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activeX/activeX1.xml" ContentType="application/vnd.ms-office.activeX+xml"/>
  <Override PartName="/xl/activeX/activeX1.bin" ContentType="application/vnd.ms-office.activeX"/>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omments7.xml" ContentType="application/vnd.openxmlformats-officedocument.spreadsheetml.comments+xml"/>
  <Override PartName="/xl/drawings/drawing24.xml" ContentType="application/vnd.openxmlformats-officedocument.drawing+xml"/>
  <Override PartName="/xl/ctrlProps/ctrlProp3.xml" ContentType="application/vnd.ms-excel.controlproperties+xml"/>
  <Override PartName="/xl/drawings/drawing25.xml" ContentType="application/vnd.openxmlformats-officedocument.drawing+xml"/>
  <Override PartName="/xl/drawings/drawing2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updateLinks="never" codeName="DieseArbeitsmappe" defaultThemeVersion="124226"/>
  <mc:AlternateContent xmlns:mc="http://schemas.openxmlformats.org/markup-compatibility/2006">
    <mc:Choice Requires="x15">
      <x15ac:absPath xmlns:x15ac="http://schemas.microsoft.com/office/spreadsheetml/2010/11/ac" url="\\stgsfs01\NL-Nord\Auftragsabwicklung DACH\DACH Projekte\FAA-Projekte\05217112 - Element Logic - OBI Wermelskirchen\12 Zeichnungen\Ausschreibung\"/>
    </mc:Choice>
  </mc:AlternateContent>
  <xr:revisionPtr revIDLastSave="0" documentId="13_ncr:1_{BACE9E09-22C4-4CD3-8B6C-2D731D5DCD48}" xr6:coauthVersionLast="47" xr6:coauthVersionMax="47" xr10:uidLastSave="{00000000-0000-0000-0000-000000000000}"/>
  <bookViews>
    <workbookView xWindow="-120" yWindow="-120" windowWidth="38640" windowHeight="21240" tabRatio="859" firstSheet="12" activeTab="12" xr2:uid="{00000000-000D-0000-FFFF-FFFF00000000}"/>
  </bookViews>
  <sheets>
    <sheet name="Aufdopplungsrechner (Test)" sheetId="150" state="hidden" r:id="rId1"/>
    <sheet name="Siko Tapeswitch" sheetId="146" r:id="rId2"/>
    <sheet name="Logbuch" sheetId="119" r:id="rId3"/>
    <sheet name="Montagezeitenvergleich" sheetId="110" state="hidden" r:id="rId4"/>
    <sheet name="Fehleranalyse" sheetId="107" state="hidden" r:id="rId5"/>
    <sheet name="Bestellteile" sheetId="114" state="hidden" r:id="rId6"/>
    <sheet name="Variantenkonfiguration" sheetId="151" r:id="rId7"/>
    <sheet name="Arbeitsplan" sheetId="143" r:id="rId8"/>
    <sheet name="Stückliste" sheetId="46" r:id="rId9"/>
    <sheet name="Berechnung &amp; Tabellen" sheetId="120" r:id="rId10"/>
    <sheet name="Zeiterfassungsbogen" sheetId="132" state="hidden" r:id="rId11"/>
    <sheet name="Störungserfassung" sheetId="152" r:id="rId12"/>
    <sheet name="Dateneingabe" sheetId="60" r:id="rId13"/>
    <sheet name="Liste" sheetId="109" r:id="rId14"/>
    <sheet name="Vergl. PAP GCC zu ECClos-S" sheetId="134" state="hidden" r:id="rId15"/>
    <sheet name="Eingabe Sonderteile" sheetId="145" state="hidden" r:id="rId16"/>
    <sheet name="Preise B7" sheetId="131" state="hidden" r:id="rId17"/>
    <sheet name="Blechbearbeitung" sheetId="45" r:id="rId18"/>
    <sheet name="Zuschnitt Schieberblatt" sheetId="56" r:id="rId19"/>
    <sheet name="SEW Welle 25x50 Vs 20x36" sheetId="136" state="hidden" r:id="rId20"/>
    <sheet name="Zuschnitt intumestzierendes Mat" sheetId="57" r:id="rId21"/>
    <sheet name="Zuschnitt Festfeld" sheetId="135" r:id="rId22"/>
    <sheet name="Zuschnitt Intumest Blöcke" sheetId="137" r:id="rId23"/>
    <sheet name="Stahlzuschnitt" sheetId="71" r:id="rId24"/>
    <sheet name="Zuschnitt Gewindestangen" sheetId="127" state="hidden" r:id="rId25"/>
    <sheet name="Kleinteilfertigung" sheetId="75" state="hidden" r:id="rId26"/>
    <sheet name="Schieberelemente" sheetId="122" r:id="rId27"/>
    <sheet name="Dichtrahmenabdeckung" sheetId="149" r:id="rId28"/>
    <sheet name="Dichtrahmen usw." sheetId="142" r:id="rId29"/>
    <sheet name="Antriebsfertigung" sheetId="123" r:id="rId30"/>
    <sheet name="Checkliste" sheetId="125" r:id="rId31"/>
    <sheet name="Lager_&amp;_Montagematerial" sheetId="126" r:id="rId32"/>
    <sheet name="Produktionskontrolle" sheetId="139" r:id="rId33"/>
    <sheet name="Leistungserklärung" sheetId="140" r:id="rId34"/>
    <sheet name="Lackliste" sheetId="148" r:id="rId35"/>
    <sheet name="Kostensätze" sheetId="144" state="hidden" r:id="rId36"/>
    <sheet name="Verpackungsberechnung" sheetId="147" state="hidden" r:id="rId37"/>
  </sheets>
  <externalReferences>
    <externalReference r:id="rId38"/>
    <externalReference r:id="rId39"/>
  </externalReferences>
  <definedNames>
    <definedName name="_xlnm._FilterDatabase" localSheetId="7" hidden="1">Arbeitsplan!$A$3:$AG$248</definedName>
    <definedName name="_xlnm._FilterDatabase" localSheetId="30" hidden="1">Checkliste!$C$16:$K$125</definedName>
    <definedName name="_xlnm._FilterDatabase" localSheetId="28" hidden="1">'Dichtrahmen usw.'!$B$25:$K$58</definedName>
    <definedName name="_xlnm._FilterDatabase" localSheetId="27" hidden="1">Dichtrahmenabdeckung!#REF!</definedName>
    <definedName name="_xlnm._FilterDatabase" localSheetId="31" hidden="1">'Lager_&amp;_Montagematerial'!$A$10:$A$179</definedName>
    <definedName name="_xlnm._FilterDatabase" localSheetId="13" hidden="1">Liste!$B$4:$N$490</definedName>
    <definedName name="_xlnm._FilterDatabase" localSheetId="26" hidden="1">Schieberelemente!$A$24:$L$54</definedName>
    <definedName name="_xlnm._FilterDatabase" localSheetId="8" hidden="1">Stückliste!$A$4:$BH$806</definedName>
    <definedName name="_xlnm._FilterDatabase" localSheetId="22" hidden="1">'Zuschnitt Intumest Blöcke'!$C$15:$T$35</definedName>
    <definedName name="_xlnm.Print_Area" localSheetId="29">Antriebsfertigung!$B$1:$AB$49</definedName>
    <definedName name="_xlnm.Print_Area" localSheetId="0">'Aufdopplungsrechner (Test)'!$A$1:$L$78</definedName>
    <definedName name="_xlnm.Print_Area" localSheetId="5">Bestellteile!$A$1:$J$90</definedName>
    <definedName name="_xlnm.Print_Area" localSheetId="17">Blechbearbeitung!$B$1:$N$45</definedName>
    <definedName name="_xlnm.Print_Area" localSheetId="30">Checkliste!$B$1:$L$126</definedName>
    <definedName name="_xlnm.Print_Area" localSheetId="12">Dateneingabe!$A$1:$J$96</definedName>
    <definedName name="_xlnm.Print_Area" localSheetId="28">'Dichtrahmen usw.'!$B$1:$K$69</definedName>
    <definedName name="_xlnm.Print_Area" localSheetId="27">Dichtrahmenabdeckung!$B$1:$K$66</definedName>
    <definedName name="_xlnm.Print_Area" localSheetId="15">'Eingabe Sonderteile'!$A$1:$F$21</definedName>
    <definedName name="_xlnm.Print_Area" localSheetId="25">Kleinteilfertigung!$A$1:$J$28</definedName>
    <definedName name="_xlnm.Print_Area" localSheetId="35">Kostensätze!$A$1:$E$36</definedName>
    <definedName name="_xlnm.Print_Area" localSheetId="34">Lackliste!$D$1:$U$861</definedName>
    <definedName name="_xlnm.Print_Area" localSheetId="31">'Lager_&amp;_Montagematerial'!$B$1:$L$136</definedName>
    <definedName name="_xlnm.Print_Area" localSheetId="33">Leistungserklärung!$B$1:$I$100</definedName>
    <definedName name="_xlnm.Print_Area" localSheetId="13">Liste!$B$1:$N$490</definedName>
    <definedName name="_xlnm.Print_Area" localSheetId="32">Produktionskontrolle!$B$2:$P$54</definedName>
    <definedName name="_xlnm.Print_Area" localSheetId="26">Schieberelemente!$A$1:$M$55</definedName>
    <definedName name="_xlnm.Print_Area" localSheetId="1">'Siko Tapeswitch'!$A$1:$N$45</definedName>
    <definedName name="_xlnm.Print_Area" localSheetId="23">Stahlzuschnitt!$A$1:$J$28</definedName>
    <definedName name="_xlnm.Print_Area" localSheetId="11">Störungserfassung!$A$1:$K$34</definedName>
    <definedName name="_xlnm.Print_Area" localSheetId="14">'Vergl. PAP GCC zu ECClos-S'!$A$1:$AD$199</definedName>
    <definedName name="_xlnm.Print_Area" localSheetId="36">Verpackungsberechnung!$A$2:$P$24</definedName>
    <definedName name="_xlnm.Print_Area" localSheetId="10">Zeiterfassungsbogen!$A$1:$K$47</definedName>
    <definedName name="_xlnm.Print_Area" localSheetId="21">'Zuschnitt Festfeld'!$A$1:$L$64</definedName>
    <definedName name="_xlnm.Print_Area" localSheetId="24">'Zuschnitt Gewindestangen'!$B$1:$J$29</definedName>
    <definedName name="_xlnm.Print_Area" localSheetId="22">'Zuschnitt Intumest Blöcke'!$B$1:$V$73</definedName>
    <definedName name="_xlnm.Print_Area" localSheetId="20">'Zuschnitt intumestzierendes Mat'!$B$1:$L$36</definedName>
    <definedName name="_xlnm.Print_Area" localSheetId="18">'Zuschnitt Schieberblatt'!$A$1:$L$119</definedName>
    <definedName name="_xlnm.Print_Titles" localSheetId="5">Bestellteile!$1:$19</definedName>
    <definedName name="_xlnm.Print_Titles" localSheetId="17">Blechbearbeitung!$1:$20</definedName>
    <definedName name="_xlnm.Print_Titles" localSheetId="30">Checkliste!$1:$16</definedName>
    <definedName name="_xlnm.Print_Titles" localSheetId="34">Lackliste!$1:$17</definedName>
    <definedName name="_xlnm.Print_Titles" localSheetId="31">'Lager_&amp;_Montagematerial'!$1:$11</definedName>
    <definedName name="elvis" localSheetId="5">Bestellteile!$I$12</definedName>
    <definedName name="Stkz" localSheetId="15">Dateneingabe!$F$7</definedName>
    <definedName name="Stkz" localSheetId="36">Dateneingabe!$E$30</definedName>
    <definedName name="Z_A3133CF3_BED5_11D5_B12F_000102A3BBE3_.wvu.PrintArea" localSheetId="30" hidden="1">Checkliste!$C$1:$I$95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22" i="45" l="1"/>
  <c r="AC22" i="45"/>
  <c r="AB23" i="45"/>
  <c r="AC23" i="45"/>
  <c r="AB24" i="45"/>
  <c r="AC24" i="45"/>
  <c r="AB25" i="45"/>
  <c r="AC25" i="45"/>
  <c r="AB26" i="45"/>
  <c r="AC26" i="45"/>
  <c r="AB27" i="45"/>
  <c r="AC27" i="45"/>
  <c r="AB28" i="45"/>
  <c r="AC28" i="45"/>
  <c r="AB29" i="45"/>
  <c r="AC29" i="45"/>
  <c r="AB30" i="45"/>
  <c r="AC30" i="45"/>
  <c r="AB31" i="45"/>
  <c r="AC31" i="45"/>
  <c r="AB32" i="45"/>
  <c r="AC32" i="45"/>
  <c r="AB33" i="45"/>
  <c r="AC33" i="45"/>
  <c r="AB34" i="45"/>
  <c r="AC34" i="45"/>
  <c r="AB35" i="45"/>
  <c r="AC35" i="45"/>
  <c r="AB36" i="45"/>
  <c r="AC36" i="45"/>
  <c r="AB37" i="45"/>
  <c r="AC37" i="45"/>
  <c r="AB38" i="45"/>
  <c r="AC38" i="45"/>
  <c r="AB39" i="45"/>
  <c r="AC39" i="45"/>
  <c r="AB40" i="45"/>
  <c r="AC40" i="45"/>
  <c r="AB41" i="45"/>
  <c r="AC41" i="45"/>
  <c r="AB42" i="45"/>
  <c r="AC42" i="45"/>
  <c r="AB43" i="45"/>
  <c r="AC43" i="45"/>
  <c r="AB44" i="45"/>
  <c r="AC44" i="45"/>
  <c r="AB45" i="45"/>
  <c r="AC45" i="45"/>
  <c r="AB46" i="45"/>
  <c r="AC46" i="45"/>
  <c r="AB47" i="45"/>
  <c r="AC47" i="45"/>
  <c r="AB48" i="45"/>
  <c r="AC48" i="45"/>
  <c r="AB49" i="45"/>
  <c r="AC49" i="45"/>
  <c r="AB50" i="45"/>
  <c r="AC50" i="45"/>
  <c r="AB51" i="45"/>
  <c r="AC51" i="45"/>
  <c r="AB52" i="45"/>
  <c r="AC52" i="45"/>
  <c r="AB53" i="45"/>
  <c r="AC53" i="45"/>
  <c r="AB54" i="45"/>
  <c r="AC54" i="45"/>
  <c r="AB55" i="45"/>
  <c r="AC55" i="45"/>
  <c r="AB56" i="45"/>
  <c r="AC56" i="45"/>
  <c r="AB57" i="45"/>
  <c r="AC57" i="45"/>
  <c r="AB58" i="45"/>
  <c r="AC58" i="45"/>
  <c r="AB59" i="45"/>
  <c r="AC59" i="45"/>
  <c r="F9" i="60"/>
  <c r="H80" i="126" l="1"/>
  <c r="E452" i="109"/>
  <c r="E449" i="109"/>
  <c r="E446" i="109"/>
  <c r="C13" i="120"/>
  <c r="E514" i="109"/>
  <c r="H514" i="109" s="1"/>
  <c r="J514" i="109" s="1"/>
  <c r="G32" i="125"/>
  <c r="C32" i="125"/>
  <c r="BH514" i="46"/>
  <c r="BF514" i="46"/>
  <c r="AT514" i="46"/>
  <c r="AS514" i="46"/>
  <c r="AR514" i="46"/>
  <c r="AP514" i="46"/>
  <c r="AK514" i="46"/>
  <c r="AJ514" i="46"/>
  <c r="R514" i="46"/>
  <c r="Q514" i="46"/>
  <c r="N514" i="46"/>
  <c r="H514" i="46" s="1"/>
  <c r="D514" i="46"/>
  <c r="B514" i="46"/>
  <c r="AQ514" i="46" l="1"/>
  <c r="F32" i="125"/>
  <c r="J514" i="46"/>
  <c r="L514" i="46"/>
  <c r="H106" i="125"/>
  <c r="C106" i="125" s="1"/>
  <c r="R531" i="46"/>
  <c r="R532" i="46"/>
  <c r="R533" i="46"/>
  <c r="R534" i="46"/>
  <c r="R535" i="46"/>
  <c r="R536" i="46"/>
  <c r="R537" i="46"/>
  <c r="R538" i="46"/>
  <c r="R539" i="46"/>
  <c r="R540" i="46"/>
  <c r="R541" i="46"/>
  <c r="R542" i="46"/>
  <c r="R543" i="46"/>
  <c r="R544" i="46"/>
  <c r="R530" i="46"/>
  <c r="AB21" i="45" l="1"/>
  <c r="BH139" i="46" l="1"/>
  <c r="AT139" i="46"/>
  <c r="AS139" i="46"/>
  <c r="AR139" i="46"/>
  <c r="AQ139" i="46"/>
  <c r="AK139" i="46"/>
  <c r="AJ139" i="46"/>
  <c r="R139" i="46"/>
  <c r="Q139" i="46"/>
  <c r="N139" i="46"/>
  <c r="D139" i="46"/>
  <c r="B139" i="46"/>
  <c r="AR542" i="46"/>
  <c r="AQ542" i="46"/>
  <c r="J542" i="46" s="1"/>
  <c r="AP542" i="46"/>
  <c r="H542" i="46" s="1"/>
  <c r="AO542" i="46"/>
  <c r="F542" i="46" s="1"/>
  <c r="D542" i="46"/>
  <c r="BF542" i="46" s="1"/>
  <c r="B542" i="46"/>
  <c r="AR541" i="46"/>
  <c r="AQ541" i="46"/>
  <c r="AP541" i="46"/>
  <c r="AO541" i="46"/>
  <c r="F541" i="46" s="1"/>
  <c r="J541" i="46"/>
  <c r="H541" i="46"/>
  <c r="D541" i="46"/>
  <c r="BF541" i="46" s="1"/>
  <c r="B541" i="46"/>
  <c r="AR540" i="46"/>
  <c r="AQ540" i="46"/>
  <c r="J540" i="46" s="1"/>
  <c r="AP540" i="46"/>
  <c r="H540" i="46" s="1"/>
  <c r="AO540" i="46"/>
  <c r="F540" i="46" s="1"/>
  <c r="D540" i="46"/>
  <c r="BF540" i="46" s="1"/>
  <c r="B540" i="46"/>
  <c r="BG542" i="46" l="1"/>
  <c r="J139" i="46"/>
  <c r="BG541" i="46"/>
  <c r="L139" i="46"/>
  <c r="BG540" i="46"/>
  <c r="R139" i="109"/>
  <c r="BF139" i="46" s="1"/>
  <c r="R527" i="109" l="1"/>
  <c r="S527" i="109"/>
  <c r="T527" i="109"/>
  <c r="B527" i="46"/>
  <c r="D527" i="46"/>
  <c r="N527" i="46"/>
  <c r="L527" i="46" s="1"/>
  <c r="Q527" i="46"/>
  <c r="R527" i="46"/>
  <c r="AJ527" i="46"/>
  <c r="AK527" i="46"/>
  <c r="AO527" i="46"/>
  <c r="AP527" i="46"/>
  <c r="AQ527" i="46"/>
  <c r="AR527" i="46"/>
  <c r="AS527" i="46"/>
  <c r="F527" i="46" s="1"/>
  <c r="AT527" i="46"/>
  <c r="BF527" i="46"/>
  <c r="BH527" i="46"/>
  <c r="J527" i="46" l="1"/>
  <c r="H527" i="46"/>
  <c r="BG527" i="46"/>
  <c r="H225" i="109"/>
  <c r="J225" i="109" s="1"/>
  <c r="S225" i="109"/>
  <c r="R225" i="109"/>
  <c r="B225" i="46"/>
  <c r="D225" i="46"/>
  <c r="N225" i="46"/>
  <c r="J225" i="46" s="1"/>
  <c r="Q225" i="46"/>
  <c r="R225" i="46"/>
  <c r="AJ225" i="46"/>
  <c r="AK225" i="46"/>
  <c r="AO225" i="46"/>
  <c r="AP225" i="46"/>
  <c r="AQ225" i="46"/>
  <c r="AR225" i="46"/>
  <c r="AS225" i="46"/>
  <c r="F225" i="46" s="1"/>
  <c r="AT225" i="46"/>
  <c r="BF225" i="46"/>
  <c r="BH225" i="46"/>
  <c r="L225" i="46" l="1"/>
  <c r="H225" i="46"/>
  <c r="BG225" i="46"/>
  <c r="G31" i="152"/>
  <c r="Y233" i="143" l="1"/>
  <c r="W233" i="143"/>
  <c r="T233" i="143"/>
  <c r="S233" i="143"/>
  <c r="R233" i="143"/>
  <c r="Q233" i="143"/>
  <c r="P233" i="143"/>
  <c r="O233" i="143"/>
  <c r="J233" i="143"/>
  <c r="G233" i="143"/>
  <c r="F32" i="152"/>
  <c r="F33" i="152" s="1"/>
  <c r="H19" i="152"/>
  <c r="D19" i="152"/>
  <c r="H17" i="152"/>
  <c r="D17" i="152"/>
  <c r="H15" i="152"/>
  <c r="D15" i="152"/>
  <c r="H13" i="152"/>
  <c r="D13" i="152"/>
  <c r="H9" i="152"/>
  <c r="J7" i="152"/>
  <c r="I7" i="152"/>
  <c r="H7" i="152"/>
  <c r="D7" i="152"/>
  <c r="D5" i="152"/>
  <c r="I3" i="152"/>
  <c r="D3" i="152"/>
  <c r="E1" i="152"/>
  <c r="W45" i="148" l="1"/>
  <c r="V49" i="148"/>
  <c r="W60" i="148"/>
  <c r="V44" i="148"/>
  <c r="E60" i="148"/>
  <c r="F60" i="148"/>
  <c r="I60" i="148"/>
  <c r="X60" i="148" s="1"/>
  <c r="E59" i="148"/>
  <c r="F59" i="148"/>
  <c r="I59" i="148"/>
  <c r="V59" i="148" s="1"/>
  <c r="E53" i="148"/>
  <c r="F53" i="148"/>
  <c r="I53" i="148"/>
  <c r="W53" i="148" s="1"/>
  <c r="E54" i="148"/>
  <c r="F54" i="148"/>
  <c r="I54" i="148"/>
  <c r="V54" i="148" s="1"/>
  <c r="E55" i="148"/>
  <c r="F55" i="148"/>
  <c r="I55" i="148"/>
  <c r="V55" i="148" s="1"/>
  <c r="E56" i="148"/>
  <c r="F56" i="148"/>
  <c r="I56" i="148"/>
  <c r="W56" i="148" s="1"/>
  <c r="E57" i="148"/>
  <c r="F57" i="148"/>
  <c r="I57" i="148"/>
  <c r="W57" i="148" s="1"/>
  <c r="E58" i="148"/>
  <c r="F58" i="148"/>
  <c r="I58" i="148"/>
  <c r="W58" i="148" s="1"/>
  <c r="E45" i="148"/>
  <c r="F45" i="148"/>
  <c r="I45" i="148"/>
  <c r="V45" i="148" s="1"/>
  <c r="E46" i="148"/>
  <c r="F46" i="148"/>
  <c r="I46" i="148"/>
  <c r="V46" i="148" s="1"/>
  <c r="E47" i="148"/>
  <c r="F47" i="148"/>
  <c r="I47" i="148"/>
  <c r="V47" i="148" s="1"/>
  <c r="E48" i="148"/>
  <c r="F48" i="148"/>
  <c r="I48" i="148"/>
  <c r="V48" i="148" s="1"/>
  <c r="E49" i="148"/>
  <c r="F49" i="148"/>
  <c r="I49" i="148"/>
  <c r="W49" i="148" s="1"/>
  <c r="E50" i="148"/>
  <c r="F50" i="148"/>
  <c r="I50" i="148"/>
  <c r="V50" i="148" s="1"/>
  <c r="E51" i="148"/>
  <c r="F51" i="148"/>
  <c r="I51" i="148"/>
  <c r="V51" i="148" s="1"/>
  <c r="E52" i="148"/>
  <c r="F52" i="148"/>
  <c r="I52" i="148"/>
  <c r="V52" i="148" s="1"/>
  <c r="I44" i="148"/>
  <c r="W44" i="148" s="1"/>
  <c r="F44" i="148"/>
  <c r="E44" i="148"/>
  <c r="H41" i="148"/>
  <c r="P40" i="148" s="1"/>
  <c r="X50" i="148" l="1"/>
  <c r="X47" i="148"/>
  <c r="X54" i="148"/>
  <c r="X44" i="148"/>
  <c r="X57" i="148"/>
  <c r="X53" i="148"/>
  <c r="X49" i="148"/>
  <c r="X46" i="148"/>
  <c r="X58" i="148"/>
  <c r="X56" i="148"/>
  <c r="X52" i="148"/>
  <c r="X45" i="148"/>
  <c r="X59" i="148"/>
  <c r="X55" i="148"/>
  <c r="X51" i="148"/>
  <c r="X48" i="148"/>
  <c r="V60" i="148"/>
  <c r="V56" i="148"/>
  <c r="W46" i="148"/>
  <c r="W50" i="148"/>
  <c r="O42" i="148"/>
  <c r="V57" i="148"/>
  <c r="W54" i="148"/>
  <c r="W59" i="148"/>
  <c r="V58" i="148"/>
  <c r="W55" i="148"/>
  <c r="W51" i="148"/>
  <c r="W47" i="148"/>
  <c r="V53" i="148"/>
  <c r="W52" i="148"/>
  <c r="W48" i="148"/>
  <c r="X61" i="148" l="1"/>
  <c r="O44" i="148" s="1"/>
  <c r="V61" i="148"/>
  <c r="S44" i="148" s="1"/>
  <c r="R38" i="148"/>
  <c r="T38" i="148" s="1"/>
  <c r="W61" i="148"/>
  <c r="S42" i="148" s="1"/>
  <c r="F27" i="56"/>
  <c r="F26" i="56"/>
  <c r="F25" i="56"/>
  <c r="F24" i="56"/>
  <c r="B8" i="46"/>
  <c r="D8" i="46"/>
  <c r="N8" i="46"/>
  <c r="Q8" i="46"/>
  <c r="R8" i="46"/>
  <c r="AJ8" i="46"/>
  <c r="AK8" i="46"/>
  <c r="AR8" i="46"/>
  <c r="AS8" i="46"/>
  <c r="AT8" i="46"/>
  <c r="BH8" i="46"/>
  <c r="B9" i="46"/>
  <c r="D9" i="46"/>
  <c r="N9" i="46"/>
  <c r="Q9" i="46"/>
  <c r="R9" i="46"/>
  <c r="AJ9" i="46"/>
  <c r="AK9" i="46"/>
  <c r="AR9" i="46"/>
  <c r="AS9" i="46"/>
  <c r="AT9" i="46"/>
  <c r="BH9" i="46"/>
  <c r="B10" i="46"/>
  <c r="D10" i="46"/>
  <c r="N10" i="46"/>
  <c r="H10" i="46" s="1"/>
  <c r="Q10" i="46"/>
  <c r="R10" i="46"/>
  <c r="AJ10" i="46"/>
  <c r="AK10" i="46"/>
  <c r="AR10" i="46"/>
  <c r="AS10" i="46"/>
  <c r="AT10" i="46"/>
  <c r="BF10" i="46"/>
  <c r="BH10" i="46"/>
  <c r="B11" i="46"/>
  <c r="D11" i="46"/>
  <c r="N11" i="46"/>
  <c r="H11" i="46" s="1"/>
  <c r="Q11" i="46"/>
  <c r="R11" i="46"/>
  <c r="AJ11" i="46"/>
  <c r="AK11" i="46"/>
  <c r="AR11" i="46"/>
  <c r="AS11" i="46"/>
  <c r="AT11" i="46"/>
  <c r="BF11" i="46"/>
  <c r="BH11" i="46"/>
  <c r="B12" i="46"/>
  <c r="D12" i="46"/>
  <c r="N12" i="46"/>
  <c r="H12" i="46" s="1"/>
  <c r="Q12" i="46"/>
  <c r="R12" i="46"/>
  <c r="AJ12" i="46"/>
  <c r="AK12" i="46"/>
  <c r="AR12" i="46"/>
  <c r="AS12" i="46"/>
  <c r="AT12" i="46"/>
  <c r="BF12" i="46"/>
  <c r="BH12" i="46"/>
  <c r="B13" i="46"/>
  <c r="D13" i="46"/>
  <c r="N13" i="46"/>
  <c r="H13" i="46" s="1"/>
  <c r="Q13" i="46"/>
  <c r="R13" i="46"/>
  <c r="AJ13" i="46"/>
  <c r="AK13" i="46"/>
  <c r="AR13" i="46"/>
  <c r="AS13" i="46"/>
  <c r="AT13" i="46"/>
  <c r="BF13" i="46"/>
  <c r="BH13" i="46"/>
  <c r="B14" i="46"/>
  <c r="D14" i="46"/>
  <c r="N14" i="46"/>
  <c r="L14" i="46" s="1"/>
  <c r="Q14" i="46"/>
  <c r="R14" i="46"/>
  <c r="AJ14" i="46"/>
  <c r="AK14" i="46"/>
  <c r="AR14" i="46"/>
  <c r="AS14" i="46"/>
  <c r="AT14" i="46"/>
  <c r="BF14" i="46"/>
  <c r="BH14" i="46"/>
  <c r="B15" i="46"/>
  <c r="D15" i="46"/>
  <c r="N15" i="46"/>
  <c r="H15" i="46" s="1"/>
  <c r="Q15" i="46"/>
  <c r="R15" i="46"/>
  <c r="AJ15" i="46"/>
  <c r="AK15" i="46"/>
  <c r="AR15" i="46"/>
  <c r="AS15" i="46"/>
  <c r="AT15" i="46"/>
  <c r="BF15" i="46"/>
  <c r="BH15" i="46"/>
  <c r="B16" i="46"/>
  <c r="D16" i="46"/>
  <c r="N16" i="46"/>
  <c r="H16" i="46" s="1"/>
  <c r="Q16" i="46"/>
  <c r="R16" i="46"/>
  <c r="AJ16" i="46"/>
  <c r="AK16" i="46"/>
  <c r="AR16" i="46"/>
  <c r="AS16" i="46"/>
  <c r="AT16" i="46"/>
  <c r="BF16" i="46"/>
  <c r="BH16" i="46"/>
  <c r="B17" i="46"/>
  <c r="D17" i="46"/>
  <c r="N17" i="46"/>
  <c r="H17" i="46" s="1"/>
  <c r="Q17" i="46"/>
  <c r="R17" i="46"/>
  <c r="AJ17" i="46"/>
  <c r="AK17" i="46"/>
  <c r="AR17" i="46"/>
  <c r="AS17" i="46"/>
  <c r="AT17" i="46"/>
  <c r="BF17" i="46"/>
  <c r="BH17" i="46"/>
  <c r="B18" i="46"/>
  <c r="D18" i="46"/>
  <c r="N18" i="46"/>
  <c r="H18" i="46" s="1"/>
  <c r="Q18" i="46"/>
  <c r="R18" i="46"/>
  <c r="AJ18" i="46"/>
  <c r="AK18" i="46"/>
  <c r="AR18" i="46"/>
  <c r="AS18" i="46"/>
  <c r="AT18" i="46"/>
  <c r="BF18" i="46"/>
  <c r="BH18" i="46"/>
  <c r="B19" i="46"/>
  <c r="D19" i="46"/>
  <c r="N19" i="46"/>
  <c r="J19" i="46" s="1"/>
  <c r="Q19" i="46"/>
  <c r="R19" i="46"/>
  <c r="AJ19" i="46"/>
  <c r="AK19" i="46"/>
  <c r="AR19" i="46"/>
  <c r="AS19" i="46"/>
  <c r="AT19" i="46"/>
  <c r="BF19" i="46"/>
  <c r="BH19" i="46"/>
  <c r="B20" i="46"/>
  <c r="D20" i="46"/>
  <c r="N20" i="46"/>
  <c r="L20" i="46" s="1"/>
  <c r="Q20" i="46"/>
  <c r="R20" i="46"/>
  <c r="AJ20" i="46"/>
  <c r="AK20" i="46"/>
  <c r="AR20" i="46"/>
  <c r="AS20" i="46"/>
  <c r="AT20" i="46"/>
  <c r="BF20" i="46"/>
  <c r="BH20" i="46"/>
  <c r="B21" i="46"/>
  <c r="D21" i="46"/>
  <c r="N21" i="46"/>
  <c r="H21" i="46" s="1"/>
  <c r="Q21" i="46"/>
  <c r="R21" i="46"/>
  <c r="AJ21" i="46"/>
  <c r="AK21" i="46"/>
  <c r="AR21" i="46"/>
  <c r="AS21" i="46"/>
  <c r="AT21" i="46"/>
  <c r="BF21" i="46"/>
  <c r="BH21" i="46"/>
  <c r="B22" i="46"/>
  <c r="D22" i="46"/>
  <c r="N22" i="46"/>
  <c r="L22" i="46" s="1"/>
  <c r="Q22" i="46"/>
  <c r="R22" i="46"/>
  <c r="AJ22" i="46"/>
  <c r="AK22" i="46"/>
  <c r="AR22" i="46"/>
  <c r="AS22" i="46"/>
  <c r="AT22" i="46"/>
  <c r="BF22" i="46"/>
  <c r="BH22" i="46"/>
  <c r="B23" i="46"/>
  <c r="D23" i="46"/>
  <c r="N23" i="46"/>
  <c r="Q23" i="46"/>
  <c r="R23" i="46"/>
  <c r="AJ23" i="46"/>
  <c r="AK23" i="46"/>
  <c r="AR23" i="46"/>
  <c r="AS23" i="46"/>
  <c r="AT23" i="46"/>
  <c r="BF23" i="46"/>
  <c r="BH23" i="46"/>
  <c r="B24" i="46"/>
  <c r="D24" i="46"/>
  <c r="N24" i="46"/>
  <c r="H24" i="46" s="1"/>
  <c r="Q24" i="46"/>
  <c r="R24" i="46"/>
  <c r="AJ24" i="46"/>
  <c r="AK24" i="46"/>
  <c r="AR24" i="46"/>
  <c r="AS24" i="46"/>
  <c r="AT24" i="46"/>
  <c r="BF24" i="46"/>
  <c r="BH24" i="46"/>
  <c r="B25" i="46"/>
  <c r="D25" i="46"/>
  <c r="N25" i="46"/>
  <c r="Q25" i="46"/>
  <c r="R25" i="46"/>
  <c r="AJ25" i="46"/>
  <c r="AK25" i="46"/>
  <c r="AR25" i="46"/>
  <c r="AS25" i="46"/>
  <c r="AT25" i="46"/>
  <c r="BF25" i="46"/>
  <c r="BH25" i="46"/>
  <c r="B26" i="46"/>
  <c r="D26" i="46"/>
  <c r="N26" i="46"/>
  <c r="H26" i="46" s="1"/>
  <c r="Q26" i="46"/>
  <c r="R26" i="46"/>
  <c r="AJ26" i="46"/>
  <c r="AK26" i="46"/>
  <c r="AP26" i="46"/>
  <c r="AQ26" i="46"/>
  <c r="AR26" i="46"/>
  <c r="AS26" i="46"/>
  <c r="AT26" i="46"/>
  <c r="BH26" i="46"/>
  <c r="B27" i="46"/>
  <c r="D27" i="46"/>
  <c r="N27" i="46"/>
  <c r="Q27" i="46"/>
  <c r="R27" i="46"/>
  <c r="AJ27" i="46"/>
  <c r="AK27" i="46"/>
  <c r="AO27" i="46"/>
  <c r="AP27" i="46"/>
  <c r="AQ27" i="46"/>
  <c r="AR27" i="46"/>
  <c r="AS27" i="46"/>
  <c r="BG27" i="46" s="1"/>
  <c r="AT27" i="46"/>
  <c r="BH27" i="46"/>
  <c r="B28" i="46"/>
  <c r="D28" i="46"/>
  <c r="N28" i="46"/>
  <c r="L28" i="46" s="1"/>
  <c r="Q28" i="46"/>
  <c r="R28" i="46"/>
  <c r="AJ28" i="46"/>
  <c r="AK28" i="46"/>
  <c r="AP28" i="46"/>
  <c r="AQ28" i="46"/>
  <c r="AR28" i="46"/>
  <c r="AS28" i="46"/>
  <c r="AT28" i="46"/>
  <c r="BH28" i="46"/>
  <c r="B29" i="46"/>
  <c r="D29" i="46"/>
  <c r="N29" i="46"/>
  <c r="H29" i="46" s="1"/>
  <c r="Q29" i="46"/>
  <c r="R29" i="46"/>
  <c r="AJ29" i="46"/>
  <c r="AK29" i="46"/>
  <c r="AQ29" i="46"/>
  <c r="AR29" i="46"/>
  <c r="AS29" i="46"/>
  <c r="AT29" i="46"/>
  <c r="BF29" i="46"/>
  <c r="BH29" i="46"/>
  <c r="B30" i="46"/>
  <c r="D30" i="46"/>
  <c r="N30" i="46"/>
  <c r="L30" i="46" s="1"/>
  <c r="Q30" i="46"/>
  <c r="R30" i="46"/>
  <c r="AJ30" i="46"/>
  <c r="AK30" i="46"/>
  <c r="AP30" i="46"/>
  <c r="AR30" i="46"/>
  <c r="AS30" i="46"/>
  <c r="AT30" i="46"/>
  <c r="BH30" i="46"/>
  <c r="B31" i="46"/>
  <c r="D31" i="46"/>
  <c r="N31" i="46"/>
  <c r="L31" i="46" s="1"/>
  <c r="Q31" i="46"/>
  <c r="R31" i="46"/>
  <c r="AJ31" i="46"/>
  <c r="AK31" i="46"/>
  <c r="AP31" i="46"/>
  <c r="AR31" i="46"/>
  <c r="AS31" i="46"/>
  <c r="AT31" i="46"/>
  <c r="BH31" i="46"/>
  <c r="B32" i="46"/>
  <c r="D32" i="46"/>
  <c r="N32" i="46"/>
  <c r="H32" i="46" s="1"/>
  <c r="Q32" i="46"/>
  <c r="R32" i="46"/>
  <c r="AJ32" i="46"/>
  <c r="AK32" i="46"/>
  <c r="AP32" i="46"/>
  <c r="AQ32" i="46"/>
  <c r="AR32" i="46"/>
  <c r="AS32" i="46"/>
  <c r="AT32" i="46"/>
  <c r="BH32" i="46"/>
  <c r="B33" i="46"/>
  <c r="D33" i="46"/>
  <c r="N33" i="46"/>
  <c r="H33" i="46" s="1"/>
  <c r="Q33" i="46"/>
  <c r="R33" i="46"/>
  <c r="AJ33" i="46"/>
  <c r="AK33" i="46"/>
  <c r="AP33" i="46"/>
  <c r="AR33" i="46"/>
  <c r="AS33" i="46"/>
  <c r="AT33" i="46"/>
  <c r="BH33" i="46"/>
  <c r="N34" i="46"/>
  <c r="Q34" i="46"/>
  <c r="R34" i="46"/>
  <c r="AJ34" i="46"/>
  <c r="AK34" i="46"/>
  <c r="AO34" i="46"/>
  <c r="AR34" i="46"/>
  <c r="AS34" i="46"/>
  <c r="F34" i="46" s="1"/>
  <c r="AT34" i="46"/>
  <c r="BH34" i="46"/>
  <c r="B35" i="46"/>
  <c r="D35" i="46"/>
  <c r="N35" i="46"/>
  <c r="H35" i="46" s="1"/>
  <c r="Q35" i="46"/>
  <c r="R35" i="46"/>
  <c r="AJ35" i="46"/>
  <c r="AK35" i="46"/>
  <c r="AP35" i="46"/>
  <c r="AQ35" i="46"/>
  <c r="AR35" i="46"/>
  <c r="AT35" i="46"/>
  <c r="BH35" i="46"/>
  <c r="B36" i="46"/>
  <c r="D36" i="46"/>
  <c r="N36" i="46"/>
  <c r="Q36" i="46"/>
  <c r="R36" i="46"/>
  <c r="AJ36" i="46"/>
  <c r="AK36" i="46"/>
  <c r="AP36" i="46"/>
  <c r="AQ36" i="46"/>
  <c r="AR36" i="46"/>
  <c r="AT36" i="46"/>
  <c r="BH36" i="46"/>
  <c r="B37" i="46"/>
  <c r="D37" i="46"/>
  <c r="N37" i="46"/>
  <c r="H37" i="46" s="1"/>
  <c r="Q37" i="46"/>
  <c r="R37" i="46"/>
  <c r="AJ37" i="46"/>
  <c r="AK37" i="46"/>
  <c r="AP37" i="46"/>
  <c r="AQ37" i="46"/>
  <c r="AR37" i="46"/>
  <c r="AT37" i="46"/>
  <c r="BH37" i="46"/>
  <c r="B38" i="46"/>
  <c r="D38" i="46"/>
  <c r="N38" i="46"/>
  <c r="H38" i="46" s="1"/>
  <c r="Q38" i="46"/>
  <c r="R38" i="46"/>
  <c r="AJ38" i="46"/>
  <c r="AK38" i="46"/>
  <c r="AP38" i="46"/>
  <c r="AQ38" i="46"/>
  <c r="AR38" i="46"/>
  <c r="AT38" i="46"/>
  <c r="BH38" i="46"/>
  <c r="B39" i="46"/>
  <c r="D39" i="46"/>
  <c r="N39" i="46"/>
  <c r="J39" i="46" s="1"/>
  <c r="Q39" i="46"/>
  <c r="R39" i="46"/>
  <c r="AJ39" i="46"/>
  <c r="AK39" i="46"/>
  <c r="AP39" i="46"/>
  <c r="AQ39" i="46"/>
  <c r="AR39" i="46"/>
  <c r="AT39" i="46"/>
  <c r="BH39" i="46"/>
  <c r="B40" i="46"/>
  <c r="D40" i="46"/>
  <c r="N40" i="46"/>
  <c r="H40" i="46" s="1"/>
  <c r="Q40" i="46"/>
  <c r="R40" i="46"/>
  <c r="AJ40" i="46"/>
  <c r="AK40" i="46"/>
  <c r="AP40" i="46"/>
  <c r="AQ40" i="46"/>
  <c r="AR40" i="46"/>
  <c r="AT40" i="46"/>
  <c r="BH40" i="46"/>
  <c r="B41" i="46"/>
  <c r="D41" i="46"/>
  <c r="N41" i="46"/>
  <c r="Q41" i="46"/>
  <c r="R41" i="46"/>
  <c r="AJ41" i="46"/>
  <c r="AK41" i="46"/>
  <c r="AP41" i="46"/>
  <c r="AQ41" i="46"/>
  <c r="AR41" i="46"/>
  <c r="AT41" i="46"/>
  <c r="BH41" i="46"/>
  <c r="B42" i="46"/>
  <c r="D42" i="46"/>
  <c r="N42" i="46"/>
  <c r="H42" i="46" s="1"/>
  <c r="Q42" i="46"/>
  <c r="R42" i="46"/>
  <c r="AJ42" i="46"/>
  <c r="AK42" i="46"/>
  <c r="AP42" i="46"/>
  <c r="AQ42" i="46"/>
  <c r="AR42" i="46"/>
  <c r="AT42" i="46"/>
  <c r="BH42" i="46"/>
  <c r="N43" i="46"/>
  <c r="Q43" i="46"/>
  <c r="R43" i="46"/>
  <c r="AJ43" i="46"/>
  <c r="AK43" i="46"/>
  <c r="AO43" i="46"/>
  <c r="AP43" i="46"/>
  <c r="AQ43" i="46"/>
  <c r="AR43" i="46"/>
  <c r="AS43" i="46"/>
  <c r="BG43" i="46" s="1"/>
  <c r="AT43" i="46"/>
  <c r="BH43" i="46"/>
  <c r="B44" i="46"/>
  <c r="D44" i="46"/>
  <c r="N44" i="46"/>
  <c r="L44" i="46" s="1"/>
  <c r="Q44" i="46"/>
  <c r="R44" i="46"/>
  <c r="AJ44" i="46"/>
  <c r="AK44" i="46"/>
  <c r="AP44" i="46"/>
  <c r="AQ44" i="46"/>
  <c r="AR44" i="46"/>
  <c r="AS44" i="46"/>
  <c r="AT44" i="46"/>
  <c r="BH44" i="46"/>
  <c r="B45" i="46"/>
  <c r="N45" i="46"/>
  <c r="H45" i="46" s="1"/>
  <c r="Q45" i="46"/>
  <c r="R45" i="46"/>
  <c r="AJ45" i="46"/>
  <c r="AK45" i="46"/>
  <c r="AP45" i="46"/>
  <c r="AQ45" i="46"/>
  <c r="AR45" i="46"/>
  <c r="AS45" i="46"/>
  <c r="AT45" i="46"/>
  <c r="BH45" i="46"/>
  <c r="N46" i="46"/>
  <c r="Q46" i="46"/>
  <c r="R46" i="46"/>
  <c r="AJ46" i="46"/>
  <c r="AK46" i="46"/>
  <c r="AO46" i="46"/>
  <c r="AP46" i="46"/>
  <c r="AQ46" i="46"/>
  <c r="AR46" i="46"/>
  <c r="AS46" i="46"/>
  <c r="BG46" i="46" s="1"/>
  <c r="AT46" i="46"/>
  <c r="BH46" i="46"/>
  <c r="B47" i="46"/>
  <c r="N47" i="46"/>
  <c r="H47" i="46" s="1"/>
  <c r="Q47" i="46"/>
  <c r="R47" i="46"/>
  <c r="AJ47" i="46"/>
  <c r="AK47" i="46"/>
  <c r="AP47" i="46"/>
  <c r="AQ47" i="46"/>
  <c r="AR47" i="46"/>
  <c r="AS47" i="46"/>
  <c r="AT47" i="46"/>
  <c r="BH47" i="46"/>
  <c r="B48" i="46"/>
  <c r="N48" i="46"/>
  <c r="H48" i="46" s="1"/>
  <c r="Q48" i="46"/>
  <c r="R48" i="46"/>
  <c r="AJ48" i="46"/>
  <c r="AK48" i="46"/>
  <c r="AP48" i="46"/>
  <c r="AQ48" i="46"/>
  <c r="AR48" i="46"/>
  <c r="AS48" i="46"/>
  <c r="AT48" i="46"/>
  <c r="BH48" i="46"/>
  <c r="N49" i="46"/>
  <c r="Q49" i="46"/>
  <c r="R49" i="46"/>
  <c r="AJ49" i="46"/>
  <c r="AK49" i="46"/>
  <c r="AO49" i="46"/>
  <c r="AP49" i="46"/>
  <c r="AQ49" i="46"/>
  <c r="AR49" i="46"/>
  <c r="AS49" i="46"/>
  <c r="F49" i="46" s="1"/>
  <c r="AT49" i="46"/>
  <c r="BH49" i="46"/>
  <c r="B50" i="46"/>
  <c r="D50" i="46"/>
  <c r="N50" i="46"/>
  <c r="Q50" i="46"/>
  <c r="R50" i="46"/>
  <c r="AJ50" i="46"/>
  <c r="AK50" i="46"/>
  <c r="AR50" i="46"/>
  <c r="AS50" i="46"/>
  <c r="AT50" i="46"/>
  <c r="BH50" i="46"/>
  <c r="B51" i="46"/>
  <c r="D51" i="46"/>
  <c r="N51" i="46"/>
  <c r="Q51" i="46"/>
  <c r="R51" i="46"/>
  <c r="AJ51" i="46"/>
  <c r="AK51" i="46"/>
  <c r="AP51" i="46"/>
  <c r="AR51" i="46"/>
  <c r="AS51" i="46"/>
  <c r="AT51" i="46"/>
  <c r="BH51" i="46"/>
  <c r="B52" i="46"/>
  <c r="D52" i="46"/>
  <c r="N52" i="46"/>
  <c r="Q52" i="46"/>
  <c r="R52" i="46"/>
  <c r="AJ52" i="46"/>
  <c r="AK52" i="46"/>
  <c r="AP52" i="46"/>
  <c r="AR52" i="46"/>
  <c r="AS52" i="46"/>
  <c r="AT52" i="46"/>
  <c r="BH52" i="46"/>
  <c r="B53" i="46"/>
  <c r="D53" i="46"/>
  <c r="N53" i="46"/>
  <c r="Q53" i="46"/>
  <c r="R53" i="46"/>
  <c r="AJ53" i="46"/>
  <c r="AK53" i="46"/>
  <c r="AP53" i="46"/>
  <c r="AR53" i="46"/>
  <c r="AS53" i="46"/>
  <c r="AT53" i="46"/>
  <c r="BH53" i="46"/>
  <c r="B54" i="46"/>
  <c r="D54" i="46"/>
  <c r="N54" i="46"/>
  <c r="Q54" i="46"/>
  <c r="R54" i="46"/>
  <c r="AJ54" i="46"/>
  <c r="AK54" i="46"/>
  <c r="AP54" i="46"/>
  <c r="AR54" i="46"/>
  <c r="AS54" i="46"/>
  <c r="AT54" i="46"/>
  <c r="BH54" i="46"/>
  <c r="B55" i="46"/>
  <c r="D55" i="46"/>
  <c r="N55" i="46"/>
  <c r="L55" i="46" s="1"/>
  <c r="Q55" i="46"/>
  <c r="R55" i="46"/>
  <c r="AJ55" i="46"/>
  <c r="AK55" i="46"/>
  <c r="AR55" i="46"/>
  <c r="AS55" i="46"/>
  <c r="AT55" i="46"/>
  <c r="BF55" i="46"/>
  <c r="BH55" i="46"/>
  <c r="B56" i="46"/>
  <c r="D56" i="46"/>
  <c r="N56" i="46"/>
  <c r="H56" i="46" s="1"/>
  <c r="Q56" i="46"/>
  <c r="R56" i="46"/>
  <c r="AJ56" i="46"/>
  <c r="AK56" i="46"/>
  <c r="AR56" i="46"/>
  <c r="AS56" i="46"/>
  <c r="AT56" i="46"/>
  <c r="BF56" i="46"/>
  <c r="BH56" i="46"/>
  <c r="N57" i="46"/>
  <c r="Q57" i="46"/>
  <c r="R57" i="46"/>
  <c r="AJ57" i="46"/>
  <c r="AK57" i="46"/>
  <c r="AO57" i="46"/>
  <c r="AP57" i="46"/>
  <c r="AQ57" i="46"/>
  <c r="AR57" i="46"/>
  <c r="AS57" i="46"/>
  <c r="BG57" i="46" s="1"/>
  <c r="AT57" i="46"/>
  <c r="BH57" i="46"/>
  <c r="B58" i="46"/>
  <c r="D58" i="46"/>
  <c r="N58" i="46"/>
  <c r="H58" i="46" s="1"/>
  <c r="Q58" i="46"/>
  <c r="R58" i="46"/>
  <c r="AJ58" i="46"/>
  <c r="AK58" i="46"/>
  <c r="AP58" i="46"/>
  <c r="AR58" i="46"/>
  <c r="AS58" i="46"/>
  <c r="AT58" i="46"/>
  <c r="BF58" i="46"/>
  <c r="BH58" i="46"/>
  <c r="B59" i="46"/>
  <c r="D59" i="46"/>
  <c r="N59" i="46"/>
  <c r="H59" i="46" s="1"/>
  <c r="Q59" i="46"/>
  <c r="R59" i="46"/>
  <c r="AJ59" i="46"/>
  <c r="AK59" i="46"/>
  <c r="AP59" i="46"/>
  <c r="AR59" i="46"/>
  <c r="AS59" i="46"/>
  <c r="AT59" i="46"/>
  <c r="BF59" i="46"/>
  <c r="BH59" i="46"/>
  <c r="N60" i="46"/>
  <c r="Q60" i="46"/>
  <c r="R60" i="46"/>
  <c r="AJ60" i="46"/>
  <c r="AK60" i="46"/>
  <c r="AO60" i="46"/>
  <c r="AP60" i="46"/>
  <c r="AQ60" i="46"/>
  <c r="AR60" i="46"/>
  <c r="AS60" i="46"/>
  <c r="AT60" i="46"/>
  <c r="BH60" i="46"/>
  <c r="B61" i="46"/>
  <c r="D61" i="46"/>
  <c r="N61" i="46"/>
  <c r="H61" i="46" s="1"/>
  <c r="Q61" i="46"/>
  <c r="R61" i="46"/>
  <c r="AJ61" i="46"/>
  <c r="AK61" i="46"/>
  <c r="AP61" i="46"/>
  <c r="AR61" i="46"/>
  <c r="AS61" i="46"/>
  <c r="AT61" i="46"/>
  <c r="BF61" i="46"/>
  <c r="BH61" i="46"/>
  <c r="B62" i="46"/>
  <c r="D62" i="46"/>
  <c r="N62" i="46"/>
  <c r="H62" i="46" s="1"/>
  <c r="Q62" i="46"/>
  <c r="R62" i="46"/>
  <c r="AJ62" i="46"/>
  <c r="AK62" i="46"/>
  <c r="AP62" i="46"/>
  <c r="AR62" i="46"/>
  <c r="AS62" i="46"/>
  <c r="AT62" i="46"/>
  <c r="BF62" i="46"/>
  <c r="BH62" i="46"/>
  <c r="N63" i="46"/>
  <c r="Q63" i="46"/>
  <c r="R63" i="46"/>
  <c r="AJ63" i="46"/>
  <c r="AK63" i="46"/>
  <c r="AO63" i="46"/>
  <c r="AP63" i="46"/>
  <c r="AQ63" i="46"/>
  <c r="AR63" i="46"/>
  <c r="AS63" i="46"/>
  <c r="F63" i="46" s="1"/>
  <c r="AT63" i="46"/>
  <c r="BH63" i="46"/>
  <c r="B64" i="46"/>
  <c r="D64" i="46"/>
  <c r="N64" i="46"/>
  <c r="H64" i="46" s="1"/>
  <c r="Q64" i="46"/>
  <c r="R64" i="46"/>
  <c r="AJ64" i="46"/>
  <c r="AK64" i="46"/>
  <c r="AP64" i="46"/>
  <c r="AQ64" i="46"/>
  <c r="AR64" i="46"/>
  <c r="AS64" i="46"/>
  <c r="AT64" i="46"/>
  <c r="BH64" i="46"/>
  <c r="B65" i="46"/>
  <c r="D65" i="46"/>
  <c r="N65" i="46"/>
  <c r="Q65" i="46"/>
  <c r="R65" i="46"/>
  <c r="AJ65" i="46"/>
  <c r="AK65" i="46"/>
  <c r="AR65" i="46"/>
  <c r="AS65" i="46"/>
  <c r="BG65" i="46" s="1"/>
  <c r="AT65" i="46"/>
  <c r="BH65" i="46"/>
  <c r="B66" i="46"/>
  <c r="D66" i="46"/>
  <c r="N66" i="46"/>
  <c r="Q66" i="46"/>
  <c r="R66" i="46"/>
  <c r="AJ66" i="46"/>
  <c r="AK66" i="46"/>
  <c r="AP66" i="46"/>
  <c r="AR66" i="46"/>
  <c r="AS66" i="46"/>
  <c r="AT66" i="46"/>
  <c r="BH66" i="46"/>
  <c r="B67" i="46"/>
  <c r="D67" i="46"/>
  <c r="N67" i="46"/>
  <c r="Q67" i="46"/>
  <c r="R67" i="46"/>
  <c r="AJ67" i="46"/>
  <c r="AK67" i="46"/>
  <c r="AP67" i="46"/>
  <c r="AR67" i="46"/>
  <c r="AS67" i="46"/>
  <c r="AT67" i="46"/>
  <c r="BH67" i="46"/>
  <c r="B68" i="46"/>
  <c r="D68" i="46"/>
  <c r="N68" i="46"/>
  <c r="Q68" i="46"/>
  <c r="R68" i="46"/>
  <c r="AJ68" i="46"/>
  <c r="AK68" i="46"/>
  <c r="AP68" i="46"/>
  <c r="AR68" i="46"/>
  <c r="AS68" i="46"/>
  <c r="AT68" i="46"/>
  <c r="BH68" i="46"/>
  <c r="B69" i="46"/>
  <c r="D69" i="46"/>
  <c r="N69" i="46"/>
  <c r="Q69" i="46"/>
  <c r="R69" i="46"/>
  <c r="AJ69" i="46"/>
  <c r="AK69" i="46"/>
  <c r="AP69" i="46"/>
  <c r="AR69" i="46"/>
  <c r="AS69" i="46"/>
  <c r="AT69" i="46"/>
  <c r="BH69" i="46"/>
  <c r="B70" i="46"/>
  <c r="D70" i="46"/>
  <c r="N70" i="46"/>
  <c r="Q70" i="46"/>
  <c r="R70" i="46"/>
  <c r="AJ70" i="46"/>
  <c r="AK70" i="46"/>
  <c r="AP70" i="46"/>
  <c r="AR70" i="46"/>
  <c r="AS70" i="46"/>
  <c r="AT70" i="46"/>
  <c r="BH70" i="46"/>
  <c r="B71" i="46"/>
  <c r="D71" i="46"/>
  <c r="N71" i="46"/>
  <c r="Q71" i="46"/>
  <c r="R71" i="46"/>
  <c r="AJ71" i="46"/>
  <c r="AK71" i="46"/>
  <c r="AP71" i="46"/>
  <c r="AR71" i="46"/>
  <c r="AS71" i="46"/>
  <c r="AT71" i="46"/>
  <c r="BH71" i="46"/>
  <c r="B72" i="46"/>
  <c r="D72" i="46"/>
  <c r="N72" i="46"/>
  <c r="Q72" i="46"/>
  <c r="R72" i="46"/>
  <c r="AJ72" i="46"/>
  <c r="AK72" i="46"/>
  <c r="AP72" i="46"/>
  <c r="AR72" i="46"/>
  <c r="AS72" i="46"/>
  <c r="AT72" i="46"/>
  <c r="BH72" i="46"/>
  <c r="B73" i="46"/>
  <c r="D73" i="46"/>
  <c r="N73" i="46"/>
  <c r="Q73" i="46"/>
  <c r="R73" i="46"/>
  <c r="AJ73" i="46"/>
  <c r="AK73" i="46"/>
  <c r="AP73" i="46"/>
  <c r="AR73" i="46"/>
  <c r="AS73" i="46"/>
  <c r="AT73" i="46"/>
  <c r="BH73" i="46"/>
  <c r="B74" i="46"/>
  <c r="D74" i="46"/>
  <c r="N74" i="46"/>
  <c r="H74" i="46" s="1"/>
  <c r="Q74" i="46"/>
  <c r="R74" i="46"/>
  <c r="AJ74" i="46"/>
  <c r="AK74" i="46"/>
  <c r="AP74" i="46"/>
  <c r="AR74" i="46"/>
  <c r="AS74" i="46"/>
  <c r="AT74" i="46"/>
  <c r="BF74" i="46"/>
  <c r="BH74" i="46"/>
  <c r="B75" i="46"/>
  <c r="D75" i="46"/>
  <c r="N75" i="46"/>
  <c r="Q75" i="46"/>
  <c r="R75" i="46"/>
  <c r="AJ75" i="46"/>
  <c r="AK75" i="46"/>
  <c r="AR75" i="46"/>
  <c r="AS75" i="46"/>
  <c r="AT75" i="46"/>
  <c r="BF75" i="46"/>
  <c r="BH75" i="46"/>
  <c r="N76" i="46"/>
  <c r="Q76" i="46"/>
  <c r="R76" i="46"/>
  <c r="AJ76" i="46"/>
  <c r="AK76" i="46"/>
  <c r="AO76" i="46"/>
  <c r="AP76" i="46"/>
  <c r="AQ76" i="46"/>
  <c r="AR76" i="46"/>
  <c r="AS76" i="46"/>
  <c r="AT76" i="46"/>
  <c r="BH76" i="46"/>
  <c r="B77" i="46"/>
  <c r="D77" i="46"/>
  <c r="N77" i="46"/>
  <c r="H77" i="46" s="1"/>
  <c r="Q77" i="46"/>
  <c r="R77" i="46"/>
  <c r="AJ77" i="46"/>
  <c r="AK77" i="46"/>
  <c r="AR77" i="46"/>
  <c r="AS77" i="46"/>
  <c r="AT77" i="46"/>
  <c r="BF77" i="46"/>
  <c r="BH77" i="46"/>
  <c r="B78" i="46"/>
  <c r="D78" i="46"/>
  <c r="N78" i="46"/>
  <c r="Q78" i="46"/>
  <c r="R78" i="46"/>
  <c r="AJ78" i="46"/>
  <c r="AK78" i="46"/>
  <c r="AR78" i="46"/>
  <c r="AS78" i="46"/>
  <c r="AT78" i="46"/>
  <c r="BF78" i="46"/>
  <c r="BH78" i="46"/>
  <c r="B79" i="46"/>
  <c r="D79" i="46"/>
  <c r="N79" i="46"/>
  <c r="H79" i="46" s="1"/>
  <c r="Q79" i="46"/>
  <c r="R79" i="46"/>
  <c r="AJ79" i="46"/>
  <c r="AK79" i="46"/>
  <c r="AR79" i="46"/>
  <c r="AS79" i="46"/>
  <c r="AT79" i="46"/>
  <c r="BF79" i="46"/>
  <c r="BH79" i="46"/>
  <c r="B80" i="46"/>
  <c r="D80" i="46"/>
  <c r="N80" i="46"/>
  <c r="H80" i="46" s="1"/>
  <c r="Q80" i="46"/>
  <c r="R80" i="46"/>
  <c r="AJ80" i="46"/>
  <c r="AK80" i="46"/>
  <c r="AR80" i="46"/>
  <c r="AS80" i="46"/>
  <c r="AT80" i="46"/>
  <c r="BF80" i="46"/>
  <c r="BH80" i="46"/>
  <c r="N81" i="46"/>
  <c r="Q81" i="46"/>
  <c r="R81" i="46"/>
  <c r="AJ81" i="46"/>
  <c r="AK81" i="46"/>
  <c r="AO81" i="46"/>
  <c r="AP81" i="46"/>
  <c r="AQ81" i="46"/>
  <c r="AR81" i="46"/>
  <c r="AS81" i="46"/>
  <c r="F81" i="46" s="1"/>
  <c r="AT81" i="46"/>
  <c r="BH81" i="46"/>
  <c r="B82" i="46"/>
  <c r="D82" i="46"/>
  <c r="N82" i="46"/>
  <c r="H82" i="46" s="1"/>
  <c r="Q82" i="46"/>
  <c r="R82" i="46"/>
  <c r="AJ82" i="46"/>
  <c r="AK82" i="46"/>
  <c r="AR82" i="46"/>
  <c r="AS82" i="46"/>
  <c r="AT82" i="46"/>
  <c r="BF82" i="46"/>
  <c r="BH82" i="46"/>
  <c r="B83" i="46"/>
  <c r="D83" i="46"/>
  <c r="N83" i="46"/>
  <c r="L83" i="46" s="1"/>
  <c r="Q83" i="46"/>
  <c r="R83" i="46"/>
  <c r="AJ83" i="46"/>
  <c r="AK83" i="46"/>
  <c r="AR83" i="46"/>
  <c r="AS83" i="46"/>
  <c r="AT83" i="46"/>
  <c r="BF83" i="46"/>
  <c r="BH83" i="46"/>
  <c r="N84" i="46"/>
  <c r="Q84" i="46"/>
  <c r="R84" i="46"/>
  <c r="AJ84" i="46"/>
  <c r="AK84" i="46"/>
  <c r="AO84" i="46"/>
  <c r="AP84" i="46"/>
  <c r="AQ84" i="46"/>
  <c r="AR84" i="46"/>
  <c r="AS84" i="46"/>
  <c r="AT84" i="46"/>
  <c r="BH84" i="46"/>
  <c r="B85" i="46"/>
  <c r="D85" i="46"/>
  <c r="N85" i="46"/>
  <c r="Q85" i="46"/>
  <c r="R85" i="46"/>
  <c r="AJ85" i="46"/>
  <c r="AK85" i="46"/>
  <c r="AP85" i="46"/>
  <c r="AQ85" i="46"/>
  <c r="AR85" i="46"/>
  <c r="AS85" i="46"/>
  <c r="AT85" i="46"/>
  <c r="BH85" i="46"/>
  <c r="B86" i="46"/>
  <c r="D86" i="46"/>
  <c r="N86" i="46"/>
  <c r="Q86" i="46"/>
  <c r="R86" i="46"/>
  <c r="AJ86" i="46"/>
  <c r="AK86" i="46"/>
  <c r="AR86" i="46"/>
  <c r="AS86" i="46"/>
  <c r="AT86" i="46"/>
  <c r="BH86" i="46"/>
  <c r="B87" i="46"/>
  <c r="D87" i="46"/>
  <c r="N87" i="46"/>
  <c r="Q87" i="46"/>
  <c r="R87" i="46"/>
  <c r="AJ87" i="46"/>
  <c r="AK87" i="46"/>
  <c r="AR87" i="46"/>
  <c r="AS87" i="46"/>
  <c r="AT87" i="46"/>
  <c r="BH87" i="46"/>
  <c r="B88" i="46"/>
  <c r="D88" i="46"/>
  <c r="N88" i="46"/>
  <c r="Q88" i="46"/>
  <c r="R88" i="46"/>
  <c r="AJ88" i="46"/>
  <c r="AK88" i="46"/>
  <c r="AR88" i="46"/>
  <c r="AS88" i="46"/>
  <c r="AT88" i="46"/>
  <c r="BH88" i="46"/>
  <c r="B89" i="46"/>
  <c r="D89" i="46"/>
  <c r="N89" i="46"/>
  <c r="Q89" i="46"/>
  <c r="R89" i="46"/>
  <c r="AJ89" i="46"/>
  <c r="AK89" i="46"/>
  <c r="AR89" i="46"/>
  <c r="AS89" i="46"/>
  <c r="AT89" i="46"/>
  <c r="BH89" i="46"/>
  <c r="B90" i="46"/>
  <c r="D90" i="46"/>
  <c r="N90" i="46"/>
  <c r="Q90" i="46"/>
  <c r="R90" i="46"/>
  <c r="AJ90" i="46"/>
  <c r="AK90" i="46"/>
  <c r="AR90" i="46"/>
  <c r="AS90" i="46"/>
  <c r="AT90" i="46"/>
  <c r="BH90" i="46"/>
  <c r="B91" i="46"/>
  <c r="D91" i="46"/>
  <c r="N91" i="46"/>
  <c r="Q91" i="46"/>
  <c r="R91" i="46"/>
  <c r="AJ91" i="46"/>
  <c r="AK91" i="46"/>
  <c r="AR91" i="46"/>
  <c r="AS91" i="46"/>
  <c r="AT91" i="46"/>
  <c r="BH91" i="46"/>
  <c r="B92" i="46"/>
  <c r="D92" i="46"/>
  <c r="N92" i="46"/>
  <c r="Q92" i="46"/>
  <c r="R92" i="46"/>
  <c r="AJ92" i="46"/>
  <c r="AK92" i="46"/>
  <c r="AR92" i="46"/>
  <c r="AS92" i="46"/>
  <c r="AT92" i="46"/>
  <c r="BH92" i="46"/>
  <c r="B93" i="46"/>
  <c r="D93" i="46"/>
  <c r="N93" i="46"/>
  <c r="Q93" i="46"/>
  <c r="R93" i="46"/>
  <c r="AJ93" i="46"/>
  <c r="AK93" i="46"/>
  <c r="AR93" i="46"/>
  <c r="AS93" i="46"/>
  <c r="AT93" i="46"/>
  <c r="BH93" i="46"/>
  <c r="B94" i="46"/>
  <c r="D94" i="46"/>
  <c r="N94" i="46"/>
  <c r="Q94" i="46"/>
  <c r="R94" i="46"/>
  <c r="AJ94" i="46"/>
  <c r="AK94" i="46"/>
  <c r="AR94" i="46"/>
  <c r="AS94" i="46"/>
  <c r="AT94" i="46"/>
  <c r="BH94" i="46"/>
  <c r="B95" i="46"/>
  <c r="D95" i="46"/>
  <c r="N95" i="46"/>
  <c r="Q95" i="46"/>
  <c r="R95" i="46"/>
  <c r="AJ95" i="46"/>
  <c r="AK95" i="46"/>
  <c r="AR95" i="46"/>
  <c r="AS95" i="46"/>
  <c r="AT95" i="46"/>
  <c r="BH95" i="46"/>
  <c r="B96" i="46"/>
  <c r="D96" i="46"/>
  <c r="N96" i="46"/>
  <c r="Q96" i="46"/>
  <c r="R96" i="46"/>
  <c r="AJ96" i="46"/>
  <c r="AK96" i="46"/>
  <c r="AR96" i="46"/>
  <c r="AS96" i="46"/>
  <c r="AT96" i="46"/>
  <c r="BH96" i="46"/>
  <c r="B97" i="46"/>
  <c r="D97" i="46"/>
  <c r="N97" i="46"/>
  <c r="Q97" i="46"/>
  <c r="R97" i="46"/>
  <c r="AJ97" i="46"/>
  <c r="AK97" i="46"/>
  <c r="AR97" i="46"/>
  <c r="AS97" i="46"/>
  <c r="AT97" i="46"/>
  <c r="BH97" i="46"/>
  <c r="B98" i="46"/>
  <c r="D98" i="46"/>
  <c r="N98" i="46"/>
  <c r="Q98" i="46"/>
  <c r="R98" i="46"/>
  <c r="AJ98" i="46"/>
  <c r="AK98" i="46"/>
  <c r="AR98" i="46"/>
  <c r="AS98" i="46"/>
  <c r="AT98" i="46"/>
  <c r="BH98" i="46"/>
  <c r="B99" i="46"/>
  <c r="D99" i="46"/>
  <c r="N99" i="46"/>
  <c r="Q99" i="46"/>
  <c r="R99" i="46"/>
  <c r="AJ99" i="46"/>
  <c r="AK99" i="46"/>
  <c r="AR99" i="46"/>
  <c r="AS99" i="46"/>
  <c r="AT99" i="46"/>
  <c r="BH99" i="46"/>
  <c r="B100" i="46"/>
  <c r="D100" i="46"/>
  <c r="N100" i="46"/>
  <c r="Q100" i="46"/>
  <c r="R100" i="46"/>
  <c r="AJ100" i="46"/>
  <c r="AK100" i="46"/>
  <c r="AR100" i="46"/>
  <c r="AS100" i="46"/>
  <c r="AT100" i="46"/>
  <c r="BH100" i="46"/>
  <c r="B101" i="46"/>
  <c r="D101" i="46"/>
  <c r="N101" i="46"/>
  <c r="H101" i="46" s="1"/>
  <c r="Q101" i="46"/>
  <c r="R101" i="46"/>
  <c r="AJ101" i="46"/>
  <c r="AK101" i="46"/>
  <c r="AP101" i="46"/>
  <c r="AQ101" i="46"/>
  <c r="AR101" i="46"/>
  <c r="AS101" i="46"/>
  <c r="AT101" i="46"/>
  <c r="BH101" i="46"/>
  <c r="B102" i="46"/>
  <c r="D102" i="46"/>
  <c r="N102" i="46"/>
  <c r="L102" i="46" s="1"/>
  <c r="Q102" i="46"/>
  <c r="R102" i="46"/>
  <c r="AJ102" i="46"/>
  <c r="AK102" i="46"/>
  <c r="AP102" i="46"/>
  <c r="AQ102" i="46"/>
  <c r="AR102" i="46"/>
  <c r="AS102" i="46"/>
  <c r="AT102" i="46"/>
  <c r="BH102" i="46"/>
  <c r="N103" i="46"/>
  <c r="Q103" i="46"/>
  <c r="R103" i="46"/>
  <c r="AJ103" i="46"/>
  <c r="AK103" i="46"/>
  <c r="AO103" i="46"/>
  <c r="AP103" i="46"/>
  <c r="AQ103" i="46"/>
  <c r="AR103" i="46"/>
  <c r="AS103" i="46"/>
  <c r="BG103" i="46" s="1"/>
  <c r="AT103" i="46"/>
  <c r="BH103" i="46"/>
  <c r="B104" i="46"/>
  <c r="D104" i="46"/>
  <c r="N104" i="46"/>
  <c r="H104" i="46" s="1"/>
  <c r="Q104" i="46"/>
  <c r="R104" i="46"/>
  <c r="AJ104" i="46"/>
  <c r="AK104" i="46"/>
  <c r="AP104" i="46"/>
  <c r="AR104" i="46"/>
  <c r="AS104" i="46"/>
  <c r="AT104" i="46"/>
  <c r="BF104" i="46"/>
  <c r="BH104" i="46"/>
  <c r="B105" i="46"/>
  <c r="D105" i="46"/>
  <c r="N105" i="46"/>
  <c r="H105" i="46" s="1"/>
  <c r="Q105" i="46"/>
  <c r="R105" i="46"/>
  <c r="AJ105" i="46"/>
  <c r="AK105" i="46"/>
  <c r="AP105" i="46"/>
  <c r="AR105" i="46"/>
  <c r="AS105" i="46"/>
  <c r="AT105" i="46"/>
  <c r="BF105" i="46"/>
  <c r="BH105" i="46"/>
  <c r="B106" i="46"/>
  <c r="D106" i="46"/>
  <c r="N106" i="46"/>
  <c r="Q106" i="46"/>
  <c r="R106" i="46"/>
  <c r="AJ106" i="46"/>
  <c r="AK106" i="46"/>
  <c r="AP106" i="46"/>
  <c r="AR106" i="46"/>
  <c r="AS106" i="46"/>
  <c r="AT106" i="46"/>
  <c r="BF106" i="46"/>
  <c r="BH106" i="46"/>
  <c r="B107" i="46"/>
  <c r="D107" i="46"/>
  <c r="N107" i="46"/>
  <c r="J107" i="46" s="1"/>
  <c r="Q107" i="46"/>
  <c r="R107" i="46"/>
  <c r="AJ107" i="46"/>
  <c r="AK107" i="46"/>
  <c r="AP107" i="46"/>
  <c r="AR107" i="46"/>
  <c r="AS107" i="46"/>
  <c r="AT107" i="46"/>
  <c r="BF107" i="46"/>
  <c r="BH107" i="46"/>
  <c r="B108" i="46"/>
  <c r="D108" i="46"/>
  <c r="N108" i="46"/>
  <c r="J108" i="46" s="1"/>
  <c r="Q108" i="46"/>
  <c r="R108" i="46"/>
  <c r="AJ108" i="46"/>
  <c r="AK108" i="46"/>
  <c r="AP108" i="46"/>
  <c r="AQ108" i="46"/>
  <c r="AR108" i="46"/>
  <c r="AS108" i="46"/>
  <c r="AT108" i="46"/>
  <c r="BF108" i="46"/>
  <c r="BH108" i="46"/>
  <c r="B109" i="46"/>
  <c r="D109" i="46"/>
  <c r="N109" i="46"/>
  <c r="H109" i="46" s="1"/>
  <c r="Q109" i="46"/>
  <c r="R109" i="46"/>
  <c r="AJ109" i="46"/>
  <c r="AK109" i="46"/>
  <c r="AP109" i="46"/>
  <c r="AQ109" i="46"/>
  <c r="AR109" i="46"/>
  <c r="AS109" i="46"/>
  <c r="AT109" i="46"/>
  <c r="BF109" i="46"/>
  <c r="BH109" i="46"/>
  <c r="B110" i="46"/>
  <c r="D110" i="46"/>
  <c r="N110" i="46"/>
  <c r="H110" i="46" s="1"/>
  <c r="Q110" i="46"/>
  <c r="R110" i="46"/>
  <c r="AJ110" i="46"/>
  <c r="AK110" i="46"/>
  <c r="AP110" i="46"/>
  <c r="AQ110" i="46"/>
  <c r="AR110" i="46"/>
  <c r="AS110" i="46"/>
  <c r="AT110" i="46"/>
  <c r="BF110" i="46"/>
  <c r="BH110" i="46"/>
  <c r="B111" i="46"/>
  <c r="D111" i="46"/>
  <c r="N111" i="46"/>
  <c r="H111" i="46" s="1"/>
  <c r="Q111" i="46"/>
  <c r="R111" i="46"/>
  <c r="AJ111" i="46"/>
  <c r="AK111" i="46"/>
  <c r="AP111" i="46"/>
  <c r="AQ111" i="46"/>
  <c r="AR111" i="46"/>
  <c r="AS111" i="46"/>
  <c r="AT111" i="46"/>
  <c r="BF111" i="46"/>
  <c r="BH111" i="46"/>
  <c r="B112" i="46"/>
  <c r="D112" i="46"/>
  <c r="N112" i="46"/>
  <c r="H112" i="46" s="1"/>
  <c r="Q112" i="46"/>
  <c r="R112" i="46"/>
  <c r="AJ112" i="46"/>
  <c r="AK112" i="46"/>
  <c r="AP112" i="46"/>
  <c r="AR112" i="46"/>
  <c r="AS112" i="46"/>
  <c r="AT112" i="46"/>
  <c r="BF112" i="46"/>
  <c r="BH112" i="46"/>
  <c r="B113" i="46"/>
  <c r="D113" i="46"/>
  <c r="N113" i="46"/>
  <c r="H113" i="46" s="1"/>
  <c r="Q113" i="46"/>
  <c r="R113" i="46"/>
  <c r="AJ113" i="46"/>
  <c r="AK113" i="46"/>
  <c r="AP113" i="46"/>
  <c r="AR113" i="46"/>
  <c r="AS113" i="46"/>
  <c r="AT113" i="46"/>
  <c r="BF113" i="46"/>
  <c r="BH113" i="46"/>
  <c r="B114" i="46"/>
  <c r="D114" i="46"/>
  <c r="N114" i="46"/>
  <c r="L114" i="46" s="1"/>
  <c r="Q114" i="46"/>
  <c r="R114" i="46"/>
  <c r="AJ114" i="46"/>
  <c r="AK114" i="46"/>
  <c r="AP114" i="46"/>
  <c r="AR114" i="46"/>
  <c r="AS114" i="46"/>
  <c r="AT114" i="46"/>
  <c r="BF114" i="46"/>
  <c r="BH114" i="46"/>
  <c r="B115" i="46"/>
  <c r="D115" i="46"/>
  <c r="N115" i="46"/>
  <c r="H115" i="46" s="1"/>
  <c r="Q115" i="46"/>
  <c r="R115" i="46"/>
  <c r="AJ115" i="46"/>
  <c r="AK115" i="46"/>
  <c r="AP115" i="46"/>
  <c r="AR115" i="46"/>
  <c r="AS115" i="46"/>
  <c r="AT115" i="46"/>
  <c r="BF115" i="46"/>
  <c r="BH115" i="46"/>
  <c r="B116" i="46"/>
  <c r="D116" i="46"/>
  <c r="N116" i="46"/>
  <c r="L116" i="46" s="1"/>
  <c r="Q116" i="46"/>
  <c r="R116" i="46"/>
  <c r="AJ116" i="46"/>
  <c r="AK116" i="46"/>
  <c r="AP116" i="46"/>
  <c r="AQ116" i="46"/>
  <c r="AR116" i="46"/>
  <c r="AS116" i="46"/>
  <c r="AT116" i="46"/>
  <c r="BF116" i="46"/>
  <c r="BH116" i="46"/>
  <c r="B117" i="46"/>
  <c r="D117" i="46"/>
  <c r="N117" i="46"/>
  <c r="H117" i="46" s="1"/>
  <c r="Q117" i="46"/>
  <c r="R117" i="46"/>
  <c r="AJ117" i="46"/>
  <c r="AK117" i="46"/>
  <c r="AP117" i="46"/>
  <c r="AQ117" i="46"/>
  <c r="AR117" i="46"/>
  <c r="AS117" i="46"/>
  <c r="AT117" i="46"/>
  <c r="BF117" i="46"/>
  <c r="BH117" i="46"/>
  <c r="B118" i="46"/>
  <c r="D118" i="46"/>
  <c r="N118" i="46"/>
  <c r="H118" i="46" s="1"/>
  <c r="Q118" i="46"/>
  <c r="R118" i="46"/>
  <c r="AJ118" i="46"/>
  <c r="AK118" i="46"/>
  <c r="AP118" i="46"/>
  <c r="AQ118" i="46"/>
  <c r="AR118" i="46"/>
  <c r="AS118" i="46"/>
  <c r="AT118" i="46"/>
  <c r="BF118" i="46"/>
  <c r="BH118" i="46"/>
  <c r="B119" i="46"/>
  <c r="D119" i="46"/>
  <c r="N119" i="46"/>
  <c r="J119" i="46" s="1"/>
  <c r="Q119" i="46"/>
  <c r="R119" i="46"/>
  <c r="AJ119" i="46"/>
  <c r="AK119" i="46"/>
  <c r="AP119" i="46"/>
  <c r="AQ119" i="46"/>
  <c r="AR119" i="46"/>
  <c r="AS119" i="46"/>
  <c r="AT119" i="46"/>
  <c r="BF119" i="46"/>
  <c r="BH119" i="46"/>
  <c r="B120" i="46"/>
  <c r="D120" i="46"/>
  <c r="N120" i="46"/>
  <c r="H120" i="46" s="1"/>
  <c r="Q120" i="46"/>
  <c r="R120" i="46"/>
  <c r="AJ120" i="46"/>
  <c r="AK120" i="46"/>
  <c r="AP120" i="46"/>
  <c r="AQ120" i="46"/>
  <c r="AR120" i="46"/>
  <c r="AS120" i="46"/>
  <c r="AT120" i="46"/>
  <c r="BF120" i="46"/>
  <c r="BH120" i="46"/>
  <c r="B121" i="46"/>
  <c r="D121" i="46"/>
  <c r="N121" i="46"/>
  <c r="L121" i="46" s="1"/>
  <c r="Q121" i="46"/>
  <c r="R121" i="46"/>
  <c r="AJ121" i="46"/>
  <c r="AK121" i="46"/>
  <c r="AP121" i="46"/>
  <c r="AQ121" i="46"/>
  <c r="AR121" i="46"/>
  <c r="AS121" i="46"/>
  <c r="AT121" i="46"/>
  <c r="BF121" i="46"/>
  <c r="BH121" i="46"/>
  <c r="B122" i="46"/>
  <c r="D122" i="46"/>
  <c r="N122" i="46"/>
  <c r="Q122" i="46"/>
  <c r="R122" i="46"/>
  <c r="AJ122" i="46"/>
  <c r="AK122" i="46"/>
  <c r="AP122" i="46"/>
  <c r="AQ122" i="46"/>
  <c r="AR122" i="46"/>
  <c r="AS122" i="46"/>
  <c r="AT122" i="46"/>
  <c r="BF122" i="46"/>
  <c r="BH122" i="46"/>
  <c r="B123" i="46"/>
  <c r="D123" i="46"/>
  <c r="N123" i="46"/>
  <c r="H123" i="46" s="1"/>
  <c r="Q123" i="46"/>
  <c r="R123" i="46"/>
  <c r="AJ123" i="46"/>
  <c r="AK123" i="46"/>
  <c r="AP123" i="46"/>
  <c r="AQ123" i="46"/>
  <c r="AR123" i="46"/>
  <c r="AS123" i="46"/>
  <c r="AT123" i="46"/>
  <c r="BF123" i="46"/>
  <c r="BH123" i="46"/>
  <c r="B124" i="46"/>
  <c r="D124" i="46"/>
  <c r="N124" i="46"/>
  <c r="H124" i="46" s="1"/>
  <c r="Q124" i="46"/>
  <c r="R124" i="46"/>
  <c r="AJ124" i="46"/>
  <c r="AK124" i="46"/>
  <c r="AP124" i="46"/>
  <c r="AR124" i="46"/>
  <c r="AS124" i="46"/>
  <c r="AT124" i="46"/>
  <c r="BF124" i="46"/>
  <c r="BH124" i="46"/>
  <c r="B125" i="46"/>
  <c r="D125" i="46"/>
  <c r="N125" i="46"/>
  <c r="H125" i="46" s="1"/>
  <c r="Q125" i="46"/>
  <c r="R125" i="46"/>
  <c r="AJ125" i="46"/>
  <c r="AK125" i="46"/>
  <c r="AP125" i="46"/>
  <c r="AR125" i="46"/>
  <c r="AS125" i="46"/>
  <c r="AT125" i="46"/>
  <c r="BF125" i="46"/>
  <c r="BH125" i="46"/>
  <c r="B126" i="46"/>
  <c r="D126" i="46"/>
  <c r="N126" i="46"/>
  <c r="J126" i="46" s="1"/>
  <c r="Q126" i="46"/>
  <c r="R126" i="46"/>
  <c r="AJ126" i="46"/>
  <c r="AK126" i="46"/>
  <c r="AR126" i="46"/>
  <c r="AS126" i="46"/>
  <c r="AT126" i="46"/>
  <c r="BF126" i="46"/>
  <c r="BH126" i="46"/>
  <c r="B127" i="46"/>
  <c r="D127" i="46"/>
  <c r="N127" i="46"/>
  <c r="J127" i="46" s="1"/>
  <c r="Q127" i="46"/>
  <c r="R127" i="46"/>
  <c r="AJ127" i="46"/>
  <c r="AK127" i="46"/>
  <c r="AR127" i="46"/>
  <c r="AS127" i="46"/>
  <c r="AT127" i="46"/>
  <c r="BF127" i="46"/>
  <c r="BH127" i="46"/>
  <c r="B128" i="46"/>
  <c r="D128" i="46"/>
  <c r="N128" i="46"/>
  <c r="H128" i="46" s="1"/>
  <c r="Q128" i="46"/>
  <c r="R128" i="46"/>
  <c r="AJ128" i="46"/>
  <c r="AK128" i="46"/>
  <c r="AR128" i="46"/>
  <c r="AS128" i="46"/>
  <c r="AT128" i="46"/>
  <c r="BF128" i="46"/>
  <c r="BH128" i="46"/>
  <c r="B129" i="46"/>
  <c r="D129" i="46"/>
  <c r="N129" i="46"/>
  <c r="H129" i="46" s="1"/>
  <c r="Q129" i="46"/>
  <c r="R129" i="46"/>
  <c r="AJ129" i="46"/>
  <c r="AK129" i="46"/>
  <c r="AR129" i="46"/>
  <c r="AS129" i="46"/>
  <c r="AT129" i="46"/>
  <c r="BF129" i="46"/>
  <c r="BH129" i="46"/>
  <c r="B130" i="46"/>
  <c r="D130" i="46"/>
  <c r="N130" i="46"/>
  <c r="Q130" i="46"/>
  <c r="R130" i="46"/>
  <c r="AJ130" i="46"/>
  <c r="AK130" i="46"/>
  <c r="AR130" i="46"/>
  <c r="AS130" i="46"/>
  <c r="AT130" i="46"/>
  <c r="BF130" i="46"/>
  <c r="BH130" i="46"/>
  <c r="B131" i="46"/>
  <c r="D131" i="46"/>
  <c r="N131" i="46"/>
  <c r="Q131" i="46"/>
  <c r="R131" i="46"/>
  <c r="AJ131" i="46"/>
  <c r="AK131" i="46"/>
  <c r="AR131" i="46"/>
  <c r="AS131" i="46"/>
  <c r="AT131" i="46"/>
  <c r="BF131" i="46"/>
  <c r="BH131" i="46"/>
  <c r="B132" i="46"/>
  <c r="D132" i="46"/>
  <c r="N132" i="46"/>
  <c r="H132" i="46" s="1"/>
  <c r="Q132" i="46"/>
  <c r="R132" i="46"/>
  <c r="AJ132" i="46"/>
  <c r="AK132" i="46"/>
  <c r="AR132" i="46"/>
  <c r="AS132" i="46"/>
  <c r="AT132" i="46"/>
  <c r="BF132" i="46"/>
  <c r="BH132" i="46"/>
  <c r="B133" i="46"/>
  <c r="D133" i="46"/>
  <c r="N133" i="46"/>
  <c r="H133" i="46" s="1"/>
  <c r="Q133" i="46"/>
  <c r="R133" i="46"/>
  <c r="AJ133" i="46"/>
  <c r="AK133" i="46"/>
  <c r="AR133" i="46"/>
  <c r="AS133" i="46"/>
  <c r="AT133" i="46"/>
  <c r="BF133" i="46"/>
  <c r="BH133" i="46"/>
  <c r="N134" i="46"/>
  <c r="Q134" i="46"/>
  <c r="R134" i="46"/>
  <c r="AJ134" i="46"/>
  <c r="AK134" i="46"/>
  <c r="AO134" i="46"/>
  <c r="AP134" i="46"/>
  <c r="AQ134" i="46"/>
  <c r="AR134" i="46"/>
  <c r="AS134" i="46"/>
  <c r="F134" i="46" s="1"/>
  <c r="AT134" i="46"/>
  <c r="BH134" i="46"/>
  <c r="B135" i="46"/>
  <c r="D135" i="46"/>
  <c r="N135" i="46"/>
  <c r="L135" i="46" s="1"/>
  <c r="Q135" i="46"/>
  <c r="R135" i="46"/>
  <c r="AJ135" i="46"/>
  <c r="AK135" i="46"/>
  <c r="AR135" i="46"/>
  <c r="AS135" i="46"/>
  <c r="AT135" i="46"/>
  <c r="BF135" i="46"/>
  <c r="BH135" i="46"/>
  <c r="B136" i="46"/>
  <c r="D136" i="46"/>
  <c r="N136" i="46"/>
  <c r="H136" i="46" s="1"/>
  <c r="Q136" i="46"/>
  <c r="R136" i="46"/>
  <c r="AJ136" i="46"/>
  <c r="AK136" i="46"/>
  <c r="AR136" i="46"/>
  <c r="AS136" i="46"/>
  <c r="AT136" i="46"/>
  <c r="BF136" i="46"/>
  <c r="BH136" i="46"/>
  <c r="N137" i="46"/>
  <c r="Q137" i="46"/>
  <c r="R137" i="46"/>
  <c r="AJ137" i="46"/>
  <c r="AK137" i="46"/>
  <c r="AO137" i="46"/>
  <c r="AP137" i="46"/>
  <c r="AQ137" i="46"/>
  <c r="AR137" i="46"/>
  <c r="AS137" i="46"/>
  <c r="BG137" i="46" s="1"/>
  <c r="AT137" i="46"/>
  <c r="BH137" i="46"/>
  <c r="B138" i="46"/>
  <c r="D138" i="46"/>
  <c r="N138" i="46"/>
  <c r="Q138" i="46"/>
  <c r="R138" i="46"/>
  <c r="AJ138" i="46"/>
  <c r="AK138" i="46"/>
  <c r="AR138" i="46"/>
  <c r="AS138" i="46"/>
  <c r="AT138" i="46"/>
  <c r="BH138" i="46"/>
  <c r="B140" i="46"/>
  <c r="D140" i="46"/>
  <c r="N140" i="46"/>
  <c r="Q140" i="46"/>
  <c r="R140" i="46"/>
  <c r="AJ140" i="46"/>
  <c r="AK140" i="46"/>
  <c r="AR140" i="46"/>
  <c r="AS140" i="46"/>
  <c r="AT140" i="46"/>
  <c r="BH140" i="46"/>
  <c r="B141" i="46"/>
  <c r="D141" i="46"/>
  <c r="N141" i="46"/>
  <c r="Q141" i="46"/>
  <c r="R141" i="46"/>
  <c r="AJ141" i="46"/>
  <c r="AK141" i="46"/>
  <c r="AR141" i="46"/>
  <c r="AS141" i="46"/>
  <c r="AT141" i="46"/>
  <c r="BH141" i="46"/>
  <c r="B142" i="46"/>
  <c r="D142" i="46"/>
  <c r="N142" i="46"/>
  <c r="Q142" i="46"/>
  <c r="R142" i="46"/>
  <c r="AJ142" i="46"/>
  <c r="AK142" i="46"/>
  <c r="AR142" i="46"/>
  <c r="AS142" i="46"/>
  <c r="AT142" i="46"/>
  <c r="BH142" i="46"/>
  <c r="N143" i="46"/>
  <c r="Q143" i="46"/>
  <c r="R143" i="46"/>
  <c r="AJ143" i="46"/>
  <c r="AK143" i="46"/>
  <c r="AO143" i="46"/>
  <c r="AQ143" i="46"/>
  <c r="AR143" i="46"/>
  <c r="AS143" i="46"/>
  <c r="BG143" i="46" s="1"/>
  <c r="AT143" i="46"/>
  <c r="BH143" i="46"/>
  <c r="B144" i="46"/>
  <c r="D144" i="46"/>
  <c r="N144" i="46"/>
  <c r="J144" i="46" s="1"/>
  <c r="Q144" i="46"/>
  <c r="R144" i="46"/>
  <c r="AJ144" i="46"/>
  <c r="AK144" i="46"/>
  <c r="AP144" i="46"/>
  <c r="AQ144" i="46"/>
  <c r="AR144" i="46"/>
  <c r="AS144" i="46"/>
  <c r="AT144" i="46"/>
  <c r="BH144" i="46"/>
  <c r="B145" i="46"/>
  <c r="D145" i="46"/>
  <c r="N145" i="46"/>
  <c r="Q145" i="46"/>
  <c r="R145" i="46"/>
  <c r="AJ145" i="46"/>
  <c r="AK145" i="46"/>
  <c r="AP145" i="46"/>
  <c r="AQ145" i="46"/>
  <c r="AR145" i="46"/>
  <c r="AS145" i="46"/>
  <c r="F145" i="46" s="1"/>
  <c r="AT145" i="46"/>
  <c r="BH145" i="46"/>
  <c r="B146" i="46"/>
  <c r="D146" i="46"/>
  <c r="N146" i="46"/>
  <c r="L146" i="46" s="1"/>
  <c r="Q146" i="46"/>
  <c r="R146" i="46"/>
  <c r="AJ146" i="46"/>
  <c r="AK146" i="46"/>
  <c r="AP146" i="46"/>
  <c r="AQ146" i="46"/>
  <c r="AR146" i="46"/>
  <c r="AS146" i="46"/>
  <c r="AT146" i="46"/>
  <c r="BH146" i="46"/>
  <c r="B147" i="46"/>
  <c r="D147" i="46"/>
  <c r="N147" i="46"/>
  <c r="Q147" i="46"/>
  <c r="R147" i="46"/>
  <c r="AJ147" i="46"/>
  <c r="AK147" i="46"/>
  <c r="AP147" i="46"/>
  <c r="AQ147" i="46"/>
  <c r="AR147" i="46"/>
  <c r="AS147" i="46"/>
  <c r="AT147" i="46"/>
  <c r="BH147" i="46"/>
  <c r="B148" i="46"/>
  <c r="D148" i="46"/>
  <c r="N148" i="46"/>
  <c r="H148" i="46" s="1"/>
  <c r="Q148" i="46"/>
  <c r="R148" i="46"/>
  <c r="AJ148" i="46"/>
  <c r="AK148" i="46"/>
  <c r="AP148" i="46"/>
  <c r="AQ148" i="46"/>
  <c r="AR148" i="46"/>
  <c r="AS148" i="46"/>
  <c r="AT148" i="46"/>
  <c r="BH148" i="46"/>
  <c r="N149" i="46"/>
  <c r="Q149" i="46"/>
  <c r="R149" i="46"/>
  <c r="AJ149" i="46"/>
  <c r="AK149" i="46"/>
  <c r="AO149" i="46"/>
  <c r="AP149" i="46"/>
  <c r="AQ149" i="46"/>
  <c r="AR149" i="46"/>
  <c r="AS149" i="46"/>
  <c r="BG149" i="46" s="1"/>
  <c r="AT149" i="46"/>
  <c r="BH149" i="46"/>
  <c r="B150" i="46"/>
  <c r="D150" i="46"/>
  <c r="N150" i="46"/>
  <c r="H150" i="46" s="1"/>
  <c r="Q150" i="46"/>
  <c r="R150" i="46"/>
  <c r="AJ150" i="46"/>
  <c r="AK150" i="46"/>
  <c r="AP150" i="46"/>
  <c r="AQ150" i="46"/>
  <c r="AR150" i="46"/>
  <c r="AS150" i="46"/>
  <c r="BG150" i="46" s="1"/>
  <c r="AT150" i="46"/>
  <c r="BH150" i="46"/>
  <c r="B151" i="46"/>
  <c r="D151" i="46"/>
  <c r="N151" i="46"/>
  <c r="J151" i="46" s="1"/>
  <c r="Q151" i="46"/>
  <c r="R151" i="46"/>
  <c r="AJ151" i="46"/>
  <c r="AK151" i="46"/>
  <c r="AP151" i="46"/>
  <c r="AQ151" i="46"/>
  <c r="AR151" i="46"/>
  <c r="AS151" i="46"/>
  <c r="AT151" i="46"/>
  <c r="B152" i="46"/>
  <c r="D152" i="46"/>
  <c r="N152" i="46"/>
  <c r="H152" i="46" s="1"/>
  <c r="Q152" i="46"/>
  <c r="R152" i="46"/>
  <c r="AJ152" i="46"/>
  <c r="AK152" i="46"/>
  <c r="AP152" i="46"/>
  <c r="AQ152" i="46"/>
  <c r="AR152" i="46"/>
  <c r="AS152" i="46"/>
  <c r="AT152" i="46"/>
  <c r="B153" i="46"/>
  <c r="D153" i="46"/>
  <c r="N153" i="46"/>
  <c r="H153" i="46" s="1"/>
  <c r="Q153" i="46"/>
  <c r="R153" i="46"/>
  <c r="AJ153" i="46"/>
  <c r="AK153" i="46"/>
  <c r="AP153" i="46"/>
  <c r="AQ153" i="46"/>
  <c r="AR153" i="46"/>
  <c r="AS153" i="46"/>
  <c r="AT153" i="46"/>
  <c r="BH153" i="46"/>
  <c r="B154" i="46"/>
  <c r="D154" i="46"/>
  <c r="N154" i="46"/>
  <c r="H154" i="46" s="1"/>
  <c r="Q154" i="46"/>
  <c r="R154" i="46"/>
  <c r="AJ154" i="46"/>
  <c r="AK154" i="46"/>
  <c r="AP154" i="46"/>
  <c r="AQ154" i="46"/>
  <c r="AR154" i="46"/>
  <c r="AS154" i="46"/>
  <c r="AT154" i="46"/>
  <c r="BH154" i="46"/>
  <c r="B155" i="46"/>
  <c r="D155" i="46"/>
  <c r="N155" i="46"/>
  <c r="L155" i="46" s="1"/>
  <c r="Q155" i="46"/>
  <c r="R155" i="46"/>
  <c r="AJ155" i="46"/>
  <c r="AK155" i="46"/>
  <c r="AP155" i="46"/>
  <c r="AQ155" i="46"/>
  <c r="AR155" i="46"/>
  <c r="AS155" i="46"/>
  <c r="AT155" i="46"/>
  <c r="BH155" i="46"/>
  <c r="B156" i="46"/>
  <c r="D156" i="46"/>
  <c r="N156" i="46"/>
  <c r="L156" i="46" s="1"/>
  <c r="Q156" i="46"/>
  <c r="R156" i="46"/>
  <c r="AJ156" i="46"/>
  <c r="AK156" i="46"/>
  <c r="AP156" i="46"/>
  <c r="AQ156" i="46"/>
  <c r="AR156" i="46"/>
  <c r="AS156" i="46"/>
  <c r="AT156" i="46"/>
  <c r="BH156" i="46"/>
  <c r="B157" i="46"/>
  <c r="D157" i="46"/>
  <c r="N157" i="46"/>
  <c r="H157" i="46" s="1"/>
  <c r="Q157" i="46"/>
  <c r="R157" i="46"/>
  <c r="AJ157" i="46"/>
  <c r="AK157" i="46"/>
  <c r="AQ157" i="46"/>
  <c r="AR157" i="46"/>
  <c r="AS157" i="46"/>
  <c r="AT157" i="46"/>
  <c r="BH157" i="46"/>
  <c r="B158" i="46"/>
  <c r="D158" i="46"/>
  <c r="N158" i="46"/>
  <c r="H158" i="46" s="1"/>
  <c r="Q158" i="46"/>
  <c r="R158" i="46"/>
  <c r="AJ158" i="46"/>
  <c r="AK158" i="46"/>
  <c r="AQ158" i="46"/>
  <c r="AR158" i="46"/>
  <c r="AS158" i="46"/>
  <c r="AT158" i="46"/>
  <c r="BH158" i="46"/>
  <c r="N159" i="46"/>
  <c r="Q159" i="46"/>
  <c r="R159" i="46"/>
  <c r="AJ159" i="46"/>
  <c r="AK159" i="46"/>
  <c r="AO159" i="46"/>
  <c r="AP159" i="46"/>
  <c r="AQ159" i="46"/>
  <c r="AR159" i="46"/>
  <c r="AS159" i="46"/>
  <c r="BG159" i="46" s="1"/>
  <c r="AT159" i="46"/>
  <c r="BH159" i="46"/>
  <c r="B160" i="46"/>
  <c r="D160" i="46"/>
  <c r="N160" i="46"/>
  <c r="J160" i="46" s="1"/>
  <c r="Q160" i="46"/>
  <c r="R160" i="46"/>
  <c r="AJ160" i="46"/>
  <c r="AK160" i="46"/>
  <c r="AP160" i="46"/>
  <c r="AQ160" i="46"/>
  <c r="AR160" i="46"/>
  <c r="AS160" i="46"/>
  <c r="AT160" i="46"/>
  <c r="BH160" i="46"/>
  <c r="B161" i="46"/>
  <c r="D161" i="46"/>
  <c r="N161" i="46"/>
  <c r="H161" i="46" s="1"/>
  <c r="Q161" i="46"/>
  <c r="R161" i="46"/>
  <c r="AJ161" i="46"/>
  <c r="AK161" i="46"/>
  <c r="AP161" i="46"/>
  <c r="AQ161" i="46"/>
  <c r="AR161" i="46"/>
  <c r="AS161" i="46"/>
  <c r="AT161" i="46"/>
  <c r="BH161" i="46"/>
  <c r="N162" i="46"/>
  <c r="Q162" i="46"/>
  <c r="R162" i="46"/>
  <c r="AJ162" i="46"/>
  <c r="AK162" i="46"/>
  <c r="AO162" i="46"/>
  <c r="AP162" i="46"/>
  <c r="AQ162" i="46"/>
  <c r="AR162" i="46"/>
  <c r="AS162" i="46"/>
  <c r="BG162" i="46" s="1"/>
  <c r="AT162" i="46"/>
  <c r="BH162" i="46"/>
  <c r="B163" i="46"/>
  <c r="D163" i="46"/>
  <c r="N163" i="46"/>
  <c r="Q163" i="46"/>
  <c r="R163" i="46"/>
  <c r="AJ163" i="46"/>
  <c r="AK163" i="46"/>
  <c r="AP163" i="46"/>
  <c r="AQ163" i="46"/>
  <c r="AR163" i="46"/>
  <c r="AS163" i="46"/>
  <c r="AT163" i="46"/>
  <c r="BH163" i="46"/>
  <c r="B164" i="46"/>
  <c r="D164" i="46"/>
  <c r="N164" i="46"/>
  <c r="J164" i="46" s="1"/>
  <c r="Q164" i="46"/>
  <c r="R164" i="46"/>
  <c r="AJ164" i="46"/>
  <c r="AK164" i="46"/>
  <c r="AP164" i="46"/>
  <c r="AQ164" i="46"/>
  <c r="AR164" i="46"/>
  <c r="AS164" i="46"/>
  <c r="AT164" i="46"/>
  <c r="BH164" i="46"/>
  <c r="B165" i="46"/>
  <c r="D165" i="46"/>
  <c r="N165" i="46"/>
  <c r="Q165" i="46"/>
  <c r="AJ165" i="46"/>
  <c r="AK165" i="46"/>
  <c r="AP165" i="46"/>
  <c r="AQ165" i="46"/>
  <c r="AR165" i="46"/>
  <c r="AS165" i="46"/>
  <c r="AT165" i="46"/>
  <c r="BH165" i="46"/>
  <c r="B166" i="46"/>
  <c r="D166" i="46"/>
  <c r="N166" i="46"/>
  <c r="Q166" i="46"/>
  <c r="AJ166" i="46"/>
  <c r="AK166" i="46"/>
  <c r="AQ166" i="46"/>
  <c r="AR166" i="46"/>
  <c r="AS166" i="46"/>
  <c r="AT166" i="46"/>
  <c r="BH166" i="46"/>
  <c r="B167" i="46"/>
  <c r="D167" i="46"/>
  <c r="N167" i="46"/>
  <c r="Q167" i="46"/>
  <c r="AJ167" i="46"/>
  <c r="AK167" i="46"/>
  <c r="AQ167" i="46"/>
  <c r="AR167" i="46"/>
  <c r="AS167" i="46"/>
  <c r="AT167" i="46"/>
  <c r="BH167" i="46"/>
  <c r="B168" i="46"/>
  <c r="D168" i="46"/>
  <c r="N168" i="46"/>
  <c r="Q168" i="46"/>
  <c r="AJ168" i="46"/>
  <c r="AK168" i="46"/>
  <c r="AQ168" i="46"/>
  <c r="AR168" i="46"/>
  <c r="AS168" i="46"/>
  <c r="AT168" i="46"/>
  <c r="BH168" i="46"/>
  <c r="B169" i="46"/>
  <c r="D169" i="46"/>
  <c r="N169" i="46"/>
  <c r="Q169" i="46"/>
  <c r="AJ169" i="46"/>
  <c r="AK169" i="46"/>
  <c r="AQ169" i="46"/>
  <c r="AR169" i="46"/>
  <c r="AS169" i="46"/>
  <c r="AT169" i="46"/>
  <c r="BH169" i="46"/>
  <c r="B170" i="46"/>
  <c r="D170" i="46"/>
  <c r="N170" i="46"/>
  <c r="Q170" i="46"/>
  <c r="AJ170" i="46"/>
  <c r="AK170" i="46"/>
  <c r="AQ170" i="46"/>
  <c r="AR170" i="46"/>
  <c r="AS170" i="46"/>
  <c r="AT170" i="46"/>
  <c r="BH170" i="46"/>
  <c r="B171" i="46"/>
  <c r="D171" i="46"/>
  <c r="N171" i="46"/>
  <c r="Q171" i="46"/>
  <c r="AJ171" i="46"/>
  <c r="AK171" i="46"/>
  <c r="AQ171" i="46"/>
  <c r="AR171" i="46"/>
  <c r="AS171" i="46"/>
  <c r="AT171" i="46"/>
  <c r="BH171" i="46"/>
  <c r="B172" i="46"/>
  <c r="D172" i="46"/>
  <c r="N172" i="46"/>
  <c r="Q172" i="46"/>
  <c r="R172" i="46"/>
  <c r="AJ172" i="46"/>
  <c r="AK172" i="46"/>
  <c r="AQ172" i="46"/>
  <c r="AR172" i="46"/>
  <c r="AS172" i="46"/>
  <c r="AT172" i="46"/>
  <c r="BH172" i="46"/>
  <c r="B173" i="46"/>
  <c r="D173" i="46"/>
  <c r="N173" i="46"/>
  <c r="Q173" i="46"/>
  <c r="R173" i="46"/>
  <c r="AJ173" i="46"/>
  <c r="AK173" i="46"/>
  <c r="AQ173" i="46"/>
  <c r="AR173" i="46"/>
  <c r="AS173" i="46"/>
  <c r="AT173" i="46"/>
  <c r="BH173" i="46"/>
  <c r="N174" i="46"/>
  <c r="Q174" i="46"/>
  <c r="R174" i="46"/>
  <c r="AJ174" i="46"/>
  <c r="AK174" i="46"/>
  <c r="AO174" i="46"/>
  <c r="AQ174" i="46"/>
  <c r="AR174" i="46"/>
  <c r="AS174" i="46"/>
  <c r="F174" i="46" s="1"/>
  <c r="AT174" i="46"/>
  <c r="BH174" i="46"/>
  <c r="B175" i="46"/>
  <c r="D175" i="46"/>
  <c r="N175" i="46"/>
  <c r="H175" i="46" s="1"/>
  <c r="Q175" i="46"/>
  <c r="R175" i="46"/>
  <c r="AJ175" i="46"/>
  <c r="AK175" i="46"/>
  <c r="AP175" i="46"/>
  <c r="AQ175" i="46"/>
  <c r="AR175" i="46"/>
  <c r="AS175" i="46"/>
  <c r="AT175" i="46"/>
  <c r="BH175" i="46"/>
  <c r="B176" i="46"/>
  <c r="D176" i="46"/>
  <c r="N176" i="46"/>
  <c r="H176" i="46" s="1"/>
  <c r="Q176" i="46"/>
  <c r="R176" i="46"/>
  <c r="AJ176" i="46"/>
  <c r="AK176" i="46"/>
  <c r="AP176" i="46"/>
  <c r="AQ176" i="46"/>
  <c r="AR176" i="46"/>
  <c r="AS176" i="46"/>
  <c r="AT176" i="46"/>
  <c r="BF176" i="46"/>
  <c r="BH176" i="46"/>
  <c r="B177" i="46"/>
  <c r="D177" i="46"/>
  <c r="N177" i="46"/>
  <c r="H177" i="46" s="1"/>
  <c r="Q177" i="46"/>
  <c r="R177" i="46"/>
  <c r="AJ177" i="46"/>
  <c r="AK177" i="46"/>
  <c r="AP177" i="46"/>
  <c r="AQ177" i="46"/>
  <c r="AR177" i="46"/>
  <c r="AS177" i="46"/>
  <c r="AT177" i="46"/>
  <c r="BF177" i="46"/>
  <c r="BH177" i="46"/>
  <c r="N178" i="46"/>
  <c r="Q178" i="46"/>
  <c r="R178" i="46"/>
  <c r="AJ178" i="46"/>
  <c r="AK178" i="46"/>
  <c r="AO178" i="46"/>
  <c r="AP178" i="46"/>
  <c r="AQ178" i="46"/>
  <c r="AR178" i="46"/>
  <c r="AS178" i="46"/>
  <c r="F178" i="46" s="1"/>
  <c r="AT178" i="46"/>
  <c r="BH178" i="46"/>
  <c r="B179" i="46"/>
  <c r="D179" i="46"/>
  <c r="N179" i="46"/>
  <c r="L179" i="46" s="1"/>
  <c r="Q179" i="46"/>
  <c r="R179" i="46"/>
  <c r="AJ179" i="46"/>
  <c r="AK179" i="46"/>
  <c r="AP179" i="46"/>
  <c r="AQ179" i="46"/>
  <c r="AR179" i="46"/>
  <c r="AS179" i="46"/>
  <c r="AT179" i="46"/>
  <c r="BH179" i="46"/>
  <c r="B180" i="46"/>
  <c r="D180" i="46"/>
  <c r="N180" i="46"/>
  <c r="J180" i="46" s="1"/>
  <c r="Q180" i="46"/>
  <c r="R180" i="46"/>
  <c r="AJ180" i="46"/>
  <c r="AK180" i="46"/>
  <c r="AP180" i="46"/>
  <c r="AR180" i="46"/>
  <c r="AS180" i="46"/>
  <c r="AT180" i="46"/>
  <c r="BF180" i="46"/>
  <c r="BH180" i="46"/>
  <c r="B181" i="46"/>
  <c r="D181" i="46"/>
  <c r="N181" i="46"/>
  <c r="J181" i="46" s="1"/>
  <c r="Q181" i="46"/>
  <c r="R181" i="46"/>
  <c r="AJ181" i="46"/>
  <c r="AK181" i="46"/>
  <c r="AP181" i="46"/>
  <c r="AR181" i="46"/>
  <c r="AS181" i="46"/>
  <c r="AT181" i="46"/>
  <c r="BF181" i="46"/>
  <c r="BH181" i="46"/>
  <c r="N182" i="46"/>
  <c r="Q182" i="46"/>
  <c r="R182" i="46"/>
  <c r="AJ182" i="46"/>
  <c r="AK182" i="46"/>
  <c r="AO182" i="46"/>
  <c r="AP182" i="46"/>
  <c r="AQ182" i="46"/>
  <c r="AR182" i="46"/>
  <c r="AS182" i="46"/>
  <c r="F182" i="46" s="1"/>
  <c r="AT182" i="46"/>
  <c r="BH182" i="46"/>
  <c r="B183" i="46"/>
  <c r="D183" i="46"/>
  <c r="N183" i="46"/>
  <c r="H183" i="46" s="1"/>
  <c r="Q183" i="46"/>
  <c r="R183" i="46"/>
  <c r="AJ183" i="46"/>
  <c r="AK183" i="46"/>
  <c r="AP183" i="46"/>
  <c r="AR183" i="46"/>
  <c r="AS183" i="46"/>
  <c r="AT183" i="46"/>
  <c r="BF183" i="46"/>
  <c r="BH183" i="46"/>
  <c r="B184" i="46"/>
  <c r="D184" i="46"/>
  <c r="N184" i="46"/>
  <c r="H184" i="46" s="1"/>
  <c r="Q184" i="46"/>
  <c r="R184" i="46"/>
  <c r="AJ184" i="46"/>
  <c r="AK184" i="46"/>
  <c r="AP184" i="46"/>
  <c r="AR184" i="46"/>
  <c r="AS184" i="46"/>
  <c r="AT184" i="46"/>
  <c r="BF184" i="46"/>
  <c r="BH184" i="46"/>
  <c r="N185" i="46"/>
  <c r="Q185" i="46"/>
  <c r="R185" i="46"/>
  <c r="AJ185" i="46"/>
  <c r="AK185" i="46"/>
  <c r="AO185" i="46"/>
  <c r="AP185" i="46"/>
  <c r="AQ185" i="46"/>
  <c r="AR185" i="46"/>
  <c r="AS185" i="46"/>
  <c r="F185" i="46" s="1"/>
  <c r="AT185" i="46"/>
  <c r="BH185" i="46"/>
  <c r="B186" i="46"/>
  <c r="D186" i="46"/>
  <c r="N186" i="46"/>
  <c r="J186" i="46" s="1"/>
  <c r="Q186" i="46"/>
  <c r="R186" i="46"/>
  <c r="AJ186" i="46"/>
  <c r="AK186" i="46"/>
  <c r="AP186" i="46"/>
  <c r="AR186" i="46"/>
  <c r="AS186" i="46"/>
  <c r="AT186" i="46"/>
  <c r="BF186" i="46"/>
  <c r="BH186" i="46"/>
  <c r="B187" i="46"/>
  <c r="D187" i="46"/>
  <c r="N187" i="46"/>
  <c r="Q187" i="46"/>
  <c r="R187" i="46"/>
  <c r="AJ187" i="46"/>
  <c r="AK187" i="46"/>
  <c r="AP187" i="46"/>
  <c r="AR187" i="46"/>
  <c r="AS187" i="46"/>
  <c r="AT187" i="46"/>
  <c r="BF187" i="46"/>
  <c r="BH187" i="46"/>
  <c r="N188" i="46"/>
  <c r="Q188" i="46"/>
  <c r="R188" i="46"/>
  <c r="AJ188" i="46"/>
  <c r="AK188" i="46"/>
  <c r="AO188" i="46"/>
  <c r="AP188" i="46"/>
  <c r="AQ188" i="46"/>
  <c r="AR188" i="46"/>
  <c r="AS188" i="46"/>
  <c r="F188" i="46" s="1"/>
  <c r="AT188" i="46"/>
  <c r="BH188" i="46"/>
  <c r="B189" i="46"/>
  <c r="D189" i="46"/>
  <c r="N189" i="46"/>
  <c r="H189" i="46" s="1"/>
  <c r="Q189" i="46"/>
  <c r="R189" i="46"/>
  <c r="AJ189" i="46"/>
  <c r="AK189" i="46"/>
  <c r="AO189" i="46"/>
  <c r="AP189" i="46"/>
  <c r="AQ189" i="46"/>
  <c r="AR189" i="46"/>
  <c r="AS189" i="46"/>
  <c r="BG189" i="46" s="1"/>
  <c r="AT189" i="46"/>
  <c r="BH189" i="46"/>
  <c r="B190" i="46"/>
  <c r="D190" i="46"/>
  <c r="N190" i="46"/>
  <c r="H190" i="46" s="1"/>
  <c r="Q190" i="46"/>
  <c r="R190" i="46"/>
  <c r="AJ190" i="46"/>
  <c r="AK190" i="46"/>
  <c r="AP190" i="46"/>
  <c r="AQ190" i="46"/>
  <c r="AR190" i="46"/>
  <c r="AS190" i="46"/>
  <c r="AT190" i="46"/>
  <c r="BH190" i="46"/>
  <c r="B191" i="46"/>
  <c r="D191" i="46"/>
  <c r="N191" i="46"/>
  <c r="J191" i="46" s="1"/>
  <c r="Q191" i="46"/>
  <c r="R191" i="46"/>
  <c r="AJ191" i="46"/>
  <c r="AK191" i="46"/>
  <c r="AP191" i="46"/>
  <c r="AQ191" i="46"/>
  <c r="AR191" i="46"/>
  <c r="AS191" i="46"/>
  <c r="F191" i="46" s="1"/>
  <c r="AT191" i="46"/>
  <c r="BH191" i="46"/>
  <c r="B192" i="46"/>
  <c r="D192" i="46"/>
  <c r="N192" i="46"/>
  <c r="Q192" i="46"/>
  <c r="R192" i="46"/>
  <c r="AJ192" i="46"/>
  <c r="AK192" i="46"/>
  <c r="AO192" i="46"/>
  <c r="AP192" i="46"/>
  <c r="AQ192" i="46"/>
  <c r="AR192" i="46"/>
  <c r="AS192" i="46"/>
  <c r="F192" i="46" s="1"/>
  <c r="AT192" i="46"/>
  <c r="BH192" i="46"/>
  <c r="B193" i="46"/>
  <c r="N193" i="46"/>
  <c r="Q193" i="46"/>
  <c r="R193" i="46"/>
  <c r="AJ193" i="46"/>
  <c r="AK193" i="46"/>
  <c r="AR193" i="46"/>
  <c r="AS193" i="46"/>
  <c r="F193" i="46" s="1"/>
  <c r="AT193" i="46"/>
  <c r="BH193" i="46"/>
  <c r="B194" i="46"/>
  <c r="N194" i="46"/>
  <c r="Q194" i="46"/>
  <c r="R194" i="46"/>
  <c r="AJ194" i="46"/>
  <c r="AK194" i="46"/>
  <c r="AR194" i="46"/>
  <c r="AS194" i="46"/>
  <c r="BG194" i="46" s="1"/>
  <c r="AT194" i="46"/>
  <c r="BH194" i="46"/>
  <c r="N195" i="46"/>
  <c r="Q195" i="46"/>
  <c r="R195" i="46"/>
  <c r="AJ195" i="46"/>
  <c r="AK195" i="46"/>
  <c r="AO195" i="46"/>
  <c r="AQ195" i="46"/>
  <c r="AR195" i="46"/>
  <c r="AS195" i="46"/>
  <c r="F195" i="46" s="1"/>
  <c r="AT195" i="46"/>
  <c r="BH195" i="46"/>
  <c r="B196" i="46"/>
  <c r="D196" i="46"/>
  <c r="N196" i="46"/>
  <c r="J196" i="46" s="1"/>
  <c r="Q196" i="46"/>
  <c r="R196" i="46"/>
  <c r="AJ196" i="46"/>
  <c r="AK196" i="46"/>
  <c r="AR196" i="46"/>
  <c r="AS196" i="46"/>
  <c r="AT196" i="46"/>
  <c r="BH196" i="46"/>
  <c r="B197" i="46"/>
  <c r="D197" i="46"/>
  <c r="N197" i="46"/>
  <c r="H197" i="46" s="1"/>
  <c r="Q197" i="46"/>
  <c r="R197" i="46"/>
  <c r="AJ197" i="46"/>
  <c r="AK197" i="46"/>
  <c r="AR197" i="46"/>
  <c r="AS197" i="46"/>
  <c r="AT197" i="46"/>
  <c r="BH197" i="46"/>
  <c r="N198" i="46"/>
  <c r="Q198" i="46"/>
  <c r="R198" i="46"/>
  <c r="AJ198" i="46"/>
  <c r="AK198" i="46"/>
  <c r="AO198" i="46"/>
  <c r="AR198" i="46"/>
  <c r="AS198" i="46"/>
  <c r="F198" i="46" s="1"/>
  <c r="AT198" i="46"/>
  <c r="BH198" i="46"/>
  <c r="B199" i="46"/>
  <c r="D199" i="46"/>
  <c r="N199" i="46"/>
  <c r="L199" i="46" s="1"/>
  <c r="Q199" i="46"/>
  <c r="R199" i="46"/>
  <c r="AJ199" i="46"/>
  <c r="AK199" i="46"/>
  <c r="AR199" i="46"/>
  <c r="AS199" i="46"/>
  <c r="AT199" i="46"/>
  <c r="BH199" i="46"/>
  <c r="B200" i="46"/>
  <c r="D200" i="46"/>
  <c r="N200" i="46"/>
  <c r="J200" i="46" s="1"/>
  <c r="Q200" i="46"/>
  <c r="R200" i="46"/>
  <c r="AJ200" i="46"/>
  <c r="AK200" i="46"/>
  <c r="AR200" i="46"/>
  <c r="AS200" i="46"/>
  <c r="AT200" i="46"/>
  <c r="BH200" i="46"/>
  <c r="N201" i="46"/>
  <c r="Q201" i="46"/>
  <c r="R201" i="46"/>
  <c r="AJ201" i="46"/>
  <c r="AK201" i="46"/>
  <c r="AO201" i="46"/>
  <c r="AR201" i="46"/>
  <c r="AS201" i="46"/>
  <c r="F201" i="46" s="1"/>
  <c r="AT201" i="46"/>
  <c r="BH201" i="46"/>
  <c r="B202" i="46"/>
  <c r="D202" i="46"/>
  <c r="N202" i="46"/>
  <c r="H202" i="46" s="1"/>
  <c r="Q202" i="46"/>
  <c r="R202" i="46"/>
  <c r="AJ202" i="46"/>
  <c r="AK202" i="46"/>
  <c r="AO202" i="46"/>
  <c r="AP202" i="46"/>
  <c r="AQ202" i="46"/>
  <c r="AR202" i="46"/>
  <c r="AS202" i="46"/>
  <c r="BG202" i="46" s="1"/>
  <c r="AT202" i="46"/>
  <c r="BH202" i="46"/>
  <c r="B203" i="46"/>
  <c r="D203" i="46"/>
  <c r="N203" i="46"/>
  <c r="Q203" i="46"/>
  <c r="R203" i="46"/>
  <c r="AJ203" i="46"/>
  <c r="AK203" i="46"/>
  <c r="AP203" i="46"/>
  <c r="AQ203" i="46"/>
  <c r="AR203" i="46"/>
  <c r="AT203" i="46"/>
  <c r="BH203" i="46"/>
  <c r="B204" i="46"/>
  <c r="D204" i="46"/>
  <c r="N204" i="46"/>
  <c r="H204" i="46" s="1"/>
  <c r="Q204" i="46"/>
  <c r="R204" i="46"/>
  <c r="AJ204" i="46"/>
  <c r="AK204" i="46"/>
  <c r="AP204" i="46"/>
  <c r="AQ204" i="46"/>
  <c r="AR204" i="46"/>
  <c r="AT204" i="46"/>
  <c r="BH204" i="46"/>
  <c r="B205" i="46"/>
  <c r="D205" i="46"/>
  <c r="N205" i="46"/>
  <c r="J205" i="46" s="1"/>
  <c r="Q205" i="46"/>
  <c r="R205" i="46"/>
  <c r="AJ205" i="46"/>
  <c r="AK205" i="46"/>
  <c r="AP205" i="46"/>
  <c r="AQ205" i="46"/>
  <c r="AR205" i="46"/>
  <c r="AT205" i="46"/>
  <c r="BH205" i="46"/>
  <c r="B206" i="46"/>
  <c r="D206" i="46"/>
  <c r="N206" i="46"/>
  <c r="H206" i="46" s="1"/>
  <c r="Q206" i="46"/>
  <c r="R206" i="46"/>
  <c r="AJ206" i="46"/>
  <c r="AK206" i="46"/>
  <c r="AP206" i="46"/>
  <c r="AQ206" i="46"/>
  <c r="AR206" i="46"/>
  <c r="AT206" i="46"/>
  <c r="BH206" i="46"/>
  <c r="B207" i="46"/>
  <c r="D207" i="46"/>
  <c r="N207" i="46"/>
  <c r="J207" i="46" s="1"/>
  <c r="Q207" i="46"/>
  <c r="R207" i="46"/>
  <c r="AJ207" i="46"/>
  <c r="AK207" i="46"/>
  <c r="AP207" i="46"/>
  <c r="AQ207" i="46"/>
  <c r="AR207" i="46"/>
  <c r="AT207" i="46"/>
  <c r="BH207" i="46"/>
  <c r="B208" i="46"/>
  <c r="D208" i="46"/>
  <c r="N208" i="46"/>
  <c r="Q208" i="46"/>
  <c r="R208" i="46"/>
  <c r="AJ208" i="46"/>
  <c r="AK208" i="46"/>
  <c r="AP208" i="46"/>
  <c r="AQ208" i="46"/>
  <c r="AR208" i="46"/>
  <c r="AT208" i="46"/>
  <c r="BH208" i="46"/>
  <c r="B209" i="46"/>
  <c r="D209" i="46"/>
  <c r="N209" i="46"/>
  <c r="H209" i="46" s="1"/>
  <c r="Q209" i="46"/>
  <c r="R209" i="46"/>
  <c r="AJ209" i="46"/>
  <c r="AK209" i="46"/>
  <c r="AP209" i="46"/>
  <c r="AQ209" i="46"/>
  <c r="AR209" i="46"/>
  <c r="AT209" i="46"/>
  <c r="BH209" i="46"/>
  <c r="B210" i="46"/>
  <c r="D210" i="46"/>
  <c r="N210" i="46"/>
  <c r="Q210" i="46"/>
  <c r="R210" i="46"/>
  <c r="AJ210" i="46"/>
  <c r="AK210" i="46"/>
  <c r="AP210" i="46"/>
  <c r="AQ210" i="46"/>
  <c r="AR210" i="46"/>
  <c r="AT210" i="46"/>
  <c r="BH210" i="46"/>
  <c r="B211" i="46"/>
  <c r="D211" i="46"/>
  <c r="N211" i="46"/>
  <c r="Q211" i="46"/>
  <c r="R211" i="46"/>
  <c r="AJ211" i="46"/>
  <c r="AK211" i="46"/>
  <c r="AP211" i="46"/>
  <c r="AQ211" i="46"/>
  <c r="AR211" i="46"/>
  <c r="AT211" i="46"/>
  <c r="BH211" i="46"/>
  <c r="B212" i="46"/>
  <c r="D212" i="46"/>
  <c r="N212" i="46"/>
  <c r="L212" i="46" s="1"/>
  <c r="Q212" i="46"/>
  <c r="R212" i="46"/>
  <c r="AJ212" i="46"/>
  <c r="AK212" i="46"/>
  <c r="AP212" i="46"/>
  <c r="AQ212" i="46"/>
  <c r="AR212" i="46"/>
  <c r="AT212" i="46"/>
  <c r="BH212" i="46"/>
  <c r="B213" i="46"/>
  <c r="D213" i="46"/>
  <c r="N213" i="46"/>
  <c r="H213" i="46" s="1"/>
  <c r="Q213" i="46"/>
  <c r="R213" i="46"/>
  <c r="AJ213" i="46"/>
  <c r="AK213" i="46"/>
  <c r="AP213" i="46"/>
  <c r="AQ213" i="46"/>
  <c r="AR213" i="46"/>
  <c r="AT213" i="46"/>
  <c r="BH213" i="46"/>
  <c r="B214" i="46"/>
  <c r="D214" i="46"/>
  <c r="N214" i="46"/>
  <c r="H214" i="46" s="1"/>
  <c r="Q214" i="46"/>
  <c r="R214" i="46"/>
  <c r="AJ214" i="46"/>
  <c r="AK214" i="46"/>
  <c r="AP214" i="46"/>
  <c r="AQ214" i="46"/>
  <c r="AR214" i="46"/>
  <c r="AT214" i="46"/>
  <c r="BH214" i="46"/>
  <c r="B215" i="46"/>
  <c r="D215" i="46"/>
  <c r="N215" i="46"/>
  <c r="L215" i="46" s="1"/>
  <c r="Q215" i="46"/>
  <c r="R215" i="46"/>
  <c r="AJ215" i="46"/>
  <c r="AK215" i="46"/>
  <c r="AP215" i="46"/>
  <c r="AQ215" i="46"/>
  <c r="AR215" i="46"/>
  <c r="AT215" i="46"/>
  <c r="BH215" i="46"/>
  <c r="B216" i="46"/>
  <c r="D216" i="46"/>
  <c r="N216" i="46"/>
  <c r="H216" i="46" s="1"/>
  <c r="Q216" i="46"/>
  <c r="R216" i="46"/>
  <c r="AJ216" i="46"/>
  <c r="AK216" i="46"/>
  <c r="AP216" i="46"/>
  <c r="AQ216" i="46"/>
  <c r="AR216" i="46"/>
  <c r="AT216" i="46"/>
  <c r="BH216" i="46"/>
  <c r="B217" i="46"/>
  <c r="D217" i="46"/>
  <c r="N217" i="46"/>
  <c r="H217" i="46" s="1"/>
  <c r="Q217" i="46"/>
  <c r="R217" i="46"/>
  <c r="AJ217" i="46"/>
  <c r="AK217" i="46"/>
  <c r="AP217" i="46"/>
  <c r="AQ217" i="46"/>
  <c r="AR217" i="46"/>
  <c r="AT217" i="46"/>
  <c r="BH217" i="46"/>
  <c r="B218" i="46"/>
  <c r="D218" i="46"/>
  <c r="N218" i="46"/>
  <c r="H218" i="46" s="1"/>
  <c r="Q218" i="46"/>
  <c r="R218" i="46"/>
  <c r="AJ218" i="46"/>
  <c r="AK218" i="46"/>
  <c r="AP218" i="46"/>
  <c r="AQ218" i="46"/>
  <c r="AR218" i="46"/>
  <c r="AT218" i="46"/>
  <c r="BH218" i="46"/>
  <c r="B219" i="46"/>
  <c r="D219" i="46"/>
  <c r="N219" i="46"/>
  <c r="L219" i="46" s="1"/>
  <c r="Q219" i="46"/>
  <c r="R219" i="46"/>
  <c r="AJ219" i="46"/>
  <c r="AK219" i="46"/>
  <c r="AP219" i="46"/>
  <c r="AQ219" i="46"/>
  <c r="AR219" i="46"/>
  <c r="AT219" i="46"/>
  <c r="BH219" i="46"/>
  <c r="B220" i="46"/>
  <c r="D220" i="46"/>
  <c r="N220" i="46"/>
  <c r="Q220" i="46"/>
  <c r="R220" i="46"/>
  <c r="AJ220" i="46"/>
  <c r="AK220" i="46"/>
  <c r="AP220" i="46"/>
  <c r="AQ220" i="46"/>
  <c r="AR220" i="46"/>
  <c r="AT220" i="46"/>
  <c r="BH220" i="46"/>
  <c r="B221" i="46"/>
  <c r="D221" i="46"/>
  <c r="N221" i="46"/>
  <c r="H221" i="46" s="1"/>
  <c r="Q221" i="46"/>
  <c r="R221" i="46"/>
  <c r="AJ221" i="46"/>
  <c r="AK221" i="46"/>
  <c r="AP221" i="46"/>
  <c r="AQ221" i="46"/>
  <c r="AR221" i="46"/>
  <c r="AT221" i="46"/>
  <c r="BH221" i="46"/>
  <c r="B222" i="46"/>
  <c r="D222" i="46"/>
  <c r="N222" i="46"/>
  <c r="Q222" i="46"/>
  <c r="R222" i="46"/>
  <c r="AJ222" i="46"/>
  <c r="AK222" i="46"/>
  <c r="AP222" i="46"/>
  <c r="AQ222" i="46"/>
  <c r="AR222" i="46"/>
  <c r="AT222" i="46"/>
  <c r="BH222" i="46"/>
  <c r="B223" i="46"/>
  <c r="D223" i="46"/>
  <c r="N223" i="46"/>
  <c r="H223" i="46" s="1"/>
  <c r="Q223" i="46"/>
  <c r="R223" i="46"/>
  <c r="AJ223" i="46"/>
  <c r="AK223" i="46"/>
  <c r="AP223" i="46"/>
  <c r="AQ223" i="46"/>
  <c r="AR223" i="46"/>
  <c r="AT223" i="46"/>
  <c r="BH223" i="46"/>
  <c r="B224" i="46"/>
  <c r="D224" i="46"/>
  <c r="N224" i="46"/>
  <c r="H224" i="46" s="1"/>
  <c r="Q224" i="46"/>
  <c r="R224" i="46"/>
  <c r="AJ224" i="46"/>
  <c r="AK224" i="46"/>
  <c r="AP224" i="46"/>
  <c r="AQ224" i="46"/>
  <c r="AR224" i="46"/>
  <c r="AT224" i="46"/>
  <c r="BH224" i="46"/>
  <c r="B226" i="46"/>
  <c r="D226" i="46"/>
  <c r="N226" i="46"/>
  <c r="H226" i="46" s="1"/>
  <c r="Q226" i="46"/>
  <c r="R226" i="46"/>
  <c r="AJ226" i="46"/>
  <c r="AK226" i="46"/>
  <c r="AP226" i="46"/>
  <c r="AQ226" i="46"/>
  <c r="AR226" i="46"/>
  <c r="AT226" i="46"/>
  <c r="BH226" i="46"/>
  <c r="B227" i="46"/>
  <c r="D227" i="46"/>
  <c r="N227" i="46"/>
  <c r="H227" i="46" s="1"/>
  <c r="Q227" i="46"/>
  <c r="R227" i="46"/>
  <c r="AJ227" i="46"/>
  <c r="AK227" i="46"/>
  <c r="AP227" i="46"/>
  <c r="AQ227" i="46"/>
  <c r="AR227" i="46"/>
  <c r="AS227" i="46"/>
  <c r="AT227" i="46"/>
  <c r="BH227" i="46"/>
  <c r="B228" i="46"/>
  <c r="D228" i="46"/>
  <c r="N228" i="46"/>
  <c r="L228" i="46" s="1"/>
  <c r="Q228" i="46"/>
  <c r="R228" i="46"/>
  <c r="AJ228" i="46"/>
  <c r="AK228" i="46"/>
  <c r="AP228" i="46"/>
  <c r="AQ228" i="46"/>
  <c r="AR228" i="46"/>
  <c r="AS228" i="46"/>
  <c r="AT228" i="46"/>
  <c r="BH228" i="46"/>
  <c r="N229" i="46"/>
  <c r="Q229" i="46"/>
  <c r="R229" i="46"/>
  <c r="AJ229" i="46"/>
  <c r="AK229" i="46"/>
  <c r="AO229" i="46"/>
  <c r="AP229" i="46"/>
  <c r="AQ229" i="46"/>
  <c r="AR229" i="46"/>
  <c r="AS229" i="46"/>
  <c r="F229" i="46" s="1"/>
  <c r="AT229" i="46"/>
  <c r="BH229" i="46"/>
  <c r="B230" i="46"/>
  <c r="D230" i="46"/>
  <c r="N230" i="46"/>
  <c r="Q230" i="46"/>
  <c r="R230" i="46"/>
  <c r="AJ230" i="46"/>
  <c r="AK230" i="46"/>
  <c r="AP230" i="46"/>
  <c r="AQ230" i="46"/>
  <c r="AR230" i="46"/>
  <c r="AS230" i="46"/>
  <c r="AT230" i="46"/>
  <c r="BH230" i="46"/>
  <c r="B231" i="46"/>
  <c r="D231" i="46"/>
  <c r="N231" i="46"/>
  <c r="Q231" i="46"/>
  <c r="R231" i="46"/>
  <c r="AJ231" i="46"/>
  <c r="AK231" i="46"/>
  <c r="AP231" i="46"/>
  <c r="AQ231" i="46"/>
  <c r="AR231" i="46"/>
  <c r="AS231" i="46"/>
  <c r="AT231" i="46"/>
  <c r="BH231" i="46"/>
  <c r="N232" i="46"/>
  <c r="Q232" i="46"/>
  <c r="R232" i="46"/>
  <c r="AJ232" i="46"/>
  <c r="AK232" i="46"/>
  <c r="AO232" i="46"/>
  <c r="AP232" i="46"/>
  <c r="AQ232" i="46"/>
  <c r="AR232" i="46"/>
  <c r="AS232" i="46"/>
  <c r="AT232" i="46"/>
  <c r="BH232" i="46"/>
  <c r="B233" i="46"/>
  <c r="D233" i="46"/>
  <c r="N233" i="46"/>
  <c r="H233" i="46" s="1"/>
  <c r="Q233" i="46"/>
  <c r="R233" i="46"/>
  <c r="AJ233" i="46"/>
  <c r="AK233" i="46"/>
  <c r="AP233" i="46"/>
  <c r="AQ233" i="46"/>
  <c r="AR233" i="46"/>
  <c r="AS233" i="46"/>
  <c r="AT233" i="46"/>
  <c r="BH233" i="46"/>
  <c r="B234" i="46"/>
  <c r="D234" i="46"/>
  <c r="N234" i="46"/>
  <c r="H234" i="46" s="1"/>
  <c r="Q234" i="46"/>
  <c r="R234" i="46"/>
  <c r="AJ234" i="46"/>
  <c r="AK234" i="46"/>
  <c r="AP234" i="46"/>
  <c r="AQ234" i="46"/>
  <c r="AR234" i="46"/>
  <c r="AS234" i="46"/>
  <c r="AT234" i="46"/>
  <c r="BH234" i="46"/>
  <c r="B235" i="46"/>
  <c r="D235" i="46"/>
  <c r="N235" i="46"/>
  <c r="J235" i="46" s="1"/>
  <c r="Q235" i="46"/>
  <c r="R235" i="46"/>
  <c r="AJ235" i="46"/>
  <c r="AK235" i="46"/>
  <c r="AP235" i="46"/>
  <c r="AQ235" i="46"/>
  <c r="AR235" i="46"/>
  <c r="AS235" i="46"/>
  <c r="AT235" i="46"/>
  <c r="BH235" i="46"/>
  <c r="B236" i="46"/>
  <c r="D236" i="46"/>
  <c r="N236" i="46"/>
  <c r="Q236" i="46"/>
  <c r="R236" i="46"/>
  <c r="AJ236" i="46"/>
  <c r="AK236" i="46"/>
  <c r="AP236" i="46"/>
  <c r="AQ236" i="46"/>
  <c r="AR236" i="46"/>
  <c r="AS236" i="46"/>
  <c r="AT236" i="46"/>
  <c r="BH236" i="46"/>
  <c r="N237" i="46"/>
  <c r="Q237" i="46"/>
  <c r="R237" i="46"/>
  <c r="AJ237" i="46"/>
  <c r="AK237" i="46"/>
  <c r="AO237" i="46"/>
  <c r="AR237" i="46"/>
  <c r="AS237" i="46"/>
  <c r="F237" i="46" s="1"/>
  <c r="AT237" i="46"/>
  <c r="BH237" i="46"/>
  <c r="B238" i="46"/>
  <c r="D238" i="46"/>
  <c r="N238" i="46"/>
  <c r="Q238" i="46"/>
  <c r="R238" i="46"/>
  <c r="AJ238" i="46"/>
  <c r="AK238" i="46"/>
  <c r="AO238" i="46"/>
  <c r="AP238" i="46"/>
  <c r="AQ238" i="46"/>
  <c r="AR238" i="46"/>
  <c r="AS238" i="46"/>
  <c r="BG238" i="46" s="1"/>
  <c r="AT238" i="46"/>
  <c r="BH238" i="46"/>
  <c r="B239" i="46"/>
  <c r="D239" i="46"/>
  <c r="N239" i="46"/>
  <c r="Q239" i="46"/>
  <c r="R239" i="46"/>
  <c r="AJ239" i="46"/>
  <c r="AK239" i="46"/>
  <c r="AP239" i="46"/>
  <c r="AQ239" i="46"/>
  <c r="AR239" i="46"/>
  <c r="AS239" i="46"/>
  <c r="AT239" i="46"/>
  <c r="B240" i="46"/>
  <c r="D240" i="46"/>
  <c r="N240" i="46"/>
  <c r="H240" i="46" s="1"/>
  <c r="Q240" i="46"/>
  <c r="R240" i="46"/>
  <c r="AJ240" i="46"/>
  <c r="AK240" i="46"/>
  <c r="AP240" i="46"/>
  <c r="AQ240" i="46"/>
  <c r="AR240" i="46"/>
  <c r="AS240" i="46"/>
  <c r="AT240" i="46"/>
  <c r="BH240" i="46"/>
  <c r="B241" i="46"/>
  <c r="D241" i="46"/>
  <c r="N241" i="46"/>
  <c r="H241" i="46" s="1"/>
  <c r="Q241" i="46"/>
  <c r="R241" i="46"/>
  <c r="AJ241" i="46"/>
  <c r="AK241" i="46"/>
  <c r="AP241" i="46"/>
  <c r="AQ241" i="46"/>
  <c r="AR241" i="46"/>
  <c r="AS241" i="46"/>
  <c r="AT241" i="46"/>
  <c r="BH241" i="46"/>
  <c r="B242" i="46"/>
  <c r="D242" i="46"/>
  <c r="N242" i="46"/>
  <c r="H242" i="46" s="1"/>
  <c r="Q242" i="46"/>
  <c r="R242" i="46"/>
  <c r="AJ242" i="46"/>
  <c r="AK242" i="46"/>
  <c r="AP242" i="46"/>
  <c r="AQ242" i="46"/>
  <c r="AR242" i="46"/>
  <c r="AS242" i="46"/>
  <c r="AT242" i="46"/>
  <c r="BH242" i="46"/>
  <c r="B243" i="46"/>
  <c r="D243" i="46"/>
  <c r="N243" i="46"/>
  <c r="L243" i="46" s="1"/>
  <c r="Q243" i="46"/>
  <c r="R243" i="46"/>
  <c r="AJ243" i="46"/>
  <c r="AK243" i="46"/>
  <c r="AP243" i="46"/>
  <c r="AQ243" i="46"/>
  <c r="AR243" i="46"/>
  <c r="AS243" i="46"/>
  <c r="BG243" i="46" s="1"/>
  <c r="AT243" i="46"/>
  <c r="BH243" i="46"/>
  <c r="B244" i="46"/>
  <c r="D244" i="46"/>
  <c r="N244" i="46"/>
  <c r="Q244" i="46"/>
  <c r="R244" i="46"/>
  <c r="AJ244" i="46"/>
  <c r="AK244" i="46"/>
  <c r="AP244" i="46"/>
  <c r="AQ244" i="46"/>
  <c r="AR244" i="46"/>
  <c r="AS244" i="46"/>
  <c r="AT244" i="46"/>
  <c r="B245" i="46"/>
  <c r="D245" i="46"/>
  <c r="N245" i="46"/>
  <c r="J245" i="46" s="1"/>
  <c r="Q245" i="46"/>
  <c r="R245" i="46"/>
  <c r="AJ245" i="46"/>
  <c r="AK245" i="46"/>
  <c r="AP245" i="46"/>
  <c r="AQ245" i="46"/>
  <c r="AR245" i="46"/>
  <c r="AT245" i="46"/>
  <c r="BH245" i="46"/>
  <c r="B246" i="46"/>
  <c r="D246" i="46"/>
  <c r="N246" i="46"/>
  <c r="H246" i="46" s="1"/>
  <c r="Q246" i="46"/>
  <c r="R246" i="46"/>
  <c r="AJ246" i="46"/>
  <c r="AK246" i="46"/>
  <c r="AP246" i="46"/>
  <c r="AQ246" i="46"/>
  <c r="AR246" i="46"/>
  <c r="AT246" i="46"/>
  <c r="BH246" i="46"/>
  <c r="B247" i="46"/>
  <c r="D247" i="46"/>
  <c r="N247" i="46"/>
  <c r="H247" i="46" s="1"/>
  <c r="Q247" i="46"/>
  <c r="R247" i="46"/>
  <c r="AJ247" i="46"/>
  <c r="AK247" i="46"/>
  <c r="AP247" i="46"/>
  <c r="AQ247" i="46"/>
  <c r="AR247" i="46"/>
  <c r="AT247" i="46"/>
  <c r="BH247" i="46"/>
  <c r="B248" i="46"/>
  <c r="D248" i="46"/>
  <c r="N248" i="46"/>
  <c r="H248" i="46" s="1"/>
  <c r="Q248" i="46"/>
  <c r="R248" i="46"/>
  <c r="AJ248" i="46"/>
  <c r="AK248" i="46"/>
  <c r="AP248" i="46"/>
  <c r="AQ248" i="46"/>
  <c r="AR248" i="46"/>
  <c r="AT248" i="46"/>
  <c r="BH248" i="46"/>
  <c r="N249" i="46"/>
  <c r="Q249" i="46"/>
  <c r="R249" i="46"/>
  <c r="AJ249" i="46"/>
  <c r="AK249" i="46"/>
  <c r="AO249" i="46"/>
  <c r="AR249" i="46"/>
  <c r="AS249" i="46"/>
  <c r="F249" i="46" s="1"/>
  <c r="AT249" i="46"/>
  <c r="BH249" i="46"/>
  <c r="B250" i="46"/>
  <c r="D250" i="46"/>
  <c r="N250" i="46"/>
  <c r="H250" i="46" s="1"/>
  <c r="Q250" i="46"/>
  <c r="R250" i="46"/>
  <c r="AJ250" i="46"/>
  <c r="AK250" i="46"/>
  <c r="AP250" i="46"/>
  <c r="AQ250" i="46"/>
  <c r="AR250" i="46"/>
  <c r="AT250" i="46"/>
  <c r="BH250" i="46"/>
  <c r="B251" i="46"/>
  <c r="D251" i="46"/>
  <c r="N251" i="46"/>
  <c r="J251" i="46" s="1"/>
  <c r="Q251" i="46"/>
  <c r="R251" i="46"/>
  <c r="AJ251" i="46"/>
  <c r="AK251" i="46"/>
  <c r="AP251" i="46"/>
  <c r="AQ251" i="46"/>
  <c r="AR251" i="46"/>
  <c r="AT251" i="46"/>
  <c r="BH251" i="46"/>
  <c r="N252" i="46"/>
  <c r="Q252" i="46"/>
  <c r="R252" i="46"/>
  <c r="AJ252" i="46"/>
  <c r="AK252" i="46"/>
  <c r="AO252" i="46"/>
  <c r="AQ252" i="46"/>
  <c r="AR252" i="46"/>
  <c r="AS252" i="46"/>
  <c r="AT252" i="46"/>
  <c r="BH252" i="46"/>
  <c r="B253" i="46"/>
  <c r="D253" i="46"/>
  <c r="N253" i="46"/>
  <c r="Q253" i="46"/>
  <c r="R253" i="46"/>
  <c r="AJ253" i="46"/>
  <c r="AK253" i="46"/>
  <c r="AO253" i="46"/>
  <c r="AP253" i="46"/>
  <c r="AQ253" i="46"/>
  <c r="AR253" i="46"/>
  <c r="AS253" i="46"/>
  <c r="AT253" i="46"/>
  <c r="BH253" i="46"/>
  <c r="B254" i="46"/>
  <c r="D254" i="46"/>
  <c r="N254" i="46"/>
  <c r="J254" i="46" s="1"/>
  <c r="Q254" i="46"/>
  <c r="R254" i="46"/>
  <c r="AJ254" i="46"/>
  <c r="AK254" i="46"/>
  <c r="AO254" i="46"/>
  <c r="AP254" i="46"/>
  <c r="AQ254" i="46"/>
  <c r="AR254" i="46"/>
  <c r="AS254" i="46"/>
  <c r="AT254" i="46"/>
  <c r="BH254" i="46"/>
  <c r="B255" i="46"/>
  <c r="D255" i="46"/>
  <c r="N255" i="46"/>
  <c r="Q255" i="46"/>
  <c r="R255" i="46"/>
  <c r="AJ255" i="46"/>
  <c r="AK255" i="46"/>
  <c r="AO255" i="46"/>
  <c r="AP255" i="46"/>
  <c r="AQ255" i="46"/>
  <c r="AR255" i="46"/>
  <c r="AS255" i="46"/>
  <c r="AT255" i="46"/>
  <c r="BH255" i="46"/>
  <c r="B256" i="46"/>
  <c r="D256" i="46"/>
  <c r="N256" i="46"/>
  <c r="H256" i="46" s="1"/>
  <c r="Q256" i="46"/>
  <c r="R256" i="46"/>
  <c r="AJ256" i="46"/>
  <c r="AK256" i="46"/>
  <c r="AO256" i="46"/>
  <c r="AP256" i="46"/>
  <c r="AQ256" i="46"/>
  <c r="AR256" i="46"/>
  <c r="AS256" i="46"/>
  <c r="BG256" i="46" s="1"/>
  <c r="AT256" i="46"/>
  <c r="BH256" i="46"/>
  <c r="B257" i="46"/>
  <c r="D257" i="46"/>
  <c r="N257" i="46"/>
  <c r="H257" i="46" s="1"/>
  <c r="Q257" i="46"/>
  <c r="R257" i="46"/>
  <c r="AJ257" i="46"/>
  <c r="AK257" i="46"/>
  <c r="AO257" i="46"/>
  <c r="AP257" i="46"/>
  <c r="AQ257" i="46"/>
  <c r="AR257" i="46"/>
  <c r="AS257" i="46"/>
  <c r="BG257" i="46" s="1"/>
  <c r="AT257" i="46"/>
  <c r="BH257" i="46"/>
  <c r="B258" i="46"/>
  <c r="D258" i="46"/>
  <c r="N258" i="46"/>
  <c r="Q258" i="46"/>
  <c r="R258" i="46"/>
  <c r="AJ258" i="46"/>
  <c r="AK258" i="46"/>
  <c r="AO258" i="46"/>
  <c r="AP258" i="46"/>
  <c r="AQ258" i="46"/>
  <c r="AR258" i="46"/>
  <c r="AS258" i="46"/>
  <c r="AT258" i="46"/>
  <c r="BH258" i="46"/>
  <c r="B259" i="46"/>
  <c r="D259" i="46"/>
  <c r="N259" i="46"/>
  <c r="H259" i="46" s="1"/>
  <c r="Q259" i="46"/>
  <c r="R259" i="46"/>
  <c r="AJ259" i="46"/>
  <c r="AK259" i="46"/>
  <c r="AO259" i="46"/>
  <c r="AP259" i="46"/>
  <c r="AQ259" i="46"/>
  <c r="AR259" i="46"/>
  <c r="AS259" i="46"/>
  <c r="BG259" i="46" s="1"/>
  <c r="AT259" i="46"/>
  <c r="BH259" i="46"/>
  <c r="B260" i="46"/>
  <c r="D260" i="46"/>
  <c r="N260" i="46"/>
  <c r="Q260" i="46"/>
  <c r="R260" i="46"/>
  <c r="AJ260" i="46"/>
  <c r="AK260" i="46"/>
  <c r="AR260" i="46"/>
  <c r="AS260" i="46"/>
  <c r="AT260" i="46"/>
  <c r="BH260" i="46"/>
  <c r="B261" i="46"/>
  <c r="D261" i="46"/>
  <c r="N261" i="46"/>
  <c r="Q261" i="46"/>
  <c r="R261" i="46"/>
  <c r="AJ261" i="46"/>
  <c r="AK261" i="46"/>
  <c r="AR261" i="46"/>
  <c r="AS261" i="46"/>
  <c r="AT261" i="46"/>
  <c r="BH261" i="46"/>
  <c r="B262" i="46"/>
  <c r="D262" i="46"/>
  <c r="N262" i="46"/>
  <c r="Q262" i="46"/>
  <c r="R262" i="46"/>
  <c r="AJ262" i="46"/>
  <c r="AK262" i="46"/>
  <c r="AO262" i="46"/>
  <c r="AP262" i="46"/>
  <c r="AQ262" i="46"/>
  <c r="AR262" i="46"/>
  <c r="AS262" i="46"/>
  <c r="BG262" i="46" s="1"/>
  <c r="AT262" i="46"/>
  <c r="BH262" i="46"/>
  <c r="B263" i="46"/>
  <c r="D263" i="46"/>
  <c r="N263" i="46"/>
  <c r="Q263" i="46"/>
  <c r="R263" i="46"/>
  <c r="AJ263" i="46"/>
  <c r="AK263" i="46"/>
  <c r="AQ263" i="46"/>
  <c r="AR263" i="46"/>
  <c r="AS263" i="46"/>
  <c r="AT263" i="46"/>
  <c r="BH263" i="46"/>
  <c r="B264" i="46"/>
  <c r="D264" i="46"/>
  <c r="N264" i="46"/>
  <c r="Q264" i="46"/>
  <c r="R264" i="46"/>
  <c r="AJ264" i="46"/>
  <c r="AK264" i="46"/>
  <c r="AQ264" i="46"/>
  <c r="AR264" i="46"/>
  <c r="AS264" i="46"/>
  <c r="AT264" i="46"/>
  <c r="BH264" i="46"/>
  <c r="N265" i="46"/>
  <c r="Q265" i="46"/>
  <c r="R265" i="46"/>
  <c r="AJ265" i="46"/>
  <c r="AK265" i="46"/>
  <c r="AO265" i="46"/>
  <c r="AQ265" i="46"/>
  <c r="AR265" i="46"/>
  <c r="AS265" i="46"/>
  <c r="F265" i="46" s="1"/>
  <c r="AT265" i="46"/>
  <c r="BH265" i="46"/>
  <c r="B266" i="46"/>
  <c r="D266" i="46"/>
  <c r="N266" i="46"/>
  <c r="Q266" i="46"/>
  <c r="R266" i="46"/>
  <c r="AJ266" i="46"/>
  <c r="AK266" i="46"/>
  <c r="AQ266" i="46"/>
  <c r="AR266" i="46"/>
  <c r="AS266" i="46"/>
  <c r="AT266" i="46"/>
  <c r="BH266" i="46"/>
  <c r="B267" i="46"/>
  <c r="D267" i="46"/>
  <c r="N267" i="46"/>
  <c r="Q267" i="46"/>
  <c r="R267" i="46"/>
  <c r="AJ267" i="46"/>
  <c r="AK267" i="46"/>
  <c r="AQ267" i="46"/>
  <c r="AR267" i="46"/>
  <c r="AS267" i="46"/>
  <c r="AT267" i="46"/>
  <c r="BH267" i="46"/>
  <c r="N268" i="46"/>
  <c r="Q268" i="46"/>
  <c r="R268" i="46"/>
  <c r="AJ268" i="46"/>
  <c r="AK268" i="46"/>
  <c r="AO268" i="46"/>
  <c r="AQ268" i="46"/>
  <c r="AR268" i="46"/>
  <c r="AS268" i="46"/>
  <c r="F268" i="46" s="1"/>
  <c r="AT268" i="46"/>
  <c r="BH268" i="46"/>
  <c r="B269" i="46"/>
  <c r="D269" i="46"/>
  <c r="N269" i="46"/>
  <c r="Q269" i="46"/>
  <c r="R269" i="46"/>
  <c r="AJ269" i="46"/>
  <c r="AK269" i="46"/>
  <c r="AO269" i="46"/>
  <c r="AQ269" i="46"/>
  <c r="AR269" i="46"/>
  <c r="AS269" i="46"/>
  <c r="AT269" i="46"/>
  <c r="BH269" i="46"/>
  <c r="B270" i="46"/>
  <c r="D270" i="46"/>
  <c r="N270" i="46"/>
  <c r="Q270" i="46"/>
  <c r="R270" i="46"/>
  <c r="AJ270" i="46"/>
  <c r="AK270" i="46"/>
  <c r="AQ270" i="46"/>
  <c r="AR270" i="46"/>
  <c r="AS270" i="46"/>
  <c r="AT270" i="46"/>
  <c r="BH270" i="46"/>
  <c r="B271" i="46"/>
  <c r="D271" i="46"/>
  <c r="N271" i="46"/>
  <c r="Q271" i="46"/>
  <c r="R271" i="46"/>
  <c r="AJ271" i="46"/>
  <c r="AK271" i="46"/>
  <c r="AO271" i="46"/>
  <c r="AQ271" i="46"/>
  <c r="AR271" i="46"/>
  <c r="AS271" i="46"/>
  <c r="AT271" i="46"/>
  <c r="BH271" i="46"/>
  <c r="B272" i="46"/>
  <c r="D272" i="46"/>
  <c r="N272" i="46"/>
  <c r="Q272" i="46"/>
  <c r="R272" i="46"/>
  <c r="AJ272" i="46"/>
  <c r="AK272" i="46"/>
  <c r="AQ272" i="46"/>
  <c r="AR272" i="46"/>
  <c r="AS272" i="46"/>
  <c r="AT272" i="46"/>
  <c r="BH272" i="46"/>
  <c r="B273" i="46"/>
  <c r="D273" i="46"/>
  <c r="N273" i="46"/>
  <c r="Q273" i="46"/>
  <c r="R273" i="46"/>
  <c r="AJ273" i="46"/>
  <c r="AK273" i="46"/>
  <c r="AO273" i="46"/>
  <c r="AQ273" i="46"/>
  <c r="AR273" i="46"/>
  <c r="AS273" i="46"/>
  <c r="AT273" i="46"/>
  <c r="BH273" i="46"/>
  <c r="B274" i="46"/>
  <c r="D274" i="46"/>
  <c r="N274" i="46"/>
  <c r="Q274" i="46"/>
  <c r="R274" i="46"/>
  <c r="AJ274" i="46"/>
  <c r="AK274" i="46"/>
  <c r="AQ274" i="46"/>
  <c r="AR274" i="46"/>
  <c r="AS274" i="46"/>
  <c r="AT274" i="46"/>
  <c r="BH274" i="46"/>
  <c r="B275" i="46"/>
  <c r="D275" i="46"/>
  <c r="N275" i="46"/>
  <c r="Q275" i="46"/>
  <c r="R275" i="46"/>
  <c r="AJ275" i="46"/>
  <c r="AK275" i="46"/>
  <c r="AO275" i="46"/>
  <c r="AP275" i="46"/>
  <c r="AQ275" i="46"/>
  <c r="AR275" i="46"/>
  <c r="AS275" i="46"/>
  <c r="F275" i="46" s="1"/>
  <c r="AT275" i="46"/>
  <c r="BH275" i="46"/>
  <c r="B276" i="46"/>
  <c r="D276" i="46"/>
  <c r="N276" i="46"/>
  <c r="L276" i="46" s="1"/>
  <c r="Q276" i="46"/>
  <c r="R276" i="46"/>
  <c r="AJ276" i="46"/>
  <c r="AK276" i="46"/>
  <c r="AQ276" i="46"/>
  <c r="AR276" i="46"/>
  <c r="AS276" i="46"/>
  <c r="AT276" i="46"/>
  <c r="BF276" i="46"/>
  <c r="BH276" i="46"/>
  <c r="B277" i="46"/>
  <c r="D277" i="46"/>
  <c r="N277" i="46"/>
  <c r="H277" i="46" s="1"/>
  <c r="Q277" i="46"/>
  <c r="R277" i="46"/>
  <c r="AJ277" i="46"/>
  <c r="AK277" i="46"/>
  <c r="AQ277" i="46"/>
  <c r="AR277" i="46"/>
  <c r="AS277" i="46"/>
  <c r="AT277" i="46"/>
  <c r="BF277" i="46"/>
  <c r="BH277" i="46"/>
  <c r="B278" i="46"/>
  <c r="D278" i="46"/>
  <c r="N278" i="46"/>
  <c r="H278" i="46" s="1"/>
  <c r="Q278" i="46"/>
  <c r="R278" i="46"/>
  <c r="AJ278" i="46"/>
  <c r="AK278" i="46"/>
  <c r="AQ278" i="46"/>
  <c r="AR278" i="46"/>
  <c r="AS278" i="46"/>
  <c r="AT278" i="46"/>
  <c r="BF278" i="46"/>
  <c r="BH278" i="46"/>
  <c r="B279" i="46"/>
  <c r="D279" i="46"/>
  <c r="N279" i="46"/>
  <c r="H279" i="46" s="1"/>
  <c r="Q279" i="46"/>
  <c r="R279" i="46"/>
  <c r="AJ279" i="46"/>
  <c r="AK279" i="46"/>
  <c r="AQ279" i="46"/>
  <c r="AR279" i="46"/>
  <c r="AS279" i="46"/>
  <c r="AT279" i="46"/>
  <c r="BF279" i="46"/>
  <c r="BH279" i="46"/>
  <c r="B280" i="46"/>
  <c r="D280" i="46"/>
  <c r="N280" i="46"/>
  <c r="Q280" i="46"/>
  <c r="R280" i="46"/>
  <c r="AJ280" i="46"/>
  <c r="AK280" i="46"/>
  <c r="AQ280" i="46"/>
  <c r="AR280" i="46"/>
  <c r="AS280" i="46"/>
  <c r="AT280" i="46"/>
  <c r="BF280" i="46"/>
  <c r="BH280" i="46"/>
  <c r="B281" i="46"/>
  <c r="D281" i="46"/>
  <c r="N281" i="46"/>
  <c r="L281" i="46" s="1"/>
  <c r="Q281" i="46"/>
  <c r="R281" i="46"/>
  <c r="AJ281" i="46"/>
  <c r="AK281" i="46"/>
  <c r="AQ281" i="46"/>
  <c r="AR281" i="46"/>
  <c r="AS281" i="46"/>
  <c r="AT281" i="46"/>
  <c r="BF281" i="46"/>
  <c r="BH281" i="46"/>
  <c r="B282" i="46"/>
  <c r="D282" i="46"/>
  <c r="N282" i="46"/>
  <c r="Q282" i="46"/>
  <c r="R282" i="46"/>
  <c r="AJ282" i="46"/>
  <c r="AK282" i="46"/>
  <c r="AQ282" i="46"/>
  <c r="AR282" i="46"/>
  <c r="AS282" i="46"/>
  <c r="AT282" i="46"/>
  <c r="BF282" i="46"/>
  <c r="BH282" i="46"/>
  <c r="B283" i="46"/>
  <c r="D283" i="46"/>
  <c r="N283" i="46"/>
  <c r="H283" i="46" s="1"/>
  <c r="Q283" i="46"/>
  <c r="R283" i="46"/>
  <c r="AJ283" i="46"/>
  <c r="AK283" i="46"/>
  <c r="AQ283" i="46"/>
  <c r="AR283" i="46"/>
  <c r="AS283" i="46"/>
  <c r="AT283" i="46"/>
  <c r="BF283" i="46"/>
  <c r="BH283" i="46"/>
  <c r="B284" i="46"/>
  <c r="D284" i="46"/>
  <c r="N284" i="46"/>
  <c r="L284" i="46" s="1"/>
  <c r="Q284" i="46"/>
  <c r="R284" i="46"/>
  <c r="AJ284" i="46"/>
  <c r="AK284" i="46"/>
  <c r="AQ284" i="46"/>
  <c r="AR284" i="46"/>
  <c r="AS284" i="46"/>
  <c r="AT284" i="46"/>
  <c r="BF284" i="46"/>
  <c r="BH284" i="46"/>
  <c r="B285" i="46"/>
  <c r="D285" i="46"/>
  <c r="N285" i="46"/>
  <c r="J285" i="46" s="1"/>
  <c r="Q285" i="46"/>
  <c r="R285" i="46"/>
  <c r="AJ285" i="46"/>
  <c r="AK285" i="46"/>
  <c r="AQ285" i="46"/>
  <c r="AR285" i="46"/>
  <c r="AS285" i="46"/>
  <c r="AT285" i="46"/>
  <c r="BF285" i="46"/>
  <c r="BH285" i="46"/>
  <c r="B286" i="46"/>
  <c r="D286" i="46"/>
  <c r="N286" i="46"/>
  <c r="H286" i="46" s="1"/>
  <c r="Q286" i="46"/>
  <c r="R286" i="46"/>
  <c r="AJ286" i="46"/>
  <c r="AK286" i="46"/>
  <c r="AQ286" i="46"/>
  <c r="AR286" i="46"/>
  <c r="AS286" i="46"/>
  <c r="AT286" i="46"/>
  <c r="BF286" i="46"/>
  <c r="BH286" i="46"/>
  <c r="B287" i="46"/>
  <c r="D287" i="46"/>
  <c r="N287" i="46"/>
  <c r="H287" i="46" s="1"/>
  <c r="Q287" i="46"/>
  <c r="R287" i="46"/>
  <c r="AJ287" i="46"/>
  <c r="AK287" i="46"/>
  <c r="AQ287" i="46"/>
  <c r="AR287" i="46"/>
  <c r="AS287" i="46"/>
  <c r="AT287" i="46"/>
  <c r="BF287" i="46"/>
  <c r="BH287" i="46"/>
  <c r="B288" i="46"/>
  <c r="D288" i="46"/>
  <c r="N288" i="46"/>
  <c r="H288" i="46" s="1"/>
  <c r="Q288" i="46"/>
  <c r="R288" i="46"/>
  <c r="AJ288" i="46"/>
  <c r="AK288" i="46"/>
  <c r="AQ288" i="46"/>
  <c r="AR288" i="46"/>
  <c r="AS288" i="46"/>
  <c r="AT288" i="46"/>
  <c r="BF288" i="46"/>
  <c r="BH288" i="46"/>
  <c r="B289" i="46"/>
  <c r="D289" i="46"/>
  <c r="N289" i="46"/>
  <c r="H289" i="46" s="1"/>
  <c r="Q289" i="46"/>
  <c r="R289" i="46"/>
  <c r="AJ289" i="46"/>
  <c r="AK289" i="46"/>
  <c r="AQ289" i="46"/>
  <c r="AR289" i="46"/>
  <c r="AS289" i="46"/>
  <c r="AT289" i="46"/>
  <c r="BF289" i="46"/>
  <c r="BH289" i="46"/>
  <c r="B290" i="46"/>
  <c r="D290" i="46"/>
  <c r="N290" i="46"/>
  <c r="Q290" i="46"/>
  <c r="R290" i="46"/>
  <c r="AJ290" i="46"/>
  <c r="AK290" i="46"/>
  <c r="AQ290" i="46"/>
  <c r="AR290" i="46"/>
  <c r="AS290" i="46"/>
  <c r="AT290" i="46"/>
  <c r="BF290" i="46"/>
  <c r="BH290" i="46"/>
  <c r="B291" i="46"/>
  <c r="D291" i="46"/>
  <c r="N291" i="46"/>
  <c r="H291" i="46" s="1"/>
  <c r="Q291" i="46"/>
  <c r="R291" i="46"/>
  <c r="AJ291" i="46"/>
  <c r="AK291" i="46"/>
  <c r="AQ291" i="46"/>
  <c r="AR291" i="46"/>
  <c r="AS291" i="46"/>
  <c r="AT291" i="46"/>
  <c r="BF291" i="46"/>
  <c r="BH291" i="46"/>
  <c r="B292" i="46"/>
  <c r="D292" i="46"/>
  <c r="N292" i="46"/>
  <c r="L292" i="46" s="1"/>
  <c r="Q292" i="46"/>
  <c r="R292" i="46"/>
  <c r="AJ292" i="46"/>
  <c r="AK292" i="46"/>
  <c r="AQ292" i="46"/>
  <c r="AR292" i="46"/>
  <c r="AS292" i="46"/>
  <c r="AT292" i="46"/>
  <c r="BF292" i="46"/>
  <c r="BH292" i="46"/>
  <c r="B293" i="46"/>
  <c r="D293" i="46"/>
  <c r="N293" i="46"/>
  <c r="H293" i="46" s="1"/>
  <c r="Q293" i="46"/>
  <c r="R293" i="46"/>
  <c r="AJ293" i="46"/>
  <c r="AK293" i="46"/>
  <c r="AQ293" i="46"/>
  <c r="AR293" i="46"/>
  <c r="AS293" i="46"/>
  <c r="AT293" i="46"/>
  <c r="BF293" i="46"/>
  <c r="BH293" i="46"/>
  <c r="B294" i="46"/>
  <c r="D294" i="46"/>
  <c r="N294" i="46"/>
  <c r="H294" i="46" s="1"/>
  <c r="Q294" i="46"/>
  <c r="R294" i="46"/>
  <c r="AJ294" i="46"/>
  <c r="AK294" i="46"/>
  <c r="AQ294" i="46"/>
  <c r="AR294" i="46"/>
  <c r="AS294" i="46"/>
  <c r="AT294" i="46"/>
  <c r="BF294" i="46"/>
  <c r="BH294" i="46"/>
  <c r="B295" i="46"/>
  <c r="D295" i="46"/>
  <c r="N295" i="46"/>
  <c r="Q295" i="46"/>
  <c r="R295" i="46"/>
  <c r="AJ295" i="46"/>
  <c r="AK295" i="46"/>
  <c r="AQ295" i="46"/>
  <c r="AR295" i="46"/>
  <c r="AS295" i="46"/>
  <c r="AT295" i="46"/>
  <c r="BF295" i="46"/>
  <c r="BH295" i="46"/>
  <c r="B296" i="46"/>
  <c r="D296" i="46"/>
  <c r="N296" i="46"/>
  <c r="Q296" i="46"/>
  <c r="R296" i="46"/>
  <c r="AJ296" i="46"/>
  <c r="AK296" i="46"/>
  <c r="AP296" i="46"/>
  <c r="AQ296" i="46"/>
  <c r="AR296" i="46"/>
  <c r="AS296" i="46"/>
  <c r="BG296" i="46" s="1"/>
  <c r="AT296" i="46"/>
  <c r="BH296" i="46"/>
  <c r="B297" i="46"/>
  <c r="D297" i="46"/>
  <c r="N297" i="46"/>
  <c r="Q297" i="46"/>
  <c r="R297" i="46"/>
  <c r="AJ297" i="46"/>
  <c r="AK297" i="46"/>
  <c r="AO297" i="46"/>
  <c r="AP297" i="46"/>
  <c r="AQ297" i="46"/>
  <c r="AR297" i="46"/>
  <c r="AS297" i="46"/>
  <c r="F297" i="46" s="1"/>
  <c r="AT297" i="46"/>
  <c r="BH297" i="46"/>
  <c r="B298" i="46"/>
  <c r="D298" i="46"/>
  <c r="N298" i="46"/>
  <c r="Q298" i="46"/>
  <c r="R298" i="46"/>
  <c r="AJ298" i="46"/>
  <c r="AK298" i="46"/>
  <c r="AR298" i="46"/>
  <c r="AS298" i="46"/>
  <c r="AT298" i="46"/>
  <c r="BH298" i="46"/>
  <c r="B299" i="46"/>
  <c r="D299" i="46"/>
  <c r="N299" i="46"/>
  <c r="Q299" i="46"/>
  <c r="R299" i="46"/>
  <c r="AJ299" i="46"/>
  <c r="AK299" i="46"/>
  <c r="AR299" i="46"/>
  <c r="AS299" i="46"/>
  <c r="AT299" i="46"/>
  <c r="BH299" i="46"/>
  <c r="B300" i="46"/>
  <c r="D300" i="46"/>
  <c r="N300" i="46"/>
  <c r="Q300" i="46"/>
  <c r="R300" i="46"/>
  <c r="AJ300" i="46"/>
  <c r="AK300" i="46"/>
  <c r="AQ300" i="46"/>
  <c r="AR300" i="46"/>
  <c r="AS300" i="46"/>
  <c r="AT300" i="46"/>
  <c r="BH300" i="46"/>
  <c r="B301" i="46"/>
  <c r="D301" i="46"/>
  <c r="N301" i="46"/>
  <c r="Q301" i="46"/>
  <c r="R301" i="46"/>
  <c r="AJ301" i="46"/>
  <c r="AK301" i="46"/>
  <c r="AQ301" i="46"/>
  <c r="AR301" i="46"/>
  <c r="AS301" i="46"/>
  <c r="AT301" i="46"/>
  <c r="BH301" i="46"/>
  <c r="B302" i="46"/>
  <c r="D302" i="46"/>
  <c r="N302" i="46"/>
  <c r="H302" i="46" s="1"/>
  <c r="Q302" i="46"/>
  <c r="R302" i="46"/>
  <c r="AJ302" i="46"/>
  <c r="AK302" i="46"/>
  <c r="AO302" i="46"/>
  <c r="AP302" i="46"/>
  <c r="AQ302" i="46"/>
  <c r="AR302" i="46"/>
  <c r="AS302" i="46"/>
  <c r="BG302" i="46" s="1"/>
  <c r="AT302" i="46"/>
  <c r="BH302" i="46"/>
  <c r="B303" i="46"/>
  <c r="D303" i="46"/>
  <c r="N303" i="46"/>
  <c r="H303" i="46" s="1"/>
  <c r="Q303" i="46"/>
  <c r="R303" i="46"/>
  <c r="AJ303" i="46"/>
  <c r="AK303" i="46"/>
  <c r="AP303" i="46"/>
  <c r="AQ303" i="46"/>
  <c r="AR303" i="46"/>
  <c r="AS303" i="46"/>
  <c r="AT303" i="46"/>
  <c r="BH303" i="46"/>
  <c r="B304" i="46"/>
  <c r="D304" i="46"/>
  <c r="N304" i="46"/>
  <c r="H304" i="46" s="1"/>
  <c r="Q304" i="46"/>
  <c r="R304" i="46"/>
  <c r="AJ304" i="46"/>
  <c r="AK304" i="46"/>
  <c r="AP304" i="46"/>
  <c r="AQ304" i="46"/>
  <c r="AR304" i="46"/>
  <c r="AS304" i="46"/>
  <c r="AT304" i="46"/>
  <c r="BH304" i="46"/>
  <c r="N305" i="46"/>
  <c r="Q305" i="46"/>
  <c r="R305" i="46"/>
  <c r="AJ305" i="46"/>
  <c r="AK305" i="46"/>
  <c r="AO305" i="46"/>
  <c r="AP305" i="46"/>
  <c r="AQ305" i="46"/>
  <c r="AR305" i="46"/>
  <c r="AS305" i="46"/>
  <c r="BG305" i="46" s="1"/>
  <c r="AT305" i="46"/>
  <c r="BH305" i="46"/>
  <c r="B306" i="46"/>
  <c r="D306" i="46"/>
  <c r="N306" i="46"/>
  <c r="Q306" i="46"/>
  <c r="R306" i="46"/>
  <c r="AJ306" i="46"/>
  <c r="AK306" i="46"/>
  <c r="AP306" i="46"/>
  <c r="AQ306" i="46"/>
  <c r="AR306" i="46"/>
  <c r="AS306" i="46"/>
  <c r="AT306" i="46"/>
  <c r="BH306" i="46"/>
  <c r="B307" i="46"/>
  <c r="D307" i="46"/>
  <c r="N307" i="46"/>
  <c r="Q307" i="46"/>
  <c r="R307" i="46"/>
  <c r="AJ307" i="46"/>
  <c r="AK307" i="46"/>
  <c r="AO307" i="46"/>
  <c r="AP307" i="46"/>
  <c r="AQ307" i="46"/>
  <c r="AR307" i="46"/>
  <c r="AS307" i="46"/>
  <c r="BG307" i="46" s="1"/>
  <c r="AT307" i="46"/>
  <c r="BF307" i="46"/>
  <c r="BH307" i="46"/>
  <c r="B308" i="46"/>
  <c r="D308" i="46"/>
  <c r="N308" i="46"/>
  <c r="Q308" i="46"/>
  <c r="R308" i="46"/>
  <c r="AJ308" i="46"/>
  <c r="AK308" i="46"/>
  <c r="AO308" i="46"/>
  <c r="AP308" i="46"/>
  <c r="AQ308" i="46"/>
  <c r="AR308" i="46"/>
  <c r="AS308" i="46"/>
  <c r="BG308" i="46" s="1"/>
  <c r="AT308" i="46"/>
  <c r="BF308" i="46"/>
  <c r="BH308" i="46"/>
  <c r="N309" i="46"/>
  <c r="Q309" i="46"/>
  <c r="R309" i="46"/>
  <c r="AJ309" i="46"/>
  <c r="AK309" i="46"/>
  <c r="AO309" i="46"/>
  <c r="AP309" i="46"/>
  <c r="AQ309" i="46"/>
  <c r="AR309" i="46"/>
  <c r="L309" i="46" s="1"/>
  <c r="AS309" i="46"/>
  <c r="F309" i="46" s="1"/>
  <c r="AT309" i="46"/>
  <c r="BH309" i="46"/>
  <c r="B310" i="46"/>
  <c r="D310" i="46"/>
  <c r="N310" i="46"/>
  <c r="H310" i="46" s="1"/>
  <c r="Q310" i="46"/>
  <c r="R310" i="46"/>
  <c r="AJ310" i="46"/>
  <c r="AK310" i="46"/>
  <c r="AO310" i="46"/>
  <c r="AP310" i="46"/>
  <c r="AQ310" i="46"/>
  <c r="AR310" i="46"/>
  <c r="AS310" i="46"/>
  <c r="BG310" i="46" s="1"/>
  <c r="AT310" i="46"/>
  <c r="BF310" i="46"/>
  <c r="BH310" i="46"/>
  <c r="B311" i="46"/>
  <c r="D311" i="46"/>
  <c r="N311" i="46"/>
  <c r="J311" i="46" s="1"/>
  <c r="Q311" i="46"/>
  <c r="R311" i="46"/>
  <c r="AJ311" i="46"/>
  <c r="AK311" i="46"/>
  <c r="AO311" i="46"/>
  <c r="AP311" i="46"/>
  <c r="AQ311" i="46"/>
  <c r="AR311" i="46"/>
  <c r="AS311" i="46"/>
  <c r="BG311" i="46" s="1"/>
  <c r="AT311" i="46"/>
  <c r="BF311" i="46"/>
  <c r="BH311" i="46"/>
  <c r="N312" i="46"/>
  <c r="Q312" i="46"/>
  <c r="R312" i="46"/>
  <c r="AJ312" i="46"/>
  <c r="AK312" i="46"/>
  <c r="AO312" i="46"/>
  <c r="AP312" i="46"/>
  <c r="AQ312" i="46"/>
  <c r="AR312" i="46"/>
  <c r="AS312" i="46"/>
  <c r="BG312" i="46" s="1"/>
  <c r="AT312" i="46"/>
  <c r="BH312" i="46"/>
  <c r="B313" i="46"/>
  <c r="D313" i="46"/>
  <c r="N313" i="46"/>
  <c r="H313" i="46" s="1"/>
  <c r="Q313" i="46"/>
  <c r="R313" i="46"/>
  <c r="AJ313" i="46"/>
  <c r="AK313" i="46"/>
  <c r="AP313" i="46"/>
  <c r="AQ313" i="46"/>
  <c r="AR313" i="46"/>
  <c r="AS313" i="46"/>
  <c r="AT313" i="46"/>
  <c r="BH313" i="46"/>
  <c r="B314" i="46"/>
  <c r="D314" i="46"/>
  <c r="N314" i="46"/>
  <c r="Q314" i="46"/>
  <c r="R314" i="46"/>
  <c r="AJ314" i="46"/>
  <c r="AK314" i="46"/>
  <c r="AO314" i="46"/>
  <c r="AP314" i="46"/>
  <c r="AQ314" i="46"/>
  <c r="AR314" i="46"/>
  <c r="AS314" i="46"/>
  <c r="AT314" i="46"/>
  <c r="BH314" i="46"/>
  <c r="B315" i="46"/>
  <c r="D315" i="46"/>
  <c r="N315" i="46"/>
  <c r="Q315" i="46"/>
  <c r="R315" i="46"/>
  <c r="AJ315" i="46"/>
  <c r="AK315" i="46"/>
  <c r="AO315" i="46"/>
  <c r="AP315" i="46"/>
  <c r="AQ315" i="46"/>
  <c r="AR315" i="46"/>
  <c r="AS315" i="46"/>
  <c r="BG315" i="46" s="1"/>
  <c r="AT315" i="46"/>
  <c r="BH315" i="46"/>
  <c r="B316" i="46"/>
  <c r="D316" i="46"/>
  <c r="N316" i="46"/>
  <c r="H316" i="46" s="1"/>
  <c r="Q316" i="46"/>
  <c r="R316" i="46"/>
  <c r="AJ316" i="46"/>
  <c r="AK316" i="46"/>
  <c r="AP316" i="46"/>
  <c r="AQ316" i="46"/>
  <c r="AR316" i="46"/>
  <c r="AS316" i="46"/>
  <c r="AT316" i="46"/>
  <c r="BH316" i="46"/>
  <c r="B317" i="46"/>
  <c r="D317" i="46"/>
  <c r="N317" i="46"/>
  <c r="H317" i="46" s="1"/>
  <c r="Q317" i="46"/>
  <c r="R317" i="46"/>
  <c r="AJ317" i="46"/>
  <c r="AK317" i="46"/>
  <c r="AP317" i="46"/>
  <c r="AQ317" i="46"/>
  <c r="AR317" i="46"/>
  <c r="AS317" i="46"/>
  <c r="AT317" i="46"/>
  <c r="BF317" i="46"/>
  <c r="BH317" i="46"/>
  <c r="B318" i="46"/>
  <c r="D318" i="46"/>
  <c r="N318" i="46"/>
  <c r="H318" i="46" s="1"/>
  <c r="Q318" i="46"/>
  <c r="R318" i="46"/>
  <c r="AJ318" i="46"/>
  <c r="AK318" i="46"/>
  <c r="AP318" i="46"/>
  <c r="AQ318" i="46"/>
  <c r="AR318" i="46"/>
  <c r="AS318" i="46"/>
  <c r="AT318" i="46"/>
  <c r="BH318" i="46"/>
  <c r="B319" i="46"/>
  <c r="D319" i="46"/>
  <c r="N319" i="46"/>
  <c r="Q319" i="46"/>
  <c r="R319" i="46"/>
  <c r="AJ319" i="46"/>
  <c r="AK319" i="46"/>
  <c r="AP319" i="46"/>
  <c r="AQ319" i="46"/>
  <c r="AR319" i="46"/>
  <c r="AS319" i="46"/>
  <c r="AT319" i="46"/>
  <c r="BF319" i="46"/>
  <c r="BH319" i="46"/>
  <c r="B320" i="46"/>
  <c r="D320" i="46"/>
  <c r="N320" i="46"/>
  <c r="Q320" i="46"/>
  <c r="R320" i="46"/>
  <c r="AJ320" i="46"/>
  <c r="AK320" i="46"/>
  <c r="AP320" i="46"/>
  <c r="AQ320" i="46"/>
  <c r="AR320" i="46"/>
  <c r="AS320" i="46"/>
  <c r="AT320" i="46"/>
  <c r="BH320" i="46"/>
  <c r="B321" i="46"/>
  <c r="D321" i="46"/>
  <c r="N321" i="46"/>
  <c r="J321" i="46" s="1"/>
  <c r="Q321" i="46"/>
  <c r="R321" i="46"/>
  <c r="AJ321" i="46"/>
  <c r="AK321" i="46"/>
  <c r="AP321" i="46"/>
  <c r="AQ321" i="46"/>
  <c r="AR321" i="46"/>
  <c r="AS321" i="46"/>
  <c r="AT321" i="46"/>
  <c r="BF321" i="46"/>
  <c r="BH321" i="46"/>
  <c r="B322" i="46"/>
  <c r="D322" i="46"/>
  <c r="N322" i="46"/>
  <c r="Q322" i="46"/>
  <c r="R322" i="46"/>
  <c r="AJ322" i="46"/>
  <c r="AK322" i="46"/>
  <c r="AP322" i="46"/>
  <c r="AQ322" i="46"/>
  <c r="AR322" i="46"/>
  <c r="AS322" i="46"/>
  <c r="AT322" i="46"/>
  <c r="BH322" i="46"/>
  <c r="B323" i="46"/>
  <c r="D323" i="46"/>
  <c r="N323" i="46"/>
  <c r="J323" i="46" s="1"/>
  <c r="Q323" i="46"/>
  <c r="R323" i="46"/>
  <c r="AJ323" i="46"/>
  <c r="AK323" i="46"/>
  <c r="AP323" i="46"/>
  <c r="AQ323" i="46"/>
  <c r="AR323" i="46"/>
  <c r="AS323" i="46"/>
  <c r="AT323" i="46"/>
  <c r="BF323" i="46"/>
  <c r="BH323" i="46"/>
  <c r="B324" i="46"/>
  <c r="D324" i="46"/>
  <c r="N324" i="46"/>
  <c r="J324" i="46" s="1"/>
  <c r="Q324" i="46"/>
  <c r="R324" i="46"/>
  <c r="AJ324" i="46"/>
  <c r="AK324" i="46"/>
  <c r="AP324" i="46"/>
  <c r="AQ324" i="46"/>
  <c r="AR324" i="46"/>
  <c r="AS324" i="46"/>
  <c r="AT324" i="46"/>
  <c r="BH324" i="46"/>
  <c r="B325" i="46"/>
  <c r="D325" i="46"/>
  <c r="N325" i="46"/>
  <c r="H325" i="46" s="1"/>
  <c r="Q325" i="46"/>
  <c r="R325" i="46"/>
  <c r="AJ325" i="46"/>
  <c r="AK325" i="46"/>
  <c r="AP325" i="46"/>
  <c r="AQ325" i="46"/>
  <c r="AR325" i="46"/>
  <c r="AS325" i="46"/>
  <c r="AT325" i="46"/>
  <c r="BF325" i="46"/>
  <c r="BH325" i="46"/>
  <c r="B326" i="46"/>
  <c r="D326" i="46"/>
  <c r="N326" i="46"/>
  <c r="J326" i="46" s="1"/>
  <c r="Q326" i="46"/>
  <c r="R326" i="46"/>
  <c r="AJ326" i="46"/>
  <c r="AK326" i="46"/>
  <c r="AP326" i="46"/>
  <c r="AQ326" i="46"/>
  <c r="AR326" i="46"/>
  <c r="AS326" i="46"/>
  <c r="AT326" i="46"/>
  <c r="BH326" i="46"/>
  <c r="B327" i="46"/>
  <c r="D327" i="46"/>
  <c r="N327" i="46"/>
  <c r="H327" i="46" s="1"/>
  <c r="Q327" i="46"/>
  <c r="R327" i="46"/>
  <c r="AJ327" i="46"/>
  <c r="AK327" i="46"/>
  <c r="AP327" i="46"/>
  <c r="AQ327" i="46"/>
  <c r="AR327" i="46"/>
  <c r="AS327" i="46"/>
  <c r="AT327" i="46"/>
  <c r="BF327" i="46"/>
  <c r="BH327" i="46"/>
  <c r="B328" i="46"/>
  <c r="D328" i="46"/>
  <c r="N328" i="46"/>
  <c r="J328" i="46" s="1"/>
  <c r="Q328" i="46"/>
  <c r="R328" i="46"/>
  <c r="AJ328" i="46"/>
  <c r="AK328" i="46"/>
  <c r="AP328" i="46"/>
  <c r="AQ328" i="46"/>
  <c r="AR328" i="46"/>
  <c r="AS328" i="46"/>
  <c r="AT328" i="46"/>
  <c r="BH328" i="46"/>
  <c r="B329" i="46"/>
  <c r="D329" i="46"/>
  <c r="N329" i="46"/>
  <c r="H329" i="46" s="1"/>
  <c r="Q329" i="46"/>
  <c r="R329" i="46"/>
  <c r="AJ329" i="46"/>
  <c r="AK329" i="46"/>
  <c r="AP329" i="46"/>
  <c r="AQ329" i="46"/>
  <c r="AR329" i="46"/>
  <c r="AS329" i="46"/>
  <c r="AT329" i="46"/>
  <c r="BF329" i="46"/>
  <c r="BH329" i="46"/>
  <c r="B330" i="46"/>
  <c r="D330" i="46"/>
  <c r="N330" i="46"/>
  <c r="Q330" i="46"/>
  <c r="R330" i="46"/>
  <c r="AJ330" i="46"/>
  <c r="AK330" i="46"/>
  <c r="AP330" i="46"/>
  <c r="AQ330" i="46"/>
  <c r="AR330" i="46"/>
  <c r="AS330" i="46"/>
  <c r="AT330" i="46"/>
  <c r="BH330" i="46"/>
  <c r="B331" i="46"/>
  <c r="D331" i="46"/>
  <c r="N331" i="46"/>
  <c r="L331" i="46" s="1"/>
  <c r="Q331" i="46"/>
  <c r="R331" i="46"/>
  <c r="AJ331" i="46"/>
  <c r="AK331" i="46"/>
  <c r="AP331" i="46"/>
  <c r="AQ331" i="46"/>
  <c r="AR331" i="46"/>
  <c r="AS331" i="46"/>
  <c r="AT331" i="46"/>
  <c r="BF331" i="46"/>
  <c r="BH331" i="46"/>
  <c r="B332" i="46"/>
  <c r="D332" i="46"/>
  <c r="N332" i="46"/>
  <c r="Q332" i="46"/>
  <c r="R332" i="46"/>
  <c r="AJ332" i="46"/>
  <c r="AK332" i="46"/>
  <c r="AP332" i="46"/>
  <c r="AQ332" i="46"/>
  <c r="AR332" i="46"/>
  <c r="AS332" i="46"/>
  <c r="AT332" i="46"/>
  <c r="BH332" i="46"/>
  <c r="B333" i="46"/>
  <c r="D333" i="46"/>
  <c r="N333" i="46"/>
  <c r="Q333" i="46"/>
  <c r="R333" i="46"/>
  <c r="AJ333" i="46"/>
  <c r="AK333" i="46"/>
  <c r="AP333" i="46"/>
  <c r="AQ333" i="46"/>
  <c r="AR333" i="46"/>
  <c r="AS333" i="46"/>
  <c r="AT333" i="46"/>
  <c r="BF333" i="46"/>
  <c r="BH333" i="46"/>
  <c r="B334" i="46"/>
  <c r="D334" i="46"/>
  <c r="N334" i="46"/>
  <c r="H334" i="46" s="1"/>
  <c r="Q334" i="46"/>
  <c r="R334" i="46"/>
  <c r="AJ334" i="46"/>
  <c r="AK334" i="46"/>
  <c r="AP334" i="46"/>
  <c r="AQ334" i="46"/>
  <c r="AR334" i="46"/>
  <c r="AS334" i="46"/>
  <c r="AT334" i="46"/>
  <c r="BH334" i="46"/>
  <c r="B335" i="46"/>
  <c r="D335" i="46"/>
  <c r="N335" i="46"/>
  <c r="Q335" i="46"/>
  <c r="R335" i="46"/>
  <c r="AJ335" i="46"/>
  <c r="AK335" i="46"/>
  <c r="AP335" i="46"/>
  <c r="AQ335" i="46"/>
  <c r="AR335" i="46"/>
  <c r="AS335" i="46"/>
  <c r="AT335" i="46"/>
  <c r="BF335" i="46"/>
  <c r="BH335" i="46"/>
  <c r="B336" i="46"/>
  <c r="D336" i="46"/>
  <c r="N336" i="46"/>
  <c r="H336" i="46" s="1"/>
  <c r="Q336" i="46"/>
  <c r="R336" i="46"/>
  <c r="AJ336" i="46"/>
  <c r="AK336" i="46"/>
  <c r="AP336" i="46"/>
  <c r="AQ336" i="46"/>
  <c r="AR336" i="46"/>
  <c r="AS336" i="46"/>
  <c r="AT336" i="46"/>
  <c r="BF336" i="46"/>
  <c r="BH336" i="46"/>
  <c r="B337" i="46"/>
  <c r="D337" i="46"/>
  <c r="N337" i="46"/>
  <c r="J337" i="46" s="1"/>
  <c r="Q337" i="46"/>
  <c r="R337" i="46"/>
  <c r="AJ337" i="46"/>
  <c r="AK337" i="46"/>
  <c r="AP337" i="46"/>
  <c r="AQ337" i="46"/>
  <c r="AR337" i="46"/>
  <c r="AS337" i="46"/>
  <c r="AT337" i="46"/>
  <c r="BF337" i="46"/>
  <c r="BH337" i="46"/>
  <c r="B338" i="46"/>
  <c r="D338" i="46"/>
  <c r="N338" i="46"/>
  <c r="Q338" i="46"/>
  <c r="R338" i="46"/>
  <c r="AJ338" i="46"/>
  <c r="AK338" i="46"/>
  <c r="AP338" i="46"/>
  <c r="AQ338" i="46"/>
  <c r="AR338" i="46"/>
  <c r="AS338" i="46"/>
  <c r="AT338" i="46"/>
  <c r="BF338" i="46"/>
  <c r="BH338" i="46"/>
  <c r="B339" i="46"/>
  <c r="D339" i="46"/>
  <c r="N339" i="46"/>
  <c r="Q339" i="46"/>
  <c r="R339" i="46"/>
  <c r="AJ339" i="46"/>
  <c r="AK339" i="46"/>
  <c r="AP339" i="46"/>
  <c r="AQ339" i="46"/>
  <c r="AR339" i="46"/>
  <c r="AS339" i="46"/>
  <c r="AT339" i="46"/>
  <c r="BF339" i="46"/>
  <c r="BH339" i="46"/>
  <c r="B340" i="46"/>
  <c r="D340" i="46"/>
  <c r="N340" i="46"/>
  <c r="L340" i="46" s="1"/>
  <c r="Q340" i="46"/>
  <c r="R340" i="46"/>
  <c r="AJ340" i="46"/>
  <c r="AK340" i="46"/>
  <c r="AP340" i="46"/>
  <c r="AQ340" i="46"/>
  <c r="AR340" i="46"/>
  <c r="AS340" i="46"/>
  <c r="AT340" i="46"/>
  <c r="BF340" i="46"/>
  <c r="BH340" i="46"/>
  <c r="B341" i="46"/>
  <c r="D341" i="46"/>
  <c r="N341" i="46"/>
  <c r="Q341" i="46"/>
  <c r="R341" i="46"/>
  <c r="AJ341" i="46"/>
  <c r="AK341" i="46"/>
  <c r="AP341" i="46"/>
  <c r="AQ341" i="46"/>
  <c r="AR341" i="46"/>
  <c r="AS341" i="46"/>
  <c r="AT341" i="46"/>
  <c r="BF341" i="46"/>
  <c r="BH341" i="46"/>
  <c r="B342" i="46"/>
  <c r="D342" i="46"/>
  <c r="N342" i="46"/>
  <c r="J342" i="46" s="1"/>
  <c r="Q342" i="46"/>
  <c r="R342" i="46"/>
  <c r="AJ342" i="46"/>
  <c r="AK342" i="46"/>
  <c r="AP342" i="46"/>
  <c r="AQ342" i="46"/>
  <c r="AR342" i="46"/>
  <c r="AS342" i="46"/>
  <c r="AT342" i="46"/>
  <c r="BF342" i="46"/>
  <c r="BH342" i="46"/>
  <c r="B343" i="46"/>
  <c r="D343" i="46"/>
  <c r="N343" i="46"/>
  <c r="H343" i="46" s="1"/>
  <c r="Q343" i="46"/>
  <c r="R343" i="46"/>
  <c r="AJ343" i="46"/>
  <c r="AK343" i="46"/>
  <c r="AP343" i="46"/>
  <c r="AQ343" i="46"/>
  <c r="AR343" i="46"/>
  <c r="AS343" i="46"/>
  <c r="AT343" i="46"/>
  <c r="BF343" i="46"/>
  <c r="BH343" i="46"/>
  <c r="B344" i="46"/>
  <c r="D344" i="46"/>
  <c r="N344" i="46"/>
  <c r="H344" i="46" s="1"/>
  <c r="Q344" i="46"/>
  <c r="R344" i="46"/>
  <c r="AJ344" i="46"/>
  <c r="AK344" i="46"/>
  <c r="AP344" i="46"/>
  <c r="AQ344" i="46"/>
  <c r="AR344" i="46"/>
  <c r="AS344" i="46"/>
  <c r="AT344" i="46"/>
  <c r="BF344" i="46"/>
  <c r="BH344" i="46"/>
  <c r="B345" i="46"/>
  <c r="D345" i="46"/>
  <c r="N345" i="46"/>
  <c r="L345" i="46" s="1"/>
  <c r="Q345" i="46"/>
  <c r="R345" i="46"/>
  <c r="AJ345" i="46"/>
  <c r="AK345" i="46"/>
  <c r="AP345" i="46"/>
  <c r="AQ345" i="46"/>
  <c r="AR345" i="46"/>
  <c r="AS345" i="46"/>
  <c r="AT345" i="46"/>
  <c r="BF345" i="46"/>
  <c r="BH345" i="46"/>
  <c r="B346" i="46"/>
  <c r="D346" i="46"/>
  <c r="N346" i="46"/>
  <c r="Q346" i="46"/>
  <c r="R346" i="46"/>
  <c r="AJ346" i="46"/>
  <c r="AK346" i="46"/>
  <c r="AP346" i="46"/>
  <c r="AQ346" i="46"/>
  <c r="AR346" i="46"/>
  <c r="AS346" i="46"/>
  <c r="AT346" i="46"/>
  <c r="BF346" i="46"/>
  <c r="BH346" i="46"/>
  <c r="B347" i="46"/>
  <c r="D347" i="46"/>
  <c r="N347" i="46"/>
  <c r="J347" i="46" s="1"/>
  <c r="Q347" i="46"/>
  <c r="R347" i="46"/>
  <c r="AJ347" i="46"/>
  <c r="AK347" i="46"/>
  <c r="AP347" i="46"/>
  <c r="AQ347" i="46"/>
  <c r="AR347" i="46"/>
  <c r="AS347" i="46"/>
  <c r="AT347" i="46"/>
  <c r="BF347" i="46"/>
  <c r="BH347" i="46"/>
  <c r="B348" i="46"/>
  <c r="D348" i="46"/>
  <c r="N348" i="46"/>
  <c r="H348" i="46" s="1"/>
  <c r="Q348" i="46"/>
  <c r="R348" i="46"/>
  <c r="AJ348" i="46"/>
  <c r="AK348" i="46"/>
  <c r="AP348" i="46"/>
  <c r="AQ348" i="46"/>
  <c r="AR348" i="46"/>
  <c r="AS348" i="46"/>
  <c r="AT348" i="46"/>
  <c r="BF348" i="46"/>
  <c r="BH348" i="46"/>
  <c r="B349" i="46"/>
  <c r="D349" i="46"/>
  <c r="N349" i="46"/>
  <c r="J349" i="46" s="1"/>
  <c r="Q349" i="46"/>
  <c r="R349" i="46"/>
  <c r="AJ349" i="46"/>
  <c r="AK349" i="46"/>
  <c r="AP349" i="46"/>
  <c r="AQ349" i="46"/>
  <c r="AR349" i="46"/>
  <c r="AS349" i="46"/>
  <c r="AT349" i="46"/>
  <c r="BF349" i="46"/>
  <c r="BH349" i="46"/>
  <c r="B350" i="46"/>
  <c r="D350" i="46"/>
  <c r="N350" i="46"/>
  <c r="H350" i="46" s="1"/>
  <c r="Q350" i="46"/>
  <c r="R350" i="46"/>
  <c r="AJ350" i="46"/>
  <c r="AK350" i="46"/>
  <c r="AP350" i="46"/>
  <c r="AQ350" i="46"/>
  <c r="AR350" i="46"/>
  <c r="AS350" i="46"/>
  <c r="AT350" i="46"/>
  <c r="BF350" i="46"/>
  <c r="BH350" i="46"/>
  <c r="B351" i="46"/>
  <c r="D351" i="46"/>
  <c r="N351" i="46"/>
  <c r="Q351" i="46"/>
  <c r="R351" i="46"/>
  <c r="AJ351" i="46"/>
  <c r="AK351" i="46"/>
  <c r="AP351" i="46"/>
  <c r="AQ351" i="46"/>
  <c r="AR351" i="46"/>
  <c r="AS351" i="46"/>
  <c r="AT351" i="46"/>
  <c r="BF351" i="46"/>
  <c r="BH351" i="46"/>
  <c r="B352" i="46"/>
  <c r="D352" i="46"/>
  <c r="N352" i="46"/>
  <c r="J352" i="46" s="1"/>
  <c r="Q352" i="46"/>
  <c r="R352" i="46"/>
  <c r="AJ352" i="46"/>
  <c r="AK352" i="46"/>
  <c r="AP352" i="46"/>
  <c r="AQ352" i="46"/>
  <c r="AR352" i="46"/>
  <c r="AS352" i="46"/>
  <c r="AT352" i="46"/>
  <c r="BF352" i="46"/>
  <c r="BH352" i="46"/>
  <c r="B353" i="46"/>
  <c r="D353" i="46"/>
  <c r="N353" i="46"/>
  <c r="L353" i="46" s="1"/>
  <c r="Q353" i="46"/>
  <c r="R353" i="46"/>
  <c r="AJ353" i="46"/>
  <c r="AK353" i="46"/>
  <c r="AP353" i="46"/>
  <c r="AQ353" i="46"/>
  <c r="AR353" i="46"/>
  <c r="AS353" i="46"/>
  <c r="AT353" i="46"/>
  <c r="BF353" i="46"/>
  <c r="BH353" i="46"/>
  <c r="B354" i="46"/>
  <c r="D354" i="46"/>
  <c r="N354" i="46"/>
  <c r="H354" i="46" s="1"/>
  <c r="Q354" i="46"/>
  <c r="R354" i="46"/>
  <c r="AJ354" i="46"/>
  <c r="AK354" i="46"/>
  <c r="AP354" i="46"/>
  <c r="AQ354" i="46"/>
  <c r="AR354" i="46"/>
  <c r="AS354" i="46"/>
  <c r="AT354" i="46"/>
  <c r="BF354" i="46"/>
  <c r="BH354" i="46"/>
  <c r="B355" i="46"/>
  <c r="D355" i="46"/>
  <c r="N355" i="46"/>
  <c r="J355" i="46" s="1"/>
  <c r="Q355" i="46"/>
  <c r="R355" i="46"/>
  <c r="AJ355" i="46"/>
  <c r="AK355" i="46"/>
  <c r="AP355" i="46"/>
  <c r="AQ355" i="46"/>
  <c r="AR355" i="46"/>
  <c r="AS355" i="46"/>
  <c r="AT355" i="46"/>
  <c r="BF355" i="46"/>
  <c r="BH355" i="46"/>
  <c r="N356" i="46"/>
  <c r="Q356" i="46"/>
  <c r="R356" i="46"/>
  <c r="AJ356" i="46"/>
  <c r="AK356" i="46"/>
  <c r="AO356" i="46"/>
  <c r="AS356" i="46"/>
  <c r="BG356" i="46" s="1"/>
  <c r="BH356" i="46"/>
  <c r="N357" i="46"/>
  <c r="Q357" i="46"/>
  <c r="R357" i="46"/>
  <c r="AJ357" i="46"/>
  <c r="AK357" i="46"/>
  <c r="AO357" i="46"/>
  <c r="AS357" i="46"/>
  <c r="F357" i="46" s="1"/>
  <c r="BH357" i="46"/>
  <c r="N358" i="46"/>
  <c r="Q358" i="46"/>
  <c r="R358" i="46"/>
  <c r="AJ358" i="46"/>
  <c r="AK358" i="46"/>
  <c r="AO358" i="46"/>
  <c r="AS358" i="46"/>
  <c r="BG358" i="46" s="1"/>
  <c r="BH358" i="46"/>
  <c r="N359" i="46"/>
  <c r="Q359" i="46"/>
  <c r="R359" i="46"/>
  <c r="AJ359" i="46"/>
  <c r="AK359" i="46"/>
  <c r="AO359" i="46"/>
  <c r="AS359" i="46"/>
  <c r="BG359" i="46" s="1"/>
  <c r="BH359" i="46"/>
  <c r="N360" i="46"/>
  <c r="Q360" i="46"/>
  <c r="R360" i="46"/>
  <c r="AJ360" i="46"/>
  <c r="AK360" i="46"/>
  <c r="AO360" i="46"/>
  <c r="AS360" i="46"/>
  <c r="F360" i="46" s="1"/>
  <c r="BH360" i="46"/>
  <c r="N361" i="46"/>
  <c r="Q361" i="46"/>
  <c r="R361" i="46"/>
  <c r="AJ361" i="46"/>
  <c r="AK361" i="46"/>
  <c r="AO361" i="46"/>
  <c r="AS361" i="46"/>
  <c r="BG361" i="46" s="1"/>
  <c r="BH361" i="46"/>
  <c r="B362" i="46"/>
  <c r="D362" i="46"/>
  <c r="N362" i="46"/>
  <c r="H362" i="46" s="1"/>
  <c r="Q362" i="46"/>
  <c r="R362" i="46"/>
  <c r="AJ362" i="46"/>
  <c r="AK362" i="46"/>
  <c r="AP362" i="46"/>
  <c r="AQ362" i="46"/>
  <c r="AR362" i="46"/>
  <c r="AS362" i="46"/>
  <c r="BH362" i="46"/>
  <c r="B363" i="46"/>
  <c r="D363" i="46"/>
  <c r="N363" i="46"/>
  <c r="J363" i="46" s="1"/>
  <c r="Q363" i="46"/>
  <c r="R363" i="46"/>
  <c r="AJ363" i="46"/>
  <c r="AK363" i="46"/>
  <c r="AP363" i="46"/>
  <c r="AQ363" i="46"/>
  <c r="AR363" i="46"/>
  <c r="AS363" i="46"/>
  <c r="AT363" i="46"/>
  <c r="BH363" i="46"/>
  <c r="N364" i="46"/>
  <c r="Q364" i="46"/>
  <c r="R364" i="46"/>
  <c r="AJ364" i="46"/>
  <c r="AK364" i="46"/>
  <c r="AO364" i="46"/>
  <c r="AR364" i="46"/>
  <c r="AS364" i="46"/>
  <c r="AT364" i="46"/>
  <c r="BH364" i="46"/>
  <c r="B365" i="46"/>
  <c r="D365" i="46"/>
  <c r="N365" i="46"/>
  <c r="J365" i="46" s="1"/>
  <c r="Q365" i="46"/>
  <c r="R365" i="46"/>
  <c r="AJ365" i="46"/>
  <c r="AK365" i="46"/>
  <c r="AQ365" i="46"/>
  <c r="AR365" i="46"/>
  <c r="AS365" i="46"/>
  <c r="BH365" i="46"/>
  <c r="B366" i="46"/>
  <c r="D366" i="46"/>
  <c r="N366" i="46"/>
  <c r="H366" i="46" s="1"/>
  <c r="Q366" i="46"/>
  <c r="R366" i="46"/>
  <c r="AJ366" i="46"/>
  <c r="AK366" i="46"/>
  <c r="AQ366" i="46"/>
  <c r="AR366" i="46"/>
  <c r="AS366" i="46"/>
  <c r="AT366" i="46"/>
  <c r="BH366" i="46"/>
  <c r="N367" i="46"/>
  <c r="Q367" i="46"/>
  <c r="R367" i="46"/>
  <c r="AJ367" i="46"/>
  <c r="AK367" i="46"/>
  <c r="AO367" i="46"/>
  <c r="AR367" i="46"/>
  <c r="AS367" i="46"/>
  <c r="F367" i="46" s="1"/>
  <c r="AT367" i="46"/>
  <c r="BH367" i="46"/>
  <c r="B368" i="46"/>
  <c r="D368" i="46"/>
  <c r="N368" i="46"/>
  <c r="Q368" i="46"/>
  <c r="R368" i="46"/>
  <c r="AJ368" i="46"/>
  <c r="AK368" i="46"/>
  <c r="AO368" i="46"/>
  <c r="AP368" i="46"/>
  <c r="AQ368" i="46"/>
  <c r="AR368" i="46"/>
  <c r="AS368" i="46"/>
  <c r="F368" i="46" s="1"/>
  <c r="AT368" i="46"/>
  <c r="BH368" i="46"/>
  <c r="B369" i="46"/>
  <c r="D369" i="46"/>
  <c r="N369" i="46"/>
  <c r="Q369" i="46"/>
  <c r="R369" i="46"/>
  <c r="AJ369" i="46"/>
  <c r="AK369" i="46"/>
  <c r="AO369" i="46"/>
  <c r="AP369" i="46"/>
  <c r="AQ369" i="46"/>
  <c r="AR369" i="46"/>
  <c r="AS369" i="46"/>
  <c r="BG369" i="46" s="1"/>
  <c r="AT369" i="46"/>
  <c r="BH369" i="46"/>
  <c r="B370" i="46"/>
  <c r="D370" i="46"/>
  <c r="N370" i="46"/>
  <c r="Q370" i="46"/>
  <c r="R370" i="46"/>
  <c r="AJ370" i="46"/>
  <c r="AK370" i="46"/>
  <c r="AO370" i="46"/>
  <c r="AP370" i="46"/>
  <c r="AQ370" i="46"/>
  <c r="AR370" i="46"/>
  <c r="AS370" i="46"/>
  <c r="F370" i="46" s="1"/>
  <c r="AT370" i="46"/>
  <c r="BH370" i="46"/>
  <c r="B371" i="46"/>
  <c r="D371" i="46"/>
  <c r="N371" i="46"/>
  <c r="Q371" i="46"/>
  <c r="R371" i="46"/>
  <c r="AJ371" i="46"/>
  <c r="AK371" i="46"/>
  <c r="AO371" i="46"/>
  <c r="AP371" i="46"/>
  <c r="AQ371" i="46"/>
  <c r="AR371" i="46"/>
  <c r="AS371" i="46"/>
  <c r="BG371" i="46" s="1"/>
  <c r="AT371" i="46"/>
  <c r="BH371" i="46"/>
  <c r="B372" i="46"/>
  <c r="D372" i="46"/>
  <c r="N372" i="46"/>
  <c r="Q372" i="46"/>
  <c r="R372" i="46"/>
  <c r="AJ372" i="46"/>
  <c r="AK372" i="46"/>
  <c r="AO372" i="46"/>
  <c r="AP372" i="46"/>
  <c r="AQ372" i="46"/>
  <c r="AR372" i="46"/>
  <c r="AS372" i="46"/>
  <c r="AT372" i="46"/>
  <c r="BH372" i="46"/>
  <c r="B373" i="46"/>
  <c r="D373" i="46"/>
  <c r="N373" i="46"/>
  <c r="J373" i="46" s="1"/>
  <c r="Q373" i="46"/>
  <c r="R373" i="46"/>
  <c r="AJ373" i="46"/>
  <c r="AK373" i="46"/>
  <c r="AP373" i="46"/>
  <c r="AQ373" i="46"/>
  <c r="AR373" i="46"/>
  <c r="AS373" i="46"/>
  <c r="AT373" i="46"/>
  <c r="BH373" i="46"/>
  <c r="B374" i="46"/>
  <c r="D374" i="46"/>
  <c r="N374" i="46"/>
  <c r="H374" i="46" s="1"/>
  <c r="Q374" i="46"/>
  <c r="R374" i="46"/>
  <c r="AJ374" i="46"/>
  <c r="AK374" i="46"/>
  <c r="AP374" i="46"/>
  <c r="AQ374" i="46"/>
  <c r="AR374" i="46"/>
  <c r="AS374" i="46"/>
  <c r="AT374" i="46"/>
  <c r="BH374" i="46"/>
  <c r="B375" i="46"/>
  <c r="D375" i="46"/>
  <c r="N375" i="46"/>
  <c r="Q375" i="46"/>
  <c r="R375" i="46"/>
  <c r="AJ375" i="46"/>
  <c r="AK375" i="46"/>
  <c r="AP375" i="46"/>
  <c r="AQ375" i="46"/>
  <c r="AR375" i="46"/>
  <c r="AS375" i="46"/>
  <c r="AT375" i="46"/>
  <c r="BH375" i="46"/>
  <c r="B376" i="46"/>
  <c r="D376" i="46"/>
  <c r="N376" i="46"/>
  <c r="Q376" i="46"/>
  <c r="R376" i="46"/>
  <c r="AJ376" i="46"/>
  <c r="AK376" i="46"/>
  <c r="AP376" i="46"/>
  <c r="AQ376" i="46"/>
  <c r="AR376" i="46"/>
  <c r="AS376" i="46"/>
  <c r="AT376" i="46"/>
  <c r="BH376" i="46"/>
  <c r="B377" i="46"/>
  <c r="D377" i="46"/>
  <c r="N377" i="46"/>
  <c r="L377" i="46" s="1"/>
  <c r="Q377" i="46"/>
  <c r="R377" i="46"/>
  <c r="AJ377" i="46"/>
  <c r="AK377" i="46"/>
  <c r="AP377" i="46"/>
  <c r="AQ377" i="46"/>
  <c r="AR377" i="46"/>
  <c r="AS377" i="46"/>
  <c r="AT377" i="46"/>
  <c r="BH377" i="46"/>
  <c r="B378" i="46"/>
  <c r="D378" i="46"/>
  <c r="N378" i="46"/>
  <c r="H378" i="46" s="1"/>
  <c r="Q378" i="46"/>
  <c r="R378" i="46"/>
  <c r="AJ378" i="46"/>
  <c r="AK378" i="46"/>
  <c r="AP378" i="46"/>
  <c r="AQ378" i="46"/>
  <c r="AR378" i="46"/>
  <c r="AS378" i="46"/>
  <c r="F378" i="46" s="1"/>
  <c r="AT378" i="46"/>
  <c r="BH378" i="46"/>
  <c r="N379" i="46"/>
  <c r="Q379" i="46"/>
  <c r="R379" i="46"/>
  <c r="AJ379" i="46"/>
  <c r="AK379" i="46"/>
  <c r="AO379" i="46"/>
  <c r="AP379" i="46"/>
  <c r="AQ379" i="46"/>
  <c r="AR379" i="46"/>
  <c r="AS379" i="46"/>
  <c r="BG379" i="46" s="1"/>
  <c r="AT379" i="46"/>
  <c r="BH379" i="46"/>
  <c r="B380" i="46"/>
  <c r="D380" i="46"/>
  <c r="N380" i="46"/>
  <c r="Q380" i="46"/>
  <c r="R380" i="46"/>
  <c r="AJ380" i="46"/>
  <c r="AK380" i="46"/>
  <c r="AP380" i="46"/>
  <c r="AQ380" i="46"/>
  <c r="AR380" i="46"/>
  <c r="AS380" i="46"/>
  <c r="AT380" i="46"/>
  <c r="BH380" i="46"/>
  <c r="B381" i="46"/>
  <c r="D381" i="46"/>
  <c r="N381" i="46"/>
  <c r="L381" i="46" s="1"/>
  <c r="Q381" i="46"/>
  <c r="R381" i="46"/>
  <c r="AJ381" i="46"/>
  <c r="AK381" i="46"/>
  <c r="AP381" i="46"/>
  <c r="AQ381" i="46"/>
  <c r="AR381" i="46"/>
  <c r="AS381" i="46"/>
  <c r="AT381" i="46"/>
  <c r="BH381" i="46"/>
  <c r="B382" i="46"/>
  <c r="D382" i="46"/>
  <c r="N382" i="46"/>
  <c r="Q382" i="46"/>
  <c r="R382" i="46"/>
  <c r="AJ382" i="46"/>
  <c r="AK382" i="46"/>
  <c r="AP382" i="46"/>
  <c r="AQ382" i="46"/>
  <c r="AR382" i="46"/>
  <c r="AS382" i="46"/>
  <c r="AT382" i="46"/>
  <c r="BH382" i="46"/>
  <c r="B383" i="46"/>
  <c r="D383" i="46"/>
  <c r="N383" i="46"/>
  <c r="J383" i="46" s="1"/>
  <c r="Q383" i="46"/>
  <c r="R383" i="46"/>
  <c r="AJ383" i="46"/>
  <c r="AK383" i="46"/>
  <c r="AP383" i="46"/>
  <c r="AQ383" i="46"/>
  <c r="AR383" i="46"/>
  <c r="AS383" i="46"/>
  <c r="F383" i="46" s="1"/>
  <c r="AT383" i="46"/>
  <c r="BH383" i="46"/>
  <c r="N384" i="46"/>
  <c r="Q384" i="46"/>
  <c r="R384" i="46"/>
  <c r="AJ384" i="46"/>
  <c r="AK384" i="46"/>
  <c r="AO384" i="46"/>
  <c r="AP384" i="46"/>
  <c r="AQ384" i="46"/>
  <c r="AR384" i="46"/>
  <c r="AS384" i="46"/>
  <c r="F384" i="46" s="1"/>
  <c r="AT384" i="46"/>
  <c r="BH384" i="46"/>
  <c r="B385" i="46"/>
  <c r="D385" i="46"/>
  <c r="N385" i="46"/>
  <c r="Q385" i="46"/>
  <c r="R385" i="46"/>
  <c r="AJ385" i="46"/>
  <c r="AK385" i="46"/>
  <c r="AO385" i="46"/>
  <c r="AP385" i="46"/>
  <c r="AQ385" i="46"/>
  <c r="AR385" i="46"/>
  <c r="AS385" i="46"/>
  <c r="BG385" i="46" s="1"/>
  <c r="AT385" i="46"/>
  <c r="BH385" i="46"/>
  <c r="B386" i="46"/>
  <c r="D386" i="46"/>
  <c r="N386" i="46"/>
  <c r="Q386" i="46"/>
  <c r="R386" i="46"/>
  <c r="AJ386" i="46"/>
  <c r="AK386" i="46"/>
  <c r="AP386" i="46"/>
  <c r="AQ386" i="46"/>
  <c r="AR386" i="46"/>
  <c r="AS386" i="46"/>
  <c r="F386" i="46" s="1"/>
  <c r="AT386" i="46"/>
  <c r="BH386" i="46"/>
  <c r="B387" i="46"/>
  <c r="D387" i="46"/>
  <c r="N387" i="46"/>
  <c r="Q387" i="46"/>
  <c r="R387" i="46"/>
  <c r="AJ387" i="46"/>
  <c r="AK387" i="46"/>
  <c r="AR387" i="46"/>
  <c r="AS387" i="46"/>
  <c r="AT387" i="46"/>
  <c r="BF387" i="46"/>
  <c r="BH387" i="46"/>
  <c r="B388" i="46"/>
  <c r="D388" i="46"/>
  <c r="N388" i="46"/>
  <c r="H388" i="46" s="1"/>
  <c r="Q388" i="46"/>
  <c r="R388" i="46"/>
  <c r="AJ388" i="46"/>
  <c r="AK388" i="46"/>
  <c r="AR388" i="46"/>
  <c r="AS388" i="46"/>
  <c r="AT388" i="46"/>
  <c r="BF388" i="46"/>
  <c r="BH388" i="46"/>
  <c r="B389" i="46"/>
  <c r="D389" i="46"/>
  <c r="N389" i="46"/>
  <c r="H389" i="46" s="1"/>
  <c r="Q389" i="46"/>
  <c r="R389" i="46"/>
  <c r="AJ389" i="46"/>
  <c r="AK389" i="46"/>
  <c r="AR389" i="46"/>
  <c r="AS389" i="46"/>
  <c r="AT389" i="46"/>
  <c r="BF389" i="46"/>
  <c r="BH389" i="46"/>
  <c r="B390" i="46"/>
  <c r="D390" i="46"/>
  <c r="N390" i="46"/>
  <c r="H390" i="46" s="1"/>
  <c r="Q390" i="46"/>
  <c r="R390" i="46"/>
  <c r="AJ390" i="46"/>
  <c r="AK390" i="46"/>
  <c r="AR390" i="46"/>
  <c r="AS390" i="46"/>
  <c r="AT390" i="46"/>
  <c r="BF390" i="46"/>
  <c r="BH390" i="46"/>
  <c r="N391" i="46"/>
  <c r="Q391" i="46"/>
  <c r="R391" i="46"/>
  <c r="AJ391" i="46"/>
  <c r="AK391" i="46"/>
  <c r="AO391" i="46"/>
  <c r="AP391" i="46"/>
  <c r="AQ391" i="46"/>
  <c r="AR391" i="46"/>
  <c r="AS391" i="46"/>
  <c r="F391" i="46" s="1"/>
  <c r="AT391" i="46"/>
  <c r="BH391" i="46"/>
  <c r="B392" i="46"/>
  <c r="D392" i="46"/>
  <c r="N392" i="46"/>
  <c r="Q392" i="46"/>
  <c r="R392" i="46"/>
  <c r="AJ392" i="46"/>
  <c r="AK392" i="46"/>
  <c r="AR392" i="46"/>
  <c r="AS392" i="46"/>
  <c r="AT392" i="46"/>
  <c r="BF392" i="46"/>
  <c r="BH392" i="46"/>
  <c r="B393" i="46"/>
  <c r="D393" i="46"/>
  <c r="N393" i="46"/>
  <c r="L393" i="46" s="1"/>
  <c r="Q393" i="46"/>
  <c r="R393" i="46"/>
  <c r="AJ393" i="46"/>
  <c r="AK393" i="46"/>
  <c r="AR393" i="46"/>
  <c r="AS393" i="46"/>
  <c r="AT393" i="46"/>
  <c r="BF393" i="46"/>
  <c r="BH393" i="46"/>
  <c r="B394" i="46"/>
  <c r="D394" i="46"/>
  <c r="N394" i="46"/>
  <c r="H394" i="46" s="1"/>
  <c r="Q394" i="46"/>
  <c r="R394" i="46"/>
  <c r="AJ394" i="46"/>
  <c r="AK394" i="46"/>
  <c r="AR394" i="46"/>
  <c r="AS394" i="46"/>
  <c r="AT394" i="46"/>
  <c r="BF394" i="46"/>
  <c r="BH394" i="46"/>
  <c r="B395" i="46"/>
  <c r="D395" i="46"/>
  <c r="N395" i="46"/>
  <c r="J395" i="46" s="1"/>
  <c r="Q395" i="46"/>
  <c r="R395" i="46"/>
  <c r="AJ395" i="46"/>
  <c r="AK395" i="46"/>
  <c r="AR395" i="46"/>
  <c r="AS395" i="46"/>
  <c r="AT395" i="46"/>
  <c r="BF395" i="46"/>
  <c r="BH395" i="46"/>
  <c r="N396" i="46"/>
  <c r="Q396" i="46"/>
  <c r="R396" i="46"/>
  <c r="AJ396" i="46"/>
  <c r="AK396" i="46"/>
  <c r="AO396" i="46"/>
  <c r="AP396" i="46"/>
  <c r="AQ396" i="46"/>
  <c r="AR396" i="46"/>
  <c r="L396" i="46" s="1"/>
  <c r="AS396" i="46"/>
  <c r="BG396" i="46" s="1"/>
  <c r="AT396" i="46"/>
  <c r="BH396" i="46"/>
  <c r="B397" i="46"/>
  <c r="D397" i="46"/>
  <c r="Q397" i="46"/>
  <c r="R397" i="46"/>
  <c r="AJ397" i="46"/>
  <c r="AK397" i="46"/>
  <c r="AQ397" i="46"/>
  <c r="AR397" i="46"/>
  <c r="AS397" i="46"/>
  <c r="AT397" i="46"/>
  <c r="BH397" i="46"/>
  <c r="B398" i="46"/>
  <c r="D398" i="46"/>
  <c r="N398" i="46"/>
  <c r="Q398" i="46"/>
  <c r="R398" i="46"/>
  <c r="AJ398" i="46"/>
  <c r="AK398" i="46"/>
  <c r="AP398" i="46"/>
  <c r="AQ398" i="46"/>
  <c r="AR398" i="46"/>
  <c r="AS398" i="46"/>
  <c r="AT398" i="46"/>
  <c r="BH398" i="46"/>
  <c r="N399" i="46"/>
  <c r="Q399" i="46"/>
  <c r="R399" i="46"/>
  <c r="AJ399" i="46"/>
  <c r="AK399" i="46"/>
  <c r="AO399" i="46"/>
  <c r="AP399" i="46"/>
  <c r="AQ399" i="46"/>
  <c r="AR399" i="46"/>
  <c r="AS399" i="46"/>
  <c r="AT399" i="46"/>
  <c r="BH399" i="46"/>
  <c r="B400" i="46"/>
  <c r="D400" i="46"/>
  <c r="Q400" i="46"/>
  <c r="R400" i="46"/>
  <c r="AJ400" i="46"/>
  <c r="AK400" i="46"/>
  <c r="AQ400" i="46"/>
  <c r="AR400" i="46"/>
  <c r="AS400" i="46"/>
  <c r="AT400" i="46"/>
  <c r="BH400" i="46"/>
  <c r="B401" i="46"/>
  <c r="D401" i="46"/>
  <c r="N401" i="46"/>
  <c r="Q401" i="46"/>
  <c r="R401" i="46"/>
  <c r="AJ401" i="46"/>
  <c r="AK401" i="46"/>
  <c r="AP401" i="46"/>
  <c r="AQ401" i="46"/>
  <c r="AR401" i="46"/>
  <c r="AS401" i="46"/>
  <c r="AT401" i="46"/>
  <c r="BH401" i="46"/>
  <c r="N402" i="46"/>
  <c r="Q402" i="46"/>
  <c r="R402" i="46"/>
  <c r="AJ402" i="46"/>
  <c r="AK402" i="46"/>
  <c r="AO402" i="46"/>
  <c r="AP402" i="46"/>
  <c r="AQ402" i="46"/>
  <c r="AR402" i="46"/>
  <c r="AS402" i="46"/>
  <c r="F402" i="46" s="1"/>
  <c r="AT402" i="46"/>
  <c r="BH402" i="46"/>
  <c r="B403" i="46"/>
  <c r="D403" i="46"/>
  <c r="N403" i="46"/>
  <c r="J403" i="46" s="1"/>
  <c r="Q403" i="46"/>
  <c r="R403" i="46"/>
  <c r="AJ403" i="46"/>
  <c r="AK403" i="46"/>
  <c r="AQ403" i="46"/>
  <c r="AR403" i="46"/>
  <c r="AS403" i="46"/>
  <c r="AT403" i="46"/>
  <c r="BH403" i="46"/>
  <c r="B404" i="46"/>
  <c r="D404" i="46"/>
  <c r="N404" i="46"/>
  <c r="L404" i="46" s="1"/>
  <c r="Q404" i="46"/>
  <c r="R404" i="46"/>
  <c r="AJ404" i="46"/>
  <c r="AK404" i="46"/>
  <c r="AQ404" i="46"/>
  <c r="AR404" i="46"/>
  <c r="AS404" i="46"/>
  <c r="AT404" i="46"/>
  <c r="BH404" i="46"/>
  <c r="N405" i="46"/>
  <c r="Q405" i="46"/>
  <c r="R405" i="46"/>
  <c r="AJ405" i="46"/>
  <c r="AK405" i="46"/>
  <c r="AO405" i="46"/>
  <c r="AR405" i="46"/>
  <c r="AS405" i="46"/>
  <c r="F405" i="46" s="1"/>
  <c r="AT405" i="46"/>
  <c r="BH405" i="46"/>
  <c r="B406" i="46"/>
  <c r="D406" i="46"/>
  <c r="Q406" i="46"/>
  <c r="R406" i="46"/>
  <c r="AJ406" i="46"/>
  <c r="AK406" i="46"/>
  <c r="AP406" i="46"/>
  <c r="AQ406" i="46"/>
  <c r="AR406" i="46"/>
  <c r="AS406" i="46"/>
  <c r="AT406" i="46"/>
  <c r="BH406" i="46"/>
  <c r="B407" i="46"/>
  <c r="D407" i="46"/>
  <c r="Q407" i="46"/>
  <c r="R407" i="46"/>
  <c r="AJ407" i="46"/>
  <c r="AK407" i="46"/>
  <c r="AP407" i="46"/>
  <c r="AQ407" i="46"/>
  <c r="AR407" i="46"/>
  <c r="AS407" i="46"/>
  <c r="AT407" i="46"/>
  <c r="BH407" i="46"/>
  <c r="B408" i="46"/>
  <c r="D408" i="46"/>
  <c r="Q408" i="46"/>
  <c r="R408" i="46"/>
  <c r="AJ408" i="46"/>
  <c r="AK408" i="46"/>
  <c r="AP408" i="46"/>
  <c r="AQ408" i="46"/>
  <c r="AR408" i="46"/>
  <c r="AS408" i="46"/>
  <c r="AT408" i="46"/>
  <c r="BH408" i="46"/>
  <c r="B409" i="46"/>
  <c r="D409" i="46"/>
  <c r="Q409" i="46"/>
  <c r="R409" i="46"/>
  <c r="AJ409" i="46"/>
  <c r="AK409" i="46"/>
  <c r="AP409" i="46"/>
  <c r="AQ409" i="46"/>
  <c r="AR409" i="46"/>
  <c r="AS409" i="46"/>
  <c r="AT409" i="46"/>
  <c r="BH409" i="46"/>
  <c r="B410" i="46"/>
  <c r="D410" i="46"/>
  <c r="N410" i="46"/>
  <c r="H410" i="46" s="1"/>
  <c r="Q410" i="46"/>
  <c r="R410" i="46"/>
  <c r="AJ410" i="46"/>
  <c r="AK410" i="46"/>
  <c r="AP410" i="46"/>
  <c r="AQ410" i="46"/>
  <c r="AR410" i="46"/>
  <c r="AS410" i="46"/>
  <c r="AT410" i="46"/>
  <c r="BH410" i="46"/>
  <c r="B411" i="46"/>
  <c r="D411" i="46"/>
  <c r="Q411" i="46"/>
  <c r="R411" i="46"/>
  <c r="AJ411" i="46"/>
  <c r="AK411" i="46"/>
  <c r="AP411" i="46"/>
  <c r="AQ411" i="46"/>
  <c r="AR411" i="46"/>
  <c r="AS411" i="46"/>
  <c r="AT411" i="46"/>
  <c r="BH411" i="46"/>
  <c r="N412" i="46"/>
  <c r="Q412" i="46"/>
  <c r="R412" i="46"/>
  <c r="AJ412" i="46"/>
  <c r="AK412" i="46"/>
  <c r="AO412" i="46"/>
  <c r="AR412" i="46"/>
  <c r="AS412" i="46"/>
  <c r="AT412" i="46"/>
  <c r="BH412" i="46"/>
  <c r="B413" i="46"/>
  <c r="D413" i="46"/>
  <c r="Q413" i="46"/>
  <c r="R413" i="46"/>
  <c r="AJ413" i="46"/>
  <c r="AK413" i="46"/>
  <c r="AP413" i="46"/>
  <c r="AQ413" i="46"/>
  <c r="AR413" i="46"/>
  <c r="AS413" i="46"/>
  <c r="AT413" i="46"/>
  <c r="BH413" i="46"/>
  <c r="B414" i="46"/>
  <c r="D414" i="46"/>
  <c r="Q414" i="46"/>
  <c r="R414" i="46"/>
  <c r="AJ414" i="46"/>
  <c r="AK414" i="46"/>
  <c r="AP414" i="46"/>
  <c r="AQ414" i="46"/>
  <c r="AR414" i="46"/>
  <c r="AS414" i="46"/>
  <c r="AT414" i="46"/>
  <c r="BH414" i="46"/>
  <c r="B415" i="46"/>
  <c r="D415" i="46"/>
  <c r="Q415" i="46"/>
  <c r="R415" i="46"/>
  <c r="AJ415" i="46"/>
  <c r="AK415" i="46"/>
  <c r="AP415" i="46"/>
  <c r="AQ415" i="46"/>
  <c r="AR415" i="46"/>
  <c r="AS415" i="46"/>
  <c r="AT415" i="46"/>
  <c r="BH415" i="46"/>
  <c r="B416" i="46"/>
  <c r="D416" i="46"/>
  <c r="Q416" i="46"/>
  <c r="R416" i="46"/>
  <c r="AJ416" i="46"/>
  <c r="AK416" i="46"/>
  <c r="AP416" i="46"/>
  <c r="AQ416" i="46"/>
  <c r="AR416" i="46"/>
  <c r="AS416" i="46"/>
  <c r="AT416" i="46"/>
  <c r="BH416" i="46"/>
  <c r="B417" i="46"/>
  <c r="D417" i="46"/>
  <c r="N417" i="46"/>
  <c r="L417" i="46" s="1"/>
  <c r="Q417" i="46"/>
  <c r="R417" i="46"/>
  <c r="AJ417" i="46"/>
  <c r="AK417" i="46"/>
  <c r="AP417" i="46"/>
  <c r="AQ417" i="46"/>
  <c r="AR417" i="46"/>
  <c r="AS417" i="46"/>
  <c r="AT417" i="46"/>
  <c r="BH417" i="46"/>
  <c r="B418" i="46"/>
  <c r="D418" i="46"/>
  <c r="Q418" i="46"/>
  <c r="R418" i="46"/>
  <c r="AJ418" i="46"/>
  <c r="AK418" i="46"/>
  <c r="AP418" i="46"/>
  <c r="AQ418" i="46"/>
  <c r="AR418" i="46"/>
  <c r="AS418" i="46"/>
  <c r="AT418" i="46"/>
  <c r="BH418" i="46"/>
  <c r="N419" i="46"/>
  <c r="Q419" i="46"/>
  <c r="R419" i="46"/>
  <c r="AJ419" i="46"/>
  <c r="AK419" i="46"/>
  <c r="AO419" i="46"/>
  <c r="AR419" i="46"/>
  <c r="AS419" i="46"/>
  <c r="F419" i="46" s="1"/>
  <c r="AT419" i="46"/>
  <c r="BH419" i="46"/>
  <c r="B420" i="46"/>
  <c r="D420" i="46"/>
  <c r="Q420" i="46"/>
  <c r="R420" i="46"/>
  <c r="AJ420" i="46"/>
  <c r="AK420" i="46"/>
  <c r="AP420" i="46"/>
  <c r="AQ420" i="46"/>
  <c r="AR420" i="46"/>
  <c r="AS420" i="46"/>
  <c r="AT420" i="46"/>
  <c r="BH420" i="46"/>
  <c r="B421" i="46"/>
  <c r="D421" i="46"/>
  <c r="Q421" i="46"/>
  <c r="R421" i="46"/>
  <c r="AJ421" i="46"/>
  <c r="AK421" i="46"/>
  <c r="AP421" i="46"/>
  <c r="AQ421" i="46"/>
  <c r="AR421" i="46"/>
  <c r="AS421" i="46"/>
  <c r="AT421" i="46"/>
  <c r="BH421" i="46"/>
  <c r="B422" i="46"/>
  <c r="D422" i="46"/>
  <c r="Q422" i="46"/>
  <c r="R422" i="46"/>
  <c r="AJ422" i="46"/>
  <c r="AK422" i="46"/>
  <c r="AP422" i="46"/>
  <c r="AQ422" i="46"/>
  <c r="AR422" i="46"/>
  <c r="AS422" i="46"/>
  <c r="AT422" i="46"/>
  <c r="BH422" i="46"/>
  <c r="B423" i="46"/>
  <c r="D423" i="46"/>
  <c r="Q423" i="46"/>
  <c r="R423" i="46"/>
  <c r="AJ423" i="46"/>
  <c r="AK423" i="46"/>
  <c r="AP423" i="46"/>
  <c r="AQ423" i="46"/>
  <c r="AR423" i="46"/>
  <c r="AS423" i="46"/>
  <c r="AT423" i="46"/>
  <c r="BH423" i="46"/>
  <c r="B424" i="46"/>
  <c r="D424" i="46"/>
  <c r="N424" i="46"/>
  <c r="L424" i="46" s="1"/>
  <c r="Q424" i="46"/>
  <c r="R424" i="46"/>
  <c r="AJ424" i="46"/>
  <c r="AK424" i="46"/>
  <c r="AP424" i="46"/>
  <c r="AQ424" i="46"/>
  <c r="AR424" i="46"/>
  <c r="AS424" i="46"/>
  <c r="AT424" i="46"/>
  <c r="BH424" i="46"/>
  <c r="B425" i="46"/>
  <c r="D425" i="46"/>
  <c r="Q425" i="46"/>
  <c r="R425" i="46"/>
  <c r="AJ425" i="46"/>
  <c r="AK425" i="46"/>
  <c r="AP425" i="46"/>
  <c r="AQ425" i="46"/>
  <c r="AR425" i="46"/>
  <c r="AS425" i="46"/>
  <c r="AT425" i="46"/>
  <c r="BH425" i="46"/>
  <c r="N426" i="46"/>
  <c r="Q426" i="46"/>
  <c r="R426" i="46"/>
  <c r="AJ426" i="46"/>
  <c r="AK426" i="46"/>
  <c r="AO426" i="46"/>
  <c r="AR426" i="46"/>
  <c r="AS426" i="46"/>
  <c r="F426" i="46" s="1"/>
  <c r="AT426" i="46"/>
  <c r="BH426" i="46"/>
  <c r="B427" i="46"/>
  <c r="D427" i="46"/>
  <c r="N427" i="46"/>
  <c r="Q427" i="46"/>
  <c r="R427" i="46"/>
  <c r="AJ427" i="46"/>
  <c r="AK427" i="46"/>
  <c r="AR427" i="46"/>
  <c r="AS427" i="46"/>
  <c r="AT427" i="46"/>
  <c r="BH427" i="46"/>
  <c r="B428" i="46"/>
  <c r="D428" i="46"/>
  <c r="N428" i="46"/>
  <c r="Q428" i="46"/>
  <c r="R428" i="46"/>
  <c r="AJ428" i="46"/>
  <c r="AK428" i="46"/>
  <c r="AR428" i="46"/>
  <c r="AS428" i="46"/>
  <c r="AT428" i="46"/>
  <c r="BH428" i="46"/>
  <c r="B429" i="46"/>
  <c r="D429" i="46"/>
  <c r="N429" i="46"/>
  <c r="Q429" i="46"/>
  <c r="R429" i="46"/>
  <c r="AJ429" i="46"/>
  <c r="AK429" i="46"/>
  <c r="AO429" i="46"/>
  <c r="AP429" i="46"/>
  <c r="AQ429" i="46"/>
  <c r="AR429" i="46"/>
  <c r="AS429" i="46"/>
  <c r="F429" i="46" s="1"/>
  <c r="AT429" i="46"/>
  <c r="BF429" i="46"/>
  <c r="BH429" i="46"/>
  <c r="B430" i="46"/>
  <c r="D430" i="46"/>
  <c r="Q430" i="46"/>
  <c r="R430" i="46"/>
  <c r="AJ430" i="46"/>
  <c r="AK430" i="46"/>
  <c r="AR430" i="46"/>
  <c r="AS430" i="46"/>
  <c r="AT430" i="46"/>
  <c r="BF430" i="46"/>
  <c r="BH430" i="46"/>
  <c r="B431" i="46"/>
  <c r="D431" i="46"/>
  <c r="Q431" i="46"/>
  <c r="R431" i="46"/>
  <c r="AJ431" i="46"/>
  <c r="AK431" i="46"/>
  <c r="AR431" i="46"/>
  <c r="AS431" i="46"/>
  <c r="AT431" i="46"/>
  <c r="BF431" i="46"/>
  <c r="BH431" i="46"/>
  <c r="B432" i="46"/>
  <c r="D432" i="46"/>
  <c r="Q432" i="46"/>
  <c r="R432" i="46"/>
  <c r="AJ432" i="46"/>
  <c r="AK432" i="46"/>
  <c r="AR432" i="46"/>
  <c r="AS432" i="46"/>
  <c r="AT432" i="46"/>
  <c r="BF432" i="46"/>
  <c r="BH432" i="46"/>
  <c r="B433" i="46"/>
  <c r="D433" i="46"/>
  <c r="Q433" i="46"/>
  <c r="R433" i="46"/>
  <c r="AJ433" i="46"/>
  <c r="AK433" i="46"/>
  <c r="AR433" i="46"/>
  <c r="AS433" i="46"/>
  <c r="AT433" i="46"/>
  <c r="BF433" i="46"/>
  <c r="BH433" i="46"/>
  <c r="B434" i="46"/>
  <c r="D434" i="46"/>
  <c r="Q434" i="46"/>
  <c r="R434" i="46"/>
  <c r="AJ434" i="46"/>
  <c r="AK434" i="46"/>
  <c r="AR434" i="46"/>
  <c r="AS434" i="46"/>
  <c r="AT434" i="46"/>
  <c r="BF434" i="46"/>
  <c r="BH434" i="46"/>
  <c r="B435" i="46"/>
  <c r="D435" i="46"/>
  <c r="Q435" i="46"/>
  <c r="R435" i="46"/>
  <c r="AJ435" i="46"/>
  <c r="AK435" i="46"/>
  <c r="AR435" i="46"/>
  <c r="AS435" i="46"/>
  <c r="AT435" i="46"/>
  <c r="BF435" i="46"/>
  <c r="BH435" i="46"/>
  <c r="B436" i="46"/>
  <c r="D436" i="46"/>
  <c r="N436" i="46"/>
  <c r="Q436" i="46"/>
  <c r="R436" i="46"/>
  <c r="AJ436" i="46"/>
  <c r="AK436" i="46"/>
  <c r="AO436" i="46"/>
  <c r="AP436" i="46"/>
  <c r="AQ436" i="46"/>
  <c r="AR436" i="46"/>
  <c r="AS436" i="46"/>
  <c r="AT436" i="46"/>
  <c r="BF436" i="46"/>
  <c r="BH436" i="46"/>
  <c r="B437" i="46"/>
  <c r="D437" i="46"/>
  <c r="Q437" i="46"/>
  <c r="R437" i="46"/>
  <c r="AJ437" i="46"/>
  <c r="AK437" i="46"/>
  <c r="AR437" i="46"/>
  <c r="AS437" i="46"/>
  <c r="AT437" i="46"/>
  <c r="BF437" i="46"/>
  <c r="BH437" i="46"/>
  <c r="B438" i="46"/>
  <c r="D438" i="46"/>
  <c r="Q438" i="46"/>
  <c r="R438" i="46"/>
  <c r="AJ438" i="46"/>
  <c r="AK438" i="46"/>
  <c r="AR438" i="46"/>
  <c r="AS438" i="46"/>
  <c r="AT438" i="46"/>
  <c r="BF438" i="46"/>
  <c r="BH438" i="46"/>
  <c r="B439" i="46"/>
  <c r="D439" i="46"/>
  <c r="Q439" i="46"/>
  <c r="R439" i="46"/>
  <c r="AJ439" i="46"/>
  <c r="AK439" i="46"/>
  <c r="AR439" i="46"/>
  <c r="AS439" i="46"/>
  <c r="AT439" i="46"/>
  <c r="BF439" i="46"/>
  <c r="BH439" i="46"/>
  <c r="B440" i="46"/>
  <c r="D440" i="46"/>
  <c r="Q440" i="46"/>
  <c r="R440" i="46"/>
  <c r="AJ440" i="46"/>
  <c r="AK440" i="46"/>
  <c r="AR440" i="46"/>
  <c r="AS440" i="46"/>
  <c r="AT440" i="46"/>
  <c r="BF440" i="46"/>
  <c r="BH440" i="46"/>
  <c r="B441" i="46"/>
  <c r="D441" i="46"/>
  <c r="Q441" i="46"/>
  <c r="R441" i="46"/>
  <c r="AJ441" i="46"/>
  <c r="AK441" i="46"/>
  <c r="AR441" i="46"/>
  <c r="AS441" i="46"/>
  <c r="AT441" i="46"/>
  <c r="BF441" i="46"/>
  <c r="BH441" i="46"/>
  <c r="B442" i="46"/>
  <c r="D442" i="46"/>
  <c r="Q442" i="46"/>
  <c r="R442" i="46"/>
  <c r="AJ442" i="46"/>
  <c r="AK442" i="46"/>
  <c r="AR442" i="46"/>
  <c r="AS442" i="46"/>
  <c r="AT442" i="46"/>
  <c r="BF442" i="46"/>
  <c r="BH442" i="46"/>
  <c r="B443" i="46"/>
  <c r="D443" i="46"/>
  <c r="N443" i="46"/>
  <c r="L443" i="46" s="1"/>
  <c r="Q443" i="46"/>
  <c r="R443" i="46"/>
  <c r="AJ443" i="46"/>
  <c r="AK443" i="46"/>
  <c r="AP443" i="46"/>
  <c r="AQ443" i="46"/>
  <c r="AR443" i="46"/>
  <c r="AS443" i="46"/>
  <c r="AT443" i="46"/>
  <c r="BH443" i="46"/>
  <c r="B444" i="46"/>
  <c r="D444" i="46"/>
  <c r="N444" i="46"/>
  <c r="Q444" i="46"/>
  <c r="R444" i="46"/>
  <c r="AJ444" i="46"/>
  <c r="AK444" i="46"/>
  <c r="AP444" i="46"/>
  <c r="AQ444" i="46"/>
  <c r="AR444" i="46"/>
  <c r="AS444" i="46"/>
  <c r="AT444" i="46"/>
  <c r="BH444" i="46"/>
  <c r="N445" i="46"/>
  <c r="Q445" i="46"/>
  <c r="R445" i="46"/>
  <c r="AJ445" i="46"/>
  <c r="AK445" i="46"/>
  <c r="AO445" i="46"/>
  <c r="AP445" i="46"/>
  <c r="AQ445" i="46"/>
  <c r="AR445" i="46"/>
  <c r="AS445" i="46"/>
  <c r="F445" i="46" s="1"/>
  <c r="AT445" i="46"/>
  <c r="BH445" i="46"/>
  <c r="B446" i="46"/>
  <c r="D446" i="46"/>
  <c r="N446" i="46"/>
  <c r="H446" i="46" s="1"/>
  <c r="Q446" i="46"/>
  <c r="R446" i="46"/>
  <c r="AJ446" i="46"/>
  <c r="AK446" i="46"/>
  <c r="AP446" i="46"/>
  <c r="AQ446" i="46"/>
  <c r="AR446" i="46"/>
  <c r="AS446" i="46"/>
  <c r="AT446" i="46"/>
  <c r="BH446" i="46"/>
  <c r="B447" i="46"/>
  <c r="D447" i="46"/>
  <c r="N447" i="46"/>
  <c r="Q447" i="46"/>
  <c r="R447" i="46"/>
  <c r="AJ447" i="46"/>
  <c r="AK447" i="46"/>
  <c r="AP447" i="46"/>
  <c r="AQ447" i="46"/>
  <c r="AR447" i="46"/>
  <c r="AS447" i="46"/>
  <c r="AT447" i="46"/>
  <c r="BH447" i="46"/>
  <c r="N448" i="46"/>
  <c r="Q448" i="46"/>
  <c r="R448" i="46"/>
  <c r="AJ448" i="46"/>
  <c r="AK448" i="46"/>
  <c r="AO448" i="46"/>
  <c r="AP448" i="46"/>
  <c r="AQ448" i="46"/>
  <c r="AR448" i="46"/>
  <c r="AS448" i="46"/>
  <c r="F448" i="46" s="1"/>
  <c r="AT448" i="46"/>
  <c r="BH448" i="46"/>
  <c r="B449" i="46"/>
  <c r="D449" i="46"/>
  <c r="N449" i="46"/>
  <c r="J449" i="46" s="1"/>
  <c r="Q449" i="46"/>
  <c r="R449" i="46"/>
  <c r="AJ449" i="46"/>
  <c r="AK449" i="46"/>
  <c r="AP449" i="46"/>
  <c r="AQ449" i="46"/>
  <c r="AR449" i="46"/>
  <c r="AS449" i="46"/>
  <c r="AT449" i="46"/>
  <c r="BH449" i="46"/>
  <c r="B450" i="46"/>
  <c r="D450" i="46"/>
  <c r="N450" i="46"/>
  <c r="Q450" i="46"/>
  <c r="R450" i="46"/>
  <c r="AJ450" i="46"/>
  <c r="AK450" i="46"/>
  <c r="AP450" i="46"/>
  <c r="AQ450" i="46"/>
  <c r="AR450" i="46"/>
  <c r="AS450" i="46"/>
  <c r="AT450" i="46"/>
  <c r="BH450" i="46"/>
  <c r="N451" i="46"/>
  <c r="Q451" i="46"/>
  <c r="R451" i="46"/>
  <c r="AJ451" i="46"/>
  <c r="AK451" i="46"/>
  <c r="AO451" i="46"/>
  <c r="AP451" i="46"/>
  <c r="AQ451" i="46"/>
  <c r="AR451" i="46"/>
  <c r="AS451" i="46"/>
  <c r="F451" i="46" s="1"/>
  <c r="AT451" i="46"/>
  <c r="BH451" i="46"/>
  <c r="B452" i="46"/>
  <c r="D452" i="46"/>
  <c r="N452" i="46"/>
  <c r="L452" i="46" s="1"/>
  <c r="Q452" i="46"/>
  <c r="R452" i="46"/>
  <c r="AJ452" i="46"/>
  <c r="AK452" i="46"/>
  <c r="AP452" i="46"/>
  <c r="AQ452" i="46"/>
  <c r="AR452" i="46"/>
  <c r="AS452" i="46"/>
  <c r="AT452" i="46"/>
  <c r="BH452" i="46"/>
  <c r="B453" i="46"/>
  <c r="D453" i="46"/>
  <c r="N453" i="46"/>
  <c r="Q453" i="46"/>
  <c r="R453" i="46"/>
  <c r="AJ453" i="46"/>
  <c r="AK453" i="46"/>
  <c r="AP453" i="46"/>
  <c r="AQ453" i="46"/>
  <c r="AR453" i="46"/>
  <c r="AS453" i="46"/>
  <c r="AT453" i="46"/>
  <c r="BH453" i="46"/>
  <c r="N454" i="46"/>
  <c r="Q454" i="46"/>
  <c r="R454" i="46"/>
  <c r="AJ454" i="46"/>
  <c r="AK454" i="46"/>
  <c r="AO454" i="46"/>
  <c r="AP454" i="46"/>
  <c r="AQ454" i="46"/>
  <c r="AR454" i="46"/>
  <c r="AS454" i="46"/>
  <c r="BG454" i="46" s="1"/>
  <c r="AT454" i="46"/>
  <c r="BH454" i="46"/>
  <c r="B455" i="46"/>
  <c r="D455" i="46"/>
  <c r="N455" i="46"/>
  <c r="H455" i="46" s="1"/>
  <c r="Q455" i="46"/>
  <c r="R455" i="46"/>
  <c r="AJ455" i="46"/>
  <c r="AK455" i="46"/>
  <c r="AP455" i="46"/>
  <c r="AQ455" i="46"/>
  <c r="AR455" i="46"/>
  <c r="AS455" i="46"/>
  <c r="AT455" i="46"/>
  <c r="BH455" i="46"/>
  <c r="B456" i="46"/>
  <c r="D456" i="46"/>
  <c r="N456" i="46"/>
  <c r="Q456" i="46"/>
  <c r="R456" i="46"/>
  <c r="AJ456" i="46"/>
  <c r="AK456" i="46"/>
  <c r="AQ456" i="46"/>
  <c r="AR456" i="46"/>
  <c r="AS456" i="46"/>
  <c r="BH456" i="46"/>
  <c r="B457" i="46"/>
  <c r="D457" i="46"/>
  <c r="N457" i="46"/>
  <c r="Q457" i="46"/>
  <c r="R457" i="46"/>
  <c r="AJ457" i="46"/>
  <c r="AK457" i="46"/>
  <c r="AQ457" i="46"/>
  <c r="AR457" i="46"/>
  <c r="AS457" i="46"/>
  <c r="BH457" i="46"/>
  <c r="N458" i="46"/>
  <c r="Q458" i="46"/>
  <c r="R458" i="46"/>
  <c r="AJ458" i="46"/>
  <c r="AK458" i="46"/>
  <c r="AO458" i="46"/>
  <c r="AR458" i="46"/>
  <c r="AS458" i="46"/>
  <c r="F458" i="46" s="1"/>
  <c r="AT458" i="46"/>
  <c r="BH458" i="46"/>
  <c r="B459" i="46"/>
  <c r="D459" i="46"/>
  <c r="N459" i="46"/>
  <c r="L459" i="46" s="1"/>
  <c r="Q459" i="46"/>
  <c r="R459" i="46"/>
  <c r="AJ459" i="46"/>
  <c r="AK459" i="46"/>
  <c r="AP459" i="46"/>
  <c r="AQ459" i="46"/>
  <c r="AR459" i="46"/>
  <c r="AS459" i="46"/>
  <c r="AT459" i="46"/>
  <c r="BH459" i="46"/>
  <c r="B460" i="46"/>
  <c r="D460" i="46"/>
  <c r="N460" i="46"/>
  <c r="H460" i="46" s="1"/>
  <c r="Q460" i="46"/>
  <c r="R460" i="46"/>
  <c r="AJ460" i="46"/>
  <c r="AK460" i="46"/>
  <c r="AP460" i="46"/>
  <c r="AQ460" i="46"/>
  <c r="AR460" i="46"/>
  <c r="AS460" i="46"/>
  <c r="AT460" i="46"/>
  <c r="BH460" i="46"/>
  <c r="B461" i="46"/>
  <c r="D461" i="46"/>
  <c r="N461" i="46"/>
  <c r="J461" i="46" s="1"/>
  <c r="Q461" i="46"/>
  <c r="R461" i="46"/>
  <c r="AJ461" i="46"/>
  <c r="AK461" i="46"/>
  <c r="AO461" i="46"/>
  <c r="AP461" i="46"/>
  <c r="AQ461" i="46"/>
  <c r="AR461" i="46"/>
  <c r="AS461" i="46"/>
  <c r="AT461" i="46"/>
  <c r="BF461" i="46"/>
  <c r="BH461" i="46"/>
  <c r="B462" i="46"/>
  <c r="D462" i="46"/>
  <c r="N462" i="46"/>
  <c r="Q462" i="46"/>
  <c r="R462" i="46"/>
  <c r="AJ462" i="46"/>
  <c r="AK462" i="46"/>
  <c r="AO462" i="46"/>
  <c r="AP462" i="46"/>
  <c r="AQ462" i="46"/>
  <c r="AR462" i="46"/>
  <c r="AS462" i="46"/>
  <c r="BG462" i="46" s="1"/>
  <c r="AT462" i="46"/>
  <c r="BF462" i="46"/>
  <c r="BH462" i="46"/>
  <c r="N463" i="46"/>
  <c r="Q463" i="46"/>
  <c r="R463" i="46"/>
  <c r="AJ463" i="46"/>
  <c r="AK463" i="46"/>
  <c r="AO463" i="46"/>
  <c r="AP463" i="46"/>
  <c r="AQ463" i="46"/>
  <c r="AR463" i="46"/>
  <c r="AS463" i="46"/>
  <c r="AT463" i="46"/>
  <c r="BH463" i="46"/>
  <c r="B464" i="46"/>
  <c r="D464" i="46"/>
  <c r="N464" i="46"/>
  <c r="L464" i="46" s="1"/>
  <c r="Q464" i="46"/>
  <c r="R464" i="46"/>
  <c r="AJ464" i="46"/>
  <c r="AK464" i="46"/>
  <c r="AP464" i="46"/>
  <c r="AQ464" i="46"/>
  <c r="AR464" i="46"/>
  <c r="AS464" i="46"/>
  <c r="AT464" i="46"/>
  <c r="BH464" i="46"/>
  <c r="B465" i="46"/>
  <c r="D465" i="46"/>
  <c r="N465" i="46"/>
  <c r="H465" i="46" s="1"/>
  <c r="Q465" i="46"/>
  <c r="R465" i="46"/>
  <c r="AJ465" i="46"/>
  <c r="AK465" i="46"/>
  <c r="AP465" i="46"/>
  <c r="AQ465" i="46"/>
  <c r="AR465" i="46"/>
  <c r="AS465" i="46"/>
  <c r="AT465" i="46"/>
  <c r="BH465" i="46"/>
  <c r="N466" i="46"/>
  <c r="Q466" i="46"/>
  <c r="R466" i="46"/>
  <c r="AJ466" i="46"/>
  <c r="AK466" i="46"/>
  <c r="AO466" i="46"/>
  <c r="AR466" i="46"/>
  <c r="AS466" i="46"/>
  <c r="F466" i="46" s="1"/>
  <c r="AT466" i="46"/>
  <c r="BH466" i="46"/>
  <c r="B467" i="46"/>
  <c r="D467" i="46"/>
  <c r="N467" i="46"/>
  <c r="L467" i="46" s="1"/>
  <c r="Q467" i="46"/>
  <c r="R467" i="46"/>
  <c r="AJ467" i="46"/>
  <c r="AK467" i="46"/>
  <c r="AP467" i="46"/>
  <c r="AQ467" i="46"/>
  <c r="AR467" i="46"/>
  <c r="AS467" i="46"/>
  <c r="AT467" i="46"/>
  <c r="BH467" i="46"/>
  <c r="B468" i="46"/>
  <c r="D468" i="46"/>
  <c r="N468" i="46"/>
  <c r="L468" i="46" s="1"/>
  <c r="Q468" i="46"/>
  <c r="R468" i="46"/>
  <c r="AJ468" i="46"/>
  <c r="AK468" i="46"/>
  <c r="AP468" i="46"/>
  <c r="AQ468" i="46"/>
  <c r="AR468" i="46"/>
  <c r="AS468" i="46"/>
  <c r="AT468" i="46"/>
  <c r="BH468" i="46"/>
  <c r="N469" i="46"/>
  <c r="Q469" i="46"/>
  <c r="R469" i="46"/>
  <c r="AJ469" i="46"/>
  <c r="AK469" i="46"/>
  <c r="AO469" i="46"/>
  <c r="AR469" i="46"/>
  <c r="AS469" i="46"/>
  <c r="F469" i="46" s="1"/>
  <c r="AT469" i="46"/>
  <c r="BH469" i="46"/>
  <c r="N470" i="46"/>
  <c r="H470" i="46" s="1"/>
  <c r="Q470" i="46"/>
  <c r="R470" i="46"/>
  <c r="AJ470" i="46"/>
  <c r="AK470" i="46"/>
  <c r="AR470" i="46"/>
  <c r="AT470" i="46"/>
  <c r="BH470" i="46"/>
  <c r="B471" i="46"/>
  <c r="D471" i="46"/>
  <c r="N471" i="46"/>
  <c r="J471" i="46" s="1"/>
  <c r="Q471" i="46"/>
  <c r="R471" i="46"/>
  <c r="AJ471" i="46"/>
  <c r="AK471" i="46"/>
  <c r="AP471" i="46"/>
  <c r="AQ471" i="46"/>
  <c r="AR471" i="46"/>
  <c r="AS471" i="46"/>
  <c r="AT471" i="46"/>
  <c r="BH471" i="46"/>
  <c r="N472" i="46"/>
  <c r="L472" i="46" s="1"/>
  <c r="Q472" i="46"/>
  <c r="R472" i="46"/>
  <c r="AJ472" i="46"/>
  <c r="AK472" i="46"/>
  <c r="AR472" i="46"/>
  <c r="AS472" i="46"/>
  <c r="AT472" i="46"/>
  <c r="BH472" i="46"/>
  <c r="N473" i="46"/>
  <c r="H473" i="46" s="1"/>
  <c r="Q473" i="46"/>
  <c r="R473" i="46"/>
  <c r="AJ473" i="46"/>
  <c r="AK473" i="46"/>
  <c r="AR473" i="46"/>
  <c r="AS473" i="46"/>
  <c r="BG473" i="46" s="1"/>
  <c r="AT473" i="46"/>
  <c r="BH473" i="46"/>
  <c r="B474" i="46"/>
  <c r="D474" i="46"/>
  <c r="N474" i="46"/>
  <c r="H474" i="46" s="1"/>
  <c r="Q474" i="46"/>
  <c r="R474" i="46"/>
  <c r="AJ474" i="46"/>
  <c r="AK474" i="46"/>
  <c r="AO474" i="46"/>
  <c r="AP474" i="46"/>
  <c r="AQ474" i="46"/>
  <c r="AR474" i="46"/>
  <c r="AS474" i="46"/>
  <c r="AT474" i="46"/>
  <c r="BH474" i="46"/>
  <c r="B475" i="46"/>
  <c r="D475" i="46"/>
  <c r="N475" i="46"/>
  <c r="L475" i="46" s="1"/>
  <c r="Q475" i="46"/>
  <c r="R475" i="46"/>
  <c r="AJ475" i="46"/>
  <c r="AK475" i="46"/>
  <c r="AO475" i="46"/>
  <c r="AP475" i="46"/>
  <c r="AQ475" i="46"/>
  <c r="AR475" i="46"/>
  <c r="AS475" i="46"/>
  <c r="AT475" i="46"/>
  <c r="BH475" i="46"/>
  <c r="B476" i="46"/>
  <c r="D476" i="46"/>
  <c r="N476" i="46"/>
  <c r="Q476" i="46"/>
  <c r="R476" i="46"/>
  <c r="AJ476" i="46"/>
  <c r="AK476" i="46"/>
  <c r="AO476" i="46"/>
  <c r="AP476" i="46"/>
  <c r="AQ476" i="46"/>
  <c r="AR476" i="46"/>
  <c r="AS476" i="46"/>
  <c r="BG476" i="46" s="1"/>
  <c r="AT476" i="46"/>
  <c r="BH476" i="46"/>
  <c r="Q477" i="46"/>
  <c r="R477" i="46"/>
  <c r="AJ477" i="46"/>
  <c r="AK477" i="46"/>
  <c r="AQ477" i="46"/>
  <c r="AR477" i="46"/>
  <c r="AS477" i="46"/>
  <c r="AT477" i="46"/>
  <c r="BH477" i="46"/>
  <c r="Q478" i="46"/>
  <c r="R478" i="46"/>
  <c r="AJ478" i="46"/>
  <c r="AK478" i="46"/>
  <c r="AQ478" i="46"/>
  <c r="AR478" i="46"/>
  <c r="AS478" i="46"/>
  <c r="AT478" i="46"/>
  <c r="BH478" i="46"/>
  <c r="Q479" i="46"/>
  <c r="R479" i="46"/>
  <c r="AJ479" i="46"/>
  <c r="AK479" i="46"/>
  <c r="AQ479" i="46"/>
  <c r="AR479" i="46"/>
  <c r="AS479" i="46"/>
  <c r="AT479" i="46"/>
  <c r="BH479" i="46"/>
  <c r="Q480" i="46"/>
  <c r="R480" i="46"/>
  <c r="AJ480" i="46"/>
  <c r="AK480" i="46"/>
  <c r="AQ480" i="46"/>
  <c r="AR480" i="46"/>
  <c r="AS480" i="46"/>
  <c r="AT480" i="46"/>
  <c r="BH480" i="46"/>
  <c r="Q481" i="46"/>
  <c r="R481" i="46"/>
  <c r="AJ481" i="46"/>
  <c r="AK481" i="46"/>
  <c r="AQ481" i="46"/>
  <c r="AR481" i="46"/>
  <c r="AS481" i="46"/>
  <c r="AT481" i="46"/>
  <c r="BH481" i="46"/>
  <c r="Q482" i="46"/>
  <c r="R482" i="46"/>
  <c r="AJ482" i="46"/>
  <c r="AK482" i="46"/>
  <c r="AQ482" i="46"/>
  <c r="AR482" i="46"/>
  <c r="AS482" i="46"/>
  <c r="AT482" i="46"/>
  <c r="BH482" i="46"/>
  <c r="Q483" i="46"/>
  <c r="R483" i="46"/>
  <c r="AJ483" i="46"/>
  <c r="AK483" i="46"/>
  <c r="AQ483" i="46"/>
  <c r="AR483" i="46"/>
  <c r="AS483" i="46"/>
  <c r="AT483" i="46"/>
  <c r="BH483" i="46"/>
  <c r="Q484" i="46"/>
  <c r="R484" i="46"/>
  <c r="AJ484" i="46"/>
  <c r="AK484" i="46"/>
  <c r="AQ484" i="46"/>
  <c r="AR484" i="46"/>
  <c r="AS484" i="46"/>
  <c r="AT484" i="46"/>
  <c r="BH484" i="46"/>
  <c r="Q485" i="46"/>
  <c r="R485" i="46"/>
  <c r="AJ485" i="46"/>
  <c r="AK485" i="46"/>
  <c r="AQ485" i="46"/>
  <c r="AR485" i="46"/>
  <c r="AS485" i="46"/>
  <c r="AT485" i="46"/>
  <c r="BH485" i="46"/>
  <c r="Q486" i="46"/>
  <c r="R486" i="46"/>
  <c r="AJ486" i="46"/>
  <c r="AK486" i="46"/>
  <c r="AQ486" i="46"/>
  <c r="AR486" i="46"/>
  <c r="AS486" i="46"/>
  <c r="AT486" i="46"/>
  <c r="BH486" i="46"/>
  <c r="Q487" i="46"/>
  <c r="R487" i="46"/>
  <c r="AJ487" i="46"/>
  <c r="AK487" i="46"/>
  <c r="AQ487" i="46"/>
  <c r="AR487" i="46"/>
  <c r="AS487" i="46"/>
  <c r="AT487" i="46"/>
  <c r="BH487" i="46"/>
  <c r="Q488" i="46"/>
  <c r="R488" i="46"/>
  <c r="AJ488" i="46"/>
  <c r="AK488" i="46"/>
  <c r="AQ488" i="46"/>
  <c r="AR488" i="46"/>
  <c r="AS488" i="46"/>
  <c r="AT488" i="46"/>
  <c r="BH488" i="46"/>
  <c r="Q489" i="46"/>
  <c r="R489" i="46"/>
  <c r="AJ489" i="46"/>
  <c r="AK489" i="46"/>
  <c r="AQ489" i="46"/>
  <c r="AR489" i="46"/>
  <c r="AS489" i="46"/>
  <c r="AT489" i="46"/>
  <c r="BH489" i="46"/>
  <c r="Q490" i="46"/>
  <c r="R490" i="46"/>
  <c r="AJ490" i="46"/>
  <c r="AK490" i="46"/>
  <c r="AQ490" i="46"/>
  <c r="AR490" i="46"/>
  <c r="AS490" i="46"/>
  <c r="AT490" i="46"/>
  <c r="BH490" i="46"/>
  <c r="Q491" i="46"/>
  <c r="R491" i="46"/>
  <c r="AJ491" i="46"/>
  <c r="AK491" i="46"/>
  <c r="AQ491" i="46"/>
  <c r="AR491" i="46"/>
  <c r="AS491" i="46"/>
  <c r="AT491" i="46"/>
  <c r="BH491" i="46"/>
  <c r="Q492" i="46"/>
  <c r="R492" i="46"/>
  <c r="AJ492" i="46"/>
  <c r="AK492" i="46"/>
  <c r="AQ492" i="46"/>
  <c r="AR492" i="46"/>
  <c r="AS492" i="46"/>
  <c r="AT492" i="46"/>
  <c r="BH492" i="46"/>
  <c r="Q493" i="46"/>
  <c r="R493" i="46"/>
  <c r="AJ493" i="46"/>
  <c r="AK493" i="46"/>
  <c r="AQ493" i="46"/>
  <c r="AR493" i="46"/>
  <c r="AS493" i="46"/>
  <c r="AT493" i="46"/>
  <c r="BH493" i="46"/>
  <c r="B494" i="46"/>
  <c r="D494" i="46"/>
  <c r="N494" i="46"/>
  <c r="Q494" i="46"/>
  <c r="R494" i="46"/>
  <c r="AJ494" i="46"/>
  <c r="AK494" i="46"/>
  <c r="AO494" i="46"/>
  <c r="AP494" i="46"/>
  <c r="AQ494" i="46"/>
  <c r="AR494" i="46"/>
  <c r="AS494" i="46"/>
  <c r="AT494" i="46"/>
  <c r="BH494" i="46"/>
  <c r="B495" i="46"/>
  <c r="D495" i="46"/>
  <c r="N495" i="46"/>
  <c r="L495" i="46" s="1"/>
  <c r="Q495" i="46"/>
  <c r="R495" i="46"/>
  <c r="AJ495" i="46"/>
  <c r="AK495" i="46"/>
  <c r="AO495" i="46"/>
  <c r="AP495" i="46"/>
  <c r="AQ495" i="46"/>
  <c r="AR495" i="46"/>
  <c r="AS495" i="46"/>
  <c r="AT495" i="46"/>
  <c r="BH495" i="46"/>
  <c r="B496" i="46"/>
  <c r="D496" i="46"/>
  <c r="N496" i="46"/>
  <c r="Q496" i="46"/>
  <c r="R496" i="46"/>
  <c r="AJ496" i="46"/>
  <c r="AK496" i="46"/>
  <c r="AP496" i="46"/>
  <c r="AQ496" i="46"/>
  <c r="AR496" i="46"/>
  <c r="AS496" i="46"/>
  <c r="AT496" i="46"/>
  <c r="BH496" i="46"/>
  <c r="B497" i="46"/>
  <c r="D497" i="46"/>
  <c r="N497" i="46"/>
  <c r="Q497" i="46"/>
  <c r="R497" i="46"/>
  <c r="AJ497" i="46"/>
  <c r="AK497" i="46"/>
  <c r="AP497" i="46"/>
  <c r="AQ497" i="46"/>
  <c r="AR497" i="46"/>
  <c r="AS497" i="46"/>
  <c r="AT497" i="46"/>
  <c r="BH497" i="46"/>
  <c r="B498" i="46"/>
  <c r="D498" i="46"/>
  <c r="N498" i="46"/>
  <c r="H498" i="46" s="1"/>
  <c r="Q498" i="46"/>
  <c r="R498" i="46"/>
  <c r="AJ498" i="46"/>
  <c r="AK498" i="46"/>
  <c r="AP498" i="46"/>
  <c r="AQ498" i="46"/>
  <c r="AR498" i="46"/>
  <c r="AS498" i="46"/>
  <c r="AT498" i="46"/>
  <c r="BH498" i="46"/>
  <c r="B499" i="46"/>
  <c r="D499" i="46"/>
  <c r="N499" i="46"/>
  <c r="L499" i="46" s="1"/>
  <c r="Q499" i="46"/>
  <c r="R499" i="46"/>
  <c r="AJ499" i="46"/>
  <c r="AK499" i="46"/>
  <c r="AP499" i="46"/>
  <c r="AQ499" i="46"/>
  <c r="AR499" i="46"/>
  <c r="AS499" i="46"/>
  <c r="AT499" i="46"/>
  <c r="BH499" i="46"/>
  <c r="B500" i="46"/>
  <c r="D500" i="46"/>
  <c r="N500" i="46"/>
  <c r="H500" i="46" s="1"/>
  <c r="Q500" i="46"/>
  <c r="R500" i="46"/>
  <c r="AJ500" i="46"/>
  <c r="AK500" i="46"/>
  <c r="AP500" i="46"/>
  <c r="AQ500" i="46"/>
  <c r="AR500" i="46"/>
  <c r="AS500" i="46"/>
  <c r="AT500" i="46"/>
  <c r="BH500" i="46"/>
  <c r="N501" i="46"/>
  <c r="Q501" i="46"/>
  <c r="R501" i="46"/>
  <c r="AJ501" i="46"/>
  <c r="AK501" i="46"/>
  <c r="AO501" i="46"/>
  <c r="AP501" i="46"/>
  <c r="AQ501" i="46"/>
  <c r="AR501" i="46"/>
  <c r="AS501" i="46"/>
  <c r="F501" i="46" s="1"/>
  <c r="AT501" i="46"/>
  <c r="BH501" i="46"/>
  <c r="B502" i="46"/>
  <c r="D502" i="46"/>
  <c r="N502" i="46"/>
  <c r="H502" i="46" s="1"/>
  <c r="Q502" i="46"/>
  <c r="R502" i="46"/>
  <c r="AJ502" i="46"/>
  <c r="AK502" i="46"/>
  <c r="AP502" i="46"/>
  <c r="AQ502" i="46"/>
  <c r="AR502" i="46"/>
  <c r="AS502" i="46"/>
  <c r="AT502" i="46"/>
  <c r="BH502" i="46"/>
  <c r="B503" i="46"/>
  <c r="D503" i="46"/>
  <c r="N503" i="46"/>
  <c r="L503" i="46" s="1"/>
  <c r="Q503" i="46"/>
  <c r="R503" i="46"/>
  <c r="AJ503" i="46"/>
  <c r="AK503" i="46"/>
  <c r="AP503" i="46"/>
  <c r="AQ503" i="46"/>
  <c r="AR503" i="46"/>
  <c r="AS503" i="46"/>
  <c r="AT503" i="46"/>
  <c r="BH503" i="46"/>
  <c r="B504" i="46"/>
  <c r="D504" i="46"/>
  <c r="N504" i="46"/>
  <c r="H504" i="46" s="1"/>
  <c r="Q504" i="46"/>
  <c r="R504" i="46"/>
  <c r="AJ504" i="46"/>
  <c r="AK504" i="46"/>
  <c r="AP504" i="46"/>
  <c r="AQ504" i="46"/>
  <c r="AR504" i="46"/>
  <c r="AS504" i="46"/>
  <c r="AT504" i="46"/>
  <c r="BH504" i="46"/>
  <c r="B505" i="46"/>
  <c r="D505" i="46"/>
  <c r="N505" i="46"/>
  <c r="H505" i="46" s="1"/>
  <c r="Q505" i="46"/>
  <c r="R505" i="46"/>
  <c r="AJ505" i="46"/>
  <c r="AK505" i="46"/>
  <c r="AP505" i="46"/>
  <c r="AQ505" i="46"/>
  <c r="AR505" i="46"/>
  <c r="AS505" i="46"/>
  <c r="AT505" i="46"/>
  <c r="BH505" i="46"/>
  <c r="N506" i="46"/>
  <c r="Q506" i="46"/>
  <c r="R506" i="46"/>
  <c r="AJ506" i="46"/>
  <c r="AK506" i="46"/>
  <c r="AO506" i="46"/>
  <c r="AP506" i="46"/>
  <c r="AQ506" i="46"/>
  <c r="AR506" i="46"/>
  <c r="AS506" i="46"/>
  <c r="F506" i="46" s="1"/>
  <c r="AT506" i="46"/>
  <c r="BH506" i="46"/>
  <c r="B507" i="46"/>
  <c r="D507" i="46"/>
  <c r="N507" i="46"/>
  <c r="L507" i="46" s="1"/>
  <c r="Q507" i="46"/>
  <c r="R507" i="46"/>
  <c r="AJ507" i="46"/>
  <c r="AK507" i="46"/>
  <c r="AO507" i="46"/>
  <c r="AP507" i="46"/>
  <c r="AQ507" i="46"/>
  <c r="AR507" i="46"/>
  <c r="AS507" i="46"/>
  <c r="AT507" i="46"/>
  <c r="BH507" i="46"/>
  <c r="B508" i="46"/>
  <c r="D508" i="46"/>
  <c r="N508" i="46"/>
  <c r="H508" i="46" s="1"/>
  <c r="Q508" i="46"/>
  <c r="R508" i="46"/>
  <c r="AJ508" i="46"/>
  <c r="AK508" i="46"/>
  <c r="AO508" i="46"/>
  <c r="AP508" i="46"/>
  <c r="AQ508" i="46"/>
  <c r="AR508" i="46"/>
  <c r="AS508" i="46"/>
  <c r="AT508" i="46"/>
  <c r="BH508" i="46"/>
  <c r="B509" i="46"/>
  <c r="D509" i="46"/>
  <c r="N509" i="46"/>
  <c r="L509" i="46" s="1"/>
  <c r="Q509" i="46"/>
  <c r="R509" i="46"/>
  <c r="AJ509" i="46"/>
  <c r="AK509" i="46"/>
  <c r="AO509" i="46"/>
  <c r="AP509" i="46"/>
  <c r="AQ509" i="46"/>
  <c r="AR509" i="46"/>
  <c r="AS509" i="46"/>
  <c r="AT509" i="46"/>
  <c r="BH509" i="46"/>
  <c r="B510" i="46"/>
  <c r="D510" i="46"/>
  <c r="N510" i="46"/>
  <c r="H510" i="46" s="1"/>
  <c r="Q510" i="46"/>
  <c r="R510" i="46"/>
  <c r="AJ510" i="46"/>
  <c r="AK510" i="46"/>
  <c r="AO510" i="46"/>
  <c r="AP510" i="46"/>
  <c r="AQ510" i="46"/>
  <c r="AR510" i="46"/>
  <c r="AS510" i="46"/>
  <c r="AT510" i="46"/>
  <c r="BH510" i="46"/>
  <c r="N511" i="46"/>
  <c r="Q511" i="46"/>
  <c r="R511" i="46"/>
  <c r="AJ511" i="46"/>
  <c r="AK511" i="46"/>
  <c r="AO511" i="46"/>
  <c r="AP511" i="46"/>
  <c r="AQ511" i="46"/>
  <c r="AR511" i="46"/>
  <c r="AS511" i="46"/>
  <c r="F511" i="46" s="1"/>
  <c r="AT511" i="46"/>
  <c r="BH511" i="46"/>
  <c r="B512" i="46"/>
  <c r="D512" i="46"/>
  <c r="N512" i="46"/>
  <c r="H512" i="46" s="1"/>
  <c r="Q512" i="46"/>
  <c r="R512" i="46"/>
  <c r="AJ512" i="46"/>
  <c r="AK512" i="46"/>
  <c r="AP512" i="46"/>
  <c r="AQ512" i="46"/>
  <c r="AR512" i="46"/>
  <c r="AS512" i="46"/>
  <c r="AT512" i="46"/>
  <c r="BH512" i="46"/>
  <c r="B513" i="46"/>
  <c r="D513" i="46"/>
  <c r="N513" i="46"/>
  <c r="H513" i="46" s="1"/>
  <c r="Q513" i="46"/>
  <c r="R513" i="46"/>
  <c r="AJ513" i="46"/>
  <c r="AK513" i="46"/>
  <c r="AP513" i="46"/>
  <c r="AQ513" i="46"/>
  <c r="AR513" i="46"/>
  <c r="AS513" i="46"/>
  <c r="AT513" i="46"/>
  <c r="BH513" i="46"/>
  <c r="B515" i="46"/>
  <c r="D515" i="46"/>
  <c r="N515" i="46"/>
  <c r="Q515" i="46"/>
  <c r="R515" i="46"/>
  <c r="AJ515" i="46"/>
  <c r="AK515" i="46"/>
  <c r="AO515" i="46"/>
  <c r="AP515" i="46"/>
  <c r="AQ515" i="46"/>
  <c r="AR515" i="46"/>
  <c r="AS515" i="46"/>
  <c r="F515" i="46" s="1"/>
  <c r="AT515" i="46"/>
  <c r="BH515" i="46"/>
  <c r="B516" i="46"/>
  <c r="D516" i="46"/>
  <c r="N516" i="46"/>
  <c r="Q516" i="46"/>
  <c r="R516" i="46"/>
  <c r="AJ516" i="46"/>
  <c r="AK516" i="46"/>
  <c r="AP516" i="46"/>
  <c r="AQ516" i="46"/>
  <c r="AR516" i="46"/>
  <c r="AS516" i="46"/>
  <c r="AT516" i="46"/>
  <c r="B517" i="46"/>
  <c r="D517" i="46"/>
  <c r="N517" i="46"/>
  <c r="Q517" i="46"/>
  <c r="R517" i="46"/>
  <c r="AJ517" i="46"/>
  <c r="AK517" i="46"/>
  <c r="AP517" i="46"/>
  <c r="AQ517" i="46"/>
  <c r="AR517" i="46"/>
  <c r="AS517" i="46"/>
  <c r="AT517" i="46"/>
  <c r="B518" i="46"/>
  <c r="D518" i="46"/>
  <c r="N518" i="46"/>
  <c r="H518" i="46" s="1"/>
  <c r="Q518" i="46"/>
  <c r="R518" i="46"/>
  <c r="AJ518" i="46"/>
  <c r="AK518" i="46"/>
  <c r="AP518" i="46"/>
  <c r="AQ518" i="46"/>
  <c r="AR518" i="46"/>
  <c r="AS518" i="46"/>
  <c r="F518" i="46" s="1"/>
  <c r="AT518" i="46"/>
  <c r="B519" i="46"/>
  <c r="D519" i="46"/>
  <c r="N519" i="46"/>
  <c r="H519" i="46" s="1"/>
  <c r="Q519" i="46"/>
  <c r="R519" i="46"/>
  <c r="AJ519" i="46"/>
  <c r="AK519" i="46"/>
  <c r="AP519" i="46"/>
  <c r="AQ519" i="46"/>
  <c r="AR519" i="46"/>
  <c r="AS519" i="46"/>
  <c r="BG519" i="46" s="1"/>
  <c r="AT519" i="46"/>
  <c r="B520" i="46"/>
  <c r="D520" i="46"/>
  <c r="N520" i="46"/>
  <c r="J520" i="46" s="1"/>
  <c r="Q520" i="46"/>
  <c r="R520" i="46"/>
  <c r="AJ520" i="46"/>
  <c r="AK520" i="46"/>
  <c r="AP520" i="46"/>
  <c r="AQ520" i="46"/>
  <c r="AR520" i="46"/>
  <c r="AS520" i="46"/>
  <c r="F520" i="46" s="1"/>
  <c r="AT520" i="46"/>
  <c r="B521" i="46"/>
  <c r="D521" i="46"/>
  <c r="N521" i="46"/>
  <c r="H521" i="46" s="1"/>
  <c r="Q521" i="46"/>
  <c r="R521" i="46"/>
  <c r="AJ521" i="46"/>
  <c r="AK521" i="46"/>
  <c r="AP521" i="46"/>
  <c r="AQ521" i="46"/>
  <c r="AR521" i="46"/>
  <c r="AS521" i="46"/>
  <c r="F521" i="46" s="1"/>
  <c r="AT521" i="46"/>
  <c r="B522" i="46"/>
  <c r="D522" i="46"/>
  <c r="N522" i="46"/>
  <c r="L522" i="46" s="1"/>
  <c r="Q522" i="46"/>
  <c r="R522" i="46"/>
  <c r="AJ522" i="46"/>
  <c r="AK522" i="46"/>
  <c r="AP522" i="46"/>
  <c r="AQ522" i="46"/>
  <c r="AR522" i="46"/>
  <c r="AS522" i="46"/>
  <c r="F522" i="46" s="1"/>
  <c r="AT522" i="46"/>
  <c r="B523" i="46"/>
  <c r="D523" i="46"/>
  <c r="N523" i="46"/>
  <c r="H523" i="46" s="1"/>
  <c r="Q523" i="46"/>
  <c r="R523" i="46"/>
  <c r="AJ523" i="46"/>
  <c r="AK523" i="46"/>
  <c r="AP523" i="46"/>
  <c r="AQ523" i="46"/>
  <c r="AR523" i="46"/>
  <c r="AS523" i="46"/>
  <c r="F523" i="46" s="1"/>
  <c r="AT523" i="46"/>
  <c r="B524" i="46"/>
  <c r="D524" i="46"/>
  <c r="N524" i="46"/>
  <c r="H524" i="46" s="1"/>
  <c r="Q524" i="46"/>
  <c r="R524" i="46"/>
  <c r="AJ524" i="46"/>
  <c r="AK524" i="46"/>
  <c r="AP524" i="46"/>
  <c r="AQ524" i="46"/>
  <c r="AR524" i="46"/>
  <c r="AS524" i="46"/>
  <c r="F524" i="46" s="1"/>
  <c r="AT524" i="46"/>
  <c r="B525" i="46"/>
  <c r="D525" i="46"/>
  <c r="N525" i="46"/>
  <c r="J525" i="46" s="1"/>
  <c r="Q525" i="46"/>
  <c r="R525" i="46"/>
  <c r="AJ525" i="46"/>
  <c r="AK525" i="46"/>
  <c r="AP525" i="46"/>
  <c r="AQ525" i="46"/>
  <c r="AR525" i="46"/>
  <c r="AS525" i="46"/>
  <c r="BG525" i="46" s="1"/>
  <c r="AT525" i="46"/>
  <c r="B526" i="46"/>
  <c r="D526" i="46"/>
  <c r="N526" i="46"/>
  <c r="Q526" i="46"/>
  <c r="R526" i="46"/>
  <c r="AJ526" i="46"/>
  <c r="AK526" i="46"/>
  <c r="AO526" i="46"/>
  <c r="AP526" i="46"/>
  <c r="AQ526" i="46"/>
  <c r="AR526" i="46"/>
  <c r="AS526" i="46"/>
  <c r="F526" i="46" s="1"/>
  <c r="AT526" i="46"/>
  <c r="BH526" i="46"/>
  <c r="B528" i="46"/>
  <c r="D528" i="46"/>
  <c r="N528" i="46"/>
  <c r="Q528" i="46"/>
  <c r="R528" i="46"/>
  <c r="AJ528" i="46"/>
  <c r="AK528" i="46"/>
  <c r="AP528" i="46"/>
  <c r="AQ528" i="46"/>
  <c r="AR528" i="46"/>
  <c r="AS528" i="46"/>
  <c r="BG528" i="46" s="1"/>
  <c r="AT528" i="46"/>
  <c r="B529" i="46"/>
  <c r="D529" i="46"/>
  <c r="N529" i="46"/>
  <c r="Q529" i="46"/>
  <c r="R529" i="46"/>
  <c r="AJ529" i="46"/>
  <c r="AK529" i="46"/>
  <c r="AP529" i="46"/>
  <c r="AQ529" i="46"/>
  <c r="AR529" i="46"/>
  <c r="AS529" i="46"/>
  <c r="BG529" i="46" s="1"/>
  <c r="AT529" i="46"/>
  <c r="L238" i="46" l="1"/>
  <c r="L436" i="46"/>
  <c r="L444" i="46"/>
  <c r="H463" i="46"/>
  <c r="J444" i="46"/>
  <c r="H369" i="46"/>
  <c r="J272" i="46"/>
  <c r="L501" i="46"/>
  <c r="H67" i="46"/>
  <c r="BG237" i="46"/>
  <c r="J278" i="46"/>
  <c r="L89" i="46"/>
  <c r="H285" i="46"/>
  <c r="F510" i="46"/>
  <c r="F258" i="46"/>
  <c r="J27" i="46"/>
  <c r="J476" i="46"/>
  <c r="F509" i="46"/>
  <c r="L445" i="46"/>
  <c r="H391" i="46"/>
  <c r="H54" i="46"/>
  <c r="H188" i="46"/>
  <c r="J20" i="46"/>
  <c r="J528" i="46"/>
  <c r="L476" i="46"/>
  <c r="L27" i="46"/>
  <c r="H373" i="46"/>
  <c r="H14" i="46"/>
  <c r="L526" i="46"/>
  <c r="L372" i="46"/>
  <c r="L384" i="46"/>
  <c r="L312" i="46"/>
  <c r="BG511" i="46"/>
  <c r="L429" i="46"/>
  <c r="L103" i="46"/>
  <c r="L76" i="46"/>
  <c r="J495" i="46"/>
  <c r="H475" i="46"/>
  <c r="L348" i="46"/>
  <c r="L373" i="46"/>
  <c r="L349" i="46"/>
  <c r="L323" i="46"/>
  <c r="H315" i="46"/>
  <c r="L246" i="46"/>
  <c r="BG188" i="46"/>
  <c r="L118" i="46"/>
  <c r="BG49" i="46"/>
  <c r="F462" i="46"/>
  <c r="H355" i="46"/>
  <c r="J247" i="46"/>
  <c r="H181" i="46"/>
  <c r="H529" i="46"/>
  <c r="J289" i="46"/>
  <c r="L272" i="46"/>
  <c r="J246" i="46"/>
  <c r="H235" i="46"/>
  <c r="H232" i="46"/>
  <c r="BG229" i="46"/>
  <c r="F194" i="46"/>
  <c r="H126" i="46"/>
  <c r="L71" i="46"/>
  <c r="L60" i="46"/>
  <c r="L54" i="46"/>
  <c r="H461" i="46"/>
  <c r="J510" i="46"/>
  <c r="J464" i="46"/>
  <c r="L455" i="46"/>
  <c r="L299" i="46"/>
  <c r="L224" i="46"/>
  <c r="L170" i="46"/>
  <c r="J165" i="46"/>
  <c r="F143" i="46"/>
  <c r="L141" i="46"/>
  <c r="J121" i="46"/>
  <c r="J76" i="46"/>
  <c r="H51" i="46"/>
  <c r="L43" i="46"/>
  <c r="J30" i="46"/>
  <c r="J455" i="46"/>
  <c r="F454" i="46"/>
  <c r="L453" i="46"/>
  <c r="H444" i="46"/>
  <c r="J436" i="46"/>
  <c r="J396" i="46"/>
  <c r="F379" i="46"/>
  <c r="F359" i="46"/>
  <c r="L317" i="46"/>
  <c r="L301" i="46"/>
  <c r="L300" i="46"/>
  <c r="H296" i="46"/>
  <c r="L277" i="46"/>
  <c r="F273" i="46"/>
  <c r="L245" i="46"/>
  <c r="L237" i="46"/>
  <c r="L233" i="46"/>
  <c r="L167" i="46"/>
  <c r="J134" i="46"/>
  <c r="L87" i="46"/>
  <c r="L63" i="46"/>
  <c r="J453" i="46"/>
  <c r="F310" i="46"/>
  <c r="J269" i="46"/>
  <c r="H245" i="46"/>
  <c r="BG174" i="46"/>
  <c r="J172" i="46"/>
  <c r="J168" i="46"/>
  <c r="L138" i="46"/>
  <c r="H134" i="46"/>
  <c r="L111" i="46"/>
  <c r="H107" i="46"/>
  <c r="L92" i="46"/>
  <c r="L65" i="46"/>
  <c r="L33" i="46"/>
  <c r="J372" i="46"/>
  <c r="J159" i="46"/>
  <c r="L473" i="46"/>
  <c r="H452" i="46"/>
  <c r="H451" i="46"/>
  <c r="H424" i="46"/>
  <c r="F396" i="46"/>
  <c r="H377" i="46"/>
  <c r="H365" i="46"/>
  <c r="H353" i="46"/>
  <c r="H342" i="46"/>
  <c r="H337" i="46"/>
  <c r="F256" i="46"/>
  <c r="L191" i="46"/>
  <c r="J162" i="46"/>
  <c r="J118" i="46"/>
  <c r="H102" i="46"/>
  <c r="J77" i="46"/>
  <c r="L70" i="46"/>
  <c r="J377" i="46"/>
  <c r="J473" i="46"/>
  <c r="J301" i="46"/>
  <c r="L260" i="46"/>
  <c r="F257" i="46"/>
  <c r="J223" i="46"/>
  <c r="H191" i="46"/>
  <c r="H383" i="46"/>
  <c r="L365" i="46"/>
  <c r="L517" i="46"/>
  <c r="H495" i="46"/>
  <c r="H467" i="46"/>
  <c r="L465" i="46"/>
  <c r="H464" i="46"/>
  <c r="H349" i="46"/>
  <c r="J348" i="46"/>
  <c r="J327" i="46"/>
  <c r="H323" i="46"/>
  <c r="L241" i="46"/>
  <c r="H207" i="46"/>
  <c r="J156" i="46"/>
  <c r="L57" i="46"/>
  <c r="J44" i="46"/>
  <c r="J424" i="46"/>
  <c r="F474" i="46"/>
  <c r="J465" i="46"/>
  <c r="J456" i="46"/>
  <c r="L399" i="46"/>
  <c r="L328" i="46"/>
  <c r="H312" i="46"/>
  <c r="L289" i="46"/>
  <c r="L261" i="46"/>
  <c r="J253" i="46"/>
  <c r="J241" i="46"/>
  <c r="H196" i="46"/>
  <c r="H156" i="46"/>
  <c r="J146" i="46"/>
  <c r="H44" i="46"/>
  <c r="H43" i="46"/>
  <c r="J526" i="46"/>
  <c r="L520" i="46"/>
  <c r="L511" i="46"/>
  <c r="H417" i="46"/>
  <c r="L391" i="46"/>
  <c r="F307" i="46"/>
  <c r="H146" i="46"/>
  <c r="H46" i="46"/>
  <c r="L204" i="46"/>
  <c r="H520" i="46"/>
  <c r="J505" i="46"/>
  <c r="J502" i="46"/>
  <c r="J379" i="46"/>
  <c r="H371" i="46"/>
  <c r="J368" i="46"/>
  <c r="J345" i="46"/>
  <c r="H340" i="46"/>
  <c r="J317" i="46"/>
  <c r="F314" i="46"/>
  <c r="L296" i="46"/>
  <c r="J293" i="46"/>
  <c r="L278" i="46"/>
  <c r="J277" i="46"/>
  <c r="L269" i="46"/>
  <c r="F255" i="46"/>
  <c r="H254" i="46"/>
  <c r="BG198" i="46"/>
  <c r="BG193" i="46"/>
  <c r="H186" i="46"/>
  <c r="L181" i="46"/>
  <c r="J167" i="46"/>
  <c r="L47" i="46"/>
  <c r="BG34" i="46"/>
  <c r="L518" i="46"/>
  <c r="L508" i="46"/>
  <c r="H471" i="46"/>
  <c r="J192" i="46"/>
  <c r="L148" i="46"/>
  <c r="L123" i="46"/>
  <c r="L67" i="46"/>
  <c r="J22" i="46"/>
  <c r="H19" i="46"/>
  <c r="F529" i="46"/>
  <c r="L525" i="46"/>
  <c r="J524" i="46"/>
  <c r="J518" i="46"/>
  <c r="J508" i="46"/>
  <c r="J507" i="46"/>
  <c r="L500" i="46"/>
  <c r="H499" i="46"/>
  <c r="H468" i="46"/>
  <c r="H453" i="46"/>
  <c r="J399" i="46"/>
  <c r="H393" i="46"/>
  <c r="F385" i="46"/>
  <c r="H384" i="46"/>
  <c r="BG383" i="46"/>
  <c r="H381" i="46"/>
  <c r="L364" i="46"/>
  <c r="L325" i="46"/>
  <c r="J315" i="46"/>
  <c r="L315" i="46"/>
  <c r="H305" i="46"/>
  <c r="L273" i="46"/>
  <c r="F259" i="46"/>
  <c r="J243" i="46"/>
  <c r="L232" i="46"/>
  <c r="J212" i="46"/>
  <c r="L202" i="46"/>
  <c r="H192" i="46"/>
  <c r="H182" i="46"/>
  <c r="J173" i="46"/>
  <c r="L171" i="46"/>
  <c r="F162" i="46"/>
  <c r="F159" i="46"/>
  <c r="J148" i="46"/>
  <c r="L129" i="46"/>
  <c r="J123" i="46"/>
  <c r="H116" i="46"/>
  <c r="J103" i="46"/>
  <c r="J83" i="46"/>
  <c r="L62" i="46"/>
  <c r="J57" i="46"/>
  <c r="J38" i="46"/>
  <c r="H28" i="46"/>
  <c r="H27" i="46"/>
  <c r="H22" i="46"/>
  <c r="H324" i="46"/>
  <c r="J325" i="46"/>
  <c r="F315" i="46"/>
  <c r="F305" i="46"/>
  <c r="H297" i="46"/>
  <c r="J273" i="46"/>
  <c r="H243" i="46"/>
  <c r="J239" i="46"/>
  <c r="J232" i="46"/>
  <c r="H212" i="46"/>
  <c r="F202" i="46"/>
  <c r="J129" i="46"/>
  <c r="F103" i="46"/>
  <c r="H83" i="46"/>
  <c r="J62" i="46"/>
  <c r="F27" i="46"/>
  <c r="L524" i="46"/>
  <c r="J500" i="46"/>
  <c r="H525" i="46"/>
  <c r="J522" i="46"/>
  <c r="L512" i="46"/>
  <c r="F461" i="46"/>
  <c r="J459" i="46"/>
  <c r="J446" i="46"/>
  <c r="L389" i="46"/>
  <c r="BG367" i="46"/>
  <c r="H363" i="46"/>
  <c r="J343" i="46"/>
  <c r="L291" i="46"/>
  <c r="J264" i="46"/>
  <c r="J262" i="46"/>
  <c r="BG255" i="46"/>
  <c r="J215" i="46"/>
  <c r="L189" i="46"/>
  <c r="H185" i="46"/>
  <c r="L172" i="46"/>
  <c r="L168" i="46"/>
  <c r="L164" i="46"/>
  <c r="L86" i="46"/>
  <c r="L79" i="46"/>
  <c r="L59" i="46"/>
  <c r="J46" i="46"/>
  <c r="H20" i="46"/>
  <c r="L11" i="46"/>
  <c r="L529" i="46"/>
  <c r="H399" i="46"/>
  <c r="L504" i="46"/>
  <c r="J472" i="46"/>
  <c r="L460" i="46"/>
  <c r="H522" i="46"/>
  <c r="J516" i="46"/>
  <c r="J512" i="46"/>
  <c r="L505" i="46"/>
  <c r="J504" i="46"/>
  <c r="H472" i="46"/>
  <c r="J460" i="46"/>
  <c r="H459" i="46"/>
  <c r="J452" i="46"/>
  <c r="H449" i="46"/>
  <c r="BG419" i="46"/>
  <c r="J391" i="46"/>
  <c r="J389" i="46"/>
  <c r="L383" i="46"/>
  <c r="F371" i="46"/>
  <c r="J353" i="46"/>
  <c r="H352" i="46"/>
  <c r="J344" i="46"/>
  <c r="L327" i="46"/>
  <c r="J312" i="46"/>
  <c r="F308" i="46"/>
  <c r="J291" i="46"/>
  <c r="J279" i="46"/>
  <c r="F269" i="46"/>
  <c r="H253" i="46"/>
  <c r="L240" i="46"/>
  <c r="H215" i="46"/>
  <c r="J199" i="46"/>
  <c r="J190" i="46"/>
  <c r="L186" i="46"/>
  <c r="L165" i="46"/>
  <c r="H164" i="46"/>
  <c r="J158" i="46"/>
  <c r="H149" i="46"/>
  <c r="J132" i="46"/>
  <c r="J79" i="46"/>
  <c r="J59" i="46"/>
  <c r="J499" i="46"/>
  <c r="H347" i="46"/>
  <c r="H205" i="46"/>
  <c r="H507" i="46"/>
  <c r="L448" i="46"/>
  <c r="BG258" i="46"/>
  <c r="H165" i="46"/>
  <c r="J14" i="46"/>
  <c r="J468" i="46"/>
  <c r="J384" i="46"/>
  <c r="J381" i="46"/>
  <c r="H516" i="46"/>
  <c r="F528" i="46"/>
  <c r="J517" i="46"/>
  <c r="F476" i="46"/>
  <c r="L469" i="46"/>
  <c r="J463" i="46"/>
  <c r="L456" i="46"/>
  <c r="J450" i="46"/>
  <c r="J417" i="46"/>
  <c r="J309" i="46"/>
  <c r="L293" i="46"/>
  <c r="J238" i="46"/>
  <c r="L235" i="46"/>
  <c r="L196" i="46"/>
  <c r="H178" i="46"/>
  <c r="L175" i="46"/>
  <c r="J143" i="46"/>
  <c r="J102" i="46"/>
  <c r="H68" i="46"/>
  <c r="J47" i="46"/>
  <c r="J33" i="46"/>
  <c r="H30" i="46"/>
  <c r="O46" i="148"/>
  <c r="H494" i="46"/>
  <c r="J494" i="46"/>
  <c r="L368" i="46"/>
  <c r="H526" i="46"/>
  <c r="BG522" i="46"/>
  <c r="L521" i="46"/>
  <c r="J497" i="46"/>
  <c r="L497" i="46"/>
  <c r="H496" i="46"/>
  <c r="J496" i="46"/>
  <c r="F463" i="46"/>
  <c r="BG463" i="46"/>
  <c r="F399" i="46"/>
  <c r="BG399" i="46"/>
  <c r="J351" i="46"/>
  <c r="H351" i="46"/>
  <c r="L351" i="46"/>
  <c r="H509" i="46"/>
  <c r="J509" i="46"/>
  <c r="H503" i="46"/>
  <c r="J503" i="46"/>
  <c r="H380" i="46"/>
  <c r="J380" i="46"/>
  <c r="L380" i="46"/>
  <c r="J529" i="46"/>
  <c r="H528" i="46"/>
  <c r="F525" i="46"/>
  <c r="BG524" i="46"/>
  <c r="J521" i="46"/>
  <c r="BG520" i="46"/>
  <c r="J519" i="46"/>
  <c r="H517" i="46"/>
  <c r="L516" i="46"/>
  <c r="L515" i="46"/>
  <c r="L513" i="46"/>
  <c r="F508" i="46"/>
  <c r="L506" i="46"/>
  <c r="J501" i="46"/>
  <c r="H497" i="46"/>
  <c r="L496" i="46"/>
  <c r="H447" i="46"/>
  <c r="J447" i="46"/>
  <c r="L447" i="46"/>
  <c r="BG436" i="46"/>
  <c r="F436" i="46"/>
  <c r="H462" i="46"/>
  <c r="J462" i="46"/>
  <c r="F519" i="46"/>
  <c r="J513" i="46"/>
  <c r="H511" i="46"/>
  <c r="J511" i="46"/>
  <c r="F507" i="46"/>
  <c r="F495" i="46"/>
  <c r="F494" i="46"/>
  <c r="J457" i="46"/>
  <c r="L457" i="46"/>
  <c r="L428" i="46"/>
  <c r="H398" i="46"/>
  <c r="J398" i="46"/>
  <c r="H295" i="46"/>
  <c r="J295" i="46"/>
  <c r="F475" i="46"/>
  <c r="J448" i="46"/>
  <c r="J445" i="46"/>
  <c r="H392" i="46"/>
  <c r="J392" i="46"/>
  <c r="J376" i="46"/>
  <c r="L376" i="46"/>
  <c r="J375" i="46"/>
  <c r="H375" i="46"/>
  <c r="L367" i="46"/>
  <c r="BG364" i="46"/>
  <c r="F364" i="46"/>
  <c r="H341" i="46"/>
  <c r="J341" i="46"/>
  <c r="L341" i="46"/>
  <c r="H501" i="46"/>
  <c r="H476" i="46"/>
  <c r="L471" i="46"/>
  <c r="L463" i="46"/>
  <c r="L461" i="46"/>
  <c r="H454" i="46"/>
  <c r="BG451" i="46"/>
  <c r="L451" i="46"/>
  <c r="L449" i="46"/>
  <c r="H448" i="46"/>
  <c r="H445" i="46"/>
  <c r="J443" i="46"/>
  <c r="J429" i="46"/>
  <c r="L427" i="46"/>
  <c r="BG412" i="46"/>
  <c r="F412" i="46"/>
  <c r="L405" i="46"/>
  <c r="L392" i="46"/>
  <c r="H382" i="46"/>
  <c r="J382" i="46"/>
  <c r="H376" i="46"/>
  <c r="L375" i="46"/>
  <c r="J475" i="46"/>
  <c r="J470" i="46"/>
  <c r="J467" i="46"/>
  <c r="J454" i="46"/>
  <c r="J451" i="46"/>
  <c r="H443" i="46"/>
  <c r="H436" i="46"/>
  <c r="H429" i="46"/>
  <c r="L412" i="46"/>
  <c r="H404" i="46"/>
  <c r="J404" i="46"/>
  <c r="L403" i="46"/>
  <c r="H403" i="46"/>
  <c r="L401" i="46"/>
  <c r="H401" i="46"/>
  <c r="J401" i="46"/>
  <c r="J388" i="46"/>
  <c r="L388" i="46"/>
  <c r="J387" i="46"/>
  <c r="H387" i="46"/>
  <c r="L385" i="46"/>
  <c r="H385" i="46"/>
  <c r="J385" i="46"/>
  <c r="BG372" i="46"/>
  <c r="F372" i="46"/>
  <c r="H220" i="46"/>
  <c r="J220" i="46"/>
  <c r="L220" i="46"/>
  <c r="F369" i="46"/>
  <c r="F358" i="46"/>
  <c r="F356" i="46"/>
  <c r="H345" i="46"/>
  <c r="J339" i="46"/>
  <c r="H339" i="46"/>
  <c r="F252" i="46"/>
  <c r="BG252" i="46"/>
  <c r="L208" i="46"/>
  <c r="H208" i="46"/>
  <c r="J208" i="46"/>
  <c r="H402" i="46"/>
  <c r="H396" i="46"/>
  <c r="J386" i="46"/>
  <c r="H379" i="46"/>
  <c r="L369" i="46"/>
  <c r="H368" i="46"/>
  <c r="F361" i="46"/>
  <c r="H332" i="46"/>
  <c r="J332" i="46"/>
  <c r="L332" i="46"/>
  <c r="L320" i="46"/>
  <c r="H320" i="46"/>
  <c r="J320" i="46"/>
  <c r="H308" i="46"/>
  <c r="J308" i="46"/>
  <c r="L308" i="46"/>
  <c r="J280" i="46"/>
  <c r="H280" i="46"/>
  <c r="F271" i="46"/>
  <c r="H255" i="46"/>
  <c r="J255" i="46"/>
  <c r="F253" i="46"/>
  <c r="BG253" i="46"/>
  <c r="H231" i="46"/>
  <c r="J231" i="46"/>
  <c r="L419" i="46"/>
  <c r="H395" i="46"/>
  <c r="J393" i="46"/>
  <c r="BG391" i="46"/>
  <c r="J390" i="46"/>
  <c r="J374" i="46"/>
  <c r="H372" i="46"/>
  <c r="J371" i="46"/>
  <c r="H370" i="46"/>
  <c r="J369" i="46"/>
  <c r="J366" i="46"/>
  <c r="J350" i="46"/>
  <c r="L344" i="46"/>
  <c r="J340" i="46"/>
  <c r="H335" i="46"/>
  <c r="J335" i="46"/>
  <c r="H333" i="46"/>
  <c r="J333" i="46"/>
  <c r="L333" i="46"/>
  <c r="H307" i="46"/>
  <c r="J307" i="46"/>
  <c r="L307" i="46"/>
  <c r="BG254" i="46"/>
  <c r="F254" i="46"/>
  <c r="F232" i="46"/>
  <c r="BG232" i="46"/>
  <c r="H230" i="46"/>
  <c r="J230" i="46"/>
  <c r="L230" i="46"/>
  <c r="H229" i="46"/>
  <c r="J229" i="46"/>
  <c r="L229" i="46"/>
  <c r="H222" i="46"/>
  <c r="J222" i="46"/>
  <c r="H210" i="46"/>
  <c r="J210" i="46"/>
  <c r="H328" i="46"/>
  <c r="F312" i="46"/>
  <c r="F296" i="46"/>
  <c r="J263" i="46"/>
  <c r="F243" i="46"/>
  <c r="J240" i="46"/>
  <c r="J233" i="46"/>
  <c r="J224" i="46"/>
  <c r="J204" i="46"/>
  <c r="J318" i="46"/>
  <c r="L316" i="46"/>
  <c r="J313" i="46"/>
  <c r="H309" i="46"/>
  <c r="J303" i="46"/>
  <c r="J297" i="46"/>
  <c r="J296" i="46"/>
  <c r="L294" i="46"/>
  <c r="J287" i="46"/>
  <c r="L285" i="46"/>
  <c r="J283" i="46"/>
  <c r="J281" i="46"/>
  <c r="BG275" i="46"/>
  <c r="H275" i="46"/>
  <c r="J271" i="46"/>
  <c r="BG268" i="46"/>
  <c r="J267" i="46"/>
  <c r="L264" i="46"/>
  <c r="L256" i="46"/>
  <c r="L254" i="46"/>
  <c r="L253" i="46"/>
  <c r="H251" i="46"/>
  <c r="BG249" i="46"/>
  <c r="H238" i="46"/>
  <c r="F238" i="46"/>
  <c r="L223" i="46"/>
  <c r="J214" i="46"/>
  <c r="J206" i="46"/>
  <c r="J316" i="46"/>
  <c r="F311" i="46"/>
  <c r="J294" i="46"/>
  <c r="H281" i="46"/>
  <c r="H262" i="46"/>
  <c r="J256" i="46"/>
  <c r="L200" i="46"/>
  <c r="H200" i="46"/>
  <c r="BG191" i="46"/>
  <c r="L188" i="46"/>
  <c r="J182" i="46"/>
  <c r="H180" i="46"/>
  <c r="J175" i="46"/>
  <c r="L173" i="46"/>
  <c r="J166" i="46"/>
  <c r="H162" i="46"/>
  <c r="H160" i="46"/>
  <c r="H159" i="46"/>
  <c r="H151" i="46"/>
  <c r="F149" i="46"/>
  <c r="H144" i="46"/>
  <c r="L140" i="46"/>
  <c r="F137" i="46"/>
  <c r="H135" i="46"/>
  <c r="BG134" i="46"/>
  <c r="L134" i="46"/>
  <c r="H131" i="46"/>
  <c r="J131" i="46"/>
  <c r="L131" i="46"/>
  <c r="J188" i="46"/>
  <c r="H199" i="46"/>
  <c r="J194" i="46"/>
  <c r="L192" i="46"/>
  <c r="J189" i="46"/>
  <c r="BG185" i="46"/>
  <c r="L180" i="46"/>
  <c r="BG178" i="46"/>
  <c r="J174" i="46"/>
  <c r="J170" i="46"/>
  <c r="L162" i="46"/>
  <c r="L160" i="46"/>
  <c r="L159" i="46"/>
  <c r="L154" i="46"/>
  <c r="L151" i="46"/>
  <c r="J150" i="46"/>
  <c r="L149" i="46"/>
  <c r="L143" i="46"/>
  <c r="F189" i="46"/>
  <c r="J149" i="46"/>
  <c r="BG145" i="46"/>
  <c r="H145" i="46"/>
  <c r="L144" i="46"/>
  <c r="H137" i="46"/>
  <c r="J135" i="46"/>
  <c r="H127" i="46"/>
  <c r="H121" i="46"/>
  <c r="L119" i="46"/>
  <c r="L115" i="46"/>
  <c r="L110" i="46"/>
  <c r="J109" i="46"/>
  <c r="H108" i="46"/>
  <c r="L97" i="46"/>
  <c r="F86" i="46"/>
  <c r="BG86" i="46"/>
  <c r="H85" i="46"/>
  <c r="J85" i="46"/>
  <c r="H73" i="46"/>
  <c r="L73" i="46"/>
  <c r="L126" i="46"/>
  <c r="J125" i="46"/>
  <c r="L124" i="46"/>
  <c r="H119" i="46"/>
  <c r="J115" i="46"/>
  <c r="J110" i="46"/>
  <c r="L107" i="46"/>
  <c r="J105" i="46"/>
  <c r="H103" i="46"/>
  <c r="J101" i="46"/>
  <c r="L100" i="46"/>
  <c r="L99" i="46"/>
  <c r="L94" i="46"/>
  <c r="L91" i="46"/>
  <c r="H81" i="46"/>
  <c r="J81" i="46"/>
  <c r="L81" i="46"/>
  <c r="J78" i="46"/>
  <c r="L78" i="46"/>
  <c r="J75" i="46"/>
  <c r="L75" i="46"/>
  <c r="J133" i="46"/>
  <c r="L132" i="46"/>
  <c r="J124" i="46"/>
  <c r="J117" i="46"/>
  <c r="J116" i="46"/>
  <c r="L84" i="46"/>
  <c r="BG81" i="46"/>
  <c r="H78" i="46"/>
  <c r="H75" i="46"/>
  <c r="F50" i="46"/>
  <c r="BG50" i="46"/>
  <c r="H25" i="46"/>
  <c r="J25" i="46"/>
  <c r="L25" i="46"/>
  <c r="H70" i="46"/>
  <c r="H49" i="46"/>
  <c r="J49" i="46"/>
  <c r="L49" i="46"/>
  <c r="F65" i="46"/>
  <c r="F46" i="46"/>
  <c r="H41" i="46"/>
  <c r="J41" i="46"/>
  <c r="J84" i="46"/>
  <c r="H76" i="46"/>
  <c r="L68" i="46"/>
  <c r="L52" i="46"/>
  <c r="F43" i="46"/>
  <c r="L41" i="46"/>
  <c r="L36" i="46"/>
  <c r="J36" i="46"/>
  <c r="L35" i="46"/>
  <c r="H23" i="46"/>
  <c r="J23" i="46"/>
  <c r="H84" i="46"/>
  <c r="H72" i="46"/>
  <c r="H69" i="46"/>
  <c r="H63" i="46"/>
  <c r="J63" i="46"/>
  <c r="J60" i="46"/>
  <c r="F57" i="46"/>
  <c r="H55" i="46"/>
  <c r="J55" i="46"/>
  <c r="L51" i="46"/>
  <c r="L46" i="46"/>
  <c r="J43" i="46"/>
  <c r="H39" i="46"/>
  <c r="L39" i="46"/>
  <c r="L38" i="46"/>
  <c r="H36" i="46"/>
  <c r="J35" i="46"/>
  <c r="H31" i="46"/>
  <c r="J31" i="46"/>
  <c r="J28" i="46"/>
  <c r="J11" i="46"/>
  <c r="H60" i="46"/>
  <c r="H57" i="46"/>
  <c r="H52" i="46"/>
  <c r="L19" i="46"/>
  <c r="J17" i="46"/>
  <c r="J15" i="46"/>
  <c r="H322" i="46"/>
  <c r="J322" i="46"/>
  <c r="L322" i="46"/>
  <c r="J266" i="46"/>
  <c r="L266" i="46"/>
  <c r="L528" i="46"/>
  <c r="L519" i="46"/>
  <c r="L510" i="46"/>
  <c r="L502" i="46"/>
  <c r="L494" i="46"/>
  <c r="L470" i="46"/>
  <c r="L462" i="46"/>
  <c r="L454" i="46"/>
  <c r="L446" i="46"/>
  <c r="L398" i="46"/>
  <c r="L390" i="46"/>
  <c r="L382" i="46"/>
  <c r="L374" i="46"/>
  <c r="L366" i="46"/>
  <c r="L350" i="46"/>
  <c r="L283" i="46"/>
  <c r="L210" i="46"/>
  <c r="BG192" i="46"/>
  <c r="H179" i="46"/>
  <c r="J179" i="46"/>
  <c r="H114" i="46"/>
  <c r="J114" i="46"/>
  <c r="L310" i="46"/>
  <c r="L305" i="46"/>
  <c r="J300" i="46"/>
  <c r="L288" i="46"/>
  <c r="L259" i="46"/>
  <c r="L184" i="46"/>
  <c r="BG523" i="46"/>
  <c r="BG515" i="46"/>
  <c r="BG506" i="46"/>
  <c r="BG466" i="46"/>
  <c r="BG458" i="46"/>
  <c r="BG426" i="46"/>
  <c r="BG402" i="46"/>
  <c r="BG386" i="46"/>
  <c r="BG378" i="46"/>
  <c r="BG370" i="46"/>
  <c r="J310" i="46"/>
  <c r="J305" i="46"/>
  <c r="J288" i="46"/>
  <c r="BG265" i="46"/>
  <c r="J259" i="46"/>
  <c r="H203" i="46"/>
  <c r="J203" i="46"/>
  <c r="J184" i="46"/>
  <c r="L335" i="46"/>
  <c r="H276" i="46"/>
  <c r="J276" i="46"/>
  <c r="H228" i="46"/>
  <c r="J228" i="46"/>
  <c r="L203" i="46"/>
  <c r="H330" i="46"/>
  <c r="J330" i="46"/>
  <c r="L330" i="46"/>
  <c r="L105" i="46"/>
  <c r="L98" i="46"/>
  <c r="L257" i="46"/>
  <c r="J252" i="46"/>
  <c r="BG526" i="46"/>
  <c r="BG518" i="46"/>
  <c r="BG501" i="46"/>
  <c r="BG469" i="46"/>
  <c r="BG461" i="46"/>
  <c r="BG445" i="46"/>
  <c r="BG429" i="46"/>
  <c r="BG405" i="46"/>
  <c r="BG357" i="46"/>
  <c r="L298" i="46"/>
  <c r="L286" i="46"/>
  <c r="J257" i="46"/>
  <c r="L252" i="46"/>
  <c r="L213" i="46"/>
  <c r="J286" i="46"/>
  <c r="J213" i="46"/>
  <c r="H163" i="46"/>
  <c r="J163" i="46"/>
  <c r="L343" i="46"/>
  <c r="L318" i="46"/>
  <c r="L313" i="46"/>
  <c r="BG309" i="46"/>
  <c r="J274" i="46"/>
  <c r="L274" i="46"/>
  <c r="L262" i="46"/>
  <c r="L194" i="46"/>
  <c r="L163" i="46"/>
  <c r="BG521" i="46"/>
  <c r="BG472" i="46"/>
  <c r="BG448" i="46"/>
  <c r="BG384" i="46"/>
  <c r="BG368" i="46"/>
  <c r="BG360" i="46"/>
  <c r="H338" i="46"/>
  <c r="J338" i="46"/>
  <c r="L338" i="46"/>
  <c r="BG297" i="46"/>
  <c r="L218" i="46"/>
  <c r="BG195" i="46"/>
  <c r="L267" i="46"/>
  <c r="F262" i="46"/>
  <c r="J218" i="46"/>
  <c r="H187" i="46"/>
  <c r="J187" i="46"/>
  <c r="H122" i="46"/>
  <c r="J122" i="46"/>
  <c r="L187" i="46"/>
  <c r="L127" i="46"/>
  <c r="L122" i="46"/>
  <c r="L108" i="46"/>
  <c r="H284" i="46"/>
  <c r="J284" i="46"/>
  <c r="H211" i="46"/>
  <c r="J211" i="46"/>
  <c r="H346" i="46"/>
  <c r="L346" i="46"/>
  <c r="H236" i="46"/>
  <c r="J236" i="46"/>
  <c r="L216" i="46"/>
  <c r="L211" i="46"/>
  <c r="L498" i="46"/>
  <c r="L474" i="46"/>
  <c r="L466" i="46"/>
  <c r="L458" i="46"/>
  <c r="L450" i="46"/>
  <c r="L426" i="46"/>
  <c r="L410" i="46"/>
  <c r="L402" i="46"/>
  <c r="L394" i="46"/>
  <c r="L386" i="46"/>
  <c r="L378" i="46"/>
  <c r="L370" i="46"/>
  <c r="L362" i="46"/>
  <c r="L354" i="46"/>
  <c r="J346" i="46"/>
  <c r="L336" i="46"/>
  <c r="L326" i="46"/>
  <c r="L321" i="46"/>
  <c r="H311" i="46"/>
  <c r="L311" i="46"/>
  <c r="L265" i="46"/>
  <c r="L248" i="46"/>
  <c r="L236" i="46"/>
  <c r="J216" i="46"/>
  <c r="L197" i="46"/>
  <c r="J154" i="46"/>
  <c r="J362" i="46"/>
  <c r="J354" i="46"/>
  <c r="J336" i="46"/>
  <c r="H306" i="46"/>
  <c r="J306" i="46"/>
  <c r="L306" i="46"/>
  <c r="J265" i="46"/>
  <c r="J248" i="46"/>
  <c r="J197" i="46"/>
  <c r="H147" i="46"/>
  <c r="J147" i="46"/>
  <c r="BG84" i="46"/>
  <c r="F84" i="46"/>
  <c r="H326" i="46"/>
  <c r="H321" i="46"/>
  <c r="L221" i="46"/>
  <c r="L178" i="46"/>
  <c r="L152" i="46"/>
  <c r="L147" i="46"/>
  <c r="L113" i="46"/>
  <c r="J394" i="46"/>
  <c r="J331" i="46"/>
  <c r="H282" i="46"/>
  <c r="J282" i="46"/>
  <c r="L282" i="46"/>
  <c r="L270" i="46"/>
  <c r="J221" i="46"/>
  <c r="J178" i="46"/>
  <c r="J152" i="46"/>
  <c r="J113" i="46"/>
  <c r="J402" i="46"/>
  <c r="J370" i="46"/>
  <c r="H331" i="46"/>
  <c r="J270" i="46"/>
  <c r="J171" i="46"/>
  <c r="H106" i="46"/>
  <c r="J106" i="46"/>
  <c r="L106" i="46"/>
  <c r="BG60" i="46"/>
  <c r="F60" i="46"/>
  <c r="L523" i="46"/>
  <c r="J506" i="46"/>
  <c r="J378" i="46"/>
  <c r="H258" i="46"/>
  <c r="J258" i="46"/>
  <c r="L258" i="46"/>
  <c r="L334" i="46"/>
  <c r="L329" i="46"/>
  <c r="L304" i="46"/>
  <c r="L275" i="46"/>
  <c r="L227" i="46"/>
  <c r="J202" i="46"/>
  <c r="L183" i="46"/>
  <c r="L176" i="46"/>
  <c r="L157" i="46"/>
  <c r="L137" i="46"/>
  <c r="J111" i="46"/>
  <c r="J515" i="46"/>
  <c r="J334" i="46"/>
  <c r="J329" i="46"/>
  <c r="H319" i="46"/>
  <c r="L319" i="46"/>
  <c r="J304" i="46"/>
  <c r="J275" i="46"/>
  <c r="J227" i="46"/>
  <c r="J195" i="46"/>
  <c r="J183" i="46"/>
  <c r="J176" i="46"/>
  <c r="J157" i="46"/>
  <c r="J137" i="46"/>
  <c r="H66" i="46"/>
  <c r="L352" i="46"/>
  <c r="L339" i="46"/>
  <c r="L324" i="46"/>
  <c r="J319" i="46"/>
  <c r="H314" i="46"/>
  <c r="J314" i="46"/>
  <c r="L314" i="46"/>
  <c r="L297" i="46"/>
  <c r="H292" i="46"/>
  <c r="J292" i="46"/>
  <c r="L280" i="46"/>
  <c r="L251" i="46"/>
  <c r="H239" i="46"/>
  <c r="L207" i="46"/>
  <c r="L195" i="46"/>
  <c r="H130" i="46"/>
  <c r="J130" i="46"/>
  <c r="L95" i="46"/>
  <c r="J410" i="46"/>
  <c r="H515" i="46"/>
  <c r="H506" i="46"/>
  <c r="H450" i="46"/>
  <c r="H219" i="46"/>
  <c r="J219" i="46"/>
  <c r="L130" i="46"/>
  <c r="J523" i="46"/>
  <c r="H386" i="46"/>
  <c r="J268" i="46"/>
  <c r="H53" i="46"/>
  <c r="L302" i="46"/>
  <c r="L268" i="46"/>
  <c r="H244" i="46"/>
  <c r="J244" i="46"/>
  <c r="J474" i="46"/>
  <c r="L395" i="46"/>
  <c r="L387" i="46"/>
  <c r="L379" i="46"/>
  <c r="L371" i="46"/>
  <c r="L363" i="46"/>
  <c r="L355" i="46"/>
  <c r="L347" i="46"/>
  <c r="L342" i="46"/>
  <c r="L337" i="46"/>
  <c r="J302" i="46"/>
  <c r="L249" i="46"/>
  <c r="L244" i="46"/>
  <c r="L205" i="46"/>
  <c r="BG201" i="46"/>
  <c r="J498" i="46"/>
  <c r="H290" i="46"/>
  <c r="J290" i="46"/>
  <c r="L290" i="46"/>
  <c r="BG182" i="46"/>
  <c r="H155" i="46"/>
  <c r="J155" i="46"/>
  <c r="BG76" i="46"/>
  <c r="F76" i="46"/>
  <c r="H71" i="46"/>
  <c r="F302" i="46"/>
  <c r="BG63" i="46"/>
  <c r="L17" i="46"/>
  <c r="L9" i="46"/>
  <c r="L12" i="46"/>
  <c r="J12" i="46"/>
  <c r="L23" i="46"/>
  <c r="L15" i="46"/>
  <c r="L90" i="46"/>
  <c r="L82" i="46"/>
  <c r="L74" i="46"/>
  <c r="L66" i="46"/>
  <c r="L58" i="46"/>
  <c r="L50" i="46"/>
  <c r="L42" i="46"/>
  <c r="L34" i="46"/>
  <c r="L26" i="46"/>
  <c r="L18" i="46"/>
  <c r="L10" i="46"/>
  <c r="J82" i="46"/>
  <c r="J74" i="46"/>
  <c r="J58" i="46"/>
  <c r="J42" i="46"/>
  <c r="J26" i="46"/>
  <c r="J18" i="46"/>
  <c r="J10" i="46"/>
  <c r="L303" i="46"/>
  <c r="L295" i="46"/>
  <c r="L287" i="46"/>
  <c r="L279" i="46"/>
  <c r="L271" i="46"/>
  <c r="L263" i="46"/>
  <c r="L255" i="46"/>
  <c r="L247" i="46"/>
  <c r="L239" i="46"/>
  <c r="L231" i="46"/>
  <c r="L222" i="46"/>
  <c r="L214" i="46"/>
  <c r="L206" i="46"/>
  <c r="L198" i="46"/>
  <c r="L190" i="46"/>
  <c r="L182" i="46"/>
  <c r="L174" i="46"/>
  <c r="L166" i="46"/>
  <c r="L158" i="46"/>
  <c r="L150" i="46"/>
  <c r="L142" i="46"/>
  <c r="L133" i="46"/>
  <c r="L125" i="46"/>
  <c r="L117" i="46"/>
  <c r="L109" i="46"/>
  <c r="L101" i="46"/>
  <c r="L93" i="46"/>
  <c r="L85" i="46"/>
  <c r="L77" i="46"/>
  <c r="L69" i="46"/>
  <c r="L61" i="46"/>
  <c r="L53" i="46"/>
  <c r="L45" i="46"/>
  <c r="L37" i="46"/>
  <c r="L29" i="46"/>
  <c r="L21" i="46"/>
  <c r="L13" i="46"/>
  <c r="J61" i="46"/>
  <c r="J45" i="46"/>
  <c r="J37" i="46"/>
  <c r="J29" i="46"/>
  <c r="J21" i="46"/>
  <c r="J13" i="46"/>
  <c r="L250" i="46"/>
  <c r="L242" i="46"/>
  <c r="L234" i="46"/>
  <c r="L226" i="46"/>
  <c r="L217" i="46"/>
  <c r="L209" i="46"/>
  <c r="L201" i="46"/>
  <c r="L193" i="46"/>
  <c r="L185" i="46"/>
  <c r="L177" i="46"/>
  <c r="L169" i="46"/>
  <c r="L161" i="46"/>
  <c r="L153" i="46"/>
  <c r="L145" i="46"/>
  <c r="L136" i="46"/>
  <c r="L128" i="46"/>
  <c r="L120" i="46"/>
  <c r="L112" i="46"/>
  <c r="L104" i="46"/>
  <c r="L96" i="46"/>
  <c r="L88" i="46"/>
  <c r="L80" i="46"/>
  <c r="L72" i="46"/>
  <c r="L64" i="46"/>
  <c r="L56" i="46"/>
  <c r="L48" i="46"/>
  <c r="L40" i="46"/>
  <c r="L32" i="46"/>
  <c r="L24" i="46"/>
  <c r="L16" i="46"/>
  <c r="L8" i="46"/>
  <c r="J250" i="46"/>
  <c r="J242" i="46"/>
  <c r="J234" i="46"/>
  <c r="J226" i="46"/>
  <c r="J217" i="46"/>
  <c r="J209" i="46"/>
  <c r="J193" i="46"/>
  <c r="J185" i="46"/>
  <c r="J177" i="46"/>
  <c r="J169" i="46"/>
  <c r="J161" i="46"/>
  <c r="J153" i="46"/>
  <c r="J145" i="46"/>
  <c r="J136" i="46"/>
  <c r="J128" i="46"/>
  <c r="J120" i="46"/>
  <c r="J112" i="46"/>
  <c r="J104" i="46"/>
  <c r="J80" i="46"/>
  <c r="J64" i="46"/>
  <c r="J56" i="46"/>
  <c r="J48" i="46"/>
  <c r="J40" i="46"/>
  <c r="J32" i="46"/>
  <c r="J24" i="46"/>
  <c r="J16" i="46"/>
  <c r="E47" i="142" l="1"/>
  <c r="H48" i="142"/>
  <c r="H47" i="142"/>
  <c r="E48" i="142"/>
  <c r="C47" i="142"/>
  <c r="H38" i="142"/>
  <c r="H37" i="142"/>
  <c r="E38" i="142"/>
  <c r="E37" i="142"/>
  <c r="C37" i="142"/>
  <c r="H28" i="142"/>
  <c r="H27" i="142"/>
  <c r="E28" i="142"/>
  <c r="E27" i="142"/>
  <c r="C27" i="142"/>
  <c r="R270" i="109"/>
  <c r="BF270" i="46" s="1"/>
  <c r="R271" i="109"/>
  <c r="BF271" i="46" s="1"/>
  <c r="R272" i="109"/>
  <c r="BF272" i="46" s="1"/>
  <c r="R273" i="109"/>
  <c r="BF273" i="46" s="1"/>
  <c r="H105" i="125" l="1"/>
  <c r="C8" i="120" l="1"/>
  <c r="C7" i="120"/>
  <c r="B8" i="120"/>
  <c r="B7" i="120"/>
  <c r="W565" i="148" l="1"/>
  <c r="P562" i="148"/>
  <c r="G839" i="148" l="1"/>
  <c r="H837" i="148"/>
  <c r="I462" i="109"/>
  <c r="I461" i="109"/>
  <c r="C840" i="148" s="1"/>
  <c r="A462" i="109"/>
  <c r="A461" i="109"/>
  <c r="C463" i="109" s="1"/>
  <c r="P837" i="148"/>
  <c r="O839" i="148"/>
  <c r="O841" i="148" s="1"/>
  <c r="G841" i="148"/>
  <c r="I311" i="109"/>
  <c r="I310" i="109"/>
  <c r="W840" i="148" s="1"/>
  <c r="R463" i="109" l="1"/>
  <c r="BF463" i="46" s="1"/>
  <c r="D463" i="46"/>
  <c r="G52" i="125"/>
  <c r="A463" i="109"/>
  <c r="H52" i="125" s="1"/>
  <c r="B463" i="109"/>
  <c r="AB860" i="148"/>
  <c r="Z860" i="148"/>
  <c r="G840" i="148"/>
  <c r="O840" i="148"/>
  <c r="B463" i="46" l="1"/>
  <c r="C52" i="125"/>
  <c r="AA860" i="148"/>
  <c r="Y860" i="148"/>
  <c r="S840" i="148"/>
  <c r="T840" i="148" s="1"/>
  <c r="T837" i="148"/>
  <c r="K840" i="148"/>
  <c r="L840" i="148" s="1"/>
  <c r="L837" i="148"/>
  <c r="A311" i="109" l="1"/>
  <c r="A310" i="109"/>
  <c r="C312" i="109" s="1"/>
  <c r="A308" i="109"/>
  <c r="A307" i="109"/>
  <c r="C309" i="109" s="1"/>
  <c r="R309" i="109" l="1"/>
  <c r="BF309" i="46" s="1"/>
  <c r="D309" i="46"/>
  <c r="G66" i="125"/>
  <c r="A309" i="109"/>
  <c r="H66" i="125" s="1"/>
  <c r="R312" i="109"/>
  <c r="BF312" i="46" s="1"/>
  <c r="D312" i="46"/>
  <c r="G67" i="125"/>
  <c r="B309" i="109"/>
  <c r="A312" i="109"/>
  <c r="H67" i="125" s="1"/>
  <c r="B312" i="109"/>
  <c r="B309" i="46" l="1"/>
  <c r="C66" i="125"/>
  <c r="B312" i="46"/>
  <c r="C67" i="125"/>
  <c r="D286" i="120"/>
  <c r="C286" i="120"/>
  <c r="G10" i="125" l="1"/>
  <c r="E10" i="125"/>
  <c r="F10" i="125"/>
  <c r="H8" i="125"/>
  <c r="C284" i="120"/>
  <c r="C285" i="120"/>
  <c r="B13" i="151"/>
  <c r="B14" i="151"/>
  <c r="D265" i="120"/>
  <c r="D264" i="120"/>
  <c r="F65" i="109" l="1"/>
  <c r="AP65" i="46" s="1"/>
  <c r="H65" i="46" s="1"/>
  <c r="F50" i="109"/>
  <c r="AP50" i="46" s="1"/>
  <c r="H50" i="46" s="1"/>
  <c r="H468" i="109" l="1"/>
  <c r="J468" i="109" s="1"/>
  <c r="H465" i="109"/>
  <c r="J465" i="109" s="1"/>
  <c r="R468" i="109"/>
  <c r="BF468" i="46" s="1"/>
  <c r="R465" i="109"/>
  <c r="BF465" i="46" s="1"/>
  <c r="Y4" i="139" l="1"/>
  <c r="X4" i="139"/>
  <c r="W4" i="139"/>
  <c r="V4" i="139"/>
  <c r="U4" i="139"/>
  <c r="T4" i="139"/>
  <c r="R4" i="139"/>
  <c r="G136" i="126" l="1"/>
  <c r="E136" i="126"/>
  <c r="T520" i="109"/>
  <c r="BH520" i="46" s="1"/>
  <c r="R520" i="109"/>
  <c r="BF520" i="46" s="1"/>
  <c r="H520" i="109"/>
  <c r="D520" i="109"/>
  <c r="K520" i="109" l="1"/>
  <c r="AO520" i="46"/>
  <c r="S520" i="109"/>
  <c r="AE41" i="120" l="1"/>
  <c r="AE40" i="120"/>
  <c r="F663" i="46" l="1"/>
  <c r="BG663" i="46" s="1"/>
  <c r="B663" i="46"/>
  <c r="A50" i="126"/>
  <c r="R699" i="46" l="1"/>
  <c r="R700" i="46"/>
  <c r="R701" i="46"/>
  <c r="R702" i="46"/>
  <c r="R703" i="46"/>
  <c r="R704" i="46"/>
  <c r="R705" i="46"/>
  <c r="R706" i="46"/>
  <c r="R707" i="46"/>
  <c r="R708" i="46"/>
  <c r="R709" i="46"/>
  <c r="R710" i="46"/>
  <c r="R711" i="46"/>
  <c r="R712" i="46"/>
  <c r="R713" i="46"/>
  <c r="R714" i="46"/>
  <c r="R715" i="46"/>
  <c r="R716" i="46"/>
  <c r="R717" i="46"/>
  <c r="R718" i="46"/>
  <c r="R719" i="46"/>
  <c r="R720" i="46"/>
  <c r="R721" i="46"/>
  <c r="R722" i="46"/>
  <c r="R723" i="46"/>
  <c r="R724" i="46"/>
  <c r="R725" i="46"/>
  <c r="R726" i="46"/>
  <c r="R727" i="46"/>
  <c r="R728" i="46"/>
  <c r="R729" i="46"/>
  <c r="R730" i="46"/>
  <c r="R731" i="46"/>
  <c r="R732" i="46"/>
  <c r="R733" i="46"/>
  <c r="R734" i="46"/>
  <c r="R735" i="46"/>
  <c r="R736" i="46"/>
  <c r="R737" i="46"/>
  <c r="R738" i="46"/>
  <c r="R739" i="46"/>
  <c r="R740" i="46"/>
  <c r="R741" i="46"/>
  <c r="R742" i="46"/>
  <c r="R743" i="46"/>
  <c r="R744" i="46"/>
  <c r="R745" i="46"/>
  <c r="R746" i="46"/>
  <c r="R747" i="46"/>
  <c r="R748" i="46"/>
  <c r="R749" i="46"/>
  <c r="R750" i="46"/>
  <c r="R751" i="46"/>
  <c r="R752" i="46"/>
  <c r="R753" i="46"/>
  <c r="R754" i="46"/>
  <c r="R755" i="46"/>
  <c r="R756" i="46"/>
  <c r="R757" i="46"/>
  <c r="R758" i="46"/>
  <c r="R759" i="46"/>
  <c r="R760" i="46"/>
  <c r="R761" i="46"/>
  <c r="R762" i="46"/>
  <c r="R763" i="46"/>
  <c r="R764" i="46"/>
  <c r="R765" i="46"/>
  <c r="R766" i="46"/>
  <c r="R767" i="46"/>
  <c r="R768" i="46"/>
  <c r="R769" i="46"/>
  <c r="R770" i="46"/>
  <c r="R771" i="46"/>
  <c r="R772" i="46"/>
  <c r="R773" i="46"/>
  <c r="R774" i="46"/>
  <c r="R775" i="46"/>
  <c r="R776" i="46"/>
  <c r="R777" i="46"/>
  <c r="R778" i="46"/>
  <c r="R779" i="46"/>
  <c r="R780" i="46"/>
  <c r="R781" i="46"/>
  <c r="R782" i="46"/>
  <c r="R783" i="46"/>
  <c r="R784" i="46"/>
  <c r="R785" i="46"/>
  <c r="R786" i="46"/>
  <c r="R787" i="46"/>
  <c r="R788" i="46"/>
  <c r="R789" i="46"/>
  <c r="R790" i="46"/>
  <c r="R791" i="46"/>
  <c r="R792" i="46"/>
  <c r="R793" i="46"/>
  <c r="R794" i="46"/>
  <c r="R795" i="46"/>
  <c r="R796" i="46"/>
  <c r="R797" i="46"/>
  <c r="R798" i="46"/>
  <c r="R799" i="46"/>
  <c r="R800" i="46"/>
  <c r="R801" i="46"/>
  <c r="R802" i="46"/>
  <c r="R803" i="46"/>
  <c r="R804" i="46"/>
  <c r="R805" i="46"/>
  <c r="R806" i="46"/>
  <c r="R698" i="46"/>
  <c r="B707" i="46" l="1"/>
  <c r="C29" i="125" l="1"/>
  <c r="H177" i="109"/>
  <c r="J177" i="109" s="1"/>
  <c r="H176" i="109"/>
  <c r="J176" i="109" s="1"/>
  <c r="D183" i="120"/>
  <c r="AA57" i="120"/>
  <c r="Y57" i="120"/>
  <c r="AC57" i="120" l="1"/>
  <c r="Y71" i="120" l="1"/>
  <c r="AB71" i="120"/>
  <c r="F44" i="60" l="1"/>
  <c r="P812" i="148" l="1"/>
  <c r="H812" i="148"/>
  <c r="P787" i="148"/>
  <c r="H787" i="148"/>
  <c r="P762" i="148"/>
  <c r="P687" i="148"/>
  <c r="P662" i="148"/>
  <c r="H637" i="148"/>
  <c r="H612" i="148"/>
  <c r="P587" i="148"/>
  <c r="H587" i="148"/>
  <c r="P537" i="148"/>
  <c r="H562" i="148"/>
  <c r="H537" i="148"/>
  <c r="P512" i="148" l="1"/>
  <c r="H512" i="148"/>
  <c r="P487" i="148"/>
  <c r="H487" i="148"/>
  <c r="P462" i="148"/>
  <c r="H337" i="148"/>
  <c r="P312" i="148"/>
  <c r="W314" i="148"/>
  <c r="W313" i="148"/>
  <c r="H312" i="148"/>
  <c r="P287" i="148"/>
  <c r="H287" i="148"/>
  <c r="P262" i="148"/>
  <c r="C264" i="148"/>
  <c r="C263" i="148"/>
  <c r="P212" i="148" l="1"/>
  <c r="G51" i="125" l="1"/>
  <c r="C51" i="125"/>
  <c r="J459" i="109"/>
  <c r="R459" i="109"/>
  <c r="BF459" i="46" s="1"/>
  <c r="G201" i="143" l="1"/>
  <c r="R457" i="109" l="1"/>
  <c r="BF457" i="46" s="1"/>
  <c r="L442" i="109"/>
  <c r="N442" i="46" s="1"/>
  <c r="L441" i="109"/>
  <c r="N441" i="46" s="1"/>
  <c r="L440" i="109"/>
  <c r="N440" i="46" s="1"/>
  <c r="L439" i="109"/>
  <c r="N439" i="46" s="1"/>
  <c r="L438" i="109"/>
  <c r="N438" i="46" s="1"/>
  <c r="L437" i="109"/>
  <c r="N437" i="46" s="1"/>
  <c r="L441" i="46" l="1"/>
  <c r="J441" i="46"/>
  <c r="H441" i="46"/>
  <c r="H437" i="46"/>
  <c r="J437" i="46"/>
  <c r="L437" i="46"/>
  <c r="H438" i="46"/>
  <c r="J438" i="46"/>
  <c r="L438" i="46"/>
  <c r="H442" i="46"/>
  <c r="L442" i="46"/>
  <c r="J442" i="46"/>
  <c r="H440" i="46"/>
  <c r="J440" i="46"/>
  <c r="L440" i="46"/>
  <c r="H439" i="46"/>
  <c r="J439" i="46"/>
  <c r="L439" i="46"/>
  <c r="A179" i="126"/>
  <c r="A178" i="126"/>
  <c r="A177" i="126"/>
  <c r="A176" i="126"/>
  <c r="A175" i="126"/>
  <c r="A174" i="126"/>
  <c r="A173" i="126"/>
  <c r="A172" i="126"/>
  <c r="A171" i="126"/>
  <c r="A170" i="126"/>
  <c r="A169" i="126"/>
  <c r="A168" i="126"/>
  <c r="A167" i="126"/>
  <c r="A166" i="126"/>
  <c r="A165" i="126"/>
  <c r="A164" i="126"/>
  <c r="A163" i="126"/>
  <c r="A162" i="126"/>
  <c r="A161" i="126"/>
  <c r="A160" i="126"/>
  <c r="A159" i="126"/>
  <c r="A158" i="126"/>
  <c r="A157" i="126"/>
  <c r="A156" i="126"/>
  <c r="A155" i="126"/>
  <c r="A154" i="126"/>
  <c r="A153" i="126"/>
  <c r="A152" i="126"/>
  <c r="A151" i="126"/>
  <c r="A150" i="126"/>
  <c r="A149" i="126"/>
  <c r="A148" i="126"/>
  <c r="A147" i="126"/>
  <c r="A146" i="126"/>
  <c r="A145" i="126"/>
  <c r="A144" i="126"/>
  <c r="A143" i="126"/>
  <c r="A142" i="126"/>
  <c r="A141" i="126"/>
  <c r="A140" i="126"/>
  <c r="A139" i="126"/>
  <c r="A138" i="126"/>
  <c r="A137" i="126"/>
  <c r="A136" i="126"/>
  <c r="A125" i="126"/>
  <c r="A124" i="126"/>
  <c r="A115" i="126"/>
  <c r="A114" i="126"/>
  <c r="A113" i="126"/>
  <c r="A112" i="126"/>
  <c r="A111" i="126"/>
  <c r="A110" i="126"/>
  <c r="A101" i="126"/>
  <c r="A100" i="126"/>
  <c r="A98" i="126"/>
  <c r="A97" i="126"/>
  <c r="A96" i="126"/>
  <c r="A91" i="126"/>
  <c r="A90" i="126"/>
  <c r="A89" i="126"/>
  <c r="A85" i="126"/>
  <c r="A80" i="126"/>
  <c r="A79" i="126"/>
  <c r="A78" i="126"/>
  <c r="A77" i="126"/>
  <c r="A67" i="126"/>
  <c r="A66" i="126"/>
  <c r="A65" i="126"/>
  <c r="A64" i="126"/>
  <c r="A63" i="126"/>
  <c r="A62" i="126"/>
  <c r="A60" i="126"/>
  <c r="A59" i="126"/>
  <c r="A58" i="126"/>
  <c r="A56" i="126"/>
  <c r="A55" i="126"/>
  <c r="A54" i="126"/>
  <c r="A53" i="126"/>
  <c r="A52" i="126"/>
  <c r="A49" i="126"/>
  <c r="A48" i="126" s="1"/>
  <c r="A47" i="126"/>
  <c r="A46" i="126"/>
  <c r="A45" i="126"/>
  <c r="A44" i="126"/>
  <c r="A42" i="126"/>
  <c r="A41" i="126"/>
  <c r="A40" i="126"/>
  <c r="A39" i="126"/>
  <c r="A38" i="126"/>
  <c r="A36" i="126"/>
  <c r="A35" i="126"/>
  <c r="A57" i="126" l="1"/>
  <c r="A37" i="126"/>
  <c r="A34" i="126"/>
  <c r="A43" i="126"/>
  <c r="A61" i="126"/>
  <c r="A51" i="126"/>
  <c r="E2" i="148" l="1"/>
  <c r="R228" i="109" l="1"/>
  <c r="BF228" i="46" s="1"/>
  <c r="R227" i="109"/>
  <c r="BF227" i="46" s="1"/>
  <c r="H228" i="109"/>
  <c r="J228" i="109" s="1"/>
  <c r="H227" i="109"/>
  <c r="J227" i="109" s="1"/>
  <c r="E21" i="150" l="1"/>
  <c r="I30" i="150"/>
  <c r="I31" i="150"/>
  <c r="I32" i="150"/>
  <c r="I33" i="150"/>
  <c r="I34" i="150"/>
  <c r="I35" i="150"/>
  <c r="I36" i="150"/>
  <c r="I37" i="150"/>
  <c r="I38" i="150"/>
  <c r="I39" i="150"/>
  <c r="I40" i="150"/>
  <c r="I41" i="150"/>
  <c r="I42" i="150"/>
  <c r="I43" i="150"/>
  <c r="I44" i="150"/>
  <c r="I45" i="150"/>
  <c r="I46" i="150"/>
  <c r="I47" i="150"/>
  <c r="I48" i="150"/>
  <c r="I49" i="150"/>
  <c r="I50" i="150"/>
  <c r="I51" i="150"/>
  <c r="I52" i="150"/>
  <c r="I53" i="150"/>
  <c r="I54" i="150"/>
  <c r="I55" i="150"/>
  <c r="I56" i="150"/>
  <c r="I57" i="150"/>
  <c r="I58" i="150"/>
  <c r="I59" i="150"/>
  <c r="I60" i="150"/>
  <c r="I61" i="150"/>
  <c r="I62" i="150"/>
  <c r="I63" i="150"/>
  <c r="I64" i="150"/>
  <c r="I65" i="150"/>
  <c r="I66" i="150"/>
  <c r="I67" i="150"/>
  <c r="I68" i="150"/>
  <c r="I69" i="150"/>
  <c r="I70" i="150"/>
  <c r="I71" i="150"/>
  <c r="I72" i="150"/>
  <c r="I73" i="150"/>
  <c r="I74" i="150"/>
  <c r="I75" i="150"/>
  <c r="I76" i="150"/>
  <c r="I77" i="150"/>
  <c r="I78" i="150"/>
  <c r="J80" i="150"/>
  <c r="J85" i="150"/>
  <c r="J88" i="150"/>
  <c r="J93" i="150"/>
  <c r="J96" i="150"/>
  <c r="J101" i="150"/>
  <c r="J104" i="150"/>
  <c r="J109" i="150"/>
  <c r="J112" i="150"/>
  <c r="J117" i="150"/>
  <c r="J120" i="150"/>
  <c r="J125" i="150"/>
  <c r="J128" i="150"/>
  <c r="J133" i="150"/>
  <c r="J136" i="150"/>
  <c r="AQ627" i="46"/>
  <c r="J627" i="46" s="1"/>
  <c r="AP627" i="46"/>
  <c r="H627" i="46" s="1"/>
  <c r="AO627" i="46"/>
  <c r="F627" i="46" s="1"/>
  <c r="R627" i="46"/>
  <c r="B627" i="46"/>
  <c r="AQ626" i="46"/>
  <c r="J626" i="46" s="1"/>
  <c r="AP626" i="46"/>
  <c r="H626" i="46" s="1"/>
  <c r="AO626" i="46"/>
  <c r="F626" i="46" s="1"/>
  <c r="R626" i="46"/>
  <c r="B626" i="46"/>
  <c r="AQ625" i="46"/>
  <c r="J625" i="46" s="1"/>
  <c r="AP625" i="46"/>
  <c r="H625" i="46" s="1"/>
  <c r="AO625" i="46"/>
  <c r="F625" i="46" s="1"/>
  <c r="R625" i="46"/>
  <c r="B625" i="46"/>
  <c r="J118" i="56"/>
  <c r="F118" i="56"/>
  <c r="D627" i="46" s="1"/>
  <c r="BF627" i="46" s="1"/>
  <c r="J117" i="56"/>
  <c r="F117" i="56"/>
  <c r="D626" i="46" s="1"/>
  <c r="BF626" i="46" s="1"/>
  <c r="J116" i="56"/>
  <c r="F116" i="56"/>
  <c r="D625" i="46" s="1"/>
  <c r="BF625" i="46" s="1"/>
  <c r="F69" i="56"/>
  <c r="F70" i="56"/>
  <c r="F71" i="56"/>
  <c r="F72" i="56"/>
  <c r="F73" i="56"/>
  <c r="F74" i="56"/>
  <c r="F75" i="56"/>
  <c r="F76" i="56"/>
  <c r="F77" i="56"/>
  <c r="F78" i="56"/>
  <c r="F79" i="56"/>
  <c r="F80" i="56"/>
  <c r="F81" i="56"/>
  <c r="F82" i="56"/>
  <c r="F83" i="56"/>
  <c r="F84" i="56"/>
  <c r="F85" i="56"/>
  <c r="F86" i="56"/>
  <c r="F87" i="56"/>
  <c r="F88" i="56"/>
  <c r="F89" i="56"/>
  <c r="F90" i="56"/>
  <c r="F91" i="56"/>
  <c r="F92" i="56"/>
  <c r="F93" i="56"/>
  <c r="F94" i="56"/>
  <c r="F95" i="56"/>
  <c r="F96" i="56"/>
  <c r="F97" i="56"/>
  <c r="F98" i="56"/>
  <c r="F99" i="56"/>
  <c r="F100" i="56"/>
  <c r="F101" i="56"/>
  <c r="F102" i="56"/>
  <c r="F103" i="56"/>
  <c r="F104" i="56"/>
  <c r="F105" i="56"/>
  <c r="F106" i="56"/>
  <c r="F107" i="56"/>
  <c r="F108" i="56"/>
  <c r="F109" i="56"/>
  <c r="F110" i="56"/>
  <c r="F111" i="56"/>
  <c r="F112" i="56"/>
  <c r="F113" i="56"/>
  <c r="F114" i="56"/>
  <c r="F115" i="56"/>
  <c r="J71" i="56"/>
  <c r="J72" i="56"/>
  <c r="J75" i="56"/>
  <c r="J23" i="150"/>
  <c r="J69" i="56"/>
  <c r="J70" i="56"/>
  <c r="J73" i="56"/>
  <c r="J74" i="56"/>
  <c r="C29" i="150"/>
  <c r="E29" i="150"/>
  <c r="I29" i="150"/>
  <c r="C30" i="150"/>
  <c r="E30" i="150"/>
  <c r="C31" i="150"/>
  <c r="E31" i="150"/>
  <c r="C32" i="150"/>
  <c r="E32" i="150"/>
  <c r="C33" i="150"/>
  <c r="E33" i="150"/>
  <c r="C34" i="150"/>
  <c r="E34" i="150"/>
  <c r="C35" i="150"/>
  <c r="E35" i="150"/>
  <c r="C36" i="150"/>
  <c r="E36" i="150"/>
  <c r="C37" i="150"/>
  <c r="E37" i="150"/>
  <c r="C38" i="150"/>
  <c r="E38" i="150"/>
  <c r="C39" i="150"/>
  <c r="E39" i="150"/>
  <c r="C40" i="150"/>
  <c r="E40" i="150"/>
  <c r="C41" i="150"/>
  <c r="E41" i="150"/>
  <c r="C42" i="150"/>
  <c r="E42" i="150"/>
  <c r="C43" i="150"/>
  <c r="E43" i="150"/>
  <c r="E44" i="150"/>
  <c r="E45" i="150"/>
  <c r="E46" i="150"/>
  <c r="E47" i="150"/>
  <c r="E48" i="150"/>
  <c r="E49" i="150"/>
  <c r="E50" i="150"/>
  <c r="E51" i="150"/>
  <c r="E52" i="150"/>
  <c r="E53" i="150"/>
  <c r="E54" i="150"/>
  <c r="E55" i="150"/>
  <c r="E56" i="150"/>
  <c r="E57" i="150"/>
  <c r="E58" i="150"/>
  <c r="E59" i="150"/>
  <c r="E60" i="150"/>
  <c r="E61" i="150"/>
  <c r="E62" i="150"/>
  <c r="E63" i="150"/>
  <c r="E64" i="150"/>
  <c r="E65" i="150"/>
  <c r="E66" i="150"/>
  <c r="E67" i="150"/>
  <c r="E68" i="150"/>
  <c r="E69" i="150"/>
  <c r="E70" i="150"/>
  <c r="E71" i="150"/>
  <c r="E72" i="150"/>
  <c r="E73" i="150"/>
  <c r="E74" i="150"/>
  <c r="E75" i="150"/>
  <c r="E76" i="150"/>
  <c r="E77" i="150"/>
  <c r="E78" i="150"/>
  <c r="C44" i="150"/>
  <c r="C45" i="150"/>
  <c r="C46" i="150"/>
  <c r="C47" i="150"/>
  <c r="C48" i="150"/>
  <c r="C49" i="150"/>
  <c r="C50" i="150"/>
  <c r="C51" i="150"/>
  <c r="C52" i="150"/>
  <c r="C53" i="150"/>
  <c r="C54" i="150"/>
  <c r="C55" i="150"/>
  <c r="C56" i="150"/>
  <c r="C57" i="150"/>
  <c r="C58" i="150"/>
  <c r="C59" i="150"/>
  <c r="C60" i="150"/>
  <c r="C61" i="150"/>
  <c r="C62" i="150"/>
  <c r="C63" i="150"/>
  <c r="C64" i="150"/>
  <c r="C65" i="150"/>
  <c r="C66" i="150"/>
  <c r="C67" i="150"/>
  <c r="C68" i="150"/>
  <c r="C69" i="150"/>
  <c r="C70" i="150"/>
  <c r="C71" i="150"/>
  <c r="C72" i="150"/>
  <c r="C73" i="150"/>
  <c r="C74" i="150"/>
  <c r="C75" i="150"/>
  <c r="C76" i="150"/>
  <c r="C77" i="150"/>
  <c r="C78" i="150"/>
  <c r="R77" i="150"/>
  <c r="G77" i="150" s="1"/>
  <c r="R75" i="150"/>
  <c r="G75" i="150" s="1"/>
  <c r="R73" i="150"/>
  <c r="G73" i="150" s="1"/>
  <c r="R71" i="150"/>
  <c r="G71" i="150" s="1"/>
  <c r="R69" i="150"/>
  <c r="G69" i="150" s="1"/>
  <c r="R67" i="150"/>
  <c r="G67" i="150" s="1"/>
  <c r="R65" i="150"/>
  <c r="G65" i="150" s="1"/>
  <c r="R63" i="150"/>
  <c r="G63" i="150" s="1"/>
  <c r="R61" i="150"/>
  <c r="G61" i="150" s="1"/>
  <c r="R59" i="150"/>
  <c r="G59" i="150" s="1"/>
  <c r="R47" i="150"/>
  <c r="G47" i="150" s="1"/>
  <c r="R45" i="150"/>
  <c r="G45" i="150" s="1"/>
  <c r="R43" i="150"/>
  <c r="G43" i="150" s="1"/>
  <c r="R41" i="150"/>
  <c r="G41" i="150" s="1"/>
  <c r="R39" i="150"/>
  <c r="G39" i="150" s="1"/>
  <c r="R37" i="150"/>
  <c r="G37" i="150" s="1"/>
  <c r="R35" i="150"/>
  <c r="G35" i="150" s="1"/>
  <c r="R33" i="150"/>
  <c r="G33" i="150" s="1"/>
  <c r="R31" i="150"/>
  <c r="G31" i="150" s="1"/>
  <c r="R29" i="150"/>
  <c r="G29" i="150" s="1"/>
  <c r="J138" i="150"/>
  <c r="J137" i="150"/>
  <c r="J135" i="150"/>
  <c r="J134" i="150"/>
  <c r="J132" i="150"/>
  <c r="J131" i="150"/>
  <c r="J130" i="150"/>
  <c r="J129" i="150"/>
  <c r="J127" i="150"/>
  <c r="J126" i="150"/>
  <c r="J124" i="150"/>
  <c r="J123" i="150"/>
  <c r="J122" i="150"/>
  <c r="J121" i="150"/>
  <c r="J119" i="150"/>
  <c r="J118" i="150"/>
  <c r="J116" i="150"/>
  <c r="J115" i="150"/>
  <c r="J114" i="150"/>
  <c r="J113" i="150"/>
  <c r="J111" i="150"/>
  <c r="J110" i="150"/>
  <c r="J108" i="150"/>
  <c r="J107" i="150"/>
  <c r="J106" i="150"/>
  <c r="J105" i="150"/>
  <c r="J103" i="150"/>
  <c r="J102" i="150"/>
  <c r="J100" i="150"/>
  <c r="J99" i="150"/>
  <c r="J98" i="150"/>
  <c r="J97" i="150"/>
  <c r="J95" i="150"/>
  <c r="J94" i="150"/>
  <c r="J92" i="150"/>
  <c r="J91" i="150"/>
  <c r="J90" i="150"/>
  <c r="J89" i="150"/>
  <c r="J87" i="150"/>
  <c r="J86" i="150"/>
  <c r="J84" i="150"/>
  <c r="J83" i="150"/>
  <c r="J82" i="150"/>
  <c r="J81" i="150"/>
  <c r="J79" i="150"/>
  <c r="Q78" i="150"/>
  <c r="F78" i="150" s="1"/>
  <c r="S77" i="150"/>
  <c r="S78" i="150" s="1"/>
  <c r="H78" i="150" s="1"/>
  <c r="Q77" i="150"/>
  <c r="F77" i="150" s="1"/>
  <c r="Q76" i="150"/>
  <c r="F76" i="150" s="1"/>
  <c r="S75" i="150"/>
  <c r="S76" i="150" s="1"/>
  <c r="R76" i="150" s="1"/>
  <c r="G76" i="150" s="1"/>
  <c r="Q75" i="150"/>
  <c r="F75" i="150" s="1"/>
  <c r="Q74" i="150"/>
  <c r="F74" i="150" s="1"/>
  <c r="S73" i="150"/>
  <c r="S74" i="150" s="1"/>
  <c r="H74" i="150" s="1"/>
  <c r="Q73" i="150"/>
  <c r="F73" i="150" s="1"/>
  <c r="Q72" i="150"/>
  <c r="F72" i="150" s="1"/>
  <c r="S71" i="150"/>
  <c r="S72" i="150" s="1"/>
  <c r="H72" i="150" s="1"/>
  <c r="Q71" i="150"/>
  <c r="F71" i="150" s="1"/>
  <c r="Q70" i="150"/>
  <c r="F70" i="150" s="1"/>
  <c r="S69" i="150"/>
  <c r="S70" i="150" s="1"/>
  <c r="H70" i="150" s="1"/>
  <c r="Q69" i="150"/>
  <c r="F69" i="150" s="1"/>
  <c r="Q68" i="150"/>
  <c r="F68" i="150" s="1"/>
  <c r="S67" i="150"/>
  <c r="S68" i="150" s="1"/>
  <c r="R68" i="150" s="1"/>
  <c r="G68" i="150" s="1"/>
  <c r="Q67" i="150"/>
  <c r="F67" i="150" s="1"/>
  <c r="Q66" i="150"/>
  <c r="F66" i="150" s="1"/>
  <c r="S65" i="150"/>
  <c r="S66" i="150" s="1"/>
  <c r="H66" i="150" s="1"/>
  <c r="Q65" i="150"/>
  <c r="F65" i="150" s="1"/>
  <c r="Q64" i="150"/>
  <c r="F64" i="150" s="1"/>
  <c r="S63" i="150"/>
  <c r="S64" i="150" s="1"/>
  <c r="R64" i="150" s="1"/>
  <c r="G64" i="150" s="1"/>
  <c r="Q63" i="150"/>
  <c r="F63" i="150" s="1"/>
  <c r="Q62" i="150"/>
  <c r="F62" i="150" s="1"/>
  <c r="S61" i="150"/>
  <c r="S62" i="150" s="1"/>
  <c r="R62" i="150" s="1"/>
  <c r="G62" i="150" s="1"/>
  <c r="Q61" i="150"/>
  <c r="F61" i="150" s="1"/>
  <c r="Q60" i="150"/>
  <c r="F60" i="150" s="1"/>
  <c r="S59" i="150"/>
  <c r="S60" i="150" s="1"/>
  <c r="R60" i="150" s="1"/>
  <c r="G60" i="150" s="1"/>
  <c r="Q59" i="150"/>
  <c r="F59" i="150" s="1"/>
  <c r="Q58" i="150"/>
  <c r="F58" i="150" s="1"/>
  <c r="Q57" i="150"/>
  <c r="F57" i="150" s="1"/>
  <c r="Q56" i="150"/>
  <c r="F56" i="150" s="1"/>
  <c r="Q55" i="150"/>
  <c r="F55" i="150" s="1"/>
  <c r="Q54" i="150"/>
  <c r="F54" i="150" s="1"/>
  <c r="Q53" i="150"/>
  <c r="F53" i="150" s="1"/>
  <c r="Q52" i="150"/>
  <c r="F52" i="150" s="1"/>
  <c r="Q51" i="150"/>
  <c r="F51" i="150" s="1"/>
  <c r="Q50" i="150"/>
  <c r="F50" i="150" s="1"/>
  <c r="Q49" i="150"/>
  <c r="F49" i="150" s="1"/>
  <c r="Q48" i="150"/>
  <c r="F48" i="150" s="1"/>
  <c r="S47" i="150"/>
  <c r="S48" i="150" s="1"/>
  <c r="H48" i="150" s="1"/>
  <c r="Q47" i="150"/>
  <c r="F47" i="150" s="1"/>
  <c r="Q46" i="150"/>
  <c r="F46" i="150" s="1"/>
  <c r="S45" i="150"/>
  <c r="S46" i="150" s="1"/>
  <c r="R46" i="150" s="1"/>
  <c r="G46" i="150" s="1"/>
  <c r="Q45" i="150"/>
  <c r="F45" i="150" s="1"/>
  <c r="Q44" i="150"/>
  <c r="F44" i="150" s="1"/>
  <c r="S43" i="150"/>
  <c r="S44" i="150" s="1"/>
  <c r="H44" i="150" s="1"/>
  <c r="Q43" i="150"/>
  <c r="F43" i="150" s="1"/>
  <c r="Q42" i="150"/>
  <c r="F42" i="150" s="1"/>
  <c r="S41" i="150"/>
  <c r="S42" i="150" s="1"/>
  <c r="H42" i="150" s="1"/>
  <c r="Q41" i="150"/>
  <c r="F41" i="150" s="1"/>
  <c r="Q40" i="150"/>
  <c r="F40" i="150" s="1"/>
  <c r="S39" i="150"/>
  <c r="S40" i="150" s="1"/>
  <c r="H40" i="150" s="1"/>
  <c r="Q39" i="150"/>
  <c r="F39" i="150" s="1"/>
  <c r="Q38" i="150"/>
  <c r="F38" i="150" s="1"/>
  <c r="S37" i="150"/>
  <c r="S38" i="150" s="1"/>
  <c r="H38" i="150" s="1"/>
  <c r="Q37" i="150"/>
  <c r="F37" i="150" s="1"/>
  <c r="Q36" i="150"/>
  <c r="F36" i="150" s="1"/>
  <c r="S35" i="150"/>
  <c r="S36" i="150" s="1"/>
  <c r="R36" i="150" s="1"/>
  <c r="G36" i="150" s="1"/>
  <c r="Q35" i="150"/>
  <c r="F35" i="150" s="1"/>
  <c r="Q34" i="150"/>
  <c r="F34" i="150" s="1"/>
  <c r="S33" i="150"/>
  <c r="S34" i="150" s="1"/>
  <c r="H34" i="150" s="1"/>
  <c r="Q33" i="150"/>
  <c r="F33" i="150" s="1"/>
  <c r="Q32" i="150"/>
  <c r="F32" i="150" s="1"/>
  <c r="S31" i="150"/>
  <c r="S32" i="150" s="1"/>
  <c r="H32" i="150" s="1"/>
  <c r="Q31" i="150"/>
  <c r="F31" i="150" s="1"/>
  <c r="Q30" i="150"/>
  <c r="F30" i="150" s="1"/>
  <c r="S29" i="150"/>
  <c r="S30" i="150" s="1"/>
  <c r="H30" i="150" s="1"/>
  <c r="Q29" i="150"/>
  <c r="F29" i="150" s="1"/>
  <c r="BG627" i="46" l="1"/>
  <c r="H33" i="150"/>
  <c r="H37" i="150"/>
  <c r="J37" i="150" s="1"/>
  <c r="H43" i="150"/>
  <c r="J43" i="150" s="1"/>
  <c r="R42" i="150"/>
  <c r="G42" i="150" s="1"/>
  <c r="J42" i="150" s="1"/>
  <c r="R44" i="150"/>
  <c r="G44" i="150" s="1"/>
  <c r="J44" i="150" s="1"/>
  <c r="H68" i="150"/>
  <c r="J68" i="150" s="1"/>
  <c r="H63" i="150"/>
  <c r="J63" i="150" s="1"/>
  <c r="R66" i="150"/>
  <c r="G66" i="150" s="1"/>
  <c r="J66" i="150" s="1"/>
  <c r="H67" i="150"/>
  <c r="J67" i="150" s="1"/>
  <c r="H47" i="150"/>
  <c r="J47" i="150" s="1"/>
  <c r="H60" i="150"/>
  <c r="J60" i="150" s="1"/>
  <c r="H64" i="150"/>
  <c r="J64" i="150" s="1"/>
  <c r="R40" i="150"/>
  <c r="G40" i="150" s="1"/>
  <c r="J40" i="150" s="1"/>
  <c r="H59" i="150"/>
  <c r="J59" i="150" s="1"/>
  <c r="H46" i="150"/>
  <c r="J46" i="150" s="1"/>
  <c r="R48" i="150"/>
  <c r="G48" i="150" s="1"/>
  <c r="J48" i="150" s="1"/>
  <c r="H62" i="150"/>
  <c r="J62" i="150" s="1"/>
  <c r="H45" i="150"/>
  <c r="J45" i="150" s="1"/>
  <c r="H41" i="150"/>
  <c r="J41" i="150" s="1"/>
  <c r="H65" i="150"/>
  <c r="J65" i="150" s="1"/>
  <c r="H61" i="150"/>
  <c r="J61" i="150" s="1"/>
  <c r="H39" i="150"/>
  <c r="J39" i="150" s="1"/>
  <c r="R70" i="150"/>
  <c r="G70" i="150" s="1"/>
  <c r="J70" i="150" s="1"/>
  <c r="H77" i="150"/>
  <c r="J77" i="150" s="1"/>
  <c r="H73" i="150"/>
  <c r="H69" i="150"/>
  <c r="J69" i="150" s="1"/>
  <c r="R72" i="150"/>
  <c r="G72" i="150" s="1"/>
  <c r="J72" i="150" s="1"/>
  <c r="R74" i="150"/>
  <c r="G74" i="150" s="1"/>
  <c r="J74" i="150" s="1"/>
  <c r="H76" i="150"/>
  <c r="J76" i="150" s="1"/>
  <c r="J73" i="150"/>
  <c r="R78" i="150"/>
  <c r="G78" i="150" s="1"/>
  <c r="J78" i="150" s="1"/>
  <c r="H75" i="150"/>
  <c r="J75" i="150" s="1"/>
  <c r="H71" i="150"/>
  <c r="J71" i="150" s="1"/>
  <c r="J33" i="150"/>
  <c r="R30" i="150"/>
  <c r="G30" i="150" s="1"/>
  <c r="J30" i="150" s="1"/>
  <c r="R32" i="150"/>
  <c r="G32" i="150" s="1"/>
  <c r="J32" i="150" s="1"/>
  <c r="H36" i="150"/>
  <c r="J36" i="150" s="1"/>
  <c r="R34" i="150"/>
  <c r="G34" i="150" s="1"/>
  <c r="J34" i="150" s="1"/>
  <c r="H35" i="150"/>
  <c r="J35" i="150" s="1"/>
  <c r="H31" i="150"/>
  <c r="J31" i="150" s="1"/>
  <c r="R38" i="150"/>
  <c r="G38" i="150" s="1"/>
  <c r="J38" i="150" s="1"/>
  <c r="H29" i="150"/>
  <c r="J29" i="150" s="1"/>
  <c r="BG626" i="46"/>
  <c r="BG625" i="46"/>
  <c r="U59" i="45" l="1"/>
  <c r="T59" i="45"/>
  <c r="U58" i="45"/>
  <c r="T58" i="45"/>
  <c r="U57" i="45"/>
  <c r="T57" i="45"/>
  <c r="U56" i="45"/>
  <c r="T56" i="45"/>
  <c r="U55" i="45"/>
  <c r="T55" i="45"/>
  <c r="U54" i="45"/>
  <c r="T54" i="45"/>
  <c r="U53" i="45"/>
  <c r="T53" i="45"/>
  <c r="U52" i="45"/>
  <c r="T52" i="45"/>
  <c r="U51" i="45"/>
  <c r="T51" i="45"/>
  <c r="U50" i="45"/>
  <c r="T50" i="45"/>
  <c r="U49" i="45"/>
  <c r="T49" i="45"/>
  <c r="U48" i="45"/>
  <c r="T48" i="45"/>
  <c r="U47" i="45"/>
  <c r="T47" i="45"/>
  <c r="U46" i="45"/>
  <c r="T46" i="45"/>
  <c r="U45" i="45"/>
  <c r="T45" i="45"/>
  <c r="U44" i="45"/>
  <c r="T44" i="45"/>
  <c r="U43" i="45"/>
  <c r="T43" i="45"/>
  <c r="U42" i="45"/>
  <c r="T42" i="45"/>
  <c r="U41" i="45"/>
  <c r="T41" i="45"/>
  <c r="U40" i="45"/>
  <c r="T40" i="45"/>
  <c r="U39" i="45"/>
  <c r="T39" i="45"/>
  <c r="U38" i="45"/>
  <c r="T38" i="45"/>
  <c r="U37" i="45"/>
  <c r="T37" i="45"/>
  <c r="U36" i="45"/>
  <c r="T36" i="45"/>
  <c r="U35" i="45"/>
  <c r="T35" i="45"/>
  <c r="U34" i="45"/>
  <c r="T34" i="45"/>
  <c r="U33" i="45"/>
  <c r="T33" i="45"/>
  <c r="U32" i="45"/>
  <c r="T32" i="45"/>
  <c r="U31" i="45"/>
  <c r="T31" i="45"/>
  <c r="U30" i="45"/>
  <c r="T30" i="45"/>
  <c r="U29" i="45"/>
  <c r="T29" i="45"/>
  <c r="U28" i="45"/>
  <c r="T28" i="45"/>
  <c r="U27" i="45"/>
  <c r="T27" i="45"/>
  <c r="U26" i="45"/>
  <c r="T26" i="45"/>
  <c r="U25" i="45"/>
  <c r="T25" i="45"/>
  <c r="U24" i="45"/>
  <c r="T24" i="45"/>
  <c r="U23" i="45"/>
  <c r="T23" i="45"/>
  <c r="U22" i="45"/>
  <c r="T22" i="45"/>
  <c r="U21" i="45"/>
  <c r="T21" i="45"/>
  <c r="G135" i="126" l="1"/>
  <c r="D748" i="46" s="1"/>
  <c r="BF748" i="46" s="1"/>
  <c r="G134" i="126"/>
  <c r="D747" i="46" s="1"/>
  <c r="BF747" i="46" s="1"/>
  <c r="G133" i="126"/>
  <c r="D746" i="46" s="1"/>
  <c r="BF746" i="46" s="1"/>
  <c r="G132" i="126"/>
  <c r="G131" i="126"/>
  <c r="E135" i="126"/>
  <c r="B748" i="46" s="1"/>
  <c r="E134" i="126"/>
  <c r="B747" i="46" s="1"/>
  <c r="E133" i="126"/>
  <c r="B746" i="46" s="1"/>
  <c r="E131" i="126"/>
  <c r="E132" i="126"/>
  <c r="T525" i="109"/>
  <c r="BH525" i="46" s="1"/>
  <c r="T524" i="109"/>
  <c r="BH524" i="46" s="1"/>
  <c r="T523" i="109"/>
  <c r="BH523" i="46" s="1"/>
  <c r="T522" i="109"/>
  <c r="BH522" i="46" s="1"/>
  <c r="T521" i="109"/>
  <c r="BH521" i="46" s="1"/>
  <c r="T519" i="109"/>
  <c r="BH519" i="46" s="1"/>
  <c r="T518" i="109"/>
  <c r="BH518" i="46" s="1"/>
  <c r="R525" i="109"/>
  <c r="BF525" i="46" s="1"/>
  <c r="R524" i="109"/>
  <c r="BF524" i="46" s="1"/>
  <c r="R523" i="109"/>
  <c r="BF523" i="46" s="1"/>
  <c r="R522" i="109"/>
  <c r="BF522" i="46" s="1"/>
  <c r="R521" i="109"/>
  <c r="BF521" i="46" s="1"/>
  <c r="H516" i="109"/>
  <c r="H517" i="109"/>
  <c r="H518" i="109"/>
  <c r="H519" i="109"/>
  <c r="H525" i="109"/>
  <c r="H524" i="109"/>
  <c r="H523" i="109"/>
  <c r="H522" i="109"/>
  <c r="H521" i="109"/>
  <c r="F478" i="109" l="1"/>
  <c r="AP478" i="46" s="1"/>
  <c r="F479" i="109"/>
  <c r="AP479" i="46" s="1"/>
  <c r="F480" i="109"/>
  <c r="AP480" i="46" s="1"/>
  <c r="F481" i="109"/>
  <c r="AP481" i="46" s="1"/>
  <c r="F482" i="109"/>
  <c r="AP482" i="46" s="1"/>
  <c r="F483" i="109"/>
  <c r="AP483" i="46" s="1"/>
  <c r="F484" i="109"/>
  <c r="AP484" i="46" s="1"/>
  <c r="F485" i="109"/>
  <c r="AP485" i="46" s="1"/>
  <c r="F486" i="109"/>
  <c r="AP486" i="46" s="1"/>
  <c r="F487" i="109"/>
  <c r="AP487" i="46" s="1"/>
  <c r="F488" i="109"/>
  <c r="AP488" i="46" s="1"/>
  <c r="F489" i="109"/>
  <c r="AP489" i="46" s="1"/>
  <c r="F490" i="109"/>
  <c r="AP490" i="46" s="1"/>
  <c r="F491" i="109"/>
  <c r="AP491" i="46" s="1"/>
  <c r="F492" i="109"/>
  <c r="F493" i="109"/>
  <c r="F477" i="109"/>
  <c r="AP477" i="46" s="1"/>
  <c r="D478" i="109"/>
  <c r="D479" i="109"/>
  <c r="D480" i="109"/>
  <c r="D481" i="109"/>
  <c r="D482" i="109"/>
  <c r="D483" i="109"/>
  <c r="D484" i="109"/>
  <c r="D485" i="109"/>
  <c r="D486" i="109"/>
  <c r="D487" i="109"/>
  <c r="D488" i="109"/>
  <c r="D489" i="109"/>
  <c r="D490" i="109"/>
  <c r="D491" i="109"/>
  <c r="AO491" i="46" s="1"/>
  <c r="F491" i="46" s="1"/>
  <c r="D492" i="109"/>
  <c r="D493" i="109"/>
  <c r="D477" i="109"/>
  <c r="C478" i="109"/>
  <c r="C479" i="109"/>
  <c r="C480" i="109"/>
  <c r="C481" i="109"/>
  <c r="C482" i="109"/>
  <c r="C483" i="109"/>
  <c r="C484" i="109"/>
  <c r="C485" i="109"/>
  <c r="C486" i="109"/>
  <c r="C487" i="109"/>
  <c r="C488" i="109"/>
  <c r="C489" i="109"/>
  <c r="C490" i="109"/>
  <c r="C491" i="109"/>
  <c r="D491" i="46" s="1"/>
  <c r="C492" i="109"/>
  <c r="D492" i="46" s="1"/>
  <c r="C493" i="109"/>
  <c r="C477" i="109"/>
  <c r="D477" i="46" s="1"/>
  <c r="B478" i="109"/>
  <c r="B478" i="46" s="1"/>
  <c r="B479" i="109"/>
  <c r="B479" i="46" s="1"/>
  <c r="B480" i="109"/>
  <c r="B480" i="46" s="1"/>
  <c r="B481" i="109"/>
  <c r="B481" i="46" s="1"/>
  <c r="B482" i="109"/>
  <c r="B482" i="46" s="1"/>
  <c r="B483" i="109"/>
  <c r="B483" i="46" s="1"/>
  <c r="B484" i="109"/>
  <c r="B484" i="46" s="1"/>
  <c r="B485" i="109"/>
  <c r="B485" i="46" s="1"/>
  <c r="B486" i="109"/>
  <c r="B486" i="46" s="1"/>
  <c r="B487" i="109"/>
  <c r="B487" i="46" s="1"/>
  <c r="B488" i="109"/>
  <c r="B488" i="46" s="1"/>
  <c r="B489" i="109"/>
  <c r="B489" i="46" s="1"/>
  <c r="B490" i="109"/>
  <c r="B490" i="46" s="1"/>
  <c r="B491" i="109"/>
  <c r="B491" i="46" s="1"/>
  <c r="B492" i="109"/>
  <c r="B492" i="46" s="1"/>
  <c r="B493" i="109"/>
  <c r="B493" i="46" s="1"/>
  <c r="B477" i="109"/>
  <c r="B477" i="46" s="1"/>
  <c r="AO477" i="46" l="1"/>
  <c r="F477" i="46" s="1"/>
  <c r="I233" i="143"/>
  <c r="R487" i="109"/>
  <c r="BF487" i="46" s="1"/>
  <c r="D487" i="46"/>
  <c r="R483" i="109"/>
  <c r="BF483" i="46" s="1"/>
  <c r="D483" i="46"/>
  <c r="S492" i="109"/>
  <c r="BG492" i="46" s="1"/>
  <c r="AO492" i="46"/>
  <c r="F492" i="46" s="1"/>
  <c r="S484" i="109"/>
  <c r="BG484" i="46" s="1"/>
  <c r="AO484" i="46"/>
  <c r="F484" i="46" s="1"/>
  <c r="H493" i="109"/>
  <c r="J493" i="109" s="1"/>
  <c r="K493" i="109" s="1"/>
  <c r="AP493" i="46"/>
  <c r="R490" i="109"/>
  <c r="BF490" i="46" s="1"/>
  <c r="D490" i="46"/>
  <c r="R486" i="109"/>
  <c r="BF486" i="46" s="1"/>
  <c r="D486" i="46"/>
  <c r="R482" i="109"/>
  <c r="BF482" i="46" s="1"/>
  <c r="D482" i="46"/>
  <c r="R478" i="109"/>
  <c r="BF478" i="46" s="1"/>
  <c r="D478" i="46"/>
  <c r="S487" i="109"/>
  <c r="BG487" i="46" s="1"/>
  <c r="AO487" i="46"/>
  <c r="F487" i="46" s="1"/>
  <c r="S483" i="109"/>
  <c r="BG483" i="46" s="1"/>
  <c r="AO483" i="46"/>
  <c r="F483" i="46" s="1"/>
  <c r="S479" i="109"/>
  <c r="BG479" i="46" s="1"/>
  <c r="AO479" i="46"/>
  <c r="F479" i="46" s="1"/>
  <c r="H492" i="109"/>
  <c r="J492" i="109" s="1"/>
  <c r="K492" i="109" s="1"/>
  <c r="AP492" i="46"/>
  <c r="R479" i="109"/>
  <c r="BF479" i="46" s="1"/>
  <c r="D479" i="46"/>
  <c r="S488" i="109"/>
  <c r="BG488" i="46" s="1"/>
  <c r="AO488" i="46"/>
  <c r="F488" i="46" s="1"/>
  <c r="S480" i="109"/>
  <c r="BG480" i="46" s="1"/>
  <c r="AO480" i="46"/>
  <c r="F480" i="46" s="1"/>
  <c r="R493" i="109"/>
  <c r="BF493" i="46" s="1"/>
  <c r="D493" i="46"/>
  <c r="R489" i="109"/>
  <c r="BF489" i="46" s="1"/>
  <c r="D489" i="46"/>
  <c r="R485" i="109"/>
  <c r="BF485" i="46" s="1"/>
  <c r="D485" i="46"/>
  <c r="R481" i="109"/>
  <c r="BF481" i="46" s="1"/>
  <c r="D481" i="46"/>
  <c r="S490" i="109"/>
  <c r="BG490" i="46" s="1"/>
  <c r="AO490" i="46"/>
  <c r="F490" i="46" s="1"/>
  <c r="S486" i="109"/>
  <c r="BG486" i="46" s="1"/>
  <c r="AO486" i="46"/>
  <c r="F486" i="46" s="1"/>
  <c r="S482" i="109"/>
  <c r="BG482" i="46" s="1"/>
  <c r="AO482" i="46"/>
  <c r="F482" i="46" s="1"/>
  <c r="S478" i="109"/>
  <c r="BG478" i="46" s="1"/>
  <c r="AO478" i="46"/>
  <c r="F478" i="46" s="1"/>
  <c r="R488" i="109"/>
  <c r="BF488" i="46" s="1"/>
  <c r="D488" i="46"/>
  <c r="R484" i="109"/>
  <c r="BF484" i="46" s="1"/>
  <c r="D484" i="46"/>
  <c r="R480" i="109"/>
  <c r="BF480" i="46" s="1"/>
  <c r="D480" i="46"/>
  <c r="S493" i="109"/>
  <c r="BG493" i="46" s="1"/>
  <c r="AO493" i="46"/>
  <c r="F493" i="46" s="1"/>
  <c r="S489" i="109"/>
  <c r="BG489" i="46" s="1"/>
  <c r="AO489" i="46"/>
  <c r="F489" i="46" s="1"/>
  <c r="S485" i="109"/>
  <c r="BG485" i="46" s="1"/>
  <c r="AO485" i="46"/>
  <c r="F485" i="46" s="1"/>
  <c r="S481" i="109"/>
  <c r="BG481" i="46" s="1"/>
  <c r="AO481" i="46"/>
  <c r="F481" i="46" s="1"/>
  <c r="R492" i="109"/>
  <c r="BF492" i="46" s="1"/>
  <c r="S491" i="109"/>
  <c r="BG491" i="46" s="1"/>
  <c r="H491" i="109"/>
  <c r="J491" i="109" s="1"/>
  <c r="K491" i="109" s="1"/>
  <c r="R491" i="109"/>
  <c r="BF491" i="46" s="1"/>
  <c r="M110" i="125"/>
  <c r="J110" i="125" s="1"/>
  <c r="M111" i="125"/>
  <c r="J111" i="125" s="1"/>
  <c r="M112" i="125"/>
  <c r="J112" i="125" s="1"/>
  <c r="M113" i="125"/>
  <c r="M114" i="125"/>
  <c r="J114" i="125" s="1"/>
  <c r="M115" i="125"/>
  <c r="J115" i="125" s="1"/>
  <c r="M116" i="125"/>
  <c r="J116" i="125" s="1"/>
  <c r="M117" i="125"/>
  <c r="J117" i="125" s="1"/>
  <c r="M118" i="125"/>
  <c r="J118" i="125" s="1"/>
  <c r="M119" i="125"/>
  <c r="J119" i="125" s="1"/>
  <c r="M120" i="125"/>
  <c r="J120" i="125" s="1"/>
  <c r="M121" i="125"/>
  <c r="J121" i="125" s="1"/>
  <c r="M122" i="125"/>
  <c r="J122" i="125" s="1"/>
  <c r="M123" i="125"/>
  <c r="J123" i="125" s="1"/>
  <c r="M124" i="125"/>
  <c r="J124" i="125" s="1"/>
  <c r="M125" i="125"/>
  <c r="J125" i="125" s="1"/>
  <c r="M109" i="125"/>
  <c r="J109" i="125" s="1"/>
  <c r="I265" i="143" l="1"/>
  <c r="G30" i="152" s="1"/>
  <c r="K233" i="143"/>
  <c r="J113" i="125"/>
  <c r="L481" i="109" s="1"/>
  <c r="N481" i="46" s="1"/>
  <c r="L477" i="109"/>
  <c r="N477" i="46" s="1"/>
  <c r="L490" i="109"/>
  <c r="N490" i="46" s="1"/>
  <c r="L486" i="109"/>
  <c r="N486" i="46" s="1"/>
  <c r="L482" i="109"/>
  <c r="N482" i="46" s="1"/>
  <c r="L478" i="109"/>
  <c r="N478" i="46" s="1"/>
  <c r="L493" i="109"/>
  <c r="N493" i="46" s="1"/>
  <c r="H493" i="46" s="1"/>
  <c r="L489" i="109"/>
  <c r="N489" i="46" s="1"/>
  <c r="L485" i="109"/>
  <c r="N485" i="46" s="1"/>
  <c r="L488" i="109"/>
  <c r="N488" i="46" s="1"/>
  <c r="L484" i="109"/>
  <c r="N484" i="46" s="1"/>
  <c r="L480" i="109"/>
  <c r="N480" i="46" s="1"/>
  <c r="L492" i="109"/>
  <c r="N492" i="46" s="1"/>
  <c r="L491" i="109"/>
  <c r="N491" i="46" s="1"/>
  <c r="L487" i="109"/>
  <c r="N487" i="46" s="1"/>
  <c r="L483" i="109"/>
  <c r="N483" i="46" s="1"/>
  <c r="L479" i="109"/>
  <c r="N479" i="46" s="1"/>
  <c r="I182" i="60"/>
  <c r="L233" i="143" l="1"/>
  <c r="K265" i="143"/>
  <c r="L491" i="46"/>
  <c r="J491" i="46"/>
  <c r="H491" i="46"/>
  <c r="L477" i="46"/>
  <c r="J477" i="46"/>
  <c r="H477" i="46"/>
  <c r="L481" i="46"/>
  <c r="H481" i="46"/>
  <c r="J481" i="46"/>
  <c r="H488" i="46"/>
  <c r="L488" i="46"/>
  <c r="J488" i="46"/>
  <c r="J479" i="46"/>
  <c r="L479" i="46"/>
  <c r="H479" i="46"/>
  <c r="L485" i="46"/>
  <c r="J485" i="46"/>
  <c r="H485" i="46"/>
  <c r="L483" i="46"/>
  <c r="J483" i="46"/>
  <c r="H483" i="46"/>
  <c r="H489" i="46"/>
  <c r="J489" i="46"/>
  <c r="L489" i="46"/>
  <c r="H486" i="46"/>
  <c r="J486" i="46"/>
  <c r="L486" i="46"/>
  <c r="H478" i="46"/>
  <c r="J478" i="46"/>
  <c r="L478" i="46"/>
  <c r="J492" i="46"/>
  <c r="L492" i="46"/>
  <c r="H482" i="46"/>
  <c r="J482" i="46"/>
  <c r="L482" i="46"/>
  <c r="H480" i="46"/>
  <c r="L480" i="46"/>
  <c r="J480" i="46"/>
  <c r="L487" i="46"/>
  <c r="H487" i="46"/>
  <c r="J487" i="46"/>
  <c r="J484" i="46"/>
  <c r="L484" i="46"/>
  <c r="H484" i="46"/>
  <c r="L493" i="46"/>
  <c r="J493" i="46"/>
  <c r="H490" i="46"/>
  <c r="L490" i="46"/>
  <c r="J490" i="46"/>
  <c r="H492" i="46"/>
  <c r="AH243" i="120"/>
  <c r="AG243" i="120"/>
  <c r="AF243" i="120"/>
  <c r="AE243" i="120"/>
  <c r="AD243" i="120"/>
  <c r="AC243" i="120"/>
  <c r="AB243" i="120"/>
  <c r="AA243" i="120"/>
  <c r="Z243" i="120"/>
  <c r="Y243" i="120"/>
  <c r="AH232" i="120"/>
  <c r="AG232" i="120"/>
  <c r="AF232" i="120"/>
  <c r="AE232" i="120"/>
  <c r="AD232" i="120"/>
  <c r="AC232" i="120"/>
  <c r="AB232" i="120"/>
  <c r="AA232" i="120"/>
  <c r="Z232" i="120"/>
  <c r="Y232" i="120"/>
  <c r="AH221" i="120"/>
  <c r="AG221" i="120"/>
  <c r="AF221" i="120"/>
  <c r="AE221" i="120"/>
  <c r="AD221" i="120"/>
  <c r="AC221" i="120"/>
  <c r="AB221" i="120"/>
  <c r="AA221" i="120"/>
  <c r="Z221" i="120"/>
  <c r="Y221" i="120"/>
  <c r="AH210" i="120"/>
  <c r="AG210" i="120"/>
  <c r="AF210" i="120"/>
  <c r="AE210" i="120"/>
  <c r="AD210" i="120"/>
  <c r="AC210" i="120"/>
  <c r="AB210" i="120"/>
  <c r="AA210" i="120"/>
  <c r="Z210" i="120"/>
  <c r="Y210" i="120"/>
  <c r="M233" i="143" l="1"/>
  <c r="U233" i="143"/>
  <c r="D500" i="109"/>
  <c r="R500" i="109"/>
  <c r="BF500" i="46" s="1"/>
  <c r="G128" i="60"/>
  <c r="S500" i="109" l="1"/>
  <c r="BG500" i="46" s="1"/>
  <c r="AO500" i="46"/>
  <c r="F500" i="46" s="1"/>
  <c r="A500" i="109"/>
  <c r="D9" i="149" l="1"/>
  <c r="R274" i="109" l="1"/>
  <c r="BF274" i="46" s="1"/>
  <c r="R269" i="109"/>
  <c r="BF269" i="46" s="1"/>
  <c r="BF696" i="46" l="1"/>
  <c r="BG696" i="46"/>
  <c r="X3" i="109"/>
  <c r="V470" i="109" s="1"/>
  <c r="AS470" i="46" s="1"/>
  <c r="BG470" i="46" l="1"/>
  <c r="G228" i="143"/>
  <c r="G210" i="143"/>
  <c r="G164" i="143"/>
  <c r="G165" i="143"/>
  <c r="G163" i="143"/>
  <c r="G161" i="143"/>
  <c r="G160" i="143"/>
  <c r="G121" i="143"/>
  <c r="G120" i="143"/>
  <c r="G100" i="143"/>
  <c r="G99" i="143"/>
  <c r="G65" i="143"/>
  <c r="G66" i="143"/>
  <c r="G64" i="143"/>
  <c r="G62" i="143"/>
  <c r="G61" i="143"/>
  <c r="D745" i="46" l="1"/>
  <c r="BF745" i="46" s="1"/>
  <c r="B745" i="46"/>
  <c r="H48" i="125" l="1"/>
  <c r="C103" i="125" l="1"/>
  <c r="C107" i="125"/>
  <c r="C105" i="125"/>
  <c r="R471" i="109" l="1"/>
  <c r="BF471" i="46" s="1"/>
  <c r="S475" i="109"/>
  <c r="BG475" i="46" s="1"/>
  <c r="R475" i="109"/>
  <c r="BF475" i="46" s="1"/>
  <c r="S474" i="109"/>
  <c r="BG474" i="46" s="1"/>
  <c r="R474" i="109"/>
  <c r="BF474" i="46" s="1"/>
  <c r="R191" i="109"/>
  <c r="BF191" i="46" s="1"/>
  <c r="R428" i="109"/>
  <c r="BF428" i="46" s="1"/>
  <c r="R456" i="109"/>
  <c r="BF456" i="46" s="1"/>
  <c r="R443" i="109"/>
  <c r="BF443" i="46" s="1"/>
  <c r="R446" i="109"/>
  <c r="BF446" i="46" s="1"/>
  <c r="R449" i="109"/>
  <c r="BF449" i="46" s="1"/>
  <c r="R452" i="109"/>
  <c r="BF452" i="46" s="1"/>
  <c r="R453" i="109"/>
  <c r="BF453" i="46" s="1"/>
  <c r="R450" i="109"/>
  <c r="BF450" i="46" s="1"/>
  <c r="R447" i="109"/>
  <c r="BF447" i="46" s="1"/>
  <c r="R444" i="109"/>
  <c r="BF444" i="46" s="1"/>
  <c r="R165" i="109"/>
  <c r="BF165" i="46" s="1"/>
  <c r="R477" i="109"/>
  <c r="BF477" i="46" s="1"/>
  <c r="S495" i="109"/>
  <c r="BG495" i="46" s="1"/>
  <c r="R495" i="109"/>
  <c r="BF495" i="46" s="1"/>
  <c r="S494" i="109"/>
  <c r="BG494" i="46" s="1"/>
  <c r="R494" i="109"/>
  <c r="BF494" i="46" s="1"/>
  <c r="T529" i="109"/>
  <c r="BH529" i="46" s="1"/>
  <c r="R529" i="109"/>
  <c r="BF529" i="46" s="1"/>
  <c r="T528" i="109"/>
  <c r="BH528" i="46" s="1"/>
  <c r="R528" i="109"/>
  <c r="BF528" i="46" s="1"/>
  <c r="T152" i="109"/>
  <c r="BH152" i="46" s="1"/>
  <c r="T244" i="109"/>
  <c r="BH244" i="46" s="1"/>
  <c r="R519" i="109"/>
  <c r="BF519" i="46" s="1"/>
  <c r="R518" i="109"/>
  <c r="BF518" i="46" s="1"/>
  <c r="T517" i="109"/>
  <c r="BH517" i="46" s="1"/>
  <c r="R517" i="109"/>
  <c r="BF517" i="46" s="1"/>
  <c r="T516" i="109"/>
  <c r="BH516" i="46" s="1"/>
  <c r="R516" i="109"/>
  <c r="BF516" i="46" s="1"/>
  <c r="R513" i="109"/>
  <c r="BF513" i="46" s="1"/>
  <c r="R512" i="109"/>
  <c r="BF512" i="46" s="1"/>
  <c r="S510" i="109"/>
  <c r="BG510" i="46" s="1"/>
  <c r="R510" i="109"/>
  <c r="BF510" i="46" s="1"/>
  <c r="S509" i="109"/>
  <c r="BG509" i="46" s="1"/>
  <c r="R509" i="109"/>
  <c r="BF509" i="46" s="1"/>
  <c r="S508" i="109"/>
  <c r="BG508" i="46" s="1"/>
  <c r="R508" i="109"/>
  <c r="BF508" i="46" s="1"/>
  <c r="S507" i="109"/>
  <c r="BG507" i="46" s="1"/>
  <c r="R507" i="109"/>
  <c r="BF507" i="46" s="1"/>
  <c r="R505" i="109"/>
  <c r="BF505" i="46" s="1"/>
  <c r="R504" i="109"/>
  <c r="BF504" i="46" s="1"/>
  <c r="R503" i="109"/>
  <c r="BF503" i="46" s="1"/>
  <c r="R502" i="109"/>
  <c r="BF502" i="46" s="1"/>
  <c r="R499" i="109"/>
  <c r="BF499" i="46" s="1"/>
  <c r="R498" i="109"/>
  <c r="BF498" i="46" s="1"/>
  <c r="R497" i="109"/>
  <c r="BF497" i="46" s="1"/>
  <c r="R496" i="109"/>
  <c r="BF496" i="46" s="1"/>
  <c r="R467" i="109"/>
  <c r="BF467" i="46" s="1"/>
  <c r="R464" i="109"/>
  <c r="BF464" i="46" s="1"/>
  <c r="R460" i="109"/>
  <c r="BF460" i="46" s="1"/>
  <c r="R455" i="109"/>
  <c r="BF455" i="46" s="1"/>
  <c r="T239" i="109"/>
  <c r="BH239" i="46" s="1"/>
  <c r="R427" i="109"/>
  <c r="BF427" i="46" s="1"/>
  <c r="R404" i="109"/>
  <c r="BF404" i="46" s="1"/>
  <c r="R403" i="109"/>
  <c r="BF403" i="46" s="1"/>
  <c r="R401" i="109"/>
  <c r="BF401" i="46" s="1"/>
  <c r="R400" i="109"/>
  <c r="BF400" i="46" s="1"/>
  <c r="R398" i="109"/>
  <c r="BF398" i="46" s="1"/>
  <c r="R397" i="109"/>
  <c r="BF397" i="46" s="1"/>
  <c r="R406" i="109"/>
  <c r="BF406" i="46" s="1"/>
  <c r="R425" i="109"/>
  <c r="BF425" i="46" s="1"/>
  <c r="R424" i="109"/>
  <c r="BF424" i="46" s="1"/>
  <c r="R423" i="109"/>
  <c r="BF423" i="46" s="1"/>
  <c r="R422" i="109"/>
  <c r="BF422" i="46" s="1"/>
  <c r="R421" i="109"/>
  <c r="BF421" i="46" s="1"/>
  <c r="R420" i="109"/>
  <c r="BF420" i="46" s="1"/>
  <c r="R418" i="109"/>
  <c r="BF418" i="46" s="1"/>
  <c r="R417" i="109"/>
  <c r="BF417" i="46" s="1"/>
  <c r="R416" i="109"/>
  <c r="BF416" i="46" s="1"/>
  <c r="R415" i="109"/>
  <c r="BF415" i="46" s="1"/>
  <c r="R414" i="109"/>
  <c r="BF414" i="46" s="1"/>
  <c r="R413" i="109"/>
  <c r="BF413" i="46" s="1"/>
  <c r="R411" i="109"/>
  <c r="BF411" i="46" s="1"/>
  <c r="R410" i="109"/>
  <c r="BF410" i="46" s="1"/>
  <c r="R409" i="109"/>
  <c r="BF409" i="46" s="1"/>
  <c r="R408" i="109"/>
  <c r="BF408" i="46" s="1"/>
  <c r="R407" i="109"/>
  <c r="BF407" i="46" s="1"/>
  <c r="R383" i="109"/>
  <c r="BF383" i="46" s="1"/>
  <c r="R382" i="109"/>
  <c r="BF382" i="46" s="1"/>
  <c r="R381" i="109"/>
  <c r="BF381" i="46" s="1"/>
  <c r="R380" i="109"/>
  <c r="BF380" i="46" s="1"/>
  <c r="R378" i="109"/>
  <c r="BF378" i="46" s="1"/>
  <c r="R377" i="109"/>
  <c r="BF377" i="46" s="1"/>
  <c r="R376" i="109"/>
  <c r="BF376" i="46" s="1"/>
  <c r="R375" i="109"/>
  <c r="BF375" i="46" s="1"/>
  <c r="R374" i="109"/>
  <c r="BF374" i="46" s="1"/>
  <c r="R373" i="109"/>
  <c r="BF373" i="46" s="1"/>
  <c r="R366" i="109"/>
  <c r="BF366" i="46" s="1"/>
  <c r="R365" i="109"/>
  <c r="BF365" i="46" s="1"/>
  <c r="R363" i="109"/>
  <c r="BF363" i="46" s="1"/>
  <c r="R362" i="109"/>
  <c r="BF362" i="46" s="1"/>
  <c r="R334" i="109"/>
  <c r="BF334" i="46" s="1"/>
  <c r="R332" i="109"/>
  <c r="BF332" i="46" s="1"/>
  <c r="R330" i="109"/>
  <c r="BF330" i="46" s="1"/>
  <c r="R328" i="109"/>
  <c r="BF328" i="46" s="1"/>
  <c r="R326" i="109"/>
  <c r="BF326" i="46" s="1"/>
  <c r="R324" i="109"/>
  <c r="BF324" i="46" s="1"/>
  <c r="R322" i="109"/>
  <c r="BF322" i="46" s="1"/>
  <c r="R320" i="109"/>
  <c r="BF320" i="46" s="1"/>
  <c r="R318" i="109"/>
  <c r="BF318" i="46" s="1"/>
  <c r="R316" i="109"/>
  <c r="BF316" i="46" s="1"/>
  <c r="S314" i="109"/>
  <c r="BG314" i="46" s="1"/>
  <c r="R314" i="109"/>
  <c r="BF314" i="46" s="1"/>
  <c r="R313" i="109"/>
  <c r="BF313" i="46" s="1"/>
  <c r="R306" i="109"/>
  <c r="BF306" i="46" s="1"/>
  <c r="R304" i="109"/>
  <c r="BF304" i="46" s="1"/>
  <c r="R303" i="109"/>
  <c r="BF303" i="46" s="1"/>
  <c r="R250" i="109"/>
  <c r="BF250" i="46" s="1"/>
  <c r="R301" i="109"/>
  <c r="BF301" i="46" s="1"/>
  <c r="R300" i="109"/>
  <c r="BF300" i="46" s="1"/>
  <c r="R299" i="109"/>
  <c r="BF299" i="46" s="1"/>
  <c r="R298" i="109"/>
  <c r="BF298" i="46" s="1"/>
  <c r="R260" i="109"/>
  <c r="BF260" i="46" s="1"/>
  <c r="R267" i="109"/>
  <c r="BF267" i="46" s="1"/>
  <c r="R266" i="109"/>
  <c r="BF266" i="46" s="1"/>
  <c r="R264" i="109"/>
  <c r="BF264" i="46" s="1"/>
  <c r="R263" i="109"/>
  <c r="BF263" i="46" s="1"/>
  <c r="R172" i="109"/>
  <c r="BF172" i="46" s="1"/>
  <c r="R261" i="109"/>
  <c r="BF261" i="46" s="1"/>
  <c r="R251" i="109"/>
  <c r="BF251" i="46" s="1"/>
  <c r="R248" i="109"/>
  <c r="BF248" i="46" s="1"/>
  <c r="R247" i="109"/>
  <c r="BF247" i="46" s="1"/>
  <c r="R246" i="109"/>
  <c r="BF246" i="46" s="1"/>
  <c r="R245" i="109"/>
  <c r="BF245" i="46" s="1"/>
  <c r="R244" i="109"/>
  <c r="BF244" i="46" s="1"/>
  <c r="R239" i="109"/>
  <c r="BF239" i="46" s="1"/>
  <c r="R243" i="109"/>
  <c r="BF243" i="46" s="1"/>
  <c r="R242" i="109"/>
  <c r="BF242" i="46" s="1"/>
  <c r="R241" i="109"/>
  <c r="BF241" i="46" s="1"/>
  <c r="R240" i="109"/>
  <c r="BF240" i="46" s="1"/>
  <c r="R236" i="109"/>
  <c r="BF236" i="46" s="1"/>
  <c r="R235" i="109"/>
  <c r="BF235" i="46" s="1"/>
  <c r="R234" i="109"/>
  <c r="BF234" i="46" s="1"/>
  <c r="R233" i="109"/>
  <c r="BF233" i="46" s="1"/>
  <c r="R231" i="109"/>
  <c r="BF231" i="46" s="1"/>
  <c r="R230" i="109"/>
  <c r="BF230" i="46" s="1"/>
  <c r="R223" i="109"/>
  <c r="BF223" i="46" s="1"/>
  <c r="R222" i="109"/>
  <c r="BF222" i="46" s="1"/>
  <c r="R221" i="109"/>
  <c r="BF221" i="46" s="1"/>
  <c r="R220" i="109"/>
  <c r="BF220" i="46" s="1"/>
  <c r="R219" i="109"/>
  <c r="BF219" i="46" s="1"/>
  <c r="R218" i="109"/>
  <c r="BF218" i="46" s="1"/>
  <c r="R217" i="109"/>
  <c r="BF217" i="46" s="1"/>
  <c r="R216" i="109"/>
  <c r="BF216" i="46" s="1"/>
  <c r="R215" i="109"/>
  <c r="BF215" i="46" s="1"/>
  <c r="R214" i="109"/>
  <c r="BF214" i="46" s="1"/>
  <c r="R213" i="109"/>
  <c r="BF213" i="46" s="1"/>
  <c r="R212" i="109"/>
  <c r="BF212" i="46" s="1"/>
  <c r="R211" i="109"/>
  <c r="BF211" i="46" s="1"/>
  <c r="R210" i="109"/>
  <c r="BF210" i="46" s="1"/>
  <c r="R209" i="109"/>
  <c r="BF209" i="46" s="1"/>
  <c r="R208" i="109"/>
  <c r="BF208" i="46" s="1"/>
  <c r="R207" i="109"/>
  <c r="BF207" i="46" s="1"/>
  <c r="R206" i="109"/>
  <c r="BF206" i="46" s="1"/>
  <c r="R205" i="109"/>
  <c r="BF205" i="46" s="1"/>
  <c r="R204" i="109"/>
  <c r="BF204" i="46" s="1"/>
  <c r="R203" i="109"/>
  <c r="BF203" i="46" s="1"/>
  <c r="R200" i="109"/>
  <c r="BF200" i="46" s="1"/>
  <c r="R199" i="109"/>
  <c r="BF199" i="46" s="1"/>
  <c r="R197" i="109"/>
  <c r="BF197" i="46" s="1"/>
  <c r="R196" i="109"/>
  <c r="BF196" i="46" s="1"/>
  <c r="R190" i="109"/>
  <c r="BF190" i="46" s="1"/>
  <c r="S189" i="109"/>
  <c r="R189" i="109"/>
  <c r="BF189" i="46" s="1"/>
  <c r="R179" i="109"/>
  <c r="BF179" i="46" s="1"/>
  <c r="R175" i="109"/>
  <c r="BF175" i="46" s="1"/>
  <c r="R173" i="109"/>
  <c r="BF173" i="46" s="1"/>
  <c r="R171" i="109"/>
  <c r="BF171" i="46" s="1"/>
  <c r="R170" i="109"/>
  <c r="BF170" i="46" s="1"/>
  <c r="R169" i="109"/>
  <c r="BF169" i="46" s="1"/>
  <c r="R168" i="109"/>
  <c r="BF168" i="46" s="1"/>
  <c r="R167" i="109"/>
  <c r="BF167" i="46" s="1"/>
  <c r="R166" i="109"/>
  <c r="BF166" i="46" s="1"/>
  <c r="R164" i="109"/>
  <c r="BF164" i="46" s="1"/>
  <c r="R163" i="109"/>
  <c r="BF163" i="46" s="1"/>
  <c r="R161" i="109"/>
  <c r="BF161" i="46" s="1"/>
  <c r="R160" i="109"/>
  <c r="BF160" i="46" s="1"/>
  <c r="T151" i="109"/>
  <c r="BH151" i="46" s="1"/>
  <c r="R158" i="109"/>
  <c r="BF158" i="46" s="1"/>
  <c r="R157" i="109"/>
  <c r="BF157" i="46" s="1"/>
  <c r="R156" i="109"/>
  <c r="BF156" i="46" s="1"/>
  <c r="R155" i="109"/>
  <c r="BF155" i="46" s="1"/>
  <c r="R154" i="109"/>
  <c r="BF154" i="46" s="1"/>
  <c r="R153" i="109"/>
  <c r="BF153" i="46" s="1"/>
  <c r="R152" i="109"/>
  <c r="BF152" i="46" s="1"/>
  <c r="R151" i="109"/>
  <c r="BF151" i="46" s="1"/>
  <c r="R148" i="109"/>
  <c r="BF148" i="46" s="1"/>
  <c r="R147" i="109"/>
  <c r="BF147" i="46" s="1"/>
  <c r="R146" i="109"/>
  <c r="BF146" i="46" s="1"/>
  <c r="R144" i="109"/>
  <c r="BF144" i="46" s="1"/>
  <c r="R142" i="109"/>
  <c r="BF142" i="46" s="1"/>
  <c r="R141" i="109"/>
  <c r="BF141" i="46" s="1"/>
  <c r="R140" i="109"/>
  <c r="BF140" i="46" s="1"/>
  <c r="R102" i="109" l="1"/>
  <c r="BF102" i="46" s="1"/>
  <c r="R101" i="109"/>
  <c r="BF101" i="46" s="1"/>
  <c r="R100" i="109"/>
  <c r="BF100" i="46" s="1"/>
  <c r="R99" i="109"/>
  <c r="BF99" i="46" s="1"/>
  <c r="R98" i="109"/>
  <c r="BF98" i="46" s="1"/>
  <c r="R97" i="109"/>
  <c r="BF97" i="46" s="1"/>
  <c r="R96" i="109"/>
  <c r="BF96" i="46" s="1"/>
  <c r="R95" i="109"/>
  <c r="BF95" i="46" s="1"/>
  <c r="R94" i="109"/>
  <c r="BF94" i="46" s="1"/>
  <c r="R93" i="109"/>
  <c r="BF93" i="46" s="1"/>
  <c r="R92" i="109"/>
  <c r="BF92" i="46" s="1"/>
  <c r="R91" i="109"/>
  <c r="BF91" i="46" s="1"/>
  <c r="R90" i="109"/>
  <c r="BF90" i="46" s="1"/>
  <c r="R89" i="109"/>
  <c r="BF89" i="46" s="1"/>
  <c r="R88" i="109"/>
  <c r="BF88" i="46" s="1"/>
  <c r="R87" i="109"/>
  <c r="BF87" i="46" s="1"/>
  <c r="R85" i="109"/>
  <c r="BF85" i="46" s="1"/>
  <c r="R64" i="109"/>
  <c r="BF64" i="46" s="1"/>
  <c r="R73" i="109"/>
  <c r="BF73" i="46" s="1"/>
  <c r="R72" i="109"/>
  <c r="BF72" i="46" s="1"/>
  <c r="R71" i="109"/>
  <c r="BF71" i="46" s="1"/>
  <c r="R70" i="109"/>
  <c r="BF70" i="46" s="1"/>
  <c r="R69" i="109"/>
  <c r="BF69" i="46" s="1"/>
  <c r="R68" i="109"/>
  <c r="BF68" i="46" s="1"/>
  <c r="R67" i="109"/>
  <c r="BF67" i="46" s="1"/>
  <c r="R66" i="109"/>
  <c r="BF66" i="46" s="1"/>
  <c r="R54" i="109"/>
  <c r="BF54" i="46" s="1"/>
  <c r="R53" i="109"/>
  <c r="BF53" i="46" s="1"/>
  <c r="R52" i="109"/>
  <c r="BF52" i="46" s="1"/>
  <c r="R51" i="109"/>
  <c r="BF51" i="46" s="1"/>
  <c r="R44" i="109"/>
  <c r="BF44" i="46" s="1"/>
  <c r="R42" i="109"/>
  <c r="BF42" i="46" s="1"/>
  <c r="R41" i="109"/>
  <c r="BF41" i="46" s="1"/>
  <c r="R40" i="109"/>
  <c r="BF40" i="46" s="1"/>
  <c r="R39" i="109"/>
  <c r="BF39" i="46" s="1"/>
  <c r="R38" i="109"/>
  <c r="BF38" i="46" s="1"/>
  <c r="R37" i="109"/>
  <c r="BF37" i="46" s="1"/>
  <c r="R36" i="109"/>
  <c r="BF36" i="46" s="1"/>
  <c r="R35" i="109"/>
  <c r="BF35" i="46" s="1"/>
  <c r="R33" i="109"/>
  <c r="BF33" i="46" s="1"/>
  <c r="R32" i="109"/>
  <c r="BF32" i="46" s="1"/>
  <c r="R31" i="109"/>
  <c r="BF31" i="46" s="1"/>
  <c r="R30" i="109"/>
  <c r="BF30" i="46" s="1"/>
  <c r="R6" i="109" l="1"/>
  <c r="R7" i="109"/>
  <c r="R8" i="109"/>
  <c r="BF8" i="46" s="1"/>
  <c r="R9" i="109"/>
  <c r="BF9" i="46" s="1"/>
  <c r="R26" i="109"/>
  <c r="BF26" i="46" s="1"/>
  <c r="R27" i="109"/>
  <c r="BF27" i="46" s="1"/>
  <c r="R28" i="109"/>
  <c r="BF28" i="46" s="1"/>
  <c r="R50" i="109"/>
  <c r="BF50" i="46" s="1"/>
  <c r="R65" i="109"/>
  <c r="BF65" i="46" s="1"/>
  <c r="R86" i="109"/>
  <c r="BF86" i="46" s="1"/>
  <c r="R138" i="109"/>
  <c r="BF138" i="46" s="1"/>
  <c r="R145" i="109"/>
  <c r="BF145" i="46" s="1"/>
  <c r="R150" i="109"/>
  <c r="BF150" i="46" s="1"/>
  <c r="R192" i="109"/>
  <c r="BF192" i="46" s="1"/>
  <c r="R202" i="109"/>
  <c r="BF202" i="46" s="1"/>
  <c r="R224" i="109"/>
  <c r="BF224" i="46" s="1"/>
  <c r="R226" i="109"/>
  <c r="BF226" i="46" s="1"/>
  <c r="R238" i="109"/>
  <c r="BF238" i="46" s="1"/>
  <c r="R253" i="109"/>
  <c r="BF253" i="46" s="1"/>
  <c r="R254" i="109"/>
  <c r="BF254" i="46" s="1"/>
  <c r="R255" i="109"/>
  <c r="BF255" i="46" s="1"/>
  <c r="R256" i="109"/>
  <c r="BF256" i="46" s="1"/>
  <c r="R257" i="109"/>
  <c r="BF257" i="46" s="1"/>
  <c r="R258" i="109"/>
  <c r="BF258" i="46" s="1"/>
  <c r="R259" i="109"/>
  <c r="BF259" i="46" s="1"/>
  <c r="R262" i="109"/>
  <c r="BF262" i="46" s="1"/>
  <c r="R275" i="109"/>
  <c r="BF275" i="46" s="1"/>
  <c r="R296" i="109"/>
  <c r="BF296" i="46" s="1"/>
  <c r="R297" i="109"/>
  <c r="BF297" i="46" s="1"/>
  <c r="R302" i="109"/>
  <c r="BF302" i="46" s="1"/>
  <c r="R315" i="109"/>
  <c r="BF315" i="46" s="1"/>
  <c r="R368" i="109"/>
  <c r="BF368" i="46" s="1"/>
  <c r="R369" i="109"/>
  <c r="BF369" i="46" s="1"/>
  <c r="R370" i="109"/>
  <c r="BF370" i="46" s="1"/>
  <c r="R371" i="109"/>
  <c r="BF371" i="46" s="1"/>
  <c r="BF372" i="46"/>
  <c r="R385" i="109"/>
  <c r="BF385" i="46" s="1"/>
  <c r="R386" i="109"/>
  <c r="BF386" i="46" s="1"/>
  <c r="R476" i="109"/>
  <c r="BF476" i="46" s="1"/>
  <c r="R515" i="109"/>
  <c r="BF515" i="46" s="1"/>
  <c r="R526" i="109"/>
  <c r="BF526" i="46" s="1"/>
  <c r="R702" i="109"/>
  <c r="BF7" i="46" l="1"/>
  <c r="BH7" i="46"/>
  <c r="BF5" i="46"/>
  <c r="BH5" i="46"/>
  <c r="BH6" i="46"/>
  <c r="BF6" i="46"/>
  <c r="AQ624" i="46" l="1"/>
  <c r="J624" i="46" s="1"/>
  <c r="AP624" i="46"/>
  <c r="H624" i="46" s="1"/>
  <c r="AO624" i="46"/>
  <c r="F624" i="46" s="1"/>
  <c r="R624" i="46"/>
  <c r="B624" i="46"/>
  <c r="AQ623" i="46"/>
  <c r="J623" i="46" s="1"/>
  <c r="AP623" i="46"/>
  <c r="H623" i="46" s="1"/>
  <c r="AO623" i="46"/>
  <c r="F623" i="46" s="1"/>
  <c r="R623" i="46"/>
  <c r="B623" i="46"/>
  <c r="AQ622" i="46"/>
  <c r="J622" i="46" s="1"/>
  <c r="AP622" i="46"/>
  <c r="H622" i="46" s="1"/>
  <c r="AO622" i="46"/>
  <c r="F622" i="46" s="1"/>
  <c r="R622" i="46"/>
  <c r="B622" i="46"/>
  <c r="AQ621" i="46"/>
  <c r="J621" i="46" s="1"/>
  <c r="AP621" i="46"/>
  <c r="H621" i="46" s="1"/>
  <c r="AO621" i="46"/>
  <c r="F621" i="46" s="1"/>
  <c r="R621" i="46"/>
  <c r="B621" i="46"/>
  <c r="AQ620" i="46"/>
  <c r="J620" i="46" s="1"/>
  <c r="AP620" i="46"/>
  <c r="H620" i="46" s="1"/>
  <c r="AO620" i="46"/>
  <c r="F620" i="46" s="1"/>
  <c r="R620" i="46"/>
  <c r="B620" i="46"/>
  <c r="AQ619" i="46"/>
  <c r="J619" i="46" s="1"/>
  <c r="AP619" i="46"/>
  <c r="H619" i="46" s="1"/>
  <c r="AO619" i="46"/>
  <c r="F619" i="46" s="1"/>
  <c r="R619" i="46"/>
  <c r="B619" i="46"/>
  <c r="AQ618" i="46"/>
  <c r="J618" i="46" s="1"/>
  <c r="AP618" i="46"/>
  <c r="H618" i="46" s="1"/>
  <c r="AO618" i="46"/>
  <c r="F618" i="46" s="1"/>
  <c r="R618" i="46"/>
  <c r="B618" i="46"/>
  <c r="AQ617" i="46"/>
  <c r="J617" i="46" s="1"/>
  <c r="AP617" i="46"/>
  <c r="H617" i="46" s="1"/>
  <c r="AO617" i="46"/>
  <c r="F617" i="46" s="1"/>
  <c r="R617" i="46"/>
  <c r="B617" i="46"/>
  <c r="AQ616" i="46"/>
  <c r="J616" i="46" s="1"/>
  <c r="AP616" i="46"/>
  <c r="H616" i="46" s="1"/>
  <c r="AO616" i="46"/>
  <c r="F616" i="46" s="1"/>
  <c r="R616" i="46"/>
  <c r="B616" i="46"/>
  <c r="AQ615" i="46"/>
  <c r="J615" i="46" s="1"/>
  <c r="AP615" i="46"/>
  <c r="H615" i="46" s="1"/>
  <c r="AO615" i="46"/>
  <c r="F615" i="46" s="1"/>
  <c r="R615" i="46"/>
  <c r="B615" i="46"/>
  <c r="AQ614" i="46"/>
  <c r="J614" i="46" s="1"/>
  <c r="AP614" i="46"/>
  <c r="H614" i="46" s="1"/>
  <c r="AO614" i="46"/>
  <c r="F614" i="46" s="1"/>
  <c r="R614" i="46"/>
  <c r="B614" i="46"/>
  <c r="AQ613" i="46"/>
  <c r="J613" i="46" s="1"/>
  <c r="AP613" i="46"/>
  <c r="H613" i="46" s="1"/>
  <c r="AO613" i="46"/>
  <c r="F613" i="46" s="1"/>
  <c r="R613" i="46"/>
  <c r="B613" i="46"/>
  <c r="AQ612" i="46"/>
  <c r="J612" i="46" s="1"/>
  <c r="AP612" i="46"/>
  <c r="H612" i="46" s="1"/>
  <c r="AO612" i="46"/>
  <c r="F612" i="46" s="1"/>
  <c r="R612" i="46"/>
  <c r="B612" i="46"/>
  <c r="AQ611" i="46"/>
  <c r="J611" i="46" s="1"/>
  <c r="AP611" i="46"/>
  <c r="H611" i="46" s="1"/>
  <c r="AO611" i="46"/>
  <c r="F611" i="46" s="1"/>
  <c r="R611" i="46"/>
  <c r="B611" i="46"/>
  <c r="AQ610" i="46"/>
  <c r="J610" i="46" s="1"/>
  <c r="AP610" i="46"/>
  <c r="H610" i="46" s="1"/>
  <c r="AO610" i="46"/>
  <c r="F610" i="46" s="1"/>
  <c r="R610" i="46"/>
  <c r="B610" i="46"/>
  <c r="AQ609" i="46"/>
  <c r="J609" i="46" s="1"/>
  <c r="AP609" i="46"/>
  <c r="H609" i="46" s="1"/>
  <c r="AO609" i="46"/>
  <c r="F609" i="46" s="1"/>
  <c r="R609" i="46"/>
  <c r="B609" i="46"/>
  <c r="AQ608" i="46"/>
  <c r="J608" i="46" s="1"/>
  <c r="AP608" i="46"/>
  <c r="H608" i="46" s="1"/>
  <c r="AO608" i="46"/>
  <c r="F608" i="46" s="1"/>
  <c r="R608" i="46"/>
  <c r="B608" i="46"/>
  <c r="AQ607" i="46"/>
  <c r="J607" i="46" s="1"/>
  <c r="AP607" i="46"/>
  <c r="H607" i="46" s="1"/>
  <c r="AO607" i="46"/>
  <c r="F607" i="46" s="1"/>
  <c r="R607" i="46"/>
  <c r="B607" i="46"/>
  <c r="AQ606" i="46"/>
  <c r="J606" i="46" s="1"/>
  <c r="AP606" i="46"/>
  <c r="H606" i="46" s="1"/>
  <c r="AO606" i="46"/>
  <c r="F606" i="46" s="1"/>
  <c r="R606" i="46"/>
  <c r="B606" i="46"/>
  <c r="AQ605" i="46"/>
  <c r="J605" i="46" s="1"/>
  <c r="AP605" i="46"/>
  <c r="H605" i="46" s="1"/>
  <c r="AO605" i="46"/>
  <c r="F605" i="46" s="1"/>
  <c r="R605" i="46"/>
  <c r="B605" i="46"/>
  <c r="AQ604" i="46"/>
  <c r="J604" i="46" s="1"/>
  <c r="AP604" i="46"/>
  <c r="H604" i="46" s="1"/>
  <c r="AO604" i="46"/>
  <c r="F604" i="46" s="1"/>
  <c r="R604" i="46"/>
  <c r="B604" i="46"/>
  <c r="AQ603" i="46"/>
  <c r="J603" i="46" s="1"/>
  <c r="AP603" i="46"/>
  <c r="H603" i="46" s="1"/>
  <c r="AO603" i="46"/>
  <c r="F603" i="46" s="1"/>
  <c r="R603" i="46"/>
  <c r="B603" i="46"/>
  <c r="AQ602" i="46"/>
  <c r="J602" i="46" s="1"/>
  <c r="AP602" i="46"/>
  <c r="H602" i="46" s="1"/>
  <c r="AO602" i="46"/>
  <c r="F602" i="46" s="1"/>
  <c r="R602" i="46"/>
  <c r="B602" i="46"/>
  <c r="AQ601" i="46"/>
  <c r="J601" i="46" s="1"/>
  <c r="AP601" i="46"/>
  <c r="H601" i="46" s="1"/>
  <c r="AO601" i="46"/>
  <c r="F601" i="46" s="1"/>
  <c r="R601" i="46"/>
  <c r="B601" i="46"/>
  <c r="AQ600" i="46"/>
  <c r="J600" i="46" s="1"/>
  <c r="AP600" i="46"/>
  <c r="H600" i="46" s="1"/>
  <c r="AO600" i="46"/>
  <c r="F600" i="46" s="1"/>
  <c r="R600" i="46"/>
  <c r="B600" i="46"/>
  <c r="AQ599" i="46"/>
  <c r="J599" i="46" s="1"/>
  <c r="AP599" i="46"/>
  <c r="H599" i="46" s="1"/>
  <c r="AO599" i="46"/>
  <c r="F599" i="46" s="1"/>
  <c r="R599" i="46"/>
  <c r="B599" i="46"/>
  <c r="AQ598" i="46"/>
  <c r="J598" i="46" s="1"/>
  <c r="AP598" i="46"/>
  <c r="H598" i="46" s="1"/>
  <c r="AO598" i="46"/>
  <c r="F598" i="46" s="1"/>
  <c r="R598" i="46"/>
  <c r="B598" i="46"/>
  <c r="AQ597" i="46"/>
  <c r="J597" i="46" s="1"/>
  <c r="AP597" i="46"/>
  <c r="H597" i="46" s="1"/>
  <c r="AO597" i="46"/>
  <c r="F597" i="46" s="1"/>
  <c r="R597" i="46"/>
  <c r="B597" i="46"/>
  <c r="AQ596" i="46"/>
  <c r="J596" i="46" s="1"/>
  <c r="AP596" i="46"/>
  <c r="H596" i="46" s="1"/>
  <c r="AO596" i="46"/>
  <c r="F596" i="46" s="1"/>
  <c r="R596" i="46"/>
  <c r="B596" i="46"/>
  <c r="AQ595" i="46"/>
  <c r="J595" i="46" s="1"/>
  <c r="AP595" i="46"/>
  <c r="H595" i="46" s="1"/>
  <c r="AO595" i="46"/>
  <c r="F595" i="46" s="1"/>
  <c r="R595" i="46"/>
  <c r="B595" i="46"/>
  <c r="AQ594" i="46"/>
  <c r="J594" i="46" s="1"/>
  <c r="AP594" i="46"/>
  <c r="H594" i="46" s="1"/>
  <c r="AO594" i="46"/>
  <c r="F594" i="46" s="1"/>
  <c r="R594" i="46"/>
  <c r="B594" i="46"/>
  <c r="AQ593" i="46"/>
  <c r="J593" i="46" s="1"/>
  <c r="AP593" i="46"/>
  <c r="H593" i="46" s="1"/>
  <c r="AO593" i="46"/>
  <c r="F593" i="46" s="1"/>
  <c r="R593" i="46"/>
  <c r="B628" i="46"/>
  <c r="B593" i="46"/>
  <c r="J115" i="56"/>
  <c r="D624" i="46"/>
  <c r="BF624" i="46" s="1"/>
  <c r="J114" i="56"/>
  <c r="D623" i="46"/>
  <c r="BF623" i="46" s="1"/>
  <c r="J113" i="56"/>
  <c r="D622" i="46"/>
  <c r="BF622" i="46" s="1"/>
  <c r="J112" i="56"/>
  <c r="J111" i="56"/>
  <c r="D620" i="46"/>
  <c r="BF620" i="46" s="1"/>
  <c r="J110" i="56"/>
  <c r="D619" i="46"/>
  <c r="BF619" i="46" s="1"/>
  <c r="J109" i="56"/>
  <c r="D618" i="46"/>
  <c r="BF618" i="46" s="1"/>
  <c r="J108" i="56"/>
  <c r="D617" i="46"/>
  <c r="BF617" i="46" s="1"/>
  <c r="J107" i="56"/>
  <c r="D616" i="46"/>
  <c r="BF616" i="46" s="1"/>
  <c r="J106" i="56"/>
  <c r="D615" i="46"/>
  <c r="BF615" i="46" s="1"/>
  <c r="J105" i="56"/>
  <c r="D614" i="46"/>
  <c r="BF614" i="46" s="1"/>
  <c r="J104" i="56"/>
  <c r="D613" i="46"/>
  <c r="BF613" i="46" s="1"/>
  <c r="J103" i="56"/>
  <c r="D612" i="46"/>
  <c r="BF612" i="46" s="1"/>
  <c r="J102" i="56"/>
  <c r="D611" i="46"/>
  <c r="BF611" i="46" s="1"/>
  <c r="J101" i="56"/>
  <c r="D610" i="46"/>
  <c r="BF610" i="46" s="1"/>
  <c r="J100" i="56"/>
  <c r="D609" i="46"/>
  <c r="BF609" i="46" s="1"/>
  <c r="J99" i="56"/>
  <c r="D608" i="46"/>
  <c r="BF608" i="46" s="1"/>
  <c r="J98" i="56"/>
  <c r="D607" i="46"/>
  <c r="BF607" i="46" s="1"/>
  <c r="J97" i="56"/>
  <c r="D606" i="46"/>
  <c r="BF606" i="46" s="1"/>
  <c r="J96" i="56"/>
  <c r="D605" i="46"/>
  <c r="BF605" i="46" s="1"/>
  <c r="J95" i="56"/>
  <c r="D604" i="46"/>
  <c r="BF604" i="46" s="1"/>
  <c r="J94" i="56"/>
  <c r="D603" i="46"/>
  <c r="BF603" i="46" s="1"/>
  <c r="J93" i="56"/>
  <c r="D602" i="46"/>
  <c r="BF602" i="46" s="1"/>
  <c r="J92" i="56"/>
  <c r="D601" i="46"/>
  <c r="BF601" i="46" s="1"/>
  <c r="J91" i="56"/>
  <c r="D600" i="46"/>
  <c r="BF600" i="46" s="1"/>
  <c r="J90" i="56"/>
  <c r="D599" i="46"/>
  <c r="BF599" i="46" s="1"/>
  <c r="J89" i="56"/>
  <c r="D598" i="46"/>
  <c r="BF598" i="46" s="1"/>
  <c r="J88" i="56"/>
  <c r="D597" i="46"/>
  <c r="BF597" i="46" s="1"/>
  <c r="J87" i="56"/>
  <c r="D596" i="46"/>
  <c r="BF596" i="46" s="1"/>
  <c r="J86" i="56"/>
  <c r="D595" i="46"/>
  <c r="BF595" i="46" s="1"/>
  <c r="J85" i="56"/>
  <c r="D594" i="46"/>
  <c r="BF594" i="46" s="1"/>
  <c r="J84" i="56"/>
  <c r="D593" i="46"/>
  <c r="BF593" i="46" s="1"/>
  <c r="D621" i="46" l="1"/>
  <c r="BF621" i="46" s="1"/>
  <c r="BG595" i="46"/>
  <c r="BG603" i="46"/>
  <c r="BG612" i="46"/>
  <c r="BG599" i="46"/>
  <c r="BG607" i="46"/>
  <c r="BG617" i="46"/>
  <c r="BG622" i="46"/>
  <c r="BG623" i="46"/>
  <c r="BG620" i="46"/>
  <c r="BG594" i="46"/>
  <c r="BG598" i="46"/>
  <c r="BG602" i="46"/>
  <c r="BG606" i="46"/>
  <c r="BG610" i="46"/>
  <c r="BG611" i="46"/>
  <c r="BG616" i="46"/>
  <c r="BG621" i="46"/>
  <c r="BG597" i="46"/>
  <c r="BG601" i="46"/>
  <c r="BG605" i="46"/>
  <c r="BG609" i="46"/>
  <c r="BG614" i="46"/>
  <c r="BG615" i="46"/>
  <c r="BG619" i="46"/>
  <c r="BG624" i="46"/>
  <c r="BG593" i="46"/>
  <c r="BG596" i="46"/>
  <c r="BG600" i="46"/>
  <c r="BG604" i="46"/>
  <c r="BG608" i="46"/>
  <c r="BG613" i="46"/>
  <c r="BG618" i="46"/>
  <c r="W5" i="143"/>
  <c r="Y5" i="143"/>
  <c r="O6" i="143" l="1"/>
  <c r="P6" i="143"/>
  <c r="Q6" i="143"/>
  <c r="R6" i="143"/>
  <c r="T6" i="143"/>
  <c r="U6" i="143"/>
  <c r="Y6" i="143"/>
  <c r="J6" i="143"/>
  <c r="E183" i="60"/>
  <c r="E182" i="60"/>
  <c r="H513" i="109" l="1"/>
  <c r="H512" i="109"/>
  <c r="K165" i="60" l="1"/>
  <c r="G282" i="120" s="1"/>
  <c r="H10" i="125" s="1"/>
  <c r="I263" i="143" s="1"/>
  <c r="G28" i="152" s="1"/>
  <c r="C639" i="148" l="1"/>
  <c r="C638" i="148"/>
  <c r="W514" i="148"/>
  <c r="W513" i="148"/>
  <c r="C514" i="148"/>
  <c r="C513" i="148"/>
  <c r="W489" i="148"/>
  <c r="W488" i="148"/>
  <c r="C489" i="148"/>
  <c r="C488" i="148"/>
  <c r="W464" i="148"/>
  <c r="W463" i="148"/>
  <c r="W589" i="148"/>
  <c r="W588" i="148"/>
  <c r="C589" i="148"/>
  <c r="C588" i="148"/>
  <c r="C614" i="148"/>
  <c r="C613" i="148"/>
  <c r="AM61" i="147" l="1"/>
  <c r="AM58" i="147"/>
  <c r="AM54" i="147"/>
  <c r="H62" i="147"/>
  <c r="H59" i="147"/>
  <c r="H56" i="147"/>
  <c r="H53" i="147"/>
  <c r="H50" i="147"/>
  <c r="Y17" i="147"/>
  <c r="Y16" i="147"/>
  <c r="Y15" i="147"/>
  <c r="Y12" i="147"/>
  <c r="P26" i="147"/>
  <c r="K6" i="147"/>
  <c r="K4" i="147"/>
  <c r="C10" i="147"/>
  <c r="C8" i="147"/>
  <c r="C6" i="147"/>
  <c r="C4" i="147"/>
  <c r="C465" i="148" l="1"/>
  <c r="W440" i="148"/>
  <c r="Q252" i="143"/>
  <c r="Q7" i="143"/>
  <c r="Q8" i="143"/>
  <c r="Q9" i="143"/>
  <c r="Q10" i="143"/>
  <c r="Q11" i="143"/>
  <c r="Q12" i="143"/>
  <c r="Q13" i="143"/>
  <c r="Q14" i="143"/>
  <c r="Q15" i="143"/>
  <c r="Q16" i="143"/>
  <c r="Q17" i="143"/>
  <c r="Q18" i="143"/>
  <c r="Q19" i="143"/>
  <c r="Q20" i="143"/>
  <c r="Q21" i="143"/>
  <c r="Q22" i="143"/>
  <c r="Q23" i="143"/>
  <c r="Q24" i="143"/>
  <c r="Q25" i="143"/>
  <c r="Q26" i="143"/>
  <c r="Q27" i="143"/>
  <c r="Q28" i="143"/>
  <c r="Q29" i="143"/>
  <c r="Q30" i="143"/>
  <c r="Q31" i="143"/>
  <c r="Q32" i="143"/>
  <c r="Q33" i="143"/>
  <c r="Q34" i="143"/>
  <c r="Q35" i="143"/>
  <c r="Q36" i="143"/>
  <c r="Q37" i="143"/>
  <c r="Q38" i="143"/>
  <c r="Q39" i="143"/>
  <c r="Q40" i="143"/>
  <c r="Q41" i="143"/>
  <c r="Q42" i="143"/>
  <c r="Q43" i="143"/>
  <c r="Q44" i="143"/>
  <c r="Q45" i="143"/>
  <c r="Q46" i="143"/>
  <c r="Q47" i="143"/>
  <c r="Q48" i="143"/>
  <c r="Q49" i="143"/>
  <c r="Q50" i="143"/>
  <c r="Q51" i="143"/>
  <c r="Q52" i="143"/>
  <c r="Q53" i="143"/>
  <c r="Q54" i="143"/>
  <c r="Q55" i="143"/>
  <c r="Q56" i="143"/>
  <c r="Q57" i="143"/>
  <c r="Q58" i="143"/>
  <c r="Q59" i="143"/>
  <c r="Q60" i="143"/>
  <c r="Q61" i="143"/>
  <c r="Q62" i="143"/>
  <c r="Q63" i="143"/>
  <c r="Q64" i="143"/>
  <c r="Q65" i="143"/>
  <c r="Q66" i="143"/>
  <c r="Q67" i="143"/>
  <c r="Q68" i="143"/>
  <c r="Q69" i="143"/>
  <c r="Q70" i="143"/>
  <c r="Q71" i="143"/>
  <c r="Q72" i="143"/>
  <c r="Q73" i="143"/>
  <c r="Q74" i="143"/>
  <c r="Q75" i="143"/>
  <c r="Q76" i="143"/>
  <c r="Q77" i="143"/>
  <c r="Q78" i="143"/>
  <c r="Q79" i="143"/>
  <c r="Q80" i="143"/>
  <c r="Q81" i="143"/>
  <c r="Q82" i="143"/>
  <c r="Q83" i="143"/>
  <c r="Q84" i="143"/>
  <c r="Q85" i="143"/>
  <c r="Q86" i="143"/>
  <c r="Q87" i="143"/>
  <c r="Q88" i="143"/>
  <c r="Q89" i="143"/>
  <c r="Q90" i="143"/>
  <c r="Q91" i="143"/>
  <c r="Q92" i="143"/>
  <c r="Q93" i="143"/>
  <c r="Q94" i="143"/>
  <c r="Q95" i="143"/>
  <c r="Q96" i="143"/>
  <c r="Q97" i="143"/>
  <c r="Q98" i="143"/>
  <c r="Q99" i="143"/>
  <c r="Q100" i="143"/>
  <c r="Q101" i="143"/>
  <c r="Q102" i="143"/>
  <c r="Q103" i="143"/>
  <c r="Q104" i="143"/>
  <c r="Q105" i="143"/>
  <c r="Q106" i="143"/>
  <c r="Q107" i="143"/>
  <c r="Q108" i="143"/>
  <c r="Q109" i="143"/>
  <c r="Q110" i="143"/>
  <c r="Q111" i="143"/>
  <c r="Q112" i="143"/>
  <c r="Q113" i="143"/>
  <c r="Q114" i="143"/>
  <c r="Q115" i="143"/>
  <c r="Q116" i="143"/>
  <c r="Q117" i="143"/>
  <c r="Q118" i="143"/>
  <c r="Q119" i="143"/>
  <c r="Q120" i="143"/>
  <c r="Q121" i="143"/>
  <c r="Q122" i="143"/>
  <c r="Q123" i="143"/>
  <c r="Q124" i="143"/>
  <c r="Q125" i="143"/>
  <c r="Q126" i="143"/>
  <c r="Q127" i="143"/>
  <c r="Q128" i="143"/>
  <c r="Q129" i="143"/>
  <c r="Q130" i="143"/>
  <c r="Q131" i="143"/>
  <c r="Q132" i="143"/>
  <c r="Q133" i="143"/>
  <c r="Q134" i="143"/>
  <c r="Q135" i="143"/>
  <c r="Q136" i="143"/>
  <c r="Q137" i="143"/>
  <c r="Q138" i="143"/>
  <c r="Q139" i="143"/>
  <c r="Q140" i="143"/>
  <c r="Q141" i="143"/>
  <c r="Q142" i="143"/>
  <c r="Q143" i="143"/>
  <c r="Q144" i="143"/>
  <c r="Q145" i="143"/>
  <c r="Q146" i="143"/>
  <c r="Q147" i="143"/>
  <c r="Q148" i="143"/>
  <c r="Q149" i="143"/>
  <c r="Q150" i="143"/>
  <c r="Q151" i="143"/>
  <c r="Q152" i="143"/>
  <c r="Q153" i="143"/>
  <c r="Q154" i="143"/>
  <c r="Q155" i="143"/>
  <c r="Q156" i="143"/>
  <c r="Q157" i="143"/>
  <c r="Q158" i="143"/>
  <c r="Q159" i="143"/>
  <c r="Q160" i="143"/>
  <c r="Q161" i="143"/>
  <c r="Q162" i="143"/>
  <c r="Q163" i="143"/>
  <c r="Q164" i="143"/>
  <c r="Q165" i="143"/>
  <c r="Q166" i="143"/>
  <c r="Q167" i="143"/>
  <c r="Q168" i="143"/>
  <c r="Q169" i="143"/>
  <c r="Q170" i="143"/>
  <c r="Q171" i="143"/>
  <c r="Q172" i="143"/>
  <c r="Q173" i="143"/>
  <c r="Q174" i="143"/>
  <c r="Q175" i="143"/>
  <c r="Q178" i="143"/>
  <c r="Q179" i="143"/>
  <c r="Q180" i="143"/>
  <c r="Q181" i="143"/>
  <c r="Q182" i="143"/>
  <c r="Q183" i="143"/>
  <c r="Q184" i="143"/>
  <c r="Q185" i="143"/>
  <c r="Q186" i="143"/>
  <c r="Q187" i="143"/>
  <c r="Q188" i="143"/>
  <c r="Q189" i="143"/>
  <c r="Q190" i="143"/>
  <c r="Q191" i="143"/>
  <c r="Q192" i="143"/>
  <c r="Q193" i="143"/>
  <c r="Q194" i="143"/>
  <c r="Q195" i="143"/>
  <c r="Q196" i="143"/>
  <c r="Q197" i="143"/>
  <c r="Q198" i="143"/>
  <c r="Q199" i="143"/>
  <c r="Q200" i="143"/>
  <c r="Q201" i="143"/>
  <c r="Q202" i="143"/>
  <c r="Q203" i="143"/>
  <c r="Q204" i="143"/>
  <c r="Q205" i="143"/>
  <c r="Q206" i="143"/>
  <c r="Q207" i="143"/>
  <c r="Q208" i="143"/>
  <c r="Q209" i="143"/>
  <c r="Q210" i="143"/>
  <c r="Q211" i="143"/>
  <c r="Q212" i="143"/>
  <c r="Q213" i="143"/>
  <c r="Q214" i="143"/>
  <c r="Q215" i="143"/>
  <c r="Q216" i="143"/>
  <c r="Q217" i="143"/>
  <c r="Q218" i="143"/>
  <c r="Q219" i="143"/>
  <c r="Q220" i="143"/>
  <c r="Q221" i="143"/>
  <c r="Q222" i="143"/>
  <c r="Q223" i="143"/>
  <c r="Q224" i="143"/>
  <c r="Q225" i="143"/>
  <c r="Q226" i="143"/>
  <c r="Q227" i="143"/>
  <c r="Q228" i="143"/>
  <c r="Q229" i="143"/>
  <c r="Q230" i="143"/>
  <c r="Q231" i="143"/>
  <c r="Q232" i="143"/>
  <c r="Q234" i="143"/>
  <c r="Q235" i="143"/>
  <c r="Q236" i="143"/>
  <c r="Q237" i="143"/>
  <c r="Q238" i="143"/>
  <c r="Q239" i="143"/>
  <c r="Q240" i="143"/>
  <c r="Q241" i="143"/>
  <c r="Q242" i="143"/>
  <c r="Q243" i="143"/>
  <c r="Q244" i="143"/>
  <c r="Q245" i="143"/>
  <c r="Q246" i="143"/>
  <c r="Q247" i="143"/>
  <c r="Q248" i="143"/>
  <c r="Q249" i="143"/>
  <c r="Q5" i="143"/>
  <c r="D65" i="149"/>
  <c r="H13" i="149"/>
  <c r="D13" i="149"/>
  <c r="D7" i="149"/>
  <c r="H5" i="149"/>
  <c r="D5" i="149"/>
  <c r="G3" i="149"/>
  <c r="D3" i="149"/>
  <c r="B1" i="149"/>
  <c r="G22" i="143"/>
  <c r="G21" i="143"/>
  <c r="G20" i="143"/>
  <c r="G19" i="143"/>
  <c r="G18" i="143"/>
  <c r="G17" i="143"/>
  <c r="Y22" i="143"/>
  <c r="W22" i="143"/>
  <c r="T22" i="143"/>
  <c r="S22" i="143"/>
  <c r="R22" i="143"/>
  <c r="P22" i="143"/>
  <c r="O22" i="143"/>
  <c r="Y21" i="143"/>
  <c r="W21" i="143"/>
  <c r="T21" i="143"/>
  <c r="S21" i="143"/>
  <c r="R21" i="143"/>
  <c r="P21" i="143"/>
  <c r="O21" i="143"/>
  <c r="Y20" i="143"/>
  <c r="W20" i="143"/>
  <c r="T20" i="143"/>
  <c r="S20" i="143"/>
  <c r="R20" i="143"/>
  <c r="P20" i="143"/>
  <c r="O20" i="143"/>
  <c r="Y19" i="143"/>
  <c r="W19" i="143"/>
  <c r="U19" i="143"/>
  <c r="T19" i="143"/>
  <c r="R19" i="143"/>
  <c r="P19" i="143"/>
  <c r="O19" i="143"/>
  <c r="Y18" i="143"/>
  <c r="W18" i="143"/>
  <c r="U18" i="143"/>
  <c r="T18" i="143"/>
  <c r="R18" i="143"/>
  <c r="P18" i="143"/>
  <c r="O18" i="143"/>
  <c r="Y17" i="143"/>
  <c r="W17" i="143"/>
  <c r="U17" i="143"/>
  <c r="T17" i="143"/>
  <c r="R17" i="143"/>
  <c r="P17" i="143"/>
  <c r="O17" i="143"/>
  <c r="J22" i="143"/>
  <c r="J21" i="143"/>
  <c r="J20" i="143"/>
  <c r="J19" i="143"/>
  <c r="J18" i="143"/>
  <c r="J17" i="143"/>
  <c r="G44" i="60"/>
  <c r="G130" i="126"/>
  <c r="D743" i="46" s="1"/>
  <c r="BF743" i="46" s="1"/>
  <c r="G129" i="126"/>
  <c r="D742" i="46" s="1"/>
  <c r="BF742" i="46" s="1"/>
  <c r="E130" i="126"/>
  <c r="B743" i="46" s="1"/>
  <c r="E129" i="126"/>
  <c r="B742" i="46" s="1"/>
  <c r="D518" i="109"/>
  <c r="AO518" i="46" s="1"/>
  <c r="E44" i="60"/>
  <c r="H183" i="60"/>
  <c r="F191" i="120"/>
  <c r="E67" i="56"/>
  <c r="B67" i="56"/>
  <c r="F67" i="56"/>
  <c r="F66" i="56"/>
  <c r="E66" i="56"/>
  <c r="B66" i="56"/>
  <c r="H363" i="109"/>
  <c r="J363" i="109" s="1"/>
  <c r="G169" i="143"/>
  <c r="G167" i="143"/>
  <c r="G191" i="143"/>
  <c r="G68" i="143"/>
  <c r="G67" i="143"/>
  <c r="G60" i="143"/>
  <c r="G98" i="143"/>
  <c r="G97" i="143"/>
  <c r="G156" i="143"/>
  <c r="G116" i="143"/>
  <c r="G95" i="143"/>
  <c r="G58" i="143"/>
  <c r="G8" i="143"/>
  <c r="G12" i="143"/>
  <c r="G15" i="143"/>
  <c r="G14" i="143"/>
  <c r="G11" i="143"/>
  <c r="G10" i="143"/>
  <c r="G16" i="143"/>
  <c r="G152" i="143"/>
  <c r="G114" i="143"/>
  <c r="G91" i="143"/>
  <c r="G52" i="143"/>
  <c r="G217" i="143"/>
  <c r="G213" i="143"/>
  <c r="G162" i="143"/>
  <c r="G92" i="143"/>
  <c r="G216" i="143"/>
  <c r="G43" i="143"/>
  <c r="G215" i="143"/>
  <c r="G214" i="143"/>
  <c r="G212" i="143"/>
  <c r="G184" i="143"/>
  <c r="G181" i="143"/>
  <c r="G221" i="143"/>
  <c r="G63" i="143"/>
  <c r="G242" i="143"/>
  <c r="G241" i="143"/>
  <c r="G240" i="143"/>
  <c r="G239" i="143"/>
  <c r="G238" i="143"/>
  <c r="G237" i="143"/>
  <c r="G236" i="143"/>
  <c r="G235" i="143"/>
  <c r="G226" i="143"/>
  <c r="G232" i="143"/>
  <c r="G231" i="143"/>
  <c r="G230" i="143"/>
  <c r="K230" i="143" s="1"/>
  <c r="L230" i="143" s="1"/>
  <c r="G229" i="143"/>
  <c r="K229" i="143" s="1"/>
  <c r="L229" i="143" s="1"/>
  <c r="G227" i="143"/>
  <c r="K227" i="143" s="1"/>
  <c r="L227" i="143" s="1"/>
  <c r="U227" i="143" s="1"/>
  <c r="G225" i="143"/>
  <c r="K225" i="143"/>
  <c r="L225" i="143" s="1"/>
  <c r="G206" i="143"/>
  <c r="G202" i="143"/>
  <c r="G185" i="143"/>
  <c r="K185" i="143" s="1"/>
  <c r="L185" i="143" s="1"/>
  <c r="U185" i="143" s="1"/>
  <c r="C3" i="109"/>
  <c r="G166" i="143"/>
  <c r="G149" i="143"/>
  <c r="G148" i="143"/>
  <c r="G50" i="143"/>
  <c r="G49" i="143"/>
  <c r="G71" i="143"/>
  <c r="G70" i="143"/>
  <c r="G54" i="143"/>
  <c r="G51" i="143"/>
  <c r="I12" i="143"/>
  <c r="G204" i="143"/>
  <c r="G13" i="143"/>
  <c r="G9" i="143"/>
  <c r="G89" i="143"/>
  <c r="G154" i="143"/>
  <c r="G153" i="143"/>
  <c r="G151" i="143"/>
  <c r="G150" i="143"/>
  <c r="G113" i="143"/>
  <c r="G112" i="143"/>
  <c r="G90" i="143"/>
  <c r="G55" i="143"/>
  <c r="G53" i="143"/>
  <c r="G188" i="143"/>
  <c r="K188" i="143" s="1"/>
  <c r="L188" i="143" s="1"/>
  <c r="G158" i="143"/>
  <c r="G159" i="143"/>
  <c r="G170" i="143"/>
  <c r="G168" i="143"/>
  <c r="G171" i="143"/>
  <c r="J158" i="143"/>
  <c r="O158" i="143"/>
  <c r="P158" i="143"/>
  <c r="R158" i="143"/>
  <c r="S158" i="143"/>
  <c r="T158" i="143"/>
  <c r="W158" i="143"/>
  <c r="Y158" i="143"/>
  <c r="Y157" i="143"/>
  <c r="W157" i="143"/>
  <c r="T157" i="143"/>
  <c r="S157" i="143"/>
  <c r="R157" i="143"/>
  <c r="P157" i="143"/>
  <c r="O157" i="143"/>
  <c r="J157" i="143"/>
  <c r="G157" i="143"/>
  <c r="Y156" i="143"/>
  <c r="W156" i="143"/>
  <c r="T156" i="143"/>
  <c r="S156" i="143"/>
  <c r="R156" i="143"/>
  <c r="P156" i="143"/>
  <c r="O156" i="143"/>
  <c r="J156" i="143"/>
  <c r="Y155" i="143"/>
  <c r="W155" i="143"/>
  <c r="T155" i="143"/>
  <c r="S155" i="143"/>
  <c r="R155" i="143"/>
  <c r="P155" i="143"/>
  <c r="O155" i="143"/>
  <c r="J155" i="143"/>
  <c r="G155" i="143"/>
  <c r="G122" i="143"/>
  <c r="G119" i="143"/>
  <c r="Y118" i="143"/>
  <c r="W118" i="143"/>
  <c r="T118" i="143"/>
  <c r="S118" i="143"/>
  <c r="R118" i="143"/>
  <c r="P118" i="143"/>
  <c r="O118" i="143"/>
  <c r="J118" i="143"/>
  <c r="G118" i="143"/>
  <c r="Y117" i="143"/>
  <c r="W117" i="143"/>
  <c r="T117" i="143"/>
  <c r="S117" i="143"/>
  <c r="R117" i="143"/>
  <c r="P117" i="143"/>
  <c r="O117" i="143"/>
  <c r="J117" i="143"/>
  <c r="G117" i="143"/>
  <c r="Y116" i="143"/>
  <c r="W116" i="143"/>
  <c r="T116" i="143"/>
  <c r="S116" i="143"/>
  <c r="R116" i="143"/>
  <c r="P116" i="143"/>
  <c r="O116" i="143"/>
  <c r="J116" i="143"/>
  <c r="Y115" i="143"/>
  <c r="W115" i="143"/>
  <c r="T115" i="143"/>
  <c r="S115" i="143"/>
  <c r="R115" i="143"/>
  <c r="P115" i="143"/>
  <c r="O115" i="143"/>
  <c r="J115" i="143"/>
  <c r="G115" i="143"/>
  <c r="J545" i="46"/>
  <c r="J546" i="46"/>
  <c r="J547" i="46"/>
  <c r="J548" i="46"/>
  <c r="AQ544" i="46"/>
  <c r="J544" i="46" s="1"/>
  <c r="AP544" i="46"/>
  <c r="H544" i="46" s="1"/>
  <c r="AO544" i="46"/>
  <c r="F544" i="46" s="1"/>
  <c r="B544" i="46"/>
  <c r="AQ543" i="46"/>
  <c r="J543" i="46" s="1"/>
  <c r="AP543" i="46"/>
  <c r="H543" i="46" s="1"/>
  <c r="AO543" i="46"/>
  <c r="F543" i="46" s="1"/>
  <c r="B543" i="46"/>
  <c r="AQ539" i="46"/>
  <c r="J539" i="46" s="1"/>
  <c r="AP539" i="46"/>
  <c r="H539" i="46" s="1"/>
  <c r="AO539" i="46"/>
  <c r="F539" i="46" s="1"/>
  <c r="B539" i="46"/>
  <c r="AQ538" i="46"/>
  <c r="J538" i="46" s="1"/>
  <c r="AP538" i="46"/>
  <c r="H538" i="46" s="1"/>
  <c r="AO538" i="46"/>
  <c r="F538" i="46" s="1"/>
  <c r="B538" i="46"/>
  <c r="AQ537" i="46"/>
  <c r="J537" i="46" s="1"/>
  <c r="AP537" i="46"/>
  <c r="H537" i="46" s="1"/>
  <c r="AO537" i="46"/>
  <c r="F537" i="46" s="1"/>
  <c r="B537" i="46"/>
  <c r="AQ536" i="46"/>
  <c r="J536" i="46" s="1"/>
  <c r="AP536" i="46"/>
  <c r="H536" i="46" s="1"/>
  <c r="AO536" i="46"/>
  <c r="F536" i="46" s="1"/>
  <c r="B536" i="46"/>
  <c r="AQ535" i="46"/>
  <c r="J535" i="46" s="1"/>
  <c r="AP535" i="46"/>
  <c r="H535" i="46" s="1"/>
  <c r="AO535" i="46"/>
  <c r="F535" i="46" s="1"/>
  <c r="B535" i="46"/>
  <c r="AQ534" i="46"/>
  <c r="J534" i="46" s="1"/>
  <c r="AP534" i="46"/>
  <c r="H534" i="46" s="1"/>
  <c r="AO534" i="46"/>
  <c r="F534" i="46" s="1"/>
  <c r="B534" i="46"/>
  <c r="AQ533" i="46"/>
  <c r="J533" i="46" s="1"/>
  <c r="AP533" i="46"/>
  <c r="H533" i="46" s="1"/>
  <c r="AO533" i="46"/>
  <c r="F533" i="46" s="1"/>
  <c r="B533" i="46"/>
  <c r="AQ532" i="46"/>
  <c r="J532" i="46" s="1"/>
  <c r="B532" i="46"/>
  <c r="AQ531" i="46"/>
  <c r="J531" i="46" s="1"/>
  <c r="B531" i="46"/>
  <c r="AQ530" i="46"/>
  <c r="J530" i="46" s="1"/>
  <c r="B530" i="46"/>
  <c r="Y103" i="143"/>
  <c r="W103" i="143"/>
  <c r="T103" i="143"/>
  <c r="S103" i="143"/>
  <c r="R103" i="143"/>
  <c r="P103" i="143"/>
  <c r="O103" i="143"/>
  <c r="J103" i="143"/>
  <c r="G103" i="143"/>
  <c r="G104" i="143"/>
  <c r="G102" i="143"/>
  <c r="G101" i="143"/>
  <c r="Y98" i="143"/>
  <c r="W98" i="143"/>
  <c r="T98" i="143"/>
  <c r="S98" i="143"/>
  <c r="R98" i="143"/>
  <c r="P98" i="143"/>
  <c r="O98" i="143"/>
  <c r="J98" i="143"/>
  <c r="Y96" i="143"/>
  <c r="W96" i="143"/>
  <c r="T96" i="143"/>
  <c r="S96" i="143"/>
  <c r="R96" i="143"/>
  <c r="P96" i="143"/>
  <c r="O96" i="143"/>
  <c r="J96" i="143"/>
  <c r="G96" i="143"/>
  <c r="Y95" i="143"/>
  <c r="W95" i="143"/>
  <c r="T95" i="143"/>
  <c r="S95" i="143"/>
  <c r="R95" i="143"/>
  <c r="P95" i="143"/>
  <c r="O95" i="143"/>
  <c r="J95" i="143"/>
  <c r="Y94" i="143"/>
  <c r="W94" i="143"/>
  <c r="T94" i="143"/>
  <c r="S94" i="143"/>
  <c r="R94" i="143"/>
  <c r="P94" i="143"/>
  <c r="O94" i="143"/>
  <c r="J94" i="143"/>
  <c r="G94" i="143"/>
  <c r="Y93" i="143"/>
  <c r="W93" i="143"/>
  <c r="T93" i="143"/>
  <c r="S93" i="143"/>
  <c r="R93" i="143"/>
  <c r="P93" i="143"/>
  <c r="O93" i="143"/>
  <c r="J93" i="143"/>
  <c r="G93" i="143"/>
  <c r="Y92" i="143"/>
  <c r="W92" i="143"/>
  <c r="T92" i="143"/>
  <c r="S92" i="143"/>
  <c r="R92" i="143"/>
  <c r="P92" i="143"/>
  <c r="O92" i="143"/>
  <c r="J92" i="143"/>
  <c r="Y242" i="143"/>
  <c r="W242" i="143"/>
  <c r="T242" i="143"/>
  <c r="S242" i="143"/>
  <c r="R242" i="143"/>
  <c r="P242" i="143"/>
  <c r="O242" i="143"/>
  <c r="J242" i="143"/>
  <c r="G69" i="143"/>
  <c r="Y241" i="143"/>
  <c r="W241" i="143"/>
  <c r="T241" i="143"/>
  <c r="S241" i="143"/>
  <c r="R241" i="143"/>
  <c r="P241" i="143"/>
  <c r="O241" i="143"/>
  <c r="J241" i="143"/>
  <c r="Y236" i="143"/>
  <c r="W236" i="143"/>
  <c r="T236" i="143"/>
  <c r="S236" i="143"/>
  <c r="R236" i="143"/>
  <c r="P236" i="143"/>
  <c r="O236" i="143"/>
  <c r="J236" i="143"/>
  <c r="Y237" i="143"/>
  <c r="W237" i="143"/>
  <c r="T237" i="143"/>
  <c r="S237" i="143"/>
  <c r="R237" i="143"/>
  <c r="P237" i="143"/>
  <c r="O237" i="143"/>
  <c r="J237" i="143"/>
  <c r="Y240" i="143"/>
  <c r="W240" i="143"/>
  <c r="T240" i="143"/>
  <c r="S240" i="143"/>
  <c r="R240" i="143"/>
  <c r="P240" i="143"/>
  <c r="O240" i="143"/>
  <c r="J240" i="143"/>
  <c r="G75" i="143"/>
  <c r="Y69" i="143"/>
  <c r="W69" i="143"/>
  <c r="T69" i="143"/>
  <c r="S69" i="143"/>
  <c r="R69" i="143"/>
  <c r="P69" i="143"/>
  <c r="O69" i="143"/>
  <c r="J69" i="143"/>
  <c r="Y60" i="143"/>
  <c r="W60" i="143"/>
  <c r="T60" i="143"/>
  <c r="S60" i="143"/>
  <c r="R60" i="143"/>
  <c r="P60" i="143"/>
  <c r="O60" i="143"/>
  <c r="J60" i="143"/>
  <c r="Y59" i="143"/>
  <c r="W59" i="143"/>
  <c r="T59" i="143"/>
  <c r="S59" i="143"/>
  <c r="R59" i="143"/>
  <c r="P59" i="143"/>
  <c r="O59" i="143"/>
  <c r="J59" i="143"/>
  <c r="Y58" i="143"/>
  <c r="W58" i="143"/>
  <c r="T58" i="143"/>
  <c r="S58" i="143"/>
  <c r="R58" i="143"/>
  <c r="P58" i="143"/>
  <c r="O58" i="143"/>
  <c r="J58" i="143"/>
  <c r="Y57" i="143"/>
  <c r="W57" i="143"/>
  <c r="T57" i="143"/>
  <c r="S57" i="143"/>
  <c r="R57" i="143"/>
  <c r="P57" i="143"/>
  <c r="O57" i="143"/>
  <c r="J57" i="143"/>
  <c r="Y56" i="143"/>
  <c r="W56" i="143"/>
  <c r="T56" i="143"/>
  <c r="S56" i="143"/>
  <c r="R56" i="143"/>
  <c r="P56" i="143"/>
  <c r="O56" i="143"/>
  <c r="J56" i="143"/>
  <c r="G56" i="143"/>
  <c r="G57" i="143"/>
  <c r="G74" i="143"/>
  <c r="G73" i="143"/>
  <c r="G72" i="143"/>
  <c r="G59" i="143"/>
  <c r="Y218" i="143"/>
  <c r="W218" i="143"/>
  <c r="T218" i="143"/>
  <c r="S218" i="143"/>
  <c r="R218" i="143"/>
  <c r="P218" i="143"/>
  <c r="O218" i="143"/>
  <c r="K218" i="143"/>
  <c r="L218" i="143" s="1"/>
  <c r="Y217" i="143"/>
  <c r="W217" i="143"/>
  <c r="T217" i="143"/>
  <c r="S217" i="143"/>
  <c r="R217" i="143"/>
  <c r="P217" i="143"/>
  <c r="O217" i="143"/>
  <c r="J217" i="143"/>
  <c r="Y216" i="143"/>
  <c r="W216" i="143"/>
  <c r="T216" i="143"/>
  <c r="S216" i="143"/>
  <c r="R216" i="143"/>
  <c r="P216" i="143"/>
  <c r="O216" i="143"/>
  <c r="J216" i="143"/>
  <c r="Y215" i="143"/>
  <c r="W215" i="143"/>
  <c r="T215" i="143"/>
  <c r="S215" i="143"/>
  <c r="R215" i="143"/>
  <c r="P215" i="143"/>
  <c r="O215" i="143"/>
  <c r="J215" i="143"/>
  <c r="Y214" i="143"/>
  <c r="W214" i="143"/>
  <c r="T214" i="143"/>
  <c r="S214" i="143"/>
  <c r="R214" i="143"/>
  <c r="P214" i="143"/>
  <c r="O214" i="143"/>
  <c r="J214" i="143"/>
  <c r="Y213" i="143"/>
  <c r="W213" i="143"/>
  <c r="T213" i="143"/>
  <c r="S213" i="143"/>
  <c r="R213" i="143"/>
  <c r="P213" i="143"/>
  <c r="O213" i="143"/>
  <c r="J213" i="143"/>
  <c r="Y212" i="143"/>
  <c r="W212" i="143"/>
  <c r="T212" i="143"/>
  <c r="S212" i="143"/>
  <c r="R212" i="143"/>
  <c r="P212" i="143"/>
  <c r="O212" i="143"/>
  <c r="J212" i="143"/>
  <c r="Y211" i="143"/>
  <c r="W211" i="143"/>
  <c r="T211" i="143"/>
  <c r="S211" i="143"/>
  <c r="R211" i="143"/>
  <c r="P211" i="143"/>
  <c r="O211" i="143"/>
  <c r="K211" i="143"/>
  <c r="L211" i="143" s="1"/>
  <c r="Y220" i="143"/>
  <c r="W220" i="143"/>
  <c r="T220" i="143"/>
  <c r="S220" i="143"/>
  <c r="R220" i="143"/>
  <c r="P220" i="143"/>
  <c r="O220" i="143"/>
  <c r="J220" i="143"/>
  <c r="Y222" i="143"/>
  <c r="W222" i="143"/>
  <c r="T222" i="143"/>
  <c r="S222" i="143"/>
  <c r="R222" i="143"/>
  <c r="P222" i="143"/>
  <c r="O222" i="143"/>
  <c r="J222" i="143"/>
  <c r="Y221" i="143"/>
  <c r="W221" i="143"/>
  <c r="T221" i="143"/>
  <c r="S221" i="143"/>
  <c r="R221" i="143"/>
  <c r="P221" i="143"/>
  <c r="O221" i="143"/>
  <c r="J221" i="143"/>
  <c r="Y219" i="143"/>
  <c r="W219" i="143"/>
  <c r="T219" i="143"/>
  <c r="S219" i="143"/>
  <c r="R219" i="143"/>
  <c r="P219" i="143"/>
  <c r="O219" i="143"/>
  <c r="J219" i="143"/>
  <c r="K222" i="143"/>
  <c r="L222" i="143" s="1"/>
  <c r="G220" i="143"/>
  <c r="K220" i="143" s="1"/>
  <c r="L220" i="143" s="1"/>
  <c r="G219" i="143"/>
  <c r="K219" i="143" s="1"/>
  <c r="L219" i="143" s="1"/>
  <c r="Y238" i="143"/>
  <c r="W238" i="143"/>
  <c r="T238" i="143"/>
  <c r="S238" i="143"/>
  <c r="R238" i="143"/>
  <c r="P238" i="143"/>
  <c r="O238" i="143"/>
  <c r="J238" i="143"/>
  <c r="Y227" i="143"/>
  <c r="W227" i="143"/>
  <c r="T227" i="143"/>
  <c r="S227" i="143"/>
  <c r="R227" i="143"/>
  <c r="P227" i="143"/>
  <c r="O227" i="143"/>
  <c r="J227" i="143"/>
  <c r="G205" i="143"/>
  <c r="Y205" i="143"/>
  <c r="W205" i="143"/>
  <c r="T205" i="143"/>
  <c r="S205" i="143"/>
  <c r="R205" i="143"/>
  <c r="P205" i="143"/>
  <c r="O205" i="143"/>
  <c r="J205" i="143"/>
  <c r="Y204" i="143"/>
  <c r="W204" i="143"/>
  <c r="T204" i="143"/>
  <c r="S204" i="143"/>
  <c r="R204" i="143"/>
  <c r="P204" i="143"/>
  <c r="O204" i="143"/>
  <c r="J204" i="143"/>
  <c r="Y166" i="143"/>
  <c r="W166" i="143"/>
  <c r="T166" i="143"/>
  <c r="S166" i="143"/>
  <c r="R166" i="143"/>
  <c r="P166" i="143"/>
  <c r="O166" i="143"/>
  <c r="J166" i="143"/>
  <c r="Y70" i="143"/>
  <c r="W70" i="143"/>
  <c r="T70" i="143"/>
  <c r="S70" i="143"/>
  <c r="R70" i="143"/>
  <c r="P70" i="143"/>
  <c r="O70" i="143"/>
  <c r="J70" i="143"/>
  <c r="O4" i="148"/>
  <c r="B5" i="46"/>
  <c r="D5" i="46"/>
  <c r="N5" i="46"/>
  <c r="Q5" i="46"/>
  <c r="R5" i="46"/>
  <c r="AJ5" i="46"/>
  <c r="AK5" i="46"/>
  <c r="AR5" i="46"/>
  <c r="AS5" i="46"/>
  <c r="AT5" i="46"/>
  <c r="B6" i="46"/>
  <c r="D6" i="46"/>
  <c r="N6" i="46"/>
  <c r="Q6" i="46"/>
  <c r="R6" i="46"/>
  <c r="AJ6" i="46"/>
  <c r="AK6" i="46"/>
  <c r="AR6" i="46"/>
  <c r="AS6" i="46"/>
  <c r="AT6" i="46"/>
  <c r="B7" i="46"/>
  <c r="D7" i="46"/>
  <c r="N7" i="46"/>
  <c r="Q7" i="46"/>
  <c r="R7" i="46"/>
  <c r="AJ7" i="46"/>
  <c r="AK7" i="46"/>
  <c r="AR7" i="46"/>
  <c r="AS7" i="46"/>
  <c r="AT7" i="46"/>
  <c r="W727" i="148"/>
  <c r="W720" i="148"/>
  <c r="W713" i="148"/>
  <c r="C753" i="148"/>
  <c r="C752" i="148"/>
  <c r="C746" i="148"/>
  <c r="C745" i="148"/>
  <c r="C739" i="148"/>
  <c r="C738" i="148"/>
  <c r="W789" i="148"/>
  <c r="W764" i="148"/>
  <c r="W689" i="148"/>
  <c r="W538" i="148"/>
  <c r="C314" i="148"/>
  <c r="C313" i="148"/>
  <c r="W289" i="148"/>
  <c r="W288" i="148"/>
  <c r="C289" i="148"/>
  <c r="C288" i="148"/>
  <c r="W264" i="148"/>
  <c r="W263" i="148"/>
  <c r="W214" i="148"/>
  <c r="W213" i="148"/>
  <c r="C189" i="148"/>
  <c r="C188" i="148"/>
  <c r="C339" i="148"/>
  <c r="C338" i="148"/>
  <c r="R18" i="148"/>
  <c r="J18" i="148"/>
  <c r="H20" i="148"/>
  <c r="Q16" i="148"/>
  <c r="O16" i="148"/>
  <c r="L6" i="148"/>
  <c r="L4" i="148"/>
  <c r="W740" i="148"/>
  <c r="C640" i="148"/>
  <c r="W515" i="148"/>
  <c r="C515" i="148"/>
  <c r="W490" i="148"/>
  <c r="C490" i="148"/>
  <c r="W465" i="148"/>
  <c r="W315" i="148"/>
  <c r="W165" i="148"/>
  <c r="C165" i="148"/>
  <c r="W140" i="148"/>
  <c r="C140" i="148"/>
  <c r="W115" i="148"/>
  <c r="C115" i="148"/>
  <c r="W90" i="148"/>
  <c r="C90" i="148"/>
  <c r="M62" i="148"/>
  <c r="E87" i="148" s="1"/>
  <c r="M87" i="148" s="1"/>
  <c r="E112" i="148" s="1"/>
  <c r="M112" i="148" s="1"/>
  <c r="E137" i="148" s="1"/>
  <c r="M137" i="148" s="1"/>
  <c r="E162" i="148" s="1"/>
  <c r="M162" i="148" s="1"/>
  <c r="E187" i="148" s="1"/>
  <c r="M187" i="148" s="1"/>
  <c r="E212" i="148" s="1"/>
  <c r="M212" i="148" s="1"/>
  <c r="E237" i="148" s="1"/>
  <c r="M237" i="148" s="1"/>
  <c r="E262" i="148" s="1"/>
  <c r="M262" i="148" s="1"/>
  <c r="E287" i="148" s="1"/>
  <c r="M287" i="148" s="1"/>
  <c r="E312" i="148" s="1"/>
  <c r="M312" i="148" s="1"/>
  <c r="E337" i="148" s="1"/>
  <c r="M337" i="148" s="1"/>
  <c r="E362" i="148" s="1"/>
  <c r="M362" i="148" s="1"/>
  <c r="E387" i="148" s="1"/>
  <c r="M387" i="148" s="1"/>
  <c r="E412" i="148" s="1"/>
  <c r="M412" i="148" s="1"/>
  <c r="E437" i="148" s="1"/>
  <c r="M437" i="148" s="1"/>
  <c r="E462" i="148" s="1"/>
  <c r="M462" i="148" s="1"/>
  <c r="E487" i="148" s="1"/>
  <c r="M487" i="148" s="1"/>
  <c r="E512" i="148" s="1"/>
  <c r="M512" i="148" s="1"/>
  <c r="E537" i="148" s="1"/>
  <c r="M537" i="148" s="1"/>
  <c r="D470" i="109"/>
  <c r="AO470" i="46" s="1"/>
  <c r="F470" i="46" s="1"/>
  <c r="G87" i="60"/>
  <c r="J74" i="126" s="1"/>
  <c r="G74" i="126" s="1"/>
  <c r="D687" i="46" s="1"/>
  <c r="BF687" i="46" s="1"/>
  <c r="A2" i="147"/>
  <c r="AJ132" i="147"/>
  <c r="AJ131" i="147"/>
  <c r="AJ130" i="147"/>
  <c r="AJ129" i="147"/>
  <c r="AJ128" i="147"/>
  <c r="AJ127" i="147"/>
  <c r="AH126" i="147"/>
  <c r="AJ126" i="147" s="1"/>
  <c r="AJ124" i="147"/>
  <c r="AJ123" i="147"/>
  <c r="AJ122" i="147"/>
  <c r="J105" i="147"/>
  <c r="AK102" i="147"/>
  <c r="J79" i="147"/>
  <c r="AK77" i="147"/>
  <c r="J65" i="147"/>
  <c r="J62" i="147"/>
  <c r="J59" i="147"/>
  <c r="AK58" i="147"/>
  <c r="AK55" i="147"/>
  <c r="AW52" i="147"/>
  <c r="AY50" i="147"/>
  <c r="M50" i="147"/>
  <c r="AZ49" i="147"/>
  <c r="AY44" i="147"/>
  <c r="AW44" i="147"/>
  <c r="AU44" i="147"/>
  <c r="AY40" i="147"/>
  <c r="AW40" i="147"/>
  <c r="AU40" i="147"/>
  <c r="T40" i="147"/>
  <c r="R40" i="147"/>
  <c r="AY39" i="147"/>
  <c r="AW39" i="147"/>
  <c r="AU39" i="147"/>
  <c r="AY38" i="147"/>
  <c r="AW38" i="147"/>
  <c r="AU38" i="147"/>
  <c r="AY37" i="147"/>
  <c r="AW37" i="147"/>
  <c r="AU37" i="147"/>
  <c r="AL70" i="147" s="1"/>
  <c r="AK70" i="147" s="1"/>
  <c r="AY36" i="147"/>
  <c r="AW36" i="147"/>
  <c r="AU36" i="147"/>
  <c r="AU42" i="147" s="1"/>
  <c r="R16" i="147"/>
  <c r="L23" i="147"/>
  <c r="U18" i="147"/>
  <c r="H35" i="147"/>
  <c r="D471" i="109"/>
  <c r="AO471" i="46" s="1"/>
  <c r="F471" i="46" s="1"/>
  <c r="G46" i="60"/>
  <c r="O89" i="60"/>
  <c r="E178" i="60"/>
  <c r="E177" i="60"/>
  <c r="E176" i="60"/>
  <c r="E172" i="60"/>
  <c r="D285" i="120" s="1"/>
  <c r="E169" i="60"/>
  <c r="E168" i="60"/>
  <c r="C13" i="137"/>
  <c r="N24" i="137"/>
  <c r="N28" i="137" s="1"/>
  <c r="M24" i="137"/>
  <c r="M28" i="137" s="1"/>
  <c r="N22" i="137"/>
  <c r="M22" i="137"/>
  <c r="N21" i="137"/>
  <c r="M21" i="137"/>
  <c r="E24" i="137"/>
  <c r="E28" i="137" s="1"/>
  <c r="F24" i="137"/>
  <c r="F28" i="137" s="1"/>
  <c r="G24" i="137"/>
  <c r="G28" i="137" s="1"/>
  <c r="H24" i="137"/>
  <c r="H28" i="137" s="1"/>
  <c r="I24" i="137"/>
  <c r="I28" i="137" s="1"/>
  <c r="J24" i="137"/>
  <c r="J28" i="137" s="1"/>
  <c r="K24" i="137"/>
  <c r="K28" i="137" s="1"/>
  <c r="L24" i="137"/>
  <c r="L28" i="137" s="1"/>
  <c r="K21" i="137"/>
  <c r="L21" i="137"/>
  <c r="K22" i="137"/>
  <c r="L22" i="137"/>
  <c r="J22" i="137"/>
  <c r="I22" i="137"/>
  <c r="J21" i="137"/>
  <c r="I21" i="137"/>
  <c r="F22" i="137"/>
  <c r="E22" i="137"/>
  <c r="F21" i="137"/>
  <c r="E21" i="137"/>
  <c r="C2" i="137"/>
  <c r="G143" i="60"/>
  <c r="G142" i="60"/>
  <c r="D101" i="109" s="1"/>
  <c r="G26" i="60"/>
  <c r="H123" i="109"/>
  <c r="J123" i="109" s="1"/>
  <c r="H122" i="109"/>
  <c r="J122" i="109" s="1"/>
  <c r="H121" i="109"/>
  <c r="J121" i="109" s="1"/>
  <c r="H120" i="109"/>
  <c r="J120" i="109" s="1"/>
  <c r="H102" i="109"/>
  <c r="J102" i="109" s="1"/>
  <c r="E8" i="145"/>
  <c r="B8" i="145"/>
  <c r="B6" i="145"/>
  <c r="E4" i="145"/>
  <c r="B4" i="145"/>
  <c r="B1" i="145"/>
  <c r="I52" i="122"/>
  <c r="I54" i="122"/>
  <c r="I53" i="122"/>
  <c r="AD148" i="109"/>
  <c r="J71" i="125"/>
  <c r="J72" i="125"/>
  <c r="E164" i="60"/>
  <c r="H231" i="109"/>
  <c r="J231" i="109" s="1"/>
  <c r="H234" i="109"/>
  <c r="J234" i="109" s="1"/>
  <c r="H233" i="109"/>
  <c r="J233" i="109" s="1"/>
  <c r="H236" i="109"/>
  <c r="J236" i="109" s="1"/>
  <c r="H235" i="109"/>
  <c r="J235" i="109" s="1"/>
  <c r="H230" i="109"/>
  <c r="J230" i="109" s="1"/>
  <c r="F156" i="60"/>
  <c r="F155" i="60"/>
  <c r="G97" i="125"/>
  <c r="G98" i="125"/>
  <c r="G99" i="125"/>
  <c r="G100" i="125"/>
  <c r="G101" i="125"/>
  <c r="G96" i="125"/>
  <c r="C97" i="125"/>
  <c r="C98" i="125"/>
  <c r="C99" i="125"/>
  <c r="C100" i="125"/>
  <c r="C101" i="125"/>
  <c r="C96" i="125"/>
  <c r="I60" i="56"/>
  <c r="I61" i="56"/>
  <c r="I62" i="56"/>
  <c r="I63" i="56"/>
  <c r="I64" i="56"/>
  <c r="I65" i="56"/>
  <c r="I59" i="56"/>
  <c r="H59" i="56"/>
  <c r="F60" i="56"/>
  <c r="F61" i="56"/>
  <c r="F62" i="56"/>
  <c r="F63" i="56"/>
  <c r="F64" i="56"/>
  <c r="F65" i="56"/>
  <c r="F59" i="56"/>
  <c r="B60" i="56"/>
  <c r="B61" i="56"/>
  <c r="B62" i="56"/>
  <c r="B63" i="56"/>
  <c r="B64" i="56"/>
  <c r="B65" i="56"/>
  <c r="B59" i="56"/>
  <c r="N165" i="109"/>
  <c r="R165" i="46" s="1"/>
  <c r="N168" i="109"/>
  <c r="R168" i="46" s="1"/>
  <c r="N167" i="109"/>
  <c r="R167" i="46" s="1"/>
  <c r="N166" i="109"/>
  <c r="R166" i="46" s="1"/>
  <c r="N170" i="109"/>
  <c r="N171" i="109"/>
  <c r="R171" i="46" s="1"/>
  <c r="N169" i="109"/>
  <c r="R169" i="46" s="1"/>
  <c r="J15" i="122"/>
  <c r="H165" i="109"/>
  <c r="J165" i="109" s="1"/>
  <c r="H164" i="109"/>
  <c r="J164" i="109" s="1"/>
  <c r="H163" i="109"/>
  <c r="J163" i="109" s="1"/>
  <c r="E158" i="60"/>
  <c r="Q9" i="146" s="1"/>
  <c r="E157" i="60"/>
  <c r="P9" i="146" s="1"/>
  <c r="AD150" i="109"/>
  <c r="H160" i="109"/>
  <c r="J160" i="109" s="1"/>
  <c r="H161" i="109"/>
  <c r="J161" i="109" s="1"/>
  <c r="AD147" i="109"/>
  <c r="AD146" i="109"/>
  <c r="F32" i="60"/>
  <c r="G9" i="146"/>
  <c r="D9" i="146"/>
  <c r="D5" i="146"/>
  <c r="G5" i="146"/>
  <c r="D2" i="146"/>
  <c r="D1" i="45"/>
  <c r="Q198" i="120"/>
  <c r="R198" i="120"/>
  <c r="Q199" i="120"/>
  <c r="R199" i="120"/>
  <c r="H224" i="109"/>
  <c r="J224" i="109" s="1"/>
  <c r="H223" i="109"/>
  <c r="J223" i="109" s="1"/>
  <c r="H42" i="109"/>
  <c r="J42" i="109" s="1"/>
  <c r="H41" i="109"/>
  <c r="J41" i="109" s="1"/>
  <c r="H32" i="109"/>
  <c r="J32" i="109" s="1"/>
  <c r="W131" i="143"/>
  <c r="U131" i="143"/>
  <c r="T131" i="143"/>
  <c r="R131" i="143"/>
  <c r="P131" i="143"/>
  <c r="O131" i="143"/>
  <c r="J131" i="143"/>
  <c r="Y130" i="143"/>
  <c r="U130" i="143"/>
  <c r="T130" i="143"/>
  <c r="R130" i="143"/>
  <c r="P130" i="143"/>
  <c r="O130" i="143"/>
  <c r="J130" i="143"/>
  <c r="Y32" i="143"/>
  <c r="W33" i="143"/>
  <c r="U33" i="143"/>
  <c r="U32" i="143"/>
  <c r="T33" i="143"/>
  <c r="T32" i="143"/>
  <c r="R33" i="143"/>
  <c r="R32" i="143"/>
  <c r="P33" i="143"/>
  <c r="P32" i="143"/>
  <c r="O33" i="143"/>
  <c r="O32" i="143"/>
  <c r="J32" i="143"/>
  <c r="J33" i="143"/>
  <c r="H101" i="109"/>
  <c r="J101" i="109" s="1"/>
  <c r="D701" i="46"/>
  <c r="BF701" i="46" s="1"/>
  <c r="B701" i="46"/>
  <c r="G153" i="60"/>
  <c r="H88" i="126" s="1"/>
  <c r="G154" i="60"/>
  <c r="H87" i="126" s="1"/>
  <c r="A87" i="126" s="1"/>
  <c r="H116" i="109"/>
  <c r="J116" i="109" s="1"/>
  <c r="H117" i="109"/>
  <c r="J117" i="109" s="1"/>
  <c r="H118" i="109"/>
  <c r="J118" i="109" s="1"/>
  <c r="H119" i="109"/>
  <c r="J119" i="109" s="1"/>
  <c r="G32" i="60"/>
  <c r="F100" i="109"/>
  <c r="AP100" i="46" s="1"/>
  <c r="H100" i="46" s="1"/>
  <c r="F99" i="109"/>
  <c r="AP99" i="46" s="1"/>
  <c r="H99" i="46" s="1"/>
  <c r="F98" i="109"/>
  <c r="F97" i="109"/>
  <c r="AP97" i="46" s="1"/>
  <c r="H97" i="46" s="1"/>
  <c r="F96" i="109"/>
  <c r="F95" i="109"/>
  <c r="O87" i="60"/>
  <c r="O86" i="60"/>
  <c r="O84" i="60"/>
  <c r="O83" i="60"/>
  <c r="H471" i="109"/>
  <c r="J471" i="109" s="1"/>
  <c r="B473" i="109"/>
  <c r="B473" i="46" s="1"/>
  <c r="Y252" i="143"/>
  <c r="Y7" i="143"/>
  <c r="Y8" i="143"/>
  <c r="Y9" i="143"/>
  <c r="Y10" i="143"/>
  <c r="Y11" i="143"/>
  <c r="Y12" i="143"/>
  <c r="Y13" i="143"/>
  <c r="Y14" i="143"/>
  <c r="Y15" i="143"/>
  <c r="Y16" i="143"/>
  <c r="Y23" i="143"/>
  <c r="Y24" i="143"/>
  <c r="Y27" i="143"/>
  <c r="Y30" i="143"/>
  <c r="Y34" i="143"/>
  <c r="Y37" i="143"/>
  <c r="Y40" i="143"/>
  <c r="Y43" i="143"/>
  <c r="Y44" i="143"/>
  <c r="Y45" i="143"/>
  <c r="Y46" i="143"/>
  <c r="Y47" i="143"/>
  <c r="Y48" i="143"/>
  <c r="Y49" i="143"/>
  <c r="Y50" i="143"/>
  <c r="Y51" i="143"/>
  <c r="Y52" i="143"/>
  <c r="Y53" i="143"/>
  <c r="Y54" i="143"/>
  <c r="Y55" i="143"/>
  <c r="Y61" i="143"/>
  <c r="Y62" i="143"/>
  <c r="Y63" i="143"/>
  <c r="Y64" i="143"/>
  <c r="Y65" i="143"/>
  <c r="Y66" i="143"/>
  <c r="Y67" i="143"/>
  <c r="Y68" i="143"/>
  <c r="Y71" i="143"/>
  <c r="Y72" i="143"/>
  <c r="Y73" i="143"/>
  <c r="Y74" i="143"/>
  <c r="Y75" i="143"/>
  <c r="Y76" i="143"/>
  <c r="Y77" i="143"/>
  <c r="Y80" i="143"/>
  <c r="Y83" i="143"/>
  <c r="Y85" i="143"/>
  <c r="Y86" i="143"/>
  <c r="Y87" i="143"/>
  <c r="Y88" i="143"/>
  <c r="Y89" i="143"/>
  <c r="Y90" i="143"/>
  <c r="Y91" i="143"/>
  <c r="Y97" i="143"/>
  <c r="Y99" i="143"/>
  <c r="Y100" i="143"/>
  <c r="Y101" i="143"/>
  <c r="Y102" i="143"/>
  <c r="Y104" i="143"/>
  <c r="Y105" i="143"/>
  <c r="Y106" i="143"/>
  <c r="Y108" i="143"/>
  <c r="Y110" i="143"/>
  <c r="Y111" i="143"/>
  <c r="Y112" i="143"/>
  <c r="Y113" i="143"/>
  <c r="Y114" i="143"/>
  <c r="Y119" i="143"/>
  <c r="Y120" i="143"/>
  <c r="Y121" i="143"/>
  <c r="Y122" i="143"/>
  <c r="Y123" i="143"/>
  <c r="Y124" i="143"/>
  <c r="Y126" i="143"/>
  <c r="Y128" i="143"/>
  <c r="Y132" i="143"/>
  <c r="Y135" i="143"/>
  <c r="Y138" i="143"/>
  <c r="Y141" i="143"/>
  <c r="Y142" i="143"/>
  <c r="Y143" i="143"/>
  <c r="Y144" i="143"/>
  <c r="Y145" i="143"/>
  <c r="Y146" i="143"/>
  <c r="Y147" i="143"/>
  <c r="Y148" i="143"/>
  <c r="Y149" i="143"/>
  <c r="Y150" i="143"/>
  <c r="Y151" i="143"/>
  <c r="Y152" i="143"/>
  <c r="Y153" i="143"/>
  <c r="Y154" i="143"/>
  <c r="Y159" i="143"/>
  <c r="Y160" i="143"/>
  <c r="Y161" i="143"/>
  <c r="Y162" i="143"/>
  <c r="Y163" i="143"/>
  <c r="Y164" i="143"/>
  <c r="Y165" i="143"/>
  <c r="Y167" i="143"/>
  <c r="Y168" i="143"/>
  <c r="Y169" i="143"/>
  <c r="Y170" i="143"/>
  <c r="Y171" i="143"/>
  <c r="Y172" i="143"/>
  <c r="Y173" i="143"/>
  <c r="Y176" i="143"/>
  <c r="Y179" i="143"/>
  <c r="Y181" i="143"/>
  <c r="Y182" i="143"/>
  <c r="Y184" i="143"/>
  <c r="Y185" i="143"/>
  <c r="Y186" i="143"/>
  <c r="Y187" i="143"/>
  <c r="Y188" i="143"/>
  <c r="Y189" i="143"/>
  <c r="Y190" i="143"/>
  <c r="Y191" i="143"/>
  <c r="Y192" i="143"/>
  <c r="Y193" i="143"/>
  <c r="Y196" i="143"/>
  <c r="Y199" i="143"/>
  <c r="Y200" i="143"/>
  <c r="Y201" i="143"/>
  <c r="Y202" i="143"/>
  <c r="Y203" i="143"/>
  <c r="Y206" i="143"/>
  <c r="Y207" i="143"/>
  <c r="Y208" i="143"/>
  <c r="Y209" i="143"/>
  <c r="Y210" i="143"/>
  <c r="Y223" i="143"/>
  <c r="Y224" i="143"/>
  <c r="Y225" i="143"/>
  <c r="Y226" i="143"/>
  <c r="Y228" i="143"/>
  <c r="Y229" i="143"/>
  <c r="Y230" i="143"/>
  <c r="Y231" i="143"/>
  <c r="Y232" i="143"/>
  <c r="Y234" i="143"/>
  <c r="Y235" i="143"/>
  <c r="Y239" i="143"/>
  <c r="Y243" i="143"/>
  <c r="Y244" i="143"/>
  <c r="Y245" i="143"/>
  <c r="Y246" i="143"/>
  <c r="Y247" i="143"/>
  <c r="Y248" i="143"/>
  <c r="Y249" i="143"/>
  <c r="W25" i="143"/>
  <c r="W26" i="143"/>
  <c r="W28" i="143"/>
  <c r="W29" i="143"/>
  <c r="W31" i="143"/>
  <c r="W35" i="143"/>
  <c r="W36" i="143"/>
  <c r="W38" i="143"/>
  <c r="W39" i="143"/>
  <c r="W41" i="143"/>
  <c r="W42" i="143"/>
  <c r="W43" i="143"/>
  <c r="W44" i="143"/>
  <c r="W45" i="143"/>
  <c r="W46" i="143"/>
  <c r="W47" i="143"/>
  <c r="W48" i="143"/>
  <c r="W49" i="143"/>
  <c r="W50" i="143"/>
  <c r="W51" i="143"/>
  <c r="W52" i="143"/>
  <c r="W53" i="143"/>
  <c r="W54" i="143"/>
  <c r="W55" i="143"/>
  <c r="W61" i="143"/>
  <c r="W62" i="143"/>
  <c r="W63" i="143"/>
  <c r="W64" i="143"/>
  <c r="W65" i="143"/>
  <c r="W66" i="143"/>
  <c r="W67" i="143"/>
  <c r="W68" i="143"/>
  <c r="W71" i="143"/>
  <c r="W72" i="143"/>
  <c r="W73" i="143"/>
  <c r="W74" i="143"/>
  <c r="W75" i="143"/>
  <c r="W76" i="143"/>
  <c r="W78" i="143"/>
  <c r="W79" i="143"/>
  <c r="W81" i="143"/>
  <c r="W82" i="143"/>
  <c r="W84" i="143"/>
  <c r="W85" i="143"/>
  <c r="W86" i="143"/>
  <c r="W87" i="143"/>
  <c r="W88" i="143"/>
  <c r="W89" i="143"/>
  <c r="W90" i="143"/>
  <c r="W91" i="143"/>
  <c r="W97" i="143"/>
  <c r="W99" i="143"/>
  <c r="W100" i="143"/>
  <c r="W101" i="143"/>
  <c r="W102" i="143"/>
  <c r="W104" i="143"/>
  <c r="W105" i="143"/>
  <c r="W107" i="143"/>
  <c r="W109" i="143"/>
  <c r="W110" i="143"/>
  <c r="W111" i="143"/>
  <c r="W112" i="143"/>
  <c r="W113" i="143"/>
  <c r="W114" i="143"/>
  <c r="W119" i="143"/>
  <c r="W120" i="143"/>
  <c r="W121" i="143"/>
  <c r="W122" i="143"/>
  <c r="W123" i="143"/>
  <c r="W125" i="143"/>
  <c r="W127" i="143"/>
  <c r="W129" i="143"/>
  <c r="W133" i="143"/>
  <c r="W134" i="143"/>
  <c r="W136" i="143"/>
  <c r="W137" i="143"/>
  <c r="W139" i="143"/>
  <c r="W140" i="143"/>
  <c r="W141" i="143"/>
  <c r="W142" i="143"/>
  <c r="W143" i="143"/>
  <c r="W144" i="143"/>
  <c r="W145" i="143"/>
  <c r="W146" i="143"/>
  <c r="W147" i="143"/>
  <c r="W148" i="143"/>
  <c r="W149" i="143"/>
  <c r="W150" i="143"/>
  <c r="W151" i="143"/>
  <c r="W152" i="143"/>
  <c r="W153" i="143"/>
  <c r="W154" i="143"/>
  <c r="W159" i="143"/>
  <c r="W160" i="143"/>
  <c r="W161" i="143"/>
  <c r="W162" i="143"/>
  <c r="W163" i="143"/>
  <c r="W164" i="143"/>
  <c r="W165" i="143"/>
  <c r="W167" i="143"/>
  <c r="W168" i="143"/>
  <c r="W169" i="143"/>
  <c r="W170" i="143"/>
  <c r="W171" i="143"/>
  <c r="W172" i="143"/>
  <c r="W174" i="143"/>
  <c r="W175" i="143"/>
  <c r="W177" i="143"/>
  <c r="W178" i="143"/>
  <c r="W180" i="143"/>
  <c r="W181" i="143"/>
  <c r="W183" i="143"/>
  <c r="W184" i="143"/>
  <c r="W185" i="143"/>
  <c r="W186" i="143"/>
  <c r="W187" i="143"/>
  <c r="W188" i="143"/>
  <c r="W189" i="143"/>
  <c r="W190" i="143"/>
  <c r="W191" i="143"/>
  <c r="W192" i="143"/>
  <c r="W194" i="143"/>
  <c r="W195" i="143"/>
  <c r="W197" i="143"/>
  <c r="W198" i="143"/>
  <c r="W199" i="143"/>
  <c r="W200" i="143"/>
  <c r="W201" i="143"/>
  <c r="W202" i="143"/>
  <c r="W203" i="143"/>
  <c r="W206" i="143"/>
  <c r="W207" i="143"/>
  <c r="W208" i="143"/>
  <c r="W209" i="143"/>
  <c r="W210" i="143"/>
  <c r="W223" i="143"/>
  <c r="W224" i="143"/>
  <c r="W225" i="143"/>
  <c r="W226" i="143"/>
  <c r="W228" i="143"/>
  <c r="W229" i="143"/>
  <c r="W230" i="143"/>
  <c r="W231" i="143"/>
  <c r="W232" i="143"/>
  <c r="W234" i="143"/>
  <c r="W235" i="143"/>
  <c r="W239" i="143"/>
  <c r="W243" i="143"/>
  <c r="W244" i="143"/>
  <c r="W245" i="143"/>
  <c r="W246" i="143"/>
  <c r="W248" i="143"/>
  <c r="W249" i="143"/>
  <c r="W7" i="143"/>
  <c r="W8" i="143"/>
  <c r="W9" i="143"/>
  <c r="W10" i="143"/>
  <c r="W11" i="143"/>
  <c r="W12" i="143"/>
  <c r="W13" i="143"/>
  <c r="W14" i="143"/>
  <c r="W15" i="143"/>
  <c r="W16" i="143"/>
  <c r="W23" i="143"/>
  <c r="W252" i="143"/>
  <c r="F133" i="60"/>
  <c r="U244" i="143"/>
  <c r="T244" i="143"/>
  <c r="S244" i="143"/>
  <c r="R244" i="143"/>
  <c r="K244" i="143"/>
  <c r="L244" i="143" s="1"/>
  <c r="P244" i="143" s="1"/>
  <c r="J244" i="143"/>
  <c r="O244" i="143"/>
  <c r="U245" i="143"/>
  <c r="T245" i="143"/>
  <c r="S245" i="143"/>
  <c r="R245" i="143"/>
  <c r="K245" i="143"/>
  <c r="L245" i="143" s="1"/>
  <c r="O245" i="143" s="1"/>
  <c r="J245" i="143"/>
  <c r="N230" i="120"/>
  <c r="M230" i="120"/>
  <c r="F230" i="120"/>
  <c r="F229" i="120"/>
  <c r="F228" i="120"/>
  <c r="F227" i="120"/>
  <c r="F226" i="120"/>
  <c r="F225" i="120"/>
  <c r="F224" i="120"/>
  <c r="F223" i="120"/>
  <c r="F222" i="120"/>
  <c r="F221" i="120"/>
  <c r="F220" i="120"/>
  <c r="F219" i="120"/>
  <c r="F218" i="120"/>
  <c r="F217" i="120"/>
  <c r="F216" i="120"/>
  <c r="F215" i="120"/>
  <c r="F214" i="120"/>
  <c r="F213" i="120"/>
  <c r="F212" i="120"/>
  <c r="F211" i="120"/>
  <c r="F210" i="120"/>
  <c r="F209" i="120"/>
  <c r="F208" i="120"/>
  <c r="F207" i="120"/>
  <c r="F206" i="120"/>
  <c r="F205" i="120"/>
  <c r="F204" i="120"/>
  <c r="F203" i="120"/>
  <c r="F202" i="120"/>
  <c r="F201" i="120"/>
  <c r="F200" i="120"/>
  <c r="F199" i="120"/>
  <c r="F198" i="120"/>
  <c r="F197" i="120"/>
  <c r="B690" i="46"/>
  <c r="D690" i="46"/>
  <c r="BF690" i="46" s="1"/>
  <c r="F690" i="46"/>
  <c r="BG690" i="46" s="1"/>
  <c r="B691" i="46"/>
  <c r="D691" i="46"/>
  <c r="BF691" i="46" s="1"/>
  <c r="F691" i="46"/>
  <c r="BG691" i="46" s="1"/>
  <c r="K7" i="143"/>
  <c r="K16" i="143"/>
  <c r="L16" i="143" s="1"/>
  <c r="K23" i="143"/>
  <c r="K76" i="143"/>
  <c r="K105" i="143"/>
  <c r="K123" i="143"/>
  <c r="K172" i="143"/>
  <c r="K186" i="143"/>
  <c r="K187" i="143"/>
  <c r="L187" i="143" s="1"/>
  <c r="K189" i="143"/>
  <c r="K192" i="143"/>
  <c r="K207" i="143"/>
  <c r="K223" i="143"/>
  <c r="K224" i="143"/>
  <c r="K228" i="143"/>
  <c r="L228" i="143" s="1"/>
  <c r="U228" i="143" s="1"/>
  <c r="K234" i="143"/>
  <c r="K243" i="143"/>
  <c r="K247" i="143"/>
  <c r="L247" i="143" s="1"/>
  <c r="W247" i="143" s="1"/>
  <c r="K248" i="143"/>
  <c r="L248" i="143" s="1"/>
  <c r="K5" i="143"/>
  <c r="L5" i="143" s="1"/>
  <c r="H355" i="109"/>
  <c r="J355" i="109" s="1"/>
  <c r="H354" i="109"/>
  <c r="J354" i="109" s="1"/>
  <c r="H353" i="109"/>
  <c r="J353" i="109" s="1"/>
  <c r="H352" i="109"/>
  <c r="J352" i="109" s="1"/>
  <c r="H351" i="109"/>
  <c r="J351" i="109" s="1"/>
  <c r="H350" i="109"/>
  <c r="J350" i="109" s="1"/>
  <c r="H349" i="109"/>
  <c r="J349" i="109" s="1"/>
  <c r="H348" i="109"/>
  <c r="J348" i="109" s="1"/>
  <c r="H347" i="109"/>
  <c r="J347" i="109" s="1"/>
  <c r="H346" i="109"/>
  <c r="J346" i="109" s="1"/>
  <c r="H345" i="109"/>
  <c r="J345" i="109" s="1"/>
  <c r="H344" i="109"/>
  <c r="J344" i="109" s="1"/>
  <c r="H343" i="109"/>
  <c r="J343" i="109" s="1"/>
  <c r="H342" i="109"/>
  <c r="J342" i="109" s="1"/>
  <c r="H341" i="109"/>
  <c r="J341" i="109" s="1"/>
  <c r="H340" i="109"/>
  <c r="J340" i="109" s="1"/>
  <c r="H339" i="109"/>
  <c r="J339" i="109" s="1"/>
  <c r="H338" i="109"/>
  <c r="J338" i="109" s="1"/>
  <c r="H337" i="109"/>
  <c r="J337" i="109" s="1"/>
  <c r="H336" i="109"/>
  <c r="J336" i="109" s="1"/>
  <c r="H334" i="109"/>
  <c r="J334" i="109" s="1"/>
  <c r="H333" i="109"/>
  <c r="J333" i="109" s="1"/>
  <c r="H332" i="109"/>
  <c r="J332" i="109" s="1"/>
  <c r="H331" i="109"/>
  <c r="J331" i="109" s="1"/>
  <c r="H330" i="109"/>
  <c r="J330" i="109" s="1"/>
  <c r="H329" i="109"/>
  <c r="J329" i="109" s="1"/>
  <c r="H328" i="109"/>
  <c r="J328" i="109" s="1"/>
  <c r="H327" i="109"/>
  <c r="J327" i="109" s="1"/>
  <c r="H326" i="109"/>
  <c r="J326" i="109" s="1"/>
  <c r="H325" i="109"/>
  <c r="J325" i="109" s="1"/>
  <c r="H323" i="109"/>
  <c r="J323" i="109" s="1"/>
  <c r="H319" i="109"/>
  <c r="J319" i="109" s="1"/>
  <c r="H318" i="109"/>
  <c r="J318" i="109" s="1"/>
  <c r="H226" i="109"/>
  <c r="J226" i="109" s="1"/>
  <c r="J475" i="109"/>
  <c r="K475" i="109" s="1"/>
  <c r="J474" i="109"/>
  <c r="K474" i="109" s="1"/>
  <c r="Q33" i="56"/>
  <c r="Q32" i="56"/>
  <c r="Q31" i="56"/>
  <c r="Q30" i="56"/>
  <c r="Q29" i="56"/>
  <c r="Q28" i="56"/>
  <c r="Q27" i="56"/>
  <c r="Q26" i="56"/>
  <c r="R34" i="135"/>
  <c r="R33" i="135"/>
  <c r="R32" i="135"/>
  <c r="R31" i="135"/>
  <c r="R30" i="135"/>
  <c r="R29" i="135"/>
  <c r="R28" i="135"/>
  <c r="R27" i="135"/>
  <c r="H21" i="145"/>
  <c r="G21" i="145" s="1"/>
  <c r="H20" i="145"/>
  <c r="G20" i="145" s="1"/>
  <c r="H19" i="145"/>
  <c r="G19" i="145" s="1"/>
  <c r="H18" i="145"/>
  <c r="G18" i="145" s="1"/>
  <c r="H17" i="145"/>
  <c r="G17" i="145" s="1"/>
  <c r="P252" i="143"/>
  <c r="R252" i="143"/>
  <c r="S252" i="143"/>
  <c r="T252" i="143"/>
  <c r="U252" i="143"/>
  <c r="O252" i="143"/>
  <c r="O7" i="143"/>
  <c r="P7" i="143"/>
  <c r="R7" i="143"/>
  <c r="S7" i="143"/>
  <c r="T7" i="143"/>
  <c r="U7" i="143"/>
  <c r="O8" i="143"/>
  <c r="P8" i="143"/>
  <c r="R8" i="143"/>
  <c r="S8" i="143"/>
  <c r="T8" i="143"/>
  <c r="O9" i="143"/>
  <c r="P9" i="143"/>
  <c r="R9" i="143"/>
  <c r="S9" i="143"/>
  <c r="T9" i="143"/>
  <c r="O10" i="143"/>
  <c r="P10" i="143"/>
  <c r="R10" i="143"/>
  <c r="S10" i="143"/>
  <c r="T10" i="143"/>
  <c r="O11" i="143"/>
  <c r="P11" i="143"/>
  <c r="R11" i="143"/>
  <c r="S11" i="143"/>
  <c r="T11" i="143"/>
  <c r="O12" i="143"/>
  <c r="P12" i="143"/>
  <c r="R12" i="143"/>
  <c r="S12" i="143"/>
  <c r="T12" i="143"/>
  <c r="O13" i="143"/>
  <c r="P13" i="143"/>
  <c r="R13" i="143"/>
  <c r="S13" i="143"/>
  <c r="T13" i="143"/>
  <c r="O14" i="143"/>
  <c r="P14" i="143"/>
  <c r="R14" i="143"/>
  <c r="S14" i="143"/>
  <c r="T14" i="143"/>
  <c r="O15" i="143"/>
  <c r="P15" i="143"/>
  <c r="R15" i="143"/>
  <c r="S15" i="143"/>
  <c r="T15" i="143"/>
  <c r="O16" i="143"/>
  <c r="P16" i="143"/>
  <c r="R16" i="143"/>
  <c r="S16" i="143"/>
  <c r="T16" i="143"/>
  <c r="O23" i="143"/>
  <c r="P23" i="143"/>
  <c r="R23" i="143"/>
  <c r="S23" i="143"/>
  <c r="T23" i="143"/>
  <c r="U23" i="143"/>
  <c r="O24" i="143"/>
  <c r="P24" i="143"/>
  <c r="R24" i="143"/>
  <c r="T24" i="143"/>
  <c r="U24" i="143"/>
  <c r="O25" i="143"/>
  <c r="P25" i="143"/>
  <c r="R25" i="143"/>
  <c r="T25" i="143"/>
  <c r="U25" i="143"/>
  <c r="O26" i="143"/>
  <c r="P26" i="143"/>
  <c r="R26" i="143"/>
  <c r="T26" i="143"/>
  <c r="U26" i="143"/>
  <c r="O27" i="143"/>
  <c r="P27" i="143"/>
  <c r="R27" i="143"/>
  <c r="T27" i="143"/>
  <c r="U27" i="143"/>
  <c r="O28" i="143"/>
  <c r="P28" i="143"/>
  <c r="R28" i="143"/>
  <c r="T28" i="143"/>
  <c r="U28" i="143"/>
  <c r="O29" i="143"/>
  <c r="P29" i="143"/>
  <c r="R29" i="143"/>
  <c r="T29" i="143"/>
  <c r="U29" i="143"/>
  <c r="O30" i="143"/>
  <c r="P30" i="143"/>
  <c r="R30" i="143"/>
  <c r="T30" i="143"/>
  <c r="U30" i="143"/>
  <c r="O31" i="143"/>
  <c r="P31" i="143"/>
  <c r="R31" i="143"/>
  <c r="T31" i="143"/>
  <c r="U31" i="143"/>
  <c r="O34" i="143"/>
  <c r="P34" i="143"/>
  <c r="R34" i="143"/>
  <c r="T34" i="143"/>
  <c r="U34" i="143"/>
  <c r="O35" i="143"/>
  <c r="P35" i="143"/>
  <c r="R35" i="143"/>
  <c r="T35" i="143"/>
  <c r="U35" i="143"/>
  <c r="O36" i="143"/>
  <c r="P36" i="143"/>
  <c r="R36" i="143"/>
  <c r="T36" i="143"/>
  <c r="U36" i="143"/>
  <c r="O37" i="143"/>
  <c r="P37" i="143"/>
  <c r="R37" i="143"/>
  <c r="T37" i="143"/>
  <c r="U37" i="143"/>
  <c r="O38" i="143"/>
  <c r="P38" i="143"/>
  <c r="R38" i="143"/>
  <c r="T38" i="143"/>
  <c r="U38" i="143"/>
  <c r="O39" i="143"/>
  <c r="P39" i="143"/>
  <c r="R39" i="143"/>
  <c r="T39" i="143"/>
  <c r="U39" i="143"/>
  <c r="O40" i="143"/>
  <c r="P40" i="143"/>
  <c r="R40" i="143"/>
  <c r="T40" i="143"/>
  <c r="U40" i="143"/>
  <c r="O41" i="143"/>
  <c r="P41" i="143"/>
  <c r="R41" i="143"/>
  <c r="T41" i="143"/>
  <c r="U41" i="143"/>
  <c r="O42" i="143"/>
  <c r="P42" i="143"/>
  <c r="R42" i="143"/>
  <c r="T42" i="143"/>
  <c r="U42" i="143"/>
  <c r="O43" i="143"/>
  <c r="P43" i="143"/>
  <c r="R43" i="143"/>
  <c r="T43" i="143"/>
  <c r="O44" i="143"/>
  <c r="R44" i="143"/>
  <c r="S44" i="143"/>
  <c r="T44" i="143"/>
  <c r="U44" i="143"/>
  <c r="O45" i="143"/>
  <c r="R45" i="143"/>
  <c r="S45" i="143"/>
  <c r="T45" i="143"/>
  <c r="U45" i="143"/>
  <c r="O46" i="143"/>
  <c r="R46" i="143"/>
  <c r="S46" i="143"/>
  <c r="T46" i="143"/>
  <c r="U46" i="143"/>
  <c r="O47" i="143"/>
  <c r="R47" i="143"/>
  <c r="S47" i="143"/>
  <c r="T47" i="143"/>
  <c r="U47" i="143"/>
  <c r="O48" i="143"/>
  <c r="R48" i="143"/>
  <c r="S48" i="143"/>
  <c r="T48" i="143"/>
  <c r="U48" i="143"/>
  <c r="O49" i="143"/>
  <c r="P49" i="143"/>
  <c r="R49" i="143"/>
  <c r="S49" i="143"/>
  <c r="T49" i="143"/>
  <c r="O50" i="143"/>
  <c r="P50" i="143"/>
  <c r="R50" i="143"/>
  <c r="S50" i="143"/>
  <c r="T50" i="143"/>
  <c r="O51" i="143"/>
  <c r="P51" i="143"/>
  <c r="R51" i="143"/>
  <c r="S51" i="143"/>
  <c r="T51" i="143"/>
  <c r="O52" i="143"/>
  <c r="P52" i="143"/>
  <c r="R52" i="143"/>
  <c r="S52" i="143"/>
  <c r="T52" i="143"/>
  <c r="O53" i="143"/>
  <c r="P53" i="143"/>
  <c r="R53" i="143"/>
  <c r="S53" i="143"/>
  <c r="T53" i="143"/>
  <c r="O54" i="143"/>
  <c r="P54" i="143"/>
  <c r="R54" i="143"/>
  <c r="S54" i="143"/>
  <c r="T54" i="143"/>
  <c r="O55" i="143"/>
  <c r="P55" i="143"/>
  <c r="R55" i="143"/>
  <c r="S55" i="143"/>
  <c r="T55" i="143"/>
  <c r="O61" i="143"/>
  <c r="P61" i="143"/>
  <c r="R61" i="143"/>
  <c r="S61" i="143"/>
  <c r="T61" i="143"/>
  <c r="O62" i="143"/>
  <c r="P62" i="143"/>
  <c r="R62" i="143"/>
  <c r="S62" i="143"/>
  <c r="T62" i="143"/>
  <c r="O63" i="143"/>
  <c r="P63" i="143"/>
  <c r="R63" i="143"/>
  <c r="S63" i="143"/>
  <c r="T63" i="143"/>
  <c r="O64" i="143"/>
  <c r="P64" i="143"/>
  <c r="R64" i="143"/>
  <c r="S64" i="143"/>
  <c r="T64" i="143"/>
  <c r="O65" i="143"/>
  <c r="P65" i="143"/>
  <c r="R65" i="143"/>
  <c r="S65" i="143"/>
  <c r="T65" i="143"/>
  <c r="O66" i="143"/>
  <c r="P66" i="143"/>
  <c r="R66" i="143"/>
  <c r="S66" i="143"/>
  <c r="T66" i="143"/>
  <c r="O67" i="143"/>
  <c r="P67" i="143"/>
  <c r="R67" i="143"/>
  <c r="S67" i="143"/>
  <c r="T67" i="143"/>
  <c r="O68" i="143"/>
  <c r="P68" i="143"/>
  <c r="R68" i="143"/>
  <c r="S68" i="143"/>
  <c r="T68" i="143"/>
  <c r="O71" i="143"/>
  <c r="P71" i="143"/>
  <c r="R71" i="143"/>
  <c r="S71" i="143"/>
  <c r="T71" i="143"/>
  <c r="O72" i="143"/>
  <c r="P72" i="143"/>
  <c r="R72" i="143"/>
  <c r="S72" i="143"/>
  <c r="T72" i="143"/>
  <c r="O73" i="143"/>
  <c r="P73" i="143"/>
  <c r="R73" i="143"/>
  <c r="S73" i="143"/>
  <c r="T73" i="143"/>
  <c r="O74" i="143"/>
  <c r="P74" i="143"/>
  <c r="R74" i="143"/>
  <c r="S74" i="143"/>
  <c r="T74" i="143"/>
  <c r="O75" i="143"/>
  <c r="P75" i="143"/>
  <c r="R75" i="143"/>
  <c r="S75" i="143"/>
  <c r="T75" i="143"/>
  <c r="O76" i="143"/>
  <c r="P76" i="143"/>
  <c r="R76" i="143"/>
  <c r="S76" i="143"/>
  <c r="T76" i="143"/>
  <c r="U76" i="143"/>
  <c r="O77" i="143"/>
  <c r="P77" i="143"/>
  <c r="R77" i="143"/>
  <c r="T77" i="143"/>
  <c r="U77" i="143"/>
  <c r="O78" i="143"/>
  <c r="P78" i="143"/>
  <c r="R78" i="143"/>
  <c r="T78" i="143"/>
  <c r="U78" i="143"/>
  <c r="O79" i="143"/>
  <c r="P79" i="143"/>
  <c r="R79" i="143"/>
  <c r="T79" i="143"/>
  <c r="U79" i="143"/>
  <c r="O80" i="143"/>
  <c r="P80" i="143"/>
  <c r="R80" i="143"/>
  <c r="T80" i="143"/>
  <c r="U80" i="143"/>
  <c r="O81" i="143"/>
  <c r="P81" i="143"/>
  <c r="R81" i="143"/>
  <c r="T81" i="143"/>
  <c r="U81" i="143"/>
  <c r="O82" i="143"/>
  <c r="P82" i="143"/>
  <c r="R82" i="143"/>
  <c r="T82" i="143"/>
  <c r="U82" i="143"/>
  <c r="O83" i="143"/>
  <c r="P83" i="143"/>
  <c r="R83" i="143"/>
  <c r="T83" i="143"/>
  <c r="U83" i="143"/>
  <c r="O84" i="143"/>
  <c r="P84" i="143"/>
  <c r="R84" i="143"/>
  <c r="T84" i="143"/>
  <c r="U84" i="143"/>
  <c r="O85" i="143"/>
  <c r="R85" i="143"/>
  <c r="S85" i="143"/>
  <c r="T85" i="143"/>
  <c r="U85" i="143"/>
  <c r="O86" i="143"/>
  <c r="R86" i="143"/>
  <c r="S86" i="143"/>
  <c r="T86" i="143"/>
  <c r="U86" i="143"/>
  <c r="O87" i="143"/>
  <c r="R87" i="143"/>
  <c r="S87" i="143"/>
  <c r="T87" i="143"/>
  <c r="U87" i="143"/>
  <c r="O88" i="143"/>
  <c r="R88" i="143"/>
  <c r="S88" i="143"/>
  <c r="T88" i="143"/>
  <c r="U88" i="143"/>
  <c r="O89" i="143"/>
  <c r="R89" i="143"/>
  <c r="S89" i="143"/>
  <c r="T89" i="143"/>
  <c r="O90" i="143"/>
  <c r="P90" i="143"/>
  <c r="R90" i="143"/>
  <c r="S90" i="143"/>
  <c r="T90" i="143"/>
  <c r="O91" i="143"/>
  <c r="P91" i="143"/>
  <c r="R91" i="143"/>
  <c r="S91" i="143"/>
  <c r="T91" i="143"/>
  <c r="O97" i="143"/>
  <c r="P97" i="143"/>
  <c r="R97" i="143"/>
  <c r="S97" i="143"/>
  <c r="T97" i="143"/>
  <c r="O99" i="143"/>
  <c r="P99" i="143"/>
  <c r="R99" i="143"/>
  <c r="S99" i="143"/>
  <c r="T99" i="143"/>
  <c r="O100" i="143"/>
  <c r="P100" i="143"/>
  <c r="R100" i="143"/>
  <c r="S100" i="143"/>
  <c r="T100" i="143"/>
  <c r="O101" i="143"/>
  <c r="P101" i="143"/>
  <c r="R101" i="143"/>
  <c r="S101" i="143"/>
  <c r="T101" i="143"/>
  <c r="O102" i="143"/>
  <c r="P102" i="143"/>
  <c r="R102" i="143"/>
  <c r="S102" i="143"/>
  <c r="T102" i="143"/>
  <c r="O104" i="143"/>
  <c r="P104" i="143"/>
  <c r="R104" i="143"/>
  <c r="S104" i="143"/>
  <c r="T104" i="143"/>
  <c r="O105" i="143"/>
  <c r="P105" i="143"/>
  <c r="R105" i="143"/>
  <c r="S105" i="143"/>
  <c r="T105" i="143"/>
  <c r="U105" i="143"/>
  <c r="O106" i="143"/>
  <c r="P106" i="143"/>
  <c r="R106" i="143"/>
  <c r="T106" i="143"/>
  <c r="U106" i="143"/>
  <c r="O107" i="143"/>
  <c r="P107" i="143"/>
  <c r="R107" i="143"/>
  <c r="T107" i="143"/>
  <c r="U107" i="143"/>
  <c r="O108" i="143"/>
  <c r="P108" i="143"/>
  <c r="R108" i="143"/>
  <c r="T108" i="143"/>
  <c r="U108" i="143"/>
  <c r="O109" i="143"/>
  <c r="P109" i="143"/>
  <c r="R109" i="143"/>
  <c r="T109" i="143"/>
  <c r="U109" i="143"/>
  <c r="O110" i="143"/>
  <c r="R110" i="143"/>
  <c r="S110" i="143"/>
  <c r="T110" i="143"/>
  <c r="U110" i="143"/>
  <c r="O111" i="143"/>
  <c r="R111" i="143"/>
  <c r="S111" i="143"/>
  <c r="T111" i="143"/>
  <c r="U111" i="143"/>
  <c r="O112" i="143"/>
  <c r="P112" i="143"/>
  <c r="R112" i="143"/>
  <c r="S112" i="143"/>
  <c r="T112" i="143"/>
  <c r="O113" i="143"/>
  <c r="P113" i="143"/>
  <c r="R113" i="143"/>
  <c r="S113" i="143"/>
  <c r="T113" i="143"/>
  <c r="O114" i="143"/>
  <c r="P114" i="143"/>
  <c r="R114" i="143"/>
  <c r="S114" i="143"/>
  <c r="T114" i="143"/>
  <c r="O119" i="143"/>
  <c r="P119" i="143"/>
  <c r="R119" i="143"/>
  <c r="S119" i="143"/>
  <c r="T119" i="143"/>
  <c r="O120" i="143"/>
  <c r="P120" i="143"/>
  <c r="R120" i="143"/>
  <c r="S120" i="143"/>
  <c r="T120" i="143"/>
  <c r="O121" i="143"/>
  <c r="P121" i="143"/>
  <c r="R121" i="143"/>
  <c r="S121" i="143"/>
  <c r="T121" i="143"/>
  <c r="O122" i="143"/>
  <c r="P122" i="143"/>
  <c r="R122" i="143"/>
  <c r="S122" i="143"/>
  <c r="T122" i="143"/>
  <c r="O123" i="143"/>
  <c r="P123" i="143"/>
  <c r="R123" i="143"/>
  <c r="S123" i="143"/>
  <c r="T123" i="143"/>
  <c r="U123" i="143"/>
  <c r="O124" i="143"/>
  <c r="P124" i="143"/>
  <c r="R124" i="143"/>
  <c r="T124" i="143"/>
  <c r="U124" i="143"/>
  <c r="O125" i="143"/>
  <c r="P125" i="143"/>
  <c r="R125" i="143"/>
  <c r="T125" i="143"/>
  <c r="U125" i="143"/>
  <c r="O126" i="143"/>
  <c r="P126" i="143"/>
  <c r="R126" i="143"/>
  <c r="T126" i="143"/>
  <c r="U126" i="143"/>
  <c r="O127" i="143"/>
  <c r="P127" i="143"/>
  <c r="R127" i="143"/>
  <c r="T127" i="143"/>
  <c r="U127" i="143"/>
  <c r="O128" i="143"/>
  <c r="P128" i="143"/>
  <c r="R128" i="143"/>
  <c r="T128" i="143"/>
  <c r="U128" i="143"/>
  <c r="O129" i="143"/>
  <c r="P129" i="143"/>
  <c r="R129" i="143"/>
  <c r="T129" i="143"/>
  <c r="U129" i="143"/>
  <c r="O132" i="143"/>
  <c r="P132" i="143"/>
  <c r="R132" i="143"/>
  <c r="T132" i="143"/>
  <c r="U132" i="143"/>
  <c r="O133" i="143"/>
  <c r="P133" i="143"/>
  <c r="R133" i="143"/>
  <c r="T133" i="143"/>
  <c r="U133" i="143"/>
  <c r="O134" i="143"/>
  <c r="P134" i="143"/>
  <c r="R134" i="143"/>
  <c r="T134" i="143"/>
  <c r="U134" i="143"/>
  <c r="O135" i="143"/>
  <c r="P135" i="143"/>
  <c r="R135" i="143"/>
  <c r="T135" i="143"/>
  <c r="U135" i="143"/>
  <c r="O136" i="143"/>
  <c r="P136" i="143"/>
  <c r="R136" i="143"/>
  <c r="T136" i="143"/>
  <c r="U136" i="143"/>
  <c r="O137" i="143"/>
  <c r="P137" i="143"/>
  <c r="R137" i="143"/>
  <c r="T137" i="143"/>
  <c r="U137" i="143"/>
  <c r="O138" i="143"/>
  <c r="P138" i="143"/>
  <c r="R138" i="143"/>
  <c r="T138" i="143"/>
  <c r="U138" i="143"/>
  <c r="O139" i="143"/>
  <c r="P139" i="143"/>
  <c r="R139" i="143"/>
  <c r="T139" i="143"/>
  <c r="U139" i="143"/>
  <c r="O140" i="143"/>
  <c r="P140" i="143"/>
  <c r="R140" i="143"/>
  <c r="T140" i="143"/>
  <c r="U140" i="143"/>
  <c r="O141" i="143"/>
  <c r="R141" i="143"/>
  <c r="S141" i="143"/>
  <c r="T141" i="143"/>
  <c r="U141" i="143"/>
  <c r="O142" i="143"/>
  <c r="R142" i="143"/>
  <c r="S142" i="143"/>
  <c r="T142" i="143"/>
  <c r="U142" i="143"/>
  <c r="O143" i="143"/>
  <c r="R143" i="143"/>
  <c r="S143" i="143"/>
  <c r="T143" i="143"/>
  <c r="U143" i="143"/>
  <c r="O144" i="143"/>
  <c r="R144" i="143"/>
  <c r="S144" i="143"/>
  <c r="T144" i="143"/>
  <c r="U144" i="143"/>
  <c r="O145" i="143"/>
  <c r="R145" i="143"/>
  <c r="S145" i="143"/>
  <c r="T145" i="143"/>
  <c r="U145" i="143"/>
  <c r="O146" i="143"/>
  <c r="R146" i="143"/>
  <c r="S146" i="143"/>
  <c r="T146" i="143"/>
  <c r="U146" i="143"/>
  <c r="O147" i="143"/>
  <c r="R147" i="143"/>
  <c r="S147" i="143"/>
  <c r="T147" i="143"/>
  <c r="U147" i="143"/>
  <c r="O148" i="143"/>
  <c r="P148" i="143"/>
  <c r="R148" i="143"/>
  <c r="S148" i="143"/>
  <c r="T148" i="143"/>
  <c r="O149" i="143"/>
  <c r="P149" i="143"/>
  <c r="R149" i="143"/>
  <c r="S149" i="143"/>
  <c r="T149" i="143"/>
  <c r="O150" i="143"/>
  <c r="P150" i="143"/>
  <c r="R150" i="143"/>
  <c r="S150" i="143"/>
  <c r="T150" i="143"/>
  <c r="O151" i="143"/>
  <c r="P151" i="143"/>
  <c r="R151" i="143"/>
  <c r="S151" i="143"/>
  <c r="T151" i="143"/>
  <c r="O152" i="143"/>
  <c r="P152" i="143"/>
  <c r="R152" i="143"/>
  <c r="S152" i="143"/>
  <c r="T152" i="143"/>
  <c r="O153" i="143"/>
  <c r="P153" i="143"/>
  <c r="R153" i="143"/>
  <c r="S153" i="143"/>
  <c r="T153" i="143"/>
  <c r="O154" i="143"/>
  <c r="P154" i="143"/>
  <c r="R154" i="143"/>
  <c r="S154" i="143"/>
  <c r="T154" i="143"/>
  <c r="O159" i="143"/>
  <c r="P159" i="143"/>
  <c r="R159" i="143"/>
  <c r="S159" i="143"/>
  <c r="T159" i="143"/>
  <c r="O160" i="143"/>
  <c r="P160" i="143"/>
  <c r="R160" i="143"/>
  <c r="S160" i="143"/>
  <c r="T160" i="143"/>
  <c r="O161" i="143"/>
  <c r="P161" i="143"/>
  <c r="R161" i="143"/>
  <c r="S161" i="143"/>
  <c r="T161" i="143"/>
  <c r="O162" i="143"/>
  <c r="P162" i="143"/>
  <c r="R162" i="143"/>
  <c r="S162" i="143"/>
  <c r="T162" i="143"/>
  <c r="O163" i="143"/>
  <c r="P163" i="143"/>
  <c r="R163" i="143"/>
  <c r="S163" i="143"/>
  <c r="T163" i="143"/>
  <c r="O164" i="143"/>
  <c r="P164" i="143"/>
  <c r="R164" i="143"/>
  <c r="S164" i="143"/>
  <c r="T164" i="143"/>
  <c r="O165" i="143"/>
  <c r="P165" i="143"/>
  <c r="R165" i="143"/>
  <c r="S165" i="143"/>
  <c r="T165" i="143"/>
  <c r="O167" i="143"/>
  <c r="P167" i="143"/>
  <c r="R167" i="143"/>
  <c r="S167" i="143"/>
  <c r="T167" i="143"/>
  <c r="O168" i="143"/>
  <c r="P168" i="143"/>
  <c r="R168" i="143"/>
  <c r="S168" i="143"/>
  <c r="T168" i="143"/>
  <c r="O169" i="143"/>
  <c r="P169" i="143"/>
  <c r="R169" i="143"/>
  <c r="S169" i="143"/>
  <c r="T169" i="143"/>
  <c r="O170" i="143"/>
  <c r="P170" i="143"/>
  <c r="R170" i="143"/>
  <c r="S170" i="143"/>
  <c r="T170" i="143"/>
  <c r="O171" i="143"/>
  <c r="P171" i="143"/>
  <c r="R171" i="143"/>
  <c r="S171" i="143"/>
  <c r="T171" i="143"/>
  <c r="O172" i="143"/>
  <c r="P172" i="143"/>
  <c r="R172" i="143"/>
  <c r="S172" i="143"/>
  <c r="T172" i="143"/>
  <c r="U172" i="143"/>
  <c r="O173" i="143"/>
  <c r="P173" i="143"/>
  <c r="R173" i="143"/>
  <c r="T173" i="143"/>
  <c r="U173" i="143"/>
  <c r="O174" i="143"/>
  <c r="P174" i="143"/>
  <c r="R174" i="143"/>
  <c r="T174" i="143"/>
  <c r="U174" i="143"/>
  <c r="O175" i="143"/>
  <c r="P175" i="143"/>
  <c r="R175" i="143"/>
  <c r="T175" i="143"/>
  <c r="U175" i="143"/>
  <c r="O176" i="143"/>
  <c r="P176" i="143"/>
  <c r="R176" i="143"/>
  <c r="T176" i="143"/>
  <c r="U176" i="143"/>
  <c r="O177" i="143"/>
  <c r="P177" i="143"/>
  <c r="R177" i="143"/>
  <c r="T177" i="143"/>
  <c r="U177" i="143"/>
  <c r="O178" i="143"/>
  <c r="P178" i="143"/>
  <c r="R178" i="143"/>
  <c r="T178" i="143"/>
  <c r="U178" i="143"/>
  <c r="O179" i="143"/>
  <c r="P179" i="143"/>
  <c r="R179" i="143"/>
  <c r="T179" i="143"/>
  <c r="U179" i="143"/>
  <c r="O180" i="143"/>
  <c r="P180" i="143"/>
  <c r="R180" i="143"/>
  <c r="T180" i="143"/>
  <c r="U180" i="143"/>
  <c r="O181" i="143"/>
  <c r="P181" i="143"/>
  <c r="R181" i="143"/>
  <c r="S181" i="143"/>
  <c r="T181" i="143"/>
  <c r="O182" i="143"/>
  <c r="P182" i="143"/>
  <c r="R182" i="143"/>
  <c r="T182" i="143"/>
  <c r="U182" i="143"/>
  <c r="O183" i="143"/>
  <c r="P183" i="143"/>
  <c r="R183" i="143"/>
  <c r="T183" i="143"/>
  <c r="U183" i="143"/>
  <c r="O184" i="143"/>
  <c r="P184" i="143"/>
  <c r="R184" i="143"/>
  <c r="S184" i="143"/>
  <c r="T184" i="143"/>
  <c r="O185" i="143"/>
  <c r="P185" i="143"/>
  <c r="R185" i="143"/>
  <c r="S185" i="143"/>
  <c r="T185" i="143"/>
  <c r="O186" i="143"/>
  <c r="P186" i="143"/>
  <c r="R186" i="143"/>
  <c r="S186" i="143"/>
  <c r="T186" i="143"/>
  <c r="U186" i="143"/>
  <c r="O187" i="143"/>
  <c r="P187" i="143"/>
  <c r="S187" i="143"/>
  <c r="T187" i="143"/>
  <c r="U187" i="143"/>
  <c r="O188" i="143"/>
  <c r="P188" i="143"/>
  <c r="R188" i="143"/>
  <c r="S188" i="143"/>
  <c r="T188" i="143"/>
  <c r="O189" i="143"/>
  <c r="P189" i="143"/>
  <c r="R189" i="143"/>
  <c r="S189" i="143"/>
  <c r="T189" i="143"/>
  <c r="U189" i="143"/>
  <c r="O190" i="143"/>
  <c r="R190" i="143"/>
  <c r="S190" i="143"/>
  <c r="T190" i="143"/>
  <c r="U190" i="143"/>
  <c r="O191" i="143"/>
  <c r="P191" i="143"/>
  <c r="R191" i="143"/>
  <c r="S191" i="143"/>
  <c r="T191" i="143"/>
  <c r="O192" i="143"/>
  <c r="P192" i="143"/>
  <c r="R192" i="143"/>
  <c r="S192" i="143"/>
  <c r="T192" i="143"/>
  <c r="U192" i="143"/>
  <c r="O193" i="143"/>
  <c r="P193" i="143"/>
  <c r="R193" i="143"/>
  <c r="T193" i="143"/>
  <c r="U193" i="143"/>
  <c r="O194" i="143"/>
  <c r="P194" i="143"/>
  <c r="R194" i="143"/>
  <c r="T194" i="143"/>
  <c r="U194" i="143"/>
  <c r="O195" i="143"/>
  <c r="P195" i="143"/>
  <c r="R195" i="143"/>
  <c r="T195" i="143"/>
  <c r="U195" i="143"/>
  <c r="O196" i="143"/>
  <c r="P196" i="143"/>
  <c r="R196" i="143"/>
  <c r="T196" i="143"/>
  <c r="U196" i="143"/>
  <c r="O197" i="143"/>
  <c r="P197" i="143"/>
  <c r="R197" i="143"/>
  <c r="T197" i="143"/>
  <c r="U197" i="143"/>
  <c r="O198" i="143"/>
  <c r="P198" i="143"/>
  <c r="R198" i="143"/>
  <c r="T198" i="143"/>
  <c r="U198" i="143"/>
  <c r="O199" i="143"/>
  <c r="R199" i="143"/>
  <c r="S199" i="143"/>
  <c r="T199" i="143"/>
  <c r="U199" i="143"/>
  <c r="O200" i="143"/>
  <c r="R200" i="143"/>
  <c r="S200" i="143"/>
  <c r="T200" i="143"/>
  <c r="U200" i="143"/>
  <c r="O201" i="143"/>
  <c r="R201" i="143"/>
  <c r="S201" i="143"/>
  <c r="T201" i="143"/>
  <c r="O202" i="143"/>
  <c r="P202" i="143"/>
  <c r="R202" i="143"/>
  <c r="S202" i="143"/>
  <c r="T202" i="143"/>
  <c r="O203" i="143"/>
  <c r="P203" i="143"/>
  <c r="R203" i="143"/>
  <c r="S203" i="143"/>
  <c r="T203" i="143"/>
  <c r="O206" i="143"/>
  <c r="P206" i="143"/>
  <c r="R206" i="143"/>
  <c r="S206" i="143"/>
  <c r="T206" i="143"/>
  <c r="O207" i="143"/>
  <c r="P207" i="143"/>
  <c r="R207" i="143"/>
  <c r="S207" i="143"/>
  <c r="T207" i="143"/>
  <c r="U207" i="143"/>
  <c r="O208" i="143"/>
  <c r="R208" i="143"/>
  <c r="S208" i="143"/>
  <c r="T208" i="143"/>
  <c r="U208" i="143"/>
  <c r="O209" i="143"/>
  <c r="P209" i="143"/>
  <c r="R209" i="143"/>
  <c r="S209" i="143"/>
  <c r="U209" i="143"/>
  <c r="O210" i="143"/>
  <c r="P210" i="143"/>
  <c r="R210" i="143"/>
  <c r="S210" i="143"/>
  <c r="T210" i="143"/>
  <c r="O223" i="143"/>
  <c r="P223" i="143"/>
  <c r="R223" i="143"/>
  <c r="S223" i="143"/>
  <c r="T223" i="143"/>
  <c r="U223" i="143"/>
  <c r="O224" i="143"/>
  <c r="P224" i="143"/>
  <c r="R224" i="143"/>
  <c r="S224" i="143"/>
  <c r="T224" i="143"/>
  <c r="U224" i="143"/>
  <c r="O225" i="143"/>
  <c r="P225" i="143"/>
  <c r="R225" i="143"/>
  <c r="S225" i="143"/>
  <c r="T225" i="143"/>
  <c r="O226" i="143"/>
  <c r="P226" i="143"/>
  <c r="R226" i="143"/>
  <c r="S226" i="143"/>
  <c r="T226" i="143"/>
  <c r="O228" i="143"/>
  <c r="P228" i="143"/>
  <c r="R228" i="143"/>
  <c r="S228" i="143"/>
  <c r="T228" i="143"/>
  <c r="O229" i="143"/>
  <c r="P229" i="143"/>
  <c r="R229" i="143"/>
  <c r="S229" i="143"/>
  <c r="T229" i="143"/>
  <c r="O230" i="143"/>
  <c r="P230" i="143"/>
  <c r="R230" i="143"/>
  <c r="S230" i="143"/>
  <c r="T230" i="143"/>
  <c r="O231" i="143"/>
  <c r="P231" i="143"/>
  <c r="R231" i="143"/>
  <c r="S231" i="143"/>
  <c r="T231" i="143"/>
  <c r="O232" i="143"/>
  <c r="P232" i="143"/>
  <c r="R232" i="143"/>
  <c r="S232" i="143"/>
  <c r="T232" i="143"/>
  <c r="O234" i="143"/>
  <c r="P234" i="143"/>
  <c r="R234" i="143"/>
  <c r="S234" i="143"/>
  <c r="T234" i="143"/>
  <c r="U234" i="143"/>
  <c r="O235" i="143"/>
  <c r="P235" i="143"/>
  <c r="R235" i="143"/>
  <c r="S235" i="143"/>
  <c r="T235" i="143"/>
  <c r="O239" i="143"/>
  <c r="P239" i="143"/>
  <c r="R239" i="143"/>
  <c r="S239" i="143"/>
  <c r="T239" i="143"/>
  <c r="O243" i="143"/>
  <c r="P243" i="143"/>
  <c r="R243" i="143"/>
  <c r="S243" i="143"/>
  <c r="T243" i="143"/>
  <c r="U243" i="143"/>
  <c r="O246" i="143"/>
  <c r="P246" i="143"/>
  <c r="R246" i="143"/>
  <c r="S246" i="143"/>
  <c r="U246" i="143"/>
  <c r="O247" i="143"/>
  <c r="P247" i="143"/>
  <c r="R247" i="143"/>
  <c r="T247" i="143"/>
  <c r="U247" i="143"/>
  <c r="O248" i="143"/>
  <c r="P248" i="143"/>
  <c r="R248" i="143"/>
  <c r="S248" i="143"/>
  <c r="T248" i="143"/>
  <c r="O249" i="143"/>
  <c r="P249" i="143"/>
  <c r="R249" i="143"/>
  <c r="S249" i="143"/>
  <c r="T249" i="143"/>
  <c r="U249" i="143"/>
  <c r="P5" i="143"/>
  <c r="R5" i="143"/>
  <c r="S5" i="143"/>
  <c r="T5" i="143"/>
  <c r="U5" i="143"/>
  <c r="O26" i="60"/>
  <c r="H297" i="120"/>
  <c r="J12" i="143"/>
  <c r="J13" i="143"/>
  <c r="J14" i="143"/>
  <c r="J15" i="143"/>
  <c r="J16" i="143"/>
  <c r="M23" i="143"/>
  <c r="J24" i="143"/>
  <c r="J25" i="143"/>
  <c r="J26" i="143"/>
  <c r="J27" i="143"/>
  <c r="J28" i="143"/>
  <c r="J29" i="143"/>
  <c r="J30" i="143"/>
  <c r="J31" i="143"/>
  <c r="J34" i="143"/>
  <c r="J35" i="143"/>
  <c r="J36" i="143"/>
  <c r="J37" i="143"/>
  <c r="J38" i="143"/>
  <c r="J39" i="143"/>
  <c r="J40" i="143"/>
  <c r="J41" i="143"/>
  <c r="J42" i="143"/>
  <c r="J43" i="143"/>
  <c r="J44" i="143"/>
  <c r="J45" i="143"/>
  <c r="J46" i="143"/>
  <c r="J47" i="143"/>
  <c r="J48" i="143"/>
  <c r="J49" i="143"/>
  <c r="J50" i="143"/>
  <c r="J51" i="143"/>
  <c r="J52" i="143"/>
  <c r="J53" i="143"/>
  <c r="J54" i="143"/>
  <c r="J55" i="143"/>
  <c r="J61" i="143"/>
  <c r="J62" i="143"/>
  <c r="J63" i="143"/>
  <c r="J64" i="143"/>
  <c r="J65" i="143"/>
  <c r="J66" i="143"/>
  <c r="J67" i="143"/>
  <c r="J68" i="143"/>
  <c r="J71" i="143"/>
  <c r="J72" i="143"/>
  <c r="J73" i="143"/>
  <c r="J74" i="143"/>
  <c r="J75" i="143"/>
  <c r="M76" i="143"/>
  <c r="J77" i="143"/>
  <c r="J78" i="143"/>
  <c r="J79" i="143"/>
  <c r="J80" i="143"/>
  <c r="J81" i="143"/>
  <c r="J82" i="143"/>
  <c r="J83" i="143"/>
  <c r="J84" i="143"/>
  <c r="J85" i="143"/>
  <c r="J86" i="143"/>
  <c r="J87" i="143"/>
  <c r="J88" i="143"/>
  <c r="J89" i="143"/>
  <c r="J90" i="143"/>
  <c r="J91" i="143"/>
  <c r="J97" i="143"/>
  <c r="J99" i="143"/>
  <c r="J100" i="143"/>
  <c r="J101" i="143"/>
  <c r="J102" i="143"/>
  <c r="J104" i="143"/>
  <c r="M105" i="143"/>
  <c r="J106" i="143"/>
  <c r="J107" i="143"/>
  <c r="J108" i="143"/>
  <c r="J109" i="143"/>
  <c r="J110" i="143"/>
  <c r="J111" i="143"/>
  <c r="J112" i="143"/>
  <c r="J113" i="143"/>
  <c r="J114" i="143"/>
  <c r="J119" i="143"/>
  <c r="J120" i="143"/>
  <c r="J121" i="143"/>
  <c r="J122" i="143"/>
  <c r="M123" i="143"/>
  <c r="J124" i="143"/>
  <c r="J125" i="143"/>
  <c r="J126" i="143"/>
  <c r="J127" i="143"/>
  <c r="J128" i="143"/>
  <c r="J129" i="143"/>
  <c r="J132" i="143"/>
  <c r="J133" i="143"/>
  <c r="J134" i="143"/>
  <c r="J135" i="143"/>
  <c r="J136" i="143"/>
  <c r="J137" i="143"/>
  <c r="J138" i="143"/>
  <c r="J139" i="143"/>
  <c r="J140" i="143"/>
  <c r="J141" i="143"/>
  <c r="J142" i="143"/>
  <c r="J143" i="143"/>
  <c r="J144" i="143"/>
  <c r="J145" i="143"/>
  <c r="J146" i="143"/>
  <c r="J147" i="143"/>
  <c r="J148" i="143"/>
  <c r="J149" i="143"/>
  <c r="J150" i="143"/>
  <c r="J151" i="143"/>
  <c r="J152" i="143"/>
  <c r="J153" i="143"/>
  <c r="J154" i="143"/>
  <c r="J159" i="143"/>
  <c r="J160" i="143"/>
  <c r="J161" i="143"/>
  <c r="J162" i="143"/>
  <c r="J163" i="143"/>
  <c r="J164" i="143"/>
  <c r="J165" i="143"/>
  <c r="J167" i="143"/>
  <c r="J168" i="143"/>
  <c r="J169" i="143"/>
  <c r="J170" i="143"/>
  <c r="J171" i="143"/>
  <c r="M172" i="143"/>
  <c r="J173" i="143"/>
  <c r="J174" i="143"/>
  <c r="J175" i="143"/>
  <c r="J176" i="143"/>
  <c r="J177" i="143"/>
  <c r="J179" i="143"/>
  <c r="J180" i="143"/>
  <c r="J181" i="143"/>
  <c r="J182" i="143"/>
  <c r="J183" i="143"/>
  <c r="J184" i="143"/>
  <c r="J185" i="143"/>
  <c r="M186" i="143"/>
  <c r="J187" i="143"/>
  <c r="J188" i="143"/>
  <c r="M188" i="143" s="1"/>
  <c r="M189" i="143"/>
  <c r="J190" i="143"/>
  <c r="J191" i="143"/>
  <c r="M192" i="143"/>
  <c r="J193" i="143"/>
  <c r="J194" i="143"/>
  <c r="J195" i="143"/>
  <c r="J196" i="143"/>
  <c r="J197" i="143"/>
  <c r="J198" i="143"/>
  <c r="J199" i="143"/>
  <c r="J200" i="143"/>
  <c r="J201" i="143"/>
  <c r="J202" i="143"/>
  <c r="J203" i="143"/>
  <c r="J206" i="143"/>
  <c r="M207" i="143"/>
  <c r="J208" i="143"/>
  <c r="J209" i="143"/>
  <c r="J210" i="143"/>
  <c r="M223" i="143"/>
  <c r="M224" i="143"/>
  <c r="J225" i="143"/>
  <c r="J226" i="143"/>
  <c r="J228" i="143"/>
  <c r="J229" i="143"/>
  <c r="J230" i="143"/>
  <c r="J231" i="143"/>
  <c r="J232" i="143"/>
  <c r="M234" i="143"/>
  <c r="J235" i="143"/>
  <c r="J239" i="143"/>
  <c r="M243" i="143"/>
  <c r="J246" i="143"/>
  <c r="J247" i="143"/>
  <c r="J248" i="143"/>
  <c r="G56" i="125"/>
  <c r="F28" i="57"/>
  <c r="F27" i="57"/>
  <c r="D535" i="46" s="1"/>
  <c r="BF535" i="46" s="1"/>
  <c r="F26" i="57"/>
  <c r="F25" i="57"/>
  <c r="D533" i="46" s="1"/>
  <c r="BF533" i="46" s="1"/>
  <c r="F24" i="57"/>
  <c r="D532" i="46" s="1"/>
  <c r="BF532" i="46" s="1"/>
  <c r="F23" i="57"/>
  <c r="D531" i="46" s="1"/>
  <c r="BF531" i="46" s="1"/>
  <c r="F22" i="57"/>
  <c r="D530" i="46" s="1"/>
  <c r="BF530" i="46" s="1"/>
  <c r="M7" i="143"/>
  <c r="X2" i="109"/>
  <c r="V40" i="109" s="1"/>
  <c r="AS40" i="46" s="1"/>
  <c r="G76" i="126"/>
  <c r="F29" i="144"/>
  <c r="F28" i="144"/>
  <c r="F27" i="144"/>
  <c r="F26" i="144"/>
  <c r="F25" i="144"/>
  <c r="F24" i="144"/>
  <c r="F23" i="144"/>
  <c r="F22" i="144"/>
  <c r="F21" i="144"/>
  <c r="F20" i="144"/>
  <c r="F19" i="144"/>
  <c r="F18" i="144"/>
  <c r="F17" i="144"/>
  <c r="F16" i="144"/>
  <c r="F15" i="144"/>
  <c r="F14" i="144"/>
  <c r="F13" i="144"/>
  <c r="F12" i="144"/>
  <c r="F11" i="144"/>
  <c r="F10" i="144"/>
  <c r="F9" i="144"/>
  <c r="F8" i="144"/>
  <c r="F7" i="144"/>
  <c r="F6" i="144"/>
  <c r="F5" i="144"/>
  <c r="F4" i="144"/>
  <c r="F3" i="144"/>
  <c r="J11" i="143"/>
  <c r="J10" i="143"/>
  <c r="J9" i="143"/>
  <c r="J8" i="143"/>
  <c r="J5" i="143"/>
  <c r="H15" i="142"/>
  <c r="D15" i="142"/>
  <c r="I13" i="142"/>
  <c r="D13" i="142"/>
  <c r="G9" i="142"/>
  <c r="D9" i="142"/>
  <c r="D7" i="142"/>
  <c r="H5" i="142"/>
  <c r="D5" i="142"/>
  <c r="G3" i="142"/>
  <c r="D3" i="142"/>
  <c r="B1" i="142"/>
  <c r="E131" i="60"/>
  <c r="E136" i="60"/>
  <c r="G132" i="60"/>
  <c r="G134" i="60"/>
  <c r="F136" i="60"/>
  <c r="F135" i="60"/>
  <c r="H383" i="109"/>
  <c r="J383" i="109" s="1"/>
  <c r="H382" i="109"/>
  <c r="J382" i="109" s="1"/>
  <c r="H378" i="109"/>
  <c r="J378" i="109" s="1"/>
  <c r="H377" i="109"/>
  <c r="J377" i="109" s="1"/>
  <c r="F32" i="135"/>
  <c r="F33" i="135"/>
  <c r="F34" i="135"/>
  <c r="F31" i="135"/>
  <c r="F30" i="135"/>
  <c r="F28" i="135"/>
  <c r="F26" i="135"/>
  <c r="F24" i="135"/>
  <c r="F22" i="135"/>
  <c r="F21" i="135"/>
  <c r="K29" i="57"/>
  <c r="K30" i="57"/>
  <c r="K31" i="57"/>
  <c r="K35" i="57"/>
  <c r="K36" i="57"/>
  <c r="R28" i="57"/>
  <c r="R27" i="57"/>
  <c r="R26" i="57"/>
  <c r="R25" i="57"/>
  <c r="R24" i="57"/>
  <c r="R23" i="57"/>
  <c r="R22" i="57"/>
  <c r="R21" i="57"/>
  <c r="R20" i="57"/>
  <c r="B565" i="46"/>
  <c r="B566" i="46"/>
  <c r="B567" i="46"/>
  <c r="B568" i="46"/>
  <c r="B569" i="46"/>
  <c r="B570" i="46"/>
  <c r="B571" i="46"/>
  <c r="B572" i="46"/>
  <c r="B573" i="46"/>
  <c r="B574" i="46"/>
  <c r="B575" i="46"/>
  <c r="B576" i="46"/>
  <c r="B577" i="46"/>
  <c r="B578" i="46"/>
  <c r="B579" i="46"/>
  <c r="B580" i="46"/>
  <c r="B581" i="46"/>
  <c r="B582" i="46"/>
  <c r="B583" i="46"/>
  <c r="B584" i="46"/>
  <c r="B585" i="46"/>
  <c r="B586" i="46"/>
  <c r="B587" i="46"/>
  <c r="B588" i="46"/>
  <c r="B589" i="46"/>
  <c r="B590" i="46"/>
  <c r="B591" i="46"/>
  <c r="B592" i="46"/>
  <c r="B564" i="46"/>
  <c r="R565" i="46"/>
  <c r="R566" i="46"/>
  <c r="R567" i="46"/>
  <c r="R568" i="46"/>
  <c r="R569" i="46"/>
  <c r="R570" i="46"/>
  <c r="R571" i="46"/>
  <c r="R572" i="46"/>
  <c r="R573" i="46"/>
  <c r="R574" i="46"/>
  <c r="R575" i="46"/>
  <c r="R576" i="46"/>
  <c r="R577" i="46"/>
  <c r="R578" i="46"/>
  <c r="R579" i="46"/>
  <c r="R580" i="46"/>
  <c r="R581" i="46"/>
  <c r="R582" i="46"/>
  <c r="R583" i="46"/>
  <c r="R584" i="46"/>
  <c r="R585" i="46"/>
  <c r="R586" i="46"/>
  <c r="R587" i="46"/>
  <c r="R588" i="46"/>
  <c r="R589" i="46"/>
  <c r="R590" i="46"/>
  <c r="R591" i="46"/>
  <c r="R592" i="46"/>
  <c r="R564" i="46"/>
  <c r="E32" i="135"/>
  <c r="E33" i="135"/>
  <c r="E34" i="135"/>
  <c r="E31" i="135"/>
  <c r="B32" i="135"/>
  <c r="B33" i="135"/>
  <c r="B34" i="135"/>
  <c r="B31" i="135"/>
  <c r="E30" i="135"/>
  <c r="E28" i="135"/>
  <c r="E26" i="135"/>
  <c r="E24" i="135"/>
  <c r="B30" i="135"/>
  <c r="B29" i="135"/>
  <c r="B28" i="135"/>
  <c r="B27" i="135"/>
  <c r="B26" i="135"/>
  <c r="B25" i="135"/>
  <c r="B24" i="135"/>
  <c r="B23" i="135"/>
  <c r="B22" i="135"/>
  <c r="B21" i="135"/>
  <c r="E22" i="135"/>
  <c r="E21" i="135"/>
  <c r="R549" i="46"/>
  <c r="R550" i="46"/>
  <c r="R551" i="46"/>
  <c r="R552" i="46"/>
  <c r="R553" i="46"/>
  <c r="R554" i="46"/>
  <c r="R555" i="46"/>
  <c r="R556" i="46"/>
  <c r="R557" i="46"/>
  <c r="R558" i="46"/>
  <c r="R559" i="46"/>
  <c r="R560" i="46"/>
  <c r="R561" i="46"/>
  <c r="R562" i="46"/>
  <c r="R563" i="46"/>
  <c r="B549" i="46"/>
  <c r="B550" i="46"/>
  <c r="B551" i="46"/>
  <c r="B552" i="46"/>
  <c r="B553" i="46"/>
  <c r="B554" i="46"/>
  <c r="B555" i="46"/>
  <c r="B556" i="46"/>
  <c r="B557" i="46"/>
  <c r="B558" i="46"/>
  <c r="B559" i="46"/>
  <c r="B560" i="46"/>
  <c r="B561" i="46"/>
  <c r="B562" i="46"/>
  <c r="B563" i="46"/>
  <c r="B22" i="56"/>
  <c r="B21" i="56"/>
  <c r="E53" i="56"/>
  <c r="E54" i="56"/>
  <c r="E55" i="56"/>
  <c r="E56" i="56"/>
  <c r="E57" i="56"/>
  <c r="E52" i="56"/>
  <c r="B53" i="56"/>
  <c r="B54" i="56"/>
  <c r="B55" i="56"/>
  <c r="B56" i="56"/>
  <c r="B57" i="56"/>
  <c r="B52" i="56"/>
  <c r="E44" i="56"/>
  <c r="E45" i="56"/>
  <c r="E46" i="56"/>
  <c r="E47" i="56"/>
  <c r="E48" i="56"/>
  <c r="E49" i="56"/>
  <c r="E50" i="56"/>
  <c r="E43" i="56"/>
  <c r="B44" i="56"/>
  <c r="B45" i="56"/>
  <c r="B46" i="56"/>
  <c r="B47" i="56"/>
  <c r="B48" i="56"/>
  <c r="B49" i="56"/>
  <c r="B50" i="56"/>
  <c r="B43" i="56"/>
  <c r="E35" i="56"/>
  <c r="E36" i="56"/>
  <c r="E37" i="56"/>
  <c r="E38" i="56"/>
  <c r="E39" i="56"/>
  <c r="E40" i="56"/>
  <c r="E41" i="56"/>
  <c r="E34" i="56"/>
  <c r="B35" i="56"/>
  <c r="B36" i="56"/>
  <c r="B37" i="56"/>
  <c r="B38" i="56"/>
  <c r="B39" i="56"/>
  <c r="B40" i="56"/>
  <c r="B41" i="56"/>
  <c r="B34" i="56"/>
  <c r="E30" i="56"/>
  <c r="E31" i="56"/>
  <c r="E32" i="56"/>
  <c r="E29" i="56"/>
  <c r="B30" i="56"/>
  <c r="B31" i="56"/>
  <c r="B32" i="56"/>
  <c r="B29" i="56"/>
  <c r="D5" i="140"/>
  <c r="E25" i="56"/>
  <c r="E24" i="56"/>
  <c r="E27" i="56"/>
  <c r="E26" i="56"/>
  <c r="B25" i="56"/>
  <c r="B24" i="56"/>
  <c r="B27" i="56"/>
  <c r="B26" i="56"/>
  <c r="O164" i="120"/>
  <c r="O162" i="120"/>
  <c r="O163" i="120"/>
  <c r="I165" i="120"/>
  <c r="I162" i="120"/>
  <c r="I163" i="120"/>
  <c r="I164" i="120"/>
  <c r="C5" i="120"/>
  <c r="G102" i="60"/>
  <c r="G103" i="60"/>
  <c r="G104" i="60"/>
  <c r="G105" i="60"/>
  <c r="G106" i="60"/>
  <c r="G107" i="60"/>
  <c r="G108" i="60"/>
  <c r="G109" i="60"/>
  <c r="G101" i="60"/>
  <c r="E243" i="120"/>
  <c r="L14" i="139"/>
  <c r="L15" i="139"/>
  <c r="F8" i="139"/>
  <c r="C15" i="140"/>
  <c r="C14" i="140"/>
  <c r="G14" i="125"/>
  <c r="G95" i="126"/>
  <c r="D708" i="46" s="1"/>
  <c r="BF708" i="46" s="1"/>
  <c r="H24" i="135"/>
  <c r="I24" i="135"/>
  <c r="H26" i="135"/>
  <c r="I26" i="135"/>
  <c r="H28" i="135"/>
  <c r="I28" i="135"/>
  <c r="H30" i="135"/>
  <c r="I30" i="135"/>
  <c r="H33" i="135"/>
  <c r="H34" i="135"/>
  <c r="F80" i="109"/>
  <c r="AP80" i="46" s="1"/>
  <c r="F78" i="109"/>
  <c r="AP78" i="46" s="1"/>
  <c r="F79" i="109"/>
  <c r="AP79" i="46" s="1"/>
  <c r="F77" i="109"/>
  <c r="AP77" i="46" s="1"/>
  <c r="J12" i="139"/>
  <c r="L10" i="139"/>
  <c r="F12" i="139"/>
  <c r="F10" i="139"/>
  <c r="J4" i="139"/>
  <c r="H4" i="139"/>
  <c r="D4" i="139"/>
  <c r="F56" i="56"/>
  <c r="F57" i="56"/>
  <c r="AD100" i="109"/>
  <c r="AD99" i="109"/>
  <c r="AQ140" i="46"/>
  <c r="J140" i="46" s="1"/>
  <c r="AQ138" i="46"/>
  <c r="J138" i="46" s="1"/>
  <c r="L435" i="109"/>
  <c r="N435" i="46" s="1"/>
  <c r="L434" i="109"/>
  <c r="N434" i="46" s="1"/>
  <c r="L433" i="109"/>
  <c r="N433" i="46" s="1"/>
  <c r="L432" i="109"/>
  <c r="N432" i="46" s="1"/>
  <c r="L431" i="109"/>
  <c r="N431" i="46" s="1"/>
  <c r="L430" i="109"/>
  <c r="N430" i="46" s="1"/>
  <c r="C95" i="140"/>
  <c r="AA36" i="139"/>
  <c r="AA35" i="139"/>
  <c r="AA34" i="139"/>
  <c r="AA33" i="139"/>
  <c r="AA32" i="139"/>
  <c r="AA31" i="139"/>
  <c r="AA30" i="139"/>
  <c r="AA29" i="139"/>
  <c r="AA28" i="139"/>
  <c r="AA27" i="139"/>
  <c r="H108" i="109"/>
  <c r="J108" i="109" s="1"/>
  <c r="H109" i="109"/>
  <c r="J109" i="109" s="1"/>
  <c r="H110" i="109"/>
  <c r="J110" i="109" s="1"/>
  <c r="H111" i="109"/>
  <c r="J111" i="109" s="1"/>
  <c r="F82" i="109"/>
  <c r="AP82" i="46" s="1"/>
  <c r="F83" i="109"/>
  <c r="AP83" i="46" s="1"/>
  <c r="G31" i="125"/>
  <c r="C31" i="125"/>
  <c r="G84" i="60"/>
  <c r="J71" i="126" s="1"/>
  <c r="G71" i="126" s="1"/>
  <c r="D684" i="46" s="1"/>
  <c r="BF684" i="46" s="1"/>
  <c r="G85" i="60"/>
  <c r="J72" i="126" s="1"/>
  <c r="G72" i="126" s="1"/>
  <c r="D685" i="46" s="1"/>
  <c r="BF685" i="46" s="1"/>
  <c r="G86" i="60"/>
  <c r="J73" i="126" s="1"/>
  <c r="G73" i="126" s="1"/>
  <c r="D686" i="46" s="1"/>
  <c r="BF686" i="46" s="1"/>
  <c r="G88" i="60"/>
  <c r="J75" i="126" s="1"/>
  <c r="G75" i="126" s="1"/>
  <c r="D688" i="46" s="1"/>
  <c r="BF688" i="46" s="1"/>
  <c r="H72" i="126"/>
  <c r="H73" i="126"/>
  <c r="H74" i="126"/>
  <c r="H75" i="126"/>
  <c r="H71" i="126"/>
  <c r="F85" i="60"/>
  <c r="F86" i="60"/>
  <c r="F87" i="60"/>
  <c r="F88" i="60"/>
  <c r="F84" i="60"/>
  <c r="H46" i="60"/>
  <c r="B772" i="46"/>
  <c r="B667" i="109" s="1"/>
  <c r="D772" i="46"/>
  <c r="F772" i="46"/>
  <c r="B773" i="46"/>
  <c r="B668" i="109" s="1"/>
  <c r="D773" i="46"/>
  <c r="F773" i="46"/>
  <c r="B774" i="46"/>
  <c r="B669" i="109" s="1"/>
  <c r="D774" i="46"/>
  <c r="F774" i="46"/>
  <c r="B775" i="46"/>
  <c r="B670" i="109" s="1"/>
  <c r="D775" i="46"/>
  <c r="F775" i="46"/>
  <c r="B776" i="46"/>
  <c r="B671" i="109" s="1"/>
  <c r="D776" i="46"/>
  <c r="F776" i="46"/>
  <c r="B777" i="46"/>
  <c r="B672" i="109" s="1"/>
  <c r="D777" i="46"/>
  <c r="F777" i="46"/>
  <c r="B778" i="46"/>
  <c r="B673" i="109" s="1"/>
  <c r="D778" i="46"/>
  <c r="F778" i="46"/>
  <c r="B779" i="46"/>
  <c r="B674" i="109" s="1"/>
  <c r="D779" i="46"/>
  <c r="F779" i="46"/>
  <c r="B780" i="46"/>
  <c r="B675" i="109" s="1"/>
  <c r="D780" i="46"/>
  <c r="F780" i="46"/>
  <c r="B781" i="46"/>
  <c r="B676" i="109" s="1"/>
  <c r="D781" i="46"/>
  <c r="F781" i="46"/>
  <c r="B782" i="46"/>
  <c r="B677" i="109" s="1"/>
  <c r="D782" i="46"/>
  <c r="F782" i="46"/>
  <c r="B783" i="46"/>
  <c r="B678" i="109" s="1"/>
  <c r="D783" i="46"/>
  <c r="F783" i="46"/>
  <c r="B784" i="46"/>
  <c r="B679" i="109" s="1"/>
  <c r="D784" i="46"/>
  <c r="F784" i="46"/>
  <c r="B785" i="46"/>
  <c r="B680" i="109" s="1"/>
  <c r="D785" i="46"/>
  <c r="F785" i="46"/>
  <c r="B786" i="46"/>
  <c r="B681" i="109" s="1"/>
  <c r="D786" i="46"/>
  <c r="F786" i="46"/>
  <c r="B787" i="46"/>
  <c r="B682" i="109" s="1"/>
  <c r="D787" i="46"/>
  <c r="F787" i="46"/>
  <c r="B788" i="46"/>
  <c r="B683" i="109" s="1"/>
  <c r="D788" i="46"/>
  <c r="F788" i="46"/>
  <c r="B789" i="46"/>
  <c r="B684" i="109" s="1"/>
  <c r="D789" i="46"/>
  <c r="F789" i="46"/>
  <c r="B790" i="46"/>
  <c r="B685" i="109" s="1"/>
  <c r="D790" i="46"/>
  <c r="F790" i="46"/>
  <c r="B791" i="46"/>
  <c r="B686" i="109" s="1"/>
  <c r="D791" i="46"/>
  <c r="F791" i="46"/>
  <c r="B792" i="46"/>
  <c r="B687" i="109" s="1"/>
  <c r="D792" i="46"/>
  <c r="F792" i="46"/>
  <c r="B793" i="46"/>
  <c r="B688" i="109" s="1"/>
  <c r="D793" i="46"/>
  <c r="F793" i="46"/>
  <c r="B794" i="46"/>
  <c r="B689" i="109" s="1"/>
  <c r="D794" i="46"/>
  <c r="F794" i="46"/>
  <c r="B795" i="46"/>
  <c r="B690" i="109" s="1"/>
  <c r="D795" i="46"/>
  <c r="F795" i="46"/>
  <c r="B796" i="46"/>
  <c r="B691" i="109" s="1"/>
  <c r="D796" i="46"/>
  <c r="F796" i="46"/>
  <c r="B797" i="46"/>
  <c r="B692" i="109" s="1"/>
  <c r="D797" i="46"/>
  <c r="F797" i="46"/>
  <c r="B798" i="46"/>
  <c r="B693" i="109" s="1"/>
  <c r="D798" i="46"/>
  <c r="F798" i="46"/>
  <c r="B799" i="46"/>
  <c r="B694" i="109" s="1"/>
  <c r="D799" i="46"/>
  <c r="F799" i="46"/>
  <c r="B800" i="46"/>
  <c r="B695" i="109" s="1"/>
  <c r="D800" i="46"/>
  <c r="F800" i="46"/>
  <c r="B801" i="46"/>
  <c r="B696" i="109" s="1"/>
  <c r="D801" i="46"/>
  <c r="F801" i="46"/>
  <c r="B802" i="46"/>
  <c r="B697" i="109" s="1"/>
  <c r="D802" i="46"/>
  <c r="F802" i="46"/>
  <c r="B803" i="46"/>
  <c r="B698" i="109" s="1"/>
  <c r="D803" i="46"/>
  <c r="F803" i="46"/>
  <c r="B804" i="46"/>
  <c r="B699" i="109" s="1"/>
  <c r="D804" i="46"/>
  <c r="F804" i="46"/>
  <c r="B805" i="46"/>
  <c r="B700" i="109" s="1"/>
  <c r="D805" i="46"/>
  <c r="F805" i="46"/>
  <c r="B806" i="46"/>
  <c r="B701" i="109" s="1"/>
  <c r="D806" i="46"/>
  <c r="F806" i="46"/>
  <c r="C14" i="125"/>
  <c r="J95" i="125"/>
  <c r="J94" i="125"/>
  <c r="G93" i="125"/>
  <c r="G92" i="125"/>
  <c r="C93" i="125"/>
  <c r="C92" i="125"/>
  <c r="H381" i="109"/>
  <c r="J381" i="109" s="1"/>
  <c r="H376" i="109"/>
  <c r="J376" i="109" s="1"/>
  <c r="H50" i="125"/>
  <c r="H46" i="125"/>
  <c r="F48" i="60"/>
  <c r="AA4" i="139" s="1"/>
  <c r="C4" i="109"/>
  <c r="K46" i="60"/>
  <c r="F150" i="60"/>
  <c r="B700" i="46"/>
  <c r="D700" i="46"/>
  <c r="BF700" i="46" s="1"/>
  <c r="B702" i="46"/>
  <c r="D702" i="46"/>
  <c r="BF702" i="46" s="1"/>
  <c r="F702" i="46"/>
  <c r="BG702" i="46" s="1"/>
  <c r="B703" i="46"/>
  <c r="D703" i="46"/>
  <c r="BF703" i="46" s="1"/>
  <c r="F703" i="46"/>
  <c r="BG703" i="46" s="1"/>
  <c r="B704" i="46"/>
  <c r="D704" i="46"/>
  <c r="BF704" i="46" s="1"/>
  <c r="F704" i="46"/>
  <c r="BG704" i="46" s="1"/>
  <c r="B708" i="46"/>
  <c r="B709" i="46"/>
  <c r="F709" i="46"/>
  <c r="BG709" i="46" s="1"/>
  <c r="B710" i="46"/>
  <c r="F710" i="46"/>
  <c r="BG710" i="46" s="1"/>
  <c r="B711" i="46"/>
  <c r="F711" i="46"/>
  <c r="BG711" i="46" s="1"/>
  <c r="B712" i="46"/>
  <c r="B713" i="46"/>
  <c r="D713" i="46"/>
  <c r="BF713" i="46" s="1"/>
  <c r="F713" i="46"/>
  <c r="BG713" i="46" s="1"/>
  <c r="B714" i="46"/>
  <c r="D714" i="46"/>
  <c r="BF714" i="46" s="1"/>
  <c r="F714" i="46"/>
  <c r="BG714" i="46" s="1"/>
  <c r="B715" i="46"/>
  <c r="B718" i="46"/>
  <c r="B719" i="46"/>
  <c r="B721" i="46"/>
  <c r="B722" i="46"/>
  <c r="B723" i="46"/>
  <c r="D723" i="46"/>
  <c r="BF723" i="46" s="1"/>
  <c r="F723" i="46"/>
  <c r="BG723" i="46" s="1"/>
  <c r="B724" i="46"/>
  <c r="D724" i="46"/>
  <c r="BF724" i="46" s="1"/>
  <c r="F724" i="46"/>
  <c r="BG724" i="46" s="1"/>
  <c r="B725" i="46"/>
  <c r="D725" i="46"/>
  <c r="BF725" i="46" s="1"/>
  <c r="F725" i="46"/>
  <c r="BG725" i="46" s="1"/>
  <c r="B726" i="46"/>
  <c r="D726" i="46"/>
  <c r="BF726" i="46" s="1"/>
  <c r="F726" i="46"/>
  <c r="BG726" i="46" s="1"/>
  <c r="F727" i="46"/>
  <c r="BG727" i="46" s="1"/>
  <c r="B728" i="46"/>
  <c r="D728" i="46"/>
  <c r="BF728" i="46" s="1"/>
  <c r="F728" i="46"/>
  <c r="BG728" i="46" s="1"/>
  <c r="B729" i="46"/>
  <c r="B730" i="46"/>
  <c r="B731" i="46"/>
  <c r="B732" i="46"/>
  <c r="B733" i="46"/>
  <c r="B734" i="46"/>
  <c r="B737" i="46"/>
  <c r="D737" i="46"/>
  <c r="BF737" i="46" s="1"/>
  <c r="F737" i="46"/>
  <c r="BG737" i="46" s="1"/>
  <c r="B738" i="46"/>
  <c r="D738" i="46"/>
  <c r="BF738" i="46" s="1"/>
  <c r="F738" i="46"/>
  <c r="BG738" i="46" s="1"/>
  <c r="B739" i="46"/>
  <c r="B741" i="46"/>
  <c r="D741" i="46"/>
  <c r="BF741" i="46" s="1"/>
  <c r="B749" i="46"/>
  <c r="D749" i="46"/>
  <c r="BF749" i="46" s="1"/>
  <c r="F749" i="46"/>
  <c r="BG749" i="46" s="1"/>
  <c r="B750" i="46"/>
  <c r="D750" i="46"/>
  <c r="BF750" i="46" s="1"/>
  <c r="F750" i="46"/>
  <c r="BG750" i="46" s="1"/>
  <c r="B751" i="46"/>
  <c r="D751" i="46"/>
  <c r="BF751" i="46" s="1"/>
  <c r="F751" i="46"/>
  <c r="BG751" i="46" s="1"/>
  <c r="B752" i="46"/>
  <c r="D752" i="46"/>
  <c r="BF752" i="46" s="1"/>
  <c r="F752" i="46"/>
  <c r="BG752" i="46" s="1"/>
  <c r="B753" i="46"/>
  <c r="D753" i="46"/>
  <c r="BF753" i="46" s="1"/>
  <c r="F753" i="46"/>
  <c r="BG753" i="46" s="1"/>
  <c r="B754" i="46"/>
  <c r="D754" i="46"/>
  <c r="BF754" i="46" s="1"/>
  <c r="F754" i="46"/>
  <c r="BG754" i="46" s="1"/>
  <c r="B755" i="46"/>
  <c r="D755" i="46"/>
  <c r="BF755" i="46" s="1"/>
  <c r="F755" i="46"/>
  <c r="BG755" i="46" s="1"/>
  <c r="B756" i="46"/>
  <c r="D756" i="46"/>
  <c r="BF756" i="46" s="1"/>
  <c r="F756" i="46"/>
  <c r="BG756" i="46" s="1"/>
  <c r="B757" i="46"/>
  <c r="D757" i="46"/>
  <c r="BF757" i="46" s="1"/>
  <c r="F757" i="46"/>
  <c r="BG757" i="46" s="1"/>
  <c r="B758" i="46"/>
  <c r="D758" i="46"/>
  <c r="BF758" i="46" s="1"/>
  <c r="F758" i="46"/>
  <c r="BG758" i="46" s="1"/>
  <c r="B759" i="46"/>
  <c r="D759" i="46"/>
  <c r="BF759" i="46" s="1"/>
  <c r="F759" i="46"/>
  <c r="BG759" i="46" s="1"/>
  <c r="B760" i="46"/>
  <c r="D760" i="46"/>
  <c r="BF760" i="46" s="1"/>
  <c r="F760" i="46"/>
  <c r="BG760" i="46" s="1"/>
  <c r="B761" i="46"/>
  <c r="D761" i="46"/>
  <c r="BF761" i="46" s="1"/>
  <c r="F761" i="46"/>
  <c r="BG761" i="46" s="1"/>
  <c r="B762" i="46"/>
  <c r="B657" i="109" s="1"/>
  <c r="D762" i="46"/>
  <c r="F762" i="46"/>
  <c r="B763" i="46"/>
  <c r="B658" i="109" s="1"/>
  <c r="D763" i="46"/>
  <c r="F763" i="46"/>
  <c r="B764" i="46"/>
  <c r="B659" i="109" s="1"/>
  <c r="D764" i="46"/>
  <c r="F764" i="46"/>
  <c r="B765" i="46"/>
  <c r="B660" i="109" s="1"/>
  <c r="D765" i="46"/>
  <c r="F765" i="46"/>
  <c r="B766" i="46"/>
  <c r="B661" i="109" s="1"/>
  <c r="D766" i="46"/>
  <c r="F766" i="46"/>
  <c r="B767" i="46"/>
  <c r="B662" i="109" s="1"/>
  <c r="D767" i="46"/>
  <c r="F767" i="46"/>
  <c r="B768" i="46"/>
  <c r="B663" i="109" s="1"/>
  <c r="D768" i="46"/>
  <c r="F768" i="46"/>
  <c r="B769" i="46"/>
  <c r="B664" i="109" s="1"/>
  <c r="D769" i="46"/>
  <c r="F769" i="46"/>
  <c r="B770" i="46"/>
  <c r="B665" i="109" s="1"/>
  <c r="D770" i="46"/>
  <c r="F770" i="46"/>
  <c r="B771" i="46"/>
  <c r="B666" i="109" s="1"/>
  <c r="D771" i="46"/>
  <c r="F771" i="46"/>
  <c r="D460" i="109"/>
  <c r="AO460" i="46" s="1"/>
  <c r="F460" i="46" s="1"/>
  <c r="G49" i="125"/>
  <c r="C49" i="125"/>
  <c r="J460" i="109"/>
  <c r="R26" i="135"/>
  <c r="R25" i="135"/>
  <c r="R24" i="135"/>
  <c r="R23" i="135"/>
  <c r="R22" i="135"/>
  <c r="R21" i="135"/>
  <c r="C39" i="125"/>
  <c r="L294" i="120"/>
  <c r="L293" i="120"/>
  <c r="U295" i="120"/>
  <c r="U1758" i="120"/>
  <c r="U1757" i="120"/>
  <c r="U1756" i="120"/>
  <c r="U1755" i="120"/>
  <c r="U1754" i="120"/>
  <c r="U1753" i="120"/>
  <c r="U1752" i="120"/>
  <c r="U1751" i="120"/>
  <c r="U1750" i="120"/>
  <c r="U1749" i="120"/>
  <c r="U1748" i="120"/>
  <c r="U1747" i="120"/>
  <c r="U1746" i="120"/>
  <c r="U1745" i="120"/>
  <c r="U1744" i="120"/>
  <c r="U1743" i="120"/>
  <c r="U1742" i="120"/>
  <c r="U1741" i="120"/>
  <c r="U1740" i="120"/>
  <c r="U1739" i="120"/>
  <c r="U1738" i="120"/>
  <c r="U1737" i="120"/>
  <c r="U1736" i="120"/>
  <c r="U1735" i="120"/>
  <c r="U1734" i="120"/>
  <c r="U1733" i="120"/>
  <c r="U1732" i="120"/>
  <c r="U1731" i="120"/>
  <c r="U1730" i="120"/>
  <c r="U1729" i="120"/>
  <c r="U1728" i="120"/>
  <c r="U1727" i="120"/>
  <c r="U1726" i="120"/>
  <c r="U1725" i="120"/>
  <c r="U1724" i="120"/>
  <c r="U1723" i="120"/>
  <c r="U1722" i="120"/>
  <c r="U1721" i="120"/>
  <c r="U1720" i="120"/>
  <c r="U1719" i="120"/>
  <c r="U1718" i="120"/>
  <c r="U1717" i="120"/>
  <c r="U1716" i="120"/>
  <c r="U1715" i="120"/>
  <c r="U1714" i="120"/>
  <c r="U1713" i="120"/>
  <c r="U1712" i="120"/>
  <c r="U1711" i="120"/>
  <c r="U1710" i="120"/>
  <c r="U1709" i="120"/>
  <c r="U1708" i="120"/>
  <c r="U1707" i="120"/>
  <c r="U1706" i="120"/>
  <c r="U1705" i="120"/>
  <c r="U1704" i="120"/>
  <c r="U1703" i="120"/>
  <c r="U1702" i="120"/>
  <c r="U1701" i="120"/>
  <c r="U1700" i="120"/>
  <c r="U1699" i="120"/>
  <c r="U1698" i="120"/>
  <c r="U1697" i="120"/>
  <c r="U1696" i="120"/>
  <c r="U1695" i="120"/>
  <c r="U1694" i="120"/>
  <c r="U1693" i="120"/>
  <c r="U1692" i="120"/>
  <c r="U1691" i="120"/>
  <c r="U1690" i="120"/>
  <c r="U1689" i="120"/>
  <c r="U1688" i="120"/>
  <c r="U1687" i="120"/>
  <c r="U1686" i="120"/>
  <c r="U1685" i="120"/>
  <c r="U1684" i="120"/>
  <c r="U1683" i="120"/>
  <c r="U1682" i="120"/>
  <c r="U1681" i="120"/>
  <c r="U1680" i="120"/>
  <c r="U1679" i="120"/>
  <c r="U1678" i="120"/>
  <c r="U1677" i="120"/>
  <c r="U1676" i="120"/>
  <c r="U1675" i="120"/>
  <c r="U1674" i="120"/>
  <c r="U1673" i="120"/>
  <c r="U1672" i="120"/>
  <c r="U1671" i="120"/>
  <c r="U1670" i="120"/>
  <c r="U1669" i="120"/>
  <c r="U1668" i="120"/>
  <c r="U1667" i="120"/>
  <c r="U1666" i="120"/>
  <c r="U1665" i="120"/>
  <c r="U1664" i="120"/>
  <c r="U1663" i="120"/>
  <c r="U1662" i="120"/>
  <c r="U1661" i="120"/>
  <c r="U1660" i="120"/>
  <c r="U1659" i="120"/>
  <c r="U1658" i="120"/>
  <c r="U1657" i="120"/>
  <c r="U1656" i="120"/>
  <c r="U1655" i="120"/>
  <c r="U1654" i="120"/>
  <c r="U1653" i="120"/>
  <c r="U1652" i="120"/>
  <c r="U1651" i="120"/>
  <c r="U1650" i="120"/>
  <c r="U1649" i="120"/>
  <c r="U1648" i="120"/>
  <c r="U1647" i="120"/>
  <c r="U1646" i="120"/>
  <c r="U1645" i="120"/>
  <c r="U1644" i="120"/>
  <c r="U1643" i="120"/>
  <c r="U1642" i="120"/>
  <c r="U1641" i="120"/>
  <c r="U1640" i="120"/>
  <c r="U1639" i="120"/>
  <c r="U1638" i="120"/>
  <c r="U1637" i="120"/>
  <c r="U1636" i="120"/>
  <c r="U1635" i="120"/>
  <c r="U1634" i="120"/>
  <c r="U1633" i="120"/>
  <c r="U1632" i="120"/>
  <c r="U1631" i="120"/>
  <c r="U1630" i="120"/>
  <c r="U1629" i="120"/>
  <c r="U1628" i="120"/>
  <c r="U1627" i="120"/>
  <c r="U1626" i="120"/>
  <c r="U1625" i="120"/>
  <c r="U1624" i="120"/>
  <c r="U1623" i="120"/>
  <c r="U1622" i="120"/>
  <c r="U1621" i="120"/>
  <c r="U1620" i="120"/>
  <c r="U1619" i="120"/>
  <c r="U1618" i="120"/>
  <c r="U1617" i="120"/>
  <c r="U1616" i="120"/>
  <c r="U1615" i="120"/>
  <c r="U1614" i="120"/>
  <c r="U1613" i="120"/>
  <c r="U1612" i="120"/>
  <c r="U1611" i="120"/>
  <c r="U1610" i="120"/>
  <c r="U1609" i="120"/>
  <c r="U1608" i="120"/>
  <c r="U1607" i="120"/>
  <c r="U1606" i="120"/>
  <c r="U1605" i="120"/>
  <c r="U1604" i="120"/>
  <c r="U1603" i="120"/>
  <c r="U1602" i="120"/>
  <c r="U1601" i="120"/>
  <c r="U1600" i="120"/>
  <c r="U1599" i="120"/>
  <c r="U1598" i="120"/>
  <c r="U1597" i="120"/>
  <c r="U1596" i="120"/>
  <c r="U1595" i="120"/>
  <c r="U1594" i="120"/>
  <c r="U1593" i="120"/>
  <c r="U1592" i="120"/>
  <c r="U1591" i="120"/>
  <c r="U1590" i="120"/>
  <c r="U1589" i="120"/>
  <c r="U1588" i="120"/>
  <c r="U1587" i="120"/>
  <c r="U1586" i="120"/>
  <c r="U1585" i="120"/>
  <c r="U1584" i="120"/>
  <c r="U1583" i="120"/>
  <c r="U1582" i="120"/>
  <c r="U1581" i="120"/>
  <c r="U1580" i="120"/>
  <c r="U1579" i="120"/>
  <c r="U1578" i="120"/>
  <c r="U1577" i="120"/>
  <c r="U1576" i="120"/>
  <c r="U1575" i="120"/>
  <c r="U1574" i="120"/>
  <c r="U1573" i="120"/>
  <c r="U1572" i="120"/>
  <c r="U1571" i="120"/>
  <c r="U1570" i="120"/>
  <c r="U1569" i="120"/>
  <c r="U1568" i="120"/>
  <c r="U1567" i="120"/>
  <c r="U1566" i="120"/>
  <c r="U1565" i="120"/>
  <c r="U1564" i="120"/>
  <c r="U1563" i="120"/>
  <c r="U1562" i="120"/>
  <c r="U1561" i="120"/>
  <c r="U1560" i="120"/>
  <c r="U1559" i="120"/>
  <c r="U1558" i="120"/>
  <c r="U1557" i="120"/>
  <c r="U1556" i="120"/>
  <c r="U1555" i="120"/>
  <c r="U1554" i="120"/>
  <c r="U1553" i="120"/>
  <c r="U1552" i="120"/>
  <c r="U1551" i="120"/>
  <c r="U1550" i="120"/>
  <c r="U1549" i="120"/>
  <c r="U1548" i="120"/>
  <c r="U1547" i="120"/>
  <c r="U1546" i="120"/>
  <c r="U1545" i="120"/>
  <c r="U1544" i="120"/>
  <c r="U1543" i="120"/>
  <c r="U1542" i="120"/>
  <c r="U1541" i="120"/>
  <c r="U1540" i="120"/>
  <c r="U1539" i="120"/>
  <c r="U1538" i="120"/>
  <c r="U1537" i="120"/>
  <c r="U1536" i="120"/>
  <c r="U1535" i="120"/>
  <c r="U1534" i="120"/>
  <c r="U1533" i="120"/>
  <c r="U1532" i="120"/>
  <c r="U1531" i="120"/>
  <c r="U1530" i="120"/>
  <c r="U1529" i="120"/>
  <c r="U1528" i="120"/>
  <c r="U1527" i="120"/>
  <c r="U1526" i="120"/>
  <c r="U1525" i="120"/>
  <c r="U1524" i="120"/>
  <c r="U1523" i="120"/>
  <c r="U1522" i="120"/>
  <c r="U1521" i="120"/>
  <c r="U1520" i="120"/>
  <c r="U1519" i="120"/>
  <c r="U1518" i="120"/>
  <c r="U1517" i="120"/>
  <c r="U1516" i="120"/>
  <c r="U1515" i="120"/>
  <c r="U1514" i="120"/>
  <c r="U1513" i="120"/>
  <c r="U1512" i="120"/>
  <c r="U1511" i="120"/>
  <c r="U1510" i="120"/>
  <c r="U1509" i="120"/>
  <c r="U1508" i="120"/>
  <c r="U1507" i="120"/>
  <c r="U1506" i="120"/>
  <c r="U1505" i="120"/>
  <c r="U1504" i="120"/>
  <c r="U1503" i="120"/>
  <c r="U1502" i="120"/>
  <c r="U1501" i="120"/>
  <c r="U1500" i="120"/>
  <c r="U1499" i="120"/>
  <c r="U1498" i="120"/>
  <c r="U1497" i="120"/>
  <c r="U1496" i="120"/>
  <c r="U1495" i="120"/>
  <c r="U1494" i="120"/>
  <c r="U1493" i="120"/>
  <c r="U1492" i="120"/>
  <c r="U1491" i="120"/>
  <c r="U1490" i="120"/>
  <c r="U1489" i="120"/>
  <c r="U1488" i="120"/>
  <c r="U1487" i="120"/>
  <c r="U1486" i="120"/>
  <c r="U1485" i="120"/>
  <c r="U1484" i="120"/>
  <c r="U1483" i="120"/>
  <c r="U1482" i="120"/>
  <c r="U1481" i="120"/>
  <c r="U1480" i="120"/>
  <c r="U1479" i="120"/>
  <c r="U1478" i="120"/>
  <c r="U1477" i="120"/>
  <c r="U1476" i="120"/>
  <c r="U1475" i="120"/>
  <c r="U1474" i="120"/>
  <c r="U1473" i="120"/>
  <c r="U1472" i="120"/>
  <c r="U1471" i="120"/>
  <c r="U1470" i="120"/>
  <c r="U1469" i="120"/>
  <c r="U1468" i="120"/>
  <c r="U1467" i="120"/>
  <c r="U1466" i="120"/>
  <c r="U1465" i="120"/>
  <c r="U1464" i="120"/>
  <c r="U1463" i="120"/>
  <c r="U1462" i="120"/>
  <c r="U1461" i="120"/>
  <c r="U1460" i="120"/>
  <c r="U1459" i="120"/>
  <c r="U1458" i="120"/>
  <c r="U1457" i="120"/>
  <c r="U1456" i="120"/>
  <c r="U1455" i="120"/>
  <c r="U1454" i="120"/>
  <c r="U1453" i="120"/>
  <c r="U1452" i="120"/>
  <c r="U1451" i="120"/>
  <c r="U1450" i="120"/>
  <c r="U1449" i="120"/>
  <c r="U1448" i="120"/>
  <c r="U1447" i="120"/>
  <c r="U1446" i="120"/>
  <c r="U1445" i="120"/>
  <c r="U1444" i="120"/>
  <c r="U1443" i="120"/>
  <c r="U1442" i="120"/>
  <c r="U1441" i="120"/>
  <c r="U1440" i="120"/>
  <c r="U1439" i="120"/>
  <c r="U1438" i="120"/>
  <c r="U1437" i="120"/>
  <c r="U1436" i="120"/>
  <c r="U1435" i="120"/>
  <c r="U1434" i="120"/>
  <c r="U1433" i="120"/>
  <c r="U1432" i="120"/>
  <c r="U1431" i="120"/>
  <c r="U1430" i="120"/>
  <c r="U1429" i="120"/>
  <c r="U1428" i="120"/>
  <c r="U1427" i="120"/>
  <c r="U1426" i="120"/>
  <c r="U1425" i="120"/>
  <c r="U1424" i="120"/>
  <c r="U1423" i="120"/>
  <c r="U1422" i="120"/>
  <c r="U1421" i="120"/>
  <c r="U1420" i="120"/>
  <c r="U1419" i="120"/>
  <c r="U1418" i="120"/>
  <c r="U1417" i="120"/>
  <c r="U1416" i="120"/>
  <c r="U1415" i="120"/>
  <c r="U1414" i="120"/>
  <c r="U1413" i="120"/>
  <c r="U1412" i="120"/>
  <c r="U1411" i="120"/>
  <c r="U1410" i="120"/>
  <c r="U1409" i="120"/>
  <c r="U1408" i="120"/>
  <c r="U1407" i="120"/>
  <c r="U1406" i="120"/>
  <c r="U1405" i="120"/>
  <c r="U1404" i="120"/>
  <c r="U1403" i="120"/>
  <c r="U1402" i="120"/>
  <c r="U1401" i="120"/>
  <c r="U1400" i="120"/>
  <c r="U1399" i="120"/>
  <c r="U1398" i="120"/>
  <c r="U1397" i="120"/>
  <c r="U1396" i="120"/>
  <c r="U1395" i="120"/>
  <c r="U1394" i="120"/>
  <c r="U1393" i="120"/>
  <c r="U1392" i="120"/>
  <c r="U1391" i="120"/>
  <c r="U1390" i="120"/>
  <c r="U1389" i="120"/>
  <c r="U1388" i="120"/>
  <c r="U1387" i="120"/>
  <c r="U1386" i="120"/>
  <c r="U1385" i="120"/>
  <c r="U1384" i="120"/>
  <c r="U1383" i="120"/>
  <c r="U1382" i="120"/>
  <c r="U1381" i="120"/>
  <c r="U1380" i="120"/>
  <c r="U1379" i="120"/>
  <c r="U1378" i="120"/>
  <c r="U1377" i="120"/>
  <c r="U1376" i="120"/>
  <c r="U1375" i="120"/>
  <c r="U1374" i="120"/>
  <c r="U1373" i="120"/>
  <c r="U1372" i="120"/>
  <c r="U1371" i="120"/>
  <c r="U1370" i="120"/>
  <c r="U1369" i="120"/>
  <c r="U1368" i="120"/>
  <c r="U1367" i="120"/>
  <c r="U1366" i="120"/>
  <c r="U1365" i="120"/>
  <c r="U1364" i="120"/>
  <c r="U1363" i="120"/>
  <c r="U1362" i="120"/>
  <c r="U1361" i="120"/>
  <c r="U1360" i="120"/>
  <c r="U1359" i="120"/>
  <c r="U1358" i="120"/>
  <c r="U1357" i="120"/>
  <c r="U1356" i="120"/>
  <c r="U1355" i="120"/>
  <c r="U1354" i="120"/>
  <c r="U1353" i="120"/>
  <c r="U1352" i="120"/>
  <c r="U1351" i="120"/>
  <c r="U1350" i="120"/>
  <c r="U1349" i="120"/>
  <c r="U1348" i="120"/>
  <c r="U1347" i="120"/>
  <c r="U1346" i="120"/>
  <c r="U1345" i="120"/>
  <c r="U1344" i="120"/>
  <c r="U1343" i="120"/>
  <c r="U1342" i="120"/>
  <c r="U1341" i="120"/>
  <c r="U1340" i="120"/>
  <c r="U1339" i="120"/>
  <c r="U1338" i="120"/>
  <c r="U1337" i="120"/>
  <c r="U1336" i="120"/>
  <c r="U1335" i="120"/>
  <c r="U1334" i="120"/>
  <c r="U1333" i="120"/>
  <c r="U1332" i="120"/>
  <c r="U1331" i="120"/>
  <c r="U1330" i="120"/>
  <c r="U1329" i="120"/>
  <c r="U1328" i="120"/>
  <c r="U1327" i="120"/>
  <c r="U1326" i="120"/>
  <c r="U1325" i="120"/>
  <c r="U1324" i="120"/>
  <c r="U1323" i="120"/>
  <c r="U1322" i="120"/>
  <c r="U1321" i="120"/>
  <c r="U1320" i="120"/>
  <c r="U1319" i="120"/>
  <c r="U1318" i="120"/>
  <c r="U1317" i="120"/>
  <c r="U1316" i="120"/>
  <c r="U1315" i="120"/>
  <c r="U1314" i="120"/>
  <c r="U1313" i="120"/>
  <c r="U1312" i="120"/>
  <c r="U1311" i="120"/>
  <c r="U1310" i="120"/>
  <c r="U1309" i="120"/>
  <c r="U1308" i="120"/>
  <c r="U1307" i="120"/>
  <c r="U1306" i="120"/>
  <c r="U1305" i="120"/>
  <c r="U1304" i="120"/>
  <c r="U1303" i="120"/>
  <c r="U1302" i="120"/>
  <c r="U1301" i="120"/>
  <c r="U1300" i="120"/>
  <c r="U1299" i="120"/>
  <c r="U1298" i="120"/>
  <c r="U1297" i="120"/>
  <c r="U1296" i="120"/>
  <c r="U1295" i="120"/>
  <c r="U1294" i="120"/>
  <c r="U1293" i="120"/>
  <c r="U1292" i="120"/>
  <c r="U1291" i="120"/>
  <c r="U1290" i="120"/>
  <c r="U1289" i="120"/>
  <c r="U1288" i="120"/>
  <c r="U1287" i="120"/>
  <c r="U1286" i="120"/>
  <c r="U1285" i="120"/>
  <c r="U1284" i="120"/>
  <c r="U1283" i="120"/>
  <c r="U1282" i="120"/>
  <c r="U1281" i="120"/>
  <c r="U1280" i="120"/>
  <c r="U1279" i="120"/>
  <c r="U1278" i="120"/>
  <c r="U1277" i="120"/>
  <c r="U1276" i="120"/>
  <c r="U1275" i="120"/>
  <c r="U1274" i="120"/>
  <c r="U1273" i="120"/>
  <c r="U1272" i="120"/>
  <c r="U1271" i="120"/>
  <c r="U1270" i="120"/>
  <c r="U1269" i="120"/>
  <c r="U1268" i="120"/>
  <c r="U1267" i="120"/>
  <c r="U1266" i="120"/>
  <c r="U1265" i="120"/>
  <c r="U1264" i="120"/>
  <c r="U1263" i="120"/>
  <c r="U1262" i="120"/>
  <c r="U1261" i="120"/>
  <c r="U1260" i="120"/>
  <c r="U1259" i="120"/>
  <c r="U1258" i="120"/>
  <c r="U1257" i="120"/>
  <c r="U1256" i="120"/>
  <c r="U1255" i="120"/>
  <c r="U1254" i="120"/>
  <c r="U1253" i="120"/>
  <c r="U1252" i="120"/>
  <c r="U1251" i="120"/>
  <c r="U1250" i="120"/>
  <c r="U1249" i="120"/>
  <c r="U1248" i="120"/>
  <c r="U1247" i="120"/>
  <c r="U1246" i="120"/>
  <c r="U1245" i="120"/>
  <c r="U1244" i="120"/>
  <c r="U1243" i="120"/>
  <c r="U1242" i="120"/>
  <c r="U1241" i="120"/>
  <c r="U1240" i="120"/>
  <c r="U1239" i="120"/>
  <c r="U1238" i="120"/>
  <c r="U1237" i="120"/>
  <c r="U1236" i="120"/>
  <c r="U1235" i="120"/>
  <c r="U1234" i="120"/>
  <c r="U1233" i="120"/>
  <c r="U1232" i="120"/>
  <c r="U1231" i="120"/>
  <c r="U1230" i="120"/>
  <c r="U1229" i="120"/>
  <c r="U1228" i="120"/>
  <c r="U1227" i="120"/>
  <c r="U1226" i="120"/>
  <c r="U1225" i="120"/>
  <c r="U1224" i="120"/>
  <c r="U1223" i="120"/>
  <c r="U1222" i="120"/>
  <c r="U1221" i="120"/>
  <c r="U1220" i="120"/>
  <c r="U1219" i="120"/>
  <c r="U1218" i="120"/>
  <c r="U1217" i="120"/>
  <c r="U1216" i="120"/>
  <c r="U1215" i="120"/>
  <c r="U1214" i="120"/>
  <c r="U1213" i="120"/>
  <c r="U1212" i="120"/>
  <c r="U1211" i="120"/>
  <c r="U1210" i="120"/>
  <c r="U1209" i="120"/>
  <c r="U1208" i="120"/>
  <c r="U1207" i="120"/>
  <c r="U1206" i="120"/>
  <c r="U1205" i="120"/>
  <c r="U1204" i="120"/>
  <c r="U1203" i="120"/>
  <c r="U1202" i="120"/>
  <c r="U1201" i="120"/>
  <c r="U1200" i="120"/>
  <c r="U1199" i="120"/>
  <c r="U1198" i="120"/>
  <c r="U1197" i="120"/>
  <c r="U1196" i="120"/>
  <c r="U1195" i="120"/>
  <c r="U1194" i="120"/>
  <c r="U1193" i="120"/>
  <c r="U1192" i="120"/>
  <c r="U1191" i="120"/>
  <c r="U1190" i="120"/>
  <c r="U1189" i="120"/>
  <c r="U1188" i="120"/>
  <c r="U1187" i="120"/>
  <c r="U1186" i="120"/>
  <c r="U1185" i="120"/>
  <c r="U1184" i="120"/>
  <c r="U1183" i="120"/>
  <c r="U1182" i="120"/>
  <c r="U1181" i="120"/>
  <c r="U1180" i="120"/>
  <c r="U1179" i="120"/>
  <c r="U1178" i="120"/>
  <c r="U1177" i="120"/>
  <c r="U1176" i="120"/>
  <c r="U1175" i="120"/>
  <c r="U1174" i="120"/>
  <c r="U1173" i="120"/>
  <c r="U1172" i="120"/>
  <c r="U1171" i="120"/>
  <c r="U1170" i="120"/>
  <c r="U1169" i="120"/>
  <c r="U1168" i="120"/>
  <c r="U1167" i="120"/>
  <c r="U1166" i="120"/>
  <c r="U1165" i="120"/>
  <c r="U1164" i="120"/>
  <c r="U1163" i="120"/>
  <c r="U1162" i="120"/>
  <c r="U1161" i="120"/>
  <c r="U1160" i="120"/>
  <c r="U1159" i="120"/>
  <c r="U1158" i="120"/>
  <c r="U1157" i="120"/>
  <c r="U1156" i="120"/>
  <c r="U1155" i="120"/>
  <c r="U1154" i="120"/>
  <c r="U1153" i="120"/>
  <c r="U1152" i="120"/>
  <c r="U1151" i="120"/>
  <c r="U1150" i="120"/>
  <c r="U1149" i="120"/>
  <c r="U1148" i="120"/>
  <c r="U1147" i="120"/>
  <c r="U1146" i="120"/>
  <c r="U1145" i="120"/>
  <c r="U1144" i="120"/>
  <c r="U1143" i="120"/>
  <c r="U1142" i="120"/>
  <c r="U1141" i="120"/>
  <c r="U1140" i="120"/>
  <c r="U1139" i="120"/>
  <c r="U1138" i="120"/>
  <c r="U1137" i="120"/>
  <c r="U1136" i="120"/>
  <c r="U1135" i="120"/>
  <c r="U1134" i="120"/>
  <c r="U1133" i="120"/>
  <c r="U1132" i="120"/>
  <c r="U1131" i="120"/>
  <c r="U1130" i="120"/>
  <c r="U1129" i="120"/>
  <c r="U1128" i="120"/>
  <c r="U1127" i="120"/>
  <c r="U1126" i="120"/>
  <c r="U1125" i="120"/>
  <c r="U1124" i="120"/>
  <c r="U1123" i="120"/>
  <c r="U1122" i="120"/>
  <c r="U1121" i="120"/>
  <c r="U1120" i="120"/>
  <c r="U1119" i="120"/>
  <c r="U1118" i="120"/>
  <c r="U1117" i="120"/>
  <c r="U1116" i="120"/>
  <c r="U1115" i="120"/>
  <c r="U1114" i="120"/>
  <c r="U1113" i="120"/>
  <c r="U1112" i="120"/>
  <c r="U1111" i="120"/>
  <c r="U1110" i="120"/>
  <c r="U1109" i="120"/>
  <c r="U1108" i="120"/>
  <c r="U1107" i="120"/>
  <c r="U1106" i="120"/>
  <c r="U1105" i="120"/>
  <c r="U1104" i="120"/>
  <c r="U1103" i="120"/>
  <c r="U1102" i="120"/>
  <c r="U1101" i="120"/>
  <c r="U1100" i="120"/>
  <c r="U1099" i="120"/>
  <c r="U1098" i="120"/>
  <c r="U1097" i="120"/>
  <c r="U1096" i="120"/>
  <c r="U1095" i="120"/>
  <c r="U1094" i="120"/>
  <c r="U1093" i="120"/>
  <c r="U1092" i="120"/>
  <c r="U1091" i="120"/>
  <c r="U1090" i="120"/>
  <c r="U1089" i="120"/>
  <c r="U1088" i="120"/>
  <c r="U1087" i="120"/>
  <c r="U1086" i="120"/>
  <c r="U1085" i="120"/>
  <c r="U1084" i="120"/>
  <c r="U1083" i="120"/>
  <c r="U1082" i="120"/>
  <c r="U1081" i="120"/>
  <c r="U1080" i="120"/>
  <c r="U1079" i="120"/>
  <c r="U1078" i="120"/>
  <c r="U1077" i="120"/>
  <c r="U1076" i="120"/>
  <c r="U1075" i="120"/>
  <c r="U1074" i="120"/>
  <c r="U1073" i="120"/>
  <c r="U1072" i="120"/>
  <c r="U1071" i="120"/>
  <c r="U1070" i="120"/>
  <c r="U1069" i="120"/>
  <c r="U1068" i="120"/>
  <c r="U1067" i="120"/>
  <c r="U1066" i="120"/>
  <c r="U1065" i="120"/>
  <c r="U1064" i="120"/>
  <c r="U1063" i="120"/>
  <c r="U1062" i="120"/>
  <c r="U1061" i="120"/>
  <c r="U1060" i="120"/>
  <c r="U1059" i="120"/>
  <c r="U1058" i="120"/>
  <c r="U1057" i="120"/>
  <c r="U1056" i="120"/>
  <c r="U1055" i="120"/>
  <c r="U1054" i="120"/>
  <c r="U1053" i="120"/>
  <c r="U1052" i="120"/>
  <c r="U1051" i="120"/>
  <c r="U1050" i="120"/>
  <c r="U1049" i="120"/>
  <c r="U1048" i="120"/>
  <c r="U1047" i="120"/>
  <c r="U1046" i="120"/>
  <c r="U1045" i="120"/>
  <c r="U1044" i="120"/>
  <c r="U1043" i="120"/>
  <c r="U1042" i="120"/>
  <c r="U1041" i="120"/>
  <c r="U1040" i="120"/>
  <c r="U1039" i="120"/>
  <c r="U1038" i="120"/>
  <c r="U1037" i="120"/>
  <c r="U1036" i="120"/>
  <c r="U1035" i="120"/>
  <c r="U1034" i="120"/>
  <c r="U1033" i="120"/>
  <c r="U1032" i="120"/>
  <c r="U1031" i="120"/>
  <c r="U1030" i="120"/>
  <c r="U1029" i="120"/>
  <c r="U1028" i="120"/>
  <c r="U1027" i="120"/>
  <c r="U296" i="120"/>
  <c r="U297" i="120"/>
  <c r="U298" i="120"/>
  <c r="U299" i="120"/>
  <c r="U300" i="120"/>
  <c r="U301" i="120"/>
  <c r="U302" i="120"/>
  <c r="U303" i="120"/>
  <c r="U304" i="120"/>
  <c r="U305" i="120"/>
  <c r="U306" i="120"/>
  <c r="U307" i="120"/>
  <c r="U308" i="120"/>
  <c r="U309" i="120"/>
  <c r="U310" i="120"/>
  <c r="U311" i="120"/>
  <c r="U312" i="120"/>
  <c r="U313" i="120"/>
  <c r="U314" i="120"/>
  <c r="U315" i="120"/>
  <c r="U316" i="120"/>
  <c r="U317" i="120"/>
  <c r="U318" i="120"/>
  <c r="U319" i="120"/>
  <c r="U320" i="120"/>
  <c r="U321" i="120"/>
  <c r="U322" i="120"/>
  <c r="U323" i="120"/>
  <c r="U324" i="120"/>
  <c r="U325" i="120"/>
  <c r="U326" i="120"/>
  <c r="U327" i="120"/>
  <c r="U328" i="120"/>
  <c r="U329" i="120"/>
  <c r="U330" i="120"/>
  <c r="U331" i="120"/>
  <c r="U332" i="120"/>
  <c r="U333" i="120"/>
  <c r="U334" i="120"/>
  <c r="U335" i="120"/>
  <c r="U336" i="120"/>
  <c r="U337" i="120"/>
  <c r="U338" i="120"/>
  <c r="U339" i="120"/>
  <c r="U340" i="120"/>
  <c r="U341" i="120"/>
  <c r="U342" i="120"/>
  <c r="U343" i="120"/>
  <c r="U344" i="120"/>
  <c r="U345" i="120"/>
  <c r="U346" i="120"/>
  <c r="U347" i="120"/>
  <c r="U348" i="120"/>
  <c r="U349" i="120"/>
  <c r="U350" i="120"/>
  <c r="U351" i="120"/>
  <c r="U352" i="120"/>
  <c r="U353" i="120"/>
  <c r="U354" i="120"/>
  <c r="U355" i="120"/>
  <c r="U356" i="120"/>
  <c r="U357" i="120"/>
  <c r="U358" i="120"/>
  <c r="U359" i="120"/>
  <c r="U360" i="120"/>
  <c r="U361" i="120"/>
  <c r="U362" i="120"/>
  <c r="U363" i="120"/>
  <c r="U364" i="120"/>
  <c r="U365" i="120"/>
  <c r="U366" i="120"/>
  <c r="U367" i="120"/>
  <c r="U368" i="120"/>
  <c r="U369" i="120"/>
  <c r="U370" i="120"/>
  <c r="U371" i="120"/>
  <c r="U372" i="120"/>
  <c r="U373" i="120"/>
  <c r="U374" i="120"/>
  <c r="U375" i="120"/>
  <c r="U376" i="120"/>
  <c r="U377" i="120"/>
  <c r="U378" i="120"/>
  <c r="U379" i="120"/>
  <c r="U380" i="120"/>
  <c r="U381" i="120"/>
  <c r="U382" i="120"/>
  <c r="U383" i="120"/>
  <c r="U384" i="120"/>
  <c r="U385" i="120"/>
  <c r="U386" i="120"/>
  <c r="U387" i="120"/>
  <c r="U388" i="120"/>
  <c r="U389" i="120"/>
  <c r="U390" i="120"/>
  <c r="U391" i="120"/>
  <c r="U392" i="120"/>
  <c r="U393" i="120"/>
  <c r="U394" i="120"/>
  <c r="U395" i="120"/>
  <c r="U396" i="120"/>
  <c r="U397" i="120"/>
  <c r="U398" i="120"/>
  <c r="U399" i="120"/>
  <c r="U400" i="120"/>
  <c r="U401" i="120"/>
  <c r="U402" i="120"/>
  <c r="U403" i="120"/>
  <c r="U404" i="120"/>
  <c r="U405" i="120"/>
  <c r="U406" i="120"/>
  <c r="U407" i="120"/>
  <c r="U408" i="120"/>
  <c r="U409" i="120"/>
  <c r="U410" i="120"/>
  <c r="U411" i="120"/>
  <c r="U412" i="120"/>
  <c r="U413" i="120"/>
  <c r="U414" i="120"/>
  <c r="U415" i="120"/>
  <c r="U416" i="120"/>
  <c r="U417" i="120"/>
  <c r="U418" i="120"/>
  <c r="U419" i="120"/>
  <c r="U420" i="120"/>
  <c r="U421" i="120"/>
  <c r="U422" i="120"/>
  <c r="U423" i="120"/>
  <c r="U424" i="120"/>
  <c r="U425" i="120"/>
  <c r="U426" i="120"/>
  <c r="U427" i="120"/>
  <c r="U428" i="120"/>
  <c r="U429" i="120"/>
  <c r="U430" i="120"/>
  <c r="U431" i="120"/>
  <c r="U432" i="120"/>
  <c r="U433" i="120"/>
  <c r="U434" i="120"/>
  <c r="U435" i="120"/>
  <c r="U436" i="120"/>
  <c r="U437" i="120"/>
  <c r="U438" i="120"/>
  <c r="U439" i="120"/>
  <c r="U440" i="120"/>
  <c r="U441" i="120"/>
  <c r="U442" i="120"/>
  <c r="U443" i="120"/>
  <c r="U444" i="120"/>
  <c r="U445" i="120"/>
  <c r="U446" i="120"/>
  <c r="U447" i="120"/>
  <c r="U448" i="120"/>
  <c r="U449" i="120"/>
  <c r="U450" i="120"/>
  <c r="U451" i="120"/>
  <c r="U452" i="120"/>
  <c r="U453" i="120"/>
  <c r="U454" i="120"/>
  <c r="U455" i="120"/>
  <c r="U456" i="120"/>
  <c r="U457" i="120"/>
  <c r="U458" i="120"/>
  <c r="U459" i="120"/>
  <c r="U460" i="120"/>
  <c r="U461" i="120"/>
  <c r="U462" i="120"/>
  <c r="U463" i="120"/>
  <c r="U464" i="120"/>
  <c r="U465" i="120"/>
  <c r="U466" i="120"/>
  <c r="U467" i="120"/>
  <c r="U468" i="120"/>
  <c r="U469" i="120"/>
  <c r="U470" i="120"/>
  <c r="U471" i="120"/>
  <c r="U472" i="120"/>
  <c r="U473" i="120"/>
  <c r="U474" i="120"/>
  <c r="U475" i="120"/>
  <c r="U476" i="120"/>
  <c r="U477" i="120"/>
  <c r="U478" i="120"/>
  <c r="U479" i="120"/>
  <c r="U480" i="120"/>
  <c r="U481" i="120"/>
  <c r="U482" i="120"/>
  <c r="U483" i="120"/>
  <c r="U484" i="120"/>
  <c r="U485" i="120"/>
  <c r="U486" i="120"/>
  <c r="U487" i="120"/>
  <c r="U488" i="120"/>
  <c r="U489" i="120"/>
  <c r="U490" i="120"/>
  <c r="U491" i="120"/>
  <c r="U492" i="120"/>
  <c r="U493" i="120"/>
  <c r="U494" i="120"/>
  <c r="U495" i="120"/>
  <c r="U496" i="120"/>
  <c r="U497" i="120"/>
  <c r="U498" i="120"/>
  <c r="U499" i="120"/>
  <c r="U500" i="120"/>
  <c r="U501" i="120"/>
  <c r="U502" i="120"/>
  <c r="U503" i="120"/>
  <c r="U504" i="120"/>
  <c r="U505" i="120"/>
  <c r="U506" i="120"/>
  <c r="U507" i="120"/>
  <c r="U508" i="120"/>
  <c r="U509" i="120"/>
  <c r="U510" i="120"/>
  <c r="U511" i="120"/>
  <c r="U512" i="120"/>
  <c r="U513" i="120"/>
  <c r="U514" i="120"/>
  <c r="U515" i="120"/>
  <c r="U516" i="120"/>
  <c r="U517" i="120"/>
  <c r="U518" i="120"/>
  <c r="U519" i="120"/>
  <c r="U520" i="120"/>
  <c r="U521" i="120"/>
  <c r="U522" i="120"/>
  <c r="U523" i="120"/>
  <c r="U524" i="120"/>
  <c r="U525" i="120"/>
  <c r="U526" i="120"/>
  <c r="U527" i="120"/>
  <c r="U528" i="120"/>
  <c r="U529" i="120"/>
  <c r="U530" i="120"/>
  <c r="U531" i="120"/>
  <c r="U532" i="120"/>
  <c r="U533" i="120"/>
  <c r="U534" i="120"/>
  <c r="U535" i="120"/>
  <c r="U536" i="120"/>
  <c r="U537" i="120"/>
  <c r="U538" i="120"/>
  <c r="U539" i="120"/>
  <c r="U540" i="120"/>
  <c r="U541" i="120"/>
  <c r="U542" i="120"/>
  <c r="U543" i="120"/>
  <c r="U544" i="120"/>
  <c r="U545" i="120"/>
  <c r="U546" i="120"/>
  <c r="U547" i="120"/>
  <c r="U548" i="120"/>
  <c r="U549" i="120"/>
  <c r="U550" i="120"/>
  <c r="U551" i="120"/>
  <c r="U552" i="120"/>
  <c r="U553" i="120"/>
  <c r="U554" i="120"/>
  <c r="U555" i="120"/>
  <c r="U556" i="120"/>
  <c r="U557" i="120"/>
  <c r="U558" i="120"/>
  <c r="U559" i="120"/>
  <c r="U560" i="120"/>
  <c r="U561" i="120"/>
  <c r="U562" i="120"/>
  <c r="U563" i="120"/>
  <c r="U564" i="120"/>
  <c r="U565" i="120"/>
  <c r="U566" i="120"/>
  <c r="U567" i="120"/>
  <c r="U568" i="120"/>
  <c r="U569" i="120"/>
  <c r="U570" i="120"/>
  <c r="U571" i="120"/>
  <c r="U572" i="120"/>
  <c r="U573" i="120"/>
  <c r="U574" i="120"/>
  <c r="U575" i="120"/>
  <c r="U576" i="120"/>
  <c r="U577" i="120"/>
  <c r="U578" i="120"/>
  <c r="U579" i="120"/>
  <c r="U580" i="120"/>
  <c r="U581" i="120"/>
  <c r="U582" i="120"/>
  <c r="U583" i="120"/>
  <c r="U584" i="120"/>
  <c r="U585" i="120"/>
  <c r="U586" i="120"/>
  <c r="U587" i="120"/>
  <c r="U588" i="120"/>
  <c r="U589" i="120"/>
  <c r="U590" i="120"/>
  <c r="U591" i="120"/>
  <c r="U592" i="120"/>
  <c r="U593" i="120"/>
  <c r="U594" i="120"/>
  <c r="U595" i="120"/>
  <c r="U596" i="120"/>
  <c r="U597" i="120"/>
  <c r="U598" i="120"/>
  <c r="U599" i="120"/>
  <c r="U600" i="120"/>
  <c r="U601" i="120"/>
  <c r="U602" i="120"/>
  <c r="U603" i="120"/>
  <c r="U604" i="120"/>
  <c r="U605" i="120"/>
  <c r="U606" i="120"/>
  <c r="U607" i="120"/>
  <c r="U608" i="120"/>
  <c r="U609" i="120"/>
  <c r="U610" i="120"/>
  <c r="U611" i="120"/>
  <c r="U612" i="120"/>
  <c r="U613" i="120"/>
  <c r="U614" i="120"/>
  <c r="U615" i="120"/>
  <c r="U616" i="120"/>
  <c r="U617" i="120"/>
  <c r="U618" i="120"/>
  <c r="U619" i="120"/>
  <c r="U620" i="120"/>
  <c r="U621" i="120"/>
  <c r="U622" i="120"/>
  <c r="U623" i="120"/>
  <c r="U624" i="120"/>
  <c r="U625" i="120"/>
  <c r="U626" i="120"/>
  <c r="U627" i="120"/>
  <c r="U628" i="120"/>
  <c r="U629" i="120"/>
  <c r="U630" i="120"/>
  <c r="U631" i="120"/>
  <c r="U632" i="120"/>
  <c r="U633" i="120"/>
  <c r="U634" i="120"/>
  <c r="U635" i="120"/>
  <c r="U636" i="120"/>
  <c r="U637" i="120"/>
  <c r="U638" i="120"/>
  <c r="U639" i="120"/>
  <c r="U640" i="120"/>
  <c r="U641" i="120"/>
  <c r="U642" i="120"/>
  <c r="U643" i="120"/>
  <c r="U644" i="120"/>
  <c r="U645" i="120"/>
  <c r="U646" i="120"/>
  <c r="U647" i="120"/>
  <c r="U648" i="120"/>
  <c r="U649" i="120"/>
  <c r="U650" i="120"/>
  <c r="U651" i="120"/>
  <c r="U652" i="120"/>
  <c r="U653" i="120"/>
  <c r="U654" i="120"/>
  <c r="U655" i="120"/>
  <c r="U656" i="120"/>
  <c r="U657" i="120"/>
  <c r="U658" i="120"/>
  <c r="U659" i="120"/>
  <c r="U660" i="120"/>
  <c r="U661" i="120"/>
  <c r="U662" i="120"/>
  <c r="U663" i="120"/>
  <c r="U664" i="120"/>
  <c r="U665" i="120"/>
  <c r="U666" i="120"/>
  <c r="U667" i="120"/>
  <c r="U668" i="120"/>
  <c r="U669" i="120"/>
  <c r="U670" i="120"/>
  <c r="U671" i="120"/>
  <c r="U672" i="120"/>
  <c r="U673" i="120"/>
  <c r="U674" i="120"/>
  <c r="U675" i="120"/>
  <c r="U676" i="120"/>
  <c r="U677" i="120"/>
  <c r="U678" i="120"/>
  <c r="U679" i="120"/>
  <c r="U680" i="120"/>
  <c r="U681" i="120"/>
  <c r="U682" i="120"/>
  <c r="U683" i="120"/>
  <c r="U684" i="120"/>
  <c r="U685" i="120"/>
  <c r="U686" i="120"/>
  <c r="U687" i="120"/>
  <c r="U688" i="120"/>
  <c r="U689" i="120"/>
  <c r="U690" i="120"/>
  <c r="U691" i="120"/>
  <c r="U692" i="120"/>
  <c r="U693" i="120"/>
  <c r="U694" i="120"/>
  <c r="U695" i="120"/>
  <c r="U696" i="120"/>
  <c r="U697" i="120"/>
  <c r="U698" i="120"/>
  <c r="U699" i="120"/>
  <c r="U700" i="120"/>
  <c r="U701" i="120"/>
  <c r="U702" i="120"/>
  <c r="U703" i="120"/>
  <c r="U704" i="120"/>
  <c r="U705" i="120"/>
  <c r="U706" i="120"/>
  <c r="U707" i="120"/>
  <c r="U708" i="120"/>
  <c r="U709" i="120"/>
  <c r="U710" i="120"/>
  <c r="U711" i="120"/>
  <c r="U712" i="120"/>
  <c r="U713" i="120"/>
  <c r="U714" i="120"/>
  <c r="U715" i="120"/>
  <c r="U716" i="120"/>
  <c r="U717" i="120"/>
  <c r="U718" i="120"/>
  <c r="U719" i="120"/>
  <c r="U720" i="120"/>
  <c r="U721" i="120"/>
  <c r="U722" i="120"/>
  <c r="U723" i="120"/>
  <c r="U724" i="120"/>
  <c r="U725" i="120"/>
  <c r="U726" i="120"/>
  <c r="U727" i="120"/>
  <c r="U728" i="120"/>
  <c r="U729" i="120"/>
  <c r="U730" i="120"/>
  <c r="U731" i="120"/>
  <c r="U732" i="120"/>
  <c r="U733" i="120"/>
  <c r="U734" i="120"/>
  <c r="U735" i="120"/>
  <c r="U736" i="120"/>
  <c r="U737" i="120"/>
  <c r="U738" i="120"/>
  <c r="U739" i="120"/>
  <c r="U740" i="120"/>
  <c r="U741" i="120"/>
  <c r="U742" i="120"/>
  <c r="U743" i="120"/>
  <c r="U744" i="120"/>
  <c r="U745" i="120"/>
  <c r="U746" i="120"/>
  <c r="U747" i="120"/>
  <c r="U748" i="120"/>
  <c r="U749" i="120"/>
  <c r="U750" i="120"/>
  <c r="U751" i="120"/>
  <c r="U752" i="120"/>
  <c r="U753" i="120"/>
  <c r="U754" i="120"/>
  <c r="U755" i="120"/>
  <c r="U756" i="120"/>
  <c r="U757" i="120"/>
  <c r="U758" i="120"/>
  <c r="U759" i="120"/>
  <c r="U760" i="120"/>
  <c r="U761" i="120"/>
  <c r="U762" i="120"/>
  <c r="U763" i="120"/>
  <c r="U764" i="120"/>
  <c r="U765" i="120"/>
  <c r="U766" i="120"/>
  <c r="U767" i="120"/>
  <c r="U768" i="120"/>
  <c r="U769" i="120"/>
  <c r="U770" i="120"/>
  <c r="U771" i="120"/>
  <c r="U772" i="120"/>
  <c r="U773" i="120"/>
  <c r="U774" i="120"/>
  <c r="U775" i="120"/>
  <c r="U776" i="120"/>
  <c r="U777" i="120"/>
  <c r="U778" i="120"/>
  <c r="U779" i="120"/>
  <c r="U780" i="120"/>
  <c r="U781" i="120"/>
  <c r="U782" i="120"/>
  <c r="U783" i="120"/>
  <c r="U784" i="120"/>
  <c r="U785" i="120"/>
  <c r="U786" i="120"/>
  <c r="U787" i="120"/>
  <c r="U788" i="120"/>
  <c r="U789" i="120"/>
  <c r="U790" i="120"/>
  <c r="U791" i="120"/>
  <c r="U792" i="120"/>
  <c r="U793" i="120"/>
  <c r="U794" i="120"/>
  <c r="U795" i="120"/>
  <c r="U796" i="120"/>
  <c r="U797" i="120"/>
  <c r="U798" i="120"/>
  <c r="U799" i="120"/>
  <c r="U800" i="120"/>
  <c r="U801" i="120"/>
  <c r="U802" i="120"/>
  <c r="U803" i="120"/>
  <c r="U804" i="120"/>
  <c r="U805" i="120"/>
  <c r="U806" i="120"/>
  <c r="U807" i="120"/>
  <c r="U808" i="120"/>
  <c r="U809" i="120"/>
  <c r="U810" i="120"/>
  <c r="U811" i="120"/>
  <c r="U812" i="120"/>
  <c r="U813" i="120"/>
  <c r="U814" i="120"/>
  <c r="U815" i="120"/>
  <c r="U816" i="120"/>
  <c r="U817" i="120"/>
  <c r="U818" i="120"/>
  <c r="U819" i="120"/>
  <c r="U820" i="120"/>
  <c r="U821" i="120"/>
  <c r="U822" i="120"/>
  <c r="U823" i="120"/>
  <c r="U824" i="120"/>
  <c r="U825" i="120"/>
  <c r="U826" i="120"/>
  <c r="U827" i="120"/>
  <c r="U828" i="120"/>
  <c r="U829" i="120"/>
  <c r="U830" i="120"/>
  <c r="U831" i="120"/>
  <c r="U832" i="120"/>
  <c r="U833" i="120"/>
  <c r="U834" i="120"/>
  <c r="U835" i="120"/>
  <c r="U836" i="120"/>
  <c r="U837" i="120"/>
  <c r="U838" i="120"/>
  <c r="U839" i="120"/>
  <c r="U840" i="120"/>
  <c r="U841" i="120"/>
  <c r="U842" i="120"/>
  <c r="U843" i="120"/>
  <c r="U844" i="120"/>
  <c r="U845" i="120"/>
  <c r="U846" i="120"/>
  <c r="U847" i="120"/>
  <c r="U848" i="120"/>
  <c r="U849" i="120"/>
  <c r="U850" i="120"/>
  <c r="U851" i="120"/>
  <c r="U852" i="120"/>
  <c r="U853" i="120"/>
  <c r="U854" i="120"/>
  <c r="U855" i="120"/>
  <c r="U856" i="120"/>
  <c r="U857" i="120"/>
  <c r="U858" i="120"/>
  <c r="U859" i="120"/>
  <c r="U860" i="120"/>
  <c r="U861" i="120"/>
  <c r="U862" i="120"/>
  <c r="U863" i="120"/>
  <c r="U864" i="120"/>
  <c r="U865" i="120"/>
  <c r="U866" i="120"/>
  <c r="U867" i="120"/>
  <c r="U868" i="120"/>
  <c r="U869" i="120"/>
  <c r="U870" i="120"/>
  <c r="U871" i="120"/>
  <c r="U872" i="120"/>
  <c r="U873" i="120"/>
  <c r="U874" i="120"/>
  <c r="U875" i="120"/>
  <c r="U876" i="120"/>
  <c r="U877" i="120"/>
  <c r="U878" i="120"/>
  <c r="U879" i="120"/>
  <c r="U880" i="120"/>
  <c r="U881" i="120"/>
  <c r="U882" i="120"/>
  <c r="U883" i="120"/>
  <c r="U884" i="120"/>
  <c r="U885" i="120"/>
  <c r="U886" i="120"/>
  <c r="U887" i="120"/>
  <c r="U888" i="120"/>
  <c r="U889" i="120"/>
  <c r="U890" i="120"/>
  <c r="U891" i="120"/>
  <c r="U892" i="120"/>
  <c r="U893" i="120"/>
  <c r="U894" i="120"/>
  <c r="U895" i="120"/>
  <c r="U896" i="120"/>
  <c r="U897" i="120"/>
  <c r="U898" i="120"/>
  <c r="U899" i="120"/>
  <c r="U900" i="120"/>
  <c r="U901" i="120"/>
  <c r="U902" i="120"/>
  <c r="U903" i="120"/>
  <c r="U904" i="120"/>
  <c r="U905" i="120"/>
  <c r="U906" i="120"/>
  <c r="U907" i="120"/>
  <c r="U908" i="120"/>
  <c r="U909" i="120"/>
  <c r="U910" i="120"/>
  <c r="U911" i="120"/>
  <c r="U912" i="120"/>
  <c r="U913" i="120"/>
  <c r="U914" i="120"/>
  <c r="U915" i="120"/>
  <c r="U916" i="120"/>
  <c r="U917" i="120"/>
  <c r="U918" i="120"/>
  <c r="U919" i="120"/>
  <c r="U920" i="120"/>
  <c r="U921" i="120"/>
  <c r="U922" i="120"/>
  <c r="U923" i="120"/>
  <c r="U924" i="120"/>
  <c r="U925" i="120"/>
  <c r="U926" i="120"/>
  <c r="U927" i="120"/>
  <c r="U928" i="120"/>
  <c r="U929" i="120"/>
  <c r="U930" i="120"/>
  <c r="U931" i="120"/>
  <c r="U932" i="120"/>
  <c r="U933" i="120"/>
  <c r="U934" i="120"/>
  <c r="U935" i="120"/>
  <c r="U936" i="120"/>
  <c r="U937" i="120"/>
  <c r="U938" i="120"/>
  <c r="U939" i="120"/>
  <c r="U940" i="120"/>
  <c r="U941" i="120"/>
  <c r="U942" i="120"/>
  <c r="U943" i="120"/>
  <c r="U944" i="120"/>
  <c r="U945" i="120"/>
  <c r="U946" i="120"/>
  <c r="U947" i="120"/>
  <c r="U948" i="120"/>
  <c r="U949" i="120"/>
  <c r="U950" i="120"/>
  <c r="U951" i="120"/>
  <c r="U952" i="120"/>
  <c r="U953" i="120"/>
  <c r="U954" i="120"/>
  <c r="U955" i="120"/>
  <c r="U956" i="120"/>
  <c r="U957" i="120"/>
  <c r="U958" i="120"/>
  <c r="U959" i="120"/>
  <c r="U960" i="120"/>
  <c r="U961" i="120"/>
  <c r="U962" i="120"/>
  <c r="U963" i="120"/>
  <c r="U964" i="120"/>
  <c r="U965" i="120"/>
  <c r="U966" i="120"/>
  <c r="U967" i="120"/>
  <c r="U968" i="120"/>
  <c r="U969" i="120"/>
  <c r="U970" i="120"/>
  <c r="U971" i="120"/>
  <c r="U972" i="120"/>
  <c r="U973" i="120"/>
  <c r="U974" i="120"/>
  <c r="U975" i="120"/>
  <c r="U976" i="120"/>
  <c r="U977" i="120"/>
  <c r="U978" i="120"/>
  <c r="U979" i="120"/>
  <c r="U980" i="120"/>
  <c r="U981" i="120"/>
  <c r="U982" i="120"/>
  <c r="U983" i="120"/>
  <c r="U984" i="120"/>
  <c r="U985" i="120"/>
  <c r="U986" i="120"/>
  <c r="U987" i="120"/>
  <c r="U988" i="120"/>
  <c r="U989" i="120"/>
  <c r="U990" i="120"/>
  <c r="U991" i="120"/>
  <c r="U992" i="120"/>
  <c r="U993" i="120"/>
  <c r="U994" i="120"/>
  <c r="U995" i="120"/>
  <c r="U996" i="120"/>
  <c r="U997" i="120"/>
  <c r="U998" i="120"/>
  <c r="U999" i="120"/>
  <c r="U1000" i="120"/>
  <c r="U1001" i="120"/>
  <c r="U1002" i="120"/>
  <c r="U1003" i="120"/>
  <c r="U1004" i="120"/>
  <c r="U1005" i="120"/>
  <c r="U1006" i="120"/>
  <c r="U1007" i="120"/>
  <c r="U1008" i="120"/>
  <c r="U1009" i="120"/>
  <c r="U1010" i="120"/>
  <c r="U1011" i="120"/>
  <c r="U1012" i="120"/>
  <c r="U1013" i="120"/>
  <c r="U1014" i="120"/>
  <c r="U1015" i="120"/>
  <c r="U1016" i="120"/>
  <c r="U1017" i="120"/>
  <c r="U1018" i="120"/>
  <c r="U1019" i="120"/>
  <c r="U1020" i="120"/>
  <c r="U1021" i="120"/>
  <c r="U1022" i="120"/>
  <c r="U1023" i="120"/>
  <c r="U1024" i="120"/>
  <c r="U1025" i="120"/>
  <c r="U1026" i="120"/>
  <c r="G125" i="60"/>
  <c r="G126" i="60"/>
  <c r="G127" i="60"/>
  <c r="G124" i="60"/>
  <c r="L425" i="109"/>
  <c r="N425" i="46" s="1"/>
  <c r="L423" i="109"/>
  <c r="N423" i="46" s="1"/>
  <c r="L422" i="109"/>
  <c r="N422" i="46" s="1"/>
  <c r="L421" i="109"/>
  <c r="N421" i="46" s="1"/>
  <c r="L420" i="109"/>
  <c r="N420" i="46" s="1"/>
  <c r="L418" i="109"/>
  <c r="N418" i="46" s="1"/>
  <c r="L416" i="109"/>
  <c r="N416" i="46" s="1"/>
  <c r="L415" i="109"/>
  <c r="N415" i="46" s="1"/>
  <c r="L414" i="109"/>
  <c r="N414" i="46" s="1"/>
  <c r="L413" i="109"/>
  <c r="N413" i="46" s="1"/>
  <c r="L411" i="109"/>
  <c r="N411" i="46" s="1"/>
  <c r="L409" i="109"/>
  <c r="N409" i="46" s="1"/>
  <c r="L408" i="109"/>
  <c r="N408" i="46" s="1"/>
  <c r="L407" i="109"/>
  <c r="N407" i="46" s="1"/>
  <c r="L406" i="109"/>
  <c r="N406" i="46" s="1"/>
  <c r="L400" i="109"/>
  <c r="N400" i="46" s="1"/>
  <c r="L397" i="109"/>
  <c r="N397" i="46" s="1"/>
  <c r="S19" i="126"/>
  <c r="S23" i="126" s="1"/>
  <c r="B639" i="46"/>
  <c r="B636" i="46"/>
  <c r="B637" i="46"/>
  <c r="B638" i="46"/>
  <c r="B633" i="46"/>
  <c r="B632" i="46"/>
  <c r="T15" i="126"/>
  <c r="T16" i="126"/>
  <c r="T17" i="126"/>
  <c r="T18" i="126"/>
  <c r="G146" i="60"/>
  <c r="S16" i="126" s="1"/>
  <c r="G147" i="60"/>
  <c r="S17" i="126" s="1"/>
  <c r="G148" i="60"/>
  <c r="S18" i="126" s="1"/>
  <c r="G145" i="60"/>
  <c r="S15" i="126" s="1"/>
  <c r="H425" i="109"/>
  <c r="J425" i="109" s="1"/>
  <c r="H424" i="109"/>
  <c r="J424" i="109" s="1"/>
  <c r="H423" i="109"/>
  <c r="J423" i="109" s="1"/>
  <c r="H422" i="109"/>
  <c r="J422" i="109" s="1"/>
  <c r="H421" i="109"/>
  <c r="J421" i="109" s="1"/>
  <c r="H420" i="109"/>
  <c r="J420" i="109" s="1"/>
  <c r="H418" i="109"/>
  <c r="J418" i="109" s="1"/>
  <c r="H417" i="109"/>
  <c r="J417" i="109" s="1"/>
  <c r="H416" i="109"/>
  <c r="J416" i="109" s="1"/>
  <c r="H415" i="109"/>
  <c r="J415" i="109" s="1"/>
  <c r="H414" i="109"/>
  <c r="J414" i="109" s="1"/>
  <c r="H413" i="109"/>
  <c r="J413" i="109" s="1"/>
  <c r="H409" i="109"/>
  <c r="J409" i="109" s="1"/>
  <c r="H408" i="109"/>
  <c r="J408" i="109" s="1"/>
  <c r="H407" i="109"/>
  <c r="J407" i="109" s="1"/>
  <c r="H406" i="109"/>
  <c r="J406" i="109" s="1"/>
  <c r="D496" i="109"/>
  <c r="D499" i="109"/>
  <c r="D498" i="109"/>
  <c r="D497" i="109"/>
  <c r="AO497" i="46" s="1"/>
  <c r="F497" i="46" s="1"/>
  <c r="P1" i="126"/>
  <c r="Q1" i="126" s="1"/>
  <c r="G84" i="125"/>
  <c r="G85" i="125"/>
  <c r="G86" i="125"/>
  <c r="G83" i="125"/>
  <c r="C84" i="125"/>
  <c r="C85" i="125"/>
  <c r="C86" i="125"/>
  <c r="C83" i="125"/>
  <c r="L46" i="60"/>
  <c r="Q5" i="120" s="1"/>
  <c r="G42" i="60"/>
  <c r="G152" i="60"/>
  <c r="C91" i="125"/>
  <c r="C90" i="125"/>
  <c r="F5" i="120"/>
  <c r="C19" i="120" s="1"/>
  <c r="D19" i="120" s="1"/>
  <c r="Q25" i="56"/>
  <c r="E261" i="109"/>
  <c r="F55" i="56"/>
  <c r="AD98" i="109"/>
  <c r="F48" i="56"/>
  <c r="I41" i="56"/>
  <c r="I39" i="56"/>
  <c r="I37" i="56"/>
  <c r="I35" i="56"/>
  <c r="I32" i="56"/>
  <c r="I30" i="56"/>
  <c r="I40" i="56"/>
  <c r="I38" i="56"/>
  <c r="I36" i="56"/>
  <c r="I34" i="56"/>
  <c r="I31" i="56"/>
  <c r="I29" i="56"/>
  <c r="F45" i="132"/>
  <c r="F46" i="132" s="1"/>
  <c r="Q24" i="56"/>
  <c r="Q23" i="56"/>
  <c r="I17" i="122"/>
  <c r="D503" i="109"/>
  <c r="AO503" i="46" s="1"/>
  <c r="F503" i="46" s="1"/>
  <c r="D504" i="109"/>
  <c r="AO504" i="46" s="1"/>
  <c r="F504" i="46" s="1"/>
  <c r="D505" i="109"/>
  <c r="D502" i="109"/>
  <c r="G28" i="125"/>
  <c r="A510" i="109"/>
  <c r="A509" i="109"/>
  <c r="A508" i="109"/>
  <c r="A507" i="109"/>
  <c r="H496" i="109"/>
  <c r="J496" i="109" s="1"/>
  <c r="D650" i="46"/>
  <c r="BF650" i="46" s="1"/>
  <c r="H11" i="56"/>
  <c r="H495" i="109"/>
  <c r="J495" i="109" s="1"/>
  <c r="K495" i="109" s="1"/>
  <c r="H494" i="109"/>
  <c r="J494" i="109" s="1"/>
  <c r="K494" i="109" s="1"/>
  <c r="H401" i="109"/>
  <c r="J401" i="109" s="1"/>
  <c r="F400" i="109"/>
  <c r="AP400" i="46" s="1"/>
  <c r="H398" i="109"/>
  <c r="J398" i="109" s="1"/>
  <c r="F397" i="109"/>
  <c r="AP397" i="46" s="1"/>
  <c r="E395" i="109"/>
  <c r="AQ395" i="46" s="1"/>
  <c r="E394" i="109"/>
  <c r="AQ394" i="46" s="1"/>
  <c r="E393" i="109"/>
  <c r="AQ393" i="46" s="1"/>
  <c r="E392" i="109"/>
  <c r="AQ392" i="46" s="1"/>
  <c r="E390" i="109"/>
  <c r="AQ390" i="46" s="1"/>
  <c r="E389" i="109"/>
  <c r="AQ389" i="46" s="1"/>
  <c r="E388" i="109"/>
  <c r="AQ388" i="46" s="1"/>
  <c r="E387" i="109"/>
  <c r="AQ387" i="46" s="1"/>
  <c r="G13" i="120"/>
  <c r="C201" i="120" s="1"/>
  <c r="F13" i="120"/>
  <c r="C200" i="120" s="1"/>
  <c r="D548" i="46"/>
  <c r="BF548" i="46" s="1"/>
  <c r="D547" i="46"/>
  <c r="BF547" i="46" s="1"/>
  <c r="D546" i="46"/>
  <c r="BF546" i="46" s="1"/>
  <c r="D545" i="46"/>
  <c r="BF545" i="46" s="1"/>
  <c r="B548" i="46"/>
  <c r="B547" i="46"/>
  <c r="B546" i="46"/>
  <c r="B545" i="46"/>
  <c r="L7" i="137"/>
  <c r="E7" i="137"/>
  <c r="L5" i="137"/>
  <c r="L3" i="137"/>
  <c r="E3" i="137"/>
  <c r="V216" i="137"/>
  <c r="U216" i="137"/>
  <c r="T216" i="137"/>
  <c r="S216" i="137"/>
  <c r="R216" i="137"/>
  <c r="Q216" i="137"/>
  <c r="P216" i="137"/>
  <c r="O216" i="137"/>
  <c r="N216" i="137"/>
  <c r="M216" i="137"/>
  <c r="L216" i="137"/>
  <c r="K216" i="137"/>
  <c r="J216" i="137"/>
  <c r="I216" i="137"/>
  <c r="H216" i="137"/>
  <c r="G216" i="137"/>
  <c r="F216" i="137"/>
  <c r="E216" i="137"/>
  <c r="X210" i="137"/>
  <c r="X207" i="137"/>
  <c r="X208" i="137" s="1"/>
  <c r="V206" i="137"/>
  <c r="V209" i="137" s="1"/>
  <c r="U206" i="137"/>
  <c r="U210" i="137" s="1"/>
  <c r="T206" i="137"/>
  <c r="T209" i="137" s="1"/>
  <c r="S206" i="137"/>
  <c r="S207" i="137" s="1"/>
  <c r="R206" i="137"/>
  <c r="Q206" i="137"/>
  <c r="Q207" i="137" s="1"/>
  <c r="P206" i="137"/>
  <c r="P207" i="137" s="1"/>
  <c r="O206" i="137"/>
  <c r="O207" i="137" s="1"/>
  <c r="N206" i="137"/>
  <c r="M206" i="137"/>
  <c r="M209" i="137" s="1"/>
  <c r="L206" i="137"/>
  <c r="L209" i="137" s="1"/>
  <c r="K206" i="137"/>
  <c r="K207" i="137" s="1"/>
  <c r="J206" i="137"/>
  <c r="J208" i="137" s="1"/>
  <c r="I206" i="137"/>
  <c r="H206" i="137"/>
  <c r="H208" i="137" s="1"/>
  <c r="G206" i="137"/>
  <c r="G209" i="137" s="1"/>
  <c r="F206" i="137"/>
  <c r="E206" i="137"/>
  <c r="E208" i="137" s="1"/>
  <c r="V205" i="137"/>
  <c r="U205" i="137"/>
  <c r="T205" i="137"/>
  <c r="S205" i="137"/>
  <c r="R205" i="137"/>
  <c r="Q205" i="137"/>
  <c r="P205" i="137"/>
  <c r="O205" i="137"/>
  <c r="N205" i="137"/>
  <c r="M205" i="137"/>
  <c r="L205" i="137"/>
  <c r="K205" i="137"/>
  <c r="J205" i="137"/>
  <c r="I205" i="137"/>
  <c r="H205" i="137"/>
  <c r="G205" i="137"/>
  <c r="G210" i="137" s="1"/>
  <c r="F205" i="137"/>
  <c r="E205" i="137"/>
  <c r="E211" i="137" s="1"/>
  <c r="U193" i="137"/>
  <c r="T193" i="137"/>
  <c r="T194" i="137" s="1"/>
  <c r="S193" i="137"/>
  <c r="S194" i="137" s="1"/>
  <c r="R193" i="137"/>
  <c r="Q193" i="137"/>
  <c r="Q194" i="137" s="1"/>
  <c r="P193" i="137"/>
  <c r="P194" i="137" s="1"/>
  <c r="O193" i="137"/>
  <c r="O194" i="137" s="1"/>
  <c r="N193" i="137"/>
  <c r="M193" i="137"/>
  <c r="L193" i="137"/>
  <c r="K193" i="137"/>
  <c r="J193" i="137"/>
  <c r="I193" i="137"/>
  <c r="H193" i="137"/>
  <c r="G193" i="137"/>
  <c r="F193" i="137"/>
  <c r="E193" i="137"/>
  <c r="U181" i="137"/>
  <c r="T181" i="137"/>
  <c r="S181" i="137"/>
  <c r="R181" i="137"/>
  <c r="Q181" i="137"/>
  <c r="P181" i="137"/>
  <c r="O181" i="137"/>
  <c r="O186" i="137"/>
  <c r="N181" i="137"/>
  <c r="M181" i="137"/>
  <c r="L181" i="137"/>
  <c r="K181" i="137"/>
  <c r="K46" i="137" s="1"/>
  <c r="K131" i="137" s="1"/>
  <c r="K186" i="137"/>
  <c r="K45" i="137" s="1"/>
  <c r="J181" i="137"/>
  <c r="I181" i="137"/>
  <c r="H181" i="137"/>
  <c r="G181" i="137"/>
  <c r="G52" i="137" s="1"/>
  <c r="F181" i="137"/>
  <c r="E181" i="137"/>
  <c r="U176" i="137"/>
  <c r="U195" i="137" s="1"/>
  <c r="T176" i="137"/>
  <c r="S176" i="137"/>
  <c r="S195" i="137" s="1"/>
  <c r="R176" i="137"/>
  <c r="R195" i="137" s="1"/>
  <c r="Q176" i="137"/>
  <c r="Q195" i="137" s="1"/>
  <c r="P176" i="137"/>
  <c r="P195" i="137" s="1"/>
  <c r="O176" i="137"/>
  <c r="O195" i="137" s="1"/>
  <c r="N176" i="137"/>
  <c r="N195" i="137" s="1"/>
  <c r="M176" i="137"/>
  <c r="M195" i="137" s="1"/>
  <c r="L176" i="137"/>
  <c r="L195" i="137" s="1"/>
  <c r="L196" i="137" s="1"/>
  <c r="L182" i="137"/>
  <c r="K176" i="137"/>
  <c r="K195" i="137" s="1"/>
  <c r="J176" i="137"/>
  <c r="J195" i="137" s="1"/>
  <c r="I176" i="137"/>
  <c r="I195" i="137" s="1"/>
  <c r="H176" i="137"/>
  <c r="H195" i="137" s="1"/>
  <c r="G176" i="137"/>
  <c r="G195" i="137" s="1"/>
  <c r="F176" i="137"/>
  <c r="F195" i="137" s="1"/>
  <c r="E176" i="137"/>
  <c r="E195" i="137" s="1"/>
  <c r="U167" i="137"/>
  <c r="U168" i="137" s="1"/>
  <c r="T167" i="137"/>
  <c r="T168" i="137" s="1"/>
  <c r="S167" i="137"/>
  <c r="S168" i="137" s="1"/>
  <c r="R167" i="137"/>
  <c r="R168" i="137" s="1"/>
  <c r="Q167" i="137"/>
  <c r="Q168" i="137" s="1"/>
  <c r="P167" i="137"/>
  <c r="P168" i="137" s="1"/>
  <c r="O167" i="137"/>
  <c r="O168" i="137" s="1"/>
  <c r="N167" i="137"/>
  <c r="N168" i="137" s="1"/>
  <c r="M167" i="137"/>
  <c r="M168" i="137" s="1"/>
  <c r="L167" i="137"/>
  <c r="L168" i="137" s="1"/>
  <c r="K167" i="137"/>
  <c r="K168" i="137" s="1"/>
  <c r="J167" i="137"/>
  <c r="J168" i="137" s="1"/>
  <c r="I167" i="137"/>
  <c r="I168" i="137" s="1"/>
  <c r="H167" i="137"/>
  <c r="H168" i="137" s="1"/>
  <c r="G167" i="137"/>
  <c r="G168" i="137" s="1"/>
  <c r="F167" i="137"/>
  <c r="F168" i="137" s="1"/>
  <c r="E167" i="137"/>
  <c r="E168" i="137" s="1"/>
  <c r="U163" i="137"/>
  <c r="U164" i="137" s="1"/>
  <c r="U156" i="137"/>
  <c r="T163" i="137"/>
  <c r="T164" i="137" s="1"/>
  <c r="T156" i="137"/>
  <c r="S163" i="137"/>
  <c r="S164" i="137" s="1"/>
  <c r="S156" i="137"/>
  <c r="R163" i="137"/>
  <c r="R164" i="137" s="1"/>
  <c r="R156" i="137"/>
  <c r="Q163" i="137"/>
  <c r="Q164" i="137" s="1"/>
  <c r="Q156" i="137"/>
  <c r="P163" i="137"/>
  <c r="P164" i="137" s="1"/>
  <c r="P156" i="137"/>
  <c r="O163" i="137"/>
  <c r="O164" i="137" s="1"/>
  <c r="O156" i="137"/>
  <c r="N163" i="137"/>
  <c r="N164" i="137" s="1"/>
  <c r="N156" i="137"/>
  <c r="M163" i="137"/>
  <c r="M164" i="137" s="1"/>
  <c r="M156" i="137"/>
  <c r="L163" i="137"/>
  <c r="L164" i="137" s="1"/>
  <c r="L156" i="137"/>
  <c r="K163" i="137"/>
  <c r="K164" i="137" s="1"/>
  <c r="K156" i="137"/>
  <c r="J163" i="137"/>
  <c r="J164" i="137" s="1"/>
  <c r="J156" i="137"/>
  <c r="I163" i="137"/>
  <c r="I164" i="137" s="1"/>
  <c r="I156" i="137"/>
  <c r="H163" i="137"/>
  <c r="H164" i="137" s="1"/>
  <c r="H156" i="137"/>
  <c r="G163" i="137"/>
  <c r="G164" i="137" s="1"/>
  <c r="G156" i="137"/>
  <c r="F163" i="137"/>
  <c r="F164" i="137" s="1"/>
  <c r="F156" i="137"/>
  <c r="E163" i="137"/>
  <c r="E164" i="137" s="1"/>
  <c r="E156" i="137"/>
  <c r="U159" i="137"/>
  <c r="T159" i="137"/>
  <c r="S159" i="137"/>
  <c r="R159" i="137"/>
  <c r="Q159" i="137"/>
  <c r="P159" i="137"/>
  <c r="O159" i="137"/>
  <c r="N159" i="137"/>
  <c r="M159" i="137"/>
  <c r="L159" i="137"/>
  <c r="K159" i="137"/>
  <c r="J159" i="137"/>
  <c r="I159" i="137"/>
  <c r="H159" i="137"/>
  <c r="G159" i="137"/>
  <c r="F159" i="137"/>
  <c r="E159" i="137"/>
  <c r="U158" i="137"/>
  <c r="T158" i="137"/>
  <c r="S158" i="137"/>
  <c r="R158" i="137"/>
  <c r="Q158" i="137"/>
  <c r="P158" i="137"/>
  <c r="O158" i="137"/>
  <c r="N158" i="137"/>
  <c r="M158" i="137"/>
  <c r="L158" i="137"/>
  <c r="K158" i="137"/>
  <c r="J158" i="137"/>
  <c r="I158" i="137"/>
  <c r="H158" i="137"/>
  <c r="G158" i="137"/>
  <c r="F158" i="137"/>
  <c r="E158" i="137"/>
  <c r="U146" i="137"/>
  <c r="T146" i="137"/>
  <c r="T169" i="137" s="1"/>
  <c r="T170" i="137" s="1"/>
  <c r="S146" i="137"/>
  <c r="S169" i="137" s="1"/>
  <c r="S170" i="137" s="1"/>
  <c r="R146" i="137"/>
  <c r="R169" i="137" s="1"/>
  <c r="R170" i="137" s="1"/>
  <c r="Q146" i="137"/>
  <c r="Q165" i="137" s="1"/>
  <c r="Q166" i="137" s="1"/>
  <c r="P146" i="137"/>
  <c r="O146" i="137"/>
  <c r="O169" i="137" s="1"/>
  <c r="O170" i="137" s="1"/>
  <c r="N146" i="137"/>
  <c r="N169" i="137" s="1"/>
  <c r="N170" i="137" s="1"/>
  <c r="M146" i="137"/>
  <c r="M165" i="137" s="1"/>
  <c r="M166" i="137" s="1"/>
  <c r="M157" i="137"/>
  <c r="L146" i="137"/>
  <c r="L169" i="137" s="1"/>
  <c r="L170" i="137" s="1"/>
  <c r="K146" i="137"/>
  <c r="K157" i="137"/>
  <c r="J146" i="137"/>
  <c r="I146" i="137"/>
  <c r="I165" i="137" s="1"/>
  <c r="I166" i="137" s="1"/>
  <c r="I157" i="137"/>
  <c r="H146" i="137"/>
  <c r="H169" i="137" s="1"/>
  <c r="H170" i="137" s="1"/>
  <c r="G146" i="137"/>
  <c r="G169" i="137" s="1"/>
  <c r="G170" i="137" s="1"/>
  <c r="F146" i="137"/>
  <c r="F165" i="137" s="1"/>
  <c r="F166" i="137" s="1"/>
  <c r="F157" i="137"/>
  <c r="E146" i="137"/>
  <c r="U111" i="137"/>
  <c r="T111" i="137"/>
  <c r="T131" i="137" s="1"/>
  <c r="S111" i="137"/>
  <c r="R111" i="137"/>
  <c r="R121" i="137" s="1"/>
  <c r="Q111" i="137"/>
  <c r="Q117" i="137" s="1"/>
  <c r="P111" i="137"/>
  <c r="P117" i="137" s="1"/>
  <c r="O111" i="137"/>
  <c r="N111" i="137"/>
  <c r="N117" i="137" s="1"/>
  <c r="M111" i="137"/>
  <c r="M117" i="137" s="1"/>
  <c r="L111" i="137"/>
  <c r="K111" i="137"/>
  <c r="K121" i="137" s="1"/>
  <c r="J111" i="137"/>
  <c r="J121" i="137" s="1"/>
  <c r="I111" i="137"/>
  <c r="I117" i="137" s="1"/>
  <c r="H111" i="137"/>
  <c r="H121" i="137" s="1"/>
  <c r="G111" i="137"/>
  <c r="F111" i="137"/>
  <c r="E111" i="137"/>
  <c r="U97" i="137"/>
  <c r="U96" i="137" s="1"/>
  <c r="U95" i="137" s="1"/>
  <c r="U94" i="137" s="1"/>
  <c r="U93" i="137" s="1"/>
  <c r="U92" i="137" s="1"/>
  <c r="U91" i="137" s="1"/>
  <c r="U57" i="137" s="1"/>
  <c r="U56" i="137" s="1"/>
  <c r="T97" i="137"/>
  <c r="T96" i="137" s="1"/>
  <c r="T95" i="137" s="1"/>
  <c r="T94" i="137" s="1"/>
  <c r="T93" i="137" s="1"/>
  <c r="T92" i="137" s="1"/>
  <c r="T91" i="137" s="1"/>
  <c r="T57" i="137" s="1"/>
  <c r="T56" i="137" s="1"/>
  <c r="S97" i="137"/>
  <c r="S96" i="137" s="1"/>
  <c r="S95" i="137" s="1"/>
  <c r="S94" i="137" s="1"/>
  <c r="S93" i="137" s="1"/>
  <c r="S92" i="137" s="1"/>
  <c r="S91" i="137" s="1"/>
  <c r="S57" i="137" s="1"/>
  <c r="S56" i="137" s="1"/>
  <c r="R97" i="137"/>
  <c r="R96" i="137" s="1"/>
  <c r="R95" i="137" s="1"/>
  <c r="R94" i="137" s="1"/>
  <c r="R93" i="137" s="1"/>
  <c r="R92" i="137" s="1"/>
  <c r="R91" i="137" s="1"/>
  <c r="R57" i="137" s="1"/>
  <c r="R56" i="137" s="1"/>
  <c r="Q97" i="137"/>
  <c r="Q96" i="137" s="1"/>
  <c r="Q95" i="137" s="1"/>
  <c r="Q94" i="137" s="1"/>
  <c r="Q93" i="137" s="1"/>
  <c r="Q92" i="137" s="1"/>
  <c r="Q91" i="137" s="1"/>
  <c r="Q57" i="137" s="1"/>
  <c r="Q56" i="137" s="1"/>
  <c r="P97" i="137"/>
  <c r="P96" i="137" s="1"/>
  <c r="P95" i="137" s="1"/>
  <c r="P94" i="137" s="1"/>
  <c r="P93" i="137" s="1"/>
  <c r="P92" i="137" s="1"/>
  <c r="P91" i="137" s="1"/>
  <c r="P57" i="137" s="1"/>
  <c r="P56" i="137" s="1"/>
  <c r="O97" i="137"/>
  <c r="O96" i="137" s="1"/>
  <c r="O95" i="137" s="1"/>
  <c r="O94" i="137" s="1"/>
  <c r="O93" i="137" s="1"/>
  <c r="O92" i="137" s="1"/>
  <c r="O91" i="137" s="1"/>
  <c r="O57" i="137" s="1"/>
  <c r="O56" i="137" s="1"/>
  <c r="N97" i="137"/>
  <c r="N96" i="137" s="1"/>
  <c r="N95" i="137" s="1"/>
  <c r="N94" i="137" s="1"/>
  <c r="N93" i="137" s="1"/>
  <c r="N92" i="137" s="1"/>
  <c r="N91" i="137" s="1"/>
  <c r="N57" i="137" s="1"/>
  <c r="N56" i="137" s="1"/>
  <c r="M97" i="137"/>
  <c r="M96" i="137" s="1"/>
  <c r="M95" i="137" s="1"/>
  <c r="M94" i="137" s="1"/>
  <c r="M93" i="137" s="1"/>
  <c r="M92" i="137" s="1"/>
  <c r="M91" i="137" s="1"/>
  <c r="M57" i="137" s="1"/>
  <c r="M56" i="137" s="1"/>
  <c r="L97" i="137"/>
  <c r="L96" i="137" s="1"/>
  <c r="L95" i="137" s="1"/>
  <c r="L94" i="137" s="1"/>
  <c r="L93" i="137" s="1"/>
  <c r="L92" i="137" s="1"/>
  <c r="L91" i="137" s="1"/>
  <c r="L57" i="137" s="1"/>
  <c r="L56" i="137" s="1"/>
  <c r="K97" i="137"/>
  <c r="K96" i="137" s="1"/>
  <c r="K95" i="137" s="1"/>
  <c r="K94" i="137" s="1"/>
  <c r="K93" i="137" s="1"/>
  <c r="K92" i="137" s="1"/>
  <c r="K91" i="137" s="1"/>
  <c r="K57" i="137" s="1"/>
  <c r="K56" i="137" s="1"/>
  <c r="J97" i="137"/>
  <c r="J96" i="137" s="1"/>
  <c r="J95" i="137" s="1"/>
  <c r="J94" i="137" s="1"/>
  <c r="J93" i="137" s="1"/>
  <c r="J92" i="137" s="1"/>
  <c r="J91" i="137" s="1"/>
  <c r="J57" i="137" s="1"/>
  <c r="J56" i="137" s="1"/>
  <c r="I97" i="137"/>
  <c r="I96" i="137" s="1"/>
  <c r="I95" i="137" s="1"/>
  <c r="I94" i="137" s="1"/>
  <c r="I93" i="137" s="1"/>
  <c r="I92" i="137" s="1"/>
  <c r="I91" i="137" s="1"/>
  <c r="I57" i="137" s="1"/>
  <c r="I56" i="137" s="1"/>
  <c r="H97" i="137"/>
  <c r="H96" i="137" s="1"/>
  <c r="H95" i="137" s="1"/>
  <c r="H94" i="137" s="1"/>
  <c r="H93" i="137" s="1"/>
  <c r="H92" i="137" s="1"/>
  <c r="H91" i="137" s="1"/>
  <c r="H57" i="137" s="1"/>
  <c r="H56" i="137" s="1"/>
  <c r="G97" i="137"/>
  <c r="G96" i="137" s="1"/>
  <c r="G95" i="137" s="1"/>
  <c r="G94" i="137" s="1"/>
  <c r="G93" i="137" s="1"/>
  <c r="G92" i="137" s="1"/>
  <c r="G91" i="137" s="1"/>
  <c r="G57" i="137" s="1"/>
  <c r="G56" i="137" s="1"/>
  <c r="F97" i="137"/>
  <c r="F96" i="137" s="1"/>
  <c r="F95" i="137" s="1"/>
  <c r="F94" i="137" s="1"/>
  <c r="F93" i="137" s="1"/>
  <c r="F92" i="137" s="1"/>
  <c r="F91" i="137" s="1"/>
  <c r="F57" i="137" s="1"/>
  <c r="F56" i="137" s="1"/>
  <c r="E97" i="137"/>
  <c r="E96" i="137" s="1"/>
  <c r="E94" i="137"/>
  <c r="E93" i="137" s="1"/>
  <c r="E92" i="137" s="1"/>
  <c r="E91" i="137" s="1"/>
  <c r="E57" i="137" s="1"/>
  <c r="E56" i="137" s="1"/>
  <c r="D52" i="137"/>
  <c r="C52" i="137"/>
  <c r="D51" i="137"/>
  <c r="C51" i="137"/>
  <c r="U50" i="137"/>
  <c r="T50" i="137"/>
  <c r="S50" i="137"/>
  <c r="R50" i="137"/>
  <c r="Q50" i="137"/>
  <c r="P50" i="137"/>
  <c r="O50" i="137"/>
  <c r="N50" i="137"/>
  <c r="M50" i="137"/>
  <c r="L50" i="137"/>
  <c r="K50" i="137"/>
  <c r="J50" i="137"/>
  <c r="I50" i="137"/>
  <c r="H50" i="137"/>
  <c r="G50" i="137"/>
  <c r="F50" i="137"/>
  <c r="E50" i="137"/>
  <c r="D50" i="137"/>
  <c r="C50" i="137"/>
  <c r="D48" i="137"/>
  <c r="C48" i="137"/>
  <c r="D46" i="137"/>
  <c r="C46" i="137"/>
  <c r="D45" i="137"/>
  <c r="C45" i="137"/>
  <c r="R44" i="137"/>
  <c r="Q44" i="137"/>
  <c r="P44" i="137"/>
  <c r="O44" i="137"/>
  <c r="N44" i="137"/>
  <c r="M44" i="137"/>
  <c r="L44" i="137"/>
  <c r="K44" i="137"/>
  <c r="J44" i="137"/>
  <c r="I44" i="137"/>
  <c r="H44" i="137"/>
  <c r="G44" i="137"/>
  <c r="F44" i="137"/>
  <c r="E44" i="137"/>
  <c r="D44" i="137"/>
  <c r="C44" i="137"/>
  <c r="D42" i="137"/>
  <c r="C42" i="137"/>
  <c r="R41" i="137"/>
  <c r="Q41" i="137"/>
  <c r="P41" i="137"/>
  <c r="O41" i="137"/>
  <c r="N41" i="137"/>
  <c r="M41" i="137"/>
  <c r="L41" i="137"/>
  <c r="K41" i="137"/>
  <c r="J41" i="137"/>
  <c r="I41" i="137"/>
  <c r="H41" i="137"/>
  <c r="G41" i="137"/>
  <c r="F41" i="137"/>
  <c r="E41" i="137"/>
  <c r="R40" i="137"/>
  <c r="Q40" i="137"/>
  <c r="P40" i="137"/>
  <c r="O40" i="137"/>
  <c r="N40" i="137"/>
  <c r="M40" i="137"/>
  <c r="L40" i="137"/>
  <c r="K40" i="137"/>
  <c r="J40" i="137"/>
  <c r="I40" i="137"/>
  <c r="H40" i="137"/>
  <c r="G40" i="137"/>
  <c r="F40" i="137"/>
  <c r="E40" i="137"/>
  <c r="C38" i="137"/>
  <c r="C37" i="137"/>
  <c r="C35" i="137"/>
  <c r="U27" i="137"/>
  <c r="T27" i="137"/>
  <c r="S27" i="137"/>
  <c r="R27" i="137"/>
  <c r="Q27" i="137"/>
  <c r="P27" i="137"/>
  <c r="O27" i="137"/>
  <c r="N27" i="137"/>
  <c r="M27" i="137"/>
  <c r="L27" i="137"/>
  <c r="K27" i="137"/>
  <c r="J27" i="137"/>
  <c r="I27" i="137"/>
  <c r="H27" i="137"/>
  <c r="G27" i="137"/>
  <c r="F27" i="137"/>
  <c r="E27" i="137"/>
  <c r="U24" i="137"/>
  <c r="U28" i="137" s="1"/>
  <c r="T24" i="137"/>
  <c r="T28" i="137" s="1"/>
  <c r="S24" i="137"/>
  <c r="S28" i="137" s="1"/>
  <c r="R24" i="137"/>
  <c r="R28" i="137" s="1"/>
  <c r="Q24" i="137"/>
  <c r="Q28" i="137" s="1"/>
  <c r="P24" i="137"/>
  <c r="P28" i="137" s="1"/>
  <c r="O24" i="137"/>
  <c r="O28" i="137" s="1"/>
  <c r="U22" i="137"/>
  <c r="T22" i="137"/>
  <c r="S22" i="137"/>
  <c r="R22" i="137"/>
  <c r="Q22" i="137"/>
  <c r="P22" i="137"/>
  <c r="O22" i="137"/>
  <c r="H22" i="137"/>
  <c r="G22" i="137"/>
  <c r="U21" i="137"/>
  <c r="T21" i="137"/>
  <c r="S21" i="137"/>
  <c r="R21" i="137"/>
  <c r="Q21" i="137"/>
  <c r="P21" i="137"/>
  <c r="O21" i="137"/>
  <c r="H21" i="137"/>
  <c r="G21" i="137"/>
  <c r="O3" i="137"/>
  <c r="Q188" i="120"/>
  <c r="F6" i="125"/>
  <c r="H251" i="109"/>
  <c r="J251" i="109" s="1"/>
  <c r="C55" i="120"/>
  <c r="C54" i="120"/>
  <c r="F4" i="120"/>
  <c r="Q179" i="120"/>
  <c r="R179" i="120"/>
  <c r="Q180" i="120"/>
  <c r="R180" i="120"/>
  <c r="Q181" i="120"/>
  <c r="R181" i="120"/>
  <c r="Q182" i="120"/>
  <c r="R182" i="120"/>
  <c r="Q183" i="120"/>
  <c r="R183" i="120"/>
  <c r="Q184" i="120"/>
  <c r="R184" i="120"/>
  <c r="Q185" i="120"/>
  <c r="R185" i="120"/>
  <c r="Q186" i="120"/>
  <c r="R186" i="120"/>
  <c r="Q187" i="120"/>
  <c r="R187" i="120"/>
  <c r="R188" i="120"/>
  <c r="Q189" i="120"/>
  <c r="R189" i="120"/>
  <c r="Q190" i="120"/>
  <c r="R190" i="120"/>
  <c r="Q191" i="120"/>
  <c r="R191" i="120"/>
  <c r="Q192" i="120"/>
  <c r="R192" i="120"/>
  <c r="Q193" i="120"/>
  <c r="R193" i="120"/>
  <c r="Q194" i="120"/>
  <c r="R194" i="120"/>
  <c r="Q195" i="120"/>
  <c r="R195" i="120"/>
  <c r="Q196" i="120"/>
  <c r="R196" i="120"/>
  <c r="Q197" i="120"/>
  <c r="R197" i="120"/>
  <c r="R178" i="120"/>
  <c r="Q178" i="120"/>
  <c r="AO564" i="46"/>
  <c r="F564" i="46" s="1"/>
  <c r="AP564" i="46"/>
  <c r="H564" i="46" s="1"/>
  <c r="AQ564" i="46"/>
  <c r="J564" i="46" s="1"/>
  <c r="AO565" i="46"/>
  <c r="F565" i="46" s="1"/>
  <c r="AP565" i="46"/>
  <c r="H565" i="46" s="1"/>
  <c r="AQ565" i="46"/>
  <c r="J565" i="46" s="1"/>
  <c r="AO566" i="46"/>
  <c r="F566" i="46" s="1"/>
  <c r="AP566" i="46"/>
  <c r="H566" i="46" s="1"/>
  <c r="AQ566" i="46"/>
  <c r="J566" i="46" s="1"/>
  <c r="AO567" i="46"/>
  <c r="F567" i="46" s="1"/>
  <c r="AP567" i="46"/>
  <c r="H567" i="46" s="1"/>
  <c r="AQ567" i="46"/>
  <c r="J567" i="46" s="1"/>
  <c r="AO568" i="46"/>
  <c r="F568" i="46" s="1"/>
  <c r="AP568" i="46"/>
  <c r="H568" i="46" s="1"/>
  <c r="AQ568" i="46"/>
  <c r="J568" i="46" s="1"/>
  <c r="AO569" i="46"/>
  <c r="F569" i="46" s="1"/>
  <c r="AP569" i="46"/>
  <c r="H569" i="46" s="1"/>
  <c r="AQ569" i="46"/>
  <c r="J569" i="46" s="1"/>
  <c r="AO570" i="46"/>
  <c r="F570" i="46" s="1"/>
  <c r="AP570" i="46"/>
  <c r="H570" i="46" s="1"/>
  <c r="AQ570" i="46"/>
  <c r="J570" i="46" s="1"/>
  <c r="AO571" i="46"/>
  <c r="F571" i="46" s="1"/>
  <c r="AP571" i="46"/>
  <c r="H571" i="46" s="1"/>
  <c r="AQ571" i="46"/>
  <c r="J571" i="46" s="1"/>
  <c r="AO572" i="46"/>
  <c r="F572" i="46" s="1"/>
  <c r="AP572" i="46"/>
  <c r="H572" i="46" s="1"/>
  <c r="AQ572" i="46"/>
  <c r="J572" i="46" s="1"/>
  <c r="AO573" i="46"/>
  <c r="F573" i="46" s="1"/>
  <c r="AP573" i="46"/>
  <c r="H573" i="46" s="1"/>
  <c r="AQ573" i="46"/>
  <c r="J573" i="46" s="1"/>
  <c r="AO574" i="46"/>
  <c r="F574" i="46" s="1"/>
  <c r="AP574" i="46"/>
  <c r="H574" i="46" s="1"/>
  <c r="AQ574" i="46"/>
  <c r="J574" i="46" s="1"/>
  <c r="AO575" i="46"/>
  <c r="F575" i="46" s="1"/>
  <c r="AP575" i="46"/>
  <c r="H575" i="46" s="1"/>
  <c r="AQ575" i="46"/>
  <c r="J575" i="46" s="1"/>
  <c r="AO576" i="46"/>
  <c r="F576" i="46" s="1"/>
  <c r="AP576" i="46"/>
  <c r="H576" i="46" s="1"/>
  <c r="AQ576" i="46"/>
  <c r="J576" i="46" s="1"/>
  <c r="AO577" i="46"/>
  <c r="F577" i="46" s="1"/>
  <c r="AP577" i="46"/>
  <c r="H577" i="46" s="1"/>
  <c r="AQ577" i="46"/>
  <c r="J577" i="46" s="1"/>
  <c r="AO578" i="46"/>
  <c r="F578" i="46" s="1"/>
  <c r="AP578" i="46"/>
  <c r="H578" i="46" s="1"/>
  <c r="AQ578" i="46"/>
  <c r="J578" i="46" s="1"/>
  <c r="AO579" i="46"/>
  <c r="F579" i="46" s="1"/>
  <c r="AP579" i="46"/>
  <c r="H579" i="46" s="1"/>
  <c r="AQ579" i="46"/>
  <c r="J579" i="46" s="1"/>
  <c r="AO580" i="46"/>
  <c r="F580" i="46" s="1"/>
  <c r="AP580" i="46"/>
  <c r="H580" i="46" s="1"/>
  <c r="AQ580" i="46"/>
  <c r="J580" i="46" s="1"/>
  <c r="AO581" i="46"/>
  <c r="F581" i="46" s="1"/>
  <c r="AP581" i="46"/>
  <c r="H581" i="46" s="1"/>
  <c r="AQ581" i="46"/>
  <c r="J581" i="46" s="1"/>
  <c r="AO582" i="46"/>
  <c r="F582" i="46" s="1"/>
  <c r="AP582" i="46"/>
  <c r="H582" i="46" s="1"/>
  <c r="AQ582" i="46"/>
  <c r="J582" i="46" s="1"/>
  <c r="AO583" i="46"/>
  <c r="F583" i="46" s="1"/>
  <c r="AP583" i="46"/>
  <c r="H583" i="46" s="1"/>
  <c r="AQ583" i="46"/>
  <c r="J583" i="46" s="1"/>
  <c r="AO584" i="46"/>
  <c r="F584" i="46" s="1"/>
  <c r="AP584" i="46"/>
  <c r="H584" i="46" s="1"/>
  <c r="AQ584" i="46"/>
  <c r="J584" i="46" s="1"/>
  <c r="AO585" i="46"/>
  <c r="F585" i="46" s="1"/>
  <c r="AP585" i="46"/>
  <c r="H585" i="46" s="1"/>
  <c r="AQ585" i="46"/>
  <c r="J585" i="46" s="1"/>
  <c r="AO586" i="46"/>
  <c r="F586" i="46" s="1"/>
  <c r="AP586" i="46"/>
  <c r="H586" i="46" s="1"/>
  <c r="AQ586" i="46"/>
  <c r="J586" i="46" s="1"/>
  <c r="AO587" i="46"/>
  <c r="F587" i="46" s="1"/>
  <c r="AP587" i="46"/>
  <c r="H587" i="46" s="1"/>
  <c r="AQ587" i="46"/>
  <c r="J587" i="46" s="1"/>
  <c r="AO588" i="46"/>
  <c r="F588" i="46" s="1"/>
  <c r="AP588" i="46"/>
  <c r="H588" i="46" s="1"/>
  <c r="AQ588" i="46"/>
  <c r="J588" i="46" s="1"/>
  <c r="AO589" i="46"/>
  <c r="F589" i="46" s="1"/>
  <c r="AP589" i="46"/>
  <c r="H589" i="46" s="1"/>
  <c r="AQ589" i="46"/>
  <c r="J589" i="46" s="1"/>
  <c r="AO590" i="46"/>
  <c r="F590" i="46" s="1"/>
  <c r="AP590" i="46"/>
  <c r="H590" i="46" s="1"/>
  <c r="AQ590" i="46"/>
  <c r="J590" i="46" s="1"/>
  <c r="AO591" i="46"/>
  <c r="F591" i="46" s="1"/>
  <c r="AP591" i="46"/>
  <c r="H591" i="46" s="1"/>
  <c r="AQ591" i="46"/>
  <c r="J591" i="46" s="1"/>
  <c r="AO592" i="46"/>
  <c r="F592" i="46" s="1"/>
  <c r="AP592" i="46"/>
  <c r="H592" i="46" s="1"/>
  <c r="AQ592" i="46"/>
  <c r="J592" i="46" s="1"/>
  <c r="AQ563" i="46"/>
  <c r="J563" i="46" s="1"/>
  <c r="AP563" i="46"/>
  <c r="H563" i="46" s="1"/>
  <c r="AO563" i="46"/>
  <c r="F563" i="46" s="1"/>
  <c r="AQ562" i="46"/>
  <c r="J562" i="46" s="1"/>
  <c r="AP562" i="46"/>
  <c r="H562" i="46" s="1"/>
  <c r="AO562" i="46"/>
  <c r="F562" i="46" s="1"/>
  <c r="AQ561" i="46"/>
  <c r="J561" i="46" s="1"/>
  <c r="AP561" i="46"/>
  <c r="H561" i="46" s="1"/>
  <c r="AO561" i="46"/>
  <c r="F561" i="46" s="1"/>
  <c r="AQ560" i="46"/>
  <c r="J560" i="46" s="1"/>
  <c r="AP560" i="46"/>
  <c r="H560" i="46" s="1"/>
  <c r="AO560" i="46"/>
  <c r="F560" i="46" s="1"/>
  <c r="AQ559" i="46"/>
  <c r="J559" i="46" s="1"/>
  <c r="AP559" i="46"/>
  <c r="H559" i="46" s="1"/>
  <c r="AO559" i="46"/>
  <c r="F559" i="46" s="1"/>
  <c r="AQ558" i="46"/>
  <c r="J558" i="46" s="1"/>
  <c r="AP558" i="46"/>
  <c r="H558" i="46" s="1"/>
  <c r="AO558" i="46"/>
  <c r="F558" i="46" s="1"/>
  <c r="AQ557" i="46"/>
  <c r="J557" i="46" s="1"/>
  <c r="AP557" i="46"/>
  <c r="H557" i="46" s="1"/>
  <c r="AO557" i="46"/>
  <c r="F557" i="46" s="1"/>
  <c r="AQ556" i="46"/>
  <c r="J556" i="46" s="1"/>
  <c r="AP556" i="46"/>
  <c r="H556" i="46" s="1"/>
  <c r="AO556" i="46"/>
  <c r="F556" i="46" s="1"/>
  <c r="F35" i="135"/>
  <c r="D564" i="46" s="1"/>
  <c r="BF564" i="46" s="1"/>
  <c r="F36" i="135"/>
  <c r="D565" i="46" s="1"/>
  <c r="BF565" i="46" s="1"/>
  <c r="F37" i="135"/>
  <c r="F38" i="135"/>
  <c r="D567" i="46" s="1"/>
  <c r="BF567" i="46" s="1"/>
  <c r="F39" i="135"/>
  <c r="D568" i="46" s="1"/>
  <c r="BF568" i="46" s="1"/>
  <c r="F40" i="135"/>
  <c r="D569" i="46" s="1"/>
  <c r="BF569" i="46" s="1"/>
  <c r="F41" i="135"/>
  <c r="F42" i="135"/>
  <c r="D571" i="46" s="1"/>
  <c r="BF571" i="46" s="1"/>
  <c r="F43" i="135"/>
  <c r="D572" i="46" s="1"/>
  <c r="BF572" i="46" s="1"/>
  <c r="F44" i="135"/>
  <c r="D573" i="46" s="1"/>
  <c r="BF573" i="46" s="1"/>
  <c r="F45" i="135"/>
  <c r="F46" i="135"/>
  <c r="D575" i="46" s="1"/>
  <c r="BF575" i="46" s="1"/>
  <c r="F47" i="135"/>
  <c r="D576" i="46" s="1"/>
  <c r="BF576" i="46" s="1"/>
  <c r="F48" i="135"/>
  <c r="D577" i="46" s="1"/>
  <c r="BF577" i="46" s="1"/>
  <c r="F49" i="135"/>
  <c r="F50" i="135"/>
  <c r="D579" i="46" s="1"/>
  <c r="BF579" i="46" s="1"/>
  <c r="F51" i="135"/>
  <c r="D580" i="46" s="1"/>
  <c r="BF580" i="46" s="1"/>
  <c r="J35" i="135"/>
  <c r="J36" i="135"/>
  <c r="J37" i="135"/>
  <c r="J38" i="135"/>
  <c r="J39" i="135"/>
  <c r="J40" i="135"/>
  <c r="J41" i="135"/>
  <c r="J42" i="135"/>
  <c r="J43" i="135"/>
  <c r="J44" i="135"/>
  <c r="J45" i="135"/>
  <c r="J46" i="135"/>
  <c r="J63" i="135"/>
  <c r="F63" i="135"/>
  <c r="D592" i="46" s="1"/>
  <c r="BF592" i="46" s="1"/>
  <c r="J62" i="135"/>
  <c r="F62" i="135"/>
  <c r="D591" i="46" s="1"/>
  <c r="BF591" i="46" s="1"/>
  <c r="J61" i="135"/>
  <c r="F61" i="135"/>
  <c r="J60" i="135"/>
  <c r="F60" i="135"/>
  <c r="D589" i="46" s="1"/>
  <c r="BF589" i="46" s="1"/>
  <c r="J59" i="135"/>
  <c r="F59" i="135"/>
  <c r="D588" i="46" s="1"/>
  <c r="BF588" i="46" s="1"/>
  <c r="J58" i="135"/>
  <c r="F58" i="135"/>
  <c r="D587" i="46" s="1"/>
  <c r="BF587" i="46" s="1"/>
  <c r="J57" i="135"/>
  <c r="F57" i="135"/>
  <c r="D586" i="46" s="1"/>
  <c r="BF586" i="46" s="1"/>
  <c r="J56" i="135"/>
  <c r="F56" i="135"/>
  <c r="D585" i="46" s="1"/>
  <c r="BF585" i="46" s="1"/>
  <c r="J55" i="135"/>
  <c r="F55" i="135"/>
  <c r="D584" i="46" s="1"/>
  <c r="BF584" i="46" s="1"/>
  <c r="J54" i="135"/>
  <c r="F54" i="135"/>
  <c r="D583" i="46" s="1"/>
  <c r="BF583" i="46" s="1"/>
  <c r="J53" i="135"/>
  <c r="F53" i="135"/>
  <c r="D582" i="46" s="1"/>
  <c r="BF582" i="46" s="1"/>
  <c r="J52" i="135"/>
  <c r="F52" i="135"/>
  <c r="D581" i="46" s="1"/>
  <c r="BF581" i="46" s="1"/>
  <c r="J51" i="135"/>
  <c r="J50" i="135"/>
  <c r="J49" i="135"/>
  <c r="J48" i="135"/>
  <c r="J47" i="135"/>
  <c r="G9" i="135"/>
  <c r="E9" i="135"/>
  <c r="E7" i="135"/>
  <c r="G5" i="135"/>
  <c r="E5" i="135"/>
  <c r="D1" i="135"/>
  <c r="C46" i="120"/>
  <c r="D44" i="120"/>
  <c r="E197" i="109" s="1"/>
  <c r="AQ197" i="46" s="1"/>
  <c r="M189" i="134"/>
  <c r="I195" i="134"/>
  <c r="M195" i="134"/>
  <c r="J189" i="134"/>
  <c r="K189" i="134"/>
  <c r="N189" i="134"/>
  <c r="O189" i="134"/>
  <c r="Q189" i="134"/>
  <c r="R189" i="134"/>
  <c r="S189" i="134"/>
  <c r="U189" i="134"/>
  <c r="V189" i="134"/>
  <c r="W189" i="134"/>
  <c r="J190" i="134"/>
  <c r="K190" i="134"/>
  <c r="M190" i="134"/>
  <c r="N190" i="134"/>
  <c r="O190" i="134"/>
  <c r="Q190" i="134"/>
  <c r="R190" i="134"/>
  <c r="S190" i="134"/>
  <c r="U190" i="134"/>
  <c r="V190" i="134"/>
  <c r="W190" i="134"/>
  <c r="J191" i="134"/>
  <c r="K191" i="134"/>
  <c r="M191" i="134"/>
  <c r="N191" i="134"/>
  <c r="O191" i="134"/>
  <c r="Q191" i="134"/>
  <c r="R191" i="134"/>
  <c r="S191" i="134"/>
  <c r="U191" i="134"/>
  <c r="V191" i="134"/>
  <c r="W191" i="134"/>
  <c r="J192" i="134"/>
  <c r="K192" i="134"/>
  <c r="M192" i="134"/>
  <c r="N192" i="134"/>
  <c r="O192" i="134"/>
  <c r="Q192" i="134"/>
  <c r="R192" i="134"/>
  <c r="S192" i="134"/>
  <c r="U192" i="134"/>
  <c r="V192" i="134"/>
  <c r="W192" i="134"/>
  <c r="J193" i="134"/>
  <c r="K193" i="134"/>
  <c r="M193" i="134"/>
  <c r="N193" i="134"/>
  <c r="O193" i="134"/>
  <c r="Q193" i="134"/>
  <c r="R193" i="134"/>
  <c r="S193" i="134"/>
  <c r="U193" i="134"/>
  <c r="V193" i="134"/>
  <c r="W193" i="134"/>
  <c r="J194" i="134"/>
  <c r="K194" i="134"/>
  <c r="M194" i="134"/>
  <c r="N194" i="134"/>
  <c r="O194" i="134"/>
  <c r="Q194" i="134"/>
  <c r="R194" i="134"/>
  <c r="S194" i="134"/>
  <c r="U194" i="134"/>
  <c r="V194" i="134"/>
  <c r="W194" i="134"/>
  <c r="J195" i="134"/>
  <c r="K195" i="134"/>
  <c r="N195" i="134"/>
  <c r="O195" i="134"/>
  <c r="Q195" i="134"/>
  <c r="R195" i="134"/>
  <c r="S195" i="134"/>
  <c r="V195" i="134"/>
  <c r="W195" i="134"/>
  <c r="J196" i="134"/>
  <c r="K196" i="134"/>
  <c r="M196" i="134"/>
  <c r="N196" i="134"/>
  <c r="O196" i="134"/>
  <c r="Q196" i="134"/>
  <c r="R196" i="134"/>
  <c r="S196" i="134"/>
  <c r="V196" i="134"/>
  <c r="W196" i="134"/>
  <c r="J197" i="134"/>
  <c r="K197" i="134"/>
  <c r="N197" i="134"/>
  <c r="O197" i="134"/>
  <c r="R197" i="134"/>
  <c r="S197" i="134"/>
  <c r="V197" i="134"/>
  <c r="W197" i="134"/>
  <c r="I190" i="134"/>
  <c r="I191" i="134"/>
  <c r="I192" i="134"/>
  <c r="I193" i="134"/>
  <c r="I194" i="134"/>
  <c r="I196" i="134"/>
  <c r="I189" i="134"/>
  <c r="Y334" i="134"/>
  <c r="X334" i="134"/>
  <c r="W334" i="134"/>
  <c r="V334" i="134"/>
  <c r="U334" i="134"/>
  <c r="T334" i="134"/>
  <c r="S334" i="134"/>
  <c r="R334" i="134"/>
  <c r="Q334" i="134"/>
  <c r="P334" i="134"/>
  <c r="O334" i="134"/>
  <c r="N334" i="134"/>
  <c r="M334" i="134"/>
  <c r="L334" i="134"/>
  <c r="K334" i="134"/>
  <c r="J334" i="134"/>
  <c r="I334" i="134"/>
  <c r="H334" i="134"/>
  <c r="G334" i="134"/>
  <c r="F334" i="134"/>
  <c r="E334" i="134"/>
  <c r="D334" i="134"/>
  <c r="Y333" i="134"/>
  <c r="X333" i="134"/>
  <c r="W333" i="134"/>
  <c r="V333" i="134"/>
  <c r="U333" i="134"/>
  <c r="T333" i="134"/>
  <c r="S333" i="134"/>
  <c r="R333" i="134"/>
  <c r="Q333" i="134"/>
  <c r="P333" i="134"/>
  <c r="O333" i="134"/>
  <c r="N333" i="134"/>
  <c r="M333" i="134"/>
  <c r="L333" i="134"/>
  <c r="K333" i="134"/>
  <c r="J333" i="134"/>
  <c r="I333" i="134"/>
  <c r="H333" i="134"/>
  <c r="G333" i="134"/>
  <c r="F333" i="134"/>
  <c r="E333" i="134"/>
  <c r="D333" i="134"/>
  <c r="Y332" i="134"/>
  <c r="X332" i="134"/>
  <c r="W332" i="134"/>
  <c r="V332" i="134"/>
  <c r="U332" i="134"/>
  <c r="T332" i="134"/>
  <c r="S332" i="134"/>
  <c r="R332" i="134"/>
  <c r="Q332" i="134"/>
  <c r="P332" i="134"/>
  <c r="O332" i="134"/>
  <c r="N332" i="134"/>
  <c r="M332" i="134"/>
  <c r="L332" i="134"/>
  <c r="K332" i="134"/>
  <c r="J332" i="134"/>
  <c r="I332" i="134"/>
  <c r="H332" i="134"/>
  <c r="G332" i="134"/>
  <c r="F332" i="134"/>
  <c r="E332" i="134"/>
  <c r="D332" i="134"/>
  <c r="Y331" i="134"/>
  <c r="X331" i="134"/>
  <c r="W331" i="134"/>
  <c r="V331" i="134"/>
  <c r="U331" i="134"/>
  <c r="T331" i="134"/>
  <c r="S331" i="134"/>
  <c r="R331" i="134"/>
  <c r="Q331" i="134"/>
  <c r="P331" i="134"/>
  <c r="O331" i="134"/>
  <c r="N331" i="134"/>
  <c r="M331" i="134"/>
  <c r="L331" i="134"/>
  <c r="K331" i="134"/>
  <c r="J331" i="134"/>
  <c r="I331" i="134"/>
  <c r="H331" i="134"/>
  <c r="G331" i="134"/>
  <c r="F331" i="134"/>
  <c r="E331" i="134"/>
  <c r="D331" i="134"/>
  <c r="Y330" i="134"/>
  <c r="X330" i="134"/>
  <c r="W330" i="134"/>
  <c r="V330" i="134"/>
  <c r="U330" i="134"/>
  <c r="T330" i="134"/>
  <c r="S330" i="134"/>
  <c r="R330" i="134"/>
  <c r="Q330" i="134"/>
  <c r="P330" i="134"/>
  <c r="O330" i="134"/>
  <c r="N330" i="134"/>
  <c r="M330" i="134"/>
  <c r="L330" i="134"/>
  <c r="K330" i="134"/>
  <c r="J330" i="134"/>
  <c r="I330" i="134"/>
  <c r="H330" i="134"/>
  <c r="G330" i="134"/>
  <c r="F330" i="134"/>
  <c r="E330" i="134"/>
  <c r="D330" i="134"/>
  <c r="Y329" i="134"/>
  <c r="X329" i="134"/>
  <c r="W329" i="134"/>
  <c r="V329" i="134"/>
  <c r="U329" i="134"/>
  <c r="T329" i="134"/>
  <c r="S329" i="134"/>
  <c r="R329" i="134"/>
  <c r="Q329" i="134"/>
  <c r="P329" i="134"/>
  <c r="O329" i="134"/>
  <c r="N329" i="134"/>
  <c r="M329" i="134"/>
  <c r="L329" i="134"/>
  <c r="K329" i="134"/>
  <c r="J329" i="134"/>
  <c r="I329" i="134"/>
  <c r="H329" i="134"/>
  <c r="G329" i="134"/>
  <c r="F329" i="134"/>
  <c r="E329" i="134"/>
  <c r="D329" i="134"/>
  <c r="Y328" i="134"/>
  <c r="X328" i="134"/>
  <c r="W328" i="134"/>
  <c r="V328" i="134"/>
  <c r="U328" i="134"/>
  <c r="T328" i="134"/>
  <c r="S328" i="134"/>
  <c r="R328" i="134"/>
  <c r="Q328" i="134"/>
  <c r="P328" i="134"/>
  <c r="O328" i="134"/>
  <c r="N328" i="134"/>
  <c r="M328" i="134"/>
  <c r="L328" i="134"/>
  <c r="K328" i="134"/>
  <c r="J328" i="134"/>
  <c r="I328" i="134"/>
  <c r="H328" i="134"/>
  <c r="G328" i="134"/>
  <c r="F328" i="134"/>
  <c r="E328" i="134"/>
  <c r="D328" i="134"/>
  <c r="Y327" i="134"/>
  <c r="X327" i="134"/>
  <c r="W327" i="134"/>
  <c r="V327" i="134"/>
  <c r="U327" i="134"/>
  <c r="T327" i="134"/>
  <c r="S327" i="134"/>
  <c r="R327" i="134"/>
  <c r="Q327" i="134"/>
  <c r="P327" i="134"/>
  <c r="O327" i="134"/>
  <c r="N327" i="134"/>
  <c r="M327" i="134"/>
  <c r="L327" i="134"/>
  <c r="K327" i="134"/>
  <c r="J327" i="134"/>
  <c r="I327" i="134"/>
  <c r="H327" i="134"/>
  <c r="G327" i="134"/>
  <c r="F327" i="134"/>
  <c r="E327" i="134"/>
  <c r="D327" i="134"/>
  <c r="Y326" i="134"/>
  <c r="X326" i="134"/>
  <c r="W326" i="134"/>
  <c r="V326" i="134"/>
  <c r="U326" i="134"/>
  <c r="T326" i="134"/>
  <c r="S326" i="134"/>
  <c r="R326" i="134"/>
  <c r="Q326" i="134"/>
  <c r="P326" i="134"/>
  <c r="O326" i="134"/>
  <c r="N326" i="134"/>
  <c r="M326" i="134"/>
  <c r="L326" i="134"/>
  <c r="K326" i="134"/>
  <c r="J326" i="134"/>
  <c r="I326" i="134"/>
  <c r="H326" i="134"/>
  <c r="G326" i="134"/>
  <c r="F326" i="134"/>
  <c r="E326" i="134"/>
  <c r="D326" i="134"/>
  <c r="Y325" i="134"/>
  <c r="X325" i="134"/>
  <c r="W325" i="134"/>
  <c r="V325" i="134"/>
  <c r="U325" i="134"/>
  <c r="T325" i="134"/>
  <c r="S325" i="134"/>
  <c r="R325" i="134"/>
  <c r="Q325" i="134"/>
  <c r="P325" i="134"/>
  <c r="O325" i="134"/>
  <c r="N325" i="134"/>
  <c r="M325" i="134"/>
  <c r="L325" i="134"/>
  <c r="K325" i="134"/>
  <c r="J325" i="134"/>
  <c r="I325" i="134"/>
  <c r="H325" i="134"/>
  <c r="G325" i="134"/>
  <c r="F325" i="134"/>
  <c r="E325" i="134"/>
  <c r="D325" i="134"/>
  <c r="Y324" i="134"/>
  <c r="X324" i="134"/>
  <c r="W324" i="134"/>
  <c r="V324" i="134"/>
  <c r="U324" i="134"/>
  <c r="T324" i="134"/>
  <c r="S324" i="134"/>
  <c r="R324" i="134"/>
  <c r="Q324" i="134"/>
  <c r="P324" i="134"/>
  <c r="O324" i="134"/>
  <c r="N324" i="134"/>
  <c r="M324" i="134"/>
  <c r="L324" i="134"/>
  <c r="K324" i="134"/>
  <c r="J324" i="134"/>
  <c r="I324" i="134"/>
  <c r="H324" i="134"/>
  <c r="G324" i="134"/>
  <c r="F324" i="134"/>
  <c r="E324" i="134"/>
  <c r="D324" i="134"/>
  <c r="AC317" i="134"/>
  <c r="AB317" i="134"/>
  <c r="AA317" i="134"/>
  <c r="Z317" i="134"/>
  <c r="Y317" i="134"/>
  <c r="X317" i="134"/>
  <c r="W317" i="134"/>
  <c r="V317" i="134"/>
  <c r="U317" i="134"/>
  <c r="T317" i="134"/>
  <c r="S317" i="134"/>
  <c r="R317" i="134"/>
  <c r="Q317" i="134"/>
  <c r="P317" i="134"/>
  <c r="O317" i="134"/>
  <c r="N317" i="134"/>
  <c r="M317" i="134"/>
  <c r="L317" i="134"/>
  <c r="K317" i="134"/>
  <c r="J317" i="134"/>
  <c r="I317" i="134"/>
  <c r="H317" i="134"/>
  <c r="G317" i="134"/>
  <c r="F317" i="134"/>
  <c r="E317" i="134"/>
  <c r="D317" i="134"/>
  <c r="AC316" i="134"/>
  <c r="AB316" i="134"/>
  <c r="AA316" i="134"/>
  <c r="Z316" i="134"/>
  <c r="Y316" i="134"/>
  <c r="X316" i="134"/>
  <c r="W316" i="134"/>
  <c r="V316" i="134"/>
  <c r="U316" i="134"/>
  <c r="T316" i="134"/>
  <c r="S316" i="134"/>
  <c r="R316" i="134"/>
  <c r="Q316" i="134"/>
  <c r="P316" i="134"/>
  <c r="O316" i="134"/>
  <c r="N316" i="134"/>
  <c r="M316" i="134"/>
  <c r="L316" i="134"/>
  <c r="K316" i="134"/>
  <c r="J316" i="134"/>
  <c r="I316" i="134"/>
  <c r="H316" i="134"/>
  <c r="G316" i="134"/>
  <c r="F316" i="134"/>
  <c r="E316" i="134"/>
  <c r="D316" i="134"/>
  <c r="AC315" i="134"/>
  <c r="AB315" i="134"/>
  <c r="AA315" i="134"/>
  <c r="Z315" i="134"/>
  <c r="Y315" i="134"/>
  <c r="X315" i="134"/>
  <c r="W315" i="134"/>
  <c r="V315" i="134"/>
  <c r="U315" i="134"/>
  <c r="T315" i="134"/>
  <c r="S315" i="134"/>
  <c r="R315" i="134"/>
  <c r="Q315" i="134"/>
  <c r="P315" i="134"/>
  <c r="O315" i="134"/>
  <c r="N315" i="134"/>
  <c r="M315" i="134"/>
  <c r="L315" i="134"/>
  <c r="K315" i="134"/>
  <c r="J315" i="134"/>
  <c r="I315" i="134"/>
  <c r="H315" i="134"/>
  <c r="G315" i="134"/>
  <c r="F315" i="134"/>
  <c r="E315" i="134"/>
  <c r="D315" i="134"/>
  <c r="AC314" i="134"/>
  <c r="AB314" i="134"/>
  <c r="AA314" i="134"/>
  <c r="Z314" i="134"/>
  <c r="Y314" i="134"/>
  <c r="X314" i="134"/>
  <c r="W314" i="134"/>
  <c r="V314" i="134"/>
  <c r="U314" i="134"/>
  <c r="T314" i="134"/>
  <c r="S314" i="134"/>
  <c r="R314" i="134"/>
  <c r="Q314" i="134"/>
  <c r="P314" i="134"/>
  <c r="O314" i="134"/>
  <c r="N314" i="134"/>
  <c r="M314" i="134"/>
  <c r="L314" i="134"/>
  <c r="K314" i="134"/>
  <c r="J314" i="134"/>
  <c r="I314" i="134"/>
  <c r="H314" i="134"/>
  <c r="G314" i="134"/>
  <c r="F314" i="134"/>
  <c r="E314" i="134"/>
  <c r="D314" i="134"/>
  <c r="AC313" i="134"/>
  <c r="AB313" i="134"/>
  <c r="AA313" i="134"/>
  <c r="Z313" i="134"/>
  <c r="Y313" i="134"/>
  <c r="X313" i="134"/>
  <c r="W313" i="134"/>
  <c r="V313" i="134"/>
  <c r="U313" i="134"/>
  <c r="T313" i="134"/>
  <c r="S313" i="134"/>
  <c r="R313" i="134"/>
  <c r="Q313" i="134"/>
  <c r="P313" i="134"/>
  <c r="O313" i="134"/>
  <c r="N313" i="134"/>
  <c r="M313" i="134"/>
  <c r="L313" i="134"/>
  <c r="K313" i="134"/>
  <c r="J313" i="134"/>
  <c r="I313" i="134"/>
  <c r="H313" i="134"/>
  <c r="G313" i="134"/>
  <c r="F313" i="134"/>
  <c r="E313" i="134"/>
  <c r="D313" i="134"/>
  <c r="AC312" i="134"/>
  <c r="AB312" i="134"/>
  <c r="AA312" i="134"/>
  <c r="Z312" i="134"/>
  <c r="Y312" i="134"/>
  <c r="X312" i="134"/>
  <c r="W312" i="134"/>
  <c r="V312" i="134"/>
  <c r="U312" i="134"/>
  <c r="T312" i="134"/>
  <c r="S312" i="134"/>
  <c r="R312" i="134"/>
  <c r="Q312" i="134"/>
  <c r="P312" i="134"/>
  <c r="O312" i="134"/>
  <c r="N312" i="134"/>
  <c r="M312" i="134"/>
  <c r="L312" i="134"/>
  <c r="K312" i="134"/>
  <c r="J312" i="134"/>
  <c r="I312" i="134"/>
  <c r="H312" i="134"/>
  <c r="G312" i="134"/>
  <c r="F312" i="134"/>
  <c r="E312" i="134"/>
  <c r="D312" i="134"/>
  <c r="AC311" i="134"/>
  <c r="AB311" i="134"/>
  <c r="AA311" i="134"/>
  <c r="Z311" i="134"/>
  <c r="Y311" i="134"/>
  <c r="X311" i="134"/>
  <c r="W311" i="134"/>
  <c r="V311" i="134"/>
  <c r="U311" i="134"/>
  <c r="T311" i="134"/>
  <c r="S311" i="134"/>
  <c r="R311" i="134"/>
  <c r="Q311" i="134"/>
  <c r="P311" i="134"/>
  <c r="O311" i="134"/>
  <c r="N311" i="134"/>
  <c r="M311" i="134"/>
  <c r="L311" i="134"/>
  <c r="K311" i="134"/>
  <c r="J311" i="134"/>
  <c r="I311" i="134"/>
  <c r="H311" i="134"/>
  <c r="G311" i="134"/>
  <c r="F311" i="134"/>
  <c r="E311" i="134"/>
  <c r="D311" i="134"/>
  <c r="AC310" i="134"/>
  <c r="AB310" i="134"/>
  <c r="AA310" i="134"/>
  <c r="Z310" i="134"/>
  <c r="Y310" i="134"/>
  <c r="X310" i="134"/>
  <c r="W310" i="134"/>
  <c r="V310" i="134"/>
  <c r="U310" i="134"/>
  <c r="T310" i="134"/>
  <c r="S310" i="134"/>
  <c r="R310" i="134"/>
  <c r="Q310" i="134"/>
  <c r="P310" i="134"/>
  <c r="O310" i="134"/>
  <c r="N310" i="134"/>
  <c r="M310" i="134"/>
  <c r="L310" i="134"/>
  <c r="K310" i="134"/>
  <c r="J310" i="134"/>
  <c r="I310" i="134"/>
  <c r="H310" i="134"/>
  <c r="G310" i="134"/>
  <c r="F310" i="134"/>
  <c r="E310" i="134"/>
  <c r="D310" i="134"/>
  <c r="AC309" i="134"/>
  <c r="AB309" i="134"/>
  <c r="AA309" i="134"/>
  <c r="Z309" i="134"/>
  <c r="Y309" i="134"/>
  <c r="X309" i="134"/>
  <c r="W309" i="134"/>
  <c r="V309" i="134"/>
  <c r="U309" i="134"/>
  <c r="T309" i="134"/>
  <c r="S309" i="134"/>
  <c r="R309" i="134"/>
  <c r="Q309" i="134"/>
  <c r="P309" i="134"/>
  <c r="O309" i="134"/>
  <c r="N309" i="134"/>
  <c r="M309" i="134"/>
  <c r="L309" i="134"/>
  <c r="K309" i="134"/>
  <c r="J309" i="134"/>
  <c r="I309" i="134"/>
  <c r="H309" i="134"/>
  <c r="G309" i="134"/>
  <c r="F309" i="134"/>
  <c r="E309" i="134"/>
  <c r="D309" i="134"/>
  <c r="AC308" i="134"/>
  <c r="AB308" i="134"/>
  <c r="AA308" i="134"/>
  <c r="Z308" i="134"/>
  <c r="Y308" i="134"/>
  <c r="X308" i="134"/>
  <c r="W308" i="134"/>
  <c r="V308" i="134"/>
  <c r="U308" i="134"/>
  <c r="T308" i="134"/>
  <c r="S308" i="134"/>
  <c r="R308" i="134"/>
  <c r="Q308" i="134"/>
  <c r="P308" i="134"/>
  <c r="O308" i="134"/>
  <c r="N308" i="134"/>
  <c r="M308" i="134"/>
  <c r="L308" i="134"/>
  <c r="K308" i="134"/>
  <c r="J308" i="134"/>
  <c r="I308" i="134"/>
  <c r="H308" i="134"/>
  <c r="G308" i="134"/>
  <c r="F308" i="134"/>
  <c r="E308" i="134"/>
  <c r="D308" i="134"/>
  <c r="AC307" i="134"/>
  <c r="AB307" i="134"/>
  <c r="AA307" i="134"/>
  <c r="Z307" i="134"/>
  <c r="Y307" i="134"/>
  <c r="X307" i="134"/>
  <c r="W307" i="134"/>
  <c r="V307" i="134"/>
  <c r="U307" i="134"/>
  <c r="T307" i="134"/>
  <c r="S307" i="134"/>
  <c r="R307" i="134"/>
  <c r="Q307" i="134"/>
  <c r="P307" i="134"/>
  <c r="O307" i="134"/>
  <c r="N307" i="134"/>
  <c r="M307" i="134"/>
  <c r="L307" i="134"/>
  <c r="K307" i="134"/>
  <c r="J307" i="134"/>
  <c r="I307" i="134"/>
  <c r="H307" i="134"/>
  <c r="G307" i="134"/>
  <c r="F307" i="134"/>
  <c r="E307" i="134"/>
  <c r="D307" i="134"/>
  <c r="AC265" i="134"/>
  <c r="AB265" i="134" s="1"/>
  <c r="Y265" i="134"/>
  <c r="X265" i="134" s="1"/>
  <c r="U265" i="134"/>
  <c r="T265" i="134" s="1"/>
  <c r="Q265" i="134"/>
  <c r="P265" i="134" s="1"/>
  <c r="M265" i="134"/>
  <c r="L265" i="134" s="1"/>
  <c r="I265" i="134"/>
  <c r="H265" i="134" s="1"/>
  <c r="E265" i="134"/>
  <c r="D265" i="134" s="1"/>
  <c r="AC263" i="134"/>
  <c r="AB263" i="134" s="1"/>
  <c r="Y263" i="134"/>
  <c r="X263" i="134" s="1"/>
  <c r="U263" i="134"/>
  <c r="T263" i="134" s="1"/>
  <c r="Q263" i="134"/>
  <c r="P263" i="134" s="1"/>
  <c r="M263" i="134"/>
  <c r="L263" i="134" s="1"/>
  <c r="I263" i="134"/>
  <c r="H263" i="134" s="1"/>
  <c r="E263" i="134"/>
  <c r="D263" i="134" s="1"/>
  <c r="AC261" i="134"/>
  <c r="AB261" i="134" s="1"/>
  <c r="Y261" i="134"/>
  <c r="X261" i="134" s="1"/>
  <c r="U261" i="134"/>
  <c r="T261" i="134" s="1"/>
  <c r="Q261" i="134"/>
  <c r="P261" i="134" s="1"/>
  <c r="M261" i="134"/>
  <c r="L261" i="134" s="1"/>
  <c r="I261" i="134"/>
  <c r="H261" i="134" s="1"/>
  <c r="E261" i="134"/>
  <c r="D261" i="134" s="1"/>
  <c r="AC259" i="134"/>
  <c r="AB259" i="134" s="1"/>
  <c r="Y259" i="134"/>
  <c r="X259" i="134" s="1"/>
  <c r="U259" i="134"/>
  <c r="T259" i="134" s="1"/>
  <c r="Q259" i="134"/>
  <c r="P259" i="134" s="1"/>
  <c r="M259" i="134"/>
  <c r="L259" i="134" s="1"/>
  <c r="I259" i="134"/>
  <c r="H259" i="134" s="1"/>
  <c r="E259" i="134"/>
  <c r="D259" i="134" s="1"/>
  <c r="AC257" i="134"/>
  <c r="AB257" i="134" s="1"/>
  <c r="Y257" i="134"/>
  <c r="X257" i="134" s="1"/>
  <c r="U257" i="134"/>
  <c r="T257" i="134" s="1"/>
  <c r="Q257" i="134"/>
  <c r="P257" i="134" s="1"/>
  <c r="M257" i="134"/>
  <c r="L257" i="134" s="1"/>
  <c r="I257" i="134"/>
  <c r="H257" i="134" s="1"/>
  <c r="E257" i="134"/>
  <c r="D257" i="134" s="1"/>
  <c r="X233" i="134"/>
  <c r="T233" i="134"/>
  <c r="P233" i="134"/>
  <c r="L233" i="134"/>
  <c r="H233" i="134"/>
  <c r="D233" i="134"/>
  <c r="X231" i="134"/>
  <c r="T231" i="134"/>
  <c r="P231" i="134"/>
  <c r="L231" i="134"/>
  <c r="H231" i="134"/>
  <c r="D231" i="134"/>
  <c r="X229" i="134"/>
  <c r="T229" i="134"/>
  <c r="P229" i="134"/>
  <c r="L229" i="134"/>
  <c r="H229" i="134"/>
  <c r="D229" i="134"/>
  <c r="X227" i="134"/>
  <c r="T227" i="134"/>
  <c r="P227" i="134"/>
  <c r="L227" i="134"/>
  <c r="H227" i="134"/>
  <c r="D227" i="134"/>
  <c r="X225" i="134"/>
  <c r="T225" i="134"/>
  <c r="P225" i="134"/>
  <c r="L225" i="134"/>
  <c r="H225" i="134"/>
  <c r="D225" i="134"/>
  <c r="X223" i="134"/>
  <c r="T223" i="134"/>
  <c r="P223" i="134"/>
  <c r="L223" i="134"/>
  <c r="H223" i="134"/>
  <c r="D223" i="134"/>
  <c r="AB216" i="134"/>
  <c r="X216" i="134"/>
  <c r="T216" i="134"/>
  <c r="P216" i="134"/>
  <c r="L216" i="134"/>
  <c r="H216" i="134"/>
  <c r="D216" i="134"/>
  <c r="AB214" i="134"/>
  <c r="X214" i="134"/>
  <c r="T214" i="134"/>
  <c r="P214" i="134"/>
  <c r="L214" i="134"/>
  <c r="H214" i="134"/>
  <c r="D214" i="134"/>
  <c r="AB212" i="134"/>
  <c r="X212" i="134"/>
  <c r="T212" i="134"/>
  <c r="P212" i="134"/>
  <c r="L212" i="134"/>
  <c r="H212" i="134"/>
  <c r="D212" i="134"/>
  <c r="AB210" i="134"/>
  <c r="X210" i="134"/>
  <c r="T210" i="134"/>
  <c r="P210" i="134"/>
  <c r="L210" i="134"/>
  <c r="H210" i="134"/>
  <c r="D210" i="134"/>
  <c r="AB208" i="134"/>
  <c r="X208" i="134"/>
  <c r="T208" i="134"/>
  <c r="P208" i="134"/>
  <c r="L208" i="134"/>
  <c r="H208" i="134"/>
  <c r="D208" i="134"/>
  <c r="AB206" i="134"/>
  <c r="X206" i="134"/>
  <c r="T206" i="134"/>
  <c r="P206" i="134"/>
  <c r="L206" i="134"/>
  <c r="H206" i="134"/>
  <c r="D206" i="134"/>
  <c r="D202" i="134"/>
  <c r="E208" i="134" s="1"/>
  <c r="E258" i="134" s="1"/>
  <c r="D258" i="134" s="1"/>
  <c r="AA197" i="134"/>
  <c r="Z197" i="134"/>
  <c r="G197" i="134"/>
  <c r="F197" i="134"/>
  <c r="AA196" i="134"/>
  <c r="Z196" i="134"/>
  <c r="G196" i="134"/>
  <c r="F196" i="134"/>
  <c r="AA195" i="134"/>
  <c r="Z195" i="134"/>
  <c r="G195" i="134"/>
  <c r="F195" i="134"/>
  <c r="AA194" i="134"/>
  <c r="Z194" i="134"/>
  <c r="G194" i="134"/>
  <c r="F194" i="134"/>
  <c r="AA193" i="134"/>
  <c r="Z193" i="134"/>
  <c r="G193" i="134"/>
  <c r="F193" i="134"/>
  <c r="AA192" i="134"/>
  <c r="Z192" i="134"/>
  <c r="G192" i="134"/>
  <c r="F192" i="134"/>
  <c r="AA191" i="134"/>
  <c r="Z191" i="134"/>
  <c r="G191" i="134"/>
  <c r="F191" i="134"/>
  <c r="AA190" i="134"/>
  <c r="Z190" i="134"/>
  <c r="G190" i="134"/>
  <c r="F190" i="134"/>
  <c r="AA189" i="134"/>
  <c r="Z189" i="134"/>
  <c r="G189" i="134"/>
  <c r="F189" i="134"/>
  <c r="AC188" i="134"/>
  <c r="AB188" i="134"/>
  <c r="AA188" i="134"/>
  <c r="Z188" i="134"/>
  <c r="W188" i="134"/>
  <c r="V188" i="134"/>
  <c r="S188" i="134"/>
  <c r="R188" i="134"/>
  <c r="O188" i="134"/>
  <c r="N188" i="134"/>
  <c r="K188" i="134"/>
  <c r="J188" i="134"/>
  <c r="G188" i="134"/>
  <c r="F188" i="134"/>
  <c r="AC187" i="134"/>
  <c r="AB187" i="134"/>
  <c r="AA187" i="134"/>
  <c r="Z187" i="134"/>
  <c r="W187" i="134"/>
  <c r="V187" i="134"/>
  <c r="S187" i="134"/>
  <c r="R187" i="134"/>
  <c r="O187" i="134"/>
  <c r="N187" i="134"/>
  <c r="K187" i="134"/>
  <c r="J187" i="134"/>
  <c r="G187" i="134"/>
  <c r="F187" i="134"/>
  <c r="AA178" i="134"/>
  <c r="Z178" i="134"/>
  <c r="W178" i="134"/>
  <c r="V178" i="134"/>
  <c r="S178" i="134"/>
  <c r="R178" i="134"/>
  <c r="O178" i="134"/>
  <c r="N178" i="134"/>
  <c r="K178" i="134"/>
  <c r="J178" i="134"/>
  <c r="G178" i="134"/>
  <c r="F178" i="134"/>
  <c r="AA177" i="134"/>
  <c r="Z177" i="134"/>
  <c r="W177" i="134"/>
  <c r="V177" i="134"/>
  <c r="S177" i="134"/>
  <c r="R177" i="134"/>
  <c r="O177" i="134"/>
  <c r="N177" i="134"/>
  <c r="K177" i="134"/>
  <c r="J177" i="134"/>
  <c r="G177" i="134"/>
  <c r="F177" i="134"/>
  <c r="AA176" i="134"/>
  <c r="Z176" i="134"/>
  <c r="W176" i="134"/>
  <c r="V176" i="134"/>
  <c r="S176" i="134"/>
  <c r="R176" i="134"/>
  <c r="O176" i="134"/>
  <c r="N176" i="134"/>
  <c r="K176" i="134"/>
  <c r="J176" i="134"/>
  <c r="G176" i="134"/>
  <c r="F176" i="134"/>
  <c r="AA175" i="134"/>
  <c r="Z175" i="134"/>
  <c r="W175" i="134"/>
  <c r="V175" i="134"/>
  <c r="S175" i="134"/>
  <c r="R175" i="134"/>
  <c r="O175" i="134"/>
  <c r="N175" i="134"/>
  <c r="K175" i="134"/>
  <c r="J175" i="134"/>
  <c r="G175" i="134"/>
  <c r="F175" i="134"/>
  <c r="AA174" i="134"/>
  <c r="Z174" i="134"/>
  <c r="W174" i="134"/>
  <c r="V174" i="134"/>
  <c r="S174" i="134"/>
  <c r="R174" i="134"/>
  <c r="O174" i="134"/>
  <c r="N174" i="134"/>
  <c r="K174" i="134"/>
  <c r="J174" i="134"/>
  <c r="G174" i="134"/>
  <c r="F174" i="134"/>
  <c r="AA173" i="134"/>
  <c r="Z173" i="134"/>
  <c r="W173" i="134"/>
  <c r="V173" i="134"/>
  <c r="S173" i="134"/>
  <c r="R173" i="134"/>
  <c r="O173" i="134"/>
  <c r="N173" i="134"/>
  <c r="K173" i="134"/>
  <c r="J173" i="134"/>
  <c r="G173" i="134"/>
  <c r="F173" i="134"/>
  <c r="AA172" i="134"/>
  <c r="Z172" i="134"/>
  <c r="W172" i="134"/>
  <c r="V172" i="134"/>
  <c r="S172" i="134"/>
  <c r="R172" i="134"/>
  <c r="O172" i="134"/>
  <c r="N172" i="134"/>
  <c r="K172" i="134"/>
  <c r="J172" i="134"/>
  <c r="G172" i="134"/>
  <c r="F172" i="134"/>
  <c r="AA171" i="134"/>
  <c r="Z171" i="134"/>
  <c r="W171" i="134"/>
  <c r="V171" i="134"/>
  <c r="S171" i="134"/>
  <c r="R171" i="134"/>
  <c r="O171" i="134"/>
  <c r="N171" i="134"/>
  <c r="K171" i="134"/>
  <c r="J171" i="134"/>
  <c r="G171" i="134"/>
  <c r="F171" i="134"/>
  <c r="AA170" i="134"/>
  <c r="Z170" i="134"/>
  <c r="W170" i="134"/>
  <c r="V170" i="134"/>
  <c r="S170" i="134"/>
  <c r="R170" i="134"/>
  <c r="O170" i="134"/>
  <c r="N170" i="134"/>
  <c r="K170" i="134"/>
  <c r="J170" i="134"/>
  <c r="G170" i="134"/>
  <c r="F170" i="134"/>
  <c r="AA169" i="134"/>
  <c r="Z169" i="134"/>
  <c r="W169" i="134"/>
  <c r="V169" i="134"/>
  <c r="S169" i="134"/>
  <c r="R169" i="134"/>
  <c r="O169" i="134"/>
  <c r="N169" i="134"/>
  <c r="K169" i="134"/>
  <c r="J169" i="134"/>
  <c r="G169" i="134"/>
  <c r="F169" i="134"/>
  <c r="AA168" i="134"/>
  <c r="Z168" i="134"/>
  <c r="W168" i="134"/>
  <c r="V168" i="134"/>
  <c r="S168" i="134"/>
  <c r="R168" i="134"/>
  <c r="O168" i="134"/>
  <c r="N168" i="134"/>
  <c r="K168" i="134"/>
  <c r="J168" i="134"/>
  <c r="G168" i="134"/>
  <c r="F168" i="134"/>
  <c r="AC161" i="134"/>
  <c r="AB161" i="134"/>
  <c r="AA161" i="134"/>
  <c r="Z161" i="134"/>
  <c r="W161" i="134"/>
  <c r="V161" i="134"/>
  <c r="S161" i="134"/>
  <c r="R161" i="134"/>
  <c r="O161" i="134"/>
  <c r="N161" i="134"/>
  <c r="K161" i="134"/>
  <c r="J161" i="134"/>
  <c r="G161" i="134"/>
  <c r="F161" i="134"/>
  <c r="AA160" i="134"/>
  <c r="Z160" i="134"/>
  <c r="W160" i="134"/>
  <c r="V160" i="134"/>
  <c r="S160" i="134"/>
  <c r="R160" i="134"/>
  <c r="O160" i="134"/>
  <c r="N160" i="134"/>
  <c r="K160" i="134"/>
  <c r="J160" i="134"/>
  <c r="G160" i="134"/>
  <c r="F160" i="134"/>
  <c r="AA159" i="134"/>
  <c r="Z159" i="134"/>
  <c r="W159" i="134"/>
  <c r="V159" i="134"/>
  <c r="S159" i="134"/>
  <c r="R159" i="134"/>
  <c r="O159" i="134"/>
  <c r="N159" i="134"/>
  <c r="K159" i="134"/>
  <c r="J159" i="134"/>
  <c r="G159" i="134"/>
  <c r="F159" i="134"/>
  <c r="AA158" i="134"/>
  <c r="Z158" i="134"/>
  <c r="W158" i="134"/>
  <c r="V158" i="134"/>
  <c r="S158" i="134"/>
  <c r="R158" i="134"/>
  <c r="O158" i="134"/>
  <c r="N158" i="134"/>
  <c r="K158" i="134"/>
  <c r="J158" i="134"/>
  <c r="G158" i="134"/>
  <c r="F158" i="134"/>
  <c r="AA157" i="134"/>
  <c r="Z157" i="134"/>
  <c r="W157" i="134"/>
  <c r="V157" i="134"/>
  <c r="S157" i="134"/>
  <c r="R157" i="134"/>
  <c r="O157" i="134"/>
  <c r="N157" i="134"/>
  <c r="K157" i="134"/>
  <c r="J157" i="134"/>
  <c r="G157" i="134"/>
  <c r="F157" i="134"/>
  <c r="AA156" i="134"/>
  <c r="Z156" i="134"/>
  <c r="W156" i="134"/>
  <c r="V156" i="134"/>
  <c r="S156" i="134"/>
  <c r="R156" i="134"/>
  <c r="O156" i="134"/>
  <c r="N156" i="134"/>
  <c r="K156" i="134"/>
  <c r="J156" i="134"/>
  <c r="G156" i="134"/>
  <c r="F156" i="134"/>
  <c r="AA155" i="134"/>
  <c r="Z155" i="134"/>
  <c r="W155" i="134"/>
  <c r="V155" i="134"/>
  <c r="S155" i="134"/>
  <c r="R155" i="134"/>
  <c r="O155" i="134"/>
  <c r="N155" i="134"/>
  <c r="K155" i="134"/>
  <c r="J155" i="134"/>
  <c r="G155" i="134"/>
  <c r="F155" i="134"/>
  <c r="AA154" i="134"/>
  <c r="Z154" i="134"/>
  <c r="W154" i="134"/>
  <c r="V154" i="134"/>
  <c r="S154" i="134"/>
  <c r="R154" i="134"/>
  <c r="O154" i="134"/>
  <c r="N154" i="134"/>
  <c r="K154" i="134"/>
  <c r="J154" i="134"/>
  <c r="G154" i="134"/>
  <c r="F154" i="134"/>
  <c r="AA153" i="134"/>
  <c r="Z153" i="134"/>
  <c r="W153" i="134"/>
  <c r="V153" i="134"/>
  <c r="S153" i="134"/>
  <c r="R153" i="134"/>
  <c r="O153" i="134"/>
  <c r="N153" i="134"/>
  <c r="K153" i="134"/>
  <c r="J153" i="134"/>
  <c r="G153" i="134"/>
  <c r="F153" i="134"/>
  <c r="AA152" i="134"/>
  <c r="Z152" i="134"/>
  <c r="W152" i="134"/>
  <c r="V152" i="134"/>
  <c r="S152" i="134"/>
  <c r="R152" i="134"/>
  <c r="O152" i="134"/>
  <c r="N152" i="134"/>
  <c r="K152" i="134"/>
  <c r="J152" i="134"/>
  <c r="G152" i="134"/>
  <c r="F152" i="134"/>
  <c r="AA151" i="134"/>
  <c r="Z151" i="134"/>
  <c r="W151" i="134"/>
  <c r="V151" i="134"/>
  <c r="S151" i="134"/>
  <c r="R151" i="134"/>
  <c r="O151" i="134"/>
  <c r="N151" i="134"/>
  <c r="K151" i="134"/>
  <c r="J151" i="134"/>
  <c r="G151" i="134"/>
  <c r="F151" i="134"/>
  <c r="AA150" i="134"/>
  <c r="Z150" i="134"/>
  <c r="W150" i="134"/>
  <c r="V150" i="134"/>
  <c r="S150" i="134"/>
  <c r="R150" i="134"/>
  <c r="O150" i="134"/>
  <c r="N150" i="134"/>
  <c r="K150" i="134"/>
  <c r="J150" i="134"/>
  <c r="G150" i="134"/>
  <c r="F150" i="134"/>
  <c r="AA149" i="134"/>
  <c r="Z149" i="134"/>
  <c r="W149" i="134"/>
  <c r="V149" i="134"/>
  <c r="S149" i="134"/>
  <c r="R149" i="134"/>
  <c r="O149" i="134"/>
  <c r="N149" i="134"/>
  <c r="K149" i="134"/>
  <c r="J149" i="134"/>
  <c r="G149" i="134"/>
  <c r="F149" i="134"/>
  <c r="AC143" i="134"/>
  <c r="AB143" i="134"/>
  <c r="AA143" i="134"/>
  <c r="Z143" i="134"/>
  <c r="W143" i="134"/>
  <c r="V143" i="134"/>
  <c r="S143" i="134"/>
  <c r="R143" i="134"/>
  <c r="O143" i="134"/>
  <c r="N143" i="134"/>
  <c r="K143" i="134"/>
  <c r="J143" i="134"/>
  <c r="G143" i="134"/>
  <c r="F143" i="134"/>
  <c r="AA142" i="134"/>
  <c r="Z142" i="134"/>
  <c r="W142" i="134"/>
  <c r="V142" i="134"/>
  <c r="S142" i="134"/>
  <c r="R142" i="134"/>
  <c r="O142" i="134"/>
  <c r="N142" i="134"/>
  <c r="K142" i="134"/>
  <c r="J142" i="134"/>
  <c r="G142" i="134"/>
  <c r="F142" i="134"/>
  <c r="AA141" i="134"/>
  <c r="Z141" i="134"/>
  <c r="W141" i="134"/>
  <c r="V141" i="134"/>
  <c r="S141" i="134"/>
  <c r="R141" i="134"/>
  <c r="O141" i="134"/>
  <c r="N141" i="134"/>
  <c r="K141" i="134"/>
  <c r="J141" i="134"/>
  <c r="G141" i="134"/>
  <c r="F141" i="134"/>
  <c r="AA140" i="134"/>
  <c r="Z140" i="134"/>
  <c r="W140" i="134"/>
  <c r="V140" i="134"/>
  <c r="S140" i="134"/>
  <c r="R140" i="134"/>
  <c r="O140" i="134"/>
  <c r="N140" i="134"/>
  <c r="K140" i="134"/>
  <c r="J140" i="134"/>
  <c r="G140" i="134"/>
  <c r="F140" i="134"/>
  <c r="AA139" i="134"/>
  <c r="Z139" i="134"/>
  <c r="W139" i="134"/>
  <c r="V139" i="134"/>
  <c r="S139" i="134"/>
  <c r="R139" i="134"/>
  <c r="O139" i="134"/>
  <c r="N139" i="134"/>
  <c r="K139" i="134"/>
  <c r="J139" i="134"/>
  <c r="G139" i="134"/>
  <c r="F139" i="134"/>
  <c r="AA138" i="134"/>
  <c r="Z138" i="134"/>
  <c r="W138" i="134"/>
  <c r="V138" i="134"/>
  <c r="S138" i="134"/>
  <c r="R138" i="134"/>
  <c r="O138" i="134"/>
  <c r="N138" i="134"/>
  <c r="K138" i="134"/>
  <c r="J138" i="134"/>
  <c r="G138" i="134"/>
  <c r="F138" i="134"/>
  <c r="AA137" i="134"/>
  <c r="Z137" i="134"/>
  <c r="W137" i="134"/>
  <c r="V137" i="134"/>
  <c r="S137" i="134"/>
  <c r="R137" i="134"/>
  <c r="O137" i="134"/>
  <c r="N137" i="134"/>
  <c r="K137" i="134"/>
  <c r="J137" i="134"/>
  <c r="G137" i="134"/>
  <c r="F137" i="134"/>
  <c r="AA136" i="134"/>
  <c r="Z136" i="134"/>
  <c r="W136" i="134"/>
  <c r="V136" i="134"/>
  <c r="S136" i="134"/>
  <c r="R136" i="134"/>
  <c r="O136" i="134"/>
  <c r="N136" i="134"/>
  <c r="K136" i="134"/>
  <c r="J136" i="134"/>
  <c r="G136" i="134"/>
  <c r="F136" i="134"/>
  <c r="AA135" i="134"/>
  <c r="Z135" i="134"/>
  <c r="W135" i="134"/>
  <c r="V135" i="134"/>
  <c r="S135" i="134"/>
  <c r="R135" i="134"/>
  <c r="O135" i="134"/>
  <c r="N135" i="134"/>
  <c r="K135" i="134"/>
  <c r="J135" i="134"/>
  <c r="G135" i="134"/>
  <c r="F135" i="134"/>
  <c r="AA134" i="134"/>
  <c r="Z134" i="134"/>
  <c r="W134" i="134"/>
  <c r="V134" i="134"/>
  <c r="S134" i="134"/>
  <c r="R134" i="134"/>
  <c r="O134" i="134"/>
  <c r="N134" i="134"/>
  <c r="K134" i="134"/>
  <c r="J134" i="134"/>
  <c r="G134" i="134"/>
  <c r="F134" i="134"/>
  <c r="AA133" i="134"/>
  <c r="Z133" i="134"/>
  <c r="W133" i="134"/>
  <c r="V133" i="134"/>
  <c r="S133" i="134"/>
  <c r="R133" i="134"/>
  <c r="O133" i="134"/>
  <c r="N133" i="134"/>
  <c r="K133" i="134"/>
  <c r="J133" i="134"/>
  <c r="G133" i="134"/>
  <c r="F133" i="134"/>
  <c r="AA132" i="134"/>
  <c r="Z132" i="134"/>
  <c r="W132" i="134"/>
  <c r="V132" i="134"/>
  <c r="S132" i="134"/>
  <c r="R132" i="134"/>
  <c r="O132" i="134"/>
  <c r="N132" i="134"/>
  <c r="K132" i="134"/>
  <c r="J132" i="134"/>
  <c r="G132" i="134"/>
  <c r="F132" i="134"/>
  <c r="AA131" i="134"/>
  <c r="Z131" i="134"/>
  <c r="W131" i="134"/>
  <c r="V131" i="134"/>
  <c r="S131" i="134"/>
  <c r="R131" i="134"/>
  <c r="O131" i="134"/>
  <c r="N131" i="134"/>
  <c r="K131" i="134"/>
  <c r="J131" i="134"/>
  <c r="G131" i="134"/>
  <c r="F131" i="134"/>
  <c r="E197" i="134"/>
  <c r="D197" i="134"/>
  <c r="E196" i="134"/>
  <c r="D196" i="134"/>
  <c r="E195" i="134"/>
  <c r="D195" i="134"/>
  <c r="E194" i="134"/>
  <c r="D194" i="134"/>
  <c r="E193" i="134"/>
  <c r="D193" i="134"/>
  <c r="E192" i="134"/>
  <c r="D192" i="134"/>
  <c r="E191" i="134"/>
  <c r="D191" i="134"/>
  <c r="E190" i="134"/>
  <c r="D190" i="134"/>
  <c r="E189" i="134"/>
  <c r="D189" i="134"/>
  <c r="Y188" i="134"/>
  <c r="X188" i="134"/>
  <c r="U188" i="134"/>
  <c r="T188" i="134"/>
  <c r="Q188" i="134"/>
  <c r="P188" i="134"/>
  <c r="M188" i="134"/>
  <c r="L188" i="134"/>
  <c r="I188" i="134"/>
  <c r="H188" i="134"/>
  <c r="E188" i="134"/>
  <c r="D188" i="134"/>
  <c r="Y187" i="134"/>
  <c r="X187" i="134"/>
  <c r="U187" i="134"/>
  <c r="T187" i="134"/>
  <c r="Q187" i="134"/>
  <c r="P187" i="134"/>
  <c r="M187" i="134"/>
  <c r="L187" i="134"/>
  <c r="I187" i="134"/>
  <c r="H187" i="134"/>
  <c r="E187" i="134"/>
  <c r="D187" i="134"/>
  <c r="Y106" i="134"/>
  <c r="X106" i="134"/>
  <c r="U106" i="134"/>
  <c r="T106" i="134"/>
  <c r="Q106" i="134"/>
  <c r="P106" i="134"/>
  <c r="M106" i="134"/>
  <c r="L106" i="134"/>
  <c r="I106" i="134"/>
  <c r="H106" i="134"/>
  <c r="E106" i="134"/>
  <c r="D106" i="134"/>
  <c r="AC105" i="134"/>
  <c r="AB105" i="134"/>
  <c r="Y105" i="134"/>
  <c r="X105" i="134"/>
  <c r="U105" i="134"/>
  <c r="T105" i="134"/>
  <c r="Q105" i="134"/>
  <c r="P105" i="134"/>
  <c r="M105" i="134"/>
  <c r="L105" i="134"/>
  <c r="I105" i="134"/>
  <c r="H105" i="134"/>
  <c r="E105" i="134"/>
  <c r="D105" i="134"/>
  <c r="AC104" i="134"/>
  <c r="AC178" i="134" s="1"/>
  <c r="AB104" i="134"/>
  <c r="AB178" i="134" s="1"/>
  <c r="Y104" i="134"/>
  <c r="Y178" i="134" s="1"/>
  <c r="X104" i="134"/>
  <c r="X178" i="134" s="1"/>
  <c r="U104" i="134"/>
  <c r="U178" i="134" s="1"/>
  <c r="T104" i="134"/>
  <c r="T178" i="134" s="1"/>
  <c r="Q104" i="134"/>
  <c r="Q178" i="134" s="1"/>
  <c r="P104" i="134"/>
  <c r="P178" i="134" s="1"/>
  <c r="M104" i="134"/>
  <c r="M178" i="134" s="1"/>
  <c r="L104" i="134"/>
  <c r="L178" i="134" s="1"/>
  <c r="I104" i="134"/>
  <c r="I178" i="134" s="1"/>
  <c r="H104" i="134"/>
  <c r="H178" i="134" s="1"/>
  <c r="E104" i="134"/>
  <c r="E178" i="134" s="1"/>
  <c r="D104" i="134"/>
  <c r="D178" i="134" s="1"/>
  <c r="AC103" i="134"/>
  <c r="AC177" i="134" s="1"/>
  <c r="AB103" i="134"/>
  <c r="AB177" i="134" s="1"/>
  <c r="Y103" i="134"/>
  <c r="Y177" i="134" s="1"/>
  <c r="X103" i="134"/>
  <c r="X177" i="134" s="1"/>
  <c r="U103" i="134"/>
  <c r="U177" i="134" s="1"/>
  <c r="T103" i="134"/>
  <c r="T177" i="134" s="1"/>
  <c r="Q103" i="134"/>
  <c r="Q177" i="134" s="1"/>
  <c r="P103" i="134"/>
  <c r="P177" i="134" s="1"/>
  <c r="M103" i="134"/>
  <c r="M177" i="134" s="1"/>
  <c r="L103" i="134"/>
  <c r="L177" i="134" s="1"/>
  <c r="I103" i="134"/>
  <c r="I177" i="134" s="1"/>
  <c r="H103" i="134"/>
  <c r="H177" i="134" s="1"/>
  <c r="E103" i="134"/>
  <c r="E177" i="134" s="1"/>
  <c r="D103" i="134"/>
  <c r="D177" i="134" s="1"/>
  <c r="AC102" i="134"/>
  <c r="AC176" i="134" s="1"/>
  <c r="AB102" i="134"/>
  <c r="AB176" i="134" s="1"/>
  <c r="Y102" i="134"/>
  <c r="Y176" i="134" s="1"/>
  <c r="X102" i="134"/>
  <c r="X176" i="134" s="1"/>
  <c r="U102" i="134"/>
  <c r="U176" i="134" s="1"/>
  <c r="T102" i="134"/>
  <c r="T176" i="134" s="1"/>
  <c r="Q102" i="134"/>
  <c r="Q176" i="134" s="1"/>
  <c r="P102" i="134"/>
  <c r="P176" i="134" s="1"/>
  <c r="M102" i="134"/>
  <c r="M176" i="134" s="1"/>
  <c r="L102" i="134"/>
  <c r="L176" i="134" s="1"/>
  <c r="I102" i="134"/>
  <c r="I176" i="134" s="1"/>
  <c r="H102" i="134"/>
  <c r="H176" i="134" s="1"/>
  <c r="E102" i="134"/>
  <c r="E176" i="134" s="1"/>
  <c r="D102" i="134"/>
  <c r="D176" i="134" s="1"/>
  <c r="AC101" i="134"/>
  <c r="AC175" i="134" s="1"/>
  <c r="AB101" i="134"/>
  <c r="AB175" i="134" s="1"/>
  <c r="Y101" i="134"/>
  <c r="Y175" i="134" s="1"/>
  <c r="X101" i="134"/>
  <c r="X175" i="134" s="1"/>
  <c r="U101" i="134"/>
  <c r="U175" i="134" s="1"/>
  <c r="T101" i="134"/>
  <c r="T175" i="134" s="1"/>
  <c r="Q101" i="134"/>
  <c r="Q175" i="134" s="1"/>
  <c r="P101" i="134"/>
  <c r="P175" i="134" s="1"/>
  <c r="M101" i="134"/>
  <c r="M175" i="134" s="1"/>
  <c r="L101" i="134"/>
  <c r="L175" i="134" s="1"/>
  <c r="I101" i="134"/>
  <c r="I175" i="134" s="1"/>
  <c r="H101" i="134"/>
  <c r="H175" i="134" s="1"/>
  <c r="E101" i="134"/>
  <c r="E175" i="134" s="1"/>
  <c r="D101" i="134"/>
  <c r="D175" i="134" s="1"/>
  <c r="AC100" i="134"/>
  <c r="AC174" i="134" s="1"/>
  <c r="AB100" i="134"/>
  <c r="AB174" i="134" s="1"/>
  <c r="Y100" i="134"/>
  <c r="Y174" i="134" s="1"/>
  <c r="X100" i="134"/>
  <c r="X174" i="134" s="1"/>
  <c r="U100" i="134"/>
  <c r="U174" i="134" s="1"/>
  <c r="T100" i="134"/>
  <c r="T174" i="134" s="1"/>
  <c r="Q100" i="134"/>
  <c r="Q174" i="134" s="1"/>
  <c r="P100" i="134"/>
  <c r="P174" i="134" s="1"/>
  <c r="M100" i="134"/>
  <c r="M174" i="134" s="1"/>
  <c r="L100" i="134"/>
  <c r="L174" i="134" s="1"/>
  <c r="I100" i="134"/>
  <c r="I174" i="134" s="1"/>
  <c r="H100" i="134"/>
  <c r="H174" i="134" s="1"/>
  <c r="E100" i="134"/>
  <c r="E174" i="134" s="1"/>
  <c r="D100" i="134"/>
  <c r="D174" i="134" s="1"/>
  <c r="AC99" i="134"/>
  <c r="AC173" i="134" s="1"/>
  <c r="AB99" i="134"/>
  <c r="AB173" i="134" s="1"/>
  <c r="Y99" i="134"/>
  <c r="Y173" i="134" s="1"/>
  <c r="X99" i="134"/>
  <c r="X173" i="134" s="1"/>
  <c r="U99" i="134"/>
  <c r="U173" i="134" s="1"/>
  <c r="T99" i="134"/>
  <c r="T173" i="134" s="1"/>
  <c r="Q99" i="134"/>
  <c r="Q173" i="134" s="1"/>
  <c r="P99" i="134"/>
  <c r="P173" i="134" s="1"/>
  <c r="M99" i="134"/>
  <c r="M173" i="134" s="1"/>
  <c r="L99" i="134"/>
  <c r="L173" i="134" s="1"/>
  <c r="I99" i="134"/>
  <c r="I173" i="134" s="1"/>
  <c r="H99" i="134"/>
  <c r="H173" i="134" s="1"/>
  <c r="E99" i="134"/>
  <c r="E173" i="134" s="1"/>
  <c r="D99" i="134"/>
  <c r="D173" i="134" s="1"/>
  <c r="AC98" i="134"/>
  <c r="AC172" i="134" s="1"/>
  <c r="AB98" i="134"/>
  <c r="AB172" i="134" s="1"/>
  <c r="Y98" i="134"/>
  <c r="Y172" i="134" s="1"/>
  <c r="X98" i="134"/>
  <c r="X172" i="134" s="1"/>
  <c r="U98" i="134"/>
  <c r="U172" i="134" s="1"/>
  <c r="T98" i="134"/>
  <c r="T172" i="134" s="1"/>
  <c r="Q98" i="134"/>
  <c r="Q172" i="134" s="1"/>
  <c r="P98" i="134"/>
  <c r="P172" i="134" s="1"/>
  <c r="M98" i="134"/>
  <c r="M172" i="134" s="1"/>
  <c r="L98" i="134"/>
  <c r="L172" i="134" s="1"/>
  <c r="I98" i="134"/>
  <c r="I172" i="134" s="1"/>
  <c r="H98" i="134"/>
  <c r="H172" i="134" s="1"/>
  <c r="E98" i="134"/>
  <c r="E172" i="134" s="1"/>
  <c r="D98" i="134"/>
  <c r="D172" i="134" s="1"/>
  <c r="AC97" i="134"/>
  <c r="AC171" i="134" s="1"/>
  <c r="AB97" i="134"/>
  <c r="AB171" i="134" s="1"/>
  <c r="Y97" i="134"/>
  <c r="Y171" i="134" s="1"/>
  <c r="X97" i="134"/>
  <c r="X171" i="134" s="1"/>
  <c r="U97" i="134"/>
  <c r="U171" i="134" s="1"/>
  <c r="T97" i="134"/>
  <c r="T171" i="134" s="1"/>
  <c r="Q97" i="134"/>
  <c r="Q171" i="134" s="1"/>
  <c r="P97" i="134"/>
  <c r="P171" i="134" s="1"/>
  <c r="M97" i="134"/>
  <c r="M171" i="134" s="1"/>
  <c r="L97" i="134"/>
  <c r="L171" i="134" s="1"/>
  <c r="I97" i="134"/>
  <c r="I171" i="134" s="1"/>
  <c r="H97" i="134"/>
  <c r="H171" i="134" s="1"/>
  <c r="E97" i="134"/>
  <c r="E171" i="134" s="1"/>
  <c r="D97" i="134"/>
  <c r="D171" i="134" s="1"/>
  <c r="AC96" i="134"/>
  <c r="AC170" i="134" s="1"/>
  <c r="AB96" i="134"/>
  <c r="AB170" i="134" s="1"/>
  <c r="Y96" i="134"/>
  <c r="Y170" i="134" s="1"/>
  <c r="X96" i="134"/>
  <c r="X170" i="134" s="1"/>
  <c r="U96" i="134"/>
  <c r="U170" i="134" s="1"/>
  <c r="T96" i="134"/>
  <c r="T170" i="134" s="1"/>
  <c r="Q96" i="134"/>
  <c r="Q170" i="134" s="1"/>
  <c r="P96" i="134"/>
  <c r="P170" i="134" s="1"/>
  <c r="M96" i="134"/>
  <c r="M170" i="134" s="1"/>
  <c r="L96" i="134"/>
  <c r="L170" i="134" s="1"/>
  <c r="I96" i="134"/>
  <c r="I170" i="134" s="1"/>
  <c r="H96" i="134"/>
  <c r="H170" i="134" s="1"/>
  <c r="E96" i="134"/>
  <c r="E170" i="134" s="1"/>
  <c r="D96" i="134"/>
  <c r="D170" i="134" s="1"/>
  <c r="AC95" i="134"/>
  <c r="AC169" i="134" s="1"/>
  <c r="AB95" i="134"/>
  <c r="AB169" i="134" s="1"/>
  <c r="Y95" i="134"/>
  <c r="Y169" i="134" s="1"/>
  <c r="X95" i="134"/>
  <c r="X169" i="134" s="1"/>
  <c r="U95" i="134"/>
  <c r="U169" i="134" s="1"/>
  <c r="T95" i="134"/>
  <c r="T169" i="134" s="1"/>
  <c r="Q95" i="134"/>
  <c r="Q169" i="134" s="1"/>
  <c r="P95" i="134"/>
  <c r="P169" i="134" s="1"/>
  <c r="M95" i="134"/>
  <c r="M169" i="134" s="1"/>
  <c r="L95" i="134"/>
  <c r="L169" i="134" s="1"/>
  <c r="I95" i="134"/>
  <c r="I169" i="134" s="1"/>
  <c r="H95" i="134"/>
  <c r="H169" i="134" s="1"/>
  <c r="E95" i="134"/>
  <c r="E169" i="134" s="1"/>
  <c r="D95" i="134"/>
  <c r="D169" i="134" s="1"/>
  <c r="AC94" i="134"/>
  <c r="AC168" i="134" s="1"/>
  <c r="AB94" i="134"/>
  <c r="AB168" i="134" s="1"/>
  <c r="Y94" i="134"/>
  <c r="Y168" i="134" s="1"/>
  <c r="X94" i="134"/>
  <c r="X168" i="134" s="1"/>
  <c r="U94" i="134"/>
  <c r="U168" i="134" s="1"/>
  <c r="T94" i="134"/>
  <c r="T168" i="134" s="1"/>
  <c r="Q94" i="134"/>
  <c r="Q168" i="134" s="1"/>
  <c r="P94" i="134"/>
  <c r="P168" i="134" s="1"/>
  <c r="M94" i="134"/>
  <c r="M168" i="134" s="1"/>
  <c r="L94" i="134"/>
  <c r="L168" i="134" s="1"/>
  <c r="I94" i="134"/>
  <c r="I168" i="134" s="1"/>
  <c r="H94" i="134"/>
  <c r="H168" i="134" s="1"/>
  <c r="E94" i="134"/>
  <c r="E168" i="134" s="1"/>
  <c r="D94" i="134"/>
  <c r="D168" i="134" s="1"/>
  <c r="Y87" i="134"/>
  <c r="X87" i="134"/>
  <c r="X143" i="134" s="1"/>
  <c r="U87" i="134"/>
  <c r="U161" i="134" s="1"/>
  <c r="T87" i="134"/>
  <c r="T143" i="134" s="1"/>
  <c r="Q87" i="134"/>
  <c r="P87" i="134"/>
  <c r="P161" i="134" s="1"/>
  <c r="M87" i="134"/>
  <c r="M161" i="134" s="1"/>
  <c r="L87" i="134"/>
  <c r="I87" i="134"/>
  <c r="I161" i="134" s="1"/>
  <c r="H87" i="134"/>
  <c r="H143" i="134" s="1"/>
  <c r="E87" i="134"/>
  <c r="E161" i="134" s="1"/>
  <c r="D87" i="134"/>
  <c r="D161" i="134" s="1"/>
  <c r="AC86" i="134"/>
  <c r="AB86" i="134"/>
  <c r="AB160" i="134" s="1"/>
  <c r="Y86" i="134"/>
  <c r="Y160" i="134" s="1"/>
  <c r="X86" i="134"/>
  <c r="X142" i="134" s="1"/>
  <c r="U86" i="134"/>
  <c r="U160" i="134" s="1"/>
  <c r="T86" i="134"/>
  <c r="Q86" i="134"/>
  <c r="Q142" i="134" s="1"/>
  <c r="P86" i="134"/>
  <c r="M86" i="134"/>
  <c r="L86" i="134"/>
  <c r="L142" i="134" s="1"/>
  <c r="I86" i="134"/>
  <c r="H86" i="134"/>
  <c r="E86" i="134"/>
  <c r="D86" i="134"/>
  <c r="D160" i="134" s="1"/>
  <c r="AC85" i="134"/>
  <c r="AC141" i="134" s="1"/>
  <c r="AB85" i="134"/>
  <c r="Y85" i="134"/>
  <c r="Y159" i="134" s="1"/>
  <c r="X85" i="134"/>
  <c r="X159" i="134" s="1"/>
  <c r="U85" i="134"/>
  <c r="U141" i="134" s="1"/>
  <c r="T85" i="134"/>
  <c r="Q85" i="134"/>
  <c r="P85" i="134"/>
  <c r="P141" i="134" s="1"/>
  <c r="M85" i="134"/>
  <c r="L85" i="134"/>
  <c r="I85" i="134"/>
  <c r="I159" i="134" s="1"/>
  <c r="H85" i="134"/>
  <c r="H159" i="134" s="1"/>
  <c r="E85" i="134"/>
  <c r="D85" i="134"/>
  <c r="AC84" i="134"/>
  <c r="AC158" i="134" s="1"/>
  <c r="AB84" i="134"/>
  <c r="AB140" i="134" s="1"/>
  <c r="Y84" i="134"/>
  <c r="X84" i="134"/>
  <c r="X158" i="134" s="1"/>
  <c r="U84" i="134"/>
  <c r="T84" i="134"/>
  <c r="T158" i="134" s="1"/>
  <c r="Q84" i="134"/>
  <c r="Q140" i="134"/>
  <c r="P84" i="134"/>
  <c r="P140" i="134" s="1"/>
  <c r="M84" i="134"/>
  <c r="L84" i="134"/>
  <c r="I84" i="134"/>
  <c r="I140" i="134" s="1"/>
  <c r="H84" i="134"/>
  <c r="E84" i="134"/>
  <c r="E158" i="134" s="1"/>
  <c r="D84" i="134"/>
  <c r="AC83" i="134"/>
  <c r="AB83" i="134"/>
  <c r="Y83" i="134"/>
  <c r="Y157" i="134" s="1"/>
  <c r="X83" i="134"/>
  <c r="X139" i="134" s="1"/>
  <c r="U83" i="134"/>
  <c r="U157" i="134" s="1"/>
  <c r="T83" i="134"/>
  <c r="T157" i="134" s="1"/>
  <c r="Q83" i="134"/>
  <c r="P83" i="134"/>
  <c r="M83" i="134"/>
  <c r="L83" i="134"/>
  <c r="L157" i="134" s="1"/>
  <c r="I83" i="134"/>
  <c r="I139" i="134" s="1"/>
  <c r="H83" i="134"/>
  <c r="H139" i="134" s="1"/>
  <c r="E83" i="134"/>
  <c r="D83" i="134"/>
  <c r="D139" i="134" s="1"/>
  <c r="AC82" i="134"/>
  <c r="AB82" i="134"/>
  <c r="AB138" i="134" s="1"/>
  <c r="Y82" i="134"/>
  <c r="Y138" i="134" s="1"/>
  <c r="X82" i="134"/>
  <c r="X138" i="134" s="1"/>
  <c r="U82" i="134"/>
  <c r="T82" i="134"/>
  <c r="T138" i="134" s="1"/>
  <c r="Q82" i="134"/>
  <c r="P82" i="134"/>
  <c r="M82" i="134"/>
  <c r="L82" i="134"/>
  <c r="L138" i="134" s="1"/>
  <c r="I82" i="134"/>
  <c r="I156" i="134" s="1"/>
  <c r="H82" i="134"/>
  <c r="H156" i="134" s="1"/>
  <c r="E82" i="134"/>
  <c r="D82" i="134"/>
  <c r="D138" i="134" s="1"/>
  <c r="AC81" i="134"/>
  <c r="AC155" i="134" s="1"/>
  <c r="AB81" i="134"/>
  <c r="Y81" i="134"/>
  <c r="Y155" i="134" s="1"/>
  <c r="X81" i="134"/>
  <c r="X137" i="134" s="1"/>
  <c r="U81" i="134"/>
  <c r="U155" i="134" s="1"/>
  <c r="T81" i="134"/>
  <c r="T137" i="134" s="1"/>
  <c r="Q81" i="134"/>
  <c r="Q137" i="134" s="1"/>
  <c r="P81" i="134"/>
  <c r="M81" i="134"/>
  <c r="L81" i="134"/>
  <c r="I81" i="134"/>
  <c r="I155" i="134" s="1"/>
  <c r="H81" i="134"/>
  <c r="H137" i="134" s="1"/>
  <c r="E81" i="134"/>
  <c r="E137" i="134" s="1"/>
  <c r="D81" i="134"/>
  <c r="D137" i="134" s="1"/>
  <c r="AC80" i="134"/>
  <c r="AB80" i="134"/>
  <c r="Y80" i="134"/>
  <c r="X80" i="134"/>
  <c r="U80" i="134"/>
  <c r="T80" i="134"/>
  <c r="T154" i="134" s="1"/>
  <c r="Q80" i="134"/>
  <c r="Q136" i="134" s="1"/>
  <c r="P80" i="134"/>
  <c r="M80" i="134"/>
  <c r="M136" i="134"/>
  <c r="L80" i="134"/>
  <c r="I80" i="134"/>
  <c r="H80" i="134"/>
  <c r="E80" i="134"/>
  <c r="D80" i="134"/>
  <c r="AC79" i="134"/>
  <c r="AC153" i="134" s="1"/>
  <c r="AB79" i="134"/>
  <c r="Y79" i="134"/>
  <c r="Y135" i="134" s="1"/>
  <c r="X79" i="134"/>
  <c r="U79" i="134"/>
  <c r="T79" i="134"/>
  <c r="Q79" i="134"/>
  <c r="Q153" i="134" s="1"/>
  <c r="P79" i="134"/>
  <c r="M79" i="134"/>
  <c r="M135" i="134" s="1"/>
  <c r="L79" i="134"/>
  <c r="I79" i="134"/>
  <c r="I153" i="134" s="1"/>
  <c r="H79" i="134"/>
  <c r="E79" i="134"/>
  <c r="D79" i="134"/>
  <c r="D135" i="134" s="1"/>
  <c r="AC78" i="134"/>
  <c r="AC152" i="134" s="1"/>
  <c r="AB78" i="134"/>
  <c r="AB152" i="134" s="1"/>
  <c r="Y78" i="134"/>
  <c r="Y134" i="134" s="1"/>
  <c r="X78" i="134"/>
  <c r="U78" i="134"/>
  <c r="T78" i="134"/>
  <c r="T152" i="134" s="1"/>
  <c r="Q78" i="134"/>
  <c r="P78" i="134"/>
  <c r="P134" i="134" s="1"/>
  <c r="M78" i="134"/>
  <c r="M152" i="134" s="1"/>
  <c r="L78" i="134"/>
  <c r="I78" i="134"/>
  <c r="I134" i="134" s="1"/>
  <c r="H78" i="134"/>
  <c r="H152" i="134" s="1"/>
  <c r="E78" i="134"/>
  <c r="D78" i="134"/>
  <c r="D134" i="134" s="1"/>
  <c r="AC77" i="134"/>
  <c r="AC151" i="134" s="1"/>
  <c r="AB77" i="134"/>
  <c r="AB151" i="134" s="1"/>
  <c r="Y77" i="134"/>
  <c r="Y133" i="134" s="1"/>
  <c r="X77" i="134"/>
  <c r="U77" i="134"/>
  <c r="U151" i="134" s="1"/>
  <c r="T77" i="134"/>
  <c r="T151" i="134" s="1"/>
  <c r="Q77" i="134"/>
  <c r="Q133" i="134" s="1"/>
  <c r="P77" i="134"/>
  <c r="M77" i="134"/>
  <c r="M133" i="134" s="1"/>
  <c r="L77" i="134"/>
  <c r="I77" i="134"/>
  <c r="H77" i="134"/>
  <c r="H151" i="134" s="1"/>
  <c r="E77" i="134"/>
  <c r="E133" i="134" s="1"/>
  <c r="D77" i="134"/>
  <c r="D133" i="134" s="1"/>
  <c r="AC76" i="134"/>
  <c r="AB76" i="134"/>
  <c r="AB150" i="134" s="1"/>
  <c r="Y76" i="134"/>
  <c r="Y150" i="134" s="1"/>
  <c r="X76" i="134"/>
  <c r="U76" i="134"/>
  <c r="U150" i="134" s="1"/>
  <c r="T76" i="134"/>
  <c r="T150" i="134" s="1"/>
  <c r="Q76" i="134"/>
  <c r="Q150" i="134" s="1"/>
  <c r="P76" i="134"/>
  <c r="M76" i="134"/>
  <c r="L76" i="134"/>
  <c r="L132" i="134" s="1"/>
  <c r="I76" i="134"/>
  <c r="I132" i="134" s="1"/>
  <c r="H76" i="134"/>
  <c r="H132" i="134" s="1"/>
  <c r="E76" i="134"/>
  <c r="E132" i="134" s="1"/>
  <c r="D76" i="134"/>
  <c r="D132" i="134" s="1"/>
  <c r="AC75" i="134"/>
  <c r="AC149" i="134" s="1"/>
  <c r="AB75" i="134"/>
  <c r="Y75" i="134"/>
  <c r="Y149" i="134" s="1"/>
  <c r="X75" i="134"/>
  <c r="X131" i="134" s="1"/>
  <c r="U75" i="134"/>
  <c r="U131" i="134" s="1"/>
  <c r="T75" i="134"/>
  <c r="T149" i="134" s="1"/>
  <c r="Q75" i="134"/>
  <c r="P75" i="134"/>
  <c r="P131" i="134" s="1"/>
  <c r="M75" i="134"/>
  <c r="L75" i="134"/>
  <c r="I75" i="134"/>
  <c r="H75" i="134"/>
  <c r="H149" i="134" s="1"/>
  <c r="E75" i="134"/>
  <c r="E149" i="134" s="1"/>
  <c r="D75" i="134"/>
  <c r="D149" i="134" s="1"/>
  <c r="AW57" i="134"/>
  <c r="AV57" i="134"/>
  <c r="AU57" i="134"/>
  <c r="AT57" i="134"/>
  <c r="AS57" i="134"/>
  <c r="AR57" i="134"/>
  <c r="AQ57" i="134"/>
  <c r="AM57" i="134"/>
  <c r="AI57" i="134"/>
  <c r="AH57" i="134"/>
  <c r="AG57" i="134"/>
  <c r="AW56" i="134"/>
  <c r="AV56" i="134"/>
  <c r="AU56" i="134"/>
  <c r="AT56" i="134"/>
  <c r="AS56" i="134"/>
  <c r="AR56" i="134"/>
  <c r="AQ56" i="134"/>
  <c r="AM56" i="134"/>
  <c r="AI56" i="134"/>
  <c r="AH56" i="134"/>
  <c r="AG56" i="134"/>
  <c r="AW55" i="134"/>
  <c r="AV55" i="134"/>
  <c r="AU55" i="134"/>
  <c r="AT55" i="134"/>
  <c r="AS55" i="134"/>
  <c r="AR55" i="134"/>
  <c r="AQ55" i="134"/>
  <c r="AM55" i="134"/>
  <c r="AI55" i="134"/>
  <c r="AH55" i="134"/>
  <c r="AG55" i="134"/>
  <c r="AW54" i="134"/>
  <c r="AV54" i="134"/>
  <c r="AU54" i="134"/>
  <c r="AT54" i="134"/>
  <c r="AS54" i="134"/>
  <c r="AR54" i="134"/>
  <c r="AQ54" i="134"/>
  <c r="AM54" i="134"/>
  <c r="AI54" i="134"/>
  <c r="AH54" i="134"/>
  <c r="AG54" i="134"/>
  <c r="AW53" i="134"/>
  <c r="AV53" i="134"/>
  <c r="AU53" i="134"/>
  <c r="AT53" i="134"/>
  <c r="AS53" i="134"/>
  <c r="AR53" i="134"/>
  <c r="AQ53" i="134"/>
  <c r="AM53" i="134"/>
  <c r="AI53" i="134"/>
  <c r="AH53" i="134"/>
  <c r="AG53" i="134"/>
  <c r="AW52" i="134"/>
  <c r="AV52" i="134"/>
  <c r="AU52" i="134"/>
  <c r="AT52" i="134"/>
  <c r="AS52" i="134"/>
  <c r="AR52" i="134"/>
  <c r="AQ52" i="134"/>
  <c r="AM52" i="134"/>
  <c r="AI52" i="134"/>
  <c r="AH52" i="134"/>
  <c r="AG52" i="134"/>
  <c r="AW51" i="134"/>
  <c r="AV51" i="134"/>
  <c r="AU51" i="134"/>
  <c r="AT51" i="134"/>
  <c r="AS51" i="134"/>
  <c r="AR51" i="134"/>
  <c r="AQ51" i="134"/>
  <c r="AM51" i="134"/>
  <c r="AI51" i="134"/>
  <c r="AH51" i="134"/>
  <c r="AG51" i="134"/>
  <c r="AW50" i="134"/>
  <c r="AV50" i="134"/>
  <c r="AU50" i="134"/>
  <c r="AT50" i="134"/>
  <c r="AS50" i="134"/>
  <c r="AR50" i="134"/>
  <c r="AQ50" i="134"/>
  <c r="AM50" i="134"/>
  <c r="AI50" i="134"/>
  <c r="AH50" i="134"/>
  <c r="AG50" i="134"/>
  <c r="AW49" i="134"/>
  <c r="AV49" i="134"/>
  <c r="AU49" i="134"/>
  <c r="AT49" i="134"/>
  <c r="AS49" i="134"/>
  <c r="AR49" i="134"/>
  <c r="AQ49" i="134"/>
  <c r="AM49" i="134"/>
  <c r="AI49" i="134"/>
  <c r="AH49" i="134"/>
  <c r="AG49" i="134"/>
  <c r="AW48" i="134"/>
  <c r="AV48" i="134"/>
  <c r="AU48" i="134"/>
  <c r="AT48" i="134"/>
  <c r="AS48" i="134"/>
  <c r="AR48" i="134"/>
  <c r="AQ48" i="134"/>
  <c r="AM48" i="134"/>
  <c r="AI48" i="134"/>
  <c r="AH48" i="134"/>
  <c r="AG48" i="134"/>
  <c r="AW47" i="134"/>
  <c r="AV47" i="134"/>
  <c r="AU47" i="134"/>
  <c r="AT47" i="134"/>
  <c r="AS47" i="134"/>
  <c r="AR47" i="134"/>
  <c r="AQ47" i="134"/>
  <c r="AM47" i="134"/>
  <c r="AI47" i="134"/>
  <c r="AH47" i="134"/>
  <c r="AG47" i="134"/>
  <c r="AW46" i="134"/>
  <c r="AV46" i="134"/>
  <c r="AU46" i="134"/>
  <c r="AT46" i="134"/>
  <c r="AS46" i="134"/>
  <c r="AR46" i="134"/>
  <c r="AQ46" i="134"/>
  <c r="AM46" i="134"/>
  <c r="AI46" i="134"/>
  <c r="AH46" i="134"/>
  <c r="AG46" i="134"/>
  <c r="AW45" i="134"/>
  <c r="AV45" i="134"/>
  <c r="AU45" i="134"/>
  <c r="AT45" i="134"/>
  <c r="AS45" i="134"/>
  <c r="AR45" i="134"/>
  <c r="AQ45" i="134"/>
  <c r="AM45" i="134"/>
  <c r="AI45" i="134"/>
  <c r="AH45" i="134"/>
  <c r="AG45" i="134"/>
  <c r="AW44" i="134"/>
  <c r="AV44" i="134"/>
  <c r="AU44" i="134"/>
  <c r="AT44" i="134"/>
  <c r="AS44" i="134"/>
  <c r="AR44" i="134"/>
  <c r="AQ44" i="134"/>
  <c r="AM44" i="134"/>
  <c r="AI44" i="134"/>
  <c r="AW43" i="134"/>
  <c r="AV43" i="134"/>
  <c r="AU43" i="134"/>
  <c r="AT43" i="134"/>
  <c r="AS43" i="134"/>
  <c r="AR43" i="134"/>
  <c r="AQ43" i="134"/>
  <c r="AM43" i="134"/>
  <c r="AI43" i="134"/>
  <c r="AW42" i="134"/>
  <c r="AV42" i="134"/>
  <c r="AU42" i="134"/>
  <c r="AT42" i="134"/>
  <c r="AS42" i="134"/>
  <c r="AR42" i="134"/>
  <c r="AQ42" i="134"/>
  <c r="AM42" i="134"/>
  <c r="AI42" i="134"/>
  <c r="AW41" i="134"/>
  <c r="AV41" i="134"/>
  <c r="AU41" i="134"/>
  <c r="AT41" i="134"/>
  <c r="AS41" i="134"/>
  <c r="AR41" i="134"/>
  <c r="AQ41" i="134"/>
  <c r="AM41" i="134"/>
  <c r="AI41" i="134"/>
  <c r="AW40" i="134"/>
  <c r="AV40" i="134"/>
  <c r="AU40" i="134"/>
  <c r="AT40" i="134"/>
  <c r="AS40" i="134"/>
  <c r="AR40" i="134"/>
  <c r="AQ40" i="134"/>
  <c r="AM40" i="134"/>
  <c r="AI40" i="134"/>
  <c r="AW39" i="134"/>
  <c r="AV39" i="134"/>
  <c r="AU39" i="134"/>
  <c r="AT39" i="134"/>
  <c r="AS39" i="134"/>
  <c r="AR39" i="134"/>
  <c r="AQ39" i="134"/>
  <c r="AM39" i="134"/>
  <c r="AI39" i="134"/>
  <c r="AW38" i="134"/>
  <c r="AV38" i="134"/>
  <c r="AU38" i="134"/>
  <c r="AT38" i="134"/>
  <c r="AS38" i="134"/>
  <c r="AR38" i="134"/>
  <c r="AQ38" i="134"/>
  <c r="AM38" i="134"/>
  <c r="AI38" i="134"/>
  <c r="AH38" i="134"/>
  <c r="AG38" i="134"/>
  <c r="AW37" i="134"/>
  <c r="AV37" i="134"/>
  <c r="AU37" i="134"/>
  <c r="AT37" i="134"/>
  <c r="AS37" i="134"/>
  <c r="AR37" i="134"/>
  <c r="AQ37" i="134"/>
  <c r="AM37" i="134"/>
  <c r="AI37" i="134"/>
  <c r="AH37" i="134"/>
  <c r="AG37" i="134"/>
  <c r="AW36" i="134"/>
  <c r="AV36" i="134"/>
  <c r="AU36" i="134"/>
  <c r="AT36" i="134"/>
  <c r="AS36" i="134"/>
  <c r="AR36" i="134"/>
  <c r="AQ36" i="134"/>
  <c r="AM36" i="134"/>
  <c r="AI36" i="134"/>
  <c r="AH36" i="134"/>
  <c r="AG36" i="134"/>
  <c r="AW35" i="134"/>
  <c r="AV35" i="134"/>
  <c r="AU35" i="134"/>
  <c r="AT35" i="134"/>
  <c r="AS35" i="134"/>
  <c r="AR35" i="134"/>
  <c r="AQ35" i="134"/>
  <c r="AM35" i="134"/>
  <c r="AI35" i="134"/>
  <c r="AH35" i="134"/>
  <c r="AG35" i="134"/>
  <c r="AW34" i="134"/>
  <c r="AV34" i="134"/>
  <c r="AU34" i="134"/>
  <c r="AT34" i="134"/>
  <c r="AS34" i="134"/>
  <c r="AR34" i="134"/>
  <c r="AQ34" i="134"/>
  <c r="AM34" i="134"/>
  <c r="AI34" i="134"/>
  <c r="AH34" i="134"/>
  <c r="AG34" i="134"/>
  <c r="AW33" i="134"/>
  <c r="AV33" i="134"/>
  <c r="AU33" i="134"/>
  <c r="AT33" i="134"/>
  <c r="AS33" i="134"/>
  <c r="AR33" i="134"/>
  <c r="AQ33" i="134"/>
  <c r="AM33" i="134"/>
  <c r="AI33" i="134"/>
  <c r="AH33" i="134"/>
  <c r="AG33" i="134"/>
  <c r="AW32" i="134"/>
  <c r="AV32" i="134"/>
  <c r="AU32" i="134"/>
  <c r="AT32" i="134"/>
  <c r="AS32" i="134"/>
  <c r="AR32" i="134"/>
  <c r="AQ32" i="134"/>
  <c r="AM32" i="134"/>
  <c r="AI32" i="134"/>
  <c r="AH32" i="134"/>
  <c r="AG32" i="134"/>
  <c r="AW31" i="134"/>
  <c r="AV31" i="134"/>
  <c r="AU31" i="134"/>
  <c r="AT31" i="134"/>
  <c r="AS31" i="134"/>
  <c r="AR31" i="134"/>
  <c r="AQ31" i="134"/>
  <c r="AM31" i="134"/>
  <c r="AI31" i="134"/>
  <c r="AH31" i="134"/>
  <c r="AG31" i="134"/>
  <c r="AW30" i="134"/>
  <c r="AV30" i="134"/>
  <c r="AU30" i="134"/>
  <c r="AT30" i="134"/>
  <c r="AS30" i="134"/>
  <c r="AR30" i="134"/>
  <c r="AQ30" i="134"/>
  <c r="AM30" i="134"/>
  <c r="AI30" i="134"/>
  <c r="AH30" i="134"/>
  <c r="AG30" i="134"/>
  <c r="AW29" i="134"/>
  <c r="AV29" i="134"/>
  <c r="AU29" i="134"/>
  <c r="AT29" i="134"/>
  <c r="AS29" i="134"/>
  <c r="AR29" i="134"/>
  <c r="AQ29" i="134"/>
  <c r="AM29" i="134"/>
  <c r="AI29" i="134"/>
  <c r="AH29" i="134"/>
  <c r="AG29" i="134"/>
  <c r="AW28" i="134"/>
  <c r="AV28" i="134"/>
  <c r="AU28" i="134"/>
  <c r="AT28" i="134"/>
  <c r="AS28" i="134"/>
  <c r="AR28" i="134"/>
  <c r="AQ28" i="134"/>
  <c r="AM28" i="134"/>
  <c r="AI28" i="134"/>
  <c r="AH28" i="134"/>
  <c r="AG28" i="134"/>
  <c r="AW27" i="134"/>
  <c r="AV27" i="134"/>
  <c r="AU27" i="134"/>
  <c r="AT27" i="134"/>
  <c r="AS27" i="134"/>
  <c r="AR27" i="134"/>
  <c r="AQ27" i="134"/>
  <c r="AM27" i="134"/>
  <c r="AI27" i="134"/>
  <c r="AH27" i="134"/>
  <c r="AG27" i="134"/>
  <c r="AW26" i="134"/>
  <c r="AV26" i="134"/>
  <c r="AU26" i="134"/>
  <c r="AT26" i="134"/>
  <c r="AS26" i="134"/>
  <c r="AR26" i="134"/>
  <c r="AQ26" i="134"/>
  <c r="AM26" i="134"/>
  <c r="AI26" i="134"/>
  <c r="AH26" i="134"/>
  <c r="AG26" i="134"/>
  <c r="AW25" i="134"/>
  <c r="AV25" i="134"/>
  <c r="AU25" i="134"/>
  <c r="AT25" i="134"/>
  <c r="AS25" i="134"/>
  <c r="AR25" i="134"/>
  <c r="AQ25" i="134"/>
  <c r="AM25" i="134"/>
  <c r="AI25" i="134"/>
  <c r="AW24" i="134"/>
  <c r="AV24" i="134"/>
  <c r="AU24" i="134"/>
  <c r="AT24" i="134"/>
  <c r="AS24" i="134"/>
  <c r="AR24" i="134"/>
  <c r="AQ24" i="134"/>
  <c r="AM24" i="134"/>
  <c r="AI24" i="134"/>
  <c r="AW23" i="134"/>
  <c r="AV23" i="134"/>
  <c r="AU23" i="134"/>
  <c r="AT23" i="134"/>
  <c r="AS23" i="134"/>
  <c r="AR23" i="134"/>
  <c r="AQ23" i="134"/>
  <c r="AM23" i="134"/>
  <c r="AI23" i="134"/>
  <c r="AW22" i="134"/>
  <c r="AV22" i="134"/>
  <c r="AU22" i="134"/>
  <c r="AT22" i="134"/>
  <c r="AS22" i="134"/>
  <c r="AR22" i="134"/>
  <c r="AQ22" i="134"/>
  <c r="AM22" i="134"/>
  <c r="AI22" i="134"/>
  <c r="AW21" i="134"/>
  <c r="AV21" i="134"/>
  <c r="AU21" i="134"/>
  <c r="AT21" i="134"/>
  <c r="AS21" i="134"/>
  <c r="AR21" i="134"/>
  <c r="AQ21" i="134"/>
  <c r="AM21" i="134"/>
  <c r="AI21" i="134"/>
  <c r="AW20" i="134"/>
  <c r="AV20" i="134"/>
  <c r="AU20" i="134"/>
  <c r="AT20" i="134"/>
  <c r="AS20" i="134"/>
  <c r="AR20" i="134"/>
  <c r="AQ20" i="134"/>
  <c r="AM20" i="134"/>
  <c r="AI20" i="134"/>
  <c r="AW19" i="134"/>
  <c r="AV19" i="134"/>
  <c r="AU19" i="134"/>
  <c r="AT19" i="134"/>
  <c r="AS19" i="134"/>
  <c r="AR19" i="134"/>
  <c r="AQ19" i="134"/>
  <c r="AM19" i="134"/>
  <c r="AI19" i="134"/>
  <c r="AH19" i="134"/>
  <c r="AG19" i="134"/>
  <c r="AF19" i="134"/>
  <c r="AE19" i="134"/>
  <c r="AW18" i="134"/>
  <c r="AV18" i="134"/>
  <c r="AU18" i="134"/>
  <c r="AT18" i="134"/>
  <c r="AS18" i="134"/>
  <c r="AR18" i="134"/>
  <c r="AQ18" i="134"/>
  <c r="AM18" i="134"/>
  <c r="AI18" i="134"/>
  <c r="AH18" i="134"/>
  <c r="AG18" i="134"/>
  <c r="AF18" i="134"/>
  <c r="AE18" i="134"/>
  <c r="AW17" i="134"/>
  <c r="AV17" i="134"/>
  <c r="AU17" i="134"/>
  <c r="AT17" i="134"/>
  <c r="AS17" i="134"/>
  <c r="AR17" i="134"/>
  <c r="AQ17" i="134"/>
  <c r="AM17" i="134"/>
  <c r="AI17" i="134"/>
  <c r="AH17" i="134"/>
  <c r="AG17" i="134"/>
  <c r="AF17" i="134"/>
  <c r="AE17" i="134"/>
  <c r="AW16" i="134"/>
  <c r="AV16" i="134"/>
  <c r="AU16" i="134"/>
  <c r="AT16" i="134"/>
  <c r="AS16" i="134"/>
  <c r="AR16" i="134"/>
  <c r="AQ16" i="134"/>
  <c r="AM16" i="134"/>
  <c r="AI16" i="134"/>
  <c r="AH16" i="134"/>
  <c r="AG16" i="134"/>
  <c r="AF16" i="134"/>
  <c r="AE16" i="134"/>
  <c r="AW15" i="134"/>
  <c r="AV15" i="134"/>
  <c r="AU15" i="134"/>
  <c r="AT15" i="134"/>
  <c r="AS15" i="134"/>
  <c r="AR15" i="134"/>
  <c r="AQ15" i="134"/>
  <c r="AM15" i="134"/>
  <c r="AI15" i="134"/>
  <c r="AH15" i="134"/>
  <c r="AG15" i="134"/>
  <c r="AF15" i="134"/>
  <c r="AE15" i="134"/>
  <c r="AW14" i="134"/>
  <c r="AV14" i="134"/>
  <c r="AU14" i="134"/>
  <c r="AT14" i="134"/>
  <c r="AS14" i="134"/>
  <c r="AR14" i="134"/>
  <c r="AQ14" i="134"/>
  <c r="AM14" i="134"/>
  <c r="AI14" i="134"/>
  <c r="AH14" i="134"/>
  <c r="AG14" i="134"/>
  <c r="AF14" i="134"/>
  <c r="AE14" i="134"/>
  <c r="AW13" i="134"/>
  <c r="AV13" i="134"/>
  <c r="AU13" i="134"/>
  <c r="AT13" i="134"/>
  <c r="AS13" i="134"/>
  <c r="AR13" i="134"/>
  <c r="AQ13" i="134"/>
  <c r="AM13" i="134"/>
  <c r="AI13" i="134"/>
  <c r="AH13" i="134"/>
  <c r="AG13" i="134"/>
  <c r="AF13" i="134"/>
  <c r="AE13" i="134"/>
  <c r="AW12" i="134"/>
  <c r="AV12" i="134"/>
  <c r="AU12" i="134"/>
  <c r="AT12" i="134"/>
  <c r="AS12" i="134"/>
  <c r="AR12" i="134"/>
  <c r="AQ12" i="134"/>
  <c r="AM12" i="134"/>
  <c r="AI12" i="134"/>
  <c r="AH12" i="134"/>
  <c r="AG12" i="134"/>
  <c r="AF12" i="134"/>
  <c r="AE12" i="134"/>
  <c r="AW11" i="134"/>
  <c r="AV11" i="134"/>
  <c r="AU11" i="134"/>
  <c r="AT11" i="134"/>
  <c r="AS11" i="134"/>
  <c r="AR11" i="134"/>
  <c r="AQ11" i="134"/>
  <c r="AM11" i="134"/>
  <c r="AI11" i="134"/>
  <c r="AH11" i="134"/>
  <c r="AG11" i="134"/>
  <c r="AF11" i="134"/>
  <c r="AE11" i="134"/>
  <c r="AW10" i="134"/>
  <c r="AV10" i="134"/>
  <c r="AU10" i="134"/>
  <c r="AT10" i="134"/>
  <c r="AS10" i="134"/>
  <c r="AR10" i="134"/>
  <c r="AQ10" i="134"/>
  <c r="AM10" i="134"/>
  <c r="AI10" i="134"/>
  <c r="AH10" i="134"/>
  <c r="AG10" i="134"/>
  <c r="AF10" i="134"/>
  <c r="AE10" i="134"/>
  <c r="AW9" i="134"/>
  <c r="AV9" i="134"/>
  <c r="AU9" i="134"/>
  <c r="AT9" i="134"/>
  <c r="AS9" i="134"/>
  <c r="AR9" i="134"/>
  <c r="AQ9" i="134"/>
  <c r="AM9" i="134"/>
  <c r="AI9" i="134"/>
  <c r="AH9" i="134"/>
  <c r="AG9" i="134"/>
  <c r="AF9" i="134"/>
  <c r="AE9" i="134"/>
  <c r="AW8" i="134"/>
  <c r="AV8" i="134"/>
  <c r="AU8" i="134"/>
  <c r="AT8" i="134"/>
  <c r="AS8" i="134"/>
  <c r="AR8" i="134"/>
  <c r="AQ8" i="134"/>
  <c r="AM8" i="134"/>
  <c r="AI8" i="134"/>
  <c r="AH8" i="134"/>
  <c r="AG8" i="134"/>
  <c r="AF8" i="134"/>
  <c r="AE8" i="134"/>
  <c r="AW7" i="134"/>
  <c r="AV7" i="134"/>
  <c r="AU7" i="134"/>
  <c r="AT7" i="134"/>
  <c r="AS7" i="134"/>
  <c r="AR7" i="134"/>
  <c r="AQ7" i="134"/>
  <c r="AP7" i="134"/>
  <c r="AO7" i="134"/>
  <c r="AN7" i="134"/>
  <c r="AM7" i="134"/>
  <c r="AL7" i="134"/>
  <c r="AK7" i="134"/>
  <c r="AJ7" i="134"/>
  <c r="AI7" i="134"/>
  <c r="AH7" i="134"/>
  <c r="AG7" i="134"/>
  <c r="AF7" i="134"/>
  <c r="AE7" i="134"/>
  <c r="F185" i="120"/>
  <c r="F184" i="120"/>
  <c r="O168" i="120"/>
  <c r="O167" i="120"/>
  <c r="H210" i="109"/>
  <c r="J210" i="109" s="1"/>
  <c r="H209" i="109"/>
  <c r="J209" i="109" s="1"/>
  <c r="H208" i="109"/>
  <c r="J208" i="109" s="1"/>
  <c r="H207" i="109"/>
  <c r="J207" i="109" s="1"/>
  <c r="H206" i="109"/>
  <c r="J206" i="109" s="1"/>
  <c r="H205" i="109"/>
  <c r="J205" i="109" s="1"/>
  <c r="H204" i="109"/>
  <c r="J204" i="109" s="1"/>
  <c r="H203" i="109"/>
  <c r="J203" i="109" s="1"/>
  <c r="O166" i="120"/>
  <c r="O165" i="120"/>
  <c r="O161" i="120"/>
  <c r="O160" i="120"/>
  <c r="O159" i="120"/>
  <c r="I160" i="120"/>
  <c r="I161" i="120"/>
  <c r="I159" i="120"/>
  <c r="AD97" i="109"/>
  <c r="H40" i="109"/>
  <c r="J40" i="109" s="1"/>
  <c r="H39" i="109"/>
  <c r="J39" i="109" s="1"/>
  <c r="H38" i="109"/>
  <c r="J38" i="109" s="1"/>
  <c r="H37" i="109"/>
  <c r="J37" i="109" s="1"/>
  <c r="H36" i="109"/>
  <c r="J36" i="109" s="1"/>
  <c r="H26" i="109"/>
  <c r="J26" i="109" s="1"/>
  <c r="H144" i="109"/>
  <c r="J144" i="109" s="1"/>
  <c r="H85" i="109"/>
  <c r="J85" i="109" s="1"/>
  <c r="H64" i="109"/>
  <c r="J64" i="109" s="1"/>
  <c r="H222" i="109"/>
  <c r="J222" i="109" s="1"/>
  <c r="H221" i="109"/>
  <c r="J221" i="109" s="1"/>
  <c r="H218" i="109"/>
  <c r="J218" i="109" s="1"/>
  <c r="H217" i="109"/>
  <c r="J217" i="109" s="1"/>
  <c r="H216" i="109"/>
  <c r="J216" i="109" s="1"/>
  <c r="H215" i="109"/>
  <c r="J215" i="109" s="1"/>
  <c r="H214" i="109"/>
  <c r="J214" i="109" s="1"/>
  <c r="H213" i="109"/>
  <c r="J213" i="109" s="1"/>
  <c r="I12" i="125"/>
  <c r="C473" i="109" s="1"/>
  <c r="D473" i="46" s="1"/>
  <c r="H248" i="109"/>
  <c r="J248" i="109" s="1"/>
  <c r="H247" i="109"/>
  <c r="J247" i="109" s="1"/>
  <c r="H246" i="109"/>
  <c r="J246" i="109" s="1"/>
  <c r="H19" i="132"/>
  <c r="I7" i="132"/>
  <c r="H7" i="132"/>
  <c r="E1" i="132"/>
  <c r="H17" i="132"/>
  <c r="H15" i="132"/>
  <c r="H13" i="132"/>
  <c r="H9" i="132"/>
  <c r="D19" i="132"/>
  <c r="D17" i="132"/>
  <c r="D15" i="132"/>
  <c r="D13" i="132"/>
  <c r="D7" i="132"/>
  <c r="D5" i="132"/>
  <c r="I3" i="132"/>
  <c r="D3" i="132"/>
  <c r="D677" i="46"/>
  <c r="BF677" i="46" s="1"/>
  <c r="E260" i="109"/>
  <c r="D473" i="109"/>
  <c r="AO473" i="46" s="1"/>
  <c r="F473" i="46" s="1"/>
  <c r="E473" i="109"/>
  <c r="AQ473" i="46" s="1"/>
  <c r="F473" i="109"/>
  <c r="AP473" i="46" s="1"/>
  <c r="J73" i="125"/>
  <c r="H467" i="109"/>
  <c r="J467" i="109" s="1"/>
  <c r="H464" i="109"/>
  <c r="J464" i="109" s="1"/>
  <c r="H375" i="109"/>
  <c r="J375" i="109" s="1"/>
  <c r="F30" i="57"/>
  <c r="F31" i="57"/>
  <c r="F35" i="57"/>
  <c r="F36" i="57"/>
  <c r="D544" i="46" s="1"/>
  <c r="BF544" i="46" s="1"/>
  <c r="F54" i="56"/>
  <c r="Q21" i="56"/>
  <c r="Q22" i="56"/>
  <c r="Q20" i="56"/>
  <c r="M27" i="56" s="1"/>
  <c r="F43" i="56"/>
  <c r="F29" i="56"/>
  <c r="G44" i="125"/>
  <c r="C44" i="125"/>
  <c r="J455" i="109"/>
  <c r="J456" i="109" s="1"/>
  <c r="J457" i="109" s="1"/>
  <c r="C38" i="125"/>
  <c r="D549" i="46"/>
  <c r="BF549" i="46" s="1"/>
  <c r="D552" i="46"/>
  <c r="BF552" i="46" s="1"/>
  <c r="D554" i="46"/>
  <c r="BF554" i="46" s="1"/>
  <c r="D555" i="46"/>
  <c r="BF555" i="46" s="1"/>
  <c r="D556" i="46"/>
  <c r="BF556" i="46" s="1"/>
  <c r="D557" i="46"/>
  <c r="BF557" i="46" s="1"/>
  <c r="D558" i="46"/>
  <c r="BF558" i="46" s="1"/>
  <c r="D559" i="46"/>
  <c r="BF559" i="46" s="1"/>
  <c r="D560" i="46"/>
  <c r="BF560" i="46" s="1"/>
  <c r="D561" i="46"/>
  <c r="BF561" i="46" s="1"/>
  <c r="D562" i="46"/>
  <c r="BF562" i="46" s="1"/>
  <c r="D27" i="120"/>
  <c r="D26" i="120"/>
  <c r="E298" i="109" s="1"/>
  <c r="AQ298" i="46" s="1"/>
  <c r="J298" i="46" s="1"/>
  <c r="J65" i="125"/>
  <c r="J70" i="125"/>
  <c r="F56" i="109"/>
  <c r="AP56" i="46" s="1"/>
  <c r="F55" i="109"/>
  <c r="H35" i="109"/>
  <c r="J35" i="109" s="1"/>
  <c r="F75" i="109"/>
  <c r="AP75" i="46" s="1"/>
  <c r="G8" i="127"/>
  <c r="D8" i="127"/>
  <c r="G4" i="127"/>
  <c r="D4" i="127"/>
  <c r="M28" i="127"/>
  <c r="L28" i="127"/>
  <c r="M27" i="127"/>
  <c r="L27" i="127"/>
  <c r="M26" i="127"/>
  <c r="L26" i="127"/>
  <c r="L25" i="127"/>
  <c r="M25" i="127"/>
  <c r="L24" i="127"/>
  <c r="M24" i="127"/>
  <c r="M23" i="127"/>
  <c r="L23" i="127"/>
  <c r="L22" i="127"/>
  <c r="M22" i="127"/>
  <c r="M21" i="127"/>
  <c r="L21" i="127"/>
  <c r="L20" i="127"/>
  <c r="E6" i="125"/>
  <c r="G29" i="125"/>
  <c r="B699" i="46"/>
  <c r="B698" i="46"/>
  <c r="D698" i="46"/>
  <c r="BF698" i="46" s="1"/>
  <c r="F698" i="46"/>
  <c r="BG698" i="46" s="1"/>
  <c r="D699" i="46"/>
  <c r="BF699" i="46" s="1"/>
  <c r="B671" i="46"/>
  <c r="F671" i="46"/>
  <c r="BG671" i="46" s="1"/>
  <c r="B672" i="46"/>
  <c r="F672" i="46"/>
  <c r="BG672" i="46" s="1"/>
  <c r="B673" i="46"/>
  <c r="F673" i="46"/>
  <c r="BG673" i="46" s="1"/>
  <c r="B674" i="46"/>
  <c r="D674" i="46"/>
  <c r="BF674" i="46" s="1"/>
  <c r="F674" i="46"/>
  <c r="BG674" i="46" s="1"/>
  <c r="B675" i="46"/>
  <c r="F675" i="46"/>
  <c r="BG675" i="46" s="1"/>
  <c r="B676" i="46"/>
  <c r="F676" i="46"/>
  <c r="BG676" i="46" s="1"/>
  <c r="B677" i="46"/>
  <c r="F677" i="46"/>
  <c r="BG677" i="46" s="1"/>
  <c r="B678" i="46"/>
  <c r="F678" i="46"/>
  <c r="BG678" i="46" s="1"/>
  <c r="B679" i="46"/>
  <c r="F679" i="46"/>
  <c r="BG679" i="46" s="1"/>
  <c r="B680" i="46"/>
  <c r="F680" i="46"/>
  <c r="BG680" i="46" s="1"/>
  <c r="B681" i="46"/>
  <c r="D681" i="46"/>
  <c r="BF681" i="46" s="1"/>
  <c r="F681" i="46"/>
  <c r="BG681" i="46" s="1"/>
  <c r="B682" i="46"/>
  <c r="D682" i="46"/>
  <c r="BF682" i="46" s="1"/>
  <c r="F682" i="46"/>
  <c r="BG682" i="46" s="1"/>
  <c r="B683" i="46"/>
  <c r="D683" i="46"/>
  <c r="BF683" i="46" s="1"/>
  <c r="F683" i="46"/>
  <c r="BG683" i="46" s="1"/>
  <c r="B684" i="46"/>
  <c r="B685" i="46"/>
  <c r="B686" i="46"/>
  <c r="B687" i="46"/>
  <c r="B688" i="46"/>
  <c r="B692" i="46"/>
  <c r="D692" i="46"/>
  <c r="BF692" i="46" s="1"/>
  <c r="F692" i="46"/>
  <c r="BG692" i="46" s="1"/>
  <c r="B693" i="46"/>
  <c r="D693" i="46"/>
  <c r="BF693" i="46" s="1"/>
  <c r="F693" i="46"/>
  <c r="BG693" i="46" s="1"/>
  <c r="B694" i="46"/>
  <c r="D694" i="46"/>
  <c r="BF694" i="46" s="1"/>
  <c r="F694" i="46"/>
  <c r="BG694" i="46" s="1"/>
  <c r="B695" i="46"/>
  <c r="D695" i="46"/>
  <c r="BF695" i="46" s="1"/>
  <c r="F695" i="46"/>
  <c r="BG695" i="46" s="1"/>
  <c r="B696" i="46"/>
  <c r="B697" i="46"/>
  <c r="D697" i="46"/>
  <c r="BF697" i="46" s="1"/>
  <c r="F697" i="46"/>
  <c r="BG697" i="46" s="1"/>
  <c r="B648" i="46"/>
  <c r="F648" i="46"/>
  <c r="BG648" i="46" s="1"/>
  <c r="B649" i="46"/>
  <c r="F649" i="46"/>
  <c r="BG649" i="46" s="1"/>
  <c r="B650" i="46"/>
  <c r="F650" i="46"/>
  <c r="BG650" i="46" s="1"/>
  <c r="B651" i="46"/>
  <c r="D651" i="46"/>
  <c r="BF651" i="46" s="1"/>
  <c r="F651" i="46"/>
  <c r="BG651" i="46" s="1"/>
  <c r="B652" i="46"/>
  <c r="F652" i="46"/>
  <c r="BG652" i="46" s="1"/>
  <c r="B653" i="46"/>
  <c r="F653" i="46"/>
  <c r="BG653" i="46" s="1"/>
  <c r="B654" i="46"/>
  <c r="F654" i="46"/>
  <c r="BG654" i="46" s="1"/>
  <c r="B655" i="46"/>
  <c r="F655" i="46"/>
  <c r="BG655" i="46" s="1"/>
  <c r="B656" i="46"/>
  <c r="D656" i="46"/>
  <c r="BF656" i="46" s="1"/>
  <c r="F656" i="46"/>
  <c r="BG656" i="46" s="1"/>
  <c r="B657" i="46"/>
  <c r="F657" i="46"/>
  <c r="BG657" i="46" s="1"/>
  <c r="B658" i="46"/>
  <c r="F658" i="46"/>
  <c r="BG658" i="46" s="1"/>
  <c r="B659" i="46"/>
  <c r="F659" i="46"/>
  <c r="BG659" i="46" s="1"/>
  <c r="B660" i="46"/>
  <c r="F660" i="46"/>
  <c r="BG660" i="46" s="1"/>
  <c r="B661" i="46"/>
  <c r="D661" i="46"/>
  <c r="BF661" i="46" s="1"/>
  <c r="F661" i="46"/>
  <c r="BG661" i="46" s="1"/>
  <c r="B662" i="46"/>
  <c r="F662" i="46"/>
  <c r="BG662" i="46" s="1"/>
  <c r="B664" i="46"/>
  <c r="D664" i="46"/>
  <c r="BF664" i="46" s="1"/>
  <c r="F664" i="46"/>
  <c r="BG664" i="46" s="1"/>
  <c r="B665" i="46"/>
  <c r="D665" i="46"/>
  <c r="BF665" i="46" s="1"/>
  <c r="F665" i="46"/>
  <c r="BG665" i="46" s="1"/>
  <c r="B666" i="46"/>
  <c r="F666" i="46"/>
  <c r="BG666" i="46" s="1"/>
  <c r="B667" i="46"/>
  <c r="F667" i="46"/>
  <c r="BG667" i="46" s="1"/>
  <c r="B668" i="46"/>
  <c r="F668" i="46"/>
  <c r="BG668" i="46" s="1"/>
  <c r="B669" i="46"/>
  <c r="F669" i="46"/>
  <c r="BG669" i="46" s="1"/>
  <c r="B670" i="46"/>
  <c r="D670" i="46"/>
  <c r="BF670" i="46" s="1"/>
  <c r="F670" i="46"/>
  <c r="BG670" i="46" s="1"/>
  <c r="D630" i="46"/>
  <c r="BF630" i="46" s="1"/>
  <c r="F630" i="46"/>
  <c r="BG630" i="46" s="1"/>
  <c r="D634" i="46"/>
  <c r="BF634" i="46" s="1"/>
  <c r="F634" i="46"/>
  <c r="BG634" i="46" s="1"/>
  <c r="D644" i="46"/>
  <c r="BF644" i="46" s="1"/>
  <c r="F644" i="46"/>
  <c r="BG644" i="46" s="1"/>
  <c r="D645" i="46"/>
  <c r="BF645" i="46" s="1"/>
  <c r="F645" i="46"/>
  <c r="BG645" i="46" s="1"/>
  <c r="D646" i="46"/>
  <c r="BF646" i="46" s="1"/>
  <c r="F646" i="46"/>
  <c r="BG646" i="46" s="1"/>
  <c r="D647" i="46"/>
  <c r="BF647" i="46" s="1"/>
  <c r="F647" i="46"/>
  <c r="BG647" i="46" s="1"/>
  <c r="B629" i="46"/>
  <c r="B630" i="46"/>
  <c r="B631" i="46"/>
  <c r="B634" i="46"/>
  <c r="B635" i="46"/>
  <c r="B640" i="46"/>
  <c r="B641" i="46"/>
  <c r="B642" i="46"/>
  <c r="B643" i="46"/>
  <c r="B644" i="46"/>
  <c r="B645" i="46"/>
  <c r="B646" i="46"/>
  <c r="B647" i="46"/>
  <c r="F6" i="126"/>
  <c r="E6" i="126"/>
  <c r="H4" i="126"/>
  <c r="E4" i="126"/>
  <c r="H2" i="126"/>
  <c r="E2" i="126"/>
  <c r="C1" i="126"/>
  <c r="K4" i="125"/>
  <c r="H4" i="125"/>
  <c r="E4" i="125"/>
  <c r="H2" i="125"/>
  <c r="E2" i="125"/>
  <c r="C1" i="125"/>
  <c r="M44" i="126"/>
  <c r="B720" i="46"/>
  <c r="Q1" i="125"/>
  <c r="H9" i="123"/>
  <c r="T15" i="123"/>
  <c r="T11" i="123"/>
  <c r="H15" i="123"/>
  <c r="H13" i="123"/>
  <c r="H11" i="123"/>
  <c r="H70" i="125" s="1"/>
  <c r="E9" i="122"/>
  <c r="Q7" i="123"/>
  <c r="H7" i="123"/>
  <c r="H5" i="123"/>
  <c r="F1" i="123"/>
  <c r="H15" i="122"/>
  <c r="E15" i="122"/>
  <c r="J13" i="122"/>
  <c r="E13" i="122"/>
  <c r="H9" i="122"/>
  <c r="E7" i="122"/>
  <c r="E5" i="122"/>
  <c r="I5" i="122"/>
  <c r="H3" i="122"/>
  <c r="E3" i="122"/>
  <c r="A1" i="122"/>
  <c r="H250" i="109"/>
  <c r="J250" i="109" s="1"/>
  <c r="H189" i="109"/>
  <c r="J189" i="109" s="1"/>
  <c r="K189" i="109" s="1"/>
  <c r="AD189" i="109" s="1"/>
  <c r="C53" i="120"/>
  <c r="D53" i="120" s="1"/>
  <c r="H302" i="109"/>
  <c r="J302" i="109" s="1"/>
  <c r="K302" i="109" s="1"/>
  <c r="H259" i="109"/>
  <c r="J259" i="109" s="1"/>
  <c r="K259" i="109" s="1"/>
  <c r="H258" i="109"/>
  <c r="J258" i="109" s="1"/>
  <c r="K258" i="109" s="1"/>
  <c r="H257" i="109"/>
  <c r="J257" i="109" s="1"/>
  <c r="K257" i="109" s="1"/>
  <c r="H256" i="109"/>
  <c r="J256" i="109" s="1"/>
  <c r="K256" i="109" s="1"/>
  <c r="H255" i="109"/>
  <c r="J255" i="109" s="1"/>
  <c r="K255" i="109" s="1"/>
  <c r="M62" i="126"/>
  <c r="H245" i="109"/>
  <c r="J245" i="109" s="1"/>
  <c r="H220" i="109"/>
  <c r="J220" i="109" s="1"/>
  <c r="H219" i="109"/>
  <c r="J219" i="109" s="1"/>
  <c r="H212" i="109"/>
  <c r="J212" i="109" s="1"/>
  <c r="C2" i="109"/>
  <c r="C1" i="109"/>
  <c r="D267" i="109" s="1"/>
  <c r="AO267" i="46" s="1"/>
  <c r="F267" i="46" s="1"/>
  <c r="AO549" i="46"/>
  <c r="F549" i="46" s="1"/>
  <c r="AP549" i="46"/>
  <c r="H549" i="46" s="1"/>
  <c r="AQ549" i="46"/>
  <c r="J549" i="46" s="1"/>
  <c r="AO550" i="46"/>
  <c r="F550" i="46" s="1"/>
  <c r="AP550" i="46"/>
  <c r="H550" i="46" s="1"/>
  <c r="AQ550" i="46"/>
  <c r="J550" i="46" s="1"/>
  <c r="AO551" i="46"/>
  <c r="F551" i="46" s="1"/>
  <c r="AP551" i="46"/>
  <c r="H551" i="46" s="1"/>
  <c r="AQ551" i="46"/>
  <c r="J551" i="46" s="1"/>
  <c r="AO552" i="46"/>
  <c r="F552" i="46" s="1"/>
  <c r="AP552" i="46"/>
  <c r="H552" i="46" s="1"/>
  <c r="AQ552" i="46"/>
  <c r="J552" i="46" s="1"/>
  <c r="AO553" i="46"/>
  <c r="F553" i="46" s="1"/>
  <c r="AP553" i="46"/>
  <c r="H553" i="46" s="1"/>
  <c r="AQ553" i="46"/>
  <c r="J553" i="46" s="1"/>
  <c r="AO554" i="46"/>
  <c r="F554" i="46" s="1"/>
  <c r="AP554" i="46"/>
  <c r="H554" i="46" s="1"/>
  <c r="AQ554" i="46"/>
  <c r="J554" i="46" s="1"/>
  <c r="AO555" i="46"/>
  <c r="F555" i="46" s="1"/>
  <c r="AP555" i="46"/>
  <c r="H555" i="46" s="1"/>
  <c r="AQ555" i="46"/>
  <c r="J555" i="46" s="1"/>
  <c r="C9" i="120"/>
  <c r="D9" i="120" s="1"/>
  <c r="C6" i="120"/>
  <c r="D68" i="110"/>
  <c r="D69" i="110" s="1"/>
  <c r="D70" i="110" s="1"/>
  <c r="B68" i="110"/>
  <c r="D1" i="57"/>
  <c r="D1" i="56"/>
  <c r="G9" i="56"/>
  <c r="J79" i="56"/>
  <c r="J80" i="56"/>
  <c r="J81" i="56"/>
  <c r="J82" i="56"/>
  <c r="J83" i="56"/>
  <c r="D550" i="46"/>
  <c r="BF550" i="46" s="1"/>
  <c r="J76" i="56"/>
  <c r="J77" i="56"/>
  <c r="J78" i="56"/>
  <c r="H385" i="109"/>
  <c r="J385" i="109" s="1"/>
  <c r="K385" i="109" s="1"/>
  <c r="H380" i="109"/>
  <c r="J380" i="109" s="1"/>
  <c r="H202" i="109"/>
  <c r="J202" i="109" s="1"/>
  <c r="H211" i="109"/>
  <c r="J211" i="109" s="1"/>
  <c r="H254" i="109"/>
  <c r="J254" i="109" s="1"/>
  <c r="K254" i="109" s="1"/>
  <c r="F29" i="57"/>
  <c r="J262" i="109"/>
  <c r="K262" i="109" s="1"/>
  <c r="J368" i="109"/>
  <c r="K368" i="109" s="1"/>
  <c r="J369" i="109"/>
  <c r="K369" i="109" s="1"/>
  <c r="J370" i="109"/>
  <c r="K370" i="109" s="1"/>
  <c r="J371" i="109"/>
  <c r="K371" i="109" s="1"/>
  <c r="B1" i="75"/>
  <c r="B1" i="71"/>
  <c r="B1" i="114"/>
  <c r="B4" i="114"/>
  <c r="E4" i="114"/>
  <c r="B6" i="114"/>
  <c r="B8" i="114"/>
  <c r="E8" i="114"/>
  <c r="M456" i="109"/>
  <c r="AT456" i="46" s="1"/>
  <c r="G9" i="45"/>
  <c r="C11" i="107"/>
  <c r="C12" i="107"/>
  <c r="C9" i="107"/>
  <c r="C8" i="107"/>
  <c r="B4" i="75"/>
  <c r="E4" i="75"/>
  <c r="B6" i="75"/>
  <c r="B8" i="75"/>
  <c r="E8" i="75"/>
  <c r="B4" i="71"/>
  <c r="E4" i="71"/>
  <c r="B6" i="71"/>
  <c r="B8" i="71"/>
  <c r="E8" i="71"/>
  <c r="G5" i="45"/>
  <c r="D9" i="45"/>
  <c r="D7" i="45"/>
  <c r="D5" i="45"/>
  <c r="B1" i="46"/>
  <c r="B2" i="46"/>
  <c r="B3" i="46"/>
  <c r="E5" i="56"/>
  <c r="G5" i="56"/>
  <c r="E7" i="56"/>
  <c r="E9" i="56"/>
  <c r="D5" i="57"/>
  <c r="G5" i="57"/>
  <c r="D7" i="57"/>
  <c r="D9" i="57"/>
  <c r="G9" i="57"/>
  <c r="C10" i="107"/>
  <c r="C13" i="107"/>
  <c r="C7" i="107"/>
  <c r="C39" i="122"/>
  <c r="M20" i="127"/>
  <c r="H33" i="127"/>
  <c r="F52" i="56"/>
  <c r="H45" i="109"/>
  <c r="J45" i="109" s="1"/>
  <c r="O182" i="137"/>
  <c r="G186" i="137"/>
  <c r="S182" i="137"/>
  <c r="L186" i="137"/>
  <c r="P186" i="137"/>
  <c r="T186" i="137"/>
  <c r="G182" i="137"/>
  <c r="K182" i="137"/>
  <c r="J117" i="137"/>
  <c r="E157" i="137"/>
  <c r="Q169" i="137"/>
  <c r="Q170" i="137" s="1"/>
  <c r="Q157" i="137"/>
  <c r="U169" i="137"/>
  <c r="U170" i="137" s="1"/>
  <c r="U165" i="137"/>
  <c r="U166" i="137" s="1"/>
  <c r="U157" i="137"/>
  <c r="R165" i="137"/>
  <c r="R166" i="137" s="1"/>
  <c r="R157" i="137"/>
  <c r="P182" i="137"/>
  <c r="P52" i="137" s="1"/>
  <c r="T182" i="137"/>
  <c r="T52" i="137" s="1"/>
  <c r="T195" i="137"/>
  <c r="T196" i="137" s="1"/>
  <c r="N165" i="137"/>
  <c r="N166" i="137" s="1"/>
  <c r="N157" i="137"/>
  <c r="S157" i="137"/>
  <c r="E182" i="137"/>
  <c r="E196" i="137" s="1"/>
  <c r="I182" i="137"/>
  <c r="I196" i="137" s="1"/>
  <c r="M182" i="137"/>
  <c r="Q182" i="137"/>
  <c r="U182" i="137"/>
  <c r="Q121" i="137"/>
  <c r="J157" i="137"/>
  <c r="J42" i="137" s="1"/>
  <c r="J116" i="137" s="1"/>
  <c r="J118" i="137" s="1"/>
  <c r="O157" i="137"/>
  <c r="H186" i="137"/>
  <c r="H117" i="137"/>
  <c r="F207" i="137"/>
  <c r="F182" i="137"/>
  <c r="J182" i="137"/>
  <c r="N182" i="137"/>
  <c r="R182" i="137"/>
  <c r="F208" i="137"/>
  <c r="E209" i="137"/>
  <c r="F209" i="137"/>
  <c r="E207" i="137"/>
  <c r="G207" i="137"/>
  <c r="G157" i="137"/>
  <c r="H48" i="109"/>
  <c r="J48" i="109" s="1"/>
  <c r="H182" i="137"/>
  <c r="H196" i="137" s="1"/>
  <c r="I169" i="137"/>
  <c r="I170" i="137" s="1"/>
  <c r="H44" i="109"/>
  <c r="J44" i="109" s="1"/>
  <c r="H47" i="109"/>
  <c r="J47" i="109" s="1"/>
  <c r="U208" i="134"/>
  <c r="U258" i="134" s="1"/>
  <c r="T258" i="134" s="1"/>
  <c r="M229" i="134"/>
  <c r="U223" i="134"/>
  <c r="Y212" i="134"/>
  <c r="Y262" i="134" s="1"/>
  <c r="X262" i="134" s="1"/>
  <c r="Q210" i="134"/>
  <c r="Q260" i="134" s="1"/>
  <c r="P260" i="134" s="1"/>
  <c r="I206" i="134"/>
  <c r="I256" i="134" s="1"/>
  <c r="H256" i="134" s="1"/>
  <c r="U231" i="134"/>
  <c r="U225" i="134"/>
  <c r="Q216" i="134"/>
  <c r="Q266" i="134"/>
  <c r="P266" i="134" s="1"/>
  <c r="I210" i="134"/>
  <c r="I260" i="134" s="1"/>
  <c r="H260" i="134" s="1"/>
  <c r="Q158" i="134"/>
  <c r="L208" i="137"/>
  <c r="S121" i="137"/>
  <c r="O209" i="137"/>
  <c r="U186" i="137"/>
  <c r="F194" i="137"/>
  <c r="F186" i="137"/>
  <c r="F51" i="137" s="1"/>
  <c r="F46" i="56"/>
  <c r="F50" i="56"/>
  <c r="N50" i="56" s="1"/>
  <c r="F53" i="56"/>
  <c r="K48" i="60"/>
  <c r="N6" i="120" s="1"/>
  <c r="AQ142" i="46"/>
  <c r="J142" i="46" s="1"/>
  <c r="O5" i="120"/>
  <c r="F44" i="56"/>
  <c r="F30" i="56"/>
  <c r="F41" i="56"/>
  <c r="F35" i="56"/>
  <c r="F36" i="56"/>
  <c r="F39" i="56"/>
  <c r="F32" i="56"/>
  <c r="AQ141" i="46"/>
  <c r="J141" i="46" s="1"/>
  <c r="E2" i="109"/>
  <c r="J27" i="135"/>
  <c r="J25" i="135"/>
  <c r="J29" i="135"/>
  <c r="J23" i="135"/>
  <c r="J22" i="56"/>
  <c r="J21" i="56"/>
  <c r="K25" i="57"/>
  <c r="K26" i="57"/>
  <c r="F38" i="56"/>
  <c r="K28" i="57"/>
  <c r="K27" i="57"/>
  <c r="H28" i="109"/>
  <c r="J28" i="109" s="1"/>
  <c r="K254" i="143"/>
  <c r="L254" i="143"/>
  <c r="M254" i="143"/>
  <c r="D553" i="46"/>
  <c r="BF553" i="46" s="1"/>
  <c r="Y132" i="134"/>
  <c r="D154" i="134"/>
  <c r="D136" i="134"/>
  <c r="I137" i="134"/>
  <c r="T132" i="134"/>
  <c r="U142" i="134"/>
  <c r="I158" i="134"/>
  <c r="M151" i="134"/>
  <c r="L160" i="134"/>
  <c r="X140" i="134"/>
  <c r="Y142" i="134"/>
  <c r="AC133" i="134"/>
  <c r="T131" i="134"/>
  <c r="H133" i="134"/>
  <c r="AB158" i="134"/>
  <c r="H324" i="109"/>
  <c r="J324" i="109" s="1"/>
  <c r="H316" i="109"/>
  <c r="J316" i="109" s="1"/>
  <c r="H320" i="109"/>
  <c r="J320" i="109" s="1"/>
  <c r="H322" i="109"/>
  <c r="J322" i="109" s="1"/>
  <c r="H317" i="109"/>
  <c r="J317" i="109" s="1"/>
  <c r="H321" i="109"/>
  <c r="J321" i="109" s="1"/>
  <c r="H335" i="109"/>
  <c r="J335" i="109" s="1"/>
  <c r="F31" i="56"/>
  <c r="R46" i="137"/>
  <c r="R131" i="137" s="1"/>
  <c r="I150" i="134"/>
  <c r="X132" i="134"/>
  <c r="X150" i="134"/>
  <c r="H158" i="134"/>
  <c r="H140" i="134"/>
  <c r="U233" i="134"/>
  <c r="E227" i="134"/>
  <c r="Q223" i="134"/>
  <c r="I214" i="134"/>
  <c r="I264" i="134" s="1"/>
  <c r="H264" i="134" s="1"/>
  <c r="M208" i="134"/>
  <c r="M258" i="134" s="1"/>
  <c r="L258" i="134" s="1"/>
  <c r="E229" i="134"/>
  <c r="I212" i="134"/>
  <c r="I262" i="134" s="1"/>
  <c r="H262" i="134" s="1"/>
  <c r="E206" i="134"/>
  <c r="E256" i="134" s="1"/>
  <c r="D256" i="134" s="1"/>
  <c r="Y229" i="134"/>
  <c r="AC216" i="134"/>
  <c r="AC266" i="134" s="1"/>
  <c r="AB266" i="134" s="1"/>
  <c r="E212" i="134"/>
  <c r="E262" i="134" s="1"/>
  <c r="D262" i="134" s="1"/>
  <c r="L150" i="134"/>
  <c r="X152" i="134"/>
  <c r="X134" i="134"/>
  <c r="Q155" i="134"/>
  <c r="AC137" i="134"/>
  <c r="I138" i="134"/>
  <c r="T140" i="134"/>
  <c r="I149" i="134"/>
  <c r="I131" i="134"/>
  <c r="M142" i="134"/>
  <c r="M160" i="134"/>
  <c r="Y137" i="134"/>
  <c r="R52" i="137"/>
  <c r="F45" i="56"/>
  <c r="T208" i="137"/>
  <c r="T207" i="137"/>
  <c r="H155" i="134"/>
  <c r="AB142" i="134"/>
  <c r="P135" i="134"/>
  <c r="P153" i="134"/>
  <c r="X156" i="134"/>
  <c r="I141" i="134"/>
  <c r="T133" i="134"/>
  <c r="AE79" i="134"/>
  <c r="E131" i="134"/>
  <c r="M138" i="134"/>
  <c r="M156" i="134"/>
  <c r="P208" i="137"/>
  <c r="X141" i="134"/>
  <c r="Q186" i="137"/>
  <c r="P245" i="143"/>
  <c r="S43" i="143"/>
  <c r="T187" i="137"/>
  <c r="AC135" i="134"/>
  <c r="E223" i="134"/>
  <c r="E156" i="134"/>
  <c r="E138" i="134"/>
  <c r="Y208" i="134"/>
  <c r="Y258" i="134" s="1"/>
  <c r="X258" i="134" s="1"/>
  <c r="H161" i="134"/>
  <c r="M231" i="134"/>
  <c r="M210" i="134"/>
  <c r="M260" i="134" s="1"/>
  <c r="L260" i="134" s="1"/>
  <c r="Y225" i="134"/>
  <c r="Y214" i="134"/>
  <c r="Y264" i="134" s="1"/>
  <c r="X264" i="134" s="1"/>
  <c r="U227" i="134"/>
  <c r="AC206" i="134"/>
  <c r="AC256" i="134" s="1"/>
  <c r="AB256" i="134" s="1"/>
  <c r="I225" i="134"/>
  <c r="Y206" i="134"/>
  <c r="Y256" i="134" s="1"/>
  <c r="X256" i="134" s="1"/>
  <c r="M233" i="134"/>
  <c r="Q227" i="134"/>
  <c r="H11" i="122"/>
  <c r="A4" i="109"/>
  <c r="H48" i="60"/>
  <c r="A3" i="109"/>
  <c r="P158" i="134"/>
  <c r="M154" i="134"/>
  <c r="Q149" i="134"/>
  <c r="Q131" i="134"/>
  <c r="M225" i="134"/>
  <c r="M227" i="134"/>
  <c r="I186" i="137"/>
  <c r="G11" i="142"/>
  <c r="C15" i="120"/>
  <c r="D15" i="120" s="1"/>
  <c r="H134" i="134"/>
  <c r="AB133" i="134"/>
  <c r="F37" i="56"/>
  <c r="Y154" i="134"/>
  <c r="Y136" i="134"/>
  <c r="U158" i="134"/>
  <c r="U140" i="134"/>
  <c r="X153" i="134"/>
  <c r="X135" i="134"/>
  <c r="T155" i="134"/>
  <c r="F34" i="56"/>
  <c r="F40" i="56"/>
  <c r="F49" i="56"/>
  <c r="F47" i="56"/>
  <c r="X149" i="134"/>
  <c r="O28" i="60"/>
  <c r="J7" i="132"/>
  <c r="F158" i="109"/>
  <c r="AP158" i="46" s="1"/>
  <c r="L17" i="146"/>
  <c r="H52" i="122" s="1"/>
  <c r="O82" i="60"/>
  <c r="C4" i="120"/>
  <c r="F157" i="109"/>
  <c r="E1" i="109"/>
  <c r="F170" i="109" s="1"/>
  <c r="AP170" i="46" s="1"/>
  <c r="H170" i="46" s="1"/>
  <c r="J20" i="139"/>
  <c r="D102" i="109"/>
  <c r="AO102" i="46" s="1"/>
  <c r="F102" i="46" s="1"/>
  <c r="M186" i="137"/>
  <c r="F210" i="137"/>
  <c r="P187" i="137"/>
  <c r="M169" i="137"/>
  <c r="M170" i="137" s="1"/>
  <c r="E186" i="137"/>
  <c r="F211" i="137"/>
  <c r="F212" i="137"/>
  <c r="I187" i="137"/>
  <c r="Q187" i="137"/>
  <c r="E187" i="137"/>
  <c r="M187" i="137"/>
  <c r="U187" i="137"/>
  <c r="N186" i="137"/>
  <c r="R186" i="137"/>
  <c r="G208" i="137"/>
  <c r="T165" i="137"/>
  <c r="T166" i="137" s="1"/>
  <c r="T157" i="137"/>
  <c r="S186" i="137"/>
  <c r="I121" i="137"/>
  <c r="K52" i="137"/>
  <c r="L157" i="137"/>
  <c r="L42" i="137" s="1"/>
  <c r="P157" i="137"/>
  <c r="P42" i="137" s="1"/>
  <c r="P116" i="137" s="1"/>
  <c r="P118" i="137" s="1"/>
  <c r="H165" i="137"/>
  <c r="H166" i="137" s="1"/>
  <c r="H157" i="137"/>
  <c r="O208" i="137"/>
  <c r="O212" i="137"/>
  <c r="S48" i="137"/>
  <c r="J187" i="137"/>
  <c r="G187" i="137"/>
  <c r="G45" i="137" s="1"/>
  <c r="L187" i="137"/>
  <c r="N187" i="137"/>
  <c r="J186" i="137"/>
  <c r="J51" i="137" s="1"/>
  <c r="S196" i="137"/>
  <c r="S187" i="137"/>
  <c r="O187" i="137"/>
  <c r="O51" i="137" s="1"/>
  <c r="H187" i="137"/>
  <c r="K187" i="137"/>
  <c r="F187" i="137"/>
  <c r="R187" i="137"/>
  <c r="L48" i="60"/>
  <c r="Q6" i="120" s="1"/>
  <c r="AY52" i="147"/>
  <c r="AZ52" i="147"/>
  <c r="AL64" i="147"/>
  <c r="AK64" i="147" s="1"/>
  <c r="AY49" i="147"/>
  <c r="AL54" i="147"/>
  <c r="AK54" i="147" s="1"/>
  <c r="AK104" i="147"/>
  <c r="G48" i="60"/>
  <c r="O740" i="148"/>
  <c r="T737" i="148" s="1"/>
  <c r="O741" i="148"/>
  <c r="C440" i="148"/>
  <c r="J78" i="147"/>
  <c r="J23" i="57"/>
  <c r="AR531" i="46" s="1"/>
  <c r="K242" i="143"/>
  <c r="L242" i="143" s="1"/>
  <c r="P89" i="143"/>
  <c r="J24" i="57"/>
  <c r="AR532" i="46" s="1"/>
  <c r="K241" i="143"/>
  <c r="L241" i="143" s="1"/>
  <c r="K240" i="143"/>
  <c r="L240" i="143" s="1"/>
  <c r="K235" i="143"/>
  <c r="K237" i="143"/>
  <c r="L237" i="143" s="1"/>
  <c r="J50" i="147"/>
  <c r="N50" i="147" s="1"/>
  <c r="AH11" i="147"/>
  <c r="R15" i="147"/>
  <c r="K236" i="143"/>
  <c r="L236" i="143" s="1"/>
  <c r="M229" i="143"/>
  <c r="U229" i="143"/>
  <c r="M245" i="143"/>
  <c r="U188" i="143"/>
  <c r="U211" i="143"/>
  <c r="M211" i="143"/>
  <c r="M218" i="143"/>
  <c r="U218" i="143"/>
  <c r="H362" i="109"/>
  <c r="J362" i="109" s="1"/>
  <c r="E33" i="109"/>
  <c r="AQ33" i="46" s="1"/>
  <c r="E65" i="56"/>
  <c r="V41" i="109"/>
  <c r="AS41" i="46" s="1"/>
  <c r="V247" i="109"/>
  <c r="AS247" i="46" s="1"/>
  <c r="AW49" i="147"/>
  <c r="AT54" i="147"/>
  <c r="I35" i="146"/>
  <c r="D153" i="109" s="1"/>
  <c r="AO153" i="46" s="1"/>
  <c r="F153" i="46" s="1"/>
  <c r="AJ125" i="147"/>
  <c r="P11" i="147"/>
  <c r="L35" i="147"/>
  <c r="AZ50" i="147"/>
  <c r="AW50" i="147"/>
  <c r="J56" i="147"/>
  <c r="M53" i="147"/>
  <c r="M56" i="147" s="1"/>
  <c r="M59" i="147" s="1"/>
  <c r="M62" i="147" s="1"/>
  <c r="M65" i="147" s="1"/>
  <c r="M68" i="147" s="1"/>
  <c r="M71" i="147" s="1"/>
  <c r="M74" i="147" s="1"/>
  <c r="M75" i="147" s="1"/>
  <c r="M78" i="147" s="1"/>
  <c r="M79" i="147" s="1"/>
  <c r="M82" i="147" s="1"/>
  <c r="M83" i="147" s="1"/>
  <c r="M84" i="147" s="1"/>
  <c r="L87" i="147" s="1"/>
  <c r="H44" i="147"/>
  <c r="L44" i="147" s="1"/>
  <c r="S177" i="143"/>
  <c r="S176" i="143"/>
  <c r="K178" i="143"/>
  <c r="L178" i="143" s="1"/>
  <c r="M178" i="143" s="1"/>
  <c r="S178" i="143"/>
  <c r="W176" i="143"/>
  <c r="G108" i="126"/>
  <c r="D721" i="46" s="1"/>
  <c r="BF721" i="46" s="1"/>
  <c r="G54" i="126"/>
  <c r="D667" i="46" s="1"/>
  <c r="BF667" i="46" s="1"/>
  <c r="J40" i="126"/>
  <c r="G56" i="126"/>
  <c r="D669" i="46" s="1"/>
  <c r="BF669" i="46" s="1"/>
  <c r="J60" i="126"/>
  <c r="I239" i="143"/>
  <c r="K239" i="143" s="1"/>
  <c r="L239" i="143" s="1"/>
  <c r="D472" i="109"/>
  <c r="AO472" i="46" s="1"/>
  <c r="F472" i="46" s="1"/>
  <c r="I238" i="143"/>
  <c r="K238" i="143" s="1"/>
  <c r="L238" i="143" s="1"/>
  <c r="J53" i="126"/>
  <c r="Y178" i="143"/>
  <c r="AK110" i="147"/>
  <c r="U62" i="147"/>
  <c r="V62" i="147" s="1"/>
  <c r="N35" i="147"/>
  <c r="R35" i="147" s="1"/>
  <c r="H38" i="147"/>
  <c r="H41" i="147"/>
  <c r="L41" i="147" s="1"/>
  <c r="J35" i="147"/>
  <c r="AW51" i="147"/>
  <c r="AZ51" i="147"/>
  <c r="AY51" i="147"/>
  <c r="H87" i="147"/>
  <c r="J71" i="147"/>
  <c r="H480" i="109"/>
  <c r="J480" i="109" s="1"/>
  <c r="K480" i="109" s="1"/>
  <c r="AD480" i="109" s="1"/>
  <c r="H485" i="109"/>
  <c r="J485" i="109" s="1"/>
  <c r="H490" i="109"/>
  <c r="J490" i="109" s="1"/>
  <c r="K490" i="109" s="1"/>
  <c r="AD490" i="109" s="1"/>
  <c r="H483" i="109"/>
  <c r="J483" i="109" s="1"/>
  <c r="H488" i="109"/>
  <c r="J488" i="109" s="1"/>
  <c r="K488" i="109" s="1"/>
  <c r="AD488" i="109" s="1"/>
  <c r="P30" i="45" l="1"/>
  <c r="S30" i="45" s="1"/>
  <c r="P38" i="45"/>
  <c r="S38" i="45" s="1"/>
  <c r="P22" i="45"/>
  <c r="S22" i="45" s="1"/>
  <c r="P23" i="45"/>
  <c r="S23" i="45" s="1"/>
  <c r="P55" i="45"/>
  <c r="S55" i="45" s="1"/>
  <c r="P27" i="45"/>
  <c r="S27" i="45" s="1"/>
  <c r="P39" i="45"/>
  <c r="S39" i="45" s="1"/>
  <c r="P43" i="45"/>
  <c r="S43" i="45" s="1"/>
  <c r="P28" i="45"/>
  <c r="S28" i="45" s="1"/>
  <c r="P52" i="45"/>
  <c r="S52" i="45" s="1"/>
  <c r="P41" i="45"/>
  <c r="S41" i="45" s="1"/>
  <c r="P53" i="45"/>
  <c r="S53" i="45" s="1"/>
  <c r="P24" i="45"/>
  <c r="S24" i="45" s="1"/>
  <c r="P36" i="45"/>
  <c r="S36" i="45" s="1"/>
  <c r="P40" i="45"/>
  <c r="S40" i="45" s="1"/>
  <c r="P56" i="45"/>
  <c r="S56" i="45" s="1"/>
  <c r="P49" i="45"/>
  <c r="S49" i="45" s="1"/>
  <c r="AC21" i="45"/>
  <c r="P21" i="45" s="1"/>
  <c r="D266" i="109"/>
  <c r="AO266" i="46" s="1"/>
  <c r="F266" i="46" s="1"/>
  <c r="F30" i="60"/>
  <c r="I19" i="152" s="1"/>
  <c r="M216" i="134"/>
  <c r="M266" i="134" s="1"/>
  <c r="L266" i="134" s="1"/>
  <c r="U210" i="134"/>
  <c r="U260" i="134" s="1"/>
  <c r="T260" i="134" s="1"/>
  <c r="U214" i="134"/>
  <c r="U264" i="134" s="1"/>
  <c r="T264" i="134" s="1"/>
  <c r="D157" i="134"/>
  <c r="K126" i="137"/>
  <c r="D150" i="134"/>
  <c r="I135" i="134"/>
  <c r="H157" i="134"/>
  <c r="Q208" i="134"/>
  <c r="Q258" i="134" s="1"/>
  <c r="P258" i="134" s="1"/>
  <c r="I223" i="134"/>
  <c r="G165" i="137"/>
  <c r="G166" i="137" s="1"/>
  <c r="R42" i="137"/>
  <c r="R116" i="137" s="1"/>
  <c r="AB132" i="134"/>
  <c r="AC134" i="134"/>
  <c r="Y216" i="134"/>
  <c r="Y266" i="134" s="1"/>
  <c r="X266" i="134" s="1"/>
  <c r="Y227" i="134"/>
  <c r="N194" i="137"/>
  <c r="T134" i="134"/>
  <c r="U229" i="134"/>
  <c r="Q233" i="134"/>
  <c r="N5" i="120"/>
  <c r="AC214" i="134"/>
  <c r="AC264" i="134" s="1"/>
  <c r="AB264" i="134" s="1"/>
  <c r="I208" i="134"/>
  <c r="I258" i="134" s="1"/>
  <c r="H258" i="134" s="1"/>
  <c r="D155" i="134"/>
  <c r="H150" i="134"/>
  <c r="Q225" i="134"/>
  <c r="Q212" i="134"/>
  <c r="Q262" i="134" s="1"/>
  <c r="P262" i="134" s="1"/>
  <c r="L207" i="137"/>
  <c r="I231" i="134"/>
  <c r="I233" i="134"/>
  <c r="Y231" i="134"/>
  <c r="X157" i="134"/>
  <c r="M214" i="134"/>
  <c r="M264" i="134" s="1"/>
  <c r="L264" i="134" s="1"/>
  <c r="O210" i="137"/>
  <c r="R117" i="137"/>
  <c r="D142" i="134"/>
  <c r="T139" i="134"/>
  <c r="U159" i="134"/>
  <c r="M206" i="134"/>
  <c r="M256" i="134" s="1"/>
  <c r="L256" i="134" s="1"/>
  <c r="Y152" i="134"/>
  <c r="I216" i="134"/>
  <c r="I266" i="134" s="1"/>
  <c r="H266" i="134" s="1"/>
  <c r="S208" i="137"/>
  <c r="V210" i="137"/>
  <c r="E225" i="134"/>
  <c r="L235" i="143"/>
  <c r="K264" i="143"/>
  <c r="G29" i="152" s="1"/>
  <c r="Q231" i="134"/>
  <c r="J44" i="147"/>
  <c r="V211" i="137"/>
  <c r="M143" i="134"/>
  <c r="U212" i="134"/>
  <c r="U262" i="134" s="1"/>
  <c r="T262" i="134" s="1"/>
  <c r="I143" i="134"/>
  <c r="M223" i="134"/>
  <c r="Y141" i="134"/>
  <c r="E231" i="134"/>
  <c r="E214" i="134"/>
  <c r="E264" i="134" s="1"/>
  <c r="D264" i="134" s="1"/>
  <c r="P48" i="137"/>
  <c r="V208" i="137"/>
  <c r="P152" i="134"/>
  <c r="E233" i="134"/>
  <c r="AC208" i="134"/>
  <c r="AC258" i="134" s="1"/>
  <c r="AB258" i="134" s="1"/>
  <c r="K209" i="137"/>
  <c r="P25" i="45"/>
  <c r="S25" i="45" s="1"/>
  <c r="P26" i="45"/>
  <c r="S26" i="45" s="1"/>
  <c r="P42" i="45"/>
  <c r="S42" i="45" s="1"/>
  <c r="P58" i="45"/>
  <c r="S58" i="45" s="1"/>
  <c r="P59" i="45"/>
  <c r="S59" i="45" s="1"/>
  <c r="P31" i="45"/>
  <c r="S31" i="45" s="1"/>
  <c r="P47" i="45"/>
  <c r="S47" i="45" s="1"/>
  <c r="P32" i="45"/>
  <c r="S32" i="45" s="1"/>
  <c r="P33" i="45"/>
  <c r="S33" i="45" s="1"/>
  <c r="P34" i="45"/>
  <c r="S34" i="45" s="1"/>
  <c r="P35" i="45"/>
  <c r="S35" i="45" s="1"/>
  <c r="P51" i="45"/>
  <c r="S51" i="45" s="1"/>
  <c r="P37" i="45"/>
  <c r="S37" i="45" s="1"/>
  <c r="U52" i="137"/>
  <c r="S212" i="137"/>
  <c r="Q214" i="134"/>
  <c r="Q264" i="134" s="1"/>
  <c r="P264" i="134" s="1"/>
  <c r="M212" i="134"/>
  <c r="M262" i="134" s="1"/>
  <c r="L262" i="134" s="1"/>
  <c r="AB134" i="134"/>
  <c r="E242" i="120"/>
  <c r="G211" i="137"/>
  <c r="H141" i="134"/>
  <c r="Q206" i="134"/>
  <c r="Q256" i="134" s="1"/>
  <c r="P256" i="134" s="1"/>
  <c r="E155" i="134"/>
  <c r="AC212" i="134"/>
  <c r="AC262" i="134" s="1"/>
  <c r="AB262" i="134" s="1"/>
  <c r="J52" i="137"/>
  <c r="K117" i="137"/>
  <c r="E216" i="134"/>
  <c r="E266" i="134" s="1"/>
  <c r="D266" i="134" s="1"/>
  <c r="K208" i="137"/>
  <c r="V212" i="137"/>
  <c r="Y210" i="134"/>
  <c r="Y260" i="134" s="1"/>
  <c r="X260" i="134" s="1"/>
  <c r="D153" i="134"/>
  <c r="Y223" i="134"/>
  <c r="Q154" i="134"/>
  <c r="U216" i="134"/>
  <c r="U266" i="134" s="1"/>
  <c r="T266" i="134" s="1"/>
  <c r="Q229" i="134"/>
  <c r="K210" i="137"/>
  <c r="S209" i="137"/>
  <c r="C49" i="56"/>
  <c r="E210" i="134"/>
  <c r="E260" i="134" s="1"/>
  <c r="D260" i="134" s="1"/>
  <c r="I227" i="134"/>
  <c r="M153" i="134"/>
  <c r="U206" i="134"/>
  <c r="U256" i="134" s="1"/>
  <c r="T256" i="134" s="1"/>
  <c r="X209" i="137"/>
  <c r="H45" i="137"/>
  <c r="H126" i="137" s="1"/>
  <c r="I229" i="134"/>
  <c r="Q51" i="137"/>
  <c r="Y233" i="134"/>
  <c r="C41" i="56"/>
  <c r="AC210" i="134"/>
  <c r="AC260" i="134" s="1"/>
  <c r="AB260" i="134" s="1"/>
  <c r="V207" i="137"/>
  <c r="J27" i="57"/>
  <c r="AR535" i="46" s="1"/>
  <c r="J22" i="57"/>
  <c r="AR530" i="46" s="1"/>
  <c r="J25" i="57"/>
  <c r="AR533" i="46" s="1"/>
  <c r="L165" i="137"/>
  <c r="L166" i="137" s="1"/>
  <c r="D156" i="134"/>
  <c r="T161" i="134"/>
  <c r="O6" i="120"/>
  <c r="AB4" i="139"/>
  <c r="U132" i="134"/>
  <c r="Y151" i="134"/>
  <c r="AB156" i="134"/>
  <c r="M134" i="134"/>
  <c r="D143" i="134"/>
  <c r="E150" i="134"/>
  <c r="C44" i="56"/>
  <c r="M208" i="137"/>
  <c r="T117" i="137"/>
  <c r="S165" i="137"/>
  <c r="S166" i="137" s="1"/>
  <c r="P121" i="137"/>
  <c r="P54" i="45"/>
  <c r="S54" i="45" s="1"/>
  <c r="P57" i="45"/>
  <c r="S57" i="45" s="1"/>
  <c r="K51" i="137"/>
  <c r="O211" i="137"/>
  <c r="G212" i="137"/>
  <c r="H138" i="134"/>
  <c r="E151" i="134"/>
  <c r="D131" i="134"/>
  <c r="J36" i="57"/>
  <c r="AR544" i="46" s="1"/>
  <c r="H131" i="134"/>
  <c r="Y153" i="134"/>
  <c r="N53" i="56"/>
  <c r="M207" i="137"/>
  <c r="E212" i="137"/>
  <c r="O165" i="137"/>
  <c r="O166" i="137" s="1"/>
  <c r="T116" i="137"/>
  <c r="F169" i="137"/>
  <c r="F170" i="137" s="1"/>
  <c r="N52" i="56"/>
  <c r="I66" i="56"/>
  <c r="AQ260" i="46"/>
  <c r="J260" i="46" s="1"/>
  <c r="I67" i="56"/>
  <c r="AQ261" i="46"/>
  <c r="J261" i="46" s="1"/>
  <c r="S496" i="109"/>
  <c r="BG496" i="46" s="1"/>
  <c r="AO496" i="46"/>
  <c r="F496" i="46" s="1"/>
  <c r="L397" i="46"/>
  <c r="H397" i="46"/>
  <c r="J397" i="46"/>
  <c r="L408" i="46"/>
  <c r="J408" i="46"/>
  <c r="H408" i="46"/>
  <c r="H414" i="46"/>
  <c r="J414" i="46"/>
  <c r="L414" i="46"/>
  <c r="H420" i="46"/>
  <c r="L420" i="46"/>
  <c r="J420" i="46"/>
  <c r="L425" i="46"/>
  <c r="H425" i="46"/>
  <c r="J425" i="46"/>
  <c r="M303" i="120"/>
  <c r="M307" i="120"/>
  <c r="M311" i="120"/>
  <c r="M315" i="120"/>
  <c r="M319" i="120"/>
  <c r="M323" i="120"/>
  <c r="M327" i="120"/>
  <c r="M331" i="120"/>
  <c r="M335" i="120"/>
  <c r="M339" i="120"/>
  <c r="M343" i="120"/>
  <c r="M347" i="120"/>
  <c r="M351" i="120"/>
  <c r="M355" i="120"/>
  <c r="M359" i="120"/>
  <c r="M363" i="120"/>
  <c r="M367" i="120"/>
  <c r="M371" i="120"/>
  <c r="M375" i="120"/>
  <c r="M379" i="120"/>
  <c r="M383" i="120"/>
  <c r="M387" i="120"/>
  <c r="M391" i="120"/>
  <c r="M395" i="120"/>
  <c r="M399" i="120"/>
  <c r="M403" i="120"/>
  <c r="M407" i="120"/>
  <c r="M411" i="120"/>
  <c r="M415" i="120"/>
  <c r="M419" i="120"/>
  <c r="M423" i="120"/>
  <c r="M427" i="120"/>
  <c r="M431" i="120"/>
  <c r="M435" i="120"/>
  <c r="M439" i="120"/>
  <c r="M443" i="120"/>
  <c r="M447" i="120"/>
  <c r="M451" i="120"/>
  <c r="M455" i="120"/>
  <c r="M459" i="120"/>
  <c r="M463" i="120"/>
  <c r="M467" i="120"/>
  <c r="M471" i="120"/>
  <c r="M475" i="120"/>
  <c r="M479" i="120"/>
  <c r="M483" i="120"/>
  <c r="M487" i="120"/>
  <c r="M491" i="120"/>
  <c r="M495" i="120"/>
  <c r="M499" i="120"/>
  <c r="M503" i="120"/>
  <c r="M507" i="120"/>
  <c r="M511" i="120"/>
  <c r="M515" i="120"/>
  <c r="M519" i="120"/>
  <c r="M523" i="120"/>
  <c r="M527" i="120"/>
  <c r="M531" i="120"/>
  <c r="M535" i="120"/>
  <c r="M539" i="120"/>
  <c r="M543" i="120"/>
  <c r="M547" i="120"/>
  <c r="M551" i="120"/>
  <c r="M555" i="120"/>
  <c r="M559" i="120"/>
  <c r="M563" i="120"/>
  <c r="M567" i="120"/>
  <c r="M571" i="120"/>
  <c r="M575" i="120"/>
  <c r="M579" i="120"/>
  <c r="M583" i="120"/>
  <c r="M587" i="120"/>
  <c r="M591" i="120"/>
  <c r="M595" i="120"/>
  <c r="M599" i="120"/>
  <c r="M603" i="120"/>
  <c r="M607" i="120"/>
  <c r="M611" i="120"/>
  <c r="M615" i="120"/>
  <c r="M619" i="120"/>
  <c r="M623" i="120"/>
  <c r="M627" i="120"/>
  <c r="M631" i="120"/>
  <c r="M635" i="120"/>
  <c r="M639" i="120"/>
  <c r="M643" i="120"/>
  <c r="M647" i="120"/>
  <c r="M651" i="120"/>
  <c r="M655" i="120"/>
  <c r="M659" i="120"/>
  <c r="M663" i="120"/>
  <c r="M667" i="120"/>
  <c r="M671" i="120"/>
  <c r="M675" i="120"/>
  <c r="M679" i="120"/>
  <c r="M683" i="120"/>
  <c r="M687" i="120"/>
  <c r="M691" i="120"/>
  <c r="M695" i="120"/>
  <c r="M699" i="120"/>
  <c r="M703" i="120"/>
  <c r="M707" i="120"/>
  <c r="M711" i="120"/>
  <c r="M715" i="120"/>
  <c r="M719" i="120"/>
  <c r="M723" i="120"/>
  <c r="M727" i="120"/>
  <c r="M731" i="120"/>
  <c r="M735" i="120"/>
  <c r="M739" i="120"/>
  <c r="M743" i="120"/>
  <c r="M747" i="120"/>
  <c r="M751" i="120"/>
  <c r="M755" i="120"/>
  <c r="M759" i="120"/>
  <c r="M763" i="120"/>
  <c r="M767" i="120"/>
  <c r="M771" i="120"/>
  <c r="M775" i="120"/>
  <c r="M779" i="120"/>
  <c r="M783" i="120"/>
  <c r="M787" i="120"/>
  <c r="M791" i="120"/>
  <c r="M795" i="120"/>
  <c r="M799" i="120"/>
  <c r="M803" i="120"/>
  <c r="M807" i="120"/>
  <c r="M811" i="120"/>
  <c r="M815" i="120"/>
  <c r="M819" i="120"/>
  <c r="M823" i="120"/>
  <c r="M827" i="120"/>
  <c r="M831" i="120"/>
  <c r="M835" i="120"/>
  <c r="M839" i="120"/>
  <c r="M843" i="120"/>
  <c r="M847" i="120"/>
  <c r="M851" i="120"/>
  <c r="M855" i="120"/>
  <c r="M859" i="120"/>
  <c r="M863" i="120"/>
  <c r="M867" i="120"/>
  <c r="M871" i="120"/>
  <c r="M875" i="120"/>
  <c r="M879" i="120"/>
  <c r="M883" i="120"/>
  <c r="M887" i="120"/>
  <c r="M891" i="120"/>
  <c r="M895" i="120"/>
  <c r="M899" i="120"/>
  <c r="M903" i="120"/>
  <c r="M907" i="120"/>
  <c r="M911" i="120"/>
  <c r="M915" i="120"/>
  <c r="M919" i="120"/>
  <c r="M923" i="120"/>
  <c r="M927" i="120"/>
  <c r="M931" i="120"/>
  <c r="M935" i="120"/>
  <c r="M939" i="120"/>
  <c r="M943" i="120"/>
  <c r="M947" i="120"/>
  <c r="M951" i="120"/>
  <c r="M955" i="120"/>
  <c r="M959" i="120"/>
  <c r="M963" i="120"/>
  <c r="M967" i="120"/>
  <c r="M971" i="120"/>
  <c r="M975" i="120"/>
  <c r="M979" i="120"/>
  <c r="M983" i="120"/>
  <c r="M987" i="120"/>
  <c r="M991" i="120"/>
  <c r="M995" i="120"/>
  <c r="M999" i="120"/>
  <c r="M1003" i="120"/>
  <c r="M1007" i="120"/>
  <c r="M1011" i="120"/>
  <c r="M1015" i="120"/>
  <c r="M1019" i="120"/>
  <c r="M1023" i="120"/>
  <c r="M1027" i="120"/>
  <c r="M1031" i="120"/>
  <c r="M1035" i="120"/>
  <c r="M1039" i="120"/>
  <c r="M1043" i="120"/>
  <c r="M1047" i="120"/>
  <c r="M1051" i="120"/>
  <c r="M1055" i="120"/>
  <c r="M1059" i="120"/>
  <c r="M1063" i="120"/>
  <c r="M1067" i="120"/>
  <c r="M1071" i="120"/>
  <c r="M1075" i="120"/>
  <c r="M1079" i="120"/>
  <c r="M1083" i="120"/>
  <c r="M1087" i="120"/>
  <c r="M1091" i="120"/>
  <c r="M1095" i="120"/>
  <c r="M1099" i="120"/>
  <c r="M1103" i="120"/>
  <c r="M1107" i="120"/>
  <c r="M1111" i="120"/>
  <c r="M1115" i="120"/>
  <c r="M1119" i="120"/>
  <c r="M1123" i="120"/>
  <c r="M1127" i="120"/>
  <c r="M1131" i="120"/>
  <c r="M1135" i="120"/>
  <c r="M1139" i="120"/>
  <c r="M1143" i="120"/>
  <c r="M1147" i="120"/>
  <c r="M1151" i="120"/>
  <c r="M1155" i="120"/>
  <c r="M1159" i="120"/>
  <c r="M1163" i="120"/>
  <c r="M1167" i="120"/>
  <c r="M1171" i="120"/>
  <c r="M1175" i="120"/>
  <c r="M1179" i="120"/>
  <c r="M1183" i="120"/>
  <c r="M1187" i="120"/>
  <c r="M1191" i="120"/>
  <c r="M1195" i="120"/>
  <c r="M1199" i="120"/>
  <c r="M1203" i="120"/>
  <c r="M1207" i="120"/>
  <c r="M1211" i="120"/>
  <c r="M1215" i="120"/>
  <c r="M1219" i="120"/>
  <c r="M1223" i="120"/>
  <c r="M1227" i="120"/>
  <c r="K305" i="120"/>
  <c r="K309" i="120"/>
  <c r="K313" i="120"/>
  <c r="K317" i="120"/>
  <c r="K321" i="120"/>
  <c r="K325" i="120"/>
  <c r="K329" i="120"/>
  <c r="K333" i="120"/>
  <c r="K337" i="120"/>
  <c r="K341" i="120"/>
  <c r="K345" i="120"/>
  <c r="K349" i="120"/>
  <c r="K353" i="120"/>
  <c r="K357" i="120"/>
  <c r="K361" i="120"/>
  <c r="K365" i="120"/>
  <c r="K369" i="120"/>
  <c r="K373" i="120"/>
  <c r="K377" i="120"/>
  <c r="K381" i="120"/>
  <c r="K385" i="120"/>
  <c r="K389" i="120"/>
  <c r="K393" i="120"/>
  <c r="K397" i="120"/>
  <c r="K401" i="120"/>
  <c r="K405" i="120"/>
  <c r="K409" i="120"/>
  <c r="K413" i="120"/>
  <c r="K417" i="120"/>
  <c r="K421" i="120"/>
  <c r="K425" i="120"/>
  <c r="K429" i="120"/>
  <c r="K433" i="120"/>
  <c r="K437" i="120"/>
  <c r="K441" i="120"/>
  <c r="K445" i="120"/>
  <c r="K449" i="120"/>
  <c r="K453" i="120"/>
  <c r="K457" i="120"/>
  <c r="K461" i="120"/>
  <c r="K465" i="120"/>
  <c r="K469" i="120"/>
  <c r="K473" i="120"/>
  <c r="K477" i="120"/>
  <c r="K481" i="120"/>
  <c r="K485" i="120"/>
  <c r="K489" i="120"/>
  <c r="K493" i="120"/>
  <c r="K497" i="120"/>
  <c r="K501" i="120"/>
  <c r="K505" i="120"/>
  <c r="K509" i="120"/>
  <c r="K513" i="120"/>
  <c r="K517" i="120"/>
  <c r="K521" i="120"/>
  <c r="K525" i="120"/>
  <c r="K529" i="120"/>
  <c r="K533" i="120"/>
  <c r="K537" i="120"/>
  <c r="K541" i="120"/>
  <c r="K545" i="120"/>
  <c r="K549" i="120"/>
  <c r="K553" i="120"/>
  <c r="K557" i="120"/>
  <c r="K561" i="120"/>
  <c r="K565" i="120"/>
  <c r="K569" i="120"/>
  <c r="K573" i="120"/>
  <c r="K577" i="120"/>
  <c r="K581" i="120"/>
  <c r="K585" i="120"/>
  <c r="K589" i="120"/>
  <c r="K593" i="120"/>
  <c r="K597" i="120"/>
  <c r="K601" i="120"/>
  <c r="K605" i="120"/>
  <c r="K609" i="120"/>
  <c r="K613" i="120"/>
  <c r="K617" i="120"/>
  <c r="K621" i="120"/>
  <c r="K625" i="120"/>
  <c r="K629" i="120"/>
  <c r="K633" i="120"/>
  <c r="K637" i="120"/>
  <c r="K641" i="120"/>
  <c r="K645" i="120"/>
  <c r="K649" i="120"/>
  <c r="K653" i="120"/>
  <c r="K657" i="120"/>
  <c r="K661" i="120"/>
  <c r="K665" i="120"/>
  <c r="K669" i="120"/>
  <c r="K673" i="120"/>
  <c r="K677" i="120"/>
  <c r="K681" i="120"/>
  <c r="K685" i="120"/>
  <c r="K689" i="120"/>
  <c r="K693" i="120"/>
  <c r="K697" i="120"/>
  <c r="K701" i="120"/>
  <c r="K705" i="120"/>
  <c r="K709" i="120"/>
  <c r="K713" i="120"/>
  <c r="K717" i="120"/>
  <c r="K721" i="120"/>
  <c r="K725" i="120"/>
  <c r="K729" i="120"/>
  <c r="M304" i="120"/>
  <c r="M308" i="120"/>
  <c r="M312" i="120"/>
  <c r="M316" i="120"/>
  <c r="M320" i="120"/>
  <c r="M324" i="120"/>
  <c r="M328" i="120"/>
  <c r="M332" i="120"/>
  <c r="M336" i="120"/>
  <c r="M340" i="120"/>
  <c r="M344" i="120"/>
  <c r="M348" i="120"/>
  <c r="M352" i="120"/>
  <c r="M356" i="120"/>
  <c r="M360" i="120"/>
  <c r="M364" i="120"/>
  <c r="M368" i="120"/>
  <c r="M372" i="120"/>
  <c r="M376" i="120"/>
  <c r="M380" i="120"/>
  <c r="M384" i="120"/>
  <c r="M388" i="120"/>
  <c r="M392" i="120"/>
  <c r="M396" i="120"/>
  <c r="M400" i="120"/>
  <c r="M404" i="120"/>
  <c r="M408" i="120"/>
  <c r="M412" i="120"/>
  <c r="M416" i="120"/>
  <c r="M420" i="120"/>
  <c r="M424" i="120"/>
  <c r="M428" i="120"/>
  <c r="M432" i="120"/>
  <c r="M436" i="120"/>
  <c r="M440" i="120"/>
  <c r="M444" i="120"/>
  <c r="M448" i="120"/>
  <c r="M452" i="120"/>
  <c r="M456" i="120"/>
  <c r="M460" i="120"/>
  <c r="M464" i="120"/>
  <c r="M468" i="120"/>
  <c r="M472" i="120"/>
  <c r="M476" i="120"/>
  <c r="M480" i="120"/>
  <c r="M484" i="120"/>
  <c r="M488" i="120"/>
  <c r="M492" i="120"/>
  <c r="M496" i="120"/>
  <c r="M500" i="120"/>
  <c r="M504" i="120"/>
  <c r="M508" i="120"/>
  <c r="M512" i="120"/>
  <c r="M516" i="120"/>
  <c r="M520" i="120"/>
  <c r="M524" i="120"/>
  <c r="M528" i="120"/>
  <c r="M532" i="120"/>
  <c r="M536" i="120"/>
  <c r="M540" i="120"/>
  <c r="M544" i="120"/>
  <c r="M548" i="120"/>
  <c r="M552" i="120"/>
  <c r="M556" i="120"/>
  <c r="M560" i="120"/>
  <c r="M564" i="120"/>
  <c r="M568" i="120"/>
  <c r="M572" i="120"/>
  <c r="M576" i="120"/>
  <c r="M580" i="120"/>
  <c r="M584" i="120"/>
  <c r="M588" i="120"/>
  <c r="M592" i="120"/>
  <c r="M596" i="120"/>
  <c r="M600" i="120"/>
  <c r="M604" i="120"/>
  <c r="M608" i="120"/>
  <c r="M612" i="120"/>
  <c r="M616" i="120"/>
  <c r="M620" i="120"/>
  <c r="M624" i="120"/>
  <c r="M628" i="120"/>
  <c r="M632" i="120"/>
  <c r="M636" i="120"/>
  <c r="M640" i="120"/>
  <c r="M644" i="120"/>
  <c r="M648" i="120"/>
  <c r="M652" i="120"/>
  <c r="M656" i="120"/>
  <c r="M660" i="120"/>
  <c r="M664" i="120"/>
  <c r="M668" i="120"/>
  <c r="M672" i="120"/>
  <c r="M676" i="120"/>
  <c r="M680" i="120"/>
  <c r="M684" i="120"/>
  <c r="M688" i="120"/>
  <c r="M692" i="120"/>
  <c r="M696" i="120"/>
  <c r="M700" i="120"/>
  <c r="M704" i="120"/>
  <c r="M708" i="120"/>
  <c r="M712" i="120"/>
  <c r="M716" i="120"/>
  <c r="M720" i="120"/>
  <c r="M724" i="120"/>
  <c r="M728" i="120"/>
  <c r="M732" i="120"/>
  <c r="M736" i="120"/>
  <c r="M740" i="120"/>
  <c r="M744" i="120"/>
  <c r="M748" i="120"/>
  <c r="M752" i="120"/>
  <c r="M756" i="120"/>
  <c r="M760" i="120"/>
  <c r="M764" i="120"/>
  <c r="M768" i="120"/>
  <c r="M772" i="120"/>
  <c r="M776" i="120"/>
  <c r="M780" i="120"/>
  <c r="M784" i="120"/>
  <c r="M788" i="120"/>
  <c r="M792" i="120"/>
  <c r="M796" i="120"/>
  <c r="M800" i="120"/>
  <c r="M804" i="120"/>
  <c r="M808" i="120"/>
  <c r="M812" i="120"/>
  <c r="M816" i="120"/>
  <c r="M820" i="120"/>
  <c r="M824" i="120"/>
  <c r="M828" i="120"/>
  <c r="M832" i="120"/>
  <c r="M836" i="120"/>
  <c r="M840" i="120"/>
  <c r="M844" i="120"/>
  <c r="M848" i="120"/>
  <c r="M852" i="120"/>
  <c r="M856" i="120"/>
  <c r="M860" i="120"/>
  <c r="M864" i="120"/>
  <c r="M868" i="120"/>
  <c r="M872" i="120"/>
  <c r="M876" i="120"/>
  <c r="M880" i="120"/>
  <c r="M884" i="120"/>
  <c r="M888" i="120"/>
  <c r="M892" i="120"/>
  <c r="M896" i="120"/>
  <c r="M900" i="120"/>
  <c r="M904" i="120"/>
  <c r="M908" i="120"/>
  <c r="M912" i="120"/>
  <c r="M916" i="120"/>
  <c r="M920" i="120"/>
  <c r="M924" i="120"/>
  <c r="M928" i="120"/>
  <c r="M932" i="120"/>
  <c r="M936" i="120"/>
  <c r="M940" i="120"/>
  <c r="M944" i="120"/>
  <c r="M948" i="120"/>
  <c r="M952" i="120"/>
  <c r="M956" i="120"/>
  <c r="M960" i="120"/>
  <c r="M964" i="120"/>
  <c r="M968" i="120"/>
  <c r="M972" i="120"/>
  <c r="M976" i="120"/>
  <c r="M980" i="120"/>
  <c r="M984" i="120"/>
  <c r="M988" i="120"/>
  <c r="M992" i="120"/>
  <c r="M996" i="120"/>
  <c r="M1000" i="120"/>
  <c r="M1004" i="120"/>
  <c r="M1008" i="120"/>
  <c r="M1012" i="120"/>
  <c r="M1016" i="120"/>
  <c r="M1020" i="120"/>
  <c r="M1024" i="120"/>
  <c r="M1028" i="120"/>
  <c r="M1032" i="120"/>
  <c r="M1036" i="120"/>
  <c r="M1040" i="120"/>
  <c r="M1044" i="120"/>
  <c r="M1048" i="120"/>
  <c r="M1052" i="120"/>
  <c r="M1056" i="120"/>
  <c r="M1060" i="120"/>
  <c r="M1064" i="120"/>
  <c r="M1068" i="120"/>
  <c r="M1072" i="120"/>
  <c r="M1076" i="120"/>
  <c r="M1080" i="120"/>
  <c r="M1084" i="120"/>
  <c r="M1088" i="120"/>
  <c r="M1092" i="120"/>
  <c r="M1096" i="120"/>
  <c r="M1100" i="120"/>
  <c r="M1104" i="120"/>
  <c r="M1108" i="120"/>
  <c r="M1112" i="120"/>
  <c r="M1116" i="120"/>
  <c r="M1120" i="120"/>
  <c r="M1124" i="120"/>
  <c r="M1128" i="120"/>
  <c r="M1132" i="120"/>
  <c r="M1136" i="120"/>
  <c r="M1140" i="120"/>
  <c r="M1144" i="120"/>
  <c r="M1148" i="120"/>
  <c r="M1152" i="120"/>
  <c r="M1156" i="120"/>
  <c r="M1160" i="120"/>
  <c r="M1164" i="120"/>
  <c r="M1168" i="120"/>
  <c r="M1172" i="120"/>
  <c r="M1176" i="120"/>
  <c r="M1180" i="120"/>
  <c r="M1184" i="120"/>
  <c r="M1188" i="120"/>
  <c r="M1192" i="120"/>
  <c r="M1196" i="120"/>
  <c r="M1200" i="120"/>
  <c r="M1204" i="120"/>
  <c r="M1208" i="120"/>
  <c r="M1212" i="120"/>
  <c r="M1216" i="120"/>
  <c r="M1220" i="120"/>
  <c r="M1224" i="120"/>
  <c r="M1228" i="120"/>
  <c r="K306" i="120"/>
  <c r="K310" i="120"/>
  <c r="K314" i="120"/>
  <c r="K318" i="120"/>
  <c r="K322" i="120"/>
  <c r="K326" i="120"/>
  <c r="K330" i="120"/>
  <c r="K334" i="120"/>
  <c r="K338" i="120"/>
  <c r="K342" i="120"/>
  <c r="K346" i="120"/>
  <c r="K350" i="120"/>
  <c r="K354" i="120"/>
  <c r="K358" i="120"/>
  <c r="K362" i="120"/>
  <c r="K366" i="120"/>
  <c r="K370" i="120"/>
  <c r="K374" i="120"/>
  <c r="K378" i="120"/>
  <c r="K382" i="120"/>
  <c r="K386" i="120"/>
  <c r="K390" i="120"/>
  <c r="K394" i="120"/>
  <c r="K398" i="120"/>
  <c r="K402" i="120"/>
  <c r="K406" i="120"/>
  <c r="K410" i="120"/>
  <c r="K414" i="120"/>
  <c r="K418" i="120"/>
  <c r="K422" i="120"/>
  <c r="K426" i="120"/>
  <c r="K430" i="120"/>
  <c r="K434" i="120"/>
  <c r="K438" i="120"/>
  <c r="K442" i="120"/>
  <c r="K446" i="120"/>
  <c r="K450" i="120"/>
  <c r="K454" i="120"/>
  <c r="K458" i="120"/>
  <c r="K462" i="120"/>
  <c r="K466" i="120"/>
  <c r="K470" i="120"/>
  <c r="K474" i="120"/>
  <c r="K478" i="120"/>
  <c r="K482" i="120"/>
  <c r="K486" i="120"/>
  <c r="K490" i="120"/>
  <c r="K494" i="120"/>
  <c r="K498" i="120"/>
  <c r="K502" i="120"/>
  <c r="K506" i="120"/>
  <c r="K510" i="120"/>
  <c r="K514" i="120"/>
  <c r="K518" i="120"/>
  <c r="K522" i="120"/>
  <c r="K526" i="120"/>
  <c r="K530" i="120"/>
  <c r="K534" i="120"/>
  <c r="K538" i="120"/>
  <c r="K542" i="120"/>
  <c r="K546" i="120"/>
  <c r="K550" i="120"/>
  <c r="K554" i="120"/>
  <c r="K558" i="120"/>
  <c r="K562" i="120"/>
  <c r="K566" i="120"/>
  <c r="K570" i="120"/>
  <c r="K574" i="120"/>
  <c r="K578" i="120"/>
  <c r="K582" i="120"/>
  <c r="K586" i="120"/>
  <c r="K590" i="120"/>
  <c r="K594" i="120"/>
  <c r="K598" i="120"/>
  <c r="K602" i="120"/>
  <c r="K606" i="120"/>
  <c r="K610" i="120"/>
  <c r="K614" i="120"/>
  <c r="K618" i="120"/>
  <c r="K622" i="120"/>
  <c r="K626" i="120"/>
  <c r="K630" i="120"/>
  <c r="K634" i="120"/>
  <c r="K638" i="120"/>
  <c r="K642" i="120"/>
  <c r="K646" i="120"/>
  <c r="K650" i="120"/>
  <c r="K654" i="120"/>
  <c r="K658" i="120"/>
  <c r="K662" i="120"/>
  <c r="K666" i="120"/>
  <c r="K670" i="120"/>
  <c r="K674" i="120"/>
  <c r="K678" i="120"/>
  <c r="K682" i="120"/>
  <c r="K686" i="120"/>
  <c r="K690" i="120"/>
  <c r="K694" i="120"/>
  <c r="K698" i="120"/>
  <c r="K702" i="120"/>
  <c r="K706" i="120"/>
  <c r="K710" i="120"/>
  <c r="K714" i="120"/>
  <c r="M305" i="120"/>
  <c r="M309" i="120"/>
  <c r="M313" i="120"/>
  <c r="M317" i="120"/>
  <c r="M321" i="120"/>
  <c r="M325" i="120"/>
  <c r="M329" i="120"/>
  <c r="M333" i="120"/>
  <c r="M337" i="120"/>
  <c r="M341" i="120"/>
  <c r="M345" i="120"/>
  <c r="M349" i="120"/>
  <c r="M353" i="120"/>
  <c r="M357" i="120"/>
  <c r="M361" i="120"/>
  <c r="M365" i="120"/>
  <c r="M369" i="120"/>
  <c r="M373" i="120"/>
  <c r="M377" i="120"/>
  <c r="M381" i="120"/>
  <c r="M385" i="120"/>
  <c r="M389" i="120"/>
  <c r="M393" i="120"/>
  <c r="M397" i="120"/>
  <c r="M401" i="120"/>
  <c r="M405" i="120"/>
  <c r="M409" i="120"/>
  <c r="M413" i="120"/>
  <c r="M417" i="120"/>
  <c r="M421" i="120"/>
  <c r="M425" i="120"/>
  <c r="M429" i="120"/>
  <c r="M433" i="120"/>
  <c r="M437" i="120"/>
  <c r="M441" i="120"/>
  <c r="M445" i="120"/>
  <c r="M449" i="120"/>
  <c r="M453" i="120"/>
  <c r="M457" i="120"/>
  <c r="M461" i="120"/>
  <c r="M465" i="120"/>
  <c r="M469" i="120"/>
  <c r="M473" i="120"/>
  <c r="M477" i="120"/>
  <c r="M481" i="120"/>
  <c r="M485" i="120"/>
  <c r="M489" i="120"/>
  <c r="M493" i="120"/>
  <c r="M497" i="120"/>
  <c r="M501" i="120"/>
  <c r="M505" i="120"/>
  <c r="M509" i="120"/>
  <c r="M513" i="120"/>
  <c r="M517" i="120"/>
  <c r="M521" i="120"/>
  <c r="M525" i="120"/>
  <c r="M529" i="120"/>
  <c r="M533" i="120"/>
  <c r="M537" i="120"/>
  <c r="M541" i="120"/>
  <c r="M545" i="120"/>
  <c r="M549" i="120"/>
  <c r="M553" i="120"/>
  <c r="M557" i="120"/>
  <c r="M561" i="120"/>
  <c r="M565" i="120"/>
  <c r="M569" i="120"/>
  <c r="M573" i="120"/>
  <c r="M577" i="120"/>
  <c r="M581" i="120"/>
  <c r="M585" i="120"/>
  <c r="M589" i="120"/>
  <c r="M593" i="120"/>
  <c r="M597" i="120"/>
  <c r="M601" i="120"/>
  <c r="M605" i="120"/>
  <c r="M609" i="120"/>
  <c r="M613" i="120"/>
  <c r="M617" i="120"/>
  <c r="M621" i="120"/>
  <c r="M625" i="120"/>
  <c r="M629" i="120"/>
  <c r="M633" i="120"/>
  <c r="M637" i="120"/>
  <c r="M641" i="120"/>
  <c r="M645" i="120"/>
  <c r="M649" i="120"/>
  <c r="M653" i="120"/>
  <c r="M657" i="120"/>
  <c r="M661" i="120"/>
  <c r="M665" i="120"/>
  <c r="M669" i="120"/>
  <c r="M673" i="120"/>
  <c r="M677" i="120"/>
  <c r="M681" i="120"/>
  <c r="M685" i="120"/>
  <c r="M689" i="120"/>
  <c r="M693" i="120"/>
  <c r="M697" i="120"/>
  <c r="M701" i="120"/>
  <c r="M705" i="120"/>
  <c r="M709" i="120"/>
  <c r="M713" i="120"/>
  <c r="M717" i="120"/>
  <c r="M721" i="120"/>
  <c r="M725" i="120"/>
  <c r="M729" i="120"/>
  <c r="M733" i="120"/>
  <c r="M737" i="120"/>
  <c r="M741" i="120"/>
  <c r="M745" i="120"/>
  <c r="M749" i="120"/>
  <c r="M753" i="120"/>
  <c r="M757" i="120"/>
  <c r="M761" i="120"/>
  <c r="M765" i="120"/>
  <c r="M769" i="120"/>
  <c r="M773" i="120"/>
  <c r="M777" i="120"/>
  <c r="M781" i="120"/>
  <c r="M785" i="120"/>
  <c r="M789" i="120"/>
  <c r="M793" i="120"/>
  <c r="M797" i="120"/>
  <c r="M801" i="120"/>
  <c r="M805" i="120"/>
  <c r="M809" i="120"/>
  <c r="M813" i="120"/>
  <c r="M817" i="120"/>
  <c r="M821" i="120"/>
  <c r="M825" i="120"/>
  <c r="M829" i="120"/>
  <c r="M833" i="120"/>
  <c r="M837" i="120"/>
  <c r="M841" i="120"/>
  <c r="M845" i="120"/>
  <c r="M849" i="120"/>
  <c r="M853" i="120"/>
  <c r="M857" i="120"/>
  <c r="M861" i="120"/>
  <c r="M865" i="120"/>
  <c r="M869" i="120"/>
  <c r="M873" i="120"/>
  <c r="M877" i="120"/>
  <c r="M881" i="120"/>
  <c r="M885" i="120"/>
  <c r="M889" i="120"/>
  <c r="M893" i="120"/>
  <c r="M897" i="120"/>
  <c r="M901" i="120"/>
  <c r="M905" i="120"/>
  <c r="M909" i="120"/>
  <c r="M913" i="120"/>
  <c r="M917" i="120"/>
  <c r="M921" i="120"/>
  <c r="M925" i="120"/>
  <c r="M929" i="120"/>
  <c r="M933" i="120"/>
  <c r="M937" i="120"/>
  <c r="M941" i="120"/>
  <c r="M945" i="120"/>
  <c r="M949" i="120"/>
  <c r="M953" i="120"/>
  <c r="M957" i="120"/>
  <c r="M961" i="120"/>
  <c r="M965" i="120"/>
  <c r="M969" i="120"/>
  <c r="M973" i="120"/>
  <c r="M977" i="120"/>
  <c r="M981" i="120"/>
  <c r="M985" i="120"/>
  <c r="M989" i="120"/>
  <c r="M993" i="120"/>
  <c r="M997" i="120"/>
  <c r="M1001" i="120"/>
  <c r="M1005" i="120"/>
  <c r="M1009" i="120"/>
  <c r="M1013" i="120"/>
  <c r="M1017" i="120"/>
  <c r="M1021" i="120"/>
  <c r="M1025" i="120"/>
  <c r="M1029" i="120"/>
  <c r="M1033" i="120"/>
  <c r="M1037" i="120"/>
  <c r="M1041" i="120"/>
  <c r="M1045" i="120"/>
  <c r="M1049" i="120"/>
  <c r="M1053" i="120"/>
  <c r="M1057" i="120"/>
  <c r="M1061" i="120"/>
  <c r="M1065" i="120"/>
  <c r="M1069" i="120"/>
  <c r="M1073" i="120"/>
  <c r="M1077" i="120"/>
  <c r="M1081" i="120"/>
  <c r="M1085" i="120"/>
  <c r="M1089" i="120"/>
  <c r="M1093" i="120"/>
  <c r="M1097" i="120"/>
  <c r="M1101" i="120"/>
  <c r="M1105" i="120"/>
  <c r="M1109" i="120"/>
  <c r="M1113" i="120"/>
  <c r="M1117" i="120"/>
  <c r="M1121" i="120"/>
  <c r="M1125" i="120"/>
  <c r="M1129" i="120"/>
  <c r="M1133" i="120"/>
  <c r="M1137" i="120"/>
  <c r="M1141" i="120"/>
  <c r="M1145" i="120"/>
  <c r="M1149" i="120"/>
  <c r="M1153" i="120"/>
  <c r="M1157" i="120"/>
  <c r="M1161" i="120"/>
  <c r="M1165" i="120"/>
  <c r="M1169" i="120"/>
  <c r="M1173" i="120"/>
  <c r="M1177" i="120"/>
  <c r="M1181" i="120"/>
  <c r="M1185" i="120"/>
  <c r="M1189" i="120"/>
  <c r="M1193" i="120"/>
  <c r="M1197" i="120"/>
  <c r="M1201" i="120"/>
  <c r="M1205" i="120"/>
  <c r="M1209" i="120"/>
  <c r="M1213" i="120"/>
  <c r="M1217" i="120"/>
  <c r="M1221" i="120"/>
  <c r="M1225" i="120"/>
  <c r="K303" i="120"/>
  <c r="K307" i="120"/>
  <c r="K311" i="120"/>
  <c r="K315" i="120"/>
  <c r="K319" i="120"/>
  <c r="K323" i="120"/>
  <c r="K327" i="120"/>
  <c r="K331" i="120"/>
  <c r="K335" i="120"/>
  <c r="K339" i="120"/>
  <c r="K343" i="120"/>
  <c r="K347" i="120"/>
  <c r="K351" i="120"/>
  <c r="K355" i="120"/>
  <c r="K359" i="120"/>
  <c r="K363" i="120"/>
  <c r="K367" i="120"/>
  <c r="K371" i="120"/>
  <c r="K375" i="120"/>
  <c r="K379" i="120"/>
  <c r="K383" i="120"/>
  <c r="K387" i="120"/>
  <c r="K391" i="120"/>
  <c r="K395" i="120"/>
  <c r="K399" i="120"/>
  <c r="K403" i="120"/>
  <c r="K407" i="120"/>
  <c r="K411" i="120"/>
  <c r="K415" i="120"/>
  <c r="K419" i="120"/>
  <c r="K423" i="120"/>
  <c r="K427" i="120"/>
  <c r="K431" i="120"/>
  <c r="K435" i="120"/>
  <c r="K439" i="120"/>
  <c r="K443" i="120"/>
  <c r="K447" i="120"/>
  <c r="K451" i="120"/>
  <c r="K455" i="120"/>
  <c r="K459" i="120"/>
  <c r="K463" i="120"/>
  <c r="K467" i="120"/>
  <c r="K471" i="120"/>
  <c r="K475" i="120"/>
  <c r="K479" i="120"/>
  <c r="K483" i="120"/>
  <c r="K487" i="120"/>
  <c r="K491" i="120"/>
  <c r="K495" i="120"/>
  <c r="K499" i="120"/>
  <c r="K503" i="120"/>
  <c r="K507" i="120"/>
  <c r="K511" i="120"/>
  <c r="K515" i="120"/>
  <c r="K519" i="120"/>
  <c r="K523" i="120"/>
  <c r="K527" i="120"/>
  <c r="K531" i="120"/>
  <c r="K535" i="120"/>
  <c r="K539" i="120"/>
  <c r="K543" i="120"/>
  <c r="K547" i="120"/>
  <c r="K551" i="120"/>
  <c r="K555" i="120"/>
  <c r="K559" i="120"/>
  <c r="K563" i="120"/>
  <c r="K567" i="120"/>
  <c r="K571" i="120"/>
  <c r="K575" i="120"/>
  <c r="K579" i="120"/>
  <c r="K583" i="120"/>
  <c r="K587" i="120"/>
  <c r="K591" i="120"/>
  <c r="K595" i="120"/>
  <c r="K599" i="120"/>
  <c r="K603" i="120"/>
  <c r="K607" i="120"/>
  <c r="K611" i="120"/>
  <c r="K615" i="120"/>
  <c r="K619" i="120"/>
  <c r="K623" i="120"/>
  <c r="K627" i="120"/>
  <c r="K631" i="120"/>
  <c r="K635" i="120"/>
  <c r="K639" i="120"/>
  <c r="K643" i="120"/>
  <c r="K647" i="120"/>
  <c r="K651" i="120"/>
  <c r="K655" i="120"/>
  <c r="K659" i="120"/>
  <c r="K663" i="120"/>
  <c r="K667" i="120"/>
  <c r="K671" i="120"/>
  <c r="K675" i="120"/>
  <c r="K679" i="120"/>
  <c r="K683" i="120"/>
  <c r="K687" i="120"/>
  <c r="K691" i="120"/>
  <c r="K695" i="120"/>
  <c r="K699" i="120"/>
  <c r="K703" i="120"/>
  <c r="K707" i="120"/>
  <c r="K711" i="120"/>
  <c r="K715" i="120"/>
  <c r="K719" i="120"/>
  <c r="K723" i="120"/>
  <c r="K727" i="120"/>
  <c r="K731" i="120"/>
  <c r="K735" i="120"/>
  <c r="K739" i="120"/>
  <c r="M306" i="120"/>
  <c r="M310" i="120"/>
  <c r="M326" i="120"/>
  <c r="M342" i="120"/>
  <c r="M358" i="120"/>
  <c r="M374" i="120"/>
  <c r="M390" i="120"/>
  <c r="M406" i="120"/>
  <c r="M422" i="120"/>
  <c r="M438" i="120"/>
  <c r="M454" i="120"/>
  <c r="M470" i="120"/>
  <c r="M486" i="120"/>
  <c r="M502" i="120"/>
  <c r="M518" i="120"/>
  <c r="M534" i="120"/>
  <c r="M550" i="120"/>
  <c r="M566" i="120"/>
  <c r="M582" i="120"/>
  <c r="M598" i="120"/>
  <c r="M614" i="120"/>
  <c r="M630" i="120"/>
  <c r="M646" i="120"/>
  <c r="M662" i="120"/>
  <c r="M678" i="120"/>
  <c r="M694" i="120"/>
  <c r="M710" i="120"/>
  <c r="M726" i="120"/>
  <c r="M742" i="120"/>
  <c r="M758" i="120"/>
  <c r="M774" i="120"/>
  <c r="M790" i="120"/>
  <c r="M806" i="120"/>
  <c r="M822" i="120"/>
  <c r="M838" i="120"/>
  <c r="M854" i="120"/>
  <c r="M870" i="120"/>
  <c r="M886" i="120"/>
  <c r="M902" i="120"/>
  <c r="M918" i="120"/>
  <c r="M934" i="120"/>
  <c r="M950" i="120"/>
  <c r="M966" i="120"/>
  <c r="M982" i="120"/>
  <c r="M998" i="120"/>
  <c r="M1014" i="120"/>
  <c r="M1030" i="120"/>
  <c r="M1046" i="120"/>
  <c r="M1062" i="120"/>
  <c r="M1078" i="120"/>
  <c r="M1094" i="120"/>
  <c r="M1110" i="120"/>
  <c r="M1126" i="120"/>
  <c r="M1142" i="120"/>
  <c r="M1158" i="120"/>
  <c r="M1174" i="120"/>
  <c r="M1190" i="120"/>
  <c r="M1206" i="120"/>
  <c r="M1222" i="120"/>
  <c r="K312" i="120"/>
  <c r="K328" i="120"/>
  <c r="K344" i="120"/>
  <c r="K360" i="120"/>
  <c r="K376" i="120"/>
  <c r="K392" i="120"/>
  <c r="K408" i="120"/>
  <c r="K424" i="120"/>
  <c r="K440" i="120"/>
  <c r="K456" i="120"/>
  <c r="K472" i="120"/>
  <c r="K488" i="120"/>
  <c r="K504" i="120"/>
  <c r="K520" i="120"/>
  <c r="K536" i="120"/>
  <c r="K552" i="120"/>
  <c r="K568" i="120"/>
  <c r="K584" i="120"/>
  <c r="K600" i="120"/>
  <c r="K616" i="120"/>
  <c r="K632" i="120"/>
  <c r="K648" i="120"/>
  <c r="K664" i="120"/>
  <c r="K680" i="120"/>
  <c r="K696" i="120"/>
  <c r="K712" i="120"/>
  <c r="K722" i="120"/>
  <c r="K730" i="120"/>
  <c r="K736" i="120"/>
  <c r="K741" i="120"/>
  <c r="K745" i="120"/>
  <c r="K749" i="120"/>
  <c r="K753" i="120"/>
  <c r="K757" i="120"/>
  <c r="K761" i="120"/>
  <c r="K765" i="120"/>
  <c r="K769" i="120"/>
  <c r="K773" i="120"/>
  <c r="K777" i="120"/>
  <c r="K781" i="120"/>
  <c r="K785" i="120"/>
  <c r="K789" i="120"/>
  <c r="K793" i="120"/>
  <c r="K797" i="120"/>
  <c r="K801" i="120"/>
  <c r="K805" i="120"/>
  <c r="K809" i="120"/>
  <c r="K813" i="120"/>
  <c r="K817" i="120"/>
  <c r="K821" i="120"/>
  <c r="K825" i="120"/>
  <c r="K829" i="120"/>
  <c r="K833" i="120"/>
  <c r="K837" i="120"/>
  <c r="K841" i="120"/>
  <c r="K845" i="120"/>
  <c r="K849" i="120"/>
  <c r="K853" i="120"/>
  <c r="K857" i="120"/>
  <c r="K861" i="120"/>
  <c r="K865" i="120"/>
  <c r="K869" i="120"/>
  <c r="K873" i="120"/>
  <c r="K877" i="120"/>
  <c r="K881" i="120"/>
  <c r="K885" i="120"/>
  <c r="K889" i="120"/>
  <c r="K893" i="120"/>
  <c r="K897" i="120"/>
  <c r="K901" i="120"/>
  <c r="K905" i="120"/>
  <c r="K909" i="120"/>
  <c r="K913" i="120"/>
  <c r="K917" i="120"/>
  <c r="K921" i="120"/>
  <c r="K925" i="120"/>
  <c r="K929" i="120"/>
  <c r="K933" i="120"/>
  <c r="K937" i="120"/>
  <c r="K941" i="120"/>
  <c r="K945" i="120"/>
  <c r="K949" i="120"/>
  <c r="K953" i="120"/>
  <c r="K957" i="120"/>
  <c r="K961" i="120"/>
  <c r="K965" i="120"/>
  <c r="K969" i="120"/>
  <c r="K973" i="120"/>
  <c r="K977" i="120"/>
  <c r="K981" i="120"/>
  <c r="K985" i="120"/>
  <c r="K989" i="120"/>
  <c r="K993" i="120"/>
  <c r="K997" i="120"/>
  <c r="K1001" i="120"/>
  <c r="K1005" i="120"/>
  <c r="K1009" i="120"/>
  <c r="K1013" i="120"/>
  <c r="K1017" i="120"/>
  <c r="K1021" i="120"/>
  <c r="K1025" i="120"/>
  <c r="K1029" i="120"/>
  <c r="K1033" i="120"/>
  <c r="K1037" i="120"/>
  <c r="K1041" i="120"/>
  <c r="K1045" i="120"/>
  <c r="K1049" i="120"/>
  <c r="K1053" i="120"/>
  <c r="K1057" i="120"/>
  <c r="K1061" i="120"/>
  <c r="K1065" i="120"/>
  <c r="K1069" i="120"/>
  <c r="K1073" i="120"/>
  <c r="K1077" i="120"/>
  <c r="K1081" i="120"/>
  <c r="K1085" i="120"/>
  <c r="K1089" i="120"/>
  <c r="K1093" i="120"/>
  <c r="K1097" i="120"/>
  <c r="K1101" i="120"/>
  <c r="K1105" i="120"/>
  <c r="K1109" i="120"/>
  <c r="K1113" i="120"/>
  <c r="K1117" i="120"/>
  <c r="K1121" i="120"/>
  <c r="K1125" i="120"/>
  <c r="K1129" i="120"/>
  <c r="K1133" i="120"/>
  <c r="K1137" i="120"/>
  <c r="K1141" i="120"/>
  <c r="K1145" i="120"/>
  <c r="K1149" i="120"/>
  <c r="K1153" i="120"/>
  <c r="K1157" i="120"/>
  <c r="K1161" i="120"/>
  <c r="K1165" i="120"/>
  <c r="K1169" i="120"/>
  <c r="K1173" i="120"/>
  <c r="K1177" i="120"/>
  <c r="K1181" i="120"/>
  <c r="K1185" i="120"/>
  <c r="K1189" i="120"/>
  <c r="K1193" i="120"/>
  <c r="K1197" i="120"/>
  <c r="K1201" i="120"/>
  <c r="K1205" i="120"/>
  <c r="K1209" i="120"/>
  <c r="K1213" i="120"/>
  <c r="K1217" i="120"/>
  <c r="K1221" i="120"/>
  <c r="K1225" i="120"/>
  <c r="M302" i="120"/>
  <c r="M434" i="120"/>
  <c r="M642" i="120"/>
  <c r="M674" i="120"/>
  <c r="M722" i="120"/>
  <c r="M770" i="120"/>
  <c r="M818" i="120"/>
  <c r="M866" i="120"/>
  <c r="M914" i="120"/>
  <c r="M962" i="120"/>
  <c r="M1010" i="120"/>
  <c r="M1058" i="120"/>
  <c r="M1106" i="120"/>
  <c r="M1154" i="120"/>
  <c r="M1202" i="120"/>
  <c r="K324" i="120"/>
  <c r="K372" i="120"/>
  <c r="K420" i="120"/>
  <c r="K468" i="120"/>
  <c r="K516" i="120"/>
  <c r="K548" i="120"/>
  <c r="K596" i="120"/>
  <c r="K644" i="120"/>
  <c r="K692" i="120"/>
  <c r="K728" i="120"/>
  <c r="K744" i="120"/>
  <c r="K756" i="120"/>
  <c r="K768" i="120"/>
  <c r="K780" i="120"/>
  <c r="K792" i="120"/>
  <c r="K804" i="120"/>
  <c r="K816" i="120"/>
  <c r="K828" i="120"/>
  <c r="K840" i="120"/>
  <c r="K852" i="120"/>
  <c r="K864" i="120"/>
  <c r="K876" i="120"/>
  <c r="K896" i="120"/>
  <c r="K908" i="120"/>
  <c r="K920" i="120"/>
  <c r="K932" i="120"/>
  <c r="K944" i="120"/>
  <c r="K956" i="120"/>
  <c r="K968" i="120"/>
  <c r="K980" i="120"/>
  <c r="K992" i="120"/>
  <c r="K1004" i="120"/>
  <c r="K1016" i="120"/>
  <c r="K1028" i="120"/>
  <c r="K1040" i="120"/>
  <c r="K1052" i="120"/>
  <c r="K1064" i="120"/>
  <c r="K1076" i="120"/>
  <c r="K1088" i="120"/>
  <c r="K1100" i="120"/>
  <c r="K1112" i="120"/>
  <c r="K1124" i="120"/>
  <c r="K1136" i="120"/>
  <c r="K1148" i="120"/>
  <c r="K1160" i="120"/>
  <c r="K1176" i="120"/>
  <c r="K1188" i="120"/>
  <c r="K1200" i="120"/>
  <c r="K1208" i="120"/>
  <c r="K1220" i="120"/>
  <c r="M314" i="120"/>
  <c r="M330" i="120"/>
  <c r="M346" i="120"/>
  <c r="M362" i="120"/>
  <c r="M378" i="120"/>
  <c r="M394" i="120"/>
  <c r="M410" i="120"/>
  <c r="M426" i="120"/>
  <c r="M442" i="120"/>
  <c r="M458" i="120"/>
  <c r="M474" i="120"/>
  <c r="M490" i="120"/>
  <c r="M506" i="120"/>
  <c r="M522" i="120"/>
  <c r="M538" i="120"/>
  <c r="M554" i="120"/>
  <c r="M570" i="120"/>
  <c r="M586" i="120"/>
  <c r="M602" i="120"/>
  <c r="M618" i="120"/>
  <c r="M634" i="120"/>
  <c r="M650" i="120"/>
  <c r="M666" i="120"/>
  <c r="M682" i="120"/>
  <c r="M698" i="120"/>
  <c r="M714" i="120"/>
  <c r="M730" i="120"/>
  <c r="M746" i="120"/>
  <c r="M762" i="120"/>
  <c r="M778" i="120"/>
  <c r="M794" i="120"/>
  <c r="M810" i="120"/>
  <c r="M826" i="120"/>
  <c r="M842" i="120"/>
  <c r="M858" i="120"/>
  <c r="M874" i="120"/>
  <c r="M890" i="120"/>
  <c r="M906" i="120"/>
  <c r="M922" i="120"/>
  <c r="M938" i="120"/>
  <c r="M954" i="120"/>
  <c r="M970" i="120"/>
  <c r="M986" i="120"/>
  <c r="M1002" i="120"/>
  <c r="M1018" i="120"/>
  <c r="M1034" i="120"/>
  <c r="M1050" i="120"/>
  <c r="M1066" i="120"/>
  <c r="M1082" i="120"/>
  <c r="M1098" i="120"/>
  <c r="M1114" i="120"/>
  <c r="M1130" i="120"/>
  <c r="M1146" i="120"/>
  <c r="M1162" i="120"/>
  <c r="M1178" i="120"/>
  <c r="M1194" i="120"/>
  <c r="M1210" i="120"/>
  <c r="M1226" i="120"/>
  <c r="K316" i="120"/>
  <c r="K332" i="120"/>
  <c r="K348" i="120"/>
  <c r="K364" i="120"/>
  <c r="K380" i="120"/>
  <c r="K396" i="120"/>
  <c r="K412" i="120"/>
  <c r="K428" i="120"/>
  <c r="K444" i="120"/>
  <c r="K460" i="120"/>
  <c r="K476" i="120"/>
  <c r="K492" i="120"/>
  <c r="K508" i="120"/>
  <c r="K524" i="120"/>
  <c r="K540" i="120"/>
  <c r="K556" i="120"/>
  <c r="K572" i="120"/>
  <c r="K588" i="120"/>
  <c r="K604" i="120"/>
  <c r="K620" i="120"/>
  <c r="K636" i="120"/>
  <c r="K652" i="120"/>
  <c r="K668" i="120"/>
  <c r="K684" i="120"/>
  <c r="K700" i="120"/>
  <c r="K716" i="120"/>
  <c r="K724" i="120"/>
  <c r="K732" i="120"/>
  <c r="K737" i="120"/>
  <c r="K742" i="120"/>
  <c r="K746" i="120"/>
  <c r="K750" i="120"/>
  <c r="K754" i="120"/>
  <c r="K758" i="120"/>
  <c r="K762" i="120"/>
  <c r="K766" i="120"/>
  <c r="K770" i="120"/>
  <c r="K774" i="120"/>
  <c r="K778" i="120"/>
  <c r="K782" i="120"/>
  <c r="K786" i="120"/>
  <c r="K790" i="120"/>
  <c r="K794" i="120"/>
  <c r="K798" i="120"/>
  <c r="K802" i="120"/>
  <c r="K806" i="120"/>
  <c r="K810" i="120"/>
  <c r="K814" i="120"/>
  <c r="K818" i="120"/>
  <c r="K822" i="120"/>
  <c r="K826" i="120"/>
  <c r="K830" i="120"/>
  <c r="K834" i="120"/>
  <c r="K838" i="120"/>
  <c r="K842" i="120"/>
  <c r="K846" i="120"/>
  <c r="K850" i="120"/>
  <c r="K854" i="120"/>
  <c r="K858" i="120"/>
  <c r="K862" i="120"/>
  <c r="K866" i="120"/>
  <c r="K870" i="120"/>
  <c r="K874" i="120"/>
  <c r="K878" i="120"/>
  <c r="K882" i="120"/>
  <c r="K886" i="120"/>
  <c r="K890" i="120"/>
  <c r="K894" i="120"/>
  <c r="K898" i="120"/>
  <c r="K902" i="120"/>
  <c r="K906" i="120"/>
  <c r="K910" i="120"/>
  <c r="K914" i="120"/>
  <c r="K918" i="120"/>
  <c r="K922" i="120"/>
  <c r="K926" i="120"/>
  <c r="K930" i="120"/>
  <c r="K934" i="120"/>
  <c r="K938" i="120"/>
  <c r="K942" i="120"/>
  <c r="K946" i="120"/>
  <c r="K950" i="120"/>
  <c r="K954" i="120"/>
  <c r="K958" i="120"/>
  <c r="K962" i="120"/>
  <c r="K966" i="120"/>
  <c r="K970" i="120"/>
  <c r="K974" i="120"/>
  <c r="K978" i="120"/>
  <c r="K982" i="120"/>
  <c r="K986" i="120"/>
  <c r="K990" i="120"/>
  <c r="K994" i="120"/>
  <c r="K998" i="120"/>
  <c r="K1002" i="120"/>
  <c r="K1006" i="120"/>
  <c r="K1010" i="120"/>
  <c r="K1014" i="120"/>
  <c r="K1018" i="120"/>
  <c r="K1022" i="120"/>
  <c r="K1026" i="120"/>
  <c r="K1030" i="120"/>
  <c r="K1034" i="120"/>
  <c r="K1038" i="120"/>
  <c r="K1042" i="120"/>
  <c r="K1046" i="120"/>
  <c r="K1050" i="120"/>
  <c r="K1054" i="120"/>
  <c r="K1058" i="120"/>
  <c r="K1062" i="120"/>
  <c r="K1066" i="120"/>
  <c r="K1070" i="120"/>
  <c r="K1074" i="120"/>
  <c r="K1078" i="120"/>
  <c r="K1082" i="120"/>
  <c r="K1086" i="120"/>
  <c r="K1090" i="120"/>
  <c r="K1094" i="120"/>
  <c r="K1098" i="120"/>
  <c r="K1102" i="120"/>
  <c r="K1106" i="120"/>
  <c r="K1110" i="120"/>
  <c r="K1114" i="120"/>
  <c r="K1118" i="120"/>
  <c r="K1122" i="120"/>
  <c r="K1126" i="120"/>
  <c r="K1130" i="120"/>
  <c r="K1134" i="120"/>
  <c r="K1138" i="120"/>
  <c r="K1142" i="120"/>
  <c r="K1146" i="120"/>
  <c r="K1150" i="120"/>
  <c r="K1154" i="120"/>
  <c r="K1158" i="120"/>
  <c r="K1162" i="120"/>
  <c r="K1166" i="120"/>
  <c r="K1170" i="120"/>
  <c r="K1174" i="120"/>
  <c r="K1178" i="120"/>
  <c r="K1182" i="120"/>
  <c r="K1186" i="120"/>
  <c r="K1190" i="120"/>
  <c r="K1194" i="120"/>
  <c r="K1198" i="120"/>
  <c r="K1202" i="120"/>
  <c r="K1206" i="120"/>
  <c r="K1210" i="120"/>
  <c r="K1214" i="120"/>
  <c r="K1218" i="120"/>
  <c r="K1222" i="120"/>
  <c r="K1226" i="120"/>
  <c r="K302" i="120"/>
  <c r="M450" i="120"/>
  <c r="M738" i="120"/>
  <c r="M786" i="120"/>
  <c r="M834" i="120"/>
  <c r="M882" i="120"/>
  <c r="M946" i="120"/>
  <c r="M994" i="120"/>
  <c r="M1042" i="120"/>
  <c r="M1074" i="120"/>
  <c r="M1122" i="120"/>
  <c r="M1170" i="120"/>
  <c r="M1218" i="120"/>
  <c r="K340" i="120"/>
  <c r="K388" i="120"/>
  <c r="K436" i="120"/>
  <c r="K500" i="120"/>
  <c r="K564" i="120"/>
  <c r="K612" i="120"/>
  <c r="K660" i="120"/>
  <c r="K708" i="120"/>
  <c r="K734" i="120"/>
  <c r="K748" i="120"/>
  <c r="K760" i="120"/>
  <c r="K772" i="120"/>
  <c r="K784" i="120"/>
  <c r="K796" i="120"/>
  <c r="K808" i="120"/>
  <c r="K820" i="120"/>
  <c r="K832" i="120"/>
  <c r="K844" i="120"/>
  <c r="K856" i="120"/>
  <c r="K868" i="120"/>
  <c r="K880" i="120"/>
  <c r="K892" i="120"/>
  <c r="K904" i="120"/>
  <c r="K916" i="120"/>
  <c r="K928" i="120"/>
  <c r="K940" i="120"/>
  <c r="K952" i="120"/>
  <c r="K964" i="120"/>
  <c r="K976" i="120"/>
  <c r="K988" i="120"/>
  <c r="K1000" i="120"/>
  <c r="K1012" i="120"/>
  <c r="K1024" i="120"/>
  <c r="K1036" i="120"/>
  <c r="K1048" i="120"/>
  <c r="K1060" i="120"/>
  <c r="K1072" i="120"/>
  <c r="K1084" i="120"/>
  <c r="K1096" i="120"/>
  <c r="K1108" i="120"/>
  <c r="K1120" i="120"/>
  <c r="K1132" i="120"/>
  <c r="K1144" i="120"/>
  <c r="K1156" i="120"/>
  <c r="K1168" i="120"/>
  <c r="K1180" i="120"/>
  <c r="K1196" i="120"/>
  <c r="K1212" i="120"/>
  <c r="K1224" i="120"/>
  <c r="M318" i="120"/>
  <c r="M334" i="120"/>
  <c r="M350" i="120"/>
  <c r="M366" i="120"/>
  <c r="M382" i="120"/>
  <c r="M398" i="120"/>
  <c r="M414" i="120"/>
  <c r="M430" i="120"/>
  <c r="M446" i="120"/>
  <c r="M462" i="120"/>
  <c r="M478" i="120"/>
  <c r="M494" i="120"/>
  <c r="M510" i="120"/>
  <c r="M526" i="120"/>
  <c r="M542" i="120"/>
  <c r="M558" i="120"/>
  <c r="M574" i="120"/>
  <c r="M590" i="120"/>
  <c r="M606" i="120"/>
  <c r="M622" i="120"/>
  <c r="M638" i="120"/>
  <c r="M654" i="120"/>
  <c r="M670" i="120"/>
  <c r="M686" i="120"/>
  <c r="M702" i="120"/>
  <c r="M718" i="120"/>
  <c r="M734" i="120"/>
  <c r="M750" i="120"/>
  <c r="M766" i="120"/>
  <c r="M782" i="120"/>
  <c r="M798" i="120"/>
  <c r="M814" i="120"/>
  <c r="M830" i="120"/>
  <c r="M846" i="120"/>
  <c r="M862" i="120"/>
  <c r="M878" i="120"/>
  <c r="M894" i="120"/>
  <c r="M910" i="120"/>
  <c r="M926" i="120"/>
  <c r="M942" i="120"/>
  <c r="M958" i="120"/>
  <c r="M974" i="120"/>
  <c r="M990" i="120"/>
  <c r="M1006" i="120"/>
  <c r="M1022" i="120"/>
  <c r="M1038" i="120"/>
  <c r="M1054" i="120"/>
  <c r="M1070" i="120"/>
  <c r="M1086" i="120"/>
  <c r="M1102" i="120"/>
  <c r="M1118" i="120"/>
  <c r="M1134" i="120"/>
  <c r="M1150" i="120"/>
  <c r="M1166" i="120"/>
  <c r="M1182" i="120"/>
  <c r="M1198" i="120"/>
  <c r="M1214" i="120"/>
  <c r="K304" i="120"/>
  <c r="K320" i="120"/>
  <c r="K336" i="120"/>
  <c r="K352" i="120"/>
  <c r="K368" i="120"/>
  <c r="K384" i="120"/>
  <c r="K400" i="120"/>
  <c r="K416" i="120"/>
  <c r="K432" i="120"/>
  <c r="K448" i="120"/>
  <c r="K464" i="120"/>
  <c r="K480" i="120"/>
  <c r="K496" i="120"/>
  <c r="K512" i="120"/>
  <c r="K528" i="120"/>
  <c r="K544" i="120"/>
  <c r="K560" i="120"/>
  <c r="K576" i="120"/>
  <c r="K592" i="120"/>
  <c r="K608" i="120"/>
  <c r="K624" i="120"/>
  <c r="K640" i="120"/>
  <c r="K656" i="120"/>
  <c r="K672" i="120"/>
  <c r="K688" i="120"/>
  <c r="K704" i="120"/>
  <c r="K718" i="120"/>
  <c r="K726" i="120"/>
  <c r="K733" i="120"/>
  <c r="K738" i="120"/>
  <c r="K743" i="120"/>
  <c r="K747" i="120"/>
  <c r="K751" i="120"/>
  <c r="K755" i="120"/>
  <c r="K759" i="120"/>
  <c r="K763" i="120"/>
  <c r="K767" i="120"/>
  <c r="K771" i="120"/>
  <c r="K775" i="120"/>
  <c r="K779" i="120"/>
  <c r="K783" i="120"/>
  <c r="K787" i="120"/>
  <c r="K791" i="120"/>
  <c r="K795" i="120"/>
  <c r="K799" i="120"/>
  <c r="K803" i="120"/>
  <c r="K807" i="120"/>
  <c r="K811" i="120"/>
  <c r="K815" i="120"/>
  <c r="K819" i="120"/>
  <c r="K823" i="120"/>
  <c r="K827" i="120"/>
  <c r="K831" i="120"/>
  <c r="K835" i="120"/>
  <c r="K839" i="120"/>
  <c r="K843" i="120"/>
  <c r="K847" i="120"/>
  <c r="K851" i="120"/>
  <c r="K855" i="120"/>
  <c r="K859" i="120"/>
  <c r="K863" i="120"/>
  <c r="K867" i="120"/>
  <c r="K871" i="120"/>
  <c r="K875" i="120"/>
  <c r="K879" i="120"/>
  <c r="K883" i="120"/>
  <c r="K887" i="120"/>
  <c r="K891" i="120"/>
  <c r="K895" i="120"/>
  <c r="K899" i="120"/>
  <c r="K903" i="120"/>
  <c r="K907" i="120"/>
  <c r="K911" i="120"/>
  <c r="K915" i="120"/>
  <c r="K919" i="120"/>
  <c r="K923" i="120"/>
  <c r="K927" i="120"/>
  <c r="K931" i="120"/>
  <c r="K935" i="120"/>
  <c r="K939" i="120"/>
  <c r="K943" i="120"/>
  <c r="K947" i="120"/>
  <c r="K951" i="120"/>
  <c r="K955" i="120"/>
  <c r="K959" i="120"/>
  <c r="K963" i="120"/>
  <c r="K967" i="120"/>
  <c r="K971" i="120"/>
  <c r="K975" i="120"/>
  <c r="K979" i="120"/>
  <c r="K983" i="120"/>
  <c r="K987" i="120"/>
  <c r="K991" i="120"/>
  <c r="K995" i="120"/>
  <c r="K999" i="120"/>
  <c r="K1003" i="120"/>
  <c r="K1007" i="120"/>
  <c r="K1011" i="120"/>
  <c r="K1015" i="120"/>
  <c r="K1019" i="120"/>
  <c r="K1023" i="120"/>
  <c r="K1027" i="120"/>
  <c r="K1031" i="120"/>
  <c r="K1035" i="120"/>
  <c r="K1039" i="120"/>
  <c r="K1043" i="120"/>
  <c r="K1047" i="120"/>
  <c r="K1051" i="120"/>
  <c r="K1055" i="120"/>
  <c r="K1059" i="120"/>
  <c r="K1063" i="120"/>
  <c r="K1067" i="120"/>
  <c r="K1071" i="120"/>
  <c r="K1075" i="120"/>
  <c r="K1079" i="120"/>
  <c r="K1083" i="120"/>
  <c r="K1087" i="120"/>
  <c r="K1091" i="120"/>
  <c r="K1095" i="120"/>
  <c r="K1099" i="120"/>
  <c r="K1103" i="120"/>
  <c r="K1107" i="120"/>
  <c r="K1111" i="120"/>
  <c r="K1115" i="120"/>
  <c r="K1119" i="120"/>
  <c r="K1123" i="120"/>
  <c r="K1127" i="120"/>
  <c r="K1131" i="120"/>
  <c r="K1135" i="120"/>
  <c r="K1139" i="120"/>
  <c r="K1143" i="120"/>
  <c r="K1147" i="120"/>
  <c r="K1151" i="120"/>
  <c r="K1155" i="120"/>
  <c r="K1159" i="120"/>
  <c r="K1163" i="120"/>
  <c r="K1167" i="120"/>
  <c r="K1171" i="120"/>
  <c r="K1175" i="120"/>
  <c r="K1179" i="120"/>
  <c r="K1183" i="120"/>
  <c r="K1187" i="120"/>
  <c r="K1191" i="120"/>
  <c r="K1195" i="120"/>
  <c r="K1199" i="120"/>
  <c r="K1203" i="120"/>
  <c r="K1207" i="120"/>
  <c r="K1211" i="120"/>
  <c r="K1215" i="120"/>
  <c r="K1219" i="120"/>
  <c r="K1223" i="120"/>
  <c r="K1227" i="120"/>
  <c r="M322" i="120"/>
  <c r="M338" i="120"/>
  <c r="M354" i="120"/>
  <c r="M370" i="120"/>
  <c r="M386" i="120"/>
  <c r="M402" i="120"/>
  <c r="M418" i="120"/>
  <c r="M466" i="120"/>
  <c r="M482" i="120"/>
  <c r="M498" i="120"/>
  <c r="M514" i="120"/>
  <c r="M530" i="120"/>
  <c r="M546" i="120"/>
  <c r="M562" i="120"/>
  <c r="M578" i="120"/>
  <c r="M594" i="120"/>
  <c r="M610" i="120"/>
  <c r="M626" i="120"/>
  <c r="M658" i="120"/>
  <c r="M690" i="120"/>
  <c r="M706" i="120"/>
  <c r="M754" i="120"/>
  <c r="M802" i="120"/>
  <c r="M850" i="120"/>
  <c r="M898" i="120"/>
  <c r="M930" i="120"/>
  <c r="M978" i="120"/>
  <c r="M1026" i="120"/>
  <c r="M1090" i="120"/>
  <c r="M1138" i="120"/>
  <c r="M1186" i="120"/>
  <c r="K308" i="120"/>
  <c r="K356" i="120"/>
  <c r="K404" i="120"/>
  <c r="K452" i="120"/>
  <c r="K484" i="120"/>
  <c r="K532" i="120"/>
  <c r="K580" i="120"/>
  <c r="K628" i="120"/>
  <c r="K676" i="120"/>
  <c r="K720" i="120"/>
  <c r="K740" i="120"/>
  <c r="K752" i="120"/>
  <c r="K764" i="120"/>
  <c r="K776" i="120"/>
  <c r="K788" i="120"/>
  <c r="K800" i="120"/>
  <c r="K812" i="120"/>
  <c r="K824" i="120"/>
  <c r="K836" i="120"/>
  <c r="K848" i="120"/>
  <c r="K860" i="120"/>
  <c r="K872" i="120"/>
  <c r="K884" i="120"/>
  <c r="K888" i="120"/>
  <c r="K900" i="120"/>
  <c r="K912" i="120"/>
  <c r="K924" i="120"/>
  <c r="K936" i="120"/>
  <c r="K948" i="120"/>
  <c r="K960" i="120"/>
  <c r="K972" i="120"/>
  <c r="K984" i="120"/>
  <c r="K996" i="120"/>
  <c r="K1008" i="120"/>
  <c r="K1020" i="120"/>
  <c r="K1032" i="120"/>
  <c r="K1044" i="120"/>
  <c r="K1056" i="120"/>
  <c r="K1068" i="120"/>
  <c r="K1080" i="120"/>
  <c r="K1092" i="120"/>
  <c r="K1104" i="120"/>
  <c r="K1116" i="120"/>
  <c r="K1128" i="120"/>
  <c r="K1140" i="120"/>
  <c r="K1152" i="120"/>
  <c r="K1164" i="120"/>
  <c r="K1172" i="120"/>
  <c r="K1184" i="120"/>
  <c r="K1192" i="120"/>
  <c r="K1204" i="120"/>
  <c r="K1216" i="120"/>
  <c r="K1228" i="120"/>
  <c r="J431" i="46"/>
  <c r="L431" i="46"/>
  <c r="H431" i="46"/>
  <c r="L435" i="46"/>
  <c r="H435" i="46"/>
  <c r="J435" i="46"/>
  <c r="M31" i="135"/>
  <c r="I52" i="56"/>
  <c r="AP95" i="46"/>
  <c r="H95" i="46" s="1"/>
  <c r="E562" i="148"/>
  <c r="M562" i="148" s="1"/>
  <c r="E587" i="148" s="1"/>
  <c r="M587" i="148" s="1"/>
  <c r="E612" i="148" s="1"/>
  <c r="M612" i="148" s="1"/>
  <c r="E637" i="148" s="1"/>
  <c r="M637" i="148" s="1"/>
  <c r="E662" i="148" s="1"/>
  <c r="M662" i="148" s="1"/>
  <c r="E687" i="148" s="1"/>
  <c r="M687" i="148" s="1"/>
  <c r="E712" i="148" s="1"/>
  <c r="M712" i="148" s="1"/>
  <c r="E737" i="148" s="1"/>
  <c r="M737" i="148" s="1"/>
  <c r="E762" i="148" s="1"/>
  <c r="M762" i="148" s="1"/>
  <c r="E787" i="148" s="1"/>
  <c r="M787" i="148" s="1"/>
  <c r="E812" i="148" s="1"/>
  <c r="M812" i="148" s="1"/>
  <c r="E837" i="148" s="1"/>
  <c r="M837" i="148" s="1"/>
  <c r="M66" i="56"/>
  <c r="P20" i="148"/>
  <c r="Z4" i="139"/>
  <c r="L432" i="46"/>
  <c r="H432" i="46"/>
  <c r="J432" i="46"/>
  <c r="N26" i="135"/>
  <c r="I53" i="56"/>
  <c r="AP96" i="46"/>
  <c r="H96" i="46" s="1"/>
  <c r="E64" i="56"/>
  <c r="R170" i="46"/>
  <c r="S502" i="109"/>
  <c r="BG502" i="46" s="1"/>
  <c r="AO502" i="46"/>
  <c r="F502" i="46" s="1"/>
  <c r="H400" i="46"/>
  <c r="J400" i="46"/>
  <c r="L400" i="46"/>
  <c r="L409" i="46"/>
  <c r="H409" i="46"/>
  <c r="J409" i="46"/>
  <c r="H415" i="46"/>
  <c r="L415" i="46"/>
  <c r="J415" i="46"/>
  <c r="J421" i="46"/>
  <c r="L421" i="46"/>
  <c r="H421" i="46"/>
  <c r="D154" i="109"/>
  <c r="H99" i="125" s="1"/>
  <c r="H51" i="137"/>
  <c r="H157" i="109"/>
  <c r="J157" i="109" s="1"/>
  <c r="AP157" i="46"/>
  <c r="X161" i="134"/>
  <c r="M40" i="56"/>
  <c r="I157" i="134"/>
  <c r="I152" i="134"/>
  <c r="T156" i="134"/>
  <c r="U133" i="134"/>
  <c r="U139" i="134"/>
  <c r="P159" i="134"/>
  <c r="U149" i="134"/>
  <c r="Y131" i="134"/>
  <c r="AC140" i="134"/>
  <c r="U137" i="134"/>
  <c r="E140" i="134"/>
  <c r="Y156" i="134"/>
  <c r="P143" i="134"/>
  <c r="M30" i="56"/>
  <c r="AE84" i="134"/>
  <c r="T126" i="137"/>
  <c r="T121" i="137"/>
  <c r="W664" i="148"/>
  <c r="AP55" i="46"/>
  <c r="S505" i="109"/>
  <c r="BG505" i="46" s="1"/>
  <c r="AO505" i="46"/>
  <c r="F505" i="46" s="1"/>
  <c r="A498" i="109"/>
  <c r="AO498" i="46"/>
  <c r="F498" i="46" s="1"/>
  <c r="H406" i="46"/>
  <c r="J406" i="46"/>
  <c r="L406" i="46"/>
  <c r="L411" i="46"/>
  <c r="J411" i="46"/>
  <c r="H411" i="46"/>
  <c r="H416" i="46"/>
  <c r="J416" i="46"/>
  <c r="L416" i="46"/>
  <c r="H422" i="46"/>
  <c r="J422" i="46"/>
  <c r="L422" i="46"/>
  <c r="L433" i="46"/>
  <c r="H433" i="46"/>
  <c r="J433" i="46"/>
  <c r="E244" i="120"/>
  <c r="C21" i="135"/>
  <c r="C28" i="135"/>
  <c r="M33" i="135"/>
  <c r="E210" i="137"/>
  <c r="S499" i="109"/>
  <c r="BG499" i="46" s="1"/>
  <c r="AO499" i="46"/>
  <c r="F499" i="46" s="1"/>
  <c r="J407" i="46"/>
  <c r="L407" i="46"/>
  <c r="H407" i="46"/>
  <c r="H413" i="46"/>
  <c r="J413" i="46"/>
  <c r="L413" i="46"/>
  <c r="H418" i="46"/>
  <c r="J418" i="46"/>
  <c r="L418" i="46"/>
  <c r="J423" i="46"/>
  <c r="L423" i="46"/>
  <c r="H423" i="46"/>
  <c r="H430" i="46"/>
  <c r="J430" i="46"/>
  <c r="L430" i="46"/>
  <c r="J434" i="46"/>
  <c r="H434" i="46"/>
  <c r="L434" i="46"/>
  <c r="C22" i="135"/>
  <c r="M32" i="135"/>
  <c r="I55" i="56"/>
  <c r="AP98" i="46"/>
  <c r="H98" i="46" s="1"/>
  <c r="H123" i="126"/>
  <c r="F736" i="46" s="1"/>
  <c r="BG736" i="46" s="1"/>
  <c r="AO101" i="46"/>
  <c r="F101" i="46" s="1"/>
  <c r="D287" i="120"/>
  <c r="H282" i="120"/>
  <c r="I10" i="125" s="1"/>
  <c r="H281" i="120"/>
  <c r="I8" i="125" s="1"/>
  <c r="C470" i="109" s="1"/>
  <c r="I282" i="120"/>
  <c r="J10" i="125" s="1"/>
  <c r="B472" i="109" s="1"/>
  <c r="B472" i="46" s="1"/>
  <c r="I281" i="120"/>
  <c r="J8" i="125" s="1"/>
  <c r="I26" i="60"/>
  <c r="G8" i="147" s="1"/>
  <c r="E123" i="126"/>
  <c r="B736" i="46" s="1"/>
  <c r="G41" i="126"/>
  <c r="D654" i="46" s="1"/>
  <c r="BF654" i="46" s="1"/>
  <c r="G22" i="126"/>
  <c r="D635" i="46" s="1"/>
  <c r="BF635" i="46" s="1"/>
  <c r="J42" i="126"/>
  <c r="E240" i="120"/>
  <c r="E59" i="56"/>
  <c r="V245" i="109"/>
  <c r="AS245" i="46" s="1"/>
  <c r="V36" i="109"/>
  <c r="AS36" i="46" s="1"/>
  <c r="E62" i="56"/>
  <c r="E60" i="56"/>
  <c r="V42" i="109"/>
  <c r="AS42" i="46" s="1"/>
  <c r="V35" i="109"/>
  <c r="AS35" i="46" s="1"/>
  <c r="V224" i="109"/>
  <c r="AS224" i="46" s="1"/>
  <c r="V222" i="109"/>
  <c r="AS222" i="46" s="1"/>
  <c r="V221" i="109"/>
  <c r="AS221" i="46" s="1"/>
  <c r="V223" i="109"/>
  <c r="AS223" i="46" s="1"/>
  <c r="V220" i="109"/>
  <c r="AS220" i="46" s="1"/>
  <c r="V219" i="109"/>
  <c r="AS219" i="46" s="1"/>
  <c r="V248" i="109"/>
  <c r="AS248" i="46" s="1"/>
  <c r="V250" i="109"/>
  <c r="AS250" i="46" s="1"/>
  <c r="V37" i="109"/>
  <c r="AS37" i="46" s="1"/>
  <c r="V251" i="109"/>
  <c r="AS251" i="46" s="1"/>
  <c r="V246" i="109"/>
  <c r="AS246" i="46" s="1"/>
  <c r="V38" i="109"/>
  <c r="AS38" i="46" s="1"/>
  <c r="V39" i="109"/>
  <c r="AS39" i="46" s="1"/>
  <c r="D467" i="109"/>
  <c r="D464" i="109"/>
  <c r="AO464" i="46" s="1"/>
  <c r="F464" i="46" s="1"/>
  <c r="D264" i="109"/>
  <c r="AO264" i="46" s="1"/>
  <c r="F264" i="46" s="1"/>
  <c r="D465" i="109"/>
  <c r="AO465" i="46" s="1"/>
  <c r="F465" i="46" s="1"/>
  <c r="D468" i="109"/>
  <c r="AO468" i="46" s="1"/>
  <c r="F468" i="46" s="1"/>
  <c r="V226" i="109"/>
  <c r="AS226" i="46" s="1"/>
  <c r="AA37" i="139"/>
  <c r="J1048" i="120"/>
  <c r="J1125" i="120"/>
  <c r="J725" i="120"/>
  <c r="D231" i="109"/>
  <c r="AO231" i="46" s="1"/>
  <c r="F231" i="46" s="1"/>
  <c r="D230" i="109"/>
  <c r="K11" i="122"/>
  <c r="B12" i="147"/>
  <c r="K9" i="122"/>
  <c r="H86" i="126"/>
  <c r="F699" i="46" s="1"/>
  <c r="BG699" i="46" s="1"/>
  <c r="G151" i="60"/>
  <c r="J9" i="142"/>
  <c r="B16" i="147"/>
  <c r="B20" i="147"/>
  <c r="P45" i="45"/>
  <c r="S45" i="45" s="1"/>
  <c r="P48" i="45"/>
  <c r="S48" i="45" s="1"/>
  <c r="P50" i="45"/>
  <c r="S50" i="45" s="1"/>
  <c r="P29" i="45"/>
  <c r="S29" i="45" s="1"/>
  <c r="L567" i="120"/>
  <c r="J893" i="120"/>
  <c r="L1168" i="120"/>
  <c r="J979" i="120"/>
  <c r="J1138" i="120"/>
  <c r="L1160" i="120"/>
  <c r="L1053" i="120"/>
  <c r="J622" i="120"/>
  <c r="L734" i="120"/>
  <c r="J676" i="120"/>
  <c r="L683" i="120"/>
  <c r="J1114" i="120"/>
  <c r="L1152" i="120"/>
  <c r="J1040" i="120"/>
  <c r="J606" i="120"/>
  <c r="J832" i="120"/>
  <c r="J815" i="120"/>
  <c r="L693" i="120"/>
  <c r="J648" i="120"/>
  <c r="L1080" i="120"/>
  <c r="L1144" i="120"/>
  <c r="J1032" i="120"/>
  <c r="L1029" i="120"/>
  <c r="J598" i="120"/>
  <c r="J454" i="120"/>
  <c r="L560" i="120"/>
  <c r="L917" i="120"/>
  <c r="L1136" i="120"/>
  <c r="L1174" i="120"/>
  <c r="L1172" i="120"/>
  <c r="J595" i="120"/>
  <c r="L534" i="120"/>
  <c r="J660" i="120"/>
  <c r="L971" i="120"/>
  <c r="J851" i="120"/>
  <c r="L1164" i="120"/>
  <c r="J537" i="120"/>
  <c r="J800" i="120"/>
  <c r="J579" i="120"/>
  <c r="J843" i="120"/>
  <c r="L1112" i="120"/>
  <c r="L1156" i="120"/>
  <c r="J525" i="120"/>
  <c r="J827" i="120"/>
  <c r="L993" i="120"/>
  <c r="J902" i="120"/>
  <c r="J989" i="120"/>
  <c r="J1043" i="120"/>
  <c r="J760" i="120"/>
  <c r="L874" i="120"/>
  <c r="J922" i="120"/>
  <c r="L1088" i="120"/>
  <c r="L1132" i="120"/>
  <c r="L526" i="120"/>
  <c r="L412" i="120"/>
  <c r="J811" i="120"/>
  <c r="L974" i="120"/>
  <c r="J1151" i="120"/>
  <c r="L1124" i="120"/>
  <c r="J795" i="120"/>
  <c r="J824" i="120"/>
  <c r="J1062" i="120"/>
  <c r="J819" i="120"/>
  <c r="J808" i="120"/>
  <c r="L518" i="120"/>
  <c r="J444" i="120"/>
  <c r="L1104" i="120"/>
  <c r="L1120" i="120"/>
  <c r="J768" i="120"/>
  <c r="J763" i="120"/>
  <c r="J925" i="120"/>
  <c r="J1102" i="120"/>
  <c r="L1140" i="120"/>
  <c r="J890" i="120"/>
  <c r="J1088" i="120"/>
  <c r="J1227" i="120"/>
  <c r="J1078" i="120"/>
  <c r="J1085" i="120"/>
  <c r="J1060" i="120"/>
  <c r="J621" i="120"/>
  <c r="J634" i="120"/>
  <c r="L660" i="120"/>
  <c r="J508" i="120"/>
  <c r="J977" i="120"/>
  <c r="J1211" i="120"/>
  <c r="L1074" i="120"/>
  <c r="L1049" i="120"/>
  <c r="L573" i="120"/>
  <c r="J626" i="120"/>
  <c r="L545" i="120"/>
  <c r="L1056" i="120"/>
  <c r="J1056" i="120"/>
  <c r="J1021" i="120"/>
  <c r="J1053" i="120"/>
  <c r="J572" i="120"/>
  <c r="L541" i="120"/>
  <c r="J610" i="120"/>
  <c r="L651" i="120"/>
  <c r="L1045" i="120"/>
  <c r="L1042" i="120"/>
  <c r="L1171" i="120"/>
  <c r="J333" i="120"/>
  <c r="J586" i="120"/>
  <c r="J846" i="120"/>
  <c r="J1035" i="120"/>
  <c r="L1163" i="120"/>
  <c r="L550" i="120"/>
  <c r="J1020" i="120"/>
  <c r="L1155" i="120"/>
  <c r="J534" i="120"/>
  <c r="L742" i="120"/>
  <c r="J557" i="120"/>
  <c r="J752" i="120"/>
  <c r="J954" i="120"/>
  <c r="L1078" i="120"/>
  <c r="J736" i="120"/>
  <c r="J458" i="120"/>
  <c r="J757" i="120"/>
  <c r="J689" i="120"/>
  <c r="J1157" i="120"/>
  <c r="L620" i="120"/>
  <c r="L1069" i="120"/>
  <c r="J1173" i="120"/>
  <c r="L1044" i="120"/>
  <c r="J1136" i="120"/>
  <c r="J1057" i="120"/>
  <c r="J1002" i="120"/>
  <c r="L719" i="120"/>
  <c r="J667" i="120"/>
  <c r="L1146" i="120"/>
  <c r="J1031" i="120"/>
  <c r="J927" i="120"/>
  <c r="J685" i="120"/>
  <c r="L1170" i="120"/>
  <c r="L1052" i="120"/>
  <c r="J844" i="120"/>
  <c r="J999" i="120"/>
  <c r="J637" i="120"/>
  <c r="L706" i="120"/>
  <c r="L1026" i="120"/>
  <c r="J951" i="120"/>
  <c r="J717" i="120"/>
  <c r="L1037" i="120"/>
  <c r="J1109" i="120"/>
  <c r="J895" i="120"/>
  <c r="L468" i="120"/>
  <c r="L710" i="120"/>
  <c r="J343" i="120"/>
  <c r="J1055" i="120"/>
  <c r="J556" i="120"/>
  <c r="J728" i="120"/>
  <c r="L1040" i="120"/>
  <c r="J408" i="120"/>
  <c r="J645" i="120"/>
  <c r="L1076" i="120"/>
  <c r="J1051" i="120"/>
  <c r="J413" i="120"/>
  <c r="J1087" i="120"/>
  <c r="L447" i="120"/>
  <c r="L570" i="120"/>
  <c r="J1095" i="120"/>
  <c r="J1092" i="120"/>
  <c r="L1081" i="120"/>
  <c r="J1103" i="120"/>
  <c r="J1108" i="120"/>
  <c r="J765" i="120"/>
  <c r="J1127" i="120"/>
  <c r="J1124" i="120"/>
  <c r="L716" i="120"/>
  <c r="J1135" i="120"/>
  <c r="J882" i="120"/>
  <c r="J1143" i="120"/>
  <c r="L724" i="120"/>
  <c r="J591" i="120"/>
  <c r="L732" i="120"/>
  <c r="J1096" i="120"/>
  <c r="J996" i="120"/>
  <c r="J647" i="120"/>
  <c r="L748" i="120"/>
  <c r="J1104" i="120"/>
  <c r="L495" i="120"/>
  <c r="J1112" i="120"/>
  <c r="J505" i="120"/>
  <c r="J1128" i="120"/>
  <c r="J779" i="120"/>
  <c r="J701" i="120"/>
  <c r="L1031" i="120"/>
  <c r="J866" i="120"/>
  <c r="J988" i="120"/>
  <c r="J960" i="120"/>
  <c r="L1063" i="120"/>
  <c r="J940" i="120"/>
  <c r="L900" i="120"/>
  <c r="J1042" i="120"/>
  <c r="J400" i="120"/>
  <c r="L1065" i="120"/>
  <c r="L863" i="120"/>
  <c r="L1108" i="120"/>
  <c r="J574" i="120"/>
  <c r="L302" i="120"/>
  <c r="J721" i="120"/>
  <c r="J1018" i="120"/>
  <c r="J956" i="120"/>
  <c r="J928" i="120"/>
  <c r="L1100" i="120"/>
  <c r="J1076" i="120"/>
  <c r="J884" i="120"/>
  <c r="L1116" i="120"/>
  <c r="J426" i="120"/>
  <c r="L1093" i="120"/>
  <c r="L868" i="120"/>
  <c r="L962" i="120"/>
  <c r="J478" i="120"/>
  <c r="L1109" i="120"/>
  <c r="J1193" i="120"/>
  <c r="L842" i="120"/>
  <c r="J986" i="120"/>
  <c r="J970" i="120"/>
  <c r="E199" i="109"/>
  <c r="AQ199" i="46" s="1"/>
  <c r="E196" i="109"/>
  <c r="AQ196" i="46" s="1"/>
  <c r="W539" i="148"/>
  <c r="W540" i="148" s="1"/>
  <c r="D101" i="60"/>
  <c r="D386" i="109" s="1"/>
  <c r="AO386" i="46" s="1"/>
  <c r="J504" i="120"/>
  <c r="L1195" i="120"/>
  <c r="J440" i="120"/>
  <c r="J481" i="120"/>
  <c r="J490" i="120"/>
  <c r="J405" i="120"/>
  <c r="J493" i="120"/>
  <c r="L1203" i="120"/>
  <c r="J422" i="120"/>
  <c r="J592" i="120"/>
  <c r="J661" i="120"/>
  <c r="J659" i="120"/>
  <c r="L792" i="120"/>
  <c r="L577" i="120"/>
  <c r="L702" i="120"/>
  <c r="L803" i="120"/>
  <c r="L496" i="120"/>
  <c r="L739" i="120"/>
  <c r="J702" i="120"/>
  <c r="L934" i="120"/>
  <c r="L954" i="120"/>
  <c r="J863" i="120"/>
  <c r="L911" i="120"/>
  <c r="J910" i="120"/>
  <c r="L1019" i="120"/>
  <c r="J993" i="120"/>
  <c r="J780" i="120"/>
  <c r="J948" i="120"/>
  <c r="J1188" i="120"/>
  <c r="J1098" i="120"/>
  <c r="J713" i="120"/>
  <c r="J1119" i="120"/>
  <c r="J1039" i="120"/>
  <c r="J1110" i="120"/>
  <c r="J975" i="120"/>
  <c r="L1061" i="120"/>
  <c r="J1217" i="120"/>
  <c r="L1107" i="120"/>
  <c r="L888" i="120"/>
  <c r="L586" i="120"/>
  <c r="L500" i="120"/>
  <c r="J318" i="120"/>
  <c r="L1214" i="120"/>
  <c r="J364" i="120"/>
  <c r="L358" i="120"/>
  <c r="L312" i="120"/>
  <c r="J1058" i="120"/>
  <c r="J464" i="120"/>
  <c r="L705" i="120"/>
  <c r="L708" i="120"/>
  <c r="L591" i="120"/>
  <c r="J722" i="120"/>
  <c r="L809" i="120"/>
  <c r="L465" i="120"/>
  <c r="L727" i="120"/>
  <c r="L665" i="120"/>
  <c r="J776" i="120"/>
  <c r="L836" i="120"/>
  <c r="L571" i="120"/>
  <c r="L855" i="120"/>
  <c r="L923" i="120"/>
  <c r="J921" i="120"/>
  <c r="L1025" i="120"/>
  <c r="J998" i="120"/>
  <c r="J965" i="120"/>
  <c r="J983" i="120"/>
  <c r="J1170" i="120"/>
  <c r="L867" i="120"/>
  <c r="L905" i="120"/>
  <c r="J1067" i="120"/>
  <c r="J941" i="120"/>
  <c r="J1191" i="120"/>
  <c r="L941" i="120"/>
  <c r="J1195" i="120"/>
  <c r="L1096" i="120"/>
  <c r="J1097" i="120"/>
  <c r="L1034" i="120"/>
  <c r="L1126" i="120"/>
  <c r="L1176" i="120"/>
  <c r="J1141" i="120"/>
  <c r="L1028" i="120"/>
  <c r="J1028" i="120"/>
  <c r="L1051" i="120"/>
  <c r="J411" i="120"/>
  <c r="L461" i="120"/>
  <c r="L483" i="120"/>
  <c r="J417" i="120"/>
  <c r="L1027" i="120"/>
  <c r="L408" i="120"/>
  <c r="J608" i="120"/>
  <c r="L720" i="120"/>
  <c r="L652" i="120"/>
  <c r="J799" i="120"/>
  <c r="L420" i="120"/>
  <c r="J552" i="120"/>
  <c r="L722" i="120"/>
  <c r="L655" i="120"/>
  <c r="J803" i="120"/>
  <c r="L558" i="120"/>
  <c r="L737" i="120"/>
  <c r="J668" i="120"/>
  <c r="L765" i="120"/>
  <c r="L990" i="120"/>
  <c r="L933" i="120"/>
  <c r="J945" i="120"/>
  <c r="J703" i="120"/>
  <c r="J1083" i="120"/>
  <c r="J875" i="120"/>
  <c r="J1202" i="120"/>
  <c r="L935" i="120"/>
  <c r="J1111" i="120"/>
  <c r="L1159" i="120"/>
  <c r="L999" i="120"/>
  <c r="J1064" i="120"/>
  <c r="J1066" i="120"/>
  <c r="L1101" i="120"/>
  <c r="J1071" i="120"/>
  <c r="L1139" i="120"/>
  <c r="J1080" i="120"/>
  <c r="J1082" i="120"/>
  <c r="L484" i="120"/>
  <c r="J801" i="120"/>
  <c r="J518" i="120"/>
  <c r="J404" i="120"/>
  <c r="J378" i="120"/>
  <c r="J516" i="120"/>
  <c r="J317" i="120"/>
  <c r="L1089" i="120"/>
  <c r="L1200" i="120"/>
  <c r="J386" i="120"/>
  <c r="L396" i="120"/>
  <c r="J497" i="120"/>
  <c r="L791" i="120"/>
  <c r="L793" i="120"/>
  <c r="L811" i="120"/>
  <c r="J587" i="120"/>
  <c r="J730" i="120"/>
  <c r="L829" i="120"/>
  <c r="J657" i="120"/>
  <c r="J861" i="120"/>
  <c r="L861" i="120"/>
  <c r="L850" i="120"/>
  <c r="J1017" i="120"/>
  <c r="L904" i="120"/>
  <c r="J923" i="120"/>
  <c r="L896" i="120"/>
  <c r="L919" i="120"/>
  <c r="J934" i="120"/>
  <c r="L977" i="120"/>
  <c r="J981" i="120"/>
  <c r="L864" i="120"/>
  <c r="J1130" i="120"/>
  <c r="J881" i="120"/>
  <c r="J1019" i="120"/>
  <c r="J1225" i="120"/>
  <c r="L1095" i="120"/>
  <c r="L1142" i="120"/>
  <c r="J1093" i="120"/>
  <c r="J1074" i="120"/>
  <c r="J1169" i="120"/>
  <c r="J1061" i="120"/>
  <c r="L1154" i="120"/>
  <c r="L1222" i="120"/>
  <c r="J646" i="120"/>
  <c r="L634" i="120"/>
  <c r="J526" i="120"/>
  <c r="L520" i="120"/>
  <c r="J416" i="120"/>
  <c r="J1070" i="120"/>
  <c r="J380" i="120"/>
  <c r="L319" i="120"/>
  <c r="L629" i="120"/>
  <c r="J486" i="120"/>
  <c r="J332" i="120"/>
  <c r="J510" i="120"/>
  <c r="L363" i="120"/>
  <c r="J1025" i="120"/>
  <c r="J1133" i="120"/>
  <c r="L438" i="120"/>
  <c r="L1188" i="120"/>
  <c r="L1219" i="120"/>
  <c r="L521" i="120"/>
  <c r="J357" i="120"/>
  <c r="L377" i="120"/>
  <c r="L1204" i="120"/>
  <c r="J348" i="120"/>
  <c r="L308" i="120"/>
  <c r="J489" i="120"/>
  <c r="J384" i="120"/>
  <c r="L331" i="120"/>
  <c r="J335" i="120"/>
  <c r="J309" i="120"/>
  <c r="L479" i="120"/>
  <c r="J334" i="120"/>
  <c r="L1185" i="120"/>
  <c r="L429" i="120"/>
  <c r="J321" i="120"/>
  <c r="L415" i="120"/>
  <c r="J502" i="120"/>
  <c r="L1161" i="120"/>
  <c r="L1209" i="120"/>
  <c r="L1211" i="120"/>
  <c r="L1218" i="120"/>
  <c r="L400" i="120"/>
  <c r="L456" i="120"/>
  <c r="J767" i="120"/>
  <c r="J511" i="120"/>
  <c r="L776" i="120"/>
  <c r="J772" i="120"/>
  <c r="L779" i="120"/>
  <c r="J569" i="120"/>
  <c r="L648" i="120"/>
  <c r="J826" i="120"/>
  <c r="L840" i="120"/>
  <c r="L699" i="120"/>
  <c r="L965" i="120"/>
  <c r="J985" i="120"/>
  <c r="L893" i="120"/>
  <c r="J939" i="120"/>
  <c r="L960" i="120"/>
  <c r="L1004" i="120"/>
  <c r="L852" i="120"/>
  <c r="J915" i="120"/>
  <c r="J1164" i="120"/>
  <c r="L980" i="120"/>
  <c r="L963" i="120"/>
  <c r="L1128" i="120"/>
  <c r="J1079" i="120"/>
  <c r="J1094" i="120"/>
  <c r="L1149" i="120"/>
  <c r="J1139" i="120"/>
  <c r="L1115" i="120"/>
  <c r="L1162" i="120"/>
  <c r="J573" i="120"/>
  <c r="L676" i="120"/>
  <c r="L525" i="120"/>
  <c r="J784" i="120"/>
  <c r="J750" i="120"/>
  <c r="L522" i="120"/>
  <c r="J1036" i="120"/>
  <c r="J1101" i="120"/>
  <c r="L390" i="120"/>
  <c r="L444" i="120"/>
  <c r="J623" i="120"/>
  <c r="L751" i="120"/>
  <c r="J738" i="120"/>
  <c r="J682" i="120"/>
  <c r="J576" i="120"/>
  <c r="L754" i="120"/>
  <c r="J745" i="120"/>
  <c r="L350" i="120"/>
  <c r="L773" i="120"/>
  <c r="J852" i="120"/>
  <c r="L551" i="120"/>
  <c r="L906" i="120"/>
  <c r="L943" i="120"/>
  <c r="J968" i="120"/>
  <c r="J706" i="120"/>
  <c r="J886" i="120"/>
  <c r="L892" i="120"/>
  <c r="L1048" i="120"/>
  <c r="J938" i="120"/>
  <c r="L849" i="120"/>
  <c r="J1120" i="120"/>
  <c r="J906" i="120"/>
  <c r="J1167" i="120"/>
  <c r="L1135" i="120"/>
  <c r="L1150" i="120"/>
  <c r="L1148" i="120"/>
  <c r="L1064" i="120"/>
  <c r="J793" i="120"/>
  <c r="J783" i="120"/>
  <c r="J642" i="120"/>
  <c r="J503" i="120"/>
  <c r="J741" i="120"/>
  <c r="L317" i="120"/>
  <c r="L394" i="120"/>
  <c r="L759" i="120"/>
  <c r="L673" i="120"/>
  <c r="J756" i="120"/>
  <c r="L788" i="120"/>
  <c r="J589" i="120"/>
  <c r="J715" i="120"/>
  <c r="L862" i="120"/>
  <c r="L790" i="120"/>
  <c r="L970" i="120"/>
  <c r="L987" i="120"/>
  <c r="L968" i="120"/>
  <c r="J1003" i="120"/>
  <c r="L798" i="120"/>
  <c r="L715" i="120"/>
  <c r="J1179" i="120"/>
  <c r="J1022" i="120"/>
  <c r="J1044" i="120"/>
  <c r="L1166" i="120"/>
  <c r="L1092" i="120"/>
  <c r="J978" i="120"/>
  <c r="L1147" i="120"/>
  <c r="J991" i="120"/>
  <c r="L1138" i="120"/>
  <c r="L1189" i="120"/>
  <c r="J597" i="120"/>
  <c r="L718" i="120"/>
  <c r="L536" i="120"/>
  <c r="J775" i="120"/>
  <c r="J771" i="120"/>
  <c r="J723" i="120"/>
  <c r="J389" i="120"/>
  <c r="L1129" i="120"/>
  <c r="J385" i="120"/>
  <c r="L425" i="120"/>
  <c r="L378" i="120"/>
  <c r="J577" i="120"/>
  <c r="L767" i="120"/>
  <c r="J665" i="120"/>
  <c r="J787" i="120"/>
  <c r="L493" i="120"/>
  <c r="L679" i="120"/>
  <c r="L796" i="120"/>
  <c r="J605" i="120"/>
  <c r="L729" i="120"/>
  <c r="L703" i="120"/>
  <c r="J677" i="120"/>
  <c r="L978" i="120"/>
  <c r="L997" i="120"/>
  <c r="J878" i="120"/>
  <c r="L979" i="120"/>
  <c r="J1011" i="120"/>
  <c r="J694" i="120"/>
  <c r="L899" i="120"/>
  <c r="L909" i="120"/>
  <c r="J1163" i="120"/>
  <c r="L1033" i="120"/>
  <c r="J959" i="120"/>
  <c r="L1158" i="120"/>
  <c r="L1131" i="120"/>
  <c r="L1130" i="120"/>
  <c r="L1228" i="120"/>
  <c r="J581" i="120"/>
  <c r="J687" i="120"/>
  <c r="J447" i="120"/>
  <c r="J759" i="120"/>
  <c r="L544" i="120"/>
  <c r="J418" i="120"/>
  <c r="J755" i="120"/>
  <c r="J398" i="120"/>
  <c r="L1058" i="120"/>
  <c r="L356" i="120"/>
  <c r="J638" i="120"/>
  <c r="L775" i="120"/>
  <c r="L692" i="120"/>
  <c r="L572" i="120"/>
  <c r="J820" i="120"/>
  <c r="L517" i="120"/>
  <c r="J726" i="120"/>
  <c r="L804" i="120"/>
  <c r="J619" i="120"/>
  <c r="L749" i="120"/>
  <c r="J714" i="120"/>
  <c r="L986" i="120"/>
  <c r="L681" i="120"/>
  <c r="L1008" i="120"/>
  <c r="L989" i="120"/>
  <c r="L846" i="120"/>
  <c r="J710" i="120"/>
  <c r="J859" i="120"/>
  <c r="L920" i="120"/>
  <c r="L1085" i="120"/>
  <c r="L927" i="120"/>
  <c r="L875" i="120"/>
  <c r="L937" i="120"/>
  <c r="J1147" i="120"/>
  <c r="L973" i="120"/>
  <c r="L1175" i="120"/>
  <c r="J854" i="120"/>
  <c r="L1134" i="120"/>
  <c r="J1084" i="120"/>
  <c r="J1073" i="120"/>
  <c r="L1123" i="120"/>
  <c r="L1122" i="120"/>
  <c r="J561" i="120"/>
  <c r="J743" i="120"/>
  <c r="L663" i="120"/>
  <c r="J838" i="120"/>
  <c r="L501" i="120"/>
  <c r="J747" i="120"/>
  <c r="J410" i="120"/>
  <c r="L310" i="120"/>
  <c r="J485" i="120"/>
  <c r="J506" i="120"/>
  <c r="J469" i="120"/>
  <c r="J313" i="120"/>
  <c r="L546" i="120"/>
  <c r="L783" i="120"/>
  <c r="J578" i="120"/>
  <c r="L721" i="120"/>
  <c r="L594" i="120"/>
  <c r="J836" i="120"/>
  <c r="J744" i="120"/>
  <c r="L812" i="120"/>
  <c r="J636" i="120"/>
  <c r="L757" i="120"/>
  <c r="L707" i="120"/>
  <c r="L994" i="120"/>
  <c r="L730" i="120"/>
  <c r="L1000" i="120"/>
  <c r="L948" i="120"/>
  <c r="L502" i="120"/>
  <c r="L956" i="120"/>
  <c r="L991" i="120"/>
  <c r="L967" i="120"/>
  <c r="J1131" i="120"/>
  <c r="L1167" i="120"/>
  <c r="L1118" i="120"/>
  <c r="L1073" i="120"/>
  <c r="L1062" i="120"/>
  <c r="L1099" i="120"/>
  <c r="L1114" i="120"/>
  <c r="L1196" i="120"/>
  <c r="J480" i="120"/>
  <c r="J735" i="120"/>
  <c r="L642" i="120"/>
  <c r="J822" i="120"/>
  <c r="L485" i="120"/>
  <c r="J739" i="120"/>
  <c r="J550" i="120"/>
  <c r="L481" i="120"/>
  <c r="J305" i="120"/>
  <c r="J456" i="120"/>
  <c r="L566" i="120"/>
  <c r="L799" i="120"/>
  <c r="J594" i="120"/>
  <c r="L733" i="120"/>
  <c r="L618" i="120"/>
  <c r="J656" i="120"/>
  <c r="J758" i="120"/>
  <c r="L820" i="120"/>
  <c r="J530" i="120"/>
  <c r="L781" i="120"/>
  <c r="L1002" i="120"/>
  <c r="L838" i="120"/>
  <c r="J880" i="120"/>
  <c r="L1011" i="120"/>
  <c r="J870" i="120"/>
  <c r="J897" i="120"/>
  <c r="L1001" i="120"/>
  <c r="L750" i="120"/>
  <c r="L984" i="120"/>
  <c r="L575" i="120"/>
  <c r="L1012" i="120"/>
  <c r="L992" i="120"/>
  <c r="L884" i="120"/>
  <c r="J1115" i="120"/>
  <c r="J946" i="120"/>
  <c r="L1151" i="120"/>
  <c r="L1110" i="120"/>
  <c r="J1219" i="120"/>
  <c r="L1091" i="120"/>
  <c r="L1106" i="120"/>
  <c r="J570" i="120"/>
  <c r="J712" i="120"/>
  <c r="J644" i="120"/>
  <c r="J719" i="120"/>
  <c r="L622" i="120"/>
  <c r="J814" i="120"/>
  <c r="L554" i="120"/>
  <c r="L385" i="120"/>
  <c r="L414" i="120"/>
  <c r="L1192" i="120"/>
  <c r="J374" i="120"/>
  <c r="L807" i="120"/>
  <c r="J612" i="120"/>
  <c r="L743" i="120"/>
  <c r="L639" i="120"/>
  <c r="J692" i="120"/>
  <c r="J774" i="120"/>
  <c r="L828" i="120"/>
  <c r="J564" i="120"/>
  <c r="L789" i="120"/>
  <c r="L1010" i="120"/>
  <c r="L1021" i="120"/>
  <c r="L880" i="120"/>
  <c r="J907" i="120"/>
  <c r="L1023" i="120"/>
  <c r="L1005" i="120"/>
  <c r="J856" i="120"/>
  <c r="J1224" i="120"/>
  <c r="L1013" i="120"/>
  <c r="L913" i="120"/>
  <c r="J1099" i="120"/>
  <c r="J1010" i="120"/>
  <c r="L1143" i="120"/>
  <c r="L1102" i="120"/>
  <c r="J1052" i="120"/>
  <c r="J1203" i="120"/>
  <c r="J1041" i="120"/>
  <c r="L1082" i="120"/>
  <c r="L1098" i="120"/>
  <c r="L1223" i="120"/>
  <c r="L701" i="120"/>
  <c r="J628" i="120"/>
  <c r="L428" i="120"/>
  <c r="L698" i="120"/>
  <c r="L608" i="120"/>
  <c r="J806" i="120"/>
  <c r="J544" i="120"/>
  <c r="L714" i="120"/>
  <c r="J532" i="120"/>
  <c r="J1026" i="120"/>
  <c r="L1220" i="120"/>
  <c r="J515" i="120"/>
  <c r="J1038" i="120"/>
  <c r="J324" i="120"/>
  <c r="J312" i="120"/>
  <c r="J498" i="120"/>
  <c r="L1183" i="120"/>
  <c r="L815" i="120"/>
  <c r="J624" i="120"/>
  <c r="L752" i="120"/>
  <c r="J524" i="120"/>
  <c r="L713" i="120"/>
  <c r="J788" i="120"/>
  <c r="L494" i="120"/>
  <c r="J670" i="120"/>
  <c r="L797" i="120"/>
  <c r="L1018" i="120"/>
  <c r="L854" i="120"/>
  <c r="J918" i="120"/>
  <c r="L870" i="120"/>
  <c r="J1228" i="120"/>
  <c r="L844" i="120"/>
  <c r="J1216" i="120"/>
  <c r="L858" i="120"/>
  <c r="L969" i="120"/>
  <c r="L1127" i="120"/>
  <c r="L1094" i="120"/>
  <c r="L1187" i="120"/>
  <c r="L1041" i="120"/>
  <c r="J1187" i="120"/>
  <c r="L1030" i="120"/>
  <c r="L1090" i="120"/>
  <c r="J994" i="120"/>
  <c r="L657" i="120"/>
  <c r="J680" i="120"/>
  <c r="J604" i="120"/>
  <c r="J567" i="120"/>
  <c r="J790" i="120"/>
  <c r="J649" i="120"/>
  <c r="L658" i="120"/>
  <c r="L760" i="120"/>
  <c r="J804" i="120"/>
  <c r="J686" i="120"/>
  <c r="L805" i="120"/>
  <c r="L690" i="120"/>
  <c r="L859" i="120"/>
  <c r="J926" i="120"/>
  <c r="J1220" i="120"/>
  <c r="L851" i="120"/>
  <c r="J876" i="120"/>
  <c r="J1226" i="120"/>
  <c r="L903" i="120"/>
  <c r="L995" i="120"/>
  <c r="L1060" i="120"/>
  <c r="L1119" i="120"/>
  <c r="L1086" i="120"/>
  <c r="J1171" i="120"/>
  <c r="L1050" i="120"/>
  <c r="J1081" i="120"/>
  <c r="J930" i="120"/>
  <c r="L647" i="120"/>
  <c r="J588" i="120"/>
  <c r="L635" i="120"/>
  <c r="J675" i="120"/>
  <c r="J782" i="120"/>
  <c r="J554" i="120"/>
  <c r="J472" i="120"/>
  <c r="J693" i="120"/>
  <c r="L626" i="120"/>
  <c r="J1155" i="120"/>
  <c r="J575" i="120"/>
  <c r="J825" i="120"/>
  <c r="J580" i="120"/>
  <c r="L725" i="120"/>
  <c r="J766" i="120"/>
  <c r="J617" i="120"/>
  <c r="L557" i="120"/>
  <c r="L717" i="120"/>
  <c r="L662" i="120"/>
  <c r="J609" i="120"/>
  <c r="L318" i="120"/>
  <c r="J543" i="120"/>
  <c r="L631" i="120"/>
  <c r="J593" i="120"/>
  <c r="J653" i="120"/>
  <c r="J585" i="120"/>
  <c r="L726" i="120"/>
  <c r="L537" i="120"/>
  <c r="J376" i="120"/>
  <c r="J381" i="120"/>
  <c r="L370" i="120"/>
  <c r="L530" i="120"/>
  <c r="J401" i="120"/>
  <c r="L823" i="120"/>
  <c r="J640" i="120"/>
  <c r="J529" i="120"/>
  <c r="J673" i="120"/>
  <c r="L552" i="120"/>
  <c r="L527" i="120"/>
  <c r="J1208" i="120"/>
  <c r="J833" i="120"/>
  <c r="J633" i="120"/>
  <c r="L490" i="120"/>
  <c r="L332" i="120"/>
  <c r="L417" i="120"/>
  <c r="L831" i="120"/>
  <c r="J548" i="120"/>
  <c r="L768" i="120"/>
  <c r="J695" i="120"/>
  <c r="L576" i="120"/>
  <c r="L600" i="120"/>
  <c r="J821" i="120"/>
  <c r="J705" i="120"/>
  <c r="L813" i="120"/>
  <c r="J868" i="120"/>
  <c r="L740" i="120"/>
  <c r="L882" i="120"/>
  <c r="J942" i="120"/>
  <c r="J1212" i="120"/>
  <c r="L895" i="120"/>
  <c r="J1218" i="120"/>
  <c r="L931" i="120"/>
  <c r="J1200" i="120"/>
  <c r="J1223" i="120"/>
  <c r="L1016" i="120"/>
  <c r="L1111" i="120"/>
  <c r="L1020" i="120"/>
  <c r="L1173" i="120"/>
  <c r="L1070" i="120"/>
  <c r="L682" i="120"/>
  <c r="J734" i="120"/>
  <c r="L1186" i="120"/>
  <c r="L449" i="120"/>
  <c r="J361" i="120"/>
  <c r="L587" i="120"/>
  <c r="L839" i="120"/>
  <c r="L784" i="120"/>
  <c r="J582" i="120"/>
  <c r="L623" i="120"/>
  <c r="J839" i="120"/>
  <c r="L476" i="120"/>
  <c r="J727" i="120"/>
  <c r="L821" i="120"/>
  <c r="L878" i="120"/>
  <c r="J666" i="120"/>
  <c r="J590" i="120"/>
  <c r="L887" i="120"/>
  <c r="J950" i="120"/>
  <c r="J1204" i="120"/>
  <c r="L924" i="120"/>
  <c r="J1210" i="120"/>
  <c r="L959" i="120"/>
  <c r="J1192" i="120"/>
  <c r="J1215" i="120"/>
  <c r="L1103" i="120"/>
  <c r="J1065" i="120"/>
  <c r="L1165" i="120"/>
  <c r="J1123" i="120"/>
  <c r="J1201" i="120"/>
  <c r="J1029" i="120"/>
  <c r="L916" i="120"/>
  <c r="J809" i="120"/>
  <c r="L568" i="120"/>
  <c r="J742" i="120"/>
  <c r="L588" i="120"/>
  <c r="L348" i="120"/>
  <c r="L351" i="120"/>
  <c r="J491" i="120"/>
  <c r="J679" i="120"/>
  <c r="L800" i="120"/>
  <c r="J596" i="120"/>
  <c r="L735" i="120"/>
  <c r="L640" i="120"/>
  <c r="J664" i="120"/>
  <c r="J762" i="120"/>
  <c r="L837" i="120"/>
  <c r="L845" i="120"/>
  <c r="J731" i="120"/>
  <c r="L897" i="120"/>
  <c r="J958" i="120"/>
  <c r="J1196" i="120"/>
  <c r="L952" i="120"/>
  <c r="J1194" i="120"/>
  <c r="L988" i="120"/>
  <c r="J1184" i="120"/>
  <c r="J1207" i="120"/>
  <c r="L1087" i="120"/>
  <c r="J1222" i="120"/>
  <c r="L1054" i="120"/>
  <c r="J962" i="120"/>
  <c r="L1157" i="120"/>
  <c r="J1107" i="120"/>
  <c r="J1185" i="120"/>
  <c r="J1214" i="120"/>
  <c r="J1049" i="120"/>
  <c r="J539" i="120"/>
  <c r="J777" i="120"/>
  <c r="L656" i="120"/>
  <c r="L559" i="120"/>
  <c r="J707" i="120"/>
  <c r="L473" i="120"/>
  <c r="J338" i="120"/>
  <c r="J443" i="120"/>
  <c r="L379" i="120"/>
  <c r="J1023" i="120"/>
  <c r="L329" i="120"/>
  <c r="L1202" i="120"/>
  <c r="L808" i="120"/>
  <c r="J614" i="120"/>
  <c r="L744" i="120"/>
  <c r="L659" i="120"/>
  <c r="J792" i="120"/>
  <c r="J475" i="120"/>
  <c r="J674" i="120"/>
  <c r="L553" i="120"/>
  <c r="L908" i="120"/>
  <c r="J966" i="120"/>
  <c r="J1180" i="120"/>
  <c r="L1003" i="120"/>
  <c r="J1186" i="120"/>
  <c r="L1009" i="120"/>
  <c r="J855" i="120"/>
  <c r="J1176" i="120"/>
  <c r="J1199" i="120"/>
  <c r="J1077" i="120"/>
  <c r="J1206" i="120"/>
  <c r="J1033" i="120"/>
  <c r="J858" i="120"/>
  <c r="L1141" i="120"/>
  <c r="J1091" i="120"/>
  <c r="J1153" i="120"/>
  <c r="J1198" i="120"/>
  <c r="L1038" i="120"/>
  <c r="J681" i="120"/>
  <c r="J761" i="120"/>
  <c r="L646" i="120"/>
  <c r="J700" i="120"/>
  <c r="J549" i="120"/>
  <c r="L696" i="120"/>
  <c r="L519" i="120"/>
  <c r="J718" i="120"/>
  <c r="L593" i="120"/>
  <c r="J696" i="120"/>
  <c r="L540" i="120"/>
  <c r="J314" i="120"/>
  <c r="L324" i="120"/>
  <c r="L1113" i="120"/>
  <c r="J336" i="120"/>
  <c r="L539" i="120"/>
  <c r="L404" i="120"/>
  <c r="L816" i="120"/>
  <c r="J625" i="120"/>
  <c r="L753" i="120"/>
  <c r="J528" i="120"/>
  <c r="J716" i="120"/>
  <c r="J547" i="120"/>
  <c r="J805" i="120"/>
  <c r="L528" i="120"/>
  <c r="L686" i="120"/>
  <c r="L687" i="120"/>
  <c r="J889" i="120"/>
  <c r="L774" i="120"/>
  <c r="L929" i="120"/>
  <c r="J974" i="120"/>
  <c r="J1172" i="120"/>
  <c r="L1024" i="120"/>
  <c r="J1178" i="120"/>
  <c r="J883" i="120"/>
  <c r="J1168" i="120"/>
  <c r="J1183" i="120"/>
  <c r="L1066" i="120"/>
  <c r="J1190" i="120"/>
  <c r="L1133" i="120"/>
  <c r="J1137" i="120"/>
  <c r="J1182" i="120"/>
  <c r="J753" i="120"/>
  <c r="L624" i="120"/>
  <c r="L689" i="120"/>
  <c r="L503" i="120"/>
  <c r="L685" i="120"/>
  <c r="L555" i="120"/>
  <c r="L761" i="120"/>
  <c r="J558" i="120"/>
  <c r="L578" i="120"/>
  <c r="J823" i="120"/>
  <c r="J446" i="120"/>
  <c r="L533" i="120"/>
  <c r="J899" i="120"/>
  <c r="L782" i="120"/>
  <c r="L940" i="120"/>
  <c r="J982" i="120"/>
  <c r="L869" i="120"/>
  <c r="J1156" i="120"/>
  <c r="J872" i="120"/>
  <c r="J1162" i="120"/>
  <c r="J905" i="120"/>
  <c r="J1160" i="120"/>
  <c r="J1175" i="120"/>
  <c r="L1077" i="120"/>
  <c r="J1174" i="120"/>
  <c r="L1125" i="120"/>
  <c r="J1121" i="120"/>
  <c r="J1166" i="120"/>
  <c r="L464" i="120"/>
  <c r="J737" i="120"/>
  <c r="J678" i="120"/>
  <c r="J669" i="120"/>
  <c r="L487" i="120"/>
  <c r="J671" i="120"/>
  <c r="J845" i="120"/>
  <c r="J545" i="120"/>
  <c r="J1045" i="120"/>
  <c r="L1117" i="120"/>
  <c r="J1105" i="120"/>
  <c r="J1150" i="120"/>
  <c r="J729" i="120"/>
  <c r="L599" i="120"/>
  <c r="J840" i="120"/>
  <c r="J467" i="120"/>
  <c r="J837" i="120"/>
  <c r="J466" i="120"/>
  <c r="J781" i="120"/>
  <c r="J387" i="120"/>
  <c r="J732" i="120"/>
  <c r="L824" i="120"/>
  <c r="J641" i="120"/>
  <c r="J533" i="120"/>
  <c r="L678" i="120"/>
  <c r="J709" i="120"/>
  <c r="L610" i="120"/>
  <c r="J442" i="120"/>
  <c r="L1178" i="120"/>
  <c r="L1121" i="120"/>
  <c r="L341" i="120"/>
  <c r="L477" i="120"/>
  <c r="J749" i="120"/>
  <c r="L445" i="120"/>
  <c r="L832" i="120"/>
  <c r="L574" i="120"/>
  <c r="L769" i="120"/>
  <c r="J565" i="120"/>
  <c r="J711" i="120"/>
  <c r="L601" i="120"/>
  <c r="J841" i="120"/>
  <c r="J746" i="120"/>
  <c r="L607" i="120"/>
  <c r="J920" i="120"/>
  <c r="J690" i="120"/>
  <c r="J873" i="120"/>
  <c r="L951" i="120"/>
  <c r="J990" i="120"/>
  <c r="J894" i="120"/>
  <c r="J1148" i="120"/>
  <c r="J898" i="120"/>
  <c r="J1154" i="120"/>
  <c r="J924" i="120"/>
  <c r="J1152" i="120"/>
  <c r="J1159" i="120"/>
  <c r="J1209" i="120"/>
  <c r="J1158" i="120"/>
  <c r="L376" i="120"/>
  <c r="J395" i="120"/>
  <c r="J373" i="120"/>
  <c r="L596" i="120"/>
  <c r="L504" i="120"/>
  <c r="J479" i="120"/>
  <c r="J583" i="120"/>
  <c r="L1224" i="120"/>
  <c r="J468" i="120"/>
  <c r="J325" i="120"/>
  <c r="J1086" i="120"/>
  <c r="L535" i="120"/>
  <c r="J798" i="120"/>
  <c r="L510" i="120"/>
  <c r="L694" i="120"/>
  <c r="L785" i="120"/>
  <c r="J600" i="120"/>
  <c r="L736" i="120"/>
  <c r="L641" i="120"/>
  <c r="J778" i="120"/>
  <c r="J607" i="120"/>
  <c r="L886" i="120"/>
  <c r="J514" i="120"/>
  <c r="L1179" i="120"/>
  <c r="J329" i="120"/>
  <c r="L389" i="120"/>
  <c r="L516" i="120"/>
  <c r="J830" i="120"/>
  <c r="L542" i="120"/>
  <c r="J720" i="120"/>
  <c r="L801" i="120"/>
  <c r="J615" i="120"/>
  <c r="L745" i="120"/>
  <c r="J536" i="120"/>
  <c r="J794" i="120"/>
  <c r="L894" i="120"/>
  <c r="L498" i="120"/>
  <c r="J352" i="120"/>
  <c r="L1059" i="120"/>
  <c r="L309" i="120"/>
  <c r="J684" i="120"/>
  <c r="J751" i="120"/>
  <c r="L825" i="120"/>
  <c r="J643" i="120"/>
  <c r="L770" i="120"/>
  <c r="L602" i="120"/>
  <c r="J842" i="120"/>
  <c r="L630" i="120"/>
  <c r="L910" i="120"/>
  <c r="L366" i="120"/>
  <c r="L423" i="120"/>
  <c r="J388" i="120"/>
  <c r="L637" i="120"/>
  <c r="J563" i="120"/>
  <c r="J769" i="120"/>
  <c r="L833" i="120"/>
  <c r="L778" i="120"/>
  <c r="L543" i="120"/>
  <c r="L680" i="120"/>
  <c r="J415" i="120"/>
  <c r="L421" i="120"/>
  <c r="L327" i="120"/>
  <c r="L462" i="120"/>
  <c r="L304" i="120"/>
  <c r="L584" i="120"/>
  <c r="J785" i="120"/>
  <c r="J658" i="120"/>
  <c r="L786" i="120"/>
  <c r="J699" i="120"/>
  <c r="L666" i="120"/>
  <c r="L926" i="120"/>
  <c r="L669" i="120"/>
  <c r="L315" i="120"/>
  <c r="L440" i="120"/>
  <c r="L1184" i="120"/>
  <c r="L1177" i="120"/>
  <c r="J412" i="120"/>
  <c r="L467" i="120"/>
  <c r="L614" i="120"/>
  <c r="J817" i="120"/>
  <c r="L486" i="120"/>
  <c r="J663" i="120"/>
  <c r="L794" i="120"/>
  <c r="J584" i="120"/>
  <c r="L712" i="120"/>
  <c r="J540" i="120"/>
  <c r="J748" i="120"/>
  <c r="L942" i="120"/>
  <c r="L482" i="120"/>
  <c r="J394" i="120"/>
  <c r="J437" i="120"/>
  <c r="J316" i="120"/>
  <c r="J433" i="120"/>
  <c r="L632" i="120"/>
  <c r="L590" i="120"/>
  <c r="J834" i="120"/>
  <c r="L511" i="120"/>
  <c r="L802" i="120"/>
  <c r="J601" i="120"/>
  <c r="L746" i="120"/>
  <c r="J382" i="120"/>
  <c r="J420" i="120"/>
  <c r="J377" i="120"/>
  <c r="J347" i="120"/>
  <c r="J501" i="120"/>
  <c r="L435" i="120"/>
  <c r="L650" i="120"/>
  <c r="L615" i="120"/>
  <c r="J848" i="120"/>
  <c r="L344" i="120"/>
  <c r="J754" i="120"/>
  <c r="L474" i="120"/>
  <c r="L810" i="120"/>
  <c r="J616" i="120"/>
  <c r="L755" i="120"/>
  <c r="L958" i="120"/>
  <c r="L398" i="120"/>
  <c r="L471" i="120"/>
  <c r="L374" i="120"/>
  <c r="L357" i="120"/>
  <c r="L670" i="120"/>
  <c r="L636" i="120"/>
  <c r="J770" i="120"/>
  <c r="L818" i="120"/>
  <c r="J630" i="120"/>
  <c r="L763" i="120"/>
  <c r="J602" i="120"/>
  <c r="L728" i="120"/>
  <c r="L758" i="120"/>
  <c r="L966" i="120"/>
  <c r="L399" i="120"/>
  <c r="L338" i="120"/>
  <c r="J363" i="120"/>
  <c r="L1206" i="120"/>
  <c r="L548" i="120"/>
  <c r="J802" i="120"/>
  <c r="L488" i="120"/>
  <c r="L834" i="120"/>
  <c r="L787" i="120"/>
  <c r="J632" i="120"/>
  <c r="L747" i="120"/>
  <c r="L691" i="120"/>
  <c r="L982" i="120"/>
  <c r="L569" i="120"/>
  <c r="L340" i="120"/>
  <c r="J397" i="120"/>
  <c r="J403" i="120"/>
  <c r="J339" i="120"/>
  <c r="L466" i="120"/>
  <c r="J344" i="120"/>
  <c r="J691" i="120"/>
  <c r="L565" i="120"/>
  <c r="J818" i="120"/>
  <c r="L512" i="120"/>
  <c r="L677" i="120"/>
  <c r="J662" i="120"/>
  <c r="L795" i="120"/>
  <c r="J650" i="120"/>
  <c r="L756" i="120"/>
  <c r="L998" i="120"/>
  <c r="L930" i="120"/>
  <c r="J900" i="120"/>
  <c r="J424" i="120"/>
  <c r="J328" i="120"/>
  <c r="J393" i="120"/>
  <c r="L433" i="120"/>
  <c r="L731" i="120"/>
  <c r="L638" i="120"/>
  <c r="J652" i="120"/>
  <c r="J474" i="120"/>
  <c r="J724" i="120"/>
  <c r="L827" i="120"/>
  <c r="L772" i="120"/>
  <c r="L684" i="120"/>
  <c r="L1014" i="120"/>
  <c r="L766" i="120"/>
  <c r="L946" i="120"/>
  <c r="J916" i="120"/>
  <c r="J864" i="120"/>
  <c r="L955" i="120"/>
  <c r="J1009" i="120"/>
  <c r="L947" i="120"/>
  <c r="J987" i="120"/>
  <c r="J698" i="120"/>
  <c r="L328" i="120"/>
  <c r="J688" i="120"/>
  <c r="J629" i="120"/>
  <c r="J319" i="120"/>
  <c r="L1055" i="120"/>
  <c r="L1067" i="120"/>
  <c r="J885" i="120"/>
  <c r="J972" i="120"/>
  <c r="J1122" i="120"/>
  <c r="J980" i="120"/>
  <c r="L983" i="120"/>
  <c r="L843" i="120"/>
  <c r="J812" i="120"/>
  <c r="L950" i="120"/>
  <c r="J560" i="120"/>
  <c r="L654" i="120"/>
  <c r="J964" i="120"/>
  <c r="L972" i="120"/>
  <c r="L564" i="120"/>
  <c r="L918" i="120"/>
  <c r="J618" i="120"/>
  <c r="L616" i="120"/>
  <c r="J1146" i="120"/>
  <c r="J932" i="120"/>
  <c r="L961" i="120"/>
  <c r="L856" i="120"/>
  <c r="J908" i="120"/>
  <c r="L902" i="120"/>
  <c r="J995" i="120"/>
  <c r="J1001" i="120"/>
  <c r="L876" i="120"/>
  <c r="J892" i="120"/>
  <c r="J542" i="120"/>
  <c r="J877" i="120"/>
  <c r="J448" i="120"/>
  <c r="L392" i="120"/>
  <c r="J654" i="120"/>
  <c r="L711" i="120"/>
  <c r="J971" i="120"/>
  <c r="J969" i="120"/>
  <c r="L873" i="120"/>
  <c r="L668" i="120"/>
  <c r="L625" i="120"/>
  <c r="L1190" i="120"/>
  <c r="L695" i="120"/>
  <c r="J963" i="120"/>
  <c r="J961" i="120"/>
  <c r="J1016" i="120"/>
  <c r="L822" i="120"/>
  <c r="L835" i="120"/>
  <c r="L806" i="120"/>
  <c r="J955" i="120"/>
  <c r="J953" i="120"/>
  <c r="J1008" i="120"/>
  <c r="J704" i="120"/>
  <c r="L819" i="120"/>
  <c r="J708" i="120"/>
  <c r="J828" i="120"/>
  <c r="J947" i="120"/>
  <c r="J937" i="120"/>
  <c r="J1000" i="120"/>
  <c r="J857" i="120"/>
  <c r="J620" i="120"/>
  <c r="L771" i="120"/>
  <c r="J733" i="120"/>
  <c r="J931" i="120"/>
  <c r="J929" i="120"/>
  <c r="J992" i="120"/>
  <c r="L452" i="120"/>
  <c r="J366" i="120"/>
  <c r="J546" i="120"/>
  <c r="J914" i="120"/>
  <c r="J911" i="120"/>
  <c r="J984" i="120"/>
  <c r="L1072" i="120"/>
  <c r="L981" i="120"/>
  <c r="J903" i="120"/>
  <c r="J901" i="120"/>
  <c r="J976" i="120"/>
  <c r="L672" i="120"/>
  <c r="C42" i="120"/>
  <c r="D42" i="120" s="1"/>
  <c r="D298" i="109" s="1"/>
  <c r="AO298" i="46" s="1"/>
  <c r="F298" i="46" s="1"/>
  <c r="E299" i="109"/>
  <c r="J111" i="120"/>
  <c r="L137" i="120" s="1"/>
  <c r="J1015" i="120"/>
  <c r="J1100" i="120"/>
  <c r="L949" i="120"/>
  <c r="L881" i="120"/>
  <c r="L877" i="120"/>
  <c r="J952" i="120"/>
  <c r="L741" i="120"/>
  <c r="L939" i="120"/>
  <c r="J867" i="120"/>
  <c r="J944" i="120"/>
  <c r="L830" i="120"/>
  <c r="J672" i="120"/>
  <c r="L704" i="120"/>
  <c r="L409" i="120"/>
  <c r="J967" i="120"/>
  <c r="J1116" i="120"/>
  <c r="J874" i="120"/>
  <c r="L928" i="120"/>
  <c r="L853" i="120"/>
  <c r="J849" i="120"/>
  <c r="J936" i="120"/>
  <c r="J764" i="120"/>
  <c r="J810" i="120"/>
  <c r="J773" i="120"/>
  <c r="J603" i="120"/>
  <c r="L598" i="120"/>
  <c r="J392" i="120"/>
  <c r="J1118" i="120"/>
  <c r="J1024" i="120"/>
  <c r="J1189" i="120"/>
  <c r="J1144" i="120"/>
  <c r="J935" i="120"/>
  <c r="J1132" i="120"/>
  <c r="J1014" i="120"/>
  <c r="L907" i="120"/>
  <c r="L938" i="120"/>
  <c r="L547" i="120"/>
  <c r="L826" i="120"/>
  <c r="L345" i="120"/>
  <c r="J611" i="120"/>
  <c r="L609" i="120"/>
  <c r="J1134" i="120"/>
  <c r="J1047" i="120"/>
  <c r="J1072" i="120"/>
  <c r="J1205" i="120"/>
  <c r="J919" i="120"/>
  <c r="J1140" i="120"/>
  <c r="J1006" i="120"/>
  <c r="L885" i="120"/>
  <c r="L976" i="120"/>
  <c r="L848" i="120"/>
  <c r="L922" i="120"/>
  <c r="L649" i="120"/>
  <c r="L762" i="120"/>
  <c r="J356" i="120"/>
  <c r="J913" i="120"/>
  <c r="L1068" i="120"/>
  <c r="J1221" i="120"/>
  <c r="J796" i="120"/>
  <c r="L957" i="120"/>
  <c r="L944" i="120"/>
  <c r="L1017" i="120"/>
  <c r="L914" i="120"/>
  <c r="J740" i="120"/>
  <c r="J813" i="120"/>
  <c r="L583" i="120"/>
  <c r="L936" i="120"/>
  <c r="L912" i="120"/>
  <c r="L1007" i="120"/>
  <c r="L898" i="120"/>
  <c r="J912" i="120"/>
  <c r="J562" i="120"/>
  <c r="J697" i="120"/>
  <c r="J635" i="120"/>
  <c r="J891" i="120"/>
  <c r="L925" i="120"/>
  <c r="L996" i="120"/>
  <c r="L890" i="120"/>
  <c r="J904" i="120"/>
  <c r="L628" i="120"/>
  <c r="L384" i="120"/>
  <c r="J797" i="120"/>
  <c r="J651" i="120"/>
  <c r="J789" i="120"/>
  <c r="L633" i="120"/>
  <c r="L644" i="120"/>
  <c r="L1208" i="120"/>
  <c r="J1089" i="120"/>
  <c r="L814" i="120"/>
  <c r="J541" i="120"/>
  <c r="J829" i="120"/>
  <c r="L664" i="120"/>
  <c r="J303" i="120"/>
  <c r="L1036" i="120"/>
  <c r="L901" i="120"/>
  <c r="L563" i="120"/>
  <c r="J568" i="120"/>
  <c r="L674" i="120"/>
  <c r="L453" i="120"/>
  <c r="L688" i="120"/>
  <c r="J383" i="120"/>
  <c r="L1216" i="120"/>
  <c r="L1032" i="120"/>
  <c r="J862" i="120"/>
  <c r="L915" i="120"/>
  <c r="L891" i="120"/>
  <c r="L985" i="120"/>
  <c r="L871" i="120"/>
  <c r="J896" i="120"/>
  <c r="L582" i="120"/>
  <c r="J627" i="120"/>
  <c r="L1217" i="120"/>
  <c r="J683" i="120"/>
  <c r="L556" i="120"/>
  <c r="L509" i="120"/>
  <c r="L643" i="120"/>
  <c r="L1227" i="120"/>
  <c r="J1113" i="120"/>
  <c r="J1013" i="120"/>
  <c r="L883" i="120"/>
  <c r="L879" i="120"/>
  <c r="L975" i="120"/>
  <c r="J850" i="120"/>
  <c r="J888" i="120"/>
  <c r="L307" i="120"/>
  <c r="L381" i="120"/>
  <c r="L1039" i="120"/>
  <c r="J1129" i="120"/>
  <c r="J1007" i="120"/>
  <c r="J1027" i="120"/>
  <c r="J997" i="120"/>
  <c r="J869" i="120"/>
  <c r="J865" i="120"/>
  <c r="L964" i="120"/>
  <c r="J879" i="120"/>
  <c r="L780" i="120"/>
  <c r="L472" i="120"/>
  <c r="J346" i="120"/>
  <c r="J1075" i="120"/>
  <c r="J599" i="120"/>
  <c r="L592" i="120"/>
  <c r="L723" i="120"/>
  <c r="J1050" i="120"/>
  <c r="J308" i="120"/>
  <c r="J1126" i="120"/>
  <c r="J1145" i="120"/>
  <c r="J943" i="120"/>
  <c r="L872" i="120"/>
  <c r="J949" i="120"/>
  <c r="J853" i="120"/>
  <c r="L847" i="120"/>
  <c r="L953" i="120"/>
  <c r="L764" i="120"/>
  <c r="L457" i="120"/>
  <c r="J460" i="120"/>
  <c r="J631" i="120"/>
  <c r="L606" i="120"/>
  <c r="J791" i="120"/>
  <c r="J430" i="120"/>
  <c r="J1030" i="120"/>
  <c r="L1205" i="120"/>
  <c r="J1142" i="120"/>
  <c r="J1161" i="120"/>
  <c r="J1059" i="120"/>
  <c r="J933" i="120"/>
  <c r="L932" i="120"/>
  <c r="L857" i="120"/>
  <c r="L738" i="120"/>
  <c r="L817" i="120"/>
  <c r="L349" i="120"/>
  <c r="L667" i="120"/>
  <c r="J311" i="120"/>
  <c r="J639" i="120"/>
  <c r="L617" i="120"/>
  <c r="J807" i="120"/>
  <c r="J555" i="120"/>
  <c r="L1071" i="120"/>
  <c r="L1226" i="120"/>
  <c r="J1177" i="120"/>
  <c r="L945" i="120"/>
  <c r="J1005" i="120"/>
  <c r="J917" i="120"/>
  <c r="L921" i="120"/>
  <c r="L841" i="120"/>
  <c r="L700" i="120"/>
  <c r="L777" i="120"/>
  <c r="J341" i="120"/>
  <c r="L709" i="120"/>
  <c r="L1194" i="120"/>
  <c r="J538" i="120"/>
  <c r="L671" i="120"/>
  <c r="J428" i="120"/>
  <c r="J831" i="120"/>
  <c r="L585" i="120"/>
  <c r="J423" i="120"/>
  <c r="L865" i="120"/>
  <c r="J302" i="120"/>
  <c r="L1035" i="120"/>
  <c r="J909" i="120"/>
  <c r="J973" i="120"/>
  <c r="J1090" i="120"/>
  <c r="J871" i="120"/>
  <c r="L860" i="120"/>
  <c r="J860" i="120"/>
  <c r="L889" i="120"/>
  <c r="L1022" i="120"/>
  <c r="J835" i="120"/>
  <c r="L405" i="120"/>
  <c r="L562" i="120"/>
  <c r="J847" i="120"/>
  <c r="J613" i="120"/>
  <c r="J455" i="120"/>
  <c r="L1083" i="120"/>
  <c r="L866" i="120"/>
  <c r="J1034" i="120"/>
  <c r="J1046" i="120"/>
  <c r="L1046" i="120"/>
  <c r="J887" i="120"/>
  <c r="J957" i="120"/>
  <c r="J1004" i="120"/>
  <c r="J1106" i="120"/>
  <c r="J1012" i="120"/>
  <c r="L1015" i="120"/>
  <c r="L1006" i="120"/>
  <c r="L697" i="120"/>
  <c r="J786" i="120"/>
  <c r="L322" i="120"/>
  <c r="E200" i="109"/>
  <c r="AQ200" i="46" s="1"/>
  <c r="E194" i="109"/>
  <c r="AQ194" i="46" s="1"/>
  <c r="E31" i="109"/>
  <c r="AQ31" i="46" s="1"/>
  <c r="F365" i="109"/>
  <c r="AP365" i="46" s="1"/>
  <c r="E30" i="109"/>
  <c r="F366" i="109"/>
  <c r="AP366" i="46" s="1"/>
  <c r="E193" i="109"/>
  <c r="AQ193" i="46" s="1"/>
  <c r="C14" i="120"/>
  <c r="E9" i="120"/>
  <c r="P44" i="45"/>
  <c r="S44" i="45" s="1"/>
  <c r="P46" i="45"/>
  <c r="S46" i="45" s="1"/>
  <c r="V59" i="45"/>
  <c r="V51" i="45"/>
  <c r="V43" i="45"/>
  <c r="V35" i="45"/>
  <c r="V27" i="45"/>
  <c r="V26" i="45"/>
  <c r="V31" i="45"/>
  <c r="V57" i="45"/>
  <c r="V25" i="45"/>
  <c r="V46" i="45"/>
  <c r="V56" i="45"/>
  <c r="V48" i="45"/>
  <c r="V40" i="45"/>
  <c r="V32" i="45"/>
  <c r="V24" i="45"/>
  <c r="V29" i="45"/>
  <c r="V55" i="45"/>
  <c r="V53" i="45"/>
  <c r="V45" i="45"/>
  <c r="V37" i="45"/>
  <c r="V36" i="45"/>
  <c r="V49" i="45"/>
  <c r="V38" i="45"/>
  <c r="V58" i="45"/>
  <c r="V50" i="45"/>
  <c r="V42" i="45"/>
  <c r="V34" i="45"/>
  <c r="V21" i="45"/>
  <c r="V39" i="45"/>
  <c r="V23" i="45"/>
  <c r="V52" i="45"/>
  <c r="V28" i="45"/>
  <c r="V41" i="45"/>
  <c r="V54" i="45"/>
  <c r="V22" i="45"/>
  <c r="V47" i="45"/>
  <c r="V44" i="45"/>
  <c r="V33" i="45"/>
  <c r="V30" i="45"/>
  <c r="F700" i="46"/>
  <c r="BG700" i="46" s="1"/>
  <c r="B511" i="109"/>
  <c r="B511" i="46" s="1"/>
  <c r="M26" i="135"/>
  <c r="C26" i="135"/>
  <c r="H397" i="109"/>
  <c r="J397" i="109" s="1"/>
  <c r="G63" i="126"/>
  <c r="D676" i="46" s="1"/>
  <c r="BF676" i="46" s="1"/>
  <c r="J50" i="126"/>
  <c r="J49" i="126"/>
  <c r="G50" i="126"/>
  <c r="D663" i="46" s="1"/>
  <c r="BF663" i="46" s="1"/>
  <c r="G18" i="126"/>
  <c r="D631" i="46" s="1"/>
  <c r="BF631" i="46" s="1"/>
  <c r="E103" i="126"/>
  <c r="B716" i="46" s="1"/>
  <c r="G36" i="126"/>
  <c r="D649" i="46" s="1"/>
  <c r="BF649" i="46" s="1"/>
  <c r="G119" i="126"/>
  <c r="D732" i="46" s="1"/>
  <c r="BF732" i="46" s="1"/>
  <c r="G121" i="126"/>
  <c r="D734" i="46" s="1"/>
  <c r="BF734" i="46" s="1"/>
  <c r="J103" i="126"/>
  <c r="G66" i="126"/>
  <c r="D679" i="46" s="1"/>
  <c r="BF679" i="46" s="1"/>
  <c r="J67" i="126"/>
  <c r="J54" i="126"/>
  <c r="J94" i="126"/>
  <c r="G94" i="126"/>
  <c r="D707" i="46" s="1"/>
  <c r="BF707" i="46" s="1"/>
  <c r="J27" i="126"/>
  <c r="G55" i="126"/>
  <c r="D668" i="46" s="1"/>
  <c r="BF668" i="46" s="1"/>
  <c r="J96" i="126"/>
  <c r="G24" i="126"/>
  <c r="D637" i="46" s="1"/>
  <c r="BF637" i="46" s="1"/>
  <c r="G67" i="126"/>
  <c r="D680" i="46" s="1"/>
  <c r="BF680" i="46" s="1"/>
  <c r="G47" i="126"/>
  <c r="D660" i="46" s="1"/>
  <c r="BF660" i="46" s="1"/>
  <c r="J20" i="126"/>
  <c r="J104" i="126"/>
  <c r="J102" i="126"/>
  <c r="J109" i="126"/>
  <c r="J25" i="126"/>
  <c r="J36" i="126"/>
  <c r="J16" i="126"/>
  <c r="G62" i="126"/>
  <c r="D675" i="46" s="1"/>
  <c r="BF675" i="46" s="1"/>
  <c r="J105" i="126"/>
  <c r="G59" i="126"/>
  <c r="D672" i="46" s="1"/>
  <c r="BF672" i="46" s="1"/>
  <c r="G53" i="126"/>
  <c r="D666" i="46" s="1"/>
  <c r="BF666" i="46" s="1"/>
  <c r="G99" i="126"/>
  <c r="D712" i="46" s="1"/>
  <c r="BF712" i="46" s="1"/>
  <c r="J29" i="126"/>
  <c r="M71" i="56"/>
  <c r="M74" i="56"/>
  <c r="N71" i="56"/>
  <c r="N74" i="56"/>
  <c r="N69" i="56"/>
  <c r="M72" i="56"/>
  <c r="M75" i="56"/>
  <c r="N116" i="56"/>
  <c r="N72" i="56"/>
  <c r="N75" i="56"/>
  <c r="M116" i="56"/>
  <c r="M69" i="56"/>
  <c r="M73" i="56"/>
  <c r="M70" i="56"/>
  <c r="N73" i="56"/>
  <c r="N70" i="56"/>
  <c r="N117" i="56"/>
  <c r="M117" i="56"/>
  <c r="N118" i="56"/>
  <c r="M118" i="56"/>
  <c r="B470" i="109"/>
  <c r="B470" i="46" s="1"/>
  <c r="E46" i="120"/>
  <c r="C199" i="120" s="1"/>
  <c r="M21" i="135"/>
  <c r="N33" i="135"/>
  <c r="I56" i="56"/>
  <c r="E439" i="109"/>
  <c r="AQ439" i="46" s="1"/>
  <c r="E442" i="109"/>
  <c r="AQ442" i="46" s="1"/>
  <c r="E441" i="109"/>
  <c r="AQ441" i="46" s="1"/>
  <c r="E440" i="109"/>
  <c r="AQ440" i="46" s="1"/>
  <c r="E437" i="109"/>
  <c r="AQ437" i="46" s="1"/>
  <c r="E438" i="109"/>
  <c r="AQ438" i="46" s="1"/>
  <c r="C50" i="120"/>
  <c r="F269" i="109" s="1"/>
  <c r="F270" i="109" s="1"/>
  <c r="C21" i="120"/>
  <c r="F21" i="150" s="1"/>
  <c r="E22" i="150" s="1"/>
  <c r="C564" i="148"/>
  <c r="F687" i="46"/>
  <c r="BG687" i="46" s="1"/>
  <c r="A74" i="126"/>
  <c r="F688" i="46"/>
  <c r="BG688" i="46" s="1"/>
  <c r="A75" i="126"/>
  <c r="F686" i="46"/>
  <c r="BG686" i="46" s="1"/>
  <c r="A73" i="126"/>
  <c r="F685" i="46"/>
  <c r="BG685" i="46" s="1"/>
  <c r="A72" i="126"/>
  <c r="F701" i="46"/>
  <c r="BG701" i="46" s="1"/>
  <c r="A88" i="126"/>
  <c r="F684" i="46"/>
  <c r="BG684" i="46" s="1"/>
  <c r="A71" i="126"/>
  <c r="L18" i="148"/>
  <c r="M457" i="109"/>
  <c r="AT457" i="46" s="1"/>
  <c r="D29" i="109"/>
  <c r="AO29" i="46" s="1"/>
  <c r="F29" i="46" s="1"/>
  <c r="E61" i="56"/>
  <c r="M362" i="109"/>
  <c r="AT362" i="46" s="1"/>
  <c r="M365" i="109"/>
  <c r="AT365" i="46" s="1"/>
  <c r="C53" i="56"/>
  <c r="M53" i="56"/>
  <c r="A511" i="109"/>
  <c r="V213" i="109"/>
  <c r="AS213" i="46" s="1"/>
  <c r="V212" i="109"/>
  <c r="AS212" i="46" s="1"/>
  <c r="V211" i="109"/>
  <c r="AS211" i="46" s="1"/>
  <c r="V215" i="109"/>
  <c r="AS215" i="46" s="1"/>
  <c r="V218" i="109"/>
  <c r="AS218" i="46" s="1"/>
  <c r="V216" i="109"/>
  <c r="AS216" i="46" s="1"/>
  <c r="V214" i="109"/>
  <c r="AS214" i="46" s="1"/>
  <c r="V217" i="109"/>
  <c r="AS217" i="46" s="1"/>
  <c r="V209" i="109"/>
  <c r="AS209" i="46" s="1"/>
  <c r="V208" i="109"/>
  <c r="AS208" i="46" s="1"/>
  <c r="V207" i="109"/>
  <c r="AS207" i="46" s="1"/>
  <c r="V210" i="109"/>
  <c r="AS210" i="46" s="1"/>
  <c r="A502" i="109"/>
  <c r="G114" i="126"/>
  <c r="O90" i="60"/>
  <c r="H400" i="109"/>
  <c r="J400" i="109" s="1"/>
  <c r="E63" i="56"/>
  <c r="V206" i="109"/>
  <c r="AS206" i="46" s="1"/>
  <c r="V205" i="109"/>
  <c r="AS205" i="46" s="1"/>
  <c r="V203" i="109"/>
  <c r="AS203" i="46" s="1"/>
  <c r="V204" i="109"/>
  <c r="AS204" i="46" s="1"/>
  <c r="C511" i="109"/>
  <c r="K460" i="109"/>
  <c r="N28" i="135"/>
  <c r="S518" i="109"/>
  <c r="K518" i="109"/>
  <c r="N49" i="56"/>
  <c r="M49" i="56"/>
  <c r="N44" i="56"/>
  <c r="M44" i="56"/>
  <c r="C49" i="120"/>
  <c r="E220" i="120" s="1"/>
  <c r="H220" i="120" s="1"/>
  <c r="D521" i="109"/>
  <c r="AO521" i="46" s="1"/>
  <c r="G120" i="126"/>
  <c r="D733" i="46" s="1"/>
  <c r="BF733" i="46" s="1"/>
  <c r="J39" i="126"/>
  <c r="G35" i="126"/>
  <c r="D648" i="46" s="1"/>
  <c r="BF648" i="46" s="1"/>
  <c r="J117" i="126"/>
  <c r="G25" i="126"/>
  <c r="D638" i="46" s="1"/>
  <c r="BF638" i="46" s="1"/>
  <c r="G49" i="126"/>
  <c r="D662" i="46" s="1"/>
  <c r="BF662" i="46" s="1"/>
  <c r="J45" i="126"/>
  <c r="G23" i="126"/>
  <c r="D636" i="46" s="1"/>
  <c r="BF636" i="46" s="1"/>
  <c r="E122" i="126"/>
  <c r="B735" i="46" s="1"/>
  <c r="J30" i="126"/>
  <c r="J46" i="126"/>
  <c r="E104" i="126"/>
  <c r="B717" i="46" s="1"/>
  <c r="G29" i="126"/>
  <c r="D642" i="46" s="1"/>
  <c r="BF642" i="46" s="1"/>
  <c r="J15" i="126"/>
  <c r="G39" i="126"/>
  <c r="D652" i="46" s="1"/>
  <c r="BF652" i="46" s="1"/>
  <c r="G19" i="126"/>
  <c r="D632" i="46" s="1"/>
  <c r="BF632" i="46" s="1"/>
  <c r="J24" i="126"/>
  <c r="J63" i="126"/>
  <c r="J116" i="126"/>
  <c r="J22" i="126"/>
  <c r="G28" i="126"/>
  <c r="D641" i="46" s="1"/>
  <c r="BF641" i="46" s="1"/>
  <c r="G65" i="126"/>
  <c r="D678" i="46" s="1"/>
  <c r="BF678" i="46" s="1"/>
  <c r="G27" i="126"/>
  <c r="D640" i="46" s="1"/>
  <c r="BF640" i="46" s="1"/>
  <c r="G16" i="126"/>
  <c r="D629" i="46" s="1"/>
  <c r="BF629" i="46" s="1"/>
  <c r="G109" i="126"/>
  <c r="D722" i="46" s="1"/>
  <c r="BF722" i="46" s="1"/>
  <c r="G104" i="126"/>
  <c r="D717" i="46" s="1"/>
  <c r="BF717" i="46" s="1"/>
  <c r="G30" i="126"/>
  <c r="D643" i="46" s="1"/>
  <c r="BF643" i="46" s="1"/>
  <c r="J56" i="126"/>
  <c r="J19" i="126"/>
  <c r="G107" i="126"/>
  <c r="D720" i="46" s="1"/>
  <c r="BF720" i="46" s="1"/>
  <c r="G44" i="126"/>
  <c r="D657" i="46" s="1"/>
  <c r="BF657" i="46" s="1"/>
  <c r="G20" i="126"/>
  <c r="D633" i="46" s="1"/>
  <c r="BF633" i="46" s="1"/>
  <c r="G116" i="126"/>
  <c r="D729" i="46" s="1"/>
  <c r="BF729" i="46" s="1"/>
  <c r="J41" i="126"/>
  <c r="J118" i="126"/>
  <c r="J65" i="126"/>
  <c r="J55" i="126"/>
  <c r="G93" i="126"/>
  <c r="G123" i="126"/>
  <c r="D736" i="46" s="1"/>
  <c r="BF736" i="46" s="1"/>
  <c r="G106" i="126"/>
  <c r="D719" i="46" s="1"/>
  <c r="BF719" i="46" s="1"/>
  <c r="S24" i="126"/>
  <c r="J59" i="126"/>
  <c r="G105" i="126"/>
  <c r="D718" i="46" s="1"/>
  <c r="BF718" i="46" s="1"/>
  <c r="G26" i="126"/>
  <c r="D639" i="46" s="1"/>
  <c r="BF639" i="46" s="1"/>
  <c r="G45" i="126"/>
  <c r="D658" i="46" s="1"/>
  <c r="BF658" i="46" s="1"/>
  <c r="G127" i="126"/>
  <c r="D740" i="46" s="1"/>
  <c r="BF740" i="46" s="1"/>
  <c r="G58" i="126"/>
  <c r="D671" i="46" s="1"/>
  <c r="BF671" i="46" s="1"/>
  <c r="J98" i="126"/>
  <c r="J26" i="126"/>
  <c r="G96" i="126"/>
  <c r="D709" i="46" s="1"/>
  <c r="BF709" i="46" s="1"/>
  <c r="G15" i="126"/>
  <c r="D628" i="46" s="1"/>
  <c r="BF628" i="46" s="1"/>
  <c r="G97" i="126"/>
  <c r="D710" i="46" s="1"/>
  <c r="BF710" i="46" s="1"/>
  <c r="G118" i="126"/>
  <c r="D731" i="46" s="1"/>
  <c r="BF731" i="46" s="1"/>
  <c r="G102" i="126"/>
  <c r="D715" i="46" s="1"/>
  <c r="BF715" i="46" s="1"/>
  <c r="J23" i="126"/>
  <c r="S21" i="126"/>
  <c r="G46" i="126"/>
  <c r="D659" i="46" s="1"/>
  <c r="BF659" i="46" s="1"/>
  <c r="J93" i="126"/>
  <c r="J18" i="126"/>
  <c r="G60" i="126"/>
  <c r="D673" i="46" s="1"/>
  <c r="BF673" i="46" s="1"/>
  <c r="J28" i="126"/>
  <c r="G122" i="126"/>
  <c r="D735" i="46" s="1"/>
  <c r="BF735" i="46" s="1"/>
  <c r="G40" i="126"/>
  <c r="D653" i="46" s="1"/>
  <c r="BF653" i="46" s="1"/>
  <c r="G117" i="126"/>
  <c r="D730" i="46" s="1"/>
  <c r="BF730" i="46" s="1"/>
  <c r="G126" i="126"/>
  <c r="D739" i="46" s="1"/>
  <c r="BF739" i="46" s="1"/>
  <c r="G103" i="126"/>
  <c r="D716" i="46" s="1"/>
  <c r="BF716" i="46" s="1"/>
  <c r="G42" i="126"/>
  <c r="D655" i="46" s="1"/>
  <c r="BF655" i="46" s="1"/>
  <c r="J58" i="126"/>
  <c r="G98" i="126"/>
  <c r="D711" i="46" s="1"/>
  <c r="BF711" i="46" s="1"/>
  <c r="J35" i="126"/>
  <c r="S22" i="126"/>
  <c r="C30" i="56"/>
  <c r="A505" i="109"/>
  <c r="N30" i="56"/>
  <c r="C31" i="135"/>
  <c r="A496" i="109"/>
  <c r="K496" i="109"/>
  <c r="T118" i="137"/>
  <c r="R118" i="137"/>
  <c r="I42" i="137"/>
  <c r="I116" i="137" s="1"/>
  <c r="I118" i="137" s="1"/>
  <c r="U194" i="137"/>
  <c r="K42" i="137"/>
  <c r="K116" i="137" s="1"/>
  <c r="G137" i="60"/>
  <c r="D373" i="109" s="1"/>
  <c r="AO373" i="46" s="1"/>
  <c r="F373" i="46" s="1"/>
  <c r="E137" i="60"/>
  <c r="D304" i="109" s="1"/>
  <c r="R51" i="137"/>
  <c r="J45" i="137"/>
  <c r="J126" i="137" s="1"/>
  <c r="K471" i="109"/>
  <c r="E121" i="137"/>
  <c r="E117" i="137"/>
  <c r="U131" i="137"/>
  <c r="U116" i="137"/>
  <c r="U118" i="137" s="1"/>
  <c r="U117" i="137"/>
  <c r="U121" i="137"/>
  <c r="G48" i="137"/>
  <c r="G42" i="137"/>
  <c r="G116" i="137" s="1"/>
  <c r="G118" i="137" s="1"/>
  <c r="J212" i="137"/>
  <c r="J210" i="137"/>
  <c r="R207" i="137"/>
  <c r="R209" i="137"/>
  <c r="R212" i="137"/>
  <c r="R210" i="137"/>
  <c r="R211" i="137"/>
  <c r="R208" i="137"/>
  <c r="J211" i="137"/>
  <c r="M46" i="137"/>
  <c r="M131" i="137" s="1"/>
  <c r="M196" i="137"/>
  <c r="M52" i="137"/>
  <c r="Q134" i="134"/>
  <c r="AE78" i="134"/>
  <c r="U153" i="134"/>
  <c r="U135" i="134"/>
  <c r="I154" i="134"/>
  <c r="I136" i="134"/>
  <c r="X154" i="134"/>
  <c r="X136" i="134"/>
  <c r="L155" i="134"/>
  <c r="L137" i="134"/>
  <c r="AB155" i="134"/>
  <c r="AB137" i="134"/>
  <c r="Q139" i="134"/>
  <c r="Q157" i="134"/>
  <c r="AE83" i="134"/>
  <c r="D158" i="134"/>
  <c r="D140" i="134"/>
  <c r="D159" i="134"/>
  <c r="D141" i="134"/>
  <c r="T159" i="134"/>
  <c r="T141" i="134"/>
  <c r="L161" i="134"/>
  <c r="L143" i="134"/>
  <c r="G121" i="137"/>
  <c r="G117" i="137"/>
  <c r="K165" i="137"/>
  <c r="K166" i="137" s="1"/>
  <c r="K169" i="137"/>
  <c r="K170" i="137" s="1"/>
  <c r="J48" i="137"/>
  <c r="R48" i="137"/>
  <c r="J209" i="137"/>
  <c r="M121" i="137"/>
  <c r="J207" i="137"/>
  <c r="AC150" i="134"/>
  <c r="AC132" i="134"/>
  <c r="E134" i="134"/>
  <c r="E152" i="134"/>
  <c r="D534" i="46"/>
  <c r="BF534" i="46" s="1"/>
  <c r="J26" i="57"/>
  <c r="AR534" i="46" s="1"/>
  <c r="F45" i="137"/>
  <c r="F126" i="137" s="1"/>
  <c r="U126" i="137"/>
  <c r="M149" i="134"/>
  <c r="M131" i="134"/>
  <c r="J11" i="142"/>
  <c r="H30" i="148"/>
  <c r="X160" i="134"/>
  <c r="D539" i="46"/>
  <c r="BF539" i="46" s="1"/>
  <c r="J31" i="57"/>
  <c r="AR539" i="46" s="1"/>
  <c r="G46" i="137"/>
  <c r="G194" i="137"/>
  <c r="N52" i="137"/>
  <c r="N46" i="137"/>
  <c r="N131" i="137" s="1"/>
  <c r="K211" i="137"/>
  <c r="K212" i="137"/>
  <c r="S211" i="137"/>
  <c r="S210" i="137"/>
  <c r="L505" i="120"/>
  <c r="L619" i="120"/>
  <c r="J571" i="120"/>
  <c r="L621" i="120"/>
  <c r="L531" i="120"/>
  <c r="J1063" i="120"/>
  <c r="L406" i="120"/>
  <c r="L305" i="120"/>
  <c r="L1057" i="120"/>
  <c r="L1180" i="120"/>
  <c r="L347" i="120"/>
  <c r="L337" i="120"/>
  <c r="L367" i="120"/>
  <c r="J379" i="120"/>
  <c r="L368" i="120"/>
  <c r="J349" i="120"/>
  <c r="J432" i="120"/>
  <c r="L383" i="120"/>
  <c r="J1117" i="120"/>
  <c r="J323" i="120"/>
  <c r="L397" i="120"/>
  <c r="L451" i="120"/>
  <c r="J1037" i="120"/>
  <c r="J307" i="120"/>
  <c r="L431" i="120"/>
  <c r="L1221" i="120"/>
  <c r="J465" i="120"/>
  <c r="J439" i="120"/>
  <c r="J362" i="120"/>
  <c r="L1199" i="120"/>
  <c r="J566" i="120"/>
  <c r="J553" i="120"/>
  <c r="J655" i="120"/>
  <c r="J816" i="120"/>
  <c r="H136" i="134"/>
  <c r="H154" i="134"/>
  <c r="U136" i="134"/>
  <c r="U154" i="134"/>
  <c r="P157" i="134"/>
  <c r="P139" i="134"/>
  <c r="Q159" i="134"/>
  <c r="Q141" i="134"/>
  <c r="AE85" i="134"/>
  <c r="E142" i="134"/>
  <c r="E160" i="134"/>
  <c r="Y161" i="134"/>
  <c r="Y143" i="134"/>
  <c r="I46" i="137"/>
  <c r="I131" i="137" s="1"/>
  <c r="I52" i="137"/>
  <c r="I194" i="137"/>
  <c r="M212" i="137"/>
  <c r="M211" i="137"/>
  <c r="D543" i="46"/>
  <c r="BF543" i="46" s="1"/>
  <c r="J35" i="57"/>
  <c r="AR543" i="46" s="1"/>
  <c r="M132" i="134"/>
  <c r="M150" i="134"/>
  <c r="P133" i="134"/>
  <c r="P151" i="134"/>
  <c r="H135" i="134"/>
  <c r="H153" i="134"/>
  <c r="L154" i="134"/>
  <c r="L136" i="134"/>
  <c r="M137" i="134"/>
  <c r="M155" i="134"/>
  <c r="Q138" i="134"/>
  <c r="Q156" i="134"/>
  <c r="E159" i="134"/>
  <c r="E141" i="134"/>
  <c r="I160" i="134"/>
  <c r="I142" i="134"/>
  <c r="J457" i="120"/>
  <c r="J371" i="120"/>
  <c r="J396" i="120"/>
  <c r="J521" i="120"/>
  <c r="L611" i="120"/>
  <c r="L661" i="120"/>
  <c r="L303" i="120"/>
  <c r="L1105" i="120"/>
  <c r="L507" i="120"/>
  <c r="L352" i="120"/>
  <c r="L441" i="120"/>
  <c r="L492" i="120"/>
  <c r="J445" i="120"/>
  <c r="J1054" i="120"/>
  <c r="J451" i="120"/>
  <c r="L475" i="120"/>
  <c r="L480" i="120"/>
  <c r="L382" i="120"/>
  <c r="L443" i="120"/>
  <c r="L336" i="120"/>
  <c r="J522" i="120"/>
  <c r="J507" i="120"/>
  <c r="L454" i="120"/>
  <c r="L1075" i="120"/>
  <c r="L386" i="120"/>
  <c r="J402" i="120"/>
  <c r="L391" i="120"/>
  <c r="L313" i="120"/>
  <c r="L393" i="120"/>
  <c r="J1165" i="120"/>
  <c r="L1043" i="120"/>
  <c r="J315" i="120"/>
  <c r="L437" i="120"/>
  <c r="L422" i="120"/>
  <c r="J414" i="120"/>
  <c r="J429" i="120"/>
  <c r="J1149" i="120"/>
  <c r="L430" i="120"/>
  <c r="L330" i="120"/>
  <c r="L491" i="120"/>
  <c r="L1191" i="120"/>
  <c r="J512" i="120"/>
  <c r="L513" i="120"/>
  <c r="J559" i="120"/>
  <c r="L613" i="120"/>
  <c r="J406" i="120"/>
  <c r="J459" i="120"/>
  <c r="L580" i="120"/>
  <c r="L369" i="120"/>
  <c r="L1084" i="120"/>
  <c r="L579" i="120"/>
  <c r="L316" i="120"/>
  <c r="J390" i="120"/>
  <c r="L413" i="120"/>
  <c r="L1207" i="120"/>
  <c r="J1181" i="120"/>
  <c r="L1047" i="120"/>
  <c r="J471" i="120"/>
  <c r="L532" i="120"/>
  <c r="L446" i="120"/>
  <c r="J495" i="120"/>
  <c r="L627" i="120"/>
  <c r="L470" i="120"/>
  <c r="L342" i="120"/>
  <c r="L529" i="120"/>
  <c r="J369" i="120"/>
  <c r="L675" i="120"/>
  <c r="L508" i="120"/>
  <c r="L373" i="120"/>
  <c r="L1212" i="120"/>
  <c r="J320" i="120"/>
  <c r="J365" i="120"/>
  <c r="J367" i="120"/>
  <c r="J370" i="120"/>
  <c r="J425" i="120"/>
  <c r="J1068" i="120"/>
  <c r="L1182" i="120"/>
  <c r="J500" i="120"/>
  <c r="L463" i="120"/>
  <c r="L1137" i="120"/>
  <c r="J340" i="120"/>
  <c r="J360" i="120"/>
  <c r="J452" i="120"/>
  <c r="L407" i="120"/>
  <c r="J483" i="120"/>
  <c r="J499" i="120"/>
  <c r="L499" i="120"/>
  <c r="L320" i="120"/>
  <c r="L455" i="120"/>
  <c r="J350" i="120"/>
  <c r="L469" i="120"/>
  <c r="J462" i="120"/>
  <c r="J342" i="120"/>
  <c r="J375" i="120"/>
  <c r="L1079" i="120"/>
  <c r="L326" i="120"/>
  <c r="L360" i="120"/>
  <c r="J435" i="120"/>
  <c r="J492" i="120"/>
  <c r="J453" i="120"/>
  <c r="J494" i="120"/>
  <c r="J438" i="120"/>
  <c r="J523" i="120"/>
  <c r="J476" i="120"/>
  <c r="L1198" i="120"/>
  <c r="J1069" i="120"/>
  <c r="J372" i="120"/>
  <c r="J461" i="120"/>
  <c r="N29" i="135"/>
  <c r="N22" i="135"/>
  <c r="M22" i="135"/>
  <c r="C32" i="135"/>
  <c r="N32" i="135"/>
  <c r="H210" i="137"/>
  <c r="H209" i="137"/>
  <c r="H211" i="137"/>
  <c r="H207" i="137"/>
  <c r="H212" i="137"/>
  <c r="P209" i="137"/>
  <c r="P212" i="137"/>
  <c r="P210" i="137"/>
  <c r="P211" i="137"/>
  <c r="X212" i="137"/>
  <c r="X211" i="137"/>
  <c r="D536" i="46"/>
  <c r="BF536" i="46" s="1"/>
  <c r="J28" i="57"/>
  <c r="AR536" i="46" s="1"/>
  <c r="AK106" i="147"/>
  <c r="K48" i="137"/>
  <c r="U51" i="137"/>
  <c r="F50" i="60"/>
  <c r="S51" i="137"/>
  <c r="E159" i="60"/>
  <c r="G126" i="137"/>
  <c r="N121" i="137"/>
  <c r="O52" i="137"/>
  <c r="F137" i="60"/>
  <c r="D306" i="109" s="1"/>
  <c r="AO306" i="46" s="1"/>
  <c r="F306" i="46" s="1"/>
  <c r="M236" i="143"/>
  <c r="O42" i="137"/>
  <c r="O116" i="137" s="1"/>
  <c r="R194" i="137"/>
  <c r="Q211" i="137"/>
  <c r="P45" i="137"/>
  <c r="P126" i="137" s="1"/>
  <c r="M48" i="137"/>
  <c r="P3" i="146"/>
  <c r="C17" i="146" s="1"/>
  <c r="D156" i="109" s="1"/>
  <c r="I39" i="146"/>
  <c r="D155" i="109" s="1"/>
  <c r="X155" i="134"/>
  <c r="Y139" i="134"/>
  <c r="T136" i="134"/>
  <c r="N25" i="56"/>
  <c r="N42" i="137"/>
  <c r="N116" i="137" s="1"/>
  <c r="N118" i="137" s="1"/>
  <c r="T48" i="137"/>
  <c r="G196" i="137"/>
  <c r="N196" i="137"/>
  <c r="E52" i="137"/>
  <c r="S52" i="137"/>
  <c r="J194" i="137"/>
  <c r="O196" i="137"/>
  <c r="C24" i="56"/>
  <c r="U143" i="134"/>
  <c r="I51" i="137"/>
  <c r="Q132" i="134"/>
  <c r="L139" i="134"/>
  <c r="B15" i="107"/>
  <c r="C66" i="56"/>
  <c r="J196" i="137"/>
  <c r="O46" i="137"/>
  <c r="O131" i="137" s="1"/>
  <c r="M45" i="137"/>
  <c r="M126" i="137" s="1"/>
  <c r="P196" i="137"/>
  <c r="AE77" i="134"/>
  <c r="L156" i="134"/>
  <c r="C26" i="56"/>
  <c r="P46" i="137"/>
  <c r="P131" i="137" s="1"/>
  <c r="T51" i="137"/>
  <c r="Q160" i="134"/>
  <c r="N45" i="56"/>
  <c r="AC159" i="134"/>
  <c r="D152" i="134"/>
  <c r="M194" i="137"/>
  <c r="M34" i="135"/>
  <c r="J46" i="137"/>
  <c r="J131" i="137" s="1"/>
  <c r="N37" i="56"/>
  <c r="D151" i="134"/>
  <c r="N43" i="56"/>
  <c r="E143" i="134"/>
  <c r="Q135" i="134"/>
  <c r="Q151" i="134"/>
  <c r="J358" i="120"/>
  <c r="J441" i="120"/>
  <c r="L595" i="120"/>
  <c r="J487" i="120"/>
  <c r="J520" i="120"/>
  <c r="J345" i="120"/>
  <c r="Q45" i="137"/>
  <c r="Q126" i="137" s="1"/>
  <c r="Q152" i="134"/>
  <c r="AC131" i="134"/>
  <c r="H479" i="109"/>
  <c r="J479" i="109" s="1"/>
  <c r="K479" i="109" s="1"/>
  <c r="AD479" i="109" s="1"/>
  <c r="BG588" i="46"/>
  <c r="BG580" i="46"/>
  <c r="BG572" i="46"/>
  <c r="H478" i="109"/>
  <c r="J478" i="109" s="1"/>
  <c r="K478" i="109" s="1"/>
  <c r="AD478" i="109" s="1"/>
  <c r="M43" i="56"/>
  <c r="C34" i="135"/>
  <c r="M50" i="56"/>
  <c r="K485" i="109"/>
  <c r="AD485" i="109" s="1"/>
  <c r="I57" i="56"/>
  <c r="H489" i="109"/>
  <c r="J489" i="109" s="1"/>
  <c r="K489" i="109" s="1"/>
  <c r="AD489" i="109" s="1"/>
  <c r="H481" i="109"/>
  <c r="J481" i="109" s="1"/>
  <c r="K481" i="109" s="1"/>
  <c r="AD481" i="109" s="1"/>
  <c r="M41" i="56"/>
  <c r="C43" i="56"/>
  <c r="N41" i="56"/>
  <c r="C50" i="56"/>
  <c r="H158" i="109"/>
  <c r="J158" i="109" s="1"/>
  <c r="H33" i="109"/>
  <c r="J33" i="109" s="1"/>
  <c r="N48" i="137"/>
  <c r="L45" i="137"/>
  <c r="L126" i="137" s="1"/>
  <c r="L51" i="137"/>
  <c r="J169" i="137"/>
  <c r="J170" i="137" s="1"/>
  <c r="J165" i="137"/>
  <c r="J166" i="137" s="1"/>
  <c r="P169" i="137"/>
  <c r="P170" i="137" s="1"/>
  <c r="P165" i="137"/>
  <c r="P166" i="137" s="1"/>
  <c r="E48" i="137"/>
  <c r="E42" i="137"/>
  <c r="E116" i="137" s="1"/>
  <c r="L52" i="137"/>
  <c r="L46" i="137"/>
  <c r="L131" i="137" s="1"/>
  <c r="N212" i="137"/>
  <c r="N208" i="137"/>
  <c r="N210" i="137"/>
  <c r="N209" i="137"/>
  <c r="N207" i="137"/>
  <c r="N211" i="137"/>
  <c r="L427" i="120"/>
  <c r="L604" i="120"/>
  <c r="J434" i="120"/>
  <c r="L419" i="120"/>
  <c r="J353" i="120"/>
  <c r="L645" i="120"/>
  <c r="J330" i="120"/>
  <c r="J306" i="120"/>
  <c r="L450" i="120"/>
  <c r="J407" i="120"/>
  <c r="L442" i="120"/>
  <c r="L334" i="120"/>
  <c r="L311" i="120"/>
  <c r="J450" i="120"/>
  <c r="L411" i="120"/>
  <c r="L359" i="120"/>
  <c r="L448" i="120"/>
  <c r="L460" i="120"/>
  <c r="L403" i="120"/>
  <c r="J421" i="120"/>
  <c r="J509" i="120"/>
  <c r="L1169" i="120"/>
  <c r="L506" i="120"/>
  <c r="L515" i="120"/>
  <c r="J436" i="120"/>
  <c r="L401" i="120"/>
  <c r="L514" i="120"/>
  <c r="L523" i="120"/>
  <c r="J513" i="120"/>
  <c r="L354" i="120"/>
  <c r="J531" i="120"/>
  <c r="L589" i="120"/>
  <c r="L371" i="120"/>
  <c r="L439" i="120"/>
  <c r="J399" i="120"/>
  <c r="L434" i="120"/>
  <c r="J391" i="120"/>
  <c r="L426" i="120"/>
  <c r="L436" i="120"/>
  <c r="L395" i="120"/>
  <c r="J419" i="120"/>
  <c r="J470" i="120"/>
  <c r="J482" i="120"/>
  <c r="L387" i="120"/>
  <c r="L1215" i="120"/>
  <c r="J331" i="120"/>
  <c r="L1097" i="120"/>
  <c r="J359" i="120"/>
  <c r="L1225" i="120"/>
  <c r="J449" i="120"/>
  <c r="L355" i="120"/>
  <c r="J310" i="120"/>
  <c r="J517" i="120"/>
  <c r="L1153" i="120"/>
  <c r="J351" i="120"/>
  <c r="L459" i="120"/>
  <c r="L372" i="120"/>
  <c r="J326" i="120"/>
  <c r="L1181" i="120"/>
  <c r="J354" i="120"/>
  <c r="L361" i="120"/>
  <c r="L1193" i="120"/>
  <c r="L432" i="120"/>
  <c r="L306" i="120"/>
  <c r="L362" i="120"/>
  <c r="J1197" i="120"/>
  <c r="L497" i="120"/>
  <c r="L603" i="120"/>
  <c r="L612" i="120"/>
  <c r="L653" i="120"/>
  <c r="L335" i="120"/>
  <c r="J527" i="120"/>
  <c r="L549" i="120"/>
  <c r="L597" i="120"/>
  <c r="L346" i="120"/>
  <c r="L353" i="120"/>
  <c r="L365" i="120"/>
  <c r="J431" i="120"/>
  <c r="L605" i="120"/>
  <c r="L314" i="120"/>
  <c r="L321" i="120"/>
  <c r="L323" i="120"/>
  <c r="J535" i="120"/>
  <c r="L380" i="120"/>
  <c r="L418" i="120"/>
  <c r="L1210" i="120"/>
  <c r="J551" i="120"/>
  <c r="L364" i="120"/>
  <c r="L410" i="120"/>
  <c r="L524" i="120"/>
  <c r="L538" i="120"/>
  <c r="L489" i="120"/>
  <c r="J463" i="120"/>
  <c r="J477" i="120"/>
  <c r="L478" i="120"/>
  <c r="J519" i="120"/>
  <c r="J427" i="120"/>
  <c r="J304" i="120"/>
  <c r="L458" i="120"/>
  <c r="J484" i="120"/>
  <c r="L1201" i="120"/>
  <c r="L343" i="120"/>
  <c r="L388" i="120"/>
  <c r="J496" i="120"/>
  <c r="J368" i="120"/>
  <c r="L375" i="120"/>
  <c r="J488" i="120"/>
  <c r="J355" i="120"/>
  <c r="L561" i="120"/>
  <c r="L339" i="120"/>
  <c r="L402" i="120"/>
  <c r="J473" i="120"/>
  <c r="J1213" i="120"/>
  <c r="L1213" i="120"/>
  <c r="J409" i="120"/>
  <c r="L416" i="120"/>
  <c r="L1197" i="120"/>
  <c r="J322" i="120"/>
  <c r="L333" i="120"/>
  <c r="L424" i="120"/>
  <c r="L1145" i="120"/>
  <c r="J327" i="120"/>
  <c r="J337" i="120"/>
  <c r="L194" i="137"/>
  <c r="P138" i="134"/>
  <c r="AE82" i="134"/>
  <c r="P156" i="134"/>
  <c r="AB159" i="134"/>
  <c r="AB141" i="134"/>
  <c r="P142" i="134"/>
  <c r="P160" i="134"/>
  <c r="I45" i="137"/>
  <c r="I126" i="137" s="1"/>
  <c r="L158" i="134"/>
  <c r="L140" i="134"/>
  <c r="Y158" i="134"/>
  <c r="Y140" i="134"/>
  <c r="M141" i="134"/>
  <c r="M159" i="134"/>
  <c r="B69" i="110"/>
  <c r="C68" i="110"/>
  <c r="AC138" i="134"/>
  <c r="AC156" i="134"/>
  <c r="M139" i="134"/>
  <c r="M157" i="134"/>
  <c r="AB157" i="134"/>
  <c r="AB139" i="134"/>
  <c r="U211" i="137"/>
  <c r="U212" i="137"/>
  <c r="U208" i="137"/>
  <c r="U209" i="137"/>
  <c r="U207" i="137"/>
  <c r="N57" i="135"/>
  <c r="M41" i="135"/>
  <c r="M63" i="135"/>
  <c r="N46" i="135"/>
  <c r="N54" i="135"/>
  <c r="M38" i="135"/>
  <c r="N49" i="135"/>
  <c r="C664" i="109"/>
  <c r="R664" i="109" s="1"/>
  <c r="BF769" i="46"/>
  <c r="D661" i="109"/>
  <c r="BG766" i="46"/>
  <c r="D699" i="109"/>
  <c r="BG804" i="46"/>
  <c r="C694" i="109"/>
  <c r="R694" i="109" s="1"/>
  <c r="BF799" i="46"/>
  <c r="D691" i="109"/>
  <c r="BG796" i="46"/>
  <c r="C686" i="109"/>
  <c r="R686" i="109" s="1"/>
  <c r="BF791" i="46"/>
  <c r="D683" i="109"/>
  <c r="BG788" i="46"/>
  <c r="C678" i="109"/>
  <c r="R678" i="109" s="1"/>
  <c r="BF783" i="46"/>
  <c r="D675" i="109"/>
  <c r="BG780" i="46"/>
  <c r="C670" i="109"/>
  <c r="R670" i="109" s="1"/>
  <c r="BF775" i="46"/>
  <c r="D667" i="109"/>
  <c r="BG772" i="46"/>
  <c r="E169" i="137"/>
  <c r="E170" i="137" s="1"/>
  <c r="E165" i="137"/>
  <c r="E166" i="137" s="1"/>
  <c r="AB154" i="134"/>
  <c r="AB136" i="134"/>
  <c r="O121" i="137"/>
  <c r="O117" i="137"/>
  <c r="H98" i="125"/>
  <c r="S153" i="109"/>
  <c r="BG153" i="46" s="1"/>
  <c r="D538" i="46"/>
  <c r="BF538" i="46" s="1"/>
  <c r="J30" i="57"/>
  <c r="AR538" i="46" s="1"/>
  <c r="L131" i="134"/>
  <c r="L149" i="134"/>
  <c r="L151" i="134"/>
  <c r="L133" i="134"/>
  <c r="L152" i="134"/>
  <c r="L134" i="134"/>
  <c r="L153" i="134"/>
  <c r="L135" i="134"/>
  <c r="AB153" i="134"/>
  <c r="AB135" i="134"/>
  <c r="AC142" i="134"/>
  <c r="AC160" i="134"/>
  <c r="N112" i="56"/>
  <c r="M115" i="56"/>
  <c r="N113" i="56"/>
  <c r="M114" i="56"/>
  <c r="N115" i="56"/>
  <c r="N114" i="56"/>
  <c r="M112" i="56"/>
  <c r="M113" i="56"/>
  <c r="D666" i="109"/>
  <c r="BG771" i="46"/>
  <c r="C661" i="109"/>
  <c r="R661" i="109" s="1"/>
  <c r="BF766" i="46"/>
  <c r="D658" i="109"/>
  <c r="BG763" i="46"/>
  <c r="C699" i="109"/>
  <c r="R699" i="109" s="1"/>
  <c r="BF804" i="46"/>
  <c r="D696" i="109"/>
  <c r="BG801" i="46"/>
  <c r="C691" i="109"/>
  <c r="R691" i="109" s="1"/>
  <c r="BF796" i="46"/>
  <c r="D688" i="109"/>
  <c r="BG793" i="46"/>
  <c r="C683" i="109"/>
  <c r="R683" i="109" s="1"/>
  <c r="BF788" i="46"/>
  <c r="D680" i="109"/>
  <c r="BG785" i="46"/>
  <c r="C675" i="109"/>
  <c r="R675" i="109" s="1"/>
  <c r="BF780" i="46"/>
  <c r="D672" i="109"/>
  <c r="BG777" i="46"/>
  <c r="C667" i="109"/>
  <c r="R667" i="109" s="1"/>
  <c r="BF772" i="46"/>
  <c r="F5" i="46"/>
  <c r="BG5" i="46"/>
  <c r="S477" i="109"/>
  <c r="BG477" i="46" s="1"/>
  <c r="C666" i="109"/>
  <c r="R666" i="109" s="1"/>
  <c r="BF771" i="46"/>
  <c r="D663" i="109"/>
  <c r="BG768" i="46"/>
  <c r="C658" i="109"/>
  <c r="R658" i="109" s="1"/>
  <c r="BF763" i="46"/>
  <c r="D701" i="109"/>
  <c r="BG806" i="46"/>
  <c r="C696" i="109"/>
  <c r="R696" i="109" s="1"/>
  <c r="BF801" i="46"/>
  <c r="D693" i="109"/>
  <c r="BG798" i="46"/>
  <c r="C688" i="109"/>
  <c r="R688" i="109" s="1"/>
  <c r="BF793" i="46"/>
  <c r="D685" i="109"/>
  <c r="BG790" i="46"/>
  <c r="C680" i="109"/>
  <c r="R680" i="109" s="1"/>
  <c r="BF785" i="46"/>
  <c r="D677" i="109"/>
  <c r="BG782" i="46"/>
  <c r="C672" i="109"/>
  <c r="R672" i="109" s="1"/>
  <c r="BF777" i="46"/>
  <c r="D669" i="109"/>
  <c r="BG774" i="46"/>
  <c r="C747" i="148"/>
  <c r="M42" i="56"/>
  <c r="Q42" i="137"/>
  <c r="Q116" i="137" s="1"/>
  <c r="Q118" i="137" s="1"/>
  <c r="H42" i="137"/>
  <c r="H116" i="137" s="1"/>
  <c r="H118" i="137" s="1"/>
  <c r="F42" i="137"/>
  <c r="F116" i="137" s="1"/>
  <c r="E194" i="137"/>
  <c r="I210" i="137"/>
  <c r="C663" i="109"/>
  <c r="R663" i="109" s="1"/>
  <c r="BF768" i="46"/>
  <c r="D660" i="109"/>
  <c r="BG765" i="46"/>
  <c r="C701" i="109"/>
  <c r="R701" i="109" s="1"/>
  <c r="BF806" i="46"/>
  <c r="D698" i="109"/>
  <c r="BG803" i="46"/>
  <c r="C693" i="109"/>
  <c r="R693" i="109" s="1"/>
  <c r="BF798" i="46"/>
  <c r="D690" i="109"/>
  <c r="BG795" i="46"/>
  <c r="C685" i="109"/>
  <c r="R685" i="109" s="1"/>
  <c r="BF790" i="46"/>
  <c r="D682" i="109"/>
  <c r="BG787" i="46"/>
  <c r="C677" i="109"/>
  <c r="R677" i="109" s="1"/>
  <c r="BF782" i="46"/>
  <c r="D674" i="109"/>
  <c r="BG779" i="46"/>
  <c r="C669" i="109"/>
  <c r="R669" i="109" s="1"/>
  <c r="BF774" i="46"/>
  <c r="G131" i="137"/>
  <c r="BG592" i="46"/>
  <c r="BG584" i="46"/>
  <c r="BG576" i="46"/>
  <c r="BG568" i="46"/>
  <c r="M42" i="137"/>
  <c r="M116" i="137" s="1"/>
  <c r="M118" i="137" s="1"/>
  <c r="K196" i="137"/>
  <c r="R196" i="137"/>
  <c r="D665" i="109"/>
  <c r="BG770" i="46"/>
  <c r="C660" i="109"/>
  <c r="R660" i="109" s="1"/>
  <c r="BF765" i="46"/>
  <c r="D657" i="109"/>
  <c r="BG762" i="46"/>
  <c r="C698" i="109"/>
  <c r="R698" i="109" s="1"/>
  <c r="BF803" i="46"/>
  <c r="D695" i="109"/>
  <c r="BG800" i="46"/>
  <c r="C690" i="109"/>
  <c r="R690" i="109" s="1"/>
  <c r="BF795" i="46"/>
  <c r="D687" i="109"/>
  <c r="BG792" i="46"/>
  <c r="C682" i="109"/>
  <c r="R682" i="109" s="1"/>
  <c r="BF787" i="46"/>
  <c r="D679" i="109"/>
  <c r="BG784" i="46"/>
  <c r="C674" i="109"/>
  <c r="R674" i="109" s="1"/>
  <c r="BF779" i="46"/>
  <c r="D671" i="109"/>
  <c r="BG776" i="46"/>
  <c r="E46" i="137"/>
  <c r="E131" i="137" s="1"/>
  <c r="O48" i="137"/>
  <c r="C665" i="109"/>
  <c r="R665" i="109" s="1"/>
  <c r="BF770" i="46"/>
  <c r="D662" i="109"/>
  <c r="BG767" i="46"/>
  <c r="C657" i="109"/>
  <c r="R657" i="109" s="1"/>
  <c r="BF762" i="46"/>
  <c r="D700" i="109"/>
  <c r="BG805" i="46"/>
  <c r="C695" i="109"/>
  <c r="R695" i="109" s="1"/>
  <c r="BF800" i="46"/>
  <c r="D692" i="109"/>
  <c r="BG797" i="46"/>
  <c r="C687" i="109"/>
  <c r="R687" i="109" s="1"/>
  <c r="BF792" i="46"/>
  <c r="D684" i="109"/>
  <c r="BG789" i="46"/>
  <c r="C679" i="109"/>
  <c r="R679" i="109" s="1"/>
  <c r="BF784" i="46"/>
  <c r="D676" i="109"/>
  <c r="BG781" i="46"/>
  <c r="C671" i="109"/>
  <c r="R671" i="109" s="1"/>
  <c r="BF776" i="46"/>
  <c r="D668" i="109"/>
  <c r="BG773" i="46"/>
  <c r="U48" i="137"/>
  <c r="A504" i="109"/>
  <c r="S504" i="109"/>
  <c r="BG504" i="46" s="1"/>
  <c r="A497" i="109"/>
  <c r="S497" i="109"/>
  <c r="BG497" i="46" s="1"/>
  <c r="C662" i="109"/>
  <c r="R662" i="109" s="1"/>
  <c r="BF767" i="46"/>
  <c r="D659" i="109"/>
  <c r="BG764" i="46"/>
  <c r="C700" i="109"/>
  <c r="R700" i="109" s="1"/>
  <c r="BF805" i="46"/>
  <c r="D697" i="109"/>
  <c r="BG802" i="46"/>
  <c r="C692" i="109"/>
  <c r="R692" i="109" s="1"/>
  <c r="BF797" i="46"/>
  <c r="D689" i="109"/>
  <c r="BG794" i="46"/>
  <c r="C684" i="109"/>
  <c r="R684" i="109" s="1"/>
  <c r="BF789" i="46"/>
  <c r="D681" i="109"/>
  <c r="BG786" i="46"/>
  <c r="C676" i="109"/>
  <c r="R676" i="109" s="1"/>
  <c r="BF781" i="46"/>
  <c r="D673" i="109"/>
  <c r="BG778" i="46"/>
  <c r="C668" i="109"/>
  <c r="R668" i="109" s="1"/>
  <c r="BF773" i="46"/>
  <c r="U196" i="137"/>
  <c r="A503" i="109"/>
  <c r="S503" i="109"/>
  <c r="BG503" i="46" s="1"/>
  <c r="S498" i="109"/>
  <c r="BG498" i="46" s="1"/>
  <c r="L581" i="120"/>
  <c r="L325" i="120"/>
  <c r="D664" i="109"/>
  <c r="BG769" i="46"/>
  <c r="C659" i="109"/>
  <c r="R659" i="109" s="1"/>
  <c r="BF764" i="46"/>
  <c r="C697" i="109"/>
  <c r="R697" i="109" s="1"/>
  <c r="BF802" i="46"/>
  <c r="D694" i="109"/>
  <c r="BG799" i="46"/>
  <c r="C689" i="109"/>
  <c r="R689" i="109" s="1"/>
  <c r="BF794" i="46"/>
  <c r="D686" i="109"/>
  <c r="BG791" i="46"/>
  <c r="C681" i="109"/>
  <c r="R681" i="109" s="1"/>
  <c r="BF786" i="46"/>
  <c r="D678" i="109"/>
  <c r="BG783" i="46"/>
  <c r="C673" i="109"/>
  <c r="R673" i="109" s="1"/>
  <c r="BF778" i="46"/>
  <c r="D670" i="109"/>
  <c r="BG775" i="46"/>
  <c r="BG553" i="46"/>
  <c r="BG549" i="46"/>
  <c r="BG556" i="46"/>
  <c r="BG557" i="46"/>
  <c r="BG558" i="46"/>
  <c r="BG559" i="46"/>
  <c r="BG560" i="46"/>
  <c r="BG561" i="46"/>
  <c r="BG562" i="46"/>
  <c r="BG563" i="46"/>
  <c r="BG564" i="46"/>
  <c r="BG554" i="46"/>
  <c r="BG550" i="46"/>
  <c r="BG589" i="46"/>
  <c r="BG585" i="46"/>
  <c r="BG581" i="46"/>
  <c r="BG577" i="46"/>
  <c r="BG573" i="46"/>
  <c r="BG569" i="46"/>
  <c r="BG565" i="46"/>
  <c r="BG555" i="46"/>
  <c r="BG551" i="46"/>
  <c r="BG590" i="46"/>
  <c r="BG586" i="46"/>
  <c r="BG582" i="46"/>
  <c r="BG578" i="46"/>
  <c r="BG574" i="46"/>
  <c r="BG570" i="46"/>
  <c r="BG566" i="46"/>
  <c r="BG552" i="46"/>
  <c r="BG591" i="46"/>
  <c r="BG587" i="46"/>
  <c r="BG583" i="46"/>
  <c r="BG579" i="46"/>
  <c r="BG575" i="46"/>
  <c r="BG571" i="46"/>
  <c r="BG567" i="46"/>
  <c r="BG533" i="46"/>
  <c r="BG534" i="46"/>
  <c r="BG535" i="46"/>
  <c r="BG536" i="46"/>
  <c r="BG537" i="46"/>
  <c r="BG538" i="46"/>
  <c r="BG539" i="46"/>
  <c r="BG543" i="46"/>
  <c r="BG544" i="46"/>
  <c r="M230" i="143"/>
  <c r="M219" i="143"/>
  <c r="S247" i="143"/>
  <c r="U219" i="143"/>
  <c r="U230" i="143"/>
  <c r="U236" i="143"/>
  <c r="M228" i="143"/>
  <c r="D244" i="109"/>
  <c r="I206" i="143"/>
  <c r="K206" i="143" s="1"/>
  <c r="L206" i="143" s="1"/>
  <c r="M206" i="143" s="1"/>
  <c r="H164" i="60"/>
  <c r="L297" i="120"/>
  <c r="D459" i="109" s="1"/>
  <c r="AO459" i="46" s="1"/>
  <c r="F459" i="46" s="1"/>
  <c r="I19" i="132"/>
  <c r="E78" i="60"/>
  <c r="C10" i="120"/>
  <c r="H168" i="60"/>
  <c r="E76" i="60"/>
  <c r="O34" i="60"/>
  <c r="F34" i="60" s="1"/>
  <c r="H169" i="60"/>
  <c r="L8" i="139"/>
  <c r="S4" i="139" s="1"/>
  <c r="K102" i="109"/>
  <c r="AD102" i="109" s="1"/>
  <c r="S102" i="109"/>
  <c r="BG102" i="46" s="1"/>
  <c r="H122" i="126"/>
  <c r="S101" i="109"/>
  <c r="BG101" i="46" s="1"/>
  <c r="H128" i="126"/>
  <c r="S460" i="109"/>
  <c r="BG460" i="46" s="1"/>
  <c r="S471" i="109"/>
  <c r="BG471" i="46" s="1"/>
  <c r="P35" i="147"/>
  <c r="R473" i="109"/>
  <c r="BF473" i="46" s="1"/>
  <c r="L7" i="46"/>
  <c r="L6" i="46"/>
  <c r="C40" i="56"/>
  <c r="N40" i="56"/>
  <c r="M37" i="56"/>
  <c r="M46" i="56"/>
  <c r="N66" i="56"/>
  <c r="M83" i="56"/>
  <c r="M54" i="56"/>
  <c r="C64" i="56"/>
  <c r="C55" i="56"/>
  <c r="M56" i="56"/>
  <c r="C67" i="56"/>
  <c r="C39" i="56"/>
  <c r="M61" i="56"/>
  <c r="M82" i="56"/>
  <c r="C36" i="56"/>
  <c r="N55" i="56"/>
  <c r="N31" i="56"/>
  <c r="N56" i="56"/>
  <c r="M47" i="56"/>
  <c r="N39" i="56"/>
  <c r="C57" i="56"/>
  <c r="M55" i="56"/>
  <c r="M31" i="56"/>
  <c r="C46" i="56"/>
  <c r="N65" i="56"/>
  <c r="C54" i="56"/>
  <c r="C31" i="56"/>
  <c r="C38" i="56"/>
  <c r="N67" i="56"/>
  <c r="C65" i="56"/>
  <c r="N57" i="56"/>
  <c r="M60" i="56"/>
  <c r="M38" i="56"/>
  <c r="C47" i="56"/>
  <c r="N59" i="56"/>
  <c r="C59" i="56"/>
  <c r="M65" i="56"/>
  <c r="C60" i="56"/>
  <c r="M57" i="56"/>
  <c r="N60" i="56"/>
  <c r="N68" i="56"/>
  <c r="M68" i="56"/>
  <c r="N101" i="56"/>
  <c r="N105" i="56"/>
  <c r="N98" i="56"/>
  <c r="N95" i="56"/>
  <c r="N88" i="56"/>
  <c r="M104" i="56"/>
  <c r="M97" i="56"/>
  <c r="M87" i="56"/>
  <c r="N104" i="56"/>
  <c r="M95" i="56"/>
  <c r="M84" i="56"/>
  <c r="M99" i="56"/>
  <c r="N91" i="56"/>
  <c r="N109" i="56"/>
  <c r="N106" i="56"/>
  <c r="N103" i="56"/>
  <c r="N92" i="56"/>
  <c r="M108" i="56"/>
  <c r="M86" i="56"/>
  <c r="M91" i="56"/>
  <c r="M94" i="56"/>
  <c r="N93" i="56"/>
  <c r="M93" i="56"/>
  <c r="M111" i="56"/>
  <c r="M89" i="56"/>
  <c r="N86" i="56"/>
  <c r="N89" i="56"/>
  <c r="N107" i="56"/>
  <c r="M85" i="56"/>
  <c r="N87" i="56"/>
  <c r="M98" i="56"/>
  <c r="N90" i="56"/>
  <c r="N94" i="56"/>
  <c r="N102" i="56"/>
  <c r="N99" i="56"/>
  <c r="N84" i="56"/>
  <c r="M88" i="56"/>
  <c r="M101" i="56"/>
  <c r="M102" i="56"/>
  <c r="M103" i="56"/>
  <c r="N100" i="56"/>
  <c r="M109" i="56"/>
  <c r="N108" i="56"/>
  <c r="M90" i="56"/>
  <c r="N110" i="56"/>
  <c r="N111" i="56"/>
  <c r="N96" i="56"/>
  <c r="M92" i="56"/>
  <c r="M105" i="56"/>
  <c r="M106" i="56"/>
  <c r="M107" i="56"/>
  <c r="N85" i="56"/>
  <c r="N97" i="56"/>
  <c r="M96" i="56"/>
  <c r="M110" i="56"/>
  <c r="M100" i="56"/>
  <c r="C37" i="56"/>
  <c r="N61" i="56"/>
  <c r="N58" i="56"/>
  <c r="M32" i="56"/>
  <c r="N32" i="56"/>
  <c r="N27" i="56"/>
  <c r="C27" i="56"/>
  <c r="M24" i="56"/>
  <c r="N64" i="56"/>
  <c r="M25" i="56"/>
  <c r="C25" i="56"/>
  <c r="C45" i="56"/>
  <c r="Q48" i="137"/>
  <c r="F46" i="137"/>
  <c r="F131" i="137" s="1"/>
  <c r="F196" i="137"/>
  <c r="Q208" i="137"/>
  <c r="AE75" i="134"/>
  <c r="P149" i="134"/>
  <c r="E136" i="134"/>
  <c r="E154" i="134"/>
  <c r="U138" i="134"/>
  <c r="U156" i="134"/>
  <c r="E157" i="134"/>
  <c r="E139" i="134"/>
  <c r="L121" i="137"/>
  <c r="L117" i="137"/>
  <c r="L116" i="137"/>
  <c r="S116" i="137"/>
  <c r="S131" i="137"/>
  <c r="S117" i="137"/>
  <c r="S126" i="137"/>
  <c r="AL49" i="147"/>
  <c r="AK49" i="147" s="1"/>
  <c r="AL52" i="147"/>
  <c r="AK52" i="147" s="1"/>
  <c r="T135" i="134"/>
  <c r="T153" i="134"/>
  <c r="H142" i="134"/>
  <c r="H160" i="134"/>
  <c r="D574" i="46"/>
  <c r="BF574" i="46" s="1"/>
  <c r="N45" i="135"/>
  <c r="M45" i="135"/>
  <c r="M78" i="56"/>
  <c r="N42" i="56"/>
  <c r="M81" i="56"/>
  <c r="N22" i="56"/>
  <c r="N79" i="56"/>
  <c r="M80" i="56"/>
  <c r="N81" i="56"/>
  <c r="M22" i="56"/>
  <c r="M28" i="56"/>
  <c r="N80" i="56"/>
  <c r="M76" i="56"/>
  <c r="M23" i="56"/>
  <c r="N82" i="56"/>
  <c r="N76" i="56"/>
  <c r="M58" i="56"/>
  <c r="N51" i="56"/>
  <c r="M77" i="56"/>
  <c r="M51" i="56"/>
  <c r="N77" i="56"/>
  <c r="N28" i="56"/>
  <c r="M33" i="56"/>
  <c r="N23" i="56"/>
  <c r="N33" i="56"/>
  <c r="N47" i="56"/>
  <c r="N78" i="56"/>
  <c r="M21" i="56"/>
  <c r="N21" i="56"/>
  <c r="M79" i="56"/>
  <c r="G51" i="137"/>
  <c r="P51" i="137"/>
  <c r="E153" i="134"/>
  <c r="E135" i="134"/>
  <c r="F121" i="137"/>
  <c r="F117" i="137"/>
  <c r="F48" i="137"/>
  <c r="E45" i="137"/>
  <c r="E126" i="137" s="1"/>
  <c r="E51" i="137"/>
  <c r="D551" i="46"/>
  <c r="BF551" i="46" s="1"/>
  <c r="X151" i="134"/>
  <c r="X133" i="134"/>
  <c r="U134" i="134"/>
  <c r="U152" i="134"/>
  <c r="D578" i="46"/>
  <c r="BF578" i="46" s="1"/>
  <c r="M49" i="135"/>
  <c r="I151" i="134"/>
  <c r="I133" i="134"/>
  <c r="L141" i="134"/>
  <c r="L159" i="134"/>
  <c r="I48" i="137"/>
  <c r="M52" i="135"/>
  <c r="M36" i="135"/>
  <c r="N47" i="135"/>
  <c r="N27" i="135"/>
  <c r="N55" i="135"/>
  <c r="M39" i="135"/>
  <c r="N44" i="135"/>
  <c r="M50" i="135"/>
  <c r="M62" i="135"/>
  <c r="N25" i="135"/>
  <c r="M53" i="135"/>
  <c r="M59" i="135"/>
  <c r="N42" i="135"/>
  <c r="M48" i="135"/>
  <c r="M60" i="135"/>
  <c r="N43" i="135"/>
  <c r="N23" i="135"/>
  <c r="M51" i="135"/>
  <c r="M35" i="135"/>
  <c r="M57" i="135"/>
  <c r="N40" i="135"/>
  <c r="N62" i="135"/>
  <c r="M46" i="135"/>
  <c r="M58" i="135"/>
  <c r="M54" i="135"/>
  <c r="M29" i="135"/>
  <c r="M55" i="135"/>
  <c r="N38" i="135"/>
  <c r="N60" i="135"/>
  <c r="M44" i="135"/>
  <c r="M56" i="135"/>
  <c r="N39" i="135"/>
  <c r="N63" i="135"/>
  <c r="M47" i="135"/>
  <c r="M27" i="135"/>
  <c r="N52" i="135"/>
  <c r="N36" i="135"/>
  <c r="N58" i="135"/>
  <c r="M42" i="135"/>
  <c r="N53" i="135"/>
  <c r="M25" i="135"/>
  <c r="N50" i="135"/>
  <c r="N56" i="135"/>
  <c r="M40" i="135"/>
  <c r="N51" i="135"/>
  <c r="N35" i="135"/>
  <c r="N59" i="135"/>
  <c r="M43" i="135"/>
  <c r="M23" i="135"/>
  <c r="N48" i="135"/>
  <c r="Q196" i="137"/>
  <c r="Q52" i="137"/>
  <c r="Q46" i="137"/>
  <c r="Q131" i="137" s="1"/>
  <c r="N83" i="56"/>
  <c r="D563" i="46"/>
  <c r="BF563" i="46" s="1"/>
  <c r="P137" i="134"/>
  <c r="P155" i="134"/>
  <c r="AE81" i="134"/>
  <c r="D590" i="46"/>
  <c r="BF590" i="46" s="1"/>
  <c r="M61" i="135"/>
  <c r="N61" i="135"/>
  <c r="D566" i="46"/>
  <c r="BF566" i="46" s="1"/>
  <c r="M37" i="135"/>
  <c r="N37" i="135"/>
  <c r="AC136" i="134"/>
  <c r="AC154" i="134"/>
  <c r="AC157" i="134"/>
  <c r="AC139" i="134"/>
  <c r="M158" i="134"/>
  <c r="M140" i="134"/>
  <c r="Q161" i="134"/>
  <c r="Q143" i="134"/>
  <c r="H46" i="137"/>
  <c r="H131" i="137" s="1"/>
  <c r="H194" i="137"/>
  <c r="H52" i="137"/>
  <c r="L212" i="137"/>
  <c r="L210" i="137"/>
  <c r="T211" i="137"/>
  <c r="T212" i="137"/>
  <c r="T210" i="137"/>
  <c r="I209" i="137"/>
  <c r="I208" i="137"/>
  <c r="I207" i="137"/>
  <c r="I211" i="137"/>
  <c r="Q210" i="137"/>
  <c r="Q209" i="137"/>
  <c r="Q212" i="137"/>
  <c r="AZ54" i="147"/>
  <c r="N45" i="137"/>
  <c r="N126" i="137" s="1"/>
  <c r="N51" i="137"/>
  <c r="H48" i="137"/>
  <c r="F52" i="137"/>
  <c r="D537" i="46"/>
  <c r="BF537" i="46" s="1"/>
  <c r="J29" i="57"/>
  <c r="AR537" i="46" s="1"/>
  <c r="AB131" i="134"/>
  <c r="AB149" i="134"/>
  <c r="P132" i="134"/>
  <c r="AE76" i="134"/>
  <c r="P150" i="134"/>
  <c r="P154" i="134"/>
  <c r="P136" i="134"/>
  <c r="AE80" i="134"/>
  <c r="T142" i="134"/>
  <c r="T160" i="134"/>
  <c r="D570" i="46"/>
  <c r="BF570" i="46" s="1"/>
  <c r="N41" i="135"/>
  <c r="AL61" i="147"/>
  <c r="AK61" i="147" s="1"/>
  <c r="AL58" i="147"/>
  <c r="W215" i="148"/>
  <c r="M24" i="135"/>
  <c r="R45" i="137"/>
  <c r="R126" i="137" s="1"/>
  <c r="L48" i="137"/>
  <c r="L211" i="137"/>
  <c r="W265" i="148"/>
  <c r="L5" i="46"/>
  <c r="O45" i="137"/>
  <c r="O126" i="137" s="1"/>
  <c r="N46" i="56"/>
  <c r="M210" i="137"/>
  <c r="N38" i="56"/>
  <c r="C32" i="56"/>
  <c r="I212" i="137"/>
  <c r="K118" i="137"/>
  <c r="M51" i="137"/>
  <c r="K194" i="137"/>
  <c r="E127" i="126"/>
  <c r="B740" i="46" s="1"/>
  <c r="N24" i="56"/>
  <c r="M45" i="56"/>
  <c r="M39" i="56"/>
  <c r="N63" i="56"/>
  <c r="J28" i="148"/>
  <c r="L28" i="148" s="1"/>
  <c r="E184" i="60"/>
  <c r="E239" i="120"/>
  <c r="E241" i="120"/>
  <c r="A101" i="109"/>
  <c r="C12" i="120"/>
  <c r="K101" i="109"/>
  <c r="AD101" i="109" s="1"/>
  <c r="U222" i="143"/>
  <c r="M222" i="143"/>
  <c r="M5" i="143"/>
  <c r="O5" i="143"/>
  <c r="O250" i="143" s="1"/>
  <c r="R187" i="143"/>
  <c r="R250" i="143" s="1"/>
  <c r="M187" i="143"/>
  <c r="U241" i="143"/>
  <c r="M241" i="143"/>
  <c r="U237" i="143"/>
  <c r="M237" i="143"/>
  <c r="U248" i="143"/>
  <c r="M248" i="143"/>
  <c r="M235" i="143"/>
  <c r="U235" i="143"/>
  <c r="M16" i="143"/>
  <c r="U16" i="143"/>
  <c r="M240" i="143"/>
  <c r="U240" i="143"/>
  <c r="M242" i="143"/>
  <c r="U242" i="143"/>
  <c r="M220" i="143"/>
  <c r="U220" i="143"/>
  <c r="U225" i="143"/>
  <c r="M225" i="143"/>
  <c r="M185" i="143"/>
  <c r="M227" i="143"/>
  <c r="M247" i="143"/>
  <c r="M244" i="143"/>
  <c r="D513" i="109"/>
  <c r="D512" i="109"/>
  <c r="L20" i="146"/>
  <c r="L21" i="146" s="1"/>
  <c r="B20" i="146" s="1"/>
  <c r="F174" i="109"/>
  <c r="AP174" i="46" s="1"/>
  <c r="H174" i="46" s="1"/>
  <c r="H51" i="122"/>
  <c r="M26" i="56"/>
  <c r="C63" i="56"/>
  <c r="M52" i="56"/>
  <c r="C24" i="135"/>
  <c r="H487" i="109"/>
  <c r="J487" i="109" s="1"/>
  <c r="K487" i="109" s="1"/>
  <c r="AD487" i="109" s="1"/>
  <c r="C740" i="148"/>
  <c r="N36" i="56"/>
  <c r="C315" i="148"/>
  <c r="M36" i="56"/>
  <c r="N26" i="56"/>
  <c r="M63" i="56"/>
  <c r="C52" i="56"/>
  <c r="C35" i="56"/>
  <c r="N35" i="56"/>
  <c r="M35" i="56"/>
  <c r="H170" i="109"/>
  <c r="J170" i="109" s="1"/>
  <c r="F171" i="109"/>
  <c r="H477" i="109"/>
  <c r="J477" i="109" s="1"/>
  <c r="K477" i="109" s="1"/>
  <c r="AD477" i="109" s="1"/>
  <c r="H484" i="109"/>
  <c r="J484" i="109" s="1"/>
  <c r="K484" i="109" s="1"/>
  <c r="AD484" i="109" s="1"/>
  <c r="I54" i="56"/>
  <c r="N62" i="56"/>
  <c r="M62" i="56"/>
  <c r="A266" i="109"/>
  <c r="D263" i="109"/>
  <c r="AO263" i="46" s="1"/>
  <c r="F263" i="46" s="1"/>
  <c r="D46" i="120"/>
  <c r="C69" i="142"/>
  <c r="C29" i="56"/>
  <c r="N29" i="56"/>
  <c r="M29" i="56"/>
  <c r="C34" i="56"/>
  <c r="M34" i="56"/>
  <c r="N34" i="56"/>
  <c r="H486" i="109"/>
  <c r="J486" i="109" s="1"/>
  <c r="K486" i="109" s="1"/>
  <c r="AD486" i="109" s="1"/>
  <c r="C30" i="135"/>
  <c r="N30" i="135"/>
  <c r="H31" i="135"/>
  <c r="A102" i="109"/>
  <c r="F172" i="109"/>
  <c r="AP172" i="46" s="1"/>
  <c r="H172" i="46" s="1"/>
  <c r="F173" i="109"/>
  <c r="AP173" i="46" s="1"/>
  <c r="H173" i="46" s="1"/>
  <c r="F168" i="109"/>
  <c r="AP168" i="46" s="1"/>
  <c r="H168" i="46" s="1"/>
  <c r="F166" i="109"/>
  <c r="N48" i="56"/>
  <c r="M48" i="56"/>
  <c r="A499" i="109"/>
  <c r="H482" i="109"/>
  <c r="J482" i="109" s="1"/>
  <c r="K482" i="109" s="1"/>
  <c r="AD482" i="109" s="1"/>
  <c r="H129" i="126"/>
  <c r="K483" i="109"/>
  <c r="AD483" i="109" s="1"/>
  <c r="C190" i="148"/>
  <c r="W290" i="148"/>
  <c r="C754" i="148"/>
  <c r="K12" i="143"/>
  <c r="L12" i="143" s="1"/>
  <c r="M239" i="143"/>
  <c r="U239" i="143"/>
  <c r="O214" i="148"/>
  <c r="C340" i="148"/>
  <c r="C290" i="148"/>
  <c r="S740" i="148"/>
  <c r="T740" i="148" s="1"/>
  <c r="N44" i="147"/>
  <c r="T44" i="147" s="1"/>
  <c r="U44" i="147" s="1"/>
  <c r="J41" i="147"/>
  <c r="N53" i="147"/>
  <c r="N56" i="147" s="1"/>
  <c r="N59" i="147" s="1"/>
  <c r="N62" i="147" s="1"/>
  <c r="N65" i="147" s="1"/>
  <c r="N68" i="147" s="1"/>
  <c r="N71" i="147" s="1"/>
  <c r="N74" i="147" s="1"/>
  <c r="N75" i="147" s="1"/>
  <c r="N78" i="147" s="1"/>
  <c r="N79" i="147" s="1"/>
  <c r="N82" i="147" s="1"/>
  <c r="N83" i="147" s="1"/>
  <c r="N84" i="147" s="1"/>
  <c r="J87" i="147" s="1"/>
  <c r="H46" i="147"/>
  <c r="U68" i="147"/>
  <c r="T35" i="147"/>
  <c r="H64" i="56"/>
  <c r="J38" i="147"/>
  <c r="A38" i="147" s="1"/>
  <c r="L38" i="147"/>
  <c r="M238" i="143"/>
  <c r="U238" i="143"/>
  <c r="D301" i="109"/>
  <c r="AO301" i="46" s="1"/>
  <c r="F301" i="46" s="1"/>
  <c r="M67" i="56"/>
  <c r="C56" i="56"/>
  <c r="C62" i="56"/>
  <c r="N54" i="56"/>
  <c r="C48" i="56"/>
  <c r="M64" i="56"/>
  <c r="M28" i="135"/>
  <c r="M30" i="135"/>
  <c r="N31" i="135"/>
  <c r="C61" i="56"/>
  <c r="N34" i="135"/>
  <c r="N21" i="135"/>
  <c r="C33" i="135"/>
  <c r="M59" i="56"/>
  <c r="N24" i="135"/>
  <c r="H188" i="60"/>
  <c r="H187" i="60"/>
  <c r="E40" i="60"/>
  <c r="O24" i="60"/>
  <c r="F40" i="60" s="1"/>
  <c r="G188" i="60" s="1"/>
  <c r="H190" i="60"/>
  <c r="H189" i="60"/>
  <c r="H184" i="60"/>
  <c r="T18" i="148"/>
  <c r="D160" i="109" l="1"/>
  <c r="G24" i="57"/>
  <c r="AO532" i="46" s="1"/>
  <c r="F532" i="46" s="1"/>
  <c r="G22" i="57"/>
  <c r="AO530" i="46" s="1"/>
  <c r="F530" i="46" s="1"/>
  <c r="G23" i="57"/>
  <c r="AO531" i="46" s="1"/>
  <c r="F531" i="46" s="1"/>
  <c r="D147" i="109"/>
  <c r="AO147" i="46" s="1"/>
  <c r="F147" i="46" s="1"/>
  <c r="D140" i="109"/>
  <c r="D138" i="109"/>
  <c r="AO138" i="46" s="1"/>
  <c r="F138" i="46" s="1"/>
  <c r="E118" i="137"/>
  <c r="D139" i="109"/>
  <c r="F118" i="137"/>
  <c r="A86" i="126"/>
  <c r="A123" i="126"/>
  <c r="H166" i="109"/>
  <c r="J166" i="109" s="1"/>
  <c r="AP166" i="46"/>
  <c r="H166" i="46" s="1"/>
  <c r="H100" i="125"/>
  <c r="AO155" i="46"/>
  <c r="F155" i="46" s="1"/>
  <c r="X228" i="120"/>
  <c r="AI228" i="120" s="1"/>
  <c r="S269" i="109"/>
  <c r="BG269" i="46" s="1"/>
  <c r="K467" i="109"/>
  <c r="AO467" i="46"/>
  <c r="F467" i="46" s="1"/>
  <c r="R470" i="109"/>
  <c r="BF470" i="46" s="1"/>
  <c r="D470" i="46"/>
  <c r="S512" i="109"/>
  <c r="BG512" i="46" s="1"/>
  <c r="AO512" i="46"/>
  <c r="F512" i="46" s="1"/>
  <c r="D142" i="109"/>
  <c r="AO142" i="46" s="1"/>
  <c r="F142" i="46" s="1"/>
  <c r="A230" i="109"/>
  <c r="AO230" i="46"/>
  <c r="F230" i="46" s="1"/>
  <c r="S156" i="109"/>
  <c r="BG156" i="46" s="1"/>
  <c r="AO156" i="46"/>
  <c r="F156" i="46" s="1"/>
  <c r="H30" i="109"/>
  <c r="J30" i="109" s="1"/>
  <c r="AQ30" i="46"/>
  <c r="S154" i="109"/>
  <c r="BG154" i="46" s="1"/>
  <c r="AO154" i="46"/>
  <c r="F154" i="46" s="1"/>
  <c r="H32" i="135"/>
  <c r="AQ299" i="46"/>
  <c r="J299" i="46" s="1"/>
  <c r="S160" i="109"/>
  <c r="BG160" i="46" s="1"/>
  <c r="AO160" i="46"/>
  <c r="F160" i="46" s="1"/>
  <c r="S304" i="109"/>
  <c r="BG304" i="46" s="1"/>
  <c r="AO304" i="46"/>
  <c r="F304" i="46" s="1"/>
  <c r="F224" i="46"/>
  <c r="BG224" i="46"/>
  <c r="S513" i="109"/>
  <c r="BG513" i="46" s="1"/>
  <c r="AO513" i="46"/>
  <c r="F513" i="46" s="1"/>
  <c r="H65" i="56"/>
  <c r="AP171" i="46"/>
  <c r="H171" i="46" s="1"/>
  <c r="I34" i="146"/>
  <c r="K244" i="109"/>
  <c r="AD244" i="109" s="1"/>
  <c r="AO244" i="46"/>
  <c r="F244" i="46" s="1"/>
  <c r="O118" i="137"/>
  <c r="R511" i="109"/>
  <c r="BF511" i="46" s="1"/>
  <c r="D511" i="46"/>
  <c r="BG226" i="46"/>
  <c r="A1" i="109"/>
  <c r="D456" i="109" s="1"/>
  <c r="O614" i="148" s="1"/>
  <c r="AC4" i="139"/>
  <c r="S231" i="109"/>
  <c r="BG231" i="46" s="1"/>
  <c r="A231" i="109"/>
  <c r="A264" i="109"/>
  <c r="K464" i="109"/>
  <c r="S464" i="109"/>
  <c r="BG464" i="46" s="1"/>
  <c r="A468" i="109"/>
  <c r="S468" i="109"/>
  <c r="BG468" i="46" s="1"/>
  <c r="K468" i="109"/>
  <c r="A465" i="109"/>
  <c r="K465" i="109"/>
  <c r="S465" i="109"/>
  <c r="BG465" i="46" s="1"/>
  <c r="A464" i="109"/>
  <c r="F466" i="109"/>
  <c r="AP466" i="46" s="1"/>
  <c r="H466" i="46" s="1"/>
  <c r="E466" i="109"/>
  <c r="AQ466" i="46" s="1"/>
  <c r="J466" i="46" s="1"/>
  <c r="A467" i="109"/>
  <c r="E469" i="109"/>
  <c r="AQ469" i="46" s="1"/>
  <c r="J469" i="46" s="1"/>
  <c r="S467" i="109"/>
  <c r="BG467" i="46" s="1"/>
  <c r="S230" i="109"/>
  <c r="BG230" i="46" s="1"/>
  <c r="H366" i="109"/>
  <c r="J366" i="109" s="1"/>
  <c r="H365" i="109"/>
  <c r="J365" i="109" s="1"/>
  <c r="H31" i="109"/>
  <c r="J31" i="109" s="1"/>
  <c r="D146" i="109"/>
  <c r="AO146" i="46" s="1"/>
  <c r="F146" i="46" s="1"/>
  <c r="D157" i="109"/>
  <c r="D120" i="109"/>
  <c r="D517" i="109"/>
  <c r="D516" i="109"/>
  <c r="D97" i="109"/>
  <c r="AO97" i="46" s="1"/>
  <c r="F97" i="46" s="1"/>
  <c r="D374" i="109"/>
  <c r="AO374" i="46" s="1"/>
  <c r="F374" i="46" s="1"/>
  <c r="D122" i="109"/>
  <c r="D303" i="109"/>
  <c r="A267" i="109"/>
  <c r="C268" i="109" s="1"/>
  <c r="T145" i="120"/>
  <c r="D141" i="109"/>
  <c r="AO141" i="46" s="1"/>
  <c r="F141" i="46" s="1"/>
  <c r="E185" i="60"/>
  <c r="E181" i="60" s="1"/>
  <c r="I6" i="143" s="1"/>
  <c r="K6" i="143" s="1"/>
  <c r="L6" i="143" s="1"/>
  <c r="M6" i="143" s="1"/>
  <c r="E229" i="120"/>
  <c r="H229" i="120" s="1"/>
  <c r="L229" i="120" s="1"/>
  <c r="E218" i="120"/>
  <c r="H218" i="120" s="1"/>
  <c r="M218" i="120" s="1"/>
  <c r="I231" i="143"/>
  <c r="K231" i="143" s="1"/>
  <c r="L231" i="143" s="1"/>
  <c r="D102" i="60"/>
  <c r="M138" i="120"/>
  <c r="E221" i="120"/>
  <c r="H221" i="120" s="1"/>
  <c r="M221" i="120" s="1"/>
  <c r="T144" i="120"/>
  <c r="T131" i="120"/>
  <c r="P129" i="120"/>
  <c r="Q118" i="120"/>
  <c r="C101" i="120" s="1"/>
  <c r="E101" i="120" s="1"/>
  <c r="D349" i="109" s="1"/>
  <c r="R134" i="120"/>
  <c r="S120" i="120"/>
  <c r="K122" i="120"/>
  <c r="T132" i="120"/>
  <c r="Q142" i="120"/>
  <c r="T135" i="120"/>
  <c r="T138" i="120"/>
  <c r="Q130" i="120"/>
  <c r="R123" i="120"/>
  <c r="K112" i="120"/>
  <c r="C89" i="120" s="1"/>
  <c r="E89" i="120" s="1"/>
  <c r="D337" i="109" s="1"/>
  <c r="AO337" i="46" s="1"/>
  <c r="F337" i="46" s="1"/>
  <c r="R131" i="120"/>
  <c r="N115" i="120"/>
  <c r="R119" i="120"/>
  <c r="T128" i="120"/>
  <c r="D299" i="109"/>
  <c r="AO299" i="46" s="1"/>
  <c r="F299" i="46" s="1"/>
  <c r="D300" i="109"/>
  <c r="AO300" i="46" s="1"/>
  <c r="F300" i="46" s="1"/>
  <c r="O128" i="120"/>
  <c r="O140" i="120"/>
  <c r="T140" i="120"/>
  <c r="L123" i="120"/>
  <c r="O126" i="120"/>
  <c r="R143" i="120"/>
  <c r="T137" i="120"/>
  <c r="T136" i="120"/>
  <c r="K136" i="120"/>
  <c r="L135" i="120"/>
  <c r="T143" i="120"/>
  <c r="L113" i="120"/>
  <c r="P127" i="120"/>
  <c r="T134" i="120"/>
  <c r="M124" i="120"/>
  <c r="T141" i="120"/>
  <c r="N139" i="120"/>
  <c r="R127" i="120"/>
  <c r="T130" i="120"/>
  <c r="P117" i="120"/>
  <c r="S132" i="120"/>
  <c r="N125" i="120"/>
  <c r="T129" i="120"/>
  <c r="R125" i="120"/>
  <c r="R135" i="120"/>
  <c r="O116" i="120"/>
  <c r="C97" i="120" s="1"/>
  <c r="E97" i="120" s="1"/>
  <c r="D345" i="109" s="1"/>
  <c r="R122" i="120"/>
  <c r="R124" i="120"/>
  <c r="T139" i="120"/>
  <c r="T121" i="120"/>
  <c r="M114" i="120"/>
  <c r="S144" i="120"/>
  <c r="T142" i="120"/>
  <c r="P141" i="120"/>
  <c r="T133" i="120"/>
  <c r="K134" i="120"/>
  <c r="R126" i="120"/>
  <c r="F457" i="109"/>
  <c r="AP457" i="46" s="1"/>
  <c r="H457" i="46" s="1"/>
  <c r="F456" i="109"/>
  <c r="AP456" i="46" s="1"/>
  <c r="H456" i="46" s="1"/>
  <c r="E205" i="120"/>
  <c r="H205" i="120" s="1"/>
  <c r="L205" i="120" s="1"/>
  <c r="E206" i="120"/>
  <c r="H206" i="120" s="1"/>
  <c r="N206" i="120" s="1"/>
  <c r="E225" i="120"/>
  <c r="H225" i="120" s="1"/>
  <c r="M225" i="120" s="1"/>
  <c r="E201" i="120"/>
  <c r="H201" i="120" s="1"/>
  <c r="N201" i="120" s="1"/>
  <c r="E228" i="120"/>
  <c r="H228" i="120" s="1"/>
  <c r="N228" i="120" s="1"/>
  <c r="E207" i="120"/>
  <c r="H207" i="120" s="1"/>
  <c r="M207" i="120" s="1"/>
  <c r="E213" i="120"/>
  <c r="H213" i="120" s="1"/>
  <c r="L213" i="120" s="1"/>
  <c r="E197" i="120"/>
  <c r="H197" i="120" s="1"/>
  <c r="M197" i="120" s="1"/>
  <c r="E200" i="120"/>
  <c r="H200" i="120" s="1"/>
  <c r="N200" i="120" s="1"/>
  <c r="E224" i="120"/>
  <c r="H224" i="120" s="1"/>
  <c r="L224" i="120" s="1"/>
  <c r="H2" i="109"/>
  <c r="F260" i="109" s="1"/>
  <c r="AP260" i="46" s="1"/>
  <c r="H260" i="46" s="1"/>
  <c r="S21" i="45"/>
  <c r="Q18" i="45"/>
  <c r="E198" i="120"/>
  <c r="H198" i="120" s="1"/>
  <c r="L198" i="120" s="1"/>
  <c r="E208" i="120"/>
  <c r="H208" i="120" s="1"/>
  <c r="N208" i="120" s="1"/>
  <c r="E226" i="120"/>
  <c r="H226" i="120" s="1"/>
  <c r="L226" i="120" s="1"/>
  <c r="E209" i="120"/>
  <c r="H209" i="120" s="1"/>
  <c r="L209" i="120" s="1"/>
  <c r="E214" i="120"/>
  <c r="H214" i="120" s="1"/>
  <c r="M214" i="120" s="1"/>
  <c r="E217" i="120"/>
  <c r="H217" i="120" s="1"/>
  <c r="L217" i="120" s="1"/>
  <c r="E227" i="120"/>
  <c r="H227" i="120" s="1"/>
  <c r="L227" i="120" s="1"/>
  <c r="E212" i="120"/>
  <c r="H212" i="120" s="1"/>
  <c r="M212" i="120" s="1"/>
  <c r="E199" i="120"/>
  <c r="H199" i="120" s="1"/>
  <c r="M199" i="120" s="1"/>
  <c r="D377" i="109"/>
  <c r="G289" i="148" s="1"/>
  <c r="G290" i="148" s="1"/>
  <c r="K290" i="148" s="1"/>
  <c r="L290" i="148" s="1"/>
  <c r="D378" i="109"/>
  <c r="AO378" i="46" s="1"/>
  <c r="AE223" i="120"/>
  <c r="AD241" i="120"/>
  <c r="AD233" i="120"/>
  <c r="F300" i="109"/>
  <c r="AP300" i="46" s="1"/>
  <c r="H300" i="46" s="1"/>
  <c r="E246" i="120"/>
  <c r="F80" i="60" s="1"/>
  <c r="L220" i="120"/>
  <c r="M220" i="120"/>
  <c r="X234" i="120"/>
  <c r="X224" i="120"/>
  <c r="X235" i="120"/>
  <c r="AE240" i="120"/>
  <c r="E211" i="120"/>
  <c r="H211" i="120" s="1"/>
  <c r="N211" i="120" s="1"/>
  <c r="E202" i="120"/>
  <c r="H202" i="120" s="1"/>
  <c r="M202" i="120" s="1"/>
  <c r="E216" i="120"/>
  <c r="H216" i="120" s="1"/>
  <c r="N216" i="120" s="1"/>
  <c r="E223" i="120"/>
  <c r="H223" i="120" s="1"/>
  <c r="N223" i="120" s="1"/>
  <c r="X236" i="120"/>
  <c r="X227" i="120"/>
  <c r="AI227" i="120" s="1"/>
  <c r="E222" i="120"/>
  <c r="H222" i="120" s="1"/>
  <c r="L222" i="120" s="1"/>
  <c r="AE234" i="120"/>
  <c r="E215" i="120"/>
  <c r="H215" i="120" s="1"/>
  <c r="L215" i="120" s="1"/>
  <c r="E204" i="120"/>
  <c r="H204" i="120" s="1"/>
  <c r="M204" i="120" s="1"/>
  <c r="E230" i="120"/>
  <c r="X226" i="120"/>
  <c r="F263" i="109"/>
  <c r="AD228" i="120"/>
  <c r="X239" i="120"/>
  <c r="AI239" i="120" s="1"/>
  <c r="X229" i="120"/>
  <c r="AI229" i="120" s="1"/>
  <c r="E203" i="120"/>
  <c r="H203" i="120" s="1"/>
  <c r="M203" i="120" s="1"/>
  <c r="E196" i="120"/>
  <c r="H196" i="120" s="1"/>
  <c r="N196" i="120" s="1"/>
  <c r="E210" i="120"/>
  <c r="H210" i="120" s="1"/>
  <c r="M210" i="120" s="1"/>
  <c r="AD226" i="120"/>
  <c r="E219" i="120"/>
  <c r="H219" i="120" s="1"/>
  <c r="N219" i="120" s="1"/>
  <c r="X233" i="120"/>
  <c r="AE227" i="120"/>
  <c r="X230" i="120"/>
  <c r="AI230" i="120" s="1"/>
  <c r="AD224" i="120"/>
  <c r="AD235" i="120"/>
  <c r="X223" i="120"/>
  <c r="X240" i="120"/>
  <c r="AI240" i="120" s="1"/>
  <c r="AE229" i="120"/>
  <c r="AD237" i="120"/>
  <c r="X222" i="120"/>
  <c r="X237" i="120"/>
  <c r="AI237" i="120" s="1"/>
  <c r="AE236" i="120"/>
  <c r="X241" i="120"/>
  <c r="AI241" i="120" s="1"/>
  <c r="AD230" i="120"/>
  <c r="F264" i="109"/>
  <c r="AP264" i="46" s="1"/>
  <c r="H264" i="46" s="1"/>
  <c r="D706" i="46"/>
  <c r="BF706" i="46" s="1"/>
  <c r="E93" i="126"/>
  <c r="B706" i="46" s="1"/>
  <c r="F472" i="109"/>
  <c r="AP472" i="46" s="1"/>
  <c r="A304" i="109"/>
  <c r="AE225" i="120"/>
  <c r="X225" i="120"/>
  <c r="AD239" i="120"/>
  <c r="H51" i="125"/>
  <c r="K459" i="109"/>
  <c r="S459" i="109"/>
  <c r="BG459" i="46" s="1"/>
  <c r="AE238" i="120"/>
  <c r="AD222" i="120"/>
  <c r="X238" i="120"/>
  <c r="C539" i="148"/>
  <c r="C57" i="120"/>
  <c r="D57" i="120" s="1"/>
  <c r="C59" i="120" s="1"/>
  <c r="D59" i="120" s="1"/>
  <c r="O439" i="148"/>
  <c r="S155" i="109"/>
  <c r="BG155" i="46" s="1"/>
  <c r="F742" i="46"/>
  <c r="BG742" i="46" s="1"/>
  <c r="A129" i="126"/>
  <c r="F741" i="46"/>
  <c r="BG741" i="46" s="1"/>
  <c r="A128" i="126"/>
  <c r="F735" i="46"/>
  <c r="BG735" i="46" s="1"/>
  <c r="A122" i="126"/>
  <c r="E114" i="126"/>
  <c r="B727" i="46" s="1"/>
  <c r="D727" i="46"/>
  <c r="BF727" i="46" s="1"/>
  <c r="N220" i="120"/>
  <c r="C22" i="150"/>
  <c r="C105" i="120"/>
  <c r="E105" i="120" s="1"/>
  <c r="D353" i="109" s="1"/>
  <c r="AO353" i="46" s="1"/>
  <c r="F353" i="46" s="1"/>
  <c r="C91" i="120"/>
  <c r="E91" i="120" s="1"/>
  <c r="D339" i="109" s="1"/>
  <c r="AO339" i="46" s="1"/>
  <c r="F339" i="46" s="1"/>
  <c r="C99" i="120"/>
  <c r="E99" i="120" s="1"/>
  <c r="D347" i="109" s="1"/>
  <c r="AO347" i="46" s="1"/>
  <c r="F347" i="46" s="1"/>
  <c r="C93" i="120"/>
  <c r="E93" i="120" s="1"/>
  <c r="D341" i="109" s="1"/>
  <c r="AO341" i="46" s="1"/>
  <c r="F341" i="46" s="1"/>
  <c r="C103" i="120"/>
  <c r="E103" i="120" s="1"/>
  <c r="D351" i="109" s="1"/>
  <c r="AO351" i="46" s="1"/>
  <c r="F351" i="46" s="1"/>
  <c r="C95" i="120"/>
  <c r="E95" i="120" s="1"/>
  <c r="D343" i="109" s="1"/>
  <c r="AO343" i="46" s="1"/>
  <c r="F343" i="46" s="1"/>
  <c r="C107" i="120"/>
  <c r="E107" i="120" s="1"/>
  <c r="D355" i="109" s="1"/>
  <c r="AO355" i="46" s="1"/>
  <c r="F355" i="46" s="1"/>
  <c r="S521" i="109"/>
  <c r="K521" i="109"/>
  <c r="H131" i="126"/>
  <c r="B501" i="109"/>
  <c r="B501" i="46" s="1"/>
  <c r="D375" i="109"/>
  <c r="O264" i="148" s="1"/>
  <c r="D380" i="109"/>
  <c r="O289" i="148" s="1"/>
  <c r="O290" i="148" s="1"/>
  <c r="T287" i="148" s="1"/>
  <c r="C501" i="109"/>
  <c r="A501" i="109"/>
  <c r="AC24" i="137"/>
  <c r="AP548" i="46" s="1"/>
  <c r="AO548" i="46" s="1"/>
  <c r="F548" i="46" s="1"/>
  <c r="L118" i="137"/>
  <c r="C472" i="109"/>
  <c r="D472" i="46" s="1"/>
  <c r="N46" i="147"/>
  <c r="F13" i="147" s="1"/>
  <c r="L13" i="147" s="1"/>
  <c r="D124" i="109"/>
  <c r="AO124" i="46" s="1"/>
  <c r="F124" i="46" s="1"/>
  <c r="D166" i="109"/>
  <c r="D172" i="109"/>
  <c r="D145" i="109"/>
  <c r="AO145" i="46" s="1"/>
  <c r="D161" i="109"/>
  <c r="AO161" i="46" s="1"/>
  <c r="F161" i="46" s="1"/>
  <c r="D125" i="109"/>
  <c r="AO125" i="46" s="1"/>
  <c r="F125" i="46" s="1"/>
  <c r="D165" i="109"/>
  <c r="AO165" i="46" s="1"/>
  <c r="F165" i="46" s="1"/>
  <c r="D170" i="109"/>
  <c r="D158" i="109"/>
  <c r="AO158" i="46" s="1"/>
  <c r="F158" i="46" s="1"/>
  <c r="D148" i="109"/>
  <c r="D123" i="109"/>
  <c r="AO123" i="46" s="1"/>
  <c r="F123" i="46" s="1"/>
  <c r="D173" i="109"/>
  <c r="AO173" i="46" s="1"/>
  <c r="F173" i="46" s="1"/>
  <c r="D121" i="109"/>
  <c r="AO121" i="46" s="1"/>
  <c r="F121" i="46" s="1"/>
  <c r="D168" i="109"/>
  <c r="D99" i="109"/>
  <c r="AO99" i="46" s="1"/>
  <c r="F99" i="46" s="1"/>
  <c r="AC18" i="137"/>
  <c r="AP546" i="46" s="1"/>
  <c r="AO546" i="46" s="1"/>
  <c r="F546" i="46" s="1"/>
  <c r="W207" i="137"/>
  <c r="Y207" i="137" s="1"/>
  <c r="D95" i="109"/>
  <c r="AO95" i="46" s="1"/>
  <c r="F95" i="46" s="1"/>
  <c r="S306" i="109"/>
  <c r="BG306" i="46" s="1"/>
  <c r="H76" i="126"/>
  <c r="A76" i="126" s="1"/>
  <c r="A70" i="126" s="1"/>
  <c r="H306" i="109"/>
  <c r="J306" i="109" s="1"/>
  <c r="K306" i="109" s="1"/>
  <c r="H121" i="126"/>
  <c r="H119" i="126"/>
  <c r="H120" i="126"/>
  <c r="S373" i="109"/>
  <c r="BG373" i="46" s="1"/>
  <c r="D381" i="109"/>
  <c r="AO381" i="46" s="1"/>
  <c r="F381" i="46" s="1"/>
  <c r="D376" i="109"/>
  <c r="AO376" i="46" s="1"/>
  <c r="F376" i="46" s="1"/>
  <c r="H92" i="125"/>
  <c r="R44" i="147"/>
  <c r="R46" i="147" s="1"/>
  <c r="U65" i="147" s="1"/>
  <c r="V65" i="147" s="1"/>
  <c r="I32" i="146"/>
  <c r="D151" i="109" s="1"/>
  <c r="AO151" i="46" s="1"/>
  <c r="F151" i="46" s="1"/>
  <c r="I33" i="146"/>
  <c r="D152" i="109" s="1"/>
  <c r="AO152" i="46" s="1"/>
  <c r="F152" i="46" s="1"/>
  <c r="U59" i="147"/>
  <c r="V59" i="147" s="1"/>
  <c r="N102" i="147" s="1"/>
  <c r="R102" i="147" s="1"/>
  <c r="W210" i="137"/>
  <c r="Y210" i="137" s="1"/>
  <c r="I204" i="143"/>
  <c r="K204" i="143" s="1"/>
  <c r="L204" i="143" s="1"/>
  <c r="M204" i="143" s="1"/>
  <c r="A506" i="109"/>
  <c r="H92" i="126" s="1"/>
  <c r="W208" i="137"/>
  <c r="Y208" i="137" s="1"/>
  <c r="A41" i="147"/>
  <c r="A44" i="147" s="1"/>
  <c r="H101" i="125"/>
  <c r="C506" i="109"/>
  <c r="D506" i="46" s="1"/>
  <c r="W209" i="137"/>
  <c r="Y209" i="137" s="1"/>
  <c r="B506" i="109"/>
  <c r="W212" i="137"/>
  <c r="Y212" i="137" s="1"/>
  <c r="Y214" i="137" s="1"/>
  <c r="AC23" i="137"/>
  <c r="AP547" i="46" s="1"/>
  <c r="H547" i="46" s="1"/>
  <c r="C69" i="110"/>
  <c r="B70" i="110"/>
  <c r="C70" i="110" s="1"/>
  <c r="P44" i="147"/>
  <c r="P46" i="147" s="1"/>
  <c r="H13" i="147" s="1"/>
  <c r="H171" i="109"/>
  <c r="J171" i="109" s="1"/>
  <c r="B744" i="46"/>
  <c r="D744" i="46"/>
  <c r="BF744" i="46" s="1"/>
  <c r="S244" i="109"/>
  <c r="BG244" i="46" s="1"/>
  <c r="W211" i="137"/>
  <c r="Y211" i="137" s="1"/>
  <c r="U206" i="143"/>
  <c r="A2" i="109"/>
  <c r="D457" i="109" s="1"/>
  <c r="AO457" i="46" s="1"/>
  <c r="F457" i="46" s="1"/>
  <c r="K50" i="60"/>
  <c r="R28" i="148"/>
  <c r="G50" i="60"/>
  <c r="L50" i="60"/>
  <c r="Q9" i="120" s="1"/>
  <c r="Q10" i="120" s="1"/>
  <c r="O12" i="120" s="1"/>
  <c r="H50" i="60"/>
  <c r="AD4" i="139" s="1"/>
  <c r="D10" i="120"/>
  <c r="E13" i="120"/>
  <c r="L295" i="120"/>
  <c r="H34" i="60"/>
  <c r="C11" i="120"/>
  <c r="C20" i="120" s="1"/>
  <c r="C45" i="120" s="1"/>
  <c r="A147" i="109"/>
  <c r="S147" i="109"/>
  <c r="BG147" i="46" s="1"/>
  <c r="F167" i="109"/>
  <c r="U50" i="147"/>
  <c r="V50" i="147" s="1"/>
  <c r="G27" i="132"/>
  <c r="R251" i="143"/>
  <c r="G23" i="132"/>
  <c r="O251" i="143"/>
  <c r="S118" i="137"/>
  <c r="AC17" i="137" s="1"/>
  <c r="AP545" i="46" s="1"/>
  <c r="G291" i="148"/>
  <c r="AK86" i="147"/>
  <c r="C48" i="120"/>
  <c r="H157" i="120"/>
  <c r="C25" i="120"/>
  <c r="G1" i="109" s="1"/>
  <c r="H295" i="120"/>
  <c r="D455" i="109" s="1"/>
  <c r="F427" i="109"/>
  <c r="AP427" i="46" s="1"/>
  <c r="H427" i="46" s="1"/>
  <c r="K512" i="109"/>
  <c r="K513" i="109"/>
  <c r="H173" i="109"/>
  <c r="A103" i="109"/>
  <c r="H68" i="125" s="1"/>
  <c r="B103" i="109"/>
  <c r="B103" i="46" s="1"/>
  <c r="C103" i="109"/>
  <c r="M12" i="143"/>
  <c r="U12" i="143"/>
  <c r="H69" i="142"/>
  <c r="E69" i="142"/>
  <c r="N44" i="120"/>
  <c r="C198" i="120"/>
  <c r="N46" i="120"/>
  <c r="N47" i="120"/>
  <c r="N45" i="120"/>
  <c r="C45" i="109" s="1"/>
  <c r="D45" i="46" s="1"/>
  <c r="H60" i="56"/>
  <c r="K160" i="109"/>
  <c r="AD160" i="109" s="1"/>
  <c r="A160" i="109"/>
  <c r="H168" i="109"/>
  <c r="J168" i="109" s="1"/>
  <c r="F169" i="109"/>
  <c r="AP169" i="46" s="1"/>
  <c r="H169" i="46" s="1"/>
  <c r="H62" i="56"/>
  <c r="A263" i="109"/>
  <c r="H172" i="109"/>
  <c r="O216" i="148"/>
  <c r="O215" i="148"/>
  <c r="O265" i="148"/>
  <c r="O266" i="148"/>
  <c r="D22" i="142"/>
  <c r="D519" i="109"/>
  <c r="AO519" i="46" s="1"/>
  <c r="I9" i="137"/>
  <c r="B54" i="122"/>
  <c r="H15" i="57"/>
  <c r="T46" i="147"/>
  <c r="U35" i="147"/>
  <c r="U46" i="147" s="1"/>
  <c r="G187" i="60"/>
  <c r="G189" i="60"/>
  <c r="G190" i="60"/>
  <c r="G40" i="60"/>
  <c r="G31" i="135"/>
  <c r="G34" i="135"/>
  <c r="A138" i="109" l="1"/>
  <c r="K138" i="109"/>
  <c r="AD138" i="109" s="1"/>
  <c r="A142" i="109"/>
  <c r="N9" i="120"/>
  <c r="D243" i="109" s="1"/>
  <c r="AO243" i="46" s="1"/>
  <c r="I258" i="143"/>
  <c r="S456" i="109"/>
  <c r="BG456" i="46" s="1"/>
  <c r="K139" i="109"/>
  <c r="AD139" i="109" s="1"/>
  <c r="AO139" i="46"/>
  <c r="F139" i="46" s="1"/>
  <c r="A139" i="109"/>
  <c r="D256" i="120"/>
  <c r="H24" i="57"/>
  <c r="H22" i="57"/>
  <c r="H23" i="57"/>
  <c r="F139" i="109"/>
  <c r="AJ228" i="120"/>
  <c r="K142" i="109"/>
  <c r="AD142" i="109" s="1"/>
  <c r="O291" i="148"/>
  <c r="AB310" i="148" s="1"/>
  <c r="L287" i="148"/>
  <c r="S290" i="148"/>
  <c r="T290" i="148" s="1"/>
  <c r="C232" i="109"/>
  <c r="R232" i="109" s="1"/>
  <c r="BF232" i="46" s="1"/>
  <c r="Y310" i="148"/>
  <c r="AA310" i="148"/>
  <c r="Z310" i="148"/>
  <c r="B232" i="109"/>
  <c r="B232" i="46" s="1"/>
  <c r="K170" i="109"/>
  <c r="AD170" i="109" s="1"/>
  <c r="AO170" i="46"/>
  <c r="F170" i="46" s="1"/>
  <c r="S377" i="109"/>
  <c r="BG377" i="46" s="1"/>
  <c r="AO377" i="46"/>
  <c r="F377" i="46" s="1"/>
  <c r="S345" i="109"/>
  <c r="BG345" i="46" s="1"/>
  <c r="AO345" i="46"/>
  <c r="F345" i="46" s="1"/>
  <c r="S303" i="109"/>
  <c r="BG303" i="46" s="1"/>
  <c r="AO303" i="46"/>
  <c r="F303" i="46" s="1"/>
  <c r="A140" i="109"/>
  <c r="AO140" i="46"/>
  <c r="F140" i="46" s="1"/>
  <c r="K157" i="109"/>
  <c r="AD157" i="109" s="1"/>
  <c r="AO157" i="46"/>
  <c r="F157" i="46" s="1"/>
  <c r="I205" i="143"/>
  <c r="K205" i="143" s="1"/>
  <c r="L205" i="143" s="1"/>
  <c r="M205" i="143" s="1"/>
  <c r="AO455" i="46"/>
  <c r="F455" i="46" s="1"/>
  <c r="E92" i="126"/>
  <c r="B705" i="46" s="1"/>
  <c r="B506" i="46"/>
  <c r="S172" i="109"/>
  <c r="BG172" i="46" s="1"/>
  <c r="AO172" i="46"/>
  <c r="F172" i="46" s="1"/>
  <c r="R501" i="109"/>
  <c r="BF501" i="46" s="1"/>
  <c r="D501" i="46"/>
  <c r="K122" i="109"/>
  <c r="AD122" i="109" s="1"/>
  <c r="AO122" i="46"/>
  <c r="F122" i="46" s="1"/>
  <c r="K516" i="109"/>
  <c r="AO516" i="46"/>
  <c r="F516" i="46" s="1"/>
  <c r="E37" i="125"/>
  <c r="AP269" i="46"/>
  <c r="H269" i="46" s="1"/>
  <c r="D47" i="142"/>
  <c r="H61" i="56"/>
  <c r="AP167" i="46"/>
  <c r="H167" i="46" s="1"/>
  <c r="S168" i="109"/>
  <c r="BG168" i="46" s="1"/>
  <c r="AO168" i="46"/>
  <c r="F168" i="46" s="1"/>
  <c r="D150" i="109"/>
  <c r="AO150" i="46" s="1"/>
  <c r="F150" i="46" s="1"/>
  <c r="AO148" i="46"/>
  <c r="F148" i="46" s="1"/>
  <c r="K166" i="109"/>
  <c r="AD166" i="109" s="1"/>
  <c r="AO166" i="46"/>
  <c r="F166" i="46" s="1"/>
  <c r="S380" i="109"/>
  <c r="BG380" i="46" s="1"/>
  <c r="AO380" i="46"/>
  <c r="F380" i="46" s="1"/>
  <c r="H263" i="109"/>
  <c r="J263" i="109" s="1"/>
  <c r="K263" i="109" s="1"/>
  <c r="AP263" i="46"/>
  <c r="H263" i="46" s="1"/>
  <c r="S349" i="109"/>
  <c r="BG349" i="46" s="1"/>
  <c r="AO349" i="46"/>
  <c r="F349" i="46" s="1"/>
  <c r="K517" i="109"/>
  <c r="AO517" i="46"/>
  <c r="F517" i="46" s="1"/>
  <c r="A456" i="109"/>
  <c r="AO456" i="46"/>
  <c r="F456" i="46" s="1"/>
  <c r="H270" i="109"/>
  <c r="J270" i="109" s="1"/>
  <c r="AP270" i="46"/>
  <c r="H270" i="46" s="1"/>
  <c r="D48" i="142"/>
  <c r="D270" i="109"/>
  <c r="R103" i="109"/>
  <c r="BF103" i="46" s="1"/>
  <c r="D103" i="46"/>
  <c r="S375" i="109"/>
  <c r="BG375" i="46" s="1"/>
  <c r="AO375" i="46"/>
  <c r="F375" i="46" s="1"/>
  <c r="R268" i="109"/>
  <c r="BF268" i="46" s="1"/>
  <c r="D268" i="46"/>
  <c r="K120" i="109"/>
  <c r="AD120" i="109" s="1"/>
  <c r="AO120" i="46"/>
  <c r="F120" i="46" s="1"/>
  <c r="A232" i="109"/>
  <c r="H71" i="125" s="1"/>
  <c r="A141" i="109"/>
  <c r="K141" i="109"/>
  <c r="AD141" i="109" s="1"/>
  <c r="AI234" i="120"/>
  <c r="AJ234" i="120" s="1"/>
  <c r="K455" i="109"/>
  <c r="K456" i="109" s="1"/>
  <c r="K457" i="109" s="1"/>
  <c r="S455" i="109"/>
  <c r="BG455" i="46" s="1"/>
  <c r="H44" i="125"/>
  <c r="S374" i="109"/>
  <c r="BG374" i="46" s="1"/>
  <c r="S300" i="109"/>
  <c r="BG300" i="46" s="1"/>
  <c r="H93" i="125"/>
  <c r="S120" i="109"/>
  <c r="BG120" i="46" s="1"/>
  <c r="A157" i="109"/>
  <c r="H54" i="122"/>
  <c r="A303" i="109"/>
  <c r="A305" i="109" s="1"/>
  <c r="H65" i="125" s="1"/>
  <c r="K140" i="109"/>
  <c r="AD140" i="109" s="1"/>
  <c r="C469" i="109"/>
  <c r="B469" i="109"/>
  <c r="B469" i="46" s="1"/>
  <c r="A469" i="109"/>
  <c r="F469" i="109" s="1"/>
  <c r="AP469" i="46" s="1"/>
  <c r="H469" i="46" s="1"/>
  <c r="S122" i="109"/>
  <c r="BG122" i="46" s="1"/>
  <c r="S146" i="109"/>
  <c r="BG146" i="46" s="1"/>
  <c r="C466" i="109"/>
  <c r="B466" i="109"/>
  <c r="B466" i="46" s="1"/>
  <c r="A466" i="109"/>
  <c r="S157" i="109"/>
  <c r="BG157" i="46" s="1"/>
  <c r="A377" i="109"/>
  <c r="A268" i="109"/>
  <c r="I11" i="143" s="1"/>
  <c r="K11" i="143" s="1"/>
  <c r="L11" i="143" s="1"/>
  <c r="B268" i="109"/>
  <c r="D382" i="109"/>
  <c r="G314" i="148" s="1"/>
  <c r="P102" i="147"/>
  <c r="F21" i="147"/>
  <c r="J21" i="147" s="1"/>
  <c r="T102" i="147"/>
  <c r="U102" i="147" s="1"/>
  <c r="L218" i="120"/>
  <c r="N218" i="120"/>
  <c r="G54" i="56"/>
  <c r="N213" i="120"/>
  <c r="AJ349" i="109"/>
  <c r="N197" i="120"/>
  <c r="M229" i="120"/>
  <c r="N229" i="120"/>
  <c r="G158" i="60"/>
  <c r="AF4" i="139"/>
  <c r="AJ227" i="120"/>
  <c r="C757" i="148"/>
  <c r="N224" i="120"/>
  <c r="M224" i="120"/>
  <c r="N146" i="120"/>
  <c r="K349" i="109"/>
  <c r="Q146" i="120"/>
  <c r="C100" i="120"/>
  <c r="E100" i="120" s="1"/>
  <c r="D348" i="109" s="1"/>
  <c r="M209" i="120"/>
  <c r="N221" i="120"/>
  <c r="L221" i="120"/>
  <c r="C98" i="120"/>
  <c r="E98" i="120" s="1"/>
  <c r="D346" i="109" s="1"/>
  <c r="AJ337" i="109"/>
  <c r="C104" i="120"/>
  <c r="E104" i="120" s="1"/>
  <c r="D352" i="109" s="1"/>
  <c r="M146" i="120"/>
  <c r="C94" i="120"/>
  <c r="E94" i="120" s="1"/>
  <c r="D342" i="109" s="1"/>
  <c r="K146" i="120"/>
  <c r="K377" i="109"/>
  <c r="K380" i="109"/>
  <c r="O146" i="120"/>
  <c r="L200" i="120"/>
  <c r="M200" i="120"/>
  <c r="AI233" i="120"/>
  <c r="U220" i="120" s="1"/>
  <c r="H66" i="56"/>
  <c r="H260" i="109"/>
  <c r="J260" i="109" s="1"/>
  <c r="F261" i="109"/>
  <c r="M227" i="120"/>
  <c r="M226" i="120"/>
  <c r="L197" i="120"/>
  <c r="N227" i="120"/>
  <c r="N226" i="120"/>
  <c r="N209" i="120"/>
  <c r="C56" i="125"/>
  <c r="C92" i="120"/>
  <c r="E92" i="120" s="1"/>
  <c r="D340" i="109" s="1"/>
  <c r="C106" i="120"/>
  <c r="E106" i="120" s="1"/>
  <c r="D354" i="109" s="1"/>
  <c r="P146" i="120"/>
  <c r="M231" i="143"/>
  <c r="U231" i="143"/>
  <c r="T146" i="120"/>
  <c r="T147" i="120" s="1"/>
  <c r="C88" i="120"/>
  <c r="E88" i="120" s="1"/>
  <c r="D336" i="109" s="1"/>
  <c r="S337" i="109"/>
  <c r="BG337" i="46" s="1"/>
  <c r="C96" i="120"/>
  <c r="E96" i="120" s="1"/>
  <c r="D344" i="109" s="1"/>
  <c r="R146" i="120"/>
  <c r="S146" i="120"/>
  <c r="L146" i="120"/>
  <c r="C102" i="120"/>
  <c r="E102" i="120" s="1"/>
  <c r="D350" i="109" s="1"/>
  <c r="N205" i="120"/>
  <c r="L201" i="120"/>
  <c r="M205" i="120"/>
  <c r="N225" i="120"/>
  <c r="L225" i="120"/>
  <c r="M201" i="120"/>
  <c r="C90" i="120"/>
  <c r="E90" i="120" s="1"/>
  <c r="D338" i="109" s="1"/>
  <c r="AO338" i="46" s="1"/>
  <c r="F338" i="46" s="1"/>
  <c r="G33" i="135"/>
  <c r="G32" i="135"/>
  <c r="K345" i="109"/>
  <c r="K337" i="109"/>
  <c r="L206" i="120"/>
  <c r="M206" i="120"/>
  <c r="AJ345" i="109"/>
  <c r="L228" i="120"/>
  <c r="L219" i="120"/>
  <c r="L214" i="120"/>
  <c r="N214" i="120"/>
  <c r="M217" i="120"/>
  <c r="N217" i="120"/>
  <c r="N199" i="120"/>
  <c r="L212" i="120"/>
  <c r="L199" i="120"/>
  <c r="N212" i="120"/>
  <c r="L211" i="120"/>
  <c r="L207" i="120"/>
  <c r="N207" i="120"/>
  <c r="N198" i="120"/>
  <c r="M228" i="120"/>
  <c r="M198" i="120"/>
  <c r="M213" i="120"/>
  <c r="L208" i="120"/>
  <c r="M208" i="120"/>
  <c r="E472" i="109"/>
  <c r="AQ472" i="46" s="1"/>
  <c r="H264" i="109"/>
  <c r="J264" i="109" s="1"/>
  <c r="K264" i="109" s="1"/>
  <c r="S264" i="109"/>
  <c r="BG264" i="46" s="1"/>
  <c r="D383" i="109"/>
  <c r="AO383" i="46" s="1"/>
  <c r="S378" i="109"/>
  <c r="A378" i="109"/>
  <c r="K378" i="109"/>
  <c r="AI235" i="120"/>
  <c r="I20" i="122"/>
  <c r="L202" i="120"/>
  <c r="I157" i="60"/>
  <c r="L203" i="120"/>
  <c r="L216" i="120"/>
  <c r="G157" i="60"/>
  <c r="D313" i="109" s="1"/>
  <c r="L204" i="120"/>
  <c r="I33" i="135"/>
  <c r="M211" i="120"/>
  <c r="AI222" i="120"/>
  <c r="U215" i="120" s="1"/>
  <c r="N215" i="120"/>
  <c r="AJ239" i="120"/>
  <c r="M215" i="120"/>
  <c r="AI224" i="120"/>
  <c r="AJ224" i="120" s="1"/>
  <c r="H300" i="109"/>
  <c r="J300" i="109" s="1"/>
  <c r="K300" i="109" s="1"/>
  <c r="AI236" i="120"/>
  <c r="AJ236" i="120" s="1"/>
  <c r="M196" i="120"/>
  <c r="M223" i="120"/>
  <c r="AJ241" i="120"/>
  <c r="L223" i="120"/>
  <c r="L196" i="120"/>
  <c r="T217" i="120"/>
  <c r="F283" i="109" s="1"/>
  <c r="N202" i="120"/>
  <c r="N210" i="120"/>
  <c r="AJ229" i="120"/>
  <c r="T216" i="120"/>
  <c r="F282" i="109" s="1"/>
  <c r="AP282" i="46" s="1"/>
  <c r="AJ240" i="120"/>
  <c r="T218" i="120"/>
  <c r="F284" i="109" s="1"/>
  <c r="AP284" i="46" s="1"/>
  <c r="U218" i="120"/>
  <c r="AJ237" i="120"/>
  <c r="U217" i="120"/>
  <c r="AJ223" i="120"/>
  <c r="U224" i="120"/>
  <c r="T223" i="120"/>
  <c r="N203" i="120"/>
  <c r="N222" i="120"/>
  <c r="AJ235" i="120"/>
  <c r="U221" i="120"/>
  <c r="N204" i="120"/>
  <c r="M216" i="120"/>
  <c r="L210" i="120"/>
  <c r="M222" i="120"/>
  <c r="S263" i="109"/>
  <c r="BG263" i="46" s="1"/>
  <c r="AJ230" i="120"/>
  <c r="T219" i="120"/>
  <c r="F285" i="109" s="1"/>
  <c r="AP285" i="46" s="1"/>
  <c r="U222" i="120"/>
  <c r="H269" i="109"/>
  <c r="J269" i="109" s="1"/>
  <c r="K269" i="109" s="1"/>
  <c r="U216" i="120"/>
  <c r="U223" i="120"/>
  <c r="U219" i="120"/>
  <c r="T222" i="120"/>
  <c r="T220" i="120"/>
  <c r="F286" i="109" s="1"/>
  <c r="AP286" i="46" s="1"/>
  <c r="AI226" i="120"/>
  <c r="AJ226" i="120" s="1"/>
  <c r="T224" i="120"/>
  <c r="M219" i="120"/>
  <c r="AI223" i="120"/>
  <c r="T221" i="120"/>
  <c r="F287" i="109" s="1"/>
  <c r="T215" i="120"/>
  <c r="F281" i="109" s="1"/>
  <c r="U53" i="147"/>
  <c r="V53" i="147" s="1"/>
  <c r="V68" i="147" s="1"/>
  <c r="J13" i="147" s="1"/>
  <c r="D13" i="147" s="1"/>
  <c r="C13" i="147" s="1"/>
  <c r="R506" i="109"/>
  <c r="BF506" i="46" s="1"/>
  <c r="G92" i="126"/>
  <c r="D705" i="46" s="1"/>
  <c r="BF705" i="46" s="1"/>
  <c r="AI238" i="120"/>
  <c r="AJ238" i="120" s="1"/>
  <c r="AI225" i="120"/>
  <c r="AJ225" i="120"/>
  <c r="C58" i="120"/>
  <c r="D58" i="120" s="1"/>
  <c r="H104" i="125" s="1"/>
  <c r="O441" i="148"/>
  <c r="O440" i="148"/>
  <c r="A380" i="109"/>
  <c r="E187" i="109"/>
  <c r="AQ187" i="46" s="1"/>
  <c r="E186" i="109"/>
  <c r="AQ186" i="46" s="1"/>
  <c r="A457" i="109"/>
  <c r="S457" i="109"/>
  <c r="BG457" i="46" s="1"/>
  <c r="H548" i="46"/>
  <c r="BG548" i="46" s="1"/>
  <c r="H546" i="46"/>
  <c r="BG546" i="46" s="1"/>
  <c r="F437" i="109"/>
  <c r="AP437" i="46" s="1"/>
  <c r="F440" i="109"/>
  <c r="AP440" i="46" s="1"/>
  <c r="F439" i="109"/>
  <c r="AP439" i="46" s="1"/>
  <c r="F438" i="109"/>
  <c r="AP438" i="46" s="1"/>
  <c r="F705" i="46"/>
  <c r="BG705" i="46" s="1"/>
  <c r="A92" i="126"/>
  <c r="F733" i="46"/>
  <c r="BG733" i="46" s="1"/>
  <c r="A120" i="126"/>
  <c r="F744" i="46"/>
  <c r="BG744" i="46" s="1"/>
  <c r="A131" i="126"/>
  <c r="F732" i="46"/>
  <c r="BG732" i="46" s="1"/>
  <c r="A119" i="126"/>
  <c r="F734" i="46"/>
  <c r="BG734" i="46" s="1"/>
  <c r="A121" i="126"/>
  <c r="U204" i="143"/>
  <c r="K168" i="109"/>
  <c r="AD168" i="109" s="1"/>
  <c r="K375" i="109"/>
  <c r="A375" i="109"/>
  <c r="S519" i="109"/>
  <c r="K519" i="109"/>
  <c r="S166" i="109"/>
  <c r="BG166" i="46" s="1"/>
  <c r="S55" i="150"/>
  <c r="R53" i="150"/>
  <c r="G53" i="150" s="1"/>
  <c r="R55" i="150"/>
  <c r="G55" i="150" s="1"/>
  <c r="R49" i="150"/>
  <c r="G49" i="150" s="1"/>
  <c r="S51" i="150"/>
  <c r="S49" i="150"/>
  <c r="R51" i="150"/>
  <c r="G51" i="150" s="1"/>
  <c r="R57" i="150"/>
  <c r="G57" i="150" s="1"/>
  <c r="S53" i="150"/>
  <c r="S57" i="150"/>
  <c r="S351" i="109"/>
  <c r="BG351" i="46" s="1"/>
  <c r="K351" i="109"/>
  <c r="AJ351" i="109"/>
  <c r="S341" i="109"/>
  <c r="BG341" i="46" s="1"/>
  <c r="AJ341" i="109"/>
  <c r="K341" i="109"/>
  <c r="AJ347" i="109"/>
  <c r="S347" i="109"/>
  <c r="BG347" i="46" s="1"/>
  <c r="K347" i="109"/>
  <c r="S339" i="109"/>
  <c r="BG339" i="46" s="1"/>
  <c r="K339" i="109"/>
  <c r="AJ339" i="109"/>
  <c r="K355" i="109"/>
  <c r="S355" i="109"/>
  <c r="BG355" i="46" s="1"/>
  <c r="AJ355" i="109"/>
  <c r="S353" i="109"/>
  <c r="BG353" i="46" s="1"/>
  <c r="AJ353" i="109"/>
  <c r="K353" i="109"/>
  <c r="AJ343" i="109"/>
  <c r="K343" i="109"/>
  <c r="S343" i="109"/>
  <c r="BG343" i="46" s="1"/>
  <c r="D69" i="142"/>
  <c r="R472" i="109"/>
  <c r="BF472" i="46" s="1"/>
  <c r="D171" i="109"/>
  <c r="S148" i="109"/>
  <c r="BG148" i="46" s="1"/>
  <c r="A148" i="109"/>
  <c r="A149" i="109" s="1"/>
  <c r="G60" i="56"/>
  <c r="J60" i="56" s="1"/>
  <c r="G52" i="56"/>
  <c r="S158" i="109"/>
  <c r="BG158" i="46" s="1"/>
  <c r="A158" i="109"/>
  <c r="K158" i="109"/>
  <c r="AD158" i="109" s="1"/>
  <c r="W732" i="148"/>
  <c r="S170" i="109"/>
  <c r="BG170" i="46" s="1"/>
  <c r="G64" i="56"/>
  <c r="J64" i="56" s="1"/>
  <c r="G56" i="56"/>
  <c r="K165" i="109"/>
  <c r="AD165" i="109" s="1"/>
  <c r="G59" i="56"/>
  <c r="J59" i="56" s="1"/>
  <c r="S165" i="109"/>
  <c r="BG165" i="46" s="1"/>
  <c r="A376" i="109"/>
  <c r="K376" i="109"/>
  <c r="S376" i="109"/>
  <c r="BG376" i="46" s="1"/>
  <c r="G62" i="56"/>
  <c r="J62" i="56" s="1"/>
  <c r="K381" i="109"/>
  <c r="A381" i="109"/>
  <c r="S381" i="109"/>
  <c r="BG381" i="46" s="1"/>
  <c r="K121" i="109"/>
  <c r="AD121" i="109" s="1"/>
  <c r="S121" i="109"/>
  <c r="BG121" i="46" s="1"/>
  <c r="S161" i="109"/>
  <c r="BG161" i="46" s="1"/>
  <c r="K161" i="109"/>
  <c r="AD161" i="109" s="1"/>
  <c r="A161" i="109"/>
  <c r="A162" i="109" s="1"/>
  <c r="H53" i="122" s="1"/>
  <c r="A173" i="109"/>
  <c r="K173" i="109"/>
  <c r="AD173" i="109" s="1"/>
  <c r="I216" i="143"/>
  <c r="K216" i="143" s="1"/>
  <c r="L216" i="143" s="1"/>
  <c r="S123" i="109"/>
  <c r="BG123" i="46" s="1"/>
  <c r="K123" i="109"/>
  <c r="AD123" i="109" s="1"/>
  <c r="A172" i="109"/>
  <c r="K172" i="109"/>
  <c r="AD172" i="109" s="1"/>
  <c r="S173" i="109"/>
  <c r="BG173" i="46" s="1"/>
  <c r="C47" i="109"/>
  <c r="D47" i="46" s="1"/>
  <c r="C48" i="109"/>
  <c r="D48" i="46" s="1"/>
  <c r="R45" i="109"/>
  <c r="BF45" i="46" s="1"/>
  <c r="C193" i="109"/>
  <c r="C194" i="109"/>
  <c r="D194" i="46" s="1"/>
  <c r="W6" i="143"/>
  <c r="S152" i="109"/>
  <c r="BG152" i="46" s="1"/>
  <c r="H97" i="125"/>
  <c r="S151" i="109"/>
  <c r="BG151" i="46" s="1"/>
  <c r="H96" i="125"/>
  <c r="D167" i="109"/>
  <c r="S517" i="109"/>
  <c r="BG517" i="46" s="1"/>
  <c r="H167" i="109"/>
  <c r="J167" i="109" s="1"/>
  <c r="S516" i="109"/>
  <c r="BG516" i="46" s="1"/>
  <c r="U56" i="147"/>
  <c r="V56" i="147" s="1"/>
  <c r="AO547" i="46"/>
  <c r="F547" i="46" s="1"/>
  <c r="BG547" i="46" s="1"/>
  <c r="S6" i="143"/>
  <c r="O9" i="120"/>
  <c r="P30" i="148"/>
  <c r="F390" i="109"/>
  <c r="AP390" i="46" s="1"/>
  <c r="F388" i="109"/>
  <c r="E427" i="109"/>
  <c r="AQ427" i="46" s="1"/>
  <c r="J427" i="46" s="1"/>
  <c r="C39" i="120"/>
  <c r="F389" i="109"/>
  <c r="AP389" i="46" s="1"/>
  <c r="F387" i="109"/>
  <c r="E428" i="109"/>
  <c r="AQ428" i="46" s="1"/>
  <c r="J428" i="46" s="1"/>
  <c r="F392" i="109"/>
  <c r="AP392" i="46" s="1"/>
  <c r="H296" i="120"/>
  <c r="F395" i="109"/>
  <c r="AP395" i="46" s="1"/>
  <c r="F394" i="109"/>
  <c r="AP394" i="46" s="1"/>
  <c r="F404" i="109"/>
  <c r="AP404" i="46" s="1"/>
  <c r="C40" i="120"/>
  <c r="F403" i="109"/>
  <c r="AP403" i="46" s="1"/>
  <c r="F393" i="109"/>
  <c r="AP393" i="46" s="1"/>
  <c r="C51" i="120"/>
  <c r="C22" i="120"/>
  <c r="C28" i="120" s="1"/>
  <c r="C29" i="120" s="1"/>
  <c r="T28" i="148"/>
  <c r="S243" i="109"/>
  <c r="I226" i="143"/>
  <c r="K226" i="143" s="1"/>
  <c r="H95" i="126"/>
  <c r="K243" i="109"/>
  <c r="AD243" i="109" s="1"/>
  <c r="C196" i="120"/>
  <c r="C197" i="120"/>
  <c r="D260" i="109"/>
  <c r="AO260" i="46" s="1"/>
  <c r="F260" i="46" s="1"/>
  <c r="H545" i="46"/>
  <c r="AO545" i="46"/>
  <c r="F545" i="46" s="1"/>
  <c r="F134" i="120"/>
  <c r="D404" i="109" s="1"/>
  <c r="E126" i="109"/>
  <c r="AQ126" i="46" s="1"/>
  <c r="I215" i="143"/>
  <c r="K215" i="143" s="1"/>
  <c r="L215" i="143" s="1"/>
  <c r="E75" i="109"/>
  <c r="AQ75" i="46" s="1"/>
  <c r="E80" i="109"/>
  <c r="AQ80" i="46" s="1"/>
  <c r="D28" i="109"/>
  <c r="E20" i="109"/>
  <c r="AQ20" i="46" s="1"/>
  <c r="E91" i="109"/>
  <c r="AQ91" i="46" s="1"/>
  <c r="J91" i="46" s="1"/>
  <c r="E11" i="109"/>
  <c r="AQ11" i="46" s="1"/>
  <c r="E59" i="109"/>
  <c r="AQ59" i="46" s="1"/>
  <c r="E132" i="109"/>
  <c r="AQ132" i="46" s="1"/>
  <c r="E22" i="109"/>
  <c r="AQ22" i="46" s="1"/>
  <c r="E14" i="109"/>
  <c r="AQ14" i="46" s="1"/>
  <c r="E72" i="109"/>
  <c r="AQ72" i="46" s="1"/>
  <c r="J72" i="46" s="1"/>
  <c r="E70" i="109"/>
  <c r="AQ70" i="46" s="1"/>
  <c r="J70" i="46" s="1"/>
  <c r="E130" i="109"/>
  <c r="AQ130" i="46" s="1"/>
  <c r="E10" i="109"/>
  <c r="AQ10" i="46" s="1"/>
  <c r="I213" i="143"/>
  <c r="K213" i="143" s="1"/>
  <c r="L213" i="143" s="1"/>
  <c r="E89" i="109"/>
  <c r="AQ89" i="46" s="1"/>
  <c r="J89" i="46" s="1"/>
  <c r="E66" i="109"/>
  <c r="AQ66" i="46" s="1"/>
  <c r="J66" i="46" s="1"/>
  <c r="E53" i="109"/>
  <c r="AQ53" i="46" s="1"/>
  <c r="J53" i="46" s="1"/>
  <c r="E180" i="109"/>
  <c r="AQ180" i="46" s="1"/>
  <c r="E61" i="109"/>
  <c r="AQ61" i="46" s="1"/>
  <c r="E113" i="109"/>
  <c r="AQ113" i="46" s="1"/>
  <c r="E87" i="109"/>
  <c r="AQ87" i="46" s="1"/>
  <c r="J87" i="46" s="1"/>
  <c r="H32" i="122"/>
  <c r="E93" i="109"/>
  <c r="AQ93" i="46" s="1"/>
  <c r="J93" i="46" s="1"/>
  <c r="E181" i="109"/>
  <c r="AQ181" i="46" s="1"/>
  <c r="E12" i="109"/>
  <c r="AQ12" i="46" s="1"/>
  <c r="E16" i="109"/>
  <c r="AQ16" i="46" s="1"/>
  <c r="F29" i="109"/>
  <c r="E18" i="109"/>
  <c r="AQ18" i="46" s="1"/>
  <c r="E8" i="109"/>
  <c r="AQ8" i="46" s="1"/>
  <c r="J8" i="46" s="1"/>
  <c r="E62" i="109"/>
  <c r="AQ62" i="46" s="1"/>
  <c r="E77" i="109"/>
  <c r="AQ77" i="46" s="1"/>
  <c r="E15" i="109"/>
  <c r="AQ15" i="46" s="1"/>
  <c r="I212" i="143"/>
  <c r="K212" i="143" s="1"/>
  <c r="L212" i="143" s="1"/>
  <c r="E51" i="109"/>
  <c r="AQ51" i="46" s="1"/>
  <c r="J51" i="46" s="1"/>
  <c r="E19" i="109"/>
  <c r="AQ19" i="46" s="1"/>
  <c r="E133" i="109"/>
  <c r="AQ133" i="46" s="1"/>
  <c r="F140" i="109"/>
  <c r="I214" i="143"/>
  <c r="K214" i="143" s="1"/>
  <c r="L214" i="143" s="1"/>
  <c r="E79" i="109"/>
  <c r="AQ79" i="46" s="1"/>
  <c r="E127" i="109"/>
  <c r="AQ127" i="46" s="1"/>
  <c r="I217" i="143"/>
  <c r="K217" i="143" s="1"/>
  <c r="L217" i="143" s="1"/>
  <c r="E136" i="109"/>
  <c r="AQ136" i="46" s="1"/>
  <c r="E68" i="109"/>
  <c r="AQ68" i="46" s="1"/>
  <c r="J68" i="46" s="1"/>
  <c r="E74" i="109"/>
  <c r="AQ74" i="46" s="1"/>
  <c r="F141" i="109"/>
  <c r="E23" i="109"/>
  <c r="AQ23" i="46" s="1"/>
  <c r="F143" i="109"/>
  <c r="AP143" i="46" s="1"/>
  <c r="H143" i="46" s="1"/>
  <c r="E17" i="109"/>
  <c r="AQ17" i="46" s="1"/>
  <c r="E129" i="109"/>
  <c r="AQ129" i="46" s="1"/>
  <c r="E78" i="109"/>
  <c r="AQ78" i="46" s="1"/>
  <c r="E183" i="109"/>
  <c r="AQ183" i="46" s="1"/>
  <c r="F138" i="109"/>
  <c r="E82" i="109"/>
  <c r="AQ82" i="46" s="1"/>
  <c r="E55" i="109"/>
  <c r="AQ55" i="46" s="1"/>
  <c r="H1" i="109"/>
  <c r="E135" i="109"/>
  <c r="AQ135" i="46" s="1"/>
  <c r="I221" i="143"/>
  <c r="K221" i="143" s="1"/>
  <c r="L221" i="143" s="1"/>
  <c r="E112" i="109"/>
  <c r="AQ112" i="46" s="1"/>
  <c r="E56" i="109"/>
  <c r="AQ56" i="46" s="1"/>
  <c r="E58" i="109"/>
  <c r="AQ58" i="46" s="1"/>
  <c r="E21" i="109"/>
  <c r="AQ21" i="46" s="1"/>
  <c r="E24" i="109"/>
  <c r="AQ24" i="46" s="1"/>
  <c r="E131" i="109"/>
  <c r="AQ131" i="46" s="1"/>
  <c r="E128" i="109"/>
  <c r="AQ128" i="46" s="1"/>
  <c r="E184" i="109"/>
  <c r="AQ184" i="46" s="1"/>
  <c r="E25" i="109"/>
  <c r="AQ25" i="46" s="1"/>
  <c r="E83" i="109"/>
  <c r="AQ83" i="46" s="1"/>
  <c r="F142" i="109"/>
  <c r="E6" i="109"/>
  <c r="E13" i="109"/>
  <c r="AQ13" i="46" s="1"/>
  <c r="H21" i="135"/>
  <c r="F433" i="109"/>
  <c r="AP433" i="46" s="1"/>
  <c r="F432" i="109"/>
  <c r="AP432" i="46" s="1"/>
  <c r="F431" i="109"/>
  <c r="AP431" i="46" s="1"/>
  <c r="F430" i="109"/>
  <c r="AP430" i="46" s="1"/>
  <c r="H109" i="126"/>
  <c r="D197" i="109"/>
  <c r="D194" i="109"/>
  <c r="AO194" i="46" s="1"/>
  <c r="F195" i="109"/>
  <c r="AP195" i="46" s="1"/>
  <c r="H195" i="46" s="1"/>
  <c r="F197" i="109"/>
  <c r="AP197" i="46" s="1"/>
  <c r="F200" i="109"/>
  <c r="AP200" i="46" s="1"/>
  <c r="F196" i="109"/>
  <c r="AP196" i="46" s="1"/>
  <c r="F194" i="109"/>
  <c r="AP194" i="46" s="1"/>
  <c r="H194" i="46" s="1"/>
  <c r="F193" i="109"/>
  <c r="AP193" i="46" s="1"/>
  <c r="H193" i="46" s="1"/>
  <c r="F199" i="109"/>
  <c r="AP199" i="46" s="1"/>
  <c r="D193" i="109"/>
  <c r="AO193" i="46" s="1"/>
  <c r="D196" i="109"/>
  <c r="G68" i="125"/>
  <c r="H169" i="109"/>
  <c r="J169" i="109" s="1"/>
  <c r="H63" i="56"/>
  <c r="D169" i="109"/>
  <c r="P201" i="143"/>
  <c r="C68" i="125"/>
  <c r="C265" i="109"/>
  <c r="B265" i="109"/>
  <c r="B265" i="46" s="1"/>
  <c r="F265" i="109"/>
  <c r="AP265" i="46" s="1"/>
  <c r="H265" i="46" s="1"/>
  <c r="A265" i="109"/>
  <c r="S215" i="148"/>
  <c r="T215" i="148" s="1"/>
  <c r="T212" i="148"/>
  <c r="T262" i="148"/>
  <c r="S265" i="148"/>
  <c r="T265" i="148" s="1"/>
  <c r="C87" i="125"/>
  <c r="N46" i="60"/>
  <c r="F132" i="120"/>
  <c r="F133" i="120"/>
  <c r="H31" i="142"/>
  <c r="H41" i="142"/>
  <c r="H130" i="126"/>
  <c r="F271" i="109" l="1"/>
  <c r="F272" i="109" s="1"/>
  <c r="F273" i="109"/>
  <c r="F274" i="109" s="1"/>
  <c r="AP139" i="46"/>
  <c r="H139" i="46" s="1"/>
  <c r="H139" i="109"/>
  <c r="K23" i="57"/>
  <c r="AP531" i="46"/>
  <c r="H531" i="46" s="1"/>
  <c r="BG531" i="46" s="1"/>
  <c r="K22" i="57"/>
  <c r="AP530" i="46"/>
  <c r="H530" i="46" s="1"/>
  <c r="BG530" i="46" s="1"/>
  <c r="K24" i="57"/>
  <c r="AP532" i="46"/>
  <c r="H532" i="46" s="1"/>
  <c r="BG532" i="46" s="1"/>
  <c r="S139" i="109"/>
  <c r="BG139" i="46" s="1"/>
  <c r="A458" i="109"/>
  <c r="F458" i="109" s="1"/>
  <c r="C143" i="109"/>
  <c r="D143" i="46" s="1"/>
  <c r="A143" i="109"/>
  <c r="C57" i="142" s="1"/>
  <c r="G71" i="125"/>
  <c r="B143" i="109"/>
  <c r="B143" i="46" s="1"/>
  <c r="D232" i="46"/>
  <c r="C71" i="125"/>
  <c r="L226" i="143"/>
  <c r="U226" i="143" s="1"/>
  <c r="U205" i="143"/>
  <c r="G315" i="148"/>
  <c r="G316" i="148"/>
  <c r="S196" i="109"/>
  <c r="BG196" i="46" s="1"/>
  <c r="AO196" i="46"/>
  <c r="F196" i="46" s="1"/>
  <c r="S29" i="109"/>
  <c r="BG29" i="46" s="1"/>
  <c r="AP29" i="46"/>
  <c r="R193" i="109"/>
  <c r="BF193" i="46" s="1"/>
  <c r="D193" i="46"/>
  <c r="S354" i="109"/>
  <c r="BG354" i="46" s="1"/>
  <c r="AO354" i="46"/>
  <c r="F354" i="46" s="1"/>
  <c r="S382" i="109"/>
  <c r="BG382" i="46" s="1"/>
  <c r="AO382" i="46"/>
  <c r="F382" i="46" s="1"/>
  <c r="J91" i="125"/>
  <c r="D469" i="46"/>
  <c r="S169" i="109"/>
  <c r="BG169" i="46" s="1"/>
  <c r="AO169" i="46"/>
  <c r="F169" i="46" s="1"/>
  <c r="S28" i="109"/>
  <c r="BG28" i="46" s="1"/>
  <c r="AO28" i="46"/>
  <c r="F28" i="46" s="1"/>
  <c r="C538" i="148"/>
  <c r="AP387" i="46"/>
  <c r="C563" i="148"/>
  <c r="C565" i="148" s="1"/>
  <c r="AP388" i="46"/>
  <c r="S167" i="109"/>
  <c r="BG167" i="46" s="1"/>
  <c r="AO167" i="46"/>
  <c r="F167" i="46" s="1"/>
  <c r="H281" i="109"/>
  <c r="J281" i="109" s="1"/>
  <c r="AP281" i="46"/>
  <c r="S350" i="109"/>
  <c r="BG350" i="46" s="1"/>
  <c r="AO350" i="46"/>
  <c r="F350" i="46" s="1"/>
  <c r="S344" i="109"/>
  <c r="BG344" i="46" s="1"/>
  <c r="AO344" i="46"/>
  <c r="F344" i="46" s="1"/>
  <c r="S340" i="109"/>
  <c r="BG340" i="46" s="1"/>
  <c r="AO340" i="46"/>
  <c r="F340" i="46" s="1"/>
  <c r="H67" i="56"/>
  <c r="AP261" i="46"/>
  <c r="H261" i="46" s="1"/>
  <c r="K352" i="109"/>
  <c r="AO352" i="46"/>
  <c r="F352" i="46" s="1"/>
  <c r="E41" i="142"/>
  <c r="B268" i="46"/>
  <c r="S270" i="109"/>
  <c r="BG270" i="46" s="1"/>
  <c r="H37" i="125"/>
  <c r="AO270" i="46"/>
  <c r="F270" i="46" s="1"/>
  <c r="C48" i="142"/>
  <c r="K270" i="109"/>
  <c r="R265" i="109"/>
  <c r="BF265" i="46" s="1"/>
  <c r="D265" i="46"/>
  <c r="S197" i="109"/>
  <c r="BG197" i="46" s="1"/>
  <c r="AO197" i="46"/>
  <c r="F197" i="46" s="1"/>
  <c r="S141" i="109"/>
  <c r="BG141" i="46" s="1"/>
  <c r="AP141" i="46"/>
  <c r="H141" i="46" s="1"/>
  <c r="S140" i="109"/>
  <c r="BG140" i="46" s="1"/>
  <c r="AP140" i="46"/>
  <c r="H140" i="46" s="1"/>
  <c r="S404" i="109"/>
  <c r="BG404" i="46" s="1"/>
  <c r="AO404" i="46"/>
  <c r="F404" i="46" s="1"/>
  <c r="H287" i="109"/>
  <c r="J287" i="109" s="1"/>
  <c r="AP287" i="46"/>
  <c r="H283" i="109"/>
  <c r="J283" i="109" s="1"/>
  <c r="AP283" i="46"/>
  <c r="S313" i="109"/>
  <c r="BG313" i="46" s="1"/>
  <c r="AO313" i="46"/>
  <c r="F313" i="46" s="1"/>
  <c r="S142" i="109"/>
  <c r="BG142" i="46" s="1"/>
  <c r="AP142" i="46"/>
  <c r="H142" i="46" s="1"/>
  <c r="S138" i="109"/>
  <c r="BG138" i="46" s="1"/>
  <c r="AP138" i="46"/>
  <c r="H138" i="46" s="1"/>
  <c r="S171" i="109"/>
  <c r="BG171" i="46" s="1"/>
  <c r="AO171" i="46"/>
  <c r="F171" i="46" s="1"/>
  <c r="S336" i="109"/>
  <c r="BG336" i="46" s="1"/>
  <c r="AO336" i="46"/>
  <c r="F336" i="46" s="1"/>
  <c r="S342" i="109"/>
  <c r="BG342" i="46" s="1"/>
  <c r="AO342" i="46"/>
  <c r="F342" i="46" s="1"/>
  <c r="K346" i="109"/>
  <c r="AO346" i="46"/>
  <c r="F346" i="46" s="1"/>
  <c r="S348" i="109"/>
  <c r="BG348" i="46" s="1"/>
  <c r="AO348" i="46"/>
  <c r="F348" i="46" s="1"/>
  <c r="J90" i="125"/>
  <c r="D466" i="46"/>
  <c r="C305" i="109"/>
  <c r="G65" i="125" s="1"/>
  <c r="C41" i="142"/>
  <c r="I10" i="143"/>
  <c r="K10" i="143" s="1"/>
  <c r="L10" i="143" s="1"/>
  <c r="U10" i="143" s="1"/>
  <c r="O564" i="148"/>
  <c r="B305" i="109"/>
  <c r="B305" i="46" s="1"/>
  <c r="A382" i="109"/>
  <c r="I9" i="143"/>
  <c r="K9" i="143" s="1"/>
  <c r="L9" i="143" s="1"/>
  <c r="M9" i="143" s="1"/>
  <c r="C31" i="142"/>
  <c r="K382" i="109"/>
  <c r="AJ348" i="109"/>
  <c r="C104" i="125"/>
  <c r="H102" i="125"/>
  <c r="H21" i="147"/>
  <c r="U4" i="147" s="1"/>
  <c r="W102" i="147"/>
  <c r="AH26" i="147" s="1"/>
  <c r="L21" i="147" s="1"/>
  <c r="D21" i="147"/>
  <c r="C21" i="147" s="1"/>
  <c r="R466" i="109"/>
  <c r="BF466" i="46" s="1"/>
  <c r="G90" i="125"/>
  <c r="E31" i="142"/>
  <c r="R469" i="109"/>
  <c r="BF469" i="46" s="1"/>
  <c r="G91" i="125"/>
  <c r="N87" i="147"/>
  <c r="P87" i="147" s="1"/>
  <c r="K348" i="109"/>
  <c r="S346" i="109"/>
  <c r="BG346" i="46" s="1"/>
  <c r="AJ233" i="120"/>
  <c r="AJ346" i="109"/>
  <c r="S352" i="109"/>
  <c r="BG352" i="46" s="1"/>
  <c r="AJ352" i="109"/>
  <c r="H261" i="109"/>
  <c r="J261" i="109" s="1"/>
  <c r="K342" i="109"/>
  <c r="D261" i="109"/>
  <c r="AJ342" i="109"/>
  <c r="K260" i="109"/>
  <c r="K336" i="109"/>
  <c r="S147" i="120"/>
  <c r="R147" i="120" s="1"/>
  <c r="Q147" i="120" s="1"/>
  <c r="U2" i="147"/>
  <c r="AH28" i="147"/>
  <c r="L16" i="147" s="1"/>
  <c r="K350" i="109"/>
  <c r="AJ336" i="109"/>
  <c r="U146" i="120"/>
  <c r="K354" i="109"/>
  <c r="AJ354" i="109"/>
  <c r="V146" i="120"/>
  <c r="AJ340" i="109"/>
  <c r="K340" i="109"/>
  <c r="K344" i="109"/>
  <c r="AJ344" i="109"/>
  <c r="J33" i="135"/>
  <c r="S148" i="120"/>
  <c r="R149" i="120" s="1"/>
  <c r="AJ350" i="109"/>
  <c r="AJ338" i="109"/>
  <c r="K338" i="109"/>
  <c r="S338" i="109"/>
  <c r="BG338" i="46" s="1"/>
  <c r="H286" i="109"/>
  <c r="J286" i="109" s="1"/>
  <c r="P9" i="120"/>
  <c r="AJ222" i="120"/>
  <c r="H285" i="109"/>
  <c r="J285" i="109" s="1"/>
  <c r="S383" i="109"/>
  <c r="A383" i="109"/>
  <c r="K383" i="109"/>
  <c r="M231" i="120"/>
  <c r="D413" i="109" s="1"/>
  <c r="L231" i="120"/>
  <c r="D409" i="109" s="1"/>
  <c r="AO409" i="46" s="1"/>
  <c r="F409" i="46" s="1"/>
  <c r="H282" i="109"/>
  <c r="J282" i="109" s="1"/>
  <c r="H284" i="109"/>
  <c r="J284" i="109" s="1"/>
  <c r="N231" i="120"/>
  <c r="D422" i="109" s="1"/>
  <c r="AO422" i="46" s="1"/>
  <c r="F422" i="46" s="1"/>
  <c r="J36" i="125"/>
  <c r="D278" i="109"/>
  <c r="AO278" i="46" s="1"/>
  <c r="F278" i="46" s="1"/>
  <c r="D277" i="109"/>
  <c r="J37" i="125"/>
  <c r="D291" i="109"/>
  <c r="D279" i="109"/>
  <c r="AO279" i="46" s="1"/>
  <c r="F279" i="46" s="1"/>
  <c r="D290" i="109"/>
  <c r="R47" i="109"/>
  <c r="BF47" i="46" s="1"/>
  <c r="H187" i="148"/>
  <c r="D284" i="109"/>
  <c r="AO284" i="46" s="1"/>
  <c r="F284" i="46" s="1"/>
  <c r="I22" i="143"/>
  <c r="K22" i="143" s="1"/>
  <c r="L22" i="143" s="1"/>
  <c r="U22" i="143" s="1"/>
  <c r="D295" i="109"/>
  <c r="D288" i="109"/>
  <c r="AO288" i="46" s="1"/>
  <c r="F288" i="46" s="1"/>
  <c r="D292" i="109"/>
  <c r="AO292" i="46" s="1"/>
  <c r="F292" i="46" s="1"/>
  <c r="D280" i="109"/>
  <c r="AO280" i="46" s="1"/>
  <c r="F280" i="46" s="1"/>
  <c r="D276" i="109"/>
  <c r="AO276" i="46" s="1"/>
  <c r="F276" i="46" s="1"/>
  <c r="D289" i="109"/>
  <c r="AO289" i="46" s="1"/>
  <c r="F289" i="46" s="1"/>
  <c r="D294" i="109"/>
  <c r="D285" i="109"/>
  <c r="D287" i="109"/>
  <c r="D283" i="109"/>
  <c r="D281" i="109"/>
  <c r="J35" i="125"/>
  <c r="D286" i="109"/>
  <c r="D282" i="109"/>
  <c r="D293" i="109"/>
  <c r="AO293" i="46" s="1"/>
  <c r="F293" i="46" s="1"/>
  <c r="T437" i="148"/>
  <c r="S440" i="148"/>
  <c r="T440" i="148" s="1"/>
  <c r="C162" i="109"/>
  <c r="D162" i="46" s="1"/>
  <c r="B162" i="109"/>
  <c r="B162" i="46" s="1"/>
  <c r="H186" i="109"/>
  <c r="J186" i="109" s="1"/>
  <c r="H187" i="109"/>
  <c r="J187" i="109" s="1"/>
  <c r="B458" i="109"/>
  <c r="C458" i="109"/>
  <c r="H438" i="109"/>
  <c r="J438" i="109" s="1"/>
  <c r="H439" i="109"/>
  <c r="J439" i="109" s="1"/>
  <c r="H440" i="109"/>
  <c r="J440" i="109" s="1"/>
  <c r="H437" i="109"/>
  <c r="J437" i="109" s="1"/>
  <c r="H427" i="109"/>
  <c r="J427" i="109" s="1"/>
  <c r="E430" i="109"/>
  <c r="B379" i="109"/>
  <c r="B379" i="46" s="1"/>
  <c r="F743" i="46"/>
  <c r="BG743" i="46" s="1"/>
  <c r="A130" i="126"/>
  <c r="F708" i="46"/>
  <c r="BG708" i="46" s="1"/>
  <c r="A95" i="126"/>
  <c r="G61" i="56"/>
  <c r="J61" i="56" s="1"/>
  <c r="S50" i="150"/>
  <c r="H49" i="150"/>
  <c r="J49" i="150" s="1"/>
  <c r="S52" i="150"/>
  <c r="H51" i="150"/>
  <c r="J51" i="150" s="1"/>
  <c r="G65" i="56"/>
  <c r="J65" i="56" s="1"/>
  <c r="K171" i="109"/>
  <c r="AD171" i="109" s="1"/>
  <c r="S58" i="150"/>
  <c r="H57" i="150"/>
  <c r="J57" i="150" s="1"/>
  <c r="H53" i="150"/>
  <c r="J53" i="150" s="1"/>
  <c r="S54" i="150"/>
  <c r="S56" i="150"/>
  <c r="H55" i="150"/>
  <c r="J55" i="150" s="1"/>
  <c r="B149" i="109"/>
  <c r="B149" i="46" s="1"/>
  <c r="A379" i="109"/>
  <c r="H94" i="125" s="1"/>
  <c r="C149" i="109"/>
  <c r="D149" i="46" s="1"/>
  <c r="C379" i="109"/>
  <c r="U216" i="143"/>
  <c r="M216" i="143"/>
  <c r="C174" i="109"/>
  <c r="D174" i="46" s="1"/>
  <c r="A174" i="109"/>
  <c r="G21" i="57" s="1"/>
  <c r="B174" i="109"/>
  <c r="B174" i="46" s="1"/>
  <c r="C159" i="109"/>
  <c r="D159" i="46" s="1"/>
  <c r="B159" i="109"/>
  <c r="B159" i="46" s="1"/>
  <c r="A159" i="109"/>
  <c r="R194" i="109"/>
  <c r="BF194" i="46" s="1"/>
  <c r="R48" i="109"/>
  <c r="BF48" i="46" s="1"/>
  <c r="AD219" i="120"/>
  <c r="X212" i="120"/>
  <c r="AD252" i="120"/>
  <c r="AE218" i="120"/>
  <c r="X214" i="120"/>
  <c r="AI214" i="120" s="1"/>
  <c r="X213" i="120"/>
  <c r="X217" i="120"/>
  <c r="X215" i="120"/>
  <c r="AE251" i="120"/>
  <c r="K167" i="109"/>
  <c r="AD167" i="109" s="1"/>
  <c r="X252" i="120"/>
  <c r="AI252" i="120" s="1"/>
  <c r="X251" i="120"/>
  <c r="X218" i="120"/>
  <c r="AI218" i="120" s="1"/>
  <c r="X219" i="120"/>
  <c r="AI219" i="120" s="1"/>
  <c r="F38" i="125"/>
  <c r="D403" i="109"/>
  <c r="BG545" i="46"/>
  <c r="X244" i="120"/>
  <c r="AE212" i="120"/>
  <c r="X249" i="120"/>
  <c r="AI249" i="120" s="1"/>
  <c r="X248" i="120"/>
  <c r="AD246" i="120"/>
  <c r="AD215" i="120"/>
  <c r="AD217" i="120"/>
  <c r="X246" i="120"/>
  <c r="F266" i="109"/>
  <c r="AD213" i="120"/>
  <c r="AE245" i="120"/>
  <c r="AE216" i="120"/>
  <c r="F267" i="109"/>
  <c r="X250" i="120"/>
  <c r="X245" i="120"/>
  <c r="AI245" i="120" s="1"/>
  <c r="X247" i="120"/>
  <c r="AI247" i="120" s="1"/>
  <c r="AD244" i="120"/>
  <c r="F299" i="109"/>
  <c r="AP299" i="46" s="1"/>
  <c r="H299" i="46" s="1"/>
  <c r="AD248" i="120"/>
  <c r="AE247" i="120"/>
  <c r="F298" i="109"/>
  <c r="AP298" i="46" s="1"/>
  <c r="H298" i="46" s="1"/>
  <c r="AD211" i="120"/>
  <c r="AE214" i="120"/>
  <c r="AE249" i="120"/>
  <c r="X216" i="120"/>
  <c r="AI216" i="120" s="1"/>
  <c r="AD250" i="120"/>
  <c r="X211" i="120"/>
  <c r="H392" i="109"/>
  <c r="J392" i="109" s="1"/>
  <c r="H393" i="109"/>
  <c r="J393" i="109" s="1"/>
  <c r="I22" i="135"/>
  <c r="H403" i="109"/>
  <c r="J403" i="109" s="1"/>
  <c r="H387" i="109"/>
  <c r="J387" i="109" s="1"/>
  <c r="H389" i="109"/>
  <c r="J389" i="109" s="1"/>
  <c r="H404" i="109"/>
  <c r="J404" i="109" s="1"/>
  <c r="K404" i="109" s="1"/>
  <c r="O13" i="120"/>
  <c r="O14" i="120"/>
  <c r="G66" i="56"/>
  <c r="J66" i="56" s="1"/>
  <c r="C63" i="142"/>
  <c r="S260" i="109"/>
  <c r="BG260" i="46" s="1"/>
  <c r="H56" i="125"/>
  <c r="H394" i="109"/>
  <c r="J394" i="109" s="1"/>
  <c r="E434" i="109"/>
  <c r="AQ434" i="46" s="1"/>
  <c r="E432" i="109"/>
  <c r="E431" i="109"/>
  <c r="AQ431" i="46" s="1"/>
  <c r="E435" i="109"/>
  <c r="AQ435" i="46" s="1"/>
  <c r="E433" i="109"/>
  <c r="AQ433" i="46" s="1"/>
  <c r="I21" i="135"/>
  <c r="H395" i="109"/>
  <c r="J395" i="109" s="1"/>
  <c r="H388" i="109"/>
  <c r="J388" i="109" s="1"/>
  <c r="C23" i="120"/>
  <c r="L298" i="120"/>
  <c r="O36" i="60" s="1"/>
  <c r="G28" i="60" s="1"/>
  <c r="H298" i="120"/>
  <c r="L296" i="120" s="1"/>
  <c r="H390" i="109"/>
  <c r="J390" i="109" s="1"/>
  <c r="E198" i="109"/>
  <c r="AQ198" i="46" s="1"/>
  <c r="J198" i="46" s="1"/>
  <c r="F198" i="109"/>
  <c r="AP198" i="46" s="1"/>
  <c r="H198" i="46" s="1"/>
  <c r="A196" i="109"/>
  <c r="H194" i="109"/>
  <c r="J194" i="109" s="1"/>
  <c r="K194" i="109" s="1"/>
  <c r="H142" i="109"/>
  <c r="H112" i="109"/>
  <c r="J112" i="109" s="1"/>
  <c r="W663" i="148"/>
  <c r="W665" i="148" s="1"/>
  <c r="H55" i="109"/>
  <c r="J55" i="109" s="1"/>
  <c r="H78" i="109"/>
  <c r="J78" i="109" s="1"/>
  <c r="M214" i="143"/>
  <c r="U214" i="143"/>
  <c r="H51" i="109"/>
  <c r="J51" i="109" s="1"/>
  <c r="H29" i="56"/>
  <c r="E52" i="109"/>
  <c r="AQ52" i="46" s="1"/>
  <c r="J52" i="46" s="1"/>
  <c r="H62" i="109"/>
  <c r="J62" i="109" s="1"/>
  <c r="H180" i="109"/>
  <c r="J180" i="109" s="1"/>
  <c r="W688" i="148"/>
  <c r="W690" i="148" s="1"/>
  <c r="E90" i="109"/>
  <c r="AQ90" i="46" s="1"/>
  <c r="J90" i="46" s="1"/>
  <c r="H45" i="56"/>
  <c r="E71" i="109"/>
  <c r="AQ71" i="46" s="1"/>
  <c r="J71" i="46" s="1"/>
  <c r="H38" i="56"/>
  <c r="H70" i="109"/>
  <c r="J70" i="109" s="1"/>
  <c r="M215" i="143"/>
  <c r="U215" i="143"/>
  <c r="A193" i="109"/>
  <c r="H196" i="109"/>
  <c r="J196" i="109" s="1"/>
  <c r="K196" i="109" s="1"/>
  <c r="A194" i="109"/>
  <c r="C814" i="148"/>
  <c r="H83" i="109"/>
  <c r="J83" i="109" s="1"/>
  <c r="H184" i="109"/>
  <c r="J184" i="109" s="1"/>
  <c r="U221" i="143"/>
  <c r="M221" i="143"/>
  <c r="H82" i="109"/>
  <c r="J82" i="109" s="1"/>
  <c r="H141" i="109"/>
  <c r="U217" i="143"/>
  <c r="M217" i="143"/>
  <c r="H140" i="109"/>
  <c r="M212" i="143"/>
  <c r="U212" i="143"/>
  <c r="E9" i="109"/>
  <c r="AQ9" i="46" s="1"/>
  <c r="J9" i="46" s="1"/>
  <c r="E88" i="109"/>
  <c r="H43" i="56"/>
  <c r="H31" i="56"/>
  <c r="E54" i="109"/>
  <c r="AQ54" i="46" s="1"/>
  <c r="J54" i="46" s="1"/>
  <c r="H53" i="109"/>
  <c r="J53" i="109" s="1"/>
  <c r="M213" i="143"/>
  <c r="U213" i="143"/>
  <c r="H40" i="56"/>
  <c r="H72" i="109"/>
  <c r="J72" i="109" s="1"/>
  <c r="E73" i="109"/>
  <c r="AQ73" i="46" s="1"/>
  <c r="J73" i="46" s="1"/>
  <c r="H59" i="109"/>
  <c r="J59" i="109" s="1"/>
  <c r="K28" i="109"/>
  <c r="AD28" i="109" s="1"/>
  <c r="D199" i="109"/>
  <c r="H199" i="109"/>
  <c r="J199" i="109" s="1"/>
  <c r="H200" i="109"/>
  <c r="J200" i="109" s="1"/>
  <c r="D200" i="109"/>
  <c r="A197" i="109"/>
  <c r="C688" i="148"/>
  <c r="H58" i="109"/>
  <c r="J58" i="109" s="1"/>
  <c r="C788" i="148"/>
  <c r="H138" i="109"/>
  <c r="H74" i="109"/>
  <c r="J74" i="109" s="1"/>
  <c r="H181" i="109"/>
  <c r="J181" i="109" s="1"/>
  <c r="H113" i="109"/>
  <c r="J113" i="109" s="1"/>
  <c r="H80" i="109"/>
  <c r="J80" i="109" s="1"/>
  <c r="S2" i="126"/>
  <c r="H193" i="109"/>
  <c r="J193" i="109" s="1"/>
  <c r="K193" i="109" s="1"/>
  <c r="H197" i="109"/>
  <c r="J197" i="109" s="1"/>
  <c r="K197" i="109" s="1"/>
  <c r="E7" i="109"/>
  <c r="E5" i="109" s="1"/>
  <c r="AQ5" i="46" s="1"/>
  <c r="J5" i="46" s="1"/>
  <c r="AQ6" i="46"/>
  <c r="J6" i="46" s="1"/>
  <c r="H56" i="109"/>
  <c r="J56" i="109" s="1"/>
  <c r="D107" i="109"/>
  <c r="AO107" i="46" s="1"/>
  <c r="F107" i="46" s="1"/>
  <c r="D115" i="109"/>
  <c r="AO115" i="46" s="1"/>
  <c r="F115" i="46" s="1"/>
  <c r="D112" i="109"/>
  <c r="E95" i="109"/>
  <c r="D109" i="109"/>
  <c r="E99" i="109"/>
  <c r="D113" i="109"/>
  <c r="D118" i="109"/>
  <c r="D104" i="109"/>
  <c r="E115" i="109"/>
  <c r="AQ115" i="46" s="1"/>
  <c r="E125" i="109"/>
  <c r="E97" i="109"/>
  <c r="D116" i="109"/>
  <c r="E114" i="109"/>
  <c r="AQ114" i="46" s="1"/>
  <c r="D108" i="109"/>
  <c r="D110" i="109"/>
  <c r="D119" i="109"/>
  <c r="D106" i="109"/>
  <c r="AO106" i="46" s="1"/>
  <c r="F106" i="46" s="1"/>
  <c r="D114" i="109"/>
  <c r="AO114" i="46" s="1"/>
  <c r="F114" i="46" s="1"/>
  <c r="E104" i="109"/>
  <c r="AQ104" i="46" s="1"/>
  <c r="D117" i="109"/>
  <c r="E105" i="109"/>
  <c r="AQ105" i="46" s="1"/>
  <c r="D111" i="109"/>
  <c r="D105" i="109"/>
  <c r="AO105" i="46" s="1"/>
  <c r="F105" i="46" s="1"/>
  <c r="E107" i="109"/>
  <c r="AQ107" i="46" s="1"/>
  <c r="E106" i="109"/>
  <c r="AQ106" i="46" s="1"/>
  <c r="E124" i="109"/>
  <c r="W788" i="148"/>
  <c r="W790" i="148" s="1"/>
  <c r="H183" i="109"/>
  <c r="J183" i="109" s="1"/>
  <c r="D57" i="142"/>
  <c r="E69" i="109"/>
  <c r="AQ69" i="46" s="1"/>
  <c r="J69" i="46" s="1"/>
  <c r="H36" i="56"/>
  <c r="H68" i="109"/>
  <c r="J68" i="109" s="1"/>
  <c r="H79" i="109"/>
  <c r="J79" i="109" s="1"/>
  <c r="H77" i="109"/>
  <c r="J77" i="109" s="1"/>
  <c r="H29" i="109"/>
  <c r="J29" i="109" s="1"/>
  <c r="K29" i="109" s="1"/>
  <c r="AD29" i="109" s="1"/>
  <c r="E94" i="109"/>
  <c r="AQ94" i="46" s="1"/>
  <c r="J94" i="46" s="1"/>
  <c r="H49" i="56"/>
  <c r="W763" i="148"/>
  <c r="W765" i="148" s="1"/>
  <c r="H61" i="109"/>
  <c r="J61" i="109" s="1"/>
  <c r="H34" i="56"/>
  <c r="H66" i="109"/>
  <c r="J66" i="109" s="1"/>
  <c r="E67" i="109"/>
  <c r="AQ67" i="46" s="1"/>
  <c r="J67" i="46" s="1"/>
  <c r="E92" i="109"/>
  <c r="AQ92" i="46" s="1"/>
  <c r="J92" i="46" s="1"/>
  <c r="H47" i="56"/>
  <c r="H75" i="109"/>
  <c r="J75" i="109" s="1"/>
  <c r="I14" i="143"/>
  <c r="K14" i="143" s="1"/>
  <c r="L14" i="143" s="1"/>
  <c r="I15" i="143"/>
  <c r="K15" i="143" s="1"/>
  <c r="L15" i="143" s="1"/>
  <c r="I13" i="143"/>
  <c r="K13" i="143" s="1"/>
  <c r="L13" i="143" s="1"/>
  <c r="C51" i="142"/>
  <c r="D51" i="142"/>
  <c r="E51" i="142"/>
  <c r="H51" i="142"/>
  <c r="G63" i="56"/>
  <c r="J63" i="56" s="1"/>
  <c r="K169" i="109"/>
  <c r="AD169" i="109" s="1"/>
  <c r="D395" i="109"/>
  <c r="D394" i="109"/>
  <c r="D401" i="109"/>
  <c r="D392" i="109"/>
  <c r="D393" i="109"/>
  <c r="D400" i="109"/>
  <c r="A404" i="109"/>
  <c r="D388" i="109"/>
  <c r="D390" i="109"/>
  <c r="D387" i="109"/>
  <c r="G539" i="148" s="1"/>
  <c r="D389" i="109"/>
  <c r="D398" i="109"/>
  <c r="D397" i="109"/>
  <c r="U11" i="143"/>
  <c r="M11" i="143"/>
  <c r="H313" i="109"/>
  <c r="J313" i="109" s="1"/>
  <c r="K313" i="109" s="1"/>
  <c r="H31" i="125"/>
  <c r="H57" i="142" l="1"/>
  <c r="AI212" i="120"/>
  <c r="E57" i="142"/>
  <c r="AI215" i="120"/>
  <c r="E458" i="109"/>
  <c r="W614" i="148" s="1"/>
  <c r="H45" i="125"/>
  <c r="I201" i="143"/>
  <c r="K201" i="143" s="1"/>
  <c r="L201" i="143" s="1"/>
  <c r="U201" i="143" s="1"/>
  <c r="R87" i="147"/>
  <c r="F17" i="147"/>
  <c r="T87" i="147"/>
  <c r="U87" i="147" s="1"/>
  <c r="M226" i="143"/>
  <c r="R143" i="109"/>
  <c r="BF143" i="46" s="1"/>
  <c r="C65" i="125"/>
  <c r="B384" i="109"/>
  <c r="B384" i="46" s="1"/>
  <c r="M10" i="143"/>
  <c r="U9" i="143"/>
  <c r="O539" i="148"/>
  <c r="O540" i="148" s="1"/>
  <c r="AO104" i="46"/>
  <c r="F104" i="46" s="1"/>
  <c r="G714" i="148"/>
  <c r="Z560" i="148"/>
  <c r="G564" i="148"/>
  <c r="Z585" i="148" s="1"/>
  <c r="G541" i="148"/>
  <c r="G540" i="148"/>
  <c r="L312" i="148"/>
  <c r="K315" i="148"/>
  <c r="L315" i="148" s="1"/>
  <c r="S400" i="109"/>
  <c r="BG400" i="46" s="1"/>
  <c r="AO400" i="46"/>
  <c r="F400" i="46" s="1"/>
  <c r="S394" i="109"/>
  <c r="BG394" i="46" s="1"/>
  <c r="AO394" i="46"/>
  <c r="F394" i="46" s="1"/>
  <c r="S124" i="109"/>
  <c r="BG124" i="46" s="1"/>
  <c r="AQ124" i="46"/>
  <c r="S111" i="109"/>
  <c r="BG111" i="46" s="1"/>
  <c r="AO111" i="46"/>
  <c r="F111" i="46" s="1"/>
  <c r="S108" i="109"/>
  <c r="BG108" i="46" s="1"/>
  <c r="AO108" i="46"/>
  <c r="F108" i="46" s="1"/>
  <c r="S125" i="109"/>
  <c r="BG125" i="46" s="1"/>
  <c r="AQ125" i="46"/>
  <c r="S113" i="109"/>
  <c r="BG113" i="46" s="1"/>
  <c r="AO113" i="46"/>
  <c r="F113" i="46" s="1"/>
  <c r="S112" i="109"/>
  <c r="BG112" i="46" s="1"/>
  <c r="AO112" i="46"/>
  <c r="F112" i="46" s="1"/>
  <c r="H430" i="109"/>
  <c r="J430" i="109" s="1"/>
  <c r="AQ430" i="46"/>
  <c r="S285" i="109"/>
  <c r="BG285" i="46" s="1"/>
  <c r="AO285" i="46"/>
  <c r="F285" i="46" s="1"/>
  <c r="C59" i="149"/>
  <c r="D59" i="149" s="1"/>
  <c r="AO290" i="46"/>
  <c r="F290" i="46" s="1"/>
  <c r="C46" i="149"/>
  <c r="D46" i="149" s="1"/>
  <c r="AO277" i="46"/>
  <c r="F277" i="46" s="1"/>
  <c r="O589" i="148"/>
  <c r="AO413" i="46"/>
  <c r="F413" i="46" s="1"/>
  <c r="R305" i="109"/>
  <c r="BF305" i="46" s="1"/>
  <c r="D305" i="46"/>
  <c r="AP274" i="46"/>
  <c r="H274" i="46" s="1"/>
  <c r="D38" i="142"/>
  <c r="D274" i="109"/>
  <c r="S389" i="109"/>
  <c r="BG389" i="46" s="1"/>
  <c r="AO389" i="46"/>
  <c r="F389" i="46" s="1"/>
  <c r="S387" i="109"/>
  <c r="BG387" i="46" s="1"/>
  <c r="AO387" i="46"/>
  <c r="F387" i="46" s="1"/>
  <c r="S397" i="109"/>
  <c r="BG397" i="46" s="1"/>
  <c r="AO397" i="46"/>
  <c r="F397" i="46" s="1"/>
  <c r="S390" i="109"/>
  <c r="BG390" i="46" s="1"/>
  <c r="AO390" i="46"/>
  <c r="F390" i="46" s="1"/>
  <c r="S393" i="109"/>
  <c r="BG393" i="46" s="1"/>
  <c r="AO393" i="46"/>
  <c r="F393" i="46" s="1"/>
  <c r="S395" i="109"/>
  <c r="BG395" i="46" s="1"/>
  <c r="AO395" i="46"/>
  <c r="F395" i="46" s="1"/>
  <c r="S99" i="109"/>
  <c r="BG99" i="46" s="1"/>
  <c r="AQ99" i="46"/>
  <c r="J99" i="46" s="1"/>
  <c r="S199" i="109"/>
  <c r="BG199" i="46" s="1"/>
  <c r="AO199" i="46"/>
  <c r="F199" i="46" s="1"/>
  <c r="E86" i="109"/>
  <c r="AQ86" i="46" s="1"/>
  <c r="J86" i="46" s="1"/>
  <c r="AQ88" i="46"/>
  <c r="J88" i="46" s="1"/>
  <c r="S267" i="109"/>
  <c r="BG267" i="46" s="1"/>
  <c r="AP267" i="46"/>
  <c r="H267" i="46" s="1"/>
  <c r="S266" i="109"/>
  <c r="BG266" i="46" s="1"/>
  <c r="AP266" i="46"/>
  <c r="H266" i="46" s="1"/>
  <c r="S403" i="109"/>
  <c r="BG403" i="46" s="1"/>
  <c r="AO403" i="46"/>
  <c r="F403" i="46" s="1"/>
  <c r="S281" i="109"/>
  <c r="BG281" i="46" s="1"/>
  <c r="AO281" i="46"/>
  <c r="F281" i="46" s="1"/>
  <c r="C63" i="149"/>
  <c r="E63" i="149" s="1"/>
  <c r="AO294" i="46"/>
  <c r="F294" i="46" s="1"/>
  <c r="E35" i="125"/>
  <c r="AP271" i="46"/>
  <c r="H271" i="46" s="1"/>
  <c r="D27" i="142"/>
  <c r="H271" i="109"/>
  <c r="J271" i="109" s="1"/>
  <c r="K271" i="109" s="1"/>
  <c r="S271" i="109"/>
  <c r="BG271" i="46" s="1"/>
  <c r="S398" i="109"/>
  <c r="BG398" i="46" s="1"/>
  <c r="AO398" i="46"/>
  <c r="F398" i="46" s="1"/>
  <c r="S388" i="109"/>
  <c r="BG388" i="46" s="1"/>
  <c r="AO388" i="46"/>
  <c r="F388" i="46" s="1"/>
  <c r="S392" i="109"/>
  <c r="BG392" i="46" s="1"/>
  <c r="AO392" i="46"/>
  <c r="F392" i="46" s="1"/>
  <c r="S117" i="109"/>
  <c r="BG117" i="46" s="1"/>
  <c r="AO117" i="46"/>
  <c r="F117" i="46" s="1"/>
  <c r="S119" i="109"/>
  <c r="BG119" i="46" s="1"/>
  <c r="AO119" i="46"/>
  <c r="F119" i="46" s="1"/>
  <c r="S116" i="109"/>
  <c r="BG116" i="46" s="1"/>
  <c r="AO116" i="46"/>
  <c r="F116" i="46" s="1"/>
  <c r="S109" i="109"/>
  <c r="BG109" i="46" s="1"/>
  <c r="AO109" i="46"/>
  <c r="F109" i="46" s="1"/>
  <c r="S200" i="109"/>
  <c r="BG200" i="46" s="1"/>
  <c r="AO200" i="46"/>
  <c r="F200" i="46" s="1"/>
  <c r="P612" i="148"/>
  <c r="D458" i="46"/>
  <c r="W613" i="148"/>
  <c r="AP458" i="46"/>
  <c r="H458" i="46" s="1"/>
  <c r="C51" i="149"/>
  <c r="AO282" i="46"/>
  <c r="F282" i="46" s="1"/>
  <c r="S283" i="109"/>
  <c r="BG283" i="46" s="1"/>
  <c r="AO283" i="46"/>
  <c r="F283" i="46" s="1"/>
  <c r="C60" i="149"/>
  <c r="E60" i="149" s="1"/>
  <c r="AO291" i="46"/>
  <c r="F291" i="46" s="1"/>
  <c r="D272" i="109"/>
  <c r="AP272" i="46"/>
  <c r="H272" i="46" s="1"/>
  <c r="D28" i="142"/>
  <c r="H272" i="109"/>
  <c r="J272" i="109" s="1"/>
  <c r="S401" i="109"/>
  <c r="BG401" i="46" s="1"/>
  <c r="AO401" i="46"/>
  <c r="F401" i="46" s="1"/>
  <c r="S110" i="109"/>
  <c r="BG110" i="46" s="1"/>
  <c r="AO110" i="46"/>
  <c r="F110" i="46" s="1"/>
  <c r="S97" i="109"/>
  <c r="BG97" i="46" s="1"/>
  <c r="AQ97" i="46"/>
  <c r="J97" i="46" s="1"/>
  <c r="S118" i="109"/>
  <c r="BG118" i="46" s="1"/>
  <c r="AO118" i="46"/>
  <c r="F118" i="46" s="1"/>
  <c r="S95" i="109"/>
  <c r="BG95" i="46" s="1"/>
  <c r="AQ95" i="46"/>
  <c r="J95" i="46" s="1"/>
  <c r="H432" i="109"/>
  <c r="J432" i="109" s="1"/>
  <c r="AQ432" i="46"/>
  <c r="R379" i="109"/>
  <c r="BF379" i="46" s="1"/>
  <c r="D379" i="46"/>
  <c r="C45" i="125"/>
  <c r="B458" i="46"/>
  <c r="S286" i="109"/>
  <c r="BG286" i="46" s="1"/>
  <c r="AO286" i="46"/>
  <c r="F286" i="46" s="1"/>
  <c r="K287" i="109"/>
  <c r="AO287" i="46"/>
  <c r="F287" i="46" s="1"/>
  <c r="C64" i="149"/>
  <c r="H64" i="149" s="1"/>
  <c r="AO295" i="46"/>
  <c r="F295" i="46" s="1"/>
  <c r="S261" i="109"/>
  <c r="BG261" i="46" s="1"/>
  <c r="AO261" i="46"/>
  <c r="F261" i="46" s="1"/>
  <c r="S273" i="109"/>
  <c r="BG273" i="46" s="1"/>
  <c r="E36" i="125"/>
  <c r="AP273" i="46"/>
  <c r="H273" i="46" s="1"/>
  <c r="D37" i="142"/>
  <c r="H273" i="109"/>
  <c r="J273" i="109" s="1"/>
  <c r="K273" i="109" s="1"/>
  <c r="O565" i="148"/>
  <c r="O566" i="148"/>
  <c r="AI248" i="120"/>
  <c r="AJ248" i="120" s="1"/>
  <c r="D427" i="109"/>
  <c r="AO427" i="46" s="1"/>
  <c r="F427" i="46" s="1"/>
  <c r="L20" i="147"/>
  <c r="L12" i="147"/>
  <c r="K261" i="109"/>
  <c r="G67" i="56"/>
  <c r="J67" i="56" s="1"/>
  <c r="A384" i="109"/>
  <c r="H95" i="125" s="1"/>
  <c r="C384" i="109"/>
  <c r="A403" i="109"/>
  <c r="C405" i="109" s="1"/>
  <c r="C62" i="120"/>
  <c r="C40" i="123" s="1"/>
  <c r="D414" i="109"/>
  <c r="C62" i="149"/>
  <c r="E62" i="149" s="1"/>
  <c r="R148" i="120"/>
  <c r="Q149" i="120" s="1"/>
  <c r="D424" i="109"/>
  <c r="D425" i="109"/>
  <c r="D423" i="109"/>
  <c r="D420" i="109"/>
  <c r="D421" i="109"/>
  <c r="D417" i="109"/>
  <c r="O231" i="120"/>
  <c r="K284" i="109"/>
  <c r="D410" i="109"/>
  <c r="D411" i="109"/>
  <c r="D406" i="109"/>
  <c r="D408" i="109"/>
  <c r="D407" i="109"/>
  <c r="C61" i="120"/>
  <c r="L232" i="120"/>
  <c r="N232" i="120" s="1"/>
  <c r="D416" i="109"/>
  <c r="D415" i="109"/>
  <c r="D418" i="109"/>
  <c r="A413" i="109"/>
  <c r="K413" i="109"/>
  <c r="S413" i="109"/>
  <c r="BG413" i="46" s="1"/>
  <c r="R162" i="109"/>
  <c r="BF162" i="46" s="1"/>
  <c r="C47" i="149"/>
  <c r="E47" i="149" s="1"/>
  <c r="J53" i="122"/>
  <c r="M22" i="143"/>
  <c r="AI217" i="120"/>
  <c r="AJ217" i="120" s="1"/>
  <c r="AI250" i="120"/>
  <c r="AJ250" i="120" s="1"/>
  <c r="C49" i="149"/>
  <c r="D49" i="149" s="1"/>
  <c r="AI213" i="120"/>
  <c r="AJ213" i="120" s="1"/>
  <c r="AI251" i="120"/>
  <c r="C54" i="149"/>
  <c r="D54" i="149" s="1"/>
  <c r="C53" i="149"/>
  <c r="E53" i="149" s="1"/>
  <c r="C57" i="149"/>
  <c r="D57" i="149" s="1"/>
  <c r="S284" i="109"/>
  <c r="BG284" i="46" s="1"/>
  <c r="C94" i="125"/>
  <c r="C58" i="149"/>
  <c r="D58" i="149" s="1"/>
  <c r="C48" i="149"/>
  <c r="H48" i="149" s="1"/>
  <c r="C45" i="149"/>
  <c r="E45" i="149" s="1"/>
  <c r="C55" i="149"/>
  <c r="E55" i="149" s="1"/>
  <c r="S287" i="109"/>
  <c r="BG287" i="46" s="1"/>
  <c r="C56" i="149"/>
  <c r="D56" i="149" s="1"/>
  <c r="K286" i="109"/>
  <c r="K283" i="109"/>
  <c r="K281" i="109"/>
  <c r="D296" i="109"/>
  <c r="C61" i="149"/>
  <c r="D61" i="149" s="1"/>
  <c r="C50" i="149"/>
  <c r="H50" i="149" s="1"/>
  <c r="K282" i="109"/>
  <c r="S282" i="109"/>
  <c r="BG282" i="46" s="1"/>
  <c r="C52" i="149"/>
  <c r="H52" i="149" s="1"/>
  <c r="K285" i="109"/>
  <c r="R458" i="109"/>
  <c r="BF458" i="46" s="1"/>
  <c r="G45" i="125"/>
  <c r="F45" i="125"/>
  <c r="G94" i="125"/>
  <c r="F722" i="46"/>
  <c r="BG722" i="46" s="1"/>
  <c r="A109" i="126"/>
  <c r="R58" i="150"/>
  <c r="G58" i="150" s="1"/>
  <c r="H58" i="150"/>
  <c r="R56" i="150"/>
  <c r="G56" i="150" s="1"/>
  <c r="H56" i="150"/>
  <c r="H54" i="150"/>
  <c r="R54" i="150"/>
  <c r="G54" i="150" s="1"/>
  <c r="R52" i="150"/>
  <c r="G52" i="150" s="1"/>
  <c r="H52" i="150"/>
  <c r="R50" i="150"/>
  <c r="G50" i="150" s="1"/>
  <c r="H50" i="150"/>
  <c r="R149" i="109"/>
  <c r="BF149" i="46" s="1"/>
  <c r="I51" i="122"/>
  <c r="K403" i="109"/>
  <c r="H17" i="147"/>
  <c r="R159" i="109"/>
  <c r="BF159" i="46" s="1"/>
  <c r="H47" i="125"/>
  <c r="I246" i="143"/>
  <c r="K246" i="143" s="1"/>
  <c r="L246" i="143" s="1"/>
  <c r="I209" i="143"/>
  <c r="K209" i="143" s="1"/>
  <c r="L209" i="143" s="1"/>
  <c r="R174" i="109"/>
  <c r="BF174" i="46" s="1"/>
  <c r="F21" i="57"/>
  <c r="D63" i="149"/>
  <c r="E51" i="149"/>
  <c r="D51" i="149"/>
  <c r="H51" i="149"/>
  <c r="I19" i="143"/>
  <c r="K19" i="143" s="1"/>
  <c r="L19" i="143" s="1"/>
  <c r="I17" i="143"/>
  <c r="K17" i="143" s="1"/>
  <c r="L17" i="143" s="1"/>
  <c r="I18" i="143"/>
  <c r="K18" i="143" s="1"/>
  <c r="L18" i="143" s="1"/>
  <c r="I20" i="143"/>
  <c r="K20" i="143" s="1"/>
  <c r="I21" i="143"/>
  <c r="K21" i="143" s="1"/>
  <c r="L21" i="143" s="1"/>
  <c r="AI244" i="120"/>
  <c r="U225" i="120" s="1"/>
  <c r="U227" i="120"/>
  <c r="T228" i="120"/>
  <c r="F294" i="109" s="1"/>
  <c r="AP294" i="46" s="1"/>
  <c r="T225" i="120"/>
  <c r="F291" i="109" s="1"/>
  <c r="AP291" i="46" s="1"/>
  <c r="T229" i="120"/>
  <c r="F295" i="109" s="1"/>
  <c r="AP295" i="46" s="1"/>
  <c r="T227" i="120"/>
  <c r="F293" i="109" s="1"/>
  <c r="AP293" i="46" s="1"/>
  <c r="T226" i="120"/>
  <c r="F292" i="109" s="1"/>
  <c r="AP292" i="46" s="1"/>
  <c r="U226" i="120"/>
  <c r="U228" i="120"/>
  <c r="U229" i="120"/>
  <c r="AI246" i="120"/>
  <c r="AJ246" i="120" s="1"/>
  <c r="AJ215" i="120"/>
  <c r="AI211" i="120"/>
  <c r="U210" i="120" s="1"/>
  <c r="T212" i="120"/>
  <c r="F278" i="109" s="1"/>
  <c r="AP278" i="46" s="1"/>
  <c r="U211" i="120"/>
  <c r="T211" i="120"/>
  <c r="F277" i="109" s="1"/>
  <c r="AP277" i="46" s="1"/>
  <c r="U214" i="120"/>
  <c r="T210" i="120"/>
  <c r="F276" i="109" s="1"/>
  <c r="AP276" i="46" s="1"/>
  <c r="U213" i="120"/>
  <c r="U212" i="120"/>
  <c r="T213" i="120"/>
  <c r="F279" i="109" s="1"/>
  <c r="AP279" i="46" s="1"/>
  <c r="T214" i="120"/>
  <c r="F280" i="109" s="1"/>
  <c r="AP280" i="46" s="1"/>
  <c r="E405" i="109"/>
  <c r="AJ219" i="120"/>
  <c r="AJ252" i="120"/>
  <c r="AJ251" i="120"/>
  <c r="AJ218" i="120"/>
  <c r="H433" i="109"/>
  <c r="J433" i="109" s="1"/>
  <c r="H431" i="109"/>
  <c r="J431" i="109" s="1"/>
  <c r="S114" i="109"/>
  <c r="BG114" i="46" s="1"/>
  <c r="N48" i="60"/>
  <c r="C88" i="125"/>
  <c r="H340" i="120"/>
  <c r="H834" i="120"/>
  <c r="H936" i="120"/>
  <c r="H384" i="120"/>
  <c r="H456" i="120"/>
  <c r="H435" i="120"/>
  <c r="H502" i="120"/>
  <c r="H390" i="120"/>
  <c r="H679" i="120"/>
  <c r="H729" i="120"/>
  <c r="H910" i="120"/>
  <c r="H1165" i="120"/>
  <c r="H998" i="120"/>
  <c r="H321" i="120"/>
  <c r="H1210" i="120"/>
  <c r="H404" i="120"/>
  <c r="H364" i="120"/>
  <c r="H1109" i="120"/>
  <c r="H738" i="120"/>
  <c r="H1158" i="120"/>
  <c r="H1108" i="120"/>
  <c r="H925" i="120"/>
  <c r="H326" i="120"/>
  <c r="H417" i="120"/>
  <c r="H605" i="120"/>
  <c r="H415" i="120"/>
  <c r="H660" i="120"/>
  <c r="H568" i="120"/>
  <c r="H322" i="120"/>
  <c r="H824" i="120"/>
  <c r="H320" i="120"/>
  <c r="H978" i="120"/>
  <c r="H1170" i="120"/>
  <c r="H445" i="120"/>
  <c r="H1177" i="120"/>
  <c r="H889" i="120"/>
  <c r="H659" i="120"/>
  <c r="H341" i="120"/>
  <c r="H306" i="120"/>
  <c r="H825" i="120"/>
  <c r="H963" i="120"/>
  <c r="H369" i="120"/>
  <c r="H466" i="120"/>
  <c r="H385" i="120"/>
  <c r="H413" i="120"/>
  <c r="H446" i="120"/>
  <c r="H871" i="120"/>
  <c r="H1002" i="120"/>
  <c r="H1012" i="120"/>
  <c r="H1028" i="120"/>
  <c r="H1206" i="120"/>
  <c r="H382" i="120"/>
  <c r="H817" i="120"/>
  <c r="H914" i="120"/>
  <c r="H802" i="120"/>
  <c r="H578" i="120"/>
  <c r="H911" i="120"/>
  <c r="H1118" i="120"/>
  <c r="H1195" i="120"/>
  <c r="H882" i="120"/>
  <c r="H829" i="120"/>
  <c r="H387" i="120"/>
  <c r="H842" i="120"/>
  <c r="H750" i="120"/>
  <c r="H1135" i="120"/>
  <c r="H1198" i="120"/>
  <c r="H468" i="120"/>
  <c r="H584" i="120"/>
  <c r="H617" i="120"/>
  <c r="H742" i="120"/>
  <c r="H974" i="120"/>
  <c r="H529" i="120"/>
  <c r="H524" i="120"/>
  <c r="H485" i="120"/>
  <c r="H416" i="120"/>
  <c r="H1147" i="120"/>
  <c r="H674" i="120"/>
  <c r="H545" i="120"/>
  <c r="H813" i="120"/>
  <c r="H1176" i="120"/>
  <c r="H1193" i="120"/>
  <c r="H1088" i="120"/>
  <c r="H345" i="120"/>
  <c r="H1037" i="120"/>
  <c r="H331" i="120"/>
  <c r="H1221" i="120"/>
  <c r="H661" i="120"/>
  <c r="H1042" i="120"/>
  <c r="H699" i="120"/>
  <c r="H303" i="120"/>
  <c r="H1132" i="120"/>
  <c r="H356" i="120"/>
  <c r="H402" i="120"/>
  <c r="H433" i="120"/>
  <c r="H655" i="120"/>
  <c r="H700" i="120"/>
  <c r="H942" i="120"/>
  <c r="H1159" i="120"/>
  <c r="H724" i="120"/>
  <c r="H633" i="120"/>
  <c r="H1202" i="120"/>
  <c r="H488" i="120"/>
  <c r="H970" i="120"/>
  <c r="H786" i="120"/>
  <c r="H1090" i="120"/>
  <c r="H472" i="120"/>
  <c r="H593" i="120"/>
  <c r="H1008" i="120"/>
  <c r="H604" i="120"/>
  <c r="H564" i="120"/>
  <c r="H877" i="120"/>
  <c r="H892" i="120"/>
  <c r="H548" i="120"/>
  <c r="H1084" i="120"/>
  <c r="H704" i="120"/>
  <c r="H1096" i="120"/>
  <c r="H944" i="120"/>
  <c r="H1122" i="120"/>
  <c r="H501" i="120"/>
  <c r="H304" i="120"/>
  <c r="H1136" i="120"/>
  <c r="H909" i="120"/>
  <c r="H1063" i="120"/>
  <c r="H632" i="120"/>
  <c r="H908" i="120"/>
  <c r="H1137" i="120"/>
  <c r="H1162" i="120"/>
  <c r="H743" i="120"/>
  <c r="H653" i="120"/>
  <c r="H566" i="120"/>
  <c r="H1222" i="120"/>
  <c r="H748" i="120"/>
  <c r="H658" i="120"/>
  <c r="H904" i="120"/>
  <c r="H574" i="120"/>
  <c r="H727" i="120"/>
  <c r="H639" i="120"/>
  <c r="H746" i="120"/>
  <c r="H560" i="120"/>
  <c r="H1169" i="120"/>
  <c r="H333" i="120"/>
  <c r="H671" i="120"/>
  <c r="H448" i="120"/>
  <c r="H878" i="120"/>
  <c r="H457" i="120"/>
  <c r="H1034" i="120"/>
  <c r="H1033" i="120"/>
  <c r="H585" i="120"/>
  <c r="H452" i="120"/>
  <c r="H916" i="120"/>
  <c r="H1107" i="120"/>
  <c r="H443" i="120"/>
  <c r="H779" i="120"/>
  <c r="H1216" i="120"/>
  <c r="H375" i="120"/>
  <c r="H355" i="120"/>
  <c r="H720" i="120"/>
  <c r="H618" i="120"/>
  <c r="H532" i="120"/>
  <c r="H714" i="120"/>
  <c r="H721" i="120"/>
  <c r="H774" i="120"/>
  <c r="H827" i="120"/>
  <c r="H426" i="120"/>
  <c r="H555" i="120"/>
  <c r="H418" i="120"/>
  <c r="H1148" i="120"/>
  <c r="H318" i="120"/>
  <c r="H881" i="120"/>
  <c r="H594" i="120"/>
  <c r="H901" i="120"/>
  <c r="H531" i="120"/>
  <c r="H697" i="120"/>
  <c r="H582" i="120"/>
  <c r="H408" i="120"/>
  <c r="H794" i="120"/>
  <c r="H506" i="120"/>
  <c r="H949" i="120"/>
  <c r="H705" i="120"/>
  <c r="H766" i="120"/>
  <c r="H1104" i="120"/>
  <c r="H557" i="120"/>
  <c r="H483" i="120"/>
  <c r="H592" i="120"/>
  <c r="H1190" i="120"/>
  <c r="H427" i="120"/>
  <c r="H507" i="120"/>
  <c r="H800" i="120"/>
  <c r="H607" i="120"/>
  <c r="H1124" i="120"/>
  <c r="H1004" i="120"/>
  <c r="H513" i="120"/>
  <c r="H494" i="120"/>
  <c r="H693" i="120"/>
  <c r="H620" i="120"/>
  <c r="H803" i="120"/>
  <c r="H360" i="120"/>
  <c r="H865" i="120"/>
  <c r="H1080" i="120"/>
  <c r="H631" i="120"/>
  <c r="H570" i="120"/>
  <c r="H852" i="120"/>
  <c r="H759" i="120"/>
  <c r="H525" i="120"/>
  <c r="H346" i="120"/>
  <c r="H938" i="120"/>
  <c r="H1209" i="120"/>
  <c r="H773" i="120"/>
  <c r="H534" i="120"/>
  <c r="H514" i="120"/>
  <c r="H731" i="120"/>
  <c r="H984" i="120"/>
  <c r="H855" i="120"/>
  <c r="H546" i="120"/>
  <c r="H662" i="120"/>
  <c r="H616" i="120"/>
  <c r="H1056" i="120"/>
  <c r="H634" i="120"/>
  <c r="H1094" i="120"/>
  <c r="H510" i="120"/>
  <c r="H1179" i="120"/>
  <c r="H553" i="120"/>
  <c r="H940" i="120"/>
  <c r="H851" i="120"/>
  <c r="H954" i="120"/>
  <c r="H664" i="120"/>
  <c r="H625" i="120"/>
  <c r="H1020" i="120"/>
  <c r="H922" i="120"/>
  <c r="H1041" i="120"/>
  <c r="H879" i="120"/>
  <c r="H1087" i="120"/>
  <c r="H460" i="120"/>
  <c r="H353" i="120"/>
  <c r="H1223" i="120"/>
  <c r="H990" i="120"/>
  <c r="H394" i="120"/>
  <c r="H349" i="120"/>
  <c r="H1146" i="120"/>
  <c r="H1040" i="120"/>
  <c r="H837" i="120"/>
  <c r="H411" i="120"/>
  <c r="H1068" i="120"/>
  <c r="H1098" i="120"/>
  <c r="H311" i="120"/>
  <c r="H1102" i="120"/>
  <c r="H1106" i="120"/>
  <c r="H324" i="120"/>
  <c r="H437" i="120"/>
  <c r="H629" i="120"/>
  <c r="H538" i="120"/>
  <c r="H1017" i="120"/>
  <c r="H725" i="120"/>
  <c r="H309" i="120"/>
  <c r="H692" i="120"/>
  <c r="H1047" i="120"/>
  <c r="H1215" i="120"/>
  <c r="H1097" i="120"/>
  <c r="H685" i="120"/>
  <c r="H527" i="120"/>
  <c r="H344" i="120"/>
  <c r="H1095" i="120"/>
  <c r="H678" i="120"/>
  <c r="H787" i="120"/>
  <c r="H496" i="120"/>
  <c r="H541" i="120"/>
  <c r="H1006" i="120"/>
  <c r="H1079" i="120"/>
  <c r="H581" i="120"/>
  <c r="H470" i="120"/>
  <c r="H980" i="120"/>
  <c r="H391" i="120"/>
  <c r="H896" i="120"/>
  <c r="H677" i="120"/>
  <c r="H785" i="120"/>
  <c r="H961" i="120"/>
  <c r="H782" i="120"/>
  <c r="H614" i="120"/>
  <c r="H558" i="120"/>
  <c r="H583" i="120"/>
  <c r="H609" i="120"/>
  <c r="H646" i="120"/>
  <c r="H332" i="120"/>
  <c r="H495" i="120"/>
  <c r="H459" i="120"/>
  <c r="H934" i="120"/>
  <c r="H595" i="120"/>
  <c r="H976" i="120"/>
  <c r="H430" i="120"/>
  <c r="H436" i="120"/>
  <c r="H500" i="120"/>
  <c r="H933" i="120"/>
  <c r="H642" i="120"/>
  <c r="H517" i="120"/>
  <c r="H571" i="120"/>
  <c r="H1204" i="120"/>
  <c r="H744" i="120"/>
  <c r="H1035" i="120"/>
  <c r="H486" i="120"/>
  <c r="H1071" i="120"/>
  <c r="H856" i="120"/>
  <c r="H652" i="120"/>
  <c r="H601" i="120"/>
  <c r="H1154" i="120"/>
  <c r="H556" i="120"/>
  <c r="H702" i="120"/>
  <c r="H505" i="120"/>
  <c r="H575" i="120"/>
  <c r="H764" i="120"/>
  <c r="H598" i="120"/>
  <c r="H801" i="120"/>
  <c r="H778" i="120"/>
  <c r="H683" i="120"/>
  <c r="H589" i="120"/>
  <c r="H1199" i="120"/>
  <c r="H1007" i="120"/>
  <c r="H447" i="120"/>
  <c r="H1140" i="120"/>
  <c r="H769" i="120"/>
  <c r="H442" i="120"/>
  <c r="H1211" i="120"/>
  <c r="H359" i="120"/>
  <c r="H302" i="120"/>
  <c r="H977" i="120"/>
  <c r="H820" i="120"/>
  <c r="H873" i="120"/>
  <c r="H395" i="120"/>
  <c r="H696" i="120"/>
  <c r="H1013" i="120"/>
  <c r="H561" i="120"/>
  <c r="H762" i="120"/>
  <c r="H763" i="120"/>
  <c r="H876" i="120"/>
  <c r="H372" i="120"/>
  <c r="H741" i="120"/>
  <c r="H1129" i="120"/>
  <c r="H461" i="120"/>
  <c r="H767" i="120"/>
  <c r="H1117" i="120"/>
  <c r="H316" i="120"/>
  <c r="H1069" i="120"/>
  <c r="H1144" i="120"/>
  <c r="H343" i="120"/>
  <c r="H393" i="120"/>
  <c r="H1044" i="120"/>
  <c r="H745" i="120"/>
  <c r="H1191" i="120"/>
  <c r="H687" i="120"/>
  <c r="H1058" i="120"/>
  <c r="H497" i="120"/>
  <c r="H886" i="120"/>
  <c r="H336" i="120"/>
  <c r="H491" i="120"/>
  <c r="H1130" i="120"/>
  <c r="H623" i="120"/>
  <c r="H627" i="120"/>
  <c r="H611" i="120"/>
  <c r="H423" i="120"/>
  <c r="H868" i="120"/>
  <c r="H602" i="120"/>
  <c r="H1172" i="120"/>
  <c r="H987" i="120"/>
  <c r="H761" i="120"/>
  <c r="H830" i="120"/>
  <c r="H666" i="120"/>
  <c r="H451" i="120"/>
  <c r="H843" i="120"/>
  <c r="H943" i="120"/>
  <c r="H928" i="120"/>
  <c r="H872" i="120"/>
  <c r="H650" i="120"/>
  <c r="H967" i="120"/>
  <c r="H1005" i="120"/>
  <c r="H1022" i="120"/>
  <c r="H317" i="120"/>
  <c r="H665" i="120"/>
  <c r="H453" i="120"/>
  <c r="H988" i="120"/>
  <c r="H1151" i="120"/>
  <c r="H1205" i="120"/>
  <c r="H628" i="120"/>
  <c r="H410" i="120"/>
  <c r="H1168" i="120"/>
  <c r="H1073" i="120"/>
  <c r="H547" i="120"/>
  <c r="H1153" i="120"/>
  <c r="H921" i="120"/>
  <c r="H1067" i="120"/>
  <c r="H733" i="120"/>
  <c r="H698" i="120"/>
  <c r="H431" i="120"/>
  <c r="H1015" i="120"/>
  <c r="H874" i="120"/>
  <c r="H1180" i="120"/>
  <c r="H549" i="120"/>
  <c r="H1123" i="120"/>
  <c r="H758" i="120"/>
  <c r="H612" i="120"/>
  <c r="H927" i="120"/>
  <c r="H1163" i="120"/>
  <c r="H669" i="120"/>
  <c r="H1101" i="120"/>
  <c r="H458" i="120"/>
  <c r="H1143" i="120"/>
  <c r="H684" i="120"/>
  <c r="H420" i="120"/>
  <c r="H365" i="120"/>
  <c r="H425" i="120"/>
  <c r="H1103" i="120"/>
  <c r="H781" i="120"/>
  <c r="H334" i="120"/>
  <c r="H1125" i="120"/>
  <c r="H962" i="120"/>
  <c r="H680" i="120"/>
  <c r="H931" i="120"/>
  <c r="H1167" i="120"/>
  <c r="H1039" i="120"/>
  <c r="H771" i="120"/>
  <c r="H526" i="120"/>
  <c r="H441" i="120"/>
  <c r="H673" i="120"/>
  <c r="H1023" i="120"/>
  <c r="H637" i="120"/>
  <c r="H511" i="120"/>
  <c r="H887" i="120"/>
  <c r="H603" i="120"/>
  <c r="H841" i="120"/>
  <c r="H1189" i="120"/>
  <c r="H941" i="120"/>
  <c r="H790" i="120"/>
  <c r="H924" i="120"/>
  <c r="H1045" i="120"/>
  <c r="H479" i="120"/>
  <c r="H647" i="120"/>
  <c r="H1171" i="120"/>
  <c r="H819" i="120"/>
  <c r="H747" i="120"/>
  <c r="H972" i="120"/>
  <c r="H1024" i="120"/>
  <c r="H969" i="120"/>
  <c r="H1076" i="120"/>
  <c r="H645" i="120"/>
  <c r="H312" i="120"/>
  <c r="H939" i="120"/>
  <c r="H569" i="120"/>
  <c r="H814" i="120"/>
  <c r="H780" i="120"/>
  <c r="H898" i="120"/>
  <c r="H932" i="120"/>
  <c r="H768" i="120"/>
  <c r="H323" i="120"/>
  <c r="H815" i="120"/>
  <c r="H590" i="120"/>
  <c r="H920" i="120"/>
  <c r="H1060" i="120"/>
  <c r="H449" i="120"/>
  <c r="H708" i="120"/>
  <c r="H1014" i="120"/>
  <c r="H966" i="120"/>
  <c r="H1113" i="120"/>
  <c r="H884" i="120"/>
  <c r="H521" i="120"/>
  <c r="H997" i="120"/>
  <c r="H586" i="120"/>
  <c r="H478" i="120"/>
  <c r="H1208" i="120"/>
  <c r="H641" i="120"/>
  <c r="H1053" i="120"/>
  <c r="H919" i="120"/>
  <c r="H305" i="120"/>
  <c r="H880" i="120"/>
  <c r="H953" i="120"/>
  <c r="H1036" i="120"/>
  <c r="H573" i="120"/>
  <c r="H522" i="120"/>
  <c r="H307" i="120"/>
  <c r="H654" i="120"/>
  <c r="H392" i="120"/>
  <c r="H823" i="120"/>
  <c r="H1072" i="120"/>
  <c r="H979" i="120"/>
  <c r="H657" i="120"/>
  <c r="H1150" i="120"/>
  <c r="H737" i="120"/>
  <c r="H338" i="120"/>
  <c r="H347" i="120"/>
  <c r="H409" i="120"/>
  <c r="H401" i="120"/>
  <c r="H515" i="120"/>
  <c r="H328" i="120"/>
  <c r="H845" i="120"/>
  <c r="H996" i="120"/>
  <c r="H523" i="120"/>
  <c r="H1149" i="120"/>
  <c r="H765" i="120"/>
  <c r="H516" i="120"/>
  <c r="H739" i="120"/>
  <c r="H565" i="120"/>
  <c r="H552" i="120"/>
  <c r="H421" i="120"/>
  <c r="H846" i="120"/>
  <c r="H946" i="120"/>
  <c r="H1099" i="120"/>
  <c r="H888" i="120"/>
  <c r="H1203" i="120"/>
  <c r="H576" i="120"/>
  <c r="H710" i="120"/>
  <c r="H373" i="120"/>
  <c r="H636" i="120"/>
  <c r="H999" i="120"/>
  <c r="H947" i="120"/>
  <c r="H1119" i="120"/>
  <c r="H1127" i="120"/>
  <c r="H756" i="120"/>
  <c r="H826" i="120"/>
  <c r="H1070" i="120"/>
  <c r="H648" i="120"/>
  <c r="H1225" i="120"/>
  <c r="H1061" i="120"/>
  <c r="H1120" i="120"/>
  <c r="H622" i="120"/>
  <c r="H519" i="120"/>
  <c r="H399" i="120"/>
  <c r="H1164" i="120"/>
  <c r="H1197" i="120"/>
  <c r="H1021" i="120"/>
  <c r="H792" i="120"/>
  <c r="H828" i="120"/>
  <c r="H490" i="120"/>
  <c r="H591" i="120"/>
  <c r="H1018" i="120"/>
  <c r="H753" i="120"/>
  <c r="H982" i="120"/>
  <c r="H1057" i="120"/>
  <c r="H663" i="120"/>
  <c r="H1116" i="120"/>
  <c r="H649" i="120"/>
  <c r="H839" i="120"/>
  <c r="H1218" i="120"/>
  <c r="H860" i="120"/>
  <c r="H807" i="120"/>
  <c r="H971" i="120"/>
  <c r="H366" i="120"/>
  <c r="H383" i="120"/>
  <c r="H788" i="120"/>
  <c r="H358" i="120"/>
  <c r="H381" i="120"/>
  <c r="H716" i="120"/>
  <c r="H907" i="120"/>
  <c r="H757" i="120"/>
  <c r="H1089" i="120"/>
  <c r="H407" i="120"/>
  <c r="H1051" i="120"/>
  <c r="H1226" i="120"/>
  <c r="H808" i="120"/>
  <c r="H1046" i="120"/>
  <c r="H580" i="120"/>
  <c r="H492" i="120"/>
  <c r="H1214" i="120"/>
  <c r="H587" i="120"/>
  <c r="H835" i="120"/>
  <c r="H371" i="120"/>
  <c r="H812" i="120"/>
  <c r="H354" i="120"/>
  <c r="H732" i="120"/>
  <c r="H473" i="120"/>
  <c r="H1092" i="120"/>
  <c r="H454" i="120"/>
  <c r="H730" i="120"/>
  <c r="H1000" i="120"/>
  <c r="H503" i="120"/>
  <c r="H955" i="120"/>
  <c r="H989" i="120"/>
  <c r="H651" i="120"/>
  <c r="H1178" i="120"/>
  <c r="H1194" i="120"/>
  <c r="H489" i="120"/>
  <c r="H656" i="120"/>
  <c r="H378" i="120"/>
  <c r="H308" i="120"/>
  <c r="H1031" i="120"/>
  <c r="H994" i="120"/>
  <c r="H1228" i="120"/>
  <c r="H712" i="120"/>
  <c r="H432" i="120"/>
  <c r="H362" i="120"/>
  <c r="H643" i="120"/>
  <c r="H864" i="120"/>
  <c r="H540" i="120"/>
  <c r="H1029" i="120"/>
  <c r="H1003" i="120"/>
  <c r="H930" i="120"/>
  <c r="H1131" i="120"/>
  <c r="H755" i="120"/>
  <c r="H542" i="120"/>
  <c r="H983" i="120"/>
  <c r="H1027" i="120"/>
  <c r="H1188" i="120"/>
  <c r="H1115" i="120"/>
  <c r="H695" i="120"/>
  <c r="H520" i="120"/>
  <c r="H550" i="120"/>
  <c r="H1207" i="120"/>
  <c r="H973" i="120"/>
  <c r="H1110" i="120"/>
  <c r="H498" i="120"/>
  <c r="H754" i="120"/>
  <c r="H957" i="120"/>
  <c r="H858" i="120"/>
  <c r="H893" i="120"/>
  <c r="H1100" i="120"/>
  <c r="H405" i="120"/>
  <c r="H368" i="120"/>
  <c r="H434" i="120"/>
  <c r="H952" i="120"/>
  <c r="H379" i="120"/>
  <c r="H964" i="120"/>
  <c r="H793" i="120"/>
  <c r="H850" i="120"/>
  <c r="H869" i="120"/>
  <c r="H352" i="120"/>
  <c r="H959" i="120"/>
  <c r="H735" i="120"/>
  <c r="H791" i="120"/>
  <c r="H1174" i="120"/>
  <c r="H615" i="120"/>
  <c r="H624" i="120"/>
  <c r="H1121" i="120"/>
  <c r="H784" i="120"/>
  <c r="H1062" i="120"/>
  <c r="H1086" i="120"/>
  <c r="H981" i="120"/>
  <c r="H723" i="120"/>
  <c r="H1016" i="120"/>
  <c r="H796" i="120"/>
  <c r="H608" i="120"/>
  <c r="H474" i="120"/>
  <c r="H1152" i="120"/>
  <c r="H899" i="120"/>
  <c r="H335" i="120"/>
  <c r="H1196" i="120"/>
  <c r="H798" i="120"/>
  <c r="H512" i="120"/>
  <c r="H1166" i="120"/>
  <c r="H518" i="120"/>
  <c r="H777" i="120"/>
  <c r="H799" i="120"/>
  <c r="H1026" i="120"/>
  <c r="H1157" i="120"/>
  <c r="H1030" i="120"/>
  <c r="H588" i="120"/>
  <c r="H929" i="120"/>
  <c r="H1183" i="120"/>
  <c r="H444" i="120"/>
  <c r="H363" i="120"/>
  <c r="H528" i="120"/>
  <c r="H389" i="120"/>
  <c r="H330" i="120"/>
  <c r="H926" i="120"/>
  <c r="H462" i="120"/>
  <c r="H551" i="120"/>
  <c r="H357" i="120"/>
  <c r="H439" i="120"/>
  <c r="H480" i="120"/>
  <c r="H711" i="120"/>
  <c r="H471" i="120"/>
  <c r="H563" i="120"/>
  <c r="H740" i="120"/>
  <c r="H840" i="120"/>
  <c r="H414" i="120"/>
  <c r="H956" i="120"/>
  <c r="H475" i="120"/>
  <c r="H719" i="120"/>
  <c r="H749" i="120"/>
  <c r="H1019" i="120"/>
  <c r="H1186" i="120"/>
  <c r="H348" i="120"/>
  <c r="H688" i="120"/>
  <c r="H848" i="120"/>
  <c r="H760" i="120"/>
  <c r="H975" i="120"/>
  <c r="H1213" i="120"/>
  <c r="H694" i="120"/>
  <c r="H722" i="120"/>
  <c r="H509" i="120"/>
  <c r="H1142" i="120"/>
  <c r="H831" i="120"/>
  <c r="H853" i="120"/>
  <c r="H1001" i="120"/>
  <c r="H455" i="120"/>
  <c r="H319" i="120"/>
  <c r="H821" i="120"/>
  <c r="H325" i="120"/>
  <c r="H995" i="120"/>
  <c r="H905" i="120"/>
  <c r="H1224" i="120"/>
  <c r="H822" i="120"/>
  <c r="H562" i="120"/>
  <c r="H1050" i="120"/>
  <c r="H968" i="120"/>
  <c r="H870" i="120"/>
  <c r="H690" i="120"/>
  <c r="H752" i="120"/>
  <c r="H438" i="120"/>
  <c r="H866" i="120"/>
  <c r="H499" i="120"/>
  <c r="H915" i="120"/>
  <c r="H707" i="120"/>
  <c r="H836" i="120"/>
  <c r="H805" i="120"/>
  <c r="H419" i="120"/>
  <c r="H469" i="120"/>
  <c r="H809" i="120"/>
  <c r="H811" i="120"/>
  <c r="H706" i="120"/>
  <c r="H986" i="120"/>
  <c r="H726" i="120"/>
  <c r="H701" i="120"/>
  <c r="H689" i="120"/>
  <c r="H554" i="120"/>
  <c r="H1052" i="120"/>
  <c r="H1032" i="120"/>
  <c r="H424" i="120"/>
  <c r="H795" i="120"/>
  <c r="H543" i="120"/>
  <c r="H717" i="120"/>
  <c r="H670" i="120"/>
  <c r="H681" i="120"/>
  <c r="H429" i="120"/>
  <c r="H577" i="120"/>
  <c r="H890" i="120"/>
  <c r="H1093" i="120"/>
  <c r="H1043" i="120"/>
  <c r="H450" i="120"/>
  <c r="H484" i="120"/>
  <c r="H1173" i="120"/>
  <c r="H1054" i="120"/>
  <c r="H1049" i="120"/>
  <c r="H467" i="120"/>
  <c r="H945" i="120"/>
  <c r="H1010" i="120"/>
  <c r="H1111" i="120"/>
  <c r="H398" i="120"/>
  <c r="H691" i="120"/>
  <c r="H1219" i="120"/>
  <c r="H535" i="120"/>
  <c r="H861" i="120"/>
  <c r="H1187" i="120"/>
  <c r="H1217" i="120"/>
  <c r="H709" i="120"/>
  <c r="H1059" i="120"/>
  <c r="H428" i="120"/>
  <c r="H810" i="120"/>
  <c r="H1112" i="120"/>
  <c r="H640" i="120"/>
  <c r="H718" i="120"/>
  <c r="H1182" i="120"/>
  <c r="H958" i="120"/>
  <c r="H675" i="120"/>
  <c r="H367" i="120"/>
  <c r="H638" i="120"/>
  <c r="H350" i="120"/>
  <c r="H923" i="120"/>
  <c r="H1200" i="120"/>
  <c r="H1155" i="120"/>
  <c r="H772" i="120"/>
  <c r="H686" i="120"/>
  <c r="H1184" i="120"/>
  <c r="H533" i="120"/>
  <c r="H361" i="120"/>
  <c r="H465" i="120"/>
  <c r="H1091" i="120"/>
  <c r="H682" i="120"/>
  <c r="H329" i="120"/>
  <c r="H1133" i="120"/>
  <c r="H1085" i="120"/>
  <c r="H339" i="120"/>
  <c r="H440" i="120"/>
  <c r="H676" i="120"/>
  <c r="H806" i="120"/>
  <c r="H370" i="120"/>
  <c r="H314" i="120"/>
  <c r="H1074" i="120"/>
  <c r="H849" i="120"/>
  <c r="H1083" i="120"/>
  <c r="H1078" i="120"/>
  <c r="H1066" i="120"/>
  <c r="H613" i="120"/>
  <c r="H1075" i="120"/>
  <c r="H412" i="120"/>
  <c r="H1009" i="120"/>
  <c r="H621" i="120"/>
  <c r="H1212" i="120"/>
  <c r="H536" i="120"/>
  <c r="H789" i="120"/>
  <c r="H1160" i="120"/>
  <c r="H508" i="120"/>
  <c r="H1145" i="120"/>
  <c r="H728" i="120"/>
  <c r="H1105" i="120"/>
  <c r="H630" i="120"/>
  <c r="H903" i="120"/>
  <c r="H863" i="120"/>
  <c r="H504" i="120"/>
  <c r="H1185" i="120"/>
  <c r="H493" i="120"/>
  <c r="H862" i="120"/>
  <c r="H1138" i="120"/>
  <c r="H993" i="120"/>
  <c r="H482" i="120"/>
  <c r="H606" i="120"/>
  <c r="H1077" i="120"/>
  <c r="H463" i="120"/>
  <c r="H1175" i="120"/>
  <c r="H1134" i="120"/>
  <c r="H894" i="120"/>
  <c r="H388" i="120"/>
  <c r="H1128" i="120"/>
  <c r="H1065" i="120"/>
  <c r="H775" i="120"/>
  <c r="H327" i="120"/>
  <c r="H885" i="120"/>
  <c r="H913" i="120"/>
  <c r="H476" i="120"/>
  <c r="H897" i="120"/>
  <c r="H1082" i="120"/>
  <c r="H912" i="120"/>
  <c r="H1141" i="120"/>
  <c r="H337" i="120"/>
  <c r="H1192" i="120"/>
  <c r="H619" i="120"/>
  <c r="H567" i="120"/>
  <c r="H832" i="120"/>
  <c r="H403" i="120"/>
  <c r="H644" i="120"/>
  <c r="H600" i="120"/>
  <c r="H599" i="120"/>
  <c r="H844" i="120"/>
  <c r="H635" i="120"/>
  <c r="H1055" i="120"/>
  <c r="H948" i="120"/>
  <c r="H891" i="120"/>
  <c r="H736" i="120"/>
  <c r="H895" i="120"/>
  <c r="H917" i="120"/>
  <c r="H985" i="120"/>
  <c r="H918" i="120"/>
  <c r="H1156" i="120"/>
  <c r="H397" i="120"/>
  <c r="H703" i="120"/>
  <c r="H396" i="120"/>
  <c r="H804" i="120"/>
  <c r="H537" i="120"/>
  <c r="H857" i="120"/>
  <c r="H377" i="120"/>
  <c r="H867" i="120"/>
  <c r="H1220" i="120"/>
  <c r="H797" i="120"/>
  <c r="H572" i="120"/>
  <c r="H672" i="120"/>
  <c r="H1114" i="120"/>
  <c r="H1025" i="120"/>
  <c r="H833" i="120"/>
  <c r="H1064" i="120"/>
  <c r="H530" i="120"/>
  <c r="H667" i="120"/>
  <c r="H1048" i="120"/>
  <c r="H1161" i="120"/>
  <c r="H626" i="120"/>
  <c r="H751" i="120"/>
  <c r="H559" i="120"/>
  <c r="H854" i="120"/>
  <c r="H481" i="120"/>
  <c r="H937" i="120"/>
  <c r="H668" i="120"/>
  <c r="H1038" i="120"/>
  <c r="H818" i="120"/>
  <c r="H313" i="120"/>
  <c r="H1011" i="120"/>
  <c r="H847" i="120"/>
  <c r="H422" i="120"/>
  <c r="H992" i="120"/>
  <c r="H596" i="120"/>
  <c r="H776" i="120"/>
  <c r="H376" i="120"/>
  <c r="H991" i="120"/>
  <c r="H902" i="120"/>
  <c r="H374" i="120"/>
  <c r="H1181" i="120"/>
  <c r="H816" i="120"/>
  <c r="H715" i="120"/>
  <c r="H900" i="120"/>
  <c r="H859" i="120"/>
  <c r="H597" i="120"/>
  <c r="H965" i="120"/>
  <c r="H713" i="120"/>
  <c r="H464" i="120"/>
  <c r="H1201" i="120"/>
  <c r="H539" i="120"/>
  <c r="H315" i="120"/>
  <c r="H951" i="120"/>
  <c r="H579" i="120"/>
  <c r="H883" i="120"/>
  <c r="H960" i="120"/>
  <c r="H1139" i="120"/>
  <c r="H1126" i="120"/>
  <c r="H310" i="120"/>
  <c r="H783" i="120"/>
  <c r="H380" i="120"/>
  <c r="H734" i="120"/>
  <c r="H1081" i="120"/>
  <c r="H950" i="120"/>
  <c r="H838" i="120"/>
  <c r="H544" i="120"/>
  <c r="H477" i="120"/>
  <c r="H935" i="120"/>
  <c r="H386" i="120"/>
  <c r="H406" i="120"/>
  <c r="H487" i="120"/>
  <c r="H342" i="120"/>
  <c r="H610" i="120"/>
  <c r="H1227" i="120"/>
  <c r="H351" i="120"/>
  <c r="H400" i="120"/>
  <c r="H770" i="120"/>
  <c r="H906" i="120"/>
  <c r="H875" i="120"/>
  <c r="AJ247" i="120"/>
  <c r="H266" i="109"/>
  <c r="J266" i="109" s="1"/>
  <c r="K266" i="109" s="1"/>
  <c r="F268" i="109"/>
  <c r="AP268" i="46" s="1"/>
  <c r="H268" i="46" s="1"/>
  <c r="AJ249" i="120"/>
  <c r="S298" i="109"/>
  <c r="BG298" i="46" s="1"/>
  <c r="H298" i="109"/>
  <c r="J298" i="109" s="1"/>
  <c r="K298" i="109" s="1"/>
  <c r="I31" i="135"/>
  <c r="J31" i="135" s="1"/>
  <c r="AJ245" i="120"/>
  <c r="P13" i="146"/>
  <c r="W813" i="148"/>
  <c r="AJ214" i="120"/>
  <c r="F290" i="109"/>
  <c r="AP290" i="46" s="1"/>
  <c r="F288" i="109"/>
  <c r="AP288" i="46" s="1"/>
  <c r="F289" i="109"/>
  <c r="AP289" i="46" s="1"/>
  <c r="E22" i="122"/>
  <c r="C24" i="120"/>
  <c r="G2" i="109" s="1"/>
  <c r="C813" i="148"/>
  <c r="C815" i="148" s="1"/>
  <c r="D63" i="142"/>
  <c r="H63" i="142"/>
  <c r="E63" i="142"/>
  <c r="I190" i="143"/>
  <c r="K190" i="143" s="1"/>
  <c r="L190" i="143" s="1"/>
  <c r="AJ212" i="120"/>
  <c r="H267" i="109"/>
  <c r="J267" i="109" s="1"/>
  <c r="K267" i="109" s="1"/>
  <c r="AJ216" i="120"/>
  <c r="H274" i="109"/>
  <c r="J274" i="109" s="1"/>
  <c r="N50" i="60"/>
  <c r="C89" i="125"/>
  <c r="I32" i="135"/>
  <c r="J32" i="135" s="1"/>
  <c r="H299" i="109"/>
  <c r="J299" i="109" s="1"/>
  <c r="K299" i="109" s="1"/>
  <c r="S299" i="109"/>
  <c r="BG299" i="46" s="1"/>
  <c r="S105" i="109"/>
  <c r="BG105" i="46" s="1"/>
  <c r="S409" i="109"/>
  <c r="BG409" i="46" s="1"/>
  <c r="O464" i="148"/>
  <c r="O465" i="148" s="1"/>
  <c r="S422" i="109"/>
  <c r="BG422" i="46" s="1"/>
  <c r="S106" i="109"/>
  <c r="BG106" i="46" s="1"/>
  <c r="S115" i="109"/>
  <c r="BG115" i="46" s="1"/>
  <c r="S104" i="109"/>
  <c r="BG104" i="46" s="1"/>
  <c r="S107" i="109"/>
  <c r="BG107" i="46" s="1"/>
  <c r="J17" i="147"/>
  <c r="A409" i="109"/>
  <c r="W728" i="148"/>
  <c r="W729" i="148" s="1"/>
  <c r="H124" i="109"/>
  <c r="J124" i="109" s="1"/>
  <c r="K124" i="109" s="1"/>
  <c r="AD124" i="109" s="1"/>
  <c r="K111" i="109"/>
  <c r="AD111" i="109" s="1"/>
  <c r="W725" i="148"/>
  <c r="C743" i="148"/>
  <c r="K108" i="109"/>
  <c r="AD108" i="109" s="1"/>
  <c r="H125" i="109"/>
  <c r="J125" i="109" s="1"/>
  <c r="K125" i="109" s="1"/>
  <c r="AD125" i="109" s="1"/>
  <c r="K113" i="109"/>
  <c r="AD113" i="109" s="1"/>
  <c r="K112" i="109"/>
  <c r="AD112" i="109" s="1"/>
  <c r="H41" i="56"/>
  <c r="H73" i="109"/>
  <c r="J73" i="109" s="1"/>
  <c r="H32" i="56"/>
  <c r="H54" i="109"/>
  <c r="J54" i="109" s="1"/>
  <c r="A195" i="109"/>
  <c r="B195" i="109"/>
  <c r="B195" i="46" s="1"/>
  <c r="C195" i="109"/>
  <c r="D195" i="46" s="1"/>
  <c r="I63" i="125"/>
  <c r="W189" i="148"/>
  <c r="H48" i="56"/>
  <c r="E65" i="109"/>
  <c r="AQ65" i="46" s="1"/>
  <c r="J65" i="46" s="1"/>
  <c r="H67" i="109"/>
  <c r="J67" i="109" s="1"/>
  <c r="H35" i="56"/>
  <c r="H50" i="56"/>
  <c r="H37" i="56"/>
  <c r="H69" i="109"/>
  <c r="J69" i="109" s="1"/>
  <c r="H106" i="109"/>
  <c r="J106" i="109" s="1"/>
  <c r="K106" i="109" s="1"/>
  <c r="AD106" i="109" s="1"/>
  <c r="W714" i="148"/>
  <c r="W715" i="148" s="1"/>
  <c r="H105" i="109"/>
  <c r="J105" i="109" s="1"/>
  <c r="K105" i="109" s="1"/>
  <c r="AD105" i="109" s="1"/>
  <c r="W718" i="148"/>
  <c r="H114" i="109"/>
  <c r="J114" i="109" s="1"/>
  <c r="K114" i="109" s="1"/>
  <c r="AD114" i="109" s="1"/>
  <c r="W721" i="148"/>
  <c r="W722" i="148" s="1"/>
  <c r="H115" i="109"/>
  <c r="J115" i="109" s="1"/>
  <c r="K115" i="109" s="1"/>
  <c r="AD115" i="109" s="1"/>
  <c r="H56" i="56"/>
  <c r="J56" i="56" s="1"/>
  <c r="E100" i="109"/>
  <c r="AQ100" i="46" s="1"/>
  <c r="J100" i="46" s="1"/>
  <c r="H44" i="56"/>
  <c r="H46" i="56"/>
  <c r="H107" i="109"/>
  <c r="J107" i="109" s="1"/>
  <c r="K107" i="109" s="1"/>
  <c r="AD107" i="109" s="1"/>
  <c r="K117" i="109"/>
  <c r="AD117" i="109" s="1"/>
  <c r="K119" i="109"/>
  <c r="AD119" i="109" s="1"/>
  <c r="K116" i="109"/>
  <c r="AD116" i="109" s="1"/>
  <c r="C750" i="148"/>
  <c r="C714" i="148"/>
  <c r="C713" i="148"/>
  <c r="K109" i="109"/>
  <c r="AD109" i="109" s="1"/>
  <c r="AQ7" i="46"/>
  <c r="J7" i="46" s="1"/>
  <c r="K200" i="109"/>
  <c r="A200" i="109"/>
  <c r="H71" i="109"/>
  <c r="J71" i="109" s="1"/>
  <c r="H39" i="56"/>
  <c r="H30" i="56"/>
  <c r="E50" i="109"/>
  <c r="AQ50" i="46" s="1"/>
  <c r="J50" i="46" s="1"/>
  <c r="H52" i="109"/>
  <c r="J52" i="109" s="1"/>
  <c r="W188" i="148"/>
  <c r="H104" i="109"/>
  <c r="J104" i="109" s="1"/>
  <c r="K104" i="109" s="1"/>
  <c r="AD104" i="109" s="1"/>
  <c r="K110" i="109"/>
  <c r="AD110" i="109" s="1"/>
  <c r="H54" i="56"/>
  <c r="J54" i="56" s="1"/>
  <c r="E98" i="109"/>
  <c r="AQ98" i="46" s="1"/>
  <c r="J98" i="46" s="1"/>
  <c r="K118" i="109"/>
  <c r="AD118" i="109" s="1"/>
  <c r="E96" i="109"/>
  <c r="AQ96" i="46" s="1"/>
  <c r="J96" i="46" s="1"/>
  <c r="H95" i="109"/>
  <c r="J95" i="109" s="1"/>
  <c r="K95" i="109" s="1"/>
  <c r="AD95" i="109" s="1"/>
  <c r="H52" i="56"/>
  <c r="J52" i="56" s="1"/>
  <c r="A199" i="109"/>
  <c r="E201" i="109"/>
  <c r="AQ201" i="46" s="1"/>
  <c r="J201" i="46" s="1"/>
  <c r="F201" i="109"/>
  <c r="AP201" i="46" s="1"/>
  <c r="H201" i="46" s="1"/>
  <c r="K199" i="109"/>
  <c r="A198" i="109"/>
  <c r="O189" i="148" s="1"/>
  <c r="B198" i="109"/>
  <c r="B198" i="46" s="1"/>
  <c r="C198" i="109"/>
  <c r="K409" i="109"/>
  <c r="C95" i="125"/>
  <c r="M14" i="143"/>
  <c r="U14" i="143"/>
  <c r="U13" i="143"/>
  <c r="M13" i="143"/>
  <c r="M15" i="143"/>
  <c r="U15" i="143"/>
  <c r="K398" i="109"/>
  <c r="A398" i="109"/>
  <c r="K392" i="109"/>
  <c r="A392" i="109"/>
  <c r="A422" i="109"/>
  <c r="K422" i="109"/>
  <c r="K425" i="109"/>
  <c r="L17" i="147"/>
  <c r="K389" i="109"/>
  <c r="A389" i="109"/>
  <c r="A401" i="109"/>
  <c r="K401" i="109"/>
  <c r="K387" i="109"/>
  <c r="A387" i="109"/>
  <c r="A394" i="109"/>
  <c r="K394" i="109"/>
  <c r="A397" i="109"/>
  <c r="K397" i="109"/>
  <c r="A393" i="109"/>
  <c r="K393" i="109"/>
  <c r="K390" i="109"/>
  <c r="A390" i="109"/>
  <c r="A395" i="109"/>
  <c r="K395" i="109"/>
  <c r="K388" i="109"/>
  <c r="A388" i="109"/>
  <c r="P147" i="120"/>
  <c r="K400" i="109"/>
  <c r="A400" i="109"/>
  <c r="AQ458" i="46" l="1"/>
  <c r="J458" i="46" s="1"/>
  <c r="M201" i="143"/>
  <c r="K274" i="109"/>
  <c r="E46" i="149"/>
  <c r="H46" i="149"/>
  <c r="H59" i="149"/>
  <c r="E59" i="149"/>
  <c r="D64" i="149"/>
  <c r="I208" i="143"/>
  <c r="K208" i="143" s="1"/>
  <c r="L208" i="143" s="1"/>
  <c r="A405" i="109"/>
  <c r="F405" i="109" s="1"/>
  <c r="AP405" i="46" s="1"/>
  <c r="H405" i="46" s="1"/>
  <c r="B405" i="109"/>
  <c r="B405" i="46" s="1"/>
  <c r="O541" i="148"/>
  <c r="AB560" i="148" s="1"/>
  <c r="L20" i="143"/>
  <c r="M20" i="143" s="1"/>
  <c r="D60" i="149"/>
  <c r="E64" i="149"/>
  <c r="H60" i="149"/>
  <c r="H63" i="149"/>
  <c r="C34" i="125"/>
  <c r="G34" i="125"/>
  <c r="O714" i="148"/>
  <c r="G739" i="148"/>
  <c r="G566" i="148"/>
  <c r="G565" i="148"/>
  <c r="Y585" i="148" s="1"/>
  <c r="AA560" i="148"/>
  <c r="Y560" i="148"/>
  <c r="K540" i="148"/>
  <c r="L540" i="148" s="1"/>
  <c r="L537" i="148"/>
  <c r="S540" i="148"/>
  <c r="T540" i="148" s="1"/>
  <c r="T537" i="148"/>
  <c r="AB585" i="148"/>
  <c r="F304" i="120"/>
  <c r="D452" i="109" s="1"/>
  <c r="AO452" i="46" s="1"/>
  <c r="F452" i="46" s="1"/>
  <c r="W615" i="148"/>
  <c r="R405" i="109"/>
  <c r="BF405" i="46" s="1"/>
  <c r="D405" i="46"/>
  <c r="G614" i="148"/>
  <c r="AO406" i="46"/>
  <c r="F406" i="46" s="1"/>
  <c r="S423" i="109"/>
  <c r="BG423" i="46" s="1"/>
  <c r="AO423" i="46"/>
  <c r="F423" i="46" s="1"/>
  <c r="R384" i="109"/>
  <c r="BF384" i="46" s="1"/>
  <c r="D384" i="46"/>
  <c r="I62" i="125"/>
  <c r="A418" i="109"/>
  <c r="AO418" i="46"/>
  <c r="F418" i="46" s="1"/>
  <c r="S411" i="109"/>
  <c r="BG411" i="46" s="1"/>
  <c r="AO411" i="46"/>
  <c r="F411" i="46" s="1"/>
  <c r="A417" i="109"/>
  <c r="AO417" i="46"/>
  <c r="F417" i="46" s="1"/>
  <c r="S425" i="109"/>
  <c r="BG425" i="46" s="1"/>
  <c r="AO425" i="46"/>
  <c r="F425" i="46" s="1"/>
  <c r="A414" i="109"/>
  <c r="AO414" i="46"/>
  <c r="F414" i="46" s="1"/>
  <c r="S272" i="109"/>
  <c r="BG272" i="46" s="1"/>
  <c r="H35" i="125"/>
  <c r="AO272" i="46"/>
  <c r="F272" i="46" s="1"/>
  <c r="C28" i="142"/>
  <c r="H36" i="125"/>
  <c r="H103" i="126" s="1"/>
  <c r="AO274" i="46"/>
  <c r="F274" i="46" s="1"/>
  <c r="C38" i="142"/>
  <c r="I8" i="143"/>
  <c r="K8" i="143" s="1"/>
  <c r="L8" i="143" s="1"/>
  <c r="S274" i="109"/>
  <c r="BG274" i="46" s="1"/>
  <c r="A415" i="109"/>
  <c r="AO415" i="46"/>
  <c r="F415" i="46" s="1"/>
  <c r="A407" i="109"/>
  <c r="AO407" i="46"/>
  <c r="F407" i="46" s="1"/>
  <c r="S410" i="109"/>
  <c r="BG410" i="46" s="1"/>
  <c r="AO410" i="46"/>
  <c r="F410" i="46" s="1"/>
  <c r="S421" i="109"/>
  <c r="BG421" i="46" s="1"/>
  <c r="AO421" i="46"/>
  <c r="F421" i="46" s="1"/>
  <c r="G514" i="148"/>
  <c r="G515" i="148" s="1"/>
  <c r="AO424" i="46"/>
  <c r="F424" i="46" s="1"/>
  <c r="K272" i="109"/>
  <c r="R198" i="109"/>
  <c r="BF198" i="46" s="1"/>
  <c r="D198" i="46"/>
  <c r="W339" i="148"/>
  <c r="AQ405" i="46"/>
  <c r="J405" i="46" s="1"/>
  <c r="C65" i="149"/>
  <c r="AO296" i="46"/>
  <c r="S416" i="109"/>
  <c r="BG416" i="46" s="1"/>
  <c r="AO416" i="46"/>
  <c r="F416" i="46" s="1"/>
  <c r="S408" i="109"/>
  <c r="BG408" i="46" s="1"/>
  <c r="AO408" i="46"/>
  <c r="F408" i="46" s="1"/>
  <c r="A420" i="109"/>
  <c r="AO420" i="46"/>
  <c r="F420" i="46" s="1"/>
  <c r="G303" i="120"/>
  <c r="D450" i="109" s="1"/>
  <c r="F301" i="120"/>
  <c r="D446" i="109" s="1"/>
  <c r="AO446" i="46" s="1"/>
  <c r="F446" i="46" s="1"/>
  <c r="G302" i="120"/>
  <c r="D444" i="109" s="1"/>
  <c r="F303" i="120"/>
  <c r="D449" i="109" s="1"/>
  <c r="G301" i="120"/>
  <c r="D447" i="109" s="1"/>
  <c r="AO447" i="46" s="1"/>
  <c r="F447" i="46" s="1"/>
  <c r="F302" i="120"/>
  <c r="D443" i="109" s="1"/>
  <c r="AO443" i="46" s="1"/>
  <c r="F443" i="46" s="1"/>
  <c r="G304" i="120"/>
  <c r="D453" i="109" s="1"/>
  <c r="A424" i="109"/>
  <c r="K424" i="109"/>
  <c r="A425" i="109"/>
  <c r="I232" i="143"/>
  <c r="K232" i="143" s="1"/>
  <c r="H127" i="126"/>
  <c r="A127" i="126" s="1"/>
  <c r="H126" i="126"/>
  <c r="F739" i="46" s="1"/>
  <c r="BG739" i="46" s="1"/>
  <c r="G95" i="125"/>
  <c r="S414" i="109"/>
  <c r="BG414" i="46" s="1"/>
  <c r="S565" i="148"/>
  <c r="T565" i="148" s="1"/>
  <c r="T562" i="148"/>
  <c r="K421" i="109"/>
  <c r="S406" i="109"/>
  <c r="BG406" i="46" s="1"/>
  <c r="A421" i="109"/>
  <c r="K414" i="109"/>
  <c r="K423" i="109"/>
  <c r="S424" i="109"/>
  <c r="BG424" i="46" s="1"/>
  <c r="A410" i="109"/>
  <c r="S420" i="109"/>
  <c r="BG420" i="46" s="1"/>
  <c r="H38" i="125"/>
  <c r="D428" i="109"/>
  <c r="S427" i="109"/>
  <c r="BG427" i="46" s="1"/>
  <c r="G21" i="135"/>
  <c r="J21" i="135" s="1"/>
  <c r="F428" i="109"/>
  <c r="AP428" i="46" s="1"/>
  <c r="H428" i="46" s="1"/>
  <c r="G589" i="148"/>
  <c r="K427" i="109"/>
  <c r="A423" i="109"/>
  <c r="K420" i="109"/>
  <c r="K408" i="109"/>
  <c r="A408" i="109"/>
  <c r="G639" i="148"/>
  <c r="G640" i="148" s="1"/>
  <c r="K640" i="148" s="1"/>
  <c r="L640" i="148" s="1"/>
  <c r="K407" i="109"/>
  <c r="H62" i="149"/>
  <c r="O489" i="148"/>
  <c r="O490" i="148" s="1"/>
  <c r="S490" i="148" s="1"/>
  <c r="T490" i="148" s="1"/>
  <c r="U3" i="147"/>
  <c r="U5" i="147" s="1"/>
  <c r="A411" i="109"/>
  <c r="D62" i="149"/>
  <c r="A406" i="109"/>
  <c r="S417" i="109"/>
  <c r="BG417" i="46" s="1"/>
  <c r="O514" i="148"/>
  <c r="K416" i="109"/>
  <c r="A416" i="109"/>
  <c r="S418" i="109"/>
  <c r="BG418" i="46" s="1"/>
  <c r="K418" i="109"/>
  <c r="K415" i="109"/>
  <c r="S415" i="109"/>
  <c r="BG415" i="46" s="1"/>
  <c r="G489" i="148"/>
  <c r="G490" i="148" s="1"/>
  <c r="K490" i="148" s="1"/>
  <c r="L490" i="148" s="1"/>
  <c r="S407" i="109"/>
  <c r="BG407" i="46" s="1"/>
  <c r="Q148" i="120"/>
  <c r="P149" i="120" s="1"/>
  <c r="K417" i="109"/>
  <c r="K406" i="109"/>
  <c r="G34" i="60"/>
  <c r="H47" i="149"/>
  <c r="H49" i="149"/>
  <c r="E49" i="149"/>
  <c r="D47" i="149"/>
  <c r="D61" i="120"/>
  <c r="Y49" i="120"/>
  <c r="Y51" i="120" s="1"/>
  <c r="H54" i="149"/>
  <c r="H57" i="149"/>
  <c r="E54" i="149"/>
  <c r="D45" i="149"/>
  <c r="AJ244" i="120"/>
  <c r="H53" i="149"/>
  <c r="D53" i="149"/>
  <c r="E58" i="149"/>
  <c r="E57" i="149"/>
  <c r="D55" i="149"/>
  <c r="H55" i="149"/>
  <c r="H58" i="149"/>
  <c r="P6" i="120"/>
  <c r="P5" i="120"/>
  <c r="H56" i="149"/>
  <c r="E56" i="149"/>
  <c r="D48" i="149"/>
  <c r="S228" i="109"/>
  <c r="BG228" i="46" s="1"/>
  <c r="S227" i="109"/>
  <c r="BG227" i="46" s="1"/>
  <c r="H45" i="149"/>
  <c r="E48" i="149"/>
  <c r="P337" i="148"/>
  <c r="D52" i="149"/>
  <c r="H61" i="149"/>
  <c r="E61" i="149"/>
  <c r="E52" i="149"/>
  <c r="D50" i="149"/>
  <c r="E50" i="149"/>
  <c r="J52" i="150"/>
  <c r="J56" i="150"/>
  <c r="J54" i="150"/>
  <c r="J50" i="150"/>
  <c r="J58" i="150"/>
  <c r="C21" i="57"/>
  <c r="I21" i="57"/>
  <c r="H21" i="57"/>
  <c r="J21" i="57"/>
  <c r="M209" i="143"/>
  <c r="T209" i="143"/>
  <c r="M246" i="143"/>
  <c r="T246" i="143"/>
  <c r="S19" i="143"/>
  <c r="M19" i="143"/>
  <c r="M18" i="143"/>
  <c r="S18" i="143"/>
  <c r="M21" i="143"/>
  <c r="U21" i="143"/>
  <c r="S17" i="143"/>
  <c r="M17" i="143"/>
  <c r="H280" i="109"/>
  <c r="J280" i="109" s="1"/>
  <c r="K280" i="109" s="1"/>
  <c r="S280" i="109"/>
  <c r="BG280" i="46" s="1"/>
  <c r="H292" i="109"/>
  <c r="J292" i="109" s="1"/>
  <c r="K292" i="109" s="1"/>
  <c r="S292" i="109"/>
  <c r="BG292" i="46" s="1"/>
  <c r="H293" i="109"/>
  <c r="J293" i="109" s="1"/>
  <c r="K293" i="109" s="1"/>
  <c r="S293" i="109"/>
  <c r="BG293" i="46" s="1"/>
  <c r="H295" i="109"/>
  <c r="J295" i="109" s="1"/>
  <c r="K295" i="109" s="1"/>
  <c r="S295" i="109"/>
  <c r="BG295" i="46" s="1"/>
  <c r="H294" i="109"/>
  <c r="J294" i="109" s="1"/>
  <c r="K294" i="109" s="1"/>
  <c r="S294" i="109"/>
  <c r="BG294" i="46" s="1"/>
  <c r="W190" i="148"/>
  <c r="O191" i="148" s="1"/>
  <c r="AJ211" i="120"/>
  <c r="O466" i="148"/>
  <c r="S277" i="109"/>
  <c r="BG277" i="46" s="1"/>
  <c r="H277" i="109"/>
  <c r="J277" i="109" s="1"/>
  <c r="K277" i="109" s="1"/>
  <c r="S278" i="109"/>
  <c r="BG278" i="46" s="1"/>
  <c r="H278" i="109"/>
  <c r="J278" i="109" s="1"/>
  <c r="K278" i="109" s="1"/>
  <c r="F21" i="109"/>
  <c r="AP21" i="46" s="1"/>
  <c r="F20" i="109"/>
  <c r="AP20" i="46" s="1"/>
  <c r="F15" i="109"/>
  <c r="AP15" i="46" s="1"/>
  <c r="F9" i="109"/>
  <c r="AP9" i="46" s="1"/>
  <c r="H9" i="46" s="1"/>
  <c r="F14" i="109"/>
  <c r="AP14" i="46" s="1"/>
  <c r="F13" i="109"/>
  <c r="AP13" i="46" s="1"/>
  <c r="F8" i="109"/>
  <c r="F6" i="109"/>
  <c r="F24" i="109"/>
  <c r="AP24" i="46" s="1"/>
  <c r="F25" i="109"/>
  <c r="AP25" i="46" s="1"/>
  <c r="F7" i="109"/>
  <c r="F19" i="109"/>
  <c r="AP19" i="46" s="1"/>
  <c r="F12" i="109"/>
  <c r="AP12" i="46" s="1"/>
  <c r="F17" i="109"/>
  <c r="AP17" i="46" s="1"/>
  <c r="F18" i="109"/>
  <c r="AP18" i="46" s="1"/>
  <c r="F16" i="109"/>
  <c r="AP16" i="46" s="1"/>
  <c r="F22" i="109"/>
  <c r="AP22" i="46" s="1"/>
  <c r="F23" i="109"/>
  <c r="AP23" i="46" s="1"/>
  <c r="K2" i="109"/>
  <c r="D65" i="109"/>
  <c r="D514" i="109" s="1"/>
  <c r="D252" i="120" s="1"/>
  <c r="S291" i="109"/>
  <c r="BG291" i="46" s="1"/>
  <c r="H291" i="109"/>
  <c r="J291" i="109" s="1"/>
  <c r="K291" i="109" s="1"/>
  <c r="S279" i="109"/>
  <c r="BG279" i="46" s="1"/>
  <c r="H279" i="109"/>
  <c r="J279" i="109" s="1"/>
  <c r="K279" i="109" s="1"/>
  <c r="M190" i="143"/>
  <c r="P190" i="143"/>
  <c r="S289" i="109"/>
  <c r="BG289" i="46" s="1"/>
  <c r="H289" i="109"/>
  <c r="J289" i="109" s="1"/>
  <c r="K289" i="109" s="1"/>
  <c r="D164" i="109"/>
  <c r="AO164" i="46" s="1"/>
  <c r="F164" i="46" s="1"/>
  <c r="C13" i="146"/>
  <c r="D163" i="109"/>
  <c r="D31" i="142"/>
  <c r="D41" i="142"/>
  <c r="S288" i="109"/>
  <c r="BG288" i="46" s="1"/>
  <c r="H288" i="109"/>
  <c r="J288" i="109" s="1"/>
  <c r="K288" i="109" s="1"/>
  <c r="J67" i="120"/>
  <c r="F301" i="109"/>
  <c r="AP301" i="46" s="1"/>
  <c r="H301" i="46" s="1"/>
  <c r="C38" i="120"/>
  <c r="S276" i="109"/>
  <c r="BG276" i="46" s="1"/>
  <c r="H276" i="109"/>
  <c r="J276" i="109" s="1"/>
  <c r="K276" i="109" s="1"/>
  <c r="S290" i="109"/>
  <c r="BG290" i="46" s="1"/>
  <c r="H290" i="109"/>
  <c r="J290" i="109" s="1"/>
  <c r="K290" i="109" s="1"/>
  <c r="R195" i="109"/>
  <c r="BF195" i="46" s="1"/>
  <c r="D17" i="147"/>
  <c r="C17" i="147" s="1"/>
  <c r="H63" i="125"/>
  <c r="I176" i="143"/>
  <c r="W238" i="148"/>
  <c r="H55" i="56"/>
  <c r="D98" i="109"/>
  <c r="D100" i="109"/>
  <c r="H57" i="56"/>
  <c r="W239" i="148"/>
  <c r="H96" i="109"/>
  <c r="J96" i="109" s="1"/>
  <c r="D96" i="109"/>
  <c r="H53" i="56"/>
  <c r="C715" i="148"/>
  <c r="G716" i="148" s="1"/>
  <c r="G63" i="125"/>
  <c r="H65" i="109"/>
  <c r="C63" i="125"/>
  <c r="B201" i="109"/>
  <c r="B201" i="46" s="1"/>
  <c r="C201" i="109"/>
  <c r="D201" i="46" s="1"/>
  <c r="A201" i="109"/>
  <c r="C540" i="148"/>
  <c r="S465" i="148"/>
  <c r="T465" i="148" s="1"/>
  <c r="T462" i="148"/>
  <c r="C402" i="109"/>
  <c r="B402" i="109"/>
  <c r="B402" i="46" s="1"/>
  <c r="A402" i="109"/>
  <c r="H61" i="125" s="1"/>
  <c r="O147" i="120"/>
  <c r="O339" i="148"/>
  <c r="H62" i="125"/>
  <c r="C391" i="109"/>
  <c r="B391" i="109"/>
  <c r="B391" i="46" s="1"/>
  <c r="A391" i="109"/>
  <c r="C62" i="125"/>
  <c r="W590" i="148"/>
  <c r="G62" i="125"/>
  <c r="B399" i="109"/>
  <c r="B399" i="46" s="1"/>
  <c r="A399" i="109"/>
  <c r="C399" i="109"/>
  <c r="B396" i="109"/>
  <c r="B396" i="46" s="1"/>
  <c r="C396" i="109"/>
  <c r="A396" i="109"/>
  <c r="H59" i="125" s="1"/>
  <c r="C615" i="148"/>
  <c r="P11" i="120" l="1"/>
  <c r="I210" i="143"/>
  <c r="K210" i="143" s="1"/>
  <c r="L210" i="143" s="1"/>
  <c r="M210" i="143" s="1"/>
  <c r="W338" i="148"/>
  <c r="U20" i="143"/>
  <c r="H32" i="125"/>
  <c r="S514" i="109"/>
  <c r="BG514" i="46" s="1"/>
  <c r="AO514" i="46"/>
  <c r="F514" i="46" s="1"/>
  <c r="K514" i="109"/>
  <c r="AO65" i="46"/>
  <c r="D50" i="109"/>
  <c r="AA585" i="148"/>
  <c r="Z535" i="148"/>
  <c r="AO428" i="46"/>
  <c r="F428" i="46" s="1"/>
  <c r="D442" i="109"/>
  <c r="AO442" i="46" s="1"/>
  <c r="F442" i="46" s="1"/>
  <c r="D440" i="109"/>
  <c r="AO440" i="46" s="1"/>
  <c r="F440" i="46" s="1"/>
  <c r="D439" i="109"/>
  <c r="AO439" i="46" s="1"/>
  <c r="F439" i="46" s="1"/>
  <c r="D437" i="109"/>
  <c r="AO437" i="46" s="1"/>
  <c r="F437" i="46" s="1"/>
  <c r="D441" i="109"/>
  <c r="AO441" i="46" s="1"/>
  <c r="F441" i="46" s="1"/>
  <c r="D438" i="109"/>
  <c r="AO438" i="46" s="1"/>
  <c r="F438" i="46" s="1"/>
  <c r="F740" i="46"/>
  <c r="BG740" i="46" s="1"/>
  <c r="L232" i="143"/>
  <c r="M232" i="143" s="1"/>
  <c r="K262" i="143"/>
  <c r="G27" i="152" s="1"/>
  <c r="A126" i="126"/>
  <c r="K261" i="143"/>
  <c r="G26" i="152" s="1"/>
  <c r="H105" i="126"/>
  <c r="A105" i="126" s="1"/>
  <c r="G715" i="148"/>
  <c r="L712" i="148" s="1"/>
  <c r="Z760" i="148"/>
  <c r="G740" i="148"/>
  <c r="G741" i="148"/>
  <c r="AB760" i="148" s="1"/>
  <c r="O715" i="148"/>
  <c r="Z735" i="148"/>
  <c r="O716" i="148"/>
  <c r="AB735" i="148" s="1"/>
  <c r="AO163" i="46"/>
  <c r="F163" i="46" s="1"/>
  <c r="O314" i="148"/>
  <c r="O190" i="148"/>
  <c r="O616" i="148"/>
  <c r="O615" i="148"/>
  <c r="L562" i="148"/>
  <c r="K565" i="148"/>
  <c r="L565" i="148" s="1"/>
  <c r="A452" i="109"/>
  <c r="H104" i="126"/>
  <c r="F717" i="46" s="1"/>
  <c r="BG717" i="46" s="1"/>
  <c r="S452" i="109"/>
  <c r="BG452" i="46" s="1"/>
  <c r="B419" i="109"/>
  <c r="B419" i="46" s="1"/>
  <c r="G516" i="148"/>
  <c r="W340" i="148"/>
  <c r="M8" i="143"/>
  <c r="U8" i="143"/>
  <c r="R399" i="109"/>
  <c r="BF399" i="46" s="1"/>
  <c r="D399" i="46"/>
  <c r="R391" i="109"/>
  <c r="BF391" i="46" s="1"/>
  <c r="D391" i="46"/>
  <c r="S96" i="109"/>
  <c r="BG96" i="46" s="1"/>
  <c r="AO96" i="46"/>
  <c r="F96" i="46" s="1"/>
  <c r="S100" i="109"/>
  <c r="BG100" i="46" s="1"/>
  <c r="AO100" i="46"/>
  <c r="F100" i="46" s="1"/>
  <c r="F5" i="109"/>
  <c r="D254" i="120" s="1"/>
  <c r="AP8" i="46"/>
  <c r="H8" i="46" s="1"/>
  <c r="A450" i="109"/>
  <c r="AO450" i="46"/>
  <c r="F450" i="46" s="1"/>
  <c r="R396" i="109"/>
  <c r="BF396" i="46" s="1"/>
  <c r="D396" i="46"/>
  <c r="R402" i="109"/>
  <c r="BF402" i="46" s="1"/>
  <c r="D402" i="46"/>
  <c r="S98" i="109"/>
  <c r="BG98" i="46" s="1"/>
  <c r="AO98" i="46"/>
  <c r="F98" i="46" s="1"/>
  <c r="A449" i="109"/>
  <c r="A451" i="109" s="1"/>
  <c r="H42" i="125" s="1"/>
  <c r="AO449" i="46"/>
  <c r="F449" i="46" s="1"/>
  <c r="S453" i="109"/>
  <c r="BG453" i="46" s="1"/>
  <c r="AO453" i="46"/>
  <c r="F453" i="46" s="1"/>
  <c r="G24" i="135"/>
  <c r="J24" i="135" s="1"/>
  <c r="AO444" i="46"/>
  <c r="F444" i="46" s="1"/>
  <c r="O515" i="148"/>
  <c r="AA535" i="148" s="1"/>
  <c r="A453" i="109"/>
  <c r="F306" i="120"/>
  <c r="H108" i="126" s="1"/>
  <c r="S447" i="109"/>
  <c r="BG447" i="46" s="1"/>
  <c r="A447" i="109"/>
  <c r="G26" i="135"/>
  <c r="J26" i="135" s="1"/>
  <c r="A444" i="109"/>
  <c r="G28" i="135"/>
  <c r="J28" i="135" s="1"/>
  <c r="S450" i="109"/>
  <c r="BG450" i="46" s="1"/>
  <c r="S444" i="109"/>
  <c r="BG444" i="46" s="1"/>
  <c r="S449" i="109"/>
  <c r="BG449" i="46" s="1"/>
  <c r="G30" i="135"/>
  <c r="J30" i="135" s="1"/>
  <c r="S443" i="109"/>
  <c r="BG443" i="46" s="1"/>
  <c r="A443" i="109"/>
  <c r="O516" i="148"/>
  <c r="L487" i="148"/>
  <c r="B426" i="109"/>
  <c r="A412" i="109"/>
  <c r="H53" i="125" s="1"/>
  <c r="F441" i="109"/>
  <c r="AP441" i="46" s="1"/>
  <c r="F442" i="109"/>
  <c r="AP442" i="46" s="1"/>
  <c r="F435" i="109"/>
  <c r="AP435" i="46" s="1"/>
  <c r="H428" i="109"/>
  <c r="J428" i="109" s="1"/>
  <c r="K428" i="109" s="1"/>
  <c r="F39" i="125"/>
  <c r="F434" i="109"/>
  <c r="AP434" i="46" s="1"/>
  <c r="H22" i="135"/>
  <c r="L637" i="148"/>
  <c r="S428" i="109"/>
  <c r="BG428" i="46" s="1"/>
  <c r="I199" i="143"/>
  <c r="K199" i="143" s="1"/>
  <c r="L199" i="143" s="1"/>
  <c r="I202" i="143"/>
  <c r="K202" i="143" s="1"/>
  <c r="L202" i="143" s="1"/>
  <c r="H39" i="125"/>
  <c r="D435" i="109"/>
  <c r="AO435" i="46" s="1"/>
  <c r="F435" i="46" s="1"/>
  <c r="D434" i="109"/>
  <c r="AO434" i="46" s="1"/>
  <c r="F434" i="46" s="1"/>
  <c r="D432" i="109"/>
  <c r="D433" i="109"/>
  <c r="AO433" i="46" s="1"/>
  <c r="F433" i="46" s="1"/>
  <c r="D431" i="109"/>
  <c r="AO431" i="46" s="1"/>
  <c r="F431" i="46" s="1"/>
  <c r="G22" i="135"/>
  <c r="D430" i="109"/>
  <c r="G641" i="148"/>
  <c r="A446" i="109"/>
  <c r="S446" i="109"/>
  <c r="BG446" i="46" s="1"/>
  <c r="C426" i="109"/>
  <c r="S86" i="120"/>
  <c r="S84" i="120"/>
  <c r="S85" i="120"/>
  <c r="B412" i="109"/>
  <c r="B412" i="46" s="1"/>
  <c r="C412" i="109"/>
  <c r="O491" i="148"/>
  <c r="A426" i="109"/>
  <c r="H55" i="125" s="1"/>
  <c r="Y510" i="148"/>
  <c r="C419" i="109"/>
  <c r="Z510" i="148"/>
  <c r="T487" i="148"/>
  <c r="A419" i="109"/>
  <c r="H54" i="125" s="1"/>
  <c r="G491" i="148"/>
  <c r="P148" i="120"/>
  <c r="O149" i="120" s="1"/>
  <c r="AA510" i="148"/>
  <c r="F426" i="109"/>
  <c r="AP426" i="46" s="1"/>
  <c r="H426" i="46" s="1"/>
  <c r="S100" i="120"/>
  <c r="S96" i="120"/>
  <c r="S93" i="120"/>
  <c r="S87" i="120"/>
  <c r="U87" i="120" s="1"/>
  <c r="O94" i="120"/>
  <c r="S99" i="120"/>
  <c r="S95" i="120"/>
  <c r="S94" i="120"/>
  <c r="S92" i="120"/>
  <c r="S91" i="120"/>
  <c r="K90" i="120"/>
  <c r="S98" i="120"/>
  <c r="U98" i="120" s="1"/>
  <c r="R88" i="120"/>
  <c r="Q99" i="120"/>
  <c r="Q96" i="120"/>
  <c r="S97" i="120"/>
  <c r="S90" i="120"/>
  <c r="Q85" i="120"/>
  <c r="P84" i="120"/>
  <c r="R97" i="120"/>
  <c r="P95" i="120"/>
  <c r="N93" i="120"/>
  <c r="M92" i="120"/>
  <c r="L91" i="120"/>
  <c r="K99" i="120"/>
  <c r="R86" i="120"/>
  <c r="K88" i="120"/>
  <c r="R100" i="120"/>
  <c r="K100" i="120"/>
  <c r="F196" i="60"/>
  <c r="F193" i="60"/>
  <c r="F191" i="60"/>
  <c r="F205" i="60"/>
  <c r="F200" i="60"/>
  <c r="F204" i="60"/>
  <c r="F199" i="60"/>
  <c r="F192" i="60"/>
  <c r="F206" i="60"/>
  <c r="F197" i="60"/>
  <c r="F194" i="60"/>
  <c r="F207" i="60"/>
  <c r="F203" i="60"/>
  <c r="F198" i="60"/>
  <c r="F189" i="60"/>
  <c r="F195" i="60"/>
  <c r="F188" i="60"/>
  <c r="F210" i="60"/>
  <c r="F190" i="60"/>
  <c r="F211" i="60"/>
  <c r="F209" i="60"/>
  <c r="F202" i="60"/>
  <c r="F201" i="60"/>
  <c r="F208" i="60"/>
  <c r="AE57" i="120"/>
  <c r="AB75" i="120" s="1"/>
  <c r="AB84" i="120" s="1"/>
  <c r="AE55" i="120"/>
  <c r="Y75" i="120" s="1"/>
  <c r="H60" i="125"/>
  <c r="H94" i="126"/>
  <c r="P237" i="148"/>
  <c r="P187" i="148"/>
  <c r="F716" i="46"/>
  <c r="BG716" i="46" s="1"/>
  <c r="A103" i="126"/>
  <c r="T21" i="120"/>
  <c r="T15" i="120"/>
  <c r="T10" i="120"/>
  <c r="T11" i="120"/>
  <c r="T20" i="120"/>
  <c r="T19" i="120"/>
  <c r="T14" i="120"/>
  <c r="T23" i="120"/>
  <c r="T17" i="120"/>
  <c r="T13" i="120"/>
  <c r="T18" i="120"/>
  <c r="T12" i="120"/>
  <c r="T16" i="120"/>
  <c r="T22" i="120"/>
  <c r="T250" i="143"/>
  <c r="T251" i="143" s="1"/>
  <c r="K21" i="57"/>
  <c r="K515" i="148"/>
  <c r="L515" i="148" s="1"/>
  <c r="L512" i="148"/>
  <c r="H18" i="109"/>
  <c r="J18" i="109" s="1"/>
  <c r="I26" i="56"/>
  <c r="H8" i="109"/>
  <c r="J8" i="109" s="1"/>
  <c r="H26" i="56"/>
  <c r="D366" i="109"/>
  <c r="AO366" i="46" s="1"/>
  <c r="F366" i="46" s="1"/>
  <c r="D365" i="109"/>
  <c r="AO365" i="46" s="1"/>
  <c r="F365" i="46" s="1"/>
  <c r="I98" i="143"/>
  <c r="K98" i="143" s="1"/>
  <c r="L98" i="143" s="1"/>
  <c r="D85" i="109"/>
  <c r="AO85" i="46" s="1"/>
  <c r="F85" i="46" s="1"/>
  <c r="I95" i="143"/>
  <c r="K95" i="143" s="1"/>
  <c r="L95" i="143" s="1"/>
  <c r="D82" i="109"/>
  <c r="B35" i="122"/>
  <c r="I13" i="152" s="1"/>
  <c r="I103" i="143"/>
  <c r="K103" i="143" s="1"/>
  <c r="L103" i="143" s="1"/>
  <c r="I92" i="143"/>
  <c r="K92" i="143" s="1"/>
  <c r="L92" i="143" s="1"/>
  <c r="D66" i="109"/>
  <c r="AO66" i="46" s="1"/>
  <c r="F66" i="46" s="1"/>
  <c r="H20" i="125"/>
  <c r="D86" i="109"/>
  <c r="AO86" i="46" s="1"/>
  <c r="D83" i="109"/>
  <c r="AO83" i="46" s="1"/>
  <c r="F83" i="46" s="1"/>
  <c r="I97" i="143"/>
  <c r="K97" i="143" s="1"/>
  <c r="L97" i="143" s="1"/>
  <c r="I94" i="143"/>
  <c r="K94" i="143" s="1"/>
  <c r="L94" i="143" s="1"/>
  <c r="I104" i="143"/>
  <c r="K104" i="143" s="1"/>
  <c r="L104" i="143" s="1"/>
  <c r="D6" i="109"/>
  <c r="I53" i="143" s="1"/>
  <c r="K53" i="143" s="1"/>
  <c r="L53" i="143" s="1"/>
  <c r="H17" i="109"/>
  <c r="J17" i="109" s="1"/>
  <c r="H13" i="109"/>
  <c r="J13" i="109" s="1"/>
  <c r="S301" i="109"/>
  <c r="BG301" i="46" s="1"/>
  <c r="I34" i="135"/>
  <c r="J34" i="135" s="1"/>
  <c r="H301" i="109"/>
  <c r="J301" i="109" s="1"/>
  <c r="K301" i="109" s="1"/>
  <c r="S163" i="109"/>
  <c r="BG163" i="46" s="1"/>
  <c r="K163" i="109"/>
  <c r="AD163" i="109" s="1"/>
  <c r="H12" i="109"/>
  <c r="J12" i="109" s="1"/>
  <c r="H14" i="109"/>
  <c r="J14" i="109" s="1"/>
  <c r="L79" i="120"/>
  <c r="K68" i="120"/>
  <c r="U68" i="120" s="1"/>
  <c r="T101" i="120"/>
  <c r="T77" i="120"/>
  <c r="U77" i="120" s="1"/>
  <c r="P73" i="120"/>
  <c r="Q74" i="120"/>
  <c r="R75" i="120"/>
  <c r="U75" i="120" s="1"/>
  <c r="M80" i="120"/>
  <c r="P83" i="120"/>
  <c r="R79" i="120"/>
  <c r="N81" i="120"/>
  <c r="R78" i="120"/>
  <c r="R82" i="120"/>
  <c r="R83" i="120"/>
  <c r="T89" i="120"/>
  <c r="U89" i="120" s="1"/>
  <c r="R81" i="120"/>
  <c r="N71" i="120"/>
  <c r="O82" i="120"/>
  <c r="K78" i="120"/>
  <c r="R80" i="120"/>
  <c r="L69" i="120"/>
  <c r="M70" i="120"/>
  <c r="U70" i="120" s="1"/>
  <c r="O72" i="120"/>
  <c r="S76" i="120"/>
  <c r="P12" i="120"/>
  <c r="P13" i="120"/>
  <c r="P14" i="120"/>
  <c r="H19" i="109"/>
  <c r="J19" i="109" s="1"/>
  <c r="H9" i="109"/>
  <c r="J9" i="109" s="1"/>
  <c r="I27" i="56"/>
  <c r="H27" i="56"/>
  <c r="S164" i="109"/>
  <c r="BG164" i="46" s="1"/>
  <c r="K164" i="109"/>
  <c r="AD164" i="109" s="1"/>
  <c r="AP7" i="46"/>
  <c r="H7" i="46" s="1"/>
  <c r="H7" i="109"/>
  <c r="J7" i="109" s="1"/>
  <c r="I25" i="56"/>
  <c r="H25" i="56"/>
  <c r="H15" i="109"/>
  <c r="J15" i="109" s="1"/>
  <c r="H23" i="109"/>
  <c r="J23" i="109" s="1"/>
  <c r="H25" i="109"/>
  <c r="J25" i="109" s="1"/>
  <c r="H20" i="109"/>
  <c r="J20" i="109" s="1"/>
  <c r="H22" i="109"/>
  <c r="J22" i="109" s="1"/>
  <c r="H24" i="109"/>
  <c r="J24" i="109" s="1"/>
  <c r="H21" i="109"/>
  <c r="J21" i="109" s="1"/>
  <c r="H16" i="109"/>
  <c r="J16" i="109" s="1"/>
  <c r="AP6" i="46"/>
  <c r="H6" i="46" s="1"/>
  <c r="F10" i="109"/>
  <c r="AP10" i="46" s="1"/>
  <c r="F11" i="109"/>
  <c r="AP11" i="46" s="1"/>
  <c r="H6" i="109"/>
  <c r="J6" i="109" s="1"/>
  <c r="I24" i="56"/>
  <c r="H24" i="56"/>
  <c r="R201" i="109"/>
  <c r="BF201" i="46" s="1"/>
  <c r="O239" i="148"/>
  <c r="K96" i="109"/>
  <c r="AD96" i="109" s="1"/>
  <c r="G53" i="56"/>
  <c r="J53" i="56" s="1"/>
  <c r="G57" i="56"/>
  <c r="J57" i="56" s="1"/>
  <c r="G55" i="56"/>
  <c r="J55" i="56" s="1"/>
  <c r="W240" i="148"/>
  <c r="I177" i="143"/>
  <c r="K177" i="143" s="1"/>
  <c r="L177" i="143" s="1"/>
  <c r="K176" i="143"/>
  <c r="L176" i="143" s="1"/>
  <c r="U210" i="143"/>
  <c r="P208" i="143"/>
  <c r="M208" i="143"/>
  <c r="C59" i="125"/>
  <c r="H58" i="125"/>
  <c r="I193" i="143"/>
  <c r="N147" i="120"/>
  <c r="C58" i="125"/>
  <c r="O590" i="148"/>
  <c r="Z610" i="148"/>
  <c r="O591" i="148"/>
  <c r="G58" i="125"/>
  <c r="G60" i="125"/>
  <c r="C61" i="125"/>
  <c r="G61" i="125"/>
  <c r="C590" i="148"/>
  <c r="C60" i="125"/>
  <c r="O340" i="148"/>
  <c r="O341" i="148"/>
  <c r="G59" i="125"/>
  <c r="Z635" i="148"/>
  <c r="G615" i="148"/>
  <c r="G616" i="148"/>
  <c r="F718" i="46" l="1"/>
  <c r="BG718" i="46" s="1"/>
  <c r="F412" i="109"/>
  <c r="AP412" i="46" s="1"/>
  <c r="H412" i="46" s="1"/>
  <c r="E412" i="109"/>
  <c r="AQ412" i="46" s="1"/>
  <c r="J412" i="46" s="1"/>
  <c r="AB535" i="148"/>
  <c r="U232" i="143"/>
  <c r="C54" i="125"/>
  <c r="K715" i="148"/>
  <c r="L715" i="148" s="1"/>
  <c r="Y535" i="148"/>
  <c r="S515" i="148"/>
  <c r="T515" i="148" s="1"/>
  <c r="AB635" i="148"/>
  <c r="T512" i="148"/>
  <c r="A104" i="126"/>
  <c r="AP5" i="46"/>
  <c r="H5" i="46" s="1"/>
  <c r="S715" i="148"/>
  <c r="T715" i="148" s="1"/>
  <c r="T712" i="148"/>
  <c r="Y735" i="148"/>
  <c r="AA735" i="148"/>
  <c r="AO82" i="46"/>
  <c r="F82" i="46" s="1"/>
  <c r="L737" i="148"/>
  <c r="Y760" i="148"/>
  <c r="AA760" i="148"/>
  <c r="K740" i="148"/>
  <c r="L740" i="148" s="1"/>
  <c r="AO430" i="46"/>
  <c r="F430" i="46" s="1"/>
  <c r="G814" i="148"/>
  <c r="AO432" i="46"/>
  <c r="F432" i="46" s="1"/>
  <c r="O814" i="148"/>
  <c r="T187" i="148"/>
  <c r="S190" i="148"/>
  <c r="T190" i="148" s="1"/>
  <c r="E419" i="109"/>
  <c r="AQ419" i="46" s="1"/>
  <c r="J419" i="46" s="1"/>
  <c r="Z335" i="148"/>
  <c r="O315" i="148"/>
  <c r="O316" i="148"/>
  <c r="AB335" i="148" s="1"/>
  <c r="F419" i="109"/>
  <c r="AP419" i="46" s="1"/>
  <c r="H419" i="46" s="1"/>
  <c r="E426" i="109"/>
  <c r="AQ426" i="46" s="1"/>
  <c r="J426" i="46" s="1"/>
  <c r="S615" i="148"/>
  <c r="T615" i="148" s="1"/>
  <c r="T612" i="148"/>
  <c r="C451" i="109"/>
  <c r="D451" i="46" s="1"/>
  <c r="B451" i="109"/>
  <c r="B451" i="46" s="1"/>
  <c r="C55" i="125"/>
  <c r="B426" i="46"/>
  <c r="D259" i="120"/>
  <c r="B33" i="151" s="1"/>
  <c r="B35" i="151" s="1"/>
  <c r="AO50" i="46"/>
  <c r="R419" i="109"/>
  <c r="BF419" i="46" s="1"/>
  <c r="D419" i="46"/>
  <c r="R412" i="109"/>
  <c r="BF412" i="46" s="1"/>
  <c r="D412" i="46"/>
  <c r="R426" i="109"/>
  <c r="BF426" i="46" s="1"/>
  <c r="D426" i="46"/>
  <c r="AB510" i="148"/>
  <c r="H106" i="126"/>
  <c r="F719" i="46" s="1"/>
  <c r="BG719" i="46" s="1"/>
  <c r="H107" i="126"/>
  <c r="F720" i="46" s="1"/>
  <c r="BG720" i="46" s="1"/>
  <c r="C454" i="109"/>
  <c r="D454" i="46" s="1"/>
  <c r="A454" i="109"/>
  <c r="H43" i="125" s="1"/>
  <c r="B454" i="109"/>
  <c r="B454" i="46" s="1"/>
  <c r="I200" i="143"/>
  <c r="K200" i="143" s="1"/>
  <c r="L200" i="143" s="1"/>
  <c r="B445" i="109"/>
  <c r="B445" i="46" s="1"/>
  <c r="A445" i="109"/>
  <c r="H40" i="125" s="1"/>
  <c r="C445" i="109"/>
  <c r="D445" i="46" s="1"/>
  <c r="G53" i="125"/>
  <c r="C53" i="125"/>
  <c r="G55" i="125"/>
  <c r="I191" i="143"/>
  <c r="K191" i="143" s="1"/>
  <c r="L191" i="143" s="1"/>
  <c r="U191" i="143" s="1"/>
  <c r="G54" i="125"/>
  <c r="A108" i="126"/>
  <c r="F721" i="46"/>
  <c r="BG721" i="46" s="1"/>
  <c r="S430" i="109"/>
  <c r="BG430" i="46" s="1"/>
  <c r="I196" i="143"/>
  <c r="I203" i="143"/>
  <c r="K203" i="143" s="1"/>
  <c r="L203" i="143" s="1"/>
  <c r="K430" i="109"/>
  <c r="C448" i="109"/>
  <c r="D448" i="46" s="1"/>
  <c r="A448" i="109"/>
  <c r="H41" i="125" s="1"/>
  <c r="B448" i="109"/>
  <c r="B448" i="46" s="1"/>
  <c r="S431" i="109"/>
  <c r="BG431" i="46" s="1"/>
  <c r="K431" i="109"/>
  <c r="K433" i="109"/>
  <c r="S433" i="109"/>
  <c r="BG433" i="46" s="1"/>
  <c r="S432" i="109"/>
  <c r="BG432" i="46" s="1"/>
  <c r="K432" i="109"/>
  <c r="S434" i="109"/>
  <c r="BG434" i="46" s="1"/>
  <c r="S435" i="109"/>
  <c r="BG435" i="46" s="1"/>
  <c r="K437" i="109"/>
  <c r="S437" i="109"/>
  <c r="BG437" i="46" s="1"/>
  <c r="S438" i="109"/>
  <c r="BG438" i="46" s="1"/>
  <c r="K438" i="109"/>
  <c r="U202" i="143"/>
  <c r="M202" i="143"/>
  <c r="K439" i="109"/>
  <c r="S439" i="109"/>
  <c r="BG439" i="46" s="1"/>
  <c r="M199" i="143"/>
  <c r="P199" i="143"/>
  <c r="S440" i="109"/>
  <c r="BG440" i="46" s="1"/>
  <c r="K440" i="109"/>
  <c r="S442" i="109"/>
  <c r="BG442" i="46" s="1"/>
  <c r="U96" i="120"/>
  <c r="S441" i="109"/>
  <c r="BG441" i="46" s="1"/>
  <c r="J22" i="135"/>
  <c r="W814" i="148"/>
  <c r="W815" i="148" s="1"/>
  <c r="H434" i="109"/>
  <c r="J434" i="109" s="1"/>
  <c r="K434" i="109" s="1"/>
  <c r="H435" i="109"/>
  <c r="J435" i="109" s="1"/>
  <c r="K435" i="109" s="1"/>
  <c r="H442" i="109"/>
  <c r="J442" i="109" s="1"/>
  <c r="K442" i="109" s="1"/>
  <c r="H441" i="109"/>
  <c r="J441" i="109" s="1"/>
  <c r="K441" i="109" s="1"/>
  <c r="O148" i="120"/>
  <c r="U78" i="120"/>
  <c r="U85" i="120"/>
  <c r="U82" i="120"/>
  <c r="U84" i="120"/>
  <c r="U97" i="120"/>
  <c r="U92" i="120"/>
  <c r="U93" i="120"/>
  <c r="U95" i="120"/>
  <c r="U86" i="120"/>
  <c r="U100" i="120"/>
  <c r="U88" i="120"/>
  <c r="U99" i="120"/>
  <c r="U91" i="120"/>
  <c r="U90" i="120"/>
  <c r="C85" i="120"/>
  <c r="E85" i="120" s="1"/>
  <c r="D333" i="109" s="1"/>
  <c r="U76" i="120"/>
  <c r="U80" i="120"/>
  <c r="C71" i="120"/>
  <c r="E71" i="120" s="1"/>
  <c r="D319" i="109" s="1"/>
  <c r="U69" i="120"/>
  <c r="C77" i="120"/>
  <c r="E77" i="120" s="1"/>
  <c r="D325" i="109" s="1"/>
  <c r="U72" i="120"/>
  <c r="U83" i="120"/>
  <c r="C81" i="120"/>
  <c r="E81" i="120" s="1"/>
  <c r="D329" i="109" s="1"/>
  <c r="U74" i="120"/>
  <c r="C79" i="120"/>
  <c r="E79" i="120" s="1"/>
  <c r="D327" i="109" s="1"/>
  <c r="U73" i="120"/>
  <c r="U94" i="120"/>
  <c r="U81" i="120"/>
  <c r="C75" i="120"/>
  <c r="E75" i="120" s="1"/>
  <c r="D323" i="109" s="1"/>
  <c r="U71" i="120"/>
  <c r="U79" i="120"/>
  <c r="A94" i="126"/>
  <c r="F707" i="46"/>
  <c r="BG707" i="46" s="1"/>
  <c r="I147" i="143"/>
  <c r="K147" i="143" s="1"/>
  <c r="L147" i="143" s="1"/>
  <c r="P147" i="143" s="1"/>
  <c r="D187" i="109"/>
  <c r="AO187" i="46" s="1"/>
  <c r="F187" i="46" s="1"/>
  <c r="D183" i="109"/>
  <c r="D186" i="109"/>
  <c r="AO186" i="46" s="1"/>
  <c r="F186" i="46" s="1"/>
  <c r="D184" i="109"/>
  <c r="AO184" i="46" s="1"/>
  <c r="F184" i="46" s="1"/>
  <c r="Z23" i="120"/>
  <c r="AB23" i="120"/>
  <c r="AA23" i="120"/>
  <c r="Y23" i="120"/>
  <c r="Z14" i="120"/>
  <c r="AA14" i="120"/>
  <c r="Y14" i="120"/>
  <c r="AB14" i="120"/>
  <c r="AA22" i="120"/>
  <c r="Z22" i="120"/>
  <c r="AB22" i="120"/>
  <c r="Y22" i="120"/>
  <c r="AA19" i="120"/>
  <c r="AB19" i="120"/>
  <c r="Y19" i="120"/>
  <c r="Z19" i="120"/>
  <c r="AB16" i="120"/>
  <c r="Z16" i="120"/>
  <c r="AA16" i="120"/>
  <c r="Y16" i="120"/>
  <c r="AA20" i="120"/>
  <c r="Y20" i="120"/>
  <c r="Z20" i="120"/>
  <c r="AB20" i="120"/>
  <c r="AA12" i="120"/>
  <c r="Z12" i="120"/>
  <c r="AB12" i="120"/>
  <c r="Y12" i="120"/>
  <c r="AA11" i="120"/>
  <c r="Y11" i="120"/>
  <c r="AB11" i="120"/>
  <c r="Z11" i="120"/>
  <c r="AA18" i="120"/>
  <c r="AB18" i="120"/>
  <c r="Z18" i="120"/>
  <c r="Y18" i="120"/>
  <c r="AA10" i="120"/>
  <c r="Y10" i="120"/>
  <c r="Z10" i="120"/>
  <c r="AB10" i="120"/>
  <c r="AA13" i="120"/>
  <c r="AB13" i="120"/>
  <c r="Z13" i="120"/>
  <c r="Y13" i="120"/>
  <c r="AB15" i="120"/>
  <c r="AA15" i="120"/>
  <c r="Z15" i="120"/>
  <c r="Y15" i="120"/>
  <c r="AB17" i="120"/>
  <c r="AA17" i="120"/>
  <c r="Z17" i="120"/>
  <c r="Y17" i="120"/>
  <c r="AA21" i="120"/>
  <c r="AB21" i="120"/>
  <c r="Y21" i="120"/>
  <c r="Z21" i="120"/>
  <c r="C69" i="120"/>
  <c r="E69" i="120" s="1"/>
  <c r="D317" i="109" s="1"/>
  <c r="AO317" i="46" s="1"/>
  <c r="F317" i="46" s="1"/>
  <c r="C87" i="120"/>
  <c r="E87" i="120" s="1"/>
  <c r="D335" i="109" s="1"/>
  <c r="AO335" i="46" s="1"/>
  <c r="F335" i="46" s="1"/>
  <c r="C83" i="120"/>
  <c r="E83" i="120" s="1"/>
  <c r="D331" i="109" s="1"/>
  <c r="AO331" i="46" s="1"/>
  <c r="F331" i="46" s="1"/>
  <c r="C73" i="120"/>
  <c r="E73" i="120" s="1"/>
  <c r="D321" i="109" s="1"/>
  <c r="AO321" i="46" s="1"/>
  <c r="F321" i="46" s="1"/>
  <c r="I146" i="143"/>
  <c r="K146" i="143" s="1"/>
  <c r="L146" i="143" s="1"/>
  <c r="P146" i="143" s="1"/>
  <c r="I52" i="143"/>
  <c r="K52" i="143" s="1"/>
  <c r="L52" i="143" s="1"/>
  <c r="M52" i="143" s="1"/>
  <c r="I145" i="143"/>
  <c r="K145" i="143" s="1"/>
  <c r="L145" i="143" s="1"/>
  <c r="M53" i="143"/>
  <c r="U53" i="143"/>
  <c r="O48" i="60"/>
  <c r="Q13" i="120"/>
  <c r="H88" i="125" s="1"/>
  <c r="C68" i="120"/>
  <c r="E68" i="120" s="1"/>
  <c r="D316" i="109" s="1"/>
  <c r="AO316" i="46" s="1"/>
  <c r="F316" i="46" s="1"/>
  <c r="K102" i="120"/>
  <c r="D128" i="109"/>
  <c r="I124" i="143"/>
  <c r="K124" i="143" s="1"/>
  <c r="L124" i="143" s="1"/>
  <c r="H22" i="125"/>
  <c r="I168" i="143"/>
  <c r="K168" i="143" s="1"/>
  <c r="L168" i="143" s="1"/>
  <c r="I130" i="143"/>
  <c r="K130" i="143" s="1"/>
  <c r="L130" i="143" s="1"/>
  <c r="I159" i="143"/>
  <c r="K159" i="143" s="1"/>
  <c r="L159" i="143" s="1"/>
  <c r="I139" i="143"/>
  <c r="K139" i="143" s="1"/>
  <c r="L139" i="143" s="1"/>
  <c r="I137" i="143"/>
  <c r="K137" i="143" s="1"/>
  <c r="L137" i="143" s="1"/>
  <c r="D131" i="109"/>
  <c r="AO131" i="46" s="1"/>
  <c r="F131" i="46" s="1"/>
  <c r="D132" i="109"/>
  <c r="AO132" i="46" s="1"/>
  <c r="F132" i="46" s="1"/>
  <c r="D87" i="109"/>
  <c r="AO87" i="46" s="1"/>
  <c r="F87" i="46" s="1"/>
  <c r="I136" i="143"/>
  <c r="K136" i="143" s="1"/>
  <c r="L136" i="143" s="1"/>
  <c r="D180" i="109"/>
  <c r="I171" i="143"/>
  <c r="K171" i="143" s="1"/>
  <c r="L171" i="143" s="1"/>
  <c r="D181" i="109"/>
  <c r="AO181" i="46" s="1"/>
  <c r="F181" i="46" s="1"/>
  <c r="I135" i="143"/>
  <c r="D129" i="109"/>
  <c r="AO129" i="46" s="1"/>
  <c r="F129" i="46" s="1"/>
  <c r="I148" i="143"/>
  <c r="K148" i="143" s="1"/>
  <c r="L148" i="143" s="1"/>
  <c r="I156" i="143"/>
  <c r="K156" i="143" s="1"/>
  <c r="L156" i="143" s="1"/>
  <c r="D130" i="109"/>
  <c r="AO130" i="46" s="1"/>
  <c r="F130" i="46" s="1"/>
  <c r="I138" i="143"/>
  <c r="I134" i="143"/>
  <c r="K134" i="143" s="1"/>
  <c r="L134" i="143" s="1"/>
  <c r="I149" i="143"/>
  <c r="K149" i="143" s="1"/>
  <c r="L149" i="143" s="1"/>
  <c r="D133" i="109"/>
  <c r="AO133" i="46" s="1"/>
  <c r="F133" i="46" s="1"/>
  <c r="I131" i="143"/>
  <c r="K131" i="143" s="1"/>
  <c r="L131" i="143" s="1"/>
  <c r="I125" i="143"/>
  <c r="K125" i="143" s="1"/>
  <c r="L125" i="143" s="1"/>
  <c r="I140" i="143"/>
  <c r="K140" i="143" s="1"/>
  <c r="L140" i="143" s="1"/>
  <c r="I133" i="143"/>
  <c r="K133" i="143" s="1"/>
  <c r="L133" i="143" s="1"/>
  <c r="I167" i="143"/>
  <c r="K167" i="143" s="1"/>
  <c r="L167" i="143" s="1"/>
  <c r="D136" i="109"/>
  <c r="AO136" i="46" s="1"/>
  <c r="F136" i="46" s="1"/>
  <c r="I158" i="143"/>
  <c r="K158" i="143" s="1"/>
  <c r="L158" i="143" s="1"/>
  <c r="I170" i="143"/>
  <c r="K170" i="143" s="1"/>
  <c r="L170" i="143" s="1"/>
  <c r="I154" i="143"/>
  <c r="K154" i="143" s="1"/>
  <c r="L154" i="143" s="1"/>
  <c r="I132" i="143"/>
  <c r="B51" i="122"/>
  <c r="D135" i="109"/>
  <c r="I126" i="143"/>
  <c r="I169" i="143"/>
  <c r="K169" i="143" s="1"/>
  <c r="L169" i="143" s="1"/>
  <c r="I166" i="143"/>
  <c r="K166" i="143" s="1"/>
  <c r="L166" i="143" s="1"/>
  <c r="U95" i="143"/>
  <c r="M95" i="143"/>
  <c r="Q12" i="120"/>
  <c r="H87" i="125" s="1"/>
  <c r="O46" i="60"/>
  <c r="T102" i="120"/>
  <c r="T103" i="120" s="1"/>
  <c r="C86" i="120"/>
  <c r="E86" i="120" s="1"/>
  <c r="D334" i="109" s="1"/>
  <c r="AO334" i="46" s="1"/>
  <c r="F334" i="46" s="1"/>
  <c r="S85" i="109"/>
  <c r="BG85" i="46" s="1"/>
  <c r="K85" i="109"/>
  <c r="AD85" i="109" s="1"/>
  <c r="I96" i="143"/>
  <c r="K96" i="143" s="1"/>
  <c r="L96" i="143" s="1"/>
  <c r="S6" i="109"/>
  <c r="BG6" i="46" s="1"/>
  <c r="D8" i="109"/>
  <c r="AO8" i="46" s="1"/>
  <c r="F8" i="46" s="1"/>
  <c r="G24" i="56"/>
  <c r="J24" i="56" s="1"/>
  <c r="AO6" i="46"/>
  <c r="F6" i="46" s="1"/>
  <c r="D7" i="109"/>
  <c r="I51" i="143" s="1"/>
  <c r="K51" i="143" s="1"/>
  <c r="L51" i="143" s="1"/>
  <c r="K6" i="109"/>
  <c r="AD6" i="109" s="1"/>
  <c r="D5" i="109"/>
  <c r="D55" i="109"/>
  <c r="AO55" i="46" s="1"/>
  <c r="F55" i="46" s="1"/>
  <c r="H21" i="125"/>
  <c r="I119" i="143"/>
  <c r="K119" i="143" s="1"/>
  <c r="L119" i="143" s="1"/>
  <c r="I122" i="143"/>
  <c r="K122" i="143" s="1"/>
  <c r="L122" i="143" s="1"/>
  <c r="I116" i="143"/>
  <c r="K116" i="143" s="1"/>
  <c r="L116" i="143" s="1"/>
  <c r="D62" i="109"/>
  <c r="AO62" i="46" s="1"/>
  <c r="F62" i="46" s="1"/>
  <c r="F93" i="109"/>
  <c r="AP93" i="46" s="1"/>
  <c r="H93" i="46" s="1"/>
  <c r="D53" i="109"/>
  <c r="AO53" i="46" s="1"/>
  <c r="F53" i="46" s="1"/>
  <c r="D56" i="109"/>
  <c r="AO56" i="46" s="1"/>
  <c r="F56" i="46" s="1"/>
  <c r="C41" i="120"/>
  <c r="D64" i="109"/>
  <c r="AO64" i="46" s="1"/>
  <c r="F64" i="46" s="1"/>
  <c r="D58" i="109"/>
  <c r="D59" i="109"/>
  <c r="AO59" i="46" s="1"/>
  <c r="F59" i="46" s="1"/>
  <c r="B43" i="122"/>
  <c r="I15" i="152" s="1"/>
  <c r="F94" i="109"/>
  <c r="AP94" i="46" s="1"/>
  <c r="H94" i="46" s="1"/>
  <c r="F90" i="109"/>
  <c r="AP90" i="46" s="1"/>
  <c r="H90" i="46" s="1"/>
  <c r="D51" i="109"/>
  <c r="AO51" i="46" s="1"/>
  <c r="F51" i="46" s="1"/>
  <c r="I118" i="143"/>
  <c r="K118" i="143" s="1"/>
  <c r="L118" i="143" s="1"/>
  <c r="F89" i="109"/>
  <c r="AP89" i="46" s="1"/>
  <c r="H89" i="46" s="1"/>
  <c r="D61" i="109"/>
  <c r="M98" i="143"/>
  <c r="U98" i="143"/>
  <c r="S102" i="120"/>
  <c r="C84" i="120"/>
  <c r="E84" i="120" s="1"/>
  <c r="D332" i="109" s="1"/>
  <c r="AO332" i="46" s="1"/>
  <c r="F332" i="46" s="1"/>
  <c r="C82" i="120"/>
  <c r="E82" i="120" s="1"/>
  <c r="D330" i="109" s="1"/>
  <c r="AO330" i="46" s="1"/>
  <c r="F330" i="46" s="1"/>
  <c r="R102" i="120"/>
  <c r="M104" i="143"/>
  <c r="U104" i="143"/>
  <c r="S66" i="109"/>
  <c r="BG66" i="46" s="1"/>
  <c r="G34" i="56"/>
  <c r="J34" i="56" s="1"/>
  <c r="D68" i="109"/>
  <c r="AO68" i="46" s="1"/>
  <c r="F68" i="46" s="1"/>
  <c r="D67" i="109"/>
  <c r="K66" i="109"/>
  <c r="AD66" i="109" s="1"/>
  <c r="S365" i="109"/>
  <c r="BG365" i="46" s="1"/>
  <c r="K365" i="109"/>
  <c r="A365" i="109"/>
  <c r="H11" i="109"/>
  <c r="J11" i="109" s="1"/>
  <c r="O102" i="120"/>
  <c r="C76" i="120"/>
  <c r="E76" i="120" s="1"/>
  <c r="D324" i="109" s="1"/>
  <c r="AO324" i="46" s="1"/>
  <c r="F324" i="46" s="1"/>
  <c r="C74" i="120"/>
  <c r="E74" i="120" s="1"/>
  <c r="D322" i="109" s="1"/>
  <c r="AO322" i="46" s="1"/>
  <c r="F322" i="46" s="1"/>
  <c r="N102" i="120"/>
  <c r="Q102" i="120"/>
  <c r="C80" i="120"/>
  <c r="E80" i="120" s="1"/>
  <c r="D328" i="109" s="1"/>
  <c r="AO328" i="46" s="1"/>
  <c r="F328" i="46" s="1"/>
  <c r="M94" i="143"/>
  <c r="U94" i="143"/>
  <c r="M92" i="143"/>
  <c r="U92" i="143"/>
  <c r="S366" i="109"/>
  <c r="BG366" i="46" s="1"/>
  <c r="A366" i="109"/>
  <c r="K366" i="109"/>
  <c r="H10" i="109"/>
  <c r="J10" i="109" s="1"/>
  <c r="M102" i="120"/>
  <c r="C72" i="120"/>
  <c r="E72" i="120" s="1"/>
  <c r="D320" i="109" s="1"/>
  <c r="AO320" i="46" s="1"/>
  <c r="F320" i="46" s="1"/>
  <c r="M97" i="143"/>
  <c r="U97" i="143"/>
  <c r="M103" i="143"/>
  <c r="U103" i="143"/>
  <c r="L102" i="120"/>
  <c r="C70" i="120"/>
  <c r="E70" i="120" s="1"/>
  <c r="D318" i="109" s="1"/>
  <c r="AO318" i="46" s="1"/>
  <c r="F318" i="46" s="1"/>
  <c r="C78" i="120"/>
  <c r="E78" i="120" s="1"/>
  <c r="D326" i="109" s="1"/>
  <c r="AO326" i="46" s="1"/>
  <c r="F326" i="46" s="1"/>
  <c r="P102" i="120"/>
  <c r="S83" i="109"/>
  <c r="BG83" i="46" s="1"/>
  <c r="A83" i="109"/>
  <c r="K83" i="109"/>
  <c r="AD83" i="109" s="1"/>
  <c r="E35" i="122"/>
  <c r="I13" i="132"/>
  <c r="Q14" i="120"/>
  <c r="H89" i="125" s="1"/>
  <c r="O50" i="60"/>
  <c r="S82" i="109"/>
  <c r="BG82" i="46" s="1"/>
  <c r="K82" i="109"/>
  <c r="AD82" i="109" s="1"/>
  <c r="A82" i="109"/>
  <c r="O240" i="148"/>
  <c r="O241" i="148"/>
  <c r="Q176" i="143"/>
  <c r="M176" i="143"/>
  <c r="Q177" i="143"/>
  <c r="Y177" i="143"/>
  <c r="M177" i="143"/>
  <c r="S590" i="148"/>
  <c r="T590" i="148" s="1"/>
  <c r="T587" i="148"/>
  <c r="M147" i="120"/>
  <c r="Y635" i="148"/>
  <c r="K615" i="148"/>
  <c r="L615" i="148" s="1"/>
  <c r="L612" i="148"/>
  <c r="AA635" i="148"/>
  <c r="K193" i="143"/>
  <c r="L193" i="143" s="1"/>
  <c r="I195" i="143"/>
  <c r="K195" i="143" s="1"/>
  <c r="L195" i="143" s="1"/>
  <c r="I194" i="143"/>
  <c r="K194" i="143" s="1"/>
  <c r="L194" i="143" s="1"/>
  <c r="G591" i="148"/>
  <c r="AB610" i="148" s="1"/>
  <c r="G590" i="148"/>
  <c r="H93" i="126"/>
  <c r="T337" i="148"/>
  <c r="S340" i="148"/>
  <c r="T340" i="148" s="1"/>
  <c r="R451" i="109" l="1"/>
  <c r="BF451" i="46" s="1"/>
  <c r="B36" i="151"/>
  <c r="E53" i="122"/>
  <c r="I17" i="152"/>
  <c r="A107" i="126"/>
  <c r="C42" i="125"/>
  <c r="AO180" i="46"/>
  <c r="F180" i="46" s="1"/>
  <c r="O689" i="148"/>
  <c r="AO128" i="46"/>
  <c r="F128" i="46" s="1"/>
  <c r="G689" i="148"/>
  <c r="AO183" i="46"/>
  <c r="F183" i="46" s="1"/>
  <c r="O789" i="148"/>
  <c r="AO135" i="46"/>
  <c r="F135" i="46" s="1"/>
  <c r="G789" i="148"/>
  <c r="O815" i="148"/>
  <c r="O816" i="148"/>
  <c r="Z835" i="148"/>
  <c r="O32" i="148" s="1"/>
  <c r="AO61" i="46"/>
  <c r="F61" i="46" s="1"/>
  <c r="O764" i="148"/>
  <c r="AO58" i="46"/>
  <c r="F58" i="46" s="1"/>
  <c r="O664" i="148"/>
  <c r="G815" i="148"/>
  <c r="G816" i="148"/>
  <c r="S315" i="148"/>
  <c r="T315" i="148" s="1"/>
  <c r="T312" i="148"/>
  <c r="Y335" i="148"/>
  <c r="AA335" i="148"/>
  <c r="G42" i="125"/>
  <c r="A106" i="126"/>
  <c r="S329" i="109"/>
  <c r="BG329" i="46" s="1"/>
  <c r="AO329" i="46"/>
  <c r="F329" i="46" s="1"/>
  <c r="K333" i="109"/>
  <c r="AO333" i="46"/>
  <c r="F333" i="46" s="1"/>
  <c r="I91" i="143"/>
  <c r="K91" i="143" s="1"/>
  <c r="L91" i="143" s="1"/>
  <c r="M91" i="143" s="1"/>
  <c r="AO67" i="46"/>
  <c r="F67" i="46" s="1"/>
  <c r="K319" i="109"/>
  <c r="AO319" i="46"/>
  <c r="F319" i="46" s="1"/>
  <c r="AJ323" i="109"/>
  <c r="AO323" i="46"/>
  <c r="F323" i="46" s="1"/>
  <c r="K327" i="109"/>
  <c r="AO327" i="46"/>
  <c r="F327" i="46" s="1"/>
  <c r="S325" i="109"/>
  <c r="BG325" i="46" s="1"/>
  <c r="AO325" i="46"/>
  <c r="F325" i="46" s="1"/>
  <c r="C43" i="125"/>
  <c r="G43" i="125"/>
  <c r="R454" i="109"/>
  <c r="BF454" i="46" s="1"/>
  <c r="R445" i="109"/>
  <c r="BF445" i="46" s="1"/>
  <c r="G40" i="125"/>
  <c r="C40" i="125"/>
  <c r="M200" i="143"/>
  <c r="P200" i="143"/>
  <c r="M191" i="143"/>
  <c r="B34" i="151"/>
  <c r="F281" i="120" s="1"/>
  <c r="G8" i="125" s="1"/>
  <c r="C41" i="125"/>
  <c r="R448" i="109"/>
  <c r="BF448" i="46" s="1"/>
  <c r="G41" i="125"/>
  <c r="M203" i="143"/>
  <c r="U203" i="143"/>
  <c r="I198" i="143"/>
  <c r="K198" i="143" s="1"/>
  <c r="L198" i="143" s="1"/>
  <c r="I197" i="143"/>
  <c r="K197" i="143" s="1"/>
  <c r="L197" i="143" s="1"/>
  <c r="K196" i="143"/>
  <c r="L196" i="143" s="1"/>
  <c r="C63" i="148"/>
  <c r="N149" i="120"/>
  <c r="N148" i="120"/>
  <c r="S327" i="109"/>
  <c r="BG327" i="46" s="1"/>
  <c r="AJ327" i="109"/>
  <c r="K323" i="109"/>
  <c r="S319" i="109"/>
  <c r="BG319" i="46" s="1"/>
  <c r="S323" i="109"/>
  <c r="BG323" i="46" s="1"/>
  <c r="AJ333" i="109"/>
  <c r="S333" i="109"/>
  <c r="BG333" i="46" s="1"/>
  <c r="K325" i="109"/>
  <c r="AJ319" i="109"/>
  <c r="AJ325" i="109"/>
  <c r="M147" i="143"/>
  <c r="K329" i="109"/>
  <c r="AJ329" i="109"/>
  <c r="F367" i="109"/>
  <c r="AP367" i="46" s="1"/>
  <c r="H367" i="46" s="1"/>
  <c r="E367" i="109"/>
  <c r="AQ367" i="46" s="1"/>
  <c r="J367" i="46" s="1"/>
  <c r="A186" i="109"/>
  <c r="S186" i="109"/>
  <c r="BG186" i="46" s="1"/>
  <c r="K186" i="109"/>
  <c r="AD186" i="109" s="1"/>
  <c r="A187" i="109"/>
  <c r="K187" i="109"/>
  <c r="AD187" i="109" s="1"/>
  <c r="S187" i="109"/>
  <c r="BG187" i="46" s="1"/>
  <c r="I162" i="143"/>
  <c r="K162" i="143" s="1"/>
  <c r="L162" i="143" s="1"/>
  <c r="U162" i="143" s="1"/>
  <c r="F706" i="46"/>
  <c r="BG706" i="46" s="1"/>
  <c r="A93" i="126"/>
  <c r="AB24" i="120"/>
  <c r="Z24" i="120"/>
  <c r="D241" i="109" s="1"/>
  <c r="AO241" i="46" s="1"/>
  <c r="F241" i="46" s="1"/>
  <c r="Y24" i="120"/>
  <c r="D242" i="109" s="1"/>
  <c r="AO242" i="46" s="1"/>
  <c r="F242" i="46" s="1"/>
  <c r="AA24" i="120"/>
  <c r="D240" i="109" s="1"/>
  <c r="AO240" i="46" s="1"/>
  <c r="F240" i="46" s="1"/>
  <c r="D11" i="109"/>
  <c r="AO11" i="46" s="1"/>
  <c r="F11" i="46" s="1"/>
  <c r="D10" i="109"/>
  <c r="M146" i="143"/>
  <c r="I153" i="143"/>
  <c r="K153" i="143" s="1"/>
  <c r="L153" i="143" s="1"/>
  <c r="M153" i="143" s="1"/>
  <c r="S335" i="109"/>
  <c r="BG335" i="46" s="1"/>
  <c r="AJ335" i="109"/>
  <c r="K335" i="109"/>
  <c r="K321" i="109"/>
  <c r="AJ321" i="109"/>
  <c r="S321" i="109"/>
  <c r="BG321" i="46" s="1"/>
  <c r="K331" i="109"/>
  <c r="AJ331" i="109"/>
  <c r="S331" i="109"/>
  <c r="BG331" i="46" s="1"/>
  <c r="S317" i="109"/>
  <c r="BG317" i="46" s="1"/>
  <c r="K317" i="109"/>
  <c r="AJ317" i="109"/>
  <c r="U52" i="143"/>
  <c r="I45" i="143"/>
  <c r="K45" i="143" s="1"/>
  <c r="L45" i="143" s="1"/>
  <c r="P45" i="143" s="1"/>
  <c r="I89" i="143"/>
  <c r="K89" i="143" s="1"/>
  <c r="L89" i="143" s="1"/>
  <c r="M89" i="143" s="1"/>
  <c r="C265" i="148"/>
  <c r="I90" i="143"/>
  <c r="K90" i="143" s="1"/>
  <c r="L90" i="143" s="1"/>
  <c r="U90" i="143" s="1"/>
  <c r="S326" i="109"/>
  <c r="BG326" i="46" s="1"/>
  <c r="K326" i="109"/>
  <c r="AJ326" i="109"/>
  <c r="S68" i="109"/>
  <c r="BG68" i="46" s="1"/>
  <c r="D69" i="109"/>
  <c r="G36" i="56"/>
  <c r="J36" i="56" s="1"/>
  <c r="D70" i="109"/>
  <c r="AO70" i="46" s="1"/>
  <c r="F70" i="46" s="1"/>
  <c r="K68" i="109"/>
  <c r="AD68" i="109" s="1"/>
  <c r="S332" i="109"/>
  <c r="BG332" i="46" s="1"/>
  <c r="K332" i="109"/>
  <c r="AJ332" i="109"/>
  <c r="E43" i="122"/>
  <c r="I15" i="132"/>
  <c r="D144" i="109"/>
  <c r="AO144" i="46" s="1"/>
  <c r="F144" i="46" s="1"/>
  <c r="F92" i="109"/>
  <c r="AP92" i="46" s="1"/>
  <c r="H92" i="46" s="1"/>
  <c r="F91" i="109"/>
  <c r="I49" i="56"/>
  <c r="H93" i="109"/>
  <c r="J93" i="109" s="1"/>
  <c r="M51" i="143"/>
  <c r="U51" i="143"/>
  <c r="S8" i="109"/>
  <c r="BG8" i="46" s="1"/>
  <c r="D9" i="109"/>
  <c r="AO9" i="46" s="1"/>
  <c r="F9" i="46" s="1"/>
  <c r="K8" i="109"/>
  <c r="AD8" i="109" s="1"/>
  <c r="G26" i="56"/>
  <c r="J26" i="56" s="1"/>
  <c r="K126" i="143"/>
  <c r="L126" i="143" s="1"/>
  <c r="I160" i="143"/>
  <c r="K160" i="143" s="1"/>
  <c r="L160" i="143" s="1"/>
  <c r="M167" i="143"/>
  <c r="U167" i="143"/>
  <c r="I165" i="143"/>
  <c r="K165" i="143" s="1"/>
  <c r="L165" i="143" s="1"/>
  <c r="K138" i="143"/>
  <c r="L138" i="143" s="1"/>
  <c r="S183" i="109"/>
  <c r="BG183" i="46" s="1"/>
  <c r="K183" i="109"/>
  <c r="AD183" i="109" s="1"/>
  <c r="A183" i="109"/>
  <c r="M159" i="143"/>
  <c r="U159" i="143"/>
  <c r="B84" i="109"/>
  <c r="B84" i="46" s="1"/>
  <c r="A84" i="109"/>
  <c r="C84" i="109"/>
  <c r="D84" i="46" s="1"/>
  <c r="S318" i="109"/>
  <c r="BG318" i="46" s="1"/>
  <c r="AJ318" i="109"/>
  <c r="K318" i="109"/>
  <c r="S104" i="120"/>
  <c r="R105" i="120" s="1"/>
  <c r="S103" i="120"/>
  <c r="R103" i="120" s="1"/>
  <c r="S59" i="109"/>
  <c r="BG59" i="46" s="1"/>
  <c r="A59" i="109"/>
  <c r="K59" i="109"/>
  <c r="AD59" i="109" s="1"/>
  <c r="S62" i="109"/>
  <c r="BG62" i="46" s="1"/>
  <c r="K62" i="109"/>
  <c r="AD62" i="109" s="1"/>
  <c r="A62" i="109"/>
  <c r="A135" i="109"/>
  <c r="Y133" i="143"/>
  <c r="S133" i="143"/>
  <c r="M133" i="143"/>
  <c r="A130" i="109"/>
  <c r="S180" i="109"/>
  <c r="BG180" i="46" s="1"/>
  <c r="A180" i="109"/>
  <c r="K180" i="109"/>
  <c r="AD180" i="109" s="1"/>
  <c r="S322" i="109"/>
  <c r="BG322" i="46" s="1"/>
  <c r="K322" i="109"/>
  <c r="AJ322" i="109"/>
  <c r="S61" i="109"/>
  <c r="BG61" i="46" s="1"/>
  <c r="A61" i="109"/>
  <c r="K61" i="109"/>
  <c r="AD61" i="109" s="1"/>
  <c r="S58" i="109"/>
  <c r="BG58" i="46" s="1"/>
  <c r="A58" i="109"/>
  <c r="K58" i="109"/>
  <c r="AD58" i="109" s="1"/>
  <c r="U116" i="143"/>
  <c r="M116" i="143"/>
  <c r="H19" i="125"/>
  <c r="K5" i="109"/>
  <c r="AD5" i="109" s="1"/>
  <c r="C64" i="148"/>
  <c r="I49" i="143"/>
  <c r="K49" i="143" s="1"/>
  <c r="L49" i="143" s="1"/>
  <c r="D175" i="109"/>
  <c r="AO175" i="46" s="1"/>
  <c r="F175" i="46" s="1"/>
  <c r="I38" i="143"/>
  <c r="K38" i="143" s="1"/>
  <c r="L38" i="143" s="1"/>
  <c r="I42" i="143"/>
  <c r="K42" i="143" s="1"/>
  <c r="L42" i="143" s="1"/>
  <c r="I34" i="143"/>
  <c r="D24" i="109"/>
  <c r="I39" i="143"/>
  <c r="K39" i="143" s="1"/>
  <c r="L39" i="143" s="1"/>
  <c r="C764" i="148"/>
  <c r="AO5" i="46"/>
  <c r="I36" i="143"/>
  <c r="K36" i="143" s="1"/>
  <c r="L36" i="143" s="1"/>
  <c r="I37" i="143"/>
  <c r="I50" i="143"/>
  <c r="K50" i="143" s="1"/>
  <c r="L50" i="143" s="1"/>
  <c r="I55" i="143"/>
  <c r="K55" i="143" s="1"/>
  <c r="L55" i="143" s="1"/>
  <c r="I58" i="143"/>
  <c r="K58" i="143" s="1"/>
  <c r="L58" i="143" s="1"/>
  <c r="I32" i="143"/>
  <c r="K32" i="143" s="1"/>
  <c r="L32" i="143" s="1"/>
  <c r="I40" i="143"/>
  <c r="I33" i="143"/>
  <c r="K33" i="143" s="1"/>
  <c r="L33" i="143" s="1"/>
  <c r="I69" i="143"/>
  <c r="K69" i="143" s="1"/>
  <c r="L69" i="143" s="1"/>
  <c r="I70" i="143"/>
  <c r="K70" i="143" s="1"/>
  <c r="L70" i="143" s="1"/>
  <c r="C664" i="148"/>
  <c r="C663" i="148"/>
  <c r="C763" i="148"/>
  <c r="B27" i="122"/>
  <c r="I74" i="143"/>
  <c r="K74" i="143" s="1"/>
  <c r="L74" i="143" s="1"/>
  <c r="D25" i="109"/>
  <c r="AO25" i="46" s="1"/>
  <c r="F25" i="46" s="1"/>
  <c r="I57" i="143"/>
  <c r="K57" i="143" s="1"/>
  <c r="L57" i="143" s="1"/>
  <c r="D26" i="109"/>
  <c r="AO26" i="46" s="1"/>
  <c r="F26" i="46" s="1"/>
  <c r="I41" i="143"/>
  <c r="K41" i="143" s="1"/>
  <c r="L41" i="143" s="1"/>
  <c r="I71" i="143"/>
  <c r="K71" i="143" s="1"/>
  <c r="L71" i="143" s="1"/>
  <c r="I35" i="143"/>
  <c r="K35" i="143" s="1"/>
  <c r="L35" i="143" s="1"/>
  <c r="I43" i="143"/>
  <c r="K43" i="143" s="1"/>
  <c r="L43" i="143" s="1"/>
  <c r="I60" i="143"/>
  <c r="K60" i="143" s="1"/>
  <c r="L60" i="143" s="1"/>
  <c r="I72" i="143"/>
  <c r="K72" i="143" s="1"/>
  <c r="L72" i="143" s="1"/>
  <c r="I73" i="143"/>
  <c r="K73" i="143" s="1"/>
  <c r="L73" i="143" s="1"/>
  <c r="I75" i="143"/>
  <c r="K75" i="143" s="1"/>
  <c r="L75" i="143" s="1"/>
  <c r="I54" i="143"/>
  <c r="K54" i="143" s="1"/>
  <c r="L54" i="143" s="1"/>
  <c r="I46" i="143"/>
  <c r="I47" i="143"/>
  <c r="K47" i="143" s="1"/>
  <c r="L47" i="143" s="1"/>
  <c r="I48" i="143"/>
  <c r="K48" i="143" s="1"/>
  <c r="L48" i="143" s="1"/>
  <c r="S334" i="109"/>
  <c r="BG334" i="46" s="1"/>
  <c r="K334" i="109"/>
  <c r="AJ334" i="109"/>
  <c r="I17" i="132"/>
  <c r="E52" i="122"/>
  <c r="S140" i="143"/>
  <c r="M140" i="143"/>
  <c r="Y140" i="143"/>
  <c r="M156" i="143"/>
  <c r="U156" i="143"/>
  <c r="S136" i="143"/>
  <c r="M136" i="143"/>
  <c r="Y136" i="143"/>
  <c r="W130" i="143"/>
  <c r="S130" i="143"/>
  <c r="M130" i="143"/>
  <c r="U102" i="120"/>
  <c r="C30" i="120" s="1"/>
  <c r="V102" i="120"/>
  <c r="S324" i="109"/>
  <c r="BG324" i="46" s="1"/>
  <c r="K324" i="109"/>
  <c r="AJ324" i="109"/>
  <c r="H89" i="109"/>
  <c r="J89" i="109" s="1"/>
  <c r="F87" i="109"/>
  <c r="AP87" i="46" s="1"/>
  <c r="H87" i="46" s="1"/>
  <c r="F88" i="109"/>
  <c r="AP88" i="46" s="1"/>
  <c r="H88" i="46" s="1"/>
  <c r="I45" i="56"/>
  <c r="S64" i="109"/>
  <c r="BG64" i="46" s="1"/>
  <c r="I117" i="143"/>
  <c r="K117" i="143" s="1"/>
  <c r="L117" i="143" s="1"/>
  <c r="K64" i="109"/>
  <c r="AD64" i="109" s="1"/>
  <c r="M122" i="143"/>
  <c r="U122" i="143"/>
  <c r="I163" i="143"/>
  <c r="K163" i="143" s="1"/>
  <c r="L163" i="143" s="1"/>
  <c r="K132" i="143"/>
  <c r="L132" i="143" s="1"/>
  <c r="Y125" i="143"/>
  <c r="S125" i="143"/>
  <c r="M125" i="143"/>
  <c r="M148" i="143"/>
  <c r="U148" i="143"/>
  <c r="D89" i="109"/>
  <c r="AO89" i="46" s="1"/>
  <c r="F89" i="46" s="1"/>
  <c r="D88" i="109"/>
  <c r="G43" i="56"/>
  <c r="S184" i="109"/>
  <c r="BG184" i="46" s="1"/>
  <c r="A184" i="109"/>
  <c r="K184" i="109"/>
  <c r="AD184" i="109" s="1"/>
  <c r="K316" i="109"/>
  <c r="F385" i="148"/>
  <c r="N410" i="148"/>
  <c r="N385" i="148"/>
  <c r="I173" i="143"/>
  <c r="N435" i="148"/>
  <c r="S316" i="109"/>
  <c r="BG316" i="46" s="1"/>
  <c r="F435" i="148"/>
  <c r="AJ316" i="109"/>
  <c r="F410" i="148"/>
  <c r="U118" i="143"/>
  <c r="M118" i="143"/>
  <c r="D191" i="109"/>
  <c r="AO191" i="46" s="1"/>
  <c r="D190" i="109"/>
  <c r="AO190" i="46" s="1"/>
  <c r="F190" i="46" s="1"/>
  <c r="U119" i="143"/>
  <c r="M119" i="143"/>
  <c r="U154" i="143"/>
  <c r="M154" i="143"/>
  <c r="S131" i="143"/>
  <c r="Y131" i="143"/>
  <c r="M131" i="143"/>
  <c r="A129" i="109"/>
  <c r="A132" i="109"/>
  <c r="M168" i="143"/>
  <c r="U168" i="143"/>
  <c r="S51" i="109"/>
  <c r="BG51" i="46" s="1"/>
  <c r="G29" i="56"/>
  <c r="J29" i="56" s="1"/>
  <c r="D52" i="109"/>
  <c r="K51" i="109"/>
  <c r="AD51" i="109" s="1"/>
  <c r="AO7" i="46"/>
  <c r="F7" i="46" s="1"/>
  <c r="S7" i="109"/>
  <c r="BG7" i="46" s="1"/>
  <c r="G25" i="56"/>
  <c r="J25" i="56" s="1"/>
  <c r="K7" i="109"/>
  <c r="AD7" i="109" s="1"/>
  <c r="U170" i="143"/>
  <c r="M170" i="143"/>
  <c r="A133" i="109"/>
  <c r="K135" i="143"/>
  <c r="L135" i="143" s="1"/>
  <c r="I164" i="143"/>
  <c r="K164" i="143" s="1"/>
  <c r="L164" i="143" s="1"/>
  <c r="A131" i="109"/>
  <c r="H90" i="109"/>
  <c r="J90" i="109" s="1"/>
  <c r="I46" i="56"/>
  <c r="S56" i="109"/>
  <c r="BG56" i="46" s="1"/>
  <c r="K56" i="109"/>
  <c r="AD56" i="109" s="1"/>
  <c r="A56" i="109"/>
  <c r="S55" i="109"/>
  <c r="BG55" i="46" s="1"/>
  <c r="K55" i="109"/>
  <c r="AD55" i="109" s="1"/>
  <c r="A55" i="109"/>
  <c r="M96" i="143"/>
  <c r="U96" i="143"/>
  <c r="M166" i="143"/>
  <c r="U166" i="143"/>
  <c r="U158" i="143"/>
  <c r="M158" i="143"/>
  <c r="U149" i="143"/>
  <c r="M149" i="143"/>
  <c r="S181" i="109"/>
  <c r="BG181" i="46" s="1"/>
  <c r="K181" i="109"/>
  <c r="AD181" i="109" s="1"/>
  <c r="A181" i="109"/>
  <c r="S137" i="143"/>
  <c r="Y137" i="143"/>
  <c r="M137" i="143"/>
  <c r="S124" i="143"/>
  <c r="M124" i="143"/>
  <c r="W124" i="143"/>
  <c r="S320" i="109"/>
  <c r="BG320" i="46" s="1"/>
  <c r="K320" i="109"/>
  <c r="AJ320" i="109"/>
  <c r="K328" i="109"/>
  <c r="S328" i="109"/>
  <c r="BG328" i="46" s="1"/>
  <c r="AJ328" i="109"/>
  <c r="A367" i="109"/>
  <c r="B367" i="109"/>
  <c r="B367" i="46" s="1"/>
  <c r="C367" i="109"/>
  <c r="D367" i="46" s="1"/>
  <c r="K67" i="109"/>
  <c r="AD67" i="109" s="1"/>
  <c r="G35" i="56"/>
  <c r="J35" i="56" s="1"/>
  <c r="S67" i="109"/>
  <c r="BG67" i="46" s="1"/>
  <c r="S330" i="109"/>
  <c r="BG330" i="46" s="1"/>
  <c r="AJ330" i="109"/>
  <c r="K330" i="109"/>
  <c r="H94" i="109"/>
  <c r="J94" i="109" s="1"/>
  <c r="I50" i="56"/>
  <c r="S53" i="109"/>
  <c r="BG53" i="46" s="1"/>
  <c r="D54" i="109"/>
  <c r="K53" i="109"/>
  <c r="AD53" i="109" s="1"/>
  <c r="G31" i="56"/>
  <c r="J31" i="56" s="1"/>
  <c r="U169" i="143"/>
  <c r="M169" i="143"/>
  <c r="A136" i="109"/>
  <c r="S134" i="143"/>
  <c r="M134" i="143"/>
  <c r="Y134" i="143"/>
  <c r="U171" i="143"/>
  <c r="M171" i="143"/>
  <c r="S139" i="143"/>
  <c r="M139" i="143"/>
  <c r="Y139" i="143"/>
  <c r="A128" i="109"/>
  <c r="Q250" i="143"/>
  <c r="Q251" i="143" s="1"/>
  <c r="S240" i="148"/>
  <c r="T240" i="148" s="1"/>
  <c r="T237" i="148"/>
  <c r="M145" i="143"/>
  <c r="P145" i="143"/>
  <c r="Y194" i="143"/>
  <c r="S194" i="143"/>
  <c r="M194" i="143"/>
  <c r="L147" i="120"/>
  <c r="K590" i="148"/>
  <c r="L590" i="148" s="1"/>
  <c r="AA610" i="148"/>
  <c r="Y610" i="148"/>
  <c r="L587" i="148"/>
  <c r="M195" i="143"/>
  <c r="Y195" i="143"/>
  <c r="S195" i="143"/>
  <c r="S193" i="143"/>
  <c r="M193" i="143"/>
  <c r="W193" i="143"/>
  <c r="E29" i="122" l="1"/>
  <c r="I9" i="152"/>
  <c r="U91" i="143"/>
  <c r="L812" i="148"/>
  <c r="K815" i="148"/>
  <c r="L815" i="148" s="1"/>
  <c r="AA835" i="148"/>
  <c r="S32" i="148" s="1"/>
  <c r="Y835" i="148"/>
  <c r="O34" i="148" s="1"/>
  <c r="G791" i="148"/>
  <c r="G790" i="148"/>
  <c r="G691" i="148"/>
  <c r="G690" i="148"/>
  <c r="O665" i="148"/>
  <c r="O666" i="148"/>
  <c r="AO24" i="46"/>
  <c r="F24" i="46" s="1"/>
  <c r="G764" i="148"/>
  <c r="Z785" i="148" s="1"/>
  <c r="O791" i="148"/>
  <c r="O790" i="148"/>
  <c r="Z810" i="148"/>
  <c r="O691" i="148"/>
  <c r="O690" i="148"/>
  <c r="Z710" i="148"/>
  <c r="AB835" i="148"/>
  <c r="S34" i="148" s="1"/>
  <c r="O766" i="148"/>
  <c r="O765" i="148"/>
  <c r="S815" i="148"/>
  <c r="T815" i="148" s="1"/>
  <c r="T812" i="148"/>
  <c r="I111" i="143"/>
  <c r="K111" i="143" s="1"/>
  <c r="L111" i="143" s="1"/>
  <c r="P111" i="143" s="1"/>
  <c r="AO52" i="46"/>
  <c r="F52" i="46" s="1"/>
  <c r="I142" i="143"/>
  <c r="K142" i="143" s="1"/>
  <c r="L142" i="143" s="1"/>
  <c r="P142" i="143" s="1"/>
  <c r="AO88" i="46"/>
  <c r="F88" i="46" s="1"/>
  <c r="I88" i="143"/>
  <c r="K88" i="143" s="1"/>
  <c r="L88" i="143" s="1"/>
  <c r="M88" i="143" s="1"/>
  <c r="AO69" i="46"/>
  <c r="F69" i="46" s="1"/>
  <c r="I110" i="143"/>
  <c r="K110" i="143" s="1"/>
  <c r="L110" i="143" s="1"/>
  <c r="P110" i="143" s="1"/>
  <c r="AO54" i="46"/>
  <c r="F54" i="46" s="1"/>
  <c r="F86" i="109"/>
  <c r="H86" i="109" s="1"/>
  <c r="J86" i="109" s="1"/>
  <c r="K86" i="109" s="1"/>
  <c r="AP91" i="46"/>
  <c r="H91" i="46" s="1"/>
  <c r="S10" i="109"/>
  <c r="BG10" i="46" s="1"/>
  <c r="AO10" i="46"/>
  <c r="F10" i="46" s="1"/>
  <c r="G275" i="120"/>
  <c r="G278" i="120" s="1"/>
  <c r="S196" i="143"/>
  <c r="M196" i="143"/>
  <c r="W196" i="143"/>
  <c r="Y197" i="143"/>
  <c r="S197" i="143"/>
  <c r="M197" i="143"/>
  <c r="S198" i="143"/>
  <c r="Y198" i="143"/>
  <c r="M198" i="143"/>
  <c r="C65" i="148"/>
  <c r="M149" i="120"/>
  <c r="M148" i="120"/>
  <c r="L148" i="120" s="1"/>
  <c r="K148" i="120" s="1"/>
  <c r="J148" i="120" s="1"/>
  <c r="M162" i="143"/>
  <c r="D177" i="109"/>
  <c r="AO177" i="46" s="1"/>
  <c r="F177" i="46" s="1"/>
  <c r="D176" i="109"/>
  <c r="AO176" i="46" s="1"/>
  <c r="F176" i="46" s="1"/>
  <c r="U153" i="143"/>
  <c r="K10" i="109"/>
  <c r="AD10" i="109" s="1"/>
  <c r="P637" i="148"/>
  <c r="H82" i="125"/>
  <c r="O639" i="148"/>
  <c r="W639" i="148"/>
  <c r="W638" i="148"/>
  <c r="I26" i="143"/>
  <c r="K26" i="143" s="1"/>
  <c r="L26" i="143" s="1"/>
  <c r="M26" i="143" s="1"/>
  <c r="C188" i="109"/>
  <c r="D188" i="46" s="1"/>
  <c r="A188" i="109"/>
  <c r="B188" i="109"/>
  <c r="B188" i="46" s="1"/>
  <c r="I25" i="143"/>
  <c r="K25" i="143" s="1"/>
  <c r="L25" i="143" s="1"/>
  <c r="Y25" i="143" s="1"/>
  <c r="I56" i="143"/>
  <c r="K56" i="143" s="1"/>
  <c r="K11" i="109"/>
  <c r="AD11" i="109" s="1"/>
  <c r="I24" i="143"/>
  <c r="K24" i="143" s="1"/>
  <c r="L24" i="143" s="1"/>
  <c r="S24" i="143" s="1"/>
  <c r="S11" i="109"/>
  <c r="BG11" i="46" s="1"/>
  <c r="S240" i="109"/>
  <c r="BG240" i="46" s="1"/>
  <c r="K240" i="109"/>
  <c r="AD240" i="109" s="1"/>
  <c r="H84" i="125"/>
  <c r="S242" i="109"/>
  <c r="BG242" i="46" s="1"/>
  <c r="H86" i="125"/>
  <c r="K242" i="109"/>
  <c r="AD242" i="109" s="1"/>
  <c r="H85" i="125"/>
  <c r="K241" i="109"/>
  <c r="AD241" i="109" s="1"/>
  <c r="S241" i="109"/>
  <c r="BG241" i="46" s="1"/>
  <c r="D239" i="109"/>
  <c r="AO239" i="46" s="1"/>
  <c r="F239" i="46" s="1"/>
  <c r="H83" i="125"/>
  <c r="M90" i="143"/>
  <c r="U89" i="143"/>
  <c r="M45" i="143"/>
  <c r="I114" i="143"/>
  <c r="K114" i="143" s="1"/>
  <c r="L114" i="143" s="1"/>
  <c r="M114" i="143" s="1"/>
  <c r="I87" i="143"/>
  <c r="K87" i="143" s="1"/>
  <c r="L87" i="143" s="1"/>
  <c r="M87" i="143" s="1"/>
  <c r="I113" i="143"/>
  <c r="K113" i="143" s="1"/>
  <c r="L113" i="143" s="1"/>
  <c r="M113" i="143" s="1"/>
  <c r="I112" i="143"/>
  <c r="K112" i="143" s="1"/>
  <c r="L112" i="143" s="1"/>
  <c r="U112" i="143" s="1"/>
  <c r="C665" i="148"/>
  <c r="R104" i="120"/>
  <c r="Q105" i="120" s="1"/>
  <c r="I86" i="143"/>
  <c r="K86" i="143" s="1"/>
  <c r="L86" i="143" s="1"/>
  <c r="P86" i="143" s="1"/>
  <c r="B134" i="109"/>
  <c r="B134" i="46" s="1"/>
  <c r="C134" i="109"/>
  <c r="D134" i="46" s="1"/>
  <c r="A134" i="109"/>
  <c r="U75" i="143"/>
  <c r="M75" i="143"/>
  <c r="S26" i="109"/>
  <c r="BG26" i="46" s="1"/>
  <c r="I59" i="143"/>
  <c r="K59" i="143" s="1"/>
  <c r="L59" i="143" s="1"/>
  <c r="K26" i="109"/>
  <c r="AD26" i="109" s="1"/>
  <c r="M70" i="143"/>
  <c r="U70" i="143"/>
  <c r="K37" i="143"/>
  <c r="L37" i="143" s="1"/>
  <c r="I65" i="143"/>
  <c r="K65" i="143" s="1"/>
  <c r="L65" i="143" s="1"/>
  <c r="Y38" i="143"/>
  <c r="M38" i="143"/>
  <c r="S38" i="143"/>
  <c r="C182" i="109"/>
  <c r="D182" i="46" s="1"/>
  <c r="B182" i="109"/>
  <c r="B182" i="46" s="1"/>
  <c r="A182" i="109"/>
  <c r="A137" i="109"/>
  <c r="I129" i="143" s="1"/>
  <c r="K129" i="143" s="1"/>
  <c r="L129" i="143" s="1"/>
  <c r="C137" i="109"/>
  <c r="D137" i="46" s="1"/>
  <c r="B137" i="109"/>
  <c r="B137" i="46" s="1"/>
  <c r="U165" i="143"/>
  <c r="M165" i="143"/>
  <c r="H91" i="109"/>
  <c r="J91" i="109" s="1"/>
  <c r="F132" i="109"/>
  <c r="AP132" i="46" s="1"/>
  <c r="F133" i="109"/>
  <c r="AP133" i="46" s="1"/>
  <c r="F136" i="109"/>
  <c r="AP136" i="46" s="1"/>
  <c r="I47" i="56"/>
  <c r="F135" i="109"/>
  <c r="AP135" i="46" s="1"/>
  <c r="F129" i="109"/>
  <c r="AP129" i="46" s="1"/>
  <c r="F131" i="109"/>
  <c r="AP131" i="46" s="1"/>
  <c r="F130" i="109"/>
  <c r="AP130" i="46" s="1"/>
  <c r="F128" i="109"/>
  <c r="AP128" i="46" s="1"/>
  <c r="R367" i="109"/>
  <c r="BF367" i="46" s="1"/>
  <c r="G82" i="125"/>
  <c r="Q103" i="120"/>
  <c r="S190" i="109"/>
  <c r="BG190" i="46" s="1"/>
  <c r="H28" i="125"/>
  <c r="K190" i="109"/>
  <c r="AD190" i="109" s="1"/>
  <c r="B358" i="109" a="1"/>
  <c r="B358" i="109" s="1"/>
  <c r="B358" i="46" s="1"/>
  <c r="B356" i="109" a="1"/>
  <c r="B356" i="109" s="1"/>
  <c r="B356" i="46" s="1"/>
  <c r="B360" i="109" a="1"/>
  <c r="B360" i="109" s="1"/>
  <c r="B360" i="46" s="1"/>
  <c r="B361" i="109" a="1"/>
  <c r="B361" i="109" s="1"/>
  <c r="B361" i="46" s="1"/>
  <c r="B357" i="109" a="1"/>
  <c r="B357" i="109" s="1"/>
  <c r="B357" i="46" s="1"/>
  <c r="B359" i="109" a="1"/>
  <c r="B359" i="109" s="1"/>
  <c r="B359" i="46" s="1"/>
  <c r="M73" i="143"/>
  <c r="U73" i="143"/>
  <c r="M57" i="143"/>
  <c r="U57" i="143"/>
  <c r="M69" i="143"/>
  <c r="U69" i="143"/>
  <c r="Y36" i="143"/>
  <c r="S36" i="143"/>
  <c r="M36" i="143"/>
  <c r="S175" i="109"/>
  <c r="BG175" i="46" s="1"/>
  <c r="H29" i="125"/>
  <c r="H102" i="126" s="1"/>
  <c r="D179" i="109"/>
  <c r="AO179" i="46" s="1"/>
  <c r="F179" i="46" s="1"/>
  <c r="K175" i="109"/>
  <c r="AD175" i="109" s="1"/>
  <c r="G27" i="56"/>
  <c r="J27" i="56" s="1"/>
  <c r="K9" i="109"/>
  <c r="AD9" i="109" s="1"/>
  <c r="S9" i="109"/>
  <c r="BG9" i="46" s="1"/>
  <c r="H92" i="109"/>
  <c r="J92" i="109" s="1"/>
  <c r="I48" i="56"/>
  <c r="C82" i="125"/>
  <c r="S191" i="109"/>
  <c r="K191" i="109"/>
  <c r="AD191" i="109" s="1"/>
  <c r="S88" i="109"/>
  <c r="BG88" i="46" s="1"/>
  <c r="G44" i="56"/>
  <c r="M132" i="143"/>
  <c r="S132" i="143"/>
  <c r="W132" i="143"/>
  <c r="M72" i="143"/>
  <c r="U72" i="143"/>
  <c r="S25" i="109"/>
  <c r="BG25" i="46" s="1"/>
  <c r="K25" i="109"/>
  <c r="AD25" i="109" s="1"/>
  <c r="Y33" i="143"/>
  <c r="S33" i="143"/>
  <c r="M33" i="143"/>
  <c r="M49" i="143"/>
  <c r="U49" i="143"/>
  <c r="C60" i="109"/>
  <c r="D60" i="46" s="1"/>
  <c r="B60" i="109"/>
  <c r="B60" i="46" s="1"/>
  <c r="A60" i="109"/>
  <c r="S144" i="109"/>
  <c r="BG144" i="46" s="1"/>
  <c r="K144" i="109"/>
  <c r="AD144" i="109" s="1"/>
  <c r="I157" i="143"/>
  <c r="K157" i="143" s="1"/>
  <c r="L157" i="143" s="1"/>
  <c r="S89" i="109"/>
  <c r="BG89" i="46" s="1"/>
  <c r="D90" i="109"/>
  <c r="K89" i="109"/>
  <c r="AD89" i="109" s="1"/>
  <c r="G45" i="56"/>
  <c r="J45" i="56" s="1"/>
  <c r="D91" i="109"/>
  <c r="AO91" i="46" s="1"/>
  <c r="F91" i="46" s="1"/>
  <c r="M163" i="143"/>
  <c r="U163" i="143"/>
  <c r="M117" i="143"/>
  <c r="U117" i="143"/>
  <c r="M60" i="143"/>
  <c r="U60" i="143"/>
  <c r="U74" i="143"/>
  <c r="M74" i="143"/>
  <c r="K40" i="143"/>
  <c r="L40" i="143" s="1"/>
  <c r="I66" i="143"/>
  <c r="K66" i="143" s="1"/>
  <c r="L66" i="143" s="1"/>
  <c r="U160" i="143"/>
  <c r="M160" i="143"/>
  <c r="G32" i="56"/>
  <c r="J32" i="56" s="1"/>
  <c r="K54" i="109"/>
  <c r="AD54" i="109" s="1"/>
  <c r="S54" i="109"/>
  <c r="BG54" i="46" s="1"/>
  <c r="U164" i="143"/>
  <c r="M164" i="143"/>
  <c r="M48" i="143"/>
  <c r="P48" i="143"/>
  <c r="M43" i="143"/>
  <c r="U43" i="143"/>
  <c r="I9" i="132"/>
  <c r="E28" i="122"/>
  <c r="E27" i="122"/>
  <c r="W32" i="143"/>
  <c r="M32" i="143"/>
  <c r="S32" i="143"/>
  <c r="S39" i="143"/>
  <c r="M39" i="143"/>
  <c r="Y39" i="143"/>
  <c r="B185" i="109"/>
  <c r="B185" i="46" s="1"/>
  <c r="C185" i="109"/>
  <c r="D185" i="46" s="1"/>
  <c r="A185" i="109"/>
  <c r="W126" i="143"/>
  <c r="S126" i="143"/>
  <c r="M126" i="143"/>
  <c r="S135" i="143"/>
  <c r="M135" i="143"/>
  <c r="W135" i="143"/>
  <c r="M47" i="143"/>
  <c r="P47" i="143"/>
  <c r="S35" i="143"/>
  <c r="Y35" i="143"/>
  <c r="M35" i="143"/>
  <c r="C765" i="148"/>
  <c r="M58" i="143"/>
  <c r="U58" i="143"/>
  <c r="S24" i="109"/>
  <c r="BG24" i="46" s="1"/>
  <c r="I30" i="143"/>
  <c r="I31" i="143"/>
  <c r="K31" i="143" s="1"/>
  <c r="L31" i="143" s="1"/>
  <c r="K24" i="109"/>
  <c r="AD24" i="109" s="1"/>
  <c r="I44" i="143"/>
  <c r="K44" i="143" s="1"/>
  <c r="L44" i="143" s="1"/>
  <c r="S70" i="109"/>
  <c r="BG70" i="46" s="1"/>
  <c r="G38" i="56"/>
  <c r="J38" i="56" s="1"/>
  <c r="D72" i="109"/>
  <c r="AO72" i="46" s="1"/>
  <c r="F72" i="46" s="1"/>
  <c r="K70" i="109"/>
  <c r="AD70" i="109" s="1"/>
  <c r="D71" i="109"/>
  <c r="AO71" i="46" s="1"/>
  <c r="F71" i="46" s="1"/>
  <c r="K52" i="109"/>
  <c r="AD52" i="109" s="1"/>
  <c r="G30" i="56"/>
  <c r="J30" i="56" s="1"/>
  <c r="S52" i="109"/>
  <c r="BG52" i="46" s="1"/>
  <c r="I151" i="143"/>
  <c r="K151" i="143" s="1"/>
  <c r="L151" i="143" s="1"/>
  <c r="I44" i="56"/>
  <c r="H88" i="109"/>
  <c r="J88" i="109" s="1"/>
  <c r="K88" i="109" s="1"/>
  <c r="AD88" i="109" s="1"/>
  <c r="I63" i="143"/>
  <c r="K63" i="143" s="1"/>
  <c r="L63" i="143" s="1"/>
  <c r="K46" i="143"/>
  <c r="L46" i="143" s="1"/>
  <c r="M71" i="143"/>
  <c r="U71" i="143"/>
  <c r="M55" i="143"/>
  <c r="U55" i="143"/>
  <c r="K34" i="143"/>
  <c r="L34" i="143" s="1"/>
  <c r="I64" i="143"/>
  <c r="K64" i="143" s="1"/>
  <c r="L64" i="143" s="1"/>
  <c r="B63" i="109"/>
  <c r="B63" i="46" s="1"/>
  <c r="C63" i="109"/>
  <c r="D63" i="46" s="1"/>
  <c r="A63" i="109"/>
  <c r="I121" i="143" s="1"/>
  <c r="K121" i="143" s="1"/>
  <c r="L121" i="143" s="1"/>
  <c r="R84" i="109"/>
  <c r="BF84" i="46" s="1"/>
  <c r="A57" i="109"/>
  <c r="C57" i="109"/>
  <c r="D57" i="46" s="1"/>
  <c r="B57" i="109"/>
  <c r="B57" i="46" s="1"/>
  <c r="I115" i="143"/>
  <c r="K115" i="143" s="1"/>
  <c r="L115" i="143" s="1"/>
  <c r="I152" i="143"/>
  <c r="K152" i="143" s="1"/>
  <c r="L152" i="143" s="1"/>
  <c r="S87" i="109"/>
  <c r="BG87" i="46" s="1"/>
  <c r="F127" i="109"/>
  <c r="AP127" i="46" s="1"/>
  <c r="E51" i="122"/>
  <c r="I43" i="56"/>
  <c r="J43" i="56" s="1"/>
  <c r="H87" i="109"/>
  <c r="J87" i="109" s="1"/>
  <c r="K87" i="109" s="1"/>
  <c r="AD87" i="109" s="1"/>
  <c r="F126" i="109"/>
  <c r="AP126" i="46" s="1"/>
  <c r="M54" i="143"/>
  <c r="U54" i="143"/>
  <c r="S41" i="143"/>
  <c r="Y41" i="143"/>
  <c r="M41" i="143"/>
  <c r="U50" i="143"/>
  <c r="M50" i="143"/>
  <c r="Y42" i="143"/>
  <c r="M42" i="143"/>
  <c r="S42" i="143"/>
  <c r="I83" i="143"/>
  <c r="I84" i="143"/>
  <c r="K84" i="143" s="1"/>
  <c r="L84" i="143" s="1"/>
  <c r="S138" i="143"/>
  <c r="M138" i="143"/>
  <c r="W138" i="143"/>
  <c r="I85" i="143"/>
  <c r="K85" i="143" s="1"/>
  <c r="L85" i="143" s="1"/>
  <c r="K69" i="109"/>
  <c r="AD69" i="109" s="1"/>
  <c r="G37" i="56"/>
  <c r="J37" i="56" s="1"/>
  <c r="S69" i="109"/>
  <c r="BG69" i="46" s="1"/>
  <c r="I174" i="143"/>
  <c r="K174" i="143" s="1"/>
  <c r="L174" i="143" s="1"/>
  <c r="I175" i="143"/>
  <c r="K175" i="143" s="1"/>
  <c r="L175" i="143" s="1"/>
  <c r="K173" i="143"/>
  <c r="L173" i="143" s="1"/>
  <c r="K147" i="120"/>
  <c r="J147" i="120" s="1"/>
  <c r="M142" i="143" l="1"/>
  <c r="G32" i="148"/>
  <c r="L56" i="143"/>
  <c r="U56" i="143" s="1"/>
  <c r="M110" i="143"/>
  <c r="P88" i="143"/>
  <c r="M111" i="143"/>
  <c r="K690" i="148"/>
  <c r="L690" i="148" s="1"/>
  <c r="L687" i="148"/>
  <c r="Y710" i="148"/>
  <c r="AA710" i="148"/>
  <c r="O36" i="148"/>
  <c r="T787" i="148"/>
  <c r="S790" i="148"/>
  <c r="T790" i="148" s="1"/>
  <c r="AB710" i="148"/>
  <c r="S765" i="148"/>
  <c r="T765" i="148" s="1"/>
  <c r="T762" i="148"/>
  <c r="S690" i="148"/>
  <c r="T690" i="148" s="1"/>
  <c r="T687" i="148"/>
  <c r="K790" i="148"/>
  <c r="L790" i="148" s="1"/>
  <c r="AA810" i="148"/>
  <c r="L787" i="148"/>
  <c r="Y810" i="148"/>
  <c r="G765" i="148"/>
  <c r="G766" i="148"/>
  <c r="AB785" i="148" s="1"/>
  <c r="S665" i="148"/>
  <c r="T665" i="148" s="1"/>
  <c r="T662" i="148"/>
  <c r="AB810" i="148"/>
  <c r="I141" i="143"/>
  <c r="K141" i="143" s="1"/>
  <c r="L141" i="143" s="1"/>
  <c r="M141" i="143" s="1"/>
  <c r="AO90" i="46"/>
  <c r="F90" i="46" s="1"/>
  <c r="D255" i="120"/>
  <c r="D253" i="120" s="1"/>
  <c r="D258" i="120" s="1"/>
  <c r="AP86" i="46"/>
  <c r="H86" i="46" s="1"/>
  <c r="S26" i="143"/>
  <c r="A176" i="109"/>
  <c r="K176" i="109"/>
  <c r="AD176" i="109" s="1"/>
  <c r="S176" i="109"/>
  <c r="BG176" i="46" s="1"/>
  <c r="S177" i="109"/>
  <c r="BG177" i="46" s="1"/>
  <c r="K177" i="109"/>
  <c r="AD177" i="109" s="1"/>
  <c r="A177" i="109"/>
  <c r="M25" i="143"/>
  <c r="Y26" i="143"/>
  <c r="W640" i="148"/>
  <c r="O641" i="148"/>
  <c r="AB660" i="148" s="1"/>
  <c r="O640" i="148"/>
  <c r="Z660" i="148"/>
  <c r="R188" i="109"/>
  <c r="BF188" i="46" s="1"/>
  <c r="W24" i="143"/>
  <c r="M56" i="143"/>
  <c r="S25" i="143"/>
  <c r="M24" i="143"/>
  <c r="P87" i="143"/>
  <c r="F712" i="46"/>
  <c r="BG712" i="46" s="1"/>
  <c r="A99" i="126"/>
  <c r="F715" i="46"/>
  <c r="BG715" i="46" s="1"/>
  <c r="A102" i="126"/>
  <c r="S239" i="109"/>
  <c r="BG239" i="46" s="1"/>
  <c r="K239" i="109"/>
  <c r="AD239" i="109" s="1"/>
  <c r="M112" i="143"/>
  <c r="D523" i="109"/>
  <c r="AO523" i="46" s="1"/>
  <c r="U113" i="143"/>
  <c r="U114" i="143"/>
  <c r="Q104" i="120"/>
  <c r="P105" i="120" s="1"/>
  <c r="M86" i="143"/>
  <c r="H126" i="109"/>
  <c r="J126" i="109" s="1"/>
  <c r="M64" i="143"/>
  <c r="U64" i="143"/>
  <c r="S71" i="109"/>
  <c r="BG71" i="46" s="1"/>
  <c r="K71" i="109"/>
  <c r="AD71" i="109" s="1"/>
  <c r="G39" i="56"/>
  <c r="J39" i="56" s="1"/>
  <c r="I107" i="143"/>
  <c r="K107" i="143" s="1"/>
  <c r="L107" i="143" s="1"/>
  <c r="I106" i="143"/>
  <c r="K106" i="143" s="1"/>
  <c r="L106" i="143" s="1"/>
  <c r="J44" i="56"/>
  <c r="H24" i="125"/>
  <c r="I182" i="143"/>
  <c r="K90" i="109"/>
  <c r="AD90" i="109" s="1"/>
  <c r="G46" i="56"/>
  <c r="J46" i="56" s="1"/>
  <c r="S90" i="109"/>
  <c r="BG90" i="46" s="1"/>
  <c r="P103" i="120"/>
  <c r="S131" i="109"/>
  <c r="BG131" i="46" s="1"/>
  <c r="H131" i="109"/>
  <c r="J131" i="109" s="1"/>
  <c r="K131" i="109" s="1"/>
  <c r="AD131" i="109" s="1"/>
  <c r="M59" i="143"/>
  <c r="U59" i="143"/>
  <c r="S84" i="143"/>
  <c r="M84" i="143"/>
  <c r="Y84" i="143"/>
  <c r="M151" i="143"/>
  <c r="U151" i="143"/>
  <c r="S72" i="109"/>
  <c r="BG72" i="46" s="1"/>
  <c r="D74" i="109"/>
  <c r="G40" i="56"/>
  <c r="J40" i="56" s="1"/>
  <c r="K72" i="109"/>
  <c r="AD72" i="109" s="1"/>
  <c r="D73" i="109"/>
  <c r="AO73" i="46" s="1"/>
  <c r="F73" i="46" s="1"/>
  <c r="D75" i="109"/>
  <c r="AO75" i="46" s="1"/>
  <c r="F75" i="46" s="1"/>
  <c r="R185" i="109"/>
  <c r="BF185" i="46" s="1"/>
  <c r="G24" i="125"/>
  <c r="U66" i="143"/>
  <c r="M66" i="143"/>
  <c r="A359" i="109"/>
  <c r="C78" i="125"/>
  <c r="F359" i="109"/>
  <c r="AP359" i="46" s="1"/>
  <c r="H359" i="46" s="1"/>
  <c r="E359" i="109"/>
  <c r="AQ359" i="46" s="1"/>
  <c r="J359" i="46" s="1"/>
  <c r="G359" i="109"/>
  <c r="AR359" i="46" s="1"/>
  <c r="L359" i="46" s="1"/>
  <c r="M359" i="109"/>
  <c r="AT359" i="46" s="1"/>
  <c r="C359" i="109"/>
  <c r="S129" i="109"/>
  <c r="BG129" i="46" s="1"/>
  <c r="H129" i="109"/>
  <c r="J129" i="109" s="1"/>
  <c r="K129" i="109" s="1"/>
  <c r="AD129" i="109" s="1"/>
  <c r="K83" i="143"/>
  <c r="L83" i="143" s="1"/>
  <c r="I100" i="143"/>
  <c r="K100" i="143" s="1"/>
  <c r="L100" i="143" s="1"/>
  <c r="H127" i="109"/>
  <c r="J127" i="109" s="1"/>
  <c r="C24" i="125"/>
  <c r="W40" i="143"/>
  <c r="S40" i="143"/>
  <c r="M40" i="143"/>
  <c r="C357" i="109"/>
  <c r="C76" i="125"/>
  <c r="E357" i="109"/>
  <c r="AQ357" i="46" s="1"/>
  <c r="J357" i="46" s="1"/>
  <c r="A357" i="109"/>
  <c r="F357" i="109"/>
  <c r="AP357" i="46" s="1"/>
  <c r="H357" i="46" s="1"/>
  <c r="M357" i="109"/>
  <c r="AT357" i="46" s="1"/>
  <c r="G357" i="109"/>
  <c r="AR357" i="46" s="1"/>
  <c r="L357" i="46" s="1"/>
  <c r="S135" i="109"/>
  <c r="BG135" i="46" s="1"/>
  <c r="C789" i="148"/>
  <c r="C790" i="148" s="1"/>
  <c r="H135" i="109"/>
  <c r="J135" i="109" s="1"/>
  <c r="K135" i="109" s="1"/>
  <c r="AD135" i="109" s="1"/>
  <c r="U121" i="143"/>
  <c r="M121" i="143"/>
  <c r="I109" i="143"/>
  <c r="K109" i="143" s="1"/>
  <c r="L109" i="143" s="1"/>
  <c r="I108" i="143"/>
  <c r="K108" i="143" s="1"/>
  <c r="L108" i="143" s="1"/>
  <c r="I120" i="143"/>
  <c r="K120" i="143" s="1"/>
  <c r="L120" i="143" s="1"/>
  <c r="C80" i="125"/>
  <c r="F361" i="109"/>
  <c r="AP361" i="46" s="1"/>
  <c r="H361" i="46" s="1"/>
  <c r="A361" i="109"/>
  <c r="M361" i="109"/>
  <c r="AT361" i="46" s="1"/>
  <c r="G361" i="109"/>
  <c r="AR361" i="46" s="1"/>
  <c r="L361" i="46" s="1"/>
  <c r="C361" i="109"/>
  <c r="E361" i="109"/>
  <c r="AQ361" i="46" s="1"/>
  <c r="J361" i="46" s="1"/>
  <c r="R137" i="109"/>
  <c r="BF137" i="46" s="1"/>
  <c r="M65" i="143"/>
  <c r="U65" i="143"/>
  <c r="I128" i="143"/>
  <c r="I127" i="143"/>
  <c r="K127" i="143" s="1"/>
  <c r="L127" i="143" s="1"/>
  <c r="U152" i="143"/>
  <c r="M152" i="143"/>
  <c r="R63" i="109"/>
  <c r="BF63" i="46" s="1"/>
  <c r="P46" i="143"/>
  <c r="M46" i="143"/>
  <c r="P44" i="143"/>
  <c r="M44" i="143"/>
  <c r="S91" i="109"/>
  <c r="BG91" i="46" s="1"/>
  <c r="D92" i="109"/>
  <c r="AO92" i="46" s="1"/>
  <c r="F92" i="46" s="1"/>
  <c r="D93" i="109"/>
  <c r="K91" i="109"/>
  <c r="AD91" i="109" s="1"/>
  <c r="G47" i="56"/>
  <c r="J47" i="56" s="1"/>
  <c r="U157" i="143"/>
  <c r="M157" i="143"/>
  <c r="S179" i="109"/>
  <c r="BG179" i="46" s="1"/>
  <c r="K179" i="109"/>
  <c r="AD179" i="109" s="1"/>
  <c r="A360" i="109"/>
  <c r="F360" i="109"/>
  <c r="AP360" i="46" s="1"/>
  <c r="H360" i="46" s="1"/>
  <c r="E360" i="109"/>
  <c r="AQ360" i="46" s="1"/>
  <c r="J360" i="46" s="1"/>
  <c r="M360" i="109"/>
  <c r="AT360" i="46" s="1"/>
  <c r="G360" i="109"/>
  <c r="AR360" i="46" s="1"/>
  <c r="L360" i="46" s="1"/>
  <c r="C79" i="125"/>
  <c r="C360" i="109"/>
  <c r="S136" i="109"/>
  <c r="BG136" i="46" s="1"/>
  <c r="H136" i="109"/>
  <c r="J136" i="109" s="1"/>
  <c r="K136" i="109" s="1"/>
  <c r="AD136" i="109" s="1"/>
  <c r="Y129" i="143"/>
  <c r="M129" i="143"/>
  <c r="S129" i="143"/>
  <c r="W37" i="143"/>
  <c r="M37" i="143"/>
  <c r="S37" i="143"/>
  <c r="R134" i="109"/>
  <c r="BF134" i="46" s="1"/>
  <c r="U115" i="143"/>
  <c r="M115" i="143"/>
  <c r="R60" i="109"/>
  <c r="BF60" i="46" s="1"/>
  <c r="G356" i="109"/>
  <c r="AR356" i="46" s="1"/>
  <c r="L356" i="46" s="1"/>
  <c r="C75" i="125"/>
  <c r="E356" i="109"/>
  <c r="AQ356" i="46" s="1"/>
  <c r="J356" i="46" s="1"/>
  <c r="F356" i="109"/>
  <c r="AP356" i="46" s="1"/>
  <c r="H356" i="46" s="1"/>
  <c r="C356" i="109"/>
  <c r="M356" i="109"/>
  <c r="AT356" i="46" s="1"/>
  <c r="A356" i="109"/>
  <c r="S128" i="109"/>
  <c r="BG128" i="46" s="1"/>
  <c r="C689" i="148"/>
  <c r="C690" i="148" s="1"/>
  <c r="H128" i="109"/>
  <c r="J128" i="109" s="1"/>
  <c r="K128" i="109" s="1"/>
  <c r="AD128" i="109" s="1"/>
  <c r="S133" i="109"/>
  <c r="BG133" i="46" s="1"/>
  <c r="H133" i="109"/>
  <c r="J133" i="109" s="1"/>
  <c r="K133" i="109" s="1"/>
  <c r="AD133" i="109" s="1"/>
  <c r="I179" i="143"/>
  <c r="H23" i="125"/>
  <c r="P85" i="143"/>
  <c r="M85" i="143"/>
  <c r="S31" i="143"/>
  <c r="Y31" i="143"/>
  <c r="M31" i="143"/>
  <c r="G358" i="109"/>
  <c r="AR358" i="46" s="1"/>
  <c r="L358" i="46" s="1"/>
  <c r="A358" i="109"/>
  <c r="C77" i="125"/>
  <c r="E358" i="109"/>
  <c r="AQ358" i="46" s="1"/>
  <c r="J358" i="46" s="1"/>
  <c r="M358" i="109"/>
  <c r="AT358" i="46" s="1"/>
  <c r="C358" i="109"/>
  <c r="F358" i="109"/>
  <c r="AP358" i="46" s="1"/>
  <c r="H358" i="46" s="1"/>
  <c r="S130" i="109"/>
  <c r="BG130" i="46" s="1"/>
  <c r="H130" i="109"/>
  <c r="J130" i="109" s="1"/>
  <c r="K130" i="109" s="1"/>
  <c r="AD130" i="109" s="1"/>
  <c r="S132" i="109"/>
  <c r="BG132" i="46" s="1"/>
  <c r="H132" i="109"/>
  <c r="J132" i="109" s="1"/>
  <c r="K132" i="109" s="1"/>
  <c r="AD132" i="109" s="1"/>
  <c r="C23" i="125"/>
  <c r="M63" i="143"/>
  <c r="U63" i="143"/>
  <c r="R57" i="109"/>
  <c r="BF57" i="46" s="1"/>
  <c r="W34" i="143"/>
  <c r="M34" i="143"/>
  <c r="S34" i="143"/>
  <c r="K30" i="143"/>
  <c r="L30" i="143" s="1"/>
  <c r="I62" i="143"/>
  <c r="K62" i="143" s="1"/>
  <c r="L62" i="143" s="1"/>
  <c r="R182" i="109"/>
  <c r="BF182" i="46" s="1"/>
  <c r="G23" i="125"/>
  <c r="Y174" i="143"/>
  <c r="S174" i="143"/>
  <c r="M174" i="143"/>
  <c r="S175" i="143"/>
  <c r="Y175" i="143"/>
  <c r="M175" i="143"/>
  <c r="S173" i="143"/>
  <c r="W173" i="143"/>
  <c r="M173" i="143"/>
  <c r="P141" i="143" l="1"/>
  <c r="K34" i="148"/>
  <c r="K765" i="148"/>
  <c r="L765" i="148" s="1"/>
  <c r="Y785" i="148"/>
  <c r="G34" i="148" s="1"/>
  <c r="AA785" i="148"/>
  <c r="K32" i="148" s="1"/>
  <c r="L762" i="148"/>
  <c r="AO74" i="46"/>
  <c r="F74" i="46" s="1"/>
  <c r="G64" i="148"/>
  <c r="D126" i="109"/>
  <c r="AO126" i="46" s="1"/>
  <c r="F126" i="46" s="1"/>
  <c r="AO93" i="46"/>
  <c r="F93" i="46" s="1"/>
  <c r="P412" i="148"/>
  <c r="D361" i="46"/>
  <c r="P387" i="148"/>
  <c r="D359" i="46"/>
  <c r="H387" i="148"/>
  <c r="D358" i="46"/>
  <c r="H362" i="148"/>
  <c r="D356" i="46"/>
  <c r="P362" i="148"/>
  <c r="D357" i="46"/>
  <c r="H412" i="148"/>
  <c r="D360" i="46"/>
  <c r="D251" i="120"/>
  <c r="D257" i="120" s="1"/>
  <c r="C36" i="120"/>
  <c r="C37" i="120" s="1"/>
  <c r="C178" i="109"/>
  <c r="B178" i="109"/>
  <c r="B178" i="46" s="1"/>
  <c r="A178" i="109"/>
  <c r="H30" i="125" s="1"/>
  <c r="H18" i="125" s="1"/>
  <c r="S640" i="148"/>
  <c r="T640" i="148" s="1"/>
  <c r="T637" i="148"/>
  <c r="Y660" i="148"/>
  <c r="AA660" i="148"/>
  <c r="D522" i="109"/>
  <c r="AO522" i="46" s="1"/>
  <c r="D524" i="109"/>
  <c r="AO524" i="46" s="1"/>
  <c r="D525" i="109"/>
  <c r="AO525" i="46" s="1"/>
  <c r="K523" i="109"/>
  <c r="H133" i="126"/>
  <c r="S523" i="109"/>
  <c r="P104" i="120"/>
  <c r="O105" i="120" s="1"/>
  <c r="I93" i="143"/>
  <c r="K93" i="143" s="1"/>
  <c r="J75" i="125"/>
  <c r="K92" i="109"/>
  <c r="AD92" i="109" s="1"/>
  <c r="G48" i="56"/>
  <c r="J48" i="56" s="1"/>
  <c r="S92" i="109"/>
  <c r="BG92" i="46" s="1"/>
  <c r="M62" i="143"/>
  <c r="U62" i="143"/>
  <c r="C414" i="148"/>
  <c r="J80" i="125"/>
  <c r="J76" i="125"/>
  <c r="R359" i="109"/>
  <c r="BF359" i="46" s="1"/>
  <c r="G78" i="125"/>
  <c r="S75" i="109"/>
  <c r="BG75" i="46" s="1"/>
  <c r="A75" i="109"/>
  <c r="K75" i="109"/>
  <c r="AD75" i="109" s="1"/>
  <c r="S30" i="143"/>
  <c r="W30" i="143"/>
  <c r="M30" i="143"/>
  <c r="C388" i="148"/>
  <c r="R356" i="109"/>
  <c r="BF356" i="46" s="1"/>
  <c r="G75" i="125"/>
  <c r="C413" i="148"/>
  <c r="H80" i="125"/>
  <c r="O414" i="148"/>
  <c r="W363" i="148"/>
  <c r="S73" i="109"/>
  <c r="BG73" i="46" s="1"/>
  <c r="K73" i="109"/>
  <c r="AD73" i="109" s="1"/>
  <c r="G41" i="56"/>
  <c r="I184" i="143"/>
  <c r="K184" i="143" s="1"/>
  <c r="L184" i="143" s="1"/>
  <c r="I183" i="143"/>
  <c r="K183" i="143" s="1"/>
  <c r="L183" i="143" s="1"/>
  <c r="K182" i="143"/>
  <c r="L182" i="143" s="1"/>
  <c r="R360" i="109"/>
  <c r="BF360" i="46" s="1"/>
  <c r="G79" i="125"/>
  <c r="W414" i="148"/>
  <c r="W413" i="148"/>
  <c r="O364" i="148"/>
  <c r="H76" i="125"/>
  <c r="R357" i="109"/>
  <c r="BF357" i="46" s="1"/>
  <c r="G76" i="125"/>
  <c r="U100" i="143"/>
  <c r="M100" i="143"/>
  <c r="J78" i="125"/>
  <c r="H78" i="125"/>
  <c r="O389" i="148"/>
  <c r="S127" i="143"/>
  <c r="Y127" i="143"/>
  <c r="M127" i="143"/>
  <c r="I181" i="143"/>
  <c r="K181" i="143" s="1"/>
  <c r="L181" i="143" s="1"/>
  <c r="I180" i="143"/>
  <c r="K180" i="143" s="1"/>
  <c r="L180" i="143" s="1"/>
  <c r="K179" i="143"/>
  <c r="L179" i="143" s="1"/>
  <c r="I143" i="143"/>
  <c r="K143" i="143" s="1"/>
  <c r="L143" i="143" s="1"/>
  <c r="I161" i="143"/>
  <c r="K161" i="143" s="1"/>
  <c r="L161" i="143" s="1"/>
  <c r="K128" i="143"/>
  <c r="L128" i="143" s="1"/>
  <c r="S83" i="143"/>
  <c r="M83" i="143"/>
  <c r="W83" i="143"/>
  <c r="O103" i="120"/>
  <c r="C363" i="148"/>
  <c r="C364" i="148"/>
  <c r="U120" i="143"/>
  <c r="M120" i="143"/>
  <c r="W364" i="148"/>
  <c r="M106" i="143"/>
  <c r="W106" i="143"/>
  <c r="S106" i="143"/>
  <c r="R358" i="109"/>
  <c r="BF358" i="46" s="1"/>
  <c r="G77" i="125"/>
  <c r="J77" i="125"/>
  <c r="J79" i="125"/>
  <c r="H79" i="125"/>
  <c r="G414" i="148"/>
  <c r="W108" i="143"/>
  <c r="S108" i="143"/>
  <c r="M108" i="143"/>
  <c r="W389" i="148"/>
  <c r="S74" i="109"/>
  <c r="BG74" i="46" s="1"/>
  <c r="A74" i="109"/>
  <c r="K74" i="109"/>
  <c r="AD74" i="109" s="1"/>
  <c r="S107" i="143"/>
  <c r="M107" i="143"/>
  <c r="Y107" i="143"/>
  <c r="H77" i="125"/>
  <c r="G389" i="148"/>
  <c r="C389" i="148"/>
  <c r="G364" i="148"/>
  <c r="H75" i="125"/>
  <c r="S93" i="109"/>
  <c r="BG93" i="46" s="1"/>
  <c r="D94" i="109"/>
  <c r="K93" i="109"/>
  <c r="AD93" i="109" s="1"/>
  <c r="D127" i="109"/>
  <c r="AO127" i="46" s="1"/>
  <c r="F127" i="46" s="1"/>
  <c r="G49" i="56"/>
  <c r="J49" i="56" s="1"/>
  <c r="R361" i="109"/>
  <c r="BF361" i="46" s="1"/>
  <c r="G80" i="125"/>
  <c r="M109" i="143"/>
  <c r="Y109" i="143"/>
  <c r="S109" i="143"/>
  <c r="W388" i="148"/>
  <c r="D261" i="120" l="1"/>
  <c r="B27" i="151" s="1"/>
  <c r="L93" i="143"/>
  <c r="M93" i="143" s="1"/>
  <c r="G36" i="148"/>
  <c r="G66" i="148"/>
  <c r="G65" i="148"/>
  <c r="I144" i="143"/>
  <c r="K144" i="143" s="1"/>
  <c r="L144" i="143" s="1"/>
  <c r="AO94" i="46"/>
  <c r="F94" i="46" s="1"/>
  <c r="R178" i="109"/>
  <c r="BF178" i="46" s="1"/>
  <c r="D178" i="46"/>
  <c r="D260" i="120"/>
  <c r="B15" i="151" s="1"/>
  <c r="D362" i="109"/>
  <c r="D363" i="109"/>
  <c r="AO363" i="46" s="1"/>
  <c r="F363" i="46" s="1"/>
  <c r="G30" i="125"/>
  <c r="C30" i="125"/>
  <c r="C415" i="148"/>
  <c r="F746" i="46"/>
  <c r="BG746" i="46" s="1"/>
  <c r="A133" i="126"/>
  <c r="S525" i="109"/>
  <c r="H135" i="126"/>
  <c r="K525" i="109"/>
  <c r="S524" i="109"/>
  <c r="K524" i="109"/>
  <c r="H134" i="126"/>
  <c r="H132" i="126"/>
  <c r="K522" i="109"/>
  <c r="S522" i="109"/>
  <c r="O104" i="120"/>
  <c r="N105" i="120" s="1"/>
  <c r="W415" i="148"/>
  <c r="W390" i="148"/>
  <c r="U93" i="143"/>
  <c r="C365" i="148"/>
  <c r="S94" i="109"/>
  <c r="BG94" i="46" s="1"/>
  <c r="K94" i="109"/>
  <c r="AD94" i="109" s="1"/>
  <c r="G50" i="56"/>
  <c r="J50" i="56" s="1"/>
  <c r="S128" i="143"/>
  <c r="W128" i="143"/>
  <c r="M128" i="143"/>
  <c r="U161" i="143"/>
  <c r="M161" i="143"/>
  <c r="O391" i="148"/>
  <c r="O390" i="148"/>
  <c r="Z410" i="148"/>
  <c r="P143" i="143"/>
  <c r="M143" i="143"/>
  <c r="H118" i="126"/>
  <c r="H117" i="126"/>
  <c r="H116" i="126"/>
  <c r="N103" i="120"/>
  <c r="W179" i="143"/>
  <c r="S179" i="143"/>
  <c r="M179" i="143"/>
  <c r="O365" i="148"/>
  <c r="O366" i="148"/>
  <c r="Z385" i="148"/>
  <c r="M182" i="143"/>
  <c r="S182" i="143"/>
  <c r="W182" i="143"/>
  <c r="W365" i="148"/>
  <c r="S126" i="109"/>
  <c r="BG126" i="46" s="1"/>
  <c r="K126" i="109"/>
  <c r="AD126" i="109" s="1"/>
  <c r="G365" i="148"/>
  <c r="G366" i="148"/>
  <c r="S180" i="143"/>
  <c r="Y180" i="143"/>
  <c r="M180" i="143"/>
  <c r="Y183" i="143"/>
  <c r="S183" i="143"/>
  <c r="M183" i="143"/>
  <c r="O416" i="148"/>
  <c r="Z435" i="148"/>
  <c r="O415" i="148"/>
  <c r="G415" i="148"/>
  <c r="G416" i="148"/>
  <c r="M181" i="143"/>
  <c r="U181" i="143"/>
  <c r="M184" i="143"/>
  <c r="U184" i="143"/>
  <c r="C390" i="148"/>
  <c r="I155" i="143"/>
  <c r="K155" i="143" s="1"/>
  <c r="L155" i="143" s="1"/>
  <c r="S127" i="109"/>
  <c r="BG127" i="46" s="1"/>
  <c r="K127" i="109"/>
  <c r="AD127" i="109" s="1"/>
  <c r="A76" i="109"/>
  <c r="B76" i="109"/>
  <c r="B76" i="46" s="1"/>
  <c r="C76" i="109"/>
  <c r="D76" i="46" s="1"/>
  <c r="J41" i="56"/>
  <c r="G390" i="148"/>
  <c r="G391" i="148"/>
  <c r="B32" i="151" l="1"/>
  <c r="B29" i="151"/>
  <c r="B30" i="151"/>
  <c r="B31" i="151"/>
  <c r="K259" i="143"/>
  <c r="G24" i="152" s="1"/>
  <c r="I150" i="143"/>
  <c r="K150" i="143" s="1"/>
  <c r="AO362" i="46"/>
  <c r="F362" i="46" s="1"/>
  <c r="G264" i="148"/>
  <c r="L62" i="148"/>
  <c r="K65" i="148"/>
  <c r="L65" i="148" s="1"/>
  <c r="B24" i="151"/>
  <c r="B19" i="151"/>
  <c r="B18" i="151"/>
  <c r="B17" i="151"/>
  <c r="B28" i="151"/>
  <c r="D281" i="120" s="1"/>
  <c r="E8" i="125" s="1"/>
  <c r="E470" i="109" s="1"/>
  <c r="AQ470" i="46" s="1"/>
  <c r="B21" i="151"/>
  <c r="B26" i="151"/>
  <c r="B20" i="151"/>
  <c r="B22" i="151"/>
  <c r="B23" i="151"/>
  <c r="B25" i="151"/>
  <c r="S363" i="109"/>
  <c r="BG363" i="46" s="1"/>
  <c r="A363" i="109"/>
  <c r="K363" i="109"/>
  <c r="S362" i="109"/>
  <c r="BG362" i="46" s="1"/>
  <c r="K362" i="109"/>
  <c r="A362" i="109"/>
  <c r="N104" i="120"/>
  <c r="M105" i="120" s="1"/>
  <c r="F729" i="46"/>
  <c r="BG729" i="46" s="1"/>
  <c r="A116" i="126"/>
  <c r="F730" i="46"/>
  <c r="BG730" i="46" s="1"/>
  <c r="A117" i="126"/>
  <c r="F731" i="46"/>
  <c r="BG731" i="46" s="1"/>
  <c r="A118" i="126"/>
  <c r="F748" i="46"/>
  <c r="BG748" i="46" s="1"/>
  <c r="A135" i="126"/>
  <c r="F745" i="46"/>
  <c r="BG745" i="46" s="1"/>
  <c r="A132" i="126"/>
  <c r="F747" i="46"/>
  <c r="BG747" i="46" s="1"/>
  <c r="A134" i="126"/>
  <c r="G121" i="56"/>
  <c r="G157" i="120"/>
  <c r="Z86" i="120" s="1"/>
  <c r="AB410" i="148"/>
  <c r="AB435" i="148"/>
  <c r="S365" i="148"/>
  <c r="T365" i="148" s="1"/>
  <c r="T362" i="148"/>
  <c r="AA410" i="148"/>
  <c r="L387" i="148"/>
  <c r="K390" i="148"/>
  <c r="L390" i="148" s="1"/>
  <c r="Y410" i="148"/>
  <c r="L412" i="148"/>
  <c r="K415" i="148"/>
  <c r="L415" i="148" s="1"/>
  <c r="Y435" i="148"/>
  <c r="AA435" i="148"/>
  <c r="M155" i="143"/>
  <c r="U155" i="143"/>
  <c r="M144" i="143"/>
  <c r="P144" i="143"/>
  <c r="P250" i="143" s="1"/>
  <c r="T387" i="148"/>
  <c r="S390" i="148"/>
  <c r="T390" i="148" s="1"/>
  <c r="AB385" i="148"/>
  <c r="M103" i="120"/>
  <c r="R76" i="109"/>
  <c r="BF76" i="46" s="1"/>
  <c r="S415" i="148"/>
  <c r="T415" i="148" s="1"/>
  <c r="T412" i="148"/>
  <c r="I77" i="143"/>
  <c r="K77" i="143" s="1"/>
  <c r="L77" i="143" s="1"/>
  <c r="I79" i="143"/>
  <c r="K79" i="143" s="1"/>
  <c r="L79" i="143" s="1"/>
  <c r="I78" i="143"/>
  <c r="K78" i="143" s="1"/>
  <c r="L78" i="143" s="1"/>
  <c r="Y385" i="148"/>
  <c r="AA385" i="148"/>
  <c r="K365" i="148"/>
  <c r="L365" i="148" s="1"/>
  <c r="L362" i="148"/>
  <c r="L150" i="143" l="1"/>
  <c r="K258" i="143"/>
  <c r="G23" i="152" s="1"/>
  <c r="G266" i="148"/>
  <c r="AB285" i="148" s="1"/>
  <c r="Z285" i="148"/>
  <c r="G265" i="148"/>
  <c r="B16" i="151"/>
  <c r="E281" i="120" s="1"/>
  <c r="F8" i="125" s="1"/>
  <c r="F470" i="109" s="1"/>
  <c r="AP470" i="46" s="1"/>
  <c r="G274" i="120"/>
  <c r="G277" i="120" s="1"/>
  <c r="A364" i="109"/>
  <c r="H81" i="125" s="1"/>
  <c r="B364" i="109"/>
  <c r="B364" i="46" s="1"/>
  <c r="C364" i="109"/>
  <c r="D364" i="46" s="1"/>
  <c r="F364" i="109"/>
  <c r="AP364" i="46" s="1"/>
  <c r="H364" i="46" s="1"/>
  <c r="E364" i="109"/>
  <c r="AQ364" i="46" s="1"/>
  <c r="J364" i="46" s="1"/>
  <c r="AB86" i="120"/>
  <c r="AB88" i="120" s="1"/>
  <c r="AB90" i="120" s="1"/>
  <c r="M104" i="120"/>
  <c r="L105" i="120" s="1"/>
  <c r="M79" i="143"/>
  <c r="Y79" i="143"/>
  <c r="S79" i="143"/>
  <c r="G26" i="132"/>
  <c r="P251" i="143"/>
  <c r="S77" i="143"/>
  <c r="W77" i="143"/>
  <c r="M77" i="143"/>
  <c r="L103" i="120"/>
  <c r="S78" i="143"/>
  <c r="M78" i="143"/>
  <c r="Y78" i="143"/>
  <c r="U150" i="143" l="1"/>
  <c r="M150" i="143"/>
  <c r="L262" i="148"/>
  <c r="Y285" i="148"/>
  <c r="K265" i="148"/>
  <c r="L265" i="148" s="1"/>
  <c r="AA285" i="148"/>
  <c r="G273" i="120"/>
  <c r="G276" i="120" s="1"/>
  <c r="B12" i="151"/>
  <c r="Q470" i="109" s="1"/>
  <c r="K8" i="125"/>
  <c r="R364" i="109"/>
  <c r="BF364" i="46" s="1"/>
  <c r="G81" i="125"/>
  <c r="C81" i="125"/>
  <c r="H262" i="148"/>
  <c r="L149" i="120"/>
  <c r="K149" i="120" s="1"/>
  <c r="J149" i="120" s="1"/>
  <c r="L104" i="120"/>
  <c r="K104" i="120" s="1"/>
  <c r="J104" i="120" s="1"/>
  <c r="K103" i="120"/>
  <c r="J103" i="120" s="1"/>
  <c r="K105" i="120" l="1"/>
  <c r="J105" i="120" s="1"/>
  <c r="Y56" i="120" l="1"/>
  <c r="Z84" i="120" l="1"/>
  <c r="G189" i="148" l="1"/>
  <c r="H26" i="126"/>
  <c r="A26" i="126" s="1"/>
  <c r="G190" i="148" l="1"/>
  <c r="G191" i="148"/>
  <c r="AB210" i="148" s="1"/>
  <c r="Z210" i="148"/>
  <c r="F639" i="46"/>
  <c r="BG639" i="46" s="1"/>
  <c r="K190" i="148" l="1"/>
  <c r="L190" i="148" s="1"/>
  <c r="Y210" i="148"/>
  <c r="AA210" i="148"/>
  <c r="L187" i="148"/>
  <c r="Z88" i="120"/>
  <c r="Z90" i="120" s="1"/>
  <c r="AA92" i="120" l="1"/>
  <c r="H123" i="60" s="1"/>
  <c r="F56" i="60" s="1"/>
  <c r="H122" i="60" l="1"/>
  <c r="F180" i="120"/>
  <c r="F183" i="120"/>
  <c r="F182" i="120"/>
  <c r="E157" i="120" s="1"/>
  <c r="F181" i="120"/>
  <c r="C36" i="123"/>
  <c r="K163" i="120" l="1"/>
  <c r="D245" i="109"/>
  <c r="K162" i="120"/>
  <c r="K159" i="120"/>
  <c r="F187" i="120"/>
  <c r="K165" i="120"/>
  <c r="K161" i="120"/>
  <c r="K158" i="120"/>
  <c r="D246" i="109"/>
  <c r="K164" i="120"/>
  <c r="K166" i="120"/>
  <c r="K160" i="120"/>
  <c r="F157" i="120"/>
  <c r="F189" i="120"/>
  <c r="F188" i="120"/>
  <c r="D214" i="109" s="1"/>
  <c r="AO214" i="46" s="1"/>
  <c r="F214" i="46" s="1"/>
  <c r="AB100" i="120"/>
  <c r="Z94" i="120"/>
  <c r="Z100" i="120"/>
  <c r="AB94" i="120"/>
  <c r="AB96" i="120"/>
  <c r="Z96" i="120"/>
  <c r="F159" i="120"/>
  <c r="D223" i="109"/>
  <c r="AO223" i="46" s="1"/>
  <c r="F223" i="46" s="1"/>
  <c r="G464" i="148"/>
  <c r="D224" i="109"/>
  <c r="AO224" i="46" s="1"/>
  <c r="K34" i="123"/>
  <c r="D35" i="109"/>
  <c r="D36" i="109"/>
  <c r="AO36" i="46" s="1"/>
  <c r="F36" i="46" s="1"/>
  <c r="D54" i="120" l="1"/>
  <c r="D234" i="109"/>
  <c r="D233" i="109"/>
  <c r="K167" i="120"/>
  <c r="K245" i="109"/>
  <c r="AO245" i="46"/>
  <c r="F245" i="46" s="1"/>
  <c r="A245" i="109"/>
  <c r="S245" i="109"/>
  <c r="BG245" i="46" s="1"/>
  <c r="Q162" i="120"/>
  <c r="Q159" i="120"/>
  <c r="Q164" i="120"/>
  <c r="Q165" i="120"/>
  <c r="Q168" i="120"/>
  <c r="Q158" i="120"/>
  <c r="Q167" i="120"/>
  <c r="D247" i="109"/>
  <c r="Q169" i="120"/>
  <c r="F186" i="120"/>
  <c r="G44" i="123" s="1"/>
  <c r="E44" i="123" s="1"/>
  <c r="Q161" i="120"/>
  <c r="Q163" i="120"/>
  <c r="D248" i="109"/>
  <c r="Q160" i="120"/>
  <c r="Q166" i="120"/>
  <c r="AO246" i="46"/>
  <c r="F246" i="46" s="1"/>
  <c r="K246" i="109"/>
  <c r="A246" i="109"/>
  <c r="S246" i="109"/>
  <c r="BG246" i="46" s="1"/>
  <c r="AO35" i="46"/>
  <c r="F35" i="46" s="1"/>
  <c r="O114" i="148"/>
  <c r="G89" i="148"/>
  <c r="O89" i="148"/>
  <c r="G114" i="148"/>
  <c r="O164" i="148"/>
  <c r="G139" i="148"/>
  <c r="G164" i="148"/>
  <c r="O139" i="148"/>
  <c r="D204" i="109"/>
  <c r="D219" i="109"/>
  <c r="AO219" i="46" s="1"/>
  <c r="F219" i="46" s="1"/>
  <c r="D211" i="109"/>
  <c r="D212" i="109"/>
  <c r="D205" i="109"/>
  <c r="D203" i="109"/>
  <c r="AO203" i="46" s="1"/>
  <c r="F203" i="46" s="1"/>
  <c r="H30" i="123"/>
  <c r="D222" i="109"/>
  <c r="AO222" i="46" s="1"/>
  <c r="F222" i="46" s="1"/>
  <c r="D206" i="109"/>
  <c r="AO206" i="46" s="1"/>
  <c r="F206" i="46" s="1"/>
  <c r="Q30" i="123"/>
  <c r="D221" i="109"/>
  <c r="D220" i="109"/>
  <c r="AO220" i="46" s="1"/>
  <c r="F220" i="46" s="1"/>
  <c r="D213" i="109"/>
  <c r="AO213" i="46" s="1"/>
  <c r="F213" i="46" s="1"/>
  <c r="AA98" i="120"/>
  <c r="AA102" i="120"/>
  <c r="P199" i="120"/>
  <c r="A36" i="109"/>
  <c r="D78" i="109"/>
  <c r="AO78" i="46" s="1"/>
  <c r="F78" i="46" s="1"/>
  <c r="D13" i="109"/>
  <c r="AO13" i="46" s="1"/>
  <c r="F13" i="46" s="1"/>
  <c r="K36" i="109"/>
  <c r="AD36" i="109" s="1"/>
  <c r="S36" i="109"/>
  <c r="BG36" i="46" s="1"/>
  <c r="D21" i="109"/>
  <c r="AO21" i="46" s="1"/>
  <c r="F21" i="46" s="1"/>
  <c r="D17" i="109"/>
  <c r="AO17" i="46" s="1"/>
  <c r="F17" i="46" s="1"/>
  <c r="S223" i="109"/>
  <c r="BG223" i="46" s="1"/>
  <c r="P198" i="120"/>
  <c r="G466" i="148"/>
  <c r="AB485" i="148" s="1"/>
  <c r="G465" i="148"/>
  <c r="Z485" i="148"/>
  <c r="D12" i="109"/>
  <c r="D77" i="109"/>
  <c r="AO77" i="46" s="1"/>
  <c r="F77" i="46" s="1"/>
  <c r="D16" i="109"/>
  <c r="AO16" i="46" s="1"/>
  <c r="F16" i="46" s="1"/>
  <c r="S35" i="109"/>
  <c r="BG35" i="46" s="1"/>
  <c r="D20" i="109"/>
  <c r="AO20" i="46" s="1"/>
  <c r="F20" i="46" s="1"/>
  <c r="A35" i="109"/>
  <c r="K35" i="109"/>
  <c r="AD35" i="109" s="1"/>
  <c r="D33" i="109"/>
  <c r="AO33" i="46" s="1"/>
  <c r="F33" i="46" s="1"/>
  <c r="D30" i="109"/>
  <c r="D32" i="109"/>
  <c r="AO32" i="46" s="1"/>
  <c r="F32" i="46" s="1"/>
  <c r="G159" i="120"/>
  <c r="D31" i="109"/>
  <c r="AO31" i="46" s="1"/>
  <c r="F31" i="46" s="1"/>
  <c r="S214" i="109"/>
  <c r="BG214" i="46" s="1"/>
  <c r="P189" i="120"/>
  <c r="D207" i="109" l="1"/>
  <c r="D208" i="109"/>
  <c r="D209" i="109"/>
  <c r="AO209" i="46" s="1"/>
  <c r="F209" i="46" s="1"/>
  <c r="D215" i="109"/>
  <c r="AO215" i="46" s="1"/>
  <c r="F215" i="46" s="1"/>
  <c r="D218" i="109"/>
  <c r="AO218" i="46" s="1"/>
  <c r="F218" i="46" s="1"/>
  <c r="D216" i="109"/>
  <c r="AO216" i="46" s="1"/>
  <c r="F216" i="46" s="1"/>
  <c r="D217" i="109"/>
  <c r="S217" i="109" s="1"/>
  <c r="BG217" i="46" s="1"/>
  <c r="D210" i="109"/>
  <c r="AO210" i="46" s="1"/>
  <c r="F210" i="46" s="1"/>
  <c r="M167" i="120"/>
  <c r="L167" i="120"/>
  <c r="AO248" i="46"/>
  <c r="F248" i="46" s="1"/>
  <c r="S248" i="109"/>
  <c r="BG248" i="46" s="1"/>
  <c r="K248" i="109"/>
  <c r="A248" i="109"/>
  <c r="Q170" i="120"/>
  <c r="V160" i="120" s="1"/>
  <c r="G439" i="148"/>
  <c r="D37" i="109"/>
  <c r="D38" i="109"/>
  <c r="D41" i="109"/>
  <c r="D42" i="109"/>
  <c r="D39" i="109"/>
  <c r="D40" i="109"/>
  <c r="AO233" i="46"/>
  <c r="F233" i="46" s="1"/>
  <c r="S233" i="109"/>
  <c r="BG233" i="46" s="1"/>
  <c r="A233" i="109"/>
  <c r="S234" i="109"/>
  <c r="BG234" i="46" s="1"/>
  <c r="AO234" i="46"/>
  <c r="F234" i="46" s="1"/>
  <c r="A234" i="109"/>
  <c r="G214" i="148"/>
  <c r="AO247" i="46"/>
  <c r="F247" i="46" s="1"/>
  <c r="A247" i="109"/>
  <c r="K247" i="109"/>
  <c r="S247" i="109"/>
  <c r="BG247" i="46" s="1"/>
  <c r="D251" i="109"/>
  <c r="D250" i="109"/>
  <c r="E48" i="123"/>
  <c r="AO12" i="46"/>
  <c r="F12" i="46" s="1"/>
  <c r="G664" i="148"/>
  <c r="O165" i="148"/>
  <c r="Z185" i="148"/>
  <c r="O166" i="148"/>
  <c r="O91" i="148"/>
  <c r="Z110" i="148"/>
  <c r="O90" i="148"/>
  <c r="G239" i="148"/>
  <c r="O140" i="148"/>
  <c r="O141" i="148"/>
  <c r="Z160" i="148"/>
  <c r="G91" i="148"/>
  <c r="G90" i="148"/>
  <c r="G165" i="148"/>
  <c r="G166" i="148"/>
  <c r="G115" i="148"/>
  <c r="G116" i="148"/>
  <c r="O115" i="148"/>
  <c r="Z135" i="148"/>
  <c r="O116" i="148"/>
  <c r="AO30" i="46"/>
  <c r="F30" i="46" s="1"/>
  <c r="O64" i="148"/>
  <c r="G140" i="148"/>
  <c r="G141" i="148"/>
  <c r="P186" i="120"/>
  <c r="AO211" i="46"/>
  <c r="F211" i="46" s="1"/>
  <c r="S207" i="109"/>
  <c r="BG207" i="46" s="1"/>
  <c r="AO207" i="46"/>
  <c r="F207" i="46" s="1"/>
  <c r="S221" i="109"/>
  <c r="BG221" i="46" s="1"/>
  <c r="AO221" i="46"/>
  <c r="F221" i="46" s="1"/>
  <c r="S205" i="109"/>
  <c r="BG205" i="46" s="1"/>
  <c r="AO205" i="46"/>
  <c r="F205" i="46" s="1"/>
  <c r="P179" i="120"/>
  <c r="AO204" i="46"/>
  <c r="F204" i="46" s="1"/>
  <c r="S212" i="109"/>
  <c r="BG212" i="46" s="1"/>
  <c r="AO212" i="46"/>
  <c r="F212" i="46" s="1"/>
  <c r="S208" i="109"/>
  <c r="BG208" i="46" s="1"/>
  <c r="AO208" i="46"/>
  <c r="F208" i="46" s="1"/>
  <c r="P183" i="120"/>
  <c r="S204" i="109"/>
  <c r="BG204" i="46" s="1"/>
  <c r="P180" i="120"/>
  <c r="P187" i="120"/>
  <c r="P194" i="120"/>
  <c r="P184" i="120"/>
  <c r="S211" i="109"/>
  <c r="BG211" i="46" s="1"/>
  <c r="S219" i="109"/>
  <c r="BG219" i="46" s="1"/>
  <c r="P195" i="120"/>
  <c r="S220" i="109"/>
  <c r="BG220" i="46" s="1"/>
  <c r="P196" i="120"/>
  <c r="S206" i="109"/>
  <c r="BG206" i="46" s="1"/>
  <c r="P181" i="120"/>
  <c r="S222" i="109"/>
  <c r="BG222" i="46" s="1"/>
  <c r="P197" i="120"/>
  <c r="S218" i="109"/>
  <c r="BG218" i="46" s="1"/>
  <c r="S213" i="109"/>
  <c r="BG213" i="46" s="1"/>
  <c r="P188" i="120"/>
  <c r="P178" i="120"/>
  <c r="P190" i="120"/>
  <c r="S209" i="109"/>
  <c r="BG209" i="46" s="1"/>
  <c r="D228" i="109"/>
  <c r="S203" i="109"/>
  <c r="BG203" i="46" s="1"/>
  <c r="P182" i="120"/>
  <c r="S215" i="109"/>
  <c r="BG215" i="46" s="1"/>
  <c r="P193" i="120"/>
  <c r="K77" i="109"/>
  <c r="A77" i="109"/>
  <c r="S77" i="109"/>
  <c r="BG77" i="46" s="1"/>
  <c r="S13" i="109"/>
  <c r="BG13" i="46" s="1"/>
  <c r="K13" i="109"/>
  <c r="A32" i="109"/>
  <c r="K32" i="109"/>
  <c r="AD32" i="109" s="1"/>
  <c r="S32" i="109"/>
  <c r="BG32" i="46" s="1"/>
  <c r="K12" i="109"/>
  <c r="S12" i="109"/>
  <c r="BG12" i="46" s="1"/>
  <c r="A33" i="109"/>
  <c r="S33" i="109"/>
  <c r="BG33" i="46" s="1"/>
  <c r="K33" i="109"/>
  <c r="AD33" i="109" s="1"/>
  <c r="K78" i="109"/>
  <c r="A78" i="109"/>
  <c r="S78" i="109"/>
  <c r="BG78" i="46" s="1"/>
  <c r="A30" i="109"/>
  <c r="S30" i="109"/>
  <c r="BG30" i="46" s="1"/>
  <c r="K30" i="109"/>
  <c r="AD30" i="109" s="1"/>
  <c r="AA485" i="148"/>
  <c r="L462" i="148"/>
  <c r="K465" i="148"/>
  <c r="L465" i="148" s="1"/>
  <c r="Y485" i="148"/>
  <c r="S17" i="109"/>
  <c r="BG17" i="46" s="1"/>
  <c r="K17" i="109"/>
  <c r="S16" i="109"/>
  <c r="BG16" i="46" s="1"/>
  <c r="K16" i="109"/>
  <c r="K20" i="109"/>
  <c r="S20" i="109"/>
  <c r="BG20" i="46" s="1"/>
  <c r="A31" i="109"/>
  <c r="S31" i="109"/>
  <c r="BG31" i="46" s="1"/>
  <c r="K31" i="109"/>
  <c r="AD31" i="109" s="1"/>
  <c r="S21" i="109"/>
  <c r="BG21" i="46" s="1"/>
  <c r="K21" i="109"/>
  <c r="P192" i="120" l="1"/>
  <c r="AO217" i="46"/>
  <c r="F217" i="46" s="1"/>
  <c r="L169" i="120"/>
  <c r="P185" i="120"/>
  <c r="D226" i="109"/>
  <c r="AO226" i="46" s="1"/>
  <c r="F226" i="46" s="1"/>
  <c r="S210" i="109"/>
  <c r="BG210" i="46" s="1"/>
  <c r="S216" i="109"/>
  <c r="BG216" i="46" s="1"/>
  <c r="E249" i="109"/>
  <c r="C214" i="148" s="1"/>
  <c r="D227" i="109"/>
  <c r="AO227" i="46" s="1"/>
  <c r="F227" i="46" s="1"/>
  <c r="P191" i="120"/>
  <c r="C60" i="120"/>
  <c r="G32" i="123" s="1"/>
  <c r="B249" i="109"/>
  <c r="B249" i="46" s="1"/>
  <c r="A249" i="109"/>
  <c r="H73" i="125" s="1"/>
  <c r="F249" i="109"/>
  <c r="AP249" i="46" s="1"/>
  <c r="H249" i="46" s="1"/>
  <c r="V161" i="120"/>
  <c r="C249" i="109"/>
  <c r="D249" i="46" s="1"/>
  <c r="AO251" i="46"/>
  <c r="F251" i="46" s="1"/>
  <c r="K251" i="109"/>
  <c r="A251" i="109"/>
  <c r="S251" i="109"/>
  <c r="BG251" i="46" s="1"/>
  <c r="A250" i="109"/>
  <c r="AO250" i="46"/>
  <c r="F250" i="46" s="1"/>
  <c r="K250" i="109"/>
  <c r="S250" i="109"/>
  <c r="BG250" i="46" s="1"/>
  <c r="AO40" i="46"/>
  <c r="F40" i="46" s="1"/>
  <c r="K40" i="109"/>
  <c r="AD40" i="109" s="1"/>
  <c r="S40" i="109"/>
  <c r="BG40" i="46" s="1"/>
  <c r="A40" i="109"/>
  <c r="Z235" i="148"/>
  <c r="G216" i="148"/>
  <c r="AB235" i="148" s="1"/>
  <c r="G215" i="148"/>
  <c r="K39" i="109"/>
  <c r="AD39" i="109" s="1"/>
  <c r="S39" i="109"/>
  <c r="BG39" i="46" s="1"/>
  <c r="AO39" i="46"/>
  <c r="F39" i="46" s="1"/>
  <c r="A39" i="109"/>
  <c r="AO42" i="46"/>
  <c r="F42" i="46" s="1"/>
  <c r="S42" i="109"/>
  <c r="BG42" i="46" s="1"/>
  <c r="K42" i="109"/>
  <c r="AD42" i="109" s="1"/>
  <c r="A42" i="109"/>
  <c r="R170" i="120"/>
  <c r="I173" i="120" s="1"/>
  <c r="T170" i="120"/>
  <c r="S170" i="120"/>
  <c r="V164" i="120" s="1"/>
  <c r="W164" i="120" s="1"/>
  <c r="AO41" i="46"/>
  <c r="F41" i="46" s="1"/>
  <c r="A41" i="109"/>
  <c r="S41" i="109"/>
  <c r="BG41" i="46" s="1"/>
  <c r="K41" i="109"/>
  <c r="AD41" i="109" s="1"/>
  <c r="AO38" i="46"/>
  <c r="F38" i="46" s="1"/>
  <c r="S38" i="109"/>
  <c r="BG38" i="46" s="1"/>
  <c r="D236" i="109"/>
  <c r="D15" i="109"/>
  <c r="A38" i="109"/>
  <c r="K38" i="109"/>
  <c r="AD38" i="109" s="1"/>
  <c r="D19" i="109"/>
  <c r="D23" i="109"/>
  <c r="D80" i="109"/>
  <c r="D18" i="109"/>
  <c r="D79" i="109"/>
  <c r="S37" i="109"/>
  <c r="BG37" i="46" s="1"/>
  <c r="A37" i="109"/>
  <c r="D22" i="109"/>
  <c r="AO37" i="46"/>
  <c r="F37" i="46" s="1"/>
  <c r="D14" i="109"/>
  <c r="D235" i="109"/>
  <c r="K37" i="109"/>
  <c r="AD37" i="109" s="1"/>
  <c r="G440" i="148"/>
  <c r="Z460" i="148"/>
  <c r="G441" i="148"/>
  <c r="AB460" i="148" s="1"/>
  <c r="AB185" i="148"/>
  <c r="G666" i="148"/>
  <c r="AB685" i="148" s="1"/>
  <c r="S24" i="148" s="1"/>
  <c r="G665" i="148"/>
  <c r="Z685" i="148"/>
  <c r="O22" i="148" s="1"/>
  <c r="Y135" i="148"/>
  <c r="L112" i="148"/>
  <c r="K115" i="148"/>
  <c r="L115" i="148" s="1"/>
  <c r="AA135" i="148"/>
  <c r="G241" i="148"/>
  <c r="AB260" i="148" s="1"/>
  <c r="G240" i="148"/>
  <c r="Z260" i="148"/>
  <c r="AB110" i="148"/>
  <c r="L137" i="148"/>
  <c r="Y160" i="148"/>
  <c r="K140" i="148"/>
  <c r="L140" i="148" s="1"/>
  <c r="AA160" i="148"/>
  <c r="Z85" i="148"/>
  <c r="T112" i="148"/>
  <c r="S115" i="148"/>
  <c r="T115" i="148" s="1"/>
  <c r="K165" i="148"/>
  <c r="L165" i="148" s="1"/>
  <c r="Y185" i="148"/>
  <c r="L162" i="148"/>
  <c r="AA185" i="148"/>
  <c r="AB160" i="148"/>
  <c r="T87" i="148"/>
  <c r="S90" i="148"/>
  <c r="T90" i="148" s="1"/>
  <c r="AB135" i="148"/>
  <c r="L87" i="148"/>
  <c r="K90" i="148"/>
  <c r="L90" i="148" s="1"/>
  <c r="Y110" i="148"/>
  <c r="AA110" i="148"/>
  <c r="T137" i="148"/>
  <c r="S140" i="148"/>
  <c r="T140" i="148" s="1"/>
  <c r="T162" i="148"/>
  <c r="S165" i="148"/>
  <c r="T165" i="148" s="1"/>
  <c r="A227" i="109"/>
  <c r="A228" i="109"/>
  <c r="AO228" i="46"/>
  <c r="F228" i="46" s="1"/>
  <c r="A34" i="109"/>
  <c r="R201" i="120"/>
  <c r="H20" i="123" s="1"/>
  <c r="Q201" i="120"/>
  <c r="T20" i="123" s="1"/>
  <c r="G70" i="125" s="1"/>
  <c r="F34" i="109"/>
  <c r="AP34" i="46" s="1"/>
  <c r="H34" i="46" s="1"/>
  <c r="B34" i="109"/>
  <c r="B34" i="46" s="1"/>
  <c r="C34" i="109"/>
  <c r="D34" i="46" s="1"/>
  <c r="E34" i="109"/>
  <c r="AQ34" i="46" s="1"/>
  <c r="J34" i="46" s="1"/>
  <c r="C213" i="148" l="1"/>
  <c r="C73" i="125"/>
  <c r="AQ249" i="46"/>
  <c r="J249" i="46" s="1"/>
  <c r="R249" i="109"/>
  <c r="BF249" i="46" s="1"/>
  <c r="G73" i="125"/>
  <c r="H212" i="148"/>
  <c r="E32" i="123"/>
  <c r="R172" i="120"/>
  <c r="V162" i="120" s="1"/>
  <c r="V163" i="120"/>
  <c r="AO19" i="46"/>
  <c r="F19" i="46" s="1"/>
  <c r="S19" i="109"/>
  <c r="BG19" i="46" s="1"/>
  <c r="K19" i="109"/>
  <c r="AO79" i="46"/>
  <c r="F79" i="46" s="1"/>
  <c r="A79" i="109"/>
  <c r="S79" i="109"/>
  <c r="BG79" i="46" s="1"/>
  <c r="K79" i="109"/>
  <c r="AO235" i="46"/>
  <c r="F235" i="46" s="1"/>
  <c r="A235" i="109"/>
  <c r="S235" i="109"/>
  <c r="BG235" i="46" s="1"/>
  <c r="B43" i="109"/>
  <c r="A43" i="109"/>
  <c r="H35" i="122" s="1"/>
  <c r="C43" i="109"/>
  <c r="AO80" i="46"/>
  <c r="F80" i="46" s="1"/>
  <c r="S80" i="109"/>
  <c r="BG80" i="46" s="1"/>
  <c r="K80" i="109"/>
  <c r="A80" i="109"/>
  <c r="AO236" i="46"/>
  <c r="F236" i="46" s="1"/>
  <c r="S236" i="109"/>
  <c r="BG236" i="46" s="1"/>
  <c r="A236" i="109"/>
  <c r="K215" i="148"/>
  <c r="L215" i="148" s="1"/>
  <c r="AA235" i="148"/>
  <c r="Y235" i="148"/>
  <c r="L212" i="148"/>
  <c r="AO15" i="46"/>
  <c r="F15" i="46" s="1"/>
  <c r="K15" i="109"/>
  <c r="S15" i="109"/>
  <c r="BG15" i="46" s="1"/>
  <c r="AO14" i="46"/>
  <c r="F14" i="46" s="1"/>
  <c r="S14" i="109"/>
  <c r="BG14" i="46" s="1"/>
  <c r="K14" i="109"/>
  <c r="I28" i="143"/>
  <c r="K28" i="143" s="1"/>
  <c r="L28" i="143" s="1"/>
  <c r="I27" i="143"/>
  <c r="I29" i="143"/>
  <c r="K29" i="143" s="1"/>
  <c r="L29" i="143" s="1"/>
  <c r="J173" i="120"/>
  <c r="D48" i="109"/>
  <c r="D47" i="109"/>
  <c r="AO22" i="46"/>
  <c r="F22" i="46" s="1"/>
  <c r="S22" i="109"/>
  <c r="BG22" i="46" s="1"/>
  <c r="K22" i="109"/>
  <c r="AO18" i="46"/>
  <c r="F18" i="46" s="1"/>
  <c r="K18" i="109"/>
  <c r="S18" i="109"/>
  <c r="BG18" i="46" s="1"/>
  <c r="F252" i="109"/>
  <c r="AP252" i="46" s="1"/>
  <c r="H252" i="46" s="1"/>
  <c r="B252" i="109"/>
  <c r="C252" i="109"/>
  <c r="AA460" i="148"/>
  <c r="Y460" i="148"/>
  <c r="L437" i="148"/>
  <c r="K440" i="148"/>
  <c r="L440" i="148" s="1"/>
  <c r="A252" i="109"/>
  <c r="H74" i="125" s="1"/>
  <c r="AO23" i="46"/>
  <c r="F23" i="46" s="1"/>
  <c r="K23" i="109"/>
  <c r="S23" i="109"/>
  <c r="BG23" i="46" s="1"/>
  <c r="C215" i="148"/>
  <c r="B229" i="109"/>
  <c r="B229" i="46" s="1"/>
  <c r="L662" i="148"/>
  <c r="K665" i="148"/>
  <c r="L665" i="148" s="1"/>
  <c r="AA685" i="148"/>
  <c r="S22" i="148" s="1"/>
  <c r="Y685" i="148"/>
  <c r="O24" i="148" s="1"/>
  <c r="K240" i="148"/>
  <c r="L240" i="148" s="1"/>
  <c r="L237" i="148"/>
  <c r="AA260" i="148"/>
  <c r="Y260" i="148"/>
  <c r="A229" i="109"/>
  <c r="C229" i="109"/>
  <c r="D229" i="46" s="1"/>
  <c r="J34" i="122"/>
  <c r="W63" i="148"/>
  <c r="P62" i="148"/>
  <c r="R34" i="109"/>
  <c r="BF34" i="46" s="1"/>
  <c r="I34" i="122"/>
  <c r="W64" i="148"/>
  <c r="I101" i="143"/>
  <c r="K101" i="143" s="1"/>
  <c r="L101" i="143" s="1"/>
  <c r="H34" i="122"/>
  <c r="H29" i="122" s="1"/>
  <c r="I67" i="143"/>
  <c r="I102" i="143"/>
  <c r="K102" i="143" s="1"/>
  <c r="L102" i="143" s="1"/>
  <c r="C13" i="126" l="1"/>
  <c r="J13" i="126"/>
  <c r="H28" i="122"/>
  <c r="W163" i="120"/>
  <c r="B252" i="46"/>
  <c r="C74" i="125"/>
  <c r="C81" i="109"/>
  <c r="B81" i="109"/>
  <c r="B81" i="46" s="1"/>
  <c r="A81" i="109"/>
  <c r="D43" i="46"/>
  <c r="I35" i="122"/>
  <c r="R43" i="109"/>
  <c r="BF43" i="46" s="1"/>
  <c r="AO47" i="46"/>
  <c r="F47" i="46" s="1"/>
  <c r="S47" i="109"/>
  <c r="BG47" i="46" s="1"/>
  <c r="K47" i="109"/>
  <c r="AD47" i="109" s="1"/>
  <c r="A47" i="109"/>
  <c r="B43" i="46"/>
  <c r="J35" i="122"/>
  <c r="AO48" i="46"/>
  <c r="F48" i="46" s="1"/>
  <c r="S48" i="109"/>
  <c r="BG48" i="46" s="1"/>
  <c r="K48" i="109"/>
  <c r="AD48" i="109" s="1"/>
  <c r="A48" i="109"/>
  <c r="C237" i="109"/>
  <c r="B237" i="109"/>
  <c r="F237" i="109"/>
  <c r="E237" i="109"/>
  <c r="A237" i="109"/>
  <c r="H72" i="125" s="1"/>
  <c r="H69" i="125" s="1"/>
  <c r="D44" i="109"/>
  <c r="D45" i="109"/>
  <c r="S29" i="143"/>
  <c r="M29" i="143"/>
  <c r="Y29" i="143"/>
  <c r="M28" i="143"/>
  <c r="S28" i="143"/>
  <c r="Y28" i="143"/>
  <c r="D252" i="46"/>
  <c r="G74" i="125"/>
  <c r="R252" i="109"/>
  <c r="BF252" i="46" s="1"/>
  <c r="I61" i="143"/>
  <c r="K61" i="143" s="1"/>
  <c r="L61" i="143" s="1"/>
  <c r="K27" i="143"/>
  <c r="L27" i="143" s="1"/>
  <c r="O26" i="148"/>
  <c r="R229" i="109"/>
  <c r="BF229" i="46" s="1"/>
  <c r="W65" i="148"/>
  <c r="U102" i="143"/>
  <c r="M102" i="143"/>
  <c r="U101" i="143"/>
  <c r="M101" i="143"/>
  <c r="I68" i="143"/>
  <c r="K68" i="143" s="1"/>
  <c r="L68" i="143" s="1"/>
  <c r="K67" i="143"/>
  <c r="L67" i="143" s="1"/>
  <c r="H28" i="126" l="1"/>
  <c r="H22" i="126"/>
  <c r="H24" i="126"/>
  <c r="H30" i="126"/>
  <c r="H15" i="126"/>
  <c r="V24" i="126"/>
  <c r="H23" i="126"/>
  <c r="V21" i="126"/>
  <c r="H25" i="126"/>
  <c r="H29" i="126"/>
  <c r="V22" i="126"/>
  <c r="H27" i="126"/>
  <c r="H18" i="126"/>
  <c r="V23" i="126"/>
  <c r="G339" i="148"/>
  <c r="Z360" i="148" s="1"/>
  <c r="A44" i="109"/>
  <c r="AO44" i="46"/>
  <c r="F44" i="46" s="1"/>
  <c r="K44" i="109"/>
  <c r="S44" i="109"/>
  <c r="BG44" i="46" s="1"/>
  <c r="AP237" i="46"/>
  <c r="H237" i="46" s="1"/>
  <c r="C238" i="148"/>
  <c r="C49" i="109"/>
  <c r="I36" i="122" s="1"/>
  <c r="B49" i="109"/>
  <c r="J36" i="122" s="1"/>
  <c r="A49" i="109"/>
  <c r="U61" i="143"/>
  <c r="M61" i="143"/>
  <c r="AO45" i="46"/>
  <c r="F45" i="46" s="1"/>
  <c r="S45" i="109"/>
  <c r="BG45" i="46" s="1"/>
  <c r="A45" i="109"/>
  <c r="K45" i="109"/>
  <c r="AD45" i="109" s="1"/>
  <c r="AQ237" i="46"/>
  <c r="J237" i="46" s="1"/>
  <c r="C239" i="148"/>
  <c r="I81" i="143"/>
  <c r="K81" i="143" s="1"/>
  <c r="L81" i="143" s="1"/>
  <c r="I80" i="143"/>
  <c r="I82" i="143"/>
  <c r="K82" i="143" s="1"/>
  <c r="L82" i="143" s="1"/>
  <c r="B237" i="46"/>
  <c r="C72" i="125"/>
  <c r="H237" i="148"/>
  <c r="D237" i="46"/>
  <c r="G72" i="125"/>
  <c r="R237" i="109"/>
  <c r="BF237" i="46" s="1"/>
  <c r="W27" i="143"/>
  <c r="M27" i="143"/>
  <c r="S27" i="143"/>
  <c r="D81" i="46"/>
  <c r="R81" i="109"/>
  <c r="BF81" i="46" s="1"/>
  <c r="O65" i="148"/>
  <c r="O66" i="148"/>
  <c r="AB85" i="148" s="1"/>
  <c r="M68" i="143"/>
  <c r="U68" i="143"/>
  <c r="U67" i="143"/>
  <c r="M67" i="143"/>
  <c r="G341" i="148" l="1"/>
  <c r="AB360" i="148" s="1"/>
  <c r="F636" i="46"/>
  <c r="BG636" i="46" s="1"/>
  <c r="A23" i="126"/>
  <c r="A46" i="109"/>
  <c r="A18" i="126"/>
  <c r="H20" i="126"/>
  <c r="H19" i="126"/>
  <c r="F631" i="46"/>
  <c r="BG631" i="46" s="1"/>
  <c r="H16" i="126"/>
  <c r="A15" i="126"/>
  <c r="F628" i="46"/>
  <c r="BG628" i="46" s="1"/>
  <c r="A27" i="126"/>
  <c r="F640" i="46"/>
  <c r="BG640" i="46" s="1"/>
  <c r="A30" i="126"/>
  <c r="F643" i="46"/>
  <c r="BG643" i="46" s="1"/>
  <c r="A24" i="126"/>
  <c r="F637" i="46"/>
  <c r="BG637" i="46" s="1"/>
  <c r="G340" i="148"/>
  <c r="AA360" i="148" s="1"/>
  <c r="F642" i="46"/>
  <c r="BG642" i="46" s="1"/>
  <c r="A29" i="126"/>
  <c r="A22" i="126"/>
  <c r="F635" i="46"/>
  <c r="BG635" i="46" s="1"/>
  <c r="A25" i="126"/>
  <c r="F638" i="46"/>
  <c r="BG638" i="46" s="1"/>
  <c r="F641" i="46"/>
  <c r="BG641" i="46" s="1"/>
  <c r="A28" i="126"/>
  <c r="H36" i="122"/>
  <c r="H37" i="122"/>
  <c r="Y81" i="143"/>
  <c r="M81" i="143"/>
  <c r="S81" i="143"/>
  <c r="K80" i="143"/>
  <c r="L80" i="143" s="1"/>
  <c r="I99" i="143"/>
  <c r="K99" i="143" s="1"/>
  <c r="L99" i="143" s="1"/>
  <c r="C240" i="148"/>
  <c r="M82" i="143"/>
  <c r="S82" i="143"/>
  <c r="Y82" i="143"/>
  <c r="B49" i="46"/>
  <c r="AD44" i="109"/>
  <c r="AD803" i="109" s="1"/>
  <c r="AD1" i="109" s="1"/>
  <c r="C56" i="120" s="1"/>
  <c r="K3" i="109"/>
  <c r="H33" i="125"/>
  <c r="H34" i="125"/>
  <c r="B46" i="109"/>
  <c r="J37" i="122" s="1"/>
  <c r="C46" i="109"/>
  <c r="I37" i="122" s="1"/>
  <c r="D49" i="46"/>
  <c r="R49" i="109"/>
  <c r="BF49" i="46" s="1"/>
  <c r="Z8" i="148"/>
  <c r="G22" i="148"/>
  <c r="K24" i="148"/>
  <c r="AB8" i="148"/>
  <c r="O14" i="148" s="1"/>
  <c r="T62" i="148"/>
  <c r="S65" i="148"/>
  <c r="T65" i="148" s="1"/>
  <c r="Y85" i="148"/>
  <c r="AA85" i="148"/>
  <c r="K340" i="148" l="1"/>
  <c r="L340" i="148" s="1"/>
  <c r="L337" i="148"/>
  <c r="Y360" i="148"/>
  <c r="A19" i="126"/>
  <c r="F632" i="46"/>
  <c r="BG632" i="46" s="1"/>
  <c r="F633" i="46"/>
  <c r="BG633" i="46" s="1"/>
  <c r="A20" i="126"/>
  <c r="A21" i="126"/>
  <c r="A16" i="126"/>
  <c r="A14" i="126" s="1"/>
  <c r="F629" i="46"/>
  <c r="BG629" i="46" s="1"/>
  <c r="B46" i="46"/>
  <c r="O8" i="148"/>
  <c r="C1" i="148"/>
  <c r="R46" i="109"/>
  <c r="BF46" i="46" s="1"/>
  <c r="D46" i="46"/>
  <c r="S80" i="143"/>
  <c r="S250" i="143" s="1"/>
  <c r="S251" i="143" s="1"/>
  <c r="L250" i="143"/>
  <c r="L251" i="143" s="1"/>
  <c r="M80" i="143"/>
  <c r="W80" i="143"/>
  <c r="W250" i="143" s="1"/>
  <c r="E14" i="125"/>
  <c r="D20" i="122"/>
  <c r="M99" i="143"/>
  <c r="U99" i="143"/>
  <c r="U250" i="143" s="1"/>
  <c r="U251" i="143" s="1"/>
  <c r="K260" i="143" s="1"/>
  <c r="G25" i="152" s="1"/>
  <c r="G32" i="152" s="1"/>
  <c r="G33" i="152" s="1"/>
  <c r="Y250" i="143"/>
  <c r="G24" i="148"/>
  <c r="Y8" i="148"/>
  <c r="O10" i="148" s="1"/>
  <c r="K22" i="148"/>
  <c r="AA8" i="148"/>
  <c r="S8" i="148" s="1"/>
  <c r="A17" i="126" l="1"/>
  <c r="G29" i="132"/>
  <c r="Y251" i="143"/>
  <c r="G28" i="132"/>
  <c r="W251" i="143"/>
  <c r="M250" i="143"/>
  <c r="A84" i="126"/>
  <c r="A83" i="126"/>
  <c r="O12" i="148"/>
  <c r="G26" i="148"/>
  <c r="G45" i="132" l="1"/>
  <c r="G46" i="132" s="1"/>
  <c r="D529" i="109"/>
  <c r="AO529" i="46" s="1"/>
  <c r="D528" i="109"/>
  <c r="AO528" i="46" s="1"/>
  <c r="S529" i="109" l="1"/>
  <c r="S528" i="10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Krink, Torsten</author>
  </authors>
  <commentList>
    <comment ref="B35" authorId="0" shapeId="0" xr:uid="{00000000-0006-0000-0100-000001000000}">
      <text>
        <r>
          <rPr>
            <b/>
            <sz val="9"/>
            <color indexed="81"/>
            <rFont val="Tahoma"/>
            <family val="2"/>
          </rPr>
          <t>Krink, Torsten:</t>
        </r>
        <r>
          <rPr>
            <sz val="9"/>
            <color indexed="81"/>
            <rFont val="Tahoma"/>
            <family val="2"/>
          </rPr>
          <t xml:space="preserve">
enthält:
1x   Spiralkabel 4x0,14
2x   Spiralverschraubung
2x   Anschlusskasten
8x   Wago Verbindungsklemmen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Tiefnig, Eric</author>
  </authors>
  <commentList>
    <comment ref="B17" authorId="0" shapeId="0" xr:uid="{00000000-0006-0000-0600-000001000000}">
      <text>
        <r>
          <rPr>
            <b/>
            <sz val="9"/>
            <color indexed="81"/>
            <rFont val="Segoe UI"/>
            <family val="2"/>
          </rPr>
          <t>Tiefnig, Eric:</t>
        </r>
        <r>
          <rPr>
            <sz val="9"/>
            <color indexed="81"/>
            <rFont val="Segoe UI"/>
            <family val="2"/>
          </rPr>
          <t xml:space="preserve">
Deaktiviert von E.T. am 17.06.2020 auf Wunsch von Tillenberg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Bondhan Winduratnawindurat</author>
  </authors>
  <commentList>
    <comment ref="AN28" authorId="0" shapeId="0" xr:uid="{00000000-0006-0000-0800-000001000000}">
      <text>
        <r>
          <rPr>
            <b/>
            <sz val="8"/>
            <color indexed="81"/>
            <rFont val="Tahoma"/>
            <family val="2"/>
          </rPr>
          <t>Bondhan WinduratnawinduratGruppenauswahl</t>
        </r>
      </text>
    </comment>
    <comment ref="AN50" authorId="0" shapeId="0" xr:uid="{00000000-0006-0000-0800-000002000000}">
      <text>
        <r>
          <rPr>
            <b/>
            <sz val="8"/>
            <color indexed="81"/>
            <rFont val="Tahoma"/>
            <family val="2"/>
          </rPr>
          <t>Bondhan WinduratnawinduratGruppenauswahl</t>
        </r>
      </text>
    </comment>
    <comment ref="AN93" authorId="0" shapeId="0" xr:uid="{00000000-0006-0000-0800-000003000000}">
      <text>
        <r>
          <rPr>
            <b/>
            <sz val="8"/>
            <color indexed="81"/>
            <rFont val="Tahoma"/>
            <family val="2"/>
          </rPr>
          <t>Bondhan WinduratnawinduratGruppenauswahl</t>
        </r>
      </text>
    </comment>
    <comment ref="AN141" authorId="0" shapeId="0" xr:uid="{00000000-0006-0000-0800-000004000000}">
      <text>
        <r>
          <rPr>
            <b/>
            <sz val="8"/>
            <color indexed="81"/>
            <rFont val="Tahoma"/>
            <family val="2"/>
          </rPr>
          <t>Bondhan WinduratnawinduratGruppenauswahl</t>
        </r>
      </text>
    </comment>
    <comment ref="AN192" authorId="0" shapeId="0" xr:uid="{00000000-0006-0000-0800-000005000000}">
      <text>
        <r>
          <rPr>
            <b/>
            <sz val="8"/>
            <color indexed="81"/>
            <rFont val="Tahoma"/>
            <family val="2"/>
          </rPr>
          <t>Bondhan WinduratnawinduratGruppenauswahl</t>
        </r>
      </text>
    </comment>
    <comment ref="AN207" authorId="0" shapeId="0" xr:uid="{00000000-0006-0000-0800-000006000000}">
      <text>
        <r>
          <rPr>
            <b/>
            <sz val="8"/>
            <color indexed="81"/>
            <rFont val="Tahoma"/>
            <family val="2"/>
          </rPr>
          <t>Bondhan WinduratnawinduratGruppenauswahl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Meier, Christian</author>
    <author>Tiefnig, Eric</author>
  </authors>
  <commentList>
    <comment ref="P4" authorId="0" shapeId="0" xr:uid="{00000000-0006-0000-0900-000001000000}">
      <text>
        <r>
          <rPr>
            <b/>
            <sz val="9"/>
            <color indexed="81"/>
            <rFont val="Tahoma"/>
            <family val="2"/>
          </rPr>
          <t>Mengenangabe pro Anstrich</t>
        </r>
      </text>
    </comment>
    <comment ref="B45" authorId="1" shapeId="0" xr:uid="{00000000-0006-0000-0900-000002000000}">
      <text>
        <r>
          <rPr>
            <b/>
            <sz val="9"/>
            <color indexed="81"/>
            <rFont val="Segoe UI"/>
            <family val="2"/>
          </rPr>
          <t>Tiefnig, Eric:</t>
        </r>
        <r>
          <rPr>
            <sz val="9"/>
            <color indexed="81"/>
            <rFont val="Segoe UI"/>
            <family val="2"/>
          </rPr>
          <t xml:space="preserve">
Schieber aus Lichter Öffnung raus</t>
        </r>
      </text>
    </comment>
    <comment ref="Z86" authorId="1" shapeId="0" xr:uid="{00000000-0006-0000-0900-000003000000}">
      <text>
        <r>
          <rPr>
            <b/>
            <sz val="9"/>
            <color indexed="81"/>
            <rFont val="Segoe UI"/>
            <family val="2"/>
          </rPr>
          <t>Tiefnig, Eric:</t>
        </r>
        <r>
          <rPr>
            <sz val="9"/>
            <color indexed="81"/>
            <rFont val="Segoe UI"/>
            <family val="2"/>
          </rPr>
          <t xml:space="preserve">
+6/12kg Reserve für nicht berechnete Verkrallung bzw. Anbindung</t>
        </r>
      </text>
    </comment>
    <comment ref="AB86" authorId="1" shapeId="0" xr:uid="{00000000-0006-0000-0900-000004000000}">
      <text>
        <r>
          <rPr>
            <b/>
            <sz val="9"/>
            <color indexed="81"/>
            <rFont val="Segoe UI"/>
            <family val="2"/>
          </rPr>
          <t>Tiefnig, Eric:</t>
        </r>
        <r>
          <rPr>
            <sz val="9"/>
            <color indexed="81"/>
            <rFont val="Segoe UI"/>
            <family val="2"/>
          </rPr>
          <t xml:space="preserve">
+15kg Reserve für nicht berechnete Verkrallung bzw. Anbindung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Meier, Christian</author>
    <author>Tiefnig, Eric</author>
  </authors>
  <commentList>
    <comment ref="V191" authorId="0" shapeId="0" xr:uid="{00000000-0006-0000-0C00-000001000000}">
      <text>
        <r>
          <rPr>
            <b/>
            <sz val="9"/>
            <color indexed="81"/>
            <rFont val="Tahoma"/>
            <family val="2"/>
          </rPr>
          <t>Abschreibung über Montagematerial!</t>
        </r>
      </text>
    </comment>
    <comment ref="V243" authorId="1" shapeId="0" xr:uid="{00000000-0006-0000-0C00-000002000000}">
      <text>
        <r>
          <rPr>
            <b/>
            <sz val="9"/>
            <color indexed="81"/>
            <rFont val="Segoe UI"/>
            <family val="2"/>
          </rPr>
          <t>Tiefnig, Eric:</t>
        </r>
        <r>
          <rPr>
            <sz val="9"/>
            <color indexed="81"/>
            <rFont val="Segoe UI"/>
            <family val="2"/>
          </rPr>
          <t xml:space="preserve">
Wird in Lager &amp; Montagematerial abgeschrieben</t>
        </r>
      </text>
    </comment>
    <comment ref="V244" authorId="1" shapeId="0" xr:uid="{00000000-0006-0000-0C00-000003000000}">
      <text>
        <r>
          <rPr>
            <b/>
            <sz val="9"/>
            <color indexed="81"/>
            <rFont val="Segoe UI"/>
            <family val="2"/>
          </rPr>
          <t>Tiefnig, Eric:</t>
        </r>
        <r>
          <rPr>
            <sz val="9"/>
            <color indexed="81"/>
            <rFont val="Segoe UI"/>
            <family val="2"/>
          </rPr>
          <t xml:space="preserve">
Wird in Lager &amp; Montagematerial abgeschrieben</t>
        </r>
      </text>
    </comment>
    <comment ref="V518" authorId="1" shapeId="0" xr:uid="{00000000-0006-0000-0C00-000004000000}">
      <text>
        <r>
          <rPr>
            <b/>
            <sz val="9"/>
            <color indexed="81"/>
            <rFont val="Segoe UI"/>
            <family val="2"/>
          </rPr>
          <t>Tiefnig, Eric:</t>
        </r>
        <r>
          <rPr>
            <sz val="9"/>
            <color indexed="81"/>
            <rFont val="Segoe UI"/>
            <family val="2"/>
          </rPr>
          <t xml:space="preserve">
Wird über Lager &amp; Montagematerial abgeschrieben</t>
        </r>
      </text>
    </comment>
    <comment ref="V519" authorId="1" shapeId="0" xr:uid="{00000000-0006-0000-0C00-000005000000}">
      <text>
        <r>
          <rPr>
            <b/>
            <sz val="9"/>
            <color indexed="81"/>
            <rFont val="Segoe UI"/>
            <family val="2"/>
          </rPr>
          <t>Tiefnig, Eric:</t>
        </r>
        <r>
          <rPr>
            <sz val="9"/>
            <color indexed="81"/>
            <rFont val="Segoe UI"/>
            <family val="2"/>
          </rPr>
          <t xml:space="preserve">
Wird über Lager &amp; Montagematerial abgeschrieben</t>
        </r>
      </text>
    </comment>
    <comment ref="V520" authorId="1" shapeId="0" xr:uid="{00000000-0006-0000-0C00-000006000000}">
      <text>
        <r>
          <rPr>
            <b/>
            <sz val="9"/>
            <color indexed="81"/>
            <rFont val="Segoe UI"/>
            <family val="2"/>
          </rPr>
          <t>Tiefnig, Eric:</t>
        </r>
        <r>
          <rPr>
            <sz val="9"/>
            <color indexed="81"/>
            <rFont val="Segoe UI"/>
            <family val="2"/>
          </rPr>
          <t xml:space="preserve">
Wird über Lager &amp; Montagematerial abgeschrieben</t>
        </r>
      </text>
    </comment>
    <comment ref="V521" authorId="1" shapeId="0" xr:uid="{00000000-0006-0000-0C00-000007000000}">
      <text>
        <r>
          <rPr>
            <b/>
            <sz val="9"/>
            <color indexed="81"/>
            <rFont val="Segoe UI"/>
            <family val="2"/>
          </rPr>
          <t>Tiefnig, Eric:</t>
        </r>
        <r>
          <rPr>
            <sz val="9"/>
            <color indexed="81"/>
            <rFont val="Segoe UI"/>
            <family val="2"/>
          </rPr>
          <t xml:space="preserve">
Wird über Lager &amp; Montagematerial abgeschrieben</t>
        </r>
      </text>
    </comment>
    <comment ref="V522" authorId="1" shapeId="0" xr:uid="{00000000-0006-0000-0C00-000008000000}">
      <text>
        <r>
          <rPr>
            <b/>
            <sz val="9"/>
            <color indexed="81"/>
            <rFont val="Segoe UI"/>
            <family val="2"/>
          </rPr>
          <t>Tiefnig, Eric:</t>
        </r>
        <r>
          <rPr>
            <sz val="9"/>
            <color indexed="81"/>
            <rFont val="Segoe UI"/>
            <family val="2"/>
          </rPr>
          <t xml:space="preserve">
Wird über Lager &amp; Montagematerial abgeschrieben</t>
        </r>
      </text>
    </comment>
    <comment ref="V523" authorId="1" shapeId="0" xr:uid="{00000000-0006-0000-0C00-000009000000}">
      <text>
        <r>
          <rPr>
            <b/>
            <sz val="9"/>
            <color indexed="81"/>
            <rFont val="Segoe UI"/>
            <family val="2"/>
          </rPr>
          <t>Tiefnig, Eric:</t>
        </r>
        <r>
          <rPr>
            <sz val="9"/>
            <color indexed="81"/>
            <rFont val="Segoe UI"/>
            <family val="2"/>
          </rPr>
          <t xml:space="preserve">
Wird über Lager &amp; Montagematerial abgeschrieben</t>
        </r>
      </text>
    </comment>
    <comment ref="V524" authorId="1" shapeId="0" xr:uid="{00000000-0006-0000-0C00-00000A000000}">
      <text>
        <r>
          <rPr>
            <b/>
            <sz val="9"/>
            <color indexed="81"/>
            <rFont val="Segoe UI"/>
            <family val="2"/>
          </rPr>
          <t>Tiefnig, Eric:</t>
        </r>
        <r>
          <rPr>
            <sz val="9"/>
            <color indexed="81"/>
            <rFont val="Segoe UI"/>
            <family val="2"/>
          </rPr>
          <t xml:space="preserve">
Wird über Lager &amp; Montagematerial abgeschrieben</t>
        </r>
      </text>
    </comment>
    <comment ref="V525" authorId="1" shapeId="0" xr:uid="{00000000-0006-0000-0C00-00000B000000}">
      <text>
        <r>
          <rPr>
            <b/>
            <sz val="9"/>
            <color indexed="81"/>
            <rFont val="Segoe UI"/>
            <family val="2"/>
          </rPr>
          <t>Tiefnig, Eric:</t>
        </r>
        <r>
          <rPr>
            <sz val="9"/>
            <color indexed="81"/>
            <rFont val="Segoe UI"/>
            <family val="2"/>
          </rPr>
          <t xml:space="preserve">
Wird über Lager &amp; Montagematerial abgeschrieben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Meier, Christian</author>
  </authors>
  <commentList>
    <comment ref="A17" authorId="0" shapeId="0" xr:uid="{00000000-0006-0000-0E00-000001000000}">
      <text>
        <r>
          <rPr>
            <b/>
            <sz val="48"/>
            <color indexed="81"/>
            <rFont val="Tahoma"/>
            <family val="2"/>
          </rPr>
          <t>Baustelle!</t>
        </r>
        <r>
          <rPr>
            <sz val="48"/>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krink</author>
  </authors>
  <commentList>
    <comment ref="N11" authorId="0" shapeId="0" xr:uid="{00000000-0006-0000-1E00-000001000000}">
      <text>
        <r>
          <rPr>
            <b/>
            <sz val="9"/>
            <color indexed="81"/>
            <rFont val="Tahoma"/>
            <family val="2"/>
          </rPr>
          <t>nicht alle Materialnummern sind automatisiert, bitte überprüfen</t>
        </r>
      </text>
    </comment>
  </commentList>
</comments>
</file>

<file path=xl/sharedStrings.xml><?xml version="1.0" encoding="utf-8"?>
<sst xmlns="http://schemas.openxmlformats.org/spreadsheetml/2006/main" count="42976" uniqueCount="31524">
  <si>
    <t>Logbuch Ausschreibung GCC vertikal</t>
  </si>
  <si>
    <t>Auftragsnr</t>
  </si>
  <si>
    <t>Fertigungsunterlagen [mm]</t>
  </si>
  <si>
    <t>Checkliste</t>
  </si>
  <si>
    <t>Fläche
 [m²]</t>
  </si>
  <si>
    <t>Intumat</t>
  </si>
  <si>
    <t>0204150 / Firefly 102 2mm</t>
  </si>
  <si>
    <t>0204152 / Firefly 102  t=6mm</t>
  </si>
  <si>
    <t xml:space="preserve">0204153 / Firefly 102, 2mm  selbstklebend  </t>
  </si>
  <si>
    <t xml:space="preserve">0204154 / Firefly 102, 6mm  selbstklebend </t>
  </si>
  <si>
    <t>M2</t>
  </si>
  <si>
    <t>Auftrags-Nr. :</t>
  </si>
  <si>
    <t>erl.</t>
  </si>
  <si>
    <t>AB-Pos :</t>
  </si>
  <si>
    <r>
      <t>Besonderheiten</t>
    </r>
    <r>
      <rPr>
        <sz val="12"/>
        <rFont val="Arial"/>
        <family val="2"/>
      </rPr>
      <t>:</t>
    </r>
  </si>
  <si>
    <r>
      <t>Besonderheiten</t>
    </r>
    <r>
      <rPr>
        <sz val="12"/>
        <rFont val="Arial"/>
        <family val="2"/>
      </rPr>
      <t>:</t>
    </r>
  </si>
  <si>
    <t>t</t>
  </si>
  <si>
    <t>L</t>
  </si>
  <si>
    <t>B (Z)</t>
  </si>
  <si>
    <t>000003</t>
  </si>
  <si>
    <t>000004</t>
  </si>
  <si>
    <t>000005</t>
  </si>
  <si>
    <t>000006</t>
  </si>
  <si>
    <t>000007</t>
  </si>
  <si>
    <t>000008</t>
  </si>
  <si>
    <t>000009</t>
  </si>
  <si>
    <t>000011</t>
  </si>
  <si>
    <t>000012</t>
  </si>
  <si>
    <t>000013</t>
  </si>
  <si>
    <t>000014</t>
  </si>
  <si>
    <t>000015</t>
  </si>
  <si>
    <t>000016</t>
  </si>
  <si>
    <t>000017</t>
  </si>
  <si>
    <t>000018</t>
  </si>
  <si>
    <t>000019</t>
  </si>
  <si>
    <t>000020</t>
  </si>
  <si>
    <t>000021</t>
  </si>
  <si>
    <t>000022</t>
  </si>
  <si>
    <t>000023</t>
  </si>
  <si>
    <t>000024</t>
  </si>
  <si>
    <t>000025</t>
  </si>
  <si>
    <t>000026</t>
  </si>
  <si>
    <t>000027</t>
  </si>
  <si>
    <t>000028</t>
  </si>
  <si>
    <t>000029</t>
  </si>
  <si>
    <t>000030</t>
  </si>
  <si>
    <t>000033</t>
  </si>
  <si>
    <t>000034</t>
  </si>
  <si>
    <t>000035</t>
  </si>
  <si>
    <t>000036</t>
  </si>
  <si>
    <t>000037</t>
  </si>
  <si>
    <t>000038</t>
  </si>
  <si>
    <t>000039</t>
  </si>
  <si>
    <t>Stk</t>
  </si>
  <si>
    <t>M</t>
  </si>
  <si>
    <t>Abschl.</t>
  </si>
  <si>
    <t>Kleinteilfertigung</t>
  </si>
  <si>
    <t>Termin nach Vorgabe der Kompetenzgruppe</t>
  </si>
  <si>
    <t>Ergebnis</t>
  </si>
  <si>
    <t>Tiefe</t>
  </si>
  <si>
    <t>DXF</t>
  </si>
  <si>
    <t>Menge</t>
  </si>
  <si>
    <t>Einheit</t>
  </si>
  <si>
    <t>vorbeugende Fehleranalyse</t>
  </si>
  <si>
    <t>Fehlerbeschreibung</t>
  </si>
  <si>
    <t>Text</t>
  </si>
  <si>
    <t>Konstrukteur</t>
  </si>
  <si>
    <t>Breite</t>
  </si>
  <si>
    <t>Anzahl</t>
  </si>
  <si>
    <t>Länge</t>
  </si>
  <si>
    <t>E-Werkstatt</t>
  </si>
  <si>
    <t>Art.Nr. Auftragsposition:</t>
  </si>
  <si>
    <t>Bennenung</t>
  </si>
  <si>
    <t>B</t>
  </si>
  <si>
    <t>ja/nein</t>
  </si>
  <si>
    <t>Bauteil lackiert ?</t>
  </si>
  <si>
    <t>ja</t>
  </si>
  <si>
    <t>nein</t>
  </si>
  <si>
    <t>an B2</t>
  </si>
  <si>
    <t>überg.</t>
  </si>
  <si>
    <t>Maske</t>
  </si>
  <si>
    <t>Auftragsnummer:</t>
  </si>
  <si>
    <t>Position:</t>
  </si>
  <si>
    <t>Art.Nr. Auftragspos.</t>
  </si>
  <si>
    <t>Zusatzinfo</t>
  </si>
  <si>
    <t>Lackierstückliste</t>
  </si>
  <si>
    <t xml:space="preserve">0202003 / Promatect-H 6  </t>
  </si>
  <si>
    <t xml:space="preserve">0202010 / Promatect-H 10 </t>
  </si>
  <si>
    <t xml:space="preserve">0202012 / Promatect-H 12 </t>
  </si>
  <si>
    <t xml:space="preserve">0202015 / Promatect-H 15 </t>
  </si>
  <si>
    <t xml:space="preserve">0202020 / Promatect-H 20 </t>
  </si>
  <si>
    <t>Rohr</t>
  </si>
  <si>
    <t>1402000</t>
  </si>
  <si>
    <t>Kostenstelle</t>
  </si>
  <si>
    <t xml:space="preserve">0202024 / Promatect-H 25 </t>
  </si>
  <si>
    <t xml:space="preserve">0202030 / Promatect-L 30 </t>
  </si>
  <si>
    <t>Status</t>
  </si>
  <si>
    <t>Datum :</t>
  </si>
  <si>
    <t>0125020</t>
  </si>
  <si>
    <t>Datum der Übergabe:</t>
  </si>
  <si>
    <t>Datum</t>
  </si>
  <si>
    <t>KTF</t>
  </si>
  <si>
    <t>000010</t>
  </si>
  <si>
    <t>Größe [mm]</t>
  </si>
  <si>
    <t>Artikelnr.</t>
  </si>
  <si>
    <t>Stückzahl 
    [Stk]</t>
  </si>
  <si>
    <t>Auftragsnummer</t>
  </si>
  <si>
    <t>Stahlzuschnitt</t>
  </si>
  <si>
    <t>Blechfertigung</t>
  </si>
  <si>
    <t>Material</t>
  </si>
  <si>
    <t>Anzahl :</t>
  </si>
  <si>
    <t>Farbe</t>
  </si>
  <si>
    <t>000040</t>
  </si>
  <si>
    <t>000041</t>
  </si>
  <si>
    <t>000045</t>
  </si>
  <si>
    <t>000046</t>
  </si>
  <si>
    <t>000047</t>
  </si>
  <si>
    <t>000048</t>
  </si>
  <si>
    <t>000049</t>
  </si>
  <si>
    <t>000050</t>
  </si>
  <si>
    <t>000051</t>
  </si>
  <si>
    <t>000052</t>
  </si>
  <si>
    <t>000053</t>
  </si>
  <si>
    <t>000054</t>
  </si>
  <si>
    <t>000055</t>
  </si>
  <si>
    <t>000056</t>
  </si>
  <si>
    <t>000057</t>
  </si>
  <si>
    <t>000058</t>
  </si>
  <si>
    <t>000059</t>
  </si>
  <si>
    <t>000060</t>
  </si>
  <si>
    <t>000061</t>
  </si>
  <si>
    <t>000062</t>
  </si>
  <si>
    <t>000063</t>
  </si>
  <si>
    <t>000064</t>
  </si>
  <si>
    <t>000065</t>
  </si>
  <si>
    <t>000066</t>
  </si>
  <si>
    <t>000067</t>
  </si>
  <si>
    <t>000068</t>
  </si>
  <si>
    <t>000069</t>
  </si>
  <si>
    <t>000070</t>
  </si>
  <si>
    <t>000071</t>
  </si>
  <si>
    <t>000072</t>
  </si>
  <si>
    <t>000073</t>
  </si>
  <si>
    <t>000074</t>
  </si>
  <si>
    <t>000075</t>
  </si>
  <si>
    <t>000076</t>
  </si>
  <si>
    <t>000077</t>
  </si>
  <si>
    <t>000078</t>
  </si>
  <si>
    <t>000079</t>
  </si>
  <si>
    <t>000080</t>
  </si>
  <si>
    <t>000081</t>
  </si>
  <si>
    <t>000082</t>
  </si>
  <si>
    <t>000083</t>
  </si>
  <si>
    <t>000084</t>
  </si>
  <si>
    <t>000085</t>
  </si>
  <si>
    <t>000086</t>
  </si>
  <si>
    <t>000087</t>
  </si>
  <si>
    <t>000088</t>
  </si>
  <si>
    <t>000089</t>
  </si>
  <si>
    <t>000090</t>
  </si>
  <si>
    <t>000091</t>
  </si>
  <si>
    <t>000092</t>
  </si>
  <si>
    <t>000093</t>
  </si>
  <si>
    <t>000094</t>
  </si>
  <si>
    <t>000095</t>
  </si>
  <si>
    <t>000096</t>
  </si>
  <si>
    <t>000097</t>
  </si>
  <si>
    <t>000098</t>
  </si>
  <si>
    <t>000099</t>
  </si>
  <si>
    <t>000100</t>
  </si>
  <si>
    <t>000101</t>
  </si>
  <si>
    <t>000102</t>
  </si>
  <si>
    <t>000103</t>
  </si>
  <si>
    <t>000104</t>
  </si>
  <si>
    <t>000105</t>
  </si>
  <si>
    <t>000106</t>
  </si>
  <si>
    <t>000107</t>
  </si>
  <si>
    <t>000108</t>
  </si>
  <si>
    <t>000109</t>
  </si>
  <si>
    <t>000110</t>
  </si>
  <si>
    <t>000111</t>
  </si>
  <si>
    <t>000112</t>
  </si>
  <si>
    <t>000113</t>
  </si>
  <si>
    <t>000114</t>
  </si>
  <si>
    <t>000115</t>
  </si>
  <si>
    <t>000116</t>
  </si>
  <si>
    <t>000117</t>
  </si>
  <si>
    <t>000118</t>
  </si>
  <si>
    <t>000119</t>
  </si>
  <si>
    <t>000120</t>
  </si>
  <si>
    <t>000121</t>
  </si>
  <si>
    <t>000122</t>
  </si>
  <si>
    <t>000123</t>
  </si>
  <si>
    <t>000124</t>
  </si>
  <si>
    <t>000125</t>
  </si>
  <si>
    <t>000126</t>
  </si>
  <si>
    <t>000127</t>
  </si>
  <si>
    <t>000128</t>
  </si>
  <si>
    <t>000129</t>
  </si>
  <si>
    <t>000130</t>
  </si>
  <si>
    <t>000131</t>
  </si>
  <si>
    <t>000132</t>
  </si>
  <si>
    <t>000133</t>
  </si>
  <si>
    <t>000134</t>
  </si>
  <si>
    <t>000135</t>
  </si>
  <si>
    <t>000136</t>
  </si>
  <si>
    <t>000137</t>
  </si>
  <si>
    <t>000138</t>
  </si>
  <si>
    <t>000144</t>
  </si>
  <si>
    <t>000145</t>
  </si>
  <si>
    <t>000146</t>
  </si>
  <si>
    <t>000147</t>
  </si>
  <si>
    <t>000149</t>
  </si>
  <si>
    <t>000150</t>
  </si>
  <si>
    <t>000151</t>
  </si>
  <si>
    <t>000152</t>
  </si>
  <si>
    <t>000153</t>
  </si>
  <si>
    <t>000154</t>
  </si>
  <si>
    <t>000155</t>
  </si>
  <si>
    <t>000156</t>
  </si>
  <si>
    <t>000157</t>
  </si>
  <si>
    <t>000158</t>
  </si>
  <si>
    <t>000159</t>
  </si>
  <si>
    <t>000160</t>
  </si>
  <si>
    <t>000161</t>
  </si>
  <si>
    <t>000162</t>
  </si>
  <si>
    <t>000163</t>
  </si>
  <si>
    <t>000164</t>
  </si>
  <si>
    <t>000165</t>
  </si>
  <si>
    <t>000166</t>
  </si>
  <si>
    <t>000167</t>
  </si>
  <si>
    <t>000173</t>
  </si>
  <si>
    <t>000174</t>
  </si>
  <si>
    <t>Bestellteile</t>
  </si>
  <si>
    <t>000175</t>
  </si>
  <si>
    <t>000176</t>
  </si>
  <si>
    <t>000177</t>
  </si>
  <si>
    <t>APL</t>
  </si>
  <si>
    <t>Stückzahl 
[Stk]</t>
  </si>
  <si>
    <t>000178</t>
  </si>
  <si>
    <t>000179</t>
  </si>
  <si>
    <t>000180</t>
  </si>
  <si>
    <t>000181</t>
  </si>
  <si>
    <t>000182</t>
  </si>
  <si>
    <t>000183</t>
  </si>
  <si>
    <t>000184</t>
  </si>
  <si>
    <t>000190</t>
  </si>
  <si>
    <t>000191</t>
  </si>
  <si>
    <t>000192</t>
  </si>
  <si>
    <t>000193</t>
  </si>
  <si>
    <t>000194</t>
  </si>
  <si>
    <t>000195</t>
  </si>
  <si>
    <t>000196</t>
  </si>
  <si>
    <t>000197</t>
  </si>
  <si>
    <t>000198</t>
  </si>
  <si>
    <t>000199</t>
  </si>
  <si>
    <t>000200</t>
  </si>
  <si>
    <t>000201</t>
  </si>
  <si>
    <t>000210</t>
  </si>
  <si>
    <t>000215</t>
  </si>
  <si>
    <t>000216</t>
  </si>
  <si>
    <t>000217</t>
  </si>
  <si>
    <t>000218</t>
  </si>
  <si>
    <t>000223</t>
  </si>
  <si>
    <t>000224</t>
  </si>
  <si>
    <t>000225</t>
  </si>
  <si>
    <t>000226</t>
  </si>
  <si>
    <t>000227</t>
  </si>
  <si>
    <t>000228</t>
  </si>
  <si>
    <t>000229</t>
  </si>
  <si>
    <t>000230</t>
  </si>
  <si>
    <t>000231</t>
  </si>
  <si>
    <t>000232</t>
  </si>
  <si>
    <t>000233</t>
  </si>
  <si>
    <t>Gipskarton Raumseite aussen</t>
  </si>
  <si>
    <t>Gipskarton Raumseite innen</t>
  </si>
  <si>
    <t>Element oben</t>
  </si>
  <si>
    <t>Blechinnenlage</t>
  </si>
  <si>
    <t>Element mitte</t>
  </si>
  <si>
    <t>Element unten</t>
  </si>
  <si>
    <t>0202020</t>
  </si>
  <si>
    <t>Endschalter Siemenspositionsschalter</t>
  </si>
  <si>
    <t>0812002</t>
  </si>
  <si>
    <t>Arbeitsvorbereitung</t>
  </si>
  <si>
    <t>Produktionskontrolle</t>
  </si>
  <si>
    <t>Verladen</t>
  </si>
  <si>
    <t>Zusammenstellen und Verpacken Kompetenzgruppe</t>
  </si>
  <si>
    <t>0708157</t>
  </si>
  <si>
    <t>letzte Speicherung:</t>
  </si>
  <si>
    <t>Name</t>
  </si>
  <si>
    <t>Version</t>
  </si>
  <si>
    <t>Dateiname</t>
  </si>
  <si>
    <t>Änderungen</t>
  </si>
  <si>
    <t>0708161</t>
  </si>
  <si>
    <t xml:space="preserve">0708161 / GKF 12,5mm </t>
  </si>
  <si>
    <t xml:space="preserve">0708157 / Fireboard 12,5mm </t>
  </si>
  <si>
    <t xml:space="preserve">0202011 / Fireboard 20mm </t>
  </si>
  <si>
    <t>Verwendung</t>
  </si>
  <si>
    <t>Dichtrahmen horizontal</t>
  </si>
  <si>
    <t>Stückzahl</t>
  </si>
  <si>
    <t>Auftragsabwickler :</t>
  </si>
  <si>
    <t>Auftragsabwickler</t>
  </si>
  <si>
    <t>Zuschnitt Brandschutzbauplatten</t>
  </si>
  <si>
    <t>Komplettelement</t>
  </si>
  <si>
    <t>Element mitte Aussenlagen</t>
  </si>
  <si>
    <t>Komplettelement Innenlagen</t>
  </si>
  <si>
    <t>Komplettelement Aussenlagen</t>
  </si>
  <si>
    <t>Element mitte Innenlagen</t>
  </si>
  <si>
    <t>Element oben Wands. Innenl.</t>
  </si>
  <si>
    <t>Element oben Wands. Aussenl.</t>
  </si>
  <si>
    <t>Element oben Raums. Innenl.</t>
  </si>
  <si>
    <t>Element oben Raums. Aussenl.</t>
  </si>
  <si>
    <t>Element unten Raums. Aussenl.</t>
  </si>
  <si>
    <t>Element unten Raums. Innenl.</t>
  </si>
  <si>
    <t>Element unten Wands. Innenl.</t>
  </si>
  <si>
    <t>Element unten Wands. Aussenl.</t>
  </si>
  <si>
    <t>Aufdopplung</t>
  </si>
  <si>
    <t>Unterkante Wandöffnung</t>
  </si>
  <si>
    <t>lichte Rohbauöffnungsbreite:</t>
  </si>
  <si>
    <t>lichte Rohbauöffnungshöhe:</t>
  </si>
  <si>
    <t>Abschottungstyp</t>
  </si>
  <si>
    <t>Festfeld</t>
  </si>
  <si>
    <t>r0</t>
  </si>
  <si>
    <t>r2</t>
  </si>
  <si>
    <t>r3</t>
  </si>
  <si>
    <t>r4</t>
  </si>
  <si>
    <t>k2</t>
  </si>
  <si>
    <t>k3</t>
  </si>
  <si>
    <t>k4</t>
  </si>
  <si>
    <t>k5</t>
  </si>
  <si>
    <t>Abschottungstypen</t>
  </si>
  <si>
    <t>mit</t>
  </si>
  <si>
    <t>ohne</t>
  </si>
  <si>
    <t>wandhängend (auf Konsolen)</t>
  </si>
  <si>
    <r>
      <t>B7</t>
    </r>
    <r>
      <rPr>
        <b/>
        <sz val="8"/>
        <rFont val="Arial"/>
        <family val="2"/>
      </rPr>
      <t xml:space="preserve"> </t>
    </r>
    <r>
      <rPr>
        <sz val="8"/>
        <rFont val="Arial"/>
        <family val="2"/>
      </rPr>
      <t>Übergabe</t>
    </r>
  </si>
  <si>
    <t>Auftargsabwickler</t>
  </si>
  <si>
    <t>Hinweis/DXF</t>
  </si>
  <si>
    <t>Zuschnitt</t>
  </si>
  <si>
    <t>Schieberbauteil</t>
  </si>
  <si>
    <t>GCC vertikal</t>
  </si>
  <si>
    <t>ECClos-S vertikal</t>
  </si>
  <si>
    <t>System</t>
  </si>
  <si>
    <t>2400mm x 2800mm</t>
  </si>
  <si>
    <t>Festfeldbereich 400mm</t>
  </si>
  <si>
    <t>1 Abschottung r3</t>
  </si>
  <si>
    <t>Arbeitsschritte</t>
  </si>
  <si>
    <t>vorbereiten Fördertechnik (intumest Abschottung zwischen den Gurten)</t>
  </si>
  <si>
    <t>Vorbereiten Deckplatten Festfeld Montage Rückseite</t>
  </si>
  <si>
    <t>Zuschneiden Porenbetonsteine</t>
  </si>
  <si>
    <t>Zuschneiden und zusammenspaxen Festfeldfüllung</t>
  </si>
  <si>
    <t>Zuschneiden Festfelddeckplatte</t>
  </si>
  <si>
    <t>anmischen Dünnbettmörtel</t>
  </si>
  <si>
    <t>mauern Festfeldkörper</t>
  </si>
  <si>
    <t>vorbereiten und einkleben Fördertechnikmanschette</t>
  </si>
  <si>
    <t>Vergleich Montageablauf Montagezeiten GCC/ECClos-S</t>
  </si>
  <si>
    <t>Montage Festfeldkonsolen (5 Konsolen = 10 Befestigungspunkte)</t>
  </si>
  <si>
    <t>aufkleben Festfelddeckplatte</t>
  </si>
  <si>
    <t>vorbereiten und einkleben und versiegeln Mineralwollmanschette</t>
  </si>
  <si>
    <t>Montage seitliche Festfeldbefestigung (2 x 2 Befestigungspunkte)</t>
  </si>
  <si>
    <t>Bemerkung</t>
  </si>
  <si>
    <t>Dichtrahmen</t>
  </si>
  <si>
    <t>Befestigung Plattenstreifen Dichtrahmen ( 15 Befestigungspunkte Nageldübel 6 x 80)</t>
  </si>
  <si>
    <t>Befestigung obere Verkrallung ( 5 befestigungspunkte)</t>
  </si>
  <si>
    <t>Antrieb</t>
  </si>
  <si>
    <t>anzeichnen Position Motorwandplatte</t>
  </si>
  <si>
    <t>Befestigung Motorwandplatte (3 Befestigungspunkte)</t>
  </si>
  <si>
    <t>anzeichnen Position Konsolen</t>
  </si>
  <si>
    <t>-</t>
  </si>
  <si>
    <t>Schieberführung (eine Seite)</t>
  </si>
  <si>
    <t>anzeichnen, bohren und anschrauben (6 Befstigungspunkte)</t>
  </si>
  <si>
    <t>vormontieren Schieberführung, anzeichnen, bohren und anschrauben (7 Befestigungspunkte)</t>
  </si>
  <si>
    <t>einschieben Antrieb und gegen verschieben sichern</t>
  </si>
  <si>
    <t>Hebezeug</t>
  </si>
  <si>
    <t>montage Kettenzug o.Ä.</t>
  </si>
  <si>
    <t xml:space="preserve">elektrischer anschluss Motor ggf. mit montagesteuerung </t>
  </si>
  <si>
    <t>Zusammenbau hochheben Antrieb</t>
  </si>
  <si>
    <t>Befestigung Antrieb bzw. Antriebsbauteile ( 4 Befestigungspunkte)</t>
  </si>
  <si>
    <t>Schieberblatt</t>
  </si>
  <si>
    <t>Zeit</t>
  </si>
  <si>
    <t>ankoppeln oberes Schieberelement an Antrieb und hochfahren</t>
  </si>
  <si>
    <t>Vorbereiten unterer Schieberrahmen und Positionieren auf Festfeld</t>
  </si>
  <si>
    <t xml:space="preserve">eventuell muss (z.B. bei Tragkettenförderern) auf dem Festfeld eine Ebene geschaffen werden um die Elemente positionieren zu können </t>
  </si>
  <si>
    <t>Positionieren des nächsten Elementes herablassen des Oberen Elementes bzw. der oberen Elemente</t>
  </si>
  <si>
    <t>Verbinden der Elemente und hochfahren</t>
  </si>
  <si>
    <t>Einheben des ersten Elementes</t>
  </si>
  <si>
    <t>sichern des ersten Elementes mit der Führungsschiene gegen umfallen</t>
  </si>
  <si>
    <t>einstecken der Verbindungsfeder</t>
  </si>
  <si>
    <t>Einheben des nächsten Elementes</t>
  </si>
  <si>
    <t>Auflegen des oberen Schieberrahmens</t>
  </si>
  <si>
    <t>Zusammenzurren des Schieberblatts, Maßkontrolle  und ggf. ausrichten</t>
  </si>
  <si>
    <t>verschrauben des oberen Rahmens</t>
  </si>
  <si>
    <t>verbohren und vernieten aller Element und Rahmenverbindungen</t>
  </si>
  <si>
    <t>montage der Gurtanbindung</t>
  </si>
  <si>
    <t>Verbinden der Elemente</t>
  </si>
  <si>
    <t>Schieberführung (zweite Seite)</t>
  </si>
  <si>
    <t>Gleitstücke</t>
  </si>
  <si>
    <t>montage der Gleitstücke</t>
  </si>
  <si>
    <t>Einstellarbeiten</t>
  </si>
  <si>
    <t>Testfahrt und ausrichten der Gurte bzw. der Gurtanbindung bzw. der Antriebseinheit</t>
  </si>
  <si>
    <t>anpassen des unteren Elementes an die Fördertechnik</t>
  </si>
  <si>
    <t>Ausrichten der Gurte</t>
  </si>
  <si>
    <t>Ausrichten der Führungsschiene</t>
  </si>
  <si>
    <t>Testfahrt</t>
  </si>
  <si>
    <t>Montage Endschalter</t>
  </si>
  <si>
    <t>Vernieten der Schieberführung</t>
  </si>
  <si>
    <t>Montage der  oberen Schieberverkrallung</t>
  </si>
  <si>
    <t>Vernieten der Verkrallungen</t>
  </si>
  <si>
    <t xml:space="preserve">abschließende Testfahrt </t>
  </si>
  <si>
    <t xml:space="preserve">Montage Schaltfahne ggf. Endschalter </t>
  </si>
  <si>
    <t>Montage Deckplatten vorne und hinten</t>
  </si>
  <si>
    <t>Montage der Verkrallungsmuttern (5 Befestigungspunkte)</t>
  </si>
  <si>
    <t>Transport zum Einbauort</t>
  </si>
  <si>
    <t>Verbohren und Vernieten Schieberführung</t>
  </si>
  <si>
    <t>Summe in Minuten (2 Personen)</t>
  </si>
  <si>
    <t>Summe in Stunden (2 Personen)</t>
  </si>
  <si>
    <t>Kosten (Stunden x 2 x 30,00€</t>
  </si>
  <si>
    <t>Abweichung</t>
  </si>
  <si>
    <t>Auswertung</t>
  </si>
  <si>
    <t>Lichte Rohbaubreite</t>
  </si>
  <si>
    <t>Lichte Rohbauhöhe</t>
  </si>
  <si>
    <t>Schieberblattbreite</t>
  </si>
  <si>
    <t>Wandüberdeckung oben</t>
  </si>
  <si>
    <t>Maß Intumestzierendes
Material an Unterkante</t>
  </si>
  <si>
    <t>Materialstärke Intumest</t>
  </si>
  <si>
    <t>Niveau Schließkante
(Bezug UK Lichte)</t>
  </si>
  <si>
    <t>Festfeldhöhe</t>
  </si>
  <si>
    <t>Einbaulage Festfeld / Schließkante</t>
  </si>
  <si>
    <t>bodenstehend/bodenschließend</t>
  </si>
  <si>
    <t>Festfeldüberdeckung</t>
  </si>
  <si>
    <t>Schieberblatthöhe insgesamt</t>
  </si>
  <si>
    <t>Schieberblatthöhe ohne Intumest</t>
  </si>
  <si>
    <t>Gesamthöhe Gipsplatten Schieberblatt</t>
  </si>
  <si>
    <t>Gesamtbreite Gipsplatten Schieberblatt</t>
  </si>
  <si>
    <t>GCC horizontal Schieberführung Ausrückhalter</t>
  </si>
  <si>
    <t>0202024</t>
  </si>
  <si>
    <t>0204153</t>
  </si>
  <si>
    <t>Auflaufkonsolen</t>
  </si>
  <si>
    <t>Anbauteile oben</t>
  </si>
  <si>
    <t>Zeichnungsnummer:</t>
  </si>
  <si>
    <t>Material:</t>
  </si>
  <si>
    <t>Teile-Nr.:</t>
  </si>
  <si>
    <t>AB - Pos.</t>
  </si>
  <si>
    <t>Schließrichtung:</t>
  </si>
  <si>
    <t>Bauvorhaben:</t>
  </si>
  <si>
    <t>Stückzahl:</t>
  </si>
  <si>
    <t>Oberfläche:</t>
  </si>
  <si>
    <t>Endtermin:</t>
  </si>
  <si>
    <t>Aussteller:</t>
  </si>
  <si>
    <t>Datum:</t>
  </si>
  <si>
    <t>links</t>
  </si>
  <si>
    <t>rechts</t>
  </si>
  <si>
    <t>Bezeichnung</t>
  </si>
  <si>
    <t>Art. Nr.</t>
  </si>
  <si>
    <t>Schieberelemente</t>
  </si>
  <si>
    <t>Produktschild:</t>
  </si>
  <si>
    <t>Verpackung:</t>
  </si>
  <si>
    <t>CE-Kennzeichnung</t>
  </si>
  <si>
    <t>Brandschutzqualität:</t>
  </si>
  <si>
    <t>Erledigt</t>
  </si>
  <si>
    <t>Antriebsfertigung</t>
  </si>
  <si>
    <t>Antriebssystem:</t>
  </si>
  <si>
    <t>Baugruppe:</t>
  </si>
  <si>
    <t>Dämpfungsrichtung</t>
  </si>
  <si>
    <r>
      <t>Einbaulage des Motorgetriebes bzw. die Antriebsunterkante mit</t>
    </r>
    <r>
      <rPr>
        <b/>
        <sz val="20"/>
        <rFont val="Arial"/>
        <family val="2"/>
      </rPr>
      <t xml:space="preserve"> -</t>
    </r>
    <r>
      <rPr>
        <b/>
        <sz val="16"/>
        <rFont val="Arial"/>
        <family val="2"/>
      </rPr>
      <t xml:space="preserve"> </t>
    </r>
    <r>
      <rPr>
        <sz val="12"/>
        <rFont val="Arial"/>
        <family val="2"/>
      </rPr>
      <t>kennzeichnen</t>
    </r>
  </si>
  <si>
    <t>V2A</t>
  </si>
  <si>
    <t>Stahlblech verzinkt</t>
  </si>
  <si>
    <t>0305180</t>
  </si>
  <si>
    <t>0806308</t>
  </si>
  <si>
    <t>0335180</t>
  </si>
  <si>
    <t>0806306</t>
  </si>
  <si>
    <t>0806309</t>
  </si>
  <si>
    <t>0806307</t>
  </si>
  <si>
    <t>0836308</t>
  </si>
  <si>
    <t>0836306</t>
  </si>
  <si>
    <t>0836309</t>
  </si>
  <si>
    <t>0836307</t>
  </si>
  <si>
    <t>mit Sechskant für Handnotöffnung</t>
  </si>
  <si>
    <t>0306383</t>
  </si>
  <si>
    <t>0126038</t>
  </si>
  <si>
    <t>0126045</t>
  </si>
  <si>
    <t>Fischerdübel S8</t>
  </si>
  <si>
    <t>0126110</t>
  </si>
  <si>
    <t>Materialausführung</t>
  </si>
  <si>
    <t>Oberflächenausführung</t>
  </si>
  <si>
    <t>Edelstahl V2A blank</t>
  </si>
  <si>
    <t>Stahlblech verzinkt Pulverbeschichtet</t>
  </si>
  <si>
    <t>Unterkante Wandöffnung:</t>
  </si>
  <si>
    <t>Abschottungstyp:</t>
  </si>
  <si>
    <t>Festfeld:</t>
  </si>
  <si>
    <t>Einbaulage Festfeld / Schließkante:</t>
  </si>
  <si>
    <t>Festfeldhöhe:</t>
  </si>
  <si>
    <t>Materialausführung Stahlteile:</t>
  </si>
  <si>
    <t>unbehandelt</t>
  </si>
  <si>
    <t>Kunde:</t>
  </si>
  <si>
    <t>Elementaufteilung</t>
  </si>
  <si>
    <t>Standardelemente</t>
  </si>
  <si>
    <t>geteilte Standardelemente</t>
  </si>
  <si>
    <t>Schieberelementblechinnenlage oben / Komplett verzinkt</t>
  </si>
  <si>
    <t>Schieberelementblechinnenlage oben / Komplett V2A</t>
  </si>
  <si>
    <t>Lichte
Breite</t>
  </si>
  <si>
    <t>Lichte 
Schieberhöhe</t>
  </si>
  <si>
    <t>Gipsplatten-
gesamtbreite</t>
  </si>
  <si>
    <t>Gipsplatten-
gesamthöhe</t>
  </si>
  <si>
    <t>Wiederöffnung</t>
  </si>
  <si>
    <t>GCC horizontal Konsole r0 500mm verzinkt</t>
  </si>
  <si>
    <t>GCC horizontal Konsole r0 500mm V2A</t>
  </si>
  <si>
    <t>GCC horizontal Konsole r0 400mm verzinkt</t>
  </si>
  <si>
    <t>GCC horizontal Konsole r0 400mm V2A</t>
  </si>
  <si>
    <t>GCC horizontal Konsole r0 300mm verzinkt</t>
  </si>
  <si>
    <t>GCC horizontal Konsole r0 300mm V2A</t>
  </si>
  <si>
    <t>0308018</t>
  </si>
  <si>
    <t>0338018</t>
  </si>
  <si>
    <t>0308025</t>
  </si>
  <si>
    <t>0338025</t>
  </si>
  <si>
    <t>0308026</t>
  </si>
  <si>
    <t>0338026</t>
  </si>
  <si>
    <t>Länge Auflaufkonsole</t>
  </si>
  <si>
    <t>0204008 / Promaseal - PL ,selbstklebend</t>
  </si>
  <si>
    <t>0204004 / Promaseal - PL</t>
  </si>
  <si>
    <t>0204008</t>
  </si>
  <si>
    <t>Länge Dichtrahmen oben</t>
  </si>
  <si>
    <t>Länge Dichtrahmen vertikal</t>
  </si>
  <si>
    <t>&lt;&gt;r0</t>
  </si>
  <si>
    <t>=r0</t>
  </si>
  <si>
    <t>Lagen Intumest</t>
  </si>
  <si>
    <t>Endschalter geschlossen</t>
  </si>
  <si>
    <t>Fertigungsendtermin:</t>
  </si>
  <si>
    <t>Materialausführung Stahlteile :</t>
  </si>
  <si>
    <t xml:space="preserve"> EI 90</t>
  </si>
  <si>
    <t>Schieberblatthöhe ohne Intumest:</t>
  </si>
  <si>
    <t>Standardelement oben</t>
  </si>
  <si>
    <t>Standardelement mitte</t>
  </si>
  <si>
    <t>Standardelement unten</t>
  </si>
  <si>
    <t>Höhe Gipsplatten:</t>
  </si>
  <si>
    <t>Breite Gipsplatten:</t>
  </si>
  <si>
    <t>Aufdopplung:</t>
  </si>
  <si>
    <t>Höhe Gipsplatte Raums.:</t>
  </si>
  <si>
    <t>x</t>
  </si>
  <si>
    <t>Bv.:</t>
  </si>
  <si>
    <t>Teilenr.:</t>
  </si>
  <si>
    <t>Pos.</t>
  </si>
  <si>
    <t>Name / Datum:</t>
  </si>
  <si>
    <t>Höhe</t>
  </si>
  <si>
    <t>Art.Nr.</t>
  </si>
  <si>
    <t>Typ</t>
  </si>
  <si>
    <t>Ja</t>
  </si>
  <si>
    <t>Herstellungsjahr:</t>
  </si>
  <si>
    <t>Oberfläche</t>
  </si>
  <si>
    <t>Geprüft und verpackt</t>
  </si>
  <si>
    <t>Aufdopplung / Festfeld / Verkrallung / Wandrahmen</t>
  </si>
  <si>
    <t>Sonstiges:</t>
  </si>
  <si>
    <t>0708177</t>
  </si>
  <si>
    <t>0902030</t>
  </si>
  <si>
    <t>verzinkt</t>
  </si>
  <si>
    <t>Beton:</t>
  </si>
  <si>
    <t>Scheibe DIN 9021 - d 10,5mm</t>
  </si>
  <si>
    <t>0125106</t>
  </si>
  <si>
    <t>0125123</t>
  </si>
  <si>
    <t>0126105</t>
  </si>
  <si>
    <r>
      <t xml:space="preserve">Gewindestange </t>
    </r>
    <r>
      <rPr>
        <b/>
        <sz val="10"/>
        <rFont val="Arial"/>
        <family val="2"/>
      </rPr>
      <t>FIS A M10 x 110</t>
    </r>
  </si>
  <si>
    <t>0126050</t>
  </si>
  <si>
    <t>0126051</t>
  </si>
  <si>
    <r>
      <t xml:space="preserve">Injektionsmörtel </t>
    </r>
    <r>
      <rPr>
        <b/>
        <sz val="10"/>
        <rFont val="Arial"/>
        <family val="2"/>
      </rPr>
      <t>FIS V 360 S</t>
    </r>
  </si>
  <si>
    <t>0126134</t>
  </si>
  <si>
    <t>Durchsteckmontage:</t>
  </si>
  <si>
    <t>0112005</t>
  </si>
  <si>
    <t>0112014</t>
  </si>
  <si>
    <t>Sechskantmutter DIN EN 24 032 - M10 - St</t>
  </si>
  <si>
    <t>0114011</t>
  </si>
  <si>
    <t>0114099</t>
  </si>
  <si>
    <t>Federring DIN 127 - A10 - FSt</t>
  </si>
  <si>
    <t>0129001</t>
  </si>
  <si>
    <t>0129023</t>
  </si>
  <si>
    <t>Ankerplatten d=13</t>
  </si>
  <si>
    <t>0150065</t>
  </si>
  <si>
    <t>0150088</t>
  </si>
  <si>
    <t>0126007</t>
  </si>
  <si>
    <t>0126002</t>
  </si>
  <si>
    <t>0126006</t>
  </si>
  <si>
    <t>0126064</t>
  </si>
  <si>
    <t>0126047</t>
  </si>
  <si>
    <t>0125102</t>
  </si>
  <si>
    <t>0125124</t>
  </si>
  <si>
    <t>Durchsteckmontage bei Porenbeton und KS:</t>
  </si>
  <si>
    <t>0112006</t>
  </si>
  <si>
    <t>0112015</t>
  </si>
  <si>
    <t>0114013</t>
  </si>
  <si>
    <t>0114105</t>
  </si>
  <si>
    <t>0129002</t>
  </si>
  <si>
    <t>0129024</t>
  </si>
  <si>
    <t>Fischer FAZ II 10/50</t>
  </si>
  <si>
    <t>0126058</t>
  </si>
  <si>
    <t>0126059</t>
  </si>
  <si>
    <t>Porenbeton:</t>
  </si>
  <si>
    <t>Durchsteckmontage bei Porenbeton und Mauerwerk:</t>
  </si>
  <si>
    <t>Fischer FAZ II 10/160</t>
  </si>
  <si>
    <t>0126048</t>
  </si>
  <si>
    <r>
      <t xml:space="preserve">Injektionsinnengewindeanker </t>
    </r>
    <r>
      <rPr>
        <b/>
        <sz val="10"/>
        <rFont val="Arial"/>
        <family val="2"/>
      </rPr>
      <t>FIS E 15x 85 M10</t>
    </r>
  </si>
  <si>
    <t>0126067</t>
  </si>
  <si>
    <t>Sechskantmutter DIN EN 24 032 - M10</t>
  </si>
  <si>
    <t>0126022</t>
  </si>
  <si>
    <t>0126023</t>
  </si>
  <si>
    <t>0906002</t>
  </si>
  <si>
    <t>0906003</t>
  </si>
  <si>
    <t>0906004</t>
  </si>
  <si>
    <t>0906005</t>
  </si>
  <si>
    <t>0906001</t>
  </si>
  <si>
    <t>0906006</t>
  </si>
  <si>
    <t>Verwendungszweck</t>
  </si>
  <si>
    <t>0306010</t>
  </si>
  <si>
    <t>0336010</t>
  </si>
  <si>
    <t>Montageanleitung</t>
  </si>
  <si>
    <t>4002001</t>
  </si>
  <si>
    <t>"Kein Hochdruckreiniger"</t>
  </si>
  <si>
    <t>0101010</t>
  </si>
  <si>
    <t>0101066</t>
  </si>
  <si>
    <t>0125008</t>
  </si>
  <si>
    <t>0125052</t>
  </si>
  <si>
    <t>Verbindung Konsolen / Auflaufplatten</t>
  </si>
  <si>
    <t>0106029</t>
  </si>
  <si>
    <t>0106108</t>
  </si>
  <si>
    <t>0114007</t>
  </si>
  <si>
    <t>0114012</t>
  </si>
  <si>
    <t>0306392</t>
  </si>
  <si>
    <t>Befestigung Gewichtskasten</t>
  </si>
  <si>
    <t>Sechskantholzschraube 6 x 40</t>
  </si>
  <si>
    <t>0120002</t>
  </si>
  <si>
    <t>0120099</t>
  </si>
  <si>
    <t>0712081</t>
  </si>
  <si>
    <t>0101039</t>
  </si>
  <si>
    <t>Blindniete mit Flachrundkopf  4x 10  St / St</t>
  </si>
  <si>
    <t>0107014</t>
  </si>
  <si>
    <t>0107098</t>
  </si>
  <si>
    <t>0115003</t>
  </si>
  <si>
    <t>0115004</t>
  </si>
  <si>
    <t>Befestigung Dichtrahmen</t>
  </si>
  <si>
    <t>0126069</t>
  </si>
  <si>
    <t>0107050</t>
  </si>
  <si>
    <t>0107052</t>
  </si>
  <si>
    <t>Aufdopplung / Festfeldmanschette</t>
  </si>
  <si>
    <t>Spanplattenschrauben Senkkopf 4,0 x 60</t>
  </si>
  <si>
    <t>0115009</t>
  </si>
  <si>
    <t>0115082</t>
  </si>
  <si>
    <t>0115083</t>
  </si>
  <si>
    <t>0115007</t>
  </si>
  <si>
    <t>0115019</t>
  </si>
  <si>
    <t>0115099</t>
  </si>
  <si>
    <t>0123015</t>
  </si>
  <si>
    <t>0123081</t>
  </si>
  <si>
    <t>Befestigung Intum. Material</t>
  </si>
  <si>
    <t>Pattex - Tube 125 ml</t>
  </si>
  <si>
    <t>0140062</t>
  </si>
  <si>
    <t xml:space="preserve">Pattex - Tube 50ml </t>
  </si>
  <si>
    <t>0140061</t>
  </si>
  <si>
    <t>Pattex - Dose 0,625l</t>
  </si>
  <si>
    <t>0140004</t>
  </si>
  <si>
    <t>0140005</t>
  </si>
  <si>
    <t>Verbindung Schieberelemente</t>
  </si>
  <si>
    <t>Aufdopplungs und Festfeldmaterial</t>
  </si>
  <si>
    <t>Füllspachtel (5kg)</t>
  </si>
  <si>
    <t>0203015</t>
  </si>
  <si>
    <t>0129004</t>
  </si>
  <si>
    <t>0129022</t>
  </si>
  <si>
    <t>1402002</t>
  </si>
  <si>
    <t>0126072</t>
  </si>
  <si>
    <t>0212001</t>
  </si>
  <si>
    <t>Brandschutzkitt Kartusche weiß</t>
  </si>
  <si>
    <t>0212012</t>
  </si>
  <si>
    <t>0150050</t>
  </si>
  <si>
    <t>0153050</t>
  </si>
  <si>
    <t>0150051</t>
  </si>
  <si>
    <t>0150052</t>
  </si>
  <si>
    <t>0153051</t>
  </si>
  <si>
    <t>0126138</t>
  </si>
  <si>
    <t>0105020</t>
  </si>
  <si>
    <t>0105035</t>
  </si>
  <si>
    <t>0114006</t>
  </si>
  <si>
    <t>0114103</t>
  </si>
  <si>
    <t>0125005</t>
  </si>
  <si>
    <t>0125007</t>
  </si>
  <si>
    <t>0125121</t>
  </si>
  <si>
    <t>0127002</t>
  </si>
  <si>
    <t>0127005</t>
  </si>
  <si>
    <t>Kaschierung Festfeld Wolle</t>
  </si>
  <si>
    <t>Twilltex 200 Klebeband 5m</t>
  </si>
  <si>
    <t>0140058</t>
  </si>
  <si>
    <t>GCC Standardelement mitte</t>
  </si>
  <si>
    <t>Dichtrahmen oben</t>
  </si>
  <si>
    <t>Positionsschalter Siemens langer Schaltarm</t>
  </si>
  <si>
    <t>GCC</t>
  </si>
  <si>
    <t>Standardverpackung</t>
  </si>
  <si>
    <t>Einzelverpackung</t>
  </si>
  <si>
    <t>Montagematerial</t>
  </si>
  <si>
    <t>Karrosseriescheibe d 6,4mm   DIN 9021</t>
  </si>
  <si>
    <t>0125122</t>
  </si>
  <si>
    <t>0105026</t>
  </si>
  <si>
    <t>Ausschreibung GCC vertikal</t>
  </si>
  <si>
    <t>Verkrallung oben</t>
  </si>
  <si>
    <t>GCC vertikal Gleitstück Schieberführung</t>
  </si>
  <si>
    <t>0712382</t>
  </si>
  <si>
    <t>0306106</t>
  </si>
  <si>
    <t>0306127</t>
  </si>
  <si>
    <t>0705103</t>
  </si>
  <si>
    <t>Position Motor</t>
  </si>
  <si>
    <t>0336277</t>
  </si>
  <si>
    <t>Endschalter</t>
  </si>
  <si>
    <t>0712383</t>
  </si>
  <si>
    <t>0712384</t>
  </si>
  <si>
    <t>0712385</t>
  </si>
  <si>
    <t>0712386</t>
  </si>
  <si>
    <t>Dichtrahmen links</t>
  </si>
  <si>
    <t>Dichtrahmen rechts</t>
  </si>
  <si>
    <t>0306277</t>
  </si>
  <si>
    <t/>
  </si>
  <si>
    <t xml:space="preserve"> Zusatzpaletten:</t>
  </si>
  <si>
    <t>Tragrolle Vollstahl , Serie 1200 , verz.</t>
  </si>
  <si>
    <t>0904001</t>
  </si>
  <si>
    <t>Zuschnitt Gewindestangen Montagematerial ECClos-S</t>
  </si>
  <si>
    <t>Zuschnitt-</t>
  </si>
  <si>
    <t>Stück pro</t>
  </si>
  <si>
    <t xml:space="preserve">Abzuschreibende </t>
  </si>
  <si>
    <t>1m Stange</t>
  </si>
  <si>
    <t>länge</t>
  </si>
  <si>
    <t>Stange</t>
  </si>
  <si>
    <t>Stückzahlen</t>
  </si>
  <si>
    <t>Gewindestange M10 verzinkt 8.8</t>
  </si>
  <si>
    <t>Gewindestange M10 V2A</t>
  </si>
  <si>
    <t>Gewindestange M10 verzinkt 8.9</t>
  </si>
  <si>
    <t>Gewindestange M12 verzinkt 8.8</t>
  </si>
  <si>
    <t>Gewindestange M12 V2A</t>
  </si>
  <si>
    <t>0112009</t>
  </si>
  <si>
    <t>0801274</t>
  </si>
  <si>
    <t>Baugruppe Endschalter geöffnet</t>
  </si>
  <si>
    <t>GCC Schieberblatt komplett vormontiert</t>
  </si>
  <si>
    <t>GCC Standardelement unten</t>
  </si>
  <si>
    <t>GCC Standardelement oben</t>
  </si>
  <si>
    <t>Fischer Ankerbolzen FAZ II  10/20</t>
  </si>
  <si>
    <t>Würth Zebra Pias Tellersenkkopf 5,5 x 45</t>
  </si>
  <si>
    <t>0501003</t>
  </si>
  <si>
    <t>Rillenkugellager 6004 2ZR</t>
  </si>
  <si>
    <t>0708180</t>
  </si>
  <si>
    <t>Ausschreibung ECClos-S vertikal Rev. 0338b</t>
  </si>
  <si>
    <t>notwendige Gesamtlänge Führungsschiene</t>
  </si>
  <si>
    <t>Aufgerundete Führungsschienenlänge</t>
  </si>
  <si>
    <t>Förderniveau:</t>
  </si>
  <si>
    <t>Förderniveau Überstand</t>
  </si>
  <si>
    <t>Summen</t>
  </si>
  <si>
    <t>0308071</t>
  </si>
  <si>
    <t>0308072</t>
  </si>
  <si>
    <t>0308073</t>
  </si>
  <si>
    <t>0308074</t>
  </si>
  <si>
    <t>0308075</t>
  </si>
  <si>
    <t>0308076</t>
  </si>
  <si>
    <t>0308077</t>
  </si>
  <si>
    <t>0308078</t>
  </si>
  <si>
    <t>0308079</t>
  </si>
  <si>
    <t>0308080</t>
  </si>
  <si>
    <t>Kontrollsumme</t>
  </si>
  <si>
    <t>0338071</t>
  </si>
  <si>
    <t>0338072</t>
  </si>
  <si>
    <t>0338073</t>
  </si>
  <si>
    <t>0338074</t>
  </si>
  <si>
    <t>0338075</t>
  </si>
  <si>
    <t>0338076</t>
  </si>
  <si>
    <t>0338077</t>
  </si>
  <si>
    <t>0338078</t>
  </si>
  <si>
    <t>0338079</t>
  </si>
  <si>
    <t>0338080</t>
  </si>
  <si>
    <t>Teilstück 1</t>
  </si>
  <si>
    <t>Teilstück 2</t>
  </si>
  <si>
    <t>Teilstück 3</t>
  </si>
  <si>
    <t>Führungsschiene geteilt</t>
  </si>
  <si>
    <t>Teilstücke</t>
  </si>
  <si>
    <t>Führungsschienen GCC vertikal Standard</t>
  </si>
  <si>
    <t>0308084</t>
  </si>
  <si>
    <t>0308085</t>
  </si>
  <si>
    <t>0338084</t>
  </si>
  <si>
    <t>0338085</t>
  </si>
  <si>
    <t>0338086</t>
  </si>
  <si>
    <t>0308086</t>
  </si>
  <si>
    <t>0338087</t>
  </si>
  <si>
    <t>0308087</t>
  </si>
  <si>
    <t>0338088</t>
  </si>
  <si>
    <t>0308088</t>
  </si>
  <si>
    <t>0338089</t>
  </si>
  <si>
    <t>0308089</t>
  </si>
  <si>
    <t>0338090</t>
  </si>
  <si>
    <t>0308090</t>
  </si>
  <si>
    <t>0338091</t>
  </si>
  <si>
    <t>0308091</t>
  </si>
  <si>
    <t>0338092</t>
  </si>
  <si>
    <t>0308092</t>
  </si>
  <si>
    <t>0338093</t>
  </si>
  <si>
    <t>0308093</t>
  </si>
  <si>
    <t>Führungsschiene U-Form links</t>
  </si>
  <si>
    <t>Führungsschiene U-Form rechts</t>
  </si>
  <si>
    <t>Nein</t>
  </si>
  <si>
    <t>Führungsschienenbefestigungsspangen Standard</t>
  </si>
  <si>
    <t>Führungsschienenbefestigungsspangen U-Form</t>
  </si>
  <si>
    <t>0308062</t>
  </si>
  <si>
    <t>0308068</t>
  </si>
  <si>
    <t>GCC vertikal Verkrallungsprofil Wand verzinkt</t>
  </si>
  <si>
    <t>0308060</t>
  </si>
  <si>
    <t>GCC Schieberelementblechinnenlage oben / Komplett verzinkt</t>
  </si>
  <si>
    <t>0308094</t>
  </si>
  <si>
    <t>GCC Verstärkungsblech Schieberelement oben verzinkt</t>
  </si>
  <si>
    <t>0308095</t>
  </si>
  <si>
    <t>0308044</t>
  </si>
  <si>
    <t>0338044</t>
  </si>
  <si>
    <t>0308045</t>
  </si>
  <si>
    <t>0338045</t>
  </si>
  <si>
    <t>0308046</t>
  </si>
  <si>
    <t>0338046</t>
  </si>
  <si>
    <t>0308047</t>
  </si>
  <si>
    <t>0338047</t>
  </si>
  <si>
    <t>Festfeldbefestigung links</t>
  </si>
  <si>
    <t>Festfeldbefestigung rechts</t>
  </si>
  <si>
    <t>Festfelddeckplatte</t>
  </si>
  <si>
    <t>Festfeldbreite</t>
  </si>
  <si>
    <t>Festfeldfüllplatte</t>
  </si>
  <si>
    <t>0708638</t>
  </si>
  <si>
    <t>0220002</t>
  </si>
  <si>
    <t>0308066</t>
  </si>
  <si>
    <t>Antrieb in Deckeneinbaulage mit Gurtumlenkung</t>
  </si>
  <si>
    <t>Antriebskomponenten / Führungsschienen</t>
  </si>
  <si>
    <t>0308070</t>
  </si>
  <si>
    <t>0708002</t>
  </si>
  <si>
    <t>Schrauben  Schieberelementverbindung</t>
  </si>
  <si>
    <t>0140001</t>
  </si>
  <si>
    <t>Führungsschienen GCC vertikal U-Form</t>
  </si>
  <si>
    <t>Promatect H6
GKF 18mm</t>
  </si>
  <si>
    <t>Fireboard 12,5mm
GKF 12,5mm</t>
  </si>
  <si>
    <t>0202003</t>
  </si>
  <si>
    <t>GKF 18mm (Aufdopplung für durchlaufende Fördertechnik)</t>
  </si>
  <si>
    <t>Ausführung</t>
  </si>
  <si>
    <t>0702143</t>
  </si>
  <si>
    <t>0702141</t>
  </si>
  <si>
    <t>0702038</t>
  </si>
  <si>
    <t>0708251</t>
  </si>
  <si>
    <t>1520075</t>
  </si>
  <si>
    <t>0115020</t>
  </si>
  <si>
    <t>Sechskantschraube M10 x 60</t>
  </si>
  <si>
    <t>Senkschraube M8 x 80</t>
  </si>
  <si>
    <t>0125104</t>
  </si>
  <si>
    <t>0123022</t>
  </si>
  <si>
    <t>U-Scheibe ø 5,3mm</t>
  </si>
  <si>
    <t>0308098</t>
  </si>
  <si>
    <t>letzte Speicherung durch:</t>
  </si>
  <si>
    <t>aktuelle Änderung:</t>
  </si>
  <si>
    <t>Änderung</t>
  </si>
  <si>
    <t>Meier, Christian</t>
  </si>
  <si>
    <t>Baugruppe</t>
  </si>
  <si>
    <t>Abteilung</t>
  </si>
  <si>
    <t>Arbeitsgang</t>
  </si>
  <si>
    <t>Zeit/Einheit</t>
  </si>
  <si>
    <t>€/h</t>
  </si>
  <si>
    <t>Gesamtzeit in Minuten</t>
  </si>
  <si>
    <t>Gesamtzeit in Stunden</t>
  </si>
  <si>
    <t>Gesamtwert in €</t>
  </si>
  <si>
    <t>Grundzeit/
Rüstzeit</t>
  </si>
  <si>
    <t>h/Teil</t>
  </si>
  <si>
    <t>Zuschnitt Promat</t>
  </si>
  <si>
    <t>h/Stück</t>
  </si>
  <si>
    <t>h/m²</t>
  </si>
  <si>
    <t>h/m</t>
  </si>
  <si>
    <t>h/FAA</t>
  </si>
  <si>
    <t>Zuschnitt Stahl</t>
  </si>
  <si>
    <t>Verpacken</t>
  </si>
  <si>
    <t>Zusammenstellen und Verpacken</t>
  </si>
  <si>
    <t>Lager</t>
  </si>
  <si>
    <t>Intumat-Fertigung</t>
  </si>
  <si>
    <t>Summen:</t>
  </si>
  <si>
    <t>LB</t>
  </si>
  <si>
    <t>LH</t>
  </si>
  <si>
    <t>RAL</t>
  </si>
  <si>
    <t>KST</t>
  </si>
  <si>
    <t>Kürzel</t>
  </si>
  <si>
    <t>Kostensatz 2</t>
  </si>
  <si>
    <t>Kostensatz 1</t>
  </si>
  <si>
    <t>ZUSCHNITT PROMAT</t>
  </si>
  <si>
    <t>h</t>
  </si>
  <si>
    <t>ZUSCHNITT STAHL</t>
  </si>
  <si>
    <t>LACKIEREN</t>
  </si>
  <si>
    <t>KLEINTEILE-FERTIGUNG</t>
  </si>
  <si>
    <t>FERT ANTRIEBE</t>
  </si>
  <si>
    <t>FAHRSCHACHT-FERTG.</t>
  </si>
  <si>
    <t>EURO CONVEYORFERTG.</t>
  </si>
  <si>
    <t>COPY CAP</t>
  </si>
  <si>
    <t>RSV</t>
  </si>
  <si>
    <t>PN-FERTIGUNG</t>
  </si>
  <si>
    <t>B-FERTIGUNG</t>
  </si>
  <si>
    <t>S/K/Q/EH/BZ-FERTIGUNG</t>
  </si>
  <si>
    <t>OC-FERTIGUNG</t>
  </si>
  <si>
    <t>BLECHBEARBEITUNG</t>
  </si>
  <si>
    <t>OS-FERTIGUNG</t>
  </si>
  <si>
    <t>OC LAMELLEN FERTIGUNG</t>
  </si>
  <si>
    <t>PROMASEAL ZUSCHNITT</t>
  </si>
  <si>
    <t>RGT-FERTIGUNG</t>
  </si>
  <si>
    <t>ÜBERARBEITUNG ZEICHNUNG</t>
  </si>
  <si>
    <t>VERPACKEN, VERLADEN</t>
  </si>
  <si>
    <t>ELEKTRO</t>
  </si>
  <si>
    <t>AZUBI MECHATRONIKER</t>
  </si>
  <si>
    <t>AZUBI KONSTRUKTIONSMECH.</t>
  </si>
  <si>
    <t>REKLAMATION FERTIGUNG</t>
  </si>
  <si>
    <t>1a.</t>
  </si>
  <si>
    <t>Materialgemeinkosten</t>
  </si>
  <si>
    <t>3c.</t>
  </si>
  <si>
    <t>Fertigungsgemeinkosten  allgemein</t>
  </si>
  <si>
    <t xml:space="preserve">Fertigungsgemeinkosten Blech </t>
  </si>
  <si>
    <t>4.</t>
  </si>
  <si>
    <t>technische Verwaltungsgemeinkosten</t>
  </si>
  <si>
    <t>6.</t>
  </si>
  <si>
    <t>Verwaltungsgemeinkosten</t>
  </si>
  <si>
    <t>identnr</t>
  </si>
  <si>
    <t>fi</t>
  </si>
  <si>
    <t>ben</t>
  </si>
  <si>
    <t>npreis</t>
  </si>
  <si>
    <t>epreis</t>
  </si>
  <si>
    <t>npreisdat</t>
  </si>
  <si>
    <t>stat</t>
  </si>
  <si>
    <t>dpreisdat</t>
  </si>
  <si>
    <t>datlab dat</t>
  </si>
  <si>
    <t>lzu kalkpreisdat</t>
  </si>
  <si>
    <t>kalkpreis bs v</t>
  </si>
  <si>
    <t>preis</t>
  </si>
  <si>
    <t>vpreisdat</t>
  </si>
  <si>
    <t>0101001</t>
  </si>
  <si>
    <t>Sechskantschraube M10x20  8.8</t>
  </si>
  <si>
    <t>0101002</t>
  </si>
  <si>
    <t>Sechskantschraube M8x20</t>
  </si>
  <si>
    <t>0101003</t>
  </si>
  <si>
    <t>Sechskantschraube</t>
  </si>
  <si>
    <t>0101004</t>
  </si>
  <si>
    <t>Sechskantschraube M10x30  verz 8.8</t>
  </si>
  <si>
    <t>0101005</t>
  </si>
  <si>
    <t>Sechskantschraube mit Schaft</t>
  </si>
  <si>
    <t>0101006</t>
  </si>
  <si>
    <t>Sechskantschraube M8x25  verz. 8.8</t>
  </si>
  <si>
    <t>0101007</t>
  </si>
  <si>
    <t>Sechskantschraube M6x16 verz 8.8</t>
  </si>
  <si>
    <t>0101008</t>
  </si>
  <si>
    <t>0101009</t>
  </si>
  <si>
    <t>Sechskantschraube M12x60 verz. 8.8</t>
  </si>
  <si>
    <t>Sechskantschraube M8x60 verz 8.8</t>
  </si>
  <si>
    <t>0101011</t>
  </si>
  <si>
    <t>0101012</t>
  </si>
  <si>
    <t>Sechskantschraube M8x16  8.8 verz.</t>
  </si>
  <si>
    <t>0101013</t>
  </si>
  <si>
    <t>0101014</t>
  </si>
  <si>
    <t>0101015</t>
  </si>
  <si>
    <t>Sechskantschraube M12x35 verz. 8.8</t>
  </si>
  <si>
    <t>0101016</t>
  </si>
  <si>
    <t>0101017</t>
  </si>
  <si>
    <t>0101018</t>
  </si>
  <si>
    <t>0101019</t>
  </si>
  <si>
    <t>0101020</t>
  </si>
  <si>
    <t>Sechskantschraube M5x20 verz. 8.8</t>
  </si>
  <si>
    <t>0101021</t>
  </si>
  <si>
    <t>Linsenkopf-Schrauben mit Bund + Mestern</t>
  </si>
  <si>
    <t>0101022</t>
  </si>
  <si>
    <t>0101023</t>
  </si>
  <si>
    <t>0101024</t>
  </si>
  <si>
    <t>0101025</t>
  </si>
  <si>
    <t>0101026</t>
  </si>
  <si>
    <t>Sechskantschraube+++++++++++++++++++++++</t>
  </si>
  <si>
    <t>0101027</t>
  </si>
  <si>
    <t>Sechskantschraube M6x30 verz 8.8</t>
  </si>
  <si>
    <t>0101028</t>
  </si>
  <si>
    <t>0101029</t>
  </si>
  <si>
    <t>Sechskantschraube M6x45 verz. 8.8</t>
  </si>
  <si>
    <t>0101030</t>
  </si>
  <si>
    <t>0101031</t>
  </si>
  <si>
    <t>0101032</t>
  </si>
  <si>
    <t>0101033</t>
  </si>
  <si>
    <t>0101034</t>
  </si>
  <si>
    <t>0101035</t>
  </si>
  <si>
    <t>Sechskantschraube M8x30 verz. 8.8</t>
  </si>
  <si>
    <t>0101036</t>
  </si>
  <si>
    <t>Sechskantschraube M8x35</t>
  </si>
  <si>
    <t>0101037</t>
  </si>
  <si>
    <t>Sechskantschraube M 8x40</t>
  </si>
  <si>
    <t>0101038</t>
  </si>
  <si>
    <t>0101040</t>
  </si>
  <si>
    <t>0101042</t>
  </si>
  <si>
    <t>0101043</t>
  </si>
  <si>
    <t>Sechskantschraube M 8x100</t>
  </si>
  <si>
    <t>0101044</t>
  </si>
  <si>
    <t>Sechskantschraube M10x25  8.8 verz.</t>
  </si>
  <si>
    <t>0101045</t>
  </si>
  <si>
    <t>0101046</t>
  </si>
  <si>
    <t>Sechskantschraube M10x80  8.8</t>
  </si>
  <si>
    <t>0101047</t>
  </si>
  <si>
    <t>0101048</t>
  </si>
  <si>
    <t>0101050</t>
  </si>
  <si>
    <t>Sechskantschraube M10x40 verz. 8.8</t>
  </si>
  <si>
    <t>0101051</t>
  </si>
  <si>
    <t>0101052</t>
  </si>
  <si>
    <t>0101053</t>
  </si>
  <si>
    <t>0101054</t>
  </si>
  <si>
    <t>Sechskantschraube verz M16x40</t>
  </si>
  <si>
    <t>0101055</t>
  </si>
  <si>
    <t>Sechskantschraube V2A M16x40</t>
  </si>
  <si>
    <t>0101056</t>
  </si>
  <si>
    <t>Sechskantschraube M20x45 verz. 8.8</t>
  </si>
  <si>
    <t>0101057</t>
  </si>
  <si>
    <t>Sechskantholzschraube 10x70 verz 8.8</t>
  </si>
  <si>
    <t>0101058</t>
  </si>
  <si>
    <t>0101059</t>
  </si>
  <si>
    <t>0101060</t>
  </si>
  <si>
    <t>0101061</t>
  </si>
  <si>
    <t>0101062</t>
  </si>
  <si>
    <t>0101063</t>
  </si>
  <si>
    <t>Sechskantschraube   M6x30</t>
  </si>
  <si>
    <t>0101065</t>
  </si>
  <si>
    <t>Sechskantschraube M8x60</t>
  </si>
  <si>
    <t>0101067</t>
  </si>
  <si>
    <t>0101068</t>
  </si>
  <si>
    <t>0101069</t>
  </si>
  <si>
    <t>0101070</t>
  </si>
  <si>
    <t>0101071</t>
  </si>
  <si>
    <t>0101072</t>
  </si>
  <si>
    <t>0101073</t>
  </si>
  <si>
    <t>0101075</t>
  </si>
  <si>
    <t>0101076</t>
  </si>
  <si>
    <t>0101077</t>
  </si>
  <si>
    <t>0101078</t>
  </si>
  <si>
    <t>Sechskantschraube M10 x 100</t>
  </si>
  <si>
    <t>0101079</t>
  </si>
  <si>
    <t>0101081</t>
  </si>
  <si>
    <t>0101082</t>
  </si>
  <si>
    <t>0101083</t>
  </si>
  <si>
    <t>0101084</t>
  </si>
  <si>
    <t>0101085</t>
  </si>
  <si>
    <t>EJOT-Abdeckkappe 14/16 , SW 8 mm</t>
  </si>
  <si>
    <t>0101086</t>
  </si>
  <si>
    <t>0101087</t>
  </si>
  <si>
    <t>Flachkopfschraube mit Schlitz</t>
  </si>
  <si>
    <t>0101088</t>
  </si>
  <si>
    <t>Sechskant-Schutzkappe</t>
  </si>
  <si>
    <t>0101089</t>
  </si>
  <si>
    <t>0101090</t>
  </si>
  <si>
    <t>0101091</t>
  </si>
  <si>
    <t>Sechskantschraube M10x20</t>
  </si>
  <si>
    <t>0101092</t>
  </si>
  <si>
    <t>Sechskantschraube M10x30</t>
  </si>
  <si>
    <t>0101093</t>
  </si>
  <si>
    <t>Sechskantschraube M10x60</t>
  </si>
  <si>
    <t>0101094</t>
  </si>
  <si>
    <t>Sechskantschraube M10x100</t>
  </si>
  <si>
    <t>0101095</t>
  </si>
  <si>
    <t>0101096</t>
  </si>
  <si>
    <t>Sechskantschraube M8x30</t>
  </si>
  <si>
    <t>0101097</t>
  </si>
  <si>
    <t>0101098</t>
  </si>
  <si>
    <t>Sechskantschraube M8x100</t>
  </si>
  <si>
    <t>0101100</t>
  </si>
  <si>
    <t>Andrückschraube mit bewegl.St.-Druckst.</t>
  </si>
  <si>
    <t>0101272</t>
  </si>
  <si>
    <t>Sechskantschraube M6x40 verz. 8.8</t>
  </si>
  <si>
    <t>0101299</t>
  </si>
  <si>
    <t>Sechskantschraube M12x50 verz. 8.8</t>
  </si>
  <si>
    <t>0101441</t>
  </si>
  <si>
    <t>Sechskantschraube M10x35  verz 8.8</t>
  </si>
  <si>
    <t>0102</t>
  </si>
  <si>
    <t>Leitungsführungskanal halogenfrei 20x20</t>
  </si>
  <si>
    <t>0104</t>
  </si>
  <si>
    <t>Beschreibung</t>
  </si>
  <si>
    <t>01.01.1753</t>
  </si>
  <si>
    <t>0105</t>
  </si>
  <si>
    <t>Förderanlagenabschluß Typ Omnischott</t>
  </si>
  <si>
    <t>0105001</t>
  </si>
  <si>
    <t>Zylinderschraube mit Inbus</t>
  </si>
  <si>
    <t>0105002</t>
  </si>
  <si>
    <t>0105003</t>
  </si>
  <si>
    <t>0105004</t>
  </si>
  <si>
    <t>Zylinderschraube mit Inbus M5x35</t>
  </si>
  <si>
    <t>0105005</t>
  </si>
  <si>
    <t>0105006</t>
  </si>
  <si>
    <t>Zylinderschraube mit Innensechskant</t>
  </si>
  <si>
    <t>0105007</t>
  </si>
  <si>
    <t>0105008</t>
  </si>
  <si>
    <t>Zylinderschraube mit Imbus</t>
  </si>
  <si>
    <t>0105009</t>
  </si>
  <si>
    <t>0105010</t>
  </si>
  <si>
    <t>0105011</t>
  </si>
  <si>
    <t>0105012</t>
  </si>
  <si>
    <t>0105013</t>
  </si>
  <si>
    <t>0105014</t>
  </si>
  <si>
    <t>0105015</t>
  </si>
  <si>
    <t>0105016</t>
  </si>
  <si>
    <t>0105017</t>
  </si>
  <si>
    <t>0105018</t>
  </si>
  <si>
    <t>Zylinderschraube mit Imbus V2A M8x30</t>
  </si>
  <si>
    <t>0105019</t>
  </si>
  <si>
    <t>Zylinderschraube  Inbus M10x20 verz. 8.8</t>
  </si>
  <si>
    <t>0105021</t>
  </si>
  <si>
    <t>Zylinderkopfschraube mit Imbus</t>
  </si>
  <si>
    <t>0105022</t>
  </si>
  <si>
    <t>0105023</t>
  </si>
  <si>
    <t>0105024</t>
  </si>
  <si>
    <t>0105025</t>
  </si>
  <si>
    <t>0105027</t>
  </si>
  <si>
    <t>0105028</t>
  </si>
  <si>
    <t>0105029</t>
  </si>
  <si>
    <t>Zylinderschraube mit Imbus M6x30 V2A</t>
  </si>
  <si>
    <t>0105030</t>
  </si>
  <si>
    <t>Zylinderschraube mit Flachkopf</t>
  </si>
  <si>
    <t>0105031</t>
  </si>
  <si>
    <t>Flachkopfschraube mit Schlitz M5x4x7</t>
  </si>
  <si>
    <t>0105032</t>
  </si>
  <si>
    <t>0105033</t>
  </si>
  <si>
    <t>0105034</t>
  </si>
  <si>
    <t>0105036</t>
  </si>
  <si>
    <t>0105037</t>
  </si>
  <si>
    <t>0105038</t>
  </si>
  <si>
    <t>0105039</t>
  </si>
  <si>
    <t>0105040</t>
  </si>
  <si>
    <t>0105041</t>
  </si>
  <si>
    <t>0105042</t>
  </si>
  <si>
    <t>Zylinderschraube mit Imbus V2A M8x16</t>
  </si>
  <si>
    <t>0105043</t>
  </si>
  <si>
    <t>0105044</t>
  </si>
  <si>
    <t>0105045</t>
  </si>
  <si>
    <t>0105046</t>
  </si>
  <si>
    <t>0105047</t>
  </si>
  <si>
    <t>0105048</t>
  </si>
  <si>
    <t>0105049</t>
  </si>
  <si>
    <t>0105050</t>
  </si>
  <si>
    <t>0106</t>
  </si>
  <si>
    <t>Montage Fiberseal</t>
  </si>
  <si>
    <t>0106000</t>
  </si>
  <si>
    <t>Senkschraube mit Inbus DIN 7991 M4x12</t>
  </si>
  <si>
    <t>0106001</t>
  </si>
  <si>
    <t>Sechskantschraube mit Inbus</t>
  </si>
  <si>
    <t>0106002</t>
  </si>
  <si>
    <t>Senkschraube mit Inbus M8x16</t>
  </si>
  <si>
    <t>0106004</t>
  </si>
  <si>
    <t>Senkschraube mit Inbus</t>
  </si>
  <si>
    <t>0106005</t>
  </si>
  <si>
    <t>0106006</t>
  </si>
  <si>
    <t>0106007</t>
  </si>
  <si>
    <t>0106008</t>
  </si>
  <si>
    <t>0106009</t>
  </si>
  <si>
    <t>0106010</t>
  </si>
  <si>
    <t>Senkschraube mit Inbus M6x8 verz. 8.8</t>
  </si>
  <si>
    <t>0106011</t>
  </si>
  <si>
    <t>Senkschraube mit Inbus M6x20 verz 8.8</t>
  </si>
  <si>
    <t>0106012</t>
  </si>
  <si>
    <t>0106013</t>
  </si>
  <si>
    <t>Senkschraube mit Imbus M8x25</t>
  </si>
  <si>
    <t>0106014</t>
  </si>
  <si>
    <t>0106015</t>
  </si>
  <si>
    <t>0106016</t>
  </si>
  <si>
    <t>0106019</t>
  </si>
  <si>
    <t>Senkschraube mit Inbus M10x30</t>
  </si>
  <si>
    <t>0106020</t>
  </si>
  <si>
    <t>Senkschraube mit Inbus M6x10 GS 8.8</t>
  </si>
  <si>
    <t>0106021</t>
  </si>
  <si>
    <t>Senkschraube mit Inbus M10x35 8.8</t>
  </si>
  <si>
    <t>0106023</t>
  </si>
  <si>
    <t>0106024</t>
  </si>
  <si>
    <t>Senkschraube mit Imbus</t>
  </si>
  <si>
    <t>0106030</t>
  </si>
  <si>
    <t>0106100</t>
  </si>
  <si>
    <t>0106101</t>
  </si>
  <si>
    <t>0106103</t>
  </si>
  <si>
    <t>0106104</t>
  </si>
  <si>
    <t>0106105</t>
  </si>
  <si>
    <t>0106106</t>
  </si>
  <si>
    <t>0106107</t>
  </si>
  <si>
    <t>0106109</t>
  </si>
  <si>
    <t>0106110</t>
  </si>
  <si>
    <t>0106111</t>
  </si>
  <si>
    <t>0106113</t>
  </si>
  <si>
    <t>0106114</t>
  </si>
  <si>
    <t>0106217</t>
  </si>
  <si>
    <t>Senkschraube mit Inbus M12x20 verz 8.8</t>
  </si>
  <si>
    <t>0107</t>
  </si>
  <si>
    <t>m-rsan</t>
  </si>
  <si>
    <t>0107001</t>
  </si>
  <si>
    <t>Blindnietmutter  M 8</t>
  </si>
  <si>
    <t>0107002</t>
  </si>
  <si>
    <t>Einnietmutter M 10 mit Bund</t>
  </si>
  <si>
    <t>0107003</t>
  </si>
  <si>
    <t>Blindnietmutter Senkkopf M 10</t>
  </si>
  <si>
    <t>0107004</t>
  </si>
  <si>
    <t>Blindniete mit Flachrundkopf</t>
  </si>
  <si>
    <t>0107005</t>
  </si>
  <si>
    <t>Blindniete Stahl/Stahl Senkkopf</t>
  </si>
  <si>
    <t>0107006</t>
  </si>
  <si>
    <t>0107007</t>
  </si>
  <si>
    <t>Blindniete mit Flachrundkopf 4x8</t>
  </si>
  <si>
    <t>0107008</t>
  </si>
  <si>
    <t>0107009</t>
  </si>
  <si>
    <t>0107010</t>
  </si>
  <si>
    <t>Blindniete mit Senkkopf</t>
  </si>
  <si>
    <t>0107011</t>
  </si>
  <si>
    <t>GESIPA-Blindniete A2</t>
  </si>
  <si>
    <t>0107012</t>
  </si>
  <si>
    <t>GESIPA-Blindnietmutter A2 M8</t>
  </si>
  <si>
    <t>0107013</t>
  </si>
  <si>
    <t>POP-LSR Blindniete</t>
  </si>
  <si>
    <t>Blindniete mit Flachrundkopf 4x10 verz.</t>
  </si>
  <si>
    <t>Blindniete Flachkopf  5x12 verz.</t>
  </si>
  <si>
    <t>0107051</t>
  </si>
  <si>
    <t>Blindniete Flachkopf</t>
  </si>
  <si>
    <t>Blindniete Flachkopf V2A 5x12</t>
  </si>
  <si>
    <t>0107053</t>
  </si>
  <si>
    <t>Blindniete Flachkopf V2A 5x16</t>
  </si>
  <si>
    <t>0107054</t>
  </si>
  <si>
    <t>Blindniete Senkkopf  5x12 verz.</t>
  </si>
  <si>
    <t>Blindniete Flachkopf 4x10 A2</t>
  </si>
  <si>
    <t>0107099</t>
  </si>
  <si>
    <t>Blindniete mit Flachrundkopf  5x50  A2</t>
  </si>
  <si>
    <t>0107103</t>
  </si>
  <si>
    <t>0107104</t>
  </si>
  <si>
    <t>0107105</t>
  </si>
  <si>
    <t>Blindniet Stahl/Stahl Senkkopf</t>
  </si>
  <si>
    <t>0107106</t>
  </si>
  <si>
    <t>Blindniete Alu / Stahl</t>
  </si>
  <si>
    <t>0107107</t>
  </si>
  <si>
    <t>0107108</t>
  </si>
  <si>
    <t>Blindniete</t>
  </si>
  <si>
    <t>0107109</t>
  </si>
  <si>
    <t>0107110</t>
  </si>
  <si>
    <t>Spreizniet PLIO GT62 BK</t>
  </si>
  <si>
    <t>0107113</t>
  </si>
  <si>
    <t>Blindniete Stahl / Stahl</t>
  </si>
  <si>
    <t>0107114</t>
  </si>
  <si>
    <t>Blindniete mit Flachkopf 5x20</t>
  </si>
  <si>
    <t>0107115</t>
  </si>
  <si>
    <t>Blindniete mit Flachkopf 5x20 V2A</t>
  </si>
  <si>
    <t>0107116</t>
  </si>
  <si>
    <t>Blindniete , Kopfform A Flachkopf</t>
  </si>
  <si>
    <t>0107117</t>
  </si>
  <si>
    <t>Blindniete mit Flachkopf 5x30 V2A</t>
  </si>
  <si>
    <t>0107118</t>
  </si>
  <si>
    <t>Blindniete mit Flachkopf 5x45</t>
  </si>
  <si>
    <t>0107119</t>
  </si>
  <si>
    <t>Blindniete Flachkopf 4x16 A2</t>
  </si>
  <si>
    <t>0107150</t>
  </si>
  <si>
    <t>PIAS Blindniete  / Stahl</t>
  </si>
  <si>
    <t>0107151</t>
  </si>
  <si>
    <t>Blindniete DIN 7337</t>
  </si>
  <si>
    <t>0107152</t>
  </si>
  <si>
    <t>PIAS Blindniete , Alu / Stahl</t>
  </si>
  <si>
    <t>0107153</t>
  </si>
  <si>
    <t>0107154</t>
  </si>
  <si>
    <t>PIAS Blindniete , Stahl / Stahl</t>
  </si>
  <si>
    <t>0107155</t>
  </si>
  <si>
    <t>Becherniete 4 x 10</t>
  </si>
  <si>
    <t>0108</t>
  </si>
  <si>
    <t>Montage Steuerung</t>
  </si>
  <si>
    <t>0108030</t>
  </si>
  <si>
    <t>Linsenkopfschraube mit Inbus M5x10 verz</t>
  </si>
  <si>
    <t>0108031</t>
  </si>
  <si>
    <t>Linsenkopfschraube Torx m. Flansch</t>
  </si>
  <si>
    <t>0108032</t>
  </si>
  <si>
    <t>0108033</t>
  </si>
  <si>
    <t>Linsenkopfschraube mit Inbus</t>
  </si>
  <si>
    <t>0108034</t>
  </si>
  <si>
    <t>Linsenkopfschraube mit Inbus M6x16</t>
  </si>
  <si>
    <t>0108035</t>
  </si>
  <si>
    <t>0108036</t>
  </si>
  <si>
    <t>Flachkopfschrauben mit Innensechskant</t>
  </si>
  <si>
    <t>0108037</t>
  </si>
  <si>
    <t>0108038</t>
  </si>
  <si>
    <t>0108039</t>
  </si>
  <si>
    <t>0108040</t>
  </si>
  <si>
    <t>0108041</t>
  </si>
  <si>
    <t>0109001</t>
  </si>
  <si>
    <t>Sechskantholzschraube 6x70 verz 8.8</t>
  </si>
  <si>
    <t>0109002</t>
  </si>
  <si>
    <t>Senkschraube M 5 x 8 Din 963</t>
  </si>
  <si>
    <t>0109003</t>
  </si>
  <si>
    <t>Senkschraube mit Schlitz</t>
  </si>
  <si>
    <t>0109004</t>
  </si>
  <si>
    <t>0109006</t>
  </si>
  <si>
    <t>0109009</t>
  </si>
  <si>
    <t>0109010</t>
  </si>
  <si>
    <t>Sechskantholzschraube 6x100 verz 8.8</t>
  </si>
  <si>
    <t>0109011</t>
  </si>
  <si>
    <t>0109012</t>
  </si>
  <si>
    <t>0109025</t>
  </si>
  <si>
    <t>0109026</t>
  </si>
  <si>
    <t>0109027</t>
  </si>
  <si>
    <t>0109028</t>
  </si>
  <si>
    <t>0109029</t>
  </si>
  <si>
    <t>0109030</t>
  </si>
  <si>
    <t>0109031</t>
  </si>
  <si>
    <t>0109032</t>
  </si>
  <si>
    <t>0109033</t>
  </si>
  <si>
    <t>Senkschraube mit Schlitz M8x40 verz. 8.8</t>
  </si>
  <si>
    <t>0109034</t>
  </si>
  <si>
    <t>0109035</t>
  </si>
  <si>
    <t>0109036</t>
  </si>
  <si>
    <t>0109037</t>
  </si>
  <si>
    <t>0109039</t>
  </si>
  <si>
    <t>0109040</t>
  </si>
  <si>
    <t>0109041</t>
  </si>
  <si>
    <t>0109042</t>
  </si>
  <si>
    <t>0109043</t>
  </si>
  <si>
    <t>0109044</t>
  </si>
  <si>
    <t>0109045</t>
  </si>
  <si>
    <t>0109046</t>
  </si>
  <si>
    <t>0109047</t>
  </si>
  <si>
    <t>0109048</t>
  </si>
  <si>
    <t>0109049</t>
  </si>
  <si>
    <t>0109050</t>
  </si>
  <si>
    <t>0109052</t>
  </si>
  <si>
    <t>0109053</t>
  </si>
  <si>
    <t>Senkschraube Innensechskant</t>
  </si>
  <si>
    <t>0109055</t>
  </si>
  <si>
    <t>0109056</t>
  </si>
  <si>
    <t>0109057</t>
  </si>
  <si>
    <t>0109061</t>
  </si>
  <si>
    <t>0109063</t>
  </si>
  <si>
    <t>0109064</t>
  </si>
  <si>
    <t>Senkschraube mit Torx, M6 x 8</t>
  </si>
  <si>
    <t>0110</t>
  </si>
  <si>
    <t>0111001</t>
  </si>
  <si>
    <t>Zylinderschraube mit Schlitz</t>
  </si>
  <si>
    <t>0111002</t>
  </si>
  <si>
    <t>0111003</t>
  </si>
  <si>
    <t>0111005</t>
  </si>
  <si>
    <t>0111006</t>
  </si>
  <si>
    <t>0111007</t>
  </si>
  <si>
    <t>0111008</t>
  </si>
  <si>
    <t>0111009</t>
  </si>
  <si>
    <t>0111010</t>
  </si>
  <si>
    <t>0111011</t>
  </si>
  <si>
    <t>0111012</t>
  </si>
  <si>
    <t>0111013</t>
  </si>
  <si>
    <t>0111014</t>
  </si>
  <si>
    <t>0111015</t>
  </si>
  <si>
    <t>0111016</t>
  </si>
  <si>
    <t>0111017</t>
  </si>
  <si>
    <t>0111018</t>
  </si>
  <si>
    <t>0111019</t>
  </si>
  <si>
    <t>0111020</t>
  </si>
  <si>
    <t>0111021</t>
  </si>
  <si>
    <t>0111022</t>
  </si>
  <si>
    <t>0111023</t>
  </si>
  <si>
    <t>0111024</t>
  </si>
  <si>
    <t>0111025</t>
  </si>
  <si>
    <t>0111026</t>
  </si>
  <si>
    <t>0111027</t>
  </si>
  <si>
    <t>Distanzmuffe M6x20 verz. für Abl FlexSys</t>
  </si>
  <si>
    <t>0111028</t>
  </si>
  <si>
    <t>0111029</t>
  </si>
  <si>
    <t>Linsenkopfschraube verzinkt</t>
  </si>
  <si>
    <t>0111030</t>
  </si>
  <si>
    <t>Gewinde-Schneidschraube</t>
  </si>
  <si>
    <t>0111031</t>
  </si>
  <si>
    <t>Linsenkopfschraube m.Bund M6x8 verz. 8.8</t>
  </si>
  <si>
    <t>0111032</t>
  </si>
  <si>
    <t>Linsenkopfschraube M6x12 m.Bund</t>
  </si>
  <si>
    <t>0111033</t>
  </si>
  <si>
    <t>Distanzmuffe Stahl verz  6x35</t>
  </si>
  <si>
    <t>0111034</t>
  </si>
  <si>
    <t>Linsenkopfschraube M6x30 m.Bund</t>
  </si>
  <si>
    <t>0111035</t>
  </si>
  <si>
    <t>Distanzmuffe Edelstahl</t>
  </si>
  <si>
    <t>0111036</t>
  </si>
  <si>
    <t>Distanzmuffe M6x20 verz.</t>
  </si>
  <si>
    <t>0111037</t>
  </si>
  <si>
    <t>Distanzmuffe 6-kant, verzinkt SW 13</t>
  </si>
  <si>
    <t>0111038</t>
  </si>
  <si>
    <t>Distanzbolzen 6-kant, Innen-Außengewinde</t>
  </si>
  <si>
    <t>0111039</t>
  </si>
  <si>
    <t>Distanzmuffe Stahl verzinkt SR10-M6x60                5</t>
  </si>
  <si>
    <t>0111040</t>
  </si>
  <si>
    <t>Verbolzung Führ-schie verz.SR10-M6x50</t>
  </si>
  <si>
    <t>0111041</t>
  </si>
  <si>
    <t>Distanzmuffe M10x25</t>
  </si>
  <si>
    <t>0111042</t>
  </si>
  <si>
    <t>Verbolzung Führ-schie verz.SR10-M6x63,5               5</t>
  </si>
  <si>
    <t>0111043</t>
  </si>
  <si>
    <t>Bolzen Führ.stange verz.SR10-M6x90</t>
  </si>
  <si>
    <t>0111044</t>
  </si>
  <si>
    <t>Linsenkopfschraube M5x10 m.Bund</t>
  </si>
  <si>
    <t>0111045</t>
  </si>
  <si>
    <t>Distanzmuffe Stahl verzinkt SR10-M6x70</t>
  </si>
  <si>
    <t>0111046</t>
  </si>
  <si>
    <t>Distanzmuffe 6-kant, verzinkt SW10-M6x30</t>
  </si>
  <si>
    <t>0111047</t>
  </si>
  <si>
    <t>Gewindemuffe Stahl verzinkt M6x40 (Rund)</t>
  </si>
  <si>
    <t>0111048</t>
  </si>
  <si>
    <t>Bolzen Führ.stange Edelstahl SR10-M6x90</t>
  </si>
  <si>
    <t>0111049</t>
  </si>
  <si>
    <t>Distanzmuffe Stahl V2A SR10-M6x70</t>
  </si>
  <si>
    <t>0111050</t>
  </si>
  <si>
    <t>0111051</t>
  </si>
  <si>
    <t>Distanzmuffe Ø 10mm M6 x 20 V2A</t>
  </si>
  <si>
    <t>0111052</t>
  </si>
  <si>
    <t>Distanzmuffe Ø 10mm  M6x30  verz</t>
  </si>
  <si>
    <t>0111053</t>
  </si>
  <si>
    <t>0112</t>
  </si>
  <si>
    <t>sonder-ub verwenden</t>
  </si>
  <si>
    <t>0112002</t>
  </si>
  <si>
    <t>Gewindestange</t>
  </si>
  <si>
    <t>0112003</t>
  </si>
  <si>
    <t>0112004</t>
  </si>
  <si>
    <t>Gewindestange                                         1</t>
  </si>
  <si>
    <t>Gewindestange M10 x 1m</t>
  </si>
  <si>
    <t>Gewindestange M12 x 1m</t>
  </si>
  <si>
    <t>0112007</t>
  </si>
  <si>
    <t>Gewindespindel M16                                    5</t>
  </si>
  <si>
    <t>0112008</t>
  </si>
  <si>
    <t>0112010</t>
  </si>
  <si>
    <t>0112011</t>
  </si>
  <si>
    <t>Gewindestange M16</t>
  </si>
  <si>
    <t>0112012</t>
  </si>
  <si>
    <t>0112013</t>
  </si>
  <si>
    <t>0112016</t>
  </si>
  <si>
    <t>Distanzmuffe rund M 6 x 30  A2</t>
  </si>
  <si>
    <t>0112017</t>
  </si>
  <si>
    <t>Gewindestange M8 V2A</t>
  </si>
  <si>
    <t>0112053</t>
  </si>
  <si>
    <t>Rotor für Ergo - Lekto</t>
  </si>
  <si>
    <t>0112054</t>
  </si>
  <si>
    <t>0112055</t>
  </si>
  <si>
    <t>0113001</t>
  </si>
  <si>
    <t>Senkschraube mit Kreuzschlitz</t>
  </si>
  <si>
    <t>0114</t>
  </si>
  <si>
    <t>0114001</t>
  </si>
  <si>
    <t>Sechskantmutter M 10 Din 934</t>
  </si>
  <si>
    <t>0114002</t>
  </si>
  <si>
    <t>Sechskantmutter DIN 934 M4</t>
  </si>
  <si>
    <t>0114003</t>
  </si>
  <si>
    <t>Sechskantmutter M10</t>
  </si>
  <si>
    <t>0114004</t>
  </si>
  <si>
    <t>Sechskantmutter DIN 934 M5</t>
  </si>
  <si>
    <t>0114005</t>
  </si>
  <si>
    <t>Sechskantmutter, selbstsichernd</t>
  </si>
  <si>
    <t>Sechskantmutter M6 verz 8.8</t>
  </si>
  <si>
    <t>Sechskantmutter M8 verz 8.8</t>
  </si>
  <si>
    <t>0114008</t>
  </si>
  <si>
    <t>Sechskantmutter M14</t>
  </si>
  <si>
    <t>0114009</t>
  </si>
  <si>
    <t>Sechskantmutter DIN 934 M16</t>
  </si>
  <si>
    <t>0114010</t>
  </si>
  <si>
    <t>Sechskantmutter DIN 934 M20</t>
  </si>
  <si>
    <t>Sechskantmutter M10  8.8 verz.</t>
  </si>
  <si>
    <t>Sechskantmutter</t>
  </si>
  <si>
    <t>Sechskantmutter M12  8.8  verz.</t>
  </si>
  <si>
    <t>0114014</t>
  </si>
  <si>
    <t>Scheibenmutter Sechskant M10 8.8                     15</t>
  </si>
  <si>
    <t>0114015</t>
  </si>
  <si>
    <t>Sechskantmutter DIN 934 M3</t>
  </si>
  <si>
    <t>0114016</t>
  </si>
  <si>
    <t>0114017</t>
  </si>
  <si>
    <t>0114018</t>
  </si>
  <si>
    <t>Sechskantmutter V2A M16</t>
  </si>
  <si>
    <t>0114020</t>
  </si>
  <si>
    <t>Sechskantmutter M10  8.8</t>
  </si>
  <si>
    <t>0114021</t>
  </si>
  <si>
    <t>0114023</t>
  </si>
  <si>
    <t>Sechskantmutter M 8 links Din 934</t>
  </si>
  <si>
    <t>0114024</t>
  </si>
  <si>
    <t>Ringmutter</t>
  </si>
  <si>
    <t>0114025</t>
  </si>
  <si>
    <t>Sechskantmutter, selbstsichernd, M10</t>
  </si>
  <si>
    <t>0114026</t>
  </si>
  <si>
    <t>Sechskantmutter M8 niedrige Form</t>
  </si>
  <si>
    <t>0114027</t>
  </si>
  <si>
    <t>Hutmutter, hohe Form</t>
  </si>
  <si>
    <t>0114028</t>
  </si>
  <si>
    <t>0114029</t>
  </si>
  <si>
    <t>Sechskantmutter M12 niedrige Form</t>
  </si>
  <si>
    <t>0114030</t>
  </si>
  <si>
    <t>Zylinderschraube Inbus M6x8 verz. 8.8</t>
  </si>
  <si>
    <t>0114031</t>
  </si>
  <si>
    <t>0114032</t>
  </si>
  <si>
    <t>0114033</t>
  </si>
  <si>
    <t>Hutmutter, hohe Form Edelstahl A2</t>
  </si>
  <si>
    <t>0114034</t>
  </si>
  <si>
    <t>Sechskantmutter M10  A4</t>
  </si>
  <si>
    <t>0114106</t>
  </si>
  <si>
    <t>0114107</t>
  </si>
  <si>
    <t>Sechskantmutter M 10 x 1</t>
  </si>
  <si>
    <t>0114108</t>
  </si>
  <si>
    <t>Augenschraube Form B  M10x20 verzinkt</t>
  </si>
  <si>
    <t>0114109</t>
  </si>
  <si>
    <t>Augenschraube Form B  M10x40 A2</t>
  </si>
  <si>
    <t>0114125</t>
  </si>
  <si>
    <t>Sechskantmutter flach M10  8.8</t>
  </si>
  <si>
    <t>0114211</t>
  </si>
  <si>
    <t>Rampa-Mutter (Muffen) M5</t>
  </si>
  <si>
    <t>0115</t>
  </si>
  <si>
    <t>0115002</t>
  </si>
  <si>
    <t>Spanplattenschraube Senkkopf</t>
  </si>
  <si>
    <t>Spanplattenschraube</t>
  </si>
  <si>
    <t>Spanplattenschraube Halbrundkopf 3,5x16</t>
  </si>
  <si>
    <t>0115006</t>
  </si>
  <si>
    <t>Spanplattenschraube 4x40  A2</t>
  </si>
  <si>
    <t>0115008</t>
  </si>
  <si>
    <t>Spanplattenschraube mit Kreuzschlitz / T</t>
  </si>
  <si>
    <t>Spanplattenschraube 4x60 verz</t>
  </si>
  <si>
    <t>0115012</t>
  </si>
  <si>
    <t>0115015</t>
  </si>
  <si>
    <t>0115016</t>
  </si>
  <si>
    <t>Schraube mit Bund, 6-kt, Gewindefurchend</t>
  </si>
  <si>
    <t>0115017</t>
  </si>
  <si>
    <t>Schraube mit Bund, 6-kt, M6x12 .furchend</t>
  </si>
  <si>
    <t>0115018</t>
  </si>
  <si>
    <t>Spanplattenschraube Panhead-Torx 20</t>
  </si>
  <si>
    <t>Spanplattenschraube Senkkopf TG 5x100</t>
  </si>
  <si>
    <t>Spanplattenschraube Panhead-Torx 25</t>
  </si>
  <si>
    <t>Spanplattenschraube 4x60 A2</t>
  </si>
  <si>
    <t>Spanplattenschraube 4x40 verz</t>
  </si>
  <si>
    <t>Spanplattenschraube 5x100 A2</t>
  </si>
  <si>
    <t>0116</t>
  </si>
  <si>
    <t>0117010</t>
  </si>
  <si>
    <t>Blechschraube</t>
  </si>
  <si>
    <t>0117011</t>
  </si>
  <si>
    <t>Blechschraube 5,5 x 22</t>
  </si>
  <si>
    <t>0117050</t>
  </si>
  <si>
    <t>0117051</t>
  </si>
  <si>
    <t>Sechskantholzschraube 10x240 vez 8.8</t>
  </si>
  <si>
    <t>0117052</t>
  </si>
  <si>
    <t>Sechskantholzschraube 10x180 vez 8.8</t>
  </si>
  <si>
    <t>0117053</t>
  </si>
  <si>
    <t>Sechskantholzschraube 10x105 A4</t>
  </si>
  <si>
    <t>0117054</t>
  </si>
  <si>
    <t>Sechskantholzschraube 10x160 vez 8.8</t>
  </si>
  <si>
    <t>0118005</t>
  </si>
  <si>
    <t>Blindniete , Kopfform B Ø 4,0x8 verz.</t>
  </si>
  <si>
    <t>0118006</t>
  </si>
  <si>
    <t>Blindniete , Kopfform B</t>
  </si>
  <si>
    <t>0118008</t>
  </si>
  <si>
    <t>Blindniete 4x8 , Kopfform A verz</t>
  </si>
  <si>
    <t>0118009</t>
  </si>
  <si>
    <t>Blindniete , Senkkopf</t>
  </si>
  <si>
    <t>0118010</t>
  </si>
  <si>
    <t>Blindnietmutter Senkkopf offen</t>
  </si>
  <si>
    <t>0118011</t>
  </si>
  <si>
    <t>0118013</t>
  </si>
  <si>
    <t>Hohlniete ,  ES DO-C 10,5x9x9,5mm</t>
  </si>
  <si>
    <t>0118014</t>
  </si>
  <si>
    <t>Blindniet Kopfform A Flachkopf 4x12 verz</t>
  </si>
  <si>
    <t>0118015</t>
  </si>
  <si>
    <t>Hohlniete ,  ES DO-C 12.5x15x11.5mm</t>
  </si>
  <si>
    <t>0118016</t>
  </si>
  <si>
    <t>Langmutter M 16 x 30, SW 24</t>
  </si>
  <si>
    <t>0118017</t>
  </si>
  <si>
    <t>Gewindestift M 16 x 20</t>
  </si>
  <si>
    <t>0120</t>
  </si>
  <si>
    <t>0120001</t>
  </si>
  <si>
    <t>Sechskantholzschraube 6x60 vez 8.8</t>
  </si>
  <si>
    <t>Schlüsselschraube 6x40 verz.</t>
  </si>
  <si>
    <t>0120003</t>
  </si>
  <si>
    <t>Schlüsselschraube 8x50 verz.</t>
  </si>
  <si>
    <t>0120006</t>
  </si>
  <si>
    <t>Schlüsselschraube</t>
  </si>
  <si>
    <t>0120007</t>
  </si>
  <si>
    <t>0120008</t>
  </si>
  <si>
    <t>0120009</t>
  </si>
  <si>
    <t>0120010</t>
  </si>
  <si>
    <t>0120014</t>
  </si>
  <si>
    <t>0120015</t>
  </si>
  <si>
    <t>Sechskantholzschraube 8x60 vez 8.8</t>
  </si>
  <si>
    <t>Sechskantholzschraube 6x40 A4</t>
  </si>
  <si>
    <t>0123001</t>
  </si>
  <si>
    <t>Bohrschraube mit Senkkopf</t>
  </si>
  <si>
    <t>0123002</t>
  </si>
  <si>
    <t>Bohrschraube Senkkopf m. Torx</t>
  </si>
  <si>
    <t>0123003</t>
  </si>
  <si>
    <t>Flügel-Bohrschrauben Senkkopf 4,8 x 50</t>
  </si>
  <si>
    <t>0123004</t>
  </si>
  <si>
    <t>Bohrschraube Sechskantkopf</t>
  </si>
  <si>
    <t>0123005</t>
  </si>
  <si>
    <t>Bohrschraube mit Sechskantkopf</t>
  </si>
  <si>
    <t>0123006</t>
  </si>
  <si>
    <t>Bohrschraube mit Sechskantkopf, verzinkt</t>
  </si>
  <si>
    <t>0123007</t>
  </si>
  <si>
    <t>Flügel-Pias , Senkkopf</t>
  </si>
  <si>
    <t>0123008</t>
  </si>
  <si>
    <t>Bohrschrauben mit Senkkopf 4,8x16 verz</t>
  </si>
  <si>
    <t>0123009</t>
  </si>
  <si>
    <t>Zebra-Pias Stahl verzinkt 6kt SW8</t>
  </si>
  <si>
    <t>0123010</t>
  </si>
  <si>
    <t>Bohrschrauben</t>
  </si>
  <si>
    <t>0123011</t>
  </si>
  <si>
    <t>0123012</t>
  </si>
  <si>
    <t>0123013</t>
  </si>
  <si>
    <t>Schnellbauschraube Kreutschlitz 3,9 x 35</t>
  </si>
  <si>
    <t>0123014</t>
  </si>
  <si>
    <t>Bohrschrauben mit Senkkopf</t>
  </si>
  <si>
    <t>0123016</t>
  </si>
  <si>
    <t>0123017</t>
  </si>
  <si>
    <t>0123018</t>
  </si>
  <si>
    <t>Schnellbauschraube 3,9 x 55</t>
  </si>
  <si>
    <t>0123019</t>
  </si>
  <si>
    <t>0123020</t>
  </si>
  <si>
    <t>0123021</t>
  </si>
  <si>
    <t>Flügel-Bohrschrauben Senkkopf 4,8 x 38</t>
  </si>
  <si>
    <t>Bohrschrauben Linsenkopf 4,8x45 Torx</t>
  </si>
  <si>
    <t>0123023</t>
  </si>
  <si>
    <t>Bohrschrauben Linsenkopf 4,8x60 Torx</t>
  </si>
  <si>
    <t>0123024</t>
  </si>
  <si>
    <t>Schnellbauschraube Grobgewinde 3,9 x 70</t>
  </si>
  <si>
    <t>Bohrschrauben mit Senkkopf 4,8x16 VA</t>
  </si>
  <si>
    <t>0123100</t>
  </si>
  <si>
    <t>Gewinde-Schneidschrauben</t>
  </si>
  <si>
    <t>0123101</t>
  </si>
  <si>
    <t>0124</t>
  </si>
  <si>
    <t>Wago 750-430</t>
  </si>
  <si>
    <t>0125001</t>
  </si>
  <si>
    <t>Unterlegscheibe DIN 125 4,4mm</t>
  </si>
  <si>
    <t>0125002</t>
  </si>
  <si>
    <t>Unterlegscheibe</t>
  </si>
  <si>
    <t>0125003</t>
  </si>
  <si>
    <t>Unterlegscheibe DIN 125 17mm</t>
  </si>
  <si>
    <t>0125004</t>
  </si>
  <si>
    <t>Unterlegscheibe DIN 125 19mm</t>
  </si>
  <si>
    <t>Unterlegscheibe 6,4</t>
  </si>
  <si>
    <t>Unterlegscheibe d=6,4</t>
  </si>
  <si>
    <t>Unterlegscheibe Ø 8,4mm</t>
  </si>
  <si>
    <t>0125010</t>
  </si>
  <si>
    <t>Unterlegscheibe d=10,5</t>
  </si>
  <si>
    <t>0125013</t>
  </si>
  <si>
    <t>Unterlegscheibe Ø =13,0 mm</t>
  </si>
  <si>
    <t>0125014</t>
  </si>
  <si>
    <t>Unterlegscheibe DIN125 15mm</t>
  </si>
  <si>
    <t>0125015</t>
  </si>
  <si>
    <t>Unterlegscheibe DIN 125 21mm</t>
  </si>
  <si>
    <t>0125016</t>
  </si>
  <si>
    <t>Unterlegscheibe  Ø 6,4 verz</t>
  </si>
  <si>
    <t>0125030</t>
  </si>
  <si>
    <t>Unterlegscheibe 8,4 mm verz</t>
  </si>
  <si>
    <t>0125040</t>
  </si>
  <si>
    <t>0125041</t>
  </si>
  <si>
    <t>0125053</t>
  </si>
  <si>
    <t>0125054</t>
  </si>
  <si>
    <t>0125055</t>
  </si>
  <si>
    <t>0125056</t>
  </si>
  <si>
    <t>0125057</t>
  </si>
  <si>
    <t>Unterlegscheibe DIN 9021 Ø 13mm verz</t>
  </si>
  <si>
    <t>Unterlegscheibe DIN 9021 5,3mm</t>
  </si>
  <si>
    <t>0125105</t>
  </si>
  <si>
    <t>Unterlegscheibe 10,5 verzinkt</t>
  </si>
  <si>
    <t>0125120</t>
  </si>
  <si>
    <t>Unterlegscheibe Edelstahl A2</t>
  </si>
  <si>
    <t>0125125</t>
  </si>
  <si>
    <t>Unterlegscheibe DIN 9021 17mm</t>
  </si>
  <si>
    <t>0126</t>
  </si>
  <si>
    <t>Gebra S-EPZ 1-2T/1</t>
  </si>
  <si>
    <t>0126001</t>
  </si>
  <si>
    <t>Dübel FH II 12/50 GS</t>
  </si>
  <si>
    <t>Dübel FHII 12/25 S</t>
  </si>
  <si>
    <t>0126003</t>
  </si>
  <si>
    <t>Dübel FHII 10/50 S</t>
  </si>
  <si>
    <t>0126004</t>
  </si>
  <si>
    <t>Dübel FHII 10/25 S</t>
  </si>
  <si>
    <t>0126005</t>
  </si>
  <si>
    <t>Hochleistungsanker W-HL 12/50 A4</t>
  </si>
  <si>
    <t>Dübel Hochleistungsanker FHII 12/25 S A4</t>
  </si>
  <si>
    <t>Dübel Porenbetonanker 10 x 94</t>
  </si>
  <si>
    <t>0126008</t>
  </si>
  <si>
    <t>Dübel Porenbetonanker 10x62</t>
  </si>
  <si>
    <t>0126009</t>
  </si>
  <si>
    <t>Rahmendüdel 10 x 80</t>
  </si>
  <si>
    <t>0126010</t>
  </si>
  <si>
    <t>Upat Express Anker 10/15</t>
  </si>
  <si>
    <t>0126011</t>
  </si>
  <si>
    <t>Würth Dübel WFAZ 50</t>
  </si>
  <si>
    <t>0126012</t>
  </si>
  <si>
    <t>Dübel FAZ II 12/30 GS</t>
  </si>
  <si>
    <t>0126013</t>
  </si>
  <si>
    <t>Würth Dübel WFAZ</t>
  </si>
  <si>
    <t>0126014</t>
  </si>
  <si>
    <t>Dübel FUR 10x80 SS GS</t>
  </si>
  <si>
    <t>0126015</t>
  </si>
  <si>
    <t>Fischer Highbond Anker</t>
  </si>
  <si>
    <t>0126016</t>
  </si>
  <si>
    <t>Dübel FAZ II 12/10 GS</t>
  </si>
  <si>
    <t>0126017</t>
  </si>
  <si>
    <t>Dübel Zykon Einschlaganker FZEA10x40M8</t>
  </si>
  <si>
    <t>0126018</t>
  </si>
  <si>
    <t>Dübel FUR 8x80 SS GS</t>
  </si>
  <si>
    <t>0126019</t>
  </si>
  <si>
    <t>Fischer Higbond Anker FHB II M8x60/10</t>
  </si>
  <si>
    <t>0126020</t>
  </si>
  <si>
    <t>Dübel Ankerbolzen FZA II 10/10</t>
  </si>
  <si>
    <t>0126021</t>
  </si>
  <si>
    <t>Dübel Zykon Einschlaganker FZEA 12x40</t>
  </si>
  <si>
    <t>Dübel FUR 14x240 SS GS</t>
  </si>
  <si>
    <t>Dübel FUR 14x240 SS A4</t>
  </si>
  <si>
    <t>0126024</t>
  </si>
  <si>
    <t>Dübel FUR 10x80 SS A4</t>
  </si>
  <si>
    <t>0126025</t>
  </si>
  <si>
    <t>0126026</t>
  </si>
  <si>
    <t>Dübel FHB II-AL M10x95/20 GS</t>
  </si>
  <si>
    <t>0126027</t>
  </si>
  <si>
    <t>Dübel EA II M10</t>
  </si>
  <si>
    <t>0126028</t>
  </si>
  <si>
    <t>Dübel FIS A M10x110</t>
  </si>
  <si>
    <t>0126029</t>
  </si>
  <si>
    <t>Dübel FUR 10x160 SS GS</t>
  </si>
  <si>
    <t>0126030</t>
  </si>
  <si>
    <t>Dübel FAZ II 10/10 GS</t>
  </si>
  <si>
    <t>0126031</t>
  </si>
  <si>
    <t>Dübel FHB II-AL M8x60/10</t>
  </si>
  <si>
    <t>0126032</t>
  </si>
  <si>
    <t>Dübel EA II M8x40</t>
  </si>
  <si>
    <t>0126033</t>
  </si>
  <si>
    <t>FIS A M8x110 5.8 verz</t>
  </si>
  <si>
    <t>0126034</t>
  </si>
  <si>
    <t>Dübel FUR 8x100 SS GS</t>
  </si>
  <si>
    <t>0126035</t>
  </si>
  <si>
    <t>Dübel FAZ II 12/10 A4</t>
  </si>
  <si>
    <t>0126036</t>
  </si>
  <si>
    <t>Dübel FHB II-AL M10x95/20 A4</t>
  </si>
  <si>
    <t>0126037</t>
  </si>
  <si>
    <t>Dübel EA II M10 A4</t>
  </si>
  <si>
    <t>Dübel FAZ II 10/20 GS</t>
  </si>
  <si>
    <t>0126039</t>
  </si>
  <si>
    <t>Dübel FUR 10x160 SS A4</t>
  </si>
  <si>
    <t>0126040</t>
  </si>
  <si>
    <t>Dübel FAZ II 10/10 A4</t>
  </si>
  <si>
    <t>0126041</t>
  </si>
  <si>
    <t>Dübel FHB II-AL M8x60/10 A4</t>
  </si>
  <si>
    <t>0126042</t>
  </si>
  <si>
    <t>Dübel EA II M8x40 A4</t>
  </si>
  <si>
    <t>0126043</t>
  </si>
  <si>
    <t>FIS A M8x110 A4</t>
  </si>
  <si>
    <t>0126044</t>
  </si>
  <si>
    <t>Dübel FUR 8x100 SS A4</t>
  </si>
  <si>
    <t>Dübel FAZ II 10/20 A4</t>
  </si>
  <si>
    <t>0126046</t>
  </si>
  <si>
    <t>Dübel FAZ II 12/20 GS</t>
  </si>
  <si>
    <t>Dübel FAZ II 12/20 A4</t>
  </si>
  <si>
    <t>Dübel FAZ II 10/160 GS</t>
  </si>
  <si>
    <t>0126049</t>
  </si>
  <si>
    <t>Dübel FAZ II 10/160 A4</t>
  </si>
  <si>
    <t>FIS A M10 x 110 5.8 verz.</t>
  </si>
  <si>
    <t>FIS A M10 x 110  A4</t>
  </si>
  <si>
    <t>0126052</t>
  </si>
  <si>
    <t>FIS A M12 x 120 5.8 verz.</t>
  </si>
  <si>
    <t>0126053</t>
  </si>
  <si>
    <t>FIS A M12 x 120  A4</t>
  </si>
  <si>
    <t>0126054</t>
  </si>
  <si>
    <t>FIS A M12 x 140 5.8 verz.</t>
  </si>
  <si>
    <t>0126055</t>
  </si>
  <si>
    <t>FIS A M12 x 140  A4</t>
  </si>
  <si>
    <t>0126056</t>
  </si>
  <si>
    <t>FIS A M12 x 160 5.8 verz.</t>
  </si>
  <si>
    <t>0126057</t>
  </si>
  <si>
    <t>FIS A M12 x 160  A4</t>
  </si>
  <si>
    <t>Dübel FAZ II 10/50 GS</t>
  </si>
  <si>
    <t>Dübel FAZ II 10/50 A4</t>
  </si>
  <si>
    <t>0126060</t>
  </si>
  <si>
    <t>FIS H 20 x 85 K</t>
  </si>
  <si>
    <t>0126061</t>
  </si>
  <si>
    <t>FIS H 20 x 130 K</t>
  </si>
  <si>
    <t>0126062</t>
  </si>
  <si>
    <t>Schraubanker HUS-H 8x65/5/15</t>
  </si>
  <si>
    <t>0126063</t>
  </si>
  <si>
    <t>Schraubanker HUS-H 10x65/5/15</t>
  </si>
  <si>
    <t>Durchsteckanker HST M12x115/20                        3</t>
  </si>
  <si>
    <t>0126065</t>
  </si>
  <si>
    <t>Durchsteckanker HST M10x90/10                         2</t>
  </si>
  <si>
    <t>0126066</t>
  </si>
  <si>
    <t>Dübel FAZ II 12/30 A4</t>
  </si>
  <si>
    <t>FIS E M10 15x85 verz.</t>
  </si>
  <si>
    <t>0126068</t>
  </si>
  <si>
    <t>PBZ für FIS E M8-M12</t>
  </si>
  <si>
    <t>Nageldübel 8 x 80 V2A / A2</t>
  </si>
  <si>
    <t>0126070</t>
  </si>
  <si>
    <t>Nageldübel 8 x 120 verzinkt</t>
  </si>
  <si>
    <t>0126071</t>
  </si>
  <si>
    <t>Nageldübel 8 x 100 VA</t>
  </si>
  <si>
    <t>Nageldübel 6 x 60 VA</t>
  </si>
  <si>
    <t>0126073</t>
  </si>
  <si>
    <t>Durchsteckanker HST M12x185/90                       12</t>
  </si>
  <si>
    <t>0126074</t>
  </si>
  <si>
    <t>Schraubanker HUS-P 6x40/5</t>
  </si>
  <si>
    <t>0126075</t>
  </si>
  <si>
    <t>Nageldübel 6 x 40 VA</t>
  </si>
  <si>
    <t>0126080</t>
  </si>
  <si>
    <t>Dübel FAZ II 10/30 GS</t>
  </si>
  <si>
    <t>0126081</t>
  </si>
  <si>
    <t>Dübel FAZ II 10/80 GS</t>
  </si>
  <si>
    <t>0126082</t>
  </si>
  <si>
    <t>Dübel FAZ II 10/100 GS</t>
  </si>
  <si>
    <t>0126083</t>
  </si>
  <si>
    <t>Dübel FAZ II 12/50 GS</t>
  </si>
  <si>
    <t>0126084</t>
  </si>
  <si>
    <t>Dübel FAZ II 12/80 GS</t>
  </si>
  <si>
    <t>0126085</t>
  </si>
  <si>
    <t>Dübel FAZ II 12/100 GS</t>
  </si>
  <si>
    <t>0126086</t>
  </si>
  <si>
    <t>Dübel FAZ II 12/160 GS</t>
  </si>
  <si>
    <t>0126087</t>
  </si>
  <si>
    <t>Dübel FUR 8x120 SS GS</t>
  </si>
  <si>
    <t>0126088</t>
  </si>
  <si>
    <t>Dübel FUR 10x100 SS GS</t>
  </si>
  <si>
    <t>0126089</t>
  </si>
  <si>
    <t>Dübel FUR 10x135 SS GS</t>
  </si>
  <si>
    <t>0126090</t>
  </si>
  <si>
    <t>0126091</t>
  </si>
  <si>
    <t>Dübel FUR 10x185 SS GS</t>
  </si>
  <si>
    <t>0126092</t>
  </si>
  <si>
    <t>Dübel FUR 10x200 SS GS</t>
  </si>
  <si>
    <t>0126093</t>
  </si>
  <si>
    <t>Dübel FUR 8x80 T GS</t>
  </si>
  <si>
    <t>0126094</t>
  </si>
  <si>
    <t>Dübel FUR 8x120 T GS</t>
  </si>
  <si>
    <t>0126095</t>
  </si>
  <si>
    <t>Dübel FUR 10x80 T GS</t>
  </si>
  <si>
    <t>0126096</t>
  </si>
  <si>
    <t>Dübel FUR 10x100 T GS</t>
  </si>
  <si>
    <t>0126097</t>
  </si>
  <si>
    <t>Dübel FUR 10x115 T GS</t>
  </si>
  <si>
    <t>0126098</t>
  </si>
  <si>
    <t>Dübel FUR 10x135 T GS</t>
  </si>
  <si>
    <t>0126099</t>
  </si>
  <si>
    <t>Dübel FUR 10x160 T GS</t>
  </si>
  <si>
    <t>0126100</t>
  </si>
  <si>
    <t>Dübel FUR 10x230 T GS</t>
  </si>
  <si>
    <t>0126101</t>
  </si>
  <si>
    <t>Dübel FHB II-AL M10x95/100 GS</t>
  </si>
  <si>
    <t>0126102</t>
  </si>
  <si>
    <t>Dübel FHB II-AL M8x60/30 GS</t>
  </si>
  <si>
    <t>0126103</t>
  </si>
  <si>
    <t>Dübel FHB II-AL M10x95/10 GS</t>
  </si>
  <si>
    <t>0126104</t>
  </si>
  <si>
    <t>Dübel FUR 10x115 SS GS</t>
  </si>
  <si>
    <t>Fischer Dübel S14H100R</t>
  </si>
  <si>
    <t>0126106</t>
  </si>
  <si>
    <t>Fischer Dübel S14R90</t>
  </si>
  <si>
    <t>0126107</t>
  </si>
  <si>
    <t>Fischer Dübel S14R135</t>
  </si>
  <si>
    <t>0126108</t>
  </si>
  <si>
    <t>Fischer Dübel S14H135R</t>
  </si>
  <si>
    <t>0126109</t>
  </si>
  <si>
    <t>Fischer Dübel S 6</t>
  </si>
  <si>
    <t>Fischer Dübel S 8</t>
  </si>
  <si>
    <t>0126111</t>
  </si>
  <si>
    <t>Fischer Dübel S 10</t>
  </si>
  <si>
    <t>0126112</t>
  </si>
  <si>
    <t>Fischer Dübel S 12</t>
  </si>
  <si>
    <t>0126113</t>
  </si>
  <si>
    <t>Fischer Dübel S14H160R</t>
  </si>
  <si>
    <t>0126114</t>
  </si>
  <si>
    <t>Fischer Dübel S14H185R</t>
  </si>
  <si>
    <t>0126115</t>
  </si>
  <si>
    <t>Fischer Dübel S10H100R</t>
  </si>
  <si>
    <t>0126116</t>
  </si>
  <si>
    <t>Fischer Dübel S14H230R</t>
  </si>
  <si>
    <t>0126117</t>
  </si>
  <si>
    <t>Fischer Gasbetondübel GB 10</t>
  </si>
  <si>
    <t>0126118</t>
  </si>
  <si>
    <t>Fischer Gasbetondübel GB 14</t>
  </si>
  <si>
    <t>0126119</t>
  </si>
  <si>
    <t>Rahmendübel WD 10</t>
  </si>
  <si>
    <t>0126120</t>
  </si>
  <si>
    <t>Fischer Dübel S10R135</t>
  </si>
  <si>
    <t>0126121</t>
  </si>
  <si>
    <t>Kippdübel M8</t>
  </si>
  <si>
    <t>0126122</t>
  </si>
  <si>
    <t>TOX  - Hohlwanddübel AS 10/62</t>
  </si>
  <si>
    <t>0126123</t>
  </si>
  <si>
    <t>Upat Einschlaganker USA-N M8</t>
  </si>
  <si>
    <t>0126124</t>
  </si>
  <si>
    <t>Upat Einschlaganker USA-N M6</t>
  </si>
  <si>
    <t>0126125</t>
  </si>
  <si>
    <t>Fischer Kippdübel KD 6</t>
  </si>
  <si>
    <t>0126126</t>
  </si>
  <si>
    <t>Würth Einschlagdübel W-ED-12</t>
  </si>
  <si>
    <t>0126127</t>
  </si>
  <si>
    <t>Upat Einschlaganker USA-N M10</t>
  </si>
  <si>
    <t>0126128</t>
  </si>
  <si>
    <t>Upat Einschlaganker USA-N M12</t>
  </si>
  <si>
    <t>0126129</t>
  </si>
  <si>
    <t>W-HLZ Anker 12/5 Typ S M8 VZ/GE</t>
  </si>
  <si>
    <t>0126130</t>
  </si>
  <si>
    <t>Fixanker W-FAZ M12-145</t>
  </si>
  <si>
    <t>0126131</t>
  </si>
  <si>
    <t>Fixanker W-FAZ M12-15</t>
  </si>
  <si>
    <t>0126132</t>
  </si>
  <si>
    <t>Fischer Dübel m.Torx-Schraube 14 x 100</t>
  </si>
  <si>
    <t>0126133</t>
  </si>
  <si>
    <t>Fischer Dübel m.Sechskantsch.14 x 100</t>
  </si>
  <si>
    <t>Injectionsmörtel FIS  V 360 S mit 2                   2</t>
  </si>
  <si>
    <t>0126135</t>
  </si>
  <si>
    <t>Bürstenset f.Injections-Mörtel</t>
  </si>
  <si>
    <t>0126136</t>
  </si>
  <si>
    <t>Fischer Hochleistungsanker FH-S 10/10 A4</t>
  </si>
  <si>
    <t>0126137</t>
  </si>
  <si>
    <t>Fischer Siebhülse FIS H 16x100K</t>
  </si>
  <si>
    <t>Fischer Siebhülse FIS H 16x85K</t>
  </si>
  <si>
    <t>0126139</t>
  </si>
  <si>
    <t>Upat Einschlaganker USA-N M16</t>
  </si>
  <si>
    <t>0126140</t>
  </si>
  <si>
    <t>Einschlaganker M 16</t>
  </si>
  <si>
    <t>0126141</t>
  </si>
  <si>
    <t>Injektionsmörtel FIS HB 345 S mit 2                   2</t>
  </si>
  <si>
    <t>0126142</t>
  </si>
  <si>
    <t>Injektionsankerhülse FIS H 16x85 K</t>
  </si>
  <si>
    <t>0126143</t>
  </si>
  <si>
    <t>Dübel FHB II-AL M12x120/25 GS</t>
  </si>
  <si>
    <t>0126144</t>
  </si>
  <si>
    <t>Dübel Hohlraum HHD-S M8/24X66                        10</t>
  </si>
  <si>
    <t>0126145</t>
  </si>
  <si>
    <t>Deckennagel FDN 6/5 (6x35)</t>
  </si>
  <si>
    <t>0126151</t>
  </si>
  <si>
    <t>Dübel Fischer UX 6x35</t>
  </si>
  <si>
    <t>0126152</t>
  </si>
  <si>
    <t>Dübel Fischer UX 8x50</t>
  </si>
  <si>
    <t>0126153</t>
  </si>
  <si>
    <t>Dübel Fischer UX 10x60</t>
  </si>
  <si>
    <t>0126154</t>
  </si>
  <si>
    <t>Dübel Fischer UX 12x70</t>
  </si>
  <si>
    <t>0126155</t>
  </si>
  <si>
    <t>Dübel W-FAZ/S</t>
  </si>
  <si>
    <t>0126156</t>
  </si>
  <si>
    <t>Dübel FUR 14x100 FUS</t>
  </si>
  <si>
    <t>0126157</t>
  </si>
  <si>
    <t>Dübel SXRL 14x100 FUS</t>
  </si>
  <si>
    <t>0126158</t>
  </si>
  <si>
    <t>Dübel FAZ II 12/100 VA</t>
  </si>
  <si>
    <t>0126159</t>
  </si>
  <si>
    <t>Dübel SXR 10x180 FUS</t>
  </si>
  <si>
    <t>0126160</t>
  </si>
  <si>
    <t>Dübel SXR 10x180 FUS A4</t>
  </si>
  <si>
    <t>0127001</t>
  </si>
  <si>
    <t>Fischer Senkschraube     10 X 105</t>
  </si>
  <si>
    <t>Fischer Sechskantschraube 10 X 105</t>
  </si>
  <si>
    <t>0127003</t>
  </si>
  <si>
    <t>Holzschraube verz. 10x140</t>
  </si>
  <si>
    <t>0127004</t>
  </si>
  <si>
    <t>Fischer Senkschraube     10 X 140</t>
  </si>
  <si>
    <t>0127007</t>
  </si>
  <si>
    <t>Fischer Sechskantschraube 10 X 190</t>
  </si>
  <si>
    <t>0127008</t>
  </si>
  <si>
    <t>0127009</t>
  </si>
  <si>
    <t>Fischer Sechskantschraube  7 X 140</t>
  </si>
  <si>
    <t>0127010</t>
  </si>
  <si>
    <t>Fischer Schraube mit Dübel S14H160RT</t>
  </si>
  <si>
    <t>0127011</t>
  </si>
  <si>
    <t>Fischer Sechskantschraube  7 x 105</t>
  </si>
  <si>
    <t>0127012</t>
  </si>
  <si>
    <t>Sechskantholzschraube 10x80 verz 8.8</t>
  </si>
  <si>
    <t>0127013</t>
  </si>
  <si>
    <t>Schnellbauschraube 3,9 x 25, HN 5770</t>
  </si>
  <si>
    <t>0127014</t>
  </si>
  <si>
    <t>Selbstbohrschraube 4,9 x 18</t>
  </si>
  <si>
    <t>0127015</t>
  </si>
  <si>
    <t>Sechskantholzschraube 10x50 verz 8.8</t>
  </si>
  <si>
    <t>0127016</t>
  </si>
  <si>
    <t>Sechskantholzschraube 10x50 A4</t>
  </si>
  <si>
    <t>0127017</t>
  </si>
  <si>
    <t>Sechskantholzschraube 10x120 verz 8.8</t>
  </si>
  <si>
    <t>0127106</t>
  </si>
  <si>
    <t>USV Notstrom, 4 Umschaltungen</t>
  </si>
  <si>
    <t>0128004</t>
  </si>
  <si>
    <t>Gewindestift</t>
  </si>
  <si>
    <t>0128005</t>
  </si>
  <si>
    <t>0128006</t>
  </si>
  <si>
    <t>0128007</t>
  </si>
  <si>
    <t>0128008</t>
  </si>
  <si>
    <t>0128009</t>
  </si>
  <si>
    <t>0128010</t>
  </si>
  <si>
    <t>0128011</t>
  </si>
  <si>
    <t>0128012</t>
  </si>
  <si>
    <t>0128013</t>
  </si>
  <si>
    <t>0128014</t>
  </si>
  <si>
    <t>0128015</t>
  </si>
  <si>
    <t>0128016</t>
  </si>
  <si>
    <t>0128017</t>
  </si>
  <si>
    <t>Gewindestift mit Spitze</t>
  </si>
  <si>
    <t>0128018</t>
  </si>
  <si>
    <t>0128019</t>
  </si>
  <si>
    <t>0128020</t>
  </si>
  <si>
    <t>0128021</t>
  </si>
  <si>
    <t>0128022</t>
  </si>
  <si>
    <t>0128023</t>
  </si>
  <si>
    <t>Gewindestift mit Kegelkuppe</t>
  </si>
  <si>
    <t>0128024</t>
  </si>
  <si>
    <t>Gewindestift Edelstahl</t>
  </si>
  <si>
    <t>0128025</t>
  </si>
  <si>
    <t>Gewindestift M10 x 60</t>
  </si>
  <si>
    <t>0128026</t>
  </si>
  <si>
    <t>Gewindestift M10 x 30</t>
  </si>
  <si>
    <t>0128050</t>
  </si>
  <si>
    <t>0128051</t>
  </si>
  <si>
    <t>0128052</t>
  </si>
  <si>
    <t>Stehbolzen M5x15</t>
  </si>
  <si>
    <t>0128053</t>
  </si>
  <si>
    <t>0129</t>
  </si>
  <si>
    <t>Lapp J-Y(ST)Y 4x2x0,8</t>
  </si>
  <si>
    <t>Federring DIN 127 10,2 mm verzinkt</t>
  </si>
  <si>
    <t>Federring DIN 127 12,2 mm</t>
  </si>
  <si>
    <t>0129003</t>
  </si>
  <si>
    <t>Federring DIN 127 5,2 mm verzinkt</t>
  </si>
  <si>
    <t>Federring DIN127 8,1 mm verzinkt</t>
  </si>
  <si>
    <t>0129005</t>
  </si>
  <si>
    <t>Federring DIN 127 6,2mm verzinkt</t>
  </si>
  <si>
    <t>0129009</t>
  </si>
  <si>
    <t>Federring V2A 16,2</t>
  </si>
  <si>
    <t>0129010</t>
  </si>
  <si>
    <t>Federring</t>
  </si>
  <si>
    <t>0129011</t>
  </si>
  <si>
    <t>Federring DIN 127 14mm</t>
  </si>
  <si>
    <t>0129012</t>
  </si>
  <si>
    <t>0129013</t>
  </si>
  <si>
    <t>Federring DIN 127 4,3 mm</t>
  </si>
  <si>
    <t>0129020</t>
  </si>
  <si>
    <t>0129021</t>
  </si>
  <si>
    <t>0129025</t>
  </si>
  <si>
    <t>Einschnittring PG 21, 107B OBO</t>
  </si>
  <si>
    <t>0129026</t>
  </si>
  <si>
    <t>Einschnittring PG 16</t>
  </si>
  <si>
    <t>0130</t>
  </si>
  <si>
    <t>.</t>
  </si>
  <si>
    <t>0130001</t>
  </si>
  <si>
    <t>Klammer für Nut und Feder</t>
  </si>
  <si>
    <t>0130003</t>
  </si>
  <si>
    <t>Klammer</t>
  </si>
  <si>
    <t>0130004</t>
  </si>
  <si>
    <t>Halteklammer für Gewichtsabdeckung</t>
  </si>
  <si>
    <t>0130005</t>
  </si>
  <si>
    <t>Klammer G3-5/8 (c10) 71/16</t>
  </si>
  <si>
    <t>0130006</t>
  </si>
  <si>
    <t>0130007</t>
  </si>
  <si>
    <t>Klammer 10 X 13</t>
  </si>
  <si>
    <t>0130008</t>
  </si>
  <si>
    <t>Klammer 10 X 25</t>
  </si>
  <si>
    <t>0130010</t>
  </si>
  <si>
    <t>Klammer 80</t>
  </si>
  <si>
    <t>0130011</t>
  </si>
  <si>
    <t>Klammer 26 X 22 W5562/22</t>
  </si>
  <si>
    <t>0130012</t>
  </si>
  <si>
    <t>Klammer G3-12 CP LF</t>
  </si>
  <si>
    <t>0130013</t>
  </si>
  <si>
    <t>Klammer G3-10 CP LF</t>
  </si>
  <si>
    <t>0130014</t>
  </si>
  <si>
    <t>Klammer G3-5/16 (C05)</t>
  </si>
  <si>
    <t>0130015</t>
  </si>
  <si>
    <t>Klammer  W5562/32</t>
  </si>
  <si>
    <t>0130020</t>
  </si>
  <si>
    <t>Klammer 30mm</t>
  </si>
  <si>
    <t>0130021</t>
  </si>
  <si>
    <t>Klammer 35mm</t>
  </si>
  <si>
    <t>0131001</t>
  </si>
  <si>
    <t>Rändelschraube</t>
  </si>
  <si>
    <t>0131005</t>
  </si>
  <si>
    <t>Rändelmutter hohe Form</t>
  </si>
  <si>
    <t>0132</t>
  </si>
  <si>
    <t>0133</t>
  </si>
  <si>
    <t>0133001</t>
  </si>
  <si>
    <t>Gleitmutter</t>
  </si>
  <si>
    <t>0133002</t>
  </si>
  <si>
    <t>Gleitmutter V2A</t>
  </si>
  <si>
    <t>0134</t>
  </si>
  <si>
    <t>0134001</t>
  </si>
  <si>
    <t>Kabelhalter mit Steckfuß, 11 x 15</t>
  </si>
  <si>
    <t>0134002</t>
  </si>
  <si>
    <t>Kabelhalter mit Steckfuß                              1</t>
  </si>
  <si>
    <t>0135</t>
  </si>
  <si>
    <t>0135001</t>
  </si>
  <si>
    <t>Bowdenhülle</t>
  </si>
  <si>
    <t>0135002</t>
  </si>
  <si>
    <t>Abschlußkappe f. 2,5 mm Bowdenzug</t>
  </si>
  <si>
    <t>0135003</t>
  </si>
  <si>
    <t>Bowdenzug-Stellschraube M6  Uni Q</t>
  </si>
  <si>
    <t>0135004</t>
  </si>
  <si>
    <t>Spannschraube M8  Fibershield-H</t>
  </si>
  <si>
    <t>0136</t>
  </si>
  <si>
    <t>0136001</t>
  </si>
  <si>
    <t>Hülsmutter mit Flachrundkopf , 12 X 34</t>
  </si>
  <si>
    <t>0137</t>
  </si>
  <si>
    <t>0137001</t>
  </si>
  <si>
    <t>Kegelschmiernippel A (H1)</t>
  </si>
  <si>
    <t>0138</t>
  </si>
  <si>
    <t>0139</t>
  </si>
  <si>
    <t>0140</t>
  </si>
  <si>
    <t>EMPE-Kleber , 25 kg Eimer</t>
  </si>
  <si>
    <t>0140002</t>
  </si>
  <si>
    <t>Polypropylen-Packband , braun , selbstkl</t>
  </si>
  <si>
    <t>0140003</t>
  </si>
  <si>
    <t>Doppelseitiges Klebeband Tesafix                     3</t>
  </si>
  <si>
    <t>Pattex Compact Gel (Kleber)</t>
  </si>
  <si>
    <t>Pattex-Kleber-Spezial , 4,5 kg Dose                   3</t>
  </si>
  <si>
    <t>0140006</t>
  </si>
  <si>
    <t>Wacker Elastosil-Kleber E41                           1</t>
  </si>
  <si>
    <t>0140007</t>
  </si>
  <si>
    <t>Sekundenkleber</t>
  </si>
  <si>
    <t>0140008</t>
  </si>
  <si>
    <t>Sofortklebstoff 20 ml                                 1</t>
  </si>
  <si>
    <t>0140009</t>
  </si>
  <si>
    <t>Terokal Härter 700</t>
  </si>
  <si>
    <t>0140010</t>
  </si>
  <si>
    <t>Flächendicht flexibel Sopro FDF 525</t>
  </si>
  <si>
    <t>0140011</t>
  </si>
  <si>
    <t>Universalklebeband Silber 38mm 50m</t>
  </si>
  <si>
    <t>0140012</t>
  </si>
  <si>
    <t>Petec Schraubensicherung hochfest                     1</t>
  </si>
  <si>
    <t>0140013</t>
  </si>
  <si>
    <t>Loctite Cleaner 7070</t>
  </si>
  <si>
    <t>0140014</t>
  </si>
  <si>
    <t>Loctite 480 , 20 gr                                   1</t>
  </si>
  <si>
    <t>0140015</t>
  </si>
  <si>
    <t>PVC-Packband gelb</t>
  </si>
  <si>
    <t>0140016</t>
  </si>
  <si>
    <t>Tesaband , grau 4651,  50mm                           2</t>
  </si>
  <si>
    <t>0140017</t>
  </si>
  <si>
    <t>Pattex-Kleber-Lösungsmittelfrei , 500 gr</t>
  </si>
  <si>
    <t>0140018</t>
  </si>
  <si>
    <t>Technic.Kleber 8061/160K</t>
  </si>
  <si>
    <t>0140019</t>
  </si>
  <si>
    <t>Tesafix , grau 4651 100mm                             5</t>
  </si>
  <si>
    <t>0140020</t>
  </si>
  <si>
    <t>Loctite 7063 Reiniger</t>
  </si>
  <si>
    <t>0140021</t>
  </si>
  <si>
    <t>Loctite 480 , 500 Gr.                                21</t>
  </si>
  <si>
    <t>0140022</t>
  </si>
  <si>
    <t>Loctite Cleaner Reiniger 7070                         5</t>
  </si>
  <si>
    <t>0140023</t>
  </si>
  <si>
    <t>Weicon VA-8406 50gr                                   1</t>
  </si>
  <si>
    <t>0140024</t>
  </si>
  <si>
    <t>Petec Schraubensicherung mittelfest                   1</t>
  </si>
  <si>
    <t>0140025</t>
  </si>
  <si>
    <t>Tesaband Nr.4657 grau  50m : 50mm                     3</t>
  </si>
  <si>
    <t>0140026</t>
  </si>
  <si>
    <t>TESA-Klebeband doppelseitig 4959                      1</t>
  </si>
  <si>
    <t>0140027</t>
  </si>
  <si>
    <t>Doppelseit. Klebeband Tesafix 4970</t>
  </si>
  <si>
    <t>0140028</t>
  </si>
  <si>
    <t>Tesaband grau 2,75 m : 38 mm Nr. 56343</t>
  </si>
  <si>
    <t>0140029</t>
  </si>
  <si>
    <t>Klebeband Aluminium mit Papierliner 260m              5</t>
  </si>
  <si>
    <t>0140030</t>
  </si>
  <si>
    <t>Klebeband, rot mit weiss bedruckt PVC</t>
  </si>
  <si>
    <t>0140050</t>
  </si>
  <si>
    <t>PVC-Packband rot  Elektrogeräte</t>
  </si>
  <si>
    <t>0140051</t>
  </si>
  <si>
    <t>Verpackungsband Bruchgefahr</t>
  </si>
  <si>
    <t>0140052</t>
  </si>
  <si>
    <t>Tesa Gewebeband schwarz 19 mm (RSV)                   1</t>
  </si>
  <si>
    <t>0140053</t>
  </si>
  <si>
    <t>Klebeband Aluminium  50mm- 50m / Rolle                1</t>
  </si>
  <si>
    <t>0140054</t>
  </si>
  <si>
    <t>Kleber Macroplast UR7225B-30 kg</t>
  </si>
  <si>
    <t>0140055</t>
  </si>
  <si>
    <t>Reiniger Macroplast B8040-30kg</t>
  </si>
  <si>
    <t>0140056</t>
  </si>
  <si>
    <t>Kleber Deko 10, 5-kg Gebinde</t>
  </si>
  <si>
    <t>0140057</t>
  </si>
  <si>
    <t>Twilltex 200 (Klebeband) SK 50/50                     1</t>
  </si>
  <si>
    <t>Twilltex 200 (Klebeband) SK 38/5</t>
  </si>
  <si>
    <t>0140059</t>
  </si>
  <si>
    <t>Tesaband , Alu 50565 PV1,  75mm                       1</t>
  </si>
  <si>
    <t>0140060</t>
  </si>
  <si>
    <t>Klebeband Hitzebeständig -220° selbstkl</t>
  </si>
  <si>
    <t>Pattex-Kleber-Spezial ,  50 gr Tube</t>
  </si>
  <si>
    <t>Pattex-Kleber-Spezial ,  125 gr Tube</t>
  </si>
  <si>
    <t>0140063</t>
  </si>
  <si>
    <t>Mini-Stretch-Folie b=100mm  l=150m</t>
  </si>
  <si>
    <t>0140065</t>
  </si>
  <si>
    <t>Klettband 3M, Universal FES 10090304</t>
  </si>
  <si>
    <t>0140066</t>
  </si>
  <si>
    <t>Klebeband, Doppelseitig, mit Silikon-                 6</t>
  </si>
  <si>
    <t>0140071</t>
  </si>
  <si>
    <t>PVC-Packband weiß mit Stöbich Logo</t>
  </si>
  <si>
    <t>0142</t>
  </si>
  <si>
    <t>0146</t>
  </si>
  <si>
    <t>0148</t>
  </si>
  <si>
    <t>0150001</t>
  </si>
  <si>
    <t>Halter für Laufschiene (VS/6) RGT</t>
  </si>
  <si>
    <t>0150002</t>
  </si>
  <si>
    <t>Halter für Schließgeschwindigkeitsregler</t>
  </si>
  <si>
    <t>0150003</t>
  </si>
  <si>
    <t>Laufrollenhalter hinten VS-8</t>
  </si>
  <si>
    <t>0150004</t>
  </si>
  <si>
    <t>Laufrollenhalter vorn VS 9</t>
  </si>
  <si>
    <t>0150005</t>
  </si>
  <si>
    <t>Lagerflansch-Blech für Gurtaufwickler</t>
  </si>
  <si>
    <t>0150006</t>
  </si>
  <si>
    <t>0150007</t>
  </si>
  <si>
    <t>Präzisionsstahlrohr d=74 blank</t>
  </si>
  <si>
    <t>0150008</t>
  </si>
  <si>
    <t>Helm-Muffe 404 mit 40 mm Bolzen</t>
  </si>
  <si>
    <t>0150009</t>
  </si>
  <si>
    <t>Endschalterrohr für Ecotube</t>
  </si>
  <si>
    <t>0150010</t>
  </si>
  <si>
    <t>Ankerplatte</t>
  </si>
  <si>
    <t>0150011</t>
  </si>
  <si>
    <t>Halteblech für großes Gußgewicht</t>
  </si>
  <si>
    <t>0150012</t>
  </si>
  <si>
    <t>Halteblech für kleines Gußgewicht RGT</t>
  </si>
  <si>
    <t>0150013</t>
  </si>
  <si>
    <t>Halter für Ovalschiene RGT (Schiene)</t>
  </si>
  <si>
    <t>0150014</t>
  </si>
  <si>
    <t>Halter Ovalschiene Wand RGT</t>
  </si>
  <si>
    <t>0150015</t>
  </si>
  <si>
    <t>Halter Schieberführungsrolle rechts RGT</t>
  </si>
  <si>
    <t>0150016</t>
  </si>
  <si>
    <t>Blendenhalter HO/15 RGT</t>
  </si>
  <si>
    <t>0150017</t>
  </si>
  <si>
    <t>Hangrollenhalter, kpl. Uni-B</t>
  </si>
  <si>
    <t>0150018</t>
  </si>
  <si>
    <t>Schieberverbinder oben RGT re -&gt; li</t>
  </si>
  <si>
    <t>0150019</t>
  </si>
  <si>
    <t>Schieberanbindung Kett 1/2 x 5/16 RGT</t>
  </si>
  <si>
    <t>0150020</t>
  </si>
  <si>
    <t>Halter Schieberführungsrolle links RGT</t>
  </si>
  <si>
    <t>0150021</t>
  </si>
  <si>
    <t>0150022</t>
  </si>
  <si>
    <t>Lagerhalter</t>
  </si>
  <si>
    <t>0150023</t>
  </si>
  <si>
    <t>0150024</t>
  </si>
  <si>
    <t>Halter für Lineardämpfer rechts RGT</t>
  </si>
  <si>
    <t>0150025</t>
  </si>
  <si>
    <t>Halter für Lineardämpfer links RGT</t>
  </si>
  <si>
    <t>0150026</t>
  </si>
  <si>
    <t>Halter für Lineardämpfer ohne Absenkung</t>
  </si>
  <si>
    <t>0150027</t>
  </si>
  <si>
    <t>Schieberabindung  Kette 1/2x1/8 Uni-B</t>
  </si>
  <si>
    <t>0150028</t>
  </si>
  <si>
    <t>Schieberanbindung Seil</t>
  </si>
  <si>
    <t>0150029</t>
  </si>
  <si>
    <t>Kettenaufhängung</t>
  </si>
  <si>
    <t>0150030</t>
  </si>
  <si>
    <t>Befestigungsblech Ankerplatte Uni-B</t>
  </si>
  <si>
    <t>0150031</t>
  </si>
  <si>
    <t>Seilanbindung für Öffnungsgriff</t>
  </si>
  <si>
    <t>0150032</t>
  </si>
  <si>
    <t>Kettenanbindung 1/2x5/16 Uni-B</t>
  </si>
  <si>
    <t>0150033</t>
  </si>
  <si>
    <t>Kettenanbindung auf Antriebsseite</t>
  </si>
  <si>
    <t>0150034</t>
  </si>
  <si>
    <t>Kettenanbindung Kette Antriebseite</t>
  </si>
  <si>
    <t>0150035</t>
  </si>
  <si>
    <t>Schieberanbindung Gurt Schweißteil Uni-B</t>
  </si>
  <si>
    <t>0150036</t>
  </si>
  <si>
    <t>Schieberanbindung Kette 1/2 x 5/16</t>
  </si>
  <si>
    <t>0150037</t>
  </si>
  <si>
    <t>Gewichtsaufhängung Uni-B</t>
  </si>
  <si>
    <t>0150038</t>
  </si>
  <si>
    <t>Kettenaufhängung RGT vertikal</t>
  </si>
  <si>
    <t>0150039</t>
  </si>
  <si>
    <t>Schieberanbindung Gurt (Losteil) Uni-B</t>
  </si>
  <si>
    <t>0150040</t>
  </si>
  <si>
    <t>Antriebshalterung EB 01</t>
  </si>
  <si>
    <t>0150041</t>
  </si>
  <si>
    <t>Kettenanbindung</t>
  </si>
  <si>
    <t>0150042</t>
  </si>
  <si>
    <t>Flachstahl für Hangrollenhalter</t>
  </si>
  <si>
    <t>0150043</t>
  </si>
  <si>
    <t>Gurtklemme Hangrollenhalter RGT/OS/Uni-B</t>
  </si>
  <si>
    <t>0150044</t>
  </si>
  <si>
    <t>Helm-Muffe 104 mit 40 mm Bolzen</t>
  </si>
  <si>
    <t>0150045</t>
  </si>
  <si>
    <t>Halter mit Lineardämpfer                              5</t>
  </si>
  <si>
    <t>0150046</t>
  </si>
  <si>
    <t>Laufrollenhalter hinten mit Kugellager</t>
  </si>
  <si>
    <t>0150047</t>
  </si>
  <si>
    <t>Laufrollenhalter vorne mit Kugellager</t>
  </si>
  <si>
    <t>0150048</t>
  </si>
  <si>
    <t>Halter mit Schieberführungsrolle                      1</t>
  </si>
  <si>
    <t>0150049</t>
  </si>
  <si>
    <t>Halter mit Hangrolle und Befestigung++++              2</t>
  </si>
  <si>
    <t>Ausgleichsblech mit offenem Langloch 2mm</t>
  </si>
  <si>
    <t>Ausgleichsblech mit offenem Langloch 3mm</t>
  </si>
  <si>
    <t>Ausgleichsblech mit offenem Langloch 5mm</t>
  </si>
  <si>
    <t>0150053</t>
  </si>
  <si>
    <t>Schieberverbinder oben RGT li -&gt; re</t>
  </si>
  <si>
    <t>0150054</t>
  </si>
  <si>
    <t>Haltewinkel für ECO-TUBE N1/N3</t>
  </si>
  <si>
    <t>0150055</t>
  </si>
  <si>
    <t>Eckverbinder oben N1/N3 Ecotube</t>
  </si>
  <si>
    <t>0150056</t>
  </si>
  <si>
    <t>Gewichtsaufhängung RGT horizontal mit</t>
  </si>
  <si>
    <t>0150057</t>
  </si>
  <si>
    <t>Gewichtsaufhängung horizontal</t>
  </si>
  <si>
    <t>0150058</t>
  </si>
  <si>
    <t>Kettenanbindung für RGT mit B-Gewichte</t>
  </si>
  <si>
    <t>0150059</t>
  </si>
  <si>
    <t>Kettenanbindung 1/2 X 1/8, horizontal</t>
  </si>
  <si>
    <t>0150060</t>
  </si>
  <si>
    <t>Halteblech für Rolle RSV</t>
  </si>
  <si>
    <t>0150061</t>
  </si>
  <si>
    <t>U-Kantung für Wälzlagerführung Ecotube</t>
  </si>
  <si>
    <t>0150062</t>
  </si>
  <si>
    <t>Platte für Schieber PN/Ecotube ++++++++</t>
  </si>
  <si>
    <t>0150063</t>
  </si>
  <si>
    <t>Zylinderanbindung für Ecotube</t>
  </si>
  <si>
    <t>0150064</t>
  </si>
  <si>
    <t>Halter für Futterrohr PN/Ecotube</t>
  </si>
  <si>
    <t>Ankerplatte für alle FAA</t>
  </si>
  <si>
    <t>0150066</t>
  </si>
  <si>
    <t>Flansch für Federwelle Durchm 124                     2</t>
  </si>
  <si>
    <t>0150067</t>
  </si>
  <si>
    <t>Flansch 01 für Antriebseinheit r st52-3</t>
  </si>
  <si>
    <t>0150068</t>
  </si>
  <si>
    <t>Flansch 02 für Antriebseinheit</t>
  </si>
  <si>
    <t>0150069</t>
  </si>
  <si>
    <t>Aufnahme für Antrieb U200                             2</t>
  </si>
  <si>
    <t>0150070</t>
  </si>
  <si>
    <t>0150071</t>
  </si>
  <si>
    <t>Hangrollenhalter mit Bügel für RGT</t>
  </si>
  <si>
    <t>0150072</t>
  </si>
  <si>
    <t>Halter Gurtumlenkung RGT/OS</t>
  </si>
  <si>
    <t>0150073</t>
  </si>
  <si>
    <t>Befestigungswinkel Rahmenplatte Ecotube</t>
  </si>
  <si>
    <t>0150074</t>
  </si>
  <si>
    <t>Haltewinkel für Ecotube N7</t>
  </si>
  <si>
    <t>0150075</t>
  </si>
  <si>
    <t>Halter für Hangrolle 60er Schieber</t>
  </si>
  <si>
    <t>0150076</t>
  </si>
  <si>
    <t>Halter für Hangrolle 34er Schieber</t>
  </si>
  <si>
    <t>0150077</t>
  </si>
  <si>
    <t>Halter für Hangrolle mit 2 Bohrungen á 1</t>
  </si>
  <si>
    <t>0150078</t>
  </si>
  <si>
    <t>Eckverbinder oben N7 Ecotube</t>
  </si>
  <si>
    <t>0150079</t>
  </si>
  <si>
    <t>Rohr f. Seilumlenkung Gegengewicht ecotu</t>
  </si>
  <si>
    <t>0150080</t>
  </si>
  <si>
    <t>Unterlegplatte Seilumlenkung Helm N7 O</t>
  </si>
  <si>
    <t>0150081</t>
  </si>
  <si>
    <t>Ankerplatte D=80mm,mit M10 Gewindebohr</t>
  </si>
  <si>
    <t>0150082</t>
  </si>
  <si>
    <t>0150083</t>
  </si>
  <si>
    <t>Laufrollenhalter hinten VS-9</t>
  </si>
  <si>
    <t>0150084</t>
  </si>
  <si>
    <t>Gewichtsaufhängung mit Seilanbindung</t>
  </si>
  <si>
    <t>0150085</t>
  </si>
  <si>
    <t>Seil 4 mm Niro 18 X 7 mit CU-Preßklemme</t>
  </si>
  <si>
    <t>0150086</t>
  </si>
  <si>
    <t>Befestigungskonsole Gasdruckfeder links</t>
  </si>
  <si>
    <t>VA                 4</t>
  </si>
  <si>
    <t>..</t>
  </si>
  <si>
    <t>0150087</t>
  </si>
  <si>
    <t>Flachstahl für Befestigungskonsole Uni Q</t>
  </si>
  <si>
    <t>Ankerplatte 8-eckig d=80mm V2A</t>
  </si>
  <si>
    <t>0150089</t>
  </si>
  <si>
    <t>Bügel</t>
  </si>
  <si>
    <t>0150090</t>
  </si>
  <si>
    <t>Wippe für Servo</t>
  </si>
  <si>
    <t>0150091</t>
  </si>
  <si>
    <t>Kantung für Hangrollenhalter Uni - B</t>
  </si>
  <si>
    <t>0150092</t>
  </si>
  <si>
    <t>Wandkonsole für Dämpfer Uni-Q komplett</t>
  </si>
  <si>
    <t>..                                                    4</t>
  </si>
  <si>
    <t>0150093</t>
  </si>
  <si>
    <t>Befestigungskonsole Gasdruckfeder rechts</t>
  </si>
  <si>
    <t>0150094</t>
  </si>
  <si>
    <t>Motorabdeckung RSV Antrieb</t>
  </si>
  <si>
    <t>0150095</t>
  </si>
  <si>
    <t>Grundträger (Wandkonsole) Dämpfer Uni-Q</t>
  </si>
  <si>
    <t>0150096</t>
  </si>
  <si>
    <t>Aufnahme für Dämpfer (Wandkonsole) Uni-Q</t>
  </si>
  <si>
    <t>0150097</t>
  </si>
  <si>
    <t>Grundplatte für Befestigungskonsole</t>
  </si>
  <si>
    <t>0150098</t>
  </si>
  <si>
    <t>0150100</t>
  </si>
  <si>
    <t>Distanzrohr Gummistopper l=10 Ecotube</t>
  </si>
  <si>
    <t>0150101</t>
  </si>
  <si>
    <t>Schaltblech FAA geschlossen RGT</t>
  </si>
  <si>
    <t>0150102</t>
  </si>
  <si>
    <t>Haltescheibe für Stangenführung</t>
  </si>
  <si>
    <t>0150103</t>
  </si>
  <si>
    <t>Schaltblech für EB02/22 verzinkt</t>
  </si>
  <si>
    <t>0150104</t>
  </si>
  <si>
    <t>Distanzrohr Gummistopper l=15 / Ecotube</t>
  </si>
  <si>
    <t>0150105</t>
  </si>
  <si>
    <t>Befestigung für Tauchrollengestänge am</t>
  </si>
  <si>
    <t>0150106</t>
  </si>
  <si>
    <t>Befestigung für Tauchrollengestänge</t>
  </si>
  <si>
    <t>0150107</t>
  </si>
  <si>
    <t>Halter für Schieberführungsrolle RGT</t>
  </si>
  <si>
    <t>0150108</t>
  </si>
  <si>
    <t>Verbinder Stangenführung D=20 RS/FSA</t>
  </si>
  <si>
    <t>0150109</t>
  </si>
  <si>
    <t>Halter für Kugellager UNI S rechts</t>
  </si>
  <si>
    <t>0150110</t>
  </si>
  <si>
    <t>Raststahl Fl50 X 12 L=140</t>
  </si>
  <si>
    <t>0150111</t>
  </si>
  <si>
    <t>Gegengewicht D=20 L=150</t>
  </si>
  <si>
    <t>0150112</t>
  </si>
  <si>
    <t>Distanzstück für Konsolengrundplatte</t>
  </si>
  <si>
    <t>0150113</t>
  </si>
  <si>
    <t>Leitblech 12-B OC</t>
  </si>
  <si>
    <t>0150114</t>
  </si>
  <si>
    <t>Elast.Gleitstück für Konsole OC</t>
  </si>
  <si>
    <t>0150115</t>
  </si>
  <si>
    <t>Winkel für Kettenspanner</t>
  </si>
  <si>
    <t>0150116</t>
  </si>
  <si>
    <t>Niederhalter für Kette 12B re komplett</t>
  </si>
  <si>
    <t>0150117</t>
  </si>
  <si>
    <t>Gegenlager zu Kugellager UNI S</t>
  </si>
  <si>
    <t>0150118</t>
  </si>
  <si>
    <t>Blech f. Elast.Gleitstück f. Konsole OC</t>
  </si>
  <si>
    <t>0150119</t>
  </si>
  <si>
    <t>Distanzstück für Blende RGT horizontal</t>
  </si>
  <si>
    <t>0150121</t>
  </si>
  <si>
    <t>Schiebemutter Rohrinstallation</t>
  </si>
  <si>
    <t>0150122</t>
  </si>
  <si>
    <t>C-Montageschiene</t>
  </si>
  <si>
    <t>0150123</t>
  </si>
  <si>
    <t>Kettenabweiser,rechts OC-12-B</t>
  </si>
  <si>
    <t>0150124</t>
  </si>
  <si>
    <t>Kettenabweiser,links OC -12-B</t>
  </si>
  <si>
    <t>0150125</t>
  </si>
  <si>
    <t>Führungsblech für Konsole &lt;=4500mm</t>
  </si>
  <si>
    <t>0150126</t>
  </si>
  <si>
    <t>Federspannteil links vz.                              2</t>
  </si>
  <si>
    <t>0150127</t>
  </si>
  <si>
    <t>Federspannteil rechts vz.                             2</t>
  </si>
  <si>
    <t>0150128</t>
  </si>
  <si>
    <t>Führungsblech für Konsole &lt;=4500mm OC</t>
  </si>
  <si>
    <t>0150129</t>
  </si>
  <si>
    <t>Blockierwinkel für RGT</t>
  </si>
  <si>
    <t>0150130</t>
  </si>
  <si>
    <t>0150131</t>
  </si>
  <si>
    <t>0150132</t>
  </si>
  <si>
    <t>Einsteckhülse/Gewindehülse M 16x1,5 80lg</t>
  </si>
  <si>
    <t>0150133</t>
  </si>
  <si>
    <t>Niederhalter Kette 12B li. bis Juli 01                1</t>
  </si>
  <si>
    <t>0150134</t>
  </si>
  <si>
    <t>Halteblech für Gußgewicht</t>
  </si>
  <si>
    <t>0150135</t>
  </si>
  <si>
    <t>Halter mit Lineardämpfer 30100.8T</t>
  </si>
  <si>
    <t>0150136</t>
  </si>
  <si>
    <t>Halteblech RSV</t>
  </si>
  <si>
    <t>0150138</t>
  </si>
  <si>
    <t>Gurtanbindung + Verriegelung Uni-B</t>
  </si>
  <si>
    <t>0150139</t>
  </si>
  <si>
    <t>Befestigungswinkel Federseilrolle 160N</t>
  </si>
  <si>
    <t>0150140</t>
  </si>
  <si>
    <t>Rohrsatz inkl. 2 Stk. Losflansche                    41</t>
  </si>
  <si>
    <t>0150141</t>
  </si>
  <si>
    <t>Rohrsatz inkl. 2 Stk. Losflansche                    22</t>
  </si>
  <si>
    <t>0150142</t>
  </si>
  <si>
    <t>Futterrohr N1 NW 900                                 31</t>
  </si>
  <si>
    <t>0150143</t>
  </si>
  <si>
    <t>Futterrohr N1 NW 450                                 20</t>
  </si>
  <si>
    <t>0150144</t>
  </si>
  <si>
    <t>Brandschutzschaum BS 2K                               3</t>
  </si>
  <si>
    <t>0150145</t>
  </si>
  <si>
    <t>Federaufnahme für Konsole OC links</t>
  </si>
  <si>
    <t>0150146</t>
  </si>
  <si>
    <t>Federaufnahme für Konsole OC rechts</t>
  </si>
  <si>
    <t>0150147</t>
  </si>
  <si>
    <t>0150148</t>
  </si>
  <si>
    <t>0150149</t>
  </si>
  <si>
    <t>Niederhalter für Kette 16B li.+re.                    1</t>
  </si>
  <si>
    <t>0150150</t>
  </si>
  <si>
    <t>Niederhalter Kette 16B re. bis Jan.02</t>
  </si>
  <si>
    <t>0150151</t>
  </si>
  <si>
    <t>Motoraufnahme U 200x200                               2</t>
  </si>
  <si>
    <t>0150152</t>
  </si>
  <si>
    <t>Winkel Rahmenbefest re vorne Ecotube alt</t>
  </si>
  <si>
    <t>0150153</t>
  </si>
  <si>
    <t>Winkel Rahmenbefest li vorne Ecotube alt</t>
  </si>
  <si>
    <t>0150154</t>
  </si>
  <si>
    <t>Winkel Rahmenbefestigung rechts hinten</t>
  </si>
  <si>
    <t>0150155</t>
  </si>
  <si>
    <t>Winkel Rahmenbefestigung links hinten</t>
  </si>
  <si>
    <t>0150156</t>
  </si>
  <si>
    <t>Winkel Rahmenbefest re Mehrfach Ecotube</t>
  </si>
  <si>
    <t>0150157</t>
  </si>
  <si>
    <t>Winkel Rahmenbefest li Mehrfach Ecotube</t>
  </si>
  <si>
    <t>0150158</t>
  </si>
  <si>
    <t>0150159</t>
  </si>
  <si>
    <t>0150160</t>
  </si>
  <si>
    <t>Schieberanbindung Kette 1/2 x 1/8 Uni-B</t>
  </si>
  <si>
    <t>0150161</t>
  </si>
  <si>
    <t>Schieberanbindung Kette 1/2x5/16 Uni-B</t>
  </si>
  <si>
    <t>0150162</t>
  </si>
  <si>
    <t>Stahlrohr, nahtlos                                    2</t>
  </si>
  <si>
    <t>0150163</t>
  </si>
  <si>
    <t>U-Kantung für EH Tür</t>
  </si>
  <si>
    <t>0150164</t>
  </si>
  <si>
    <t>Durchsteckanker HST M10X130/50</t>
  </si>
  <si>
    <t>0150165</t>
  </si>
  <si>
    <t>Halter für Ovalschiene Uni-B (Wand)</t>
  </si>
  <si>
    <t>0150166</t>
  </si>
  <si>
    <t>Halter für Ovalschiene/Schiene B 140mm</t>
  </si>
  <si>
    <t>0150167</t>
  </si>
  <si>
    <t>Halter für Konsole Absenkschiene</t>
  </si>
  <si>
    <t>0150168</t>
  </si>
  <si>
    <t>Halter für Konsole Absenkschiene B 140mm</t>
  </si>
  <si>
    <t>0150169</t>
  </si>
  <si>
    <t>Schieberblattaufhängung Uni-B horizontal</t>
  </si>
  <si>
    <t>0150170</t>
  </si>
  <si>
    <t>Durchsteckanker HST M12X145/50</t>
  </si>
  <si>
    <t>0150171</t>
  </si>
  <si>
    <t>Kettenabweiser,rechts OC 16-B</t>
  </si>
  <si>
    <t>0150172</t>
  </si>
  <si>
    <t>Kettenabweiser,links OC-16-B</t>
  </si>
  <si>
    <t>0150173</t>
  </si>
  <si>
    <t>Haltewinkel für Federaufnahme RSV</t>
  </si>
  <si>
    <t>0150174</t>
  </si>
  <si>
    <t>Schaltfahne OC für Initiator</t>
  </si>
  <si>
    <t>0150175</t>
  </si>
  <si>
    <t>Flachstahl/Buchse</t>
  </si>
  <si>
    <t>0150176</t>
  </si>
  <si>
    <t>Gleitführung für RGT Laufwerk, neu</t>
  </si>
  <si>
    <t>0150177</t>
  </si>
  <si>
    <t>Führungsblech für Gleitführung RGT,neu</t>
  </si>
  <si>
    <t>0150178</t>
  </si>
  <si>
    <t>Leitblech OC-16-B</t>
  </si>
  <si>
    <t>0150179</t>
  </si>
  <si>
    <t>Distanzrohr 15mm Uni Q</t>
  </si>
  <si>
    <t>0150180</t>
  </si>
  <si>
    <t>Distanzrohr 20mm Uni Q</t>
  </si>
  <si>
    <t>0150181</t>
  </si>
  <si>
    <t>Flachstahllaufrolle ECClos-S                          1</t>
  </si>
  <si>
    <t>0150182</t>
  </si>
  <si>
    <t>Winkel für Rollapparate mitAusklinkung</t>
  </si>
  <si>
    <t>0150183</t>
  </si>
  <si>
    <t>Flachstahllaufrolle ECClos-S</t>
  </si>
  <si>
    <t>0150184</t>
  </si>
  <si>
    <t>Führungsblech für Fangvorrichtung</t>
  </si>
  <si>
    <t>0150185</t>
  </si>
  <si>
    <t>Befestigungsplatte für Fangkeil</t>
  </si>
  <si>
    <t>0150186</t>
  </si>
  <si>
    <t>Führungswinkel für Führungskeil</t>
  </si>
  <si>
    <t>0150187</t>
  </si>
  <si>
    <t>Zahnkranz für Fangvorrichtung</t>
  </si>
  <si>
    <t>0150188</t>
  </si>
  <si>
    <t>Führungskeil für Fangvorrichtung</t>
  </si>
  <si>
    <t>0150189</t>
  </si>
  <si>
    <t>Drehteil (Flansch) für Zahnkupplung                   2</t>
  </si>
  <si>
    <t>0150190</t>
  </si>
  <si>
    <t>Umlenkwelle Gummiseil</t>
  </si>
  <si>
    <t>0150191</t>
  </si>
  <si>
    <t>Halterung Teleliftschiene li.+re. für</t>
  </si>
  <si>
    <t>0150192</t>
  </si>
  <si>
    <t>Lagersitz für Aufnahme für Antrieb - OC</t>
  </si>
  <si>
    <t>0150193</t>
  </si>
  <si>
    <t>Aufnahme für Antrieb - OC                             2</t>
  </si>
  <si>
    <t>0150194</t>
  </si>
  <si>
    <t>Rohr für Kupplungsgehäuse-OC</t>
  </si>
  <si>
    <t>0150195</t>
  </si>
  <si>
    <t>Aufnahme für Antrieb - OC                             1</t>
  </si>
  <si>
    <t>0150196</t>
  </si>
  <si>
    <t>U-Stahl für Aufnahme für Antrieb - OC</t>
  </si>
  <si>
    <t>0150197</t>
  </si>
  <si>
    <t>Lagersatz für Aufnahme für Antrieb - OC</t>
  </si>
  <si>
    <t>0150198</t>
  </si>
  <si>
    <t>Rohr für Kupplungsgehäuse - OC</t>
  </si>
  <si>
    <t>0150199</t>
  </si>
  <si>
    <t>Flansch 1 für Kupplungsgehäuse - OC</t>
  </si>
  <si>
    <t>0150200</t>
  </si>
  <si>
    <t>Rohrverbinder für Wickelrohr 133 x 4                  8</t>
  </si>
  <si>
    <t>0150201</t>
  </si>
  <si>
    <t>Stahlb Kons 12-B Motorseite OC                       18</t>
  </si>
  <si>
    <t>0150202</t>
  </si>
  <si>
    <t>Stahlb Kons 12-B Motorgegenseite OC                   1</t>
  </si>
  <si>
    <t>0150203</t>
  </si>
  <si>
    <t>Stahlb Kons 12-B Motorgegenseite OC                  20</t>
  </si>
  <si>
    <t>0150204</t>
  </si>
  <si>
    <t>Stahlb Kons 12-B Motorseite OC                       20</t>
  </si>
  <si>
    <t>0150205</t>
  </si>
  <si>
    <t>Stahlb Kons 12-B Motorseite OC                       19</t>
  </si>
  <si>
    <t>0150206</t>
  </si>
  <si>
    <t>0150207</t>
  </si>
  <si>
    <t>Laufschiene für Konsole 12-B                         34</t>
  </si>
  <si>
    <t>0150208</t>
  </si>
  <si>
    <t>Laufschiene für Konsole 12-B                         18</t>
  </si>
  <si>
    <t>0150209</t>
  </si>
  <si>
    <t>Laufschiene für Konsole 12-B                         19</t>
  </si>
  <si>
    <t>0150210</t>
  </si>
  <si>
    <t>Zapfen mit Flansch rechts                            19</t>
  </si>
  <si>
    <t>0150211</t>
  </si>
  <si>
    <t>Zapfen mit Flansch links                             19</t>
  </si>
  <si>
    <t>0150212</t>
  </si>
  <si>
    <t>Laufschiene OC-Konsole 12-B Größe 1</t>
  </si>
  <si>
    <t>0150213</t>
  </si>
  <si>
    <t>Laufschiene OC-Konsole 12-B Größe 2</t>
  </si>
  <si>
    <t>0150214</t>
  </si>
  <si>
    <t>Laufschiene OC-Konsole 12-B Größe 3</t>
  </si>
  <si>
    <t>0150215</t>
  </si>
  <si>
    <t>Laufschiene Konsole 16-B OC</t>
  </si>
  <si>
    <t>0150216</t>
  </si>
  <si>
    <t>Zapfen mit Flansch rechts OC                          1</t>
  </si>
  <si>
    <t>0150217</t>
  </si>
  <si>
    <t>Zapfen mit Flansch links OC                           1</t>
  </si>
  <si>
    <t>0150218</t>
  </si>
  <si>
    <t>Fangvorrichtung komplett OC                           4</t>
  </si>
  <si>
    <t>0150219</t>
  </si>
  <si>
    <t>Zahnkranz für Fangvorrichtung OC T                    1</t>
  </si>
  <si>
    <t>0150220</t>
  </si>
  <si>
    <t>Deckel Sensor für Fangvorrichtung OC T                1</t>
  </si>
  <si>
    <t>0150221</t>
  </si>
  <si>
    <t>Grundteil für Sensor Fangvorr. OC T                   1</t>
  </si>
  <si>
    <t>0150222</t>
  </si>
  <si>
    <t>Reibrad für Fangvorrichtung - OC</t>
  </si>
  <si>
    <t>0150223</t>
  </si>
  <si>
    <t>Aufnahme für Fangvorrichtung</t>
  </si>
  <si>
    <t>0150224</t>
  </si>
  <si>
    <t>Führungskeil für OC Fangvorrichtung                   3</t>
  </si>
  <si>
    <t>0150225</t>
  </si>
  <si>
    <t>Fangkeil für OC Fangvorrichtung                       1</t>
  </si>
  <si>
    <t>0150226</t>
  </si>
  <si>
    <t>Sensor komplett für Fangvorrichtung OC                1</t>
  </si>
  <si>
    <t>0150227</t>
  </si>
  <si>
    <t>Hangrollenhalter komplett                             2</t>
  </si>
  <si>
    <t>0150228</t>
  </si>
  <si>
    <t>Rechteckrohr                                          1</t>
  </si>
  <si>
    <t>0150230</t>
  </si>
  <si>
    <t>ZZ-Brandschutzschaum 2K NE, 6er Set                  17</t>
  </si>
  <si>
    <t>0150231</t>
  </si>
  <si>
    <t>Zapfen für Federwelle</t>
  </si>
  <si>
    <t>0150232</t>
  </si>
  <si>
    <t>Abstützung für Antriebs.-und Federwelle               2</t>
  </si>
  <si>
    <t>0150233</t>
  </si>
  <si>
    <t>Grundplatte 5-Wege-Ventil Ecotube</t>
  </si>
  <si>
    <t>0150234</t>
  </si>
  <si>
    <t>Stahlb Kons 16-B Motorseite OC                       19</t>
  </si>
  <si>
    <t>0150235</t>
  </si>
  <si>
    <t>Stahlb Kons 16-B Motorgegenseite OC                  19</t>
  </si>
  <si>
    <t>0150236</t>
  </si>
  <si>
    <t>Stahlb Kons 16-B Motorgegenseite OC                  20</t>
  </si>
  <si>
    <t>0150237</t>
  </si>
  <si>
    <t>Stahlb Kons 16-B Motorseite OC                       20</t>
  </si>
  <si>
    <t>0150238</t>
  </si>
  <si>
    <t>0150239</t>
  </si>
  <si>
    <t>Stahlb Kons 16-B Motorgegenseite OC</t>
  </si>
  <si>
    <t>0150240</t>
  </si>
  <si>
    <t>Kennzeichnungsschild ZZ-Brandschutzschau</t>
  </si>
  <si>
    <t>0150241</t>
  </si>
  <si>
    <t>Verlängerungsröhrchen (L=20 cm)</t>
  </si>
  <si>
    <t>0150242</t>
  </si>
  <si>
    <t>Kartuschenpistole HandyMax 380 ml (5:1)               9</t>
  </si>
  <si>
    <t>0150243</t>
  </si>
  <si>
    <t>Sickenfüller Fischer Trapez</t>
  </si>
  <si>
    <t>0150244</t>
  </si>
  <si>
    <t>Profilrohr 50x50x4</t>
  </si>
  <si>
    <t>0150245</t>
  </si>
  <si>
    <t>Profilrohr</t>
  </si>
  <si>
    <t>0150246</t>
  </si>
  <si>
    <t>Verstärkung Kettenumlenkung Uni-B+++++++</t>
  </si>
  <si>
    <t>0150247</t>
  </si>
  <si>
    <t>Laufschiene für Konsole 16-B                          1</t>
  </si>
  <si>
    <t>0150248</t>
  </si>
  <si>
    <t>Halter für Fangvorrichtung OC-Lam Niedr</t>
  </si>
  <si>
    <t>0150249</t>
  </si>
  <si>
    <t>Gewindestange FIS A M 10 x 130</t>
  </si>
  <si>
    <t>0150250</t>
  </si>
  <si>
    <t>Konsole OC Baugruppe  1055 12B                       36</t>
  </si>
  <si>
    <t>0150251</t>
  </si>
  <si>
    <t>Rohrsatz inkl. 2 Stk. Losflansche</t>
  </si>
  <si>
    <t>0150252</t>
  </si>
  <si>
    <t>Futterrohr N1 NW 300                                 19</t>
  </si>
  <si>
    <t>0150253</t>
  </si>
  <si>
    <t>Befestigung Anschlußrohr</t>
  </si>
  <si>
    <t>0150254</t>
  </si>
  <si>
    <t>Spalteinstellung Ecotube</t>
  </si>
  <si>
    <t>0150255</t>
  </si>
  <si>
    <t>Knotenblech für Schieberrahmen Ecotube</t>
  </si>
  <si>
    <t>0150256</t>
  </si>
  <si>
    <t>Abdeckung Antriebwelle li 12-B - OC</t>
  </si>
  <si>
    <t>0150257</t>
  </si>
  <si>
    <t>Abdeckung Federwellenkette re 855 - OC</t>
  </si>
  <si>
    <t>0150258</t>
  </si>
  <si>
    <t>Abdeckung Antriebwelle Motors 12-B - OC</t>
  </si>
  <si>
    <t>0150259</t>
  </si>
  <si>
    <t>Fangblech links 855-OC</t>
  </si>
  <si>
    <t>0150260</t>
  </si>
  <si>
    <t>Abdeckbl f Fangbl Motor rechts 855-OC</t>
  </si>
  <si>
    <t>0150261</t>
  </si>
  <si>
    <t>Fangblech Motor rechts 855-OC</t>
  </si>
  <si>
    <t>0150262</t>
  </si>
  <si>
    <t>Abdeckbl f Fangbl links 855-OC</t>
  </si>
  <si>
    <t>0150263</t>
  </si>
  <si>
    <t>Rund.z.F.unt.Lam.Motorgegens. 16+16-B-OC</t>
  </si>
  <si>
    <t>0150264</t>
  </si>
  <si>
    <t>Rundstahl rechts FS OC untere Lamelle</t>
  </si>
  <si>
    <t>0150265</t>
  </si>
  <si>
    <t>Leitblech für Lamelle Führungsschiene OC</t>
  </si>
  <si>
    <t>0150266</t>
  </si>
  <si>
    <t>Flachstahl für Magnet OC-Lam Niedrigstur</t>
  </si>
  <si>
    <t>0150267</t>
  </si>
  <si>
    <t>Führungsblech ab 4500mm Führungsschie OC</t>
  </si>
  <si>
    <t>0150268</t>
  </si>
  <si>
    <t>Halter für Futterrohr N7 unten Ecotube</t>
  </si>
  <si>
    <t>0150269</t>
  </si>
  <si>
    <t>Halter für Futterrohr N7 oben Ecotube</t>
  </si>
  <si>
    <t>0150270</t>
  </si>
  <si>
    <t>Rund.z.F.unt.Lam.Motorgegens. 16/12-B-OC</t>
  </si>
  <si>
    <t>0150271</t>
  </si>
  <si>
    <t>Rund.z.F.unt.Lam.Motors. 16/12-B-OC</t>
  </si>
  <si>
    <t>0150272</t>
  </si>
  <si>
    <t>Führungsblech für Konsole &gt; 4500mm OC</t>
  </si>
  <si>
    <t>0150274</t>
  </si>
  <si>
    <t>Gasfedern                                            10</t>
  </si>
  <si>
    <t>0150275</t>
  </si>
  <si>
    <t>Umlenkrolle 74mm Gurt                                 6</t>
  </si>
  <si>
    <t>0150276</t>
  </si>
  <si>
    <t>Aufnahme für Antriebwelle rechts - OC                 1</t>
  </si>
  <si>
    <t>0150277</t>
  </si>
  <si>
    <t>Aufnahme für Antriebwelle links - OC                  1</t>
  </si>
  <si>
    <t>0150278</t>
  </si>
  <si>
    <t>Grundplatte Aufnahme für Antriebwelle OC</t>
  </si>
  <si>
    <t>0150279</t>
  </si>
  <si>
    <t>Zapfen für Doppelritzel Antriebwelle OC</t>
  </si>
  <si>
    <t>0150280</t>
  </si>
  <si>
    <t>Flachstahl für Aufnahme Antriebwelle OC</t>
  </si>
  <si>
    <t>0150281</t>
  </si>
  <si>
    <t>Zapfen für Federwelle OC</t>
  </si>
  <si>
    <t>0150282</t>
  </si>
  <si>
    <t>Motorhalter rechts OC</t>
  </si>
  <si>
    <t>0150283</t>
  </si>
  <si>
    <t>Stahlbau Konsole 16+16-B Motorseite OC</t>
  </si>
  <si>
    <t>0150284</t>
  </si>
  <si>
    <t>Stahlbau Konsole 16+16-B Motorgegens. OC</t>
  </si>
  <si>
    <t>0150285</t>
  </si>
  <si>
    <t>Abdeckung Federwellenkette re 1055 - OC</t>
  </si>
  <si>
    <t>0150286</t>
  </si>
  <si>
    <t>Abdeckung Federwellenkette re 1255 - OC</t>
  </si>
  <si>
    <t>0150287</t>
  </si>
  <si>
    <t>Fangblech links 1055-OC                               1</t>
  </si>
  <si>
    <t>0150288</t>
  </si>
  <si>
    <t>Fangblech links 1255-OC                               1</t>
  </si>
  <si>
    <t>0150289</t>
  </si>
  <si>
    <t>Abdeckbl f Fangbl Motor rechts 1055-OC</t>
  </si>
  <si>
    <t>0150290</t>
  </si>
  <si>
    <t>Abdeckbl f Fangbl Motor rechts 1255-OC</t>
  </si>
  <si>
    <t>0150291</t>
  </si>
  <si>
    <t>Fangblech Motor rechts 1055-OC</t>
  </si>
  <si>
    <t>0150292</t>
  </si>
  <si>
    <t>Fangblech Motor rechts 1255-OC                        1</t>
  </si>
  <si>
    <t>0150293</t>
  </si>
  <si>
    <t>Abdeckbl f Fangblech links 1055-OC</t>
  </si>
  <si>
    <t>0150294</t>
  </si>
  <si>
    <t>Abdeckbl  f Fangbl links 1255-OC</t>
  </si>
  <si>
    <t>0150295</t>
  </si>
  <si>
    <t>Abdeckung Federwellenkette li 855 - OC</t>
  </si>
  <si>
    <t>0150296</t>
  </si>
  <si>
    <t>Abdeckung Federwellenkette li 1055 - OC</t>
  </si>
  <si>
    <t>0150297</t>
  </si>
  <si>
    <t>Abdeckung Federwellenkette li 1255 - OC</t>
  </si>
  <si>
    <t>0150298</t>
  </si>
  <si>
    <t>Abdeckung Antriebwelle li 16-B - OC</t>
  </si>
  <si>
    <t>0150299</t>
  </si>
  <si>
    <t>0150300</t>
  </si>
  <si>
    <t>Hand-Seilwinde                                       44</t>
  </si>
  <si>
    <t>0150302</t>
  </si>
  <si>
    <t>Gelenkwelle GW75                                     15</t>
  </si>
  <si>
    <t>0150303</t>
  </si>
  <si>
    <t>Ausfädelhebel rechts - OC Lamelle NG</t>
  </si>
  <si>
    <t>0150304</t>
  </si>
  <si>
    <t>Grundplatte Ausfädelhebel Lamelle-OC16-B</t>
  </si>
  <si>
    <t>0150305</t>
  </si>
  <si>
    <t>Fangblech li Motorgegens 855 -16-B - OC               2</t>
  </si>
  <si>
    <t>0150306</t>
  </si>
  <si>
    <t>Abdeckbl f Fangbl re Motors 855-16-B -OC              1</t>
  </si>
  <si>
    <t>0150307</t>
  </si>
  <si>
    <t>Fangblech rechts Motorseite 855-16-B -OC              2</t>
  </si>
  <si>
    <t>0150308</t>
  </si>
  <si>
    <t>Abdeckbl f Fang li Motgegens 855-16-B OC              1</t>
  </si>
  <si>
    <t>0150309</t>
  </si>
  <si>
    <t>Fangblech li Motorgegens 1055-16-B - OC               3</t>
  </si>
  <si>
    <t>0150310</t>
  </si>
  <si>
    <t>Fangblech li Motorgegens 1255-16-B - OC               1</t>
  </si>
  <si>
    <t>0150311</t>
  </si>
  <si>
    <t>Fangblech re Motorseite 1055-16-B - OC                3</t>
  </si>
  <si>
    <t>0150312</t>
  </si>
  <si>
    <t>Fangblech re Motorseite 1255-16-B - OC                1</t>
  </si>
  <si>
    <t>0150313</t>
  </si>
  <si>
    <t>Abdeckb f Fang li Motgegens 1055-16-B OC              1</t>
  </si>
  <si>
    <t>0150314</t>
  </si>
  <si>
    <t>Abdeckb f Fang li Motgegens 1255-16-B OC</t>
  </si>
  <si>
    <t>0150315</t>
  </si>
  <si>
    <t>Abdeckb f Fang re Motorseit 1055-16-B OC              1</t>
  </si>
  <si>
    <t>0150316</t>
  </si>
  <si>
    <t>Abdeckb f Fang re Motorseit 1255-16-B OC</t>
  </si>
  <si>
    <t>0150317</t>
  </si>
  <si>
    <t>Blech für Endschaltermagnet  OC-Führungs</t>
  </si>
  <si>
    <t>0150318</t>
  </si>
  <si>
    <t>0150319</t>
  </si>
  <si>
    <t>0150320</t>
  </si>
  <si>
    <t>Halteblech für Reed-Sensor OC</t>
  </si>
  <si>
    <t>0150321</t>
  </si>
  <si>
    <t>Befestigungsplatte Motor - OC</t>
  </si>
  <si>
    <t>0150322</t>
  </si>
  <si>
    <t>Lagerhalter für Ausfädelung OC</t>
  </si>
  <si>
    <t>0150323</t>
  </si>
  <si>
    <t>Ausfädelhebel links - OC Lamelle NG</t>
  </si>
  <si>
    <t>0150324</t>
  </si>
  <si>
    <t>Grundplatte Ausfädelhebel 12-B</t>
  </si>
  <si>
    <t>0150325</t>
  </si>
  <si>
    <t>Halter mit Hangrolle kpl. rechts RGT/OS               1</t>
  </si>
  <si>
    <t>0150326</t>
  </si>
  <si>
    <t>Abhängung Abtriebswelle U-Profil OC</t>
  </si>
  <si>
    <t>0150327</t>
  </si>
  <si>
    <t>Blech unten für Anhängung Antriebswelle</t>
  </si>
  <si>
    <t>0150328</t>
  </si>
  <si>
    <t>Abhängung Federwelle Flach kl. 16-B OC</t>
  </si>
  <si>
    <t>0150329</t>
  </si>
  <si>
    <t>Distanzrohr Abhängung Antriebswelle OC</t>
  </si>
  <si>
    <t>0150330</t>
  </si>
  <si>
    <t>Federwelle 12-B OC                                   33</t>
  </si>
  <si>
    <t>0150331</t>
  </si>
  <si>
    <t>Federwelle 16-B OC                                   96</t>
  </si>
  <si>
    <t>0150332</t>
  </si>
  <si>
    <t>Federwelle 16+16-B OC                                84</t>
  </si>
  <si>
    <t>0150333</t>
  </si>
  <si>
    <t>Abhängung Antriebswelle komplett OC                   2</t>
  </si>
  <si>
    <t>0150334</t>
  </si>
  <si>
    <t>Stahlb Kons 12-B 2Federw Motors OC</t>
  </si>
  <si>
    <t>0150335</t>
  </si>
  <si>
    <t>Stahlb Kons 12-B 2Federw Motorgegens OC</t>
  </si>
  <si>
    <t>0150336</t>
  </si>
  <si>
    <t>0150337</t>
  </si>
  <si>
    <t>Stahlb Kons 12-B 2Federw Motorgegens OC              22</t>
  </si>
  <si>
    <t>0150338</t>
  </si>
  <si>
    <t>Stahlbau Konsole mit 2 Federwegen</t>
  </si>
  <si>
    <t>0150339</t>
  </si>
  <si>
    <t>Stahlb Kons 16-B 2Federw Motorgegens OC</t>
  </si>
  <si>
    <t>0150340</t>
  </si>
  <si>
    <t>Stahlb Kons 16-B 2Federw Motors OC</t>
  </si>
  <si>
    <t>0150341</t>
  </si>
  <si>
    <t>0150342</t>
  </si>
  <si>
    <t>Stütze f. Konsole/rechts Gr.1 (855) OC                2</t>
  </si>
  <si>
    <t>0150343</t>
  </si>
  <si>
    <t>Stütze für Konsole/links  Gr.1 (855) OC               2</t>
  </si>
  <si>
    <t>0150344</t>
  </si>
  <si>
    <t>Stütze f. Konsole/rechts Gr.2 (1055) OC               2</t>
  </si>
  <si>
    <t>0150345</t>
  </si>
  <si>
    <t>Stütze für Konsole/links  Gr.2 (1055) OC              2</t>
  </si>
  <si>
    <t>0150346</t>
  </si>
  <si>
    <t>Stütze für Konsole/rechts Gr. 3 (1255)OC              2</t>
  </si>
  <si>
    <t>0150347</t>
  </si>
  <si>
    <t>Stütze für Konsole/links Gr. 3 (1255)OC               2</t>
  </si>
  <si>
    <t>0150348</t>
  </si>
  <si>
    <t>Fangvorrichtung Baugruppe OC                         22</t>
  </si>
  <si>
    <t>0150349</t>
  </si>
  <si>
    <t>Abdeckung Linnig-Laufregler RSV FSV</t>
  </si>
  <si>
    <t>0150350</t>
  </si>
  <si>
    <t>Dichtblock rechts für Verkrallungsprofil</t>
  </si>
  <si>
    <t>0150351</t>
  </si>
  <si>
    <t>Dichtblock links für Verkrallungsprofil</t>
  </si>
  <si>
    <t>0150352</t>
  </si>
  <si>
    <t>0150353</t>
  </si>
  <si>
    <t>0150354</t>
  </si>
  <si>
    <t>Haltewinkel Gummistopper RGT</t>
  </si>
  <si>
    <t>0150355</t>
  </si>
  <si>
    <t>Haltewinkel Haltemagnet RGT</t>
  </si>
  <si>
    <t>0150356</t>
  </si>
  <si>
    <t>Kantung Konsole rechts Motorseite 855                 1</t>
  </si>
  <si>
    <t>0150357</t>
  </si>
  <si>
    <t>Kantung Konsole links Gegenseite 855                  1</t>
  </si>
  <si>
    <t>0150358</t>
  </si>
  <si>
    <t>Kantung 305x1055x5 OC-Konsole                         1</t>
  </si>
  <si>
    <t>0150359</t>
  </si>
  <si>
    <t>0150360</t>
  </si>
  <si>
    <t>Kantung Konsole rechts Motorseite 1255               14</t>
  </si>
  <si>
    <t>0150361</t>
  </si>
  <si>
    <t>Kantung Konsole links Gegenseite 1255</t>
  </si>
  <si>
    <t>0150362</t>
  </si>
  <si>
    <t>Kantung 305 x 855 x 5 OC-Konsole                      1</t>
  </si>
  <si>
    <t>0150363</t>
  </si>
  <si>
    <t>Kantung 305 x 885 x 5 OC-Konsole</t>
  </si>
  <si>
    <t>0150364</t>
  </si>
  <si>
    <t>0150365</t>
  </si>
  <si>
    <t>0150366</t>
  </si>
  <si>
    <t>Kantung Konsole rechts Motorseite 1255                2</t>
  </si>
  <si>
    <t>0150367</t>
  </si>
  <si>
    <t>Kantung Konsole links Gegenseite 1255                 1</t>
  </si>
  <si>
    <t>0150368</t>
  </si>
  <si>
    <t>Halter mit Hangrolle kpl. links RGT/OS                1</t>
  </si>
  <si>
    <t>0150369</t>
  </si>
  <si>
    <t>Laufschiene Konsole Gr.1 16+16-B OC                   3</t>
  </si>
  <si>
    <t>0150370</t>
  </si>
  <si>
    <t>Laufschiene Konsole Gr.2 16+16-B OC                   1</t>
  </si>
  <si>
    <t>0150371</t>
  </si>
  <si>
    <t>Laufschiene Konsole Gr.3 16+16-B OC                   2</t>
  </si>
  <si>
    <t>0150372</t>
  </si>
  <si>
    <t>Übergangsstück für Gurtumlenkung Uni Q</t>
  </si>
  <si>
    <t>0150373</t>
  </si>
  <si>
    <t>Übergangsstück für Seilumlenkung Uni Q</t>
  </si>
  <si>
    <t>0150374</t>
  </si>
  <si>
    <t>Ausfädelhebel rechts Niedrigsturz / OC</t>
  </si>
  <si>
    <t>0150375</t>
  </si>
  <si>
    <t>Ausfädelhebel links Niedrigsturz / OC</t>
  </si>
  <si>
    <t>0150376</t>
  </si>
  <si>
    <t>Ausfädelhebel rechts  / OC</t>
  </si>
  <si>
    <t>0150377</t>
  </si>
  <si>
    <t>Ausfädelhebel links / OC</t>
  </si>
  <si>
    <t>0150378</t>
  </si>
  <si>
    <t>Antriebsflansch AFL 75 6x6 35H7 10P9                  6</t>
  </si>
  <si>
    <t>0150383</t>
  </si>
  <si>
    <t>Grundplatte Ausfädelhebel Niedrig 16-16B</t>
  </si>
  <si>
    <t>0150384</t>
  </si>
  <si>
    <t>Leitblech</t>
  </si>
  <si>
    <t>0150385</t>
  </si>
  <si>
    <t>Grundplatte Ausfädelhebel 16-16-B</t>
  </si>
  <si>
    <t>0150388</t>
  </si>
  <si>
    <t>Konsolenzentrierung Konsole OC EI120</t>
  </si>
  <si>
    <t>0150389</t>
  </si>
  <si>
    <t>Leitblech OC-Konsole 16-16-B</t>
  </si>
  <si>
    <t>0150390</t>
  </si>
  <si>
    <t>Flachstahl oben Abhängung Antriebwelle</t>
  </si>
  <si>
    <t>0150391</t>
  </si>
  <si>
    <t>Befestigungsplatte Abhängung</t>
  </si>
  <si>
    <t>0150392</t>
  </si>
  <si>
    <t>Unterlegblech f. Leitbl. 16-16-B</t>
  </si>
  <si>
    <t>0150393</t>
  </si>
  <si>
    <t>Winkel 40x13x1 OC-Führungschiene</t>
  </si>
  <si>
    <t>0150394</t>
  </si>
  <si>
    <t>Konsolenzentrierung OC / Konsole</t>
  </si>
  <si>
    <t>0150395</t>
  </si>
  <si>
    <t>Ausfädelhebel Halbe Lamelle - OC</t>
  </si>
  <si>
    <t>0150396</t>
  </si>
  <si>
    <t>Grundplatte Ausfädelhebel Halbe Lamelle</t>
  </si>
  <si>
    <t>0150397</t>
  </si>
  <si>
    <t>Grundplatte Ausfädelhebel Niedrig 16-B</t>
  </si>
  <si>
    <t>0150398</t>
  </si>
  <si>
    <t>Kantung 285x855x5 OC-Konsole                          1</t>
  </si>
  <si>
    <t>0150399</t>
  </si>
  <si>
    <t>0150400</t>
  </si>
  <si>
    <t>Kantung 285x1055x5 OC-Konsole</t>
  </si>
  <si>
    <t>0150401</t>
  </si>
  <si>
    <t>0150402</t>
  </si>
  <si>
    <t>Kantung Konsole rechts Motorseite 1255</t>
  </si>
  <si>
    <t>0150403</t>
  </si>
  <si>
    <t>0150404</t>
  </si>
  <si>
    <t>Kantung Konsole rechts Motorseite 855</t>
  </si>
  <si>
    <t>0150405</t>
  </si>
  <si>
    <t>Kantung Konsole links Gegenseite 855</t>
  </si>
  <si>
    <t>0150406</t>
  </si>
  <si>
    <t>Kantung Konsole rechts Motorseite 1055                1</t>
  </si>
  <si>
    <t>0150407</t>
  </si>
  <si>
    <t>Kantung Konsole links Gegenseite 1055                 1</t>
  </si>
  <si>
    <t>0150408</t>
  </si>
  <si>
    <t>Kantung Konsole rechts Motorseite 1255                1</t>
  </si>
  <si>
    <t>0150409</t>
  </si>
  <si>
    <t>0150410</t>
  </si>
  <si>
    <t>Kons. re. Motors(855)Gravigen OC/16-16-B             35</t>
  </si>
  <si>
    <t>0150411</t>
  </si>
  <si>
    <t>Kons. li. Motorgegs.(855) OC/16-16-B</t>
  </si>
  <si>
    <t>0150412</t>
  </si>
  <si>
    <t>Konsole rechts Motorseite 1055 OC16-16-B             23</t>
  </si>
  <si>
    <t>0150413</t>
  </si>
  <si>
    <t>Kons. li. Motorgegs.(1055) OC/16-16-B                23</t>
  </si>
  <si>
    <t>0150414</t>
  </si>
  <si>
    <t>Kons. re. Motorgegs.(1255) OC/16-16-B                24</t>
  </si>
  <si>
    <t>0150415</t>
  </si>
  <si>
    <t>Konsole links Gegenseite 1255 16-16-B                21</t>
  </si>
  <si>
    <t>0150416</t>
  </si>
  <si>
    <t>Winkel re. 100x115x100x5 OC/Konsole-12-B</t>
  </si>
  <si>
    <t>0150417</t>
  </si>
  <si>
    <t>Anschweißpl. 100x106x5 OC/Konsole 12-B</t>
  </si>
  <si>
    <t>0150418</t>
  </si>
  <si>
    <t>U-Kantung 60x194x102x5 für Konsole 12-B</t>
  </si>
  <si>
    <t>0150419</t>
  </si>
  <si>
    <t>Winkel/Flach 80x85x52x5 rechts</t>
  </si>
  <si>
    <t>0150420</t>
  </si>
  <si>
    <t>Grundplatte 380x250x12 Konsole 12-B OC                1</t>
  </si>
  <si>
    <t>0150421</t>
  </si>
  <si>
    <t>Grundplatte Konsole OC 16 - B / 16-16 B               1</t>
  </si>
  <si>
    <t>0150422</t>
  </si>
  <si>
    <t>Grundplatte 285x250x12 Konsole 12-B OC                1</t>
  </si>
  <si>
    <t>0150423</t>
  </si>
  <si>
    <t>Grundplatte Kons.NiStu OC-16-B                        1</t>
  </si>
  <si>
    <t>0150424</t>
  </si>
  <si>
    <t>Motorhalter rechts Niedrigsturz OC</t>
  </si>
  <si>
    <t>0150425</t>
  </si>
  <si>
    <t>Motorhalter links Niedrigsturz OC</t>
  </si>
  <si>
    <t>0150426</t>
  </si>
  <si>
    <t>Motorhalter links Gravigen / OC</t>
  </si>
  <si>
    <t>0150427</t>
  </si>
  <si>
    <t>Flachstahl Motorgegenseite Gravigen</t>
  </si>
  <si>
    <t>0150428</t>
  </si>
  <si>
    <t>Flachstahl Motorgegenseite Niedrigsturz</t>
  </si>
  <si>
    <t>0150429</t>
  </si>
  <si>
    <t>Fangbl Motor rechts Nie 855-OC                        1</t>
  </si>
  <si>
    <t>0150430</t>
  </si>
  <si>
    <t>Fangbl Motor rechts Nie 1055-OC</t>
  </si>
  <si>
    <t>0150431</t>
  </si>
  <si>
    <t>Fangbl Motor rechts Nie 1255-OC                       1</t>
  </si>
  <si>
    <t>0150432</t>
  </si>
  <si>
    <t>Abdeckbl Fangbl Motor rechts Nie 855-OC</t>
  </si>
  <si>
    <t>0150433</t>
  </si>
  <si>
    <t>Abdeckbl Fangbl Motor rechts Nie 1055-OC</t>
  </si>
  <si>
    <t>0150434</t>
  </si>
  <si>
    <t>Abdeckbl Fangbl Motor rechts Nie 1255-OC</t>
  </si>
  <si>
    <t>0150435</t>
  </si>
  <si>
    <t>Fangblech links  Niedrigsturz 855-OC                  1</t>
  </si>
  <si>
    <t>0150436</t>
  </si>
  <si>
    <t>Fangblech links  Nie 1055-OC                          1</t>
  </si>
  <si>
    <t>0150437</t>
  </si>
  <si>
    <t>Fangblech links Nie 1255-OC                           1</t>
  </si>
  <si>
    <t>0150438</t>
  </si>
  <si>
    <t>Abdeckbl Fangbl links Nie 855-OC</t>
  </si>
  <si>
    <t>0150439</t>
  </si>
  <si>
    <t>Abdeckblech Fangblech Nie 1055-OC</t>
  </si>
  <si>
    <t>0150440</t>
  </si>
  <si>
    <t>Abdeckbl Fangbl links Nie 1255-OC</t>
  </si>
  <si>
    <t>0150441</t>
  </si>
  <si>
    <t>Winkel 100x120x130x8 rechts OC</t>
  </si>
  <si>
    <t>0150442</t>
  </si>
  <si>
    <t>Platte 80x10x80 OC-Konsole</t>
  </si>
  <si>
    <t>0150443</t>
  </si>
  <si>
    <t>Anschweißplatte 100x133x8 16-B-Konsole</t>
  </si>
  <si>
    <t>0150444</t>
  </si>
  <si>
    <t>U-Stahl 60x210x130x5 OC-Konsole re16-B</t>
  </si>
  <si>
    <t>0150445</t>
  </si>
  <si>
    <t>Winkel 80x85x69x8 OC / Konsole 16-B</t>
  </si>
  <si>
    <t>0150446</t>
  </si>
  <si>
    <t>U-Kantung 126x129x126x5 Konsole rechts</t>
  </si>
  <si>
    <t>0150447</t>
  </si>
  <si>
    <t>U-Kantung 132x179x130x5 Konsole 16-16-B</t>
  </si>
  <si>
    <t>0150448</t>
  </si>
  <si>
    <t>Laufschiene OC-Konsole 12-B Größe 4</t>
  </si>
  <si>
    <t>0150449</t>
  </si>
  <si>
    <t>0150450</t>
  </si>
  <si>
    <t>L-Kantung 120x137x8 für Konsole 16-16-B</t>
  </si>
  <si>
    <t>0150451</t>
  </si>
  <si>
    <t>Anschweißplatte OC/Konsole 16-16-B</t>
  </si>
  <si>
    <t>0150452</t>
  </si>
  <si>
    <t>U-Stahl 130x209x130x5 Konsole 16/16-B OC</t>
  </si>
  <si>
    <t>0150453</t>
  </si>
  <si>
    <t>Winkel 71x85x8 Konsole 16-16-B OC</t>
  </si>
  <si>
    <t>0150454</t>
  </si>
  <si>
    <t>Flachstahl 80x66x8 OC / Konsole</t>
  </si>
  <si>
    <t>0150455</t>
  </si>
  <si>
    <t>Kantung Konsole rechts Motorseite 1355                2</t>
  </si>
  <si>
    <t>0150456</t>
  </si>
  <si>
    <t>Kantung Konsole links Gegenseite 1355                 2</t>
  </si>
  <si>
    <t>0150457</t>
  </si>
  <si>
    <t>Fangblech.re. Motor re./Niedrst OC-1355</t>
  </si>
  <si>
    <t>0150458</t>
  </si>
  <si>
    <t>Abdeckbl Fangbl Motor rechts Nie 1355-OC</t>
  </si>
  <si>
    <t>0150459</t>
  </si>
  <si>
    <t>Fangblech links Nie 1355-OC                           1</t>
  </si>
  <si>
    <t>0150460</t>
  </si>
  <si>
    <t>Abdeckbl Fangblech links Nie 1355-OC</t>
  </si>
  <si>
    <t>0150461</t>
  </si>
  <si>
    <t>U-Kantung 102x209x102x5 OC-Konsole 12-B</t>
  </si>
  <si>
    <t>0150462</t>
  </si>
  <si>
    <t>Kantung Konsole rechts Motorseite 1355</t>
  </si>
  <si>
    <t>0150463</t>
  </si>
  <si>
    <t>0150464</t>
  </si>
  <si>
    <t>Kons. re.. Motorgegs.(1355) OC/16-16-B               16</t>
  </si>
  <si>
    <t>0150465</t>
  </si>
  <si>
    <t>Kons. li. Motorgegs.(1355) OC/16-16-B                20</t>
  </si>
  <si>
    <t>0150466</t>
  </si>
  <si>
    <t>Stütze f. Konsole/rechts Gr. 4 (1355)OC</t>
  </si>
  <si>
    <t>0150467</t>
  </si>
  <si>
    <t>Stütze f. Konsole/links Gr.4  (1355)OC</t>
  </si>
  <si>
    <t>0150468</t>
  </si>
  <si>
    <t>Fangblech Motor rechts 1355-OC                        1</t>
  </si>
  <si>
    <t>0150469</t>
  </si>
  <si>
    <t>Abdeckbl f  Fangbl Motor rechts 1355-OC</t>
  </si>
  <si>
    <t>0150470</t>
  </si>
  <si>
    <t>Fangblech links 1355-OC                               2</t>
  </si>
  <si>
    <t>0150471</t>
  </si>
  <si>
    <t>Abdeckblech f Fangbl links 1355-OC                    1</t>
  </si>
  <si>
    <t>0150472</t>
  </si>
  <si>
    <t>Fangblech Motor links 1055-OC                         2</t>
  </si>
  <si>
    <t>0150473</t>
  </si>
  <si>
    <t>Fangblech Motor links   1255-OC                       2</t>
  </si>
  <si>
    <t>0150474</t>
  </si>
  <si>
    <t>Fangblech  Motor links 1355-OC                        1</t>
  </si>
  <si>
    <t>0150475</t>
  </si>
  <si>
    <t>Abdeckbl f Fangbl Motor links 1055-OC</t>
  </si>
  <si>
    <t>0150476</t>
  </si>
  <si>
    <t>Abdeckbl f Fangbl Motor links 1255-OC</t>
  </si>
  <si>
    <t>0150477</t>
  </si>
  <si>
    <t>Laufschiene Konsole Gr.4 16+16-B OC                   4</t>
  </si>
  <si>
    <t>0150478</t>
  </si>
  <si>
    <t>Abdeckbl f Fangbl Motor links 1355-OC</t>
  </si>
  <si>
    <t>0150479</t>
  </si>
  <si>
    <t>Flachstahl 30x10x110 OC / Konsole</t>
  </si>
  <si>
    <t>0150480</t>
  </si>
  <si>
    <t>Flachstahl 30x10x40 OC / Konsole</t>
  </si>
  <si>
    <t>0150481</t>
  </si>
  <si>
    <t>U 80x50x4 OC / Konsole Gr. 1</t>
  </si>
  <si>
    <t>0150482</t>
  </si>
  <si>
    <t>U 80x50x4 OC / Konsole Gr. 2</t>
  </si>
  <si>
    <t>0150483</t>
  </si>
  <si>
    <t>U 80x50x4 OC / Konsole Gr. 3</t>
  </si>
  <si>
    <t>0150484</t>
  </si>
  <si>
    <t>U 80x50x4 OC / Konsole Gr. 4</t>
  </si>
  <si>
    <t>0150485</t>
  </si>
  <si>
    <t>Flachstahl 80x50x5 Konsole 12-B OC</t>
  </si>
  <si>
    <t>0150486</t>
  </si>
  <si>
    <t>Winkel 50x40x4 Niedrigsturz Größe 1</t>
  </si>
  <si>
    <t>0150487</t>
  </si>
  <si>
    <t>Winkel 50x40x4 Niedrigsturz Größe 2</t>
  </si>
  <si>
    <t>0150488</t>
  </si>
  <si>
    <t>Winkel 50x40x4 Niedrigsturz Größe 3</t>
  </si>
  <si>
    <t>0150489</t>
  </si>
  <si>
    <t>Winkel 50x40x4 (Niedrigsturz)</t>
  </si>
  <si>
    <t>0150490</t>
  </si>
  <si>
    <t>Winkel li. 100x115x100x5 OC/Konsole-12-B</t>
  </si>
  <si>
    <t>0150491</t>
  </si>
  <si>
    <t>Winkel 100x120x130x8 links OC</t>
  </si>
  <si>
    <t>0150492</t>
  </si>
  <si>
    <t>0150493</t>
  </si>
  <si>
    <t>Distanzrohr 42x3x21</t>
  </si>
  <si>
    <t>0150494</t>
  </si>
  <si>
    <t>Distanzrohr 42x3x26</t>
  </si>
  <si>
    <t>0150495</t>
  </si>
  <si>
    <t>Distanzrohr 25x2x19 OC-Konsolen 12-B</t>
  </si>
  <si>
    <t>0150496</t>
  </si>
  <si>
    <t>Distanzrohr 25x2x21</t>
  </si>
  <si>
    <t>0150497</t>
  </si>
  <si>
    <t>Kons. re. motors. (855) Gravigen OC/12-B              9</t>
  </si>
  <si>
    <t>0150498</t>
  </si>
  <si>
    <t>Kons.li. motorgegs.(855)Gravigen OC/12-B              8</t>
  </si>
  <si>
    <t>0150499</t>
  </si>
  <si>
    <t>Konsole rechts  Motorseite 1055                      16</t>
  </si>
  <si>
    <t>0150500</t>
  </si>
  <si>
    <t>Konsole links Gegenseite 1055                        14</t>
  </si>
  <si>
    <t>0150501</t>
  </si>
  <si>
    <t>Kons. re. motors.(1255) Gravigen OC/12-B</t>
  </si>
  <si>
    <t>0150502</t>
  </si>
  <si>
    <t>Kons.li.motorgegs.(1255)Gravigen OC/12-B</t>
  </si>
  <si>
    <t>0150503</t>
  </si>
  <si>
    <t>Kons.re. motors.(855)NiSt Gravi-OC/12-B</t>
  </si>
  <si>
    <t>0150504</t>
  </si>
  <si>
    <t>Kons.li. motorgeg(855)NiSt Gravi-OC/12-B</t>
  </si>
  <si>
    <t>0150505</t>
  </si>
  <si>
    <t>Kons.re. motors.(1055)NiSt Gravi-OC/12-B</t>
  </si>
  <si>
    <t>0150506</t>
  </si>
  <si>
    <t>Kons.li.motorgeg(1055)NiSt Gravi-OC/12-B</t>
  </si>
  <si>
    <t>0150507</t>
  </si>
  <si>
    <t>Kons.re. motors.(1255)NiSt Gravi-OC/12-B             26</t>
  </si>
  <si>
    <t>0150508</t>
  </si>
  <si>
    <t>Kons.li.motorgeg(1255)NiSt Gravi-OC/12-B             22</t>
  </si>
  <si>
    <t>0150509</t>
  </si>
  <si>
    <t>Kons. re. motors. (855) Gravigen OC/16-B              2</t>
  </si>
  <si>
    <t>0150510</t>
  </si>
  <si>
    <t>Kons.li. motorgegs. 855  OC-16-B                     23</t>
  </si>
  <si>
    <t>0150511</t>
  </si>
  <si>
    <t>Konsole rechts Motorseite 1055                        2</t>
  </si>
  <si>
    <t>0150512</t>
  </si>
  <si>
    <t>Kons.li. motorgegs. 1055  OC-16-B                     2</t>
  </si>
  <si>
    <t>0150513</t>
  </si>
  <si>
    <t>Kons. re. motors. 1255 Gravigen OC/16-B              10</t>
  </si>
  <si>
    <t>0150514</t>
  </si>
  <si>
    <t>Kons.li. motorgegs. 1255  OC-16-B                     9</t>
  </si>
  <si>
    <t>0150515</t>
  </si>
  <si>
    <t>Kons. re. motors. 1355 Gravigen OC/16-B</t>
  </si>
  <si>
    <t>0150516</t>
  </si>
  <si>
    <t>Kons.li. motorgegs. 1355  OC-16-B</t>
  </si>
  <si>
    <t>0150517</t>
  </si>
  <si>
    <t>Kons. re. motors. (855) NiStu OC/16-B</t>
  </si>
  <si>
    <t>0150518</t>
  </si>
  <si>
    <t>Kons.li. motorgegs. 855  NiStu OC/16-B</t>
  </si>
  <si>
    <t>0150519</t>
  </si>
  <si>
    <t>Kons. re. motors. 1055 NiStu OC/16-B                 12</t>
  </si>
  <si>
    <t>0150520</t>
  </si>
  <si>
    <t>Konsole links Gegens 1055 Niedr OC 16-B              15</t>
  </si>
  <si>
    <t>0150521</t>
  </si>
  <si>
    <t>Kons. re. motors. 1255 NiStu OC/16-B                 23</t>
  </si>
  <si>
    <t>0150522</t>
  </si>
  <si>
    <t>Kons.li. motorgegs. 1255  NiStu OC/16-B              22</t>
  </si>
  <si>
    <t>0150523</t>
  </si>
  <si>
    <t>Kons. re. motors. 1355 NiStu OC/16-B                 26</t>
  </si>
  <si>
    <t>0150524</t>
  </si>
  <si>
    <t>Kons.li. motorgegs. 1355  NiStu OC/16-B              25</t>
  </si>
  <si>
    <t>0150525</t>
  </si>
  <si>
    <t>OC-Führungsschiene bis 4500 Gravi kpl.</t>
  </si>
  <si>
    <t>0150526</t>
  </si>
  <si>
    <t>OC-Führungsschiene ab 4500 Gravi kpl.</t>
  </si>
  <si>
    <t>0150527</t>
  </si>
  <si>
    <t>Lagerhalter Ausfädelung rechts OC 12-B</t>
  </si>
  <si>
    <t>0150528</t>
  </si>
  <si>
    <t>Lagerhalter für Ausfädelung 12-B li OC</t>
  </si>
  <si>
    <t>0150529</t>
  </si>
  <si>
    <t>Lagerhalter für Ausfädelung 16-B re OC</t>
  </si>
  <si>
    <t>0150530</t>
  </si>
  <si>
    <t>Lagerhalter für Ausfädelung 16-B li OC</t>
  </si>
  <si>
    <t>0150531</t>
  </si>
  <si>
    <t>Lagerhalter für Ausfädelung16-16-B re OC</t>
  </si>
  <si>
    <t>0150532</t>
  </si>
  <si>
    <t>Lagerhalter für Ausfädelung16-16-B li OC</t>
  </si>
  <si>
    <t>0150533</t>
  </si>
  <si>
    <t>OC-Führungsschiene bis 4500 Gravi kpl.va</t>
  </si>
  <si>
    <t>0150534</t>
  </si>
  <si>
    <t>OC-Führungsschiene ab 4500 Gravi kpl.va</t>
  </si>
  <si>
    <t>0150535</t>
  </si>
  <si>
    <t>OC-Kontaktleistenanbauteile</t>
  </si>
  <si>
    <t>0150536</t>
  </si>
  <si>
    <t>Konsole rechts.(1055) NiStu OC/16-16-B</t>
  </si>
  <si>
    <t>0150537</t>
  </si>
  <si>
    <t>Kons.li.motorgegs.1055  NiStu OC/16-16-B</t>
  </si>
  <si>
    <t>0150538</t>
  </si>
  <si>
    <t>Kons. re. motors.(1255) NiStu OC/16-16-B             30</t>
  </si>
  <si>
    <t>0150539</t>
  </si>
  <si>
    <t>Kons.li.motorgegs.1255  NiStu OC/16-16-B             31</t>
  </si>
  <si>
    <t>0150540</t>
  </si>
  <si>
    <t>Kon. re. Motors.1355 NiStu OC/16-16-B                24</t>
  </si>
  <si>
    <t>0150541</t>
  </si>
  <si>
    <t>Kon. li Gegenseite 1355 NiStu OC/16-16-B             21</t>
  </si>
  <si>
    <t>0150542</t>
  </si>
  <si>
    <t>Distanzblech OC-Konsole Grundplatte 2mm</t>
  </si>
  <si>
    <t>0150543</t>
  </si>
  <si>
    <t>Distanzblech OC-Konsole Grundplatte 3mm</t>
  </si>
  <si>
    <t>0150544</t>
  </si>
  <si>
    <t>0150545</t>
  </si>
  <si>
    <t>0150546</t>
  </si>
  <si>
    <t>Distanzbl OC-Konsole 16-BGrundplatte 2mm</t>
  </si>
  <si>
    <t>0150547</t>
  </si>
  <si>
    <t>Distanzbl OC-Konsole 16-BGrundplatte 3mm</t>
  </si>
  <si>
    <t>0150548</t>
  </si>
  <si>
    <t>0150549</t>
  </si>
  <si>
    <t>0150550</t>
  </si>
  <si>
    <t>L-Kantung 120x133x8 für Konsole 16-B</t>
  </si>
  <si>
    <t>0150551</t>
  </si>
  <si>
    <t>Winkel für Laufschiene links 16-16-B OC</t>
  </si>
  <si>
    <t>0150552</t>
  </si>
  <si>
    <t>Anschweißplatte 110x133x8 16-B-Kon1555</t>
  </si>
  <si>
    <t>0150553</t>
  </si>
  <si>
    <t>U-Kantung 128x189x128x5 für Konsole 16-B</t>
  </si>
  <si>
    <t>0150554</t>
  </si>
  <si>
    <t>L-Kantung 137x130x8 für Konsole 16-16-B</t>
  </si>
  <si>
    <t>0150555</t>
  </si>
  <si>
    <t>0150556</t>
  </si>
  <si>
    <t>Anschweißplatte OC/Konsole 1555 16-16-B</t>
  </si>
  <si>
    <t>0150557</t>
  </si>
  <si>
    <t>U-Kantung 132x189x132 Konsole 16-16-B</t>
  </si>
  <si>
    <t>0150558</t>
  </si>
  <si>
    <t>Kant.Kons.re. Motors. 1455 OC-16-B                    3</t>
  </si>
  <si>
    <t>0150559</t>
  </si>
  <si>
    <t>Kant.Kons.li. Motorgensei. 1455 OC-16-B               3</t>
  </si>
  <si>
    <t>0150560</t>
  </si>
  <si>
    <t>Kant.Kons.re.Motors.1555 NiStu OC-16-B                3</t>
  </si>
  <si>
    <t>0150561</t>
  </si>
  <si>
    <t>Kant.Kons.le.Motorgeg.1555 NiStu OC-16-B              2</t>
  </si>
  <si>
    <t>0150562</t>
  </si>
  <si>
    <t>Kant.Kons.re.Motors.1455 NiStu OC-16-B                2</t>
  </si>
  <si>
    <t>0150563</t>
  </si>
  <si>
    <t>Kant.Kons.li.Motorgeg.1455 NiStu OC-16-B              2</t>
  </si>
  <si>
    <t>0150564</t>
  </si>
  <si>
    <t>Kant.Kons.re. Motors. 1555 OC-16-B                    9</t>
  </si>
  <si>
    <t>0150565</t>
  </si>
  <si>
    <t>Kant.Kons.li. Motorgensei. 1555 OC-16-B               6</t>
  </si>
  <si>
    <t>0150566</t>
  </si>
  <si>
    <t>Kons. re. motors. 1455 Gravigen OC/16-B</t>
  </si>
  <si>
    <t>0150567</t>
  </si>
  <si>
    <t>Kons.li. Motorgegs. 1455  OC-16-B</t>
  </si>
  <si>
    <t>0150568</t>
  </si>
  <si>
    <t>Kons. re. motors. 1555 Gravigen OC/16-B</t>
  </si>
  <si>
    <t>0150569</t>
  </si>
  <si>
    <t>Kons.li. Motorgegs. 1555  OC-16-B</t>
  </si>
  <si>
    <t>0150570</t>
  </si>
  <si>
    <t>Kons. re. motors. (1455) NiStu OC/16-B</t>
  </si>
  <si>
    <t>0150571</t>
  </si>
  <si>
    <t>Kons.li. Motorgegens 1455  NiStu OC/16-B</t>
  </si>
  <si>
    <t>0150572</t>
  </si>
  <si>
    <t>Kons. re. motors. (1555) NiStu OC/16-B</t>
  </si>
  <si>
    <t>0150573</t>
  </si>
  <si>
    <t>Kons.li Gegs.1555  NiStu OC/16-B</t>
  </si>
  <si>
    <t>0150574</t>
  </si>
  <si>
    <t>Kons. re.Motors(1455)Gravigen OC/16-16-B</t>
  </si>
  <si>
    <t>0150575</t>
  </si>
  <si>
    <t>Kons. li. Motorseite (1455) OC/16-16-B</t>
  </si>
  <si>
    <t>0150576</t>
  </si>
  <si>
    <t>Kons. re.Motors(1555)Gravigen OC/16-16-B</t>
  </si>
  <si>
    <t>0150577</t>
  </si>
  <si>
    <t>Kons. li. Motorseite (1555) OC/16-16-B</t>
  </si>
  <si>
    <t>0150578</t>
  </si>
  <si>
    <t>Kons. re. motors.(1455) NiStu OC/16-16-B</t>
  </si>
  <si>
    <t>0150579</t>
  </si>
  <si>
    <t>Kons.li.motorseite1455  NiStu OC/16-16-B</t>
  </si>
  <si>
    <t>0150580</t>
  </si>
  <si>
    <t>Kons. re. motors.(1555) NiStu OC/16-16-B             23</t>
  </si>
  <si>
    <t>0150581</t>
  </si>
  <si>
    <t>Kons.li.motorseite1555  NiStu OC/16-16-B             23</t>
  </si>
  <si>
    <t>0150582</t>
  </si>
  <si>
    <t>Fangblech Motor rechts -OC1455                        3</t>
  </si>
  <si>
    <t>0150583</t>
  </si>
  <si>
    <t>Abdeckbl f Fangbl Motor rechts 1455-OC                1</t>
  </si>
  <si>
    <t>0150584</t>
  </si>
  <si>
    <t>Fangblech Motor links 1455-OC                         3</t>
  </si>
  <si>
    <t>0150585</t>
  </si>
  <si>
    <t>Abdeckbl f Fangbl Motor links 1455-OC                 1</t>
  </si>
  <si>
    <t>0150586</t>
  </si>
  <si>
    <t>Fangblech links 1455-OC</t>
  </si>
  <si>
    <t>0150587</t>
  </si>
  <si>
    <t>Abdeckblech f Fangbl links 1455-OC</t>
  </si>
  <si>
    <t>0150588</t>
  </si>
  <si>
    <t>Fangblech.re. Motor re./Niedrst OC-1455</t>
  </si>
  <si>
    <t>0150589</t>
  </si>
  <si>
    <t>Abdeckbl Fangbl Motor rechts Nie 1455-OC</t>
  </si>
  <si>
    <t>0150590</t>
  </si>
  <si>
    <t>Fangbl Motor links Nie 1455-OC</t>
  </si>
  <si>
    <t>0150591</t>
  </si>
  <si>
    <t>Abdeckbl Fangbl links Nie 1455-OC</t>
  </si>
  <si>
    <t>0150592</t>
  </si>
  <si>
    <t>Fangblech links Nie 1455-OC</t>
  </si>
  <si>
    <t>0150593</t>
  </si>
  <si>
    <t>Abdeckbl Fangbl Motor links Nie 1455-OC</t>
  </si>
  <si>
    <t>0150594</t>
  </si>
  <si>
    <t>Fangblech Motor rechts 1555-OC</t>
  </si>
  <si>
    <t>0150595</t>
  </si>
  <si>
    <t>Abdeckbl f Fangbl  Motor rechts 1555-OC</t>
  </si>
  <si>
    <t>0150596</t>
  </si>
  <si>
    <t>Fangblech Motor links 1555-OC</t>
  </si>
  <si>
    <t>0150597</t>
  </si>
  <si>
    <t>Abdeckbl f Fangblech Motor links 1555-OC</t>
  </si>
  <si>
    <t>0150598</t>
  </si>
  <si>
    <t>Fangblech links OC-1555</t>
  </si>
  <si>
    <t>0150599</t>
  </si>
  <si>
    <t>Abdeckblech f Fangbl li  OC 1555</t>
  </si>
  <si>
    <t>0150600</t>
  </si>
  <si>
    <t>Fangblech.re. Motor re./Niedrst OC-1555               3</t>
  </si>
  <si>
    <t>0150601</t>
  </si>
  <si>
    <t>Abdeckbl Fangbl Motor rechts Nie1555-OC               1</t>
  </si>
  <si>
    <t>0150602</t>
  </si>
  <si>
    <t>Fangblech Motor links Nie1555                         3</t>
  </si>
  <si>
    <t>0150603</t>
  </si>
  <si>
    <t>Abdeckbl Fangbl Motor links Nie1555</t>
  </si>
  <si>
    <t>0150604</t>
  </si>
  <si>
    <t>Fangblech links Nie 1555-OC</t>
  </si>
  <si>
    <t>0150605</t>
  </si>
  <si>
    <t>Abdeckblech Fangblech links Nie 1555-OC</t>
  </si>
  <si>
    <t>0150606</t>
  </si>
  <si>
    <t>U 80x50x4 OC / Konsole</t>
  </si>
  <si>
    <t>0150607</t>
  </si>
  <si>
    <t>U 80x50x4 OC / Konsole Gr. 6</t>
  </si>
  <si>
    <t>0150608</t>
  </si>
  <si>
    <t>Winkel 50x40x4 Niedrigsturz Größe 5</t>
  </si>
  <si>
    <t>0150609</t>
  </si>
  <si>
    <t>Winkel 50x40x4 Niedrigsturz Größe 6</t>
  </si>
  <si>
    <t>0150610</t>
  </si>
  <si>
    <t>Stütze f. Konsole/rechts Gr.5 (1455) OC</t>
  </si>
  <si>
    <t>0150611</t>
  </si>
  <si>
    <t>Stütze f. Konsole/links Gr.5 (1455) OC</t>
  </si>
  <si>
    <t>0150612</t>
  </si>
  <si>
    <t>Stütze f. Konsole/rechts Gr.6 (1555) OC</t>
  </si>
  <si>
    <t>0150613</t>
  </si>
  <si>
    <t>Stütze f. Konsole/links Gr.6 (1555) OC</t>
  </si>
  <si>
    <t>0150614</t>
  </si>
  <si>
    <t>C-Profil/Stütze OC/Konsole Gr.1 (855)</t>
  </si>
  <si>
    <t>0150615</t>
  </si>
  <si>
    <t>C-Profil/Stütze OC/Konsole Gr.2 (1055)</t>
  </si>
  <si>
    <t>0150616</t>
  </si>
  <si>
    <t>C-Profil/Stütze OC/Konsole Gr.3 (1255)</t>
  </si>
  <si>
    <t>0150617</t>
  </si>
  <si>
    <t>C-Profil/Stütze OC/Konsole Gr.4 (1355)</t>
  </si>
  <si>
    <t>0150618</t>
  </si>
  <si>
    <t>C-Profil/Stütze OC/Konsole Gr.5 (1455)</t>
  </si>
  <si>
    <t>0150619</t>
  </si>
  <si>
    <t>C-Profil/Stütze OC/Konsole Gr.6 (1555)</t>
  </si>
  <si>
    <t>0150620</t>
  </si>
  <si>
    <t>Laufschiene Konsole 16-B OC                           1</t>
  </si>
  <si>
    <t>0150621</t>
  </si>
  <si>
    <t>0150622</t>
  </si>
  <si>
    <t>Laufschiene Konsole Gr.5 16+16-B OC                   3</t>
  </si>
  <si>
    <t>0150623</t>
  </si>
  <si>
    <t>Laufschiene Konsole Gr.6 16+16-B OC                   9</t>
  </si>
  <si>
    <t>0150624</t>
  </si>
  <si>
    <t>Fangbl Motor links Nie 1055-OC                        2</t>
  </si>
  <si>
    <t>0150625</t>
  </si>
  <si>
    <t>Abdeckbl Fangbl Motor links Nie 1055-OC</t>
  </si>
  <si>
    <t>0150626</t>
  </si>
  <si>
    <t>Fangbl Motor links Nie 1255-OC                        1</t>
  </si>
  <si>
    <t>0150627</t>
  </si>
  <si>
    <t>Abdeckbl Fangbl Motor links Nie 1255-OC</t>
  </si>
  <si>
    <t>0150628</t>
  </si>
  <si>
    <t>Fangblech Motor links Nie 1355-OC                     2</t>
  </si>
  <si>
    <t>0150629</t>
  </si>
  <si>
    <t>Abdeckbl Fangbl  Motor links Nie 1355-OC              1</t>
  </si>
  <si>
    <t>0150630</t>
  </si>
  <si>
    <t>Blechstr.80x3 Obere Lam.Niedr. Ausgleich</t>
  </si>
  <si>
    <t>0150631</t>
  </si>
  <si>
    <t>Blechstr.100x3 ObereLam.Niedr. Ausgleich</t>
  </si>
  <si>
    <t>0150632</t>
  </si>
  <si>
    <t>Laufschiene Konsole Gr.7 16+16-B OC                   8</t>
  </si>
  <si>
    <t>0150633</t>
  </si>
  <si>
    <t>Grundplatte Ausfädelhebel Nachrüstenset</t>
  </si>
  <si>
    <t>0150634</t>
  </si>
  <si>
    <t>Einschweißbl.für U-Stahl Rücklauf Uni-BZ</t>
  </si>
  <si>
    <t>0150635</t>
  </si>
  <si>
    <t>Winkel Mehrfach.50-erRücklauf Uni-BZ kpl</t>
  </si>
  <si>
    <t>0150636</t>
  </si>
  <si>
    <t>Winkel Mehrfach.80-erRücklauf Uni-BZ kpl</t>
  </si>
  <si>
    <t>0150637</t>
  </si>
  <si>
    <t>Winkel Mehrfachför.50-er Rücklauf Uni-BZ</t>
  </si>
  <si>
    <t>0150638</t>
  </si>
  <si>
    <t>Winkel Mehrfachför.80-er Rücklauf Uni-BZ</t>
  </si>
  <si>
    <t>0150639</t>
  </si>
  <si>
    <t>Distanzhülse Mehrfachför.Rücklauf Uni-BZ</t>
  </si>
  <si>
    <t>0150640</t>
  </si>
  <si>
    <t>U-Stahl für Führungsrolle Uni-K</t>
  </si>
  <si>
    <t>0150641</t>
  </si>
  <si>
    <t>Halter für Hangrolle Uni-K</t>
  </si>
  <si>
    <t>0150643</t>
  </si>
  <si>
    <t>Rückführung UTR kpl. Uni BZ</t>
  </si>
  <si>
    <t>0150644</t>
  </si>
  <si>
    <t>Blech für Rückführung UTR Uni BZ</t>
  </si>
  <si>
    <t>0150645</t>
  </si>
  <si>
    <t>U-Kantung für Rückführung UTR Uni BZ</t>
  </si>
  <si>
    <t>0150646</t>
  </si>
  <si>
    <t>Wippenblech UTR  Uni BZ</t>
  </si>
  <si>
    <t>0150647</t>
  </si>
  <si>
    <t>Wippenblech TTR  Uni B</t>
  </si>
  <si>
    <t>0150648</t>
  </si>
  <si>
    <t>Endblech für U-Rahmen, innen Uni BZ</t>
  </si>
  <si>
    <t>0150649</t>
  </si>
  <si>
    <t>Flachstahl für U-Befestigung  Uni-BZ</t>
  </si>
  <si>
    <t>0150650</t>
  </si>
  <si>
    <t>Flachstahl für Wippenführung Uni-BZ</t>
  </si>
  <si>
    <t>0150651</t>
  </si>
  <si>
    <t>Grundplatte Ausfädelhebel12/16-B li NG</t>
  </si>
  <si>
    <t>0150652</t>
  </si>
  <si>
    <t>Grundplatte Ausfädelhebel12/16-B re NG</t>
  </si>
  <si>
    <t>0150653</t>
  </si>
  <si>
    <t>Winkel/Flach 80x85x52x5 links</t>
  </si>
  <si>
    <t>0150654</t>
  </si>
  <si>
    <t>Flachstahl 30x10x132 OC-Galgen</t>
  </si>
  <si>
    <t>0150655</t>
  </si>
  <si>
    <t>Rohr für Antriebswellenabhängung OC</t>
  </si>
  <si>
    <t>0150656</t>
  </si>
  <si>
    <t>Rohr für Antriebswellenabhängung kpl. OC              1</t>
  </si>
  <si>
    <t>0150657</t>
  </si>
  <si>
    <t>Hangrollenhalter komplett links</t>
  </si>
  <si>
    <t>0150658</t>
  </si>
  <si>
    <t>Hangrollenhalter komplett rechts</t>
  </si>
  <si>
    <t>0150659</t>
  </si>
  <si>
    <t>0150660</t>
  </si>
  <si>
    <t>Fangblech Motor links 855-OC</t>
  </si>
  <si>
    <t>0150661</t>
  </si>
  <si>
    <t>Abdeckbl f Fangbl  Motor links 855-OC</t>
  </si>
  <si>
    <t>0150662</t>
  </si>
  <si>
    <t>Fangblech rechts 855-OC</t>
  </si>
  <si>
    <t>0150663</t>
  </si>
  <si>
    <t>Abdeckbl f Fangbl rechts 855-OC</t>
  </si>
  <si>
    <t>0150664</t>
  </si>
  <si>
    <t>Fangblech rechts 1055-OC</t>
  </si>
  <si>
    <t>0150665</t>
  </si>
  <si>
    <t>Abdeckbl f Fangblech rechts 1055-OC</t>
  </si>
  <si>
    <t>0150666</t>
  </si>
  <si>
    <t>Fangblech rechts 1255-OC</t>
  </si>
  <si>
    <t>0150667</t>
  </si>
  <si>
    <t>Abdeckbl f Fangbl rechts 1255-OC</t>
  </si>
  <si>
    <t>0150668</t>
  </si>
  <si>
    <t>Fangbl  Motor links Nie 855-OC</t>
  </si>
  <si>
    <t>0150669</t>
  </si>
  <si>
    <t>Abdeckbl Fangbl Motor links Nie 855-OC</t>
  </si>
  <si>
    <t>0150670</t>
  </si>
  <si>
    <t>Fangblech rechts Nie 855-OC</t>
  </si>
  <si>
    <t>0150671</t>
  </si>
  <si>
    <t>Abdeckbl Fangbl rechts Nie 855-OC</t>
  </si>
  <si>
    <t>0150672</t>
  </si>
  <si>
    <t>Fangblech rechts Nie 1055-OC</t>
  </si>
  <si>
    <t>0150673</t>
  </si>
  <si>
    <t>Abdeckblech Fangblech rechts Nie 1055-OC</t>
  </si>
  <si>
    <t>0150674</t>
  </si>
  <si>
    <t>Fangblech rechts Nie 1255-OC</t>
  </si>
  <si>
    <t>0150675</t>
  </si>
  <si>
    <t>Abdeckbl Fangbl rechts Nie 1255-OC</t>
  </si>
  <si>
    <t>0150676</t>
  </si>
  <si>
    <t>Kant.Kons.re. Motors. 1655 OC-16-B</t>
  </si>
  <si>
    <t>0150677</t>
  </si>
  <si>
    <t>Kant.Kons.li. Motors. 1655 OC-16-B</t>
  </si>
  <si>
    <t>0150678</t>
  </si>
  <si>
    <t>Kant.Kons.re. Motors. 1755 OC-16-B</t>
  </si>
  <si>
    <t>0150679</t>
  </si>
  <si>
    <t>Kant.Kons.li. Motors. 1755 OC-16-B</t>
  </si>
  <si>
    <t>0150680</t>
  </si>
  <si>
    <t>Kant.Kons.re. Motors. 1655 NiStu OC-16-B</t>
  </si>
  <si>
    <t>0150681</t>
  </si>
  <si>
    <t>Kant.Kons.li. Motors. 1655 NiStu OC-16-B</t>
  </si>
  <si>
    <t>0150682</t>
  </si>
  <si>
    <t>Kant.Kons.re. Motors. 1755 NiStu OC-16-B</t>
  </si>
  <si>
    <t>0150683</t>
  </si>
  <si>
    <t>Kant.Kons.li. Motors. 1755 NiStu OC-16-B</t>
  </si>
  <si>
    <t>0150684</t>
  </si>
  <si>
    <t>Fangblech Motor rechts 1655-OC</t>
  </si>
  <si>
    <t>0150685</t>
  </si>
  <si>
    <t>Abdeckbl f Fangbl Motor rechts 1655-OC</t>
  </si>
  <si>
    <t>0150686</t>
  </si>
  <si>
    <t>Fangblech Motor links 1655-OC</t>
  </si>
  <si>
    <t>0150687</t>
  </si>
  <si>
    <t>Abdeckbl f Fangbl Motor links 1655-OC</t>
  </si>
  <si>
    <t>0150688</t>
  </si>
  <si>
    <t>Fangblech Motor rechts 1755-OC</t>
  </si>
  <si>
    <t>0150689</t>
  </si>
  <si>
    <t>Abdeckbl f Fangbl Motor rechts 1755-OC</t>
  </si>
  <si>
    <t>0150690</t>
  </si>
  <si>
    <t>Fangblech Motor links 1755-OC</t>
  </si>
  <si>
    <t>0150691</t>
  </si>
  <si>
    <t>Abdeckbl f Fangbl Motor links 1755-OC</t>
  </si>
  <si>
    <t>0150692</t>
  </si>
  <si>
    <t>Fangbl Motor rechts Nie 1655-OC</t>
  </si>
  <si>
    <t>0150693</t>
  </si>
  <si>
    <t>Abdeckbl Fangbl Motor rechts Nie 1655-OC</t>
  </si>
  <si>
    <t>0150694</t>
  </si>
  <si>
    <t>Fangbl Motor links Nie 1655-OC</t>
  </si>
  <si>
    <t>0150695</t>
  </si>
  <si>
    <t>Abdeckbl Fangbl Motor links Nie 1655-OC</t>
  </si>
  <si>
    <t>0150696</t>
  </si>
  <si>
    <t>Fangbl Motor rechts Nie 1755-OC</t>
  </si>
  <si>
    <t>0150697</t>
  </si>
  <si>
    <t>Abdeckbl Fangbl Motor rechts Nie 1755-OC</t>
  </si>
  <si>
    <t>0150698</t>
  </si>
  <si>
    <t>Fangbl Motor links Nie 1755-OC</t>
  </si>
  <si>
    <t>0150699</t>
  </si>
  <si>
    <t>Abdeckbl Fangbl Motor links Nie 1755-OC</t>
  </si>
  <si>
    <t>0150700</t>
  </si>
  <si>
    <t>Ausfädelhebel rechts - OC Lamelle</t>
  </si>
  <si>
    <t>0150701</t>
  </si>
  <si>
    <t>Ausfädelhebel links - OC Lamelle</t>
  </si>
  <si>
    <t>0150702</t>
  </si>
  <si>
    <t>Fangblech rechts Nie 1455-OC</t>
  </si>
  <si>
    <t>0150703</t>
  </si>
  <si>
    <t>0150704</t>
  </si>
  <si>
    <t>Konsole rechts Motor (1655) OC/16-16-B</t>
  </si>
  <si>
    <t>0150705</t>
  </si>
  <si>
    <t>Konsole links Motor (1655) OC/16-16-B</t>
  </si>
  <si>
    <t>0150706</t>
  </si>
  <si>
    <t>Konsole rechts Motor (1755) OC/16-16-B</t>
  </si>
  <si>
    <t>0150707</t>
  </si>
  <si>
    <t>Konsole links Motor (1755) OC/16-16-B</t>
  </si>
  <si>
    <t>0150708</t>
  </si>
  <si>
    <t>Kons. re. Motor (1655) NiStu OC/16-16-B</t>
  </si>
  <si>
    <t>0150709</t>
  </si>
  <si>
    <t>Kons. li. Motor (1655) NiStu OC/16-16-B</t>
  </si>
  <si>
    <t>0150710</t>
  </si>
  <si>
    <t>Kons. re. Motor (1755) NiStu OC/16-16-B</t>
  </si>
  <si>
    <t>0150711</t>
  </si>
  <si>
    <t>Kons. li. Motor (1755) NiStu OC/16-16-B</t>
  </si>
  <si>
    <t>0150712</t>
  </si>
  <si>
    <t>Kons. re. Motor (1655) NiStu OC/16-B</t>
  </si>
  <si>
    <t>0150713</t>
  </si>
  <si>
    <t>Kons. li. Motor (1655) NiStu OC/16-B</t>
  </si>
  <si>
    <t>0150714</t>
  </si>
  <si>
    <t>Zahnkranz für Fangvorrichtung OC EI                   1</t>
  </si>
  <si>
    <t>0150715</t>
  </si>
  <si>
    <t>Grundteil für Sensor Fangvorr. OC EI                  1</t>
  </si>
  <si>
    <t>0150716</t>
  </si>
  <si>
    <t>Zahnscheibe für Sensor Fangvorr. OC EI</t>
  </si>
  <si>
    <t>0150717</t>
  </si>
  <si>
    <t>Fangblech Fangvorrichtung OC-EI120</t>
  </si>
  <si>
    <t>0150718</t>
  </si>
  <si>
    <t>Schwenkhebel Feder  OC-EI120</t>
  </si>
  <si>
    <t>0150719</t>
  </si>
  <si>
    <t>Schwenkhebel Fangvorrichtung OC-EI120</t>
  </si>
  <si>
    <t>0150720</t>
  </si>
  <si>
    <t>Stützblech Fangvorrichtung OC-EI120</t>
  </si>
  <si>
    <t>0150721</t>
  </si>
  <si>
    <t>Rollenhalter Fangvorrichtung OC-EI120</t>
  </si>
  <si>
    <t>0150722</t>
  </si>
  <si>
    <t>Sensorträger Fangvorrichtung OC-EI120</t>
  </si>
  <si>
    <t>0150723</t>
  </si>
  <si>
    <t>Halteblech für Reed-Sensor OC-EI120</t>
  </si>
  <si>
    <t>0150724</t>
  </si>
  <si>
    <t>Fangklotz Fangvorrichtung OC EI120</t>
  </si>
  <si>
    <t>0150725</t>
  </si>
  <si>
    <t>Befestigungsplatte für Fangkeil gespiege              1</t>
  </si>
  <si>
    <t>0150726</t>
  </si>
  <si>
    <t>Führungswinkel für Führungskeil gespiege</t>
  </si>
  <si>
    <t>0150727</t>
  </si>
  <si>
    <t>Führungskeil für Fangvorrichtung gespieg              6</t>
  </si>
  <si>
    <t>0150728</t>
  </si>
  <si>
    <t>Laufschiene Konsole Gr.8 16+16-B OC</t>
  </si>
  <si>
    <t>0150729</t>
  </si>
  <si>
    <t>Mech. Sicherheits-Endschalter OC</t>
  </si>
  <si>
    <t>0150730</t>
  </si>
  <si>
    <t>U-Stahl 60x210x130x5 OC-Konsole li16-B</t>
  </si>
  <si>
    <t>0150731</t>
  </si>
  <si>
    <t>U-Kantung 126x129x126x5 Konsole links</t>
  </si>
  <si>
    <t>0150732</t>
  </si>
  <si>
    <t>Konsole rechts.(855) NiStu OC/16-16-B</t>
  </si>
  <si>
    <t>0150733</t>
  </si>
  <si>
    <t>Konsole links.(855) NiStu OC/16-16-B</t>
  </si>
  <si>
    <t>0150734</t>
  </si>
  <si>
    <t>Winkel Fangblech rechts -OC</t>
  </si>
  <si>
    <t>0150735</t>
  </si>
  <si>
    <t>Winkel Fangblech links -OC</t>
  </si>
  <si>
    <t>0150736</t>
  </si>
  <si>
    <t>0150737</t>
  </si>
  <si>
    <t>0150738</t>
  </si>
  <si>
    <t>Kantung 305x1015x5 OC-Konsole                         7</t>
  </si>
  <si>
    <t>0150739</t>
  </si>
  <si>
    <t>0150740</t>
  </si>
  <si>
    <t>Fangblech Motor rechts 1155-OC</t>
  </si>
  <si>
    <t>0150741</t>
  </si>
  <si>
    <t>Abdeckbl f Fangbl Motor rechts 1155-OC</t>
  </si>
  <si>
    <t>0150742</t>
  </si>
  <si>
    <t>Fangblech Motor links 1155-OC</t>
  </si>
  <si>
    <t>0150743</t>
  </si>
  <si>
    <t>Abdeckbl f Fangbl Motor links 1155-OC</t>
  </si>
  <si>
    <t>0150744</t>
  </si>
  <si>
    <t>Winkel 25x40 für Lichtschranke</t>
  </si>
  <si>
    <t>0150745</t>
  </si>
  <si>
    <t>Winkel 40x65 für Lichtschranke</t>
  </si>
  <si>
    <t>0151</t>
  </si>
  <si>
    <t>Niedax Kabelrinne RLV 60.100</t>
  </si>
  <si>
    <t>0151001</t>
  </si>
  <si>
    <t>Verbinder Laibungsprofile verz.StBlech</t>
  </si>
  <si>
    <t>0151002</t>
  </si>
  <si>
    <t>Untere Eckverbinder RGT</t>
  </si>
  <si>
    <t>0151003</t>
  </si>
  <si>
    <t>Eckverbinder m. Kettenaufl. oben rgt</t>
  </si>
  <si>
    <t>0151004</t>
  </si>
  <si>
    <t>Rohrverbinder für Rohr Ø 100x1,5                      1</t>
  </si>
  <si>
    <t>0151005</t>
  </si>
  <si>
    <t>Rohrverbinder für Rohr Ø 120x1,5                      2</t>
  </si>
  <si>
    <t>0151006</t>
  </si>
  <si>
    <t>Rohrverbinder                                         2</t>
  </si>
  <si>
    <t>0151007</t>
  </si>
  <si>
    <t>Rohrverbinder Rohr Ø 70x1,5</t>
  </si>
  <si>
    <t>0151008</t>
  </si>
  <si>
    <t>Eckverbinder für Profile unten (Sonder)</t>
  </si>
  <si>
    <t>0151009</t>
  </si>
  <si>
    <t>Rohrverbinder für Rohr Ø 70x1,5 versch.</t>
  </si>
  <si>
    <t>0151010</t>
  </si>
  <si>
    <t>Rohrverbinder für Rohr Ø 120x2 versch.                5</t>
  </si>
  <si>
    <t>0151011</t>
  </si>
  <si>
    <t>Winkel Eckverbinder oben rechts 94mm</t>
  </si>
  <si>
    <t>0151012</t>
  </si>
  <si>
    <t>Joch für aussenliegenden Antrieb FlexSys</t>
  </si>
  <si>
    <t>0151013</t>
  </si>
  <si>
    <t>OC-Querprofil Verbinder Querprofil</t>
  </si>
  <si>
    <t>0151014</t>
  </si>
  <si>
    <t>Flachstahl für Eckverbinder oben RGT</t>
  </si>
  <si>
    <t>0151015</t>
  </si>
  <si>
    <t>Winkel Eckverbinder oben links 94mm</t>
  </si>
  <si>
    <t>0151016</t>
  </si>
  <si>
    <t>Eckverbinder oben mit Kettenanbindung li</t>
  </si>
  <si>
    <t>0151017</t>
  </si>
  <si>
    <t>Eckverbinder oben mit Kettenanbindung re</t>
  </si>
  <si>
    <t>0151018</t>
  </si>
  <si>
    <t>0151019</t>
  </si>
  <si>
    <t>0151020</t>
  </si>
  <si>
    <t>Eckverbinder oben Öffnungsseite RGT hor.</t>
  </si>
  <si>
    <t>0151021</t>
  </si>
  <si>
    <t>Eckverbinder oben Schließseite RGT hor.</t>
  </si>
  <si>
    <t>0151022</t>
  </si>
  <si>
    <t>0151023</t>
  </si>
  <si>
    <t>Eckverbinder rechte Seite l=73 / RGT</t>
  </si>
  <si>
    <t>0151024</t>
  </si>
  <si>
    <t>Winkel Eckverbinder oben linke Seite RGT</t>
  </si>
  <si>
    <t>0151025</t>
  </si>
  <si>
    <t>Laufrollen kpl.(2 Stk./Schieber)  RGT</t>
  </si>
  <si>
    <t>0151026</t>
  </si>
  <si>
    <t>Profilrohr für Laufrolle 0151025 RGT</t>
  </si>
  <si>
    <t>0151027</t>
  </si>
  <si>
    <t>Flachstahl 1 für Laufrolle 0151025 RGT</t>
  </si>
  <si>
    <t>0151028</t>
  </si>
  <si>
    <t>Flachstahl 2 für Laufrolle 0151025 RGT</t>
  </si>
  <si>
    <t>0151029</t>
  </si>
  <si>
    <t>Flachstahl 3 für Laufrolle 0151025 RGT</t>
  </si>
  <si>
    <t>0151030</t>
  </si>
  <si>
    <t>Flachstahl 4 für Laufrolle 0151025 RGT</t>
  </si>
  <si>
    <t>0151031</t>
  </si>
  <si>
    <t>Distanzstück für Ovalschiene / RGT-K</t>
  </si>
  <si>
    <t>0151032</t>
  </si>
  <si>
    <t>Rohrverbinder für Rohr Ø 100x1,5 versch               2</t>
  </si>
  <si>
    <t>0151099</t>
  </si>
  <si>
    <t>Winkel für seitliche Traverse Uni-B</t>
  </si>
  <si>
    <t>0151100</t>
  </si>
  <si>
    <t>Aufdopplungswinkel 115x27x2</t>
  </si>
  <si>
    <t>0151101</t>
  </si>
  <si>
    <t>Aufdopplungswinkel 115x37x2</t>
  </si>
  <si>
    <t>0151103</t>
  </si>
  <si>
    <t>Übergangswinkel von Gurt auf Seil für</t>
  </si>
  <si>
    <t>0151104</t>
  </si>
  <si>
    <t>Verstärkungspratze OC-Lamelle</t>
  </si>
  <si>
    <t>0151105</t>
  </si>
  <si>
    <t>Sicherheitswinkel für FSV größer 6 m</t>
  </si>
  <si>
    <t>0151106</t>
  </si>
  <si>
    <t>Befestigungswinkel Wälzlager Ecotube</t>
  </si>
  <si>
    <t>0151107</t>
  </si>
  <si>
    <t>Befestigungswinkel für kleines Gehäuse</t>
  </si>
  <si>
    <t>0151108</t>
  </si>
  <si>
    <t>Sicherheitswinkel für RSV/FSV kleines</t>
  </si>
  <si>
    <t>0151109</t>
  </si>
  <si>
    <t>Verkrallungsprofil  1 OC-Führungschiene</t>
  </si>
  <si>
    <t>0151110</t>
  </si>
  <si>
    <t>Verstärkungsprofil f. Verkrallungsprofil</t>
  </si>
  <si>
    <t>0151111</t>
  </si>
  <si>
    <t>Stoßverbinder für Verkrallungsprofil</t>
  </si>
  <si>
    <t>0151112</t>
  </si>
  <si>
    <t>Flachstahl Nr.1 50x5x280 OC-Konsole</t>
  </si>
  <si>
    <t>0151113</t>
  </si>
  <si>
    <t>Flachstahl Nr. 2, 80x8x150 OC-Konsole</t>
  </si>
  <si>
    <t>0151114</t>
  </si>
  <si>
    <t>Montagesicherung für Konsole OC</t>
  </si>
  <si>
    <t>0151115</t>
  </si>
  <si>
    <t>Fangschiene Fl40x5+15x8</t>
  </si>
  <si>
    <t>0151116</t>
  </si>
  <si>
    <t>Klemmblech f. Federstahl Fangvorrichtung</t>
  </si>
  <si>
    <t>0151117</t>
  </si>
  <si>
    <t>Montagesicherung für Konsole,links</t>
  </si>
  <si>
    <t>0151118</t>
  </si>
  <si>
    <t>0151119</t>
  </si>
  <si>
    <t>Fangvorr.Klemmbl. f. Federst. 16-16-B OC</t>
  </si>
  <si>
    <t>0151120</t>
  </si>
  <si>
    <t>Schmiernippel f.Buchse</t>
  </si>
  <si>
    <t>0151121</t>
  </si>
  <si>
    <t>Verkrallungsprofil  2 OC-Führungschiene</t>
  </si>
  <si>
    <t>0151122</t>
  </si>
  <si>
    <t>Verkrallungsprofil  3 OC-Führungschiene</t>
  </si>
  <si>
    <t>0151123</t>
  </si>
  <si>
    <t>Klemmblech f. FederstFangvor. Edelstahl               2</t>
  </si>
  <si>
    <t>0151124</t>
  </si>
  <si>
    <t>Klemmblech f. FederstFangvor. Edelstahl</t>
  </si>
  <si>
    <t>0151150</t>
  </si>
  <si>
    <t>Haltewinkel für Absenkungsschiene RGT</t>
  </si>
  <si>
    <t>0151151</t>
  </si>
  <si>
    <t>Winkel für Gurtumlenkung Wand RGT</t>
  </si>
  <si>
    <t>0151152</t>
  </si>
  <si>
    <t>Haltewinkel für Laufrolle PN/Ecotube++++</t>
  </si>
  <si>
    <t>0151170</t>
  </si>
  <si>
    <t>UNI-Stahlkonstruktion</t>
  </si>
  <si>
    <t>0151171</t>
  </si>
  <si>
    <t>0151172</t>
  </si>
  <si>
    <t>Winkel Schwenkrolle Abräumung a-sr-u1h</t>
  </si>
  <si>
    <t>0151173</t>
  </si>
  <si>
    <t>Winkel für Tauchrolle Uni-B</t>
  </si>
  <si>
    <t>0151174</t>
  </si>
  <si>
    <t>0151175</t>
  </si>
  <si>
    <t>0151176</t>
  </si>
  <si>
    <t>0151177</t>
  </si>
  <si>
    <t>0151178</t>
  </si>
  <si>
    <t>0151200</t>
  </si>
  <si>
    <t>Befestigung für Führungsstück für RGT</t>
  </si>
  <si>
    <t>0151201</t>
  </si>
  <si>
    <t>Befestigungswinkel für Gestänge RGT</t>
  </si>
  <si>
    <t>0151220</t>
  </si>
  <si>
    <t>Haltewinkel Z-Kantung Antrieb aussen                  5</t>
  </si>
  <si>
    <t>0151221</t>
  </si>
  <si>
    <t>0151222</t>
  </si>
  <si>
    <t>Haltewinkel Stangenführung unten RS/FSA</t>
  </si>
  <si>
    <t>0151223</t>
  </si>
  <si>
    <t>Haltewinkel Stangenführung unten RSV</t>
  </si>
  <si>
    <t>0151224</t>
  </si>
  <si>
    <t>0151227</t>
  </si>
  <si>
    <t>Anbauteile Stangenführung RS/FSA/RSA                  1</t>
  </si>
  <si>
    <t>0151228</t>
  </si>
  <si>
    <t>Verbindungsblech für Abschlußleiste 98</t>
  </si>
  <si>
    <t>0151229</t>
  </si>
  <si>
    <t>Verbindungsblech RS/FSA</t>
  </si>
  <si>
    <t>0151230</t>
  </si>
  <si>
    <t>Verbindungsschelle Stangenführung RS/FSV</t>
  </si>
  <si>
    <t>0151231</t>
  </si>
  <si>
    <t>Verbindungsschelle Stangenführung V2A</t>
  </si>
  <si>
    <t>0151232</t>
  </si>
  <si>
    <t>Verbindungsblech für Abschlußleiste 01</t>
  </si>
  <si>
    <t>0151233</t>
  </si>
  <si>
    <t>0151234</t>
  </si>
  <si>
    <t>Haltewinkel Stangenführung RS Edelstahl</t>
  </si>
  <si>
    <t>0151235</t>
  </si>
  <si>
    <t>Verbindungsschelle Stange 160x100 RS/FSA</t>
  </si>
  <si>
    <t>0152</t>
  </si>
  <si>
    <t>0152010</t>
  </si>
  <si>
    <t>Schraubenzubehör</t>
  </si>
  <si>
    <t>0153</t>
  </si>
  <si>
    <t>0153001</t>
  </si>
  <si>
    <t>Verriegelung Seil Uni B                               4</t>
  </si>
  <si>
    <t>0153002</t>
  </si>
  <si>
    <t>Verriegelung RGT vertikal</t>
  </si>
  <si>
    <t>0153003</t>
  </si>
  <si>
    <t>Schmelzlotsicherung Uni-B                             1</t>
  </si>
  <si>
    <t>0153004</t>
  </si>
  <si>
    <t>Schmelzlot-Verriegelung für RGT</t>
  </si>
  <si>
    <t>0153005</t>
  </si>
  <si>
    <t>Keil für Verriegelung Uni-B/BZ</t>
  </si>
  <si>
    <t>0153006</t>
  </si>
  <si>
    <t>Verriegelung für UNIVERSAL Q</t>
  </si>
  <si>
    <t>0153007</t>
  </si>
  <si>
    <t>Rundstahl für Verriegelung Uni Q</t>
  </si>
  <si>
    <t>0153008</t>
  </si>
  <si>
    <t>Verriegelung Gurt Uni B</t>
  </si>
  <si>
    <t>0153009</t>
  </si>
  <si>
    <t>U-Stahl für Verriegelung Uni Q</t>
  </si>
  <si>
    <t>0153010</t>
  </si>
  <si>
    <t>Wippe für UNIVERSAL BZ</t>
  </si>
  <si>
    <t>0153011</t>
  </si>
  <si>
    <t>0153012</t>
  </si>
  <si>
    <t>Halter für Fangvorrichtung OC-Lamelle</t>
  </si>
  <si>
    <t>0153013</t>
  </si>
  <si>
    <t>Rundstahl für Verriegelung Uni-B</t>
  </si>
  <si>
    <t>0153014</t>
  </si>
  <si>
    <t>U-Stahl für Verriegelung Uni-B</t>
  </si>
  <si>
    <t>0153015</t>
  </si>
  <si>
    <t>Flachstahl für Verriegelung (Seil) Uni-B</t>
  </si>
  <si>
    <t>0153016</t>
  </si>
  <si>
    <t>Flachstahl für Verriegelung (Gurt) Uni-B</t>
  </si>
  <si>
    <t>0153018</t>
  </si>
  <si>
    <t>U-Kantung für RGT Verriegelung vert.</t>
  </si>
  <si>
    <t>0153019</t>
  </si>
  <si>
    <t>Vierkantstahl für Verrieglung RGT</t>
  </si>
  <si>
    <t>0153020</t>
  </si>
  <si>
    <t>Verriegelung Promat v.unten n.oben RGT</t>
  </si>
  <si>
    <t>0153021</t>
  </si>
  <si>
    <t>Verriegelung Promat6 v.unten n.oben RGT</t>
  </si>
  <si>
    <t>0153022</t>
  </si>
  <si>
    <t>Verriegelung Promseal v.unten n.oben RGT</t>
  </si>
  <si>
    <t>0153023</t>
  </si>
  <si>
    <t>Flachstahl für Schmelzlot-Verriegelung</t>
  </si>
  <si>
    <t>0153024</t>
  </si>
  <si>
    <t>Schmelzlot-Verriegelung 4-Kant RGT</t>
  </si>
  <si>
    <t>0153025</t>
  </si>
  <si>
    <t>Keil für Schmelzlotverriegelung</t>
  </si>
  <si>
    <t>0153026</t>
  </si>
  <si>
    <t>Verriegelung Seilanbindung komplett</t>
  </si>
  <si>
    <t>0153027</t>
  </si>
  <si>
    <t>Rundstahl für Verriegelung Edelstahl</t>
  </si>
  <si>
    <t>0153028</t>
  </si>
  <si>
    <t>U-Stahl Verriegelung Edelstahl / Uni-B</t>
  </si>
  <si>
    <t>0153029</t>
  </si>
  <si>
    <t>Flachstahl Verriegelung Seil Edelstahl</t>
  </si>
  <si>
    <t>0153030</t>
  </si>
  <si>
    <t>Schmelzlotverrieglung OS                              6</t>
  </si>
  <si>
    <t>0153031</t>
  </si>
  <si>
    <t>Kantung oben für Schmelzlot-                          2</t>
  </si>
  <si>
    <t>0153032</t>
  </si>
  <si>
    <t>Kantung unten für Schmelzlot-                         1</t>
  </si>
  <si>
    <t>0153036</t>
  </si>
  <si>
    <t>0153042</t>
  </si>
  <si>
    <t>Flachstahl für Hangrollenhalter                       1</t>
  </si>
  <si>
    <t>0153043</t>
  </si>
  <si>
    <t>Ausgleichsblech mit off. Langloch 2,5mm</t>
  </si>
  <si>
    <t>0153052</t>
  </si>
  <si>
    <t>U-Stahl für Verriegelung Uni-BZ</t>
  </si>
  <si>
    <t>0153053</t>
  </si>
  <si>
    <t>Verriegelung Seil Uni BZ</t>
  </si>
  <si>
    <t>0153057</t>
  </si>
  <si>
    <t>Gewichtsaufhängung horizontal                         1</t>
  </si>
  <si>
    <t>0153072</t>
  </si>
  <si>
    <t>Halter für Gurtumlenkung FAA</t>
  </si>
  <si>
    <t>0153109</t>
  </si>
  <si>
    <t>0153110</t>
  </si>
  <si>
    <t>0153111</t>
  </si>
  <si>
    <t>0153121</t>
  </si>
  <si>
    <t>0153122</t>
  </si>
  <si>
    <t>0153151</t>
  </si>
  <si>
    <t>Winkel für Gurtumlenkung Wand RGT/OS/ECC              1</t>
  </si>
  <si>
    <t>0153171</t>
  </si>
  <si>
    <t>0153172</t>
  </si>
  <si>
    <t>0153185</t>
  </si>
  <si>
    <t>Befestigungsplatte für Fangkeil                       4</t>
  </si>
  <si>
    <t>0153186</t>
  </si>
  <si>
    <t>Führungswinkel für Führungskeil                       4</t>
  </si>
  <si>
    <t>0153219</t>
  </si>
  <si>
    <t>Zahnkranz für Fangvorrichtung OC T                    5</t>
  </si>
  <si>
    <t>0153220</t>
  </si>
  <si>
    <t>Deckel Sensor für Fangvorrichtung OC T                8</t>
  </si>
  <si>
    <t>0153221</t>
  </si>
  <si>
    <t>Grundteil für Sensor Fangvorr. OC T                  11</t>
  </si>
  <si>
    <t>0153222</t>
  </si>
  <si>
    <t>Reibrad für Fangvorrichtung - OC                      2</t>
  </si>
  <si>
    <t>0153224</t>
  </si>
  <si>
    <t>Führungskeil für OC Fangvorrichtung                  17</t>
  </si>
  <si>
    <t>0153225</t>
  </si>
  <si>
    <t>Fangkeil für OC Fangvorrichtung                      15</t>
  </si>
  <si>
    <t>0153227</t>
  </si>
  <si>
    <t>Hangrollenhalter komplett                             5</t>
  </si>
  <si>
    <t>0153287</t>
  </si>
  <si>
    <t>Fangblech links 1055-OC</t>
  </si>
  <si>
    <t>0153289</t>
  </si>
  <si>
    <t>0153291</t>
  </si>
  <si>
    <t>0153293</t>
  </si>
  <si>
    <t>0153303</t>
  </si>
  <si>
    <t>Ausfädelhebel rechts - OC Lamelle NG                  1</t>
  </si>
  <si>
    <t>0153304</t>
  </si>
  <si>
    <t>0153317</t>
  </si>
  <si>
    <t>0153320</t>
  </si>
  <si>
    <t>0153323</t>
  </si>
  <si>
    <t>Ausfädelhebel links - OC Lamelle NG                   1</t>
  </si>
  <si>
    <t>0153511</t>
  </si>
  <si>
    <t>Konsole rechts Motorseite 1055                       26</t>
  </si>
  <si>
    <t>0153512</t>
  </si>
  <si>
    <t>Kons.li. motorgegs. 1055  OC-16-B                    26</t>
  </si>
  <si>
    <t>0153659</t>
  </si>
  <si>
    <t>Hangrollenhalter komplett                             6</t>
  </si>
  <si>
    <t>0154</t>
  </si>
  <si>
    <t>0154012</t>
  </si>
  <si>
    <t>Halter für Fangvorrichtung OC-Lamelle                 4</t>
  </si>
  <si>
    <t>0154031</t>
  </si>
  <si>
    <t>Paßscheibe</t>
  </si>
  <si>
    <t>0154032</t>
  </si>
  <si>
    <t>0154033</t>
  </si>
  <si>
    <t>Paßscheibe12/18 x 0,2</t>
  </si>
  <si>
    <t>0154034</t>
  </si>
  <si>
    <t>0154035</t>
  </si>
  <si>
    <t>0154036</t>
  </si>
  <si>
    <t>Paßscheibe Ø 20x1</t>
  </si>
  <si>
    <t>0154037</t>
  </si>
  <si>
    <t>Paßscheibe Ø 12x18x1</t>
  </si>
  <si>
    <t>0154038</t>
  </si>
  <si>
    <t>0154039</t>
  </si>
  <si>
    <t>0154050</t>
  </si>
  <si>
    <t>Messingscheibe für Seilbremse</t>
  </si>
  <si>
    <t>0154051</t>
  </si>
  <si>
    <t>Schleifring für Seilbremse</t>
  </si>
  <si>
    <t>0154052</t>
  </si>
  <si>
    <t>Kunststoffscheibe eingeklebt für Seilbre</t>
  </si>
  <si>
    <t>0155001</t>
  </si>
  <si>
    <t>Paßkerbstift 5x16 DIN1471</t>
  </si>
  <si>
    <t>0156001</t>
  </si>
  <si>
    <t>Ringchraube mit Bund und Rille</t>
  </si>
  <si>
    <t>0156003</t>
  </si>
  <si>
    <t>Augenschraube für Fit Climber</t>
  </si>
  <si>
    <t>0157</t>
  </si>
  <si>
    <t>0159</t>
  </si>
  <si>
    <t>0160001</t>
  </si>
  <si>
    <t>Stellring 16 mm</t>
  </si>
  <si>
    <t>0160002</t>
  </si>
  <si>
    <t>Stellring 10 mm</t>
  </si>
  <si>
    <t>0160003</t>
  </si>
  <si>
    <t>Stellring 12 mm</t>
  </si>
  <si>
    <t>0160004</t>
  </si>
  <si>
    <t>Stellring 15 mm</t>
  </si>
  <si>
    <t>0160005</t>
  </si>
  <si>
    <t>Stellring 8 mm</t>
  </si>
  <si>
    <t>0160006</t>
  </si>
  <si>
    <t>Stellring 20 mm</t>
  </si>
  <si>
    <t>0160007</t>
  </si>
  <si>
    <t>Verstellstift</t>
  </si>
  <si>
    <t>0160008</t>
  </si>
  <si>
    <t>Verstellschraube</t>
  </si>
  <si>
    <t>0160009</t>
  </si>
  <si>
    <t>Stellschraube M8 x 45</t>
  </si>
  <si>
    <t>0160010</t>
  </si>
  <si>
    <t>Stellring 28 mm</t>
  </si>
  <si>
    <t>0160011</t>
  </si>
  <si>
    <t>Stellring 30 mm</t>
  </si>
  <si>
    <t>0160012</t>
  </si>
  <si>
    <t>0160013</t>
  </si>
  <si>
    <t>Stellring 17 mm</t>
  </si>
  <si>
    <t>0160014</t>
  </si>
  <si>
    <t>0160015</t>
  </si>
  <si>
    <t>Stellring 40 mm</t>
  </si>
  <si>
    <t>0161</t>
  </si>
  <si>
    <t>0161001</t>
  </si>
  <si>
    <t>Paßfeder</t>
  </si>
  <si>
    <t>0161002</t>
  </si>
  <si>
    <t>0161003</t>
  </si>
  <si>
    <t>0161004</t>
  </si>
  <si>
    <t>0161005</t>
  </si>
  <si>
    <t>0161007</t>
  </si>
  <si>
    <t>0161008</t>
  </si>
  <si>
    <t>0161009</t>
  </si>
  <si>
    <t>Paßfeder Form A</t>
  </si>
  <si>
    <t>0162</t>
  </si>
  <si>
    <t>Optex Flächenlichttaster</t>
  </si>
  <si>
    <t>0162000</t>
  </si>
  <si>
    <t>Sicherungsring</t>
  </si>
  <si>
    <t>0162001</t>
  </si>
  <si>
    <t>0162002</t>
  </si>
  <si>
    <t>0162003</t>
  </si>
  <si>
    <t>Sicherungering</t>
  </si>
  <si>
    <t>0162004</t>
  </si>
  <si>
    <t>Wellensicherung ZA 16</t>
  </si>
  <si>
    <t>0162005</t>
  </si>
  <si>
    <t>0162006</t>
  </si>
  <si>
    <t>Sicherungsring 30mm</t>
  </si>
  <si>
    <t>0162007</t>
  </si>
  <si>
    <t>0162008</t>
  </si>
  <si>
    <t>0162009</t>
  </si>
  <si>
    <t>0162010</t>
  </si>
  <si>
    <t>Wellensicherung ZA 10</t>
  </si>
  <si>
    <t>0162011</t>
  </si>
  <si>
    <t>0162012</t>
  </si>
  <si>
    <t>0162030</t>
  </si>
  <si>
    <t>Zahnscheibe</t>
  </si>
  <si>
    <t>0162032</t>
  </si>
  <si>
    <t>0162033</t>
  </si>
  <si>
    <t>0162050</t>
  </si>
  <si>
    <t>Fächerscheibe</t>
  </si>
  <si>
    <t>0162051</t>
  </si>
  <si>
    <t>Abstandsbolzen M 3 x 50</t>
  </si>
  <si>
    <t>0169</t>
  </si>
  <si>
    <t>0170001</t>
  </si>
  <si>
    <t>Gerade Verbindungs - Glieder 081</t>
  </si>
  <si>
    <t>0170002</t>
  </si>
  <si>
    <t>Einfach Rollenkette  081</t>
  </si>
  <si>
    <t>0170003</t>
  </si>
  <si>
    <t>Federverschlußglied CLS, O8B - 1</t>
  </si>
  <si>
    <t>0170004</t>
  </si>
  <si>
    <t>Einfach Rollenkette 08B-1</t>
  </si>
  <si>
    <t>0170005</t>
  </si>
  <si>
    <t>Verstellbare Kettenumlenkung komplett                 1</t>
  </si>
  <si>
    <t>0170006</t>
  </si>
  <si>
    <t>Polyestergurt , schwarz , 25 mm x 1,1 mm</t>
  </si>
  <si>
    <t>0170007</t>
  </si>
  <si>
    <t>Federverschluß 08B-1, 1/2x5/16</t>
  </si>
  <si>
    <t>0170008</t>
  </si>
  <si>
    <t>Einfach Rollenkette 081                               1</t>
  </si>
  <si>
    <t>0170009</t>
  </si>
  <si>
    <t>Gerade Verbinder-Glieder</t>
  </si>
  <si>
    <t>0170010</t>
  </si>
  <si>
    <t>Seil 3 mm FE ZNK 1770 sZ spa</t>
  </si>
  <si>
    <t>0170011</t>
  </si>
  <si>
    <t>Polyestergurt , schwarz , 2.000 daN ,</t>
  </si>
  <si>
    <t>0170012</t>
  </si>
  <si>
    <t>Gurt , weiß , flach</t>
  </si>
  <si>
    <t>0170013</t>
  </si>
  <si>
    <t>Seil 6 mm  FE ZNK 1770 SZ</t>
  </si>
  <si>
    <t>0170014</t>
  </si>
  <si>
    <t>Seilkausche B   RW 6 mm</t>
  </si>
  <si>
    <t>0170015</t>
  </si>
  <si>
    <t>Seilklemme NG 6</t>
  </si>
  <si>
    <t>0170016</t>
  </si>
  <si>
    <t>Seil , Niro 4401, 6x19+SE 3 mm Durchm.</t>
  </si>
  <si>
    <t>0170017</t>
  </si>
  <si>
    <t>Niro-Seil/PVC 3/4mm farblos</t>
  </si>
  <si>
    <t>0170018</t>
  </si>
  <si>
    <t>Aufzugsgurt Grau 23mm ++++++++++++++++++</t>
  </si>
  <si>
    <t>0170019</t>
  </si>
  <si>
    <t>Seilkausche B  RW 3 mm</t>
  </si>
  <si>
    <t>0170020</t>
  </si>
  <si>
    <t>Initiatorblech für RGT FAA geöffnet</t>
  </si>
  <si>
    <t>0170021</t>
  </si>
  <si>
    <t>Seilklemme NG 3</t>
  </si>
  <si>
    <t>0170022</t>
  </si>
  <si>
    <t>Initiatorblech für FSA +++++++++++++++++</t>
  </si>
  <si>
    <t>0170023</t>
  </si>
  <si>
    <t>Seilkausche B  RW 8 mm</t>
  </si>
  <si>
    <t>0170024</t>
  </si>
  <si>
    <t>Seilklemme NG 8</t>
  </si>
  <si>
    <t>0170025</t>
  </si>
  <si>
    <t>Seilklemme NG 3 Edelstahl</t>
  </si>
  <si>
    <t>0170026</t>
  </si>
  <si>
    <t>Seilkausche NIRO RW 3mm</t>
  </si>
  <si>
    <t>0170027</t>
  </si>
  <si>
    <t>Seil 2 FE ZNK 1770 SZ</t>
  </si>
  <si>
    <t>0170028</t>
  </si>
  <si>
    <t>Polyestergurt , orange, RAL 2003, 35mm</t>
  </si>
  <si>
    <t>0170029</t>
  </si>
  <si>
    <t>0170030</t>
  </si>
  <si>
    <t>Zahnflachriemen HTD mit Stahlzugstrang</t>
  </si>
  <si>
    <t>0170031</t>
  </si>
  <si>
    <t>Gerade Verbinder-Glieder für Rollenkette</t>
  </si>
  <si>
    <t>0170032</t>
  </si>
  <si>
    <t>Seil Dynema , weiß für Ergo-Lekto 3,3mm</t>
  </si>
  <si>
    <t>0170033</t>
  </si>
  <si>
    <t>Gekröpftes Doppelglied 15C f.Kette 16B</t>
  </si>
  <si>
    <t>0170034</t>
  </si>
  <si>
    <t>Seil , Niro, 4mm mit Cu - Pressklemme 11</t>
  </si>
  <si>
    <t>0170035</t>
  </si>
  <si>
    <t>HW Stahlte X band Type.:625 S</t>
  </si>
  <si>
    <t>0170036</t>
  </si>
  <si>
    <t>Spezial Verbindungsglieder</t>
  </si>
  <si>
    <t>0170037</t>
  </si>
  <si>
    <t>Gekröpftes Glied 12B-1</t>
  </si>
  <si>
    <t>0170038</t>
  </si>
  <si>
    <t>Gekröpftes Glied 16B-1</t>
  </si>
  <si>
    <t>0170039</t>
  </si>
  <si>
    <t>Spann-Boy mit Bogenprofil aus"S" grün                 2</t>
  </si>
  <si>
    <t>0170040</t>
  </si>
  <si>
    <t>Spann-Box , Größe 1 , langes Gehäuse                  6</t>
  </si>
  <si>
    <t>0170041</t>
  </si>
  <si>
    <t>Verbinder Glied-halb</t>
  </si>
  <si>
    <t>0170042</t>
  </si>
  <si>
    <t>Einfach Rollenkette 08B-1, 37 Glieder</t>
  </si>
  <si>
    <t>0170043</t>
  </si>
  <si>
    <t>Einfach Rollenkette 08B-1, 39 Glieder</t>
  </si>
  <si>
    <t>0170044</t>
  </si>
  <si>
    <t>Einfach Rollenkette 1/2 x 1/8 37 Glieder</t>
  </si>
  <si>
    <t>0170045</t>
  </si>
  <si>
    <t>Verbindungs - Glied - Feder mit einseiti</t>
  </si>
  <si>
    <t>0170046</t>
  </si>
  <si>
    <t>Befestigungslaschen f.Rollenketten 08B</t>
  </si>
  <si>
    <t>0170047</t>
  </si>
  <si>
    <t>Verbindungs-Glied, mit 1-s. verl. Bolzen</t>
  </si>
  <si>
    <t>0170048</t>
  </si>
  <si>
    <t>Einfach Rollenkette 16B-1,</t>
  </si>
  <si>
    <t>0170049</t>
  </si>
  <si>
    <t>Gerade Verbindungs-Glieder 16B-1 (Nr.10)</t>
  </si>
  <si>
    <t>0170050</t>
  </si>
  <si>
    <t>Ketteneinstellschraube M12</t>
  </si>
  <si>
    <t>0170051</t>
  </si>
  <si>
    <t>Ketteneinstellschraube M14</t>
  </si>
  <si>
    <t>0170052</t>
  </si>
  <si>
    <t>Kettenspannbox  für Kette 12B-1                       5</t>
  </si>
  <si>
    <t>0170053</t>
  </si>
  <si>
    <t>Einfache Rollenkette 12B-1</t>
  </si>
  <si>
    <t>0170054</t>
  </si>
  <si>
    <t>Gerade Verbindungs - Glieder - Feder 12B</t>
  </si>
  <si>
    <t>0170055</t>
  </si>
  <si>
    <t>Vectran-Seil 4 mm geflochten</t>
  </si>
  <si>
    <t>0170056</t>
  </si>
  <si>
    <t>0170057</t>
  </si>
  <si>
    <t>Verbindungsglied Kette 12B-1</t>
  </si>
  <si>
    <t>0170058</t>
  </si>
  <si>
    <t>SpannBox Bogenprofil Gr.1 S-Grün                      1</t>
  </si>
  <si>
    <t>0170059</t>
  </si>
  <si>
    <t>0170060</t>
  </si>
  <si>
    <t>Seil-Vectran, 4 mm geflochten</t>
  </si>
  <si>
    <t>0170061</t>
  </si>
  <si>
    <t>Einfach Rollenkette 12B-1                             2</t>
  </si>
  <si>
    <t>0170062</t>
  </si>
  <si>
    <t>0170063</t>
  </si>
  <si>
    <t>Verbindungs- Glied - Feder mit einseitig</t>
  </si>
  <si>
    <t>0170064</t>
  </si>
  <si>
    <t>Einfach Rollenkette , Re X nord                       1</t>
  </si>
  <si>
    <t>0170065</t>
  </si>
  <si>
    <t>Karabinerhaken</t>
  </si>
  <si>
    <t>0170066</t>
  </si>
  <si>
    <t>0170067</t>
  </si>
  <si>
    <t>Gerade Verbindungs - Glieder - Feder 16B</t>
  </si>
  <si>
    <t>0170068</t>
  </si>
  <si>
    <t>Einfach Rollenkette 12B1</t>
  </si>
  <si>
    <t>0170069</t>
  </si>
  <si>
    <t>Gleitschiene Profil K zur Kette 12B-1                 1</t>
  </si>
  <si>
    <t>0170070</t>
  </si>
  <si>
    <t>Gleitschiene Profil K zur Kette 16B-1                 4</t>
  </si>
  <si>
    <t>0170071</t>
  </si>
  <si>
    <t>Igus Energiekette Serie 047, Radius: 02               1</t>
  </si>
  <si>
    <t>0170072</t>
  </si>
  <si>
    <t>Igus Anschlußelementsatz  Kette</t>
  </si>
  <si>
    <t>0170074</t>
  </si>
  <si>
    <t>Spann-Bo X  Oberteil                                  2</t>
  </si>
  <si>
    <t>0170075</t>
  </si>
  <si>
    <t>Kröpfglied mit Splint - L Kette 08B-1</t>
  </si>
  <si>
    <t>0170076</t>
  </si>
  <si>
    <t>Rundgliederkette 8x32 gerade A Glieder</t>
  </si>
  <si>
    <t>0170077</t>
  </si>
  <si>
    <t>Einfach Rollenkette 16B-1,                            3</t>
  </si>
  <si>
    <t>0170078</t>
  </si>
  <si>
    <t>Gerade Verbindungs-Glieder 16B-1</t>
  </si>
  <si>
    <t>0170079</t>
  </si>
  <si>
    <t>0170080</t>
  </si>
  <si>
    <t>Antriebskette Konsole 872 = 30 Glieder</t>
  </si>
  <si>
    <t>0170081</t>
  </si>
  <si>
    <t>Antriebskette Konsole Gr.2</t>
  </si>
  <si>
    <t>0170082</t>
  </si>
  <si>
    <t>Antriebskette Konsole Gr.3                            3</t>
  </si>
  <si>
    <t>0170083</t>
  </si>
  <si>
    <t>Gewichtsausgleichskette Konsole Gr.1</t>
  </si>
  <si>
    <t>0170084</t>
  </si>
  <si>
    <t>Gewichtsausgleichskette Konsole Gr.2                  7</t>
  </si>
  <si>
    <t>0170085</t>
  </si>
  <si>
    <t>Gewichtsausgleichskette Konsole Gr.3                  7</t>
  </si>
  <si>
    <t>0170086</t>
  </si>
  <si>
    <t>Schaltblech Uni-B</t>
  </si>
  <si>
    <t>0170087</t>
  </si>
  <si>
    <t>Polyestergurt , in RAL 4001, 74 x 2,5 mm</t>
  </si>
  <si>
    <t>0170088</t>
  </si>
  <si>
    <t>Querstrebe/Spannschloss M8 Öse/Öse</t>
  </si>
  <si>
    <t>0170089</t>
  </si>
  <si>
    <t>0170090</t>
  </si>
  <si>
    <t>Drahtseilklemme 5,0mm</t>
  </si>
  <si>
    <t>0170091</t>
  </si>
  <si>
    <t>Seilkauschen 6,0mm</t>
  </si>
  <si>
    <t>0170102</t>
  </si>
  <si>
    <t>Seilklemme</t>
  </si>
  <si>
    <t>0170103</t>
  </si>
  <si>
    <t>Gurt 23 x 0,9, Art.-Nr. 265210</t>
  </si>
  <si>
    <t>0170110</t>
  </si>
  <si>
    <t>Verstellbare Kettenumlenkung RGT V2A                  1</t>
  </si>
  <si>
    <t>0170800</t>
  </si>
  <si>
    <t>Drahtseilklemme 1/4", verzinkt</t>
  </si>
  <si>
    <t>0171001</t>
  </si>
  <si>
    <t>Spannband Endlos Bandrolle W 1</t>
  </si>
  <si>
    <t>0171010</t>
  </si>
  <si>
    <t>Spannbandverschluß G 13 W 1</t>
  </si>
  <si>
    <t>0172</t>
  </si>
  <si>
    <t>0172001</t>
  </si>
  <si>
    <t>Zylinderpaßstift</t>
  </si>
  <si>
    <t>0172002</t>
  </si>
  <si>
    <t>0172003</t>
  </si>
  <si>
    <t>0172004</t>
  </si>
  <si>
    <t>0172005</t>
  </si>
  <si>
    <t>Zylinderpaßstift  gehärtet  10x60</t>
  </si>
  <si>
    <t>0172006</t>
  </si>
  <si>
    <t>0172007</t>
  </si>
  <si>
    <t>0172008</t>
  </si>
  <si>
    <t>Zylinderpaßstift, gehärtet</t>
  </si>
  <si>
    <t>0172009</t>
  </si>
  <si>
    <t>Zylinderpaßstift gehärtet</t>
  </si>
  <si>
    <t>0172010</t>
  </si>
  <si>
    <t>0172016</t>
  </si>
  <si>
    <t>Zylinderstift</t>
  </si>
  <si>
    <t>0172035</t>
  </si>
  <si>
    <t>Spannstifte</t>
  </si>
  <si>
    <t>0172036</t>
  </si>
  <si>
    <t>0172037</t>
  </si>
  <si>
    <t>0172038</t>
  </si>
  <si>
    <t>0172039</t>
  </si>
  <si>
    <t>Spiralspannstift</t>
  </si>
  <si>
    <t>0172040</t>
  </si>
  <si>
    <t>Spannstift</t>
  </si>
  <si>
    <t>0172041</t>
  </si>
  <si>
    <t>0172042</t>
  </si>
  <si>
    <t>Spannelement Clampe X  KTR 200-025 X 050              1</t>
  </si>
  <si>
    <t>0172043</t>
  </si>
  <si>
    <t>Zylinderpaßstift m6</t>
  </si>
  <si>
    <t>0172044</t>
  </si>
  <si>
    <t>0172045</t>
  </si>
  <si>
    <t>Spannhülse 4 x 40</t>
  </si>
  <si>
    <t>0172046</t>
  </si>
  <si>
    <t>0172047</t>
  </si>
  <si>
    <t>0173</t>
  </si>
  <si>
    <t>0173050</t>
  </si>
  <si>
    <t>Ketteneinstellschraube M12 V2A</t>
  </si>
  <si>
    <t>0173051</t>
  </si>
  <si>
    <t>Ketteneinstellschraube M14 V2A</t>
  </si>
  <si>
    <t>0174</t>
  </si>
  <si>
    <t>0180001</t>
  </si>
  <si>
    <t>Montagesatz 01 für RGT vertikal</t>
  </si>
  <si>
    <t>0180002</t>
  </si>
  <si>
    <t>Montagesatz 02 für RGT vertikal</t>
  </si>
  <si>
    <t>0180003</t>
  </si>
  <si>
    <t>Montagesatz 03 für RGT vertikal</t>
  </si>
  <si>
    <t>0180004</t>
  </si>
  <si>
    <t>Montagesatz 04 für RGT vertikal</t>
  </si>
  <si>
    <t>0180005</t>
  </si>
  <si>
    <t>Montagesatz 05 für RGT vertikal</t>
  </si>
  <si>
    <t>0180006</t>
  </si>
  <si>
    <t>Montagesatz 06 für RGT vertikal</t>
  </si>
  <si>
    <t>0180007</t>
  </si>
  <si>
    <t>Montagesatz 07 für RGT vertikal</t>
  </si>
  <si>
    <t>0180008</t>
  </si>
  <si>
    <t>Montagesatz 08 für RGT vertikal</t>
  </si>
  <si>
    <t>0180009</t>
  </si>
  <si>
    <t>Montagesatz 09 für RGT vertikal</t>
  </si>
  <si>
    <t>0180010</t>
  </si>
  <si>
    <t>Montagesatz 010 für RGT vertikal</t>
  </si>
  <si>
    <t>0180011</t>
  </si>
  <si>
    <t>Montagesatz 011 für RGT vertikal</t>
  </si>
  <si>
    <t>0180012</t>
  </si>
  <si>
    <t>Montagesatz 012 für RGT vertikal</t>
  </si>
  <si>
    <t>0180013</t>
  </si>
  <si>
    <t>Montagesatz 01 für RGT horizontal</t>
  </si>
  <si>
    <t>0180014</t>
  </si>
  <si>
    <t>Montagesatz 02 für RGT horizontal</t>
  </si>
  <si>
    <t>0180015</t>
  </si>
  <si>
    <t>Montagesatz 03 für RGT horizontal</t>
  </si>
  <si>
    <t>0180016</t>
  </si>
  <si>
    <t>Montagesatz 04 für RGT horizontal</t>
  </si>
  <si>
    <t>0180017</t>
  </si>
  <si>
    <t>Montagesatz 05 für RGT horizontal</t>
  </si>
  <si>
    <t>0180018</t>
  </si>
  <si>
    <t>Montagesatz 06 für RGT horizontal</t>
  </si>
  <si>
    <t>0180019</t>
  </si>
  <si>
    <t>Montagesatz 07 für RGT horizontal</t>
  </si>
  <si>
    <t>0180020</t>
  </si>
  <si>
    <t>Montagesatz 08 für RGT horizontal</t>
  </si>
  <si>
    <t>0180021</t>
  </si>
  <si>
    <t>Montagesatz 09 für RGT horizontal</t>
  </si>
  <si>
    <t>0180022</t>
  </si>
  <si>
    <t>Montagesatz 010 für RGT horizontal</t>
  </si>
  <si>
    <t>0180023</t>
  </si>
  <si>
    <t>Montagesatz 011 für RGT horizontal</t>
  </si>
  <si>
    <t>0180024</t>
  </si>
  <si>
    <t>Montagesatz 012 für RGT horizontal</t>
  </si>
  <si>
    <t>0180030</t>
  </si>
  <si>
    <t>Montagesatz 006 für RSV/FSV je lfd. m</t>
  </si>
  <si>
    <t>0180031</t>
  </si>
  <si>
    <t>Montagesatz 007 für RSV/FSV je lfd. m</t>
  </si>
  <si>
    <t>0180032</t>
  </si>
  <si>
    <t>Montagesatz 008 für RSV/FSV je lfd. m</t>
  </si>
  <si>
    <t>0180033</t>
  </si>
  <si>
    <t>Montagesatz 009 für RSV/FSV je lfd. m</t>
  </si>
  <si>
    <t>0180034</t>
  </si>
  <si>
    <t>Montagesatz 001 für PN, pn-o1h-500</t>
  </si>
  <si>
    <t>0180035</t>
  </si>
  <si>
    <t>Montagesatz 002 für PN, pn-o1p-500</t>
  </si>
  <si>
    <t>0180036</t>
  </si>
  <si>
    <t>Montagesatz 003 für Ecotube</t>
  </si>
  <si>
    <t>0180037</t>
  </si>
  <si>
    <t>Montagesatz 004 für Ecotube</t>
  </si>
  <si>
    <t>0180038</t>
  </si>
  <si>
    <t>0180040</t>
  </si>
  <si>
    <t>Abschlusleisten-Führungsschienen Set105</t>
  </si>
  <si>
    <t>0180041</t>
  </si>
  <si>
    <t>Abschlusleisten-Führungsschienen Set-80</t>
  </si>
  <si>
    <t>0180042</t>
  </si>
  <si>
    <t>Abschlusleisten-Führungsschienen Set 140</t>
  </si>
  <si>
    <t>0180043</t>
  </si>
  <si>
    <t>Zubehör Rohrantrieb G45/75/120/R60 - Set</t>
  </si>
  <si>
    <t>0180044</t>
  </si>
  <si>
    <t>Zubehör Rohrantrieb G12/G30- Set</t>
  </si>
  <si>
    <t>0180045</t>
  </si>
  <si>
    <t>Scheiben für Gegenlager - Set</t>
  </si>
  <si>
    <t>0180046</t>
  </si>
  <si>
    <t>Bohrschrauben Führungsschienen - Set</t>
  </si>
  <si>
    <t>0180047</t>
  </si>
  <si>
    <t>Baustellen Näh - Set</t>
  </si>
  <si>
    <t>0180048</t>
  </si>
  <si>
    <t>Zubehör Rohrantrieb AM-U G45 / 120 - Set</t>
  </si>
  <si>
    <t>0180049</t>
  </si>
  <si>
    <t>Zubehör Rohrantrieb AM-U G30- Set</t>
  </si>
  <si>
    <t>0180050</t>
  </si>
  <si>
    <t>Montagesatz 001 für PN, pn-o1h-500                    1</t>
  </si>
  <si>
    <t>0180051</t>
  </si>
  <si>
    <t>Montagesatz 002 für PN, pn-o1p-500                    1</t>
  </si>
  <si>
    <t>0180052</t>
  </si>
  <si>
    <t>0180053</t>
  </si>
  <si>
    <t>0180054</t>
  </si>
  <si>
    <t>Montagesatz Beton-Dübel Uni B</t>
  </si>
  <si>
    <t>0180055</t>
  </si>
  <si>
    <t>Montagesatz KS-Dübel Uni B</t>
  </si>
  <si>
    <t>0180056</t>
  </si>
  <si>
    <t>Montagesatz Durchsteckmontage Uni B</t>
  </si>
  <si>
    <t>0180057</t>
  </si>
  <si>
    <t>Montagesatz Gewichtskasten Uni B</t>
  </si>
  <si>
    <t>0180060</t>
  </si>
  <si>
    <t>Abschlußleisten - Schrauben - Set VE 10</t>
  </si>
  <si>
    <t>0180061</t>
  </si>
  <si>
    <t>Abschlußleisten - Schrauben - Set VE 20</t>
  </si>
  <si>
    <t>0180062</t>
  </si>
  <si>
    <t>Abschlußleisten - Schrauben - Set VE 30</t>
  </si>
  <si>
    <t>0180063</t>
  </si>
  <si>
    <t>Montage-Set 12-B OC                                   1</t>
  </si>
  <si>
    <t>0180064</t>
  </si>
  <si>
    <t>Montage-Set 16-B OC                                   1</t>
  </si>
  <si>
    <t>0180065</t>
  </si>
  <si>
    <t>Abschlußleisten-Schrauben-VA-Set VE 10                1</t>
  </si>
  <si>
    <t>0180070</t>
  </si>
  <si>
    <t>Röllchenführungs - Rüst - Set  VE 10</t>
  </si>
  <si>
    <t>0180071</t>
  </si>
  <si>
    <t>Röllchenführungs - Rüst - Set  VE 20</t>
  </si>
  <si>
    <t>0180072</t>
  </si>
  <si>
    <t>Röllchenführungs - Rüst - Set VE 30</t>
  </si>
  <si>
    <t>0180100</t>
  </si>
  <si>
    <t>Satz SR v.o.n.u.,man.,Öffngsgr.,Sch.f.50</t>
  </si>
  <si>
    <t>0180101</t>
  </si>
  <si>
    <t>Satz SR v.o.n.u.,man.,Gurt,li.,Sch.f.50</t>
  </si>
  <si>
    <t>0180102</t>
  </si>
  <si>
    <t>Satz SR v.o.n.u.,man.,Gurt,re.,Sch.f.50</t>
  </si>
  <si>
    <t>0180103</t>
  </si>
  <si>
    <t>Satz SR v.o.n.u.,man.,Gurt,li.,Sch.f.80</t>
  </si>
  <si>
    <t>0180104</t>
  </si>
  <si>
    <t>Satz SR v.o.n.u.,man.,Gurt,re.,Sch.f.80</t>
  </si>
  <si>
    <t>0180105</t>
  </si>
  <si>
    <t>Satz SR v.o.n.u.,mot.,li.,Sch.f.50</t>
  </si>
  <si>
    <t>0180106</t>
  </si>
  <si>
    <t>Satz SR v.o.n.u.,mot.,re.,Sch.f.50</t>
  </si>
  <si>
    <t>0180107</t>
  </si>
  <si>
    <t>Satz SR v.o.n.u.,mot.,li.,Sch.f.80</t>
  </si>
  <si>
    <t>0180108</t>
  </si>
  <si>
    <t>Satz SR v.o.n.u.,mot.,re.,Sch.f.80</t>
  </si>
  <si>
    <t>0180109</t>
  </si>
  <si>
    <t>Satz SR v.u.n.o.,man.,Öffngsgr.,Sch.f.50</t>
  </si>
  <si>
    <t>0180110</t>
  </si>
  <si>
    <t>Satz SR v.u.n.o.,man.,Gurt,li.,Sch.f.50</t>
  </si>
  <si>
    <t>0180111</t>
  </si>
  <si>
    <t>Satz SR v.u.n.o.,man.,Gurt,re.,Sch.f.50</t>
  </si>
  <si>
    <t>0180112</t>
  </si>
  <si>
    <t>Satz SR v.u.n.o.,man.,Gurt,li.,Sch.f.80</t>
  </si>
  <si>
    <t>0180113</t>
  </si>
  <si>
    <t>Satz SR v.u.n.o.,man.,Gurt,re.,Sch.f.80</t>
  </si>
  <si>
    <t>0180114</t>
  </si>
  <si>
    <t>Satz SR v.u.n.o.,mot.,li.,Sch.f.50</t>
  </si>
  <si>
    <t>0180115</t>
  </si>
  <si>
    <t>Satz SR v.u.n.o.,mot.,re.,Sch.f.50</t>
  </si>
  <si>
    <t>0180116</t>
  </si>
  <si>
    <t>Satz SR v.u.n.o.,mot.,li.,Sch.f.80</t>
  </si>
  <si>
    <t>0180117</t>
  </si>
  <si>
    <t>Satz SR v.u.n.o.,mot.,re.,Sch.f.80</t>
  </si>
  <si>
    <t>0180118</t>
  </si>
  <si>
    <t>Satz SR hor.,man.,Öffngsgr.,keine Absenk</t>
  </si>
  <si>
    <t>0180119</t>
  </si>
  <si>
    <t>Satz SR hor.,man.,Gurt,li.,keine Absenk</t>
  </si>
  <si>
    <t>0180120</t>
  </si>
  <si>
    <t>Satz SR hor.,man.,Gurt,re.,keine Absenk</t>
  </si>
  <si>
    <t>0180121</t>
  </si>
  <si>
    <t>Satz SR hor.,mot.,li.,keine Absenk</t>
  </si>
  <si>
    <t>0180122</t>
  </si>
  <si>
    <t>Satz SR hor.,mot.,re.,keine Absenk</t>
  </si>
  <si>
    <t>0180123</t>
  </si>
  <si>
    <t>Satz SR hor.,man.,Öffngsgr.,mit Absenkun</t>
  </si>
  <si>
    <t>0180124</t>
  </si>
  <si>
    <t>Satz SR hor.,man.,Gurt,li.,mit Absenkung</t>
  </si>
  <si>
    <t>0180125</t>
  </si>
  <si>
    <t>Satz SR hor.,man.,Gurt,re.,mit Absenkung</t>
  </si>
  <si>
    <t>0180126</t>
  </si>
  <si>
    <t>Satz SR hor.,mot.,li.,mit Absenkung</t>
  </si>
  <si>
    <t>0180127</t>
  </si>
  <si>
    <t>Satz SR hor.,mot.,re.,mit Absenkung</t>
  </si>
  <si>
    <t>0180128</t>
  </si>
  <si>
    <t>Satz SR v.o.n.u.,mot.,oben,Sch.f.50</t>
  </si>
  <si>
    <t>0180129</t>
  </si>
  <si>
    <t>Satz SR v.o.n.u.,mot.,oben,Sch.f.80</t>
  </si>
  <si>
    <t>0180130</t>
  </si>
  <si>
    <t>Satz Handrad komplett</t>
  </si>
  <si>
    <t>0180131</t>
  </si>
  <si>
    <t>Flanschecke für Kanalprofil SBM 20</t>
  </si>
  <si>
    <t>0180132</t>
  </si>
  <si>
    <t>Flanschecke für Kanalprofil SBM 30</t>
  </si>
  <si>
    <t>0180133</t>
  </si>
  <si>
    <t>Kanalflanschprofil SBM 20</t>
  </si>
  <si>
    <t>0180134</t>
  </si>
  <si>
    <t>Kanalflanschprofil SBM 30</t>
  </si>
  <si>
    <t>0180135</t>
  </si>
  <si>
    <t>Lüftungskanalklemme</t>
  </si>
  <si>
    <t>0180136</t>
  </si>
  <si>
    <t>Flanschecke für Kanalprofil SBM 20 - V2A</t>
  </si>
  <si>
    <t>0180137</t>
  </si>
  <si>
    <t>Flanschecke für Kanalprofil SBM 30 - V2A</t>
  </si>
  <si>
    <t>0180138</t>
  </si>
  <si>
    <t>Kanalflanschprofil SBM 20 -  V2A                      1</t>
  </si>
  <si>
    <t>0180139</t>
  </si>
  <si>
    <t>Kanalflanschprofil SBM 30 V2A                         1</t>
  </si>
  <si>
    <t>0180140</t>
  </si>
  <si>
    <t>Lüftungskanalklemme - V2A -</t>
  </si>
  <si>
    <t>0183040</t>
  </si>
  <si>
    <t>0199999</t>
  </si>
  <si>
    <t>Sammelartikel Verbindungsteile</t>
  </si>
  <si>
    <t>kg                 4</t>
  </si>
  <si>
    <t>m                  4</t>
  </si>
  <si>
    <t>0201001</t>
  </si>
  <si>
    <t>Moosgummi-Streifen , selbstklebend</t>
  </si>
  <si>
    <t>0201002</t>
  </si>
  <si>
    <t>Neoprene, 30 x 2 mm</t>
  </si>
  <si>
    <t>0201003</t>
  </si>
  <si>
    <t>Weichgummischnur Neoprene 60 x 2 mm,</t>
  </si>
  <si>
    <t>0201004</t>
  </si>
  <si>
    <t>Gummi-Kabel,  weiß,  5,5mm Durchmesser</t>
  </si>
  <si>
    <t>0201005</t>
  </si>
  <si>
    <t>Gummi-Kabel bordeaux 7004 8 mm</t>
  </si>
  <si>
    <t>0201006</t>
  </si>
  <si>
    <t>Randleistenfilz                                       1</t>
  </si>
  <si>
    <t>0201007</t>
  </si>
  <si>
    <t>Gummi-Kabel , schwarz-blau , PP</t>
  </si>
  <si>
    <t>0201008</t>
  </si>
  <si>
    <t>Gummi-Kabel , schwarz</t>
  </si>
  <si>
    <t>0201009</t>
  </si>
  <si>
    <t>Trockenmittelbeutel a 32E</t>
  </si>
  <si>
    <t>0201010</t>
  </si>
  <si>
    <t>Moosgummivierkantprofil, 1-s. selbstkleb</t>
  </si>
  <si>
    <t>0201011</t>
  </si>
  <si>
    <t>Glasfaserdichtschnur D=19 RSA</t>
  </si>
  <si>
    <t>0201012</t>
  </si>
  <si>
    <t>Tesamoll Polster</t>
  </si>
  <si>
    <t>0201013</t>
  </si>
  <si>
    <t>Trockenmittelbeutel a 5g</t>
  </si>
  <si>
    <t>0201015</t>
  </si>
  <si>
    <t>Hüpfender Kitt 29</t>
  </si>
  <si>
    <t>0201020</t>
  </si>
  <si>
    <t>0201100</t>
  </si>
  <si>
    <t>Quad-Ring QBAR 04112N7366- X SEL</t>
  </si>
  <si>
    <t>0201234</t>
  </si>
  <si>
    <t>Test</t>
  </si>
  <si>
    <t>0201500</t>
  </si>
  <si>
    <t>Dichtung für Flüssigkeitsbarriere                     1</t>
  </si>
  <si>
    <t>0201600</t>
  </si>
  <si>
    <t>Abdeckkappen Größe 1 für OC</t>
  </si>
  <si>
    <t>0202001</t>
  </si>
  <si>
    <t>Promatect H - 20 Füllstreifen</t>
  </si>
  <si>
    <t>0202002</t>
  </si>
  <si>
    <t>Promatect H - 25 Laibungsstreifen</t>
  </si>
  <si>
    <t>Promatect H - 6 Tafeln</t>
  </si>
  <si>
    <t>0202004</t>
  </si>
  <si>
    <t>Promatect H -20 Streifen 2500 x 77 mm</t>
  </si>
  <si>
    <t>0202005</t>
  </si>
  <si>
    <t>Elementstoß Promatect</t>
  </si>
  <si>
    <t>0202006</t>
  </si>
  <si>
    <t>Promatect H-20  Streifen 2500 x 101 mm</t>
  </si>
  <si>
    <t>0202007</t>
  </si>
  <si>
    <t>Promatectzuschnitt 80 x 35 x 10</t>
  </si>
  <si>
    <t>0202008</t>
  </si>
  <si>
    <t>Promatect H-20 Streifen 2500 x 121 mm</t>
  </si>
  <si>
    <t>0202009</t>
  </si>
  <si>
    <t>Promatect H-25 Streifen 2500 x 59</t>
  </si>
  <si>
    <t>0202010</t>
  </si>
  <si>
    <t>Promatect H -10 Tafeln                                1</t>
  </si>
  <si>
    <t>0202011</t>
  </si>
  <si>
    <t>Knauf Fireboard Platten 20 mm                         1</t>
  </si>
  <si>
    <t>0202012</t>
  </si>
  <si>
    <t>Promatect H - 12 Tafeln                               1</t>
  </si>
  <si>
    <t>0202013</t>
  </si>
  <si>
    <t>0202015</t>
  </si>
  <si>
    <t>Promatect H - 15 Tafeln                               1</t>
  </si>
  <si>
    <t>0202016</t>
  </si>
  <si>
    <t>Promatect H - 20 Tafeln                               2</t>
  </si>
  <si>
    <t>0202023</t>
  </si>
  <si>
    <t>Promatect H - 25 Tafeln                               3</t>
  </si>
  <si>
    <t>0202025</t>
  </si>
  <si>
    <t>Promatect L - 25 Tafeln                               3</t>
  </si>
  <si>
    <t>0202030</t>
  </si>
  <si>
    <t>Promatect L - 30 Tafeln                               4</t>
  </si>
  <si>
    <t>0202031</t>
  </si>
  <si>
    <t>Promatect H-6 Streifen 2500 x 35 mm</t>
  </si>
  <si>
    <t>0202032</t>
  </si>
  <si>
    <t>Promatect H-6 Streifen 2500 x 90 mm</t>
  </si>
  <si>
    <t>0202033</t>
  </si>
  <si>
    <t>Promatect H-10 Streifen 2500 x 141 mm</t>
  </si>
  <si>
    <t>0202034</t>
  </si>
  <si>
    <t>Promatectzuschnitt OC Lamelle</t>
  </si>
  <si>
    <t>0202035</t>
  </si>
  <si>
    <t>Promatectzuschnitt 203 x 90 x 10</t>
  </si>
  <si>
    <t>0202036</t>
  </si>
  <si>
    <t>Promatect H-10 Streifen 2500 x 120 mm</t>
  </si>
  <si>
    <t>0202037</t>
  </si>
  <si>
    <t>Promatect H-15 Streifen 2500 x 32 mm</t>
  </si>
  <si>
    <t>0202038</t>
  </si>
  <si>
    <t>Promatect H-20 Streifen 2500 x 95 mm</t>
  </si>
  <si>
    <t>0202039</t>
  </si>
  <si>
    <t>Promatect H-20 Streifen 2500 x 52 mm</t>
  </si>
  <si>
    <t>0202041</t>
  </si>
  <si>
    <t>Promatect H - 20 Streifen</t>
  </si>
  <si>
    <t>0202042</t>
  </si>
  <si>
    <t>Promatect H - 20 Streifen                             1</t>
  </si>
  <si>
    <t>0202043</t>
  </si>
  <si>
    <t>Promatect H-20 Streifen 2500 x 88 mm</t>
  </si>
  <si>
    <t>0202045</t>
  </si>
  <si>
    <t>Promtect H - 20 Streifen</t>
  </si>
  <si>
    <t>0202046</t>
  </si>
  <si>
    <t>Promatectzuschnitt 365 x 80 x 20</t>
  </si>
  <si>
    <t>0202047</t>
  </si>
  <si>
    <t>Promatectzuschnitt 203 x 80 x 20</t>
  </si>
  <si>
    <t>0202048</t>
  </si>
  <si>
    <t>Promatect H-20 Streifen 2500 x 70 mm</t>
  </si>
  <si>
    <t>0202049</t>
  </si>
  <si>
    <t>Promatect L-30 Streifen 2500 x 110 mm</t>
  </si>
  <si>
    <t>0202050</t>
  </si>
  <si>
    <t>Supalux  S Tafeln</t>
  </si>
  <si>
    <t>0202051</t>
  </si>
  <si>
    <t>Supalux  S Tafeln                                     1</t>
  </si>
  <si>
    <t>0202052</t>
  </si>
  <si>
    <t>Supalux  S Tafeln                                     2</t>
  </si>
  <si>
    <t>0202053</t>
  </si>
  <si>
    <t>0202054</t>
  </si>
  <si>
    <t>Supalux  S Tafeln                                     3</t>
  </si>
  <si>
    <t>0202055</t>
  </si>
  <si>
    <t>0202056</t>
  </si>
  <si>
    <t>Supalux G                                             1</t>
  </si>
  <si>
    <t>0202060</t>
  </si>
  <si>
    <t>Supalux  D Tafeln                                     3</t>
  </si>
  <si>
    <t>0202070</t>
  </si>
  <si>
    <t>0202071</t>
  </si>
  <si>
    <t>0202072</t>
  </si>
  <si>
    <t>0202073</t>
  </si>
  <si>
    <t>0202074</t>
  </si>
  <si>
    <t>0202075</t>
  </si>
  <si>
    <t>0202076</t>
  </si>
  <si>
    <t>0202077</t>
  </si>
  <si>
    <t>0202078</t>
  </si>
  <si>
    <t>0202079</t>
  </si>
  <si>
    <t>0202080</t>
  </si>
  <si>
    <t>0202081</t>
  </si>
  <si>
    <t>0202082</t>
  </si>
  <si>
    <t>0202083</t>
  </si>
  <si>
    <t>0202084</t>
  </si>
  <si>
    <t>0202085</t>
  </si>
  <si>
    <t>0202086</t>
  </si>
  <si>
    <t>0202087</t>
  </si>
  <si>
    <t>0202088</t>
  </si>
  <si>
    <t>0202089</t>
  </si>
  <si>
    <t>0202090</t>
  </si>
  <si>
    <t>0202091</t>
  </si>
  <si>
    <t>0202092</t>
  </si>
  <si>
    <t>0202093</t>
  </si>
  <si>
    <t>0202094</t>
  </si>
  <si>
    <t>0202095</t>
  </si>
  <si>
    <t>0202096</t>
  </si>
  <si>
    <t>0202097</t>
  </si>
  <si>
    <t>Promatect H - 15 Streifen</t>
  </si>
  <si>
    <t>0202098</t>
  </si>
  <si>
    <t>0202099</t>
  </si>
  <si>
    <t>Promatect H - 10 Streifen</t>
  </si>
  <si>
    <t>0202100</t>
  </si>
  <si>
    <t>0202101</t>
  </si>
  <si>
    <t>0202102</t>
  </si>
  <si>
    <t>Promatect H - 6 Streifen</t>
  </si>
  <si>
    <t>0202103</t>
  </si>
  <si>
    <t>Promatect H - 10 Streifen 2500 x 34</t>
  </si>
  <si>
    <t>0202104</t>
  </si>
  <si>
    <t>Promatect H - 20 Streifen 2500 x 34</t>
  </si>
  <si>
    <t>0202105</t>
  </si>
  <si>
    <t>Promatect H-6 Streifen für OC 12-B,16-B</t>
  </si>
  <si>
    <t>0202106</t>
  </si>
  <si>
    <t>Promatect H-25 Streifen 2500 x 85 mm</t>
  </si>
  <si>
    <t>0202107</t>
  </si>
  <si>
    <t>Promatect H-20 Streifen 2500 x 85 mm</t>
  </si>
  <si>
    <t>0202108</t>
  </si>
  <si>
    <t>Fireflyzuschnitt 150 x 60 x 2</t>
  </si>
  <si>
    <t>0202109</t>
  </si>
  <si>
    <t>Fireflyzuschnitt 150 x 21 x 2</t>
  </si>
  <si>
    <t>0202110</t>
  </si>
  <si>
    <t>Fireflyzuschnitt 150 x 45 x  2</t>
  </si>
  <si>
    <t>0202111</t>
  </si>
  <si>
    <t>Fireflyzuschnitt 75 x 60 x 6</t>
  </si>
  <si>
    <t>0202112</t>
  </si>
  <si>
    <t>Fireflyzuschnitt 75 x 45 x 6</t>
  </si>
  <si>
    <t>0202113</t>
  </si>
  <si>
    <t>Promatectzuschnitt 150 x 45 x 20</t>
  </si>
  <si>
    <t>0202114</t>
  </si>
  <si>
    <t>Fireflystreifen 2100 x 19 mm</t>
  </si>
  <si>
    <t>0202115</t>
  </si>
  <si>
    <t>Fireflystreifen 2100 x 70 mm</t>
  </si>
  <si>
    <t>0202116</t>
  </si>
  <si>
    <t>Fireflystreifen 2100 x 60 mm</t>
  </si>
  <si>
    <t>0202117</t>
  </si>
  <si>
    <t>Promatectzuschnitt 45 x 35 x 10</t>
  </si>
  <si>
    <t>0202118</t>
  </si>
  <si>
    <t>Fireflystreifen 2100 x 30 mm</t>
  </si>
  <si>
    <t>0202119</t>
  </si>
  <si>
    <t>Promatect H-25 Streifen 2500 x 65 mm</t>
  </si>
  <si>
    <t>0202120</t>
  </si>
  <si>
    <t>Promatect H -15 Streifen 2500 x 34 mm</t>
  </si>
  <si>
    <t>0202121</t>
  </si>
  <si>
    <t>Wandaufdoppelung Fibershield-I EI30</t>
  </si>
  <si>
    <t>0202122</t>
  </si>
  <si>
    <t>Sturzaufdoppelung Fibershield-I EI30</t>
  </si>
  <si>
    <t>0202150</t>
  </si>
  <si>
    <t>0202151</t>
  </si>
  <si>
    <t>Promatect H-10 Streifen 2500 x 45 mm</t>
  </si>
  <si>
    <t>0202152</t>
  </si>
  <si>
    <t>Supalux  S 20 Streifen</t>
  </si>
  <si>
    <t>0202153</t>
  </si>
  <si>
    <t>Promatect H-25 Streifen für OC 12-B</t>
  </si>
  <si>
    <t>0202154</t>
  </si>
  <si>
    <t>Promatect H-20 Streifen 2500 x 65 mm</t>
  </si>
  <si>
    <t>0202155</t>
  </si>
  <si>
    <t>Promatect  H-20 Streifen 2500 x 59 mm</t>
  </si>
  <si>
    <t>0202156</t>
  </si>
  <si>
    <t>Firefly  102</t>
  </si>
  <si>
    <t>0202157</t>
  </si>
  <si>
    <t>Promatect H-6 Streifen 2500 x 40 mm</t>
  </si>
  <si>
    <t>0202158</t>
  </si>
  <si>
    <t>Fireflystreifen 2100 x 51 mm</t>
  </si>
  <si>
    <t>0202159</t>
  </si>
  <si>
    <t>Fireflystreifen 2100 x 22 mm</t>
  </si>
  <si>
    <t>0202160</t>
  </si>
  <si>
    <t>Fireflystreifen 50mm x 2mm x Rohlänge</t>
  </si>
  <si>
    <t>0202161</t>
  </si>
  <si>
    <t>Fireflystreifen , 102</t>
  </si>
  <si>
    <t>0202162</t>
  </si>
  <si>
    <t>Fireflystreifen 2100 x 65 mm</t>
  </si>
  <si>
    <t>0202163</t>
  </si>
  <si>
    <t>0202165</t>
  </si>
  <si>
    <t>0202166</t>
  </si>
  <si>
    <t>0202167</t>
  </si>
  <si>
    <t>Promat Imprägnierung 2000, hellblau                   1</t>
  </si>
  <si>
    <t>0202168</t>
  </si>
  <si>
    <t>Promatectzuschnitt  150 x 60 x 20</t>
  </si>
  <si>
    <t>0202169</t>
  </si>
  <si>
    <t>Gipskartonstreifen 2500 x 70 mm</t>
  </si>
  <si>
    <t>0202170</t>
  </si>
  <si>
    <t>Gipskartonstreifen 2500 x 80 mm</t>
  </si>
  <si>
    <t>0202171</t>
  </si>
  <si>
    <t>0202172</t>
  </si>
  <si>
    <t>0202173</t>
  </si>
  <si>
    <t>0202174</t>
  </si>
  <si>
    <t>0202175</t>
  </si>
  <si>
    <t>0202176</t>
  </si>
  <si>
    <t>0202177</t>
  </si>
  <si>
    <t>0202178</t>
  </si>
  <si>
    <t>0202179</t>
  </si>
  <si>
    <t>0202180</t>
  </si>
  <si>
    <t>Supalux  S 15 Streifen</t>
  </si>
  <si>
    <t>0202182</t>
  </si>
  <si>
    <t>Supalux  S 10 Streifen</t>
  </si>
  <si>
    <t>0202183</t>
  </si>
  <si>
    <t>Promatect H-20 Streifen 3000 x 47 mm</t>
  </si>
  <si>
    <t>0202184</t>
  </si>
  <si>
    <t>Promatect H-25 Streifen 2500 x 60 mm</t>
  </si>
  <si>
    <t>0202185</t>
  </si>
  <si>
    <t>0202186</t>
  </si>
  <si>
    <t>0202187</t>
  </si>
  <si>
    <t>0202188</t>
  </si>
  <si>
    <t>0202189</t>
  </si>
  <si>
    <t>0202190</t>
  </si>
  <si>
    <t>Kühlstreifen für OC-Lamellen</t>
  </si>
  <si>
    <t>0202200</t>
  </si>
  <si>
    <t>Promatect für Blechhälfte Rohrmanschette</t>
  </si>
  <si>
    <t>0202201</t>
  </si>
  <si>
    <t>0202202</t>
  </si>
  <si>
    <t>0202203</t>
  </si>
  <si>
    <t>0202204</t>
  </si>
  <si>
    <t>0202205</t>
  </si>
  <si>
    <t>0202206</t>
  </si>
  <si>
    <t>0202207</t>
  </si>
  <si>
    <t>0202208</t>
  </si>
  <si>
    <t>0202209</t>
  </si>
  <si>
    <t>0202210</t>
  </si>
  <si>
    <t>0202211</t>
  </si>
  <si>
    <t>0202212</t>
  </si>
  <si>
    <t>0202213</t>
  </si>
  <si>
    <t>0202214</t>
  </si>
  <si>
    <t>0202215</t>
  </si>
  <si>
    <t>0202216</t>
  </si>
  <si>
    <t>0202217</t>
  </si>
  <si>
    <t>0202218</t>
  </si>
  <si>
    <t>0202219</t>
  </si>
  <si>
    <t>0202220</t>
  </si>
  <si>
    <t>0202221</t>
  </si>
  <si>
    <t>0202222</t>
  </si>
  <si>
    <t>Fireflystreifen 2100 x  20 mm OC</t>
  </si>
  <si>
    <t>0202223</t>
  </si>
  <si>
    <t>Fireflystreifen 2100 x  25 mm OC</t>
  </si>
  <si>
    <t>0202224</t>
  </si>
  <si>
    <t>Fireflyzuschnitt 87 x 95 x 2</t>
  </si>
  <si>
    <t>0202225</t>
  </si>
  <si>
    <t>Fireflyzuschnitt 80 x 40 x 2</t>
  </si>
  <si>
    <t>0202226</t>
  </si>
  <si>
    <t>Fireflystreifen 2100 x 40 OC</t>
  </si>
  <si>
    <t>0202227</t>
  </si>
  <si>
    <t>Fireflystreifen 2100 x 50 OC</t>
  </si>
  <si>
    <t>0202300</t>
  </si>
  <si>
    <t>Promasealblock für Rohrmanschette</t>
  </si>
  <si>
    <t>0202301</t>
  </si>
  <si>
    <t>0202302</t>
  </si>
  <si>
    <t>Promasealblock für Rohrmanschette                     1</t>
  </si>
  <si>
    <t>0202303</t>
  </si>
  <si>
    <t>0202304</t>
  </si>
  <si>
    <t>0202305</t>
  </si>
  <si>
    <t>Promasealblock für Rohrmanschette                     3</t>
  </si>
  <si>
    <t>0202310</t>
  </si>
  <si>
    <t>0202311</t>
  </si>
  <si>
    <t>Promasealblock für Rohrmanschette                     2</t>
  </si>
  <si>
    <t>0202330</t>
  </si>
  <si>
    <t>0202350</t>
  </si>
  <si>
    <t>0202355</t>
  </si>
  <si>
    <t>0203001</t>
  </si>
  <si>
    <t>Ausgießmasse</t>
  </si>
  <si>
    <t>0203010</t>
  </si>
  <si>
    <t>Zement 25 kg Sack</t>
  </si>
  <si>
    <t>0203011</t>
  </si>
  <si>
    <t>Schnellbinderzement 25 kg Sack</t>
  </si>
  <si>
    <t>Füllspachtel 5 kg Sack</t>
  </si>
  <si>
    <t>0203016</t>
  </si>
  <si>
    <t>Modelgips 5KG Beutel</t>
  </si>
  <si>
    <t>0204002</t>
  </si>
  <si>
    <t>Promasealstreifen 2150 x 77 mm</t>
  </si>
  <si>
    <t>0204003</t>
  </si>
  <si>
    <t>Promaseal - Bänder ST                                 1</t>
  </si>
  <si>
    <t>0204004</t>
  </si>
  <si>
    <t>Promaseal - PL , schwarz  t=2,5mm                     3</t>
  </si>
  <si>
    <t>0204005</t>
  </si>
  <si>
    <t>Promaseal - PL , rot , t=2,8mm                        5</t>
  </si>
  <si>
    <t>0204006</t>
  </si>
  <si>
    <t>Promaseal - PL , rot , selbstklebend                  8</t>
  </si>
  <si>
    <t>0204007</t>
  </si>
  <si>
    <t>Promaseal - Streifen</t>
  </si>
  <si>
    <t>Promaseal-PL ,schwarz, selbstkleb. t=2,6              5</t>
  </si>
  <si>
    <t>0204030</t>
  </si>
  <si>
    <t>Promaseal - Streifen , rot</t>
  </si>
  <si>
    <t>0204031</t>
  </si>
  <si>
    <t>Promasealstreifen 2150 x 50 mm</t>
  </si>
  <si>
    <t>0204035</t>
  </si>
  <si>
    <t>Silikon-Schaum 20mm für universal BZ</t>
  </si>
  <si>
    <t>0204036</t>
  </si>
  <si>
    <t>0204037</t>
  </si>
  <si>
    <t>0204040</t>
  </si>
  <si>
    <t>Silikonschaum-Vierkantprofil</t>
  </si>
  <si>
    <t>0204041</t>
  </si>
  <si>
    <t>Silikon-Profil n Zg 413560A ca.60 +-5</t>
  </si>
  <si>
    <t>0204042</t>
  </si>
  <si>
    <t>Silikon - Vollstreifen 60x3850x2mm RSA</t>
  </si>
  <si>
    <t>0204043</t>
  </si>
  <si>
    <t>Silikonschlauch m. Glasgewebe 70Shore</t>
  </si>
  <si>
    <t>0204044</t>
  </si>
  <si>
    <t>Silikon-Schaum-Profil Flach</t>
  </si>
  <si>
    <t>0204045</t>
  </si>
  <si>
    <t>Silikon-Streifen transparent</t>
  </si>
  <si>
    <t>0204046</t>
  </si>
  <si>
    <t>Silikon-Schaum-Vierkantprofil</t>
  </si>
  <si>
    <t>0204101</t>
  </si>
  <si>
    <t>Intuflex</t>
  </si>
  <si>
    <t>0204102</t>
  </si>
  <si>
    <t>Fireseal</t>
  </si>
  <si>
    <t>0204103</t>
  </si>
  <si>
    <t>Fireseal                                              1</t>
  </si>
  <si>
    <t>0204110</t>
  </si>
  <si>
    <t>0204140</t>
  </si>
  <si>
    <t>Fireseal                                              2</t>
  </si>
  <si>
    <t>0204150</t>
  </si>
  <si>
    <t>Firefly 102 t=2mm                                     2</t>
  </si>
  <si>
    <t>0204151</t>
  </si>
  <si>
    <t>Firefly 102 , rot t=2mm                               3</t>
  </si>
  <si>
    <t>0204152</t>
  </si>
  <si>
    <t>Firefly 102 t=6mm                                     7</t>
  </si>
  <si>
    <t>Firefly 102 selbstklebend 2x1m  t=2                   2</t>
  </si>
  <si>
    <t>0204154</t>
  </si>
  <si>
    <t>Firefly 102, selbstklebend 2x1m  t=6                  8</t>
  </si>
  <si>
    <t>0204155</t>
  </si>
  <si>
    <t>Pyro-Safe DG-CR                                       3</t>
  </si>
  <si>
    <t>0204170</t>
  </si>
  <si>
    <t>Fireflystreifen</t>
  </si>
  <si>
    <t>0204171</t>
  </si>
  <si>
    <t>Promasealstreifen 2150 x 30mm</t>
  </si>
  <si>
    <t>0204172</t>
  </si>
  <si>
    <t>Promasealstreifen 2150 x 35 mm</t>
  </si>
  <si>
    <t>0204173</t>
  </si>
  <si>
    <t>Fireflystreifen 30 mm aus Firefly</t>
  </si>
  <si>
    <t>0204174</t>
  </si>
  <si>
    <t>Promasealstreifen 2150 x 30 mm</t>
  </si>
  <si>
    <t>0205001</t>
  </si>
  <si>
    <t>Rockwool Dämmplatte RP- I  15</t>
  </si>
  <si>
    <t>0205002</t>
  </si>
  <si>
    <t>Thermolan</t>
  </si>
  <si>
    <t>0205003</t>
  </si>
  <si>
    <t>Dämmplatte RP-I 15</t>
  </si>
  <si>
    <t>0205035</t>
  </si>
  <si>
    <t>Promapyr T 09/35</t>
  </si>
  <si>
    <t>0205036</t>
  </si>
  <si>
    <t>Promapyrstreifen für Gehäuseabdichtung</t>
  </si>
  <si>
    <t>0205037</t>
  </si>
  <si>
    <t>Mineralwollestreifen</t>
  </si>
  <si>
    <t>0205050</t>
  </si>
  <si>
    <t>Promapyr T 09/50</t>
  </si>
  <si>
    <t>0205055</t>
  </si>
  <si>
    <t>Promapyr T 15/55</t>
  </si>
  <si>
    <t>0205060</t>
  </si>
  <si>
    <t>Promapyr T 15/60</t>
  </si>
  <si>
    <t>0205069</t>
  </si>
  <si>
    <t>Promapyr T 09/60 ARTIKEL-NR:500601</t>
  </si>
  <si>
    <t>0205070</t>
  </si>
  <si>
    <t>Promapyr-T 15/120 VK 2                                2</t>
  </si>
  <si>
    <t>0205071</t>
  </si>
  <si>
    <t>0205072</t>
  </si>
  <si>
    <t>Promapyr-T 15/50 VK 2</t>
  </si>
  <si>
    <t>0205073</t>
  </si>
  <si>
    <t>Promapyr T 15/30 VK2</t>
  </si>
  <si>
    <t>0205134</t>
  </si>
  <si>
    <t>Rockwool Klimarock                                    1</t>
  </si>
  <si>
    <t>0205135</t>
  </si>
  <si>
    <t>Rockwool Brandschutzplatte RPB-9 35 mm</t>
  </si>
  <si>
    <t>0205150</t>
  </si>
  <si>
    <t>Rockwool Brandschutzplatte RPB-9 50 mm</t>
  </si>
  <si>
    <t>0205160</t>
  </si>
  <si>
    <t>Rockwool Brandschutzplatte RPB-9 60 mm                1</t>
  </si>
  <si>
    <t>0205200</t>
  </si>
  <si>
    <t>Füllung Verkleidung Wand FF</t>
  </si>
  <si>
    <t>0205201</t>
  </si>
  <si>
    <t>Füllung Verkleidung Führung FF</t>
  </si>
  <si>
    <t>0206008</t>
  </si>
  <si>
    <t>Aestuver Platte                                       1</t>
  </si>
  <si>
    <t>0206010</t>
  </si>
  <si>
    <t>0206015</t>
  </si>
  <si>
    <t>Aestuver Platte                                       2</t>
  </si>
  <si>
    <t>0206020</t>
  </si>
  <si>
    <t>0206025</t>
  </si>
  <si>
    <t>Aestuver Platte                                       3</t>
  </si>
  <si>
    <t>0207001</t>
  </si>
  <si>
    <t>Teflonband</t>
  </si>
  <si>
    <t>0207002</t>
  </si>
  <si>
    <t>Teflonstreifen 40 x 5 , Länge 1200 mm                 1</t>
  </si>
  <si>
    <t>0207003</t>
  </si>
  <si>
    <t>Teflonstreifen 40 x 6 , Länge 1200 mm                 1</t>
  </si>
  <si>
    <t>0207004</t>
  </si>
  <si>
    <t>Teflon - Platte t = 3                                29</t>
  </si>
  <si>
    <t>0209001</t>
  </si>
  <si>
    <t>Endkappe Kunststoff 60x60x3</t>
  </si>
  <si>
    <t>0209002</t>
  </si>
  <si>
    <t>PVC - Hart- Platte , hellgrau</t>
  </si>
  <si>
    <t>0209003</t>
  </si>
  <si>
    <t>PVC - Hart - Platte , hellgrau                        1</t>
  </si>
  <si>
    <t>0209004</t>
  </si>
  <si>
    <t>PVC - Platte ,  grau , 4 mm                           1</t>
  </si>
  <si>
    <t>0209005</t>
  </si>
  <si>
    <t>PVC - Ovalstopfen</t>
  </si>
  <si>
    <t>0209006</t>
  </si>
  <si>
    <t>PVC - Puffer , schwarz 7480</t>
  </si>
  <si>
    <t>0209007</t>
  </si>
  <si>
    <t>Endkappe 40 x40</t>
  </si>
  <si>
    <t>0209008</t>
  </si>
  <si>
    <t>0209009</t>
  </si>
  <si>
    <t>0209010</t>
  </si>
  <si>
    <t>PE - Puffer , schwarz</t>
  </si>
  <si>
    <t>0209011</t>
  </si>
  <si>
    <t>0209012</t>
  </si>
  <si>
    <t>Kunststoff - Gleiter für Rundrohre</t>
  </si>
  <si>
    <t>0209013</t>
  </si>
  <si>
    <t>PVC - Platte ,  grau , 5 mm                           1</t>
  </si>
  <si>
    <t>0209014</t>
  </si>
  <si>
    <t>PVC - Platte ,  grau , 10 mm                          2</t>
  </si>
  <si>
    <t>0209015</t>
  </si>
  <si>
    <t>PVC -  Puffer , schwarz 7480</t>
  </si>
  <si>
    <t>0209016</t>
  </si>
  <si>
    <t>PVC - Hart- Platte , hellgrau                         2</t>
  </si>
  <si>
    <t>0209017</t>
  </si>
  <si>
    <t>0209018</t>
  </si>
  <si>
    <t>Rechteckstopfen GPN 270 R 12060 3</t>
  </si>
  <si>
    <t>0209019</t>
  </si>
  <si>
    <t>PVC - Hart-Platte, hellgrau                           1</t>
  </si>
  <si>
    <t>0209020</t>
  </si>
  <si>
    <t>PVC Hart-Platte, hellgrau                             1</t>
  </si>
  <si>
    <t>0209021</t>
  </si>
  <si>
    <t>0209022</t>
  </si>
  <si>
    <t>Gleiter runde Rohre / Duoflap</t>
  </si>
  <si>
    <t>0209023</t>
  </si>
  <si>
    <t>Endkappe Kunststoff 50x50x2</t>
  </si>
  <si>
    <t>0210003</t>
  </si>
  <si>
    <t>Rohvermiculite Nummer 3</t>
  </si>
  <si>
    <t>0210004</t>
  </si>
  <si>
    <t>Rohvermiculite Nummer 4</t>
  </si>
  <si>
    <t>0211001</t>
  </si>
  <si>
    <t>Palusol - Streifen zweilagig</t>
  </si>
  <si>
    <t>0211002</t>
  </si>
  <si>
    <t>Palusol - Tafeln , Typ 100 t=1,9mm                    1</t>
  </si>
  <si>
    <t>0211003</t>
  </si>
  <si>
    <t>Palusolzuschnitt 135 x 420</t>
  </si>
  <si>
    <t>0211004</t>
  </si>
  <si>
    <t>Palusolzuschnitt 135 x 470</t>
  </si>
  <si>
    <t>0211005</t>
  </si>
  <si>
    <t>Palusolzuschnitt 135 x 520</t>
  </si>
  <si>
    <t>0211006</t>
  </si>
  <si>
    <t>Palusolzuschnitt 135 x 570</t>
  </si>
  <si>
    <t>Brandschutzdichtung B1 , elastisch grau</t>
  </si>
  <si>
    <t>0212002</t>
  </si>
  <si>
    <t>Acryldichtstoff , weiss, 310 ml</t>
  </si>
  <si>
    <t>0212003</t>
  </si>
  <si>
    <t>Acryldichtstoff , grau</t>
  </si>
  <si>
    <t>0212004</t>
  </si>
  <si>
    <t>Promastop-Systemkitt                                  1</t>
  </si>
  <si>
    <t>0212005</t>
  </si>
  <si>
    <t>Promaseal -  Brandschutzkitt                          1</t>
  </si>
  <si>
    <t>0212006</t>
  </si>
  <si>
    <t>Silikon-Dichtmasse, grau</t>
  </si>
  <si>
    <t>0212007</t>
  </si>
  <si>
    <t>Terostat 9220 Kraftkleber                             1</t>
  </si>
  <si>
    <t>0212008</t>
  </si>
  <si>
    <t>Silikondichtstoff Acetat</t>
  </si>
  <si>
    <t>0212009</t>
  </si>
  <si>
    <t>0212010</t>
  </si>
  <si>
    <t>Brandschutzdichtung Acryl, BSDI-Acryl-B2</t>
  </si>
  <si>
    <t>0212011</t>
  </si>
  <si>
    <t>Brandschutzdichtung Acryl</t>
  </si>
  <si>
    <t>Brandschutzdichtung B1 , elastisch weiß</t>
  </si>
  <si>
    <t>0212013</t>
  </si>
  <si>
    <t>Hilti Brandschutzdichtung weiß CFS-S-SIL</t>
  </si>
  <si>
    <t>0212014</t>
  </si>
  <si>
    <t>Hilti Brandschutzdichtung grau CFS-S-SIL</t>
  </si>
  <si>
    <t>0213001</t>
  </si>
  <si>
    <t>Gipskartonbauplatte</t>
  </si>
  <si>
    <t>0213002</t>
  </si>
  <si>
    <t>0215001</t>
  </si>
  <si>
    <t>Flamro - Spachtelmasse</t>
  </si>
  <si>
    <t>0215003</t>
  </si>
  <si>
    <t>Flamro -  Airless</t>
  </si>
  <si>
    <t>0215004</t>
  </si>
  <si>
    <t>0215005</t>
  </si>
  <si>
    <t>Flamro - Matten , beschichtet                         1</t>
  </si>
  <si>
    <t>0215006</t>
  </si>
  <si>
    <t>Flamro - Schottaufkleber</t>
  </si>
  <si>
    <t>0215008</t>
  </si>
  <si>
    <t>Flamro - BMK - Kartusche</t>
  </si>
  <si>
    <t>0215009</t>
  </si>
  <si>
    <t>Flamro -  Mörtel MG III</t>
  </si>
  <si>
    <t>0215100</t>
  </si>
  <si>
    <t>Flugasche</t>
  </si>
  <si>
    <t>0215101</t>
  </si>
  <si>
    <t>Apyral  2 E</t>
  </si>
  <si>
    <t>0215102</t>
  </si>
  <si>
    <t>Speckstein Johanneszeche Sorte N</t>
  </si>
  <si>
    <t>0215103</t>
  </si>
  <si>
    <t>Magnesiumoxid , Pulver</t>
  </si>
  <si>
    <t>0215104</t>
  </si>
  <si>
    <t>Tonerdeschmelzzement , Secar 51</t>
  </si>
  <si>
    <t>0215105</t>
  </si>
  <si>
    <t>Eisenoxid</t>
  </si>
  <si>
    <t>0215106</t>
  </si>
  <si>
    <t>MAP FFB 553</t>
  </si>
  <si>
    <t>0215107</t>
  </si>
  <si>
    <t>Cool - Seal - Mischung</t>
  </si>
  <si>
    <t>0215108</t>
  </si>
  <si>
    <t>Wasserstoffperoxid 35 %</t>
  </si>
  <si>
    <t>0215109</t>
  </si>
  <si>
    <t>0215110</t>
  </si>
  <si>
    <t>Apyral  2 E,</t>
  </si>
  <si>
    <t>0215111</t>
  </si>
  <si>
    <t>Kappaflam T2/244 B</t>
  </si>
  <si>
    <t>0215112</t>
  </si>
  <si>
    <t>Hochtemp.-Keramikpaste</t>
  </si>
  <si>
    <t>0215199</t>
  </si>
  <si>
    <t>Mineralischer Schaum "Solipor"</t>
  </si>
  <si>
    <t>0215200</t>
  </si>
  <si>
    <t>Rundschnur , schwarz</t>
  </si>
  <si>
    <t>0215201</t>
  </si>
  <si>
    <t>Mineralischer Schaum "Solipor"                       34</t>
  </si>
  <si>
    <t>0220001</t>
  </si>
  <si>
    <t>Ytong Dünnbett/Planblockmörtel</t>
  </si>
  <si>
    <t>Ytong Planblock PPW4</t>
  </si>
  <si>
    <t>0299999</t>
  </si>
  <si>
    <t>Sammelartikel Isolier - und Dichtungsmat              1</t>
  </si>
  <si>
    <t>Sammelartikel Isolier - und Dichtungsmat</t>
  </si>
  <si>
    <t>m2                 4</t>
  </si>
  <si>
    <t>t                  4</t>
  </si>
  <si>
    <t>0305001</t>
  </si>
  <si>
    <t>Winkel Schieberverkrallung OS-vertikal</t>
  </si>
  <si>
    <t>0305002</t>
  </si>
  <si>
    <t>Winkel Schieberverkrallung OS , mittel</t>
  </si>
  <si>
    <t>0305003</t>
  </si>
  <si>
    <t>Winkel Schieberverkrallung OS , groß</t>
  </si>
  <si>
    <t>0305004</t>
  </si>
  <si>
    <t>Anschraubwinkel klein OS Zarge</t>
  </si>
  <si>
    <t>0305005</t>
  </si>
  <si>
    <t>Anschraubwinkel groß OS Festfeld</t>
  </si>
  <si>
    <t>0305006</t>
  </si>
  <si>
    <t>Halter für Festfeld OS</t>
  </si>
  <si>
    <t>0305007</t>
  </si>
  <si>
    <t>Zarge verkikal OS vertikal</t>
  </si>
  <si>
    <t>0305008</t>
  </si>
  <si>
    <t>Auflaufprofil unten OS</t>
  </si>
  <si>
    <t>0305009</t>
  </si>
  <si>
    <t>Zarge oben OS-horizontal</t>
  </si>
  <si>
    <t>0305010</t>
  </si>
  <si>
    <t>Zarge Schließseite OS-horizontal</t>
  </si>
  <si>
    <t>0305011</t>
  </si>
  <si>
    <t>Stützwinkel für Zarge OS-horizontal</t>
  </si>
  <si>
    <t>0305012</t>
  </si>
  <si>
    <t>Winkel Schieberverkrallung OS ver. var.</t>
  </si>
  <si>
    <t>0305013</t>
  </si>
  <si>
    <t>Winkel Sturzverkrallung OS</t>
  </si>
  <si>
    <t>0305014</t>
  </si>
  <si>
    <t>Winkel Verschraubung 36 OS</t>
  </si>
  <si>
    <t>0305015</t>
  </si>
  <si>
    <t>Winkel Verschraubung 100 OS</t>
  </si>
  <si>
    <t>0305016</t>
  </si>
  <si>
    <t>Umlenkwinkel OS</t>
  </si>
  <si>
    <t>0305017</t>
  </si>
  <si>
    <t>Promatect H-15 Streifen 2500 x 90 mm</t>
  </si>
  <si>
    <t>0305018</t>
  </si>
  <si>
    <t>Promasealstreifen 2150 x 90 mm</t>
  </si>
  <si>
    <t>0305019</t>
  </si>
  <si>
    <t>0305020</t>
  </si>
  <si>
    <t>Promatect H-25 Streifen 2500 x 168 mm</t>
  </si>
  <si>
    <t>0305021</t>
  </si>
  <si>
    <t>Dichtrahmen Promatect H25 162mm</t>
  </si>
  <si>
    <t>0305022</t>
  </si>
  <si>
    <t>Promatect H-25 Streifen 2500 x 155 mm</t>
  </si>
  <si>
    <t>0305023</t>
  </si>
  <si>
    <t>Promatect H-25 Streifen 2500 x 46 mm</t>
  </si>
  <si>
    <t>0305024</t>
  </si>
  <si>
    <t>Promatect H-25 Streifen 2500 x 38 mm</t>
  </si>
  <si>
    <t>0305025</t>
  </si>
  <si>
    <t>Promatect H-25 Streifen 2500 x 90 mm</t>
  </si>
  <si>
    <t>0305026</t>
  </si>
  <si>
    <t>Promatect H-15 Streifen 2500 x 100 mm</t>
  </si>
  <si>
    <t>0305027</t>
  </si>
  <si>
    <t>Dichtrahmen Promatect H15 200mm</t>
  </si>
  <si>
    <t>0305028</t>
  </si>
  <si>
    <t>Promatect H-12 Streifen 2500 x 90 mm</t>
  </si>
  <si>
    <t>0305029</t>
  </si>
  <si>
    <t>Fireflystreifen 2100 x 100 mm</t>
  </si>
  <si>
    <t>0305030</t>
  </si>
  <si>
    <t>Fireflystreifen 2100 x 90 mm</t>
  </si>
  <si>
    <t>0305031</t>
  </si>
  <si>
    <t>Gipskartonstreifen 2500 x 73 mm</t>
  </si>
  <si>
    <t>0305032</t>
  </si>
  <si>
    <t>Gipskartonstreifen 2500 x 33 mm</t>
  </si>
  <si>
    <t>0305033</t>
  </si>
  <si>
    <t>Gipskartonstreifen 2500 x 37 mm</t>
  </si>
  <si>
    <t>0305034</t>
  </si>
  <si>
    <t>Dichtrahmen Promatect H20 60mm</t>
  </si>
  <si>
    <t>0305035</t>
  </si>
  <si>
    <t>Lamellenstoß Intuflex 22mm</t>
  </si>
  <si>
    <t>0305036</t>
  </si>
  <si>
    <t>Dichtrahmen Boden Firefly102 49mm</t>
  </si>
  <si>
    <t>0305037</t>
  </si>
  <si>
    <t>Dichtrahmen Firefly102 168x25mm</t>
  </si>
  <si>
    <t>0305038</t>
  </si>
  <si>
    <t>Dichtrahmen Firefly102 100x15mm</t>
  </si>
  <si>
    <t>0305039</t>
  </si>
  <si>
    <t>Promasealstreifen 2150 x 100 mm</t>
  </si>
  <si>
    <t>0305040</t>
  </si>
  <si>
    <t>Dichtrahmen kompl untere Lam 300 OS-o</t>
  </si>
  <si>
    <t>0305041</t>
  </si>
  <si>
    <t>Dichtrahmen kompl untere Lam 600 OS-o                 1</t>
  </si>
  <si>
    <t>0305042</t>
  </si>
  <si>
    <t>Dichtrahmen kompl untere Lam 900 OS-o                 2</t>
  </si>
  <si>
    <t>0305043</t>
  </si>
  <si>
    <t>Dichtrahmen kompl mittlere Lam 600 OS-o</t>
  </si>
  <si>
    <t>0305044</t>
  </si>
  <si>
    <t>Dichtrahmen kompl mittlere Lam 900 OS-o               1</t>
  </si>
  <si>
    <t>0305045</t>
  </si>
  <si>
    <t>Dichtrahmen kompl untere Lam 300 OS-h</t>
  </si>
  <si>
    <t>0305046</t>
  </si>
  <si>
    <t>Dichtrahmen kompl untere Lam 600 OS-h                 1</t>
  </si>
  <si>
    <t>0305047</t>
  </si>
  <si>
    <t>Dichtrahmen kompl untere Lam 900 OS-h                 2</t>
  </si>
  <si>
    <t>0305048</t>
  </si>
  <si>
    <t>Dichtrahmen kompl mittlere Lam 600 OS-h</t>
  </si>
  <si>
    <t>0305049</t>
  </si>
  <si>
    <t>Dichtrahmen kompl mittlere Lam 900 OS-h               3</t>
  </si>
  <si>
    <t>0305050</t>
  </si>
  <si>
    <t>0305051</t>
  </si>
  <si>
    <t>0305052</t>
  </si>
  <si>
    <t>Fireflystreifen 2100 x 50 mm</t>
  </si>
  <si>
    <t>0305053</t>
  </si>
  <si>
    <t>Fireflystreifen 2100 x 122 mm</t>
  </si>
  <si>
    <t>0305054</t>
  </si>
  <si>
    <t>Gipskartonstreifen 2500 x 120 mm</t>
  </si>
  <si>
    <t>0305055</t>
  </si>
  <si>
    <t>Promatect H-20 Streifen 2500 x 125 mm</t>
  </si>
  <si>
    <t>0305056</t>
  </si>
  <si>
    <t>Halterohr für Verriegelung SR: nach oben              1</t>
  </si>
  <si>
    <t>0305073</t>
  </si>
  <si>
    <t>Rundstahl d=16 für Schmelzlot-</t>
  </si>
  <si>
    <t>0305074</t>
  </si>
  <si>
    <t>Flachstahl 40x40x12 für Schmelzlot-                   1</t>
  </si>
  <si>
    <t>0305100</t>
  </si>
  <si>
    <t>Antriebgehäuse Blech Baugruppe OS                    10</t>
  </si>
  <si>
    <t>0305101</t>
  </si>
  <si>
    <t>Antriebswelle Blechgehäuse OS                         3</t>
  </si>
  <si>
    <t>0305102</t>
  </si>
  <si>
    <t>0305103</t>
  </si>
  <si>
    <t>Antriebgehäuse Blech Rückteil OS</t>
  </si>
  <si>
    <t>0305104</t>
  </si>
  <si>
    <t>Antriebsgehäuse Innenteil Omnischott</t>
  </si>
  <si>
    <t>0305105</t>
  </si>
  <si>
    <t>Antriebgehäuse Blech Vorderteil oben OS</t>
  </si>
  <si>
    <t>0305106</t>
  </si>
  <si>
    <t>Antriebgehäuse Blech Vorderteil unten OS</t>
  </si>
  <si>
    <t>0305110</t>
  </si>
  <si>
    <t>Antriebssystem EB 53 Ersatzteil                      10</t>
  </si>
  <si>
    <t>0305111</t>
  </si>
  <si>
    <t>Antriebswelle EB 53 , OS - vertikal                   5</t>
  </si>
  <si>
    <t>0305112</t>
  </si>
  <si>
    <t>Antriebsgehäuse Rückteil EB 53</t>
  </si>
  <si>
    <t>0305113</t>
  </si>
  <si>
    <t>Antriebsgeh Innenteil EB 53 OS-vertikal</t>
  </si>
  <si>
    <t>0305114</t>
  </si>
  <si>
    <t>Antriebsgeh Vorder ob EB 53</t>
  </si>
  <si>
    <t>0305115</t>
  </si>
  <si>
    <t>Gehäuseteil Z-Kantung unten für EB 53</t>
  </si>
  <si>
    <t>0305116</t>
  </si>
  <si>
    <t>Gurtscheibe 1, Antrieb EB 53 Omnischott</t>
  </si>
  <si>
    <t>0305120</t>
  </si>
  <si>
    <t>Antriebssystem EB 51 Ersatzteil                       6</t>
  </si>
  <si>
    <t>0305121</t>
  </si>
  <si>
    <t>Antriebssystem EB 52 Ersatzteil                       9</t>
  </si>
  <si>
    <t>0305122</t>
  </si>
  <si>
    <t>Antriebwelle EB51 OS-vertikal                         1</t>
  </si>
  <si>
    <t>0305123</t>
  </si>
  <si>
    <t>Antriebwelle EB52 OS-vertikal                         1</t>
  </si>
  <si>
    <t>0305124</t>
  </si>
  <si>
    <t>Antriebsgehäuse Rückteil OS - vertikal</t>
  </si>
  <si>
    <t>0305125</t>
  </si>
  <si>
    <t>Antriebsgehäuse Innenteil OS-vertikal</t>
  </si>
  <si>
    <t>0305126</t>
  </si>
  <si>
    <t>Gurtrolle Antrieb 35mm Gurt OS-vertikal               1</t>
  </si>
  <si>
    <t>0305127</t>
  </si>
  <si>
    <t>Antriebsgehäu Vorderteil oben/unten</t>
  </si>
  <si>
    <t>0305128</t>
  </si>
  <si>
    <t>Gehäuseteil Z-Kantung unten für EB 51</t>
  </si>
  <si>
    <t>0305129</t>
  </si>
  <si>
    <t>Gurtrolle 80 x 37 Antrieb  OS-vertikal</t>
  </si>
  <si>
    <t>0305130</t>
  </si>
  <si>
    <t>Antriebssystem EB 61 Ersatzteil                       7</t>
  </si>
  <si>
    <t>0305131</t>
  </si>
  <si>
    <t>Antriebswelle Blechgehäuse OS-h                       1</t>
  </si>
  <si>
    <t>0305132</t>
  </si>
  <si>
    <t>Antriebsgehäuse Rückteil OS - horizontal</t>
  </si>
  <si>
    <t>0305133</t>
  </si>
  <si>
    <t>Antriebsgeh Vorderteil oben</t>
  </si>
  <si>
    <t>0305134</t>
  </si>
  <si>
    <t>Antriebsgeh Vorderteil unten</t>
  </si>
  <si>
    <t>0305150</t>
  </si>
  <si>
    <t>Antriebgehäuse Blech Baugruppe OS</t>
  </si>
  <si>
    <t>0305151</t>
  </si>
  <si>
    <t>0305152</t>
  </si>
  <si>
    <t>Antriebgehäuse Blech Innenteil  OS</t>
  </si>
  <si>
    <t>0305153</t>
  </si>
  <si>
    <t>Antriebgehäuse Blech Vorderteil  OS</t>
  </si>
  <si>
    <t>0305154</t>
  </si>
  <si>
    <t>Antriebssystem EB 53 Ersatzteil                      13</t>
  </si>
  <si>
    <t>0305155</t>
  </si>
  <si>
    <t>Antriebsge Rückteil RB 53 OS vertikal</t>
  </si>
  <si>
    <t>0305156</t>
  </si>
  <si>
    <t>Antriebsgeh Innenteil EB 53 OS vertikal</t>
  </si>
  <si>
    <t>0305157</t>
  </si>
  <si>
    <t>Antriebsgeh Vorder EB 53 OS - vertikal</t>
  </si>
  <si>
    <t>0305158</t>
  </si>
  <si>
    <t>Antriebssystem EB 51 Ersatzteil                       8</t>
  </si>
  <si>
    <t>0305159</t>
  </si>
  <si>
    <t>Antriebgehäuse Rückteil OS</t>
  </si>
  <si>
    <t>0305160</t>
  </si>
  <si>
    <t>Antriebgehäuse Innenteil OS</t>
  </si>
  <si>
    <t>0305161</t>
  </si>
  <si>
    <t>Antriebgehäuse Vorderteil OS</t>
  </si>
  <si>
    <t>0305162</t>
  </si>
  <si>
    <t>0305163</t>
  </si>
  <si>
    <t>Antriebgehäuse EB61 Rückteil OS-h</t>
  </si>
  <si>
    <t>0305164</t>
  </si>
  <si>
    <t>Antriebgehäuse EB61 Vorderteil oben OS-h</t>
  </si>
  <si>
    <t>0305165</t>
  </si>
  <si>
    <t>Antriebgehäus EB61 Vorderteil unten OS-h</t>
  </si>
  <si>
    <t>0305166</t>
  </si>
  <si>
    <t>Antriebsgehäuse Blech kpl. OS-vertikal</t>
  </si>
  <si>
    <t>0305167</t>
  </si>
  <si>
    <t>Antriebsgehäuse Blech kpl. OS-horizontal</t>
  </si>
  <si>
    <t>0305168</t>
  </si>
  <si>
    <t>Antriebsgehäuse Blech kpl. OS - vertikal</t>
  </si>
  <si>
    <t>0305169</t>
  </si>
  <si>
    <t>Antriebgehäuse Blech kpl Edelst OS-verti              1</t>
  </si>
  <si>
    <t>0305170</t>
  </si>
  <si>
    <t>Antriebgehäuse Blech kpl OS-hori Edelst               4</t>
  </si>
  <si>
    <t>0305171</t>
  </si>
  <si>
    <t>Antriebgehäuse Blech kpl1,5kW OS-vertiEd              9</t>
  </si>
  <si>
    <t>0305172</t>
  </si>
  <si>
    <t>Halteblech für Rillenkugellager bei EB53</t>
  </si>
  <si>
    <t>0305174</t>
  </si>
  <si>
    <t>Antriebsge Gurtscheibe 2 Omnischott</t>
  </si>
  <si>
    <t>0305175</t>
  </si>
  <si>
    <t>Antriebsge Gurtscheibe Omnischott</t>
  </si>
  <si>
    <t>0305176</t>
  </si>
  <si>
    <t>Distanzblech manuelle Öffnung</t>
  </si>
  <si>
    <t>0305177</t>
  </si>
  <si>
    <t>Antriebssystem EB 52 Ersatzteil                      10</t>
  </si>
  <si>
    <t>Antriebssystem EB 61                                 37</t>
  </si>
  <si>
    <t>0305181</t>
  </si>
  <si>
    <t>Antriebssystem EB 51                                 40</t>
  </si>
  <si>
    <t>0305182</t>
  </si>
  <si>
    <t>Antriebssystem EB 52                                 11</t>
  </si>
  <si>
    <t>0305183</t>
  </si>
  <si>
    <t>Antriebssystem EB 53                                 77</t>
  </si>
  <si>
    <t>0305200</t>
  </si>
  <si>
    <t>Umlenkung Gurt Baugruppe OS                           1</t>
  </si>
  <si>
    <t>0305201</t>
  </si>
  <si>
    <t>Umlenkung Gurt Umlenkwinkel OS</t>
  </si>
  <si>
    <t>0305202</t>
  </si>
  <si>
    <t>Umlenkung Gurt Rollenaufnahme OS</t>
  </si>
  <si>
    <t>0305203</t>
  </si>
  <si>
    <t>Umlenkung Gurt Justierwinkel OS</t>
  </si>
  <si>
    <t>0305204</t>
  </si>
  <si>
    <t>Umlenkung Gurt Lagerbolzen OS</t>
  </si>
  <si>
    <t>0305205</t>
  </si>
  <si>
    <t>Umlenkung Gurt Gurtrolle OS                           2</t>
  </si>
  <si>
    <t>0305220</t>
  </si>
  <si>
    <t>Gurtumlenkung rechts komplett</t>
  </si>
  <si>
    <t>0305221</t>
  </si>
  <si>
    <t>Gurtumlenkung links komplett                          1</t>
  </si>
  <si>
    <t>0305222</t>
  </si>
  <si>
    <t>Winkel, Gurtumlenkung 35mm OS</t>
  </si>
  <si>
    <t>0305223</t>
  </si>
  <si>
    <t>Winkel links, Gurtumlenkung 35mm OS</t>
  </si>
  <si>
    <t>0305224</t>
  </si>
  <si>
    <t>Gurtrollenaufnahme OS - vertikal</t>
  </si>
  <si>
    <t>0305225</t>
  </si>
  <si>
    <t>Gurtrollenaufnahme-Justierwinkel</t>
  </si>
  <si>
    <t>0305226</t>
  </si>
  <si>
    <t>Lagerbolzen Gurtrolle OS - vertikal</t>
  </si>
  <si>
    <t>0305227</t>
  </si>
  <si>
    <t>Flachstahl 50x5 OS-vertikal</t>
  </si>
  <si>
    <t>0305228</t>
  </si>
  <si>
    <t>Umlenkrolle, Gurtumlenkung 35mm OS-vert</t>
  </si>
  <si>
    <t>0305229</t>
  </si>
  <si>
    <t>Flachstahl 50x12x140 f. Gurtumlenkung OS</t>
  </si>
  <si>
    <t>0305230</t>
  </si>
  <si>
    <t>Gurtumlenkung rechts komplett                         2</t>
  </si>
  <si>
    <t>0305231</t>
  </si>
  <si>
    <t>Gurtumlenkung links komplett                          2</t>
  </si>
  <si>
    <t>0305232</t>
  </si>
  <si>
    <t>T-Profil Gurtumlenkung35mm OS-ver</t>
  </si>
  <si>
    <t>0305233</t>
  </si>
  <si>
    <t>T-Profil Gurtumlenkung35mm links OS-ver               1</t>
  </si>
  <si>
    <t>0305234</t>
  </si>
  <si>
    <t>Winkel Kettenumlenkung OS - vertikal</t>
  </si>
  <si>
    <t>0305235</t>
  </si>
  <si>
    <t>Kettenumlenkungsprofil RGT-Gewichte</t>
  </si>
  <si>
    <t>0305236</t>
  </si>
  <si>
    <t>Kettenumlenkungsprofil Uni-Gewichte OS-v</t>
  </si>
  <si>
    <t>0305237</t>
  </si>
  <si>
    <t>Kettenumlenkungsprofil Blende</t>
  </si>
  <si>
    <t>0305238</t>
  </si>
  <si>
    <t>Blendenhalter Kettenumlenkungsprofil</t>
  </si>
  <si>
    <t>0305239</t>
  </si>
  <si>
    <t>Pufferaufnahme Kettenumlenkungsprofil</t>
  </si>
  <si>
    <t>0305240</t>
  </si>
  <si>
    <t>Kettenumlenkungsprofil Endblech</t>
  </si>
  <si>
    <t>0305241</t>
  </si>
  <si>
    <t>Schieberbeplankung innen OS-vertikal</t>
  </si>
  <si>
    <t>0305242</t>
  </si>
  <si>
    <t>0305243</t>
  </si>
  <si>
    <t>0305244</t>
  </si>
  <si>
    <t>0305245</t>
  </si>
  <si>
    <t>0305246</t>
  </si>
  <si>
    <t>0305247</t>
  </si>
  <si>
    <t>0305248</t>
  </si>
  <si>
    <t>0305249</t>
  </si>
  <si>
    <t>Schieberbeplankung innen OS-horizontal</t>
  </si>
  <si>
    <t>0305250</t>
  </si>
  <si>
    <t>0305251</t>
  </si>
  <si>
    <t>0305252</t>
  </si>
  <si>
    <t>0305253</t>
  </si>
  <si>
    <t>0305254</t>
  </si>
  <si>
    <t>Schieberbeplankung innen OS-hor. Lamelle</t>
  </si>
  <si>
    <t>0305255</t>
  </si>
  <si>
    <t>0305256</t>
  </si>
  <si>
    <t>0305257</t>
  </si>
  <si>
    <t>Schieberbeplankung innen OS-hor.</t>
  </si>
  <si>
    <t>0305258</t>
  </si>
  <si>
    <t>0305259</t>
  </si>
  <si>
    <t>0305260</t>
  </si>
  <si>
    <t>0305261</t>
  </si>
  <si>
    <t>0305262</t>
  </si>
  <si>
    <t>0305266</t>
  </si>
  <si>
    <t>Kettenanbindungswinkel SR: v.u.n.o</t>
  </si>
  <si>
    <t>0305267</t>
  </si>
  <si>
    <t>Blende OS-vertikal</t>
  </si>
  <si>
    <t>0305268</t>
  </si>
  <si>
    <t>Kettenumlenkungsprofil SR:v.u.n.o OS-ver</t>
  </si>
  <si>
    <t>0305301</t>
  </si>
  <si>
    <t>Rahmenprofil Schieber links OS-vertikal</t>
  </si>
  <si>
    <t>0305302</t>
  </si>
  <si>
    <t>Rahmenprofil Schieber rechts OS-vertikal</t>
  </si>
  <si>
    <t>0305303</t>
  </si>
  <si>
    <t>Rahmenprofil Schieber oben OS-vertikal</t>
  </si>
  <si>
    <t>0305304</t>
  </si>
  <si>
    <t>Rahmen Schieber Eckverbinder OS-vertikal</t>
  </si>
  <si>
    <t>0305305</t>
  </si>
  <si>
    <t>Rahmen Schieber Gurtklemme OS-vertikal</t>
  </si>
  <si>
    <t>0305306</t>
  </si>
  <si>
    <t>0305307</t>
  </si>
  <si>
    <t>0305308</t>
  </si>
  <si>
    <t>OS - Schieber Eckverbinder , 35mm Gurt</t>
  </si>
  <si>
    <t>0305309</t>
  </si>
  <si>
    <t>Gurtklemme  ohne Gewinde OS vertikal</t>
  </si>
  <si>
    <t>0305310</t>
  </si>
  <si>
    <t>Gurtklemme mit Gewinde  OS vertikal</t>
  </si>
  <si>
    <t>0305311</t>
  </si>
  <si>
    <t>Verstärkungsblech Eckv. 35mm Gurt OS-o</t>
  </si>
  <si>
    <t>0305312</t>
  </si>
  <si>
    <t>Verstärkungsbl.Eckv.35mmGurt manu OS-o</t>
  </si>
  <si>
    <t>0305314</t>
  </si>
  <si>
    <t>Hangrollenaufnahme OS horizontal</t>
  </si>
  <si>
    <t>0305322</t>
  </si>
  <si>
    <t>Rahmen Schieber Öffnungss OS-horizontal</t>
  </si>
  <si>
    <t>0305323</t>
  </si>
  <si>
    <t>Rahmenprofil Schieber oben OS-horizontal</t>
  </si>
  <si>
    <t>0305324</t>
  </si>
  <si>
    <t>Rahmenwinkel Schieber OS-horizontal</t>
  </si>
  <si>
    <t>0305325</t>
  </si>
  <si>
    <t>Rahmen Lam oben Verrseite Schieber OS-h</t>
  </si>
  <si>
    <t>0305326</t>
  </si>
  <si>
    <t>Rahmen Lam mitte 600 Verrseite OS-h</t>
  </si>
  <si>
    <t>0305327</t>
  </si>
  <si>
    <t>Horizontal Rahmen Verriegelungsseite</t>
  </si>
  <si>
    <t>0305328</t>
  </si>
  <si>
    <t>Rahmen Lam unten 600 Verrseite OS-h</t>
  </si>
  <si>
    <t>0305329</t>
  </si>
  <si>
    <t>0305330</t>
  </si>
  <si>
    <t>Rahmen Lam unten 300 Verrseite OS-h</t>
  </si>
  <si>
    <t>0305331</t>
  </si>
  <si>
    <t>Eckverbinder Antrieb rechts Antrie.seite</t>
  </si>
  <si>
    <t>0305332</t>
  </si>
  <si>
    <t>Eckverbinder Antrieb rechts Gegenseite</t>
  </si>
  <si>
    <t>0305333</t>
  </si>
  <si>
    <t>Eckverbinder Antrieb links Antrie.seite</t>
  </si>
  <si>
    <t>0305334</t>
  </si>
  <si>
    <t>Eckverbinder Antrieb links Gegenseite</t>
  </si>
  <si>
    <t>0305335</t>
  </si>
  <si>
    <t>L-Winkel für Eckverbinder Kettenantrieb</t>
  </si>
  <si>
    <t>0305336</t>
  </si>
  <si>
    <t>Eckverbinder Kettenantrieb  /OS-vertikal</t>
  </si>
  <si>
    <t>0305337</t>
  </si>
  <si>
    <t>Winkel für Endschalter geschlossen</t>
  </si>
  <si>
    <t>0305338</t>
  </si>
  <si>
    <t>Endschalterkantung</t>
  </si>
  <si>
    <t>0305340</t>
  </si>
  <si>
    <t>Eckverbinder rechts kpl. für Laufrolle                6</t>
  </si>
  <si>
    <t>0305341</t>
  </si>
  <si>
    <t>Eckverbinder links kpl. für Laufrolle                 6</t>
  </si>
  <si>
    <t>0305342</t>
  </si>
  <si>
    <t>Winkel Eckverbinder rechts für Laufrolle</t>
  </si>
  <si>
    <t>0305343</t>
  </si>
  <si>
    <t>Winkel Eckverbinder links für Laufrolle</t>
  </si>
  <si>
    <t>0305344</t>
  </si>
  <si>
    <t>Q-Rohr Eckverbinder für Laufrolle vor</t>
  </si>
  <si>
    <t>0305345</t>
  </si>
  <si>
    <t>R-Rohr Eckverbinder für Laufrolle vor</t>
  </si>
  <si>
    <t>0305401</t>
  </si>
  <si>
    <t>Lamelle vorne oben OS-vertikal</t>
  </si>
  <si>
    <t>0305402</t>
  </si>
  <si>
    <t>Lamelle hinten oben OS-vertikal</t>
  </si>
  <si>
    <t>0305403</t>
  </si>
  <si>
    <t>Lamelle oben Seitendeckel li OS-vertikal</t>
  </si>
  <si>
    <t>0305404</t>
  </si>
  <si>
    <t>Lamelle oben Seitendeckel re OS-vertikal</t>
  </si>
  <si>
    <t>0305405</t>
  </si>
  <si>
    <t>Lamelle oben Abschlussprofil OS-vertikal</t>
  </si>
  <si>
    <t>0305451</t>
  </si>
  <si>
    <t>Lamelle vorne oben OS-horizontal</t>
  </si>
  <si>
    <t>0305452</t>
  </si>
  <si>
    <t>Lamelle hinten oben OS-horizontal</t>
  </si>
  <si>
    <t>0305453</t>
  </si>
  <si>
    <t>Lamelle oben Seitendeckel li OS-h</t>
  </si>
  <si>
    <t>0305454</t>
  </si>
  <si>
    <t>Lamelle oben Seitendeckel re OS-h</t>
  </si>
  <si>
    <t>0305455</t>
  </si>
  <si>
    <t>Lamelle Abschlussprofil OS-horizontal</t>
  </si>
  <si>
    <t>0305456</t>
  </si>
  <si>
    <t>Verstärkung Lamelle oben OS horizontal</t>
  </si>
  <si>
    <t>0305470</t>
  </si>
  <si>
    <t>Lamelle hinten ges (bei nur 1 Lam) OS-o</t>
  </si>
  <si>
    <t>0305471</t>
  </si>
  <si>
    <t>Lamelle vorne ges (bei nur 1 Lam) OS-o</t>
  </si>
  <si>
    <t>0305472</t>
  </si>
  <si>
    <t>Lamelle ges. Seitendeckel re OS-vertikal</t>
  </si>
  <si>
    <t>0305473</t>
  </si>
  <si>
    <t>Lamelle ges. Seitendeckel li OS-vertikal</t>
  </si>
  <si>
    <t>0305480</t>
  </si>
  <si>
    <t>Lamelle vorne ges (bei nur 1 Lam) OS-h</t>
  </si>
  <si>
    <t>0305481</t>
  </si>
  <si>
    <t>Lamelle hinten ges (bei nur 1 Lam) OS-h</t>
  </si>
  <si>
    <t>0305482</t>
  </si>
  <si>
    <t>Lamelle ges. Seitendeckel links OS-h</t>
  </si>
  <si>
    <t>0305483</t>
  </si>
  <si>
    <t>Lamelle ges. Seitendeckel rechts OS-h</t>
  </si>
  <si>
    <t>0305501</t>
  </si>
  <si>
    <t>Lamelle vorne mitte 600 OS-vertikal</t>
  </si>
  <si>
    <t>0305502</t>
  </si>
  <si>
    <t>Lamelle hinten mitte 600 OS-vertikal</t>
  </si>
  <si>
    <t>0305503</t>
  </si>
  <si>
    <t>Lamelle mitte Seitende li/re 600 OS-vert</t>
  </si>
  <si>
    <t>0305506</t>
  </si>
  <si>
    <t>Lamelle vorne mitte 900 OS-vertikal</t>
  </si>
  <si>
    <t>0305507</t>
  </si>
  <si>
    <t>Lamelle hinten mitte 900 OS-vertikal</t>
  </si>
  <si>
    <t>0305508</t>
  </si>
  <si>
    <t>Lamelle mitte Seitende li/re 900 OS-vert</t>
  </si>
  <si>
    <t>0305511</t>
  </si>
  <si>
    <t>Lamelle vorne mitte 600 OS-horizontal</t>
  </si>
  <si>
    <t>0305512</t>
  </si>
  <si>
    <t>Lamelle hinten mitte 600 OS-horizontal</t>
  </si>
  <si>
    <t>0305513</t>
  </si>
  <si>
    <t>Lamelle mitte Seitende li 600 OS-h</t>
  </si>
  <si>
    <t>0305514</t>
  </si>
  <si>
    <t>Lamelle mitte Seitende re 600 OS-h</t>
  </si>
  <si>
    <t>0305520</t>
  </si>
  <si>
    <t>Lamelle unten Seitende li/re 300 OS-vert</t>
  </si>
  <si>
    <t>0305521</t>
  </si>
  <si>
    <t>Lamelle vorne unten 600 OS-vertikal</t>
  </si>
  <si>
    <t>0305522</t>
  </si>
  <si>
    <t>Lamelle hinten unten 600 OS-vertikal</t>
  </si>
  <si>
    <t>0305523</t>
  </si>
  <si>
    <t>Lamelle unten Seitende li/re 600 OS-vert</t>
  </si>
  <si>
    <t>0305524</t>
  </si>
  <si>
    <t>Lamelle mitte Seitende re 900 OS-h</t>
  </si>
  <si>
    <t>0305526</t>
  </si>
  <si>
    <t>Lamelle vorne unten 900 OS-vertikal</t>
  </si>
  <si>
    <t>0305527</t>
  </si>
  <si>
    <t>Lamelle hinten unten 900 OS-vertikal</t>
  </si>
  <si>
    <t>0305528</t>
  </si>
  <si>
    <t>Lamelle unten Seitende li/re 900 OS-vert</t>
  </si>
  <si>
    <t>0305531</t>
  </si>
  <si>
    <t>Lamelle vorne unten 600 OS-horizontal</t>
  </si>
  <si>
    <t>0305532</t>
  </si>
  <si>
    <t>Lamelle hinten unten 600 OS-horizontal</t>
  </si>
  <si>
    <t>0305533</t>
  </si>
  <si>
    <t>Lamelle unten Seitende li 600 OS-h</t>
  </si>
  <si>
    <t>0305534</t>
  </si>
  <si>
    <t>Lamelle unten Seitende re 600 OS-h</t>
  </si>
  <si>
    <t>0305535</t>
  </si>
  <si>
    <t>Schieberführung unten OS-horizontal</t>
  </si>
  <si>
    <t>0305541</t>
  </si>
  <si>
    <t>Lamelle vorne unten 900 OS-horizontal                 1</t>
  </si>
  <si>
    <t>0305542</t>
  </si>
  <si>
    <t>Lamelle hinten unten 900 OS-horizontal                1</t>
  </si>
  <si>
    <t>0305543</t>
  </si>
  <si>
    <t>Lamelle unten Seitende li 900 OS-h</t>
  </si>
  <si>
    <t>0305544</t>
  </si>
  <si>
    <t>Lamelle unten Seitende re 900 OS-h</t>
  </si>
  <si>
    <t>0305551</t>
  </si>
  <si>
    <t>Lamelle vorne mitte 900 OS-horizontal                 1</t>
  </si>
  <si>
    <t>0305552</t>
  </si>
  <si>
    <t>Lamelle hinten mitte 900 OS-horizontal                1</t>
  </si>
  <si>
    <t>0305553</t>
  </si>
  <si>
    <t>Lamelle mitte Seitendeckel li 900 OS-h</t>
  </si>
  <si>
    <t>0305554</t>
  </si>
  <si>
    <t>Lamelle mitte Seitendeckel re 900 OS-h</t>
  </si>
  <si>
    <t>0305561</t>
  </si>
  <si>
    <t>Lamelle vorn unten 300 OS-horizontal</t>
  </si>
  <si>
    <t>0305562</t>
  </si>
  <si>
    <t>Lamelle hinten unten 300 OS-horizontal</t>
  </si>
  <si>
    <t>0305563</t>
  </si>
  <si>
    <t>Lamelle unten Seitende re 300 OS-h</t>
  </si>
  <si>
    <t>0305564</t>
  </si>
  <si>
    <t>Lamelle unten Seitende li 300 OS-h</t>
  </si>
  <si>
    <t>0305602</t>
  </si>
  <si>
    <t>Halter Ovalschiene OS-hor. (Schiene)</t>
  </si>
  <si>
    <t>0305603</t>
  </si>
  <si>
    <t>Ovalschienen-Wandwinkel OS-horizontal</t>
  </si>
  <si>
    <t>0305604</t>
  </si>
  <si>
    <t>Stoßverbinder Ovalschiene OS/RGT hor.</t>
  </si>
  <si>
    <t>0305611</t>
  </si>
  <si>
    <t>Umlenkhalter Gummikabel rechts OS-h</t>
  </si>
  <si>
    <t>0305613</t>
  </si>
  <si>
    <t>Lagerbolzen für Gummizugumlenkung</t>
  </si>
  <si>
    <t>0305614</t>
  </si>
  <si>
    <t>Umlenkrad für Gummizugseil , OS Nr570/78</t>
  </si>
  <si>
    <t>0305615</t>
  </si>
  <si>
    <t>Seilanbindungswinkel 2 an Hangrolle rech</t>
  </si>
  <si>
    <t>0305616</t>
  </si>
  <si>
    <t>Umlenkhalter 4 OS-horizontal</t>
  </si>
  <si>
    <t>0305617</t>
  </si>
  <si>
    <t>Abstandhülse vorn Gummiseilumlenkung</t>
  </si>
  <si>
    <t>0305618</t>
  </si>
  <si>
    <t>Abstandhülse  hinten Gummiseilumlenkung</t>
  </si>
  <si>
    <t>0305619</t>
  </si>
  <si>
    <t>Lagerbolzen 4 Gummiseilumlenkung OS</t>
  </si>
  <si>
    <t>0305620</t>
  </si>
  <si>
    <t>Seilanbindungswinkel 2 an Hangrolle link</t>
  </si>
  <si>
    <t>0305701</t>
  </si>
  <si>
    <t>Seilanbindungswinkel an Hangrolle links</t>
  </si>
  <si>
    <t>0305702</t>
  </si>
  <si>
    <t>Seilanbindungswinkel an Hangrolle rechts</t>
  </si>
  <si>
    <t>0305703</t>
  </si>
  <si>
    <t>Bürste für Hangrolle OS - horizontal</t>
  </si>
  <si>
    <t>0305705</t>
  </si>
  <si>
    <t>Fl 30x5x55 OS/RGT</t>
  </si>
  <si>
    <t>0305706</t>
  </si>
  <si>
    <t>Schieberführollbefestung mit Auflaufprof</t>
  </si>
  <si>
    <t>0305707</t>
  </si>
  <si>
    <t>Kantung Schieberführung OS-h</t>
  </si>
  <si>
    <t>0305708</t>
  </si>
  <si>
    <t>Rohr 20x2x20 für Schieberführung OS hor</t>
  </si>
  <si>
    <t>0305709</t>
  </si>
  <si>
    <t>Führungsrollenhalter OS horizontal</t>
  </si>
  <si>
    <t>0305710</t>
  </si>
  <si>
    <t>Montagesicherung, kpl OS - vertikal</t>
  </si>
  <si>
    <t>0305711</t>
  </si>
  <si>
    <t>Flachstahl (Loch) Montagesicherung OS</t>
  </si>
  <si>
    <t>0305712</t>
  </si>
  <si>
    <t>Flachstahl (Gew.) Montagesicherung OS</t>
  </si>
  <si>
    <t>0305715</t>
  </si>
  <si>
    <t>Gewichtsverkleidung für OS horizontal</t>
  </si>
  <si>
    <t>0305716</t>
  </si>
  <si>
    <t>Enddeckel für Gewichtskasten rechts</t>
  </si>
  <si>
    <t>0305717</t>
  </si>
  <si>
    <t>Enddeckel für Gewichtskasten links</t>
  </si>
  <si>
    <t>0305718</t>
  </si>
  <si>
    <t>Gewichtsverkleidung VerfahrOS horizontal</t>
  </si>
  <si>
    <t>0305719</t>
  </si>
  <si>
    <t>Gewichtsverkleidung Motorseite OS hori</t>
  </si>
  <si>
    <t>0305720</t>
  </si>
  <si>
    <t>0305721</t>
  </si>
  <si>
    <t>Enddeckel für Gewichtskasten Motorseite</t>
  </si>
  <si>
    <t>0305722</t>
  </si>
  <si>
    <t>Enddeckel Gewichtsverkl. gr. Gew</t>
  </si>
  <si>
    <t>0305723</t>
  </si>
  <si>
    <t>Os Schieberführungsrolle Konsole</t>
  </si>
  <si>
    <t>0305724</t>
  </si>
  <si>
    <t>0306000</t>
  </si>
  <si>
    <t>ECClos-S Festfeldkonsole 300 mm</t>
  </si>
  <si>
    <t>0306001</t>
  </si>
  <si>
    <t>ECClos-S Festfeldkonsole 500 mm</t>
  </si>
  <si>
    <t>0306002</t>
  </si>
  <si>
    <t>ECClos-S Festfeldbefestigungswinkel</t>
  </si>
  <si>
    <t>0306003</t>
  </si>
  <si>
    <t>ECClos-S Schieberführungsrolle Konsole</t>
  </si>
  <si>
    <t>0306004</t>
  </si>
  <si>
    <t>0306005</t>
  </si>
  <si>
    <t>ECClos-S vertikal Schieberführung</t>
  </si>
  <si>
    <t>0306006</t>
  </si>
  <si>
    <t>ECClos-S vertikal Halter Schieberführung</t>
  </si>
  <si>
    <t>0306007</t>
  </si>
  <si>
    <t>ECClos-S Konsole Schieberführungsrolle</t>
  </si>
  <si>
    <t>0306008</t>
  </si>
  <si>
    <t>ECClos-S horizontal Festfeldkonsole                   1</t>
  </si>
  <si>
    <t>0306009</t>
  </si>
  <si>
    <t>ECClos-S Verkrallungsmutter SW27x22,5</t>
  </si>
  <si>
    <t>0306011</t>
  </si>
  <si>
    <t>ECClos-S Schieberrahmen Verkrallung</t>
  </si>
  <si>
    <t>0306012</t>
  </si>
  <si>
    <t>0306013</t>
  </si>
  <si>
    <t>ECClos-S Schieberrahmen Verkrallungsbl.</t>
  </si>
  <si>
    <t>0306014</t>
  </si>
  <si>
    <t>ECClos-S Schieberrahmen Führungsspange</t>
  </si>
  <si>
    <t>0306015</t>
  </si>
  <si>
    <t>ECClos-S  vertikal Gleitstück 1 für</t>
  </si>
  <si>
    <t>0306016</t>
  </si>
  <si>
    <t>ECClos-S  vertikal Gleitstück 2 für</t>
  </si>
  <si>
    <t>0306017</t>
  </si>
  <si>
    <t>ECClos-S  vertikal Gleitstück 3 für</t>
  </si>
  <si>
    <t>0306018</t>
  </si>
  <si>
    <t>ECClos-S vertikal Gurtanbindung 74mm</t>
  </si>
  <si>
    <t>0306019</t>
  </si>
  <si>
    <t>0306020</t>
  </si>
  <si>
    <t>ECClos-S  Elementbefestigungswinkel 702</t>
  </si>
  <si>
    <t>0306021</t>
  </si>
  <si>
    <t>ECClos-S  Elementbefestigungswinkel 952</t>
  </si>
  <si>
    <t>0306022</t>
  </si>
  <si>
    <t>ECClos-S  Elementbefestigungswinkel oben</t>
  </si>
  <si>
    <t>0306023</t>
  </si>
  <si>
    <t>ECClos-S  Elementbefestigungswinkel</t>
  </si>
  <si>
    <t>0306024</t>
  </si>
  <si>
    <t>0306025</t>
  </si>
  <si>
    <t>0306026</t>
  </si>
  <si>
    <t>ECClos-S Elementbefestigungswinkel</t>
  </si>
  <si>
    <t>0306027</t>
  </si>
  <si>
    <t>ECClos-S  Elementschale 1002 mm</t>
  </si>
  <si>
    <t>0306028</t>
  </si>
  <si>
    <t>ECClos-S  Elementschale 752 mm</t>
  </si>
  <si>
    <t>0306029</t>
  </si>
  <si>
    <t>ECClos-S  Elementschale</t>
  </si>
  <si>
    <t>0306030</t>
  </si>
  <si>
    <t>ECClos-S  vertikal Schieberrahmen</t>
  </si>
  <si>
    <t>0306031</t>
  </si>
  <si>
    <t>0306032</t>
  </si>
  <si>
    <t>0306033</t>
  </si>
  <si>
    <t>0306034</t>
  </si>
  <si>
    <t>0306035</t>
  </si>
  <si>
    <t>0306036</t>
  </si>
  <si>
    <t>0306037</t>
  </si>
  <si>
    <t>0306038</t>
  </si>
  <si>
    <t>0306039</t>
  </si>
  <si>
    <t>0306040</t>
  </si>
  <si>
    <t>0306041</t>
  </si>
  <si>
    <t>0306042</t>
  </si>
  <si>
    <t>ECClos-S  vertikal Gurtanbindung</t>
  </si>
  <si>
    <t>0306043</t>
  </si>
  <si>
    <t>0306044</t>
  </si>
  <si>
    <t>0306045</t>
  </si>
  <si>
    <t>0306046</t>
  </si>
  <si>
    <t>ECClos-S  vertikal Unterleger Gurtklemme</t>
  </si>
  <si>
    <t>0306047</t>
  </si>
  <si>
    <t>ECClos-S vertikal Schieberrahmen</t>
  </si>
  <si>
    <t>0306048</t>
  </si>
  <si>
    <t>0306049</t>
  </si>
  <si>
    <t>ECClos-S vertikal Bolzenfixierungsblech</t>
  </si>
  <si>
    <t>0306050</t>
  </si>
  <si>
    <t>ECClos-S vertikal Gurtanbindungsblech</t>
  </si>
  <si>
    <t>0306051</t>
  </si>
  <si>
    <t>0306052</t>
  </si>
  <si>
    <t>0306053</t>
  </si>
  <si>
    <t>ECClos-S horizontal Verkrallung</t>
  </si>
  <si>
    <t>0306054</t>
  </si>
  <si>
    <t>0306055</t>
  </si>
  <si>
    <t>0306057</t>
  </si>
  <si>
    <t>ECClos-S horizontal Schieberrahmen</t>
  </si>
  <si>
    <t>0306058</t>
  </si>
  <si>
    <t>Schieberrahmen Schließseite oben</t>
  </si>
  <si>
    <t>0306059</t>
  </si>
  <si>
    <t>0306060</t>
  </si>
  <si>
    <t>Schieberrahmen Schließseite Zwischen-</t>
  </si>
  <si>
    <t>0306061</t>
  </si>
  <si>
    <t>Schieberrahmen Schließseite unten</t>
  </si>
  <si>
    <t>0306063</t>
  </si>
  <si>
    <t>0306064</t>
  </si>
  <si>
    <t>Schieberrahmen Öffnungsseite</t>
  </si>
  <si>
    <t>0306065</t>
  </si>
  <si>
    <t>0306066</t>
  </si>
  <si>
    <t>0306067</t>
  </si>
  <si>
    <t>Schieberrahmen Öffnungsseite unten</t>
  </si>
  <si>
    <t>0306068</t>
  </si>
  <si>
    <t>ECClos-S horizontal Schieberrahmen oben</t>
  </si>
  <si>
    <t>0306069</t>
  </si>
  <si>
    <t>0306070</t>
  </si>
  <si>
    <t>Schieberrahmen oben Zwischenprofil</t>
  </si>
  <si>
    <t>0306071</t>
  </si>
  <si>
    <t>0306072</t>
  </si>
  <si>
    <t>0306073</t>
  </si>
  <si>
    <t>0306074</t>
  </si>
  <si>
    <t>0306075</t>
  </si>
  <si>
    <t>ECClos-S horizontal Zwischenleger</t>
  </si>
  <si>
    <t>0306076</t>
  </si>
  <si>
    <t>0306077</t>
  </si>
  <si>
    <t>ECClos-S horizontal</t>
  </si>
  <si>
    <t>0306078</t>
  </si>
  <si>
    <t>ECClos-S horizontal Laufschienenwinkel</t>
  </si>
  <si>
    <t>0306079</t>
  </si>
  <si>
    <t>0306080</t>
  </si>
  <si>
    <t>ECClos-S horizontal Laufschienen-</t>
  </si>
  <si>
    <t>0306081</t>
  </si>
  <si>
    <t>0306082</t>
  </si>
  <si>
    <t>0306083</t>
  </si>
  <si>
    <t>0306084</t>
  </si>
  <si>
    <t>0306085</t>
  </si>
  <si>
    <t>ECClos-S horizontal Doppellaufwerk-</t>
  </si>
  <si>
    <t>0306086</t>
  </si>
  <si>
    <t>0306087</t>
  </si>
  <si>
    <t>0306088</t>
  </si>
  <si>
    <t>ECClos-S horizontal Doppellaufwerk</t>
  </si>
  <si>
    <t>0306089</t>
  </si>
  <si>
    <t>ECClos-S horizontal Doppellaufwerk                    4</t>
  </si>
  <si>
    <t>0306090</t>
  </si>
  <si>
    <t>0306091</t>
  </si>
  <si>
    <t>ECClos-S horizontal Hangrollenanbindung</t>
  </si>
  <si>
    <t>0306092</t>
  </si>
  <si>
    <t>0306094</t>
  </si>
  <si>
    <t>ECClos-S Horizontal Einlaufprofil</t>
  </si>
  <si>
    <t>0306095</t>
  </si>
  <si>
    <t>Schieberrahmen oben Eckprofil rechts</t>
  </si>
  <si>
    <t>0306096</t>
  </si>
  <si>
    <t>0306097</t>
  </si>
  <si>
    <t>Gewichtsverkleidung ECClos-S horizontal</t>
  </si>
  <si>
    <t>0306098</t>
  </si>
  <si>
    <t>ECClos-S Endschalterbefestigungsplatte</t>
  </si>
  <si>
    <t>0306099</t>
  </si>
  <si>
    <t>ECClos-S  Elementhebewinkel</t>
  </si>
  <si>
    <t>0306100</t>
  </si>
  <si>
    <t>ECClos-S Antriebsadapter Motorseite 0,75              2</t>
  </si>
  <si>
    <t>0306101</t>
  </si>
  <si>
    <t>Antriebswellenadapter Lagerseite</t>
  </si>
  <si>
    <t>0306102</t>
  </si>
  <si>
    <t>Lagerwellenaufnahme Gurtantrieb 0,75 kW</t>
  </si>
  <si>
    <t>0306103</t>
  </si>
  <si>
    <t>ECClos-S vertikal Scheibe Gurtklemme</t>
  </si>
  <si>
    <t>0306104</t>
  </si>
  <si>
    <t>Gurtscheibe für ECClos-S vertikal</t>
  </si>
  <si>
    <t>0306105</t>
  </si>
  <si>
    <t>Bordscheibe für ECClos-S</t>
  </si>
  <si>
    <t>Gurtklemme Gurtantrieb ECClos-S vertikal</t>
  </si>
  <si>
    <t>0306107</t>
  </si>
  <si>
    <t>ECClos-S vert.Motorkon Antrieb 0,75kW</t>
  </si>
  <si>
    <t>0306108</t>
  </si>
  <si>
    <t>ECClos-S vert.Lagerkon Antrieb 0,75kW</t>
  </si>
  <si>
    <t>0306109</t>
  </si>
  <si>
    <t>Antriebswellenadapter Motorseite                      2</t>
  </si>
  <si>
    <t>0306110</t>
  </si>
  <si>
    <t>ECClos-S vertikal Scheibe Gurtklem4Gurte</t>
  </si>
  <si>
    <t>0306111</t>
  </si>
  <si>
    <t>ECClos-S vertikal Lagerblech 1,5 kW</t>
  </si>
  <si>
    <t>0306112</t>
  </si>
  <si>
    <t>ECClos-S vertikal Lagerklemmblech 1,5 kW</t>
  </si>
  <si>
    <t>0306113</t>
  </si>
  <si>
    <t>ECClos-S vert.Lagerkon Gewinde 1,5kW</t>
  </si>
  <si>
    <t>0306114</t>
  </si>
  <si>
    <t>ECClos-S vertikal Antrieb Löcher 1,5kW</t>
  </si>
  <si>
    <t>0306115</t>
  </si>
  <si>
    <t>ECClos-S vert.Motorkon G132F 4Gurte Löch</t>
  </si>
  <si>
    <t>0306116</t>
  </si>
  <si>
    <t>ECClos-S vert.Motorkon G132F 4Gurte Gewi</t>
  </si>
  <si>
    <t>0306117</t>
  </si>
  <si>
    <t>ECClos-S vertikal  Gurtklemme</t>
  </si>
  <si>
    <t>0306118</t>
  </si>
  <si>
    <t>Gurtscheibe komplett für ECClos-S vertik</t>
  </si>
  <si>
    <t>0306119</t>
  </si>
  <si>
    <t>ECClos-S vertikal Gurtantrieb 1,5 KW                  2</t>
  </si>
  <si>
    <t>0306120</t>
  </si>
  <si>
    <t>ECClos-S vertikal Gurtantrieb 1,5 KW                  6</t>
  </si>
  <si>
    <t>0306121</t>
  </si>
  <si>
    <t>ECClos-S vertikal Motorkonsole FGA 1353</t>
  </si>
  <si>
    <t>0306122</t>
  </si>
  <si>
    <t>ECClos-S vertikal 74 mm Gurt</t>
  </si>
  <si>
    <t>0306123</t>
  </si>
  <si>
    <t>ECClos-S vertikal 74mm Gurteinleger</t>
  </si>
  <si>
    <t>0306124</t>
  </si>
  <si>
    <t>0306125</t>
  </si>
  <si>
    <t>ECClos-S vertikal 74mm Gurtanbindungs-</t>
  </si>
  <si>
    <t>0306126</t>
  </si>
  <si>
    <t>ECClos-S vertikal 35mm Gurt</t>
  </si>
  <si>
    <t>0306128</t>
  </si>
  <si>
    <t>0306129</t>
  </si>
  <si>
    <t>0306130</t>
  </si>
  <si>
    <t>0306131</t>
  </si>
  <si>
    <t>ECClos-S vertikal Endschalterkantung</t>
  </si>
  <si>
    <t>0306132</t>
  </si>
  <si>
    <t>ECClos-S Sicherheitskontaktleiste</t>
  </si>
  <si>
    <t>0306133</t>
  </si>
  <si>
    <t>0306135</t>
  </si>
  <si>
    <t>ECClos-S Elementbefestigungswinkel 452</t>
  </si>
  <si>
    <t>0306136</t>
  </si>
  <si>
    <t>ECClos-S Elementschale 502 mm</t>
  </si>
  <si>
    <t>0306137</t>
  </si>
  <si>
    <t>ECClos-S horizontal 2-flüglig Einfahr-</t>
  </si>
  <si>
    <t>0306138</t>
  </si>
  <si>
    <t>Blendenauflage Kettenumlenkungsprofil</t>
  </si>
  <si>
    <t>0306139</t>
  </si>
  <si>
    <t>Endanschlag  Kettenumlenkungsprofil</t>
  </si>
  <si>
    <t>0306140</t>
  </si>
  <si>
    <t>Endblech links Kettenumlenkungsprofil</t>
  </si>
  <si>
    <t>0306141</t>
  </si>
  <si>
    <t>Endblech rechts Kettenumlenkungsprofil</t>
  </si>
  <si>
    <t>0306142</t>
  </si>
  <si>
    <t>ECClos-S vertikal manuell</t>
  </si>
  <si>
    <t>0306143</t>
  </si>
  <si>
    <t>0306144</t>
  </si>
  <si>
    <t>0306145</t>
  </si>
  <si>
    <t>0306146</t>
  </si>
  <si>
    <t>0306147</t>
  </si>
  <si>
    <t>0306148</t>
  </si>
  <si>
    <t>ECClos-S Führungs/Befestigungsprofil</t>
  </si>
  <si>
    <t>0306149</t>
  </si>
  <si>
    <t>0306150</t>
  </si>
  <si>
    <t>Promatect H-20 Streifen 2500 x 100 mm</t>
  </si>
  <si>
    <t>0306151</t>
  </si>
  <si>
    <t>Promatect H-20 Streifen 2500 x 110 mm</t>
  </si>
  <si>
    <t>0306152</t>
  </si>
  <si>
    <t>Promatect H-20 Streifen 2500 x 137 mm</t>
  </si>
  <si>
    <t>0306153</t>
  </si>
  <si>
    <t>Promatect H-20 Streifen 2500 x 157 mm</t>
  </si>
  <si>
    <t>0306154</t>
  </si>
  <si>
    <t>Promatect H-20 Streifen 2500 x 187 mm</t>
  </si>
  <si>
    <t>0306155</t>
  </si>
  <si>
    <t>Promatect H-20 Streifen 2500 x 142 mm</t>
  </si>
  <si>
    <t>0306156</t>
  </si>
  <si>
    <t>Promatect H-20 Streifen 2500 x 123 mm</t>
  </si>
  <si>
    <t>0306157</t>
  </si>
  <si>
    <t>Gipskarton 12,5  Streifen 2500 x 160 mm</t>
  </si>
  <si>
    <t>0306158</t>
  </si>
  <si>
    <t>Fireboardstreifen 2000 x 48</t>
  </si>
  <si>
    <t>0306159</t>
  </si>
  <si>
    <t>0306160</t>
  </si>
  <si>
    <t>Fireflystreifen 2100 x 40 mm</t>
  </si>
  <si>
    <t>0306161</t>
  </si>
  <si>
    <t>Fireflystreifen 2100 x  110 mm</t>
  </si>
  <si>
    <t>0306162</t>
  </si>
  <si>
    <t>Fireflystreifen 2100 x 137 mm</t>
  </si>
  <si>
    <t>0306163</t>
  </si>
  <si>
    <t>Fireflystreifen 2100 x 157 mm</t>
  </si>
  <si>
    <t>0306164</t>
  </si>
  <si>
    <t>Fireflystreifen 2100 x 187 mm</t>
  </si>
  <si>
    <t>0306165</t>
  </si>
  <si>
    <t>0306166</t>
  </si>
  <si>
    <t>Promasealstreifen 2150 x 22 mm</t>
  </si>
  <si>
    <t>0306167</t>
  </si>
  <si>
    <t>ECClos-S horizontal Montagehilfe</t>
  </si>
  <si>
    <t>0306168</t>
  </si>
  <si>
    <t>ECClos-S vertikal Gurtspanner</t>
  </si>
  <si>
    <t>0306169</t>
  </si>
  <si>
    <t>ECClos-S vertikal Winkel für Montage-</t>
  </si>
  <si>
    <t>0306170</t>
  </si>
  <si>
    <t>ECClos-S vertikal Montagesicherung                    2</t>
  </si>
  <si>
    <t>0306173</t>
  </si>
  <si>
    <t>Fireflystreifen 2100 x 123 mm</t>
  </si>
  <si>
    <t>0306174</t>
  </si>
  <si>
    <t>0306175</t>
  </si>
  <si>
    <t>0306176</t>
  </si>
  <si>
    <t>Promasealstreifen 2150 x 40 mm</t>
  </si>
  <si>
    <t>0306177</t>
  </si>
  <si>
    <t>Promasealstreifen 2150 x 60 mm</t>
  </si>
  <si>
    <t>0306178</t>
  </si>
  <si>
    <t>Promasealstreifen 2150 x 123 mm                       1</t>
  </si>
  <si>
    <t>0306179</t>
  </si>
  <si>
    <t>0306180</t>
  </si>
  <si>
    <t>ECClos-S Wolle-Gips-Elementblock 500 mm               1</t>
  </si>
  <si>
    <t>0306181</t>
  </si>
  <si>
    <t>ECClos-S Wolle-Gips-Elementblock 750 mm</t>
  </si>
  <si>
    <t>0306182</t>
  </si>
  <si>
    <t>ECClos-S Wolle-Gips-Elementblock 1000 mm</t>
  </si>
  <si>
    <t>0306183</t>
  </si>
  <si>
    <t>ECClos-S horizontal Verkrallung Eck-</t>
  </si>
  <si>
    <t>0306184</t>
  </si>
  <si>
    <t>0306185</t>
  </si>
  <si>
    <t>Versteifung Gurtanbindung 74mm Gurt                   3</t>
  </si>
  <si>
    <t>0306186</t>
  </si>
  <si>
    <t>Versteifung Gurtanbindung 74mm Gurt</t>
  </si>
  <si>
    <t>0306187</t>
  </si>
  <si>
    <t>ECClos-S vertikal Gurtanbindung 35mm</t>
  </si>
  <si>
    <t>0306188</t>
  </si>
  <si>
    <t>0306189</t>
  </si>
  <si>
    <t>ECClos-S vertikal Gleitstück Schieber-</t>
  </si>
  <si>
    <t>0306190</t>
  </si>
  <si>
    <t>Antriebssystem EB 71 rechts                          28</t>
  </si>
  <si>
    <t>0306191</t>
  </si>
  <si>
    <t>Antriebssystem EB 72 rechts                          42</t>
  </si>
  <si>
    <t>0306192</t>
  </si>
  <si>
    <t>Antriebssystem EB 73 rechts                          70</t>
  </si>
  <si>
    <t>0306193</t>
  </si>
  <si>
    <t>Antriebssystem EB 72 WS rechts                       42</t>
  </si>
  <si>
    <t>0306194</t>
  </si>
  <si>
    <t>Antriebssystem EB 73 WS rechts                       74</t>
  </si>
  <si>
    <t>0306196</t>
  </si>
  <si>
    <t>Antriebssystem EB 91                                 19</t>
  </si>
  <si>
    <t>0306197</t>
  </si>
  <si>
    <t>Antriebssystem EB 91  Konsole                        51</t>
  </si>
  <si>
    <t>0306198</t>
  </si>
  <si>
    <t>Antriebssystem EB 92                                 45</t>
  </si>
  <si>
    <t>0306199</t>
  </si>
  <si>
    <t>Antriebssystem EB 92  Konsole                        52</t>
  </si>
  <si>
    <t>0306200</t>
  </si>
  <si>
    <t>Antriebssystem EB 92 + Wartungsschalter</t>
  </si>
  <si>
    <t>0306201</t>
  </si>
  <si>
    <t>Antriebssystem EB 92 WS Konsole</t>
  </si>
  <si>
    <t>0306202</t>
  </si>
  <si>
    <t>Motorkonsole FGA 1353 linke Hälfte</t>
  </si>
  <si>
    <t>0306203</t>
  </si>
  <si>
    <t>Motorkonsole FGA 1353 rechte Hälfte</t>
  </si>
  <si>
    <t>0306204</t>
  </si>
  <si>
    <t>Aufnahme Strukturdämpfer links                        3</t>
  </si>
  <si>
    <t>0306205</t>
  </si>
  <si>
    <t>Aufnahme Strukturdämpfer rechts                       4</t>
  </si>
  <si>
    <t>0306206</t>
  </si>
  <si>
    <t>ECClos-S vertikal Antriebswellenab-</t>
  </si>
  <si>
    <t>0306207</t>
  </si>
  <si>
    <t>ECClos-S vertikal Antriebswellenab-                   2</t>
  </si>
  <si>
    <t>0306208</t>
  </si>
  <si>
    <t>Antriebssystem EB 73S                                87</t>
  </si>
  <si>
    <t>0306209</t>
  </si>
  <si>
    <t>Antriebssystem EB 73S + Wartungsschalter</t>
  </si>
  <si>
    <t>0306210</t>
  </si>
  <si>
    <t>ECClos-Q Klappenrahmen oben</t>
  </si>
  <si>
    <t>0306211</t>
  </si>
  <si>
    <t>0306212</t>
  </si>
  <si>
    <t>0306213</t>
  </si>
  <si>
    <t>0306214</t>
  </si>
  <si>
    <t>ECClos-Q Klappenrahmen Komplettprofil</t>
  </si>
  <si>
    <t>0306215</t>
  </si>
  <si>
    <t>0306216</t>
  </si>
  <si>
    <t>ECClos-Q Klappenrahmen seitlich oben</t>
  </si>
  <si>
    <t>0306217</t>
  </si>
  <si>
    <t>0306218</t>
  </si>
  <si>
    <t>ECClos-Q Klappenrahmen seitlich unten</t>
  </si>
  <si>
    <t>0306219</t>
  </si>
  <si>
    <t>ECClos-Q Klappenrahmen seitlich unten                 1</t>
  </si>
  <si>
    <t>0306220</t>
  </si>
  <si>
    <t>ECClos-Q Klappenrahmen seitlich</t>
  </si>
  <si>
    <t>0306221</t>
  </si>
  <si>
    <t>ECClos-Q Elementbefestigungswinkel</t>
  </si>
  <si>
    <t>0306222</t>
  </si>
  <si>
    <t>0306223</t>
  </si>
  <si>
    <t>0306224</t>
  </si>
  <si>
    <t>0306225</t>
  </si>
  <si>
    <t>ECClos-S  vert Elementbefestigungswinkel</t>
  </si>
  <si>
    <t>0306226</t>
  </si>
  <si>
    <t>ECClos-S horizontal Halter Schieberführo</t>
  </si>
  <si>
    <t>0306228</t>
  </si>
  <si>
    <t>0306229</t>
  </si>
  <si>
    <t>0306230</t>
  </si>
  <si>
    <t>ECClos-Q Klappenrahmen Verriegelungs-</t>
  </si>
  <si>
    <t>0306231</t>
  </si>
  <si>
    <t>0306232</t>
  </si>
  <si>
    <t>ECClos-Q Schieberrahmen Verriegelungs-</t>
  </si>
  <si>
    <t>0306233</t>
  </si>
  <si>
    <t>ECClos-Q Schieberrahmen Verriegelungs-                1</t>
  </si>
  <si>
    <t>0306234</t>
  </si>
  <si>
    <t>0306235</t>
  </si>
  <si>
    <t>Verriegelungswelle ECClos-Q</t>
  </si>
  <si>
    <t>0306236</t>
  </si>
  <si>
    <t>0306237</t>
  </si>
  <si>
    <t>ECClos-Q Konstruktionsband                            2</t>
  </si>
  <si>
    <t>0306239</t>
  </si>
  <si>
    <t>Promasealstreifen 2150 x 137 mm</t>
  </si>
  <si>
    <t>0306240</t>
  </si>
  <si>
    <t>Promasealstreifen 2150 x 187 mm                       1</t>
  </si>
  <si>
    <t>0306241</t>
  </si>
  <si>
    <t>ECClos-Q Grundplatte Gutumlenkung                     1</t>
  </si>
  <si>
    <t>0306242</t>
  </si>
  <si>
    <t>Baugruppe Gurtumlenkung ECClos-Q                      3</t>
  </si>
  <si>
    <t>0306243</t>
  </si>
  <si>
    <t>Gipskarton 12,5  Streifen 2500 x 66 mm</t>
  </si>
  <si>
    <t>0306244</t>
  </si>
  <si>
    <t>Gipskarton 12,5  Streifen 2500 x 76 mm</t>
  </si>
  <si>
    <t>0306245</t>
  </si>
  <si>
    <t>ECClos-S horizontal Baugruppe Hebehilfe</t>
  </si>
  <si>
    <t>0306246</t>
  </si>
  <si>
    <t>Laufschienenwinkel für ECClos-S horizont</t>
  </si>
  <si>
    <t>0306250</t>
  </si>
  <si>
    <t>ECClos-Q Antriebsgehäuse Unterteil                    1</t>
  </si>
  <si>
    <t>0306251</t>
  </si>
  <si>
    <t>ECClos-Q Antriebsgehäuse Oberteil</t>
  </si>
  <si>
    <t>0306252</t>
  </si>
  <si>
    <t>ECClos-Q Antriebsgehäuse Enddeckel</t>
  </si>
  <si>
    <t>0306253</t>
  </si>
  <si>
    <t>ECClos-Q Antrieb Ausleger Aussenteil</t>
  </si>
  <si>
    <t>0306254</t>
  </si>
  <si>
    <t>ECClos-Q Antrieb Ausleger Innenteil</t>
  </si>
  <si>
    <t>0306255</t>
  </si>
  <si>
    <t>ECClos-Q Antrieb Auslegerkonsole links</t>
  </si>
  <si>
    <t>0                  4</t>
  </si>
  <si>
    <t>ECClos-Q Antriebsgehäuse Unterteil</t>
  </si>
  <si>
    <t>1                  4</t>
  </si>
  <si>
    <t>0306256</t>
  </si>
  <si>
    <t>ECClos-Q Antrieb Auslegerkonsole rechts</t>
  </si>
  <si>
    <t>0306257</t>
  </si>
  <si>
    <t>Antriebswelle ECClos-Q 180 W Motor                    2</t>
  </si>
  <si>
    <t>0306258</t>
  </si>
  <si>
    <t>Antriebswelle ECClos-Q 750 W Motor                    2</t>
  </si>
  <si>
    <t>0306259</t>
  </si>
  <si>
    <t>ECClos-Q Antriebsausleger Verbindungs-</t>
  </si>
  <si>
    <t>0306260</t>
  </si>
  <si>
    <t>Befestigungswinkel für Endschalter</t>
  </si>
  <si>
    <t>0306261</t>
  </si>
  <si>
    <t>ECClos-Q Zusatzgewicht Verriegelungsrohr</t>
  </si>
  <si>
    <t>0306269</t>
  </si>
  <si>
    <t>Hutkantung für Servotronic Verriegelung</t>
  </si>
  <si>
    <t>0306270</t>
  </si>
  <si>
    <t>ECClos-S vertikal Gurtanbindung 35 mm</t>
  </si>
  <si>
    <t>0306271</t>
  </si>
  <si>
    <t>ECClos-S vertikal Gurtanbindung 74 mm</t>
  </si>
  <si>
    <t>0306272</t>
  </si>
  <si>
    <t>ECClos-S vertikal Gurtanbindung                       1</t>
  </si>
  <si>
    <t>0306273</t>
  </si>
  <si>
    <t>ECClos-S vertikal Kettenanbindung 08B                 2</t>
  </si>
  <si>
    <t>0306274</t>
  </si>
  <si>
    <t>ECClos-S vertikal versetze Gurtanbindung</t>
  </si>
  <si>
    <t>0306275</t>
  </si>
  <si>
    <t>ECClos-S Antrieb Lagerkonsole bis 350 KG</t>
  </si>
  <si>
    <t>0306276</t>
  </si>
  <si>
    <t>ECClos-S Antrieb Lagerkonsole bis 700 KG</t>
  </si>
  <si>
    <t>0306278</t>
  </si>
  <si>
    <t>Baugruppe Endschalter geschlossen</t>
  </si>
  <si>
    <t>0306298</t>
  </si>
  <si>
    <t>0306299</t>
  </si>
  <si>
    <t>0306300</t>
  </si>
  <si>
    <t>ECClos-S horizontal Hangrollenanbindung               3</t>
  </si>
  <si>
    <t>0306301</t>
  </si>
  <si>
    <t>0306302</t>
  </si>
  <si>
    <t>ECClos-S horizontal Bausatz                           6</t>
  </si>
  <si>
    <t>0306303</t>
  </si>
  <si>
    <t>ECClos-S horizontal Bausatz                           7</t>
  </si>
  <si>
    <t>0306305</t>
  </si>
  <si>
    <t>Laufrollenaufnahme bodenlaufend</t>
  </si>
  <si>
    <t>0306306</t>
  </si>
  <si>
    <t>Rahmenprofil unten vorn ECClos-K hor.</t>
  </si>
  <si>
    <t>0306307</t>
  </si>
  <si>
    <t>Rahmenprofil unten hinten ECClos-K hor.</t>
  </si>
  <si>
    <t>0306308</t>
  </si>
  <si>
    <t>Verbindungsblech für 752mm Elemente bei</t>
  </si>
  <si>
    <t>0306309</t>
  </si>
  <si>
    <t>Verbindungsblech für 502mm Elemente bei</t>
  </si>
  <si>
    <t>0306310</t>
  </si>
  <si>
    <t>Verbindungsblech für Abschlußlemente bei</t>
  </si>
  <si>
    <t>0306311</t>
  </si>
  <si>
    <t>Hebehilfe bei Elementteilung</t>
  </si>
  <si>
    <t>0306312</t>
  </si>
  <si>
    <t>Aufrichthilfe innen</t>
  </si>
  <si>
    <t>0306313</t>
  </si>
  <si>
    <t>Aufrichthilfe außen</t>
  </si>
  <si>
    <t>0306316</t>
  </si>
  <si>
    <t>Flachstahl für mittlere Abhängung</t>
  </si>
  <si>
    <t>0306317</t>
  </si>
  <si>
    <t>Abhängung mitte Schieberbalken</t>
  </si>
  <si>
    <t>0306318</t>
  </si>
  <si>
    <t>0306319</t>
  </si>
  <si>
    <t>0306320</t>
  </si>
  <si>
    <t>0306321</t>
  </si>
  <si>
    <t>Abhängung Schieberbalken ECClos-S</t>
  </si>
  <si>
    <t>0306322</t>
  </si>
  <si>
    <t>Winkel für Gurtantrieb ECClos-S vertikal</t>
  </si>
  <si>
    <t>0306328</t>
  </si>
  <si>
    <t>Unterleger Antriebswellenadapter 2,0 mm</t>
  </si>
  <si>
    <t>0306329</t>
  </si>
  <si>
    <t>Unterleger Antriebswellenadapter 1,0 mm</t>
  </si>
  <si>
    <t>0306330</t>
  </si>
  <si>
    <t>Unterleger Antriebswellenadapter 0,75 mm</t>
  </si>
  <si>
    <t>0306331</t>
  </si>
  <si>
    <t>Antrieb EB 73 WS links                               84</t>
  </si>
  <si>
    <t>0306332</t>
  </si>
  <si>
    <t>Antriebssystem EB 72 WS links                        43</t>
  </si>
  <si>
    <t>0306333</t>
  </si>
  <si>
    <t>Antriebssystem  EB 73 links                          86</t>
  </si>
  <si>
    <t>0306334</t>
  </si>
  <si>
    <t>Antriebssystem EB 72 links                           42</t>
  </si>
  <si>
    <t>0306335</t>
  </si>
  <si>
    <t>Antriebssystem EB 71 links                           36</t>
  </si>
  <si>
    <t>0306336</t>
  </si>
  <si>
    <t>Antrieb EB 73 nach oben gedreht rechts</t>
  </si>
  <si>
    <t>0306337</t>
  </si>
  <si>
    <t>Antrieb EB 73 nach oben gedreht links                81</t>
  </si>
  <si>
    <t>0306338</t>
  </si>
  <si>
    <t>Antrieb EB 73 S links Klemmkasten vorne</t>
  </si>
  <si>
    <t>0306339</t>
  </si>
  <si>
    <t>Antrieb EB 73 S nach oben gedreht rechts</t>
  </si>
  <si>
    <t>0306340</t>
  </si>
  <si>
    <t>Antrieb EB 73 S nach oben gedreht links</t>
  </si>
  <si>
    <t>0306342</t>
  </si>
  <si>
    <t>Führugsrollenhalter r0 FPO Rolle</t>
  </si>
  <si>
    <t>0306343</t>
  </si>
  <si>
    <t>Führugsrolle Baugruppe r0 FPO Rolle</t>
  </si>
  <si>
    <t>0306344</t>
  </si>
  <si>
    <t>Führungsrollenhalter bodenschließend</t>
  </si>
  <si>
    <t>0306345</t>
  </si>
  <si>
    <t>0306346</t>
  </si>
  <si>
    <t>Schieberführungsrolle Konsole</t>
  </si>
  <si>
    <t>0306347</t>
  </si>
  <si>
    <t>0306348</t>
  </si>
  <si>
    <t>Schieberführungsrolle Baugruppe Konsole</t>
  </si>
  <si>
    <t>0306349</t>
  </si>
  <si>
    <t>0306350</t>
  </si>
  <si>
    <t>Führungsrollenhalter unten</t>
  </si>
  <si>
    <t>0306351</t>
  </si>
  <si>
    <t>Versteifungsblech Führungsrollenh. unten</t>
  </si>
  <si>
    <t>0306352</t>
  </si>
  <si>
    <t>Führungswinkel unten</t>
  </si>
  <si>
    <t>0306353</t>
  </si>
  <si>
    <t>ECClos-K horizontal Führungsrollen-</t>
  </si>
  <si>
    <t>0306354</t>
  </si>
  <si>
    <t>ECClos-K Versteifungsblech Führungs-</t>
  </si>
  <si>
    <t>0306355</t>
  </si>
  <si>
    <t>ECClos-K horizontal</t>
  </si>
  <si>
    <t>0306356</t>
  </si>
  <si>
    <t>ECClos-K Haltewinkel</t>
  </si>
  <si>
    <t>0306357</t>
  </si>
  <si>
    <t>0306359</t>
  </si>
  <si>
    <t>ECClos-K Schieberrahmen Öffnungsseite</t>
  </si>
  <si>
    <t>0306360</t>
  </si>
  <si>
    <t>0306361</t>
  </si>
  <si>
    <t>0306362</t>
  </si>
  <si>
    <t>0306363</t>
  </si>
  <si>
    <t>Teller Zwischenprofil vorn ECClos-K hor.</t>
  </si>
  <si>
    <t>0306364</t>
  </si>
  <si>
    <t>Teller Eckprofil vorn links</t>
  </si>
  <si>
    <t>0306365</t>
  </si>
  <si>
    <t>Teller Eckprofil vorn rechts</t>
  </si>
  <si>
    <t>0306366</t>
  </si>
  <si>
    <t>Teller Zwischeneprofil hinten</t>
  </si>
  <si>
    <t>0306367</t>
  </si>
  <si>
    <t>Teller Eckprofil hinten links</t>
  </si>
  <si>
    <t>0306368</t>
  </si>
  <si>
    <t>Teller Eckprofil hinten rechts</t>
  </si>
  <si>
    <t>0306372</t>
  </si>
  <si>
    <t>Laufwerkrevisionsblech Schieberrahmen</t>
  </si>
  <si>
    <t>0306373</t>
  </si>
  <si>
    <t>Laufwerkrevisionsblechunterleger</t>
  </si>
  <si>
    <t>0306374</t>
  </si>
  <si>
    <t>Doppellaufwerk links verstärkt                       13</t>
  </si>
  <si>
    <t>0306375</t>
  </si>
  <si>
    <t>Doppellaufwerk rechts verstärkt                      14</t>
  </si>
  <si>
    <t>0306376</t>
  </si>
  <si>
    <t>Versteifungsblech verstärkte Ausführung               1</t>
  </si>
  <si>
    <t>0306377</t>
  </si>
  <si>
    <t>0306378</t>
  </si>
  <si>
    <t>Doppellaufwerksanbindung Aussenteil                   2</t>
  </si>
  <si>
    <t>0306379</t>
  </si>
  <si>
    <t>0306380</t>
  </si>
  <si>
    <t>Doppellaufwerksanbindung Innenteil                    2</t>
  </si>
  <si>
    <t>0306381</t>
  </si>
  <si>
    <t>Doppellaufwerk verstäkt                               3</t>
  </si>
  <si>
    <t>Antriebssystem EB 61 Kühlbereivch</t>
  </si>
  <si>
    <t>0306388</t>
  </si>
  <si>
    <t>0306389</t>
  </si>
  <si>
    <t>0306390</t>
  </si>
  <si>
    <t>Haltekonsole Gurtumlenkung Flachstahl 1</t>
  </si>
  <si>
    <t>0306391</t>
  </si>
  <si>
    <t>Haltekonsole Gurtumlenkung Flachstahl 2</t>
  </si>
  <si>
    <t>Reparaturset für versiegelte intumes-</t>
  </si>
  <si>
    <t>0306393</t>
  </si>
  <si>
    <t>Anbindung Schieberbalken zu Schieber-</t>
  </si>
  <si>
    <t>0306394</t>
  </si>
  <si>
    <t>0306395</t>
  </si>
  <si>
    <t>Sicherheitsverriegelung ECClos-S</t>
  </si>
  <si>
    <t>0306396</t>
  </si>
  <si>
    <t>0306397</t>
  </si>
  <si>
    <t>0306398</t>
  </si>
  <si>
    <t>0306399</t>
  </si>
  <si>
    <t>Sicherheitsverriegelung links                        18</t>
  </si>
  <si>
    <t>0306400</t>
  </si>
  <si>
    <t>Sicherheitsverriegelung rechts                       17</t>
  </si>
  <si>
    <t>0306401</t>
  </si>
  <si>
    <t>0306402</t>
  </si>
  <si>
    <t>Wandwinkel Klemmdose Sicherheitskontakt-</t>
  </si>
  <si>
    <t>0306407</t>
  </si>
  <si>
    <t>Festfeldkonsole 300 mm ECClos-S</t>
  </si>
  <si>
    <t>0306408</t>
  </si>
  <si>
    <t>Festfeldkonsole 500 mm ECClos-S</t>
  </si>
  <si>
    <t>0306409</t>
  </si>
  <si>
    <t>ECClos-S Verbindungsblech Balken</t>
  </si>
  <si>
    <t>0306410</t>
  </si>
  <si>
    <t>ECClos-S Verbindungstück Balken</t>
  </si>
  <si>
    <t>0306411</t>
  </si>
  <si>
    <t>Doppellaufwerk Verstrebung Außenteil</t>
  </si>
  <si>
    <t>0306412</t>
  </si>
  <si>
    <t>Doppellaufwerk Verstrebung Innenteil</t>
  </si>
  <si>
    <t>0306413</t>
  </si>
  <si>
    <t>0306414</t>
  </si>
  <si>
    <t>0306415</t>
  </si>
  <si>
    <t>Doppellaufwerk Verstrebung Deckel</t>
  </si>
  <si>
    <t>0306425</t>
  </si>
  <si>
    <t>Zusatzführungsrollenhalter oben</t>
  </si>
  <si>
    <t>0306426</t>
  </si>
  <si>
    <t>Zusazuführungsrolle oben</t>
  </si>
  <si>
    <t>0306427</t>
  </si>
  <si>
    <t>Abdeckblech außen ECClos-K hor,</t>
  </si>
  <si>
    <t>0306428</t>
  </si>
  <si>
    <t>Abdeckblech Laufwerk ECClos-K hor,</t>
  </si>
  <si>
    <t>0306430</t>
  </si>
  <si>
    <t>Schieberführung unten vorn ECClos-K hor.</t>
  </si>
  <si>
    <t>0306432</t>
  </si>
  <si>
    <t>Abdeckeblech links ECClos-K Festfeld</t>
  </si>
  <si>
    <t>0306433</t>
  </si>
  <si>
    <t>Abdeckeblech rechts ECClos-K Festfeld</t>
  </si>
  <si>
    <t>0306434</t>
  </si>
  <si>
    <t>Abdeckeblech oben ECClos-K Festfeld</t>
  </si>
  <si>
    <t>0306457</t>
  </si>
  <si>
    <t>Versteifung nach links Führungsrolle</t>
  </si>
  <si>
    <t>0306458</t>
  </si>
  <si>
    <t>Versteifung nach rechts Führungsrolle</t>
  </si>
  <si>
    <t>0306460</t>
  </si>
  <si>
    <t>Bohrschablone Häkchen</t>
  </si>
  <si>
    <t>0306461</t>
  </si>
  <si>
    <t>Laufschienengrundlplatte 1 ECClos-K</t>
  </si>
  <si>
    <t>0306462</t>
  </si>
  <si>
    <t>Laufschienenhalter vorne</t>
  </si>
  <si>
    <t>0306463</t>
  </si>
  <si>
    <t>Verbindungsstück C-Profil 400 mm</t>
  </si>
  <si>
    <t>0306464</t>
  </si>
  <si>
    <t>0306465</t>
  </si>
  <si>
    <t>Unterleger Verbindungsstück C-Profil</t>
  </si>
  <si>
    <t>0306466</t>
  </si>
  <si>
    <t>C-Profil 400mm ECClos-K horizontal</t>
  </si>
  <si>
    <t>0306467</t>
  </si>
  <si>
    <t>Häckchen ECClos-K</t>
  </si>
  <si>
    <t>0306468</t>
  </si>
  <si>
    <t>Hebehilfe Elemente ECClos-K</t>
  </si>
  <si>
    <t>0306471</t>
  </si>
  <si>
    <t>Laufschienenhalter hinten</t>
  </si>
  <si>
    <t>0306472</t>
  </si>
  <si>
    <t>Verbinder Führungsprofil oben</t>
  </si>
  <si>
    <t>0306478</t>
  </si>
  <si>
    <t>Halter Gurtumlenkung Schließgewicht</t>
  </si>
  <si>
    <t>0306481</t>
  </si>
  <si>
    <t>Halter Gurtaufwicklung a=200mm</t>
  </si>
  <si>
    <t>0306489</t>
  </si>
  <si>
    <t>Konstruktionsband links ECClos-D</t>
  </si>
  <si>
    <t>0306490</t>
  </si>
  <si>
    <t>Konstruktionsband rechts ECClos-D</t>
  </si>
  <si>
    <t>0306491</t>
  </si>
  <si>
    <t>Baugruppe Endschalter geschlossen                     3</t>
  </si>
  <si>
    <t>0306492</t>
  </si>
  <si>
    <t>C-Profil 400mm mit Verbindunglöchern</t>
  </si>
  <si>
    <t>0306493</t>
  </si>
  <si>
    <t>Elementschale T-Förmig ECClos-Q</t>
  </si>
  <si>
    <t>0306494</t>
  </si>
  <si>
    <t>Baugruppe Gurtumlenkung ECClos 25mm</t>
  </si>
  <si>
    <t>0307000</t>
  </si>
  <si>
    <t>Oberstrebe Kanalbreite 300 Duoflap</t>
  </si>
  <si>
    <t>0307001</t>
  </si>
  <si>
    <t>Oberstrebe Kanalbreite 400 Duoflap</t>
  </si>
  <si>
    <t>0307002</t>
  </si>
  <si>
    <t>Oberstrebe Kanalbreite 500 Duoflap</t>
  </si>
  <si>
    <t>0307003</t>
  </si>
  <si>
    <t>Oberstrebe Kanalbreite 600 Duoflap</t>
  </si>
  <si>
    <t>0307004</t>
  </si>
  <si>
    <t>Oberstrebe Kanalbreite 700 Duoflap</t>
  </si>
  <si>
    <t>0307005</t>
  </si>
  <si>
    <t>Oberstrebe Kanalbreite 800 Duoflap</t>
  </si>
  <si>
    <t>0307006</t>
  </si>
  <si>
    <t>Oberstrebe Kanalbreite 900 Duoflap</t>
  </si>
  <si>
    <t>0307007</t>
  </si>
  <si>
    <t>Oberstrebe Kanalbreite 1000 Duoflap</t>
  </si>
  <si>
    <t>0307008</t>
  </si>
  <si>
    <t>Oberstrebe Kanalbreite 1100 Duoflap</t>
  </si>
  <si>
    <t>0307009</t>
  </si>
  <si>
    <t>Oberstrebe Kanalbreite 1200 Duoflap</t>
  </si>
  <si>
    <t>0307010</t>
  </si>
  <si>
    <t>Abdrückschlitten Kanalbreite 300 Duoflap</t>
  </si>
  <si>
    <t>0307011</t>
  </si>
  <si>
    <t>Abdrückschlitten Kanalbreite 400 Duoflap</t>
  </si>
  <si>
    <t>0307012</t>
  </si>
  <si>
    <t>Abdrückschlitten Kanalbreite 500 Duoflap</t>
  </si>
  <si>
    <t>0307013</t>
  </si>
  <si>
    <t>Abdrückschlitten Kanalbreite 600 Duoflap</t>
  </si>
  <si>
    <t>0307014</t>
  </si>
  <si>
    <t>Abdrückschlitten Kanalbreite 700 Duoflap</t>
  </si>
  <si>
    <t>0307015</t>
  </si>
  <si>
    <t>Abdrückschlitten Kanalbreite 800 Duoflap</t>
  </si>
  <si>
    <t>0307016</t>
  </si>
  <si>
    <t>Abdrückschlitten Kanalbreite 900 Duoflap</t>
  </si>
  <si>
    <t>0307017</t>
  </si>
  <si>
    <t>Abdrückschlitten Kanalbreite1000 Duoflap</t>
  </si>
  <si>
    <t>0307018</t>
  </si>
  <si>
    <t>Abdrückschlitten Kanalbreite1100 Duoflap</t>
  </si>
  <si>
    <t>0307019</t>
  </si>
  <si>
    <t>Abdrückschlitten Kanalbreite1200 Duoflap</t>
  </si>
  <si>
    <t>0307020</t>
  </si>
  <si>
    <t>Schlitten Kanalhöhe 200 Duoflap</t>
  </si>
  <si>
    <t>0307021</t>
  </si>
  <si>
    <t>Hebel 1 Kanalhöhe 200 Duoflap</t>
  </si>
  <si>
    <t>0307022</t>
  </si>
  <si>
    <t>Hebel 2 Kanalhöhe 200 Duoflap</t>
  </si>
  <si>
    <t>0307023</t>
  </si>
  <si>
    <t>C-Profil Kanalhöhe 200 Duoflap</t>
  </si>
  <si>
    <t>0307024</t>
  </si>
  <si>
    <t>Schlitten Kanalhöhe 250-300 Duoflap</t>
  </si>
  <si>
    <t>0307025</t>
  </si>
  <si>
    <t>Hebel 1 Kanalhöhe 250-300 Duoflap</t>
  </si>
  <si>
    <t>0307026</t>
  </si>
  <si>
    <t>Hebel 2 Kanalhöhe 250-300 Duoflap</t>
  </si>
  <si>
    <t>0307027</t>
  </si>
  <si>
    <t>C-Profil Kanalhöhe 300 Duoflap</t>
  </si>
  <si>
    <t>0307028</t>
  </si>
  <si>
    <t>Schlitten Kanalhöhe 350 Duoflap</t>
  </si>
  <si>
    <t>0307029</t>
  </si>
  <si>
    <t>Hebel 1 Kanalhöhe 350 Duoflap</t>
  </si>
  <si>
    <t>0307030</t>
  </si>
  <si>
    <t>Hebel 2 Kanalhöhe 350 Duoflap</t>
  </si>
  <si>
    <t>0307031</t>
  </si>
  <si>
    <t>C-Profil Kanalhöhe 350 Duoflap</t>
  </si>
  <si>
    <t>0307032</t>
  </si>
  <si>
    <t>Gurtsteller Hebelsystem Duoflap</t>
  </si>
  <si>
    <t>0307033</t>
  </si>
  <si>
    <t>Stanzscheibe für Vierkant 12x12 Duoflap</t>
  </si>
  <si>
    <t>0307034</t>
  </si>
  <si>
    <t>Gurtblech Hebelsystemwelle Duoflap</t>
  </si>
  <si>
    <t>0307035</t>
  </si>
  <si>
    <t>Vierkant 12x12 Hebelsystem Duoflap</t>
  </si>
  <si>
    <t>0307036</t>
  </si>
  <si>
    <t>Bolzen 8x115 Hebelsystem Duoflap</t>
  </si>
  <si>
    <t>0307037</t>
  </si>
  <si>
    <t>Bolzen 8x100 Hebelsystem Duoflap</t>
  </si>
  <si>
    <t>0307038</t>
  </si>
  <si>
    <t>Bolzen 8x95 Hebelsystem Duoflap</t>
  </si>
  <si>
    <t>0307039</t>
  </si>
  <si>
    <t>Bolzen 10x120 Hebelsystem Duoflap</t>
  </si>
  <si>
    <t>0307040</t>
  </si>
  <si>
    <t>Bolzen 10x85 Hebelsystem Duoflap</t>
  </si>
  <si>
    <t>0307041</t>
  </si>
  <si>
    <t>Hülse 12x100 Hebelsystem Duoflap</t>
  </si>
  <si>
    <t>0307042</t>
  </si>
  <si>
    <t>Hülse 12x58 Hebelsystem Duoflap</t>
  </si>
  <si>
    <t>0307043</t>
  </si>
  <si>
    <t>Schiene Kanalhöhe 200 Duoflap</t>
  </si>
  <si>
    <t>0307044</t>
  </si>
  <si>
    <t>Schiene Kanalhöhe 250 Duoflap</t>
  </si>
  <si>
    <t>0307045</t>
  </si>
  <si>
    <t>Schiene Kanalhöhe 300 Duoflap</t>
  </si>
  <si>
    <t>0307046</t>
  </si>
  <si>
    <t>Schiene Kanalhöhe 350 Duoflap</t>
  </si>
  <si>
    <t>0307047</t>
  </si>
  <si>
    <t>Verstrebung Kanalhöhe 200 Duoflap</t>
  </si>
  <si>
    <t>0307048</t>
  </si>
  <si>
    <t>Verstrebung Kanalhöhe 250-300 Duoflap</t>
  </si>
  <si>
    <t>0307049</t>
  </si>
  <si>
    <t>Verstrebung Kanalhöhe 350 Duoflap</t>
  </si>
  <si>
    <t>0307050</t>
  </si>
  <si>
    <t>Promatwinkel Klappe rechts Kanalhöhe 200</t>
  </si>
  <si>
    <t>0307051</t>
  </si>
  <si>
    <t>Promatwinkel Klappe links Kanalhöhe 200</t>
  </si>
  <si>
    <t>0307052</t>
  </si>
  <si>
    <t>Promatwinkel Klappe rechtsKanalhö250-350</t>
  </si>
  <si>
    <t>0307053</t>
  </si>
  <si>
    <t>Promatwinkel Klappe linksKanalhö250-350</t>
  </si>
  <si>
    <t>0307054</t>
  </si>
  <si>
    <t>Promatwinkel Klappe rechts Kanalhöhe 350</t>
  </si>
  <si>
    <t>0307055</t>
  </si>
  <si>
    <t>Promatwinkel Klappe links Kanalhöhe 350</t>
  </si>
  <si>
    <t>0307056</t>
  </si>
  <si>
    <t>Endschalterblech Duoflap</t>
  </si>
  <si>
    <t>0307057</t>
  </si>
  <si>
    <t>Z-Kantung für Zusatzlagerung Welle DF</t>
  </si>
  <si>
    <t>0307060</t>
  </si>
  <si>
    <t>Oberes Hebelsystem Kanalhöhe 200                      6</t>
  </si>
  <si>
    <t>0307061</t>
  </si>
  <si>
    <t>Hebelsystem Kanalhöhe 200                             6</t>
  </si>
  <si>
    <t>0307062</t>
  </si>
  <si>
    <t>Oberes Hebelsystem Kanalhöhe 250                      6</t>
  </si>
  <si>
    <t>0307063</t>
  </si>
  <si>
    <t>Hebelsystem Kanalhöhe 250                             8</t>
  </si>
  <si>
    <t>0307064</t>
  </si>
  <si>
    <t>Oberes Hebelsystem Kanalhöhe 350                      7</t>
  </si>
  <si>
    <t>0307065</t>
  </si>
  <si>
    <t>Hebelsystem Kanalhöhe 350                             7</t>
  </si>
  <si>
    <t>0307066</t>
  </si>
  <si>
    <t>C-Profil Kanalhöhe 250 Duoflap</t>
  </si>
  <si>
    <t>0307067</t>
  </si>
  <si>
    <t>Oberes Hebelsystem Kanalhöhe 300                      6</t>
  </si>
  <si>
    <t>0307068</t>
  </si>
  <si>
    <t>Unteres Hebelsystem Kanalhöhe 300                     8</t>
  </si>
  <si>
    <t>0307069</t>
  </si>
  <si>
    <t>Obere Hebelsystemwelle Kanalbreite 300</t>
  </si>
  <si>
    <t>0307070</t>
  </si>
  <si>
    <t>Obere Hebelsystemwelle Kanalbreite 400</t>
  </si>
  <si>
    <t>0307071</t>
  </si>
  <si>
    <t>Obere Hebelsystemwelle Kanalbreite 500</t>
  </si>
  <si>
    <t>0307072</t>
  </si>
  <si>
    <t>Obere Hebelsystemwelle Kanalbreite 600</t>
  </si>
  <si>
    <t>0307073</t>
  </si>
  <si>
    <t>Obere Hebelsystemwelle Kanalbreite 700</t>
  </si>
  <si>
    <t>0307074</t>
  </si>
  <si>
    <t>Obere Hebelsystemwelle Kanalbreite 800</t>
  </si>
  <si>
    <t>0307075</t>
  </si>
  <si>
    <t>Obere Hebelsystemwelle Kanalbreite 900                1</t>
  </si>
  <si>
    <t>0307076</t>
  </si>
  <si>
    <t>Obere Hebelsystemwelle Kanalbreite 1000</t>
  </si>
  <si>
    <t>0307077</t>
  </si>
  <si>
    <t>Obere Hebelsystemwelle Kanalbreite 1100</t>
  </si>
  <si>
    <t>0307078</t>
  </si>
  <si>
    <t>Obere Hebelsystemwelle Kanalbreite 1200               1</t>
  </si>
  <si>
    <t>0307079</t>
  </si>
  <si>
    <t>Untere Hebelsystemwelle Kanalbreite 300</t>
  </si>
  <si>
    <t>0307080</t>
  </si>
  <si>
    <t>Untere Hebelsystemwelle Kanalbreite 400</t>
  </si>
  <si>
    <t>0307081</t>
  </si>
  <si>
    <t>Untere Hebelsystemwelle Kanalbreite 500               1</t>
  </si>
  <si>
    <t>0307082</t>
  </si>
  <si>
    <t>Untere Hebelsystemwelle Kanalbreite 600</t>
  </si>
  <si>
    <t>0307083</t>
  </si>
  <si>
    <t>Untere Hebelsystemwelle Kanalbreite 700</t>
  </si>
  <si>
    <t>0307084</t>
  </si>
  <si>
    <t>Untere Hebelsystemwelle Kanalbreite 800</t>
  </si>
  <si>
    <t>0307085</t>
  </si>
  <si>
    <t>Untere Hebelsystemwelle Kanalbreite 900</t>
  </si>
  <si>
    <t>0307086</t>
  </si>
  <si>
    <t>Untere Hebelsystemwelle Kanalbreite 1000</t>
  </si>
  <si>
    <t>0307087</t>
  </si>
  <si>
    <t>Untere Hebelsystemwelle Kanalbreite 1100</t>
  </si>
  <si>
    <t>0307088</t>
  </si>
  <si>
    <t>Untere Hebelsystemwelle Kanalbreite 1200</t>
  </si>
  <si>
    <t>0307089</t>
  </si>
  <si>
    <t>Deckwinkel Kanalbreite 250 Duoflap</t>
  </si>
  <si>
    <t>0307090</t>
  </si>
  <si>
    <t>Deckwinkel Kanalbreite 300 Duoflap</t>
  </si>
  <si>
    <t>0307091</t>
  </si>
  <si>
    <t>Deckwinkel Kanalbreite 350 Duoflap</t>
  </si>
  <si>
    <t>0307092</t>
  </si>
  <si>
    <t>Deckwinkel Kanalbreite 500 Duoflap</t>
  </si>
  <si>
    <t>0307093</t>
  </si>
  <si>
    <t>Deckwinkel Kanalbreite 600 Duoflap</t>
  </si>
  <si>
    <t>0307094</t>
  </si>
  <si>
    <t>Deckwinkel Kanalbreite 700 Duoflap</t>
  </si>
  <si>
    <t>0307095</t>
  </si>
  <si>
    <t>Deckwinkel Kanalbreite 800 Duoflap</t>
  </si>
  <si>
    <t>0307096</t>
  </si>
  <si>
    <t>Deckwinkel Kanalbreite 900 Duoflap</t>
  </si>
  <si>
    <t>0307097</t>
  </si>
  <si>
    <t>Deckwinkel Kanalbreite 1000 Duoflap</t>
  </si>
  <si>
    <t>0307098</t>
  </si>
  <si>
    <t>Deckwinkel Kanalbreite 1100 Duoflap</t>
  </si>
  <si>
    <t>0307099</t>
  </si>
  <si>
    <t>Deckwinkel Kanalbreite 1200 Duoflap</t>
  </si>
  <si>
    <t>0307100</t>
  </si>
  <si>
    <t>Kunststoff Kanalbreite 250 Duoflap</t>
  </si>
  <si>
    <t>0307101</t>
  </si>
  <si>
    <t>Kunststoff Kanalbreite 300 Duoflap</t>
  </si>
  <si>
    <t>0307102</t>
  </si>
  <si>
    <t>Kunststoff Silikonbefestigung</t>
  </si>
  <si>
    <t>0307103</t>
  </si>
  <si>
    <t>Kunststoff Kanalbreite 500 Duoflap</t>
  </si>
  <si>
    <t>0307104</t>
  </si>
  <si>
    <t>0307105</t>
  </si>
  <si>
    <t>0307106</t>
  </si>
  <si>
    <t>Kunststoff Kanalbreite 800 Duoflap</t>
  </si>
  <si>
    <t>0307107</t>
  </si>
  <si>
    <t>Kunststoff Kanalbreite 900 Duoflap</t>
  </si>
  <si>
    <t>0307108</t>
  </si>
  <si>
    <t>0307109</t>
  </si>
  <si>
    <t>Kunststoff Kanalbreite 1100 Duoflap</t>
  </si>
  <si>
    <t>0307110</t>
  </si>
  <si>
    <t>Kunststoff Kanalbreite 1200 Duoflap</t>
  </si>
  <si>
    <t>0307111</t>
  </si>
  <si>
    <t>Kanalwinkel verti Kanalhöhe 200 Duoflap</t>
  </si>
  <si>
    <t>0307112</t>
  </si>
  <si>
    <t>Kanalwinkel verti Kanalhöhe 250 Duoflap</t>
  </si>
  <si>
    <t>0307113</t>
  </si>
  <si>
    <t>Kanalwinkel verti Kanalhöhe 300 Duoflap</t>
  </si>
  <si>
    <t>0307114</t>
  </si>
  <si>
    <t>Kanalwinkel verti Kanalhöhe 350 Duoflap</t>
  </si>
  <si>
    <t>0307115</t>
  </si>
  <si>
    <t>Hutkantung Kanalbreite 250 Duoflap</t>
  </si>
  <si>
    <t>0307116</t>
  </si>
  <si>
    <t>Hutkantung Kanalbreite 300 Duoflap</t>
  </si>
  <si>
    <t>0307117</t>
  </si>
  <si>
    <t>Hutkantung Kanalbreite 400 Duoflap</t>
  </si>
  <si>
    <t>0307118</t>
  </si>
  <si>
    <t>Hutkantung Kanalbreite 500 Duoflap</t>
  </si>
  <si>
    <t>0307119</t>
  </si>
  <si>
    <t>Hutkantung Kanalbreite 600 Duoflap</t>
  </si>
  <si>
    <t>0307120</t>
  </si>
  <si>
    <t>Hutkantung Kanalbreite 700 Duoflap</t>
  </si>
  <si>
    <t>0307121</t>
  </si>
  <si>
    <t>Hutkantung Kanalbreite 800 Duoflap</t>
  </si>
  <si>
    <t>0307122</t>
  </si>
  <si>
    <t>Hutkantung Kanalbreite 900 Duoflap</t>
  </si>
  <si>
    <t>0307123</t>
  </si>
  <si>
    <t>Hutkantung Kanalbreite 1000 Duoflap</t>
  </si>
  <si>
    <t>0307124</t>
  </si>
  <si>
    <t>Hutkantung Kanalbreite 1100 Duoflap</t>
  </si>
  <si>
    <t>0307125</t>
  </si>
  <si>
    <t>Hutkantung Kanalbreite 1200 Duoflap</t>
  </si>
  <si>
    <t>0307126</t>
  </si>
  <si>
    <t>Verkrallungsprofil Kanalbreite250Duoflap</t>
  </si>
  <si>
    <t>0307127</t>
  </si>
  <si>
    <t>Verkrallungsprofil Kanalbreite300Duoflap</t>
  </si>
  <si>
    <t>0307128</t>
  </si>
  <si>
    <t>Verkrallungsprofil Kanalbreite400Duoflap</t>
  </si>
  <si>
    <t>0307129</t>
  </si>
  <si>
    <t>Verkrallungsprofil Kanalbreite500Duoflap</t>
  </si>
  <si>
    <t>0307130</t>
  </si>
  <si>
    <t>Verkrallungsprofil Kanalbreite600Duoflap</t>
  </si>
  <si>
    <t>0307131</t>
  </si>
  <si>
    <t>Verkrallungsprofil Kanalbreite700Duoflap</t>
  </si>
  <si>
    <t>0307132</t>
  </si>
  <si>
    <t>Verkrallungsprofil Kanalbreite800Duoflap</t>
  </si>
  <si>
    <t>0307133</t>
  </si>
  <si>
    <t>Verkrallungsprofil Kanalbreite900Duoflap</t>
  </si>
  <si>
    <t>0307134</t>
  </si>
  <si>
    <t>Verkrallungsprofil Kanalbreite1000Duofla</t>
  </si>
  <si>
    <t>0307135</t>
  </si>
  <si>
    <t>Verkrallungsprofil Kanalbreite1100Duofla</t>
  </si>
  <si>
    <t>0307136</t>
  </si>
  <si>
    <t>Verkrallungsprofil Kanalbreite1200Duofla</t>
  </si>
  <si>
    <t>0307137</t>
  </si>
  <si>
    <t>Winkel Verkrallpr Kanalhöhe 200 Duoflap</t>
  </si>
  <si>
    <t>0307138</t>
  </si>
  <si>
    <t>Winkel Verkrallpr Kanalhöhe 250 Duoflap</t>
  </si>
  <si>
    <t>0307139</t>
  </si>
  <si>
    <t>Winkel Verkrallpr Kanalhöhe 300 Duoflap</t>
  </si>
  <si>
    <t>0307140</t>
  </si>
  <si>
    <t>Winkel Verkrallpr Kanalhöhe 350 Duoflap</t>
  </si>
  <si>
    <t>0307141</t>
  </si>
  <si>
    <t>Zwischenprofil Kanalhöhe 200 Duoflap</t>
  </si>
  <si>
    <t>0307142</t>
  </si>
  <si>
    <t>Zwischenprofil Kanalhöhe 250 Duoflap</t>
  </si>
  <si>
    <t>0307143</t>
  </si>
  <si>
    <t>Zwischenprofil Kanalhöhe 300 Duoflap</t>
  </si>
  <si>
    <t>0307144</t>
  </si>
  <si>
    <t>Zwischenprofil Kanalhöhe 350 Duoflap</t>
  </si>
  <si>
    <t>0307145</t>
  </si>
  <si>
    <t>Kanaldeckel Raumseite Kanalbreite 250 DF</t>
  </si>
  <si>
    <t>0307146</t>
  </si>
  <si>
    <t>Kanaldeckel Raumseite Kanalbreite 300 DF</t>
  </si>
  <si>
    <t>0307147</t>
  </si>
  <si>
    <t>Kanaldeckel Raumseite Kanalbreite 400 DF</t>
  </si>
  <si>
    <t>0307148</t>
  </si>
  <si>
    <t>Kanaldeckel Raumseite Kanalbreite 500 DF</t>
  </si>
  <si>
    <t>0307149</t>
  </si>
  <si>
    <t>Kanaldeckel Raumseite Kanalbreite 600 DF</t>
  </si>
  <si>
    <t>0307150</t>
  </si>
  <si>
    <t>Kanaldeckel Raumseite Kanalbreite 700 DF</t>
  </si>
  <si>
    <t>0307151</t>
  </si>
  <si>
    <t>Kanaldeckel Raumseite Kanalbreite 800 DF</t>
  </si>
  <si>
    <t>0307152</t>
  </si>
  <si>
    <t>Kanaldeckel Raumseite Kanalbreite 900 DF</t>
  </si>
  <si>
    <t>0307153</t>
  </si>
  <si>
    <t>Kanaldeckel Raumseite Kanalbreite1000 DF</t>
  </si>
  <si>
    <t>0307154</t>
  </si>
  <si>
    <t>Kanaldeckel Raumseite Kanalbreite1100 DF</t>
  </si>
  <si>
    <t>0307155</t>
  </si>
  <si>
    <t>Kanaldeckel Raumseite Kanalbreite1200 DF</t>
  </si>
  <si>
    <t>0307156</t>
  </si>
  <si>
    <t>Kanalwinkel hori Kanalbreite 250 Duoflap</t>
  </si>
  <si>
    <t>0307157</t>
  </si>
  <si>
    <t>Kanalwinkel hori Kanalbreite 300 Duoflap</t>
  </si>
  <si>
    <t>0307158</t>
  </si>
  <si>
    <t>Kanalwinkel hori Kanalbreite 400 Duoflap</t>
  </si>
  <si>
    <t>0307159</t>
  </si>
  <si>
    <t>Kanalwinkel hori Kanalbreite 500 Duoflap</t>
  </si>
  <si>
    <t>0307160</t>
  </si>
  <si>
    <t>Kanalwinkel hori Kanalbreite 600 Duoflap</t>
  </si>
  <si>
    <t>0307161</t>
  </si>
  <si>
    <t>Kanalwinkel hori Kanalbreite 700 Duoflap</t>
  </si>
  <si>
    <t>0307162</t>
  </si>
  <si>
    <t>Kanalwinkel hori Kanalbreite 800 Duoflap</t>
  </si>
  <si>
    <t>0307163</t>
  </si>
  <si>
    <t>Kanalwinkel hori Kanalbreite 900 Duoflap</t>
  </si>
  <si>
    <t>0307164</t>
  </si>
  <si>
    <t>Kanalwinkel hori Kanalbreite1000 Duoflap</t>
  </si>
  <si>
    <t>0307165</t>
  </si>
  <si>
    <t>Kanalwinkel hori Kanalbreite1100 Duoflap</t>
  </si>
  <si>
    <t>0307166</t>
  </si>
  <si>
    <t>Kanalwinkel hori Kanalbreite1200 Duoflap</t>
  </si>
  <si>
    <t>0307167</t>
  </si>
  <si>
    <t>Kanalwinkel Druckausgl Kanalbreite 250DF</t>
  </si>
  <si>
    <t>0307168</t>
  </si>
  <si>
    <t>Kanalwinkel Druckausgl Kanalbreite 300DF</t>
  </si>
  <si>
    <t>0307169</t>
  </si>
  <si>
    <t>Kanalwinkel Druckausgl Kanalbreite 400DF</t>
  </si>
  <si>
    <t>0307170</t>
  </si>
  <si>
    <t>Kanalwinkel Druckausgl Kanalbreite 500DF</t>
  </si>
  <si>
    <t>0307171</t>
  </si>
  <si>
    <t>Kanalwinkel Druckausgl Kanalbreite 600DF</t>
  </si>
  <si>
    <t>0307172</t>
  </si>
  <si>
    <t>Kanalwinkel Druckausgl Kanalbreite 700DF</t>
  </si>
  <si>
    <t>0307173</t>
  </si>
  <si>
    <t>Kanalwinkel Druckausgl Kanalbreite 800DF</t>
  </si>
  <si>
    <t>0307174</t>
  </si>
  <si>
    <t>Kanalwinkel Druckausgl Kanalbreite 900DF</t>
  </si>
  <si>
    <t>0307175</t>
  </si>
  <si>
    <t>Kanalwinkel Druckausgl Kanalbreite1000DF</t>
  </si>
  <si>
    <t>0307176</t>
  </si>
  <si>
    <t>Kanalwinkel Druckausgl Kanalbreite1100DF</t>
  </si>
  <si>
    <t>0307177</t>
  </si>
  <si>
    <t>Kanalwinkel Druckausgl Kanalbreite1200DF</t>
  </si>
  <si>
    <t>0307178</t>
  </si>
  <si>
    <t>Kanaldeckel Wandseite Kanalbreite 250 DF</t>
  </si>
  <si>
    <t>0307179</t>
  </si>
  <si>
    <t>Kanaldeckel Wandseite Kanalbreite 300 DF</t>
  </si>
  <si>
    <t>0307180</t>
  </si>
  <si>
    <t>Kanaldeckel Wandseite Kanalbreite 400 DF</t>
  </si>
  <si>
    <t>0307181</t>
  </si>
  <si>
    <t>Kanaldeckel Wandseite Kanalbreite 500 DF</t>
  </si>
  <si>
    <t>0307182</t>
  </si>
  <si>
    <t>Kanaldeckel Wandseite Kanalbreite 600 DF</t>
  </si>
  <si>
    <t>0307183</t>
  </si>
  <si>
    <t>Kanaldeckel Wandseite Kanalbreite 700 DF</t>
  </si>
  <si>
    <t>0307184</t>
  </si>
  <si>
    <t>Kanaldeckel Wandseite Kanalbreite 800 DF</t>
  </si>
  <si>
    <t>0307185</t>
  </si>
  <si>
    <t>Kanaldeckel Wandseite Kanalbreite 900 DF</t>
  </si>
  <si>
    <t>0307186</t>
  </si>
  <si>
    <t>Kanaldeckel Wandseite Kanalbreite1000 DF</t>
  </si>
  <si>
    <t>0307187</t>
  </si>
  <si>
    <t>Kanaldeckel Wandseite Kanalbreite1100 DF</t>
  </si>
  <si>
    <t>0307188</t>
  </si>
  <si>
    <t>Kanaldeckel Wandseite Kanalbreite1200 DF</t>
  </si>
  <si>
    <t>0307189</t>
  </si>
  <si>
    <t>Blechwinkel Silikon 250x200 Duoflap</t>
  </si>
  <si>
    <t>0307190</t>
  </si>
  <si>
    <t>Blechwinkel Silikon 250x250 Duoflap</t>
  </si>
  <si>
    <t>0307191</t>
  </si>
  <si>
    <t>Blechwinkel Silikon 250x300 Duoflap</t>
  </si>
  <si>
    <t>0307192</t>
  </si>
  <si>
    <t>Blechwinkel Silikon 250x350 Duoflap</t>
  </si>
  <si>
    <t>0307193</t>
  </si>
  <si>
    <t>Blechwinkel Silikon 300x200 Duoflap</t>
  </si>
  <si>
    <t>0307194</t>
  </si>
  <si>
    <t>Blechwinkel Silikon 300x250 Duoflap</t>
  </si>
  <si>
    <t>0307195</t>
  </si>
  <si>
    <t>Blechwinkel Silikon 300x300 Duoflap</t>
  </si>
  <si>
    <t>0307196</t>
  </si>
  <si>
    <t>Blechwinkel Silikon 300x350 Duoflap</t>
  </si>
  <si>
    <t>0307197</t>
  </si>
  <si>
    <t>Blechwinkel Silikon 400x200 Duoflap</t>
  </si>
  <si>
    <t>0307198</t>
  </si>
  <si>
    <t>Blechwinkel Silikon 400x250 Duoflap</t>
  </si>
  <si>
    <t>0307199</t>
  </si>
  <si>
    <t>Blechwinkel Silikon 400x300 Duoflap</t>
  </si>
  <si>
    <t>0307200</t>
  </si>
  <si>
    <t>Blechwinkel Silikon 400x350 Duoflap</t>
  </si>
  <si>
    <t>0307201</t>
  </si>
  <si>
    <t>Blechwinkel Silikon 500x200 Duoflap</t>
  </si>
  <si>
    <t>0307202</t>
  </si>
  <si>
    <t>Blechwinkel Silikon 500x250 Duoflap</t>
  </si>
  <si>
    <t>0307203</t>
  </si>
  <si>
    <t>Blechwinkel Silikon 500x300 Duoflap</t>
  </si>
  <si>
    <t>0307204</t>
  </si>
  <si>
    <t>Blechwinkel Silikon 500x350 Duoflap</t>
  </si>
  <si>
    <t>0307205</t>
  </si>
  <si>
    <t>Blechwinkel Silikon 600x200 Duoflap</t>
  </si>
  <si>
    <t>0307206</t>
  </si>
  <si>
    <t>Blechwinkel Silikon 600x250 Duoflap</t>
  </si>
  <si>
    <t>0307207</t>
  </si>
  <si>
    <t>Blechwinkel Silikon 600x300 Duoflap</t>
  </si>
  <si>
    <t>0307208</t>
  </si>
  <si>
    <t>Blechwinkel Silikon 600x350 Duoflap</t>
  </si>
  <si>
    <t>0307209</t>
  </si>
  <si>
    <t>Blechwinkel Silikon 700x200 Duoflap</t>
  </si>
  <si>
    <t>0307210</t>
  </si>
  <si>
    <t>Blechwinkel Silikon 700x250 Duoflap</t>
  </si>
  <si>
    <t>0307211</t>
  </si>
  <si>
    <t>Blechwinkel Silikon 700x300 Duoflap</t>
  </si>
  <si>
    <t>0307212</t>
  </si>
  <si>
    <t>Blechwinkel Silikon 700x350 Duoflap</t>
  </si>
  <si>
    <t>0307213</t>
  </si>
  <si>
    <t>Blechwinkel Silikon 800x200 Duoflap</t>
  </si>
  <si>
    <t>0307214</t>
  </si>
  <si>
    <t>Blechwinkel Silikon 800x250 Duoflap</t>
  </si>
  <si>
    <t>0307215</t>
  </si>
  <si>
    <t>Blechwinkel Silikon 800x300 Duoflap</t>
  </si>
  <si>
    <t>0307216</t>
  </si>
  <si>
    <t>Blechwinkel Silikon 800x350 Duoflap</t>
  </si>
  <si>
    <t>0307217</t>
  </si>
  <si>
    <t>Blechwinkel Silikon 900x200 Duoflap</t>
  </si>
  <si>
    <t>0307218</t>
  </si>
  <si>
    <t>Blechwinkel Silikon 900x250 Duoflap</t>
  </si>
  <si>
    <t>0307219</t>
  </si>
  <si>
    <t>Blechwinkel Silikon 900x300 Duoflap</t>
  </si>
  <si>
    <t>0307220</t>
  </si>
  <si>
    <t>Blechwinkel Silikon 900x350 Duoflap</t>
  </si>
  <si>
    <t>0307221</t>
  </si>
  <si>
    <t>Blechwinkel Silikon 1000x200 Duoflap</t>
  </si>
  <si>
    <t>0307222</t>
  </si>
  <si>
    <t>Blechwinkel Silikon 1000x250 Duoflap</t>
  </si>
  <si>
    <t>0307223</t>
  </si>
  <si>
    <t>Blechwinkel Silikon 1000x300 Duoflap</t>
  </si>
  <si>
    <t>0307224</t>
  </si>
  <si>
    <t>Blechwinkel Silikon 1000x350 Duoflap</t>
  </si>
  <si>
    <t>0307225</t>
  </si>
  <si>
    <t>Blechwinkel Silikon 1100x200 Duoflap</t>
  </si>
  <si>
    <t>0307226</t>
  </si>
  <si>
    <t>Blechwinkel Silikon 1100x250 Duoflap</t>
  </si>
  <si>
    <t>0307227</t>
  </si>
  <si>
    <t>Blechwinkel Silikon 1100x300 Duoflap</t>
  </si>
  <si>
    <t>0307228</t>
  </si>
  <si>
    <t>Blechwinkel Silikon 1100x350 Duoflap</t>
  </si>
  <si>
    <t>0307229</t>
  </si>
  <si>
    <t>Blechwinkel Silikon 1200x200 Duoflap</t>
  </si>
  <si>
    <t>0307230</t>
  </si>
  <si>
    <t>Blechwinkel Silikon 1200x250 Duoflap</t>
  </si>
  <si>
    <t>0307231</t>
  </si>
  <si>
    <t>Blechwinkel Silikon 1200x300 Duoflap</t>
  </si>
  <si>
    <t>0307232</t>
  </si>
  <si>
    <t>Blechwinkel Silikon 1200x350 Duoflap</t>
  </si>
  <si>
    <t>0307233</t>
  </si>
  <si>
    <t>Wand / Endplatte 250x200 Duoflap</t>
  </si>
  <si>
    <t>0307234</t>
  </si>
  <si>
    <t>Wand / Endplatte 250x250 Duoflap</t>
  </si>
  <si>
    <t>0307235</t>
  </si>
  <si>
    <t>Wand / Endplatte 250x300 Duoflap</t>
  </si>
  <si>
    <t>0307236</t>
  </si>
  <si>
    <t>Wand / Endplatte 250x350 Duoflap</t>
  </si>
  <si>
    <t>0307237</t>
  </si>
  <si>
    <t>Wand / Endplatte 300x200 Duoflap</t>
  </si>
  <si>
    <t>0307238</t>
  </si>
  <si>
    <t>Wand / Endplatte 300x250 Duoflap</t>
  </si>
  <si>
    <t>0307239</t>
  </si>
  <si>
    <t>Wand / Endplatte 300x300 Duoflap</t>
  </si>
  <si>
    <t>0307240</t>
  </si>
  <si>
    <t>Wand / Endplatte 300x350 Duoflap</t>
  </si>
  <si>
    <t>0307241</t>
  </si>
  <si>
    <t>Wand / Endplatte 400x200 Duoflap</t>
  </si>
  <si>
    <t>0307242</t>
  </si>
  <si>
    <t>Wand / Endplatte 400x250 Duoflap</t>
  </si>
  <si>
    <t>0307243</t>
  </si>
  <si>
    <t>Wand / Endplatte 400x300 Duoflap</t>
  </si>
  <si>
    <t>0307244</t>
  </si>
  <si>
    <t>Wand / Endplatte 400x350 Duoflap</t>
  </si>
  <si>
    <t>0307245</t>
  </si>
  <si>
    <t>Wand / Endplatte 500x200 Duoflap</t>
  </si>
  <si>
    <t>0307246</t>
  </si>
  <si>
    <t>Wand / Endplatte 500x250 Duoflap</t>
  </si>
  <si>
    <t>0307247</t>
  </si>
  <si>
    <t>Wand / Endplatte 500x300 Duoflap</t>
  </si>
  <si>
    <t>0307248</t>
  </si>
  <si>
    <t>Wand / Endplatte 500x350 Duoflap</t>
  </si>
  <si>
    <t>0307249</t>
  </si>
  <si>
    <t>Wand / Endplatte 600x200 Duoflap</t>
  </si>
  <si>
    <t>0307250</t>
  </si>
  <si>
    <t>Wand / Endplatte 600x250 Duoflap</t>
  </si>
  <si>
    <t>0307251</t>
  </si>
  <si>
    <t>Wand / Endplatte 600x300 Duoflap</t>
  </si>
  <si>
    <t>0307252</t>
  </si>
  <si>
    <t>Wand / Endplatte 600x350 Duoflap</t>
  </si>
  <si>
    <t>0307253</t>
  </si>
  <si>
    <t>Wand / Endplatte 700x200 Duoflap</t>
  </si>
  <si>
    <t>0307254</t>
  </si>
  <si>
    <t>Wand / Endplatte 700x250 Duoflap</t>
  </si>
  <si>
    <t>0307255</t>
  </si>
  <si>
    <t>Wand / Endplatte 700x300 Duoflap</t>
  </si>
  <si>
    <t>0307256</t>
  </si>
  <si>
    <t>Wand / Endplatte 700x350 Duoflap</t>
  </si>
  <si>
    <t>0307257</t>
  </si>
  <si>
    <t>Wand / Endplatte 800x200 Duoflap</t>
  </si>
  <si>
    <t>0307258</t>
  </si>
  <si>
    <t>Wand / Endplatte 800x250 Duoflap</t>
  </si>
  <si>
    <t>0307259</t>
  </si>
  <si>
    <t>Wand / Endplatte 800x300 Duoflap</t>
  </si>
  <si>
    <t>0307260</t>
  </si>
  <si>
    <t>Wand / Endplatte 800x350 Duoflap</t>
  </si>
  <si>
    <t>0307261</t>
  </si>
  <si>
    <t>Wand / Endplatte 900x200 Duoflap</t>
  </si>
  <si>
    <t>0307262</t>
  </si>
  <si>
    <t>Wand / Endplatte 900x250 Duoflap</t>
  </si>
  <si>
    <t>0307263</t>
  </si>
  <si>
    <t>Wand / Endplatte 900x300 Duoflap</t>
  </si>
  <si>
    <t>0307264</t>
  </si>
  <si>
    <t>Wand / Endplatte 900x350 Duoflap</t>
  </si>
  <si>
    <t>0307265</t>
  </si>
  <si>
    <t>Wand / Endplatte 1000x200 Duoflap</t>
  </si>
  <si>
    <t>0307266</t>
  </si>
  <si>
    <t>Wand / Endplatte 1000x250 Duoflap</t>
  </si>
  <si>
    <t>0307267</t>
  </si>
  <si>
    <t>Wand / Endplatte 1000x300 Duoflap</t>
  </si>
  <si>
    <t>0307268</t>
  </si>
  <si>
    <t>Wand / Endplatte 1000x350 Duoflap</t>
  </si>
  <si>
    <t>0307269</t>
  </si>
  <si>
    <t>Wand / Endplatte 1100x200 Duoflap</t>
  </si>
  <si>
    <t>0307270</t>
  </si>
  <si>
    <t>Wand / Endplatte 1100x250 Duoflap</t>
  </si>
  <si>
    <t>0307271</t>
  </si>
  <si>
    <t>Wand / Endplatte 1100x300 Duoflap</t>
  </si>
  <si>
    <t>0307272</t>
  </si>
  <si>
    <t>Wand / Endplatte 1100x350 Duoflap</t>
  </si>
  <si>
    <t>0307273</t>
  </si>
  <si>
    <t>Wand / Endplatte 1200x200 Duoflap</t>
  </si>
  <si>
    <t>0307274</t>
  </si>
  <si>
    <t>Wand / Endplatte 1200x250 Duoflap</t>
  </si>
  <si>
    <t>0307275</t>
  </si>
  <si>
    <t>Wand / Endplatte 1200x300 Duoflap</t>
  </si>
  <si>
    <t>0307276</t>
  </si>
  <si>
    <t>Wand / Endplatte 1200x350 Duoflap</t>
  </si>
  <si>
    <t>0307277</t>
  </si>
  <si>
    <t>Kanalblech Raumseite 250x200 Duoflap</t>
  </si>
  <si>
    <t>0307278</t>
  </si>
  <si>
    <t>Kanalblech Raumseite 250x250 Duoflap</t>
  </si>
  <si>
    <t>0307279</t>
  </si>
  <si>
    <t>Kanalblech Raumseite 250x300 Duoflap</t>
  </si>
  <si>
    <t>0307280</t>
  </si>
  <si>
    <t>Kanalblech Raumseite 250x350 Duoflap</t>
  </si>
  <si>
    <t>0307281</t>
  </si>
  <si>
    <t>Kanalblech Raumseite 300x200 Duoflap</t>
  </si>
  <si>
    <t>0307282</t>
  </si>
  <si>
    <t>Kanalblech Raumseite 300x250 Duoflap</t>
  </si>
  <si>
    <t>0307283</t>
  </si>
  <si>
    <t>Kanalblech Raumseite 300x300 Duoflap</t>
  </si>
  <si>
    <t>0307284</t>
  </si>
  <si>
    <t>Kanalblech Raumseite 300x350 Duoflap</t>
  </si>
  <si>
    <t>0307285</t>
  </si>
  <si>
    <t>Kanalblech Raumseite 400x200 Duoflap</t>
  </si>
  <si>
    <t>0307286</t>
  </si>
  <si>
    <t>Kanalblech Raumseite 400x250 Duoflap</t>
  </si>
  <si>
    <t>0307287</t>
  </si>
  <si>
    <t>Kanalblech Raumseite 400x300 Duoflap</t>
  </si>
  <si>
    <t>0307288</t>
  </si>
  <si>
    <t>Kanalblech Raumseite 400x350 Duoflap</t>
  </si>
  <si>
    <t>0307289</t>
  </si>
  <si>
    <t>Kanalblech Raumseite 500x200 Duoflap</t>
  </si>
  <si>
    <t>0307290</t>
  </si>
  <si>
    <t>Kanalblech Raumseite 500x250 Duoflap</t>
  </si>
  <si>
    <t>0307291</t>
  </si>
  <si>
    <t>Kanalblech Raumseite 500x300 Duoflap</t>
  </si>
  <si>
    <t>0307292</t>
  </si>
  <si>
    <t>Kanalblech Raumseite 500x350 Duoflap</t>
  </si>
  <si>
    <t>0307293</t>
  </si>
  <si>
    <t>Kanalblech Raumseite 600x200 Duoflap</t>
  </si>
  <si>
    <t>0307294</t>
  </si>
  <si>
    <t>Kanalblech Raumseite 600x250 Duoflap</t>
  </si>
  <si>
    <t>0307295</t>
  </si>
  <si>
    <t>Kanalblech Raumseite 600x300 Duoflap</t>
  </si>
  <si>
    <t>0307296</t>
  </si>
  <si>
    <t>Kanalblech Raumseite 600x350 Duoflap</t>
  </si>
  <si>
    <t>0307297</t>
  </si>
  <si>
    <t>Kanalblech Raumseite 700x200 Duoflap</t>
  </si>
  <si>
    <t>0307298</t>
  </si>
  <si>
    <t>Kanalblech Raumseite 700x250 Duoflap</t>
  </si>
  <si>
    <t>0307299</t>
  </si>
  <si>
    <t>Kanalblech Raumseite 700x300 Duoflap</t>
  </si>
  <si>
    <t>0307300</t>
  </si>
  <si>
    <t>Kanalblech Raumseite 700x350 Duoflap</t>
  </si>
  <si>
    <t>0307301</t>
  </si>
  <si>
    <t>Kanalblech Raumseite 800x200 Duoflap</t>
  </si>
  <si>
    <t>0307302</t>
  </si>
  <si>
    <t>Kanalblech Raumseite 800x250 Duoflap</t>
  </si>
  <si>
    <t>0307303</t>
  </si>
  <si>
    <t>Kanalblech Raumseite 800x300 Duoflap</t>
  </si>
  <si>
    <t>0307304</t>
  </si>
  <si>
    <t>Kanalblech Raumseite 800x350 Duoflap</t>
  </si>
  <si>
    <t>0307305</t>
  </si>
  <si>
    <t>Kanalblech Raumseite 900x200 Duoflap</t>
  </si>
  <si>
    <t>0307306</t>
  </si>
  <si>
    <t>Kanalblech Raumseite 900x250 Duoflap</t>
  </si>
  <si>
    <t>0307307</t>
  </si>
  <si>
    <t>Kanalblech Raumseite 900x300 Duoflap</t>
  </si>
  <si>
    <t>0307308</t>
  </si>
  <si>
    <t>Kanalblech Raumseite 900x350 Duoflap</t>
  </si>
  <si>
    <t>0307309</t>
  </si>
  <si>
    <t>Kanalblech Raumseite 1000x200 Duoflap</t>
  </si>
  <si>
    <t>0307310</t>
  </si>
  <si>
    <t>Kanalblech Raumseite 1000x250 Duoflap</t>
  </si>
  <si>
    <t>0307311</t>
  </si>
  <si>
    <t>Kanalblech Raumseite 1000x300 Duoflap</t>
  </si>
  <si>
    <t>0307312</t>
  </si>
  <si>
    <t>Kanalblech Raumseite 1000x350 Duoflap</t>
  </si>
  <si>
    <t>0307313</t>
  </si>
  <si>
    <t>Kanalblech Raumseite 1100x200 Duoflap</t>
  </si>
  <si>
    <t>0307314</t>
  </si>
  <si>
    <t>Kanalblech Raumseite 1100x250 Duoflap</t>
  </si>
  <si>
    <t>0307315</t>
  </si>
  <si>
    <t>Kanalblech Raumseite 1100x300 Duoflap</t>
  </si>
  <si>
    <t>0307316</t>
  </si>
  <si>
    <t>Kanalblech Raumseite 1100x350 Duoflap</t>
  </si>
  <si>
    <t>0307317</t>
  </si>
  <si>
    <t>Kanalblech Raumseite 1200x200 Duoflap</t>
  </si>
  <si>
    <t>0307318</t>
  </si>
  <si>
    <t>Kanalblech Raumseite 1200x250 Duoflap</t>
  </si>
  <si>
    <t>0307319</t>
  </si>
  <si>
    <t>Kanalblech Raumseite 1200x300 Duoflap</t>
  </si>
  <si>
    <t>0307320</t>
  </si>
  <si>
    <t>Kanalblech Raumseite 1200x350 Duoflap</t>
  </si>
  <si>
    <t>0307321</t>
  </si>
  <si>
    <t>Kanalblech Wandseite  250x200  Duoflap</t>
  </si>
  <si>
    <t>0307322</t>
  </si>
  <si>
    <t>Kanalblech Wandseite  250x250  Duoflap</t>
  </si>
  <si>
    <t>0307323</t>
  </si>
  <si>
    <t>Kanalblech Wandseite  250x300  Duoflap</t>
  </si>
  <si>
    <t>0307324</t>
  </si>
  <si>
    <t>Kanalblech Wandseite  250x350  Duoflap</t>
  </si>
  <si>
    <t>0307325</t>
  </si>
  <si>
    <t>Kanalblech Wandseite  300x200  Duoflap</t>
  </si>
  <si>
    <t>0307326</t>
  </si>
  <si>
    <t>Kanalblech Wandseite  300x250  Duoflap</t>
  </si>
  <si>
    <t>0307327</t>
  </si>
  <si>
    <t>Kanalblech Wandseite  300x300   Duoflap</t>
  </si>
  <si>
    <t>0307328</t>
  </si>
  <si>
    <t>Kanalblech Wandseite  300x350   Duoflap</t>
  </si>
  <si>
    <t>0307329</t>
  </si>
  <si>
    <t>Kanalblech Wandseite  400x200   Duoflap</t>
  </si>
  <si>
    <t>0307330</t>
  </si>
  <si>
    <t>Kanalblech Wandseite  400x250   Duoflap</t>
  </si>
  <si>
    <t>0307331</t>
  </si>
  <si>
    <t>Kanalblech Wandseite  400x300   Duoflap</t>
  </si>
  <si>
    <t>0307332</t>
  </si>
  <si>
    <t>Kanalblech Wandseite  400x350   Duoflap</t>
  </si>
  <si>
    <t>0307333</t>
  </si>
  <si>
    <t>Kanalblech Wandseite  500x200   Duoflap</t>
  </si>
  <si>
    <t>0307334</t>
  </si>
  <si>
    <t>Kanalblech Wandseite  500x250   Duoflap</t>
  </si>
  <si>
    <t>0307335</t>
  </si>
  <si>
    <t>Kanalblech Wandseite  500x300   Duoflap</t>
  </si>
  <si>
    <t>0307336</t>
  </si>
  <si>
    <t>Kanalblech Wandseite  500x350   Duoflap</t>
  </si>
  <si>
    <t>0307337</t>
  </si>
  <si>
    <t>Kanalblech Wandseite  600x200   Duoflap</t>
  </si>
  <si>
    <t>0307338</t>
  </si>
  <si>
    <t>Kanalblech Wandseite  600x250   Duoflap</t>
  </si>
  <si>
    <t>0307339</t>
  </si>
  <si>
    <t>Kanalblech Wandseite  600x300   Duoflap</t>
  </si>
  <si>
    <t>0307340</t>
  </si>
  <si>
    <t>Kanalblech Wandseite  600x350   Duoflap</t>
  </si>
  <si>
    <t>0307341</t>
  </si>
  <si>
    <t>Kanalblech Wandseite  700x200   Duoflap</t>
  </si>
  <si>
    <t>0307342</t>
  </si>
  <si>
    <t>Kanalblech Wandseite  700x250   Duoflap</t>
  </si>
  <si>
    <t>0307343</t>
  </si>
  <si>
    <t>Kanalblech Wandseite  700x300   Duoflap</t>
  </si>
  <si>
    <t>0307344</t>
  </si>
  <si>
    <t>Kanalblech Wandseite  700x350   Duoflap</t>
  </si>
  <si>
    <t>0307345</t>
  </si>
  <si>
    <t>Kanalblech Wandseite  800x200   Duoflap</t>
  </si>
  <si>
    <t>0307346</t>
  </si>
  <si>
    <t>Kanalblech Wandseite  800x250   Duoflap</t>
  </si>
  <si>
    <t>0307347</t>
  </si>
  <si>
    <t>Kanalblech Wandseite  800x300   Duoflap</t>
  </si>
  <si>
    <t>0307348</t>
  </si>
  <si>
    <t>Kanalblech Wandseite  800x350   Duoflap</t>
  </si>
  <si>
    <t>0307349</t>
  </si>
  <si>
    <t>Kanalblech Wandseite  900x200   Duoflap</t>
  </si>
  <si>
    <t>0307350</t>
  </si>
  <si>
    <t>Kanalblech Wandseite  900x250   Duoflap</t>
  </si>
  <si>
    <t>0307351</t>
  </si>
  <si>
    <t>Kanalblech Wandseite  900x300   Duoflap</t>
  </si>
  <si>
    <t>0307352</t>
  </si>
  <si>
    <t>Kanalblech Wandseite  900x350   Duoflap</t>
  </si>
  <si>
    <t>0307353</t>
  </si>
  <si>
    <t>Kanalblech Wandseite 1000x200   Duoflap</t>
  </si>
  <si>
    <t>0307354</t>
  </si>
  <si>
    <t>Kanalblech Wandseite 1000x250   Duoflap</t>
  </si>
  <si>
    <t>0307355</t>
  </si>
  <si>
    <t>Kanalblech Wandseite 1000x300   Duoflap</t>
  </si>
  <si>
    <t>0307356</t>
  </si>
  <si>
    <t>Kanalblech Wandseite 1000x350   Duoflap</t>
  </si>
  <si>
    <t>0307357</t>
  </si>
  <si>
    <t>Kanalblech Wandseite 1100x200   Duoflap</t>
  </si>
  <si>
    <t>0307358</t>
  </si>
  <si>
    <t>Kanalblech Wandseite 1100x250   Duoflap</t>
  </si>
  <si>
    <t>0307359</t>
  </si>
  <si>
    <t>Kanalblech Wandseite 1100x300   Duoflap</t>
  </si>
  <si>
    <t>0307360</t>
  </si>
  <si>
    <t>Kanalblech Wandseite 1100x350   Duoflap</t>
  </si>
  <si>
    <t>0307361</t>
  </si>
  <si>
    <t>Kanalblech Wandseite 1200x200   Duoflap</t>
  </si>
  <si>
    <t>0307362</t>
  </si>
  <si>
    <t>Kanalblech Wandseite 1200x250   Duoflap</t>
  </si>
  <si>
    <t>0307363</t>
  </si>
  <si>
    <t>Kanalblech Wandseite 1200x300   Duoflap</t>
  </si>
  <si>
    <t>0307364</t>
  </si>
  <si>
    <t>Kanalblech Wandseite 1200x350   Duoflap</t>
  </si>
  <si>
    <t>0307365</t>
  </si>
  <si>
    <t>Innere Promatplatte Kanalhöhe200 Duoflap</t>
  </si>
  <si>
    <t>0307366</t>
  </si>
  <si>
    <t>Innere Promatplatte Kanalhöhe250 Duoflap</t>
  </si>
  <si>
    <t>0307367</t>
  </si>
  <si>
    <t>Innere Promatplatte Kanalhöhe350 Duoflap</t>
  </si>
  <si>
    <t>0307368</t>
  </si>
  <si>
    <t>0307369</t>
  </si>
  <si>
    <t>0307370</t>
  </si>
  <si>
    <t>0307371</t>
  </si>
  <si>
    <t>Motorgrundplatte Kanalhöhe 200 Duoflap</t>
  </si>
  <si>
    <t>0307372</t>
  </si>
  <si>
    <t>Motorgrundplatte Kanalhöhe 250 Duoflap</t>
  </si>
  <si>
    <t>0307373</t>
  </si>
  <si>
    <t>Motorgrundplatte Kanalhöhe 300 Duoflap</t>
  </si>
  <si>
    <t>0307374</t>
  </si>
  <si>
    <t>Motorgrundplatte Kanalhöhe 350 Duoflap</t>
  </si>
  <si>
    <t>0307375</t>
  </si>
  <si>
    <t>Kettenabdeckung Kanalhöhe 200 Duoflap</t>
  </si>
  <si>
    <t>0307376</t>
  </si>
  <si>
    <t>Kettenabdeckung Kanalhöhe 250 Duoflap</t>
  </si>
  <si>
    <t>0307377</t>
  </si>
  <si>
    <t>Kettenabdeckung Kanalhöhe 300 Duoflap</t>
  </si>
  <si>
    <t>0307378</t>
  </si>
  <si>
    <t>Kettenabdeckung Kanalhöhe 350 Duoflap</t>
  </si>
  <si>
    <t>0307379</t>
  </si>
  <si>
    <t>Zusatzlagerung Hebelwellen ab Breite800</t>
  </si>
  <si>
    <t>0307380</t>
  </si>
  <si>
    <t>Gleitstück 60x20x3 Zusatzlagerung DF</t>
  </si>
  <si>
    <t>0307381</t>
  </si>
  <si>
    <t>Innere Promatplatte Kanalhöhe300 Duoflap</t>
  </si>
  <si>
    <t>0307382</t>
  </si>
  <si>
    <t>0307383</t>
  </si>
  <si>
    <t>Nabenkettenrad Z=10, 1/2+1/8" Duoflap</t>
  </si>
  <si>
    <t>0307384</t>
  </si>
  <si>
    <t>Abhängung Wandmontage Duoflap</t>
  </si>
  <si>
    <t>0307385</t>
  </si>
  <si>
    <t>Befestigungsblech Esti-Melder Duoflap</t>
  </si>
  <si>
    <t>0307386</t>
  </si>
  <si>
    <t>Abhängung Deckenmontage Duoflap</t>
  </si>
  <si>
    <t>0307387</t>
  </si>
  <si>
    <t>Promatbefestigungswinkel Kanalbreite 250</t>
  </si>
  <si>
    <t>0307388</t>
  </si>
  <si>
    <t>Promatbefestigungswinkel Kanalbreite 300</t>
  </si>
  <si>
    <t>0307389</t>
  </si>
  <si>
    <t>Promatbefestigungswinkel Kanalbreite 400</t>
  </si>
  <si>
    <t>0307390</t>
  </si>
  <si>
    <t>Promatbefestigungswinkel Kanalbreite 500</t>
  </si>
  <si>
    <t>0307391</t>
  </si>
  <si>
    <t>Promatbefestigungswinkel Kanalbreite 600</t>
  </si>
  <si>
    <t>0307392</t>
  </si>
  <si>
    <t>Promatbefestigungswinkel Kanalbreite 700</t>
  </si>
  <si>
    <t>0307393</t>
  </si>
  <si>
    <t>Promatbefestigungswinkel Kanalbreite 800</t>
  </si>
  <si>
    <t>0307394</t>
  </si>
  <si>
    <t>Promatbefestigungswinkel Kanalbreite 900</t>
  </si>
  <si>
    <t>0307395</t>
  </si>
  <si>
    <t>Promatbefestigungswinkel Kanalbreite1000</t>
  </si>
  <si>
    <t>0307396</t>
  </si>
  <si>
    <t>Promatbefestigungswinkel Kanalbreite1100</t>
  </si>
  <si>
    <t>0307397</t>
  </si>
  <si>
    <t>Promatbefestigungswinkel Kanalbreite1200</t>
  </si>
  <si>
    <t>0307398</t>
  </si>
  <si>
    <t>Oberstrebe Kanalbreite 250 Duoflap</t>
  </si>
  <si>
    <t>0307399</t>
  </si>
  <si>
    <t>Abdrückschlitten Kanalbreite 250 Duoflap</t>
  </si>
  <si>
    <t>0307400</t>
  </si>
  <si>
    <t>Obere Hebelsystemwelle Kanalbreite 250</t>
  </si>
  <si>
    <t>0307401</t>
  </si>
  <si>
    <t>Hülse 12x45 Hebelsystem Duoflap</t>
  </si>
  <si>
    <t>0307402</t>
  </si>
  <si>
    <t>Hülse 12x33 Hebelsystem Duoflap</t>
  </si>
  <si>
    <t>0307403</t>
  </si>
  <si>
    <t>Abdeckblech Antrieb Duoflap</t>
  </si>
  <si>
    <t>0307404</t>
  </si>
  <si>
    <t>Hebel 1 Kanalhöhe 500 Duoflap</t>
  </si>
  <si>
    <t>0307405</t>
  </si>
  <si>
    <t>Hebel 2 Kanalhöhe 500 Duoflap</t>
  </si>
  <si>
    <t>0307406</t>
  </si>
  <si>
    <t>Schlitten Kanalhöhe 500 Duoflap</t>
  </si>
  <si>
    <t>0307407</t>
  </si>
  <si>
    <t>C-Profil Kanalhöhe 500 Duoflap</t>
  </si>
  <si>
    <t>0307408</t>
  </si>
  <si>
    <t>Schiene Kanalhöhe 500 Duoflap</t>
  </si>
  <si>
    <t>0307417</t>
  </si>
  <si>
    <t>Hebelsystemanbindung Duoflap</t>
  </si>
  <si>
    <t>0307418</t>
  </si>
  <si>
    <t>Kunststoff Kanalbreite 1200x500  Duoflap</t>
  </si>
  <si>
    <t>0307419</t>
  </si>
  <si>
    <t>Zusatzlagerung Hebelwelle Duoflap</t>
  </si>
  <si>
    <t>0307420</t>
  </si>
  <si>
    <t>Promatwinkel Klappe rechts Kanalhöhe 500</t>
  </si>
  <si>
    <t>0307421</t>
  </si>
  <si>
    <t>Promatwinkel Klappe links Kanalhöhe 500</t>
  </si>
  <si>
    <t>0307545</t>
  </si>
  <si>
    <t>Obere Hebelsystemwelle 1200x500                       1</t>
  </si>
  <si>
    <t>0307555</t>
  </si>
  <si>
    <t>Hebelsystem Kanalhöhe 500</t>
  </si>
  <si>
    <t>0307557</t>
  </si>
  <si>
    <t>Fireflystreifen 1000 x 143 mm</t>
  </si>
  <si>
    <t>0307558</t>
  </si>
  <si>
    <t>Fireflystreifen 1000 x 76 mm</t>
  </si>
  <si>
    <t>0307559</t>
  </si>
  <si>
    <t>Fireflystreifen 1000 x 40 mm</t>
  </si>
  <si>
    <t>0307560</t>
  </si>
  <si>
    <t>Fireflystreifen 1000 x 34 mm</t>
  </si>
  <si>
    <t>0307561</t>
  </si>
  <si>
    <t>Fireflystreifen 1000 x 24 mm</t>
  </si>
  <si>
    <t>0307562</t>
  </si>
  <si>
    <t>Fireflystreifen 1000 x 19 mm</t>
  </si>
  <si>
    <t>0307563</t>
  </si>
  <si>
    <t>Fireflystreifen 1000 x 63 mm</t>
  </si>
  <si>
    <t>0307564</t>
  </si>
  <si>
    <t>Fireflystreifen 1000 x 50 mm</t>
  </si>
  <si>
    <t>0307565</t>
  </si>
  <si>
    <t>Palusolstreifen 134 mm</t>
  </si>
  <si>
    <t>0307573</t>
  </si>
  <si>
    <t>Promatect H-10 Streifen 50 mm</t>
  </si>
  <si>
    <t>0307581</t>
  </si>
  <si>
    <t>Gurtblech Hebelsystem Duoflap</t>
  </si>
  <si>
    <t>0308000</t>
  </si>
  <si>
    <t>Wandverkrallung Öffnungsseite GCC hor.</t>
  </si>
  <si>
    <t>0308001</t>
  </si>
  <si>
    <t>Haltekonsole Gurtumlenkung Laufschiene</t>
  </si>
  <si>
    <t>0308002</t>
  </si>
  <si>
    <t>Gehäuse Gurtumlenkung GCC hor.</t>
  </si>
  <si>
    <t>0308003</t>
  </si>
  <si>
    <t>Gurtumlenkung 25mm Gurt GCC hor.                      1</t>
  </si>
  <si>
    <t>0308004</t>
  </si>
  <si>
    <t>Antriebsgehäuse Aussenteil GCC hor.                   1</t>
  </si>
  <si>
    <t>0308005</t>
  </si>
  <si>
    <t>Antriebsgehäuse Fußteil GCC hor.</t>
  </si>
  <si>
    <t>0308006</t>
  </si>
  <si>
    <t>Antriebsgehäuse GCC hor.                              1</t>
  </si>
  <si>
    <t>0308007</t>
  </si>
  <si>
    <t>Antriebssystem motorisch GCC hor.                    42</t>
  </si>
  <si>
    <t>0308008</t>
  </si>
  <si>
    <t>Haltewinkel Laufschiene GCC hor.</t>
  </si>
  <si>
    <t>0308009</t>
  </si>
  <si>
    <t>Wandwinkel Laufschiene GCC hor.</t>
  </si>
  <si>
    <t>0308010</t>
  </si>
  <si>
    <t>Laufschienenverbinder GCC hor.</t>
  </si>
  <si>
    <t>0308011</t>
  </si>
  <si>
    <t>Befestigungsspange Einlaufprofil GCC hor</t>
  </si>
  <si>
    <t>0308012</t>
  </si>
  <si>
    <t>Grundplatte Laufwerk GCC hor.</t>
  </si>
  <si>
    <t>0308013</t>
  </si>
  <si>
    <t>Laufrollenhalter Laufwerk GCC hor.</t>
  </si>
  <si>
    <t>0308014</t>
  </si>
  <si>
    <t>Laufwerk GCC horizontal                               2</t>
  </si>
  <si>
    <t>0308015</t>
  </si>
  <si>
    <t>Schieberführungsrolle r0 Konsole GCC                  1</t>
  </si>
  <si>
    <t>0308016</t>
  </si>
  <si>
    <t>Halter Führungsrolle r0 Konsole GCC-hor.</t>
  </si>
  <si>
    <t>0308017</t>
  </si>
  <si>
    <t>Haltekonsole Schieberführungsrolle GCC</t>
  </si>
  <si>
    <t>Konsole r0 300 mm GCC</t>
  </si>
  <si>
    <t>0308019</t>
  </si>
  <si>
    <t>Verkrallung Öffnungsseite GCC hor.</t>
  </si>
  <si>
    <t>0308020</t>
  </si>
  <si>
    <t>Schieberführung Ausrückhalter GCC hor.</t>
  </si>
  <si>
    <t>0308021</t>
  </si>
  <si>
    <t>Schieberführungsprofilhalter GCC hor.</t>
  </si>
  <si>
    <t>0308022</t>
  </si>
  <si>
    <t>Schieberführungsprofil GCC hor.</t>
  </si>
  <si>
    <t>0308023</t>
  </si>
  <si>
    <t>Schieberführungsprofil ausgerückt GCC</t>
  </si>
  <si>
    <t>0308024</t>
  </si>
  <si>
    <t>Schieberführung Ausrückprofil GCC hor.</t>
  </si>
  <si>
    <t>Konsole r0 400 mm GCC</t>
  </si>
  <si>
    <t>Konsole r0 500 mm GCC</t>
  </si>
  <si>
    <t>0308027</t>
  </si>
  <si>
    <t>Endschalterkonsole Einlaufprofil GCC</t>
  </si>
  <si>
    <t>0308028</t>
  </si>
  <si>
    <t>Einlaufprofil GCC horizontal</t>
  </si>
  <si>
    <t>0308029</t>
  </si>
  <si>
    <t>Befestigungswinkel Laufwerk 300 mm</t>
  </si>
  <si>
    <t>0308030</t>
  </si>
  <si>
    <t>Hebehilfe Laufwerk 1 GCC horizontal</t>
  </si>
  <si>
    <t>0308031</t>
  </si>
  <si>
    <t>Verkrallungswinkel 500 mm</t>
  </si>
  <si>
    <t>0308034</t>
  </si>
  <si>
    <t>Befestigungsspange Schieberführungsprofi</t>
  </si>
  <si>
    <t>0308036</t>
  </si>
  <si>
    <t>Befestigungsspange Führungsschiene</t>
  </si>
  <si>
    <t>0308037</t>
  </si>
  <si>
    <t>Festfeldhaltekonsole Schieberführungs-</t>
  </si>
  <si>
    <t>0308038</t>
  </si>
  <si>
    <t>0308039</t>
  </si>
  <si>
    <t>Baugruppe Schieberführungsrolle rechts</t>
  </si>
  <si>
    <t>0308040</t>
  </si>
  <si>
    <t>Baugruppe Schieberführungsrolle links</t>
  </si>
  <si>
    <t>0308041</t>
  </si>
  <si>
    <t>Festfeldkonsole GCC 500 mm</t>
  </si>
  <si>
    <t>0308042</t>
  </si>
  <si>
    <t>Festfeldkonsole GCC 400 mm</t>
  </si>
  <si>
    <t>0308043</t>
  </si>
  <si>
    <t>Festfeldkonsole GCC 300 mm</t>
  </si>
  <si>
    <t>Festfeldhalter seitlich rechts GCC</t>
  </si>
  <si>
    <t>Festfeldhalter seitlich links GCC</t>
  </si>
  <si>
    <t>Festfeldbefestigung seitlich rechts GCC</t>
  </si>
  <si>
    <t>Festfeldbefestigung seitlich links GCC</t>
  </si>
  <si>
    <t>0308049</t>
  </si>
  <si>
    <t>Schließgewichtsblech 2mm GCC-horizontal</t>
  </si>
  <si>
    <t>0308052</t>
  </si>
  <si>
    <t>Schließgewichtsblech 1mm GCC-horizontal</t>
  </si>
  <si>
    <t>0308053</t>
  </si>
  <si>
    <t>Schließgewichtsblech 1,5mm GCC-hor.</t>
  </si>
  <si>
    <t>0308054</t>
  </si>
  <si>
    <t>Schließgewichtsblech 3mm GCC-hor.</t>
  </si>
  <si>
    <t>0308055</t>
  </si>
  <si>
    <t>Antrieb rechts 750 W GCC vertikal                    63</t>
  </si>
  <si>
    <t>0308056</t>
  </si>
  <si>
    <t>Gurtwickelhalter Antrieb 750 W GCC vert.              1</t>
  </si>
  <si>
    <t>0308057</t>
  </si>
  <si>
    <t>Motorhalter Antrieb 750 W GCC vertikal                1</t>
  </si>
  <si>
    <t>0308058</t>
  </si>
  <si>
    <t>Gurtwickelwellenaufnahme</t>
  </si>
  <si>
    <t>0308059</t>
  </si>
  <si>
    <t>Deckel Gurtwickelwellenaufnahme</t>
  </si>
  <si>
    <t>0308061</t>
  </si>
  <si>
    <t>Gurtwickelwelle 750 W Antrieb GCC vert.</t>
  </si>
  <si>
    <t>Motorwandplatte Antrieb 750 W GCC vert.</t>
  </si>
  <si>
    <t>0308063</t>
  </si>
  <si>
    <t>Umlenkrohr GCC vertikal</t>
  </si>
  <si>
    <t>0308064</t>
  </si>
  <si>
    <t>Gurtanbindung Basisprofil GCC vertikal                1</t>
  </si>
  <si>
    <t>0308065</t>
  </si>
  <si>
    <t>Gurtbefestigungsprofil 35mm Gurt</t>
  </si>
  <si>
    <t>Gurtanbindung 35 mm Gurt GCC vertikal                 4</t>
  </si>
  <si>
    <t>0308067</t>
  </si>
  <si>
    <t>Andockprofil Gurtanbindung GCC vertikal               1</t>
  </si>
  <si>
    <t>Verkrallungsprofil Schieber GCC vertikal</t>
  </si>
  <si>
    <t>0308069</t>
  </si>
  <si>
    <t>Befestigungskonsole Doppelgurtumlenkung               4</t>
  </si>
  <si>
    <t>Doppelgurtumlenkung 35 mm Gurt                        8</t>
  </si>
  <si>
    <t>Führungsschiene 750 mm</t>
  </si>
  <si>
    <t>Führungsschiene 1000 mm</t>
  </si>
  <si>
    <t>Führungsschiene 1250 mm</t>
  </si>
  <si>
    <t>Führungsschiene 1500 mm</t>
  </si>
  <si>
    <t>Führungsschiene 1750 mm</t>
  </si>
  <si>
    <t>Führungsschiene 2000 mm</t>
  </si>
  <si>
    <t>Führungsschiene 2250 mm</t>
  </si>
  <si>
    <t>Führungsschiene 2500 mm</t>
  </si>
  <si>
    <t>Führungsschiene 2750 mm</t>
  </si>
  <si>
    <t>Führungsschiene 3000 mm</t>
  </si>
  <si>
    <t>0308081</t>
  </si>
  <si>
    <t>Kupplung RNT IS/IS 38</t>
  </si>
  <si>
    <t>0308082</t>
  </si>
  <si>
    <t>Gurtwickelwelle 2 750W Antrieb GCC vert.              2</t>
  </si>
  <si>
    <t>0308083</t>
  </si>
  <si>
    <t>GCC vertikel 750 W Antrieb Welle A                    1</t>
  </si>
  <si>
    <t>Führungsschiene U-Form 750 mm</t>
  </si>
  <si>
    <t>Führungsschiene U-Form 1000 mm</t>
  </si>
  <si>
    <t>Führungsschiene U-Form 1250 mm</t>
  </si>
  <si>
    <t>Führungsschiene U-Form 1500 mm</t>
  </si>
  <si>
    <t>Führungsschiene U-Form 1750 mm</t>
  </si>
  <si>
    <t>Führungsschiene U-Form 2000 mm</t>
  </si>
  <si>
    <t>Führungsschiene U-Form 2250 mm</t>
  </si>
  <si>
    <t>Führungsschiene U-Form 2500 mm</t>
  </si>
  <si>
    <t>Führungsschiene U-Form 2750 mm</t>
  </si>
  <si>
    <t>Führungsschiene U-Form 3000 mm</t>
  </si>
  <si>
    <t>0308096</t>
  </si>
  <si>
    <t>Antrieb rechts 750 W mit</t>
  </si>
  <si>
    <t>0308097</t>
  </si>
  <si>
    <t>Antrieb links 750 W GCC vertikal</t>
  </si>
  <si>
    <t>Antrieb links 750 W mit Wartungsschalter</t>
  </si>
  <si>
    <t>0308099</t>
  </si>
  <si>
    <t>Motorhalter links Antrieb 750 W</t>
  </si>
  <si>
    <t>0308100</t>
  </si>
  <si>
    <t>Gurtbefestigungswinkel 74 mm</t>
  </si>
  <si>
    <t>0308101</t>
  </si>
  <si>
    <t>Unterleger 74 mm Anbindung</t>
  </si>
  <si>
    <t>0308102</t>
  </si>
  <si>
    <t>Unterleger-Winkel  74 mm Anbindung</t>
  </si>
  <si>
    <t>0308103</t>
  </si>
  <si>
    <t>Gurtanbindung 74 mm</t>
  </si>
  <si>
    <t>031368-</t>
  </si>
  <si>
    <t>01                 4</t>
  </si>
  <si>
    <t>Führschiene rechts kpl.Laibungmontage</t>
  </si>
  <si>
    <t>0335001</t>
  </si>
  <si>
    <t>Winkel Schieberverkrallung OS vertikal</t>
  </si>
  <si>
    <t>0335004</t>
  </si>
  <si>
    <t>Anschraubwinkel klein Zarge OS-vertikal</t>
  </si>
  <si>
    <t>0335005</t>
  </si>
  <si>
    <t>Anschraubwinkel Festfeld groß/OS ver.</t>
  </si>
  <si>
    <t>0335011</t>
  </si>
  <si>
    <t>Stützwinkel für Zarge oben OS-horizontal</t>
  </si>
  <si>
    <t>0335012</t>
  </si>
  <si>
    <t>Winkel Schieberverkrallung OS ver. var.              1</t>
  </si>
  <si>
    <t>0335111</t>
  </si>
  <si>
    <t>0335122</t>
  </si>
  <si>
    <t>Antriebwelle EB51 OS-vertikal                         2</t>
  </si>
  <si>
    <t>0335123</t>
  </si>
  <si>
    <t>Antriebwelle EB52 OS-vertikal                         2</t>
  </si>
  <si>
    <t>0335131</t>
  </si>
  <si>
    <t>Antriebswelle Blechgehäuse OS-h                       2</t>
  </si>
  <si>
    <t>0335176</t>
  </si>
  <si>
    <t>Distanzblech Antrieb manuelle Öffnung OS</t>
  </si>
  <si>
    <t>Antriebssystem EB 61                                 46</t>
  </si>
  <si>
    <t>0335181</t>
  </si>
  <si>
    <t>Antriebssystem EB 51                                 53</t>
  </si>
  <si>
    <t>0335182</t>
  </si>
  <si>
    <t>Antriebssystem EB 52                                 51</t>
  </si>
  <si>
    <t>0335183</t>
  </si>
  <si>
    <t>Antriebssystem EB 53</t>
  </si>
  <si>
    <t>0335220</t>
  </si>
  <si>
    <t>Gurtumlenkung bis 200 kg                              4</t>
  </si>
  <si>
    <t>0335221</t>
  </si>
  <si>
    <t>Gurtumlenkung bis 200 KG</t>
  </si>
  <si>
    <t>0335222</t>
  </si>
  <si>
    <t>0335224</t>
  </si>
  <si>
    <t>Umlenkung Gurt 35mm Rollenaufnahme OS-o</t>
  </si>
  <si>
    <t>0335225</t>
  </si>
  <si>
    <t>Umlenkung Gurt 35mm Justierwinkel OS-o</t>
  </si>
  <si>
    <t>0335226</t>
  </si>
  <si>
    <t>Umlenkung Gurt 35mm Lagerbolzen OS-o</t>
  </si>
  <si>
    <t>0335227</t>
  </si>
  <si>
    <t>Umlenkung Gurt 35mm Flachstahl OS-o</t>
  </si>
  <si>
    <t>0335234</t>
  </si>
  <si>
    <t>Winkel Kettenumlenkung OS</t>
  </si>
  <si>
    <t>0335235</t>
  </si>
  <si>
    <t>0335236</t>
  </si>
  <si>
    <t>0335237</t>
  </si>
  <si>
    <t>0335238</t>
  </si>
  <si>
    <t>Kettenumlenkungsprofil Blendenhalter OSv</t>
  </si>
  <si>
    <t>0335239</t>
  </si>
  <si>
    <t>Kettenumlenk Pufferaufnahme OS-vertikal</t>
  </si>
  <si>
    <t>0335240</t>
  </si>
  <si>
    <t>0335241</t>
  </si>
  <si>
    <t>0335242</t>
  </si>
  <si>
    <t>0335243</t>
  </si>
  <si>
    <t>0335244</t>
  </si>
  <si>
    <t>0335245</t>
  </si>
  <si>
    <t>0335246</t>
  </si>
  <si>
    <t>0335247</t>
  </si>
  <si>
    <t>0335248</t>
  </si>
  <si>
    <t>0335249</t>
  </si>
  <si>
    <t>0335250</t>
  </si>
  <si>
    <t>0335251</t>
  </si>
  <si>
    <t>0335252</t>
  </si>
  <si>
    <t>0335253</t>
  </si>
  <si>
    <t>0335254</t>
  </si>
  <si>
    <t>0335255</t>
  </si>
  <si>
    <t>0335256</t>
  </si>
  <si>
    <t>0335257</t>
  </si>
  <si>
    <t>0335258</t>
  </si>
  <si>
    <t>0335259</t>
  </si>
  <si>
    <t>0335260</t>
  </si>
  <si>
    <t>0335261</t>
  </si>
  <si>
    <t>0335262</t>
  </si>
  <si>
    <t>0335266</t>
  </si>
  <si>
    <t>0335268</t>
  </si>
  <si>
    <t>0335308</t>
  </si>
  <si>
    <t>0335309</t>
  </si>
  <si>
    <t>Gurtklemme ohne Gewinde für OS vertikal</t>
  </si>
  <si>
    <t>0335310</t>
  </si>
  <si>
    <t>Gurtklemme mit Gewinde für OS vertikal</t>
  </si>
  <si>
    <t>0335311</t>
  </si>
  <si>
    <t>0335312</t>
  </si>
  <si>
    <t>0335314</t>
  </si>
  <si>
    <t>Hangrollenaufnahme OS horizontal                      1</t>
  </si>
  <si>
    <t>0335331</t>
  </si>
  <si>
    <t>Eckverbinder Antrieb rechts Antrie.seite              1</t>
  </si>
  <si>
    <t>0335332</t>
  </si>
  <si>
    <t>Eckverbinder Antrieb rechts Gegenseite                1</t>
  </si>
  <si>
    <t>0335333</t>
  </si>
  <si>
    <t>Eckverbinder Antrieb links Antrie.seite               1</t>
  </si>
  <si>
    <t>0335334</t>
  </si>
  <si>
    <t>Eckverbinder Antrieb links Gegenseite                 1</t>
  </si>
  <si>
    <t>0335335</t>
  </si>
  <si>
    <t>0335336</t>
  </si>
  <si>
    <t>Eckverbinder Kettenantrieb OS-vertikal</t>
  </si>
  <si>
    <t>0335337</t>
  </si>
  <si>
    <t>0335338</t>
  </si>
  <si>
    <t>0335503</t>
  </si>
  <si>
    <t>0335508</t>
  </si>
  <si>
    <t>0335513</t>
  </si>
  <si>
    <t>0335514</t>
  </si>
  <si>
    <t>0335520</t>
  </si>
  <si>
    <t>0335523</t>
  </si>
  <si>
    <t>0335524</t>
  </si>
  <si>
    <t>0335528</t>
  </si>
  <si>
    <t>0335533</t>
  </si>
  <si>
    <t>0335534</t>
  </si>
  <si>
    <t>0335543</t>
  </si>
  <si>
    <t>0335544</t>
  </si>
  <si>
    <t>0335553</t>
  </si>
  <si>
    <t>0335554</t>
  </si>
  <si>
    <t>0335563</t>
  </si>
  <si>
    <t>0335564</t>
  </si>
  <si>
    <t>0335602</t>
  </si>
  <si>
    <t>Halter Ovalschiene OS-horizontal</t>
  </si>
  <si>
    <t>0335603</t>
  </si>
  <si>
    <t>Wandwinkel Ovalschiene OS-horizontal</t>
  </si>
  <si>
    <t>0335604</t>
  </si>
  <si>
    <t>Stoßverbinder Ovalschiene OS/RGT</t>
  </si>
  <si>
    <t>0335611</t>
  </si>
  <si>
    <t>0335705</t>
  </si>
  <si>
    <t>0335706</t>
  </si>
  <si>
    <t>0335707</t>
  </si>
  <si>
    <t>Kantung Schieberführung OS-h V2A</t>
  </si>
  <si>
    <t>0335715</t>
  </si>
  <si>
    <t>0335716</t>
  </si>
  <si>
    <t>Enddeckel für Gewichtskasten OS-hori re</t>
  </si>
  <si>
    <t>0335717</t>
  </si>
  <si>
    <t>Enddeckel für Gewichtskasten OS-hori li</t>
  </si>
  <si>
    <t>0335718</t>
  </si>
  <si>
    <t>0335719</t>
  </si>
  <si>
    <t>0335720</t>
  </si>
  <si>
    <t>Gewichtsverkleidung Motorseite OS hori                1</t>
  </si>
  <si>
    <t>0335721</t>
  </si>
  <si>
    <t>0335722</t>
  </si>
  <si>
    <t>0335723</t>
  </si>
  <si>
    <t>0335724</t>
  </si>
  <si>
    <t>0336000</t>
  </si>
  <si>
    <t>ECClos-S Festfeldkonsole 300 mm                       2</t>
  </si>
  <si>
    <t>0336001</t>
  </si>
  <si>
    <t>ECClos-S Festfeldkonsole 500 mm                       2</t>
  </si>
  <si>
    <t>0336002</t>
  </si>
  <si>
    <t>0336003</t>
  </si>
  <si>
    <t>0336004</t>
  </si>
  <si>
    <t>0336005</t>
  </si>
  <si>
    <t>0336006</t>
  </si>
  <si>
    <t>0336007</t>
  </si>
  <si>
    <t>ECClos-S Verkrallungsmutter Edelstahl</t>
  </si>
  <si>
    <t>0336011</t>
  </si>
  <si>
    <t>0336012</t>
  </si>
  <si>
    <t>0336013</t>
  </si>
  <si>
    <t>0336014</t>
  </si>
  <si>
    <t>0336018</t>
  </si>
  <si>
    <t>ECClos-S vertikal Gurtanbindung 74mm                  3</t>
  </si>
  <si>
    <t>0336019</t>
  </si>
  <si>
    <t>0336020</t>
  </si>
  <si>
    <t>0336021</t>
  </si>
  <si>
    <t>0336022</t>
  </si>
  <si>
    <t>0336023</t>
  </si>
  <si>
    <t>0336024</t>
  </si>
  <si>
    <t>0336025</t>
  </si>
  <si>
    <t>0336026</t>
  </si>
  <si>
    <t>0336027</t>
  </si>
  <si>
    <t>0336028</t>
  </si>
  <si>
    <t>0336029</t>
  </si>
  <si>
    <t>0336030</t>
  </si>
  <si>
    <t>0336031</t>
  </si>
  <si>
    <t>0336032</t>
  </si>
  <si>
    <t>0336033</t>
  </si>
  <si>
    <t>0336034</t>
  </si>
  <si>
    <t>0336035</t>
  </si>
  <si>
    <t>0336036</t>
  </si>
  <si>
    <t>0336037</t>
  </si>
  <si>
    <t>0336038</t>
  </si>
  <si>
    <t>0336039</t>
  </si>
  <si>
    <t>0336040</t>
  </si>
  <si>
    <t>0336041</t>
  </si>
  <si>
    <t>0336047</t>
  </si>
  <si>
    <t>0336049</t>
  </si>
  <si>
    <t>0336050</t>
  </si>
  <si>
    <t>ECClos-S vertikal Gurtanbindungsblech                 1</t>
  </si>
  <si>
    <t>0336051</t>
  </si>
  <si>
    <t>0336052</t>
  </si>
  <si>
    <t>0336053</t>
  </si>
  <si>
    <t>0336054</t>
  </si>
  <si>
    <t>0336055</t>
  </si>
  <si>
    <t>0336057</t>
  </si>
  <si>
    <t>0336058</t>
  </si>
  <si>
    <t>0336059</t>
  </si>
  <si>
    <t>0336060</t>
  </si>
  <si>
    <t>0336061</t>
  </si>
  <si>
    <t>0336063</t>
  </si>
  <si>
    <t>0336064</t>
  </si>
  <si>
    <t>0336065</t>
  </si>
  <si>
    <t>0336066</t>
  </si>
  <si>
    <t>0336067</t>
  </si>
  <si>
    <t>0336070</t>
  </si>
  <si>
    <t>0336075</t>
  </si>
  <si>
    <t>0336077</t>
  </si>
  <si>
    <t>0336078</t>
  </si>
  <si>
    <t>0336079</t>
  </si>
  <si>
    <t>0336080</t>
  </si>
  <si>
    <t>ECClos-S horizontal Laufschienen-                     1</t>
  </si>
  <si>
    <t>0336081</t>
  </si>
  <si>
    <t>0336083</t>
  </si>
  <si>
    <t>0336085</t>
  </si>
  <si>
    <t>ECClos-S horizontal Doppellaufwerk-                   4</t>
  </si>
  <si>
    <t>0336086</t>
  </si>
  <si>
    <t>ECClos-S horizontal Doppellaufwerk-                   5</t>
  </si>
  <si>
    <t>0336087</t>
  </si>
  <si>
    <t>0336088</t>
  </si>
  <si>
    <t>ECClos-S horizontal Doppellaufwerk                    5</t>
  </si>
  <si>
    <t>0336089</t>
  </si>
  <si>
    <t>ECClos-S horizontal Doppellaufwerk                   10</t>
  </si>
  <si>
    <t>0336090</t>
  </si>
  <si>
    <t>0336091</t>
  </si>
  <si>
    <t>0336092</t>
  </si>
  <si>
    <t>0336094</t>
  </si>
  <si>
    <t>0336095</t>
  </si>
  <si>
    <t>0336096</t>
  </si>
  <si>
    <t>Schieberrahmen oben Eckprofil links</t>
  </si>
  <si>
    <t>0336097</t>
  </si>
  <si>
    <t>0336098</t>
  </si>
  <si>
    <t>0336100</t>
  </si>
  <si>
    <t>ECClos-S Antriebsadapter Motorseite 0,75              6</t>
  </si>
  <si>
    <t>0336101</t>
  </si>
  <si>
    <t>Antriebswellenadapter Lagerseite                      1</t>
  </si>
  <si>
    <t>0336102</t>
  </si>
  <si>
    <t>Lagerwellenaufnahme Gurtantrieb 0,75 kW               1</t>
  </si>
  <si>
    <t>0336103</t>
  </si>
  <si>
    <t>0336104</t>
  </si>
  <si>
    <t>Gurtscheibe für ECClos-S vertiakl                     1</t>
  </si>
  <si>
    <t>0336105</t>
  </si>
  <si>
    <t>0336106</t>
  </si>
  <si>
    <t>0336107</t>
  </si>
  <si>
    <t>ECClos-S vert.Motorkon Antrieb 0,75kW                 1</t>
  </si>
  <si>
    <t>0336108</t>
  </si>
  <si>
    <t>ECClos-S vert.Lagerkons. Antrieb 0,75kW               1</t>
  </si>
  <si>
    <t>0336109</t>
  </si>
  <si>
    <t>Antriebswellenadapter Motorseite VA                   4</t>
  </si>
  <si>
    <t>0336111</t>
  </si>
  <si>
    <t>0336112</t>
  </si>
  <si>
    <t>0336113</t>
  </si>
  <si>
    <t>ECClos-S vert.Lagerkon Gewinde 1,5kW                  3</t>
  </si>
  <si>
    <t>0336114</t>
  </si>
  <si>
    <t>ECClos-S vertikal Gurtantrieb 1,5 kW                  3</t>
  </si>
  <si>
    <t>0336117</t>
  </si>
  <si>
    <t>0336118</t>
  </si>
  <si>
    <t>ECClos-S vertikal Gurtantrieb 74 mm                   2</t>
  </si>
  <si>
    <t>0336119</t>
  </si>
  <si>
    <t>ECClos-S vertikal Gurtantrieb 1,5 KW V2A              7</t>
  </si>
  <si>
    <t>0336120</t>
  </si>
  <si>
    <t>ECClos-S vertikal Gurtantrieb 1,5 KW V2A              6</t>
  </si>
  <si>
    <t>0336121</t>
  </si>
  <si>
    <t>ECClos-S vertikal Motorkonsole FGA 1353               3</t>
  </si>
  <si>
    <t>0336123</t>
  </si>
  <si>
    <t>0336125</t>
  </si>
  <si>
    <t>0336126</t>
  </si>
  <si>
    <t>0336128</t>
  </si>
  <si>
    <t>0336129</t>
  </si>
  <si>
    <t>0336131</t>
  </si>
  <si>
    <t>0336136</t>
  </si>
  <si>
    <t>0336137</t>
  </si>
  <si>
    <t>0336138</t>
  </si>
  <si>
    <t>Blendenauflage Kettenumlenkungsprofil                 3</t>
  </si>
  <si>
    <t>0336143</t>
  </si>
  <si>
    <t>0336144</t>
  </si>
  <si>
    <t>0336145</t>
  </si>
  <si>
    <t>ECClos-S vertikal Schieberrahmen                      4</t>
  </si>
  <si>
    <t>0336148</t>
  </si>
  <si>
    <t>0336149</t>
  </si>
  <si>
    <t>0336185</t>
  </si>
  <si>
    <t>0336186</t>
  </si>
  <si>
    <t>0336187</t>
  </si>
  <si>
    <t>ECClos-S vertikal Gurtanbindung 35mm                  1</t>
  </si>
  <si>
    <t>0336188</t>
  </si>
  <si>
    <t>0336189</t>
  </si>
  <si>
    <t>0336190</t>
  </si>
  <si>
    <t>Antrieb EB 71 rechts                                 43</t>
  </si>
  <si>
    <t>0336191</t>
  </si>
  <si>
    <t>Antrieb EB 72 rechts                                 45</t>
  </si>
  <si>
    <t>0336192</t>
  </si>
  <si>
    <t>Antrieb EB 73 rechts                                 80</t>
  </si>
  <si>
    <t>0336193</t>
  </si>
  <si>
    <t>Antrieb EB 72 WS rechts                              58</t>
  </si>
  <si>
    <t>0336194</t>
  </si>
  <si>
    <t>Antrieb EB 73 WS rechts</t>
  </si>
  <si>
    <t>0336196</t>
  </si>
  <si>
    <t>Antriebssystem EB 91                                 55</t>
  </si>
  <si>
    <t>0336197</t>
  </si>
  <si>
    <t>Antriebssystem EB 91  Konsole</t>
  </si>
  <si>
    <t>0336198</t>
  </si>
  <si>
    <t>Antriebssystem EB 92</t>
  </si>
  <si>
    <t>0336199</t>
  </si>
  <si>
    <t>Antriebssystem EB 92  Konsole</t>
  </si>
  <si>
    <t>0336201</t>
  </si>
  <si>
    <t>0336202</t>
  </si>
  <si>
    <t>0336203</t>
  </si>
  <si>
    <t>0336208</t>
  </si>
  <si>
    <t>Antriebssystem EB 73S</t>
  </si>
  <si>
    <t>0336209</t>
  </si>
  <si>
    <t>0336227</t>
  </si>
  <si>
    <t>ECClos-S Universalbefestigungswinkel                  1</t>
  </si>
  <si>
    <t>0336228</t>
  </si>
  <si>
    <t>0336229</t>
  </si>
  <si>
    <t>0336230</t>
  </si>
  <si>
    <t>Verriegelungshaken links Klappenrahmen                2</t>
  </si>
  <si>
    <t>0336231</t>
  </si>
  <si>
    <t>Verriegelungshaken rechts Klappenrahmen               2</t>
  </si>
  <si>
    <t>0336232</t>
  </si>
  <si>
    <t>Verriegelungshalter Klappenrahmen</t>
  </si>
  <si>
    <t>0336235</t>
  </si>
  <si>
    <t>0336236</t>
  </si>
  <si>
    <t>Verriegelungsfalle Schieberrahmen</t>
  </si>
  <si>
    <t>0336237</t>
  </si>
  <si>
    <t>ECClos-Q Konstruktionsband                            8</t>
  </si>
  <si>
    <t>0336241</t>
  </si>
  <si>
    <t>0336242</t>
  </si>
  <si>
    <t>Gurtumlenkung ECClos-Q</t>
  </si>
  <si>
    <t>0336246</t>
  </si>
  <si>
    <t>0336250</t>
  </si>
  <si>
    <t>0336251</t>
  </si>
  <si>
    <t>0336252</t>
  </si>
  <si>
    <t>0336253</t>
  </si>
  <si>
    <t>0336254</t>
  </si>
  <si>
    <t>Ausleger Innenteil Antrieb ECClos-Q</t>
  </si>
  <si>
    <t>0336255</t>
  </si>
  <si>
    <t>ECClos-Q Antrieb Auslegerkonsole links                1</t>
  </si>
  <si>
    <t>0336256</t>
  </si>
  <si>
    <t>ECClos-Q Antrieb Auslegerkonsole rechts               1</t>
  </si>
  <si>
    <t>0336257</t>
  </si>
  <si>
    <t>Antriebswelle ECClos-Q 180 W Motor                    4</t>
  </si>
  <si>
    <t>0336259</t>
  </si>
  <si>
    <t>0336261</t>
  </si>
  <si>
    <t>ECClos-Q Zusatzgewicht Verriegelungsrohr              2</t>
  </si>
  <si>
    <t>0336270</t>
  </si>
  <si>
    <t>0336271</t>
  </si>
  <si>
    <t>ECClos-S vertikal Gurtanbindung 74 mm                15</t>
  </si>
  <si>
    <t>0336272</t>
  </si>
  <si>
    <t>ECClos-S vertikal Gurtanbindung                       3</t>
  </si>
  <si>
    <t>0336273</t>
  </si>
  <si>
    <t>ECClos-S vertikal Kettenanbindung 08B                 4</t>
  </si>
  <si>
    <t>0336274</t>
  </si>
  <si>
    <t>ECClos-S vertikal versetze Gurtanbindung              5</t>
  </si>
  <si>
    <t>0336275</t>
  </si>
  <si>
    <t>0336276</t>
  </si>
  <si>
    <t>Baugruppe Endschalter mit Verschraubung               3</t>
  </si>
  <si>
    <t>0336278</t>
  </si>
  <si>
    <t>Baugruppe Endschalter geschlossen                     6</t>
  </si>
  <si>
    <t>0336297</t>
  </si>
  <si>
    <t>Gurtklemme 25 mm Gurt</t>
  </si>
  <si>
    <t>0336298</t>
  </si>
  <si>
    <t>0336299</t>
  </si>
  <si>
    <t>0336300</t>
  </si>
  <si>
    <t>0336301</t>
  </si>
  <si>
    <t>0336305</t>
  </si>
  <si>
    <t>Laufrollenaufnahme ECClos-K horizontal                1</t>
  </si>
  <si>
    <t>0336306</t>
  </si>
  <si>
    <t>0336307</t>
  </si>
  <si>
    <t>0336308</t>
  </si>
  <si>
    <t>0336309</t>
  </si>
  <si>
    <t>0336310</t>
  </si>
  <si>
    <t>0336314</t>
  </si>
  <si>
    <t>0336315</t>
  </si>
  <si>
    <t>0336316</t>
  </si>
  <si>
    <t>0336317</t>
  </si>
  <si>
    <t>0336318</t>
  </si>
  <si>
    <t>0336319</t>
  </si>
  <si>
    <t>0336320</t>
  </si>
  <si>
    <t>0336321</t>
  </si>
  <si>
    <t>0336322</t>
  </si>
  <si>
    <t>0336323</t>
  </si>
  <si>
    <t>Gleitführung ECClos-S horizontal</t>
  </si>
  <si>
    <t>0336324</t>
  </si>
  <si>
    <t>0336325</t>
  </si>
  <si>
    <t>0336326</t>
  </si>
  <si>
    <t>Gleitführung für ECClos-S horizontal</t>
  </si>
  <si>
    <t>0336327</t>
  </si>
  <si>
    <t>Gleitführung für ECClos-S horizontal                  1</t>
  </si>
  <si>
    <t>0336328</t>
  </si>
  <si>
    <t>Unterleger Antriebswellenadapter 2,0 mm               1</t>
  </si>
  <si>
    <t>0336329</t>
  </si>
  <si>
    <t>0336330</t>
  </si>
  <si>
    <t>Unterleger Antriebswellenadapter 0,8 mm</t>
  </si>
  <si>
    <t>0336331</t>
  </si>
  <si>
    <t>Antrieb EB 73 WS links</t>
  </si>
  <si>
    <t>0336332</t>
  </si>
  <si>
    <t>Antrieb EB 72 WS links                               58</t>
  </si>
  <si>
    <t>0336333</t>
  </si>
  <si>
    <t>Antrieb EB 73 links</t>
  </si>
  <si>
    <t>0336334</t>
  </si>
  <si>
    <t>Antrieb EB 72 links                                  67</t>
  </si>
  <si>
    <t>0336335</t>
  </si>
  <si>
    <t>Antrieb EB 71 links                                  49</t>
  </si>
  <si>
    <t>0336336</t>
  </si>
  <si>
    <t>0336337</t>
  </si>
  <si>
    <t>Antrieb EB 73 nach oben gedreht links</t>
  </si>
  <si>
    <t>0336338</t>
  </si>
  <si>
    <t>0336339</t>
  </si>
  <si>
    <t>0336340</t>
  </si>
  <si>
    <t>0336342</t>
  </si>
  <si>
    <t>0336343</t>
  </si>
  <si>
    <t>0336344</t>
  </si>
  <si>
    <t>Führungsrollenhalter r0 FPO Rolle</t>
  </si>
  <si>
    <t>0336345</t>
  </si>
  <si>
    <t>0336346</t>
  </si>
  <si>
    <t>0336347</t>
  </si>
  <si>
    <t>0336348</t>
  </si>
  <si>
    <t>0336349</t>
  </si>
  <si>
    <t>0336350</t>
  </si>
  <si>
    <t>Führungsrollenhalter unten                            2</t>
  </si>
  <si>
    <t>0336351</t>
  </si>
  <si>
    <t>Versteifung Führungsrollenh. unten</t>
  </si>
  <si>
    <t>0336352</t>
  </si>
  <si>
    <t>0336353</t>
  </si>
  <si>
    <t>Führungsrollenhalterung SR nach links                 3</t>
  </si>
  <si>
    <t>0336354</t>
  </si>
  <si>
    <t>0336355</t>
  </si>
  <si>
    <t>0336356</t>
  </si>
  <si>
    <t>Haltewinkel Führungsprofil oben</t>
  </si>
  <si>
    <t>0336357</t>
  </si>
  <si>
    <t>0336359</t>
  </si>
  <si>
    <t>0336361</t>
  </si>
  <si>
    <t>0336362</t>
  </si>
  <si>
    <t>0336363</t>
  </si>
  <si>
    <t>0336364</t>
  </si>
  <si>
    <t>0336365</t>
  </si>
  <si>
    <t>0336366</t>
  </si>
  <si>
    <t>Teller Zwischenprofil hinten</t>
  </si>
  <si>
    <t>0336367</t>
  </si>
  <si>
    <t>0336368</t>
  </si>
  <si>
    <t>0336372</t>
  </si>
  <si>
    <t>Laufwerksrevisionsblech</t>
  </si>
  <si>
    <t>0336373</t>
  </si>
  <si>
    <t>Laufwerksrevisionsblechunterleger</t>
  </si>
  <si>
    <t>0336390</t>
  </si>
  <si>
    <t>0336391</t>
  </si>
  <si>
    <t>0336393</t>
  </si>
  <si>
    <t>0336394</t>
  </si>
  <si>
    <t>0336402</t>
  </si>
  <si>
    <t>0336425</t>
  </si>
  <si>
    <t>0336426</t>
  </si>
  <si>
    <t>Zusatzführungsrollen oben</t>
  </si>
  <si>
    <t>0336427</t>
  </si>
  <si>
    <t>Abdeckblech außen ECClos-K horizontal</t>
  </si>
  <si>
    <t>0336428</t>
  </si>
  <si>
    <t>Abdeckblech Laufwerk ECClos-K hor.</t>
  </si>
  <si>
    <t>0336429</t>
  </si>
  <si>
    <t>Abdeckblech innen ECClos-K hor.</t>
  </si>
  <si>
    <t>0336430</t>
  </si>
  <si>
    <t>0336432</t>
  </si>
  <si>
    <t>0336433</t>
  </si>
  <si>
    <t>0336434</t>
  </si>
  <si>
    <t>Deckblech Festfeld ECClos-K oben</t>
  </si>
  <si>
    <t>0336435</t>
  </si>
  <si>
    <t>Gewichtskasten B-Gewichte ECClos-K</t>
  </si>
  <si>
    <t>0336436</t>
  </si>
  <si>
    <t>Gewichtskasten RGT-Gewichte ECClos-K</t>
  </si>
  <si>
    <t>0336437</t>
  </si>
  <si>
    <t>Gewichtsabdeckung Doppelschließgewichts-</t>
  </si>
  <si>
    <t>0336438</t>
  </si>
  <si>
    <t>Enddeckel Gewichtskasten B-Gewichte</t>
  </si>
  <si>
    <t>0336439</t>
  </si>
  <si>
    <t>Enddeckel Gewichtskasten RGT-Gewichte</t>
  </si>
  <si>
    <t>0336440</t>
  </si>
  <si>
    <t>Enddeckel Gewichtskasten Doppelschließ-</t>
  </si>
  <si>
    <t>0336456</t>
  </si>
  <si>
    <t>0336461</t>
  </si>
  <si>
    <t>0336462</t>
  </si>
  <si>
    <t>0336463</t>
  </si>
  <si>
    <t>Verbindungsstück C-Profil 400mm</t>
  </si>
  <si>
    <t>0336464</t>
  </si>
  <si>
    <t>0336465</t>
  </si>
  <si>
    <t>0336466</t>
  </si>
  <si>
    <t>C-Profil 400 mm</t>
  </si>
  <si>
    <t>0336467</t>
  </si>
  <si>
    <t>0336471</t>
  </si>
  <si>
    <t>0336472</t>
  </si>
  <si>
    <t>0336478</t>
  </si>
  <si>
    <t>Halter Gurtumlenkung Schließgewicht                   3</t>
  </si>
  <si>
    <t>0336479</t>
  </si>
  <si>
    <t>ECClos-S vertikal Unterleger Gurtklemme               2</t>
  </si>
  <si>
    <t>0336480</t>
  </si>
  <si>
    <t>Antriebskonsole manueller Antrieb                     4</t>
  </si>
  <si>
    <t>0336481</t>
  </si>
  <si>
    <t>0336489</t>
  </si>
  <si>
    <t>0336490</t>
  </si>
  <si>
    <t>0336491</t>
  </si>
  <si>
    <t>0336492</t>
  </si>
  <si>
    <t>C-Profil 400mm mit Verbindungslöchern</t>
  </si>
  <si>
    <t>0336493</t>
  </si>
  <si>
    <t>0336494</t>
  </si>
  <si>
    <t>0338000</t>
  </si>
  <si>
    <t>0338001</t>
  </si>
  <si>
    <t>Haltekonsole Gurtumlenkung Laufschiene                1</t>
  </si>
  <si>
    <t>0338002</t>
  </si>
  <si>
    <t>Gehäuse Gurtumlenkung GCC hor.                        1</t>
  </si>
  <si>
    <t>0338003</t>
  </si>
  <si>
    <t>Gurtumlenkung 25mm Gurt GCC hor.                      2</t>
  </si>
  <si>
    <t>0338004</t>
  </si>
  <si>
    <t>Antriebsgehäuse Aussenteil GCC hor.                   5</t>
  </si>
  <si>
    <t>0338005</t>
  </si>
  <si>
    <t>0338006</t>
  </si>
  <si>
    <t>Antriebsgehäuse GCC hor.                              2</t>
  </si>
  <si>
    <t>0338007</t>
  </si>
  <si>
    <t>Antriebssystem motorisch GCC hor.                    55</t>
  </si>
  <si>
    <t>0338008</t>
  </si>
  <si>
    <t>0338009</t>
  </si>
  <si>
    <t>0338010</t>
  </si>
  <si>
    <t>0338011</t>
  </si>
  <si>
    <t>0338012</t>
  </si>
  <si>
    <t>Grundplatte Laufwerk GCC hor.                         1</t>
  </si>
  <si>
    <t>0338013</t>
  </si>
  <si>
    <t>Laufrollenhalter Laufwerk GCC hor.                    1</t>
  </si>
  <si>
    <t>0338014</t>
  </si>
  <si>
    <t>Laufwerk GCC horizontal</t>
  </si>
  <si>
    <t>0338015</t>
  </si>
  <si>
    <t>Schieberführungsrolle r0 Konsole GCC</t>
  </si>
  <si>
    <t>0338016</t>
  </si>
  <si>
    <t>0338017</t>
  </si>
  <si>
    <t>Konsole r0 300 mm GCC                                 3</t>
  </si>
  <si>
    <t>0338019</t>
  </si>
  <si>
    <t>0338020</t>
  </si>
  <si>
    <t>0338021</t>
  </si>
  <si>
    <t>0338022</t>
  </si>
  <si>
    <t>0338023</t>
  </si>
  <si>
    <t>0338024</t>
  </si>
  <si>
    <t>Konsole r0 400 mm GCC                                 4</t>
  </si>
  <si>
    <t>Konsole r0 500 mm GCC                                 4</t>
  </si>
  <si>
    <t>0338027</t>
  </si>
  <si>
    <t>0338028</t>
  </si>
  <si>
    <t>0338029</t>
  </si>
  <si>
    <t>0338031</t>
  </si>
  <si>
    <t>0338033</t>
  </si>
  <si>
    <t>Gurtanbindeplatte Schieberblatt 35 mm                 3</t>
  </si>
  <si>
    <t>0338034</t>
  </si>
  <si>
    <t>Befestígungsspange Schieberführungs-</t>
  </si>
  <si>
    <t>0338035</t>
  </si>
  <si>
    <t>Motorhalter 180W bis 750W GCC vertikal                4</t>
  </si>
  <si>
    <t>0338036</t>
  </si>
  <si>
    <t>Motorhalter 180W bis 750W GCC vertikal                6</t>
  </si>
  <si>
    <t>0338037</t>
  </si>
  <si>
    <t>0338038</t>
  </si>
  <si>
    <t>0338039</t>
  </si>
  <si>
    <t>0338040</t>
  </si>
  <si>
    <t>0338041</t>
  </si>
  <si>
    <t>0338042</t>
  </si>
  <si>
    <t>0338043</t>
  </si>
  <si>
    <t>0338049</t>
  </si>
  <si>
    <t>0338052</t>
  </si>
  <si>
    <t>0338053</t>
  </si>
  <si>
    <t>0338054</t>
  </si>
  <si>
    <t>Schließgewichtsblech 2,5mm GCC-hor.</t>
  </si>
  <si>
    <t>0399999</t>
  </si>
  <si>
    <t>Sammelartikel für OS                                  4</t>
  </si>
  <si>
    <t>0400002</t>
  </si>
  <si>
    <t>Gewebefertigung SIT</t>
  </si>
  <si>
    <t>0400003</t>
  </si>
  <si>
    <t>Abschlussleistenfertigung SIT</t>
  </si>
  <si>
    <t>0400004</t>
  </si>
  <si>
    <t>Rohrfertigung SIT</t>
  </si>
  <si>
    <t>0400005</t>
  </si>
  <si>
    <t>Manschettenfertigung SIT</t>
  </si>
  <si>
    <t>0400006</t>
  </si>
  <si>
    <t>RÜCKMELDUNG ZEIT KST_xxxx</t>
  </si>
  <si>
    <t>0400007</t>
  </si>
  <si>
    <t>CopyCap Fertigung SIT</t>
  </si>
  <si>
    <t>0400008</t>
  </si>
  <si>
    <t>Artikel zur Weiterberechnung</t>
  </si>
  <si>
    <t>0400009</t>
  </si>
  <si>
    <t>Gewebefertigung SIT für Entwicklung</t>
  </si>
  <si>
    <t>0400010</t>
  </si>
  <si>
    <t>Fertigung SIT Fibershield-I EI30/60</t>
  </si>
  <si>
    <t>0400011</t>
  </si>
  <si>
    <t>0400012</t>
  </si>
  <si>
    <t>Intumatfertigung (auftragsbezogen</t>
  </si>
  <si>
    <t>0400013</t>
  </si>
  <si>
    <t>Wartungs-/Montageschulung</t>
  </si>
  <si>
    <t>0400014</t>
  </si>
  <si>
    <t>Abschlussleistenfertigung SIT für Ent-</t>
  </si>
  <si>
    <t>0400015</t>
  </si>
  <si>
    <t>Rohrfertigung SIT für Entwicklung</t>
  </si>
  <si>
    <t>0400016</t>
  </si>
  <si>
    <t>Abschlussleistenfertigung Fibershield-S</t>
  </si>
  <si>
    <t>0400510</t>
  </si>
  <si>
    <t>Komponente SIT</t>
  </si>
  <si>
    <t>0401010</t>
  </si>
  <si>
    <t>Ingenieur für Konstruktion</t>
  </si>
  <si>
    <t>0401011</t>
  </si>
  <si>
    <t>Supervisor für Montage und Schulung</t>
  </si>
  <si>
    <t>0401012</t>
  </si>
  <si>
    <t>Facharbeiter für Montage und Schulung</t>
  </si>
  <si>
    <t>0401013</t>
  </si>
  <si>
    <t>Helfer für Montage und Schulung</t>
  </si>
  <si>
    <t>0401021</t>
  </si>
  <si>
    <t>Installationsarbeiten Elektrik Fachkraft</t>
  </si>
  <si>
    <t>0401031</t>
  </si>
  <si>
    <t>Schulung für interne Kunden</t>
  </si>
  <si>
    <t>0401032</t>
  </si>
  <si>
    <t>Schulung für externe Kunden</t>
  </si>
  <si>
    <t>0501001</t>
  </si>
  <si>
    <t>Rillenkugellager 6007 2Z</t>
  </si>
  <si>
    <t>0501002</t>
  </si>
  <si>
    <t>Rillenkugellager 6200 2Z</t>
  </si>
  <si>
    <t>0501004</t>
  </si>
  <si>
    <t>Rillenkugellager 6002.2ZR</t>
  </si>
  <si>
    <t>0501005</t>
  </si>
  <si>
    <t>Rillenkugellager 6001 2RSR</t>
  </si>
  <si>
    <t>0501006</t>
  </si>
  <si>
    <t>Rillenkugellager 6306 2ZR</t>
  </si>
  <si>
    <t>0501007</t>
  </si>
  <si>
    <t>Rillenkugellager 626.2RSR</t>
  </si>
  <si>
    <t>0501008</t>
  </si>
  <si>
    <t>Rillenkugellager 6006 2RSR</t>
  </si>
  <si>
    <t>0501009</t>
  </si>
  <si>
    <t>Rillenkugellager 6000 2ZR</t>
  </si>
  <si>
    <t>0501010</t>
  </si>
  <si>
    <t>Rillenkugellager 6207-2RS1</t>
  </si>
  <si>
    <t>0501011</t>
  </si>
  <si>
    <t>Rillenkugellager 6001 2ZR</t>
  </si>
  <si>
    <t>0501012</t>
  </si>
  <si>
    <t>Rillenkugellager 61801 2RSR</t>
  </si>
  <si>
    <t>0501013</t>
  </si>
  <si>
    <t>Rillenkugellager W 6000-2RS1</t>
  </si>
  <si>
    <t>0501014</t>
  </si>
  <si>
    <t>Rillenkugellager W6200-2Z</t>
  </si>
  <si>
    <t>0501015</t>
  </si>
  <si>
    <t>Rillenkugellager 6007-2ZNR                            1</t>
  </si>
  <si>
    <t>0501016</t>
  </si>
  <si>
    <t>Rillenkugellager 6205 2Z</t>
  </si>
  <si>
    <t>0501017</t>
  </si>
  <si>
    <t>Rillenkugellager 6003 2RSR</t>
  </si>
  <si>
    <t>0501018</t>
  </si>
  <si>
    <t>Rillenkugellager 6200 2RS1</t>
  </si>
  <si>
    <t>0501019</t>
  </si>
  <si>
    <t>Rillenkugellager 6003 2ZR</t>
  </si>
  <si>
    <t>0501020</t>
  </si>
  <si>
    <t>Rillenkugellager 6308.2ZR                             1</t>
  </si>
  <si>
    <t>0501021</t>
  </si>
  <si>
    <t>Rillenkugellager 6201-2ZNR</t>
  </si>
  <si>
    <t>0501022</t>
  </si>
  <si>
    <t>Rillenkugellager 61803-2RSR</t>
  </si>
  <si>
    <t>0501023</t>
  </si>
  <si>
    <t>Rillenkugellager W6306-2Z                             7</t>
  </si>
  <si>
    <t>0501024</t>
  </si>
  <si>
    <t>Rillenkugellager 6206 ZZ</t>
  </si>
  <si>
    <t>0501025</t>
  </si>
  <si>
    <t>Foliengleitlager iglidur</t>
  </si>
  <si>
    <t>0501026</t>
  </si>
  <si>
    <t>Foliengleitlager Glycodur</t>
  </si>
  <si>
    <t>0501027</t>
  </si>
  <si>
    <t>Rillenkugellager W6007 2ZR  Edelstahl                 3</t>
  </si>
  <si>
    <t>0501028</t>
  </si>
  <si>
    <t>Rillenkugellager 6004 2RS1</t>
  </si>
  <si>
    <t>0501029</t>
  </si>
  <si>
    <t>Rillenkugellager 6203 2Z</t>
  </si>
  <si>
    <t>0501030</t>
  </si>
  <si>
    <t>Rillenkugellager 6204 2Z</t>
  </si>
  <si>
    <t>0501031</t>
  </si>
  <si>
    <t>Rillenkugellager 625 2Z</t>
  </si>
  <si>
    <t>0501032</t>
  </si>
  <si>
    <t>Rillenkugellager 624 2Z</t>
  </si>
  <si>
    <t>0501033</t>
  </si>
  <si>
    <t>Rillenkugellager 608.2Z</t>
  </si>
  <si>
    <t>0501034</t>
  </si>
  <si>
    <t>Rillenkugellager 6212.2Z</t>
  </si>
  <si>
    <t>0501035</t>
  </si>
  <si>
    <t>Rillenkugellager W608.2RSR</t>
  </si>
  <si>
    <t>0501036</t>
  </si>
  <si>
    <t>Rillenkugellager S626.2RS (Niro)</t>
  </si>
  <si>
    <t>0501037</t>
  </si>
  <si>
    <t>Rillenkugellager S6000 2ZR (Niro)</t>
  </si>
  <si>
    <t>0501038</t>
  </si>
  <si>
    <t>Rillenkugellager 6201-2RS1</t>
  </si>
  <si>
    <t>0501101</t>
  </si>
  <si>
    <t>Rillenkugellager W6004.2RSR                           1</t>
  </si>
  <si>
    <t>0501201</t>
  </si>
  <si>
    <t>Nadelhülse HK 2012</t>
  </si>
  <si>
    <t>0501202</t>
  </si>
  <si>
    <t>Nadelhülse HK 2016.2RS</t>
  </si>
  <si>
    <t>0501203</t>
  </si>
  <si>
    <t>Nadellager HK 1015 B</t>
  </si>
  <si>
    <t>0501204</t>
  </si>
  <si>
    <t>Nadelhülse HK 2516.2 RS</t>
  </si>
  <si>
    <t>0501205</t>
  </si>
  <si>
    <t>Nadellager HK 0808</t>
  </si>
  <si>
    <t>0501206</t>
  </si>
  <si>
    <t>Pendelkugellager 2203 E-2RS1TN9                       1</t>
  </si>
  <si>
    <t>0501207</t>
  </si>
  <si>
    <t>Nadelhülse HK 2520.2RS</t>
  </si>
  <si>
    <t>0501208</t>
  </si>
  <si>
    <t>Pendelrollenlager 22205 E                             2</t>
  </si>
  <si>
    <t>0501209</t>
  </si>
  <si>
    <t>Wellendichtring 35x52x7   WDR</t>
  </si>
  <si>
    <t>0501210</t>
  </si>
  <si>
    <t>O-Ring 50 x 15 NBR75                                  9</t>
  </si>
  <si>
    <t>0501211</t>
  </si>
  <si>
    <t>Y-Lagerhalter/Gehäuse FYTB 504 M</t>
  </si>
  <si>
    <t>0501212</t>
  </si>
  <si>
    <t>Y-Lager / 1726204-2RS1</t>
  </si>
  <si>
    <t>0501213</t>
  </si>
  <si>
    <t>O-Ring 32,5 x 2,65</t>
  </si>
  <si>
    <t>0501214</t>
  </si>
  <si>
    <t>Y-Flanschlager FYTB 30 TF                             1</t>
  </si>
  <si>
    <t>0501301</t>
  </si>
  <si>
    <t>Hülsenfreilauf HF 1216</t>
  </si>
  <si>
    <t>0501302</t>
  </si>
  <si>
    <t>Nadellager NK 6/10</t>
  </si>
  <si>
    <t>0501303</t>
  </si>
  <si>
    <t>Hülsenfreilauf HF 3520</t>
  </si>
  <si>
    <t>0501304</t>
  </si>
  <si>
    <t>Hülsenfreilauf HF 2016 B</t>
  </si>
  <si>
    <t>0501305</t>
  </si>
  <si>
    <t>Hülsenfreilauf HF 3020</t>
  </si>
  <si>
    <t>0501307</t>
  </si>
  <si>
    <t>Hülsenfreilauf HF 1616</t>
  </si>
  <si>
    <t>0501350</t>
  </si>
  <si>
    <t>Kettenradlager für Antrieb RSV/FSV außen</t>
  </si>
  <si>
    <t>0501351</t>
  </si>
  <si>
    <t>Ritzellager für Antrieb RSV/FSV außen</t>
  </si>
  <si>
    <t>0502000</t>
  </si>
  <si>
    <t>Welle Hangrolle RGT ersetzt durc 0502005</t>
  </si>
  <si>
    <t>0502001</t>
  </si>
  <si>
    <t>Welle Umlenkung</t>
  </si>
  <si>
    <t>0502002</t>
  </si>
  <si>
    <t>Hauptwelle</t>
  </si>
  <si>
    <t>0502003</t>
  </si>
  <si>
    <t>Welle für Lunamat Gurtaufwickler</t>
  </si>
  <si>
    <t>0502004</t>
  </si>
  <si>
    <t>Welle für Hangrolle Uni B</t>
  </si>
  <si>
    <t>0502005</t>
  </si>
  <si>
    <t>Welle für Hangrolle RGT / OS</t>
  </si>
  <si>
    <t>0502006</t>
  </si>
  <si>
    <t>Welle für Hangrolle RGT mit</t>
  </si>
  <si>
    <t>0502007</t>
  </si>
  <si>
    <t>Handradwellen für EB 01</t>
  </si>
  <si>
    <t>0502008</t>
  </si>
  <si>
    <t>Lagerflansch für EB 01                                1</t>
  </si>
  <si>
    <t>0502009</t>
  </si>
  <si>
    <t>Lagerflansch Handrad für EB 02/03                     1</t>
  </si>
  <si>
    <t>0502010</t>
  </si>
  <si>
    <t>Welle für Handrad EB 02/03</t>
  </si>
  <si>
    <t>0502011</t>
  </si>
  <si>
    <t>0502012</t>
  </si>
  <si>
    <t>Welle für Antriebseinheit RSt 52</t>
  </si>
  <si>
    <t>0502013</t>
  </si>
  <si>
    <t>Umlenkung 3 mm Seil Ecotube ,</t>
  </si>
  <si>
    <t>0502014</t>
  </si>
  <si>
    <t>Welle Führungsschiene 190x120 FSA Hori</t>
  </si>
  <si>
    <t>0502015</t>
  </si>
  <si>
    <t>Welle Laibung Führungsschiene 190x120</t>
  </si>
  <si>
    <t>0502016</t>
  </si>
  <si>
    <t>Welle Umlenkung 20/20</t>
  </si>
  <si>
    <t>0502017</t>
  </si>
  <si>
    <t>Achse für Laufrolle 0151025 RGT</t>
  </si>
  <si>
    <t>0502018</t>
  </si>
  <si>
    <t>Bolzen für Verriegelung Servotronic                   4</t>
  </si>
  <si>
    <t>0502019</t>
  </si>
  <si>
    <t>Welle für Antriebseinheit  1,5 KW - OC                5</t>
  </si>
  <si>
    <t>0502020</t>
  </si>
  <si>
    <t>Welle Kettenumlenkung - RGT vertikal</t>
  </si>
  <si>
    <t>0502021</t>
  </si>
  <si>
    <t>Rundstahl für Kabeltrommel RS/FSA</t>
  </si>
  <si>
    <t>0502022</t>
  </si>
  <si>
    <t>Umlenkrolle für Kabeltrommel RS/FSA</t>
  </si>
  <si>
    <t>0502023</t>
  </si>
  <si>
    <t>Schlauchtülle aufblasbare Dichtung</t>
  </si>
  <si>
    <t>0502024</t>
  </si>
  <si>
    <t>Scharnierstift 120 Copycap/Fibershield-S</t>
  </si>
  <si>
    <t>0502025</t>
  </si>
  <si>
    <t>Scharnierstift 120x5,5 für Copycap</t>
  </si>
  <si>
    <t>0502026</t>
  </si>
  <si>
    <t>Scharnierstift 140 Copycap</t>
  </si>
  <si>
    <t>0502027</t>
  </si>
  <si>
    <t>Scharnierstift 140x5,5 für Copycap</t>
  </si>
  <si>
    <t>0502030</t>
  </si>
  <si>
    <t>Lageraufnahme Deckenschieber Uni-B groß</t>
  </si>
  <si>
    <t>0502031</t>
  </si>
  <si>
    <t>Lageraufnahme Deckenschieber Uni-B klein</t>
  </si>
  <si>
    <t>0502032</t>
  </si>
  <si>
    <t>Bolzen aussen Fiberseal Evolution</t>
  </si>
  <si>
    <t>0502033</t>
  </si>
  <si>
    <t>Bolzen Mitte Fiberseal Evolution</t>
  </si>
  <si>
    <t>0502034</t>
  </si>
  <si>
    <t>Adapter Nothandöffnung 0,75/1,5 kW Motor</t>
  </si>
  <si>
    <t>0502035</t>
  </si>
  <si>
    <t>Adapter Nothandöffnung 0,18 kW Motor</t>
  </si>
  <si>
    <t>0502036</t>
  </si>
  <si>
    <t>Keilriemenscheibe Art.-Nr. 15311400</t>
  </si>
  <si>
    <t>0502037</t>
  </si>
  <si>
    <t>Keilriemenscheibe Art.-Nr. 15311200</t>
  </si>
  <si>
    <t>0502038</t>
  </si>
  <si>
    <t>Taper Spannbuchse Art.-Nr. 62250425</t>
  </si>
  <si>
    <t>0502039</t>
  </si>
  <si>
    <t>Taper Spannbuchse Art.-Nr. 62250442</t>
  </si>
  <si>
    <t>0502040</t>
  </si>
  <si>
    <t>Welle Winkelgetriebe Fiber-Smokeshield-S</t>
  </si>
  <si>
    <t>0502041</t>
  </si>
  <si>
    <t>Welle Winkelgelenk Fiber-Smokeshield-S                1</t>
  </si>
  <si>
    <t>0502042</t>
  </si>
  <si>
    <t>Kugelflanschlager UCL, Bohrung 25 mm</t>
  </si>
  <si>
    <t>0502043</t>
  </si>
  <si>
    <t>Lagerflansch Handrad mit Dichtung                     3</t>
  </si>
  <si>
    <t>0502044</t>
  </si>
  <si>
    <t>Deckel für Handrad mit Dichtung                       1</t>
  </si>
  <si>
    <t>0502045</t>
  </si>
  <si>
    <t>Flanschlager UCF 206                                  1</t>
  </si>
  <si>
    <t>0502100</t>
  </si>
  <si>
    <t>Welle Durchm. 12x93mm aus St 60</t>
  </si>
  <si>
    <t>0502103</t>
  </si>
  <si>
    <t>Antriebswelle - Uni-B/RGT  Blechgeh.                  1</t>
  </si>
  <si>
    <t>0502104</t>
  </si>
  <si>
    <t>Antriebswelle - RGT vertikal                          1</t>
  </si>
  <si>
    <t>0502105</t>
  </si>
  <si>
    <t>Welle Motorantrieb Duoflap</t>
  </si>
  <si>
    <t>0502106</t>
  </si>
  <si>
    <t>Welle Handantrieb Duoflap</t>
  </si>
  <si>
    <t>0502107</t>
  </si>
  <si>
    <t>Nadelhülsenhalter - Antrieb Duoflap -</t>
  </si>
  <si>
    <t>0502108</t>
  </si>
  <si>
    <t>Zahnrad für Kupplungswelle, Duoflap                   2</t>
  </si>
  <si>
    <t>0502109</t>
  </si>
  <si>
    <t>Zahnrad Antriebswelle, Duoflap                        2</t>
  </si>
  <si>
    <t>0502110</t>
  </si>
  <si>
    <t>Zahn-/Kettenrad für Hebelagenwelle                    2</t>
  </si>
  <si>
    <t>0502111</t>
  </si>
  <si>
    <t>Wellenhalter für Duoflap</t>
  </si>
  <si>
    <t>0502112</t>
  </si>
  <si>
    <t>Kettenrad 10 Zähne für Hebelagenwelle</t>
  </si>
  <si>
    <t>0502113</t>
  </si>
  <si>
    <t>Doppel-Wellengelenk WDL Fibershield-S                 2</t>
  </si>
  <si>
    <t>0502114</t>
  </si>
  <si>
    <t>Einfach-Wellengelenk WE Fibershield-S                 1</t>
  </si>
  <si>
    <t>0502351</t>
  </si>
  <si>
    <t>Antriebswelle  Bauer - Motor für                      1</t>
  </si>
  <si>
    <t>0502352</t>
  </si>
  <si>
    <t>Antriebswelle  Bauer - Motor für                      3</t>
  </si>
  <si>
    <t>0503000</t>
  </si>
  <si>
    <t>Drehbolzen Typ a-y6                                   2</t>
  </si>
  <si>
    <t>0503001</t>
  </si>
  <si>
    <t>Exzenterbolzen, groß für Rillenkugellage</t>
  </si>
  <si>
    <t>0503002</t>
  </si>
  <si>
    <t>Exzenterbolzen, klein, Gewinde 18mm</t>
  </si>
  <si>
    <t>0503003</t>
  </si>
  <si>
    <t>Exzenterbolzen, klein, Gewinde 28mm</t>
  </si>
  <si>
    <t>0503005</t>
  </si>
  <si>
    <t>Drehteil für Druckfeder für RSV aus</t>
  </si>
  <si>
    <t>0503006</t>
  </si>
  <si>
    <t>Lagerbolzen für RSV aus Rundstahl 20mm</t>
  </si>
  <si>
    <t>0503010</t>
  </si>
  <si>
    <t>0503011</t>
  </si>
  <si>
    <t>Exzenterbolzen, klein, Gewinde 28 mm</t>
  </si>
  <si>
    <t>0503012</t>
  </si>
  <si>
    <t>Einschweißbolzen RSt 52-3 110 mm lang</t>
  </si>
  <si>
    <t>0503013</t>
  </si>
  <si>
    <t>Kettenbolzen 12-B OC-Lamellen</t>
  </si>
  <si>
    <t>0503014</t>
  </si>
  <si>
    <t>U-Stahl für Schmelzlotverriegelung Uni-B</t>
  </si>
  <si>
    <t>0503015</t>
  </si>
  <si>
    <t>Flachstahl für Schmelzlotsicherung Uni-B</t>
  </si>
  <si>
    <t>0503016</t>
  </si>
  <si>
    <t>Flachstahl kl. f. Schmelzlotverriegelung</t>
  </si>
  <si>
    <t>0503017</t>
  </si>
  <si>
    <t>Bolzen für Schmelzlotsicherung  Uni B</t>
  </si>
  <si>
    <t>0503018</t>
  </si>
  <si>
    <t>Rundstahl für Schmelzlotverriegelung RGT</t>
  </si>
  <si>
    <t>0503019</t>
  </si>
  <si>
    <t>Kettenbolzen kpl./12-B OC-Lamellen</t>
  </si>
  <si>
    <t>0503023</t>
  </si>
  <si>
    <t>Kettenbolzen kpl./16-B OC-Lamellen</t>
  </si>
  <si>
    <t>0503024</t>
  </si>
  <si>
    <t>Kettenbolzen 16-B OC-Lamellen</t>
  </si>
  <si>
    <t>0503025</t>
  </si>
  <si>
    <t>Kettenbolzen 16-16-B OC-Lamellen</t>
  </si>
  <si>
    <t>0503027</t>
  </si>
  <si>
    <t>Verkrallungsbolzen für obere Lamelle OC</t>
  </si>
  <si>
    <t>0503028</t>
  </si>
  <si>
    <t>Halter für Fangvorrichtung OC-Lam Niedri</t>
  </si>
  <si>
    <t>0503029</t>
  </si>
  <si>
    <t>Flachstahl 40x10x380mm  OC-Lamelle</t>
  </si>
  <si>
    <t>0503030</t>
  </si>
  <si>
    <t>0503031</t>
  </si>
  <si>
    <t>Flachstahl  50x10, l=190mm OC-Lamelle/NG</t>
  </si>
  <si>
    <t>0503032</t>
  </si>
  <si>
    <t>Flachstahl für Magnet OC-Lamelle</t>
  </si>
  <si>
    <t>0503033</t>
  </si>
  <si>
    <t>Flachstahl Magnet untere OC-Lamelle re</t>
  </si>
  <si>
    <t>0503034</t>
  </si>
  <si>
    <t>Flachstahl 40x10x200mm für Buchse 091404</t>
  </si>
  <si>
    <t>0503035</t>
  </si>
  <si>
    <t>Hilfskantung für Lamelle OC</t>
  </si>
  <si>
    <t>0503036</t>
  </si>
  <si>
    <t>Hilfskantung Niedrigsturz OC-Lamelle</t>
  </si>
  <si>
    <t>0503037</t>
  </si>
  <si>
    <t>Gegenlager für Gravity Fail - RSV/FSV</t>
  </si>
  <si>
    <t>0503038</t>
  </si>
  <si>
    <t>Bolzen Gegenlager fest RS/FSA/RSA</t>
  </si>
  <si>
    <t>0503039</t>
  </si>
  <si>
    <t>Flachstahl für untere Lamelle 16+16-B OC              1</t>
  </si>
  <si>
    <t>0503040</t>
  </si>
  <si>
    <t>Bolzen Gegenlager RSA feste Lagerung</t>
  </si>
  <si>
    <t>0503041</t>
  </si>
  <si>
    <t>0503042</t>
  </si>
  <si>
    <t>Flachstahl 50x10 OC / Niedrigsturz</t>
  </si>
  <si>
    <t>0503043</t>
  </si>
  <si>
    <t>Flach. 40x10, 160 mm für Buchse 20mm</t>
  </si>
  <si>
    <t>0503044</t>
  </si>
  <si>
    <t>Flachstahl untere Lam re 12 B Niedrig OC</t>
  </si>
  <si>
    <t>0503045</t>
  </si>
  <si>
    <t>Flachstahl untere Lam li 12 B Niedrig OC</t>
  </si>
  <si>
    <t>0503046</t>
  </si>
  <si>
    <t>Flachstahl untere Lam re 16 B Niedrig OC</t>
  </si>
  <si>
    <t>0503047</t>
  </si>
  <si>
    <t>Flachstahl untere Lam li 16 B Niedrig OC</t>
  </si>
  <si>
    <t>0503048</t>
  </si>
  <si>
    <t>Flachstahl Magnet OC-Lamelle unten re</t>
  </si>
  <si>
    <t>0503049</t>
  </si>
  <si>
    <t>Bolzen l=100 mm OC-Lamelle</t>
  </si>
  <si>
    <t>0503050</t>
  </si>
  <si>
    <t>Bolzen l=60 mm OC-Lamelle</t>
  </si>
  <si>
    <t>0503051</t>
  </si>
  <si>
    <t>Flachstahl 50x10x380mm OC-Lamelle                     1</t>
  </si>
  <si>
    <t>0503052</t>
  </si>
  <si>
    <t>Flachstahl 60x12x145 Fibershield-H</t>
  </si>
  <si>
    <t>0503053</t>
  </si>
  <si>
    <t>Flachstahl Einlaufkantung 225x235</t>
  </si>
  <si>
    <t>0503054</t>
  </si>
  <si>
    <t>Flachstahl Führungsschiene 235x150</t>
  </si>
  <si>
    <t>0503055</t>
  </si>
  <si>
    <t>Distanzstück  Führungsschie 235x150 FSA</t>
  </si>
  <si>
    <t>0503056</t>
  </si>
  <si>
    <t>Rechteckrohr Spannseil Einlaufkantung</t>
  </si>
  <si>
    <t>0503057</t>
  </si>
  <si>
    <t>Seilanbindung Ecotube</t>
  </si>
  <si>
    <t>0503058</t>
  </si>
  <si>
    <t>Befestigung Seilumlenkung am Schieber</t>
  </si>
  <si>
    <t>0503060</t>
  </si>
  <si>
    <t>Adapter Seil-Gurt Uni Q</t>
  </si>
  <si>
    <t>0503061</t>
  </si>
  <si>
    <t>Bef. f. Anschlussrohr vorn(mehrf.Rohre)</t>
  </si>
  <si>
    <t>0503062</t>
  </si>
  <si>
    <t>Bef. f. Anschlussrohr hinten(mehrf.Rohre</t>
  </si>
  <si>
    <t>0503063</t>
  </si>
  <si>
    <t>Gegenlagerbolzen Ø 16</t>
  </si>
  <si>
    <t>0503064</t>
  </si>
  <si>
    <t>Lagerstück bis 3500mm Breite Ecoshield</t>
  </si>
  <si>
    <t>0503065</t>
  </si>
  <si>
    <t>Kettenbolzen 12-B OC-Lamellen-NG</t>
  </si>
  <si>
    <t>0503066</t>
  </si>
  <si>
    <t>Kettenbolzen kpl./12-B OC-Lamellen-NG</t>
  </si>
  <si>
    <t>0503067</t>
  </si>
  <si>
    <t>Bolzen Gegenlager fest Rillenkugellager</t>
  </si>
  <si>
    <t>0503068</t>
  </si>
  <si>
    <t>Flachstahl Lamelle OC/EI120</t>
  </si>
  <si>
    <t>0503069</t>
  </si>
  <si>
    <t>Flachstahl Lamelle Niedrigsturz OC/EI120</t>
  </si>
  <si>
    <t>0503070</t>
  </si>
  <si>
    <t>Flachstahl untere Lamelle OC/EI120                    1</t>
  </si>
  <si>
    <t>0503072</t>
  </si>
  <si>
    <t>Lagerstück Moducoil</t>
  </si>
  <si>
    <t>0503073</t>
  </si>
  <si>
    <t>Halter für Fangvorrichtung OC/EI120</t>
  </si>
  <si>
    <t>0503074</t>
  </si>
  <si>
    <t>Flachstahl untere Lamelle Niedr.OC/EI120</t>
  </si>
  <si>
    <t>0503075</t>
  </si>
  <si>
    <t>Halter für Ensschalter OC/EI120</t>
  </si>
  <si>
    <t>0503076</t>
  </si>
  <si>
    <t>Bolzen l=55 mm OC-Lamelle EI120</t>
  </si>
  <si>
    <t>0504001</t>
  </si>
  <si>
    <t>Bundbuchse</t>
  </si>
  <si>
    <t>0504002</t>
  </si>
  <si>
    <t>Lagerbuchse , aufgebohrt</t>
  </si>
  <si>
    <t>0504003</t>
  </si>
  <si>
    <t>0504004</t>
  </si>
  <si>
    <t>0504005</t>
  </si>
  <si>
    <t>0504006</t>
  </si>
  <si>
    <t>0504007</t>
  </si>
  <si>
    <t>Bundbuchse Ø 16x18x24 / 17mm</t>
  </si>
  <si>
    <t>0504008</t>
  </si>
  <si>
    <t>Buchse DA: 12mm, L: 8mm, Bohrung 8mm</t>
  </si>
  <si>
    <t>0504009</t>
  </si>
  <si>
    <t>Buchse DA: 10mm, L: 6mm, Bohrung 6mm</t>
  </si>
  <si>
    <t>0504010</t>
  </si>
  <si>
    <t>Gleitbuchse für OC Sensor</t>
  </si>
  <si>
    <t>0504011</t>
  </si>
  <si>
    <t>0504012</t>
  </si>
  <si>
    <t>Buchse DA:12 L:6 mm Bohrung:8 mm</t>
  </si>
  <si>
    <t>0504013</t>
  </si>
  <si>
    <t>Bundbuchse BB 2017 DU</t>
  </si>
  <si>
    <t>0504014</t>
  </si>
  <si>
    <t>0504016</t>
  </si>
  <si>
    <t>Lagerbuchse</t>
  </si>
  <si>
    <t>0504019</t>
  </si>
  <si>
    <t>0504020</t>
  </si>
  <si>
    <t>Sinterbuchse PCM 161815 B</t>
  </si>
  <si>
    <t>0504021</t>
  </si>
  <si>
    <t>Schwenkbuchse Typ a-y6</t>
  </si>
  <si>
    <t>0504022</t>
  </si>
  <si>
    <t>Sinterbuchse</t>
  </si>
  <si>
    <t>0506001</t>
  </si>
  <si>
    <t>Gewindehülse M16X1,5  60mm lang</t>
  </si>
  <si>
    <t>0506002</t>
  </si>
  <si>
    <t>Gewindestange Rohreinstellung Ecotube</t>
  </si>
  <si>
    <t>0506003</t>
  </si>
  <si>
    <t>Gewindehülse M6x80</t>
  </si>
  <si>
    <t>0507001</t>
  </si>
  <si>
    <t>Kugel</t>
  </si>
  <si>
    <t>0507003</t>
  </si>
  <si>
    <t>Waelzkörper, Art.-Nr. RB-3/G28</t>
  </si>
  <si>
    <t>0508002</t>
  </si>
  <si>
    <t>Seiltromel komplet montiert                           4</t>
  </si>
  <si>
    <t>0532003</t>
  </si>
  <si>
    <t>Welle für Lunamat Gurtaufwickler                      1</t>
  </si>
  <si>
    <t>0532005</t>
  </si>
  <si>
    <t>Welle für Hangrolle RGT / OS V2A</t>
  </si>
  <si>
    <t>0532020</t>
  </si>
  <si>
    <t>Welle Kettenumlenkung - RGT vertikal                  1</t>
  </si>
  <si>
    <t>0532034</t>
  </si>
  <si>
    <t>Adapter Nothandöff 0,75/1,5 kW Motor VA</t>
  </si>
  <si>
    <t>0532035</t>
  </si>
  <si>
    <t>Adapter Nothandöffnung VA 0,18 kW Motor</t>
  </si>
  <si>
    <t>0532042</t>
  </si>
  <si>
    <t>Kugelflanschlager Ø 25 mm                             2</t>
  </si>
  <si>
    <t>0532103</t>
  </si>
  <si>
    <t>Antriebswelle - Uni-B/RGT  Blechgeh.                  2</t>
  </si>
  <si>
    <t>0532104</t>
  </si>
  <si>
    <t>Antriebswelle - RGT vertikal                          3</t>
  </si>
  <si>
    <t>0533024</t>
  </si>
  <si>
    <t>0533028</t>
  </si>
  <si>
    <t>Halter für Fangvorrichtung OC-Lam Niedri              4</t>
  </si>
  <si>
    <t>0533031</t>
  </si>
  <si>
    <t>Flachstahl  50x10, l=190mm OC-Lamelle/NG              1</t>
  </si>
  <si>
    <t>0533032</t>
  </si>
  <si>
    <t>Flachstahl für Magnet OC-Lamelle                      2</t>
  </si>
  <si>
    <t>0533033</t>
  </si>
  <si>
    <t>Flachstahl Magnet untere OC-Lamelle re                4</t>
  </si>
  <si>
    <t>0533035</t>
  </si>
  <si>
    <t>0533046</t>
  </si>
  <si>
    <t>Flachstahl untere Lam re 16 B Niedrig OC              2</t>
  </si>
  <si>
    <t>0533047</t>
  </si>
  <si>
    <t>Flachstahl untere Lam li 16 B Niedrig OC              2</t>
  </si>
  <si>
    <t>0533051</t>
  </si>
  <si>
    <t>Flachstahl 50x10x380mm OC-Lamelle                     2</t>
  </si>
  <si>
    <t>0599999</t>
  </si>
  <si>
    <t>Sammelartikel für Lager und Wellen</t>
  </si>
  <si>
    <t>0701001</t>
  </si>
  <si>
    <t>Feinblech t=1mm verzinkt</t>
  </si>
  <si>
    <t>0701002</t>
  </si>
  <si>
    <t>Feinblech</t>
  </si>
  <si>
    <t>0701003</t>
  </si>
  <si>
    <t>Feinblech                                             1</t>
  </si>
  <si>
    <t>0701004</t>
  </si>
  <si>
    <t>Mittelblech                                           1</t>
  </si>
  <si>
    <t>0701005</t>
  </si>
  <si>
    <t>0701006</t>
  </si>
  <si>
    <t>Feinblech                                             2</t>
  </si>
  <si>
    <t>0701007</t>
  </si>
  <si>
    <t>Feinblech.                                            2</t>
  </si>
  <si>
    <t>0701008</t>
  </si>
  <si>
    <t>Feinblech .</t>
  </si>
  <si>
    <t>0701009</t>
  </si>
  <si>
    <t>Seitendeckel ,  links , schwimmende Lage</t>
  </si>
  <si>
    <t>0701010</t>
  </si>
  <si>
    <t>Seitendeckel  , rechts , schwimmende Lag</t>
  </si>
  <si>
    <t>0701011</t>
  </si>
  <si>
    <t>Gewichtsabdeckung für RGT</t>
  </si>
  <si>
    <t>0701012</t>
  </si>
  <si>
    <t>Blende für obere Traverse für RGT</t>
  </si>
  <si>
    <t>0701013</t>
  </si>
  <si>
    <t>Endblech VO/10 links komplett RGT</t>
  </si>
  <si>
    <t>0701014</t>
  </si>
  <si>
    <t>Stoßverbinder untere Blende schwi RS/FSA</t>
  </si>
  <si>
    <t>0701015</t>
  </si>
  <si>
    <t>Stoßverbinder Gehäuse 190x250 RS/FSA/RSA</t>
  </si>
  <si>
    <t>0701016</t>
  </si>
  <si>
    <t>Abdeckwinkel für Schieber</t>
  </si>
  <si>
    <t>0701017</t>
  </si>
  <si>
    <t>Stoßverbinder Gehäuse 235x290 RS/FSA/RSA</t>
  </si>
  <si>
    <t>0701018</t>
  </si>
  <si>
    <t>Fahne für Endschalter RGT / horizontal /</t>
  </si>
  <si>
    <t>0701019</t>
  </si>
  <si>
    <t>Blende für obere Laufschiene RGT</t>
  </si>
  <si>
    <t>0701020</t>
  </si>
  <si>
    <t>Gewichtsabdeckung RGT horiz.-kl</t>
  </si>
  <si>
    <t>0701021</t>
  </si>
  <si>
    <t>Endblech für Profil C 50 für PN</t>
  </si>
  <si>
    <t>0701022</t>
  </si>
  <si>
    <t>Gewichtsabdeckung RGT vert-gr</t>
  </si>
  <si>
    <t>0701023</t>
  </si>
  <si>
    <t>0701024</t>
  </si>
  <si>
    <t>Blechstreifen für Laibungsstreifen</t>
  </si>
  <si>
    <t>0701025</t>
  </si>
  <si>
    <t>Endblech rechts für Blende RGT horizonta</t>
  </si>
  <si>
    <t>0701026</t>
  </si>
  <si>
    <t>Gehäuserückteil für RSV, 2-teilig,</t>
  </si>
  <si>
    <t>0701027</t>
  </si>
  <si>
    <t>Frontblende für RSV, 2-teilig,</t>
  </si>
  <si>
    <t>0701028</t>
  </si>
  <si>
    <t>Abschlußleiste für RSV</t>
  </si>
  <si>
    <t>0701029</t>
  </si>
  <si>
    <t>Seitendeckel für RSV mit Rollapparat</t>
  </si>
  <si>
    <t>0701030</t>
  </si>
  <si>
    <t>Seitendeckel für RSV ohne Rollapparat</t>
  </si>
  <si>
    <t>0701031</t>
  </si>
  <si>
    <t>0701032</t>
  </si>
  <si>
    <t>Befestigungsblech für Haltemagnet Uni-B</t>
  </si>
  <si>
    <t>0701033</t>
  </si>
  <si>
    <t>Endschalterfahne klein Uni-B</t>
  </si>
  <si>
    <t>0701034</t>
  </si>
  <si>
    <t>Endschalterfahne mittel Uni-B</t>
  </si>
  <si>
    <t>0701035</t>
  </si>
  <si>
    <t>Endschalterfahnegroß nicht mehr benutzen</t>
  </si>
  <si>
    <t>0701036</t>
  </si>
  <si>
    <t>0701037</t>
  </si>
  <si>
    <t>Federseilrollenhalter 80N komplett                    4</t>
  </si>
  <si>
    <t>0701038</t>
  </si>
  <si>
    <t>Federseilrolle 80N++++++++++++++++++++++              4</t>
  </si>
  <si>
    <t>0701039</t>
  </si>
  <si>
    <t>Abhängung für RSV L=2000</t>
  </si>
  <si>
    <t>0701040</t>
  </si>
  <si>
    <t>Endblech VO/10 rechts komplett RGT</t>
  </si>
  <si>
    <t>0701041</t>
  </si>
  <si>
    <t>0701042</t>
  </si>
  <si>
    <t>0701043</t>
  </si>
  <si>
    <t>0701045</t>
  </si>
  <si>
    <t>0701046</t>
  </si>
  <si>
    <t>Aufnahmeblech für Lichtschranke</t>
  </si>
  <si>
    <t>0701047</t>
  </si>
  <si>
    <t>Gewichtsabdeckung</t>
  </si>
  <si>
    <t>0701048</t>
  </si>
  <si>
    <t>Rahmenprofil , oben</t>
  </si>
  <si>
    <t>0701049</t>
  </si>
  <si>
    <t>0701050</t>
  </si>
  <si>
    <t>Kupfer - Blech</t>
  </si>
  <si>
    <t>0701051</t>
  </si>
  <si>
    <t>Rahmenprofil , seitlich</t>
  </si>
  <si>
    <t>0701052</t>
  </si>
  <si>
    <t>Gehäuserückteil für RSV</t>
  </si>
  <si>
    <t>0701053</t>
  </si>
  <si>
    <t>Gehäuserückteil für RSV zweiteilig</t>
  </si>
  <si>
    <t>0701054</t>
  </si>
  <si>
    <t>0701055</t>
  </si>
  <si>
    <t>Grobblech, schwarz, bebeizt, gefettet,                2</t>
  </si>
  <si>
    <t>0701056</t>
  </si>
  <si>
    <t>Grobblech</t>
  </si>
  <si>
    <t>0701057</t>
  </si>
  <si>
    <t>0701058</t>
  </si>
  <si>
    <t>0701059</t>
  </si>
  <si>
    <t>0701060</t>
  </si>
  <si>
    <t>...</t>
  </si>
  <si>
    <t>0701061</t>
  </si>
  <si>
    <t>0701062</t>
  </si>
  <si>
    <t>0701063</t>
  </si>
  <si>
    <t>Wandbefestigungswinkel für RSV</t>
  </si>
  <si>
    <t>0701064</t>
  </si>
  <si>
    <t>Einschweißblech für PN/Ecotube 40 X 8 X</t>
  </si>
  <si>
    <t>0701065</t>
  </si>
  <si>
    <t>Unterlegblech für Laufregler Uni-B</t>
  </si>
  <si>
    <t>0701067</t>
  </si>
  <si>
    <t>Unterlegblech für Lineardämpfer Uni-B</t>
  </si>
  <si>
    <t>0701068</t>
  </si>
  <si>
    <t>Unterlegprofil für Endschalter Uni-B</t>
  </si>
  <si>
    <t>0701069</t>
  </si>
  <si>
    <t>Unterlegprofil für Gummipuffer QR 43x3</t>
  </si>
  <si>
    <t>0701070</t>
  </si>
  <si>
    <t>Blech (Gewinde) C 175x75x3 Uni-B</t>
  </si>
  <si>
    <t>0701071</t>
  </si>
  <si>
    <t>Blech (Gewinde) C 105x50x3 Uni-B</t>
  </si>
  <si>
    <t>0701072</t>
  </si>
  <si>
    <t>Blech (Gewinde) C 130x75x3 Uni-B</t>
  </si>
  <si>
    <t>0701073</t>
  </si>
  <si>
    <t>Blech (Loch) C 150x105x3 Uni-B</t>
  </si>
  <si>
    <t>0701074</t>
  </si>
  <si>
    <t>Blech (Loch) C 130x75x3 Uni-B</t>
  </si>
  <si>
    <t>0701075</t>
  </si>
  <si>
    <t>Blech (Loch) C 105x75x3 Uni-B</t>
  </si>
  <si>
    <t>0701076</t>
  </si>
  <si>
    <t>Blech (Loch) C 175x75x3 Uni-B</t>
  </si>
  <si>
    <t>0701077</t>
  </si>
  <si>
    <t>Blech (Loch) C 105x50x3 Uni-B</t>
  </si>
  <si>
    <t>0701078</t>
  </si>
  <si>
    <t>Blech (Gewinde) C 105x75x3 Uni-B</t>
  </si>
  <si>
    <t>0701079</t>
  </si>
  <si>
    <t>Endblech für C-Profil</t>
  </si>
  <si>
    <t>0701080</t>
  </si>
  <si>
    <t>Befestigungsblech für Haltemagnet</t>
  </si>
  <si>
    <t>0701081</t>
  </si>
  <si>
    <t>Unterlegblech für Hangrolle</t>
  </si>
  <si>
    <t>0701082</t>
  </si>
  <si>
    <t>0701083</t>
  </si>
  <si>
    <t>Seitendeckel rechts für RSV</t>
  </si>
  <si>
    <t>0701084</t>
  </si>
  <si>
    <t>Seitendeckel links für RSV</t>
  </si>
  <si>
    <t>0701085</t>
  </si>
  <si>
    <t>0701086</t>
  </si>
  <si>
    <t>0701087</t>
  </si>
  <si>
    <t>Enddeckel Lamelle mitte rechts 12B OC</t>
  </si>
  <si>
    <t>0701088</t>
  </si>
  <si>
    <t>Enddeckel Lamelle mitte links 12B OC</t>
  </si>
  <si>
    <t>0701089</t>
  </si>
  <si>
    <t>Enddeckel Lamelle oben rechts 12B OC</t>
  </si>
  <si>
    <t>0701090</t>
  </si>
  <si>
    <t>Enddeckel Lamelle oben links 12B OC</t>
  </si>
  <si>
    <t>0701091</t>
  </si>
  <si>
    <t>0701092</t>
  </si>
  <si>
    <t>0701093</t>
  </si>
  <si>
    <t>0701094</t>
  </si>
  <si>
    <t>0701095</t>
  </si>
  <si>
    <t>Abschlußleiste für RSV , gelocht</t>
  </si>
  <si>
    <t>0701096</t>
  </si>
  <si>
    <t>0701097</t>
  </si>
  <si>
    <t>Befestigungswinkel für Linear-Dämpfer</t>
  </si>
  <si>
    <t>0701098</t>
  </si>
  <si>
    <t>Blech (Gewinde) (C 150x105x3) Uni-B</t>
  </si>
  <si>
    <t>0701099</t>
  </si>
  <si>
    <t>Haltewinkel für Gehäuse RSV                           1</t>
  </si>
  <si>
    <t>0701101</t>
  </si>
  <si>
    <t>Rahmenkappe UTR Uni BZ</t>
  </si>
  <si>
    <t>0701102</t>
  </si>
  <si>
    <t>Schieberkappe UTR Uni BZ</t>
  </si>
  <si>
    <t>0701103</t>
  </si>
  <si>
    <t>Lochblech WST.1.4301 5mm Ql,                         16</t>
  </si>
  <si>
    <t>0701104</t>
  </si>
  <si>
    <t>Lochblech , QL 10  X  10  , Steg 4 mm                16</t>
  </si>
  <si>
    <t>0701105</t>
  </si>
  <si>
    <t>Rahmenkappe TTR Uni BZ</t>
  </si>
  <si>
    <t>0701106</t>
  </si>
  <si>
    <t>Schieberkappe TTR Uni BZ</t>
  </si>
  <si>
    <t>0701107</t>
  </si>
  <si>
    <t>Enddeckel Lamelle oben rechts 16B OC</t>
  </si>
  <si>
    <t>0701108</t>
  </si>
  <si>
    <t>Enddeckel Lamelle oben links 16B OC</t>
  </si>
  <si>
    <t>0701110</t>
  </si>
  <si>
    <t>Rahmenkappe für Universal - BZ</t>
  </si>
  <si>
    <t>0701111</t>
  </si>
  <si>
    <t>Wandbefestigungswinkel für RSV kleines</t>
  </si>
  <si>
    <t>0701112</t>
  </si>
  <si>
    <t>Vordere Blende mit Einlaufkantung für</t>
  </si>
  <si>
    <t>0701113</t>
  </si>
  <si>
    <t>Vordere Blende ohne Einlaufkantung für</t>
  </si>
  <si>
    <t>0701114</t>
  </si>
  <si>
    <t>Untere Blende mit Einlaufkantung für</t>
  </si>
  <si>
    <t>0701115</t>
  </si>
  <si>
    <t>Hintere Blende für kleines 3-teiliges</t>
  </si>
  <si>
    <t>0701116</t>
  </si>
  <si>
    <t>Seitendeckel rechts / links kleines Gehä</t>
  </si>
  <si>
    <t>0701117</t>
  </si>
  <si>
    <t>0701118</t>
  </si>
  <si>
    <t>Abhängung aus Gewindestg. kpl. L &lt;170 mm</t>
  </si>
  <si>
    <t>0701119</t>
  </si>
  <si>
    <t>Strebe f. Gewindestangen-Abhängung</t>
  </si>
  <si>
    <t>0701120</t>
  </si>
  <si>
    <t>Abschlussleiste für RS/FSA , gelocht D=8</t>
  </si>
  <si>
    <t>0701121</t>
  </si>
  <si>
    <t>nicht benutzen</t>
  </si>
  <si>
    <t>0701122</t>
  </si>
  <si>
    <t>nicht benutzen                                        1</t>
  </si>
  <si>
    <t>0701123</t>
  </si>
  <si>
    <t>0701129</t>
  </si>
  <si>
    <t>Abschlußleiste für RSV / FSV komplet</t>
  </si>
  <si>
    <t>0701130</t>
  </si>
  <si>
    <t>Unterlegblech Klappenscharniere klein</t>
  </si>
  <si>
    <t>0701131</t>
  </si>
  <si>
    <t>Unterlegblech für Klappenscharniere groß</t>
  </si>
  <si>
    <t>0701132</t>
  </si>
  <si>
    <t>Enddeckel Lamelle unten links 16B OC</t>
  </si>
  <si>
    <t>0701133</t>
  </si>
  <si>
    <t>Enddeckel Lamelle unten rechts 16B OC</t>
  </si>
  <si>
    <t>0701134</t>
  </si>
  <si>
    <t>Enddeckel Lamelle mitte rechts 16B OC</t>
  </si>
  <si>
    <t>0701135</t>
  </si>
  <si>
    <t>Enddeckel Lamelle unten rechts 12B OC</t>
  </si>
  <si>
    <t>0701136</t>
  </si>
  <si>
    <t>Enddeckel Lamelle unten links 12B OC</t>
  </si>
  <si>
    <t>0701137</t>
  </si>
  <si>
    <t>Blech für Wippe BZ</t>
  </si>
  <si>
    <t>0701138</t>
  </si>
  <si>
    <t>Winkelblech klein für Wippe BZ</t>
  </si>
  <si>
    <t>0701139</t>
  </si>
  <si>
    <t>Gehäuse für Deckenmontage RSV                         1</t>
  </si>
  <si>
    <t>0701140</t>
  </si>
  <si>
    <t>Winkelblech groß für Wippe BZ</t>
  </si>
  <si>
    <t>0701141</t>
  </si>
  <si>
    <t>Spaltabdeckung RSV aus stahl-blech-verzi</t>
  </si>
  <si>
    <t>0701142</t>
  </si>
  <si>
    <t>Gehäuse für Wandmontage RSV</t>
  </si>
  <si>
    <t>0701143</t>
  </si>
  <si>
    <t>Seitendeckel rechts für RSV feste Lageru</t>
  </si>
  <si>
    <t>0701144</t>
  </si>
  <si>
    <t>Seitendeckel links für RSV feste Lagerun</t>
  </si>
  <si>
    <t>0701147</t>
  </si>
  <si>
    <t>Seitendeckel für RSV/FSV großes Gehäuse</t>
  </si>
  <si>
    <t>0701148</t>
  </si>
  <si>
    <t>Seitendeckel für RSV/FSV kleines Gehäuse</t>
  </si>
  <si>
    <t>0701149</t>
  </si>
  <si>
    <t>0701150</t>
  </si>
  <si>
    <t>Seitendeckel für RSV/FSV kl. Gehäuse</t>
  </si>
  <si>
    <t>0701151</t>
  </si>
  <si>
    <t>0701153</t>
  </si>
  <si>
    <t>Enddeckel Lamelle mitte links 16B OC</t>
  </si>
  <si>
    <t>0701156</t>
  </si>
  <si>
    <t>Endblech für Gewichtsabdeckung RGT</t>
  </si>
  <si>
    <t>0701157</t>
  </si>
  <si>
    <t>Gehäusekantung für kleines 2-teiliges Ge</t>
  </si>
  <si>
    <t>0701158</t>
  </si>
  <si>
    <t>0701159</t>
  </si>
  <si>
    <t>Blende vorne mit tiefer Einlaufkantung</t>
  </si>
  <si>
    <t>0701160</t>
  </si>
  <si>
    <t>Blende unten mit Einlaufkantung für kl</t>
  </si>
  <si>
    <t>0701161</t>
  </si>
  <si>
    <t>Blende vorne mit Einlaufkantung</t>
  </si>
  <si>
    <t>0701162</t>
  </si>
  <si>
    <t>Blende hinten für kleines 3-teiliges Geh</t>
  </si>
  <si>
    <t>0701163</t>
  </si>
  <si>
    <t>Wandwinkel für RSV Snap-on Ausführung</t>
  </si>
  <si>
    <t>0701164</t>
  </si>
  <si>
    <t>Seitendeckel mit Motoraufnahme für</t>
  </si>
  <si>
    <t>0701165</t>
  </si>
  <si>
    <t>Gegenlagerplatte 190x250 komplett rechts</t>
  </si>
  <si>
    <t>0701166</t>
  </si>
  <si>
    <t>Gegenlagerplatte 190x250 komplett links</t>
  </si>
  <si>
    <t>0701169</t>
  </si>
  <si>
    <t>Winkel Befestigung unten rechts N1/N3</t>
  </si>
  <si>
    <t>0701170</t>
  </si>
  <si>
    <t>Winkel Befestigung unten links N1/N3</t>
  </si>
  <si>
    <t>0701171</t>
  </si>
  <si>
    <t>Winkel Befestigung unten rechts N7 O</t>
  </si>
  <si>
    <t>0701172</t>
  </si>
  <si>
    <t>Winkel Befestigung unten links N7 O</t>
  </si>
  <si>
    <t>0701173</t>
  </si>
  <si>
    <t>Flachstahl f. Winkel Befestigung unten</t>
  </si>
  <si>
    <t>0701174</t>
  </si>
  <si>
    <t>Unterer Befestigungswinkel rechts N1/N3</t>
  </si>
  <si>
    <t>0701175</t>
  </si>
  <si>
    <t>Unterer Befestigungswinkel links N1/N3</t>
  </si>
  <si>
    <t>0701176</t>
  </si>
  <si>
    <t>Unterer Befestigungswinkel rechts N7</t>
  </si>
  <si>
    <t>0701177</t>
  </si>
  <si>
    <t>Unterer Befestigungswinkel links N7</t>
  </si>
  <si>
    <t>0701178</t>
  </si>
  <si>
    <t>Abschlußkantung unterste Lam SL für OC</t>
  </si>
  <si>
    <t>0701179</t>
  </si>
  <si>
    <t>Abschlußkantung unterste Lam vorn für OC</t>
  </si>
  <si>
    <t>0701180</t>
  </si>
  <si>
    <t>Abhängung kl Oberteil RS / FSA</t>
  </si>
  <si>
    <t>0701181</t>
  </si>
  <si>
    <t>Abhängung kl Unterteil Z-Kantung</t>
  </si>
  <si>
    <t>0701182</t>
  </si>
  <si>
    <t>Abhängung gr Oberteil RS/FSA</t>
  </si>
  <si>
    <t>0701183</t>
  </si>
  <si>
    <t>Abhängung gr Unterteil RS / FSA</t>
  </si>
  <si>
    <t>0701184</t>
  </si>
  <si>
    <t>Abhängung "Fuß" oben RS/FSA/RSA</t>
  </si>
  <si>
    <t>0701186</t>
  </si>
  <si>
    <t>Abhängung Fuß unten RS / FSA / RSA</t>
  </si>
  <si>
    <t>0701187</t>
  </si>
  <si>
    <t>Abhängung 300-500 mm komplett</t>
  </si>
  <si>
    <t>0701188</t>
  </si>
  <si>
    <t>Abhängung 500-900mm komplett</t>
  </si>
  <si>
    <t>0701189</t>
  </si>
  <si>
    <t>Seitendeckel rechts Motorseite 190x250</t>
  </si>
  <si>
    <t>0701190</t>
  </si>
  <si>
    <t>Seitendeckel rechts Gegenseite 190x250</t>
  </si>
  <si>
    <t>0701191</t>
  </si>
  <si>
    <t>Seitendeckel links Motorseite 190x250</t>
  </si>
  <si>
    <t>0701192</t>
  </si>
  <si>
    <t>Seitendeckel links Gegenseite 190x250</t>
  </si>
  <si>
    <t>0701193</t>
  </si>
  <si>
    <t>Motorlagerpl fest links 190x250 RS-FSA</t>
  </si>
  <si>
    <t>0701194</t>
  </si>
  <si>
    <t>Motorlagerpl fest rechts 190x250 RS-FSA</t>
  </si>
  <si>
    <t>0701195</t>
  </si>
  <si>
    <t>Gegenlagerplatte fest 190x250 RS/FSA</t>
  </si>
  <si>
    <t>0701196</t>
  </si>
  <si>
    <t>Motorlagerplatte (Blech) 190x250 RS/FSA</t>
  </si>
  <si>
    <t>0701197</t>
  </si>
  <si>
    <t>Winkel f. Seitendeckel Gegenlagerseite</t>
  </si>
  <si>
    <t>0701198</t>
  </si>
  <si>
    <t>Halteblech Seitendeckel Gegenlagerplatte</t>
  </si>
  <si>
    <t>0701199</t>
  </si>
  <si>
    <t>Dichtungsaufnahme Frästeil RSA                        1</t>
  </si>
  <si>
    <t>0701200</t>
  </si>
  <si>
    <t>Dichtungsaufnahme Blech RSA</t>
  </si>
  <si>
    <t>0701201</t>
  </si>
  <si>
    <t>Blech Kompressorhalterung RSA</t>
  </si>
  <si>
    <t>0701202</t>
  </si>
  <si>
    <t>Fangblech für Konsole 1462 mm</t>
  </si>
  <si>
    <t>0701203</t>
  </si>
  <si>
    <t>Fangblech für Konsole 1062 mm</t>
  </si>
  <si>
    <t>0701205</t>
  </si>
  <si>
    <t>0701208</t>
  </si>
  <si>
    <t>Halterung Magnet für Initiator RS/FSA</t>
  </si>
  <si>
    <t>0701209</t>
  </si>
  <si>
    <t>Befestigungswinkel mit Abrollsicherung</t>
  </si>
  <si>
    <t>0701210</t>
  </si>
  <si>
    <t>Führung Abschlußleiste01 Stange RSV/FSV</t>
  </si>
  <si>
    <t>0701211</t>
  </si>
  <si>
    <t>Verbindung Abschlussleiste 105er</t>
  </si>
  <si>
    <t>0701212</t>
  </si>
  <si>
    <t>Befestigungswinkel klein RS / FSA</t>
  </si>
  <si>
    <t>0701213</t>
  </si>
  <si>
    <t>Federnde Abschlussleiste RSV/FSV                      2</t>
  </si>
  <si>
    <t>0701214</t>
  </si>
  <si>
    <t>Abschlussleiste Walzprofil RS/FSA kpl.                1</t>
  </si>
  <si>
    <t>0701215</t>
  </si>
  <si>
    <t>Winkel Blende Gehäuse 190x250 RS/FSA</t>
  </si>
  <si>
    <t>0701216</t>
  </si>
  <si>
    <t>Gerade Blende Gehäuse 190x250 RS/FSA</t>
  </si>
  <si>
    <t>0701217</t>
  </si>
  <si>
    <t>Untere Blende Gehäuse 190x250 RS/FSA</t>
  </si>
  <si>
    <t>0701218</t>
  </si>
  <si>
    <t>Vord.Blende Gehäuse 190x200 RSV/FSV</t>
  </si>
  <si>
    <t>0701219</t>
  </si>
  <si>
    <t>Hint.Blende Gehäuse 190x200 RSV/FSV</t>
  </si>
  <si>
    <t>0701220</t>
  </si>
  <si>
    <t>Untere Blende Gehäuse 190x200 RSV/FSV</t>
  </si>
  <si>
    <t>0701221</t>
  </si>
  <si>
    <t>Oberteil für Befestigungskonsole 190x250</t>
  </si>
  <si>
    <t>0701222</t>
  </si>
  <si>
    <t>Befestigungskonsole Unterteil fest</t>
  </si>
  <si>
    <t>0701223</t>
  </si>
  <si>
    <t>Befestigungskonsole Unterteil schwimmend</t>
  </si>
  <si>
    <t>0701224</t>
  </si>
  <si>
    <t>Befestigungskonsole, kpl. schimmend                   1</t>
  </si>
  <si>
    <t>0701225</t>
  </si>
  <si>
    <t>Befestigungskonsole komplett fest</t>
  </si>
  <si>
    <t>0701226</t>
  </si>
  <si>
    <t>Befestigungskonsole Oberteil 190x200</t>
  </si>
  <si>
    <t>0701227</t>
  </si>
  <si>
    <t>Befestigungsko kpl feste 190x200 RS/FSA</t>
  </si>
  <si>
    <t>0701228</t>
  </si>
  <si>
    <t>Seitendeckel, rechts, Motorseite 190x200</t>
  </si>
  <si>
    <t>0701229</t>
  </si>
  <si>
    <t>Seitendeckel rechts, Gegenseite 190x200</t>
  </si>
  <si>
    <t>0701230</t>
  </si>
  <si>
    <t>Seitendeckel, links, Motorseite 190x200</t>
  </si>
  <si>
    <t>0701231</t>
  </si>
  <si>
    <t>Seitendeckel, links, Gegenseite, 190x200</t>
  </si>
  <si>
    <t>0701232</t>
  </si>
  <si>
    <t>Winkel-Blende 235x290 RSV/FSV</t>
  </si>
  <si>
    <t>0701233</t>
  </si>
  <si>
    <t>Gerade-Blende 235x290 RSV/FSV</t>
  </si>
  <si>
    <t>0701234</t>
  </si>
  <si>
    <t>Untere-Blende 235x290 RSV/FSV</t>
  </si>
  <si>
    <t>0701235</t>
  </si>
  <si>
    <t>Seitendeckel rechts Motorseite 235x290</t>
  </si>
  <si>
    <t>0701236</t>
  </si>
  <si>
    <t>Seitendeckel rechts Gegenseite 235x290</t>
  </si>
  <si>
    <t>0701237</t>
  </si>
  <si>
    <t>Seitdendeckel Mot. li Motorseite RS/FSA</t>
  </si>
  <si>
    <t>0701238</t>
  </si>
  <si>
    <t>Seitendeckel links Gegenseite 235x290</t>
  </si>
  <si>
    <t>0701239</t>
  </si>
  <si>
    <t>Befestigungskonsole Oberteil</t>
  </si>
  <si>
    <t>0701240</t>
  </si>
  <si>
    <t>Befestigungskonsole unten schwimmend</t>
  </si>
  <si>
    <t>0701241</t>
  </si>
  <si>
    <t>Befestigungskonsole kpl schwimmend</t>
  </si>
  <si>
    <t>0701242</t>
  </si>
  <si>
    <t>Seitenprofil Lamelle mitte/unten T90 OS</t>
  </si>
  <si>
    <t>0701243</t>
  </si>
  <si>
    <t>Seitenprofil Lamelle oben T90 OS</t>
  </si>
  <si>
    <t>0701244</t>
  </si>
  <si>
    <t>Seitenzarge rechts T30/90 OS</t>
  </si>
  <si>
    <t>..                                                    2</t>
  </si>
  <si>
    <t>0701245</t>
  </si>
  <si>
    <t>Seitenzarge links T30/90 OS</t>
  </si>
  <si>
    <t>0701246</t>
  </si>
  <si>
    <t>Führungsschiene T30/90 OS</t>
  </si>
  <si>
    <t>..                                                    1</t>
  </si>
  <si>
    <t>0701247</t>
  </si>
  <si>
    <t>Gehäuseblenden 3-tlg. 190x200 RSV/FSV             28.22</t>
  </si>
  <si>
    <t>0701248</t>
  </si>
  <si>
    <t>Gehäuseblenden 3-tlg. 190x250 RSV/FSV             14.85</t>
  </si>
  <si>
    <t>0701249</t>
  </si>
  <si>
    <t>Flachstahl 130x30x4 RS / FSA</t>
  </si>
  <si>
    <t>0701250</t>
  </si>
  <si>
    <t>Flachstahl 164x80x4 RS / FSA</t>
  </si>
  <si>
    <t>0701251</t>
  </si>
  <si>
    <t>Motorplatte R40 Mo.re. Mo.seite fest.La.</t>
  </si>
  <si>
    <t>0701252</t>
  </si>
  <si>
    <t>Motorplatte R40 Mo.li. Mo.seite fest.La.</t>
  </si>
  <si>
    <t>0701253</t>
  </si>
  <si>
    <t>Motorplatte R40 Mo.seite re/li schw.La.</t>
  </si>
  <si>
    <t>0701254</t>
  </si>
  <si>
    <t>0701255</t>
  </si>
  <si>
    <t>0701256</t>
  </si>
  <si>
    <t>0701257</t>
  </si>
  <si>
    <t>Befestigungswinkel 190x200/250  RS/FSA</t>
  </si>
  <si>
    <t>0701258</t>
  </si>
  <si>
    <t>Seitenmodul Mo.re.Motorseite feste Lag.</t>
  </si>
  <si>
    <t>0701259</t>
  </si>
  <si>
    <t>Seitendeckel Mo.re.Gegenseite feste Lag.</t>
  </si>
  <si>
    <t>0701260</t>
  </si>
  <si>
    <t>Seitenmodul Mo.li.Motorseite feste Lag.</t>
  </si>
  <si>
    <t>0701261</t>
  </si>
  <si>
    <t>Seitendeckel Mo.li.Gegenseite feste Lag.</t>
  </si>
  <si>
    <t>0701262</t>
  </si>
  <si>
    <t>Seitenmodul Mo.re.Motorseite schwim.Lag.              1</t>
  </si>
  <si>
    <t>0701263</t>
  </si>
  <si>
    <t>Seitendeckel Mo.re.Gegenseite schwim.Lag</t>
  </si>
  <si>
    <t>0701264</t>
  </si>
  <si>
    <t>Seitenmodul Mo.li.Motorseite schwim.Lag.</t>
  </si>
  <si>
    <t>0701265</t>
  </si>
  <si>
    <t>Seitendeckel Mo.li.Gegenseite schwim.Lag</t>
  </si>
  <si>
    <t>0701266</t>
  </si>
  <si>
    <t>0701267</t>
  </si>
  <si>
    <t>0701268</t>
  </si>
  <si>
    <t>0701269</t>
  </si>
  <si>
    <t>0701270</t>
  </si>
  <si>
    <t>Seitenmodul Mo.re.Motorseite schwim.Lag.</t>
  </si>
  <si>
    <t>0701271</t>
  </si>
  <si>
    <t>0701272</t>
  </si>
  <si>
    <t>0701273</t>
  </si>
  <si>
    <t>0701274</t>
  </si>
  <si>
    <t>0701275</t>
  </si>
  <si>
    <t>Seitendeckel Mo.re.Gegens. kompl.</t>
  </si>
  <si>
    <t>0701276</t>
  </si>
  <si>
    <t>0701277</t>
  </si>
  <si>
    <t>0701278</t>
  </si>
  <si>
    <t>0701279</t>
  </si>
  <si>
    <t>0701280</t>
  </si>
  <si>
    <t>0701281</t>
  </si>
  <si>
    <t>0701282</t>
  </si>
  <si>
    <t>0701283</t>
  </si>
  <si>
    <t>0701284</t>
  </si>
  <si>
    <t>0701285</t>
  </si>
  <si>
    <t>Einlaufzunge für Röllchen klein rechts</t>
  </si>
  <si>
    <t>0701286</t>
  </si>
  <si>
    <t>Einlaufzunge für Röllchen gross rechts</t>
  </si>
  <si>
    <t>0701288</t>
  </si>
  <si>
    <t>Motorlagerpl fest rechts RS-FSA/190x200</t>
  </si>
  <si>
    <t>0701289</t>
  </si>
  <si>
    <t>Motorlagerpl fest links RS-FSA / 190x200</t>
  </si>
  <si>
    <t>0701290</t>
  </si>
  <si>
    <t>Gegenlagerplatte fest 190x200 RS/FSA</t>
  </si>
  <si>
    <t>0701291</t>
  </si>
  <si>
    <t>Lagerplatte schwimmend RS-FSA</t>
  </si>
  <si>
    <t>0701292</t>
  </si>
  <si>
    <t>0701293</t>
  </si>
  <si>
    <t>Befestigungskonsole unten fest</t>
  </si>
  <si>
    <t>0701294</t>
  </si>
  <si>
    <t>Befestigungswinkel 235x290 RS/FSA</t>
  </si>
  <si>
    <t>0701295</t>
  </si>
  <si>
    <t>Befestigungskonsole komplett schwmmend</t>
  </si>
  <si>
    <t>0701296</t>
  </si>
  <si>
    <t>Befestigungskonsole feste Lagerung kpl.</t>
  </si>
  <si>
    <t>0701297</t>
  </si>
  <si>
    <t>Motorlagerplatte fest rechts 235x290</t>
  </si>
  <si>
    <t>0701298</t>
  </si>
  <si>
    <t>Motorlagerplatte fest links 235x290</t>
  </si>
  <si>
    <t>0701299</t>
  </si>
  <si>
    <t>Gegenlagerplatte fest 235x290 / RS / FSA</t>
  </si>
  <si>
    <t>0701300</t>
  </si>
  <si>
    <t>Motorlagerplatte (Blech) 235x290 RS/FSA</t>
  </si>
  <si>
    <t>0701301</t>
  </si>
  <si>
    <t>Scheibe 100 Gegenlager fest</t>
  </si>
  <si>
    <t>0701302</t>
  </si>
  <si>
    <t>Scheibe 100 Gegenlager schwi RS/FSA</t>
  </si>
  <si>
    <t>0701303</t>
  </si>
  <si>
    <t>Scheibe 70 Gegenlager fest RS/FSA</t>
  </si>
  <si>
    <t>0701304</t>
  </si>
  <si>
    <t>Scheibe 70 Gegenlager schwim RS/FSA</t>
  </si>
  <si>
    <t>0701305</t>
  </si>
  <si>
    <t>Gegenlagerscheibe für Wickelrohr RSV/FSV</t>
  </si>
  <si>
    <t>0701306</t>
  </si>
  <si>
    <t>0701308</t>
  </si>
  <si>
    <t>0701309</t>
  </si>
  <si>
    <t>0701310</t>
  </si>
  <si>
    <t>0701311</t>
  </si>
  <si>
    <t>0701312</t>
  </si>
  <si>
    <t>0701313</t>
  </si>
  <si>
    <t>0701314</t>
  </si>
  <si>
    <t>0701315</t>
  </si>
  <si>
    <t>0701316</t>
  </si>
  <si>
    <t>0701317</t>
  </si>
  <si>
    <t>0701318</t>
  </si>
  <si>
    <t>0701319</t>
  </si>
  <si>
    <t>0701320</t>
  </si>
  <si>
    <t>0701321</t>
  </si>
  <si>
    <t>0701322</t>
  </si>
  <si>
    <t>0701323</t>
  </si>
  <si>
    <t>Enddeckel Lamelle oben re Niedrig 12B OC</t>
  </si>
  <si>
    <t>0701324</t>
  </si>
  <si>
    <t>Enddeckel Lamelle oben li 12B Niedrig OC</t>
  </si>
  <si>
    <t>0701325</t>
  </si>
  <si>
    <t>Enddeckel Lamelle mitte re 12B Niedri OC</t>
  </si>
  <si>
    <t>0701326</t>
  </si>
  <si>
    <t>Enddeckel Lamelle mitte li12B Niedrig OC</t>
  </si>
  <si>
    <t>0701327</t>
  </si>
  <si>
    <t>Enddeckel Lamelle unten links OC</t>
  </si>
  <si>
    <t>0701328</t>
  </si>
  <si>
    <t>Enddeckel Lamelle unten rechts OC</t>
  </si>
  <si>
    <t>0701329</t>
  </si>
  <si>
    <t>Einlaufzunge für Röllchen klein links</t>
  </si>
  <si>
    <t>0701330</t>
  </si>
  <si>
    <t>Einlaufzunge für Röllchen gross links</t>
  </si>
  <si>
    <t>0701331</t>
  </si>
  <si>
    <t>Enddeckel Lamelle oben re 16B Niedrig OC</t>
  </si>
  <si>
    <t>0701332</t>
  </si>
  <si>
    <t>Enddeckel Lamelle oben li 16B Niedrig OC</t>
  </si>
  <si>
    <t>0701333</t>
  </si>
  <si>
    <t>Enddeckel Lamelle mitte re 16B OC</t>
  </si>
  <si>
    <t>0701334</t>
  </si>
  <si>
    <t>Enddeckel Lamelle mitte li16B Niedrig OC</t>
  </si>
  <si>
    <t>0701335</t>
  </si>
  <si>
    <t>Enddeckel Lamelle unten re16-B Niedri OC</t>
  </si>
  <si>
    <t>0701336</t>
  </si>
  <si>
    <t>Enddeckel Lamelle unten li16B Niedrig OC</t>
  </si>
  <si>
    <t>0701337</t>
  </si>
  <si>
    <t>Verbinder Deckel f. Führungsschiene OC</t>
  </si>
  <si>
    <t>0701338</t>
  </si>
  <si>
    <t>Blech für Schieberkeil RGT</t>
  </si>
  <si>
    <t>0701339</t>
  </si>
  <si>
    <t>Flachstahl für Schieberkeil RGT</t>
  </si>
  <si>
    <t>0701340</t>
  </si>
  <si>
    <t>Endblech VO/10 links</t>
  </si>
  <si>
    <t>0701341</t>
  </si>
  <si>
    <t>Endblech VO/10 rechts</t>
  </si>
  <si>
    <t>0701342</t>
  </si>
  <si>
    <t>Lasche für Endblech VO/10</t>
  </si>
  <si>
    <t>0701343</t>
  </si>
  <si>
    <t>Halter Gurtaufwickler a=150mm</t>
  </si>
  <si>
    <t>0701344</t>
  </si>
  <si>
    <t>Abstandshalter Gurtaufwickler Uni/RGT</t>
  </si>
  <si>
    <t>0701345</t>
  </si>
  <si>
    <t>Enddeckel Lamelle unten links 16+16 B OC</t>
  </si>
  <si>
    <t>0701346</t>
  </si>
  <si>
    <t>Gurtklemme für Übergangsstück Gurt-Seil</t>
  </si>
  <si>
    <t>0701347</t>
  </si>
  <si>
    <t>Grundplatte für Gurtumlenkung Uni Q</t>
  </si>
  <si>
    <t>0701348</t>
  </si>
  <si>
    <t>Halteblech für Seilumlenkrolle Uni Q</t>
  </si>
  <si>
    <t>0701349</t>
  </si>
  <si>
    <t>Winkel-Blende 190x290 RSA Wandmontage</t>
  </si>
  <si>
    <t>0701350</t>
  </si>
  <si>
    <t>Untere-Blende 190x290 RSA</t>
  </si>
  <si>
    <t>0701351</t>
  </si>
  <si>
    <t>Seitendeckel rechts Motorseite 190x290</t>
  </si>
  <si>
    <t>0701352</t>
  </si>
  <si>
    <t>Seitendeckel rechts Gegenseite 190x290</t>
  </si>
  <si>
    <t>0701353</t>
  </si>
  <si>
    <t>Seitendeckel links Motorseite 190x290</t>
  </si>
  <si>
    <t>0701354</t>
  </si>
  <si>
    <t>Seitendeckel links Gegenseite 190x290</t>
  </si>
  <si>
    <t>0701355</t>
  </si>
  <si>
    <t>0701356</t>
  </si>
  <si>
    <t>Befestigungskonsole190x290 RSA kpl.</t>
  </si>
  <si>
    <t>0701357</t>
  </si>
  <si>
    <t>Motorlagerplatte rechts 190x290</t>
  </si>
  <si>
    <t>0701358</t>
  </si>
  <si>
    <t>Motorlagerplatte links 190x290</t>
  </si>
  <si>
    <t>0701359</t>
  </si>
  <si>
    <t>Gegenlagerplatte, Motorseite rechts</t>
  </si>
  <si>
    <t>0701360</t>
  </si>
  <si>
    <t>Enddeckel Lamelle unten rechs 16+16 B OC</t>
  </si>
  <si>
    <t>0701361</t>
  </si>
  <si>
    <t>Kantung Schieberschwert UNI B</t>
  </si>
  <si>
    <t>0701362</t>
  </si>
  <si>
    <t>Abschlussleistenprofil Baugruppe RSA</t>
  </si>
  <si>
    <t>0701363</t>
  </si>
  <si>
    <t>Abschlussleistenprofil Kantung RSA</t>
  </si>
  <si>
    <t>0701364</t>
  </si>
  <si>
    <t>Spaltabdichtung RSA</t>
  </si>
  <si>
    <t>0701365</t>
  </si>
  <si>
    <t>Kantung Dichtlippe Abschlussleiste RSA</t>
  </si>
  <si>
    <t>0701366</t>
  </si>
  <si>
    <t>Flachst. Dichtlippe Abschlussleiste RSA</t>
  </si>
  <si>
    <t>0701367</t>
  </si>
  <si>
    <t>Blech Kantung Schieberschwert RGT / OS</t>
  </si>
  <si>
    <t>0701368</t>
  </si>
  <si>
    <t>U-Kantung Schieberführung Uni B hor.</t>
  </si>
  <si>
    <t>0701369</t>
  </si>
  <si>
    <t>Seitend.kpl.Mot.re. Motors. 190x290 RSA</t>
  </si>
  <si>
    <t>0701370</t>
  </si>
  <si>
    <t>Seitend.kpl.Mot.re.Gegens. 190x290 RSA</t>
  </si>
  <si>
    <t>0701371</t>
  </si>
  <si>
    <t>Seitend.kpl.Mot.li. Motors. 190x290 RSA</t>
  </si>
  <si>
    <t>0701372</t>
  </si>
  <si>
    <t>Seitend.kpl.Mot.li.Gegens. 190x290 RSA</t>
  </si>
  <si>
    <t>0701373</t>
  </si>
  <si>
    <t>Blech Gurtumlenkung Flaschenzug RGT/OS</t>
  </si>
  <si>
    <t>0701374</t>
  </si>
  <si>
    <t>Laufreglerhalter RSA</t>
  </si>
  <si>
    <t>0701375</t>
  </si>
  <si>
    <t>Flachst. in  Abschlussleiste RSA</t>
  </si>
  <si>
    <t>0701376</t>
  </si>
  <si>
    <t>Enddeckel für untere Lamelle rechts neu</t>
  </si>
  <si>
    <t>0701377</t>
  </si>
  <si>
    <t>Enddeckel für untere Lamelle links neu</t>
  </si>
  <si>
    <t>0701378</t>
  </si>
  <si>
    <t>0701379</t>
  </si>
  <si>
    <t>0701380</t>
  </si>
  <si>
    <t>0701381</t>
  </si>
  <si>
    <t>0701382</t>
  </si>
  <si>
    <t>Enddeckel Lamelle unten re12B Niedrig OC</t>
  </si>
  <si>
    <t>0701383</t>
  </si>
  <si>
    <t>Enddeckel Lamelle unten li12B Niedrig OC</t>
  </si>
  <si>
    <t>0701384</t>
  </si>
  <si>
    <t>Befestigungskonsole Oberteil Abrollstopp</t>
  </si>
  <si>
    <t>0701385</t>
  </si>
  <si>
    <t>Befestigungskonsole Abrollstopp                       1</t>
  </si>
  <si>
    <t>0701388</t>
  </si>
  <si>
    <t>Kabelhalterung Kontaktleiste RS</t>
  </si>
  <si>
    <t>0701389</t>
  </si>
  <si>
    <t>Unterlegblech C-Profil 105x50x3 Uni-B</t>
  </si>
  <si>
    <t>0701390</t>
  </si>
  <si>
    <t>Unterlegblech C-Proifl 105x75x3 Uni-B</t>
  </si>
  <si>
    <t>0701391</t>
  </si>
  <si>
    <t>Deckel Revision 190x200 RS/FSA links</t>
  </si>
  <si>
    <t>0701392</t>
  </si>
  <si>
    <t>Deckel Revision 190x250 RSV/FSV</t>
  </si>
  <si>
    <t>0701393</t>
  </si>
  <si>
    <t>Deckel Revision 235x290 RS/FSA</t>
  </si>
  <si>
    <t>0701394</t>
  </si>
  <si>
    <t>Untere Blende FSA horizontal 190x200</t>
  </si>
  <si>
    <t>0701395</t>
  </si>
  <si>
    <t>Winkelblende 190x200 FSA Deckeneinbau</t>
  </si>
  <si>
    <t>0701396</t>
  </si>
  <si>
    <t>Verriegelungswinkel FSA horizontal</t>
  </si>
  <si>
    <t>0701397</t>
  </si>
  <si>
    <t>Zugwinkel 190x120 rechts Abschlussleiste</t>
  </si>
  <si>
    <t>0701398</t>
  </si>
  <si>
    <t>Scheibe (innen) Gurtaufnahme Antrieb</t>
  </si>
  <si>
    <t>0701399</t>
  </si>
  <si>
    <t>Scheibe (außen) Gurtaufnahme Antrieb</t>
  </si>
  <si>
    <t>0701400</t>
  </si>
  <si>
    <t>Feinblech                                             6</t>
  </si>
  <si>
    <t>0701402</t>
  </si>
  <si>
    <t>Feinblech                                             7</t>
  </si>
  <si>
    <t>0701404</t>
  </si>
  <si>
    <t>0701405</t>
  </si>
  <si>
    <t>Feinblech                                             3</t>
  </si>
  <si>
    <t>0701406</t>
  </si>
  <si>
    <t>0701407</t>
  </si>
  <si>
    <t>0701409</t>
  </si>
  <si>
    <t>0701411</t>
  </si>
  <si>
    <t>0701412</t>
  </si>
  <si>
    <t>0701413</t>
  </si>
  <si>
    <t>0701414</t>
  </si>
  <si>
    <t>0701415</t>
  </si>
  <si>
    <t>0701416</t>
  </si>
  <si>
    <t>0701420</t>
  </si>
  <si>
    <t>Feinblech = 10  Tafeln                                4</t>
  </si>
  <si>
    <t>0701421</t>
  </si>
  <si>
    <t>0701422</t>
  </si>
  <si>
    <t>Feinblech, beschichtet, für CopyCap                   1</t>
  </si>
  <si>
    <t>0701423</t>
  </si>
  <si>
    <t>0701424</t>
  </si>
  <si>
    <t>0701425</t>
  </si>
  <si>
    <t>Feinblech t=0,5  1x2m  verz</t>
  </si>
  <si>
    <t>0701426</t>
  </si>
  <si>
    <t>Feinblech t=0,75  1x2m  verz</t>
  </si>
  <si>
    <t>0701427</t>
  </si>
  <si>
    <t>Feinblech  t=1,0  1x2m  verz</t>
  </si>
  <si>
    <t>0701428</t>
  </si>
  <si>
    <t>Feinblech  t=1,5  1x2m  verz                          1</t>
  </si>
  <si>
    <t>0701429</t>
  </si>
  <si>
    <t>Feinblech  t=2,0  1x2m  verz                          1</t>
  </si>
  <si>
    <t>0701430</t>
  </si>
  <si>
    <t>Feinblech  t=3,0  1x2m  verz                          2</t>
  </si>
  <si>
    <t>0701431</t>
  </si>
  <si>
    <t>Grobblech  t=4,0  1x2m  verz                          3</t>
  </si>
  <si>
    <t>0701432</t>
  </si>
  <si>
    <t>Grobblech  t=5,0  1x2m  verz                          4</t>
  </si>
  <si>
    <t>0701433</t>
  </si>
  <si>
    <t>Grobblech  t=8,0  1x2m  verz</t>
  </si>
  <si>
    <t>0701434</t>
  </si>
  <si>
    <t>Feinblech  t=0,5  1,25x2,5m  verz</t>
  </si>
  <si>
    <t>0701435</t>
  </si>
  <si>
    <t>Feinblech  t=0,75  1,25x2,5m  verz                    1</t>
  </si>
  <si>
    <t>0701436</t>
  </si>
  <si>
    <t>Feinblech  t=1,0  1,25x2,5m  verz                     1</t>
  </si>
  <si>
    <t>0701437</t>
  </si>
  <si>
    <t>Feinblech  t=1,5  1,25x2,5m  verz                     2</t>
  </si>
  <si>
    <t>0701438</t>
  </si>
  <si>
    <t>Feinblech  t=2,0  1,25x2,5m  verz                     2</t>
  </si>
  <si>
    <t>0701439</t>
  </si>
  <si>
    <t>Feinblech  t=3,0  1,25x2,5m  verz                     3</t>
  </si>
  <si>
    <t>0701440</t>
  </si>
  <si>
    <t>Grobblech  t=5,0  1,25x2,5m  verz                     7</t>
  </si>
  <si>
    <t>0701441</t>
  </si>
  <si>
    <t>Feinblech  t=0,75  1,5x3m  verz                       1</t>
  </si>
  <si>
    <t>0701442</t>
  </si>
  <si>
    <t>Feinblech  t=1,0  1,5x3m  verz                        2</t>
  </si>
  <si>
    <t>0701443</t>
  </si>
  <si>
    <t>Feinblech  t=1,5  1,5x3m  verz                        3</t>
  </si>
  <si>
    <t>0701444</t>
  </si>
  <si>
    <t>Feinblech  t=2,0  1,5x3m  verz                        2</t>
  </si>
  <si>
    <t>0701445</t>
  </si>
  <si>
    <t>Feinblech  t=3,0  3x1,5m  verz                        5</t>
  </si>
  <si>
    <t>0701446</t>
  </si>
  <si>
    <t>Feinblech  t=0,75  1,25x4m  verz                      2</t>
  </si>
  <si>
    <t>0701447</t>
  </si>
  <si>
    <t>Feinblech  t=1,0  1,25x4m  verz                       1</t>
  </si>
  <si>
    <t>0701448</t>
  </si>
  <si>
    <t>Feinblech  t=1,5  1,25x4m  verz                       3</t>
  </si>
  <si>
    <t>0701449</t>
  </si>
  <si>
    <t>Feinblech  t=2,0  1,25x4m  verz                       4</t>
  </si>
  <si>
    <t>0701450</t>
  </si>
  <si>
    <t>Feinblech  t=3,0  1,25x4m  verz                       7</t>
  </si>
  <si>
    <t>0701451</t>
  </si>
  <si>
    <t>Feinblech t=2,0  1x2m  schwarz                        1</t>
  </si>
  <si>
    <t>0701452</t>
  </si>
  <si>
    <t>Feinblech  t=3,0  1x2m  schwarz                       2</t>
  </si>
  <si>
    <t>0701453</t>
  </si>
  <si>
    <t>Grobblech  t=5,0  1x2m  schwarz                       4</t>
  </si>
  <si>
    <t>0701454</t>
  </si>
  <si>
    <t>Grobblech  t=6,0  1x2m  schwarz                       4</t>
  </si>
  <si>
    <t>0701455</t>
  </si>
  <si>
    <t>Feinblech  t=1,0  1,5x3m  zinkor                      3</t>
  </si>
  <si>
    <t>0701456</t>
  </si>
  <si>
    <t>Feinblech  t=2,0  1,5x3m  zinkor                      8</t>
  </si>
  <si>
    <t>0701457</t>
  </si>
  <si>
    <t>Feinblech  t=3,0  1,5x3m  zinkor                     10</t>
  </si>
  <si>
    <t>0701458</t>
  </si>
  <si>
    <t>Feinblech  t=0,8  1x2m  V2A  ung                      3</t>
  </si>
  <si>
    <t>0701459</t>
  </si>
  <si>
    <t>Feinblech  t=1,0  1x2m  V2A  ung                      4</t>
  </si>
  <si>
    <t>0701460</t>
  </si>
  <si>
    <t>Feinblech  t=1,5  1x2m  V2A  ung                      8</t>
  </si>
  <si>
    <t>0701461</t>
  </si>
  <si>
    <t>Feinblech                                            11</t>
  </si>
  <si>
    <t>0701462</t>
  </si>
  <si>
    <t>Feinblech t=2,5  1x2m  V2A ung.</t>
  </si>
  <si>
    <t>0701463</t>
  </si>
  <si>
    <t>0701464</t>
  </si>
  <si>
    <t>Feinblech                                             4</t>
  </si>
  <si>
    <t>0701465</t>
  </si>
  <si>
    <t>0701466</t>
  </si>
  <si>
    <t>0701467</t>
  </si>
  <si>
    <t>0701468</t>
  </si>
  <si>
    <t>Feinblech                                             5</t>
  </si>
  <si>
    <t>0701469</t>
  </si>
  <si>
    <t>0701470</t>
  </si>
  <si>
    <t>Feinblech                                            18</t>
  </si>
  <si>
    <t>0701471</t>
  </si>
  <si>
    <t>Feinblech                                            14</t>
  </si>
  <si>
    <t>0701472</t>
  </si>
  <si>
    <t>Feinblech V2A ungeschl. 1,25x2,5m  t=2,5</t>
  </si>
  <si>
    <t>0701473</t>
  </si>
  <si>
    <t>Feinblech  t=0,8  1,5x3m  V2A ung                     7</t>
  </si>
  <si>
    <t>0701474</t>
  </si>
  <si>
    <t>Feinblech  t=1,0  1,5x3m  V2A ung                     8</t>
  </si>
  <si>
    <t>0701475</t>
  </si>
  <si>
    <t>Feinblech t=1,5  1,5x3m  V2A  ung                    13</t>
  </si>
  <si>
    <t>0701476</t>
  </si>
  <si>
    <t>Feinblech  t=2,0  1,5x3m  V2A  ung                   17</t>
  </si>
  <si>
    <t>0701477</t>
  </si>
  <si>
    <t>Feinblech  t=2,5  1,5x3m  V2A  ung                   22</t>
  </si>
  <si>
    <t>0701478</t>
  </si>
  <si>
    <t>0701479</t>
  </si>
  <si>
    <t>0701480</t>
  </si>
  <si>
    <t>0701481</t>
  </si>
  <si>
    <t>Feinblech                                            20</t>
  </si>
  <si>
    <t>0701482</t>
  </si>
  <si>
    <t>0701483</t>
  </si>
  <si>
    <t>0701484</t>
  </si>
  <si>
    <t>0701485</t>
  </si>
  <si>
    <t>0701486</t>
  </si>
  <si>
    <t>0701487</t>
  </si>
  <si>
    <t>0701488</t>
  </si>
  <si>
    <t>0701489</t>
  </si>
  <si>
    <t>Feinblech  t=1,0  1,25x2,5m  V2A  240K                7</t>
  </si>
  <si>
    <t>0701490</t>
  </si>
  <si>
    <t>0701491</t>
  </si>
  <si>
    <t>Feinblech  t=2,0  1,25x2,5m  V2A  240K               13</t>
  </si>
  <si>
    <t>0701492</t>
  </si>
  <si>
    <t>0701493</t>
  </si>
  <si>
    <t>Feinblech  t=0,8  1,5x3m  V2A  240K                   8</t>
  </si>
  <si>
    <t>0701494</t>
  </si>
  <si>
    <t>Feinblech  t=1,0  1,5x3m  V2A 240K                   10</t>
  </si>
  <si>
    <t>0701495</t>
  </si>
  <si>
    <t>Feinblech  t=1,5  1,5x3m  V2A  240K                  15</t>
  </si>
  <si>
    <t>0701496</t>
  </si>
  <si>
    <t>Feinblech  t=2,0  1,5x3m  V2A  240K                  18</t>
  </si>
  <si>
    <t>0701497</t>
  </si>
  <si>
    <t>Feinblech  t=2,5  1,5x3m  V2A  240K                  24</t>
  </si>
  <si>
    <t>0701498</t>
  </si>
  <si>
    <t>0701499</t>
  </si>
  <si>
    <t>0701500</t>
  </si>
  <si>
    <t>0701501</t>
  </si>
  <si>
    <t>Trapezblech 0,75 x 915 mm                             1</t>
  </si>
  <si>
    <t>0701502</t>
  </si>
  <si>
    <t>Adapter für  Wickelrohr 120x2 RS/FSA                  1</t>
  </si>
  <si>
    <t>0701503</t>
  </si>
  <si>
    <t>Feinblech  t=2,0  1,25x4m  V2A  240K                 30</t>
  </si>
  <si>
    <t>0701504</t>
  </si>
  <si>
    <t>0701505</t>
  </si>
  <si>
    <t>Feinblech  t=0,8  1,25x2,5m  V2A  gebü                6</t>
  </si>
  <si>
    <t>0701506</t>
  </si>
  <si>
    <t>Feinblech  t=1,0  1,25x2,5m  V2A  gebü                7</t>
  </si>
  <si>
    <t>0701507</t>
  </si>
  <si>
    <t>Feinblech                                            12</t>
  </si>
  <si>
    <t>0701508</t>
  </si>
  <si>
    <t>Feinblech  t=2,0  1,25x2,5m  V2A  gebü               14</t>
  </si>
  <si>
    <t>0701509</t>
  </si>
  <si>
    <t>0701510</t>
  </si>
  <si>
    <t>0701511</t>
  </si>
  <si>
    <t>Feinblech  t=1,0  1,5x3m  V2A  gebü                   9</t>
  </si>
  <si>
    <t>0701512</t>
  </si>
  <si>
    <t>Feinblech                                            15</t>
  </si>
  <si>
    <t>0701513</t>
  </si>
  <si>
    <t>Feinblech  t=2,0  1,5x3m  V2A gebü                   18</t>
  </si>
  <si>
    <t>0701514</t>
  </si>
  <si>
    <t>Feinblech                                            26</t>
  </si>
  <si>
    <t>0701515</t>
  </si>
  <si>
    <t>0701516</t>
  </si>
  <si>
    <t>0701517</t>
  </si>
  <si>
    <t>0701518</t>
  </si>
  <si>
    <t>0701519</t>
  </si>
  <si>
    <t>0701520</t>
  </si>
  <si>
    <t>0701521</t>
  </si>
  <si>
    <t>0701522</t>
  </si>
  <si>
    <t>Feinblech  t=2,0  1x2m  Alu                           3</t>
  </si>
  <si>
    <t>0701523</t>
  </si>
  <si>
    <t>Feinblech  t=3,0  1x2m  Alu                           5</t>
  </si>
  <si>
    <t>0701524</t>
  </si>
  <si>
    <t>0701525</t>
  </si>
  <si>
    <t>0701526</t>
  </si>
  <si>
    <t>Feinblech  t=1,5  1,25x2,5m  Alu                      4</t>
  </si>
  <si>
    <t>0701527</t>
  </si>
  <si>
    <t>0701528</t>
  </si>
  <si>
    <t>0701529</t>
  </si>
  <si>
    <t>0701530</t>
  </si>
  <si>
    <t>Feinblech  t=1,5  1,5x3m  Alu                         8</t>
  </si>
  <si>
    <t>0701531</t>
  </si>
  <si>
    <t>Feinblech t=2  3x1,5 Alu                              8</t>
  </si>
  <si>
    <t>0701532</t>
  </si>
  <si>
    <t>0701533</t>
  </si>
  <si>
    <t>Grobblech 5mm Zuschnitt                               1</t>
  </si>
  <si>
    <t>0701534</t>
  </si>
  <si>
    <t>Grobblech 5mm Zuschnitt</t>
  </si>
  <si>
    <t>0701535</t>
  </si>
  <si>
    <t>0701536</t>
  </si>
  <si>
    <t>0701537</t>
  </si>
  <si>
    <t>0701538</t>
  </si>
  <si>
    <t>Grobblech  t=5,0  437x1255  schwarz                   1</t>
  </si>
  <si>
    <t>0701539</t>
  </si>
  <si>
    <t>0701540</t>
  </si>
  <si>
    <t>0701541</t>
  </si>
  <si>
    <t>Grobblech  t=5,0  437x1555  schwarz                   1</t>
  </si>
  <si>
    <t>0701542</t>
  </si>
  <si>
    <t>0701543</t>
  </si>
  <si>
    <t>Feinblech  t=3,0  1,5x3m  V2A  ung                   26</t>
  </si>
  <si>
    <t>0701550</t>
  </si>
  <si>
    <t>Grobblech                                             8</t>
  </si>
  <si>
    <t>0701551</t>
  </si>
  <si>
    <t>0701600</t>
  </si>
  <si>
    <t>Alu - Quintettblech</t>
  </si>
  <si>
    <t>0701604</t>
  </si>
  <si>
    <t>Alu-Blech, einseitig foliert</t>
  </si>
  <si>
    <t>0701605</t>
  </si>
  <si>
    <t>Alu - Blech</t>
  </si>
  <si>
    <t>0701607</t>
  </si>
  <si>
    <t>Alu - Blech                                           3</t>
  </si>
  <si>
    <t>0701700</t>
  </si>
  <si>
    <t>Anf.u.Endgeh.Mot.re.Decke 190x200 RS/FSA</t>
  </si>
  <si>
    <t>0701701</t>
  </si>
  <si>
    <t>Anf.u.Endgeh.Mot.li.Decke 190x200 RS/FSA</t>
  </si>
  <si>
    <t>0701702</t>
  </si>
  <si>
    <t>Anf.u.Endgeh.Mot.re.Wand 190x200 RS/FSA</t>
  </si>
  <si>
    <t>0701703</t>
  </si>
  <si>
    <t>Anf.u.Endgeh.Mot.li.Wand 190x200 RS/FSA</t>
  </si>
  <si>
    <t>0701704</t>
  </si>
  <si>
    <t>Anfangsgehäuse Decke 190x200 RS/FSA</t>
  </si>
  <si>
    <t>Anfangsgeh.Mot.re. Decke 190x200 RS/FSA</t>
  </si>
  <si>
    <t>02                 4</t>
  </si>
  <si>
    <t>Anfangsgeh.Mot.li. Decke 190x200 RS/FSA</t>
  </si>
  <si>
    <t>0701705</t>
  </si>
  <si>
    <t>1. Mittelgehäuse Decke 190x200 RS/FSA</t>
  </si>
  <si>
    <t>00                 4</t>
  </si>
  <si>
    <t>Bgr.1.Mittelgehäuse Decke 190x200 RS/FSA</t>
  </si>
  <si>
    <t>0701706</t>
  </si>
  <si>
    <t>2. Mittelgehäuse Decke 190x200 RS/FSA</t>
  </si>
  <si>
    <t>Bgr.2.Mittelgehäuse Decke 190x200 RS/FSA</t>
  </si>
  <si>
    <t>0701707</t>
  </si>
  <si>
    <t>3. Mittelgehäuse Decke 190x200 RS/FSA</t>
  </si>
  <si>
    <t>Bgr.3.Mittelgehäuse Decke 190x200 RS/FSA</t>
  </si>
  <si>
    <t>0701708</t>
  </si>
  <si>
    <t>Endgehäuse Decke 190x200 RS/FSA</t>
  </si>
  <si>
    <t>Endgeh.Mot.re. Decke 190x200 RS/FSA</t>
  </si>
  <si>
    <t>Endgeh.Mot.li. Decke 190x200 RS/FSA</t>
  </si>
  <si>
    <t>0701709</t>
  </si>
  <si>
    <t>Anfangsgehäuse Wand 190x200 RS/FSA</t>
  </si>
  <si>
    <t>Anfangsgeh.Mot.re. Wand 190x200 RS/FSA</t>
  </si>
  <si>
    <t>Anfangsgeh.Mot.li. Wand 190x200 RS/FSA</t>
  </si>
  <si>
    <t>0701710</t>
  </si>
  <si>
    <t>1. Mittelgehäuse Wand 190x200 RS/FSA</t>
  </si>
  <si>
    <t>Bgr.1.Mittelgehäuse Wand 190x200 RS/FSA</t>
  </si>
  <si>
    <t>0701711</t>
  </si>
  <si>
    <t>2. Mittelgehäuse Wand 190x200 RS/FSA</t>
  </si>
  <si>
    <t>Bgr.2.Mittelgehäuse Wand 190x200 RS/FSA</t>
  </si>
  <si>
    <t>0701712</t>
  </si>
  <si>
    <t>3. Mittelgehäuse Wand 190x200 RS/FSA</t>
  </si>
  <si>
    <t>Bgr.3.Mittelgehäuse Wand 190x200 RS/FSA</t>
  </si>
  <si>
    <t>0701713</t>
  </si>
  <si>
    <t>Endgehäuse Wand 190x200 RS/FSA</t>
  </si>
  <si>
    <t>Endgeh.Mot.re. Wand 190x200 RS/FSA</t>
  </si>
  <si>
    <t>Endgeh.Mot.li. Wand 190x200 RS/FSA</t>
  </si>
  <si>
    <t>0701714</t>
  </si>
  <si>
    <t>Anf.u.Endgeh.Mot.re.Decke 190x250 RS/FSA</t>
  </si>
  <si>
    <t>0701715</t>
  </si>
  <si>
    <t>Anf.u.Endgeh.Mot.li.Decke 190x250 RS/FSA</t>
  </si>
  <si>
    <t>0701716</t>
  </si>
  <si>
    <t>Anf.u.Endgeh.Mot.re.Wand 190x250 RS/FSA</t>
  </si>
  <si>
    <t>0701717</t>
  </si>
  <si>
    <t>Anf.u.Endgeh.Mot.li.Wand 190x250 RS/FSA</t>
  </si>
  <si>
    <t>0701718</t>
  </si>
  <si>
    <t>Anfangsgehäuse Decke 190x250 RS/FSA</t>
  </si>
  <si>
    <t>Anfangsgeh.Mot.re. Decke 190x250 RS/FSA</t>
  </si>
  <si>
    <t>Anfangsgeh.Mot.li. Decke 190x250 RS/FSA</t>
  </si>
  <si>
    <t>0701719</t>
  </si>
  <si>
    <t>1. Mittelgehäuse Decke 190x250 RS/FSA</t>
  </si>
  <si>
    <t>Bgr.1.Mittelgehäuse Decke 190x250 RS/FSA</t>
  </si>
  <si>
    <t>0701720</t>
  </si>
  <si>
    <t>2. Mittelgehäuse Decke 190x250 RS/FSA</t>
  </si>
  <si>
    <t>Bgr.2.Mittelgehäuse Decke 190x250 RS/FSA</t>
  </si>
  <si>
    <t>0701721</t>
  </si>
  <si>
    <t>3. Mittelgehäuse Decke 190x250 RS/FSA</t>
  </si>
  <si>
    <t>Bgr.3.Mittelgehäuse Decke 190x250 RS/FSA</t>
  </si>
  <si>
    <t>0701722</t>
  </si>
  <si>
    <t>Endgehäuse Decke 190x250 RS/FSA</t>
  </si>
  <si>
    <t>Endgeh.Mot.re. Decke 190x250 RS/FSA</t>
  </si>
  <si>
    <t>Endgeh.Mot.li. Decke 190x250 RS/FSA</t>
  </si>
  <si>
    <t>0701723</t>
  </si>
  <si>
    <t>Anfangsgehäuse Wand 190x250 RS/FSA</t>
  </si>
  <si>
    <t>Anfangsgeh.Mot.re. Wand 190x250 RS/FSA</t>
  </si>
  <si>
    <t>Anfangsgeh.Mot.li. Wand 190x250 RS/FSA</t>
  </si>
  <si>
    <t>0701724</t>
  </si>
  <si>
    <t>1. Mittelgehäuse Wand 190x250 RS/FSA</t>
  </si>
  <si>
    <t>Bgr.1.Mittelgehäuse Wand 190x250 RS/FSA</t>
  </si>
  <si>
    <t>0701725</t>
  </si>
  <si>
    <t>2. Mittelgehäuse Wand 190x250 RS/FSA</t>
  </si>
  <si>
    <t>Bgr.2.Mittelgehäuse Wand 190x250 RS/FSA</t>
  </si>
  <si>
    <t>0701726</t>
  </si>
  <si>
    <t>3. Mittelgehäuse Wand 190x250 RS/FSA</t>
  </si>
  <si>
    <t>Bgr.3.Mittelgehäuse Wand 190x250 RS/FSA</t>
  </si>
  <si>
    <t>0701727</t>
  </si>
  <si>
    <t>Endgehäuse Wand 190x250 RS/FSA</t>
  </si>
  <si>
    <t>Endgeh.Mot.re. Wand 190x250 RS/FSA</t>
  </si>
  <si>
    <t>Endgeh.Mot.li. Wand 190x250 RS/FSA</t>
  </si>
  <si>
    <t>0701728</t>
  </si>
  <si>
    <t>Anf.u.Endgeh.Mot.re.Decke 235x290 RS/FSA</t>
  </si>
  <si>
    <t>0701729</t>
  </si>
  <si>
    <t>Anf.u.Endgeh.Mot.li.Decke 235x290 RS/FSA</t>
  </si>
  <si>
    <t>0701730</t>
  </si>
  <si>
    <t>Anf.u.Endgeh.Mot.re.Wand 235x290 RS/FSA</t>
  </si>
  <si>
    <t>0701731</t>
  </si>
  <si>
    <t>Anf.u.Endgeh.Mot.li.Wand 235x290 RS/FSA</t>
  </si>
  <si>
    <t>0701732</t>
  </si>
  <si>
    <t>Anfangsgehäuse Decke 235x290 RS/FSA</t>
  </si>
  <si>
    <t>Anfangsgeh.Mot.re. Decke 235x290 RS/FSA</t>
  </si>
  <si>
    <t>Anfangsgeh.Mot.li. Decke 235x290 RS/FSA</t>
  </si>
  <si>
    <t>0701733</t>
  </si>
  <si>
    <t>1. Mittelgehäuse Decke 235x290 RS/FSA</t>
  </si>
  <si>
    <t>Bgr.1.Mittelgehäuse Decke 235x290 RS/FSA</t>
  </si>
  <si>
    <t>0701734</t>
  </si>
  <si>
    <t>2. Mittelgehäuse Decke 235x290 RS/FSA</t>
  </si>
  <si>
    <t>Bgr.2.Mittelgehäuse Decke 235x290 RS/FSA</t>
  </si>
  <si>
    <t>0701735</t>
  </si>
  <si>
    <t>3. Mittelgehäuse Decke 235x290 RS/FSA</t>
  </si>
  <si>
    <t>Bgr.3.Mittelgehäuse Decke 235x290 RS/FSA</t>
  </si>
  <si>
    <t>0701736</t>
  </si>
  <si>
    <t>Endgehäuse Decke 235x290 RS/FSA</t>
  </si>
  <si>
    <t>Endgeh.Mot.re. Decke 235x290 RS/FSA</t>
  </si>
  <si>
    <t>Endgeh.Mot.li. Decke 235x290 RS/FSA</t>
  </si>
  <si>
    <t>0701737</t>
  </si>
  <si>
    <t>Anfangsgehäuse Wand 235x290 RS/FSA</t>
  </si>
  <si>
    <t>Anfangsgeh.Mot.re. Wand 235x290 RS/FSA</t>
  </si>
  <si>
    <t>Anfangsgeh.Mot.li. Wand 235x290 RS/FSA</t>
  </si>
  <si>
    <t>0701738</t>
  </si>
  <si>
    <t>1. Mittelgehäuse Wand 235x290 RS/FSA</t>
  </si>
  <si>
    <t>Bgr.1.Mittelgehäuse Wand 235x290 RS/FSA</t>
  </si>
  <si>
    <t>0701739</t>
  </si>
  <si>
    <t>2. Mittelgehäuse Wand 235x290 RS/FSA</t>
  </si>
  <si>
    <t>Bgr.2.Mittelgehäuse Wand 235x290 RS/FSA</t>
  </si>
  <si>
    <t>0701740</t>
  </si>
  <si>
    <t>3. Mittelgehäuse Wand 235x290 RS/FSA</t>
  </si>
  <si>
    <t>Bgr.3.Mittelgehäuse Wand 235x290 RS/FSA</t>
  </si>
  <si>
    <t>0701741</t>
  </si>
  <si>
    <t>Endgehäuse Wand 235x290 RS/FSA</t>
  </si>
  <si>
    <t>Endgeh.Mot.re. Wand 235x290 RS/FSA</t>
  </si>
  <si>
    <t>Endgeh.Mot.li. Wand 235x290 RS/FSA</t>
  </si>
  <si>
    <t>0701800</t>
  </si>
  <si>
    <t>Gurtaufnahme 15m, Blech Kpl. /</t>
  </si>
  <si>
    <t>0701801</t>
  </si>
  <si>
    <t>Gehäuse Gurtkassette 15m</t>
  </si>
  <si>
    <t>0701802</t>
  </si>
  <si>
    <t>Deckel Gurtkassette 15m</t>
  </si>
  <si>
    <t>0701803</t>
  </si>
  <si>
    <t>Halter Gurtaufnahme für Gurtkassette 15m</t>
  </si>
  <si>
    <t>0701804</t>
  </si>
  <si>
    <t>Wandwinkel/Gurtaufnahme</t>
  </si>
  <si>
    <t>0701805</t>
  </si>
  <si>
    <t>Scheibe Gurtaufnahme 15m innen</t>
  </si>
  <si>
    <t>0701806</t>
  </si>
  <si>
    <t>Scheibe Gurtaufnahme 15m außen</t>
  </si>
  <si>
    <t>0701807</t>
  </si>
  <si>
    <t>Gurtaufnahme 15m Teil 1</t>
  </si>
  <si>
    <t>0701808</t>
  </si>
  <si>
    <t>Gurtaufnahme 15m Teil 2</t>
  </si>
  <si>
    <t>0701809</t>
  </si>
  <si>
    <t>Gurtaufnahme 15m Teil 3</t>
  </si>
  <si>
    <t>0701810</t>
  </si>
  <si>
    <t>Gurtaufnahme 15m Teil 4</t>
  </si>
  <si>
    <t>0701811</t>
  </si>
  <si>
    <t>Gurtaufnahme 15m Teil 5</t>
  </si>
  <si>
    <t>0701812</t>
  </si>
  <si>
    <t>Winkelblende 290x330 RSA</t>
  </si>
  <si>
    <t>0701813</t>
  </si>
  <si>
    <t>Gerade Blende 290x330 RSA</t>
  </si>
  <si>
    <t>0701814</t>
  </si>
  <si>
    <t>Untere Blende 290x330 RSA</t>
  </si>
  <si>
    <t>0701815</t>
  </si>
  <si>
    <t>Seitendeckel Motor re Motorseite 290x330</t>
  </si>
  <si>
    <t>0701816</t>
  </si>
  <si>
    <t>Seitendeckel Motor re Gegenseite 290x330</t>
  </si>
  <si>
    <t>0701817</t>
  </si>
  <si>
    <t>Seitendeckel Motor li Motorseite 290x330</t>
  </si>
  <si>
    <t>0701818</t>
  </si>
  <si>
    <t>Seitendeckel Motor li Gegenseite 290x330</t>
  </si>
  <si>
    <t>0701819</t>
  </si>
  <si>
    <t>Oberteil Befestigungskonsole 290x330 RSA</t>
  </si>
  <si>
    <t>0701820</t>
  </si>
  <si>
    <t>Befestigungskonsole Unterteil 290x330</t>
  </si>
  <si>
    <t>0701821</t>
  </si>
  <si>
    <t>Befestigungswinkel 290x330 RSA</t>
  </si>
  <si>
    <t>0701822</t>
  </si>
  <si>
    <t>Befestigungskonsole komplett 290x330</t>
  </si>
  <si>
    <t>0701823</t>
  </si>
  <si>
    <t>Motorlagerplatte rechts 290x330</t>
  </si>
  <si>
    <t>0701824</t>
  </si>
  <si>
    <t>Motorlagerplatte links 290x330</t>
  </si>
  <si>
    <t>0701825</t>
  </si>
  <si>
    <t>Gegenlagerplatte 290x330</t>
  </si>
  <si>
    <t>0701826</t>
  </si>
  <si>
    <t>Seitendeckel komp. 290x330 Mot re,</t>
  </si>
  <si>
    <t>0701827</t>
  </si>
  <si>
    <t>Seitendeckel Mo re Gegenseite 290x330</t>
  </si>
  <si>
    <t>0701830</t>
  </si>
  <si>
    <t>Befestigungsprofil Führungsschiene Teil1</t>
  </si>
  <si>
    <t>0701831</t>
  </si>
  <si>
    <t>Befestigungsprofil Führungsschiene Teil2</t>
  </si>
  <si>
    <t>0701832</t>
  </si>
  <si>
    <t>Befestigungsprofil Führungsschiene RS</t>
  </si>
  <si>
    <t>0701833</t>
  </si>
  <si>
    <t>Führungsschiene 150 Wand komplett</t>
  </si>
  <si>
    <t>0701834</t>
  </si>
  <si>
    <t>Führungsschiene 150 Laibung komplett</t>
  </si>
  <si>
    <t>0701835</t>
  </si>
  <si>
    <t>Kantung 1 für Führungsschiene 150</t>
  </si>
  <si>
    <t>0701836</t>
  </si>
  <si>
    <t>Kantung 2 für Führungsschiene 150</t>
  </si>
  <si>
    <t>0701837</t>
  </si>
  <si>
    <t>Kantung 3 für Führungsschiene 150</t>
  </si>
  <si>
    <t>0701838</t>
  </si>
  <si>
    <t>Kantung 4 für Führungsschiene 150</t>
  </si>
  <si>
    <t>0701839</t>
  </si>
  <si>
    <t>Kantung 5 für Führungsschiene 150</t>
  </si>
  <si>
    <t>0701840</t>
  </si>
  <si>
    <t>Kantung 6 für Führungsschiene 150</t>
  </si>
  <si>
    <t>0701841</t>
  </si>
  <si>
    <t>Kantung 7 für Führungsschiene 150</t>
  </si>
  <si>
    <t>0701842</t>
  </si>
  <si>
    <t>Kantung 8 für Führungsschiene 150</t>
  </si>
  <si>
    <t>0701843</t>
  </si>
  <si>
    <t>Kantung 9 für Führungsschiene 150</t>
  </si>
  <si>
    <t>0701844</t>
  </si>
  <si>
    <t>Unterlegblech C-Profil 130x75x3 Uni-B</t>
  </si>
  <si>
    <t>0701845</t>
  </si>
  <si>
    <t>Unterlegblech C-Profil 175x75x3 Uni-B</t>
  </si>
  <si>
    <t>0701846</t>
  </si>
  <si>
    <t>Halter Pneumatikzylinder unten Abräu-BZ</t>
  </si>
  <si>
    <t>0701847</t>
  </si>
  <si>
    <t>Halter Gasdruckfeder unten Abräu-BZ</t>
  </si>
  <si>
    <t>0701848</t>
  </si>
  <si>
    <t>Halter Gasdruckfeder oben Abräu-BZ</t>
  </si>
  <si>
    <t>0701849</t>
  </si>
  <si>
    <t>Abräumungshalter rechts Abräumung - BZ</t>
  </si>
  <si>
    <t>0701850</t>
  </si>
  <si>
    <t>Abräumungshalter links Abräumung - BZ</t>
  </si>
  <si>
    <t>0701851</t>
  </si>
  <si>
    <t>Wandhalter RZ- Gehäuse rechts Elektrik</t>
  </si>
  <si>
    <t>0701852</t>
  </si>
  <si>
    <t>Wandhalter RZ- Gehäuse links Elektrik</t>
  </si>
  <si>
    <t>0701853</t>
  </si>
  <si>
    <t>Abschlussleistenprofil Kantung RS/FSA</t>
  </si>
  <si>
    <t>0701854</t>
  </si>
  <si>
    <t>Abschlussleistenprofil Baugruppe RSV/FSV</t>
  </si>
  <si>
    <t>0701855</t>
  </si>
  <si>
    <t>Befestkonsole Oberteil Abrollstopp</t>
  </si>
  <si>
    <t>0701856</t>
  </si>
  <si>
    <t>Befestigungskon Abrollstopp</t>
  </si>
  <si>
    <t>0701857</t>
  </si>
  <si>
    <t>Rahmen oben gekant.horiz.m.Abs. Uni B                 1</t>
  </si>
  <si>
    <t>0701858</t>
  </si>
  <si>
    <t>Blockiervorrichtung für Rundriemenförder</t>
  </si>
  <si>
    <t>0701859</t>
  </si>
  <si>
    <t>Blockiervorr für Rundriemenförder Teil1</t>
  </si>
  <si>
    <t>0701860</t>
  </si>
  <si>
    <t>Blockiervorr für Rundriemenförder Teil2</t>
  </si>
  <si>
    <t>0701861</t>
  </si>
  <si>
    <t>Blockiervorr. für Rundriemenförder Teil3</t>
  </si>
  <si>
    <t>0701862</t>
  </si>
  <si>
    <t>Blockiervorr für Rundriemenförder Teil4</t>
  </si>
  <si>
    <t>0701863</t>
  </si>
  <si>
    <t>Bolzen für Blockiervorrichtung</t>
  </si>
  <si>
    <t>0701864</t>
  </si>
  <si>
    <t>Blockiervorr. für Rundriemenförder Teil6</t>
  </si>
  <si>
    <t>0701865</t>
  </si>
  <si>
    <t>Rohr 20x2 für Blockiervorrichtung</t>
  </si>
  <si>
    <t>0701866</t>
  </si>
  <si>
    <t>Blockiervorr. für Rundriemenförder Teil8</t>
  </si>
  <si>
    <t>0701867</t>
  </si>
  <si>
    <t>Blechkranz für Festfelddurchdringung</t>
  </si>
  <si>
    <t>0701868</t>
  </si>
  <si>
    <t>Untere Abdeckung Archiketkenschiene</t>
  </si>
  <si>
    <t>0701869</t>
  </si>
  <si>
    <t>Schieberversteifung RGT Schieber &gt;2,5m</t>
  </si>
  <si>
    <t>0701870</t>
  </si>
  <si>
    <t>Motorlagerplatte (Blech) rechts fest</t>
  </si>
  <si>
    <t>0701871</t>
  </si>
  <si>
    <t>Motorlagerplatte Motor links,Motorseite</t>
  </si>
  <si>
    <t>0701872</t>
  </si>
  <si>
    <t>Befestigungswinkel 190x290 RSA</t>
  </si>
  <si>
    <t>0701873</t>
  </si>
  <si>
    <t>Kantung für Dichtung RSA</t>
  </si>
  <si>
    <t>0701874</t>
  </si>
  <si>
    <t>Stoßverbinder Winkelblende 190x200</t>
  </si>
  <si>
    <t>0701875</t>
  </si>
  <si>
    <t>Stoßverbinder gerade Blende 190x200</t>
  </si>
  <si>
    <t>0701876</t>
  </si>
  <si>
    <t>Stoßverbinder Winkelblende 190x250</t>
  </si>
  <si>
    <t>0701877</t>
  </si>
  <si>
    <t>Stoßverbinder/Gerade Blende 190x250</t>
  </si>
  <si>
    <t>0701878</t>
  </si>
  <si>
    <t>Stoßverbinder Winkelblende 235x290</t>
  </si>
  <si>
    <t>0701879</t>
  </si>
  <si>
    <t>Stoßverbinder gerade Blende 235x290</t>
  </si>
  <si>
    <t>0701880</t>
  </si>
  <si>
    <t>U-Kantung für Hangrollenhalter Uni-B</t>
  </si>
  <si>
    <t>0701881</t>
  </si>
  <si>
    <t>Befestigungswinkel untere Blende</t>
  </si>
  <si>
    <t>0701882</t>
  </si>
  <si>
    <t>Befestigunswinkel untere Blende</t>
  </si>
  <si>
    <t>0701883</t>
  </si>
  <si>
    <t>Winkel "untere Blende" RS / FSA / RSA</t>
  </si>
  <si>
    <t>0701884</t>
  </si>
  <si>
    <t>Verbinder klein für Führungsschiene 120</t>
  </si>
  <si>
    <t>0701885</t>
  </si>
  <si>
    <t>Endblech VO/10 klein</t>
  </si>
  <si>
    <t>0701886</t>
  </si>
  <si>
    <t>Winkel für Führungrolle hinten RGT</t>
  </si>
  <si>
    <t>0701887</t>
  </si>
  <si>
    <t>0701888</t>
  </si>
  <si>
    <t>Befestigungskonsole komplett schwimmend</t>
  </si>
  <si>
    <t>0701889</t>
  </si>
  <si>
    <t>Klemmverbinder (C 130x75x3) VO-Festfeld</t>
  </si>
  <si>
    <t>0701891</t>
  </si>
  <si>
    <t>Klemmverbinder f. C105x50x3 Vo-FF</t>
  </si>
  <si>
    <t>0701892</t>
  </si>
  <si>
    <t>Winkelblende RSA Niedrigsturz</t>
  </si>
  <si>
    <t>0701893</t>
  </si>
  <si>
    <t>Gerade Blende RSA Niedrigsturz</t>
  </si>
  <si>
    <t>0701894</t>
  </si>
  <si>
    <t>Untere Blende RSA Niedrigsturz</t>
  </si>
  <si>
    <t>0701895</t>
  </si>
  <si>
    <t>Oberteil Befestigungskonsole rechts RSA</t>
  </si>
  <si>
    <t>0701896</t>
  </si>
  <si>
    <t>Oberteil Befestigungskonsole links RSA</t>
  </si>
  <si>
    <t>0701897</t>
  </si>
  <si>
    <t>Befestigungskonsole Oberteil Mitte</t>
  </si>
  <si>
    <t>0701898</t>
  </si>
  <si>
    <t>Befestigungskonsole Unterteil RSA</t>
  </si>
  <si>
    <t>0701899</t>
  </si>
  <si>
    <t>Flachstahl für 0701896/0701895</t>
  </si>
  <si>
    <t>0701900</t>
  </si>
  <si>
    <t>Gewebehaltestreifen Wickelrohr RS/FSA</t>
  </si>
  <si>
    <t>0701901</t>
  </si>
  <si>
    <t>Abdeckung Linnig-Laufregler</t>
  </si>
  <si>
    <t>0701902</t>
  </si>
  <si>
    <t>Laufreglerhalter</t>
  </si>
  <si>
    <t>0701903</t>
  </si>
  <si>
    <t>Seitendeckel Motor rechts Motorseite</t>
  </si>
  <si>
    <t>0701904</t>
  </si>
  <si>
    <t>Seitendeckel Motor rechts, Gegenseite</t>
  </si>
  <si>
    <t>0701905</t>
  </si>
  <si>
    <t>Seitendeckel Motor links, Motorseite</t>
  </si>
  <si>
    <t>0701906</t>
  </si>
  <si>
    <t>Seitendeckel Motor links Gegenseite</t>
  </si>
  <si>
    <t>0701907</t>
  </si>
  <si>
    <t>0701908</t>
  </si>
  <si>
    <t>Motorlagerplatte links RSA/Labyrinth</t>
  </si>
  <si>
    <t>0701909</t>
  </si>
  <si>
    <t>Gegenlagerplatte Motor links, 285x200</t>
  </si>
  <si>
    <t>0701910</t>
  </si>
  <si>
    <t>Rollenhalter aussen links</t>
  </si>
  <si>
    <t>0701911</t>
  </si>
  <si>
    <t>Rollenhalter aussen rechts</t>
  </si>
  <si>
    <t>0701912</t>
  </si>
  <si>
    <t>Rollenhalter Mitte Fiberseal Evolution</t>
  </si>
  <si>
    <t>0701913</t>
  </si>
  <si>
    <t>Befestigungskonsole Unterteil aussen</t>
  </si>
  <si>
    <t>0701914</t>
  </si>
  <si>
    <t>Befestigungskonsoel Unterteil aussen</t>
  </si>
  <si>
    <t>0701915</t>
  </si>
  <si>
    <t>Befestigungskonsole Unterteil aussen                  1</t>
  </si>
  <si>
    <t>0701916</t>
  </si>
  <si>
    <t>Stoßverbinder für untere Blende</t>
  </si>
  <si>
    <t>0701917</t>
  </si>
  <si>
    <t>Stoßverbinder gerade Blende 290x330 RSA</t>
  </si>
  <si>
    <t>0701918</t>
  </si>
  <si>
    <t>Stoßverbinder untere Blende RSA 295x330</t>
  </si>
  <si>
    <t>0701919</t>
  </si>
  <si>
    <t>Befestigungskonsole Oberteil 285x200</t>
  </si>
  <si>
    <t>0701920</t>
  </si>
  <si>
    <t>Kantung minimierte Abschlußleiste</t>
  </si>
  <si>
    <t>0701921</t>
  </si>
  <si>
    <t>Minimierte Abschlußleiste komplett</t>
  </si>
  <si>
    <t>0701922</t>
  </si>
  <si>
    <t>Winkelblende für Gehäuse 175x200</t>
  </si>
  <si>
    <t>0701923</t>
  </si>
  <si>
    <t>Untere Blende für Gehäuse 175x200</t>
  </si>
  <si>
    <t>0701924</t>
  </si>
  <si>
    <t>Befestigungskonsole Oberteil 175x200</t>
  </si>
  <si>
    <t>0701925</t>
  </si>
  <si>
    <t>Befestigunskonsole komplett feste Lag.</t>
  </si>
  <si>
    <t>0701926</t>
  </si>
  <si>
    <t>0701927</t>
  </si>
  <si>
    <t>0701928</t>
  </si>
  <si>
    <t>Seitendeckel Motor links,Motorseite</t>
  </si>
  <si>
    <t>0701929</t>
  </si>
  <si>
    <t>Seitendeckel Motor links, Gegenseite</t>
  </si>
  <si>
    <t>0701930</t>
  </si>
  <si>
    <t>Motorlagerplatte,Motor rechts,Motorseite</t>
  </si>
  <si>
    <t>0701931</t>
  </si>
  <si>
    <t>Motorlagerplatte,Motor links,Motorseite</t>
  </si>
  <si>
    <t>0701932</t>
  </si>
  <si>
    <t>Gegenlagerplatte rechts, komplett</t>
  </si>
  <si>
    <t>0701933</t>
  </si>
  <si>
    <t>Gegenlagerplatte links komplett</t>
  </si>
  <si>
    <t>0701934</t>
  </si>
  <si>
    <t>Gegenlagerplatte (Blech) 175x200 RS/FSA</t>
  </si>
  <si>
    <t>0701935</t>
  </si>
  <si>
    <t>Befestigungswinkel für Gehäuse 175x200</t>
  </si>
  <si>
    <t>0701936</t>
  </si>
  <si>
    <t>Abschlußblech f. federnde Abschlußleiste</t>
  </si>
  <si>
    <t>0701937</t>
  </si>
  <si>
    <t>Minimierte Führungsschiene (50mm)</t>
  </si>
  <si>
    <t>0701938</t>
  </si>
  <si>
    <t>Minimierte Führungsschiene Teil 1 links</t>
  </si>
  <si>
    <t>0701939</t>
  </si>
  <si>
    <t>Minimierte Führungsschiene Teil 2 links</t>
  </si>
  <si>
    <t>0701940</t>
  </si>
  <si>
    <t>Führungsschiene 105 links komplett RS/FS</t>
  </si>
  <si>
    <t>0701941</t>
  </si>
  <si>
    <t>Führungsschiene 105 rechts komp. RS/FS                4</t>
  </si>
  <si>
    <t>0701942</t>
  </si>
  <si>
    <t>Führungsschiene 105 links, komp. RS/FSA</t>
  </si>
  <si>
    <t>0701943</t>
  </si>
  <si>
    <t>Führungsschiene 105,rechts komp. RS/FSA</t>
  </si>
  <si>
    <t>0701944</t>
  </si>
  <si>
    <t>Kantung 1 für Führungsschiene 105 links</t>
  </si>
  <si>
    <t>0701945</t>
  </si>
  <si>
    <t>Kantung 1 für Führungsschiene 105 rechts</t>
  </si>
  <si>
    <t>0701946</t>
  </si>
  <si>
    <t>Kantung 2 für Führungsschiene 105 links</t>
  </si>
  <si>
    <t>0701947</t>
  </si>
  <si>
    <t>Kantung 2 für Führungsschiene 105 rechts</t>
  </si>
  <si>
    <t>0701948</t>
  </si>
  <si>
    <t>Kantung 3 für Führungsschiene 105 links</t>
  </si>
  <si>
    <t>0701950</t>
  </si>
  <si>
    <t>Dichtprofil links, FS 105E für Basisprof</t>
  </si>
  <si>
    <t>0701951</t>
  </si>
  <si>
    <t>Dichtprofil rechts, FS 105E für Basispro</t>
  </si>
  <si>
    <t>0701952</t>
  </si>
  <si>
    <t>Dichtprofil links, FS 105E für Deckprofi</t>
  </si>
  <si>
    <t>0701953</t>
  </si>
  <si>
    <t>Dichtprofil rechts, FS 105E für Deckprof</t>
  </si>
  <si>
    <t>0701954</t>
  </si>
  <si>
    <t>Führungsschiene 120 Röllchenführung</t>
  </si>
  <si>
    <t>0701955</t>
  </si>
  <si>
    <t>Führungsschiene 120 Röllchenführung                   6</t>
  </si>
  <si>
    <t>0701956</t>
  </si>
  <si>
    <t>Kantung 1 für Führungsschiene 120</t>
  </si>
  <si>
    <t>0701957</t>
  </si>
  <si>
    <t>Kantung 2 für Führungsschiene 120</t>
  </si>
  <si>
    <t>0701958</t>
  </si>
  <si>
    <t>Kantung 3 für Führungsschiene 120</t>
  </si>
  <si>
    <t>0701959</t>
  </si>
  <si>
    <t>Kantung 4 für Führungsschiene 120</t>
  </si>
  <si>
    <t>0701960</t>
  </si>
  <si>
    <t>Kantung 5 für Führungsschiene 120</t>
  </si>
  <si>
    <t>0701961</t>
  </si>
  <si>
    <t>Kantung 6 für Führungsschiene 120</t>
  </si>
  <si>
    <t>0701962</t>
  </si>
  <si>
    <t>Kantung 7 für Führungsschiene 120</t>
  </si>
  <si>
    <t>0701963</t>
  </si>
  <si>
    <t>Verbinder groß für Führungsschiene 120</t>
  </si>
  <si>
    <t>0701964</t>
  </si>
  <si>
    <t>Lagerschiene links Mauernische, Stange</t>
  </si>
  <si>
    <t>0701965</t>
  </si>
  <si>
    <t>Lagerschiene rechts Mauernische, Stange</t>
  </si>
  <si>
    <t>0701966</t>
  </si>
  <si>
    <t>Lagerschiene links Mauernische Stangenfü</t>
  </si>
  <si>
    <t>0701967</t>
  </si>
  <si>
    <t>Lagerschiene links Mauernische Stange</t>
  </si>
  <si>
    <t>0701968</t>
  </si>
  <si>
    <t>Lagerschiene für Mauernische</t>
  </si>
  <si>
    <t>0701969</t>
  </si>
  <si>
    <t>Führungsschiene links komplett RSA</t>
  </si>
  <si>
    <t>0701970</t>
  </si>
  <si>
    <t>Führungsschiene rechts komplett RSA</t>
  </si>
  <si>
    <t>0701971</t>
  </si>
  <si>
    <t>Führungsschiene RSA links komplett</t>
  </si>
  <si>
    <t>0701972</t>
  </si>
  <si>
    <t>Führungsschiene RSA rechts komplett</t>
  </si>
  <si>
    <t>0701973</t>
  </si>
  <si>
    <t>Kantung 1 für Führungsschiene links RSA</t>
  </si>
  <si>
    <t>0701974</t>
  </si>
  <si>
    <t>Kantung 1 für Führungsschiene rechts RSA</t>
  </si>
  <si>
    <t>0701975</t>
  </si>
  <si>
    <t>Kantung 2 für Führungsschiene links RSA</t>
  </si>
  <si>
    <t>0701976</t>
  </si>
  <si>
    <t>Kantung 2 für Führungsschiene rechts RSA</t>
  </si>
  <si>
    <t>0701977</t>
  </si>
  <si>
    <t>Lagerschiene f Führungsschiene links RSA</t>
  </si>
  <si>
    <t>0701978</t>
  </si>
  <si>
    <t>Lagerschiene  Führungsschiene rechts RSA</t>
  </si>
  <si>
    <t>0701979</t>
  </si>
  <si>
    <t>Lagerschiene Führungsschiene links RSA</t>
  </si>
  <si>
    <t>0701980</t>
  </si>
  <si>
    <t>Lagerschiene Führungsschiene rechts RSA</t>
  </si>
  <si>
    <t>0701981</t>
  </si>
  <si>
    <t>Kantung 5 für Führungsschiene links RSA</t>
  </si>
  <si>
    <t>0701982</t>
  </si>
  <si>
    <t>Kantung 5 für Führungsschiene rechts RSA</t>
  </si>
  <si>
    <t>0701983</t>
  </si>
  <si>
    <t>Flachstahl 12x8 für Führunsschiene RSA</t>
  </si>
  <si>
    <t>0701984</t>
  </si>
  <si>
    <t>Winkelblende für 3tlg. Gehäuse 190x180</t>
  </si>
  <si>
    <t>0701985</t>
  </si>
  <si>
    <t>Gerade Blende für 3tlg. Gehäuse 190x180</t>
  </si>
  <si>
    <t>0701986</t>
  </si>
  <si>
    <t>0701987</t>
  </si>
  <si>
    <t>Seitendeckel rechts Motorseite 190x180</t>
  </si>
  <si>
    <t>0701988</t>
  </si>
  <si>
    <t>Seitendeckel rechts Gegenseite 190x180</t>
  </si>
  <si>
    <t>0701989</t>
  </si>
  <si>
    <t>Seitendeckel links Motorseite 190x180</t>
  </si>
  <si>
    <t>0701990</t>
  </si>
  <si>
    <t>Seitendeckel links Gegenseite 190x180</t>
  </si>
  <si>
    <t>0701991</t>
  </si>
  <si>
    <t>Motorlagerplatte (Blech) fest rechts</t>
  </si>
  <si>
    <t>0701992</t>
  </si>
  <si>
    <t>Motorlagerplatte (Blech) fest links</t>
  </si>
  <si>
    <t>0701993</t>
  </si>
  <si>
    <t>Gegenlagerplatte (Blech) 190x180</t>
  </si>
  <si>
    <t>0701995</t>
  </si>
  <si>
    <t>0701996</t>
  </si>
  <si>
    <t>Befestigungswinkel Abrollsicherung</t>
  </si>
  <si>
    <t>0701997</t>
  </si>
  <si>
    <t>Kantung für Dichtung</t>
  </si>
  <si>
    <t>0701998</t>
  </si>
  <si>
    <t>Klemmverbinder für C150x105 VO-FF</t>
  </si>
  <si>
    <t>0701999</t>
  </si>
  <si>
    <t>Platte für Gehäuse Federseilrolle 80N</t>
  </si>
  <si>
    <t>0702001</t>
  </si>
  <si>
    <t>Flachstahl</t>
  </si>
  <si>
    <t>0702002</t>
  </si>
  <si>
    <t>0702003</t>
  </si>
  <si>
    <t>Flachstahl  40x5  3m fix feuerverz.</t>
  </si>
  <si>
    <t>0702004</t>
  </si>
  <si>
    <t>0702005</t>
  </si>
  <si>
    <t>0702006</t>
  </si>
  <si>
    <t>Flachstahl                                            4</t>
  </si>
  <si>
    <t>0702007</t>
  </si>
  <si>
    <t>0702008</t>
  </si>
  <si>
    <t>0702009</t>
  </si>
  <si>
    <t>0702010</t>
  </si>
  <si>
    <t>0702011</t>
  </si>
  <si>
    <t>Flachstahl                                            1</t>
  </si>
  <si>
    <t>0702012</t>
  </si>
  <si>
    <t>0702013</t>
  </si>
  <si>
    <t>0702014</t>
  </si>
  <si>
    <t>Flachstahl VA 25x5 W.1.4301</t>
  </si>
  <si>
    <t>0702015</t>
  </si>
  <si>
    <t>0702016</t>
  </si>
  <si>
    <t>0702018</t>
  </si>
  <si>
    <t>0702019</t>
  </si>
  <si>
    <t>0702020</t>
  </si>
  <si>
    <t>0702021</t>
  </si>
  <si>
    <t>0702022</t>
  </si>
  <si>
    <t>Winkelstahl verzinkt</t>
  </si>
  <si>
    <t>0702023</t>
  </si>
  <si>
    <t>Winkelstahl, gezogen</t>
  </si>
  <si>
    <t>0702024</t>
  </si>
  <si>
    <t>Winkelstahl</t>
  </si>
  <si>
    <t>0702025</t>
  </si>
  <si>
    <t>0702026</t>
  </si>
  <si>
    <t>U - Stahl</t>
  </si>
  <si>
    <t>0702027</t>
  </si>
  <si>
    <t>0702028</t>
  </si>
  <si>
    <t>UNP - Stahl</t>
  </si>
  <si>
    <t>0702029</t>
  </si>
  <si>
    <t>0702030</t>
  </si>
  <si>
    <t>0702031</t>
  </si>
  <si>
    <t>0702032</t>
  </si>
  <si>
    <t>0702033</t>
  </si>
  <si>
    <t>0702034</t>
  </si>
  <si>
    <t>Flachstahl Befestigung Führungsstück RGT</t>
  </si>
  <si>
    <t>0702035</t>
  </si>
  <si>
    <t>0702036</t>
  </si>
  <si>
    <t>0702037</t>
  </si>
  <si>
    <t>Flachstahl 100x10mm schwarz</t>
  </si>
  <si>
    <t>0702039</t>
  </si>
  <si>
    <t>0702040</t>
  </si>
  <si>
    <t>0702041</t>
  </si>
  <si>
    <t>0702042</t>
  </si>
  <si>
    <t>0702043</t>
  </si>
  <si>
    <t>0702044</t>
  </si>
  <si>
    <t>0702045</t>
  </si>
  <si>
    <t>0702046</t>
  </si>
  <si>
    <t>0702047</t>
  </si>
  <si>
    <t>0702048</t>
  </si>
  <si>
    <t>0702049</t>
  </si>
  <si>
    <t>0702050</t>
  </si>
  <si>
    <t>0702051</t>
  </si>
  <si>
    <t>0702052</t>
  </si>
  <si>
    <t>0702053</t>
  </si>
  <si>
    <t>0702054</t>
  </si>
  <si>
    <t>0702055</t>
  </si>
  <si>
    <t>0702056</t>
  </si>
  <si>
    <t>0702057</t>
  </si>
  <si>
    <t>0702058</t>
  </si>
  <si>
    <t>Flachstahl 20 x 8 mm</t>
  </si>
  <si>
    <t>0702059</t>
  </si>
  <si>
    <t>0702060</t>
  </si>
  <si>
    <t>0702061</t>
  </si>
  <si>
    <t>Flachstahl 40x8mm schwarz</t>
  </si>
  <si>
    <t>0702062</t>
  </si>
  <si>
    <t>0702063</t>
  </si>
  <si>
    <t>0702065</t>
  </si>
  <si>
    <t>0702066</t>
  </si>
  <si>
    <t>0702067</t>
  </si>
  <si>
    <t>0702068</t>
  </si>
  <si>
    <t>0702069</t>
  </si>
  <si>
    <t>0702070</t>
  </si>
  <si>
    <t>0702071</t>
  </si>
  <si>
    <t>0702072</t>
  </si>
  <si>
    <t>0702073</t>
  </si>
  <si>
    <t>0702074</t>
  </si>
  <si>
    <t>0702075</t>
  </si>
  <si>
    <t>0702076</t>
  </si>
  <si>
    <t>0702077</t>
  </si>
  <si>
    <t>0702078</t>
  </si>
  <si>
    <t>0702079</t>
  </si>
  <si>
    <t>T-Stahl</t>
  </si>
  <si>
    <t>0702080</t>
  </si>
  <si>
    <t>0702081</t>
  </si>
  <si>
    <t>0702082</t>
  </si>
  <si>
    <t>Winkelstahl                                           1</t>
  </si>
  <si>
    <t>0702083</t>
  </si>
  <si>
    <t>0702084</t>
  </si>
  <si>
    <t>0702085</t>
  </si>
  <si>
    <t>0702086</t>
  </si>
  <si>
    <t>0702087</t>
  </si>
  <si>
    <t>0702088</t>
  </si>
  <si>
    <t>0702089</t>
  </si>
  <si>
    <t>0702090</t>
  </si>
  <si>
    <t>U-Stahl</t>
  </si>
  <si>
    <t>0702091</t>
  </si>
  <si>
    <t>0702092</t>
  </si>
  <si>
    <t>U - Baustahl</t>
  </si>
  <si>
    <t>0702093</t>
  </si>
  <si>
    <t>0702094</t>
  </si>
  <si>
    <t>0702095</t>
  </si>
  <si>
    <t>0702096</t>
  </si>
  <si>
    <t>0702097</t>
  </si>
  <si>
    <t>0702098</t>
  </si>
  <si>
    <t>0702099</t>
  </si>
  <si>
    <t>0702100</t>
  </si>
  <si>
    <t>Vierkantstahl                                         2</t>
  </si>
  <si>
    <t>0702101</t>
  </si>
  <si>
    <t>Vierkantstahl</t>
  </si>
  <si>
    <t>0702102</t>
  </si>
  <si>
    <t>0702103</t>
  </si>
  <si>
    <t>0702104</t>
  </si>
  <si>
    <t>0702105</t>
  </si>
  <si>
    <t>0702106</t>
  </si>
  <si>
    <t>0702107</t>
  </si>
  <si>
    <t>0702108</t>
  </si>
  <si>
    <t>0702109</t>
  </si>
  <si>
    <t>Flachstahl 35 x 10 schwarz</t>
  </si>
  <si>
    <t>0702110</t>
  </si>
  <si>
    <t>0702111</t>
  </si>
  <si>
    <t>0702112</t>
  </si>
  <si>
    <t>0702113</t>
  </si>
  <si>
    <t>0702114</t>
  </si>
  <si>
    <t>0702115</t>
  </si>
  <si>
    <t>Flachstahl 50x10 schwarz</t>
  </si>
  <si>
    <t>0702116</t>
  </si>
  <si>
    <t>0702117</t>
  </si>
  <si>
    <t>0702118</t>
  </si>
  <si>
    <t>0702119</t>
  </si>
  <si>
    <t>0702120</t>
  </si>
  <si>
    <t>0702121</t>
  </si>
  <si>
    <t>0702122</t>
  </si>
  <si>
    <t>0702123</t>
  </si>
  <si>
    <t>0702124</t>
  </si>
  <si>
    <t>0702125</t>
  </si>
  <si>
    <t>Vierkantstahl 10x10mm verz.</t>
  </si>
  <si>
    <t>0702126</t>
  </si>
  <si>
    <t>0702127</t>
  </si>
  <si>
    <t>0702128</t>
  </si>
  <si>
    <t>0702129</t>
  </si>
  <si>
    <t>0702130</t>
  </si>
  <si>
    <t>Winkelstahl                                           2</t>
  </si>
  <si>
    <t>0702131</t>
  </si>
  <si>
    <t>0702132</t>
  </si>
  <si>
    <t>0702133</t>
  </si>
  <si>
    <t>Flachstahl 80x8 V2A                                   1</t>
  </si>
  <si>
    <t>0702134</t>
  </si>
  <si>
    <t>0702135</t>
  </si>
  <si>
    <t>0702136</t>
  </si>
  <si>
    <t>0702137</t>
  </si>
  <si>
    <t>Flachstahl 30x10 schwarz</t>
  </si>
  <si>
    <t>0702138</t>
  </si>
  <si>
    <t>0702139</t>
  </si>
  <si>
    <t>Vierkantstahl 20x20 feuerverzinkt</t>
  </si>
  <si>
    <t>0702140</t>
  </si>
  <si>
    <t>0702142</t>
  </si>
  <si>
    <t>0702144</t>
  </si>
  <si>
    <t>0702146</t>
  </si>
  <si>
    <t>0702147</t>
  </si>
  <si>
    <t>0702149</t>
  </si>
  <si>
    <t>0702150</t>
  </si>
  <si>
    <t>0702151</t>
  </si>
  <si>
    <t>0702152</t>
  </si>
  <si>
    <t>0702153</t>
  </si>
  <si>
    <t>0702154</t>
  </si>
  <si>
    <t>0702155</t>
  </si>
  <si>
    <t>0702156</t>
  </si>
  <si>
    <t>0702157</t>
  </si>
  <si>
    <t>0702158</t>
  </si>
  <si>
    <t>0702159</t>
  </si>
  <si>
    <t>0702160</t>
  </si>
  <si>
    <t>0702161</t>
  </si>
  <si>
    <t>0702162</t>
  </si>
  <si>
    <t>0702163</t>
  </si>
  <si>
    <t>Winkelstahl                                           8</t>
  </si>
  <si>
    <t>0702164</t>
  </si>
  <si>
    <t>0702165</t>
  </si>
  <si>
    <t>0702166</t>
  </si>
  <si>
    <t>Flachhalbrundstahl</t>
  </si>
  <si>
    <t>0702167</t>
  </si>
  <si>
    <t>0702168</t>
  </si>
  <si>
    <t>0702169</t>
  </si>
  <si>
    <t>Profilrohr , schwarz ,                                1</t>
  </si>
  <si>
    <t>0702170</t>
  </si>
  <si>
    <t>Gehäuse für Kettenumlenkung 1/2x5/16</t>
  </si>
  <si>
    <t>0702171</t>
  </si>
  <si>
    <t>Rundstahl für Kettenumlenkung, groß</t>
  </si>
  <si>
    <t>0702172</t>
  </si>
  <si>
    <t>Distanzhülse für Kettenumlenkung, groß</t>
  </si>
  <si>
    <t>0702173</t>
  </si>
  <si>
    <t>Flachstahl Einlaufschuh hori klein RGT</t>
  </si>
  <si>
    <t>0702174</t>
  </si>
  <si>
    <t>Flachstahl Einlaufschuh hori gross RGT</t>
  </si>
  <si>
    <t>0702175</t>
  </si>
  <si>
    <t>Winkelstahl Befestigung Gestänge RGT</t>
  </si>
  <si>
    <t>0702176</t>
  </si>
  <si>
    <t>Winkelst.f.Übergangsst.f.Gurtuml. Uni Q</t>
  </si>
  <si>
    <t>0702177</t>
  </si>
  <si>
    <t>Winkel Absturzsicherung Gewichte</t>
  </si>
  <si>
    <t>0702178</t>
  </si>
  <si>
    <t>0702179</t>
  </si>
  <si>
    <t>Winkel für Verriegelung Uni Q</t>
  </si>
  <si>
    <t>0702180</t>
  </si>
  <si>
    <t>Flachstahl Wand f.Wandkons.Dämpfer Uni Q</t>
  </si>
  <si>
    <t>0702181</t>
  </si>
  <si>
    <t>Flachstahl Dämp f.Wandkons.Dämpfer Uni Q</t>
  </si>
  <si>
    <t>0702182</t>
  </si>
  <si>
    <t>Flachstahl Dämpferseit f.Wandkons. Uni Q</t>
  </si>
  <si>
    <t>0702183</t>
  </si>
  <si>
    <t>Winkelstahl Dämpfers.f.Wandkons. Uni Q</t>
  </si>
  <si>
    <t>0702184</t>
  </si>
  <si>
    <t>U-Stück für Befestigungskonsole Uni Q</t>
  </si>
  <si>
    <t>0702185</t>
  </si>
  <si>
    <t>0702190</t>
  </si>
  <si>
    <t>0702191</t>
  </si>
  <si>
    <t>0702200</t>
  </si>
  <si>
    <t>Flachstahl für HELM 400 UNi-B</t>
  </si>
  <si>
    <t>0702201</t>
  </si>
  <si>
    <t>Flachstahl für DN 50 Zylinder</t>
  </si>
  <si>
    <t>0702202</t>
  </si>
  <si>
    <t>Flachstahl für DN 32 Zylinder</t>
  </si>
  <si>
    <t>0702203</t>
  </si>
  <si>
    <t>U - Stahl 65 mm</t>
  </si>
  <si>
    <t>0702205</t>
  </si>
  <si>
    <t>Federbandstahl</t>
  </si>
  <si>
    <t>0702206</t>
  </si>
  <si>
    <t>Vierkantstahl verz.                                   1</t>
  </si>
  <si>
    <t>0702224</t>
  </si>
  <si>
    <t>U - Stahl , innen und außen scharfkantig</t>
  </si>
  <si>
    <t>0702225</t>
  </si>
  <si>
    <t>0702226</t>
  </si>
  <si>
    <t>0702227</t>
  </si>
  <si>
    <t>0702228</t>
  </si>
  <si>
    <t>Flachstahl für Schieberführung OS/RGT</t>
  </si>
  <si>
    <t>0702229</t>
  </si>
  <si>
    <t>Winkel für Schieberführungsrolle vorn</t>
  </si>
  <si>
    <t>0702230</t>
  </si>
  <si>
    <t>Rohr für Schieberführung vorn RGT</t>
  </si>
  <si>
    <t>0702231</t>
  </si>
  <si>
    <t>Flachstahl für Schieberführung hinten</t>
  </si>
  <si>
    <t>0702232</t>
  </si>
  <si>
    <t>Winkelstahl f.Schieberf.hinten RGT</t>
  </si>
  <si>
    <t>0702233</t>
  </si>
  <si>
    <t>Rohr für Schieberführung hinten</t>
  </si>
  <si>
    <t>0702234</t>
  </si>
  <si>
    <t>Schieberführung vorn komplett RGT</t>
  </si>
  <si>
    <t>0702235</t>
  </si>
  <si>
    <t>Schieberführung hinten komplett RGT</t>
  </si>
  <si>
    <t>0702236</t>
  </si>
  <si>
    <t>0702237</t>
  </si>
  <si>
    <t>0702238</t>
  </si>
  <si>
    <t>0702239</t>
  </si>
  <si>
    <t>0702240</t>
  </si>
  <si>
    <t>0702301</t>
  </si>
  <si>
    <t>0702400</t>
  </si>
  <si>
    <t>0702401</t>
  </si>
  <si>
    <t>Flachstahl                                            2</t>
  </si>
  <si>
    <t>0702404</t>
  </si>
  <si>
    <t>0702405</t>
  </si>
  <si>
    <t>0702406</t>
  </si>
  <si>
    <t>0702499</t>
  </si>
  <si>
    <t>0702500</t>
  </si>
  <si>
    <t>0702501</t>
  </si>
  <si>
    <t>Flachstahl 40x12 verz</t>
  </si>
  <si>
    <t>0702502</t>
  </si>
  <si>
    <t>Flachstahl 40 x 20 verz.</t>
  </si>
  <si>
    <t>0702503</t>
  </si>
  <si>
    <t>0702504</t>
  </si>
  <si>
    <t>0702505</t>
  </si>
  <si>
    <t>0702506</t>
  </si>
  <si>
    <t>0702507</t>
  </si>
  <si>
    <t>Flachstahl 60 x 12 mm galv. Verz.</t>
  </si>
  <si>
    <t>0702508</t>
  </si>
  <si>
    <t>0702509</t>
  </si>
  <si>
    <t>0702510</t>
  </si>
  <si>
    <t>0702511</t>
  </si>
  <si>
    <t>0702512</t>
  </si>
  <si>
    <t>0702513</t>
  </si>
  <si>
    <t>0703001</t>
  </si>
  <si>
    <t>U - Profil mit 6 Lochungen &gt; 300 mm &gt;</t>
  </si>
  <si>
    <t>0703002</t>
  </si>
  <si>
    <t>VU/2 RGT</t>
  </si>
  <si>
    <t>0703003</t>
  </si>
  <si>
    <t>VO/3 RGT</t>
  </si>
  <si>
    <t>0703004</t>
  </si>
  <si>
    <t>U - Profil mit Langloch 26 mm VU/4</t>
  </si>
  <si>
    <t>0703005</t>
  </si>
  <si>
    <t>Sonderprofil mit Langloch 25 mm VS/5</t>
  </si>
  <si>
    <t>0703007</t>
  </si>
  <si>
    <t>Sonderprofil mit Langloch 18 mm  , VS/7</t>
  </si>
  <si>
    <t>0703008</t>
  </si>
  <si>
    <t>L - Profil</t>
  </si>
  <si>
    <t>0703009</t>
  </si>
  <si>
    <t>C - Schiene 112/S, Stahl verzinkt</t>
  </si>
  <si>
    <t>0703010</t>
  </si>
  <si>
    <t>U - Profil VO/10</t>
  </si>
  <si>
    <t>0703011</t>
  </si>
  <si>
    <t>HS / 11 RGT</t>
  </si>
  <si>
    <t>0703012</t>
  </si>
  <si>
    <t>U - Profil mit Langloch 26 mm</t>
  </si>
  <si>
    <t>0703013</t>
  </si>
  <si>
    <t>Verkrallung obers Lamelle &gt;5000 OC</t>
  </si>
  <si>
    <t>0703014</t>
  </si>
  <si>
    <t>Profilschiene, OBO, 2060/SL2</t>
  </si>
  <si>
    <t>0703015</t>
  </si>
  <si>
    <t>Abschlußankantung für Sicherheitsleiste</t>
  </si>
  <si>
    <t>0703016</t>
  </si>
  <si>
    <t>Rahmenprofil</t>
  </si>
  <si>
    <t>0703017</t>
  </si>
  <si>
    <t>0703018</t>
  </si>
  <si>
    <t>Verkrallung obers Lamelle &lt;5000 OC                    1</t>
  </si>
  <si>
    <t>0703019</t>
  </si>
  <si>
    <t>U-Profil DX 51 D+Z 275 NAC</t>
  </si>
  <si>
    <t>0703020</t>
  </si>
  <si>
    <t>Aluminium-C-Profil T-30 RS/FSA</t>
  </si>
  <si>
    <t>0703050</t>
  </si>
  <si>
    <t>C - Profil , gelocht &gt; 650 mm &gt;</t>
  </si>
  <si>
    <t>0703051</t>
  </si>
  <si>
    <t>C - Profil 105 x 75 x 20 x 3, gelocht</t>
  </si>
  <si>
    <t>0703052</t>
  </si>
  <si>
    <t>C - Profile , gelocht &gt; 325 mm &gt;</t>
  </si>
  <si>
    <t>0703053</t>
  </si>
  <si>
    <t>C-Profil  150x105x20x3 Uni-B</t>
  </si>
  <si>
    <t>0703054</t>
  </si>
  <si>
    <t>U-Profil 105x50x3 Uni-B</t>
  </si>
  <si>
    <t>0703055</t>
  </si>
  <si>
    <t>C-Profil 175x75x3 Uni-B</t>
  </si>
  <si>
    <t>0703056</t>
  </si>
  <si>
    <t>C - Profil Laufschiene Decke Uni B</t>
  </si>
  <si>
    <t>0703057</t>
  </si>
  <si>
    <t>0703120</t>
  </si>
  <si>
    <t>Lamellenprofil für Omnicompact</t>
  </si>
  <si>
    <t>0703200</t>
  </si>
  <si>
    <t>Lamellenprofil nach Zeichnung K-65815-0.</t>
  </si>
  <si>
    <t>0703201</t>
  </si>
  <si>
    <t>0703205</t>
  </si>
  <si>
    <t>Lamellenprofil OC                                     1</t>
  </si>
  <si>
    <t>0703206</t>
  </si>
  <si>
    <t>Lamellenprofil Niedrigsturz - OC                      1</t>
  </si>
  <si>
    <t>0703207</t>
  </si>
  <si>
    <t>Lamellenprofil OC - NG                                1</t>
  </si>
  <si>
    <t>0703208</t>
  </si>
  <si>
    <t>Lamellenprofil OC Niedrigsturz- NG                    1</t>
  </si>
  <si>
    <t>0703210</t>
  </si>
  <si>
    <t>Lamellenprofil                                        3</t>
  </si>
  <si>
    <t>0703211</t>
  </si>
  <si>
    <t>Nutrohr, 5.960 mm lg. feuerverz. Bandst.</t>
  </si>
  <si>
    <t>0703212</t>
  </si>
  <si>
    <t>Nutrohr, 3.960 mm lg. feuerverz. Bandst.</t>
  </si>
  <si>
    <t>0703213</t>
  </si>
  <si>
    <t>Abschlußleistenprofil 5.960 mm lg.</t>
  </si>
  <si>
    <t>0703214</t>
  </si>
  <si>
    <t>Abschlußleistenprofil 3.960 mm lg.</t>
  </si>
  <si>
    <t>0703215</t>
  </si>
  <si>
    <t>Nutrohr, 3,840 mm lg. feuerverz. Bandst.</t>
  </si>
  <si>
    <t>0703216</t>
  </si>
  <si>
    <t>Nutrohr, 4,840 mm lg. feuerverz. Bandst.</t>
  </si>
  <si>
    <t>0703217</t>
  </si>
  <si>
    <t>Nutrohr, 5,840 mm lg. feuerverz. Bandst.</t>
  </si>
  <si>
    <t>0703218</t>
  </si>
  <si>
    <t>Abschlußleistenprofil 4.960 mm lg.</t>
  </si>
  <si>
    <t>0703219</t>
  </si>
  <si>
    <t>Nutrohr, 4.960 mm lg. feuerverz. Bandst.</t>
  </si>
  <si>
    <t>0703220</t>
  </si>
  <si>
    <t>PVG-Nutrohr 9808, GNR-63 x 1</t>
  </si>
  <si>
    <t>0703221</t>
  </si>
  <si>
    <t>Lamellenprofil OC - EI120</t>
  </si>
  <si>
    <t>0703222</t>
  </si>
  <si>
    <t>Lamellenprofil Niedrigsturz OC - EI120</t>
  </si>
  <si>
    <t>0703300</t>
  </si>
  <si>
    <t>Lamelle oben geschäumt für OC                        12</t>
  </si>
  <si>
    <t>0703301</t>
  </si>
  <si>
    <t>Enddeckel ob n. Lamelle re. 12B OC kompl              6</t>
  </si>
  <si>
    <t>0703302</t>
  </si>
  <si>
    <t>Enddeckel ob. n. Lamelle li 12B OC kompl              6</t>
  </si>
  <si>
    <t>0703303</t>
  </si>
  <si>
    <t>Enddeckel neue Lamelle re kompl. 12B OC               6</t>
  </si>
  <si>
    <t>0703304</t>
  </si>
  <si>
    <t>Enddeckel n. Lamelle links 12B OC kompl               6</t>
  </si>
  <si>
    <t>0703305</t>
  </si>
  <si>
    <t>Enddeckel n. Lamelle unt. re.B OC kompl              11</t>
  </si>
  <si>
    <t>0703306</t>
  </si>
  <si>
    <t>Enddeckel unt.li. Lamelle 12B-OC kompl               18</t>
  </si>
  <si>
    <t>0703307</t>
  </si>
  <si>
    <t>Enddeckel ob re NiStu. 12 B komplett                 12</t>
  </si>
  <si>
    <t>0703308</t>
  </si>
  <si>
    <t>Enddeckel ob. li. NiStu 12-B komplett                11</t>
  </si>
  <si>
    <t>0703309</t>
  </si>
  <si>
    <t>Enddeckel re.mitl.Lamell NiStu 12-B kpl.              6</t>
  </si>
  <si>
    <t>0703310</t>
  </si>
  <si>
    <t>Lamelle mitte geschäumt für OC                       10</t>
  </si>
  <si>
    <t>0703311</t>
  </si>
  <si>
    <t>Lamelle unten geschäumt für OC                       15</t>
  </si>
  <si>
    <t>0703312</t>
  </si>
  <si>
    <t>lfd Meter geschäumte Lamell oben OS T30               4</t>
  </si>
  <si>
    <t>0703313</t>
  </si>
  <si>
    <t>lfd Meter geschäumte Lamell mitte OS T30              3</t>
  </si>
  <si>
    <t>0703314</t>
  </si>
  <si>
    <t>lfd Meter geschäumte Lamell unten OS T30              3</t>
  </si>
  <si>
    <t>0703315</t>
  </si>
  <si>
    <t>lfd Meter geschäumte Lamell oben OS T90               5</t>
  </si>
  <si>
    <t>lfd Meter geschäumte Lamell oben OS T90              12</t>
  </si>
  <si>
    <t>0703316</t>
  </si>
  <si>
    <t>lfd Meter geschäumte Lamell mitte OS T90              2</t>
  </si>
  <si>
    <t>lfd Meter geschäumte Lamell mitte OS T90              6</t>
  </si>
  <si>
    <t>0703317</t>
  </si>
  <si>
    <t>lfd Meter geschäumte Lamell unten OS T90              2</t>
  </si>
  <si>
    <t>lfd Meter geschäumte Lamell unten OS T90              8</t>
  </si>
  <si>
    <t>0703318</t>
  </si>
  <si>
    <t>Enddeckel mitl. Lamel.li.NiStu 12-B kpl.              6</t>
  </si>
  <si>
    <t>0703319</t>
  </si>
  <si>
    <t>Enddeckel untere Lamelle re 12-B OC</t>
  </si>
  <si>
    <t>0703320</t>
  </si>
  <si>
    <t>Enddeckel untere Lamelle li 12-B OC</t>
  </si>
  <si>
    <t>0703321</t>
  </si>
  <si>
    <t>Enddeckel ob. neue Lamelle re 16B kpl.                3</t>
  </si>
  <si>
    <t>0703322</t>
  </si>
  <si>
    <t>Enddeckel ob. neue Lamelle li. 16B kpl.               3</t>
  </si>
  <si>
    <t>0703323</t>
  </si>
  <si>
    <t>Enddeckel mit. neue Lamelle re. 16B kpl.              7</t>
  </si>
  <si>
    <t>0703324</t>
  </si>
  <si>
    <t>Enddeckel mit. neue Lamelle li. 16B kpl.              7</t>
  </si>
  <si>
    <t>0703325</t>
  </si>
  <si>
    <t>Enddeckel unt. neue Lamelle re. 16B kpl.</t>
  </si>
  <si>
    <t>0703326</t>
  </si>
  <si>
    <t>Enddeckel unt. neue Lamelle li. 16B kpl.</t>
  </si>
  <si>
    <t>0703327</t>
  </si>
  <si>
    <t>Enddeckel oben re.NiStu 16B kpl.                      4</t>
  </si>
  <si>
    <t>0703328</t>
  </si>
  <si>
    <t>Enddeckel oben li.NiStu 16B kpl.                      4</t>
  </si>
  <si>
    <t>0703329</t>
  </si>
  <si>
    <t>Enddeckel mitte re. NiStu 16B kpl.                    3</t>
  </si>
  <si>
    <t>0703330</t>
  </si>
  <si>
    <t>Enddeckel mitte li. NiStu 16B kpl.                    4</t>
  </si>
  <si>
    <t>0703331</t>
  </si>
  <si>
    <t>Enddeckel unten re. NiStu 16B kpl.</t>
  </si>
  <si>
    <t>0703332</t>
  </si>
  <si>
    <t>Enddeckel unten li. NiStu 16B kpl.</t>
  </si>
  <si>
    <t>0703333</t>
  </si>
  <si>
    <t>Enddeckel ob.neue Lam.re. 16-16-B kpl                 7</t>
  </si>
  <si>
    <t>0703334</t>
  </si>
  <si>
    <t>Enddeckel ob.neue Lam.li. 16-16-B kpl                 7</t>
  </si>
  <si>
    <t>0703335</t>
  </si>
  <si>
    <t>Enddeckel mitte.neue Lam.re. 16-16-B kpl</t>
  </si>
  <si>
    <t>0703336</t>
  </si>
  <si>
    <t>Enddeckel mitte.neue Lam.li. 16-16-B kpl</t>
  </si>
  <si>
    <t>0703337</t>
  </si>
  <si>
    <t>Enddeckel unten neue Lam.re. 16-16-B kpl</t>
  </si>
  <si>
    <t>0703338</t>
  </si>
  <si>
    <t>Enddeckel unten neue Lam.li. 16-16-B kpl</t>
  </si>
  <si>
    <t>0703339</t>
  </si>
  <si>
    <t>Enddeckel oben re.NiStu 16-16-B kpl.                  8</t>
  </si>
  <si>
    <t>0703340</t>
  </si>
  <si>
    <t>Enddeckel oben li.NiStu 16-16-B kpl.                  8</t>
  </si>
  <si>
    <t>0703341</t>
  </si>
  <si>
    <t>Enddeckel mitte rechts NiStu16-16-B kpl.</t>
  </si>
  <si>
    <t>0703342</t>
  </si>
  <si>
    <t>Enddeckel mitte links NiStu 16-16-B kpl.</t>
  </si>
  <si>
    <t>0703343</t>
  </si>
  <si>
    <t>Enddeckel Unten re.NiStu 16-16-B kpl.</t>
  </si>
  <si>
    <t>0703344</t>
  </si>
  <si>
    <t>Enddeckel Unten li.NiStu 16-16-B kpl.</t>
  </si>
  <si>
    <t>0703345</t>
  </si>
  <si>
    <t>lfd Meter geschäumte Lamelle oben Nie OC</t>
  </si>
  <si>
    <t>0703346</t>
  </si>
  <si>
    <t>lfd Meter geschäumte Lamelle Mitte NieOC</t>
  </si>
  <si>
    <t>0703347</t>
  </si>
  <si>
    <t>lfd Meter geschäumte Lamelle Unten NieOC</t>
  </si>
  <si>
    <t>0703348</t>
  </si>
  <si>
    <t>0703349</t>
  </si>
  <si>
    <t>0703350</t>
  </si>
  <si>
    <t>0703351</t>
  </si>
  <si>
    <t>0703352</t>
  </si>
  <si>
    <t>Enddeckel mitte rechts kompl.                         3</t>
  </si>
  <si>
    <t>0703353</t>
  </si>
  <si>
    <t>Enddeckel mitte links kompl.                          3</t>
  </si>
  <si>
    <t>0703354</t>
  </si>
  <si>
    <t>Enddeckel mitte rechts kompl. 16-16B                  5</t>
  </si>
  <si>
    <t>0703355</t>
  </si>
  <si>
    <t>Enddeckel mitte links kompl. 16-16B                   5</t>
  </si>
  <si>
    <t>0703371</t>
  </si>
  <si>
    <t>Lamelle oben komplett verzinkt 16B</t>
  </si>
  <si>
    <t>0703372</t>
  </si>
  <si>
    <t>Lamelle mitte komplett verzinkt 16B</t>
  </si>
  <si>
    <t>0703373</t>
  </si>
  <si>
    <t>Lamelle unten komplett verzinkt 16B</t>
  </si>
  <si>
    <t>0703374</t>
  </si>
  <si>
    <t>0703375</t>
  </si>
  <si>
    <t>0703376</t>
  </si>
  <si>
    <t>0703381</t>
  </si>
  <si>
    <t>Lamelle oben kompl. RAL-Beschichtung 16B</t>
  </si>
  <si>
    <t>0703382</t>
  </si>
  <si>
    <t>Lamelle mitte kompl. RAL-Beschichtun 16B</t>
  </si>
  <si>
    <t>0703383</t>
  </si>
  <si>
    <t>Lamelle unten kompl. RAL Beschichtun 16B</t>
  </si>
  <si>
    <t>0703384</t>
  </si>
  <si>
    <t>0703385</t>
  </si>
  <si>
    <t>0703386</t>
  </si>
  <si>
    <t>0703393</t>
  </si>
  <si>
    <t>0704000</t>
  </si>
  <si>
    <t>Endschalterbefestigung Zählwerk</t>
  </si>
  <si>
    <t>0704001</t>
  </si>
  <si>
    <t>Klemmstück Zählwerk AußAntrieb RS/FSA</t>
  </si>
  <si>
    <t>0704002</t>
  </si>
  <si>
    <t>Bremslasche Zählwerk AußAntrieb RS/FSA</t>
  </si>
  <si>
    <t>0704003</t>
  </si>
  <si>
    <t>Z-Winkel re Zählwerk AußAntrieb RS/FSA</t>
  </si>
  <si>
    <t>0704004</t>
  </si>
  <si>
    <t>Z-Winkel li Zählwerk AußAntrieb RS/FSA</t>
  </si>
  <si>
    <t>0704005</t>
  </si>
  <si>
    <t>Blech (C 105x50x3) Uni-B (im Profil)</t>
  </si>
  <si>
    <t>0704006</t>
  </si>
  <si>
    <t>Blech (C 130x75x3) Uni-B (im Profil)</t>
  </si>
  <si>
    <t>0704007</t>
  </si>
  <si>
    <t>Blech (C 105x75x3) Uni-B (im Profil)</t>
  </si>
  <si>
    <t>0704008</t>
  </si>
  <si>
    <t>Endblech für C-Profil 150x105</t>
  </si>
  <si>
    <t>0704009</t>
  </si>
  <si>
    <t>Anschweißteil Schieberverbinder 70mm RGT</t>
  </si>
  <si>
    <t>0704010</t>
  </si>
  <si>
    <t>Schieberverbinder 70mm vers. RGT kompl.</t>
  </si>
  <si>
    <t>0704011</t>
  </si>
  <si>
    <t>Schieberverbinder oben 70mm versetzt RGT</t>
  </si>
  <si>
    <t>0704012</t>
  </si>
  <si>
    <t>Anschweißteil Schieberverbinder ob 70mm</t>
  </si>
  <si>
    <t>0704013</t>
  </si>
  <si>
    <t>Schieberverbinder oben 70mm Öffnungsseit</t>
  </si>
  <si>
    <t>0704014</t>
  </si>
  <si>
    <t>0704015</t>
  </si>
  <si>
    <t>Distanz-U VS/7 Antrieb RGT</t>
  </si>
  <si>
    <t>0704016</t>
  </si>
  <si>
    <t>Stoßverbinder RGT horizontal</t>
  </si>
  <si>
    <t>0704017</t>
  </si>
  <si>
    <t>Endblech links für Blende RGT horizontal</t>
  </si>
  <si>
    <t>0704018</t>
  </si>
  <si>
    <t>Endblech rechs für Blende RGT horizontal</t>
  </si>
  <si>
    <t>0704019</t>
  </si>
  <si>
    <t>0704020</t>
  </si>
  <si>
    <t>Endblech rechts für Gewichtskasten RGT</t>
  </si>
  <si>
    <t>0704021</t>
  </si>
  <si>
    <t>Endblech links für Gewichtskasten RGT</t>
  </si>
  <si>
    <t>0704022</t>
  </si>
  <si>
    <t>0704023</t>
  </si>
  <si>
    <t>0704024</t>
  </si>
  <si>
    <t>0704025</t>
  </si>
  <si>
    <t>0704026</t>
  </si>
  <si>
    <t>Endblech für Hutkantung RGT</t>
  </si>
  <si>
    <t>0704027</t>
  </si>
  <si>
    <t>Trafohalter für Schaltschrank</t>
  </si>
  <si>
    <t>0704028</t>
  </si>
  <si>
    <t>Montagehilfsblech für Querprofil OC</t>
  </si>
  <si>
    <t>0704029</t>
  </si>
  <si>
    <t>Gehäusekantung rechts</t>
  </si>
  <si>
    <t>0704030</t>
  </si>
  <si>
    <t>Türverr. Servotronic Gehäusedeckel re</t>
  </si>
  <si>
    <t>0704031</t>
  </si>
  <si>
    <t>Motorwinkel für Verriegelung</t>
  </si>
  <si>
    <t>0704032</t>
  </si>
  <si>
    <t>Türverr. Servotronic Verschiebeplatte</t>
  </si>
  <si>
    <t>0704033</t>
  </si>
  <si>
    <t>Türverr. Servotronic Grundplatte</t>
  </si>
  <si>
    <t>0704034</t>
  </si>
  <si>
    <t>Haltewinkel Endschalter Uni-Q</t>
  </si>
  <si>
    <t>0704035</t>
  </si>
  <si>
    <t>Baugruppe Blech Motorklemmkasten OS                   1</t>
  </si>
  <si>
    <t>0704036</t>
  </si>
  <si>
    <t>Gehäuse Motorklemmkasten OS</t>
  </si>
  <si>
    <t>0704037</t>
  </si>
  <si>
    <t>Deckel für Motorklemmkasten OS</t>
  </si>
  <si>
    <t>0704038</t>
  </si>
  <si>
    <t>Distanzrohr 15mm für Motorklemmkasten</t>
  </si>
  <si>
    <t>0704039</t>
  </si>
  <si>
    <t>Blende</t>
  </si>
  <si>
    <t>0704040</t>
  </si>
  <si>
    <t>Elektronische Verriegelung Servotronic                3</t>
  </si>
  <si>
    <t>0704041</t>
  </si>
  <si>
    <t>Elektronische Verriegelung Servotronic               28</t>
  </si>
  <si>
    <t>0704042</t>
  </si>
  <si>
    <t>Gehäusekantung links</t>
  </si>
  <si>
    <t>0704043</t>
  </si>
  <si>
    <t>Türverr. Servotronic Gehäusedeckel links</t>
  </si>
  <si>
    <t>0704044</t>
  </si>
  <si>
    <t>Minimierte Führungsschiene 80mm RS/FSA</t>
  </si>
  <si>
    <t>0704045</t>
  </si>
  <si>
    <t>0704046</t>
  </si>
  <si>
    <t>Kantung rechts für Führungsschiene80mm</t>
  </si>
  <si>
    <t>0704047</t>
  </si>
  <si>
    <t>Kant rechts für Führungsschiene 80mm</t>
  </si>
  <si>
    <t>0704048</t>
  </si>
  <si>
    <t>U-Kantung Wand re.f.Führungsschiene 80mm</t>
  </si>
  <si>
    <t>0704049</t>
  </si>
  <si>
    <t>Sockelabdeckung V2A</t>
  </si>
  <si>
    <t>0704050</t>
  </si>
  <si>
    <t>Haltewinkel für Führungsschiene 80 RS</t>
  </si>
  <si>
    <t>0704051</t>
  </si>
  <si>
    <t>Verbindungsblech Führungsschiene 80E</t>
  </si>
  <si>
    <t>0704052</t>
  </si>
  <si>
    <t>Verbindungsschelle Führungsschiene 80E</t>
  </si>
  <si>
    <t>0704053</t>
  </si>
  <si>
    <t>U-Kant re Laibung f. Führungsschiene 80</t>
  </si>
  <si>
    <t>0704054</t>
  </si>
  <si>
    <t>Flach für Führungsschiene 80 re. Laibung</t>
  </si>
  <si>
    <t>0704055</t>
  </si>
  <si>
    <t>Hutkantung für Gummistopper Antrieb</t>
  </si>
  <si>
    <t>0704056</t>
  </si>
  <si>
    <t>Ovalschienenhalter Stoßstelle RGT/OS</t>
  </si>
  <si>
    <t>0704057</t>
  </si>
  <si>
    <t>Befestigungswinkel für Heizung RS/FSA</t>
  </si>
  <si>
    <t>0704058</t>
  </si>
  <si>
    <t>Motorhalterung vorn 1,5 kW Motor / OC</t>
  </si>
  <si>
    <t>0704059</t>
  </si>
  <si>
    <t>Motorhalterung hinten OC</t>
  </si>
  <si>
    <t>0704060</t>
  </si>
  <si>
    <t>Motorlagerplatte OC-Konsole 16/16-B</t>
  </si>
  <si>
    <t>0704061</t>
  </si>
  <si>
    <t>Gegenlagerplatte fest 190x180 links</t>
  </si>
  <si>
    <t>0704062</t>
  </si>
  <si>
    <t>Gegenlagerplatte fest 190x180 rechts</t>
  </si>
  <si>
    <t>0704063</t>
  </si>
  <si>
    <t>Winkel verschiebb Profil C105x75x3 VO-FF</t>
  </si>
  <si>
    <t>0704064</t>
  </si>
  <si>
    <t>Winkel verschiebb Profil C130x75x3 VO-FF</t>
  </si>
  <si>
    <t>0704065</t>
  </si>
  <si>
    <t>Winkel verschiebb Profil C175x75x3 VO-FF</t>
  </si>
  <si>
    <t>0704066</t>
  </si>
  <si>
    <t>Vierkant für Bolzenführung Verriegelung</t>
  </si>
  <si>
    <t>0704067</t>
  </si>
  <si>
    <t>Gegenlagerplatte 290x330 RSA links</t>
  </si>
  <si>
    <t>0704068</t>
  </si>
  <si>
    <t>Gegenlagerplatte 290x330 RSA rechts</t>
  </si>
  <si>
    <t>0704069</t>
  </si>
  <si>
    <t>Federblech Zählwerk AußAntrieb RS/FSA</t>
  </si>
  <si>
    <t>0704070</t>
  </si>
  <si>
    <t>Führungsschiene 235x150 rechts kpl. vari</t>
  </si>
  <si>
    <t>0704071</t>
  </si>
  <si>
    <t>0704072</t>
  </si>
  <si>
    <t>Kantung 1 f. Führungsschiene horizontal</t>
  </si>
  <si>
    <t>0704073</t>
  </si>
  <si>
    <t>0704074</t>
  </si>
  <si>
    <t>Kantung 2 f. Führungsschiene horizontal</t>
  </si>
  <si>
    <t>0704075</t>
  </si>
  <si>
    <t>0704076</t>
  </si>
  <si>
    <t>Kantung 3 f. Führungsschiene horizontal</t>
  </si>
  <si>
    <t>0704077</t>
  </si>
  <si>
    <t>0704078</t>
  </si>
  <si>
    <t>Kantung 4 f. Führungsschiene horizontal</t>
  </si>
  <si>
    <t>0704079</t>
  </si>
  <si>
    <t>0704080</t>
  </si>
  <si>
    <t>Wellenhalter Führungsschiene horizontal</t>
  </si>
  <si>
    <t>0704081</t>
  </si>
  <si>
    <t>Winkel (Erdung) Deckel Motorklemmkasten</t>
  </si>
  <si>
    <t>0704082</t>
  </si>
  <si>
    <t>Einlaufkantung Kantung 5 FSA horizontal</t>
  </si>
  <si>
    <t>0704083</t>
  </si>
  <si>
    <t>Einlaufkantung Kantung 6 FSA horizontal</t>
  </si>
  <si>
    <t>0704084</t>
  </si>
  <si>
    <t>Einlaufkantung Kantung 7 FSA horizontal</t>
  </si>
  <si>
    <t>0704085</t>
  </si>
  <si>
    <t>Einlaufkantung Kantung 8 FSA horizontal</t>
  </si>
  <si>
    <t>0704086</t>
  </si>
  <si>
    <t>Klappenverstärkung FSA horizontal</t>
  </si>
  <si>
    <t>0704087</t>
  </si>
  <si>
    <t>Winkel (Gehäuse) FSA horizontal</t>
  </si>
  <si>
    <t>0704088</t>
  </si>
  <si>
    <t>Verstärkungsblech Bef.-Winkel 235x320</t>
  </si>
  <si>
    <t>0704089</t>
  </si>
  <si>
    <t>Zugwinkel rechts RS/FSA horizontal</t>
  </si>
  <si>
    <t>0704090</t>
  </si>
  <si>
    <t>Zugwinkel links RS/FSA horizontal</t>
  </si>
  <si>
    <t>0704091</t>
  </si>
  <si>
    <t>Kantung 9 FührungsschieneFSA hori 1200mm</t>
  </si>
  <si>
    <t>0704092</t>
  </si>
  <si>
    <t>Seilbefestigungswinkel FSA horizontal</t>
  </si>
  <si>
    <t>0704093</t>
  </si>
  <si>
    <t>Winkel (Klappe) FSA horizontal</t>
  </si>
  <si>
    <t>0704094</t>
  </si>
  <si>
    <t>Gewebetaschenblechstreifen FSA horizont.</t>
  </si>
  <si>
    <t>0704095</t>
  </si>
  <si>
    <t>Klappe Einlaufkantung FSA horizontal</t>
  </si>
  <si>
    <t>0704096</t>
  </si>
  <si>
    <t>Winkelblende 235x320 FSA Deckeneinbau</t>
  </si>
  <si>
    <t>0704097</t>
  </si>
  <si>
    <t>Gerade Blende FSA horizontal 235x320</t>
  </si>
  <si>
    <t>0704098</t>
  </si>
  <si>
    <t>Untere Blende FSA horizontal 235x320</t>
  </si>
  <si>
    <t>0704099</t>
  </si>
  <si>
    <t>Befestigungswinkel 235x320 FSA-hor.</t>
  </si>
  <si>
    <t>0704100</t>
  </si>
  <si>
    <t>Seitendeckel Mot. re, Motorseite</t>
  </si>
  <si>
    <t>0704101</t>
  </si>
  <si>
    <t>Seitendeckel Motor rechts Gegenseite</t>
  </si>
  <si>
    <t>0704102</t>
  </si>
  <si>
    <t>Seitendeckel links Motorseite FSA-hor.</t>
  </si>
  <si>
    <t>0704103</t>
  </si>
  <si>
    <t>0704104</t>
  </si>
  <si>
    <t>Oberteil Konsole 235x320 FSA</t>
  </si>
  <si>
    <t>0704105</t>
  </si>
  <si>
    <t>Unterteil Konsole 235x320 FSA</t>
  </si>
  <si>
    <t>0704106</t>
  </si>
  <si>
    <t>Lagerplatte Motor rechts 235x320</t>
  </si>
  <si>
    <t>0704107</t>
  </si>
  <si>
    <t>Lagerplatte Motor links 235x320                       1</t>
  </si>
  <si>
    <t>0704108</t>
  </si>
  <si>
    <t>Lagerplatte innen rechts Gehäuse 235x320              1</t>
  </si>
  <si>
    <t>0704109</t>
  </si>
  <si>
    <t>Kabelumlenkung Kontaktleiste RS/FSA</t>
  </si>
  <si>
    <t>0704110</t>
  </si>
  <si>
    <t>....</t>
  </si>
  <si>
    <t>0704111</t>
  </si>
  <si>
    <t>Seilstütze Einlaufkantung</t>
  </si>
  <si>
    <t>0704112</t>
  </si>
  <si>
    <t>Stoßverbinder Kant.7 Einlaufkant 225x235</t>
  </si>
  <si>
    <t>0704113</t>
  </si>
  <si>
    <t>Eckverbinder EInlaufkantung 225x235</t>
  </si>
  <si>
    <t>0704114</t>
  </si>
  <si>
    <t>Stoßverbinder Kant.6 Einlaufkant 225x235</t>
  </si>
  <si>
    <t>0704115</t>
  </si>
  <si>
    <t>Seilanbindung Einlaufkantung 225x235</t>
  </si>
  <si>
    <t>0704116</t>
  </si>
  <si>
    <t>Kantung 9 FührungsschieneFSA hori 510mm</t>
  </si>
  <si>
    <t>0704117</t>
  </si>
  <si>
    <t>Seitendeckel rechts Führ.schie 235x150</t>
  </si>
  <si>
    <t>0704118</t>
  </si>
  <si>
    <t>Seitendeckel links Führ.schie 235x150</t>
  </si>
  <si>
    <t>0704119</t>
  </si>
  <si>
    <t>Lagerplatte innen links Gehäuse 225x320</t>
  </si>
  <si>
    <t>0704120</t>
  </si>
  <si>
    <t>Einlaufkantung 225x235 kpl. variable Tei</t>
  </si>
  <si>
    <t>0704121</t>
  </si>
  <si>
    <t>Gurtspringsicherung Uni Q</t>
  </si>
  <si>
    <t>0704122</t>
  </si>
  <si>
    <t>Seilumlenkung D=60, kpl</t>
  </si>
  <si>
    <t>0704123</t>
  </si>
  <si>
    <t>Seilumlenk Z Teil innen FSA hori</t>
  </si>
  <si>
    <t>0704124</t>
  </si>
  <si>
    <t>Seilumlenk Winkel innen FSA hori</t>
  </si>
  <si>
    <t>0704125</t>
  </si>
  <si>
    <t>Seilumlenkung d=30 FSA horizontal</t>
  </si>
  <si>
    <t>0704126</t>
  </si>
  <si>
    <t>Z-Kantung für Seilumlenkung 30mm</t>
  </si>
  <si>
    <t>0704127</t>
  </si>
  <si>
    <t>L-Kantung für Seilumlenkung 30mm</t>
  </si>
  <si>
    <t>0704128</t>
  </si>
  <si>
    <t>Stoßverbinder Kant 1/2 Führschie 235x150</t>
  </si>
  <si>
    <t>0704129</t>
  </si>
  <si>
    <t>Distanzscheibe groß AußAntrieb RS/FSA</t>
  </si>
  <si>
    <t>0704130</t>
  </si>
  <si>
    <t>Distanzscheibe klein AußAntrieb RS/FSA</t>
  </si>
  <si>
    <t>0704131</t>
  </si>
  <si>
    <t>Stoßverbinder Winkel-Blende Gehäu235x320</t>
  </si>
  <si>
    <t>0704132</t>
  </si>
  <si>
    <t>Stoßverbinder/Gerade-Blende 235x320</t>
  </si>
  <si>
    <t>0704133</t>
  </si>
  <si>
    <t>Stoßverbinder Untere-Blende Gehäu235x320</t>
  </si>
  <si>
    <t>0704134</t>
  </si>
  <si>
    <t>Winkel-Blende Watertwins 209x250 FSA</t>
  </si>
  <si>
    <t>0704135</t>
  </si>
  <si>
    <t>Befestigungswinkel Watertwins 209x250</t>
  </si>
  <si>
    <t>0704136</t>
  </si>
  <si>
    <t>Rohrhalter f. Befestigungswinkel 209x250</t>
  </si>
  <si>
    <t>0704137</t>
  </si>
  <si>
    <t>Seitendeckel Morechts Motorseite 209x250</t>
  </si>
  <si>
    <t>0704138</t>
  </si>
  <si>
    <t>Seitendeckel Mo.rechts Gegensei.209x250</t>
  </si>
  <si>
    <t>0704139</t>
  </si>
  <si>
    <t>Seitendeckel Mo.links Mot-seite 209x250</t>
  </si>
  <si>
    <t>0704140</t>
  </si>
  <si>
    <t>Seitendeckel Mo.links Gegenseite 209x250</t>
  </si>
  <si>
    <t>0704141</t>
  </si>
  <si>
    <t>Motorlagerplatte 209x250 Watertwins</t>
  </si>
  <si>
    <t>0704142</t>
  </si>
  <si>
    <t>Führungsschiene 105x93 links Wandmon kpl</t>
  </si>
  <si>
    <t>0704143</t>
  </si>
  <si>
    <t>Führungsschiene105x93 rechts Wandmon kpl</t>
  </si>
  <si>
    <t>0704144</t>
  </si>
  <si>
    <t>Führungsschiene 105x93 links Laibung kpl</t>
  </si>
  <si>
    <t>0704145</t>
  </si>
  <si>
    <t>Führungsschiene105x93 rechts Laibung kpl</t>
  </si>
  <si>
    <t>0704146</t>
  </si>
  <si>
    <t>Kant.1 Führungsschiene 105x93 links Wand</t>
  </si>
  <si>
    <t>0704147</t>
  </si>
  <si>
    <t>Kant.1 Führungsschiene105x93 rechts Wand</t>
  </si>
  <si>
    <t>0704148</t>
  </si>
  <si>
    <t>Kant.2 Führungsschiene 105x93 links Laib</t>
  </si>
  <si>
    <t>0704149</t>
  </si>
  <si>
    <t>Kant.2 Führungsschiene105x93 rechts Laib</t>
  </si>
  <si>
    <t>0704150</t>
  </si>
  <si>
    <t>Kant.6 Führungsschiene 105x93 links Wand</t>
  </si>
  <si>
    <t>0704151</t>
  </si>
  <si>
    <t>Kant.6 Führungsschiene 105x93rechts Wand</t>
  </si>
  <si>
    <t>0704152</t>
  </si>
  <si>
    <t>Kant.7 Führungsschiene 105x93 links Laib</t>
  </si>
  <si>
    <t>0704153</t>
  </si>
  <si>
    <t>Distanzstück Führungsschiene 105x93</t>
  </si>
  <si>
    <t>0704154</t>
  </si>
  <si>
    <t>Gerade Blende Revision von VornRS-FSA</t>
  </si>
  <si>
    <t>0704155</t>
  </si>
  <si>
    <t>Winkel-Blende Revision von Vorn RS-FSA</t>
  </si>
  <si>
    <t>0704156</t>
  </si>
  <si>
    <t>Oberteil Befest.konsole  Rev.v.V RS-FSA</t>
  </si>
  <si>
    <t>0704157</t>
  </si>
  <si>
    <t>Befestigungswinkel Rev.von Vorn RS-FSA</t>
  </si>
  <si>
    <t>0704158</t>
  </si>
  <si>
    <t>Seitendeckel Mo.li.Motors.Rev.v.V RS-FSA</t>
  </si>
  <si>
    <t>0704159</t>
  </si>
  <si>
    <t>Seitendeckel Mo.li.Gegenseite Rev.v.V RS</t>
  </si>
  <si>
    <t>0704160</t>
  </si>
  <si>
    <t>Seitendeckel Mo.re.Motsei. Rev.v.V RS-FS</t>
  </si>
  <si>
    <t>0704161</t>
  </si>
  <si>
    <t>Seitendeckel Mo.re.Gegens.Rev.v.V RS-FSA</t>
  </si>
  <si>
    <t>0704162</t>
  </si>
  <si>
    <t>Winkelblende 270x320 RS-FSA</t>
  </si>
  <si>
    <t>0704163</t>
  </si>
  <si>
    <t>Geradeblende 270x320 RS-FSA</t>
  </si>
  <si>
    <t>0704164</t>
  </si>
  <si>
    <t>Untereblende 270x320 RS/FSA</t>
  </si>
  <si>
    <t>0704165</t>
  </si>
  <si>
    <t>Seitendeckel Mot.re. Motorseite 270x320</t>
  </si>
  <si>
    <t>0704166</t>
  </si>
  <si>
    <t>Seitendeckel Mot.re. Gegenseite 270x320</t>
  </si>
  <si>
    <t>0704167</t>
  </si>
  <si>
    <t>Seitendeckel Mot.li. Motorseite 270x320</t>
  </si>
  <si>
    <t>0704168</t>
  </si>
  <si>
    <t>Seitendeckel Mot. li. Gegenseite 270x320</t>
  </si>
  <si>
    <t>0704169</t>
  </si>
  <si>
    <t>0704170</t>
  </si>
  <si>
    <t>0704171</t>
  </si>
  <si>
    <t>Motorlagerplatte (Blech) schwimmend</t>
  </si>
  <si>
    <t>0704172</t>
  </si>
  <si>
    <t>Befestigungswinkel 270x320 RSR-FSA</t>
  </si>
  <si>
    <t>0704173</t>
  </si>
  <si>
    <t>0704174</t>
  </si>
  <si>
    <t>Verbindungsblech Abschlussleiste 98</t>
  </si>
  <si>
    <t>0704175</t>
  </si>
  <si>
    <t>0704176</t>
  </si>
  <si>
    <t>Gerade-Blende Revision von Vorn RS-FSA</t>
  </si>
  <si>
    <t>0704177</t>
  </si>
  <si>
    <t>Oberteil Befestigungskonsole  Rev.v.V</t>
  </si>
  <si>
    <t>0704178</t>
  </si>
  <si>
    <t>Befestigungswinkel Revision von Vorn</t>
  </si>
  <si>
    <t>0704179</t>
  </si>
  <si>
    <t>Befest.winkel Rev.v.V.Abrollsicherung</t>
  </si>
  <si>
    <t>0704180</t>
  </si>
  <si>
    <t>Haltewinkel Führ.schie. Stange D=40mmkpl</t>
  </si>
  <si>
    <t>0704181</t>
  </si>
  <si>
    <t>Haltewinkel unten Führungsstange D=40</t>
  </si>
  <si>
    <t>0704182</t>
  </si>
  <si>
    <t>Haltewinkel innen li Führungsstange D=40</t>
  </si>
  <si>
    <t>0704183</t>
  </si>
  <si>
    <t>Haltewinkel innen re Führungsstange D=40</t>
  </si>
  <si>
    <t>0704184</t>
  </si>
  <si>
    <t>Seitendeckel Mot.re. Motorseite Rev.v.V</t>
  </si>
  <si>
    <t>0704185</t>
  </si>
  <si>
    <t>Seitendeckel Mot.li. Motorseite Rev.v.V</t>
  </si>
  <si>
    <t>0704186</t>
  </si>
  <si>
    <t>Motorhalterung vorn 0,75 kW Motor OC</t>
  </si>
  <si>
    <t>0704187</t>
  </si>
  <si>
    <t>Halteblech Kabeltrommel OC/RS-FSA</t>
  </si>
  <si>
    <t>0704188</t>
  </si>
  <si>
    <t>Gegenlagerplatte rechts kpl. 190x200</t>
  </si>
  <si>
    <t>0704189</t>
  </si>
  <si>
    <t>Gegenlagerplatte links kpl. 190x200</t>
  </si>
  <si>
    <t>0704190</t>
  </si>
  <si>
    <t>Gegenlagerplatte rechts kpl 190x250</t>
  </si>
  <si>
    <t>0704191</t>
  </si>
  <si>
    <t>Gegenlagerplatte links kpl 190x250</t>
  </si>
  <si>
    <t>0704192</t>
  </si>
  <si>
    <t>Gegenlagerplatte re komplett 235x290</t>
  </si>
  <si>
    <t>0704193</t>
  </si>
  <si>
    <t>Gegenlagerplatte kpl, Motor re, 235x290</t>
  </si>
  <si>
    <t>0704194</t>
  </si>
  <si>
    <t>Gegenlagerplatte re komplett 175x200</t>
  </si>
  <si>
    <t>0704195</t>
  </si>
  <si>
    <t>Gegenlagerplatte li komplett 175x200</t>
  </si>
  <si>
    <t>0704196</t>
  </si>
  <si>
    <t>Gegenlagerplatte re komplett 190x180</t>
  </si>
  <si>
    <t>0704197</t>
  </si>
  <si>
    <t>Gegenlagerplatte li komplett 190x180</t>
  </si>
  <si>
    <t>0704198</t>
  </si>
  <si>
    <t>Gegenlagerplatte rechts komplett 190x290</t>
  </si>
  <si>
    <t>0704199</t>
  </si>
  <si>
    <t>Gegenlagerplatte li komplett 190x290</t>
  </si>
  <si>
    <t>0704200</t>
  </si>
  <si>
    <t>Gegenlagerplatte re komplett 290x330</t>
  </si>
  <si>
    <t>0704201</t>
  </si>
  <si>
    <t>Gegenlagerplatte li komplett 290x330</t>
  </si>
  <si>
    <t>0704202</t>
  </si>
  <si>
    <t>Gegenlagerplatte kpl, Mot li, 285x200</t>
  </si>
  <si>
    <t>0704203</t>
  </si>
  <si>
    <t>Gegenlagerplatte kpl, Mot re, 285x200</t>
  </si>
  <si>
    <t>0704204</t>
  </si>
  <si>
    <t>Motorlagerpl feste rechts, kpl RS-FSA</t>
  </si>
  <si>
    <t>0704205</t>
  </si>
  <si>
    <t>Motorlagerpl feste links, kpl RS-FSA</t>
  </si>
  <si>
    <t>0704206</t>
  </si>
  <si>
    <t>Lagerplatte schwimm re kpl RS-FSA</t>
  </si>
  <si>
    <t>0704207</t>
  </si>
  <si>
    <t>Lagerplatte schwimm links kpl. RS-FSA</t>
  </si>
  <si>
    <t>0704208</t>
  </si>
  <si>
    <t>Motorlagerplatte fest rechts kpl RS-FSA</t>
  </si>
  <si>
    <t>0704209</t>
  </si>
  <si>
    <t>0704210</t>
  </si>
  <si>
    <t>Motorlagerplatte schwimmend re komplett</t>
  </si>
  <si>
    <t>0704211</t>
  </si>
  <si>
    <t>Motorlagerplatte schwimmend li komplett</t>
  </si>
  <si>
    <t>0704212</t>
  </si>
  <si>
    <t>Motorlagerplatte rechts komplett RS/FSA</t>
  </si>
  <si>
    <t>0704213</t>
  </si>
  <si>
    <t>Motorlagerplatte links komplett RS/FSA</t>
  </si>
  <si>
    <t>0704214</t>
  </si>
  <si>
    <t>Motorlagerplatte schwimmend rechts</t>
  </si>
  <si>
    <t>0704215</t>
  </si>
  <si>
    <t>0704216</t>
  </si>
  <si>
    <t>Motorlagerplatte komplett rechts fest</t>
  </si>
  <si>
    <t>0704217</t>
  </si>
  <si>
    <t>Motorlagerplatte komplett links fest</t>
  </si>
  <si>
    <t>0704218</t>
  </si>
  <si>
    <t>0704219</t>
  </si>
  <si>
    <t>Motorlagerplatte schwimmend  links</t>
  </si>
  <si>
    <t>0704220</t>
  </si>
  <si>
    <t>0704221</t>
  </si>
  <si>
    <t>0704222</t>
  </si>
  <si>
    <t>Motorlagerplatte komplett fest rechts</t>
  </si>
  <si>
    <t>0704223</t>
  </si>
  <si>
    <t>Motorlagerplatte komplett fest links</t>
  </si>
  <si>
    <t>0704224</t>
  </si>
  <si>
    <t>Motorlagerplatte rechts kpl RS</t>
  </si>
  <si>
    <t>0704225</t>
  </si>
  <si>
    <t>Motorlagerplatte links kpl RSA</t>
  </si>
  <si>
    <t>0704226</t>
  </si>
  <si>
    <t>Klemmverbinder (C 130x75x3) T-Stoß</t>
  </si>
  <si>
    <t>0704229</t>
  </si>
  <si>
    <t>Klemmverbinder T-Stoß  C150x105</t>
  </si>
  <si>
    <t>0704230</t>
  </si>
  <si>
    <t>Baugruppe Blech Motorklemmkasten OC re</t>
  </si>
  <si>
    <t>0704231</t>
  </si>
  <si>
    <t>Baugruppe Blech Motorklemmkasten OC li</t>
  </si>
  <si>
    <t>0704232</t>
  </si>
  <si>
    <t>Gehäuse Motorklemmkasten rechts OC</t>
  </si>
  <si>
    <t>0704233</t>
  </si>
  <si>
    <t>Gehäuse Motorklemmkasten links OC</t>
  </si>
  <si>
    <t>0704234</t>
  </si>
  <si>
    <t>Deckel für Motorklemmkasten OC</t>
  </si>
  <si>
    <t>0704235</t>
  </si>
  <si>
    <t>0704236</t>
  </si>
  <si>
    <t>0704237</t>
  </si>
  <si>
    <t>Kant  links für Führungsschiene 80 mm</t>
  </si>
  <si>
    <t>0704238</t>
  </si>
  <si>
    <t>0704239</t>
  </si>
  <si>
    <t>U-Kant. Wand. li.f.Führungsschiene 80mm</t>
  </si>
  <si>
    <t>0704240</t>
  </si>
  <si>
    <t>Gegenlagerplatte RS/FSA 270x320 (Blech)</t>
  </si>
  <si>
    <t>0704241</t>
  </si>
  <si>
    <t>Hutkantung für Antrieb mit Handrad Uni-Q</t>
  </si>
  <si>
    <t>0704242</t>
  </si>
  <si>
    <t>U-Kant. li Laibung f. Führungsschiene 80</t>
  </si>
  <si>
    <t>0704243</t>
  </si>
  <si>
    <t>Flach für Führungsschiene 80 li. Laibung</t>
  </si>
  <si>
    <t>0704244</t>
  </si>
  <si>
    <t>Führungsschiene 80mm eckig re. Wand kpl.</t>
  </si>
  <si>
    <t>0704245</t>
  </si>
  <si>
    <t>Führungsschiene 80mm eckig li. Wand kpl.</t>
  </si>
  <si>
    <t>0704246</t>
  </si>
  <si>
    <t>Führungsschiene 80mm eckig re. Laib kpl.</t>
  </si>
  <si>
    <t>0704247</t>
  </si>
  <si>
    <t>Führungsschiene 80mm eckig li. Laib kpl.</t>
  </si>
  <si>
    <t>0704248</t>
  </si>
  <si>
    <t>Führschie 80mm eckig Wandseite rechts</t>
  </si>
  <si>
    <t>0704249</t>
  </si>
  <si>
    <t>Führschie 80mm eckig Wandseite links</t>
  </si>
  <si>
    <t>0704250</t>
  </si>
  <si>
    <t>Führschie 80mm eckig re.Laib-Abroll Gege</t>
  </si>
  <si>
    <t>0704251</t>
  </si>
  <si>
    <t>Führschie 80mm eckig li.Laib-Abroll Gege</t>
  </si>
  <si>
    <t>0704252</t>
  </si>
  <si>
    <t>Motorlagerplatte rechts 270x320 RS/FSA</t>
  </si>
  <si>
    <t>0704253</t>
  </si>
  <si>
    <t>Motorlagerplatte links 270x320 RS/FSA</t>
  </si>
  <si>
    <t>0704254</t>
  </si>
  <si>
    <t>Minimierte Führungsschiene (50mm) rechts</t>
  </si>
  <si>
    <t>0704255</t>
  </si>
  <si>
    <t>Minimierte Führungsschiene Teil 1 rechts</t>
  </si>
  <si>
    <t>0704256</t>
  </si>
  <si>
    <t>Minimierte Führungsschiene Teil 2 rechts</t>
  </si>
  <si>
    <t>0704257</t>
  </si>
  <si>
    <t>Z-Kantung für Motor rechts Außenantrieb</t>
  </si>
  <si>
    <t>0704258</t>
  </si>
  <si>
    <t>Antrieb  Z Kantung .Mot.li.  235x290</t>
  </si>
  <si>
    <t>0704259</t>
  </si>
  <si>
    <t>Antrieb Seitendeckel .Mot.re.  235x290               1</t>
  </si>
  <si>
    <t>0704260</t>
  </si>
  <si>
    <t>Antrieb Seitendeckel .Mot.li.  235x290               1</t>
  </si>
  <si>
    <t>0704261</t>
  </si>
  <si>
    <t>Z-Kantung für Motor rechts OHNE</t>
  </si>
  <si>
    <t>0704263</t>
  </si>
  <si>
    <t>Revisionsdeckel gerade Blende 190x200</t>
  </si>
  <si>
    <t>0704264</t>
  </si>
  <si>
    <t>Revisionsdeckel gerade Blende 190x250</t>
  </si>
  <si>
    <t>0704265</t>
  </si>
  <si>
    <t>Revisionsdeckel gerade Blende 235x290</t>
  </si>
  <si>
    <t>0704266</t>
  </si>
  <si>
    <t>Gerade-Blende Revision von Vorn RS-FSA                1</t>
  </si>
  <si>
    <t>0704267</t>
  </si>
  <si>
    <t>Winkel-Blende Revision von Vorn RS-FSA                1</t>
  </si>
  <si>
    <t>0704268</t>
  </si>
  <si>
    <t>0704269</t>
  </si>
  <si>
    <t>0704270</t>
  </si>
  <si>
    <t>Seitendeckel Mo.li.Gegens.Rev.v.V RS-FSA</t>
  </si>
  <si>
    <t>0704271</t>
  </si>
  <si>
    <t>Seitendeckel Mo.re.Motors.Rev.v.V RS-FSA</t>
  </si>
  <si>
    <t>0704272</t>
  </si>
  <si>
    <t>0704273</t>
  </si>
  <si>
    <t>Blechstreifen für Festfeld RS</t>
  </si>
  <si>
    <t>0704285</t>
  </si>
  <si>
    <t>Gleitstreifen Abschlussleiste FSA horizo</t>
  </si>
  <si>
    <t>0704286</t>
  </si>
  <si>
    <t>Doppelte Seilumlenkung komplett d=40mm</t>
  </si>
  <si>
    <t>0704287</t>
  </si>
  <si>
    <t>Scheibe für Lagerflansch Uni-B/RGT</t>
  </si>
  <si>
    <t>0704288</t>
  </si>
  <si>
    <t>U-Blech für Lagerflansch Uni-B/RGT</t>
  </si>
  <si>
    <t>0704289</t>
  </si>
  <si>
    <t>Zugfederwagen für Gaszugfeder komplett                1</t>
  </si>
  <si>
    <t>0704290</t>
  </si>
  <si>
    <t>Zugfederwagen Teil1  Gasdruckfed FSAhori</t>
  </si>
  <si>
    <t>0704291</t>
  </si>
  <si>
    <t>Zugfederwagen Teil2  Gasdruckfed FSAhori</t>
  </si>
  <si>
    <t>0704292</t>
  </si>
  <si>
    <t>Zugfederwagen Seilumlenkung Mitte</t>
  </si>
  <si>
    <t>0704293</t>
  </si>
  <si>
    <t>Rohrklemme-Blech Nut Gaszugfeder</t>
  </si>
  <si>
    <t>0704294</t>
  </si>
  <si>
    <t>Rohrklemme-Blech Gaszugfeder</t>
  </si>
  <si>
    <t>0704295</t>
  </si>
  <si>
    <t>Zugfederwagen SeilumlenkMitte D=40mm kpl</t>
  </si>
  <si>
    <t>0704296</t>
  </si>
  <si>
    <t>Gegenblech Verkrallungsbolzen Lamelle OC</t>
  </si>
  <si>
    <t>0704297</t>
  </si>
  <si>
    <t>Einschweißblech Verkralbolzen Lamelle OC</t>
  </si>
  <si>
    <t>0704298</t>
  </si>
  <si>
    <t>Motorlagerplatte,rechts, schwimmend</t>
  </si>
  <si>
    <t>0704299</t>
  </si>
  <si>
    <t>Motorlagerplatte,links, schwimmend</t>
  </si>
  <si>
    <t>0704300</t>
  </si>
  <si>
    <t>0704301</t>
  </si>
  <si>
    <t>0704302</t>
  </si>
  <si>
    <t>0704303</t>
  </si>
  <si>
    <t>0704304</t>
  </si>
  <si>
    <t>0704305</t>
  </si>
  <si>
    <t>0704306</t>
  </si>
  <si>
    <t>0704307</t>
  </si>
  <si>
    <t>0704308</t>
  </si>
  <si>
    <t>Bef.winkel Abrollstopp Rev.v.V RS-FSA</t>
  </si>
  <si>
    <t>0704309</t>
  </si>
  <si>
    <t>Blech (175x75x3) Uni-B (im Profil)</t>
  </si>
  <si>
    <t>0704310</t>
  </si>
  <si>
    <t>Einlaufkantung 109x190 kpl. variabel</t>
  </si>
  <si>
    <t>0704311</t>
  </si>
  <si>
    <t>Einlaufkantung 109x235 kpl. variabel</t>
  </si>
  <si>
    <t>0704312</t>
  </si>
  <si>
    <t>Stoßverbinder Untere Blende 190x200 fest</t>
  </si>
  <si>
    <t>0704313</t>
  </si>
  <si>
    <t>0704314</t>
  </si>
  <si>
    <t>Befestigungswinkel 235 x 290</t>
  </si>
  <si>
    <t>0704315</t>
  </si>
  <si>
    <t>Unterteil schwimm 235 x 290</t>
  </si>
  <si>
    <t>0704316</t>
  </si>
  <si>
    <t>Winkel Blende 235x290 FSA Deckeneinbau</t>
  </si>
  <si>
    <t>0704317</t>
  </si>
  <si>
    <t>Zugwinkel 190x120 links Abschlussleiste</t>
  </si>
  <si>
    <t>0704318</t>
  </si>
  <si>
    <t>Führungsschiene 190x120 rechts kpl.</t>
  </si>
  <si>
    <t>0704319</t>
  </si>
  <si>
    <t>Führungsschiene 190x120 links kpl.</t>
  </si>
  <si>
    <t>0704320</t>
  </si>
  <si>
    <t>Kant.1 Führungsschiene 190x120 rechts</t>
  </si>
  <si>
    <t>0704321</t>
  </si>
  <si>
    <t>Kant.1 Führungsschiene 190x120 links</t>
  </si>
  <si>
    <t>0704322</t>
  </si>
  <si>
    <t>Kant.2 Führungsschiene 190x120 rechts</t>
  </si>
  <si>
    <t>0704323</t>
  </si>
  <si>
    <t>Kant.2 Führungsschiene 190x120 links</t>
  </si>
  <si>
    <t>0704324</t>
  </si>
  <si>
    <t>Kant.3 Führungsschiene 190x120 rechts</t>
  </si>
  <si>
    <t>0704325</t>
  </si>
  <si>
    <t>Kant.3 Führungsschiene 190x120 links</t>
  </si>
  <si>
    <t>0704326</t>
  </si>
  <si>
    <t>Kant.4 Führungsschiene 190x120 rechts</t>
  </si>
  <si>
    <t>0704327</t>
  </si>
  <si>
    <t>Kant.4 Führungsschiene 190x120 links</t>
  </si>
  <si>
    <t>0704328</t>
  </si>
  <si>
    <t>Deckel Führungsschiene 190x120 rechts</t>
  </si>
  <si>
    <t>0704329</t>
  </si>
  <si>
    <t>Deckel Führungsschiene 190x120 links</t>
  </si>
  <si>
    <t>0704332</t>
  </si>
  <si>
    <t>Spannseilschraubenhalter Einlaufkantung</t>
  </si>
  <si>
    <t>0704333</t>
  </si>
  <si>
    <t>Winkel Blende 190x250 FSA Deckeneinbau</t>
  </si>
  <si>
    <t>0704334</t>
  </si>
  <si>
    <t>Unterteil Befestkonsole 190x200/250</t>
  </si>
  <si>
    <t>0704335</t>
  </si>
  <si>
    <t>Führschiene Laibung 190x120 rechts kpl.</t>
  </si>
  <si>
    <t>0704336</t>
  </si>
  <si>
    <t>Führschiene Laibung 190x120 links kpl.</t>
  </si>
  <si>
    <t>0704337</t>
  </si>
  <si>
    <t>Kant.1 Führschie Laibung 190x120 rechts</t>
  </si>
  <si>
    <t>0704338</t>
  </si>
  <si>
    <t>Kant.1 Führschie Laibung 190x120 links</t>
  </si>
  <si>
    <t>0704339</t>
  </si>
  <si>
    <t>Kant.2 Führschie Laibung 190x120 rechts</t>
  </si>
  <si>
    <t>0704340</t>
  </si>
  <si>
    <t>Kant.2 Führschie Laibung 190x120 links</t>
  </si>
  <si>
    <t>0704341</t>
  </si>
  <si>
    <t>Kant.4 Führschie Laibung 190x120</t>
  </si>
  <si>
    <t>0704344</t>
  </si>
  <si>
    <t>Hinterleger Promatkern RGT</t>
  </si>
  <si>
    <t>0704345</t>
  </si>
  <si>
    <t>Verbindung Abschlussleiste</t>
  </si>
  <si>
    <t>0704346</t>
  </si>
  <si>
    <t>Verbindungsblech geclincht Abschlussleis</t>
  </si>
  <si>
    <t>0704347</t>
  </si>
  <si>
    <t>Befestigungswinkel 190x200/250</t>
  </si>
  <si>
    <t>0704348</t>
  </si>
  <si>
    <t>Motorlagerplatte Motor links 190x200</t>
  </si>
  <si>
    <t>0704349</t>
  </si>
  <si>
    <t>Motorlagerplatte Motor rechts 190x200</t>
  </si>
  <si>
    <t>0704350</t>
  </si>
  <si>
    <t>Gegenlagerplatte 190x200 (Blechteil)</t>
  </si>
  <si>
    <t>0704351</t>
  </si>
  <si>
    <t>Kant.5 Einlaufkantung 109x190</t>
  </si>
  <si>
    <t>0704352</t>
  </si>
  <si>
    <t>Kant.6 Einlaufkantung 109x190/235</t>
  </si>
  <si>
    <t>0704353</t>
  </si>
  <si>
    <t>Kant.7 Einlaufkantung 109x190</t>
  </si>
  <si>
    <t>0704354</t>
  </si>
  <si>
    <t>Kant.8 Einlaufkantung 109x190</t>
  </si>
  <si>
    <t>0704355</t>
  </si>
  <si>
    <t>Kant.7 Einlaufkantung 109x235</t>
  </si>
  <si>
    <t>0704356</t>
  </si>
  <si>
    <t>Kant.8 Einlaufkantung 109x235</t>
  </si>
  <si>
    <t>0704357</t>
  </si>
  <si>
    <t>Kant.5 Einlaufkantung 109x235</t>
  </si>
  <si>
    <t>0704358</t>
  </si>
  <si>
    <t>Motorlagerplatte Motor rechts 235x290</t>
  </si>
  <si>
    <t>0704359</t>
  </si>
  <si>
    <t>Motorlagerplatte Motor links 235x290</t>
  </si>
  <si>
    <t>0704360</t>
  </si>
  <si>
    <t>Gegenlagerplatte 235x290 (Blech)</t>
  </si>
  <si>
    <t>0704361</t>
  </si>
  <si>
    <t>Gurtanbindung Flaschenzug HO/13 RGT</t>
  </si>
  <si>
    <t>0704362</t>
  </si>
  <si>
    <t>Seilumlenkung komplett d=40mm</t>
  </si>
  <si>
    <t>0704363</t>
  </si>
  <si>
    <t>Winkelteil für Seilumlenkung 40mm</t>
  </si>
  <si>
    <t>0704364</t>
  </si>
  <si>
    <t>Winkel 50 x 23 x 3 x 3000 Uni-B</t>
  </si>
  <si>
    <t>0704365</t>
  </si>
  <si>
    <t>Öffnungsgriff Meiko-Förderer Uni</t>
  </si>
  <si>
    <t>0704366</t>
  </si>
  <si>
    <t>Endblech für Führungsprofil 105x75</t>
  </si>
  <si>
    <t>0704367</t>
  </si>
  <si>
    <t>Endblech für Führungsprofil 125x75</t>
  </si>
  <si>
    <t>0704368</t>
  </si>
  <si>
    <t>Endblech für Führungsprofil 130x75</t>
  </si>
  <si>
    <t>0704369</t>
  </si>
  <si>
    <t>Rohrscheibe außen 70/100</t>
  </si>
  <si>
    <t>0704370</t>
  </si>
  <si>
    <t>Rohrscheibe 100/160 RSA/Labyrinth</t>
  </si>
  <si>
    <t>0704371</t>
  </si>
  <si>
    <t>0704372</t>
  </si>
  <si>
    <t>Rohrscheibe innen 100/160 RSA/Labyrinth</t>
  </si>
  <si>
    <t>0704373</t>
  </si>
  <si>
    <t>Rohrscheibe außen 70/160 RSA/Labyrinth</t>
  </si>
  <si>
    <t>0704374</t>
  </si>
  <si>
    <t>Distanzscheibe für Gurtkassette 15m</t>
  </si>
  <si>
    <t>0704375</t>
  </si>
  <si>
    <t>Kühlkörperhalter Steuerung Elektrik</t>
  </si>
  <si>
    <t>0704376</t>
  </si>
  <si>
    <t>Kipphebel RSA/Labyrinth</t>
  </si>
  <si>
    <t>0704377</t>
  </si>
  <si>
    <t>Rohrscheibe innen 70/100 RSA/Labyrinth</t>
  </si>
  <si>
    <t>0704378</t>
  </si>
  <si>
    <t>Rohrscheibe außen 70/100 RSA/Labyrinth</t>
  </si>
  <si>
    <t>0704379</t>
  </si>
  <si>
    <t>Abstandshalter Gurtaufwickler OS</t>
  </si>
  <si>
    <t>0704380</t>
  </si>
  <si>
    <t>Motorlagerplatte 190x290 RSA-schwimmend</t>
  </si>
  <si>
    <t>0704381</t>
  </si>
  <si>
    <t>Nothandöffnung Antrieb kpl. OC                       22</t>
  </si>
  <si>
    <t>0704382</t>
  </si>
  <si>
    <t>OC-Antrieb Nothandöffnung Lüfterhaube</t>
  </si>
  <si>
    <t>0704383</t>
  </si>
  <si>
    <t>Schieber Nothandöffnung Antrieb OC</t>
  </si>
  <si>
    <t>0704384</t>
  </si>
  <si>
    <t>Kulisse Nothandöffnung Antrieb OC</t>
  </si>
  <si>
    <t>0704385</t>
  </si>
  <si>
    <t>Gehäuse Nothandöffnung Antrieb OC</t>
  </si>
  <si>
    <t>0704386</t>
  </si>
  <si>
    <t>Kupplungsstern Nothandöffnung Antrieb OC</t>
  </si>
  <si>
    <t>0704387</t>
  </si>
  <si>
    <t>Getriebezapfen Nothandöffnung Antrieb OC</t>
  </si>
  <si>
    <t>0704388</t>
  </si>
  <si>
    <t>Nothandöffnung Antrieb OC Muffe</t>
  </si>
  <si>
    <t>0704389</t>
  </si>
  <si>
    <t>Kupplungswelle Nothandöffnung Antrieb OC</t>
  </si>
  <si>
    <t>0704390</t>
  </si>
  <si>
    <t>Kurbelzapfen Nothandöffnung Antrieb OC</t>
  </si>
  <si>
    <t>0704391</t>
  </si>
  <si>
    <t>Blech Nothandöffnung Antrieb OC</t>
  </si>
  <si>
    <t>0704395</t>
  </si>
  <si>
    <t>Montagewinkel Festfeldanschluß an</t>
  </si>
  <si>
    <t>0704396</t>
  </si>
  <si>
    <t>Montagewinkel für Festfeldanschluss an</t>
  </si>
  <si>
    <t>0704397</t>
  </si>
  <si>
    <t>Verbindungsblech Federnde</t>
  </si>
  <si>
    <t>0704398</t>
  </si>
  <si>
    <t>Gasdruckfeder vorn komplett                           9</t>
  </si>
  <si>
    <t>0704399</t>
  </si>
  <si>
    <t>Gasdruckfeder hinten komplett                        10</t>
  </si>
  <si>
    <t>0704400</t>
  </si>
  <si>
    <t>Rollenhalter Flaschenzug Gasdruckfeder</t>
  </si>
  <si>
    <t>0704401</t>
  </si>
  <si>
    <t>Halter U aussen für Gasdruckfeder</t>
  </si>
  <si>
    <t>0704402</t>
  </si>
  <si>
    <t>Halter U  innen für Gasdruckfeder</t>
  </si>
  <si>
    <t>0704403</t>
  </si>
  <si>
    <t>Distanzstück Gasdruckfeder FSA hor.</t>
  </si>
  <si>
    <t>0704404</t>
  </si>
  <si>
    <t>Befestigungsblech Gasdruckfeder FSA hori</t>
  </si>
  <si>
    <t>0704405</t>
  </si>
  <si>
    <t>Winkel-Blende 190x290 RSA/Labyrinth                   1</t>
  </si>
  <si>
    <t>0704406</t>
  </si>
  <si>
    <t>Gerad Blende 190x200 Fiberseal Evo.</t>
  </si>
  <si>
    <t>0704407</t>
  </si>
  <si>
    <t>Untere -Blende 190x290 RSA/Labyrinth</t>
  </si>
  <si>
    <t>0704408</t>
  </si>
  <si>
    <t>0704409</t>
  </si>
  <si>
    <t>0704410</t>
  </si>
  <si>
    <t>Seitendeckel Motor links Motorseite</t>
  </si>
  <si>
    <t>0704411</t>
  </si>
  <si>
    <t>0704412</t>
  </si>
  <si>
    <t>Befestigungskonsole Oberteil 190x290</t>
  </si>
  <si>
    <t>0704413</t>
  </si>
  <si>
    <t>Befestigungskonsole Unterteil</t>
  </si>
  <si>
    <t>0704414</t>
  </si>
  <si>
    <t>Labyrinthprofil Gehäuse RSA/Labyrinth</t>
  </si>
  <si>
    <t>0704415</t>
  </si>
  <si>
    <t>Blech zur Abdichtung variabel - 190x290</t>
  </si>
  <si>
    <t>0704416</t>
  </si>
  <si>
    <t>Randblech zur Abdichtung - 190x290</t>
  </si>
  <si>
    <t>0704417</t>
  </si>
  <si>
    <t>Schubblech zur Abdichtung - 190x290</t>
  </si>
  <si>
    <t>0704418</t>
  </si>
  <si>
    <t>Führschiene 104x74 kpl. Wandmontage re</t>
  </si>
  <si>
    <t>0704419</t>
  </si>
  <si>
    <t>Führschiene 104x74 kpl. Wandmontage li</t>
  </si>
  <si>
    <t>0704420</t>
  </si>
  <si>
    <t>Führschiene 104x74 kpl.Laibungmontage re              4</t>
  </si>
  <si>
    <t>0704421</t>
  </si>
  <si>
    <t>Führschiene 104x74 kpl.Laibungmontage li             17</t>
  </si>
  <si>
    <t>0704422</t>
  </si>
  <si>
    <t>Aussteifung Wandmon Führschiene 104x74</t>
  </si>
  <si>
    <t>0704423</t>
  </si>
  <si>
    <t>Basisprofil Wandmon Führschie 104x74 re</t>
  </si>
  <si>
    <t>0704424</t>
  </si>
  <si>
    <t>Basisprofil Wandmon Führschie 104x74 li</t>
  </si>
  <si>
    <t>0704425</t>
  </si>
  <si>
    <t>Deckprofil Führschiene 104x74 rechts                  1</t>
  </si>
  <si>
    <t>0704426</t>
  </si>
  <si>
    <t>Deckprofil Führschiene 104x74 links</t>
  </si>
  <si>
    <t>0704427</t>
  </si>
  <si>
    <t>Aussteifung Laibung Führschiene 104x74</t>
  </si>
  <si>
    <t>0704428</t>
  </si>
  <si>
    <t>Basisprofil Laibung Führschie 104x74 re</t>
  </si>
  <si>
    <t>0704429</t>
  </si>
  <si>
    <t>Basisprofil Laibung Führschie 104x74 li</t>
  </si>
  <si>
    <t>0704430</t>
  </si>
  <si>
    <t>Profil Wandseite Führschiene 104x74 re                1</t>
  </si>
  <si>
    <t>0704431</t>
  </si>
  <si>
    <t>Profil Wandseite Führschiene 104x74 li</t>
  </si>
  <si>
    <t>0704432</t>
  </si>
  <si>
    <t>Profil Wands Ecke Führschiene 104x74 re</t>
  </si>
  <si>
    <t>0704433</t>
  </si>
  <si>
    <t>Profil Wandseite rechts Ecke</t>
  </si>
  <si>
    <t>0704434</t>
  </si>
  <si>
    <t>Profil Raumseite Führschiene 104x74 re</t>
  </si>
  <si>
    <t>0704435</t>
  </si>
  <si>
    <t>Profil Raumseite Führschiene 104x74 li</t>
  </si>
  <si>
    <t>0704436</t>
  </si>
  <si>
    <t>Blech zur Abdichtung konstant - 190x290</t>
  </si>
  <si>
    <t>0704437</t>
  </si>
  <si>
    <t>Stoßverbinder Winkelblende 190x290</t>
  </si>
  <si>
    <t>0704438</t>
  </si>
  <si>
    <t>Stoßverbinder Untere Blende 190x290</t>
  </si>
  <si>
    <t>0704439</t>
  </si>
  <si>
    <t>Knopf RSA Labyrinth</t>
  </si>
  <si>
    <t>0704440</t>
  </si>
  <si>
    <t>Seitendeckel Mo re Außen-Antrieb 290x330</t>
  </si>
  <si>
    <t>0704441</t>
  </si>
  <si>
    <t>Seitendeckel Mo li Außen-Antrieb 290x330</t>
  </si>
  <si>
    <t>0704442</t>
  </si>
  <si>
    <t>Z-Kantung Motor re Außen-Antrieb 290x330</t>
  </si>
  <si>
    <t>0704443</t>
  </si>
  <si>
    <t>Z-Kantung Motor li Außen-Antrieb 290x330</t>
  </si>
  <si>
    <t>0704444</t>
  </si>
  <si>
    <t>Winkel-Blende 290x330 RSA/Labyrinth</t>
  </si>
  <si>
    <t>0704445</t>
  </si>
  <si>
    <t>Gerade -Blende 290x330 RSA/Labyrinth</t>
  </si>
  <si>
    <t>0704446</t>
  </si>
  <si>
    <t>Untere -Blende 290x330 RSA/Labyrinth</t>
  </si>
  <si>
    <t>0704447</t>
  </si>
  <si>
    <t>Stoßverbinder Winkelblende 290x330</t>
  </si>
  <si>
    <t>0704448</t>
  </si>
  <si>
    <t>Stoßverbinder Untere Blende 290x330</t>
  </si>
  <si>
    <t>0704449</t>
  </si>
  <si>
    <t>0704450</t>
  </si>
  <si>
    <t>0704451</t>
  </si>
  <si>
    <t>0704452</t>
  </si>
  <si>
    <t>0704453</t>
  </si>
  <si>
    <t>0704454</t>
  </si>
  <si>
    <t>Befestigungswinkel 290x330 RSA/Labyrinth</t>
  </si>
  <si>
    <t>0704455</t>
  </si>
  <si>
    <t>Blech zur Abdichtung variabel - 290x330</t>
  </si>
  <si>
    <t>0704456</t>
  </si>
  <si>
    <t>Blech zur Abdichtung konstant - 290x330</t>
  </si>
  <si>
    <t>0704457</t>
  </si>
  <si>
    <t>Randblech zur Abdichtung - 290x330</t>
  </si>
  <si>
    <t>0704458</t>
  </si>
  <si>
    <t>Schubblech zur Abdichtung - 290x330</t>
  </si>
  <si>
    <t>0704459</t>
  </si>
  <si>
    <t>Führungsblech Abschlusslei RSA/Labyrinth</t>
  </si>
  <si>
    <t>0704460</t>
  </si>
  <si>
    <t>Blech für Neoprenedichtung RSA-Labyrint</t>
  </si>
  <si>
    <t>0704461</t>
  </si>
  <si>
    <t>0704462</t>
  </si>
  <si>
    <t>0704463</t>
  </si>
  <si>
    <t>Winkel Blende Gehäuse Firefast</t>
  </si>
  <si>
    <t>0704464</t>
  </si>
  <si>
    <t>Untere Blende Gehäuse Firefast</t>
  </si>
  <si>
    <t>0704465</t>
  </si>
  <si>
    <t>Gerade Blende Gehäuse Firefast</t>
  </si>
  <si>
    <t>0704466</t>
  </si>
  <si>
    <t>0704467</t>
  </si>
  <si>
    <t>0704468</t>
  </si>
  <si>
    <t>Befestigungswinkel Firefast</t>
  </si>
  <si>
    <t>0704469</t>
  </si>
  <si>
    <t>Befestigungskonsole Oberteil Firefast</t>
  </si>
  <si>
    <t>0704470</t>
  </si>
  <si>
    <t>Befestigungskonsole Unterteil Firefast</t>
  </si>
  <si>
    <t>0704471</t>
  </si>
  <si>
    <t>Motorlagerplatte rechts Firefast</t>
  </si>
  <si>
    <t>0704472</t>
  </si>
  <si>
    <t>Gegenlagerplatte (Blech) Firefast</t>
  </si>
  <si>
    <t>0704473</t>
  </si>
  <si>
    <t>Stoßverbinder/Winkel-Blende</t>
  </si>
  <si>
    <t>0704474</t>
  </si>
  <si>
    <t>Stoßverbinder Untere Blende FSA-Firefast</t>
  </si>
  <si>
    <t>0704475</t>
  </si>
  <si>
    <t>Führungsschiene Wandseite links Firefast</t>
  </si>
  <si>
    <t>0704476</t>
  </si>
  <si>
    <t>Führungsschiene Wandseite recht Firefast</t>
  </si>
  <si>
    <t>0704477</t>
  </si>
  <si>
    <t>Führungsschiene Gegenseite linksFirefast</t>
  </si>
  <si>
    <t>0704478</t>
  </si>
  <si>
    <t>Führungsschiene Gegenseite rechtFirefast</t>
  </si>
  <si>
    <t>0704479</t>
  </si>
  <si>
    <t>Haltewinkel Führungsstange Firefast</t>
  </si>
  <si>
    <t>0704480</t>
  </si>
  <si>
    <t>U-Kantung für Firefly Firefast</t>
  </si>
  <si>
    <t>0704481</t>
  </si>
  <si>
    <t>Verkleidungskassette vorn Kan.1 Firefast</t>
  </si>
  <si>
    <t>0704482</t>
  </si>
  <si>
    <t>Verkleidungskassette vorn Kan.2 Firefast</t>
  </si>
  <si>
    <t>0704483</t>
  </si>
  <si>
    <t>Verkleidungskassette hinten links Kan.1</t>
  </si>
  <si>
    <t>0704484</t>
  </si>
  <si>
    <t>Verkleidungskassette hinten rechts Kan.1</t>
  </si>
  <si>
    <t>0704485</t>
  </si>
  <si>
    <t>Verkleidungskassette hinten hinten Kan.2</t>
  </si>
  <si>
    <t>0704486</t>
  </si>
  <si>
    <t>Winkelblende 285x200 Fiberseal Evo.                   2</t>
  </si>
  <si>
    <t>0704487</t>
  </si>
  <si>
    <t>Gerade Blende 285x200 Fiberseal Evo.                  1</t>
  </si>
  <si>
    <t>0704488</t>
  </si>
  <si>
    <t>Untere Blende Gehäuse RSA-Niedrigsturz                2</t>
  </si>
  <si>
    <t>0704489</t>
  </si>
  <si>
    <t>Seitendeckel Motor rechts Motorseite RSA</t>
  </si>
  <si>
    <t>0704490</t>
  </si>
  <si>
    <t>Seitendeckel Motor rechts Gegenseite RSA</t>
  </si>
  <si>
    <t>0704491</t>
  </si>
  <si>
    <t>Seitendeckel Motor links Motorseite RSA</t>
  </si>
  <si>
    <t>0704492</t>
  </si>
  <si>
    <t>Seitendeckel Motor links Gegenseite RSA</t>
  </si>
  <si>
    <t>0704493</t>
  </si>
  <si>
    <t>Stoßverbinder Untere Blende</t>
  </si>
  <si>
    <t>0704494</t>
  </si>
  <si>
    <t>Rohrscheibe 70/108 RSA/Labyrinth</t>
  </si>
  <si>
    <t>0704495</t>
  </si>
  <si>
    <t>Rohrscheibe innen 70/108</t>
  </si>
  <si>
    <t>0704496</t>
  </si>
  <si>
    <t>Fixierblech Kopiergerät Copy Cap</t>
  </si>
  <si>
    <t>0704497</t>
  </si>
  <si>
    <t>Befestigungskonsole Unterteil 285x200</t>
  </si>
  <si>
    <t>0704498</t>
  </si>
  <si>
    <t>Druckkantung RSA-Labyrinth-Niedrigsturz               1</t>
  </si>
  <si>
    <t>0704499</t>
  </si>
  <si>
    <t>Fallhebelhalter RSA Labyrinth Niedrigst</t>
  </si>
  <si>
    <t>0704500</t>
  </si>
  <si>
    <t>Fallhebel RSA Labyrinth Niedrigsturz</t>
  </si>
  <si>
    <t>0704501</t>
  </si>
  <si>
    <t>Wandkonsole Größe 1 CopyCap                           1</t>
  </si>
  <si>
    <t>0704502</t>
  </si>
  <si>
    <t>Wandkonsole Größe 2 CopyCap                           2</t>
  </si>
  <si>
    <t>0704503</t>
  </si>
  <si>
    <t>Wandkonsole Größe 3 rechts CopyCap                    1</t>
  </si>
  <si>
    <t>0704504</t>
  </si>
  <si>
    <t>Schwenkrahmenhalter rechts CopyCap</t>
  </si>
  <si>
    <t>0704505</t>
  </si>
  <si>
    <t>Schwenkrahmenhalter links CopyCap</t>
  </si>
  <si>
    <t>0704506</t>
  </si>
  <si>
    <t>Lampenschale CopyCap</t>
  </si>
  <si>
    <t>0704507</t>
  </si>
  <si>
    <t>Lampendeckel CopyCap</t>
  </si>
  <si>
    <t>0704508</t>
  </si>
  <si>
    <t>Haltemagnetwinkel CopyCap</t>
  </si>
  <si>
    <t>0704509</t>
  </si>
  <si>
    <t>Tür 1 Größe 1 CopyCap                                 1</t>
  </si>
  <si>
    <t>0704510</t>
  </si>
  <si>
    <t>Tür 1 Größe 2 CopyCap                                 1</t>
  </si>
  <si>
    <t>0704511</t>
  </si>
  <si>
    <t>Tür 1 Größe 3 CopyCap                                 1</t>
  </si>
  <si>
    <t>0704512</t>
  </si>
  <si>
    <t>Tür 2 Größe 1 CopyCap                                 1</t>
  </si>
  <si>
    <t>0704513</t>
  </si>
  <si>
    <t>Tür 2 Größe 2 CopyCap                                 1</t>
  </si>
  <si>
    <t>0704514</t>
  </si>
  <si>
    <t>Tür 2 Größe 3 CopyCap                                 1</t>
  </si>
  <si>
    <t>0704517</t>
  </si>
  <si>
    <t>Türversteifungsblech Größe 3 CopyCap</t>
  </si>
  <si>
    <t>0704518</t>
  </si>
  <si>
    <t>Schwenkrahmen Größe 1 CopyCap</t>
  </si>
  <si>
    <t>0704519</t>
  </si>
  <si>
    <t>Schwenkrahmen Größe 2 CopyCap</t>
  </si>
  <si>
    <t>0704520</t>
  </si>
  <si>
    <t>Schwenkrahmen Größe 3 rechts CopyCap</t>
  </si>
  <si>
    <t>0704521</t>
  </si>
  <si>
    <t>HinterprofilSchwenkrahmen Größe1 CopyCap</t>
  </si>
  <si>
    <t>0704522</t>
  </si>
  <si>
    <t>Hinterprofil Schwenkrahmen Größe 2</t>
  </si>
  <si>
    <t>0704523</t>
  </si>
  <si>
    <t>Hinterlegprofil Schwenkrahmen Größe 3</t>
  </si>
  <si>
    <t>0704524</t>
  </si>
  <si>
    <t>Lagerrohr Größe 1 CopyCap</t>
  </si>
  <si>
    <t>0704525</t>
  </si>
  <si>
    <t>Lagerrohr Größe 2 CopyCap</t>
  </si>
  <si>
    <t>0704526</t>
  </si>
  <si>
    <t>Lagerrohr Größe 3 CopyCap</t>
  </si>
  <si>
    <t>0704527</t>
  </si>
  <si>
    <t>Ankerplattenwinkel CopyCap</t>
  </si>
  <si>
    <t>0704528</t>
  </si>
  <si>
    <t>Abschlussleistenwinkelvo/hiGröße1CopyCap</t>
  </si>
  <si>
    <t>0704529</t>
  </si>
  <si>
    <t>Abschlussleistenwinkelvo/hiGröße2CopyCap</t>
  </si>
  <si>
    <t>0704530</t>
  </si>
  <si>
    <t>Abschlussleistenwinkelvo/hiGröße3CopyCap</t>
  </si>
  <si>
    <t>0704531</t>
  </si>
  <si>
    <t>Abschlussleistenwinkel seitGröße1CopyCap</t>
  </si>
  <si>
    <t>0704532</t>
  </si>
  <si>
    <t>Abschlussleistenwinkel seitGröße2CopyCap</t>
  </si>
  <si>
    <t>0704533</t>
  </si>
  <si>
    <t>Abschlussleistenwinkel seitGröße3CopyCap</t>
  </si>
  <si>
    <t>0704534</t>
  </si>
  <si>
    <t>Flachstahl für Lagerrohr CopyCap++++++++</t>
  </si>
  <si>
    <t>0704535</t>
  </si>
  <si>
    <t>Wandkonsole Größe 3 links CopyCap                     1</t>
  </si>
  <si>
    <t>0704536</t>
  </si>
  <si>
    <t>Verbindungsblech Wandkonsole Gr3 CopyCap</t>
  </si>
  <si>
    <t>0704537</t>
  </si>
  <si>
    <t>Verbindungsbl. Schwenkrahmen Gr3 CopyCap</t>
  </si>
  <si>
    <t>0704538</t>
  </si>
  <si>
    <t>Schwenkrahmen Größe 3 links CopyCap</t>
  </si>
  <si>
    <t>0704539</t>
  </si>
  <si>
    <t>Fixierplatte Kopiergerät Copy Cap</t>
  </si>
  <si>
    <t>0704540</t>
  </si>
  <si>
    <t>Ankerplattenhalter Copy Cap</t>
  </si>
  <si>
    <t>0704541</t>
  </si>
  <si>
    <t>Federblech CopyCap</t>
  </si>
  <si>
    <t>0704542</t>
  </si>
  <si>
    <t>Profil Wandseite Führschiene Nische re</t>
  </si>
  <si>
    <t>0704543</t>
  </si>
  <si>
    <t>Profil Wandseite Führschiene Nische li</t>
  </si>
  <si>
    <t>0704544</t>
  </si>
  <si>
    <t>Profil obere Ecke Führschiene Nische re</t>
  </si>
  <si>
    <t>0704545</t>
  </si>
  <si>
    <t>Profil obere Ecke Führschiene Nische li</t>
  </si>
  <si>
    <t>0704546</t>
  </si>
  <si>
    <t>Profil Raumseite Führschiene Nische re</t>
  </si>
  <si>
    <t>0704547</t>
  </si>
  <si>
    <t>Profil Raumseite Führschiene Nische li</t>
  </si>
  <si>
    <t>0704548</t>
  </si>
  <si>
    <t>Befestigungsstreifen hinten, BG1</t>
  </si>
  <si>
    <t>0704549</t>
  </si>
  <si>
    <t>Befestigungsstreifen hinten, BG 2</t>
  </si>
  <si>
    <t>0704550</t>
  </si>
  <si>
    <t>Befestigungsstreifen hinten, BG3</t>
  </si>
  <si>
    <t>0704551</t>
  </si>
  <si>
    <t>Deckel Revision 190x200 schwimm RS/FSA</t>
  </si>
  <si>
    <t>0704552</t>
  </si>
  <si>
    <t>Rauchmelderhalter Copy Cap</t>
  </si>
  <si>
    <t>0704553</t>
  </si>
  <si>
    <t>Kabelhalter AbschlussleisteRSA/Labyrinth</t>
  </si>
  <si>
    <t>0704554</t>
  </si>
  <si>
    <t>Stoßverbinder Winkel Blende RSA Laby</t>
  </si>
  <si>
    <t>0704555</t>
  </si>
  <si>
    <t>Befestigungskonsole Oberteilschwi190x290</t>
  </si>
  <si>
    <t>0704556</t>
  </si>
  <si>
    <t>Befestigungskonsole Unteteilschwi190x290</t>
  </si>
  <si>
    <t>0704557</t>
  </si>
  <si>
    <t>Hebel 1 schwimmende Lager RSA/Labyrinth</t>
  </si>
  <si>
    <t>0704558</t>
  </si>
  <si>
    <t>Hebel 2 schwimmende Lager RSA/Labyrinth</t>
  </si>
  <si>
    <t>0704559</t>
  </si>
  <si>
    <t>Spange schwimmende Lager RSA/Labyrinth</t>
  </si>
  <si>
    <t>0704560</t>
  </si>
  <si>
    <t>Blech zur Abdichtung kons schwim 190x290</t>
  </si>
  <si>
    <t>0704561</t>
  </si>
  <si>
    <t>Blech zur Abdichtung vari schwim 190x290</t>
  </si>
  <si>
    <t>0704562</t>
  </si>
  <si>
    <t>Randblech zur Abdichtung schwim 190x290</t>
  </si>
  <si>
    <t>0704563</t>
  </si>
  <si>
    <t>Schubblech zur Abdichtung schwim 190x290</t>
  </si>
  <si>
    <t>0704564</t>
  </si>
  <si>
    <t>Endblech U-Stahl Uni-BZ</t>
  </si>
  <si>
    <t>0704565</t>
  </si>
  <si>
    <t>Einsteckrohr Wickelrohr 70/100</t>
  </si>
  <si>
    <t>0704566</t>
  </si>
  <si>
    <t>Einsteckrohr Wickelrohr 70/100                        1</t>
  </si>
  <si>
    <t>0704567</t>
  </si>
  <si>
    <t>Einsteckrohr 70/108                                   1</t>
  </si>
  <si>
    <t>0704568</t>
  </si>
  <si>
    <t>Einsteckrohr Wickelrohr 70/108                        1</t>
  </si>
  <si>
    <t>0704569</t>
  </si>
  <si>
    <t>Einsteckrohr Motorseite 100/160 RSA</t>
  </si>
  <si>
    <t>0704570</t>
  </si>
  <si>
    <t>Einsteckrohr Gegenlagerseite 100/160 RSA</t>
  </si>
  <si>
    <t>0704571</t>
  </si>
  <si>
    <t>Winkel-Blende 190x250 RSA/Labyrinth</t>
  </si>
  <si>
    <t>0704572</t>
  </si>
  <si>
    <t>Gerade -Blende 190x250 RSA/Labyrinth</t>
  </si>
  <si>
    <t>0704573</t>
  </si>
  <si>
    <t>Untere -Blende 190x250 RSA/Labyrinth</t>
  </si>
  <si>
    <t>0704574</t>
  </si>
  <si>
    <t>Stoßverbinder Untere Blende 190x250</t>
  </si>
  <si>
    <t>0704575</t>
  </si>
  <si>
    <t>0704576</t>
  </si>
  <si>
    <t>0704577</t>
  </si>
  <si>
    <t>0704578</t>
  </si>
  <si>
    <t>0704579</t>
  </si>
  <si>
    <t>0704580</t>
  </si>
  <si>
    <t>Labyrinthprofil Gehäuse 190x250 RSA Laby</t>
  </si>
  <si>
    <t>0704581</t>
  </si>
  <si>
    <t>Profil Raumseite Führschiene 190x250 re</t>
  </si>
  <si>
    <t>0704582</t>
  </si>
  <si>
    <t>Profil Raumseite Führschiene 190x250 li</t>
  </si>
  <si>
    <t>0704583</t>
  </si>
  <si>
    <t>Profil Wands Ecke Führschiene 190x250 re</t>
  </si>
  <si>
    <t>0704584</t>
  </si>
  <si>
    <t>Profil Wands Ecke Führschiene 190x250 li</t>
  </si>
  <si>
    <t>0704585</t>
  </si>
  <si>
    <t>Enddeckel groß rechts Moducoil</t>
  </si>
  <si>
    <t>0704586</t>
  </si>
  <si>
    <t>Enddeckel groß links Moducoil</t>
  </si>
  <si>
    <t>0704587</t>
  </si>
  <si>
    <t>Enddeckel groß mit Revisionsöffnung re</t>
  </si>
  <si>
    <t>0704588</t>
  </si>
  <si>
    <t>Enddeckel groß mit Revisionsöffnung li</t>
  </si>
  <si>
    <t>0704590</t>
  </si>
  <si>
    <t>Enddeckel schmal rechts Moducoil</t>
  </si>
  <si>
    <t>0704591</t>
  </si>
  <si>
    <t>Enddeckel schmal links Moducoil</t>
  </si>
  <si>
    <t>0704592</t>
  </si>
  <si>
    <t>Enddeckel schmal rechts + Rev.</t>
  </si>
  <si>
    <t>0704593</t>
  </si>
  <si>
    <t>Enddeckel schmal links + Rev.</t>
  </si>
  <si>
    <t>0704594</t>
  </si>
  <si>
    <t>Motordeckel groß Moducoil</t>
  </si>
  <si>
    <t>0704595</t>
  </si>
  <si>
    <t>Motordeckel schmal Moducoil</t>
  </si>
  <si>
    <t>0704596</t>
  </si>
  <si>
    <t>Stoßverbinder Winkelblende</t>
  </si>
  <si>
    <t>0704597</t>
  </si>
  <si>
    <t>Stoßverbinder Einlaufkantung Moducoil</t>
  </si>
  <si>
    <t>0704598</t>
  </si>
  <si>
    <t>Wandwinkel Einmodulsystem Modulcoil</t>
  </si>
  <si>
    <t>0704599</t>
  </si>
  <si>
    <t>Wandwinkel Mehrmodulsystem Modulcoil</t>
  </si>
  <si>
    <t>0704600</t>
  </si>
  <si>
    <t>Zusatzwinkel Moducoil</t>
  </si>
  <si>
    <t>0704601</t>
  </si>
  <si>
    <t>Gehäusekantung System 3000  Moducoil</t>
  </si>
  <si>
    <t>0704602</t>
  </si>
  <si>
    <t>Gehäusekantung Ausklinkung re.  Sys 3000</t>
  </si>
  <si>
    <t>0704603</t>
  </si>
  <si>
    <t>Gehäusekantung Ausklinkung li.  Sys 3000</t>
  </si>
  <si>
    <t>0704604</t>
  </si>
  <si>
    <t>Gehäuseblende lang System 3000  Moducoil</t>
  </si>
  <si>
    <t>0704605</t>
  </si>
  <si>
    <t>Gehäuseblende kurz System 3000  Moducoil</t>
  </si>
  <si>
    <t>0704606</t>
  </si>
  <si>
    <t>Gehäusekantung System 4000  Moducoil</t>
  </si>
  <si>
    <t>0704607</t>
  </si>
  <si>
    <t>Gehäusekantung Ausklinkung re.  Sys 4000</t>
  </si>
  <si>
    <t>0704608</t>
  </si>
  <si>
    <t>Gehäusekantung Ausklinkung li.  Sys 4000</t>
  </si>
  <si>
    <t>0704609</t>
  </si>
  <si>
    <t>Gehäuseblende lang System 4000  Moducoil</t>
  </si>
  <si>
    <t>0704610</t>
  </si>
  <si>
    <t>Gehäuseblende kurz System 4000  Moducoil</t>
  </si>
  <si>
    <t>0704611</t>
  </si>
  <si>
    <t>Gehäusekantung re System 5000  Moducoil</t>
  </si>
  <si>
    <t>0704612</t>
  </si>
  <si>
    <t>Gehäusekantung li  System 5000  Moducoil</t>
  </si>
  <si>
    <t>0704613</t>
  </si>
  <si>
    <t>Gehäusekantung Ausklinkung re.  Sys 5000</t>
  </si>
  <si>
    <t>0704614</t>
  </si>
  <si>
    <t>Gehäusekantung Ausklinkung li.  Sys 5000</t>
  </si>
  <si>
    <t>0704615</t>
  </si>
  <si>
    <t>Gehäuseblende lang System 5000  Moducoil</t>
  </si>
  <si>
    <t>0704616</t>
  </si>
  <si>
    <t>Gehäuseblende kurz System 5000  Moducoil</t>
  </si>
  <si>
    <t>0704617</t>
  </si>
  <si>
    <t>Gehäusekantung re System 6000  Moducoil</t>
  </si>
  <si>
    <t>0704618</t>
  </si>
  <si>
    <t>Gehäusekantung li System 6000  Moducoil</t>
  </si>
  <si>
    <t>0704619</t>
  </si>
  <si>
    <t>Gehäusekantung Ausklinkung re.  Sys 6000</t>
  </si>
  <si>
    <t>0704620</t>
  </si>
  <si>
    <t>Gehäusekantung Ausklinkung li.  Sys 6000</t>
  </si>
  <si>
    <t>0704621</t>
  </si>
  <si>
    <t>Gehäuseblende lang System 6000  Moducoil</t>
  </si>
  <si>
    <t>0704622</t>
  </si>
  <si>
    <t>Gehäuseblende kurz System 6000  Moducoil</t>
  </si>
  <si>
    <t>0704626</t>
  </si>
  <si>
    <t>Abdeckblech</t>
  </si>
  <si>
    <t>0704627</t>
  </si>
  <si>
    <t>Eckwinkel Moducoil</t>
  </si>
  <si>
    <t>0704628</t>
  </si>
  <si>
    <t>Arretierwinkel Moducoil</t>
  </si>
  <si>
    <t>0704629</t>
  </si>
  <si>
    <t>Halfenschiene Gehäusebreite Moducoil</t>
  </si>
  <si>
    <t>0704630</t>
  </si>
  <si>
    <t>0704631</t>
  </si>
  <si>
    <t>Scheibe für Nut-Wickelrohr d=78</t>
  </si>
  <si>
    <t>0704632</t>
  </si>
  <si>
    <t>Verbindungsblech Moducoil</t>
  </si>
  <si>
    <t>0704633</t>
  </si>
  <si>
    <t>Verbindungsblech 90 Grad Moducoil</t>
  </si>
  <si>
    <t>0704634</t>
  </si>
  <si>
    <t>Führungsschiene Basis rechts Wandmontage</t>
  </si>
  <si>
    <t>0704635</t>
  </si>
  <si>
    <t>Führungsschiene Basis links Wandmontage</t>
  </si>
  <si>
    <t>0704636</t>
  </si>
  <si>
    <t>Führungsschiene Basis rechts Laibmontage</t>
  </si>
  <si>
    <t>0704637</t>
  </si>
  <si>
    <t>Führungsschiene Basis links Laibmontage</t>
  </si>
  <si>
    <t>0704638</t>
  </si>
  <si>
    <t>Führungsschiene Deckprofil rechts</t>
  </si>
  <si>
    <t>0704639</t>
  </si>
  <si>
    <t>Führungsschiene Deckprofil links</t>
  </si>
  <si>
    <t>0704640</t>
  </si>
  <si>
    <t>Endblech für Abschlussleiste Moducoil re</t>
  </si>
  <si>
    <t>0704641</t>
  </si>
  <si>
    <t>0704642</t>
  </si>
  <si>
    <t>Gehäusekantung System &lt; 4000 variabel</t>
  </si>
  <si>
    <t>0704643</t>
  </si>
  <si>
    <t>Gehäuseblende  System &lt; 4000  Moducoil</t>
  </si>
  <si>
    <t>0704644</t>
  </si>
  <si>
    <t>Gehäusekantung re System &lt; 6000 variabel</t>
  </si>
  <si>
    <t>0704645</t>
  </si>
  <si>
    <t>Gehäusekantung li System &lt; 6000 variabel</t>
  </si>
  <si>
    <t>0704646</t>
  </si>
  <si>
    <t>Gehäuseblende  System &lt; 6000  Moducoil</t>
  </si>
  <si>
    <t>0704647</t>
  </si>
  <si>
    <t>Lamellenführung OC-Lamelle</t>
  </si>
  <si>
    <t>0704648</t>
  </si>
  <si>
    <t>Enddeckel obere Lamelle rechts OC-NG</t>
  </si>
  <si>
    <t>0704649</t>
  </si>
  <si>
    <t>Enddeckel obere Lamelle links OC-NG</t>
  </si>
  <si>
    <t>0704650</t>
  </si>
  <si>
    <t>Enddeckel mittlere  Lamelle rechts OC-NG</t>
  </si>
  <si>
    <t>0704651</t>
  </si>
  <si>
    <t>Enddeckel mittlere  Lamelle links OC-NG</t>
  </si>
  <si>
    <t>0704652</t>
  </si>
  <si>
    <t>Enddeckel untere  Lamelle rechts OC-NG</t>
  </si>
  <si>
    <t>0704653</t>
  </si>
  <si>
    <t>Enddeckel untere  Lamelle links OC-NG</t>
  </si>
  <si>
    <t>0704654</t>
  </si>
  <si>
    <t>0704655</t>
  </si>
  <si>
    <t>0704656</t>
  </si>
  <si>
    <t>0704657</t>
  </si>
  <si>
    <t>0704658</t>
  </si>
  <si>
    <t>0704659</t>
  </si>
  <si>
    <t>0704660</t>
  </si>
  <si>
    <t>Gewindeblech M5 Schrauben Pulverbeschich</t>
  </si>
  <si>
    <t>0704661</t>
  </si>
  <si>
    <t>Gewindeblech M6 Schrauben Pulverbeschich</t>
  </si>
  <si>
    <t>0704666</t>
  </si>
  <si>
    <t>Abschlusskantung untere Lam EA SL für OC</t>
  </si>
  <si>
    <t>0704667</t>
  </si>
  <si>
    <t>Abschlusskantung untere Lam EA vorn OC</t>
  </si>
  <si>
    <t>0704668</t>
  </si>
  <si>
    <t>Kabelumlenkung untere Blende RS/FSA</t>
  </si>
  <si>
    <t>0704669</t>
  </si>
  <si>
    <t>Notstromabdeckung Elektrik</t>
  </si>
  <si>
    <t>0704670</t>
  </si>
  <si>
    <t>Stützrollenmbock schwimmend 190x290</t>
  </si>
  <si>
    <t>0704671</t>
  </si>
  <si>
    <t>C - Profile  175x50x3 , 3000 mm</t>
  </si>
  <si>
    <t>0704672</t>
  </si>
  <si>
    <t>Blech für C-Profil 175x50 (Gewinde)</t>
  </si>
  <si>
    <t>0704673</t>
  </si>
  <si>
    <t>Blech für C-Profil 175x50 (Loch)</t>
  </si>
  <si>
    <t>0704674</t>
  </si>
  <si>
    <t>Kantung für Lagerflansch Handrad</t>
  </si>
  <si>
    <t>0704675</t>
  </si>
  <si>
    <t>Winkel 40x16x1 OC Führungsschienen</t>
  </si>
  <si>
    <t>0704680</t>
  </si>
  <si>
    <t>Enddeckel rechts</t>
  </si>
  <si>
    <t>0704681</t>
  </si>
  <si>
    <t>Enddeckel links</t>
  </si>
  <si>
    <t>0704682</t>
  </si>
  <si>
    <t>Mitnehmer 78-Rohr Fibershield-E</t>
  </si>
  <si>
    <t>0704683</t>
  </si>
  <si>
    <t>Mitnehmer 100-Rohr Fibershield-E</t>
  </si>
  <si>
    <t>0704684</t>
  </si>
  <si>
    <t>Wandwinkel Ecoshield</t>
  </si>
  <si>
    <t>0704685</t>
  </si>
  <si>
    <t>Verstärkungsblech Deckenmontage</t>
  </si>
  <si>
    <t>0704686</t>
  </si>
  <si>
    <t>Lagerblech für Rohrmotor G12 &amp; G30</t>
  </si>
  <si>
    <t>0704688</t>
  </si>
  <si>
    <t>Rohrscheibe 50/78 Ecoshield</t>
  </si>
  <si>
    <t>0704689</t>
  </si>
  <si>
    <t>Einsteckrohr 50/78                                    1</t>
  </si>
  <si>
    <t>0704690</t>
  </si>
  <si>
    <t>Einsteckrohr 50/100                                   1</t>
  </si>
  <si>
    <t>0704691</t>
  </si>
  <si>
    <t>Haltescheibe Stangenführung d=40</t>
  </si>
  <si>
    <t>0704692</t>
  </si>
  <si>
    <t>Obere Konsole rechts übereinander</t>
  </si>
  <si>
    <t>0704693</t>
  </si>
  <si>
    <t>Obere Konsole links übereinander</t>
  </si>
  <si>
    <t>0704694</t>
  </si>
  <si>
    <t>Untere Konsole rechs übereinander</t>
  </si>
  <si>
    <t>0704695</t>
  </si>
  <si>
    <t>Untere Konsole links übereinander</t>
  </si>
  <si>
    <t>0704696</t>
  </si>
  <si>
    <t>Obere Konsole übereinander</t>
  </si>
  <si>
    <t>0704697</t>
  </si>
  <si>
    <t>Untere Konsole übereinander Moducoil</t>
  </si>
  <si>
    <t>0704698</t>
  </si>
  <si>
    <t>Einlaufkantung 3000 Mont. über Moducoil</t>
  </si>
  <si>
    <t>0704699</t>
  </si>
  <si>
    <t>Einlaufkantung 3000 A Mont.über Moducoil</t>
  </si>
  <si>
    <t>0704700</t>
  </si>
  <si>
    <t>Einlaufkantung 4000  Mont.über Moducoil</t>
  </si>
  <si>
    <t>0704701</t>
  </si>
  <si>
    <t>Einlaufkantung 4000 A Mont.über Moducoil</t>
  </si>
  <si>
    <t>0704702</t>
  </si>
  <si>
    <t>Einlaufkantung 5000  Mont.über Moducoil</t>
  </si>
  <si>
    <t>0704703</t>
  </si>
  <si>
    <t>Einlaufkantung 5000 A Mont.über Moducoil</t>
  </si>
  <si>
    <t>0704704</t>
  </si>
  <si>
    <t>Einlaufkantung 6000  Mont.über Moducoil</t>
  </si>
  <si>
    <t>0704705</t>
  </si>
  <si>
    <t>Einlaufkantung 6000 A Mont.über Moducoil</t>
  </si>
  <si>
    <t>0704706</t>
  </si>
  <si>
    <t>Deckblende Wand 3000  Mont.über Moducoil</t>
  </si>
  <si>
    <t>0704707</t>
  </si>
  <si>
    <t>Deckblende Wand3000A  Mont.über Moducoil</t>
  </si>
  <si>
    <t>0704708</t>
  </si>
  <si>
    <t>Deckblende Wand 4000  Mont.über Moducoil</t>
  </si>
  <si>
    <t>0704709</t>
  </si>
  <si>
    <t>Deckblende Wand4000A  Mont.über Moducoil</t>
  </si>
  <si>
    <t>0704710</t>
  </si>
  <si>
    <t>Deckblende Wand 5000  Mont.über Moducoil</t>
  </si>
  <si>
    <t>0704711</t>
  </si>
  <si>
    <t>Deckblende Wand5000A  Mont.über Moducoil</t>
  </si>
  <si>
    <t>0704712</t>
  </si>
  <si>
    <t>Deckblende Wand 6000  Mont.über Moducoil</t>
  </si>
  <si>
    <t>0704713</t>
  </si>
  <si>
    <t>Deckblende Wand6000A  Mont.über Moducoil</t>
  </si>
  <si>
    <t>0704714</t>
  </si>
  <si>
    <t>Seitendeckel Abdeckung Moducoil übereina</t>
  </si>
  <si>
    <t>0704715</t>
  </si>
  <si>
    <t>0704724</t>
  </si>
  <si>
    <t>Abschlusskantung untere Lam EB SL für OC</t>
  </si>
  <si>
    <t>0704725</t>
  </si>
  <si>
    <t>Abschlusskantung untere Lam EB vorn OC</t>
  </si>
  <si>
    <t>0704726</t>
  </si>
  <si>
    <t>Abschlusskantung untere Lam EC SL für OC</t>
  </si>
  <si>
    <t>0704727</t>
  </si>
  <si>
    <t>Abschlusskantung untere Lam EC vorn OC</t>
  </si>
  <si>
    <t>0704728</t>
  </si>
  <si>
    <t>Abschlusskantung untere Lam ED SL für OC</t>
  </si>
  <si>
    <t>0704729</t>
  </si>
  <si>
    <t>Abschlusskantung untere Lam ED vorn OC</t>
  </si>
  <si>
    <t>0704730</t>
  </si>
  <si>
    <t>Rohrscheibe 50/100  Ecoshield</t>
  </si>
  <si>
    <t>0704731</t>
  </si>
  <si>
    <t>Stützbock für Befestigungskonsole RSA</t>
  </si>
  <si>
    <t>0704732</t>
  </si>
  <si>
    <t>Schubblech RSA 190x290 (Stützbock)</t>
  </si>
  <si>
    <t>0704733</t>
  </si>
  <si>
    <t>Muster Führungsschiene 105 rund RS/FSA</t>
  </si>
  <si>
    <t>0704734</t>
  </si>
  <si>
    <t>Muster Führungsschiene 105 eckig RS/FSA</t>
  </si>
  <si>
    <t>0704735</t>
  </si>
  <si>
    <t>Muster min.Führungsschiene80schrä RS/FSA</t>
  </si>
  <si>
    <t>0704736</t>
  </si>
  <si>
    <t>Muster min.Führungsschiene80eckig RS/FSA</t>
  </si>
  <si>
    <t>0704737</t>
  </si>
  <si>
    <t>Muster Führungsschiene Labyrhind RSA</t>
  </si>
  <si>
    <t>0704738</t>
  </si>
  <si>
    <t>Kant.1 Führungsschiene 160x100 Laibung</t>
  </si>
  <si>
    <t>0704739</t>
  </si>
  <si>
    <t>Kant.2 links Führungsschiene 160x100</t>
  </si>
  <si>
    <t>0704740</t>
  </si>
  <si>
    <t>Kant.2 rechts Führungsschiene 160x100</t>
  </si>
  <si>
    <t>0704741</t>
  </si>
  <si>
    <t>Dichtprofil 1 links für FS 160-E</t>
  </si>
  <si>
    <t>0704742</t>
  </si>
  <si>
    <t>Dichtprofil rechts für Basisprofil, 160E</t>
  </si>
  <si>
    <t>0704743</t>
  </si>
  <si>
    <t>Dichtprofil 2 links für FS 160-E</t>
  </si>
  <si>
    <t>0704744</t>
  </si>
  <si>
    <t>Kant.4 rechts Führungsschiene 160x100</t>
  </si>
  <si>
    <t>0704745</t>
  </si>
  <si>
    <t>Kant.5  Führungsschiene 160x100</t>
  </si>
  <si>
    <t>0704746</t>
  </si>
  <si>
    <t>Kant.6 links WandFührungsschiene 160x100</t>
  </si>
  <si>
    <t>0704747</t>
  </si>
  <si>
    <t>Kant.6 recht WandFührungsschiene160x100</t>
  </si>
  <si>
    <t>0704748</t>
  </si>
  <si>
    <t>Kant.6links GegenFührungsschiene 160x100</t>
  </si>
  <si>
    <t>0704749</t>
  </si>
  <si>
    <t>Kant.6recht GegenFührungsschiene 160x100</t>
  </si>
  <si>
    <t>0704750</t>
  </si>
  <si>
    <t>Kant.8 Führungsschie links 160x100 Wand</t>
  </si>
  <si>
    <t>0704751</t>
  </si>
  <si>
    <t>Kant.8 Führungsschie rechts 160x100 Wand</t>
  </si>
  <si>
    <t>0704752</t>
  </si>
  <si>
    <t>Kant.9 links Führungsschiene 160x100</t>
  </si>
  <si>
    <t>0704753</t>
  </si>
  <si>
    <t>Kant.9 rechts Führungsschiene 160x100</t>
  </si>
  <si>
    <t>0704755</t>
  </si>
  <si>
    <t>Einsteckrohr 50/100 Gegenlagerseite</t>
  </si>
  <si>
    <t>0704756</t>
  </si>
  <si>
    <t>Gegenlagerscheibe 50/100 Fibershield-E</t>
  </si>
  <si>
    <t>0704757</t>
  </si>
  <si>
    <t>Führungsscheibe 50/100 Fibershield-E</t>
  </si>
  <si>
    <t>0704758</t>
  </si>
  <si>
    <t>Äußere Scheibe 100 Ecoshield</t>
  </si>
  <si>
    <t>0704759</t>
  </si>
  <si>
    <t>Äußere Scheibe 78 Ecoshield</t>
  </si>
  <si>
    <t>0704760</t>
  </si>
  <si>
    <t>Innere Scheibe ohne Gewinde 78 Ecoshield</t>
  </si>
  <si>
    <t>0704761</t>
  </si>
  <si>
    <t>Innere Scheibe mit Gewinde 78 Ecoshield</t>
  </si>
  <si>
    <t>0704762</t>
  </si>
  <si>
    <t>Kant.1 Führungsschi.Wandnische  Moducoil</t>
  </si>
  <si>
    <t>0704763</t>
  </si>
  <si>
    <t>Kant.2 Führungsschi.Wandnische  Moducoil</t>
  </si>
  <si>
    <t>0704764</t>
  </si>
  <si>
    <t>Kant.3 rechts Führungsschi.Wandnische</t>
  </si>
  <si>
    <t>0704765</t>
  </si>
  <si>
    <t>Kant.3 links Führungsschi.Wandnische</t>
  </si>
  <si>
    <t>0704766</t>
  </si>
  <si>
    <t>Endblech für Abschlussleiste Moducoil li</t>
  </si>
  <si>
    <t>0704772</t>
  </si>
  <si>
    <t>Wandhalter komplett für USV-Anlage</t>
  </si>
  <si>
    <t>0704773</t>
  </si>
  <si>
    <t>USV-Anlage Trust 950 VA UPS (Wandhalter)</t>
  </si>
  <si>
    <t>0704774</t>
  </si>
  <si>
    <t>USV-Anlage Trust 950 VA UPS (Klemmblech)</t>
  </si>
  <si>
    <t>0704775</t>
  </si>
  <si>
    <t>Verbinder Abschlussleisten Moducoil</t>
  </si>
  <si>
    <t>0704777</t>
  </si>
  <si>
    <t>Auffütterungsblech Wandrahmen Ecotube</t>
  </si>
  <si>
    <t>0704778</t>
  </si>
  <si>
    <t>0704779</t>
  </si>
  <si>
    <t>0704780</t>
  </si>
  <si>
    <t>Halter für Lamellenführung 12-B OC NG</t>
  </si>
  <si>
    <t>0704781</t>
  </si>
  <si>
    <t>Halter für Lamellenführung 16-B OC NG</t>
  </si>
  <si>
    <t>0704782</t>
  </si>
  <si>
    <t>Halter für Lamellenführung 16&amp;16-B OC NG</t>
  </si>
  <si>
    <t>0704783</t>
  </si>
  <si>
    <t>Revisiosdeckel re 190x200 RS/FSA schw.</t>
  </si>
  <si>
    <t>0704784</t>
  </si>
  <si>
    <t>Winkel-Blende Anfangsgehäuse</t>
  </si>
  <si>
    <t>0704785</t>
  </si>
  <si>
    <t>Winkel-Blende Mittelgehäuse</t>
  </si>
  <si>
    <t>0704786</t>
  </si>
  <si>
    <t>0704787</t>
  </si>
  <si>
    <t>Winkel-Blende MIttelgehäuse</t>
  </si>
  <si>
    <t>0704788</t>
  </si>
  <si>
    <t>Gerade Blende Anfangsgehäuse</t>
  </si>
  <si>
    <t>0704789</t>
  </si>
  <si>
    <t>Gerade Blende Mittelgehäuse</t>
  </si>
  <si>
    <t>0704790</t>
  </si>
  <si>
    <t>Untere Blende Anfangsgehäuse</t>
  </si>
  <si>
    <t>0704791</t>
  </si>
  <si>
    <t>Untere Blende Mittelgehäuse</t>
  </si>
  <si>
    <t>0704792</t>
  </si>
  <si>
    <t>0704793</t>
  </si>
  <si>
    <t>0704794</t>
  </si>
  <si>
    <t>0704795</t>
  </si>
  <si>
    <t>0704796</t>
  </si>
  <si>
    <t>0704797</t>
  </si>
  <si>
    <t>0704798</t>
  </si>
  <si>
    <t>0704799</t>
  </si>
  <si>
    <t>0704800</t>
  </si>
  <si>
    <t>0704801</t>
  </si>
  <si>
    <t>0704802</t>
  </si>
  <si>
    <t>0704803</t>
  </si>
  <si>
    <t>Winkelblende Mittelgehäuse</t>
  </si>
  <si>
    <t>0704804</t>
  </si>
  <si>
    <t>Gerade Blende 1 Gehäuse 235x290</t>
  </si>
  <si>
    <t>0704805</t>
  </si>
  <si>
    <t>Gerade Blende 2 Gehäuse 235x290</t>
  </si>
  <si>
    <t>0704806</t>
  </si>
  <si>
    <t>Untere Blende 1 Gehäuse 235x290</t>
  </si>
  <si>
    <t>0704807</t>
  </si>
  <si>
    <t>Untere Blende 2 Gehäuse 235x290</t>
  </si>
  <si>
    <t>0704808</t>
  </si>
  <si>
    <t>Vorrats-be-kon.halter Abräumung a-y6</t>
  </si>
  <si>
    <t>0704809</t>
  </si>
  <si>
    <t>Befestigungskonsole kpl.190x290 RSA Laby</t>
  </si>
  <si>
    <t>0704810</t>
  </si>
  <si>
    <t>Befestigungskonsole kpl.290x330 RSA Laby              1</t>
  </si>
  <si>
    <t>0704811</t>
  </si>
  <si>
    <t>Bügel für Seilumlenkung N1/N3 Ecotube</t>
  </si>
  <si>
    <t>0704812</t>
  </si>
  <si>
    <t>Bügel für Seilumlenkung N7 Ecotube</t>
  </si>
  <si>
    <t>0704813</t>
  </si>
  <si>
    <t>Revisionsdeckel gerade Blende 290x330</t>
  </si>
  <si>
    <t>0704814</t>
  </si>
  <si>
    <t>Abdeckung Federseilrolle Ecotube</t>
  </si>
  <si>
    <t>0704815</t>
  </si>
  <si>
    <t>0704816</t>
  </si>
  <si>
    <t>Seitendeckel, rechts, Gegenseite 190x200</t>
  </si>
  <si>
    <t>0704817</t>
  </si>
  <si>
    <t>0704818</t>
  </si>
  <si>
    <t>Seitendeckel, links, Gegenseite 190x200</t>
  </si>
  <si>
    <t>0704819</t>
  </si>
  <si>
    <t>Stoßverbinder Kant.2 Führschie. 235x190</t>
  </si>
  <si>
    <t>0704820</t>
  </si>
  <si>
    <t>Abstandshalter Einlaufkantung 109x235</t>
  </si>
  <si>
    <t>0704821</t>
  </si>
  <si>
    <t>Abstandshalter Einlaufkantung 109x190</t>
  </si>
  <si>
    <t>0704822</t>
  </si>
  <si>
    <t>Grundplatte Abräumung Schwenkrolle a-sr</t>
  </si>
  <si>
    <t>0704823</t>
  </si>
  <si>
    <t>Grundplatte Gegenlager Abräumung  a-sr</t>
  </si>
  <si>
    <t>0704824</t>
  </si>
  <si>
    <t>Flachstahl Gegenlager Abräumung</t>
  </si>
  <si>
    <t>0704825</t>
  </si>
  <si>
    <t>Rundstahl Gegenlager Abräumung  a-sr</t>
  </si>
  <si>
    <t>0704826</t>
  </si>
  <si>
    <t>Lagerung Schwenkrolle Abräumung  a-sr</t>
  </si>
  <si>
    <t>0704827</t>
  </si>
  <si>
    <t>Winkel Schwenkrolle Abräumung  a-sr</t>
  </si>
  <si>
    <t>0704828</t>
  </si>
  <si>
    <t>Rohr Schwenkrolle Abräumung  a-sr-u1h</t>
  </si>
  <si>
    <t>0704829</t>
  </si>
  <si>
    <t>Gegenlagerplatte 190x250 (Blechteil)</t>
  </si>
  <si>
    <t>0704830</t>
  </si>
  <si>
    <t>U-Kantung Schwenkrolle Abräumung  a-sr</t>
  </si>
  <si>
    <t>0704831</t>
  </si>
  <si>
    <t>0704832</t>
  </si>
  <si>
    <t>0704833</t>
  </si>
  <si>
    <t>0704834</t>
  </si>
  <si>
    <t>0704835</t>
  </si>
  <si>
    <t>Basisblech Gehäuse Windowshield</t>
  </si>
  <si>
    <t>0704836</t>
  </si>
  <si>
    <t>Blende Gehäuse Windowshield</t>
  </si>
  <si>
    <t>0704837</t>
  </si>
  <si>
    <t>Auslaufkantung Gehäuse Windowshield</t>
  </si>
  <si>
    <t>0704838</t>
  </si>
  <si>
    <t>Einlaufkantung  Windowshield</t>
  </si>
  <si>
    <t>0704839</t>
  </si>
  <si>
    <t>Führungsschiene Wandseite rechts</t>
  </si>
  <si>
    <t>0704840</t>
  </si>
  <si>
    <t>Führungsschiene Raumseite rechts</t>
  </si>
  <si>
    <t>0704843</t>
  </si>
  <si>
    <t>Klemmscheibe Wickelrohr Windowshield</t>
  </si>
  <si>
    <t>0704844</t>
  </si>
  <si>
    <t>Führungsscheibe Wickelrohr  Windowshield</t>
  </si>
  <si>
    <t>0704845</t>
  </si>
  <si>
    <t>Handrad Windowshield</t>
  </si>
  <si>
    <t>0704846</t>
  </si>
  <si>
    <t>Feststellwippe Windowshield</t>
  </si>
  <si>
    <t>0704847</t>
  </si>
  <si>
    <t>Schmelzlot mit Bolzen Windowshield EW</t>
  </si>
  <si>
    <t>0704848</t>
  </si>
  <si>
    <t>Halter für Gläsflässchen</t>
  </si>
  <si>
    <t>0704849</t>
  </si>
  <si>
    <t>Abdeckblech für Glasflässchen</t>
  </si>
  <si>
    <t>0704852</t>
  </si>
  <si>
    <t>Gewindestange  Wickelrohr Windowshield</t>
  </si>
  <si>
    <t>0704854</t>
  </si>
  <si>
    <t>Führungsschiene Wandseite links</t>
  </si>
  <si>
    <t>0704857</t>
  </si>
  <si>
    <t>0704858</t>
  </si>
  <si>
    <t>Gegenlagerrohr 50/100 lang Ecoshield                  2</t>
  </si>
  <si>
    <t>0704862</t>
  </si>
  <si>
    <t>U-Kantung für Schmelzlotverriegelung</t>
  </si>
  <si>
    <t>0704870</t>
  </si>
  <si>
    <t>Enddeckel obere Lamelle rechts OC-NG Nie</t>
  </si>
  <si>
    <t>0704871</t>
  </si>
  <si>
    <t>Enddeckel obere Lamelle links OC-NG Nie</t>
  </si>
  <si>
    <t>0704872</t>
  </si>
  <si>
    <t>Enddeckel mittl.Lamelle rechts OC-NG Nie</t>
  </si>
  <si>
    <t>0704873</t>
  </si>
  <si>
    <t>Enddeckel mittl.Lamelle links OC-NG Nie</t>
  </si>
  <si>
    <t>0704874</t>
  </si>
  <si>
    <t>Enddeckel untereLamelleEFrechtsOC-NGNie</t>
  </si>
  <si>
    <t>0704875</t>
  </si>
  <si>
    <t>Enddeckel untereLamelleEFlinksOC-NGNie</t>
  </si>
  <si>
    <t>0704876</t>
  </si>
  <si>
    <t>Gerade Blende Revisionsöffnung</t>
  </si>
  <si>
    <t>0704877</t>
  </si>
  <si>
    <t>0704879</t>
  </si>
  <si>
    <t>Dichtprofil rechts FS 80E</t>
  </si>
  <si>
    <t>0704880</t>
  </si>
  <si>
    <t>Dichtprofil links FS 80E</t>
  </si>
  <si>
    <t>0704881</t>
  </si>
  <si>
    <t>Deckel Revision 190x200 RS/FSA rechts</t>
  </si>
  <si>
    <t>0704893</t>
  </si>
  <si>
    <t>Deckel Revision 235x290 rechts RS/FSA</t>
  </si>
  <si>
    <t>0704896</t>
  </si>
  <si>
    <t>Distanzplatte f. Ausfädelung 3mm OC</t>
  </si>
  <si>
    <t>0704897</t>
  </si>
  <si>
    <t>Distanzplatte f. Ausfädelung 5mm OC</t>
  </si>
  <si>
    <t>0704898</t>
  </si>
  <si>
    <t>Führungsblech Abschlussleiste</t>
  </si>
  <si>
    <t>0704899</t>
  </si>
  <si>
    <t>Einsteckrohr 50/100</t>
  </si>
  <si>
    <t>0704901</t>
  </si>
  <si>
    <t>Klemmscheibe Windowsshield EW</t>
  </si>
  <si>
    <t>0704902</t>
  </si>
  <si>
    <t>Blende Gehäuse Windowsshield-EW</t>
  </si>
  <si>
    <t>0704903</t>
  </si>
  <si>
    <t>Auslaufkantung Gehäuse Windowsshield EW</t>
  </si>
  <si>
    <t>0704905</t>
  </si>
  <si>
    <t>Kantung Führungsschiene Wandseite re</t>
  </si>
  <si>
    <t>0704906</t>
  </si>
  <si>
    <t>Kantung Führungsschiene Wandseite li</t>
  </si>
  <si>
    <t>0704907</t>
  </si>
  <si>
    <t>Kantung Führungsschiene Raumseitseite re</t>
  </si>
  <si>
    <t>0704908</t>
  </si>
  <si>
    <t>Kantung Führungsschiene Raumseitseite li</t>
  </si>
  <si>
    <t>0704909</t>
  </si>
  <si>
    <t>0704910</t>
  </si>
  <si>
    <t>Führungsscheibe  Windowsshield EW</t>
  </si>
  <si>
    <t>0704911</t>
  </si>
  <si>
    <t>Feststellwippe Teil 1</t>
  </si>
  <si>
    <t>0704912</t>
  </si>
  <si>
    <t>Feststellwippe Teil 2  Windowshield EW</t>
  </si>
  <si>
    <t>0704913</t>
  </si>
  <si>
    <t>Abdeckblech Glasfläschen Windowshield EW</t>
  </si>
  <si>
    <t>0704914</t>
  </si>
  <si>
    <t>Klemmung Wickelrohr Fibershield-W</t>
  </si>
  <si>
    <t>0704916</t>
  </si>
  <si>
    <t>Bleigranulat / Pb Sb 0,5 - 0,5-1,3 mm</t>
  </si>
  <si>
    <t>0704917</t>
  </si>
  <si>
    <t>Bodenaussteifung rechts Wandmontage</t>
  </si>
  <si>
    <t>0704918</t>
  </si>
  <si>
    <t>Stoßverbinder untere Blende</t>
  </si>
  <si>
    <t>0704919</t>
  </si>
  <si>
    <t>Untere Blende Auslaufkantung Fibersh EW</t>
  </si>
  <si>
    <t>0704920</t>
  </si>
  <si>
    <t>Dichtungsprofil Gehäuse Fibershield EW</t>
  </si>
  <si>
    <t>0704921</t>
  </si>
  <si>
    <t>Lagerblech Fibershield EW 120</t>
  </si>
  <si>
    <t>0704922</t>
  </si>
  <si>
    <t>Seitendeckel links Fibershield EW</t>
  </si>
  <si>
    <t>0704923</t>
  </si>
  <si>
    <t>Seitendeckel rechts Fibershield EW</t>
  </si>
  <si>
    <t>0704924</t>
  </si>
  <si>
    <t>Lagerplatteführung links Fibershield EW</t>
  </si>
  <si>
    <t>0704925</t>
  </si>
  <si>
    <t>Lagerplatteführung rechts Fibershield EW</t>
  </si>
  <si>
    <t>0704926</t>
  </si>
  <si>
    <t>Lagerplatte Motorseite li Fibershield EW</t>
  </si>
  <si>
    <t>0704927</t>
  </si>
  <si>
    <t>Lagerplatte Motorgegenseite links EW</t>
  </si>
  <si>
    <t>0704928</t>
  </si>
  <si>
    <t>Lagerplatte Motorseite rechts EW</t>
  </si>
  <si>
    <t>0704929</t>
  </si>
  <si>
    <t>Gegenlagerplatte rechts Fibershield EW</t>
  </si>
  <si>
    <t>0704930</t>
  </si>
  <si>
    <t>Fixierblech f. Lagerplatte</t>
  </si>
  <si>
    <t>0704931</t>
  </si>
  <si>
    <t>Stützrollenhalter Fibershield EW</t>
  </si>
  <si>
    <t>0704932</t>
  </si>
  <si>
    <t>Stützrolle Fibershield EW</t>
  </si>
  <si>
    <t>0704933</t>
  </si>
  <si>
    <t>Dichtprofil Wandseite rechts Führungs-</t>
  </si>
  <si>
    <t>0704934</t>
  </si>
  <si>
    <t>Dichtprofil Raumseite rechts Führungs-</t>
  </si>
  <si>
    <t>0704935</t>
  </si>
  <si>
    <t>Bodenaussteifung links Wandmontage</t>
  </si>
  <si>
    <t>0704936</t>
  </si>
  <si>
    <t>Bodenaussteifung Laibungsmontage</t>
  </si>
  <si>
    <t>0704937</t>
  </si>
  <si>
    <t>Blech für Abschlussleiste</t>
  </si>
  <si>
    <t>0704938</t>
  </si>
  <si>
    <t>Abschlussleiste Fiberschield EW komplett</t>
  </si>
  <si>
    <t>0704940</t>
  </si>
  <si>
    <t>Laufring für Wickelrohr 70/108</t>
  </si>
  <si>
    <t>0704943</t>
  </si>
  <si>
    <t>Stoßverbinder Auslaufkante Moducoil</t>
  </si>
  <si>
    <t>0704944</t>
  </si>
  <si>
    <t>Enddeckel untereLamelleEGlinksOC-NGNie</t>
  </si>
  <si>
    <t>0704945</t>
  </si>
  <si>
    <t>Enddeckel untereLamelleEGrechtsOC-NGNie</t>
  </si>
  <si>
    <t>0704946</t>
  </si>
  <si>
    <t>Stoßverbinder Abschlussleiste FSA Decke</t>
  </si>
  <si>
    <t>0704947</t>
  </si>
  <si>
    <t>Stoßverbinder 23x23 Moducoil</t>
  </si>
  <si>
    <t>0704948</t>
  </si>
  <si>
    <t>Hilfskantung Enddeckel untere Lamelle</t>
  </si>
  <si>
    <t>0704949</t>
  </si>
  <si>
    <t>Winkel78x35x3  Uni-B</t>
  </si>
  <si>
    <t>0704953</t>
  </si>
  <si>
    <t>Abdeckung 600 W Inverter</t>
  </si>
  <si>
    <t>0704954</t>
  </si>
  <si>
    <t>Gerade Blende 190x200</t>
  </si>
  <si>
    <t>0704955</t>
  </si>
  <si>
    <t>Untere Blende, feste Lagerung Rev unten</t>
  </si>
  <si>
    <t>0704956</t>
  </si>
  <si>
    <t>Untere Blende, Anfangsgehäuse, 190x200</t>
  </si>
  <si>
    <t>0704957</t>
  </si>
  <si>
    <t>Untere Blende Endgehäuse 190x200</t>
  </si>
  <si>
    <t>0704958</t>
  </si>
  <si>
    <t>Gerade Blende 190x250 RS/FSA</t>
  </si>
  <si>
    <t>0704961</t>
  </si>
  <si>
    <t>Gerade Blende Revision Einzelgehäuse</t>
  </si>
  <si>
    <t>0704962</t>
  </si>
  <si>
    <t>Gerade Blende Revision Anfangsgehäuse</t>
  </si>
  <si>
    <t>0704963</t>
  </si>
  <si>
    <t>Untere Blende mit Revisionsöffnung</t>
  </si>
  <si>
    <t>0704964</t>
  </si>
  <si>
    <t>Untere Blende 235x290 REvision</t>
  </si>
  <si>
    <t>0704965</t>
  </si>
  <si>
    <t>Revisionsdeckel rechts 190x250</t>
  </si>
  <si>
    <t>0704966</t>
  </si>
  <si>
    <t>Revisionsdeckel links 190x250</t>
  </si>
  <si>
    <t>0704967</t>
  </si>
  <si>
    <t>Deckel Revision 235x290 schwim, rechts</t>
  </si>
  <si>
    <t>0704968</t>
  </si>
  <si>
    <t>Deckel Revision 235x290 schwim, links</t>
  </si>
  <si>
    <t>0704969</t>
  </si>
  <si>
    <t>Blechstreifen 46x3 Obere Lam Niedr. OC</t>
  </si>
  <si>
    <t>0704970</t>
  </si>
  <si>
    <t>Blechstreifen 56x3 Obere Lam Niedr. OC</t>
  </si>
  <si>
    <t>0704971</t>
  </si>
  <si>
    <t>0704973</t>
  </si>
  <si>
    <t>Abschlußblech f. feder.Abschlußleiste Mo</t>
  </si>
  <si>
    <t>0704974</t>
  </si>
  <si>
    <t>Blechstreifen 995x39x3 ASL-Führung</t>
  </si>
  <si>
    <t>0704975</t>
  </si>
  <si>
    <t>Aufnahme Lineardämpfer RGT v. u. n. o.</t>
  </si>
  <si>
    <t>0704976</t>
  </si>
  <si>
    <t>Abhängung  900-1500 mm komplett                       1</t>
  </si>
  <si>
    <t>0704977</t>
  </si>
  <si>
    <t>Abhängung 1500-2100 mm komplett                       1</t>
  </si>
  <si>
    <t>0704978</t>
  </si>
  <si>
    <t>Fuß oben Abhängung Deckenmontage</t>
  </si>
  <si>
    <t>0704979</t>
  </si>
  <si>
    <t>Fuß unten Abhängung Deckenmontage</t>
  </si>
  <si>
    <t>0704980</t>
  </si>
  <si>
    <t>U-oben Abhängung 1500-2100  mm</t>
  </si>
  <si>
    <t>0704981</t>
  </si>
  <si>
    <t>U-unten Abhängung 1500-2100  mm</t>
  </si>
  <si>
    <t>0704982</t>
  </si>
  <si>
    <t>U-oben Abhängung 900-1500 mm</t>
  </si>
  <si>
    <t>0704983</t>
  </si>
  <si>
    <t>U-unten Abhängung 900-1500 mm</t>
  </si>
  <si>
    <t>0704984</t>
  </si>
  <si>
    <t>Stützrolle kpl. Fibershield EW</t>
  </si>
  <si>
    <t>0704985</t>
  </si>
  <si>
    <t>Gehäuse Stripecoil</t>
  </si>
  <si>
    <t>0704986</t>
  </si>
  <si>
    <t>Auslaufkantung rechts Stripecoil</t>
  </si>
  <si>
    <t>0704987</t>
  </si>
  <si>
    <t>Auslaufkantung links Stripecoil</t>
  </si>
  <si>
    <t>0704988</t>
  </si>
  <si>
    <t>Enddeckel Stripecoil</t>
  </si>
  <si>
    <t>0704989</t>
  </si>
  <si>
    <t>Wickelbefestigung Motorseite Stripecoil</t>
  </si>
  <si>
    <t>0704990</t>
  </si>
  <si>
    <t>Wickelbefestigung Gegenlager Stripecoil</t>
  </si>
  <si>
    <t>0704991</t>
  </si>
  <si>
    <t>Auslaufrollenwinkel rechts Stripecoil</t>
  </si>
  <si>
    <t>0704992</t>
  </si>
  <si>
    <t>Auslaufrollenwinkel links Stripecoil</t>
  </si>
  <si>
    <t>0704993</t>
  </si>
  <si>
    <t>0704994</t>
  </si>
  <si>
    <t>Montagewinkel für Festfeld RS/FSA 3mm</t>
  </si>
  <si>
    <t>0704995</t>
  </si>
  <si>
    <t>Stellblech Stripecoil</t>
  </si>
  <si>
    <t>0704996</t>
  </si>
  <si>
    <t>Untere Abdeckung Führungsschiene</t>
  </si>
  <si>
    <t>0704997</t>
  </si>
  <si>
    <t>Mittelkonsole rechts  Stripecoil</t>
  </si>
  <si>
    <t>0704998</t>
  </si>
  <si>
    <t>Mittelkonsole links  Stripecoil</t>
  </si>
  <si>
    <t>0704999</t>
  </si>
  <si>
    <t>Verstärkungsblech  Stripecoil</t>
  </si>
  <si>
    <t>0705001</t>
  </si>
  <si>
    <t>0705002</t>
  </si>
  <si>
    <t>Hydraulikrohr 38 x 3,0                                1</t>
  </si>
  <si>
    <t>0705003</t>
  </si>
  <si>
    <t>0705004</t>
  </si>
  <si>
    <t>0705005</t>
  </si>
  <si>
    <t>Profilrohr 40 x 25 x 2</t>
  </si>
  <si>
    <t>0705006</t>
  </si>
  <si>
    <t>0705007</t>
  </si>
  <si>
    <t>0705008</t>
  </si>
  <si>
    <t>0705009</t>
  </si>
  <si>
    <t>0705010</t>
  </si>
  <si>
    <t>Helm - Laufschiene  # 400</t>
  </si>
  <si>
    <t>0705011</t>
  </si>
  <si>
    <t>0705012</t>
  </si>
  <si>
    <t>Profilrohr 34x34x3  blank</t>
  </si>
  <si>
    <t>0705013</t>
  </si>
  <si>
    <t>0705014</t>
  </si>
  <si>
    <t>Quadratrohr                                           1</t>
  </si>
  <si>
    <t>0705015</t>
  </si>
  <si>
    <t>Stahlhohlbauprofil</t>
  </si>
  <si>
    <t>0705016</t>
  </si>
  <si>
    <t>0705017</t>
  </si>
  <si>
    <t>0705018</t>
  </si>
  <si>
    <t>0705019</t>
  </si>
  <si>
    <t>0705020</t>
  </si>
  <si>
    <t>0705021</t>
  </si>
  <si>
    <t>Rechteckrohr</t>
  </si>
  <si>
    <t>0705022</t>
  </si>
  <si>
    <t>0705023</t>
  </si>
  <si>
    <t>0705024</t>
  </si>
  <si>
    <t>0705025</t>
  </si>
  <si>
    <t>0705026</t>
  </si>
  <si>
    <t>0705027</t>
  </si>
  <si>
    <t>0705028</t>
  </si>
  <si>
    <t>0705029</t>
  </si>
  <si>
    <t>0705030</t>
  </si>
  <si>
    <t>Stahlhohlbauprofil                                    1</t>
  </si>
  <si>
    <t>0705031</t>
  </si>
  <si>
    <t>0705032</t>
  </si>
  <si>
    <t>0705033</t>
  </si>
  <si>
    <t>Helm - Laufschiene  # 500                             1</t>
  </si>
  <si>
    <t>0705035</t>
  </si>
  <si>
    <t>Stahlrohr</t>
  </si>
  <si>
    <t>0705036</t>
  </si>
  <si>
    <t>0705037</t>
  </si>
  <si>
    <t>0705038</t>
  </si>
  <si>
    <t>0705039</t>
  </si>
  <si>
    <t>0705040</t>
  </si>
  <si>
    <t>Halfen-Montageschiene HL 28/28</t>
  </si>
  <si>
    <t>0705041</t>
  </si>
  <si>
    <t>Profilrohr                                            1</t>
  </si>
  <si>
    <t>0705043</t>
  </si>
  <si>
    <t>Gewinderohr</t>
  </si>
  <si>
    <t>0705049</t>
  </si>
  <si>
    <t>Quadratrohr</t>
  </si>
  <si>
    <t>0705051</t>
  </si>
  <si>
    <t>Präzisionsstahlrohr Ø10x1,8</t>
  </si>
  <si>
    <t>0705052</t>
  </si>
  <si>
    <t>Präzisionsstahlrohre Ø 70x1,5 blank</t>
  </si>
  <si>
    <t>0705053</t>
  </si>
  <si>
    <t>Präzisionsstahlrohre Ø10x2 blank</t>
  </si>
  <si>
    <t>0705054</t>
  </si>
  <si>
    <t>Präzisionsstahlrohre Ø15x2,5 blank</t>
  </si>
  <si>
    <t>0705055</t>
  </si>
  <si>
    <t>Präzisionsstahlrohre Ø 20x3</t>
  </si>
  <si>
    <t>0705056</t>
  </si>
  <si>
    <t>Präzisionsstahlrohre Ø 120x2 blank                    1</t>
  </si>
  <si>
    <t>0705057</t>
  </si>
  <si>
    <t>Präzisionsstahlrohr Ø 70x1,5 V2A</t>
  </si>
  <si>
    <t>0705058</t>
  </si>
  <si>
    <t>Präzisionsstahlrohre Ø 38x3,5 blank                   1</t>
  </si>
  <si>
    <t>0705059</t>
  </si>
  <si>
    <t>Präzisionsstahlrohr Ø 150x3 blank                     3</t>
  </si>
  <si>
    <t>0705060</t>
  </si>
  <si>
    <t>Profilrohr 80x50x4 schwarz</t>
  </si>
  <si>
    <t>0705061</t>
  </si>
  <si>
    <t>0705062</t>
  </si>
  <si>
    <t>Rundrohr</t>
  </si>
  <si>
    <t>0705063</t>
  </si>
  <si>
    <t>Präzisionsstahlrohr, V2A                              1</t>
  </si>
  <si>
    <t>0705066</t>
  </si>
  <si>
    <t>Stahlrohr 108x3,6 schwarz</t>
  </si>
  <si>
    <t>0705067</t>
  </si>
  <si>
    <t>Profilrohr 50x50x4 blank</t>
  </si>
  <si>
    <t>0705068</t>
  </si>
  <si>
    <t>0705069</t>
  </si>
  <si>
    <t>Präzisionsstahlrohre Ø 100 X 1,5</t>
  </si>
  <si>
    <t>0705070</t>
  </si>
  <si>
    <t>Präzisionsstahlrohr, nahtlos Ø 50x1,5</t>
  </si>
  <si>
    <t>0705071</t>
  </si>
  <si>
    <t>Präzisionsstahlrohre</t>
  </si>
  <si>
    <t>0705072</t>
  </si>
  <si>
    <t>Profilrohr 60x60x5</t>
  </si>
  <si>
    <t>0705073</t>
  </si>
  <si>
    <t>Stahlrohr- nahtlos Ø 133x4                            1</t>
  </si>
  <si>
    <t>0705074</t>
  </si>
  <si>
    <t>Präzisionsstahlrohre                                  4</t>
  </si>
  <si>
    <t>0705075</t>
  </si>
  <si>
    <t>Profilrohr 60 x 60 x 3 mm galv. verzinkt</t>
  </si>
  <si>
    <t>0705076</t>
  </si>
  <si>
    <t>Profilrohr 60x60x5 verzinkt</t>
  </si>
  <si>
    <t>0705077</t>
  </si>
  <si>
    <t>0705078</t>
  </si>
  <si>
    <t>Profilrohr                                            2</t>
  </si>
  <si>
    <t>0705079</t>
  </si>
  <si>
    <t>Präzisionsstahlrohre                                  2</t>
  </si>
  <si>
    <t>0705080</t>
  </si>
  <si>
    <t>Präzisionsstahlrohr, blank</t>
  </si>
  <si>
    <t>0705081</t>
  </si>
  <si>
    <t>0705082</t>
  </si>
  <si>
    <t>Stahlrohr                                             5</t>
  </si>
  <si>
    <t>0705083</t>
  </si>
  <si>
    <t>Stahlrohr 108x4 V2A</t>
  </si>
  <si>
    <t>0705100</t>
  </si>
  <si>
    <t>0705102</t>
  </si>
  <si>
    <t>Präzisionsstahlrohr</t>
  </si>
  <si>
    <t>0705104</t>
  </si>
  <si>
    <t>Stahlhohlbauprofil                                    2</t>
  </si>
  <si>
    <t>0705105</t>
  </si>
  <si>
    <t>0705107</t>
  </si>
  <si>
    <t>Profilrohr 120x60x3 blank / schwarz                   2</t>
  </si>
  <si>
    <t>0705108</t>
  </si>
  <si>
    <t>Profilrohr 120x60x2 galv. verzinkt</t>
  </si>
  <si>
    <t>0705109</t>
  </si>
  <si>
    <t>0705110</t>
  </si>
  <si>
    <t>Profilrohr 120x60x2  GS</t>
  </si>
  <si>
    <t>0705150</t>
  </si>
  <si>
    <t>Profilrohr                                            4</t>
  </si>
  <si>
    <t>0705155</t>
  </si>
  <si>
    <t>0705156</t>
  </si>
  <si>
    <t>0705157</t>
  </si>
  <si>
    <t>0705158</t>
  </si>
  <si>
    <t>0705159</t>
  </si>
  <si>
    <t>Profilrohr Q 100*5                                    1</t>
  </si>
  <si>
    <t>0705201</t>
  </si>
  <si>
    <t>Ovalrohr (Flachovalrohr), geschweißt</t>
  </si>
  <si>
    <t>0705202</t>
  </si>
  <si>
    <t>Präzisionsstahlrohre, Grundiert, Nahtlos</t>
  </si>
  <si>
    <t>0705203</t>
  </si>
  <si>
    <t>Präzisionsstahlrohr rund 160x3                        1</t>
  </si>
  <si>
    <t>0705204</t>
  </si>
  <si>
    <t>Stahlrohre, nahtlos, DIN 2448</t>
  </si>
  <si>
    <t>0705205</t>
  </si>
  <si>
    <t>0705206</t>
  </si>
  <si>
    <t>0705207</t>
  </si>
  <si>
    <t>0705208</t>
  </si>
  <si>
    <t>0705211</t>
  </si>
  <si>
    <t>0705212</t>
  </si>
  <si>
    <t>Rundrohr , nahtlos Ø 38x3</t>
  </si>
  <si>
    <t>0705213</t>
  </si>
  <si>
    <t>Präzisionsstahlrohr 40x3</t>
  </si>
  <si>
    <t>0705216</t>
  </si>
  <si>
    <t>0705217</t>
  </si>
  <si>
    <t>Profilrohr 60x20x2 blank</t>
  </si>
  <si>
    <t>0705218</t>
  </si>
  <si>
    <t>0705219</t>
  </si>
  <si>
    <t>0705220</t>
  </si>
  <si>
    <t>Stahlrohr, geschweißt                                 1</t>
  </si>
  <si>
    <t>0705221</t>
  </si>
  <si>
    <t>Ovalrohr (Flachovalrohr),                             1</t>
  </si>
  <si>
    <t>0705301</t>
  </si>
  <si>
    <t>0705302</t>
  </si>
  <si>
    <t>Präzisionsstahlrohr Ø 20x2 VA</t>
  </si>
  <si>
    <t>0705303</t>
  </si>
  <si>
    <t>0705304</t>
  </si>
  <si>
    <t>Edelstahlrohr                                         1</t>
  </si>
  <si>
    <t>0705305</t>
  </si>
  <si>
    <t>Präzisionsstahlrohr Ø 16x1,5 V2A</t>
  </si>
  <si>
    <t>0705501</t>
  </si>
  <si>
    <t>0706001</t>
  </si>
  <si>
    <t>Helm - Laufschiene # 100</t>
  </si>
  <si>
    <t>0706002</t>
  </si>
  <si>
    <t>Helm - Laufschiene # 200</t>
  </si>
  <si>
    <t>0706004</t>
  </si>
  <si>
    <t>Helm - Laufschiene # 300                              1</t>
  </si>
  <si>
    <t>0706006</t>
  </si>
  <si>
    <t>Helm - Laufschiene # 600                              2</t>
  </si>
  <si>
    <t>0706098</t>
  </si>
  <si>
    <t>0706999</t>
  </si>
  <si>
    <t>Rundstahl Ø 30 verzinkt</t>
  </si>
  <si>
    <t>0707000</t>
  </si>
  <si>
    <t>Rundstahl, konserviert (rot)</t>
  </si>
  <si>
    <t>0707001</t>
  </si>
  <si>
    <t>Rundstahl, blank</t>
  </si>
  <si>
    <t>0707002</t>
  </si>
  <si>
    <t>Rundstahl</t>
  </si>
  <si>
    <t>0707003</t>
  </si>
  <si>
    <t>0707004</t>
  </si>
  <si>
    <t>Rundstahl Ø  20  blank</t>
  </si>
  <si>
    <t>0707005</t>
  </si>
  <si>
    <t>0707006</t>
  </si>
  <si>
    <t>0707007</t>
  </si>
  <si>
    <t>Rundstahl Ø 30mm schwarz</t>
  </si>
  <si>
    <t>0707008</t>
  </si>
  <si>
    <t>Rundstahl  nicht benutzen</t>
  </si>
  <si>
    <t>0707009</t>
  </si>
  <si>
    <t>0707010</t>
  </si>
  <si>
    <t>Rundstahl                                             2</t>
  </si>
  <si>
    <t>0707011</t>
  </si>
  <si>
    <t>Rundstahl nicht benutzen</t>
  </si>
  <si>
    <t>0707012</t>
  </si>
  <si>
    <t>0707013</t>
  </si>
  <si>
    <t>0707014</t>
  </si>
  <si>
    <t>0707015</t>
  </si>
  <si>
    <t>Rundstahl  4 mm</t>
  </si>
  <si>
    <t>0707016</t>
  </si>
  <si>
    <t>0707017</t>
  </si>
  <si>
    <t>Rundstahl 17</t>
  </si>
  <si>
    <t>0707018</t>
  </si>
  <si>
    <t>Rundstahl 15</t>
  </si>
  <si>
    <t>0707019</t>
  </si>
  <si>
    <t>Rundstahl 4</t>
  </si>
  <si>
    <t>0707020</t>
  </si>
  <si>
    <t>0707021</t>
  </si>
  <si>
    <t>0707022</t>
  </si>
  <si>
    <t>0707023</t>
  </si>
  <si>
    <t>0707024</t>
  </si>
  <si>
    <t>Rundstahl 10</t>
  </si>
  <si>
    <t>0707025</t>
  </si>
  <si>
    <t>0707026</t>
  </si>
  <si>
    <t>Rundstahl                                             1</t>
  </si>
  <si>
    <t>0707027</t>
  </si>
  <si>
    <t>Rundstahl 35</t>
  </si>
  <si>
    <t>0707028</t>
  </si>
  <si>
    <t>0707029</t>
  </si>
  <si>
    <t>Rundstahl 6 mm, verzinkt</t>
  </si>
  <si>
    <t>0707030</t>
  </si>
  <si>
    <t>0707031</t>
  </si>
  <si>
    <t>Rundstahl für verstell. Kettenumlenkung</t>
  </si>
  <si>
    <t>0707032</t>
  </si>
  <si>
    <t>Rund-Stahl für Kettenumlenkung RGT V2A</t>
  </si>
  <si>
    <t>0707033</t>
  </si>
  <si>
    <t>Bügel Abrollstopp 190x200/250 RS/FSA</t>
  </si>
  <si>
    <t>0707034</t>
  </si>
  <si>
    <t>Stange für BZ-Wippe kurz</t>
  </si>
  <si>
    <t>0707035</t>
  </si>
  <si>
    <t>Stange für BZ-Wippe lang</t>
  </si>
  <si>
    <t>0707036</t>
  </si>
  <si>
    <t>Bügel Abrollstopp 235x290 RS / FSA</t>
  </si>
  <si>
    <t>0707037</t>
  </si>
  <si>
    <t>Bügel Abrollstopp 255x320 RS / FSA</t>
  </si>
  <si>
    <t>0707038</t>
  </si>
  <si>
    <t>Führungsrohr, kurz, 1120 mm lang                     16</t>
  </si>
  <si>
    <t>0707039</t>
  </si>
  <si>
    <t>Führungsrohr kurz, 1120 mm                           16</t>
  </si>
  <si>
    <t>0707040</t>
  </si>
  <si>
    <t>Führungsrohr lang, 1420 mm lang                      18</t>
  </si>
  <si>
    <t>0707041</t>
  </si>
  <si>
    <t>Führungsrohr lang, 1420 mm                           18</t>
  </si>
  <si>
    <t>0707042</t>
  </si>
  <si>
    <t>Führungsbolzen incl. M6 x 35 A2                       1</t>
  </si>
  <si>
    <t>0707043</t>
  </si>
  <si>
    <t>Rundstahl d=40mm blank                                1</t>
  </si>
  <si>
    <t>0707049</t>
  </si>
  <si>
    <t>Rundstahl 20</t>
  </si>
  <si>
    <t>0707050</t>
  </si>
  <si>
    <t>V2A-Rundstahl 12</t>
  </si>
  <si>
    <t>0707051</t>
  </si>
  <si>
    <t>V2A-Rundstahl 16</t>
  </si>
  <si>
    <t>0707052</t>
  </si>
  <si>
    <t>V2A-Rundstahl 30</t>
  </si>
  <si>
    <t>0707053</t>
  </si>
  <si>
    <t>V2A-Rundstahl  9</t>
  </si>
  <si>
    <t>0707054</t>
  </si>
  <si>
    <t>U-Stahl 38x60x38x4, scharfkantig</t>
  </si>
  <si>
    <t>0707055</t>
  </si>
  <si>
    <t>U-Stahl 25x50x25x3, scharfkantig</t>
  </si>
  <si>
    <t>0707056</t>
  </si>
  <si>
    <t>U-Stahl 30x50x30x4, scharfkantig</t>
  </si>
  <si>
    <t>0707057</t>
  </si>
  <si>
    <t>0707058</t>
  </si>
  <si>
    <t>Rundstahl  Ø 25 blank</t>
  </si>
  <si>
    <t>0707059</t>
  </si>
  <si>
    <t>Rundstahl Ø 30mm blank</t>
  </si>
  <si>
    <t>0707060</t>
  </si>
  <si>
    <t>Rundstahl, konserviert/grundiert</t>
  </si>
  <si>
    <t>0707061</t>
  </si>
  <si>
    <t>0707062</t>
  </si>
  <si>
    <t>V2A-Vierkantstahl 10, blank</t>
  </si>
  <si>
    <t>0707063</t>
  </si>
  <si>
    <t>V2A-Rundstahl 17</t>
  </si>
  <si>
    <t>0707064</t>
  </si>
  <si>
    <t>Rundstahl Ø 18 , konserviert/grundiert</t>
  </si>
  <si>
    <t>0707065</t>
  </si>
  <si>
    <t>0708001</t>
  </si>
  <si>
    <t>Flachstahl Schieberführung 40x4 Uni B</t>
  </si>
  <si>
    <t>Kantenschutzwinkel , innen 40/20/1</t>
  </si>
  <si>
    <t>0708003</t>
  </si>
  <si>
    <t>U-Profil aus</t>
  </si>
  <si>
    <t>0708004</t>
  </si>
  <si>
    <t>Führungsschiene für RSV, stahl-blech-ver</t>
  </si>
  <si>
    <t>0708006</t>
  </si>
  <si>
    <t>0708007</t>
  </si>
  <si>
    <t>Rauchdichtungswinkel 40x8x1</t>
  </si>
  <si>
    <t>0708008</t>
  </si>
  <si>
    <t>Kantenschutzwinkel  40x30x1</t>
  </si>
  <si>
    <t>0708009</t>
  </si>
  <si>
    <t>Zwischenstrebe im Schieber für</t>
  </si>
  <si>
    <t>0708010</t>
  </si>
  <si>
    <t>C-Profil</t>
  </si>
  <si>
    <t>0708011</t>
  </si>
  <si>
    <t>Kantenschutzwinkel , außen</t>
  </si>
  <si>
    <t>0708012</t>
  </si>
  <si>
    <t>Führungsschiene für RSV mit Rolle</t>
  </si>
  <si>
    <t>0708013</t>
  </si>
  <si>
    <t>Flachstahl Schieberführung 35x8 Uni B</t>
  </si>
  <si>
    <t>0708014</t>
  </si>
  <si>
    <t>Schieberführung 50-er Uni-B</t>
  </si>
  <si>
    <t>0708015</t>
  </si>
  <si>
    <t>Schieberführung 80-er Uni-B</t>
  </si>
  <si>
    <t>0708016</t>
  </si>
  <si>
    <t>U-Profil stahl-blech-verzinkt-3</t>
  </si>
  <si>
    <t>0708017</t>
  </si>
  <si>
    <t>Gehäuse für verstellbare Kettenumlenkung</t>
  </si>
  <si>
    <t>0708018</t>
  </si>
  <si>
    <t>Gehäuse für Kettenumlenkung RGT V2A</t>
  </si>
  <si>
    <t>0708019</t>
  </si>
  <si>
    <t>Blechzuschnitt aus stahl-blech</t>
  </si>
  <si>
    <t>0708020</t>
  </si>
  <si>
    <t>Blechzuschnitt aus stahl-blech-verzinkt</t>
  </si>
  <si>
    <t>0708021</t>
  </si>
  <si>
    <t>Kantung Gurtumlenkung 25 mm / Uni-B</t>
  </si>
  <si>
    <t>Blechzuschnitt</t>
  </si>
  <si>
    <t>0708022</t>
  </si>
  <si>
    <t>Führungsschiene für PN/Ecotube aus</t>
  </si>
  <si>
    <t>0708023</t>
  </si>
  <si>
    <t>Coolseal-Profil für OC</t>
  </si>
  <si>
    <t>0708024</t>
  </si>
  <si>
    <t>Führung für RGT Gewicht klein</t>
  </si>
  <si>
    <t>0708025</t>
  </si>
  <si>
    <t>Führung für RGT Gewicht groß</t>
  </si>
  <si>
    <t>0708026</t>
  </si>
  <si>
    <t>0708027</t>
  </si>
  <si>
    <t>Führungsstück für Tauchrolle RGT</t>
  </si>
  <si>
    <t>0708028</t>
  </si>
  <si>
    <t>Kantung 50-er Führung  Uni-B</t>
  </si>
  <si>
    <t>0708029</t>
  </si>
  <si>
    <t>Kantung für 80er Führung</t>
  </si>
  <si>
    <t>0708030</t>
  </si>
  <si>
    <t>Kantenschutzwinkel</t>
  </si>
  <si>
    <t>0708031</t>
  </si>
  <si>
    <t>Kantung Tauchrolleführung</t>
  </si>
  <si>
    <t>0708032</t>
  </si>
  <si>
    <t>Kantung-50 U=60</t>
  </si>
  <si>
    <t>0708037</t>
  </si>
  <si>
    <t>0708038</t>
  </si>
  <si>
    <t>Tauchnrollen-Führung</t>
  </si>
  <si>
    <t>0708039</t>
  </si>
  <si>
    <t>Führung-50 für Tauchrolle</t>
  </si>
  <si>
    <t>0708040</t>
  </si>
  <si>
    <t>Kantenschutzwinkel, außen 40x30x1</t>
  </si>
  <si>
    <t>0708041</t>
  </si>
  <si>
    <t>Kantenschutzwinkel, innen, 40x20x1</t>
  </si>
  <si>
    <t>0708042</t>
  </si>
  <si>
    <t>Führungsschiene für Röllchen für FSV                  1</t>
  </si>
  <si>
    <t>0708043</t>
  </si>
  <si>
    <t>Flachstahl-Zusatzgewicht zwi. Schrauben</t>
  </si>
  <si>
    <t>0708045</t>
  </si>
  <si>
    <t>Führungsschienenprofil,wandseitig , OC</t>
  </si>
  <si>
    <t>0708046</t>
  </si>
  <si>
    <t>Führung für UNIVERSAL BZ Grips rechts</t>
  </si>
  <si>
    <t>0708047</t>
  </si>
  <si>
    <t>Führung für UNIVERSAL BZ Grips links</t>
  </si>
  <si>
    <t>0708048</t>
  </si>
  <si>
    <t>Zeigerstange für Ecotube</t>
  </si>
  <si>
    <t>0708049</t>
  </si>
  <si>
    <t>Flachstahl-Zusatz zwi. Schrauben RS/FSA</t>
  </si>
  <si>
    <t>0708051</t>
  </si>
  <si>
    <t>Abschlußleistenführung links Fl</t>
  </si>
  <si>
    <t>0708052</t>
  </si>
  <si>
    <t>Abschlußleistenführung rechts Fl</t>
  </si>
  <si>
    <t>0708053</t>
  </si>
  <si>
    <t>Abschlußabkantung OC</t>
  </si>
  <si>
    <t>0708054</t>
  </si>
  <si>
    <t>Führungsschienenprofil OC</t>
  </si>
  <si>
    <t>0708055</t>
  </si>
  <si>
    <t>Führungsschienendeckel OC</t>
  </si>
  <si>
    <t>0708057</t>
  </si>
  <si>
    <t>Führungsschiene-165 RSV, stahl-blech-ver</t>
  </si>
  <si>
    <t>0708058</t>
  </si>
  <si>
    <t>Winkel OC                                             1</t>
  </si>
  <si>
    <t>0708059</t>
  </si>
  <si>
    <t>Rahmenprofil für Smart-Panel                          1</t>
  </si>
  <si>
    <t>0708062</t>
  </si>
  <si>
    <t>Wandwinkel für FAA Festfeld System VO</t>
  </si>
  <si>
    <t>0708063</t>
  </si>
  <si>
    <t>0708064</t>
  </si>
  <si>
    <t>0708065</t>
  </si>
  <si>
    <t>0708066</t>
  </si>
  <si>
    <t>Führungsschiene RSV/FSV AR links</t>
  </si>
  <si>
    <t>0708067</t>
  </si>
  <si>
    <t>Führungsschiene RSV/FSV AR rechts</t>
  </si>
  <si>
    <t>0708070</t>
  </si>
  <si>
    <t>0708071</t>
  </si>
  <si>
    <t>0708072</t>
  </si>
  <si>
    <t>Führungsschiene RSV/FSV AR wandbefest.</t>
  </si>
  <si>
    <t>0708073</t>
  </si>
  <si>
    <t>Flachstahl Abschlussleiste Röllchen</t>
  </si>
  <si>
    <t>0708074</t>
  </si>
  <si>
    <t>Winkelblech f.Abschl.leistenführung RS</t>
  </si>
  <si>
    <t>0708075</t>
  </si>
  <si>
    <t>0708076</t>
  </si>
  <si>
    <t>Verkrallung Wand 12/16-B OC                           5</t>
  </si>
  <si>
    <t>0708077</t>
  </si>
  <si>
    <t>Seitliche Führung Anbauteile 12-B OC</t>
  </si>
  <si>
    <t>länge              4</t>
  </si>
  <si>
    <t>Seitliche Führung 12-B OC längen                      3</t>
  </si>
  <si>
    <t>stück              4</t>
  </si>
  <si>
    <t>Seitliche Führung 12-B OC stück                      13</t>
  </si>
  <si>
    <t>0708078</t>
  </si>
  <si>
    <t>Ausfädelung 12/16-B OC</t>
  </si>
  <si>
    <t>0708079</t>
  </si>
  <si>
    <t>Seitliche Führung Anbauteile 16-B OC                 25</t>
  </si>
  <si>
    <t>Seitliche Führung 16-B OC längen                      6</t>
  </si>
  <si>
    <t>Seitliche Führung 16-B OC stück                      13</t>
  </si>
  <si>
    <t>0708080</t>
  </si>
  <si>
    <t>Seitliche Führung 16+16-B OC                         25</t>
  </si>
  <si>
    <t>Seitliche Führung 16+16-B OC längen                   6</t>
  </si>
  <si>
    <t>Seitliche Führung 16+16-B OC stück                   13</t>
  </si>
  <si>
    <t>0708090</t>
  </si>
  <si>
    <t>Führungswandprofil,</t>
  </si>
  <si>
    <t>0708091</t>
  </si>
  <si>
    <t>Basiswandprofil, gelocht auf der</t>
  </si>
  <si>
    <t>0708092</t>
  </si>
  <si>
    <t>Führungsprofil gelocht u. ausgeklingt</t>
  </si>
  <si>
    <t>0708093</t>
  </si>
  <si>
    <t>0708094</t>
  </si>
  <si>
    <t>Gleitstück Einlaufschuh hori klein RGT</t>
  </si>
  <si>
    <t>0708095</t>
  </si>
  <si>
    <t>Gleitstück Einlaufschuh hori gross RGT</t>
  </si>
  <si>
    <t>0708096</t>
  </si>
  <si>
    <t>Führungss. Stange re. wandmont. RS/FSV</t>
  </si>
  <si>
    <t>0708097</t>
  </si>
  <si>
    <t>Führungss. Stange li. wandmont. RS/FSV</t>
  </si>
  <si>
    <t>0708098</t>
  </si>
  <si>
    <t>Führungss. Stange re. laibungsmt. RS/FSV</t>
  </si>
  <si>
    <t>0708099</t>
  </si>
  <si>
    <t>Führungss. Stange li. laibungsmt. RS/FSV</t>
  </si>
  <si>
    <t>0708100</t>
  </si>
  <si>
    <t>Blechgehäuse für kl. Kettenumlenkung</t>
  </si>
  <si>
    <t>0708101</t>
  </si>
  <si>
    <t>Gleitstück Einlauf seitl.Führung RS/FSA</t>
  </si>
  <si>
    <t>0708112</t>
  </si>
  <si>
    <t>Verpackung aus Produktion</t>
  </si>
  <si>
    <t>0708117</t>
  </si>
  <si>
    <t>Steuerung für Fibershield HC Typ 1</t>
  </si>
  <si>
    <t>0708118</t>
  </si>
  <si>
    <t>Steuerung für Fibershield HC Typ 2</t>
  </si>
  <si>
    <t>0708119</t>
  </si>
  <si>
    <t>Steuerung für Fibershield HC Typ 3                 1.80</t>
  </si>
  <si>
    <t>0708121</t>
  </si>
  <si>
    <t>Steuerung für Fibershield HC Typ 4</t>
  </si>
  <si>
    <t>0708123</t>
  </si>
  <si>
    <t>Steuerung für Fibershield I EI Typ 1</t>
  </si>
  <si>
    <t>0708124</t>
  </si>
  <si>
    <t>Steuerung für Fibershield I EI Typ 2               1.07</t>
  </si>
  <si>
    <t>0708125</t>
  </si>
  <si>
    <t>Steuerung für Fibershield I EI Typ 3</t>
  </si>
  <si>
    <t>0708126</t>
  </si>
  <si>
    <t>Steuerung für Fibershield I EI Typ 4</t>
  </si>
  <si>
    <t>0708135</t>
  </si>
  <si>
    <t>0708136</t>
  </si>
  <si>
    <t>Zuschnitt aus Original Werstoff "S" grün</t>
  </si>
  <si>
    <t>0708137</t>
  </si>
  <si>
    <t>0708138</t>
  </si>
  <si>
    <t>0708139</t>
  </si>
  <si>
    <t>Präzisionsstahlrohr Ø 70x1,5 verzinkt</t>
  </si>
  <si>
    <t>0708140</t>
  </si>
  <si>
    <t>0708144</t>
  </si>
  <si>
    <t>Präzisionsstahlrohre                                  1</t>
  </si>
  <si>
    <t>0708145</t>
  </si>
  <si>
    <t>Stahlrohre Ø 38x3                                     1</t>
  </si>
  <si>
    <t>0708146</t>
  </si>
  <si>
    <t>einza Zinkofan RAL 7001 silbergrau                    1</t>
  </si>
  <si>
    <t>0708147</t>
  </si>
  <si>
    <t>Satina Seidenglanz RAL 9002                           1</t>
  </si>
  <si>
    <t>0708148</t>
  </si>
  <si>
    <t>Feinblech  t=3,0  1,5x3m  V2A  240K                  26</t>
  </si>
  <si>
    <t>0708149</t>
  </si>
  <si>
    <t>Herkutex Gewebe, Breite 775 mm                        4</t>
  </si>
  <si>
    <t>0708150</t>
  </si>
  <si>
    <t>Gegenlager komplett, feste Lagerung                   2</t>
  </si>
  <si>
    <t>0708151</t>
  </si>
  <si>
    <t>Tubotex / Breite 1.530mmm                             1</t>
  </si>
  <si>
    <t>0708152</t>
  </si>
  <si>
    <t>Gurtband querelastisch                               24</t>
  </si>
  <si>
    <t>0708153</t>
  </si>
  <si>
    <t>Reparaturgebinde Sealcone A/B, 60 ml                 78</t>
  </si>
  <si>
    <t>0708154</t>
  </si>
  <si>
    <t>Teflonband, selbstklebend</t>
  </si>
  <si>
    <t>0708155</t>
  </si>
  <si>
    <t>Aufkleber Werbung Stoebich 150 x 60 mm                3</t>
  </si>
  <si>
    <t>0708156</t>
  </si>
  <si>
    <t>Aufkleber Werbung Stoebich 80 x 30 mm                 3</t>
  </si>
  <si>
    <t>Knauf Fireboard Platten 12,5 mm                       1</t>
  </si>
  <si>
    <t>0708158</t>
  </si>
  <si>
    <t>0708159</t>
  </si>
  <si>
    <t>Feinblech                                            28</t>
  </si>
  <si>
    <t>0708160</t>
  </si>
  <si>
    <t>Feinblech                                            16</t>
  </si>
  <si>
    <t>Gipsplatte mit faserarmierten Gipskernen</t>
  </si>
  <si>
    <t>0708162</t>
  </si>
  <si>
    <t>Protex 1100 A2, 815 mm breit</t>
  </si>
  <si>
    <t>0708163</t>
  </si>
  <si>
    <t>Lackfarbe RAL 5010, Seidenglanz                       1</t>
  </si>
  <si>
    <t>0708164</t>
  </si>
  <si>
    <t>Satina Seidenglanz RAL 9001                           1</t>
  </si>
  <si>
    <t>0708165</t>
  </si>
  <si>
    <t>Rundstahl, konserviert (rot) Ø 16</t>
  </si>
  <si>
    <t>0708166</t>
  </si>
  <si>
    <t>Reparaturpaste PU-V4A                                69</t>
  </si>
  <si>
    <t>0708167</t>
  </si>
  <si>
    <t>Reparaturpaste PU                                    69</t>
  </si>
  <si>
    <t>0708168</t>
  </si>
  <si>
    <t>Reparaturpaste Silikon                                2</t>
  </si>
  <si>
    <t>0708169</t>
  </si>
  <si>
    <t>Gabelhubwagenrad                                      3</t>
  </si>
  <si>
    <t>0708171</t>
  </si>
  <si>
    <t>0708172</t>
  </si>
  <si>
    <t>0708173</t>
  </si>
  <si>
    <t>Modutex 600-A2, 400mm</t>
  </si>
  <si>
    <t>0708174</t>
  </si>
  <si>
    <t>Modutex 600-A2, 600mm</t>
  </si>
  <si>
    <t>0708175</t>
  </si>
  <si>
    <t>Feinblech                                            40</t>
  </si>
  <si>
    <t>0708176</t>
  </si>
  <si>
    <t>Hinweisschild Ø 100 mm</t>
  </si>
  <si>
    <t>0708178</t>
  </si>
  <si>
    <t>Novavlies weiss</t>
  </si>
  <si>
    <t>0708179</t>
  </si>
  <si>
    <t>Modulkarton 305 x 215 x 215 mm</t>
  </si>
  <si>
    <t>Kettenrad KRF mit 1-seit. Nabe                        1</t>
  </si>
  <si>
    <t>0708181</t>
  </si>
  <si>
    <t>Rillenkugellager 6202 / 2Z</t>
  </si>
  <si>
    <t>0708182</t>
  </si>
  <si>
    <t>Hearsafe HS-ER 20</t>
  </si>
  <si>
    <t>0708183</t>
  </si>
  <si>
    <t>Protex 1100 A2, 1.540 mm breit                        3</t>
  </si>
  <si>
    <t>0708184</t>
  </si>
  <si>
    <t>Tragrolle Serie 1700                                  1</t>
  </si>
  <si>
    <t>0708185</t>
  </si>
  <si>
    <t>Kraftsprühkleber Plus</t>
  </si>
  <si>
    <t>0708186</t>
  </si>
  <si>
    <t>0708187</t>
  </si>
  <si>
    <t>Bundbuchse EP 22</t>
  </si>
  <si>
    <t>0708188</t>
  </si>
  <si>
    <t>Buchse, Bohrung 20 mm</t>
  </si>
  <si>
    <t>0708189</t>
  </si>
  <si>
    <t>Distanzring                                           4</t>
  </si>
  <si>
    <t>0708190</t>
  </si>
  <si>
    <t>Sprühlack Dose</t>
  </si>
  <si>
    <t>0708191</t>
  </si>
  <si>
    <t>0708196</t>
  </si>
  <si>
    <t>Stahlrohr                                             7</t>
  </si>
  <si>
    <t>0708197</t>
  </si>
  <si>
    <t>0708198</t>
  </si>
  <si>
    <t>Rillenkugellager 626 2Z</t>
  </si>
  <si>
    <t>0708199</t>
  </si>
  <si>
    <t>Rillenkugellager 6304 2ZR</t>
  </si>
  <si>
    <t>0708200</t>
  </si>
  <si>
    <t>Seilrolle D=80                                        3</t>
  </si>
  <si>
    <t>0708201</t>
  </si>
  <si>
    <t>0708202</t>
  </si>
  <si>
    <t>0708203</t>
  </si>
  <si>
    <t>Seilrolle einfach D=80                                3</t>
  </si>
  <si>
    <t>0708204</t>
  </si>
  <si>
    <t>Lagerhalter D20                                       2</t>
  </si>
  <si>
    <t>0708205</t>
  </si>
  <si>
    <t>Andruckrolle                                          4</t>
  </si>
  <si>
    <t>0708206</t>
  </si>
  <si>
    <t>Anbaukonsole links                                   30</t>
  </si>
  <si>
    <t>0708207</t>
  </si>
  <si>
    <t>Anbaukonsole rechts                                  30</t>
  </si>
  <si>
    <t>0708208</t>
  </si>
  <si>
    <t>Lackfarbe RAL 7035, Seidenglanz                       1</t>
  </si>
  <si>
    <t>0708209</t>
  </si>
  <si>
    <t>Fakolith FK 44 grau                                   2</t>
  </si>
  <si>
    <t>0708210</t>
  </si>
  <si>
    <t>Fakolith FK 45 Basic Primer farbig                    2</t>
  </si>
  <si>
    <t>0708211</t>
  </si>
  <si>
    <t>Fakolith FK 45 Epoxidharzlack                         2</t>
  </si>
  <si>
    <t>0708212</t>
  </si>
  <si>
    <t>Protex 1100.1 A2, 300 mm breit                        1</t>
  </si>
  <si>
    <t>0708213</t>
  </si>
  <si>
    <t>Protex 1100 1S, 300 mm breit                          1</t>
  </si>
  <si>
    <t>0708214</t>
  </si>
  <si>
    <t>Spange 300 links</t>
  </si>
  <si>
    <t>0708215</t>
  </si>
  <si>
    <t>Spange 300 rechts</t>
  </si>
  <si>
    <t>0708216</t>
  </si>
  <si>
    <t>Hinterlegblech</t>
  </si>
  <si>
    <t>0708217</t>
  </si>
  <si>
    <t>Sperrklinke</t>
  </si>
  <si>
    <t>0708218</t>
  </si>
  <si>
    <t>Gasfederplatte</t>
  </si>
  <si>
    <t>0708219</t>
  </si>
  <si>
    <t>Rohrring Ø 203x6 - 108x3,6</t>
  </si>
  <si>
    <t>0708220</t>
  </si>
  <si>
    <t>Sperrscheibe</t>
  </si>
  <si>
    <t>0708221</t>
  </si>
  <si>
    <t>Verkrallungshebel Unterteil</t>
  </si>
  <si>
    <t>0708222</t>
  </si>
  <si>
    <t>0708223</t>
  </si>
  <si>
    <t>Einschweißnabe f. Tapperspannbuchse 1610              1</t>
  </si>
  <si>
    <t>0708224</t>
  </si>
  <si>
    <t>Taper-Spannbuchse 1610</t>
  </si>
  <si>
    <t>0708225</t>
  </si>
  <si>
    <t>0708226</t>
  </si>
  <si>
    <t>Motorwelle mit Passfeder                              4</t>
  </si>
  <si>
    <t>0708227</t>
  </si>
  <si>
    <t>Zugfeder RZ-109 I</t>
  </si>
  <si>
    <t>0708228</t>
  </si>
  <si>
    <t>Sechskantkopfschraube V2A M16x1,5</t>
  </si>
  <si>
    <t>0708229</t>
  </si>
  <si>
    <t>Profil Nr. 400 Niro                                   6</t>
  </si>
  <si>
    <t>0708231</t>
  </si>
  <si>
    <t>Übersteckmuffe Nr. 1404 Niro                          1</t>
  </si>
  <si>
    <t>0708232</t>
  </si>
  <si>
    <t>Rollapparat Nr. 491 - Niro -                          5</t>
  </si>
  <si>
    <t>0708233</t>
  </si>
  <si>
    <t>Gewindestange                                        12</t>
  </si>
  <si>
    <t>0708234</t>
  </si>
  <si>
    <t>0708235</t>
  </si>
  <si>
    <t>Protex 600 A2, 855 mm brreit</t>
  </si>
  <si>
    <t>0708236</t>
  </si>
  <si>
    <t>Edelstahlfolie, selbstklebend                         1</t>
  </si>
  <si>
    <t>0708237</t>
  </si>
  <si>
    <t>Aufkleber Hinweisschild Copy-Cap</t>
  </si>
  <si>
    <t>0708239</t>
  </si>
  <si>
    <t>Weidmüller Endwinkel                                  7</t>
  </si>
  <si>
    <t>0708240</t>
  </si>
  <si>
    <t>Weidmüller Schildträger                               2</t>
  </si>
  <si>
    <t>0708241</t>
  </si>
  <si>
    <t>Weidmüller Schutzleiterklemme                        23</t>
  </si>
  <si>
    <t>0708242</t>
  </si>
  <si>
    <t>Weidmüller Abschlussplatte                            1</t>
  </si>
  <si>
    <t>0708243</t>
  </si>
  <si>
    <t>Weidmüller Sicherungsklemme                          19</t>
  </si>
  <si>
    <t>0708244</t>
  </si>
  <si>
    <t>Weidmüller Abschlußplatte                             1</t>
  </si>
  <si>
    <t>0708245</t>
  </si>
  <si>
    <t>Weidmüller Abschluss- und Zwischenplatte              2</t>
  </si>
  <si>
    <t>0708246</t>
  </si>
  <si>
    <t>Axial Kugellagerring</t>
  </si>
  <si>
    <t>0708248</t>
  </si>
  <si>
    <t>Putzband PVC gerippt</t>
  </si>
  <si>
    <t>Induktiver Sensor NBN12-18GM50-E0-V1                  1</t>
  </si>
  <si>
    <t>0708255</t>
  </si>
  <si>
    <t>Profitec Verbindungssatz 2-Polig</t>
  </si>
  <si>
    <t>0708256</t>
  </si>
  <si>
    <t>Rechteckrohr                                         11</t>
  </si>
  <si>
    <t>0708257</t>
  </si>
  <si>
    <t>Stahlträger                                           4</t>
  </si>
  <si>
    <t>0708262</t>
  </si>
  <si>
    <t>Helm - Laufschiene  # 500                             9</t>
  </si>
  <si>
    <t>0708264</t>
  </si>
  <si>
    <t>Helm - Laufschiene  # 500                          1.25</t>
  </si>
  <si>
    <t>0708269</t>
  </si>
  <si>
    <t>Brandschutzstein CFS-BL P</t>
  </si>
  <si>
    <t>0708270</t>
  </si>
  <si>
    <t>Brandschutzfüllmasse CFS-FIL</t>
  </si>
  <si>
    <t>0708272</t>
  </si>
  <si>
    <t>Flach-Aluminium</t>
  </si>
  <si>
    <t>0708273</t>
  </si>
  <si>
    <t>0708274</t>
  </si>
  <si>
    <t>Senkschraube M10 x 180</t>
  </si>
  <si>
    <t>0708275</t>
  </si>
  <si>
    <t>0708276</t>
  </si>
  <si>
    <t>Augenschraube</t>
  </si>
  <si>
    <t>0708277</t>
  </si>
  <si>
    <t>Setzmutter</t>
  </si>
  <si>
    <t>0708279</t>
  </si>
  <si>
    <t>0708281</t>
  </si>
  <si>
    <t>Feinblech  t=1,0  1,5x3m  V4A  220K                  25</t>
  </si>
  <si>
    <t>0708282</t>
  </si>
  <si>
    <t>Feinblech  t=1,5  1,5x3m  V4A  220K                  37</t>
  </si>
  <si>
    <t>0708283</t>
  </si>
  <si>
    <t>Feinblech  t=2,0  1,5x3m  V4A  220K                  50</t>
  </si>
  <si>
    <t>0708284</t>
  </si>
  <si>
    <t>Scheibe Ø = 146 mm</t>
  </si>
  <si>
    <t>0708285</t>
  </si>
  <si>
    <t>Antriebswelle für Flachgetriebemotor</t>
  </si>
  <si>
    <t>0708286</t>
  </si>
  <si>
    <t>Einschweißnabe f. Tapperspannbuchse 2517              1</t>
  </si>
  <si>
    <t>0708287</t>
  </si>
  <si>
    <t>Taper-Spannbuchse 2517</t>
  </si>
  <si>
    <t>0708288</t>
  </si>
  <si>
    <t>0708289</t>
  </si>
  <si>
    <t>Kugelflanschlager UCF 210                             2</t>
  </si>
  <si>
    <t>0708290</t>
  </si>
  <si>
    <t>Passfeder DIN 6885 12x8x35mm</t>
  </si>
  <si>
    <t>0708291</t>
  </si>
  <si>
    <t>Passfeder DIN 6885 16x10x45mm</t>
  </si>
  <si>
    <t>0708292</t>
  </si>
  <si>
    <t>Passfeder DIN 6885 12x8x70mm</t>
  </si>
  <si>
    <t>0708293</t>
  </si>
  <si>
    <t>Fangvorrichtung TA 2/3-RD                            15</t>
  </si>
  <si>
    <t>0708294</t>
  </si>
  <si>
    <t>0708295</t>
  </si>
  <si>
    <t>Stahlrohr, geschweißt fix 300 mm                      1</t>
  </si>
  <si>
    <t>0708296</t>
  </si>
  <si>
    <t>Profilrohr 30x30x2</t>
  </si>
  <si>
    <t>0708297</t>
  </si>
  <si>
    <t>Sonatex 10 dB, grau                                   2</t>
  </si>
  <si>
    <t>0708298</t>
  </si>
  <si>
    <t>Oelflex halogenfrei 12 x 1,5 mm²</t>
  </si>
  <si>
    <t>0708299</t>
  </si>
  <si>
    <t>Siemens Drucktaster m. flachem Druckknop</t>
  </si>
  <si>
    <t>0708300</t>
  </si>
  <si>
    <t>0708301</t>
  </si>
  <si>
    <t>Siemens Schlüsselschalter  RONIS                      1</t>
  </si>
  <si>
    <t>0708302</t>
  </si>
  <si>
    <t>Siemens Leergehäuse Kunststoff 3 Befehls</t>
  </si>
  <si>
    <t>0708304</t>
  </si>
  <si>
    <t>Siemens Bezeichnungsschild selbstklebend</t>
  </si>
  <si>
    <t>0708305</t>
  </si>
  <si>
    <t>0708306</t>
  </si>
  <si>
    <t>0708308</t>
  </si>
  <si>
    <t>Durchsteckanker HST M10x160/80                        4</t>
  </si>
  <si>
    <t>0708309</t>
  </si>
  <si>
    <t>Wago Compact-Netzgerät, primär getaktet               6</t>
  </si>
  <si>
    <t>0708310</t>
  </si>
  <si>
    <t>Rittal Wandschrank 760x760x310                       11</t>
  </si>
  <si>
    <t>0708311</t>
  </si>
  <si>
    <t>Umrichter Movitrac 4,0kW 3x500V  9,5A                49</t>
  </si>
  <si>
    <t>0708312</t>
  </si>
  <si>
    <t>Rolle Rollerdrive .                                  19</t>
  </si>
  <si>
    <t>0708313</t>
  </si>
  <si>
    <t>Klemmenkästen KL ohne Flansch                         4</t>
  </si>
  <si>
    <t>0708314</t>
  </si>
  <si>
    <t>Montageplatte KL 1573.700 , verzinkt                  1</t>
  </si>
  <si>
    <t>0708315</t>
  </si>
  <si>
    <t>Schlüsselschalter EATON                               3</t>
  </si>
  <si>
    <t>0708316</t>
  </si>
  <si>
    <t>Oelflex-Classic 110H halogenfrei  3G2,5</t>
  </si>
  <si>
    <t>0708317</t>
  </si>
  <si>
    <t>Oelflex-Classic 110H halogenfrei  12G1,5</t>
  </si>
  <si>
    <t>0708318</t>
  </si>
  <si>
    <t>Stahl-PanzerRohr M40 verzinkt                         1</t>
  </si>
  <si>
    <t>0708319</t>
  </si>
  <si>
    <t>Geteilter Klemmring aus Stahl</t>
  </si>
  <si>
    <t>0708320</t>
  </si>
  <si>
    <t>OBO Rohr-Abstandschelle 733/40</t>
  </si>
  <si>
    <t>0708321</t>
  </si>
  <si>
    <t>HKL Endtülle 1590 M40</t>
  </si>
  <si>
    <t>0708322</t>
  </si>
  <si>
    <t>UMB-U Umschaltbox 400V                               13</t>
  </si>
  <si>
    <t>0708323</t>
  </si>
  <si>
    <t>Vorwärts-/Rückwärtszähler EC442-230SWLED</t>
  </si>
  <si>
    <t>0708324</t>
  </si>
  <si>
    <t>Vorwahlzähler Emko EZM-4430                           6</t>
  </si>
  <si>
    <t>0708325</t>
  </si>
  <si>
    <t>Mantelleitung NHXMH-J 12 x 1,5 RE Tr 100             20</t>
  </si>
  <si>
    <t>0708326</t>
  </si>
  <si>
    <t>Fernmeldekabel J-H(ST)H 2x2x0,8gr Ri.100              5</t>
  </si>
  <si>
    <t>0708327</t>
  </si>
  <si>
    <t>OBO BETT. BKS-Klemmschelle 8-28 mm 1973               2</t>
  </si>
  <si>
    <t>0708328</t>
  </si>
  <si>
    <t>CIMCO Kati-Blitz-Compact-Set 30m 14 2024          12.80</t>
  </si>
  <si>
    <t>0708329</t>
  </si>
  <si>
    <t>CIMCO Service Set fürKatiBlitz 14 2150             2.19</t>
  </si>
  <si>
    <t>0708330</t>
  </si>
  <si>
    <t>Buchse</t>
  </si>
  <si>
    <t>0708331</t>
  </si>
  <si>
    <t>Buchse Ø 20 B20</t>
  </si>
  <si>
    <t>0708332</t>
  </si>
  <si>
    <t>Pilz Not-Aus Schaltgerät PNOZ X2P                    15</t>
  </si>
  <si>
    <t>0708333</t>
  </si>
  <si>
    <t>IDC Brandkabelverbinder 7-polig</t>
  </si>
  <si>
    <t>0708334</t>
  </si>
  <si>
    <t>Stiftleiste von Samtec, 20-polig</t>
  </si>
  <si>
    <t>0708335</t>
  </si>
  <si>
    <t>Brandschutzplatte RCK PROROX</t>
  </si>
  <si>
    <t>0708336</t>
  </si>
  <si>
    <t>Protex 600, 1.540 mm breit, schwarz                   2</t>
  </si>
  <si>
    <t>0708337</t>
  </si>
  <si>
    <t>Fischer Innengewindeanker RG MI</t>
  </si>
  <si>
    <t>0708338</t>
  </si>
  <si>
    <t>Fischer Reaktionspatrone RSB M 12</t>
  </si>
  <si>
    <t>0708339</t>
  </si>
  <si>
    <t>Ecotex 1100-A2 Plus, 1.540 mm                         2</t>
  </si>
  <si>
    <t>0708340</t>
  </si>
  <si>
    <t>0708343</t>
  </si>
  <si>
    <t>Rolle Rollerdrive .                                  18</t>
  </si>
  <si>
    <t>0708344</t>
  </si>
  <si>
    <t>Führungsrolle d 32 mm V2A</t>
  </si>
  <si>
    <t>0708345</t>
  </si>
  <si>
    <t>Führungsrolle d 32 mm</t>
  </si>
  <si>
    <t>0708346</t>
  </si>
  <si>
    <t>Lochplattenwinkel LOPL-WNKL-40X40X60MM</t>
  </si>
  <si>
    <t>0708347</t>
  </si>
  <si>
    <t>0708348</t>
  </si>
  <si>
    <t>Passfeder DIN 6885 12 x 8 x 45 mm</t>
  </si>
  <si>
    <t>0708349</t>
  </si>
  <si>
    <t>Gewindestange M14</t>
  </si>
  <si>
    <t>0708350</t>
  </si>
  <si>
    <t>Stahlrohr, geschw.                                    2</t>
  </si>
  <si>
    <t>0708351</t>
  </si>
  <si>
    <t>Kettenrad KRT 16 B-1 1"x17,02mm 21 Zähne              5</t>
  </si>
  <si>
    <t>0708352</t>
  </si>
  <si>
    <t>Kugelflanschlager SSBPFL 207                          2</t>
  </si>
  <si>
    <t>0708353</t>
  </si>
  <si>
    <t>0708354</t>
  </si>
  <si>
    <t>0708355</t>
  </si>
  <si>
    <t>Hohldeckenanker W-HD M6</t>
  </si>
  <si>
    <t>0708356</t>
  </si>
  <si>
    <t>0708357</t>
  </si>
  <si>
    <t>Rolle Rollerdrive .                                   1</t>
  </si>
  <si>
    <t>0708358</t>
  </si>
  <si>
    <t>Futterrohr N7 NW 250                               1.80</t>
  </si>
  <si>
    <t>0708359</t>
  </si>
  <si>
    <t>Futterrohr N7 NW 315                               2.20</t>
  </si>
  <si>
    <t>0708360</t>
  </si>
  <si>
    <t>Rohrsatz inkl. 2 Stk. Losflansche                    15</t>
  </si>
  <si>
    <t>0708361</t>
  </si>
  <si>
    <t>Rohrsatz inkl. 2 Stk. Losflansche                    17</t>
  </si>
  <si>
    <t>0708362</t>
  </si>
  <si>
    <t>Schraubanker HUS3-C 10x100 45/25/15</t>
  </si>
  <si>
    <t>0708363</t>
  </si>
  <si>
    <t>Durchsteckanker HST M10X200/120                       5</t>
  </si>
  <si>
    <t>0708364</t>
  </si>
  <si>
    <t>Durchsteckanker HST M12X215/120                       9</t>
  </si>
  <si>
    <t>0708366</t>
  </si>
  <si>
    <t>Ratschenzurrgurt</t>
  </si>
  <si>
    <t>0708367</t>
  </si>
  <si>
    <t>Führungsrolle</t>
  </si>
  <si>
    <t>0708368</t>
  </si>
  <si>
    <t>0708369</t>
  </si>
  <si>
    <t>Konsole Motor Umlenkrolle                             6</t>
  </si>
  <si>
    <t>0708370</t>
  </si>
  <si>
    <t>0708371</t>
  </si>
  <si>
    <t>Feinblech                                            36</t>
  </si>
  <si>
    <t>0708372</t>
  </si>
  <si>
    <t>Profil 40 x 40 (4E LP)                                2</t>
  </si>
  <si>
    <t>0708373</t>
  </si>
  <si>
    <t>Feinblech                                            19</t>
  </si>
  <si>
    <t>0708374</t>
  </si>
  <si>
    <t>Feinblech  t=0,8  1,25x4m  V2A  ung                  18</t>
  </si>
  <si>
    <t>0708375</t>
  </si>
  <si>
    <t>Papierolle für Verpackungsmaterial                    9</t>
  </si>
  <si>
    <t>0708376</t>
  </si>
  <si>
    <t>0708377</t>
  </si>
  <si>
    <t>Futterrohr N1                                        22</t>
  </si>
  <si>
    <t>0708378</t>
  </si>
  <si>
    <t>Futterrohr N1                                        19</t>
  </si>
  <si>
    <t>0708379</t>
  </si>
  <si>
    <t>0708380</t>
  </si>
  <si>
    <t>Rohrsatz                                             15</t>
  </si>
  <si>
    <t>0708381</t>
  </si>
  <si>
    <t>0708382</t>
  </si>
  <si>
    <t>Rohrsatz                                             27</t>
  </si>
  <si>
    <t>0708383</t>
  </si>
  <si>
    <t>Stahlrohr, nahtlos                                    6</t>
  </si>
  <si>
    <t>0708384</t>
  </si>
  <si>
    <t>Stellring, Gewindestift mit Schlitz                   1</t>
  </si>
  <si>
    <t>0708386</t>
  </si>
  <si>
    <t>Stahlrohr, nahtlos Ø 203  x6,3                        4</t>
  </si>
  <si>
    <t>0708387</t>
  </si>
  <si>
    <t>Gasdruckfeder GS-22-150-AA-650                        1</t>
  </si>
  <si>
    <t>0708388</t>
  </si>
  <si>
    <t>0708389</t>
  </si>
  <si>
    <t>0708390</t>
  </si>
  <si>
    <t>Rohrhalter Distanz</t>
  </si>
  <si>
    <t>0708391</t>
  </si>
  <si>
    <t>Rohrhalter Deck</t>
  </si>
  <si>
    <t>0708392</t>
  </si>
  <si>
    <t>Aufkleber f. Schalschranke und E-Anlagen</t>
  </si>
  <si>
    <t>0708393</t>
  </si>
  <si>
    <t>0708394</t>
  </si>
  <si>
    <t>Sechskantschraube verz M16x50</t>
  </si>
  <si>
    <t>0708395</t>
  </si>
  <si>
    <t>Sechskantschraube verz M16x70</t>
  </si>
  <si>
    <t>0708396</t>
  </si>
  <si>
    <t>Sechskantschraube verz M16x120</t>
  </si>
  <si>
    <t>0708397</t>
  </si>
  <si>
    <t>Sechskantschraube verz M16x150</t>
  </si>
  <si>
    <t>0708398</t>
  </si>
  <si>
    <t>Sechskantschraube verz M18x60</t>
  </si>
  <si>
    <t>0708399</t>
  </si>
  <si>
    <t>Zylinderschraube Innensechs. verz M16x70</t>
  </si>
  <si>
    <t>0708400</t>
  </si>
  <si>
    <t>Sechskantmutter, selbstsichernd M16</t>
  </si>
  <si>
    <t>0708401</t>
  </si>
  <si>
    <t>Sechskantmutter, selbstsichernd M18</t>
  </si>
  <si>
    <t>0708402</t>
  </si>
  <si>
    <t>Paßfeder A14x9x40 ? DIN 6885</t>
  </si>
  <si>
    <t>0708403</t>
  </si>
  <si>
    <t>Paßfeder A10x8x56 ? DIN 6885</t>
  </si>
  <si>
    <t>0708404</t>
  </si>
  <si>
    <t>Protex 1100 roh                                       1</t>
  </si>
  <si>
    <t>0708405</t>
  </si>
  <si>
    <t>Taper-Spannbuchse 2012</t>
  </si>
  <si>
    <t>0708406</t>
  </si>
  <si>
    <t>0708407</t>
  </si>
  <si>
    <t>Kupplungsnabe RNT Größe 55 Ausführung IS              1</t>
  </si>
  <si>
    <t>0708408</t>
  </si>
  <si>
    <t>Flanschlagereinheit UCF212J</t>
  </si>
  <si>
    <t>0708409</t>
  </si>
  <si>
    <t>Zahnring 98 Shore A rot Baugröße 55                   1</t>
  </si>
  <si>
    <t>0708410</t>
  </si>
  <si>
    <t>Futterrohr N1                                        43</t>
  </si>
  <si>
    <t>0708411</t>
  </si>
  <si>
    <t>Rohrsatz                                             77</t>
  </si>
  <si>
    <t>0708412</t>
  </si>
  <si>
    <t>HLS-Verriegelung TV2003-50, Hotmelt,                  2</t>
  </si>
  <si>
    <t>0708413</t>
  </si>
  <si>
    <t>Satina Seidenglanz RAL 9006</t>
  </si>
  <si>
    <t>0708414</t>
  </si>
  <si>
    <t>Leichtförderrolle Serie 1100                          2</t>
  </si>
  <si>
    <t>0708415</t>
  </si>
  <si>
    <t>Profilrohr                                            3</t>
  </si>
  <si>
    <t>0708416</t>
  </si>
  <si>
    <t>Rohrsatz                                              9</t>
  </si>
  <si>
    <t>0708417</t>
  </si>
  <si>
    <t>Futterrohr N3                                        51</t>
  </si>
  <si>
    <t>0708418</t>
  </si>
  <si>
    <t>Doppelseitiges Klebeband Tesafix 4965                3</t>
  </si>
  <si>
    <t>0708420</t>
  </si>
  <si>
    <t>Gewindestange M10 -  246 mm verzinkt 8.8</t>
  </si>
  <si>
    <t>0708421</t>
  </si>
  <si>
    <t>Gewindestange M10 -  330 mm verzinkt 8.8</t>
  </si>
  <si>
    <t>0708422</t>
  </si>
  <si>
    <t>Gewindestange M10 -  395 mm verzinkt 8.8</t>
  </si>
  <si>
    <t>0708423</t>
  </si>
  <si>
    <t>Gewindestange M10 -  450 mm verzinkt 8.8</t>
  </si>
  <si>
    <t>0708424</t>
  </si>
  <si>
    <t>Gewindestange M10 -  495 mm verzinkt 8.8</t>
  </si>
  <si>
    <t>0708425</t>
  </si>
  <si>
    <t>Gewindestange M10 -  600 mm verzinkt 8.8</t>
  </si>
  <si>
    <t>0708426</t>
  </si>
  <si>
    <t>Gewindestange M12 -  246 mm verzinkt 8.8</t>
  </si>
  <si>
    <t>0708427</t>
  </si>
  <si>
    <t>Gewindestange M12 -  330 mm verzinkt 8.8</t>
  </si>
  <si>
    <t>0708428</t>
  </si>
  <si>
    <t>Gewindestange M12 -  395 mm verzinkt 8.8</t>
  </si>
  <si>
    <t>0708429</t>
  </si>
  <si>
    <t>Gewindestange M12 -  450 mm verzinkt 8.8</t>
  </si>
  <si>
    <t>0708430</t>
  </si>
  <si>
    <t>Gewindestange M12 -  495 mm verzinkt 8.8</t>
  </si>
  <si>
    <t>0708431</t>
  </si>
  <si>
    <t>ABB Leistungsschutzschalter S201-C32                  1</t>
  </si>
  <si>
    <t>0708432</t>
  </si>
  <si>
    <t>0708433</t>
  </si>
  <si>
    <t>Rohrsatz                                             16</t>
  </si>
  <si>
    <t>0708434</t>
  </si>
  <si>
    <t>0708435</t>
  </si>
  <si>
    <t>0708436</t>
  </si>
  <si>
    <t>Futterrohr N1                                        20</t>
  </si>
  <si>
    <t>0708437</t>
  </si>
  <si>
    <t>KWS Getriebekasten mit Drücker                       10</t>
  </si>
  <si>
    <t>0708438</t>
  </si>
  <si>
    <t>Futterrohr N3                                        52</t>
  </si>
  <si>
    <t>0708439</t>
  </si>
  <si>
    <t>Rohrsatz                                             17</t>
  </si>
  <si>
    <t>0708440</t>
  </si>
  <si>
    <t>0708441</t>
  </si>
  <si>
    <t>Protex 600, 1.540 mm breit, rot                       1</t>
  </si>
  <si>
    <t>0708442</t>
  </si>
  <si>
    <t>Injectionsmörtel FIS EM 390 S                         2</t>
  </si>
  <si>
    <t>0708445</t>
  </si>
  <si>
    <t>Senkschraube mit Innensechskant M12 x 70</t>
  </si>
  <si>
    <t>0708446</t>
  </si>
  <si>
    <t>Linsenschrauben mit Flansch M 8 x 30</t>
  </si>
  <si>
    <t>0708447</t>
  </si>
  <si>
    <t>Stahlrohr, nahtlos                                   51</t>
  </si>
  <si>
    <t>0708448</t>
  </si>
  <si>
    <t>Schraubanker HUS-P 6x80/25/45</t>
  </si>
  <si>
    <t>0708449</t>
  </si>
  <si>
    <t>Wellpapp-Faltkartons 260 x 160 x 65 mm             2.10</t>
  </si>
  <si>
    <t>0708450</t>
  </si>
  <si>
    <t>Klammer 80/10 RF CP</t>
  </si>
  <si>
    <t>0708451</t>
  </si>
  <si>
    <t>Schließfolgeregler SR392 Dorma                        9</t>
  </si>
  <si>
    <t>0708452</t>
  </si>
  <si>
    <t>0708453</t>
  </si>
  <si>
    <t>Paßfeder A12x8x50 ? DIN 6885</t>
  </si>
  <si>
    <t>0708454</t>
  </si>
  <si>
    <t>0708455</t>
  </si>
  <si>
    <t>0708456</t>
  </si>
  <si>
    <t>0708457</t>
  </si>
  <si>
    <t>0708458</t>
  </si>
  <si>
    <t>Futterrohr N3                                        20</t>
  </si>
  <si>
    <t>0708459</t>
  </si>
  <si>
    <t>Lackfarbe RAL 5015, Seidenglanz                       1</t>
  </si>
  <si>
    <t>0708460</t>
  </si>
  <si>
    <t>Futterrohr N3                                        39</t>
  </si>
  <si>
    <t>0708461</t>
  </si>
  <si>
    <t>0708462</t>
  </si>
  <si>
    <t>Feinblech                                            43</t>
  </si>
  <si>
    <t>0708463</t>
  </si>
  <si>
    <t>Feinblech  t=0,8  1,5x3m  V4A ung                    12</t>
  </si>
  <si>
    <t>0708464</t>
  </si>
  <si>
    <t>Sechskantschraube A2 M10x140                         11</t>
  </si>
  <si>
    <t>0708465</t>
  </si>
  <si>
    <t>Sechskantschraube A2 M12x140                         13</t>
  </si>
  <si>
    <t>0708466</t>
  </si>
  <si>
    <t>Wellpapp-Faltkartons 300 x 300 x 100 mm            1.67</t>
  </si>
  <si>
    <t>0708467</t>
  </si>
  <si>
    <t>Promaglas 90/37 Typ 1-0                              24</t>
  </si>
  <si>
    <t>0708468</t>
  </si>
  <si>
    <t>Feinblech  t=1,0 1,25x2,5m                           18</t>
  </si>
  <si>
    <t>0708469</t>
  </si>
  <si>
    <t>Sechskantschraube A2 M10x160                         25</t>
  </si>
  <si>
    <t>0708470</t>
  </si>
  <si>
    <t>Joch für außenliegenden Antrieb FlexSys               6</t>
  </si>
  <si>
    <t>0708471</t>
  </si>
  <si>
    <t>Joch für außenliegenden Antrieb FlexSys</t>
  </si>
  <si>
    <t>0708472</t>
  </si>
  <si>
    <t>Z-Kantung für Motor rechts</t>
  </si>
  <si>
    <t>0708473</t>
  </si>
  <si>
    <t>0708474</t>
  </si>
  <si>
    <t>0708475</t>
  </si>
  <si>
    <t>Seitendecke für Motor rechts</t>
  </si>
  <si>
    <t>0708476</t>
  </si>
  <si>
    <t>0708477</t>
  </si>
  <si>
    <t>Seitendecke für Motor rechts                          5</t>
  </si>
  <si>
    <t>0708478</t>
  </si>
  <si>
    <t>0708479</t>
  </si>
  <si>
    <t>Befestigungswinkel für Endschalter FRS                3</t>
  </si>
  <si>
    <t>0708480</t>
  </si>
  <si>
    <t>Antriebsritzel Ø 25 mm für Antrieb außen              9</t>
  </si>
  <si>
    <t>0708481</t>
  </si>
  <si>
    <t>Unimatic Gaszugfeder, Hub 350 mm,10 x 12</t>
  </si>
  <si>
    <t>0708482</t>
  </si>
  <si>
    <t>0708484</t>
  </si>
  <si>
    <t>0708485</t>
  </si>
  <si>
    <t>Futterrohr N3                                        48</t>
  </si>
  <si>
    <t>0708486</t>
  </si>
  <si>
    <t>Futterrohr N3                                        54</t>
  </si>
  <si>
    <t>0708487</t>
  </si>
  <si>
    <t>Rohrsatz NW 300                                      16</t>
  </si>
  <si>
    <t>0708488</t>
  </si>
  <si>
    <t>Wellengelenk, einfach                                 2</t>
  </si>
  <si>
    <t>0708489</t>
  </si>
  <si>
    <t>Fassadenfarbe RAL 9003</t>
  </si>
  <si>
    <t>0708490</t>
  </si>
  <si>
    <t>Spule MF 40                                           4</t>
  </si>
  <si>
    <t>0708491</t>
  </si>
  <si>
    <t>Dichtungsband vorkomprimiert</t>
  </si>
  <si>
    <t>0708492</t>
  </si>
  <si>
    <t>Gaszugffeder                                         20</t>
  </si>
  <si>
    <t>0708493</t>
  </si>
  <si>
    <t>0708494</t>
  </si>
  <si>
    <t>Sechskantmutter, selbstsichernd M12 verz</t>
  </si>
  <si>
    <t>0708495</t>
  </si>
  <si>
    <t>Sechskantschraube M10 x 150</t>
  </si>
  <si>
    <t>0708496</t>
  </si>
  <si>
    <t>RollenDrive EC310                                    17</t>
  </si>
  <si>
    <t>0708497</t>
  </si>
  <si>
    <t>Universalförderrolle Serie 1700                       1</t>
  </si>
  <si>
    <t>0708498</t>
  </si>
  <si>
    <t>Universalförderroll Serie 1700                        1</t>
  </si>
  <si>
    <t>0708499</t>
  </si>
  <si>
    <t>Lackschutzschlauch für M6 Schrauben 10mm</t>
  </si>
  <si>
    <t>0708500</t>
  </si>
  <si>
    <t>Lackschutzschlauch für M5 Schrauben 10mm</t>
  </si>
  <si>
    <t>0708501</t>
  </si>
  <si>
    <t>A1 Dämplatten Zuschnitte</t>
  </si>
  <si>
    <t>0708502</t>
  </si>
  <si>
    <t>Tesa-Aluminiumband Nr. 50565 silber                   1</t>
  </si>
  <si>
    <t>0708503</t>
  </si>
  <si>
    <t>Senkschraube mit Inbus M16x40 verz 8.8</t>
  </si>
  <si>
    <t>0708504</t>
  </si>
  <si>
    <t>Zylinderschraube Inbus M14x35 verz 8.8</t>
  </si>
  <si>
    <t>0708505</t>
  </si>
  <si>
    <t>Polyamidseil E3 DIN 83307 weiß</t>
  </si>
  <si>
    <t>0708506</t>
  </si>
  <si>
    <t>Unimatic Gaszugfeder, Hub 350 mm,10 x 12             13</t>
  </si>
  <si>
    <t>0708508</t>
  </si>
  <si>
    <t>0708509</t>
  </si>
  <si>
    <t>0708510</t>
  </si>
  <si>
    <t>Trafo DRUF500 0,5 kVA                                12</t>
  </si>
  <si>
    <t>0708511</t>
  </si>
  <si>
    <t>Trafo DRUE1000 1kVA                                  14</t>
  </si>
  <si>
    <t>0708512</t>
  </si>
  <si>
    <t>Trafo DRUL 500 UL-CSA 0,5kVa                         12</t>
  </si>
  <si>
    <t>0708513</t>
  </si>
  <si>
    <t>Feinblech  t=3,0  1,25x4m  V2A  240K                 46</t>
  </si>
  <si>
    <t>0708514</t>
  </si>
  <si>
    <t>0708515</t>
  </si>
  <si>
    <t>0708516</t>
  </si>
  <si>
    <t>0708517</t>
  </si>
  <si>
    <t>0708518</t>
  </si>
  <si>
    <t>0708519</t>
  </si>
  <si>
    <t>Distanzmuffe Stahl verzinkt SR10-M6x70                1</t>
  </si>
  <si>
    <t>0708520</t>
  </si>
  <si>
    <t>0708521</t>
  </si>
  <si>
    <t>Futterrohr N1                                        21</t>
  </si>
  <si>
    <t>0708522</t>
  </si>
  <si>
    <t>Typenschilder V2A                                     4</t>
  </si>
  <si>
    <t>0708523</t>
  </si>
  <si>
    <t>Typenschilder mit abP                                 5</t>
  </si>
  <si>
    <t>0708524</t>
  </si>
  <si>
    <t>0708525</t>
  </si>
  <si>
    <t>Blindniete Flachkopf 4x6</t>
  </si>
  <si>
    <t>0708526</t>
  </si>
  <si>
    <t>Blindniete Flachkopf 4x8</t>
  </si>
  <si>
    <t>0708527</t>
  </si>
  <si>
    <t>0708528</t>
  </si>
  <si>
    <t>0708529</t>
  </si>
  <si>
    <t>0708530</t>
  </si>
  <si>
    <t>0708531</t>
  </si>
  <si>
    <t>0708532</t>
  </si>
  <si>
    <t>0708533</t>
  </si>
  <si>
    <t>0708534</t>
  </si>
  <si>
    <t>Abschlußleistenprofil 7.000 mm lg.</t>
  </si>
  <si>
    <t>0708536</t>
  </si>
  <si>
    <t>Welle Turbocoil                                       4</t>
  </si>
  <si>
    <t>0708537</t>
  </si>
  <si>
    <t>Präzisionsstahlrohr, V2A                              2</t>
  </si>
  <si>
    <t>0708538</t>
  </si>
  <si>
    <t>Stahlrohr  Ø 133x4                                    8</t>
  </si>
  <si>
    <t>0708539</t>
  </si>
  <si>
    <t>0708540</t>
  </si>
  <si>
    <t>OBO - Grip "M"</t>
  </si>
  <si>
    <t>0708541</t>
  </si>
  <si>
    <t>0708542</t>
  </si>
  <si>
    <t>0708543</t>
  </si>
  <si>
    <t>0708544</t>
  </si>
  <si>
    <t>Lackfarbe                                             2</t>
  </si>
  <si>
    <t>0708545</t>
  </si>
  <si>
    <t>CW-Profil, verzinkt</t>
  </si>
  <si>
    <t>0708546</t>
  </si>
  <si>
    <t>0708547</t>
  </si>
  <si>
    <t>UW-Profil, verzinkt</t>
  </si>
  <si>
    <t>0708548</t>
  </si>
  <si>
    <t>0708549</t>
  </si>
  <si>
    <t>Wandfarbe rot RAL 3000</t>
  </si>
  <si>
    <t>0708550</t>
  </si>
  <si>
    <t>0708551</t>
  </si>
  <si>
    <t>0708552</t>
  </si>
  <si>
    <t>0708553</t>
  </si>
  <si>
    <t>0708554</t>
  </si>
  <si>
    <t>0708555</t>
  </si>
  <si>
    <t>Siemens Leergehäuse Kunststoff                        1</t>
  </si>
  <si>
    <t>0708556</t>
  </si>
  <si>
    <t>Siemens Blindverschluß schwarz</t>
  </si>
  <si>
    <t>0708557</t>
  </si>
  <si>
    <t>Fischer Gewindestange                                 9</t>
  </si>
  <si>
    <t>0708558</t>
  </si>
  <si>
    <t>0708559</t>
  </si>
  <si>
    <t>Rigips Glasroc F (Ridurit) Platten                    2</t>
  </si>
  <si>
    <t>0708560</t>
  </si>
  <si>
    <t>Fluchtwegpiktogramm                                   1</t>
  </si>
  <si>
    <t>0708561</t>
  </si>
  <si>
    <t>0708562</t>
  </si>
  <si>
    <t>Fassadenfarbe RAL 7030</t>
  </si>
  <si>
    <t>0708563</t>
  </si>
  <si>
    <t>Satina Seidenglanz RAL 1004                           1</t>
  </si>
  <si>
    <t>0708564</t>
  </si>
  <si>
    <t>Rittal Filterlüfter                                   6</t>
  </si>
  <si>
    <t>0708565</t>
  </si>
  <si>
    <t>Rittal Austrittsfilter                                1</t>
  </si>
  <si>
    <t>0708566</t>
  </si>
  <si>
    <t>Rittal Türpositionsschalter                           1</t>
  </si>
  <si>
    <t>0708567</t>
  </si>
  <si>
    <t>Rittal Schaltschrank TS 8205.500                     53</t>
  </si>
  <si>
    <t>0708568</t>
  </si>
  <si>
    <t>Siemens Zylindersicherungssockel                      2</t>
  </si>
  <si>
    <t>0708569</t>
  </si>
  <si>
    <t>Siemens Zylindersicherung 50A</t>
  </si>
  <si>
    <t>0708570</t>
  </si>
  <si>
    <t>Siemens Leuchtdrucktaster Rot                         1</t>
  </si>
  <si>
    <t>0708571</t>
  </si>
  <si>
    <t>Siemens Sicherheitskombination                        9</t>
  </si>
  <si>
    <t>0708572</t>
  </si>
  <si>
    <t>Siemens Ausschalter                                   3</t>
  </si>
  <si>
    <t>0708573</t>
  </si>
  <si>
    <t>Siemens Motorschutzschalter                           2</t>
  </si>
  <si>
    <t>0708574</t>
  </si>
  <si>
    <t>Siemens Zylindersicherung 6A</t>
  </si>
  <si>
    <t>0708575</t>
  </si>
  <si>
    <t>Wieland Reihenklemme WKFN4 D1/2/35                    5</t>
  </si>
  <si>
    <t>0708576</t>
  </si>
  <si>
    <t>Wieland Reihenklemme WKFN6 D1/2/35                   10</t>
  </si>
  <si>
    <t>0708577</t>
  </si>
  <si>
    <t>Wieland Reihenklemme WKFN10 D1/2/35                  15</t>
  </si>
  <si>
    <t>0708578</t>
  </si>
  <si>
    <t>Wieland Schutzleiterklemme WKF2,5                    14</t>
  </si>
  <si>
    <t>0708579</t>
  </si>
  <si>
    <t>Wieland Schutzleiterklemme WKFN4                     15</t>
  </si>
  <si>
    <t>0708580</t>
  </si>
  <si>
    <t>Wieland Schutzleiterklemme WKFN6                     24</t>
  </si>
  <si>
    <t>0708581</t>
  </si>
  <si>
    <t>Wieland Schutzleiterklemme WKFN10                    27</t>
  </si>
  <si>
    <t>0708582</t>
  </si>
  <si>
    <t>Wieland Bezeichnungsstreifen 1-10</t>
  </si>
  <si>
    <t>0708583</t>
  </si>
  <si>
    <t>Wieland Bezeichnungsstreifen PE</t>
  </si>
  <si>
    <t>0708584</t>
  </si>
  <si>
    <t>Wieland Bezeichnungsstreifen</t>
  </si>
  <si>
    <t>0708585</t>
  </si>
  <si>
    <t>Wieland Abschlussplatte 2,5</t>
  </si>
  <si>
    <t>0708586</t>
  </si>
  <si>
    <t>Wieland Abschlussplatte 4</t>
  </si>
  <si>
    <t>0708587</t>
  </si>
  <si>
    <t>Wieland Abschlussplatte 6</t>
  </si>
  <si>
    <t>0708588</t>
  </si>
  <si>
    <t>Wieland Abschlussplatte 10</t>
  </si>
  <si>
    <t>0708589</t>
  </si>
  <si>
    <t>Wieland Warnzeichen</t>
  </si>
  <si>
    <t>0708590</t>
  </si>
  <si>
    <t>Wago Klemme grau</t>
  </si>
  <si>
    <t>0708591</t>
  </si>
  <si>
    <t>Wago Klemme blau</t>
  </si>
  <si>
    <t>0708592</t>
  </si>
  <si>
    <t>Wago Klemme grün-gelb</t>
  </si>
  <si>
    <t>0708593</t>
  </si>
  <si>
    <t>Wago Abschlussplatte</t>
  </si>
  <si>
    <t>0708594</t>
  </si>
  <si>
    <t>Promat-Revi-Klappe Universal Typ D                   78</t>
  </si>
  <si>
    <t>0708595</t>
  </si>
  <si>
    <t>Promat-Revi-Klappe Universal Typ D                   89</t>
  </si>
  <si>
    <t>0708596</t>
  </si>
  <si>
    <t>Bremsgleichrichter  BME 1,5                           9</t>
  </si>
  <si>
    <t>0708597</t>
  </si>
  <si>
    <t>Ein-/Ausgabekarte DIO11B                              7</t>
  </si>
  <si>
    <t>0708598</t>
  </si>
  <si>
    <t>Senkschraube mit Kreuzschlitz A2 M10x100</t>
  </si>
  <si>
    <t>0708599</t>
  </si>
  <si>
    <t>Siemens Hauptschalter 3pol 32A                        2</t>
  </si>
  <si>
    <t>0708600</t>
  </si>
  <si>
    <t>Rohrsatz                                             10</t>
  </si>
  <si>
    <t>0708601</t>
  </si>
  <si>
    <t>Futterrohr N7 NW 400                               2.86</t>
  </si>
  <si>
    <t>0708602</t>
  </si>
  <si>
    <t>Rittal Sonder - TS8 Schrank                          84</t>
  </si>
  <si>
    <t>0708603</t>
  </si>
  <si>
    <t>Rittal Sonder - Seitenwand für 1800x500              21</t>
  </si>
  <si>
    <t>0708604</t>
  </si>
  <si>
    <t>0708605</t>
  </si>
  <si>
    <t>Rittal TS Anreihschnellverbinder</t>
  </si>
  <si>
    <t>0708606</t>
  </si>
  <si>
    <t>Rittal TS Sockel-Elemente V+H                         5</t>
  </si>
  <si>
    <t>0708607</t>
  </si>
  <si>
    <t>Rittal TS Sockel-Blenden seitl.                       1</t>
  </si>
  <si>
    <t>0708608</t>
  </si>
  <si>
    <t>Rittal TS Komfortgriff                                2</t>
  </si>
  <si>
    <t>0708609</t>
  </si>
  <si>
    <t>Rittal TS Scharnier,- Tür 180°                        1</t>
  </si>
  <si>
    <t>0708610</t>
  </si>
  <si>
    <t>Rittal PS Blechschaltplantasche 600mm                 1</t>
  </si>
  <si>
    <t>0708611</t>
  </si>
  <si>
    <t>Rittal SZ Kompaktleuchte 14W/ 100 - 240V              6</t>
  </si>
  <si>
    <t>0708612</t>
  </si>
  <si>
    <t>Rittal SZ Türpositionsschalter+Stecker                1</t>
  </si>
  <si>
    <t>0708613</t>
  </si>
  <si>
    <t>Rittal SZ Kunststoffhandgriff 2576                    1</t>
  </si>
  <si>
    <t>0708614</t>
  </si>
  <si>
    <t>Rittal SZ Sicherheitsschlüssel/VW-E1</t>
  </si>
  <si>
    <t>0708615</t>
  </si>
  <si>
    <t>Rittal KGH Kleingehäuse Konfigurator                  5</t>
  </si>
  <si>
    <t>0708616</t>
  </si>
  <si>
    <t>Einzelader, H05 V-K 1x1 DBU</t>
  </si>
  <si>
    <t>0708617</t>
  </si>
  <si>
    <t>Siemens Motorschutzschalter                           4</t>
  </si>
  <si>
    <t>0708618</t>
  </si>
  <si>
    <t>0708619</t>
  </si>
  <si>
    <t>Rohrhalter Distanz innen Ø 104 mm</t>
  </si>
  <si>
    <t>0708620</t>
  </si>
  <si>
    <t>Rohrhalter Deck innen Ø 104 mm</t>
  </si>
  <si>
    <t>0708621</t>
  </si>
  <si>
    <t>Rohrsatz                                             18</t>
  </si>
  <si>
    <t>0708622</t>
  </si>
  <si>
    <t>Futterrohr N7 NW 494                               3.44</t>
  </si>
  <si>
    <t>0708623</t>
  </si>
  <si>
    <t>Erweiterungsplatine mit Diode</t>
  </si>
  <si>
    <t>0708624</t>
  </si>
  <si>
    <t>Abdeckung AM-U</t>
  </si>
  <si>
    <t>0708625</t>
  </si>
  <si>
    <t>0708626</t>
  </si>
  <si>
    <t>Erweiterungsplatine ohne Diode</t>
  </si>
  <si>
    <t>0708627</t>
  </si>
  <si>
    <t>Spange, FS 160E Wandmontage</t>
  </si>
  <si>
    <t>0708628</t>
  </si>
  <si>
    <t>Bodenaussteifung links, Wandmontage</t>
  </si>
  <si>
    <t>0708629</t>
  </si>
  <si>
    <t>Bodenaussteifung rechts, Wandmontage</t>
  </si>
  <si>
    <t>0708630</t>
  </si>
  <si>
    <t>0708631</t>
  </si>
  <si>
    <t>Scheibe 120 Gegenlager fest</t>
  </si>
  <si>
    <t>0708632</t>
  </si>
  <si>
    <t>Spange Laibungs-/Nischenmontage</t>
  </si>
  <si>
    <t>0708633</t>
  </si>
  <si>
    <t>Stützscheibe D 120/70</t>
  </si>
  <si>
    <t>0708634</t>
  </si>
  <si>
    <t>Kugelgelenk für 6 mm Kugel</t>
  </si>
  <si>
    <t>0708636</t>
  </si>
  <si>
    <t>0708637</t>
  </si>
  <si>
    <t>Knauf GKF-Platten 18 mm</t>
  </si>
  <si>
    <t>0708639</t>
  </si>
  <si>
    <t>0708640</t>
  </si>
  <si>
    <t>Rohrsatz                                             13</t>
  </si>
  <si>
    <t>0708641</t>
  </si>
  <si>
    <t>Futterrohr N7 NW 200                               1.50</t>
  </si>
  <si>
    <t>0708642</t>
  </si>
  <si>
    <t>Futterrohr N7 NW 300                               2.10</t>
  </si>
  <si>
    <t>0708644</t>
  </si>
  <si>
    <t>Rohrsatz NW 250                                      14</t>
  </si>
  <si>
    <t>0708645</t>
  </si>
  <si>
    <t>Futterrohr N1 NW 250                                 21</t>
  </si>
  <si>
    <t>0708646</t>
  </si>
  <si>
    <t>Stoßverbinder FS 140E / FS 160E                       3</t>
  </si>
  <si>
    <t>0708647</t>
  </si>
  <si>
    <t>0708648</t>
  </si>
  <si>
    <t>Rohrhalter Deck innen Ø 104 mm                        1</t>
  </si>
  <si>
    <t>0708649</t>
  </si>
  <si>
    <t>Rohrhalter Distanz innen Ø 96,2 mm</t>
  </si>
  <si>
    <t>0708650</t>
  </si>
  <si>
    <t>Rohrhalter Deck innen Ø 80 mm</t>
  </si>
  <si>
    <t>0708651</t>
  </si>
  <si>
    <t>Rohrscheibe (innen) 70/203</t>
  </si>
  <si>
    <t>0708652</t>
  </si>
  <si>
    <t>RollerDrive BT100                                    18</t>
  </si>
  <si>
    <t>0708653</t>
  </si>
  <si>
    <t>RollerDrive BT100                                    19</t>
  </si>
  <si>
    <t>0708654</t>
  </si>
  <si>
    <t>0708655</t>
  </si>
  <si>
    <t>Feinblech  t=3,0  1,5x3m  V2A  gebü                  31</t>
  </si>
  <si>
    <t>0708656</t>
  </si>
  <si>
    <t>0708657</t>
  </si>
  <si>
    <t>Präzisionsstahlrohr rund 160x4                        9</t>
  </si>
  <si>
    <t>0708658</t>
  </si>
  <si>
    <t>Profilrohr 80x80x4                                    6</t>
  </si>
  <si>
    <t>0708660</t>
  </si>
  <si>
    <t>Profilrohr 80x80x4                                    5</t>
  </si>
  <si>
    <t>0708661</t>
  </si>
  <si>
    <t>Profilrohr 120x80x4                                  11</t>
  </si>
  <si>
    <t>0708662</t>
  </si>
  <si>
    <t>0708663</t>
  </si>
  <si>
    <t>Profilrohr 80x80x4                                    1</t>
  </si>
  <si>
    <t>0708664</t>
  </si>
  <si>
    <t>Rittal Schaltschrank                                 12</t>
  </si>
  <si>
    <t>0708665</t>
  </si>
  <si>
    <t>Siemens IS Sitop Power Stromversorgung               11</t>
  </si>
  <si>
    <t>0708666</t>
  </si>
  <si>
    <t>Spange komplett für Führschiene 105x76                1</t>
  </si>
  <si>
    <t>0708667</t>
  </si>
  <si>
    <t>0708668</t>
  </si>
  <si>
    <t>Auftrag 01147041</t>
  </si>
  <si>
    <t>0708669</t>
  </si>
  <si>
    <t>0708670</t>
  </si>
  <si>
    <t>0708671</t>
  </si>
  <si>
    <t>0708672</t>
  </si>
  <si>
    <t>0708673</t>
  </si>
  <si>
    <t>0708674</t>
  </si>
  <si>
    <t>0708675</t>
  </si>
  <si>
    <t>0708676</t>
  </si>
  <si>
    <t>Dübel FAZ II 12/160 A4                               50</t>
  </si>
  <si>
    <t>0708677</t>
  </si>
  <si>
    <t>Hohlraum Metalldübel HM 5 x 52 S                      4</t>
  </si>
  <si>
    <t>0708678</t>
  </si>
  <si>
    <t>Formstahl IPE 140                                     3</t>
  </si>
  <si>
    <t>0708679</t>
  </si>
  <si>
    <t>RollerDrive EC 310                                   19</t>
  </si>
  <si>
    <t>0708680</t>
  </si>
  <si>
    <t>Linsenkopfschraube mit Flansch</t>
  </si>
  <si>
    <t>0708681</t>
  </si>
  <si>
    <t>Protex 1100 A2, 1.540 mm breit                        2</t>
  </si>
  <si>
    <t>0708682</t>
  </si>
  <si>
    <t>0708683</t>
  </si>
  <si>
    <t>Flachstahl blk.                                       4</t>
  </si>
  <si>
    <t>0708684</t>
  </si>
  <si>
    <t>Flachstahl blk.                                       2</t>
  </si>
  <si>
    <t>0708685</t>
  </si>
  <si>
    <t>Sonatex 15 dB rotbraun                                5</t>
  </si>
  <si>
    <t>0708686</t>
  </si>
  <si>
    <t>Cortenblech                                          13</t>
  </si>
  <si>
    <t>0708687</t>
  </si>
  <si>
    <t>Stahlträger HEB 100                                   2</t>
  </si>
  <si>
    <t>0708688</t>
  </si>
  <si>
    <t>0708689</t>
  </si>
  <si>
    <t>Stahlträger HEB 100</t>
  </si>
  <si>
    <t>0708690</t>
  </si>
  <si>
    <t>Stahlträger HEB 100                                   3</t>
  </si>
  <si>
    <t>0708692</t>
  </si>
  <si>
    <t>Futterrohr N1                                        13</t>
  </si>
  <si>
    <t>0708693</t>
  </si>
  <si>
    <t>Rohrsatz                                             14</t>
  </si>
  <si>
    <t>0708694</t>
  </si>
  <si>
    <t>Haken- oder Flauschband, gewebtes Poly-</t>
  </si>
  <si>
    <t>0708695</t>
  </si>
  <si>
    <t>0708696</t>
  </si>
  <si>
    <t>Futterrohr N3                                        43</t>
  </si>
  <si>
    <t>0708697</t>
  </si>
  <si>
    <t>Rohrsatz                                             24</t>
  </si>
  <si>
    <t>0708698</t>
  </si>
  <si>
    <t>0708699</t>
  </si>
  <si>
    <t>FISCHER Ankerbolzen FAZII16/25</t>
  </si>
  <si>
    <t>0708700</t>
  </si>
  <si>
    <t>Ausziehbare Präzisionsgelenkwelle PW</t>
  </si>
  <si>
    <t>0708701</t>
  </si>
  <si>
    <t>FISCHER Ankerbolzen FAZII 10/50 VA</t>
  </si>
  <si>
    <t>0708702</t>
  </si>
  <si>
    <t>0708703</t>
  </si>
  <si>
    <t>Sechskantmutter flach</t>
  </si>
  <si>
    <t>0708704</t>
  </si>
  <si>
    <t>0708705</t>
  </si>
  <si>
    <t>Unterer Befestigungswinkel links N1/N3                1</t>
  </si>
  <si>
    <t>0708706</t>
  </si>
  <si>
    <t>Unterer Befestigungswinkel rechts N1/N3               1</t>
  </si>
  <si>
    <t>0708707</t>
  </si>
  <si>
    <t>Eckverbinder N1/N3                                    1</t>
  </si>
  <si>
    <t>0708708</t>
  </si>
  <si>
    <t>Haltewinkel N1/N3</t>
  </si>
  <si>
    <t>0708709</t>
  </si>
  <si>
    <t>Profilrohr 120x80x4                                   1</t>
  </si>
  <si>
    <t>0708710</t>
  </si>
  <si>
    <t>Gewindehülse M16X1,5  60mm lang                       1</t>
  </si>
  <si>
    <t>0708711</t>
  </si>
  <si>
    <t>Blechschraube 6,3 x 60</t>
  </si>
  <si>
    <t>0708712</t>
  </si>
  <si>
    <t>Flachstahl 60 x 15</t>
  </si>
  <si>
    <t>0708713</t>
  </si>
  <si>
    <t>0708714</t>
  </si>
  <si>
    <t>0708715</t>
  </si>
  <si>
    <t>Rundriemen</t>
  </si>
  <si>
    <t>0708716</t>
  </si>
  <si>
    <t>Stahlrohr 101,6 x 2,0                                 2</t>
  </si>
  <si>
    <t>0708717</t>
  </si>
  <si>
    <t>Batterielader 312 VDC                                49</t>
  </si>
  <si>
    <t>0708718</t>
  </si>
  <si>
    <t>Spannsatz ST-K Bohrung 25mm                           1</t>
  </si>
  <si>
    <t>0708719</t>
  </si>
  <si>
    <t>0708720</t>
  </si>
  <si>
    <t>Rohrsatz                                             11</t>
  </si>
  <si>
    <t>0708721</t>
  </si>
  <si>
    <t>Riegelhülse 0,75 kW / 1,5 kW Motor                    8</t>
  </si>
  <si>
    <t>0708722</t>
  </si>
  <si>
    <t>Sonder-Adapter für Riegelscheibe                      9</t>
  </si>
  <si>
    <t>0708723</t>
  </si>
  <si>
    <t>0708724</t>
  </si>
  <si>
    <t>Protex 1100 1S, 80 mm breit</t>
  </si>
  <si>
    <t>0708725</t>
  </si>
  <si>
    <t>Fassadenfarbe RAL 1003                                1</t>
  </si>
  <si>
    <t>0708727</t>
  </si>
  <si>
    <t>0708728</t>
  </si>
  <si>
    <t>0708729</t>
  </si>
  <si>
    <t>Gelenkbolzenschelle W1</t>
  </si>
  <si>
    <t>0708730</t>
  </si>
  <si>
    <t>Rundstahl, konserviert (rot) Ø 16                     1</t>
  </si>
  <si>
    <t>0708731</t>
  </si>
  <si>
    <t>einza mix Karat-plus RAL 9010</t>
  </si>
  <si>
    <t>0708732</t>
  </si>
  <si>
    <t>0708733</t>
  </si>
  <si>
    <t>Futterrohr N1                                        28</t>
  </si>
  <si>
    <t>0708734</t>
  </si>
  <si>
    <t>Rohrsatz                                             29</t>
  </si>
  <si>
    <t>0708735</t>
  </si>
  <si>
    <t>Frequenzumrichter MOVITRAC LTP-B                   1.46</t>
  </si>
  <si>
    <t>0708736</t>
  </si>
  <si>
    <t>Geteilte Schalenkupplung                              5</t>
  </si>
  <si>
    <t>0708737</t>
  </si>
  <si>
    <t>0708738</t>
  </si>
  <si>
    <t>Gleitstück Abschlussleiste 60 x 12                    1</t>
  </si>
  <si>
    <t>0708739</t>
  </si>
  <si>
    <t>Silikonschlauch 40° Shore, transparent               12</t>
  </si>
  <si>
    <t>0708740</t>
  </si>
  <si>
    <t>Lüsterklemme 16mm²                                   23</t>
  </si>
  <si>
    <t>0708741</t>
  </si>
  <si>
    <t>Fassadenfarbe RAL 1002                                1</t>
  </si>
  <si>
    <t>0708742</t>
  </si>
  <si>
    <t>Passfeder DIN 6885 8x7x36mm</t>
  </si>
  <si>
    <t>0708743</t>
  </si>
  <si>
    <t>Kupplungsnabe RNT Größe 38 Ausführung IS</t>
  </si>
  <si>
    <t>0708744</t>
  </si>
  <si>
    <t>Zahnkranz standard 98 Shore A rot</t>
  </si>
  <si>
    <t>0708745</t>
  </si>
  <si>
    <t>Taper-Spannbuchse 1108 Bohrung 25mm</t>
  </si>
  <si>
    <t>0708746</t>
  </si>
  <si>
    <t>Senkschraube mit Inbus M5x10 verz 8.8</t>
  </si>
  <si>
    <t>0708747</t>
  </si>
  <si>
    <t>0708748</t>
  </si>
  <si>
    <t>Fischer Kippdübel                                     7</t>
  </si>
  <si>
    <t>0708750</t>
  </si>
  <si>
    <t>Führungsrolle für RS/ FSA/RSA - Gewebe</t>
  </si>
  <si>
    <t>0708751</t>
  </si>
  <si>
    <t>Gegenlagerbolzen</t>
  </si>
  <si>
    <t>0708752</t>
  </si>
  <si>
    <t>Turbotex</t>
  </si>
  <si>
    <t>0708754</t>
  </si>
  <si>
    <t>Dreiphasentrenntransformator                         12</t>
  </si>
  <si>
    <t>0708755</t>
  </si>
  <si>
    <t>Bohrer SDS-Plus Duo-S                                 1</t>
  </si>
  <si>
    <t>0708756</t>
  </si>
  <si>
    <t>0708758</t>
  </si>
  <si>
    <t>Linsenschrauben mit Innensechskant</t>
  </si>
  <si>
    <t>0708759</t>
  </si>
  <si>
    <t>Gaszugfeder GZ-28-100-BB200                          14</t>
  </si>
  <si>
    <t>0708760</t>
  </si>
  <si>
    <t>Sickenfüller Iso-Profil</t>
  </si>
  <si>
    <t>0708761</t>
  </si>
  <si>
    <t>Profilrohr 140x80x4                                   1</t>
  </si>
  <si>
    <t>0708762</t>
  </si>
  <si>
    <t>Flügel-Bohrschrauben Senkkopf 5,5 x 46                1</t>
  </si>
  <si>
    <t>0708763</t>
  </si>
  <si>
    <t>Knauf Fugenspachtel Uniflott                          8</t>
  </si>
  <si>
    <t>0708764</t>
  </si>
  <si>
    <t>Knauf  Feuerschutzplatte HRAK 15 mm</t>
  </si>
  <si>
    <t>0708765</t>
  </si>
  <si>
    <t>Rohrverbinder für Wickelrohr 133 x 4                 38</t>
  </si>
  <si>
    <t>0708766</t>
  </si>
  <si>
    <t>Feinblech  t=0,8 1,5x3,0m                            23</t>
  </si>
  <si>
    <t>0708768</t>
  </si>
  <si>
    <t>Futterrohr N1                                        29</t>
  </si>
  <si>
    <t>0708769</t>
  </si>
  <si>
    <t>Rohrsatz                                             41</t>
  </si>
  <si>
    <t>0708770</t>
  </si>
  <si>
    <t>Wieland Buchseneinsatz MIN BUS 3 2,5 40</t>
  </si>
  <si>
    <t>0708771</t>
  </si>
  <si>
    <t>Wieland Steckereinsatz MIN STS 3 2,5 40</t>
  </si>
  <si>
    <t>0708772</t>
  </si>
  <si>
    <t>Wieland Buchseneinsatz MIN BUC 7 25</t>
  </si>
  <si>
    <t>0708773</t>
  </si>
  <si>
    <t>Wieland Steckereinsatz MIN STC 7 25</t>
  </si>
  <si>
    <t>0708774</t>
  </si>
  <si>
    <t>Wieland Gehäuseoberteil MIN GOT GB 7 M20</t>
  </si>
  <si>
    <t>0708775</t>
  </si>
  <si>
    <t>Wieland Gehäuseoberteil MIN GOT GC 7 M20</t>
  </si>
  <si>
    <t>0708776</t>
  </si>
  <si>
    <t>Wieland Buchsenkontakt 1,5 QMM</t>
  </si>
  <si>
    <t>0708777</t>
  </si>
  <si>
    <t>Wieland Steckerkontakt 1,5 QMM</t>
  </si>
  <si>
    <t>0708778</t>
  </si>
  <si>
    <t>Flachstahl 20 x 10 mm Edelstahl V2A</t>
  </si>
  <si>
    <t>0708779</t>
  </si>
  <si>
    <t>Fluchtwegpiktogramm</t>
  </si>
  <si>
    <t>0708780</t>
  </si>
  <si>
    <t>0708781</t>
  </si>
  <si>
    <t>Futterrohr N3                                        34</t>
  </si>
  <si>
    <t>0708782</t>
  </si>
  <si>
    <t>Fassadenfarbe RAL 7043</t>
  </si>
  <si>
    <t>0708783</t>
  </si>
  <si>
    <t>Sicherheitsanker HSC-IR M8x40</t>
  </si>
  <si>
    <t>0708784</t>
  </si>
  <si>
    <t>Mink Standardbürstenleiste</t>
  </si>
  <si>
    <t>0708785</t>
  </si>
  <si>
    <t>PVC - Hart-Platte, grau                               2</t>
  </si>
  <si>
    <t>0708786</t>
  </si>
  <si>
    <t>Rohrsatz                                             31</t>
  </si>
  <si>
    <t>0708787</t>
  </si>
  <si>
    <t>0708788</t>
  </si>
  <si>
    <t>Futterrohr N1                                        39</t>
  </si>
  <si>
    <t>0708789</t>
  </si>
  <si>
    <t>Futterrohr N1                                        38</t>
  </si>
  <si>
    <t>0708790</t>
  </si>
  <si>
    <t>Tragrolle stahl-verzinkt                              1</t>
  </si>
  <si>
    <t>0708791</t>
  </si>
  <si>
    <t>Baubretter 28 x 200</t>
  </si>
  <si>
    <t>0708792</t>
  </si>
  <si>
    <t>Dachlatten 40 x 60</t>
  </si>
  <si>
    <t>0708793</t>
  </si>
  <si>
    <t>Gleitstück Abschlussleiste 145 x 5</t>
  </si>
  <si>
    <t>0708794</t>
  </si>
  <si>
    <t>0708795</t>
  </si>
  <si>
    <t>0708796</t>
  </si>
  <si>
    <t>Protex 600 "Panama"</t>
  </si>
  <si>
    <t>0708797</t>
  </si>
  <si>
    <t>0708798</t>
  </si>
  <si>
    <t>Futterrohr N7 NW 345</t>
  </si>
  <si>
    <t>0708799</t>
  </si>
  <si>
    <t>RollerDrive EC 310                                   17</t>
  </si>
  <si>
    <t>0708800</t>
  </si>
  <si>
    <t>Drivecontrol S-1001415                                2</t>
  </si>
  <si>
    <t>0708801</t>
  </si>
  <si>
    <t>Initiator Sick FLUSH IN30-E0306K M18                  9</t>
  </si>
  <si>
    <t>0708802</t>
  </si>
  <si>
    <t>Kabelbox "Wichmann"                                  10</t>
  </si>
  <si>
    <t>0708803</t>
  </si>
  <si>
    <t>Rittal Anreih-Systeme TS 8                           53</t>
  </si>
  <si>
    <t>0708804</t>
  </si>
  <si>
    <t>0708805</t>
  </si>
  <si>
    <t>Cortenblech</t>
  </si>
  <si>
    <t>0708806</t>
  </si>
  <si>
    <t>Futterrohr N3                                        49</t>
  </si>
  <si>
    <t>0708807</t>
  </si>
  <si>
    <t>Spannsatz ST-K Bohrung 35mm</t>
  </si>
  <si>
    <t>0708808</t>
  </si>
  <si>
    <t>0708809</t>
  </si>
  <si>
    <t>PBC-Kupferpaste 100g</t>
  </si>
  <si>
    <t>0708810</t>
  </si>
  <si>
    <t>Hekatron Montagesockel 143 AF                         4</t>
  </si>
  <si>
    <t>0708811</t>
  </si>
  <si>
    <t>Taper Spannbuchse Art.-Nr. 62250225</t>
  </si>
  <si>
    <t>0708812</t>
  </si>
  <si>
    <t>0708813</t>
  </si>
  <si>
    <t>0708814</t>
  </si>
  <si>
    <t>0708815</t>
  </si>
  <si>
    <t>AMO-light Langschaftdübel</t>
  </si>
  <si>
    <t>0708816</t>
  </si>
  <si>
    <t>0708817</t>
  </si>
  <si>
    <t>Prüfplakette, Nächster Prüftermin 15-20,             17</t>
  </si>
  <si>
    <t>0708818</t>
  </si>
  <si>
    <t>Zahnblech f. Fischer Trapez 150/280                   4</t>
  </si>
  <si>
    <t>0708819</t>
  </si>
  <si>
    <t>Siemens Leitungsschutzschalter C10 2 POL              2</t>
  </si>
  <si>
    <t>0708821</t>
  </si>
  <si>
    <t>0708822</t>
  </si>
  <si>
    <t>Siemens Zylindersicherung 12A</t>
  </si>
  <si>
    <t>0708823</t>
  </si>
  <si>
    <t>Optinutrohr 100</t>
  </si>
  <si>
    <t>0708824</t>
  </si>
  <si>
    <t>Harting KontaktbuchseCrimpkontakt 2,5qmm              1</t>
  </si>
  <si>
    <t>0708825</t>
  </si>
  <si>
    <t>Umrichter Movitrac 5,5kW</t>
  </si>
  <si>
    <t>0708826</t>
  </si>
  <si>
    <t>Rohrsatz</t>
  </si>
  <si>
    <t>0708827</t>
  </si>
  <si>
    <t>Futterrohr N7 NW 350</t>
  </si>
  <si>
    <t>0708829</t>
  </si>
  <si>
    <t>Tragrolle Serie 1200</t>
  </si>
  <si>
    <t>0708830</t>
  </si>
  <si>
    <t>Futterrohr N1</t>
  </si>
  <si>
    <t>0708832</t>
  </si>
  <si>
    <t>0708833</t>
  </si>
  <si>
    <t>0708834</t>
  </si>
  <si>
    <t>0708835</t>
  </si>
  <si>
    <t>0708836</t>
  </si>
  <si>
    <t>Siemens Leitungsschutzschalter C4A 3 POL</t>
  </si>
  <si>
    <t>0709001</t>
  </si>
  <si>
    <t>Führungsschiene Moducoil Laibungsmontage</t>
  </si>
  <si>
    <t>0709002</t>
  </si>
  <si>
    <t>Führungsschiene Moducoil Wandmontage</t>
  </si>
  <si>
    <t>0709003</t>
  </si>
  <si>
    <t>Führungsschiene Moducoil</t>
  </si>
  <si>
    <t>0709004</t>
  </si>
  <si>
    <t>0709005</t>
  </si>
  <si>
    <t>Führungsschiene Typ 80 Wandmontage</t>
  </si>
  <si>
    <t>0709006</t>
  </si>
  <si>
    <t>Führungsschiene Typ 80 Laibungsmontage</t>
  </si>
  <si>
    <t>0709007</t>
  </si>
  <si>
    <t>Führungsschiene Typ 80 Nischenmontage</t>
  </si>
  <si>
    <t>0709008</t>
  </si>
  <si>
    <t>Führungsschiene Typ 80</t>
  </si>
  <si>
    <t>0709009</t>
  </si>
  <si>
    <t>0709010</t>
  </si>
  <si>
    <t>0709011</t>
  </si>
  <si>
    <t>0709012</t>
  </si>
  <si>
    <t>Führungsschiene Typ 105E Wandmontage</t>
  </si>
  <si>
    <t>0709013</t>
  </si>
  <si>
    <t>Führungsschiene Typ 105E Laibungsmontage</t>
  </si>
  <si>
    <t>0709014</t>
  </si>
  <si>
    <t>Führungsschiene Typ 105E Nischenmontage</t>
  </si>
  <si>
    <t>0709015</t>
  </si>
  <si>
    <t>Führungsschiene Typ 105E</t>
  </si>
  <si>
    <t>0709016</t>
  </si>
  <si>
    <t>0709017</t>
  </si>
  <si>
    <t>0709018</t>
  </si>
  <si>
    <t>0709019</t>
  </si>
  <si>
    <t>Führungsschiene Snokeshield-S</t>
  </si>
  <si>
    <t>0709020</t>
  </si>
  <si>
    <t>0709021</t>
  </si>
  <si>
    <t>Führungsschiene Typ 140E Wandmontage</t>
  </si>
  <si>
    <t>0709022</t>
  </si>
  <si>
    <t>Führungsschiene Typ 140E Laibungsmontage</t>
  </si>
  <si>
    <t>0709023</t>
  </si>
  <si>
    <t>Führungsschiene Typ 140E Nischenmontage</t>
  </si>
  <si>
    <t>0709024</t>
  </si>
  <si>
    <t>Führungsschiene Typ 140E</t>
  </si>
  <si>
    <t>0709025</t>
  </si>
  <si>
    <t>0709026</t>
  </si>
  <si>
    <t>0709027</t>
  </si>
  <si>
    <t>0710004</t>
  </si>
  <si>
    <t>Alu - Profilrohr</t>
  </si>
  <si>
    <t>0710005</t>
  </si>
  <si>
    <t>U-Profil</t>
  </si>
  <si>
    <t>0710006</t>
  </si>
  <si>
    <t>Rundmaterial 25</t>
  </si>
  <si>
    <t>0710010</t>
  </si>
  <si>
    <t>Distanzblech Laibung Führungsschiene</t>
  </si>
  <si>
    <t>0710012</t>
  </si>
  <si>
    <t>Behälter Grundplatte Uni-K</t>
  </si>
  <si>
    <t>0710013</t>
  </si>
  <si>
    <t>Schmelzlotkantung Uni-K Behälter</t>
  </si>
  <si>
    <t>0710014</t>
  </si>
  <si>
    <t>Schmelzlotwippe rechts Uni-K Behälter</t>
  </si>
  <si>
    <t>0710015</t>
  </si>
  <si>
    <t>Schmelzlotwippe links Uni-K Behälter</t>
  </si>
  <si>
    <t>0710016</t>
  </si>
  <si>
    <t>Kugellagerblech Loch Rohr 100x1,5</t>
  </si>
  <si>
    <t>0710017</t>
  </si>
  <si>
    <t>Kugellagerblech Gewinde Rohr 100x1,5</t>
  </si>
  <si>
    <t>0710018</t>
  </si>
  <si>
    <t>Gegenlager Rohr 100x1,5 Blech</t>
  </si>
  <si>
    <t>0710026</t>
  </si>
  <si>
    <t>Winkelblende 190x290 Fiberseal Evo.</t>
  </si>
  <si>
    <t>0710027</t>
  </si>
  <si>
    <t>Untere Blende 190x290 Fiberseal Evo.</t>
  </si>
  <si>
    <t>0710028</t>
  </si>
  <si>
    <t>Abschlussleistenführungblech links</t>
  </si>
  <si>
    <t>0710029</t>
  </si>
  <si>
    <t>Abschlussleistenführungblech rechts</t>
  </si>
  <si>
    <t>0710030</t>
  </si>
  <si>
    <t>Unterteil Befestigungskonsole 190x290</t>
  </si>
  <si>
    <t>0710031</t>
  </si>
  <si>
    <t>Dichtprofil FibersealEvolution</t>
  </si>
  <si>
    <t>0710032</t>
  </si>
  <si>
    <t>0710033</t>
  </si>
  <si>
    <t>0710034</t>
  </si>
  <si>
    <t>Führschiene 104x74 kpl. Laibmontage re</t>
  </si>
  <si>
    <t>0710035</t>
  </si>
  <si>
    <t>Führschiene 104x74 kpl. Laibmontage li</t>
  </si>
  <si>
    <t>0710036</t>
  </si>
  <si>
    <t>0710037</t>
  </si>
  <si>
    <t>Basisprofil Wandmon Führschie 104x74 li.</t>
  </si>
  <si>
    <t>0710038</t>
  </si>
  <si>
    <t>0710039</t>
  </si>
  <si>
    <t>0710040</t>
  </si>
  <si>
    <t>Deckprofil Führschiene 104x74 rechts</t>
  </si>
  <si>
    <t>0710041</t>
  </si>
  <si>
    <t>0710042</t>
  </si>
  <si>
    <t>Dichtprofil 1 Führschiene 104x74 rechts</t>
  </si>
  <si>
    <t>0710043</t>
  </si>
  <si>
    <t>Dichtprofil 1 Führschiene 104x74 links</t>
  </si>
  <si>
    <t>0710044</t>
  </si>
  <si>
    <t>Dichtprofil 2 Führschiene 104x74 rechts</t>
  </si>
  <si>
    <t>0710045</t>
  </si>
  <si>
    <t>Dichtprofil 2 Führschiene 104x74 links</t>
  </si>
  <si>
    <t>0710048</t>
  </si>
  <si>
    <t>Befestigungskonsole kpl. 190x290</t>
  </si>
  <si>
    <t>0710049</t>
  </si>
  <si>
    <t>Motorplatte Mot.re.Motorseite 190x290</t>
  </si>
  <si>
    <t>0710050</t>
  </si>
  <si>
    <t>Motorplatte Mot.li.Motorseite 190x290</t>
  </si>
  <si>
    <t>0710051</t>
  </si>
  <si>
    <t>Gegenlagerplatte 290x360(Blech), Mot. re</t>
  </si>
  <si>
    <t>0710052</t>
  </si>
  <si>
    <t>Winkelblende 290x360 Fiberseal Evo.</t>
  </si>
  <si>
    <t>0710053</t>
  </si>
  <si>
    <t>Gerade Blende 290x360 Fiberseal Evo.</t>
  </si>
  <si>
    <t>0710054</t>
  </si>
  <si>
    <t>Untere Blende 290x360 Fiberseal Evo.</t>
  </si>
  <si>
    <t>0710055</t>
  </si>
  <si>
    <t>Seitendeckel Mot.re.Motorseite 190x290</t>
  </si>
  <si>
    <t>0710056</t>
  </si>
  <si>
    <t>Seitendeckel Mot.re.Gegenseite 190x290</t>
  </si>
  <si>
    <t>0710057</t>
  </si>
  <si>
    <t>Seitendeckel Mot.li.Motorseite 190x290</t>
  </si>
  <si>
    <t>0710058</t>
  </si>
  <si>
    <t>Seitendeckel Mot.li.Gegenseite 190x290</t>
  </si>
  <si>
    <t>0710059</t>
  </si>
  <si>
    <t>0710060</t>
  </si>
  <si>
    <t>Befestigungskonsole kpl. 290x360</t>
  </si>
  <si>
    <t>0710061</t>
  </si>
  <si>
    <t>Motorplatte Mot.re.Motorseite kpl190x290</t>
  </si>
  <si>
    <t>0710062</t>
  </si>
  <si>
    <t>Motorplatte Mot.li.Motorseite kpl</t>
  </si>
  <si>
    <t>0710063</t>
  </si>
  <si>
    <t>Gegenplatte Mot.li.Gegenseite kpl290x360</t>
  </si>
  <si>
    <t>0710064</t>
  </si>
  <si>
    <t>Gegenplatte Mot.re.Gegenseite kpl290x360</t>
  </si>
  <si>
    <t>0710065</t>
  </si>
  <si>
    <t>Rohrscheibe innen 100/160                             1</t>
  </si>
  <si>
    <t>0710066</t>
  </si>
  <si>
    <t>Einsteckrohr Motorseite 100/160                       3</t>
  </si>
  <si>
    <t>0710067</t>
  </si>
  <si>
    <t>Abschlussleistenblende Verbinder</t>
  </si>
  <si>
    <t>0710068</t>
  </si>
  <si>
    <t>Flachstahl 29x3x2000 Ecoshield</t>
  </si>
  <si>
    <t>0710069</t>
  </si>
  <si>
    <t>Flachstahl 29x3x3000 Ecoshield</t>
  </si>
  <si>
    <t>0710070</t>
  </si>
  <si>
    <t>Zuziehvorrichtung Gaszugfeder OC</t>
  </si>
  <si>
    <t>0710071</t>
  </si>
  <si>
    <t>Enddeckel untereLamelleEHrechtsOC-NGNie</t>
  </si>
  <si>
    <t>0710072</t>
  </si>
  <si>
    <t>Enddeckel untereLamelleEHlinksOC-NGNie</t>
  </si>
  <si>
    <t>0710075</t>
  </si>
  <si>
    <t>Deckprofil Führschiene2009 190x200 links</t>
  </si>
  <si>
    <t>0710076</t>
  </si>
  <si>
    <t>Basisprofil Führschi 2009 190x200Wand li</t>
  </si>
  <si>
    <t>0710077</t>
  </si>
  <si>
    <t>Deckprofil Führschiene2009 190x200rechts</t>
  </si>
  <si>
    <t>0710078</t>
  </si>
  <si>
    <t>Basisprofil Führschi2009  190x200Wand re</t>
  </si>
  <si>
    <t>0710079</t>
  </si>
  <si>
    <t>Spange Wandseite Führschiene 105x76</t>
  </si>
  <si>
    <t>0710080</t>
  </si>
  <si>
    <t>Spange Raumseite Führschiene 105x76</t>
  </si>
  <si>
    <t>0710081</t>
  </si>
  <si>
    <t>Abschlussleistenblende                                1</t>
  </si>
  <si>
    <t>0710082</t>
  </si>
  <si>
    <t>Federhalter</t>
  </si>
  <si>
    <t>0710083</t>
  </si>
  <si>
    <t>Abschlussleistenfeder</t>
  </si>
  <si>
    <t>0710084</t>
  </si>
  <si>
    <t>Verbinder Q20 mit Führungsschiene</t>
  </si>
  <si>
    <t>0710086</t>
  </si>
  <si>
    <t>Haltewinkel Führ.unten Flex. Systeme</t>
  </si>
  <si>
    <t>0710087</t>
  </si>
  <si>
    <t>Verriegelung Schieberunterseite RGT</t>
  </si>
  <si>
    <t>0710088</t>
  </si>
  <si>
    <t>Winkelgetriebe komplett</t>
  </si>
  <si>
    <t>0710089</t>
  </si>
  <si>
    <t>Winkelgetriebe Oberteil</t>
  </si>
  <si>
    <t>0710090</t>
  </si>
  <si>
    <t>Winkelgetriebe Unterseite</t>
  </si>
  <si>
    <t>0710091</t>
  </si>
  <si>
    <t>Basisprofil Führschiene 2009 Laibung  li</t>
  </si>
  <si>
    <t>0710092</t>
  </si>
  <si>
    <t>Basisprofil Führschiene 2009 Laibung  re</t>
  </si>
  <si>
    <t>0710095</t>
  </si>
  <si>
    <t>Konsole-kpl. rechts</t>
  </si>
  <si>
    <t>0710096</t>
  </si>
  <si>
    <t>Konsole-kpl. links</t>
  </si>
  <si>
    <t>0710097</t>
  </si>
  <si>
    <t>Konsole Innenteil</t>
  </si>
  <si>
    <t>0710098</t>
  </si>
  <si>
    <t>Konsole Aussenteil rechts</t>
  </si>
  <si>
    <t>0710099</t>
  </si>
  <si>
    <t>Konsole Aussenteil links</t>
  </si>
  <si>
    <t>0710100</t>
  </si>
  <si>
    <t>Abstands U-Kantung Winkelgetriebe</t>
  </si>
  <si>
    <t>0710101</t>
  </si>
  <si>
    <t>0710102</t>
  </si>
  <si>
    <t>Motor-Konsole-kpl. rechts Kettenseite                 1</t>
  </si>
  <si>
    <t>0710105</t>
  </si>
  <si>
    <t>Untere Blende für ABSL 2009</t>
  </si>
  <si>
    <t>0710106</t>
  </si>
  <si>
    <t>0710107</t>
  </si>
  <si>
    <t>0710108</t>
  </si>
  <si>
    <t>Winkel-Blende für ABSL 2009</t>
  </si>
  <si>
    <t>0710109</t>
  </si>
  <si>
    <t>0710110</t>
  </si>
  <si>
    <t>0710111</t>
  </si>
  <si>
    <t>0710114</t>
  </si>
  <si>
    <t>Motor-Konsolenaussenteil rechts</t>
  </si>
  <si>
    <t>0710115</t>
  </si>
  <si>
    <t>Klemmring für Rillenkugellager 6004</t>
  </si>
  <si>
    <t>0710116</t>
  </si>
  <si>
    <t>Motor-Konsole-kpl. links Kettenseite</t>
  </si>
  <si>
    <t>0710117</t>
  </si>
  <si>
    <t>Motor-Konsolenaussenteil links</t>
  </si>
  <si>
    <t>0710118</t>
  </si>
  <si>
    <t>Befestigungs-U Elektrik</t>
  </si>
  <si>
    <t>0710119</t>
  </si>
  <si>
    <t>Fuß für Befestigungs-U Elektrik</t>
  </si>
  <si>
    <t>0710120</t>
  </si>
  <si>
    <t>Motor-Konsole-kpl. rechts Gegenseite</t>
  </si>
  <si>
    <t>0710121</t>
  </si>
  <si>
    <t>Motor-Konsole-kpl. links Gegenseite                   1</t>
  </si>
  <si>
    <t>0710122</t>
  </si>
  <si>
    <t>Umlenkung aussen</t>
  </si>
  <si>
    <t>0710123</t>
  </si>
  <si>
    <t>Umlenkung innen</t>
  </si>
  <si>
    <t>0710124</t>
  </si>
  <si>
    <t>Umlenkung aussen komplett</t>
  </si>
  <si>
    <t>0710125</t>
  </si>
  <si>
    <t>Umlenkung innen komplett</t>
  </si>
  <si>
    <t>0710126</t>
  </si>
  <si>
    <t>Umlenkwelle</t>
  </si>
  <si>
    <t>0710127</t>
  </si>
  <si>
    <t>Umlenkrolle Fiber-Smokeshield-S</t>
  </si>
  <si>
    <t>0710128</t>
  </si>
  <si>
    <t>0710129</t>
  </si>
  <si>
    <t>0710130</t>
  </si>
  <si>
    <t>Untere Blende Endgehäuse</t>
  </si>
  <si>
    <t>0710131</t>
  </si>
  <si>
    <t>0710132</t>
  </si>
  <si>
    <t>0710133</t>
  </si>
  <si>
    <t>0710134</t>
  </si>
  <si>
    <t>0710135</t>
  </si>
  <si>
    <t>0710136</t>
  </si>
  <si>
    <t>0710137</t>
  </si>
  <si>
    <t>0710138</t>
  </si>
  <si>
    <t>0710139</t>
  </si>
  <si>
    <t>0710140</t>
  </si>
  <si>
    <t>0710141</t>
  </si>
  <si>
    <t>0710142</t>
  </si>
  <si>
    <t>0710143</t>
  </si>
  <si>
    <t>0710144</t>
  </si>
  <si>
    <t>0710145</t>
  </si>
  <si>
    <t>0710146</t>
  </si>
  <si>
    <t>0710147</t>
  </si>
  <si>
    <t>0710148</t>
  </si>
  <si>
    <t>0710149</t>
  </si>
  <si>
    <t>0710150</t>
  </si>
  <si>
    <t>0710151</t>
  </si>
  <si>
    <t>0710152</t>
  </si>
  <si>
    <t>Stoßverbinder für untere Blende 190x200</t>
  </si>
  <si>
    <t>0710153</t>
  </si>
  <si>
    <t>Stoßverbinder für untere Blende 190x250</t>
  </si>
  <si>
    <t>0710155</t>
  </si>
  <si>
    <t>Stoßverbinder für untere Blende 235x290</t>
  </si>
  <si>
    <t>0710156</t>
  </si>
  <si>
    <t>Unterstützung für vordere Blende für</t>
  </si>
  <si>
    <t>0710157</t>
  </si>
  <si>
    <t>0710158</t>
  </si>
  <si>
    <t>Abstützung vordere Blende für GH 235x290</t>
  </si>
  <si>
    <t>0710159</t>
  </si>
  <si>
    <t>Boardscheibe mit Gewinde</t>
  </si>
  <si>
    <t>0710160</t>
  </si>
  <si>
    <t>Boardscheibe ohne Gewinde</t>
  </si>
  <si>
    <t>0710161</t>
  </si>
  <si>
    <t>Gurtrolle komplett</t>
  </si>
  <si>
    <t>0710162</t>
  </si>
  <si>
    <t>Gurtrolle Rohrabschnitt</t>
  </si>
  <si>
    <t>0710163</t>
  </si>
  <si>
    <t>Kettenrad Z=17 Fiber-Smokeshield-S                    1</t>
  </si>
  <si>
    <t>0710165</t>
  </si>
  <si>
    <t>Kettenrad 21 Z</t>
  </si>
  <si>
    <t>0710166</t>
  </si>
  <si>
    <t>Rohrring</t>
  </si>
  <si>
    <t>0710167</t>
  </si>
  <si>
    <t>Rohrstoßverbinder Fiber-Smokeshield-S</t>
  </si>
  <si>
    <t>0710169</t>
  </si>
  <si>
    <t>Gurtklemmblech für Unterkasten</t>
  </si>
  <si>
    <t>0710170</t>
  </si>
  <si>
    <t>Abschlusswanne Stand-Mittelstück 3m verz              2</t>
  </si>
  <si>
    <t>0710171</t>
  </si>
  <si>
    <t>Lasche Abschlusswanne Stan.Mittelstück</t>
  </si>
  <si>
    <t>0710172</t>
  </si>
  <si>
    <t>Endanschlag für Abschlusswanner</t>
  </si>
  <si>
    <t>0710173</t>
  </si>
  <si>
    <t>Untere Blende/Feste Lagerung ABSL 2009</t>
  </si>
  <si>
    <t>0710174</t>
  </si>
  <si>
    <t>Klemmleiste Gewebe oben/unten 3m verz</t>
  </si>
  <si>
    <t>0710175</t>
  </si>
  <si>
    <t>Abschlusswanne Eckstück 90° Einbau recht</t>
  </si>
  <si>
    <t>0710176</t>
  </si>
  <si>
    <t>Deckenplatte Standard Mittelstück                     1</t>
  </si>
  <si>
    <t>0710177</t>
  </si>
  <si>
    <t>Deckenplatte Eckstück 90°Einbau rechts</t>
  </si>
  <si>
    <t>0710178</t>
  </si>
  <si>
    <t>Blende innen StandardMittelstück 3m verz</t>
  </si>
  <si>
    <t>0710179</t>
  </si>
  <si>
    <t>Blende aussen Standard Mittelstück</t>
  </si>
  <si>
    <t>0710181</t>
  </si>
  <si>
    <t>Deckprofil Führschiene2009 190x250rechts</t>
  </si>
  <si>
    <t>0710182</t>
  </si>
  <si>
    <t>Basisprofil Führschi2009  190x250Wand re</t>
  </si>
  <si>
    <t>0710184</t>
  </si>
  <si>
    <t>Deckprofil Führschiene2009 190x250links</t>
  </si>
  <si>
    <t>0710185</t>
  </si>
  <si>
    <t>Basisprofil Führschi2009  190x250Wand li</t>
  </si>
  <si>
    <t>0710187</t>
  </si>
  <si>
    <t>Basisprofil Führschi2009  190x250Laib re</t>
  </si>
  <si>
    <t>0710189</t>
  </si>
  <si>
    <t>Basisprofil Führschi2009  190x250Laib li</t>
  </si>
  <si>
    <t>0710190</t>
  </si>
  <si>
    <t>Blende aussen Stand Mittelst Motoraussch</t>
  </si>
  <si>
    <t>0710192</t>
  </si>
  <si>
    <t>Blende aussen 90°Ecke Einbau rechts</t>
  </si>
  <si>
    <t>0710193</t>
  </si>
  <si>
    <t>Blende aussen 90°Ecke Einbau li Motoraus</t>
  </si>
  <si>
    <t>0710194</t>
  </si>
  <si>
    <t>Blende aussen 90°Ecke Einbau re Motoraus</t>
  </si>
  <si>
    <t>0710195</t>
  </si>
  <si>
    <t>Deckenplatte Eckstück 90°Einbau links</t>
  </si>
  <si>
    <t>0710196</t>
  </si>
  <si>
    <t>Abschlusswanne Eckstück 90° Einbau links</t>
  </si>
  <si>
    <t>0710197</t>
  </si>
  <si>
    <t>Rohr für Motorrohr                                    1</t>
  </si>
  <si>
    <t>0710198</t>
  </si>
  <si>
    <t>Motorrohr Fibershield Smokeshield - S</t>
  </si>
  <si>
    <t>0710199</t>
  </si>
  <si>
    <t>Gegenlagereinheit für Motorrohr                       1</t>
  </si>
  <si>
    <t>0710200</t>
  </si>
  <si>
    <t>Scharnierwinkelhalter</t>
  </si>
  <si>
    <t>0710201</t>
  </si>
  <si>
    <t>Scharnier</t>
  </si>
  <si>
    <t>0710203</t>
  </si>
  <si>
    <t>Magnethalteblech</t>
  </si>
  <si>
    <t>0710204</t>
  </si>
  <si>
    <t>M6 Distanzbolzen</t>
  </si>
  <si>
    <t>0710205</t>
  </si>
  <si>
    <t>Gasdruckfederaufnahme</t>
  </si>
  <si>
    <t>0710206</t>
  </si>
  <si>
    <t>Führungsbasis Einbau links</t>
  </si>
  <si>
    <t>0710207</t>
  </si>
  <si>
    <t>Hilfsführung-L Einbau links</t>
  </si>
  <si>
    <t>0710208</t>
  </si>
  <si>
    <t>Hilfsführung-U Einbau links</t>
  </si>
  <si>
    <t>0710209</t>
  </si>
  <si>
    <t>Klappblech Einbau links</t>
  </si>
  <si>
    <t>0710210</t>
  </si>
  <si>
    <t>Gegenplattenhaltewinkel</t>
  </si>
  <si>
    <t>0710211</t>
  </si>
  <si>
    <t>Schwenkblech Einbau links</t>
  </si>
  <si>
    <t>0710212</t>
  </si>
  <si>
    <t>Präzisionsstahlrohr Fibershield-S 42x1,5</t>
  </si>
  <si>
    <t>0710214</t>
  </si>
  <si>
    <t>Führungsbasis Einbau rechts</t>
  </si>
  <si>
    <t>0710215</t>
  </si>
  <si>
    <t>Schwenkblech Einbau rechts</t>
  </si>
  <si>
    <t>0710216</t>
  </si>
  <si>
    <t>Klappblech Einbau rechts</t>
  </si>
  <si>
    <t>0710217</t>
  </si>
  <si>
    <t>Hilfsführung-U Einbau rechts</t>
  </si>
  <si>
    <t>0710218</t>
  </si>
  <si>
    <t>Hilfsführung-L Einbau rechts</t>
  </si>
  <si>
    <t>0710219</t>
  </si>
  <si>
    <t>Motorblende</t>
  </si>
  <si>
    <t>0710220</t>
  </si>
  <si>
    <t>Lasche Abschlusswanne 90°Ecke rechts</t>
  </si>
  <si>
    <t>0710221</t>
  </si>
  <si>
    <t>Lasche Abschlusswanne 90°Ecke links</t>
  </si>
  <si>
    <t>0710222</t>
  </si>
  <si>
    <t>0710223</t>
  </si>
  <si>
    <t>Blende innen 90°Ecke Einbau rechts</t>
  </si>
  <si>
    <t>0710224</t>
  </si>
  <si>
    <t>Blende innen 90°Ecke Einbau links</t>
  </si>
  <si>
    <t>0710225</t>
  </si>
  <si>
    <t>Blende innen Stand Mittelstück Geh.225                1</t>
  </si>
  <si>
    <t>0710226</t>
  </si>
  <si>
    <t>Blende innen 90°Ecke Einbau re Geh.225</t>
  </si>
  <si>
    <t>0710227</t>
  </si>
  <si>
    <t>Blende innen 90°Ecke Einbau li Geh.225</t>
  </si>
  <si>
    <t>0710228</t>
  </si>
  <si>
    <t>Blende aussen Standard Mittelst Geh.225               1</t>
  </si>
  <si>
    <t>0710229</t>
  </si>
  <si>
    <t>Blende aussen 90°Ecke Einbau re Geh.225</t>
  </si>
  <si>
    <t>0710230</t>
  </si>
  <si>
    <t>Blende aussen 90°Ecke Einbau li Geh.225</t>
  </si>
  <si>
    <t>0710231</t>
  </si>
  <si>
    <t>0710232</t>
  </si>
  <si>
    <t>0710233</t>
  </si>
  <si>
    <t>0710234</t>
  </si>
  <si>
    <t>Abstands U-Kantung Winkelgetriebe Geh225</t>
  </si>
  <si>
    <t>0710235</t>
  </si>
  <si>
    <t>Konsole Innenteil Gehäuse 225</t>
  </si>
  <si>
    <t>0710236</t>
  </si>
  <si>
    <t>Motor-Konsolenaussenteil rechts Geh225</t>
  </si>
  <si>
    <t>0710237</t>
  </si>
  <si>
    <t>Motor-Konsolenaussenteil links Geh225</t>
  </si>
  <si>
    <t>0710238</t>
  </si>
  <si>
    <t>Konsole-kpl. rechts Gehäuse 225</t>
  </si>
  <si>
    <t>0710239</t>
  </si>
  <si>
    <t>Konsole-kpl. links Gehäuse 225</t>
  </si>
  <si>
    <t>0710240</t>
  </si>
  <si>
    <t>Halterung für Sinusfilter Elektrik</t>
  </si>
  <si>
    <t>0710241</t>
  </si>
  <si>
    <t>Halter Kontaktleiste Funk SC / FS</t>
  </si>
  <si>
    <t>0710242</t>
  </si>
  <si>
    <t>Rohling für ZIE Schilder</t>
  </si>
  <si>
    <t>-000002            4</t>
  </si>
  <si>
    <t>Sonderblechteil / auftragsbezogen</t>
  </si>
  <si>
    <t>-000003            4</t>
  </si>
  <si>
    <t>-000004            4</t>
  </si>
  <si>
    <t>-000005            4</t>
  </si>
  <si>
    <t>-000006            4</t>
  </si>
  <si>
    <t>-000007            4</t>
  </si>
  <si>
    <t>-000009            4</t>
  </si>
  <si>
    <t>Winkel für Inihalter</t>
  </si>
  <si>
    <t>-000012            4</t>
  </si>
  <si>
    <t>Sonderblechteil Nideg</t>
  </si>
  <si>
    <t>-000014            4</t>
  </si>
  <si>
    <t>-000015            4</t>
  </si>
  <si>
    <t>-000016            4</t>
  </si>
  <si>
    <t>-000017            4</t>
  </si>
  <si>
    <t>-000019            4</t>
  </si>
  <si>
    <t>-000020            4</t>
  </si>
  <si>
    <t>-000021            4</t>
  </si>
  <si>
    <t>-000022            4</t>
  </si>
  <si>
    <t>Sonderblechteil / auftragsbezogen                    31</t>
  </si>
  <si>
    <t>0710247</t>
  </si>
  <si>
    <t>Abschlussleistenführung links</t>
  </si>
  <si>
    <t>0710248</t>
  </si>
  <si>
    <t>Abschlussleistenführung rechts</t>
  </si>
  <si>
    <t>0710252</t>
  </si>
  <si>
    <t>Seitendeckel Mot. rechts Motorseite</t>
  </si>
  <si>
    <t>0710253</t>
  </si>
  <si>
    <t>Seitendeckel Mot.re.Gegenseite 350x260</t>
  </si>
  <si>
    <t>0710254</t>
  </si>
  <si>
    <t>Seitendeckel Mot.li.Motorseite 350x260</t>
  </si>
  <si>
    <t>0710255</t>
  </si>
  <si>
    <t>Seitendeckel Mot.li.Gegenseite 350x260</t>
  </si>
  <si>
    <t>0710256</t>
  </si>
  <si>
    <t>Knotenblech Konsole 350x260</t>
  </si>
  <si>
    <t>0710257</t>
  </si>
  <si>
    <t>Konsole Unterteil 350x260</t>
  </si>
  <si>
    <t>0710258</t>
  </si>
  <si>
    <t>Konsole Oberteil 350x260</t>
  </si>
  <si>
    <t>0710259</t>
  </si>
  <si>
    <t>Winkel-Blende 350x260 Fiberseal</t>
  </si>
  <si>
    <t>0710260</t>
  </si>
  <si>
    <t>Gerade Blende 350x260 Fiberseal</t>
  </si>
  <si>
    <t>0710261</t>
  </si>
  <si>
    <t>Untere-Blende 350x260 Fiberseal</t>
  </si>
  <si>
    <t>0710263</t>
  </si>
  <si>
    <t>Schwenkrahmen Größe 1 kpl. CopyCap</t>
  </si>
  <si>
    <t>0710264</t>
  </si>
  <si>
    <t>Abschlussrahmen Gr.2 kpl. CopyCap                     1</t>
  </si>
  <si>
    <t>0710265</t>
  </si>
  <si>
    <t>Schwenkrahmen Größe 2 kpl. CopyCap                    7</t>
  </si>
  <si>
    <t>0710266</t>
  </si>
  <si>
    <t>Schwenkrahmen Größe 3 kpl. CopyCap                    8</t>
  </si>
  <si>
    <t>0710267</t>
  </si>
  <si>
    <t>Ankerplattenwinkel kpl. CopyCap</t>
  </si>
  <si>
    <t>0710268</t>
  </si>
  <si>
    <t>Abschlussrahmen Gr.3 kpl. CopyCap</t>
  </si>
  <si>
    <t>0710269</t>
  </si>
  <si>
    <t>Abschlussrahmen Gr.1 kpl. CopyCap</t>
  </si>
  <si>
    <t>0710270</t>
  </si>
  <si>
    <t>Magnetwinkel kpl. CopyCap                             2</t>
  </si>
  <si>
    <t>0710271</t>
  </si>
  <si>
    <t>Winkelstahl Zulassung Frankreich                      1</t>
  </si>
  <si>
    <t>0710272</t>
  </si>
  <si>
    <t>Verstärkung U-Stahl Zulassung Frankreich</t>
  </si>
  <si>
    <t>0710273</t>
  </si>
  <si>
    <t>Kugellagerblech Loch Rohr 160x3</t>
  </si>
  <si>
    <t>0710274</t>
  </si>
  <si>
    <t>Kugellagerblech Gewinde Rohr 160x3</t>
  </si>
  <si>
    <t>0710275</t>
  </si>
  <si>
    <t>Gegenlager  Rohr 160x3 komplett                       1</t>
  </si>
  <si>
    <t>0710276</t>
  </si>
  <si>
    <t>Kugellagerblech Loch Rohr 108x3,6</t>
  </si>
  <si>
    <t>0710277</t>
  </si>
  <si>
    <t>Kugellagerblech Gewinde Rohr 108x3,6</t>
  </si>
  <si>
    <t>0710278</t>
  </si>
  <si>
    <t>Gegenlager  Rohr 108x3,6 Blech</t>
  </si>
  <si>
    <t>0710279</t>
  </si>
  <si>
    <t>Motorlagerplatte 350x260 Motor rechts</t>
  </si>
  <si>
    <t>0710280</t>
  </si>
  <si>
    <t>Motorlagerplatte 350 x 260 Motor links</t>
  </si>
  <si>
    <t>0710281</t>
  </si>
  <si>
    <t>Gegenlagerplatte 350x260 Gegenlagerseite</t>
  </si>
  <si>
    <t>0710286</t>
  </si>
  <si>
    <t>Dichtprofil 350x260FibersealEvolution</t>
  </si>
  <si>
    <t>0710287</t>
  </si>
  <si>
    <t>Blende aussen Stand.Mitte lang 3m verz                1</t>
  </si>
  <si>
    <t>0710288</t>
  </si>
  <si>
    <t>Blende aussen lange90°Ecke Einbau rechts</t>
  </si>
  <si>
    <t>0710289</t>
  </si>
  <si>
    <t>Blende aussen lange 90°Ecke Einbau links</t>
  </si>
  <si>
    <t>0710290</t>
  </si>
  <si>
    <t>Blende aussen langStand.Mittelst Geh.225</t>
  </si>
  <si>
    <t>0710291</t>
  </si>
  <si>
    <t>Blende aussen lan90°Ecke Einb re Geh.225</t>
  </si>
  <si>
    <t>0710292</t>
  </si>
  <si>
    <t>Blende aussen lan90°Ecke Einb li Geh.225</t>
  </si>
  <si>
    <t>0710293</t>
  </si>
  <si>
    <t>Motorlagerplatte fest rechts komplett</t>
  </si>
  <si>
    <t>0710294</t>
  </si>
  <si>
    <t>Motorplatte Mot.li.Motorseite kpl350x260</t>
  </si>
  <si>
    <t>0710295</t>
  </si>
  <si>
    <t>Gegenlagerplatte rechts kpl. 350x260</t>
  </si>
  <si>
    <t>0710296</t>
  </si>
  <si>
    <t>Gegenlagerplatte links kpl. 350x260</t>
  </si>
  <si>
    <t>0710297</t>
  </si>
  <si>
    <t>Befestigungskonsole kpl. 350x260</t>
  </si>
  <si>
    <t>0710298</t>
  </si>
  <si>
    <t>Kugellagerblech Loch Rohr 133x4</t>
  </si>
  <si>
    <t>0710299</t>
  </si>
  <si>
    <t>Kugellagerblech Gewinde Rohr 133x4</t>
  </si>
  <si>
    <t>0710300</t>
  </si>
  <si>
    <t>Gegenlager  Rohr 133x4 komplett</t>
  </si>
  <si>
    <t>0710301</t>
  </si>
  <si>
    <t>Abschlusswanne Eckstück 90°Ecke rechts</t>
  </si>
  <si>
    <t>0710302</t>
  </si>
  <si>
    <t>Abschlusswanne Eckstück 90°Ecke links</t>
  </si>
  <si>
    <t>0710303</t>
  </si>
  <si>
    <t>Abschlusswanne Eckstück 90°Ecke verstell</t>
  </si>
  <si>
    <t>0710304</t>
  </si>
  <si>
    <t>Stossverbinder für Blende innen</t>
  </si>
  <si>
    <t>0710305</t>
  </si>
  <si>
    <t>Klemmvorricht. Gewebe in Abschlusswanne</t>
  </si>
  <si>
    <t>0710306</t>
  </si>
  <si>
    <t>Flachstahl Türschließer  Abräumung                    7</t>
  </si>
  <si>
    <t>0710307</t>
  </si>
  <si>
    <t>Bügel Abrollstopp 190x180 RS/FSA</t>
  </si>
  <si>
    <t>0710308</t>
  </si>
  <si>
    <t>Zugvorrichtung Gegengewicht links RGT-K</t>
  </si>
  <si>
    <t>0710309</t>
  </si>
  <si>
    <t>Zugvorrichtung Gegengewicht rechts RGT-K</t>
  </si>
  <si>
    <t>0710310</t>
  </si>
  <si>
    <t>Blechteil für Laufschiene OC 16-B Gr. 1</t>
  </si>
  <si>
    <t>0710311</t>
  </si>
  <si>
    <t>Blechteil für Laufschiene OC 16-B Gr. 2</t>
  </si>
  <si>
    <t>0710312</t>
  </si>
  <si>
    <t>Blechteil für Laufschiene OC 16-B Gr. 3</t>
  </si>
  <si>
    <t>0710313</t>
  </si>
  <si>
    <t>Blechteil für Laufschiene OC 16-B Gr. 4</t>
  </si>
  <si>
    <t>0710314</t>
  </si>
  <si>
    <t>Blechteil für Laufschiene OC 16-B Gr. 5</t>
  </si>
  <si>
    <t>0710315</t>
  </si>
  <si>
    <t>Blechteil für Laufschiene OC 16-B Gr. 6</t>
  </si>
  <si>
    <t>0710317</t>
  </si>
  <si>
    <t>Führungsschiene Pneumatikzylinderhalter</t>
  </si>
  <si>
    <t>0710318</t>
  </si>
  <si>
    <t>Führungsschiene Pneu. Endschalterhalter</t>
  </si>
  <si>
    <t>0710319</t>
  </si>
  <si>
    <t>Führungsschiene Pneu. Dopp.Seilbefestigu</t>
  </si>
  <si>
    <t>0710320</t>
  </si>
  <si>
    <t>Führungsschiene Pneu. Zylinderumlenkung</t>
  </si>
  <si>
    <t>0710321</t>
  </si>
  <si>
    <t>Montagehilfe Fibershield-S</t>
  </si>
  <si>
    <t>0710322</t>
  </si>
  <si>
    <t>Präzisionsstahlrohr Ø 42mm nahtlos, HPL</t>
  </si>
  <si>
    <t>0710323</t>
  </si>
  <si>
    <t>Wandseite links Führschie.Firefast/Ecosh</t>
  </si>
  <si>
    <t>0710324</t>
  </si>
  <si>
    <t>Wandseite rechtsFührschie.Firefast/Ecosh</t>
  </si>
  <si>
    <t>0710327</t>
  </si>
  <si>
    <t>Umlenkscheibe D = 140 mm                              1</t>
  </si>
  <si>
    <t>0710328</t>
  </si>
  <si>
    <t>Tragseil - Konfektioniertes Inox-Seil -</t>
  </si>
  <si>
    <t>0710329</t>
  </si>
  <si>
    <t>Fahrschacht FAA Gleitstück</t>
  </si>
  <si>
    <t>0710331</t>
  </si>
  <si>
    <t>Führungsrolle mit Rillenkugellager</t>
  </si>
  <si>
    <t>0710332</t>
  </si>
  <si>
    <t>Umlenkscheibe D = 160 mm                              2</t>
  </si>
  <si>
    <t>0710334</t>
  </si>
  <si>
    <t>Fahrschacht FAA Klemmkastenhaltewinkel</t>
  </si>
  <si>
    <t>0710339</t>
  </si>
  <si>
    <t>Bohrschablone rechts OC-Konsole</t>
  </si>
  <si>
    <t>0710340</t>
  </si>
  <si>
    <t>Bohrschablone links OC-Konsole</t>
  </si>
  <si>
    <t>0710341</t>
  </si>
  <si>
    <t>Basisplatte BG1 Copycap Decke</t>
  </si>
  <si>
    <t>0710342</t>
  </si>
  <si>
    <t>Basisplatte BG2 Copycap Decke</t>
  </si>
  <si>
    <t>0710343</t>
  </si>
  <si>
    <t>Basisplatte BG3 Copycap Decke</t>
  </si>
  <si>
    <t>0710344</t>
  </si>
  <si>
    <t>Basisplatte BG4 Copycap Decke</t>
  </si>
  <si>
    <t>0710345</t>
  </si>
  <si>
    <t>Deckel unten BG1 Copycap Decke</t>
  </si>
  <si>
    <t>0710346</t>
  </si>
  <si>
    <t>Deckel unten BG2 Copycap Decke</t>
  </si>
  <si>
    <t>0710347</t>
  </si>
  <si>
    <t>Deckel unten BG3 Copycap Decke</t>
  </si>
  <si>
    <t>0710348</t>
  </si>
  <si>
    <t>Deckel unten BG4 Copycap Decke</t>
  </si>
  <si>
    <t>0710349</t>
  </si>
  <si>
    <t>Blende kurze Seite aussen BG 1</t>
  </si>
  <si>
    <t>0710350</t>
  </si>
  <si>
    <t>Blende kurze Seite aussen BG 2/BG 3</t>
  </si>
  <si>
    <t>0710351</t>
  </si>
  <si>
    <t>Blende kurze Seite aussen BG 4</t>
  </si>
  <si>
    <t>0710352</t>
  </si>
  <si>
    <t>Blende kurze Seite aussen Antriebseite</t>
  </si>
  <si>
    <t>0710353</t>
  </si>
  <si>
    <t>0710354</t>
  </si>
  <si>
    <t>0710355</t>
  </si>
  <si>
    <t>Blende kurze Seite innen BG 1</t>
  </si>
  <si>
    <t>0710356</t>
  </si>
  <si>
    <t>Blende kurze Seite innen BG 2/BG 3</t>
  </si>
  <si>
    <t>0710357</t>
  </si>
  <si>
    <t>Blende kurze Seite innen BG 4</t>
  </si>
  <si>
    <t>0710358</t>
  </si>
  <si>
    <t>Schwenk Klappe kurz BG 1</t>
  </si>
  <si>
    <t>0710359</t>
  </si>
  <si>
    <t>Schwenk Klappe kurz BG 2/BG 3</t>
  </si>
  <si>
    <t>0710360</t>
  </si>
  <si>
    <t>Schwenk Klappe kurz BG 4</t>
  </si>
  <si>
    <t>0710361</t>
  </si>
  <si>
    <t>Schwenk Klappe lang BG 1</t>
  </si>
  <si>
    <t>0710362</t>
  </si>
  <si>
    <t>Schwenk Klappe lang BG 2</t>
  </si>
  <si>
    <t>0710363</t>
  </si>
  <si>
    <t>Schwenk Klappe lang BG 3</t>
  </si>
  <si>
    <t>0710364</t>
  </si>
  <si>
    <t>Schwenk Klappe lang BG 4</t>
  </si>
  <si>
    <t>0710365</t>
  </si>
  <si>
    <t>Blende lange Seite aussen Antriebsseite</t>
  </si>
  <si>
    <t>0710366</t>
  </si>
  <si>
    <t>0710367</t>
  </si>
  <si>
    <t>0710368</t>
  </si>
  <si>
    <t>0710369</t>
  </si>
  <si>
    <t>Blende lange Seite aussen BG 1</t>
  </si>
  <si>
    <t>0710370</t>
  </si>
  <si>
    <t>Blende lange Seite aussen BG 2</t>
  </si>
  <si>
    <t>0710371</t>
  </si>
  <si>
    <t>Blende lange Seite aussen BG 3</t>
  </si>
  <si>
    <t>0710372</t>
  </si>
  <si>
    <t>Blende lange Seite aussen BG 4</t>
  </si>
  <si>
    <t>0710373</t>
  </si>
  <si>
    <t>Blende lange Seite innen BG 1</t>
  </si>
  <si>
    <t>0710374</t>
  </si>
  <si>
    <t>Blende lange Seite innen BG 2</t>
  </si>
  <si>
    <t>0710375</t>
  </si>
  <si>
    <t>Blende lange Seite innen BG 3</t>
  </si>
  <si>
    <t>0710376</t>
  </si>
  <si>
    <t>Blende lange Seite innen BG 4</t>
  </si>
  <si>
    <t>0710377</t>
  </si>
  <si>
    <t>Gewebeklemmstreifen kurze Seite BG 1</t>
  </si>
  <si>
    <t>0710378</t>
  </si>
  <si>
    <t>Gewebeklemmstreifen kurze Seite BG1/BG2</t>
  </si>
  <si>
    <t>0710379</t>
  </si>
  <si>
    <t>Gewebeklemmstreifen kurze Seite BG 4</t>
  </si>
  <si>
    <t>0710380</t>
  </si>
  <si>
    <t>Gewebeklemmstreifen lange Seite BG 1</t>
  </si>
  <si>
    <t>0710381</t>
  </si>
  <si>
    <t>Gewebeklemmstreifen lange Seite BG 2</t>
  </si>
  <si>
    <t>0710382</t>
  </si>
  <si>
    <t>Gewebeklemmstreifen lange Seite BG 3</t>
  </si>
  <si>
    <t>0710383</t>
  </si>
  <si>
    <t>Gewebeklemmstreifen lange Seite BG 4</t>
  </si>
  <si>
    <t>0710384</t>
  </si>
  <si>
    <t>Zwischenboden kurz BG 1</t>
  </si>
  <si>
    <t>0710385</t>
  </si>
  <si>
    <t>Zwischenboden kurz BG 2/BG 3</t>
  </si>
  <si>
    <t>0710386</t>
  </si>
  <si>
    <t>Zwischenboden kurz BG 4</t>
  </si>
  <si>
    <t>0710387</t>
  </si>
  <si>
    <t>Zwischenboden lang Antriebsseite</t>
  </si>
  <si>
    <t>0710388</t>
  </si>
  <si>
    <t>0710389</t>
  </si>
  <si>
    <t>0710390</t>
  </si>
  <si>
    <t>0710391</t>
  </si>
  <si>
    <t>Zwischenboden lang Copycap Decke BG 1</t>
  </si>
  <si>
    <t>0710392</t>
  </si>
  <si>
    <t>Zwischenboden lang Copycap Decke BG 2</t>
  </si>
  <si>
    <t>0710393</t>
  </si>
  <si>
    <t>Zwischenboden lang Copycap Decke BG 3</t>
  </si>
  <si>
    <t>0710394</t>
  </si>
  <si>
    <t>Zwischenboden lang Copycap Decke BG 4</t>
  </si>
  <si>
    <t>0710395</t>
  </si>
  <si>
    <t>Scharnier Hinlegblech kurz BG 1</t>
  </si>
  <si>
    <t>0710396</t>
  </si>
  <si>
    <t>Scharnier Hinlegblech kurz BG 2/BG 3</t>
  </si>
  <si>
    <t>0710397</t>
  </si>
  <si>
    <t>Scharnier Hinlegblech kurz BG 4</t>
  </si>
  <si>
    <t>0710398</t>
  </si>
  <si>
    <t>Scharnier Hinterlegblech lang BG 1</t>
  </si>
  <si>
    <t>0710399</t>
  </si>
  <si>
    <t>Scharnier Hinlegblech lang BG 2</t>
  </si>
  <si>
    <t>0710400</t>
  </si>
  <si>
    <t>Scharnier Hinlegblech lang BG 3</t>
  </si>
  <si>
    <t>0710401</t>
  </si>
  <si>
    <t>Scharnier Hinlegblech lang BG 4</t>
  </si>
  <si>
    <t>0710402</t>
  </si>
  <si>
    <t>Eckverblendung Copycap Decke</t>
  </si>
  <si>
    <t>0710403</t>
  </si>
  <si>
    <t>Antriebswelle Copycap Decke komplett BG1</t>
  </si>
  <si>
    <t>0710404</t>
  </si>
  <si>
    <t>Antriebswelle Copycap Decke komplett BG2</t>
  </si>
  <si>
    <t>0710405</t>
  </si>
  <si>
    <t>Antriebswelle Copycap Decke komplett BG3</t>
  </si>
  <si>
    <t>0710406</t>
  </si>
  <si>
    <t>Antriebswelle Copycap Decke komplett BG4</t>
  </si>
  <si>
    <t>0710407</t>
  </si>
  <si>
    <t>Antriebswellenaufnahme Copycap Decke</t>
  </si>
  <si>
    <t>0710408</t>
  </si>
  <si>
    <t>Bordscheibe Copycap Decke</t>
  </si>
  <si>
    <t>0710409</t>
  </si>
  <si>
    <t>Zahnscheibe Copycap Decke</t>
  </si>
  <si>
    <t>0710410</t>
  </si>
  <si>
    <t>Umlenkwinkel Copycap Decke</t>
  </si>
  <si>
    <t>0710411</t>
  </si>
  <si>
    <t>Haltebrücke Copycap Decke</t>
  </si>
  <si>
    <t>0710412</t>
  </si>
  <si>
    <t>Feststellkonsole Copycap Decke</t>
  </si>
  <si>
    <t>0710413</t>
  </si>
  <si>
    <t>Winkelgetriebe Blechteil 1 Copycap Decke</t>
  </si>
  <si>
    <t>0710414</t>
  </si>
  <si>
    <t>Winkelgetriebe Blechteil 2 Copycap Decke</t>
  </si>
  <si>
    <t>0710415</t>
  </si>
  <si>
    <t>Getriebeabdeckung Copycap Decke</t>
  </si>
  <si>
    <t>0710416</t>
  </si>
  <si>
    <t>Abgleitblech und Magnethaltewinkel</t>
  </si>
  <si>
    <t>0710417</t>
  </si>
  <si>
    <t>Firefast EW 90 2. Generation</t>
  </si>
  <si>
    <t>0710418</t>
  </si>
  <si>
    <t>0710419</t>
  </si>
  <si>
    <t>0710420</t>
  </si>
  <si>
    <t>0710421</t>
  </si>
  <si>
    <t>Blechschild für Abnahmeprüfung</t>
  </si>
  <si>
    <t>0710422</t>
  </si>
  <si>
    <t>Wandwinkel</t>
  </si>
  <si>
    <t>0710423</t>
  </si>
  <si>
    <t>Gehäusekantung rechts Firefast EW 90</t>
  </si>
  <si>
    <t>0710424</t>
  </si>
  <si>
    <t>Gehäusekantung links Firefast EW 90</t>
  </si>
  <si>
    <t>0710425</t>
  </si>
  <si>
    <t>0710426</t>
  </si>
  <si>
    <t>0710427</t>
  </si>
  <si>
    <t>0710428</t>
  </si>
  <si>
    <t>0710429</t>
  </si>
  <si>
    <t>0710430</t>
  </si>
  <si>
    <t>Gegenseite linksFührschie.Firefast/Ecosh</t>
  </si>
  <si>
    <t>0710431</t>
  </si>
  <si>
    <t>GegenseiterechtsFührschie.Firefast/Ecosh</t>
  </si>
  <si>
    <t>0710432</t>
  </si>
  <si>
    <t>Feststellwippe ab 1000 mm Breite</t>
  </si>
  <si>
    <t>0710433</t>
  </si>
  <si>
    <t>Blende Gehäuse ab 1000mm Breite</t>
  </si>
  <si>
    <t>0710434</t>
  </si>
  <si>
    <t>Führungsschiene Nische links komplett</t>
  </si>
  <si>
    <t>0710435</t>
  </si>
  <si>
    <t>Führungsschiene Nische rechts komplett</t>
  </si>
  <si>
    <t>0710436</t>
  </si>
  <si>
    <t>Verbindungsblech feder. Abschlussleiste</t>
  </si>
  <si>
    <t>0710438</t>
  </si>
  <si>
    <t>Kabelschacht für Bodenmontage Elektrik</t>
  </si>
  <si>
    <t>0710439</t>
  </si>
  <si>
    <t>Schaltschrankmontageplatte Elektrik</t>
  </si>
  <si>
    <t>0710440</t>
  </si>
  <si>
    <t>Anbindung Schleppkette Führungsschiene</t>
  </si>
  <si>
    <t>0710441</t>
  </si>
  <si>
    <t>0710442</t>
  </si>
  <si>
    <t>Verbindung Abschlussleiste mit</t>
  </si>
  <si>
    <t>0710443</t>
  </si>
  <si>
    <t>0710444</t>
  </si>
  <si>
    <t>0710445</t>
  </si>
  <si>
    <t>Blech für Befestigung Lichtschrankenarm</t>
  </si>
  <si>
    <t>0710446</t>
  </si>
  <si>
    <t>Befestigung Lichtschrankenarm</t>
  </si>
  <si>
    <t>0710447</t>
  </si>
  <si>
    <t>0710448</t>
  </si>
  <si>
    <t>Montagesicherung Gewebe Evolution</t>
  </si>
  <si>
    <t>0710449</t>
  </si>
  <si>
    <t>Endanschlag innen Fibershield-S</t>
  </si>
  <si>
    <t>0710450</t>
  </si>
  <si>
    <t>Halteblech Gegenlager fest</t>
  </si>
  <si>
    <t>0710451</t>
  </si>
  <si>
    <t>Rollenhalter komplett Führungsschiene</t>
  </si>
  <si>
    <t>0710452</t>
  </si>
  <si>
    <t>Stoßverbinder/Untere Blende</t>
  </si>
  <si>
    <t>0710453</t>
  </si>
  <si>
    <t>Aufnahme für Freilauf HF2016 Copycab-D                1</t>
  </si>
  <si>
    <t>0710454</t>
  </si>
  <si>
    <t>Wickelwellenverbindungswelle Copycab-D                1</t>
  </si>
  <si>
    <t>0710455</t>
  </si>
  <si>
    <t>Kurbelaufnahmewelle Copycab-D</t>
  </si>
  <si>
    <t>0710456</t>
  </si>
  <si>
    <t>Freilaufwelle Copycab-D                               1</t>
  </si>
  <si>
    <t>0710457</t>
  </si>
  <si>
    <t>Deckprofil Wandseite links Firefast/Eco</t>
  </si>
  <si>
    <t>0710458</t>
  </si>
  <si>
    <t>Deckprofil Wandseite rechts Firefast/Eco</t>
  </si>
  <si>
    <t>0710459</t>
  </si>
  <si>
    <t>0710460</t>
  </si>
  <si>
    <t>Führungsscheibe 50/78</t>
  </si>
  <si>
    <t>0710461</t>
  </si>
  <si>
    <t>Klemmverbinder (C 105x50x3) T-Stoß</t>
  </si>
  <si>
    <t>0710462</t>
  </si>
  <si>
    <t>Kantung Schieberführung rechts</t>
  </si>
  <si>
    <t>0710463</t>
  </si>
  <si>
    <t>Kantung Schieberführung links</t>
  </si>
  <si>
    <t>0710464</t>
  </si>
  <si>
    <t>Führungsschiene Basisprofil Laibmon</t>
  </si>
  <si>
    <t>0710465</t>
  </si>
  <si>
    <t>Führungsschiene Basisprofil Wandmon</t>
  </si>
  <si>
    <t>0710466</t>
  </si>
  <si>
    <t>Befestigungswinkel Heizung</t>
  </si>
  <si>
    <t>0710468</t>
  </si>
  <si>
    <t>Stoßverbinder - oben OC-Führungsschiene</t>
  </si>
  <si>
    <t>0710469</t>
  </si>
  <si>
    <t>Stoßverbinder - unten OC-Führungsschiene</t>
  </si>
  <si>
    <t>0710470</t>
  </si>
  <si>
    <t>RZ3 Platte für PE und N Elektrik</t>
  </si>
  <si>
    <t>0710471</t>
  </si>
  <si>
    <t>Untere Blende 285x200 Fiberseal Evo.</t>
  </si>
  <si>
    <t>0710472</t>
  </si>
  <si>
    <t>0710473</t>
  </si>
  <si>
    <t>Gerade Blende, Revision</t>
  </si>
  <si>
    <t>0710474</t>
  </si>
  <si>
    <t>Revisionsdeckel</t>
  </si>
  <si>
    <t>0710475</t>
  </si>
  <si>
    <t>Seitendeckel Mo.re.Gegen235x190 Decke</t>
  </si>
  <si>
    <t>0710476</t>
  </si>
  <si>
    <t>Seitendeckel Mo.li.Gegen235x190 Decke</t>
  </si>
  <si>
    <t>0710477</t>
  </si>
  <si>
    <t>Seilklemmblech Führungsschiene</t>
  </si>
  <si>
    <t>0710478</t>
  </si>
  <si>
    <t>Versteifungswinkel Einlaufkantung</t>
  </si>
  <si>
    <t>0710479</t>
  </si>
  <si>
    <t>Haltewinkel Mitte Einlaufkantung</t>
  </si>
  <si>
    <t>0710480</t>
  </si>
  <si>
    <t>Versteifungsblech Schwenkblech</t>
  </si>
  <si>
    <t>0710481</t>
  </si>
  <si>
    <t>0710482</t>
  </si>
  <si>
    <t>Blechteil für Laufschiene OC 12-B Gr. 1</t>
  </si>
  <si>
    <t>0710483</t>
  </si>
  <si>
    <t>Blechteil für Laufschiene OC 12-B Gr. 2</t>
  </si>
  <si>
    <t>0710484</t>
  </si>
  <si>
    <t>Blechteil für Laufschiene OC 12-B Gr. 3</t>
  </si>
  <si>
    <t>0710485</t>
  </si>
  <si>
    <t>Blechteil für Laufschiene OC 12-B Gr. 4</t>
  </si>
  <si>
    <t>0710488</t>
  </si>
  <si>
    <t>Gehäuseoberteil 510x400</t>
  </si>
  <si>
    <t>0710489</t>
  </si>
  <si>
    <t>Gehäuseunterteil 510x400</t>
  </si>
  <si>
    <t>0710490</t>
  </si>
  <si>
    <t>Seitendeckel rechts 510x400</t>
  </si>
  <si>
    <t>0710491</t>
  </si>
  <si>
    <t>Seitendeckel links 510x400</t>
  </si>
  <si>
    <t>0710492</t>
  </si>
  <si>
    <t>Wickellagerkonsole (Blechteil) 510x400                1</t>
  </si>
  <si>
    <t>0710493</t>
  </si>
  <si>
    <t>Wickellagerkonsole komplett</t>
  </si>
  <si>
    <t>0710494</t>
  </si>
  <si>
    <t>Fibershield-I EI 30 Federhaltewinkel</t>
  </si>
  <si>
    <t>0710495</t>
  </si>
  <si>
    <t>Federführungsstange 510x400</t>
  </si>
  <si>
    <t>0710496</t>
  </si>
  <si>
    <t>Fibershield-I EI 30 Flachstahl 70x10</t>
  </si>
  <si>
    <t>0710497</t>
  </si>
  <si>
    <t>Rollenhalter 510x400 Fibershield-I EI 30</t>
  </si>
  <si>
    <t>0710498</t>
  </si>
  <si>
    <t>Verriegelungshalter rechts 510x400</t>
  </si>
  <si>
    <t>0710499</t>
  </si>
  <si>
    <t>Verriegelungshalter links 510x400</t>
  </si>
  <si>
    <t>0710500</t>
  </si>
  <si>
    <t>Verriegelungshebel 510x400</t>
  </si>
  <si>
    <t>0710501</t>
  </si>
  <si>
    <t>Fibershield-I EI 30 Bolzen l=80 mm</t>
  </si>
  <si>
    <t>0710502</t>
  </si>
  <si>
    <t>Verriegelungshalter komplett 510x400                  2</t>
  </si>
  <si>
    <t>0710503</t>
  </si>
  <si>
    <t>Versteifungsspange Wandseite</t>
  </si>
  <si>
    <t>0710504</t>
  </si>
  <si>
    <t>Versteifungsspange Raumseite</t>
  </si>
  <si>
    <t>0710505</t>
  </si>
  <si>
    <t>Motorlagerscheibe Rohr 152,4x4</t>
  </si>
  <si>
    <t>0710506</t>
  </si>
  <si>
    <t>Gegenlagerscheibe Rohr 152,4x4</t>
  </si>
  <si>
    <t>0710507</t>
  </si>
  <si>
    <t>Rundstahl Gegenlager Wickelrohr</t>
  </si>
  <si>
    <t>0710508</t>
  </si>
  <si>
    <t>Wickelkonsole Oberteil rechts</t>
  </si>
  <si>
    <t>0710509</t>
  </si>
  <si>
    <t>Unterteil Konsole Wickelgehäuse Decken-</t>
  </si>
  <si>
    <t>0710510</t>
  </si>
  <si>
    <t>Befestigungswinkel Deckeneinbau</t>
  </si>
  <si>
    <t>0710511</t>
  </si>
  <si>
    <t>Stabilisierungsblech</t>
  </si>
  <si>
    <t>0710512</t>
  </si>
  <si>
    <t>Seitendeckel Wickelgehäuse Motorgegen-</t>
  </si>
  <si>
    <t>0710513</t>
  </si>
  <si>
    <t>0710514</t>
  </si>
  <si>
    <t>Motorlagerplatte links feste Lagerung</t>
  </si>
  <si>
    <t>0710515</t>
  </si>
  <si>
    <t>Motorlagerplatte rechts feste Lagerung</t>
  </si>
  <si>
    <t>0710516</t>
  </si>
  <si>
    <t>Winkelblende Endstück links</t>
  </si>
  <si>
    <t>0710517</t>
  </si>
  <si>
    <t>Winkelblende Endstück rechts</t>
  </si>
  <si>
    <t>0710518</t>
  </si>
  <si>
    <t>Winkelblende Mittelstück</t>
  </si>
  <si>
    <t>0710519</t>
  </si>
  <si>
    <t>Untere Blende links</t>
  </si>
  <si>
    <t>0710520</t>
  </si>
  <si>
    <t>Untere Blende rechts</t>
  </si>
  <si>
    <t>0710521</t>
  </si>
  <si>
    <t>Untere Blende Mitte</t>
  </si>
  <si>
    <t>0710522</t>
  </si>
  <si>
    <t>Auslaufkantung links</t>
  </si>
  <si>
    <t>0710523</t>
  </si>
  <si>
    <t>Auslaufkantung rechts</t>
  </si>
  <si>
    <t>0710524</t>
  </si>
  <si>
    <t>Auslaufkantung Mitte Ende</t>
  </si>
  <si>
    <t>0710525</t>
  </si>
  <si>
    <t>Auslaufkantung Mitte Mitte</t>
  </si>
  <si>
    <t>0710526</t>
  </si>
  <si>
    <t>Verbindungsblock Fibershield-H Duplex                 1</t>
  </si>
  <si>
    <t>0710527</t>
  </si>
  <si>
    <t>Teflonstreifen für Fibershield-H Duplex               1</t>
  </si>
  <si>
    <t>0710528</t>
  </si>
  <si>
    <t>Oberteil Konsole links Einlaufgehäuse</t>
  </si>
  <si>
    <t>0710529</t>
  </si>
  <si>
    <t>Oberteil Konsole rechts Einlaufgehäuse</t>
  </si>
  <si>
    <t>0710530</t>
  </si>
  <si>
    <t>Unterteil Konsole Einlaufgehäuse</t>
  </si>
  <si>
    <t>0710531</t>
  </si>
  <si>
    <t>Sperrscheibe Fibershield-H Duplex</t>
  </si>
  <si>
    <t>0710532</t>
  </si>
  <si>
    <t>Bremshebel Fibershield-H Duplex</t>
  </si>
  <si>
    <t>0710533</t>
  </si>
  <si>
    <t>Sperrhebel Fibershield-H Duplex</t>
  </si>
  <si>
    <t>0710534</t>
  </si>
  <si>
    <t>Verriegelungskantung kurz</t>
  </si>
  <si>
    <t>0710536</t>
  </si>
  <si>
    <t>Einlaufkantung links</t>
  </si>
  <si>
    <t>0710537</t>
  </si>
  <si>
    <t>Einlaufkantung rechts</t>
  </si>
  <si>
    <t>0710538</t>
  </si>
  <si>
    <t>Einlaufkantung Mitte</t>
  </si>
  <si>
    <t>0710539</t>
  </si>
  <si>
    <t>Rohrscheibe 70/120                                    1</t>
  </si>
  <si>
    <t>0710540</t>
  </si>
  <si>
    <t>Stützscheibe</t>
  </si>
  <si>
    <t>0710541</t>
  </si>
  <si>
    <t>Rollenhalter Fibershield-H Duplex</t>
  </si>
  <si>
    <t>0710542</t>
  </si>
  <si>
    <t>Führungsschienenbasis 2m</t>
  </si>
  <si>
    <t>0710543</t>
  </si>
  <si>
    <t>Führungsschienenbasis variabel</t>
  </si>
  <si>
    <t>0710544</t>
  </si>
  <si>
    <t>Führungsschienenwinkel 2m</t>
  </si>
  <si>
    <t>0710545</t>
  </si>
  <si>
    <t>Führungsschienenwinkel variabel</t>
  </si>
  <si>
    <t>0710546</t>
  </si>
  <si>
    <t>Spange Führungsschiene</t>
  </si>
  <si>
    <t>0710547</t>
  </si>
  <si>
    <t>Laufplatte innen Wickelgehäuse</t>
  </si>
  <si>
    <t>0710548</t>
  </si>
  <si>
    <t>Laufschiene für schwimmende Lagerung</t>
  </si>
  <si>
    <t>0710549</t>
  </si>
  <si>
    <t>Laufplattwinkel  Wickelgehäuse</t>
  </si>
  <si>
    <t>0710550</t>
  </si>
  <si>
    <t>Abschlussleistenverbinder</t>
  </si>
  <si>
    <t>0710551</t>
  </si>
  <si>
    <t>Abschlussleistenverbinder Oberteil</t>
  </si>
  <si>
    <t>0710552</t>
  </si>
  <si>
    <t>Auflageplatte Abschlussleiste</t>
  </si>
  <si>
    <t>0710553</t>
  </si>
  <si>
    <t>Dichtprofilverbinder Fibershield-H</t>
  </si>
  <si>
    <t>0710554</t>
  </si>
  <si>
    <t>Dichtprofilverbinder Silikonschlauch</t>
  </si>
  <si>
    <t>0710555</t>
  </si>
  <si>
    <t>Unteres Dichtprofil Auslaufseite</t>
  </si>
  <si>
    <t>0710556</t>
  </si>
  <si>
    <t>Unteres Dichtprofil 2m</t>
  </si>
  <si>
    <t>0710557</t>
  </si>
  <si>
    <t>Unteres Dichtprofil Einlaufseite</t>
  </si>
  <si>
    <t>0710558</t>
  </si>
  <si>
    <t>Unteres Dichtprofil &lt; 2,5 m System</t>
  </si>
  <si>
    <t>0710559</t>
  </si>
  <si>
    <t>Oberes Dichtprofil Auslaufseite</t>
  </si>
  <si>
    <t>0710560</t>
  </si>
  <si>
    <t>Oberes Dichtprofil 2m</t>
  </si>
  <si>
    <t>0710561</t>
  </si>
  <si>
    <t>Oberes Dichtprofil Einlaufseite</t>
  </si>
  <si>
    <t>0710562</t>
  </si>
  <si>
    <t>Oberes Dichtprofil &lt; 2,5 m System</t>
  </si>
  <si>
    <t>0710563</t>
  </si>
  <si>
    <t>Oberes Silikonschlauchdichtprofil</t>
  </si>
  <si>
    <t>0710564</t>
  </si>
  <si>
    <t>Oberes Silikonschlauchdichtprofil 2m</t>
  </si>
  <si>
    <t>0710565</t>
  </si>
  <si>
    <t>0710566</t>
  </si>
  <si>
    <t>0710567</t>
  </si>
  <si>
    <t>Anschlussstück für Silikondichtung                    1</t>
  </si>
  <si>
    <t>0710568</t>
  </si>
  <si>
    <t>Anschlussmutter für Silikondichtung</t>
  </si>
  <si>
    <t>0710569</t>
  </si>
  <si>
    <t>Führungsschiene Basisprofil Wandseite</t>
  </si>
  <si>
    <t>0710570</t>
  </si>
  <si>
    <t>0710571</t>
  </si>
  <si>
    <t>Führungsschiene Basisprofil Raumseite</t>
  </si>
  <si>
    <t>0710572</t>
  </si>
  <si>
    <t>0710573</t>
  </si>
  <si>
    <t>Führungsschiene Profil Wandseite rechts</t>
  </si>
  <si>
    <t>0710574</t>
  </si>
  <si>
    <t>Führungsschiene Profil Wandseite links</t>
  </si>
  <si>
    <t>0710575</t>
  </si>
  <si>
    <t>Führungsschiene Profil Raumseite rechts</t>
  </si>
  <si>
    <t>0710576</t>
  </si>
  <si>
    <t>Führungsschiene Profil Raumseite links</t>
  </si>
  <si>
    <t>0710577</t>
  </si>
  <si>
    <t>Führungsschiene Deckel rechts</t>
  </si>
  <si>
    <t>0710578</t>
  </si>
  <si>
    <t>Führungsschiene Deckel links</t>
  </si>
  <si>
    <t>0710584</t>
  </si>
  <si>
    <t>Haken für Montagehilfe Fibershield-S</t>
  </si>
  <si>
    <t>0710585</t>
  </si>
  <si>
    <t>Winkelgetriebe Oberteil M=17 Nm</t>
  </si>
  <si>
    <t>0710586</t>
  </si>
  <si>
    <t>Winkelgetriebe Unterteil M=17 Nm</t>
  </si>
  <si>
    <t>0710588</t>
  </si>
  <si>
    <t>Welle Winkelgetriebe Fiber-Smokeshield-S              1</t>
  </si>
  <si>
    <t>0710589</t>
  </si>
  <si>
    <t>0710590</t>
  </si>
  <si>
    <t>Kegelrad 90 Grad z=25                                 2</t>
  </si>
  <si>
    <t>0710592</t>
  </si>
  <si>
    <t>Baugruppe Antrieb OC für 0,75 KW Motor                9</t>
  </si>
  <si>
    <t>0710593</t>
  </si>
  <si>
    <t>Baugruppe Antrieb OC für 1,5 KW Motor                 1</t>
  </si>
  <si>
    <t>0710594</t>
  </si>
  <si>
    <t>Querrohr kpl Fibershield-I EI 30</t>
  </si>
  <si>
    <t>0710595</t>
  </si>
  <si>
    <t>Federführungsstange kpl. 510x400</t>
  </si>
  <si>
    <t>0710596</t>
  </si>
  <si>
    <t>Motor-Konsolenaussenteil rechts, Geh 225</t>
  </si>
  <si>
    <t>0710597</t>
  </si>
  <si>
    <t>Motor-Konsole-Komplett Geh. 225 rechts                1</t>
  </si>
  <si>
    <t>0710598</t>
  </si>
  <si>
    <t>Motor-Konsole-Komplett rechts, Ketten-                1</t>
  </si>
  <si>
    <t>0710599</t>
  </si>
  <si>
    <t>Distanzhülse Kettenanbindung untere</t>
  </si>
  <si>
    <t>0710600</t>
  </si>
  <si>
    <t>Endanschlag innen Geh. 225,</t>
  </si>
  <si>
    <t>0710601</t>
  </si>
  <si>
    <t>L-Kantung für Initiator 0813009</t>
  </si>
  <si>
    <t>0710602</t>
  </si>
  <si>
    <t>Z-Kantung für Initiator 0813009</t>
  </si>
  <si>
    <t>0710603</t>
  </si>
  <si>
    <t>Initiatorblech Omnischott vertikal</t>
  </si>
  <si>
    <t>0710604</t>
  </si>
  <si>
    <t>Initiatorwinkel Omnischott horizontal</t>
  </si>
  <si>
    <t>0710605</t>
  </si>
  <si>
    <t>Gehäuse PD 1000 komplett                              2</t>
  </si>
  <si>
    <t>0710606</t>
  </si>
  <si>
    <t>Gehäuse PD 1000 Gehäuseteil                           1</t>
  </si>
  <si>
    <t>0710607</t>
  </si>
  <si>
    <t>Gehäuse PD 1000 Deckel</t>
  </si>
  <si>
    <t>0710608</t>
  </si>
  <si>
    <t>Gehäuse PD 1000 Haltewinkel</t>
  </si>
  <si>
    <t>0710609</t>
  </si>
  <si>
    <t>Gehäuse PD 1000 Befestigungslasche</t>
  </si>
  <si>
    <t>0710610</t>
  </si>
  <si>
    <t>Gehäuse PD 1500 komplett                              2</t>
  </si>
  <si>
    <t>0710611</t>
  </si>
  <si>
    <t>Gehäuse PD 1500 Gehäuseteil                           1</t>
  </si>
  <si>
    <t>0710612</t>
  </si>
  <si>
    <t>Gehäuse PD 1500 Deckel</t>
  </si>
  <si>
    <t>0710613</t>
  </si>
  <si>
    <t>Gehäuse PD 1500 Haltewinkel</t>
  </si>
  <si>
    <t>0710614</t>
  </si>
  <si>
    <t>Gehäuse PD 1500 Befestigungslasche</t>
  </si>
  <si>
    <t>0710615</t>
  </si>
  <si>
    <t>Halteblech für Funkempfänger OC</t>
  </si>
  <si>
    <t>0710616</t>
  </si>
  <si>
    <t>Verjüngungsrohr 70/120 Motorseite                     2</t>
  </si>
  <si>
    <t>0710617</t>
  </si>
  <si>
    <t>Verjüngungsrohr 70/120 Gegenseite                     3</t>
  </si>
  <si>
    <t>0710618</t>
  </si>
  <si>
    <t>Einsteckrohr Einlaufseite</t>
  </si>
  <si>
    <t>0710619</t>
  </si>
  <si>
    <t>Wickelkonsole Oberteil links</t>
  </si>
  <si>
    <t>0710620</t>
  </si>
  <si>
    <t>Rundstahl für Spannseilumlenkung</t>
  </si>
  <si>
    <t>0710621</t>
  </si>
  <si>
    <t>Befestigungswinkel komplett Einlaufseite              1</t>
  </si>
  <si>
    <t>0710622</t>
  </si>
  <si>
    <t>Befestigungswinkel komplett Wickelseite</t>
  </si>
  <si>
    <t>0710623</t>
  </si>
  <si>
    <t>Wickelkonsole komplett</t>
  </si>
  <si>
    <t>0710624</t>
  </si>
  <si>
    <t>Einlaufkonsole komplett</t>
  </si>
  <si>
    <t>0710625</t>
  </si>
  <si>
    <t>Neoprenstück Bremse</t>
  </si>
  <si>
    <t>0710626</t>
  </si>
  <si>
    <t>Vierkant 20x20 - Spanner</t>
  </si>
  <si>
    <t>0710627</t>
  </si>
  <si>
    <t>Führungswinkel Abschlussleiste                        1</t>
  </si>
  <si>
    <t>0710628</t>
  </si>
  <si>
    <t>Leiste für Tasche Fibershield-H Duplex</t>
  </si>
  <si>
    <t>0710629</t>
  </si>
  <si>
    <t>Bremshebel komplett</t>
  </si>
  <si>
    <t>0710639</t>
  </si>
  <si>
    <t>Führungsschienenbasis rechts var. Länge</t>
  </si>
  <si>
    <t>0710641</t>
  </si>
  <si>
    <t>Blechstreifen Verbindungsschelle</t>
  </si>
  <si>
    <t>0710642</t>
  </si>
  <si>
    <t>Abstandhalter für Konsole</t>
  </si>
  <si>
    <t>0710643</t>
  </si>
  <si>
    <t>Gehäuseoberteil Fibershield-I EI 60</t>
  </si>
  <si>
    <t>0710644</t>
  </si>
  <si>
    <t>Gehäuseunterteil Fibershield-I EI 60</t>
  </si>
  <si>
    <t>0710645</t>
  </si>
  <si>
    <t>Seitendeckel links Fibershield-I EI 60</t>
  </si>
  <si>
    <t>0710646</t>
  </si>
  <si>
    <t>Seitendeckel rechts Fibershield-I EI 60</t>
  </si>
  <si>
    <t>0710647</t>
  </si>
  <si>
    <t>Rollenhalter Fibershield-I EI 60</t>
  </si>
  <si>
    <t>0710648</t>
  </si>
  <si>
    <t>Verriegelungshebel Fibershield-I EI 60</t>
  </si>
  <si>
    <t>0710649</t>
  </si>
  <si>
    <t>Verriegelungshebelhalter links</t>
  </si>
  <si>
    <t>0710650</t>
  </si>
  <si>
    <t>Verriegelungshebelhalter rechts</t>
  </si>
  <si>
    <t>0710651</t>
  </si>
  <si>
    <t>Verriegelung komplett                                 2</t>
  </si>
  <si>
    <t>0710652</t>
  </si>
  <si>
    <t>Federführungsstange</t>
  </si>
  <si>
    <t>0710653</t>
  </si>
  <si>
    <t>Federführungsstange komplett</t>
  </si>
  <si>
    <t>0710654</t>
  </si>
  <si>
    <t>Wickellagerkonsole (Blechteil)</t>
  </si>
  <si>
    <t>0710655</t>
  </si>
  <si>
    <t>Wickellagerkonsole Stützwinkel</t>
  </si>
  <si>
    <t>0710656</t>
  </si>
  <si>
    <t>Wickellagerkonsole komplett Gegenseite</t>
  </si>
  <si>
    <t>0710657</t>
  </si>
  <si>
    <t>Rollenhalter Führungsschiene</t>
  </si>
  <si>
    <t>0710658</t>
  </si>
  <si>
    <t>Gewebesturzbefestigung</t>
  </si>
  <si>
    <t>0710659</t>
  </si>
  <si>
    <t>0710660</t>
  </si>
  <si>
    <t>Wickellagerkonsole komplett Motorseite</t>
  </si>
  <si>
    <t>0710661</t>
  </si>
  <si>
    <t>Gegenlager Fibershield-I                              1</t>
  </si>
  <si>
    <t>0710662</t>
  </si>
  <si>
    <t>Motorrohr R 120-L Fibershield-I                       3</t>
  </si>
  <si>
    <t>0710663</t>
  </si>
  <si>
    <t>RZ3 Blech für Zwischenteil Protronic</t>
  </si>
  <si>
    <t>0710664</t>
  </si>
  <si>
    <t>Aufsetzblech ECClos-Flex</t>
  </si>
  <si>
    <t>0710665</t>
  </si>
  <si>
    <t>Ausklappblech ECClos-Flex</t>
  </si>
  <si>
    <t>0710666</t>
  </si>
  <si>
    <t>Gegenhalteblech ECClos-Flex</t>
  </si>
  <si>
    <t>0710667</t>
  </si>
  <si>
    <t>Nietblech ECClos-Flex</t>
  </si>
  <si>
    <t>0710669</t>
  </si>
  <si>
    <t>Basisteil Abschlusselement ECClos-Flex</t>
  </si>
  <si>
    <t>0710670</t>
  </si>
  <si>
    <t>Befestigungs-Z Festfeld ECClos-Flex</t>
  </si>
  <si>
    <t>0710671</t>
  </si>
  <si>
    <t>Blende ECClos-Flex</t>
  </si>
  <si>
    <t>0710672</t>
  </si>
  <si>
    <t>Klemmteil Abschlusselement ECClos-Flex</t>
  </si>
  <si>
    <t>0710673</t>
  </si>
  <si>
    <t>Seitenhalter links ECClos-Flex</t>
  </si>
  <si>
    <t>0710674</t>
  </si>
  <si>
    <t>Verbindungs-Z Abschlusselement</t>
  </si>
  <si>
    <t>0710677</t>
  </si>
  <si>
    <t>Antriebskettenset Fibershield-S</t>
  </si>
  <si>
    <t>0710678</t>
  </si>
  <si>
    <t>Distanzblech Basisprofil Laibung</t>
  </si>
  <si>
    <t>0710679</t>
  </si>
  <si>
    <t>Befestigungsblech für Sicherheit-</t>
  </si>
  <si>
    <t>0710680</t>
  </si>
  <si>
    <t>Motorlagerscheibe Einsteckrohr 108x3,6</t>
  </si>
  <si>
    <t>0710681</t>
  </si>
  <si>
    <t>Motorrohr T8 Fibershield-I                            3</t>
  </si>
  <si>
    <t>0710682</t>
  </si>
  <si>
    <t>Akkuhalter 18 AH Teil 1 Elektrik</t>
  </si>
  <si>
    <t>0710683</t>
  </si>
  <si>
    <t>Akkuhalter 18 AH Teil 2 Elektrik</t>
  </si>
  <si>
    <t>0710684</t>
  </si>
  <si>
    <t>Winkelgetriebe mit Wellengelenk links                 8</t>
  </si>
  <si>
    <t>0710685</t>
  </si>
  <si>
    <t>Winkelgetriebe mit Wellengelenk rechts                8</t>
  </si>
  <si>
    <t>0710691</t>
  </si>
  <si>
    <t>OC Konsole Flansch für Antriebswellen-</t>
  </si>
  <si>
    <t>0710692</t>
  </si>
  <si>
    <t>Gehäuseoberteil rechts ab 4m / 510x400</t>
  </si>
  <si>
    <t>0710693</t>
  </si>
  <si>
    <t>Gehäuseoberteil links ab 4m / 510x400</t>
  </si>
  <si>
    <t>0710694</t>
  </si>
  <si>
    <t>Gehäuseunterteil rechts ab 4m / 510x400</t>
  </si>
  <si>
    <t>0710695</t>
  </si>
  <si>
    <t>Gehäuseunterteil links ab 4m / 510x400</t>
  </si>
  <si>
    <t>0710696</t>
  </si>
  <si>
    <t>Gehäuseverbinder Aussenteil</t>
  </si>
  <si>
    <t>0710697</t>
  </si>
  <si>
    <t>Gewebefixierung Fibershield-S</t>
  </si>
  <si>
    <t>0710698</t>
  </si>
  <si>
    <t>Motorlagerplatte rechts schwimmende                   5</t>
  </si>
  <si>
    <t>0710699</t>
  </si>
  <si>
    <t>Motorlagerplatte linkss schwimmende                   1</t>
  </si>
  <si>
    <t>0710701</t>
  </si>
  <si>
    <t>0710702</t>
  </si>
  <si>
    <t>Gerade Blende Revision Endgehäuse</t>
  </si>
  <si>
    <t>0710703</t>
  </si>
  <si>
    <t>0710704</t>
  </si>
  <si>
    <t>Untere Blende Rev, unten</t>
  </si>
  <si>
    <t>0710705</t>
  </si>
  <si>
    <t>0710706</t>
  </si>
  <si>
    <t>Untere Blende 235x20ß Revision</t>
  </si>
  <si>
    <t>0710707</t>
  </si>
  <si>
    <t>Basisprofil rechts Wandmontage Typ 80E</t>
  </si>
  <si>
    <t>0710708</t>
  </si>
  <si>
    <t>Basisprofil links Wandmontage Typ 80E</t>
  </si>
  <si>
    <t>0710709</t>
  </si>
  <si>
    <t>Basisprofil rechts Laibungsmontage,FS80E</t>
  </si>
  <si>
    <t>0710710</t>
  </si>
  <si>
    <t>Basisprofil links Laibungsmontage,FS80E</t>
  </si>
  <si>
    <t>0710711</t>
  </si>
  <si>
    <t>Deckprofil Raumseite rechts Typ 80E</t>
  </si>
  <si>
    <t>0710712</t>
  </si>
  <si>
    <t>Deckprofil Raumseite links Typ 80E</t>
  </si>
  <si>
    <t>0710713</t>
  </si>
  <si>
    <t>Befestigungskonsole komplett Firefast                 1</t>
  </si>
  <si>
    <t>0710714</t>
  </si>
  <si>
    <t>Scharnier komplett Fibershield-S</t>
  </si>
  <si>
    <t>0710715</t>
  </si>
  <si>
    <t>Scharnier komplett mit Haltewinkel</t>
  </si>
  <si>
    <t>0710716</t>
  </si>
  <si>
    <t>Gegenplatte komplett Fibershield-S</t>
  </si>
  <si>
    <t>0710717</t>
  </si>
  <si>
    <t>Basisprofil links Wandmontage</t>
  </si>
  <si>
    <t>0710718</t>
  </si>
  <si>
    <t>Basisprofil rechts Wandmontage</t>
  </si>
  <si>
    <t>0710719</t>
  </si>
  <si>
    <t>Deckprofil links, FS 140E</t>
  </si>
  <si>
    <t>0710720</t>
  </si>
  <si>
    <t>Deckprofil rechts, FS 140E</t>
  </si>
  <si>
    <t>0710722</t>
  </si>
  <si>
    <t>Bodenausteifung rechts Wandmontage</t>
  </si>
  <si>
    <t>0710723</t>
  </si>
  <si>
    <t>Bodenausteifung links Wandmontage</t>
  </si>
  <si>
    <t>0710724</t>
  </si>
  <si>
    <t>Bodenausteifung rechts Laibungsmontage</t>
  </si>
  <si>
    <t>0710725</t>
  </si>
  <si>
    <t>Basisprofil links Laibung/Nische</t>
  </si>
  <si>
    <t>0710726</t>
  </si>
  <si>
    <t>Basisprofil rechts Laibung/Nische</t>
  </si>
  <si>
    <t>0710729</t>
  </si>
  <si>
    <t>Bodenausteifung links Laibungsmontage</t>
  </si>
  <si>
    <t>0710730</t>
  </si>
  <si>
    <t>Haltewinkel Führungsschiene 140E</t>
  </si>
  <si>
    <t>0710731</t>
  </si>
  <si>
    <t>Bodenaussteifung klp. rechts Laibungs-</t>
  </si>
  <si>
    <t>0710732</t>
  </si>
  <si>
    <t>Bodenaussteifung klp. links Laibungs-</t>
  </si>
  <si>
    <t>0710733</t>
  </si>
  <si>
    <t>Spange Wandmontage Fühschiene 140x100</t>
  </si>
  <si>
    <t>0710734</t>
  </si>
  <si>
    <t>0710735</t>
  </si>
  <si>
    <t>Bodenaussteifung klp. rechts Wandmontage</t>
  </si>
  <si>
    <t>0710736</t>
  </si>
  <si>
    <t>Bodenaussteifung klp. links Wandmontage</t>
  </si>
  <si>
    <t>0710737</t>
  </si>
  <si>
    <t>Rollenhalter außen re kpl. Fiberseal Evo</t>
  </si>
  <si>
    <t>0710738</t>
  </si>
  <si>
    <t>Rollenhalter außen li kpl. Fiberseal Evo</t>
  </si>
  <si>
    <t>0710739</t>
  </si>
  <si>
    <t>Rollenhalter Mitte komplett</t>
  </si>
  <si>
    <t>0710740</t>
  </si>
  <si>
    <t>Abhängung Fuß unten Fiberseal Evolution</t>
  </si>
  <si>
    <t>0710741</t>
  </si>
  <si>
    <t>RZ3-VdL im RZ4-Gehäuse Protronic</t>
  </si>
  <si>
    <t>0710742</t>
  </si>
  <si>
    <t>Distanzblech für Kettenrad z=30 bei</t>
  </si>
  <si>
    <t>0710743</t>
  </si>
  <si>
    <t>Verriegelungskantung kurz komplett</t>
  </si>
  <si>
    <t>0710744</t>
  </si>
  <si>
    <t>0710745</t>
  </si>
  <si>
    <t>0710746</t>
  </si>
  <si>
    <t>0710747</t>
  </si>
  <si>
    <t>0710748</t>
  </si>
  <si>
    <t>0710749</t>
  </si>
  <si>
    <t>0710750</t>
  </si>
  <si>
    <t>0710751</t>
  </si>
  <si>
    <t>0710752</t>
  </si>
  <si>
    <t>0710753</t>
  </si>
  <si>
    <t>0710754</t>
  </si>
  <si>
    <t>0710755</t>
  </si>
  <si>
    <t>0710756</t>
  </si>
  <si>
    <t>0710757</t>
  </si>
  <si>
    <t>RZ3 in RZ4-Gehäuse Blech für</t>
  </si>
  <si>
    <t>0710758</t>
  </si>
  <si>
    <t>Regenblech Anfangsstück</t>
  </si>
  <si>
    <t>0710759</t>
  </si>
  <si>
    <t>Regenblech Mittelstück</t>
  </si>
  <si>
    <t>0710760</t>
  </si>
  <si>
    <t>Regenblech Endstück</t>
  </si>
  <si>
    <t>0710761</t>
  </si>
  <si>
    <t>Regenblech einteilig</t>
  </si>
  <si>
    <t>0710762</t>
  </si>
  <si>
    <t>Regenblech Stoßverbinder</t>
  </si>
  <si>
    <t>0710763</t>
  </si>
  <si>
    <t>0710764</t>
  </si>
  <si>
    <t>0710767</t>
  </si>
  <si>
    <t>Verjüngungsrohr 70/120, Gegenseite                    3</t>
  </si>
  <si>
    <t>0710768</t>
  </si>
  <si>
    <t>Einlaufkonsole komplett mit Bremshebel                8</t>
  </si>
  <si>
    <t>0710769</t>
  </si>
  <si>
    <t>Montageplatte Radioband Protronic</t>
  </si>
  <si>
    <t>0710786</t>
  </si>
  <si>
    <t>Stoßwinkelverbinder untere Blende</t>
  </si>
  <si>
    <t>0710787</t>
  </si>
  <si>
    <t>Klemmblech für Zugseil</t>
  </si>
  <si>
    <t>0710788</t>
  </si>
  <si>
    <t>Rollenträger kpl. Fibershield-H Duplex</t>
  </si>
  <si>
    <t>0710789</t>
  </si>
  <si>
    <t>Schaltschrankmontageplatte Notstrom</t>
  </si>
  <si>
    <t>0710790</t>
  </si>
  <si>
    <t>Schaltschrankmontageplatte AE1050</t>
  </si>
  <si>
    <t>0710791</t>
  </si>
  <si>
    <t>Schaltschrankmontageplatte AE1060</t>
  </si>
  <si>
    <t>0710792</t>
  </si>
  <si>
    <t>Schaltschrankmontageplatte AE1180</t>
  </si>
  <si>
    <t>0710793</t>
  </si>
  <si>
    <t>Schaltschrankmontageplatte AE1280                     6</t>
  </si>
  <si>
    <t>0710794</t>
  </si>
  <si>
    <t>Wandwinkel Zul. Frankreich</t>
  </si>
  <si>
    <t>0710795</t>
  </si>
  <si>
    <t>Hidden Shield Wellenkonsole Deckel</t>
  </si>
  <si>
    <t>0710796</t>
  </si>
  <si>
    <t>Hidden Shield Wellenkonsole links</t>
  </si>
  <si>
    <t>0710797</t>
  </si>
  <si>
    <t>Hidden Shield Wellenkonsole rechts</t>
  </si>
  <si>
    <t>0710798</t>
  </si>
  <si>
    <t>Hidden Shield Wanne Wandstück rechts</t>
  </si>
  <si>
    <t>0710799</t>
  </si>
  <si>
    <t>Hidden Shield Wanne Wandstück links</t>
  </si>
  <si>
    <t>0710800</t>
  </si>
  <si>
    <t>Hidden Shield Wanne Deckel WM</t>
  </si>
  <si>
    <t>0710801</t>
  </si>
  <si>
    <t>Hidden Shield Verbindungsblech</t>
  </si>
  <si>
    <t>0710802</t>
  </si>
  <si>
    <t>Hidden Shield Träger</t>
  </si>
  <si>
    <t>0710803</t>
  </si>
  <si>
    <t>Hidden Shield Rohrwinkel</t>
  </si>
  <si>
    <t>0710804</t>
  </si>
  <si>
    <t>Hidden Shield Poppleiste</t>
  </si>
  <si>
    <t>0710805</t>
  </si>
  <si>
    <t>Hidden Shield Motorkonsole rechts</t>
  </si>
  <si>
    <t>0710806</t>
  </si>
  <si>
    <t>Hidden Shield Motorkonsole links</t>
  </si>
  <si>
    <t>0710807</t>
  </si>
  <si>
    <t>Hidden Shield Klemmprofil aussen kurz</t>
  </si>
  <si>
    <t>0710808</t>
  </si>
  <si>
    <t>Hidden Shield Klemmprofil innen kurz</t>
  </si>
  <si>
    <t>0710809</t>
  </si>
  <si>
    <t>Hidden Shield Gurtscheibe Wand</t>
  </si>
  <si>
    <t>0710810</t>
  </si>
  <si>
    <t>Hidden Shield Federhalter</t>
  </si>
  <si>
    <t>0710811</t>
  </si>
  <si>
    <t>Hidden Shield Distanzblech</t>
  </si>
  <si>
    <t>0710812</t>
  </si>
  <si>
    <t>Hidden Shield Anschlagblech</t>
  </si>
  <si>
    <t>0710813</t>
  </si>
  <si>
    <t>Hidden Shield Stirnlagenhalter</t>
  </si>
  <si>
    <t>0710814</t>
  </si>
  <si>
    <t>Wellenkonsole komplett links                          1</t>
  </si>
  <si>
    <t>0710815</t>
  </si>
  <si>
    <t>Wellenkonsole komplett rechts                         1</t>
  </si>
  <si>
    <t>0710816</t>
  </si>
  <si>
    <t>Hidden Shield Gurtscheibe Rohr</t>
  </si>
  <si>
    <t>0710817</t>
  </si>
  <si>
    <t>Hidden Shield Gurtscheibe komplett</t>
  </si>
  <si>
    <t>0710818</t>
  </si>
  <si>
    <t>Hidden Shield Aufhängblech einzeln</t>
  </si>
  <si>
    <t>0710819</t>
  </si>
  <si>
    <t>Hidden Shield Frontblende einzeln</t>
  </si>
  <si>
    <t>0710821</t>
  </si>
  <si>
    <t>Hidden Shield Deckenplatte links</t>
  </si>
  <si>
    <t>0710822</t>
  </si>
  <si>
    <t>Hidden Shield Aufhängblech Mitte</t>
  </si>
  <si>
    <t>0710823</t>
  </si>
  <si>
    <t>Hidden Shield Deckenplatte rechts</t>
  </si>
  <si>
    <t>0710824</t>
  </si>
  <si>
    <t>Hidden Shield Klemmprofil aussen</t>
  </si>
  <si>
    <t>0710825</t>
  </si>
  <si>
    <t>0710826</t>
  </si>
  <si>
    <t>0710827</t>
  </si>
  <si>
    <t>Hidden Shield Wanne aussen links</t>
  </si>
  <si>
    <t>0710828</t>
  </si>
  <si>
    <t>Hidden Shield Wanne aussen Mitte</t>
  </si>
  <si>
    <t>0710829</t>
  </si>
  <si>
    <t>Hidden Shield Wanne aussen rechts</t>
  </si>
  <si>
    <t>0710830</t>
  </si>
  <si>
    <t>Hidden Shield Klemmprofil innen links</t>
  </si>
  <si>
    <t>0710831</t>
  </si>
  <si>
    <t>Hidden Shield Klemmprofil innen Mitte</t>
  </si>
  <si>
    <t>0710832</t>
  </si>
  <si>
    <t>Hidden Shield Klemmprofil innen rechts</t>
  </si>
  <si>
    <t>0710833</t>
  </si>
  <si>
    <t>Hidden Shield Wanne innen</t>
  </si>
  <si>
    <t>0710834</t>
  </si>
  <si>
    <t>Hidden Shield Wanne innen Endstück</t>
  </si>
  <si>
    <t>0710835</t>
  </si>
  <si>
    <t>Hidden Shield Winkelblech links</t>
  </si>
  <si>
    <t>0710836</t>
  </si>
  <si>
    <t>Hidden Shield Winkelblech rechts</t>
  </si>
  <si>
    <t>0710837</t>
  </si>
  <si>
    <t>Hidden Shield Diagonalstrebe</t>
  </si>
  <si>
    <t>0710838</t>
  </si>
  <si>
    <t>Hidden Shield Versteifungsstrebe</t>
  </si>
  <si>
    <t>0710839</t>
  </si>
  <si>
    <t>Hidden Shield Wanne innen Mitte</t>
  </si>
  <si>
    <t>0710840</t>
  </si>
  <si>
    <t>Hidden Shield Winkelblech einzeln</t>
  </si>
  <si>
    <t>0710841</t>
  </si>
  <si>
    <t>Hidden Shield Winkelblech Mitte</t>
  </si>
  <si>
    <t>0710842</t>
  </si>
  <si>
    <t>Schlitzabdeckeung Winkel 90 Grad</t>
  </si>
  <si>
    <t>0710843</t>
  </si>
  <si>
    <t>Lackierblech für M5 Schrauben</t>
  </si>
  <si>
    <t>0710844</t>
  </si>
  <si>
    <t>Lackierblech für M6 Schrauben</t>
  </si>
  <si>
    <t>0710845</t>
  </si>
  <si>
    <t>Schaltschrankmontageplatte AE1077                     1</t>
  </si>
  <si>
    <t>0710846</t>
  </si>
  <si>
    <t>Führungsschienenbasis 2m Fibershield-H</t>
  </si>
  <si>
    <t>0710847</t>
  </si>
  <si>
    <t>Führungsschienenbasis links var. Länge</t>
  </si>
  <si>
    <t>0710848</t>
  </si>
  <si>
    <t>Anschlagstrebe links Smokeshield-C</t>
  </si>
  <si>
    <t>0710849</t>
  </si>
  <si>
    <t>Anschlagstrebe rechts Smokeshield-C</t>
  </si>
  <si>
    <t>0710850</t>
  </si>
  <si>
    <t>Anschlagstrebe verstellbar links</t>
  </si>
  <si>
    <t>0710851</t>
  </si>
  <si>
    <t>Anschlagstrebe verstellbar rechts</t>
  </si>
  <si>
    <t>0710852</t>
  </si>
  <si>
    <t>Anschlagträger komplett Smokeshield-C</t>
  </si>
  <si>
    <t>0710853</t>
  </si>
  <si>
    <t>Trommelplatte Antriebsseite aussen</t>
  </si>
  <si>
    <t>0710854</t>
  </si>
  <si>
    <t>Trommelplatte Antriebsseite innen</t>
  </si>
  <si>
    <t>0710855</t>
  </si>
  <si>
    <t>Aufteilungseinheit komplett</t>
  </si>
  <si>
    <t>0710856</t>
  </si>
  <si>
    <t>Aufteilungsrollenhalter Oberteil</t>
  </si>
  <si>
    <t>0710857</t>
  </si>
  <si>
    <t>Aufteilungsrollenhalter Unterteil</t>
  </si>
  <si>
    <t>0710858</t>
  </si>
  <si>
    <t>Deckenpratzen Grundplatte</t>
  </si>
  <si>
    <t>0710859</t>
  </si>
  <si>
    <t>Deckenrollenhalter links Smokeshield-C</t>
  </si>
  <si>
    <t>0710860</t>
  </si>
  <si>
    <t>Deckenrollenhalter rechts Smokeshield-C</t>
  </si>
  <si>
    <t>0710861</t>
  </si>
  <si>
    <t>Deckenrollenhalter links komplett</t>
  </si>
  <si>
    <t>0710862</t>
  </si>
  <si>
    <t>Deckenrollenhalter rechts komplett</t>
  </si>
  <si>
    <t>0710863</t>
  </si>
  <si>
    <t>Deckenpratzen komplett Smokeshield-C</t>
  </si>
  <si>
    <t>0710864</t>
  </si>
  <si>
    <t>Einfädelkantung enge Winkel links</t>
  </si>
  <si>
    <t>0710865</t>
  </si>
  <si>
    <t>Einfädelkantung enge Winkel rechts</t>
  </si>
  <si>
    <t>0710866</t>
  </si>
  <si>
    <t>Einfädelkantung links Smokeshield-C</t>
  </si>
  <si>
    <t>0710867</t>
  </si>
  <si>
    <t>Einfädelkantung rechts Smokeshield-C</t>
  </si>
  <si>
    <t>0710868</t>
  </si>
  <si>
    <t>Einzeldeckenplatte Smokeshield-C</t>
  </si>
  <si>
    <t>0710869</t>
  </si>
  <si>
    <t>Gegenseite aussen Smokeshield-C</t>
  </si>
  <si>
    <t>0710870</t>
  </si>
  <si>
    <t>Gegenseite innen Smokeshield-C</t>
  </si>
  <si>
    <t>0710871</t>
  </si>
  <si>
    <t>Hutträger Smokeshield-C</t>
  </si>
  <si>
    <t>0710872</t>
  </si>
  <si>
    <t>Lagerplatte komplett Smokeshield-C</t>
  </si>
  <si>
    <t>0710873</t>
  </si>
  <si>
    <t>Lagerplatte Smokeshield-C</t>
  </si>
  <si>
    <t>0710874</t>
  </si>
  <si>
    <t>Montageverriegelung  Smokeshield-C</t>
  </si>
  <si>
    <t>0710875</t>
  </si>
  <si>
    <t>Obere Einstellplatte Smokeshield-C</t>
  </si>
  <si>
    <t>0710876</t>
  </si>
  <si>
    <t>Passfederaufnahme Smokeshield-C</t>
  </si>
  <si>
    <t>0710877</t>
  </si>
  <si>
    <t>Pratzen Aussenklemme Smokeshield-C</t>
  </si>
  <si>
    <t>0710878</t>
  </si>
  <si>
    <t>Pratzen Innenklemme Smokeshield-C</t>
  </si>
  <si>
    <t>0710879</t>
  </si>
  <si>
    <t>Rollenträger komplett Smokeshield-C</t>
  </si>
  <si>
    <t>0710880</t>
  </si>
  <si>
    <t>Seilführungsplatte  Smokeshield-C</t>
  </si>
  <si>
    <t>0710881</t>
  </si>
  <si>
    <t>Seiltrommel komplett Smokeshield-C</t>
  </si>
  <si>
    <t>0710882</t>
  </si>
  <si>
    <t>Seiltrommelbasis Smokeshield-C</t>
  </si>
  <si>
    <t>0710883</t>
  </si>
  <si>
    <t>Stoffhaltewinkel Smokeshield-C</t>
  </si>
  <si>
    <t>0710884</t>
  </si>
  <si>
    <t>Trägerpratzengrundplatte Smokeshield-C</t>
  </si>
  <si>
    <t>0710885</t>
  </si>
  <si>
    <t>Umlenkrollenhalter komplett</t>
  </si>
  <si>
    <t>0710886</t>
  </si>
  <si>
    <t>Umlenkrollenhalter links Smokeshield-C</t>
  </si>
  <si>
    <t>0710887</t>
  </si>
  <si>
    <t>Umlenkrollenhalter rechts Smokeshield-C</t>
  </si>
  <si>
    <t>0710888</t>
  </si>
  <si>
    <t>Unterdeckenwinkel  Smokeshield-C</t>
  </si>
  <si>
    <t>0710889</t>
  </si>
  <si>
    <t>Untere Einstellplatte  Smokeshield-C</t>
  </si>
  <si>
    <t>0710890</t>
  </si>
  <si>
    <t>Versteifungswinkel  Smokeshield-C</t>
  </si>
  <si>
    <t>0710891</t>
  </si>
  <si>
    <t>Bogenstück Smokeshield-C</t>
  </si>
  <si>
    <t>0710893</t>
  </si>
  <si>
    <t>Stoßverbinder für Auslaufkantung</t>
  </si>
  <si>
    <t>0710896</t>
  </si>
  <si>
    <t>Hidden Shield Frontblende links</t>
  </si>
  <si>
    <t>0710897</t>
  </si>
  <si>
    <t>Hidden Shield Frontblende rechts</t>
  </si>
  <si>
    <t>0710898</t>
  </si>
  <si>
    <t>Hidden Shield Frontblende Mitte</t>
  </si>
  <si>
    <t>0710899</t>
  </si>
  <si>
    <t>Hidden Shield Gehäuse Deckel oben links</t>
  </si>
  <si>
    <t>0710900</t>
  </si>
  <si>
    <t>Hidden Shield Gehäuse Deckel oben rechts</t>
  </si>
  <si>
    <t>0710901</t>
  </si>
  <si>
    <t>Hidden Shield Gehäuse Deckel Raum links</t>
  </si>
  <si>
    <t>0710902</t>
  </si>
  <si>
    <t>Hidden Shield Gehäuse Deckel Raum rechts</t>
  </si>
  <si>
    <t>0710903</t>
  </si>
  <si>
    <t>Hidden Shield Gehäuse Deckel Wand links</t>
  </si>
  <si>
    <t>0710904</t>
  </si>
  <si>
    <t>Hidden Shield Gehäuse Deckel Wand rechts</t>
  </si>
  <si>
    <t>0710905</t>
  </si>
  <si>
    <t>Hidden Shield Gehäuseoberteil einzeln</t>
  </si>
  <si>
    <t>0710906</t>
  </si>
  <si>
    <t>Hidden Shield Gehäuseoberteil links</t>
  </si>
  <si>
    <t>0710907</t>
  </si>
  <si>
    <t>Hidden Shield Gehäuseoberteil rechts</t>
  </si>
  <si>
    <t>0710908</t>
  </si>
  <si>
    <t>Hidden Shield Gehäuseoberteil Mitte</t>
  </si>
  <si>
    <t>0710909</t>
  </si>
  <si>
    <t>Hidden Shield Klemmprofil aussen einzeln</t>
  </si>
  <si>
    <t>0710910</t>
  </si>
  <si>
    <t>Hidden Shield Klemmprofil innen einzeln</t>
  </si>
  <si>
    <t>0710911</t>
  </si>
  <si>
    <t>0710912</t>
  </si>
  <si>
    <t>0710913</t>
  </si>
  <si>
    <t>Hidden Shield Wanne außen einzeln</t>
  </si>
  <si>
    <t>0710914</t>
  </si>
  <si>
    <t>Hidden Shield Wanne innen einzeln</t>
  </si>
  <si>
    <t>0710915</t>
  </si>
  <si>
    <t>0710916</t>
  </si>
  <si>
    <t>0710917</t>
  </si>
  <si>
    <t>Blendendeckel links ECClos-Flex</t>
  </si>
  <si>
    <t>0710918</t>
  </si>
  <si>
    <t>Blendendeckel rechts ECClos-Flex</t>
  </si>
  <si>
    <t>0710919</t>
  </si>
  <si>
    <t>Seitenhalter komplett ECClos-Flex</t>
  </si>
  <si>
    <t>0710920</t>
  </si>
  <si>
    <t>Abschottunghalter 1 ECClos-Flex</t>
  </si>
  <si>
    <t>0710921</t>
  </si>
  <si>
    <t>Abschottunghalter 2 ECClos-Flex</t>
  </si>
  <si>
    <t>0710922</t>
  </si>
  <si>
    <t>Abschottunghalter 3 ECClos-Flex</t>
  </si>
  <si>
    <t>0710923</t>
  </si>
  <si>
    <t>Abschottunghalter 4 ECClos-Flex</t>
  </si>
  <si>
    <t>0710924</t>
  </si>
  <si>
    <t>Verkrallung Wandseite ECClos-Flex</t>
  </si>
  <si>
    <t>0710925</t>
  </si>
  <si>
    <t>Verkrallung Raumseite ECClos-Flex</t>
  </si>
  <si>
    <t>0710926</t>
  </si>
  <si>
    <t>Anschweißplatte Ecotube N8</t>
  </si>
  <si>
    <t>0710927</t>
  </si>
  <si>
    <t>Aretierplatte Ecotube N8</t>
  </si>
  <si>
    <t>0710928</t>
  </si>
  <si>
    <t>Basisplatte Ecotube N8</t>
  </si>
  <si>
    <t>0710929</t>
  </si>
  <si>
    <t>Distanzplatte 0,5 mm Ecotube N8</t>
  </si>
  <si>
    <t>0710930</t>
  </si>
  <si>
    <t>Distanzplatte 1,0 mm Ecotube N8</t>
  </si>
  <si>
    <t>0710931</t>
  </si>
  <si>
    <t>Distanzplatte 1,5 mm Ecotube N8</t>
  </si>
  <si>
    <t>0710932</t>
  </si>
  <si>
    <t>Distanzplatte 3,0 mm Ecotube N8</t>
  </si>
  <si>
    <t>0710933</t>
  </si>
  <si>
    <t>Federbrücke Ecotube N8</t>
  </si>
  <si>
    <t>0710934</t>
  </si>
  <si>
    <t>Schubplatte Ecotube N8</t>
  </si>
  <si>
    <t>0710935</t>
  </si>
  <si>
    <t>Stützplatte Ecotube N8</t>
  </si>
  <si>
    <t>0710936</t>
  </si>
  <si>
    <t>Versteifungsprofil Basisplatte</t>
  </si>
  <si>
    <t>0710937</t>
  </si>
  <si>
    <t>Versteifungsprofil Schubplatte</t>
  </si>
  <si>
    <t>0710938</t>
  </si>
  <si>
    <t>Verstärkungsstahl Ecotube N8</t>
  </si>
  <si>
    <t>0710939</t>
  </si>
  <si>
    <t>Wandplatte Ecotube N8</t>
  </si>
  <si>
    <t>0710940</t>
  </si>
  <si>
    <t>Zughebel Ecotube N8</t>
  </si>
  <si>
    <t>0710941</t>
  </si>
  <si>
    <t>Zugstrebe Ecotube N8</t>
  </si>
  <si>
    <t>0710942</t>
  </si>
  <si>
    <t>Klemmvorrichtung Abschlusswanne 3m verz</t>
  </si>
  <si>
    <t>0710943</t>
  </si>
  <si>
    <t>C-Profil Abhängung Fibershield-S</t>
  </si>
  <si>
    <t>0710944</t>
  </si>
  <si>
    <t>Tragschiene Abhängung Fibershield-S                   1</t>
  </si>
  <si>
    <t>0710945</t>
  </si>
  <si>
    <t>Halteblech Abhängung Fibershield-S                    1</t>
  </si>
  <si>
    <t>0710946</t>
  </si>
  <si>
    <t>Lamellenversteifung OC/EI120</t>
  </si>
  <si>
    <t>0710947</t>
  </si>
  <si>
    <t>Enddeckel obere Lamelle rechtsOC-EI120</t>
  </si>
  <si>
    <t>0710948</t>
  </si>
  <si>
    <t>Enddeckel obere Lamelle links OC-EI120</t>
  </si>
  <si>
    <t>0710949</t>
  </si>
  <si>
    <t>Enddeckel mittlereLamelle rechtsOC-EI120</t>
  </si>
  <si>
    <t>0710950</t>
  </si>
  <si>
    <t>Enddeckel mittlereLamelle linksOC-EI120</t>
  </si>
  <si>
    <t>0710951</t>
  </si>
  <si>
    <t>Enddeckel mittl.LamelleNi rechtsOC-EI120</t>
  </si>
  <si>
    <t>0710952</t>
  </si>
  <si>
    <t>Enddeckel mittl.LamelleNi linksOC-EI120</t>
  </si>
  <si>
    <t>0710953</t>
  </si>
  <si>
    <t>Enddeckel untere Lamelle rechtsOC-EI120</t>
  </si>
  <si>
    <t>0710954</t>
  </si>
  <si>
    <t>Enddeckel untere Lamelle linksOC-EI120</t>
  </si>
  <si>
    <t>0710955</t>
  </si>
  <si>
    <t>Stoßabdeckung ob. Lamelle rechtsOC-EI120</t>
  </si>
  <si>
    <t>0710956</t>
  </si>
  <si>
    <t>Stoßabdeckung ob. Lamelle links OC-EI120</t>
  </si>
  <si>
    <t>0710957</t>
  </si>
  <si>
    <t>Stoßabdeckung mi. Lamelle rechtsOC-EI120</t>
  </si>
  <si>
    <t>0710958</t>
  </si>
  <si>
    <t>Stoßabdeckung mi. Lamelle linksOC-EI120</t>
  </si>
  <si>
    <t>0710959</t>
  </si>
  <si>
    <t>Stoßabdeckung mi.Nied Lam rechtsOC-EI120</t>
  </si>
  <si>
    <t>0710960</t>
  </si>
  <si>
    <t>Stoßabdeckung mi.Nied Lam linksOC-EI120</t>
  </si>
  <si>
    <t>0710961</t>
  </si>
  <si>
    <t>Sturzverkrallung obere Lamelle OC-EI120</t>
  </si>
  <si>
    <t>0710962</t>
  </si>
  <si>
    <t>Sturzverkrallung kplobe Lamelle OC-EI120</t>
  </si>
  <si>
    <t>0710963</t>
  </si>
  <si>
    <t>Verkrallungsprofi obere Lamelle OC-EI120</t>
  </si>
  <si>
    <t>0710964</t>
  </si>
  <si>
    <t>Lamellenausfädelung OC-EI120</t>
  </si>
  <si>
    <t>0710965</t>
  </si>
  <si>
    <t>Distanzstück Lamelle OC-EI120</t>
  </si>
  <si>
    <t>0710966</t>
  </si>
  <si>
    <t>Ausgleichsblech t=2 mm OC-EI120</t>
  </si>
  <si>
    <t>0710967</t>
  </si>
  <si>
    <t>Ausgleichsblech t=3 mm OC-EI120</t>
  </si>
  <si>
    <t>0710968</t>
  </si>
  <si>
    <t>Befestigungswinkel obereLamelle OC-EI120</t>
  </si>
  <si>
    <t>0710969</t>
  </si>
  <si>
    <t>Abschlusskantung hinten Lamelle OC-EI120</t>
  </si>
  <si>
    <t>0710970</t>
  </si>
  <si>
    <t>Abschlusskantung vorn Lamelle OC-EI120</t>
  </si>
  <si>
    <t>0710975</t>
  </si>
  <si>
    <t>Enddeckel obere Lamelle re.kpl. 16-B                  6</t>
  </si>
  <si>
    <t>0710976</t>
  </si>
  <si>
    <t>Enddeckel obere Lamelle li.kpl. 16-B                  6</t>
  </si>
  <si>
    <t>0710977</t>
  </si>
  <si>
    <t>Enddeckel mittl Lamelle re.kpl. 16-B                 10</t>
  </si>
  <si>
    <t>0710978</t>
  </si>
  <si>
    <t>Enddeckel mittl Lamelle li.kpl. 16-B                  6</t>
  </si>
  <si>
    <t>0710979</t>
  </si>
  <si>
    <t>Enddeckel mittl LamNied re.kpl. 16-B                  6</t>
  </si>
  <si>
    <t>0710980</t>
  </si>
  <si>
    <t>Enddeckel mittl LamNied li.kpl. 16-B                  6</t>
  </si>
  <si>
    <t>0710981</t>
  </si>
  <si>
    <t>Enddeckel unter Lamelle re.kpl. 16-B                  8</t>
  </si>
  <si>
    <t>0710982</t>
  </si>
  <si>
    <t>Enddeckel unter Lamelle li.kpl. 16-B                  8</t>
  </si>
  <si>
    <t>0710983</t>
  </si>
  <si>
    <t>Enddeckel obere Lamelle re.kpl. 16-16-B</t>
  </si>
  <si>
    <t>0710984</t>
  </si>
  <si>
    <t>Enddeckel obere Lamelle li.kpl. 16-16-B</t>
  </si>
  <si>
    <t>0710985</t>
  </si>
  <si>
    <t>Enddeckel mittl Lamelle re.kpl. 16-16-B</t>
  </si>
  <si>
    <t>0710986</t>
  </si>
  <si>
    <t>Enddeckel mittl Lamelle li.kpl. 16-16-B</t>
  </si>
  <si>
    <t>0710987</t>
  </si>
  <si>
    <t>Enddeckel mittl LamNied re.kpl. 16-16-B</t>
  </si>
  <si>
    <t>0710988</t>
  </si>
  <si>
    <t>Enddeckel mittl LamNied li.kpl. 16-16-B</t>
  </si>
  <si>
    <t>0710989</t>
  </si>
  <si>
    <t>Enddeckel unter Lamelle re.kpl. 16-16-B</t>
  </si>
  <si>
    <t>0710990</t>
  </si>
  <si>
    <t>Enddeckel unter Lamelle li.kpl. 16-16-B</t>
  </si>
  <si>
    <t>0710991</t>
  </si>
  <si>
    <t>Stoßverbinder Gewichtsverkleidung</t>
  </si>
  <si>
    <t>0710992</t>
  </si>
  <si>
    <t>Anlagekantung einteilig</t>
  </si>
  <si>
    <t>0710993</t>
  </si>
  <si>
    <t>Anlagekantung links</t>
  </si>
  <si>
    <t>0710994</t>
  </si>
  <si>
    <t>Anlagekantung rechts</t>
  </si>
  <si>
    <t>0710995</t>
  </si>
  <si>
    <t>Endblech Fibershield EI-V</t>
  </si>
  <si>
    <t>0710996</t>
  </si>
  <si>
    <t>Führungsschienenaussenteil links</t>
  </si>
  <si>
    <t>0710997</t>
  </si>
  <si>
    <t>Führungsschienenaussenteil rechts</t>
  </si>
  <si>
    <t>0710998</t>
  </si>
  <si>
    <t>Führungsschieneninnenteil links</t>
  </si>
  <si>
    <t>0710999</t>
  </si>
  <si>
    <t>Führungsschieneninnenteil rechts</t>
  </si>
  <si>
    <t>0711000</t>
  </si>
  <si>
    <t>Gegenlagerwelle Fibershield EI-V</t>
  </si>
  <si>
    <t>0711001</t>
  </si>
  <si>
    <t>Lauf-U links  Fibershield EI-V</t>
  </si>
  <si>
    <t>0711002</t>
  </si>
  <si>
    <t>Lauf-U rechts  Fibershield EI-V</t>
  </si>
  <si>
    <t>0711003</t>
  </si>
  <si>
    <t>Rollenhalter  Fibershield EI-V</t>
  </si>
  <si>
    <t>0711004</t>
  </si>
  <si>
    <t>Wickelträger Motorseite</t>
  </si>
  <si>
    <t>0711005</t>
  </si>
  <si>
    <t>Wickelträger Gegenlagerseite</t>
  </si>
  <si>
    <t>0711006</t>
  </si>
  <si>
    <t>Wickelträger Lagerklemmring</t>
  </si>
  <si>
    <t>0711007</t>
  </si>
  <si>
    <t>Verstärkungswinkel Oberteil</t>
  </si>
  <si>
    <t>0711008</t>
  </si>
  <si>
    <t>Verstärkungswinkel Unterteil</t>
  </si>
  <si>
    <t>0711009</t>
  </si>
  <si>
    <t>Verkrallungswinkel links</t>
  </si>
  <si>
    <t>0711010</t>
  </si>
  <si>
    <t>Verkrallungswinkel rechts</t>
  </si>
  <si>
    <t>0711011</t>
  </si>
  <si>
    <t>Verkrallungswinkel einteilig</t>
  </si>
  <si>
    <t>0711012</t>
  </si>
  <si>
    <t>Seitendeckel links Fibershield EI-V</t>
  </si>
  <si>
    <t>0711013</t>
  </si>
  <si>
    <t>Seitendeckel rechts Fibershield EI-V</t>
  </si>
  <si>
    <t>0711014</t>
  </si>
  <si>
    <t>Führungskantung kurz links</t>
  </si>
  <si>
    <t>0711015</t>
  </si>
  <si>
    <t>Führungskantung kurz rechts</t>
  </si>
  <si>
    <t>0711016</t>
  </si>
  <si>
    <t>Führungskantung lang links</t>
  </si>
  <si>
    <t>0711017</t>
  </si>
  <si>
    <t>Führungskantung lang rechts</t>
  </si>
  <si>
    <t>0711018</t>
  </si>
  <si>
    <t>Gehäuseoberteil einteilig</t>
  </si>
  <si>
    <t>0711019</t>
  </si>
  <si>
    <t>Gehäuseoberteil links</t>
  </si>
  <si>
    <t>0711020</t>
  </si>
  <si>
    <t>Gehäuseoberteil rechts</t>
  </si>
  <si>
    <t>0711021</t>
  </si>
  <si>
    <t>Gehäuseunterteil einteilig</t>
  </si>
  <si>
    <t>0711022</t>
  </si>
  <si>
    <t>Gehäuseunterteil links</t>
  </si>
  <si>
    <t>0711023</t>
  </si>
  <si>
    <t>Gehäuseunterteil rechts</t>
  </si>
  <si>
    <t>0711024</t>
  </si>
  <si>
    <t>Verkrallung Anlageseite einteilig</t>
  </si>
  <si>
    <t>0711025</t>
  </si>
  <si>
    <t>Verkrallung Anlageseite links</t>
  </si>
  <si>
    <t>0711026</t>
  </si>
  <si>
    <t>Verkrallung Anlageseite rechts</t>
  </si>
  <si>
    <t>0711027</t>
  </si>
  <si>
    <t>Seitendeckel rechts komplett</t>
  </si>
  <si>
    <t>0711028</t>
  </si>
  <si>
    <t>Seitendeckel links komplett</t>
  </si>
  <si>
    <t>0711029</t>
  </si>
  <si>
    <t>Gegenlager rechts komplett</t>
  </si>
  <si>
    <t>0711030</t>
  </si>
  <si>
    <t>Gegenlager links komplett</t>
  </si>
  <si>
    <t>0711031</t>
  </si>
  <si>
    <t>Motorlager rechts komplett</t>
  </si>
  <si>
    <t>0711032</t>
  </si>
  <si>
    <t>Motorlager links komplett</t>
  </si>
  <si>
    <t>0711033</t>
  </si>
  <si>
    <t>Anlagekantung einteilig komplett</t>
  </si>
  <si>
    <t>0711034</t>
  </si>
  <si>
    <t>Anlagekantung rechts komplett</t>
  </si>
  <si>
    <t>0711035</t>
  </si>
  <si>
    <t>Anlagekantung links komplett</t>
  </si>
  <si>
    <t>0711036</t>
  </si>
  <si>
    <t>Führungsschiene rechts komplett</t>
  </si>
  <si>
    <t>0711037</t>
  </si>
  <si>
    <t>Führungsschiene links komplett</t>
  </si>
  <si>
    <t>0711038</t>
  </si>
  <si>
    <t>Gehäuseunterteil einteilig mit GK</t>
  </si>
  <si>
    <t>0711039</t>
  </si>
  <si>
    <t>Gehäuseunterteil rechts mit GK</t>
  </si>
  <si>
    <t>0711040</t>
  </si>
  <si>
    <t>Gehäuseunterteil links mit GK</t>
  </si>
  <si>
    <t>0711042</t>
  </si>
  <si>
    <t>Zugrohr FS-H Duplex</t>
  </si>
  <si>
    <t>0711043</t>
  </si>
  <si>
    <t>Seitendeckel rechts 575x450</t>
  </si>
  <si>
    <t>0711044</t>
  </si>
  <si>
    <t>Seitendeckel links 575x450</t>
  </si>
  <si>
    <t>0711045</t>
  </si>
  <si>
    <t>Gehäuseoberteil bis 4m 575x450</t>
  </si>
  <si>
    <t>0711046</t>
  </si>
  <si>
    <t>Gehäuseoberteil rechts 575x450</t>
  </si>
  <si>
    <t>0711047</t>
  </si>
  <si>
    <t>Gehäuseoberteil links 575x450</t>
  </si>
  <si>
    <t>0711048</t>
  </si>
  <si>
    <t>Gehäuseunterteil bis 4m 575x450</t>
  </si>
  <si>
    <t>0711049</t>
  </si>
  <si>
    <t>Gehäuseunterteil rechts 575x450</t>
  </si>
  <si>
    <t>0711050</t>
  </si>
  <si>
    <t>Gehäuseunterteil links 575x450</t>
  </si>
  <si>
    <t>0711051</t>
  </si>
  <si>
    <t>0711052</t>
  </si>
  <si>
    <t>0711053</t>
  </si>
  <si>
    <t>Wickellagerkonsole Blech 575x450</t>
  </si>
  <si>
    <t>0711054</t>
  </si>
  <si>
    <t>Federführungsstange komplett 575x450</t>
  </si>
  <si>
    <t>0711055</t>
  </si>
  <si>
    <t>Federführungsstange 575x450</t>
  </si>
  <si>
    <t>0711056</t>
  </si>
  <si>
    <t>Führungswinkel Lamelle OC-EI120</t>
  </si>
  <si>
    <t>0711057</t>
  </si>
  <si>
    <t>DistanzhalterLamellenausfädelungOC-EI120</t>
  </si>
  <si>
    <t>0711061</t>
  </si>
  <si>
    <t>Versteifungsspange komplett</t>
  </si>
  <si>
    <t>0711062</t>
  </si>
  <si>
    <t>Abdeckprofil komplett Führungsschiene</t>
  </si>
  <si>
    <t>0711063</t>
  </si>
  <si>
    <t>0711064</t>
  </si>
  <si>
    <t>Basisprofil komplett Führungsschiene</t>
  </si>
  <si>
    <t>0711065</t>
  </si>
  <si>
    <t>0711066</t>
  </si>
  <si>
    <t>Führungsschiene komplett rechts</t>
  </si>
  <si>
    <t>0711067</t>
  </si>
  <si>
    <t>Führungsschiene komplett links</t>
  </si>
  <si>
    <t>0711068</t>
  </si>
  <si>
    <t>0711073</t>
  </si>
  <si>
    <t>Führungsblech 510x400</t>
  </si>
  <si>
    <t>0711074</t>
  </si>
  <si>
    <t>Seitendeckel rechts komplett 510x400</t>
  </si>
  <si>
    <t>0711075</t>
  </si>
  <si>
    <t>Seitendeckel links komplett 510x400</t>
  </si>
  <si>
    <t>0711076</t>
  </si>
  <si>
    <t>Führungsblech 575x450</t>
  </si>
  <si>
    <t>0711077</t>
  </si>
  <si>
    <t>Seitendeckel rechts komplett 575x450</t>
  </si>
  <si>
    <t>0711078</t>
  </si>
  <si>
    <t>Seitendeckel links komplett 575x450</t>
  </si>
  <si>
    <t>0711079</t>
  </si>
  <si>
    <t>Führungsblech 655x555</t>
  </si>
  <si>
    <t>0711080</t>
  </si>
  <si>
    <t>Seitendeckel rechts komplett 655x555</t>
  </si>
  <si>
    <t>0711081</t>
  </si>
  <si>
    <t>Seitendeckel links komplett 655x555</t>
  </si>
  <si>
    <t>0711082</t>
  </si>
  <si>
    <t>Wickellagerkonsole komplett Motor T8</t>
  </si>
  <si>
    <t>0711083</t>
  </si>
  <si>
    <t>0711084</t>
  </si>
  <si>
    <t>Positionsblech Sensor</t>
  </si>
  <si>
    <t>0711085</t>
  </si>
  <si>
    <t>Gehäusekantung Geh 150x150 mit Aus-</t>
  </si>
  <si>
    <t>0711086</t>
  </si>
  <si>
    <t>Gehäuseblende Geh 150x150 mit Aus-</t>
  </si>
  <si>
    <t>0711087</t>
  </si>
  <si>
    <t>0711088</t>
  </si>
  <si>
    <t>0711089</t>
  </si>
  <si>
    <t>Verglasungsprofil vertikal rechts</t>
  </si>
  <si>
    <t>0711090</t>
  </si>
  <si>
    <t>Verglasungsprofil vertikal links</t>
  </si>
  <si>
    <t>0711091</t>
  </si>
  <si>
    <t>Verglasungsprofil horizontal OC-Lamelle</t>
  </si>
  <si>
    <t>0711092</t>
  </si>
  <si>
    <t>Oberteil Abhängung 300-500 mm</t>
  </si>
  <si>
    <t>0711093</t>
  </si>
  <si>
    <t>Unterteil Abhängung 300-500 mm</t>
  </si>
  <si>
    <t>0711094</t>
  </si>
  <si>
    <t>Oberteil Abhängung 500-900 mm</t>
  </si>
  <si>
    <t>0711095</t>
  </si>
  <si>
    <t>Unterteil Abhängung 500-900 mm</t>
  </si>
  <si>
    <t>0711096</t>
  </si>
  <si>
    <t>C-Kantung für Hangrollenhalter</t>
  </si>
  <si>
    <t>0711097</t>
  </si>
  <si>
    <t>Lagerblech für Rohrmotor G45</t>
  </si>
  <si>
    <t>0711098</t>
  </si>
  <si>
    <t>Befestigungskons. R.v.V.  kompl  Abroll-</t>
  </si>
  <si>
    <t>0711099</t>
  </si>
  <si>
    <t>Befestigungskons. R.v.V.komp. ohne                    2</t>
  </si>
  <si>
    <t>0711100</t>
  </si>
  <si>
    <t>Einsteckrohr 50/100 Motorseite                        1</t>
  </si>
  <si>
    <t>0711101</t>
  </si>
  <si>
    <t>0711103</t>
  </si>
  <si>
    <t>Abschlusskant untere Lam EC SL Niedr. OC</t>
  </si>
  <si>
    <t>0711104</t>
  </si>
  <si>
    <t>Abschlusskant untere Lam EB vorn NiedrOC</t>
  </si>
  <si>
    <t>0711105</t>
  </si>
  <si>
    <t>Befestigungswinkel Traghebel kpl.235x290</t>
  </si>
  <si>
    <t>0711106</t>
  </si>
  <si>
    <t>Befestigungswinkel Traghebel 235x290</t>
  </si>
  <si>
    <t>0711107</t>
  </si>
  <si>
    <t>Traghebel Befestigungswinkel 235x290</t>
  </si>
  <si>
    <t>0711108</t>
  </si>
  <si>
    <t>Verstärkungsblech für Konsole 350x260</t>
  </si>
  <si>
    <t>0711109</t>
  </si>
  <si>
    <t>Seitendeckel Motor li Gegenseite fest</t>
  </si>
  <si>
    <t>0711110</t>
  </si>
  <si>
    <t>Seitendeckel Motor re Gegenseite fest</t>
  </si>
  <si>
    <t>0711111</t>
  </si>
  <si>
    <t>Befestigungskonsole unten fest RS/FSA</t>
  </si>
  <si>
    <t>0711112</t>
  </si>
  <si>
    <t>Befestigungskonsole kpl. fest</t>
  </si>
  <si>
    <t>0711113</t>
  </si>
  <si>
    <t>Seitendeckel Motor li Gegenseite</t>
  </si>
  <si>
    <t>0711114</t>
  </si>
  <si>
    <t>Seitendeckel Motor re Gegenseite</t>
  </si>
  <si>
    <t>0711115</t>
  </si>
  <si>
    <t>Schaltschrankmontageplatte AE1090                     2</t>
  </si>
  <si>
    <t>0711116</t>
  </si>
  <si>
    <t>Gehäusekantung Modul 3000 ohne Aus-</t>
  </si>
  <si>
    <t>0711117</t>
  </si>
  <si>
    <t>Gehäusekantung Modul 3000 Aus-</t>
  </si>
  <si>
    <t>0711118</t>
  </si>
  <si>
    <t>0711119</t>
  </si>
  <si>
    <t>Gehäuseblende Modul 3000 ohne Aus-</t>
  </si>
  <si>
    <t>0711120</t>
  </si>
  <si>
    <t>Gehäuseblende Modul 3000 Aus-</t>
  </si>
  <si>
    <t>0711121</t>
  </si>
  <si>
    <t>0711122</t>
  </si>
  <si>
    <t>Gehäusekantung Modul 4000 ohne Aus-</t>
  </si>
  <si>
    <t>0711123</t>
  </si>
  <si>
    <t>Gehäusekantung Modul 4000 Aus-</t>
  </si>
  <si>
    <t>0711124</t>
  </si>
  <si>
    <t>0711125</t>
  </si>
  <si>
    <t>Gehäuseblende Modul 4000 ohne Aus-</t>
  </si>
  <si>
    <t>0711126</t>
  </si>
  <si>
    <t>Gehäuseblende Modul 4000 Aus-</t>
  </si>
  <si>
    <t>0711127</t>
  </si>
  <si>
    <t>0711128</t>
  </si>
  <si>
    <t>Gehäusekantung links, Modul 5000 ohne</t>
  </si>
  <si>
    <t>0711129</t>
  </si>
  <si>
    <t>Gehäusekantung rechts, Modul 5000 ohne</t>
  </si>
  <si>
    <t>0711130</t>
  </si>
  <si>
    <t>Gehäusekantung links, Modul 5000 Aus-</t>
  </si>
  <si>
    <t>0711131</t>
  </si>
  <si>
    <t>Gehäusekantung rechts, Modul 5000 Aus-</t>
  </si>
  <si>
    <t>0711132</t>
  </si>
  <si>
    <t>Gehäuseblende Modul 5000 ohne Aus-</t>
  </si>
  <si>
    <t>0711133</t>
  </si>
  <si>
    <t>Gehäuseblende Modul 5000 mit Aus-</t>
  </si>
  <si>
    <t>0711134</t>
  </si>
  <si>
    <t>Gehäusekantung links, Modul variabel</t>
  </si>
  <si>
    <t>0711135</t>
  </si>
  <si>
    <t>Gehäusekantung rechts, Modul variabel</t>
  </si>
  <si>
    <t>0711136</t>
  </si>
  <si>
    <t>Gehäuseverbinder Innenteil</t>
  </si>
  <si>
    <t>0711137</t>
  </si>
  <si>
    <t>Gehäuseverbinder komplett</t>
  </si>
  <si>
    <t>0711138</t>
  </si>
  <si>
    <t>Gehäuseblende ohne Ausklinkung Modul</t>
  </si>
  <si>
    <t>0711139</t>
  </si>
  <si>
    <t>Befestigungskon 235x290 R.v.V                         2</t>
  </si>
  <si>
    <t>0711140</t>
  </si>
  <si>
    <t>Gehäusekantung ohne Ausklinkung Modul</t>
  </si>
  <si>
    <t>0711141</t>
  </si>
  <si>
    <t>Befestigungskon Abrollstop 235x290 R.v.V</t>
  </si>
  <si>
    <t>0711142</t>
  </si>
  <si>
    <t>Stoßverbinder ab 4000 mm Geh. 150x150</t>
  </si>
  <si>
    <t>0711143</t>
  </si>
  <si>
    <t>0711144</t>
  </si>
  <si>
    <t>Stoßverbinder ab 4000 mm Geh. 185x185</t>
  </si>
  <si>
    <t>0711145</t>
  </si>
  <si>
    <t>Enddeckel 180 groß links Gehäuse</t>
  </si>
  <si>
    <t>0711146</t>
  </si>
  <si>
    <t>Enddeckel 180 groß rechts Gehäuse</t>
  </si>
  <si>
    <t>0711147</t>
  </si>
  <si>
    <t>Enddeckel schmal links Gehäuse</t>
  </si>
  <si>
    <t>0711148</t>
  </si>
  <si>
    <t>Enddeckel schmal rechts Gehäuse</t>
  </si>
  <si>
    <t>0711149</t>
  </si>
  <si>
    <t>Montageschiene Gehäusebreite Einmodul-</t>
  </si>
  <si>
    <t>0711150</t>
  </si>
  <si>
    <t>Montageschiene Gehäusebreite Mehrmodul-</t>
  </si>
  <si>
    <t>0711151</t>
  </si>
  <si>
    <t>Wandwinkel Einmodulsystem Gehäuse</t>
  </si>
  <si>
    <t>0711152</t>
  </si>
  <si>
    <t>Wandwinkel Mehrmodulsystem Gehäuse</t>
  </si>
  <si>
    <t>0711153</t>
  </si>
  <si>
    <t>Sicherungsblech Abschlußleiste</t>
  </si>
  <si>
    <t>0711154</t>
  </si>
  <si>
    <t>Batteriehalterung Protronic</t>
  </si>
  <si>
    <t>0711155</t>
  </si>
  <si>
    <t>Gewindestange Rollenhalter Mitte kompl.</t>
  </si>
  <si>
    <t>0711156</t>
  </si>
  <si>
    <t>AM-U Blechgehäuse kpl.                                1</t>
  </si>
  <si>
    <t>0711157</t>
  </si>
  <si>
    <t>AM-U Blechgehäuse Gehäuseunterteil</t>
  </si>
  <si>
    <t>0711158</t>
  </si>
  <si>
    <t>AM-U Blechgehäuse Steg 1</t>
  </si>
  <si>
    <t>0711159</t>
  </si>
  <si>
    <t>AM-U Blechgehäuse Steg 2</t>
  </si>
  <si>
    <t>0711160</t>
  </si>
  <si>
    <t>AM-U Blechgehäuse Deckel</t>
  </si>
  <si>
    <t>0711161</t>
  </si>
  <si>
    <t>Gerade Blende 190x290 Fiberseal Evo.</t>
  </si>
  <si>
    <t>0711162</t>
  </si>
  <si>
    <t>0711163</t>
  </si>
  <si>
    <t>0711164</t>
  </si>
  <si>
    <t>0711165</t>
  </si>
  <si>
    <t>0711166</t>
  </si>
  <si>
    <t>0711167</t>
  </si>
  <si>
    <t>0711168</t>
  </si>
  <si>
    <t>0711169</t>
  </si>
  <si>
    <t>0711170</t>
  </si>
  <si>
    <t>0711171</t>
  </si>
  <si>
    <t>0711172</t>
  </si>
  <si>
    <t>0711173</t>
  </si>
  <si>
    <t>0711174</t>
  </si>
  <si>
    <t>0711175</t>
  </si>
  <si>
    <t>0711176</t>
  </si>
  <si>
    <t>0711177</t>
  </si>
  <si>
    <t>0711178</t>
  </si>
  <si>
    <t>0711179</t>
  </si>
  <si>
    <t>0711180</t>
  </si>
  <si>
    <t>0711181</t>
  </si>
  <si>
    <t>0711182</t>
  </si>
  <si>
    <t>0711183</t>
  </si>
  <si>
    <t>0711184</t>
  </si>
  <si>
    <t>0711185</t>
  </si>
  <si>
    <t>0711186</t>
  </si>
  <si>
    <t>0711187</t>
  </si>
  <si>
    <t>Gerade Blende 285x200 Fiberseal Evo.</t>
  </si>
  <si>
    <t>0711188</t>
  </si>
  <si>
    <t>0711189</t>
  </si>
  <si>
    <t>0711190</t>
  </si>
  <si>
    <t>Untere Blende, Anfangsgehäuse, 285x200</t>
  </si>
  <si>
    <t>0711191</t>
  </si>
  <si>
    <t>0711192</t>
  </si>
  <si>
    <t>Untere Blende, Endgehäuse, 285x200</t>
  </si>
  <si>
    <t>0711193</t>
  </si>
  <si>
    <t>Winkelblende 285x200 Fiberseal Evo.</t>
  </si>
  <si>
    <t>0711194</t>
  </si>
  <si>
    <t>0711196</t>
  </si>
  <si>
    <t>0711197</t>
  </si>
  <si>
    <t>Baugruppe Antrieb OC0,75KWMotor 16-B-1               10</t>
  </si>
  <si>
    <t>0711198</t>
  </si>
  <si>
    <t>Einsteckrohr 70/100                                   2</t>
  </si>
  <si>
    <t>0711199</t>
  </si>
  <si>
    <t>Rohrscheibe 70/100 Rohrmotor G45</t>
  </si>
  <si>
    <t>0711200</t>
  </si>
  <si>
    <t>0711201</t>
  </si>
  <si>
    <t>0711202</t>
  </si>
  <si>
    <t>Einsteckrohr 70/108                                   2</t>
  </si>
  <si>
    <t>0711203</t>
  </si>
  <si>
    <t>Blechstreifen, Außenstück 240 Gewebeauf-</t>
  </si>
  <si>
    <t>0711204</t>
  </si>
  <si>
    <t>Blechstreifen, Außenstück 490 Gewebeauf-</t>
  </si>
  <si>
    <t>0711205</t>
  </si>
  <si>
    <t>Blechstreifen, Mittelstück Gewebeauf-</t>
  </si>
  <si>
    <t>0711206</t>
  </si>
  <si>
    <t>Schlupftür Abschlußleistenprofil Teil 1</t>
  </si>
  <si>
    <t>0711207</t>
  </si>
  <si>
    <t>Schlupftür Abschlußleistenprofil Teil 2</t>
  </si>
  <si>
    <t>0711208</t>
  </si>
  <si>
    <t>Schlupftür Teil 3 Supercoil/Fibershield</t>
  </si>
  <si>
    <t>0711209</t>
  </si>
  <si>
    <t>Schlupftür Teil 4 Supercoil/Fibershield</t>
  </si>
  <si>
    <t>0711210</t>
  </si>
  <si>
    <t>Schlupftür Teil 5 Supercoil/Fibershield</t>
  </si>
  <si>
    <t>0711211</t>
  </si>
  <si>
    <t>Schlupftür Teil 6 Supercoil/Fibershield</t>
  </si>
  <si>
    <t>0711212</t>
  </si>
  <si>
    <t>Blechstreifen Verbindungsschelle FS 140E</t>
  </si>
  <si>
    <t>0711213</t>
  </si>
  <si>
    <t>Klemmstück Blechteil für Halteschiene</t>
  </si>
  <si>
    <t>0711214</t>
  </si>
  <si>
    <t>Klemmstück für Halteschiene komplett</t>
  </si>
  <si>
    <t>0711215</t>
  </si>
  <si>
    <t>Haltescheibe Führungsstange</t>
  </si>
  <si>
    <t>0711217</t>
  </si>
  <si>
    <t>Oberteil Abhängung 900-1500 RS/FSA/RSA</t>
  </si>
  <si>
    <t>0711218</t>
  </si>
  <si>
    <t>Unterteil Abhängung 900-1500 RS/FSA/RSA</t>
  </si>
  <si>
    <t>0711219</t>
  </si>
  <si>
    <t>Seitendeckel Mot. re Gegenseite komplett</t>
  </si>
  <si>
    <t>0711220</t>
  </si>
  <si>
    <t>Seitendeckel Mot. links Gegenseite</t>
  </si>
  <si>
    <t>0711221</t>
  </si>
  <si>
    <t>Abdeckblech schwere Abschlussleiste</t>
  </si>
  <si>
    <t>0711222</t>
  </si>
  <si>
    <t>Zusatzgewicht 35x5 schwere Abschluss-</t>
  </si>
  <si>
    <t>0711223</t>
  </si>
  <si>
    <t>Befestigungsblech 29x3 schwere</t>
  </si>
  <si>
    <t>0711224</t>
  </si>
  <si>
    <t>Führungsblech-1 schwere Abschlussleiste</t>
  </si>
  <si>
    <t>0711225</t>
  </si>
  <si>
    <t>Stoßverbinder Wandmo Führschien80E/105E</t>
  </si>
  <si>
    <t>0711226</t>
  </si>
  <si>
    <t>Stoßverbinder Laib Führschiene 80E/105E</t>
  </si>
  <si>
    <t>0711227</t>
  </si>
  <si>
    <t>Stoßverbinder Wandmontage Fühschiene140E</t>
  </si>
  <si>
    <t>0711228</t>
  </si>
  <si>
    <t>Stoßverbinder Laibungs-/Nischenmontage</t>
  </si>
  <si>
    <t>0711229</t>
  </si>
  <si>
    <t>Bolzen, Gegenlager</t>
  </si>
  <si>
    <t>0711230</t>
  </si>
  <si>
    <t>Aufnahmeplatte Gegenlager</t>
  </si>
  <si>
    <t>0711232</t>
  </si>
  <si>
    <t>Verkrallungsprofi ob Lam Niedr OC-EI120</t>
  </si>
  <si>
    <t>0711233</t>
  </si>
  <si>
    <t>Enddeckel ob Lam rechts Niedr OC-EI120</t>
  </si>
  <si>
    <t>0711234</t>
  </si>
  <si>
    <t>Enddeckel ob Lam links Niedr OC-EI120</t>
  </si>
  <si>
    <t>0711235</t>
  </si>
  <si>
    <t>Enddeckel unt Lam rechts Niedr OC-EI120</t>
  </si>
  <si>
    <t>0711236</t>
  </si>
  <si>
    <t>Enddeckel unt Lam links Niedr OC-EI120</t>
  </si>
  <si>
    <t>0711239</t>
  </si>
  <si>
    <t>Winkelblende links</t>
  </si>
  <si>
    <t>0711240</t>
  </si>
  <si>
    <t>Winkelblende rechts</t>
  </si>
  <si>
    <t>0711241</t>
  </si>
  <si>
    <t>Winkelblende Mitte</t>
  </si>
  <si>
    <t>0711242</t>
  </si>
  <si>
    <t>Winkelblende Links Wickelgehäuse</t>
  </si>
  <si>
    <t>0711243</t>
  </si>
  <si>
    <t>Winkelblende Rechts Wickelgehäuse</t>
  </si>
  <si>
    <t>0711244</t>
  </si>
  <si>
    <t>Winkelblende Mitte Wickelgehäuse</t>
  </si>
  <si>
    <t>0711245</t>
  </si>
  <si>
    <t>0711246</t>
  </si>
  <si>
    <t>0711253</t>
  </si>
  <si>
    <t>Winkelblende Mitte Einlaufgehäuse</t>
  </si>
  <si>
    <t>0711254</t>
  </si>
  <si>
    <t>0711255</t>
  </si>
  <si>
    <t>0711256</t>
  </si>
  <si>
    <t>Gehäuseoberteil Turbocoil</t>
  </si>
  <si>
    <t>0711257</t>
  </si>
  <si>
    <t>Gehäuseunterteil Turbocoil</t>
  </si>
  <si>
    <t>0711258</t>
  </si>
  <si>
    <t>Querholm Wandseite Gehäuse Turbocoil</t>
  </si>
  <si>
    <t>0711259</t>
  </si>
  <si>
    <t>0711260</t>
  </si>
  <si>
    <t>Seitendeckel rechts Gegenlagerseite                   1</t>
  </si>
  <si>
    <t>0711261</t>
  </si>
  <si>
    <t>Seitendeckel links Gegenlagerseite                    1</t>
  </si>
  <si>
    <t>0711262</t>
  </si>
  <si>
    <t>Seitendeckel rechts Motorseite                        2</t>
  </si>
  <si>
    <t>0711263</t>
  </si>
  <si>
    <t>Seitendeckel links Motorseite</t>
  </si>
  <si>
    <t>0711264</t>
  </si>
  <si>
    <t>Eckspange rechts Führungsschiene</t>
  </si>
  <si>
    <t>0711265</t>
  </si>
  <si>
    <t>Eckspange links Führungsschiene</t>
  </si>
  <si>
    <t>0711266</t>
  </si>
  <si>
    <t>Rohrscheibe Turbocoil</t>
  </si>
  <si>
    <t>0711267</t>
  </si>
  <si>
    <t>Gewebelagerblech Loch Turbocoil</t>
  </si>
  <si>
    <t>0711268</t>
  </si>
  <si>
    <t>Gewebelagerblech Gewinde Turbocoil</t>
  </si>
  <si>
    <t>0711269</t>
  </si>
  <si>
    <t>Gewebelager komplett Turbocoil</t>
  </si>
  <si>
    <t>0711270</t>
  </si>
  <si>
    <t>Basisprofil links Führungsschiene</t>
  </si>
  <si>
    <t>0711271</t>
  </si>
  <si>
    <t>Basisprofil rechts Führungsschiene</t>
  </si>
  <si>
    <t>0711272</t>
  </si>
  <si>
    <t>Deckprofil rechts Führungsschiene</t>
  </si>
  <si>
    <t>0711273</t>
  </si>
  <si>
    <t>Deckprofil links Führungsschiene</t>
  </si>
  <si>
    <t>0711274</t>
  </si>
  <si>
    <t>Führungsprofil Raumseite rechts</t>
  </si>
  <si>
    <t>0711275</t>
  </si>
  <si>
    <t>Führungsprofil Raumseite links</t>
  </si>
  <si>
    <t>0711276</t>
  </si>
  <si>
    <t>Führungsprofil Wandseite rechts</t>
  </si>
  <si>
    <t>0711277</t>
  </si>
  <si>
    <t>Führungsprofil Wandseite links</t>
  </si>
  <si>
    <t>0711278</t>
  </si>
  <si>
    <t>Spange Wandseite Führungsschiene</t>
  </si>
  <si>
    <t>0711279</t>
  </si>
  <si>
    <t>Spange Raumseite Führungsschiene</t>
  </si>
  <si>
    <t>0711280</t>
  </si>
  <si>
    <t>Abstandsblech Führungsschiene Turbocoil</t>
  </si>
  <si>
    <t>0711281</t>
  </si>
  <si>
    <t>Einsteckrohr Wickelrohr 70/100 Gegenschw              5</t>
  </si>
  <si>
    <t>0711282</t>
  </si>
  <si>
    <t>Dichtprofil Wandseite links Führungs-</t>
  </si>
  <si>
    <t>0711283</t>
  </si>
  <si>
    <t>Dichtprofil Raumseite links Führungs-</t>
  </si>
  <si>
    <t>0711284</t>
  </si>
  <si>
    <t>0711285</t>
  </si>
  <si>
    <t>Seitendeckel links Fibershield-EW                     2</t>
  </si>
  <si>
    <t>0711286</t>
  </si>
  <si>
    <t>Seitendeckel rechts Fibershield-EW                    1</t>
  </si>
  <si>
    <t>0711301</t>
  </si>
  <si>
    <t>Regenblech Anfangstück Gehäuse 235x290</t>
  </si>
  <si>
    <t>0711302</t>
  </si>
  <si>
    <t>Führungsblech-2 Abschlussleiste</t>
  </si>
  <si>
    <t>0711303</t>
  </si>
  <si>
    <t>Regenblech Mittelstück Gehäuse 235x290</t>
  </si>
  <si>
    <t>0711304</t>
  </si>
  <si>
    <t>Regenblech Endstück Gehäuse 235x290</t>
  </si>
  <si>
    <t>0711305</t>
  </si>
  <si>
    <t>Regenblech einteilig Gehäuse 235x290</t>
  </si>
  <si>
    <t>0711306</t>
  </si>
  <si>
    <t>Stoßverbinder Regenblech Gehäuse 235x290</t>
  </si>
  <si>
    <t>0711307</t>
  </si>
  <si>
    <t>Stoßverbinder Regenblech</t>
  </si>
  <si>
    <t>0711309</t>
  </si>
  <si>
    <t>Seitenhalter rechts ECClos-Flex</t>
  </si>
  <si>
    <t>0711310</t>
  </si>
  <si>
    <t>Scheibe 120 Gegenlager schw. Lagerung</t>
  </si>
  <si>
    <t>0711311</t>
  </si>
  <si>
    <t>Gegenlagerscheibe D120 komplett</t>
  </si>
  <si>
    <t>0711312</t>
  </si>
  <si>
    <t>Scheibe 120 für Gegenlagerscheibe D120</t>
  </si>
  <si>
    <t>0711313</t>
  </si>
  <si>
    <t>Gegenlagerscheibe D120 feste Lag. kompl.</t>
  </si>
  <si>
    <t>0711314</t>
  </si>
  <si>
    <t>Stützscheibe für Einsteckrohr  120/70</t>
  </si>
  <si>
    <t>0711315</t>
  </si>
  <si>
    <t>Einsteckrohr 120/70 komplett, G120                    1</t>
  </si>
  <si>
    <t>0711316</t>
  </si>
  <si>
    <t>Abschlußleistenblende variabel Einzel-</t>
  </si>
  <si>
    <t>0711317</t>
  </si>
  <si>
    <t>Abschlußleistenblende L=1,5 m  Einzel-</t>
  </si>
  <si>
    <t>0711318</t>
  </si>
  <si>
    <t>Abschlußleistenblende variabel Mehr-</t>
  </si>
  <si>
    <t>0711319</t>
  </si>
  <si>
    <t>Abschlußleistenblende L=1,5 M Mehr-</t>
  </si>
  <si>
    <t>0711320</t>
  </si>
  <si>
    <t>Führungsstück Einzelmodul, Moducoil</t>
  </si>
  <si>
    <t>0711321</t>
  </si>
  <si>
    <t>Versteifungsblech Einzelmodul Moducoil</t>
  </si>
  <si>
    <t>0711322</t>
  </si>
  <si>
    <t>Verrippungsblech für Wickelrohr Moducoil</t>
  </si>
  <si>
    <t>0711323</t>
  </si>
  <si>
    <t>Enddeckel groß links Sondergehäuse</t>
  </si>
  <si>
    <t>0711324</t>
  </si>
  <si>
    <t>Enddeckel groß rechts Sondergehäuse</t>
  </si>
  <si>
    <t>0711325</t>
  </si>
  <si>
    <t>Enddeckel schmal links Sondergehäuse</t>
  </si>
  <si>
    <t>0711326</t>
  </si>
  <si>
    <t>Enddeckel schmal rechts Sondergehäuse</t>
  </si>
  <si>
    <t>0711327</t>
  </si>
  <si>
    <t>Einsteckrohr G30 Wickelrohr                           2</t>
  </si>
  <si>
    <t>0711328</t>
  </si>
  <si>
    <t>Einsteckrohr Wickelrohr                               1</t>
  </si>
  <si>
    <t>0711329</t>
  </si>
  <si>
    <t>Einsteckrohr G45/120/R60 Wickelrohr                   3</t>
  </si>
  <si>
    <t>0711330</t>
  </si>
  <si>
    <t>Motorwellenabdeckblech Turbocoil</t>
  </si>
  <si>
    <t>0711331</t>
  </si>
  <si>
    <t>Motordistanzblech Turbocoil</t>
  </si>
  <si>
    <t>0711332</t>
  </si>
  <si>
    <t>Abdeckblech Linear Mehrmodul</t>
  </si>
  <si>
    <t>0711333</t>
  </si>
  <si>
    <t>Stoßverbinder für Basisprofil</t>
  </si>
  <si>
    <t>0711334</t>
  </si>
  <si>
    <t>Stoßverbinder für Klappblech</t>
  </si>
  <si>
    <t>0711335</t>
  </si>
  <si>
    <t>Gasdruckfederaufnahme komplett</t>
  </si>
  <si>
    <t>0711338</t>
  </si>
  <si>
    <t>Winkel Stoßverbinder Unter Blender</t>
  </si>
  <si>
    <t>0711339</t>
  </si>
  <si>
    <t>0711340</t>
  </si>
  <si>
    <t>Rollenhalter, Blechteil</t>
  </si>
  <si>
    <t>0711341</t>
  </si>
  <si>
    <t>Rollenhalter, Abdeckblech</t>
  </si>
  <si>
    <t>0711342</t>
  </si>
  <si>
    <t>Rollenhalter, komplett                                2</t>
  </si>
  <si>
    <t>0711343</t>
  </si>
  <si>
    <t>Gewebeschlaufenrohr</t>
  </si>
  <si>
    <t>0711344</t>
  </si>
  <si>
    <t>Gurtumlenkrolle Länge 290 mm</t>
  </si>
  <si>
    <t>0711346</t>
  </si>
  <si>
    <t>Endanschlag komplett rechts</t>
  </si>
  <si>
    <t>0711347</t>
  </si>
  <si>
    <t>Endanschlagoberteil rechts</t>
  </si>
  <si>
    <t>0711348</t>
  </si>
  <si>
    <t>Endanschlagunterteil links</t>
  </si>
  <si>
    <t>0711349</t>
  </si>
  <si>
    <t>Endanschlag Verbindung links</t>
  </si>
  <si>
    <t>0711350</t>
  </si>
  <si>
    <t>0711351</t>
  </si>
  <si>
    <t>Endanschlagoberteil links</t>
  </si>
  <si>
    <t>0711352</t>
  </si>
  <si>
    <t>Endanschlagunterteil rechts</t>
  </si>
  <si>
    <t>0711353</t>
  </si>
  <si>
    <t>Endanschlag Verbindung rechts</t>
  </si>
  <si>
    <t>0711354</t>
  </si>
  <si>
    <t>Bodenabdeckung FS 80E Laibungmontage</t>
  </si>
  <si>
    <t>0711355</t>
  </si>
  <si>
    <t>Bodenabdeckung FS 80E Wandmontage</t>
  </si>
  <si>
    <t>0711356</t>
  </si>
  <si>
    <t>Bodenabdeckung FS 105E Laibungmontage</t>
  </si>
  <si>
    <t>0711357</t>
  </si>
  <si>
    <t>Bodenabdeckung FS 105E Wandmontage</t>
  </si>
  <si>
    <t>0711358</t>
  </si>
  <si>
    <t>Bodenabdeckung FS 140E Laibungmontage</t>
  </si>
  <si>
    <t>0711359</t>
  </si>
  <si>
    <t>Bodenabdeckung FS 140E Wandmontage</t>
  </si>
  <si>
    <t>0711360</t>
  </si>
  <si>
    <t>Gitterrahmen Querstrebe Oberteil</t>
  </si>
  <si>
    <t>0711361</t>
  </si>
  <si>
    <t>Gitterrahmen Querstrebe Unterteil</t>
  </si>
  <si>
    <t>0711362</t>
  </si>
  <si>
    <t>Wannenverbinder Hidden Shield</t>
  </si>
  <si>
    <t>0711363</t>
  </si>
  <si>
    <t>Motorplatte schwimmend kpl. Motor links</t>
  </si>
  <si>
    <t>0711364</t>
  </si>
  <si>
    <t>Motorplatte schwimmend kpl. Motor rechts</t>
  </si>
  <si>
    <t>0711365</t>
  </si>
  <si>
    <t>0711366</t>
  </si>
  <si>
    <t>0711367</t>
  </si>
  <si>
    <t>Seitendeckel Motor rechts, Motorseite</t>
  </si>
  <si>
    <t>0711368</t>
  </si>
  <si>
    <t>0711369</t>
  </si>
  <si>
    <t>Seitendeckel Motor links, Gegenseite,</t>
  </si>
  <si>
    <t>0711370</t>
  </si>
  <si>
    <t>Seitendeckel Motor rechts, Gegenseite,</t>
  </si>
  <si>
    <t>0711371</t>
  </si>
  <si>
    <t>0711372</t>
  </si>
  <si>
    <t>0711373</t>
  </si>
  <si>
    <t>Gerade Blende Endgehäuse</t>
  </si>
  <si>
    <t>0711374</t>
  </si>
  <si>
    <t>0711375</t>
  </si>
  <si>
    <t>0711376</t>
  </si>
  <si>
    <t>Winkel-Blende Endgehäuse</t>
  </si>
  <si>
    <t>0711377</t>
  </si>
  <si>
    <t>Stoßverbinder / Winkel-Blende</t>
  </si>
  <si>
    <t>0711378</t>
  </si>
  <si>
    <t>Untere Blende Anfangsgehäuse schwimmend</t>
  </si>
  <si>
    <t>0711379</t>
  </si>
  <si>
    <t>Untere Blende Mittelgehäuse schwimmend</t>
  </si>
  <si>
    <t>0711380</t>
  </si>
  <si>
    <t>Untere Blende Endgehäuse schwimmend</t>
  </si>
  <si>
    <t>0711381</t>
  </si>
  <si>
    <t>0711382</t>
  </si>
  <si>
    <t>0711383</t>
  </si>
  <si>
    <t>0711384</t>
  </si>
  <si>
    <t>Befestigungskonsole komplett</t>
  </si>
  <si>
    <t>0711385</t>
  </si>
  <si>
    <t>0711386</t>
  </si>
  <si>
    <t>Eckverbinder links, große Abschlußleiste</t>
  </si>
  <si>
    <t>0711387</t>
  </si>
  <si>
    <t>Eckverbinder rechts,große Abschlußleiste</t>
  </si>
  <si>
    <t>0711388</t>
  </si>
  <si>
    <t>Eckverbinder Verbindungsstück große</t>
  </si>
  <si>
    <t>0711389</t>
  </si>
  <si>
    <t>Eckverbinder komplett, große</t>
  </si>
  <si>
    <t>0711390</t>
  </si>
  <si>
    <t>Eckverbinder li, schmale Abschlußleiste</t>
  </si>
  <si>
    <t>0711391</t>
  </si>
  <si>
    <t>Eckverbinder re, schmale Abschlußleiste</t>
  </si>
  <si>
    <t>0711392</t>
  </si>
  <si>
    <t>Supercoil, Fibershield P &amp; F Gerade</t>
  </si>
  <si>
    <t>0711393</t>
  </si>
  <si>
    <t>Supercoil, Fibershield P &amp; F Winkel-</t>
  </si>
  <si>
    <t>0711394</t>
  </si>
  <si>
    <t>Winkelblende für Deckenmontage</t>
  </si>
  <si>
    <t>0711395</t>
  </si>
  <si>
    <t>0711396</t>
  </si>
  <si>
    <t>0711397</t>
  </si>
  <si>
    <t>0711398</t>
  </si>
  <si>
    <t>Supercoil, Fibershield-P&amp;F, Winkelblende</t>
  </si>
  <si>
    <t>0711399</t>
  </si>
  <si>
    <t>0711400</t>
  </si>
  <si>
    <t>0711401</t>
  </si>
  <si>
    <t>0711402</t>
  </si>
  <si>
    <t>Gerade Blende 190x250 fest</t>
  </si>
  <si>
    <t>0711403</t>
  </si>
  <si>
    <t>Supercoil, Fibershield-P&amp;F, Gerade Blend</t>
  </si>
  <si>
    <t>0711404</t>
  </si>
  <si>
    <t>Bohrschablone Deckenplatte, Blechteil</t>
  </si>
  <si>
    <t>0711405</t>
  </si>
  <si>
    <t>0711406</t>
  </si>
  <si>
    <t>Gewebegurt für Hiddenshield</t>
  </si>
  <si>
    <t>0711407</t>
  </si>
  <si>
    <t>Gitterrahmen Hiddenshield                             1</t>
  </si>
  <si>
    <t>0711408</t>
  </si>
  <si>
    <t>Gitterrahmen Verbinder + Endstück</t>
  </si>
  <si>
    <t>9                  4</t>
  </si>
  <si>
    <t>Schmelzlot mit Mutter Fibershield-W</t>
  </si>
  <si>
    <t>0711409</t>
  </si>
  <si>
    <t>0711410</t>
  </si>
  <si>
    <t>RZ54/24V-Platte für Bopla CC6000</t>
  </si>
  <si>
    <t>0711411</t>
  </si>
  <si>
    <t>Winkelstoßverbinder untere Blende</t>
  </si>
  <si>
    <t>0711412</t>
  </si>
  <si>
    <t>Abdeckblech links</t>
  </si>
  <si>
    <t>0711413</t>
  </si>
  <si>
    <t>Abdeckblech rechts</t>
  </si>
  <si>
    <t>0711414</t>
  </si>
  <si>
    <t>Abschlussleistenrolle</t>
  </si>
  <si>
    <t>0711415</t>
  </si>
  <si>
    <t>Abschlußleistenseitenteil links</t>
  </si>
  <si>
    <t>0711416</t>
  </si>
  <si>
    <t>Abschlußleistenseitenteil rechts</t>
  </si>
  <si>
    <t>0711417</t>
  </si>
  <si>
    <t>Abschlußprofil Aussenteil Einzeln</t>
  </si>
  <si>
    <t>0711418</t>
  </si>
  <si>
    <t>Abschlußprofil Aussenteil Links</t>
  </si>
  <si>
    <t>0711419</t>
  </si>
  <si>
    <t>Abschlußprofil Aussenteil Rechts</t>
  </si>
  <si>
    <t>0711420</t>
  </si>
  <si>
    <t>Abschlußprofil Innenteil Links</t>
  </si>
  <si>
    <t>0711421</t>
  </si>
  <si>
    <t>Abschlußprofil Innenteil Einzeln</t>
  </si>
  <si>
    <t>0711422</t>
  </si>
  <si>
    <t>Abschlußprofil Innenteil Rechts</t>
  </si>
  <si>
    <t>0711423</t>
  </si>
  <si>
    <t>Anpressplatte</t>
  </si>
  <si>
    <t>0711424</t>
  </si>
  <si>
    <t>Basisprofil Anfangsstück Links</t>
  </si>
  <si>
    <t>0711425</t>
  </si>
  <si>
    <t>Basisprofil Anfangsstück Rechts</t>
  </si>
  <si>
    <t>0711426</t>
  </si>
  <si>
    <t>Basisprofil Einzeln links</t>
  </si>
  <si>
    <t>0711427</t>
  </si>
  <si>
    <t>Basisprofil Einzeln rechts</t>
  </si>
  <si>
    <t>0711428</t>
  </si>
  <si>
    <t>Basisprofil Endstück Links</t>
  </si>
  <si>
    <t>0711429</t>
  </si>
  <si>
    <t>Basisprofil Endstück Rechts</t>
  </si>
  <si>
    <t>0711430</t>
  </si>
  <si>
    <t>Basisprofil Mittelstück Links</t>
  </si>
  <si>
    <t>0711431</t>
  </si>
  <si>
    <t>0711432</t>
  </si>
  <si>
    <t>Basisprofil Mittelstück Rechts</t>
  </si>
  <si>
    <t>0711433</t>
  </si>
  <si>
    <t>Halter einteilig Gadruckfeder</t>
  </si>
  <si>
    <t>0711434</t>
  </si>
  <si>
    <t>0711435</t>
  </si>
  <si>
    <t>Einlaufrollenhalter Oberteil Links</t>
  </si>
  <si>
    <t>0711436</t>
  </si>
  <si>
    <t>Einlaufrollenhalter Oberteil Rechts</t>
  </si>
  <si>
    <t>0711437</t>
  </si>
  <si>
    <t>Einlaufrollenhalter Unterteil links</t>
  </si>
  <si>
    <t>0711438</t>
  </si>
  <si>
    <t>Einlaufrollenhalter Unterteil rechts</t>
  </si>
  <si>
    <t>0711439</t>
  </si>
  <si>
    <t>Einstellwinkel links</t>
  </si>
  <si>
    <t>0711440</t>
  </si>
  <si>
    <t>Einstellwinkel rechts</t>
  </si>
  <si>
    <t>0711441</t>
  </si>
  <si>
    <t>Endumlenkungsbasis</t>
  </si>
  <si>
    <t>0711442</t>
  </si>
  <si>
    <t>Endumlenkungswinkel</t>
  </si>
  <si>
    <t>0711443</t>
  </si>
  <si>
    <t>Führungsendwinkel</t>
  </si>
  <si>
    <t>0711444</t>
  </si>
  <si>
    <t>Führungskantung Mitte</t>
  </si>
  <si>
    <t>0711445</t>
  </si>
  <si>
    <t>Gaszugfederverbindungsplatte</t>
  </si>
  <si>
    <t>0711446</t>
  </si>
  <si>
    <t>Gegenlageraufnahme 70x1,5 Rohr</t>
  </si>
  <si>
    <t>0711447</t>
  </si>
  <si>
    <t>Gewebeführungsanbindung links</t>
  </si>
  <si>
    <t>0711448</t>
  </si>
  <si>
    <t>Gewebeführungsanbindung rechts</t>
  </si>
  <si>
    <t>0711449</t>
  </si>
  <si>
    <t>Gewebestützprofil links</t>
  </si>
  <si>
    <t>0711450</t>
  </si>
  <si>
    <t>Gewebestützprofil rechts</t>
  </si>
  <si>
    <t>0711451</t>
  </si>
  <si>
    <t>Gurtscheibe d=200</t>
  </si>
  <si>
    <t>0711452</t>
  </si>
  <si>
    <t>Knotenplatte links</t>
  </si>
  <si>
    <t>0711453</t>
  </si>
  <si>
    <t>Knotenplatte rechts</t>
  </si>
  <si>
    <t>0711454</t>
  </si>
  <si>
    <t>Konsolen Unterteil</t>
  </si>
  <si>
    <t>0711455</t>
  </si>
  <si>
    <t>Konsolen Oberteil</t>
  </si>
  <si>
    <t>0711456</t>
  </si>
  <si>
    <t>Kopfhaltewinkel</t>
  </si>
  <si>
    <t>0711457</t>
  </si>
  <si>
    <t>Kugellagerhalter für Führungsschiene</t>
  </si>
  <si>
    <t>0711458</t>
  </si>
  <si>
    <t>Motorlagerplatte links</t>
  </si>
  <si>
    <t>0711459</t>
  </si>
  <si>
    <t>Motorlagerplatte rechts</t>
  </si>
  <si>
    <t>0711460</t>
  </si>
  <si>
    <t>Obere Blende links Ende</t>
  </si>
  <si>
    <t>0711461</t>
  </si>
  <si>
    <t>Obere Blende Mitte</t>
  </si>
  <si>
    <t>0711462</t>
  </si>
  <si>
    <t>Obere Blende Rechts Ende</t>
  </si>
  <si>
    <t>0711463</t>
  </si>
  <si>
    <t>Obere Führungskantung Ende</t>
  </si>
  <si>
    <t>0711464</t>
  </si>
  <si>
    <t>Obere Führungskantung links Anfang</t>
  </si>
  <si>
    <t>0711465</t>
  </si>
  <si>
    <t>Obere Führungskantung rechts Anfang</t>
  </si>
  <si>
    <t>0711466</t>
  </si>
  <si>
    <t>Rohrscheibe D 100.8</t>
  </si>
  <si>
    <t>0711467</t>
  </si>
  <si>
    <t>Rollenblock links                                     1</t>
  </si>
  <si>
    <t>0711468</t>
  </si>
  <si>
    <t>Rollenblock rechts                                    1</t>
  </si>
  <si>
    <t>0711469</t>
  </si>
  <si>
    <t>Seilflasche Fibershield-HC</t>
  </si>
  <si>
    <t>0711470</t>
  </si>
  <si>
    <t>Seilrolle d=66x12                                     1</t>
  </si>
  <si>
    <t>0711471</t>
  </si>
  <si>
    <t>Seitendeckel FS-H-OS links                            1</t>
  </si>
  <si>
    <t>0711472</t>
  </si>
  <si>
    <t>Seitendeckel FS-H-OS rechts</t>
  </si>
  <si>
    <t>0711473</t>
  </si>
  <si>
    <t>Spange links</t>
  </si>
  <si>
    <t>0711474</t>
  </si>
  <si>
    <t>Spange rechts</t>
  </si>
  <si>
    <t>0711475</t>
  </si>
  <si>
    <t>Spangenverriegelung</t>
  </si>
  <si>
    <t>0711476</t>
  </si>
  <si>
    <t>Spangenübergang                                       1</t>
  </si>
  <si>
    <t>0711477</t>
  </si>
  <si>
    <t>Spannplatte</t>
  </si>
  <si>
    <t>0711478</t>
  </si>
  <si>
    <t>0711479</t>
  </si>
  <si>
    <t>0711480</t>
  </si>
  <si>
    <t>Untere Blende Einzeln</t>
  </si>
  <si>
    <t>0711481</t>
  </si>
  <si>
    <t>0711482</t>
  </si>
  <si>
    <t>Untere Blende MItte</t>
  </si>
  <si>
    <t>0711483</t>
  </si>
  <si>
    <t>0711484</t>
  </si>
  <si>
    <t>Untere Führungskantung Ende</t>
  </si>
  <si>
    <t>0711485</t>
  </si>
  <si>
    <t>Untere Führungskantung links Anfang</t>
  </si>
  <si>
    <t>0711486</t>
  </si>
  <si>
    <t>Untere Führungskantung links Einzeln</t>
  </si>
  <si>
    <t>0711487</t>
  </si>
  <si>
    <t>Untere Führungskantung rechts Anfang</t>
  </si>
  <si>
    <t>0711488</t>
  </si>
  <si>
    <t>Untere Führungskantung rechts Einzeln</t>
  </si>
  <si>
    <t>0711489</t>
  </si>
  <si>
    <t>Verkrallungsblech</t>
  </si>
  <si>
    <t>0711490</t>
  </si>
  <si>
    <t>Verkrallungshebel Oberteil</t>
  </si>
  <si>
    <t>0711491</t>
  </si>
  <si>
    <t>0711492</t>
  </si>
  <si>
    <t>Verriegelungsbügel links</t>
  </si>
  <si>
    <t>0711493</t>
  </si>
  <si>
    <t>Verriegelungsbügel rechts</t>
  </si>
  <si>
    <t>0711494</t>
  </si>
  <si>
    <t>Verschiebeplatte</t>
  </si>
  <si>
    <t>0711495</t>
  </si>
  <si>
    <t>Verstärkung für Gegenlagerplatte</t>
  </si>
  <si>
    <t>0711496</t>
  </si>
  <si>
    <t>Verstärkungsplatte</t>
  </si>
  <si>
    <t>0711497</t>
  </si>
  <si>
    <t>Versteifungen aussen</t>
  </si>
  <si>
    <t>0711498</t>
  </si>
  <si>
    <t>Versteifungen</t>
  </si>
  <si>
    <t>0711499</t>
  </si>
  <si>
    <t>Winkelblende Einzelgehäuse Deckenmontage</t>
  </si>
  <si>
    <t>0711500</t>
  </si>
  <si>
    <t>Winkelblende Deckenmontage Endstück li</t>
  </si>
  <si>
    <t>0711501</t>
  </si>
  <si>
    <t>Winkelblende Deckenmontage Endstück re</t>
  </si>
  <si>
    <t>0711502</t>
  </si>
  <si>
    <t>Winkelprofil links Anfangsstück</t>
  </si>
  <si>
    <t>0711503</t>
  </si>
  <si>
    <t>Winkelprofil rechts Anfangsstück</t>
  </si>
  <si>
    <t>0711504</t>
  </si>
  <si>
    <t>Winkelprofil links Endstück</t>
  </si>
  <si>
    <t>0711505</t>
  </si>
  <si>
    <t>Winkelprofil rechts Endstück</t>
  </si>
  <si>
    <t>0711506</t>
  </si>
  <si>
    <t>Winkelprofil Mittelstück</t>
  </si>
  <si>
    <t>0711507</t>
  </si>
  <si>
    <t>Winkelprofil Einzelstück links</t>
  </si>
  <si>
    <t>0711508</t>
  </si>
  <si>
    <t>Winkelprofil Einzelstück rechts</t>
  </si>
  <si>
    <t>0711509</t>
  </si>
  <si>
    <t>Zuggurtausrichtung</t>
  </si>
  <si>
    <t>0711510</t>
  </si>
  <si>
    <t>Einfädelrolle</t>
  </si>
  <si>
    <t>0711511</t>
  </si>
  <si>
    <t>Montageplatte Fibershield-HC</t>
  </si>
  <si>
    <t>0711512</t>
  </si>
  <si>
    <t>Schablone für FS-HC 108 Rohr</t>
  </si>
  <si>
    <t>0711519</t>
  </si>
  <si>
    <t>Z-Kantung Halter Gasdruckfeder</t>
  </si>
  <si>
    <t>0711520</t>
  </si>
  <si>
    <t>Verlängerung Niedrigsturz OC-Lamelle</t>
  </si>
  <si>
    <t>0711521</t>
  </si>
  <si>
    <t>Abhängungsadapter Seitendeckel</t>
  </si>
  <si>
    <t>0711522</t>
  </si>
  <si>
    <t>Eckverbinder breit auf schmal</t>
  </si>
  <si>
    <t>0711523</t>
  </si>
  <si>
    <t>Gurtbefestigung auf Welle Unterteil</t>
  </si>
  <si>
    <t>0711524</t>
  </si>
  <si>
    <t>Gurtbefestigung auf Welle Oberteil</t>
  </si>
  <si>
    <t>0711525</t>
  </si>
  <si>
    <t>Gurtbefestigung auf Welle komplett                    1</t>
  </si>
  <si>
    <t>0711526</t>
  </si>
  <si>
    <t>Bremsplatte aus Promtect</t>
  </si>
  <si>
    <t>0711527</t>
  </si>
  <si>
    <t>Gehäuseoberteil bis 4m, Geh. 735x650</t>
  </si>
  <si>
    <t>0711528</t>
  </si>
  <si>
    <t>Gehäuseunterteil bis 4m, Geh. 735x650</t>
  </si>
  <si>
    <t>0711529</t>
  </si>
  <si>
    <t>Gehäuseoberteil li ab 4m, Geh. 735x650</t>
  </si>
  <si>
    <t>0711530</t>
  </si>
  <si>
    <t>Gehäuseoberteil re ab 4m, Geh. 735x650</t>
  </si>
  <si>
    <t>0711531</t>
  </si>
  <si>
    <t>Gehäuseunterteil li ab 4m, Geh. 735x650</t>
  </si>
  <si>
    <t>0711532</t>
  </si>
  <si>
    <t>Gehäuseunterteil re ab 4m, Geh. 735x650</t>
  </si>
  <si>
    <t>0711533</t>
  </si>
  <si>
    <t>Seitendeckel links komplett 735x650</t>
  </si>
  <si>
    <t>0711534</t>
  </si>
  <si>
    <t>Seitendeckel links 735x650</t>
  </si>
  <si>
    <t>0711535</t>
  </si>
  <si>
    <t>Seitendeckel rechts komplett 735x650</t>
  </si>
  <si>
    <t>0711536</t>
  </si>
  <si>
    <t>Seitendeckel rechts 735x650</t>
  </si>
  <si>
    <t>0711537</t>
  </si>
  <si>
    <t>Führungsblech 735x650</t>
  </si>
  <si>
    <t>0711538</t>
  </si>
  <si>
    <t>0711539</t>
  </si>
  <si>
    <t>0711540</t>
  </si>
  <si>
    <t>Wickellagerkonsole Blechteil Ghe. 735x65</t>
  </si>
  <si>
    <t>0711541</t>
  </si>
  <si>
    <t>0711542</t>
  </si>
  <si>
    <t>Federführungsstange Geh. 735x650</t>
  </si>
  <si>
    <t>0711543</t>
  </si>
  <si>
    <t>Türversteifung links Copycap Baugröße 3</t>
  </si>
  <si>
    <t>0711544</t>
  </si>
  <si>
    <t>Türversteifung rechts Copycap Baugröße 3</t>
  </si>
  <si>
    <t>0711554</t>
  </si>
  <si>
    <t>Basisprofil links Wandmontage bis 4m</t>
  </si>
  <si>
    <t>0711555</t>
  </si>
  <si>
    <t>Basisprofil rechts Wandmontage bis 4m</t>
  </si>
  <si>
    <t>0711556</t>
  </si>
  <si>
    <t>Deckprofil links Wandmontage bis 4m</t>
  </si>
  <si>
    <t>0711557</t>
  </si>
  <si>
    <t>Deckprofil rechts Wandmontage bis 4m</t>
  </si>
  <si>
    <t>0711558</t>
  </si>
  <si>
    <t>Basisprofil links Laibungsmontage bis 4m</t>
  </si>
  <si>
    <t>0711559</t>
  </si>
  <si>
    <t>Basisprofil rechs Laibungsmontage bis 4m</t>
  </si>
  <si>
    <t>0711560</t>
  </si>
  <si>
    <t>Deckprofil links Laibungsmontage bis 4m</t>
  </si>
  <si>
    <t>0711561</t>
  </si>
  <si>
    <t>Deckprofil rechts Laibungsmontage bis 4m</t>
  </si>
  <si>
    <t>0711562</t>
  </si>
  <si>
    <t>Führungsscheibe für Gegengewicht d=70</t>
  </si>
  <si>
    <t>0711563</t>
  </si>
  <si>
    <t>Klemmscheibe für Gegengewicht d=70</t>
  </si>
  <si>
    <t>0711564</t>
  </si>
  <si>
    <t>Gegenlagergewicht komplett für d=70                   2</t>
  </si>
  <si>
    <t>0711566</t>
  </si>
  <si>
    <t>Seitendeckel Gegenseite Motor li</t>
  </si>
  <si>
    <t>0711567</t>
  </si>
  <si>
    <t>Konsole Oberteil, Gehäuse 145x145</t>
  </si>
  <si>
    <t>0711568</t>
  </si>
  <si>
    <t>Konsole Unterteil</t>
  </si>
  <si>
    <t>0711569</t>
  </si>
  <si>
    <t>Basisprofil links bis 4m</t>
  </si>
  <si>
    <t>0711570</t>
  </si>
  <si>
    <t>Basisprofil rechts bis 4m</t>
  </si>
  <si>
    <t>0711571</t>
  </si>
  <si>
    <t>Deckprofil links bis 4m</t>
  </si>
  <si>
    <t>0711572</t>
  </si>
  <si>
    <t>Deckprofil rechts bis 4m</t>
  </si>
  <si>
    <t>0711573</t>
  </si>
  <si>
    <t>0711574</t>
  </si>
  <si>
    <t>Adapterwinkel für  Führungsschiene                    1</t>
  </si>
  <si>
    <t>0711575</t>
  </si>
  <si>
    <t>Gegenlagerprofil</t>
  </si>
  <si>
    <t>0711576</t>
  </si>
  <si>
    <t>Gleitprofil</t>
  </si>
  <si>
    <t>0711577</t>
  </si>
  <si>
    <t>Gewebewinkel vorn Hiddenshield</t>
  </si>
  <si>
    <t>0711578</t>
  </si>
  <si>
    <t>Gewebewinkel hinten Hiddenshield</t>
  </si>
  <si>
    <t>0711579</t>
  </si>
  <si>
    <t>Gewebewinkel seitlich Hiddenshield</t>
  </si>
  <si>
    <t>0711580</t>
  </si>
  <si>
    <t>Gewebe-Klemmblech vorn Hiddenshield</t>
  </si>
  <si>
    <t>0711581</t>
  </si>
  <si>
    <t>Gewebe-Klemmblech hinten Hiddenshield</t>
  </si>
  <si>
    <t>0711582</t>
  </si>
  <si>
    <t>Gewebe-Klemmblech seitlich  Hiddenshield</t>
  </si>
  <si>
    <t>0711583</t>
  </si>
  <si>
    <t>Aufsatzwinkel für Klappblech</t>
  </si>
  <si>
    <t>0711584</t>
  </si>
  <si>
    <t>Rundstahl d=16 x 59</t>
  </si>
  <si>
    <t>0711586</t>
  </si>
  <si>
    <t>Enddeckel obere LamNied re.kpl. 16-B</t>
  </si>
  <si>
    <t>0711587</t>
  </si>
  <si>
    <t>Enddeckel obere LamNied li.kpl. 16-B</t>
  </si>
  <si>
    <t>0711588</t>
  </si>
  <si>
    <t>Enddeckel obere LamNied re.kpl. 16-16-B</t>
  </si>
  <si>
    <t>0711589</t>
  </si>
  <si>
    <t>Enddeckel obere LamNied li.kpl. 16-16-B</t>
  </si>
  <si>
    <t>0711590</t>
  </si>
  <si>
    <t>Stoßverbinder Gehäuseunterteil 510x400</t>
  </si>
  <si>
    <t>0711591</t>
  </si>
  <si>
    <t>Stoßverbinder Gehäuseunterteil 575x450</t>
  </si>
  <si>
    <t>0711592</t>
  </si>
  <si>
    <t>Stoßverbinder Gehäuseunterteil 655x555</t>
  </si>
  <si>
    <t>0711593</t>
  </si>
  <si>
    <t>Stoßverbinder Gehäuseunterteil 735x650</t>
  </si>
  <si>
    <t>0711594</t>
  </si>
  <si>
    <t>0711595</t>
  </si>
  <si>
    <t>Abstandhalter für Konsolen</t>
  </si>
  <si>
    <t>0711596</t>
  </si>
  <si>
    <t>Enddeckel untere LamNied re.kpl. 16-B</t>
  </si>
  <si>
    <t>0711597</t>
  </si>
  <si>
    <t>Enddeckel untere LamNied li.kpl. 16-B</t>
  </si>
  <si>
    <t>0711598</t>
  </si>
  <si>
    <t>Enddeckel untere LamNied re.kpl. 16-16-B</t>
  </si>
  <si>
    <t>0711599</t>
  </si>
  <si>
    <t>Enddeckel untere LamNied li.kpl. 16-16-B</t>
  </si>
  <si>
    <t>0711600</t>
  </si>
  <si>
    <t>Verstärkunsgblech für Abschlußleisten-</t>
  </si>
  <si>
    <t>0711601</t>
  </si>
  <si>
    <t>Abschlußleistenverbinder komplett</t>
  </si>
  <si>
    <t>0711602</t>
  </si>
  <si>
    <t>Einsteckrohr Gegenseite                               3</t>
  </si>
  <si>
    <t>0711603</t>
  </si>
  <si>
    <t>Einsteckrohr Motorseite                               2</t>
  </si>
  <si>
    <t>0711604</t>
  </si>
  <si>
    <t>Endumlenkung komplett links                           5</t>
  </si>
  <si>
    <t>0711605</t>
  </si>
  <si>
    <t>0711606</t>
  </si>
  <si>
    <t>Bordscheibe komplett</t>
  </si>
  <si>
    <t>0711607</t>
  </si>
  <si>
    <t>Konsole komplett                                      3</t>
  </si>
  <si>
    <t>0711608</t>
  </si>
  <si>
    <t>Motorlagerplatte Verstärkung links                    1</t>
  </si>
  <si>
    <t>0711609</t>
  </si>
  <si>
    <t>Seilflasche komplett                                  2</t>
  </si>
  <si>
    <t>0711610</t>
  </si>
  <si>
    <t>0711611</t>
  </si>
  <si>
    <t>Verkrallungshebel komplett                            1</t>
  </si>
  <si>
    <t>0711612</t>
  </si>
  <si>
    <t>Wickelrohr komplett</t>
  </si>
  <si>
    <t>0711613</t>
  </si>
  <si>
    <t>Abschlußleiste komplett</t>
  </si>
  <si>
    <t>0711614</t>
  </si>
  <si>
    <t>0711615</t>
  </si>
  <si>
    <t>Motorlagerplatte Verstärkung rechts                   2</t>
  </si>
  <si>
    <t>0711616</t>
  </si>
  <si>
    <t>Endumlenkung komplett rechts                          5</t>
  </si>
  <si>
    <t>0711617</t>
  </si>
  <si>
    <t>Verbindungsring</t>
  </si>
  <si>
    <t>0711618</t>
  </si>
  <si>
    <t>Rückseitige Blende Einzelgehäuse</t>
  </si>
  <si>
    <t>0711619</t>
  </si>
  <si>
    <t>Rückseitige Blende links</t>
  </si>
  <si>
    <t>0711620</t>
  </si>
  <si>
    <t>Rückseitige Blende rechts</t>
  </si>
  <si>
    <t>0711621</t>
  </si>
  <si>
    <t>Basisprofil Ende links komplett</t>
  </si>
  <si>
    <t>0711622</t>
  </si>
  <si>
    <t>Basisprofil Ende rechts komplett</t>
  </si>
  <si>
    <t>0711625</t>
  </si>
  <si>
    <t>Spannvierkant mit U-Scheibe</t>
  </si>
  <si>
    <t>0711626</t>
  </si>
  <si>
    <t>Obere Führungskantung links Einzelgehäus</t>
  </si>
  <si>
    <t>0711627</t>
  </si>
  <si>
    <t>Obere Führungskantung rechs Einzelgehäus</t>
  </si>
  <si>
    <t>0711628</t>
  </si>
  <si>
    <t>Obere Blende einzeln</t>
  </si>
  <si>
    <t>0711629</t>
  </si>
  <si>
    <t>Motorlagerplatte Verstärkung rechts</t>
  </si>
  <si>
    <t>0711630</t>
  </si>
  <si>
    <t>Seitendeckel Gegenseite  Motor re</t>
  </si>
  <si>
    <t>0711631</t>
  </si>
  <si>
    <t>Seitendeckel Motorseite für Motor  li</t>
  </si>
  <si>
    <t>0711632</t>
  </si>
  <si>
    <t>Seitendeckel Motorseite für Motor  re</t>
  </si>
  <si>
    <t>0711633</t>
  </si>
  <si>
    <t>Lagerplatte für Gegenseite</t>
  </si>
  <si>
    <t>0711634</t>
  </si>
  <si>
    <t>Lagerplatte für Gegenseite komplett                   1</t>
  </si>
  <si>
    <t>0711635</t>
  </si>
  <si>
    <t>Lagerplatte für Motorseite</t>
  </si>
  <si>
    <t>0711636</t>
  </si>
  <si>
    <t>Konsole Oberteil, Gehäuse 175x175</t>
  </si>
  <si>
    <t>0711637</t>
  </si>
  <si>
    <t>Konsole Unterteil Gehäuse 175x175</t>
  </si>
  <si>
    <t>0711638</t>
  </si>
  <si>
    <t>Seitendeckel Motorseite kompl. Motor li               1</t>
  </si>
  <si>
    <t>0711639</t>
  </si>
  <si>
    <t>Seitendeckel Motorseite kompl. Motor re               2</t>
  </si>
  <si>
    <t>0711641</t>
  </si>
  <si>
    <t>Doppelkadergelenkgetriebe komplett                    7</t>
  </si>
  <si>
    <t>0711642</t>
  </si>
  <si>
    <t>Halteblech für Doppelkadergelenkgetriebe</t>
  </si>
  <si>
    <t>0711643</t>
  </si>
  <si>
    <t>Haltewinkel f. Doppelkadergelenkgetriebe</t>
  </si>
  <si>
    <t>0711644</t>
  </si>
  <si>
    <t>Flachstahl für Gegenlagergewicht</t>
  </si>
  <si>
    <t>0711645</t>
  </si>
  <si>
    <t>Gewindestange für Gegenlagergewicht</t>
  </si>
  <si>
    <t>0711646</t>
  </si>
  <si>
    <t>Gegenlagermutter für Gegenlagergewicht</t>
  </si>
  <si>
    <t>0711647</t>
  </si>
  <si>
    <t>Blende aussen (lange Ausführung)</t>
  </si>
  <si>
    <t>0711648</t>
  </si>
  <si>
    <t>0711649</t>
  </si>
  <si>
    <t>0711650</t>
  </si>
  <si>
    <t>Endanschlag innen Gehäuse 450</t>
  </si>
  <si>
    <t>0711651</t>
  </si>
  <si>
    <t>Konsolen-Innenteil Gehäuse 450</t>
  </si>
  <si>
    <t>0711652</t>
  </si>
  <si>
    <t>Motor-Konsolenaussenteil rechts Gehäuse</t>
  </si>
  <si>
    <t>0711653</t>
  </si>
  <si>
    <t>Motorkonsole komplett rechts</t>
  </si>
  <si>
    <t>0711654</t>
  </si>
  <si>
    <t>Motorkonsole komplett rechts. Geh. 450</t>
  </si>
  <si>
    <t>0711655</t>
  </si>
  <si>
    <t>Gehäuseoberteil 510x400 bis 4m</t>
  </si>
  <si>
    <t>0711656</t>
  </si>
  <si>
    <t>Gehäuseunterteil 510x400 bis 4m</t>
  </si>
  <si>
    <t>0711657</t>
  </si>
  <si>
    <t>Gehäuseoberteil rechts 510x400 ab 4m</t>
  </si>
  <si>
    <t>0711658</t>
  </si>
  <si>
    <t>Gehäuseoberteil links 510x400 ab 4m</t>
  </si>
  <si>
    <t>0711659</t>
  </si>
  <si>
    <t>Gehäuseunterteil 510x400 ab 4m rechts</t>
  </si>
  <si>
    <t>0711660</t>
  </si>
  <si>
    <t>Gehäuseunterteil 510x400 ab 4m links</t>
  </si>
  <si>
    <t>0711661</t>
  </si>
  <si>
    <t>Seitendeckel rechts 510 x 400</t>
  </si>
  <si>
    <t>0711662</t>
  </si>
  <si>
    <t>Seitendeckel links 510 x 400</t>
  </si>
  <si>
    <t>0711663</t>
  </si>
  <si>
    <t>0711664</t>
  </si>
  <si>
    <t>0711665</t>
  </si>
  <si>
    <t>Gehäuseoberteil rechts ab 4m 575x450</t>
  </si>
  <si>
    <t>0711666</t>
  </si>
  <si>
    <t>Gehäuseoberteil links ab 4m 575x450</t>
  </si>
  <si>
    <t>0711667</t>
  </si>
  <si>
    <t>Gehäuseunterteil ab 4m rechts 575x450</t>
  </si>
  <si>
    <t>0711668</t>
  </si>
  <si>
    <t>Gehäuseunterteil ab 4m links 575x450</t>
  </si>
  <si>
    <t>0711669</t>
  </si>
  <si>
    <t>Seitendeckel rechts 575 x 450</t>
  </si>
  <si>
    <t>0711670</t>
  </si>
  <si>
    <t>Seitendeckel links 575 x 450</t>
  </si>
  <si>
    <t>0711671</t>
  </si>
  <si>
    <t>Gehäuseoberteil bis 4m 655x555</t>
  </si>
  <si>
    <t>0711672</t>
  </si>
  <si>
    <t>Gehäuseunterteil bis 4m 655x555</t>
  </si>
  <si>
    <t>0711673</t>
  </si>
  <si>
    <t>Gehäuseoberteil rechts ab 4m 655x555</t>
  </si>
  <si>
    <t>0711674</t>
  </si>
  <si>
    <t>Gehäuseoberteil links ab 4m 655x555</t>
  </si>
  <si>
    <t>0711675</t>
  </si>
  <si>
    <t>Gehäuseunterteil rechts ab 4m 655x555</t>
  </si>
  <si>
    <t>0711676</t>
  </si>
  <si>
    <t>Gehäuseunterteil links ab 4m 655x555</t>
  </si>
  <si>
    <t>0711677</t>
  </si>
  <si>
    <t>Seitendeckel rechts 655x555</t>
  </si>
  <si>
    <t>0711678</t>
  </si>
  <si>
    <t>Seitendeckel links 655x555</t>
  </si>
  <si>
    <t>0711679</t>
  </si>
  <si>
    <t>0711680</t>
  </si>
  <si>
    <t>0711681</t>
  </si>
  <si>
    <t>0711682</t>
  </si>
  <si>
    <t>0711683</t>
  </si>
  <si>
    <t>Gehäuseunterteil rechts ab  4m 575x450</t>
  </si>
  <si>
    <t>0711684</t>
  </si>
  <si>
    <t>Gehäuseunterteil links ab  4m 575x450</t>
  </si>
  <si>
    <t>0711685</t>
  </si>
  <si>
    <t>0711686</t>
  </si>
  <si>
    <t>0711687</t>
  </si>
  <si>
    <t>Fibershield-I Flachstahl 120x60</t>
  </si>
  <si>
    <t>0711688</t>
  </si>
  <si>
    <t>Querrohr kpl Fibershield-I EI 30 / EI 60</t>
  </si>
  <si>
    <t>0711689</t>
  </si>
  <si>
    <t>Seitendeckel Gegenseite kompl. Motor li</t>
  </si>
  <si>
    <t>0711690</t>
  </si>
  <si>
    <t>Seitendeckel Gegenseite kompl. Motor re               1</t>
  </si>
  <si>
    <t>0711691</t>
  </si>
  <si>
    <t>Winkelblende Anfangsgeh Wand Motor links</t>
  </si>
  <si>
    <t>0711692</t>
  </si>
  <si>
    <t>Winkelblende Mittelgehäuse Wand</t>
  </si>
  <si>
    <t>0711693</t>
  </si>
  <si>
    <t>Winkelblende Endgeh Wand Motor links</t>
  </si>
  <si>
    <t>0711694</t>
  </si>
  <si>
    <t>Seitendeckel links</t>
  </si>
  <si>
    <t>0711695</t>
  </si>
  <si>
    <t>Winkelblende Einzelgeh Wand Motor links</t>
  </si>
  <si>
    <t>0711696</t>
  </si>
  <si>
    <t>Vorderblende Anfangsgehäuse</t>
  </si>
  <si>
    <t>0711697</t>
  </si>
  <si>
    <t>Vorderblende MIttelgehäuse</t>
  </si>
  <si>
    <t>0711698</t>
  </si>
  <si>
    <t>Seitendeckel rechts</t>
  </si>
  <si>
    <t>0711699</t>
  </si>
  <si>
    <t>Vorderblende Endgehäuse</t>
  </si>
  <si>
    <t>0711700</t>
  </si>
  <si>
    <t>Vorderblende Einzelgehäuse</t>
  </si>
  <si>
    <t>0711701</t>
  </si>
  <si>
    <t>Untere Blende, Anfangsgehäuse</t>
  </si>
  <si>
    <t>0711702</t>
  </si>
  <si>
    <t>Untere Blende, Mittelgehäuse</t>
  </si>
  <si>
    <t>0711703</t>
  </si>
  <si>
    <t>0711704</t>
  </si>
  <si>
    <t>Untere Blende, Endgehäuse bis 4m</t>
  </si>
  <si>
    <t>0711705</t>
  </si>
  <si>
    <t>Untere Blende, Einzelgehäuse bis 4m</t>
  </si>
  <si>
    <t>0711706</t>
  </si>
  <si>
    <t>Winkelblende Anfanggeh Decke Motor links</t>
  </si>
  <si>
    <t>0711707</t>
  </si>
  <si>
    <t>Winkelblende Mittelgehäuse Deckenmontage</t>
  </si>
  <si>
    <t>0711708</t>
  </si>
  <si>
    <t>0711709</t>
  </si>
  <si>
    <t>Winkelblende Endgeh Decke Motor links</t>
  </si>
  <si>
    <t>0711710</t>
  </si>
  <si>
    <t>Winkelblende Einzelgeh Decke Motor links</t>
  </si>
  <si>
    <t>0711711</t>
  </si>
  <si>
    <t>Winkelblende Anfanggeh Wand Motor links</t>
  </si>
  <si>
    <t>0711712</t>
  </si>
  <si>
    <t>Winkelblende Mittelgehäuse Wandmontage</t>
  </si>
  <si>
    <t>0711713</t>
  </si>
  <si>
    <t>0711714</t>
  </si>
  <si>
    <t>0711715</t>
  </si>
  <si>
    <t>Vorderblende- Anfangsgehäuse</t>
  </si>
  <si>
    <t>0711716</t>
  </si>
  <si>
    <t>Vorderblende - Mittelgehäuse</t>
  </si>
  <si>
    <t>0711717</t>
  </si>
  <si>
    <t>Vorderblende - Endgehäuse</t>
  </si>
  <si>
    <t>0711718</t>
  </si>
  <si>
    <t>Vorderblende- Einzelgehäuse bis 4m</t>
  </si>
  <si>
    <t>0711719</t>
  </si>
  <si>
    <t>Führungsscheibe für Gegengewicht d=100</t>
  </si>
  <si>
    <t>0711720</t>
  </si>
  <si>
    <t>Klemmscheibe für Gegengewicht d=100</t>
  </si>
  <si>
    <t>0711721</t>
  </si>
  <si>
    <t>Gegenlagergewicht komplett für d=100                  2</t>
  </si>
  <si>
    <t>0711723</t>
  </si>
  <si>
    <t>0711724</t>
  </si>
  <si>
    <t>0711725</t>
  </si>
  <si>
    <t>0711726</t>
  </si>
  <si>
    <t>0711727</t>
  </si>
  <si>
    <t>0711728</t>
  </si>
  <si>
    <t>0711729</t>
  </si>
  <si>
    <t>0711730</t>
  </si>
  <si>
    <t>0711755</t>
  </si>
  <si>
    <t>Gewebebahn mit Ventilationsöffnung                    1</t>
  </si>
  <si>
    <t>0711756</t>
  </si>
  <si>
    <t>Einsteckrohr Wickelrohr 70/100 (AMU)                  1</t>
  </si>
  <si>
    <t>0711757</t>
  </si>
  <si>
    <t>Motorrohr für Einsteckrohr 70x1,5</t>
  </si>
  <si>
    <t>0711758</t>
  </si>
  <si>
    <t>0711759</t>
  </si>
  <si>
    <t>0711801</t>
  </si>
  <si>
    <t>M5x10 Lack-Schrauben-Bleche komplett</t>
  </si>
  <si>
    <t>0711802</t>
  </si>
  <si>
    <t>M6x12 Lack-Schrauben-Bleche komplett</t>
  </si>
  <si>
    <t>0711803</t>
  </si>
  <si>
    <t>M6x12-M6x30 Lack-Schrauben-Bleche kompl.</t>
  </si>
  <si>
    <t>0711804</t>
  </si>
  <si>
    <t>M6x16 Lack-Schrauben-Bleche kompl.</t>
  </si>
  <si>
    <t>0711805</t>
  </si>
  <si>
    <t>Verkrallungsbolzen für FS-HC                          1</t>
  </si>
  <si>
    <t>0711810</t>
  </si>
  <si>
    <t>0711811</t>
  </si>
  <si>
    <t>Seitendeckel Motorseite kompl. Motor re               1</t>
  </si>
  <si>
    <t>0711812</t>
  </si>
  <si>
    <t>0711813</t>
  </si>
  <si>
    <t>Seitendeckel Gegenseite kompl. Motor re</t>
  </si>
  <si>
    <t>0711814</t>
  </si>
  <si>
    <t>0711815</t>
  </si>
  <si>
    <t>0711816</t>
  </si>
  <si>
    <t>Lagerplatte für Gegenseite komplett</t>
  </si>
  <si>
    <t>0711817</t>
  </si>
  <si>
    <t>0711818</t>
  </si>
  <si>
    <t>Lagerplatte für Motor links kpl 145x145</t>
  </si>
  <si>
    <t>0711819</t>
  </si>
  <si>
    <t>Lagerplatte für Motorseite kpl. 175x175</t>
  </si>
  <si>
    <t>0711820</t>
  </si>
  <si>
    <t>Motorrohr Fibershield Smokeshield - S                 2</t>
  </si>
  <si>
    <t>0711821</t>
  </si>
  <si>
    <t>Montagesicherung für Abschlussleiste</t>
  </si>
  <si>
    <t>0711822</t>
  </si>
  <si>
    <t>0711823</t>
  </si>
  <si>
    <t>Endanschlag Eibau mittig komplett links</t>
  </si>
  <si>
    <t>0711824</t>
  </si>
  <si>
    <t>Endanschlag Eibau mittig komplett rechts              1</t>
  </si>
  <si>
    <t>0711825</t>
  </si>
  <si>
    <t>Endanschlag Einbau mittig Unteteil links</t>
  </si>
  <si>
    <t>0711826</t>
  </si>
  <si>
    <t>Endanschlag Einbau mittig Unteteil recht</t>
  </si>
  <si>
    <t>0711827</t>
  </si>
  <si>
    <t>Bohrschablone Steuerungsgehäuse                       1</t>
  </si>
  <si>
    <t>0711828</t>
  </si>
  <si>
    <t>Bohrschablone für Seitendeckel 510x400</t>
  </si>
  <si>
    <t>0711829</t>
  </si>
  <si>
    <t>Bohrschablone für Seitendeckel 575x450</t>
  </si>
  <si>
    <t>0711830</t>
  </si>
  <si>
    <t>Bohrschablone für Seitendeckel 655x555</t>
  </si>
  <si>
    <t>0711831</t>
  </si>
  <si>
    <t>Bohrschablone für Seitendeckel 735x650</t>
  </si>
  <si>
    <t>0711832</t>
  </si>
  <si>
    <t>Befestigungskonsole kpl. schimmend                    3</t>
  </si>
  <si>
    <t>0711833</t>
  </si>
  <si>
    <t>Winkelblende Anfangsgehäuse Wandmontage              12</t>
  </si>
  <si>
    <t>0711834</t>
  </si>
  <si>
    <t>Labyrinthprofil Anfangsgehäuse</t>
  </si>
  <si>
    <t>0711835</t>
  </si>
  <si>
    <t>0711836</t>
  </si>
  <si>
    <t>0711837</t>
  </si>
  <si>
    <t>Winkelblende Mittelgehäuse Wandmontage                1</t>
  </si>
  <si>
    <t>0711838</t>
  </si>
  <si>
    <t>Labyrinthprofil Mittelgehäuse</t>
  </si>
  <si>
    <t>0711839</t>
  </si>
  <si>
    <t>0711840</t>
  </si>
  <si>
    <t>0711841</t>
  </si>
  <si>
    <t>Motorlagerplatte rechts  komplett</t>
  </si>
  <si>
    <t>0711842</t>
  </si>
  <si>
    <t>Motorlagerplatte links  komplett                      1</t>
  </si>
  <si>
    <t>0711843</t>
  </si>
  <si>
    <t>Fiberseal Evolution Umlenkrohr komplett</t>
  </si>
  <si>
    <t>0711844</t>
  </si>
  <si>
    <t>Rohrverbinder für Wickelrohr 133x4</t>
  </si>
  <si>
    <t>0711847</t>
  </si>
  <si>
    <t>Abdeckblech für Rundstahl d=18</t>
  </si>
  <si>
    <t>0711848</t>
  </si>
  <si>
    <t>Gewindestange für Konsole komplett</t>
  </si>
  <si>
    <t>0711849</t>
  </si>
  <si>
    <t>Präzisionsstahlrohr für Bordscheibe komp</t>
  </si>
  <si>
    <t>0711851</t>
  </si>
  <si>
    <t>Bordscheibe inkl. Seil links</t>
  </si>
  <si>
    <t>0711852</t>
  </si>
  <si>
    <t>Bordscheibe inkl. Seil rechts</t>
  </si>
  <si>
    <t>0711853</t>
  </si>
  <si>
    <t>Schablone für SiKoLei</t>
  </si>
  <si>
    <t>0711863</t>
  </si>
  <si>
    <t>Schmelzlotaufnahme</t>
  </si>
  <si>
    <t>0711864</t>
  </si>
  <si>
    <t>Schmelzlotabdeckblech</t>
  </si>
  <si>
    <t>0711865</t>
  </si>
  <si>
    <t>Schmelzlothalteblech komplett                         1</t>
  </si>
  <si>
    <t>0711866</t>
  </si>
  <si>
    <t>Wippehalteklotz</t>
  </si>
  <si>
    <t>0711867</t>
  </si>
  <si>
    <t>Lagerplatte für Motor rechts kpl 145x145</t>
  </si>
  <si>
    <t>0711901</t>
  </si>
  <si>
    <t>Basisprofil Wandmontage rechts verz.</t>
  </si>
  <si>
    <t>0711902</t>
  </si>
  <si>
    <t>Basisprofil Wandmontage links verz.</t>
  </si>
  <si>
    <t>0711903</t>
  </si>
  <si>
    <t>Basisprofil Laibungsmontage rechts verz.</t>
  </si>
  <si>
    <t>0711904</t>
  </si>
  <si>
    <t>Basisprofil Laibungsmontage links verz.</t>
  </si>
  <si>
    <t>0711905</t>
  </si>
  <si>
    <t>Deckprofil rechts verz.</t>
  </si>
  <si>
    <t>0711906</t>
  </si>
  <si>
    <t>Deckprofil links verz.</t>
  </si>
  <si>
    <t>0711907</t>
  </si>
  <si>
    <t>Dichtprofil Wandseite rechts verz.</t>
  </si>
  <si>
    <t>0711908</t>
  </si>
  <si>
    <t>Dichtprofil Wandseite links verz.</t>
  </si>
  <si>
    <t>0711909</t>
  </si>
  <si>
    <t>Dichtprofil Raumseite rechts verz.</t>
  </si>
  <si>
    <t>0711910</t>
  </si>
  <si>
    <t>Dichtprofil Raumseite links verz.</t>
  </si>
  <si>
    <t>0711911</t>
  </si>
  <si>
    <t>Spange 1 Wand / Laibung verz</t>
  </si>
  <si>
    <t>0711912</t>
  </si>
  <si>
    <t>Spange 2 Wand / Laibung verz</t>
  </si>
  <si>
    <t>0711913</t>
  </si>
  <si>
    <t>Distanzblech für Spange  verz</t>
  </si>
  <si>
    <t>0711931</t>
  </si>
  <si>
    <t>Basisprofil Wandmontage rechts V2A ung.</t>
  </si>
  <si>
    <t>0711932</t>
  </si>
  <si>
    <t>Basisprofil Wandmontage links V2A ung.</t>
  </si>
  <si>
    <t>0711933</t>
  </si>
  <si>
    <t>Basisprofil Laibungsmont. rechts V2A ung</t>
  </si>
  <si>
    <t>0711934</t>
  </si>
  <si>
    <t>Basisprofil Laibungsmont. links V2A ung.</t>
  </si>
  <si>
    <t>0711935</t>
  </si>
  <si>
    <t>Deckprofil rechts V2A ung.</t>
  </si>
  <si>
    <t>0711936</t>
  </si>
  <si>
    <t>Deckprofil links V2A ung.</t>
  </si>
  <si>
    <t>0711937</t>
  </si>
  <si>
    <t>Dichtprofil Wandseite rechts V2A ung.</t>
  </si>
  <si>
    <t>0711938</t>
  </si>
  <si>
    <t>Dichtprofil Wandseite links V2A ung.</t>
  </si>
  <si>
    <t>0711939</t>
  </si>
  <si>
    <t>Dichtprofil Raumseite rechts V2A ung.</t>
  </si>
  <si>
    <t>0711940</t>
  </si>
  <si>
    <t>Dichtprofil Raumseite links V2A ung.</t>
  </si>
  <si>
    <t>0711941</t>
  </si>
  <si>
    <t>Basisprofil Wandmontage rechts V2A 240K</t>
  </si>
  <si>
    <t>0711942</t>
  </si>
  <si>
    <t>Basisprofil Wandmontage links V2A 240K</t>
  </si>
  <si>
    <t>0711943</t>
  </si>
  <si>
    <t>Basisprofil Laibungmont. rechts V2A 240K</t>
  </si>
  <si>
    <t>0711944</t>
  </si>
  <si>
    <t>Basisprofil Laibungmont. links V2A 240K</t>
  </si>
  <si>
    <t>0711945</t>
  </si>
  <si>
    <t>Deckprofil rechts V2A 240 K</t>
  </si>
  <si>
    <t>0711946</t>
  </si>
  <si>
    <t>Deckprofil links V2A 240K</t>
  </si>
  <si>
    <t>0711947</t>
  </si>
  <si>
    <t>Dichtprofil Wandseite rechts V2A 240K</t>
  </si>
  <si>
    <t>0711948</t>
  </si>
  <si>
    <t>Dichtprofil Wandseite links V2A 240K</t>
  </si>
  <si>
    <t>0711949</t>
  </si>
  <si>
    <t>Dichtprofil Raumseite rechts V2A 240K</t>
  </si>
  <si>
    <t>0711950</t>
  </si>
  <si>
    <t>Dichtprofil Raumseite links V2A 240K</t>
  </si>
  <si>
    <t>0711951</t>
  </si>
  <si>
    <t>Spange 1 Wand / Laibung V2A</t>
  </si>
  <si>
    <t>0711952</t>
  </si>
  <si>
    <t>Spange 2 Wand / Laibung V2A</t>
  </si>
  <si>
    <t>0711953</t>
  </si>
  <si>
    <t>Distanzblech für Spange  V2A</t>
  </si>
  <si>
    <t>0712003</t>
  </si>
  <si>
    <t>Alu-Profil komplett mit Feder</t>
  </si>
  <si>
    <t>0712004</t>
  </si>
  <si>
    <t>Stoßverbinder für Gehäusekantung</t>
  </si>
  <si>
    <t>0712005</t>
  </si>
  <si>
    <t>Gegenlagerplatte fest Motor re, 190x250</t>
  </si>
  <si>
    <t>0712006</t>
  </si>
  <si>
    <t>Seilanbindung</t>
  </si>
  <si>
    <t>0712007</t>
  </si>
  <si>
    <t>Lagerplatte schwimmend Motor re, 190x200</t>
  </si>
  <si>
    <t>0712008</t>
  </si>
  <si>
    <t>Lagerplatte schwimm Motor re, 235x290</t>
  </si>
  <si>
    <t>0712009</t>
  </si>
  <si>
    <t>Gegenlagerplatte fest Motor re, 235x290</t>
  </si>
  <si>
    <t>0712010</t>
  </si>
  <si>
    <t>Gegenlagerplatte Gegenseite,Motor rechts</t>
  </si>
  <si>
    <t>0712011</t>
  </si>
  <si>
    <t>Gegenlagerplatte fest Motor re, 190x200</t>
  </si>
  <si>
    <t>0712012</t>
  </si>
  <si>
    <t>Wickelbefestigung Gegenlager</t>
  </si>
  <si>
    <t>0712020</t>
  </si>
  <si>
    <t>Einsteckrohr Motorseite                               1</t>
  </si>
  <si>
    <t>0712021</t>
  </si>
  <si>
    <t>Einsteckrohr Gegenseite                               2</t>
  </si>
  <si>
    <t>0712022</t>
  </si>
  <si>
    <t>Rohrscheibe 70-20</t>
  </si>
  <si>
    <t>0712023</t>
  </si>
  <si>
    <t>Gerade Blende links</t>
  </si>
  <si>
    <t>0712024</t>
  </si>
  <si>
    <t>Gerade Blende rechts</t>
  </si>
  <si>
    <t>0712025</t>
  </si>
  <si>
    <t>Gerade Blende komplett</t>
  </si>
  <si>
    <t>0712026</t>
  </si>
  <si>
    <t>0712027</t>
  </si>
  <si>
    <t>0712028</t>
  </si>
  <si>
    <t>Untere Blende komplett</t>
  </si>
  <si>
    <t>0712029</t>
  </si>
  <si>
    <t>Winkel Blende komplett</t>
  </si>
  <si>
    <t>0712030</t>
  </si>
  <si>
    <t>Winkel Blende links</t>
  </si>
  <si>
    <t>0712031</t>
  </si>
  <si>
    <t>Winkel Blende rechts</t>
  </si>
  <si>
    <t>0712032</t>
  </si>
  <si>
    <t>Führungsschiene Basisprofil links</t>
  </si>
  <si>
    <t>0712033</t>
  </si>
  <si>
    <t>Führungsschiene Basisprofil rechts</t>
  </si>
  <si>
    <t>0712034</t>
  </si>
  <si>
    <t>0712035</t>
  </si>
  <si>
    <t>0712036</t>
  </si>
  <si>
    <t>0712037</t>
  </si>
  <si>
    <t>0712038</t>
  </si>
  <si>
    <t>0712039</t>
  </si>
  <si>
    <t>0712040</t>
  </si>
  <si>
    <t>0712041</t>
  </si>
  <si>
    <t>0712042</t>
  </si>
  <si>
    <t>Einsteckrohr Wickelrohr                               2</t>
  </si>
  <si>
    <t>0712043</t>
  </si>
  <si>
    <t>Rohrscheibe d=127mm auf d= 70mm</t>
  </si>
  <si>
    <t>0712044</t>
  </si>
  <si>
    <t>Seitendeckel links                                    1</t>
  </si>
  <si>
    <t>0712045</t>
  </si>
  <si>
    <t>Seitendeckel rechts                                   1</t>
  </si>
  <si>
    <t>0712046</t>
  </si>
  <si>
    <t>Befestigungswinkel                                    1</t>
  </si>
  <si>
    <t>0712047</t>
  </si>
  <si>
    <t>0712048</t>
  </si>
  <si>
    <t>0712049</t>
  </si>
  <si>
    <t>Motorplatte links</t>
  </si>
  <si>
    <t>0712050</t>
  </si>
  <si>
    <t>Motorplatte rechts</t>
  </si>
  <si>
    <t>0712051</t>
  </si>
  <si>
    <t>Traghebel für Konsole</t>
  </si>
  <si>
    <t>0712052</t>
  </si>
  <si>
    <t>Gewebe Lochleiste B25 - D5</t>
  </si>
  <si>
    <t>0712053</t>
  </si>
  <si>
    <t>Gewebe Gewindeleiste B25 - M5</t>
  </si>
  <si>
    <t>0712056</t>
  </si>
  <si>
    <t>Präzisionsstahlrohr                                   1</t>
  </si>
  <si>
    <t>0712057</t>
  </si>
  <si>
    <t>Rundstahl d=40                                        1</t>
  </si>
  <si>
    <t>0712058</t>
  </si>
  <si>
    <t>Rundgliederkette, Kurzgliedrig,</t>
  </si>
  <si>
    <t>0712059</t>
  </si>
  <si>
    <t>Abschlussleisten Verriegelung komplett                1</t>
  </si>
  <si>
    <t>0712060</t>
  </si>
  <si>
    <t>Dichtleiste komplett                                  4</t>
  </si>
  <si>
    <t>0712061</t>
  </si>
  <si>
    <t>Distanzhülse für Verriegelungshalter</t>
  </si>
  <si>
    <t>0712062</t>
  </si>
  <si>
    <t>Führsschienenaussenteil verl.</t>
  </si>
  <si>
    <t>0712063</t>
  </si>
  <si>
    <t>Verbinder ABSL Typ 3,84F an FS80</t>
  </si>
  <si>
    <t>0712064</t>
  </si>
  <si>
    <t>Endanschlag für Abschlussleiste</t>
  </si>
  <si>
    <t>0712065</t>
  </si>
  <si>
    <t>Endanschlag für Winkelblende</t>
  </si>
  <si>
    <t>0712066</t>
  </si>
  <si>
    <t>Bohrschablone für Endanschlag</t>
  </si>
  <si>
    <t>0712067</t>
  </si>
  <si>
    <t>0712068</t>
  </si>
  <si>
    <t>Reparaturhaltebügel f. Umlenkrolle</t>
  </si>
  <si>
    <t>0712069</t>
  </si>
  <si>
    <t>Winkelgetriebe komplett, Geh. 225                     5</t>
  </si>
  <si>
    <t>0712070</t>
  </si>
  <si>
    <t>Rohr für Einsteckrohr</t>
  </si>
  <si>
    <t>0712071</t>
  </si>
  <si>
    <t>Promatectklotz H15</t>
  </si>
  <si>
    <t>0712072</t>
  </si>
  <si>
    <t>Endanschlag für Gehäuse</t>
  </si>
  <si>
    <t>0712073</t>
  </si>
  <si>
    <t>0712074</t>
  </si>
  <si>
    <t>Tenmat Firefly 102 Block 1</t>
  </si>
  <si>
    <t>0712075</t>
  </si>
  <si>
    <t>Tenmat Firefly 102 Block 2</t>
  </si>
  <si>
    <t>0712076</t>
  </si>
  <si>
    <t>Tenmat Firefly 102 Block 3</t>
  </si>
  <si>
    <t>0712077</t>
  </si>
  <si>
    <t>Tenmat Firefly 102 Block 4</t>
  </si>
  <si>
    <t>0712078</t>
  </si>
  <si>
    <t>Tenmat Firefly 102 Block 5</t>
  </si>
  <si>
    <t>0712079</t>
  </si>
  <si>
    <t>Untere Blende einteilig</t>
  </si>
  <si>
    <t>0712080</t>
  </si>
  <si>
    <t>Blindniete , Kopfform A 5x55</t>
  </si>
  <si>
    <t>0712082</t>
  </si>
  <si>
    <t>0712083</t>
  </si>
  <si>
    <t>0712084</t>
  </si>
  <si>
    <t>Winkelblende Anfangsgeh 190x250 Wandmont</t>
  </si>
  <si>
    <t>0712085</t>
  </si>
  <si>
    <t>Führungsbasis rechts</t>
  </si>
  <si>
    <t>0712086</t>
  </si>
  <si>
    <t>Schwenkblech</t>
  </si>
  <si>
    <t>0712087</t>
  </si>
  <si>
    <t>Klappblech abstandhalter</t>
  </si>
  <si>
    <t>0712088</t>
  </si>
  <si>
    <t>Klappblech Abstandshalter</t>
  </si>
  <si>
    <t>0712089</t>
  </si>
  <si>
    <t>Klappblech anschlag</t>
  </si>
  <si>
    <t>0712090</t>
  </si>
  <si>
    <t>Verriegelungsblech</t>
  </si>
  <si>
    <t>0712091</t>
  </si>
  <si>
    <t>Hilfsführungs U rechts</t>
  </si>
  <si>
    <t>0712092</t>
  </si>
  <si>
    <t>Hilfsführungs U links</t>
  </si>
  <si>
    <t>0712093</t>
  </si>
  <si>
    <t>Zylinderaufnahme Bodenseite</t>
  </si>
  <si>
    <t>0712094</t>
  </si>
  <si>
    <t>Zylinderaufnahme Kopfseite</t>
  </si>
  <si>
    <t>0712095</t>
  </si>
  <si>
    <t>Zylinder Feder D288Z-15</t>
  </si>
  <si>
    <t>0712096</t>
  </si>
  <si>
    <t>Federführungsblech</t>
  </si>
  <si>
    <t>0712097</t>
  </si>
  <si>
    <t>Federführungsblech lang</t>
  </si>
  <si>
    <t>0712098</t>
  </si>
  <si>
    <t>Bodengelenk</t>
  </si>
  <si>
    <t>0712099</t>
  </si>
  <si>
    <t>Kopfgelenk lang</t>
  </si>
  <si>
    <t>0712100</t>
  </si>
  <si>
    <t>Schwenkeblechfeder VD-239A-03</t>
  </si>
  <si>
    <t>0712101</t>
  </si>
  <si>
    <t>Führungsbasis links</t>
  </si>
  <si>
    <t>0712102</t>
  </si>
  <si>
    <t>Schwenkblech links</t>
  </si>
  <si>
    <t>0712103</t>
  </si>
  <si>
    <t>Winkelblende Endgeh. 190x250 Wandmont.</t>
  </si>
  <si>
    <t>0712104</t>
  </si>
  <si>
    <t>Winkelblende einteilig 190x250 Wandmont</t>
  </si>
  <si>
    <t>0712105</t>
  </si>
  <si>
    <t>Stoßverbinder für Winkelblende</t>
  </si>
  <si>
    <t>0712106</t>
  </si>
  <si>
    <t>Dichtprofil Wandseite, Geh. 190x250</t>
  </si>
  <si>
    <t>0712107</t>
  </si>
  <si>
    <t>Gewindeleiste für Gewebeversteifung</t>
  </si>
  <si>
    <t>0712108</t>
  </si>
  <si>
    <t>Lochleiste für Gewebeversteifung</t>
  </si>
  <si>
    <t>0712110</t>
  </si>
  <si>
    <t>0712111</t>
  </si>
  <si>
    <t>0712112</t>
  </si>
  <si>
    <t>Basisprofil rechts</t>
  </si>
  <si>
    <t>0712113</t>
  </si>
  <si>
    <t>Basisprofil links</t>
  </si>
  <si>
    <t>0712114</t>
  </si>
  <si>
    <t>Deckprofil links</t>
  </si>
  <si>
    <t>0712115</t>
  </si>
  <si>
    <t>Deckprofil rechts</t>
  </si>
  <si>
    <t>0712116</t>
  </si>
  <si>
    <t>0712117</t>
  </si>
  <si>
    <t>0712118</t>
  </si>
  <si>
    <t>0712119</t>
  </si>
  <si>
    <t>0712120</t>
  </si>
  <si>
    <t>Einsteckrohr 70/108, Rohrmotor G120</t>
  </si>
  <si>
    <t>0712121</t>
  </si>
  <si>
    <t>Einsteckrohr 70/108, Rohrmotor G120 E                 6</t>
  </si>
  <si>
    <t>0712122</t>
  </si>
  <si>
    <t>Winkelblende Anfangeh. Decken, 190x250</t>
  </si>
  <si>
    <t>0712124</t>
  </si>
  <si>
    <t>Winkelblende, Endgeh. Deckenmont,190x250</t>
  </si>
  <si>
    <t>0712125</t>
  </si>
  <si>
    <t>Winkelblende, Einteilig, Decke, 190x250</t>
  </si>
  <si>
    <t>0712126</t>
  </si>
  <si>
    <t>Spriegel                                             47</t>
  </si>
  <si>
    <t>0712127</t>
  </si>
  <si>
    <t>Winkel für Flaschenschrank                           20</t>
  </si>
  <si>
    <t>0712128</t>
  </si>
  <si>
    <t>Strahlungsschirm</t>
  </si>
  <si>
    <t>0712129</t>
  </si>
  <si>
    <t>Pressplatte                                           6</t>
  </si>
  <si>
    <t>0712130</t>
  </si>
  <si>
    <t>Mittelstütz</t>
  </si>
  <si>
    <t>0712131</t>
  </si>
  <si>
    <t>Haube                                                 2</t>
  </si>
  <si>
    <t>0712132</t>
  </si>
  <si>
    <t>Eckwinkel</t>
  </si>
  <si>
    <t>0712133</t>
  </si>
  <si>
    <t>Auflageplatte</t>
  </si>
  <si>
    <t>0712134</t>
  </si>
  <si>
    <t>GewebeklemmU</t>
  </si>
  <si>
    <t>0712135</t>
  </si>
  <si>
    <t>Konsole Seitendeckel links                            1</t>
  </si>
  <si>
    <t>0712136</t>
  </si>
  <si>
    <t>Konsole Seitendeckel rechts                           1</t>
  </si>
  <si>
    <t>0712137</t>
  </si>
  <si>
    <t>Schild lang</t>
  </si>
  <si>
    <t>0712138</t>
  </si>
  <si>
    <t>Schild kurz</t>
  </si>
  <si>
    <t>0712140</t>
  </si>
  <si>
    <t>Murtfeldgleiter</t>
  </si>
  <si>
    <t>0712141</t>
  </si>
  <si>
    <t>Antriebssystem komplett 0.75 KW</t>
  </si>
  <si>
    <t>0712142</t>
  </si>
  <si>
    <t>Gurtlagerscheibe Antrieb 0,75 KW</t>
  </si>
  <si>
    <t>0712143</t>
  </si>
  <si>
    <t>Gurtritzelscheibe Antrieb</t>
  </si>
  <si>
    <t>0712144</t>
  </si>
  <si>
    <t>Motorhalter Antrieb 0,75 KW</t>
  </si>
  <si>
    <t>0712145</t>
  </si>
  <si>
    <t>Motorversteifung Antrieb 0,75 KW</t>
  </si>
  <si>
    <t>0712146</t>
  </si>
  <si>
    <t>Motorwandplatte Antrieb</t>
  </si>
  <si>
    <t>0712147</t>
  </si>
  <si>
    <t>Gurtanbindeplatte Antrieb</t>
  </si>
  <si>
    <t>0712148</t>
  </si>
  <si>
    <t>Abstandsrohr Antrieb</t>
  </si>
  <si>
    <t>0712149</t>
  </si>
  <si>
    <t>Rollenhalter Antrieb</t>
  </si>
  <si>
    <t>0712150</t>
  </si>
  <si>
    <t>Vierkantrohr Antrieb</t>
  </si>
  <si>
    <t>0712152</t>
  </si>
  <si>
    <t>TapeSwitch-Kontaktleiste 8,2kOhm</t>
  </si>
  <si>
    <t>0712153</t>
  </si>
  <si>
    <t>TapeSwitch-Kontaktleiste 1,2kOhm</t>
  </si>
  <si>
    <t>0712154</t>
  </si>
  <si>
    <t>Anschlussset kabelgebundene Kontaktleist              4</t>
  </si>
  <si>
    <t>0712155</t>
  </si>
  <si>
    <t>0712156</t>
  </si>
  <si>
    <t>Konsole Oberteil, Geh. 190x250</t>
  </si>
  <si>
    <t>0712157</t>
  </si>
  <si>
    <t>Gaszugfeder F=650 N komplett 1-fach</t>
  </si>
  <si>
    <t>0712158</t>
  </si>
  <si>
    <t>Gaszugfeder F=650 N komplett 2-fach</t>
  </si>
  <si>
    <t>0712159</t>
  </si>
  <si>
    <t>Gaszugfeder F=650 N komplett 3-fach</t>
  </si>
  <si>
    <t>0712160</t>
  </si>
  <si>
    <t>Gaszugfeder F=900 N komplett 1-fach</t>
  </si>
  <si>
    <t>0712161</t>
  </si>
  <si>
    <t>Gaszugfeder F=900 N komplett 2-fach</t>
  </si>
  <si>
    <t>0712162</t>
  </si>
  <si>
    <t>Gaszugfeder F=900 N komplett 3-fach</t>
  </si>
  <si>
    <t>0712163</t>
  </si>
  <si>
    <t>Abschlussleiste-Gewebetasche</t>
  </si>
  <si>
    <t>0712164</t>
  </si>
  <si>
    <t>Halteblech für Endschaltermagnete EI120</t>
  </si>
  <si>
    <t>0712165</t>
  </si>
  <si>
    <t>Promatectstreifen 41 x 20mm</t>
  </si>
  <si>
    <t>0712166</t>
  </si>
  <si>
    <t>Tenmat Firefly Streifen für Dichtleiste</t>
  </si>
  <si>
    <t>0712167</t>
  </si>
  <si>
    <t>Gewebe Ecotex - Streifen für Dichtleiste</t>
  </si>
  <si>
    <t>0712169</t>
  </si>
  <si>
    <t>USV Halterung Adpos Mikro VT 1500VA                   1</t>
  </si>
  <si>
    <t>0712170</t>
  </si>
  <si>
    <t>Federstrebe komplett</t>
  </si>
  <si>
    <t>0712171</t>
  </si>
  <si>
    <t>Befestigungswinkel mit Traghebel links                2</t>
  </si>
  <si>
    <t>0712172</t>
  </si>
  <si>
    <t>Befestigungswinkel mit Traghebel rechts               4</t>
  </si>
  <si>
    <t>0712173</t>
  </si>
  <si>
    <t>Gewindestange M12  250mm verz. 8.8</t>
  </si>
  <si>
    <t>0712174</t>
  </si>
  <si>
    <t>Einlaufrolle Komplett</t>
  </si>
  <si>
    <t>0712175</t>
  </si>
  <si>
    <t>Abschlussleistenmontageset                            4</t>
  </si>
  <si>
    <t>0712176</t>
  </si>
  <si>
    <t>Zeichnung des Artikel 0711613 in A4</t>
  </si>
  <si>
    <t>0712177</t>
  </si>
  <si>
    <t>Winkelblende 235x320 rechts</t>
  </si>
  <si>
    <t>0712178</t>
  </si>
  <si>
    <t>Winkelblende 235x320 Deckenmont. mitte</t>
  </si>
  <si>
    <t>0712180</t>
  </si>
  <si>
    <t>Versteifung mit Gasfederaufnahme Leicht</t>
  </si>
  <si>
    <t>0712181</t>
  </si>
  <si>
    <t>Winkelblende 235x320 Laibungsmont. Recht</t>
  </si>
  <si>
    <t>0712182</t>
  </si>
  <si>
    <t>Winkelblende 235x320 laibungsmont mitte</t>
  </si>
  <si>
    <t>0712183</t>
  </si>
  <si>
    <t>Winkelblende 235x320 Laibmont. Einzeln</t>
  </si>
  <si>
    <t>0712184</t>
  </si>
  <si>
    <t>Geradeblende 235x320 rechts</t>
  </si>
  <si>
    <t>0712185</t>
  </si>
  <si>
    <t>Geradeblende 235x320 mitte</t>
  </si>
  <si>
    <t>0712186</t>
  </si>
  <si>
    <t>Geradeblende 235x320 Einzeln</t>
  </si>
  <si>
    <t>0712187</t>
  </si>
  <si>
    <t>Oberteil Abhängung 170-300 mm</t>
  </si>
  <si>
    <t>0712188</t>
  </si>
  <si>
    <t>Unterteil Abhängung 170-300 mm</t>
  </si>
  <si>
    <t>0712189</t>
  </si>
  <si>
    <t>Abhängung 170-300 mm komplett                         1</t>
  </si>
  <si>
    <t>0712190</t>
  </si>
  <si>
    <t>Blende unten 235x320 Rechts</t>
  </si>
  <si>
    <t>0712191</t>
  </si>
  <si>
    <t>Blende unten 235x290/320 mitte</t>
  </si>
  <si>
    <t>0712192</t>
  </si>
  <si>
    <t>Blende unten 235x320 Einzeln</t>
  </si>
  <si>
    <t>0712193</t>
  </si>
  <si>
    <t>Abschlusswanne Ecke links, Antrieb Innen</t>
  </si>
  <si>
    <t>0712194</t>
  </si>
  <si>
    <t>Abschlusswanne Ecke rechts, Antrieb Inne</t>
  </si>
  <si>
    <t>0712195</t>
  </si>
  <si>
    <t>Abhängung 50-170 mm komplett</t>
  </si>
  <si>
    <t>0712196</t>
  </si>
  <si>
    <t>Kantung für Abhängung 50-170 mm</t>
  </si>
  <si>
    <t>0712197</t>
  </si>
  <si>
    <t>Deckenplatte Mittelstück, Antrieb Innen</t>
  </si>
  <si>
    <t>0712198</t>
  </si>
  <si>
    <t>Abschlusswanne Mittelstüc, Antrieb Innen</t>
  </si>
  <si>
    <t>0712199</t>
  </si>
  <si>
    <t>Klemmvorrichtung Mittelstück,Antrieb Inn</t>
  </si>
  <si>
    <t>0712200</t>
  </si>
  <si>
    <t>Blende außen Mittelstück, Geh.125</t>
  </si>
  <si>
    <t>0712201</t>
  </si>
  <si>
    <t>Blende außen Mittelstück, Geh. 225</t>
  </si>
  <si>
    <t>0712202</t>
  </si>
  <si>
    <t>Blende außen Mittelstück, Geh. 450</t>
  </si>
  <si>
    <t>0712203</t>
  </si>
  <si>
    <t>Blende innen Mittelstück, Geh. 125</t>
  </si>
  <si>
    <t>0712204</t>
  </si>
  <si>
    <t>Blende Innen Mittelstück, Geh. 225</t>
  </si>
  <si>
    <t>0712205</t>
  </si>
  <si>
    <t>Blende Innen Mittelstück,Geh. 450</t>
  </si>
  <si>
    <t>0712206</t>
  </si>
  <si>
    <t>Blende Winkel 235x290 Rechts Deckemont</t>
  </si>
  <si>
    <t>0712207</t>
  </si>
  <si>
    <t>Blende Winkel 235x290 Einzeln Deckenmont</t>
  </si>
  <si>
    <t>0712208</t>
  </si>
  <si>
    <t>Blende Winkel 235x290 Rechts Laibungsmon</t>
  </si>
  <si>
    <t>0712209</t>
  </si>
  <si>
    <t>Blende Winkel 235x290 Einzeln Laibungsmo</t>
  </si>
  <si>
    <t>0712210</t>
  </si>
  <si>
    <t>Blende, Winkel,190x250 rechts Deckenmon</t>
  </si>
  <si>
    <t>0712211</t>
  </si>
  <si>
    <t>Blende, Winkel, 190x250, Einzel, Deckenm</t>
  </si>
  <si>
    <t>0712212</t>
  </si>
  <si>
    <t>Blende, Winkel, 190x250,Einzeln, Deckenm</t>
  </si>
  <si>
    <t>0712213</t>
  </si>
  <si>
    <t>Blende, Winkel, 190x250, Rechts, Laibung</t>
  </si>
  <si>
    <t>0712214</t>
  </si>
  <si>
    <t>Blende, unten, 190x200/250 rechts</t>
  </si>
  <si>
    <t>0712215</t>
  </si>
  <si>
    <t>Blende, unten, 190x200/250, einzeln</t>
  </si>
  <si>
    <t>0712216</t>
  </si>
  <si>
    <t>Kantung 1 - rechts Anfang Decke 235x150</t>
  </si>
  <si>
    <t>0712219</t>
  </si>
  <si>
    <t>Befestigungsstreifen vorne, BG1</t>
  </si>
  <si>
    <t>0712223</t>
  </si>
  <si>
    <t>Lagerplatte innen, Geh 145x145</t>
  </si>
  <si>
    <t>0712224</t>
  </si>
  <si>
    <t>Lagerplatte außen, schwimmend, Mo. li.</t>
  </si>
  <si>
    <t>0712225</t>
  </si>
  <si>
    <t>Lagerplatte außen, schwimmend, Mo. re.</t>
  </si>
  <si>
    <t>0712226</t>
  </si>
  <si>
    <t>Lagerplatte außen, Motorseite</t>
  </si>
  <si>
    <t>0712227</t>
  </si>
  <si>
    <t>Lagerplatte innen, Motorseite</t>
  </si>
  <si>
    <t>0712228</t>
  </si>
  <si>
    <t>Motorlagerplatte OC</t>
  </si>
  <si>
    <t>0712230</t>
  </si>
  <si>
    <t>Motorhalterung vorn 0,75 kW Motor / OC                3</t>
  </si>
  <si>
    <t>0712231</t>
  </si>
  <si>
    <t>Senkschraube mit Schlitz PVC  M5x10</t>
  </si>
  <si>
    <t>0712234</t>
  </si>
  <si>
    <t>Zapfen mit Flasch, rechts OC Konsole</t>
  </si>
  <si>
    <t>0712236</t>
  </si>
  <si>
    <t>Zapfen mit Flasch, links</t>
  </si>
  <si>
    <t>0712237</t>
  </si>
  <si>
    <t>Achse/Doppelkettenscheibe</t>
  </si>
  <si>
    <t>0712241</t>
  </si>
  <si>
    <t>Einlaufprofil einteilig, Abschlussleiste</t>
  </si>
  <si>
    <t>0712243</t>
  </si>
  <si>
    <t>Gegenlagerplatte, Motorseite links</t>
  </si>
  <si>
    <t>0712244</t>
  </si>
  <si>
    <t>Gegenlagerplatte komplett</t>
  </si>
  <si>
    <t>0712245</t>
  </si>
  <si>
    <t>Winkelblende, Einzelgehäuse, Wandmontage</t>
  </si>
  <si>
    <t>0712246</t>
  </si>
  <si>
    <t>Winkelblende, Anfanggehäuse, Wandmontage</t>
  </si>
  <si>
    <t>0712247</t>
  </si>
  <si>
    <t>Winkelblende, Mittelgehäuse, Wandmontage</t>
  </si>
  <si>
    <t>0712248</t>
  </si>
  <si>
    <t>Winkelblende, Endgehäuse, Wandmontage</t>
  </si>
  <si>
    <t>0712249</t>
  </si>
  <si>
    <t>Winkelblende,Einzelgehäuse,Deckenmontage</t>
  </si>
  <si>
    <t>0712250</t>
  </si>
  <si>
    <t>Winkelblende,Anfanggehäuse,Deckenmontage</t>
  </si>
  <si>
    <t>0712251</t>
  </si>
  <si>
    <t>Winkelblende,Mittelgehäuse,Deckenmontage</t>
  </si>
  <si>
    <t>0712252</t>
  </si>
  <si>
    <t>Winkelblende,Endgehäuse,Deckenmontage</t>
  </si>
  <si>
    <t>0712253</t>
  </si>
  <si>
    <t>Untere Blende, Einzelgehäuse</t>
  </si>
  <si>
    <t>0712254</t>
  </si>
  <si>
    <t>Untere Blende, Anfanggehäuse</t>
  </si>
  <si>
    <t>0712255</t>
  </si>
  <si>
    <t>0712256</t>
  </si>
  <si>
    <t>Untere Blende, Endgehäuse</t>
  </si>
  <si>
    <t>0712257</t>
  </si>
  <si>
    <t>Gerade Blende, Einzelgehäuse</t>
  </si>
  <si>
    <t>0712258</t>
  </si>
  <si>
    <t>Gerade Blende, Anfanggehäuse</t>
  </si>
  <si>
    <t>0712259</t>
  </si>
  <si>
    <t>Gerade Blende, Mittelgehäuse</t>
  </si>
  <si>
    <t>0712260</t>
  </si>
  <si>
    <t>Gerade Blende, Endgehäuse</t>
  </si>
  <si>
    <t>0712261</t>
  </si>
  <si>
    <t>0712262</t>
  </si>
  <si>
    <t>Winkelblende,Anfangsgehäuse,Wandmontage</t>
  </si>
  <si>
    <t>0712263</t>
  </si>
  <si>
    <t>0712264</t>
  </si>
  <si>
    <t>0712265</t>
  </si>
  <si>
    <t>0712266</t>
  </si>
  <si>
    <t>0712267</t>
  </si>
  <si>
    <t>0712268</t>
  </si>
  <si>
    <t>0712269</t>
  </si>
  <si>
    <t>Untere Blende,Einzelgehäuse</t>
  </si>
  <si>
    <t>0712271</t>
  </si>
  <si>
    <t>0712272</t>
  </si>
  <si>
    <t>0712273</t>
  </si>
  <si>
    <t>Untere Blende,Endgehäuse</t>
  </si>
  <si>
    <t>0712274</t>
  </si>
  <si>
    <t>0712275</t>
  </si>
  <si>
    <t>Gerade Blende, Anfangsgehäuse</t>
  </si>
  <si>
    <t>0712276</t>
  </si>
  <si>
    <t>0712277</t>
  </si>
  <si>
    <t>0712278</t>
  </si>
  <si>
    <t>0712279</t>
  </si>
  <si>
    <t>Winkelblende,Anfangsgehäuse, Wandmontage</t>
  </si>
  <si>
    <t>0712280</t>
  </si>
  <si>
    <t>0712281</t>
  </si>
  <si>
    <t>0712282</t>
  </si>
  <si>
    <t>Kopiervorlage Entwicklung mechanisch</t>
  </si>
  <si>
    <t>0712283</t>
  </si>
  <si>
    <t>Winkelblende,Anfangsgehäuse,Deckemontage</t>
  </si>
  <si>
    <t>0712284</t>
  </si>
  <si>
    <t>0712285</t>
  </si>
  <si>
    <t>0712286</t>
  </si>
  <si>
    <t>0712287</t>
  </si>
  <si>
    <t>0712288</t>
  </si>
  <si>
    <t>0712289</t>
  </si>
  <si>
    <t>0712290</t>
  </si>
  <si>
    <t>0712291</t>
  </si>
  <si>
    <t>0712292</t>
  </si>
  <si>
    <t>0712293</t>
  </si>
  <si>
    <t>0712294</t>
  </si>
  <si>
    <t>Untere Blende, feste Lagerung, 190x250</t>
  </si>
  <si>
    <t>0712295</t>
  </si>
  <si>
    <t>Untere Blende, feste Lagerung, 235x290</t>
  </si>
  <si>
    <t>0712300</t>
  </si>
  <si>
    <t>Endanschlag  Z</t>
  </si>
  <si>
    <t>0712301</t>
  </si>
  <si>
    <t>Abdecke für Gehäuse 610x400</t>
  </si>
  <si>
    <t>0712302</t>
  </si>
  <si>
    <t>Abschlussleistenseitenteil 400 Gehäuse</t>
  </si>
  <si>
    <t>0712303</t>
  </si>
  <si>
    <t>Aufhängekantung</t>
  </si>
  <si>
    <t>0712304</t>
  </si>
  <si>
    <t>Bordring Ø 108                                        1</t>
  </si>
  <si>
    <t>0712305</t>
  </si>
  <si>
    <t>Bordscheibe 260</t>
  </si>
  <si>
    <t>0712306</t>
  </si>
  <si>
    <t>Einlaufspange links Gehäuse 610x400</t>
  </si>
  <si>
    <t>0712307</t>
  </si>
  <si>
    <t>Einlaufspange rechts Gehäuse 610x400                  1</t>
  </si>
  <si>
    <t>0712308</t>
  </si>
  <si>
    <t>Einzelseilrollenseitenteil D80</t>
  </si>
  <si>
    <t>0712309</t>
  </si>
  <si>
    <t>Achse/Doppelkettenscheibe 16-B/OC Kompl.</t>
  </si>
  <si>
    <t>0712310</t>
  </si>
  <si>
    <t>Achse/Doppelkettenrad/16-B OC Kompl.</t>
  </si>
  <si>
    <t>0712311</t>
  </si>
  <si>
    <t>Führungsbasis 300 Anfang Links Wandmont.</t>
  </si>
  <si>
    <t>0712312</t>
  </si>
  <si>
    <t>Führungsbasis 300 Anfang Rechts Wandmont</t>
  </si>
  <si>
    <t>0712313</t>
  </si>
  <si>
    <t>Führungsbasis 300 mittel links Wandmont</t>
  </si>
  <si>
    <t>0712314</t>
  </si>
  <si>
    <t>Führungsbasis 300mittel rechts Wandmont</t>
  </si>
  <si>
    <t>0712315</t>
  </si>
  <si>
    <t>Führungsbais 300endstück links Wandmont</t>
  </si>
  <si>
    <t>0712316</t>
  </si>
  <si>
    <t>Führungsbasis300endstück rechts Wandmon</t>
  </si>
  <si>
    <t>0712317</t>
  </si>
  <si>
    <t>Führungsbasis 300 einzelstück links Wand</t>
  </si>
  <si>
    <t>0712318</t>
  </si>
  <si>
    <t>Führungsbasis 300einzelstück rechts Wand</t>
  </si>
  <si>
    <t>0712319</t>
  </si>
  <si>
    <t>Führungsbasis 300 anfang links Decken</t>
  </si>
  <si>
    <t>0712320</t>
  </si>
  <si>
    <t>Führungsbasis 300 anfang rechts Decken</t>
  </si>
  <si>
    <t>0712321</t>
  </si>
  <si>
    <t>Führungsbasis 300 mittel links Decke</t>
  </si>
  <si>
    <t>0712322</t>
  </si>
  <si>
    <t>Führungsbasis 300 mittel rechts Decke</t>
  </si>
  <si>
    <t>0712323</t>
  </si>
  <si>
    <t>Führungsbasis 300 endstück links Decke</t>
  </si>
  <si>
    <t>0712324</t>
  </si>
  <si>
    <t>Führungsbasis 300 endstück rechts Decke</t>
  </si>
  <si>
    <t>0712325</t>
  </si>
  <si>
    <t>Deckprofil links, FS 160-E</t>
  </si>
  <si>
    <t>0712326</t>
  </si>
  <si>
    <t>Führungsbasis 300einzelstück links decke</t>
  </si>
  <si>
    <t>0712327</t>
  </si>
  <si>
    <t>Führungsbasis300einzelstück rechts decke</t>
  </si>
  <si>
    <t>0712328</t>
  </si>
  <si>
    <t>Führungshaltewinkel anfang links</t>
  </si>
  <si>
    <t>0712329</t>
  </si>
  <si>
    <t>Führungshaltewinkel anfang rechts</t>
  </si>
  <si>
    <t>0712330</t>
  </si>
  <si>
    <t>Führungshaltewinkel mitte links</t>
  </si>
  <si>
    <t>0712331</t>
  </si>
  <si>
    <t>Führungshaltewinkel mitte rechts</t>
  </si>
  <si>
    <t>0712332</t>
  </si>
  <si>
    <t>Führungshaltwinkel ende links</t>
  </si>
  <si>
    <t>0712333</t>
  </si>
  <si>
    <t>Führungshaltewinkel ende rechts</t>
  </si>
  <si>
    <t>0712334</t>
  </si>
  <si>
    <t>Führungshaltewinkel einzel links</t>
  </si>
  <si>
    <t>0712335</t>
  </si>
  <si>
    <t>Führungshaltewinkel einzel rechts</t>
  </si>
  <si>
    <t>0712336</t>
  </si>
  <si>
    <t>Deckprofil rechts, FS 160E</t>
  </si>
  <si>
    <t>0712337</t>
  </si>
  <si>
    <t>Basisprofil links, Wandmontage, FS 160-E</t>
  </si>
  <si>
    <t>0712338</t>
  </si>
  <si>
    <t>Basisprofil rechts, Wandmontage, FS 160E</t>
  </si>
  <si>
    <t>0712339</t>
  </si>
  <si>
    <t>Basisprofil links, Laibungmont, FS 160E</t>
  </si>
  <si>
    <t>0712340</t>
  </si>
  <si>
    <t>Basisprofil rechts,Laibungmont, FS 160E</t>
  </si>
  <si>
    <t>0712341</t>
  </si>
  <si>
    <t>Bodenaussteifung klp. links, Wand, FS160</t>
  </si>
  <si>
    <t>0712342</t>
  </si>
  <si>
    <t>Bodenausteifung klp. rechts, wand, FS160</t>
  </si>
  <si>
    <t>0712343</t>
  </si>
  <si>
    <t>Bodenaussteifung klp, Laibung, FS 160E</t>
  </si>
  <si>
    <t>0712344</t>
  </si>
  <si>
    <t>Bodenaussteifung links, Wand, FS 160E</t>
  </si>
  <si>
    <t>0712345</t>
  </si>
  <si>
    <t>Bodenaussteifung rechts, wand, FS 160E</t>
  </si>
  <si>
    <t>0712346</t>
  </si>
  <si>
    <t>Bodenaussteifung, Laibung, FS 160E</t>
  </si>
  <si>
    <t>0712348</t>
  </si>
  <si>
    <t>Haltewinkel, FS 160E</t>
  </si>
  <si>
    <t>0712349</t>
  </si>
  <si>
    <t>Endlagerscheibe 6206 für Ø 108x3,6                    1</t>
  </si>
  <si>
    <t>0712350</t>
  </si>
  <si>
    <t>Gasfederschwingenlager</t>
  </si>
  <si>
    <t>0712351</t>
  </si>
  <si>
    <t>Gegenlagerverstärkung</t>
  </si>
  <si>
    <t>0712352</t>
  </si>
  <si>
    <t>Gewebeanbindeplatte</t>
  </si>
  <si>
    <t>0712353</t>
  </si>
  <si>
    <t>0712354</t>
  </si>
  <si>
    <t>0712355</t>
  </si>
  <si>
    <t>Gewebestützstrebe</t>
  </si>
  <si>
    <t>0712356</t>
  </si>
  <si>
    <t>Innenabschlussleiste links</t>
  </si>
  <si>
    <t>0712357</t>
  </si>
  <si>
    <t>Innenabschlussleiste rechts</t>
  </si>
  <si>
    <t>0712358</t>
  </si>
  <si>
    <t>Innenabschlussleiste mitte</t>
  </si>
  <si>
    <t>0712359</t>
  </si>
  <si>
    <t>Konsolenoberteil</t>
  </si>
  <si>
    <t>0712360</t>
  </si>
  <si>
    <t>Konsolenunterteil</t>
  </si>
  <si>
    <t>0712361</t>
  </si>
  <si>
    <t>Motoraufnahme</t>
  </si>
  <si>
    <t>0712362</t>
  </si>
  <si>
    <t>Motorlager Simu T8</t>
  </si>
  <si>
    <t>0712363</t>
  </si>
  <si>
    <t>0712364</t>
  </si>
  <si>
    <t>0712365</t>
  </si>
  <si>
    <t>Motorlagerplatte kurz links</t>
  </si>
  <si>
    <t>0712366</t>
  </si>
  <si>
    <t>Motorlagerplatte kurz rechts</t>
  </si>
  <si>
    <t>0712367</t>
  </si>
  <si>
    <t>Obere Führungkantung Anfang links</t>
  </si>
  <si>
    <t>0712368</t>
  </si>
  <si>
    <t>Obere Führungskantung Anfang rechts</t>
  </si>
  <si>
    <t>0712369</t>
  </si>
  <si>
    <t>Obere Führungskantung mitte</t>
  </si>
  <si>
    <t>0712370</t>
  </si>
  <si>
    <t>Obere Führungskantung ende</t>
  </si>
  <si>
    <t>0712371</t>
  </si>
  <si>
    <t>Obere Führungskantung Einzeln links</t>
  </si>
  <si>
    <t>0712372</t>
  </si>
  <si>
    <t>Obere Führungskantung Einzeln rechts</t>
  </si>
  <si>
    <t>0712373</t>
  </si>
  <si>
    <t>Obere Abschlussleiste mit Tasche linsk</t>
  </si>
  <si>
    <t>0712374</t>
  </si>
  <si>
    <t>Abschlussblech 120 mm</t>
  </si>
  <si>
    <t>0712375</t>
  </si>
  <si>
    <t>Herstellung der Langlöcher auf dem</t>
  </si>
  <si>
    <t>0712376</t>
  </si>
  <si>
    <t>Spange 300 end links</t>
  </si>
  <si>
    <t>0712377</t>
  </si>
  <si>
    <t>Spange 300 end rechts</t>
  </si>
  <si>
    <t>0712378</t>
  </si>
  <si>
    <t>Oberes Auflageblech links</t>
  </si>
  <si>
    <t>0712379</t>
  </si>
  <si>
    <t>oberes Auflageblech rechts</t>
  </si>
  <si>
    <t>0712380</t>
  </si>
  <si>
    <t>Unteres Auflageblech links</t>
  </si>
  <si>
    <t>0712381</t>
  </si>
  <si>
    <t>Unteres Auflageblech rechts</t>
  </si>
  <si>
    <t>Gleitstück Schieberführung GCC vertikal</t>
  </si>
  <si>
    <t>Gurt 35mm 2,5m GCC vertikal</t>
  </si>
  <si>
    <t>Gurt 35mm 4,5m GCC vertikal                           1</t>
  </si>
  <si>
    <t>Gurt 35mm 6,5m GCC vertikal</t>
  </si>
  <si>
    <t>Gurt 35mm 8,5m GCC vertikal</t>
  </si>
  <si>
    <t>0712387</t>
  </si>
  <si>
    <t>Vormontage der Promatplatten zur</t>
  </si>
  <si>
    <t>0712388</t>
  </si>
  <si>
    <t>Vormontage der Führungsschiene</t>
  </si>
  <si>
    <t>0712389</t>
  </si>
  <si>
    <t>0712390</t>
  </si>
  <si>
    <t>Obere Umlenkplatte</t>
  </si>
  <si>
    <t>0712391</t>
  </si>
  <si>
    <t>Ratschenaufnahme</t>
  </si>
  <si>
    <t>0712392</t>
  </si>
  <si>
    <t>Ratschenaufnahmenabstandhalter</t>
  </si>
  <si>
    <t>0712393</t>
  </si>
  <si>
    <t>Rückhaltewinkel</t>
  </si>
  <si>
    <t>0712394</t>
  </si>
  <si>
    <t>Seilschwinge</t>
  </si>
  <si>
    <t>0712395</t>
  </si>
  <si>
    <t>0712396</t>
  </si>
  <si>
    <t>0712397</t>
  </si>
  <si>
    <t>Seitendeckeldeckel links mit Strinradget</t>
  </si>
  <si>
    <t>0712398</t>
  </si>
  <si>
    <t>Seitendeckel rechts mit Stirnradgetriebe</t>
  </si>
  <si>
    <t>0712399</t>
  </si>
  <si>
    <t>Seitenteil Seilflasche Doppel</t>
  </si>
  <si>
    <t>0712400</t>
  </si>
  <si>
    <t>Seitenteil1 Versatzrolle</t>
  </si>
  <si>
    <t>0712401</t>
  </si>
  <si>
    <t>Seitenteil2</t>
  </si>
  <si>
    <t>0712402</t>
  </si>
  <si>
    <t>Stützbügel</t>
  </si>
  <si>
    <t>0712403</t>
  </si>
  <si>
    <t>Stützbügel lang</t>
  </si>
  <si>
    <t>0712404</t>
  </si>
  <si>
    <t>Umlenhut links</t>
  </si>
  <si>
    <t>0712405</t>
  </si>
  <si>
    <t>Umlenkhut rechts</t>
  </si>
  <si>
    <t>0712406</t>
  </si>
  <si>
    <t>Umlenkhut klein links</t>
  </si>
  <si>
    <t>0712407</t>
  </si>
  <si>
    <t>Umlenkhut rechts klein</t>
  </si>
  <si>
    <t>0712408</t>
  </si>
  <si>
    <t>Umlenkwinkel</t>
  </si>
  <si>
    <t>0712409</t>
  </si>
  <si>
    <t>Umlenkwinkel rechts</t>
  </si>
  <si>
    <t>0712410</t>
  </si>
  <si>
    <t>Sechskantmutter PVC  M6</t>
  </si>
  <si>
    <t>0712411</t>
  </si>
  <si>
    <t>Schraube Sechskant PVC  M6x20</t>
  </si>
  <si>
    <t>0712412</t>
  </si>
  <si>
    <t>Sechskantmutter PVC  M5</t>
  </si>
  <si>
    <t>0712413</t>
  </si>
  <si>
    <t>Schraube Sechskant PVC  M5x12</t>
  </si>
  <si>
    <t>0712414</t>
  </si>
  <si>
    <t>Umlenkwinkel klein links</t>
  </si>
  <si>
    <t>0712415</t>
  </si>
  <si>
    <t>0712416</t>
  </si>
  <si>
    <t>0712417</t>
  </si>
  <si>
    <t>0712418</t>
  </si>
  <si>
    <t>untere Blende 3000</t>
  </si>
  <si>
    <t>0712419</t>
  </si>
  <si>
    <t>unterer Führungskantungs Verbinder</t>
  </si>
  <si>
    <t>0712420</t>
  </si>
  <si>
    <t>untere Umlenkplatte</t>
  </si>
  <si>
    <t>0712421</t>
  </si>
  <si>
    <t>Verbindungsplatte</t>
  </si>
  <si>
    <t>0712422</t>
  </si>
  <si>
    <t>Verbindungswinkel</t>
  </si>
  <si>
    <t>0712423</t>
  </si>
  <si>
    <t>Verkrallungs U für 2teilige Abschlussl.</t>
  </si>
  <si>
    <t>0712424</t>
  </si>
  <si>
    <t>0712425</t>
  </si>
  <si>
    <t>0712426</t>
  </si>
  <si>
    <t>Verkrallungswinkel 3000</t>
  </si>
  <si>
    <t>0712427</t>
  </si>
  <si>
    <t>Versteifung mit Gaszugfederaufnahme leic</t>
  </si>
  <si>
    <t>0712428</t>
  </si>
  <si>
    <t>Versteifung m. Gaszug. aufn. Ta. leicht</t>
  </si>
  <si>
    <t>0712429</t>
  </si>
  <si>
    <t>Versteifung m. Gas. Aufn. m. Tasche</t>
  </si>
  <si>
    <t>0712430</t>
  </si>
  <si>
    <t>Versteifung mit Gaszugfederaufnahme</t>
  </si>
  <si>
    <t>0712431</t>
  </si>
  <si>
    <t>Winkelblende Deckenmont links</t>
  </si>
  <si>
    <t>0712432</t>
  </si>
  <si>
    <t>Winkelblende Deckenmont. rechts</t>
  </si>
  <si>
    <t>0712433</t>
  </si>
  <si>
    <t>Winkelblende Deckenmont. mitte 3000</t>
  </si>
  <si>
    <t>0712434</t>
  </si>
  <si>
    <t>Winkelblende Wandmontage links</t>
  </si>
  <si>
    <t>0712435</t>
  </si>
  <si>
    <t>Winkelblende Wandmontage rechts</t>
  </si>
  <si>
    <t>0712436</t>
  </si>
  <si>
    <t>Winkelblende Wandmont. mitte 3000</t>
  </si>
  <si>
    <t>0712437</t>
  </si>
  <si>
    <t>Winkelblende Deckenmont. Einzel</t>
  </si>
  <si>
    <t>0712438</t>
  </si>
  <si>
    <t>Winkelblende Wandmontage Einzeln</t>
  </si>
  <si>
    <t>0712439</t>
  </si>
  <si>
    <t>Innenabschlussleiste mitte 2000</t>
  </si>
  <si>
    <t>0712440</t>
  </si>
  <si>
    <t>Führungsunterteil 300 anfang links</t>
  </si>
  <si>
    <t>0712441</t>
  </si>
  <si>
    <t>Führungsunterteil 300 anfang rechts</t>
  </si>
  <si>
    <t>0712442</t>
  </si>
  <si>
    <t>Führungsunterteil 300 mitte links</t>
  </si>
  <si>
    <t>0712443</t>
  </si>
  <si>
    <t>Führungsunterteil 300 mitte rechts</t>
  </si>
  <si>
    <t>0712444</t>
  </si>
  <si>
    <t>Führungsunterteil 300 end links</t>
  </si>
  <si>
    <t>0712445</t>
  </si>
  <si>
    <t>Führungsunterteil 300 end rechts</t>
  </si>
  <si>
    <t>0712446</t>
  </si>
  <si>
    <t>Führungsunterteil 300 einzel links</t>
  </si>
  <si>
    <t>0712447</t>
  </si>
  <si>
    <t>Führungsunterteil 300 einzeln rechs</t>
  </si>
  <si>
    <t>0712448</t>
  </si>
  <si>
    <t>Untereführungskanung 300 Anfang links</t>
  </si>
  <si>
    <t>0712449</t>
  </si>
  <si>
    <t>untereführungskantung 300 anfang rechts</t>
  </si>
  <si>
    <t>0712450</t>
  </si>
  <si>
    <t>untereführungskantung 300 end links</t>
  </si>
  <si>
    <t>0712451</t>
  </si>
  <si>
    <t>untereführungskantung 300 end rechts</t>
  </si>
  <si>
    <t>0712452</t>
  </si>
  <si>
    <t>untereführungskantung 300 mitte</t>
  </si>
  <si>
    <t>0712453</t>
  </si>
  <si>
    <t>untereführungskantung 300 einzeln links</t>
  </si>
  <si>
    <t>0712454</t>
  </si>
  <si>
    <t>untereführungskantung 300 einzeln rechts</t>
  </si>
  <si>
    <t>0712455</t>
  </si>
  <si>
    <t>obere Führungskantungverbinder 300</t>
  </si>
  <si>
    <t>0712456</t>
  </si>
  <si>
    <t>oberes Abschlussl. rechts mit Tasche</t>
  </si>
  <si>
    <t>0712457</t>
  </si>
  <si>
    <t>oberes Abschluss. mit Tasche 3000</t>
  </si>
  <si>
    <t>0712458</t>
  </si>
  <si>
    <t>oberes Abschluss.mitte mit Tasche 2000</t>
  </si>
  <si>
    <t>0712459</t>
  </si>
  <si>
    <t>Gegenlagerrohr Ø 50 / 100, gekürzt                    1</t>
  </si>
  <si>
    <t>0712460</t>
  </si>
  <si>
    <t>oberes Abschluss. mit Zunge links</t>
  </si>
  <si>
    <t>0712461</t>
  </si>
  <si>
    <t>oberesabschluss. mit Zunge rechts</t>
  </si>
  <si>
    <t>0712462</t>
  </si>
  <si>
    <t>Obersabschlussl. mitte 3000 mit Zunge</t>
  </si>
  <si>
    <t>0712463</t>
  </si>
  <si>
    <t>oberesabschlussl. mit Zunge mitte 2000</t>
  </si>
  <si>
    <t>0712464</t>
  </si>
  <si>
    <t>unteresAbschlussl. aussen links mit tasc</t>
  </si>
  <si>
    <t>0712465</t>
  </si>
  <si>
    <t>unteresabschluss aussen rechts mit tasch</t>
  </si>
  <si>
    <t>0712466</t>
  </si>
  <si>
    <t>unteresabschluss aussen links mit Zunge</t>
  </si>
  <si>
    <t>0712467</t>
  </si>
  <si>
    <t>unteresabschluss. aussen rechts mit Zung</t>
  </si>
  <si>
    <t>0712468</t>
  </si>
  <si>
    <t>unteresabschluss aussen 3000 mit zunge</t>
  </si>
  <si>
    <t>0712469</t>
  </si>
  <si>
    <t>unteresabschluss. 2000 mit Zunge</t>
  </si>
  <si>
    <t>0712470</t>
  </si>
  <si>
    <t>unteresabschluss. aussen 3000 mit Tasche</t>
  </si>
  <si>
    <t>0712471</t>
  </si>
  <si>
    <t>unteresabschluss aussen 2000 mit tasche</t>
  </si>
  <si>
    <t>0712472</t>
  </si>
  <si>
    <t>Seitendeckel kompl 400x610</t>
  </si>
  <si>
    <t>0712473</t>
  </si>
  <si>
    <t>Seitendeckl kompl. 400x610 rechts</t>
  </si>
  <si>
    <t>0712474</t>
  </si>
  <si>
    <t>Umlenkwelle D20 mit Lasche L 70</t>
  </si>
  <si>
    <t>0712475</t>
  </si>
  <si>
    <t>Konsole kompl. für Gehäuse 400x610</t>
  </si>
  <si>
    <t>0712476</t>
  </si>
  <si>
    <t>Führungschienenende mit Umlenkung links</t>
  </si>
  <si>
    <t>0712477</t>
  </si>
  <si>
    <t>Führungsschienenendmit Umelenkung rechts</t>
  </si>
  <si>
    <t>0712478</t>
  </si>
  <si>
    <t>Rohr Ø 50x1,5 für gegenlagerrohr 50/100</t>
  </si>
  <si>
    <t>0712479</t>
  </si>
  <si>
    <t>Verstazrolle kompl. 80mm Rollen</t>
  </si>
  <si>
    <t>0712480</t>
  </si>
  <si>
    <t>Doppelseilflasche 80mm Rollen</t>
  </si>
  <si>
    <t>0712481</t>
  </si>
  <si>
    <t>Vierkant 20x20 mit Unterlegscheibe l 240</t>
  </si>
  <si>
    <t>0712482</t>
  </si>
  <si>
    <t>Montagehilfswinkel</t>
  </si>
  <si>
    <t>0712483</t>
  </si>
  <si>
    <t>Gasfederverbinder 2fach</t>
  </si>
  <si>
    <t>0712484</t>
  </si>
  <si>
    <t>Gasfederverbinder 4fach</t>
  </si>
  <si>
    <t>0712485</t>
  </si>
  <si>
    <t>Wickel mit Gewebe undLagerplatten kompl.</t>
  </si>
  <si>
    <t>0712486</t>
  </si>
  <si>
    <t>Einsteckrohr für 206,3 kompl. Motorseite              7</t>
  </si>
  <si>
    <t>0712487</t>
  </si>
  <si>
    <t>Einsteckrohr für 202x6,3 kompl. Gegensei             11</t>
  </si>
  <si>
    <t>0712489</t>
  </si>
  <si>
    <t>Anschweißblech für 20mm Bolzen</t>
  </si>
  <si>
    <t>0712490</t>
  </si>
  <si>
    <t>Seitendeckel innenteile links</t>
  </si>
  <si>
    <t>0712491</t>
  </si>
  <si>
    <t>Seitendeckel Innenteil rechts</t>
  </si>
  <si>
    <t>0712492</t>
  </si>
  <si>
    <t>Seilscheiben kompl.</t>
  </si>
  <si>
    <t>0712493</t>
  </si>
  <si>
    <t>0712494</t>
  </si>
  <si>
    <t>0712495</t>
  </si>
  <si>
    <t>Befestigungskonsole klp. schwimm.</t>
  </si>
  <si>
    <t>0712496</t>
  </si>
  <si>
    <t>Befestigungskonsole klp, schwimm.</t>
  </si>
  <si>
    <t>0712497</t>
  </si>
  <si>
    <t>Gegenlagerplatte kompl. links</t>
  </si>
  <si>
    <t>0712498</t>
  </si>
  <si>
    <t>Gegenlagerplatte kompl. rechts</t>
  </si>
  <si>
    <t>0712499</t>
  </si>
  <si>
    <t>Gegenlagerwelle D30 mit Gewinde M12                   2</t>
  </si>
  <si>
    <t>0712500</t>
  </si>
  <si>
    <t>Winkel für untere Blende</t>
  </si>
  <si>
    <t>0712501</t>
  </si>
  <si>
    <t>Anbaukonsole links kompl.</t>
  </si>
  <si>
    <t>0712502</t>
  </si>
  <si>
    <t>Anbaukonsole kompl. rechts</t>
  </si>
  <si>
    <t>0712503</t>
  </si>
  <si>
    <t>Untere Blende, Geh. 235x290, feste Lager</t>
  </si>
  <si>
    <t>0712504</t>
  </si>
  <si>
    <t>Gegenlagerplatte fest links, Geh 270x320</t>
  </si>
  <si>
    <t>0712505</t>
  </si>
  <si>
    <t>Lagerplatte links, schwimm, Geh. 270x320</t>
  </si>
  <si>
    <t>0712506</t>
  </si>
  <si>
    <t>0712507</t>
  </si>
  <si>
    <t>Endanschlag für Winkelblende, Edelstahl</t>
  </si>
  <si>
    <t>0712508</t>
  </si>
  <si>
    <t>Winkelblende fest&amp;End,Decke,190x250,ABSL</t>
  </si>
  <si>
    <t>0712509</t>
  </si>
  <si>
    <t>WinkelblendeAnfang,Decke,190x250,ABSL209</t>
  </si>
  <si>
    <t>0712510</t>
  </si>
  <si>
    <t>WinkelblendeMitte,Decke,190x250,ABSL2009</t>
  </si>
  <si>
    <t>0712511</t>
  </si>
  <si>
    <t>Untere Blende fest&amp;End,190x250,ABSL2009</t>
  </si>
  <si>
    <t>0712512</t>
  </si>
  <si>
    <t>untere Blende Anfang,190x250,ABSL2009</t>
  </si>
  <si>
    <t>0712513</t>
  </si>
  <si>
    <t>Untere Blende Mitte,190x250,ABSL2009</t>
  </si>
  <si>
    <t>0712514</t>
  </si>
  <si>
    <t>Abschlussleistenblende, Edelstahl</t>
  </si>
  <si>
    <t>0712515</t>
  </si>
  <si>
    <t>Gerade Blende Anfang, Geh. 190x250</t>
  </si>
  <si>
    <t>0712516</t>
  </si>
  <si>
    <t>Gerade Blende Mitte, Geh. 190x250</t>
  </si>
  <si>
    <t>0712517</t>
  </si>
  <si>
    <t>GeradeBlende Endgeh, 190x250</t>
  </si>
  <si>
    <t>0712518</t>
  </si>
  <si>
    <t>Gerade Blende fest, Geh. 190x250</t>
  </si>
  <si>
    <t>0712519</t>
  </si>
  <si>
    <t>Seitendeckel Mo li, Gegenst., schw, klp.</t>
  </si>
  <si>
    <t>0712520</t>
  </si>
  <si>
    <t>Winkelblende, Anfangsgehäuse, 190x200</t>
  </si>
  <si>
    <t>0712521</t>
  </si>
  <si>
    <t>Gerade Blende, Anfangsgehäuse, 190x200</t>
  </si>
  <si>
    <t>0712522</t>
  </si>
  <si>
    <t>0712523</t>
  </si>
  <si>
    <t>Winkelblende, Mittelgeh, Wand, 190x200</t>
  </si>
  <si>
    <t>0712524</t>
  </si>
  <si>
    <t>Gerade Blende, Mittelgeh, 190x200</t>
  </si>
  <si>
    <t>0712525</t>
  </si>
  <si>
    <t>Untere Blende, Mittelgeh, 190x200</t>
  </si>
  <si>
    <t>0712526</t>
  </si>
  <si>
    <t>Winkelblende, Endgeh, Wand, 190x200</t>
  </si>
  <si>
    <t>0712527</t>
  </si>
  <si>
    <t>Gerade Blende, Endgeh, 190x200</t>
  </si>
  <si>
    <t>0712528</t>
  </si>
  <si>
    <t>Untere Blende, Endgeh, 190x200</t>
  </si>
  <si>
    <t>0712529</t>
  </si>
  <si>
    <t>Winkelblende, Anfanggeh, Decke, 190x200</t>
  </si>
  <si>
    <t>0712530</t>
  </si>
  <si>
    <t>Winkelblende, Mittelgeh, Decke, 190x200</t>
  </si>
  <si>
    <t>0712531</t>
  </si>
  <si>
    <t>Winkelblende, Endgeh, Decke, 190x200</t>
  </si>
  <si>
    <t>0712532</t>
  </si>
  <si>
    <t>Seitendeckel Mot li, Motorseite, 190x200</t>
  </si>
  <si>
    <t>0712533</t>
  </si>
  <si>
    <t>Seitendeckel, Mot li,Gegenseite, 190x200</t>
  </si>
  <si>
    <t>0712534</t>
  </si>
  <si>
    <t>Seitendeckel, Mot li, Gegenseite,190x200</t>
  </si>
  <si>
    <t>0712535</t>
  </si>
  <si>
    <t>Seitendeckel, Mot re,Motorseite,190x200</t>
  </si>
  <si>
    <t>0712536</t>
  </si>
  <si>
    <t>Seitendeckel, Mot re,Gegen, kpl,190x200</t>
  </si>
  <si>
    <t>0712537</t>
  </si>
  <si>
    <t>Seitendeckel, Mot re,Gegenseite, 190x200</t>
  </si>
  <si>
    <t>0712538</t>
  </si>
  <si>
    <t>Klemmstahl für Verriegelung</t>
  </si>
  <si>
    <t>0712539</t>
  </si>
  <si>
    <t>Seilstahl</t>
  </si>
  <si>
    <t>0712540</t>
  </si>
  <si>
    <t>Übergangsstück Gurtumlenkung                          1</t>
  </si>
  <si>
    <t>0712542</t>
  </si>
  <si>
    <t>0712544</t>
  </si>
  <si>
    <t>Schablone Traghebelausschnitt Wickelrohr</t>
  </si>
  <si>
    <t>0712545</t>
  </si>
  <si>
    <t>Antriebswelle kurz                                    8</t>
  </si>
  <si>
    <t>0712546</t>
  </si>
  <si>
    <t>Flachstahl für Abschlussleiste</t>
  </si>
  <si>
    <t>0712547</t>
  </si>
  <si>
    <t>Aufnahmeplatte oben für Flanschlager                  1</t>
  </si>
  <si>
    <t>0712548</t>
  </si>
  <si>
    <t>Aufnahmeplatte oben für Motor                         1</t>
  </si>
  <si>
    <t>0712549</t>
  </si>
  <si>
    <t>Winkelkonsole oben links                              2</t>
  </si>
  <si>
    <t>0712550</t>
  </si>
  <si>
    <t>Winkelkonsole oben rechts                             2</t>
  </si>
  <si>
    <t>0712552</t>
  </si>
  <si>
    <t>Befestigungskonsole komplett                          4</t>
  </si>
  <si>
    <t>0712553</t>
  </si>
  <si>
    <t>Klemmblech für Gewebe</t>
  </si>
  <si>
    <t>0712554</t>
  </si>
  <si>
    <t>Hintere Blende</t>
  </si>
  <si>
    <t>0712555</t>
  </si>
  <si>
    <t>Obere Blende</t>
  </si>
  <si>
    <t>0712556</t>
  </si>
  <si>
    <t>Untere Blende</t>
  </si>
  <si>
    <t>0712557</t>
  </si>
  <si>
    <t>0712558</t>
  </si>
  <si>
    <t>Konsole Oberteil                                      1</t>
  </si>
  <si>
    <t>0712559</t>
  </si>
  <si>
    <t>Konsole Unterteil                                     2</t>
  </si>
  <si>
    <t>0712560</t>
  </si>
  <si>
    <t>Rohrscheibe</t>
  </si>
  <si>
    <t>0712561</t>
  </si>
  <si>
    <t>Antriebswelle kurz komplett                          13</t>
  </si>
  <si>
    <t>0712562</t>
  </si>
  <si>
    <t>Antriebswelle lang                                    9</t>
  </si>
  <si>
    <t>0712563</t>
  </si>
  <si>
    <t>Antriebswelle lang komplett                          13</t>
  </si>
  <si>
    <t>0712564</t>
  </si>
  <si>
    <t>Klemmplatte für Konsole unten</t>
  </si>
  <si>
    <t>0712565</t>
  </si>
  <si>
    <t>Aussteifungsblech für Antriebskonsole                 1</t>
  </si>
  <si>
    <t>0712566</t>
  </si>
  <si>
    <t>horinzontal Strebe,Antriebskonsole unten              4</t>
  </si>
  <si>
    <t>0712567</t>
  </si>
  <si>
    <t>vertikale Strebe,Antriebskonsole unten                4</t>
  </si>
  <si>
    <t>0712568</t>
  </si>
  <si>
    <t>Antriebskonsole unten komplett                       11</t>
  </si>
  <si>
    <t>0712569</t>
  </si>
  <si>
    <t>Konsole unten für Motor                               1</t>
  </si>
  <si>
    <t>0712570</t>
  </si>
  <si>
    <t>Konsole unten für Flanschlager                        1</t>
  </si>
  <si>
    <t>0712572</t>
  </si>
  <si>
    <t>Achse Komplett 16 B</t>
  </si>
  <si>
    <t>0712573</t>
  </si>
  <si>
    <t>Achse Komplett 16-16B</t>
  </si>
  <si>
    <t>0712574</t>
  </si>
  <si>
    <t>Gerade Blende, Endgehäuse, 235x290</t>
  </si>
  <si>
    <t>0712575</t>
  </si>
  <si>
    <t>untere Blende, einzel,Geh.235x290</t>
  </si>
  <si>
    <t>0712576</t>
  </si>
  <si>
    <t>Magnethaltewinkel, Doppeldeckel</t>
  </si>
  <si>
    <t>0712577</t>
  </si>
  <si>
    <t>Einstellwinkel, Doppeldeckel</t>
  </si>
  <si>
    <t>0712578</t>
  </si>
  <si>
    <t>Einstellkantung, Doppeldeckel</t>
  </si>
  <si>
    <t>0712579</t>
  </si>
  <si>
    <t>Bodengelenk kurz, Doppeldeckel</t>
  </si>
  <si>
    <t>0712580</t>
  </si>
  <si>
    <t>Hauptprofil rechts, Doppeldeckel</t>
  </si>
  <si>
    <t>0712581</t>
  </si>
  <si>
    <t>Hauptprofil links, Doppeldeckel</t>
  </si>
  <si>
    <t>0712582</t>
  </si>
  <si>
    <t>Abdeckklappe rechts, Doppeldeckel</t>
  </si>
  <si>
    <t>0712583</t>
  </si>
  <si>
    <t>Abdeckklappe links, Doppeldeckel</t>
  </si>
  <si>
    <t>0712584</t>
  </si>
  <si>
    <t>Gegenlagerplatte, Motor rechts, 190x200</t>
  </si>
  <si>
    <t>0712585</t>
  </si>
  <si>
    <t>Gegenlagerplatte, Motor links, 190x250</t>
  </si>
  <si>
    <t>0712586</t>
  </si>
  <si>
    <t>Gegenlagerplatte, Motor rechts, 235x290</t>
  </si>
  <si>
    <t>0712587</t>
  </si>
  <si>
    <t>Adapterplatte                                         3</t>
  </si>
  <si>
    <t>0712588</t>
  </si>
  <si>
    <t>Flanschplatte kurz                                   15</t>
  </si>
  <si>
    <t>0712589</t>
  </si>
  <si>
    <t>Flanschplatte lang                                   16</t>
  </si>
  <si>
    <t>0712590</t>
  </si>
  <si>
    <t>Abschlussleistenverbinder, ABSL Typ 3,84</t>
  </si>
  <si>
    <t>0712591</t>
  </si>
  <si>
    <t>Aufbau der Abschlussleiste, Typ 3,84F</t>
  </si>
  <si>
    <t>0712592</t>
  </si>
  <si>
    <t>Schablone für Verkrallung 203mm Rohr</t>
  </si>
  <si>
    <t>0712593</t>
  </si>
  <si>
    <t>Ântrieb außenliegend rechts 270x320 komp           1.56</t>
  </si>
  <si>
    <t>0712595</t>
  </si>
  <si>
    <t>Drehstrom-Getriebem.-modifi. Klemmkasten             67</t>
  </si>
  <si>
    <t>0712596</t>
  </si>
  <si>
    <t>Gasfederwechselplatte</t>
  </si>
  <si>
    <t>0712597</t>
  </si>
  <si>
    <t>Kantschutzwinkel Bauwerk</t>
  </si>
  <si>
    <t>0712598</t>
  </si>
  <si>
    <t>Stossverbinder Führungsschiene</t>
  </si>
  <si>
    <t>0712601</t>
  </si>
  <si>
    <t>Rohrscheibe 70/133, Geh. 250x260</t>
  </si>
  <si>
    <t>0712602</t>
  </si>
  <si>
    <t>gerade Blende einteilig, Geh 250x260</t>
  </si>
  <si>
    <t>0712603</t>
  </si>
  <si>
    <t>Gerade Blende links, Geh. 250x260</t>
  </si>
  <si>
    <t>0712604</t>
  </si>
  <si>
    <t>Gerade Blende rechts, Geh. 250x260</t>
  </si>
  <si>
    <t>0712605</t>
  </si>
  <si>
    <t>Einsteckrohr 70/133, Gegenseite                       2</t>
  </si>
  <si>
    <t>0712606</t>
  </si>
  <si>
    <t>Einsteckrohr Motorseite, G45E, 250x260</t>
  </si>
  <si>
    <t>0712607</t>
  </si>
  <si>
    <t>Einsteckrohr Motorseite, G45, 250x260                 1</t>
  </si>
  <si>
    <t>0712608</t>
  </si>
  <si>
    <t>Einsteckrohr 70/133 Motorseite G120 E                 6</t>
  </si>
  <si>
    <t>0712609</t>
  </si>
  <si>
    <t>Einsteckrohr Motorseite, G120, 250x260                2</t>
  </si>
  <si>
    <t>0712610</t>
  </si>
  <si>
    <t>Einsteckrohr Motorseite, G30E, 250x260</t>
  </si>
  <si>
    <t>0712611</t>
  </si>
  <si>
    <t>Einsteckrohr Motorseite, G30, 250x260</t>
  </si>
  <si>
    <t>0712612</t>
  </si>
  <si>
    <t>Seitendeckel links, Geh. 250x260</t>
  </si>
  <si>
    <t>0712613</t>
  </si>
  <si>
    <t>Seitendeckel rechts, Geh. 250x260</t>
  </si>
  <si>
    <t>0712614</t>
  </si>
  <si>
    <t>Gegenlagerblech kpl. für Gehäuse 250x260</t>
  </si>
  <si>
    <t>0712615</t>
  </si>
  <si>
    <t>Gegenlagerplatte komplett, Geh.250x260</t>
  </si>
  <si>
    <t>0712616</t>
  </si>
  <si>
    <t>Lagerblech Motorseite, G30/G30E, 250x260</t>
  </si>
  <si>
    <t>0712617</t>
  </si>
  <si>
    <t>Lagerblech Motorseite, G45_G120, 250x260</t>
  </si>
  <si>
    <t>0712618</t>
  </si>
  <si>
    <t>untere Blende einteilig, Geh. 250x260</t>
  </si>
  <si>
    <t>0712619</t>
  </si>
  <si>
    <t>Untere Blende links, Geh. 250x260</t>
  </si>
  <si>
    <t>0712620</t>
  </si>
  <si>
    <t>Untere Blende rechts, Geh. 250x260</t>
  </si>
  <si>
    <t>0712621</t>
  </si>
  <si>
    <t>Winkelblende, Wand, einteilig, 250x260</t>
  </si>
  <si>
    <t>0712622</t>
  </si>
  <si>
    <t>Winkelblende, Wand, links, 250x260</t>
  </si>
  <si>
    <t>0712623</t>
  </si>
  <si>
    <t>Winkelblende, Wand, rechts, 250x260</t>
  </si>
  <si>
    <t>0712624</t>
  </si>
  <si>
    <t>Stoßverbinder Winkelblende, 250x260</t>
  </si>
  <si>
    <t>0712625</t>
  </si>
  <si>
    <t>Stoßverbinder untere Blende, Geh.250x260</t>
  </si>
  <si>
    <t>0712626</t>
  </si>
  <si>
    <t>Konsole Oberteil, 250x260</t>
  </si>
  <si>
    <t>0712627</t>
  </si>
  <si>
    <t>Konsole Unterteil, Geh. 250x260</t>
  </si>
  <si>
    <t>0712628</t>
  </si>
  <si>
    <t>Konsole Oberteil, Deckenmontage, 250x260</t>
  </si>
  <si>
    <t>0712629</t>
  </si>
  <si>
    <t>Winkelblende, Decke, einteilig, 250x260</t>
  </si>
  <si>
    <t>0712630</t>
  </si>
  <si>
    <t>Winkelblende links, Decke, 250x260</t>
  </si>
  <si>
    <t>0712631</t>
  </si>
  <si>
    <t>Winkelblende rechts, Decke, 250x260</t>
  </si>
  <si>
    <t>0712632</t>
  </si>
  <si>
    <t>Loch-u.Gewindleiste_Zusammenbau</t>
  </si>
  <si>
    <t>0712633</t>
  </si>
  <si>
    <t>Stoßverbinder Gerade Blende, 250x260</t>
  </si>
  <si>
    <t>0712634</t>
  </si>
  <si>
    <t>Endumlenkung komplett links</t>
  </si>
  <si>
    <t>0712635</t>
  </si>
  <si>
    <t>Endumlenkung kompl. rechts</t>
  </si>
  <si>
    <t>0712636</t>
  </si>
  <si>
    <t>Endumlenkung komplett 2teilig links</t>
  </si>
  <si>
    <t>0712637</t>
  </si>
  <si>
    <t>Endumlenkung kompl. 2teilig rechts</t>
  </si>
  <si>
    <t>0712638</t>
  </si>
  <si>
    <t>Führungsschiene 300 Anf kompl. Laibung</t>
  </si>
  <si>
    <t>0712639</t>
  </si>
  <si>
    <t>Führungsschiene 300 Anfang kompl. laibun</t>
  </si>
  <si>
    <t>0712640</t>
  </si>
  <si>
    <t>Führungsschiene 300 Anfang kompl. decke</t>
  </si>
  <si>
    <t>0712641</t>
  </si>
  <si>
    <t>Führungsschiene 300 Anfang kompl.decke</t>
  </si>
  <si>
    <t>0712642</t>
  </si>
  <si>
    <t>Führungsschiene 300 end kompl. laibung</t>
  </si>
  <si>
    <t>0712643</t>
  </si>
  <si>
    <t>Führungsschiene 300 en kompl. laibung</t>
  </si>
  <si>
    <t>0712644</t>
  </si>
  <si>
    <t>Führungsschiene 300 mitte kompl. laibung</t>
  </si>
  <si>
    <t>0712645</t>
  </si>
  <si>
    <t>0712646</t>
  </si>
  <si>
    <t>Führungsschiene 300 mitte kompl. decke</t>
  </si>
  <si>
    <t>0712647</t>
  </si>
  <si>
    <t>0712648</t>
  </si>
  <si>
    <t>Führungsschiene 300 Einz kompl. laibung</t>
  </si>
  <si>
    <t>0712649</t>
  </si>
  <si>
    <t>0712650</t>
  </si>
  <si>
    <t>Führungsschiene 300 Einz kompl. decke</t>
  </si>
  <si>
    <t>0712651</t>
  </si>
  <si>
    <t>0712652</t>
  </si>
  <si>
    <t>Gasfederkantung</t>
  </si>
  <si>
    <t>0712653</t>
  </si>
  <si>
    <t>Führungsschiene Anfang kompl. Links Laib</t>
  </si>
  <si>
    <t>0712654</t>
  </si>
  <si>
    <t>Führungsschiene Anfang kompl. Rechts Lai</t>
  </si>
  <si>
    <t>0712655</t>
  </si>
  <si>
    <t>Führungsschiene Anfang kompl. Links Deck</t>
  </si>
  <si>
    <t>0712656</t>
  </si>
  <si>
    <t>Führungsschiene Anfang kompl. Rechts Dec</t>
  </si>
  <si>
    <t>0712657</t>
  </si>
  <si>
    <t>Führungsschiene End kompl. Links Laibung</t>
  </si>
  <si>
    <t>0712658</t>
  </si>
  <si>
    <t>Führungsschiene End kompl. Rechts Laibun</t>
  </si>
  <si>
    <t>0712659</t>
  </si>
  <si>
    <t>Führungsschiene End kompl. Links Decke</t>
  </si>
  <si>
    <t>0712660</t>
  </si>
  <si>
    <t>Führungsschiene End kompl. Rechts Decke</t>
  </si>
  <si>
    <t>0712661</t>
  </si>
  <si>
    <t>Führungsschiene mitte kompl. Links Laibu</t>
  </si>
  <si>
    <t>0712662</t>
  </si>
  <si>
    <t>Führungsschiene mitte kompl. Rechts Laib</t>
  </si>
  <si>
    <t>0712663</t>
  </si>
  <si>
    <t>Führungsschiene mitte kompl. Links Decke</t>
  </si>
  <si>
    <t>0712664</t>
  </si>
  <si>
    <t>Führungsschiene mitte kompl. Rechts Deck</t>
  </si>
  <si>
    <t>0712665</t>
  </si>
  <si>
    <t>Führungsschiene Einzeln kompl. Links Lai</t>
  </si>
  <si>
    <t>0712666</t>
  </si>
  <si>
    <t>Führungsschiene Einzeln kompl. Rechts La</t>
  </si>
  <si>
    <t>0712667</t>
  </si>
  <si>
    <t>Führungsschiene Einzeln kompl. Links Dec</t>
  </si>
  <si>
    <t>0712668</t>
  </si>
  <si>
    <t>Führungsschiene Einzeln kompl. Rechts De</t>
  </si>
  <si>
    <t>0712669</t>
  </si>
  <si>
    <t>Einsteckrohr 120/70 komplett, G120E</t>
  </si>
  <si>
    <t>0712670</t>
  </si>
  <si>
    <t>Gegenlagerplatte 290x360(Blech), Mot. li</t>
  </si>
  <si>
    <t>0712671</t>
  </si>
  <si>
    <t>Promat-Kleber K84/16                                  6</t>
  </si>
  <si>
    <t>0712672</t>
  </si>
  <si>
    <t>Winkelblende fest, Geh.270x320</t>
  </si>
  <si>
    <t>0712673</t>
  </si>
  <si>
    <t>Winkelblende, Wandmon,einteilig, 270x320</t>
  </si>
  <si>
    <t>0712674</t>
  </si>
  <si>
    <t>Winkelblende, Wandmon, Anfang, 270x320</t>
  </si>
  <si>
    <t>0712675</t>
  </si>
  <si>
    <t>Winkelblende, Wandmon, Mittel, 270x320</t>
  </si>
  <si>
    <t>0712676</t>
  </si>
  <si>
    <t>Winkelblende,Wandmon,Endgeh,270x320</t>
  </si>
  <si>
    <t>0712677</t>
  </si>
  <si>
    <t>Winkelblende,Deckenmon,einzel,270x320</t>
  </si>
  <si>
    <t>0712678</t>
  </si>
  <si>
    <t>Winkelblende,Deckenmon,Anfang,270x320</t>
  </si>
  <si>
    <t>0712679</t>
  </si>
  <si>
    <t>Winkelblende,Deckenmon,Mittel,270x320</t>
  </si>
  <si>
    <t>0712680</t>
  </si>
  <si>
    <t>Winkelblende,Deckenmon,Endgeh,270x320</t>
  </si>
  <si>
    <t>0712681</t>
  </si>
  <si>
    <t>Untere Blende, einteilig, Geh. 270x320</t>
  </si>
  <si>
    <t>0712682</t>
  </si>
  <si>
    <t>untere Blende, Anfang, Geh. 270x320</t>
  </si>
  <si>
    <t>0712683</t>
  </si>
  <si>
    <t>untere Blende, Mittel, Geh. 270x320</t>
  </si>
  <si>
    <t>0712684</t>
  </si>
  <si>
    <t>untere Blende, Endgeh, Geh. 270x320</t>
  </si>
  <si>
    <t>0712685</t>
  </si>
  <si>
    <t>Gerade Blende, einteilig, Geh. 270x320</t>
  </si>
  <si>
    <t>0712686</t>
  </si>
  <si>
    <t>Gerade Blende, Anfang, Geh. 270x320</t>
  </si>
  <si>
    <t>0712687</t>
  </si>
  <si>
    <t>Gerade Blende, Mittel, Geh. 270x320</t>
  </si>
  <si>
    <t>0712688</t>
  </si>
  <si>
    <t>Gerade Blende, Endgeh, Geh. 270x320</t>
  </si>
  <si>
    <t>0712689</t>
  </si>
  <si>
    <t>Versteifungsspange, einteilig</t>
  </si>
  <si>
    <t>0712690</t>
  </si>
  <si>
    <t>Gegenlagerplatte kpl, Mot links,270x320</t>
  </si>
  <si>
    <t>0712691</t>
  </si>
  <si>
    <t>Gegenlagerplatte kpl, Mot rechts,270x320</t>
  </si>
  <si>
    <t>0712692</t>
  </si>
  <si>
    <t>Motorrohr G120</t>
  </si>
  <si>
    <t>0712693</t>
  </si>
  <si>
    <t>Winkelblende, einteilig, 270x320</t>
  </si>
  <si>
    <t>0712694</t>
  </si>
  <si>
    <t>Winkelblende, Anfangsgehäuse, 270x320</t>
  </si>
  <si>
    <t>0712695</t>
  </si>
  <si>
    <t>Winkelblende, Endgehäuse, 270x320</t>
  </si>
  <si>
    <t>0712696</t>
  </si>
  <si>
    <t>Untere Blende, einteilig, 270x320</t>
  </si>
  <si>
    <t>0712697</t>
  </si>
  <si>
    <t>Untere Blende, Anfangsgehäuse, 270x320</t>
  </si>
  <si>
    <t>0712698</t>
  </si>
  <si>
    <t>Untere Blende, Endgehäuse, 270x320</t>
  </si>
  <si>
    <t>0712699</t>
  </si>
  <si>
    <t>Stoßverbinder, untere Blende, 270x320</t>
  </si>
  <si>
    <t>0712700</t>
  </si>
  <si>
    <t>Stoßverbinder, Winkelblende, 270x320</t>
  </si>
  <si>
    <t>0712701</t>
  </si>
  <si>
    <t>Seitendeckel, Mot. links, Gegenseite kpl              1</t>
  </si>
  <si>
    <t>0712702</t>
  </si>
  <si>
    <t>Seitendeckel Mot re, Gegenseite, kpl.</t>
  </si>
  <si>
    <t>0712703</t>
  </si>
  <si>
    <t>Führungsschiene Zusammenbau</t>
  </si>
  <si>
    <t>0712704</t>
  </si>
  <si>
    <t>Dichtprofil Wandseite Zusammenbau</t>
  </si>
  <si>
    <t>0712705</t>
  </si>
  <si>
    <t>Kettenumlenkung kl Kette einfach Uni-B</t>
  </si>
  <si>
    <t>0712706</t>
  </si>
  <si>
    <t>Kantung Kettenumlenkung kl Kette Uni-B</t>
  </si>
  <si>
    <t>0712707</t>
  </si>
  <si>
    <t>Führungsschiene komplett</t>
  </si>
  <si>
    <t>0712709</t>
  </si>
  <si>
    <t>Führungsschiene Basisprofil</t>
  </si>
  <si>
    <t>0712710</t>
  </si>
  <si>
    <t>Führungsschiene Deckprofil 1</t>
  </si>
  <si>
    <t>0712711</t>
  </si>
  <si>
    <t>Führungsschiene Deckprofil 2</t>
  </si>
  <si>
    <t>0712712</t>
  </si>
  <si>
    <t>FS-H Duplex Führungschiene links</t>
  </si>
  <si>
    <t>0712713</t>
  </si>
  <si>
    <t>Abschlusswanne</t>
  </si>
  <si>
    <t>0712714</t>
  </si>
  <si>
    <t>Abschlusswanne mit Führungsausschnitt</t>
  </si>
  <si>
    <t>0712715</t>
  </si>
  <si>
    <t>Abschlusswanne oberes Eckstück</t>
  </si>
  <si>
    <t>0712716</t>
  </si>
  <si>
    <t>Abschlusswanne unteres Eckstück</t>
  </si>
  <si>
    <t>0712717</t>
  </si>
  <si>
    <t>Abschlusswanne Wannenblende 90°</t>
  </si>
  <si>
    <t>0712718</t>
  </si>
  <si>
    <t>Abschlusswanne Wannenwinkel 90°</t>
  </si>
  <si>
    <t>0712719</t>
  </si>
  <si>
    <t>Kombikonsole Oberteil</t>
  </si>
  <si>
    <t>0712720</t>
  </si>
  <si>
    <t>Kombikonsole Unterteil 1</t>
  </si>
  <si>
    <t>0712721</t>
  </si>
  <si>
    <t>Kombikonsole Unterteil 2</t>
  </si>
  <si>
    <t>0712722</t>
  </si>
  <si>
    <t>Motoraufnahme schwimmend</t>
  </si>
  <si>
    <t>0712723</t>
  </si>
  <si>
    <t>Motorführungsplatte</t>
  </si>
  <si>
    <t>0712724</t>
  </si>
  <si>
    <t>Gegenlagerkantung</t>
  </si>
  <si>
    <t>0712725</t>
  </si>
  <si>
    <t>Auflagewinkel</t>
  </si>
  <si>
    <t>0712726</t>
  </si>
  <si>
    <t>Höhenanschlag aussen</t>
  </si>
  <si>
    <t>0712727</t>
  </si>
  <si>
    <t>Seitenanschlag</t>
  </si>
  <si>
    <t>0712728</t>
  </si>
  <si>
    <t>Unterer Verbinder</t>
  </si>
  <si>
    <t>0712729</t>
  </si>
  <si>
    <t>Oberer Verbinder</t>
  </si>
  <si>
    <t>0712730</t>
  </si>
  <si>
    <t>Gurtklemmspange</t>
  </si>
  <si>
    <t>0712731</t>
  </si>
  <si>
    <t>Blende innen und aussen</t>
  </si>
  <si>
    <t>0712732</t>
  </si>
  <si>
    <t>Blenden Stossunterleger</t>
  </si>
  <si>
    <t>0712733</t>
  </si>
  <si>
    <t>Abhängungstraverse</t>
  </si>
  <si>
    <t>0712734</t>
  </si>
  <si>
    <t>Abhängungstraverse Ecke</t>
  </si>
  <si>
    <t>0712735</t>
  </si>
  <si>
    <t>Abhängungsverbinder</t>
  </si>
  <si>
    <t>0712736</t>
  </si>
  <si>
    <t>Abhängungsverbinder Ecke</t>
  </si>
  <si>
    <t>0712737</t>
  </si>
  <si>
    <t>C-Abhängungsschiene</t>
  </si>
  <si>
    <t>0712738</t>
  </si>
  <si>
    <t>Längsabhängung</t>
  </si>
  <si>
    <t>0712739</t>
  </si>
  <si>
    <t>Abhängungsklemme</t>
  </si>
  <si>
    <t>0712740</t>
  </si>
  <si>
    <t>Gewebeanbindung</t>
  </si>
  <si>
    <t>0712741</t>
  </si>
  <si>
    <t>Gewebeanbindung Ecke</t>
  </si>
  <si>
    <t>0712742</t>
  </si>
  <si>
    <t>Gewebeklemmleiste mit Gewinde</t>
  </si>
  <si>
    <t>0712743</t>
  </si>
  <si>
    <t>Gewebeklemmleiste ohne Gewinde</t>
  </si>
  <si>
    <t>0712744</t>
  </si>
  <si>
    <t>Klemmblech</t>
  </si>
  <si>
    <t>0712745</t>
  </si>
  <si>
    <t>Klemmschiene</t>
  </si>
  <si>
    <t>0712746</t>
  </si>
  <si>
    <t>Seiten U-Halter</t>
  </si>
  <si>
    <t>0712747</t>
  </si>
  <si>
    <t>Profilklemme</t>
  </si>
  <si>
    <t>0712748</t>
  </si>
  <si>
    <t>Winkelgetriebe Unterteil einteilig, G225</t>
  </si>
  <si>
    <t>0712749</t>
  </si>
  <si>
    <t>Gegenlagerplatte, Motor re, 285x200</t>
  </si>
  <si>
    <t>0712750</t>
  </si>
  <si>
    <t>C-Prof. 260mm Manschette</t>
  </si>
  <si>
    <t>0712751</t>
  </si>
  <si>
    <t>Verbindungsst. C-Pro 260mm Manschette</t>
  </si>
  <si>
    <t>0712752</t>
  </si>
  <si>
    <t>0712753</t>
  </si>
  <si>
    <t>0712754</t>
  </si>
  <si>
    <t>Winkel Schwenkrolle</t>
  </si>
  <si>
    <t>0712758</t>
  </si>
  <si>
    <t>0712759</t>
  </si>
  <si>
    <t>0712760</t>
  </si>
  <si>
    <t>0712761</t>
  </si>
  <si>
    <t>0712762</t>
  </si>
  <si>
    <t>Einlaufkantung Anfang, Abschlussleiste</t>
  </si>
  <si>
    <t>0712763</t>
  </si>
  <si>
    <t>Einlaufkantung Mitte, Abschlussleiste</t>
  </si>
  <si>
    <t>0712764</t>
  </si>
  <si>
    <t>Einlaufkantung Ende, Abschlussleiste</t>
  </si>
  <si>
    <t>0712765</t>
  </si>
  <si>
    <t>Spange einteilig Führungsschiene</t>
  </si>
  <si>
    <t>0712766</t>
  </si>
  <si>
    <t>Einfachkadergelenk, komplett</t>
  </si>
  <si>
    <t>0712767</t>
  </si>
  <si>
    <t>Flaschplatte für Gelenkwelle GW75                     1</t>
  </si>
  <si>
    <t>0712768</t>
  </si>
  <si>
    <t>Distanzplatte Haltemagnet GD50</t>
  </si>
  <si>
    <t>0712769</t>
  </si>
  <si>
    <t>Halter komplett für Gasdruckfeder</t>
  </si>
  <si>
    <t>0712770</t>
  </si>
  <si>
    <t>Umlenkung für Gasdruckfeder</t>
  </si>
  <si>
    <t>0712771</t>
  </si>
  <si>
    <t>Einsteckrohr 50/78, Motorseite, G30E</t>
  </si>
  <si>
    <t>0712773</t>
  </si>
  <si>
    <t>Verstärkung-U-Profil Verbinder</t>
  </si>
  <si>
    <t>0712774</t>
  </si>
  <si>
    <t>Vormontage des Endanschlag auf</t>
  </si>
  <si>
    <t>0712776</t>
  </si>
  <si>
    <t>Senderhalter, Kontaktleiste</t>
  </si>
  <si>
    <t>0712777</t>
  </si>
  <si>
    <t>Fensterausschnitt &amp; Adeckklappe, SKL</t>
  </si>
  <si>
    <t>0712778</t>
  </si>
  <si>
    <t>Einsteckrohr 70/133, ohne Mitnehmer                   1</t>
  </si>
  <si>
    <t>0712779</t>
  </si>
  <si>
    <t>Verbingungswinkel</t>
  </si>
  <si>
    <t>0712780</t>
  </si>
  <si>
    <t>Bodenblech, Aluständer, BG1</t>
  </si>
  <si>
    <t>0712781</t>
  </si>
  <si>
    <t>Stützblech links, Aluständer, BG1</t>
  </si>
  <si>
    <t>0712782</t>
  </si>
  <si>
    <t>Stützblech rechts, Aluständer, BG 1</t>
  </si>
  <si>
    <t>0712783</t>
  </si>
  <si>
    <t>oberes Verkleidungsblech, Aluständer,BG1</t>
  </si>
  <si>
    <t>0712784</t>
  </si>
  <si>
    <t>unteres Verkleidungsblech,Aluständer,BG1</t>
  </si>
  <si>
    <t>0712785</t>
  </si>
  <si>
    <t>Profil 80x40 (3E E.LP), Aluständer, BG1</t>
  </si>
  <si>
    <t>0712786</t>
  </si>
  <si>
    <t>Profil 40x40 (4E LP), Aluständer, BG 1</t>
  </si>
  <si>
    <t>0712788</t>
  </si>
  <si>
    <t>Wickel mit Gewbe und Lagerplatten</t>
  </si>
  <si>
    <t>0712789</t>
  </si>
  <si>
    <t>Seitendeckel, Mot. re, Gegenseite, kpl.</t>
  </si>
  <si>
    <t>0712790</t>
  </si>
  <si>
    <t>Einsteckrohr 70/203, Motorseite</t>
  </si>
  <si>
    <t>0712791</t>
  </si>
  <si>
    <t>Initiatorhaltewinkel M18</t>
  </si>
  <si>
    <t>0712792</t>
  </si>
  <si>
    <t>Abschlussleiste 145 x 5 Gewinde                       1</t>
  </si>
  <si>
    <t>0712793</t>
  </si>
  <si>
    <t>Abschlussleiste 145 x 5 Loch</t>
  </si>
  <si>
    <t>0712794</t>
  </si>
  <si>
    <t>Initiatorblech</t>
  </si>
  <si>
    <t>0712795</t>
  </si>
  <si>
    <t>Vormontage des Typenschildes</t>
  </si>
  <si>
    <t>0712796</t>
  </si>
  <si>
    <t>Innere Blende Ecke links, Geh. 450</t>
  </si>
  <si>
    <t>0712797</t>
  </si>
  <si>
    <t>Innere Blende, Mittelstück, Geh. 450</t>
  </si>
  <si>
    <t>0712798</t>
  </si>
  <si>
    <t>Innere Blende, Ecke links, Geh. 450</t>
  </si>
  <si>
    <t>0712799</t>
  </si>
  <si>
    <t>Schablone für Spange FS 105V</t>
  </si>
  <si>
    <t>0712801</t>
  </si>
  <si>
    <t>Einsteckrohr, Motorseite, Rohr 70/100</t>
  </si>
  <si>
    <t>0712802</t>
  </si>
  <si>
    <t>Windenhalter</t>
  </si>
  <si>
    <t>0712803</t>
  </si>
  <si>
    <t>Winkelblende Anfang, Wandmon, 175x175</t>
  </si>
  <si>
    <t>0712804</t>
  </si>
  <si>
    <t>Winkelblende Anfang, Decken, 175x175</t>
  </si>
  <si>
    <t>0712805</t>
  </si>
  <si>
    <t>Vorderblende Anfang, Geh.175x175</t>
  </si>
  <si>
    <t>0712806</t>
  </si>
  <si>
    <t>Verriegelungsbolzen, Abschlussleiste</t>
  </si>
  <si>
    <t>0712807</t>
  </si>
  <si>
    <t>untere Blende Anfanggehäuse</t>
  </si>
  <si>
    <t>0712808</t>
  </si>
  <si>
    <t>Verriegelungsblech 1, Abschlussleiste</t>
  </si>
  <si>
    <t>0712809</t>
  </si>
  <si>
    <t>Verriegelungsblech 2, Abschlussleiste</t>
  </si>
  <si>
    <t>0712810</t>
  </si>
  <si>
    <t>Verriegelungsblech 3, Abschlussleiste</t>
  </si>
  <si>
    <t>0712811</t>
  </si>
  <si>
    <t>Verriegelungsblech 4, Abschlussleiste</t>
  </si>
  <si>
    <t>0712812</t>
  </si>
  <si>
    <t>Verriegelungsblech 5, Abschlussleiste</t>
  </si>
  <si>
    <t>0712814</t>
  </si>
  <si>
    <t>Untere Blende, Anfangsgehäuse, 2015</t>
  </si>
  <si>
    <t>0712815</t>
  </si>
  <si>
    <t>untere Blende, Mittelstück, 2015</t>
  </si>
  <si>
    <t>0712816</t>
  </si>
  <si>
    <t>untere Blende, Endgehäuse, 2015</t>
  </si>
  <si>
    <t>0712817</t>
  </si>
  <si>
    <t>untere Blende, einteilig, 2015</t>
  </si>
  <si>
    <t>0712818</t>
  </si>
  <si>
    <t>Befestigungsplatte, untere Blende, 2015</t>
  </si>
  <si>
    <t>0712819</t>
  </si>
  <si>
    <t>Vormontage der Befestigungsplatte</t>
  </si>
  <si>
    <t>0730010</t>
  </si>
  <si>
    <t>0730026</t>
  </si>
  <si>
    <t>0730027</t>
  </si>
  <si>
    <t>0730028</t>
  </si>
  <si>
    <t>0730029</t>
  </si>
  <si>
    <t>0730030</t>
  </si>
  <si>
    <t>0730036</t>
  </si>
  <si>
    <t>0730037</t>
  </si>
  <si>
    <t>0730038</t>
  </si>
  <si>
    <t>0730039</t>
  </si>
  <si>
    <t>0730040</t>
  </si>
  <si>
    <t>0730041</t>
  </si>
  <si>
    <t>0730042</t>
  </si>
  <si>
    <t>0730043</t>
  </si>
  <si>
    <t>0730044</t>
  </si>
  <si>
    <t>0730045</t>
  </si>
  <si>
    <t>0730052</t>
  </si>
  <si>
    <t>0730053</t>
  </si>
  <si>
    <t>0730054</t>
  </si>
  <si>
    <t>0730181</t>
  </si>
  <si>
    <t>0730184</t>
  </si>
  <si>
    <t>0730247</t>
  </si>
  <si>
    <t>0730248</t>
  </si>
  <si>
    <t>0730252</t>
  </si>
  <si>
    <t>0730253</t>
  </si>
  <si>
    <t>0730254</t>
  </si>
  <si>
    <t>0730255</t>
  </si>
  <si>
    <t>0730257</t>
  </si>
  <si>
    <t>0730258</t>
  </si>
  <si>
    <t>0730259</t>
  </si>
  <si>
    <t>Winkel-Blende 350x260</t>
  </si>
  <si>
    <t>0730260</t>
  </si>
  <si>
    <t>Gerade-Blende 350x260</t>
  </si>
  <si>
    <t>0730261</t>
  </si>
  <si>
    <t>Untere-Blende 350x260</t>
  </si>
  <si>
    <t>0730276</t>
  </si>
  <si>
    <t>Kugellagerblech Loch Rohr 108x4</t>
  </si>
  <si>
    <t>0730277</t>
  </si>
  <si>
    <t>Kugellagerblech Gewinde Rohr 108x4</t>
  </si>
  <si>
    <t>0730278</t>
  </si>
  <si>
    <t>Gegenlager komplett für Rohr 108x4</t>
  </si>
  <si>
    <t>0730279</t>
  </si>
  <si>
    <t>0730280</t>
  </si>
  <si>
    <t>Motorlagerplatte 350x260 Motor links</t>
  </si>
  <si>
    <t>0730281</t>
  </si>
  <si>
    <t>Gegenlagerplatte 350x260</t>
  </si>
  <si>
    <t>0730286</t>
  </si>
  <si>
    <t>0730293</t>
  </si>
  <si>
    <t>Motorlagerplatte rechts klp. 350x260</t>
  </si>
  <si>
    <t>0730294</t>
  </si>
  <si>
    <t>Motorlagerplatte links, klp. 350x260</t>
  </si>
  <si>
    <t>0730295</t>
  </si>
  <si>
    <t>Gegenlagerplatte rechts, kpl. Rillen-</t>
  </si>
  <si>
    <t>0730296</t>
  </si>
  <si>
    <t>Gegenlagerplatte links, kpl. Rillen-</t>
  </si>
  <si>
    <t>0730297</t>
  </si>
  <si>
    <t>0730298</t>
  </si>
  <si>
    <t>0730299</t>
  </si>
  <si>
    <t>0730300</t>
  </si>
  <si>
    <t>Gegenlager  Rohr 133x4 kpl. Edelstahl                 2</t>
  </si>
  <si>
    <t>0730425</t>
  </si>
  <si>
    <t>0730426</t>
  </si>
  <si>
    <t>0730427</t>
  </si>
  <si>
    <t>0730428</t>
  </si>
  <si>
    <t>0730432</t>
  </si>
  <si>
    <t>Feststellwippe 4 ab Breite 1000mm</t>
  </si>
  <si>
    <t>0730433</t>
  </si>
  <si>
    <t>Blende Gehäuse ab Breite = 1000mm</t>
  </si>
  <si>
    <t>0730445</t>
  </si>
  <si>
    <t>0730446</t>
  </si>
  <si>
    <t>0730448</t>
  </si>
  <si>
    <t>0730450</t>
  </si>
  <si>
    <t>0730452</t>
  </si>
  <si>
    <t>0730462</t>
  </si>
  <si>
    <t>0730463</t>
  </si>
  <si>
    <t>0730468</t>
  </si>
  <si>
    <t>0730469</t>
  </si>
  <si>
    <t>0730471</t>
  </si>
  <si>
    <t>0730679</t>
  </si>
  <si>
    <t>0730707</t>
  </si>
  <si>
    <t>0730708</t>
  </si>
  <si>
    <t>0730711</t>
  </si>
  <si>
    <t>Deckprofil Raumseite rechts</t>
  </si>
  <si>
    <t>0730712</t>
  </si>
  <si>
    <t>Deckprofil Raumseite links</t>
  </si>
  <si>
    <t>0730730</t>
  </si>
  <si>
    <t>0730735</t>
  </si>
  <si>
    <t>0730736</t>
  </si>
  <si>
    <t>0730737</t>
  </si>
  <si>
    <t>0730738</t>
  </si>
  <si>
    <t>0730742</t>
  </si>
  <si>
    <t>0730744</t>
  </si>
  <si>
    <t>0730745</t>
  </si>
  <si>
    <t>0730746</t>
  </si>
  <si>
    <t>0730747</t>
  </si>
  <si>
    <t>0730748</t>
  </si>
  <si>
    <t>0730749</t>
  </si>
  <si>
    <t>0730750</t>
  </si>
  <si>
    <t>0730751</t>
  </si>
  <si>
    <t>0730752</t>
  </si>
  <si>
    <t>0730753</t>
  </si>
  <si>
    <t>0730754</t>
  </si>
  <si>
    <t>0730755</t>
  </si>
  <si>
    <t>0730756</t>
  </si>
  <si>
    <t>0730991</t>
  </si>
  <si>
    <t>0731017</t>
  </si>
  <si>
    <t>Stoßverbinder Gehäuse 235x290</t>
  </si>
  <si>
    <t>0731025</t>
  </si>
  <si>
    <t>0731034</t>
  </si>
  <si>
    <t>Endschalterfahne mittel Edelstahl</t>
  </si>
  <si>
    <t>0731065</t>
  </si>
  <si>
    <t>0731075</t>
  </si>
  <si>
    <t>Endblech für Profil 105x75 (Loch)</t>
  </si>
  <si>
    <t>0731077</t>
  </si>
  <si>
    <t>Endblech für Profil 105x50 (Loch)</t>
  </si>
  <si>
    <t>0731096</t>
  </si>
  <si>
    <t>0731109</t>
  </si>
  <si>
    <t>Seitendeckel Mot. li Gegenseite fest kpl</t>
  </si>
  <si>
    <t>0731110</t>
  </si>
  <si>
    <t>Seitendeckel Mot. re Gegenseite fest, kl</t>
  </si>
  <si>
    <t>0731111</t>
  </si>
  <si>
    <t>Befestigungskonsole unten fest, 270x320</t>
  </si>
  <si>
    <t>0731112</t>
  </si>
  <si>
    <t>0731120</t>
  </si>
  <si>
    <t>0731161</t>
  </si>
  <si>
    <t>0731162</t>
  </si>
  <si>
    <t>0731163</t>
  </si>
  <si>
    <t>0731164</t>
  </si>
  <si>
    <t>0731165</t>
  </si>
  <si>
    <t>0731166</t>
  </si>
  <si>
    <t>0731167</t>
  </si>
  <si>
    <t>0731168</t>
  </si>
  <si>
    <t>0731169</t>
  </si>
  <si>
    <t>0731170</t>
  </si>
  <si>
    <t>0731171</t>
  </si>
  <si>
    <t>0731172</t>
  </si>
  <si>
    <t>0731173</t>
  </si>
  <si>
    <t>0731174</t>
  </si>
  <si>
    <t>0731175</t>
  </si>
  <si>
    <t>0731176</t>
  </si>
  <si>
    <t>0731177</t>
  </si>
  <si>
    <t>0731178</t>
  </si>
  <si>
    <t>0731179</t>
  </si>
  <si>
    <t>0731180</t>
  </si>
  <si>
    <t>0731181</t>
  </si>
  <si>
    <t>0731182</t>
  </si>
  <si>
    <t>0731183</t>
  </si>
  <si>
    <t>0731184</t>
  </si>
  <si>
    <t>0731185</t>
  </si>
  <si>
    <t>0731186</t>
  </si>
  <si>
    <t>0731187</t>
  </si>
  <si>
    <t>0731188</t>
  </si>
  <si>
    <t>0731189</t>
  </si>
  <si>
    <t>0731190</t>
  </si>
  <si>
    <t>0731191</t>
  </si>
  <si>
    <t>0731192</t>
  </si>
  <si>
    <t>0731193</t>
  </si>
  <si>
    <t>0731194</t>
  </si>
  <si>
    <t>0731196</t>
  </si>
  <si>
    <t>0731198</t>
  </si>
  <si>
    <t>0731215</t>
  </si>
  <si>
    <t>Haltescheibe Führungsstange V2A ung.</t>
  </si>
  <si>
    <t>0731223</t>
  </si>
  <si>
    <t>0731224</t>
  </si>
  <si>
    <t>Führungsblech schwere Abschlussleiste</t>
  </si>
  <si>
    <t>0731225</t>
  </si>
  <si>
    <t>Spangenstoßverbinder, FS 80E &amp; FS 105E</t>
  </si>
  <si>
    <t>0731226</t>
  </si>
  <si>
    <t>Spangenstoßverbinder, FS 80E / FS 105E</t>
  </si>
  <si>
    <t>0731228</t>
  </si>
  <si>
    <t>0731229</t>
  </si>
  <si>
    <t>0731230</t>
  </si>
  <si>
    <t>0731231</t>
  </si>
  <si>
    <t>0731235</t>
  </si>
  <si>
    <t>0731236</t>
  </si>
  <si>
    <t>0731237</t>
  </si>
  <si>
    <t>0731238</t>
  </si>
  <si>
    <t>0731250</t>
  </si>
  <si>
    <t>0731275</t>
  </si>
  <si>
    <t>0731277</t>
  </si>
  <si>
    <t>0731301</t>
  </si>
  <si>
    <t>Scheibe 101,6 x 2 Gegenlager fest</t>
  </si>
  <si>
    <t>0731302</t>
  </si>
  <si>
    <t>Führungsblech 2, Systembreite 1200-2500</t>
  </si>
  <si>
    <t>0731303</t>
  </si>
  <si>
    <t>Scheibe 70 x 2 Gegenlager fest RS/FSA</t>
  </si>
  <si>
    <t>0731304</t>
  </si>
  <si>
    <t>Scheibe 70 x 2 Gegenlager schwim RS/FSA</t>
  </si>
  <si>
    <t>0731337</t>
  </si>
  <si>
    <t>0731357</t>
  </si>
  <si>
    <t>Motorlagerplatte rechts 190x290 Edel-</t>
  </si>
  <si>
    <t>0731358</t>
  </si>
  <si>
    <t>Motorlagerplatte links 190x290 Edel-</t>
  </si>
  <si>
    <t>0731359</t>
  </si>
  <si>
    <t>Gegenlagerplatte 190x290 Edelstahl</t>
  </si>
  <si>
    <t>0731367</t>
  </si>
  <si>
    <t>0731373</t>
  </si>
  <si>
    <t>0731399</t>
  </si>
  <si>
    <t>Scheibe (außen) Gurtaufnahme</t>
  </si>
  <si>
    <t>0731804</t>
  </si>
  <si>
    <t>0731875</t>
  </si>
  <si>
    <t>0731877</t>
  </si>
  <si>
    <t>0731878</t>
  </si>
  <si>
    <t>0731879</t>
  </si>
  <si>
    <t>0731883</t>
  </si>
  <si>
    <t>0731889</t>
  </si>
  <si>
    <t>0731900</t>
  </si>
  <si>
    <t>0731907</t>
  </si>
  <si>
    <t>Motorlagerplatte rechts RSA/Labyrinth</t>
  </si>
  <si>
    <t>0731908</t>
  </si>
  <si>
    <t>0731910</t>
  </si>
  <si>
    <t>Rollenhalter außen links                              2</t>
  </si>
  <si>
    <t>0731911</t>
  </si>
  <si>
    <t>Rollenhalter außen rechts                             2</t>
  </si>
  <si>
    <t>0731912</t>
  </si>
  <si>
    <t>Rollenhalter Mitte                                    2</t>
  </si>
  <si>
    <t>0731919</t>
  </si>
  <si>
    <t>Befestigungskonsole Oberteil 285x200                  5</t>
  </si>
  <si>
    <t>0731936</t>
  </si>
  <si>
    <t>0731950</t>
  </si>
  <si>
    <t>Dichtprofil links für Basisprofil, 105E</t>
  </si>
  <si>
    <t>0731951</t>
  </si>
  <si>
    <t>Dichtprofil rechts für Basisprofil, 150E</t>
  </si>
  <si>
    <t>0732067</t>
  </si>
  <si>
    <t>0732072</t>
  </si>
  <si>
    <t>0732170</t>
  </si>
  <si>
    <t>0732229</t>
  </si>
  <si>
    <t>Winkel für Schieberführungrolle vorn V2A</t>
  </si>
  <si>
    <t>0732325</t>
  </si>
  <si>
    <t>Deckprofil links, FS 160E</t>
  </si>
  <si>
    <t>0732336</t>
  </si>
  <si>
    <t>0732337</t>
  </si>
  <si>
    <t>Basisprofil links, Wandmontage, FS 160E</t>
  </si>
  <si>
    <t>0732338</t>
  </si>
  <si>
    <t>0732339</t>
  </si>
  <si>
    <t>0732340</t>
  </si>
  <si>
    <t>0732341</t>
  </si>
  <si>
    <t>0732342</t>
  </si>
  <si>
    <t>0732343</t>
  </si>
  <si>
    <t>0732344</t>
  </si>
  <si>
    <t>0732345</t>
  </si>
  <si>
    <t>0732346</t>
  </si>
  <si>
    <t>0732348</t>
  </si>
  <si>
    <t>0732504</t>
  </si>
  <si>
    <t>Gegenlagerplatte fest recht, Geh 270x320</t>
  </si>
  <si>
    <t>0732673</t>
  </si>
  <si>
    <t>0732674</t>
  </si>
  <si>
    <t>0732675</t>
  </si>
  <si>
    <t>0732676</t>
  </si>
  <si>
    <t>0732677</t>
  </si>
  <si>
    <t>0732678</t>
  </si>
  <si>
    <t>0732679</t>
  </si>
  <si>
    <t>0732680</t>
  </si>
  <si>
    <t>0732681</t>
  </si>
  <si>
    <t>0732682</t>
  </si>
  <si>
    <t>0732683</t>
  </si>
  <si>
    <t>0732684</t>
  </si>
  <si>
    <t>0732685</t>
  </si>
  <si>
    <t>0732686</t>
  </si>
  <si>
    <t>0732687</t>
  </si>
  <si>
    <t>0732688</t>
  </si>
  <si>
    <t>0732690</t>
  </si>
  <si>
    <t>0732691</t>
  </si>
  <si>
    <t>0733018</t>
  </si>
  <si>
    <t>Verkrallung obers Lamelle &lt;5000 OC</t>
  </si>
  <si>
    <t>0733214</t>
  </si>
  <si>
    <t>Abschlußleistenprofil</t>
  </si>
  <si>
    <t>0734016</t>
  </si>
  <si>
    <t>0734017</t>
  </si>
  <si>
    <t>0734018</t>
  </si>
  <si>
    <t>0734019</t>
  </si>
  <si>
    <t>0734020</t>
  </si>
  <si>
    <t>0734021</t>
  </si>
  <si>
    <t>0734022</t>
  </si>
  <si>
    <t>0734023</t>
  </si>
  <si>
    <t>0734024</t>
  </si>
  <si>
    <t>0734025</t>
  </si>
  <si>
    <t>0734026</t>
  </si>
  <si>
    <t>0734050</t>
  </si>
  <si>
    <t>Haltewinkel für Führschiene 80 Edelstahl</t>
  </si>
  <si>
    <t>0734051</t>
  </si>
  <si>
    <t>0734052</t>
  </si>
  <si>
    <t>0734055</t>
  </si>
  <si>
    <t>Hutkantung für Gummistopper Antrieb Edel</t>
  </si>
  <si>
    <t>0734165</t>
  </si>
  <si>
    <t>0734166</t>
  </si>
  <si>
    <t>0734167</t>
  </si>
  <si>
    <t>0734168</t>
  </si>
  <si>
    <t>0734169</t>
  </si>
  <si>
    <t>0734170</t>
  </si>
  <si>
    <t>0734172</t>
  </si>
  <si>
    <t>0734173</t>
  </si>
  <si>
    <t>0734198</t>
  </si>
  <si>
    <t>Gegenlagerplatte rechts kpl. 190x290</t>
  </si>
  <si>
    <t>0734199</t>
  </si>
  <si>
    <t>Gegenlagerplatte links kpl. 190x290</t>
  </si>
  <si>
    <t>0734220</t>
  </si>
  <si>
    <t>Motorlagerplatte rechts, kpl RSA Laby-</t>
  </si>
  <si>
    <t>0734221</t>
  </si>
  <si>
    <t>Motorlagerplatte links, kpl RSA Laby-</t>
  </si>
  <si>
    <t>0734224</t>
  </si>
  <si>
    <t>Motorlagerplatte rechts komplett</t>
  </si>
  <si>
    <t>0734225</t>
  </si>
  <si>
    <t>Motorlagerplatte links komplett</t>
  </si>
  <si>
    <t>0734226</t>
  </si>
  <si>
    <t>0734240</t>
  </si>
  <si>
    <t>Gegenlagerplatte, Mot li, 270x320(Blech)</t>
  </si>
  <si>
    <t>0734252</t>
  </si>
  <si>
    <t>0734253</t>
  </si>
  <si>
    <t>Motorlagerplatte links 270x320</t>
  </si>
  <si>
    <t>0734287</t>
  </si>
  <si>
    <t>Scheibe für Lagerflansch-Blech Antrieb</t>
  </si>
  <si>
    <t>0734288</t>
  </si>
  <si>
    <t>U-Blech für Lagerflansch-Blech Antrieb</t>
  </si>
  <si>
    <t>0734346</t>
  </si>
  <si>
    <t>Verbindungsblech  Abschlussleiste</t>
  </si>
  <si>
    <t>0734371</t>
  </si>
  <si>
    <t>0734379</t>
  </si>
  <si>
    <t>0734397</t>
  </si>
  <si>
    <t>0734406</t>
  </si>
  <si>
    <t>0734408</t>
  </si>
  <si>
    <t>0734409</t>
  </si>
  <si>
    <t>0734410</t>
  </si>
  <si>
    <t>0734411</t>
  </si>
  <si>
    <t>0734422</t>
  </si>
  <si>
    <t>Aussteifung Wandmontage RSA</t>
  </si>
  <si>
    <t>0734427</t>
  </si>
  <si>
    <t>0734437</t>
  </si>
  <si>
    <t>0734439</t>
  </si>
  <si>
    <t>Knopf RSA/Labyrinth Edelstahl</t>
  </si>
  <si>
    <t>0734447</t>
  </si>
  <si>
    <t>0734448</t>
  </si>
  <si>
    <t>0734454</t>
  </si>
  <si>
    <t>Befestigungswinkel 290x330 RSA Evolution</t>
  </si>
  <si>
    <t>0734459</t>
  </si>
  <si>
    <t>Führungsblech Abschlussleiste RSA</t>
  </si>
  <si>
    <t>0734460</t>
  </si>
  <si>
    <t>Blech für Neoprenedichtung Abschlussleis</t>
  </si>
  <si>
    <t>0734486</t>
  </si>
  <si>
    <t>0734487</t>
  </si>
  <si>
    <t>0734489</t>
  </si>
  <si>
    <t>0734490</t>
  </si>
  <si>
    <t>0734491</t>
  </si>
  <si>
    <t>0734492</t>
  </si>
  <si>
    <t>0734497</t>
  </si>
  <si>
    <t>Befestigungskonsole Unterteil 285x200                 3</t>
  </si>
  <si>
    <t>0734554</t>
  </si>
  <si>
    <t>0734626</t>
  </si>
  <si>
    <t>Abdeckung Moducoil</t>
  </si>
  <si>
    <t>0734648</t>
  </si>
  <si>
    <t>0734649</t>
  </si>
  <si>
    <t>0734650</t>
  </si>
  <si>
    <t>0734651</t>
  </si>
  <si>
    <t>0734652</t>
  </si>
  <si>
    <t>0734653</t>
  </si>
  <si>
    <t>0734654</t>
  </si>
  <si>
    <t>0734655</t>
  </si>
  <si>
    <t>0734656</t>
  </si>
  <si>
    <t>0734657</t>
  </si>
  <si>
    <t>0734658</t>
  </si>
  <si>
    <t>0734659</t>
  </si>
  <si>
    <t>0734661</t>
  </si>
  <si>
    <t>Basisprofil rechts Wandmontage Ecoshield</t>
  </si>
  <si>
    <t>0734666</t>
  </si>
  <si>
    <t>0734667</t>
  </si>
  <si>
    <t>0734684</t>
  </si>
  <si>
    <t>0734686</t>
  </si>
  <si>
    <t>Wickelbefestigung Edelstahl  Ecoshield</t>
  </si>
  <si>
    <t>0734691</t>
  </si>
  <si>
    <t>0734724</t>
  </si>
  <si>
    <t>0734725</t>
  </si>
  <si>
    <t>0734726</t>
  </si>
  <si>
    <t>0734727</t>
  </si>
  <si>
    <t>0734728</t>
  </si>
  <si>
    <t>0734729</t>
  </si>
  <si>
    <t>0734741</t>
  </si>
  <si>
    <t>Dichtprofil links für Basisprofil, 160E</t>
  </si>
  <si>
    <t>0734742</t>
  </si>
  <si>
    <t>0734743</t>
  </si>
  <si>
    <t>Dichtprofil 2 links, FS 160E</t>
  </si>
  <si>
    <t>0734744</t>
  </si>
  <si>
    <t>0734845</t>
  </si>
  <si>
    <t>Handrad</t>
  </si>
  <si>
    <t>0734879</t>
  </si>
  <si>
    <t>0734880</t>
  </si>
  <si>
    <t>0734902</t>
  </si>
  <si>
    <t>Blende Gehäuse Windowshield EW</t>
  </si>
  <si>
    <t>0734903</t>
  </si>
  <si>
    <t>Auslaufkantung Gehäuse</t>
  </si>
  <si>
    <t>0734904</t>
  </si>
  <si>
    <t>Einlaufkantung Windowsshield EW</t>
  </si>
  <si>
    <t>0734905</t>
  </si>
  <si>
    <t>Kantung Führungsschiene - Wandseite re</t>
  </si>
  <si>
    <t>0734906</t>
  </si>
  <si>
    <t>Kantung Führungsschiene - Wandseite li</t>
  </si>
  <si>
    <t>0734907</t>
  </si>
  <si>
    <t>Kantung Führungsschiene - Raumseite re</t>
  </si>
  <si>
    <t>0734908</t>
  </si>
  <si>
    <t>Kantung Führungsschiene - Raumseite li</t>
  </si>
  <si>
    <t>0734909</t>
  </si>
  <si>
    <t>Klemmscheibe für Wickelrohr</t>
  </si>
  <si>
    <t>0734910</t>
  </si>
  <si>
    <t>Führungscheibe für Wickelrohr</t>
  </si>
  <si>
    <t>0734911</t>
  </si>
  <si>
    <t>Feststellwippe 4 bis Breite 1000mm</t>
  </si>
  <si>
    <t>0734912</t>
  </si>
  <si>
    <t>Feststellwippe Teil 2</t>
  </si>
  <si>
    <t>0734913</t>
  </si>
  <si>
    <t>Abdeckblech für Zinnbolzen</t>
  </si>
  <si>
    <t>0734914</t>
  </si>
  <si>
    <t>Klemmvorrichtung für Wickelrohr</t>
  </si>
  <si>
    <t>0734915</t>
  </si>
  <si>
    <t>Basisblech Gehäuse</t>
  </si>
  <si>
    <t>0734917</t>
  </si>
  <si>
    <t>0734935</t>
  </si>
  <si>
    <t>Aussteifung Führungsschiene Boden links</t>
  </si>
  <si>
    <t>0734936</t>
  </si>
  <si>
    <t>Aussteifung Führungsschiene Boden</t>
  </si>
  <si>
    <t>0734973</t>
  </si>
  <si>
    <t>0738005</t>
  </si>
  <si>
    <t>Anschlussrohrarm ECOTUBE V2A</t>
  </si>
  <si>
    <t>0738021</t>
  </si>
  <si>
    <t>Gehäuse für Gurtumlenkung 0834014</t>
  </si>
  <si>
    <t>0738022</t>
  </si>
  <si>
    <t>0738028</t>
  </si>
  <si>
    <t>Kantung für 50 er Führung V2A Uni-B</t>
  </si>
  <si>
    <t>0738100</t>
  </si>
  <si>
    <t>Gehäuse für Kettenumlenkung 1/2x1/8 V2A</t>
  </si>
  <si>
    <t>0738101</t>
  </si>
  <si>
    <t>0738102</t>
  </si>
  <si>
    <t>UNP - Stahl                                           1</t>
  </si>
  <si>
    <t>0738103</t>
  </si>
  <si>
    <t>0738104</t>
  </si>
  <si>
    <t>0738767</t>
  </si>
  <si>
    <t>Seitende.l Mot.re.Gegens. 350x260 komple</t>
  </si>
  <si>
    <t>0738768</t>
  </si>
  <si>
    <t>Seitende.l Mot.li.Gegens. 350x260 komple</t>
  </si>
  <si>
    <t>0741178</t>
  </si>
  <si>
    <t>0741179</t>
  </si>
  <si>
    <t>0741189</t>
  </si>
  <si>
    <t>0741190</t>
  </si>
  <si>
    <t>0741191</t>
  </si>
  <si>
    <t>0741192</t>
  </si>
  <si>
    <t>0741302</t>
  </si>
  <si>
    <t>Scheibe 101,6 x  Gegenlager schwi RS/FSA</t>
  </si>
  <si>
    <t>0799999</t>
  </si>
  <si>
    <t>Sammelartikelnummer für Bleche , Stabsta</t>
  </si>
  <si>
    <t>080063</t>
  </si>
  <si>
    <t>Konsolen OC - Schrauben - Set</t>
  </si>
  <si>
    <t>0801001</t>
  </si>
  <si>
    <t>Danfoss Motor BG10-37/D05LA4                         16</t>
  </si>
  <si>
    <t>0801002</t>
  </si>
  <si>
    <t>Dreh-Stirn-Getrmot nicht mehr i.Programm             40</t>
  </si>
  <si>
    <t>0801003</t>
  </si>
  <si>
    <t>Dreh-Stirn-Getriebemotor , 0,18 KW                   23</t>
  </si>
  <si>
    <t>0801050</t>
  </si>
  <si>
    <t>Antriebssystem Dictator FDC-B für 1flg               91</t>
  </si>
  <si>
    <t>0801150</t>
  </si>
  <si>
    <t>Dreh-Stirn-Getrmot nicht mehr i.Programm             24</t>
  </si>
  <si>
    <t>0801180</t>
  </si>
  <si>
    <t>Dreh-Stirn-Getrmot                                   19</t>
  </si>
  <si>
    <t>0801185</t>
  </si>
  <si>
    <t>Dreh-Stirn-Getrmot nicht mehr i.Programm             14</t>
  </si>
  <si>
    <t>0801186</t>
  </si>
  <si>
    <t>Dichtung für Klemmkästen, 3mm Santoprene</t>
  </si>
  <si>
    <t>0801187</t>
  </si>
  <si>
    <t>Wellenschutzkappe CAPTOP EP 190 / W 20               29</t>
  </si>
  <si>
    <t>0801188</t>
  </si>
  <si>
    <t>Wellenschutzkappe CAPTOP EP 190 / W 25               28</t>
  </si>
  <si>
    <t>0801200</t>
  </si>
  <si>
    <t>Drehstrom-Stirnrad-Getriebemotor                     23</t>
  </si>
  <si>
    <t>0801201</t>
  </si>
  <si>
    <t>Drehstrom-Getriebemotor-0,75 KW-MABM                 11</t>
  </si>
  <si>
    <t>0801202</t>
  </si>
  <si>
    <t>Drehstrom-Getriebemotor-1,5 KW-MABM</t>
  </si>
  <si>
    <t>0801203</t>
  </si>
  <si>
    <t>Drehstrom-Getriebemotor-1,5 KW-MABM komp</t>
  </si>
  <si>
    <t>0801204</t>
  </si>
  <si>
    <t>Flachgetriebemotor für Fahrschacht FAA</t>
  </si>
  <si>
    <t>0801269</t>
  </si>
  <si>
    <t>Flachgetriebe mit angebautem Drehstrom-              29</t>
  </si>
  <si>
    <t>0801270</t>
  </si>
  <si>
    <t>Drehstrom-Getriebemotor-0,18 KW-MABM                 22</t>
  </si>
  <si>
    <t>0801271</t>
  </si>
  <si>
    <t>Drehstrom-Getriebemotor-0,25 KW-MABM                 24</t>
  </si>
  <si>
    <t>0801272</t>
  </si>
  <si>
    <t>Drehstrom-Getriebemotor-0,75 KW-MABM                 23</t>
  </si>
  <si>
    <t>0801273</t>
  </si>
  <si>
    <t>Drehstrom-Getriebemotor-1,5 KW-MABM                  31</t>
  </si>
  <si>
    <t>Drehstrom-Getriebemotor 0,18 kW - MABM               22</t>
  </si>
  <si>
    <t>0801275</t>
  </si>
  <si>
    <t>Motorklemmkasten rechts, Dessa Box                    2</t>
  </si>
  <si>
    <t>0801276</t>
  </si>
  <si>
    <t>Motorklemmkasten links, DessaBox,                     2</t>
  </si>
  <si>
    <t>0801277</t>
  </si>
  <si>
    <t>Flachgetriebemotor ABM, 1,5 KW                       49</t>
  </si>
  <si>
    <t>0801280</t>
  </si>
  <si>
    <t>Drehstrom-Stirnrad-Getriebemotor                     13</t>
  </si>
  <si>
    <t>0801281</t>
  </si>
  <si>
    <t>Drehstrom-Stirnrad-Getriebemotor                     15</t>
  </si>
  <si>
    <t>0801282</t>
  </si>
  <si>
    <t>Drehstrom-Stirnrad-Getriebemotor                     20</t>
  </si>
  <si>
    <t>0801286</t>
  </si>
  <si>
    <t>0801287</t>
  </si>
  <si>
    <t>Dreh-Stirn-Getrmot nicht mehr i.Programm             13</t>
  </si>
  <si>
    <t>0801288</t>
  </si>
  <si>
    <t>Dreh-Stirn-Getrmot nicht mehr i.Programm             25</t>
  </si>
  <si>
    <t>0801290</t>
  </si>
  <si>
    <t>Abdeckung für Lüfterrad zu Motor</t>
  </si>
  <si>
    <t>0801291</t>
  </si>
  <si>
    <t>Schneckengetriebe 40.1ZD-VL28/SP304-2                19</t>
  </si>
  <si>
    <t>0801292</t>
  </si>
  <si>
    <t>Schneckengetriebemotor 40.1MD-VR56/SP303             23</t>
  </si>
  <si>
    <t>0801293</t>
  </si>
  <si>
    <t>Folienschnelllauftorantrieb A35AE/112 HK             69</t>
  </si>
  <si>
    <t>0801294</t>
  </si>
  <si>
    <t>Stirnradgetriebemotor SEW                            99</t>
  </si>
  <si>
    <t>0801295</t>
  </si>
  <si>
    <t>Stirnradgetriebemotor SEW                            57</t>
  </si>
  <si>
    <t>0801296</t>
  </si>
  <si>
    <t>Stirnradgetriebemotor SEW                            97</t>
  </si>
  <si>
    <t>0801297</t>
  </si>
  <si>
    <t>Getriebemotor SEW "OC-groß"                          70</t>
  </si>
  <si>
    <t>0801300</t>
  </si>
  <si>
    <t>PM-Motor 13.120.75.121   komplett                    54</t>
  </si>
  <si>
    <t>0801304</t>
  </si>
  <si>
    <t>Kupplungsgehäuse                                      3</t>
  </si>
  <si>
    <t>0801305</t>
  </si>
  <si>
    <t>Elastische Bolzenkupplung A16-25F8P1                  4</t>
  </si>
  <si>
    <t>0801306</t>
  </si>
  <si>
    <t>Lovejey-Kupplung , Typ 315.225.3.8</t>
  </si>
  <si>
    <t>0801307</t>
  </si>
  <si>
    <t>Kupplungsgehäuse - OC                                 3</t>
  </si>
  <si>
    <t>0801310</t>
  </si>
  <si>
    <t>Stirnradgetriebemotor SEW</t>
  </si>
  <si>
    <t>0801311</t>
  </si>
  <si>
    <t>0801312</t>
  </si>
  <si>
    <t>0801313</t>
  </si>
  <si>
    <t>Flachgetriebemotor SEW</t>
  </si>
  <si>
    <t>0801325</t>
  </si>
  <si>
    <t>PM-Motor Typ 13.124.55.2.6.1 200W für                35</t>
  </si>
  <si>
    <t>0802210</t>
  </si>
  <si>
    <t>Schnecken-Getriebe-Motor !!ALT!!                     33</t>
  </si>
  <si>
    <t>0803001</t>
  </si>
  <si>
    <t>Kettenspannrad, einfach Z=18 08-B-1</t>
  </si>
  <si>
    <t>0803002</t>
  </si>
  <si>
    <t>Antriebskettenrad Z=21</t>
  </si>
  <si>
    <t>0803003</t>
  </si>
  <si>
    <t>Doppelkettenrad Z=20 Antrieb Uni-B/RGT</t>
  </si>
  <si>
    <t>0803004</t>
  </si>
  <si>
    <t>Kettenrad Z=16 mit Freilauf, links                    1</t>
  </si>
  <si>
    <t>0803005</t>
  </si>
  <si>
    <t>Kettenrad Z=16 mit Freilauf, rechts                   1</t>
  </si>
  <si>
    <t>0803006</t>
  </si>
  <si>
    <t>Nabenkettenrad Z=10, 1/2+1/8"</t>
  </si>
  <si>
    <t>0803007</t>
  </si>
  <si>
    <t>Kettenspannrad Z10 Einf.-Ro-Kette 081-1</t>
  </si>
  <si>
    <t>0803008</t>
  </si>
  <si>
    <t>Kettenspannrad,                                       2</t>
  </si>
  <si>
    <t>0803009</t>
  </si>
  <si>
    <t>Kettenrad Rohr D=150 für Laufregler RSA               1</t>
  </si>
  <si>
    <t>0803010</t>
  </si>
  <si>
    <t>Kettenrad Rohr D=100 für Laufregler RSA               1</t>
  </si>
  <si>
    <t>0803011</t>
  </si>
  <si>
    <t>Antriebskettenrad Z=21,</t>
  </si>
  <si>
    <t>0803012</t>
  </si>
  <si>
    <t>Kettenrad Rohr D=108 für Laufregler RSA</t>
  </si>
  <si>
    <t>0803013</t>
  </si>
  <si>
    <t>Kettenrad 081 Z=16 RS/FSA</t>
  </si>
  <si>
    <t>0803015</t>
  </si>
  <si>
    <t>Kettenrad mit einseitiger Nabe Z=18</t>
  </si>
  <si>
    <t>0803016</t>
  </si>
  <si>
    <t>Kettenrad mit einseitiger Nabe Z=18                   1</t>
  </si>
  <si>
    <t>0803018</t>
  </si>
  <si>
    <t>Doppelkettenrad Z=20/28 für Kette 08-8                1</t>
  </si>
  <si>
    <t>0803019</t>
  </si>
  <si>
    <t>Doppelkettenrad mit Topf Z=20+14 für                  1</t>
  </si>
  <si>
    <t>0803020</t>
  </si>
  <si>
    <t>Stirnradscheibe Z=40,M=3 Zbr=15,Mat:C45               3</t>
  </si>
  <si>
    <t>0803021</t>
  </si>
  <si>
    <t>0803022</t>
  </si>
  <si>
    <t>Kettenrad, Bo.17, Z=16, EB01</t>
  </si>
  <si>
    <t>0803023</t>
  </si>
  <si>
    <t>Nabenkettenrad Z=10, Rostfrei</t>
  </si>
  <si>
    <t>0803025</t>
  </si>
  <si>
    <t>Achse für Doppelritzel 58 mm</t>
  </si>
  <si>
    <t>0803027</t>
  </si>
  <si>
    <t>Nabenkettenrad Z=45 12B-1 Bohrung 30H7</t>
  </si>
  <si>
    <t>0803028</t>
  </si>
  <si>
    <t>Doppelkettenscheibe Z = 15/16,                        1</t>
  </si>
  <si>
    <t>0803029</t>
  </si>
  <si>
    <t>Kettenspannrad, einfach</t>
  </si>
  <si>
    <t>0803030</t>
  </si>
  <si>
    <t>Antriebsritzel für Antrieb RSV/FSV außen              2</t>
  </si>
  <si>
    <t>0803031</t>
  </si>
  <si>
    <t>Zählerritzel für Antrieb RSV/FSV außen                2</t>
  </si>
  <si>
    <t>0803032</t>
  </si>
  <si>
    <t>Zählerspindel für Antrieb RSV/FSV außen               7</t>
  </si>
  <si>
    <t>0803033</t>
  </si>
  <si>
    <t>Wickelkettenrad für Antrieb RSV/FSV auße</t>
  </si>
  <si>
    <t>0803034</t>
  </si>
  <si>
    <t>Wickelkettenrad für Antrieb RSV/FSV auße              1</t>
  </si>
  <si>
    <t>0803035</t>
  </si>
  <si>
    <t>0803040</t>
  </si>
  <si>
    <t>Gleitring ,Außenlieg Antrieb RS/FSA</t>
  </si>
  <si>
    <t>0803041</t>
  </si>
  <si>
    <t>Mitnehmer,Rechtsgew Außen Antrieb RS/FSA</t>
  </si>
  <si>
    <t>0803042</t>
  </si>
  <si>
    <t>Distanzstück,  Außenlieg Antrieb RS/FSA</t>
  </si>
  <si>
    <t>0803043</t>
  </si>
  <si>
    <t>Kettenrad Z=28,Außenlieg Antrieb RS/FSA               1</t>
  </si>
  <si>
    <t>0803044</t>
  </si>
  <si>
    <t>Lageraufnahme I,Außenlieg Antrieb RS/FSA</t>
  </si>
  <si>
    <t>0803045</t>
  </si>
  <si>
    <t>Trapezspindel,RechtsgewAußAntrieb RS/FSA</t>
  </si>
  <si>
    <t>0803046</t>
  </si>
  <si>
    <t>Zählergehäuse,  Außenlieg Antrieb RS/FSA</t>
  </si>
  <si>
    <t>0803047</t>
  </si>
  <si>
    <t>Antriebsritze,  Außenlieg Antrieb RS/FSA</t>
  </si>
  <si>
    <t>0803048</t>
  </si>
  <si>
    <t>Lageraufnahme,  Außenlieg Antrieb RS/FSA</t>
  </si>
  <si>
    <t>0803049</t>
  </si>
  <si>
    <t>Anschlußplatte, Außenlieg Antrieb RS/FSA              1</t>
  </si>
  <si>
    <t>0803050</t>
  </si>
  <si>
    <t>Anschlußplatte, Außenlieg Antrieb RS/FSA              7</t>
  </si>
  <si>
    <t>0803051</t>
  </si>
  <si>
    <t>Kettenrad Z=14,Außenlieg Antrieb RS/FSA</t>
  </si>
  <si>
    <t>0803052</t>
  </si>
  <si>
    <t>Mitnehmer,Linkssgew Außen Antrieb RS/FSA</t>
  </si>
  <si>
    <t>0803053</t>
  </si>
  <si>
    <t>Trapezspindel,LinksgewAußAntrieb RS/FSA</t>
  </si>
  <si>
    <t>0803054</t>
  </si>
  <si>
    <t>Kegelrad 90 °, z=16, Fiber-Smokeshield-S</t>
  </si>
  <si>
    <t>0803061</t>
  </si>
  <si>
    <t>Doppelkettenscheibe Z = 11/16</t>
  </si>
  <si>
    <t>0803062</t>
  </si>
  <si>
    <t>Doppelkettenscheibe Z = 15/15                         1</t>
  </si>
  <si>
    <t>0803063</t>
  </si>
  <si>
    <t>Kettenrad mit Flansch z=11 16-B-1 - OC</t>
  </si>
  <si>
    <t>0803064</t>
  </si>
  <si>
    <t>Doppelkettenrad mit Topf Z 18/12                      2</t>
  </si>
  <si>
    <t>0803065</t>
  </si>
  <si>
    <t>Antriebsritzel , Z 11 , 16-16-B1 ,                    3</t>
  </si>
  <si>
    <t>0803066</t>
  </si>
  <si>
    <t>Doppelkettenrad mit Topf Z 24/16                      5</t>
  </si>
  <si>
    <t>0803070</t>
  </si>
  <si>
    <t>Antriebswelle - klp. 0,75kW Motor / OC                5</t>
  </si>
  <si>
    <t>0803071</t>
  </si>
  <si>
    <t>Doppelkettenrad Z=20/20 12-B-1</t>
  </si>
  <si>
    <t>0803072</t>
  </si>
  <si>
    <t>Doppelkettenrad mit Topf Z=24/16                      1</t>
  </si>
  <si>
    <t>0803073</t>
  </si>
  <si>
    <t>Einschweißritzel , Z = 14</t>
  </si>
  <si>
    <t>0803074</t>
  </si>
  <si>
    <t>Welle mit 1 Ritzel Z=14, OC                           4</t>
  </si>
  <si>
    <t>0803075</t>
  </si>
  <si>
    <t>Umlenkritzel Z=14</t>
  </si>
  <si>
    <t>0803076</t>
  </si>
  <si>
    <t>Doppel-Umlenkritzel Z=14</t>
  </si>
  <si>
    <t>0803077</t>
  </si>
  <si>
    <t>Bolzen 01 für Artikelnummer: 0803076</t>
  </si>
  <si>
    <t>0803078</t>
  </si>
  <si>
    <t>Bolzen 02 für Artikelnummer: 0803075</t>
  </si>
  <si>
    <t>0803080</t>
  </si>
  <si>
    <t>Bolzen 03 für Artikelnummer: 0803075</t>
  </si>
  <si>
    <t>0803081</t>
  </si>
  <si>
    <t>Distanzrohr 29,5mm Antrieb EB 41</t>
  </si>
  <si>
    <t>0803082</t>
  </si>
  <si>
    <t>Distanzrohr 27 mm Antrieb UNI / RGT</t>
  </si>
  <si>
    <t>0803083</t>
  </si>
  <si>
    <t>Achse/Doppelkettenscheibe 12-B / OC</t>
  </si>
  <si>
    <t>0803084</t>
  </si>
  <si>
    <t>Achse/Doppelkettenscheibe 16-B / OC</t>
  </si>
  <si>
    <t>0803086</t>
  </si>
  <si>
    <t>Bolzen 02-OC</t>
  </si>
  <si>
    <t>0803087</t>
  </si>
  <si>
    <t>Bolzen 01-OC</t>
  </si>
  <si>
    <t>0803088</t>
  </si>
  <si>
    <t>Achse Doppelkettenscheibe 16-16-B / OC</t>
  </si>
  <si>
    <t>0803089</t>
  </si>
  <si>
    <t>Doppel-Kettenrad , Z = 14 , mit Flansch               4</t>
  </si>
  <si>
    <t>0803090</t>
  </si>
  <si>
    <t>Kettenrad Uni-B / RGT , Z=30</t>
  </si>
  <si>
    <t>0803092</t>
  </si>
  <si>
    <t>Kegelrad Modul 2,5 Z=16 Copycap-Decke                 1</t>
  </si>
  <si>
    <t>0803093</t>
  </si>
  <si>
    <t>Kegelrad Modul 2,5 Z=40 Copycap-Decke                 4</t>
  </si>
  <si>
    <t>0803094</t>
  </si>
  <si>
    <t>Antriebswelle-klp.0,75kW Motor-16-B /OC               6</t>
  </si>
  <si>
    <t>0804001</t>
  </si>
  <si>
    <t>Gußgehäuse für Antrieb RGT EB 41 rechts               3</t>
  </si>
  <si>
    <t>0804002</t>
  </si>
  <si>
    <t>Gußgehäuse für Antrieb RGT EB 41 links                3</t>
  </si>
  <si>
    <t>0804003</t>
  </si>
  <si>
    <t>Deckel für Antrieb RGT verzinkt Blech 2m</t>
  </si>
  <si>
    <t>0804010</t>
  </si>
  <si>
    <t>Schweißkonstruktion zur Aufnahme des                  3</t>
  </si>
  <si>
    <t>0804011</t>
  </si>
  <si>
    <t>Gußgehäuse für Antrieb UNIVERSAL - B                  3</t>
  </si>
  <si>
    <t>0804012</t>
  </si>
  <si>
    <t>0804013</t>
  </si>
  <si>
    <t>Deckel für Antrieb b + RGT horizontal, o</t>
  </si>
  <si>
    <t>0804014</t>
  </si>
  <si>
    <t>Deckel für Antrieb b + RGT horizontal, u</t>
  </si>
  <si>
    <t>0804015</t>
  </si>
  <si>
    <t>Deckel für Klemmkasten b + RGT horiz.</t>
  </si>
  <si>
    <t>0804016</t>
  </si>
  <si>
    <t>Deckel für Antrieb EB 31,21 und 01                    1</t>
  </si>
  <si>
    <t>0804021</t>
  </si>
  <si>
    <t>Halterung für S-Antrieb rechts                        3</t>
  </si>
  <si>
    <t>0804100</t>
  </si>
  <si>
    <t>Gehäusedeckel  (Lagerseite)</t>
  </si>
  <si>
    <t>0804101</t>
  </si>
  <si>
    <t>Gehäuse Drm. 80 X 40mm aus Al für</t>
  </si>
  <si>
    <t>0804102</t>
  </si>
  <si>
    <t>Deckel Drm. 135 X 32mm aus Al für</t>
  </si>
  <si>
    <t>0804103</t>
  </si>
  <si>
    <t>Gehäuse Drm. 135 X 85mm aus Al für</t>
  </si>
  <si>
    <t>0804106</t>
  </si>
  <si>
    <t>Antriebsgehäuse-Blech links                           1</t>
  </si>
  <si>
    <t>0804107</t>
  </si>
  <si>
    <t>Antriebsgehäuse hinten links Uni-B/RGT</t>
  </si>
  <si>
    <t>0804108</t>
  </si>
  <si>
    <t>Antriebsgehäuse vorn links Uni-B / RGT</t>
  </si>
  <si>
    <t>0804109</t>
  </si>
  <si>
    <t>Antriebsgehäuse Blech innen Uni / Rgt</t>
  </si>
  <si>
    <t>0804110</t>
  </si>
  <si>
    <t>Antriebsgehäuse Laufreglerhalter links</t>
  </si>
  <si>
    <t>0804111</t>
  </si>
  <si>
    <t>Antriebsgehäuse Deckel</t>
  </si>
  <si>
    <t>0804112</t>
  </si>
  <si>
    <t>Antriebsgehäuse Blech rechts                          1</t>
  </si>
  <si>
    <t>0804113</t>
  </si>
  <si>
    <t>Baugruppe Blech EB 41 rechts                          1</t>
  </si>
  <si>
    <t>0804114</t>
  </si>
  <si>
    <t>Baugruppe Blech EB 41 links                           1</t>
  </si>
  <si>
    <t>0804115</t>
  </si>
  <si>
    <t>Gehäuseteil hinten für EB41 links</t>
  </si>
  <si>
    <t>0804116</t>
  </si>
  <si>
    <t>Gehäuseteil vorn für EB 41 links</t>
  </si>
  <si>
    <t>0804117</t>
  </si>
  <si>
    <t>Lageraufnahme innen für EB 41 links</t>
  </si>
  <si>
    <t>0804118</t>
  </si>
  <si>
    <t>Haltewinkel für Laufregler links EB41</t>
  </si>
  <si>
    <t>0804119</t>
  </si>
  <si>
    <t>Abdeckblech für EB 41</t>
  </si>
  <si>
    <t>0804121</t>
  </si>
  <si>
    <t>Antriebsgehäuse hinten rechts Uni-B/RGT</t>
  </si>
  <si>
    <t>0804122</t>
  </si>
  <si>
    <t>Antriebsgehäuse vorn rechts Uni-B/RGT</t>
  </si>
  <si>
    <t>0804123</t>
  </si>
  <si>
    <t>Blech innen Lager für 0804112</t>
  </si>
  <si>
    <t>0804124</t>
  </si>
  <si>
    <t>Haltewinkel für Laufregler rechts</t>
  </si>
  <si>
    <t>0804125</t>
  </si>
  <si>
    <t>Blech Deckel für 0804112</t>
  </si>
  <si>
    <t>0804126</t>
  </si>
  <si>
    <t>Gehäuseteil hinten für EB41 rechts</t>
  </si>
  <si>
    <t>0804127</t>
  </si>
  <si>
    <t>Gehäuseteil vorn für EB 41 rechts</t>
  </si>
  <si>
    <t>0804128</t>
  </si>
  <si>
    <t>Lageraufnahme innen für EB 41 Rechts</t>
  </si>
  <si>
    <t>0804129</t>
  </si>
  <si>
    <t>Blech innen Laufregler für 0804113</t>
  </si>
  <si>
    <t>0804130</t>
  </si>
  <si>
    <t>Blech Deckel für 0804113</t>
  </si>
  <si>
    <t>0804131</t>
  </si>
  <si>
    <t>Deckel Antriebgehäuse EB41 Gravigenmotor</t>
  </si>
  <si>
    <t>0804132</t>
  </si>
  <si>
    <t>Abdeckblech Antrieb Uni-Q hinten</t>
  </si>
  <si>
    <t>0804133</t>
  </si>
  <si>
    <t>Abdeckblech mit Ausklinkung</t>
  </si>
  <si>
    <t>0804134</t>
  </si>
  <si>
    <t>Edelstahl Abdeckung rechts EB02/32/03/22              1</t>
  </si>
  <si>
    <t>0804135</t>
  </si>
  <si>
    <t>Edelstahl Abdeckung linksAntriebUni/RGT               1</t>
  </si>
  <si>
    <t>0804136</t>
  </si>
  <si>
    <t>Edelstahl Abdeckung rechtsAntriebvertRGT              1</t>
  </si>
  <si>
    <t>0804137</t>
  </si>
  <si>
    <t>Edelstahl Abdeckung linksAntriebvertRGT               1</t>
  </si>
  <si>
    <t>0805001</t>
  </si>
  <si>
    <t>Schließgeschwindigkeitsregler SB 3.3.4               11</t>
  </si>
  <si>
    <t>0805003</t>
  </si>
  <si>
    <t>Schnetz-Laufregler LR-36-K-169                       11</t>
  </si>
  <si>
    <t>0805004</t>
  </si>
  <si>
    <t>Schnetz-Laufregler LR-36-136                         14</t>
  </si>
  <si>
    <t>0805006</t>
  </si>
  <si>
    <t>Schnetz-Laufregler, LR-36-K-F-127                    31</t>
  </si>
  <si>
    <t>0805007</t>
  </si>
  <si>
    <t>Schnetz-Laufregler, 36-k-F-108                       27</t>
  </si>
  <si>
    <t>0805008</t>
  </si>
  <si>
    <t>Schnetz-Laufregler, LR-36-K-112                      13</t>
  </si>
  <si>
    <t>0805009</t>
  </si>
  <si>
    <t>Schnetz-Laufregler  LR-36-K-F-172                    16</t>
  </si>
  <si>
    <t>0805010</t>
  </si>
  <si>
    <t>Schnetz-Laufregler, LR-36-K-F-163                    13</t>
  </si>
  <si>
    <t>0805013</t>
  </si>
  <si>
    <t>Schnetz-Laufregler, LR-36-K-173                      13</t>
  </si>
  <si>
    <t>0805014</t>
  </si>
  <si>
    <t>Schnetz-Laufregler LR-36-K-111                       18</t>
  </si>
  <si>
    <t>0805018</t>
  </si>
  <si>
    <t>Wirbelstrombremse mit Feststellvorrichtu             18</t>
  </si>
  <si>
    <t>0805100</t>
  </si>
  <si>
    <t>Dämpfereinheit klein                                 28</t>
  </si>
  <si>
    <t>0806001</t>
  </si>
  <si>
    <t>Antriebssystem RGT rechts EB 41                      27</t>
  </si>
  <si>
    <t>Antriebssystem RGT rechts EB 41</t>
  </si>
  <si>
    <t>0806002</t>
  </si>
  <si>
    <t>Antriebssystem RGT links EB 41                       27</t>
  </si>
  <si>
    <t>0806003</t>
  </si>
  <si>
    <t>Lunamat Gurtzuggetriebe,Untersetzung 2:1              2</t>
  </si>
  <si>
    <t>0806004</t>
  </si>
  <si>
    <t>Gurtkassette klein , weiß mit 7m Gurt                 1</t>
  </si>
  <si>
    <t>0806005</t>
  </si>
  <si>
    <t>Gurtführung aus Kunststoff rund</t>
  </si>
  <si>
    <t>0806007</t>
  </si>
  <si>
    <t>Torantrieb ATS-400-MOF-SR-538                      1.19</t>
  </si>
  <si>
    <t>0806008</t>
  </si>
  <si>
    <t>Handrad für EB01                                      4</t>
  </si>
  <si>
    <t>0806009</t>
  </si>
  <si>
    <t>Kegelradgetriebe für Handantrieb RS/FSA               3</t>
  </si>
  <si>
    <t>0806010</t>
  </si>
  <si>
    <t>Kurbelgestänge für Handantrieb RS/FSA                 2</t>
  </si>
  <si>
    <t>0806012</t>
  </si>
  <si>
    <t>Gurtkassette klein, weiß, ohne Gurt</t>
  </si>
  <si>
    <t>0806015</t>
  </si>
  <si>
    <t>Handradsystem kpl. für Antriebe EB*                   1</t>
  </si>
  <si>
    <t>0806017</t>
  </si>
  <si>
    <t>Griffscheiben GN 226-63-B10 bearbeitet</t>
  </si>
  <si>
    <t>0806018</t>
  </si>
  <si>
    <t>Griffscheiben GN 226-KU-63-B10</t>
  </si>
  <si>
    <t>0806019</t>
  </si>
  <si>
    <t>Gurtsystem kpl. mit Anschlussflansch                  3</t>
  </si>
  <si>
    <t>0806020</t>
  </si>
  <si>
    <t>Handrad                                               6</t>
  </si>
  <si>
    <t>0806021</t>
  </si>
  <si>
    <t>Gurtaufnahme ca.15m                                   1</t>
  </si>
  <si>
    <t>0806022</t>
  </si>
  <si>
    <t>mit-Kasten Stahl-verzinkt für PARO-Einla              1</t>
  </si>
  <si>
    <t>0806023</t>
  </si>
  <si>
    <t>Kegelradgetriebe 3:1, TK=48 mm mit M6                 2</t>
  </si>
  <si>
    <t>0806024</t>
  </si>
  <si>
    <t>Markisenkurbel, verzinkt, 13x 1,5 mm</t>
  </si>
  <si>
    <t>0806025</t>
  </si>
  <si>
    <t>Öse aus Zinkdruckguß mit Bohrung 12 mm</t>
  </si>
  <si>
    <t>0806028</t>
  </si>
  <si>
    <t>Gurtkassette mittel, weiß, ohne Gurt                  1</t>
  </si>
  <si>
    <t>0806029</t>
  </si>
  <si>
    <t>Gurtaufnahme für Gurtwickler 15 m</t>
  </si>
  <si>
    <t>0806030</t>
  </si>
  <si>
    <t>Gurtaufnahme mit Gurtwickler 15 m                     1</t>
  </si>
  <si>
    <t>0806032</t>
  </si>
  <si>
    <t>Handrad 3670-315-B12                                  3</t>
  </si>
  <si>
    <t>0806033</t>
  </si>
  <si>
    <t>Markisenkurbel, verzinkt, 13x 1,5 mm                  1</t>
  </si>
  <si>
    <t>0806034</t>
  </si>
  <si>
    <t>0806035</t>
  </si>
  <si>
    <t>0806036</t>
  </si>
  <si>
    <t>M.-Kurbelhaken aus Stahl verzinkt</t>
  </si>
  <si>
    <t>0806037</t>
  </si>
  <si>
    <t>Rohrantrieb, Gravi Gen 40</t>
  </si>
  <si>
    <t>0806038</t>
  </si>
  <si>
    <t>Rohrantrieb G 30                                     15</t>
  </si>
  <si>
    <t>0806039</t>
  </si>
  <si>
    <t>Simu Rohrantrieb T 8, 250 Nm, 8 UpM,                 31</t>
  </si>
  <si>
    <t>0806040</t>
  </si>
  <si>
    <t>Motoraufnahme-neue Seite</t>
  </si>
  <si>
    <t>0806041</t>
  </si>
  <si>
    <t>Aufnahme Motor neu Teil 2</t>
  </si>
  <si>
    <t>0806042</t>
  </si>
  <si>
    <t>Adapter Teil 3</t>
  </si>
  <si>
    <t>0806043</t>
  </si>
  <si>
    <t>Abtriebswele 65 mm</t>
  </si>
  <si>
    <t>0806044</t>
  </si>
  <si>
    <t>Adapterscheibe 45 mm</t>
  </si>
  <si>
    <t>0806045</t>
  </si>
  <si>
    <t>Adapterscheibe 2 45 mm</t>
  </si>
  <si>
    <t>0806046</t>
  </si>
  <si>
    <t>Abtriebswelle 45 mm</t>
  </si>
  <si>
    <t>0806053</t>
  </si>
  <si>
    <t>Antrieb EB31 - G072 - rechts komplett                66</t>
  </si>
  <si>
    <t>0806058</t>
  </si>
  <si>
    <t>Antrieb EB02/EB22 - links - komplett                 24</t>
  </si>
  <si>
    <t>0806059</t>
  </si>
  <si>
    <t>Antrieb EB02/EB22 - rechts - komplett                24</t>
  </si>
  <si>
    <t>0806060</t>
  </si>
  <si>
    <t>Antrieb EB03/EB32- links - komplett                  25</t>
  </si>
  <si>
    <t>0806061</t>
  </si>
  <si>
    <t>Antrieb EB03/EB32- rechts - komplett                 25</t>
  </si>
  <si>
    <t>0806062</t>
  </si>
  <si>
    <t>Antriebssystem RGT/B zur manuellen</t>
  </si>
  <si>
    <t>0806063</t>
  </si>
  <si>
    <t>Antrieb EB22-rechts-komplett                         37</t>
  </si>
  <si>
    <t>0806064</t>
  </si>
  <si>
    <t>Seilschlingbremse,li o. re schwimmend                10</t>
  </si>
  <si>
    <t>0806065</t>
  </si>
  <si>
    <t>Adapter G12 - G30E                                    1</t>
  </si>
  <si>
    <t>0806066</t>
  </si>
  <si>
    <t>Adapter G30 - G30E                                    7</t>
  </si>
  <si>
    <t>0806067</t>
  </si>
  <si>
    <t>Adapter G45 - G45E                                    6</t>
  </si>
  <si>
    <t>0806068</t>
  </si>
  <si>
    <t>Adapter G120 - G120E                                  5</t>
  </si>
  <si>
    <t>0806069</t>
  </si>
  <si>
    <t>Kondensator MK 60, Kabel 250 mm lang</t>
  </si>
  <si>
    <t>0806075</t>
  </si>
  <si>
    <t>Antriebeinheit 0,75kW kpl. rechts / OC               40</t>
  </si>
  <si>
    <t>0806076</t>
  </si>
  <si>
    <t>Antriebseinheit 1,5 kW kpl. rechts / OC              27</t>
  </si>
  <si>
    <t>0806077</t>
  </si>
  <si>
    <t>Antriebeinheit 0,75kW kpl. links / OC</t>
  </si>
  <si>
    <t>0806078</t>
  </si>
  <si>
    <t>Antriebseinheit 1,5 kW kpl. links / OC               49</t>
  </si>
  <si>
    <t>0806080</t>
  </si>
  <si>
    <t>Antriebswelle 12/16/16+16-B OC                        5</t>
  </si>
  <si>
    <t>0806081</t>
  </si>
  <si>
    <t>Querprofil 12/16/16+16-B OC                           1</t>
  </si>
  <si>
    <t>0806082</t>
  </si>
  <si>
    <t>Antriebeinheit 0,75kW kpl.rechts16-B/OC              55</t>
  </si>
  <si>
    <t>0806083</t>
  </si>
  <si>
    <t>Antriebeinheit 0,75kW kpl.links16-B/OC               57</t>
  </si>
  <si>
    <t>0806084</t>
  </si>
  <si>
    <t>Antriebseinheit 1,5 kW kpl. links Has/OC             61</t>
  </si>
  <si>
    <t>0806100</t>
  </si>
  <si>
    <t>Rohrantrieb Becker L60/8G                             1</t>
  </si>
  <si>
    <t>0806101</t>
  </si>
  <si>
    <t>Gegenlager RSV/FSV 70 X 1,5</t>
  </si>
  <si>
    <t>0806102</t>
  </si>
  <si>
    <t>Becker Einstellhilfe flexibel (blau) für</t>
  </si>
  <si>
    <t>0806103</t>
  </si>
  <si>
    <t>Rohrantrieb Becker Gravi Gen 80                      28</t>
  </si>
  <si>
    <t>0806104</t>
  </si>
  <si>
    <t>Rohrantrieb Becker Gravi Gen 120                     25</t>
  </si>
  <si>
    <t>0806105</t>
  </si>
  <si>
    <t>Rohrantrieb ,  Gravi Gen 120 , 230 Volt              21</t>
  </si>
  <si>
    <t>0806106</t>
  </si>
  <si>
    <t>Rohrantrieb , Gravi Gen 45 ,  230 Volt ,             18</t>
  </si>
  <si>
    <t>0806107</t>
  </si>
  <si>
    <t>Rohrantrieb , Gravi Gen 75 , 230 Volt ,              20</t>
  </si>
  <si>
    <t>0806108</t>
  </si>
  <si>
    <t>Rohrantrieb Becker Gravi Gen 40                      19</t>
  </si>
  <si>
    <t>0806109</t>
  </si>
  <si>
    <t>Rohrantrieb Becker R60/11M                           15</t>
  </si>
  <si>
    <t>0806110</t>
  </si>
  <si>
    <t>Rohrantrieb Becker R120/11M Kabel 3,0 m              20</t>
  </si>
  <si>
    <t>0806111</t>
  </si>
  <si>
    <t>Rohrantrieb G 12                                     12</t>
  </si>
  <si>
    <t>0806112</t>
  </si>
  <si>
    <t>Mitnehmer für Becker - Antriebe</t>
  </si>
  <si>
    <t>0806113</t>
  </si>
  <si>
    <t>Ring für Becker-Antriebe,</t>
  </si>
  <si>
    <t>0806114</t>
  </si>
  <si>
    <t>Mitnehmer für Becker-Antriebe, 108 x 3,6</t>
  </si>
  <si>
    <t>0806115</t>
  </si>
  <si>
    <t>Ring für Becker-Antriebe, 108 x 3,6</t>
  </si>
  <si>
    <t>0806116</t>
  </si>
  <si>
    <t>Mitnehmer 70 x 1,5, L44/14-L120/11</t>
  </si>
  <si>
    <t>0806117</t>
  </si>
  <si>
    <t>Gegenlager mit Zapfen 20 mm</t>
  </si>
  <si>
    <t>0806118</t>
  </si>
  <si>
    <t>Ring für Becker-Antriebe, 70 x 1,5</t>
  </si>
  <si>
    <t>0806119</t>
  </si>
  <si>
    <t>Ring Becker Antrieb</t>
  </si>
  <si>
    <t>0806120</t>
  </si>
  <si>
    <t>Mitnehmer für Becker - Antriebe                       1</t>
  </si>
  <si>
    <t>0806121</t>
  </si>
  <si>
    <t>Kondensator für Becker - Antrieb</t>
  </si>
  <si>
    <t>0806122</t>
  </si>
  <si>
    <t>0806123</t>
  </si>
  <si>
    <t>0806124</t>
  </si>
  <si>
    <t>Kondensator MP 6UF 450V</t>
  </si>
  <si>
    <t>0806125</t>
  </si>
  <si>
    <t>Kondensator  80uF/450V/Pla-C8 CB250</t>
  </si>
  <si>
    <t>0806126</t>
  </si>
  <si>
    <t>Rohrantrieb,Gravi Gen 120-L, 230 Volt                29</t>
  </si>
  <si>
    <t>0806127</t>
  </si>
  <si>
    <t>B-Lasche für R44/14M-R80/11M</t>
  </si>
  <si>
    <t>0806128</t>
  </si>
  <si>
    <t>Zwischenring für Becker Antrieb G 12</t>
  </si>
  <si>
    <t>0806129</t>
  </si>
  <si>
    <t>Kondensator 60 uF, 450 V / Pla-C8,CB400,</t>
  </si>
  <si>
    <t>0806130</t>
  </si>
  <si>
    <t>Rohrantrieb G 45 - E</t>
  </si>
  <si>
    <t>0806131</t>
  </si>
  <si>
    <t>Rohrantrieb G120 - E                                  1</t>
  </si>
  <si>
    <t>0806132</t>
  </si>
  <si>
    <t>Rohrantrieb G 12 - E</t>
  </si>
  <si>
    <t>0806133</t>
  </si>
  <si>
    <t>Rohrantrieb G30 - E</t>
  </si>
  <si>
    <t>0806134</t>
  </si>
  <si>
    <t>Rohrantrieb L120/11C M, 120Nm 11/Umin                16</t>
  </si>
  <si>
    <t>0806135</t>
  </si>
  <si>
    <t>Rohrantrieb G-120 Master-Slave</t>
  </si>
  <si>
    <t>0806136</t>
  </si>
  <si>
    <t>Rohrantrieb L60/8G Master-Slave                      29</t>
  </si>
  <si>
    <t>0806137</t>
  </si>
  <si>
    <t>Rohrantrieb SIMU T8</t>
  </si>
  <si>
    <t>0806138</t>
  </si>
  <si>
    <t>Einstellstift  für Simu Rohrmotor T8</t>
  </si>
  <si>
    <t>0806139</t>
  </si>
  <si>
    <t>Haltewinkel für Simu T8 Rohrmotor</t>
  </si>
  <si>
    <t>0806140</t>
  </si>
  <si>
    <t>Mitnehmer für Wickelrohr 100x1,5</t>
  </si>
  <si>
    <t>0806141</t>
  </si>
  <si>
    <t>Rohrring für Wickelrohr 100x1,5</t>
  </si>
  <si>
    <t>0806142</t>
  </si>
  <si>
    <t>Mitnehmer/Ring  für Simu T8 Rohrmotor</t>
  </si>
  <si>
    <t>0806143</t>
  </si>
  <si>
    <t>Rohrantrieb120Nm, IP54,mit mechanischer              21</t>
  </si>
  <si>
    <t>0806144</t>
  </si>
  <si>
    <t>Rohrantrieb Becker L60/8G                            25</t>
  </si>
  <si>
    <t>0806145</t>
  </si>
  <si>
    <t>Rohrantrieb Becker L60/8G Master/Slave</t>
  </si>
  <si>
    <t>0806146</t>
  </si>
  <si>
    <t>Rohrantrieb G45 Umbau mit 100 cold                   24</t>
  </si>
  <si>
    <t>0806147</t>
  </si>
  <si>
    <t>Mitnehmer für Wickelrohr 100x1,25</t>
  </si>
  <si>
    <t>0806149</t>
  </si>
  <si>
    <t>Einstellstift, flexibel, Farbe weiß,</t>
  </si>
  <si>
    <t>0806150</t>
  </si>
  <si>
    <t>Rohrantrieb TMS 250, 20 Nm, 230 V,                    7</t>
  </si>
  <si>
    <t>0806151</t>
  </si>
  <si>
    <t>Mitnehmer DW78R+F Zink-Druckguß, für G12</t>
  </si>
  <si>
    <t>0806152</t>
  </si>
  <si>
    <t>Ring DW78 R+F für Rohrantrieb G 12</t>
  </si>
  <si>
    <t>0806153</t>
  </si>
  <si>
    <t>Mitnehmersicherung für Rohrantrieb G 12</t>
  </si>
  <si>
    <t>0806154</t>
  </si>
  <si>
    <t>Mitnehmer 133 x 4                                     1</t>
  </si>
  <si>
    <t>0806155</t>
  </si>
  <si>
    <t>Ring 133 x 4                                          1</t>
  </si>
  <si>
    <t>0806156</t>
  </si>
  <si>
    <t>Stellring für Becker-Rohrantriebe</t>
  </si>
  <si>
    <t>0806160</t>
  </si>
  <si>
    <t>Rohrantrieb TMS 850, 60 Nm, 230 V,                   25</t>
  </si>
  <si>
    <t>0806161</t>
  </si>
  <si>
    <t>Mitnehmer für Wickelrohr 133x4</t>
  </si>
  <si>
    <t>0806162</t>
  </si>
  <si>
    <t>Rohrring für Wickelrohr 133x4                         1</t>
  </si>
  <si>
    <t>0806165</t>
  </si>
  <si>
    <t>Rohrantrieb L120/11C M, 120Nm 11/Umin                20</t>
  </si>
  <si>
    <t>0806170</t>
  </si>
  <si>
    <t>Rohrantrieb TMS 1600, 120 Nm, 230 V,                  7</t>
  </si>
  <si>
    <t>0806178</t>
  </si>
  <si>
    <t>Gegenlager RSV/FSV für 100 X 1.5 mm</t>
  </si>
  <si>
    <t>0806179</t>
  </si>
  <si>
    <t>Rohrantrieb G30 - E  BSM 145x145</t>
  </si>
  <si>
    <t>0806180</t>
  </si>
  <si>
    <t>Rohrantrieb G 45 - E  BSM 145x145</t>
  </si>
  <si>
    <t>0806181</t>
  </si>
  <si>
    <t>Rohrantrieb G120 - E  BSM 145x145</t>
  </si>
  <si>
    <t>0806182</t>
  </si>
  <si>
    <t>Rohrantrieb G30 - E  BSM 175x175</t>
  </si>
  <si>
    <t>0806183</t>
  </si>
  <si>
    <t>Rohrantrieb G 45 - E  BSM 175x175                    21</t>
  </si>
  <si>
    <t>0806184</t>
  </si>
  <si>
    <t>Rohrantrieb G120 - E  BSM 175x175</t>
  </si>
  <si>
    <t>0806185</t>
  </si>
  <si>
    <t>Rohrantrieb R60/24V Master-Slave 12m Kab             62</t>
  </si>
  <si>
    <t>0806186</t>
  </si>
  <si>
    <t>Rohrantrieb R30/17C M                                 6</t>
  </si>
  <si>
    <t>0806187</t>
  </si>
  <si>
    <t>Rohrantrieb L44/14C M, 44 Nm 14U/min                 10</t>
  </si>
  <si>
    <t>0806188</t>
  </si>
  <si>
    <t>Rohrantrieb L120/11C M Umbau auf Master              20</t>
  </si>
  <si>
    <t>0806195</t>
  </si>
  <si>
    <t>Rohrantrieb G30Em                                    15</t>
  </si>
  <si>
    <t>0806196</t>
  </si>
  <si>
    <t>Rohrantrieb G45Em                                    18</t>
  </si>
  <si>
    <t>0806197</t>
  </si>
  <si>
    <t>Rohrantrieb G120Em                                   22</t>
  </si>
  <si>
    <t>0806198</t>
  </si>
  <si>
    <t>Rohrantrieb L60/8G mit 3m Motorkabel</t>
  </si>
  <si>
    <t>0806199</t>
  </si>
  <si>
    <t>Antriebssystem RS</t>
  </si>
  <si>
    <t>0806200</t>
  </si>
  <si>
    <t>Antriebslager, für RSV</t>
  </si>
  <si>
    <t>0806201</t>
  </si>
  <si>
    <t>Konsole Baugr 12-B Motor rechts 872 OC               51</t>
  </si>
  <si>
    <t>0806202</t>
  </si>
  <si>
    <t>Konsole Baugr 12-B Motor links 872  OC               49</t>
  </si>
  <si>
    <t>0806203</t>
  </si>
  <si>
    <t>Konsole Baugr 12-B Motor rechts 1072 OC              18</t>
  </si>
  <si>
    <t>0806204</t>
  </si>
  <si>
    <t>Konsole Baugr 12-B Motor links 1072 OC               18</t>
  </si>
  <si>
    <t>0806205</t>
  </si>
  <si>
    <t>Konsole Baugr 12-B Motors rechts 1272 OC</t>
  </si>
  <si>
    <t>0806206</t>
  </si>
  <si>
    <t>Konsole Baugr 12-B Motor links 1272 OC</t>
  </si>
  <si>
    <t>0806207</t>
  </si>
  <si>
    <t>Konsole Baugr 16-B Motor rechts 872 OC</t>
  </si>
  <si>
    <t>0806208</t>
  </si>
  <si>
    <t>Konsole Baugr 16-B Motor links 872 OC</t>
  </si>
  <si>
    <t>0806209</t>
  </si>
  <si>
    <t>Konsole Baugr 16-B Motor rechts 1072 OC              20</t>
  </si>
  <si>
    <t>0806210</t>
  </si>
  <si>
    <t>Konsole Baugr 16-B Motor links 1072 OC</t>
  </si>
  <si>
    <t>0806211</t>
  </si>
  <si>
    <t>Konsole Baugr 16-B Motor rechts 1272 OC            1.13</t>
  </si>
  <si>
    <t>0806212</t>
  </si>
  <si>
    <t>Konsole Baugr 16-B Motor links 1272 OC</t>
  </si>
  <si>
    <t>0806213</t>
  </si>
  <si>
    <t>Kons.Baugr 12-B Motor re NiStu 872 OC</t>
  </si>
  <si>
    <t>0806214</t>
  </si>
  <si>
    <t>Kons.Baugr 12-B Motor li NiStu 872 OC</t>
  </si>
  <si>
    <t>0806215</t>
  </si>
  <si>
    <t>Kons. Baugr 12-B Motor re NiStu 1072 OC</t>
  </si>
  <si>
    <t>0806216</t>
  </si>
  <si>
    <t>Kons.Baugr 12-B Motor li NiStu 1072</t>
  </si>
  <si>
    <t>0806217</t>
  </si>
  <si>
    <t>Kons. Baugr 12-B Motor re NiStu 1272 OC</t>
  </si>
  <si>
    <t>0806218</t>
  </si>
  <si>
    <t>Kons. Baugr 12-B Motor li NiStu 1272 OC</t>
  </si>
  <si>
    <t>0806219</t>
  </si>
  <si>
    <t>Konsole Baugr 16-B Motor re 1372 OC</t>
  </si>
  <si>
    <t>0806220</t>
  </si>
  <si>
    <t>Kons. Baugr 16-B Motor li 1372 OC</t>
  </si>
  <si>
    <t>0806221</t>
  </si>
  <si>
    <t>Antriebssystem EB 02, re, var Ersatzteil             28</t>
  </si>
  <si>
    <t>0806222</t>
  </si>
  <si>
    <t>Antrieb EB02 Kette, GurtöfAnfnung+++++++</t>
  </si>
  <si>
    <t>0806223</t>
  </si>
  <si>
    <t>Antrieb EB02 Kette, Handöffn++++++++++++</t>
  </si>
  <si>
    <t>0806224</t>
  </si>
  <si>
    <t>Antriebssystem EB 02, li, var Ersatzteil             22</t>
  </si>
  <si>
    <t>0806225</t>
  </si>
  <si>
    <t>Antriebssystem EB 22, rechts Ersatzteil               6</t>
  </si>
  <si>
    <t>0806226</t>
  </si>
  <si>
    <t>Antriebssystem EB 22, links Ersatzteil                5</t>
  </si>
  <si>
    <t>0806227</t>
  </si>
  <si>
    <t>Antrieb EB03 Gurt, Gurtöff++++++++++++++</t>
  </si>
  <si>
    <t>0806228</t>
  </si>
  <si>
    <t>Antriebssystem EB 03, li, var Ersatzteil             10</t>
  </si>
  <si>
    <t>0806229</t>
  </si>
  <si>
    <t>Antriebssystem EB 03, re, var Ersatzteil             10</t>
  </si>
  <si>
    <t>0806230</t>
  </si>
  <si>
    <t>Antrieb EB03 Gurt, Handöff++++++++++++++</t>
  </si>
  <si>
    <t>0806231</t>
  </si>
  <si>
    <t>Antriebssystem EB 32, rechts Ersatzteil               5</t>
  </si>
  <si>
    <t>0806232</t>
  </si>
  <si>
    <t>Antriebssystem EB 32, links Ersatzteil                5</t>
  </si>
  <si>
    <t>0806233</t>
  </si>
  <si>
    <t>Antriebssystem EB 41, rechts Ersatzteil              10</t>
  </si>
  <si>
    <t>0806234</t>
  </si>
  <si>
    <t>Antriebssystem EB 41, li Ersatzteil                   8</t>
  </si>
  <si>
    <t>0806235</t>
  </si>
  <si>
    <t>Antriebssystem EB 41, re Ersatzteil                   1</t>
  </si>
  <si>
    <t>0806236</t>
  </si>
  <si>
    <t>Antriebssystem EB 41, li Ersatzteil                  24</t>
  </si>
  <si>
    <t>0806237</t>
  </si>
  <si>
    <t>Kons. Baugr 16-B Motor re NiStu 872 OC</t>
  </si>
  <si>
    <t>0806238</t>
  </si>
  <si>
    <t>Kons.Baugr 16-B Motor links NiStu 872 OC</t>
  </si>
  <si>
    <t>0806239</t>
  </si>
  <si>
    <t>Kons.Baugr 16-B Motor re NiStu 1072 OC</t>
  </si>
  <si>
    <t>0806240</t>
  </si>
  <si>
    <t>Kons.Baugr 16-B Motor li NiStu 1072 OC</t>
  </si>
  <si>
    <t>0806241</t>
  </si>
  <si>
    <t>Kons.Baugr 16-B Motor re NiStu 1272 OC</t>
  </si>
  <si>
    <t>0806242</t>
  </si>
  <si>
    <t>Kons.Baugr 16-B Motor li NiStu 1272 OC</t>
  </si>
  <si>
    <t>0806243</t>
  </si>
  <si>
    <t>Kons.Baugr 16-B Motor re NiStu 1372 OC</t>
  </si>
  <si>
    <t>0806244</t>
  </si>
  <si>
    <t>Kons.Baugr 16-B Motor li NiStu 1372 OC</t>
  </si>
  <si>
    <t>0806245</t>
  </si>
  <si>
    <t>Konsole Baugr 16-16B 872 OC</t>
  </si>
  <si>
    <t>0806246</t>
  </si>
  <si>
    <t>Konsole Baugr 16-16B 1072 OC</t>
  </si>
  <si>
    <t>0806247</t>
  </si>
  <si>
    <t>Konsole Baugr 16-16B 1272 OC</t>
  </si>
  <si>
    <t>0806248</t>
  </si>
  <si>
    <t>0806249</t>
  </si>
  <si>
    <t>Antrieb EB41 Kette, Handöffnung, rechts</t>
  </si>
  <si>
    <t>0806250</t>
  </si>
  <si>
    <t>Antrieb EB41 Kette, Handöffnung, links</t>
  </si>
  <si>
    <t>0806251</t>
  </si>
  <si>
    <t>Konsole Baugr 16-16B 1372 OC</t>
  </si>
  <si>
    <t>0806252</t>
  </si>
  <si>
    <t>Konsole Baugr 16-16B 1472 OC</t>
  </si>
  <si>
    <t>0806253</t>
  </si>
  <si>
    <t>Konsole Baugr 16-16B 1572 OC</t>
  </si>
  <si>
    <t>0806254</t>
  </si>
  <si>
    <t>Konsole Baugr 16-16B NiStu 1072 OC</t>
  </si>
  <si>
    <t>0806255</t>
  </si>
  <si>
    <t>Konsole Baugr 16-16B NiStu 1272 OC                   31</t>
  </si>
  <si>
    <t>0806256</t>
  </si>
  <si>
    <t>Konsole Baugr 16-16B NiStu 1372 OC                   31</t>
  </si>
  <si>
    <t>0806257</t>
  </si>
  <si>
    <t>Konsole Baugr 16-16B NiStu 1472 OC</t>
  </si>
  <si>
    <t>0806258</t>
  </si>
  <si>
    <t>Konsole Baugr 16-16B NiStu 1572 OC</t>
  </si>
  <si>
    <t>0806259</t>
  </si>
  <si>
    <t>Konsole Baugr 16-16B NiStu 872 OC</t>
  </si>
  <si>
    <t>0806260</t>
  </si>
  <si>
    <t>Rohrantrieb AM-I G120 rechts komplett                35</t>
  </si>
  <si>
    <t>0806261</t>
  </si>
  <si>
    <t>Rohrantrieb AM-I G120 links komplett                 32</t>
  </si>
  <si>
    <t>0806262</t>
  </si>
  <si>
    <t>Rohrantrieb AM-I G120 EV rechts komplett</t>
  </si>
  <si>
    <t>0806263</t>
  </si>
  <si>
    <t>Rohrantrieb AM-I G120 EV links komplett              37</t>
  </si>
  <si>
    <t>0806264</t>
  </si>
  <si>
    <t>Rohrantrieb AM-I G45 links komplett                  24</t>
  </si>
  <si>
    <t>0806265</t>
  </si>
  <si>
    <t>Rohrantrieb AM-I G45 rechts komplett                 25</t>
  </si>
  <si>
    <t>0806266</t>
  </si>
  <si>
    <t>Rohrantrieb AM-I EV G45 links komplett               34</t>
  </si>
  <si>
    <t>0806267</t>
  </si>
  <si>
    <t>Rohrantrieb AM-I EV G45 rechts komplett</t>
  </si>
  <si>
    <t>0806268</t>
  </si>
  <si>
    <t>Rohrantrieb AM-I G30 links komplett                  24</t>
  </si>
  <si>
    <t>0806269</t>
  </si>
  <si>
    <t>Rohrantrieb AM-I G30 rechts komplett                 21</t>
  </si>
  <si>
    <t>0806270</t>
  </si>
  <si>
    <t>Rohrantrieb AM-I EV G30 links komplett               26</t>
  </si>
  <si>
    <t>0806271</t>
  </si>
  <si>
    <t>Rohrantrieb AM-I EV G30 rechts komplett              24</t>
  </si>
  <si>
    <t>0806272</t>
  </si>
  <si>
    <t>Rohrantrieb AM-I G12 links komplett                  19</t>
  </si>
  <si>
    <t>0806273</t>
  </si>
  <si>
    <t>Rohrantrieb AM-I G12 rechts komplett                 19</t>
  </si>
  <si>
    <t>0806274</t>
  </si>
  <si>
    <t>Rohrantrieb AM-I EV G12 links komplett               22</t>
  </si>
  <si>
    <t>0806275</t>
  </si>
  <si>
    <t>Rohrantrieb AM-I EV G12 rechts komplett              21</t>
  </si>
  <si>
    <t>0806276</t>
  </si>
  <si>
    <t>Rohrantrieb Typ-F G120 komplett                      27</t>
  </si>
  <si>
    <t>0806277</t>
  </si>
  <si>
    <t>Rohrantrieb Typ-F G45 komplett                       22</t>
  </si>
  <si>
    <t>0806278</t>
  </si>
  <si>
    <t>Rohrantrieb Typ-F G30 komplett                       17</t>
  </si>
  <si>
    <t>0806279</t>
  </si>
  <si>
    <t>Rohrantrieb Typ-F G12 komplett                       17</t>
  </si>
  <si>
    <t>0806280</t>
  </si>
  <si>
    <t>Rohrantrieb G12 Umbau mit 9x0,75² 6m                 18</t>
  </si>
  <si>
    <t>0806281</t>
  </si>
  <si>
    <t>Rohrantrieb G30 Umbau mit 9x0,75² 6m                 16</t>
  </si>
  <si>
    <t>0806282</t>
  </si>
  <si>
    <t>Rohrantrieb G45 Umbau mit 9x0,75² 6m                  2</t>
  </si>
  <si>
    <t>0806283</t>
  </si>
  <si>
    <t>Rohrantrieb G120 Umbau mit 9x0,75² 6m                 4</t>
  </si>
  <si>
    <t>0806284</t>
  </si>
  <si>
    <t>Rohrantrieb G12 Umbau mit 9x0,75²</t>
  </si>
  <si>
    <t>0806285</t>
  </si>
  <si>
    <t>Rohrantrieb G30 Umbau mit 9x0,75²                    16</t>
  </si>
  <si>
    <t>0806286</t>
  </si>
  <si>
    <t>Rohrantrieb G45 Umbau mit 9x0,75²                     2</t>
  </si>
  <si>
    <t>0806287</t>
  </si>
  <si>
    <t>Rohrantrieb G120 Umbau mit 9x0,75²                   23</t>
  </si>
  <si>
    <t>0806288</t>
  </si>
  <si>
    <t>Aussenliegender Antrieb rechts RS/FSA</t>
  </si>
  <si>
    <t>0806289</t>
  </si>
  <si>
    <t>Aussenliegender Antrieb links RS/FSA                 15</t>
  </si>
  <si>
    <t>0806290</t>
  </si>
  <si>
    <t>0806291</t>
  </si>
  <si>
    <t>Aussenliegender Antrieb links RS/FSA</t>
  </si>
  <si>
    <t>0806292</t>
  </si>
  <si>
    <t>0806293</t>
  </si>
  <si>
    <t>0806294</t>
  </si>
  <si>
    <t>Rohrantrieb G75 Umbau mit 9x0,75² 6m</t>
  </si>
  <si>
    <t>0806295</t>
  </si>
  <si>
    <t>Ring nach Zeichnung 45AC-124-01</t>
  </si>
  <si>
    <t>0806296</t>
  </si>
  <si>
    <t>Rohrantrieb L120/11C M, 11/Umin                      19</t>
  </si>
  <si>
    <t>0806300</t>
  </si>
  <si>
    <t>Antriebssystem EB 02 rechts                          39</t>
  </si>
  <si>
    <t>0806301</t>
  </si>
  <si>
    <t>Antriebssystem EB 02 rechts                          48</t>
  </si>
  <si>
    <t>0806302</t>
  </si>
  <si>
    <t>Antriebssystem EB 02 links                           30</t>
  </si>
  <si>
    <t>0806303</t>
  </si>
  <si>
    <t>Antriebssystem EB 02 links</t>
  </si>
  <si>
    <t>0806304</t>
  </si>
  <si>
    <t>Antriebssystem EB 22 rechts                          30</t>
  </si>
  <si>
    <t>0806305</t>
  </si>
  <si>
    <t>Antriebssystem EB 22 links                           45</t>
  </si>
  <si>
    <t>Antriebssystem EB 03 rechts                          33</t>
  </si>
  <si>
    <t>Antriebssystem EB 03 rechts                          50</t>
  </si>
  <si>
    <t>Antriebssystem EB 03 links                           33</t>
  </si>
  <si>
    <t>Antriebssystem EB 03 links                           46</t>
  </si>
  <si>
    <t>0806310</t>
  </si>
  <si>
    <t>Antriebssystem EB 32 rechts                          12</t>
  </si>
  <si>
    <t>0806311</t>
  </si>
  <si>
    <t>Antriebssystem EB 32 links                           19</t>
  </si>
  <si>
    <t>0806312</t>
  </si>
  <si>
    <t>Antriebssystem EB 41, rechts                         49</t>
  </si>
  <si>
    <t>0806313</t>
  </si>
  <si>
    <t>Antriebssystem EB 41, links                          52</t>
  </si>
  <si>
    <t>0806314</t>
  </si>
  <si>
    <t>Antriebssystem EB 41, rechts variabel                33</t>
  </si>
  <si>
    <t>0806315</t>
  </si>
  <si>
    <t>Antriebssystem EB 41, links variabel                 32</t>
  </si>
  <si>
    <t>0806316</t>
  </si>
  <si>
    <t>ECClos-S Zahnriemenschnelllaufantrieb                41</t>
  </si>
  <si>
    <t>0807001</t>
  </si>
  <si>
    <t>Schnetz-Linear-Dämpfer, D 30100.8T                    5</t>
  </si>
  <si>
    <t>0807002</t>
  </si>
  <si>
    <t>Schnetz-Linear-Dämpfer D 3040.8-T                     4</t>
  </si>
  <si>
    <t>0807004</t>
  </si>
  <si>
    <t>Schnetz-Linear-Dämpfer D 3070.8 T                     4</t>
  </si>
  <si>
    <t>0807005</t>
  </si>
  <si>
    <t>Schnetz-Uno-Dämpfer, D3070.8                          4</t>
  </si>
  <si>
    <t>0807006</t>
  </si>
  <si>
    <t>Schnetz-Dämpfer D-3040.8-T-533                        6</t>
  </si>
  <si>
    <t>0807007</t>
  </si>
  <si>
    <t>Schnetz-Dämpfer D-3040.8-534                          7</t>
  </si>
  <si>
    <t>0807009</t>
  </si>
  <si>
    <t>Schnetz-Linear-Dämpfer D 3040.8-528                   5</t>
  </si>
  <si>
    <t>0807010</t>
  </si>
  <si>
    <t>Schmelzlot 72 Gr. Artikelnummer: M471AF4</t>
  </si>
  <si>
    <t>0807012</t>
  </si>
  <si>
    <t>Schnetz-Dämpfer D-3040.8-528                          4</t>
  </si>
  <si>
    <t>0807014</t>
  </si>
  <si>
    <t>Schmelzlot 96 Groß</t>
  </si>
  <si>
    <t>0807015</t>
  </si>
  <si>
    <t>Türhaftmagnet THM 425                                 3</t>
  </si>
  <si>
    <t>0807016</t>
  </si>
  <si>
    <t>Teleskopanker ATS 75                                  6</t>
  </si>
  <si>
    <t>0807017</t>
  </si>
  <si>
    <t>Uno-Dämpfer mit Magnetrückstellung                   10</t>
  </si>
  <si>
    <t>0807018</t>
  </si>
  <si>
    <t>Uno-Dämpfer mit Magnetrückstellung</t>
  </si>
  <si>
    <t>0808002</t>
  </si>
  <si>
    <t>Federseilrolle FSR 160N, Teile Nr.070060             21</t>
  </si>
  <si>
    <t>0808003</t>
  </si>
  <si>
    <t>Federseilrolle, 320 N, mit Rutschnabe                44</t>
  </si>
  <si>
    <t>0808004</t>
  </si>
  <si>
    <t>Federseilrolle 80 N / Seillänge 2 m                   3</t>
  </si>
  <si>
    <t>0808005</t>
  </si>
  <si>
    <t>Druckfeder D-275A</t>
  </si>
  <si>
    <t>0808007</t>
  </si>
  <si>
    <t>Federseilrolle 50 N/ Seillänge 2 m                    3</t>
  </si>
  <si>
    <t>0808009</t>
  </si>
  <si>
    <t>Druckfeder D-151B</t>
  </si>
  <si>
    <t>0808010</t>
  </si>
  <si>
    <t>Zugfeder 51770</t>
  </si>
  <si>
    <t>0808011</t>
  </si>
  <si>
    <t>Zugfeder RZ-126I</t>
  </si>
  <si>
    <t>0808012</t>
  </si>
  <si>
    <t>Zugfeder RZ - 0911</t>
  </si>
  <si>
    <t>0808013</t>
  </si>
  <si>
    <t>Zugfeder Z - 072 F - 01 X</t>
  </si>
  <si>
    <t>0808014</t>
  </si>
  <si>
    <t>Zugfederstrang M-024A</t>
  </si>
  <si>
    <t>0808015</t>
  </si>
  <si>
    <t>Zugfederstrang 1.1200 C6486 M-039                     1</t>
  </si>
  <si>
    <t>0808017</t>
  </si>
  <si>
    <t>Zugfeder 14,5 98,8</t>
  </si>
  <si>
    <t>0808018</t>
  </si>
  <si>
    <t>Zugfeder Z-057EI                                      3</t>
  </si>
  <si>
    <t>0808024</t>
  </si>
  <si>
    <t>Zugfeder M-039 J                                      1</t>
  </si>
  <si>
    <t>0808025</t>
  </si>
  <si>
    <t>Zugfeder 10 x 1,4,  L = 84,7, Z - 115 QI</t>
  </si>
  <si>
    <t>0808026</t>
  </si>
  <si>
    <t>Zugfeder 1.40x10.00x96.90</t>
  </si>
  <si>
    <t>0808027</t>
  </si>
  <si>
    <t>Zugfeder für Schwenkarm, Z - 109I</t>
  </si>
  <si>
    <t>0808028</t>
  </si>
  <si>
    <t>Zugfeder Z-147RI</t>
  </si>
  <si>
    <t>0808031</t>
  </si>
  <si>
    <t>Druckfeder D 232 K</t>
  </si>
  <si>
    <t>0808032</t>
  </si>
  <si>
    <t>Druckfeder D 206 G</t>
  </si>
  <si>
    <t>0808033</t>
  </si>
  <si>
    <t>Druckfeder D 180 K</t>
  </si>
  <si>
    <t>0808034</t>
  </si>
  <si>
    <t>Druckfeder D 155 G</t>
  </si>
  <si>
    <t>0808036</t>
  </si>
  <si>
    <t>Druckfeder D 263 J</t>
  </si>
  <si>
    <t>0808037</t>
  </si>
  <si>
    <t>Schenkelfeder, rechts T-19525R</t>
  </si>
  <si>
    <t>0808038</t>
  </si>
  <si>
    <t>Schenkelfeder, links T-195252L</t>
  </si>
  <si>
    <t>0808039</t>
  </si>
  <si>
    <t>Drehfeder Fiber-Smokeshield - S</t>
  </si>
  <si>
    <t>0808040</t>
  </si>
  <si>
    <t>Druckfeder VD 155 G Edelstahl</t>
  </si>
  <si>
    <t>0808041</t>
  </si>
  <si>
    <t>Druckfeder D 209</t>
  </si>
  <si>
    <t>0808042</t>
  </si>
  <si>
    <t>Druckfeder VD 263 J Edelstahl</t>
  </si>
  <si>
    <t>0808050</t>
  </si>
  <si>
    <t>Blattfeder kpl. Federnde Abschlussleiste</t>
  </si>
  <si>
    <t>0808051</t>
  </si>
  <si>
    <t>Blattfeder 80x0,7x1.4310 oben</t>
  </si>
  <si>
    <t>0808052</t>
  </si>
  <si>
    <t>Blattfeder 80x0,7x1.4310 unten</t>
  </si>
  <si>
    <t>0808053</t>
  </si>
  <si>
    <t>Klemmfeder 6 x 0,5</t>
  </si>
  <si>
    <t>0808054</t>
  </si>
  <si>
    <t>Federblech, oben</t>
  </si>
  <si>
    <t>0808055</t>
  </si>
  <si>
    <t>Federblech, unten</t>
  </si>
  <si>
    <t>0808056</t>
  </si>
  <si>
    <t>Federblech kpl. Federnde Abschlussleiste</t>
  </si>
  <si>
    <t>0808057</t>
  </si>
  <si>
    <t>Federbandstahl Fiber/Smokeshield-S</t>
  </si>
  <si>
    <t>0808058</t>
  </si>
  <si>
    <t>Abspreizfeder aus Federblech</t>
  </si>
  <si>
    <t>0808059</t>
  </si>
  <si>
    <t>Federblech, Führungsschiene</t>
  </si>
  <si>
    <t>0808060</t>
  </si>
  <si>
    <t>Zugfeder Z-107I</t>
  </si>
  <si>
    <t>0808061</t>
  </si>
  <si>
    <t>0808102</t>
  </si>
  <si>
    <t>Novotec Gasdruckfeder, Art. S999502-253A              1</t>
  </si>
  <si>
    <t>0808103</t>
  </si>
  <si>
    <t>Novotec Gasdruckfeder, Art.-Nr S218829-B              1</t>
  </si>
  <si>
    <t>0808105</t>
  </si>
  <si>
    <t>Gasdruckfeder, Bestellnummer:                         1</t>
  </si>
  <si>
    <t>0808106</t>
  </si>
  <si>
    <t>Gasdruckfeder, Bestellnummer:                         2</t>
  </si>
  <si>
    <t>0808107</t>
  </si>
  <si>
    <t>0808108</t>
  </si>
  <si>
    <t>0808110</t>
  </si>
  <si>
    <t>Novotec-Gasdruckfeder N70                             1</t>
  </si>
  <si>
    <t>0808111</t>
  </si>
  <si>
    <t>0808112</t>
  </si>
  <si>
    <t>0808113</t>
  </si>
  <si>
    <t>Gaszugfeder, Hub 650 mm,10 x 12 N900                  7</t>
  </si>
  <si>
    <t>0808114</t>
  </si>
  <si>
    <t>Unimatic Gasdruckfeder, Hub 650 8 x 12                6</t>
  </si>
  <si>
    <t>0808115</t>
  </si>
  <si>
    <t>Unimatic Gaszugfeder Hub 600 mm, N650                 7</t>
  </si>
  <si>
    <t>0808116</t>
  </si>
  <si>
    <t>Gasdruckfeder GS 22-350-AA-V-150 CopyCap              2</t>
  </si>
  <si>
    <t>0808117</t>
  </si>
  <si>
    <t>Gasdruckfeder GS 19-100-AA-V-350 Duoflap              1</t>
  </si>
  <si>
    <t>0808118</t>
  </si>
  <si>
    <t>Gasdruckfeder GS 19-100-AA-V-450 Duoflap              1</t>
  </si>
  <si>
    <t>0808119</t>
  </si>
  <si>
    <t>Gasdruckfeder GS 19-150-AA-V-350 Duoflap              1</t>
  </si>
  <si>
    <t>0808120</t>
  </si>
  <si>
    <t>Gasdruckfeder GS 19-150-AA-V-450 Duoflap              1</t>
  </si>
  <si>
    <t>0808121</t>
  </si>
  <si>
    <t>Gasdruckfeder GS 19-200-AA-V-350 Duoflap              1</t>
  </si>
  <si>
    <t>0808122</t>
  </si>
  <si>
    <t>Gasdruckfeder GS 19-200-AA-V-450 Duoflap              1</t>
  </si>
  <si>
    <t>0808123</t>
  </si>
  <si>
    <t>Gasdruckfeder GS 15-40-BB-250                         1</t>
  </si>
  <si>
    <t>0808124</t>
  </si>
  <si>
    <t>Gasdruckfeder GS 19-300-AA-V-350 Duoflap</t>
  </si>
  <si>
    <t>0808125</t>
  </si>
  <si>
    <t>Gasdruckfeder GS 19-300-AA-V-450 Duoflap              2</t>
  </si>
  <si>
    <t>0808126</t>
  </si>
  <si>
    <t>ACE Tubus Strukturdämpfer                             2</t>
  </si>
  <si>
    <t>0808127</t>
  </si>
  <si>
    <t>ACE Tubus Strukturdämpfer                             3</t>
  </si>
  <si>
    <t>0808128</t>
  </si>
  <si>
    <t>Unimatic Gasdruckfeder10/22 F=650N,H=400</t>
  </si>
  <si>
    <t>0808200</t>
  </si>
  <si>
    <t>Gasdruckfeder ACE Anschlussart A8/A8 N80              2</t>
  </si>
  <si>
    <t>0808204</t>
  </si>
  <si>
    <t>GS-Feder aus GESANORM100 Ausführung</t>
  </si>
  <si>
    <t>0808205</t>
  </si>
  <si>
    <t>Schwingmetall-Puffer</t>
  </si>
  <si>
    <t>0808302</t>
  </si>
  <si>
    <t>Torsionsfeder Omnicompakt</t>
  </si>
  <si>
    <t>0808308</t>
  </si>
  <si>
    <t>Torsionsfeder  Stöbich Standard!!                    19</t>
  </si>
  <si>
    <t>0808309</t>
  </si>
  <si>
    <t>0808401</t>
  </si>
  <si>
    <t>Spannvorrichtung Drahtseil z.B. Festfeld</t>
  </si>
  <si>
    <t>0809001</t>
  </si>
  <si>
    <t>Gurtrolle Alu</t>
  </si>
  <si>
    <t>0809005</t>
  </si>
  <si>
    <t>0809007</t>
  </si>
  <si>
    <t>Klemmstück für Gurtrolle107x37 Uni-B/RGT</t>
  </si>
  <si>
    <t>0809008</t>
  </si>
  <si>
    <t>Klemmstück für Gurtrolle EB 51,52,53</t>
  </si>
  <si>
    <t>0809010</t>
  </si>
  <si>
    <t>Gurtumlenkrolle komplett</t>
  </si>
  <si>
    <t>0809011</t>
  </si>
  <si>
    <t>Gurtrolle für UNIVERSAL B</t>
  </si>
  <si>
    <t>0809012</t>
  </si>
  <si>
    <t>Seilrolle aus Aluminium für</t>
  </si>
  <si>
    <t>0809013</t>
  </si>
  <si>
    <t>Doppelleitrolle - Copy-Cap Decke</t>
  </si>
  <si>
    <t>0810001</t>
  </si>
  <si>
    <t>Laufschienen-Verbindungsmuffe</t>
  </si>
  <si>
    <t>0810002</t>
  </si>
  <si>
    <t>Hangrolle 70 aus PA 6</t>
  </si>
  <si>
    <t>0810003</t>
  </si>
  <si>
    <t>Rollapparat Nummer 491/85, verzinkt                   4</t>
  </si>
  <si>
    <t>0810004</t>
  </si>
  <si>
    <t>Schiebetürrolle für Stahltore verz, .                 1</t>
  </si>
  <si>
    <t>0810005</t>
  </si>
  <si>
    <t>Schiebetürrolle für Stahltore                         1</t>
  </si>
  <si>
    <t>0810006</t>
  </si>
  <si>
    <t>Hangrolle für RGT/OS/Uni-B</t>
  </si>
  <si>
    <t>0810007</t>
  </si>
  <si>
    <t>0810008</t>
  </si>
  <si>
    <t>Rollapparat Nummer 524 Ri,verzinkt</t>
  </si>
  <si>
    <t>0810010</t>
  </si>
  <si>
    <t>Führungsrolle-Helm 449S Nummer:546788</t>
  </si>
  <si>
    <t>0810011</t>
  </si>
  <si>
    <t>Rollapparat Helm Nummer 471 verzinkt für              3</t>
  </si>
  <si>
    <t>0810012</t>
  </si>
  <si>
    <t>Rollapparat Helm Nummer 191 verzinkt                  1</t>
  </si>
  <si>
    <t>0810013</t>
  </si>
  <si>
    <t>Rollapparat Nummer 591-85 verzinkt</t>
  </si>
  <si>
    <t>0810014</t>
  </si>
  <si>
    <t>Drehbarer Kugelkopf GN 319.2-25-M6</t>
  </si>
  <si>
    <t>0810015</t>
  </si>
  <si>
    <t>0810016</t>
  </si>
  <si>
    <t>Kugelkopf</t>
  </si>
  <si>
    <t>0810017</t>
  </si>
  <si>
    <t>Führungsrolle für RSV-6</t>
  </si>
  <si>
    <t>0810018</t>
  </si>
  <si>
    <t>Führungsrolle 12-B OC-Lamelle</t>
  </si>
  <si>
    <t>0810019</t>
  </si>
  <si>
    <t>Rollapparat Nummer 592-85 verzinkt</t>
  </si>
  <si>
    <t>0810020</t>
  </si>
  <si>
    <t>Hangrolle RGT aus                                     1</t>
  </si>
  <si>
    <t>0810021</t>
  </si>
  <si>
    <t>Führungsrolle 16-B OC-Lamelle</t>
  </si>
  <si>
    <t>0810022</t>
  </si>
  <si>
    <t>Führungsrolle 16-16-B OC-Lamelle</t>
  </si>
  <si>
    <t>0810023</t>
  </si>
  <si>
    <t>0810024</t>
  </si>
  <si>
    <t>Zylinderbolzen für drehbaren Kugelkopf</t>
  </si>
  <si>
    <t>0810025</t>
  </si>
  <si>
    <t>Stahl-Kugelkopf</t>
  </si>
  <si>
    <t>0810026</t>
  </si>
  <si>
    <t>Sprengring F.GR.25</t>
  </si>
  <si>
    <t>0810027</t>
  </si>
  <si>
    <t>Bolzen</t>
  </si>
  <si>
    <t>0810028</t>
  </si>
  <si>
    <t>Umlenkrolle Führungsschiene 120x190 FSA</t>
  </si>
  <si>
    <t>0810029</t>
  </si>
  <si>
    <t>Führungsrolle OC-Lamelle EI120</t>
  </si>
  <si>
    <t>0810030</t>
  </si>
  <si>
    <t>Lamellenrolle EI120 OC-Lamelle</t>
  </si>
  <si>
    <t>0810050</t>
  </si>
  <si>
    <t>Rollapparat für RSV mit 2 Tragrollen</t>
  </si>
  <si>
    <t>0810051</t>
  </si>
  <si>
    <t>Rollapparat groß für RSV mit 2 Tragr.</t>
  </si>
  <si>
    <t>0810055</t>
  </si>
  <si>
    <t>Rollapparat für RSV komplett mit</t>
  </si>
  <si>
    <t>0810056</t>
  </si>
  <si>
    <t>Rollapparat für RSV/FSV mit 2 Tragrollen              1</t>
  </si>
  <si>
    <t>0810057</t>
  </si>
  <si>
    <t>Einlaufdorn Stangenführung D=20 RS/FSA</t>
  </si>
  <si>
    <t>0810059</t>
  </si>
  <si>
    <t>Dorn für Schiene Typ 02 RS / FSA</t>
  </si>
  <si>
    <t>0810060</t>
  </si>
  <si>
    <t>Einlaufdorn Stangenführung D=40 RS/FSA</t>
  </si>
  <si>
    <t>0810061</t>
  </si>
  <si>
    <t>Laufbuchse Stangenführung D=40 RS/FSA</t>
  </si>
  <si>
    <t>0810062</t>
  </si>
  <si>
    <t>Rohrverbinder Stangenführung D=40 RS/FSA</t>
  </si>
  <si>
    <t>0811001</t>
  </si>
  <si>
    <t>Gleichstrom-Türhaftmagnet Typ EM GD 50                4</t>
  </si>
  <si>
    <t>0811002</t>
  </si>
  <si>
    <t>Ankerplatte Typ AP GD 50 G 16</t>
  </si>
  <si>
    <t>0811003</t>
  </si>
  <si>
    <t>Gleichstrom-Türhaftmagnet Typ EM GD 70                6</t>
  </si>
  <si>
    <t>0811004</t>
  </si>
  <si>
    <t>Ankerplatte Typ GD 70 G 20</t>
  </si>
  <si>
    <t>0811005</t>
  </si>
  <si>
    <t>Gleichstrom-Türhaft-Magnet GTR070.110501             30</t>
  </si>
  <si>
    <t>0811006</t>
  </si>
  <si>
    <t>Ankerplatte GT X 070.001001</t>
  </si>
  <si>
    <t>0811007</t>
  </si>
  <si>
    <t>Gleichstrom-Türhaftmagnet Typ GD 70,                  4</t>
  </si>
  <si>
    <t>0811008</t>
  </si>
  <si>
    <t>Haltemagnet GT 50 R072.00                             2</t>
  </si>
  <si>
    <t>0811009</t>
  </si>
  <si>
    <t>Türhaftmagnet Typ EM GD 50, R 26                      3</t>
  </si>
  <si>
    <t>0811010</t>
  </si>
  <si>
    <t>Ex-Haltemagnet EMGD 70 Ex 43M,                       31</t>
  </si>
  <si>
    <t>0811011</t>
  </si>
  <si>
    <t>Haltemagnet EM GD 70 F 39, 230 V AC                   7</t>
  </si>
  <si>
    <t>0811012</t>
  </si>
  <si>
    <t>Gleichstrom-Haftmagnet GTB025.150001                  1</t>
  </si>
  <si>
    <t>0811013</t>
  </si>
  <si>
    <t>Ankerplatte GT25R005-200</t>
  </si>
  <si>
    <t>0811014</t>
  </si>
  <si>
    <t>Elektrohaftmagnet EM GD 50 F 26 RM                    4</t>
  </si>
  <si>
    <t>0811015</t>
  </si>
  <si>
    <t>Magnetkupplung 170, Nr.: 8601117E00                  16</t>
  </si>
  <si>
    <t>0811016</t>
  </si>
  <si>
    <t>Magnetkupplung 140,B20H7,Paßf6mm                     16</t>
  </si>
  <si>
    <t>0811017</t>
  </si>
  <si>
    <t>Dictator Haftmagnet EM GD 70 F39 ST                   6</t>
  </si>
  <si>
    <t>0811018</t>
  </si>
  <si>
    <t>Dictator Haftmagnet EM GD 50 F26 ST                   4</t>
  </si>
  <si>
    <t>0811019</t>
  </si>
  <si>
    <t>Hekatron Türhaftmagnet THM 439/485</t>
  </si>
  <si>
    <t>0811020</t>
  </si>
  <si>
    <t>Hekatron Flexibler Anker, AFS 55</t>
  </si>
  <si>
    <t>0811027</t>
  </si>
  <si>
    <t>Ankerplatte mit Winkelgelenk                          1</t>
  </si>
  <si>
    <t>0811029</t>
  </si>
  <si>
    <t>Dictator Ankerplatte mit Winkelgelenk                 1</t>
  </si>
  <si>
    <t>0811030</t>
  </si>
  <si>
    <t>Ankerplatte 75mm Standart, vernickelt                 1</t>
  </si>
  <si>
    <t>0811031</t>
  </si>
  <si>
    <t>Magnet Schmersal BP 21 N                              1</t>
  </si>
  <si>
    <t>0811032</t>
  </si>
  <si>
    <t>Magnetschalter Schmersal BN 31 RZ                     2</t>
  </si>
  <si>
    <t>0811033</t>
  </si>
  <si>
    <t>Türhaftmagnet THM 445 E X  24V                       28</t>
  </si>
  <si>
    <t>0811034</t>
  </si>
  <si>
    <t>Kendrion Türhaltemagnet GTR070.024002</t>
  </si>
  <si>
    <t>0811036</t>
  </si>
  <si>
    <t>Magnet Schmersal BPS 250</t>
  </si>
  <si>
    <t>0811037</t>
  </si>
  <si>
    <t>Magnetschalter Schmersal BNS 250-11z                  2</t>
  </si>
  <si>
    <t>0811041</t>
  </si>
  <si>
    <t>Teleskopankerplatte 75mm, vernickelt,                 3</t>
  </si>
  <si>
    <t>0811042</t>
  </si>
  <si>
    <t>Dauermagnet OC</t>
  </si>
  <si>
    <t>0812001</t>
  </si>
  <si>
    <t>Positionsschalter 3SE2120-1G, gekapselt               2</t>
  </si>
  <si>
    <t>Siemens Positionsschalter</t>
  </si>
  <si>
    <t>0812003</t>
  </si>
  <si>
    <t>Positionsschalter ENM2-SU1Z AHS-V                     2</t>
  </si>
  <si>
    <t>0812004</t>
  </si>
  <si>
    <t>Positionsschalter ENM2-SU1 EX AV                     15</t>
  </si>
  <si>
    <t>0812005</t>
  </si>
  <si>
    <t>Positionsschalter 3SE3200-1E, gekapselt</t>
  </si>
  <si>
    <t>0812006</t>
  </si>
  <si>
    <t>Endschalter Schmersal                                 2</t>
  </si>
  <si>
    <t>0812007</t>
  </si>
  <si>
    <t>Positionsschalter ENM2-SU1Z Riw</t>
  </si>
  <si>
    <t>0812008</t>
  </si>
  <si>
    <t>Positionsschalter 3SE3200-1W                          2</t>
  </si>
  <si>
    <t>0812009</t>
  </si>
  <si>
    <t>Positionsschalter 3SE3200-1G, gekapselt               1</t>
  </si>
  <si>
    <t>0812010</t>
  </si>
  <si>
    <t>Positionsschalter, Art-Nr.  3SE3120-OW                2</t>
  </si>
  <si>
    <t>0812011</t>
  </si>
  <si>
    <t>Protronic Motorschalter MABM, ohne                    6</t>
  </si>
  <si>
    <t>0812012</t>
  </si>
  <si>
    <t>Positionsschalter 3SE3120-1U                          2</t>
  </si>
  <si>
    <t>0812013</t>
  </si>
  <si>
    <t>Protronic Motorschalter MABM mit                      7</t>
  </si>
  <si>
    <t>0812014</t>
  </si>
  <si>
    <t>Positionsschalter 3SE3120-1W                          2</t>
  </si>
  <si>
    <t>0812015</t>
  </si>
  <si>
    <t>Bernstein Positionsschalter ENM2-E2 AV,               3</t>
  </si>
  <si>
    <t>0812016</t>
  </si>
  <si>
    <t>Siemens Positionsschalter mit Kabel                   3</t>
  </si>
  <si>
    <t>0812050</t>
  </si>
  <si>
    <t>Endschalter mit Schwenkhebel                          1</t>
  </si>
  <si>
    <t>0812060</t>
  </si>
  <si>
    <t>Positionsschalter Schmersal                           1</t>
  </si>
  <si>
    <t>0812061</t>
  </si>
  <si>
    <t>Positionsschalter Schmersal ES 14 D                   2</t>
  </si>
  <si>
    <t>0812062</t>
  </si>
  <si>
    <t>Positionsschalter Schmersal                           3</t>
  </si>
  <si>
    <t>0812063</t>
  </si>
  <si>
    <t>Positionsmikroschalter Schmersal                      1</t>
  </si>
  <si>
    <t>0812064</t>
  </si>
  <si>
    <t>Positionsmikroschalter Schmersal                      2</t>
  </si>
  <si>
    <t>0812065</t>
  </si>
  <si>
    <t>Sicherheitsendschalter  Kabelverlängt OC              3</t>
  </si>
  <si>
    <t>0812066</t>
  </si>
  <si>
    <t>Getriebeendschalter Serie FRS                         6</t>
  </si>
  <si>
    <t>0812067</t>
  </si>
  <si>
    <t>Getriebeendschalter Typ FRM                           7</t>
  </si>
  <si>
    <t>0813000</t>
  </si>
  <si>
    <t>Nährungsinitiator NBN40-L2-E2-V1                      3</t>
  </si>
  <si>
    <t>0813001</t>
  </si>
  <si>
    <t>Näherungsinitiator NJ40+U1+E2                         3</t>
  </si>
  <si>
    <t>0813002</t>
  </si>
  <si>
    <t>Näherungsinitiator NJ30+U1+E2                         5</t>
  </si>
  <si>
    <t>0813003</t>
  </si>
  <si>
    <t>Näherungsinitiator KIB-M18NS/005-KL2                  1</t>
  </si>
  <si>
    <t>0813004</t>
  </si>
  <si>
    <t>xxxxxxxxxxxxxxxxxxxxxxxxxxxxxxxxxxxxxxxx              1</t>
  </si>
  <si>
    <t>0813005</t>
  </si>
  <si>
    <t>Näherungsinitiator KIB-M18PS/005-KL2V                 1</t>
  </si>
  <si>
    <t>0813006</t>
  </si>
  <si>
    <t>Bernstein Näherungsinitiator</t>
  </si>
  <si>
    <t>0813007</t>
  </si>
  <si>
    <t>Näherungsinitiator KIB-M18PS/005-KL2                  3</t>
  </si>
  <si>
    <t>0813009</t>
  </si>
  <si>
    <t>Näherungsinitiator NBB20-L2-E2-V1                     2</t>
  </si>
  <si>
    <t>0813010</t>
  </si>
  <si>
    <t>Näherungsschalter KIN-N44PP/040-KLSE                  6</t>
  </si>
  <si>
    <t>0813011</t>
  </si>
  <si>
    <t>Motorkondensator 450V 10,0 uF</t>
  </si>
  <si>
    <t>0813012</t>
  </si>
  <si>
    <t>Motorkondensator</t>
  </si>
  <si>
    <t>0813013</t>
  </si>
  <si>
    <t>0813014</t>
  </si>
  <si>
    <t>Traub Mikroschalter 324</t>
  </si>
  <si>
    <t>0813015</t>
  </si>
  <si>
    <t>Sicherheitsendschalter, 1184069                       4</t>
  </si>
  <si>
    <t>0813016</t>
  </si>
  <si>
    <t>Magnet f. Sicherheitsendschalter BP 10</t>
  </si>
  <si>
    <t>0813017</t>
  </si>
  <si>
    <t>Pepper+Fuchs Initiator NBB20-L2M-A0-V1</t>
  </si>
  <si>
    <t>0814001</t>
  </si>
  <si>
    <t>Seilumlenkung komplett FAA innen UNI</t>
  </si>
  <si>
    <t>0814002</t>
  </si>
  <si>
    <t>Seilumlenkung, kpl außen UNI</t>
  </si>
  <si>
    <t>0814003</t>
  </si>
  <si>
    <t>Seilumlenkung 60 mm Ecotube</t>
  </si>
  <si>
    <t>0814004</t>
  </si>
  <si>
    <t>Seilumlenkung für Uni-Q</t>
  </si>
  <si>
    <t>0814005</t>
  </si>
  <si>
    <t>Seilumlenkung Gegengewicht Ecotube N7                 2</t>
  </si>
  <si>
    <t>0814006</t>
  </si>
  <si>
    <t>Seilrolle Helm Nr.823                                 1</t>
  </si>
  <si>
    <t>0814007</t>
  </si>
  <si>
    <t>L-Kantung für Seilumlenkung innen</t>
  </si>
  <si>
    <t>0814008</t>
  </si>
  <si>
    <t>L-Kantung für Federseilrolle 80N</t>
  </si>
  <si>
    <t>0814009</t>
  </si>
  <si>
    <t>Z-Kantung für Seilumlenkung FAA außen</t>
  </si>
  <si>
    <t>0814010</t>
  </si>
  <si>
    <t>Gurtumlenkung 25mm komplett Uni-B</t>
  </si>
  <si>
    <t>Gurtumlenkung für 25 mm Gurt komplett</t>
  </si>
  <si>
    <t>0814011</t>
  </si>
  <si>
    <t>Gurtumlenkung für Flaschenzug RGT/OS</t>
  </si>
  <si>
    <t>0814014</t>
  </si>
  <si>
    <t>Gurtumlenkung UNI</t>
  </si>
  <si>
    <t>0814016</t>
  </si>
  <si>
    <t>Gurtumlenkung komplett für UNIVERSAL Q</t>
  </si>
  <si>
    <t>0814017</t>
  </si>
  <si>
    <t>Seilumlenkung komplett für UNIVERSAL Q</t>
  </si>
  <si>
    <t>0814018</t>
  </si>
  <si>
    <t>Seilumlenkung für Verriegelung UNI B</t>
  </si>
  <si>
    <t>0814020</t>
  </si>
  <si>
    <t>Kettenumlenkung groß FAA/Uni-B</t>
  </si>
  <si>
    <t>0814021</t>
  </si>
  <si>
    <t>Doppelte Kettenumlenkung groß FAA/Uni-B               1</t>
  </si>
  <si>
    <t>0814023</t>
  </si>
  <si>
    <t>Kettenumlenkung, doppelt, 1/2x1/8</t>
  </si>
  <si>
    <t>0814024</t>
  </si>
  <si>
    <t>Kettenumlenkung, einfach, 1/2x1/8</t>
  </si>
  <si>
    <t>0814025</t>
  </si>
  <si>
    <t>Kettenumlenkung</t>
  </si>
  <si>
    <t>0814026</t>
  </si>
  <si>
    <t>Kettenumlenkung                                       1</t>
  </si>
  <si>
    <t>0814027</t>
  </si>
  <si>
    <t>Kettenumlenkung für PN/O</t>
  </si>
  <si>
    <t>0814028</t>
  </si>
  <si>
    <t>Z-Kantung für Federseilrolle 80 N</t>
  </si>
  <si>
    <t>0814029</t>
  </si>
  <si>
    <t>Seilumlenkrolle für Ecotube+++++++++++++</t>
  </si>
  <si>
    <t>0814030</t>
  </si>
  <si>
    <t>Verkrallungsprofil RST37 verzinkt kpl.</t>
  </si>
  <si>
    <t>0814031</t>
  </si>
  <si>
    <t>Führungsschienenprofil-Winkel verz. OC</t>
  </si>
  <si>
    <t>0814032</t>
  </si>
  <si>
    <t>Laufschienendeckel oben re bis 4500mm OC</t>
  </si>
  <si>
    <t>0814033</t>
  </si>
  <si>
    <t>Führungsschienenwand außen unten re OC</t>
  </si>
  <si>
    <t>0814034</t>
  </si>
  <si>
    <t>Führungsschienenwandteil, innen OC bis</t>
  </si>
  <si>
    <t>0814036</t>
  </si>
  <si>
    <t>Laufschienenprofilstück oben links OC</t>
  </si>
  <si>
    <t>0814037</t>
  </si>
  <si>
    <t>Seilumlenkung, kpl innen Ecotube</t>
  </si>
  <si>
    <t>0814038</t>
  </si>
  <si>
    <t>Winkelteil Seilumlenkung Ecotube</t>
  </si>
  <si>
    <t>0814040</t>
  </si>
  <si>
    <t>Verkrallungsprofil OC Baugruppe komplett</t>
  </si>
  <si>
    <t>0814041</t>
  </si>
  <si>
    <t>Z-Kantung für Seilumlenkung FAA innen</t>
  </si>
  <si>
    <t>0814042</t>
  </si>
  <si>
    <t>L-Kantung für Seilumlenkung außen</t>
  </si>
  <si>
    <t>0814043</t>
  </si>
  <si>
    <t>Seilumlenkung 3mm Seil, 30 mm Rolle                   1</t>
  </si>
  <si>
    <t>0814044</t>
  </si>
  <si>
    <t>Z-Stück für Seilumlenkung Uni-B</t>
  </si>
  <si>
    <t>0814045</t>
  </si>
  <si>
    <t>L-Stück für Seilumlenkung Uni-B</t>
  </si>
  <si>
    <t>0814054</t>
  </si>
  <si>
    <t>Laufschienenwinkel f.Lauffläche OC</t>
  </si>
  <si>
    <t>0814055</t>
  </si>
  <si>
    <t>Seilumlenkung für 3mm Seil mit 60 mm</t>
  </si>
  <si>
    <t>0814056</t>
  </si>
  <si>
    <t>Laufschienenprofil OC,</t>
  </si>
  <si>
    <t>0814057</t>
  </si>
  <si>
    <t>Laufschienendeckel OC</t>
  </si>
  <si>
    <t>0814058</t>
  </si>
  <si>
    <t>Führungsschienenwandaußen unten re  OCab</t>
  </si>
  <si>
    <t>0814059</t>
  </si>
  <si>
    <t>Kabelführung für Kabeltrommel OC</t>
  </si>
  <si>
    <t>0814060</t>
  </si>
  <si>
    <t>Führungsblech für Lager 6000.2RS OC</t>
  </si>
  <si>
    <t>0814061</t>
  </si>
  <si>
    <t>Halterung Kabeltrommel OC</t>
  </si>
  <si>
    <t>0814062</t>
  </si>
  <si>
    <t>Laufschienenprofil-Wand außen 16-B OC</t>
  </si>
  <si>
    <t>0814063</t>
  </si>
  <si>
    <t>Führungsschienenwandteil, innen OC ab</t>
  </si>
  <si>
    <t>0814064</t>
  </si>
  <si>
    <t>Laufschienendeckel oben re ab 4500 mm OC</t>
  </si>
  <si>
    <t>0814065</t>
  </si>
  <si>
    <t>Laufschinenwinkel 16-B OC</t>
  </si>
  <si>
    <t>0814066</t>
  </si>
  <si>
    <t>Laufschienenprofilstück oben rechts OC</t>
  </si>
  <si>
    <t>0814067</t>
  </si>
  <si>
    <t>Laufschienenprofilstück oben re 16-B OC</t>
  </si>
  <si>
    <t>0814068</t>
  </si>
  <si>
    <t>Laufschienenprofilstück oben li 16-B OC</t>
  </si>
  <si>
    <t>0814069</t>
  </si>
  <si>
    <t>Halterung Kabeltrommel RS FSA</t>
  </si>
  <si>
    <t>0814070</t>
  </si>
  <si>
    <t>Halterung Kabeltrommel Deckel RS FSA</t>
  </si>
  <si>
    <t>0814071</t>
  </si>
  <si>
    <t>Seilumlenkung komplett innen V2A UNI</t>
  </si>
  <si>
    <t>0814072</t>
  </si>
  <si>
    <t>Seilumlenkung Z-Stück innen V2A UNI</t>
  </si>
  <si>
    <t>0814073</t>
  </si>
  <si>
    <t>Seilumlenkung Winkel innen V2A UNI</t>
  </si>
  <si>
    <t>0814074</t>
  </si>
  <si>
    <t>0814075</t>
  </si>
  <si>
    <t>0814076</t>
  </si>
  <si>
    <t>0814077</t>
  </si>
  <si>
    <t>Deckel für Halterung Kabeltrommel RS/FSA</t>
  </si>
  <si>
    <t>0814078</t>
  </si>
  <si>
    <t>Seilumlenkung Gegengewicht Ecotube N1/N3              1</t>
  </si>
  <si>
    <t>0814079</t>
  </si>
  <si>
    <t>Z-Kantung für Seilumlenkung 60 Ecotube</t>
  </si>
  <si>
    <t>0814080</t>
  </si>
  <si>
    <t>L-Kantung für Seilumlenkung 60 Ecotube</t>
  </si>
  <si>
    <t>0814081</t>
  </si>
  <si>
    <t>Laufschienendeckel unten re bis4500mm OC</t>
  </si>
  <si>
    <t>0814082</t>
  </si>
  <si>
    <t>Laufschienendeckel unten li bis4500mm OC</t>
  </si>
  <si>
    <t>0814083</t>
  </si>
  <si>
    <t>Laufschienendeckel unten re ab4500 mm OC</t>
  </si>
  <si>
    <t>0814084</t>
  </si>
  <si>
    <t>Laufschienendeckel unten li ab4500 mm OC</t>
  </si>
  <si>
    <t>0814085</t>
  </si>
  <si>
    <t>Laufschienendeckel oben li bis 4500mm OC</t>
  </si>
  <si>
    <t>0814086</t>
  </si>
  <si>
    <t>Laufschienendeckel oben li ab 4500 mm OC</t>
  </si>
  <si>
    <t>0814087</t>
  </si>
  <si>
    <t>Führungsschienenwand außen unten li OC</t>
  </si>
  <si>
    <t>0814088</t>
  </si>
  <si>
    <t>Führungsschienenwand außen oben re OC</t>
  </si>
  <si>
    <t>0814089</t>
  </si>
  <si>
    <t>Führungsschienenwand außen oben li OC</t>
  </si>
  <si>
    <t>0814090</t>
  </si>
  <si>
    <t>Führungsschienenwandaußen unten li  OCab</t>
  </si>
  <si>
    <t>0814091</t>
  </si>
  <si>
    <t>Führungsschienenwandaußen oben re  OCab</t>
  </si>
  <si>
    <t>0814092</t>
  </si>
  <si>
    <t>Führungsschienenwandaußen oben li  OCab</t>
  </si>
  <si>
    <t>0814093</t>
  </si>
  <si>
    <t>0814094</t>
  </si>
  <si>
    <t>0814095</t>
  </si>
  <si>
    <t>0814096</t>
  </si>
  <si>
    <t>0814097</t>
  </si>
  <si>
    <t>Laufschienendeckel oben rechts</t>
  </si>
  <si>
    <t>0814098</t>
  </si>
  <si>
    <t>Laufschienendeckel oben links</t>
  </si>
  <si>
    <t>0814099</t>
  </si>
  <si>
    <t>0814100</t>
  </si>
  <si>
    <t>0814101</t>
  </si>
  <si>
    <t>Wandprofil unten rechts Führsch OC-EI120</t>
  </si>
  <si>
    <t>0814102</t>
  </si>
  <si>
    <t>Wandprofil unten links Führsch OC-EI120</t>
  </si>
  <si>
    <t>0814103</t>
  </si>
  <si>
    <t>Wandprofil oben rechts Führsch OC-EI120</t>
  </si>
  <si>
    <t>0814104</t>
  </si>
  <si>
    <t>Wandprofil oben links Führsch OC-EI120</t>
  </si>
  <si>
    <t>0814105</t>
  </si>
  <si>
    <t>Wandwinkel unten rechts Führsch OC-EI120</t>
  </si>
  <si>
    <t>0814106</t>
  </si>
  <si>
    <t>Wandwinkel unten links Führsch OC-EI120</t>
  </si>
  <si>
    <t>0814107</t>
  </si>
  <si>
    <t>Wandwinkel oben rechts Führsch OC-EI120</t>
  </si>
  <si>
    <t>0814108</t>
  </si>
  <si>
    <t>Wandwinkel oben links Führsch OC-EI120</t>
  </si>
  <si>
    <t>0814109</t>
  </si>
  <si>
    <t>Deckel unten rechts Führsch OC-EI120</t>
  </si>
  <si>
    <t>0814110</t>
  </si>
  <si>
    <t>Deckel unten links Führsch OC-EI120</t>
  </si>
  <si>
    <t>0814111</t>
  </si>
  <si>
    <t>Deckel oben rechts Führsch OC-EI120</t>
  </si>
  <si>
    <t>0814112</t>
  </si>
  <si>
    <t>Deckel oben links Führsch OC-EI120</t>
  </si>
  <si>
    <t>0814113</t>
  </si>
  <si>
    <t>Führwinkel unten rechts Führsch OC-EI120</t>
  </si>
  <si>
    <t>0814114</t>
  </si>
  <si>
    <t>Führwinkel unten links Führsch OC-EI120</t>
  </si>
  <si>
    <t>0814115</t>
  </si>
  <si>
    <t>Führwinkel mitte rechts Führsch OC-EI120</t>
  </si>
  <si>
    <t>0814116</t>
  </si>
  <si>
    <t>Führwinkel mitte links Führsch OC-EI120</t>
  </si>
  <si>
    <t>0814117</t>
  </si>
  <si>
    <t>Führwinkel oben rechts Führsch OC-EI120</t>
  </si>
  <si>
    <t>0814118</t>
  </si>
  <si>
    <t>Führwinkel oben links Führsch OC-EI120</t>
  </si>
  <si>
    <t>0814119</t>
  </si>
  <si>
    <t>Führungsprofil Führschiene OC-EI120</t>
  </si>
  <si>
    <t>0814120</t>
  </si>
  <si>
    <t>Fangprofil 1 Wandseite OC-EI120                       1</t>
  </si>
  <si>
    <t>0814121</t>
  </si>
  <si>
    <t>Fangprofil 2 Wandseite OC-EI120</t>
  </si>
  <si>
    <t>0814122</t>
  </si>
  <si>
    <t>Fangprofil 1 Raumseite OC-EI120                       1</t>
  </si>
  <si>
    <t>0814123</t>
  </si>
  <si>
    <t>Fangprofil 2 Raumseite OC-EI120</t>
  </si>
  <si>
    <t>0815001</t>
  </si>
  <si>
    <t>Einlaufschuh groß RGT horizontal</t>
  </si>
  <si>
    <t>0815002</t>
  </si>
  <si>
    <t>Schieberführung für Uni-B horizontal</t>
  </si>
  <si>
    <t>0815003</t>
  </si>
  <si>
    <t>Einlaufschuh klein RGT horizontal</t>
  </si>
  <si>
    <t>0815010</t>
  </si>
  <si>
    <t>Schleifkohlen aus Bronze</t>
  </si>
  <si>
    <t>0815011</t>
  </si>
  <si>
    <t>Köcher-Bürstenhalter R44-30</t>
  </si>
  <si>
    <t>0815012</t>
  </si>
  <si>
    <t>Schieberschwert kpl Uni B</t>
  </si>
  <si>
    <t>0815013</t>
  </si>
  <si>
    <t>Schieberschwert kpl RGT / OS</t>
  </si>
  <si>
    <t>0830014</t>
  </si>
  <si>
    <t>Drehbarer Kugelkopf  Edelstahl</t>
  </si>
  <si>
    <t>0830021</t>
  </si>
  <si>
    <t>Führungsrolle 16-B OC-Lamelle                         1</t>
  </si>
  <si>
    <t>0830022</t>
  </si>
  <si>
    <t>0830024</t>
  </si>
  <si>
    <t>Zylinderbolzen für drehbaren Kugelkopf                2</t>
  </si>
  <si>
    <t>0833001</t>
  </si>
  <si>
    <t>Kettenspannrad, einfach Z=18 08-B-1                   3</t>
  </si>
  <si>
    <t>0833003</t>
  </si>
  <si>
    <t>Doppelkettenrad Z=20 Antrieb Uni-B/RGT                4</t>
  </si>
  <si>
    <t>0833006</t>
  </si>
  <si>
    <t>Nabenkettenrad Z=10, 1/2x1/8"</t>
  </si>
  <si>
    <t>0833029</t>
  </si>
  <si>
    <t>Kettenspannrad, einfach                               4</t>
  </si>
  <si>
    <t>0833081</t>
  </si>
  <si>
    <t>Distanzrohr29,5mm Antrieb EB41 Edelstahl</t>
  </si>
  <si>
    <t>0833082</t>
  </si>
  <si>
    <t>Distanzrohr 27 mm Antrieb EB 22/32 V 2 A</t>
  </si>
  <si>
    <t>0833084</t>
  </si>
  <si>
    <t>Achse/Doppelkettenscheibe 16-B / OC                   3</t>
  </si>
  <si>
    <t>0833090</t>
  </si>
  <si>
    <t>Kettenrad Uni-B / RGT , Z=30                          3</t>
  </si>
  <si>
    <t>0833091</t>
  </si>
  <si>
    <t>Kettenrad RGT - vertikal , Z = 30                     4</t>
  </si>
  <si>
    <t>0834002</t>
  </si>
  <si>
    <t>Seilumlenkung FAA aussen V2A</t>
  </si>
  <si>
    <t>0834003</t>
  </si>
  <si>
    <t>Seilumlenkung 60mm V2A                                1</t>
  </si>
  <si>
    <t>0834009</t>
  </si>
  <si>
    <t>Seilumlenkung Z außen Edelstahl</t>
  </si>
  <si>
    <t>0834011</t>
  </si>
  <si>
    <t>Gurtumlenkung für Flaschenzug RGT/OS                  2</t>
  </si>
  <si>
    <t>0834014</t>
  </si>
  <si>
    <t>Gurtumlenkung 25mm Gurt Edelstahl</t>
  </si>
  <si>
    <t>0834020</t>
  </si>
  <si>
    <t>Kettenumlenkung groß FAA/Uni-B                        7</t>
  </si>
  <si>
    <t>0834021</t>
  </si>
  <si>
    <t>Doppelte Kettenumlenkung groß FAA/Uni-B              11</t>
  </si>
  <si>
    <t>0834024</t>
  </si>
  <si>
    <t>Kettenumlenkung 1/2x1/8 V2A</t>
  </si>
  <si>
    <t>0834042</t>
  </si>
  <si>
    <t>Seilumlenk Winkel außen Edelstahl</t>
  </si>
  <si>
    <t>0834043</t>
  </si>
  <si>
    <t>Seilumlenkung FAA aussen f=90mm V2A</t>
  </si>
  <si>
    <t>0834044</t>
  </si>
  <si>
    <t>Seilumlenkung Z außen H=90mm/Edelstahl</t>
  </si>
  <si>
    <t>0834045</t>
  </si>
  <si>
    <t>Seilumlenkung Winkel außen H=90mm/V2A</t>
  </si>
  <si>
    <t>0834060</t>
  </si>
  <si>
    <t>0834079</t>
  </si>
  <si>
    <t>Z-Kantung für Seilumlenkung 60mm V2A</t>
  </si>
  <si>
    <t>0834080</t>
  </si>
  <si>
    <t>L-Kantung Seilumlenkung 60mm V2A</t>
  </si>
  <si>
    <t>0834106</t>
  </si>
  <si>
    <t>Baugruppe Blech EB 02/22/03/32 links                  5</t>
  </si>
  <si>
    <t>0834107</t>
  </si>
  <si>
    <t>Gehäuseteil hinten EB 02/33/03/32 links</t>
  </si>
  <si>
    <t>0834108</t>
  </si>
  <si>
    <t>Gehäuseteil vorn EB 02/33/03/32 links                 1</t>
  </si>
  <si>
    <t>0834109</t>
  </si>
  <si>
    <t>Lageraufnahme innen für EB 02/22/03/32</t>
  </si>
  <si>
    <t>0834110</t>
  </si>
  <si>
    <t>Haltewinkel für Laufregler links</t>
  </si>
  <si>
    <t>0834111</t>
  </si>
  <si>
    <t>Antriebsgehäuse Deckel Edelstahl</t>
  </si>
  <si>
    <t>0834112</t>
  </si>
  <si>
    <t>Baugruppe Blech EB 02/22/03/32 rechts                 5</t>
  </si>
  <si>
    <t>0834113</t>
  </si>
  <si>
    <t>Baugruppe Blech EB 41 rechts Edelstahl</t>
  </si>
  <si>
    <t>0834114</t>
  </si>
  <si>
    <t>Baugruppe Blech EB 41 links Edelstahl                 6</t>
  </si>
  <si>
    <t>0834115</t>
  </si>
  <si>
    <t>Antriebsgehäuseteil hinten links EB 41</t>
  </si>
  <si>
    <t>0834116</t>
  </si>
  <si>
    <t>Antriebsgehäuseteil vorn links EB 41                  1</t>
  </si>
  <si>
    <t>0834117</t>
  </si>
  <si>
    <t>Antriebsgehäuseteil innen links EB 41</t>
  </si>
  <si>
    <t>0834118</t>
  </si>
  <si>
    <t>Laufreglerhalter links Antrieb EB 41</t>
  </si>
  <si>
    <t>0834119</t>
  </si>
  <si>
    <t>Blech Deckel für 0804114 Edelstahl</t>
  </si>
  <si>
    <t>0834121</t>
  </si>
  <si>
    <t>Gehäuseteil hinten EB 02/33/03/32 rechts</t>
  </si>
  <si>
    <t>0834124</t>
  </si>
  <si>
    <t>0834126</t>
  </si>
  <si>
    <t>Antriebsgehäuseteil hinten rechts EB 41               1</t>
  </si>
  <si>
    <t>0834127</t>
  </si>
  <si>
    <t>Antriebsgehäuseteil vorn rechts EB 41                 1</t>
  </si>
  <si>
    <t>0834128</t>
  </si>
  <si>
    <t>Antriebsgehäuseteil innen rechts EB 41</t>
  </si>
  <si>
    <t>0834129</t>
  </si>
  <si>
    <t>Laufreglerhalter rechts Antrieb EB 41</t>
  </si>
  <si>
    <t>0834131</t>
  </si>
  <si>
    <t>Deckel AntriebgehäEB41Gravigen Edelstahl</t>
  </si>
  <si>
    <t>0834133</t>
  </si>
  <si>
    <t>Blech Deckel für0804106Ausklin Edelstahl</t>
  </si>
  <si>
    <t>0835002</t>
  </si>
  <si>
    <t>0836221</t>
  </si>
  <si>
    <t>Antriebssystem EB 02, re var Ersatzteil              53</t>
  </si>
  <si>
    <t>0836224</t>
  </si>
  <si>
    <t>Antriebssystem EB 02, li var Ersatzteil              53</t>
  </si>
  <si>
    <t>0836225</t>
  </si>
  <si>
    <t>Antriebssystem EB 22, re Ersatzteil                  21</t>
  </si>
  <si>
    <t>0836226</t>
  </si>
  <si>
    <t>Antriebssystem EB 22, li Ersatzteil                  78</t>
  </si>
  <si>
    <t>0836228</t>
  </si>
  <si>
    <t>Antriebssystem EB 03, li var Ersatzteil</t>
  </si>
  <si>
    <t>0836229</t>
  </si>
  <si>
    <t>Antriebssystem EB 03, re var Ersatzteil</t>
  </si>
  <si>
    <t>0836231</t>
  </si>
  <si>
    <t>Antriebssystem EB 32, re Ersatzteil</t>
  </si>
  <si>
    <t>0836232</t>
  </si>
  <si>
    <t>Antriebssystem EB 32, li Ersatzteil                  53</t>
  </si>
  <si>
    <t>0836233</t>
  </si>
  <si>
    <t>Antriebssystem EB 41, re Ersatzteil</t>
  </si>
  <si>
    <t>0836234</t>
  </si>
  <si>
    <t>Antriebssystem EB 41, li Ersatzteil                  79</t>
  </si>
  <si>
    <t>0836235</t>
  </si>
  <si>
    <t>Antriebssystem EB 41, re var Ersatzteil</t>
  </si>
  <si>
    <t>0836236</t>
  </si>
  <si>
    <t>Antriebssystem EB 41, li, var Ersatzteil             61</t>
  </si>
  <si>
    <t>0836300</t>
  </si>
  <si>
    <t>Antriebssystem EB 02 rechts                          63</t>
  </si>
  <si>
    <t>0836301</t>
  </si>
  <si>
    <t>Antriebssystem EB 02 rechts                          83</t>
  </si>
  <si>
    <t>0836302</t>
  </si>
  <si>
    <t>Antriebssystem EB 02 links                           60</t>
  </si>
  <si>
    <t>0836303</t>
  </si>
  <si>
    <t>0836304</t>
  </si>
  <si>
    <t>Antriebssystem EB 22 rechts                          64</t>
  </si>
  <si>
    <t>0836305</t>
  </si>
  <si>
    <t>Antriebssystem EB 22 links                           76</t>
  </si>
  <si>
    <t>Antriebssystem EB 03 rechts                          54</t>
  </si>
  <si>
    <t>Antriebssystem EB 03 rechts                          72</t>
  </si>
  <si>
    <t>Antriebssystem EB 03 links                           65</t>
  </si>
  <si>
    <t>Antriebssystem EB 03 links                           71</t>
  </si>
  <si>
    <t>0836310</t>
  </si>
  <si>
    <t>Antriebssystem EB 32 rechts                          48</t>
  </si>
  <si>
    <t>0836311</t>
  </si>
  <si>
    <t>Antriebssystem EB 32 links                           56</t>
  </si>
  <si>
    <t>0836312</t>
  </si>
  <si>
    <t>Antriebssystem EB 41, rechts</t>
  </si>
  <si>
    <t>0836313</t>
  </si>
  <si>
    <t>Antriebssystem EB 41, links                          80</t>
  </si>
  <si>
    <t>0836314</t>
  </si>
  <si>
    <t>Antriebssystem EB 41, rechts variabel</t>
  </si>
  <si>
    <t>0836315</t>
  </si>
  <si>
    <t>Antriebssystem EB 41, links variabel</t>
  </si>
  <si>
    <t>0839005</t>
  </si>
  <si>
    <t>Gurtrolle 40x 37 Edelstahl                            1</t>
  </si>
  <si>
    <t>0899999</t>
  </si>
  <si>
    <t>Sammelartikel Motore Kupplungen</t>
  </si>
  <si>
    <t>0900000</t>
  </si>
  <si>
    <t>Sammelartikel Blechfertigung</t>
  </si>
  <si>
    <t>0901001</t>
  </si>
  <si>
    <t>Signalstreifen aus Folie weiß mit</t>
  </si>
  <si>
    <t>0901002</t>
  </si>
  <si>
    <t>0901003</t>
  </si>
  <si>
    <t>Typenschilder verzinkt</t>
  </si>
  <si>
    <t>0901004</t>
  </si>
  <si>
    <t>0901005</t>
  </si>
  <si>
    <t>0901006</t>
  </si>
  <si>
    <t>0901007</t>
  </si>
  <si>
    <t>0901008</t>
  </si>
  <si>
    <t>0901009</t>
  </si>
  <si>
    <t>0901010</t>
  </si>
  <si>
    <t>FAA Schilder, Aluminium, FAA 1</t>
  </si>
  <si>
    <t>0901011</t>
  </si>
  <si>
    <t>FAA Schilder, Aluminium, FAA 2</t>
  </si>
  <si>
    <t>0901012</t>
  </si>
  <si>
    <t>FAA Schilder, Aluminium, FAA 3</t>
  </si>
  <si>
    <t>0901013</t>
  </si>
  <si>
    <t>FAA Schilder, Aluminium, FAA 4</t>
  </si>
  <si>
    <t>0901014</t>
  </si>
  <si>
    <t>FAA Schilder, Aluminium, FAA 5</t>
  </si>
  <si>
    <t>0901015</t>
  </si>
  <si>
    <t>FAA Schilder, Aluminium, FAA 6</t>
  </si>
  <si>
    <t>0901016</t>
  </si>
  <si>
    <t>FAA Schilder, Aluminium, FAA 10</t>
  </si>
  <si>
    <t>0901017</t>
  </si>
  <si>
    <t>Polystyrol Schilder 210x145x2mm weiß</t>
  </si>
  <si>
    <t>0901018</t>
  </si>
  <si>
    <t>Typenschilder verzinkt,Art-Nr. 121005355</t>
  </si>
  <si>
    <t>0901019</t>
  </si>
  <si>
    <t>Typenschilder verzinkt,Art.Nr. 120005710</t>
  </si>
  <si>
    <t>0901020</t>
  </si>
  <si>
    <t>PVC-Tafel weiss</t>
  </si>
  <si>
    <t>0901021</t>
  </si>
  <si>
    <t>EDV-Markierer gelb</t>
  </si>
  <si>
    <t>0901022</t>
  </si>
  <si>
    <t>Typenschilder verzinkt,Art.-Nr.120005708</t>
  </si>
  <si>
    <t>0901023</t>
  </si>
  <si>
    <t>0901024</t>
  </si>
  <si>
    <t>0901025</t>
  </si>
  <si>
    <t>EDV-Markierer weiß</t>
  </si>
  <si>
    <t>0901026</t>
  </si>
  <si>
    <t>FAA Schilder, Aluminium, FAA 9</t>
  </si>
  <si>
    <t>0901027</t>
  </si>
  <si>
    <t>Typenschild verzinkt</t>
  </si>
  <si>
    <t>0901028</t>
  </si>
  <si>
    <t>Typenschilder V2A T90 Omnischott</t>
  </si>
  <si>
    <t>0901029</t>
  </si>
  <si>
    <t>FAA Schilder, Aluminium, FAA 8</t>
  </si>
  <si>
    <t>0901030</t>
  </si>
  <si>
    <t>FAA Schilder, Aluminium, FAA 11</t>
  </si>
  <si>
    <t>0901031</t>
  </si>
  <si>
    <t>FAA Schilder, Aluminium, FAA 13</t>
  </si>
  <si>
    <t>0901032</t>
  </si>
  <si>
    <t>Typenschild System Moducoil verzinkt</t>
  </si>
  <si>
    <t>0901033</t>
  </si>
  <si>
    <t>Typenschild in elox Unterdruck</t>
  </si>
  <si>
    <t>0901034</t>
  </si>
  <si>
    <t>0901035</t>
  </si>
  <si>
    <t>Typenschilder verzinkt,Art-Nr. 121005356</t>
  </si>
  <si>
    <t>0901036</t>
  </si>
  <si>
    <t>Typenschilder verzinkt, Art-Nr.121005402</t>
  </si>
  <si>
    <t>0901037</t>
  </si>
  <si>
    <t>Schild, ZiE, t = 1 mm</t>
  </si>
  <si>
    <t>0901038</t>
  </si>
  <si>
    <t>FAA Schilder, Aluminium, FAA 7</t>
  </si>
  <si>
    <t>0901039</t>
  </si>
  <si>
    <t>FAA Schilder, Aluminium, FAA 12</t>
  </si>
  <si>
    <t>0901040</t>
  </si>
  <si>
    <t>0901041</t>
  </si>
  <si>
    <t>FAA Schilder, Aluminium, FAA 14</t>
  </si>
  <si>
    <t>0901042</t>
  </si>
  <si>
    <t>FAA Schilder, Aluminium, FAA 15</t>
  </si>
  <si>
    <t>0901043</t>
  </si>
  <si>
    <t>ZIE-Schild Rohling verz.</t>
  </si>
  <si>
    <t>0901044</t>
  </si>
  <si>
    <t>ZIE-Schild</t>
  </si>
  <si>
    <t>0901045</t>
  </si>
  <si>
    <t>ZIE-Schild  Edelstahl</t>
  </si>
  <si>
    <t>0901046</t>
  </si>
  <si>
    <t>ZIE-Schild  V2A Rohling</t>
  </si>
  <si>
    <t>0901047</t>
  </si>
  <si>
    <t>Typenschilder verzinkt Duoflap</t>
  </si>
  <si>
    <t>0901048</t>
  </si>
  <si>
    <t>0901049</t>
  </si>
  <si>
    <t>Typenschilder mit abP</t>
  </si>
  <si>
    <t>0901050</t>
  </si>
  <si>
    <t>0901051</t>
  </si>
  <si>
    <t>Typenschilder verzinkt,Art.Nr.</t>
  </si>
  <si>
    <t>0901052</t>
  </si>
  <si>
    <t>Typenschild FAA ECClos-S</t>
  </si>
  <si>
    <t>0901053</t>
  </si>
  <si>
    <t>0901054</t>
  </si>
  <si>
    <t>Typenschilder Supercoil französich</t>
  </si>
  <si>
    <t>0901055</t>
  </si>
  <si>
    <t>Aluminiumkoffer für ERGO-Lekto</t>
  </si>
  <si>
    <t>0901057</t>
  </si>
  <si>
    <t>Resopalschild weiß schwarze Schrift</t>
  </si>
  <si>
    <t>0901058</t>
  </si>
  <si>
    <t>Typenschild FAA ECClos-S englisch</t>
  </si>
  <si>
    <t>0901059</t>
  </si>
  <si>
    <t>Schild OC - T30 Nach Zulassung</t>
  </si>
  <si>
    <t>0901060</t>
  </si>
  <si>
    <t>Schild OC - T60 Nach Zulassung</t>
  </si>
  <si>
    <t>0901061</t>
  </si>
  <si>
    <t>Typenschild FAA ECClos-Q</t>
  </si>
  <si>
    <t>0901062</t>
  </si>
  <si>
    <t>Typenschild FAA ECClos-Q englisch</t>
  </si>
  <si>
    <t>0901063</t>
  </si>
  <si>
    <t>Typenschilder ohne abP</t>
  </si>
  <si>
    <t>0901064</t>
  </si>
  <si>
    <t>Typenschilder Supercoil Russland</t>
  </si>
  <si>
    <t>0901065</t>
  </si>
  <si>
    <t>Typenschilder Fibershield EI-V Russland</t>
  </si>
  <si>
    <t>0901066</t>
  </si>
  <si>
    <t>Typenschilder Rauchschürze BSM</t>
  </si>
  <si>
    <t>0901067</t>
  </si>
  <si>
    <t>Clip-Schilder Lütze,  CS 1</t>
  </si>
  <si>
    <t>0902001</t>
  </si>
  <si>
    <t>Fassadenfarbe RAL 7012</t>
  </si>
  <si>
    <t>0902002</t>
  </si>
  <si>
    <t>Nitro-Universalverdünnung Lösin 120</t>
  </si>
  <si>
    <t>0902003</t>
  </si>
  <si>
    <t>Monoaluminiumphosphat</t>
  </si>
  <si>
    <t>0902004</t>
  </si>
  <si>
    <t>Eisen(III)-oxid 99%</t>
  </si>
  <si>
    <t>0902005</t>
  </si>
  <si>
    <t>Dest.-Wasser 60Ltr                                    1</t>
  </si>
  <si>
    <t>0902011</t>
  </si>
  <si>
    <t>Fassadenfarbe</t>
  </si>
  <si>
    <t>0902012</t>
  </si>
  <si>
    <t>Ritter Beizpaste VA 30                                1</t>
  </si>
  <si>
    <t>0902013</t>
  </si>
  <si>
    <t>Universalhaftgrund Nummer 124</t>
  </si>
  <si>
    <t>0902014</t>
  </si>
  <si>
    <t>Zero Streichputz 15 kg/Geb.</t>
  </si>
  <si>
    <t>0902015</t>
  </si>
  <si>
    <t>Universalhaftgrund Nummer 121</t>
  </si>
  <si>
    <t>0902016</t>
  </si>
  <si>
    <t>0902021</t>
  </si>
  <si>
    <t>0902022</t>
  </si>
  <si>
    <t>0902023</t>
  </si>
  <si>
    <t>PUR-Härter 5770 Farblos                               1</t>
  </si>
  <si>
    <t>0902024</t>
  </si>
  <si>
    <t>2K-PUR-AC-Lack 5741                                   1</t>
  </si>
  <si>
    <t>Versiegelung für intum. Material für</t>
  </si>
  <si>
    <t>0902039</t>
  </si>
  <si>
    <t>Schnellsieb 400MY</t>
  </si>
  <si>
    <t>0902040</t>
  </si>
  <si>
    <t>Heizkörperwalze Mega Lammfell</t>
  </si>
  <si>
    <t>0902041</t>
  </si>
  <si>
    <t>Heizkörperwalze Schaumstoff</t>
  </si>
  <si>
    <t>0902042</t>
  </si>
  <si>
    <t>Flachpinsel 35mm</t>
  </si>
  <si>
    <t>0902043</t>
  </si>
  <si>
    <t>Flachpinsel 50 mm</t>
  </si>
  <si>
    <t>0902044</t>
  </si>
  <si>
    <t>Lackfarbe</t>
  </si>
  <si>
    <t>0902045</t>
  </si>
  <si>
    <t>Ringpinsel Nr.8</t>
  </si>
  <si>
    <t>0902046</t>
  </si>
  <si>
    <t>Krepp-Band 50mm, Glatt Typ 201-50</t>
  </si>
  <si>
    <t>0902047</t>
  </si>
  <si>
    <t>Lammfellwalze</t>
  </si>
  <si>
    <t>0902048</t>
  </si>
  <si>
    <t>0902049</t>
  </si>
  <si>
    <t>Bügel  45cm</t>
  </si>
  <si>
    <t>0902050</t>
  </si>
  <si>
    <t>Korbbügel</t>
  </si>
  <si>
    <t>0902053</t>
  </si>
  <si>
    <t>Tesa-Krepp-Band 25mm</t>
  </si>
  <si>
    <t>0902056</t>
  </si>
  <si>
    <t>0902066</t>
  </si>
  <si>
    <t>Sonder ProZink Plus Base M 2,35 l</t>
  </si>
  <si>
    <t>0902067</t>
  </si>
  <si>
    <t>0902075</t>
  </si>
  <si>
    <t>Lackfarbe RAL 9010, Seidenglanz                       1</t>
  </si>
  <si>
    <t>0902079</t>
  </si>
  <si>
    <t>Terpentin Ersatz Losel a 3Ltr</t>
  </si>
  <si>
    <t>0902080</t>
  </si>
  <si>
    <t>Fakolith FK 5 Antischimmelfarbe</t>
  </si>
  <si>
    <t>0902081</t>
  </si>
  <si>
    <t>Fakolith FK 10  Antischimmelfarbe, weiß               2</t>
  </si>
  <si>
    <t>0902087</t>
  </si>
  <si>
    <t>Flachpinsel 25mm</t>
  </si>
  <si>
    <t>0902094</t>
  </si>
  <si>
    <t>0902095</t>
  </si>
  <si>
    <t>Klarlack, Spraydose, 400 ml</t>
  </si>
  <si>
    <t>0902096</t>
  </si>
  <si>
    <t>Heizkörperwalzenbügel</t>
  </si>
  <si>
    <t>0902099</t>
  </si>
  <si>
    <t>Farbwanne Kunststoff</t>
  </si>
  <si>
    <t>0902100</t>
  </si>
  <si>
    <t>Zinkspray Würth Perfect Hell</t>
  </si>
  <si>
    <t>0902101</t>
  </si>
  <si>
    <t>Silikon Neutral Trans.  310ml</t>
  </si>
  <si>
    <t>0902102</t>
  </si>
  <si>
    <t>0902103</t>
  </si>
  <si>
    <t>Edelstahlpflegespray 400 ml</t>
  </si>
  <si>
    <t>0902104</t>
  </si>
  <si>
    <t>Silikon Spray 400 ml</t>
  </si>
  <si>
    <t>0902105</t>
  </si>
  <si>
    <t>Fassadenwalze Rotaflor 2000mm</t>
  </si>
  <si>
    <t>0902106</t>
  </si>
  <si>
    <t>Frostbreaker OKS Art.621</t>
  </si>
  <si>
    <t>0902107</t>
  </si>
  <si>
    <t>IWE Flon 400 Ml (Teflonspray)                         1</t>
  </si>
  <si>
    <t>0902110</t>
  </si>
  <si>
    <t>Ballistol Spray 200ml</t>
  </si>
  <si>
    <t>0902111</t>
  </si>
  <si>
    <t>Lackspray Rally schwarz</t>
  </si>
  <si>
    <t>0902112</t>
  </si>
  <si>
    <t>Felgenspray Rallye Silver</t>
  </si>
  <si>
    <t>0902113</t>
  </si>
  <si>
    <t>Lackspray schwarz glänzend</t>
  </si>
  <si>
    <t>0902119</t>
  </si>
  <si>
    <t>0902120</t>
  </si>
  <si>
    <t>Seidenglanzlack                                       1</t>
  </si>
  <si>
    <t>0902121</t>
  </si>
  <si>
    <t>Heizkörperpinsel 50mm</t>
  </si>
  <si>
    <t>0902125</t>
  </si>
  <si>
    <t>0902126</t>
  </si>
  <si>
    <t>Silikonentferner</t>
  </si>
  <si>
    <t>0902150</t>
  </si>
  <si>
    <t>Cockpit-Pflege</t>
  </si>
  <si>
    <t>0902151</t>
  </si>
  <si>
    <t>Scheibenklar</t>
  </si>
  <si>
    <t>0902152</t>
  </si>
  <si>
    <t>Silicon-Spray E-Coll</t>
  </si>
  <si>
    <t>0902153</t>
  </si>
  <si>
    <t>Lackspray RAL 3000</t>
  </si>
  <si>
    <t>0902154</t>
  </si>
  <si>
    <t>Kupferpaste CRC</t>
  </si>
  <si>
    <t>0902155</t>
  </si>
  <si>
    <t>Lackspray RAL 9010</t>
  </si>
  <si>
    <t>0902156</t>
  </si>
  <si>
    <t>Mischbecher 385 mL</t>
  </si>
  <si>
    <t>0902203</t>
  </si>
  <si>
    <t>ZERO Classic Weiss Wandfarbe</t>
  </si>
  <si>
    <t>0902222</t>
  </si>
  <si>
    <t>0903001</t>
  </si>
  <si>
    <t>Gußgewicht 7,5 Kg für RGT                             1</t>
  </si>
  <si>
    <t>0903002</t>
  </si>
  <si>
    <t>Gußgewicht 3,5 Kg für RGT</t>
  </si>
  <si>
    <t>0903003</t>
  </si>
  <si>
    <t>Gußgewicht 8,6 Kg Uni B                               1</t>
  </si>
  <si>
    <t>0903004</t>
  </si>
  <si>
    <t>Gußgewicht 3,0 Kg Uni B</t>
  </si>
  <si>
    <t>0903005</t>
  </si>
  <si>
    <t>Lochband 20x1x10000mm</t>
  </si>
  <si>
    <t>0904002</t>
  </si>
  <si>
    <t>0904003</t>
  </si>
  <si>
    <t>0904004</t>
  </si>
  <si>
    <t>0904005</t>
  </si>
  <si>
    <t>0904006</t>
  </si>
  <si>
    <t>Tragrolle stahl-verzinkt</t>
  </si>
  <si>
    <t>0904007</t>
  </si>
  <si>
    <t>Schwerkraftrolle Serie 1700 Stahl verzin              1</t>
  </si>
  <si>
    <t>0904008</t>
  </si>
  <si>
    <t>0904009</t>
  </si>
  <si>
    <t>Tragrolle stahl-verzinkt                              2</t>
  </si>
  <si>
    <t>0904010</t>
  </si>
  <si>
    <t>0904011</t>
  </si>
  <si>
    <t>Tragrolle Edelstahl                                   4</t>
  </si>
  <si>
    <t>0904013</t>
  </si>
  <si>
    <t>0904014</t>
  </si>
  <si>
    <t>Tragrolle Stahl , Serie 1100 , verzinkt</t>
  </si>
  <si>
    <t>0904015</t>
  </si>
  <si>
    <t>0904017</t>
  </si>
  <si>
    <t>0904018</t>
  </si>
  <si>
    <t>Tragrolle stahl-verzinkt Serie 1700                   1</t>
  </si>
  <si>
    <t>0904019</t>
  </si>
  <si>
    <t>0904020</t>
  </si>
  <si>
    <t>Tragrolle Stahl , Serie 1700 , verzinkt               1</t>
  </si>
  <si>
    <t>0904021</t>
  </si>
  <si>
    <t>0904026</t>
  </si>
  <si>
    <t>Gabelhubwagenrolle K 20 - Z - DB                      1</t>
  </si>
  <si>
    <t>0904027</t>
  </si>
  <si>
    <t>Polyamid Schwerlast - Räder</t>
  </si>
  <si>
    <t>0904028</t>
  </si>
  <si>
    <t>PEVOTHAN Förderrollen</t>
  </si>
  <si>
    <t>0904029</t>
  </si>
  <si>
    <t>Führungsrolle (Polyurethen) CopyCap</t>
  </si>
  <si>
    <t>0904030</t>
  </si>
  <si>
    <t>Auslaufrolle L=460mm Stripecoil</t>
  </si>
  <si>
    <t>0904031</t>
  </si>
  <si>
    <t>Auslaufrolle L=660mm Stripecoil                       1</t>
  </si>
  <si>
    <t>0904032</t>
  </si>
  <si>
    <t>Führungsrolle aus Polyurethan                         1</t>
  </si>
  <si>
    <t>Kabelabschottung 110 x 280                            8</t>
  </si>
  <si>
    <t>Kabelabschottung 120x100                              4</t>
  </si>
  <si>
    <t>Kabelabschottung 100 x 160                            5</t>
  </si>
  <si>
    <t>Kabelabschottung WD 90 100x 200                       6</t>
  </si>
  <si>
    <t>Kabelabschottung 100 x 240                            7</t>
  </si>
  <si>
    <t>Kabelabschottung 50x100                               1</t>
  </si>
  <si>
    <t>0906010</t>
  </si>
  <si>
    <t>Kabelabschottung System Stöbich                       4</t>
  </si>
  <si>
    <t>0906011</t>
  </si>
  <si>
    <t>Kabelabschottung System Stöbich                       5</t>
  </si>
  <si>
    <t>0906012</t>
  </si>
  <si>
    <t>Kabelabschottung System Stöbich                       6</t>
  </si>
  <si>
    <t>0906013</t>
  </si>
  <si>
    <t>Kabelabschottung System Stöbich                       7</t>
  </si>
  <si>
    <t>0906014</t>
  </si>
  <si>
    <t>Kabelabschottung System Stöbich                       8</t>
  </si>
  <si>
    <t>0906050</t>
  </si>
  <si>
    <t>Endplatte für Kabelabschottung</t>
  </si>
  <si>
    <t>0906051</t>
  </si>
  <si>
    <t>0906052</t>
  </si>
  <si>
    <t>0906097</t>
  </si>
  <si>
    <t>Blechhälfte Rohrmanaschette NW 50</t>
  </si>
  <si>
    <t>0906098</t>
  </si>
  <si>
    <t>Blechhälfte Rohrmanschette NW 50-E</t>
  </si>
  <si>
    <t>0906099</t>
  </si>
  <si>
    <t>Blechhälfte Rohrmanschette NW 63</t>
  </si>
  <si>
    <t>0906100</t>
  </si>
  <si>
    <t>Blechhälfte Rohrmanschette NW 63-E</t>
  </si>
  <si>
    <t>0906101</t>
  </si>
  <si>
    <t>Blechhälfte Rohrmanschette NW-63T</t>
  </si>
  <si>
    <t>0906102</t>
  </si>
  <si>
    <t>Blechhälfte Rohrmanschette NW 75</t>
  </si>
  <si>
    <t>0906103</t>
  </si>
  <si>
    <t>Blechhälfte Rohrmanschette NW-75E</t>
  </si>
  <si>
    <t>0906104</t>
  </si>
  <si>
    <t>Blechhälfte Rohrmanschette NW 90</t>
  </si>
  <si>
    <t>0906105</t>
  </si>
  <si>
    <t>Blechhälfte Rohrmanschette NW 90-E</t>
  </si>
  <si>
    <t>0906106</t>
  </si>
  <si>
    <t>Blechhälfte Rohrmanschette NW-90T</t>
  </si>
  <si>
    <t>0906107</t>
  </si>
  <si>
    <t>Blechhälfte Rohrmanschette NW-110</t>
  </si>
  <si>
    <t>0906108</t>
  </si>
  <si>
    <t>Klappstück Rohrmanschette NW 110</t>
  </si>
  <si>
    <t>0906109</t>
  </si>
  <si>
    <t>Blechhälfte Rohrmanschette NW 110-E</t>
  </si>
  <si>
    <t>0906110</t>
  </si>
  <si>
    <t>Klappstück Rohrmanschette NW 110-E</t>
  </si>
  <si>
    <t>0906111</t>
  </si>
  <si>
    <t>Blechhälfte Rohrmanschette NW 125</t>
  </si>
  <si>
    <t>0906112</t>
  </si>
  <si>
    <t>Klappstück Rohrmanschette NW 125</t>
  </si>
  <si>
    <t>0906113</t>
  </si>
  <si>
    <t>Blechhälfte Rohrmanschette NW 125-E</t>
  </si>
  <si>
    <t>0906114</t>
  </si>
  <si>
    <t>Klappstück Rohrmanschette NW 125-E</t>
  </si>
  <si>
    <t>0906115</t>
  </si>
  <si>
    <t>Blechhälfte Rohrmanschette NW 125-L</t>
  </si>
  <si>
    <t>0906116</t>
  </si>
  <si>
    <t>Klappstück Rohrmanschette NW 125-L</t>
  </si>
  <si>
    <t>0906117</t>
  </si>
  <si>
    <t>Blechhälfte Rohrmanschette NW-125T</t>
  </si>
  <si>
    <t>0906118</t>
  </si>
  <si>
    <t>Klappstück Rohrmanschette NW-125T</t>
  </si>
  <si>
    <t>0906119</t>
  </si>
  <si>
    <t>Blechhälfte Rohrmanschette NW 140</t>
  </si>
  <si>
    <t>0906120</t>
  </si>
  <si>
    <t>Klappstück Rohrmanschette NW 140</t>
  </si>
  <si>
    <t>0906121</t>
  </si>
  <si>
    <t>Blechhälfte Rohrmanschette NW-140E</t>
  </si>
  <si>
    <t>0906122</t>
  </si>
  <si>
    <t>Klappstück Rohrmanschette NW 140E</t>
  </si>
  <si>
    <t>0906123</t>
  </si>
  <si>
    <t>Blechhälfte Rohrmanschette NW 160</t>
  </si>
  <si>
    <t>0906124</t>
  </si>
  <si>
    <t>Klappstück Rohrmanschette NW 160</t>
  </si>
  <si>
    <t>0906125</t>
  </si>
  <si>
    <t>Blechhälfte Rohrmanschette NW 160-E                   1</t>
  </si>
  <si>
    <t>0906126</t>
  </si>
  <si>
    <t>Klappstück Rohrmanschette NW 160-E</t>
  </si>
  <si>
    <t>0906127</t>
  </si>
  <si>
    <t>Blechhälfte Rohrmanschette NW-160L</t>
  </si>
  <si>
    <t>0906128</t>
  </si>
  <si>
    <t>Klappstück Rohrmanschette NW-160L</t>
  </si>
  <si>
    <t>0906129</t>
  </si>
  <si>
    <t>Blechhälfte Rohrmanschette NW 180</t>
  </si>
  <si>
    <t>0906130</t>
  </si>
  <si>
    <t>Klappstück Rohrmanschette NW 180</t>
  </si>
  <si>
    <t>0906131</t>
  </si>
  <si>
    <t>Blechhälfte Rohrmanschette NW-180L</t>
  </si>
  <si>
    <t>0906132</t>
  </si>
  <si>
    <t>Klappstück Rohrmanschette NW-180L</t>
  </si>
  <si>
    <t>0906133</t>
  </si>
  <si>
    <t>Blechhälfte Rohrmanschette NW-180S</t>
  </si>
  <si>
    <t>0906134</t>
  </si>
  <si>
    <t>Klappstück Rohrmanschette NW-180S</t>
  </si>
  <si>
    <t>0906135</t>
  </si>
  <si>
    <t>Blechhälfte Rohrmanschette NW 200</t>
  </si>
  <si>
    <t>0906136</t>
  </si>
  <si>
    <t>Klappstück Rohrmanschette NW 200</t>
  </si>
  <si>
    <t>0906137</t>
  </si>
  <si>
    <t>Blechhälfte Rohrmanschette NW-200E</t>
  </si>
  <si>
    <t>0906138</t>
  </si>
  <si>
    <t>Klappstück Rohrmanschette NW-200E</t>
  </si>
  <si>
    <t>0906139</t>
  </si>
  <si>
    <t>Blechhälfte Rohrmanschette NW-210</t>
  </si>
  <si>
    <t>0906140</t>
  </si>
  <si>
    <t>Klappstück Rohrmanschette NW-210</t>
  </si>
  <si>
    <t>0906141</t>
  </si>
  <si>
    <t>Blechhälfte Rohrmanschette NW-215</t>
  </si>
  <si>
    <t>0906142</t>
  </si>
  <si>
    <t>Klappstück Rohrmanschette NW-215</t>
  </si>
  <si>
    <t>0906143</t>
  </si>
  <si>
    <t>Blechhälfte Rohrmanschette NW-220</t>
  </si>
  <si>
    <t>0906144</t>
  </si>
  <si>
    <t>Klappstück Rohrmanschette NW-220</t>
  </si>
  <si>
    <t>0906145</t>
  </si>
  <si>
    <t>Blechhälfte Rohrmanschette NW 225</t>
  </si>
  <si>
    <t>0906146</t>
  </si>
  <si>
    <t>Klappstück Rohrmanschette NW 225</t>
  </si>
  <si>
    <t>0906147</t>
  </si>
  <si>
    <t>Blechhälfte Rohrmanschette NW-225L</t>
  </si>
  <si>
    <t>0906148</t>
  </si>
  <si>
    <t>Klappstück Rohrmanschette NW-225L</t>
  </si>
  <si>
    <t>0906149</t>
  </si>
  <si>
    <t>Blechhälfte Rohrmanschette NW 230</t>
  </si>
  <si>
    <t>0906150</t>
  </si>
  <si>
    <t>Klappstück Rohrmanschette NW 230</t>
  </si>
  <si>
    <t>0906151</t>
  </si>
  <si>
    <t>Blechhälfte Rohrmanschette NW-240</t>
  </si>
  <si>
    <t>0906152</t>
  </si>
  <si>
    <t>Klappstück Rohrmanschette NW-240</t>
  </si>
  <si>
    <t>0906153</t>
  </si>
  <si>
    <t>Blechhälfte Rohrmanschette NW 250                     2</t>
  </si>
  <si>
    <t>0906154</t>
  </si>
  <si>
    <t>Klappstück Rohrmanschette NW 250</t>
  </si>
  <si>
    <t>0906155</t>
  </si>
  <si>
    <t>Blechhälfte Rohrmanschette NW-255</t>
  </si>
  <si>
    <t>0906156</t>
  </si>
  <si>
    <t>Klappstück Rohrmanschette NW-255</t>
  </si>
  <si>
    <t>0906157</t>
  </si>
  <si>
    <t>Blechhälfte Rohrmanschette NW-260</t>
  </si>
  <si>
    <t>0906158</t>
  </si>
  <si>
    <t>Klappstück Rohrmanschette NW 260</t>
  </si>
  <si>
    <t>0906159</t>
  </si>
  <si>
    <t>Blechhälfte Rohrmanschette NW-270</t>
  </si>
  <si>
    <t>0906160</t>
  </si>
  <si>
    <t>Klappstück Rohrmanschette NW-270</t>
  </si>
  <si>
    <t>0906161</t>
  </si>
  <si>
    <t>Blechhälfte Rohrmanschette NW 280</t>
  </si>
  <si>
    <t>0906162</t>
  </si>
  <si>
    <t>Klappstück Rohrmanschette NW 280</t>
  </si>
  <si>
    <t>0906163</t>
  </si>
  <si>
    <t>Blechhälfte Rohrmanschette NW 300</t>
  </si>
  <si>
    <t>0906164</t>
  </si>
  <si>
    <t>Klappstück Rohrmanschette NW 300</t>
  </si>
  <si>
    <t>0906165</t>
  </si>
  <si>
    <t>Blechhälfte Rohrmanschette NW-310</t>
  </si>
  <si>
    <t>0906166</t>
  </si>
  <si>
    <t>Klappstück Rohrmanschette NW-310</t>
  </si>
  <si>
    <t>0906167</t>
  </si>
  <si>
    <t>Blechhälfte Rohrmanschette NW 315</t>
  </si>
  <si>
    <t>0906168</t>
  </si>
  <si>
    <t>Klappstück Rohrmanschette NW 315</t>
  </si>
  <si>
    <t>0906169</t>
  </si>
  <si>
    <t>Blechhälfte Rohrmanschette NW 325</t>
  </si>
  <si>
    <t>0906170</t>
  </si>
  <si>
    <t>Klappstück Rohrmanschette NW 325</t>
  </si>
  <si>
    <t>0906171</t>
  </si>
  <si>
    <t>Blechhälfte Rohrmanschette NW-330</t>
  </si>
  <si>
    <t>0906172</t>
  </si>
  <si>
    <t>Klappstück Rohrmanschette NW-330</t>
  </si>
  <si>
    <t>0906173</t>
  </si>
  <si>
    <t>Blechhälfte Rohrmanschette NW-360</t>
  </si>
  <si>
    <t>0906174</t>
  </si>
  <si>
    <t>Klappstück Rohrmanschette NW-360</t>
  </si>
  <si>
    <t>0906175</t>
  </si>
  <si>
    <t>Blechhälfte Rohrmanschette NW 400                     1</t>
  </si>
  <si>
    <t>0906176</t>
  </si>
  <si>
    <t>Klappstück Rohrmanschette NW 400</t>
  </si>
  <si>
    <t>0906177</t>
  </si>
  <si>
    <t>Blechhälfte Rohrmanschette NW 450</t>
  </si>
  <si>
    <t>0906178</t>
  </si>
  <si>
    <t>Klappstück Rohrmanschette NW 450</t>
  </si>
  <si>
    <t>0906179</t>
  </si>
  <si>
    <t>Blechhälfte Rohrmanschette NW 260-E</t>
  </si>
  <si>
    <t>0906180</t>
  </si>
  <si>
    <t>Klappstük Rohrmanschette NW 260-E</t>
  </si>
  <si>
    <t>0906181</t>
  </si>
  <si>
    <t>Blechhälfte Rohrmanschette NW 180-E</t>
  </si>
  <si>
    <t>0906182</t>
  </si>
  <si>
    <t>Klappstück Rohrmanschette NW 180-E</t>
  </si>
  <si>
    <t>0906183</t>
  </si>
  <si>
    <t>Klemmverschluß f. Rohrmanschette</t>
  </si>
  <si>
    <t>0906184</t>
  </si>
  <si>
    <t>.....</t>
  </si>
  <si>
    <t>0906200</t>
  </si>
  <si>
    <t>Klemmverschluss Rohrmanschette NW 110</t>
  </si>
  <si>
    <t>0906201</t>
  </si>
  <si>
    <t>Klemmverschluss Rohrmanschette NW 125+L</t>
  </si>
  <si>
    <t>0906202</t>
  </si>
  <si>
    <t>Klemmverschluss Rohrmanschette NW 140</t>
  </si>
  <si>
    <t>0906203</t>
  </si>
  <si>
    <t>Klemmverschluss Rohrmanschette NW 160</t>
  </si>
  <si>
    <t>0906204</t>
  </si>
  <si>
    <t>Klemmverschluss Rohrmanschette NW 180</t>
  </si>
  <si>
    <t>0906205</t>
  </si>
  <si>
    <t>Klemmverschluss Rohrmanschette NW 200</t>
  </si>
  <si>
    <t>0906206</t>
  </si>
  <si>
    <t>Klemmverschluss Rohrmanschette NW 50</t>
  </si>
  <si>
    <t>0906207</t>
  </si>
  <si>
    <t>Klemmverschluss Rohrmanschette NW 63</t>
  </si>
  <si>
    <t>0906208</t>
  </si>
  <si>
    <t>Klemmverschluss Rohrmanschette NW 75</t>
  </si>
  <si>
    <t>0906209</t>
  </si>
  <si>
    <t>Klemmverschluss Rohrmanschette NW 90</t>
  </si>
  <si>
    <t>0907002</t>
  </si>
  <si>
    <t>Bügelgriff, blank  GN 565-26-160-BL</t>
  </si>
  <si>
    <t>0907003</t>
  </si>
  <si>
    <t>Bügelgriff, blank  GN 565.1-26-164-BL</t>
  </si>
  <si>
    <t>0907005</t>
  </si>
  <si>
    <t>Türpuffer grau,+++++nicht mehr benutzen</t>
  </si>
  <si>
    <t>0907006</t>
  </si>
  <si>
    <t>Gummitürpuffer 40mm Drm 25mm hoch</t>
  </si>
  <si>
    <t>0907007</t>
  </si>
  <si>
    <t>Mayser Kontaktleiste EKS 002/W 1,2 kOhm               6</t>
  </si>
  <si>
    <t>0907008</t>
  </si>
  <si>
    <t>Türpuffer  grau,+++++nicht mehr benutzen</t>
  </si>
  <si>
    <t>0907009</t>
  </si>
  <si>
    <t>Muschelgriff Schiebetore verzinkt                     1</t>
  </si>
  <si>
    <t>0907010</t>
  </si>
  <si>
    <t>Dorma Türschließer TS 83 silber                       4</t>
  </si>
  <si>
    <t>0907011</t>
  </si>
  <si>
    <t>Schließfolgeregler SR390  silber                      2</t>
  </si>
  <si>
    <t>0907012</t>
  </si>
  <si>
    <t>Türschließer Dorma TS 73 silber</t>
  </si>
  <si>
    <t>0907013</t>
  </si>
  <si>
    <t>Schiebetürschloß effeff 1110                          3</t>
  </si>
  <si>
    <t>0907014</t>
  </si>
  <si>
    <t>Achsverlängerung für TS83 Dorma</t>
  </si>
  <si>
    <t>0907015</t>
  </si>
  <si>
    <t>Drückergarnitur mit Stahleinlage ,                   31</t>
  </si>
  <si>
    <t>0907016</t>
  </si>
  <si>
    <t>Getriebedrücker KWS (Schnappriegel)</t>
  </si>
  <si>
    <t>0907017</t>
  </si>
  <si>
    <t>0907019</t>
  </si>
  <si>
    <t>Schließfolgeregler SR 90                              1</t>
  </si>
  <si>
    <t>0907020</t>
  </si>
  <si>
    <t>Handgriff Uni-B/Ecotube</t>
  </si>
  <si>
    <t>0907021</t>
  </si>
  <si>
    <t>Handgriff Uni-B / Ecotube V2A</t>
  </si>
  <si>
    <t>0907022</t>
  </si>
  <si>
    <t>Handgriff Uni-B / Ecotube Aluminium</t>
  </si>
  <si>
    <t>0907023</t>
  </si>
  <si>
    <t>Schlüssel für Einreiber-Schlösschen</t>
  </si>
  <si>
    <t>0907024</t>
  </si>
  <si>
    <t>Einreiber-Schlösschen rechts und links</t>
  </si>
  <si>
    <t>0907025</t>
  </si>
  <si>
    <t>Griff für ERGO-Lekto 1423.6</t>
  </si>
  <si>
    <t>0907026</t>
  </si>
  <si>
    <t>Mayser Kontaktleiste EKS 002/W 1,2 kOhm</t>
  </si>
  <si>
    <t>0907027</t>
  </si>
  <si>
    <t>0907028</t>
  </si>
  <si>
    <t>0907029</t>
  </si>
  <si>
    <t>Mayser Kontaktleiste Typ EKS 002/W                    6</t>
  </si>
  <si>
    <t>0907030</t>
  </si>
  <si>
    <t>Mayser Kontaktleiste, Typ EKS 002/W                   7</t>
  </si>
  <si>
    <t>0907031</t>
  </si>
  <si>
    <t>Einlaufdorn Führungsstange D=20x2</t>
  </si>
  <si>
    <t>0907032</t>
  </si>
  <si>
    <t>Standardfühler EBERL</t>
  </si>
  <si>
    <t>0907033</t>
  </si>
  <si>
    <t>Steuergerät ITR 3 (Temperaturregler)                 10</t>
  </si>
  <si>
    <t>0907034</t>
  </si>
  <si>
    <t>Heizband Bartec Tricer 10W/m, 220 VAC                 1</t>
  </si>
  <si>
    <t>0907035</t>
  </si>
  <si>
    <t>An/Abschlussgarnitur Termorest, 3 M, HTC</t>
  </si>
  <si>
    <t>0907036</t>
  </si>
  <si>
    <t>Kleinverteiler Spelsberg</t>
  </si>
  <si>
    <t>0907037</t>
  </si>
  <si>
    <t>Einlaufdorn Führungsstange D=40x3</t>
  </si>
  <si>
    <t>0907038</t>
  </si>
  <si>
    <t>SecuSwitch-Kontaktleiste, ohne Klebeband              1</t>
  </si>
  <si>
    <t>0907039</t>
  </si>
  <si>
    <t>SecuSwitch-Kontaktleiste Anschlussset                 1</t>
  </si>
  <si>
    <t>0907040</t>
  </si>
  <si>
    <t>SecuMount Spezial-Klebeband, 6 mm</t>
  </si>
  <si>
    <t>0907041</t>
  </si>
  <si>
    <t>Reinigungstuch zum Säubern der Leiste</t>
  </si>
  <si>
    <t>0907042</t>
  </si>
  <si>
    <t>SecuMount Spezial-Klebeband, 10 mm</t>
  </si>
  <si>
    <t>0907043</t>
  </si>
  <si>
    <t>Heizband komplett                                     3</t>
  </si>
  <si>
    <t>0907044</t>
  </si>
  <si>
    <t>Secuswitch Kontaktleiste Set komplett</t>
  </si>
  <si>
    <t>0907045</t>
  </si>
  <si>
    <t>Secuswitch Kontaktleiste Set ohne                     4</t>
  </si>
  <si>
    <t>0907046</t>
  </si>
  <si>
    <t>Secuswitch Kontaktleiste komplett                     3</t>
  </si>
  <si>
    <t>0907047</t>
  </si>
  <si>
    <t>Secuswitch Kontaktleiste ohne Empfänger</t>
  </si>
  <si>
    <t>0907048</t>
  </si>
  <si>
    <t>OC Kontaktleiste</t>
  </si>
  <si>
    <t>0907049</t>
  </si>
  <si>
    <t>Secuswitch Kontaktleiste komplett                    18</t>
  </si>
  <si>
    <t>0907050</t>
  </si>
  <si>
    <t>Endstück mit Widerstand 8,2 kOhm</t>
  </si>
  <si>
    <t>0907051</t>
  </si>
  <si>
    <t>Kontaktschlauch EKS selbstklebend</t>
  </si>
  <si>
    <t>0907052</t>
  </si>
  <si>
    <t>Endstück mit 2,5 m Kabel axial für SK-</t>
  </si>
  <si>
    <t>0907053</t>
  </si>
  <si>
    <t>Spezial-Kleber Contact VA 250 Black                   3</t>
  </si>
  <si>
    <t>0907054</t>
  </si>
  <si>
    <t>Mayser  Kontaktleiste 8,2 kOhm SET                    7</t>
  </si>
  <si>
    <t>0907055</t>
  </si>
  <si>
    <t>Mayser  Kontaktleiste 8,2 kOhm SET fsaE</t>
  </si>
  <si>
    <t>0907056</t>
  </si>
  <si>
    <t>Heizband komplett</t>
  </si>
  <si>
    <t>0907060</t>
  </si>
  <si>
    <t>Endstück mit Widerstand 1,2 kOhm für SK-</t>
  </si>
  <si>
    <t>0907061</t>
  </si>
  <si>
    <t>Mayser Kontaktleiste EKS 014 , 7503020</t>
  </si>
  <si>
    <t>0907062</t>
  </si>
  <si>
    <t>Mayser Kontaktleiste EKS 014, 7503021</t>
  </si>
  <si>
    <t>0907063</t>
  </si>
  <si>
    <t>Mayser Alu-Profil C 10, TN 1003436</t>
  </si>
  <si>
    <t>0907064</t>
  </si>
  <si>
    <t>Dorma Türschließer TS 83 silber                       5</t>
  </si>
  <si>
    <t>0907065</t>
  </si>
  <si>
    <t>Dorma Normalgestänge silber</t>
  </si>
  <si>
    <t>0907074</t>
  </si>
  <si>
    <t>Mayser Kontaktleiste EKS 014, mit                     7</t>
  </si>
  <si>
    <t>0907075</t>
  </si>
  <si>
    <t>Tapeswitch, Kupferzunge incl.8,2 kOhm</t>
  </si>
  <si>
    <t>0907076</t>
  </si>
  <si>
    <t>Tapeswitch, Kupferzunge inkl. Klammer                 1</t>
  </si>
  <si>
    <t>0907077</t>
  </si>
  <si>
    <t>Tapeswitch, Schrumpfschlauch, schwarz</t>
  </si>
  <si>
    <t>0907078</t>
  </si>
  <si>
    <t>Tapeswitch, C-Switch Rollenware, schwarz              3</t>
  </si>
  <si>
    <t>0907080</t>
  </si>
  <si>
    <t>TapeSwitch 8,2kOhm Hauptteil</t>
  </si>
  <si>
    <t>0907081</t>
  </si>
  <si>
    <t>TapeSwitch Zwischenstück</t>
  </si>
  <si>
    <t>0907198</t>
  </si>
  <si>
    <t>Flanschkupplung M8x1 5pol. HM 0,2m</t>
  </si>
  <si>
    <t>0907199</t>
  </si>
  <si>
    <t>Flanschstecker M8x1 5pol HM 0,2m</t>
  </si>
  <si>
    <t>0907200</t>
  </si>
  <si>
    <t>Contact-Duo-Profil 016.10                             2</t>
  </si>
  <si>
    <t>0907201</t>
  </si>
  <si>
    <t>Abschlußkappe 130/3 mit Umlaufrand</t>
  </si>
  <si>
    <t>0907202</t>
  </si>
  <si>
    <t>Stecker 130, mit Anschlußkabel 350 mm,</t>
  </si>
  <si>
    <t>0907203</t>
  </si>
  <si>
    <t>Abschlußstecker 130/6 rot,mit Widerstand</t>
  </si>
  <si>
    <t>0907204</t>
  </si>
  <si>
    <t>Gelbau Widerstandsauswerter B412.06 24V</t>
  </si>
  <si>
    <t>0907205</t>
  </si>
  <si>
    <t>Spiralkabel SK , Ausz.3 m                             1</t>
  </si>
  <si>
    <t>0907207</t>
  </si>
  <si>
    <t>Kabeltrommel S 12 zum Einbau, für OC,                 2</t>
  </si>
  <si>
    <t>0907208</t>
  </si>
  <si>
    <t>Gelbau Contact-Duo-Profil, weiß                       1</t>
  </si>
  <si>
    <t>0907209</t>
  </si>
  <si>
    <t>Gelbau Anschlußkabel 2x0,25 mit Stecker</t>
  </si>
  <si>
    <t>0907210</t>
  </si>
  <si>
    <t>Gelbau Abschlußstecker 118/6, rot mit</t>
  </si>
  <si>
    <t>0907211</t>
  </si>
  <si>
    <t>Gelbau Abschlußkappe 130/18W, weiß,</t>
  </si>
  <si>
    <t>0907212</t>
  </si>
  <si>
    <t>Gelbau Contact-Duo-Profil 018.10,schwarz              1</t>
  </si>
  <si>
    <t>0907213</t>
  </si>
  <si>
    <t>Gelbau Abschlußkappe 130/18-1 (EDPM) mit</t>
  </si>
  <si>
    <t>0907214</t>
  </si>
  <si>
    <t>Gelbau C-Schiene 112/A7 Aluminium</t>
  </si>
  <si>
    <t>0907215</t>
  </si>
  <si>
    <t>Cyanacrylat-Kleber 112, 20 g                          1</t>
  </si>
  <si>
    <t>0907500</t>
  </si>
  <si>
    <t>Sicherheitskontaktleiste Mayser 1,2kOhm</t>
  </si>
  <si>
    <t>0907501</t>
  </si>
  <si>
    <t>Sicherheitskontaktleiste Mayser 8,2kOhm</t>
  </si>
  <si>
    <t>0908001</t>
  </si>
  <si>
    <t>StreifenbürstePA6.6 30x2000 7850-0020-30</t>
  </si>
  <si>
    <t>0908002</t>
  </si>
  <si>
    <t>Türbürste</t>
  </si>
  <si>
    <t>0908003</t>
  </si>
  <si>
    <t>0908004</t>
  </si>
  <si>
    <t>Bürstenleiste</t>
  </si>
  <si>
    <t>0908005</t>
  </si>
  <si>
    <t>Mink Standardbürstenleiste                            2</t>
  </si>
  <si>
    <t>0908006</t>
  </si>
  <si>
    <t>0908007</t>
  </si>
  <si>
    <t>Mink Standardbürstenleiste                            1</t>
  </si>
  <si>
    <t>0909001</t>
  </si>
  <si>
    <t>Protex 600 2S, 156</t>
  </si>
  <si>
    <t>0909002</t>
  </si>
  <si>
    <t>Protex 600 P, 156</t>
  </si>
  <si>
    <t>0909003</t>
  </si>
  <si>
    <t>Protex 600 P, 82,5</t>
  </si>
  <si>
    <t>0909004</t>
  </si>
  <si>
    <t>Klevers Glasgewebe 540/1 PG,KF,G1 ,Stö/B</t>
  </si>
  <si>
    <t>0909005</t>
  </si>
  <si>
    <t>Interglas Glasseidengewebe,    FSV                    1</t>
  </si>
  <si>
    <t>0909006</t>
  </si>
  <si>
    <t>Interglas Glasseidengewebe , V4A verst.               1</t>
  </si>
  <si>
    <t>0909007</t>
  </si>
  <si>
    <t>Protex 1100, 1 S 24+++++++++++++++++++++              1</t>
  </si>
  <si>
    <t>0909008</t>
  </si>
  <si>
    <t>Protex 600 P 81</t>
  </si>
  <si>
    <t>0909009</t>
  </si>
  <si>
    <t>Protex 600 P, 113</t>
  </si>
  <si>
    <t>0909010</t>
  </si>
  <si>
    <t>Protex 1100 P,                                        1</t>
  </si>
  <si>
    <t>0909011</t>
  </si>
  <si>
    <t>Protex 1100 P 82.5                                    1</t>
  </si>
  <si>
    <t>0909012</t>
  </si>
  <si>
    <t>Protex 1100 P , 73,5                                  1</t>
  </si>
  <si>
    <t>0909013</t>
  </si>
  <si>
    <t>Protex 600 A2, 82,5+++++++++++++++++++++</t>
  </si>
  <si>
    <t>0909014</t>
  </si>
  <si>
    <t>Protex 1100 A2 825++++++++++++++++++++++              1</t>
  </si>
  <si>
    <t>0909015</t>
  </si>
  <si>
    <t>Protex 1100  2S 156                                   1</t>
  </si>
  <si>
    <t>0909016</t>
  </si>
  <si>
    <t>Glasfaservlies GUA 50-70GR/QM+++++++++++             12</t>
  </si>
  <si>
    <t>0909017</t>
  </si>
  <si>
    <t>Interglas Glasseidengewebe</t>
  </si>
  <si>
    <t>0909018</t>
  </si>
  <si>
    <t>Gittergewebe , 6 x 6 mm , HT-Ausrüstung</t>
  </si>
  <si>
    <t>0909019</t>
  </si>
  <si>
    <t>Klevers Schallschutzglasgewebe, Sonatex               1</t>
  </si>
  <si>
    <t>0909020</t>
  </si>
  <si>
    <t>Protex 600 A2, 156</t>
  </si>
  <si>
    <t>0909021</t>
  </si>
  <si>
    <t>Klevers Glasgewebe KlevoStar 300-1SD                  1</t>
  </si>
  <si>
    <t>0909022</t>
  </si>
  <si>
    <t>Protex 1100 A2 156                                    1</t>
  </si>
  <si>
    <t>0909023</t>
  </si>
  <si>
    <t>Klevers Glasgewebe , met. beschichtet                 2</t>
  </si>
  <si>
    <t>0909024</t>
  </si>
  <si>
    <t>Protex 600 A2 81++++++++++++++++++++++++</t>
  </si>
  <si>
    <t>0909025</t>
  </si>
  <si>
    <t>Protex 600 A2 82.5</t>
  </si>
  <si>
    <t>0909026</t>
  </si>
  <si>
    <t>Protex 600 A2 113+++++++++++++++++++++++</t>
  </si>
  <si>
    <t>0909027</t>
  </si>
  <si>
    <t>Protex 600 P, 153</t>
  </si>
  <si>
    <t>0909028</t>
  </si>
  <si>
    <t>Protex 600 A2, 153++++++++++++++++++++++</t>
  </si>
  <si>
    <t>0909029</t>
  </si>
  <si>
    <t>Protex 1100 P 81++++++++++++++++++++++++              1</t>
  </si>
  <si>
    <t>0909031</t>
  </si>
  <si>
    <t>Protex 1100 A2 81+++++++++++++++++++++++</t>
  </si>
  <si>
    <t>0909033</t>
  </si>
  <si>
    <t>Protex 1100 A2 82.5</t>
  </si>
  <si>
    <t>0909034</t>
  </si>
  <si>
    <t>Protex 1100 P 113+++++++++++++++++++++++              1</t>
  </si>
  <si>
    <t>0909035</t>
  </si>
  <si>
    <t>Protex 1100 A2 113++++++++++++++++++++++</t>
  </si>
  <si>
    <t>0909036</t>
  </si>
  <si>
    <t>Protex 1100 P 153                                     1</t>
  </si>
  <si>
    <t>0909037</t>
  </si>
  <si>
    <t>Protex 1100 A2 153++++++++++++++++++++++</t>
  </si>
  <si>
    <t>0909038</t>
  </si>
  <si>
    <t>Protex 600 2S 81++++++++++++++++++++++</t>
  </si>
  <si>
    <t>0909039</t>
  </si>
  <si>
    <t>Protex 600  1S 81++++++++++++++++++++++</t>
  </si>
  <si>
    <t>0909040</t>
  </si>
  <si>
    <t>Protex 600  2S 82.5++++++++++++++++++++</t>
  </si>
  <si>
    <t>0909041</t>
  </si>
  <si>
    <t>Protex 600  1S 82.5++++++++++++++++++++</t>
  </si>
  <si>
    <t>0909042</t>
  </si>
  <si>
    <t>Protex 600  2S 113+++++++++++++++++++++</t>
  </si>
  <si>
    <t>0909043</t>
  </si>
  <si>
    <t>Protex 600 1S 113+++++++++++++++++++++</t>
  </si>
  <si>
    <t>0909044</t>
  </si>
  <si>
    <t>Protex 600 2S 153+++++++++++++++++++++</t>
  </si>
  <si>
    <t>0909045</t>
  </si>
  <si>
    <t>Protex 600 1S 153+++++++++++++++++++++</t>
  </si>
  <si>
    <t>0909046</t>
  </si>
  <si>
    <t>Protex 600  1S 156</t>
  </si>
  <si>
    <t>0909047</t>
  </si>
  <si>
    <t>Protex 1100  2S 81+++++++++++++++++++++</t>
  </si>
  <si>
    <t>0909048</t>
  </si>
  <si>
    <t>Protex 1100  1S 81+++++++++++++++++++++</t>
  </si>
  <si>
    <t>0909049</t>
  </si>
  <si>
    <t>Protex 1100  2S 82.5+++++++++++++++++++</t>
  </si>
  <si>
    <t>0909050</t>
  </si>
  <si>
    <t>Protex 1100  1S 82,5+++++++++++++++++++</t>
  </si>
  <si>
    <t>0909051</t>
  </si>
  <si>
    <t>Protex 1100  2S 113++++++++++++++++++++</t>
  </si>
  <si>
    <t>0909052</t>
  </si>
  <si>
    <t>Protex 1100  1S 113++++++++++++++++++++</t>
  </si>
  <si>
    <t>0909053</t>
  </si>
  <si>
    <t>Protex 1100  2S 153++++++++++++++++++++</t>
  </si>
  <si>
    <t>0909054</t>
  </si>
  <si>
    <t>Protex 1100  1S 153++++++++++++++++++++</t>
  </si>
  <si>
    <t>0909055</t>
  </si>
  <si>
    <t>Protex 1100  1S 156</t>
  </si>
  <si>
    <t>0909056</t>
  </si>
  <si>
    <t>Heliotex 1100 AL + P ,  98                            2</t>
  </si>
  <si>
    <t>0909057</t>
  </si>
  <si>
    <t>Heliotex 1100 AL,  96                                 1</t>
  </si>
  <si>
    <t>0909058</t>
  </si>
  <si>
    <t>Klevers Duotex P 600</t>
  </si>
  <si>
    <t>0909059</t>
  </si>
  <si>
    <t>Protex 1100  1S / 220 mm                              1</t>
  </si>
  <si>
    <t>0909060</t>
  </si>
  <si>
    <t>Protex 600 P, Breite 156 cm</t>
  </si>
  <si>
    <t>0909061</t>
  </si>
  <si>
    <t>Protex 1100  1S / 360 mm                              1</t>
  </si>
  <si>
    <t>0909062</t>
  </si>
  <si>
    <t>Protex 600 A 2, Leinwand Bindung</t>
  </si>
  <si>
    <t>0909063</t>
  </si>
  <si>
    <t>0909064</t>
  </si>
  <si>
    <t>Protex 600 P, ohne rote Kennfäden</t>
  </si>
  <si>
    <t>0909065</t>
  </si>
  <si>
    <t>Protex 600 P, 154 cm breit</t>
  </si>
  <si>
    <t>0909067</t>
  </si>
  <si>
    <t>Protex 600 P,  81,5 breit</t>
  </si>
  <si>
    <t>0909069</t>
  </si>
  <si>
    <t>Protex 600 A2, 1.540 mm breit Tol 0+5 mm</t>
  </si>
  <si>
    <t>0909071</t>
  </si>
  <si>
    <t>Protex 600 A2, 815 mm breit</t>
  </si>
  <si>
    <t>0909073</t>
  </si>
  <si>
    <t>Protex 1100 2 P, 1540 mm breit                        1</t>
  </si>
  <si>
    <t>0909075</t>
  </si>
  <si>
    <t>Protex 1100 P, 815 mm breit                           1</t>
  </si>
  <si>
    <t>0909077</t>
  </si>
  <si>
    <t>Protex 1100 A2, 1.540 mm breit</t>
  </si>
  <si>
    <t>0909078</t>
  </si>
  <si>
    <t>Protex 1100 A2, 100 mm breit</t>
  </si>
  <si>
    <t>0909079</t>
  </si>
  <si>
    <t>Protex 1100 A2, 855 mm breit                          1</t>
  </si>
  <si>
    <t>0909081</t>
  </si>
  <si>
    <t>Klevers Protex 600 1 S, 154 breit</t>
  </si>
  <si>
    <t>0909083</t>
  </si>
  <si>
    <t>Klevers Protex 600 1S,  81,5 breit</t>
  </si>
  <si>
    <t>0909085</t>
  </si>
  <si>
    <t>Protex 600 2S,  1.540 mm breit</t>
  </si>
  <si>
    <t>0909087</t>
  </si>
  <si>
    <t>Klevers Protex 600 2S,  81,5 breit</t>
  </si>
  <si>
    <t>0909089</t>
  </si>
  <si>
    <t>Klevers Protex 1100 1S,  154 breit</t>
  </si>
  <si>
    <t>0909091</t>
  </si>
  <si>
    <t>Klevers Protex 1100 1 S,  81,5 breit</t>
  </si>
  <si>
    <t>0909093</t>
  </si>
  <si>
    <t>Protex 1100 2S,  154 cm breit                         1</t>
  </si>
  <si>
    <t>0909095</t>
  </si>
  <si>
    <t>Klevers Protex 1100 2 S,  81,5 breit</t>
  </si>
  <si>
    <t>0909097</t>
  </si>
  <si>
    <t>Protex 600 2 P,  154 cm breit</t>
  </si>
  <si>
    <t>0909098</t>
  </si>
  <si>
    <t>Klevers Protex 600 P, rot</t>
  </si>
  <si>
    <t>0909099</t>
  </si>
  <si>
    <t>Modutex 600 P, 1.540 mm</t>
  </si>
  <si>
    <t>0909100</t>
  </si>
  <si>
    <t>Klevers Protex 600 A2, 72,5 breit</t>
  </si>
  <si>
    <t>0909101</t>
  </si>
  <si>
    <t>Nähfaden Helios Conus 2000++++++++++++++              4</t>
  </si>
  <si>
    <t>0909103</t>
  </si>
  <si>
    <t>Nähgarn Helios Conus 2000 m+++++++++++++              6</t>
  </si>
  <si>
    <t>0909104</t>
  </si>
  <si>
    <t>Kettelgarn 120  Conus 5000 m</t>
  </si>
  <si>
    <t>0909105</t>
  </si>
  <si>
    <t>Ecotex 1000, 1.660 mm 2 Taschen</t>
  </si>
  <si>
    <t>0909106</t>
  </si>
  <si>
    <t>Ecotex 1100, 1.540 mm ohne Tasche</t>
  </si>
  <si>
    <t>0909107</t>
  </si>
  <si>
    <t>Ecotex 1000, 520 mm 1 Tasche</t>
  </si>
  <si>
    <t>0909108</t>
  </si>
  <si>
    <t>Ecotex 1000, 1.040 mm ohne Tasche</t>
  </si>
  <si>
    <t>0909109</t>
  </si>
  <si>
    <t>Modutex 600 P, 935 mm</t>
  </si>
  <si>
    <t>0909110</t>
  </si>
  <si>
    <t>Modutex 600 P, 1.045 mm</t>
  </si>
  <si>
    <t>0909111</t>
  </si>
  <si>
    <t>0909112</t>
  </si>
  <si>
    <t>Modutex 600 P, 500 mm</t>
  </si>
  <si>
    <t>0909113</t>
  </si>
  <si>
    <t>Modutex 600 P, 1.000 mm</t>
  </si>
  <si>
    <t>0909114</t>
  </si>
  <si>
    <t>Modutex 600 P, 1.500 mm</t>
  </si>
  <si>
    <t>0909115</t>
  </si>
  <si>
    <t>Modutex 600 P, 1.450 mm</t>
  </si>
  <si>
    <t>0909116</t>
  </si>
  <si>
    <t>Modutex 600 P, 1.560 mm</t>
  </si>
  <si>
    <t>0909117</t>
  </si>
  <si>
    <t>Ecotex 1000, 1.680 mm 1 Tasche</t>
  </si>
  <si>
    <t>0909118</t>
  </si>
  <si>
    <t>Ecotex 1000, 1.520 mm 1 Tasche</t>
  </si>
  <si>
    <t>0909119</t>
  </si>
  <si>
    <t>Nähfaden/Spulgarn Helios                              2</t>
  </si>
  <si>
    <t>0909120</t>
  </si>
  <si>
    <t>Nähgarn Helios                                        3</t>
  </si>
  <si>
    <t>0909121</t>
  </si>
  <si>
    <t>Ecotex 1100 2 S, 1.540 mm</t>
  </si>
  <si>
    <t>0909122</t>
  </si>
  <si>
    <t>Nähgarn Helios 200 m Rolle</t>
  </si>
  <si>
    <t>0909123</t>
  </si>
  <si>
    <t>Protex 600 2S,  110 mm breit (Streifen)</t>
  </si>
  <si>
    <t>0909124</t>
  </si>
  <si>
    <t>Heliotex EW - 120                                     1</t>
  </si>
  <si>
    <t>0909125</t>
  </si>
  <si>
    <t>Nadelvlies / Duoflap</t>
  </si>
  <si>
    <t>0909126</t>
  </si>
  <si>
    <t>Aramid 370 K - Gewebe (Stripecoil)                    1</t>
  </si>
  <si>
    <t>0909127</t>
  </si>
  <si>
    <t>Modutex 600 P, 1.440 mm</t>
  </si>
  <si>
    <t>0909128</t>
  </si>
  <si>
    <t>Modutex 600 P, 1.860 mm</t>
  </si>
  <si>
    <t>0909129</t>
  </si>
  <si>
    <t>Gewebebahn 600 ohne Fluchtwegzeichen</t>
  </si>
  <si>
    <t>0909130</t>
  </si>
  <si>
    <t>Gewebebahn 600 mit Fluchtwegzeichen</t>
  </si>
  <si>
    <t>0909131</t>
  </si>
  <si>
    <t>Gewebebahn 400 ohne Fluchtwegzeichen</t>
  </si>
  <si>
    <t>0909132</t>
  </si>
  <si>
    <t>Gewebebahn 400 mit Fluchtwegzeichen</t>
  </si>
  <si>
    <t>0909133</t>
  </si>
  <si>
    <t>Heliotex EW 90, 1.540 mm, 1 Tasche</t>
  </si>
  <si>
    <t>0909134</t>
  </si>
  <si>
    <t>G 430-KK, PTFE schwarz                                1</t>
  </si>
  <si>
    <t>0909135</t>
  </si>
  <si>
    <t>Ecotex 1100, 1.000 mm ohne Tasche</t>
  </si>
  <si>
    <t>0909136</t>
  </si>
  <si>
    <t>Ecotex 1100, 1.540 mm 1 Tasche</t>
  </si>
  <si>
    <t>0909137</t>
  </si>
  <si>
    <t>Heliotex EW 90, 750 mm</t>
  </si>
  <si>
    <t>0909138</t>
  </si>
  <si>
    <t>Copy Tex, 1.130 mm - für Copy Cap</t>
  </si>
  <si>
    <t>0909139</t>
  </si>
  <si>
    <t>Aramid-Gewebe Fiberseal Evolution mit                 1</t>
  </si>
  <si>
    <t>0909140</t>
  </si>
  <si>
    <t>Protex 600 1S,  1.540 mm breit</t>
  </si>
  <si>
    <t>0909141</t>
  </si>
  <si>
    <t>Ecotex 1100, 815 mm ohne Tasche</t>
  </si>
  <si>
    <t>0909142</t>
  </si>
  <si>
    <t>Modutex 600 P, 1.540 mm 1 Tasche</t>
  </si>
  <si>
    <t>0909143</t>
  </si>
  <si>
    <t>Modutex 600 P, 815 mm</t>
  </si>
  <si>
    <t>0909144</t>
  </si>
  <si>
    <t>Modutex 600 P, 2.000 mm</t>
  </si>
  <si>
    <t>0909145</t>
  </si>
  <si>
    <t>Heliotex EW 90, 1.500 mm, ohne Tasche                 1</t>
  </si>
  <si>
    <t>0909146</t>
  </si>
  <si>
    <t>Heliotex EW - 120, ohne Tasche                        1</t>
  </si>
  <si>
    <t>0909147</t>
  </si>
  <si>
    <t>Ecotex 1100, 407 mm</t>
  </si>
  <si>
    <t>0909148</t>
  </si>
  <si>
    <t>Modutex 600 P, 407 mm ohne Tasche</t>
  </si>
  <si>
    <t>0909149</t>
  </si>
  <si>
    <t>Nähgarn aus 100 % Polypropylen Nr. 50</t>
  </si>
  <si>
    <t>0909150</t>
  </si>
  <si>
    <t>Heliotex EW Plus, 1.540 mm, mit 1 Tasche              1</t>
  </si>
  <si>
    <t>0909151</t>
  </si>
  <si>
    <t>Heliotex EW Plus, 1.500 mm, ohne Tasche               1</t>
  </si>
  <si>
    <t>0909152</t>
  </si>
  <si>
    <t>Heliotex EW Plus, 750 mm, ohne Tasche                 1</t>
  </si>
  <si>
    <t>0909153</t>
  </si>
  <si>
    <t>Semitex NME 900 / Breite 1.540 mm                     1</t>
  </si>
  <si>
    <t>0909154</t>
  </si>
  <si>
    <t>Tubotex / Breite 1.120 mmm                            1</t>
  </si>
  <si>
    <t>0909155</t>
  </si>
  <si>
    <t>Gitterverstärkte-Alufolie / Breite 135mm</t>
  </si>
  <si>
    <t>0909156</t>
  </si>
  <si>
    <t>Tubo-Fill-C</t>
  </si>
  <si>
    <t>0909157</t>
  </si>
  <si>
    <t>Gitterverstärkte-Alufolie / Breite 100cm</t>
  </si>
  <si>
    <t>0909158</t>
  </si>
  <si>
    <t>0909159</t>
  </si>
  <si>
    <t>0909160</t>
  </si>
  <si>
    <t>Heliotex EW - 120, mit Tasche                         1</t>
  </si>
  <si>
    <t>0909161</t>
  </si>
  <si>
    <t>Heliotex EW - 120, NMS500, 750 mm                     3</t>
  </si>
  <si>
    <t>0909162</t>
  </si>
  <si>
    <t>Heliotex EW - 120, NME500, 850 mm                     2</t>
  </si>
  <si>
    <t>0909163</t>
  </si>
  <si>
    <t>Ecotex 1100 2 S, plus Al 20 HT, 1.540 mm              1</t>
  </si>
  <si>
    <t>0909164</t>
  </si>
  <si>
    <t>Protex 1100 A2 FB Al 20 HT, 1.540 mm                  1</t>
  </si>
  <si>
    <t>0909165</t>
  </si>
  <si>
    <t>Gitterverstärkte-Alufolie/Breite 1000 mm</t>
  </si>
  <si>
    <t>0909166</t>
  </si>
  <si>
    <t>Intutex  EI 30</t>
  </si>
  <si>
    <t>0909167</t>
  </si>
  <si>
    <t>Gittergewebe GG-PTF                                   1</t>
  </si>
  <si>
    <t>0909168</t>
  </si>
  <si>
    <t>Ecotex 1100 A2 1.560 mm, 8SK</t>
  </si>
  <si>
    <t>0909169</t>
  </si>
  <si>
    <t>Ecotex 1100 2S 815 mm breit                           1</t>
  </si>
  <si>
    <t>0909170</t>
  </si>
  <si>
    <t>0909171</t>
  </si>
  <si>
    <t>0909172</t>
  </si>
  <si>
    <t>0909173</t>
  </si>
  <si>
    <t>Fluchtwegpiktogramm-Streifen</t>
  </si>
  <si>
    <t>0909174</t>
  </si>
  <si>
    <t>Semitex SNME 900                                      2</t>
  </si>
  <si>
    <t>0909175</t>
  </si>
  <si>
    <t>Aluminiumhydroxid Martinal ON320</t>
  </si>
  <si>
    <t>0909176</t>
  </si>
  <si>
    <t>Natriummetasilikat 5er Hydrat                         6</t>
  </si>
  <si>
    <t>0909177</t>
  </si>
  <si>
    <t>Kantenversiegelung Sealcone A/B, 500 ml            1.65</t>
  </si>
  <si>
    <t>0909178</t>
  </si>
  <si>
    <t>Testbenzin, Komet Premium Benzin K0801A              12</t>
  </si>
  <si>
    <t>0909179</t>
  </si>
  <si>
    <t>Pulvermischung "Fibershield I"                       13</t>
  </si>
  <si>
    <t>0909180</t>
  </si>
  <si>
    <t>Intutex EI 30</t>
  </si>
  <si>
    <t>0909181</t>
  </si>
  <si>
    <t>Intutex EI 60</t>
  </si>
  <si>
    <t>0909182</t>
  </si>
  <si>
    <t>Nähgarn MNZ 140 A+S, HNZ 6300                         4</t>
  </si>
  <si>
    <t>0909183</t>
  </si>
  <si>
    <t>BSMtex D</t>
  </si>
  <si>
    <t>0909184</t>
  </si>
  <si>
    <t>BSMtex DH</t>
  </si>
  <si>
    <t>0909185</t>
  </si>
  <si>
    <t>Ecotex 1100 A2, 160 mm, PUTR                          1</t>
  </si>
  <si>
    <t>0909186</t>
  </si>
  <si>
    <t>Teflon beidseitig grau                                1</t>
  </si>
  <si>
    <t>0909187</t>
  </si>
  <si>
    <t>Sonderweichlot 102                                    7</t>
  </si>
  <si>
    <t>0909188</t>
  </si>
  <si>
    <t>Sonatex 15 dB</t>
  </si>
  <si>
    <t>0909189</t>
  </si>
  <si>
    <t>Lötwasser Z-04                                        1</t>
  </si>
  <si>
    <t>0909190</t>
  </si>
  <si>
    <t>Sonatex 10 dB, weiß                                   2</t>
  </si>
  <si>
    <t>0909191</t>
  </si>
  <si>
    <t>Ecotex 1100 2S 160 mm breit</t>
  </si>
  <si>
    <t>0909195</t>
  </si>
  <si>
    <t>Protex 1100.1 A2, 160mm</t>
  </si>
  <si>
    <t>0909192</t>
  </si>
  <si>
    <t>Semitex NME 900 / Breite 1.500 mm                     1</t>
  </si>
  <si>
    <t>0909193</t>
  </si>
  <si>
    <t>Semitex SNME 900 / Breite 1.500 mm                    1</t>
  </si>
  <si>
    <t>0909194</t>
  </si>
  <si>
    <t>Protex 1100.1 A2</t>
  </si>
  <si>
    <t>0909196</t>
  </si>
  <si>
    <t>Protex 1100.1 A2, 80mm</t>
  </si>
  <si>
    <t>0909197</t>
  </si>
  <si>
    <t>Protex 1100.1 A2                                      1</t>
  </si>
  <si>
    <t>0909198</t>
  </si>
  <si>
    <t>Enex 700 AL</t>
  </si>
  <si>
    <t>0909199</t>
  </si>
  <si>
    <t>Semitex S/AL NME 900                                  3</t>
  </si>
  <si>
    <t>0910001</t>
  </si>
  <si>
    <t>Stahlseilrolle, gehärtet                              1</t>
  </si>
  <si>
    <t>0910002</t>
  </si>
  <si>
    <t>Stahlseilrolle, gehärtet D=60</t>
  </si>
  <si>
    <t>0910003</t>
  </si>
  <si>
    <t>Stahlseilrolle, gehärtet D=30</t>
  </si>
  <si>
    <t>0910004</t>
  </si>
  <si>
    <t>Seilrolle, Kunststoff, Durchmesser 40 mm</t>
  </si>
  <si>
    <t>0910005</t>
  </si>
  <si>
    <t>Seilrolle d=75 mit Kugellager</t>
  </si>
  <si>
    <t>0911001</t>
  </si>
  <si>
    <t>Zünder pyrotechnisch</t>
  </si>
  <si>
    <t>0911002</t>
  </si>
  <si>
    <t>S-grün Bandmaterial 45  X  3 mm, 80 m Ro</t>
  </si>
  <si>
    <t>0911010</t>
  </si>
  <si>
    <t>S-grün Type B, 1 Platte                               8</t>
  </si>
  <si>
    <t>0911011</t>
  </si>
  <si>
    <t>S-grün Type B, 1 Platte                               9</t>
  </si>
  <si>
    <t>0911012</t>
  </si>
  <si>
    <t>0911013</t>
  </si>
  <si>
    <t>S-grün Type B, 3mm                                    5</t>
  </si>
  <si>
    <t>0911014</t>
  </si>
  <si>
    <t>0911020</t>
  </si>
  <si>
    <t>Absenkungsschiene für RGT horizontal</t>
  </si>
  <si>
    <t>0911030</t>
  </si>
  <si>
    <t>Absenkungsschiene für RGT horizontal                  1</t>
  </si>
  <si>
    <t>0911050</t>
  </si>
  <si>
    <t>Aluminiumscheibe Durchm 90 mm</t>
  </si>
  <si>
    <t>0911060</t>
  </si>
  <si>
    <t>Schulterstück für ERGO-Lekto</t>
  </si>
  <si>
    <t>0911071</t>
  </si>
  <si>
    <t>S-grün für Gleitführung</t>
  </si>
  <si>
    <t>0911072</t>
  </si>
  <si>
    <t>S-grün für Übergangswinkel Uni Q</t>
  </si>
  <si>
    <t>0911073</t>
  </si>
  <si>
    <t>S-grün für Schieberführung Uni B</t>
  </si>
  <si>
    <t>0911074</t>
  </si>
  <si>
    <t>S-grün für Schieberführung OS</t>
  </si>
  <si>
    <t>0912003</t>
  </si>
  <si>
    <t>Kantenschutzprofil 1-4mm Klemmbereich</t>
  </si>
  <si>
    <t>0912004</t>
  </si>
  <si>
    <t>Kantenschutzprofil 1-2mm Klemmbereich</t>
  </si>
  <si>
    <t>0913002</t>
  </si>
  <si>
    <t>Konstruktionsband K0</t>
  </si>
  <si>
    <t>0913003</t>
  </si>
  <si>
    <t>Konstruktionsband K0                                  1</t>
  </si>
  <si>
    <t>0913004</t>
  </si>
  <si>
    <t>Konstruktionsband K04</t>
  </si>
  <si>
    <t>0913005</t>
  </si>
  <si>
    <t>0913006</t>
  </si>
  <si>
    <t>Konstruktionsband  Edelstahl 240x50x16x5              4</t>
  </si>
  <si>
    <t>0913008</t>
  </si>
  <si>
    <t>Stangenscharnier 32mm  3500 lg</t>
  </si>
  <si>
    <t>0913009</t>
  </si>
  <si>
    <t>Scharnier käntig 30X30 mm hell Ver.</t>
  </si>
  <si>
    <t>0913010</t>
  </si>
  <si>
    <t>Scharnier käntig 120X33 mm hell Ver.</t>
  </si>
  <si>
    <t>0914045</t>
  </si>
  <si>
    <t>Buchse 70 mm , OC Lamelle</t>
  </si>
  <si>
    <t>0914046</t>
  </si>
  <si>
    <t>Buchse-OC 16-B-1 C01-700/7492                         1</t>
  </si>
  <si>
    <t>0914047</t>
  </si>
  <si>
    <t>Buchse OC - Lamelle / NG</t>
  </si>
  <si>
    <t>0914048</t>
  </si>
  <si>
    <t>Buchse untere Lamelle -OC</t>
  </si>
  <si>
    <t>0914050</t>
  </si>
  <si>
    <t>Buchse Lamelle - OC EI120</t>
  </si>
  <si>
    <t>0914051</t>
  </si>
  <si>
    <t>Buchse untere Lamelle - OC EI120</t>
  </si>
  <si>
    <t>0914060</t>
  </si>
  <si>
    <t>Schlauchanschluß</t>
  </si>
  <si>
    <t>0920003</t>
  </si>
  <si>
    <t>Rohrmanschette NW-63 komplett</t>
  </si>
  <si>
    <t>0930002</t>
  </si>
  <si>
    <t>Stahlseilrolle, Edelstahl D=60</t>
  </si>
  <si>
    <t>0930003</t>
  </si>
  <si>
    <t>Stahlseilrolle, Edelstahl D=30</t>
  </si>
  <si>
    <t>0931001</t>
  </si>
  <si>
    <t>Druckbehälter für Pneumatische Dichtung</t>
  </si>
  <si>
    <t>0931002</t>
  </si>
  <si>
    <t>Druckbehälter f.RSV m.Befestigung und                 5</t>
  </si>
  <si>
    <t>0934047</t>
  </si>
  <si>
    <t>Buchse OC - Lamelle / NG                              1</t>
  </si>
  <si>
    <t>0936001</t>
  </si>
  <si>
    <t>Kabelabschottung</t>
  </si>
  <si>
    <t>0936002</t>
  </si>
  <si>
    <t>0936003</t>
  </si>
  <si>
    <t>0936004</t>
  </si>
  <si>
    <t>Kabelabschottung WD 90</t>
  </si>
  <si>
    <t>0936005</t>
  </si>
  <si>
    <t>0940009</t>
  </si>
  <si>
    <t>Festo Doppelwand Zylinder DN-50-600PPV</t>
  </si>
  <si>
    <t>0940010</t>
  </si>
  <si>
    <t>Rexroth Winkelstutzen</t>
  </si>
  <si>
    <t>0940029</t>
  </si>
  <si>
    <t>Festo Doppelwand Zylinder DN-50-400 PPV</t>
  </si>
  <si>
    <t>0940051</t>
  </si>
  <si>
    <t>Rexroth Kunststoffrohr</t>
  </si>
  <si>
    <t>0940052</t>
  </si>
  <si>
    <t>Rexroth Schlauch  8 x 1</t>
  </si>
  <si>
    <t>0940054</t>
  </si>
  <si>
    <t>Festo Schlauch PU 13 blau</t>
  </si>
  <si>
    <t>0940055</t>
  </si>
  <si>
    <t>Schlauch aus Naturkautschuk aufblasb Dic</t>
  </si>
  <si>
    <t>0940056</t>
  </si>
  <si>
    <t>Profilschlauch aufblasbare Dichtung</t>
  </si>
  <si>
    <t>0940060</t>
  </si>
  <si>
    <t>Festo Drosselregelventil GRLA-1/4-B</t>
  </si>
  <si>
    <t>0940078</t>
  </si>
  <si>
    <t>Schnellkupplung mit Schlauchtülle</t>
  </si>
  <si>
    <t>0940079</t>
  </si>
  <si>
    <t>Stecktülle für Schlauchanschluß</t>
  </si>
  <si>
    <t>0940090</t>
  </si>
  <si>
    <t>Rexroth Einschraubwinkel konisch</t>
  </si>
  <si>
    <t>0940091</t>
  </si>
  <si>
    <t>Rexroth Reduzierverschraubung  G 1/2</t>
  </si>
  <si>
    <t>0940092</t>
  </si>
  <si>
    <t>Rexroth Rückschlagventil G1/8</t>
  </si>
  <si>
    <t>0940093</t>
  </si>
  <si>
    <t>Rexroth T-Stutzen</t>
  </si>
  <si>
    <t>0940094</t>
  </si>
  <si>
    <t>Rexroth Magnetspule</t>
  </si>
  <si>
    <t>0940095</t>
  </si>
  <si>
    <t>Rexroth Druckregelventil                              2</t>
  </si>
  <si>
    <t>0940096</t>
  </si>
  <si>
    <t>Rexroth Verbinder</t>
  </si>
  <si>
    <t>0940097</t>
  </si>
  <si>
    <t>Rexroth Schlauchschelle</t>
  </si>
  <si>
    <t>0940098</t>
  </si>
  <si>
    <t>Rohrschelle Fibershield-S</t>
  </si>
  <si>
    <t>0940100</t>
  </si>
  <si>
    <t>Filtersack,Festo,FIS-SR 5/6</t>
  </si>
  <si>
    <t>0940152</t>
  </si>
  <si>
    <t>Polyamid-Schlauch 8x1mm Blau</t>
  </si>
  <si>
    <t>0940201</t>
  </si>
  <si>
    <t>Rexroth 5/2 Magnetventil RA14 24V DC                  6</t>
  </si>
  <si>
    <t>0940202</t>
  </si>
  <si>
    <t>Rexroth Wegeventil                                    1</t>
  </si>
  <si>
    <t>0940209</t>
  </si>
  <si>
    <t>Rexroth Schalldämpfer G1/4</t>
  </si>
  <si>
    <t>0940210</t>
  </si>
  <si>
    <t>Rexroth Schalldämpfer G 1/8</t>
  </si>
  <si>
    <t>0940212</t>
  </si>
  <si>
    <t>Rexroth Verschraubung-gerade</t>
  </si>
  <si>
    <t>0940213</t>
  </si>
  <si>
    <t>0940214</t>
  </si>
  <si>
    <t>Gerade Verbindung reduziert</t>
  </si>
  <si>
    <t>0940216</t>
  </si>
  <si>
    <t>Rexroth Drosselrückschlagventil</t>
  </si>
  <si>
    <t>0940217</t>
  </si>
  <si>
    <t>Stecker, 400V, 16A, IP44 rot</t>
  </si>
  <si>
    <t>0940231</t>
  </si>
  <si>
    <t>Rexroth Leitungsdose CN1-Form B M16x1,5</t>
  </si>
  <si>
    <t>0940236</t>
  </si>
  <si>
    <t>Rexroth Verschlußschraube FPT-S RBI-G014</t>
  </si>
  <si>
    <t>0940237</t>
  </si>
  <si>
    <t>Rexroth Geradverschraubung NU2-S-RPN-</t>
  </si>
  <si>
    <t>0940238</t>
  </si>
  <si>
    <t>0940239</t>
  </si>
  <si>
    <t>0940256</t>
  </si>
  <si>
    <t>Rexroth Rückschlagventil</t>
  </si>
  <si>
    <t>0940257</t>
  </si>
  <si>
    <t>Rexroth Drosselrückschlagventil 1/4 Zoll</t>
  </si>
  <si>
    <t>0940258</t>
  </si>
  <si>
    <t>Rückschlagventil NW 12, G1/2                          1</t>
  </si>
  <si>
    <t>0940259</t>
  </si>
  <si>
    <t>Rexroth PUR-Rohr, TU1-S-PUR-008-0115-BU-</t>
  </si>
  <si>
    <t>0940260</t>
  </si>
  <si>
    <t>Rexroth Verschraubung</t>
  </si>
  <si>
    <t>0940273</t>
  </si>
  <si>
    <t>Magnetspule</t>
  </si>
  <si>
    <t>0940274</t>
  </si>
  <si>
    <t>Magnetfolie</t>
  </si>
  <si>
    <t>0940276</t>
  </si>
  <si>
    <t>Rexroth Rexroth Einschraubstutzen</t>
  </si>
  <si>
    <t>0940277</t>
  </si>
  <si>
    <t>0940278</t>
  </si>
  <si>
    <t>Rexroth Verbindungsstutzen</t>
  </si>
  <si>
    <t>0940279</t>
  </si>
  <si>
    <t>Rexroth Gerade Verschraubung</t>
  </si>
  <si>
    <t>0940280</t>
  </si>
  <si>
    <t>0940281</t>
  </si>
  <si>
    <t>Rexroth Reduziernippel</t>
  </si>
  <si>
    <t>0940282</t>
  </si>
  <si>
    <t>0940283</t>
  </si>
  <si>
    <t>0940284</t>
  </si>
  <si>
    <t>Rexroth T-Verbindung</t>
  </si>
  <si>
    <t>0940285</t>
  </si>
  <si>
    <t>0940286</t>
  </si>
  <si>
    <t>Rexroth T-Verschraubung</t>
  </si>
  <si>
    <t>0940287</t>
  </si>
  <si>
    <t>Zylinderschalter                                      1</t>
  </si>
  <si>
    <t>0940288</t>
  </si>
  <si>
    <t>0940296</t>
  </si>
  <si>
    <t>Rexroth Druckregelventil                              1</t>
  </si>
  <si>
    <t>0940297</t>
  </si>
  <si>
    <t>Rexroth Kugelhahn</t>
  </si>
  <si>
    <t>0940300</t>
  </si>
  <si>
    <t>Klemmhalter für Zylinderschalter</t>
  </si>
  <si>
    <t>0940301</t>
  </si>
  <si>
    <t>Zubehörsatz</t>
  </si>
  <si>
    <t>0940310</t>
  </si>
  <si>
    <t>Pneumatischer Antrieb mit Schwenk -</t>
  </si>
  <si>
    <t>0940314</t>
  </si>
  <si>
    <t>0940315</t>
  </si>
  <si>
    <t>Rexroth 3/2 Wegeventil                                2</t>
  </si>
  <si>
    <t>0940317</t>
  </si>
  <si>
    <t>0940318</t>
  </si>
  <si>
    <t>Sensor SN2-R2-K03V-240, 27 Ohm                        1</t>
  </si>
  <si>
    <t>0940321</t>
  </si>
  <si>
    <t>Rexroth Verbindungsmutter</t>
  </si>
  <si>
    <t>0940322</t>
  </si>
  <si>
    <t>Rexroth Druckschalter Rohranschl.1-16B                4</t>
  </si>
  <si>
    <t>0940323</t>
  </si>
  <si>
    <t>Rexroth Gerade Verschraubung 15700</t>
  </si>
  <si>
    <t>0940324</t>
  </si>
  <si>
    <t>Rexroth Reduzierverschraubung</t>
  </si>
  <si>
    <t>0940325</t>
  </si>
  <si>
    <t>Rexroth Schwenkverschraubung  90°</t>
  </si>
  <si>
    <t>0940326</t>
  </si>
  <si>
    <t>0940327</t>
  </si>
  <si>
    <t>Gerade Verbindung</t>
  </si>
  <si>
    <t>0940328</t>
  </si>
  <si>
    <t>Gewindeanachlußstecker kurz</t>
  </si>
  <si>
    <t>0940329</t>
  </si>
  <si>
    <t>0940330</t>
  </si>
  <si>
    <t>0940331</t>
  </si>
  <si>
    <t>0940332</t>
  </si>
  <si>
    <t>Rexroth Verschlußschraube</t>
  </si>
  <si>
    <t>0940333</t>
  </si>
  <si>
    <t>0940334</t>
  </si>
  <si>
    <t>Rexroth Einschraubanschluß gerade G3/8</t>
  </si>
  <si>
    <t>0940335</t>
  </si>
  <si>
    <t>Rexroth Blindstopfen BPM 14</t>
  </si>
  <si>
    <t>0940336</t>
  </si>
  <si>
    <t>Rexroth Kleinzylinder                                 3</t>
  </si>
  <si>
    <t>0940337</t>
  </si>
  <si>
    <t>Rexroth Winkelstück</t>
  </si>
  <si>
    <t>0940338</t>
  </si>
  <si>
    <t>Rexroth Klemmhalter</t>
  </si>
  <si>
    <t>0940339</t>
  </si>
  <si>
    <t>Rexroth Luftbehälter 5 L                              7</t>
  </si>
  <si>
    <t>0940340</t>
  </si>
  <si>
    <t>Rexroth Kugelventil G 1/4</t>
  </si>
  <si>
    <t>0940341</t>
  </si>
  <si>
    <t>0940342</t>
  </si>
  <si>
    <t>0940343</t>
  </si>
  <si>
    <t>Rexroth Kompaktzylinder D63 H25                       9</t>
  </si>
  <si>
    <t>0940344</t>
  </si>
  <si>
    <t>Rexroth Drosselrückschlagventil G 1/8</t>
  </si>
  <si>
    <t>0940345</t>
  </si>
  <si>
    <t>Rexroth Druckschalter G 1/4                           5</t>
  </si>
  <si>
    <t>0940346</t>
  </si>
  <si>
    <t>Rexroth Rückschlagventil NG 12, G 1/2</t>
  </si>
  <si>
    <t>0940347</t>
  </si>
  <si>
    <t>Druckbehälter aus Stahlblech, 10 bar                  6</t>
  </si>
  <si>
    <t>0940348</t>
  </si>
  <si>
    <t>Befestigung für Behälter 206 Durchm.</t>
  </si>
  <si>
    <t>0941003</t>
  </si>
  <si>
    <t>Rexroth Winkelverschraubung 1/8"</t>
  </si>
  <si>
    <t>0941004</t>
  </si>
  <si>
    <t>Rexroth Einschraubdrossel</t>
  </si>
  <si>
    <t>0941005</t>
  </si>
  <si>
    <t>0941006</t>
  </si>
  <si>
    <t>0941007</t>
  </si>
  <si>
    <t>0941008</t>
  </si>
  <si>
    <t>Rexroth Kunststoffschlauch 6 x 1 PU blau</t>
  </si>
  <si>
    <t>0941009</t>
  </si>
  <si>
    <t>Rexroth Leitungsdose CN1-FORM B-M16x1,5</t>
  </si>
  <si>
    <t>0941010</t>
  </si>
  <si>
    <t>Kolbenkompressor , ROA - P 201 - BN ,                20</t>
  </si>
  <si>
    <t>0941011</t>
  </si>
  <si>
    <t>Drumag Schalldämpfer m.Drossel 7110-1/4</t>
  </si>
  <si>
    <t>0941012</t>
  </si>
  <si>
    <t>Schwenkarm a-y6,  V2A                                 4</t>
  </si>
  <si>
    <t>0941013</t>
  </si>
  <si>
    <t>Rexroth Pneumatik-Zylinder, D = 63 mm,               18</t>
  </si>
  <si>
    <t>0941014</t>
  </si>
  <si>
    <t>Rexroth Drosselrückschlagventil G 3/8"                1</t>
  </si>
  <si>
    <t>0941015</t>
  </si>
  <si>
    <t>Rexroth Zubehörsatz Fußbefestigung für                1</t>
  </si>
  <si>
    <t>0941016</t>
  </si>
  <si>
    <t>Rexroth Magnetfeldsensor SN2-R2                       1</t>
  </si>
  <si>
    <t>0941017</t>
  </si>
  <si>
    <t>Rexroth Klemmhalter, D 50</t>
  </si>
  <si>
    <t>0941018</t>
  </si>
  <si>
    <t>Rexroth Druckluftbehälter 10 bar, 20 L.               7</t>
  </si>
  <si>
    <t>0941019</t>
  </si>
  <si>
    <t>Rexroth Befestigung für Luftbehälter 20L</t>
  </si>
  <si>
    <t>0941020</t>
  </si>
  <si>
    <t>Rexroth Luftbehälter, 10 bar, 10 L.                   7</t>
  </si>
  <si>
    <t>0941021</t>
  </si>
  <si>
    <t>Rexroth Befestigung für Luftbehälter 10l</t>
  </si>
  <si>
    <t>0941022</t>
  </si>
  <si>
    <t>Rexroth Reduzierverschraubung G1 - G 1/2</t>
  </si>
  <si>
    <t>0941023</t>
  </si>
  <si>
    <t>Rexroth Verschlussschraube G 1/2</t>
  </si>
  <si>
    <t>0941024</t>
  </si>
  <si>
    <t>Rexroth Sicherheitsventil</t>
  </si>
  <si>
    <t>0941025</t>
  </si>
  <si>
    <t>Rexroth Doppelnippel mit Dichtring, G1/4</t>
  </si>
  <si>
    <t>0941026</t>
  </si>
  <si>
    <t>Rexroth Zylinder, Hub 100, D=32mm                     6</t>
  </si>
  <si>
    <t>0941027</t>
  </si>
  <si>
    <t>Rexroth Gabelkopf</t>
  </si>
  <si>
    <t>0941028</t>
  </si>
  <si>
    <t>Rexroth Gabelbefestigung</t>
  </si>
  <si>
    <t>0941029</t>
  </si>
  <si>
    <t>Rexroth Gegenlager                                    1</t>
  </si>
  <si>
    <t>0941030</t>
  </si>
  <si>
    <t>Rexroth Bolzen für Gabelbefestigung MP2</t>
  </si>
  <si>
    <t>0941031</t>
  </si>
  <si>
    <t>Rexroth Zylinderschalter                              1</t>
  </si>
  <si>
    <t>0941032</t>
  </si>
  <si>
    <t>0941033</t>
  </si>
  <si>
    <t>Rexroth Druckluftschlauch, transparent,</t>
  </si>
  <si>
    <t>0941034</t>
  </si>
  <si>
    <t>Mädler  Pneumatik-Zylinder, D = 20 mm,                2</t>
  </si>
  <si>
    <t>0941035</t>
  </si>
  <si>
    <t>Rexroth Magnetventil                                  2</t>
  </si>
  <si>
    <t>0941036</t>
  </si>
  <si>
    <t>0941037</t>
  </si>
  <si>
    <t>Rexroth Gerade Verschraubung 1/8" 8 mm</t>
  </si>
  <si>
    <t>0941038</t>
  </si>
  <si>
    <t>Rexroth Y-Steckverbinder-Steckanschluß-</t>
  </si>
  <si>
    <t>0941039</t>
  </si>
  <si>
    <t>Rexroth Winkelverschraubung</t>
  </si>
  <si>
    <t>0941040</t>
  </si>
  <si>
    <t>Kompressor ROA-P108-DD                               48</t>
  </si>
  <si>
    <t>0941041</t>
  </si>
  <si>
    <t>Rexroth Gabelbefestigung CM1-AB3-020/025</t>
  </si>
  <si>
    <t>0941042</t>
  </si>
  <si>
    <t>Rexroth Gabelkopf CM2-AP2-M008-ST-ZN</t>
  </si>
  <si>
    <t>0941043</t>
  </si>
  <si>
    <t>Rexroth Drosselrückschlagventil                       1</t>
  </si>
  <si>
    <t>0941044</t>
  </si>
  <si>
    <t>Rexroth Schalldämpfer</t>
  </si>
  <si>
    <t>0941045</t>
  </si>
  <si>
    <t>Rexroth Magnetspule 001-FORM B-024DC</t>
  </si>
  <si>
    <t>0941046</t>
  </si>
  <si>
    <t>0941047</t>
  </si>
  <si>
    <t>Rexroth Magnetfeldsensor ST6-R3-K03U-030              1</t>
  </si>
  <si>
    <t>0941048</t>
  </si>
  <si>
    <t>Rexroth Klemmhalter CB1-MNI-020-020-ST6</t>
  </si>
  <si>
    <t>0941049</t>
  </si>
  <si>
    <t>Rexroth T-Verbinder  NU2-S-RTK-DI06-DI0</t>
  </si>
  <si>
    <t>0941050</t>
  </si>
  <si>
    <t>Rexroth Druckschalter</t>
  </si>
  <si>
    <t>0941051</t>
  </si>
  <si>
    <t>Rexroth Zylinder, Hub 520 mm, Zylinder               13</t>
  </si>
  <si>
    <t>0941052</t>
  </si>
  <si>
    <t>Zylinder mit beid. Endlagendämpfung</t>
  </si>
  <si>
    <t>0941053</t>
  </si>
  <si>
    <t>Pneumatikzylinder, Hub 470 mm                        11</t>
  </si>
  <si>
    <t>0941054</t>
  </si>
  <si>
    <t>Pneumatikzylinder, Hub 295 mm</t>
  </si>
  <si>
    <t>0941055</t>
  </si>
  <si>
    <t>Rexroth Magnetfeldsensor                              2</t>
  </si>
  <si>
    <t>0941056</t>
  </si>
  <si>
    <t>Rexroth Klemmhalter CB1-TRB-050-063-ST6</t>
  </si>
  <si>
    <t>0999901</t>
  </si>
  <si>
    <t>Palusol-Manschette, 38 mm Steg                       28</t>
  </si>
  <si>
    <t>0999989</t>
  </si>
  <si>
    <t>Pneumatikzylinder Hub 500 mm                         10</t>
  </si>
  <si>
    <t>0999990</t>
  </si>
  <si>
    <t>Pneumatikzylinder, Hub 321 mm                         9</t>
  </si>
  <si>
    <t>0999991</t>
  </si>
  <si>
    <t>Pneumatikzylinder, Hub 655 mm                        11</t>
  </si>
  <si>
    <t>0999992</t>
  </si>
  <si>
    <t>Pneumatikzylinder, Hub 555 mm                        11</t>
  </si>
  <si>
    <t>0999993</t>
  </si>
  <si>
    <t>Pneumatikzylinder, Hub 520 mm                        11</t>
  </si>
  <si>
    <t>0999994</t>
  </si>
  <si>
    <t>Zylinder, Hub 1120mm, Durchm. 50mm                   15</t>
  </si>
  <si>
    <t>0999995</t>
  </si>
  <si>
    <t>Pneumatikzylinder, Hub 370 mm                        10</t>
  </si>
  <si>
    <t>0999996</t>
  </si>
  <si>
    <t>Pneumatikzylinder, Hub 240 mm                         9</t>
  </si>
  <si>
    <t>0999997</t>
  </si>
  <si>
    <t>Pneumatikzylinder, Hub 435 mm,                       10</t>
  </si>
  <si>
    <t>0999998</t>
  </si>
  <si>
    <t>Rexroth Zylinder d=20,  Hub 160 mm                    4</t>
  </si>
  <si>
    <t>0999999</t>
  </si>
  <si>
    <t>Sammelartikel Andere Zukaufteile</t>
  </si>
  <si>
    <t>l                  4</t>
  </si>
  <si>
    <t>m3                 4</t>
  </si>
  <si>
    <t>mm                 4</t>
  </si>
  <si>
    <t>1</t>
  </si>
  <si>
    <t>zuschnitt</t>
  </si>
  <si>
    <t>1001001</t>
  </si>
  <si>
    <t>Installationsverschraubung Skintop</t>
  </si>
  <si>
    <t>1001002</t>
  </si>
  <si>
    <t>Installationsverschraubung Würgenippel</t>
  </si>
  <si>
    <t>1007009</t>
  </si>
  <si>
    <t>Einzelader H05 V-K, 0,75 mm², orange</t>
  </si>
  <si>
    <t>1007010</t>
  </si>
  <si>
    <t>Steuerleitung rot</t>
  </si>
  <si>
    <t>1007011</t>
  </si>
  <si>
    <t>Einzelader  H05 V-K  1 x  0,75, RAL 5002</t>
  </si>
  <si>
    <t>1007013</t>
  </si>
  <si>
    <t>Steuerleitung , Einzelader, 1 x 1 mm²</t>
  </si>
  <si>
    <t>1007014</t>
  </si>
  <si>
    <t>Steuerleitung , Einzelader, 1 x 1,0 mm²</t>
  </si>
  <si>
    <t>1007015</t>
  </si>
  <si>
    <t>Steuerleitung , Einzelader, 1 x 4 mm²</t>
  </si>
  <si>
    <t>1007016</t>
  </si>
  <si>
    <t>Steuerleitung, Einzelader, 1 x 2,5 mm²</t>
  </si>
  <si>
    <t>1007100</t>
  </si>
  <si>
    <t>Schrumpfschlauch, HILSHRINK HQ 2:1,</t>
  </si>
  <si>
    <t>1007101</t>
  </si>
  <si>
    <t>Schrumpfschlauch</t>
  </si>
  <si>
    <t>1007102</t>
  </si>
  <si>
    <t>Schrumpfschlauch, schwarz</t>
  </si>
  <si>
    <t>1007103</t>
  </si>
  <si>
    <t>1007104</t>
  </si>
  <si>
    <t>1007105</t>
  </si>
  <si>
    <t>1007106</t>
  </si>
  <si>
    <t>1007107</t>
  </si>
  <si>
    <t>Cellpack Schrumpfschlauch 15mtr 3.2-1.6               1</t>
  </si>
  <si>
    <t>1007108</t>
  </si>
  <si>
    <t>Schrumpfschlauch 50,8/25,4 mm</t>
  </si>
  <si>
    <t>1007109</t>
  </si>
  <si>
    <t>Schrumpfschlauch Hilshrink HQ 2:1</t>
  </si>
  <si>
    <t>1007110</t>
  </si>
  <si>
    <t>1010002</t>
  </si>
  <si>
    <t>Rittal Schaltschrank Kompakt Edelstahl</t>
  </si>
  <si>
    <t>1010003</t>
  </si>
  <si>
    <t>Rittal Wandschrank 1000x1200x300                     20</t>
  </si>
  <si>
    <t>1010004</t>
  </si>
  <si>
    <t>Rittal Schaltschrank, RAL 7035                        3</t>
  </si>
  <si>
    <t>1010005</t>
  </si>
  <si>
    <t>Rittal Wandschrank 600x1000x250                      10</t>
  </si>
  <si>
    <t>1010006</t>
  </si>
  <si>
    <t>Rittal Wandschrank                                   35</t>
  </si>
  <si>
    <t>1010007</t>
  </si>
  <si>
    <t>Rittal Wandschrank 600x1200x300                      11</t>
  </si>
  <si>
    <t>1010008</t>
  </si>
  <si>
    <t>Rittal Klemmenkasten 200x150x120                      1</t>
  </si>
  <si>
    <t>1010013</t>
  </si>
  <si>
    <t>Rittal Schaltschrank                                  8</t>
  </si>
  <si>
    <t>1010014</t>
  </si>
  <si>
    <t>Rittal Wandschrank 500x700x250                        7</t>
  </si>
  <si>
    <t>1010017</t>
  </si>
  <si>
    <t>Rittal Wandschrank RAL 7035                          10</t>
  </si>
  <si>
    <t>1010023</t>
  </si>
  <si>
    <t>Rittal Wandschrank 600x600x210, RAL 7035              5</t>
  </si>
  <si>
    <t>1010024</t>
  </si>
  <si>
    <t>Rittal Wandschrank , RAL 7035                         5</t>
  </si>
  <si>
    <t>1010028</t>
  </si>
  <si>
    <t>Rittal Wandschrank 300x300x210                        4</t>
  </si>
  <si>
    <t>1010031</t>
  </si>
  <si>
    <t>Rittal Wandschrank 800 x 1200 x 300                  14</t>
  </si>
  <si>
    <t>1010032</t>
  </si>
  <si>
    <t>Rittal Wandschrank 600x760x210, RAL 7035              7</t>
  </si>
  <si>
    <t>1010033</t>
  </si>
  <si>
    <t>Rittal Wandschrank 1000 x 1400 x 300                 24</t>
  </si>
  <si>
    <t>1010034</t>
  </si>
  <si>
    <t>Rittal Schaltschrank                                  3</t>
  </si>
  <si>
    <t>1010035</t>
  </si>
  <si>
    <t>Rittal Kompakt Schaltschrank                          2</t>
  </si>
  <si>
    <t>1010036</t>
  </si>
  <si>
    <t>Rittal Standschrank,  600x2000x400</t>
  </si>
  <si>
    <t>1010037</t>
  </si>
  <si>
    <t>Rittal Kompakt Schaltschrank</t>
  </si>
  <si>
    <t>1010051</t>
  </si>
  <si>
    <t>1010052</t>
  </si>
  <si>
    <t>Rittal Profilhalbzylinder-Verschluß                   2</t>
  </si>
  <si>
    <t>1010060</t>
  </si>
  <si>
    <t>Dessauer Wandschrank 400x600x150                      6</t>
  </si>
  <si>
    <t>1010062</t>
  </si>
  <si>
    <t>Dessauer Wandschrank 400x500x150                      6</t>
  </si>
  <si>
    <t>1010063</t>
  </si>
  <si>
    <t>Dessauer Wandschaltschrank 600x600x210                9</t>
  </si>
  <si>
    <t>1010064</t>
  </si>
  <si>
    <t>Wandschrank , Dessa Compact,++++++++++++              6</t>
  </si>
  <si>
    <t>1010065</t>
  </si>
  <si>
    <t>Klemmenkasten Dessa Box KK, RAL 7035                  2</t>
  </si>
  <si>
    <t>1010066</t>
  </si>
  <si>
    <t>Rittal Schaltschrank AE 1005.500                     25</t>
  </si>
  <si>
    <t>1010067</t>
  </si>
  <si>
    <t>Rittal Seitenwände                                    6</t>
  </si>
  <si>
    <t>1010068</t>
  </si>
  <si>
    <t>Rittal Sockel seitlich</t>
  </si>
  <si>
    <t>1010069</t>
  </si>
  <si>
    <t>Rittal Erdungsband M8-M8, Länge 170mm</t>
  </si>
  <si>
    <t>1010070</t>
  </si>
  <si>
    <t>Rittal Sockel v. u. h.                                3</t>
  </si>
  <si>
    <t>1010071</t>
  </si>
  <si>
    <t>Rittal Standschrank,  800x2000x400</t>
  </si>
  <si>
    <t>1010072</t>
  </si>
  <si>
    <t>Rittal Kabelfangschiene</t>
  </si>
  <si>
    <t>1010073</t>
  </si>
  <si>
    <t>Rittal Sockel vorn u. hinten TS 8602.800              3</t>
  </si>
  <si>
    <t>1010074</t>
  </si>
  <si>
    <t>Rittal Standschrank,  1000x2000x400                  47</t>
  </si>
  <si>
    <t>1010075</t>
  </si>
  <si>
    <t>1010076</t>
  </si>
  <si>
    <t>Rittal Sockel v. u. h.                                4</t>
  </si>
  <si>
    <t>1010077</t>
  </si>
  <si>
    <t>Rittal Standschrank,  1200x2000x400</t>
  </si>
  <si>
    <t>1010078</t>
  </si>
  <si>
    <t>1010079</t>
  </si>
  <si>
    <t>Rittal Kabelfangschiene 600mm</t>
  </si>
  <si>
    <t>1010080</t>
  </si>
  <si>
    <t>Rittal Sockelbleche, Modular</t>
  </si>
  <si>
    <t>1010081</t>
  </si>
  <si>
    <t>Rittal Standschrank,  800x2000x600</t>
  </si>
  <si>
    <t>1010082</t>
  </si>
  <si>
    <t>Rittal Seitenwände                                   26</t>
  </si>
  <si>
    <t>1010083</t>
  </si>
  <si>
    <t>Rittal Sockel Blenden</t>
  </si>
  <si>
    <t>1010084</t>
  </si>
  <si>
    <t>Rittal Sockel v. u. h.</t>
  </si>
  <si>
    <t>1010085</t>
  </si>
  <si>
    <t>Rittal Standschrank,  1200x2000x600</t>
  </si>
  <si>
    <t>1010086</t>
  </si>
  <si>
    <t>1010087</t>
  </si>
  <si>
    <t>1010088</t>
  </si>
  <si>
    <t>Rittal Sockel v. u. h.                                5</t>
  </si>
  <si>
    <t>1010089</t>
  </si>
  <si>
    <t>Rittal Sockel vorn/hinten</t>
  </si>
  <si>
    <t>1010090</t>
  </si>
  <si>
    <t>Rittal Schaltschrank AE 1007.600</t>
  </si>
  <si>
    <t>1010091</t>
  </si>
  <si>
    <t>Rittal Schaltschrank AE 1010.600                     23</t>
  </si>
  <si>
    <t>1010092</t>
  </si>
  <si>
    <t>Rittal AE Wandschrank                                39</t>
  </si>
  <si>
    <t>1010093</t>
  </si>
  <si>
    <t>Rittal Schaltschrank                                 61</t>
  </si>
  <si>
    <t>1010094</t>
  </si>
  <si>
    <t>Rittal Standschrank                                1.41</t>
  </si>
  <si>
    <t>1010095</t>
  </si>
  <si>
    <t>1010096</t>
  </si>
  <si>
    <t>1011001</t>
  </si>
  <si>
    <t>Rittal Klemmkasten mit .Flanschplatte                 1</t>
  </si>
  <si>
    <t>1011003</t>
  </si>
  <si>
    <t>Rittal  Klemmkasten , mit Flanschplatte               3</t>
  </si>
  <si>
    <t>1011006</t>
  </si>
  <si>
    <t>Rittal SZ Flanschplatte</t>
  </si>
  <si>
    <t>1012004</t>
  </si>
  <si>
    <t>Rittal KL Deckelhalterung</t>
  </si>
  <si>
    <t>1012006</t>
  </si>
  <si>
    <t>Schaltschranksockel SO 2830+++++++++++++</t>
  </si>
  <si>
    <t>1013004</t>
  </si>
  <si>
    <t>Rittal Ergoform-Standart</t>
  </si>
  <si>
    <t>1013005</t>
  </si>
  <si>
    <t>Rittal 180°-Scharnier                                 2</t>
  </si>
  <si>
    <t>1013006</t>
  </si>
  <si>
    <t>Rittal Türpositionsschalter mit Zubehör               1</t>
  </si>
  <si>
    <t>1013008</t>
  </si>
  <si>
    <t>Rittal Ergoform-Mini Verschlußsystem                  1</t>
  </si>
  <si>
    <t>1013009</t>
  </si>
  <si>
    <t>Rittal Kunststoff-Handgriff</t>
  </si>
  <si>
    <t>1013016</t>
  </si>
  <si>
    <t>Rittal Anreihwinkel                                   1</t>
  </si>
  <si>
    <t>1013017</t>
  </si>
  <si>
    <t>System-Chassis++++++++++++++++++++++++++              1</t>
  </si>
  <si>
    <t>1013018</t>
  </si>
  <si>
    <t>Rittal Verschlußteile für Rahmen PS/ES                1</t>
  </si>
  <si>
    <t>1013020</t>
  </si>
  <si>
    <t>Rittal Vierkant-Schlüssel, 7 mm</t>
  </si>
  <si>
    <t>1013021</t>
  </si>
  <si>
    <t>Rittal Sicherheitsschlüssel Nr.3524E</t>
  </si>
  <si>
    <t>1013025</t>
  </si>
  <si>
    <t>Rittal Anschlußleitung mit Buchse 3000mm</t>
  </si>
  <si>
    <t>1013026</t>
  </si>
  <si>
    <t>Scharnier 80 x 28 CopyCap</t>
  </si>
  <si>
    <t>1013501</t>
  </si>
  <si>
    <t>Rittal Schraube M6x16mm incl.U-Scheibe</t>
  </si>
  <si>
    <t>1013502</t>
  </si>
  <si>
    <t>Rittal TS Montageschiene                              1</t>
  </si>
  <si>
    <t>1013503</t>
  </si>
  <si>
    <t>Rittal Erdungsband M8-M8, Länge 300mm</t>
  </si>
  <si>
    <t>1013504</t>
  </si>
  <si>
    <t>Rittal Flachband-Erder, Länge 300 mm</t>
  </si>
  <si>
    <t>1013510</t>
  </si>
  <si>
    <t>UN 1-tlg.Kart.Führng,160, UL 94VO*</t>
  </si>
  <si>
    <t>1013511</t>
  </si>
  <si>
    <t>EL Schrauben und Scheiben+++++++++++++++</t>
  </si>
  <si>
    <t>1013512</t>
  </si>
  <si>
    <t>Rittal Käfigmutter M6 0,8-2mm</t>
  </si>
  <si>
    <t>1013513</t>
  </si>
  <si>
    <t>UN Z-Prof 41617.84TE.,B-gl.mit  *</t>
  </si>
  <si>
    <t>1013514</t>
  </si>
  <si>
    <t>Rittal 19 "  Flansch 3HE,0.L.</t>
  </si>
  <si>
    <t>1013515</t>
  </si>
  <si>
    <t>UN-Ersatzteile HW.WA.-Nr:2774728/007 *</t>
  </si>
  <si>
    <t>1013516</t>
  </si>
  <si>
    <t>Baugruppenträger für 3HE++++++++++++++++              2</t>
  </si>
  <si>
    <t>1013520</t>
  </si>
  <si>
    <t>Baugruppenträger für 3HE++++++++++++++++             11</t>
  </si>
  <si>
    <t>1013602</t>
  </si>
  <si>
    <t>Rittal Wandbefestigungshalter, 10 mm</t>
  </si>
  <si>
    <t>1013603</t>
  </si>
  <si>
    <t>Rittal Wandbefestigungshalter Abst.8 mm</t>
  </si>
  <si>
    <t>1013604</t>
  </si>
  <si>
    <t>Rittal Wandbefestigungshalter, Edelstahl</t>
  </si>
  <si>
    <t>1013605</t>
  </si>
  <si>
    <t>Rittal Acrylglashaube HE3 534x158x47,5                5</t>
  </si>
  <si>
    <t>1013606</t>
  </si>
  <si>
    <t>Rittal Acrylglashaube HE6 534x291,5x47,5              5</t>
  </si>
  <si>
    <t>1013607</t>
  </si>
  <si>
    <t>Rittal Acrylglashaube HE9 534x425x47,5                6</t>
  </si>
  <si>
    <t>1013608</t>
  </si>
  <si>
    <t>Rittal Metr.Acrylglashaube 400x200x47,5               5</t>
  </si>
  <si>
    <t>1013609</t>
  </si>
  <si>
    <t>Rittal Acrylglashaube                                 5</t>
  </si>
  <si>
    <t>1013613</t>
  </si>
  <si>
    <t>Rittal FT Plexiglashaube 320x158x47,5                 4</t>
  </si>
  <si>
    <t>1013614</t>
  </si>
  <si>
    <t>Rittal Kiemenblech , RAL 7035</t>
  </si>
  <si>
    <t>1013615</t>
  </si>
  <si>
    <t>Rittal Schaltplantasche DIN A3 quer</t>
  </si>
  <si>
    <t>1013616</t>
  </si>
  <si>
    <t>Rittal Kabelschlauchhalter 29mm</t>
  </si>
  <si>
    <t>1013617</t>
  </si>
  <si>
    <t>Rittal Kabelschlauch 29mm,  Länge 25 m                2</t>
  </si>
  <si>
    <t>1013618</t>
  </si>
  <si>
    <t>Rittal Schaltplantasche DIN A4 hoch</t>
  </si>
  <si>
    <t>1013619</t>
  </si>
  <si>
    <t>Stöbich Schaltplantasche DIN A3 quer</t>
  </si>
  <si>
    <t>1013620</t>
  </si>
  <si>
    <t>Stöbich Schaltplantasche DIN A4 hoch</t>
  </si>
  <si>
    <t>1013621</t>
  </si>
  <si>
    <t>Rittal Schaltplantasche aus Stahlblech                1</t>
  </si>
  <si>
    <t>1013622</t>
  </si>
  <si>
    <t>Rittal Kabelschlauch 48mm,</t>
  </si>
  <si>
    <t>1013625</t>
  </si>
  <si>
    <t>Rittal Kabelschlauchhalter 48mm</t>
  </si>
  <si>
    <t>1013626</t>
  </si>
  <si>
    <t>Rittal Tür für AE-Gehäuse AE 1060                     4</t>
  </si>
  <si>
    <t>1013627</t>
  </si>
  <si>
    <t>Rittal Temperaturregler                               1</t>
  </si>
  <si>
    <t>1013628</t>
  </si>
  <si>
    <t>Rittal Top Therm Filterlüfter                         6</t>
  </si>
  <si>
    <t>1013629</t>
  </si>
  <si>
    <t>1013630</t>
  </si>
  <si>
    <t>Rittal Wandbefestigungshalterset</t>
  </si>
  <si>
    <t>1014001</t>
  </si>
  <si>
    <t>Rittal Elektronik-Kombi-System 6HE                   15</t>
  </si>
  <si>
    <t>1014002</t>
  </si>
  <si>
    <t>Rittal Elektronik-Kombi-System 3HE                   13</t>
  </si>
  <si>
    <t>1014003</t>
  </si>
  <si>
    <t>Rittal Elektronik-Kombi-System 9HE                   17</t>
  </si>
  <si>
    <t>1014004</t>
  </si>
  <si>
    <t>Rittal Elektronik-Kombi-System 12HE                  21</t>
  </si>
  <si>
    <t>1014005</t>
  </si>
  <si>
    <t>Rittal Elektronik-Kombi-System 15HE                  23</t>
  </si>
  <si>
    <t>1014010</t>
  </si>
  <si>
    <t>Rittal Standschrank,  800x1800x400                   33</t>
  </si>
  <si>
    <t>1014013</t>
  </si>
  <si>
    <t>Rittal Schaltschrank, Edelstahl                       3</t>
  </si>
  <si>
    <t>1014015</t>
  </si>
  <si>
    <t>Rittal Elektronik-Kombi-System 21HE                  27</t>
  </si>
  <si>
    <t>1014016</t>
  </si>
  <si>
    <t>Rittal Versandbeutel für TS Seitenwände</t>
  </si>
  <si>
    <t>1014017</t>
  </si>
  <si>
    <t>Rittal Verschlusseinsatz VW-E1                        1</t>
  </si>
  <si>
    <t>1014018</t>
  </si>
  <si>
    <t>Kompaktleuchte SZ 4140.010                            7</t>
  </si>
  <si>
    <t>1014019</t>
  </si>
  <si>
    <t>Erweiterungssatz Magnetbefestigung für</t>
  </si>
  <si>
    <t>1014020</t>
  </si>
  <si>
    <t>Steckdose Tragschinenmontage SZ 2506.100</t>
  </si>
  <si>
    <t>1014021</t>
  </si>
  <si>
    <t>Rittal KL Klemmenkasten,  RAL 7035</t>
  </si>
  <si>
    <t>1014022</t>
  </si>
  <si>
    <t>Rittal Schaltschrank, RAL 7035                       35</t>
  </si>
  <si>
    <t>1014023</t>
  </si>
  <si>
    <t>Rittal Seitenwände , RAL 7035                         7</t>
  </si>
  <si>
    <t>1014024</t>
  </si>
  <si>
    <t>Rittal Sockelblenden seitlich, RAL 7022               1</t>
  </si>
  <si>
    <t>1014025</t>
  </si>
  <si>
    <t>Rittal Schaltschrankleuchte  14W/230V                 5</t>
  </si>
  <si>
    <t>1014026</t>
  </si>
  <si>
    <t>Rittal Standschrank                                  37</t>
  </si>
  <si>
    <t>1014027</t>
  </si>
  <si>
    <t>Rittal Seitenwände                                    8</t>
  </si>
  <si>
    <t>1014028</t>
  </si>
  <si>
    <t>Rittal Sockel-Blenden seitlich                        1</t>
  </si>
  <si>
    <t>1014029</t>
  </si>
  <si>
    <t>Rittal Komfortleuchte incl. Steckdose                 9</t>
  </si>
  <si>
    <t>1014030</t>
  </si>
  <si>
    <t>Rittal Anschlussleitung                               1</t>
  </si>
  <si>
    <t>1014031</t>
  </si>
  <si>
    <t>Rittal Kleingehäuse AE 1280,</t>
  </si>
  <si>
    <t>1014032</t>
  </si>
  <si>
    <t>Rittal Systemfenster FT, 30mm Sondermaß              36</t>
  </si>
  <si>
    <t>1014033</t>
  </si>
  <si>
    <t>Rittal Schaltschrank,  Edelstahl                     15</t>
  </si>
  <si>
    <t>1014034</t>
  </si>
  <si>
    <t>Rittal Sockel vorne und hinten                        5</t>
  </si>
  <si>
    <t>1014035</t>
  </si>
  <si>
    <t>Rittal Sockel Blenden seitlich                        1</t>
  </si>
  <si>
    <t>1014036</t>
  </si>
  <si>
    <t>Rittal Standschrank                                  33</t>
  </si>
  <si>
    <t>1014037</t>
  </si>
  <si>
    <t>Rittal Seitenwände                                    3</t>
  </si>
  <si>
    <t>1014038</t>
  </si>
  <si>
    <t>Rittal Sockelelement vorn und hinten                  1</t>
  </si>
  <si>
    <t>1014039</t>
  </si>
  <si>
    <t>Rittal Sockelelement seitlich</t>
  </si>
  <si>
    <t>1014040</t>
  </si>
  <si>
    <t>Rittal 180° Scharnier für TS Schrank</t>
  </si>
  <si>
    <t>1014041</t>
  </si>
  <si>
    <t>Rittal Komfortgriff mit E1-Schließung                 2</t>
  </si>
  <si>
    <t>1014042</t>
  </si>
  <si>
    <t>Rittal Komfortleuchte                                 9</t>
  </si>
  <si>
    <t>1014043</t>
  </si>
  <si>
    <t>Rittal Schaltplantasche                               1</t>
  </si>
  <si>
    <t>1014044</t>
  </si>
  <si>
    <t>Rittal TS-Schrank                                    29</t>
  </si>
  <si>
    <t>1014045</t>
  </si>
  <si>
    <t>Rittal  Seitenwände                                   3</t>
  </si>
  <si>
    <t>1014046</t>
  </si>
  <si>
    <t>Rittal  Sockel-Element  v + h                         3</t>
  </si>
  <si>
    <t>1014047</t>
  </si>
  <si>
    <t>Rittal Sockel-Blenden seitl.                          1</t>
  </si>
  <si>
    <t>1014048</t>
  </si>
  <si>
    <t>Rittal Schaltplantasche 500mm                         1</t>
  </si>
  <si>
    <t>1014049</t>
  </si>
  <si>
    <t>Rittal TS Komfortgriff, RAL 7035                      2</t>
  </si>
  <si>
    <t>1014050</t>
  </si>
  <si>
    <t>Rittal TS Verschlusseinsatz</t>
  </si>
  <si>
    <t>1014051</t>
  </si>
  <si>
    <t>Rittal DK-TS8 Scharnier 180°,                         3</t>
  </si>
  <si>
    <t>1014052</t>
  </si>
  <si>
    <t>Rittal Komfortleuchte 14W/100-240V                    6</t>
  </si>
  <si>
    <t>1014053</t>
  </si>
  <si>
    <t>Rittal Türpositionsschalter + Stecker                 1</t>
  </si>
  <si>
    <t>1014054</t>
  </si>
  <si>
    <t>Rittal FT Systemfenster 30 mm Sonder-                30</t>
  </si>
  <si>
    <t>1014055</t>
  </si>
  <si>
    <t>Rittal TS Teilmontageplatte                           2</t>
  </si>
  <si>
    <t>1014056</t>
  </si>
  <si>
    <t>Rittal Standschrank                                  36</t>
  </si>
  <si>
    <t>1014057</t>
  </si>
  <si>
    <t>Rittal EMV-Kabelverschraubung M25</t>
  </si>
  <si>
    <t>1014058</t>
  </si>
  <si>
    <t>Rittal EMV-Kabelverschraubung M20</t>
  </si>
  <si>
    <t>1014059</t>
  </si>
  <si>
    <t>Rittal Verschluss-System Ergoform- S                  2</t>
  </si>
  <si>
    <t>1014060</t>
  </si>
  <si>
    <t>Rittal Systemfenster                                  8</t>
  </si>
  <si>
    <t>1014061</t>
  </si>
  <si>
    <t>Rittal Sonder- TS8 Schrank                           63</t>
  </si>
  <si>
    <t>1014062</t>
  </si>
  <si>
    <t>Rittal TS Sockel-Elemente v + h, RAL7022              3</t>
  </si>
  <si>
    <t>1014063</t>
  </si>
  <si>
    <t>Rittal TS Sockel-Blenden seitl. RAL7022               1</t>
  </si>
  <si>
    <t>1014064</t>
  </si>
  <si>
    <t>Rittal Trennwand für 2000 x 500 mm                    4</t>
  </si>
  <si>
    <t>1014065</t>
  </si>
  <si>
    <t>Rittal Flanschplatte, geschlossen,</t>
  </si>
  <si>
    <t>1014066</t>
  </si>
  <si>
    <t>Rittal Vorreiberverschlüsse</t>
  </si>
  <si>
    <t>1014067</t>
  </si>
  <si>
    <t>Rittal HD Klemmenkasten,  1.4301                     18</t>
  </si>
  <si>
    <t>1014068</t>
  </si>
  <si>
    <t>Rittal Standardleuchte, 14W, 230 V                    3</t>
  </si>
  <si>
    <t>1014069</t>
  </si>
  <si>
    <t>Rittal Flachband-Erder für M8</t>
  </si>
  <si>
    <t>1014070</t>
  </si>
  <si>
    <t>Rittal Schaltschrank HD                              65</t>
  </si>
  <si>
    <t>1014071</t>
  </si>
  <si>
    <t>Rittal Kabelverschraubung HD M20                      1</t>
  </si>
  <si>
    <t>1014072</t>
  </si>
  <si>
    <t>Rittal Kabelverschraubung HD M25                      7</t>
  </si>
  <si>
    <t>1014073</t>
  </si>
  <si>
    <t>Rittal Schaltschrank, RAL 7035                       15</t>
  </si>
  <si>
    <t>1014074</t>
  </si>
  <si>
    <t>Rittal Kompakt  Schaltschrank, RAL 9010              16</t>
  </si>
  <si>
    <t>1014075</t>
  </si>
  <si>
    <t>Rittal Scharnier 180°</t>
  </si>
  <si>
    <t>1014076</t>
  </si>
  <si>
    <t>Rittal Mini-Komfortgriff                              1</t>
  </si>
  <si>
    <t>1014077</t>
  </si>
  <si>
    <t>Rittal KL Klemmkasten mit Flanschplatte               3</t>
  </si>
  <si>
    <t>1014078</t>
  </si>
  <si>
    <t>Rittal Verschluss-Einsätze                            1</t>
  </si>
  <si>
    <t>1014079</t>
  </si>
  <si>
    <t>Rittal Schaltschrank HD                              29</t>
  </si>
  <si>
    <t>1014080</t>
  </si>
  <si>
    <t>Rittal Wandabstandshalter HD                          1</t>
  </si>
  <si>
    <t>1014081</t>
  </si>
  <si>
    <t>Rittal HD Schlüssel</t>
  </si>
  <si>
    <t>1014082</t>
  </si>
  <si>
    <t>Rittal Klemmenkasten                                 12</t>
  </si>
  <si>
    <t>1014083</t>
  </si>
  <si>
    <t>Rittal Montageplatte</t>
  </si>
  <si>
    <t>1014084</t>
  </si>
  <si>
    <t>Rittal Wandbefestigungshalter KL</t>
  </si>
  <si>
    <t>1014085</t>
  </si>
  <si>
    <t>Rittal Druckausgleichsstopfen</t>
  </si>
  <si>
    <t>1014086</t>
  </si>
  <si>
    <t>Rittal Kabelverschraubung HD M16                      1</t>
  </si>
  <si>
    <t>1014087</t>
  </si>
  <si>
    <t>Rittal Gegenmutter HD M16</t>
  </si>
  <si>
    <t>1014088</t>
  </si>
  <si>
    <t>Rittal Gegenmutter HD M20</t>
  </si>
  <si>
    <t>1014089</t>
  </si>
  <si>
    <t>Rittal Schaltschrank AE</t>
  </si>
  <si>
    <t>1014090</t>
  </si>
  <si>
    <t>Rittal EMV-Kabelverschraubung M 16</t>
  </si>
  <si>
    <t>1014091</t>
  </si>
  <si>
    <t>Rittal Deckel für Klemmenkasten                       4</t>
  </si>
  <si>
    <t>1014092</t>
  </si>
  <si>
    <t>Rittal Kabelschlauchhalter</t>
  </si>
  <si>
    <t>1014093</t>
  </si>
  <si>
    <t>Rittal Schaltschrankheizung                           3</t>
  </si>
  <si>
    <t>1014094</t>
  </si>
  <si>
    <t>Rittal Klemmenkasten KL                               3</t>
  </si>
  <si>
    <t>1014095</t>
  </si>
  <si>
    <t>Rittal Schaltschrank  Sonderlackierung</t>
  </si>
  <si>
    <t>1014096</t>
  </si>
  <si>
    <t>Rittal Schaltschrank AE                               3</t>
  </si>
  <si>
    <t>1014097</t>
  </si>
  <si>
    <t>Rittal HD Untergestell, 4 Füsse,                     70</t>
  </si>
  <si>
    <t>1014098</t>
  </si>
  <si>
    <t>Rittal TS8 Aufsatz mit Schräge                       62</t>
  </si>
  <si>
    <t>1014099</t>
  </si>
  <si>
    <t>Rittal Flanschplatte Größe 5, RAL 7035                1</t>
  </si>
  <si>
    <t>1014100</t>
  </si>
  <si>
    <t>Dessauer Wandschrank 500x500x210                      5</t>
  </si>
  <si>
    <t>1014101</t>
  </si>
  <si>
    <t>Dessa Compact Wandschaltschrank+++++++++              5</t>
  </si>
  <si>
    <t>1014200</t>
  </si>
  <si>
    <t>Dessa Wandschaltschrank  komplett!!+++++</t>
  </si>
  <si>
    <t>1014201</t>
  </si>
  <si>
    <t>Wandschaltschrank Dessauer 500x500x210++             10</t>
  </si>
  <si>
    <t>1014202</t>
  </si>
  <si>
    <t>Elektronikgehäuse EL 2243 komplett!!++++             14</t>
  </si>
  <si>
    <t>1014203</t>
  </si>
  <si>
    <t>Elektronikgehäuse EL 2246  komplett!!+++             16</t>
  </si>
  <si>
    <t>1014204</t>
  </si>
  <si>
    <t>Elektronikgehäuse EL 2249 komplett!!++++             19</t>
  </si>
  <si>
    <t>1014205</t>
  </si>
  <si>
    <t>Blech für Steuerung RZ54</t>
  </si>
  <si>
    <t>1014206</t>
  </si>
  <si>
    <t>Blech für Steuerung RZ3</t>
  </si>
  <si>
    <t>1014207</t>
  </si>
  <si>
    <t>Kompressor-Schaltschrank                             52</t>
  </si>
  <si>
    <t>1014208</t>
  </si>
  <si>
    <t>Notstrom 2xT8 (Z-RZ8-XOR/Z-N-FRA1,8-2U)           1.22</t>
  </si>
  <si>
    <t>1014209</t>
  </si>
  <si>
    <t>Notstrom Z-RZ8-1AME-S/Z-N-FRA 0,35-1U                45</t>
  </si>
  <si>
    <t>1014210</t>
  </si>
  <si>
    <t>DZ-N/230/1,1/0/0/0/0/0                             1.05</t>
  </si>
  <si>
    <t>1014211</t>
  </si>
  <si>
    <t>DZ-N/230/1,1/RZ3 m. Motor/0/0/0/0</t>
  </si>
  <si>
    <t>1014212</t>
  </si>
  <si>
    <t>DZ-N/230/1,1/0/ RZ4 m. Motor /0/0/0</t>
  </si>
  <si>
    <t>1014213</t>
  </si>
  <si>
    <t>DZ-N/230/1,1/ RZ3 o. Motor /0/0/0/0                2.00</t>
  </si>
  <si>
    <t>1014214</t>
  </si>
  <si>
    <t>DZ-N/230/1,1/0/ RZ4 o. Motor /0/0/0</t>
  </si>
  <si>
    <t>1014215</t>
  </si>
  <si>
    <t>DZ-N/230/1,1/0/RZ7 FAA m. Rel/0/0/0</t>
  </si>
  <si>
    <t>1014216</t>
  </si>
  <si>
    <t>DZ-N/230/1,1/0/RZ7 FAA o. Rel/0/0/0</t>
  </si>
  <si>
    <t>1014217</t>
  </si>
  <si>
    <t>DZ-N/230/1,1/RZ7 NT24/0/0/0/0</t>
  </si>
  <si>
    <t>1014218</t>
  </si>
  <si>
    <t>DZ-N/230/1,1/RZ7 NT24 + BMZ/0/0/0/1</t>
  </si>
  <si>
    <t>1014219</t>
  </si>
  <si>
    <t>DZ-N/230/1,1/0/0/230/0/0</t>
  </si>
  <si>
    <t>1014220</t>
  </si>
  <si>
    <t>DZ-N/230/1,1/0/0/400/0/0</t>
  </si>
  <si>
    <t>1014221</t>
  </si>
  <si>
    <t>DZ-N/230/1,1/0/0/0/NOT-AUS/0                       2.09</t>
  </si>
  <si>
    <t>1014222</t>
  </si>
  <si>
    <t>DZ-N/230/1,1/RZ7 NT24 + BMZ/RZ7 FAAmRel/</t>
  </si>
  <si>
    <t>1014223</t>
  </si>
  <si>
    <t>DZ-N/230/1,1/ RZ3o.Motor /0/0NOT-AUS/2U</t>
  </si>
  <si>
    <t>1014224</t>
  </si>
  <si>
    <t>DZ-N/400/2,2/RZ7 NT24/0/0/NOT-AUS /0</t>
  </si>
  <si>
    <t>1014225</t>
  </si>
  <si>
    <t>DZ-N/230/1,1/RZ7 NT24/RZ7FAAm.Rel/0/0/2U</t>
  </si>
  <si>
    <t>1014226</t>
  </si>
  <si>
    <t>DZ-N/230/2,2/0/0/400/NOT-AUS /0</t>
  </si>
  <si>
    <t>1014227</t>
  </si>
  <si>
    <t>DZ-N/400/1,5/RZ7NT24/RZ7FAA Rel/0/NOTAUS</t>
  </si>
  <si>
    <t>1014228</t>
  </si>
  <si>
    <t>DZ-N/230/2,2/RZ7 NT24/RZ7 FAAm.Rel/0/0/0</t>
  </si>
  <si>
    <t>1014229</t>
  </si>
  <si>
    <t>DZ-N/400/2,2/0/0/0/0/2U</t>
  </si>
  <si>
    <t>1014230</t>
  </si>
  <si>
    <t>DZ-N/400/0,75/RZ3 o. Motor/0/0/0/1U</t>
  </si>
  <si>
    <t>1014231</t>
  </si>
  <si>
    <t>DZ-N/230/0,75/RZ3mMotor/0/0/NOT-AUS/1U</t>
  </si>
  <si>
    <t>1014232</t>
  </si>
  <si>
    <t>DZ-N/230/1,1/RZ3o.Motor/0/0/NOT-AUS /1</t>
  </si>
  <si>
    <t>1014233</t>
  </si>
  <si>
    <t>DZ-N/230/1,5/RZ3m.Motor/0/0/NOT-AUS /2U</t>
  </si>
  <si>
    <t>1014234</t>
  </si>
  <si>
    <t>DZ-N/230/1,1/RZ7NT24 + BMZ/RZ4</t>
  </si>
  <si>
    <t>1014235</t>
  </si>
  <si>
    <t>DZ-N/230/3,7/0/0/0/0/2U</t>
  </si>
  <si>
    <t>1014236</t>
  </si>
  <si>
    <t>DZ-N/230/1,1/RZ3 m. Motor/0/230/0/2U               2.49</t>
  </si>
  <si>
    <t>1014237</t>
  </si>
  <si>
    <t>DZ-N/230/1,1/RZ3 m. Motor/0/230/0/10U</t>
  </si>
  <si>
    <t>1014238</t>
  </si>
  <si>
    <t>DZ-N/230/1,1/RZ3 m.Motor/0/0/Not-Aus/1</t>
  </si>
  <si>
    <t>1014239</t>
  </si>
  <si>
    <t>DZ-N/230/2,2/RZ3 m.Motor/0/0/Not-Aus/1</t>
  </si>
  <si>
    <t>1014240</t>
  </si>
  <si>
    <t>DZ-N/230/1,1/RZ7NT24+BMZ/RZ4m.Motor/0/0/</t>
  </si>
  <si>
    <t>1014241</t>
  </si>
  <si>
    <t>DZ-N/400/2,2/RZ7 NT24+BMZ/RZ4 m. Motor/0           3.61</t>
  </si>
  <si>
    <t>1014242</t>
  </si>
  <si>
    <t>DZ-N/230/1,1/RZ7 NT24/0/0/NOT-AUS/6U</t>
  </si>
  <si>
    <t>1014243</t>
  </si>
  <si>
    <t>DZ-N/400/2,2/RZ7 NT24+BMZ/RZ4 m. Motor/0           5.73</t>
  </si>
  <si>
    <t>1014244</t>
  </si>
  <si>
    <t>DZ-N/230/1,1/RZ3 o. Motor/0/0/0/2U                 2.60</t>
  </si>
  <si>
    <t>1014245</t>
  </si>
  <si>
    <t>DZ-N/230/3,7/RZ7 NT24 + BMZ/RZ4</t>
  </si>
  <si>
    <t>1014246</t>
  </si>
  <si>
    <t>DZ-N/400/0,75/0/0/0/0/2U                           1.61</t>
  </si>
  <si>
    <t>1014247</t>
  </si>
  <si>
    <t>DZ-N/400/1,1/0/0/0/0/0                             2.77</t>
  </si>
  <si>
    <t>1014248</t>
  </si>
  <si>
    <t>DZ-N/400/1,1/RZ3m.Motor/0/0/NOT-AUS/2U             4.00</t>
  </si>
  <si>
    <t>1014249</t>
  </si>
  <si>
    <t>DZ-N/230/2,2/RZ3o.Motor/0/0/NOT-AUS/4U             3.74</t>
  </si>
  <si>
    <t>1014250</t>
  </si>
  <si>
    <t>DZ-N/230/1,5/0/0/230/NA//1UB                       3.02</t>
  </si>
  <si>
    <t>1014251</t>
  </si>
  <si>
    <t>Notstrom für Enercon komplett                        91</t>
  </si>
  <si>
    <t>1014252</t>
  </si>
  <si>
    <t>DZ-N/400/2,2/RZ7 NT24/RZ7 FAA m. Rel/0/0           2.00</t>
  </si>
  <si>
    <t>1014253</t>
  </si>
  <si>
    <t>DZ-N/230/1,1/RZ-3o.Motor/0/230/0/1U                2.44</t>
  </si>
  <si>
    <t>1014254</t>
  </si>
  <si>
    <t>DZ-N/230/1,1/RZ3 m. Motor/0/230/NOT-A/2U           2.64</t>
  </si>
  <si>
    <t>1014255</t>
  </si>
  <si>
    <t>DZ-N/230/1,1/RZ3 m. Motor/0/400/0/1U</t>
  </si>
  <si>
    <t>1014256</t>
  </si>
  <si>
    <t>DZ-N/230/1,1/RZ3o.Motor/0/230/NOT-AUS /4           3.47</t>
  </si>
  <si>
    <t>1014500</t>
  </si>
  <si>
    <t>Steuerung für Turbocoil Vanderlande                  74</t>
  </si>
  <si>
    <t>1015000</t>
  </si>
  <si>
    <t>Rittal Kompakt Schaltschrank, RAL 9007               31</t>
  </si>
  <si>
    <t>1015001</t>
  </si>
  <si>
    <t>Rittal Schaltschrank AE                              23</t>
  </si>
  <si>
    <t>1015002</t>
  </si>
  <si>
    <t>xxx                                                  12</t>
  </si>
  <si>
    <t>1015003</t>
  </si>
  <si>
    <t>Rittal Mini-Komfortgriff für AE                       2</t>
  </si>
  <si>
    <t>1015004</t>
  </si>
  <si>
    <t>Rittal Verschluss-System Ergoform-S                   3</t>
  </si>
  <si>
    <t>1015005</t>
  </si>
  <si>
    <t>1015201</t>
  </si>
  <si>
    <t>Sender im Schrumpfschlauch                            3</t>
  </si>
  <si>
    <t>1015202</t>
  </si>
  <si>
    <t>Akkublock 24V                                         1</t>
  </si>
  <si>
    <t>1015203</t>
  </si>
  <si>
    <t>DC-DC-Wandler komplett</t>
  </si>
  <si>
    <t>1015204</t>
  </si>
  <si>
    <t>Stecker für Führungsschiene FSA-S</t>
  </si>
  <si>
    <t>1042033</t>
  </si>
  <si>
    <t>Endplatte Hager / Tehalit / LFF600669010</t>
  </si>
  <si>
    <t>1042034</t>
  </si>
  <si>
    <t>Endplatte LFS 20020, L 2733 rws</t>
  </si>
  <si>
    <t>10910S</t>
  </si>
  <si>
    <t>Verweisartikel</t>
  </si>
  <si>
    <t>1099999</t>
  </si>
  <si>
    <t>Sammelartikel Schaltschränke (Blech)</t>
  </si>
  <si>
    <t>1100001</t>
  </si>
  <si>
    <t>Omron Relais MY4N-D2 24 DC++++++++++++++</t>
  </si>
  <si>
    <t>1100002</t>
  </si>
  <si>
    <t>Omron Sockel PYF 14A-E++++++++++++++++++</t>
  </si>
  <si>
    <t>1100003</t>
  </si>
  <si>
    <t>Notausrelais Type: PNOZ 24VGS 3A1R                    8</t>
  </si>
  <si>
    <t>1100006</t>
  </si>
  <si>
    <t>FSA Heizung 230V/20 Grad C                            1</t>
  </si>
  <si>
    <t>1100007</t>
  </si>
  <si>
    <t>Bremsgleichrichter  BG 1,5                            1</t>
  </si>
  <si>
    <t>1100008</t>
  </si>
  <si>
    <t>Brückengleichrichter                                  1</t>
  </si>
  <si>
    <t>1100009</t>
  </si>
  <si>
    <t>Siteco Vorschaltgerät L58W</t>
  </si>
  <si>
    <t>1100010</t>
  </si>
  <si>
    <t>LED gelb</t>
  </si>
  <si>
    <t>1100011</t>
  </si>
  <si>
    <t>LED grün</t>
  </si>
  <si>
    <t>1100012</t>
  </si>
  <si>
    <t>Folie für RZ 3, OC</t>
  </si>
  <si>
    <t>1100013</t>
  </si>
  <si>
    <t>Miniaturrelais mit 4 Umschaltkontakten</t>
  </si>
  <si>
    <t>1100014</t>
  </si>
  <si>
    <t>Zählwerk IVO F 524650DA9B</t>
  </si>
  <si>
    <t>1100015</t>
  </si>
  <si>
    <t>Bremsgleichrichter BG 1,5                             3</t>
  </si>
  <si>
    <t>1100016</t>
  </si>
  <si>
    <t>Bremsgleichrichter BMS 1,5                            7</t>
  </si>
  <si>
    <t>1100017</t>
  </si>
  <si>
    <t>Bremsgleichrichter BST 1.2S-230V-00                  16</t>
  </si>
  <si>
    <t>1100018</t>
  </si>
  <si>
    <t>Netzdrossel                                           2</t>
  </si>
  <si>
    <t>1100019</t>
  </si>
  <si>
    <t>Protronic Leiterplattenabstandshalter</t>
  </si>
  <si>
    <t>1100020</t>
  </si>
  <si>
    <t>Diodenmodul                                           2</t>
  </si>
  <si>
    <t>1100021</t>
  </si>
  <si>
    <t>Dold-Not-Aus-Schaltgerät                             11</t>
  </si>
  <si>
    <t>1100022</t>
  </si>
  <si>
    <t>Dold NOT-AUS-Modul, BD5935.48 DC24V                  16</t>
  </si>
  <si>
    <t>1100023</t>
  </si>
  <si>
    <t>Umrichter Movitrac 0,75kW 1x230V                     19</t>
  </si>
  <si>
    <t>1100024</t>
  </si>
  <si>
    <t>Sicherheitsgerichtetes Bremsmodul                    16</t>
  </si>
  <si>
    <t>1100025</t>
  </si>
  <si>
    <t>Umrichter Movitrac 1,1kW 1x230V                      27</t>
  </si>
  <si>
    <t>1100026</t>
  </si>
  <si>
    <t>Umrichter Movitrac 2,2kW 3x400V                      39</t>
  </si>
  <si>
    <t>1100027</t>
  </si>
  <si>
    <t>SEW Kommunikations Interface FSC11B                   2</t>
  </si>
  <si>
    <t>1100028</t>
  </si>
  <si>
    <t>SEW Handbediengerät FBG11B für Movitrac               2</t>
  </si>
  <si>
    <t>1100029</t>
  </si>
  <si>
    <t>SEW Schnittstellenumsetzer USB11A                     5</t>
  </si>
  <si>
    <t>1100030</t>
  </si>
  <si>
    <t>Umrichter Movitrac 1,5kW 3x400V                      35</t>
  </si>
  <si>
    <t>1100031</t>
  </si>
  <si>
    <t>Schiele Multifunktionsrelais UC24-240                 6</t>
  </si>
  <si>
    <t>1100032</t>
  </si>
  <si>
    <t>Omron Relais G2R-2SND 24DC</t>
  </si>
  <si>
    <t>1100033</t>
  </si>
  <si>
    <t>Omron Sockel P2RF-08-E</t>
  </si>
  <si>
    <t>1100034</t>
  </si>
  <si>
    <t>Federleiste CONEC DIN 41617        neu</t>
  </si>
  <si>
    <t>1100037</t>
  </si>
  <si>
    <t>Federleiste-Umsetzer FL L          neu</t>
  </si>
  <si>
    <t>1100038</t>
  </si>
  <si>
    <t>Umrichter Movitrac 2,2kW 3x230V                      36</t>
  </si>
  <si>
    <t>1100039</t>
  </si>
  <si>
    <t>Umrichter Movitrac 0,37kW 1x230V                     14</t>
  </si>
  <si>
    <t>1100040</t>
  </si>
  <si>
    <t>Murrelais 24VDC 2W</t>
  </si>
  <si>
    <t>1100041</t>
  </si>
  <si>
    <t>Murrelais 24VDC 1W</t>
  </si>
  <si>
    <t>1100042</t>
  </si>
  <si>
    <t>Murrelais 24VDC 1Ö</t>
  </si>
  <si>
    <t>1100043</t>
  </si>
  <si>
    <t>Murrelais 24VDC 1S</t>
  </si>
  <si>
    <t>1100044</t>
  </si>
  <si>
    <t>Multifunktionsrelais 1Wechsler                        4</t>
  </si>
  <si>
    <t>1100045</t>
  </si>
  <si>
    <t>Umrichter Movitrac 3,7kW 3x230V                      46</t>
  </si>
  <si>
    <t>1100046</t>
  </si>
  <si>
    <t>Umrichter Movitrac 7,5kW 3x400V                      86</t>
  </si>
  <si>
    <t>1100047</t>
  </si>
  <si>
    <t>Feldbusmodul MQP32D</t>
  </si>
  <si>
    <t>1100048</t>
  </si>
  <si>
    <t>Bremswiderstand 2 kW/47 Ohm, BW247-T                 18</t>
  </si>
  <si>
    <t>1100050</t>
  </si>
  <si>
    <t>Ansprechverz. Zeitrelais -ERS-timer                   2</t>
  </si>
  <si>
    <t>1100051</t>
  </si>
  <si>
    <t>AnsprechverzinktZeitrelais -ERS- - timet</t>
  </si>
  <si>
    <t>1100052</t>
  </si>
  <si>
    <t>Protronic Ringkerntrafo 230 V für RZ 3                2</t>
  </si>
  <si>
    <t>1100053</t>
  </si>
  <si>
    <t>PDS 1,5kW/25HZ o.Bremsspannung (1,5kWFU)             62</t>
  </si>
  <si>
    <t>1100054</t>
  </si>
  <si>
    <t>Protrronic Folientastatur RZ 54/24                    4</t>
  </si>
  <si>
    <t>1100055</t>
  </si>
  <si>
    <t>Bremstrafo ISMET 230V/400V                            6</t>
  </si>
  <si>
    <t>1100057</t>
  </si>
  <si>
    <t>I-Beg-Platine                                         2</t>
  </si>
  <si>
    <t>1100058</t>
  </si>
  <si>
    <t>MC1.1PLCC-Platine                                     6</t>
  </si>
  <si>
    <t>1100059</t>
  </si>
  <si>
    <t>Protronic Folientastatur RZ3 ohne Motor,              3</t>
  </si>
  <si>
    <t>1100060</t>
  </si>
  <si>
    <t>Protronic Netzplatine MC-EV 1.4 inkl.                12</t>
  </si>
  <si>
    <t>1100061</t>
  </si>
  <si>
    <t>MC-KL.2-Platine, Standard                             4</t>
  </si>
  <si>
    <t>1100062</t>
  </si>
  <si>
    <t>MC-M-Platine, 0,75A                                   6</t>
  </si>
  <si>
    <t>1100063</t>
  </si>
  <si>
    <t>Protronic Relaisplatine MC-REL 3/4 mit                2</t>
  </si>
  <si>
    <t>1100064</t>
  </si>
  <si>
    <t>Protronic Klemmplatine MC-KL.2 (RSA)                  6</t>
  </si>
  <si>
    <t>1100065</t>
  </si>
  <si>
    <t>Protronic Klemmplatine MC-KL.2 (RSA)                  5</t>
  </si>
  <si>
    <t>1100066</t>
  </si>
  <si>
    <t>Protronic Platine RZ54.24.3, mit MC-Z                17</t>
  </si>
  <si>
    <t>1100067</t>
  </si>
  <si>
    <t>Protronic Umrichterplatine NO/WE.0                   35</t>
  </si>
  <si>
    <t>1100068</t>
  </si>
  <si>
    <t>MC-EABM-Platine                                       1</t>
  </si>
  <si>
    <t>1100069</t>
  </si>
  <si>
    <t>Protronic Folientastatur RZ4 ohne Motor               3</t>
  </si>
  <si>
    <t>1100070</t>
  </si>
  <si>
    <t>Protronic Motorplatine MC-M.01, 1,6-2,5A              6</t>
  </si>
  <si>
    <t>1100071</t>
  </si>
  <si>
    <t>Motorschalter                                         3</t>
  </si>
  <si>
    <t>1100072</t>
  </si>
  <si>
    <t>MC-MABM-Platine</t>
  </si>
  <si>
    <t>1100073</t>
  </si>
  <si>
    <t>Netzplatine , MC - EABM+++++++++++++++++              1</t>
  </si>
  <si>
    <t>1100074</t>
  </si>
  <si>
    <t>Protronic Steuerplatine MC-1.0 RSZ ORSA               6</t>
  </si>
  <si>
    <t>1100075</t>
  </si>
  <si>
    <t>Protronic Klemmplatine MC-KL.2 (OC)                   5</t>
  </si>
  <si>
    <t>1100076</t>
  </si>
  <si>
    <t>Protronic Bremsgleichrichter-Modul 230V               3</t>
  </si>
  <si>
    <t>1100077</t>
  </si>
  <si>
    <t>Protronic Steuerplatine MC- 1.1, RSZ 016              6</t>
  </si>
  <si>
    <t>1100078</t>
  </si>
  <si>
    <t>Protronic  Platine MC-1.0, Flip-Flop                  6</t>
  </si>
  <si>
    <t>1100079</t>
  </si>
  <si>
    <t>Protronic Steuerplatine MC.0  /MC.10                  6</t>
  </si>
  <si>
    <t>1100080</t>
  </si>
  <si>
    <t>Entstördiode++++++++++++++++++++++++++++</t>
  </si>
  <si>
    <t>1100081</t>
  </si>
  <si>
    <t>Protronic Folientastatur RZ 8 mit 1,5 m               2</t>
  </si>
  <si>
    <t>1100082</t>
  </si>
  <si>
    <t>Protronic Folie für AM-S Thermoschalter</t>
  </si>
  <si>
    <t>1100083</t>
  </si>
  <si>
    <t>Protronic Alu-Frontplatte für RZ 3</t>
  </si>
  <si>
    <t>1100084</t>
  </si>
  <si>
    <t>Protronic Abstandsbolzen PVC für MC-1</t>
  </si>
  <si>
    <t>1100085</t>
  </si>
  <si>
    <t>Schalter MTA 1060                                     2</t>
  </si>
  <si>
    <t>1100086</t>
  </si>
  <si>
    <t>Protronic Stecker f. Flachbandkabel</t>
  </si>
  <si>
    <t>1100087</t>
  </si>
  <si>
    <t>Protronic Platine für Steuerung RZ5 /24V             15</t>
  </si>
  <si>
    <t>1100088</t>
  </si>
  <si>
    <t>Protronic Thermoschalter TS 1.4 für                  11</t>
  </si>
  <si>
    <t>1100089</t>
  </si>
  <si>
    <t>Thermoschalter 1.6a für G12 und G45,                 13</t>
  </si>
  <si>
    <t>1100090</t>
  </si>
  <si>
    <t>Protronic Powerdrive 2,2 kW (Basisgerät)             88</t>
  </si>
  <si>
    <t>1100091</t>
  </si>
  <si>
    <t>Netzteil AES 24V 3A Carte                            14</t>
  </si>
  <si>
    <t>1100092</t>
  </si>
  <si>
    <t>Thermoschalter 1.6a für G75 und G120,                14</t>
  </si>
  <si>
    <t>1100093</t>
  </si>
  <si>
    <t>Umrichter Movitrac 0,75kW 3x400V                     25</t>
  </si>
  <si>
    <t>1100095</t>
  </si>
  <si>
    <t>Umrichter Movitrac 0,75kW 3x230V</t>
  </si>
  <si>
    <t>1100096</t>
  </si>
  <si>
    <t>Umrichter Movitrac 1,1kW 3x230V                      29</t>
  </si>
  <si>
    <t>1100097</t>
  </si>
  <si>
    <t>Folientastatur für RZ3/OC                             5</t>
  </si>
  <si>
    <t>1100098</t>
  </si>
  <si>
    <t>Deckel mit Folientastatur ohne Motor mit             15</t>
  </si>
  <si>
    <t>1100100</t>
  </si>
  <si>
    <t>Klemme WK4 Artikelnummer:  3003017</t>
  </si>
  <si>
    <t>1100101</t>
  </si>
  <si>
    <t>Beschriftungszahlen 11-20                             2</t>
  </si>
  <si>
    <t>1100103</t>
  </si>
  <si>
    <t>Phönix Klemme UK5BU</t>
  </si>
  <si>
    <t>1100105</t>
  </si>
  <si>
    <t>Phönix Klemme UKK5</t>
  </si>
  <si>
    <t>1100106</t>
  </si>
  <si>
    <t>Phönix Klemme UK5MTK</t>
  </si>
  <si>
    <t>1100107</t>
  </si>
  <si>
    <t>Phönix Klemme UK5HESI</t>
  </si>
  <si>
    <t>1100108</t>
  </si>
  <si>
    <t>Phönix Klemme UK4</t>
  </si>
  <si>
    <t>1100109</t>
  </si>
  <si>
    <t>Phönix Klemme USLKG 4</t>
  </si>
  <si>
    <t>1100110</t>
  </si>
  <si>
    <t>Phönix Klemme UK 6</t>
  </si>
  <si>
    <t>1100112</t>
  </si>
  <si>
    <t>Phönix Klemme USLKG 10</t>
  </si>
  <si>
    <t>1100113</t>
  </si>
  <si>
    <t>Phönix Klemme ZFK4</t>
  </si>
  <si>
    <t>1100114</t>
  </si>
  <si>
    <t>Phönix Klemme ZFK4 PE</t>
  </si>
  <si>
    <t>1100115</t>
  </si>
  <si>
    <t>Phönix Klemme UK 3N 2.5</t>
  </si>
  <si>
    <t>1100116</t>
  </si>
  <si>
    <t>Phönix Klemme UK 5N 4</t>
  </si>
  <si>
    <t>1100117</t>
  </si>
  <si>
    <t>Phönix Klemme USLKG 5</t>
  </si>
  <si>
    <t>1100119</t>
  </si>
  <si>
    <t>Phönix Klemme UK 6N BU</t>
  </si>
  <si>
    <t>1100120</t>
  </si>
  <si>
    <t>Phoenix C. Durchgangsklemme 0,08-4q mm</t>
  </si>
  <si>
    <t>1100121</t>
  </si>
  <si>
    <t>Phoenix C. Abschlussdeckel 60,5x2,2x36,5</t>
  </si>
  <si>
    <t>1100122</t>
  </si>
  <si>
    <t>Phoenix C. Steckbrücke 2p. rt FBS 2-5</t>
  </si>
  <si>
    <t>1100123</t>
  </si>
  <si>
    <t>Phoenic C. Zackband ZB 5,1Igs: 1-10</t>
  </si>
  <si>
    <t>1100124</t>
  </si>
  <si>
    <t>Phoenix C. Zackband ZB 5,Igs: 11-20</t>
  </si>
  <si>
    <t>1100125</t>
  </si>
  <si>
    <t>Phoenix C. Zackband längs, L1,L2,L3,N,PE</t>
  </si>
  <si>
    <t>1100126</t>
  </si>
  <si>
    <t>Phoenix C. Klemmenmarkierung ZB 8, LGS:</t>
  </si>
  <si>
    <t>1100127</t>
  </si>
  <si>
    <t>Phoenix C. Zackband unbedruckt 5,2mm</t>
  </si>
  <si>
    <t>1100128</t>
  </si>
  <si>
    <t>Phoenix C. Schnellmontage-Endhalter</t>
  </si>
  <si>
    <t>1100129</t>
  </si>
  <si>
    <t>Phoenix C. Kennzeichnungsträger KLM3</t>
  </si>
  <si>
    <t>1100130</t>
  </si>
  <si>
    <t>Phoenix C. Sicherungsklemme m. Leucht-</t>
  </si>
  <si>
    <t>1100131</t>
  </si>
  <si>
    <t>Phoenix C. Zackband ZB 6,Igs:1-10</t>
  </si>
  <si>
    <t>1100132</t>
  </si>
  <si>
    <t>Phoenix C.Abteilungstrennplatte ATP-ST 4</t>
  </si>
  <si>
    <t>1100133</t>
  </si>
  <si>
    <t>Phoenix C. Steckbrücke 2p rt FBS 2-6</t>
  </si>
  <si>
    <t>1100134</t>
  </si>
  <si>
    <t>Phoenix C. Messertrennklemme-Zugfeder</t>
  </si>
  <si>
    <t>1100135</t>
  </si>
  <si>
    <t>Phoenix Durchgangsklemme, grau, UK 6 N                8</t>
  </si>
  <si>
    <t>1100136</t>
  </si>
  <si>
    <t>Phoenix Schutzleiterklemme 0,2-10qmm                 21</t>
  </si>
  <si>
    <t>1100137</t>
  </si>
  <si>
    <t>Phoenix Schaltbrücke ISSBI 10-8                      21</t>
  </si>
  <si>
    <t>1100138</t>
  </si>
  <si>
    <t>Phoenix Zackband ZB8, LGS:  1-10                      4</t>
  </si>
  <si>
    <t>1100139</t>
  </si>
  <si>
    <t>Phoenix Zackband, LGS: 11-20                          4</t>
  </si>
  <si>
    <t>1100140</t>
  </si>
  <si>
    <t>Phoenix Zackband ZB8                                  4</t>
  </si>
  <si>
    <t>1100141</t>
  </si>
  <si>
    <t>Phoenix Deckel, grau, D-UK 4/10                       3</t>
  </si>
  <si>
    <t>1100142</t>
  </si>
  <si>
    <t>Phoenix Schnellmontage-Endhalter                      3</t>
  </si>
  <si>
    <t>1100143</t>
  </si>
  <si>
    <t>Phoenix Sensor-/Aktor-Kabel</t>
  </si>
  <si>
    <t>1100144</t>
  </si>
  <si>
    <t>Phoenix Einbausteckverbinder                          2</t>
  </si>
  <si>
    <t>1100145</t>
  </si>
  <si>
    <t>Abschlussdeckel D-ST 4-TWIN</t>
  </si>
  <si>
    <t>1100146</t>
  </si>
  <si>
    <t>Durchgangsklemme ST 4-TWIN</t>
  </si>
  <si>
    <t>1100147</t>
  </si>
  <si>
    <t>Schutzleiter-Reihenklemme ST 4-TWIN PE</t>
  </si>
  <si>
    <t>1100148</t>
  </si>
  <si>
    <t>Durchgangsklemme ST 4-TWIN BU</t>
  </si>
  <si>
    <t>1100150</t>
  </si>
  <si>
    <t>Sensor-/Aktor-Kabel, 8-polig                          1</t>
  </si>
  <si>
    <t>1100151</t>
  </si>
  <si>
    <t>Sanftanlaufgerät MSG 5,5 A                           13</t>
  </si>
  <si>
    <t>1100152</t>
  </si>
  <si>
    <t>Sanftanlaufsteuerung für 3/4 Phasenmot                5</t>
  </si>
  <si>
    <t>1100153</t>
  </si>
  <si>
    <t>Sanftanlaufgerät MSG 3-30 sec 400VAC                 10</t>
  </si>
  <si>
    <t>1100154</t>
  </si>
  <si>
    <t>Sanftanlaufgerät Nummer: A X D1.5/1.5KW              15</t>
  </si>
  <si>
    <t>1100155</t>
  </si>
  <si>
    <t>Phönix Zugfederklemme ST4                             4</t>
  </si>
  <si>
    <t>1100156</t>
  </si>
  <si>
    <t>Phönix Zugfederklemme  ST 4 - PE                     14</t>
  </si>
  <si>
    <t>1100157</t>
  </si>
  <si>
    <t>Phönix Zugfederklemme ST 2.5                          3</t>
  </si>
  <si>
    <t>1100158</t>
  </si>
  <si>
    <t>Phönix Zugfederklemme  ST 2.5 - PE                   13</t>
  </si>
  <si>
    <t>1100159</t>
  </si>
  <si>
    <t>Phönix Endplatte NS 37/7,5                            3</t>
  </si>
  <si>
    <t>1100160</t>
  </si>
  <si>
    <t>Phönix C. Deckel für ST 4 D-ST 4                      2</t>
  </si>
  <si>
    <t>1100161</t>
  </si>
  <si>
    <t>Phönix C. Deckel für ST 1,5 D-ST 2,5                  2</t>
  </si>
  <si>
    <t>1100162</t>
  </si>
  <si>
    <t>Phönix Sicherungsklemme m.LED                        47</t>
  </si>
  <si>
    <t>1100163</t>
  </si>
  <si>
    <t>Phönix Zackband ZB 5, lgs:  1-10                      4</t>
  </si>
  <si>
    <t>1100164</t>
  </si>
  <si>
    <t>Phönix Zackband ZB 5, lgs:  11-20                     4</t>
  </si>
  <si>
    <t>1100165</t>
  </si>
  <si>
    <t>Phönix Zackband  ZBF 6, lgs: 1-10                     3</t>
  </si>
  <si>
    <t>1100166</t>
  </si>
  <si>
    <t>Phönix Zackband ZB 6 lgs:  L1-N, PE                   4</t>
  </si>
  <si>
    <t>1100196</t>
  </si>
  <si>
    <t>Sammelhalterung OBO Nr. 2205378                       5</t>
  </si>
  <si>
    <t>1100197</t>
  </si>
  <si>
    <t>Wieland Verb. Stecker IVBWKF 2,5 - 2</t>
  </si>
  <si>
    <t>1100198</t>
  </si>
  <si>
    <t>Wieland Verb. Stecker IVBWKF 4-2, gelb</t>
  </si>
  <si>
    <t>1100199</t>
  </si>
  <si>
    <t>Wieland Verb. Stecker IVBWKF 4 - 3                    2</t>
  </si>
  <si>
    <t>1100200</t>
  </si>
  <si>
    <t>Grundträger RZ 3 horizontal                           2</t>
  </si>
  <si>
    <t>1100201</t>
  </si>
  <si>
    <t>Grundträger RZ 3 + M                                  2</t>
  </si>
  <si>
    <t>1100202</t>
  </si>
  <si>
    <t>Grundträger RZ 3                                      2</t>
  </si>
  <si>
    <t>1100203</t>
  </si>
  <si>
    <t>Grundträger RZ 3 + RZ 4                               2</t>
  </si>
  <si>
    <t>1100204</t>
  </si>
  <si>
    <t>Grundträger RZ 3 + M + RZ 4 + M                       2</t>
  </si>
  <si>
    <t>1100205</t>
  </si>
  <si>
    <t>Grundträger RZ 3 + M + 2*(RZ 4 + M)                   2</t>
  </si>
  <si>
    <t>1100206</t>
  </si>
  <si>
    <t>Grundträger RZ 3 + 2*RZ 4                             1</t>
  </si>
  <si>
    <t>1100207</t>
  </si>
  <si>
    <t>Montageplatte für AE 1060  RSA</t>
  </si>
  <si>
    <t>1100208</t>
  </si>
  <si>
    <t>Grundträger Montageplatte AE 1060 RSA</t>
  </si>
  <si>
    <t>1100250</t>
  </si>
  <si>
    <t>Batteriehalter TS-Schränke 500 mm</t>
  </si>
  <si>
    <t>1100251</t>
  </si>
  <si>
    <t>Batteriehalter TS-Schränke</t>
  </si>
  <si>
    <t>1100252</t>
  </si>
  <si>
    <t>Batteriehalter groß für Steuerung</t>
  </si>
  <si>
    <t>1100253</t>
  </si>
  <si>
    <t>Befestigung für Batteriehalter</t>
  </si>
  <si>
    <t>1100254</t>
  </si>
  <si>
    <t>Batteriehalter TS-Schränke 600 mm</t>
  </si>
  <si>
    <t>1100270</t>
  </si>
  <si>
    <t>Umrichter Movitrac 1,1kW 3x230V</t>
  </si>
  <si>
    <t>1100271</t>
  </si>
  <si>
    <t>Umrichter Movitrac 2,2kW 3x230V</t>
  </si>
  <si>
    <t>1100272</t>
  </si>
  <si>
    <t>Umrichter Movitrac 0,75kW 3x230V                     24</t>
  </si>
  <si>
    <t>1100273</t>
  </si>
  <si>
    <t>Umrichter Movitrac 1,5kW3x230V                       33</t>
  </si>
  <si>
    <t>1100274</t>
  </si>
  <si>
    <t>Umrichter Movitrac 0,75kW, 3x400V                    29</t>
  </si>
  <si>
    <t>1100275</t>
  </si>
  <si>
    <t>Umrichter Movitrac 2,2kW 3x400V                      42</t>
  </si>
  <si>
    <t>1100276</t>
  </si>
  <si>
    <t>Umrichter 3kW, 3x400V</t>
  </si>
  <si>
    <t>1101000</t>
  </si>
  <si>
    <t>Wieland Durchgangsklemme WK4/U VO                     2</t>
  </si>
  <si>
    <t>1101001</t>
  </si>
  <si>
    <t>Wieland Etagenklemme WK4 E/U</t>
  </si>
  <si>
    <t>1101002</t>
  </si>
  <si>
    <t>Wieland Durchgangsklemme WK6/U</t>
  </si>
  <si>
    <t>1101003</t>
  </si>
  <si>
    <t>Wieland SL-Klemme</t>
  </si>
  <si>
    <t>1101004</t>
  </si>
  <si>
    <t>Wieland Schutzleiterklemme WK4 SL/U                   9</t>
  </si>
  <si>
    <t>1101005</t>
  </si>
  <si>
    <t>Wieland Schutzleiterklemme WK6 SL/U</t>
  </si>
  <si>
    <t>1101006</t>
  </si>
  <si>
    <t>Wieland Klemme WK4/U, ++++++++++++++++++</t>
  </si>
  <si>
    <t>1101007</t>
  </si>
  <si>
    <t>Wieland Klemme WK4EU/V++++++++++++++++++</t>
  </si>
  <si>
    <t>1101008</t>
  </si>
  <si>
    <t>Wieland Durchgangsklemme blau, WK6/U</t>
  </si>
  <si>
    <t>1101009</t>
  </si>
  <si>
    <t>Wieland Abschlußplatte blau AP6</t>
  </si>
  <si>
    <t>1101010</t>
  </si>
  <si>
    <t>Wieland Bez.-Streifen 1-10 für 4mm²</t>
  </si>
  <si>
    <t>1101011</t>
  </si>
  <si>
    <t>Wieland Bez.-Streifen 11-20 für 4mm²</t>
  </si>
  <si>
    <t>1101012</t>
  </si>
  <si>
    <t>Wieland Bez.-Streifen 21-30 für 4mm²</t>
  </si>
  <si>
    <t>1101013</t>
  </si>
  <si>
    <t>Wieland Bezeichng. ohne Beschriftung</t>
  </si>
  <si>
    <t>1101014</t>
  </si>
  <si>
    <t>Wieland Abschlußplatte AP 2,5-4/V0</t>
  </si>
  <si>
    <t>1101015</t>
  </si>
  <si>
    <t>Wieland Bez.-Streifen 9705A/5/10B 1-10</t>
  </si>
  <si>
    <t>1101016</t>
  </si>
  <si>
    <t>Wieland Bez.-Streifen 9705A/5/10B 11-20</t>
  </si>
  <si>
    <t>1101017</t>
  </si>
  <si>
    <t>Wieland Endklammer 9708/2 S 35</t>
  </si>
  <si>
    <t>1101018</t>
  </si>
  <si>
    <t>Wieland Abschl.-Platte AP4TK+++++++++++</t>
  </si>
  <si>
    <t>1101019</t>
  </si>
  <si>
    <t>Wieland Durchgangsklemme WK 4/ U BLAU</t>
  </si>
  <si>
    <t>1101020</t>
  </si>
  <si>
    <t>Wieland Verbindungssteg VB WK 4M-40</t>
  </si>
  <si>
    <t>1101021</t>
  </si>
  <si>
    <t>Wieland Verbindungssteg VB WK 6M-40</t>
  </si>
  <si>
    <t>1101023</t>
  </si>
  <si>
    <t>Wieland Verb.Stecker 3-polig IVBWKF2,5-4</t>
  </si>
  <si>
    <t>1101024</t>
  </si>
  <si>
    <t>Wieland Verb.Stecker 2-polig IVBWKF2,5-4</t>
  </si>
  <si>
    <t>1101030</t>
  </si>
  <si>
    <t>Wieland Endklammer 9708/S35 N11424-1</t>
  </si>
  <si>
    <t>1101031</t>
  </si>
  <si>
    <t>Wieland Bez.-Streifen 1-10 für 2,5mm²</t>
  </si>
  <si>
    <t>1101032</t>
  </si>
  <si>
    <t>Wieland Bez.-Streifen 11-20 für 2,5mm²</t>
  </si>
  <si>
    <t>1101033</t>
  </si>
  <si>
    <t>Wieland Bez.-Streifen 21-30 für 2,5mm²</t>
  </si>
  <si>
    <t>1101034</t>
  </si>
  <si>
    <t>Wieland Bez.-Streifen 31-40 für 2,5mm²</t>
  </si>
  <si>
    <t>1101035</t>
  </si>
  <si>
    <t>Wieland Motoranschlussklemme WKF 4 3D/SL</t>
  </si>
  <si>
    <t>1101040</t>
  </si>
  <si>
    <t>Wieland Abschlussplatte blau AP 2,5-4</t>
  </si>
  <si>
    <t>1101042</t>
  </si>
  <si>
    <t>Wieland Abschlußplatte AP6/V0</t>
  </si>
  <si>
    <t>1101044</t>
  </si>
  <si>
    <t>Wieland Durchgangsklemme WKF4/35                      2</t>
  </si>
  <si>
    <t>1101045</t>
  </si>
  <si>
    <t>Wieland Schutzleiterklemme WKF4SL/35                  8</t>
  </si>
  <si>
    <t>1101046</t>
  </si>
  <si>
    <t>Wieland Durchgangsklemme WKF2,5/35</t>
  </si>
  <si>
    <t>1101047</t>
  </si>
  <si>
    <t>Wieland Schutzleiterklemme WKF10SL/35</t>
  </si>
  <si>
    <t>1101048</t>
  </si>
  <si>
    <t>Wieland Klemme WKF10 SL/U+++++++++++++++</t>
  </si>
  <si>
    <t>1101049</t>
  </si>
  <si>
    <t>Wieland Abschlußplatte APF 2,5-4</t>
  </si>
  <si>
    <t>1101050</t>
  </si>
  <si>
    <t>Wieland Sicherungsklemme WK4/THSI 5 U/V0             15</t>
  </si>
  <si>
    <t>1101051</t>
  </si>
  <si>
    <t>Wieland Trenn- Grundklemme WK4TKG/U</t>
  </si>
  <si>
    <t>1101052</t>
  </si>
  <si>
    <t>Abschl.Pl.AP4TKG/U/VU+++++++++++++++++++</t>
  </si>
  <si>
    <t>1101053</t>
  </si>
  <si>
    <t>Wieland Messertrennklemme WK 4 TKM/U/V0</t>
  </si>
  <si>
    <t>1101054</t>
  </si>
  <si>
    <t>Wieland Durchgangsklemme WKN 35/U</t>
  </si>
  <si>
    <t>1101055</t>
  </si>
  <si>
    <t>Wieland Abdeckung mit Warnzeichen</t>
  </si>
  <si>
    <t>1101056</t>
  </si>
  <si>
    <t>Wieland Klemmenabdeckung mit Warnzeichen</t>
  </si>
  <si>
    <t>1101057</t>
  </si>
  <si>
    <t>1101058</t>
  </si>
  <si>
    <t>Wieland Buchsenleiste BLZ 5.08/9B</t>
  </si>
  <si>
    <t>1101059</t>
  </si>
  <si>
    <t>Wieland Steckerleiste SLS 5.08/9B</t>
  </si>
  <si>
    <t>1101060</t>
  </si>
  <si>
    <t>Endplatte</t>
  </si>
  <si>
    <t>1101061</t>
  </si>
  <si>
    <t>Klemme 2-Leiter, Rastfuss grau</t>
  </si>
  <si>
    <t>1101062</t>
  </si>
  <si>
    <t>Klemme 4-Leiter, grau</t>
  </si>
  <si>
    <t>1101063</t>
  </si>
  <si>
    <t>Nulleiterklemme</t>
  </si>
  <si>
    <t>1101064</t>
  </si>
  <si>
    <t>Erdungsklemme</t>
  </si>
  <si>
    <t>1101065</t>
  </si>
  <si>
    <t>Wago Aluminium-Tragsschiene</t>
  </si>
  <si>
    <t>1101066</t>
  </si>
  <si>
    <t>Wago 2-Leiter-Durchgangsklemme 4mm²grau</t>
  </si>
  <si>
    <t>1101067</t>
  </si>
  <si>
    <t>Wago Verbindungsklemme 3 x 0,08 - 4 qmm</t>
  </si>
  <si>
    <t>1101068</t>
  </si>
  <si>
    <t>Wago Endklammer, 6 mm breit, grau</t>
  </si>
  <si>
    <t>1101069</t>
  </si>
  <si>
    <t>Klemmleiste für Antriebe (manuell)</t>
  </si>
  <si>
    <t>1101070</t>
  </si>
  <si>
    <t>Abschluß undZwischenplatte</t>
  </si>
  <si>
    <t>1101071</t>
  </si>
  <si>
    <t>Querbrücker isoliert</t>
  </si>
  <si>
    <t>1101072</t>
  </si>
  <si>
    <t>WAGO Top Job S Klemme</t>
  </si>
  <si>
    <t>1101073</t>
  </si>
  <si>
    <t>WAGO Top Job S Klemmenbrücker 2Pol.</t>
  </si>
  <si>
    <t>1101074</t>
  </si>
  <si>
    <t>Klemme</t>
  </si>
  <si>
    <t>1101075</t>
  </si>
  <si>
    <t>1101076</t>
  </si>
  <si>
    <t>1101077</t>
  </si>
  <si>
    <t>1101078</t>
  </si>
  <si>
    <t>1101082</t>
  </si>
  <si>
    <t>Beschriftungszahlen</t>
  </si>
  <si>
    <t>1101085</t>
  </si>
  <si>
    <t>Endklammer</t>
  </si>
  <si>
    <t>1101086</t>
  </si>
  <si>
    <t>1101087</t>
  </si>
  <si>
    <t>1101089</t>
  </si>
  <si>
    <t>1101090</t>
  </si>
  <si>
    <t>1101091</t>
  </si>
  <si>
    <t>1101092</t>
  </si>
  <si>
    <t>Klemme mini</t>
  </si>
  <si>
    <t>1101093</t>
  </si>
  <si>
    <t>1101094</t>
  </si>
  <si>
    <t>Weismüller Buchsenleiste BLZ 5.08/9B</t>
  </si>
  <si>
    <t>1101095</t>
  </si>
  <si>
    <t>Weidmüller Leiterplattensteckverbinder</t>
  </si>
  <si>
    <t>1101096</t>
  </si>
  <si>
    <t>Weidmüller Steckklemmen BLZ 5.08/9B SNOR</t>
  </si>
  <si>
    <t>1101097</t>
  </si>
  <si>
    <t>Weidmüller Buchse, schwarz, 12 Pol.</t>
  </si>
  <si>
    <t>1101098</t>
  </si>
  <si>
    <t>Weidmüller Markierer DEK 6 FWZ 1-10</t>
  </si>
  <si>
    <t>1101099</t>
  </si>
  <si>
    <t>1101100</t>
  </si>
  <si>
    <t>Wieland Durchgangsklemme  WKF2,5/D1/2/35              3</t>
  </si>
  <si>
    <t>1101101</t>
  </si>
  <si>
    <t>Wieland Schutzleiterklemme WKF 2,5 SL/35              8</t>
  </si>
  <si>
    <t>1101102</t>
  </si>
  <si>
    <t>Wieland Abschlußplatte APF 2,5/D 1/2</t>
  </si>
  <si>
    <t>1101103</t>
  </si>
  <si>
    <t>Wieland Abschlußplatte APF 2.5-4 GRÜN</t>
  </si>
  <si>
    <t>1101104</t>
  </si>
  <si>
    <t>Wieland Sicherungsklemme                             48</t>
  </si>
  <si>
    <t>1101105</t>
  </si>
  <si>
    <t>1101107</t>
  </si>
  <si>
    <t>1101108</t>
  </si>
  <si>
    <t>Abschluß-u.Zwischenplatte</t>
  </si>
  <si>
    <t>1101109</t>
  </si>
  <si>
    <t>1101110</t>
  </si>
  <si>
    <t>1101111</t>
  </si>
  <si>
    <t>1101112</t>
  </si>
  <si>
    <t>Kunststoff-Endwinkel</t>
  </si>
  <si>
    <t>1101117</t>
  </si>
  <si>
    <t>1101119</t>
  </si>
  <si>
    <t>1101123</t>
  </si>
  <si>
    <t>Klemme                                                2</t>
  </si>
  <si>
    <t>1101125</t>
  </si>
  <si>
    <t>Wago Klemme 4x0,6-0,8 rot</t>
  </si>
  <si>
    <t>1101126</t>
  </si>
  <si>
    <t>Verbindungsklemme 5x4 mm², grau</t>
  </si>
  <si>
    <t>1101127</t>
  </si>
  <si>
    <t>WAGO Sicherungsklemme 2002-1611</t>
  </si>
  <si>
    <t>1101128</t>
  </si>
  <si>
    <t>Verbindungsstecker Z7.280.6227.0</t>
  </si>
  <si>
    <t>1101129</t>
  </si>
  <si>
    <t>Wago Beschriftungsstreifen, unbedruckt,               5</t>
  </si>
  <si>
    <t>1101130</t>
  </si>
  <si>
    <t>Wago Farbband für Thermotransferdrucker               1</t>
  </si>
  <si>
    <t>1101131</t>
  </si>
  <si>
    <t>Wago Farbband für Leitermarkierer Harz                2</t>
  </si>
  <si>
    <t>1101132</t>
  </si>
  <si>
    <t>Wago Etikettenrolle, gelb, 9 x 15 mm                  1</t>
  </si>
  <si>
    <t>1101133</t>
  </si>
  <si>
    <t>Wago Einsteckschild für Thermotransfer-              16</t>
  </si>
  <si>
    <t>1101134</t>
  </si>
  <si>
    <t>Wago Kernnzeichnungstülle, 23 mm lang,</t>
  </si>
  <si>
    <t>1101135</t>
  </si>
  <si>
    <t>1101136</t>
  </si>
  <si>
    <t>Wago Kennzeichnungstülle, 12 mm lang</t>
  </si>
  <si>
    <t>1101137</t>
  </si>
  <si>
    <t>1101138</t>
  </si>
  <si>
    <t>Wago 3-Leiter-Durchgangsklemme, grau</t>
  </si>
  <si>
    <t>1101139</t>
  </si>
  <si>
    <t>Wago 3-Leiter-Durchgangsklemme, Farbe</t>
  </si>
  <si>
    <t>1101140</t>
  </si>
  <si>
    <t>Wago 3-Leiter-Schutzleiterklemme, Farbe</t>
  </si>
  <si>
    <t>1101141</t>
  </si>
  <si>
    <t>1101142</t>
  </si>
  <si>
    <t>1101143</t>
  </si>
  <si>
    <t>1101144</t>
  </si>
  <si>
    <t>Wago Abschluss-und Zwischenplatte</t>
  </si>
  <si>
    <t>1101145</t>
  </si>
  <si>
    <t>Wago Kammbrücker, 2-fach, Nennstrom</t>
  </si>
  <si>
    <t>1101146</t>
  </si>
  <si>
    <t>Wago 2-Leiter-Sicherungsklemme mit</t>
  </si>
  <si>
    <t>1101147</t>
  </si>
  <si>
    <t>Wago Endplatte mit Sicherungsklemmen</t>
  </si>
  <si>
    <t>1101148</t>
  </si>
  <si>
    <t>Wago 3-Leiter-Durchgangsklemme,</t>
  </si>
  <si>
    <t>1101149</t>
  </si>
  <si>
    <t>Wago 3-Leiter Durchgangsklemme,</t>
  </si>
  <si>
    <t>1101150</t>
  </si>
  <si>
    <t>Wago 3-Leiter-Schutzleiterklemme,</t>
  </si>
  <si>
    <t>1101151</t>
  </si>
  <si>
    <t>Wago Abschluss-und Zwischenplatte,</t>
  </si>
  <si>
    <t>1101152</t>
  </si>
  <si>
    <t>Wago Kammbrücker, 2fach, Farbe lichtgrau</t>
  </si>
  <si>
    <t>1101153</t>
  </si>
  <si>
    <t>Wago Schraubenlose Endklammer, 600 breit</t>
  </si>
  <si>
    <t>1101154</t>
  </si>
  <si>
    <t>Wago Abschlussplatte, 6², 3 Pol., grau,</t>
  </si>
  <si>
    <t>1101155</t>
  </si>
  <si>
    <t>Wago Sicherungsklemme Kammbrücke,</t>
  </si>
  <si>
    <t>1101156</t>
  </si>
  <si>
    <t>WAGO Stecksockel mit Relais und Status-</t>
  </si>
  <si>
    <t>1101157</t>
  </si>
  <si>
    <t>WAGO Stecksockel mit Industrierelais</t>
  </si>
  <si>
    <t>1101158</t>
  </si>
  <si>
    <t>Wieland Gehäuse OT Metall 76.350.0736.0</t>
  </si>
  <si>
    <t>1101159</t>
  </si>
  <si>
    <t>Wieland Gehäuse UT Metall 76.320.0729.0</t>
  </si>
  <si>
    <t>1101160</t>
  </si>
  <si>
    <t>Wieland Steckereinsatz 3-polig+PE</t>
  </si>
  <si>
    <t>1101161</t>
  </si>
  <si>
    <t>Wieland Buchseneinsatz 3-polig+PE</t>
  </si>
  <si>
    <t>1101162</t>
  </si>
  <si>
    <t>Harting Gehäuse UT09200160301</t>
  </si>
  <si>
    <t>1101163</t>
  </si>
  <si>
    <t>Harting Gehäuse OT 19200160546</t>
  </si>
  <si>
    <t>1101164</t>
  </si>
  <si>
    <t>Harting Steckereinsatz 09200162612</t>
  </si>
  <si>
    <t>1101165</t>
  </si>
  <si>
    <t>Harting Buchseneinsatz 09200162812</t>
  </si>
  <si>
    <t>1101166</t>
  </si>
  <si>
    <t>Kabelbuchse 12-polig, UTS6JC1412S</t>
  </si>
  <si>
    <t>1101167</t>
  </si>
  <si>
    <t>Trim-Trio Crimstift AWG22-20</t>
  </si>
  <si>
    <t>1101170</t>
  </si>
  <si>
    <t>Crimpkontakt MiniFit, 16AWG                           1</t>
  </si>
  <si>
    <t>1101171</t>
  </si>
  <si>
    <t>Schrumpfschlauch HIL-SHRINK, HQ 3:1</t>
  </si>
  <si>
    <t>1101172</t>
  </si>
  <si>
    <t>Trim-Trio Crimpbuchse AWG22-20</t>
  </si>
  <si>
    <t>1101173</t>
  </si>
  <si>
    <t>Wago Microklemme, grau,  4x 0,6-0,8 mm</t>
  </si>
  <si>
    <t>1101174</t>
  </si>
  <si>
    <t>Wago Kennzeichnungstülle 211-133</t>
  </si>
  <si>
    <t>1101175</t>
  </si>
  <si>
    <t>Motorstecker UTS71412P</t>
  </si>
  <si>
    <t>1101180</t>
  </si>
  <si>
    <t>Wago Federleiste (Buchse)</t>
  </si>
  <si>
    <t>1101181</t>
  </si>
  <si>
    <t>Wago Stiftleiste (Stecker)</t>
  </si>
  <si>
    <t>1101182</t>
  </si>
  <si>
    <t>Wago Kennzeichnungstülle 211-113</t>
  </si>
  <si>
    <t>1101183</t>
  </si>
  <si>
    <t>Wago Stromversorgung, primär getaktet                 9</t>
  </si>
  <si>
    <t>1101184</t>
  </si>
  <si>
    <t>Anschlussblock rot, 16mm²</t>
  </si>
  <si>
    <t>1101185</t>
  </si>
  <si>
    <t>Anschlussblock, rot, 4mm²</t>
  </si>
  <si>
    <t>1101186</t>
  </si>
  <si>
    <t>Isolierter Sammenschienenträger, grau</t>
  </si>
  <si>
    <t>1101187</t>
  </si>
  <si>
    <t>Sammelschiene verzinkt, Cu</t>
  </si>
  <si>
    <t>1101188</t>
  </si>
  <si>
    <t>Schraublose Endklammer</t>
  </si>
  <si>
    <t>1101189</t>
  </si>
  <si>
    <t>Anschlussblock 16mm², blau</t>
  </si>
  <si>
    <t>1101190</t>
  </si>
  <si>
    <t>Anschlussblock 4mm², blau</t>
  </si>
  <si>
    <t>1101191</t>
  </si>
  <si>
    <t>Wago 2-Leiter-Trenn- und Messklemme</t>
  </si>
  <si>
    <t>1101192</t>
  </si>
  <si>
    <t>Wago 2-Leiter-Trennklemme, grau</t>
  </si>
  <si>
    <t>1101193</t>
  </si>
  <si>
    <t>Wago Tüllen für 211-821 KBM                           1</t>
  </si>
  <si>
    <t>1101194</t>
  </si>
  <si>
    <t>Abdeckung für DC-DC Wandler</t>
  </si>
  <si>
    <t>1101195</t>
  </si>
  <si>
    <t>Siemens Leistungsschutzschalter</t>
  </si>
  <si>
    <t>1101196</t>
  </si>
  <si>
    <t>Steuerleitung, Einzelader 1,5 qmm</t>
  </si>
  <si>
    <t>1101197</t>
  </si>
  <si>
    <t>Steuerleitung, Einzelader 2,5 qmm</t>
  </si>
  <si>
    <t>1101198</t>
  </si>
  <si>
    <t>Wago Abschluss-und Zwischenplatte, grau</t>
  </si>
  <si>
    <t>1101199</t>
  </si>
  <si>
    <t>1101200</t>
  </si>
  <si>
    <t>Wago Verbindungsklemme, 2-Leiter-Klemme</t>
  </si>
  <si>
    <t>1101201</t>
  </si>
  <si>
    <t>Wago 2-Leiter-Trenn-und Messklemme, grau</t>
  </si>
  <si>
    <t>1101202</t>
  </si>
  <si>
    <t>Netzklemme 3 polig Weidmüller BLF 5.08/3</t>
  </si>
  <si>
    <t>1101205</t>
  </si>
  <si>
    <t>Crimpkontakt MiniFit Jr Stift 16AWG                   1</t>
  </si>
  <si>
    <t>1101206</t>
  </si>
  <si>
    <t>Buchsengehäuse 4,2mm MiniFit  2-polig</t>
  </si>
  <si>
    <t>1101207</t>
  </si>
  <si>
    <t>Steckergehäuse 4,2mm MinuiFit DR</t>
  </si>
  <si>
    <t>1101208</t>
  </si>
  <si>
    <t>Steckergehäuse 4,2mm MiniFit DR</t>
  </si>
  <si>
    <t>1101209</t>
  </si>
  <si>
    <t>1101240</t>
  </si>
  <si>
    <t>Harting Anbaugehäuse Han 10EMV/b-agg-QB               1</t>
  </si>
  <si>
    <t>1101244</t>
  </si>
  <si>
    <t>Harting Gelenkrahmen für 3 Module</t>
  </si>
  <si>
    <t>1101245</t>
  </si>
  <si>
    <t>Harting Han Verriegelungselement</t>
  </si>
  <si>
    <t>1101246</t>
  </si>
  <si>
    <t>Harting Blindmodul Han-Modular</t>
  </si>
  <si>
    <t>1101247</t>
  </si>
  <si>
    <t>Harting Kontakteinsatz Crimp HanE Modul</t>
  </si>
  <si>
    <t>1101248</t>
  </si>
  <si>
    <t>Harting Buchseneinsatz Crimpanschluss</t>
  </si>
  <si>
    <t>1101249</t>
  </si>
  <si>
    <t>Harting Kontakteinsatz Crimp HanE-Modul</t>
  </si>
  <si>
    <t>1101250</t>
  </si>
  <si>
    <t>Harting Kontaktstift Crimpkontakt 2,5qmm              1</t>
  </si>
  <si>
    <t>1101251</t>
  </si>
  <si>
    <t>Harting Kontaktstift Crimpkontakt 0,5qmm              1</t>
  </si>
  <si>
    <t>1101252</t>
  </si>
  <si>
    <t>Harting E-Kontaktstift 0,5qmm                         6</t>
  </si>
  <si>
    <t>1101253</t>
  </si>
  <si>
    <t>Harting Kontaktbuchse 2,5qmm                         16</t>
  </si>
  <si>
    <t>1101254</t>
  </si>
  <si>
    <t>Harting Kontaktbuchse Crimpkontakt                    1</t>
  </si>
  <si>
    <t>1101255</t>
  </si>
  <si>
    <t>Harting E-Kontaktbuchse 0,5 qmm                       8</t>
  </si>
  <si>
    <t>1102000</t>
  </si>
  <si>
    <t>Siemens Schildträger,  3SB39 22-OAV                   2</t>
  </si>
  <si>
    <t>1102001</t>
  </si>
  <si>
    <t>Siemens Bezeichnungsschild, schwarz                   3</t>
  </si>
  <si>
    <t>1102002</t>
  </si>
  <si>
    <t>Siemens Bezeichnungsschild, 3SB19 01-2EM              3</t>
  </si>
  <si>
    <t>1102003</t>
  </si>
  <si>
    <t>Siemens Bezeichnungsschild, 3SB39 02-1MF              3</t>
  </si>
  <si>
    <t>1102004</t>
  </si>
  <si>
    <t>Siemens Knebelschalter</t>
  </si>
  <si>
    <t>1102240</t>
  </si>
  <si>
    <t>Harting Stifteinsatz Han 10 ES-M</t>
  </si>
  <si>
    <t>1102241</t>
  </si>
  <si>
    <t>Harting Buchseneinsatz Han 10 ES-F</t>
  </si>
  <si>
    <t>1102242</t>
  </si>
  <si>
    <t>Harting Tüllengehäuse HAN 10B-GS-M32</t>
  </si>
  <si>
    <t>1102243</t>
  </si>
  <si>
    <t>Harting Sockelgehäuse 2xM32, HAN10B-asg2              1</t>
  </si>
  <si>
    <t>1102244</t>
  </si>
  <si>
    <t>Harting Flanschgummidichtung HAN Q8/0</t>
  </si>
  <si>
    <t>1102245</t>
  </si>
  <si>
    <t>Harting Anbaugehäuse HAN Q8/0 Metall</t>
  </si>
  <si>
    <t>1102246</t>
  </si>
  <si>
    <t>Harting Steckereinsatz, 8-polig+PE</t>
  </si>
  <si>
    <t>1102247</t>
  </si>
  <si>
    <t>1102248</t>
  </si>
  <si>
    <t>Harting Kontaktstift Crimpkontakt                     6</t>
  </si>
  <si>
    <t>1102249</t>
  </si>
  <si>
    <t>Harting Kontaktbuchse 1,5 mm²                        16</t>
  </si>
  <si>
    <t>1103001</t>
  </si>
  <si>
    <t>Pilzsperrtaster, Oe/S , E X, NOTAUS, mit              7</t>
  </si>
  <si>
    <t>1103002</t>
  </si>
  <si>
    <t>Taster 2 Befehlstellen E X                            8</t>
  </si>
  <si>
    <t>1103003</t>
  </si>
  <si>
    <t>Positionsschalter EX                                 13</t>
  </si>
  <si>
    <t>1103004</t>
  </si>
  <si>
    <t>EX - Endschalter, Best.-Nr. 8060/1-2-R               14</t>
  </si>
  <si>
    <t>1103005</t>
  </si>
  <si>
    <t>Rolladen Wipptaster Merten Aquastar                   1</t>
  </si>
  <si>
    <t>1107003</t>
  </si>
  <si>
    <t>Schutzleiterklemmen</t>
  </si>
  <si>
    <t>1110001</t>
  </si>
  <si>
    <t>Siemens Schütz AC3 400V 4kW 24VDC 1S                  1</t>
  </si>
  <si>
    <t>1110002</t>
  </si>
  <si>
    <t>Schütz 3TF 2001-0BB4++++++++++++++++++++              1</t>
  </si>
  <si>
    <t>1110003</t>
  </si>
  <si>
    <t>Varistor++++++++++++++++++++++++++++++++</t>
  </si>
  <si>
    <t>1110004</t>
  </si>
  <si>
    <t>Endstördiode++++++++++++++++++++++++++++</t>
  </si>
  <si>
    <t>1110005</t>
  </si>
  <si>
    <t>Schütz 3TH4244-0BB4+++++++++++++++++++++              4</t>
  </si>
  <si>
    <t>1110007</t>
  </si>
  <si>
    <t>Hilfsschaltblock 3T X 4422-0A+++++++++++              2</t>
  </si>
  <si>
    <t>1110008</t>
  </si>
  <si>
    <t>1110009</t>
  </si>
  <si>
    <t>Siemens Hilfsschalterblock 1S/3Ö</t>
  </si>
  <si>
    <t>1110023</t>
  </si>
  <si>
    <t>Siemens Schütz Bestellnummer: 3TF4311-0A              3</t>
  </si>
  <si>
    <t>1110024</t>
  </si>
  <si>
    <t>Siemens Schütz Bestellnummer: 3TF4311-0B              4</t>
  </si>
  <si>
    <t>1110025</t>
  </si>
  <si>
    <t>Siemens Schütz Bestellnummer: 3TF4322-0A              3</t>
  </si>
  <si>
    <t>1110034</t>
  </si>
  <si>
    <t>TastREL8E-Platine                                     2</t>
  </si>
  <si>
    <t>1110042</t>
  </si>
  <si>
    <t>1110043</t>
  </si>
  <si>
    <t>1110045</t>
  </si>
  <si>
    <t>1110046</t>
  </si>
  <si>
    <t>Siemens Schütz AC230V:3kW 400V 1OE 1NC                1</t>
  </si>
  <si>
    <t>1110047</t>
  </si>
  <si>
    <t>Siemens Schütz AC3 3kW 400V 1OE 1NC                   1</t>
  </si>
  <si>
    <t>1110048</t>
  </si>
  <si>
    <t>Siemens Varistor AC 127-240V DC 150-250V</t>
  </si>
  <si>
    <t>1110049</t>
  </si>
  <si>
    <t>Siemens Schütz 24VDC, AC-3kW,  1OE                    1</t>
  </si>
  <si>
    <t>1110050</t>
  </si>
  <si>
    <t>Siemens Schütz                                        1</t>
  </si>
  <si>
    <t>1110051</t>
  </si>
  <si>
    <t>Siemens Hilfsschalterblock 3S/1Ö</t>
  </si>
  <si>
    <t>1110052</t>
  </si>
  <si>
    <t>Siemens Hilfsschalterblock 2S/2Ö</t>
  </si>
  <si>
    <t>1110053</t>
  </si>
  <si>
    <t>Siemens Hilfsschalterblock, 4O, 4S</t>
  </si>
  <si>
    <t>1110054</t>
  </si>
  <si>
    <t>Siemens Hilfsschalterblock</t>
  </si>
  <si>
    <t>1110055</t>
  </si>
  <si>
    <t>Siemens Hilfsschalter für Leitungsschutz</t>
  </si>
  <si>
    <t>1110056</t>
  </si>
  <si>
    <t>Siemens Schaltelement</t>
  </si>
  <si>
    <t>1110060</t>
  </si>
  <si>
    <t>Siemens Schütz AC 230V, 3KW, 400 V                    1</t>
  </si>
  <si>
    <t>1110061</t>
  </si>
  <si>
    <t>Siemens Schütz  AC-3,                                 1</t>
  </si>
  <si>
    <t>1110062</t>
  </si>
  <si>
    <t>Siemens Hilfsschalterblock, 1 S + 3 Ö,</t>
  </si>
  <si>
    <t>1110063</t>
  </si>
  <si>
    <t>Siemens Entstördiode DC 12V-250V</t>
  </si>
  <si>
    <t>1110066</t>
  </si>
  <si>
    <t>Siemens Schütz AC3 4kW 230VAC 1S                      1</t>
  </si>
  <si>
    <t>1110067</t>
  </si>
  <si>
    <t>Siemens Schütz AC 3:   4kW 400V 1OE 1NC               1</t>
  </si>
  <si>
    <t>1110069</t>
  </si>
  <si>
    <t>Siemens Schütz AC3 3kW 24VDC 1Ö                       1</t>
  </si>
  <si>
    <t>1110070</t>
  </si>
  <si>
    <t>Positionsschalter 3SE5112-OCH62-1AJ0</t>
  </si>
  <si>
    <t>1110071</t>
  </si>
  <si>
    <t>Schröder Stromstoßschalter 24VUC 1S/1Ö                1</t>
  </si>
  <si>
    <t>1111001</t>
  </si>
  <si>
    <t>Siemens Leistungsschalter 4,5-6,3A</t>
  </si>
  <si>
    <t>1111002</t>
  </si>
  <si>
    <t>Siemens Leistungsschalter 3,5-5A                      1</t>
  </si>
  <si>
    <t>1111003</t>
  </si>
  <si>
    <t>Leistungsschalter 3RV1011-1JA 15</t>
  </si>
  <si>
    <t>1111006</t>
  </si>
  <si>
    <t>Leistungsschalter 3VU-1300-1ME00 0,4-0,6              2</t>
  </si>
  <si>
    <t>1111007</t>
  </si>
  <si>
    <t>Leistungsschalter 3VU-1300-1MF00 0,6-1,0              2</t>
  </si>
  <si>
    <t>1111008</t>
  </si>
  <si>
    <t>Leistungsschalter 3VU-1300-1MG00 1,0-1,6              2</t>
  </si>
  <si>
    <t>1111009</t>
  </si>
  <si>
    <t>Siemens Leitungsschutzschalter 25A</t>
  </si>
  <si>
    <t>1111012</t>
  </si>
  <si>
    <t>Leistungsschalter 3VU-1300-1KM00 4-6A                 2</t>
  </si>
  <si>
    <t>1111013</t>
  </si>
  <si>
    <t>Siemens Leitungsschutzschalter 1 p. 16A</t>
  </si>
  <si>
    <t>1111014</t>
  </si>
  <si>
    <t>Siemens Leistungsschalter 0,9-1,25A                   2</t>
  </si>
  <si>
    <t>1111015</t>
  </si>
  <si>
    <t>Siemens Leistungsschalter 1,8-2,5A                    2</t>
  </si>
  <si>
    <t>1111016</t>
  </si>
  <si>
    <t>Siemens Leistungsschalter 1,1-1,6A                    1</t>
  </si>
  <si>
    <t>1111017</t>
  </si>
  <si>
    <t>Siemens Leistungsschalter 0,55-0,8A                   2</t>
  </si>
  <si>
    <t>1111018</t>
  </si>
  <si>
    <t>Siemens Leistungsschalter 5,5-8A                      2</t>
  </si>
  <si>
    <t>1111019</t>
  </si>
  <si>
    <t>Siemens Leistungsschalter 0,28-0,4A                   1</t>
  </si>
  <si>
    <t>1111020</t>
  </si>
  <si>
    <t>Siemens Leistungsschalter 1,4-2A                      2</t>
  </si>
  <si>
    <t>1111021</t>
  </si>
  <si>
    <t>Siemens Leistungsschalter 2,2-3,2A                    2</t>
  </si>
  <si>
    <t>1111022</t>
  </si>
  <si>
    <t>Siemens Leistungsschalter 1,1-1,6A                    2</t>
  </si>
  <si>
    <t>1111023</t>
  </si>
  <si>
    <t>1111024</t>
  </si>
  <si>
    <t>1111025</t>
  </si>
  <si>
    <t>Siemens Leitungsschutzschalter T55</t>
  </si>
  <si>
    <t>1111026</t>
  </si>
  <si>
    <t>Siemens Leistunsschalter 0,9-1,25A                    2</t>
  </si>
  <si>
    <t>1111027</t>
  </si>
  <si>
    <t>1111028</t>
  </si>
  <si>
    <t>Leistungsschalter 3RV1011-1AA15+++++++++              3</t>
  </si>
  <si>
    <t>1111029</t>
  </si>
  <si>
    <t>Siemens Leistungsschalter, 7-10 A                     2</t>
  </si>
  <si>
    <t>1111030</t>
  </si>
  <si>
    <t>Schlüsselschalter komplett, Aufputz                   3</t>
  </si>
  <si>
    <t>1111031</t>
  </si>
  <si>
    <t>Handtaster rot rastend, komplett, KlöMö</t>
  </si>
  <si>
    <t>1111040</t>
  </si>
  <si>
    <t>Siemens Leistungsschalter 2,8-4A</t>
  </si>
  <si>
    <t>1111041</t>
  </si>
  <si>
    <t>Eltako Stromstoßschalter, 1S1Ö, 16A                   2</t>
  </si>
  <si>
    <t>111111</t>
  </si>
  <si>
    <t>1111111</t>
  </si>
  <si>
    <t>&gt;&gt; Sperrartikel für Stückliste &lt;&lt;&lt;</t>
  </si>
  <si>
    <t>111112</t>
  </si>
  <si>
    <t>111113</t>
  </si>
  <si>
    <t>Kleinteile für Auftrag 30500056</t>
  </si>
  <si>
    <t>111114</t>
  </si>
  <si>
    <t>Kleinteile für Auftrag 50400145</t>
  </si>
  <si>
    <t>111115</t>
  </si>
  <si>
    <t>Kleinteile für Auftrag 05300008107</t>
  </si>
  <si>
    <t>111116</t>
  </si>
  <si>
    <t>Kleinteile für Auftrag</t>
  </si>
  <si>
    <t>111117</t>
  </si>
  <si>
    <t>111118</t>
  </si>
  <si>
    <t>111119</t>
  </si>
  <si>
    <t>1112001</t>
  </si>
  <si>
    <t>Diazed Isolierstoffkappe</t>
  </si>
  <si>
    <t>1112002</t>
  </si>
  <si>
    <t>Siemens DIAZED-Sicherungssockel 25A 1P</t>
  </si>
  <si>
    <t>1112003</t>
  </si>
  <si>
    <t>Diazed Paßschraube 25A</t>
  </si>
  <si>
    <t>1112005</t>
  </si>
  <si>
    <t>Diazed Einbau-Sicherung 25A</t>
  </si>
  <si>
    <t>1112009</t>
  </si>
  <si>
    <t>Leitungsschutzschalter T55, C, 16A</t>
  </si>
  <si>
    <t>1112010</t>
  </si>
  <si>
    <t>Siemens Leitungsschutzschalter                        1</t>
  </si>
  <si>
    <t>1112011</t>
  </si>
  <si>
    <t>Siemens Leitungsschutzschalter 230/400V</t>
  </si>
  <si>
    <t>1112015</t>
  </si>
  <si>
    <t>Sicherungseinsatz 10A flink</t>
  </si>
  <si>
    <t>1112016</t>
  </si>
  <si>
    <t>NEOZED Sicherungseinsatz 16A D01</t>
  </si>
  <si>
    <t>1112017</t>
  </si>
  <si>
    <t>Sicherungseinsatz G, 20 x 5 mm</t>
  </si>
  <si>
    <t>1112018</t>
  </si>
  <si>
    <t>Diazed Paßschraube 35A</t>
  </si>
  <si>
    <t>1112021</t>
  </si>
  <si>
    <t>Diazed Einbau-Sicherung 20A</t>
  </si>
  <si>
    <t>1112025</t>
  </si>
  <si>
    <t>Sicherungsautomat 16A 1polig B16++++++++</t>
  </si>
  <si>
    <t>1112026</t>
  </si>
  <si>
    <t>Siemens Leitungsschutzschalter B32 1P</t>
  </si>
  <si>
    <t>1112029</t>
  </si>
  <si>
    <t>Siemens Leitungsschutzschalter</t>
  </si>
  <si>
    <t>1112032</t>
  </si>
  <si>
    <t>Siemens Leitungsschutzschalter B20 1P</t>
  </si>
  <si>
    <t>1112033</t>
  </si>
  <si>
    <t>Siemens Leitungsschutzschalter B50 1P                 1</t>
  </si>
  <si>
    <t>1112034</t>
  </si>
  <si>
    <t>Siemens Leitungsschutzschalter C, 16 A</t>
  </si>
  <si>
    <t>1112035</t>
  </si>
  <si>
    <t>Inverter Spannungswandler GP-24-600                   6</t>
  </si>
  <si>
    <t>1112036</t>
  </si>
  <si>
    <t>Inverter , Genius power 600 W                         6</t>
  </si>
  <si>
    <t>1112037</t>
  </si>
  <si>
    <t>Inverter, Genius power 1000 W                        10</t>
  </si>
  <si>
    <t>1112038</t>
  </si>
  <si>
    <t>Siemens Leitungsschutzschalter B, 6A</t>
  </si>
  <si>
    <t>1112039</t>
  </si>
  <si>
    <t>Siemens Leitungsschutzschalter B10</t>
  </si>
  <si>
    <t>1112040</t>
  </si>
  <si>
    <t>Siemens Leitungsschutzschalter B16</t>
  </si>
  <si>
    <t>1112041</t>
  </si>
  <si>
    <t>Siemens Leitungsschutzschalter B20</t>
  </si>
  <si>
    <t>1112042</t>
  </si>
  <si>
    <t>Siemens Leitungsschutzschalter B25</t>
  </si>
  <si>
    <t>1112043</t>
  </si>
  <si>
    <t>Siemens Leitungsschutzschalter C6</t>
  </si>
  <si>
    <t>1112044</t>
  </si>
  <si>
    <t>Siemens Leitungsschutzschalter C10</t>
  </si>
  <si>
    <t>1112045</t>
  </si>
  <si>
    <t>Siemens Leitungsschutzschalter C16</t>
  </si>
  <si>
    <t>1112046</t>
  </si>
  <si>
    <t>Siemens Leitungsschutzschalter C20</t>
  </si>
  <si>
    <t>1112047</t>
  </si>
  <si>
    <t>Siemens Leitungsschutzschalter C25</t>
  </si>
  <si>
    <t>1112048</t>
  </si>
  <si>
    <t>Siemens Leitungsschutzschalter C16 3Pol.              2</t>
  </si>
  <si>
    <t>1112049</t>
  </si>
  <si>
    <t>Siemens Leitungsschutzschalter C20 3Pol.              3</t>
  </si>
  <si>
    <t>1112050</t>
  </si>
  <si>
    <t>Diazed Sicherung 25A</t>
  </si>
  <si>
    <t>1112051</t>
  </si>
  <si>
    <t>Siemens Leitungsschutzschalter C25 3 Pol              3</t>
  </si>
  <si>
    <t>1112052</t>
  </si>
  <si>
    <t>Siemens Haupt und Not-Ausschalter                     1</t>
  </si>
  <si>
    <t>1112053</t>
  </si>
  <si>
    <t>1112054</t>
  </si>
  <si>
    <t>Siemens Leitungsschutzschalter, C10,                  3</t>
  </si>
  <si>
    <t>1112055</t>
  </si>
  <si>
    <t>Siemens Leitungsschutzschalter 400V                   3</t>
  </si>
  <si>
    <t>1112056</t>
  </si>
  <si>
    <t>Siemens Leitungsschutzschalte 3 Pol. B10              3</t>
  </si>
  <si>
    <t>1112057</t>
  </si>
  <si>
    <t>1112058</t>
  </si>
  <si>
    <t>Siemens Leistungsschutzschalter                       2</t>
  </si>
  <si>
    <t>1112059</t>
  </si>
  <si>
    <t>1112060</t>
  </si>
  <si>
    <t>1112075</t>
  </si>
  <si>
    <t>Siemens Leitungsschutzschalter ALLSTROM               2</t>
  </si>
  <si>
    <t>1112100</t>
  </si>
  <si>
    <t>CEE-Wandsteckdose 16A,5-pol.400V.50/60</t>
  </si>
  <si>
    <t>1112102</t>
  </si>
  <si>
    <t>Feuchtraum Abzweigkasten IP54 mitKlemml</t>
  </si>
  <si>
    <t>1112104</t>
  </si>
  <si>
    <t>CEE-Wandsteckdose</t>
  </si>
  <si>
    <t>1113100</t>
  </si>
  <si>
    <t>Siemens Schütz AC-3, 3KW/400V, 1S</t>
  </si>
  <si>
    <t>1113101</t>
  </si>
  <si>
    <t>Siemens Schütz AC-3, 3KW/400V, 1OE                    1</t>
  </si>
  <si>
    <t>1113102</t>
  </si>
  <si>
    <t>Siemens Schütz AC-3, 5,5KW/400V, 1S</t>
  </si>
  <si>
    <t>1113103</t>
  </si>
  <si>
    <t>Siemens Schütz AC-3, 5,5KW/400V, 1OE                  1</t>
  </si>
  <si>
    <t>1113104</t>
  </si>
  <si>
    <t>Siemens Schütz AC-3, 7,5KW/400V, 1S</t>
  </si>
  <si>
    <t>1113105</t>
  </si>
  <si>
    <t>Siemens Schütz AC-3, 7,5 KW/400V, 1OE                 3</t>
  </si>
  <si>
    <t>1113119</t>
  </si>
  <si>
    <t>Siemens Entstoerdiode DC 12...250V,</t>
  </si>
  <si>
    <t>1113120</t>
  </si>
  <si>
    <t>Siemens Schütz AC-3, 11KW/400V. 1S+1OE                4</t>
  </si>
  <si>
    <t>1113121</t>
  </si>
  <si>
    <t>Siemens Schütz  AC-3, 15KW/400V,1S+1OE</t>
  </si>
  <si>
    <t>1113122</t>
  </si>
  <si>
    <t>Siemens Schütz AC-18,5KW/400V, 1S+1OE</t>
  </si>
  <si>
    <t>1113129</t>
  </si>
  <si>
    <t>Siemens Varistor AC24...48V</t>
  </si>
  <si>
    <t>1113140</t>
  </si>
  <si>
    <t>Siemens Schütz AC-3,  3KW/400V, 1S</t>
  </si>
  <si>
    <t>1113141</t>
  </si>
  <si>
    <t>1113142</t>
  </si>
  <si>
    <t>1113143</t>
  </si>
  <si>
    <t>Siemens Schütz AC-3, 5,5KW/400V, 1OE</t>
  </si>
  <si>
    <t>1113144</t>
  </si>
  <si>
    <t>1113145</t>
  </si>
  <si>
    <t>Siemens Schütz AC-3, 7,5KW/400V, 1OE</t>
  </si>
  <si>
    <t>1113149</t>
  </si>
  <si>
    <t>Siemens Varistor</t>
  </si>
  <si>
    <t>1113150</t>
  </si>
  <si>
    <t>Siemens Schütz AC-3, 11KW, 1S+1OE</t>
  </si>
  <si>
    <t>1113151</t>
  </si>
  <si>
    <t>Siemens Schütz AC-3, 15KW/400V, 1S+1OE</t>
  </si>
  <si>
    <t>1113152</t>
  </si>
  <si>
    <t>Siemens Schütz AC-3, 18,5KW/400V/1S+1OE</t>
  </si>
  <si>
    <t>1113158</t>
  </si>
  <si>
    <t>Siemens Schütz AC-3, 4KW/400V                         4</t>
  </si>
  <si>
    <t>1113159</t>
  </si>
  <si>
    <t>1113180</t>
  </si>
  <si>
    <t>Siemens Hilfsschalterblock, 4S</t>
  </si>
  <si>
    <t>1113181</t>
  </si>
  <si>
    <t>Siemens Hilfsschalterblock, 1S+3OE</t>
  </si>
  <si>
    <t>1113182</t>
  </si>
  <si>
    <t>Siemens Hilfsschalterblock 3S+1OE</t>
  </si>
  <si>
    <t>1113183</t>
  </si>
  <si>
    <t>Siemens Hilfsschalterblock 2S+2OE</t>
  </si>
  <si>
    <t>1113184</t>
  </si>
  <si>
    <t>Siemens Hilfsschalterblock 4OE</t>
  </si>
  <si>
    <t>1113200</t>
  </si>
  <si>
    <t>1113201</t>
  </si>
  <si>
    <t>Siemens Motorschutzschalter</t>
  </si>
  <si>
    <t>1113202</t>
  </si>
  <si>
    <t>1113203</t>
  </si>
  <si>
    <t>1113204</t>
  </si>
  <si>
    <t>1113205</t>
  </si>
  <si>
    <t>1113206</t>
  </si>
  <si>
    <t>1113207</t>
  </si>
  <si>
    <t>1113208</t>
  </si>
  <si>
    <t>1113209</t>
  </si>
  <si>
    <t>1113210</t>
  </si>
  <si>
    <t>1113211</t>
  </si>
  <si>
    <t>Siemens Motorschutzschalter                           3</t>
  </si>
  <si>
    <t>1113212</t>
  </si>
  <si>
    <t>1113213</t>
  </si>
  <si>
    <t>1113220</t>
  </si>
  <si>
    <t>1113221</t>
  </si>
  <si>
    <t>1113222</t>
  </si>
  <si>
    <t>1113223</t>
  </si>
  <si>
    <t>1113224</t>
  </si>
  <si>
    <t>1113250</t>
  </si>
  <si>
    <t>Siemens Hilfsschalter 1S+1OE, quer</t>
  </si>
  <si>
    <t>1113251</t>
  </si>
  <si>
    <t>Siemens Hilfsschalter, 1S+1OE, seitl.</t>
  </si>
  <si>
    <t>1113252</t>
  </si>
  <si>
    <t>Siemens Hilfsschalter 2S, seitl.</t>
  </si>
  <si>
    <t>1113253</t>
  </si>
  <si>
    <t>Siemens Hilfsschalter 2OE, seitl.</t>
  </si>
  <si>
    <t>1113260</t>
  </si>
  <si>
    <t>Siemens Sicherheitsschaltgerät Sirius                 7</t>
  </si>
  <si>
    <t>1113261</t>
  </si>
  <si>
    <t>Siemens Leitungsschutzschalter, 6KA                   1</t>
  </si>
  <si>
    <t>1113262</t>
  </si>
  <si>
    <t>1113263</t>
  </si>
  <si>
    <t>1113264</t>
  </si>
  <si>
    <t>Siemens Schlüsselschalter 22mm rund                   2</t>
  </si>
  <si>
    <t>1113265</t>
  </si>
  <si>
    <t>Siemens Schaltelement, 1S+1OE</t>
  </si>
  <si>
    <t>1113266</t>
  </si>
  <si>
    <t>Siemens Drucktaster, 22mm rund, schwarz</t>
  </si>
  <si>
    <t>1113267</t>
  </si>
  <si>
    <t>Siemens Schütz 5,5 kW</t>
  </si>
  <si>
    <t>1113300</t>
  </si>
  <si>
    <t>Siemens Sirius Not-Aus Relais, 3S+1OE                 9</t>
  </si>
  <si>
    <t>1113301</t>
  </si>
  <si>
    <t>Siemens Sirius Not-Aus Relais</t>
  </si>
  <si>
    <t>1113302</t>
  </si>
  <si>
    <t>1113303</t>
  </si>
  <si>
    <t>Siemens Not-Aus Schalter                              2</t>
  </si>
  <si>
    <t>1113304</t>
  </si>
  <si>
    <t>Positionsschalter TV14H236-11Z-M20                    1</t>
  </si>
  <si>
    <t>1113310</t>
  </si>
  <si>
    <t>Positionsschalter,  XCKJ10541H29                      3</t>
  </si>
  <si>
    <t>1113400</t>
  </si>
  <si>
    <t>DOLD Not-Aus-Modul DC24V, 3S1Ö                       28</t>
  </si>
  <si>
    <t>1113401</t>
  </si>
  <si>
    <t>Schneider Leitungsschutzschalter C60N2AC              1</t>
  </si>
  <si>
    <t>1113402</t>
  </si>
  <si>
    <t>Schneider Leitungsschutzschalter C60N 1p              1</t>
  </si>
  <si>
    <t>1113403</t>
  </si>
  <si>
    <t>Schneider Hilfsschalter S Ö                           1</t>
  </si>
  <si>
    <t>1113404</t>
  </si>
  <si>
    <t>1113405</t>
  </si>
  <si>
    <t>Siemens Leuchtmelder, 22mm, rund</t>
  </si>
  <si>
    <t>1113406</t>
  </si>
  <si>
    <t>1113407</t>
  </si>
  <si>
    <t>Schneider Leistungsschütz 25A 24 VDC                  8</t>
  </si>
  <si>
    <t>1113408</t>
  </si>
  <si>
    <t>Schneider Zeitrelais mit Ansprech-                    5</t>
  </si>
  <si>
    <t>1113409</t>
  </si>
  <si>
    <t>Schneider Multif. Relais 110-240VAV                   6</t>
  </si>
  <si>
    <t>1113410</t>
  </si>
  <si>
    <t>Schneider Leistungsschütz 9A 24V DC                   4</t>
  </si>
  <si>
    <t>1113411</t>
  </si>
  <si>
    <t>Schneider Hilfsschalter 4S                            1</t>
  </si>
  <si>
    <t>1113412</t>
  </si>
  <si>
    <t>Schneider Grundgerät 1 Drehrichtung                   3</t>
  </si>
  <si>
    <t>1113413</t>
  </si>
  <si>
    <t>Schneider FU Modul Hilfsschalter 2S2S</t>
  </si>
  <si>
    <t>1113414</t>
  </si>
  <si>
    <t>Schneider Steuereinheit 1,25-SA 24V DC                5</t>
  </si>
  <si>
    <t>1113415</t>
  </si>
  <si>
    <t>Moeller EIN-AUS-Schalter/IVS                          4</t>
  </si>
  <si>
    <t>1113416</t>
  </si>
  <si>
    <t>Schneider Not-Aus Taster 1S 1Ö                        1</t>
  </si>
  <si>
    <t>1113417</t>
  </si>
  <si>
    <t>Schneider Gehäuse IP65 o. Bohrung                     3</t>
  </si>
  <si>
    <t>1113418</t>
  </si>
  <si>
    <t>Schneider Leuchtmelder Art.-Nr. ZB5AV04</t>
  </si>
  <si>
    <t>1113419</t>
  </si>
  <si>
    <t>Schneider Lampenfassung f. Leuchtmelder</t>
  </si>
  <si>
    <t>1113420</t>
  </si>
  <si>
    <t>Schneider LED rt Ba9s 24VDC</t>
  </si>
  <si>
    <t>1113421</t>
  </si>
  <si>
    <t>Schneider Not-Halt-Schild,  D=60, gelb</t>
  </si>
  <si>
    <t>1113422</t>
  </si>
  <si>
    <t>Schneider Schildträger 30x50 o.Schild</t>
  </si>
  <si>
    <t>1113423</t>
  </si>
  <si>
    <t>Schneider Schutzkragen, Art.-Nr. ZBZ1605              1</t>
  </si>
  <si>
    <t>1113424</t>
  </si>
  <si>
    <t>Schneider Hilfsschalter 2Ö, schraubansch</t>
  </si>
  <si>
    <t>1113425</t>
  </si>
  <si>
    <t>Schneider Leistungsschütz 4-polig, 1S,1Ö              4</t>
  </si>
  <si>
    <t>1118002</t>
  </si>
  <si>
    <t>Verdrahtungskanal, 60x40mm</t>
  </si>
  <si>
    <t>1118003</t>
  </si>
  <si>
    <t>Verdrahtungskanal, 80x80mm</t>
  </si>
  <si>
    <t>1118005</t>
  </si>
  <si>
    <t>Hutschiene 35x27x7,5 x1,0 mm</t>
  </si>
  <si>
    <t>1118006</t>
  </si>
  <si>
    <t>Verdrahtungskanal, 40x80mm</t>
  </si>
  <si>
    <t>1118008</t>
  </si>
  <si>
    <t>Verdrahtungskanal, 60x25mm</t>
  </si>
  <si>
    <t>1118009</t>
  </si>
  <si>
    <t>Verdrahtungskanal, VK-Flex, 20mm</t>
  </si>
  <si>
    <t>1118010</t>
  </si>
  <si>
    <t>Verdrahtungskanal, 100x80mm</t>
  </si>
  <si>
    <t>1118011</t>
  </si>
  <si>
    <t>Hutschiene 35 x 7,5  45 mm</t>
  </si>
  <si>
    <t>1118012</t>
  </si>
  <si>
    <t>Hutschiene 35 x 7,5  40 mm</t>
  </si>
  <si>
    <t>1118013</t>
  </si>
  <si>
    <t>Verdrahtungskanal, VK-Flex,30mm</t>
  </si>
  <si>
    <t>1118014</t>
  </si>
  <si>
    <t>Verdrahtungskanal 80x60 mm</t>
  </si>
  <si>
    <t>1118031</t>
  </si>
  <si>
    <t>ABB Stotz Not-Aus-Taster, D-40mm, rt, 2Ö              2</t>
  </si>
  <si>
    <t>1118032</t>
  </si>
  <si>
    <t>Pilz Not-Aus-Schaltgerät PNOZ S 4                    15</t>
  </si>
  <si>
    <t>1119001</t>
  </si>
  <si>
    <t>Siemens 3-Phasen-Sammelschiene 2Schalter</t>
  </si>
  <si>
    <t>1119002</t>
  </si>
  <si>
    <t>Siemens 3-Phasen-Sammelschiene 3Schalter</t>
  </si>
  <si>
    <t>1119003</t>
  </si>
  <si>
    <t>Siemens 3-Phasen-Sammelschiene 5Schalter</t>
  </si>
  <si>
    <t>1119004</t>
  </si>
  <si>
    <t>Siemens CD, NOT-AUS, Drucktaster                      1</t>
  </si>
  <si>
    <t>1119005</t>
  </si>
  <si>
    <t>Siemens 3-Phasen-Sammelschiene 4Schalter</t>
  </si>
  <si>
    <t>1119006</t>
  </si>
  <si>
    <t>Schaltelement 1 Schließer</t>
  </si>
  <si>
    <t>1119007</t>
  </si>
  <si>
    <t>Siemens Schaltelement 1 OE</t>
  </si>
  <si>
    <t>1119008</t>
  </si>
  <si>
    <t>Pilzsperrtaster, EX                                   9</t>
  </si>
  <si>
    <t>1119009</t>
  </si>
  <si>
    <t>Taster</t>
  </si>
  <si>
    <t>1119010</t>
  </si>
  <si>
    <t>Druckknopftaster DKT 01 gelb                          3</t>
  </si>
  <si>
    <t>1119012</t>
  </si>
  <si>
    <t>Druckknopftaster DKT 01 grau                          3</t>
  </si>
  <si>
    <t>1119013</t>
  </si>
  <si>
    <t>Siemens Leergehäuse Drucktaster</t>
  </si>
  <si>
    <t>1119014</t>
  </si>
  <si>
    <t>Schaltelement 22 und 30mm 1/2</t>
  </si>
  <si>
    <t>1119015</t>
  </si>
  <si>
    <t>Siemens Druckschalter, rund 22 mm,</t>
  </si>
  <si>
    <t>1119016</t>
  </si>
  <si>
    <t>Siemens Gehäuse für Befehlsgeräte</t>
  </si>
  <si>
    <t>1119017</t>
  </si>
  <si>
    <t>Siemens Haupt-u. Not-Aus-Schalter</t>
  </si>
  <si>
    <t>1119018</t>
  </si>
  <si>
    <t>Siemens Hilfsschalter</t>
  </si>
  <si>
    <t>1119019</t>
  </si>
  <si>
    <t>Betätigungselement 22mm rot-n.rast</t>
  </si>
  <si>
    <t>1119020</t>
  </si>
  <si>
    <t>Taster 1 Befehlsstelle,incl.Verschrbg.</t>
  </si>
  <si>
    <t>1119021</t>
  </si>
  <si>
    <t>Taster 2 Befehlsstellen,incl.Verschrbg                2</t>
  </si>
  <si>
    <t>1119022</t>
  </si>
  <si>
    <t>Handtaster mit Aufdruck "Protec24"</t>
  </si>
  <si>
    <t>1119023</t>
  </si>
  <si>
    <t>Taster 1 WAP grau, 10A-250V</t>
  </si>
  <si>
    <t>1119024</t>
  </si>
  <si>
    <t>Taster , weiß, ELMO Aufputz, Feuchtraum               1</t>
  </si>
  <si>
    <t>1119025</t>
  </si>
  <si>
    <t>Siemens Handauslösetaster                             6</t>
  </si>
  <si>
    <t>1119026</t>
  </si>
  <si>
    <t>Abzweigkasten mit Klemmen ohne Verschrb.</t>
  </si>
  <si>
    <t>1119027</t>
  </si>
  <si>
    <t>Apollo Druckknopfmelder, GELB,                        2</t>
  </si>
  <si>
    <t>1119028</t>
  </si>
  <si>
    <t>Apollo Druckknopfmelder, orange                       2</t>
  </si>
  <si>
    <t>1119029</t>
  </si>
  <si>
    <t>1119030</t>
  </si>
  <si>
    <t>Handmelder DKM S60 rot                                2</t>
  </si>
  <si>
    <t>1119031</t>
  </si>
  <si>
    <t>Handmelder Leergehäuse gelb       neu                 2</t>
  </si>
  <si>
    <t>1119032</t>
  </si>
  <si>
    <t>Schlüssel fürHandfeuermelder       neu</t>
  </si>
  <si>
    <t>1119033</t>
  </si>
  <si>
    <t>HFM Einsatz GMT mitz.Typ B         neu                3</t>
  </si>
  <si>
    <t>1119034</t>
  </si>
  <si>
    <t>1119035</t>
  </si>
  <si>
    <t>Handtaster D+H or                                     1</t>
  </si>
  <si>
    <t>1119036</t>
  </si>
  <si>
    <t>Leuchtmelder rot</t>
  </si>
  <si>
    <t>1119037</t>
  </si>
  <si>
    <t>Schaltelement 1 Schließer                             1</t>
  </si>
  <si>
    <t>1119038</t>
  </si>
  <si>
    <t>Schaltelement</t>
  </si>
  <si>
    <t>1119039</t>
  </si>
  <si>
    <t>Apollo Druckknopfmelder (Leergehäuse)                 1</t>
  </si>
  <si>
    <t>1119040</t>
  </si>
  <si>
    <t>Protronic Taster HTX unter Glas (gelb)                4</t>
  </si>
  <si>
    <t>1119041</t>
  </si>
  <si>
    <t>Druckknopfmelder, DKM Gehäuse,gelb, alt               2</t>
  </si>
  <si>
    <t>1119042</t>
  </si>
  <si>
    <t>Drucktaster Grün</t>
  </si>
  <si>
    <t>1119043</t>
  </si>
  <si>
    <t>Apollo Druckknopfmelder - blau -                      3</t>
  </si>
  <si>
    <t>1119044</t>
  </si>
  <si>
    <t>Apollo Ersatzgläser für DIN DKM</t>
  </si>
  <si>
    <t>1119045</t>
  </si>
  <si>
    <t>Betätigungselement 22mm grün</t>
  </si>
  <si>
    <t>1119046</t>
  </si>
  <si>
    <t>Schlüssel Apollo für Handtaster orange</t>
  </si>
  <si>
    <t>1119047</t>
  </si>
  <si>
    <t>Signalleuchte BLS</t>
  </si>
  <si>
    <t>1119048</t>
  </si>
  <si>
    <t>Taster 1 Befehlsstelle                                3</t>
  </si>
  <si>
    <t>1119049</t>
  </si>
  <si>
    <t>Siemens Leuchtdrucktaster rot</t>
  </si>
  <si>
    <t>1119050</t>
  </si>
  <si>
    <t>RT Aluminiumgehäuse orange RAL 2011                   1</t>
  </si>
  <si>
    <t>1119051</t>
  </si>
  <si>
    <t>Handtaster D+H orange</t>
  </si>
  <si>
    <t>1119052</t>
  </si>
  <si>
    <t>Not-Aus 3pol 9,5KW Isoliergehäuse                     1</t>
  </si>
  <si>
    <t>1119053</t>
  </si>
  <si>
    <t>Siemens Hilfsschalterblock 1S/1Ö</t>
  </si>
  <si>
    <t>1119054</t>
  </si>
  <si>
    <t>Betätigungselement</t>
  </si>
  <si>
    <t>1119055</t>
  </si>
  <si>
    <t>Siemens Betätigungselement rot</t>
  </si>
  <si>
    <t>1119056</t>
  </si>
  <si>
    <t>Siemens Betätigungselement rot verrast</t>
  </si>
  <si>
    <t>1119057</t>
  </si>
  <si>
    <t>Geba Schlüsselschalter S-EPZ 1-2T/1                   6</t>
  </si>
  <si>
    <t>1119058</t>
  </si>
  <si>
    <t>Geba Schlüsselschalter AP S-APZ 1-2T/1                5</t>
  </si>
  <si>
    <t>1119059</t>
  </si>
  <si>
    <t>Siemens Knebelschalter, tastend</t>
  </si>
  <si>
    <t>1119060</t>
  </si>
  <si>
    <t>Taster 1 Befehlsstelle rot rastend                    1</t>
  </si>
  <si>
    <t>1119061</t>
  </si>
  <si>
    <t>Schlüsselschalter Typ UP1 - TR                        6</t>
  </si>
  <si>
    <t>1119062</t>
  </si>
  <si>
    <t>Schlüsselschalter IO II tastend                       2</t>
  </si>
  <si>
    <t>1119063</t>
  </si>
  <si>
    <t>Hohlwandgerätedose 9064-01</t>
  </si>
  <si>
    <t>1119064</t>
  </si>
  <si>
    <t>Jung Wechseltaster 1-poliger Wechsler</t>
  </si>
  <si>
    <t>1119065</t>
  </si>
  <si>
    <t>Jung Rahmen 1-fach alpinweiss, CD 581WW</t>
  </si>
  <si>
    <t>1119066</t>
  </si>
  <si>
    <t>Jung Abdeckung m.Glasscheibe 561GLRT</t>
  </si>
  <si>
    <t>1119067</t>
  </si>
  <si>
    <t>Jung Abdeckung (rote Wippe), mit</t>
  </si>
  <si>
    <t>1119068</t>
  </si>
  <si>
    <t>Berk Abd.Glascheibe Notschalter</t>
  </si>
  <si>
    <t>1119069</t>
  </si>
  <si>
    <t>RT Aluminiumgehäuse  gelb, RAL 1004                   1</t>
  </si>
  <si>
    <t>1119070</t>
  </si>
  <si>
    <t>Jung Abdeckung  1-Fach rot</t>
  </si>
  <si>
    <t>1119071</t>
  </si>
  <si>
    <t>Jung Taster 1-polig Feuchtraum Aufputz,</t>
  </si>
  <si>
    <t>1119072</t>
  </si>
  <si>
    <t>Jung Symbol Stop 31NR</t>
  </si>
  <si>
    <t>1119073</t>
  </si>
  <si>
    <t>Jung Taster ohne Symbol 633W</t>
  </si>
  <si>
    <t>1119074</t>
  </si>
  <si>
    <t>Jung Wippschalter 1-polig Aufputz, weiß</t>
  </si>
  <si>
    <t>1119075</t>
  </si>
  <si>
    <t>Jung Abdeckung für Schalter und Taster</t>
  </si>
  <si>
    <t>1119076</t>
  </si>
  <si>
    <t>Jung Gläser 60 GL</t>
  </si>
  <si>
    <t>1119077</t>
  </si>
  <si>
    <t>Jung Taster Wechsler 1P UP5</t>
  </si>
  <si>
    <t>1119078</t>
  </si>
  <si>
    <t>Jung Taster Schließer 1P UP</t>
  </si>
  <si>
    <t>1119079</t>
  </si>
  <si>
    <t>ElsoTaster rot komplett 112100, mit</t>
  </si>
  <si>
    <t>1119080</t>
  </si>
  <si>
    <t>Gira ABD.M.Glasscheibe 028827</t>
  </si>
  <si>
    <t>1119081</t>
  </si>
  <si>
    <t>Gira Wipptaster 015600</t>
  </si>
  <si>
    <t>1119082</t>
  </si>
  <si>
    <t>Schlüsselschalter Jung, rastend, 106.28               2</t>
  </si>
  <si>
    <t>1119083</t>
  </si>
  <si>
    <t>Schlüsselschalter Jung, tastend, 134.28               2</t>
  </si>
  <si>
    <t>1119084</t>
  </si>
  <si>
    <t>Rahmen für Schlüsselschalter Jung,</t>
  </si>
  <si>
    <t>1119085</t>
  </si>
  <si>
    <t>Abdeckung Jung, weiß, LS 928 W</t>
  </si>
  <si>
    <t>1119086</t>
  </si>
  <si>
    <t>Jung Aufputzkappe einfach, reinweiß</t>
  </si>
  <si>
    <t>1119087</t>
  </si>
  <si>
    <t>Jung Schlüsselschalterabdeckung CD500</t>
  </si>
  <si>
    <t>1119088</t>
  </si>
  <si>
    <t>Jung Abdeckung mit Glasscheibe CD500</t>
  </si>
  <si>
    <t>1119089</t>
  </si>
  <si>
    <t>Profil-Halbzylinder für Jung  Schlüssel-              1</t>
  </si>
  <si>
    <t>1119090</t>
  </si>
  <si>
    <t>Steuerung Duoflap (Arbeitsplan)                      26</t>
  </si>
  <si>
    <t>1119091</t>
  </si>
  <si>
    <t>Steuerung für Duoflap manuelle Öffnung</t>
  </si>
  <si>
    <t>1119092</t>
  </si>
  <si>
    <t>Steuerung für Duoflap motorische Öffnung              3</t>
  </si>
  <si>
    <t>1119093</t>
  </si>
  <si>
    <t>Steuerung für Duoflap motorische Öffnung</t>
  </si>
  <si>
    <t>1119094</t>
  </si>
  <si>
    <t>Lager Artikel (Arbeitsplan)</t>
  </si>
  <si>
    <t>1119095</t>
  </si>
  <si>
    <t>Umbau Protronic Steuerung (Arbeitsplan)</t>
  </si>
  <si>
    <t>1119096</t>
  </si>
  <si>
    <t>Sondersteuerung PVC (Arbeitsplan)</t>
  </si>
  <si>
    <t>1119097</t>
  </si>
  <si>
    <t>Notstrom AE (Arbeitsplan)</t>
  </si>
  <si>
    <t>1119098</t>
  </si>
  <si>
    <t>Notstrom Steuerung Gr 2  (Arbeitsplan)</t>
  </si>
  <si>
    <t>1119099</t>
  </si>
  <si>
    <t>Notstrom Steuerung Gr  1 (Arbeitsplan)</t>
  </si>
  <si>
    <t>1119100</t>
  </si>
  <si>
    <t>Kleinsteuerung AE (Arbeitsplan)</t>
  </si>
  <si>
    <t>1119101</t>
  </si>
  <si>
    <t>VPS-Steuerung Gr 1 (Arbeitsplan)</t>
  </si>
  <si>
    <t>1119102</t>
  </si>
  <si>
    <t>Aufputzkappe für Schlüsselschalter Jung,</t>
  </si>
  <si>
    <t>1119103</t>
  </si>
  <si>
    <t>Verdrahtung Führungsschiene</t>
  </si>
  <si>
    <t>1119104</t>
  </si>
  <si>
    <t>Gira Schlüsselschalter, Herst.Nr. 016330</t>
  </si>
  <si>
    <t>1119105</t>
  </si>
  <si>
    <t>Elsa Einfachrahmen Scala reinweiß</t>
  </si>
  <si>
    <t>1119106</t>
  </si>
  <si>
    <t>GIRA Schlüsselschalter                                7</t>
  </si>
  <si>
    <t>1119107</t>
  </si>
  <si>
    <t>Gerätedose HWD90 für Brandschutzwände</t>
  </si>
  <si>
    <t>1119108</t>
  </si>
  <si>
    <t>Jung Glimm-und Glühlampe 24V</t>
  </si>
  <si>
    <t>1119110</t>
  </si>
  <si>
    <t>RT Aluminiumgehäuse grau, RAL 7035                    2</t>
  </si>
  <si>
    <t>1119111</t>
  </si>
  <si>
    <t>ELSO Fashion 1-fach Rahmen Thermo</t>
  </si>
  <si>
    <t>1119112</t>
  </si>
  <si>
    <t>RT Aluminiumgehäuse blau, RAL 5009                    2</t>
  </si>
  <si>
    <t>1119113</t>
  </si>
  <si>
    <t>Glasscheibe  80/80 für Aluminiumgehäuse</t>
  </si>
  <si>
    <t>1119115</t>
  </si>
  <si>
    <t>Profil-Halbzylinder 2-140                             2</t>
  </si>
  <si>
    <t>1119116</t>
  </si>
  <si>
    <t>Kupplungsstange für Hauptschalter</t>
  </si>
  <si>
    <t>1119199</t>
  </si>
  <si>
    <t>Schlüssel RT, Kunststoff</t>
  </si>
  <si>
    <t>1119201</t>
  </si>
  <si>
    <t>Sonder Schaltschrank (Arbeitsplan)</t>
  </si>
  <si>
    <t>1119202</t>
  </si>
  <si>
    <t>Arbeitsplanartikel Elektro</t>
  </si>
  <si>
    <t>1120021</t>
  </si>
  <si>
    <t>Hilfsschaltblock 3 Schließer/1 Öffner+++</t>
  </si>
  <si>
    <t>1120022</t>
  </si>
  <si>
    <t>Hilfsschalterblock</t>
  </si>
  <si>
    <t>1120023</t>
  </si>
  <si>
    <t>Siemens Hilfsschalterblock 4S</t>
  </si>
  <si>
    <t>1120024</t>
  </si>
  <si>
    <t>Relais-ABB</t>
  </si>
  <si>
    <t>1120025</t>
  </si>
  <si>
    <t>Finder LED Module + Diode 6-24V DC + A2</t>
  </si>
  <si>
    <t>1120026</t>
  </si>
  <si>
    <t>Finder Miniaturrelais 4INV 7A B-24VDC</t>
  </si>
  <si>
    <t>1120027</t>
  </si>
  <si>
    <t>Finder Relaisfassung 4 Wechsler</t>
  </si>
  <si>
    <t>1120028</t>
  </si>
  <si>
    <t>Hilfsschaltblock 1 Schließer/3 Öffner</t>
  </si>
  <si>
    <t>1120029</t>
  </si>
  <si>
    <t>Siemens Hilfsschalter 1S/1Ö</t>
  </si>
  <si>
    <t>1120030</t>
  </si>
  <si>
    <t>1120033</t>
  </si>
  <si>
    <t>Finder Relais 230V/3W 553382300010</t>
  </si>
  <si>
    <t>1120034</t>
  </si>
  <si>
    <t>Finder Steck-/Printrelais 8A, 250V</t>
  </si>
  <si>
    <t>1120035</t>
  </si>
  <si>
    <t>Finder Relaisfassung 2 Wechsler</t>
  </si>
  <si>
    <t>1120036</t>
  </si>
  <si>
    <t>Finder Relaisfassung 3 Wechsler 230 VAC</t>
  </si>
  <si>
    <t>1120037</t>
  </si>
  <si>
    <t>Finder Miniaturrelais 230VAC</t>
  </si>
  <si>
    <t>1120038</t>
  </si>
  <si>
    <t>Finder Miniaturrelais 4 Wechsler 12VDC</t>
  </si>
  <si>
    <t>1120039</t>
  </si>
  <si>
    <t>Finder Print Relais 2W 18VDC</t>
  </si>
  <si>
    <t>1120041</t>
  </si>
  <si>
    <t>Relais 12VDC Finder 4W</t>
  </si>
  <si>
    <t>1120042</t>
  </si>
  <si>
    <t>Relais 24VDC Finder 2W,405290245000 mit</t>
  </si>
  <si>
    <t>1120043</t>
  </si>
  <si>
    <t>Finder Relais,Print/Steckanschluß 2W/8A,</t>
  </si>
  <si>
    <t>1120044</t>
  </si>
  <si>
    <t>Finder Relais, Steckanschluß, 4W/7A</t>
  </si>
  <si>
    <t>1120045</t>
  </si>
  <si>
    <t>Finder Fassung mit Zugfederklemmen</t>
  </si>
  <si>
    <t>1120046</t>
  </si>
  <si>
    <t>1120047</t>
  </si>
  <si>
    <t>Finder Modul-EMV, Freilaufdiode+LED grün</t>
  </si>
  <si>
    <t>1120048</t>
  </si>
  <si>
    <t>Finder Zeitrelais, 1W-16A                             1</t>
  </si>
  <si>
    <t>1120049</t>
  </si>
  <si>
    <t>Finder Thermostat für Schaltschrank</t>
  </si>
  <si>
    <t>1120050</t>
  </si>
  <si>
    <t>Finder Heizung für Schaltschrank                      1</t>
  </si>
  <si>
    <t>1120100</t>
  </si>
  <si>
    <t>Finder zwei Wechseler</t>
  </si>
  <si>
    <t>1120101</t>
  </si>
  <si>
    <t>Finder drei Wechseler</t>
  </si>
  <si>
    <t>1120102</t>
  </si>
  <si>
    <t>Finder vier Wechseler</t>
  </si>
  <si>
    <t>1120103</t>
  </si>
  <si>
    <t>Finder Zeitschaltuhr IB                               4</t>
  </si>
  <si>
    <t>1120300</t>
  </si>
  <si>
    <t>RZ3 ohne Motor Einbau                                10</t>
  </si>
  <si>
    <t>1120301</t>
  </si>
  <si>
    <t>RZ3 mit Motor Einbau                                 13</t>
  </si>
  <si>
    <t>1120302</t>
  </si>
  <si>
    <t>RZ4 ohne Motor Einbau                                19</t>
  </si>
  <si>
    <t>1120303</t>
  </si>
  <si>
    <t>RZ4 mit Motor Einbau                                 18</t>
  </si>
  <si>
    <t>1121008</t>
  </si>
  <si>
    <t>Siemens Hauptschalter 25A/400V/9,5kW                  1</t>
  </si>
  <si>
    <t>1121009</t>
  </si>
  <si>
    <t>Hauptschalter 3-polig                                 2</t>
  </si>
  <si>
    <t>1121010</t>
  </si>
  <si>
    <t>Leistungsschalter 0-1A                                2</t>
  </si>
  <si>
    <t>1121011</t>
  </si>
  <si>
    <t>Siemens Hpt.-/NOT-AUS Schalter 25A/9,5kW              1</t>
  </si>
  <si>
    <t>1121012</t>
  </si>
  <si>
    <t>Siemens Leitungsschutzschalter C, 20A</t>
  </si>
  <si>
    <t>1121013</t>
  </si>
  <si>
    <t>Siemens Not-Aus-Schalter 6-polig                      2</t>
  </si>
  <si>
    <t>1121014</t>
  </si>
  <si>
    <t>Siemens Leuchtdrucktaster, blau, 22mm,                1</t>
  </si>
  <si>
    <t>1121015</t>
  </si>
  <si>
    <t>1121016</t>
  </si>
  <si>
    <t>Siemens Schütz AC-3, 3 KW/400V                        1</t>
  </si>
  <si>
    <t>1121017</t>
  </si>
  <si>
    <t>Gehäuse für Leistungsschalter Sirius 00</t>
  </si>
  <si>
    <t>1121018</t>
  </si>
  <si>
    <t>Siemens Knebelschalter, schwarz</t>
  </si>
  <si>
    <t>1121019</t>
  </si>
  <si>
    <t>Siemens  Schaltelement 1Ö</t>
  </si>
  <si>
    <t>1121020</t>
  </si>
  <si>
    <t>Siemens Leuchtmelder, weiss</t>
  </si>
  <si>
    <t>1121021</t>
  </si>
  <si>
    <t>Siemens Leuchtmelder, grün</t>
  </si>
  <si>
    <t>1121022</t>
  </si>
  <si>
    <t>Siemens CD Leuchtmeldervorsatz gelb</t>
  </si>
  <si>
    <t>1121023</t>
  </si>
  <si>
    <t>Siemens Leuchtmelder, rot</t>
  </si>
  <si>
    <t>1121024</t>
  </si>
  <si>
    <t>Siemens Lampenfassung mit LED AC/DC 24V</t>
  </si>
  <si>
    <t>1121025</t>
  </si>
  <si>
    <t>Siemens Leitungsschutzschalter B50                    8</t>
  </si>
  <si>
    <t>1121026</t>
  </si>
  <si>
    <t>Siemens Hilfsschalter 1S/1Ö                           1</t>
  </si>
  <si>
    <t>1121027</t>
  </si>
  <si>
    <t>Siemens Leuchtdrucktaster                             1</t>
  </si>
  <si>
    <t>1122011</t>
  </si>
  <si>
    <t>Grundkörper für JIT Simulationsspiel</t>
  </si>
  <si>
    <t>1122012</t>
  </si>
  <si>
    <t>BG Schraube für JIT Simulationsspiel</t>
  </si>
  <si>
    <t>1122013</t>
  </si>
  <si>
    <t>Sechskantschr. M8x70 verz. für JIT Simul</t>
  </si>
  <si>
    <t>1122014</t>
  </si>
  <si>
    <t>Sechskantschr. M8x20 verz. für JIT Simul</t>
  </si>
  <si>
    <t>1122015</t>
  </si>
  <si>
    <t>Mutter M8 verz. für JIT Simulationsspiel</t>
  </si>
  <si>
    <t>1122016</t>
  </si>
  <si>
    <t>Scheibe Ø8 verz für JIT Simulationsspiel</t>
  </si>
  <si>
    <t>1122021</t>
  </si>
  <si>
    <t>Baugruppe für JIT Simulationsspiel</t>
  </si>
  <si>
    <t>1123003</t>
  </si>
  <si>
    <t>Zeitrelais Tele 1s-10Std. DTR2E                       1</t>
  </si>
  <si>
    <t>1123004</t>
  </si>
  <si>
    <t>Zeitrelais ABB                                        1</t>
  </si>
  <si>
    <t>1123006</t>
  </si>
  <si>
    <t>Zeitrelais ODM3 X  24V/110-230V                       3</t>
  </si>
  <si>
    <t>1123007</t>
  </si>
  <si>
    <t>Tele Zeitrelais D6DM 24AC/DC 110-240VAC               1</t>
  </si>
  <si>
    <t>1123008</t>
  </si>
  <si>
    <t>Tele Zeitrelais ODQ1 24V AC/DC 110-240V               1</t>
  </si>
  <si>
    <t>1123009</t>
  </si>
  <si>
    <t>Tele Zeitrelais E1ZMQ10 24-240 VAC/DC                 1</t>
  </si>
  <si>
    <t>1123010</t>
  </si>
  <si>
    <t>Tele Netzteil DRA120-24FPA                            4</t>
  </si>
  <si>
    <t>1130001</t>
  </si>
  <si>
    <t>Frequenzumrichter 309/1.9                             8</t>
  </si>
  <si>
    <t>1138029</t>
  </si>
  <si>
    <t>1138030</t>
  </si>
  <si>
    <t>Taster 1 Befehlsstelle,Knebeltaste</t>
  </si>
  <si>
    <t>1139001</t>
  </si>
  <si>
    <t>Lasttrennschalter 32A</t>
  </si>
  <si>
    <t>1139005</t>
  </si>
  <si>
    <t>Lasttrennschalter                                     3</t>
  </si>
  <si>
    <t>1139007</t>
  </si>
  <si>
    <t>Pilz Not-Aus Schaltgerät PNOZ X2.7P                  12</t>
  </si>
  <si>
    <t>1139010</t>
  </si>
  <si>
    <t>Sälzer-Zusatzeinrichtung</t>
  </si>
  <si>
    <t>1139011</t>
  </si>
  <si>
    <t>Siemens Hauptschalter, NOT-AUS, 3-polig               1</t>
  </si>
  <si>
    <t>1139012</t>
  </si>
  <si>
    <t>Siemens Hauptschalter NOT-AUS, 3-polig                1</t>
  </si>
  <si>
    <t>1139013</t>
  </si>
  <si>
    <t>Leitungsschutzschalter C 63 A (48VDC)</t>
  </si>
  <si>
    <t>1139014</t>
  </si>
  <si>
    <t>Leitungsschutzschalter C 20 A (48VDC)</t>
  </si>
  <si>
    <t>1139015</t>
  </si>
  <si>
    <t>Leitungsschutzschalter C 50A, (48VDC)</t>
  </si>
  <si>
    <t>1139016</t>
  </si>
  <si>
    <t>Leitungsschutzschalter C 20A (48VDC)</t>
  </si>
  <si>
    <t>1139100</t>
  </si>
  <si>
    <t>Hauptschalter NOT/AUS, 3-polig                        1</t>
  </si>
  <si>
    <t>1139101</t>
  </si>
  <si>
    <t>Hauptschalter NOT/AUS    32A</t>
  </si>
  <si>
    <t>1139102</t>
  </si>
  <si>
    <t>Siemens Hauptschalter 63A/400V/22kW                   2</t>
  </si>
  <si>
    <t>1139103</t>
  </si>
  <si>
    <t>Hauptschalter NOT/AUS 25A Frontbefestig.              1</t>
  </si>
  <si>
    <t>1139104</t>
  </si>
  <si>
    <t>Siemens Haupt-und Not-Aus-Schalter                    1</t>
  </si>
  <si>
    <t>1139105</t>
  </si>
  <si>
    <t>Siemens Haupt-und Not-Aus-Schalter                    2</t>
  </si>
  <si>
    <t>1139106</t>
  </si>
  <si>
    <t>Siemens Hauptschalter</t>
  </si>
  <si>
    <t>1139107</t>
  </si>
  <si>
    <t>Lötstiftadapter Art.-Nr. 3RT1916-4KA1</t>
  </si>
  <si>
    <t>1139108</t>
  </si>
  <si>
    <t>Siemens Sicherheitsschaltgerät Sirius                12</t>
  </si>
  <si>
    <t>1139109</t>
  </si>
  <si>
    <t>1139110</t>
  </si>
  <si>
    <t>Siemens Leuchtmelder 22mm, rund, gelb</t>
  </si>
  <si>
    <t>1139111</t>
  </si>
  <si>
    <t>Siemens Bezeichnungsschild, silberfarben              3</t>
  </si>
  <si>
    <t>1139112</t>
  </si>
  <si>
    <t>Siemens Überwachungsrelais                            4</t>
  </si>
  <si>
    <t>1139113</t>
  </si>
  <si>
    <t>Siemens Leuchtmelder gelb</t>
  </si>
  <si>
    <t>1139114</t>
  </si>
  <si>
    <t>Siemens Rauchmelder DO1101A-EX                       15</t>
  </si>
  <si>
    <t>1139115</t>
  </si>
  <si>
    <t>Siemens Wärmemelder DT1101A-EX                        7</t>
  </si>
  <si>
    <t>1139116</t>
  </si>
  <si>
    <t>Siemens Meldersockel DB1101A</t>
  </si>
  <si>
    <t>1139117</t>
  </si>
  <si>
    <t>Siemens Sicherheitsbarriere SB3 (HS94L)              19</t>
  </si>
  <si>
    <t>1139150</t>
  </si>
  <si>
    <t>Hauptschalter Kraus&amp;Naim, KG20B                       2</t>
  </si>
  <si>
    <t>1139151</t>
  </si>
  <si>
    <t>Hilfsschalter Kraus&amp;Naim, KOHO10/A11-E</t>
  </si>
  <si>
    <t>1139152</t>
  </si>
  <si>
    <t>Not-Aus-Schaltgerät, Pilz, PNOZ X2P,                 10</t>
  </si>
  <si>
    <t>1139153</t>
  </si>
  <si>
    <t>Leitungsschutzschalter, Eaton, FAZ-C6/1               2</t>
  </si>
  <si>
    <t>1139154</t>
  </si>
  <si>
    <t>LED-Element, Eaton, M22-LED-W</t>
  </si>
  <si>
    <t>1139155</t>
  </si>
  <si>
    <t>Leuchtmeldevorsatz, Eaton, M22-L-Y</t>
  </si>
  <si>
    <t>1139156</t>
  </si>
  <si>
    <t>Leistungsschütz, Eaton, 1Ö 3kW/400V, DC</t>
  </si>
  <si>
    <t>1139157</t>
  </si>
  <si>
    <t>Hilfsschalterblock, Eaton, 4p. DILA-XHIC</t>
  </si>
  <si>
    <t>1139158</t>
  </si>
  <si>
    <t>Dioden-Schutzbesch. f. DILA/M7-15, Eaton</t>
  </si>
  <si>
    <t>1139159</t>
  </si>
  <si>
    <t>Befestigungsadapter Eaton, Frontbef.                 11</t>
  </si>
  <si>
    <t>1139160</t>
  </si>
  <si>
    <t>Siemens IS, Leuchtdrucktaster 3SB3237-                1</t>
  </si>
  <si>
    <t>1139161</t>
  </si>
  <si>
    <t>Siemens Leistungsschalter BGR.S00                     2</t>
  </si>
  <si>
    <t>1139162</t>
  </si>
  <si>
    <t>Siemens Leuchtdrucktaster flach grün                  1</t>
  </si>
  <si>
    <t>1139163</t>
  </si>
  <si>
    <t>Aufbaugehäuse Eaton für 2 Taster, 22mm</t>
  </si>
  <si>
    <t>1139164</t>
  </si>
  <si>
    <t>Drucktaste Eatopn, flach, ohne Schild</t>
  </si>
  <si>
    <t>1139165</t>
  </si>
  <si>
    <t>Tastenplatte Eatopn, flach, sw.</t>
  </si>
  <si>
    <t>1139166</t>
  </si>
  <si>
    <t>Tastenplatte Eaton, flach, sw</t>
  </si>
  <si>
    <t>1139167</t>
  </si>
  <si>
    <t>Kontaktelement Eaton, 1S, Front, M22-K10             26</t>
  </si>
  <si>
    <t>1139168</t>
  </si>
  <si>
    <t>Befestigungsadapter Eaton, Frontbefest.</t>
  </si>
  <si>
    <t>1139169</t>
  </si>
  <si>
    <t>Kontaktelement Eaton,1Ö, Front, M22-K01              27</t>
  </si>
  <si>
    <t>1140001</t>
  </si>
  <si>
    <t>Spannungsüberwachung 24V Schrankeinbau                8</t>
  </si>
  <si>
    <t>1140002</t>
  </si>
  <si>
    <t>Spannungsüberwachung 72V Schrankeinbau                2</t>
  </si>
  <si>
    <t>1140003</t>
  </si>
  <si>
    <t>Spannungswandler Inverter 24VDC-230VAC               22</t>
  </si>
  <si>
    <t>1140005</t>
  </si>
  <si>
    <t>Unterspannungsüberwachungsrelais                      5</t>
  </si>
  <si>
    <t>1140006</t>
  </si>
  <si>
    <t>Siemens Diodenkombination ohne LED</t>
  </si>
  <si>
    <t>1140007</t>
  </si>
  <si>
    <t>1141002</t>
  </si>
  <si>
    <t>Drehstrom-Spartrafo 380/220V 2000VA                  19</t>
  </si>
  <si>
    <t>1141003</t>
  </si>
  <si>
    <t>Drehstromspartrafo 220/230V-400V                      9</t>
  </si>
  <si>
    <t>1141004</t>
  </si>
  <si>
    <t>Drehstrom-Anpass-Spar-Trafo                          16</t>
  </si>
  <si>
    <t>1141016</t>
  </si>
  <si>
    <t>Trafo 230V/12V 10A                                    2</t>
  </si>
  <si>
    <t>1141017</t>
  </si>
  <si>
    <t>Spartrafo 400/230 V, 2000VA                          16</t>
  </si>
  <si>
    <t>1147001</t>
  </si>
  <si>
    <t>Akku-Bleibatterie MP 2,2-12, 12 V 2,2Ah</t>
  </si>
  <si>
    <t>1147002</t>
  </si>
  <si>
    <t>Akku-Bleibatterie MP7,2-12, 12 V 7,2Ah</t>
  </si>
  <si>
    <t>1147003</t>
  </si>
  <si>
    <t>Akku-Bleibatterie 12 V 7.0Ah</t>
  </si>
  <si>
    <t>1147004</t>
  </si>
  <si>
    <t>Akku-Bleibatterie 12 V 2.2Ah++++++++++++</t>
  </si>
  <si>
    <t>1147005</t>
  </si>
  <si>
    <t>Akku-Bleibatterie 12 V, 42 Ah                         5</t>
  </si>
  <si>
    <t>1147011</t>
  </si>
  <si>
    <t>Akku-Bleibatterie 0,8 Ah</t>
  </si>
  <si>
    <t>1147012</t>
  </si>
  <si>
    <t>Akku-Bleibatterie 12 Volt, 18Ah, MP18-12              1</t>
  </si>
  <si>
    <t>1147013</t>
  </si>
  <si>
    <t>Akku-Bleibatterie MP 26-12c                           5</t>
  </si>
  <si>
    <t>1147014</t>
  </si>
  <si>
    <t>Akku-Bleibatterie 12 V 42 AH                          6</t>
  </si>
  <si>
    <t>1155555</t>
  </si>
  <si>
    <t>Schaltpläne beilegen</t>
  </si>
  <si>
    <t>1164001</t>
  </si>
  <si>
    <t>Ladegeräte Type ELC  24-1                             4</t>
  </si>
  <si>
    <t>1164002</t>
  </si>
  <si>
    <t>Ladegeräte 24V 1A                                     5</t>
  </si>
  <si>
    <t>1164003</t>
  </si>
  <si>
    <t>Ladegeräte Type ESC24-3 (AES 24-3A)                  12</t>
  </si>
  <si>
    <t>1164004</t>
  </si>
  <si>
    <t>Ladegeräte Type CG 24-6                              20</t>
  </si>
  <si>
    <t>1164005</t>
  </si>
  <si>
    <t>Ladegeräte Type LNT-24                                4</t>
  </si>
  <si>
    <t>1164006</t>
  </si>
  <si>
    <t>Ausgangsfilter HF022-503                             20</t>
  </si>
  <si>
    <t>1164007</t>
  </si>
  <si>
    <t>Ausgangsfilter HF015-503                             16</t>
  </si>
  <si>
    <t>1164008</t>
  </si>
  <si>
    <t>Ausgangsfilter HF 008-503                            18</t>
  </si>
  <si>
    <t>1164009</t>
  </si>
  <si>
    <t>Ausgangsfilter HF 030-503</t>
  </si>
  <si>
    <t>1164010</t>
  </si>
  <si>
    <t>Hekatron Netzgerät NG 519 24V/0,35A                   6</t>
  </si>
  <si>
    <t>1164011</t>
  </si>
  <si>
    <t>Tele Netzgerät RNG 36-230, 24V 1,5A                   3</t>
  </si>
  <si>
    <t>1164012</t>
  </si>
  <si>
    <t>Netzgerät RNG 240-230                                10</t>
  </si>
  <si>
    <t>1164013</t>
  </si>
  <si>
    <t>Tele Netzgerät RNG 72-230, 24V/3A                     4</t>
  </si>
  <si>
    <t>1164016</t>
  </si>
  <si>
    <t>Netzgerät RNG 120-230, 230VAC, 24V/5A                 5</t>
  </si>
  <si>
    <t>1164021</t>
  </si>
  <si>
    <t>Netzgerät RNG 36-230 24V/1.5A                         3</t>
  </si>
  <si>
    <t>1164022</t>
  </si>
  <si>
    <t>Ladegerät Typ  LNT3-24,                              12</t>
  </si>
  <si>
    <t>1164023</t>
  </si>
  <si>
    <t>Tele Halterung für Netzgerät RNG 36-230V</t>
  </si>
  <si>
    <t>1164024</t>
  </si>
  <si>
    <t>Tele Halterung für Netzgerät RNG 72-230V</t>
  </si>
  <si>
    <t>1164025</t>
  </si>
  <si>
    <t>Tele Not-Aus Relais EK 31X22                          7</t>
  </si>
  <si>
    <t>1164026</t>
  </si>
  <si>
    <t>Tele Netzteil , DRAN 30 - 24 A                        3</t>
  </si>
  <si>
    <t>1164027</t>
  </si>
  <si>
    <t>Tele-Netzteil , DRAN 60 - 24 A                        3</t>
  </si>
  <si>
    <t>1164028</t>
  </si>
  <si>
    <t>Tele Netzgerät , DRAN 120-24A                         5</t>
  </si>
  <si>
    <t>1164050</t>
  </si>
  <si>
    <t>Tele Überwachungsrelais OPL-3X-400VAC                 4</t>
  </si>
  <si>
    <t>1164051</t>
  </si>
  <si>
    <t>Tele Überwachungsrelais E3YF400V02                    5</t>
  </si>
  <si>
    <t>1164052</t>
  </si>
  <si>
    <t>Tele Sicherheitsrelais S2NG021 24 VAC/DC              7</t>
  </si>
  <si>
    <t>1164060</t>
  </si>
  <si>
    <t>Netzgerät PSU25024 24VDC 8A Eingang230               13</t>
  </si>
  <si>
    <t>1164061</t>
  </si>
  <si>
    <t>Sicherheitszuhaltung AZM 161SK-12/12                 13</t>
  </si>
  <si>
    <t>1164062</t>
  </si>
  <si>
    <t>Betätiger für Sicherheitszuhaltung</t>
  </si>
  <si>
    <t>1164063</t>
  </si>
  <si>
    <t>Umrichter Movitrac 1,1kW 3x400V                      29</t>
  </si>
  <si>
    <t>1164064</t>
  </si>
  <si>
    <t>Umrichter MDX61B0015-5A3-4-OT/DEH11B                 97</t>
  </si>
  <si>
    <t>1164065</t>
  </si>
  <si>
    <t>Umrichter SEW                                        93</t>
  </si>
  <si>
    <t>1164066</t>
  </si>
  <si>
    <t>Feldverteiler SEW MQP22D/Z21D                        27</t>
  </si>
  <si>
    <t>1164067</t>
  </si>
  <si>
    <t>Konfektioniertes Kabel                                8</t>
  </si>
  <si>
    <t>1164068</t>
  </si>
  <si>
    <t>Signalkabel  RJ10M-(4XA26)-10F-RJ10M</t>
  </si>
  <si>
    <t>1164069</t>
  </si>
  <si>
    <t>Verschlussschraube M24x1,5</t>
  </si>
  <si>
    <t>1170001</t>
  </si>
  <si>
    <t>Schließzylinder für RZ3/RZ4                           1</t>
  </si>
  <si>
    <t>1170010</t>
  </si>
  <si>
    <t>Einschub A 2 m.verlä.Zwangsschließzeit                7</t>
  </si>
  <si>
    <t>1170011</t>
  </si>
  <si>
    <t>Protronic Einschub A 2                                6</t>
  </si>
  <si>
    <t>1170012</t>
  </si>
  <si>
    <t>Protronic Einschub M1                                10</t>
  </si>
  <si>
    <t>1170013</t>
  </si>
  <si>
    <t>Einschub Z1                                           5</t>
  </si>
  <si>
    <t>1170014</t>
  </si>
  <si>
    <t>Protronic Einschub N1                                13</t>
  </si>
  <si>
    <t>1170015</t>
  </si>
  <si>
    <t>Protronic Einschub N3, deutsch                       17</t>
  </si>
  <si>
    <t>1170016</t>
  </si>
  <si>
    <t>Protronic Einschub ÜN3                                4</t>
  </si>
  <si>
    <t>1170017</t>
  </si>
  <si>
    <t>Einschub A1                                           5</t>
  </si>
  <si>
    <t>1170018</t>
  </si>
  <si>
    <t>Einschub A3                                           7</t>
  </si>
  <si>
    <t>1170019</t>
  </si>
  <si>
    <t>Protronic Einschub N2                                11</t>
  </si>
  <si>
    <t>1170020</t>
  </si>
  <si>
    <t>Einschub RKF                                         17</t>
  </si>
  <si>
    <t>1170021</t>
  </si>
  <si>
    <t>Einschub RKL                                         17</t>
  </si>
  <si>
    <t>1170022</t>
  </si>
  <si>
    <t>Einschub RKL1/6                                      17</t>
  </si>
  <si>
    <t>1170024</t>
  </si>
  <si>
    <t>Protronic Einschub ZA1                                6</t>
  </si>
  <si>
    <t>1170025</t>
  </si>
  <si>
    <t>Protronic Einschub LA1                               15</t>
  </si>
  <si>
    <t>1170026</t>
  </si>
  <si>
    <t>Einschub N3 englisch                                 18</t>
  </si>
  <si>
    <t>1170027</t>
  </si>
  <si>
    <t>Einschub ÜN3 englisch                                 4</t>
  </si>
  <si>
    <t>1170028</t>
  </si>
  <si>
    <t>Einschub Z1 englisch                                  5</t>
  </si>
  <si>
    <t>1170029</t>
  </si>
  <si>
    <t>Einschub A2 englisch                                  6</t>
  </si>
  <si>
    <t>1170036</t>
  </si>
  <si>
    <t>Protronic Diodenmodul D2                              2</t>
  </si>
  <si>
    <t>1170037</t>
  </si>
  <si>
    <t>Akkuüberwachung für N3                                4</t>
  </si>
  <si>
    <t>1170038</t>
  </si>
  <si>
    <t>Ladenetzteil 24V 1A Type: LNT 24                      4</t>
  </si>
  <si>
    <t>1170039</t>
  </si>
  <si>
    <t>Protronic Umrichterplatine NO-WE,  ohne              17</t>
  </si>
  <si>
    <t>1170040</t>
  </si>
  <si>
    <t>Ein-Ausgangs-Erweiterung                             12</t>
  </si>
  <si>
    <t>1170041</t>
  </si>
  <si>
    <t>Frequenzumrichter 2KW ++++++++++++++++++             17</t>
  </si>
  <si>
    <t>1170042</t>
  </si>
  <si>
    <t>Frequenzumrichter Lenze SMD 0,37kW                   15</t>
  </si>
  <si>
    <t>1170043</t>
  </si>
  <si>
    <t>Erweiterung NO-IO                                    12</t>
  </si>
  <si>
    <t>1170044</t>
  </si>
  <si>
    <t>Frequenzumrichter 2,2 kW                             23</t>
  </si>
  <si>
    <t>1170045</t>
  </si>
  <si>
    <t>Sinusfilter SI 1                                     12</t>
  </si>
  <si>
    <t>1170046</t>
  </si>
  <si>
    <t>Protronic Netzfilter für N3+++++++++++++</t>
  </si>
  <si>
    <t>1170047</t>
  </si>
  <si>
    <t>Trust USV Anlage, 1000 VA, PW-4100 T                  4</t>
  </si>
  <si>
    <t>1170048</t>
  </si>
  <si>
    <t>Lenze Frequenzumrichter 2,2 kW, 8200smd              23</t>
  </si>
  <si>
    <t>1170049</t>
  </si>
  <si>
    <t>Frequenzumrichter Lenze 8200 smd, 3 KW               28</t>
  </si>
  <si>
    <t>1170050</t>
  </si>
  <si>
    <t>Frequenzumrichter 5,5 kW                             42</t>
  </si>
  <si>
    <t>1170052</t>
  </si>
  <si>
    <t>Akku-Testgerät                                        2</t>
  </si>
  <si>
    <t>1170055</t>
  </si>
  <si>
    <t>Batterieüberwachnug BATI-24V                          8</t>
  </si>
  <si>
    <t>1170056</t>
  </si>
  <si>
    <t>Widerstand 4,7K</t>
  </si>
  <si>
    <t>1170057</t>
  </si>
  <si>
    <t>Widerstand 1,2 K Ohm</t>
  </si>
  <si>
    <t>1170060</t>
  </si>
  <si>
    <t>Diodenmodul D3-3                                      2</t>
  </si>
  <si>
    <t>1170061</t>
  </si>
  <si>
    <t>Diode 1N 4007</t>
  </si>
  <si>
    <t>1170062</t>
  </si>
  <si>
    <t>Widerstand 22R 50W</t>
  </si>
  <si>
    <t>1170063</t>
  </si>
  <si>
    <t>Widerstand 68R 50W</t>
  </si>
  <si>
    <t>1170064</t>
  </si>
  <si>
    <t>Widerstand 27R</t>
  </si>
  <si>
    <t>1170065</t>
  </si>
  <si>
    <t>Widerstandsauswerter                                  9</t>
  </si>
  <si>
    <t>1170066</t>
  </si>
  <si>
    <t>Frequenzumrichter 2KW Protronic                      10</t>
  </si>
  <si>
    <t>1170067</t>
  </si>
  <si>
    <t>Protronic Auswerteplatine MC-Z.0</t>
  </si>
  <si>
    <t>1170068</t>
  </si>
  <si>
    <t>Widerstände 0,25W</t>
  </si>
  <si>
    <t>1170069</t>
  </si>
  <si>
    <t>Widerstand 8,2 K  PR25</t>
  </si>
  <si>
    <t>1170070</t>
  </si>
  <si>
    <t>Protronic Relaisplatine MC-REL 2/2 ohne               2</t>
  </si>
  <si>
    <t>1170071</t>
  </si>
  <si>
    <t>Protronic Relaisplatine MC-REL 2/4 ohne               2</t>
  </si>
  <si>
    <t>1170072</t>
  </si>
  <si>
    <t>Grundplatine GP1                                      8</t>
  </si>
  <si>
    <t>1170073</t>
  </si>
  <si>
    <t>MC-REL 3/4-Platine                                    1</t>
  </si>
  <si>
    <t>1170074</t>
  </si>
  <si>
    <t>Platine HTX für Druckknopfmelder Apollo</t>
  </si>
  <si>
    <t>1170075</t>
  </si>
  <si>
    <t>Bonfiglioli Frequenzumrichter,  0,75 kW              12</t>
  </si>
  <si>
    <t>1170076</t>
  </si>
  <si>
    <t>Bonfiglioli Frequenzumrichter 1,5 kW                 16</t>
  </si>
  <si>
    <t>1170077</t>
  </si>
  <si>
    <t>Bonfiglioli Frequenzumrichter 2,5 kW                 20</t>
  </si>
  <si>
    <t>1170078</t>
  </si>
  <si>
    <t>Bonfiglioli Frequenzumrichter 2,2 kW                 21</t>
  </si>
  <si>
    <t>1170079</t>
  </si>
  <si>
    <t>Fraron Inverter SPW3000P24VCH, mit                   36</t>
  </si>
  <si>
    <t>1170080</t>
  </si>
  <si>
    <t>Fraron Inverter SPW1700P24VCH                        20</t>
  </si>
  <si>
    <t>1170081</t>
  </si>
  <si>
    <t>Fraron Batteriehauptschalter 275A                     2</t>
  </si>
  <si>
    <t>1170082</t>
  </si>
  <si>
    <t>Fraron Inverter SPW1000P24VCH                        14</t>
  </si>
  <si>
    <t>1170083</t>
  </si>
  <si>
    <t>Fraron Inverter 5000VA, SPW5000/230                  59</t>
  </si>
  <si>
    <t>1170084</t>
  </si>
  <si>
    <t>Fraron Netzumschaltung 12A für Spannungs              3</t>
  </si>
  <si>
    <t>1170085</t>
  </si>
  <si>
    <t>Fraron Spannungswandler 1200W 24V                    29</t>
  </si>
  <si>
    <t>1170086</t>
  </si>
  <si>
    <t>Micro-S 1000</t>
  </si>
  <si>
    <t>1170087</t>
  </si>
  <si>
    <t>Micro-S 1000 Wandhalter</t>
  </si>
  <si>
    <t>1170088</t>
  </si>
  <si>
    <t>Fraron Wechselrichter SWI350W, 24V                   10</t>
  </si>
  <si>
    <t>1170089</t>
  </si>
  <si>
    <t>EMTRON Inverter TS 1500-224B</t>
  </si>
  <si>
    <t>1170090</t>
  </si>
  <si>
    <t>USV AdPoS, Maxi-J F H10 A7, 10kVA                  4.29</t>
  </si>
  <si>
    <t>1170091</t>
  </si>
  <si>
    <t>USV AdPoS Maxi-J F H10 A7+A7</t>
  </si>
  <si>
    <t>1170092</t>
  </si>
  <si>
    <t>USV AdPoS Maxi-J F H15 A7</t>
  </si>
  <si>
    <t>1170093</t>
  </si>
  <si>
    <t>USV AdPoS Maxi-J F H15 A7+A7</t>
  </si>
  <si>
    <t>1170094</t>
  </si>
  <si>
    <t>USV AdPoS Maxi-J F H20 A7+A7                       5.55</t>
  </si>
  <si>
    <t>1170095</t>
  </si>
  <si>
    <t>USV Modul für Schrankeinbau</t>
  </si>
  <si>
    <t>1170096</t>
  </si>
  <si>
    <t>USV Modul für Schrankeinbau AdPoS</t>
  </si>
  <si>
    <t>1170097</t>
  </si>
  <si>
    <t>USV Modul für Schrankeinbau AdPoS                  4.53</t>
  </si>
  <si>
    <t>1170098</t>
  </si>
  <si>
    <t>Inverter TS-1000-224 B, reiner Sinus                 19</t>
  </si>
  <si>
    <t>1170099</t>
  </si>
  <si>
    <t>USV 24VDC Akku TEC 2410-0                            30</t>
  </si>
  <si>
    <t>1170100</t>
  </si>
  <si>
    <t>USV AdPoS Micro-S 2200 L-Pro DC 48V                  67</t>
  </si>
  <si>
    <t>1170101</t>
  </si>
  <si>
    <t>USV Akku TEC 24VDC, Batteriegepufferte               41</t>
  </si>
  <si>
    <t>1170110</t>
  </si>
  <si>
    <t>Steuerschrank BST 1                                1.75</t>
  </si>
  <si>
    <t>1171000</t>
  </si>
  <si>
    <t>Temperatursensor für Akku TEC 2410-2440               3</t>
  </si>
  <si>
    <t>1171001</t>
  </si>
  <si>
    <t>Bonfiglioli Frequenzumrichter 1,5 kW                 31</t>
  </si>
  <si>
    <t>1171002</t>
  </si>
  <si>
    <t>Bonfiglioli Frequenzumrichter 0,75 kW</t>
  </si>
  <si>
    <t>1171003</t>
  </si>
  <si>
    <t>Bonfiglioli Frequenzumrichter 2,2 kW</t>
  </si>
  <si>
    <t>1171004</t>
  </si>
  <si>
    <t>Bonfiglioli Frequenzumrichter 3kW</t>
  </si>
  <si>
    <t>1171005</t>
  </si>
  <si>
    <t>Bonfiglioli Frequenzumrichter 4kW</t>
  </si>
  <si>
    <t>1171006</t>
  </si>
  <si>
    <t>USV AdPoS Mini-J E 3000                              78</t>
  </si>
  <si>
    <t>1171007</t>
  </si>
  <si>
    <t>USV AdPoS Micro 1500 pro                             11</t>
  </si>
  <si>
    <t>1171008</t>
  </si>
  <si>
    <t>USV AdPoS, Mini 1000-J E, 1000VA/800W                32</t>
  </si>
  <si>
    <t>1171009</t>
  </si>
  <si>
    <t>AdPos Relay Board, Universal Typ für                  5</t>
  </si>
  <si>
    <t>1171010</t>
  </si>
  <si>
    <t>Frequenzumrichter Synpuls SPL400 11 F</t>
  </si>
  <si>
    <t>1171011</t>
  </si>
  <si>
    <t>Fraron Hochlastsicherungshalter bis 200A</t>
  </si>
  <si>
    <t>1171012</t>
  </si>
  <si>
    <t>Fraron Hochlastsicherung 80A Typ ANL</t>
  </si>
  <si>
    <t>1171013</t>
  </si>
  <si>
    <t>Fraron Hochlastsicherung 100A Typ ANL</t>
  </si>
  <si>
    <t>1171014</t>
  </si>
  <si>
    <t>Fraron Hochlastsicherung 150A Typ ANL</t>
  </si>
  <si>
    <t>1171015</t>
  </si>
  <si>
    <t>Fraron Wechselrichter, 1800W                         37</t>
  </si>
  <si>
    <t>1171016</t>
  </si>
  <si>
    <t>Bremsgleichrichter BST0.6S-460V-00                   18</t>
  </si>
  <si>
    <t>1171017</t>
  </si>
  <si>
    <t>Bremsgleichrichter BMK 1.5                           15</t>
  </si>
  <si>
    <t>1171018</t>
  </si>
  <si>
    <t>USV Akku TEC 24VDC, Art.-Nr. 2440-0</t>
  </si>
  <si>
    <t>1171020</t>
  </si>
  <si>
    <t>USV AdPoS , Midi J F H 10 kVA,</t>
  </si>
  <si>
    <t>1171021</t>
  </si>
  <si>
    <t>USV AdPoS, Mini 2000-J E, 2000VA                   1.28</t>
  </si>
  <si>
    <t>1171022</t>
  </si>
  <si>
    <t>USV AdPoS Mini 1000-J RT PRO II                      39</t>
  </si>
  <si>
    <t>1171023</t>
  </si>
  <si>
    <t>USV AdPoS Maxi-J F H30 A7+A7</t>
  </si>
  <si>
    <t>1171024</t>
  </si>
  <si>
    <t>USV Trust, Typ OXXTRON 1000 VA UPS                    4</t>
  </si>
  <si>
    <t>1171025</t>
  </si>
  <si>
    <t>USV AdPoS Mini-J 2000 E, 2000VA, 1600W               57</t>
  </si>
  <si>
    <t>1171090</t>
  </si>
  <si>
    <t>Fraron Spannungswandler SPW2500P24V                  30</t>
  </si>
  <si>
    <t>1171091</t>
  </si>
  <si>
    <t>Fraron Wechselrichter 24V/230V 650 W                 16</t>
  </si>
  <si>
    <t>1180001</t>
  </si>
  <si>
    <t>Stromversorgungsgrät für Rauchschalter                8</t>
  </si>
  <si>
    <t>1180002</t>
  </si>
  <si>
    <t>Netzteil 230V/12V-MA DC                               3</t>
  </si>
  <si>
    <t>1195001</t>
  </si>
  <si>
    <t>Klemme WDU 6 Bestellnummer: 10202.0</t>
  </si>
  <si>
    <t>1195002</t>
  </si>
  <si>
    <t>Klemme WDU 6 Bestellnummer: 10202.8</t>
  </si>
  <si>
    <t>1195003</t>
  </si>
  <si>
    <t>Klemme WPE 6 Bestellnummer: 10102.0</t>
  </si>
  <si>
    <t>1195005</t>
  </si>
  <si>
    <t>Sicherungstrennklemme</t>
  </si>
  <si>
    <t>1195006</t>
  </si>
  <si>
    <t>Trennklemme 2.5q/mm</t>
  </si>
  <si>
    <t>1195007</t>
  </si>
  <si>
    <t>Klemme WDU 4 Bestellnummer: 10201.0</t>
  </si>
  <si>
    <t>1195008</t>
  </si>
  <si>
    <t>Klemme WPE 4 Bestellnummer: 10101.0</t>
  </si>
  <si>
    <t>1195012</t>
  </si>
  <si>
    <t>Klemmbrücke WQV 10/4 Bestellnummer: 1055</t>
  </si>
  <si>
    <t>1195013</t>
  </si>
  <si>
    <t>Klemmbrücke WQV 6/10 Bestellnummer:</t>
  </si>
  <si>
    <t>1195015</t>
  </si>
  <si>
    <t>Klemme WDU 35  Bestellnummer:</t>
  </si>
  <si>
    <t>1195017</t>
  </si>
  <si>
    <t>Klemmbrücke WQV 35/3 Bestellnummer:</t>
  </si>
  <si>
    <t>1195020</t>
  </si>
  <si>
    <t>Beschr.-Zahlen blanko-Selbstbeschr.</t>
  </si>
  <si>
    <t>1195021</t>
  </si>
  <si>
    <t>Querbrücke WQV 16 N/4</t>
  </si>
  <si>
    <t>1195022</t>
  </si>
  <si>
    <t>Klemme WTR 2,5D</t>
  </si>
  <si>
    <t>1195023</t>
  </si>
  <si>
    <t>Klemme WDU 16</t>
  </si>
  <si>
    <t>1195024</t>
  </si>
  <si>
    <t>Querverbindung WQV 16/4</t>
  </si>
  <si>
    <t>1195026</t>
  </si>
  <si>
    <t>Beschr.-Zahlen 11-20</t>
  </si>
  <si>
    <t>1195027</t>
  </si>
  <si>
    <t>Beschr.-Zahlen 1-10</t>
  </si>
  <si>
    <t>1195028</t>
  </si>
  <si>
    <t>Klemme ZDU 2,5/3AN</t>
  </si>
  <si>
    <t>1195029</t>
  </si>
  <si>
    <t>Klemme ZDU 4</t>
  </si>
  <si>
    <t>1195030</t>
  </si>
  <si>
    <t>Klemme ZPE 2,5</t>
  </si>
  <si>
    <t>1195050</t>
  </si>
  <si>
    <t>Klemme WDU 10 Bestellnummer: 10203.8</t>
  </si>
  <si>
    <t>1195070</t>
  </si>
  <si>
    <t>Klemme WDU 6 Bestellnummer:</t>
  </si>
  <si>
    <t>1195083</t>
  </si>
  <si>
    <t>Klemme 8 WA1 232</t>
  </si>
  <si>
    <t>1195084</t>
  </si>
  <si>
    <t>Merten Wipptaster lichtgrau,</t>
  </si>
  <si>
    <t>1195085</t>
  </si>
  <si>
    <t>Merten Leuchtanhänger für Aquastar</t>
  </si>
  <si>
    <t>1199999</t>
  </si>
  <si>
    <t>Sammelartikel Steuerungseinzelteile</t>
  </si>
  <si>
    <t>1210001</t>
  </si>
  <si>
    <t>RSZ 1                                                32</t>
  </si>
  <si>
    <t>1210002</t>
  </si>
  <si>
    <t>Siemens Auslösevorrichtung FSA 21</t>
  </si>
  <si>
    <t>1210003</t>
  </si>
  <si>
    <t>Siemens Kleinstg. Bez.:S24211-A240-A16               27</t>
  </si>
  <si>
    <t>1210004</t>
  </si>
  <si>
    <t>Siemens Auslösevorrichtung FSA 20</t>
  </si>
  <si>
    <t>1210005</t>
  </si>
  <si>
    <t>Siemens Leistungsschutzschalter 1.4-2.0A</t>
  </si>
  <si>
    <t>1210006</t>
  </si>
  <si>
    <t>Siemens Multifunktionszeitrelais                      4</t>
  </si>
  <si>
    <t>1210007</t>
  </si>
  <si>
    <t>Siemens Steckrelais Komplettgerät DV24V</t>
  </si>
  <si>
    <t>1210008</t>
  </si>
  <si>
    <t>Siemens Not-Halt-Taster                               1</t>
  </si>
  <si>
    <t>1210009</t>
  </si>
  <si>
    <t>Siemens Sentron Zylindersicherung                     1</t>
  </si>
  <si>
    <t>1210010</t>
  </si>
  <si>
    <t>Siemens Sentron Sicherung 10x38, 12A</t>
  </si>
  <si>
    <t>1210011</t>
  </si>
  <si>
    <t>Siemens Hauptschalter 6-Polig, IU=25</t>
  </si>
  <si>
    <t>1210012</t>
  </si>
  <si>
    <t>Siemens Hilfsschalter IS</t>
  </si>
  <si>
    <t>1210013</t>
  </si>
  <si>
    <t>Siemens Sentron Sicherung 10x38, 6A</t>
  </si>
  <si>
    <t>1210014</t>
  </si>
  <si>
    <t>Diazed Sicherung 16A, 500V, 5SB261</t>
  </si>
  <si>
    <t>1210015</t>
  </si>
  <si>
    <t>Diazed Sicherung 20A, 500V, 5SB271</t>
  </si>
  <si>
    <t>1210016</t>
  </si>
  <si>
    <t>Siemens Wartungsschalter schwarz, 6-pol.              3</t>
  </si>
  <si>
    <t>1210017</t>
  </si>
  <si>
    <t>Siemens Hauptschalter 16A, 1s1ö                       1</t>
  </si>
  <si>
    <t>1210018</t>
  </si>
  <si>
    <t>Siemens Motorstarter 3RM1 Sirius                      9</t>
  </si>
  <si>
    <t>1210019</t>
  </si>
  <si>
    <t>1210020</t>
  </si>
  <si>
    <t>Siemens Leitungsschutzschalter, 1pol.</t>
  </si>
  <si>
    <t>1210021</t>
  </si>
  <si>
    <t>Siemens Leitungsschutzschalter 1pol.</t>
  </si>
  <si>
    <t>1210022</t>
  </si>
  <si>
    <t>Siemens Steckrelais Komplettgerät</t>
  </si>
  <si>
    <t>1210023</t>
  </si>
  <si>
    <t>Siemens Zeitrelais                                    2</t>
  </si>
  <si>
    <t>1210024</t>
  </si>
  <si>
    <t>Siemens Leitungsschutzschalter 2-pol.C4A              2</t>
  </si>
  <si>
    <t>1210025</t>
  </si>
  <si>
    <t>Siemens IS Leitungsschutzschalter                     4</t>
  </si>
  <si>
    <t>1210026</t>
  </si>
  <si>
    <t>Siemens Not-Halt-Pildrucktaster                       1</t>
  </si>
  <si>
    <t>1210027</t>
  </si>
  <si>
    <t>Siemens Bezeichnungsschild "Stop"</t>
  </si>
  <si>
    <t>1210028</t>
  </si>
  <si>
    <t>Siemens Bezeichnungsschild "Störung"</t>
  </si>
  <si>
    <t>1210029</t>
  </si>
  <si>
    <t>Siemens Bezeichnungsschild "Betrieb"</t>
  </si>
  <si>
    <t>1220001</t>
  </si>
  <si>
    <t>Hupe für Steuerung RZ3</t>
  </si>
  <si>
    <t>1270001</t>
  </si>
  <si>
    <t>Protronic Folientastatur RZ3 mit Motor                3</t>
  </si>
  <si>
    <t>1270002</t>
  </si>
  <si>
    <t>Frontfolientastatur , deutsch RZ54-24V                2</t>
  </si>
  <si>
    <t>1270003</t>
  </si>
  <si>
    <t>Protronic Folientastatur RZ3 für Schrank              3</t>
  </si>
  <si>
    <t>1270004</t>
  </si>
  <si>
    <t>Protronic Folientastatur RZ4 /OC                      3</t>
  </si>
  <si>
    <t>1270005</t>
  </si>
  <si>
    <t>Protronic Folientastatur RZ3 /RSA                     3</t>
  </si>
  <si>
    <t>1270006</t>
  </si>
  <si>
    <t>Netzteil-Einbau</t>
  </si>
  <si>
    <t>1270007</t>
  </si>
  <si>
    <t>KL-Einbau</t>
  </si>
  <si>
    <t>1270008</t>
  </si>
  <si>
    <t>M-0C</t>
  </si>
  <si>
    <t>1270009</t>
  </si>
  <si>
    <t>Grundplatine  RZ54-24                                18</t>
  </si>
  <si>
    <t>1270010</t>
  </si>
  <si>
    <t>MC-MABM+++++++++++++++++++++++++++++++++</t>
  </si>
  <si>
    <t>1270011</t>
  </si>
  <si>
    <t>Protronic Einbau RZ54-230V                           19</t>
  </si>
  <si>
    <t>1270012</t>
  </si>
  <si>
    <t>Protronic Steuerung RZ54/24 mit Relais               40</t>
  </si>
  <si>
    <t>1270013</t>
  </si>
  <si>
    <t>Frontdeckel f. RZ54-230V                              5</t>
  </si>
  <si>
    <t>1270016</t>
  </si>
  <si>
    <t>Platine für Handtaster D+H</t>
  </si>
  <si>
    <t>1270017</t>
  </si>
  <si>
    <t>RZ3-1,5, int, CC7000                                 42</t>
  </si>
  <si>
    <t>1270018</t>
  </si>
  <si>
    <t>Protronic Steuerung RZ 54/230,schwedisch             40</t>
  </si>
  <si>
    <t>1270019</t>
  </si>
  <si>
    <t>Protronic Steuerung RZ54, portugisisch               40</t>
  </si>
  <si>
    <t>1270020</t>
  </si>
  <si>
    <t>Protronic Steuerung RZ2 komplett                     35</t>
  </si>
  <si>
    <t>1270021</t>
  </si>
  <si>
    <t>Protronic Steuerung RZ 3  mit  MC-M.01               47</t>
  </si>
  <si>
    <t>1270022</t>
  </si>
  <si>
    <t>Protronic Steuerung RZ-3 OC mit MC-M.01              54</t>
  </si>
  <si>
    <t>1270023</t>
  </si>
  <si>
    <t>RZ3-M+MC-MABM (OC)+m.SL, int, Einbau                 43</t>
  </si>
  <si>
    <t>1270024</t>
  </si>
  <si>
    <t>RZ3-0,7, int, CC7000                                 37</t>
  </si>
  <si>
    <t>1270025</t>
  </si>
  <si>
    <t>Protronic  RZ 3 mit  Motor für RSA                   30</t>
  </si>
  <si>
    <t>1270026</t>
  </si>
  <si>
    <t>Protronic Steuerung RZ3-115V, ohne Motor             42</t>
  </si>
  <si>
    <t>1270027</t>
  </si>
  <si>
    <t>RZ3-M+MC-MABM+MC-EABM, int, Einbau,                  30</t>
  </si>
  <si>
    <t>1270028</t>
  </si>
  <si>
    <t>RZ3-M-1,5+MC-MABM+MC-EABM (OC)+ o.SL,                47</t>
  </si>
  <si>
    <t>1270029</t>
  </si>
  <si>
    <t>Protronic Steuerung RZ 3 , OC,</t>
  </si>
  <si>
    <t>1270030</t>
  </si>
  <si>
    <t>Protronic Steuerung RZ 3 mit MC-EABM                 41</t>
  </si>
  <si>
    <t>1270031</t>
  </si>
  <si>
    <t>RZ3-M-0,7+MC-MABM+MC-EABM, int, CC7000               40</t>
  </si>
  <si>
    <t>1270032</t>
  </si>
  <si>
    <t>Protronic Steuerung RZ3 "Omnicompact"                48</t>
  </si>
  <si>
    <t>1270033</t>
  </si>
  <si>
    <t>Klarsichtdeckel für RZ 3, FD7000G                    1</t>
  </si>
  <si>
    <t>1270034</t>
  </si>
  <si>
    <t>RZ3, int, Einbau, Folie lose + 3,5m                  28</t>
  </si>
  <si>
    <t>1270035</t>
  </si>
  <si>
    <t>RZ3-M-0,7+MC-MABM+MC-EABM+BS, int,CC7000             49</t>
  </si>
  <si>
    <t>1270036</t>
  </si>
  <si>
    <t>Protronic Steuerung RZ3 komplett                     43</t>
  </si>
  <si>
    <t>1270037</t>
  </si>
  <si>
    <t>RZ3-1,5+MC-EABM, int, CC7000                         41</t>
  </si>
  <si>
    <t>1270038</t>
  </si>
  <si>
    <t>RZ4-M+MC-MABM (OC)+m.SL, int, Einbau                 44</t>
  </si>
  <si>
    <t>1270039</t>
  </si>
  <si>
    <t>Protronic Steuerung RSA komplett                     31</t>
  </si>
  <si>
    <t>1270040</t>
  </si>
  <si>
    <t>RZ4-M+MC-MABM, int, CC6000                           29</t>
  </si>
  <si>
    <t>1270041</t>
  </si>
  <si>
    <t>RZ4, int, CC6000                                     16</t>
  </si>
  <si>
    <t>1270042</t>
  </si>
  <si>
    <t>Protronic Steuerung RZ 4 mit MC-EABM und             30</t>
  </si>
  <si>
    <t>1270043</t>
  </si>
  <si>
    <t>Protronic Steuerung RZ 3, ohne Motor,                42</t>
  </si>
  <si>
    <t>1270044</t>
  </si>
  <si>
    <t>Protronic Steuerung RZ 54 , 24 Volt ,                31</t>
  </si>
  <si>
    <t>1270045</t>
  </si>
  <si>
    <t>Protronic Steuerung RZ 54/24 norwegisch              40</t>
  </si>
  <si>
    <t>1270046</t>
  </si>
  <si>
    <t>RZ4-M+MC-MABM, int, Einbau, Folie lose +             17</t>
  </si>
  <si>
    <t>1270047</t>
  </si>
  <si>
    <t>RZ4, int, Einbau, Folie lose +3,5m Band-             15</t>
  </si>
  <si>
    <t>1270048</t>
  </si>
  <si>
    <t>Protronic Steuerung RZ 3,  spanisch                  44</t>
  </si>
  <si>
    <t>1270049</t>
  </si>
  <si>
    <t>Protronic Steuerung Gravigen  RZ51-GR1.1</t>
  </si>
  <si>
    <t>1270050</t>
  </si>
  <si>
    <t>Protronic Steuerung RZ51/24V, deutsch                23</t>
  </si>
  <si>
    <t>1270051</t>
  </si>
  <si>
    <t>Protronic Steuerung RZ5-Gravigen,                     6</t>
  </si>
  <si>
    <t>1270052</t>
  </si>
  <si>
    <t>Protronic Steuerung RZ5 -Einbau, 24 V                11</t>
  </si>
  <si>
    <t>1270053</t>
  </si>
  <si>
    <t>Protronic Steuerung RZ5 komplett,                    24</t>
  </si>
  <si>
    <t>1270054</t>
  </si>
  <si>
    <t>Protronic Steuerung RZ5 komplett, 230 V,             38</t>
  </si>
  <si>
    <t>1270055</t>
  </si>
  <si>
    <t>Protronic Steuerung RZ51/24V                         24</t>
  </si>
  <si>
    <t>1270056</t>
  </si>
  <si>
    <t>Protronic Steuerung RZ5-Gravigen                      5</t>
  </si>
  <si>
    <t>1270057</t>
  </si>
  <si>
    <t>Gravigen m.Relaisplatine  80-120                      6</t>
  </si>
  <si>
    <t>1270058</t>
  </si>
  <si>
    <t>Gravigen m.Relaisplatine 40-60                        6</t>
  </si>
  <si>
    <t>1270059</t>
  </si>
  <si>
    <t>Protronic Steuerung RZ 51/24, englisch               34</t>
  </si>
  <si>
    <t>1270060</t>
  </si>
  <si>
    <t>Protronic Steuerung RZ3 Combi-Card</t>
  </si>
  <si>
    <t>1270061</t>
  </si>
  <si>
    <t>1270062</t>
  </si>
  <si>
    <t>Protronic Steuerung RZ3F Combi-Card</t>
  </si>
  <si>
    <t>1270063</t>
  </si>
  <si>
    <t>Protronic Steuerung RZ 54/24, russisch               40</t>
  </si>
  <si>
    <t>1270064</t>
  </si>
  <si>
    <t>Protronic Steuerung RZ 54/230, englisch              40</t>
  </si>
  <si>
    <t>1270065</t>
  </si>
  <si>
    <t>Gravigenkasten G 40 - 120                            23</t>
  </si>
  <si>
    <t>1270066</t>
  </si>
  <si>
    <t>Gravigenkasten OC                                    23</t>
  </si>
  <si>
    <t>1270067</t>
  </si>
  <si>
    <t>Protronic Steuerung RZ 3, schwedisch,                45</t>
  </si>
  <si>
    <t>1270068</t>
  </si>
  <si>
    <t>Protronic Steuerung RZ 54/24 ,                       40</t>
  </si>
  <si>
    <t>1270069</t>
  </si>
  <si>
    <t>Steuerung RZ 54/24V, int. CC7000                     37</t>
  </si>
  <si>
    <t>1270070</t>
  </si>
  <si>
    <t>Protronic Steuerung RZ54 24V mit Folie               30</t>
  </si>
  <si>
    <t>1270071</t>
  </si>
  <si>
    <t>Protronic Steuerung RZ 54/24, deutsch                37</t>
  </si>
  <si>
    <t>1270072</t>
  </si>
  <si>
    <t>Protronic Steuerung RZ 3, russisch                   44</t>
  </si>
  <si>
    <t>1270073</t>
  </si>
  <si>
    <t>RZ3-M-1,5+MC-MABM+MC-EABM (OC-Heinemann)             54</t>
  </si>
  <si>
    <t>1270074</t>
  </si>
  <si>
    <t>Protronic Steuerung RZ54 24V -Einbau                 25</t>
  </si>
  <si>
    <t>1270075</t>
  </si>
  <si>
    <t>Protronic MC-Z und Folie, Erweiterung                 5</t>
  </si>
  <si>
    <t>1270076</t>
  </si>
  <si>
    <t>RZ54/24V, CC7000, schwedische Folie,                 27</t>
  </si>
  <si>
    <t>1270077</t>
  </si>
  <si>
    <t>Protronic Steuerung RZ3 f.RSA z. Einbau,             29</t>
  </si>
  <si>
    <t>1270078</t>
  </si>
  <si>
    <t>RZ54/,230V , de, CC6000                             33</t>
  </si>
  <si>
    <t>1270079</t>
  </si>
  <si>
    <t>Protronic Steuerung RZ51 - 24V,                      24</t>
  </si>
  <si>
    <t>1270080</t>
  </si>
  <si>
    <t>Protronic Steuerung RZ54/230V, deutsch               39</t>
  </si>
  <si>
    <t>1270081</t>
  </si>
  <si>
    <t>Protronic Steuerung RZ54/230V, deutsch               31</t>
  </si>
  <si>
    <t>1270082</t>
  </si>
  <si>
    <t>RZ54/24 V , eng, CC6000                              35</t>
  </si>
  <si>
    <t>1270083</t>
  </si>
  <si>
    <t>RZ54/24V, int, CC7000,  Einschieber                  39</t>
  </si>
  <si>
    <t>1270084</t>
  </si>
  <si>
    <t>RZ54/24V, nld, CC6000 (GNS-Aufkleber)                39</t>
  </si>
  <si>
    <t>1270085</t>
  </si>
  <si>
    <t>RZ54/24V , int, CC7000, Einschieber                  39</t>
  </si>
  <si>
    <t>1270086</t>
  </si>
  <si>
    <t>Protronic Platine LWS                                23</t>
  </si>
  <si>
    <t>1270087</t>
  </si>
  <si>
    <t>RZ54/24V, int. CC6000                                40</t>
  </si>
  <si>
    <t>1270088</t>
  </si>
  <si>
    <t>RZ54/24V, int. CC6000, mit russischem                39</t>
  </si>
  <si>
    <t>1270089</t>
  </si>
  <si>
    <t>Protronic Handbedienung für AM-E                     11</t>
  </si>
  <si>
    <t>1270090</t>
  </si>
  <si>
    <t>AM-S, de eng fr, TG ABS 2015-9-0                      4</t>
  </si>
  <si>
    <t>1270091</t>
  </si>
  <si>
    <t>AM-S-EV, de eng fr, TG ABS 2015-9-0                   6</t>
  </si>
  <si>
    <t>1270092</t>
  </si>
  <si>
    <t>AM-E, de eng fr, TG ABS 2015-9-0                     13</t>
  </si>
  <si>
    <t>1270093</t>
  </si>
  <si>
    <t>AM-E-EV, de eng fr, TG ABS 2015-9-0                  14</t>
  </si>
  <si>
    <t>1270094</t>
  </si>
  <si>
    <t>AM-EK-Platine                                        13</t>
  </si>
  <si>
    <t>1270095</t>
  </si>
  <si>
    <t>AM-EK-EV, de eng fr, ET223                           17</t>
  </si>
  <si>
    <t>1270096</t>
  </si>
  <si>
    <t>Protronic Anzeigemodul AM - E , einbau                9</t>
  </si>
  <si>
    <t>1270097</t>
  </si>
  <si>
    <t>ANZ-AME-A (Aufputz) + 1,5m Kabel, eng.               12</t>
  </si>
  <si>
    <t>1270099</t>
  </si>
  <si>
    <t>ANZ-AME-A (Aufputz) + 1,5m Kabel, de                 11</t>
  </si>
  <si>
    <t>1270100</t>
  </si>
  <si>
    <t>Protronic Steuerung RZ54-1/24V                       34</t>
  </si>
  <si>
    <t>1270101</t>
  </si>
  <si>
    <t>MABM-K4-Platine ohne C                                6</t>
  </si>
  <si>
    <t>1270102</t>
  </si>
  <si>
    <t>Protronic Außenscharniere f.Kunststoff</t>
  </si>
  <si>
    <t>1270103</t>
  </si>
  <si>
    <t>Protronic Steuerung RZ 7 - NT 24/4                   34</t>
  </si>
  <si>
    <t>1270104</t>
  </si>
  <si>
    <t>RZ7-NT24, int, AluRail, Folie geklebt                28</t>
  </si>
  <si>
    <t>1270105</t>
  </si>
  <si>
    <t>RZ7-NT24+BMZ2, int, CC6000                           34</t>
  </si>
  <si>
    <t>1270106</t>
  </si>
  <si>
    <t>RZ8, int, TG 1212-6-o                                 4</t>
  </si>
  <si>
    <t>1270107</t>
  </si>
  <si>
    <t>RZ3-0,7+MC-EABM, int, CC7000                         42</t>
  </si>
  <si>
    <t>Protronic AM-E + PP2, de eng fr, ET240               23</t>
  </si>
  <si>
    <t>1270108</t>
  </si>
  <si>
    <t>Protronic Gehäuse RCP 2000 für RZ 5                   3</t>
  </si>
  <si>
    <t>1270109</t>
  </si>
  <si>
    <t>Protronic Folientastatur RZ 4 mit Motor               3</t>
  </si>
  <si>
    <t>1270110</t>
  </si>
  <si>
    <t>Protronic Folientastatur RZ 3 / FSA                   3</t>
  </si>
  <si>
    <t>1270111</t>
  </si>
  <si>
    <t>Protronic Folientastatur RZ 3 mit Motor,              3</t>
  </si>
  <si>
    <t>1270112</t>
  </si>
  <si>
    <t>Protronic Folientastatur RZ 4 mit Motor               5</t>
  </si>
  <si>
    <t>1270113</t>
  </si>
  <si>
    <t>Protronic Steuerung RZ 4 OC mit MC-EABM</t>
  </si>
  <si>
    <t>1270114</t>
  </si>
  <si>
    <t>Protronic Platine Tast-Rel 8 E V1                     2</t>
  </si>
  <si>
    <t>1270115</t>
  </si>
  <si>
    <t>AM-S-Platine                                          4</t>
  </si>
  <si>
    <t>1270116</t>
  </si>
  <si>
    <t>Protronic Platine AN-SERV, Ansteuerung                3</t>
  </si>
  <si>
    <t>1270117</t>
  </si>
  <si>
    <t>RZ24-Protec, int, ET217                               6</t>
  </si>
  <si>
    <t>1270118</t>
  </si>
  <si>
    <t>AM-S + PP2, de eng fr, TG ABS 2015-9-0               12</t>
  </si>
  <si>
    <t>1270119</t>
  </si>
  <si>
    <t>Protronic AM-S Modul Power, Heizung                   1</t>
  </si>
  <si>
    <t>1270120</t>
  </si>
  <si>
    <t>MABM-K4-Platine mit C                                 6</t>
  </si>
  <si>
    <t>1270121</t>
  </si>
  <si>
    <t>PP1 Powerpack im Schrumpfschlauch                     6</t>
  </si>
  <si>
    <t>1270122</t>
  </si>
  <si>
    <t>Protronic Stecker BLZ 5.08/3 (orange)</t>
  </si>
  <si>
    <t>1270123</t>
  </si>
  <si>
    <t>RZ8-Duoflap, int, ET217                               5</t>
  </si>
  <si>
    <t>1270124</t>
  </si>
  <si>
    <t>AM-S-Duoflap, de eng fr, ET218                        5</t>
  </si>
  <si>
    <t>1270125</t>
  </si>
  <si>
    <t>Protronic Folientastatur RZ 3 mit Motor</t>
  </si>
  <si>
    <t>1270126</t>
  </si>
  <si>
    <t>Protronic Folientastatur RZ 4 mit Motor               7</t>
  </si>
  <si>
    <t>1270127</t>
  </si>
  <si>
    <t>Protronic Steuerung RZ 3, FAA,  polnisch             45</t>
  </si>
  <si>
    <t>1270128</t>
  </si>
  <si>
    <t>RZ3-0,7+BS, int, CC7000                              44</t>
  </si>
  <si>
    <t>1270129</t>
  </si>
  <si>
    <t>Protronic Steuerung RZ 3 mit MC-EABM                 51</t>
  </si>
  <si>
    <t>1270130</t>
  </si>
  <si>
    <t>AM-EK, de eng fr, TG ABS 2015-9-o                    15</t>
  </si>
  <si>
    <t>1270131</t>
  </si>
  <si>
    <t>Protronic Steuerung RZ 3, OC, 415 V, für             57</t>
  </si>
  <si>
    <t>1270132</t>
  </si>
  <si>
    <t>Protronic Steuerung RZ 3, portugisisch               44</t>
  </si>
  <si>
    <t>1270133</t>
  </si>
  <si>
    <t>AM-S-EV + PP1, de eng fr,TG ABS 2015-9-0             13</t>
  </si>
  <si>
    <t>1270134</t>
  </si>
  <si>
    <t>Protronic Folientastatur RZ 8                         2</t>
  </si>
  <si>
    <t>1270135</t>
  </si>
  <si>
    <t>AM-M2/S, de eng fr, ET218                            13</t>
  </si>
  <si>
    <t>1270136</t>
  </si>
  <si>
    <t>Protronic AM-M4, Moducoil                            19</t>
  </si>
  <si>
    <t>1270137</t>
  </si>
  <si>
    <t>AM-M2-EV/S, de eng fr, ET218                         16</t>
  </si>
  <si>
    <t>1270138</t>
  </si>
  <si>
    <t>Protronic AM-M4-EV, Moducoil                         21</t>
  </si>
  <si>
    <t>1270139</t>
  </si>
  <si>
    <t>RZ8 + Klarsichtdeckel + Schloß, int,                 16</t>
  </si>
  <si>
    <t>1270140</t>
  </si>
  <si>
    <t>Protronic Steuerung RZ 3 inkl. Folie                 47</t>
  </si>
  <si>
    <t>1270141</t>
  </si>
  <si>
    <t>Protronic Folientastatur RZ4, englisch,</t>
  </si>
  <si>
    <t>1270142</t>
  </si>
  <si>
    <t>Protronic Folientastatur RZ 3, englisch,</t>
  </si>
  <si>
    <t>1270143</t>
  </si>
  <si>
    <t>Protronic AMS - 12, für Motor G 12 mit                2</t>
  </si>
  <si>
    <t>1270144</t>
  </si>
  <si>
    <t>Protronic AN-SERV (Ansteuerung), links                3</t>
  </si>
  <si>
    <t>1270145</t>
  </si>
  <si>
    <t>Protronic Servo-Motor                                 7</t>
  </si>
  <si>
    <t>1270146</t>
  </si>
  <si>
    <t>AM-S-EV-12, de eng fr, TG ABS 2015-9-0                6</t>
  </si>
  <si>
    <t>1270147</t>
  </si>
  <si>
    <t>RZ3-M-0,7+MC-M 0,75A, int, CC7000                    47</t>
  </si>
  <si>
    <t>1270148</t>
  </si>
  <si>
    <t>RZ7-NT24, int, CC6000                                30</t>
  </si>
  <si>
    <t>1270149</t>
  </si>
  <si>
    <t>RZ8 + PP2, int, TG ABS 2015-9-0                       8</t>
  </si>
  <si>
    <t>1270150</t>
  </si>
  <si>
    <t>RZ3-0,7+MC-EABM+BS, int, CC7000                      45</t>
  </si>
  <si>
    <t>1270151</t>
  </si>
  <si>
    <t>Protronic Steuerung, RZ 3, französisch               44</t>
  </si>
  <si>
    <t>1270152</t>
  </si>
  <si>
    <t>Protronic Steuerung RZ54/24, schwedisch              39</t>
  </si>
  <si>
    <t>1270153</t>
  </si>
  <si>
    <t>RZ8-LWS + PP1 + Wassermelder                         30</t>
  </si>
  <si>
    <t>1270154</t>
  </si>
  <si>
    <t>RZ24-Protec + PP1, int, ET223                         9</t>
  </si>
  <si>
    <t>1270155</t>
  </si>
  <si>
    <t>AM-S-EV-12 + PP1, de eng fr, TG ABS                  13</t>
  </si>
  <si>
    <t>1270156</t>
  </si>
  <si>
    <t>AM-EK-EV + PP1, de eng fr, ET240                     25</t>
  </si>
  <si>
    <t>1270157</t>
  </si>
  <si>
    <t>Protronic Powerdrive 0,75 kW,                        51</t>
  </si>
  <si>
    <t>1270158</t>
  </si>
  <si>
    <t>RZ8-Platine                                           7</t>
  </si>
  <si>
    <t>1270159</t>
  </si>
  <si>
    <t>AM-M2/S + PP1, de eng fr, ET223                      22</t>
  </si>
  <si>
    <t>1270160</t>
  </si>
  <si>
    <t>Protronic Steuerung RZ 7, KFAA                       24</t>
  </si>
  <si>
    <t>1270161</t>
  </si>
  <si>
    <t>Protronic Steuerung RZ 7, KRS                        24</t>
  </si>
  <si>
    <t>1270162</t>
  </si>
  <si>
    <t>RZ7-OP, int, ET213                                   17</t>
  </si>
  <si>
    <t>1270163</t>
  </si>
  <si>
    <t>RZ7-FAA,  de eng fr, ET223                           22</t>
  </si>
  <si>
    <t>1270164</t>
  </si>
  <si>
    <t>Protronic Steuerung RZ7 , KRS, mit                   26</t>
  </si>
  <si>
    <t>1270165</t>
  </si>
  <si>
    <t>Protronic Steuerung RZ 3 , ohne MABM                 44</t>
  </si>
  <si>
    <t>1270166</t>
  </si>
  <si>
    <t>Protronic Steuerung RZ7 NT24, combi-card             31</t>
  </si>
  <si>
    <t>1270167</t>
  </si>
  <si>
    <t>RZ8-Kabeleinführung von hinten, int,                  9</t>
  </si>
  <si>
    <t>1270168</t>
  </si>
  <si>
    <t>Protronic FAS-BO 2.0 bis 8 A                          5</t>
  </si>
  <si>
    <t>1270169</t>
  </si>
  <si>
    <t>Protronic FAS-BO 0.6 bis 500mA,                       5</t>
  </si>
  <si>
    <t>1270170</t>
  </si>
  <si>
    <t>RZ3-0,7+120V/125V Trafo(FM), int, CC7000             43</t>
  </si>
  <si>
    <t>1270171</t>
  </si>
  <si>
    <t>Protronic Flachbandkabel 6 polig mit</t>
  </si>
  <si>
    <t>1270172</t>
  </si>
  <si>
    <t>Protronic Ansteuerung Motorheizung 1                  1</t>
  </si>
  <si>
    <t>1270173</t>
  </si>
  <si>
    <t>Protronic Thermofühler für PTS 1.2 mit                1</t>
  </si>
  <si>
    <t>1270174</t>
  </si>
  <si>
    <t>AM-I-12-Steuerrelaisplatine</t>
  </si>
  <si>
    <t>1270175</t>
  </si>
  <si>
    <t>AM-EK-EV-12 + PP1, de eng fr, ET240                  26</t>
  </si>
  <si>
    <t>1270176</t>
  </si>
  <si>
    <t>AM-E USA G 120,  Rittal Gehäuse                       3</t>
  </si>
  <si>
    <t>1270180</t>
  </si>
  <si>
    <t>Protronic Powerdrive 0,75 kW                       1.03</t>
  </si>
  <si>
    <t>1270181</t>
  </si>
  <si>
    <t>Protronic Powerdrive  1,5 kW, 1-phasig               62</t>
  </si>
  <si>
    <t>1270182</t>
  </si>
  <si>
    <t>Spartrafo 230/400/ 3-phasig                           8</t>
  </si>
  <si>
    <t>1270183</t>
  </si>
  <si>
    <t>Steuerung RZ3 + MABM, OC, Einbau                     42</t>
  </si>
  <si>
    <t>1270184</t>
  </si>
  <si>
    <t>AM-E + ANZ-AME-G, de eng fr, ET223                   24</t>
  </si>
  <si>
    <t>1270185</t>
  </si>
  <si>
    <t>Protronic Ansteuerungsmodul AMS-EV mit               13</t>
  </si>
  <si>
    <t>1270186</t>
  </si>
  <si>
    <t>Protronic Steuerung RZ 4 - FAA, polnisch             32</t>
  </si>
  <si>
    <t>1270187</t>
  </si>
  <si>
    <t>Protronic Ansteuerungsmodul AM - I, G 45              2</t>
  </si>
  <si>
    <t>1270188</t>
  </si>
  <si>
    <t>Protronic Powerdrive 1,5 kW im AEGehäuse           1.27</t>
  </si>
  <si>
    <t>1270189</t>
  </si>
  <si>
    <t>AM-E + PP1, de eng fr, ET240                         23</t>
  </si>
  <si>
    <t>1270190</t>
  </si>
  <si>
    <t>Protronic Powerdrive 1,5 kW (3x230V)                 73</t>
  </si>
  <si>
    <t>1270191</t>
  </si>
  <si>
    <t>Protronic Thermoschalter 1.5                         13</t>
  </si>
  <si>
    <t>1270192</t>
  </si>
  <si>
    <t>Protronic AM-S-12 mit Powerpack Typ 1                13</t>
  </si>
  <si>
    <t>1270193</t>
  </si>
  <si>
    <t>Protronic Steuerung RZ 7 - BMZ2 Platine               5</t>
  </si>
  <si>
    <t>1270194</t>
  </si>
  <si>
    <t>Protronic Steuerung RZ 7-RS inkl.                    24</t>
  </si>
  <si>
    <t>1270195</t>
  </si>
  <si>
    <t>RZ7-REL-Platine                                       5</t>
  </si>
  <si>
    <t>1270196</t>
  </si>
  <si>
    <t>RZ7-FAA+REL,  de eng fr,   ET223                     22</t>
  </si>
  <si>
    <t>1270197</t>
  </si>
  <si>
    <t>AM-E-12 + PP1, de eng fr, ET240                      22</t>
  </si>
  <si>
    <t>1270198</t>
  </si>
  <si>
    <t>Protronic RZ 3 mit 7 Ah Akkus, mit                   47</t>
  </si>
  <si>
    <t>1270199</t>
  </si>
  <si>
    <t>Protronic Ansteuerungsmodul AM - I , G12              3</t>
  </si>
  <si>
    <t>1270200</t>
  </si>
  <si>
    <t>Protronic Power Drive 0,75 kW Basisgerät</t>
  </si>
  <si>
    <t>1270201</t>
  </si>
  <si>
    <t>AM-M2-EV/S + PP1, de eng fr, ET223                   25</t>
  </si>
  <si>
    <t>1270202</t>
  </si>
  <si>
    <t>AM-E-12, de eng fr, TG ABS 2015-9-0                  13</t>
  </si>
  <si>
    <t>1270203</t>
  </si>
  <si>
    <t>AM-E-EV-12, de eng fr, TG ABS 2015-9-0               15</t>
  </si>
  <si>
    <t>1270204</t>
  </si>
  <si>
    <t>AM-E-EV-12 + PP1, de eng fr, ET240                   25</t>
  </si>
  <si>
    <t>1270205</t>
  </si>
  <si>
    <t>AM-EK-12, de eng fr, ET223                           15</t>
  </si>
  <si>
    <t>1270207</t>
  </si>
  <si>
    <t>AM-I-EV-12-Platine                                    6</t>
  </si>
  <si>
    <t>1270208</t>
  </si>
  <si>
    <t>AM-E-EV + PP1, de eng fr, ET240                      25</t>
  </si>
  <si>
    <t>1270209</t>
  </si>
  <si>
    <t>AM-I-Netzteil-Platine</t>
  </si>
  <si>
    <t>1270210</t>
  </si>
  <si>
    <t>Protronic Steuerung RZ 3 mit Motor, mit              45</t>
  </si>
  <si>
    <t>1270211</t>
  </si>
  <si>
    <t>Protronic AM-S-EV mit Netzteil für eine               6</t>
  </si>
  <si>
    <t>1270212</t>
  </si>
  <si>
    <t>AM-I-12-Platine                                       3</t>
  </si>
  <si>
    <t>1270213</t>
  </si>
  <si>
    <t>Protronic Rohrantrieb AMI-G12 EV</t>
  </si>
  <si>
    <t>1270214</t>
  </si>
  <si>
    <t>AM-I-Platine                                          3</t>
  </si>
  <si>
    <t>1270215</t>
  </si>
  <si>
    <t>AM-I-EV-Platine (AM-I + AM-I-Netzteil)                5</t>
  </si>
  <si>
    <t>1270216</t>
  </si>
  <si>
    <t>Protronic Powerdrive, Basisgerät 1,5 kW              73</t>
  </si>
  <si>
    <t>1270217</t>
  </si>
  <si>
    <t>PP2 Powerpack im Schrumpfschlauch                     6</t>
  </si>
  <si>
    <t>1270218</t>
  </si>
  <si>
    <t>Protronic Modul RZ -7 FAA , Einbau, V1.1             20</t>
  </si>
  <si>
    <t>1270219</t>
  </si>
  <si>
    <t>RZ7-K-Relaisplatine doppelt                           1</t>
  </si>
  <si>
    <t>1270220</t>
  </si>
  <si>
    <t>Protronic Folientastatur RZ-7,  FAA                   3</t>
  </si>
  <si>
    <t>1270221</t>
  </si>
  <si>
    <t>RZ7-NT24+BMZ2, int, AluRail                          35</t>
  </si>
  <si>
    <t>1270222</t>
  </si>
  <si>
    <t>Protronic Folientastatur RZ-7 NT24/BMZ 2              3</t>
  </si>
  <si>
    <t>1270223</t>
  </si>
  <si>
    <t>ES-UM-B-G, int, ET240</t>
  </si>
  <si>
    <t>1270224</t>
  </si>
  <si>
    <t>ES-UM-B, int, ET240                                  15</t>
  </si>
  <si>
    <t>1270225</t>
  </si>
  <si>
    <t>ES-UM, int, TG ABS 2015-9-o                           9</t>
  </si>
  <si>
    <t>1270226</t>
  </si>
  <si>
    <t>RZ7-FAA+REL, int. TG ABS 2015-9                      20</t>
  </si>
  <si>
    <t>1270227</t>
  </si>
  <si>
    <t>RZ7-8IO, de, ET221                                   18</t>
  </si>
  <si>
    <t>1270228</t>
  </si>
  <si>
    <t>Protronic Steuerung ST AM SBP 1S                     35</t>
  </si>
  <si>
    <t>1270229</t>
  </si>
  <si>
    <t>Protronic Steuerung ST 2AM SPB 1S</t>
  </si>
  <si>
    <t>1270230</t>
  </si>
  <si>
    <t>Protronic Steuerung ST 700 ABP 1S                    79</t>
  </si>
  <si>
    <t>1270231</t>
  </si>
  <si>
    <t>Protronic Steuerung RZ 3 (o.M.) FAA</t>
  </si>
  <si>
    <t>1270232</t>
  </si>
  <si>
    <t>Protronic Steuerung Rz 3 (o.M.) FAA</t>
  </si>
  <si>
    <t>1270233</t>
  </si>
  <si>
    <t>Protronic Steuerung RZ 8, Einbau, mit                 9</t>
  </si>
  <si>
    <t>1270234</t>
  </si>
  <si>
    <t>AM-E + PP2,  de eng fr, ET240                        25</t>
  </si>
  <si>
    <t>1270235</t>
  </si>
  <si>
    <t>AM-E + PP2 + ANZ-AME-G, de eng fr, ET240</t>
  </si>
  <si>
    <t>1270236</t>
  </si>
  <si>
    <t>AM-E-JOMOS-Platine                                   13</t>
  </si>
  <si>
    <t>1270237</t>
  </si>
  <si>
    <t>AM-E-JOMOS, de eng fr, ET223                         14</t>
  </si>
  <si>
    <t>1270238</t>
  </si>
  <si>
    <t>AM-E-JOMOS + ANZ-AME-G, de eng fr, ET223</t>
  </si>
  <si>
    <t>1270239</t>
  </si>
  <si>
    <t>AM-E-JOMOS + PP1, de eng fr,  ET240                  24</t>
  </si>
  <si>
    <t>1270240</t>
  </si>
  <si>
    <t>AM-E-JOMOS + PP1 + ANZ-AME-G, de eng fr,</t>
  </si>
  <si>
    <t>1270241</t>
  </si>
  <si>
    <t>AM-E-JOMOS + PP2, de eng fr, ET240                   26</t>
  </si>
  <si>
    <t>1270242</t>
  </si>
  <si>
    <t>AM-E-JOMOS + PP2 + ANZ-AME-G, de eng fr,</t>
  </si>
  <si>
    <t>1270243</t>
  </si>
  <si>
    <t>AM-E + PP1 + ANZ-AME-G, de eng fr, ET240</t>
  </si>
  <si>
    <t>1270245</t>
  </si>
  <si>
    <t>AM-E-Platine                                         12</t>
  </si>
  <si>
    <t>1270246</t>
  </si>
  <si>
    <t>AM-E+MC-REL3/4+8xKlemmen+1xEntstördiode              23</t>
  </si>
  <si>
    <t>1270300</t>
  </si>
  <si>
    <t>AM-E-12 Platine                                      12</t>
  </si>
  <si>
    <t>1270301</t>
  </si>
  <si>
    <t>AM-E-12 + ANZ-AME-G, de eng fr, ET223</t>
  </si>
  <si>
    <t>1270302</t>
  </si>
  <si>
    <t>AM-E-12 + PP1 + ANZ-AME-G, de eng fr,</t>
  </si>
  <si>
    <t>1270303</t>
  </si>
  <si>
    <t>AM-E-12 + PP2, de eng fr, ET240                      24</t>
  </si>
  <si>
    <t>1270304</t>
  </si>
  <si>
    <t>AM-E-12 + PP2 + ANZ-AME-G, de eng fr,</t>
  </si>
  <si>
    <t>1270305</t>
  </si>
  <si>
    <t>AM-E-12-JOMOS-Platine                                13</t>
  </si>
  <si>
    <t>1270306</t>
  </si>
  <si>
    <t>AM-E-12-JOMOS, de eng fr, ET223                      15</t>
  </si>
  <si>
    <t>1270307</t>
  </si>
  <si>
    <t>AM-E-12-JOMOS + ANZ-AME-G, de eng fr,</t>
  </si>
  <si>
    <t>1270308</t>
  </si>
  <si>
    <t>AM-E-12-JOMOS + PP1, de eng fr, ET240                24</t>
  </si>
  <si>
    <t>1270309</t>
  </si>
  <si>
    <t>AM-E-12-JOMOS + PP1 + ANZ-AME-G,</t>
  </si>
  <si>
    <t>1270310</t>
  </si>
  <si>
    <t>AM-E-12-JOMOS + PP2, de eng fr, ET240                26</t>
  </si>
  <si>
    <t>1270311</t>
  </si>
  <si>
    <t>AM-E-12-JOMOS + PP2 + ANZ-AME-G,</t>
  </si>
  <si>
    <t>1270400</t>
  </si>
  <si>
    <t>AM-E-EV-Platine                                      14</t>
  </si>
  <si>
    <t>1270401</t>
  </si>
  <si>
    <t>AM-E-EV + ANZ-AME-G, de eng fr, ET223</t>
  </si>
  <si>
    <t>1270402</t>
  </si>
  <si>
    <t>AM-E-EV + PP1 + ANZ-AME-G, de eng fr,                36</t>
  </si>
  <si>
    <t>1270403</t>
  </si>
  <si>
    <t>AM-E-EV + PP2, de eng fr, ET240                      22</t>
  </si>
  <si>
    <t>1270404</t>
  </si>
  <si>
    <t>AM-E-EV + PP2 + ANZ-AME-G, de eng fr,</t>
  </si>
  <si>
    <t>1270405</t>
  </si>
  <si>
    <t>AM-E-EV-JOMOS-Platine                                15</t>
  </si>
  <si>
    <t>1270406</t>
  </si>
  <si>
    <t>AM-E-EV-JOMOS, de eng fr , ET223                     17</t>
  </si>
  <si>
    <t>1270407</t>
  </si>
  <si>
    <t>AM-E-EV-JOMOS + ANZ-AME-G, de eng fr,</t>
  </si>
  <si>
    <t>1270408</t>
  </si>
  <si>
    <t>AM-E-EV-JOMOS + PP1, de eng fr, ET240                26</t>
  </si>
  <si>
    <t>1270409</t>
  </si>
  <si>
    <t>AM-E-EV-JOMOS + PP1 + ANZ-AME-G,                     37</t>
  </si>
  <si>
    <t>1270410</t>
  </si>
  <si>
    <t>AM-E-EV-JOMOS + PP2, de eng fr, ET240</t>
  </si>
  <si>
    <t>1270411</t>
  </si>
  <si>
    <t>AM-E-EV-JOMOS + PP2 + ANZ-AME-G,</t>
  </si>
  <si>
    <t>1270447</t>
  </si>
  <si>
    <t>Frontfolientastatur,  RZ54-24V</t>
  </si>
  <si>
    <t>1270500</t>
  </si>
  <si>
    <t>AM-E-EV-12-Platine                                   14</t>
  </si>
  <si>
    <t>1270501</t>
  </si>
  <si>
    <t>AM-E-EV-12 + ANZ-AME-G, de eng fr, ET223</t>
  </si>
  <si>
    <t>1270502</t>
  </si>
  <si>
    <t>AM-E-EV-12 + PP1 + ANZ-AME-G, de eng fr,</t>
  </si>
  <si>
    <t>1270503</t>
  </si>
  <si>
    <t>AM-E-EV-12 + PP2, de eng fr, ET240                   26</t>
  </si>
  <si>
    <t>1270504</t>
  </si>
  <si>
    <t>AM-E-EV-12 + PP2 + ANZ-AME-G, de eng fr,</t>
  </si>
  <si>
    <t>1270505</t>
  </si>
  <si>
    <t>AM-E-EV-12-JOMOS-Platine</t>
  </si>
  <si>
    <t>1270506</t>
  </si>
  <si>
    <t>AM-E-EV-12-JOMOS, de eng fr, ET223</t>
  </si>
  <si>
    <t>1270507</t>
  </si>
  <si>
    <t>AM-E-EV-12-JOMOS + ANZ-AME-G, de eng fr,</t>
  </si>
  <si>
    <t>1270508</t>
  </si>
  <si>
    <t>AM-E-EV-12-JOMOS + PP1, de eng fr, ET240             26</t>
  </si>
  <si>
    <t>1270509</t>
  </si>
  <si>
    <t>AM-E-EV-12-JOMOS + PP1 + ANZ-AME-G,</t>
  </si>
  <si>
    <t>1270510</t>
  </si>
  <si>
    <t>AM-E-EV-12-JOMOS + PP2, de eng fr, ET240</t>
  </si>
  <si>
    <t>1270511</t>
  </si>
  <si>
    <t>AM-E-EV-12-JOMOS + PP2 + ANZ-AME-G,</t>
  </si>
  <si>
    <t>1270600</t>
  </si>
  <si>
    <t>AM-EK + ANZ-AME-G, de eng fr, ET223</t>
  </si>
  <si>
    <t>1270601</t>
  </si>
  <si>
    <t>AM-EK + PP1, de eng fr, ET240                        24</t>
  </si>
  <si>
    <t>1270602</t>
  </si>
  <si>
    <t>AM-EK + PP1 + ANZ-AME-G, de eng fr,</t>
  </si>
  <si>
    <t>1270603</t>
  </si>
  <si>
    <t>AM-EK + PP2, de eng fr, ET240</t>
  </si>
  <si>
    <t>1270604</t>
  </si>
  <si>
    <t>AM-EK + PP2 + ANZ-AME-G, de eng fr,</t>
  </si>
  <si>
    <t>1270605</t>
  </si>
  <si>
    <t>AM-EK-JOMOS-Platine</t>
  </si>
  <si>
    <t>1270606</t>
  </si>
  <si>
    <t>AM-EK-JOMOS, de eng fr, ET223                        16</t>
  </si>
  <si>
    <t>1270607</t>
  </si>
  <si>
    <t>AM-EK-JOMOS + ANZ-AME-G, de eng fr,</t>
  </si>
  <si>
    <t>1270608</t>
  </si>
  <si>
    <t>AM-EK-JOMOS + PP1, de eng fr, ET240                  25</t>
  </si>
  <si>
    <t>1270609</t>
  </si>
  <si>
    <t>AM-EK-JOMOS + PP1 + ANZ-AME-G,</t>
  </si>
  <si>
    <t>1270610</t>
  </si>
  <si>
    <t>AM-EK-JOMOS + PP2, de eng fr, ET240</t>
  </si>
  <si>
    <t>1270611</t>
  </si>
  <si>
    <t>AM-EK-JOMOS + PP2 + ANZ-AME-G,</t>
  </si>
  <si>
    <t>1270700</t>
  </si>
  <si>
    <t>AM-EK-12-Platine                                     16</t>
  </si>
  <si>
    <t>1270701</t>
  </si>
  <si>
    <t>AM-EK-12 + ANZ-AME-G, de eng fr, ET223</t>
  </si>
  <si>
    <t>1270702</t>
  </si>
  <si>
    <t>AM-EK-12 + PP1, de eng fr, ET240</t>
  </si>
  <si>
    <t>1270703</t>
  </si>
  <si>
    <t>AM-EK-12 + PP1 + ANZ-AME-G, de eng fr,</t>
  </si>
  <si>
    <t>1270704</t>
  </si>
  <si>
    <t>AM-EK-12 + PP2, de eng fr, ET240</t>
  </si>
  <si>
    <t>1270705</t>
  </si>
  <si>
    <t>AM-EK-12 + PP2 + ANZ-AME-G, de eng fr,</t>
  </si>
  <si>
    <t>1270706</t>
  </si>
  <si>
    <t>AM-EK-12-JOMOS-Platine</t>
  </si>
  <si>
    <t>1270707</t>
  </si>
  <si>
    <t>AM-EK-12-JOMOS, de eng fr, ET223</t>
  </si>
  <si>
    <t>1270708</t>
  </si>
  <si>
    <t>AM-EK-12-JOMOS + ANZ-AME-G, de eng fr,</t>
  </si>
  <si>
    <t>1270709</t>
  </si>
  <si>
    <t>AM-EK-12-JOMOS + PP1, de eng fr, ET240               25</t>
  </si>
  <si>
    <t>1270710</t>
  </si>
  <si>
    <t>AM-EK-12-JOMOS + PP1 + ANZ-AME-G,</t>
  </si>
  <si>
    <t>1270711</t>
  </si>
  <si>
    <t>AM-EK-12-JOMOS + PP2, de eng fr,  ET240</t>
  </si>
  <si>
    <t>1270712</t>
  </si>
  <si>
    <t>AM-EK-12-JOMOS + PP2 + ANZ-AME-G,</t>
  </si>
  <si>
    <t>1270800</t>
  </si>
  <si>
    <t>AM-EK-EV-Platine</t>
  </si>
  <si>
    <t>1270801</t>
  </si>
  <si>
    <t>AM-EK-EV + ANZ-AME-G, de eng fr, ET223</t>
  </si>
  <si>
    <t>1270802</t>
  </si>
  <si>
    <t>AM-EK-EV + PP1 + ANZ-AME-G, de eng fr,</t>
  </si>
  <si>
    <t>1270803</t>
  </si>
  <si>
    <t>AM-EK-EV + PP2, de eng fr, ET240                     28</t>
  </si>
  <si>
    <t>1270804</t>
  </si>
  <si>
    <t>AM-EK-EV + PP2 + ANZ-AME-G, de eng fr,</t>
  </si>
  <si>
    <t>1270805</t>
  </si>
  <si>
    <t>AM-EK-EV-JOMOS-Platine</t>
  </si>
  <si>
    <t>1270806</t>
  </si>
  <si>
    <t>AM-EK-EV-JOMOS, de eng fr, ET223</t>
  </si>
  <si>
    <t>1270807</t>
  </si>
  <si>
    <t>AM-EK-EV-JOMOS + ANZ-AME-G, de eng fr,</t>
  </si>
  <si>
    <t>1270808</t>
  </si>
  <si>
    <t>AM-EK-EV-JOMOS + PP1, de eng fr, ET240</t>
  </si>
  <si>
    <t>1270809</t>
  </si>
  <si>
    <t>AM-EK-EV-JOMOS + PP1 + ANZ-AME-G,                    38</t>
  </si>
  <si>
    <t>1270810</t>
  </si>
  <si>
    <t>AM-EK-EV-JOMOS + PP2, de eng fr, ET240</t>
  </si>
  <si>
    <t>1270811</t>
  </si>
  <si>
    <t>AM-EK-EV-JOMOS + PP2 + ANZ-AME-G,</t>
  </si>
  <si>
    <t>1270900</t>
  </si>
  <si>
    <t>AM-EK-EV-12-Platine</t>
  </si>
  <si>
    <t>1270901</t>
  </si>
  <si>
    <t>AM-EK-EV-12, de eng fr, ET223                        17</t>
  </si>
  <si>
    <t>1270902</t>
  </si>
  <si>
    <t>AM-EK-EV-12 + ANZ-AME-G, de eng fr,</t>
  </si>
  <si>
    <t>1270903</t>
  </si>
  <si>
    <t>AM-EK-EV-12 + PP1 + ANZ-AME-G, de eng fr</t>
  </si>
  <si>
    <t>1270904</t>
  </si>
  <si>
    <t>AM-EK-EV-12 + PP2, de eng fr, ET240                  28</t>
  </si>
  <si>
    <t>1270905</t>
  </si>
  <si>
    <t>AM-EK-EV-12 + PP2 + ANZ-AME-G,</t>
  </si>
  <si>
    <t>1270906</t>
  </si>
  <si>
    <t>AM-EK-EV-12-JOMOS-Platine</t>
  </si>
  <si>
    <t>1270907</t>
  </si>
  <si>
    <t>AM-EK-EV-12-JOMOS, de eng fr, ET223</t>
  </si>
  <si>
    <t>1270908</t>
  </si>
  <si>
    <t>AM-EK-EV-12-JOMOS + ANZ-AME-G,</t>
  </si>
  <si>
    <t>1270909</t>
  </si>
  <si>
    <t>AM-EK-EV-12-JOMOS + PP1, de eng fr,</t>
  </si>
  <si>
    <t>1270910</t>
  </si>
  <si>
    <t>AM-EK-EV-12-JOMOS + PP1 + ANZ-AME-G,</t>
  </si>
  <si>
    <t>1270911</t>
  </si>
  <si>
    <t>AM-EK-EV-12-JOMOS + PP2, de eng fr,ET240</t>
  </si>
  <si>
    <t>1270912</t>
  </si>
  <si>
    <t>AM-EK-EV-12-JOMOS + PP2 + ANZ-AME-G,</t>
  </si>
  <si>
    <t>1271000</t>
  </si>
  <si>
    <t>AM-S-Duoflap-Platine                                  4</t>
  </si>
  <si>
    <t>1271001</t>
  </si>
  <si>
    <t>AM-S-Duoflap + PP1, de eng fr, ET223</t>
  </si>
  <si>
    <t>1271002</t>
  </si>
  <si>
    <t>AM-S-Duoflap + PP1 + MC-REL3/4 + Zeit-</t>
  </si>
  <si>
    <t>1271003</t>
  </si>
  <si>
    <t>AM-S-Duoflap + PP2, de eng fr, ET223</t>
  </si>
  <si>
    <t>1271004</t>
  </si>
  <si>
    <t>AM-S-Duoflap + PP2 + MC-Rel3/4 + Zeit-</t>
  </si>
  <si>
    <t>1271005</t>
  </si>
  <si>
    <t>AM-S-Duoflap + MC-REL3/4 + Zeitrelais</t>
  </si>
  <si>
    <t>1271006</t>
  </si>
  <si>
    <t>AM-U extern Ausgang M12 steckbar                      1</t>
  </si>
  <si>
    <t>1271007</t>
  </si>
  <si>
    <t>AM-U-EV extern Ausgang M12 steckbar                  10</t>
  </si>
  <si>
    <t>1271008</t>
  </si>
  <si>
    <t>AM-U extern USA                                      12</t>
  </si>
  <si>
    <t>1271009</t>
  </si>
  <si>
    <t>AM-U-extern mit SL</t>
  </si>
  <si>
    <t>1271010</t>
  </si>
  <si>
    <t>AM-U extern EV mit SL</t>
  </si>
  <si>
    <t>1271011</t>
  </si>
  <si>
    <t>AM-U extern USA mit SL                               12</t>
  </si>
  <si>
    <t>1271012</t>
  </si>
  <si>
    <t>AM-U-EV + PP2                                         2</t>
  </si>
  <si>
    <t>1271013</t>
  </si>
  <si>
    <t>AM-U-EV + PP2</t>
  </si>
  <si>
    <t>1271014</t>
  </si>
  <si>
    <t>AM-U-CO                                              23</t>
  </si>
  <si>
    <t>1271015</t>
  </si>
  <si>
    <t>AM-U Eingang / Ausgang steckbar                      10</t>
  </si>
  <si>
    <t>1271016</t>
  </si>
  <si>
    <t>AM-U Eingang steckbar                                10</t>
  </si>
  <si>
    <t>1271017</t>
  </si>
  <si>
    <t>AM-U - EV Eingang/Ausgang steckbar                   12</t>
  </si>
  <si>
    <t>1271018</t>
  </si>
  <si>
    <t>AM-U-EV Eingang steckbar                             14</t>
  </si>
  <si>
    <t>1271019</t>
  </si>
  <si>
    <t>AM-U Eingang/Ausgang steckbar mit PP 1               19</t>
  </si>
  <si>
    <t>1271020</t>
  </si>
  <si>
    <t>AM-U Eingang steckbar mit PP1                        19</t>
  </si>
  <si>
    <t>1271021</t>
  </si>
  <si>
    <t>AM-U-EV Eingang/Ausgang steckbar mit PP1</t>
  </si>
  <si>
    <t>1271022</t>
  </si>
  <si>
    <t>AM-U-EV Eingang steckbar mit PP1</t>
  </si>
  <si>
    <t>1271023</t>
  </si>
  <si>
    <t>AM-U Eingang/Ausgang steckbar mit PP2                20</t>
  </si>
  <si>
    <t>1271024</t>
  </si>
  <si>
    <t>AM-U Eingang steckbar mit PP2                        20</t>
  </si>
  <si>
    <t>1271025</t>
  </si>
  <si>
    <t>AM-U-EV Eingang/Ausgang steckbar mit PP2</t>
  </si>
  <si>
    <t>1271026</t>
  </si>
  <si>
    <t>AM-U-EV Eingang steckbar mit PP2                     23</t>
  </si>
  <si>
    <t>1271027</t>
  </si>
  <si>
    <t>AM-U Steuerplatine                                    8</t>
  </si>
  <si>
    <t>1271028</t>
  </si>
  <si>
    <t>AM-U-EV Steuerplatine                                11</t>
  </si>
  <si>
    <t>1271029</t>
  </si>
  <si>
    <t>KOM-Modul Funk steckbar</t>
  </si>
  <si>
    <t>1271030</t>
  </si>
  <si>
    <t>RZ8 + PP1, int, TG ABS 2015-9-0                      13</t>
  </si>
  <si>
    <t>1271031</t>
  </si>
  <si>
    <t>RZ8 + PP1 + Klarsichtdeckel + Schloß,                28</t>
  </si>
  <si>
    <t>1271032</t>
  </si>
  <si>
    <t>RZ8 + PP2 + Klarsichtdeckel + Schloß,</t>
  </si>
  <si>
    <t>1271033</t>
  </si>
  <si>
    <t>RZ8 + PP1 + Zeitrelais, int, ET240                   21</t>
  </si>
  <si>
    <t>1271034</t>
  </si>
  <si>
    <t>RZ8 + PP1 + Zeitrelais + MC-Rel3/4, int,</t>
  </si>
  <si>
    <t>1271035</t>
  </si>
  <si>
    <t>RZ8 + PP2 + Zeitrelais, int, ET240</t>
  </si>
  <si>
    <t>1271036</t>
  </si>
  <si>
    <t>RZ8 + PP2 + Zeitrelais + MC-Rel3/4,                  29</t>
  </si>
  <si>
    <t>1271037</t>
  </si>
  <si>
    <t>RZ8-Duoflap-Einbau, Folie lose + 3,5m                11</t>
  </si>
  <si>
    <t>1271038</t>
  </si>
  <si>
    <t>RZ8-Duoflap + PP1, int, ET223</t>
  </si>
  <si>
    <t>1271039</t>
  </si>
  <si>
    <t>RZ8-Duoflap + PP2, int, ET223</t>
  </si>
  <si>
    <t>127104</t>
  </si>
  <si>
    <t>Steuerung RZ 7 ohne Branderkennung++++++</t>
  </si>
  <si>
    <t>1271040</t>
  </si>
  <si>
    <t>RZ8-LWS + PP2 + Wassermelder</t>
  </si>
  <si>
    <t>1271041</t>
  </si>
  <si>
    <t>RZ8-Einbau, Folie lose +  3,5m Bandkabel              8</t>
  </si>
  <si>
    <t>1271042</t>
  </si>
  <si>
    <t>RZ8, int, Unterputzgehäuse                           11</t>
  </si>
  <si>
    <t>1271043</t>
  </si>
  <si>
    <t>RZ8, int, Hohlwandgehäuse                            11</t>
  </si>
  <si>
    <t>1271044</t>
  </si>
  <si>
    <t>RZ8+PP1, int, RITTAL für USA (UL)                    24</t>
  </si>
  <si>
    <t>1271045</t>
  </si>
  <si>
    <t>RZ8 Aufputz Ausgang steckbar                          6</t>
  </si>
  <si>
    <t>1271046</t>
  </si>
  <si>
    <t>RZ8 Aufputz Ausgang steckbar mit PP1                 16</t>
  </si>
  <si>
    <t>1271047</t>
  </si>
  <si>
    <t>RZ8 Aufputz Ausgang steckbar mit PP2                 16</t>
  </si>
  <si>
    <t>1271048</t>
  </si>
  <si>
    <t>Empfänger RADIOBAND 2 steckbar</t>
  </si>
  <si>
    <t>1271049</t>
  </si>
  <si>
    <t>AM-U extern Eingang Ausgang M12 steckbar              8</t>
  </si>
  <si>
    <t>127105</t>
  </si>
  <si>
    <t>Steuerung RZ 7 ohne Branderkennung mit</t>
  </si>
  <si>
    <t>1271050</t>
  </si>
  <si>
    <t>AM-U-EV + PP1                                        20</t>
  </si>
  <si>
    <t>1271051</t>
  </si>
  <si>
    <t>AM-U Anschluss steckbar 2xM12 3polig,</t>
  </si>
  <si>
    <t>1271052</t>
  </si>
  <si>
    <t>AM-U + PP2                                           19</t>
  </si>
  <si>
    <t>1271053</t>
  </si>
  <si>
    <t>AM-U Ansteuerungsmodul für Motorheizung/             11</t>
  </si>
  <si>
    <t>1271054</t>
  </si>
  <si>
    <t>AM-U-EV  Ansteuerungsmodul für Motor-                14</t>
  </si>
  <si>
    <t>1271055</t>
  </si>
  <si>
    <t>AM-U-EV extern Ein-Ausgang M12 steckbar              11</t>
  </si>
  <si>
    <t>1271056</t>
  </si>
  <si>
    <t>ASR extern Eingang Ausgang M12 Steckbar              11</t>
  </si>
  <si>
    <t>1271057</t>
  </si>
  <si>
    <t>ASR-EV extern  Eingang Ausgang  Steckbar             14</t>
  </si>
  <si>
    <t>1271060</t>
  </si>
  <si>
    <t>RZ24-Platine</t>
  </si>
  <si>
    <t>1271061</t>
  </si>
  <si>
    <t>RZ24-Protec + PP2, int, ET223.                       18</t>
  </si>
  <si>
    <t>1271062</t>
  </si>
  <si>
    <t>RZ24-Einbau, Folie lose + 3,5m Bandkabel</t>
  </si>
  <si>
    <t>1271070</t>
  </si>
  <si>
    <t>PP1, int, ET220                                       9</t>
  </si>
  <si>
    <t>1271071</t>
  </si>
  <si>
    <t>PP2, int, ET220                                      10</t>
  </si>
  <si>
    <t>1271072</t>
  </si>
  <si>
    <t>PP1, int, Eurogehäuse grau</t>
  </si>
  <si>
    <t>1271073</t>
  </si>
  <si>
    <t>PP2, int, TG ABS 1608-6-0 Gehäuse                    10</t>
  </si>
  <si>
    <t>1271074</t>
  </si>
  <si>
    <t>RZ8+PP1, int, Unterputzgehäuse                       21</t>
  </si>
  <si>
    <t>1271075</t>
  </si>
  <si>
    <t>RZ8+PP1, int, Hohlwandgehäuse                        22</t>
  </si>
  <si>
    <t>1271076</t>
  </si>
  <si>
    <t>RZ8+PP2, int, Unterputzgehäuse                       22</t>
  </si>
  <si>
    <t>1271077</t>
  </si>
  <si>
    <t>RZ8+PP2, int, Hohlwandgehäuse                        24</t>
  </si>
  <si>
    <t>1271080</t>
  </si>
  <si>
    <t>ASR extern Ausgang M12 Steckbar                      10</t>
  </si>
  <si>
    <t>1271081</t>
  </si>
  <si>
    <t>ASR-EV extern Ausgang M12 steckbar                   12</t>
  </si>
  <si>
    <t>1271090</t>
  </si>
  <si>
    <t>AM-U-CO (Englisch)                                   27</t>
  </si>
  <si>
    <t>1271091</t>
  </si>
  <si>
    <t>AM-U-CO (Finnisch)                                   30</t>
  </si>
  <si>
    <t>1271092</t>
  </si>
  <si>
    <t>AM-U-CO (Spanisch)</t>
  </si>
  <si>
    <t>1271093</t>
  </si>
  <si>
    <t>AM-U-CO (Tschechisch)                                30</t>
  </si>
  <si>
    <t>1271094</t>
  </si>
  <si>
    <t>AM-U-CO (Französisch)                                29</t>
  </si>
  <si>
    <t>1271095</t>
  </si>
  <si>
    <t>AM-U-CO (Russisch)</t>
  </si>
  <si>
    <t>1271096</t>
  </si>
  <si>
    <t>AM-U-CO (Portugiesisch)                              29</t>
  </si>
  <si>
    <t>1271097</t>
  </si>
  <si>
    <t>AM-U-CO (Deutsch)                                    29</t>
  </si>
  <si>
    <t>1271100</t>
  </si>
  <si>
    <t>AM-M2/S-Platine                                      13</t>
  </si>
  <si>
    <t>1271101</t>
  </si>
  <si>
    <t>AM-M2/S + MC-REL3/4 vorverdrahtet</t>
  </si>
  <si>
    <t>1271102</t>
  </si>
  <si>
    <t>AM-M2/S + PP1 + MC-REL3/3 vorverdrahtet</t>
  </si>
  <si>
    <t>1271103</t>
  </si>
  <si>
    <t>AM-M2/S + PP2, de eng fr, ET223</t>
  </si>
  <si>
    <t>1271104</t>
  </si>
  <si>
    <t>AM-M2/S + PP2 + MC-Rel3/4 vorverdrahtet,</t>
  </si>
  <si>
    <t>1271200</t>
  </si>
  <si>
    <t>AM-M2-EV/S-Platine                                   28</t>
  </si>
  <si>
    <t>1271201</t>
  </si>
  <si>
    <t>AM-M2-EV/S + MC-REL3/4 vorverdrahtet,</t>
  </si>
  <si>
    <t>1271202</t>
  </si>
  <si>
    <t>AM-M2-EV/S + PP1 + MC-Rel3/4 vorverdraht</t>
  </si>
  <si>
    <t>1271203</t>
  </si>
  <si>
    <t>AM-M2-EV/S + PP2, de eng fr, ET223                   26</t>
  </si>
  <si>
    <t>1271204</t>
  </si>
  <si>
    <t>AM-M2-EV/S + PP2 + MC-Rel3/4 vorverdraht</t>
  </si>
  <si>
    <t>1271300</t>
  </si>
  <si>
    <t>AM-S + PP1, de eng fr, TG ABS 2015-9-0               12</t>
  </si>
  <si>
    <t>1271301</t>
  </si>
  <si>
    <t>AM-S + PP1 + MC-Rel3/4 + Zeitrelais,</t>
  </si>
  <si>
    <t>1271302</t>
  </si>
  <si>
    <t>AM-S + PP2 + MC-Rel3/4 + Zeitrelais,</t>
  </si>
  <si>
    <t>1271303</t>
  </si>
  <si>
    <t>AM-S + MC-Rel3/4 + Zeitrelais,                       16</t>
  </si>
  <si>
    <t>1271401</t>
  </si>
  <si>
    <t>AM-S-12-Platine                                       4</t>
  </si>
  <si>
    <t>1271402</t>
  </si>
  <si>
    <t>AM-S-12, de eng fr, TG ABS 2015-9-0                   4</t>
  </si>
  <si>
    <t>1271403</t>
  </si>
  <si>
    <t>AM-S-12 + PP1, de eng fr,TG ABS 2015-9-0             13</t>
  </si>
  <si>
    <t>1271404</t>
  </si>
  <si>
    <t>AM-S-12 + PP1 + MC-Rel3/4 + Zeitrelais,</t>
  </si>
  <si>
    <t>1271405</t>
  </si>
  <si>
    <t>AM-S-12 + PP2, de eng fr,TG ABS 2015-9-0             14</t>
  </si>
  <si>
    <t>1271406</t>
  </si>
  <si>
    <t>AM-S-12 + PP2 + MC-Rel3/4 + Zeitrelais,</t>
  </si>
  <si>
    <t>1271407</t>
  </si>
  <si>
    <t>AM-S-12 + MC-Rel3/4 + Zeitrelais,                    16</t>
  </si>
  <si>
    <t>1271500</t>
  </si>
  <si>
    <t>AM-S-EV-Platine                                       5</t>
  </si>
  <si>
    <t>1271501</t>
  </si>
  <si>
    <t>AM-S-EV + PP1 + MC-Rel3/4 + Zeitrelais,</t>
  </si>
  <si>
    <t>1271502</t>
  </si>
  <si>
    <t>AM-S-EV + PP2, de eng fr, ET223                      16</t>
  </si>
  <si>
    <t>1271503</t>
  </si>
  <si>
    <t>AM-S-EV + PP2 + MC-Rel3/4 + Zeitrelais,</t>
  </si>
  <si>
    <t>1271504</t>
  </si>
  <si>
    <t>AM-S-EV + MC-Rel3/4 + Zeitrelais,                    17</t>
  </si>
  <si>
    <t>1271600</t>
  </si>
  <si>
    <t>AM-S-EV-12-Platine                                    5</t>
  </si>
  <si>
    <t>1271601</t>
  </si>
  <si>
    <t>AM-S-EV-12 + PP1 + MC-Rel3/4 +Zeitrelais             24</t>
  </si>
  <si>
    <t>1271602</t>
  </si>
  <si>
    <t>AM-S-EV-12 + PP2, de eng fr, TG ABS                  14</t>
  </si>
  <si>
    <t>1271603</t>
  </si>
  <si>
    <t>AM-S-EV-12 + PP2 + MC-Rel3/4 +Zeitrelais</t>
  </si>
  <si>
    <t>1271604</t>
  </si>
  <si>
    <t>AM-S-EV-12 + MC-Rel3/4 + Zeitrelais</t>
  </si>
  <si>
    <t>1271700</t>
  </si>
  <si>
    <t>RZ4 (Flughafen), int, CC6000</t>
  </si>
  <si>
    <t>1271701</t>
  </si>
  <si>
    <t>RZ4-M+MC-MABM (Heinemann), int, Einbau</t>
  </si>
  <si>
    <t>1271702</t>
  </si>
  <si>
    <t>RZ4-M+MC-MABM (Heinemann), int, CC6000</t>
  </si>
  <si>
    <t>1271703</t>
  </si>
  <si>
    <t>RZ4-M+MC-MABM (OC)+o.SL, int, Einbau</t>
  </si>
  <si>
    <t>1271704</t>
  </si>
  <si>
    <t>RZ4-M+MC-MABM (OC-Heinemann)+m.SL, int,</t>
  </si>
  <si>
    <t>1271705</t>
  </si>
  <si>
    <t>RZ-4-M+MC-MABM (OC-Heinemann)+o.SL, int,</t>
  </si>
  <si>
    <t>1271706</t>
  </si>
  <si>
    <t>RZ4-M+MC-M (0,75A), int, Einbau, Folie</t>
  </si>
  <si>
    <t>1271800</t>
  </si>
  <si>
    <t>PDS 1,0kW/50Hz o. Bremsspannung (1,5kWFU</t>
  </si>
  <si>
    <t>1271801</t>
  </si>
  <si>
    <t>PDS 1,0kW/50Hz m.Bremsspannung (1,5KWFU)             90</t>
  </si>
  <si>
    <t>1271802</t>
  </si>
  <si>
    <t>PDS 1,5kW/25Hz m.Bremsspannung (1,5kWFU)             90</t>
  </si>
  <si>
    <t>1271803</t>
  </si>
  <si>
    <t>PDS 1,5kW/50Hz m.Bremsspannung (2,2kWFU)             53</t>
  </si>
  <si>
    <t>1271804</t>
  </si>
  <si>
    <t>PDS 2,2kW/25Hz m.Bremsspannung (2,2kWFU)             94</t>
  </si>
  <si>
    <t>1271805</t>
  </si>
  <si>
    <t>PDS 1,5kW/25Hz o. Bremsspannung im AE-</t>
  </si>
  <si>
    <t>1271806</t>
  </si>
  <si>
    <t>PDS 1,0kW/50Hz o.Bremsspannung (1,5kWFU)</t>
  </si>
  <si>
    <t>1271807</t>
  </si>
  <si>
    <t>PDS 1,0kW/50Hz m.Bremsspannung (1,5kWFU)</t>
  </si>
  <si>
    <t>1271808</t>
  </si>
  <si>
    <t>PDS 1,5kW/25Hz m. Bremsspannung im</t>
  </si>
  <si>
    <t>1271809</t>
  </si>
  <si>
    <t>PDS 1,5kW/50Hz m.Bremsspannung (2,2kWFU)</t>
  </si>
  <si>
    <t>1271810</t>
  </si>
  <si>
    <t>PDS 2,2kW/25HZ m. Bremsspannung im</t>
  </si>
  <si>
    <t>1271811</t>
  </si>
  <si>
    <t>FAS-BO3.0-Platine                                     5</t>
  </si>
  <si>
    <t>1271812</t>
  </si>
  <si>
    <t>A-USV-Platine                                         5</t>
  </si>
  <si>
    <t>1271813</t>
  </si>
  <si>
    <t>Adapter Fernbedienung RZ8/RZ24                        1</t>
  </si>
  <si>
    <t>1271814</t>
  </si>
  <si>
    <t>DCDC Wandler 24/540</t>
  </si>
  <si>
    <t>1271900</t>
  </si>
  <si>
    <t>RZ7-NT24, int, CC6000 mit Flanschplatte              34</t>
  </si>
  <si>
    <t>1271901</t>
  </si>
  <si>
    <t>RZ7-NT24, int, AluRail, gr. Folie lose +             29</t>
  </si>
  <si>
    <t>1271902</t>
  </si>
  <si>
    <t>RZ7-NT24+BMZ2+RZ7-K-Relais einfach, int,</t>
  </si>
  <si>
    <t>1271903</t>
  </si>
  <si>
    <t>RZ7-NT24+BMZ2+RZ7-K-Relais doppelt, int,             39</t>
  </si>
  <si>
    <t>1271904</t>
  </si>
  <si>
    <t>RZ7-NT24+BMZ2, int, CC6000 mit                       40</t>
  </si>
  <si>
    <t>1271905</t>
  </si>
  <si>
    <t>1271906</t>
  </si>
  <si>
    <t>RZ7-NT24+BMZ2+RZ7-K-Relais doppelt, int,</t>
  </si>
  <si>
    <t>1271907</t>
  </si>
  <si>
    <t>RZ7-NT24+BMZ2, int, AluRail, gr. Folie               32</t>
  </si>
  <si>
    <t>1271908</t>
  </si>
  <si>
    <t>RZ7-8IO-Platine</t>
  </si>
  <si>
    <t>1271909</t>
  </si>
  <si>
    <t>RZ7-FAA-Platine                                      16</t>
  </si>
  <si>
    <t>1271910</t>
  </si>
  <si>
    <t>RZ7-FAA+Rel-Platine                                  22</t>
  </si>
  <si>
    <t>1271911</t>
  </si>
  <si>
    <t>RZ7-FAA+BS+Schloß, de eng fr, BCD200</t>
  </si>
  <si>
    <t>1271912</t>
  </si>
  <si>
    <t>RZ7-FAA+BS+Schloß+SL (Gelbau), de eng fr</t>
  </si>
  <si>
    <t>1271913</t>
  </si>
  <si>
    <t>RZ7-FAA+REL+BS+Schloß, de eng fr, BCD200</t>
  </si>
  <si>
    <t>1271914</t>
  </si>
  <si>
    <t>RZ7-FAA+REL+BS+Schloß+SL (Gelbau)</t>
  </si>
  <si>
    <t>1271915</t>
  </si>
  <si>
    <t>RZ7-K-Relaisplatine einfach</t>
  </si>
  <si>
    <t>1271916</t>
  </si>
  <si>
    <t>RZ7-Klemmplatine</t>
  </si>
  <si>
    <t>1271917</t>
  </si>
  <si>
    <t>RZ7-FAA, de eng fr, Einbau, Folie lose+              21</t>
  </si>
  <si>
    <t>1271918</t>
  </si>
  <si>
    <t>RZ7-FAA+REL, de eng fr, Einbau, Folie                22</t>
  </si>
  <si>
    <t>1271919</t>
  </si>
  <si>
    <t>RZ7-Klemmplatine doppelt</t>
  </si>
  <si>
    <t>1271920</t>
  </si>
  <si>
    <t>RZ7-NT24+BMZ2, int, AluRail in RITTAL                49</t>
  </si>
  <si>
    <t>1271921</t>
  </si>
  <si>
    <t>RZ 7-FTA-Platine                                      1</t>
  </si>
  <si>
    <t>1271922</t>
  </si>
  <si>
    <t>RZ7-NT24, int., Bandkabel gesteckt,                  31</t>
  </si>
  <si>
    <t>1271923</t>
  </si>
  <si>
    <t>RZ7-NT24+BMZ2, int., Bandkabel gesteckt              37</t>
  </si>
  <si>
    <t>1271940</t>
  </si>
  <si>
    <t>Aufpreis Folie RZ7-FAA fremdländisch,</t>
  </si>
  <si>
    <t>1271941</t>
  </si>
  <si>
    <t>Aufpreis Folie RZ7-FAA+REL fremdländisch</t>
  </si>
  <si>
    <t>1272000</t>
  </si>
  <si>
    <t>MC.1.1PLCC-Platine (Heinemann)                        7</t>
  </si>
  <si>
    <t>1272001</t>
  </si>
  <si>
    <t>MC1.1PLCC-Platine (OC)                               11</t>
  </si>
  <si>
    <t>1272002</t>
  </si>
  <si>
    <t>MC1.1PLCC-Platine (OC-Heinemann)                     12</t>
  </si>
  <si>
    <t>1272003</t>
  </si>
  <si>
    <t>MC1.1PLCC-Platine (Flughafenvariante)                 9</t>
  </si>
  <si>
    <t>1272004</t>
  </si>
  <si>
    <t>MC-KL.2-Platine, OC mit SL                            8</t>
  </si>
  <si>
    <t>1272005</t>
  </si>
  <si>
    <t>MC-KL.2-Platine, OC ohne SL                           5</t>
  </si>
  <si>
    <t>1272006</t>
  </si>
  <si>
    <t>MC-EV-Platine+MC-Z, LM317+KK (230V)                  11</t>
  </si>
  <si>
    <t>1272007</t>
  </si>
  <si>
    <t>MC-EV-Platine+MC-Z, LM317+KK, FM  (110V,</t>
  </si>
  <si>
    <t>1272008</t>
  </si>
  <si>
    <t>MC-EV-Platine+MC-Z, LM317+KK, FM (120V,              19</t>
  </si>
  <si>
    <t>1272009</t>
  </si>
  <si>
    <t>MC-EV-Platine+MC-Z, LM317+KK, Flughafen-</t>
  </si>
  <si>
    <t>1272010</t>
  </si>
  <si>
    <t>MC-Z-Platine</t>
  </si>
  <si>
    <t>1272011</t>
  </si>
  <si>
    <t>MC-REL 3/4-Platine mit MOFU                           2</t>
  </si>
  <si>
    <t>1272012</t>
  </si>
  <si>
    <t>RZ3-REL 6-Platine, Aufbau nach Kunden -</t>
  </si>
  <si>
    <t>1272013</t>
  </si>
  <si>
    <t>Adapter für RZ3,RZ54 externes Setzen und</t>
  </si>
  <si>
    <t>1272014</t>
  </si>
  <si>
    <t>Adapter für RZ3 Hupe und Auslösung Rück-              2</t>
  </si>
  <si>
    <t>1272015</t>
  </si>
  <si>
    <t>1272016</t>
  </si>
  <si>
    <t>Platine AM-U für G12/G30                              1</t>
  </si>
  <si>
    <t>1272017</t>
  </si>
  <si>
    <t>Platine AM-U für G45                                  1</t>
  </si>
  <si>
    <t>1272018</t>
  </si>
  <si>
    <t>Platine AM-U für G 120-E                              1</t>
  </si>
  <si>
    <t>1272019</t>
  </si>
  <si>
    <t>AM-U Relaisplatine                                    2</t>
  </si>
  <si>
    <t>1272020</t>
  </si>
  <si>
    <t>AM-U-EV Relaisplatine                                 2</t>
  </si>
  <si>
    <t>1272100</t>
  </si>
  <si>
    <t>RZ3-Meico, int, CC6000                               43</t>
  </si>
  <si>
    <t>1272101</t>
  </si>
  <si>
    <t>RZ3-1,5+BS, int, CC7000</t>
  </si>
  <si>
    <t>1272102</t>
  </si>
  <si>
    <t>RZ3-0,7 (Flughafen), int, CC7000                     44</t>
  </si>
  <si>
    <t>1272103</t>
  </si>
  <si>
    <t>RZ3-0,7+MC-REL3/4 vvd, int, CC7000                   45</t>
  </si>
  <si>
    <t>1272104</t>
  </si>
  <si>
    <t>RZ3-0,7+110V/115V Trafo(FM), int, CC7000             49</t>
  </si>
  <si>
    <t>1272105</t>
  </si>
  <si>
    <t>RZ3-1,5+MC-EABM+BS, int, CC7000</t>
  </si>
  <si>
    <t>1272106</t>
  </si>
  <si>
    <t>RZ3-M+MC-MABM, int, Einbau, Folie lose +             31</t>
  </si>
  <si>
    <t>1272107</t>
  </si>
  <si>
    <t>RZ3-M+MC-M 0,75A, int, Einbau</t>
  </si>
  <si>
    <t>1272108</t>
  </si>
  <si>
    <t>RZ3-M+MC-MABM+MC-EABM (Heinemann), int,              33</t>
  </si>
  <si>
    <t>1272109</t>
  </si>
  <si>
    <t>RZ3-M-0,7+MC-MABM+MC-EABM (Heinemann)                45</t>
  </si>
  <si>
    <t>1272110</t>
  </si>
  <si>
    <t>RZ3-M-1,5+MC-MABM+MC-EABM, int, CC7000               45</t>
  </si>
  <si>
    <t>1272111</t>
  </si>
  <si>
    <t>RZ3-M-0,7+MC-MABM+MC-EABM (Flughafen-                47</t>
  </si>
  <si>
    <t>1272112</t>
  </si>
  <si>
    <t>RZ3-M-0,7+MC-MABM+MC-EABM+MC-Rel3/4                  51</t>
  </si>
  <si>
    <t>1272113</t>
  </si>
  <si>
    <t>RZ3-M-0,7+MC-MABM+MC-EABM+110V/115V</t>
  </si>
  <si>
    <t>1272114</t>
  </si>
  <si>
    <t>RZ3-M-0,7+MC-MABM+MC-EABM+120V/125V                  51</t>
  </si>
  <si>
    <t>1272115</t>
  </si>
  <si>
    <t>RZ3-M+MC-MABM (OC) +o.SL, int, Einbau                40</t>
  </si>
  <si>
    <t>1272116</t>
  </si>
  <si>
    <t>RZ3-M+MC-MABM+MSS (OC)+o.SL, int, Einbau</t>
  </si>
  <si>
    <t>1272117</t>
  </si>
  <si>
    <t>RZ3-M+MC-MABM (OC-Heinemann)+o.SL, int,              41</t>
  </si>
  <si>
    <t>1272118</t>
  </si>
  <si>
    <t>RZ3-M+MC-MABM (OC-Heinemann)+m.SL,</t>
  </si>
  <si>
    <t>1272119</t>
  </si>
  <si>
    <t>RZ3-M-1,5+MC-MABM+MC-EABM (OC-Heinemann)             52</t>
  </si>
  <si>
    <t>1272120</t>
  </si>
  <si>
    <t>RZ3-M-1,5+MC-MABM+MSS vvd (OC)+o.SL, int             51</t>
  </si>
  <si>
    <t>1272121</t>
  </si>
  <si>
    <t>RZ3-M-1,5+MC-MABM+MSS vvd (OC-Heinemann)</t>
  </si>
  <si>
    <t>1272122</t>
  </si>
  <si>
    <t>RZ3-M-1,5+MC-MABM+MC-EABM (OC)+o.SL+</t>
  </si>
  <si>
    <t>1272123</t>
  </si>
  <si>
    <t>RZ3-M-1,5+MC-MABM+MC-EABM (OC-Heinemann)</t>
  </si>
  <si>
    <t>1272124</t>
  </si>
  <si>
    <t>RZ3-M-1,5+MC-MABM+MC-EABM (OC)+ m.SL,                49</t>
  </si>
  <si>
    <t>1272125</t>
  </si>
  <si>
    <t>RZ3-M-1,5+MC-MABM+MSS vvd (OC)+m.SL,int,             61</t>
  </si>
  <si>
    <t>1272126</t>
  </si>
  <si>
    <t>RZ3-M-1,5+MC-MABM+MSS vvd (OC)+ m.SL,                54</t>
  </si>
  <si>
    <t>1272127</t>
  </si>
  <si>
    <t>RZ3-M-1,5+MC-MABM+MC-EABM (OC)+m.SL+BS,</t>
  </si>
  <si>
    <t>1272128</t>
  </si>
  <si>
    <t>RZ3-M-1,5+MC-MABM+MSS vvd (OC)+m.SL+BS</t>
  </si>
  <si>
    <t>1272129</t>
  </si>
  <si>
    <t>RZ3-M+MC-M 0,75A, int, Einbau, Folie</t>
  </si>
  <si>
    <t>1272130</t>
  </si>
  <si>
    <t>RZ3-1,5+MC-Rel3/4 vvd, int, CC7000                   44</t>
  </si>
  <si>
    <t>1272131</t>
  </si>
  <si>
    <t>RZ3-0,4, int, CC6000                                 41</t>
  </si>
  <si>
    <t>1272132</t>
  </si>
  <si>
    <t>RZ3 - F1, Branderkennung mit 12V                     61</t>
  </si>
  <si>
    <t>1272133</t>
  </si>
  <si>
    <t>RZ24, Folie mit Einschieber BSM,                      9</t>
  </si>
  <si>
    <t>1272134</t>
  </si>
  <si>
    <t>RZ24, Folie mit Einschieber BSM,</t>
  </si>
  <si>
    <t>1272200</t>
  </si>
  <si>
    <t>RZ54/24V,  CC6000 mit russischen                     41</t>
  </si>
  <si>
    <t>1272201</t>
  </si>
  <si>
    <t>WSC8                                                 14</t>
  </si>
  <si>
    <t>1272202</t>
  </si>
  <si>
    <t>DELOCK 65269</t>
  </si>
  <si>
    <t>1272300</t>
  </si>
  <si>
    <t>Ansteuerungsmodul BSM,  I / O steckbar               10</t>
  </si>
  <si>
    <t>1272301</t>
  </si>
  <si>
    <t>Ansteuerungsmodul BSM, I - steckbar</t>
  </si>
  <si>
    <t>1272302</t>
  </si>
  <si>
    <t>Ansteuerungsmodul mit EV, BSM</t>
  </si>
  <si>
    <t>1272303</t>
  </si>
  <si>
    <t>Ansteuerungsmodul mit EV,  BSM</t>
  </si>
  <si>
    <t>1272304</t>
  </si>
  <si>
    <t>Ansteuerungsmodul mit PP1, BSM</t>
  </si>
  <si>
    <t>1272305</t>
  </si>
  <si>
    <t>1272306</t>
  </si>
  <si>
    <t>Ansteuerungsmodul mit EV, mit PP1, BSM</t>
  </si>
  <si>
    <t>1272307</t>
  </si>
  <si>
    <t>1272308</t>
  </si>
  <si>
    <t>Ansteuerungsmodul mit PP2, BSM</t>
  </si>
  <si>
    <t>1272309</t>
  </si>
  <si>
    <t>1272310</t>
  </si>
  <si>
    <t>Ansteuerungsmodul mit EV, mit PP2, BSM</t>
  </si>
  <si>
    <t>1272311</t>
  </si>
  <si>
    <t>1272312</t>
  </si>
  <si>
    <t>1272313</t>
  </si>
  <si>
    <t>1272314</t>
  </si>
  <si>
    <t>1272315</t>
  </si>
  <si>
    <t>RZ-24, BSM                                            9</t>
  </si>
  <si>
    <t>1272316</t>
  </si>
  <si>
    <t>RZ-24 mit PP1, BSM</t>
  </si>
  <si>
    <t>1272317</t>
  </si>
  <si>
    <t>RZ-24 mit PP2, BSM</t>
  </si>
  <si>
    <t>1272318</t>
  </si>
  <si>
    <t>Paket Einschieber Tür schließen, eng.</t>
  </si>
  <si>
    <t>1272319</t>
  </si>
  <si>
    <t>Einschieber Tür schließen, finnisch</t>
  </si>
  <si>
    <t>1272320</t>
  </si>
  <si>
    <t>Temperaturfühler mit Adapterstecker                   2</t>
  </si>
  <si>
    <t>1272321</t>
  </si>
  <si>
    <t>Stromversorgung mit Relais, AM-U                     42</t>
  </si>
  <si>
    <t>1272322</t>
  </si>
  <si>
    <t>Steuerung ST700 ABL, S1, ohne Modul                  93</t>
  </si>
  <si>
    <t>1272323</t>
  </si>
  <si>
    <t>Steuerung RZ 3-ECO-VdL                               53</t>
  </si>
  <si>
    <t>1272324</t>
  </si>
  <si>
    <t>Inverter DC/DC 24V/350V, 1kW                         24</t>
  </si>
  <si>
    <t>1272325</t>
  </si>
  <si>
    <t>HC-Steuerung</t>
  </si>
  <si>
    <t>1272326</t>
  </si>
  <si>
    <t>AM-U extern USA mit Filterplatine                    12</t>
  </si>
  <si>
    <t>1272327</t>
  </si>
  <si>
    <t>Netzteil 1.0,  SVG 24 in ET 215, 24VDC,               3</t>
  </si>
  <si>
    <t>1272328</t>
  </si>
  <si>
    <t>Inverter V1.1, DCDC 24V/350V 1 kW                    25</t>
  </si>
  <si>
    <t>1272329</t>
  </si>
  <si>
    <t>UMB-DR  V 1.0                                         6</t>
  </si>
  <si>
    <t>1272330</t>
  </si>
  <si>
    <t>RZ-7 KFAA Controllerplatine</t>
  </si>
  <si>
    <t>1272331</t>
  </si>
  <si>
    <t>AM-M2-EV/S, de eng fr.iSpelsberg TG ABS              16</t>
  </si>
  <si>
    <t>1272332</t>
  </si>
  <si>
    <t>AM-U Funkmodul im TG-ABS 88-9-o                      12</t>
  </si>
  <si>
    <t>1272333</t>
  </si>
  <si>
    <t>AM-U Funkmodul im TG-ABS 88-9-o                      11</t>
  </si>
  <si>
    <t>1272334</t>
  </si>
  <si>
    <t>TG-ABS 88-9-o mit Schalter</t>
  </si>
  <si>
    <t>1272335</t>
  </si>
  <si>
    <t>AM-U Motortester                                     15</t>
  </si>
  <si>
    <t>1272336</t>
  </si>
  <si>
    <t>AM-U Extensionboard Filter 230 V, USA</t>
  </si>
  <si>
    <t>1272337</t>
  </si>
  <si>
    <t>UMB-U Umschaltbox 400V Universal                     13</t>
  </si>
  <si>
    <t>1272338</t>
  </si>
  <si>
    <t>Inverter DC/DC 24V/550V, 1kW                         36</t>
  </si>
  <si>
    <t>1272339</t>
  </si>
  <si>
    <t>Inverter Mean Well, TS 400 - 224B                    11</t>
  </si>
  <si>
    <t>1272340</t>
  </si>
  <si>
    <t>AM-R                                                  6</t>
  </si>
  <si>
    <t>1272341</t>
  </si>
  <si>
    <t>RZ3-F1 Rittal, DAS Zulassung                         77</t>
  </si>
  <si>
    <t>1272343</t>
  </si>
  <si>
    <t>Platine für Handtaster D+H für BSM</t>
  </si>
  <si>
    <t>1272345</t>
  </si>
  <si>
    <t>Thermofühler Adapter AM-U</t>
  </si>
  <si>
    <t>1272346</t>
  </si>
  <si>
    <t>RZ-3-M-1,5+MC-MABM+MC-EABM (OC)</t>
  </si>
  <si>
    <t>1272347</t>
  </si>
  <si>
    <t>RZ 54/24 -  Rel., swe, CC 6000,                      40</t>
  </si>
  <si>
    <t>1272348</t>
  </si>
  <si>
    <t>Platine komplett UMB-U, Rev. 1.1                     13</t>
  </si>
  <si>
    <t>1272349</t>
  </si>
  <si>
    <t>UMB-DR-Platine, Vers. 1.1.</t>
  </si>
  <si>
    <t>1272350</t>
  </si>
  <si>
    <t>RZ 54/24 -  Rel., int.  CC 6000,                     41</t>
  </si>
  <si>
    <t>1272352</t>
  </si>
  <si>
    <t>RZ7-FAA + REL, int. TG ABS 2015-9                    29</t>
  </si>
  <si>
    <t>1272353</t>
  </si>
  <si>
    <t>UMB-DR Rev. 1.2                                       7</t>
  </si>
  <si>
    <t>1272354</t>
  </si>
  <si>
    <t>UMB-DR Rev. 1.2</t>
  </si>
  <si>
    <t>1272355</t>
  </si>
  <si>
    <t>1272356</t>
  </si>
  <si>
    <t>RZ8, Einschieber Close door, int.</t>
  </si>
  <si>
    <t>1272357</t>
  </si>
  <si>
    <t>RZ8 steckbar, Einschieber Close door,                 9</t>
  </si>
  <si>
    <t>1272358</t>
  </si>
  <si>
    <t>MC-Adapter-1, für Brandmeldung</t>
  </si>
  <si>
    <t>1272400</t>
  </si>
  <si>
    <t>RZ7-KR1-Relaisplatine                                 1</t>
  </si>
  <si>
    <t>1272401</t>
  </si>
  <si>
    <t>Protronic Folie RZ3, motorisch, auf                   5</t>
  </si>
  <si>
    <t>1272402</t>
  </si>
  <si>
    <t>Deckelschraube für Gehäuse TG ABS</t>
  </si>
  <si>
    <t>1272405</t>
  </si>
  <si>
    <t>RZ3 (F1)-M-1,5+MC-MABM+MC-EABM+SL                    73</t>
  </si>
  <si>
    <t>1272410</t>
  </si>
  <si>
    <t>RZ54/24, swe, CC6000, Einschieber Previs             40</t>
  </si>
  <si>
    <t>1272500</t>
  </si>
  <si>
    <t>RZ 8, TG2015-9-o, mit Folie RZ8+PP                   10</t>
  </si>
  <si>
    <t>1272501</t>
  </si>
  <si>
    <t>RZ3-M-1,5+MC-MABM+MSS (3,5-5A)                       58</t>
  </si>
  <si>
    <t>1299999</t>
  </si>
  <si>
    <t>Sammelartikel Komplette Steuerungen</t>
  </si>
  <si>
    <t>1310020</t>
  </si>
  <si>
    <t>Oelflex Classic 2x1,5 3m-Fixlänge</t>
  </si>
  <si>
    <t>1310021</t>
  </si>
  <si>
    <t>Oelflex 550P 3 x 1,5  (Kältekabel)</t>
  </si>
  <si>
    <t>1310022</t>
  </si>
  <si>
    <t>Oelflex 550P 4 x 1,5  (Kältekabel)</t>
  </si>
  <si>
    <t>1310023</t>
  </si>
  <si>
    <t>Oelflex - Classic 110  , 5 G 0,75</t>
  </si>
  <si>
    <t>1310024</t>
  </si>
  <si>
    <t>Oelflex - Classic 110,  3 G 1,5</t>
  </si>
  <si>
    <t>1310025</t>
  </si>
  <si>
    <t>Helukabel JZ-500 12 x 0,5</t>
  </si>
  <si>
    <t>1310026</t>
  </si>
  <si>
    <t>Oelflex - Classic 110, 5 G 1,5</t>
  </si>
  <si>
    <t>1310027</t>
  </si>
  <si>
    <t>Oelflex - Classic 110 mit PE , 3 x 1,0</t>
  </si>
  <si>
    <t>1310028</t>
  </si>
  <si>
    <t>Oelflex - 550 H07 BQ-F 3 x 1,5</t>
  </si>
  <si>
    <t>1310029</t>
  </si>
  <si>
    <t>Oelflex - Classic 110 mit PE , 5 x 4,0</t>
  </si>
  <si>
    <t>1310030</t>
  </si>
  <si>
    <t>Oelflex - Classic 110 , 4 G 2,5</t>
  </si>
  <si>
    <t>1310031</t>
  </si>
  <si>
    <t>Oelflex - Classic 110 mit PE , 18 x 1,0</t>
  </si>
  <si>
    <t>1310032</t>
  </si>
  <si>
    <t>Oelflex - Classic 110 mit PE , 12 x 2,5</t>
  </si>
  <si>
    <t>1310033</t>
  </si>
  <si>
    <t>Oelflex - Classic 110 mit PE , 7 x 1,0</t>
  </si>
  <si>
    <t>1310034</t>
  </si>
  <si>
    <t>Oelflex-Classic 110H halogenfrei  18G1,0</t>
  </si>
  <si>
    <t>1310035</t>
  </si>
  <si>
    <t>Oelflex-Classic 110H halogenfrei 14G1,5</t>
  </si>
  <si>
    <t>1310036</t>
  </si>
  <si>
    <t>Oelflex - Classic 110  ,   9 G  0,75</t>
  </si>
  <si>
    <t>1310037</t>
  </si>
  <si>
    <t>Oelflex-Classic 110 H halogenfrei  5G1,5</t>
  </si>
  <si>
    <t>1310038</t>
  </si>
  <si>
    <t>Oelflex-Classic 110 H halogenfrei  9G1,5</t>
  </si>
  <si>
    <t>1310039</t>
  </si>
  <si>
    <t>Oelflex - Classic 110 , 4 G  2,5</t>
  </si>
  <si>
    <t>1310040</t>
  </si>
  <si>
    <t>Oelflex - Classic 110  ,  9 G  0,75 ++++</t>
  </si>
  <si>
    <t>1310041</t>
  </si>
  <si>
    <t>Oelflex-Classic 110 H halogenfrei 4x1,00</t>
  </si>
  <si>
    <t>1310042</t>
  </si>
  <si>
    <t>Oelflex - Classic 110 mit PE , 34 x 0,75</t>
  </si>
  <si>
    <t>1310043</t>
  </si>
  <si>
    <t>Oelflex - Classic 110 mit PE , 32 x 0,75</t>
  </si>
  <si>
    <t>1310044</t>
  </si>
  <si>
    <t>Oelflex Classic 110,  7 G 1,5                         5</t>
  </si>
  <si>
    <t>1310045</t>
  </si>
  <si>
    <t>Oelflex - Classic 110 , 4 x 1,5</t>
  </si>
  <si>
    <t>1310046</t>
  </si>
  <si>
    <t>Oelflex - Classic 110,  3 x 0,75</t>
  </si>
  <si>
    <t>1310047</t>
  </si>
  <si>
    <t>Oelflex Classic110,  12 G 1,5 mm²</t>
  </si>
  <si>
    <t>1310048</t>
  </si>
  <si>
    <t>Oelflex Classic 110, 9 G 1,5</t>
  </si>
  <si>
    <t>1310049</t>
  </si>
  <si>
    <t>Oelflex Classic 110, 2 x 2,5</t>
  </si>
  <si>
    <t>1310050</t>
  </si>
  <si>
    <t>Oelflex Classic 110, 2 x 0,5</t>
  </si>
  <si>
    <t>1310051</t>
  </si>
  <si>
    <t>Oelflex Classic 110, 3 G 2,5 mm²                      6</t>
  </si>
  <si>
    <t>1310055</t>
  </si>
  <si>
    <t>Oelflex-Classic 110H halogenfrei 12G0,5              22</t>
  </si>
  <si>
    <t>1310100</t>
  </si>
  <si>
    <t>Telefonkabel , U - YlY , 16 x 0,14</t>
  </si>
  <si>
    <t>1310101</t>
  </si>
  <si>
    <t>Mantelleitung NYM-J, 7 x 1,5mm²                      11</t>
  </si>
  <si>
    <t>1310300</t>
  </si>
  <si>
    <t>Oelflex - Classic 110 , 12 x 0,75</t>
  </si>
  <si>
    <t>1310301</t>
  </si>
  <si>
    <t>Oelflex - Classic 110 , 2 x 0,75</t>
  </si>
  <si>
    <t>1310302</t>
  </si>
  <si>
    <t>Oelflex 110 H , ohne PE , 3 x 0,75</t>
  </si>
  <si>
    <t>1310303</t>
  </si>
  <si>
    <t>Oelflex - Classic 110 , 7 G 0,75</t>
  </si>
  <si>
    <t>1310304</t>
  </si>
  <si>
    <t>Oelflex - Classic 110,  18 G 0,75</t>
  </si>
  <si>
    <t>1310305</t>
  </si>
  <si>
    <t>Oelflex - Classic 110, ohne PE, 2 x 0,75</t>
  </si>
  <si>
    <t>1310306</t>
  </si>
  <si>
    <t>Oelflex - Classic 110 , 7 x 1,5</t>
  </si>
  <si>
    <t>1310307</t>
  </si>
  <si>
    <t>Oelflex - Classic 115 H , ohne PE ,</t>
  </si>
  <si>
    <t>1310308</t>
  </si>
  <si>
    <t>Oelflex - Classic 110 , 4 x 1,5                       2</t>
  </si>
  <si>
    <t>1310309</t>
  </si>
  <si>
    <t>Oelflex - Classic 110,  12 G 0,75</t>
  </si>
  <si>
    <t>1310310</t>
  </si>
  <si>
    <t>Oelflex-Classic 110 H halogenfrei  4G1,5</t>
  </si>
  <si>
    <t>1310311</t>
  </si>
  <si>
    <t>Oelflex Classic 110 H, 12 G 0,75,                    25</t>
  </si>
  <si>
    <t>1310312</t>
  </si>
  <si>
    <t>Oelflex - Classic 110  , 5 G 2,5</t>
  </si>
  <si>
    <t>1310313</t>
  </si>
  <si>
    <t>Oelflex - Classic 110,  4 G 1,5</t>
  </si>
  <si>
    <t>1310314</t>
  </si>
  <si>
    <t>Silflex SiHF  2 x 0,75</t>
  </si>
  <si>
    <t>1310315</t>
  </si>
  <si>
    <t>Oelflex Classic 110,  2 x 1 o. GNGE</t>
  </si>
  <si>
    <t>1310316</t>
  </si>
  <si>
    <t>Oelflex - Classic 110 , 4 x 0,75</t>
  </si>
  <si>
    <t>1310317</t>
  </si>
  <si>
    <t>Oelflex Classic 110,   2 x 1,5²,</t>
  </si>
  <si>
    <t>1310318</t>
  </si>
  <si>
    <t>Oelflex - Classic 110 ,  7 G  2,5</t>
  </si>
  <si>
    <t>1310319</t>
  </si>
  <si>
    <t>Oelflex - Classic 110,  12 G 1,0                      4</t>
  </si>
  <si>
    <t>1310320</t>
  </si>
  <si>
    <t>Kabel Rheyflex 7 x 0,75</t>
  </si>
  <si>
    <t>1310321</t>
  </si>
  <si>
    <t>Oelflex - Classic 110,  3 G  0,75</t>
  </si>
  <si>
    <t>1310322</t>
  </si>
  <si>
    <t>Oelflex - Classic 110,  7 x 0,75</t>
  </si>
  <si>
    <t>1310323</t>
  </si>
  <si>
    <t>Oelflex-Classic 110, 5 x 4,0</t>
  </si>
  <si>
    <t>1310324</t>
  </si>
  <si>
    <t>Oelflex-Classic 110, 5 x 10,0</t>
  </si>
  <si>
    <t>1310325</t>
  </si>
  <si>
    <t>Oelflex-Classic 110H, halogenfrei, 3G1,5</t>
  </si>
  <si>
    <t>1310326</t>
  </si>
  <si>
    <t>Oelflex-Classic 110H, halogenfrei 7G1,5,             19</t>
  </si>
  <si>
    <t>1310327</t>
  </si>
  <si>
    <t>Oelflex-Classic 110H halogenfrei, 9G0,75</t>
  </si>
  <si>
    <t>1310328</t>
  </si>
  <si>
    <t>Oelflex-Classic 110H halogenfrei 9G1,5               36</t>
  </si>
  <si>
    <t>1310329</t>
  </si>
  <si>
    <t>Oelflex-Classic 110H halogenfrei, 7x0,75             14</t>
  </si>
  <si>
    <t>1310330</t>
  </si>
  <si>
    <t>Oelflex Classic 130 H 12x0,75</t>
  </si>
  <si>
    <t>1310331</t>
  </si>
  <si>
    <t>Oelflex Classic 100, 12G0,75                         11</t>
  </si>
  <si>
    <t>1310332</t>
  </si>
  <si>
    <t>Oelflex Classic 100, 12 G 0,5²                        7</t>
  </si>
  <si>
    <t>1310333</t>
  </si>
  <si>
    <t>Oelflex Classic 110 COLD, 12G0,75,</t>
  </si>
  <si>
    <t>1310334</t>
  </si>
  <si>
    <t>Oelflex Classic FD 810, 12 G 1,5                     50</t>
  </si>
  <si>
    <t>1310335</t>
  </si>
  <si>
    <t>Oelflex Classic FD 810, 7G1,5 mm²                    23</t>
  </si>
  <si>
    <t>1310336</t>
  </si>
  <si>
    <t>Oelflex Classic 110 CH, 4 G 1,0                      25</t>
  </si>
  <si>
    <t>1310337</t>
  </si>
  <si>
    <t>Oelflex Classic 110 H, 7 G 0,75                      13</t>
  </si>
  <si>
    <t>1320001</t>
  </si>
  <si>
    <t>Brandmeldekabel rot,  J-Y , 1 x 2 x 0,8</t>
  </si>
  <si>
    <t>1320002</t>
  </si>
  <si>
    <t>Brandmeldekabel rot, J-Y/ST/Y,</t>
  </si>
  <si>
    <t>1320003</t>
  </si>
  <si>
    <t>Brandmeldekabel J-H (ST)H..BD, 2x2x0,8                5</t>
  </si>
  <si>
    <t>1320004</t>
  </si>
  <si>
    <t>Brandmeldekabel  EX blau, 2 x 2 x 0,8</t>
  </si>
  <si>
    <t>1320005</t>
  </si>
  <si>
    <t>Silflex Sihf</t>
  </si>
  <si>
    <t>1320006</t>
  </si>
  <si>
    <t>Kabel für Laufregler SB 3.3.4</t>
  </si>
  <si>
    <t>1320008</t>
  </si>
  <si>
    <t>Lapp Innenkabel J-Y (ST) Y</t>
  </si>
  <si>
    <t>1320009</t>
  </si>
  <si>
    <t>Innenkabel J-Y (ST) Y, grau</t>
  </si>
  <si>
    <t>1320010</t>
  </si>
  <si>
    <t>Kabel E 30, 5 x 1,5</t>
  </si>
  <si>
    <t>1320011</t>
  </si>
  <si>
    <t>N2XH-FE 180/E30 3G1,5re,or</t>
  </si>
  <si>
    <t>1320012</t>
  </si>
  <si>
    <t>N2XH-FE 180/E30 12G1,5re,or</t>
  </si>
  <si>
    <t>1320013</t>
  </si>
  <si>
    <t>Brandmeldekabel JE-H (ST) HRH 2x2x0,8</t>
  </si>
  <si>
    <t>1320014</t>
  </si>
  <si>
    <t>Spiralleitung Unitronic 4x0,14/500                    2</t>
  </si>
  <si>
    <t>1320015</t>
  </si>
  <si>
    <t>Gummischlauchleitung 1x1,5²                           3</t>
  </si>
  <si>
    <t>1320016</t>
  </si>
  <si>
    <t>Kabel, vorkonfektioniert, 2 x 1, H07RN-F</t>
  </si>
  <si>
    <t>1320017</t>
  </si>
  <si>
    <t>Kabel konfektioniert für CO, 1 m                      1</t>
  </si>
  <si>
    <t>1320018</t>
  </si>
  <si>
    <t>Mantelleitung NYM-J, 3 x 1,5²</t>
  </si>
  <si>
    <t>1320019</t>
  </si>
  <si>
    <t>Kurzschlussfestes Kabel,  Gummileitung</t>
  </si>
  <si>
    <t>1320020</t>
  </si>
  <si>
    <t>Geberkabel MDX-B, konfektioniert                     23</t>
  </si>
  <si>
    <t>1320021</t>
  </si>
  <si>
    <t>Geberkabel, konfektioniert                           11</t>
  </si>
  <si>
    <t>1320025</t>
  </si>
  <si>
    <t>Mantelleitung NYM 3G1,5²</t>
  </si>
  <si>
    <t>1340001</t>
  </si>
  <si>
    <t>Helu Steuerleitung schwarz, Art.Nr 29113</t>
  </si>
  <si>
    <t>1340003</t>
  </si>
  <si>
    <t>Steuerleitung grau</t>
  </si>
  <si>
    <t>1340004</t>
  </si>
  <si>
    <t>Kabel,  H07RN-F, 1 x 6mm²                            12</t>
  </si>
  <si>
    <t>1340005</t>
  </si>
  <si>
    <t>Steuerleitung, Einzelader 0,5 mm²                     1</t>
  </si>
  <si>
    <t>1340006</t>
  </si>
  <si>
    <t>Einzelader H07V-K,1x1,5mm², DBU                       1</t>
  </si>
  <si>
    <t>1340007</t>
  </si>
  <si>
    <t>Einzelader X07V-K2,  1x1,5 mm², DBUWH                 2</t>
  </si>
  <si>
    <t>1340008</t>
  </si>
  <si>
    <t>Steuerleitung, Einzelader, H05V -K</t>
  </si>
  <si>
    <t>1340009</t>
  </si>
  <si>
    <t>Steuerleitung, Einzelader, H05V-K, 0,75²</t>
  </si>
  <si>
    <t>1340010</t>
  </si>
  <si>
    <t>Steuerleitung blau, Helu Art.-Nr. 29115</t>
  </si>
  <si>
    <t>1340011</t>
  </si>
  <si>
    <t>Steuerleitung, Einzelader , H07 VK,</t>
  </si>
  <si>
    <t>1340012</t>
  </si>
  <si>
    <t>Steuerleitung orange, H07 VK, 1,5mm²                  1</t>
  </si>
  <si>
    <t>1340013</t>
  </si>
  <si>
    <t>Steuerleitung, Einzelader, H05 VK</t>
  </si>
  <si>
    <t>1340014</t>
  </si>
  <si>
    <t>Steuerleitung, Einzelader H07 V-K, rot,</t>
  </si>
  <si>
    <t>1340015</t>
  </si>
  <si>
    <t>Steuerleitung, Einzelader, H 07 V-K,  6²</t>
  </si>
  <si>
    <t>1340016</t>
  </si>
  <si>
    <t>Steuerleitung Einzelader 6mm", grün/gelb</t>
  </si>
  <si>
    <t>1340017</t>
  </si>
  <si>
    <t>Notstrom Musterschrank Vertrieb                      85</t>
  </si>
  <si>
    <t>1340019</t>
  </si>
  <si>
    <t>Steuerleitung Einzelader, 0,5mm²                      1</t>
  </si>
  <si>
    <t>1340020</t>
  </si>
  <si>
    <t>Steuerleitung rot, Helu Art.-Nr. 29117</t>
  </si>
  <si>
    <t>1340021</t>
  </si>
  <si>
    <t>Steuerleitung, Einzelader, 1 mm², weiß</t>
  </si>
  <si>
    <t>1340022</t>
  </si>
  <si>
    <t>Steuerleitung H05VK 0,75 mm², dunkelblau</t>
  </si>
  <si>
    <t>1340023</t>
  </si>
  <si>
    <t>AM-U Tender Modi.</t>
  </si>
  <si>
    <t>1340024</t>
  </si>
  <si>
    <t>Rauchmeldergalgen mit Sturzmelder Orbis</t>
  </si>
  <si>
    <t>1340029</t>
  </si>
  <si>
    <t>Steuerleitung, Einzelader, 2,5 mm²</t>
  </si>
  <si>
    <t>1340030</t>
  </si>
  <si>
    <t>Steuerleitung blau</t>
  </si>
  <si>
    <t>1340031</t>
  </si>
  <si>
    <t>Steuerleitung, Einzelader, H07V-K 4                   3</t>
  </si>
  <si>
    <t>1340032</t>
  </si>
  <si>
    <t>Steuerleitung, Einzelader H07V-K 2,5 mm               2</t>
  </si>
  <si>
    <t>1340049</t>
  </si>
  <si>
    <t>Steuerleitung, Einzelader, 1 x 6 mm²                  3</t>
  </si>
  <si>
    <t>1340050</t>
  </si>
  <si>
    <t>Steuerleitung rot,  Helu Art.-Nr. 29117</t>
  </si>
  <si>
    <t>1340051</t>
  </si>
  <si>
    <t>Steuerleitung grün/gelb, H07V-K 1,5 qmm               1</t>
  </si>
  <si>
    <t>1340052</t>
  </si>
  <si>
    <t>Steuerleitung, Einzelader,  2,5 mm²,</t>
  </si>
  <si>
    <t>1340053</t>
  </si>
  <si>
    <t>Steuerleitung blau, 1,5 mm², H07 VK                   1</t>
  </si>
  <si>
    <t>1340054</t>
  </si>
  <si>
    <t>Steuerleitung schwarz</t>
  </si>
  <si>
    <t>1340055</t>
  </si>
  <si>
    <t>Steuerleitung, Einzelader , 1,5² rot</t>
  </si>
  <si>
    <t>1340056</t>
  </si>
  <si>
    <t>Steuerleitung, Einzelader, 1 mm², blau</t>
  </si>
  <si>
    <t>1340057</t>
  </si>
  <si>
    <t>Steuerleitung, Einzelader , 1 mm², rot</t>
  </si>
  <si>
    <t>1340060</t>
  </si>
  <si>
    <t>Steuerleitung, Einzelader,  1 x 2,5 mm²,</t>
  </si>
  <si>
    <t>1340061</t>
  </si>
  <si>
    <t>Steuerleitung, Einzelader, 1 x 1,5 mm²,               1</t>
  </si>
  <si>
    <t>1340062</t>
  </si>
  <si>
    <t>Steuerleitung violet, Helu Nr. 29120</t>
  </si>
  <si>
    <t>1340063</t>
  </si>
  <si>
    <t>Flachbandkabel 26-polig, Rolle a 100 m</t>
  </si>
  <si>
    <t>1340064</t>
  </si>
  <si>
    <t>Helukabel JZ-500, 3 x 1,5 qmm</t>
  </si>
  <si>
    <t>1340065</t>
  </si>
  <si>
    <t>Helukabel JZ-500, 4 x 1,5 qmm</t>
  </si>
  <si>
    <t>1340066</t>
  </si>
  <si>
    <t>Helukabel JZ-500, 12 x 0,75 qmm</t>
  </si>
  <si>
    <t>1340067</t>
  </si>
  <si>
    <t>Silikonkabel Typ SIHF 3 x 1</t>
  </si>
  <si>
    <t>1340068</t>
  </si>
  <si>
    <t>Spiralkabel, Ölflex Spiral 400 P 2 x0,75              2</t>
  </si>
  <si>
    <t>1340069</t>
  </si>
  <si>
    <t>Kabel, kurzschlussfest, H07 RN-F, 1x2,5</t>
  </si>
  <si>
    <t>1340070</t>
  </si>
  <si>
    <t>AM-U / ASR Steckverbinder Verbindungsk.               1</t>
  </si>
  <si>
    <t>1340071</t>
  </si>
  <si>
    <t>AM-U-Einbaudose Kupplung M12 3polig 4A</t>
  </si>
  <si>
    <t>1340072</t>
  </si>
  <si>
    <t>AM-U-Einbaudose Stecker M12 3polig 4A</t>
  </si>
  <si>
    <t>1340073</t>
  </si>
  <si>
    <t>AM-U / ASRSteckverbinder Verbindungsk.                1</t>
  </si>
  <si>
    <t>1340074</t>
  </si>
  <si>
    <t>AM-U-Einbaudose Kupplung M12 8polig 2A</t>
  </si>
  <si>
    <t>1340075</t>
  </si>
  <si>
    <t>AM-U-Einbaudose Stecker M12 8polig 2A</t>
  </si>
  <si>
    <t>1340076</t>
  </si>
  <si>
    <t>AM-U Kabel GT1533240211ZWG01</t>
  </si>
  <si>
    <t>1340077</t>
  </si>
  <si>
    <t>AM-U Adapter</t>
  </si>
  <si>
    <t>1340078</t>
  </si>
  <si>
    <t>Baugruppe Motorkabel AM-U                             2</t>
  </si>
  <si>
    <t>1340079</t>
  </si>
  <si>
    <t>Baugruppe G120-E mit RS Components                   24</t>
  </si>
  <si>
    <t>1340080</t>
  </si>
  <si>
    <t>Baugruppe G45-E mit RS Components                    19</t>
  </si>
  <si>
    <t>1340081</t>
  </si>
  <si>
    <t>Baugruppe G30-E mit RS Components                    16</t>
  </si>
  <si>
    <t>1340082</t>
  </si>
  <si>
    <t>Baugruppe G120-E mit RS Components                    6</t>
  </si>
  <si>
    <t>1340083</t>
  </si>
  <si>
    <t>Baugruppe G45-E mit RS Components                    21</t>
  </si>
  <si>
    <t>1340084</t>
  </si>
  <si>
    <t>Baugruppe G30-E mit RS Components                     7</t>
  </si>
  <si>
    <t>1340085</t>
  </si>
  <si>
    <t>Baugruppe Motorkabel halogenfrei                      4</t>
  </si>
  <si>
    <t>1340086</t>
  </si>
  <si>
    <t>Baugruppe G120-E mit 4/6 Molex und</t>
  </si>
  <si>
    <t>1340087</t>
  </si>
  <si>
    <t>Baugruppe G45-E mit 4/6 Molex und</t>
  </si>
  <si>
    <t>1340088</t>
  </si>
  <si>
    <t>Baugruppe G30-E mit 4/6 Molex und                    17</t>
  </si>
  <si>
    <t>1340090</t>
  </si>
  <si>
    <t>AM-U Netzeinspeisung M12--&gt;Schuko                    45</t>
  </si>
  <si>
    <t>1340091</t>
  </si>
  <si>
    <t>AM-U / ASR-Steckverbinder Verbindungsk.              81</t>
  </si>
  <si>
    <t>1340092</t>
  </si>
  <si>
    <t>AM-U / ASR Steckverbinder Verbindungsk.           1.19</t>
  </si>
  <si>
    <t>1340093</t>
  </si>
  <si>
    <t>AM-U Feld konfektionierbarer Stecker                 60</t>
  </si>
  <si>
    <t>1340094</t>
  </si>
  <si>
    <t>AM-U Feld konfektionierbarer Stecker                 51</t>
  </si>
  <si>
    <t>1340095</t>
  </si>
  <si>
    <t>AM-U Motor-Anschlußleitung, komplett</t>
  </si>
  <si>
    <t>1340096</t>
  </si>
  <si>
    <t>AM-U Adapter mit Einbaudose für Rohr -               85</t>
  </si>
  <si>
    <t>1340097</t>
  </si>
  <si>
    <t>AM-U Motorleitung Kupplung 2,5 m                      3</t>
  </si>
  <si>
    <t>1340098</t>
  </si>
  <si>
    <t>AM-U / ASR Motorleitung Kupplung 5,0 m                2</t>
  </si>
  <si>
    <t>1340099</t>
  </si>
  <si>
    <t>AM-U / ASR Kabeldosen Anschlußset 10 m</t>
  </si>
  <si>
    <t>1340100</t>
  </si>
  <si>
    <t>AM-U Ein- und Ausgang steckbar komplett</t>
  </si>
  <si>
    <t>1340101</t>
  </si>
  <si>
    <t>AM-U mit Ausgang M12 steckbar komplett</t>
  </si>
  <si>
    <t>1340102</t>
  </si>
  <si>
    <t>AM-U-EV Ein-und Ausgang steckbar kompl               14</t>
  </si>
  <si>
    <t>1340103</t>
  </si>
  <si>
    <t>AM-U-EV mit Ausgang M12 steckbar kompl</t>
  </si>
  <si>
    <t>1340104</t>
  </si>
  <si>
    <t>AM-U Kabeldosen Anschlußset 10 m                      4</t>
  </si>
  <si>
    <t>1340106</t>
  </si>
  <si>
    <t>AM-U-EV Ein- Ausgang steckbar komplett               19</t>
  </si>
  <si>
    <t>1340107</t>
  </si>
  <si>
    <t>AM-U-EV  Ausgang M12 steckbar komplett</t>
  </si>
  <si>
    <t>1340108</t>
  </si>
  <si>
    <t>AM-U mit Ausgang M12 CO steckbar                     12</t>
  </si>
  <si>
    <t>1340109</t>
  </si>
  <si>
    <t>AM-U Ein- und Ausgang steckbar komplett              15</t>
  </si>
  <si>
    <t>1340110</t>
  </si>
  <si>
    <t>AM-U Motorleitung Kupplung 2,5 m</t>
  </si>
  <si>
    <t>1340111</t>
  </si>
  <si>
    <t>AM-U Motorleitung Kupplung 5,0 m</t>
  </si>
  <si>
    <t>1340112</t>
  </si>
  <si>
    <t>1340113</t>
  </si>
  <si>
    <t>Einbausteckverbinder RSFM 4/0,5 M                     1</t>
  </si>
  <si>
    <t>1340114</t>
  </si>
  <si>
    <t>Befestigung RSKFM 16</t>
  </si>
  <si>
    <t>1340115</t>
  </si>
  <si>
    <t>Sicherheitskabel, halogenfrei, 0,6/1kV</t>
  </si>
  <si>
    <t>1340116</t>
  </si>
  <si>
    <t>1340117</t>
  </si>
  <si>
    <t>AMU-Verbindungssatz                                   2</t>
  </si>
  <si>
    <t>1340118</t>
  </si>
  <si>
    <t>Anschlussleitung HO7RN-F, 3 G 1,5                     7</t>
  </si>
  <si>
    <t>1340119</t>
  </si>
  <si>
    <t>Anschlussleitung HO7RN-F, 5 G  2,5                   16</t>
  </si>
  <si>
    <t>1340120</t>
  </si>
  <si>
    <t>Steuerleitung Einzelader, 4mm², orange</t>
  </si>
  <si>
    <t>1340121</t>
  </si>
  <si>
    <t>Steuerleitung, Einzelader H05V-K, 1mm²</t>
  </si>
  <si>
    <t>1340122</t>
  </si>
  <si>
    <t>1340123</t>
  </si>
  <si>
    <t>Steuerleitung, Einzelader, H07V-K,                    1</t>
  </si>
  <si>
    <t>1340131</t>
  </si>
  <si>
    <t>AM-U mit Ausgang M12 steckb. Softw.Rev21             14</t>
  </si>
  <si>
    <t>1340132</t>
  </si>
  <si>
    <t>AM-U Steckbar Sondergehäuse                          25</t>
  </si>
  <si>
    <t>1340133</t>
  </si>
  <si>
    <t>AM-U Steckbar Sondergehäuse Harting</t>
  </si>
  <si>
    <t>1340190</t>
  </si>
  <si>
    <t>AM-U Ein-und Ausgang steckbar komplett</t>
  </si>
  <si>
    <t>1340191</t>
  </si>
  <si>
    <t>1340192</t>
  </si>
  <si>
    <t>AM-U-EV Ein-und Ausgang steckbar kompl</t>
  </si>
  <si>
    <t>1340193</t>
  </si>
  <si>
    <t>1340199</t>
  </si>
  <si>
    <t>AM-U mit Ausgang M12 steckbar komplett               43</t>
  </si>
  <si>
    <t>1340200</t>
  </si>
  <si>
    <t>ASR Ein- Ausgang steckbar komplett                   14</t>
  </si>
  <si>
    <t>1340201</t>
  </si>
  <si>
    <t>ASR Ausgang M12 steckbar komplett                    12</t>
  </si>
  <si>
    <t>1340202</t>
  </si>
  <si>
    <t>ASR-EV Ein-Ausgang steckbar komplett                 15</t>
  </si>
  <si>
    <t>1340203</t>
  </si>
  <si>
    <t>ASR-EV Ausgang M12 steckbar komplett                 18</t>
  </si>
  <si>
    <t>1340301</t>
  </si>
  <si>
    <t>Handtaster Stöbich orange</t>
  </si>
  <si>
    <t>1340302</t>
  </si>
  <si>
    <t>Handtaster BSM orange                                 2</t>
  </si>
  <si>
    <t>1340303</t>
  </si>
  <si>
    <t>Handtaster Stöbich gelb                               3</t>
  </si>
  <si>
    <t>1340310</t>
  </si>
  <si>
    <t>AM-U Ein- und Ausgang steckbar SW 21                  9</t>
  </si>
  <si>
    <t>1340311</t>
  </si>
  <si>
    <t>AM-U mit Ausgang M12 steckbar SW 21                   9</t>
  </si>
  <si>
    <t>1340312</t>
  </si>
  <si>
    <t>AM-U-EV Ein-und Ausgang steckbar SW 21</t>
  </si>
  <si>
    <t>1340313</t>
  </si>
  <si>
    <t>AM-U-EV mit Ausgang M12 steckbar SW 21</t>
  </si>
  <si>
    <t>1340314</t>
  </si>
  <si>
    <t>Filterplatine AM-U kompl.</t>
  </si>
  <si>
    <t>1340320</t>
  </si>
  <si>
    <t>Adapterleitung AM-U, 1m</t>
  </si>
  <si>
    <t>1340321</t>
  </si>
  <si>
    <t>Adapterleitung AM-U, 2m                               1</t>
  </si>
  <si>
    <t>1340322</t>
  </si>
  <si>
    <t>Adapterleitung AM-U, 3m                               1</t>
  </si>
  <si>
    <t>1340323</t>
  </si>
  <si>
    <t>Adapterleitung AM-U, 5m</t>
  </si>
  <si>
    <t>1340324</t>
  </si>
  <si>
    <t>Adapterleitung AM-U, 10m</t>
  </si>
  <si>
    <t>1399999</t>
  </si>
  <si>
    <t>Sammelartikel Kabel</t>
  </si>
  <si>
    <t>1400001</t>
  </si>
  <si>
    <t>Abzweigdose Spelsberg Q 4- leer</t>
  </si>
  <si>
    <t>1400002</t>
  </si>
  <si>
    <t>Spelsberg Abzweigkasten I 16 Leer Grau</t>
  </si>
  <si>
    <t>1400003</t>
  </si>
  <si>
    <t>Hensel Abzweigkasten, Feuchtraum</t>
  </si>
  <si>
    <t>1400004</t>
  </si>
  <si>
    <t>OBO Feuchtraum-Abzweigkasten</t>
  </si>
  <si>
    <t>1400005</t>
  </si>
  <si>
    <t>Feuchtraum-Abzw-Kasten Hensel</t>
  </si>
  <si>
    <t>1400006</t>
  </si>
  <si>
    <t>Abzweigkasten VDE FR, 7 i</t>
  </si>
  <si>
    <t>1400007</t>
  </si>
  <si>
    <t>Isolierte Klemmleisten Werit Nummer16021</t>
  </si>
  <si>
    <t>1400008</t>
  </si>
  <si>
    <t>Abzweigklemme Werit Nummer1082</t>
  </si>
  <si>
    <t>1400009</t>
  </si>
  <si>
    <t>Membrantülle /metrische Bohrung</t>
  </si>
  <si>
    <t>1400010</t>
  </si>
  <si>
    <t>Befestigungssockel KZB2K4,8                           1</t>
  </si>
  <si>
    <t>1400011</t>
  </si>
  <si>
    <t>Hohlwanddose 6000-42</t>
  </si>
  <si>
    <t>1400012</t>
  </si>
  <si>
    <t>Feinsicherungen 0.5A mittelträge</t>
  </si>
  <si>
    <t>1400013</t>
  </si>
  <si>
    <t>Feinsicherungen 1.0A mittelträge</t>
  </si>
  <si>
    <t>1400014</t>
  </si>
  <si>
    <t>Feinsicherungen 1.6A mittelträge</t>
  </si>
  <si>
    <t>1400015</t>
  </si>
  <si>
    <t>Feinsicherungen 2.0A mittelträge</t>
  </si>
  <si>
    <t>1400016</t>
  </si>
  <si>
    <t>Feinsicherungen 6.3A mittelträge</t>
  </si>
  <si>
    <t>1400017</t>
  </si>
  <si>
    <t>Feinsicherung 10 A mittelträge</t>
  </si>
  <si>
    <t>1400018</t>
  </si>
  <si>
    <t>Feinsicherungen 4 A mittelträge</t>
  </si>
  <si>
    <t>1400019</t>
  </si>
  <si>
    <t>Feinsicherungen 0,16 mittelträge</t>
  </si>
  <si>
    <t>1400020</t>
  </si>
  <si>
    <t>Feinsicherungen 3,15 mittelträge</t>
  </si>
  <si>
    <t>1400021</t>
  </si>
  <si>
    <t>Feinsicherungen 500mA mittelträge</t>
  </si>
  <si>
    <t>1400022</t>
  </si>
  <si>
    <t>Feinsicherung 1,25 A, mittelträge</t>
  </si>
  <si>
    <t>1400023</t>
  </si>
  <si>
    <t>Feinsicherung 8A, mittelträge</t>
  </si>
  <si>
    <t>1400024</t>
  </si>
  <si>
    <t>Isolierband schwarz Nr. 4186</t>
  </si>
  <si>
    <t>1400025</t>
  </si>
  <si>
    <t>Hensel-Abzweigdose, hart</t>
  </si>
  <si>
    <t>1400026</t>
  </si>
  <si>
    <t>Delta-Stechdosen Aufputz</t>
  </si>
  <si>
    <t>1400027</t>
  </si>
  <si>
    <t>Delta-Stechdosen Aufputz                              1</t>
  </si>
  <si>
    <t>1400028</t>
  </si>
  <si>
    <t>1400029</t>
  </si>
  <si>
    <t>Spelsb. Feuchtraumabzweigdosen</t>
  </si>
  <si>
    <t>1400030</t>
  </si>
  <si>
    <t>Ex - Klemmdose mit 15 Klemmen                        10</t>
  </si>
  <si>
    <t>1400031</t>
  </si>
  <si>
    <t>Feinsicherungen 200mA mittelträge</t>
  </si>
  <si>
    <t>1400032</t>
  </si>
  <si>
    <t>Feinsicherungen 315mA mittelträge</t>
  </si>
  <si>
    <t>1400033</t>
  </si>
  <si>
    <t>Feinsicherung, 250mA, mittelträge</t>
  </si>
  <si>
    <t>1400035</t>
  </si>
  <si>
    <t>Bernstein Gehäuse CT-662 122x120x55                   1</t>
  </si>
  <si>
    <t>1400036</t>
  </si>
  <si>
    <t>Gehäuse K164 Bopla</t>
  </si>
  <si>
    <t>1400037</t>
  </si>
  <si>
    <t>Feinsicherungen 125mA mittelträge</t>
  </si>
  <si>
    <t>1400039</t>
  </si>
  <si>
    <t>Anschlußkasten 116,mit Schnellverschluß,</t>
  </si>
  <si>
    <t>1400040</t>
  </si>
  <si>
    <t>Feinsicherungen 630mA mittelträge</t>
  </si>
  <si>
    <t>1400041</t>
  </si>
  <si>
    <t>Spiralverschraubung M16 x 1,5 metrisch</t>
  </si>
  <si>
    <t>1400042</t>
  </si>
  <si>
    <t>Schukostecker, abgewinkelt, weiß, 230V</t>
  </si>
  <si>
    <t>1400043</t>
  </si>
  <si>
    <t>Sicherung Micro Fuse 2 Amp. Träge</t>
  </si>
  <si>
    <t>1400044</t>
  </si>
  <si>
    <t>Sicherung Micro Fuse 4 Amp. Träge</t>
  </si>
  <si>
    <t>1400045</t>
  </si>
  <si>
    <t>Feinsicherung 4 Amp. Träge</t>
  </si>
  <si>
    <t>1400046</t>
  </si>
  <si>
    <t>Bernstein Gehäuse CT-562, ABS                         1</t>
  </si>
  <si>
    <t>1400047</t>
  </si>
  <si>
    <t>Isolierband weiß</t>
  </si>
  <si>
    <t>1400050</t>
  </si>
  <si>
    <t>Abzweigdose EEX Bestellnummer: 8102/21                2</t>
  </si>
  <si>
    <t>1400051</t>
  </si>
  <si>
    <t>Siemens IS Zylindersicherungseinsatz</t>
  </si>
  <si>
    <t>1400055</t>
  </si>
  <si>
    <t>Klemmkasten EEX Bestellnummer: 8146/151-              7</t>
  </si>
  <si>
    <t>1400056</t>
  </si>
  <si>
    <t>Klemmkasten Ex, 8 Klemmen, 6 Ein-                     4</t>
  </si>
  <si>
    <t>1400060</t>
  </si>
  <si>
    <t>Gehäuse Bopla ET 247</t>
  </si>
  <si>
    <t>1400061</t>
  </si>
  <si>
    <t>Polyester-Gehäuse 120x220x90                          1</t>
  </si>
  <si>
    <t>1400062</t>
  </si>
  <si>
    <t>Gehäuse Kpl. CT822</t>
  </si>
  <si>
    <t>1400063</t>
  </si>
  <si>
    <t>Gehäuse ABS, CT- 882                                  2</t>
  </si>
  <si>
    <t>1400064</t>
  </si>
  <si>
    <t>Bernstein Gehäuse CT-722                              1</t>
  </si>
  <si>
    <t>1400065</t>
  </si>
  <si>
    <t>Gehäuse  CT-682                                       1</t>
  </si>
  <si>
    <t>1400066</t>
  </si>
  <si>
    <t>Gehäuse CT-862                                        2</t>
  </si>
  <si>
    <t>1400067</t>
  </si>
  <si>
    <t>Gehäuse CT-872                                        4</t>
  </si>
  <si>
    <t>1400068</t>
  </si>
  <si>
    <t>Gehäuse CT-882                                        2</t>
  </si>
  <si>
    <t>1400069</t>
  </si>
  <si>
    <t>Kleingehäuse Typ CI-K2-145-TS                         1</t>
  </si>
  <si>
    <t>1400070</t>
  </si>
  <si>
    <t>Dessauer Klemmbox 150x150x80                          1</t>
  </si>
  <si>
    <t>1400071</t>
  </si>
  <si>
    <t>Bopla ABS-Gehäuse, T 217</t>
  </si>
  <si>
    <t>1400072</t>
  </si>
  <si>
    <t>Bopla ABS-Gehäuse, T 223                              1</t>
  </si>
  <si>
    <t>1400073</t>
  </si>
  <si>
    <t>Bopla ABS-Gehäuse, T 255                              3</t>
  </si>
  <si>
    <t>1400074</t>
  </si>
  <si>
    <t>Bopla ABS-Gehäuse, T 243                              1</t>
  </si>
  <si>
    <t>1400075</t>
  </si>
  <si>
    <t>Spelsberg Leergehäuse TK PS 1811-6f-0</t>
  </si>
  <si>
    <t>1400076</t>
  </si>
  <si>
    <t>Gehäuse TK IP66 ELS 30TKPS, Spelsberg</t>
  </si>
  <si>
    <t>1400077</t>
  </si>
  <si>
    <t>Spelsberg Gehäuse TG ABS 2015-9-0                     2</t>
  </si>
  <si>
    <t>1400078</t>
  </si>
  <si>
    <t>Gehäuse ET 214 LP Euromas II, RAL 7035                3</t>
  </si>
  <si>
    <t>1400079</t>
  </si>
  <si>
    <t>AP-Wandgehäuse E30 2/00AF300                         73</t>
  </si>
  <si>
    <t>1400080</t>
  </si>
  <si>
    <t>Rittal Relaisschrank für Kompressor                  18</t>
  </si>
  <si>
    <t>1400081</t>
  </si>
  <si>
    <t>Jomos Klemmkasten AMU-Verbindung                      7</t>
  </si>
  <si>
    <t>1400082</t>
  </si>
  <si>
    <t>Gehäuse Bopla M250 Makrolon</t>
  </si>
  <si>
    <t>1400083</t>
  </si>
  <si>
    <t>Verbindungsdose IP20 Q4-leer</t>
  </si>
  <si>
    <t>1400084</t>
  </si>
  <si>
    <t>Rittal Schaltschrank                                  5</t>
  </si>
  <si>
    <t>1400085</t>
  </si>
  <si>
    <t>Montageblock für AE</t>
  </si>
  <si>
    <t>1400086</t>
  </si>
  <si>
    <t>Rittal Schaltschrank                                  7</t>
  </si>
  <si>
    <t>1400088</t>
  </si>
  <si>
    <t>Bopla Gehäuse U75, 06075000</t>
  </si>
  <si>
    <t>1400089</t>
  </si>
  <si>
    <t>Spelsberg Montageplatte TK MPI-1811                  28</t>
  </si>
  <si>
    <t>1400090</t>
  </si>
  <si>
    <t>Kupplung  einfach, schwarz, 230V</t>
  </si>
  <si>
    <t>1401001</t>
  </si>
  <si>
    <t>Kabelverschraubung aus Polyamid  PG11</t>
  </si>
  <si>
    <t>1401002</t>
  </si>
  <si>
    <t>Kabelverschraubung aus Polyamid PG13.5</t>
  </si>
  <si>
    <t>1401003</t>
  </si>
  <si>
    <t>Kabelverschraubung aus Polyamid PG16</t>
  </si>
  <si>
    <t>1401004</t>
  </si>
  <si>
    <t>Kabelverschraubung aus Polyamid PG21</t>
  </si>
  <si>
    <t>1401005</t>
  </si>
  <si>
    <t>Kabelverschraubung OBO V-Tec/LG/M20</t>
  </si>
  <si>
    <t>1401007</t>
  </si>
  <si>
    <t>Endtülle PVC Pg.16</t>
  </si>
  <si>
    <t>1401008</t>
  </si>
  <si>
    <t>Endtülle M25</t>
  </si>
  <si>
    <t>1401009</t>
  </si>
  <si>
    <t>Kabelverschraubung aus Polyamid  PG 9</t>
  </si>
  <si>
    <t>1401010</t>
  </si>
  <si>
    <t>Endtülle PVC Pg.21</t>
  </si>
  <si>
    <t>1401011</t>
  </si>
  <si>
    <t>Endtülle PVC Pg.9</t>
  </si>
  <si>
    <t>1401012</t>
  </si>
  <si>
    <t>Kabelverschraubung PA  M12x1,5</t>
  </si>
  <si>
    <t>1401013</t>
  </si>
  <si>
    <t>Gegenmutter OBO Bett.  M12x1,5 SW17, PA</t>
  </si>
  <si>
    <t>1401014</t>
  </si>
  <si>
    <t>Gegenmutter PA: M 16 x 1,5  SW 22</t>
  </si>
  <si>
    <t>1401015</t>
  </si>
  <si>
    <t>Kabelverschraubung PA M 16 x 1,5</t>
  </si>
  <si>
    <t>1401016</t>
  </si>
  <si>
    <t>Gegenmutter PA M 20 x 1,5 SW26</t>
  </si>
  <si>
    <t>1401017</t>
  </si>
  <si>
    <t>OBO Bett. Gegenmutter M25</t>
  </si>
  <si>
    <t>1401018</t>
  </si>
  <si>
    <t>Kabelverschraubung PA M 25x1,5</t>
  </si>
  <si>
    <t>1401019</t>
  </si>
  <si>
    <t>Kabelverschraubung PA</t>
  </si>
  <si>
    <t>1401020</t>
  </si>
  <si>
    <t>Würgenippel Pg.16</t>
  </si>
  <si>
    <t>1401021</t>
  </si>
  <si>
    <t>Würgenippel Pg.21</t>
  </si>
  <si>
    <t>1401022</t>
  </si>
  <si>
    <t>Gegenmutter PA M 32x1,5 SW41</t>
  </si>
  <si>
    <t>1401023</t>
  </si>
  <si>
    <t>Endtülle M20</t>
  </si>
  <si>
    <t>1401024</t>
  </si>
  <si>
    <t>Kabelverschraubung PA M 20x1,5</t>
  </si>
  <si>
    <t>1401025</t>
  </si>
  <si>
    <t>1401026</t>
  </si>
  <si>
    <t>Kabelverschraubung Lapp SKINTOP ST-                   2</t>
  </si>
  <si>
    <t>1401027</t>
  </si>
  <si>
    <t>Kabelverschraubung Lapp SKINTOP ST-                   3</t>
  </si>
  <si>
    <t>1401028</t>
  </si>
  <si>
    <t>Kabelverschraubung Lapp SKINTOP ST-                   5</t>
  </si>
  <si>
    <t>1401029</t>
  </si>
  <si>
    <t>Kabelverscharubung ST R7001 SGY                       1</t>
  </si>
  <si>
    <t>1401030</t>
  </si>
  <si>
    <t>Gegenmutter aus Polyamid  PG9</t>
  </si>
  <si>
    <t>1401031</t>
  </si>
  <si>
    <t>Gegenmutter aus Polyamid  PG11</t>
  </si>
  <si>
    <t>1401032</t>
  </si>
  <si>
    <t>Gegenmutter aus Polyamid  PG13.5</t>
  </si>
  <si>
    <t>1401033</t>
  </si>
  <si>
    <t>Gegenmutter aus Polyamid  PG16</t>
  </si>
  <si>
    <t>1401034</t>
  </si>
  <si>
    <t>Gegenmutter aus Polyamid  PG21</t>
  </si>
  <si>
    <t>1401035</t>
  </si>
  <si>
    <t>Adapter 6-Kt M20-PG11</t>
  </si>
  <si>
    <t>1401036</t>
  </si>
  <si>
    <t>OBO Gegenmutter 116/LG/11</t>
  </si>
  <si>
    <t>1401037</t>
  </si>
  <si>
    <t>Gegenmutter Lapp SKINTOP GMP-GL- M16</t>
  </si>
  <si>
    <t>1401038</t>
  </si>
  <si>
    <t>Gegenmutter Lapp SKINTOP GMP-GL- M20</t>
  </si>
  <si>
    <t>1401039</t>
  </si>
  <si>
    <t>Gegenmutter Lapp SKINTOP GMP-GL- M25</t>
  </si>
  <si>
    <t>1401040</t>
  </si>
  <si>
    <t>Kabelverschraubung PG9 EEX</t>
  </si>
  <si>
    <t>1401041</t>
  </si>
  <si>
    <t>Kabelverschraubung PG11 EEX</t>
  </si>
  <si>
    <t>1401042</t>
  </si>
  <si>
    <t>Kabeltülle doppelseitig für OC</t>
  </si>
  <si>
    <t>1401043</t>
  </si>
  <si>
    <t>Protronic Druckausgleichselement, 7035</t>
  </si>
  <si>
    <t>1401044</t>
  </si>
  <si>
    <t>Reduzierung, Kunststoff, 52104505</t>
  </si>
  <si>
    <t>1401045</t>
  </si>
  <si>
    <t>Wiska Dose Combi 308/5                               20</t>
  </si>
  <si>
    <t>1401046</t>
  </si>
  <si>
    <t>Reduktion PVC, M 20 - M 16                            2</t>
  </si>
  <si>
    <t>1401047</t>
  </si>
  <si>
    <t>Kabelverschraubung Quick-Fit, EPN250/M12             14</t>
  </si>
  <si>
    <t>1401048</t>
  </si>
  <si>
    <t>Kabelverschraubung Quick-Fit, EPN250/M16</t>
  </si>
  <si>
    <t>1401049</t>
  </si>
  <si>
    <t>Kabelverschraubung Quick-Fit, EPN250/M20             19</t>
  </si>
  <si>
    <t>1401050</t>
  </si>
  <si>
    <t>Verschlußschraube Quick-Fit, EPN450/M12               7</t>
  </si>
  <si>
    <t>1401051</t>
  </si>
  <si>
    <t>Verschlußschraube Quick-Fit, EPN450/M16               7</t>
  </si>
  <si>
    <t>1401052</t>
  </si>
  <si>
    <t>Verschlußschraube Quick-Fit, EPN450/M25              12</t>
  </si>
  <si>
    <t>1401053</t>
  </si>
  <si>
    <t>Verschlußschraube Quick-Fit, EPN450/M20               8</t>
  </si>
  <si>
    <t>1401054</t>
  </si>
  <si>
    <t>Verschlußschraube Quick-Fit, EPN450/M32</t>
  </si>
  <si>
    <t>1401055</t>
  </si>
  <si>
    <t>Reduzierung Quick-Fit, EPN550/M20&gt;M16                37</t>
  </si>
  <si>
    <t>1401056</t>
  </si>
  <si>
    <t>Kabelverschraubung Quick-Fit, EPN250/M25             22</t>
  </si>
  <si>
    <t>1401057</t>
  </si>
  <si>
    <t>Sechskant-Gegenmuttter,  EPN355/M16                   4</t>
  </si>
  <si>
    <t>1401058</t>
  </si>
  <si>
    <t>Sechskant-Gegenmutter EPN355/M20                      4</t>
  </si>
  <si>
    <t>1401059</t>
  </si>
  <si>
    <t>Sechskant-Gegenmutter EPN355/M25                      6</t>
  </si>
  <si>
    <t>1401060</t>
  </si>
  <si>
    <t>Kabeltülle Gummi schwarz</t>
  </si>
  <si>
    <t>1401070</t>
  </si>
  <si>
    <t>Gegenmutter GMP-GL, R7001</t>
  </si>
  <si>
    <t>1401159</t>
  </si>
  <si>
    <t>Mehrfach-Dichteinsatz Quick-Fit                      19</t>
  </si>
  <si>
    <t>1401160</t>
  </si>
  <si>
    <t>1401161</t>
  </si>
  <si>
    <t>Mehrfach-Dichteinsatz Quick-Fit                      29</t>
  </si>
  <si>
    <t>1401162</t>
  </si>
  <si>
    <t>1401163</t>
  </si>
  <si>
    <t>CAPTOP Schutzkappe aus Silikon, natur              2.10</t>
  </si>
  <si>
    <t>Nageldübel 6 x 80 galv. verzinkt</t>
  </si>
  <si>
    <t>1402001</t>
  </si>
  <si>
    <t>Fischer Nageldübel NU 6x40 ZZ galv. verz</t>
  </si>
  <si>
    <t>Upat-Nagel-Dübel UN 6/25, 55mm, 78398</t>
  </si>
  <si>
    <t>1402003</t>
  </si>
  <si>
    <t>OBO Quick-Klemmschelle M20</t>
  </si>
  <si>
    <t>1402004</t>
  </si>
  <si>
    <t>OBO-Clic-Schelle,Polyamid,Pg36,grau</t>
  </si>
  <si>
    <t>1402005</t>
  </si>
  <si>
    <t>OBO Abstandschelle M50</t>
  </si>
  <si>
    <t>1402006</t>
  </si>
  <si>
    <t>Rohrabstandsschelle  PG 16</t>
  </si>
  <si>
    <t>1402007</t>
  </si>
  <si>
    <t>Rohrabstandsschelle  PG 21</t>
  </si>
  <si>
    <t>1402008</t>
  </si>
  <si>
    <t>Enddeckel f. Kabelkanal grau</t>
  </si>
  <si>
    <t>1402009</t>
  </si>
  <si>
    <t>Endplatte, lichtgrau LF40040</t>
  </si>
  <si>
    <t>1402010</t>
  </si>
  <si>
    <t>Caddy-Flanschhänger</t>
  </si>
  <si>
    <t>1402011</t>
  </si>
  <si>
    <t>Cadi-Flanschhänger,Edelstahl</t>
  </si>
  <si>
    <t>1402012</t>
  </si>
  <si>
    <t>OBO-Quick Schelle M25</t>
  </si>
  <si>
    <t>1402013</t>
  </si>
  <si>
    <t>OBO-Reduktionen M20-M16 107/RM2016</t>
  </si>
  <si>
    <t>1402014</t>
  </si>
  <si>
    <t>OBO-Reduktionen 107/R-PG16/11</t>
  </si>
  <si>
    <t>1402015</t>
  </si>
  <si>
    <t>Adapter PG9-M16</t>
  </si>
  <si>
    <t>1402016</t>
  </si>
  <si>
    <t>Adapter PG9-M20</t>
  </si>
  <si>
    <t>1402017</t>
  </si>
  <si>
    <t>Adapter PG11-M20</t>
  </si>
  <si>
    <t>1402018</t>
  </si>
  <si>
    <t>Adapter PG11-M25</t>
  </si>
  <si>
    <t>1402019</t>
  </si>
  <si>
    <t>Adapter PG13,5-M20</t>
  </si>
  <si>
    <t>1402020</t>
  </si>
  <si>
    <t>Adapter PG16-M20</t>
  </si>
  <si>
    <t>1402021</t>
  </si>
  <si>
    <t>Adapter PG16-M25</t>
  </si>
  <si>
    <t>1402022</t>
  </si>
  <si>
    <t>Adapter PG13,5-M25</t>
  </si>
  <si>
    <t>1402023</t>
  </si>
  <si>
    <t>OBO Verschlussschraube M 20</t>
  </si>
  <si>
    <t>1402024</t>
  </si>
  <si>
    <t>OBO Reihenschelle 5-25mm PS 2050/G</t>
  </si>
  <si>
    <t>1402025</t>
  </si>
  <si>
    <t>OBO Bügelschelle lf.2056/M/8-12</t>
  </si>
  <si>
    <t>1402026</t>
  </si>
  <si>
    <t>OBO Bügelschelle lf.2056/M/12-16</t>
  </si>
  <si>
    <t>1402027</t>
  </si>
  <si>
    <t>OBO Click-Rohrschelle 1977/32-35</t>
  </si>
  <si>
    <t>1402028</t>
  </si>
  <si>
    <t>Schlauchschelle 20-32 mm</t>
  </si>
  <si>
    <t>1402029</t>
  </si>
  <si>
    <t>Upat-Nagel Dübel NU 6/5, 35mm, 78396</t>
  </si>
  <si>
    <t>1402030</t>
  </si>
  <si>
    <t>Kabelmarker KMK 2,  Art.-Nr. 660040</t>
  </si>
  <si>
    <t>1402031</t>
  </si>
  <si>
    <t>Klebesockel klein</t>
  </si>
  <si>
    <t>1402032</t>
  </si>
  <si>
    <t>Klebesockel groß</t>
  </si>
  <si>
    <t>1402059</t>
  </si>
  <si>
    <t>Rohrabstandsschelle OBO, M20</t>
  </si>
  <si>
    <t>1402060</t>
  </si>
  <si>
    <t>Stauff Schelle ( 1 Paar Halbschellen)</t>
  </si>
  <si>
    <t>1402061</t>
  </si>
  <si>
    <t>Stauff Schelle KundType 1a</t>
  </si>
  <si>
    <t>1402062</t>
  </si>
  <si>
    <t>Stauff Anschweißplatte</t>
  </si>
  <si>
    <t>1402063</t>
  </si>
  <si>
    <t>Brandschutzdübel FNA II 6x30 12Stk.</t>
  </si>
  <si>
    <t>1402064</t>
  </si>
  <si>
    <t>Rohrabstandsschelle OBO, M 25</t>
  </si>
  <si>
    <t>1403000</t>
  </si>
  <si>
    <t>Leuchtstofflampe, F 58W/125</t>
  </si>
  <si>
    <t>1403001</t>
  </si>
  <si>
    <t>Osram Decostar 51,20W-12V-GU5,3-24Grd.</t>
  </si>
  <si>
    <t>1403002</t>
  </si>
  <si>
    <t>Leuchtstoffröhre Tageslicht, 14W</t>
  </si>
  <si>
    <t>1403005</t>
  </si>
  <si>
    <t>Osram-Starter St 111-25ER</t>
  </si>
  <si>
    <t>1403006</t>
  </si>
  <si>
    <t>Osram Decostar 51,20W-12V-GU5,3-36Grd.</t>
  </si>
  <si>
    <t>1403008</t>
  </si>
  <si>
    <t>Halogen Lampe G4 12V 35W</t>
  </si>
  <si>
    <t>1403009</t>
  </si>
  <si>
    <t>Osram Halostar Starlite</t>
  </si>
  <si>
    <t>1403010</t>
  </si>
  <si>
    <t>Osram Halogen Halopar 16, GU 10, 35W,FL</t>
  </si>
  <si>
    <t>1403011</t>
  </si>
  <si>
    <t>Halogenfassung HAL F GU 10, mit VDE</t>
  </si>
  <si>
    <t>1405002</t>
  </si>
  <si>
    <t>Wiederstände 4.7 k-Ohm 1/4 Watt</t>
  </si>
  <si>
    <t>1410000</t>
  </si>
  <si>
    <t>Kupa-Steck-Rohr M32 x 1,5, grau,</t>
  </si>
  <si>
    <t>1410001</t>
  </si>
  <si>
    <t>Kupa-Steck-Rohr M 25 grau</t>
  </si>
  <si>
    <t>1410002</t>
  </si>
  <si>
    <t>LF-Kanal Teha LF40040/0/7030, grau 40x40</t>
  </si>
  <si>
    <t>1410003</t>
  </si>
  <si>
    <t>PVC-Installationskanal grau 40 x 60mm</t>
  </si>
  <si>
    <t>1410004</t>
  </si>
  <si>
    <t>PVC-Installationskanal</t>
  </si>
  <si>
    <t>1410005</t>
  </si>
  <si>
    <t>PVC-Installationskanal grau 40 X 90</t>
  </si>
  <si>
    <t>1410006</t>
  </si>
  <si>
    <t>Aluminium Panzer Steckrohr Pg.16</t>
  </si>
  <si>
    <t>1410007</t>
  </si>
  <si>
    <t>Stahl-Panzerrohr M25 verzinkt</t>
  </si>
  <si>
    <t>1410008</t>
  </si>
  <si>
    <t>Minikanal HKL, LC45</t>
  </si>
  <si>
    <t>1410009</t>
  </si>
  <si>
    <t>Profilschiene OBO vz.2060/SL/A/2000</t>
  </si>
  <si>
    <t>1410010</t>
  </si>
  <si>
    <t>Panzerrohr WPKU-EM-F , 20 mm , starr</t>
  </si>
  <si>
    <t>1410011</t>
  </si>
  <si>
    <t>Elmo - Klemmschelle M - Form M 20</t>
  </si>
  <si>
    <t>1410012</t>
  </si>
  <si>
    <t>OBO BBS-Bügelschelle 34-40</t>
  </si>
  <si>
    <t>1410013</t>
  </si>
  <si>
    <t>Kabelrinne verzinkt</t>
  </si>
  <si>
    <t>1410014</t>
  </si>
  <si>
    <t>Kupa-Steck-Rohr M 20 grau</t>
  </si>
  <si>
    <t>1410015</t>
  </si>
  <si>
    <t>Profilschiene ungelocht,, 2060-NEUWA C20</t>
  </si>
  <si>
    <t>1410016</t>
  </si>
  <si>
    <t>Kunststoffpanzersteckrohr Pg29</t>
  </si>
  <si>
    <t>1410017</t>
  </si>
  <si>
    <t>KG-Rohr 125 mm Durchmesser</t>
  </si>
  <si>
    <t>1410018</t>
  </si>
  <si>
    <t>Kunststoffpanzersteckrohr Pg21</t>
  </si>
  <si>
    <t>1410019</t>
  </si>
  <si>
    <t>Stahl-Panzerrohr M20 verzinkt</t>
  </si>
  <si>
    <t>1410020</t>
  </si>
  <si>
    <t>Panzerrohr WPKU-EM-F-HO 20mm STARR</t>
  </si>
  <si>
    <t>1410021</t>
  </si>
  <si>
    <t>Panzerrohr WPKU-EM-F-HO 25 mm STARR</t>
  </si>
  <si>
    <t>1410022</t>
  </si>
  <si>
    <t>Stahl-PanzerRohr Pg.29 verzinkt</t>
  </si>
  <si>
    <t>1410023</t>
  </si>
  <si>
    <t>Tragschiene für Klemmleiste Uni-B/RGT</t>
  </si>
  <si>
    <t>1410024</t>
  </si>
  <si>
    <t>PVC-Installationskanal grau</t>
  </si>
  <si>
    <t>1410025</t>
  </si>
  <si>
    <t>1410026</t>
  </si>
  <si>
    <t>C-Schiene, Länge 2m, ohne Löcher</t>
  </si>
  <si>
    <t>1410027</t>
  </si>
  <si>
    <t>Alu Steckrohr M 20</t>
  </si>
  <si>
    <t>1410028</t>
  </si>
  <si>
    <t>Alu Steckrohr M 25</t>
  </si>
  <si>
    <t>1410029</t>
  </si>
  <si>
    <t>Alu Klemmschelle M 20</t>
  </si>
  <si>
    <t>1410030</t>
  </si>
  <si>
    <t>Alu Klemmschelle M 25</t>
  </si>
  <si>
    <t>1410031</t>
  </si>
  <si>
    <t>OBO Quick Schelle M32</t>
  </si>
  <si>
    <t>1410034</t>
  </si>
  <si>
    <t>Kabelkanal aus Stahlblech mit Deckel</t>
  </si>
  <si>
    <t>1410035</t>
  </si>
  <si>
    <t>1410036</t>
  </si>
  <si>
    <t>1410037</t>
  </si>
  <si>
    <t>OBO Click-Rohrschelle 1977/20-22</t>
  </si>
  <si>
    <t>1410038</t>
  </si>
  <si>
    <t>OBO Click-Rohrschelle 1977/25-28</t>
  </si>
  <si>
    <t>1410039</t>
  </si>
  <si>
    <t>Leitungsführungskanal reinweiß 15x15mm</t>
  </si>
  <si>
    <t>1410040</t>
  </si>
  <si>
    <t>Montageschiene C, C41/22 -ST 2,5 VARIFIX</t>
  </si>
  <si>
    <t>1410041</t>
  </si>
  <si>
    <t>Montageschiene C, C41/41-ST 2,5 VARIFIX</t>
  </si>
  <si>
    <t>1410042</t>
  </si>
  <si>
    <t>Anschlusswinkel C-Montageschiene</t>
  </si>
  <si>
    <t>1410043</t>
  </si>
  <si>
    <t>1410044</t>
  </si>
  <si>
    <t>Hammerkopfbefestiger Rohrinstallation</t>
  </si>
  <si>
    <t>1410045</t>
  </si>
  <si>
    <t>1410046</t>
  </si>
  <si>
    <t>Rahmenwinkel C-Montageschiene</t>
  </si>
  <si>
    <t>1410047</t>
  </si>
  <si>
    <t>Profilfuss C-Montageschiene PRFL41</t>
  </si>
  <si>
    <t>1410048</t>
  </si>
  <si>
    <t>Installationskanal LF 20/35, reinweiß</t>
  </si>
  <si>
    <t>1410049</t>
  </si>
  <si>
    <t>Leitungsführungskanal, lichtgrau</t>
  </si>
  <si>
    <t>1410050</t>
  </si>
  <si>
    <t>Leitungsführungskanal ZB-Endstück, grau</t>
  </si>
  <si>
    <t>1410051</t>
  </si>
  <si>
    <t>Kupa-Steck-Rohr M 16 grau</t>
  </si>
  <si>
    <t>1410052</t>
  </si>
  <si>
    <t>Varifix C-Montageschiene</t>
  </si>
  <si>
    <t>1410053</t>
  </si>
  <si>
    <t>1410054</t>
  </si>
  <si>
    <t>Varifix Profilfuß für C-Montageschiene</t>
  </si>
  <si>
    <t>1410055</t>
  </si>
  <si>
    <t>Varifix Anschlusswinkel C-Montageschiene</t>
  </si>
  <si>
    <t>1410056</t>
  </si>
  <si>
    <t>Varifix Endkappe Montageschiene 41/22</t>
  </si>
  <si>
    <t>1410057</t>
  </si>
  <si>
    <t>Varifix Endkappe Montageschiene 41/41</t>
  </si>
  <si>
    <t>1410058</t>
  </si>
  <si>
    <t>Edelstahlrohr V2 Steck-ES25</t>
  </si>
  <si>
    <t>1410059</t>
  </si>
  <si>
    <t>Bügelschelle VA Steck-ES VSG-E 25  3Stk.</t>
  </si>
  <si>
    <t>1410060</t>
  </si>
  <si>
    <t>Gitterkabelrinne GR-Magic VA GRM 55 100               3</t>
  </si>
  <si>
    <t>1410061</t>
  </si>
  <si>
    <t>Klemmstück für Gitterrinne KS GR VA4310</t>
  </si>
  <si>
    <t>1410062</t>
  </si>
  <si>
    <t>Kunststoffpanzerrohr FPKU-EM-F-HO 25</t>
  </si>
  <si>
    <t>1410063</t>
  </si>
  <si>
    <t>Kuststoff Klemmschelle W clipfix-HO 25 3</t>
  </si>
  <si>
    <t>1410064</t>
  </si>
  <si>
    <t>Kanal reinweiß 40x60mm Halogenfrei</t>
  </si>
  <si>
    <t>1410065</t>
  </si>
  <si>
    <t>Kabelrinne verzinkt RL V 60.100</t>
  </si>
  <si>
    <t>1410066</t>
  </si>
  <si>
    <t>Kabelrinnen Deckel mit Drehriegel RDV 10</t>
  </si>
  <si>
    <t>1410067</t>
  </si>
  <si>
    <t>Wandausleger KTA 100</t>
  </si>
  <si>
    <t>1410068</t>
  </si>
  <si>
    <t>Niedax Kabelrinne RLV 60.100, verzinkt</t>
  </si>
  <si>
    <t>1410069</t>
  </si>
  <si>
    <t>Niedax Wandausleger KTAM 200</t>
  </si>
  <si>
    <t>1410070</t>
  </si>
  <si>
    <t>Leitungsführungskanal, reinweiß, Rehau</t>
  </si>
  <si>
    <t>1410071</t>
  </si>
  <si>
    <t>Leitungsführungskanal, reinweiß</t>
  </si>
  <si>
    <t>1410072</t>
  </si>
  <si>
    <t>Schelle für El. Installationsrohr EN20</t>
  </si>
  <si>
    <t>1410073</t>
  </si>
  <si>
    <t>Schelle für El. Installationsrohr EN25</t>
  </si>
  <si>
    <t>1410074</t>
  </si>
  <si>
    <t>Schelle für El. Installationsrohr EN32                1</t>
  </si>
  <si>
    <t>1410075</t>
  </si>
  <si>
    <t>Installationsrohr RO-PANZER-EN20                      2</t>
  </si>
  <si>
    <t>1410076</t>
  </si>
  <si>
    <t>Installationsrohr RO-PANZER-EN25                      3</t>
  </si>
  <si>
    <t>1410077</t>
  </si>
  <si>
    <t>Installationsrohr RO-PANZER-EN32                      6</t>
  </si>
  <si>
    <t>1410078</t>
  </si>
  <si>
    <t>Varifix-Konsole 36/36, Länge 500 mm</t>
  </si>
  <si>
    <t>1410079</t>
  </si>
  <si>
    <t>Tehhalit Kanal LFH, halogenfrei,reinweiß</t>
  </si>
  <si>
    <t>1410080</t>
  </si>
  <si>
    <t>1410081</t>
  </si>
  <si>
    <t>1410082</t>
  </si>
  <si>
    <t>Niedax Schraube FLM 6 x 12                         1.66</t>
  </si>
  <si>
    <t>1410083</t>
  </si>
  <si>
    <t>Niedax Kabelrinnendeckel mit Drehriegel</t>
  </si>
  <si>
    <t>1410084</t>
  </si>
  <si>
    <t>Hager Enddeckel für Kanal 40x40</t>
  </si>
  <si>
    <t>1410085</t>
  </si>
  <si>
    <t>Gitterrinne V2A, CF 30/50, Cablofil                   2</t>
  </si>
  <si>
    <t>1410086</t>
  </si>
  <si>
    <t>Gitterrinne V2A, CF 54/100, Cablofil                  4</t>
  </si>
  <si>
    <t>1410087</t>
  </si>
  <si>
    <t>Ausleger UC 50, V4A, Cablofil                         1</t>
  </si>
  <si>
    <t>1410088</t>
  </si>
  <si>
    <t>Rohrabstandsschelle OBO BETT. 73321</t>
  </si>
  <si>
    <t>1410089</t>
  </si>
  <si>
    <t>Konsole, schraubenlos, CSN 100, V2A                   3</t>
  </si>
  <si>
    <t>1410090</t>
  </si>
  <si>
    <t>Leitungsführungskanal lichtgrau</t>
  </si>
  <si>
    <t>1410091</t>
  </si>
  <si>
    <t>1410092</t>
  </si>
  <si>
    <t>1410093</t>
  </si>
  <si>
    <t>1410094</t>
  </si>
  <si>
    <t>ZB-Endstück für Leitungsführungskanal</t>
  </si>
  <si>
    <t>1410095</t>
  </si>
  <si>
    <t>ZB-Endstück für Leitungsfphrungskanal</t>
  </si>
  <si>
    <t>1410096</t>
  </si>
  <si>
    <t>1410097</t>
  </si>
  <si>
    <t>Schnellverbinder Cablofil EDS V4A                     1</t>
  </si>
  <si>
    <t>1410098</t>
  </si>
  <si>
    <t>Niedax Kabelrinne sendzimirverzinkt                   2</t>
  </si>
  <si>
    <t>1410099</t>
  </si>
  <si>
    <t>Leitungsführungskanal reinweiß 40x60mm</t>
  </si>
  <si>
    <t>1410100</t>
  </si>
  <si>
    <t>Niedax Gitterrinne GRS 60.060</t>
  </si>
  <si>
    <t>1410101</t>
  </si>
  <si>
    <t>Niedax Befestigungsplatte GRBP 6 S</t>
  </si>
  <si>
    <t>1411000</t>
  </si>
  <si>
    <t>Ausleger UC 50, V2A, Cablofil                         1</t>
  </si>
  <si>
    <t>1411001</t>
  </si>
  <si>
    <t>Pilzsperrtaster Oe/S Notaus Ex                        8</t>
  </si>
  <si>
    <t>1411002</t>
  </si>
  <si>
    <t>Pilzdrucktaster 40mm rot Siem.</t>
  </si>
  <si>
    <t>1411007</t>
  </si>
  <si>
    <t>Klöchner Taster 2 Befehlstellen</t>
  </si>
  <si>
    <t>1411011</t>
  </si>
  <si>
    <t>Not-Aus-Taster im Gehäuse                             1</t>
  </si>
  <si>
    <t>1411013</t>
  </si>
  <si>
    <t>Hauptschalter Klöckner -Einbau                        1</t>
  </si>
  <si>
    <t>1411014</t>
  </si>
  <si>
    <t>Kontaktelement EK 01  Klöckner</t>
  </si>
  <si>
    <t>1411015</t>
  </si>
  <si>
    <t>Kontaktelement EK 10  Klöckner                        2</t>
  </si>
  <si>
    <t>1411016</t>
  </si>
  <si>
    <t>Befestigungsadapter Klöckner</t>
  </si>
  <si>
    <t>1411017</t>
  </si>
  <si>
    <t>1411019</t>
  </si>
  <si>
    <t>Kabeltülle KT-13.5 (Eaton))</t>
  </si>
  <si>
    <t>1411020</t>
  </si>
  <si>
    <t>Flachsteckerhülse mit Rastnase B 638 F</t>
  </si>
  <si>
    <t>1411021</t>
  </si>
  <si>
    <t>Flachsteckverbinder mit Rastnase BM638 M</t>
  </si>
  <si>
    <t>1411022</t>
  </si>
  <si>
    <t>Flachsteckgehäuse Typ 408 - 4 F</t>
  </si>
  <si>
    <t>1411023</t>
  </si>
  <si>
    <t>Flachsteckgehäuse Typ 408 - 4 M</t>
  </si>
  <si>
    <t>1411024</t>
  </si>
  <si>
    <t>KUPA Steck Rohr, schwarz, M 25                       44</t>
  </si>
  <si>
    <t>1411025</t>
  </si>
  <si>
    <t>KUPA Steck Rohr, schwarz, M 32                       59</t>
  </si>
  <si>
    <t>1411026</t>
  </si>
  <si>
    <t>KUPA Verlegeschelle, schwarz, M 25                    8</t>
  </si>
  <si>
    <t>1411027</t>
  </si>
  <si>
    <t>KUPA Verlegeschelle, schwarz, M32                     9</t>
  </si>
  <si>
    <t>1411028</t>
  </si>
  <si>
    <t>Panzerrohr WPKU-EM-F-HO 32mm STARR</t>
  </si>
  <si>
    <t>1412001</t>
  </si>
  <si>
    <t>Hilpress Aderendhülse 1,00N rot</t>
  </si>
  <si>
    <t>1412002</t>
  </si>
  <si>
    <t>Hilpress Aderendhülse 1,50N schwarz</t>
  </si>
  <si>
    <t>1412003</t>
  </si>
  <si>
    <t>Hilpress Aderendhülse 2x1,0N rot</t>
  </si>
  <si>
    <t>1412004</t>
  </si>
  <si>
    <t>Hilpress Aderendhülse 2,50N grau</t>
  </si>
  <si>
    <t>1412005</t>
  </si>
  <si>
    <t>Hilpress Aderendhülse 2x0,75HL weiß</t>
  </si>
  <si>
    <t>1412006</t>
  </si>
  <si>
    <t>Hilpress Flachsteckhülse &gt;1-2,5/6,3 blau</t>
  </si>
  <si>
    <t>1412007</t>
  </si>
  <si>
    <t>Hilpress Aderendhülse 2x1,5N schwarz</t>
  </si>
  <si>
    <t>1412008</t>
  </si>
  <si>
    <t>Hilpress Aderendhülse 2x2,5N grau</t>
  </si>
  <si>
    <t>1412009</t>
  </si>
  <si>
    <t>Hilpress Quetschkabelschuh A 4-2,5</t>
  </si>
  <si>
    <t>1412010</t>
  </si>
  <si>
    <t>Flachsteckhülse 4,8mm rot 0,25-1,0mm</t>
  </si>
  <si>
    <t>1412011</t>
  </si>
  <si>
    <t>Hilpress Quetschkabelschuh A 5-2,5</t>
  </si>
  <si>
    <t>1412012</t>
  </si>
  <si>
    <t>Hilpress Quetschkabelschuh A 6-2,5</t>
  </si>
  <si>
    <t>1412013</t>
  </si>
  <si>
    <t>Hilpress Quetschkabelschuh A 8-2,5, blau</t>
  </si>
  <si>
    <t>1412014</t>
  </si>
  <si>
    <t>Hilpress Quetschkabelschuh A 5-6</t>
  </si>
  <si>
    <t>1412015</t>
  </si>
  <si>
    <t>Hilpress Quetschkabelschuh A 6-6</t>
  </si>
  <si>
    <t>1412016</t>
  </si>
  <si>
    <t>Hilpress Quetschkabelschuh A 8-6</t>
  </si>
  <si>
    <t>1412017</t>
  </si>
  <si>
    <t>Hilpress Endverbinder &gt;1-2,5 blau</t>
  </si>
  <si>
    <t>1412018</t>
  </si>
  <si>
    <t>Hilpress Flachsteckhülse, vollisoliert</t>
  </si>
  <si>
    <t>1412019</t>
  </si>
  <si>
    <t>Hilpress Rundsteckhülse 0,5-1,5</t>
  </si>
  <si>
    <t>1412020</t>
  </si>
  <si>
    <t>Hilpress Rundstecker 0,5-1,5</t>
  </si>
  <si>
    <t>1412021</t>
  </si>
  <si>
    <t>Hilpress Aderendhülse 1,00HL rot</t>
  </si>
  <si>
    <t>1412022</t>
  </si>
  <si>
    <t>Hilpress Aderendhülse 2x0,75HL blau</t>
  </si>
  <si>
    <t>1412023</t>
  </si>
  <si>
    <t>Hilpress Aderendhülse 0,75HL</t>
  </si>
  <si>
    <t>1412024</t>
  </si>
  <si>
    <t>Hilpress Aderendhülse 4,00 N, orange</t>
  </si>
  <si>
    <t>1412025</t>
  </si>
  <si>
    <t>Klau Adernendhülse verzinkt 50qmm:1=25</t>
  </si>
  <si>
    <t>1412026</t>
  </si>
  <si>
    <t>Hilpress Aderendhülse 1,50HL rot</t>
  </si>
  <si>
    <t>1412027</t>
  </si>
  <si>
    <t>Hilpress Aderendhülse 0,75N weiß</t>
  </si>
  <si>
    <t>1412028</t>
  </si>
  <si>
    <t>Hilpress Aderendhülse 2x1,5N, rot</t>
  </si>
  <si>
    <t>1412029</t>
  </si>
  <si>
    <t>Hilpress Aderendhülse 6,0 N, grün</t>
  </si>
  <si>
    <t>1412030</t>
  </si>
  <si>
    <t>Hilpress Aderendhülse 0,75HL blau</t>
  </si>
  <si>
    <t>1412031</t>
  </si>
  <si>
    <t>Kabelbinder Nylon , naturfarben</t>
  </si>
  <si>
    <t>1412032</t>
  </si>
  <si>
    <t>Kabelbinder , naturfarben , 290 mm</t>
  </si>
  <si>
    <t>1412033</t>
  </si>
  <si>
    <t>Kabelbinder , naturfarben 136 mm</t>
  </si>
  <si>
    <t>1412034</t>
  </si>
  <si>
    <t>Hilpress Klebesockel 2-Weg natur 3,6</t>
  </si>
  <si>
    <t>1412035</t>
  </si>
  <si>
    <t>Hilpress Aderendhülse 2x0,75N, weiß</t>
  </si>
  <si>
    <t>1412036</t>
  </si>
  <si>
    <t>Hilpress Quetschkabelschuh A 4-1</t>
  </si>
  <si>
    <t>1412037</t>
  </si>
  <si>
    <t>Hilpress Flachbandclip 20 x 26 x 6,5</t>
  </si>
  <si>
    <t>1412038</t>
  </si>
  <si>
    <t>Hilpress Endverbinder &gt; 1 - 2,5</t>
  </si>
  <si>
    <t>1412040</t>
  </si>
  <si>
    <t>1412041</t>
  </si>
  <si>
    <t>Hilpress 2-Weg-Klebesockel weiß 4,8</t>
  </si>
  <si>
    <t>1412042</t>
  </si>
  <si>
    <t>Hilpress Stoßverbinder 0,5 - 1,5², rot</t>
  </si>
  <si>
    <t>1412043</t>
  </si>
  <si>
    <t>Hilpress Stoßverbinder 1 - 2,5², blau</t>
  </si>
  <si>
    <t>1412044</t>
  </si>
  <si>
    <t>1412045</t>
  </si>
  <si>
    <t>Stoßverbinder Klauke, 0,5 - 1 mm²</t>
  </si>
  <si>
    <t>1412050</t>
  </si>
  <si>
    <t>Hilpress Spiralband 9,0 mm</t>
  </si>
  <si>
    <t>1412051</t>
  </si>
  <si>
    <t>Hilpress Spiralband 4,0 mm</t>
  </si>
  <si>
    <t>1412052</t>
  </si>
  <si>
    <t>Hilpress Spiralband 6,0 mm</t>
  </si>
  <si>
    <t>1412053</t>
  </si>
  <si>
    <t>Hilpress Spiralband 8,0 mm</t>
  </si>
  <si>
    <t>1412054</t>
  </si>
  <si>
    <t>Einbaudose mit Schraubgehäuse aus Metall</t>
  </si>
  <si>
    <t>1412055</t>
  </si>
  <si>
    <t>Einbaustecker mit Schraubgehäuse, Metall</t>
  </si>
  <si>
    <t>1412056</t>
  </si>
  <si>
    <t>Leitungsdose, gerade, mit Kabelfang</t>
  </si>
  <si>
    <t>1412057</t>
  </si>
  <si>
    <t>Gerollter Crimp-Rastkontakt (Buchse)</t>
  </si>
  <si>
    <t>1412058</t>
  </si>
  <si>
    <t>Leitungsstecker mit Kabelabfangung</t>
  </si>
  <si>
    <t>1412059</t>
  </si>
  <si>
    <t>Gerollter Crimp-Rastkontakt</t>
  </si>
  <si>
    <t>1412060</t>
  </si>
  <si>
    <t>Hilpress Flachsteckhülse, rot</t>
  </si>
  <si>
    <t>1412061</t>
  </si>
  <si>
    <t>Kabelbinder Cimco</t>
  </si>
  <si>
    <t>1412062</t>
  </si>
  <si>
    <t>1412063</t>
  </si>
  <si>
    <t>1412064</t>
  </si>
  <si>
    <t>1412065</t>
  </si>
  <si>
    <t>1412066</t>
  </si>
  <si>
    <t>Antriebsarretierung / Kabelbinder rot</t>
  </si>
  <si>
    <t>1412067</t>
  </si>
  <si>
    <t>Stahlkabelbinder</t>
  </si>
  <si>
    <t>1412068</t>
  </si>
  <si>
    <t>Kabelbinder blau, 300 x 4 mm</t>
  </si>
  <si>
    <t>1412070</t>
  </si>
  <si>
    <t>Verschlußnippel Pg 9</t>
  </si>
  <si>
    <t>1412071</t>
  </si>
  <si>
    <t>Verschlußnippel Pg 11</t>
  </si>
  <si>
    <t>1412072</t>
  </si>
  <si>
    <t>Verschlußnippel Pg 13.5</t>
  </si>
  <si>
    <t>1412073</t>
  </si>
  <si>
    <t>Verschlußnippel Pg 16</t>
  </si>
  <si>
    <t>1412074</t>
  </si>
  <si>
    <t>OBO Verschlusschraube M 25</t>
  </si>
  <si>
    <t>1412075</t>
  </si>
  <si>
    <t>OBO Verschlusschraube M 20</t>
  </si>
  <si>
    <t>1412076</t>
  </si>
  <si>
    <t>OBO Verschlusschraube M 16</t>
  </si>
  <si>
    <t>1412077</t>
  </si>
  <si>
    <t>OBO Verschlusschraube M 12</t>
  </si>
  <si>
    <t>1412078</t>
  </si>
  <si>
    <t>OBO Verschlussschraube M 32</t>
  </si>
  <si>
    <t>1412080</t>
  </si>
  <si>
    <t>Kabelhalter                                           1</t>
  </si>
  <si>
    <t>1412081</t>
  </si>
  <si>
    <t>Flachsteckhülsen rot,  6,3 - 1,0</t>
  </si>
  <si>
    <t>1412082</t>
  </si>
  <si>
    <t>Flachsteckhülsen blau</t>
  </si>
  <si>
    <t>1412083</t>
  </si>
  <si>
    <t>Hilpress Flachbandclip  15 x 26 x 10</t>
  </si>
  <si>
    <t>1412084</t>
  </si>
  <si>
    <t>Hilpress Aderendhülse 0,5N</t>
  </si>
  <si>
    <t>1412085</t>
  </si>
  <si>
    <t>Hilpress Aderendhülse 2x0,5N</t>
  </si>
  <si>
    <t>1412090</t>
  </si>
  <si>
    <t>Flachsteckerleiste 408-4 M, Pol-Zahl 4</t>
  </si>
  <si>
    <t>1412091</t>
  </si>
  <si>
    <t>Flachsteckerleiste 408-4 F, Pol-Zahl 4</t>
  </si>
  <si>
    <t>1412092</t>
  </si>
  <si>
    <t>Flachsteckbinder</t>
  </si>
  <si>
    <t>1412093</t>
  </si>
  <si>
    <t>1412094</t>
  </si>
  <si>
    <t>Hilpress Flachsteckhülsen rot, 6,3-1,0</t>
  </si>
  <si>
    <t>1412095</t>
  </si>
  <si>
    <t>Hilpress Flachsteckhülse,  blau, 6,3-2,5</t>
  </si>
  <si>
    <t>1412096</t>
  </si>
  <si>
    <t>Hilpress Flachsteckhülse, vollisoliert,</t>
  </si>
  <si>
    <t>1412097</t>
  </si>
  <si>
    <t>Quetschkabelschuh Ringform A6,00 - 16,00              2</t>
  </si>
  <si>
    <t>1412100</t>
  </si>
  <si>
    <t>Leitungsführungskanal reinweiß 40x40mm</t>
  </si>
  <si>
    <t>1412101</t>
  </si>
  <si>
    <t>Leitungsführungskanal</t>
  </si>
  <si>
    <t>1412102</t>
  </si>
  <si>
    <t>Kunststoff-Panzerrohr starr, WPKu-</t>
  </si>
  <si>
    <t>1412103</t>
  </si>
  <si>
    <t>Elmo Klemmschelle metrisch</t>
  </si>
  <si>
    <t>1412104</t>
  </si>
  <si>
    <t>Kabelband Kunststoffzunge</t>
  </si>
  <si>
    <t>1412105</t>
  </si>
  <si>
    <t>Leitungsführungskanal, Tehalit                        1</t>
  </si>
  <si>
    <t>1412106</t>
  </si>
  <si>
    <t>Niedax Kabelrinne, RL 85.100, Länge 3 m               6</t>
  </si>
  <si>
    <t>1412107</t>
  </si>
  <si>
    <t>Abdeckrahmen 1f. anth. GIRA 021123</t>
  </si>
  <si>
    <t>1412108</t>
  </si>
  <si>
    <t>Zentralplatte Schlüssel enth. System 55</t>
  </si>
  <si>
    <t>1412109</t>
  </si>
  <si>
    <t>Schlüsselschalter-Einsatz 2-polig                     3</t>
  </si>
  <si>
    <t>1412110</t>
  </si>
  <si>
    <t>Kabelkanal,Unterteil und Deckel,16x16mm              1</t>
  </si>
  <si>
    <t>1412111</t>
  </si>
  <si>
    <t>Kabelkanal, Unterteil und Deckel,40x60mm              4</t>
  </si>
  <si>
    <t>1412115</t>
  </si>
  <si>
    <t>Rohrabstandsschelle OBO</t>
  </si>
  <si>
    <t>1412150</t>
  </si>
  <si>
    <t>Stecker gerade, M12, IP67, 3polig                    36</t>
  </si>
  <si>
    <t>1412151</t>
  </si>
  <si>
    <t>Kupplung gerade, M12, IP67, 3polig                   36</t>
  </si>
  <si>
    <t>1412152</t>
  </si>
  <si>
    <t>Kupplung gerade, M12, IP67, 4polig                   40</t>
  </si>
  <si>
    <t>1412153</t>
  </si>
  <si>
    <t>Stecker gerade, M12, IP67, 8polig                    96</t>
  </si>
  <si>
    <t>1412154</t>
  </si>
  <si>
    <t>Kupplung gerade, M12, IP67, 8polig                 1.03</t>
  </si>
  <si>
    <t>1412199</t>
  </si>
  <si>
    <t>Niedax Trennsteg, RW 60</t>
  </si>
  <si>
    <t>1499999</t>
  </si>
  <si>
    <t>Sammelartikel Installationsmaterial</t>
  </si>
  <si>
    <t>1501002</t>
  </si>
  <si>
    <t>Näherungsinitiator NBB5-18GM50-E0</t>
  </si>
  <si>
    <t>1501015</t>
  </si>
  <si>
    <t>Näherungsinitiator ENM-SU1Z Riw                       2</t>
  </si>
  <si>
    <t>1501100</t>
  </si>
  <si>
    <t>Schutzausrüstung Baugruppe RS FSA                     4</t>
  </si>
  <si>
    <t>1502001</t>
  </si>
  <si>
    <t>Aufputzschalter 333A</t>
  </si>
  <si>
    <t>1502002</t>
  </si>
  <si>
    <t>Symbole 31 NR für Aufputzschalter 333A</t>
  </si>
  <si>
    <t>1509003</t>
  </si>
  <si>
    <t>Esti-Temperaturmelder SK 10, 1/U</t>
  </si>
  <si>
    <t>1509004</t>
  </si>
  <si>
    <t>Mayser Widerstandsauswerter SG-RS 204                 9</t>
  </si>
  <si>
    <t>1509005</t>
  </si>
  <si>
    <t>Esti Schalter SK 10, 1/U,1509005/200 mm               6</t>
  </si>
  <si>
    <t>1509006</t>
  </si>
  <si>
    <t>Esti Ersatzpatrone 80 Grad für</t>
  </si>
  <si>
    <t>1509007</t>
  </si>
  <si>
    <t>Esti Ersatzpatrone 140 Grad für</t>
  </si>
  <si>
    <t>1509008</t>
  </si>
  <si>
    <t>Esti Schalter SK 10, 200 mm Sonde</t>
  </si>
  <si>
    <t>1509009</t>
  </si>
  <si>
    <t>Esti Schalter SK 10 1/U, 200 mm Sonde                 6</t>
  </si>
  <si>
    <t>1509010</t>
  </si>
  <si>
    <t>Esti Schaltelement SK-10                              1</t>
  </si>
  <si>
    <t>1509011</t>
  </si>
  <si>
    <t>Esti-Schalter SK 10, 1509005/200mm Sonde              6</t>
  </si>
  <si>
    <t>1509012</t>
  </si>
  <si>
    <t>Esti Ersatzpatrone  68°, VDS</t>
  </si>
  <si>
    <t>1509013</t>
  </si>
  <si>
    <t>Esti-Thermoeinsatz 141° C / VDS</t>
  </si>
  <si>
    <t>1509014</t>
  </si>
  <si>
    <t>RadioBand B-STB für 8,2 K Leisten bis                 2</t>
  </si>
  <si>
    <t>1509015</t>
  </si>
  <si>
    <t>RadioBand UMS Empfänger                               2</t>
  </si>
  <si>
    <t>1509016</t>
  </si>
  <si>
    <t>Belimo BAE 72, Thermoelektrische                      2</t>
  </si>
  <si>
    <t>1509017</t>
  </si>
  <si>
    <t>Sender Radioband komplett</t>
  </si>
  <si>
    <t>1509018</t>
  </si>
  <si>
    <t>Radioband / CSM LB                                    1</t>
  </si>
  <si>
    <t>1510001</t>
  </si>
  <si>
    <t>Hekatron Rauchmelder ORS 142, optisch                 8</t>
  </si>
  <si>
    <t>1510002</t>
  </si>
  <si>
    <t>Sockel für Aufputzmontage ORS 132+++++++</t>
  </si>
  <si>
    <t>1510003</t>
  </si>
  <si>
    <t>Rauchmelder Opt. BR 12                                6</t>
  </si>
  <si>
    <t>1510004</t>
  </si>
  <si>
    <t>Rauchmelder-Fassung MS 9                              1</t>
  </si>
  <si>
    <t>1510007</t>
  </si>
  <si>
    <t>Rauchmelder Sockel EEX V24521-Z22-A572                5</t>
  </si>
  <si>
    <t>1510008</t>
  </si>
  <si>
    <t>Rauchmelder F 910 V24521-Z22-A556</t>
  </si>
  <si>
    <t>1510009</t>
  </si>
  <si>
    <t>Rauchmelder Opt. BR 12                                7</t>
  </si>
  <si>
    <t>1510013</t>
  </si>
  <si>
    <t>Rauchmelder Opt. BR 12 EEX                            8</t>
  </si>
  <si>
    <t>1510014</t>
  </si>
  <si>
    <t>Apollo Feuchtraumsockelzusatz</t>
  </si>
  <si>
    <t>1510020</t>
  </si>
  <si>
    <t>Rauchmelderwinkel (kurz)</t>
  </si>
  <si>
    <t>1510021</t>
  </si>
  <si>
    <t>Rauchmelderwinkel kurz V2A</t>
  </si>
  <si>
    <t>1510022</t>
  </si>
  <si>
    <t>Rauchmelderwinkel (lang)</t>
  </si>
  <si>
    <t>1510023</t>
  </si>
  <si>
    <t>Rauchmelderwinkel lang V2A</t>
  </si>
  <si>
    <t>1510024</t>
  </si>
  <si>
    <t>Rauchmelderwinkel (kurz), St 37 feuerver</t>
  </si>
  <si>
    <t>1510025</t>
  </si>
  <si>
    <t>1510026</t>
  </si>
  <si>
    <t>Befestigung Rauchmelderwinkel (lang)</t>
  </si>
  <si>
    <t>1510027</t>
  </si>
  <si>
    <t>Rauchmeldergalgen mit Sturzmelder                     7</t>
  </si>
  <si>
    <t>1510028</t>
  </si>
  <si>
    <t>Rauchmeldergalgen ohne  Sturzmelder                   4</t>
  </si>
  <si>
    <t>1510029</t>
  </si>
  <si>
    <t>Melderwinkel kurz RAL 9010</t>
  </si>
  <si>
    <t>1510030</t>
  </si>
  <si>
    <t>Optischer Rauchmelder ORM 130/A                       4</t>
  </si>
  <si>
    <t>1510031</t>
  </si>
  <si>
    <t>Sockel für Aufputzmontage 143/A</t>
  </si>
  <si>
    <t>1510032</t>
  </si>
  <si>
    <t>Meldersockel für Wand/Sturzmontage 143/W              1</t>
  </si>
  <si>
    <t>1510040</t>
  </si>
  <si>
    <t>Rauchmelder SIGMACON SDF 200 nach                     4</t>
  </si>
  <si>
    <t>1510041</t>
  </si>
  <si>
    <t>Wärmemelder SIGMACON SDT 210 nach EN                  3</t>
  </si>
  <si>
    <t>1510042</t>
  </si>
  <si>
    <t>Rauchmelder Fassung SPF 600 fürRM/SDF200</t>
  </si>
  <si>
    <t>1510043</t>
  </si>
  <si>
    <t>Apollo Rauchmelder S60, Optischer Melder              1</t>
  </si>
  <si>
    <t>1510044</t>
  </si>
  <si>
    <t>Apollo Thermofifferentialmelder S60DBT                1</t>
  </si>
  <si>
    <t>1510045</t>
  </si>
  <si>
    <t>Apollo Standardsockel  S60/65</t>
  </si>
  <si>
    <t>1510046</t>
  </si>
  <si>
    <t>Rauchschalter S60 55000-300/223DBT                    3</t>
  </si>
  <si>
    <t>1510047</t>
  </si>
  <si>
    <t>Wärmemelder S60 Apollo 55000-110 EX                   4</t>
  </si>
  <si>
    <t>1510048</t>
  </si>
  <si>
    <t>Ionisationsmelder S60 I.S   (Optisch)                 5</t>
  </si>
  <si>
    <t>1510049</t>
  </si>
  <si>
    <t>Ex-Barriere für 1 Linie                               5</t>
  </si>
  <si>
    <t>1510050</t>
  </si>
  <si>
    <t>Meldersockel S60 I.S. EX</t>
  </si>
  <si>
    <t>1510051</t>
  </si>
  <si>
    <t>Apollo Rauchschalterkopf S65DBT                       1</t>
  </si>
  <si>
    <t>1510052</t>
  </si>
  <si>
    <t>Apollo Thermoschalterkopf S65DBT                      1</t>
  </si>
  <si>
    <t>1510053</t>
  </si>
  <si>
    <t>Apollo Relais Sockel Fail Safe S65DBT</t>
  </si>
  <si>
    <t>1510054</t>
  </si>
  <si>
    <t>Sicherheitsbarriere, Ex, Z - 728                      4</t>
  </si>
  <si>
    <t>1510055</t>
  </si>
  <si>
    <t>Pilz Sperrtaster Oe/S Notaus                          9</t>
  </si>
  <si>
    <t>1510056</t>
  </si>
  <si>
    <t>Positionsschalter mit Verstellrollen</t>
  </si>
  <si>
    <t>1510057</t>
  </si>
  <si>
    <t>Klemmenkasten EEx,mit  1 x M25, 3 x M 16              9</t>
  </si>
  <si>
    <t>1510058</t>
  </si>
  <si>
    <t>Optex Aktiv-Infrarot Anwesenheitssensor              11</t>
  </si>
  <si>
    <t>1510059</t>
  </si>
  <si>
    <t>Aktiv Infrarot Anwesenheitssensor HR 98i             16</t>
  </si>
  <si>
    <t>1510060</t>
  </si>
  <si>
    <t>Appllo Druckknopfmelder-blau m.Schlüssel              3</t>
  </si>
  <si>
    <t>1510061</t>
  </si>
  <si>
    <t>Wärmemelder DT1102A                                   8</t>
  </si>
  <si>
    <t>1510062</t>
  </si>
  <si>
    <t>Apollo ORBIS Optischer Melder                         1</t>
  </si>
  <si>
    <t>1510063</t>
  </si>
  <si>
    <t>Apollo ORBIS Thermodifferentialmelder</t>
  </si>
  <si>
    <t>1510064</t>
  </si>
  <si>
    <t>Apollo ORBIS Standardsockel MB-00001</t>
  </si>
  <si>
    <t>1510065</t>
  </si>
  <si>
    <t>Apollo ORBIS Relais Sockel RB-10004</t>
  </si>
  <si>
    <t>1510066</t>
  </si>
  <si>
    <t>Apollo ORBIS Multisensor OH-13001                     1</t>
  </si>
  <si>
    <t>1510067</t>
  </si>
  <si>
    <t>Apollo ORBIS Adapter S65/Orbis</t>
  </si>
  <si>
    <t>1510068</t>
  </si>
  <si>
    <t>Apollo ORBIS I.S. Ex Multisensor mit</t>
  </si>
  <si>
    <t>1510069</t>
  </si>
  <si>
    <t>Apollo Orbis I.S.Ex Optischer Melder mit              5</t>
  </si>
  <si>
    <t>1510070</t>
  </si>
  <si>
    <t>Apollo ORBIS I.S.Ex Thermodifferenzial-               4</t>
  </si>
  <si>
    <t>1510071</t>
  </si>
  <si>
    <t>Hekatron Optischer Funk-Rauchschalter                19</t>
  </si>
  <si>
    <t>1510072</t>
  </si>
  <si>
    <t>Hekatron Radio Master Unit, RMU 04                   18</t>
  </si>
  <si>
    <t>1510073</t>
  </si>
  <si>
    <t>Apollo ORBIS Sockel MB-50018</t>
  </si>
  <si>
    <t>1510074</t>
  </si>
  <si>
    <t>Apollo Zener Barriere 59000-728                       7</t>
  </si>
  <si>
    <t>1510075</t>
  </si>
  <si>
    <t>Siemens Neuronaler Brandmelder, reinweis              6</t>
  </si>
  <si>
    <t>1510076</t>
  </si>
  <si>
    <t>Siemens Meldersockel FDB221</t>
  </si>
  <si>
    <t>1510077</t>
  </si>
  <si>
    <t>Optex Anwesenheits-Sensor schwarz,                   11</t>
  </si>
  <si>
    <t>1510078</t>
  </si>
  <si>
    <t>Wärmemelder UniVario WMX5000 komplett                 7</t>
  </si>
  <si>
    <t>1510079</t>
  </si>
  <si>
    <t>Meldersockel UniVario für Wärmemelder                 5</t>
  </si>
  <si>
    <t>1510080</t>
  </si>
  <si>
    <t>Montagebügel  UniVario für Wärmemelder                1</t>
  </si>
  <si>
    <t>1510081</t>
  </si>
  <si>
    <t>Relaisplatine UniVario für Wärmemelder                9</t>
  </si>
  <si>
    <t>1510082</t>
  </si>
  <si>
    <t>Siemens Meldersockel FDB201, kollektiv</t>
  </si>
  <si>
    <t>1510083</t>
  </si>
  <si>
    <t>Apollo Thermomaximalmelder CS, S65</t>
  </si>
  <si>
    <t>1510084</t>
  </si>
  <si>
    <t>Ballwurfschutzgitter Apollo                           4</t>
  </si>
  <si>
    <t>1510085</t>
  </si>
  <si>
    <t>Smoke Tester EST 100, Art.-Nr. 10064</t>
  </si>
  <si>
    <t>1510086</t>
  </si>
  <si>
    <t>Steuerzentrale für Smoketester EST 100</t>
  </si>
  <si>
    <t>1510087</t>
  </si>
  <si>
    <t>Apollo Meldersockel S65A 45681-200 USA</t>
  </si>
  <si>
    <t>1510088</t>
  </si>
  <si>
    <t>Apollo Rauchmelder S65A 55000-327                     1</t>
  </si>
  <si>
    <t>1511001</t>
  </si>
  <si>
    <t>Wärmemelder BD957 Dif Melder                          3</t>
  </si>
  <si>
    <t>1511002</t>
  </si>
  <si>
    <t>Wärme-Differential-Melder WDM 215/A                   3</t>
  </si>
  <si>
    <t>1511003</t>
  </si>
  <si>
    <t>Wärmemelder BD957 Dif Melder,&amp; So.MS 9                4</t>
  </si>
  <si>
    <t>1511004</t>
  </si>
  <si>
    <t>Wärmedifmelder D901 EX                                7</t>
  </si>
  <si>
    <t>1511823</t>
  </si>
  <si>
    <t>Hekatron Thermodifferentialschalter                   6</t>
  </si>
  <si>
    <t>1511824</t>
  </si>
  <si>
    <t>Hekatron Akku für opt.Rauchschalter 145F              1</t>
  </si>
  <si>
    <t>1511825</t>
  </si>
  <si>
    <t>Hekatron Optischer Rauchschalter ORS142W             11</t>
  </si>
  <si>
    <t>1511826</t>
  </si>
  <si>
    <t>Hekatron Oberteil, Standard RNO 02</t>
  </si>
  <si>
    <t>1513001</t>
  </si>
  <si>
    <t>EX-MS6/7 Linienkoppler EN                            42</t>
  </si>
  <si>
    <t>1520000</t>
  </si>
  <si>
    <t>Sick Leitungsdose DOL-0803-G10M                       1</t>
  </si>
  <si>
    <t>1520001</t>
  </si>
  <si>
    <t>OMRON Fotoschalter E3N-30H41S1-G                     19</t>
  </si>
  <si>
    <t>1520002</t>
  </si>
  <si>
    <t>OMRON Lichttaster E3N-DS70H41S1-G                    14</t>
  </si>
  <si>
    <t>1520003</t>
  </si>
  <si>
    <t>Sensor Optex OA-AXIS I , schwarz                      8</t>
  </si>
  <si>
    <t>1520005</t>
  </si>
  <si>
    <t>Einweg-LS L30/LK30-1503/78/40A/47                    16</t>
  </si>
  <si>
    <t>1520006</t>
  </si>
  <si>
    <t>Lichschranke RK 85/4</t>
  </si>
  <si>
    <t>1520007</t>
  </si>
  <si>
    <t>Sick Reflexions-Lichttaster, WT100-P3419              6</t>
  </si>
  <si>
    <t>1520008</t>
  </si>
  <si>
    <t>Reflektions-Lichschranke komplett                     8</t>
  </si>
  <si>
    <t>1520009</t>
  </si>
  <si>
    <t>Reflektor, rund,  C110 - 2, Durchm. 84,5</t>
  </si>
  <si>
    <t>1520010</t>
  </si>
  <si>
    <t>Lichtschrankenhalter kompl.verzinkt</t>
  </si>
  <si>
    <t>1520011</t>
  </si>
  <si>
    <t>Lichtschrankenarm Gr. 1</t>
  </si>
  <si>
    <t>1520012</t>
  </si>
  <si>
    <t>Lichtschrankenbleche</t>
  </si>
  <si>
    <t>1520013</t>
  </si>
  <si>
    <t>Reflektorhalterung</t>
  </si>
  <si>
    <t>1520014</t>
  </si>
  <si>
    <t>Lichtschrankenarm Größe 2</t>
  </si>
  <si>
    <t>1520015</t>
  </si>
  <si>
    <t>Lichtschrankenarm Größe 3</t>
  </si>
  <si>
    <t>1520016</t>
  </si>
  <si>
    <t>Lichtschrankenarm Größe 4</t>
  </si>
  <si>
    <t>1520017</t>
  </si>
  <si>
    <t>Lichtschrankenarm Größe 1 V2A</t>
  </si>
  <si>
    <t>1520018</t>
  </si>
  <si>
    <t>Lichtschrankenarm Größe 2 V2A</t>
  </si>
  <si>
    <t>1520019</t>
  </si>
  <si>
    <t>1520020</t>
  </si>
  <si>
    <t>Reflektions-Lichtschranke f. Feuerschutz             10</t>
  </si>
  <si>
    <t>1520021</t>
  </si>
  <si>
    <t>Reflektor H 60 für Lichtschranke</t>
  </si>
  <si>
    <t>1520022</t>
  </si>
  <si>
    <t>Halterung , komp.für Lichtschranke</t>
  </si>
  <si>
    <t>1520023</t>
  </si>
  <si>
    <t>Reflexions-Lichtschranke RL24-55-2429                 9</t>
  </si>
  <si>
    <t>1520024</t>
  </si>
  <si>
    <t>Klemmprofil bearb., Art.-Nr. 052613</t>
  </si>
  <si>
    <t>1520025</t>
  </si>
  <si>
    <t>Kabeldose , V 15-G-5M-PUR</t>
  </si>
  <si>
    <t>1520026</t>
  </si>
  <si>
    <t>Kabeldose , V 15-G-10M-PUR, 10m Kabel                 1</t>
  </si>
  <si>
    <t>1520027</t>
  </si>
  <si>
    <t>Kabeldose V 15-W-15M-PUR                              2</t>
  </si>
  <si>
    <t>1520028</t>
  </si>
  <si>
    <t>Pepperl+Fuchs, Flächenlichttaster                     5</t>
  </si>
  <si>
    <t>1520029</t>
  </si>
  <si>
    <t>Pepperl + Fuchs, Kabeldose mit Winkel-</t>
  </si>
  <si>
    <t>1520030</t>
  </si>
  <si>
    <t>Pepperl und Fuchs, Lichtschranke                     12</t>
  </si>
  <si>
    <t>1520031</t>
  </si>
  <si>
    <t>Trennschalterverstärker , KFD2 - SR2 -</t>
  </si>
  <si>
    <t>1520032</t>
  </si>
  <si>
    <t>1520033</t>
  </si>
  <si>
    <t>1520034</t>
  </si>
  <si>
    <t>Reflektor H 85</t>
  </si>
  <si>
    <t>1520035</t>
  </si>
  <si>
    <t>Halteblech für Reflektor H 85</t>
  </si>
  <si>
    <t>1520036</t>
  </si>
  <si>
    <t>Montagehilfe , OMH - Rl 36</t>
  </si>
  <si>
    <t>1520037</t>
  </si>
  <si>
    <t>Lichtschranke , RL 36 - 55 - Ex / 40b /</t>
  </si>
  <si>
    <t>1520038</t>
  </si>
  <si>
    <t>Kabeldose V15-G-5M - PVC</t>
  </si>
  <si>
    <t>1520039</t>
  </si>
  <si>
    <t>Kabeldose V 15-G-10M - PVC                            1</t>
  </si>
  <si>
    <t>1520040</t>
  </si>
  <si>
    <t>Kabeldose V15-G-20M - PVC                             1</t>
  </si>
  <si>
    <t>1520041</t>
  </si>
  <si>
    <t>Pepperl und Fuchs Reflexions-Lichttaster</t>
  </si>
  <si>
    <t>1520042</t>
  </si>
  <si>
    <t>1520043</t>
  </si>
  <si>
    <t>Pepperl+ Fuchs Kabeldose</t>
  </si>
  <si>
    <t>1520044</t>
  </si>
  <si>
    <t>Peperl+Fuchs Verbindungskabel</t>
  </si>
  <si>
    <t>1520045</t>
  </si>
  <si>
    <t>Pepperl+Fuchs Kabeldose V1-G-10M-PVC                  2</t>
  </si>
  <si>
    <t>1520046</t>
  </si>
  <si>
    <t>Pepperl+Fuchs Kabeldose V1-G-20M-PVC</t>
  </si>
  <si>
    <t>1520047</t>
  </si>
  <si>
    <t>Pepperl+Fuchs Verbindungskabel                        1</t>
  </si>
  <si>
    <t>1520048</t>
  </si>
  <si>
    <t>Pepperl+Fuchs Kabelstecker M12, 5pol.                 1</t>
  </si>
  <si>
    <t>1520052</t>
  </si>
  <si>
    <t>Lichtschrankensender LS 88/2 SE-EX                   33</t>
  </si>
  <si>
    <t>1520053</t>
  </si>
  <si>
    <t>Lichtschrankenempfänger LS 88/4 E-EX                 37</t>
  </si>
  <si>
    <t>1520054</t>
  </si>
  <si>
    <t>Lichtschranke Pepperl und Fuchs                      14</t>
  </si>
  <si>
    <t>1520055</t>
  </si>
  <si>
    <t>Reflexions-Lichtschranke RLK31-54/25/31/              4</t>
  </si>
  <si>
    <t>1520056</t>
  </si>
  <si>
    <t>Pepperl+Fuchs Reflektions-Lichtschranke</t>
  </si>
  <si>
    <t>1520057</t>
  </si>
  <si>
    <t>Peppert+Fuchs Montagehilfe OMH-05</t>
  </si>
  <si>
    <t>1520058</t>
  </si>
  <si>
    <t>Pepperl+Fuchs Nährungsschalter NPN                    3</t>
  </si>
  <si>
    <t>1520059</t>
  </si>
  <si>
    <t>Pepperl+Fuchs Reflexions-Lichttaster HGA</t>
  </si>
  <si>
    <t>1520060</t>
  </si>
  <si>
    <t>Pepperl und Fuchs Kabeldose V3-GM-10M-</t>
  </si>
  <si>
    <t>1520061</t>
  </si>
  <si>
    <t>Pepperl+ Fuchs Verbindungskabel</t>
  </si>
  <si>
    <t>1520062</t>
  </si>
  <si>
    <t>Lichtschranke V2A Pepperl und Fuchs                  17</t>
  </si>
  <si>
    <t>1520063</t>
  </si>
  <si>
    <t>Pepperl+Fuchs Reflexions-Lichttaster</t>
  </si>
  <si>
    <t>1520064</t>
  </si>
  <si>
    <t>1520065</t>
  </si>
  <si>
    <t>Peperl+Fuchs Brandschutz-Einweg-                     17</t>
  </si>
  <si>
    <t>1520066</t>
  </si>
  <si>
    <t>Reflexions-Lichtschranke, Art.-Nr 801763              5</t>
  </si>
  <si>
    <t>1520067</t>
  </si>
  <si>
    <t>Pepperl+Fuchs Schaltverstärker 214246                 8</t>
  </si>
  <si>
    <t>1520068</t>
  </si>
  <si>
    <t>Pepperl+Fuchs Induktiver Sensor 106504               12</t>
  </si>
  <si>
    <t>1520069</t>
  </si>
  <si>
    <t>Pepperl+Fuchs Haltewinkel OMH-MLV12-HWG               1</t>
  </si>
  <si>
    <t>1520070</t>
  </si>
  <si>
    <t>Pepperl+Fuchs Ultraschallsensor                      11</t>
  </si>
  <si>
    <t>Pepperl+Fuchs Kabeldose V11-W-5M-PUR</t>
  </si>
  <si>
    <t>1520080</t>
  </si>
  <si>
    <t>Induktiver Sicherheitsschalter M 18                   7</t>
  </si>
  <si>
    <t>1530001</t>
  </si>
  <si>
    <t>Schallgeber Y04/ 24 V DC, YA40/D/RN                   2</t>
  </si>
  <si>
    <t>1530003</t>
  </si>
  <si>
    <t>Plattformsirene SQUASHNI, rot, IP21C                  2</t>
  </si>
  <si>
    <t>1530004</t>
  </si>
  <si>
    <t>Schallgeber Y03 230V AC                               7</t>
  </si>
  <si>
    <t>1530005</t>
  </si>
  <si>
    <t>Abdeckung für Plattformsirene,rot</t>
  </si>
  <si>
    <t>1530006</t>
  </si>
  <si>
    <t>Schallgeber Grot STE7781</t>
  </si>
  <si>
    <t>1530007</t>
  </si>
  <si>
    <t>Schallgeber DS 10, 24V DC, IP66/67 110db             17</t>
  </si>
  <si>
    <t>1530008</t>
  </si>
  <si>
    <t>Hupe WS8, intern, IP65, 70dB                          4</t>
  </si>
  <si>
    <t>1530009</t>
  </si>
  <si>
    <t>Hupe WS8 extern, IP54, 108dB                          5</t>
  </si>
  <si>
    <t>1530010</t>
  </si>
  <si>
    <t>Hupe/Blitz Kombination SQG3 AV Base                   4</t>
  </si>
  <si>
    <t>1530011</t>
  </si>
  <si>
    <t>Abdeckung für SQG3 / weiß</t>
  </si>
  <si>
    <t>1530012</t>
  </si>
  <si>
    <t>Satelliten-Lautsprecher HTS-1010                      2</t>
  </si>
  <si>
    <t>1530013</t>
  </si>
  <si>
    <t>Lichtschranken-Reflektor-Halterung V2A</t>
  </si>
  <si>
    <t>1530014</t>
  </si>
  <si>
    <t>Sprachmodul SPL 4-D, 16 MB Speicher                  13</t>
  </si>
  <si>
    <t>1530015</t>
  </si>
  <si>
    <t>Kunststoffgehäuse für SPL 4-D, IP 66,                 1</t>
  </si>
  <si>
    <t>1530016</t>
  </si>
  <si>
    <t>Programmierkabel D-DUB für SPL 4, lange</t>
  </si>
  <si>
    <t>1530017</t>
  </si>
  <si>
    <t>Sprachmodul SPL 4-Molex 16MBit                       11</t>
  </si>
  <si>
    <t>1530018</t>
  </si>
  <si>
    <t>Hutschienenbefestigung rast. für  LP</t>
  </si>
  <si>
    <t>1530019</t>
  </si>
  <si>
    <t>Programmierkabel PK2                                  1</t>
  </si>
  <si>
    <t>1540001</t>
  </si>
  <si>
    <t>Blitzleuchte V4/5 Joule/24V DC R/A                    3</t>
  </si>
  <si>
    <t>1540002</t>
  </si>
  <si>
    <t>Blitzleuchte IP 54,rot DIDIGIFL RED NETZ              2</t>
  </si>
  <si>
    <t>1540003</t>
  </si>
  <si>
    <t>Warntonsirene Chiasso 100 Razor rot                   4</t>
  </si>
  <si>
    <t>1540004</t>
  </si>
  <si>
    <t>Blitzleuchte SOLEX  Beacon, IP 54, rot                2</t>
  </si>
  <si>
    <t>1540005</t>
  </si>
  <si>
    <t>Werma LED/Summer Kombination 150, 24V                 3</t>
  </si>
  <si>
    <t>1540006</t>
  </si>
  <si>
    <t>Werma Aufbaugehäuse für Kombination 150               2</t>
  </si>
  <si>
    <t>1540007</t>
  </si>
  <si>
    <t>Sockel mit Spannungswandler rot, IP65,                1</t>
  </si>
  <si>
    <t>1540008</t>
  </si>
  <si>
    <t>Blitzleuchte BM 24VDC, gelb</t>
  </si>
  <si>
    <t>1540009</t>
  </si>
  <si>
    <t>Warntonsirene Chiasso 90 Razor rot, rote</t>
  </si>
  <si>
    <t>1540010</t>
  </si>
  <si>
    <t>Solista LX Wall komplett, rot                         5</t>
  </si>
  <si>
    <t>1540011</t>
  </si>
  <si>
    <t>Solista LX Ceiling komplett rot                       5</t>
  </si>
  <si>
    <t>1540012</t>
  </si>
  <si>
    <t>ROLP LX Wall Base rot, mit Blitz rot                  7</t>
  </si>
  <si>
    <t>1540013</t>
  </si>
  <si>
    <t>Solista LX Ceiling komplett weiß,                     5</t>
  </si>
  <si>
    <t>1540014</t>
  </si>
  <si>
    <t>Hupe/Blitzleuchte Kombination, Chiasso                4</t>
  </si>
  <si>
    <t>1540015</t>
  </si>
  <si>
    <t>Hupe/Blitzleuchte Kombination</t>
  </si>
  <si>
    <t>1540016</t>
  </si>
  <si>
    <t>Warntonsirene mit Blitzleuchte weiß                   4</t>
  </si>
  <si>
    <t>1550001</t>
  </si>
  <si>
    <t>Prüfgasdose f. Rauchmelder Siemens                    3</t>
  </si>
  <si>
    <t>1550002</t>
  </si>
  <si>
    <t>Testgas für Brandmelder Hekatron                      1</t>
  </si>
  <si>
    <t>1550003</t>
  </si>
  <si>
    <t>Kabeldose V15-W-15M-PUR, Pepperl + Fuchs</t>
  </si>
  <si>
    <t>1550004</t>
  </si>
  <si>
    <t>Spelsberg Abox 040- L, 804 907 01</t>
  </si>
  <si>
    <t>1550006</t>
  </si>
  <si>
    <t>Pepperl +Fuchs Reflektor, beheizbar                   7</t>
  </si>
  <si>
    <t>1550007</t>
  </si>
  <si>
    <t>Schwellwertschalter YWR-U2T als</t>
  </si>
  <si>
    <t>1550008</t>
  </si>
  <si>
    <t>Windsensor Merten 663591 mit 0-10 V</t>
  </si>
  <si>
    <t>1550010</t>
  </si>
  <si>
    <t>Pepperl+Fuchs Reflexions-Lichtschranke</t>
  </si>
  <si>
    <t>1550011</t>
  </si>
  <si>
    <t>Pepperl+Fuchs Reflektor REF-H60</t>
  </si>
  <si>
    <t>1550801</t>
  </si>
  <si>
    <t>Apollo Aerosol Test Gas, 250 ml                       1</t>
  </si>
  <si>
    <t>1560000</t>
  </si>
  <si>
    <t>Apollo Deckenmelder komplett</t>
  </si>
  <si>
    <t>1560001</t>
  </si>
  <si>
    <t>Apollo Deckenmelder komplett Montage</t>
  </si>
  <si>
    <t>1560002</t>
  </si>
  <si>
    <t>Apollo ORBIS Deckenmelder komplett                    2</t>
  </si>
  <si>
    <t>1560003</t>
  </si>
  <si>
    <t>Apollo ORBIS Deckenmelder komp. Montage</t>
  </si>
  <si>
    <t>1560004</t>
  </si>
  <si>
    <t>Siemens Deckenmelder komplett</t>
  </si>
  <si>
    <t>1560005</t>
  </si>
  <si>
    <t>Siemens Deckenmelder komplett Montage</t>
  </si>
  <si>
    <t>1560006</t>
  </si>
  <si>
    <t>Hekatron Deckenmelder komplett</t>
  </si>
  <si>
    <t>1560007</t>
  </si>
  <si>
    <t>Hekatron Deckenmelder komplett Montage</t>
  </si>
  <si>
    <t>1560008</t>
  </si>
  <si>
    <t>Hekatron Funkdeckenmelder komplett</t>
  </si>
  <si>
    <t>1560009</t>
  </si>
  <si>
    <t>Hekatron Funkdeckenmelder komp. Montage</t>
  </si>
  <si>
    <t>1560010</t>
  </si>
  <si>
    <t>Esti Deckenmelder komplett</t>
  </si>
  <si>
    <t>1560011</t>
  </si>
  <si>
    <t>Esti Deckenmelder komplett Montage</t>
  </si>
  <si>
    <t>1560012</t>
  </si>
  <si>
    <t>Apollo Deckenmelder VA komplett</t>
  </si>
  <si>
    <t>1560013</t>
  </si>
  <si>
    <t>Apollo Deckenmelder VA komplett Montage</t>
  </si>
  <si>
    <t>1560014</t>
  </si>
  <si>
    <t>Apollo ORBIS Deckenmelder VA komplett</t>
  </si>
  <si>
    <t>1560015</t>
  </si>
  <si>
    <t>Apollo ORBIS Deckenmelder VA kom Montage</t>
  </si>
  <si>
    <t>1560016</t>
  </si>
  <si>
    <t>Siemens Deckenmelder VA komplett</t>
  </si>
  <si>
    <t>1560017</t>
  </si>
  <si>
    <t>Siemens Deckenmelder VA komplett Montage</t>
  </si>
  <si>
    <t>1560018</t>
  </si>
  <si>
    <t>Hekatron Deckenmelder VA komplett</t>
  </si>
  <si>
    <t>1560019</t>
  </si>
  <si>
    <t>Hekatron Deckenmelder VA komp. Montage</t>
  </si>
  <si>
    <t>1560020</t>
  </si>
  <si>
    <t>Hekatron Funkdeckenmelder VA komplett</t>
  </si>
  <si>
    <t>1560021</t>
  </si>
  <si>
    <t>Hekatron Funkdeckenmelder VA  Montage</t>
  </si>
  <si>
    <t>1560022</t>
  </si>
  <si>
    <t>Apollo Sturzmelder komplett</t>
  </si>
  <si>
    <t>1560023</t>
  </si>
  <si>
    <t>Apollo Sturzmelder komplett Montage</t>
  </si>
  <si>
    <t>1560024</t>
  </si>
  <si>
    <t>Apollo ORBIS Sturzmelder komplett</t>
  </si>
  <si>
    <t>1560025</t>
  </si>
  <si>
    <t>Apollo ORBIS Sturzmelder komp. Montage</t>
  </si>
  <si>
    <t>1560026</t>
  </si>
  <si>
    <t>Siemens Sturzmelder komplett</t>
  </si>
  <si>
    <t>1560027</t>
  </si>
  <si>
    <t>Siemens Sturzmelder komplett Montage</t>
  </si>
  <si>
    <t>1560028</t>
  </si>
  <si>
    <t>Hekatron Sturzmelder komplett</t>
  </si>
  <si>
    <t>1560029</t>
  </si>
  <si>
    <t>Hekatron Sturzmelder komplett Montage</t>
  </si>
  <si>
    <t>1560030</t>
  </si>
  <si>
    <t>Hekatron Funksturzmelder komplett</t>
  </si>
  <si>
    <t>1560031</t>
  </si>
  <si>
    <t>Hekatron Funksturzmelder komp. Montage</t>
  </si>
  <si>
    <t>1560032</t>
  </si>
  <si>
    <t>Esti Sturzmelder komplett</t>
  </si>
  <si>
    <t>1560033</t>
  </si>
  <si>
    <t>Esti Sturzmelder komplett Montage</t>
  </si>
  <si>
    <t>1560034</t>
  </si>
  <si>
    <t>Apollo Sturzmelder VA komplett</t>
  </si>
  <si>
    <t>1560035</t>
  </si>
  <si>
    <t>Apollo Sturzmelder VA komplett Montage</t>
  </si>
  <si>
    <t>1560036</t>
  </si>
  <si>
    <t>Apollo ORBIS Sturzmelder VA komplett</t>
  </si>
  <si>
    <t>1560037</t>
  </si>
  <si>
    <t>Apollo ORBIS Sturzmelder VA kom. Montage</t>
  </si>
  <si>
    <t>1560038</t>
  </si>
  <si>
    <t>Siemens Sturzmelder VA komplett</t>
  </si>
  <si>
    <t>1560039</t>
  </si>
  <si>
    <t>Siemens Sturzmelder VA komplett Montage</t>
  </si>
  <si>
    <t>1560040</t>
  </si>
  <si>
    <t>Hekatron Sturzmelder VA komplett</t>
  </si>
  <si>
    <t>1560041</t>
  </si>
  <si>
    <t>Hekatron Sturzmelder VA komplett Montage</t>
  </si>
  <si>
    <t>1560042</t>
  </si>
  <si>
    <t>Hekatron Funksturzmelder VA komplett</t>
  </si>
  <si>
    <t>1560043</t>
  </si>
  <si>
    <t>Hekatron Funksturzmelder VA kom. Montage</t>
  </si>
  <si>
    <t>1560044</t>
  </si>
  <si>
    <t>Handtaster orange Montage</t>
  </si>
  <si>
    <t>1560045</t>
  </si>
  <si>
    <t>Handtaster rot AP tastend Siemens Mon.</t>
  </si>
  <si>
    <t>1560046</t>
  </si>
  <si>
    <t>Handtaster (AP) Feuchtraum Montage</t>
  </si>
  <si>
    <t>1560047</t>
  </si>
  <si>
    <t>Handtaster Unterputz komplett                         3</t>
  </si>
  <si>
    <t>1560048</t>
  </si>
  <si>
    <t>Handtaster Unterputz komplett Montage</t>
  </si>
  <si>
    <t>1560049</t>
  </si>
  <si>
    <t>Handtaster rot rastend Siemens Montage</t>
  </si>
  <si>
    <t>1560050</t>
  </si>
  <si>
    <t>Handtaster gelb hinter Glas Montage</t>
  </si>
  <si>
    <t>1560051</t>
  </si>
  <si>
    <t>Schlüssleschalter AP rastend komplett</t>
  </si>
  <si>
    <t>1560052</t>
  </si>
  <si>
    <t>Schlüssleschalter AP rast. komp. Montage</t>
  </si>
  <si>
    <t>1560053</t>
  </si>
  <si>
    <t>Schlüsselschalter AP tast. komp.</t>
  </si>
  <si>
    <t>1560054</t>
  </si>
  <si>
    <t>Schlüsselschalter AP tast. komp. Montage</t>
  </si>
  <si>
    <t>1560055</t>
  </si>
  <si>
    <t>Schlüsselschalter UP rastend komplett</t>
  </si>
  <si>
    <t>1560056</t>
  </si>
  <si>
    <t>Schlüsselschalter UP rast. komp. Montage</t>
  </si>
  <si>
    <t>1560057</t>
  </si>
  <si>
    <t>Schlüsselschalter UP tastend komplett</t>
  </si>
  <si>
    <t>1560058</t>
  </si>
  <si>
    <t>Schlüsselschalter UP tast. komp. Montage</t>
  </si>
  <si>
    <t>1560059</t>
  </si>
  <si>
    <t>Lichtschranke komplett inc. Kabeldose</t>
  </si>
  <si>
    <t>1560060</t>
  </si>
  <si>
    <t>Lichtschranke komp. inc. Kabeldose Mont.</t>
  </si>
  <si>
    <t>1560061</t>
  </si>
  <si>
    <t>Sicherheitskontaktleiste Radioband II ko</t>
  </si>
  <si>
    <t>1560062</t>
  </si>
  <si>
    <t>Sicherheitskont.leiste Radioband II Mont</t>
  </si>
  <si>
    <t>1560063</t>
  </si>
  <si>
    <t>Montage Powerpack 1</t>
  </si>
  <si>
    <t>1560064</t>
  </si>
  <si>
    <t>Montage Powerpack 2</t>
  </si>
  <si>
    <t>1560065</t>
  </si>
  <si>
    <t>RZ8-1 Montage</t>
  </si>
  <si>
    <t>1560066</t>
  </si>
  <si>
    <t>RZ8-2</t>
  </si>
  <si>
    <t>1560067</t>
  </si>
  <si>
    <t>RZ8-2 Montage</t>
  </si>
  <si>
    <t>1560068</t>
  </si>
  <si>
    <t>RZ8-3</t>
  </si>
  <si>
    <t>1560069</t>
  </si>
  <si>
    <t>RZ8-3 Montage</t>
  </si>
  <si>
    <t>1560070</t>
  </si>
  <si>
    <t>UP / Hohlwand aufpreis</t>
  </si>
  <si>
    <t>1560071</t>
  </si>
  <si>
    <t>UP / Hohlwand aufpreis Montage</t>
  </si>
  <si>
    <t>1560072</t>
  </si>
  <si>
    <t>RZ7 NT24 BMZ2 Montage</t>
  </si>
  <si>
    <t>1560073</t>
  </si>
  <si>
    <t>RZ7 NT24 Montage</t>
  </si>
  <si>
    <t>1560074</t>
  </si>
  <si>
    <t>RZ7-FAA Montage</t>
  </si>
  <si>
    <t>1560075</t>
  </si>
  <si>
    <t>RZ7-OP Montage</t>
  </si>
  <si>
    <t>1560076</t>
  </si>
  <si>
    <t>RZ3 Montage</t>
  </si>
  <si>
    <t>1560077</t>
  </si>
  <si>
    <t>AM-U komplett</t>
  </si>
  <si>
    <t>1560078</t>
  </si>
  <si>
    <t>AM-U komplett Montage</t>
  </si>
  <si>
    <t>1560079</t>
  </si>
  <si>
    <t>AM-U-EV komplett</t>
  </si>
  <si>
    <t>1560080</t>
  </si>
  <si>
    <t>AM-U-EV komplett Montage</t>
  </si>
  <si>
    <t>1560081</t>
  </si>
  <si>
    <t>Verkabelung Kunst. Kanal/Rohr komplett</t>
  </si>
  <si>
    <t>1560082</t>
  </si>
  <si>
    <t>Verkabel. Kunst. Kanal/Rohr kom/lfdm Mon</t>
  </si>
  <si>
    <t>1560083</t>
  </si>
  <si>
    <t>Verkabelung Stapa. Rohr / Kabelrinne</t>
  </si>
  <si>
    <t>1560084</t>
  </si>
  <si>
    <t>Verkabel Stapa Rohr / Kabelrinne/lfdm Mo</t>
  </si>
  <si>
    <t>1560085</t>
  </si>
  <si>
    <t>Verkabelung in Edelstahl komp./lfdm</t>
  </si>
  <si>
    <t>1560086</t>
  </si>
  <si>
    <t>Verkabel. in Edelst. komp./lfdm Montage</t>
  </si>
  <si>
    <t>1560087</t>
  </si>
  <si>
    <t>Verkabelung halogenfrei Kunst. Kanal</t>
  </si>
  <si>
    <t>1560088</t>
  </si>
  <si>
    <t>Verkabel. halogenfrei Kunst. Kanal</t>
  </si>
  <si>
    <t>1560089</t>
  </si>
  <si>
    <t>Verkabelung halogenfrei Stapa. Rohr /</t>
  </si>
  <si>
    <t>1560090</t>
  </si>
  <si>
    <t>1560091</t>
  </si>
  <si>
    <t>Verkabelung halogenfrei in Edelstah</t>
  </si>
  <si>
    <t>1560092</t>
  </si>
  <si>
    <t>1560093</t>
  </si>
  <si>
    <t>Verkabelung E-30 komplett pro lfdm.</t>
  </si>
  <si>
    <t>1560094</t>
  </si>
  <si>
    <t>Verkabel. E-30 komplett pro lfdm. Mont.</t>
  </si>
  <si>
    <t>1560095</t>
  </si>
  <si>
    <t>Verkabelung bauseitig komplett pro lfdm.</t>
  </si>
  <si>
    <t>1560096</t>
  </si>
  <si>
    <t>Verkabelung bauseitig komp./lfdm Montage</t>
  </si>
  <si>
    <t>1560097</t>
  </si>
  <si>
    <t>Verkabelung halogenfrei bauseitig</t>
  </si>
  <si>
    <t>1560098</t>
  </si>
  <si>
    <t>1560099</t>
  </si>
  <si>
    <t>Micro-S 1000 komplett</t>
  </si>
  <si>
    <t>1560100</t>
  </si>
  <si>
    <t>Micro-S 1000 komplett Montage</t>
  </si>
  <si>
    <t>1560101</t>
  </si>
  <si>
    <t>Blitzleuchte Solex Montage</t>
  </si>
  <si>
    <t>1560102</t>
  </si>
  <si>
    <t>Plattformsirene Montage</t>
  </si>
  <si>
    <t>1560103</t>
  </si>
  <si>
    <t>RZ8-1</t>
  </si>
  <si>
    <t>1560104</t>
  </si>
  <si>
    <t>RZ8-1 Unterputz</t>
  </si>
  <si>
    <t>1560105</t>
  </si>
  <si>
    <t>RZ8-2 Unterputz</t>
  </si>
  <si>
    <t>1560106</t>
  </si>
  <si>
    <t>RZ8-3 Unterputz</t>
  </si>
  <si>
    <t>1560107</t>
  </si>
  <si>
    <t>RZ3 manuell Schrankeinbau                            72</t>
  </si>
  <si>
    <t>1560108</t>
  </si>
  <si>
    <t>RZ3 manuell Schrankeinbau Montage</t>
  </si>
  <si>
    <t>1560109</t>
  </si>
  <si>
    <t>RZ3 motorisch Schrankeinbau</t>
  </si>
  <si>
    <t>1560110</t>
  </si>
  <si>
    <t>RZ3 motorisch Schrankeinbau Montage</t>
  </si>
  <si>
    <t>1560111</t>
  </si>
  <si>
    <t>RZ7 Schrankeinbau man. Wiederöffnung</t>
  </si>
  <si>
    <t>1560112</t>
  </si>
  <si>
    <t>RZ7 Schrankeinbau 1 FAA Montage</t>
  </si>
  <si>
    <t>1560113</t>
  </si>
  <si>
    <t>1560114</t>
  </si>
  <si>
    <t>RZ7 Schrankeinbau 2 FAA Montage</t>
  </si>
  <si>
    <t>1560115</t>
  </si>
  <si>
    <t>RZ7 Schrankeinbau 3 FAA</t>
  </si>
  <si>
    <t>1560116</t>
  </si>
  <si>
    <t>RZ7 Schrankeinbau 3 FAA Montage</t>
  </si>
  <si>
    <t>1560117</t>
  </si>
  <si>
    <t>RZ7 Schrankeinbau 4 FAA</t>
  </si>
  <si>
    <t>1560118</t>
  </si>
  <si>
    <t>RZ7 Schrankeinbau 4 FAA Montage</t>
  </si>
  <si>
    <t>1560119</t>
  </si>
  <si>
    <t>RZ7 Schrankeinbau 5 FAA</t>
  </si>
  <si>
    <t>1560120</t>
  </si>
  <si>
    <t>RZ7 Schrankeinbau 5 FAA Montage</t>
  </si>
  <si>
    <t>1560121</t>
  </si>
  <si>
    <t>RZ7 Schrankeinbau 6 FAA</t>
  </si>
  <si>
    <t>1560122</t>
  </si>
  <si>
    <t>RZ7 Schrankeinbau 6 FAA Montage</t>
  </si>
  <si>
    <t>1560123</t>
  </si>
  <si>
    <t>RZ7 Schrankeinbau 7 FAA</t>
  </si>
  <si>
    <t>1560124</t>
  </si>
  <si>
    <t>RZ7 Schrankeinbau 7 FAA Montage</t>
  </si>
  <si>
    <t>1560125</t>
  </si>
  <si>
    <t>RZ7 Schrankeinbau 8 FAA</t>
  </si>
  <si>
    <t>1560126</t>
  </si>
  <si>
    <t>RZ7 Schrankeinbau 8 FAA Montage</t>
  </si>
  <si>
    <t>1560127</t>
  </si>
  <si>
    <t>RZ7 Schrankeinbau 9 FAA</t>
  </si>
  <si>
    <t>1560128</t>
  </si>
  <si>
    <t>RZ7 Schrankeinbau 9 FAA Montage</t>
  </si>
  <si>
    <t>1560129</t>
  </si>
  <si>
    <t>RZ7 Schrankeinbau 10 FAA</t>
  </si>
  <si>
    <t>1560130</t>
  </si>
  <si>
    <t>RZ7 Schrankeinbau 10 FAA Montage</t>
  </si>
  <si>
    <t>1560131</t>
  </si>
  <si>
    <t>RZ7 Schrankeinbau 11 FAA</t>
  </si>
  <si>
    <t>1560132</t>
  </si>
  <si>
    <t>RZ7 Schrankeinbau 11 FAA Montage</t>
  </si>
  <si>
    <t>1560133</t>
  </si>
  <si>
    <t>RZ7 Schrankeinbau 12 FAA</t>
  </si>
  <si>
    <t>1560134</t>
  </si>
  <si>
    <t>RZ7 Schrankeinbau 12 FAA Montage</t>
  </si>
  <si>
    <t>1560135</t>
  </si>
  <si>
    <t>RZ7 Schrankeinbau 13 FAA</t>
  </si>
  <si>
    <t>1560136</t>
  </si>
  <si>
    <t>RZ7 Schrankeinbau 13 FAA Montage</t>
  </si>
  <si>
    <t>1560137</t>
  </si>
  <si>
    <t>RZ7 Schrankeinbau 14 FAA</t>
  </si>
  <si>
    <t>1560138</t>
  </si>
  <si>
    <t>RZ7 Schrankeinbau 14 FAA Montage</t>
  </si>
  <si>
    <t>1560139</t>
  </si>
  <si>
    <t>RZ7 Schrankeinbau 15 FAA</t>
  </si>
  <si>
    <t>1560140</t>
  </si>
  <si>
    <t>RZ7 Schrankeinbau 15 FAA Montage</t>
  </si>
  <si>
    <t>1560141</t>
  </si>
  <si>
    <t>RZ7 Schrankeinbau mot.. Wiederöffnung</t>
  </si>
  <si>
    <t>1560142</t>
  </si>
  <si>
    <t>1560143</t>
  </si>
  <si>
    <t>1560144</t>
  </si>
  <si>
    <t>1560145</t>
  </si>
  <si>
    <t>1560146</t>
  </si>
  <si>
    <t>1560147</t>
  </si>
  <si>
    <t>1560148</t>
  </si>
  <si>
    <t>1560149</t>
  </si>
  <si>
    <t>1560150</t>
  </si>
  <si>
    <t>1560151</t>
  </si>
  <si>
    <t>1560152</t>
  </si>
  <si>
    <t>1560153</t>
  </si>
  <si>
    <t>1560154</t>
  </si>
  <si>
    <t>1560155</t>
  </si>
  <si>
    <t>1560156</t>
  </si>
  <si>
    <t>Mehrpreis Standschrank RAL</t>
  </si>
  <si>
    <t>1560157</t>
  </si>
  <si>
    <t>Mehrpreis Wandschrank RAL</t>
  </si>
  <si>
    <t>1560160</t>
  </si>
  <si>
    <t>Verkabelung E-90 komplett pro lfdm.</t>
  </si>
  <si>
    <t>1560161</t>
  </si>
  <si>
    <t>Verkabel. E-90 komplett pro lfdm. Mont.</t>
  </si>
  <si>
    <t>1560162</t>
  </si>
  <si>
    <t>Montage Rauchmeldergalgen ohne Sturzmeld</t>
  </si>
  <si>
    <t>1560200</t>
  </si>
  <si>
    <t>Umschaltung für Asynchronmotor ohne</t>
  </si>
  <si>
    <t>1560201</t>
  </si>
  <si>
    <t>1560202</t>
  </si>
  <si>
    <t>Umschaltung für Asynchronmotor mit</t>
  </si>
  <si>
    <t>1560203</t>
  </si>
  <si>
    <t>1560204</t>
  </si>
  <si>
    <t>Umschaltung f. Frequenzgeregelter An-</t>
  </si>
  <si>
    <t>1560205</t>
  </si>
  <si>
    <t>Umschaltung f. Frequenzger. Antrieb</t>
  </si>
  <si>
    <t>1560206</t>
  </si>
  <si>
    <t>1560207</t>
  </si>
  <si>
    <t>1560208</t>
  </si>
  <si>
    <t>1560209</t>
  </si>
  <si>
    <t>1560210</t>
  </si>
  <si>
    <t>1560211</t>
  </si>
  <si>
    <t>1560212</t>
  </si>
  <si>
    <t>Umschaltung für Rollerdrive 24V</t>
  </si>
  <si>
    <t>1560213</t>
  </si>
  <si>
    <t>1560214</t>
  </si>
  <si>
    <t>Umschaltung für Rollerdrive 230V</t>
  </si>
  <si>
    <t>1560215</t>
  </si>
  <si>
    <t>1560216</t>
  </si>
  <si>
    <t>Umschaltung für Synchronmotor ohne</t>
  </si>
  <si>
    <t>1560217</t>
  </si>
  <si>
    <t>1560218</t>
  </si>
  <si>
    <t>Umschaltung für Synchronmotor mit</t>
  </si>
  <si>
    <t>1560219</t>
  </si>
  <si>
    <t>1560220</t>
  </si>
  <si>
    <t>Schaltschrank Ral 7035</t>
  </si>
  <si>
    <t>1560221</t>
  </si>
  <si>
    <t>Schaltschrank Ral 7035 Montage</t>
  </si>
  <si>
    <t>1560222</t>
  </si>
  <si>
    <t>Schaltschrank Edelstahl (VA)</t>
  </si>
  <si>
    <t>1560223</t>
  </si>
  <si>
    <t>1560224</t>
  </si>
  <si>
    <t>Wandschrank 500x500x210</t>
  </si>
  <si>
    <t>1560225</t>
  </si>
  <si>
    <t>Edelstahl Wandschrank 500x500x210</t>
  </si>
  <si>
    <t>1560226</t>
  </si>
  <si>
    <t>Wandschrank 600x600x210</t>
  </si>
  <si>
    <t>1560227</t>
  </si>
  <si>
    <t>Edelstahl Wandschrank 600x600x210</t>
  </si>
  <si>
    <t>1560228</t>
  </si>
  <si>
    <t>Wandschrank 760x760x210</t>
  </si>
  <si>
    <t>1560229</t>
  </si>
  <si>
    <t>Edelstahl Wandschrank 760x760x300</t>
  </si>
  <si>
    <t>1560230</t>
  </si>
  <si>
    <t>Wandschrank 1000x1400x300</t>
  </si>
  <si>
    <t>1560231</t>
  </si>
  <si>
    <t>Edelstahl Wandschrank 1000x1200x300</t>
  </si>
  <si>
    <t>1560232</t>
  </si>
  <si>
    <t>Standschrank 600x2000x400</t>
  </si>
  <si>
    <t>1560233</t>
  </si>
  <si>
    <t>Edelstahl Standschrank 600x2000x600</t>
  </si>
  <si>
    <t>1560234</t>
  </si>
  <si>
    <t>Standschrank 800x2000x400</t>
  </si>
  <si>
    <t>1560235</t>
  </si>
  <si>
    <t>Edelstahl Standschrank 800x2000x600</t>
  </si>
  <si>
    <t>1560236</t>
  </si>
  <si>
    <t>Standschrank 1000x2000x400</t>
  </si>
  <si>
    <t>1560237</t>
  </si>
  <si>
    <t>Edelstahl Standschrank 1200x2000x600</t>
  </si>
  <si>
    <t>1560238</t>
  </si>
  <si>
    <t>Standschrank 1200x2000x400</t>
  </si>
  <si>
    <t>1560239</t>
  </si>
  <si>
    <t>Notstromerzeuger 0,75 kW (Montage)</t>
  </si>
  <si>
    <t>1560240</t>
  </si>
  <si>
    <t>Notstromerzeuger 0,75 kW</t>
  </si>
  <si>
    <t>1560241</t>
  </si>
  <si>
    <t>Notstromerzeuger 1,5 kW</t>
  </si>
  <si>
    <t>1560242</t>
  </si>
  <si>
    <t>Notstromerzeuger 1,5 kW (Montage)</t>
  </si>
  <si>
    <t>1560243</t>
  </si>
  <si>
    <t>Notstromerzeuger 2,2 kW</t>
  </si>
  <si>
    <t>1560244</t>
  </si>
  <si>
    <t>Notstromerzeuger 2,2 kW (Montage)</t>
  </si>
  <si>
    <t>1560245</t>
  </si>
  <si>
    <t>Notstromerzeuger 3,0 kW</t>
  </si>
  <si>
    <t>1560246</t>
  </si>
  <si>
    <t>Notstromerzeuger 3,0 kW (Montage)</t>
  </si>
  <si>
    <t>1560247</t>
  </si>
  <si>
    <t>Notstromerzeuger 4,0 kW</t>
  </si>
  <si>
    <t>1560248</t>
  </si>
  <si>
    <t>Notstromerzeuger 4,0 kW (Montage)</t>
  </si>
  <si>
    <t>1560250</t>
  </si>
  <si>
    <t>MoviPower 0,75 kW /S</t>
  </si>
  <si>
    <t>1560251</t>
  </si>
  <si>
    <t>MoviPower 0,75 kW</t>
  </si>
  <si>
    <t>1560252</t>
  </si>
  <si>
    <t>MoviPower 1,1kW /S</t>
  </si>
  <si>
    <t>1560253</t>
  </si>
  <si>
    <t>MoviPower 1,1kW</t>
  </si>
  <si>
    <t>1560254</t>
  </si>
  <si>
    <t>MoviPower 2,2kW /S</t>
  </si>
  <si>
    <t>1560255</t>
  </si>
  <si>
    <t>MoviPower 2,2kW</t>
  </si>
  <si>
    <t>1560256</t>
  </si>
  <si>
    <t>MoviPower 3,7kW /S</t>
  </si>
  <si>
    <t>1560257</t>
  </si>
  <si>
    <t>MoviPower 3,7kW</t>
  </si>
  <si>
    <t>1560258</t>
  </si>
  <si>
    <t>MoviPower DC</t>
  </si>
  <si>
    <t>1560259</t>
  </si>
  <si>
    <t>MoviPower DC /S</t>
  </si>
  <si>
    <t>1560260</t>
  </si>
  <si>
    <t>MoviPower 0,75 kW 560V /S</t>
  </si>
  <si>
    <t>1560261</t>
  </si>
  <si>
    <t>MoviPower 0,75 kW 560V</t>
  </si>
  <si>
    <t>1560262</t>
  </si>
  <si>
    <t>MoviPower 1,1 kW 560V /S</t>
  </si>
  <si>
    <t>1560263</t>
  </si>
  <si>
    <t>MoviPower 1,1 kW 560V</t>
  </si>
  <si>
    <t>1560264</t>
  </si>
  <si>
    <t>MoviPower 2,2 kW 560V /S</t>
  </si>
  <si>
    <t>1560265</t>
  </si>
  <si>
    <t>MoviPower 2,2 kW 560V</t>
  </si>
  <si>
    <t>1560266</t>
  </si>
  <si>
    <t>MoviPower 3,3 kW 560V /S</t>
  </si>
  <si>
    <t>1560267</t>
  </si>
  <si>
    <t>MoviPower 3,3 kW 560V</t>
  </si>
  <si>
    <t>1560268</t>
  </si>
  <si>
    <t>MoviPower 0,75 kW 560V direct</t>
  </si>
  <si>
    <t>1560269</t>
  </si>
  <si>
    <t>MoviPower 1,1 kW 560V direct</t>
  </si>
  <si>
    <t>1560270</t>
  </si>
  <si>
    <t>MoviPower 2,2 kW 560V direct</t>
  </si>
  <si>
    <t>1560271</t>
  </si>
  <si>
    <t>MoviPower 3,3 kW 560V direct</t>
  </si>
  <si>
    <t>1560280</t>
  </si>
  <si>
    <t>Wandschrank 800x1000x300</t>
  </si>
  <si>
    <t>1560300</t>
  </si>
  <si>
    <t>AM-S Montage</t>
  </si>
  <si>
    <t>1560301</t>
  </si>
  <si>
    <t>AM-S-EV Montage</t>
  </si>
  <si>
    <t>1560400</t>
  </si>
  <si>
    <t>Steuerung mot. auf/zu für Rohrantriebe               63</t>
  </si>
  <si>
    <t>1560600</t>
  </si>
  <si>
    <t>MoviPower Montage</t>
  </si>
  <si>
    <t>1560601</t>
  </si>
  <si>
    <t>UMB-U Umschaltbox Montage</t>
  </si>
  <si>
    <t>1560602</t>
  </si>
  <si>
    <t>UMB-DR V1.0 Umschaltbox Montage</t>
  </si>
  <si>
    <t>1560800</t>
  </si>
  <si>
    <t>Montage Haltemagnet GD 70</t>
  </si>
  <si>
    <t>1560801</t>
  </si>
  <si>
    <t>Montage Optex Flächenlichttaster UP</t>
  </si>
  <si>
    <t>1560802</t>
  </si>
  <si>
    <t>Montage Optex Flächenlichttaster AP</t>
  </si>
  <si>
    <t>1560803</t>
  </si>
  <si>
    <t>1560804</t>
  </si>
  <si>
    <t>Montage Nährungsschalter</t>
  </si>
  <si>
    <t>1560805</t>
  </si>
  <si>
    <t>Montage Siemens Rollenhebelendschalter</t>
  </si>
  <si>
    <t>1560806</t>
  </si>
  <si>
    <t>Montage Nährungsschalter NPN</t>
  </si>
  <si>
    <t>1560807</t>
  </si>
  <si>
    <t>Montage Nährungsschalter PNP</t>
  </si>
  <si>
    <t>1560808</t>
  </si>
  <si>
    <t>Montage  Geba Schlüsselschalter AP</t>
  </si>
  <si>
    <t>1560809</t>
  </si>
  <si>
    <t>Montage  Geba Schlüsselschalter UP</t>
  </si>
  <si>
    <t>1560810</t>
  </si>
  <si>
    <t>Montage Hekatron Radio Master Unit</t>
  </si>
  <si>
    <t>1560811</t>
  </si>
  <si>
    <t>Montage motorische Wiederöffnung</t>
  </si>
  <si>
    <t>1560812</t>
  </si>
  <si>
    <t>Montage manuelle Wiederöffnung</t>
  </si>
  <si>
    <t>1560813</t>
  </si>
  <si>
    <t>Montage Wandschrank</t>
  </si>
  <si>
    <t>1560814</t>
  </si>
  <si>
    <t>Montage Standschrank</t>
  </si>
  <si>
    <t>1560815</t>
  </si>
  <si>
    <t>Montage Schallgeber 110 db</t>
  </si>
  <si>
    <t>1560816</t>
  </si>
  <si>
    <t>Montage MC-REL 3/4</t>
  </si>
  <si>
    <t>1560817</t>
  </si>
  <si>
    <t>Montage Kompressor</t>
  </si>
  <si>
    <t>1560818</t>
  </si>
  <si>
    <t>Montage Not-Aus Taster</t>
  </si>
  <si>
    <t>1560819</t>
  </si>
  <si>
    <t>Montage Notstromerzeugung 10kW</t>
  </si>
  <si>
    <t>1560820</t>
  </si>
  <si>
    <t>Montage Notstromerzeugung 15kW</t>
  </si>
  <si>
    <t>1560821</t>
  </si>
  <si>
    <t>Montage Notstromerzeugung 20kW</t>
  </si>
  <si>
    <t>1560822</t>
  </si>
  <si>
    <t>1560823</t>
  </si>
  <si>
    <t>1560824</t>
  </si>
  <si>
    <t>1560882</t>
  </si>
  <si>
    <t>5                  4</t>
  </si>
  <si>
    <t>Montage Blitzleuchte (70 dB)</t>
  </si>
  <si>
    <t>1560900</t>
  </si>
  <si>
    <t>ASR Montage</t>
  </si>
  <si>
    <t>1560901</t>
  </si>
  <si>
    <t>ASR-EV Montage</t>
  </si>
  <si>
    <t>1560902</t>
  </si>
  <si>
    <t>RZ-24 Montage</t>
  </si>
  <si>
    <t>1599999</t>
  </si>
  <si>
    <t>Sammelnummer Bedienelemente</t>
  </si>
  <si>
    <t>1999999</t>
  </si>
  <si>
    <t>Testartikel Kalkulation</t>
  </si>
  <si>
    <t>222222</t>
  </si>
  <si>
    <t>Pseudoartikel</t>
  </si>
  <si>
    <t>3000000</t>
  </si>
  <si>
    <t>Festfeld ECClos-S Standardausführung</t>
  </si>
  <si>
    <t>3000001</t>
  </si>
  <si>
    <t>Festfeld ECClos-S Feuchtraumausführung</t>
  </si>
  <si>
    <t>3000002</t>
  </si>
  <si>
    <t>Festfeld ECClos-S Fassandenfarbe</t>
  </si>
  <si>
    <t>3000003</t>
  </si>
  <si>
    <t>Festfeld ECClos-S V2A blank</t>
  </si>
  <si>
    <t>3000004</t>
  </si>
  <si>
    <t>Festfeld ECClos-S V2A geschliffen</t>
  </si>
  <si>
    <t>3000005</t>
  </si>
  <si>
    <t>Abschottung r2 Stahl gerade Standard</t>
  </si>
  <si>
    <t>3000006</t>
  </si>
  <si>
    <t>Abschottung r2 Stahl gerade Feuchtraum</t>
  </si>
  <si>
    <t>3000007</t>
  </si>
  <si>
    <t>Abschottung r2 Stahl schräg Standard</t>
  </si>
  <si>
    <t>3000008</t>
  </si>
  <si>
    <t>Abschottung r2 Stahl schräg Feuchtraum</t>
  </si>
  <si>
    <t>3000009</t>
  </si>
  <si>
    <t>Abschottung r2 Stahl geneigt Standard</t>
  </si>
  <si>
    <t>GCC Zeiterfassungsbogen</t>
  </si>
  <si>
    <t>Probleme / Besonderheiten</t>
  </si>
  <si>
    <t>Tätigkeit/Teilbereich</t>
  </si>
  <si>
    <t>Programmierung/AV</t>
  </si>
  <si>
    <t>Palettenbau</t>
  </si>
  <si>
    <t>GCC-Fertigung</t>
  </si>
  <si>
    <t>Zuschnitt Intumest</t>
  </si>
  <si>
    <t>Zuschnitt/Fertigung Blöcke</t>
  </si>
  <si>
    <t>Fertigung Element oben/Komplett</t>
  </si>
  <si>
    <t>Fertigung Zwischenelement(e)</t>
  </si>
  <si>
    <t>Fertigung Element unten</t>
  </si>
  <si>
    <t>Fertigung Dichtrahmen</t>
  </si>
  <si>
    <t>Fertigung Sonderbauteile</t>
  </si>
  <si>
    <t>Summe</t>
  </si>
  <si>
    <t>Indikator</t>
  </si>
  <si>
    <t>Rohmaterial
Art.Nr.</t>
  </si>
  <si>
    <t>Artikel
angelegt/
verwendbar</t>
  </si>
  <si>
    <t>UmrechnungsFaktor 
Rohmaterial-Einheit</t>
  </si>
  <si>
    <t>Feinblech  t=1,0  1,25x2,5m  verz</t>
  </si>
  <si>
    <t>Feinblech  t=2,0  1,25x2,5m  verz</t>
  </si>
  <si>
    <t>Feinblech  t=1,0  1,5x3m  V2A ung</t>
  </si>
  <si>
    <t>Feinblech  t=2,0  1,5x3m  V2A  ung</t>
  </si>
  <si>
    <t>Feinblech  t=3,0  1,5x3m  V2A  ung</t>
  </si>
  <si>
    <t>Feinblech  t=3,0  3x1,5m  verz</t>
  </si>
  <si>
    <t>Verbindung Schieberblattelemente</t>
  </si>
  <si>
    <t>Paletten</t>
  </si>
  <si>
    <t>Standardkiste</t>
  </si>
  <si>
    <t>Verstärkte Kiste</t>
  </si>
  <si>
    <t>Universalpalette</t>
  </si>
  <si>
    <t>IPPC Kiste</t>
  </si>
  <si>
    <t>0123025</t>
  </si>
  <si>
    <t>Bohrschrauben Linsenkopf 4,8x60 Torx (Befestigung Gleitstücke)</t>
  </si>
  <si>
    <t>GCC vertikal Gurtanbindung 2x  35mm Gurt verzinkt</t>
  </si>
  <si>
    <t>GCC vertikal Gurtanbindung 2x  35mm Gurt V2A</t>
  </si>
  <si>
    <t>GCC vertikal Gurtanbindung 1x  35mm Gurt verzinkt</t>
  </si>
  <si>
    <t>GCC vertikal Gurtanbindung 1x  35mm Gurt V2A</t>
  </si>
  <si>
    <t>GCC vertikal Gurtanbindung 1x  76mm Gurt verzinkt</t>
  </si>
  <si>
    <t>GCC vertikal Gurtanbindung 1x  76mm Gurt V2A</t>
  </si>
  <si>
    <t>GCC vertikal Verkrallungsprofil Schieber 250mm verzinkt</t>
  </si>
  <si>
    <t>GCC vertikal Verkrallungsprofil Schieber 250mm V2A</t>
  </si>
  <si>
    <t>GCC vertikal Verkrallungsprofil Schieber 150mm verzinkt</t>
  </si>
  <si>
    <t>GCC vertikal Verkrallungsprofil Schieber 150mm V2A</t>
  </si>
  <si>
    <t>GCC Verstärkungsblech Schieberelement oben V2A</t>
  </si>
  <si>
    <t>Verkrallungen oben GCC vertikal</t>
  </si>
  <si>
    <t>von</t>
  </si>
  <si>
    <t>bis</t>
  </si>
  <si>
    <t>Verkrallung
150mm</t>
  </si>
  <si>
    <t>Verkrallung
250mm</t>
  </si>
  <si>
    <t>Schieberblattbreitenbereich</t>
  </si>
  <si>
    <t>Doppelgurt
Anbindung</t>
  </si>
  <si>
    <t>Einzelgurt
Anbindungen</t>
  </si>
  <si>
    <t>Befestigung Kantenschutz Festfeld</t>
  </si>
  <si>
    <t>Spanplattenschrauben Flachrundkopf 4,0 x 40</t>
  </si>
  <si>
    <t>0115084</t>
  </si>
  <si>
    <t>0115010</t>
  </si>
  <si>
    <t>Verkrallungen
Gesamt</t>
  </si>
  <si>
    <t>Schieberblattgewicht
ohne Verkrallung</t>
  </si>
  <si>
    <t>GCC vertikal Verkrallungsprofil Wand V2A</t>
  </si>
  <si>
    <t>Antriebsauswahl GCC</t>
  </si>
  <si>
    <t>Kriterium</t>
  </si>
  <si>
    <t>180W</t>
  </si>
  <si>
    <t>750W</t>
  </si>
  <si>
    <t>1500W</t>
  </si>
  <si>
    <t>Verzinkt</t>
  </si>
  <si>
    <t>Einzelgurtanb.</t>
  </si>
  <si>
    <t>Doppelgurtanb.</t>
  </si>
  <si>
    <t>Motor links</t>
  </si>
  <si>
    <t>Motor rechts</t>
  </si>
  <si>
    <t>WS</t>
  </si>
  <si>
    <t>ohne WS</t>
  </si>
  <si>
    <t>500er Kons.</t>
  </si>
  <si>
    <t>300 Kons.</t>
  </si>
  <si>
    <t>500er</t>
  </si>
  <si>
    <t>300er</t>
  </si>
  <si>
    <t>Konsolenberechnung</t>
  </si>
  <si>
    <t>Breitenbereiche</t>
  </si>
  <si>
    <t>Indikator Breitenbereich</t>
  </si>
  <si>
    <t>400 Kons.</t>
  </si>
  <si>
    <t>FF/Auflaufprofil-breite</t>
  </si>
  <si>
    <t>400er</t>
  </si>
  <si>
    <t>PAP</t>
  </si>
  <si>
    <t>horizontal Standardantriebstechnik (manuell und Motorisch Gurt)</t>
  </si>
  <si>
    <t>Tabelle A EI 90 horizontal</t>
  </si>
  <si>
    <t>Lichte -</t>
  </si>
  <si>
    <t>Feuerwiderstands-
klasse</t>
  </si>
  <si>
    <t>Rohbauöffnungsbreiten</t>
  </si>
  <si>
    <t>Rohbauhöhe</t>
  </si>
  <si>
    <t>200 mm</t>
  </si>
  <si>
    <t>bis 500 mm</t>
  </si>
  <si>
    <t>bis 1500 mm</t>
  </si>
  <si>
    <t>bis 2500 mm</t>
  </si>
  <si>
    <t>bis 3856 mm</t>
  </si>
  <si>
    <t>bis 4500 mm</t>
  </si>
  <si>
    <t>bis 6000mm</t>
  </si>
  <si>
    <t>VK</t>
  </si>
  <si>
    <t>EI90</t>
  </si>
  <si>
    <t>bis 5100 mm</t>
  </si>
  <si>
    <t>horizontal Zahnriemenantriebstechnik (Chamberlain Liftmaster)</t>
  </si>
  <si>
    <t>Tabelle B EI 90 horizontal</t>
  </si>
  <si>
    <t>vertikal</t>
  </si>
  <si>
    <t>Abweichende VK Preise für andere Feuerwiderstandsklassen</t>
  </si>
  <si>
    <t>anzuwenden auf Grundpreis und Zulagen Material/Oberfläche, Fördertechnikabschottung und Anbauteile</t>
  </si>
  <si>
    <t>EI 120</t>
  </si>
  <si>
    <t>VK EI 90 +20%</t>
  </si>
  <si>
    <t>EW 120</t>
  </si>
  <si>
    <t>VK EI 90 -10%</t>
  </si>
  <si>
    <t>E 120</t>
  </si>
  <si>
    <t>VK EI 90 -15%</t>
  </si>
  <si>
    <t>Tabelle B EI 90 vertikal</t>
  </si>
  <si>
    <t>Faktor</t>
  </si>
  <si>
    <r>
      <t xml:space="preserve">Preisliste Verkauf ECClos-S Grundpreis (r0 motorisch) </t>
    </r>
    <r>
      <rPr>
        <b/>
        <sz val="12"/>
        <color indexed="10"/>
        <rFont val="Arial"/>
        <family val="2"/>
      </rPr>
      <t>(Stand XXXX)</t>
    </r>
  </si>
  <si>
    <t xml:space="preserve"> Info VK zu PAP horizontal</t>
  </si>
  <si>
    <t>VK div</t>
  </si>
  <si>
    <t>horizontal mit Zahnriemenantrieb (Chamberlain Liftmaster)</t>
  </si>
  <si>
    <r>
      <t xml:space="preserve">Preisliste Verkauf ECClos-S Grundpreis (r0 motorisch) </t>
    </r>
    <r>
      <rPr>
        <b/>
        <sz val="10"/>
        <color indexed="10"/>
        <rFont val="Arial"/>
        <family val="2"/>
      </rPr>
      <t>(Stand 2011)</t>
    </r>
  </si>
  <si>
    <r>
      <t xml:space="preserve">PreisunterschiedECClos-S Grundpreis (r0 motorisch) </t>
    </r>
    <r>
      <rPr>
        <b/>
        <sz val="10"/>
        <color indexed="10"/>
        <rFont val="Arial"/>
        <family val="2"/>
      </rPr>
      <t>(2011 zu XXX)</t>
    </r>
  </si>
  <si>
    <t>Vergleich PAP ECClos-S zu GCC</t>
  </si>
  <si>
    <t>ECClos-S Schließrichtung:</t>
  </si>
  <si>
    <t>GCC Schließrichtung:</t>
  </si>
  <si>
    <t>Tabelle A ECClos-S  EI 90 vertikal</t>
  </si>
  <si>
    <t>Tabelle B GCC EI 90 vertikal</t>
  </si>
  <si>
    <t>Tabelle C Verhältnis GCC zu ECClos-S  EI 90 vertikal</t>
  </si>
  <si>
    <t>Stand 01.07.2015</t>
  </si>
  <si>
    <t>Verhältnis in % GCC zu ECClos-S Schließrichtung: vertikal</t>
  </si>
  <si>
    <t>Dichtrahmen/Führungsschienenvariante</t>
  </si>
  <si>
    <t>20mm</t>
  </si>
  <si>
    <t>25mm</t>
  </si>
  <si>
    <t>Führungsschienenvarianten</t>
  </si>
  <si>
    <t>25mm verzinkt</t>
  </si>
  <si>
    <t>20mm verzinkt</t>
  </si>
  <si>
    <t>20mm V2A</t>
  </si>
  <si>
    <t>25mm V2A</t>
  </si>
  <si>
    <t>Standard</t>
  </si>
  <si>
    <t>U-Form</t>
  </si>
  <si>
    <t>Längen</t>
  </si>
  <si>
    <t>0308112</t>
  </si>
  <si>
    <t>0308113</t>
  </si>
  <si>
    <t>0308114</t>
  </si>
  <si>
    <t>0308115</t>
  </si>
  <si>
    <t>0308116</t>
  </si>
  <si>
    <t>0308117</t>
  </si>
  <si>
    <t>0308118</t>
  </si>
  <si>
    <t>0308119</t>
  </si>
  <si>
    <t>0308120</t>
  </si>
  <si>
    <t>0308121</t>
  </si>
  <si>
    <t>0338112</t>
  </si>
  <si>
    <t>0338113</t>
  </si>
  <si>
    <t>0338114</t>
  </si>
  <si>
    <t>0338115</t>
  </si>
  <si>
    <t>0338116</t>
  </si>
  <si>
    <t>0338117</t>
  </si>
  <si>
    <t>0338118</t>
  </si>
  <si>
    <t>0338119</t>
  </si>
  <si>
    <t>0338120</t>
  </si>
  <si>
    <t>0338121</t>
  </si>
  <si>
    <t>0308122</t>
  </si>
  <si>
    <t>0308123</t>
  </si>
  <si>
    <t>0308124</t>
  </si>
  <si>
    <t>0308125</t>
  </si>
  <si>
    <t>0308126</t>
  </si>
  <si>
    <t>0308127</t>
  </si>
  <si>
    <t>0308128</t>
  </si>
  <si>
    <t>0308129</t>
  </si>
  <si>
    <t>0308130</t>
  </si>
  <si>
    <t>0308131</t>
  </si>
  <si>
    <t>0338122</t>
  </si>
  <si>
    <t>0338123</t>
  </si>
  <si>
    <t>0338124</t>
  </si>
  <si>
    <t>0338125</t>
  </si>
  <si>
    <t>0338126</t>
  </si>
  <si>
    <t>0338127</t>
  </si>
  <si>
    <t>0338128</t>
  </si>
  <si>
    <t>0338129</t>
  </si>
  <si>
    <t>0338130</t>
  </si>
  <si>
    <t>0338131</t>
  </si>
  <si>
    <t>0338060</t>
  </si>
  <si>
    <t>0338062</t>
  </si>
  <si>
    <t>0308146</t>
  </si>
  <si>
    <t>0338146</t>
  </si>
  <si>
    <t>Bauteilevarianten 20mm/25mm Dichtrahmen</t>
  </si>
  <si>
    <t>Verkrallung Wandprofil</t>
  </si>
  <si>
    <t>0308151</t>
  </si>
  <si>
    <t>Verkrallung Schieber 250mm</t>
  </si>
  <si>
    <t>Verkrallung Schieber 150mm</t>
  </si>
  <si>
    <t>Andockprofil</t>
  </si>
  <si>
    <t>FS Befspangen Standard</t>
  </si>
  <si>
    <t>FS Befspangen U-Form</t>
  </si>
  <si>
    <t>0308132</t>
  </si>
  <si>
    <t>0338151</t>
  </si>
  <si>
    <t>0308135</t>
  </si>
  <si>
    <t>0338135</t>
  </si>
  <si>
    <t>0308136</t>
  </si>
  <si>
    <t>0338136</t>
  </si>
  <si>
    <t>0338067</t>
  </si>
  <si>
    <t>0338132</t>
  </si>
  <si>
    <t>0308133</t>
  </si>
  <si>
    <t>0308134</t>
  </si>
  <si>
    <t>0338133</t>
  </si>
  <si>
    <t>Benötigte Artikel für Ausführung</t>
  </si>
  <si>
    <t>Verz.</t>
  </si>
  <si>
    <t>Material Stahlteile</t>
  </si>
  <si>
    <t>0338068</t>
  </si>
  <si>
    <t>Zuschnitt Brandschutzbauplatten Festfeld</t>
  </si>
  <si>
    <t>Promatect FF</t>
  </si>
  <si>
    <t>Promatect Schieberblatt</t>
  </si>
  <si>
    <t>Gespiegelte Tabelle von Liste</t>
  </si>
  <si>
    <t>Benötigter Antrieb</t>
  </si>
  <si>
    <t>1x</t>
  </si>
  <si>
    <t>Befestigung Gleitstücke</t>
  </si>
  <si>
    <t>Selbstbohrschraube 4,8 x60 TX25</t>
  </si>
  <si>
    <t>0308153</t>
  </si>
  <si>
    <t>0308152</t>
  </si>
  <si>
    <t>Hinterfütterung Dichtrahmen bei Führungsschienen U-Form</t>
  </si>
  <si>
    <t>Promatect  H25 (Hinterfütterung links)</t>
  </si>
  <si>
    <t>Promatect  H25 (Hinterfütterung rechts)</t>
  </si>
  <si>
    <t>Promatect  H25 (Hinterfütterung oben)</t>
  </si>
  <si>
    <t>Promatect  H25 (Hinterfütterung Überstand Führungsschiene[n])</t>
  </si>
  <si>
    <t>Hinterfütterung FAA mit 25mm Promatect-H</t>
  </si>
  <si>
    <t>Hinterf. Dichtrahmen</t>
  </si>
  <si>
    <t>Umlenkung Antrieb Deckenmontage</t>
  </si>
  <si>
    <t>Längenzugabe Antriebsgurte Abstand Antrieb/Wand</t>
  </si>
  <si>
    <t>GCC vertikal Doppelgurtumlenkung 35mm verz.</t>
  </si>
  <si>
    <t>GCC vertikal Doppelgurtumlenkung 35mm V2A</t>
  </si>
  <si>
    <t>0338070</t>
  </si>
  <si>
    <t>Abschätzung Aufwand bzw. Vorteile/Nachteile Wellenvarianten Motorgröße 1 (ABM=180W neu SEW=150/250W)</t>
  </si>
  <si>
    <t>Welle 25 x 50</t>
  </si>
  <si>
    <t>Vorteil</t>
  </si>
  <si>
    <t>Nachteil</t>
  </si>
  <si>
    <t>Kompatibel zu Größe 2 (ABM 750W)</t>
  </si>
  <si>
    <t>Keine Mehrkosten für Umbau "Fehlbestellung" (ca.3750,00€)</t>
  </si>
  <si>
    <t>Altbestand an Wellen und Gehäusen nicht brauchbar. Das ergibt einen nicht Abschätzbaren Organisatorischen Aufwand um ggf. mit den noch ca. 200 vorhandenen ABM Antrieben diesen Restbestand  (vor allem an Wellen, für die diversen Bauformen Gesamt ca. 300 Stück im Wert pro Stück zwischen 10,00€ und 15,00€) möglichst aufzubrauchen.</t>
  </si>
  <si>
    <t>Welle 20 x 36 (alternativ 20 x 40 inkl. Adapterring)</t>
  </si>
  <si>
    <t>Umkonstruktionsaufwand für sämtliche Bauteile ca. 120h (ca. 6000,00€)</t>
  </si>
  <si>
    <t>Noch von H. Schrader zu beziffernder Mehrpreis entfällt.</t>
  </si>
  <si>
    <t>Nicht Kompatibel als Ersatzteil, damit verbunden organisatorischer Aufwand und ggf. unsicherheit über jeweils verbaute Variante.</t>
  </si>
  <si>
    <t>Kompatibel als Ersatzteil</t>
  </si>
  <si>
    <t>Nicht kompatibel zu Größe 2</t>
  </si>
  <si>
    <t>Mehrkosten für Umbau "Fehlbestellung" (ca.3750,00€)</t>
  </si>
  <si>
    <t>Passt in alle alten Baugruppen</t>
  </si>
  <si>
    <t>Past zu allen alten Bauteilen</t>
  </si>
  <si>
    <t>Kompatibel zu manuell (z.B. Uni B /RGT)</t>
  </si>
  <si>
    <t>Nicht kompatibel zu manuell (z.B. Uni B /RGT)</t>
  </si>
  <si>
    <t>Noch von H. Schrader zu beziffernder Mehrpreis.</t>
  </si>
  <si>
    <t>k2V</t>
  </si>
  <si>
    <t>Festfeldtiefe:</t>
  </si>
  <si>
    <t>Festfeldtiefe</t>
  </si>
  <si>
    <t>Rev. 0060b</t>
  </si>
  <si>
    <t>Ausschreibung_GCC_vertikal_Rev.0059beta.xls</t>
  </si>
  <si>
    <t>Datenmüll bereinigt/Neustart</t>
  </si>
  <si>
    <t>Rev. 0061b</t>
  </si>
  <si>
    <t>Ausschreibung_GCC_vertikal_Rev.0060beta.xls</t>
  </si>
  <si>
    <t>Ausschreibung für vorgefertigte Blöcke aus Intumestzierendem Material</t>
  </si>
  <si>
    <t>AB - POS</t>
  </si>
  <si>
    <t>Lieferung in die Abteilung zum</t>
  </si>
  <si>
    <t>Aussteller</t>
  </si>
  <si>
    <t>Endtermin</t>
  </si>
  <si>
    <t>Block Nr.:</t>
  </si>
  <si>
    <t>Promaseal</t>
  </si>
  <si>
    <t>Omnischott</t>
  </si>
  <si>
    <t>Anzahl:</t>
  </si>
  <si>
    <t>Firefly</t>
  </si>
  <si>
    <t>UNI B</t>
  </si>
  <si>
    <t>Abschottungstiefe gesamt (in mm):</t>
  </si>
  <si>
    <t>UNI BZ</t>
  </si>
  <si>
    <t>Blockbreite (in mm):</t>
  </si>
  <si>
    <t>UNI KL</t>
  </si>
  <si>
    <t xml:space="preserve">0204004/Promaseal - PL , schwarz </t>
  </si>
  <si>
    <t>Duoflap</t>
  </si>
  <si>
    <t>Blockhöhe in mm</t>
  </si>
  <si>
    <t xml:space="preserve">0204005/Promaseal - PL , rot ,  </t>
  </si>
  <si>
    <t>CopyCap</t>
  </si>
  <si>
    <t>Anzahl Lagen</t>
  </si>
  <si>
    <t>ECClos-Q</t>
  </si>
  <si>
    <t>Tatsächliche Blockhöhe in mm</t>
  </si>
  <si>
    <t>Blockmaterial:</t>
  </si>
  <si>
    <t>Benötigte Optionen mit "1" eintragen</t>
  </si>
  <si>
    <t>0204150/Firefly 102    2 mm</t>
  </si>
  <si>
    <t>0204152/Firefly 102    6 mm</t>
  </si>
  <si>
    <t>RGT</t>
  </si>
  <si>
    <t xml:space="preserve"> Block ohne Zünder</t>
  </si>
  <si>
    <t>Omnitube</t>
  </si>
  <si>
    <t xml:space="preserve"> 3 teiliges Blocksystem mit Zünder</t>
  </si>
  <si>
    <t>UNI Q</t>
  </si>
  <si>
    <t>UNI K</t>
  </si>
  <si>
    <t>Omnicompact</t>
  </si>
  <si>
    <t>Materialliste für Zuschnitt in der Produktion</t>
  </si>
  <si>
    <t>Tiefe in mm</t>
  </si>
  <si>
    <t>Breite in mm</t>
  </si>
  <si>
    <t>Anzahl Lagen pro Block</t>
  </si>
  <si>
    <t>Teilung der geklebten Blöcke für Zünder</t>
  </si>
  <si>
    <t>Zuschnittsbreite der Blöcke vorne und hinten (Zünder)</t>
  </si>
  <si>
    <t>Reststück mittlerer Block (ohne Zünder)</t>
  </si>
  <si>
    <t>Achtung, Initialzünder dürfen nur im Zuge des 3 teiligen Blocksystems verbaut werden! 
Es werden keine Blöcke zweiseitig mit Zündern versehen.</t>
  </si>
  <si>
    <t>Volumen</t>
  </si>
  <si>
    <t>Vorgabezeit je</t>
  </si>
  <si>
    <t>Gesamtzeit</t>
  </si>
  <si>
    <t>Zünder</t>
  </si>
  <si>
    <t>mit Zünder</t>
  </si>
  <si>
    <t>Anzahl 1l</t>
  </si>
  <si>
    <t>Anzahl 2l</t>
  </si>
  <si>
    <t>Anzahl 3l</t>
  </si>
  <si>
    <t>ohne Zünder</t>
  </si>
  <si>
    <t>Gesamt:</t>
  </si>
  <si>
    <t>beschichten</t>
  </si>
  <si>
    <t>Intumest Blöcke</t>
  </si>
  <si>
    <t>Tabellenblatt Intumest Blöcke eingebaut und verknüpft</t>
  </si>
  <si>
    <t>Rev. 0063b</t>
  </si>
  <si>
    <t>Ausschreibung_GCC_vertikal_Rev.0061beta.xls</t>
  </si>
  <si>
    <t>Ausschreibung_GCC_vertikal_Rev.0063beta.xls</t>
  </si>
  <si>
    <r>
      <rPr>
        <b/>
        <sz val="24"/>
        <rFont val="Arial"/>
        <family val="2"/>
      </rPr>
      <t xml:space="preserve">Anbauteile </t>
    </r>
    <r>
      <rPr>
        <b/>
        <sz val="14"/>
        <rFont val="Arial"/>
        <family val="2"/>
      </rPr>
      <t xml:space="preserve">
</t>
    </r>
    <r>
      <rPr>
        <b/>
        <sz val="11"/>
        <rFont val="Arial"/>
        <family val="2"/>
      </rPr>
      <t xml:space="preserve">für Komplettelement oder Standardelemet oben </t>
    </r>
  </si>
  <si>
    <t>Gurtanbindung Andockprofil GCC vertikal verzinkt</t>
  </si>
  <si>
    <t>Gurtanbindung Andockprofil GCC vertikal V2A</t>
  </si>
  <si>
    <t>Rev. 0065b</t>
  </si>
  <si>
    <t>Ausschreibung_GCC_vertikal_Rev.0064beta.xls</t>
  </si>
  <si>
    <t>Ausschreibung_GCC_vertikal_Rev.0065beta.xls</t>
  </si>
  <si>
    <t>Klemmkasten Raumseite</t>
  </si>
  <si>
    <t>Ausschreibung_GCC_vertikal_Rev.0066beta.xls</t>
  </si>
  <si>
    <t>GCC Festfeldhalter 250 seitlich rechts verz</t>
  </si>
  <si>
    <t>0308214</t>
  </si>
  <si>
    <t>GCC Festfeldhalter 175 seitlich rechts verz</t>
  </si>
  <si>
    <t>GCC Festfeldhalter 250 seitlich rechts V2A</t>
  </si>
  <si>
    <t>0338214</t>
  </si>
  <si>
    <t>GCC Festfeldhalter 175 seitlich rechts V2A</t>
  </si>
  <si>
    <t>GCC Festfeldhalter 250 seitlich links verz</t>
  </si>
  <si>
    <t>0308215</t>
  </si>
  <si>
    <t>GCC Festfeldhalter 175 seitlich links verz</t>
  </si>
  <si>
    <t>GCC Festfeldhalter 250 seitlich links V2A</t>
  </si>
  <si>
    <t>0338215</t>
  </si>
  <si>
    <t>GCC Festfeldhalter 175 seitlich links V2A</t>
  </si>
  <si>
    <t>GCC Festfeldbefestigung seitlich rechts verz</t>
  </si>
  <si>
    <t>GCC Festfeldbefestigung seitlich rechts V2A</t>
  </si>
  <si>
    <t>GCC Festfeldbefestigung seitlich links verz</t>
  </si>
  <si>
    <t>GCC Festfeldbefestigung seitlich links V2A</t>
  </si>
  <si>
    <t>0308233</t>
  </si>
  <si>
    <t>0308234</t>
  </si>
  <si>
    <t>Rev. 0066b</t>
  </si>
  <si>
    <t>Ausschreibung_GCC_vertikal_Rev.0067beta.xls</t>
  </si>
  <si>
    <t>Rev. 0068b</t>
  </si>
  <si>
    <t>Ausschreibung_GCC_vertikal_Rev.0068beta.xls</t>
  </si>
  <si>
    <t>Ausschreibung_GCC_vertikal_Rev.0069beta.xls</t>
  </si>
  <si>
    <t>Ausschreibung_GCC_vertikal_Rev.0070beta.xls</t>
  </si>
  <si>
    <t>Ausschreibung_GCC_vertikal_Rev.0071beta.xls</t>
  </si>
  <si>
    <t>Ausschreibung_GCC_vertikal_Rev.0072beta.xls</t>
  </si>
  <si>
    <t>Ausschreibung_GCC_vertikal_Rev.0074beta.xls</t>
  </si>
  <si>
    <t>Sicherheitszuhaltung Schmersal</t>
  </si>
  <si>
    <t>Rev. 0076b</t>
  </si>
  <si>
    <t>Ausschreibung_GCC_vertikal_Rev.0075beta.xls</t>
  </si>
  <si>
    <t>Rev. 0077b</t>
  </si>
  <si>
    <t>Umformatierung Zuschnitt Schieberblatt (Leerzeilen und Oberflächenangabe)</t>
  </si>
  <si>
    <t>Ausschreibung_GCC_vertikal_Rev.0077beta.xls</t>
  </si>
  <si>
    <t>Rev. 0078b</t>
  </si>
  <si>
    <t>Version W25 voreingestellt / Artikelnummer Tellersenkkopfschrauben korrigiert</t>
  </si>
  <si>
    <t>Ausschreibung_GCC_vertikal_Rev.0078beta.xls</t>
  </si>
  <si>
    <t>Version Produktschild:</t>
  </si>
  <si>
    <t>Version Produktschild</t>
  </si>
  <si>
    <t>Deutsch</t>
  </si>
  <si>
    <t>Englisch</t>
  </si>
  <si>
    <t>Französisch</t>
  </si>
  <si>
    <t>Spanisch</t>
  </si>
  <si>
    <t>Aufkleber FAA Schließbereich freihalten deutsch</t>
  </si>
  <si>
    <t>Aufkleber FAA Schließbereich freihalten englisch</t>
  </si>
  <si>
    <t>Aufkleber FAA Schließbereich freihalten französisch</t>
  </si>
  <si>
    <t>Aufkleber FAA Schließbereich freihalten spanisch</t>
  </si>
  <si>
    <t>4002052</t>
  </si>
  <si>
    <t>4002049</t>
  </si>
  <si>
    <t>Aufkleber FAA Brandlastfreie Zone deutsch</t>
  </si>
  <si>
    <t>Aufkleber FAA Brandlastfreie Zone englisch</t>
  </si>
  <si>
    <t>Aufkleber FAA Brandlastfreie Zone französisch</t>
  </si>
  <si>
    <t>Aufkleber FAA Brandlastfreie Zone spanisch</t>
  </si>
  <si>
    <t>Abschreibung</t>
  </si>
  <si>
    <t>Ausschreibung_GCC_vertikal_Rev.0079beta.xls</t>
  </si>
  <si>
    <t>Aufkleber Produkt deutsch</t>
  </si>
  <si>
    <t>Aufkleber Produkt englisch</t>
  </si>
  <si>
    <t>Aufkleber Produkt französisch</t>
  </si>
  <si>
    <t>Aufkleber Produkt spanisch</t>
  </si>
  <si>
    <t>4002007</t>
  </si>
  <si>
    <t>4002008</t>
  </si>
  <si>
    <t>4002009</t>
  </si>
  <si>
    <t>4002013</t>
  </si>
  <si>
    <t>0708767</t>
  </si>
  <si>
    <t>Rev. 0080b</t>
  </si>
  <si>
    <t>Ausschreibung_GCC_vertikal_Rev.0080beta.xls</t>
  </si>
  <si>
    <t>Niveau Schließkante auf Konsolen</t>
  </si>
  <si>
    <t>Ausschreibung_GCC_vertikal_Rev.0081beta.xls</t>
  </si>
  <si>
    <t>Ausschreibung_GCC_vertikal_Rev.0082beta.xls</t>
  </si>
  <si>
    <t>Lochmann, Christopher</t>
  </si>
  <si>
    <t>Rev. 0081b</t>
  </si>
  <si>
    <t>Datenbereinigung / Umzug der Platten für Auflaufkonsolen</t>
  </si>
  <si>
    <t>Platten für Auflaufkonsolen</t>
  </si>
  <si>
    <t>Rev. 0083b</t>
  </si>
  <si>
    <t>000202</t>
  </si>
  <si>
    <t>000207</t>
  </si>
  <si>
    <t>000208</t>
  </si>
  <si>
    <t>000209</t>
  </si>
  <si>
    <t>000255</t>
  </si>
  <si>
    <t>000256</t>
  </si>
  <si>
    <t>000257</t>
  </si>
  <si>
    <t>000258</t>
  </si>
  <si>
    <t>000259</t>
  </si>
  <si>
    <t>000260</t>
  </si>
  <si>
    <t>000266</t>
  </si>
  <si>
    <t>000267</t>
  </si>
  <si>
    <t>000269</t>
  </si>
  <si>
    <t>000270</t>
  </si>
  <si>
    <t>000282</t>
  </si>
  <si>
    <t>000283</t>
  </si>
  <si>
    <t>000284</t>
  </si>
  <si>
    <t>000285</t>
  </si>
  <si>
    <t>000286</t>
  </si>
  <si>
    <t>000287</t>
  </si>
  <si>
    <t>000288</t>
  </si>
  <si>
    <t>000289</t>
  </si>
  <si>
    <t>000290</t>
  </si>
  <si>
    <t>000291</t>
  </si>
  <si>
    <t>000292</t>
  </si>
  <si>
    <t>000296</t>
  </si>
  <si>
    <t>000297</t>
  </si>
  <si>
    <t>000298</t>
  </si>
  <si>
    <t>000299</t>
  </si>
  <si>
    <t>000300</t>
  </si>
  <si>
    <t>000301</t>
  </si>
  <si>
    <t>000302</t>
  </si>
  <si>
    <t>Würth Zebra Pias Tellersenkkopf 5,5 x 45 (ohne Flügel)</t>
  </si>
  <si>
    <t>Umzug der Entscheidung Übergabe B7 auf Tabellenblatt Liste</t>
  </si>
  <si>
    <t>Rev. 0084b</t>
  </si>
  <si>
    <t>Formelfehler Andockprofil behoben</t>
  </si>
  <si>
    <t>Ausschreibung_GCC_vertikal_Rev.0083beta.xls</t>
  </si>
  <si>
    <t>Maße verkrallung berichtigt / Checkliste bereinigt</t>
  </si>
  <si>
    <t>Rev. 0085b</t>
  </si>
  <si>
    <t>Ausschreibung_GCC_vertikal_Rev.0084beta.xls</t>
  </si>
  <si>
    <t>Berechnung Führungsschienenspangen berichtigt</t>
  </si>
  <si>
    <t>Rev. 0086b</t>
  </si>
  <si>
    <t>Ausschreibung_GCC_vertikal_Rev.0085beta.xls</t>
  </si>
  <si>
    <t>Sonderfarbe (Dispersionsfarbe)</t>
  </si>
  <si>
    <t>Rev. 0087b</t>
  </si>
  <si>
    <t>Eingabe Oberflächenausführung (Sonderfarbe)</t>
  </si>
  <si>
    <t>Ausschreibung_GCC_vertikal_Rev.0086beta.xls</t>
  </si>
  <si>
    <t>Rev. 0088b</t>
  </si>
  <si>
    <t>Standardendschalter / Standardfestfeldbefestigung voreingestellt</t>
  </si>
  <si>
    <t>Ausschreibung_GCC_vertikal_Rev.0087beta.xls</t>
  </si>
  <si>
    <t>V2A blank (Optik, keine Feuchtraumausführung)</t>
  </si>
  <si>
    <t>Stahlblech verzinkt pulverbeschichtet</t>
  </si>
  <si>
    <t>Standardfarbgebung</t>
  </si>
  <si>
    <t>Eingabe Oberflächen bereinigt</t>
  </si>
  <si>
    <t>Rev. 0089b</t>
  </si>
  <si>
    <t>Ausschreibung_GCC_vertikal_Rev.0088beta.xls</t>
  </si>
  <si>
    <t>Ersatzteilliste ergänzt</t>
  </si>
  <si>
    <t>Rev. 0090b</t>
  </si>
  <si>
    <t>Skuppin, Sven</t>
  </si>
  <si>
    <t>Ausschreibung_GCC_vertikal_Rev.0089beta.xls</t>
  </si>
  <si>
    <t>k5 Teil 1</t>
  </si>
  <si>
    <t>Rev. 0091b</t>
  </si>
  <si>
    <t>Ausschreibung_GCC_vertikal_Rev.0090beta.xls</t>
  </si>
  <si>
    <t>Nr.</t>
  </si>
  <si>
    <t>5</t>
  </si>
  <si>
    <t>Art.Nr. / Material</t>
  </si>
  <si>
    <t xml:space="preserve">0213001 / GKB 9,5mm </t>
  </si>
  <si>
    <t xml:space="preserve">0213002 / GKB 12,5mm </t>
  </si>
  <si>
    <t>Max Breite</t>
  </si>
  <si>
    <t>Max Länge</t>
  </si>
  <si>
    <t>Teilliste A</t>
  </si>
  <si>
    <t>Umbau Zuschnitt Schieberblatt /Vorbereitung der Zuschnittslisten auf neue Säge</t>
  </si>
  <si>
    <t>Rev. 0092b</t>
  </si>
  <si>
    <t>Ausschreibung_GCC_vertikal_Rev.0091beta.xls</t>
  </si>
  <si>
    <t>Rev. 0093b</t>
  </si>
  <si>
    <t>Zeiterfassungsbogen Eingabegrenzen und Format berichtigt</t>
  </si>
  <si>
    <r>
      <t xml:space="preserve">Benötigte Arbeitszeit
</t>
    </r>
    <r>
      <rPr>
        <sz val="4"/>
        <rFont val="Arial"/>
        <family val="2"/>
      </rPr>
      <t>(in Minuten)</t>
    </r>
  </si>
  <si>
    <t>Ausschreibung_GCC_vertikal_Rev.0092beta.xls</t>
  </si>
  <si>
    <t>42</t>
  </si>
  <si>
    <t>43</t>
  </si>
  <si>
    <t>44</t>
  </si>
  <si>
    <t>45</t>
  </si>
  <si>
    <t>46</t>
  </si>
  <si>
    <t>47</t>
  </si>
  <si>
    <t>48</t>
  </si>
  <si>
    <t>49</t>
  </si>
  <si>
    <t>50</t>
  </si>
  <si>
    <t>51</t>
  </si>
  <si>
    <t>52</t>
  </si>
  <si>
    <t>Berechnung PlattenaufteilungSchieberelemente 1</t>
  </si>
  <si>
    <t>Rev. 0094b</t>
  </si>
  <si>
    <t>Ausschreibung_GCC_vertikal_Rev.0093beta.xls</t>
  </si>
  <si>
    <t>Berechnung PlattenaufteilungSchieberelemente 2</t>
  </si>
  <si>
    <t>Rev. 0095b</t>
  </si>
  <si>
    <t>Ausschreibung_GCC_vertikal_Rev.0094beta.xls</t>
  </si>
  <si>
    <t>53</t>
  </si>
  <si>
    <t>54</t>
  </si>
  <si>
    <t>Korrektur Elementberechnung / Berechnung PlattenaufteilungSchieberelemente 3</t>
  </si>
  <si>
    <t>Rev. 0096b</t>
  </si>
  <si>
    <t>Ausschreibung_GCC_vertikal_Rev.0095beta.xls</t>
  </si>
  <si>
    <t>Zuschnitt Brandschutzbauplatten Schieberblatt, Auflaufkonsolen und Dichtrahmen</t>
  </si>
  <si>
    <r>
      <t xml:space="preserve">Vorgabezeit
</t>
    </r>
    <r>
      <rPr>
        <sz val="4"/>
        <rFont val="Arial"/>
        <family val="2"/>
      </rPr>
      <t>(in Minuten)</t>
    </r>
  </si>
  <si>
    <t>Korrektur Elementberechnung 2 / Berechnung PlattenaufteilungSchieberelemente 4</t>
  </si>
  <si>
    <t>Rev. 0097b</t>
  </si>
  <si>
    <t>Ausschreibung_GCC_vertikal_Rev.0096beta.xls</t>
  </si>
  <si>
    <t>Rev. 0098b</t>
  </si>
  <si>
    <t>Festfeldüberdeckung wiederhergestellt</t>
  </si>
  <si>
    <t>Ausschreibung_GCC_vertikal_Rev.0097beta.xls</t>
  </si>
  <si>
    <t>Summe in Minuten</t>
  </si>
  <si>
    <t>Summe in Stunden</t>
  </si>
  <si>
    <t>Zeiterfassungsbogen angepasst</t>
  </si>
  <si>
    <t>Rev. 0099b</t>
  </si>
  <si>
    <t>Ausschreibung_GCC_vertikal_Rev.0098beta.xls</t>
  </si>
  <si>
    <t>Art.Nr.:0308136 nicht mehr Auftragsbezogene Blechfertigung</t>
  </si>
  <si>
    <t>Rev. 0100b</t>
  </si>
  <si>
    <t>Ausschreibung_GCC_vertikal_Rev.0099beta.xls</t>
  </si>
  <si>
    <t>Rev. 0101b</t>
  </si>
  <si>
    <t>Stücklistenfehler Intumestblöcke behoben</t>
  </si>
  <si>
    <t>Ausschreibung_GCC_vertikal_Rev.0100beta.xls</t>
  </si>
  <si>
    <t>Rev. 0102b</t>
  </si>
  <si>
    <t>LB x LH</t>
  </si>
  <si>
    <t>stanzen/kanten</t>
  </si>
  <si>
    <t>Zeiterfassungsbogen Angabe Größe und zusammenführen stanzen/kanten</t>
  </si>
  <si>
    <t>Ausschreibung_GCC_vertikal_Rev.0101beta.xls</t>
  </si>
  <si>
    <t>0338066</t>
  </si>
  <si>
    <t>0308261</t>
  </si>
  <si>
    <t>0338261</t>
  </si>
  <si>
    <t>0338103</t>
  </si>
  <si>
    <t>Artikelnummern Gurtanbindungen eingetragen</t>
  </si>
  <si>
    <t>Rev. 0103b</t>
  </si>
  <si>
    <t>Ausschreibung_GCC_vertikal_Rev.0102beta.xls</t>
  </si>
  <si>
    <t>Bearbeitungsstand:</t>
  </si>
  <si>
    <t>Fläche</t>
  </si>
  <si>
    <t>Gesamtstück</t>
  </si>
  <si>
    <t>Kleinteile</t>
  </si>
  <si>
    <t>Foliert</t>
  </si>
  <si>
    <t>Farbton:</t>
  </si>
  <si>
    <t>Gesamtstückzahl:</t>
  </si>
  <si>
    <t>Kleinteile:</t>
  </si>
  <si>
    <t>(unter 0,2m²)</t>
  </si>
  <si>
    <t>Anlieferung:</t>
  </si>
  <si>
    <t>Abholung:</t>
  </si>
  <si>
    <t>Ausbesserungslack:</t>
  </si>
  <si>
    <t>Benennung:</t>
  </si>
  <si>
    <t>stk</t>
  </si>
  <si>
    <t>zu lackierende Fläche</t>
  </si>
  <si>
    <t>m²</t>
  </si>
  <si>
    <t>zu folierende Fläche</t>
  </si>
  <si>
    <t>Zeichnung:</t>
  </si>
  <si>
    <t>Benennung</t>
  </si>
  <si>
    <t>Allseitig beschichten!</t>
  </si>
  <si>
    <t>Rev. 0104b</t>
  </si>
  <si>
    <t>Lackliste eingefügt (noch keine automatische erstellung)</t>
  </si>
  <si>
    <t>Ausschreibung_GCC_vertikal_Rev.0103beta.xls</t>
  </si>
  <si>
    <t>Rev. 0105b</t>
  </si>
  <si>
    <t>Materialabschreibung korrigiert (Fehler durch Zuschnittslistenumstellung Schieberblatt)</t>
  </si>
  <si>
    <t>Ausschreibung_GCC_vertikal_Rev.0104beta.xls</t>
  </si>
  <si>
    <t>Rev. 0106b</t>
  </si>
  <si>
    <t>Berechnung Festfeldüberdeckung korrigiert</t>
  </si>
  <si>
    <t>Ausschreibung_GCC_vertikal_Rev.0105beta.xls</t>
  </si>
  <si>
    <t>Rev. 0107b</t>
  </si>
  <si>
    <t>Intumesthöhe unter Schieberblatt korrigiert</t>
  </si>
  <si>
    <t>Ausschreibung_GCC_vertikal_Rev.0106beta.xls</t>
  </si>
  <si>
    <t>Rev. 0108b</t>
  </si>
  <si>
    <t>Schieberelemente Information Andockprofile (Abstand/mittig) Baugrößenabhängig</t>
  </si>
  <si>
    <t>Ausschreibung_GCC_vertikal_Rev.0107beta.xls</t>
  </si>
  <si>
    <t>Festfeldbefestigung und Ausgleichsbleche auf Lagerbezug umgestellt / Endschalter Checkliste fest eingetragen (Übergangslösung)</t>
  </si>
  <si>
    <t>Rev. 0109b</t>
  </si>
  <si>
    <t>Ausschreibung_GCC_vertikal_Rev.0108beta.xls</t>
  </si>
  <si>
    <t>Rev. 0110b</t>
  </si>
  <si>
    <t>Formel Promatect Auflaufkonsolen korrigiert</t>
  </si>
  <si>
    <t>Ausschreibung_GCC_vertikal_Rev.0109beta.xls</t>
  </si>
  <si>
    <t>Rev. 0111b</t>
  </si>
  <si>
    <t>Montageausgleichsblech Chekliste mit Liste verknüpft</t>
  </si>
  <si>
    <t>Ausschreibung_GCC_vertikal_Rev.0110beta.xls</t>
  </si>
  <si>
    <t>Rev. 0112b</t>
  </si>
  <si>
    <t>Berechnung und Tabellen: 180W Motor reaktiviert / Liste: 180W links Artikelnummer eingetragen / Materialabschreibung Gurtwickler deaktiviert</t>
  </si>
  <si>
    <t>Ausschreibung_GCC_vertikal_Rev.0111beta.xls</t>
  </si>
  <si>
    <t>Rev. 0113b</t>
  </si>
  <si>
    <t>Stückliste: Bedingte Formatierung und Filter</t>
  </si>
  <si>
    <t>Kopie von Ausschreibung_GCC_vertikal_Rev.0112beta.xls</t>
  </si>
  <si>
    <t>Rev. 0114b</t>
  </si>
  <si>
    <t>Checkliste: Verkrallungsprofile korrigiert</t>
  </si>
  <si>
    <t>Ausschreibung_GCC_vertikal_Rev.0113beta.xls</t>
  </si>
  <si>
    <t>ohne Montageanleitung</t>
  </si>
  <si>
    <t>Rev. 0115b</t>
  </si>
  <si>
    <t>Dateneingabe/Checkliste: Auswahlfelder Elektromaterial und Montageanleitung eingefügt. (Montageanleitungen sind noch nicht als B7 Artikel verfügbar)</t>
  </si>
  <si>
    <t>Ausschreibung_GCC_vertikal_Rev.0114beta.xls</t>
  </si>
  <si>
    <t>Oberflächenausführung Schieberblatt Raumseite:</t>
  </si>
  <si>
    <t>Oberflächenausführung Schieberblatt Wandseite:</t>
  </si>
  <si>
    <t>Oberflächenausführung Festfeld:</t>
  </si>
  <si>
    <t>Schieberblatt vorn</t>
  </si>
  <si>
    <t>Schieberblatt hinten</t>
  </si>
  <si>
    <t>wirklich?</t>
  </si>
  <si>
    <t>Standardfarbe</t>
  </si>
  <si>
    <t>Sonderfarbe 1</t>
  </si>
  <si>
    <t>Sonderfarbe 2</t>
  </si>
  <si>
    <t>Sonderfarbe 3</t>
  </si>
  <si>
    <t>Ich brauche Fassadenfarbe!</t>
  </si>
  <si>
    <t>Dateneingabe: Oberflächenausführungseingabe renoviert / Berechnung &amp; Tabellen Farmengenberechnungstabelle begonnen</t>
  </si>
  <si>
    <t>Rev. 0116b</t>
  </si>
  <si>
    <t>Ausschreibung_GCC_vertikal_Rev.0115beta.xls</t>
  </si>
  <si>
    <t>Liste: Mengeneinheitsfehler Festfeldfüllstreifen korrigiert / Festfeldhöhenberechnung wiederhergestellt und Formel abgesichert</t>
  </si>
  <si>
    <t>Festfeldhöhe Standard</t>
  </si>
  <si>
    <t>Rev. 0117b</t>
  </si>
  <si>
    <t>Ausschreibung_GCC_vertikal_Rev.0116beta.xls</t>
  </si>
  <si>
    <t>Liste: Antrieb Artikelnummer 180W 2 Gurte rechts</t>
  </si>
  <si>
    <t>Ausschreibung_GCC_vertikal_Rev.0117beta.xls</t>
  </si>
  <si>
    <t>Motorwandplatte GCC Antrieb breit verzinkt</t>
  </si>
  <si>
    <t>Motorwandplatte GCC Antrieb breit V2A</t>
  </si>
  <si>
    <t>Rev. 0118b</t>
  </si>
  <si>
    <t>Liste/Checkliste: Motorwandplatten automatisiert und korrigiert</t>
  </si>
  <si>
    <t>Ausschreibung_GCC_vertikal_Rev.0118beta.xls</t>
  </si>
  <si>
    <t>mit Tragrolle(n) zur Gurtumlenkung</t>
  </si>
  <si>
    <t>02167089-300.1 FAA3 Ausschreibung_GCC_vertikal_Rev.0118beta.xls</t>
  </si>
  <si>
    <t>Rev. 0119b</t>
  </si>
  <si>
    <t>Checkliste: Platten für Auflaufkonsolen korrigiert / Dateneingabe repariert</t>
  </si>
  <si>
    <t>Rev. 0120b</t>
  </si>
  <si>
    <t>Farbmengenberechnung Teil 2</t>
  </si>
  <si>
    <t>Ausschreibung_GCC_vertikal_Rev.0119beta.xls</t>
  </si>
  <si>
    <t>Ausschreibung_GCC_vertikal_Rev.0120beta.xls</t>
  </si>
  <si>
    <t>Bereich</t>
  </si>
  <si>
    <t>liegt im Bereich</t>
  </si>
  <si>
    <t>Gebindemengen in den Bereichen</t>
  </si>
  <si>
    <t>Rev. 0121b</t>
  </si>
  <si>
    <t>Berechnung Standardfarbe Checkliste</t>
  </si>
  <si>
    <t>Farbmengenberechnung sowie Abschreibung  und Eintrag Checkliste Standardfarbe fertiggestellt</t>
  </si>
  <si>
    <t>Ausschreibung_GCC_vertikal_Rev.0121beta.xls</t>
  </si>
  <si>
    <t>Rev. 0122b</t>
  </si>
  <si>
    <t>Artikelnummern Standardfabe ergänzt</t>
  </si>
  <si>
    <t>Festfeldhöhenberechnung korrigiert</t>
  </si>
  <si>
    <t>Rev. 0123b</t>
  </si>
  <si>
    <t>Ausschreibung_GCC_vertikal_Rev.0122beta.xls</t>
  </si>
  <si>
    <t>Kantenschutzwinkel 40 x 20 gelocht</t>
  </si>
  <si>
    <t>0308282</t>
  </si>
  <si>
    <t>Rev. 0124b</t>
  </si>
  <si>
    <t>Liste/Stückliste: div. Mengeneinheitsfehler korrigiert / Kantenschutzwinkel 0308282 eingeführt</t>
  </si>
  <si>
    <t>Ausschreibung_GCC_vertikal_Rev.0123beta.xls</t>
  </si>
  <si>
    <t>Rev. 0125b</t>
  </si>
  <si>
    <t>Schieberelemente: Maße Andockprofile Angabe mit Bezug zur Schieberblattaußenkante</t>
  </si>
  <si>
    <t>Ausschreibung_GCC_vertikal_Rev.0124beta.xls</t>
  </si>
  <si>
    <t>Rev. 0126b</t>
  </si>
  <si>
    <t>Dateneingabe: Sonderfarbbestellangabe Zellbezug korrigiert</t>
  </si>
  <si>
    <t>Ausschreibung_GCC_vertikal_Rev.0125beta.xls</t>
  </si>
  <si>
    <t>Rev. 0127b</t>
  </si>
  <si>
    <t>Schieberelemente: Maße Andockprofile Angabe mit Bezug zur Schieberblattaußenkante korrigiert (Breite von Berechnung und Tabellen verknüpft)</t>
  </si>
  <si>
    <t>Ausschreibung_GCC_vertikal_Rev.0126beta.xls</t>
  </si>
  <si>
    <t>Rev. 0128b</t>
  </si>
  <si>
    <t>Liste: Formel für Antrieb 750W 2 Gurte links korrigiert</t>
  </si>
  <si>
    <t>Ausschreibung_GCC_vertikal_Rev.0127beta.xls</t>
  </si>
  <si>
    <t>Dübel Porenbetonanker W-PA A  M10-20</t>
  </si>
  <si>
    <t>nur in verzinkt verfügbar!</t>
  </si>
  <si>
    <t>Rev. 0129b</t>
  </si>
  <si>
    <t>Montagematerial: Porenbetonanker Benennung korrigiert / Material (V2A/Stahl verzinkt) mit Dateneingabe verküpft</t>
  </si>
  <si>
    <t>Ausschreibung_GCC_vertikal_Rev.0128beta.xls</t>
  </si>
  <si>
    <t>Rev. 0130b</t>
  </si>
  <si>
    <t>Montageausgleichsbleche Mengeneinheit korrigiert</t>
  </si>
  <si>
    <t>Ausschreibung_GCC_vertikal_Rev.0129beta.xls</t>
  </si>
  <si>
    <t>Dateneingabe: ElektromaterialmitaufPalettepackmöglichkeit entfernt</t>
  </si>
  <si>
    <t>Ausschreibung_GCC_vertikal_Rev.0130beta.xls</t>
  </si>
  <si>
    <t>Sonstiges</t>
  </si>
  <si>
    <t>Rev. 0131b</t>
  </si>
  <si>
    <t>Checkliste: Montagematerial "verpflanzt" / Formatierungen Montagematerial</t>
  </si>
  <si>
    <t>Motorwandplatte GCC Antrieb schmal verzinkt</t>
  </si>
  <si>
    <t>Motorwandplatte GCC Antrieb schmal V2A</t>
  </si>
  <si>
    <t>Rev. 0132b</t>
  </si>
  <si>
    <t>Motorwandplatte Änderung Benennung</t>
  </si>
  <si>
    <t>Ausschreibung_GCC_vertikal_Rev.0131beta.xls</t>
  </si>
  <si>
    <t>Rev. 0133b</t>
  </si>
  <si>
    <t>Produktschild nur noch 1 Stück</t>
  </si>
  <si>
    <t>Ausschreibung_GCC_vertikal_Rev.0132beta.xls</t>
  </si>
  <si>
    <t>Rev. 0134b</t>
  </si>
  <si>
    <t>Antriebsbaugruppenartikelnummern korrigiert</t>
  </si>
  <si>
    <t>Ausschreibung_GCC_vertikal_Rev.0133beta.xls</t>
  </si>
  <si>
    <t>Konsole r0 GCC 300mm verzinkt</t>
  </si>
  <si>
    <t>Konsole r0 GCC 300mm V2A</t>
  </si>
  <si>
    <t>Festfeldkonsole GCC 175mm 300 lang verzinkt</t>
  </si>
  <si>
    <t>Festfeldkonsole GCC 175mm 300 lang V2A</t>
  </si>
  <si>
    <t>Festfeldkonsole GCC 250mm 300 lang verzinkt</t>
  </si>
  <si>
    <t>Festfeldkonsole GCC 250mm 300 lang V2A</t>
  </si>
  <si>
    <t>Rev. 0135b</t>
  </si>
  <si>
    <t>Liste: (Konsolen FF hinzugefügt und Sortierung neu) begonnen</t>
  </si>
  <si>
    <t>Ausschreibung_GCC_vertikal_Rev.0134beta.xls</t>
  </si>
  <si>
    <t>Konsole r0 GCC 400mm verzinkt</t>
  </si>
  <si>
    <t>Konsole r0 GCC 400mm V2A</t>
  </si>
  <si>
    <t>Festfeldkonsole GCC 175mm 400 lang verzinkt</t>
  </si>
  <si>
    <t>Festfeldkonsole GCC 175mm 400 lang V2A</t>
  </si>
  <si>
    <t>Festfeldkonsole GCC 250mm 400 lang verzinkt</t>
  </si>
  <si>
    <t>Festfeldkonsole GCC 250mm 400 lang V2A</t>
  </si>
  <si>
    <t>Konsole r0 GCC 500mm verzinkt</t>
  </si>
  <si>
    <t>Konsole r0 GCC 500mm V2A</t>
  </si>
  <si>
    <t>Festfeldkonsole GCC 175mm 500 lang verzinkt</t>
  </si>
  <si>
    <t>Festfeldkonsole GCC 175mm 500 lang V2A</t>
  </si>
  <si>
    <t>Festfeldkonsole GCC 250mm 500 lang verzinkt</t>
  </si>
  <si>
    <t>Festfeldkonsole GCC 250mm 500 lang V2A</t>
  </si>
  <si>
    <t>Konsolen</t>
  </si>
  <si>
    <t>FAA mit Auflaufkonsolen</t>
  </si>
  <si>
    <t>FAA mit Festfeld auf Konsolen</t>
  </si>
  <si>
    <t>Festfeldtiefe 175</t>
  </si>
  <si>
    <t>Festfeldtiefe 250</t>
  </si>
  <si>
    <t>Rev. 0136b</t>
  </si>
  <si>
    <t>Liste/Berechnung &amp; Tabellen/Checkliste: KonsolenFF/r0 vollständig</t>
  </si>
  <si>
    <t>Ausschreibung_GCC_vertikal_Rev.0135beta.xls</t>
  </si>
  <si>
    <t>Rev. 0137b</t>
  </si>
  <si>
    <t>B7 Übergabemakro neu verknüpft</t>
  </si>
  <si>
    <t>Ausschreibung_GCC_vertikal_Rev.0136beta.xls</t>
  </si>
  <si>
    <t>Rev. 0138b</t>
  </si>
  <si>
    <t>Checkliste:  Stückzahl zweite Reihe Platten für Auflaufkonsolen nur wenn auch Teilung auf Zuschnittsblatt vorhanden; Dateneingabe Umsortiert und Eingabemöglichkeit für Wandart vorgesehen</t>
  </si>
  <si>
    <t>Wandart:</t>
  </si>
  <si>
    <t>Montageanleitung:</t>
  </si>
  <si>
    <t>Wiederöffnung:</t>
  </si>
  <si>
    <t>Antrieb Deckenmontage (mit Umlenkung):</t>
  </si>
  <si>
    <t>Position Motor:</t>
  </si>
  <si>
    <t>Wandart</t>
  </si>
  <si>
    <t>Beton</t>
  </si>
  <si>
    <t>Mauerwerk</t>
  </si>
  <si>
    <t>Gasbeton</t>
  </si>
  <si>
    <t>Verkleideter Stahlbau / Ständerwand</t>
  </si>
  <si>
    <t>Wandart lt. Dateneingabe</t>
  </si>
  <si>
    <t>Verkleideter Stahlbau:</t>
  </si>
  <si>
    <t>FF Bef. Seite</t>
  </si>
  <si>
    <t xml:space="preserve">Kon 500er </t>
  </si>
  <si>
    <t xml:space="preserve">Kon 400er </t>
  </si>
  <si>
    <t xml:space="preserve">Kon 300er </t>
  </si>
  <si>
    <t>Wanddicke:</t>
  </si>
  <si>
    <t>Ausschreibung_GCC_vertikal_Rev.0137beta.xls</t>
  </si>
  <si>
    <t>Gewindestange M10 246mm verzinkt</t>
  </si>
  <si>
    <t>Gewindestange M10 330mm verzinkt</t>
  </si>
  <si>
    <t>Gewindestange M10 495mm verzinkt</t>
  </si>
  <si>
    <t>Gewindestange M10 1000mm verzinkt</t>
  </si>
  <si>
    <t>Gewindestange M10 1000mm V2A</t>
  </si>
  <si>
    <t>Wanddicke</t>
  </si>
  <si>
    <t>Gewindestangenlänge 246mm</t>
  </si>
  <si>
    <t>Gewindestangenlänge 330mm</t>
  </si>
  <si>
    <t>Gewindestangenlänge 495mm</t>
  </si>
  <si>
    <t>Gewindestangenlänge 1000mm</t>
  </si>
  <si>
    <t>verz.</t>
  </si>
  <si>
    <t>Indikator V2A</t>
  </si>
  <si>
    <t>Das Montagematerial zur Befestigung des Abschlusses ist grundsätzlich zu kontrollieren!</t>
  </si>
  <si>
    <t>Rev. 0139b</t>
  </si>
  <si>
    <t>Dateneingabe/Lager &amp; Montagematerial: Berechnung Befestigungsmaterial neu gestaltet und automatisiert  Liste: Abschreibungssteuerung korrigiert</t>
  </si>
  <si>
    <t>Ausschreibung_GCC_vertikal_Rev.0138beta.xls</t>
  </si>
  <si>
    <t>Rev. 0140b</t>
  </si>
  <si>
    <t>Checkliste: Herstellungsjahr  mit Fertigungsendtermin verknüpft</t>
  </si>
  <si>
    <t>Ausschreibung_GCC_vertikal_Rev.0139beta.xls</t>
  </si>
  <si>
    <t>Ausschreibung_GCC_vertikal_Rev.0140beta.xls</t>
  </si>
  <si>
    <t>Verkleidungsblech Schieberelement oben vorn Einzelgurtanbindung verzinkt</t>
  </si>
  <si>
    <t>Verkleidungsblech Schieberelement oben vorn Einzelgurtanbindung V2A</t>
  </si>
  <si>
    <t>Verkleidungsblech Schieberelement oben vorn Doppelgurtanbindung verzinkt</t>
  </si>
  <si>
    <t>Verkleidungsblech Schieberelement oben vorn Doppelgurtanbindung V2A</t>
  </si>
  <si>
    <t>Verkleidungsblech Schieberelement unten vorn Aufdopplung verzinkt</t>
  </si>
  <si>
    <t>Verkleidungsblech Schieberelement unten vorn Aufdopplung V2A</t>
  </si>
  <si>
    <t>Verkleidungsblech Stoßabdeckung vorn verzinkt</t>
  </si>
  <si>
    <t>Verkleidungsblech Stoßabdeckung vorn V2A</t>
  </si>
  <si>
    <t>Rev. 0141b</t>
  </si>
  <si>
    <t>Liste/Checkliste:Blechverkleidungsstruktur eingebaut und Berechnungsformeln begonnen</t>
  </si>
  <si>
    <t>Rev. 0142b</t>
  </si>
  <si>
    <t>Lager &amp; Montagematerial: Artikelnummer Sechskantschrauben M10 x 60 korrigiert</t>
  </si>
  <si>
    <t>Ausschreibung_GCC_vertikal_Rev.0141beta.xls</t>
  </si>
  <si>
    <t>Lager &amp; Montagematerial: Artikelnummern korrigiert</t>
  </si>
  <si>
    <t>Rev. 0143b</t>
  </si>
  <si>
    <t>Ausschreibung_GCC_vertikal_Rev.0142beta.xls</t>
  </si>
  <si>
    <t>Rev. 0144b</t>
  </si>
  <si>
    <t>Liste/Stückliste: Umstellung von M auf MM und M2 auf MM2</t>
  </si>
  <si>
    <t>MM2</t>
  </si>
  <si>
    <t>MM</t>
  </si>
  <si>
    <t>Ausschreibung_GCC_vertikal_Rev.0143beta.xls</t>
  </si>
  <si>
    <t>Stahlblech verz.</t>
  </si>
  <si>
    <t>V2A blank</t>
  </si>
  <si>
    <t>Rev. 0145b</t>
  </si>
  <si>
    <t>Eingabe Blechsonderteile: Materialeingabemöglichkeit eingefügt</t>
  </si>
  <si>
    <t>Ausschreibung_GCC_vertikal_Rev.0144beta.xls</t>
  </si>
  <si>
    <t>Ausschreibung_GCC_vertikal_Rev.0145beta.xls</t>
  </si>
  <si>
    <t>Halterung Initiator Pepperl+Fuchs NBN 12 verzinkt</t>
  </si>
  <si>
    <t>Schaltfahne Initiator Pepperl+Fuchs NBN 12 verzinkt</t>
  </si>
  <si>
    <t>Rev. 0146b</t>
  </si>
  <si>
    <t>Eingabe Blechsonderteile/Liste /Stückliste: Materialvarianten eingetragen und Übertragungsmakro angepasst</t>
  </si>
  <si>
    <r>
      <t xml:space="preserve">Dispersionsfarbe Sonderfarbton
</t>
    </r>
    <r>
      <rPr>
        <b/>
        <sz val="8"/>
        <rFont val="Arial"/>
        <family val="2"/>
      </rPr>
      <t>(Bestellung durch Arbeitsvorbereitung)</t>
    </r>
  </si>
  <si>
    <t>Wechsel Standardfarbe (Fassade 95 auf Team 100)</t>
  </si>
  <si>
    <t>Rev. 0147b</t>
  </si>
  <si>
    <t>Ausschreibung_GCC_vertikal_Rev.0146beta.xls</t>
  </si>
  <si>
    <t>Rev. 0148b</t>
  </si>
  <si>
    <t>Lager &amp; Montagematerial: Karosseriescheiben 6,4 Artikelnummer korrigiert</t>
  </si>
  <si>
    <t>Ausschreibung_GCC_vertikal_Rev.0147beta.xls</t>
  </si>
  <si>
    <t>Rev. 0149b</t>
  </si>
  <si>
    <t>Dateneingabe/Lager &amp; Montagematerial: Montageanleitungen vervollständigt, sind jetzt wählbar</t>
  </si>
  <si>
    <t>Ausschreibung_GCC_vertikal_Rev.0148beta.xls</t>
  </si>
  <si>
    <t>Liste: Kantenschutzwinkel Festfeld Anzahl abhängig von Einbaulage</t>
  </si>
  <si>
    <t>Rev. 0150b</t>
  </si>
  <si>
    <t>Ausschreibung_GCC_vertikal_Rev.0149beta.xls</t>
  </si>
  <si>
    <t>18er GKF</t>
  </si>
  <si>
    <t>12,5er GkF</t>
  </si>
  <si>
    <t>6er Promatect</t>
  </si>
  <si>
    <t>Höhe Festfeldfüllung</t>
  </si>
  <si>
    <t>Füllhöhe</t>
  </si>
  <si>
    <t>Lagenanzahl volle Breite</t>
  </si>
  <si>
    <t>Benötigte Höhe</t>
  </si>
  <si>
    <t>12,5er GKF</t>
  </si>
  <si>
    <t>Datenbasistabelle Stapelhöhen</t>
  </si>
  <si>
    <t>Festfeld Streifenberechnung</t>
  </si>
  <si>
    <t>15er GKF</t>
  </si>
  <si>
    <t>15er</t>
  </si>
  <si>
    <t>Festfeldfüllplatten 18mm GKF</t>
  </si>
  <si>
    <t>Festfeldfüllplatten 12,5mm GKF</t>
  </si>
  <si>
    <t>Festfeldfüllplatten 15mm Promatect</t>
  </si>
  <si>
    <t>Festfeldfüllplatten 6mm Promatect</t>
  </si>
  <si>
    <t>Festfelddeckplatten (Komplettlänge/Teillänge1)</t>
  </si>
  <si>
    <t>Festfelddeckplatten (Teillänge2)</t>
  </si>
  <si>
    <t>150er Streifen</t>
  </si>
  <si>
    <t>225er Streifen</t>
  </si>
  <si>
    <t>Berechnung Festfeldfüllung Teil 1</t>
  </si>
  <si>
    <t>Rev. 0151b</t>
  </si>
  <si>
    <t>Ausschreibung_GCC_vertikal_Rev.0150beta.xls</t>
  </si>
  <si>
    <t>Standardfestfeldüberdeckung
Einbaulage Wandhängend</t>
  </si>
  <si>
    <t>mit Festfeld?</t>
  </si>
  <si>
    <t xml:space="preserve"> Anzahl Porenbetonsteinreihe(n) a 250mm zum ersetzen der Festfeldfüllung</t>
  </si>
  <si>
    <t>1250 mm</t>
  </si>
  <si>
    <t>Rev. 0152b</t>
  </si>
  <si>
    <t>Berechnung Festfeldfüllung automatisiert (noch Zuschnitt)</t>
  </si>
  <si>
    <t>Festfeldhöhe innerhalb der Berechnungstabelle?</t>
  </si>
  <si>
    <t>Ausschreibung_GCC_vertikal_Rev.0151beta.xls</t>
  </si>
  <si>
    <t>Dateneingabe: Automatischer Hinweis bei Festfeld außerhalb der automatischen Berechnung</t>
  </si>
  <si>
    <t>Rev. 0153b</t>
  </si>
  <si>
    <t>Ausschreibung_GCC_vertikal_Rev.0152beta.xls</t>
  </si>
  <si>
    <t>Rev. 0154b</t>
  </si>
  <si>
    <t>Dateneingabe: Berechnung Festfeldhöhe korrigiert</t>
  </si>
  <si>
    <t>Ausschreibung_GCC_vertikal_Rev.0153beta.xls</t>
  </si>
  <si>
    <t>Rev. 0155b</t>
  </si>
  <si>
    <t>Lager &amp; Montagematerial: Schrauben Festfeld (Spax) automatisiert</t>
  </si>
  <si>
    <t>Ausschreibung_GCC_vertikal_Rev.0154beta.xls</t>
  </si>
  <si>
    <t>Empekleber 1kg Gebinde</t>
  </si>
  <si>
    <t>Rev. 0156b</t>
  </si>
  <si>
    <t>Empekleber auf 1kg Gebinde umgestellt</t>
  </si>
  <si>
    <t>Ausschreibung_GCC_vertikal_Rev.0155beta.xls</t>
  </si>
  <si>
    <t>Liste:ME Empe korrigiert</t>
  </si>
  <si>
    <t>Ausschreibung_GCC_vertikal_Rev.0156beta.xls</t>
  </si>
  <si>
    <t>mögliche Porenbetonsteinreihen</t>
  </si>
  <si>
    <t>Berechnung &amp; Tabellen: Porenbetonsteinreiheneingabemöglichkeit eingeschränkt</t>
  </si>
  <si>
    <t>Liste: Art.Nr. Festfeldfüllung korrigiert</t>
  </si>
  <si>
    <t>Rev. 0157b</t>
  </si>
  <si>
    <t>Rev. 0158b</t>
  </si>
  <si>
    <t>Zuschnitt Festfeld: Plattenabhängige Größeneingabebeschränkung eingebaut</t>
  </si>
  <si>
    <t>Ausschreibung_GCC_vertikal_Rev.0157beta.xls</t>
  </si>
  <si>
    <t>Zuschnitt Festfeld: Verknüpfungsfehler 2. Deckplatte korrigiert</t>
  </si>
  <si>
    <t>Rev. 0159b</t>
  </si>
  <si>
    <t>Ausschreibung_GCC_vertikal_Rev.0158beta.xls</t>
  </si>
  <si>
    <t>0205038</t>
  </si>
  <si>
    <t>Mineralwollstreifen 175mm (500mm lang)</t>
  </si>
  <si>
    <t>Rev. 0160b</t>
  </si>
  <si>
    <t>Checkliste: Mineralwolle für Festfeldmanschette mit neuer Art.Nr., Eingabe auf Checkliste manuell, Eintrag steuert 1x Twilltex auf Lagerbereitstell-Liste</t>
  </si>
  <si>
    <t>Ausschreibung_GCC_vertikal_Rev.0159beta.xls</t>
  </si>
  <si>
    <t>Checkliste: Anzahl nur noch für ein Stück</t>
  </si>
  <si>
    <t>Rev. 0161b</t>
  </si>
  <si>
    <t>Ausschreibung_GCC_vertikal_Rev.0160beta.xls</t>
  </si>
  <si>
    <t>Liste: Schraube für Elementfertigung auf Schnellbauschraube m. Bohrspitze 3,5X35 Trompetenkopf, Magazin umgestellt</t>
  </si>
  <si>
    <t>Rev. 0162b</t>
  </si>
  <si>
    <t>Ausschreibung_GCC_vertikal_Rev.0161beta.xls</t>
  </si>
  <si>
    <t>Befestigung Dichtrahmen Stahlbau</t>
  </si>
  <si>
    <t>0106032</t>
  </si>
  <si>
    <t>0123031</t>
  </si>
  <si>
    <t>Befestigung Dichtrahmen Beton/Mauerw./Gasb.</t>
  </si>
  <si>
    <t>Rev. 0163b</t>
  </si>
  <si>
    <t>Lager &amp; Montagematerial: Artikelnummern korrigiert/Befestigungsmaterial Dichtstreifen automatisiert;Stückliste: Zellverknüpfungen repariert</t>
  </si>
  <si>
    <t>Ausschreibung_GCC_vertikal_Rev.0162beta.xls</t>
  </si>
  <si>
    <t>Lager &amp; Montagematerial: Artikelnummern korrigiert bzw. automatisiert</t>
  </si>
  <si>
    <t>Rev. 0164b</t>
  </si>
  <si>
    <t>Ausschreibung_GCC_vertikal_Rev.0163beta.xls</t>
  </si>
  <si>
    <t>Ausschreibung_GCC_vertikal_Rev.0164beta.xls</t>
  </si>
  <si>
    <t>Befestigung Dichtrahmen Ständerwand</t>
  </si>
  <si>
    <t>Lager &amp; Montagematerial: Befestigungsmaterial Dichtstreifen korrigiert</t>
  </si>
  <si>
    <t>Lager &amp; Montagematerial: Schrott entsorgt</t>
  </si>
  <si>
    <t>Rev. 0165b</t>
  </si>
  <si>
    <t>Dateneingabe: Eingabehinweise RAL-Nummer Eingabe eingefügt</t>
  </si>
  <si>
    <t>Rev. 0166b</t>
  </si>
  <si>
    <t>0308293</t>
  </si>
  <si>
    <t>0308294</t>
  </si>
  <si>
    <t>0308295</t>
  </si>
  <si>
    <t>Liste: Artikelnummern Konsolen 250mm Festfeldtiefe ergänzt/C-Profil entfernt</t>
  </si>
  <si>
    <t>Ausschreibung_GCC_vertikal_Rev.0165beta.xls</t>
  </si>
  <si>
    <t>Aufdopplungstiefe</t>
  </si>
  <si>
    <t>Aufdopplungstiefe 150mm bei Festfeldtiefe 250mm gegonnen (Achtung, ist noch nicht nutzbar da unfertig!)</t>
  </si>
  <si>
    <t>Rev. 0167b</t>
  </si>
  <si>
    <t>Ausschreibung_GCC_vertikal_Rev.0166beta.xls</t>
  </si>
  <si>
    <t>Verkleidungsblech Komplettelement Doppelgurtanbindung r0 vorn verzinkt</t>
  </si>
  <si>
    <t>Verkleidungsblech Komplettelement Doppelgurtanbindung r0 vorn V2A</t>
  </si>
  <si>
    <t>Verkleidungsblech Komplettelement Einzelgurtanbindung r0 vorn verzinkt</t>
  </si>
  <si>
    <t>Verkleidungsblech Komplettelement Einzelgurtanbindung r0 vorn V2A</t>
  </si>
  <si>
    <t>Verkleidungsblech Komplettelement Doppelgurtanbindung Aufdop. vorn verzinkt</t>
  </si>
  <si>
    <t>Verkleidungsblech Komplettelement Doppelgurtanbindung Aufdop. vorn V2A</t>
  </si>
  <si>
    <t>Verkleidungsblech Komplettelement Einzelgurtanbindung Aufdop. vorn verzinkt</t>
  </si>
  <si>
    <t>Verkleidungsblech Komplettelement Einzelgurtanbindung Aufdop. vorn V2A</t>
  </si>
  <si>
    <t>Automatisierung Blechverkleidung Teil 2</t>
  </si>
  <si>
    <t>0308297</t>
  </si>
  <si>
    <t>0338297</t>
  </si>
  <si>
    <t>0308298</t>
  </si>
  <si>
    <t>0338298</t>
  </si>
  <si>
    <t>0308299</t>
  </si>
  <si>
    <t>0338299</t>
  </si>
  <si>
    <t>0308300</t>
  </si>
  <si>
    <t>0338300</t>
  </si>
  <si>
    <t>0308301</t>
  </si>
  <si>
    <t>0338301</t>
  </si>
  <si>
    <t>Ausschreibung_GCC_vertikal_Rev.0167beta.xls</t>
  </si>
  <si>
    <t>0338094</t>
  </si>
  <si>
    <t>Oberfläche Wandseite:</t>
  </si>
  <si>
    <t>Oberfläche Raumseite:</t>
  </si>
  <si>
    <t>0308302</t>
  </si>
  <si>
    <t>0338302</t>
  </si>
  <si>
    <t>Ausschreibung_GCC_vertikal_Rev.0167.1beta.xls</t>
  </si>
  <si>
    <t>Automatisierung Blechverkleidung Teil 4</t>
  </si>
  <si>
    <t>Ausschreibung_GCC_vertikal_Rev.0167.2beta.xls</t>
  </si>
  <si>
    <t>Automatisierung Blechverkleidung Teil 3</t>
  </si>
  <si>
    <t>0308303</t>
  </si>
  <si>
    <t>0338303</t>
  </si>
  <si>
    <t>0308304</t>
  </si>
  <si>
    <t>0338304</t>
  </si>
  <si>
    <t>Automatisierung Blechverkleidung Teil 5</t>
  </si>
  <si>
    <t>Ausschreibung_GCC_vertikal_Rev.0167.3beta.xls</t>
  </si>
  <si>
    <t>Intumestzierendes Material zur Fördertechnikabschottung (lt. Liste)</t>
  </si>
  <si>
    <t>siehe Zuschnitt intumestzierendes Mat</t>
  </si>
  <si>
    <t>Intumestzierendes Material zur Fördertechnikabschottung in Blöcken (lt. Liste)</t>
  </si>
  <si>
    <t>siehe Zuschnitt Intumest Blöcke</t>
  </si>
  <si>
    <t>Brandschutzbauplatten zur Fördertechnikabschottung Festfeld (lt. Liste)</t>
  </si>
  <si>
    <t>siehe Zuschnitt Festfeld</t>
  </si>
  <si>
    <t>zusätzliche Brandschutzbauplatten Schieberblatt (lt. Liste)</t>
  </si>
  <si>
    <t>siehe Zuschnitt Schieberblatt</t>
  </si>
  <si>
    <t>Rev. 0168b</t>
  </si>
  <si>
    <t>Checkliste: Summenfelder für "zusätzlich" ausgeschriebenes Material von den Blättern Zuschnitt Schieberblatt, Zuschnitt Festfeld, Zuschnitt intumestzierendes Mat und Zuschnitt Intumest Blöcke</t>
  </si>
  <si>
    <t>Ausschreibung_GCC_vertikal_Rev.0167.4beta.xls</t>
  </si>
  <si>
    <t>0338095</t>
  </si>
  <si>
    <t>0338134</t>
  </si>
  <si>
    <t>Rev. 0169b</t>
  </si>
  <si>
    <t>Lager &amp; Montagematerial: Berechnung Befestigungsmaterial Dichtstreifen korrigiert</t>
  </si>
  <si>
    <t>Ausschreibung_GCC_vertikal_Rev.0168beta.xls</t>
  </si>
  <si>
    <t>Nylon</t>
  </si>
  <si>
    <t>Phosphatiert</t>
  </si>
  <si>
    <t>Halterung Initiator Pepperl+Fuchs NBN 12 V2A</t>
  </si>
  <si>
    <t>0338233</t>
  </si>
  <si>
    <t>0338234</t>
  </si>
  <si>
    <t>Initiator Pepperl+Fuchs NBN 12</t>
  </si>
  <si>
    <t>Schaltfahne Initiator Pepperl+Fuchs NBN 12 V2A</t>
  </si>
  <si>
    <t>Rev. 0170b</t>
  </si>
  <si>
    <t>Verkrallungsprofil ab 3000mm zweiteilig; Initiatoren Eingabefeld auf Liste eingebaut und mit Checkliste verknüpft; V2A Artikelnummern ergänzt und Angaben für Blechfertigung korrigiert</t>
  </si>
  <si>
    <t>Ausschreibung_GCC_vertikal_Rev.0169beta.xls</t>
  </si>
  <si>
    <t>Rev. 0171b</t>
  </si>
  <si>
    <t>Korrektur Befestigungsmaterial Blechteile für Initiatoren</t>
  </si>
  <si>
    <t>Ausschreibung_GCC_vertikal_Rev.0170beta.xls</t>
  </si>
  <si>
    <t>Rev. 0172b</t>
  </si>
  <si>
    <t>Umformatierung Checkliste;Eingabemeldung Dateneingabe Lichte Rohbaubreite; Formelkorrektur Abdeckblech Aufdopplung</t>
  </si>
  <si>
    <t>Ausschreibung_GCC_vertikal_Rev.0171beta.xls</t>
  </si>
  <si>
    <t>Rev. 0173b</t>
  </si>
  <si>
    <t>Stückliste: Datenmüll im Bereich Lager &amp; Montagematerial entsorgt</t>
  </si>
  <si>
    <t>Ausschreibung_GCC_vertikal_Rev.0172beta.xls</t>
  </si>
  <si>
    <t>Abstand Antrieb Wand
oder Gurtlängenzugabe:</t>
  </si>
  <si>
    <t>Baugruppe Endschalter geöffnet verzinkt</t>
  </si>
  <si>
    <t>Baugruppe Endschalter geöffnet V2A</t>
  </si>
  <si>
    <t>Rev. 0174b</t>
  </si>
  <si>
    <t>Eingabemeldung Gurtlängenzugabe; Auswahldropdown Zusatzplatten Festfeld erweitert; Endschalter geöffnet automatisch verzinkt oder V2A; keine Kantenschutzwinkel bei V2A FF</t>
  </si>
  <si>
    <t>Ausschreibung_GCC_vertikal_Rev.0173beta.xls</t>
  </si>
  <si>
    <t>Rev. 0175b</t>
  </si>
  <si>
    <t>Liste: "Längenmaß" Aufdopplungsplatten korrigiert</t>
  </si>
  <si>
    <t>Ausschreibung_GCC_vertikal_Rev.0174beta.xls</t>
  </si>
  <si>
    <t>Abdeckblech Aufdopplung einteilig verzinkt</t>
  </si>
  <si>
    <t>Abdeckblech Aufdopplung einteilig V2A</t>
  </si>
  <si>
    <t>Rev. 0176b</t>
  </si>
  <si>
    <t>Abdeckung Aufdopplung einteilig V2A eingefügt</t>
  </si>
  <si>
    <t>Ausschreibung_GCC_vertikal_Rev.0175beta.xls</t>
  </si>
  <si>
    <t>Rev. 0177b</t>
  </si>
  <si>
    <t>Abdeckung Aufdopplung einteilig V2A DXF Angabe "Zuschnitt" entfernt</t>
  </si>
  <si>
    <t>Ausschreibung_GCC_vertikal_Rev.0176beta.xls</t>
  </si>
  <si>
    <t>Rev. 0178b</t>
  </si>
  <si>
    <t>Stückliste: Übertragung Lager &amp; Montagematerial geprüft und Tabelle verlängert</t>
  </si>
  <si>
    <t>Ausschreibung_GCC_vertikal_Rev.0177beta.xls</t>
  </si>
  <si>
    <t>Rev. 0179b</t>
  </si>
  <si>
    <t>Berechnung &amp; Tabellen: Berechnung Spangen Führungsschienen Standardform korrigiert</t>
  </si>
  <si>
    <t>Ausschreibung_GCC_vertikal_Rev.0178beta.xls</t>
  </si>
  <si>
    <t>Fassadenfarbe RAL 7016 (Standardfarbgebung)</t>
  </si>
  <si>
    <t>Dispersionsfarbe RAL 7016 12,5L Gebinde</t>
  </si>
  <si>
    <t>Dispersionsfarbe RAL 7016 5L Gebinde</t>
  </si>
  <si>
    <t>Dispersionsfarbe RAL 7016 2,5L Gebinde</t>
  </si>
  <si>
    <t>Dispersionsfarbe RAL 7016 1L Gebinde</t>
  </si>
  <si>
    <t>0902071</t>
  </si>
  <si>
    <t>0902072</t>
  </si>
  <si>
    <t>0902073</t>
  </si>
  <si>
    <t>0902074</t>
  </si>
  <si>
    <t>Rev. 0180b</t>
  </si>
  <si>
    <t>Umstellung auf Standardfarbgebung RAL 7016</t>
  </si>
  <si>
    <t>Ausschreibung_GCC_vertikal_Rev.0179beta.xls</t>
  </si>
  <si>
    <t>Kabelabschottungen (Wichmann Kabelbox)</t>
  </si>
  <si>
    <t>Baugröße</t>
  </si>
  <si>
    <t>Gehäusematerial</t>
  </si>
  <si>
    <t>Edelstahlblech</t>
  </si>
  <si>
    <t>Rev. 0181b</t>
  </si>
  <si>
    <t>Umzug Eingabe Kabelboxen auf Dateneingabe, Gehäusematerial wählbar, Voreinstellung gemäß Materialausführung Stahlteile</t>
  </si>
  <si>
    <t>Ausschreibung_GCC_vertikal_Rev.0180beta.xls</t>
  </si>
  <si>
    <t>Rev. 0182b</t>
  </si>
  <si>
    <t>Lager &amp; Montagematerial: Korrektur Artikelnummer Pattex 625g Dose</t>
  </si>
  <si>
    <t>Ausschreibung_GCC_vertikal_Rev.0181beta.xls</t>
  </si>
  <si>
    <t>Lager &amp; Montagematerial: Korrektur Artikelnummer Injektionsinnengewindeanker; Zuschnitt Intumest: Zellformatierung</t>
  </si>
  <si>
    <t>Rev. 0183b</t>
  </si>
  <si>
    <t>Ausschreibung_GCC_vertikal_Rev.0182beta.xls</t>
  </si>
  <si>
    <t>1.0250(S320GD+Z275MA-C)</t>
  </si>
  <si>
    <t>Blechfertigung: Spalte mit fortlaufender Nummerierung eingefügt;Liste/Blechfertigung/Eingabe Blechsonderteile: Material 1.0250 für Blechteile Schieberelementblechinnenlage bis 2500mm länge eingebaut</t>
  </si>
  <si>
    <t>Rev. 0184b</t>
  </si>
  <si>
    <t>Ausschreibung_GCC_vertikal_Rev.0183beta.xls</t>
  </si>
  <si>
    <t>Rev. 0185b</t>
  </si>
  <si>
    <t>Dateneingabe: Druckausgabe umformatiert (Hochformat)</t>
  </si>
  <si>
    <t>Ausschreibung_GCC_vertikal_Rev.0184beta.xls</t>
  </si>
  <si>
    <t>Rev. 0186b</t>
  </si>
  <si>
    <t>Liste/Blechfertigung/Eingabe Blechsonderteile: Material 1.0250 für Blechteile Schieberelementblechinnenlage ohne Längenbegrenzung auf 2500mm</t>
  </si>
  <si>
    <t>Kennzeichnungsschild CE:</t>
  </si>
  <si>
    <t>Kennzeichnungsschild CE</t>
  </si>
  <si>
    <t>Kennzeichnungsschild CE GCC</t>
  </si>
  <si>
    <t>0901087</t>
  </si>
  <si>
    <t>Ausschreibung_GCC_vertikal_Rev.0185beta.xls</t>
  </si>
  <si>
    <t>Kennzeichnungsschild CE GCC eingefügt (noch manuell einzugeben)</t>
  </si>
  <si>
    <t>Ausschreibung_GCC_vertikal_Rev.0186beta.xls</t>
  </si>
  <si>
    <t>Rev. 0187b</t>
  </si>
  <si>
    <t>Liste: Verkleidungsbleche Schieberblatt Korrektur Maße oberes Element und Komplettelement/Materialstärke verzinkte Ausführung</t>
  </si>
  <si>
    <t>Abdeckblech Aufdopplung mehrteilig verzinkt</t>
  </si>
  <si>
    <t>Abdeckblech Aufdopplung mehrteilig V2A</t>
  </si>
  <si>
    <t>Abdeckblech Aufdopplung Endstück links verzinkt</t>
  </si>
  <si>
    <t>Abdeckblech Aufdopplung Endstück links V2A</t>
  </si>
  <si>
    <t>Abdeckblech Aufdopplung Endstück rechts verzinkt</t>
  </si>
  <si>
    <t>Abdeckblech Aufdopplung Endstück rechts V2A</t>
  </si>
  <si>
    <t>0308318</t>
  </si>
  <si>
    <t>0338318</t>
  </si>
  <si>
    <t>0308319</t>
  </si>
  <si>
    <t>0338319</t>
  </si>
  <si>
    <t>0308320</t>
  </si>
  <si>
    <t>0338320</t>
  </si>
  <si>
    <t>Rev. 0188b</t>
  </si>
  <si>
    <t>Liste: Verkleidungsbleche Aufdopplung neu strukturiert</t>
  </si>
  <si>
    <t>Ausschreibung_GCC_vertikal_Rev.0187beta.xls</t>
  </si>
  <si>
    <t>0308321</t>
  </si>
  <si>
    <t>0338321</t>
  </si>
  <si>
    <t>Rev. 0189b</t>
  </si>
  <si>
    <t>Liste: Neue Art.Nr. Einteilige Aufdopplungsabdeckung</t>
  </si>
  <si>
    <t>Ausschreibung_GCC_vertikal_Rev.0188beta.xls</t>
  </si>
  <si>
    <t>Rev. 0190b</t>
  </si>
  <si>
    <t>Auftrag-Nr.:</t>
  </si>
  <si>
    <t>Pos.-Nr.:</t>
  </si>
  <si>
    <t>Objekt:</t>
  </si>
  <si>
    <t>Feuerwiderstandsklasse:</t>
  </si>
  <si>
    <t>Oberflächenausführung:</t>
  </si>
  <si>
    <t>Öffnungsfunktion:</t>
  </si>
  <si>
    <t>Wandqualität:</t>
  </si>
  <si>
    <t>Herstelldatum:</t>
  </si>
  <si>
    <t>Ausführung:</t>
  </si>
  <si>
    <t>Produktnummer:</t>
  </si>
  <si>
    <t>Prüfkriterien</t>
  </si>
  <si>
    <t>Zeichnungs Nr.</t>
  </si>
  <si>
    <t>i.O.</t>
  </si>
  <si>
    <t>n. i.O.</t>
  </si>
  <si>
    <t>n. vorh.</t>
  </si>
  <si>
    <t>LB x LH:</t>
  </si>
  <si>
    <t xml:space="preserve"> Wandrahmen</t>
  </si>
  <si>
    <t xml:space="preserve"> Schieber</t>
  </si>
  <si>
    <t xml:space="preserve"> Abschottung Fördersystem / Festfeld</t>
  </si>
  <si>
    <t>B002.1-B005.2</t>
  </si>
  <si>
    <t xml:space="preserve"> Baustoffe mit Übereinstimmungsnachweis</t>
  </si>
  <si>
    <t xml:space="preserve">   Tenmat Firefly 102</t>
  </si>
  <si>
    <t xml:space="preserve">   Promaseal PL </t>
  </si>
  <si>
    <t xml:space="preserve">   Promatect H</t>
  </si>
  <si>
    <t xml:space="preserve">   Knauf Fireboard</t>
  </si>
  <si>
    <t xml:space="preserve">   Feststellvorrichtung (KEB, Linnig) Ü-gekennzeichnet</t>
  </si>
  <si>
    <t xml:space="preserve">   Einbauanleitung (bei Fremdmontage notwendig) beigelegt</t>
  </si>
  <si>
    <t>Werksabnahme Datum:</t>
  </si>
  <si>
    <t>Unterschrift:</t>
  </si>
  <si>
    <t>Seite 1 von 1</t>
  </si>
  <si>
    <t>LEISTUNGSERKLÄRUNG (Declaration of performance)</t>
  </si>
  <si>
    <r>
      <rPr>
        <sz val="13"/>
        <color indexed="8"/>
        <rFont val="Arial"/>
        <family val="2"/>
      </rPr>
      <t>1</t>
    </r>
    <r>
      <rPr>
        <sz val="9"/>
        <color indexed="8"/>
        <rFont val="Arial"/>
        <family val="2"/>
      </rPr>
      <t xml:space="preserve">. Eindeutiger Kenncode des Produkttyps:
</t>
    </r>
    <r>
      <rPr>
        <i/>
        <sz val="9"/>
        <color indexed="8"/>
        <rFont val="Arial"/>
        <family val="2"/>
      </rPr>
      <t>Unique identification code of the product type:</t>
    </r>
  </si>
  <si>
    <r>
      <rPr>
        <sz val="13"/>
        <color indexed="8"/>
        <rFont val="Arial"/>
        <family val="2"/>
      </rPr>
      <t>2.</t>
    </r>
    <r>
      <rPr>
        <sz val="9"/>
        <color indexed="8"/>
        <rFont val="Arial"/>
        <family val="2"/>
      </rPr>
      <t xml:space="preserve"> Typen-, Chargen- oder Seriennummer oder ein anderes Kennzeichen zur Identifikation des Bauprodukts gemäß Artikel 11 Absatz 4:
</t>
    </r>
    <r>
      <rPr>
        <i/>
        <sz val="9"/>
        <color indexed="8"/>
        <rFont val="Arial"/>
        <family val="2"/>
      </rPr>
      <t>Type, batch or serial number or any other element allowing identification of the construction product as required pursuant to article 11(4):</t>
    </r>
  </si>
  <si>
    <r>
      <rPr>
        <sz val="13"/>
        <color indexed="8"/>
        <rFont val="Arial"/>
        <family val="2"/>
      </rPr>
      <t>3.</t>
    </r>
    <r>
      <rPr>
        <sz val="9"/>
        <color indexed="8"/>
        <rFont val="Arial"/>
        <family val="2"/>
      </rPr>
      <t xml:space="preserve"> Vom Hersteller vorgesehener Verwendungszweck oder vorgesehene Verwendungszwecke des Bauprodukts gemäß der anwendbaren harmonisierten technischen Spezifikation:
</t>
    </r>
    <r>
      <rPr>
        <i/>
        <sz val="9"/>
        <color indexed="8"/>
        <rFont val="Arial"/>
        <family val="2"/>
      </rPr>
      <t>Intendes use or uses of the construction product, in accordance with the applicable harmonised technical specification, as forseen by the manufacturer</t>
    </r>
  </si>
  <si>
    <r>
      <rPr>
        <sz val="13"/>
        <color indexed="8"/>
        <rFont val="Arial"/>
        <family val="2"/>
      </rPr>
      <t>4.</t>
    </r>
    <r>
      <rPr>
        <sz val="9"/>
        <color indexed="8"/>
        <rFont val="Arial"/>
        <family val="2"/>
      </rPr>
      <t xml:space="preserve"> Name, eingetragener Handelsname oder eingetragene Marke und Kontaktanschrift des Herstellers gemäß Artikel 11 Absatz 5:
</t>
    </r>
    <r>
      <rPr>
        <i/>
        <sz val="9"/>
        <color indexed="8"/>
        <rFont val="Arial"/>
        <family val="2"/>
      </rPr>
      <t>Name, registered trade name or registered trade mark and contact address of the manufacturer as required pursuant to article 11(5):</t>
    </r>
  </si>
  <si>
    <t>Stöbich Brandschutz GmbH, Pracherstieg 6, D-38644 Goslar</t>
  </si>
  <si>
    <r>
      <rPr>
        <sz val="13"/>
        <color indexed="8"/>
        <rFont val="Arial"/>
        <family val="2"/>
      </rPr>
      <t xml:space="preserve">5. </t>
    </r>
    <r>
      <rPr>
        <sz val="9"/>
        <color indexed="8"/>
        <rFont val="Arial"/>
        <family val="2"/>
      </rPr>
      <t xml:space="preserve">Gegebenenfalls Name und Kontaktanschrift des Bevollmächtigten, der mit den Aufgaben gemäß Artikel 12 Absatz 2 beauftragt ist:
</t>
    </r>
    <r>
      <rPr>
        <i/>
        <sz val="9"/>
        <color indexed="8"/>
        <rFont val="Arial"/>
        <family val="2"/>
      </rPr>
      <t>Where applicable, name and contact adress of the authorised representative whose mandate covers the tasks specified in article (12(2):</t>
    </r>
  </si>
  <si>
    <r>
      <rPr>
        <sz val="13"/>
        <color indexed="8"/>
        <rFont val="Arial"/>
        <family val="2"/>
      </rPr>
      <t xml:space="preserve">6. </t>
    </r>
    <r>
      <rPr>
        <sz val="9"/>
        <color indexed="8"/>
        <rFont val="Arial"/>
        <family val="2"/>
      </rPr>
      <t xml:space="preserve">System oder Systeme zur Bewertung und Überprüfung der Leistungsbeständigkeit des Bauprodukts gemäß Anhang V:
</t>
    </r>
    <r>
      <rPr>
        <i/>
        <sz val="9"/>
        <color indexed="8"/>
        <rFont val="Arial"/>
        <family val="2"/>
      </rPr>
      <t>System or systems of assessment and verification of constancy of performance of the construction product as set out in Annex V:</t>
    </r>
  </si>
  <si>
    <t>System 1</t>
  </si>
  <si>
    <r>
      <rPr>
        <sz val="13"/>
        <color indexed="8"/>
        <rFont val="Arial"/>
        <family val="2"/>
      </rPr>
      <t xml:space="preserve">7. </t>
    </r>
    <r>
      <rPr>
        <sz val="9"/>
        <color indexed="8"/>
        <rFont val="Arial"/>
        <family val="2"/>
      </rPr>
      <t xml:space="preserve">Im Falle der Leistungserklärung, die ein Bauprodukt betrifft, das von einer harmonisierten Norm erfasst wird: (gegebenenfalls Name und Kennnummer der notifizierten Stelle) hat
</t>
    </r>
    <r>
      <rPr>
        <i/>
        <sz val="9"/>
        <color indexed="8"/>
        <rFont val="Arial"/>
        <family val="2"/>
      </rPr>
      <t>In the event of the declaration of performance concerning a product which is covered by a harmonized standard, have the:</t>
    </r>
  </si>
  <si>
    <r>
      <t xml:space="preserve">nach dem System 
</t>
    </r>
    <r>
      <rPr>
        <i/>
        <sz val="9"/>
        <color indexed="8"/>
        <rFont val="Arial"/>
        <family val="2"/>
      </rPr>
      <t>According to the system</t>
    </r>
  </si>
  <si>
    <t xml:space="preserve">vorgenommen </t>
  </si>
  <si>
    <r>
      <t xml:space="preserve">(Beschreibung der Aufgaben Dritter nach Anhang V)
</t>
    </r>
    <r>
      <rPr>
        <i/>
        <sz val="9"/>
        <color indexed="8"/>
        <rFont val="Arial"/>
        <family val="2"/>
      </rPr>
      <t>(see point 6)</t>
    </r>
  </si>
  <si>
    <r>
      <t xml:space="preserve">und Folgendes ausgestellt:
</t>
    </r>
    <r>
      <rPr>
        <i/>
        <sz val="9"/>
        <color indexed="8"/>
        <rFont val="Arial"/>
        <family val="2"/>
      </rPr>
      <t>issued:</t>
    </r>
  </si>
  <si>
    <r>
      <t xml:space="preserve">(Leistungsbeständigkeitsbescheinigung, Konformitätsbescheinigung für die werkseigene Produktionskontrolle, Prüf- /Berechnungsberichte — soweit relevant) 
</t>
    </r>
    <r>
      <rPr>
        <i/>
        <sz val="9"/>
        <color indexed="8"/>
        <rFont val="Arial"/>
        <family val="2"/>
      </rPr>
      <t>the initial assessment oft he product, the initial inspection of factory and of factory product control and performs the continuous surveillance, assessment and evaluation of factory production control carried out</t>
    </r>
  </si>
  <si>
    <r>
      <rPr>
        <sz val="13"/>
        <color indexed="8"/>
        <rFont val="Arial"/>
        <family val="2"/>
      </rPr>
      <t xml:space="preserve">8. </t>
    </r>
    <r>
      <rPr>
        <sz val="9"/>
        <color indexed="8"/>
        <rFont val="Arial"/>
        <family val="2"/>
      </rPr>
      <t xml:space="preserve">Im Falle der Leistungserklärung, die ein Bauprodukt betrifft, für das eine Europäische Technische Bewertung ausgestellt worden ist:
</t>
    </r>
    <r>
      <rPr>
        <i/>
        <sz val="9"/>
        <color indexed="8"/>
        <rFont val="Arial"/>
        <family val="2"/>
      </rPr>
      <t>In case of the declaration of performance concerning a product which a European Technical Assessment has been issued:</t>
    </r>
  </si>
  <si>
    <r>
      <t xml:space="preserve">(gegebenenfalls Name und Kennnummer der Technischen Bewertungsstelle)
</t>
    </r>
    <r>
      <rPr>
        <i/>
        <sz val="9"/>
        <color indexed="8"/>
        <rFont val="Arial"/>
        <family val="2"/>
      </rPr>
      <t>(name and identification number of the Tecnical Assesment Body, if relevant)</t>
    </r>
  </si>
  <si>
    <r>
      <t xml:space="preserve">Folgendes ausgestellt:
</t>
    </r>
    <r>
      <rPr>
        <i/>
        <sz val="9"/>
        <color indexed="8"/>
        <rFont val="Arial"/>
        <family val="2"/>
      </rPr>
      <t>issued:</t>
    </r>
  </si>
  <si>
    <r>
      <t xml:space="preserve">(Referenznummer des Europäischen Bewertungsdokuments) 
</t>
    </r>
    <r>
      <rPr>
        <i/>
        <sz val="9"/>
        <color indexed="8"/>
        <rFont val="Arial"/>
        <family val="2"/>
      </rPr>
      <t>(reference number of the European Tecnical Assesment)</t>
    </r>
  </si>
  <si>
    <r>
      <t xml:space="preserve">auf der Grundlage von
</t>
    </r>
    <r>
      <rPr>
        <i/>
        <sz val="9"/>
        <color indexed="8"/>
        <rFont val="Arial"/>
        <family val="2"/>
      </rPr>
      <t>on the basis of</t>
    </r>
  </si>
  <si>
    <r>
      <t xml:space="preserve">(Referenznummer der Europäischen Technischen Bewertung)
</t>
    </r>
    <r>
      <rPr>
        <i/>
        <sz val="9"/>
        <color indexed="8"/>
        <rFont val="Arial"/>
        <family val="2"/>
      </rPr>
      <t>(reference number of the European Tecnical Assesment Dokument)</t>
    </r>
  </si>
  <si>
    <t>hat/performed</t>
  </si>
  <si>
    <r>
      <t xml:space="preserve">nach dem System
</t>
    </r>
    <r>
      <rPr>
        <i/>
        <sz val="9"/>
        <color indexed="8"/>
        <rFont val="Arial"/>
        <family val="2"/>
      </rPr>
      <t>under system</t>
    </r>
  </si>
  <si>
    <r>
      <rPr>
        <b/>
        <sz val="9"/>
        <rFont val="Arial"/>
        <family val="2"/>
      </rPr>
      <t xml:space="preserve">1 auf Grundlage b)i), b)ii) und b)iii)  </t>
    </r>
    <r>
      <rPr>
        <b/>
        <i/>
        <sz val="9"/>
        <rFont val="Arial"/>
        <family val="2"/>
      </rPr>
      <t xml:space="preserve">
1 based on b)i), b)ii) und b)iii)  </t>
    </r>
  </si>
  <si>
    <r>
      <t xml:space="preserve">vorgenommen
</t>
    </r>
    <r>
      <rPr>
        <i/>
        <sz val="9"/>
        <color indexed="8"/>
        <rFont val="Arial"/>
        <family val="2"/>
      </rPr>
      <t>carried out</t>
    </r>
  </si>
  <si>
    <r>
      <t xml:space="preserve">(Beschreibung der Aufgaben Dritter nach Anhang V) und Folgendes ausgestellt
</t>
    </r>
    <r>
      <rPr>
        <i/>
        <sz val="9"/>
        <color indexed="8"/>
        <rFont val="Arial"/>
        <family val="2"/>
      </rPr>
      <t>(description of the third party tasks as set out in Annex V)</t>
    </r>
  </si>
  <si>
    <r>
      <t xml:space="preserve">(Leistungsbeständigkeitsbescheinigung, Konformitätsbescheinigung für die werkseigene Produktionskontrolle, Prüf- /Berechnungsberichte — soweit relevant) 
</t>
    </r>
    <r>
      <rPr>
        <i/>
        <sz val="9"/>
        <color indexed="8"/>
        <rFont val="Arial"/>
        <family val="2"/>
      </rPr>
      <t>(cerificate of constancy of performance, certificate of conformity of the factory production control, test/calculation reports - as relevant)</t>
    </r>
  </si>
  <si>
    <r>
      <t>Seite /</t>
    </r>
    <r>
      <rPr>
        <i/>
        <sz val="9"/>
        <color indexed="8"/>
        <rFont val="Arial"/>
        <family val="2"/>
      </rPr>
      <t xml:space="preserve"> Page        </t>
    </r>
    <r>
      <rPr>
        <sz val="9"/>
        <color indexed="8"/>
        <rFont val="Arial"/>
        <family val="2"/>
      </rPr>
      <t>1/2</t>
    </r>
  </si>
  <si>
    <r>
      <rPr>
        <sz val="13"/>
        <color indexed="8"/>
        <rFont val="Arial"/>
        <family val="2"/>
      </rPr>
      <t>9</t>
    </r>
    <r>
      <rPr>
        <sz val="10"/>
        <color indexed="8"/>
        <rFont val="Arial"/>
        <family val="2"/>
      </rPr>
      <t xml:space="preserve">. Erklärte Leistung 
</t>
    </r>
    <r>
      <rPr>
        <i/>
        <sz val="10"/>
        <color indexed="8"/>
        <rFont val="Arial"/>
        <family val="2"/>
      </rPr>
      <t>(declaration of performance)</t>
    </r>
  </si>
  <si>
    <r>
      <t xml:space="preserve">Anmerkungen zur Tabelle: 
</t>
    </r>
    <r>
      <rPr>
        <i/>
        <sz val="9"/>
        <color indexed="8"/>
        <rFont val="Arial"/>
        <family val="2"/>
      </rPr>
      <t>(Notes to the table)</t>
    </r>
  </si>
  <si>
    <r>
      <t xml:space="preserve">2. Spalte 2 enthält für jedes in Spalte 1 aufgeführte Wesentliche Merkmal die erklärte Leistung gemäß den Anforderungen von Artikel 6, ausgedrückt in Stufen oder Klassen oder in einer Beschreibung in Bezug auf die jeweiligen Wesentlichen Merkmale. Wird keine Leistung erklärt, werden die Buchstaben „NPD“ (No Performance Determined/ keine Leistung festgelegt) angegeben. 
</t>
    </r>
    <r>
      <rPr>
        <i/>
        <sz val="9"/>
        <color indexed="8"/>
        <rFont val="Arial"/>
        <family val="2"/>
      </rPr>
      <t>(for each essential characteristics listed in column 1 an in compliance with the requirements of article 6, column 2 shall contain the declarated performance, expressed by level or class, or in a description, related to the corresponding essential characteristics. the letters "NPD" (No Performance Determined) shall be indicated where no performance is declared.</t>
    </r>
  </si>
  <si>
    <r>
      <t xml:space="preserve">3. Für jedes in Spalte 1 aufgeführte wesentliche Merkmal enthält Spalte 3: </t>
    </r>
    <r>
      <rPr>
        <i/>
        <sz val="9"/>
        <color indexed="8"/>
        <rFont val="Arial"/>
        <family val="2"/>
      </rPr>
      <t xml:space="preserve">
for each essential characteristic listed in column 1 column 3 shall contain:</t>
    </r>
  </si>
  <si>
    <r>
      <t xml:space="preserve">a) die Fundstelle und das Datum der entsprechenden harmonisierten Norm und gegebenenfalls die Referenznummer der verwendeten Spezifischen oder Angemessenen Technischen Dokumentation 
</t>
    </r>
    <r>
      <rPr>
        <i/>
        <sz val="9"/>
        <color indexed="8"/>
        <rFont val="Arial"/>
        <family val="2"/>
      </rPr>
      <t>data reference of the corresponding harmonised standard and, where relevant, the reference number of the Specific or Appropriate Technical Documentation used;</t>
    </r>
  </si>
  <si>
    <r>
      <t xml:space="preserve">oder / </t>
    </r>
    <r>
      <rPr>
        <i/>
        <sz val="9"/>
        <color indexed="8"/>
        <rFont val="Arial"/>
        <family val="2"/>
      </rPr>
      <t>or</t>
    </r>
  </si>
  <si>
    <r>
      <t xml:space="preserve">b) die Fundstelle und das Datum des entsprechenden Europäischen Bewertungsdokuments, soweit verfügbar, und die Referenznummer der verwendeten Europäischen Technischen Bewertung
</t>
    </r>
    <r>
      <rPr>
        <i/>
        <sz val="9"/>
        <color indexed="8"/>
        <rFont val="Arial"/>
        <family val="2"/>
      </rPr>
      <t>dated reference of the corresponding European Assesmant Document where aviable and reference number of the European Tecnical Assesment used.</t>
    </r>
  </si>
  <si>
    <r>
      <t xml:space="preserve">Wesentliche Merkmale
</t>
    </r>
    <r>
      <rPr>
        <i/>
        <sz val="10"/>
        <color indexed="8"/>
        <rFont val="Arial"/>
        <family val="2"/>
      </rPr>
      <t>essential characteristics</t>
    </r>
  </si>
  <si>
    <r>
      <t xml:space="preserve">Leistung
</t>
    </r>
    <r>
      <rPr>
        <i/>
        <sz val="10"/>
        <color indexed="8"/>
        <rFont val="Arial"/>
        <family val="2"/>
      </rPr>
      <t>Performance</t>
    </r>
  </si>
  <si>
    <r>
      <t xml:space="preserve">Harmonisierte technische Spezifikation
</t>
    </r>
    <r>
      <rPr>
        <i/>
        <sz val="10"/>
        <color indexed="8"/>
        <rFont val="Arial"/>
        <family val="2"/>
      </rPr>
      <t>Harmonised tecnical specification</t>
    </r>
  </si>
  <si>
    <r>
      <t xml:space="preserve">(siehe Anmerkung 1)
</t>
    </r>
    <r>
      <rPr>
        <i/>
        <sz val="10"/>
        <color indexed="8"/>
        <rFont val="Arial"/>
        <family val="2"/>
      </rPr>
      <t>(see Note 1)</t>
    </r>
  </si>
  <si>
    <r>
      <t xml:space="preserve">(siehe Anmerkung 2)
</t>
    </r>
    <r>
      <rPr>
        <i/>
        <sz val="10"/>
        <color indexed="8"/>
        <rFont val="Arial"/>
        <family val="2"/>
      </rPr>
      <t>(see Note 2)</t>
    </r>
  </si>
  <si>
    <r>
      <t xml:space="preserve">(siehe Anmerkung 3)
</t>
    </r>
    <r>
      <rPr>
        <i/>
        <sz val="10"/>
        <color indexed="8"/>
        <rFont val="Arial"/>
        <family val="2"/>
      </rPr>
      <t>(see Note 3)</t>
    </r>
  </si>
  <si>
    <t>Raumabschluss</t>
  </si>
  <si>
    <t>Wärmedämmung</t>
  </si>
  <si>
    <t>Selbstschließung</t>
  </si>
  <si>
    <r>
      <t xml:space="preserve">Wenn gemäß den Artikeln 37 oder 38 die Spezifische Technische Dokumentation verwendet wurde, die Anforderungen, die das Produkt erfüllt: 
</t>
    </r>
    <r>
      <rPr>
        <i/>
        <sz val="9"/>
        <color indexed="8"/>
        <rFont val="Arial"/>
        <family val="2"/>
      </rPr>
      <t>Where pursuant to Article 37 or 38 the Specific Tecnical Documentation has been used, the requirements with which the product complies:</t>
    </r>
  </si>
  <si>
    <r>
      <rPr>
        <sz val="13"/>
        <color indexed="8"/>
        <rFont val="Arial"/>
        <family val="2"/>
      </rPr>
      <t>10.</t>
    </r>
    <r>
      <rPr>
        <sz val="9"/>
        <color indexed="8"/>
        <rFont val="Arial"/>
        <family val="2"/>
      </rPr>
      <t xml:space="preserve"> Die Leistung des Produkts gemäß den Nummern 1 und 2 entspricht der erklärten Leistung nach Nummer 9. 
</t>
    </r>
    <r>
      <rPr>
        <i/>
        <sz val="9"/>
        <color indexed="8"/>
        <rFont val="Arial"/>
        <family val="2"/>
      </rPr>
      <t>The performance of the product identified in points 1 and 2 is in conformity with the declared performance in point 9.</t>
    </r>
  </si>
  <si>
    <r>
      <t xml:space="preserve">Verantwortlich für die Erstellung dieser Leistungserklärung ist allein der Hersteller gemäß Nummer 4. 
</t>
    </r>
    <r>
      <rPr>
        <i/>
        <sz val="9"/>
        <color indexed="8"/>
        <rFont val="Arial"/>
        <family val="2"/>
      </rPr>
      <t>This declaration of performance is issued under the sole responsibility of the manufacturer identified in point 4.</t>
    </r>
  </si>
  <si>
    <r>
      <t xml:space="preserve">Unterzeichnet für den Hersteller und im Namen des Herstellers von:
</t>
    </r>
    <r>
      <rPr>
        <i/>
        <sz val="9"/>
        <color indexed="8"/>
        <rFont val="Arial"/>
        <family val="2"/>
      </rPr>
      <t>Signed for and on behalf of the manufacturer by:</t>
    </r>
  </si>
  <si>
    <r>
      <t>(Name und Funktion) /</t>
    </r>
    <r>
      <rPr>
        <i/>
        <sz val="10"/>
        <color indexed="8"/>
        <rFont val="Arial"/>
        <family val="2"/>
      </rPr>
      <t xml:space="preserve"> (name and function)</t>
    </r>
  </si>
  <si>
    <r>
      <t xml:space="preserve">(Ort und Datum der Ausstellung)
</t>
    </r>
    <r>
      <rPr>
        <i/>
        <sz val="10"/>
        <color indexed="8"/>
        <rFont val="Arial"/>
        <family val="2"/>
      </rPr>
      <t>(place and date of issue)</t>
    </r>
  </si>
  <si>
    <r>
      <t xml:space="preserve">(Unterschrift) / </t>
    </r>
    <r>
      <rPr>
        <i/>
        <sz val="10"/>
        <color indexed="8"/>
        <rFont val="Arial"/>
        <family val="2"/>
      </rPr>
      <t>(signature)</t>
    </r>
  </si>
  <si>
    <r>
      <t>Seite /</t>
    </r>
    <r>
      <rPr>
        <i/>
        <sz val="9"/>
        <color indexed="8"/>
        <rFont val="Arial"/>
        <family val="2"/>
      </rPr>
      <t xml:space="preserve"> Page        2</t>
    </r>
    <r>
      <rPr>
        <sz val="9"/>
        <color indexed="8"/>
        <rFont val="Arial"/>
        <family val="2"/>
      </rPr>
      <t>/2</t>
    </r>
  </si>
  <si>
    <t>Liste: Zuschnittsmaße Aufdopplungsabdeckung ergänzt/Tabellenblätter Leistungserklärung und Produktionskontrolle aus ECClos-S kopiert (unbearbeitet, noch nicht verwendbar!)</t>
  </si>
  <si>
    <t>Ausschreibung_GCC_vertikal_Rev.0189beta.xls</t>
  </si>
  <si>
    <t>Rev. 0191b</t>
  </si>
  <si>
    <t>Oberflächenausführung mit Blechverkleidung vollständig (außer Pulverbeschichtung!)</t>
  </si>
  <si>
    <t>Ausschreibung_GCC_vertikal_Rev.0190beta.xls</t>
  </si>
  <si>
    <t>Verkleidungsblech Festfeld einteilig verzinkt</t>
  </si>
  <si>
    <t>0308323</t>
  </si>
  <si>
    <t>Verkleidungsblech Festfeld einteilig V2A</t>
  </si>
  <si>
    <t>0338323</t>
  </si>
  <si>
    <t>Verkleidungsblech Festfeld mehrteilig links verzinkt</t>
  </si>
  <si>
    <t>0308324</t>
  </si>
  <si>
    <t>Verkleidungsblech Festfeld mehrteilig links V2A</t>
  </si>
  <si>
    <t>0338324</t>
  </si>
  <si>
    <t>Verkleidungsblech Festfeld mehrteilig rechts verzinkt</t>
  </si>
  <si>
    <t>0308325</t>
  </si>
  <si>
    <t>Verkleidungsblech Festfeld mehrteilig rechts V2A</t>
  </si>
  <si>
    <t>0338325</t>
  </si>
  <si>
    <t>Oberflächenausführung Festfeld Blechverkleidet vollständig (außer Pulverbeschichtung!)</t>
  </si>
  <si>
    <t>Rev. 0192b</t>
  </si>
  <si>
    <t>Ausschreibung_GCC_vertikal_Rev.0191beta.xls</t>
  </si>
  <si>
    <t>Rev. 0193b</t>
  </si>
  <si>
    <t>Liste: Menge Kantenschutzwinkel für Festfeld bei Blechverkleidung korrigiert</t>
  </si>
  <si>
    <t>Ausschreibung_GCC_vertikal_Rev.0192beta.xls</t>
  </si>
  <si>
    <t>GKF 12,5mm (Aufdopplung für durchlaufende Fördertechnik)</t>
  </si>
  <si>
    <t>55</t>
  </si>
  <si>
    <t>56</t>
  </si>
  <si>
    <t>Rev. 0194b</t>
  </si>
  <si>
    <t>Standardaufdopplungsmaß auf 116mm Gesamtmaß umgestellt</t>
  </si>
  <si>
    <t>Werkseigene Produktionskontrolle GCC</t>
  </si>
  <si>
    <t>Förderanlagenabschluß Typ GCC vertikal</t>
  </si>
  <si>
    <t>Es findet eine Sicht- und Maßprüfung jedes FAA Typ GCC statt.</t>
  </si>
  <si>
    <t xml:space="preserve">   Intumeszierende Baustoffe, gekennzeichnet und für GCC zugelassen</t>
  </si>
  <si>
    <t xml:space="preserve">   Kalzium-Silikat-Platten, gekennzeichnet und für GCC zugelassen</t>
  </si>
  <si>
    <t xml:space="preserve">   Gipsbauplatten, gekennzeichnet und für GCC zugelassen</t>
  </si>
  <si>
    <t>elektromotorisch</t>
  </si>
  <si>
    <t>Ausschreibung_GCC_vertikal_Rev.0193beta.xls</t>
  </si>
  <si>
    <t>Rev. 0195b</t>
  </si>
  <si>
    <t>Zuschnitt Festfeld: Spalte Plattennr. Eingefügt</t>
  </si>
  <si>
    <t>Ausschreibung_GCC_vertikal_Rev.0194beta.xls</t>
  </si>
  <si>
    <t>Rev. 0196b</t>
  </si>
  <si>
    <t>Zuschnittsmaße Blechverkleidung Komplettelement korrigiert, Schiebergewichtsberechnung korrigiert</t>
  </si>
  <si>
    <t>Ausschreibung_GCC_vertikal_Rev.0195beta.xls</t>
  </si>
  <si>
    <t>Rev. 0197b</t>
  </si>
  <si>
    <t>Liste/Stückliste: Empekleber (0308292) und Mineralwollstreifen (0205038) übergabe in B7 Stückliste</t>
  </si>
  <si>
    <t>Ausschreibung_GCC_vertikal_Rev.0196beta.xls</t>
  </si>
  <si>
    <t>Liste: Berechnung  Magazinschrauben (Fertigungsmaterial Elemente) auf Menge 0 gesetzt</t>
  </si>
  <si>
    <t>Rev. 0198b</t>
  </si>
  <si>
    <t>Ausschreibung_GCC_vertikal_Rev.0197beta.xls</t>
  </si>
  <si>
    <t>Rev. 0199b</t>
  </si>
  <si>
    <t>Liste: Gewichtsberechnung Schieberblatt teilweise deaktiviert, Reparatur folgt</t>
  </si>
  <si>
    <t>Ausschreibung_GCC_vertikal_Rev.0198beta.xls</t>
  </si>
  <si>
    <t>Liste: Formel Aufdopplungslänge korrigiert</t>
  </si>
  <si>
    <t>Rev. 0200b</t>
  </si>
  <si>
    <t>Ausschreibung_GCC_vertikal_Rev.0199beta.xls</t>
  </si>
  <si>
    <t>Liste: Festfelddeckplattenteilungsberechnung korrigiert</t>
  </si>
  <si>
    <t>Rev. 0201b</t>
  </si>
  <si>
    <t>Ausschreibung_GCC_vertikal_Rev.0200beta.xls</t>
  </si>
  <si>
    <t>Rev. 0202b</t>
  </si>
  <si>
    <t>Zuschnitt Festfeld: Bedingte Formatierung eingebaut (rote Schrift bei Übermaß, weiße Schrift bei Stückzahl 0)</t>
  </si>
  <si>
    <t>Ausschreibung_GCC_vertikal_Rev.0201beta.xls</t>
  </si>
  <si>
    <t>Liste/Stückliste: mitliefern einer Farbauftragswalze bei Oberfläche mit Dispersionsfarbe</t>
  </si>
  <si>
    <t>Auftragswalze für Dispersionsfarbe</t>
  </si>
  <si>
    <t>0902010</t>
  </si>
  <si>
    <t>kurzflor</t>
  </si>
  <si>
    <t>Rev. 0203b</t>
  </si>
  <si>
    <t>Ausschreibung_GCC_vertikal_Rev.0202beta.xls</t>
  </si>
  <si>
    <t>EI₁ 90</t>
  </si>
  <si>
    <t>Schließkraft:</t>
  </si>
  <si>
    <t>GCC
CE
ETA-16/0851</t>
  </si>
  <si>
    <t>Rev. 0204b</t>
  </si>
  <si>
    <t>Schieberelemente/Checkliste: Angabe Schließkraft eingebaut</t>
  </si>
  <si>
    <t>Ausschreibung_GCC_vertikal_Rev.0203beta.xls</t>
  </si>
  <si>
    <t>FAA ?</t>
  </si>
  <si>
    <r>
      <rPr>
        <b/>
        <sz val="9"/>
        <rFont val="Arial"/>
        <family val="2"/>
      </rPr>
      <t>Feuerschutzabschluss im Zuge von bahngebundenen Förderanlagen zum Verschließen von notwendigen Öffnungen in Innenwänden</t>
    </r>
    <r>
      <rPr>
        <b/>
        <i/>
        <sz val="9"/>
        <rFont val="Arial"/>
        <family val="2"/>
      </rPr>
      <t xml:space="preserve">
Kit for closure systems "GCC" for conveyor systems</t>
    </r>
  </si>
  <si>
    <t>EC Certificate of Conformity</t>
  </si>
  <si>
    <t>ETA-16/0851</t>
  </si>
  <si>
    <t>E 90</t>
  </si>
  <si>
    <r>
      <t>I</t>
    </r>
    <r>
      <rPr>
        <sz val="10"/>
        <rFont val="Calibri"/>
        <family val="2"/>
      </rPr>
      <t>₁</t>
    </r>
    <r>
      <rPr>
        <sz val="10"/>
        <rFont val="Arial"/>
        <family val="2"/>
      </rPr>
      <t xml:space="preserve"> 90</t>
    </r>
  </si>
  <si>
    <t xml:space="preserve">   Abmessungen (Zulassungsbereich bis 3600 x 4200 max 10m²)          </t>
  </si>
  <si>
    <t>gemäß Zulassung ETA-16/0851</t>
  </si>
  <si>
    <t xml:space="preserve"> in Anlehnung an die Zulassung ETA-16/0851 bzw. gemäß Zustimmung im Einzelfall</t>
  </si>
  <si>
    <t>B001.1/C002.2</t>
  </si>
  <si>
    <t xml:space="preserve">   Schieberrelementblechinnenlage aus Stahlblech verzinkt 1mm oder VA</t>
  </si>
  <si>
    <t>B001.2</t>
  </si>
  <si>
    <t xml:space="preserve">    Schieberführung mit Befestigungsspangen aus Stahlblech verzinkt oder VA gemäß Zeichnung</t>
  </si>
  <si>
    <t xml:space="preserve">   Verkrallung oben gemäß Zeichnung</t>
  </si>
  <si>
    <t xml:space="preserve">   Verkrallungsprofile oben gemäß Zeichnung</t>
  </si>
  <si>
    <t xml:space="preserve">   Schieberelementverschraubung gemäß Zeichnung</t>
  </si>
  <si>
    <t>C001.1</t>
  </si>
  <si>
    <t xml:space="preserve">   Schieberaufbau gemäß Zeichnung</t>
  </si>
  <si>
    <t>C001.1/3</t>
  </si>
  <si>
    <t xml:space="preserve">   Gurtanbindung gemäß Zeichnung</t>
  </si>
  <si>
    <t>D001.2/D002.2</t>
  </si>
  <si>
    <t xml:space="preserve">   Fördersystemabschottung gemäß Zeichnung</t>
  </si>
  <si>
    <t xml:space="preserve">   Festfeldaufbau gemäß Zeichnung</t>
  </si>
  <si>
    <t xml:space="preserve">   Mineralfaserplatten, gekennzeichnet und für GCC zugelassen (ProRox SL 950)</t>
  </si>
  <si>
    <t xml:space="preserve">   Gips-Feuerschutzplatten Typ F</t>
  </si>
  <si>
    <t xml:space="preserve">   Mineralwolle ProRox SL 950</t>
  </si>
  <si>
    <t xml:space="preserve">   Produkt CE- gekennzeichnet</t>
  </si>
  <si>
    <t>Zulassung</t>
  </si>
  <si>
    <t>Fördertechnik</t>
  </si>
  <si>
    <t>Ergebnis:</t>
  </si>
  <si>
    <t>Rev. 0205b</t>
  </si>
  <si>
    <t>Werkseigene Produktionskontrolle und Leistungserklärung fertiggestellt, Berechnung Zulassung eingebaut</t>
  </si>
  <si>
    <t>Ausschreibung_GCC_vertikal_Rev.0204beta.xls</t>
  </si>
  <si>
    <t>Werkseigene Produktionskontrolle: DokumentNr. Und Erstellvermerk korrigiert</t>
  </si>
  <si>
    <t>Rev. 0206b</t>
  </si>
  <si>
    <t>Ausschreibung_GCC_vertikal_Rev.0205beta.xls</t>
  </si>
  <si>
    <t>Abstand</t>
  </si>
  <si>
    <t>Randabstand</t>
  </si>
  <si>
    <t>F-0246</t>
  </si>
  <si>
    <t>Max. Höhe bei gewählter Breite</t>
  </si>
  <si>
    <t>Rev. 0207b</t>
  </si>
  <si>
    <t>Umstellung Verkrallungsberechnung Teil 1 (Achtung unvollständig!) Dateneingabe: Eingabegrenzen lichte Rohbauöffnungshöhe definiert und Eingabemeldung eingebaut, Werkseigene Produktionskontrolle DokumentNr. Korrigiert</t>
  </si>
  <si>
    <t>Ausschreibung_GCC_vertikal_Rev.0206beta.xls</t>
  </si>
  <si>
    <t>Verkrallungen Außen</t>
  </si>
  <si>
    <t>Mitte</t>
  </si>
  <si>
    <t>Umstellung Verkrallungsberechnung abgeschlossen</t>
  </si>
  <si>
    <t>Rev. 0208b</t>
  </si>
  <si>
    <t>Ausschreibung_GCC_vertikal_Rev.0207beta.xls</t>
  </si>
  <si>
    <t>A</t>
  </si>
  <si>
    <t>Gliederung Stückliste</t>
  </si>
  <si>
    <t>Plattennummer</t>
  </si>
  <si>
    <t>Rev. 0209b</t>
  </si>
  <si>
    <t>Umstellung Hinweistext, Gliederung und Plattennummer auf Stüli Teil 1</t>
  </si>
  <si>
    <t>Ausschreibung_GCC_vertikal_Rev.0208beta.xls</t>
  </si>
  <si>
    <t>Rev. 0210b</t>
  </si>
  <si>
    <t>Verknüpfung Teilenummer mit Leistungserklärung</t>
  </si>
  <si>
    <t>Ausschreibung_GCC_vertikal_Rev.0209beta.xls</t>
  </si>
  <si>
    <t>Rev. 0211b</t>
  </si>
  <si>
    <t>Fertigstellung Daten Zuschnitt Brandschutzbauplatten auf Stückliste</t>
  </si>
  <si>
    <t>Ausschreibung_GCC_vertikal_Rev.0210beta.xls</t>
  </si>
  <si>
    <t>Rev. 0212b</t>
  </si>
  <si>
    <t>Plattenberechnung Komlpettelement Zellbezüge korrigiert</t>
  </si>
  <si>
    <t>Ausschreibung_GCC_vertikal_Rev.0211beta.xls</t>
  </si>
  <si>
    <t>Bauteil/Baugruppe</t>
  </si>
  <si>
    <t>AV</t>
  </si>
  <si>
    <t>Promatectstreifen Dichtrahmen seitlich</t>
  </si>
  <si>
    <t>Blähstreifen Dichtrahmen seitlich</t>
  </si>
  <si>
    <t xml:space="preserve">Aufkleben </t>
  </si>
  <si>
    <t xml:space="preserve">Verklammern </t>
  </si>
  <si>
    <t>Promatectstreifen Dichtrahmen oben</t>
  </si>
  <si>
    <t>Blähstreifen Dichtrahmen oben</t>
  </si>
  <si>
    <t xml:space="preserve">Programmierung Stanze Blechplatine </t>
  </si>
  <si>
    <t xml:space="preserve">Stanzen Blechplatine </t>
  </si>
  <si>
    <t xml:space="preserve">Kanten </t>
  </si>
  <si>
    <t>Schieberelementblechinnenlage</t>
  </si>
  <si>
    <t>Verkleidungsblech Komplettelement vorn</t>
  </si>
  <si>
    <t>Verkleidungsblech Komplettelement hinten</t>
  </si>
  <si>
    <t>Abdeckblech Aufdopplung einteilig</t>
  </si>
  <si>
    <t>Abdeckblech Aufdopplung mehrteilig</t>
  </si>
  <si>
    <t>Abdeckblech Aufdopplung Endstücke links/rechts</t>
  </si>
  <si>
    <t>Aufdopplung 6mm Promatect</t>
  </si>
  <si>
    <t>Aufdopplung 12,5mm GKF</t>
  </si>
  <si>
    <t>Aufdopplung 18mm GKF</t>
  </si>
  <si>
    <t>Blähstreifen Unterkante Schieberblatt r0</t>
  </si>
  <si>
    <t>Blähstreifen Unterkante Schieberblatt Aufdopplung</t>
  </si>
  <si>
    <t>Anfasen Aussenlagen</t>
  </si>
  <si>
    <t>Streichen Dispersionsfarbe</t>
  </si>
  <si>
    <t>Aufdopplungsstreifen</t>
  </si>
  <si>
    <t>Verschrauben Element</t>
  </si>
  <si>
    <t>Aufkleben Verkleidungsblech vorn</t>
  </si>
  <si>
    <t>Aufkleben Verkleidungsblech hinten</t>
  </si>
  <si>
    <t>Verschrauben Aufdopplung</t>
  </si>
  <si>
    <t>Montieren Abdeckblech Aufdopplung einteilig</t>
  </si>
  <si>
    <t>Montieren Abdeckblech Aufdopplung mehrteilig</t>
  </si>
  <si>
    <t>Montieren Abdeckblech Aufdopplung Endstücke</t>
  </si>
  <si>
    <t>Verkleidungsblech oben vorn</t>
  </si>
  <si>
    <t>Verkleidungsblech oben hinten</t>
  </si>
  <si>
    <t>Innenlage Element oben vorn</t>
  </si>
  <si>
    <t>Aussenlage Element oben vorn</t>
  </si>
  <si>
    <t>Innenlage Element oben hinten</t>
  </si>
  <si>
    <t>Aussenlage Element oben hinten</t>
  </si>
  <si>
    <t>Element oben Aussenlagen</t>
  </si>
  <si>
    <t>Markieren Montagebohrungen</t>
  </si>
  <si>
    <t>Element(e) mitte</t>
  </si>
  <si>
    <t>Verkleidungsbleche mitte</t>
  </si>
  <si>
    <t>Innenlagen Elemente mitte</t>
  </si>
  <si>
    <t>Aussenlagen Elemente mitte</t>
  </si>
  <si>
    <t>Elemente mitte Aussenlagen</t>
  </si>
  <si>
    <t>Elemente mitte</t>
  </si>
  <si>
    <t>Verkleidungsblech Element unten vorn</t>
  </si>
  <si>
    <t>Verkleidungsblech Element unten hinten</t>
  </si>
  <si>
    <t>Innenlage Element unten vorn</t>
  </si>
  <si>
    <t>Aussenlage Element unten vorn</t>
  </si>
  <si>
    <t>Innenlage Element unten hinten</t>
  </si>
  <si>
    <t>Aussenlage Element unten hinten</t>
  </si>
  <si>
    <t>Element unten Aussenlagen</t>
  </si>
  <si>
    <t>GCC Fertigung</t>
  </si>
  <si>
    <t>Unmontierte Auftragsbezogene Blechteile</t>
  </si>
  <si>
    <t>Verkleidungsblech Stoßabdeckung vorn</t>
  </si>
  <si>
    <t>Bekleben Doppelseitiges Klebeband</t>
  </si>
  <si>
    <t>Verkleidungsblech Stoßabdeckung hinten</t>
  </si>
  <si>
    <t>Lager/Montagematerial</t>
  </si>
  <si>
    <t>Promatectstreifen für Auflaufkonsolen</t>
  </si>
  <si>
    <t>Konsolen und Promatectstreifen</t>
  </si>
  <si>
    <t>Festfeldhalter</t>
  </si>
  <si>
    <t>Verkleidungsbleche Festfeld</t>
  </si>
  <si>
    <t>Festfelddeckplatten</t>
  </si>
  <si>
    <t>Festfeldfüllstreifen</t>
  </si>
  <si>
    <t>Zuschnitt Kantenschutzwinkel</t>
  </si>
  <si>
    <t>Aufkleben Verkleidungsbleche</t>
  </si>
  <si>
    <t>Konsolen und Festfeldmaterial</t>
  </si>
  <si>
    <t>Fördertechnikabschottung</t>
  </si>
  <si>
    <t>Mineralwollstreifen und Zuschnitte</t>
  </si>
  <si>
    <t>Zusammenstellen und Verpacken Sonstiges Material</t>
  </si>
  <si>
    <t>Dispersionsfarbe</t>
  </si>
  <si>
    <t>Verkrallung Schieber</t>
  </si>
  <si>
    <t>Festfeldbefestigung</t>
  </si>
  <si>
    <t>Arbeitsplan GCC vertikal</t>
  </si>
  <si>
    <t>Montieren Andockprofil</t>
  </si>
  <si>
    <t>Montieren Gurtanbindung</t>
  </si>
  <si>
    <t>FAA GCC vertikal</t>
  </si>
  <si>
    <t>Schieberführungsprofile</t>
  </si>
  <si>
    <t>Befestigungsspangen Schieberführung</t>
  </si>
  <si>
    <t>Verkrallungsprofil(e)</t>
  </si>
  <si>
    <t>Befestigungshalter Initiator und Schaltfahnen</t>
  </si>
  <si>
    <t>Rev. 0213b</t>
  </si>
  <si>
    <t>Arbeitsplan erstellt</t>
  </si>
  <si>
    <t>Ausschreibung_GCC_vertikal_Rev.0212beta.xls</t>
  </si>
  <si>
    <t>Zentrallager</t>
  </si>
  <si>
    <t>GCC-FERTIGUNG</t>
  </si>
  <si>
    <t>Rev. 0214b</t>
  </si>
  <si>
    <t>Tabellenblatt Kostensätze aktualisiert</t>
  </si>
  <si>
    <t>Ausschreibung_GCC_vertikal_Rev.0213beta.xls</t>
  </si>
  <si>
    <t>Rev. 0215b</t>
  </si>
  <si>
    <t>Checkliste: Art.Nr. verst. Palette jetzt 7104099</t>
  </si>
  <si>
    <t>Ausschreibung_GCC_vertikal_Rev.0214beta.xls</t>
  </si>
  <si>
    <t>Stückliste: Bereinigung Daten Montagematerial</t>
  </si>
  <si>
    <t>Rev. 0216b</t>
  </si>
  <si>
    <t>Ausschreibung_GCC_vertikal_Rev.0215beta.xls</t>
  </si>
  <si>
    <t>Rev. 0217b</t>
  </si>
  <si>
    <t>Artikelnummern Zuschnitt Intumestzierendes Material geändert/ Datenherkunft bereinigt</t>
  </si>
  <si>
    <t>Ausschreibung_GCC_vertikal_Rev.0216beta.xls</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</si>
  <si>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</si>
  <si>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</si>
  <si>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</si>
  <si>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</si>
  <si>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</si>
  <si>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</si>
  <si>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</si>
  <si>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</si>
  <si>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</si>
  <si>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</si>
  <si>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</si>
  <si>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</si>
  <si>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</si>
  <si>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</si>
  <si>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</si>
  <si>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</si>
  <si>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</si>
  <si>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</si>
  <si>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</si>
  <si>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</si>
  <si>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</si>
  <si>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</si>
  <si>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</si>
  <si>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</si>
  <si>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</si>
  <si>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</si>
  <si>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</si>
  <si>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</si>
  <si>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</si>
  <si>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Rev. 0218b</t>
  </si>
  <si>
    <t>Zuschnitt Festfeld: Plattennummern fortlaufend (inkl. Zuschnitt Schieberblatt)</t>
  </si>
  <si>
    <t>Ausschreibung_GCC_vertikal_Rev.0217beta.xls</t>
  </si>
  <si>
    <t>Teilliste B</t>
  </si>
  <si>
    <t>Rev. 0219b</t>
  </si>
  <si>
    <t>Zuschnitt Festfeld: Datenherkunft bereinigt</t>
  </si>
  <si>
    <t>Ausschreibung_GCC_vertikal_Rev.0218beta.xls</t>
  </si>
  <si>
    <t>Rev. 0220b</t>
  </si>
  <si>
    <t>Regeländerung Elementaufteilung:  neue Regel ab Gesamtplattenhöhe Schieberblatt 650mm und Gesamtplattenbreit 2000mm Elementaufteilung</t>
  </si>
  <si>
    <t>Ausschreibung_GCC_vertikal_Rev.0219beta.xls</t>
  </si>
  <si>
    <t>Endschalterkonsole Führungsschiene GCC vertikal verz.</t>
  </si>
  <si>
    <t>Endschalterkonsole Führungsschiene GCC vertikal V2A</t>
  </si>
  <si>
    <t>Schaltfahne Rollenendschalter GCC vertikal verz.</t>
  </si>
  <si>
    <t>Schaltfahne Rollenendschalter GCC vertikal V2A</t>
  </si>
  <si>
    <t>0308336</t>
  </si>
  <si>
    <t>0308335</t>
  </si>
  <si>
    <t>Rev. 0221b</t>
  </si>
  <si>
    <t>Halterung für Rollenendschalter geschlossen und Schaltfahne eingebaut (noch Ansteuerung über Checkliste)</t>
  </si>
  <si>
    <t>Ausschreibung_GCC_vertikal_Rev.0220beta.xls</t>
  </si>
  <si>
    <t>Positionsschalter:</t>
  </si>
  <si>
    <t>mit Rollenendschalter geöffnet (neben Antrieb)</t>
  </si>
  <si>
    <t>mit Initiatoren geöffnet und geschlossen (an Führung)</t>
  </si>
  <si>
    <t>mit Rollenendschaltern geöffnet und geschlossen (an Führung)</t>
  </si>
  <si>
    <t>mit Initiator geöffnet (an Führung)</t>
  </si>
  <si>
    <t>mit Rollenendschalter geöffnet (an Führung)</t>
  </si>
  <si>
    <t>mit Rollenendschaltern geöffnet und geschlossen (offen neben Antrieb, geschlossen an Führung)</t>
  </si>
  <si>
    <t>oben</t>
  </si>
  <si>
    <t>Rolenendsch. Führ.</t>
  </si>
  <si>
    <t>Ini</t>
  </si>
  <si>
    <t>Positionsschalter</t>
  </si>
  <si>
    <t>Befestigung Endschalter</t>
  </si>
  <si>
    <t>Zylinderschraube Inbus verz. M5x35</t>
  </si>
  <si>
    <t>Unterlegscheibe M5</t>
  </si>
  <si>
    <t>Federring M5</t>
  </si>
  <si>
    <t>Rev. 0222b</t>
  </si>
  <si>
    <t>Endschaltervarianten über Dateneingabe automatisiert</t>
  </si>
  <si>
    <t>Ausschreibung_GCC_vertikal_Rev.0221beta.xls</t>
  </si>
  <si>
    <t>0308332</t>
  </si>
  <si>
    <t>0308331</t>
  </si>
  <si>
    <t>0308333</t>
  </si>
  <si>
    <t>0308334</t>
  </si>
  <si>
    <t>Rev. 0223b</t>
  </si>
  <si>
    <t>150er Festfeldfüllstreifen umgestellt auf Lagervorrat</t>
  </si>
  <si>
    <t>Ausschreibung_GCC_vertikal_Rev.0222beta.xls</t>
  </si>
  <si>
    <t>Zuschnitt Festfeld Datenherkunft bereinigt</t>
  </si>
  <si>
    <t>Rev. 0224b</t>
  </si>
  <si>
    <t>Ausschreibung_GCC_vertikal_Rev.0223beta.xls</t>
  </si>
  <si>
    <t>Rev. 0225b</t>
  </si>
  <si>
    <t>Lager_&amp;_Montagematerial: Artikelnummern Ankerhülse korrigiert</t>
  </si>
  <si>
    <t>Ausschreibung_GCC_vertikal_Rev.0224beta.xls</t>
  </si>
  <si>
    <t>Blähstoffe</t>
  </si>
  <si>
    <t>Dichtrahmenstreifen oben</t>
  </si>
  <si>
    <t>Kalziumsilikatplatten</t>
  </si>
  <si>
    <t>Rev. 0226b</t>
  </si>
  <si>
    <t>Arbeitsblatt Dichtrahmen eingefügt (unfertig Baustelle!)</t>
  </si>
  <si>
    <t>Ausschreibung_GCC_vertikal_Rev.0225beta.xls</t>
  </si>
  <si>
    <t>Dichtrahmenstreifen links</t>
  </si>
  <si>
    <t>Dichtrahmenstreifen rechts</t>
  </si>
  <si>
    <t>Fireflystreifen 2100 x 100 mm Dichtrahmen OS hor / GCC</t>
  </si>
  <si>
    <t>Promasealstreifen 2150 x 100 mm Dichtrahmen OS hor / GCC</t>
  </si>
  <si>
    <t>Promatect H-25 Streifen 100mm breit</t>
  </si>
  <si>
    <t>Rev. 0227b</t>
  </si>
  <si>
    <t>Arbeitsblatt Dichtrahmen fertiggestellt/ Dichtrahmen auf Streifenartikel umgestellt</t>
  </si>
  <si>
    <t>Ausschreibung_GCC_vertikal_Rev.0226beta.xls</t>
  </si>
  <si>
    <t>Rev. 0228b</t>
  </si>
  <si>
    <t>Abschreibungseinheiten Dichtrahmen korrigiert</t>
  </si>
  <si>
    <t>Ausschreibung_GCC_vertikal_Rev.0227beta.xls</t>
  </si>
  <si>
    <t>Streichen Grundierung</t>
  </si>
  <si>
    <t>h/Element</t>
  </si>
  <si>
    <t>Allgemeine Grund-/Rüstzeit je FAA</t>
  </si>
  <si>
    <t>Rev. 0229b</t>
  </si>
  <si>
    <t>Arbeitsplan 2.0 neu einkopiert</t>
  </si>
  <si>
    <t>Ausschreibung_GCC_vertikal_Rev.0228beta.xls</t>
  </si>
  <si>
    <t>0105056</t>
  </si>
  <si>
    <t>0105057</t>
  </si>
  <si>
    <t>Kabelabschottungen / Endschalter</t>
  </si>
  <si>
    <t>Rev. 0230b</t>
  </si>
  <si>
    <t>Endschalter von Checkliste auf Lager &amp; Montagematerial verschoben, Befestigungsmaterial Endschalter geändert</t>
  </si>
  <si>
    <t>0720099</t>
  </si>
  <si>
    <t>Brandschutzbauplatten Auflaufkonsolen</t>
  </si>
  <si>
    <t>Intumeststreifen Schieberblattunterkante</t>
  </si>
  <si>
    <t>Ausschreibung_GCC_vertikal_Rev.0229beta.xls</t>
  </si>
  <si>
    <t>0308337</t>
  </si>
  <si>
    <t>0338337</t>
  </si>
  <si>
    <t>Schieberelementblechinnenlage verzinkt GCC (Element mitte)</t>
  </si>
  <si>
    <t>Schieberelementblechinnenlage V2A GCC (Element mitte)</t>
  </si>
  <si>
    <t>0308338</t>
  </si>
  <si>
    <t>0338338</t>
  </si>
  <si>
    <t>Verkleidungsblech verzinkt GCC (Komplettelement hinten)</t>
  </si>
  <si>
    <t>Verkleidungsblech V2A GCC (Komplettelement hinten)</t>
  </si>
  <si>
    <t>Verkleidungsblech verzinkt GCC  (Schieberelement mitte vorn)</t>
  </si>
  <si>
    <t>Verkleidungsblech V2A GCC  (Schieberelement mitte vorn)</t>
  </si>
  <si>
    <t>Verkleidungsblech verzinkt GCC  (Schieberelement mitte hinten)</t>
  </si>
  <si>
    <t>Verkleidungsblech V2A GCC  (Schieberelement mitte hinten)</t>
  </si>
  <si>
    <t>Verkleidungsblech verzinkt GCC (Schieberelement oben hinten)</t>
  </si>
  <si>
    <t>Verkleidungsblech V2A GCC (Schieberelement oben hinten)</t>
  </si>
  <si>
    <t>Schieberelementblechinnenlage verzinkt GCC (Element unten)</t>
  </si>
  <si>
    <t>Schieberelementblechinnenlage V2A GCC (Element unten)</t>
  </si>
  <si>
    <t>Verkleidungsblech verzinkt GCC (Schieberelement unten hinten)</t>
  </si>
  <si>
    <t>Verkleidungsblech V2A GCC (Schieberelement unten hinten)</t>
  </si>
  <si>
    <t>Verkleidungsblech verzinkt GCC (Schieberelement unten vorn r0)</t>
  </si>
  <si>
    <t>Verkleidungsblech V2A GCC (Schieberelement unten vorn r0)</t>
  </si>
  <si>
    <t>Rev. 0231b</t>
  </si>
  <si>
    <t>Blechzuschnitte jetzt mit Artikelnummern</t>
  </si>
  <si>
    <t>Ausschreibung_GCC_vertikal_Rev.0230beta.xls</t>
  </si>
  <si>
    <t>Übergabe an Stüli</t>
  </si>
  <si>
    <t>Rev. 0232b</t>
  </si>
  <si>
    <t>Liste: Fehlerkorrektur Übergabe an Stückliste bei FF Deckplatte Reststücke/Steuerfeld Übergabe an Stückliste für Antriebsvariationen</t>
  </si>
  <si>
    <t>Ausschreibung_GCC_vertikal_Rev.0231beta.xls</t>
  </si>
  <si>
    <t>C4</t>
  </si>
  <si>
    <t>Rev. 0233b</t>
  </si>
  <si>
    <t>Leistungserklärung:Selbstschließung nur C4</t>
  </si>
  <si>
    <t>Ausschreibung_GCC_vertikal_Rev.0232beta.xls</t>
  </si>
  <si>
    <t>Rev. 0234b</t>
  </si>
  <si>
    <t>Verknüpfen Arbeitsplan Teil 1</t>
  </si>
  <si>
    <t>Ausschreibung_GCC_vertikal_Rev.0233beta.xls</t>
  </si>
  <si>
    <t>Rev. 0235b</t>
  </si>
  <si>
    <t>Verknüpfen Arbeitsplan Teil 2</t>
  </si>
  <si>
    <t>Ausschreibung_GCC_vertikal_Rev.0234beta.xls</t>
  </si>
  <si>
    <t>Rev. 0236b</t>
  </si>
  <si>
    <t>Verknüpfen Arbeitsplan Teil 3</t>
  </si>
  <si>
    <t>Ausschreibung_GCC_vertikal_Rev.0235beta.xls</t>
  </si>
  <si>
    <t>Rev. 0237b</t>
  </si>
  <si>
    <t>Promasealstreifen selbstklebend 49mm</t>
  </si>
  <si>
    <t>Promasealstreifen selbstklebend 116mm</t>
  </si>
  <si>
    <t>0308339</t>
  </si>
  <si>
    <t>0338339</t>
  </si>
  <si>
    <t>0338341</t>
  </si>
  <si>
    <t>Liste/Zuschnitt Intumest/Dichtrahmen: Intumest Schieberblattunterkante Umstellung auf Streifen</t>
  </si>
  <si>
    <t>Ausschreibung_GCC_vertikal_Rev.0236beta.xls</t>
  </si>
  <si>
    <t>Fireflystreifen 2mm selbstklebend 49mm</t>
  </si>
  <si>
    <t>Fireflystreifen 2mm selbstklebend 116mm</t>
  </si>
  <si>
    <t>Rev. 0238b</t>
  </si>
  <si>
    <t>Liste: Benennung Fireflystreifen geändert</t>
  </si>
  <si>
    <t>Ausschreibung_GCC_vertikal_Rev.0237beta.xls</t>
  </si>
  <si>
    <t>Rev. 0239b</t>
  </si>
  <si>
    <t>Stückliste: Abschreibungsangaben Intumest korrigiert</t>
  </si>
  <si>
    <t>Ausschreibung_GCC_vertikal_Rev.0238beta.xls</t>
  </si>
  <si>
    <t>Rev. 0240b</t>
  </si>
  <si>
    <t>Produktionskontrolle: Datum entfernt</t>
  </si>
  <si>
    <t>Ausschreibung_GCC_vertikal_Rev.0239beta.xls</t>
  </si>
  <si>
    <t>Rev. 0241b</t>
  </si>
  <si>
    <t>Liste: zusätzliche Initiatorschaltfahne entfernt</t>
  </si>
  <si>
    <t>Ausschreibung_GCC_vertikal_Rev.0240beta.xls</t>
  </si>
  <si>
    <t>Rev. 0242b</t>
  </si>
  <si>
    <t>Liste/Zuschnitt Schieberblatt/Dichtrahmen: Platten Auflaufkonsolen Umstellung auf Streifen</t>
  </si>
  <si>
    <t>Ausschreibung_GCC_vertikal_Rev.0241beta.xls</t>
  </si>
  <si>
    <t>Rev. 0243b</t>
  </si>
  <si>
    <t>Stückliste: Abschreibungsangaben Zuschnitt Promatect korrigiert</t>
  </si>
  <si>
    <t>Ausschreibung_GCC_vertikal_Rev.0242beta.xls</t>
  </si>
  <si>
    <t>Rev. 0244b</t>
  </si>
  <si>
    <t>Formatierung Arbeitsplan</t>
  </si>
  <si>
    <t>Ausschreibung_GCC_vertikal_Rev.0243beta.xls</t>
  </si>
  <si>
    <t>Rev. 0245b</t>
  </si>
  <si>
    <t>Ausschreibung_GCC_vertikal_Rev.0244beta.xls</t>
  </si>
  <si>
    <t>Rev. 0246b</t>
  </si>
  <si>
    <t>Checkliste: Auswertungsbereich an erweiterten Eingabebereich angepasst (Zuschnitt Intumest und Schieberblatt)</t>
  </si>
  <si>
    <t>Ausschreibung_GCC_vertikal_Rev.0245beta.xls</t>
  </si>
  <si>
    <t>Rev. 0247b</t>
  </si>
  <si>
    <t>Dateneingabe: Eingabefeld für FestfeldfüllungwirddurchPorenbetonsteineersetzt eingebaut</t>
  </si>
  <si>
    <t>Kopie von Ausschreibung_GCC_vertikal_Rev.0246beta.xls</t>
  </si>
  <si>
    <t>Verstärkungsblech Schieberelement oben/Komplettelement</t>
  </si>
  <si>
    <t>Rev. 0248b</t>
  </si>
  <si>
    <t>Umstellung Verstärkungsblech Schieberelement oben/Komplettelement auf Standardlänge</t>
  </si>
  <si>
    <t>Ausschreibung_GCC_vertikal_Rev.0247beta.xls</t>
  </si>
  <si>
    <t>Verbindung Führungsschienen</t>
  </si>
  <si>
    <t>Sechskantmutter M6</t>
  </si>
  <si>
    <t>Federring M6</t>
  </si>
  <si>
    <t>Zylinderschraube Inbus  M6x12</t>
  </si>
  <si>
    <t>0720081</t>
  </si>
  <si>
    <t>Rev. 0249b</t>
  </si>
  <si>
    <t>Lager &amp; Montagematerial: Material zur Verbindung Führungsschienen, Blindnieten  zur Befestigung der Verkrallung und Befestigungsmaterial Endschalter eingefügt</t>
  </si>
  <si>
    <t>Ausschreibung_GCC_vertikal_Rev.0248beta.xls</t>
  </si>
  <si>
    <t>Rev. 0250b</t>
  </si>
  <si>
    <t>Liste: Datenprüfung Verkleidungsbleche</t>
  </si>
  <si>
    <t>Ausschreibung_GCC_vertikal_Rev.0249beta.xls</t>
  </si>
  <si>
    <t>Arbeitsplan fertiggestellt / Liste: auch Auftragsbezogene variable Blechbauteile werden an B7 übergeben</t>
  </si>
  <si>
    <t>Rev. 0251b</t>
  </si>
  <si>
    <t>Ausschreibung_GCC_vertikal_Rev.0250beta.xls</t>
  </si>
  <si>
    <t>Ausschreibung_GCC_vertikal_Rev.0251beta.xls</t>
  </si>
  <si>
    <t>Gesamt</t>
  </si>
  <si>
    <t>Rev. 0253b</t>
  </si>
  <si>
    <t>Arbeitsplan mit Auswertung nach Kostenstellen und Filtern versehen</t>
  </si>
  <si>
    <t>Liste: Korrektur Dichtstreifenberechnung (Berechnung Länge Intumeststreifen)</t>
  </si>
  <si>
    <t>0202023 / Promatect-H 20 3m</t>
  </si>
  <si>
    <t>Rev. 0254b</t>
  </si>
  <si>
    <t>Zuschnitt Schieberblatt/Zuschnitt Fesfeld: Materialliste umsortiert (0202023 ans Ende gestellt) und 3m Format in der Benennung gekennzeichnet</t>
  </si>
  <si>
    <t>Ausschreibung_GCC_vertikal_Rev.0253beta.xls</t>
  </si>
  <si>
    <t>Art.Nr. Auftragspos.:</t>
  </si>
  <si>
    <t>vollständig?</t>
  </si>
  <si>
    <t>7 stellige Art.Nr.?</t>
  </si>
  <si>
    <t>Auftragsabwickler:</t>
  </si>
  <si>
    <t>Dieses Eingabeblatt ist nur für Standardartikel (B7 Teilestatus 1) in den wählbaren Mengeneinheiten zu verwenden!
Normteile wie Schrauben und Dübel aus dem Lagerbereich 460 (Magazin) sind auf dem Blatt Lager &amp; Montagematerial einzutragen.
Zusätzlich eingetragene Bauteile werden nach ermessen der Arbeitsvorbereitung in Rechnung gestellt!</t>
  </si>
  <si>
    <t>Artikelnummer</t>
  </si>
  <si>
    <r>
      <t xml:space="preserve">Mengeneinheit
</t>
    </r>
    <r>
      <rPr>
        <b/>
        <sz val="6"/>
        <rFont val="Arial"/>
        <family val="2"/>
      </rPr>
      <t>Stückliste (in B7)</t>
    </r>
  </si>
  <si>
    <t>kg</t>
  </si>
  <si>
    <t>Rev. 0255b</t>
  </si>
  <si>
    <t>Tabellenblatt Eingabe Sonderteile einkopiert (Baustelle! Ist noch nicht verknüpft!)</t>
  </si>
  <si>
    <t>Ausschreibung_GCC_vertikal_Rev.0254beta.xls</t>
  </si>
  <si>
    <t>Ausschreibung_GCC_vertikal_Rev.0255beta.xls</t>
  </si>
  <si>
    <t>Rev. 0256b</t>
  </si>
  <si>
    <t>Promatect-L 25mm entfernt</t>
  </si>
  <si>
    <t>Spax Senkkopf TX verz. 6X130</t>
  </si>
  <si>
    <t>0714359</t>
  </si>
  <si>
    <t>Liste/Stückliste: Z-Kantungen und Spax 6 x 130 für Palettenaufbau eingefügt</t>
  </si>
  <si>
    <t>Rev. 0257b</t>
  </si>
  <si>
    <t>Ausschreibung_GCC_vertikal_Rev.0256beta.xls</t>
  </si>
  <si>
    <t>Antrieb GCC vertikal Variante</t>
  </si>
  <si>
    <t>0308200</t>
  </si>
  <si>
    <t>Rev. 0258b</t>
  </si>
  <si>
    <t>Liste: Antriebsabschreibung auf 0308200 (Antrieb GCC vertikal Variante) umgestellt</t>
  </si>
  <si>
    <t>Ausschreibung_GCC_vertikal_Rev.0257beta.xls</t>
  </si>
  <si>
    <t>Rev. 0259b</t>
  </si>
  <si>
    <t>Tabellenblätter ohne Verwendung gelöscht</t>
  </si>
  <si>
    <t>Ausschreibung_GCC_vertikal_Rev.0258beta.xls</t>
  </si>
  <si>
    <t>Kostensätze: 501 ergänzt</t>
  </si>
  <si>
    <t>Rev. 0260b</t>
  </si>
  <si>
    <t>Ausschreibung_GCC_vertikal_Rev.0259beta.xls</t>
  </si>
  <si>
    <t>Rev. 0261b</t>
  </si>
  <si>
    <t>Liste: Verstärkungsblech verzinkt Umstellung auf Lagerbezug</t>
  </si>
  <si>
    <t>Tiefnig, Eric</t>
  </si>
  <si>
    <t>Ausschreibung_GCC_vertikal_Rev.0260beta.xls</t>
  </si>
  <si>
    <t>Führungsschiene 750mm GCC W25 vertikal verzinkt</t>
  </si>
  <si>
    <t>Führungsschiene 1000mm GCC W25 vertikal verzinkt</t>
  </si>
  <si>
    <t>Führungsschiene 1250mm GCC W25 vertikal verzinkt</t>
  </si>
  <si>
    <t>Führungsschiene 1500mm GCC W25 vertikal verzinkt</t>
  </si>
  <si>
    <t>Führungsschiene 1750mm GCC W25 vertikal verzinkt</t>
  </si>
  <si>
    <t>Führungsschiene 2000mm GCC W25 vertikal verzinkt</t>
  </si>
  <si>
    <t>Führungsschiene 2250mm GCC W25 vertikal verzinkt</t>
  </si>
  <si>
    <t>Führungsschiene 2500mm GCC W25 vertikal verzinkt</t>
  </si>
  <si>
    <t>Führungsschiene 2750mm GCC W25 vertikal verzinkt</t>
  </si>
  <si>
    <t>Führungsschiene 3000mm GCC W25 vertikal verzinkt</t>
  </si>
  <si>
    <t>Führungsschiene 750mm GCC W25 vertikal V2A</t>
  </si>
  <si>
    <t>Führungsschiene 1250mm GCC W25 vertikal V2A</t>
  </si>
  <si>
    <t>Führungsschiene 1500mm GCC W25 vertikal V2A</t>
  </si>
  <si>
    <t>Führungsschiene 2500mm GCC W25 vertikal V2A</t>
  </si>
  <si>
    <t>Führungsschiene U-Form 750mm GCC W25 vertikal verzinkt</t>
  </si>
  <si>
    <t>Führungsschiene U-Form 1000mm GCC W25 vertikal verzinkt</t>
  </si>
  <si>
    <t>Führungsschiene U-Form 1250mm GCC W25 vertikal verzinkt</t>
  </si>
  <si>
    <t>Führungsschiene U-Form 1500mm GCC W25 vertikal verzinkt</t>
  </si>
  <si>
    <t>Führungsschiene U-Form 1750mm GCC W25 vertikal verzinkt</t>
  </si>
  <si>
    <t>Führungsschiene U-Form 2000mm GCC W25 vertikal verzinkt</t>
  </si>
  <si>
    <t>Kopie von Ausschreibung_GCC_vertikal_Rev.0261beta.xls</t>
  </si>
  <si>
    <t>Führungsschiene U-Form 2250mm GCC W25 vertikal verzinkt</t>
  </si>
  <si>
    <t>Führungsschiene U-Form 2500mm GCC W25 vertikal verzinkt</t>
  </si>
  <si>
    <t>Führungsschiene U-Form 2750mm GCC W25 vertikal verzinkt</t>
  </si>
  <si>
    <t>Führungsschiene U-Form 3000mm GCC W25 vertikal verzinkt</t>
  </si>
  <si>
    <t>Rev. 0262b</t>
  </si>
  <si>
    <t>Liste/Stückliste: Führungsschienen einzeln aufgeführt Teil 1</t>
  </si>
  <si>
    <t>Rev. 0263b</t>
  </si>
  <si>
    <t>Liste: Antriebsabschreibung korrigiert</t>
  </si>
  <si>
    <t>Ausschreibung_GCC_vertikal_Rev.0262beta.xls</t>
  </si>
  <si>
    <t>Führungsschiene 1000mm GCC W25 vertikal V2A</t>
  </si>
  <si>
    <t>Führungsschiene 1750mm GCC W25 vertikal V2A</t>
  </si>
  <si>
    <t>Führungsschiene 2000mm GCC W25 vertikal V2A</t>
  </si>
  <si>
    <t>Führungsschiene 2250mm GCC W25 vertikal V2A</t>
  </si>
  <si>
    <t>Führungsschiene 2750mm GCC W25 vertikal V2A</t>
  </si>
  <si>
    <t>Führungsschiene 3000mm GCC W25 vertikal V2A</t>
  </si>
  <si>
    <t>Führungsschiene U-Form 750mm GCC W25 vertikal V2A</t>
  </si>
  <si>
    <t>Führungsschiene U-Form 1000mm GCC W25 vertikal V2A</t>
  </si>
  <si>
    <t>Führungsschiene U-Form 1250mm GCC W25 vertikal V2A</t>
  </si>
  <si>
    <t>Führungsschiene U-Form 1500mm GCC W25 vertikal V2A</t>
  </si>
  <si>
    <t>Führungsschiene U-Form 1750mm GCC W25 vertikal V2A</t>
  </si>
  <si>
    <t>Führungsschiene U-Form 2000mm GCC W25 vertikal V2A</t>
  </si>
  <si>
    <t>Führungsschiene U-Form 2250mm GCC W25 vertikal V2A</t>
  </si>
  <si>
    <t>Führungsschiene U-Form 2500mm GCC W25 vertikal V2A</t>
  </si>
  <si>
    <t>Führungsschiene U-Form 2750mm GCC W25 vertikal V2A</t>
  </si>
  <si>
    <t>Führungsschiene U-Form 3000mm GCC W25 vertikal V2A</t>
  </si>
  <si>
    <t>Rev. 0264b</t>
  </si>
  <si>
    <t>Liste: Blechteile umgestellt auf Stück</t>
  </si>
  <si>
    <t>Ausschreibung_GCC_vertikal_Rev.0263beta.xls</t>
  </si>
  <si>
    <t>Schnellbauschraube 3,9X35 Grobgewinde</t>
  </si>
  <si>
    <t>Schnellbauschraube 3,9X55 Grobgewinde</t>
  </si>
  <si>
    <t>Schnellbauschraube 3,9X70 Grobgewinde</t>
  </si>
  <si>
    <t>Rev. 0265b</t>
  </si>
  <si>
    <t>Lager &amp; Montagematerial: Schrauben Festfeld auf Schnellbauschrauben umgestellt</t>
  </si>
  <si>
    <t>Ausschreibung_GCC_vertikal_Rev.0264beta.xls</t>
  </si>
  <si>
    <t>Rev. 0266b</t>
  </si>
  <si>
    <t>Lager &amp; Montagematerial: Schrauben Festfeld auf Schnellbauschrauben umgestellt - Korrektur Sortierung</t>
  </si>
  <si>
    <t>Ausschreibung_GCC_vertikal_Rev.0265beta.xls</t>
  </si>
  <si>
    <t>nicht mehr verwendet</t>
  </si>
  <si>
    <t>verwendet</t>
  </si>
  <si>
    <t>Zwischenrechnung für Liste Anzahl Führungsschienen</t>
  </si>
  <si>
    <t>Anzahl aus Tabelle rechts für Maß</t>
  </si>
  <si>
    <t>reale Anzahl</t>
  </si>
  <si>
    <t>Liste/Berechnung&amp;Tabellen: Führungsschienen einzeln aufgeführt Teil 2</t>
  </si>
  <si>
    <t>Rev. 0267b</t>
  </si>
  <si>
    <t>Führungsschienen:</t>
  </si>
  <si>
    <t>Ausschreibung_GCC_vertikal_Rev.0267beta.xls</t>
  </si>
  <si>
    <t>Rev. 0268b</t>
  </si>
  <si>
    <t>Liste: Führungsschienen alte Berechnung deaktiviert</t>
  </si>
  <si>
    <t>Rev. 0269b</t>
  </si>
  <si>
    <t>Arbeitsplan: Formelkorrektur Grund- bzw. Rüstzeit</t>
  </si>
  <si>
    <t>Ausschreibung_GCC_vertikal_Rev.0268beta.xls</t>
  </si>
  <si>
    <t>Rev. 0270b</t>
  </si>
  <si>
    <t>Antriebsfertigung: Umbenennung Wartungsschalter in Motorschalter; Motorschalter immer angekreuzt</t>
  </si>
  <si>
    <t>Ausschreibung_GCC_vertikal_Rev.0269beta.xls</t>
  </si>
  <si>
    <t>Flamro - Spachtelmasse 1kg</t>
  </si>
  <si>
    <t>Flamro - Matten , beschichtet 1 Stück 1000mm x 625mm</t>
  </si>
  <si>
    <t>Lager &amp; Montagematerial/Stückliste: Flamroschott im Bereich Kabelabschottungen aufgenommen</t>
  </si>
  <si>
    <t>Rev. 0271b</t>
  </si>
  <si>
    <t>Ausschreibung_GCC_vertikal_Rev.0270beta.xls</t>
  </si>
  <si>
    <t>Rev. 0272b</t>
  </si>
  <si>
    <t>Lücken -&gt;</t>
  </si>
  <si>
    <t>Lückenbreite -&gt;</t>
  </si>
  <si>
    <t>Berechnung &amp; Tabellen: Tabelle Konsolenberechnung neue Version importiert</t>
  </si>
  <si>
    <t>Ausschreibung_GCC_vertikal_Rev.0271beta.xls</t>
  </si>
  <si>
    <t>Rev. 0273b</t>
  </si>
  <si>
    <t>Berechnung &amp; Tabellen: Konsolenberechnung optimiert</t>
  </si>
  <si>
    <t>GCC vertikal Antriebssystem motorisch mit Gurt</t>
  </si>
  <si>
    <t>Ausschreibung_GCC_vertikal_Rev.0272beta.xls</t>
  </si>
  <si>
    <t>Rev. 0274b</t>
  </si>
  <si>
    <t>Arbeitsplan: Korrektur Zuschnitt Brandschutzbauplatten/Zeitenkorrektur Elementverschraubung (Grundzeit+Laufmeterzeit)</t>
  </si>
  <si>
    <t>Ausschreibung_GCC_vertikal_Rev.0273beta.xls</t>
  </si>
  <si>
    <t>Rev. 0275b</t>
  </si>
  <si>
    <t>Stückliste: Makro Datenübergabe neu Verknüpft</t>
  </si>
  <si>
    <t>Ausschreibung_GCC_vertikal_Rev.0274beta.xls</t>
  </si>
  <si>
    <t>Rev. 0276b</t>
  </si>
  <si>
    <t>Arbeitsplan: entfernen Arbeitsschritt ausdrucken Montageanleitung</t>
  </si>
  <si>
    <t>Ausschreibung_GCC_vertikal_Rev.0275beta.xls</t>
  </si>
  <si>
    <t>Rev. 0277b</t>
  </si>
  <si>
    <t>Arbeitsplan: korrektur Formelfehler</t>
  </si>
  <si>
    <t>Ausschreibung_GCC_vertikal_Rev.0276beta.xls</t>
  </si>
  <si>
    <t>Rev. 0278b</t>
  </si>
  <si>
    <t>Ausschreibung_GCC_vertikal_Rev.0277beta.xls</t>
  </si>
  <si>
    <t>Rev. 0279b</t>
  </si>
  <si>
    <t>Berechnungen &amp; Tabellen: Berichtigung Zellbezüge in Zwischenrechnung Führungsschienen</t>
  </si>
  <si>
    <t>Kopie von Ausschreibung_GCC_vertikal_Rev.0279beta.xls</t>
  </si>
  <si>
    <t>Dateieingabe: Datenmüll entsorgt</t>
  </si>
  <si>
    <t>Ausschreibung_GCC_vertikal_Rev.0279beta.xls</t>
  </si>
  <si>
    <t>Promatzuschnitt</t>
  </si>
  <si>
    <t>Blechbearb.</t>
  </si>
  <si>
    <t>Intumest</t>
  </si>
  <si>
    <t>Rev. 0280b</t>
  </si>
  <si>
    <t>Arbeitsplan: Bezeichnung Kostenstellen</t>
  </si>
  <si>
    <t>Liste: korrektur Bezug Breite der Schieberelementblechinnenlage bei Komplettelement</t>
  </si>
  <si>
    <t>Rev. 0281b</t>
  </si>
  <si>
    <t>Ausschreibung_GCC_vertikal_Rev.0280beta.xls</t>
  </si>
  <si>
    <t>Rev. 0282b</t>
  </si>
  <si>
    <t>Liste: Schieberelementblechinnenlage Berechnung Maß L Komplettelement "korrigiert"</t>
  </si>
  <si>
    <t>Ausschreibung_GCC_vertikal_Rev.0281beta.xls</t>
  </si>
  <si>
    <t>Befestigung Schaltfahne</t>
  </si>
  <si>
    <t>Dateneingabe/Liste/Lager &amp; Montagematerial: Korrektur Tabelle Endschalter und Befestigungsmaterial für Schaltfahnen (Befestigungsmaterial für Rollenendschalterfahne fehlte Tabellewar für Rollenendschalter auf+zu an Schiene fehlerhaft</t>
  </si>
  <si>
    <t>Rev. 0283b</t>
  </si>
  <si>
    <t>Ausschreibung_GCC_vertikal_Rev.0282beta.xls</t>
  </si>
  <si>
    <t>bohren Ovalrohr(e)</t>
  </si>
  <si>
    <t>sägen/entgraten Ovalrohr(e)</t>
  </si>
  <si>
    <t>zuschneiden Brandschutzbauplatten</t>
  </si>
  <si>
    <t>grundieren/streichen Brandschutzbauplatten</t>
  </si>
  <si>
    <t>Laufschiene bestücken</t>
  </si>
  <si>
    <t>Material zusammenstellen</t>
  </si>
  <si>
    <t>einpacken/Palettenaufbau</t>
  </si>
  <si>
    <t>Fertigung Antrieb</t>
  </si>
  <si>
    <t>kleben Blechverkleidung</t>
  </si>
  <si>
    <t>Prog Blech indikator</t>
  </si>
  <si>
    <t>Prog Blech Zeit</t>
  </si>
  <si>
    <t>Stanzkant Blech indikator</t>
  </si>
  <si>
    <t>Stanzkant Blech Zeit</t>
  </si>
  <si>
    <t>Rev. 0284b</t>
  </si>
  <si>
    <t>Liste: Bezug der Aufdopplungsabdeckung auf die Aufdopplungsbreite verschoben; Zeiterfassungsbogen/Arbeitsplan: Zeiten nach Struktur Erfassungsbogen ausgewertet und übertragen (unvollständig)</t>
  </si>
  <si>
    <t>Ausschreibung_GCC_vertikal_Rev.0283beta.xls</t>
  </si>
  <si>
    <t>Checkliste: verstärkte Flachpalette mit Aufbau ersetzt verstärkte Palette</t>
  </si>
  <si>
    <t>Rev. 0285b</t>
  </si>
  <si>
    <t>Verstärkte Flachpalette mit Aufbau</t>
  </si>
  <si>
    <t>Ausschreibung_GCC_vertikal_Rev.0284beta.xls</t>
  </si>
  <si>
    <t>Etiketten DIN A5 weiß auf Bogen DIN A4</t>
  </si>
  <si>
    <t>0708918</t>
  </si>
  <si>
    <t>Liste: Aufkleber 0708918 eingefügt</t>
  </si>
  <si>
    <t>Rev. 0286b</t>
  </si>
  <si>
    <t>Ausschreibung_GCC_vertikal_Rev.0285beta.xls</t>
  </si>
  <si>
    <t>Auflistung Sachmerkmale</t>
  </si>
  <si>
    <t>Dateneingabe: Auflistung Sachmerkmale erstellt</t>
  </si>
  <si>
    <t>Rev. 0287b</t>
  </si>
  <si>
    <t>Ausschreibung_GCC_vertikal_Rev.0286beta.xls</t>
  </si>
  <si>
    <t>EI 90</t>
  </si>
  <si>
    <t>Dateneingabe: Auflistung Sachmerkmale geändert</t>
  </si>
  <si>
    <t>Rev. 0288b</t>
  </si>
  <si>
    <t>Ausschreibung_GCC_vertikal_Rev.0287beta.xls</t>
  </si>
  <si>
    <t>Rev. 0289b</t>
  </si>
  <si>
    <t>Dateneingabe: minimale Rohbauöffnungshöhe auf 200mm geändert</t>
  </si>
  <si>
    <t>Ausschreibung_GCC_vertikal_Rev.0288beta.xls</t>
  </si>
  <si>
    <t>Abdeckblech Aufdopplung 150 einteilig verzinkt</t>
  </si>
  <si>
    <t>Abdeckblech Aufdopplung 150 einteilig V2A</t>
  </si>
  <si>
    <t>Abdeckblech Aufdopplung 150 mehrteilig verzinkt</t>
  </si>
  <si>
    <t>Abdeckblech Aufdopplung 150 mehrteilig V2A</t>
  </si>
  <si>
    <t>Abdeckblech Aufdopplung 150 Endstück links verzinkt</t>
  </si>
  <si>
    <t>Abdeckblech Aufdopplung 150 Endstück links V2A</t>
  </si>
  <si>
    <t>Abdeckblech Aufdopplung 150 Endstück rechts verzinkt</t>
  </si>
  <si>
    <t>Abdeckblech Aufdopplung 150 Endstück rechts V2A</t>
  </si>
  <si>
    <t>0308363</t>
  </si>
  <si>
    <t>0338363</t>
  </si>
  <si>
    <t>0308360</t>
  </si>
  <si>
    <t>0338360</t>
  </si>
  <si>
    <t>0308361</t>
  </si>
  <si>
    <t>0338361</t>
  </si>
  <si>
    <t>0308362</t>
  </si>
  <si>
    <t>0338362</t>
  </si>
  <si>
    <t>0308370</t>
  </si>
  <si>
    <t>0338370</t>
  </si>
  <si>
    <t>Verkleidungsblech Schieberelement unten vorn Aufdopplung 150 verzinkt</t>
  </si>
  <si>
    <t>Verkleidungsblech Schieberelement unten vorn Aufdopplung 150 V2A</t>
  </si>
  <si>
    <t>Verkleidungsblech Komplettelement Doppelgurtanbindung Aufdop. 150 vorn verzinkt</t>
  </si>
  <si>
    <t>Verkleidungsblech Komplettelement Doppelgurtanbindung Aufdop. 150 vorn V2A</t>
  </si>
  <si>
    <t>Verkleidungsblech Komplettelement Einzelgurtanbindung Aufdop. 150 vorn verzinkt</t>
  </si>
  <si>
    <t>Verkleidungsblech Komplettelement Einzelgurtanbindung Aufdop. 150 vorn V2A</t>
  </si>
  <si>
    <t>0308368</t>
  </si>
  <si>
    <t>0338368</t>
  </si>
  <si>
    <t>0308369</t>
  </si>
  <si>
    <t>0338369</t>
  </si>
  <si>
    <t>Liste/Stückliste/Arbeitsplan/Dateieingabe: Aufdopplung 150 eingepflegt</t>
  </si>
  <si>
    <t>mit Montageanleitung (Deutsch)</t>
  </si>
  <si>
    <t>mit Montageanleitung (Englisch)</t>
  </si>
  <si>
    <t>mit Montageanleitung (Spanisch)</t>
  </si>
  <si>
    <t>Montageanleitung (Deutsch)</t>
  </si>
  <si>
    <t>Montageanleitung (Englisch)</t>
  </si>
  <si>
    <t>Montageanleitung (Spanisch)</t>
  </si>
  <si>
    <t>Rev. 0290b</t>
  </si>
  <si>
    <t>Stückliste/Dateieingabe/Lager&amp;Montagematerial: Montageanleitung (Spanisch) eingefügt</t>
  </si>
  <si>
    <t>Rev. 0291b</t>
  </si>
  <si>
    <t>Ausschreibung_GCC_vertikal_Rev.0289beta.xls</t>
  </si>
  <si>
    <t>Ausschreibung_GCC_vertikal_Rev.0291beta.xls</t>
  </si>
  <si>
    <t>Rev. 0292b</t>
  </si>
  <si>
    <t>Liste: Korrektur Anzahl Promat für Aufdopplung</t>
  </si>
  <si>
    <t>Ausschreibung_GCC_vertikal_Rev.0292beta.xls</t>
  </si>
  <si>
    <t>Lager&amp;Montagematerial: Lesbarkeit Überschrift (Befestigungspunkte) für Monteure verbessert</t>
  </si>
  <si>
    <t>Rev. 0293b</t>
  </si>
  <si>
    <t>Rev. 0294b</t>
  </si>
  <si>
    <t>Antrieb: Oberflächenangabe entfernt; checkliste/Liste: Verstärkte Palette fest eingetragen; Checkliste: Angabe Konsolenabstand eingefügt</t>
  </si>
  <si>
    <t>Ausschreibung_GCC_vertikal_Rev.0293beta.xls</t>
  </si>
  <si>
    <t>Checkliste: Angabe Konsolenabstand korrigiert</t>
  </si>
  <si>
    <t>Rev. 0295b</t>
  </si>
  <si>
    <t>Ausschreibung_GCC_vertikal_Rev.0294beta.xls</t>
  </si>
  <si>
    <t>0338372</t>
  </si>
  <si>
    <t>Rev. 0296b</t>
  </si>
  <si>
    <t>Liste/Stückliste/Arbeitsplan: Halteband V2A Aufdopplung 150 eingefügt; Schieberelemente: Hinweis auf Halteband platziert</t>
  </si>
  <si>
    <t>Ausschreibung_GCC_vertikal_Rev.0295beta.xls</t>
  </si>
  <si>
    <t>Rev. 0297b</t>
  </si>
  <si>
    <t>Dateneingabe: Fehlenden Bezug O34 (Festfeldhöhe) wieder hergestellt</t>
  </si>
  <si>
    <t>Ausschreibung_GCC_vertikal_Rev.0296beta.xls</t>
  </si>
  <si>
    <t>Liste: Menge Abdeckbleche einteilig korrigiert</t>
  </si>
  <si>
    <t>Rev. 0298b</t>
  </si>
  <si>
    <t>Ausschreibung_GCC_vertikal_Rev.0297beta.xls</t>
  </si>
  <si>
    <t>Rev. 0299b</t>
  </si>
  <si>
    <t>Liste: Berechnung Menge Verkleidungsbleche Komplettelement 150mm Aufdopplung korrigiert; Dateneingabe: Formel Festfeld mit/ohne wiederhergestellt</t>
  </si>
  <si>
    <t>Ausschreibung_GCC_vertikal_Rev.0298beta.xls</t>
  </si>
  <si>
    <t>Andockprofil Gurtanbindung 74mm Gurt GCC Übergröße verzinkt</t>
  </si>
  <si>
    <t>0308373</t>
  </si>
  <si>
    <t>Andockprofil Gurtanbindung 74mm Gurt GCC Übergröße V2A</t>
  </si>
  <si>
    <t>Einzelgurt
Anbindungen
Übergröße</t>
  </si>
  <si>
    <t>2x 1500W</t>
  </si>
  <si>
    <t>Gurtanbindung 74mm Gurt GCC Übergröße verzinkt</t>
  </si>
  <si>
    <t>0308378</t>
  </si>
  <si>
    <t>Gurtanbindung 74mm Gurt GCC Übergröße V2A</t>
  </si>
  <si>
    <t>Bauteil nicht vorhanden</t>
  </si>
  <si>
    <t>Rev. 0300b</t>
  </si>
  <si>
    <t>Liste/Berechnung &amp; Tabellen/Antriebsfertigung: Antrieb 2x 1500W und entsprechende Gurtanbindung sowie Andockprofile in Stahlblech verzinkt eingebaut (V2A Variante ist noch nicht vorhanden)</t>
  </si>
  <si>
    <t>Ausschreibung_GCC_vertikal_Rev.0299beta.xls</t>
  </si>
  <si>
    <t>Ja/nein?</t>
  </si>
  <si>
    <t xml:space="preserve">Kostenstelle </t>
  </si>
  <si>
    <t>Funk</t>
  </si>
  <si>
    <t xml:space="preserve"> Unterkante Schieber zu Motor &gt;2900</t>
  </si>
  <si>
    <t>Sicherheitskontaktleiste Tapeswitch 1-Teilig</t>
  </si>
  <si>
    <t>Gesamtlänge:</t>
  </si>
  <si>
    <t>mm</t>
  </si>
  <si>
    <t>m    Baugruppe TapeSwitch 8,2kOhm Hauptteil 400259</t>
  </si>
  <si>
    <t>Beinhaltet:</t>
  </si>
  <si>
    <t>1x Kupferzunge incl. 8,2kOhm</t>
  </si>
  <si>
    <t>1x Kupferzunge incl. Klammer u Kabel</t>
  </si>
  <si>
    <t>70mm Schrumpfschlauch</t>
  </si>
  <si>
    <t>… m C-Switch Rollenware Schwarz</t>
  </si>
  <si>
    <t>Widerstand:</t>
  </si>
  <si>
    <t>8,2 kΩ</t>
  </si>
  <si>
    <t>Baugruppe 
TapeSwitch 8,2/1,2kOhm Hauptteil 400259 (ohne sender)</t>
  </si>
  <si>
    <t>Baugruppe 
TapeSwitch 1,2kOhm Hauptteil 400258</t>
  </si>
  <si>
    <t>Art Nr</t>
  </si>
  <si>
    <t>Info</t>
  </si>
  <si>
    <t>Klebeband</t>
  </si>
  <si>
    <t>Einheit in M</t>
  </si>
  <si>
    <t>0306714</t>
  </si>
  <si>
    <t>Reinigungsset</t>
  </si>
  <si>
    <t>Anschlusset für Kabelgebundene Kontaktleiste</t>
  </si>
  <si>
    <t>Beinhaltet: 1xSpiralleitung 4x0,14/500 (max.3000); 
2x Spiralverschraubung M16; 2x Anschlusskasten 116; 
3x Wago Verbindungsklemme</t>
  </si>
  <si>
    <t>Spiralkabel 3m</t>
  </si>
  <si>
    <t>ist enthalten in Anschlusset</t>
  </si>
  <si>
    <t>Verschraubung flexibel für Spiralkabel</t>
  </si>
  <si>
    <t>Auswerter Sicherheitskontaktleiste Mayser</t>
  </si>
  <si>
    <t>Funk-Sender</t>
  </si>
  <si>
    <t>Funk-Empfänger</t>
  </si>
  <si>
    <t>Empfänger bestellt i.d.r. E-Planer</t>
  </si>
  <si>
    <t>Anschlusskasten 116 (52x50x35mm) mit Schnellverschluss</t>
  </si>
  <si>
    <t>Verbindungsklemmen WAGO 3x0,08-4mm²</t>
  </si>
  <si>
    <t>Bei Unklarheiten über benötigtes Material bitte mit Elektro-Planer absprechen</t>
  </si>
  <si>
    <t>Sicherheitskontaktleiste:</t>
  </si>
  <si>
    <t>mit Funkübertragung</t>
  </si>
  <si>
    <t>Sicherheitskontaktleiste</t>
  </si>
  <si>
    <t>Rev. 0301b</t>
  </si>
  <si>
    <t>Dateneingabe: Eingabefeld Sicherheitskontaktleiste eingefügt; Tabellenblatt Siko Tapeswitch eingefügt (unvollständig, noch ohne Funktion!)</t>
  </si>
  <si>
    <t>Ausschreibung_GCC_vertikal_Rev.0300beta.xls</t>
  </si>
  <si>
    <t>Rev. 0302b</t>
  </si>
  <si>
    <t>Sicherheitskontaktleiste Teil 2</t>
  </si>
  <si>
    <t>Ausschreibung_GCC_vertikal_Rev.0301beta.xls</t>
  </si>
  <si>
    <t>Liste/Zuschnitt Schieberblatt/Zuschnitt Festfeld: GKF 18mm auf  0202018 (Aussführung volle Kante) umgestellt</t>
  </si>
  <si>
    <t>0202018</t>
  </si>
  <si>
    <t xml:space="preserve">0202018 / GKF VK 18mm </t>
  </si>
  <si>
    <t>Rev. 0303b</t>
  </si>
  <si>
    <t>Ausschreibung_GCC_vertikal_Rev.0302beta.xls</t>
  </si>
  <si>
    <t>Rev. 0304b</t>
  </si>
  <si>
    <t>Dateneingabe: Warnhinweis Einbaulage Festfeld / Schließkante nicht ausgefüllt eingebaut</t>
  </si>
  <si>
    <t>Ausschreibung_GCC_vertikal_Rev.0303beta.xls</t>
  </si>
  <si>
    <t>0338373</t>
  </si>
  <si>
    <t>0338378</t>
  </si>
  <si>
    <t>Liste: Artikelnummern für Gurtanbindung Übergröße + Andockprofil Übergröße eingetragen</t>
  </si>
  <si>
    <t>Rev. 0305b</t>
  </si>
  <si>
    <t>Ausschreibung_GCC_vertikal_Rev.0304beta.xls</t>
  </si>
  <si>
    <t>mit Spiralkabel (Auswertung Gelbau)</t>
  </si>
  <si>
    <t>Blattfeder Sicherheitskontaktleiste</t>
  </si>
  <si>
    <t>400259</t>
  </si>
  <si>
    <t>C-Schienenverbindungsstück</t>
  </si>
  <si>
    <t>Rev. 0306b</t>
  </si>
  <si>
    <t>Sicherheitskontaktleiste Teil 3</t>
  </si>
  <si>
    <t>Ausschreibung_GCC_vertikal_Rev.0305beta.xls</t>
  </si>
  <si>
    <t>0308380</t>
  </si>
  <si>
    <t>Sicherheitskontaktleiste Teil 4</t>
  </si>
  <si>
    <t>Rev. 0307b</t>
  </si>
  <si>
    <t>Ausschreibung_GCC_vertikal_Rev.0306beta.xls</t>
  </si>
  <si>
    <t>Befestigungsprofil Sicherheitskontaktlleiste GCC Schließrichtung vertikal verzinkt</t>
  </si>
  <si>
    <t>Schieberführungsprofilhalter verzinkt</t>
  </si>
  <si>
    <t>Schieberführungsprofilhalter V2A</t>
  </si>
  <si>
    <t>Befestigungsprofil Sicherheitskontaktlleiste GCC Schließrichtung vertikal V2A</t>
  </si>
  <si>
    <t>Rev. 0308b</t>
  </si>
  <si>
    <t>Sicherheitskontaktleiste Teil 5</t>
  </si>
  <si>
    <t>Ausschreibung_GCC_vertikal_Rev.0307beta.xls</t>
  </si>
  <si>
    <t>Kabel Gelbau</t>
  </si>
  <si>
    <t>Wandwinkel Klemmdose Sicherheitskontaktleiste verzinkt (bei Spiralk.)</t>
  </si>
  <si>
    <t>Wandwinkel Klemmdose Sicherheitskontaktleiste V2A (bei Spiralk.)</t>
  </si>
  <si>
    <t>Art.Nr:</t>
  </si>
  <si>
    <t>C-Schiene</t>
  </si>
  <si>
    <t>Befestigungsprofil Sicherheitskontaktlleiste</t>
  </si>
  <si>
    <t>Länge/Menge</t>
  </si>
  <si>
    <t>Sicherheits-
kontaktleiste:</t>
  </si>
  <si>
    <t>Sicherheitskontaktleistenbauteile für Element unten oder Komplettelement</t>
  </si>
  <si>
    <t>Deckelplatte Siko in Aufdopplung</t>
  </si>
  <si>
    <t>Aufdopplung Siko Lage 1</t>
  </si>
  <si>
    <t>Aufdopplung Siko Lage 2</t>
  </si>
  <si>
    <t>Aufdopplung Siko Lage 3+4</t>
  </si>
  <si>
    <t>Fireflystreifen 2mm selbstklebend 40mm</t>
  </si>
  <si>
    <t>Promasealstreifen selbstklebend 40mm</t>
  </si>
  <si>
    <t>Funk-Sender für Sicherheitskontaktleiste</t>
  </si>
  <si>
    <t>Klebeband für Sicherheitskontaktleiste</t>
  </si>
  <si>
    <t>Montageanleitung für Sicherheitskontaktleiste</t>
  </si>
  <si>
    <t>Reinigungsset für Sicherheitskontaktleiste</t>
  </si>
  <si>
    <t>Sicherheitskontaktleiste Teil 5 / Standard Führungsschienen verzinkt nicht mehr Auftragsbezogene Fertigung</t>
  </si>
  <si>
    <t>Rev. 0309b</t>
  </si>
  <si>
    <t>Ausschreibung_GCC_vertikal_Rev.0308beta.xls</t>
  </si>
  <si>
    <t>Abdeckblech Antrieb Einzelgurt 35 GCC vertikal verzinkt</t>
  </si>
  <si>
    <t>Abdeckblech Antrieb Einzelgurt 35 GCC vertikal V2A</t>
  </si>
  <si>
    <t>Abdeckblech Antrieb Doppelgurt GCC vertikal verzinkt</t>
  </si>
  <si>
    <t>Abdeckblech Antrieb Doppelgurt GCC vertikal V2A</t>
  </si>
  <si>
    <t>0308381</t>
  </si>
  <si>
    <t>0338381</t>
  </si>
  <si>
    <t>0308396</t>
  </si>
  <si>
    <t>0338396</t>
  </si>
  <si>
    <t>Rev. 0310b</t>
  </si>
  <si>
    <t>Dateneingabe/Liste/Stückliste: Abdeckbleche Gurtwickler (Griffschutz) eingepflegt</t>
  </si>
  <si>
    <t>Ausschreibung_GCC_vertikal_Rev.0309beta.xls</t>
  </si>
  <si>
    <t>Rev. 0311b</t>
  </si>
  <si>
    <t>Lager&amp;Montagematerial: Befestigungsmittel für Abdeckblech/Winkel Gurtwickler eingefügt</t>
  </si>
  <si>
    <t>Ausschreibung_GCC_vertikal_Rev.0310beta.xls</t>
  </si>
  <si>
    <t>Rev. 0312b</t>
  </si>
  <si>
    <t>Chechliste/Liste: Abdeckbleche Antrieb + Anschraubwinkel auf Checkliste gebracht, entsprechende Bezüge hergestellt</t>
  </si>
  <si>
    <t>Ausschreibung_GCC_vertikal_Rev.0311beta.xls</t>
  </si>
  <si>
    <t>Halteband V2A</t>
  </si>
  <si>
    <t>Checkliste: Halteband V2A einfefügt und Bezüge hergestellt</t>
  </si>
  <si>
    <t>Rev. 0313b</t>
  </si>
  <si>
    <t>Ausschreibung_GCC_vertikal_Rev.0312beta.xls</t>
  </si>
  <si>
    <t>Stückliste: Summenzeilen für Abdeckbleche Antrieb/Gurtwickler und Anschraubwinkel nachgetragen</t>
  </si>
  <si>
    <t>Rev. 0314b</t>
  </si>
  <si>
    <t>Ausschreibung_GCC_vertikal_Rev.0313beta.xls</t>
  </si>
  <si>
    <t>C-Profilschiene 2m Stück V2A</t>
  </si>
  <si>
    <t>C-Profilschiene 2m Stück verzinkt</t>
  </si>
  <si>
    <t>1410111</t>
  </si>
  <si>
    <t>0338380</t>
  </si>
  <si>
    <t>Rev. 0315b</t>
  </si>
  <si>
    <t>Stückliste/Liste/Schieberelemente: Für Sicherheitskontaktleiste fehlende Edelstahlteile eingefügt und Bezüge hergestellt</t>
  </si>
  <si>
    <t>Ausschreibung_GCC_vertikal_Rev.0314beta.xls</t>
  </si>
  <si>
    <t>Rev. 0316b</t>
  </si>
  <si>
    <t>Schieberblattelemente: Zellformatierung wiederhergestellt; Verknüpfungen und Namen bereinigt</t>
  </si>
  <si>
    <t>Ausschreibung_GCC_vertikal_Rev.0315beta.xls</t>
  </si>
  <si>
    <t>Rev. 0317b</t>
  </si>
  <si>
    <t>Liste: Antriebsvariante von Blatt "Blechfertigung" genommen</t>
  </si>
  <si>
    <t>Ausschreibung_GCC_vertikal_Rev.0316beta.xls</t>
  </si>
  <si>
    <t>Rev. 0318b</t>
  </si>
  <si>
    <t>0720188</t>
  </si>
  <si>
    <t>Stückliste:  Lager&amp;Montagematerial für Abdeckbleche Antrieb + Anschraubwinkel und Halteband V2A ergänzt; Lager&amp;Montagematerial: Material für Halteband V2A eingefügt</t>
  </si>
  <si>
    <t>Ausschreibung_GCC_vertikal_Rev.0317beta.xls</t>
  </si>
  <si>
    <t>Promatect H6 (Aussenlagen)</t>
  </si>
  <si>
    <t>Gipskarton GKF 18mm (Innenlagen)</t>
  </si>
  <si>
    <t>Promatect H6 (Raumseite Außenlage)</t>
  </si>
  <si>
    <t>Promatect H6 (Wandseite Außenlage)</t>
  </si>
  <si>
    <t>Gipskarton GKF 18mm (Raumseite Innenlage)</t>
  </si>
  <si>
    <t>Gipskarton GKF 18mm (Wandseite Innenlage)</t>
  </si>
  <si>
    <t>Rev. 0319b</t>
  </si>
  <si>
    <t>Renovierung Elementgrößen und Elementzuschnittsberechnung Teil 1</t>
  </si>
  <si>
    <t>Ausschreibung_GCC_vertikal_Rev.0318beta.xls</t>
  </si>
  <si>
    <r>
      <t xml:space="preserve">Promatect H6 </t>
    </r>
    <r>
      <rPr>
        <sz val="8"/>
        <rFont val="Arial"/>
        <family val="2"/>
      </rPr>
      <t>(Aufdopplung für durchlaufende Fördertechnik)</t>
    </r>
  </si>
  <si>
    <t>Rev. 0320b</t>
  </si>
  <si>
    <t>Renovierung Elementgrößen und Elementzuschnittsberechnung Teil 2</t>
  </si>
  <si>
    <t>Ausschreibung_GCC_vertikal_Rev.0319beta.xls</t>
  </si>
  <si>
    <t>Renovierung Elementgrößen und Elementzuschnittsberechnung Teil 3</t>
  </si>
  <si>
    <t>Rev. 0321b</t>
  </si>
  <si>
    <t>Ausschreibung_GCC_vertikal_Rev.0320beta.xls</t>
  </si>
  <si>
    <t>0115024</t>
  </si>
  <si>
    <t>0115023</t>
  </si>
  <si>
    <t>Rev. 0322b</t>
  </si>
  <si>
    <t>Lager&amp;Montagematerial: Korrektur Schraubenbezeichnung + Artikelnummer Halteband V2A</t>
  </si>
  <si>
    <t>Ausschreibung_GCC_vertikal_Rev.0321beta.xls</t>
  </si>
  <si>
    <t>Halteband Aufdopplung kurz</t>
  </si>
  <si>
    <t>Halteband Aufdopplung lang</t>
  </si>
  <si>
    <t>0338400</t>
  </si>
  <si>
    <t>Rev. 0323b</t>
  </si>
  <si>
    <t>Liste: Halteband Aufdopplung lang eingefügt</t>
  </si>
  <si>
    <t>Ausschreibung_GCC_vertikal_Rev.0322beta.xls</t>
  </si>
  <si>
    <t>Blatt Schieberelemente: Abstand Außenkante Schieber zu Außenkante Andockprofil</t>
  </si>
  <si>
    <t>Schieberelemente: Info zu Haltebändern entfernt, Elementmitte auf Fertigungsgestell eingefügt, Übergroße Andockprofile in Berechnung eingefügt; Berechnung &amp; Tabellen: Maß Außenkante Schieber zu Außenkante Andockprofil eingefügt</t>
  </si>
  <si>
    <t>Rev. 0324b</t>
  </si>
  <si>
    <t>Ausschreibung_GCC_vertikal_Rev.0323beta.xls</t>
  </si>
  <si>
    <t>0308401</t>
  </si>
  <si>
    <t>0338401</t>
  </si>
  <si>
    <t>0308402</t>
  </si>
  <si>
    <t>0338402</t>
  </si>
  <si>
    <t>0308403</t>
  </si>
  <si>
    <t>0338403</t>
  </si>
  <si>
    <t>Abdeckblech Siko Endstück links verzinkt</t>
  </si>
  <si>
    <t>Abdeckblech Siko Endstück links V2A</t>
  </si>
  <si>
    <t>Abdeckblech Siko Endstück rechts verzinkt</t>
  </si>
  <si>
    <t>Abdeckblech Siko Endstück rechts V2A</t>
  </si>
  <si>
    <t>Abdeckblech Siko mehrteilig verzinkt</t>
  </si>
  <si>
    <t>Abdeckblech Siko mehrteilig V2A</t>
  </si>
  <si>
    <t>Rev. 0325b</t>
  </si>
  <si>
    <t>Halteband Aufdopplung</t>
  </si>
  <si>
    <t>Liste/Stückliste/Arbeitsplan: Abdeckbleche Siko eingebaut Teil 1; Arbeitsplan: Halteband umbenannt, da jetzt kurz und lang vorhanden, lang aber noch nicht anwählbar</t>
  </si>
  <si>
    <t>Ausschreibung_GCC_vertikal_Rev.0324beta.xls</t>
  </si>
  <si>
    <t>hinten                               Blechbelegung V2A                                                vorn</t>
  </si>
  <si>
    <t>hinten                             Blechbelegung verzinkt                                             vorn</t>
  </si>
  <si>
    <t>:Festfeld V2A                                                                    Materialausführung Stahlblech verzinkt:</t>
  </si>
  <si>
    <t>:Festfeld verzinkt                                                 Materialausführung Edelstahlblech V2A blank:</t>
  </si>
  <si>
    <t>Rev. 0326b</t>
  </si>
  <si>
    <t>Liste: Abdeckbleche Siko eingebaut Teil 2</t>
  </si>
  <si>
    <t>Ausschreibung_GCC_vertikal_Rev.0325beta.xls</t>
  </si>
  <si>
    <t>Haltebänder Aufdopplung</t>
  </si>
  <si>
    <t>kurz (455mm)</t>
  </si>
  <si>
    <t>lang (955mm)</t>
  </si>
  <si>
    <t>Rev. 0327b</t>
  </si>
  <si>
    <t>Dateneingabe: Auswahlmöglichkeit Halteband Aufdopplung eingefügt/Arbeitsplan &amp; Liste:Formeln Haltebänder korrigiert</t>
  </si>
  <si>
    <t>Ausschreibung_GCC_vertikal_Rev.0326beta.xls</t>
  </si>
  <si>
    <t>Liste/Stückliste: Fehlerkorrektur Bauteile Sicherheitskontaktleiste</t>
  </si>
  <si>
    <t>Rev. 0328b</t>
  </si>
  <si>
    <t>Ausschreibung_GCC_vertikal_Rev.0327beta.xls</t>
  </si>
  <si>
    <t xml:space="preserve">Zünder auch </t>
  </si>
  <si>
    <t>auf der Rückseite!</t>
  </si>
  <si>
    <t>Zusatzoption</t>
  </si>
  <si>
    <t>Tabellenblatt Zuschnitt Intumest Blöcke renoviert</t>
  </si>
  <si>
    <t>Rev. 0329b</t>
  </si>
  <si>
    <t>Ausschreibung_GCC_vertikal_Rev.0328beta.xls</t>
  </si>
  <si>
    <t>Zollabwicklung:</t>
  </si>
  <si>
    <t>Zollabwicklung</t>
  </si>
  <si>
    <t>Auftrags-Nr.:</t>
  </si>
  <si>
    <t>Projektleiter:</t>
  </si>
  <si>
    <t>Rev. 0330b</t>
  </si>
  <si>
    <t>IPPC:</t>
  </si>
  <si>
    <t>IPPC</t>
  </si>
  <si>
    <t>Dateneingabe: Zollabwicklung, IPPC eingefügt</t>
  </si>
  <si>
    <t>Ausschreibung_GCC_vertikal_Rev.0329beta.xls</t>
  </si>
  <si>
    <t>Rev. 0331b</t>
  </si>
  <si>
    <t>Stückliste: Spalten W, X, Y, und Z für Ansteuerung Jentschmann reserviert</t>
  </si>
  <si>
    <t>Dateneingabe: Eingabehinweis für Griffschutz Gurtwickler und IPPC eingefügt</t>
  </si>
  <si>
    <t>Rev. 0332b</t>
  </si>
  <si>
    <t>Ausschreibung_GCC_vertikal_Rev.0331beta.xls</t>
  </si>
  <si>
    <t>Liste: Teile (Endstücke für Abdeckbleche) zwecks Variantenumstellung von Blechliste genommen (Jetzt leere Felder bei Blech orange gekennzeichnet)</t>
  </si>
  <si>
    <t>Rev. 0333b</t>
  </si>
  <si>
    <t>Ausschreibung_GCC_vertikal_Rev.0332beta.xls</t>
  </si>
  <si>
    <t>Rev. 0334b</t>
  </si>
  <si>
    <t>Liste: Zellbezüge Abdeckbleche Antriebe korrigiert</t>
  </si>
  <si>
    <t>Ausschreibung_GCC_vertikal_Rev.0333beta.xls</t>
  </si>
  <si>
    <t>Rev. 0335b</t>
  </si>
  <si>
    <t>Blechfertigung: Makro für den Datenübertrag repariert</t>
  </si>
  <si>
    <t>Ausschreibung_GCC_vertikal_Rev.0334beta.xls</t>
  </si>
  <si>
    <t>Stahlzuschnitt: Makro für den Datenübertrag repariert</t>
  </si>
  <si>
    <t>Rev. 0336b</t>
  </si>
  <si>
    <t>Ausschreibung_GCC_vertikal_Rev.0335beta.xls</t>
  </si>
  <si>
    <t>Rahmenarbeitsplannummer</t>
  </si>
  <si>
    <t>Rev. 0337b</t>
  </si>
  <si>
    <t>Dateneingabe/Stückliste: Übergabe der Rahmenarbeitsplannummer APL</t>
  </si>
  <si>
    <t>Ausschreibung_GCC_vertikal_Rev.0336beta.xls</t>
  </si>
  <si>
    <t>Stückliste: Spalte P alle Einträge gelöscht um Fehler bei Übergabe in B7 zu vermeiden; Dateneingabe: Dateneingabe: "Verpackungshinweis" + "Lager&amp;Montagematerial beim" eingebaut</t>
  </si>
  <si>
    <t>Rev. 0338b</t>
  </si>
  <si>
    <t>Ausschreibung_GCC_vertikal_Rev.0337beta.xls</t>
  </si>
  <si>
    <t>Wellpapp-Faltkartons 380 x 285 x 280 mm (für Kleinkram auf Palette)</t>
  </si>
  <si>
    <t>0709356</t>
  </si>
  <si>
    <t>Rev. 0339b</t>
  </si>
  <si>
    <t>Liste/Stückliste: Wellpapp-Faltkarton 380 x 285 x 280 mm zum Packen von Kleinteilen eingefügt</t>
  </si>
  <si>
    <t>Ausschreibung_GCC_vertikal_Rev.0338beta.xls</t>
  </si>
  <si>
    <t>Oberfläche Stahlteile</t>
  </si>
  <si>
    <t>Fläche Pulverbeschichtung</t>
  </si>
  <si>
    <t>Farbton Pulverbeschichtung</t>
  </si>
  <si>
    <t>Rev. 0340b</t>
  </si>
  <si>
    <t>Dateneingabe: Liste Sachmerkmale erweitert</t>
  </si>
  <si>
    <t>Ausschreibung_GCC_vertikal_Rev.0339beta.xls</t>
  </si>
  <si>
    <t>gestrichen</t>
  </si>
  <si>
    <t>Blech verzinkt</t>
  </si>
  <si>
    <t>Blech V2A</t>
  </si>
  <si>
    <t>Blech Pulverb.</t>
  </si>
  <si>
    <t>Farbton Dispersionsfarbe</t>
  </si>
  <si>
    <t>Rev. 0341b</t>
  </si>
  <si>
    <t>Oberflächenbehandlung Schieber</t>
  </si>
  <si>
    <t>Feuerwiderstandsklasse</t>
  </si>
  <si>
    <t>Dateneingabe: Berechnungsformeln Liste Sachmerkmale ergänzt</t>
  </si>
  <si>
    <t>Ausschreibung_GCC_vertikal_Rev.0340beta.xls</t>
  </si>
  <si>
    <t>0709255</t>
  </si>
  <si>
    <t>Mit Motorschalter (ABM Motor: 1139012, SEW Motor: 0720016)</t>
  </si>
  <si>
    <t>Siko Tapeswitch: Artikelnummer Klebeband geändert; Antriebsfertigung: "Mit Motorschalter" geändert -&gt; jetzt mit Artikelnummern</t>
  </si>
  <si>
    <t>Rev. 0342b</t>
  </si>
  <si>
    <t>Ausschreibung_GCC_vertikal_Rev.0341beta.xls</t>
  </si>
  <si>
    <t>Liste: "Etiketten DIN A5 weiß auf Bogen DIN A4" Anzahl generell auf 4 erhöht</t>
  </si>
  <si>
    <t>Rev. 0343b</t>
  </si>
  <si>
    <t>Ausschreibung_GCC_vertikal_Rev.0342beta.xls</t>
  </si>
  <si>
    <t>Volumen Pckstücke</t>
  </si>
  <si>
    <t>Summe in m³</t>
  </si>
  <si>
    <t>Höhenberechnung Paletten</t>
  </si>
  <si>
    <t>Gewichte ingesamt:</t>
  </si>
  <si>
    <t>Elementkisten</t>
  </si>
  <si>
    <t>Netto</t>
  </si>
  <si>
    <t>Tara</t>
  </si>
  <si>
    <t>Brutto</t>
  </si>
  <si>
    <t>Anzahl der Elemente (max 6stk) x 130 +200reserve</t>
  </si>
  <si>
    <t>Standardpalette</t>
  </si>
  <si>
    <t>7104081</t>
  </si>
  <si>
    <t>Schieberblatt komplett</t>
  </si>
  <si>
    <t>paletten</t>
  </si>
  <si>
    <t>Verstärkte Palette</t>
  </si>
  <si>
    <t>7104054</t>
  </si>
  <si>
    <t>kisten</t>
  </si>
  <si>
    <t>Schieberblatthöhe</t>
  </si>
  <si>
    <t>Anfangselemente</t>
  </si>
  <si>
    <t>Langteilekiste</t>
  </si>
  <si>
    <t>IPPC Verpackung</t>
  </si>
  <si>
    <t>Zwischenelemente</t>
  </si>
  <si>
    <t>Höhe Antrieb (175/160) + 100 reserve</t>
  </si>
  <si>
    <t>Zusatzpalette (EP2)</t>
  </si>
  <si>
    <t>7104044</t>
  </si>
  <si>
    <t>Abschlusselemente</t>
  </si>
  <si>
    <t>Brett für Schieberrahmen</t>
  </si>
  <si>
    <t>Brett 180,00 x 23,00</t>
  </si>
  <si>
    <t>Zusatzkiste</t>
  </si>
  <si>
    <t>in Geschlossener Holzkiste</t>
  </si>
  <si>
    <t>Aufrunden(Fläche festfeld : Fläche Palette)*150   +  200 reserve</t>
  </si>
  <si>
    <t>Spielwiese</t>
  </si>
  <si>
    <t>10200 ohneFF</t>
  </si>
  <si>
    <t>Seefeste Verpackung</t>
  </si>
  <si>
    <t>Kiste?</t>
  </si>
  <si>
    <t>Verpackungsmaßrelevante Bauteile</t>
  </si>
  <si>
    <t xml:space="preserve"> benötigte Paletten</t>
  </si>
  <si>
    <t>Schieberblattelemente</t>
  </si>
  <si>
    <t>Gewicht</t>
  </si>
  <si>
    <t>Dichte:</t>
  </si>
  <si>
    <t>►</t>
  </si>
  <si>
    <t>oder Komplettelemente</t>
  </si>
  <si>
    <t>Breitestes Element</t>
  </si>
  <si>
    <t>Porenbeton</t>
  </si>
  <si>
    <t>kg/m³</t>
  </si>
  <si>
    <t>kg/mm³</t>
  </si>
  <si>
    <t>kg/dm³</t>
  </si>
  <si>
    <t>kg/cm³</t>
  </si>
  <si>
    <t>Promat</t>
  </si>
  <si>
    <t>Stahl</t>
  </si>
  <si>
    <t>Aluminium</t>
  </si>
  <si>
    <t>Gips</t>
  </si>
  <si>
    <t>Ein Ytong Stein 150x620x250</t>
  </si>
  <si>
    <t>Abschlussselemente</t>
  </si>
  <si>
    <t>Holz (zB Fichte)</t>
  </si>
  <si>
    <t>(Tanne 320-710kg/m³ ; Fichte 300-640kg/m³ ; Kiefer 300-860kg/m³)</t>
  </si>
  <si>
    <t>Gesamtanzahl Elemente</t>
  </si>
  <si>
    <t>Werte ohne Langteilberücksichtigung</t>
  </si>
  <si>
    <t>Langteile</t>
  </si>
  <si>
    <t>kg/m</t>
  </si>
  <si>
    <t>Welle</t>
  </si>
  <si>
    <t>Motor</t>
  </si>
  <si>
    <t>Antiebswellenadapter</t>
  </si>
  <si>
    <t>Wikelmimikdingsteile auf welle</t>
  </si>
  <si>
    <t>oberer Schieberrahmen</t>
  </si>
  <si>
    <t>Längstes Teil</t>
  </si>
  <si>
    <t>breitestes Teil</t>
  </si>
  <si>
    <t>Mitverpacken auf Elementpalette möglich 
(maximal 4Elemente auf einer Palette)</t>
  </si>
  <si>
    <t>60x3</t>
  </si>
  <si>
    <t>180 W</t>
  </si>
  <si>
    <t>beide</t>
  </si>
  <si>
    <t>60x5</t>
  </si>
  <si>
    <t>750 W</t>
  </si>
  <si>
    <t>1,5 kW</t>
  </si>
  <si>
    <t>unterer Schieberrahmen</t>
  </si>
  <si>
    <t>Langteile sind kürzer als Elementpalette</t>
  </si>
  <si>
    <t>2x1,5 kW</t>
  </si>
  <si>
    <t>Wandrahmen</t>
  </si>
  <si>
    <t>summe:</t>
  </si>
  <si>
    <t>Antriebswelle</t>
  </si>
  <si>
    <t>Langteile sind schmaler als Elementpalette</t>
  </si>
  <si>
    <t>Kettenumlenkungsprofil</t>
  </si>
  <si>
    <t>Festfeldfläche (oder deren hälfte) ist kleiner als Schieber- bzw. Elementfläche</t>
  </si>
  <si>
    <t>Komplettbauweise des Schieberblatts (ermöglicht doppelte Zuladung an Festfeldmaterial)</t>
  </si>
  <si>
    <t>Langteile unter 400mm übermaß</t>
  </si>
  <si>
    <t>Einlaufprofil</t>
  </si>
  <si>
    <t>Übermaß Langteile</t>
  </si>
  <si>
    <t>Platten für  Auflaufkonsolen</t>
  </si>
  <si>
    <t>Laufschiene</t>
  </si>
  <si>
    <t>Schieberführung</t>
  </si>
  <si>
    <t>Sonderteile</t>
  </si>
  <si>
    <t>z.B. Laibungsfestfelder, Hilfsrahmen usw.</t>
  </si>
  <si>
    <t>Anzahl Gesamt</t>
  </si>
  <si>
    <t>Festfeld und Zusatzmaterial</t>
  </si>
  <si>
    <t>Porenbetonsteine</t>
  </si>
  <si>
    <t>verz</t>
  </si>
  <si>
    <t>v2a</t>
  </si>
  <si>
    <t>Festfeldkonsolen</t>
  </si>
  <si>
    <t>Festfeldkonsolen 300mm</t>
  </si>
  <si>
    <t>Festfeldkonsolen 500mm</t>
  </si>
  <si>
    <t>Gußgewichte</t>
  </si>
  <si>
    <t>Schieberaufdopplung</t>
  </si>
  <si>
    <t>FT Manschette 1</t>
  </si>
  <si>
    <t>Fö.-Manschetten Platten</t>
  </si>
  <si>
    <t>FT Manschette 2</t>
  </si>
  <si>
    <t>Deckplatte</t>
  </si>
  <si>
    <t>Gesamtgewicht</t>
  </si>
  <si>
    <t>Summe:</t>
  </si>
  <si>
    <t>stk/m</t>
  </si>
  <si>
    <t>kg/stk ; kg/m</t>
  </si>
  <si>
    <t>summe</t>
  </si>
  <si>
    <t>Strukturdämpfer links mit Halter</t>
  </si>
  <si>
    <t>Strukturdämpfer rechts mit halter</t>
  </si>
  <si>
    <t>Schieberführungshalter</t>
  </si>
  <si>
    <t>Verkrallungsmutter</t>
  </si>
  <si>
    <t>Verkrallungen</t>
  </si>
  <si>
    <t>Rollenkette</t>
  </si>
  <si>
    <t>Abhängung komplett</t>
  </si>
  <si>
    <t>Endschalter geöffnet</t>
  </si>
  <si>
    <t>Verpackung gemäß IPPC Standard</t>
  </si>
  <si>
    <t>Verpackungsvorgabe:</t>
  </si>
  <si>
    <t>Festfeldmaterial separat verpacken</t>
  </si>
  <si>
    <t>Montagematerial in Packstück:</t>
  </si>
  <si>
    <t>Packstück Schieberblatt / Komplettverpackung:</t>
  </si>
  <si>
    <t>Packstück Festfeld:</t>
  </si>
  <si>
    <t>Packstück Schieberblatt</t>
  </si>
  <si>
    <t>Packstück Festfeld</t>
  </si>
  <si>
    <t>Rev. 0344b</t>
  </si>
  <si>
    <t>Dateneingabe/Checkliste: Änderung der Verpackungsangaben (IPPC;Verpackungsvorgabe und Montagemateialzuweisung) sowie erstellen der Verknüpfungen mit dem Checklistenkopf</t>
  </si>
  <si>
    <t>mit Eingriffschutz</t>
  </si>
  <si>
    <t>Eingriffschutz Gurtwickler</t>
  </si>
  <si>
    <t>Eingriffschutz Gurtwickler:</t>
  </si>
  <si>
    <t>Ausschreibung_GCC_vertikal_Rev.0343beta.xls</t>
  </si>
  <si>
    <t>Rev. 0345b</t>
  </si>
  <si>
    <t>Liste: Endschalter geöffnet V2A (0336277) eingebunden; Liste: Leichen entfernt Teil 1 (alte Preiskalkulation); Kalkulation: Blatt "Kalkulation" gelöscht</t>
  </si>
  <si>
    <t>Ausschreibung_GCC_vertikal_Rev.0344beta.xls</t>
  </si>
  <si>
    <t>Schnellbauschraube mit Bohrspitze 3,5x35</t>
  </si>
  <si>
    <t>Schnellbauschraube m. Bohrspitze 3,5X35</t>
  </si>
  <si>
    <t>Liste: "angelegt/verwendbar" bearbeitet, Gewichtsberechnung Schieber korrigiert</t>
  </si>
  <si>
    <t>Rev. 0346b</t>
  </si>
  <si>
    <t>Ausschreibung_GCC_vertikal_Rev.0345beta.xls</t>
  </si>
  <si>
    <t>Rev. 0347b</t>
  </si>
  <si>
    <t>Liste/Stückliste: Leere Zeilen entfernt</t>
  </si>
  <si>
    <t>Ausschreibung_GCC_vertikal_Rev.0346beta.xls</t>
  </si>
  <si>
    <r>
      <t>Gesamtfläche</t>
    </r>
    <r>
      <rPr>
        <b/>
        <vertAlign val="subscript"/>
        <sz val="18"/>
        <rFont val="Arial"/>
        <family val="2"/>
      </rPr>
      <t>real</t>
    </r>
    <r>
      <rPr>
        <b/>
        <sz val="18"/>
        <rFont val="Arial"/>
        <family val="2"/>
      </rPr>
      <t>:</t>
    </r>
  </si>
  <si>
    <r>
      <t>Gesamtfläche</t>
    </r>
    <r>
      <rPr>
        <b/>
        <vertAlign val="subscript"/>
        <sz val="18"/>
        <rFont val="Arial"/>
        <family val="2"/>
      </rPr>
      <t>fiktiv</t>
    </r>
    <r>
      <rPr>
        <b/>
        <sz val="18"/>
        <rFont val="Arial"/>
        <family val="2"/>
      </rPr>
      <t>:</t>
    </r>
  </si>
  <si>
    <t>Kleinteile mit je 0,2 gerechnet</t>
  </si>
  <si>
    <r>
      <t>Gesamtfläche</t>
    </r>
    <r>
      <rPr>
        <b/>
        <vertAlign val="subscript"/>
        <sz val="18"/>
        <rFont val="Arial"/>
        <family val="2"/>
      </rPr>
      <t>foliert</t>
    </r>
    <r>
      <rPr>
        <b/>
        <sz val="18"/>
        <rFont val="Arial"/>
        <family val="2"/>
      </rPr>
      <t>:</t>
    </r>
  </si>
  <si>
    <t>Standard Stahlteile beschichtet:</t>
  </si>
  <si>
    <t>Schieberblatt Raumseite beschichtet:</t>
  </si>
  <si>
    <r>
      <t>Fläche</t>
    </r>
    <r>
      <rPr>
        <b/>
        <vertAlign val="subscript"/>
        <sz val="14"/>
        <rFont val="Arial"/>
        <family val="2"/>
      </rPr>
      <t>real</t>
    </r>
    <r>
      <rPr>
        <b/>
        <sz val="14"/>
        <rFont val="Arial"/>
        <family val="2"/>
      </rPr>
      <t>:</t>
    </r>
  </si>
  <si>
    <r>
      <t>Fläche</t>
    </r>
    <r>
      <rPr>
        <b/>
        <vertAlign val="subscript"/>
        <sz val="14"/>
        <rFont val="Arial"/>
        <family val="2"/>
      </rPr>
      <t>foliert</t>
    </r>
    <r>
      <rPr>
        <b/>
        <sz val="14"/>
        <rFont val="Arial"/>
        <family val="2"/>
      </rPr>
      <t>:</t>
    </r>
  </si>
  <si>
    <r>
      <t>Fläche</t>
    </r>
    <r>
      <rPr>
        <b/>
        <vertAlign val="subscript"/>
        <sz val="14"/>
        <rFont val="Arial"/>
        <family val="2"/>
      </rPr>
      <t>fiktiv</t>
    </r>
    <r>
      <rPr>
        <b/>
        <sz val="14"/>
        <rFont val="Arial"/>
        <family val="2"/>
      </rPr>
      <t>:</t>
    </r>
  </si>
  <si>
    <t>Schieberblatt Wandseite beschichtet:</t>
  </si>
  <si>
    <t>Festfeld beschichtet:</t>
  </si>
  <si>
    <t>Länge:</t>
  </si>
  <si>
    <t>Breite:</t>
  </si>
  <si>
    <r>
      <t>Faktor</t>
    </r>
    <r>
      <rPr>
        <b/>
        <vertAlign val="subscript"/>
        <sz val="10"/>
        <rFont val="Arial"/>
        <family val="2"/>
      </rPr>
      <t>Lack</t>
    </r>
    <r>
      <rPr>
        <b/>
        <sz val="10"/>
        <rFont val="Arial"/>
        <family val="2"/>
      </rPr>
      <t>:</t>
    </r>
  </si>
  <si>
    <r>
      <t>Faktor</t>
    </r>
    <r>
      <rPr>
        <b/>
        <vertAlign val="subscript"/>
        <sz val="10"/>
        <rFont val="Arial"/>
        <family val="2"/>
      </rPr>
      <t>Folie</t>
    </r>
    <r>
      <rPr>
        <b/>
        <sz val="10"/>
        <rFont val="Arial"/>
        <family val="2"/>
      </rPr>
      <t>:</t>
    </r>
  </si>
  <si>
    <t>Abdeckblech Aufdopplung einteilig / AD150</t>
  </si>
  <si>
    <t>Nur sichtseitig beschichten!</t>
  </si>
  <si>
    <t>Verkleidungsblech Schieberelement komplett/oben hinten</t>
  </si>
  <si>
    <t>Ausschreibung_GCC_vertikal_Rev.0347beta.xls</t>
  </si>
  <si>
    <t>Gurtanbindung: Gurtbefestigungsprofil (0308065)</t>
  </si>
  <si>
    <t>Gurtanbindung: Basisprofil (0308064)</t>
  </si>
  <si>
    <t>Gurtanbindung: Lochpositionierungsblech (0308262)</t>
  </si>
  <si>
    <t>Gurtanbindung: Gurtklemme 35mm Gurt (0306106)</t>
  </si>
  <si>
    <t>Gurtanbindung: Gurtklemme 74mm Gurt (0306117)</t>
  </si>
  <si>
    <t>Gurtanbindung: Unterlegewinkel (0308102)</t>
  </si>
  <si>
    <t>Gurtanbindung: Unterleger (0308101)</t>
  </si>
  <si>
    <t>Gurtanbindung: Gurtbefestigungswinkel (0308100)</t>
  </si>
  <si>
    <t>e</t>
  </si>
  <si>
    <t>Ausschreibung_GCC_vertikal_Rev.0348beta.xls</t>
  </si>
  <si>
    <t>kurze Kantung beschichten reicht!</t>
  </si>
  <si>
    <t>Sichtseitig beschichten!</t>
  </si>
  <si>
    <t>Verkleidungsblech Schieberlement unten vorne (r0, AD, AD150)</t>
  </si>
  <si>
    <t>Verkleidungsblech Schieberelement komplett/oben vorne (Doppelgurt, Einzelgurt, r0, AD, AD150)</t>
  </si>
  <si>
    <t>Ausschreibung_GCC_vertikal_Rev.0349beta.xls</t>
  </si>
  <si>
    <t>Lackliste: Neue Lackliste eingefügt, Verknüpfungen im Kopf hergestellt</t>
  </si>
  <si>
    <t>Rev. 0348b</t>
  </si>
  <si>
    <t>Rev. 0349b</t>
  </si>
  <si>
    <t>Lackliste: Teile zugeordnet, Zeichnungen eingefügt</t>
  </si>
  <si>
    <t>Rev. 0350b</t>
  </si>
  <si>
    <t>Lackliste: Berechnung Anzahlen erstellt</t>
  </si>
  <si>
    <t>Rev. 0351b</t>
  </si>
  <si>
    <t>Stückliste: APLIDENTNR entfernt</t>
  </si>
  <si>
    <t>Ausschreibung_GCC_vertikal_Rev.0350beta.xls</t>
  </si>
  <si>
    <t>Schnellbauschraube Kreuzschlitz 3,5 x 35</t>
  </si>
  <si>
    <t>Rev. 0352b</t>
  </si>
  <si>
    <t>Ausschreibung_GCC_vertikal_Rev.0351beta.xls</t>
  </si>
  <si>
    <t xml:space="preserve"> Lager und Montagematerial: Fehler "#BEZUG" bei Anzahl Schnellbauschrauben behoben; Liste: Zeile 194 "Schnellbauschraube Kreuzschlitz" wieder hergestellt; Berechnungen &amp; Tabellen: C39 Anzahl Schnellbauschr. Berechnung geändert</t>
  </si>
  <si>
    <t>Rev. 0353b</t>
  </si>
  <si>
    <t>Berechnung &amp; Tabellen: erhöhung der Anzahl der Schrauben zur Elementverbindung</t>
  </si>
  <si>
    <t>Ausschreibung_GCC_vertikal_Rev.0352beta.xls</t>
  </si>
  <si>
    <t>Ausschreibung_GCC_vertikal_Rev.0353beta.xls</t>
  </si>
  <si>
    <t>Abdeckblech Aufdopplung mehrteilig / AD150 / Siko</t>
  </si>
  <si>
    <t>Abdeckblech Endstücke links/rechts (AD/AD150/Siko)</t>
  </si>
  <si>
    <t>Lackliste: Bezüge für Maße teilweise hergestellt, noch fehlende Teile bzw. Bezüge rot markiert</t>
  </si>
  <si>
    <t>Rev. 0354b</t>
  </si>
  <si>
    <t>Führungsschienen</t>
  </si>
  <si>
    <t>Lackliste: fehlende/rot markierte Teile fertiggestellt</t>
  </si>
  <si>
    <t>Rev. 0355b</t>
  </si>
  <si>
    <t>Ausschreibung_GCC_vertikal_Rev.0354beta.xls</t>
  </si>
  <si>
    <t>Lager&amp;Montagematerial/Stückliste: Aufkleber 4002002 und 4002005 entfernt (Mail Olaf Grunenberg)</t>
  </si>
  <si>
    <t>Rev. 0356b</t>
  </si>
  <si>
    <t>Ausschreibung_GCC_vertikal_Rev.0355beta.xls</t>
  </si>
  <si>
    <t>Lackliste: Korrektur Beschichtungshinweis: Verkleidungsblech Schieberelement komplett/oben vorne (Doppelgurt, Einzelgurt, r0, AD, AD150)</t>
  </si>
  <si>
    <t>Rev. 0357b</t>
  </si>
  <si>
    <t>Ausschreibung_GCC_vertikal_Rev.0356beta.xls</t>
  </si>
  <si>
    <t>Liste: Fehler Zuschnittsbrechnung ; korrigiert</t>
  </si>
  <si>
    <t>Rev. 0358b</t>
  </si>
  <si>
    <t>Ausschreibung_GCC_vertikal_Rev.0357beta.xls</t>
  </si>
  <si>
    <t>000031</t>
  </si>
  <si>
    <t>000032</t>
  </si>
  <si>
    <t>000139</t>
  </si>
  <si>
    <t>000140</t>
  </si>
  <si>
    <t>000141</t>
  </si>
  <si>
    <t>000142</t>
  </si>
  <si>
    <t>000143</t>
  </si>
  <si>
    <t>000148</t>
  </si>
  <si>
    <t>000168</t>
  </si>
  <si>
    <t>000169</t>
  </si>
  <si>
    <t>000170</t>
  </si>
  <si>
    <t>000171</t>
  </si>
  <si>
    <t>000172</t>
  </si>
  <si>
    <t>000185</t>
  </si>
  <si>
    <t>000186</t>
  </si>
  <si>
    <t>000187</t>
  </si>
  <si>
    <t>000188</t>
  </si>
  <si>
    <t>000189</t>
  </si>
  <si>
    <t>000268</t>
  </si>
  <si>
    <t>000303</t>
  </si>
  <si>
    <t>000304</t>
  </si>
  <si>
    <t>000305</t>
  </si>
  <si>
    <t>000306</t>
  </si>
  <si>
    <t>000307</t>
  </si>
  <si>
    <t>000308</t>
  </si>
  <si>
    <t>000309</t>
  </si>
  <si>
    <t>000310</t>
  </si>
  <si>
    <t>000311</t>
  </si>
  <si>
    <t>000312</t>
  </si>
  <si>
    <t>000313</t>
  </si>
  <si>
    <t>000314</t>
  </si>
  <si>
    <t>000315</t>
  </si>
  <si>
    <t>000316</t>
  </si>
  <si>
    <t>000324</t>
  </si>
  <si>
    <t>000325</t>
  </si>
  <si>
    <t>000326</t>
  </si>
  <si>
    <t>000327</t>
  </si>
  <si>
    <t>000328</t>
  </si>
  <si>
    <t>000329</t>
  </si>
  <si>
    <t>000330</t>
  </si>
  <si>
    <t>000331</t>
  </si>
  <si>
    <t>000332</t>
  </si>
  <si>
    <t>000333</t>
  </si>
  <si>
    <t>000334</t>
  </si>
  <si>
    <t>000335</t>
  </si>
  <si>
    <t>000336</t>
  </si>
  <si>
    <t>000337</t>
  </si>
  <si>
    <t>000338</t>
  </si>
  <si>
    <t>000339</t>
  </si>
  <si>
    <t>000340</t>
  </si>
  <si>
    <t>000341</t>
  </si>
  <si>
    <t>000342</t>
  </si>
  <si>
    <t>000343</t>
  </si>
  <si>
    <t>000344</t>
  </si>
  <si>
    <t>000345</t>
  </si>
  <si>
    <t>000346</t>
  </si>
  <si>
    <t>000347</t>
  </si>
  <si>
    <t>000348</t>
  </si>
  <si>
    <t>000349</t>
  </si>
  <si>
    <t>000350</t>
  </si>
  <si>
    <t>000351</t>
  </si>
  <si>
    <t>000352</t>
  </si>
  <si>
    <t>000353</t>
  </si>
  <si>
    <t>000354</t>
  </si>
  <si>
    <t>000355</t>
  </si>
  <si>
    <t>000356</t>
  </si>
  <si>
    <t>000357</t>
  </si>
  <si>
    <t>000358</t>
  </si>
  <si>
    <t>000359</t>
  </si>
  <si>
    <t>000360</t>
  </si>
  <si>
    <t>000361</t>
  </si>
  <si>
    <t>000362</t>
  </si>
  <si>
    <t>000363</t>
  </si>
  <si>
    <t>000364</t>
  </si>
  <si>
    <t>000365</t>
  </si>
  <si>
    <t>000366</t>
  </si>
  <si>
    <t>000367</t>
  </si>
  <si>
    <t>000368</t>
  </si>
  <si>
    <t>000369</t>
  </si>
  <si>
    <t>000370</t>
  </si>
  <si>
    <t>000371</t>
  </si>
  <si>
    <t>000372</t>
  </si>
  <si>
    <t>000373</t>
  </si>
  <si>
    <t>000374</t>
  </si>
  <si>
    <t>000375</t>
  </si>
  <si>
    <t>000376</t>
  </si>
  <si>
    <t>000377</t>
  </si>
  <si>
    <t>000378</t>
  </si>
  <si>
    <t>000379</t>
  </si>
  <si>
    <t>000380</t>
  </si>
  <si>
    <t>000381</t>
  </si>
  <si>
    <t>000382</t>
  </si>
  <si>
    <t>000383</t>
  </si>
  <si>
    <t>000384</t>
  </si>
  <si>
    <t>000385</t>
  </si>
  <si>
    <t>000386</t>
  </si>
  <si>
    <t>000387</t>
  </si>
  <si>
    <t>000388</t>
  </si>
  <si>
    <t>000389</t>
  </si>
  <si>
    <t>000390</t>
  </si>
  <si>
    <t>000391</t>
  </si>
  <si>
    <t>000392</t>
  </si>
  <si>
    <t>000393</t>
  </si>
  <si>
    <t>000394</t>
  </si>
  <si>
    <t>000395</t>
  </si>
  <si>
    <t>000396</t>
  </si>
  <si>
    <t>000397</t>
  </si>
  <si>
    <t>000398</t>
  </si>
  <si>
    <t>000399</t>
  </si>
  <si>
    <t>000400</t>
  </si>
  <si>
    <t>000401</t>
  </si>
  <si>
    <t>000402</t>
  </si>
  <si>
    <t>000403</t>
  </si>
  <si>
    <t>000404</t>
  </si>
  <si>
    <t>000405</t>
  </si>
  <si>
    <t>000406</t>
  </si>
  <si>
    <t>000407</t>
  </si>
  <si>
    <t>000408</t>
  </si>
  <si>
    <t>000409</t>
  </si>
  <si>
    <t>000410</t>
  </si>
  <si>
    <t>000411</t>
  </si>
  <si>
    <t>000412</t>
  </si>
  <si>
    <t>000413</t>
  </si>
  <si>
    <t>000414</t>
  </si>
  <si>
    <t>000415</t>
  </si>
  <si>
    <t>000416</t>
  </si>
  <si>
    <t>000417</t>
  </si>
  <si>
    <t>000418</t>
  </si>
  <si>
    <t>000419</t>
  </si>
  <si>
    <t>000420</t>
  </si>
  <si>
    <t>000421</t>
  </si>
  <si>
    <t>000422</t>
  </si>
  <si>
    <t>000423</t>
  </si>
  <si>
    <t>000424</t>
  </si>
  <si>
    <t>000425</t>
  </si>
  <si>
    <t>000426</t>
  </si>
  <si>
    <t>000427</t>
  </si>
  <si>
    <t>000428</t>
  </si>
  <si>
    <t>000429</t>
  </si>
  <si>
    <t>000430</t>
  </si>
  <si>
    <t>000431</t>
  </si>
  <si>
    <t>000432</t>
  </si>
  <si>
    <t>000433</t>
  </si>
  <si>
    <t>000434</t>
  </si>
  <si>
    <t>000435</t>
  </si>
  <si>
    <t>000436</t>
  </si>
  <si>
    <t>000437</t>
  </si>
  <si>
    <t>000438</t>
  </si>
  <si>
    <t>000439</t>
  </si>
  <si>
    <t>000440</t>
  </si>
  <si>
    <t>000441</t>
  </si>
  <si>
    <t>000442</t>
  </si>
  <si>
    <t>000443</t>
  </si>
  <si>
    <t>000444</t>
  </si>
  <si>
    <t>000446</t>
  </si>
  <si>
    <t>000447</t>
  </si>
  <si>
    <t>000448</t>
  </si>
  <si>
    <t>000455</t>
  </si>
  <si>
    <t>000456</t>
  </si>
  <si>
    <t>000457</t>
  </si>
  <si>
    <t>000458</t>
  </si>
  <si>
    <t>000459</t>
  </si>
  <si>
    <t>000460</t>
  </si>
  <si>
    <t>000461</t>
  </si>
  <si>
    <t>000462</t>
  </si>
  <si>
    <t>000463</t>
  </si>
  <si>
    <t>000464</t>
  </si>
  <si>
    <t>000465</t>
  </si>
  <si>
    <t>000466</t>
  </si>
  <si>
    <t>000467</t>
  </si>
  <si>
    <t>000468</t>
  </si>
  <si>
    <t>000469</t>
  </si>
  <si>
    <t>000470</t>
  </si>
  <si>
    <t>000471</t>
  </si>
  <si>
    <t>000472</t>
  </si>
  <si>
    <t>000473</t>
  </si>
  <si>
    <t>000474</t>
  </si>
  <si>
    <t>000475</t>
  </si>
  <si>
    <t>000476</t>
  </si>
  <si>
    <t>000477</t>
  </si>
  <si>
    <t>000478</t>
  </si>
  <si>
    <t>000479</t>
  </si>
  <si>
    <t>000480</t>
  </si>
  <si>
    <t>000481</t>
  </si>
  <si>
    <t>000482</t>
  </si>
  <si>
    <t>000483</t>
  </si>
  <si>
    <t>000484</t>
  </si>
  <si>
    <t>000485</t>
  </si>
  <si>
    <t>000486</t>
  </si>
  <si>
    <t>000487</t>
  </si>
  <si>
    <t>000488</t>
  </si>
  <si>
    <t>000489</t>
  </si>
  <si>
    <t>000490</t>
  </si>
  <si>
    <t>000491</t>
  </si>
  <si>
    <t>000492</t>
  </si>
  <si>
    <t>Rev. 0359b</t>
  </si>
  <si>
    <t>Stückliste: Formelfehlerbereinigung Spalte L, Übertrag Liste Zeile 189 ergänzt</t>
  </si>
  <si>
    <t>Ausschreibung_GCC_vertikal_Rev.0358beta.xls</t>
  </si>
  <si>
    <t>Rev. 0360b</t>
  </si>
  <si>
    <t>Blechfertigung: Spalte DXF als Text formatiert; Lackliste: "Pos" in Kopf eingefügt</t>
  </si>
  <si>
    <t>Ausschreibung_GCC_vertikal_Rev.0359beta.xls</t>
  </si>
  <si>
    <t>Montieren CE-Schild</t>
  </si>
  <si>
    <t>Endschalter/Empe holen</t>
  </si>
  <si>
    <t>Porenbetonsteine holen</t>
  </si>
  <si>
    <t>Endschalter/Empe</t>
  </si>
  <si>
    <t>h/Festfeld</t>
  </si>
  <si>
    <t>Palette(n) vorbereiten, Kanthölzer montieren</t>
  </si>
  <si>
    <t>Palette(n) folieren</t>
  </si>
  <si>
    <t>Sonderversion - K5</t>
  </si>
  <si>
    <t>Anzeichnen</t>
  </si>
  <si>
    <t>Ausschneiden</t>
  </si>
  <si>
    <t>Schleifen</t>
  </si>
  <si>
    <t>Zuschlag Sonderaufwand</t>
  </si>
  <si>
    <t>Rev. 0361b</t>
  </si>
  <si>
    <t>Arbeitsplan: Gemäß Rückmeldung aus Produktion vom 06.06.2018 ergänzt (daraus resultierend kleine Änderungen an Dateneingabe, Liste)</t>
  </si>
  <si>
    <t>Ausschreibung_GCC_vertikal_Rev.0360beta.xls</t>
  </si>
  <si>
    <t>Schieberführungshalter/Befestigungsprofil vernieten</t>
  </si>
  <si>
    <t>Aufdopplung montieren</t>
  </si>
  <si>
    <t>Befestigungsprofil montieren</t>
  </si>
  <si>
    <t>Blattfedern an Befestigungsprofil nieten</t>
  </si>
  <si>
    <t>C-Profil zuschneiden</t>
  </si>
  <si>
    <t>C-Profil montieren</t>
  </si>
  <si>
    <t>Arbeitsplan: SiKo eingepflegt</t>
  </si>
  <si>
    <t>Rev. 0362b</t>
  </si>
  <si>
    <t>Ausschreibung_GCC_vertikal_Rev.0361beta.xls</t>
  </si>
  <si>
    <t>Gestell schließen, Magnete setzen</t>
  </si>
  <si>
    <t>h/Schraube</t>
  </si>
  <si>
    <t>überarbeitet 06/2018</t>
  </si>
  <si>
    <t>Zuschnitt Verstärkungsblech</t>
  </si>
  <si>
    <t>Auflegen Platten/Blechinnenlage auf Gestell</t>
  </si>
  <si>
    <t>Auflegen Verstärkungsbleche</t>
  </si>
  <si>
    <t>Heben Element auf Tisch</t>
  </si>
  <si>
    <t>Drucken Packmaßaufkleber</t>
  </si>
  <si>
    <t>Kanthölzer für Palette holen</t>
  </si>
  <si>
    <t>Wägen (Antrieb, Blech, Promat) wegbringen</t>
  </si>
  <si>
    <t>Kleben Aufkleber/Flicken</t>
  </si>
  <si>
    <t>Bohren/Vernieten Verstärkungsblech mit Blechinnenlage</t>
  </si>
  <si>
    <t>Übergeben an Versand</t>
  </si>
  <si>
    <t>Ausschreibung_GCC_vertikal_Rev.0362beta.xls</t>
  </si>
  <si>
    <t>Rev. 0363b</t>
  </si>
  <si>
    <t>Rev. 0364b</t>
  </si>
  <si>
    <t>Stückliste: Zuschnitt Intumest repariert</t>
  </si>
  <si>
    <t>Ausschreibung_GCC_vertikal_Rev.0363beta.xls</t>
  </si>
  <si>
    <t>Blech</t>
  </si>
  <si>
    <t>aus Artikelnr.</t>
  </si>
  <si>
    <t>Bemerkung:</t>
  </si>
  <si>
    <t>Gesamtlänge</t>
  </si>
  <si>
    <t>Arbeitsblatt: Dichtrahmen &amp; Standardstreifenmaterial</t>
  </si>
  <si>
    <t>Da die Ursprungsprodukte endlos verarbeitet werden, können ggf. von der Gesamtlänge abweichende Stückelungen entstehen.</t>
  </si>
  <si>
    <t>Rev. 0365b</t>
  </si>
  <si>
    <t>Dichtrahmen: Bemerkung für Stückelung eingefügt; Arbeitsplan: Aktualisierung nach 1. Zeitnahme vom 12.06.2018 (Teil 2)</t>
  </si>
  <si>
    <t>Arbeitsplan: Aktualisierung nach 1. Zeitnahme vom 12.06.2018; Lager &amp; Montagematerial Aufkleber "nicht stapelbar" gegen "stapelbar" getauscht (4002006 -&gt; 4002003)</t>
  </si>
  <si>
    <t>Senken/Vorbohren Bohrungen</t>
  </si>
  <si>
    <t>Senken/Vorbohren Montagebohrungen</t>
  </si>
  <si>
    <t>Ausschreibung_GCC_vertikal_Rev.0364beta.xls</t>
  </si>
  <si>
    <t>Rev. 0366b</t>
  </si>
  <si>
    <t>Arbeitsplan: Aktualisierung nach 2. Zeitnahme vom 14.06.2018</t>
  </si>
  <si>
    <t>Ausschreibung_GCC_vertikal_Rev.0365beta.xls</t>
  </si>
  <si>
    <t>Rev. 0367b</t>
  </si>
  <si>
    <t>Eingabe Blechsonderteile:Materialcheck eingebaut und Eingabehinweis Material angepasst</t>
  </si>
  <si>
    <t>Ausschreibung_GCC_vertikal_Rev.0366beta.xls</t>
  </si>
  <si>
    <t>Liste: Korrektur SVERWEIS Summenzeilen Festfeldfüllplatten</t>
  </si>
  <si>
    <t>Rev. 0368b</t>
  </si>
  <si>
    <t>Ausschreibung_GCC_vertikal_Rev.0367beta.xls</t>
  </si>
  <si>
    <t>Verklammern/Schrauben</t>
  </si>
  <si>
    <t>Aufkleben und Anpassen</t>
  </si>
  <si>
    <t>Liste: Pulverbeschichtung C3 korrigiert; Lackliste: Mengenverknüpfungen zu "ja/nein" im Kopf korrigiert; Arbeitsplan an horizontalen angeglichen</t>
  </si>
  <si>
    <t>Rev. 0369b</t>
  </si>
  <si>
    <t>Ausschreibung_GCC_vertikal_Rev.0368beta.xls</t>
  </si>
  <si>
    <t>Rev. 0370b</t>
  </si>
  <si>
    <t>h/m [Elementbreite]</t>
  </si>
  <si>
    <t xml:space="preserve"> </t>
  </si>
  <si>
    <t>Checkliste: H47 (Definitionsbereich Intumat Fördertechnikabschottung lprrogiert wegen SiKo); Arbeitsplan: Zeiten Aufdopplung + Schleifen eingefügt</t>
  </si>
  <si>
    <t>Ausschreibung_GCC_vertikal_Rev.0369beta.xls</t>
  </si>
  <si>
    <t>Rev. 0371b</t>
  </si>
  <si>
    <t>Arbeitsplan: Weiter verfeinert</t>
  </si>
  <si>
    <t>Ausschreibung_GCC_vertikal_Rev.0370beta.xls</t>
  </si>
  <si>
    <t>Checkliste: Zeile "Intumat lt. Ausschreibung" entfernt; Lager &amp; Montagematerial: Bezug Schnellbauschrauben korrigiert; Liste: D264 Auftragswalze Abschreibung = 0 + Kommentar</t>
  </si>
  <si>
    <t>Rev. 0372b</t>
  </si>
  <si>
    <t>Ausschreibung_GCC_vertikal_Rev.0371beta.xls</t>
  </si>
  <si>
    <t>Arbeitsplan: Zeiten entsprechend Rückmeldung aus Fertigung vom 26.06.2018 angepasst</t>
  </si>
  <si>
    <t>Rev. 0373b</t>
  </si>
  <si>
    <t>Ausschreibung_GCC_vertikal_Rev.0372beta.xls</t>
  </si>
  <si>
    <t>Rev. 0374b</t>
  </si>
  <si>
    <t>Lager &amp; Montagematerial: Anzahl Aufkleber korrigiert</t>
  </si>
  <si>
    <t>Ausschreibung_GCC_vertikal_Rev.0373beta.xls</t>
  </si>
  <si>
    <t>Rev. 0375b</t>
  </si>
  <si>
    <t>Führungsschienenbefestigungsspangen Standard verzinkt</t>
  </si>
  <si>
    <t>Führungsschienenbefestigungsspangen Standard V2A</t>
  </si>
  <si>
    <t>Führungsschienenbefestigungsspangen U-Form verzinkt</t>
  </si>
  <si>
    <t>Führungsschienenbefestigungsspangen U-Form V2A</t>
  </si>
  <si>
    <t>Lager&amp;Montagematerial: Schrauben verz/VA Eingriffschutz angepasst; Liste Zeile 369-374 (Führungsschienenspangen) überarbeitet, Stückliste Zeilen für 369-374 eingefügt, Checklist Bezüge für Spangen angepasst</t>
  </si>
  <si>
    <t>Ausschreibung_GCC_vertikal_Rev.0374beta.xls</t>
  </si>
  <si>
    <t>Promatect H-25</t>
  </si>
  <si>
    <t>Rev. 0376b</t>
  </si>
  <si>
    <t>Liste/Zuschnitt Schieberblatt: alte Berechnung für Promatect H25 Auflaufkonsolen reaktiviert (Liste: Zeilen 295+296, Zuschnitt Schieberblatt Platten 40+41)</t>
  </si>
  <si>
    <t>Ausschreibung_GCC_vertikal_Rev.0375beta.xls</t>
  </si>
  <si>
    <t>0308415</t>
  </si>
  <si>
    <t>0338415</t>
  </si>
  <si>
    <t>0308416</t>
  </si>
  <si>
    <t>0338416</t>
  </si>
  <si>
    <t>Liste: Neue Antriebsbaugruppen eingepflegt, Anschraubwinkel für Griffschutz auf Lagerware umgestellt</t>
  </si>
  <si>
    <t>Rev. 0377b</t>
  </si>
  <si>
    <t>Ausschreibung_GCC_vertikal_Rev.0376beta.xls</t>
  </si>
  <si>
    <t>Liste: Einheiten Festfeldhalter seitlich + Wandverkrallung von Stk auf M geändert</t>
  </si>
  <si>
    <t>Rev. 0378b</t>
  </si>
  <si>
    <t>Ausschreibung_GCC_vertikal_Rev.0377beta.xls</t>
  </si>
  <si>
    <t>Liste, Stückliste, Ber&amp;Tab: Antriebe WS entfernt; Liste: Bezug Platte 41 zur Länge F korrigiert</t>
  </si>
  <si>
    <t>Rev. 0379b</t>
  </si>
  <si>
    <t>Ausschreibung_GCC_vertikal_Rev.0378beta.xls</t>
  </si>
  <si>
    <t>Lackliste: Anzahl U-Führungsschienen korrigiert; Liste/Stückliste/Lager&amp;Montagematerial/Dateneingabe/Schieberblatt/Dichtrahmen/Zuschnitt Intumest/Intumest Blöcke: Intumatversiegelung; Liste: Zellhöhen angepasst</t>
  </si>
  <si>
    <t>Intumatversiegelung</t>
  </si>
  <si>
    <t>PUR-Härter 5770 Farblos</t>
  </si>
  <si>
    <t>2K-PUR-AC-Lack 5741</t>
  </si>
  <si>
    <t>Versiegelung für intum. Material für Feuchträume, Montageset für 0,5 m²</t>
  </si>
  <si>
    <t>Reparaturset für versiegelte intumeszierende Materialien</t>
  </si>
  <si>
    <t>KG</t>
  </si>
  <si>
    <t>Intumatversiegelung (Promaseal)</t>
  </si>
  <si>
    <t>Rev. 0380b</t>
  </si>
  <si>
    <t>Ausschreibung_GCC_vertikal_Rev.0379beta.xls</t>
  </si>
  <si>
    <t>0308458</t>
  </si>
  <si>
    <t>0338458</t>
  </si>
  <si>
    <t>Wandverkrallung GCC W25 vertikal V2A</t>
  </si>
  <si>
    <t>Wandverkrallung GCC W25 vertikal</t>
  </si>
  <si>
    <t>Liste/Stückliste/Checkliste: Wandverkrallung von auftragsbezogenen Teilen auf Zuschnitt umgestellt</t>
  </si>
  <si>
    <t>Rev. 0381b</t>
  </si>
  <si>
    <t>Ausschreibung_GCC_vertikal_Rev.0380beta.xls</t>
  </si>
  <si>
    <t>Rev. 0382b</t>
  </si>
  <si>
    <t>Liste: Korrektur Summe Länge Wandverkrallungen</t>
  </si>
  <si>
    <t>Ausschreibung_GCC_vertikal_Rev.0381beta.xls</t>
  </si>
  <si>
    <t>Schnellbauschraube mit Bohrspitze 3,5 x 35</t>
  </si>
  <si>
    <t>Rev. 0383b</t>
  </si>
  <si>
    <t>Lager&amp;Montagematerial Zeile 100: Bezeichnung Schnellbauschraube korrigiert</t>
  </si>
  <si>
    <t>Ausschreibung_GCC_vertikal_Rev.0382beta.xls</t>
  </si>
  <si>
    <t>SUMMENFELDER</t>
  </si>
  <si>
    <t>Rev. 0384b</t>
  </si>
  <si>
    <t>Liste (Zeile 752): Berechnung Summe Schieberblattgewicht / Schließkraft korrigiert</t>
  </si>
  <si>
    <t>Ausschreibung_GCC_vertikal_Rev.0383beta.xls</t>
  </si>
  <si>
    <t>Dichtrahmenabdeckung</t>
  </si>
  <si>
    <t>Teillänge</t>
  </si>
  <si>
    <t>Menge:</t>
  </si>
  <si>
    <t>Dichtrahmenabdeckung 25 GCC V2A</t>
  </si>
  <si>
    <t>Plausibel</t>
  </si>
  <si>
    <t>0338440</t>
  </si>
  <si>
    <t>Gesamtsumme Dichtrahmenabdeckstreifen</t>
  </si>
  <si>
    <t>Dichtrahmenabdeckung 25 GCC V2A (Teillänge 1)</t>
  </si>
  <si>
    <t>Dichtrahmenabdeckung 25 GCC V2A (Teillänge 2)</t>
  </si>
  <si>
    <t>Dichtrahmenabdeckung 25 GCC V2A (Teillänge 3)</t>
  </si>
  <si>
    <t>Dichtrahmenabdeckung 25 GCC V2A (Teillänge 4)</t>
  </si>
  <si>
    <t>Dichtrahmenabdeckung 25 GCC V2A (Teillänge 5)</t>
  </si>
  <si>
    <t>Dichtrahmenabdeckung 25 GCC V2A (Teillänge 6)</t>
  </si>
  <si>
    <t>Dichtrahmenabdeckung 25 GCC V2A (Teillänge 7)</t>
  </si>
  <si>
    <t>Dichtrahmenabdeckung 25 GCC V2A (Teillänge 8)</t>
  </si>
  <si>
    <t>Dichtrahmenabdeckung 25 GCC V2A (Teillänge 9)</t>
  </si>
  <si>
    <t>Dichtrahmenabdeckung 25 GCC V2A (Teillänge 10)</t>
  </si>
  <si>
    <t>Dichtrahmenabdeckung 25 GCC V2A (Teillänge 12)</t>
  </si>
  <si>
    <t>Dichtrahmenabdeckung 25 GCC V2A (Teillänge 13)</t>
  </si>
  <si>
    <t>Dichtrahmenabdeckung 25 GCC V2A (Teillänge 11)</t>
  </si>
  <si>
    <t>Anfasen Dichtrahmen</t>
  </si>
  <si>
    <t>Aufstecken</t>
  </si>
  <si>
    <t>Arbeitsblatt: Dichtrahmenabdeckung</t>
  </si>
  <si>
    <t>Dichtrahmenabdeckung 25 GCC V2A (Teillänge 14)</t>
  </si>
  <si>
    <t>Dichtrahmenabdeckung 25 GCC V2A (Teillänge 15)</t>
  </si>
  <si>
    <t>Dichtrahmenabdeckung 25 GCC V2A (Teillänge 16)</t>
  </si>
  <si>
    <t>Rev. 0385b</t>
  </si>
  <si>
    <t>Stückliste/Liste/Dateneingabe/Ber&amp;Tab/Checkliste/Arbeitsplan/Dichtrahmenabdeckung: Dichtrahmenabdeckung</t>
  </si>
  <si>
    <t>Ausschreibung_GCC_vertikal_Rev.0384beta.xls</t>
  </si>
  <si>
    <t>Rev. 0386b</t>
  </si>
  <si>
    <t>Bemerkung: 5L Gebinde durch 2x 2,5L auf Wunsch von Herrn Stöber ersetzt. Berechnung kann ggf. wieder aktiviert werden, keine weiteren Eingriffe getätigt</t>
  </si>
  <si>
    <t>Ber&amp;Tab: Gebindegrößenberechnung geändert: 5L durch 2x 2,5L ersetzt (Impuls aus KVP GCC von H. Stöber)</t>
  </si>
  <si>
    <t>Ausschreibung_GCC_vertikal_Rev.0385beta.xls</t>
  </si>
  <si>
    <t>0720141</t>
  </si>
  <si>
    <t>Select Tiefengrund 10 L Gebinde</t>
  </si>
  <si>
    <t>Nur sichtseitig beschichten + folieren!</t>
  </si>
  <si>
    <t>Einseitig beschichten + folieren!</t>
  </si>
  <si>
    <t>Sichtseitig beschichten + folieren!</t>
  </si>
  <si>
    <t>Rev. 0387b</t>
  </si>
  <si>
    <t>Checkliste: Auftragszeichnung eingefügt; Liste/STL: Tiefengrund eingefügt; Lackliste: Verkleidungsbleche folieren</t>
  </si>
  <si>
    <t>Ausschreibung_GCC_vertikal_Rev.0386beta.xls</t>
  </si>
  <si>
    <t>Liste: Alte Artikelnummern in Antriebstexte eingefügt (damit Auftragsabwickler in Systemzeichnung zuordnen können)</t>
  </si>
  <si>
    <t>Rev. 0388b</t>
  </si>
  <si>
    <t>Ausschreibung_GCC_vertikal_Rev.0387beta.xls</t>
  </si>
  <si>
    <t>Rev. 0389b</t>
  </si>
  <si>
    <t>Liste: Berechnung Länge Wandverkrallung; Checkliste: Bezüge Länge Wandverkrallung; Liste: Mengenberechnung Tiefengrund angepasst</t>
  </si>
  <si>
    <t>Ausschreibung_GCC_vertikal_Rev.0388beta.xls</t>
  </si>
  <si>
    <t>Unmontierte Auftragsbezogene Bauteile</t>
  </si>
  <si>
    <t xml:space="preserve">Zuschnitt </t>
  </si>
  <si>
    <t>Kleinteile-Fertigung</t>
  </si>
  <si>
    <t xml:space="preserve">Entgraten </t>
  </si>
  <si>
    <t>theoretische Länge Verkrallungsprofil oben</t>
  </si>
  <si>
    <t>Rev. 0390b</t>
  </si>
  <si>
    <t xml:space="preserve">Liste/Arbeitsplan/Checkliste: Benutzter Zeilenbereich für Wandverkrallung verkleinert und Arbeitsplan umgestellt auf Stahlzuschnitt </t>
  </si>
  <si>
    <t>Ausschreibung_GCC_vertikal_Rev.0389beta.xls</t>
  </si>
  <si>
    <t>Rev. 0391b</t>
  </si>
  <si>
    <t>Zuschnitt Stahl / 
Kleinteilefertigung</t>
  </si>
  <si>
    <t>Arbeitsplan: Spalte 507 ergänzt</t>
  </si>
  <si>
    <t>Ausschreibung_GCC_vertikal_Rev.0390beta.xls</t>
  </si>
  <si>
    <t>Festfeld Befestigung</t>
  </si>
  <si>
    <t>Festfeld Befestigung:</t>
  </si>
  <si>
    <t>Standard (links) / Standard (rechts)</t>
  </si>
  <si>
    <t>Standard (links) / Seitenwand (rechts)</t>
  </si>
  <si>
    <t>Seitenwand (links) / Standard (rechts)</t>
  </si>
  <si>
    <t>Seitenwand (links) / Seitenwand (rechts)</t>
  </si>
  <si>
    <t>Hilfsartikel für AV</t>
  </si>
  <si>
    <t>Pulverbeschichtung RAL Standard &lt; 10 m²</t>
  </si>
  <si>
    <t>7777000</t>
  </si>
  <si>
    <t>Pulverbeschichtung RAL Standard &gt;=10 m²</t>
  </si>
  <si>
    <t>7777001</t>
  </si>
  <si>
    <t>Rev. 0392b</t>
  </si>
  <si>
    <t>Stückliste/Liste: Lackartikel für AV eingefügt; Dateneingabe/Liste/Stückliste/Checkliste: Befestigung Festfeld</t>
  </si>
  <si>
    <t>GCC Festfeldbefestigung Seitenwandmontage verz</t>
  </si>
  <si>
    <t>GCC Festfeldbefestigung Seitenwandmontage V2A</t>
  </si>
  <si>
    <t>0308442</t>
  </si>
  <si>
    <t>0338442</t>
  </si>
  <si>
    <t>Faktoren Festfeldbefestigung</t>
  </si>
  <si>
    <t>Standard Festfeldbefestigung links</t>
  </si>
  <si>
    <t>Standard Festfeldbefestigung rechts</t>
  </si>
  <si>
    <t>Seitliche Wandmontage links/rechts</t>
  </si>
  <si>
    <t>Ausschreibung_GCC_vertikal_Rev.0391beta.xls</t>
  </si>
  <si>
    <t>B001.1</t>
  </si>
  <si>
    <t>C001.3</t>
  </si>
  <si>
    <t>B002.1-B002.3, B003.1, B004.1, B005.1</t>
  </si>
  <si>
    <t>Rev. 0393b</t>
  </si>
  <si>
    <t>Produktionskontrolle: Änderung Formblatt Werkseigene Produktionskontrolle</t>
  </si>
  <si>
    <t>Ausschreibung_GCC_vertikal_Rev.0392beta.xls</t>
  </si>
  <si>
    <t>Erstellt C.Meier, geändert E. Tiefnig 13.09.2018, freigegeben F.Krüger 06.09.2017, Revision 01, Aufbewahrung 10 Jahre</t>
  </si>
  <si>
    <t>Rev. 0394b</t>
  </si>
  <si>
    <t>Produktionskontrolle: Korrektur Fußzeile (QM)</t>
  </si>
  <si>
    <t>Ausschreibung_GCC_vertikal_Rev.0393beta.xls</t>
  </si>
  <si>
    <t>Liste: Festfeldhalter Mengeneinheit korrigiert</t>
  </si>
  <si>
    <t>Rev. 0395b</t>
  </si>
  <si>
    <t>Ausschreibung_GCC_vertikal_Rev.0394beta.xls</t>
  </si>
  <si>
    <t>MPA Braunschweig, Beethovenstaße 52, 38106 Braunschweig, Germany, Notified Body number : 0761</t>
  </si>
  <si>
    <t>Mitulla</t>
  </si>
  <si>
    <t>Qualitätsmanagement/head of quality management</t>
  </si>
  <si>
    <t>Leistungserklärung Unterschrift/Funktion eingeführt, Schreibgeschützt</t>
  </si>
  <si>
    <t>Rev. 0396b</t>
  </si>
  <si>
    <t>Krink, Torsten</t>
  </si>
  <si>
    <t>Ausschreibung_GCC_vertikal_Rev.0395beta.xls</t>
  </si>
  <si>
    <t>0338293</t>
  </si>
  <si>
    <t>0338294</t>
  </si>
  <si>
    <t>0338295</t>
  </si>
  <si>
    <t>Antriebsfertigung: Gurtanbindung kenntlich gemacht; Liste: Festfeldkonsolen 250 V2A komplettiert</t>
  </si>
  <si>
    <t>Rev. 0397b</t>
  </si>
  <si>
    <t>Ausschreibung_GCC_vertikal_Rev.0396beta.xls</t>
  </si>
  <si>
    <t>Lack-/Pulverbeschichtung</t>
  </si>
  <si>
    <t>Liste: Merkmal Lack-/Pulverbeschichtung</t>
  </si>
  <si>
    <t>Ausschreibung_GCC_vertikal_Rev.0397beta.xls</t>
  </si>
  <si>
    <t>Rev. 0398b</t>
  </si>
  <si>
    <t>Führungsschienenaufzählung</t>
  </si>
  <si>
    <t>Suchrkriterium 1:</t>
  </si>
  <si>
    <t>Suchrkriterium 2:</t>
  </si>
  <si>
    <t>Index für Menge &gt;0</t>
  </si>
  <si>
    <t>Rev. 0399b</t>
  </si>
  <si>
    <t>Führungsschienen Umbau Teil 1/2</t>
  </si>
  <si>
    <t>Ausschreibung_GCC_vertikal_Rev.0398beta.xls</t>
  </si>
  <si>
    <t>Rev. 0400b</t>
  </si>
  <si>
    <t>Führungsschienen Umbau Teil 2/2, Lackliste: Verkrallungsprofil korrigiert</t>
  </si>
  <si>
    <t>Ausschreibung_GCC_vertikal_Rev.0399beta.xls</t>
  </si>
  <si>
    <t>Lackliste: Hinweis Führungsschienen Laschen knicken, Lackliste: Festfeldbefestigung Seitenwand eingefügt</t>
  </si>
  <si>
    <t>Rev. 0401b</t>
  </si>
  <si>
    <t>Ausschreibung_GCC_vertikal_Rev.0400beta.xls</t>
  </si>
  <si>
    <t>Rev. 0402b</t>
  </si>
  <si>
    <t>Lackliste: Festfeldkonsolen dynmisch beregelt</t>
  </si>
  <si>
    <t>Ausschreibung_GCC_vertikal_Rev.0401beta.xls</t>
  </si>
  <si>
    <t>Eingabe Blechsonderteile: Hinweis Pulverbeschichtung</t>
  </si>
  <si>
    <t>Rev. 0403b</t>
  </si>
  <si>
    <t>Ausschreibung_GCC_vertikal_Rev.0402beta.xls</t>
  </si>
  <si>
    <t>Liste/Checkliste: Bezüge Montageausgleichsbleche an Ausschreibung horizontal angeglichen, Lager&amp;Montagemat/Stückliste:  Edelstahlreiniger eingefügt</t>
  </si>
  <si>
    <t>Reinigung Edelstahloberflächen</t>
  </si>
  <si>
    <t>Rev. 0404b</t>
  </si>
  <si>
    <t>Ausschreibung_GCC_vertikal_Rev.0403beta.xls</t>
  </si>
  <si>
    <t>rechts dargestellt</t>
  </si>
  <si>
    <t>Rev. 0405b</t>
  </si>
  <si>
    <t>Lackliste: Antriebe eingefügt</t>
  </si>
  <si>
    <t>Ausschreibung_GCC_vertikal_Rev.0404beta.xls</t>
  </si>
  <si>
    <t>Rev. 0406b</t>
  </si>
  <si>
    <t>Liste: Korrektur Fehler Führungsschienen Summenzeile (MAIL)</t>
  </si>
  <si>
    <t>Ausschreibung_GCC_vertikal_Rev.0405beta.xls</t>
  </si>
  <si>
    <t>Neues Format (.xlsx)</t>
  </si>
  <si>
    <t>Rev. 0407b</t>
  </si>
  <si>
    <t>Ausschreibung_GCC_vertikal_Rev.0406beta.xls</t>
  </si>
  <si>
    <t>ca. 23 kg Gesamtgewicht des Packstücks (16kg ohne Palette)</t>
  </si>
  <si>
    <t>Rev. 0408b</t>
  </si>
  <si>
    <t>Falsche Verknüpfungen und Namen gelöscht</t>
  </si>
  <si>
    <t>Ausschreibung_GCC_vertikal_Rev.0407beta.xlsm</t>
  </si>
  <si>
    <t>ACHTUNG: Rev. 402-408 Fehler bei Übergabe an B7, ab hier gelöst (Formel in Namensmanager gelöscht (Bezug zu Lackliste))</t>
  </si>
  <si>
    <t>Rev. 0409b</t>
  </si>
  <si>
    <t>Ausschreibung_GCC_vertikal_Rev.0408beta.xlsm</t>
  </si>
  <si>
    <t>Rev. 0410b</t>
  </si>
  <si>
    <t>Lackliste: Festfeldkonsolen Berechnung neu</t>
  </si>
  <si>
    <t>Ausschreibung_GCC_vertikal_Rev.0409beta.xlsm</t>
  </si>
  <si>
    <t>0140076</t>
  </si>
  <si>
    <t>Rev. 0411b</t>
  </si>
  <si>
    <t>Edelstahlreiniger auf 400ml (0140076) umgestellt</t>
  </si>
  <si>
    <t>Ausschreibung_GCC_vertikal_Rev.0410beta.xlsm</t>
  </si>
  <si>
    <t>Rev. 0412b</t>
  </si>
  <si>
    <t>Wenn Porenbeton dann Festfeldpalette: DateneingabeK191=WENN(ODER(F90=H191;H28&gt;0);1;0)</t>
  </si>
  <si>
    <t>Ausschreibung_GCC_vertikal_Rev.0411beta.xlsm</t>
  </si>
  <si>
    <t>x-k1-e      Innenmaße 82x64      Außenmaße 120x100</t>
  </si>
  <si>
    <t>x-k2-e     Innenmaße 122x64     Außenmaße 160x100</t>
  </si>
  <si>
    <t>x-k3-e     Innenmaße 162x64     Außenmaße 200x100</t>
  </si>
  <si>
    <t>x-k4-e     Innenmaße 202x64    Außenmaße 240x100</t>
  </si>
  <si>
    <t>x-k5-e     Innenmaße 242x70    Außenmaße 280x110</t>
  </si>
  <si>
    <t>Rev. 0413b</t>
  </si>
  <si>
    <t>Lager&amp;Montagematerial: Wichmann Kabelabschottungen Innenmaße angepasst; Lackliste: Führungsschienen Laschen umknicken korrigiert</t>
  </si>
  <si>
    <t>Ausschreibung_GCC_vertikal_Rev.0412beta.xlsm</t>
  </si>
  <si>
    <t>Lager&amp;Montagematerial: Selbstbohrschrauben VA gegen Nieten ersetzt</t>
  </si>
  <si>
    <t>Rev. 0414b</t>
  </si>
  <si>
    <t>Ausschreibung_GCC_vertikal_Rev.0413beta.xlsm</t>
  </si>
  <si>
    <t>Rev. 0415b</t>
  </si>
  <si>
    <t>Trägerblech Produktaufkleber V2A</t>
  </si>
  <si>
    <t>Trägerblech Produktaufkleber verz.</t>
  </si>
  <si>
    <t>0308475</t>
  </si>
  <si>
    <t>0338475</t>
  </si>
  <si>
    <t>Liste: Trägerblech für Produktaufkleber eingefügt; Lackliste: Anzahl Verkleidungsblech hinten korrigiert; Stückliste: Platte 40+41 von Zuschnitt Schieberblatt gelöscht, sonst Auflaufplatten doppelt</t>
  </si>
  <si>
    <t>Ausschreibung_GCC_vertikal_Rev.0414beta.xlsm</t>
  </si>
  <si>
    <t>Rev. 0416b</t>
  </si>
  <si>
    <t>Liste: Werte Trägerbleche für Produktaufkleber nachgetragen</t>
  </si>
  <si>
    <t>Ausschreibung_GCC_vertikal_Rev.0415beta.xlsm</t>
  </si>
  <si>
    <r>
      <t xml:space="preserve">1. Spalte 1 enthält die Auflistung der Wesentlichen Merkmale, wie sie in den harmonisierten technischen Spezifikationen für den beziehungsweise die Verwendungszwecke nach Nummer 3 festgelegt wurden. 
</t>
    </r>
    <r>
      <rPr>
        <i/>
        <sz val="9"/>
        <color indexed="8"/>
        <rFont val="Arial"/>
        <family val="2"/>
      </rPr>
      <t>(Column 1 shall contain the list of essential caracteristics as determined in the harmonised tecnical specifications for the intended use or uses indicated in point 3 above)</t>
    </r>
  </si>
  <si>
    <t>entf./n.a.</t>
  </si>
  <si>
    <t>Materialverfügbarkeitsprüfung/Bestellung</t>
  </si>
  <si>
    <t>Materialverfügbarkeitsprüfung notwendig?</t>
  </si>
  <si>
    <t>Leistungserklärung: Textänderung entf./n.a.; Arbeitsplan: Materialverfügbarkeitsprüfung/Bestellung bei Materialbedarf V2A; Berechnung &amp; Tabellen: Tabelle Verkrallungen oben verlängert</t>
  </si>
  <si>
    <t>Rev. 0417b</t>
  </si>
  <si>
    <t>Ausschreibung_GCC_vertikal_Rev.0416beta.xlsm</t>
  </si>
  <si>
    <t>Arbeitsplan: Spalten mit GCC_horizontal vereinheitlicht, Fehlerhafte Zuweisung entgraten Verkrallungsprofil zu stanzen/kanten Blechbearbeitung korrigiert</t>
  </si>
  <si>
    <t>Rev. 0418b</t>
  </si>
  <si>
    <t>Ausschreibung_GCC_vertikal_Rev.0417beta.xlsm</t>
  </si>
  <si>
    <t>Rev. 0419b</t>
  </si>
  <si>
    <t>Arbeitsplan: Fertigungarbeitsgänge Schieberführungsprofile nur bei U-Form oder V2A; Zuschnitt intumest. Mat.: Zeile leer wenn nicht nötig</t>
  </si>
  <si>
    <t>Ausschreibung_GCC_vertikal_Rev.0418beta.xlsm</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</si>
  <si>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</si>
  <si>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</si>
  <si>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</si>
  <si>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</si>
  <si>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</si>
  <si>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</si>
  <si>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</si>
  <si>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</si>
  <si>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</si>
  <si>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</si>
  <si>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</si>
  <si>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</si>
  <si>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</si>
  <si>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</si>
  <si>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</si>
  <si>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</si>
  <si>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</si>
  <si>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</si>
  <si>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</si>
  <si>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</si>
  <si>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</si>
  <si>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</si>
  <si>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</si>
  <si>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</si>
  <si>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</si>
  <si>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</si>
  <si>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</si>
  <si>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</si>
  <si>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</si>
  <si>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</si>
  <si>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</si>
  <si>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</si>
  <si>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Zuschnitt Schieberblatt: Zeilen für Sondereingabe hinzugefügt</t>
  </si>
  <si>
    <t>Rev. 0420b</t>
  </si>
  <si>
    <t>Ausschreibung_GCC_vertikal_Rev.0419beta.xlsm</t>
  </si>
  <si>
    <t>Kallweit, Stefanie</t>
  </si>
  <si>
    <t>Rev. 0421b</t>
  </si>
  <si>
    <t>Hilfsspalte KalkulationsArt.nr.</t>
  </si>
  <si>
    <t>KalkulationsMenge</t>
  </si>
  <si>
    <t>kalk. Mengeneinheit</t>
  </si>
  <si>
    <t>0701544</t>
  </si>
  <si>
    <t>m</t>
  </si>
  <si>
    <t>0709886</t>
  </si>
  <si>
    <t>1zu1, 
mit übernahme der maßeinheit</t>
  </si>
  <si>
    <t>umrechnung auf m², übernahme der artikelnummer</t>
  </si>
  <si>
    <t>streifenware, umrechnung auf m, übernahme der artikelnummer</t>
  </si>
  <si>
    <t>variables blechteil tausch der artikelnummer und umrechnung auf m²</t>
  </si>
  <si>
    <t>Checkliste: Ausschreibungsblatt Dichtrahmenabdeckung, Ausschreibungsblatt Zuschnitt Festfeld aufgeführt; Logbuch: Bereinigt</t>
  </si>
  <si>
    <t>Rev. 0422b</t>
  </si>
  <si>
    <t>Arbeitsplan: neue Zeile für Stundensummen in Minuten Umrechnung eingefügt; Liste: Kalkulationsbereich eingefügt (3 Spalten)</t>
  </si>
  <si>
    <t>Ausschreibung_GCC_vertikal_Rev.0420beta.xlsm</t>
  </si>
  <si>
    <t>Ausschreibung_GCC_vertikal_Rev.0421beta.xlsm</t>
  </si>
  <si>
    <t>Lager&amp;Montagematerial: Hinweis in Kopf bezüglich Zusatzmaterial (Mail Dahle)</t>
  </si>
  <si>
    <t>Rev. 0423b</t>
  </si>
  <si>
    <t>Ausschreibung_GCC_vertikal_Rev.0422beta.xlsm</t>
  </si>
  <si>
    <t>Rev. 0424b</t>
  </si>
  <si>
    <t>Checkliste: Korrektur Menge "Zusätzliche Brandschutzbauplatte"; Lager&amp;Montagematerial: Mengen Befestigungsmittel "Verbindung Führungsschiene" korrigiert</t>
  </si>
  <si>
    <t>Ausschreibung_GCC_vertikal_Rev.0423beta.xlsm</t>
  </si>
  <si>
    <t>Länge Welle Spannsatz</t>
  </si>
  <si>
    <t>Antrieb/Ber&amp;Tab: Längenangabe für Welle Spannsatz eingefügt</t>
  </si>
  <si>
    <t>Rev. 0425b</t>
  </si>
  <si>
    <t>Ausschreibung_GCC_vertikal_Rev.0424beta.xlsm</t>
  </si>
  <si>
    <t>Rev. 0426b</t>
  </si>
  <si>
    <t>Lager&amp;Montagemat: Tork 520371 Vliesstofftuch eingefügt</t>
  </si>
  <si>
    <t>Tork 520371 Vliesstofftuch</t>
  </si>
  <si>
    <t>Ausschreibung_GCC_vertikal_Rev.0425beta.xlsm</t>
  </si>
  <si>
    <t>Arbeitsplan: Werte Verkleidungsbleche und Abdeckbleche Aufdopplung überarbeitet</t>
  </si>
  <si>
    <t>Rev. 0427b</t>
  </si>
  <si>
    <t>Ausschreibung_GCC_vertikal_Rev.0426beta.xlsm</t>
  </si>
  <si>
    <t>Palette</t>
  </si>
  <si>
    <t>Rev. 0428b</t>
  </si>
  <si>
    <t>Liste/Stückliste: Kalkulationsbereich korrigiert</t>
  </si>
  <si>
    <t>Ausschreibung_GCC_vertikal_Rev.0427beta.xlsm</t>
  </si>
  <si>
    <t>Rev. 0429b</t>
  </si>
  <si>
    <t>Liste: Antrieb reaktiviert</t>
  </si>
  <si>
    <t>Ausschreibung_GCC_vertikal_Rev.0428beta.xlsm</t>
  </si>
  <si>
    <t>Rev. 0430b</t>
  </si>
  <si>
    <t>Ausschreibung_GCC_vertikal_Rev.0429beta.xlsm</t>
  </si>
  <si>
    <t>Rev. 0431b</t>
  </si>
  <si>
    <t>Liste: Kalkulationsbereich korrigiert</t>
  </si>
  <si>
    <t>Ausschreibung_GCC_vertikal_Rev.0430beta.xlsm</t>
  </si>
  <si>
    <t>Dichtrahmenabdeckung 25 GCC V2A (Teillänge 17)</t>
  </si>
  <si>
    <t>Dichtrahmenabdeckung 25 GCC V2A (Teillänge 18)</t>
  </si>
  <si>
    <t>Dichtrahmenabdeckung 25 GCC V2A (Teillänge 19)</t>
  </si>
  <si>
    <t>Dichtrahmenabdeckung 25 GCC V2A (Teillänge 20)</t>
  </si>
  <si>
    <t>Stückliste/Liste/Dichtrahmenabdeckung/Ber&amp;Tab: Berechnung Dichtrahmenabdeckung erweitert auf Range bis 5000 und Stückelung bis 5</t>
  </si>
  <si>
    <t>Rev. 0432b</t>
  </si>
  <si>
    <t>Ausschreibung_GCC_vertikal_Rev.0431beta.xlsm</t>
  </si>
  <si>
    <t>Rev. 0433b</t>
  </si>
  <si>
    <t>Ber&amp;Tab: Prüfsummen + Mengen Dichtrahmenabdeckung korrigiert</t>
  </si>
  <si>
    <t>Ausschreibung_GCC_vertikal_Rev.0432beta.xlsm</t>
  </si>
  <si>
    <t>Stöbich B.V. (Niederlande)</t>
  </si>
  <si>
    <t>Aufkleber Produkt Stöbich B.V. (Niederlande)</t>
  </si>
  <si>
    <t>4002018</t>
  </si>
  <si>
    <t>Rev. 0434b</t>
  </si>
  <si>
    <t>Dateneingabe/Liste/Stückliste: Produktaufkleber Stöbich B.V. (Niederlande) eingebaut</t>
  </si>
  <si>
    <t>Ausschreibung_GCC_vertikal_Rev.0433beta.xlsm</t>
  </si>
  <si>
    <t>Berechnung Teillängen 1-5</t>
  </si>
  <si>
    <t>Berechnung Teillängen 6-10</t>
  </si>
  <si>
    <t>Berechnung Teillängen 11-15</t>
  </si>
  <si>
    <t>Berechnung Teillängen 16-20</t>
  </si>
  <si>
    <t>Rev. 0435b</t>
  </si>
  <si>
    <t>Ausschreibung_GCC_vertikal_Rev.0434beta.xlsm</t>
  </si>
  <si>
    <t>Kosmetik (ohne Funktionsänderung)</t>
  </si>
  <si>
    <t>Sonderbauteile</t>
  </si>
  <si>
    <t>Sonderbauteile/Sonderbaugruppen/Halbzeugzuschnitte</t>
  </si>
  <si>
    <r>
      <t xml:space="preserve">Länge
</t>
    </r>
    <r>
      <rPr>
        <sz val="8"/>
        <rFont val="Arial"/>
        <family val="2"/>
      </rPr>
      <t>(bei StlMe &lt;&gt; Stück)</t>
    </r>
  </si>
  <si>
    <t>StlME (Stücklistenmengeneinheit)</t>
  </si>
  <si>
    <t>Checkliste: Eingabe Sonderbauteile; Produktionskontrolle: entkreuzt</t>
  </si>
  <si>
    <t>Rev. 0436b</t>
  </si>
  <si>
    <t>Ausschreibung_GCC_vertikal_Rev.0435beta.xlsm</t>
  </si>
  <si>
    <t>Rev. 0437b</t>
  </si>
  <si>
    <t>Checkliste/Liste/Stückliste: Sonderbauteileingabe fertiggestellt</t>
  </si>
  <si>
    <t>Ausschreibung_GCC_vertikal_Rev.0436beta.xlsm</t>
  </si>
  <si>
    <t>0715214</t>
  </si>
  <si>
    <t>Checkliste: Festfeldpalette eingefügt</t>
  </si>
  <si>
    <t>Rev. 0438b</t>
  </si>
  <si>
    <t>Ausschreibung_GCC_vertikal_Rev.0437beta.xlsm</t>
  </si>
  <si>
    <t>Liste: Summenzeile Produktschild (492) korrigiert</t>
  </si>
  <si>
    <t>Rev. 0440b</t>
  </si>
  <si>
    <t>Ausschreibung_GCC_vertikal_Rev.0438beta.xlsm</t>
  </si>
  <si>
    <t>Rev. 0441b</t>
  </si>
  <si>
    <t>Checkliste/Eingabe Blechsonderteile: Tabellenblatt Eingabe Blechsonderteile gelöscht, Eingabe Sonderteile kleinere Formatierungen/Eingabebeschränkungen</t>
  </si>
  <si>
    <t>Ausschreibung_GCC_vertikal_Rev.0440beta.xlsm</t>
  </si>
  <si>
    <t>Dichtrahmenabdeckung, Intumatvers.</t>
  </si>
  <si>
    <t>Dichtrahmenabdeckung, Intumatversiegelung</t>
  </si>
  <si>
    <t>Checkliste: Berechnung zweite Palette nach KVP entsprechend beregelt; erweiterte Lademeterberechnung; Dateneingabe/Ber&amp;Tab: "Feuchtraum" umbenannt in "Dichtrahmenabdeckung, Intumatversiegelung"</t>
  </si>
  <si>
    <t>Rev. 0442b</t>
  </si>
  <si>
    <t>Ytong Planblock PPW4 600x250x150</t>
  </si>
  <si>
    <t>Ausschreibung_GCC_vertikal_Rev.0441beta.xlsm</t>
  </si>
  <si>
    <t>Rev. 0443b</t>
  </si>
  <si>
    <t>Checkliste: Korrektur Beregelung Blatt Dichtrahmenabdeckung</t>
  </si>
  <si>
    <t>Ausschreibung_GCC_vertikal_Rev.0442beta.xlsm</t>
  </si>
  <si>
    <t>Zahnspachtel Zahnung A2</t>
  </si>
  <si>
    <t>Bremsenreiniger</t>
  </si>
  <si>
    <t>UHU POLY MAX EXPRESS klar Montagekleber</t>
  </si>
  <si>
    <t>Edelstahlreiniger 400ml Gebinde</t>
  </si>
  <si>
    <t>7402006</t>
  </si>
  <si>
    <t>0140077</t>
  </si>
  <si>
    <t>7301008</t>
  </si>
  <si>
    <t>7001300</t>
  </si>
  <si>
    <t>Befestigung Stoßkantenabdeckblech(e)</t>
  </si>
  <si>
    <t>Rev. 0444b</t>
  </si>
  <si>
    <t>Liste/Stückliste/Lager&amp;Montagemat: UHU PolyMax Kleber für Stoßkantenabdeckbleche V2A eingefügt</t>
  </si>
  <si>
    <t>Ausschreibung_GCC_vertikal_Rev.0443beta.xlsm</t>
  </si>
  <si>
    <t>Blechbearbeitung</t>
  </si>
  <si>
    <t>Bauteile mit GMV &amp; GEO</t>
  </si>
  <si>
    <t>GMV und GEO da ?</t>
  </si>
  <si>
    <t>X_Param</t>
  </si>
  <si>
    <t>Y_Param</t>
  </si>
  <si>
    <t>Indikator Ja/Nein</t>
  </si>
  <si>
    <t>laenge_x</t>
  </si>
  <si>
    <t>hoehe_y</t>
  </si>
  <si>
    <t>Auftragsnummer (Gravur)</t>
  </si>
  <si>
    <t>vm1</t>
  </si>
  <si>
    <t>vm2</t>
  </si>
  <si>
    <t>vm3</t>
  </si>
  <si>
    <t>vm4</t>
  </si>
  <si>
    <t>vm5</t>
  </si>
  <si>
    <t>mastergmv</t>
  </si>
  <si>
    <t>outputgeo</t>
  </si>
  <si>
    <t>Rev. 0445b</t>
  </si>
  <si>
    <t>Before Save Makro eingebaut; Blechfertigung zu Blechbearbeitung umbenannt; Makro für Blechbearbeitung eingebaut</t>
  </si>
  <si>
    <t>Ausschreibung_GCC_vertikal_Rev.0444beta.xlsm</t>
  </si>
  <si>
    <t>Rev. 0446b</t>
  </si>
  <si>
    <t>Antrieb 180W 2 Gurt 35 rechts GCC vertikal</t>
  </si>
  <si>
    <t>Antrieb 180W 2 Gurt 35 rechts GCC vertikal V2A</t>
  </si>
  <si>
    <t>Antrieb 180W 2 Gurt 35 links GCC vertikal</t>
  </si>
  <si>
    <t>Antrieb 180W 2 Gurt 35 links GCC vertikal V2A</t>
  </si>
  <si>
    <t>Antrieb 180W 1 Gurt 35 rechts GCC vertikal</t>
  </si>
  <si>
    <t>Antrieb 180W 1 Gurt 35 rechts GCC vertikal V2A</t>
  </si>
  <si>
    <t>Antrieb 180W 1 Gurt 35 links GCC vertikal</t>
  </si>
  <si>
    <t>Antrieb 180W 1 Gurt 35 links GCC vertikal V2A</t>
  </si>
  <si>
    <t>Quelltabelle Makro Blechbearbeitung verschoben und Makro angepasst; Lackliste Menge Lochpositionierungsbleche angepasst; Neue Antriebe 180W aktiviert</t>
  </si>
  <si>
    <t>Ausschreibung_GCC_vertikal_Rev.0445beta.xlsm</t>
  </si>
  <si>
    <t>GCC vertikal Antriebssystem 2x 1500W Motor verzinkt (0308379)</t>
  </si>
  <si>
    <t>GCC vertikal Antriebssystem 2x 1500W Motor V2A (0338379)</t>
  </si>
  <si>
    <t>Rev. 0447b</t>
  </si>
  <si>
    <t>Korrektur Makro Blechbearbeitung</t>
  </si>
  <si>
    <t>Ausschreibung_GCC_vertikal_Rev.0446beta.xlsm</t>
  </si>
  <si>
    <t>Aufdopplungsrechner (Test)</t>
  </si>
  <si>
    <t>nur für einfachen Latz (siehe Darstellung) geeignet</t>
  </si>
  <si>
    <t>Hinweis:</t>
  </si>
  <si>
    <t>X=</t>
  </si>
  <si>
    <t>Y=</t>
  </si>
  <si>
    <t>Z=</t>
  </si>
  <si>
    <t>H=</t>
  </si>
  <si>
    <t>Berechnung: Rechteckiger Latz #1</t>
  </si>
  <si>
    <t>A001</t>
  </si>
  <si>
    <t>Aufdopplung links waagerecht</t>
  </si>
  <si>
    <t>A002</t>
  </si>
  <si>
    <t>A003</t>
  </si>
  <si>
    <t>A004</t>
  </si>
  <si>
    <t>A005</t>
  </si>
  <si>
    <t>A006</t>
  </si>
  <si>
    <t>A007</t>
  </si>
  <si>
    <t>A008</t>
  </si>
  <si>
    <t>A009</t>
  </si>
  <si>
    <t>A010</t>
  </si>
  <si>
    <t>A011</t>
  </si>
  <si>
    <t>Aufdopplung links senkrecht</t>
  </si>
  <si>
    <t>A012</t>
  </si>
  <si>
    <t>A013</t>
  </si>
  <si>
    <t>A014</t>
  </si>
  <si>
    <t>A015</t>
  </si>
  <si>
    <t>A016</t>
  </si>
  <si>
    <t>A017</t>
  </si>
  <si>
    <t>A018</t>
  </si>
  <si>
    <t>A019</t>
  </si>
  <si>
    <t>A020</t>
  </si>
  <si>
    <t>A021</t>
  </si>
  <si>
    <t>Aufdopplung mitte</t>
  </si>
  <si>
    <t>A022</t>
  </si>
  <si>
    <t>A023</t>
  </si>
  <si>
    <t>A024</t>
  </si>
  <si>
    <t>A025</t>
  </si>
  <si>
    <t>A026</t>
  </si>
  <si>
    <t>A027</t>
  </si>
  <si>
    <t>A028</t>
  </si>
  <si>
    <t>A029</t>
  </si>
  <si>
    <t>A030</t>
  </si>
  <si>
    <t>A031</t>
  </si>
  <si>
    <t>Aufdopplung rechts senkrecht</t>
  </si>
  <si>
    <t>A032</t>
  </si>
  <si>
    <t>A033</t>
  </si>
  <si>
    <t>A034</t>
  </si>
  <si>
    <t>A035</t>
  </si>
  <si>
    <t>A036</t>
  </si>
  <si>
    <t>A037</t>
  </si>
  <si>
    <t>A038</t>
  </si>
  <si>
    <t>A039</t>
  </si>
  <si>
    <t>A040</t>
  </si>
  <si>
    <t>A041</t>
  </si>
  <si>
    <t>Aufdopplung rechts waagerecht</t>
  </si>
  <si>
    <t>A042</t>
  </si>
  <si>
    <t>A043</t>
  </si>
  <si>
    <t>A044</t>
  </si>
  <si>
    <t>A045</t>
  </si>
  <si>
    <t>A046</t>
  </si>
  <si>
    <t>A047</t>
  </si>
  <si>
    <t>A048</t>
  </si>
  <si>
    <t>A049</t>
  </si>
  <si>
    <t>A050</t>
  </si>
  <si>
    <t>A051</t>
  </si>
  <si>
    <t>A052</t>
  </si>
  <si>
    <t>A053</t>
  </si>
  <si>
    <t>A054</t>
  </si>
  <si>
    <t>A055</t>
  </si>
  <si>
    <t>A056</t>
  </si>
  <si>
    <t>A057</t>
  </si>
  <si>
    <t>A058</t>
  </si>
  <si>
    <t>A059</t>
  </si>
  <si>
    <t>A060</t>
  </si>
  <si>
    <t>A061</t>
  </si>
  <si>
    <t>A062</t>
  </si>
  <si>
    <t>A063</t>
  </si>
  <si>
    <t>A064</t>
  </si>
  <si>
    <t>A065</t>
  </si>
  <si>
    <t>A066</t>
  </si>
  <si>
    <t>A067</t>
  </si>
  <si>
    <t>A068</t>
  </si>
  <si>
    <t>A069</t>
  </si>
  <si>
    <t>A070</t>
  </si>
  <si>
    <t>A071</t>
  </si>
  <si>
    <t>A072</t>
  </si>
  <si>
    <t>A073</t>
  </si>
  <si>
    <t>A074</t>
  </si>
  <si>
    <t>A075</t>
  </si>
  <si>
    <t>A076</t>
  </si>
  <si>
    <t>A077</t>
  </si>
  <si>
    <t>A078</t>
  </si>
  <si>
    <t>A079</t>
  </si>
  <si>
    <t>A080</t>
  </si>
  <si>
    <t>A081</t>
  </si>
  <si>
    <t>A082</t>
  </si>
  <si>
    <t>A083</t>
  </si>
  <si>
    <t>A084</t>
  </si>
  <si>
    <t>A085</t>
  </si>
  <si>
    <t>A086</t>
  </si>
  <si>
    <t>A087</t>
  </si>
  <si>
    <t>A088</t>
  </si>
  <si>
    <t>A089</t>
  </si>
  <si>
    <t>A090</t>
  </si>
  <si>
    <t>A091</t>
  </si>
  <si>
    <t>A092</t>
  </si>
  <si>
    <t>A093</t>
  </si>
  <si>
    <t>A094</t>
  </si>
  <si>
    <t>A095</t>
  </si>
  <si>
    <t>A096</t>
  </si>
  <si>
    <t>A097</t>
  </si>
  <si>
    <t>A098</t>
  </si>
  <si>
    <t>A099</t>
  </si>
  <si>
    <t>A100</t>
  </si>
  <si>
    <t>A101</t>
  </si>
  <si>
    <t>A102</t>
  </si>
  <si>
    <t>A103</t>
  </si>
  <si>
    <t>A104</t>
  </si>
  <si>
    <t>A105</t>
  </si>
  <si>
    <t>A106</t>
  </si>
  <si>
    <t>A107</t>
  </si>
  <si>
    <t>A108</t>
  </si>
  <si>
    <t>A109</t>
  </si>
  <si>
    <t>A110</t>
  </si>
  <si>
    <t>132</t>
  </si>
  <si>
    <t>133</t>
  </si>
  <si>
    <t>134</t>
  </si>
  <si>
    <t>Rev. 0448b</t>
  </si>
  <si>
    <t>Aufdopplungsrechner (Test): Arbeitsplatt erstellt, ausgeblendet; Stückliste/Zuschnitt Schieberblatt: 3 Zeilen eingefügt, leere Zeilen entfernt</t>
  </si>
  <si>
    <t>Ausschreibung_GCC_vertikal_Rev.0447beta.xlsm</t>
  </si>
  <si>
    <r>
      <t xml:space="preserve">Dieser Aufdopplungsrechner hat keine Auswirkungen auf die Ausschreibung. Er kann bei Bedarf eingeblendet werden und dient zur Kalkulation der dargestellten Aufdopplung. Per Copy&amp;Paste (bei Paste: Rechtsklick-Einfügen-Verknüpfungen) können die Zellen in die entsprechenden Eingabefelder auf dem Blatt "Zuschnitt Schieberblatt" kopiert werden um dort ausgeschrieben zu werden. Dieses Arbeitsblatt hat keine Relevanz für die Produktion und </t>
    </r>
    <r>
      <rPr>
        <b/>
        <i/>
        <sz val="10"/>
        <rFont val="Arial"/>
        <family val="2"/>
      </rPr>
      <t>muss nach der Benutzung wieder ausgeblendet werden</t>
    </r>
    <r>
      <rPr>
        <i/>
        <sz val="10"/>
        <rFont val="Arial"/>
        <family val="2"/>
      </rPr>
      <t>. Andernfalls wird es Verwirrung provozieren.</t>
    </r>
  </si>
  <si>
    <t>Gurt 35</t>
  </si>
  <si>
    <t>Gurt 74</t>
  </si>
  <si>
    <t>0308479</t>
  </si>
  <si>
    <t>0308480</t>
  </si>
  <si>
    <t>Rev. 0449b</t>
  </si>
  <si>
    <t>Liste/Stückliste: Gurt 35, Gurt 74 eingefügt</t>
  </si>
  <si>
    <t>Ausschreibung_GCC_vertikal_Rev.0448beta.xlsm</t>
  </si>
  <si>
    <t>Liste: Bezug Menge Blechinnenlage Komplettelement umgestellt; Antriebe 180W 1 Gurt temporär deaktiviert</t>
  </si>
  <si>
    <t>Rev. 0450b</t>
  </si>
  <si>
    <t>Ausschreibung_GCC_vertikal_Rev.0449beta.xlsm</t>
  </si>
  <si>
    <t>Liste: Antriebe 180W 1 Gurt reaktiviert</t>
  </si>
  <si>
    <t>Rev. 0451b</t>
  </si>
  <si>
    <t>0308418</t>
  </si>
  <si>
    <t>0338418</t>
  </si>
  <si>
    <t>0308419</t>
  </si>
  <si>
    <t>0338419</t>
  </si>
  <si>
    <t>Ausschreibung_GCC_vertikal_Rev.0450beta.xlsm</t>
  </si>
  <si>
    <t>Rev. 0452b</t>
  </si>
  <si>
    <t>Lackliste: Überschrift Bezug korrigiert</t>
  </si>
  <si>
    <t>Ausschreibung_GCC_vertikal_Rev.0451beta.xlsm</t>
  </si>
  <si>
    <t>Rev. 0453b</t>
  </si>
  <si>
    <t>Lager&amp;Montagematerial: Z118 Senkschraube 5x100 Bezüge korrigiert</t>
  </si>
  <si>
    <t>Ausschreibung_GCC_vertikal_Rev.0452beta.xlsm</t>
  </si>
  <si>
    <t>Fischer Siebhülse FIS H 16 x 85 K</t>
  </si>
  <si>
    <t>Sichtbarkeit</t>
  </si>
  <si>
    <t>Ausschreibung_GCC_vertikal_Rev.0453beta.xlsm</t>
  </si>
  <si>
    <t>Lag&amp;Mont: Aufkleber "Schließbereich freihalten" eingefügt, 0126242 in 0126238 geändert, Filtermöglichkeit eingebaut; Makro "DieseArbeitsmappe" überarbeitet (Before Save, Makrodat, vorheriges Worksheet auswählen)</t>
  </si>
  <si>
    <t>Rev. 0454b</t>
  </si>
  <si>
    <t>Antrieb 750W 2 Gurt 35 rechts GCC vertikal</t>
  </si>
  <si>
    <t>Antrieb 750W 2 Gurt 35 rechts GCC vertikal V2A</t>
  </si>
  <si>
    <t>Antrieb 750W 2 Gurt 35 links GCC vertikal</t>
  </si>
  <si>
    <t>Antrieb 750W 2 Gurt 35 links GCC vertikal V2A</t>
  </si>
  <si>
    <t>Antrieb 750W 1 Gurt 35 rechts GCC vertikal</t>
  </si>
  <si>
    <t>Antrieb 750W 1 Gurt 35 rechts GCC vertikal V2A</t>
  </si>
  <si>
    <t>Antrieb 750W 1 Gurt 35 links GCC vertikal</t>
  </si>
  <si>
    <t>Antrieb 750W 1 Gurt 35 links GCC vertikal V2A</t>
  </si>
  <si>
    <t>0308448</t>
  </si>
  <si>
    <t>0338448</t>
  </si>
  <si>
    <t>0308449</t>
  </si>
  <si>
    <t>0338449</t>
  </si>
  <si>
    <t>0308450</t>
  </si>
  <si>
    <t>0338450</t>
  </si>
  <si>
    <t>0308451</t>
  </si>
  <si>
    <t>0338451</t>
  </si>
  <si>
    <t>Rev. 0455b</t>
  </si>
  <si>
    <t>Liste: "Neue Antriebe 750W" aktiviert</t>
  </si>
  <si>
    <t>Ausschreibung_GCC_vertikal_Rev.0454beta.xlsm</t>
  </si>
  <si>
    <t>Kantenschutzwinkel 40 x 20 x 1 V2A</t>
  </si>
  <si>
    <t>0713964</t>
  </si>
  <si>
    <t>Rev. 0456b</t>
  </si>
  <si>
    <t>Liste/APL/STL/Checkliste: Kantenschutzwinkel V2A + Verkleidungsblech Festfeld unten eingebaut</t>
  </si>
  <si>
    <t>Ausschreibung_GCC_vertikal_Rev.0455beta.xlsm</t>
  </si>
  <si>
    <t>Rev. 0457b</t>
  </si>
  <si>
    <t>Kosmetik APL, Liste</t>
  </si>
  <si>
    <t>Festfeld Verkleidungsblech unten</t>
  </si>
  <si>
    <t>Ausschreibung_GCC_vertikal_Rev.0456beta.xlsm</t>
  </si>
  <si>
    <t>0308504</t>
  </si>
  <si>
    <t>0338504</t>
  </si>
  <si>
    <t>0308505</t>
  </si>
  <si>
    <t>0338505</t>
  </si>
  <si>
    <t>Verkleidungsblech Stoßabdeckung hinten links verz.</t>
  </si>
  <si>
    <t>Verkleidungsblech Stoßabdeckung hinten links V2A</t>
  </si>
  <si>
    <t>Verkleidungsblech Stoßabdeckung hinten rechts verz.</t>
  </si>
  <si>
    <t>Verkleidungsblech Stoßabdeckung hinten rechts V2A</t>
  </si>
  <si>
    <t>Rev. 0458b</t>
  </si>
  <si>
    <t>Liste/Stückliste: Stoßkantenabdeckbleche links/rechts eingepflegt</t>
  </si>
  <si>
    <t>Ausschreibung_GCC_vertikal_Rev.0457beta.xlsm</t>
  </si>
  <si>
    <t>0308292</t>
  </si>
  <si>
    <t>Rev. 0459b</t>
  </si>
  <si>
    <t>Liste/Stückliste/Checkliste: Reparatur Empekleber und folgende Zeilen (Fehler bei Aufklebern)</t>
  </si>
  <si>
    <t>Ausschreibung_GCC_vertikal_Rev.0458beta.xlsm</t>
  </si>
  <si>
    <t>Schieberelementblechinnenlage oben/komplett (0308094)</t>
  </si>
  <si>
    <t>Ausschreibung_GCC_vertikal_Rev.0459beta.xlsm</t>
  </si>
  <si>
    <t>Gurtwickelhalter (0308239)</t>
  </si>
  <si>
    <t>Gurtscheibe (0308110)</t>
  </si>
  <si>
    <t>Motorhalter rechts/links (0308105/0308258)</t>
  </si>
  <si>
    <t>Nur Sichtseite beschichten!</t>
  </si>
  <si>
    <t>Rev. 0460b</t>
  </si>
  <si>
    <t>Artikelnummern In Lackliste, teilweise Bezüge verändert</t>
  </si>
  <si>
    <t>Allseitig beschichten, Folie Sichtseite!</t>
  </si>
  <si>
    <t>Rev. 0461b</t>
  </si>
  <si>
    <t>Ausschreibung_GCC_vertikal_Rev.0460beta.xlsm</t>
  </si>
  <si>
    <t xml:space="preserve">Lackliste: Führungsschienen Folie </t>
  </si>
  <si>
    <t>Rev. 0462b</t>
  </si>
  <si>
    <t>Checkliste: Korrektur Formel StlMe für Sonderteile</t>
  </si>
  <si>
    <t>Ausschreibung_GCC_vertikal_Rev.0461beta.xlsm</t>
  </si>
  <si>
    <t>Stückliste: Spalte "Lagerbereich" hatte falsche Bezüge -&gt; gelöscht</t>
  </si>
  <si>
    <t>Rev. 0463b</t>
  </si>
  <si>
    <t>Ausschreibung_GCC_vertikal_Rev.0462beta.xlsm</t>
  </si>
  <si>
    <t>Rev. 0464b</t>
  </si>
  <si>
    <t>Schieberblatt: Aufdopplung bei Komplettelement / Element unten geändert auf "Sonder oder ohne"</t>
  </si>
  <si>
    <t>Ausschreibung_GCC_vertikal_Rev.0463beta.xlsm</t>
  </si>
  <si>
    <t>Liste/Stückliste: Verstärkungsblech 0338095 nicht mehr auf "Blechbearbeitung"; Lager&amp;Montagematerial: doppelte Intumatversiegelung gelöscht, Reste von ECClos gelöscht</t>
  </si>
  <si>
    <t>Rev. 0465b</t>
  </si>
  <si>
    <t>Ausschreibung_GCC_vertikal_Rev.0464beta.xlsm</t>
  </si>
  <si>
    <t>Rev. 0466b</t>
  </si>
  <si>
    <t>Automatisches Ausfüllen Intumatversiegelung+Dichtrahmenabdeckung</t>
  </si>
  <si>
    <t>Ausschreibung_GCC_vertikal_Rev.0465beta.xlsm</t>
  </si>
  <si>
    <t>Rev. 0467b</t>
  </si>
  <si>
    <t>Liste: 0338134 nicht mehr auf Blechliste</t>
  </si>
  <si>
    <t>Ausschreibung_GCC_vertikal_Rev.0466beta.xlsm</t>
  </si>
  <si>
    <t>Rev. 0468b</t>
  </si>
  <si>
    <t>Lager&amp;Montagematerial: Spanplattenschrauben für Konsole/Auflaufplatten durch längere ersetzt</t>
  </si>
  <si>
    <t>Ausschreibung_GCC_vertikal_Rev.0467beta.xlsm</t>
  </si>
  <si>
    <t>Querschnittsfläche bei 1m länge:</t>
  </si>
  <si>
    <t>mm²</t>
  </si>
  <si>
    <t>Länge Gurt (Verfahrweg)</t>
  </si>
  <si>
    <t>Fläche Welle (d=80mm)</t>
  </si>
  <si>
    <t>Fläche für Gurt</t>
  </si>
  <si>
    <t>Gurtdicke</t>
  </si>
  <si>
    <t>Gurtbreite</t>
  </si>
  <si>
    <t>Ausschreibung_GCC_vertikal_Rev.0468beta.xlsm</t>
  </si>
  <si>
    <t>Drehmomentberechnung für Antriebe</t>
  </si>
  <si>
    <t>d=175mm für alle GCC</t>
  </si>
  <si>
    <t>Gewichtskraft:</t>
  </si>
  <si>
    <t>Gewicht am Gurt:</t>
  </si>
  <si>
    <t>Radius Gurt aufgewickelt:</t>
  </si>
  <si>
    <t>Motor Typ:</t>
  </si>
  <si>
    <t>Rev. 0469b</t>
  </si>
  <si>
    <t>Unterleger für Gleitblock verz.</t>
  </si>
  <si>
    <t>Unterleger für Gleitblock V2A</t>
  </si>
  <si>
    <t>0308513</t>
  </si>
  <si>
    <t>0338513</t>
  </si>
  <si>
    <t>Ber&amp;Tab/Antrieb: Drehmomentbrechnung, Lastcheck; Liste/Stückliste/Checkliste: Unterleger Gleitblöcke</t>
  </si>
  <si>
    <t xml:space="preserve">0213002 / GKB 9,5mm </t>
  </si>
  <si>
    <t xml:space="preserve">0213001 / GKB 12,5mm </t>
  </si>
  <si>
    <t>Verbindung Festfeldbefw./Festfeldhalter</t>
  </si>
  <si>
    <t>Blindniet Flachkopf 5x16</t>
  </si>
  <si>
    <t>Rev. 0470b</t>
  </si>
  <si>
    <t>Zuschnitt Schieber/Zuschnitt Festfeld: Artikelnummern GKB 12,5/9,5 korrigiert; Lager&amp;Mont./Stückliste: Verbindung Festfeldbefestigungswinkel/Festfeldhalter - Blindniet 5x16</t>
  </si>
  <si>
    <t>Ausschreibung_GCC_vertikal_Rev.0469beta.xlsm</t>
  </si>
  <si>
    <t>Rev. 0471b</t>
  </si>
  <si>
    <t>Ber&amp;Tab: Farbmengen von 0,2 auf 0,16 angepasst</t>
  </si>
  <si>
    <t>Ausschreibung_GCC_vertikal_Rev.0470beta.xlsm</t>
  </si>
  <si>
    <t>Rev. 0472b</t>
  </si>
  <si>
    <t>Lack+Härter für Intumatversiegelung*0,1</t>
  </si>
  <si>
    <t>Ausschreibung_GCC_vertikal_Rev.0471beta.xlsm</t>
  </si>
  <si>
    <t>Rev. 0473b</t>
  </si>
  <si>
    <t>Lager&amp;Mont.: Doppelten Aufkleber Schließbereich freihalten entfernt</t>
  </si>
  <si>
    <t>Ausschreibung_GCC_vertikal_Rev.0472beta.xlsm</t>
  </si>
  <si>
    <t>Aufkleber für Palette</t>
  </si>
  <si>
    <t>Aufkleber stapelbar de/en</t>
  </si>
  <si>
    <t>Aufkleber Werbung Stöbich de/en</t>
  </si>
  <si>
    <t>Rev. 0474b</t>
  </si>
  <si>
    <t>Stückliste: Hinweistexte verknüpft; Lager&amp;Mont: Montageanleitung in Einbauanleitung umbenannt</t>
  </si>
  <si>
    <t>Ausschreibung_GCC_vertikal_Rev.0473beta.xlsm</t>
  </si>
  <si>
    <t>Liste/Stückliste/Lager&amp;Montagematerial/Checkliste: Fischer FPX Dübel hinzugefügt, Flachpalette + Aufbau 0308526 ersetzt alte Artikelnummer</t>
  </si>
  <si>
    <t>0126077</t>
  </si>
  <si>
    <t>Porenbetonanker FPX M10-I</t>
  </si>
  <si>
    <t>Ausschreibung_GCC_vertikal_Rev.0474beta.xlsm</t>
  </si>
  <si>
    <t>Rev. 0475b</t>
  </si>
  <si>
    <t>Kit Anschraubwinkel Griffschutz Antrieb V2A</t>
  </si>
  <si>
    <t>Kit Anschraubwinkel Griffschutz Antrieb verz.</t>
  </si>
  <si>
    <t>0308528</t>
  </si>
  <si>
    <t>0338528</t>
  </si>
  <si>
    <t>Rev. 0476b</t>
  </si>
  <si>
    <t>Liste/Stückliste&amp;Lager&amp;Mont.: Anschraubwinkel auf Kit umgestellt</t>
  </si>
  <si>
    <t>Ausschreibung_GCC_vertikal_Rev.0475beta.xlsm</t>
  </si>
  <si>
    <t>Rev. 0477b</t>
  </si>
  <si>
    <t>Dateneingabe/Lager&amp;Mont.: Montageanleitung EN reaktiviert</t>
  </si>
  <si>
    <t>Ausschreibung_GCC_vertikal_Rev.0476beta.xlsm</t>
  </si>
  <si>
    <t>Mögliche Länge Gurt 35</t>
  </si>
  <si>
    <t>Außendurchmesser Gurt 35</t>
  </si>
  <si>
    <t>Mögliche Länge Gurt 74</t>
  </si>
  <si>
    <t>benötigte Fläche Gurt 35</t>
  </si>
  <si>
    <t>benötigte Fläche Gurt 74</t>
  </si>
  <si>
    <t>Außendurchmesser Gurt 74</t>
  </si>
  <si>
    <t>Für Antrieb resultierendes Drehmoment:</t>
  </si>
  <si>
    <t>Drehmoment:</t>
  </si>
  <si>
    <t>Drehmoment am Motor</t>
  </si>
  <si>
    <t>Rev. 0478b</t>
  </si>
  <si>
    <t>Ber&amp;Tab/Antriebsfertigugn: Antriebsauswahl basierend auf Drehmomentberechnung</t>
  </si>
  <si>
    <t>Ausschreibung_GCC_vertikal_Rev.0477beta.xlsm</t>
  </si>
  <si>
    <t>Rev. 0479b</t>
  </si>
  <si>
    <t>Ber&amp;Tab: Drehmomentberechnung verfeinert für bessere Näherung an Realität</t>
  </si>
  <si>
    <t>Ausschreibung_GCC_vertikal_Rev.0478beta.xlsm</t>
  </si>
  <si>
    <t>Gurt für Schieberanbindung</t>
  </si>
  <si>
    <t>Antriebsfertigung: Korrektur Tragrollenangabe, Kosmetik</t>
  </si>
  <si>
    <t>Rev. 0480b</t>
  </si>
  <si>
    <t>Ausschreibung_GCC_vertikal_Rev.0479beta.xlsm</t>
  </si>
  <si>
    <t>Maximale Schließgeschwindigkeit:</t>
  </si>
  <si>
    <t>Motor:</t>
  </si>
  <si>
    <t>Für Antrieb res. max. Schließgeschwindigkeit:</t>
  </si>
  <si>
    <t>Minimale Schließgeschwindigkeit:</t>
  </si>
  <si>
    <t>Für Antrieb res. min. Schließgeschwindigkeit:</t>
  </si>
  <si>
    <t>Rev. 0481b</t>
  </si>
  <si>
    <t>Ber&amp;Tab: Berechnung der Schließgeschwindigkeit basierend auf Wickeldurchmesser und Motordrehzahl (nur für konstruktive Zwecke)</t>
  </si>
  <si>
    <t>Ausschreibung_GCC_vertikal_Rev.0480beta.xlsm</t>
  </si>
  <si>
    <t>0338335</t>
  </si>
  <si>
    <t>0338336</t>
  </si>
  <si>
    <t>Rev. 0482b</t>
  </si>
  <si>
    <t>Liste: Befestigungsspange Rollenendschalter und Initiator an Führungsschiene in V2A eingepflegt (0338335, 0338336)</t>
  </si>
  <si>
    <t>Ausschreibung_GCC_vertikal_Rev.0481beta.xlsm</t>
  </si>
  <si>
    <t>Versiegelung</t>
  </si>
  <si>
    <t>Rev. 0483b</t>
  </si>
  <si>
    <t>Ausschreibung_GCC_vertikal_Rev.0482beta.xlsm</t>
  </si>
  <si>
    <t>Zuschnitt Festfeld: C47/D47 verbunden; Liste/Lager&amp;Mont./Stückliste: Acryl B2 eingepflegt</t>
  </si>
  <si>
    <t>Variantenmerkmale</t>
  </si>
  <si>
    <t>Zuschnitt Bildnummer</t>
  </si>
  <si>
    <t>Kostenstelle AG</t>
  </si>
  <si>
    <t>Zuschnittsbeschreibung</t>
  </si>
  <si>
    <t>Kennzeichen
Materialbereitstellung
(kzmat)</t>
  </si>
  <si>
    <t>Ersatzteilpositionsnummer</t>
  </si>
  <si>
    <t>KZ Ersatz
Ersatzteil (1)
Verschleißteil (2)
(15. imp_ersatz)</t>
  </si>
  <si>
    <t>CHECKLISTE 
(11. kz_mat)</t>
  </si>
  <si>
    <t>Hinweistext für F-Papiere 
(einzeilig, max. 70 Zeichen)
(14 - imp_hinweistxt)</t>
  </si>
  <si>
    <t>Gliederung der STL
(12. cadpos)</t>
  </si>
  <si>
    <t>Kostenstelle
(13. kostst)</t>
  </si>
  <si>
    <t>Breite
(6 imp_breite)</t>
  </si>
  <si>
    <t>Länge
(5. imp_laenge)</t>
  </si>
  <si>
    <t>Anzahl
(3. stmenge)</t>
  </si>
  <si>
    <t>Teilenummer
(2. identnr)</t>
  </si>
  <si>
    <t>Benennung
(1. imp_bezeichnung)</t>
  </si>
  <si>
    <t>Mengeneinheit
(4. mes)</t>
  </si>
  <si>
    <t>Lagerbereich
(10. lgnr)</t>
  </si>
  <si>
    <t>Rev. 0484b</t>
  </si>
  <si>
    <t>Stückliste/Makro Blechbearbeitung/Makro Stahlzuschnitt: Bereiche zur Übergabe an Abschreibungsvorlage angepasst</t>
  </si>
  <si>
    <t>Ausschreibung_GCC_vertikal_Rev.0483beta.xlsm</t>
  </si>
  <si>
    <t>Arbeitsplatz AG</t>
  </si>
  <si>
    <t>Flexfertigung</t>
  </si>
  <si>
    <t>Gurtlänge auf Antrieb im Betrieb:</t>
  </si>
  <si>
    <t>Gesamtlänge Gurt auf Antrieb bei Ausliferung in m:</t>
  </si>
  <si>
    <t>Gurtzugabe für Montage:</t>
  </si>
  <si>
    <t>Rev. 0485b</t>
  </si>
  <si>
    <t>Dateneingabe/Ber&amp;Tab/Antriebsfertigung: Gurtzugabe für Montage eingebaut</t>
  </si>
  <si>
    <t>Ausschreibung_GCC_vertikal_Rev.0484beta.xlsm</t>
  </si>
  <si>
    <t>Sicherheitszuschlag:</t>
  </si>
  <si>
    <t>Ber&amp;Tab: Korrektur Formelfehler für Gurtzugabe; Sicherheitszuschlag für Drehmomentberechnung eingefügt</t>
  </si>
  <si>
    <t>Rev. 0486b</t>
  </si>
  <si>
    <t>Ausschreibung_GCC_vertikal_Rev.0485beta.xlsm</t>
  </si>
  <si>
    <t>0308531</t>
  </si>
  <si>
    <t>Menge Streifen</t>
  </si>
  <si>
    <t>1225 mm</t>
  </si>
  <si>
    <t>Rev. 0487b</t>
  </si>
  <si>
    <t>Ber&amp;Tab/Liste: Festfeldfüllplatten 225mm auf 1225mm Länge geändert; Checkliste/Liste: Palettenvariante 0308531 statt 0308526; Liste: Längenbezug Kantenschutzwinkel korrigiert; Dateneingabe: Gurtzugabe in m und ausgeblendet</t>
  </si>
  <si>
    <t>Ausschreibung_GCC_vertikal_Rev.0486beta.xlsm</t>
  </si>
  <si>
    <t>Dateneingabe: Position Motor überarbeitet</t>
  </si>
  <si>
    <t>Rev. 0488b</t>
  </si>
  <si>
    <t>Ausschreibung_GCC_vertikal_Rev.0487beta.xlsm</t>
  </si>
  <si>
    <t>Dateneingabe: Eingabetext Motorseite geändert</t>
  </si>
  <si>
    <t>Rev. 0489b</t>
  </si>
  <si>
    <t>Ausschreibung_GCC_vertikal_Rev.0488beta.xlsm</t>
  </si>
  <si>
    <t>Rev. 0490b</t>
  </si>
  <si>
    <t>Produktionskontrolle: Rev. 0436 (entxt) rückgängig gemacht bzw. reaktiviert</t>
  </si>
  <si>
    <t>Ausschreibung_GCC_vertikal_Rev.0489beta.xlsm</t>
  </si>
  <si>
    <t>Produktionskontrolle: Letzte beide Kreuze korrigiert</t>
  </si>
  <si>
    <t>Rev. 0491b</t>
  </si>
  <si>
    <t>Ausschreibung_GCC_vertikal_Rev.0490beta.xlsm</t>
  </si>
  <si>
    <t>0308503</t>
  </si>
  <si>
    <t>L-Winkel für Palette</t>
  </si>
  <si>
    <t>Rev. 0492b</t>
  </si>
  <si>
    <t>Liste: 0713912 (Z-Profil) gegen 0308503 (L-Winkel) ersetzt</t>
  </si>
  <si>
    <t>Ausschreibung_GCC_vertikal_Rev.0491beta.xlsm</t>
  </si>
  <si>
    <t>0308252</t>
  </si>
  <si>
    <t>0338252</t>
  </si>
  <si>
    <t>0308253</t>
  </si>
  <si>
    <t>0338253</t>
  </si>
  <si>
    <t>GCC vertikal Antriebssystem 1500W Motor rechts verzinkt</t>
  </si>
  <si>
    <t>GCC vertikal Antriebssystem 1500W Motor rechts V2A</t>
  </si>
  <si>
    <t>GCC vertikal Antriebssystem 1500W Motor links verzinkt</t>
  </si>
  <si>
    <t>GCC vertikal Antriebssystem 1500W Motor links V2A</t>
  </si>
  <si>
    <t>0308379</t>
  </si>
  <si>
    <t>Rev. 0493b</t>
  </si>
  <si>
    <t>Liste: Antriebe 1500W umgestellt auf Baugruppen, Antriebsvariante deaktiviert</t>
  </si>
  <si>
    <t>Ausschreibung_GCC_vertikal_Rev.0492beta.xlsm</t>
  </si>
  <si>
    <t>Rev. 0494b</t>
  </si>
  <si>
    <t>Produktionskontrolle: Kreuze erneut entfernt</t>
  </si>
  <si>
    <t>Ausschreibung_GCC_vertikal_Rev.0493beta.xlsm</t>
  </si>
  <si>
    <t>Blechbearbeitung: Druckbereich angepasst</t>
  </si>
  <si>
    <t>Rev. 0495b</t>
  </si>
  <si>
    <t>Ausschreibung_GCC_vertikal_Rev.0494beta.xlsm</t>
  </si>
  <si>
    <t>Checkbox</t>
  </si>
  <si>
    <t>Rev. 0496b</t>
  </si>
  <si>
    <t>Berechnung&amp;Tabellen: Aufteilung Standard Führungsschienen neu beregelt um 3000er Länge zu vermeiden</t>
  </si>
  <si>
    <t>Ausschreibung_GCC_vertikal_Rev.0495beta.xlsm</t>
  </si>
  <si>
    <t>Rev. 0497b</t>
  </si>
  <si>
    <t>Anzahl Stöße beider Seiten der Führungsschiene</t>
  </si>
  <si>
    <t>Berechnung&amp;Tabellen: Alte Führungsschienenberechnung entfernt; Anpassung Anzahl Befestigungsspangen)</t>
  </si>
  <si>
    <t>Ausschreibung_GCC_vertikal_Rev.0496beta.xlsm</t>
  </si>
  <si>
    <t>Informationen für AV:</t>
  </si>
  <si>
    <t>(z. B. für Sonderprozesse)</t>
  </si>
  <si>
    <t>Rev. 0498b</t>
  </si>
  <si>
    <t>Dateneingabe: Mitteilungsfeld "Informationen für AV" eingebaut</t>
  </si>
  <si>
    <t>Ausschreibung_GCC_vertikal_Rev.0497beta.xlsm</t>
  </si>
  <si>
    <t>Typ:</t>
  </si>
  <si>
    <t>Lichte Breite</t>
  </si>
  <si>
    <t>Lichte Höhe</t>
  </si>
  <si>
    <t>Materialausführung Stahlteile</t>
  </si>
  <si>
    <t>Farbton RAL - Materialausführung Stahlteile</t>
  </si>
  <si>
    <t>Oberfläche Raumseite</t>
  </si>
  <si>
    <t>Farbton RAL - Oberfläche Raumseite</t>
  </si>
  <si>
    <t>Oberfläche Wandseite</t>
  </si>
  <si>
    <t>Farbton RAL - Oberfläche Wandseite</t>
  </si>
  <si>
    <t>Oberfläche Festfeld</t>
  </si>
  <si>
    <t>Farbton RAL - Oberfläche Festfeld</t>
  </si>
  <si>
    <t>Auftragseingang</t>
  </si>
  <si>
    <t>Gutschrift B7</t>
  </si>
  <si>
    <t>FET</t>
  </si>
  <si>
    <t>Rev. 0499b</t>
  </si>
  <si>
    <t>Makro/Produktionskontrolle: Datenübertragung Produktionskontrolle eingebaut</t>
  </si>
  <si>
    <t>Ausschreibung_GCC_vertikal_Rev.0498beta.xlsm</t>
  </si>
  <si>
    <t>Rev. 0500b</t>
  </si>
  <si>
    <t>Makro/Produktionskontrolle: Datenübergabe entsprechend Beschlüssen in KVP GCC angepasst</t>
  </si>
  <si>
    <t>Ausschreibung_GCC_vertikal_Rev.0499beta.xlsm</t>
  </si>
  <si>
    <t>1500WAntrieb Fehler Abschreibung korr (Deaktivierte Zellen "Liste" AA223-AA227)</t>
  </si>
  <si>
    <t>Rev. 0501b</t>
  </si>
  <si>
    <t>Ausschreibung_GCC_vertikal_Rev.0500beta.xlsm</t>
  </si>
  <si>
    <t>Ausgleichsblech 2mm verz.</t>
  </si>
  <si>
    <t>Ausgleichsblech 2mm V2A</t>
  </si>
  <si>
    <t>Ausgleichsblech 1mm verz.</t>
  </si>
  <si>
    <t>Ausgleichsblech 1mm V2A</t>
  </si>
  <si>
    <t>0338153</t>
  </si>
  <si>
    <t>Rev. 0502b</t>
  </si>
  <si>
    <t>Liste/Checkliste: Ausgleichsbleche V2A eingebaut (0338153, 0338152); Liste: Anzahl Kit Anschraubwinkel Eingriffschutz anders beregelt</t>
  </si>
  <si>
    <t>Ausschreibung_GCC_vertikal_Rev.0501beta.xlsm</t>
  </si>
  <si>
    <t>Rev. 0503b</t>
  </si>
  <si>
    <t>Liste: Keine Festfeld-/Auflaufkonsolen mehr auf Blechbearbeitung, 0308233 und 0308234 ebenfalls</t>
  </si>
  <si>
    <t>Ausschreibung_GCC_vertikal_Rev.0502beta.xlsm</t>
  </si>
  <si>
    <t>Verpackungsberechnung</t>
  </si>
  <si>
    <t>Komplettelementhöhe</t>
  </si>
  <si>
    <t>größte Elementhöhe</t>
  </si>
  <si>
    <t>Schieberelementbreite</t>
  </si>
  <si>
    <t>Anzahl Mittelelemente</t>
  </si>
  <si>
    <t>N/A</t>
  </si>
  <si>
    <t>Führungsschienenlänge</t>
  </si>
  <si>
    <t>Rev. 0504b</t>
  </si>
  <si>
    <t>Ber&amp;Tab/Checkliste: Verpackungsberechnung angearbeitet</t>
  </si>
  <si>
    <t>Ausschreibung_GCC_vertikal_Rev.0503beta.xlsm</t>
  </si>
  <si>
    <t>Rev. 0505b</t>
  </si>
  <si>
    <t>Liste: AD234, G237 geändert</t>
  </si>
  <si>
    <t>Ausschreibung_GCC_vertikal_Rev.0504beta.xlsm</t>
  </si>
  <si>
    <t>Rev. 0506b</t>
  </si>
  <si>
    <t>Ber&amp;Tab: Korrektur Berechnung Führungsschienen</t>
  </si>
  <si>
    <t>Ausschreibung_GCC_vertikal_Rev.0505beta.xlsm</t>
  </si>
  <si>
    <t>Rev. 0507b</t>
  </si>
  <si>
    <t>Ber&amp;Tab Fehler in C26 behoben (+4750)</t>
  </si>
  <si>
    <t>Ausschreibung_GCC_vertikal_Rev.0506beta.xlsm</t>
  </si>
  <si>
    <t>Variantenkonfiguration (BETA)</t>
  </si>
  <si>
    <t>Kriterium Eigenschaften</t>
  </si>
  <si>
    <t>Variantenüberschriften</t>
  </si>
  <si>
    <t>Spaltenbenennungen</t>
  </si>
  <si>
    <t>Trenner</t>
  </si>
  <si>
    <t>^</t>
  </si>
  <si>
    <r>
      <t xml:space="preserve">gesperrt - </t>
    </r>
    <r>
      <rPr>
        <b/>
        <sz val="10"/>
        <rFont val="Arial"/>
        <family val="2"/>
      </rPr>
      <t>darf nicht</t>
    </r>
    <r>
      <rPr>
        <sz val="10"/>
        <rFont val="Arial"/>
        <family val="2"/>
      </rPr>
      <t xml:space="preserve"> übergeben werden</t>
    </r>
  </si>
  <si>
    <t>abc123</t>
  </si>
  <si>
    <t>Input</t>
  </si>
  <si>
    <t>Gleich</t>
  </si>
  <si>
    <t>=</t>
  </si>
  <si>
    <r>
      <rPr>
        <b/>
        <sz val="10"/>
        <rFont val="Arial"/>
        <family val="2"/>
      </rPr>
      <t>muss</t>
    </r>
    <r>
      <rPr>
        <sz val="10"/>
        <rFont val="Arial"/>
        <family val="2"/>
      </rPr>
      <t xml:space="preserve"> übergeben werden</t>
    </r>
  </si>
  <si>
    <t>def456</t>
  </si>
  <si>
    <t>Output</t>
  </si>
  <si>
    <t>gesperrtes Feld</t>
  </si>
  <si>
    <t>Werte für Berechnung</t>
  </si>
  <si>
    <t>Variantenausgabe</t>
  </si>
  <si>
    <t>Feldname</t>
  </si>
  <si>
    <t>KritNr</t>
  </si>
  <si>
    <t>Ausprägungen</t>
  </si>
  <si>
    <t>Übergröße</t>
  </si>
  <si>
    <t>H_WB</t>
  </si>
  <si>
    <t>Größte Länge (unsortiert)</t>
  </si>
  <si>
    <t>Größte Breite (unsortiert)</t>
  </si>
  <si>
    <t>Größte Länge (sortiert)</t>
  </si>
  <si>
    <t>Größte Breite (sortiert)</t>
  </si>
  <si>
    <t>Anzahl Umlenkungen</t>
  </si>
  <si>
    <t>Anzahl Teilstücke Laufschiene</t>
  </si>
  <si>
    <t>Palettentypen</t>
  </si>
  <si>
    <t>Palettenmaße</t>
  </si>
  <si>
    <t>Außenlänge</t>
  </si>
  <si>
    <t>Außenbreite</t>
  </si>
  <si>
    <t>Außenhöhe</t>
  </si>
  <si>
    <t>Festfeldpalette GCC</t>
  </si>
  <si>
    <t>Innenlänge</t>
  </si>
  <si>
    <t>Innenbreite</t>
  </si>
  <si>
    <t>Innenhöhe</t>
  </si>
  <si>
    <t>Ausgabe Checkliste</t>
  </si>
  <si>
    <t>Liste/Stückliste/Checkliste/Variantenkonfiguration/Ber&amp;Tab: Vorbereitung für Variantenübergabe nach Erkenntnissen aus Ausschreibung horizontal</t>
  </si>
  <si>
    <t>Rev. 0508b</t>
  </si>
  <si>
    <t>Ausschreibung_GCC_vertikal_Rev.0507beta.xlsm</t>
  </si>
  <si>
    <t>Rev. 0509b</t>
  </si>
  <si>
    <t>Ber&amp;Tab: Korrektur Berechnung Führugnsschienenteillängen 5250, 5000, 4750)</t>
  </si>
  <si>
    <t>Ausschreibung_GCC_vertikal_Rev.0508beta.xlsm</t>
  </si>
  <si>
    <t>Ber&amp;Tab: Keine Palettenberechnung wenn K5</t>
  </si>
  <si>
    <t>Rev. 0510b</t>
  </si>
  <si>
    <t>Ausschreibung_GCC_vertikal_Rev.0509beta.xlsm</t>
  </si>
  <si>
    <t>Breite
[mm]</t>
  </si>
  <si>
    <t>Länge
[mm]</t>
  </si>
  <si>
    <t>Dicke
[mm]</t>
  </si>
  <si>
    <t>Fläche
[m²]</t>
  </si>
  <si>
    <t>Oberfläche
[m²]</t>
  </si>
  <si>
    <t>Stück
Gewicht
[kg]</t>
  </si>
  <si>
    <t>Gesamt
Gewicht
[kg]</t>
  </si>
  <si>
    <t>ME</t>
  </si>
  <si>
    <t>Hilfsspalte für Kalkulationsartikel</t>
  </si>
  <si>
    <t>Mengeneinheit</t>
  </si>
  <si>
    <t>Artikel-Nr.</t>
  </si>
  <si>
    <t>Es dürfen nur Materialien eingetragen werden, die für die Montage des Systems erforderlich sind.  Zusätzliches Material, wie Werkzeug etc. muss als gesonderte Position ausgeschrieben werden und ist nicht Teil des Systems!</t>
  </si>
  <si>
    <t>Rev. 0511b</t>
  </si>
  <si>
    <t>Liste/Stückliste: Leere bzw. unbenutzte Spalten, Zeilen und Zellen gelöscht</t>
  </si>
  <si>
    <t>Ausschreibung_GCC_vertikal_Rev.0510beta.xlsm</t>
  </si>
  <si>
    <t>0308582</t>
  </si>
  <si>
    <t>0338582</t>
  </si>
  <si>
    <t>0338583</t>
  </si>
  <si>
    <t>0308583</t>
  </si>
  <si>
    <t>Befestigungsbausatz Endschalter</t>
  </si>
  <si>
    <t>Befestigungswinkel Endschalter</t>
  </si>
  <si>
    <t>Beschichtungsfläche:</t>
  </si>
  <si>
    <t>0308581</t>
  </si>
  <si>
    <t>0338581</t>
  </si>
  <si>
    <t>Befestigungswinkel Abschottung 50x30x175</t>
  </si>
  <si>
    <t>Rev. 0512b</t>
  </si>
  <si>
    <t>Checkliste/Liste/Stückliste: 0308581, 0338581, 0308582, 0338582, 0308583, 0338583 eingebaut; Liste/Stückliste: Zeilen alte Bauteile Gurtanbindungen gelöscht</t>
  </si>
  <si>
    <t>Ausschreibung_GCC_vertikal_Rev.0511beta.xlsm</t>
  </si>
  <si>
    <t>Checkliste: Filter eingebaut</t>
  </si>
  <si>
    <t>Rev. 0513b</t>
  </si>
  <si>
    <t>Ausschreibung_GCC_vertikal_Rev.0512beta.xlsm</t>
  </si>
  <si>
    <t>0204141 / Fireseal 40mm (max. 170mm breit)</t>
  </si>
  <si>
    <t>0204120 / Fireseal 10mm (max. 170mm breit)</t>
  </si>
  <si>
    <t>0204113 / Fireseal 3mm (max. 170mm breit)</t>
  </si>
  <si>
    <t>Rev. 0514b</t>
  </si>
  <si>
    <t>Fireseal (ZZ-Brandschutzschaum) Artikelnummern ersetzt: 0204103 -&gt; 0204113; 0204110 -&gt; 0204120; 0204140 -&gt; 0204141</t>
  </si>
  <si>
    <t>Ausschreibung_GCC_vertikal_Rev.0513beta.xlsm</t>
  </si>
  <si>
    <t>Rev. 0515b</t>
  </si>
  <si>
    <t>Ber&amp;Tab: Formel Prüfung Festfeldhöhenberechnung korrigiert</t>
  </si>
  <si>
    <t>Ausschreibung_GCC_vertikal_Rev.0514beta.xlsm</t>
  </si>
  <si>
    <t>Liste/Lackliste: Baugruppe Endschalter geöffnet auf Lackliste</t>
  </si>
  <si>
    <t>Rev. 0516b</t>
  </si>
  <si>
    <t>Ausschreibung_GCC_vertikal_Rev.0515beta.xlsm</t>
  </si>
  <si>
    <t>Verfahrweg</t>
  </si>
  <si>
    <t>Rev. 0517b</t>
  </si>
  <si>
    <t>Ber&amp;Tab: Verfahrweg, Förderniveau und Fördertechniküberstand eingebaut; Liste: "Kabel" in richtige Bezeichnung "Pepperl+Fuchs Kabeldose V11-W-5M-PUR" geändert</t>
  </si>
  <si>
    <t>Ausschreibung_GCC_vertikal_Rev.0516beta.xlsm</t>
  </si>
  <si>
    <t>Rev. 0518b</t>
  </si>
  <si>
    <t>Variantenübergabe: Korrektur Breite Palettenberechnung</t>
  </si>
  <si>
    <t>Ausschreibung_GCC_vertikal_Rev.0517beta.xlsm</t>
  </si>
  <si>
    <t>Schieberelemente: Anzeige zu Andockprofilen beregelt für 0 Stück</t>
  </si>
  <si>
    <t>Rev. 0519b</t>
  </si>
  <si>
    <t>Ausschreibung_GCC_vertikal_Rev.0518beta.xlsm</t>
  </si>
  <si>
    <t>Rev. 0520b</t>
  </si>
  <si>
    <t>Liste: Porenbetonsteine (Ytong Planblock) + Reserve</t>
  </si>
  <si>
    <t>Ausschreibung_GCC_vertikal_Rev.0519beta.xlsm</t>
  </si>
  <si>
    <t>Rev. 0521b</t>
  </si>
  <si>
    <t>Ber&amp;Tab: Korrektur Formeln für IPPC</t>
  </si>
  <si>
    <t>Ausschreibung_GCC_vertikal_Rev.0520beta.xlsm</t>
  </si>
  <si>
    <t>Rev. 0522b</t>
  </si>
  <si>
    <t>Ausschreibung_GCC_vertikal_Rev.0521beta.xlsm</t>
  </si>
  <si>
    <t>Rev. 0523b</t>
  </si>
  <si>
    <t>Ber&amp;Tab: Festfeldfüllmaterial für Resteverwertung 6er Promat optimiert</t>
  </si>
  <si>
    <t>Ausschreibung_GCC_vertikal_Rev.0522beta.xlsm</t>
  </si>
  <si>
    <t>Ber&amp;Tab: Korrektur Berechnung Verfahrweg</t>
  </si>
  <si>
    <t>Rev. 0524b</t>
  </si>
  <si>
    <t>Ausschreibung_GCC_vertikal_Rev.0523beta.xlsm</t>
  </si>
  <si>
    <t>Rev. 0525b</t>
  </si>
  <si>
    <t>Diverse: Stöbich Logo aktualisiert</t>
  </si>
  <si>
    <t>Ausschreibung_GCC_vertikal_Rev.0524beta.xlsm</t>
  </si>
  <si>
    <t>Rev. 0526b</t>
  </si>
  <si>
    <t>Ber&amp;Tab: Fall r0 bei Verfahrwerg berücksichtigt</t>
  </si>
  <si>
    <t>Ausschreibung_GCC_vertikal_Rev.0525beta.xlsm</t>
  </si>
  <si>
    <t>Rev. 0527b</t>
  </si>
  <si>
    <t>Dateneingabe: Warnung bei Deckenumlenkung</t>
  </si>
  <si>
    <t>Ausschreibung_GCC_vertikal_Rev.0526beta.xlsm</t>
  </si>
  <si>
    <t>m2</t>
  </si>
  <si>
    <t>Liste: Dichtrahmen umgestellt von 0202040 (Kappsägem, MM) auf 0202024 (Promatsäge, MM2), Dateneingabe: Bezeichnung "Feuchtraum" bei Intumatversiegelung und Dichtrahmenabdeckung entfernt</t>
  </si>
  <si>
    <t>Rev. 0528b</t>
  </si>
  <si>
    <t>Ausschreibung_GCC_vertikal_Rev.0527beta.xlsm</t>
  </si>
  <si>
    <t>Rev. 0529b</t>
  </si>
  <si>
    <t>Liste/Stückliste/Checkliste: Summenzeile Doppelgurtumlenkung</t>
  </si>
  <si>
    <t>Ausschreibung_GCC_vertikal_Rev.0528beta.xlsm</t>
  </si>
  <si>
    <t>Rev. 0530b</t>
  </si>
  <si>
    <t>Ber&amp;Tab: Sicherheitsfaktor für Antriebsberechnung erhöht (Grund: Berechnung von Dübellasten und Bruchkraft Gurte nach Dauerlauf)</t>
  </si>
  <si>
    <t>Ausschreibung_GCC_vertikal_Rev.0529beta.xlsm</t>
  </si>
  <si>
    <t>Checkliste: Z103 Korrektur Summe für Zuschnitt Festfeld</t>
  </si>
  <si>
    <t>Rev. 0531b</t>
  </si>
  <si>
    <t>Ausschreibung_GCC_vertikal_Rev.0530beta.xlsm</t>
  </si>
  <si>
    <t>Rev. 0532b</t>
  </si>
  <si>
    <t>Dateneingabe: Kosmetik</t>
  </si>
  <si>
    <t>Ausschreibung_GCC_vertikal_Rev.0531beta.xlsm</t>
  </si>
  <si>
    <t>Rev. 0533b</t>
  </si>
  <si>
    <t>Berechnung &amp; Tabellen: Formelkorrektur Zelle L296 (&gt;= statt&gt;)</t>
  </si>
  <si>
    <t>Ausschreibung_GCC_vertikal_Rev.0532beta.xlsm</t>
  </si>
  <si>
    <t>Rev. 0534b</t>
  </si>
  <si>
    <t>Liste: 0308381 von Blechliste entfernt</t>
  </si>
  <si>
    <t>Ausschreibung_GCC_vertikal_Rev.0533beta.xlsm</t>
  </si>
  <si>
    <t>Dichtrahmen vertikal rechts</t>
  </si>
  <si>
    <t>Dichtrahmen vertikal links</t>
  </si>
  <si>
    <t>Stückliste/Liste/Dichtrahmen: Teilung für Dichtrahmen größer 2470mm eingebaut</t>
  </si>
  <si>
    <t>Rev. 0535b</t>
  </si>
  <si>
    <t>Ausschreibung_GCC_vertikal_Rev.0534beta.xlsm</t>
  </si>
  <si>
    <t>Dateneingabe: Informationen für AV mit Zeilenumbruch versehen</t>
  </si>
  <si>
    <t>Rev. 0536b</t>
  </si>
  <si>
    <t>Ausschreibung_GCC_vertikal_Rev.0535beta.xlsm</t>
  </si>
  <si>
    <t>Variantenkonfiguration: Verstärker Flachpalette: Mindestmaß für Länge auf 1500 gesetzt.</t>
  </si>
  <si>
    <t>Rev. 0537b</t>
  </si>
  <si>
    <t>Ausschreibung_GCC_vertikal_Rev.0536beta.xlsm</t>
  </si>
  <si>
    <t>Liste: Korrektur Menge Intumat Dichtstreifen</t>
  </si>
  <si>
    <t>Rev. 0538b</t>
  </si>
  <si>
    <t>Ausschreibung_GCC_vertikal_Rev.0537beta.xlsm</t>
  </si>
  <si>
    <t>000042</t>
  </si>
  <si>
    <t>000043</t>
  </si>
  <si>
    <t>000044</t>
  </si>
  <si>
    <t>000203</t>
  </si>
  <si>
    <t>000204</t>
  </si>
  <si>
    <t>000205</t>
  </si>
  <si>
    <t>000206</t>
  </si>
  <si>
    <t>000211</t>
  </si>
  <si>
    <t>000212</t>
  </si>
  <si>
    <t>000213</t>
  </si>
  <si>
    <t>000214</t>
  </si>
  <si>
    <t>000219</t>
  </si>
  <si>
    <t>000220</t>
  </si>
  <si>
    <t>000221</t>
  </si>
  <si>
    <t>000222</t>
  </si>
  <si>
    <t>000234</t>
  </si>
  <si>
    <t>000235</t>
  </si>
  <si>
    <t>000236</t>
  </si>
  <si>
    <t>000237</t>
  </si>
  <si>
    <t>000238</t>
  </si>
  <si>
    <t>000239</t>
  </si>
  <si>
    <t>000240</t>
  </si>
  <si>
    <t>000241</t>
  </si>
  <si>
    <t>000242</t>
  </si>
  <si>
    <t>000243</t>
  </si>
  <si>
    <t>000244</t>
  </si>
  <si>
    <t>000245</t>
  </si>
  <si>
    <t>000246</t>
  </si>
  <si>
    <t>000247</t>
  </si>
  <si>
    <t>000248</t>
  </si>
  <si>
    <t>000249</t>
  </si>
  <si>
    <t>000250</t>
  </si>
  <si>
    <t>000251</t>
  </si>
  <si>
    <t>000252</t>
  </si>
  <si>
    <t>000253</t>
  </si>
  <si>
    <t>000254</t>
  </si>
  <si>
    <t>000261</t>
  </si>
  <si>
    <t>000262</t>
  </si>
  <si>
    <t>000263</t>
  </si>
  <si>
    <t>000264</t>
  </si>
  <si>
    <t>000265</t>
  </si>
  <si>
    <t>000271</t>
  </si>
  <si>
    <t>000272</t>
  </si>
  <si>
    <t>000273</t>
  </si>
  <si>
    <t>000274</t>
  </si>
  <si>
    <t>000275</t>
  </si>
  <si>
    <t>000276</t>
  </si>
  <si>
    <t>000277</t>
  </si>
  <si>
    <t>000278</t>
  </si>
  <si>
    <t>000279</t>
  </si>
  <si>
    <t>000280</t>
  </si>
  <si>
    <t>000281</t>
  </si>
  <si>
    <t>000293</t>
  </si>
  <si>
    <t>000294</t>
  </si>
  <si>
    <t>000295</t>
  </si>
  <si>
    <t>000317</t>
  </si>
  <si>
    <t>000318</t>
  </si>
  <si>
    <t>000319</t>
  </si>
  <si>
    <t>000320</t>
  </si>
  <si>
    <t>000321</t>
  </si>
  <si>
    <t>000322</t>
  </si>
  <si>
    <t>000323</t>
  </si>
  <si>
    <t>000445</t>
  </si>
  <si>
    <t>000449</t>
  </si>
  <si>
    <t>000450</t>
  </si>
  <si>
    <t>000451</t>
  </si>
  <si>
    <t>000452</t>
  </si>
  <si>
    <t>000453</t>
  </si>
  <si>
    <t>000454</t>
  </si>
  <si>
    <t>000493</t>
  </si>
  <si>
    <t>000494</t>
  </si>
  <si>
    <t>000495</t>
  </si>
  <si>
    <t>000496</t>
  </si>
  <si>
    <t>000497</t>
  </si>
  <si>
    <t>000498</t>
  </si>
  <si>
    <t>000499</t>
  </si>
  <si>
    <t>000500</t>
  </si>
  <si>
    <t>000501</t>
  </si>
  <si>
    <t>000502</t>
  </si>
  <si>
    <t>000503</t>
  </si>
  <si>
    <t>000504</t>
  </si>
  <si>
    <t>000505</t>
  </si>
  <si>
    <t>000506</t>
  </si>
  <si>
    <t>000507</t>
  </si>
  <si>
    <t>000508</t>
  </si>
  <si>
    <t>000509</t>
  </si>
  <si>
    <t>000510</t>
  </si>
  <si>
    <t>000511</t>
  </si>
  <si>
    <t>000512</t>
  </si>
  <si>
    <t>000513</t>
  </si>
  <si>
    <t>000514</t>
  </si>
  <si>
    <t>000515</t>
  </si>
  <si>
    <t>000516</t>
  </si>
  <si>
    <t>000517</t>
  </si>
  <si>
    <t>000518</t>
  </si>
  <si>
    <t>000519</t>
  </si>
  <si>
    <t>000520</t>
  </si>
  <si>
    <t>000521</t>
  </si>
  <si>
    <t>000522</t>
  </si>
  <si>
    <t>000523</t>
  </si>
  <si>
    <t>Rev. 0539b</t>
  </si>
  <si>
    <t>Stückliste/Checkliste: Korrekturen Ausgleichsbleche; Zuschnitt Schieberblatt: Korrektur Bezüge Platten Schieber</t>
  </si>
  <si>
    <t>Ausschreibung_GCC_vertikal_Rev.0538beta.xlsm</t>
  </si>
  <si>
    <t>Checkliste: Korrektur Darstellung Dichtrahmen</t>
  </si>
  <si>
    <t>Ausschreibung_GCC_vertikal_Rev.0539beta.xlsm</t>
  </si>
  <si>
    <t>zu beschichtende Sonderbauteile</t>
  </si>
  <si>
    <t>Fläche/Stück</t>
  </si>
  <si>
    <t>foliert</t>
  </si>
  <si>
    <t>Pulverbesch.</t>
  </si>
  <si>
    <t>Kleinteil</t>
  </si>
  <si>
    <t>Sonderbauteile beschichtet:</t>
  </si>
  <si>
    <t>Folie</t>
  </si>
  <si>
    <t>Fläche ohne Kleinteile</t>
  </si>
  <si>
    <t>Lackliste/Checkliste: Bereich für sonderbauteile eingefügt bzw. angepasst</t>
  </si>
  <si>
    <t>Rev. 0540b</t>
  </si>
  <si>
    <t>Ausschreibung_GCC_vertikal_Rev.0540beta.xlsm</t>
  </si>
  <si>
    <t>Rev. 0541b</t>
  </si>
  <si>
    <t>Lackliste: Fehlerkorrektur Flächenberechnung Summe Fläche Fiktiv</t>
  </si>
  <si>
    <t>Rev. 0542b</t>
  </si>
  <si>
    <t>Liste: Korrektur Menge Hilfsartikel AV Lack</t>
  </si>
  <si>
    <t>Ausschreibung_GCC_vertikal_Rev.0541beta.xlsm</t>
  </si>
  <si>
    <t>Störung</t>
  </si>
  <si>
    <t>Beschichtung APLZ 1</t>
  </si>
  <si>
    <t>Elemente fertigen APLZ 2</t>
  </si>
  <si>
    <t>Endfertigung APLZ 2</t>
  </si>
  <si>
    <t>Verpackung auf Palette APLZ 3</t>
  </si>
  <si>
    <t>Festfeldpalette APLZ 3</t>
  </si>
  <si>
    <t>Palette fertigstellen APLZ 3</t>
  </si>
  <si>
    <t>Sonderbauteile APLZ 4</t>
  </si>
  <si>
    <t>APLZ 5</t>
  </si>
  <si>
    <t>Sonderbauteil APLZ 4</t>
  </si>
  <si>
    <t>Störung APLZ5</t>
  </si>
  <si>
    <t>Dichtrahmen APLZ 2</t>
  </si>
  <si>
    <t>Arbeitsplan/Zeiterfassungsbogen 2020: Strukturierung nach Vorgabe der Fertigung</t>
  </si>
  <si>
    <t>Rev. 0543b</t>
  </si>
  <si>
    <t>Ausschreibung_GCC_vertikal_Rev.0542beta.xlsm</t>
  </si>
  <si>
    <r>
      <t>Dübelmontage:</t>
    </r>
    <r>
      <rPr>
        <b/>
        <sz val="10"/>
        <rFont val="Arial"/>
        <family val="2"/>
      </rPr>
      <t xml:space="preserve"> </t>
    </r>
    <r>
      <rPr>
        <b/>
        <sz val="8"/>
        <rFont val="Arial"/>
        <family val="2"/>
      </rPr>
      <t xml:space="preserve"> (Bedarfsmenge Injektionsmörtel variiert je nach Wandart bzw. verwendung von Siebhülsengrößen) </t>
    </r>
    <r>
      <rPr>
        <b/>
        <sz val="11"/>
        <color rgb="FFFF0000"/>
        <rFont val="Arial"/>
        <family val="2"/>
      </rPr>
      <t>Eine Kartusche reicht in der Regel für ca. 8 Befestigungen!</t>
    </r>
  </si>
  <si>
    <r>
      <t>Dübelmontage bei Beton und Mauerwerk:</t>
    </r>
    <r>
      <rPr>
        <b/>
        <sz val="7"/>
        <rFont val="Arial"/>
        <family val="2"/>
      </rPr>
      <t xml:space="preserve"> </t>
    </r>
    <r>
      <rPr>
        <sz val="7"/>
        <rFont val="Arial"/>
        <family val="2"/>
      </rPr>
      <t>(Bedarfsmenge Injektionsmörtel variiert je nach Wandart bzw. verwendung von Siebhülsengrößen)</t>
    </r>
    <r>
      <rPr>
        <b/>
        <sz val="10"/>
        <rFont val="Arial"/>
        <family val="2"/>
      </rPr>
      <t xml:space="preserve"> </t>
    </r>
    <r>
      <rPr>
        <b/>
        <sz val="11"/>
        <color rgb="FFFF0000"/>
        <rFont val="Arial"/>
        <family val="2"/>
      </rPr>
      <t>Eine Kartusche reicht in der Regel für ca. 8 Befestigungen!</t>
    </r>
  </si>
  <si>
    <t>Hauptschalter Set Siemens ABM Antrieb</t>
  </si>
  <si>
    <t>0308477</t>
  </si>
  <si>
    <t>Lager und Montagematerial: Hinweis Verbrauch Injektionsmörtel erweitert/Liste: Hauptschalterset hinzugefügt</t>
  </si>
  <si>
    <t>Rev. 0544b</t>
  </si>
  <si>
    <t>Ausschreibung_GCC_vertikal_Rev.0543beta.xlsm</t>
  </si>
  <si>
    <t>520GCC</t>
  </si>
  <si>
    <t>Teilesatz Blech GCC</t>
  </si>
  <si>
    <t>Liste/Stückliste: Hilfsartikel Teilesatz Blech eingefügt</t>
  </si>
  <si>
    <t>Rev. 0545b</t>
  </si>
  <si>
    <t>Ausschreibung_GCC_vertikal_Rev.0544beta.xlsm</t>
  </si>
  <si>
    <t>Rev. 0546b</t>
  </si>
  <si>
    <t>Liste: Artikelnummer Ausgleichsblech 1mm Edelstahl korrigiert (0338152)</t>
  </si>
  <si>
    <t>0338152</t>
  </si>
  <si>
    <t>Ausschreibung_GCC_vertikal_Rev.0545beta.xlsm</t>
  </si>
  <si>
    <t>Festfeld Verkleidungsblech vorne/hinten</t>
  </si>
  <si>
    <t>Liste: Formeln für Mengen Festfeldverkleidungsbleche unten korrigiert</t>
  </si>
  <si>
    <t>Rev. 0547b</t>
  </si>
  <si>
    <t>Ausschreibung_GCC_vertikal_Rev.0546beta.xlsm</t>
  </si>
  <si>
    <t>Fireflystreifen 6mm selbstklebend 116mm</t>
  </si>
  <si>
    <t>0308346</t>
  </si>
  <si>
    <t>Ausschreibung_GCC_vertikal_Rev.0547beta.xlsm</t>
  </si>
  <si>
    <t>Liste: Intumat unterm Schieber Breitenberechnung entfernt weil fixe Artikel; Zuschnitt Intumestzierendes Material: Fixe Zeilen für Intumest bei 250er Aufdopplung eingebaut; Stückliste: Zuschnitt Intumestzierendes Material um 3 Zeilen erweitert</t>
  </si>
  <si>
    <t>Checkliste: Korrektur Formatierungen</t>
  </si>
  <si>
    <t>Rev. 0549b</t>
  </si>
  <si>
    <t>Ausschreibung_GCC_vertikal_Rev.0548beta.xlsm</t>
  </si>
  <si>
    <t>Rev. 0548b</t>
  </si>
  <si>
    <t>Rev. 0550b</t>
  </si>
  <si>
    <t>Änderung Makro Blechliste für BOOST</t>
  </si>
  <si>
    <t>Ausschreibung_GCC_vertikal_Rev.0549beta.xlsm</t>
  </si>
  <si>
    <t>Rev. 0551b</t>
  </si>
  <si>
    <t>Liste: Dichtrahmen Teilung korrigiert</t>
  </si>
  <si>
    <t>Ausschreibung_GCC_vertikal_Rev.0550beta.xlsm</t>
  </si>
  <si>
    <t>Rev. 0552b</t>
  </si>
  <si>
    <t>Ber &amp; Tab: Fehler breite Motorwandplatte bei Doppelgurtanbindung korrigiert</t>
  </si>
  <si>
    <t>Ausschreibung_GCC_vertikal_Rev.0551beta.xlsm</t>
  </si>
  <si>
    <t>Rev. 0553b</t>
  </si>
  <si>
    <t>Dateneingabe bereinigt</t>
  </si>
  <si>
    <t>Ausschreibung_GCC_vertikal_Rev.0552beta.xlsm</t>
  </si>
  <si>
    <t>1=Doppelgurt, 2=Einzelgurt, 0=Fehler</t>
  </si>
  <si>
    <t>Auswertung Verkrallungsmaße und Anzahlen
für Blatt "Schieberelemente"</t>
  </si>
  <si>
    <t>GCC Störungserfassung</t>
  </si>
  <si>
    <t>Rev. 0554b</t>
  </si>
  <si>
    <t>Schieberelemente: Verkrallungsprofile werden nun in Fertigung montiert -&gt; Angaben eingebaut; Ber&amp;Tab: Informationen für Verkrallungsprofile zusammengefasst, Blatt "Zeiterfassung 2020" in "Störungserfassung" umbenannt.</t>
  </si>
  <si>
    <t>Ausschreibung_GCC_vertikal_Rev.0553beta.xlsm</t>
  </si>
  <si>
    <t>Rev. 0555b</t>
  </si>
  <si>
    <t>Zuschnitt intumestzierendes Mat: Korrektur Formeln für Intumat bei AD150</t>
  </si>
  <si>
    <t>Ausschreibung_GCC_vertikal_Rev.0554beta.xlsm</t>
  </si>
  <si>
    <t>Rev. 0556b</t>
  </si>
  <si>
    <t>Liste: Korrektur Anzahl für Hilfsartikel Pulverbeschichtung AV (7777001)</t>
  </si>
  <si>
    <t>Ausschreibung_GCC_vertikal_Rev.0555beta.xlsm</t>
  </si>
  <si>
    <t>Rev. 0557b</t>
  </si>
  <si>
    <t>Checkliste: Verkrallungswinkel Schieber entfernt</t>
  </si>
  <si>
    <t>Ausschreibung_GCC_vertikal_Rev.0556beta.xlsm</t>
  </si>
  <si>
    <t>Intumestzierendes Matarial/Stückliste/Checkliste: Einbau der Spalte "Verwendung"</t>
  </si>
  <si>
    <t>Rev. 0558b</t>
  </si>
  <si>
    <t>Ausschreibung_GCC_vertikal_Rev.0557beta.xlsm</t>
  </si>
  <si>
    <t>Rev. 0559b</t>
  </si>
  <si>
    <t>Lager&amp;Montagematerial, Stückliste: Befestigungsmittel für Verkrallungen an Schieber gelöscht</t>
  </si>
  <si>
    <t>Ausschreibung_GCC_vertikal_Rev.0558beta.xlsm</t>
  </si>
  <si>
    <t>Rev. 0560b</t>
  </si>
  <si>
    <t>Elementsprung geändert: Unterstes Element ist nun generell 50 mm höher, also Mindestmaß ist nun 250 statt 200 und Maximalmaß ist ebenfalls 50 mm gewachsen.</t>
  </si>
  <si>
    <t>Ausschreibung_GCC_vertikal_Rev.0559beta.xlsm</t>
  </si>
  <si>
    <t>hugO Montagestrebe GCC</t>
  </si>
  <si>
    <t>0308598</t>
  </si>
  <si>
    <t>?</t>
  </si>
  <si>
    <t>hugO Montagestrebe</t>
  </si>
  <si>
    <t>Rev. 0561b</t>
  </si>
  <si>
    <t>Liste, Stückliste, Blechbearbeitung, Checkliste, Ber&amp;Tab (Palettenberechnung): hugO Montagestrebe eingebaut</t>
  </si>
  <si>
    <t>Ausschreibung_GCC_vertikal_Rev.0560beta.xlsm</t>
  </si>
  <si>
    <t>Checkliste: Korrektur Formelfehler Anzahl Doppelgurtumlenkungen</t>
  </si>
  <si>
    <t>Rev. 0562b</t>
  </si>
  <si>
    <t>Ausschreibung_GCC_vertikal_Rev.0561beta.xlsm</t>
  </si>
  <si>
    <t>Rev. 0563b</t>
  </si>
  <si>
    <t>Liste: Formel hugO korrigiert</t>
  </si>
  <si>
    <t>Ausschreibung_GCC_vertikal_Rev.0562beta.xlsm</t>
  </si>
  <si>
    <t>Wolff, Michael</t>
  </si>
  <si>
    <t>Ausschreibung_GCC_vertikal_Rev.0563beta.xlsm</t>
  </si>
  <si>
    <t>05217112</t>
  </si>
  <si>
    <t>200</t>
  </si>
  <si>
    <t>5101.002095</t>
  </si>
  <si>
    <t>Kite Firefly</t>
  </si>
  <si>
    <t>0308586</t>
  </si>
  <si>
    <t>05217112-200 GCC.xlsm</t>
  </si>
  <si>
    <t>MiWo</t>
  </si>
  <si>
    <t>Draschner</t>
  </si>
  <si>
    <t>Element Logic Germany GmbH</t>
  </si>
  <si>
    <t>Emil Lux GmbH</t>
  </si>
  <si>
    <t>Manschette</t>
  </si>
  <si>
    <t>Manschette Stege</t>
  </si>
  <si>
    <t>DIESE STL WURDE AN B7.5 ÜBERGEBEN!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</si>
</sst>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5">
    <numFmt numFmtId="44" formatCode="_-* #,##0.00\ &quot;€&quot;_-;\-* #,##0.00\ &quot;€&quot;_-;_-* &quot;-&quot;??\ &quot;€&quot;_-;_-@_-"/>
    <numFmt numFmtId="164" formatCode="_-* #,##0.00\ _€_-;\-* #,##0.00\ _€_-;_-* &quot;-&quot;??\ _€_-;_-@_-"/>
    <numFmt numFmtId="165" formatCode="#,##0.00\ &quot;€&quot;"/>
    <numFmt numFmtId="166" formatCode="&quot;kW&quot;\ 0"/>
    <numFmt numFmtId="167" formatCode="0\ &quot;kg&quot;"/>
    <numFmt numFmtId="168" formatCode="d/m"/>
    <numFmt numFmtId="169" formatCode="dd/mm/yy;@"/>
    <numFmt numFmtId="170" formatCode="0\ &quot;min&quot;"/>
    <numFmt numFmtId="171" formatCode="0.00\ &quot;Stunden&quot;"/>
    <numFmt numFmtId="172" formatCode="\-00"/>
    <numFmt numFmtId="173" formatCode="dd/\ mmm/\ yy"/>
    <numFmt numFmtId="174" formatCode="0#########"/>
    <numFmt numFmtId="175" formatCode="0.0"/>
    <numFmt numFmtId="176" formatCode="0\ \ &quot;Stück&quot;"/>
    <numFmt numFmtId="177" formatCode="0\ \ &quot;mm&quot;"/>
    <numFmt numFmtId="178" formatCode="0\ &quot;mm&quot;"/>
    <numFmt numFmtId="179" formatCode="0.0\ &quot;m&quot;"/>
    <numFmt numFmtId="180" formatCode="\ \ \ \ \ \ \ 0.0\ &quot;mm&quot;"/>
    <numFmt numFmtId="181" formatCode="dd/mm/yy"/>
    <numFmt numFmtId="182" formatCode="yyyy"/>
    <numFmt numFmtId="183" formatCode="\ \ 0\ \ &quot;mm  lang&quot;"/>
    <numFmt numFmtId="184" formatCode="0\ &quot; Satz&quot;"/>
    <numFmt numFmtId="185" formatCode="0\ &quot;mm breit&quot;"/>
    <numFmt numFmtId="186" formatCode="0000000"/>
    <numFmt numFmtId="187" formatCode="\ 0\ \ &quot;Stück&quot;"/>
    <numFmt numFmtId="188" formatCode="d/m/yy;@"/>
    <numFmt numFmtId="189" formatCode="0.0000&quot; h&quot;"/>
    <numFmt numFmtId="190" formatCode="0.0&quot; min&quot;"/>
    <numFmt numFmtId="191" formatCode="0.0%"/>
    <numFmt numFmtId="192" formatCode="d/m/yyyy;@"/>
    <numFmt numFmtId="193" formatCode="0#.##&quot;h&quot;"/>
    <numFmt numFmtId="194" formatCode="0\ &quot;Min.&quot;"/>
    <numFmt numFmtId="195" formatCode="&quot;Aufdop.=&quot;\ 0"/>
    <numFmt numFmtId="196" formatCode="&quot;Auflaufk.=&quot;\ 0"/>
    <numFmt numFmtId="197" formatCode="0.00\ &quot;h&quot;"/>
    <numFmt numFmtId="198" formatCode="0.00\ &quot;m²&quot;"/>
    <numFmt numFmtId="199" formatCode="0\ &quot;Dose(n)&quot;"/>
    <numFmt numFmtId="200" formatCode="\ 0\ \ &quot;Min&quot;"/>
    <numFmt numFmtId="201" formatCode="0&quot; m³&quot;"/>
    <numFmt numFmtId="202" formatCode="0.00\ &quot;Liter&quot;"/>
    <numFmt numFmtId="203" formatCode="&quot;RAL &quot;\ 0"/>
    <numFmt numFmtId="204" formatCode="0.0\ &quot;Liter&quot;"/>
    <numFmt numFmtId="205" formatCode="0\ &quot;Befestigungspunkte&quot;"/>
    <numFmt numFmtId="206" formatCode="0\ &quot;Stück&quot;"/>
    <numFmt numFmtId="207" formatCode="0.0\ &quot;kN&quot;"/>
    <numFmt numFmtId="208" formatCode="0.000&quot; h&quot;"/>
    <numFmt numFmtId="209" formatCode="0.000"/>
    <numFmt numFmtId="210" formatCode="0.0000"/>
    <numFmt numFmtId="211" formatCode="####&quot; mm&quot;"/>
    <numFmt numFmtId="212" formatCode="#&quot; Stück&quot;"/>
    <numFmt numFmtId="213" formatCode="0&quot; Stück&quot;"/>
    <numFmt numFmtId="214" formatCode="0.00\ &quot;kg/m&quot;"/>
    <numFmt numFmtId="215" formatCode="0.00\ &quot;kg/stk&quot;"/>
    <numFmt numFmtId="216" formatCode="0.00&quot;m²&quot;"/>
    <numFmt numFmtId="217" formatCode="&quot;Schiebergewicht&quot;\ General"/>
    <numFmt numFmtId="218" formatCode="0.00\ &quot;mm&quot;"/>
    <numFmt numFmtId="219" formatCode="0.0000\ &quot;m²&quot;"/>
    <numFmt numFmtId="220" formatCode="0\ &quot;Seite(n)&quot;"/>
    <numFmt numFmtId="221" formatCode="0&quot;mm&quot;"/>
    <numFmt numFmtId="222" formatCode="0;;;@"/>
    <numFmt numFmtId="223" formatCode="_-* #,##0.00\ [$€]_-;\-* #,##0.00\ [$€]_-;_-* \-??\ [$€]_-;_-@_-"/>
    <numFmt numFmtId="224" formatCode="0.00&quot; min&quot;"/>
    <numFmt numFmtId="225" formatCode="General&quot; ldm&quot;"/>
    <numFmt numFmtId="226" formatCode="General&quot; mm&quot;"/>
    <numFmt numFmtId="227" formatCode="0.0&quot; N&quot;"/>
    <numFmt numFmtId="228" formatCode="0.0&quot; mm&quot;"/>
    <numFmt numFmtId="229" formatCode="0.0&quot; Nm&quot;"/>
    <numFmt numFmtId="230" formatCode="General&quot; m&quot;"/>
    <numFmt numFmtId="231" formatCode="0.00&quot; mm&quot;"/>
    <numFmt numFmtId="232" formatCode="0.0&quot; kg&quot;"/>
    <numFmt numFmtId="233" formatCode="General&quot; W&quot;"/>
    <numFmt numFmtId="234" formatCode="General&quot; N&quot;"/>
    <numFmt numFmtId="235" formatCode="General&quot; Nm&quot;"/>
    <numFmt numFmtId="236" formatCode="0.000&quot; m/s&quot;"/>
    <numFmt numFmtId="237" formatCode="0.00&quot; m&quot;"/>
  </numFmts>
  <fonts count="1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8"/>
      <name val="Calibri"/>
      <family val="2"/>
    </font>
    <font>
      <sz val="10"/>
      <name val="Arial"/>
      <family val="2"/>
    </font>
    <font>
      <b/>
      <sz val="10"/>
      <name val="Arial"/>
      <family val="2"/>
    </font>
    <font>
      <u/>
      <sz val="10"/>
      <color indexed="12"/>
      <name val="Arial"/>
      <family val="2"/>
    </font>
    <font>
      <b/>
      <u/>
      <sz val="8"/>
      <name val="Arial"/>
      <family val="2"/>
    </font>
    <font>
      <b/>
      <sz val="14"/>
      <name val="Arial"/>
      <family val="2"/>
    </font>
    <font>
      <sz val="8"/>
      <name val="Arial"/>
      <family val="2"/>
    </font>
    <font>
      <sz val="6"/>
      <name val="Arial"/>
      <family val="2"/>
    </font>
    <font>
      <sz val="12"/>
      <name val="Arial"/>
      <family val="2"/>
    </font>
    <font>
      <sz val="11"/>
      <name val="Arial"/>
      <family val="2"/>
    </font>
    <font>
      <b/>
      <sz val="11"/>
      <name val="Arial"/>
      <family val="2"/>
    </font>
    <font>
      <sz val="9"/>
      <name val="Arial"/>
      <family val="2"/>
    </font>
    <font>
      <sz val="10"/>
      <name val="Arial"/>
      <family val="2"/>
    </font>
    <font>
      <sz val="12"/>
      <name val="Arial"/>
      <family val="2"/>
    </font>
    <font>
      <sz val="8"/>
      <name val="Arial"/>
      <family val="2"/>
    </font>
    <font>
      <b/>
      <sz val="12"/>
      <name val="Arial"/>
      <family val="2"/>
    </font>
    <font>
      <b/>
      <sz val="8"/>
      <color indexed="81"/>
      <name val="Tahoma"/>
      <family val="2"/>
    </font>
    <font>
      <sz val="10"/>
      <color indexed="9"/>
      <name val="Arial"/>
      <family val="2"/>
    </font>
    <font>
      <sz val="14"/>
      <name val="Arial"/>
      <family val="2"/>
    </font>
    <font>
      <b/>
      <sz val="16"/>
      <name val="Arial"/>
      <family val="2"/>
    </font>
    <font>
      <u/>
      <sz val="12"/>
      <name val="Arial"/>
      <family val="2"/>
    </font>
    <font>
      <sz val="10"/>
      <name val="Arial"/>
      <family val="2"/>
    </font>
    <font>
      <b/>
      <sz val="12"/>
      <name val="Arial"/>
      <family val="2"/>
    </font>
    <font>
      <b/>
      <sz val="14"/>
      <name val="Arial"/>
      <family val="2"/>
    </font>
    <font>
      <b/>
      <sz val="12"/>
      <color indexed="9"/>
      <name val="Arial"/>
      <family val="2"/>
    </font>
    <font>
      <b/>
      <sz val="10"/>
      <color indexed="10"/>
      <name val="Arial"/>
      <family val="2"/>
    </font>
    <font>
      <sz val="14"/>
      <name val="Arial"/>
      <family val="2"/>
    </font>
    <font>
      <b/>
      <sz val="10"/>
      <color indexed="43"/>
      <name val="Arial"/>
      <family val="2"/>
    </font>
    <font>
      <sz val="10"/>
      <color indexed="10"/>
      <name val="Arial"/>
      <family val="2"/>
    </font>
    <font>
      <strike/>
      <sz val="10"/>
      <color indexed="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8"/>
      <name val="Arial"/>
      <family val="2"/>
    </font>
    <font>
      <sz val="16"/>
      <name val="Arial"/>
      <family val="2"/>
    </font>
    <font>
      <b/>
      <sz val="20"/>
      <name val="Arial"/>
      <family val="2"/>
    </font>
    <font>
      <sz val="13"/>
      <name val="Arial"/>
      <family val="2"/>
    </font>
    <font>
      <b/>
      <sz val="13"/>
      <name val="Arial"/>
      <family val="2"/>
    </font>
    <font>
      <sz val="7"/>
      <name val="Arial"/>
      <family val="2"/>
    </font>
    <font>
      <sz val="42"/>
      <name val="3 of 9 Barcode"/>
      <family val="5"/>
    </font>
    <font>
      <b/>
      <sz val="42"/>
      <name val="3 of 9 Barcode"/>
      <family val="5"/>
    </font>
    <font>
      <b/>
      <sz val="42"/>
      <name val="Arial"/>
      <family val="2"/>
    </font>
    <font>
      <sz val="20"/>
      <name val="Arial"/>
      <family val="2"/>
    </font>
    <font>
      <b/>
      <sz val="18"/>
      <name val="Arial"/>
      <family val="2"/>
    </font>
    <font>
      <sz val="30"/>
      <name val="3 of 9 Barcode"/>
      <family val="5"/>
    </font>
    <font>
      <sz val="10"/>
      <color indexed="8"/>
      <name val="Arial"/>
      <family val="2"/>
    </font>
    <font>
      <sz val="1"/>
      <name val="Arial"/>
      <family val="2"/>
    </font>
    <font>
      <b/>
      <sz val="10"/>
      <name val="Times New Roman"/>
      <family val="1"/>
    </font>
    <font>
      <b/>
      <sz val="9"/>
      <name val="Arial"/>
      <family val="2"/>
    </font>
    <font>
      <sz val="12"/>
      <color indexed="11"/>
      <name val="Arial"/>
      <family val="2"/>
    </font>
    <font>
      <b/>
      <sz val="9"/>
      <color indexed="81"/>
      <name val="Tahoma"/>
      <family val="2"/>
    </font>
    <font>
      <sz val="10"/>
      <color indexed="10"/>
      <name val="Arial"/>
      <family val="2"/>
    </font>
    <font>
      <sz val="10"/>
      <color indexed="8"/>
      <name val="Arial"/>
      <family val="2"/>
    </font>
    <font>
      <sz val="12"/>
      <color indexed="8"/>
      <name val="Arial"/>
      <family val="2"/>
    </font>
    <font>
      <b/>
      <sz val="12"/>
      <name val="Comic Sans MS"/>
      <family val="4"/>
    </font>
    <font>
      <b/>
      <sz val="14"/>
      <name val="Comic Sans MS"/>
      <family val="4"/>
    </font>
    <font>
      <sz val="8"/>
      <name val="Arial"/>
      <family val="2"/>
    </font>
    <font>
      <b/>
      <sz val="10"/>
      <color indexed="55"/>
      <name val="Arial"/>
      <family val="2"/>
    </font>
    <font>
      <sz val="12"/>
      <color indexed="10"/>
      <name val="Arial"/>
      <family val="2"/>
    </font>
    <font>
      <b/>
      <sz val="12"/>
      <color indexed="10"/>
      <name val="Arial"/>
      <family val="2"/>
    </font>
    <font>
      <sz val="20"/>
      <color indexed="10"/>
      <name val="Arial"/>
      <family val="2"/>
    </font>
    <font>
      <b/>
      <sz val="14"/>
      <color indexed="9"/>
      <name val="Arial"/>
      <family val="2"/>
    </font>
    <font>
      <sz val="14"/>
      <color indexed="8"/>
      <name val="Arial"/>
      <family val="2"/>
    </font>
    <font>
      <b/>
      <sz val="16"/>
      <color indexed="10"/>
      <name val="Arial"/>
      <family val="2"/>
    </font>
    <font>
      <b/>
      <sz val="12"/>
      <color indexed="22"/>
      <name val="Arial"/>
      <family val="2"/>
    </font>
    <font>
      <sz val="15"/>
      <name val="Calibri"/>
      <family val="2"/>
    </font>
    <font>
      <b/>
      <sz val="24"/>
      <name val="Arial"/>
      <family val="2"/>
    </font>
    <font>
      <sz val="4"/>
      <name val="Arial"/>
      <family val="2"/>
    </font>
    <font>
      <b/>
      <sz val="7"/>
      <name val="Arial"/>
      <family val="2"/>
    </font>
    <font>
      <sz val="9"/>
      <color indexed="8"/>
      <name val="Arial"/>
      <family val="2"/>
    </font>
    <font>
      <b/>
      <sz val="10"/>
      <color indexed="8"/>
      <name val="Arial"/>
      <family val="2"/>
    </font>
    <font>
      <sz val="11"/>
      <name val="Times New Roman"/>
      <family val="1"/>
    </font>
    <font>
      <b/>
      <sz val="15"/>
      <name val="Times New Roman"/>
      <family val="1"/>
    </font>
    <font>
      <sz val="12"/>
      <name val="Times New Roman"/>
      <family val="1"/>
    </font>
    <font>
      <b/>
      <sz val="13"/>
      <name val="Times New Roman"/>
      <family val="1"/>
    </font>
    <font>
      <b/>
      <sz val="11"/>
      <name val="Times New Roman"/>
      <family val="1"/>
    </font>
    <font>
      <sz val="11"/>
      <color indexed="10"/>
      <name val="Times New Roman"/>
      <family val="1"/>
    </font>
    <font>
      <b/>
      <sz val="12"/>
      <color indexed="10"/>
      <name val="Times New Roman"/>
      <family val="1"/>
    </font>
    <font>
      <b/>
      <sz val="11"/>
      <color indexed="10"/>
      <name val="Times New Roman"/>
      <family val="1"/>
    </font>
    <font>
      <sz val="12"/>
      <color indexed="10"/>
      <name val="Times New Roman"/>
      <family val="1"/>
    </font>
    <font>
      <sz val="9"/>
      <name val="Times New Roman"/>
      <family val="1"/>
    </font>
    <font>
      <sz val="8"/>
      <name val="Times New Roman"/>
      <family val="1"/>
    </font>
    <font>
      <sz val="10"/>
      <name val="Times New Roman"/>
      <family val="1"/>
    </font>
    <font>
      <b/>
      <sz val="8"/>
      <name val="Times New Roman"/>
      <family val="1"/>
    </font>
    <font>
      <b/>
      <i/>
      <sz val="18"/>
      <color indexed="8"/>
      <name val="Times New Roman"/>
      <family val="1"/>
    </font>
    <font>
      <sz val="15"/>
      <color indexed="8"/>
      <name val="Arial"/>
      <family val="2"/>
    </font>
    <font>
      <sz val="13"/>
      <color indexed="8"/>
      <name val="Arial"/>
      <family val="2"/>
    </font>
    <font>
      <i/>
      <sz val="9"/>
      <color indexed="8"/>
      <name val="Arial"/>
      <family val="2"/>
    </font>
    <font>
      <b/>
      <i/>
      <sz val="9"/>
      <name val="Arial"/>
      <family val="2"/>
    </font>
    <font>
      <b/>
      <i/>
      <sz val="10"/>
      <name val="Arial"/>
      <family val="2"/>
    </font>
    <font>
      <sz val="9"/>
      <color indexed="10"/>
      <name val="Arial"/>
      <family val="2"/>
    </font>
    <font>
      <b/>
      <i/>
      <sz val="9"/>
      <color indexed="8"/>
      <name val="Arial"/>
      <family val="2"/>
    </font>
    <font>
      <b/>
      <sz val="9"/>
      <color indexed="8"/>
      <name val="Arial"/>
      <family val="2"/>
    </font>
    <font>
      <i/>
      <sz val="10"/>
      <color indexed="8"/>
      <name val="Arial"/>
      <family val="2"/>
    </font>
    <font>
      <i/>
      <sz val="14"/>
      <name val="Times New Roman"/>
      <family val="1"/>
    </font>
    <font>
      <sz val="10"/>
      <name val="Calibri"/>
      <family val="2"/>
    </font>
    <font>
      <sz val="10.5"/>
      <name val="Times New Roman"/>
      <family val="1"/>
    </font>
    <font>
      <sz val="18"/>
      <name val="Arial"/>
      <family val="2"/>
    </font>
    <font>
      <b/>
      <sz val="6"/>
      <name val="Arial"/>
      <family val="2"/>
    </font>
    <font>
      <b/>
      <sz val="48"/>
      <color indexed="81"/>
      <name val="Tahoma"/>
      <family val="2"/>
    </font>
    <font>
      <sz val="48"/>
      <color indexed="81"/>
      <name val="Tahoma"/>
      <family val="2"/>
    </font>
    <font>
      <sz val="14"/>
      <color indexed="10"/>
      <name val="Arial"/>
      <family val="2"/>
    </font>
    <font>
      <b/>
      <sz val="12"/>
      <color indexed="8"/>
      <name val="Arial"/>
      <family val="2"/>
    </font>
    <font>
      <b/>
      <i/>
      <sz val="12"/>
      <name val="Arial"/>
      <family val="2"/>
    </font>
    <font>
      <sz val="10"/>
      <color indexed="23"/>
      <name val="Arial"/>
      <family val="2"/>
    </font>
    <font>
      <b/>
      <sz val="14"/>
      <color indexed="8"/>
      <name val="Arial"/>
      <family val="2"/>
    </font>
    <font>
      <sz val="9"/>
      <color indexed="81"/>
      <name val="Tahoma"/>
      <family val="2"/>
    </font>
    <font>
      <b/>
      <i/>
      <sz val="12"/>
      <color indexed="10"/>
      <name val="Arial"/>
      <family val="2"/>
    </font>
    <font>
      <b/>
      <sz val="15"/>
      <name val="Arial"/>
      <family val="2"/>
    </font>
    <font>
      <b/>
      <sz val="13"/>
      <color indexed="8"/>
      <name val="Arial"/>
      <family val="2"/>
    </font>
    <font>
      <b/>
      <sz val="10"/>
      <color indexed="18"/>
      <name val="Arial"/>
      <family val="2"/>
    </font>
    <font>
      <sz val="10"/>
      <color indexed="18"/>
      <name val="Arial"/>
      <family val="2"/>
    </font>
    <font>
      <sz val="8"/>
      <color indexed="18"/>
      <name val="Arial"/>
      <family val="2"/>
    </font>
    <font>
      <b/>
      <sz val="7"/>
      <color indexed="18"/>
      <name val="Arial"/>
      <family val="2"/>
    </font>
    <font>
      <b/>
      <vertAlign val="subscript"/>
      <sz val="18"/>
      <name val="Arial"/>
      <family val="2"/>
    </font>
    <font>
      <i/>
      <sz val="10"/>
      <name val="Arial"/>
      <family val="2"/>
    </font>
    <font>
      <b/>
      <vertAlign val="subscript"/>
      <sz val="14"/>
      <name val="Arial"/>
      <family val="2"/>
    </font>
    <font>
      <b/>
      <vertAlign val="subscript"/>
      <sz val="10"/>
      <name val="Arial"/>
      <family val="2"/>
    </font>
    <font>
      <sz val="9"/>
      <color indexed="81"/>
      <name val="Segoe UI"/>
      <family val="2"/>
    </font>
    <font>
      <b/>
      <sz val="9"/>
      <color indexed="81"/>
      <name val="Segoe UI"/>
      <family val="2"/>
    </font>
    <font>
      <sz val="7.5"/>
      <name val="Times New Roman"/>
      <family val="1"/>
    </font>
    <font>
      <sz val="15"/>
      <name val="Times New Roman"/>
      <family val="1"/>
    </font>
    <font>
      <sz val="11"/>
      <color theme="1"/>
      <name val="Calibri"/>
      <family val="2"/>
      <scheme val="minor"/>
    </font>
    <font>
      <b/>
      <sz val="10"/>
      <color theme="1"/>
      <name val="Arial"/>
      <family val="2"/>
    </font>
    <font>
      <sz val="12"/>
      <color theme="1"/>
      <name val="Arial"/>
      <family val="2"/>
    </font>
    <font>
      <sz val="12"/>
      <color theme="1" tint="4.9989318521683403E-2"/>
      <name val="Arial"/>
      <family val="2"/>
    </font>
    <font>
      <b/>
      <sz val="14"/>
      <color rgb="FFFF0000"/>
      <name val="Arial"/>
      <family val="2"/>
    </font>
    <font>
      <sz val="14"/>
      <color rgb="FFFF0000"/>
      <name val="Arial"/>
      <family val="2"/>
    </font>
    <font>
      <b/>
      <sz val="11"/>
      <color rgb="FFFF0000"/>
      <name val="Arial"/>
      <family val="2"/>
    </font>
    <font>
      <b/>
      <sz val="12"/>
      <color theme="1"/>
      <name val="Arial"/>
      <family val="2"/>
    </font>
    <font>
      <sz val="12"/>
      <color theme="3"/>
      <name val="Arial"/>
      <family val="2"/>
    </font>
    <font>
      <b/>
      <sz val="10"/>
      <color rgb="FFFF0000"/>
      <name val="Arial"/>
      <family val="2"/>
    </font>
    <font>
      <sz val="10"/>
      <color rgb="FF00B050"/>
      <name val="Arial"/>
      <family val="2"/>
    </font>
    <font>
      <sz val="10"/>
      <color theme="1"/>
      <name val="Arial"/>
      <family val="2"/>
    </font>
    <font>
      <b/>
      <sz val="8"/>
      <color rgb="FFFF0000"/>
      <name val="Arial"/>
      <family val="2"/>
    </font>
    <font>
      <b/>
      <i/>
      <sz val="14"/>
      <color theme="0" tint="-0.34998626667073579"/>
      <name val="Arial"/>
      <family val="2"/>
    </font>
    <font>
      <b/>
      <sz val="12"/>
      <color rgb="FFFF0000"/>
      <name val="Arial"/>
      <family val="2"/>
    </font>
    <font>
      <sz val="10"/>
      <color theme="0"/>
      <name val="Arial"/>
      <family val="2"/>
    </font>
    <font>
      <sz val="11"/>
      <color theme="1"/>
      <name val="Arial"/>
      <family val="2"/>
    </font>
    <font>
      <b/>
      <i/>
      <sz val="12"/>
      <color theme="0" tint="-0.34998626667073579"/>
      <name val="Arial"/>
      <family val="2"/>
    </font>
    <font>
      <sz val="10"/>
      <color rgb="FF000000"/>
      <name val="Arial"/>
      <family val="2"/>
    </font>
    <font>
      <sz val="10"/>
      <color rgb="FFFF0000"/>
      <name val="Arial"/>
      <family val="2"/>
    </font>
    <font>
      <sz val="18"/>
      <color rgb="FFFF0000"/>
      <name val="Arial"/>
      <family val="2"/>
    </font>
    <font>
      <sz val="12"/>
      <color rgb="FFFFC000"/>
      <name val="Arial"/>
      <family val="2"/>
    </font>
    <font>
      <b/>
      <sz val="11"/>
      <color theme="1"/>
      <name val="Calibri"/>
      <family val="2"/>
      <scheme val="minor"/>
    </font>
    <font>
      <sz val="10"/>
      <color rgb="FFFFFF00"/>
      <name val="Arial"/>
      <family val="2"/>
    </font>
    <font>
      <b/>
      <i/>
      <sz val="12"/>
      <color rgb="FF0070C0"/>
      <name val="Arial"/>
      <family val="2"/>
    </font>
    <font>
      <sz val="12"/>
      <color rgb="FFFF0000"/>
      <name val="Arial"/>
      <family val="2"/>
    </font>
    <font>
      <b/>
      <sz val="22"/>
      <name val="Arial"/>
      <family val="2"/>
    </font>
    <font>
      <b/>
      <u/>
      <sz val="10"/>
      <name val="Arial"/>
      <family val="2"/>
    </font>
    <font>
      <u/>
      <sz val="10"/>
      <name val="Arial"/>
      <family val="2"/>
    </font>
    <font>
      <b/>
      <sz val="12"/>
      <color theme="1"/>
      <name val="Calibri"/>
      <family val="2"/>
      <scheme val="minor"/>
    </font>
    <font>
      <b/>
      <sz val="8"/>
      <color theme="1"/>
      <name val="Calibri"/>
      <family val="2"/>
      <scheme val="minor"/>
    </font>
    <font>
      <sz val="12"/>
      <color theme="1"/>
      <name val="Calibri"/>
      <family val="2"/>
      <scheme val="minor"/>
    </font>
    <font>
      <sz val="10"/>
      <name val="Arial"/>
      <family val="2"/>
    </font>
    <font>
      <sz val="8"/>
      <color rgb="FFFF0000"/>
      <name val="Arial"/>
      <family val="2"/>
    </font>
    <font>
      <b/>
      <sz val="10"/>
      <color theme="0"/>
      <name val="Arial"/>
      <family val="2"/>
    </font>
    <font>
      <b/>
      <sz val="11"/>
      <color theme="0" tint="-0.499984740745262"/>
      <name val="Arial"/>
      <family val="2"/>
    </font>
  </fonts>
  <fills count="9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9"/>
        <bgColor indexed="64"/>
      </patternFill>
    </fill>
    <fill>
      <patternFill patternType="solid">
        <fgColor indexed="22"/>
      </patternFill>
    </fill>
    <fill>
      <patternFill patternType="solid">
        <fgColor indexed="43"/>
        <bgColor indexed="64"/>
      </patternFill>
    </fill>
    <fill>
      <patternFill patternType="solid">
        <fgColor indexed="44"/>
        <bgColor indexed="64"/>
      </patternFill>
    </fill>
    <fill>
      <patternFill patternType="solid">
        <fgColor indexed="13"/>
        <bgColor indexed="64"/>
      </patternFill>
    </fill>
    <fill>
      <patternFill patternType="solid">
        <fgColor indexed="43"/>
      </patternFill>
    </fill>
    <fill>
      <patternFill patternType="solid">
        <fgColor indexed="26"/>
      </patternFill>
    </fill>
    <fill>
      <patternFill patternType="solid">
        <fgColor indexed="55"/>
      </patternFill>
    </fill>
    <fill>
      <patternFill patternType="solid">
        <fgColor indexed="46"/>
        <bgColor indexed="64"/>
      </patternFill>
    </fill>
    <fill>
      <patternFill patternType="solid">
        <fgColor indexed="11"/>
        <bgColor indexed="64"/>
      </patternFill>
    </fill>
    <fill>
      <patternFill patternType="solid">
        <fgColor indexed="42"/>
        <bgColor indexed="64"/>
      </patternFill>
    </fill>
    <fill>
      <patternFill patternType="solid">
        <fgColor indexed="22"/>
        <bgColor indexed="64"/>
      </patternFill>
    </fill>
    <fill>
      <patternFill patternType="solid">
        <fgColor indexed="47"/>
        <bgColor indexed="64"/>
      </patternFill>
    </fill>
    <fill>
      <patternFill patternType="solid">
        <fgColor indexed="27"/>
        <bgColor indexed="64"/>
      </patternFill>
    </fill>
    <fill>
      <patternFill patternType="solid">
        <fgColor indexed="50"/>
        <bgColor indexed="64"/>
      </patternFill>
    </fill>
    <fill>
      <patternFill patternType="solid">
        <fgColor indexed="10"/>
        <bgColor indexed="64"/>
      </patternFill>
    </fill>
    <fill>
      <patternFill patternType="solid">
        <fgColor indexed="57"/>
        <bgColor indexed="64"/>
      </patternFill>
    </fill>
    <fill>
      <patternFill patternType="solid">
        <fgColor indexed="55"/>
        <bgColor indexed="64"/>
      </patternFill>
    </fill>
    <fill>
      <patternFill patternType="solid">
        <fgColor indexed="65"/>
        <bgColor indexed="64"/>
      </patternFill>
    </fill>
    <fill>
      <patternFill patternType="solid">
        <fgColor indexed="41"/>
        <bgColor indexed="64"/>
      </patternFill>
    </fill>
    <fill>
      <patternFill patternType="solid">
        <fgColor indexed="15"/>
        <bgColor indexed="64"/>
      </patternFill>
    </fill>
    <fill>
      <patternFill patternType="gray0625">
        <bgColor indexed="13"/>
      </patternFill>
    </fill>
    <fill>
      <patternFill patternType="gray0625"/>
    </fill>
    <fill>
      <patternFill patternType="lightUp"/>
    </fill>
    <fill>
      <patternFill patternType="solid">
        <fgColor theme="3" tint="0.79998168889431442"/>
        <bgColor indexed="64"/>
      </patternFill>
    </fill>
    <fill>
      <patternFill patternType="solid">
        <fgColor rgb="FFEAEAEA"/>
        <bgColor indexed="64"/>
      </patternFill>
    </fill>
    <fill>
      <patternFill patternType="solid">
        <fgColor rgb="FFFFFF99"/>
        <bgColor indexed="64"/>
      </patternFill>
    </fill>
    <fill>
      <patternFill patternType="solid">
        <fgColor theme="3" tint="0.59996337778862885"/>
        <bgColor indexed="64"/>
      </patternFill>
    </fill>
    <fill>
      <gradientFill>
        <stop position="0">
          <color rgb="FFFFFF00"/>
        </stop>
        <stop position="1">
          <color theme="3" tint="0.59999389629810485"/>
        </stop>
      </gradientFill>
    </fill>
    <fill>
      <patternFill patternType="solid">
        <fgColor rgb="FFFFFF00"/>
        <bgColor indexed="64"/>
      </patternFill>
    </fill>
    <fill>
      <patternFill patternType="solid">
        <fgColor rgb="FF00FF00"/>
        <bgColor indexed="64"/>
      </patternFill>
    </fill>
    <fill>
      <patternFill patternType="solid">
        <fgColor rgb="FF92D050"/>
        <bgColor indexed="64"/>
      </patternFill>
    </fill>
    <fill>
      <patternFill patternType="solid">
        <fgColor theme="6" tint="0.79998168889431442"/>
        <bgColor indexed="64"/>
      </patternFill>
    </fill>
    <fill>
      <patternFill patternType="solid">
        <fgColor rgb="FF00B050"/>
        <bgColor indexed="64"/>
      </patternFill>
    </fill>
    <fill>
      <patternFill patternType="solid">
        <fgColor rgb="FF339966"/>
        <bgColor indexed="64"/>
      </patternFill>
    </fill>
    <fill>
      <patternFill patternType="solid">
        <fgColor theme="5" tint="0.79998168889431442"/>
        <bgColor indexed="64"/>
      </patternFill>
    </fill>
    <fill>
      <patternFill patternType="solid">
        <fgColor rgb="FFFF0000"/>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2" tint="-9.9948118533890809E-2"/>
        <bgColor indexed="64"/>
      </patternFill>
    </fill>
    <fill>
      <patternFill patternType="solid">
        <fgColor theme="6" tint="-0.249977111117893"/>
        <bgColor indexed="64"/>
      </patternFill>
    </fill>
    <fill>
      <patternFill patternType="solid">
        <fgColor theme="6"/>
        <bgColor indexed="64"/>
      </patternFill>
    </fill>
    <fill>
      <patternFill patternType="solid">
        <fgColor rgb="FF66FF3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0"/>
        <bgColor indexed="64"/>
      </patternFill>
    </fill>
    <fill>
      <patternFill patternType="solid">
        <fgColor rgb="FF00B0F0"/>
        <bgColor indexed="64"/>
      </patternFill>
    </fill>
    <fill>
      <patternFill patternType="solid">
        <fgColor theme="0" tint="-0.249977111117893"/>
        <bgColor indexed="64"/>
      </patternFill>
    </fill>
    <fill>
      <patternFill patternType="solid">
        <fgColor theme="0" tint="-0.499984740745262"/>
        <bgColor indexed="64"/>
      </patternFill>
    </fill>
    <fill>
      <patternFill patternType="gray0625">
        <bgColor rgb="FFEAEAEA"/>
      </patternFill>
    </fill>
    <fill>
      <patternFill patternType="solid">
        <fgColor theme="9" tint="0.79998168889431442"/>
        <bgColor indexed="64"/>
      </patternFill>
    </fill>
    <fill>
      <patternFill patternType="solid">
        <fgColor rgb="FFC8C800"/>
        <bgColor indexed="64"/>
      </patternFill>
    </fill>
    <fill>
      <patternFill patternType="solid">
        <fgColor theme="0" tint="-0.24994659260841701"/>
        <bgColor indexed="64"/>
      </patternFill>
    </fill>
    <fill>
      <patternFill patternType="solid">
        <fgColor rgb="FFFFC000"/>
        <bgColor indexed="64"/>
      </patternFill>
    </fill>
    <fill>
      <patternFill patternType="solid">
        <fgColor rgb="FFFFFFFF"/>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rgb="FFFFBEBE"/>
        <bgColor indexed="64"/>
      </patternFill>
    </fill>
    <fill>
      <patternFill patternType="solid">
        <fgColor rgb="FF00FFFF"/>
        <bgColor indexed="64"/>
      </patternFill>
    </fill>
    <fill>
      <patternFill patternType="solid">
        <fgColor rgb="FFFFE6B4"/>
        <bgColor indexed="64"/>
      </patternFill>
    </fill>
    <fill>
      <patternFill patternType="solid">
        <fgColor rgb="FFFFFFCC"/>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theme="1"/>
        <bgColor indexed="64"/>
      </patternFill>
    </fill>
    <fill>
      <patternFill patternType="solid">
        <fgColor theme="2" tint="-0.249977111117893"/>
        <bgColor indexed="64"/>
      </patternFill>
    </fill>
    <fill>
      <patternFill patternType="solid">
        <fgColor theme="1" tint="4.9989318521683403E-2"/>
        <bgColor indexed="64"/>
      </patternFill>
    </fill>
    <fill>
      <patternFill patternType="darkUp"/>
    </fill>
    <fill>
      <patternFill patternType="solid">
        <fgColor rgb="FFFF00FF"/>
        <bgColor indexed="64"/>
      </patternFill>
    </fill>
    <fill>
      <patternFill patternType="solid">
        <fgColor rgb="FF0070C0"/>
        <bgColor indexed="64"/>
      </patternFill>
    </fill>
    <fill>
      <patternFill patternType="darkUp">
        <bgColor theme="0" tint="-4.9989318521683403E-2"/>
      </patternFill>
    </fill>
    <fill>
      <patternFill patternType="solid">
        <fgColor theme="3" tint="0.39997558519241921"/>
        <bgColor indexed="64"/>
      </patternFill>
    </fill>
    <fill>
      <patternFill patternType="solid">
        <fgColor rgb="FFFFCCFF"/>
        <bgColor indexed="64"/>
      </patternFill>
    </fill>
  </fills>
  <borders count="120">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thin">
        <color indexed="64"/>
      </left>
      <right style="thin">
        <color indexed="64"/>
      </right>
      <top style="thin">
        <color indexed="64"/>
      </top>
      <bottom style="thin">
        <color indexed="64"/>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style="medium">
        <color indexed="64"/>
      </right>
      <top/>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style="medium">
        <color indexed="64"/>
      </left>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diagonal/>
    </border>
    <border>
      <left/>
      <right/>
      <top/>
      <bottom style="medium">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right/>
      <top style="medium">
        <color indexed="64"/>
      </top>
      <bottom style="thin">
        <color indexed="64"/>
      </bottom>
      <diagonal/>
    </border>
    <border>
      <left style="thick">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right/>
      <top style="medium">
        <color indexed="64"/>
      </top>
      <bottom style="medium">
        <color indexed="64"/>
      </bottom>
      <diagonal/>
    </border>
    <border>
      <left/>
      <right style="medium">
        <color indexed="64"/>
      </right>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n">
        <color indexed="64"/>
      </right>
      <top style="thin">
        <color indexed="64"/>
      </top>
      <bottom/>
      <diagonal/>
    </border>
    <border>
      <left/>
      <right/>
      <top/>
      <bottom style="thin">
        <color indexed="23"/>
      </bottom>
      <diagonal/>
    </border>
    <border>
      <left/>
      <right/>
      <top/>
      <bottom style="thin">
        <color indexed="55"/>
      </bottom>
      <diagonal/>
    </border>
    <border>
      <left/>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style="thin">
        <color indexed="64"/>
      </right>
      <top style="thin">
        <color indexed="23"/>
      </top>
      <bottom style="thin">
        <color indexed="23"/>
      </bottom>
      <diagonal/>
    </border>
    <border>
      <left style="thin">
        <color indexed="64"/>
      </left>
      <right/>
      <top style="thin">
        <color indexed="23"/>
      </top>
      <bottom style="thin">
        <color indexed="23"/>
      </bottom>
      <diagonal/>
    </border>
    <border>
      <left style="thin">
        <color indexed="23"/>
      </left>
      <right/>
      <top style="thin">
        <color indexed="23"/>
      </top>
      <bottom style="thin">
        <color indexed="23"/>
      </bottom>
      <diagonal/>
    </border>
    <border>
      <left/>
      <right style="thin">
        <color indexed="23"/>
      </right>
      <top style="thin">
        <color indexed="23"/>
      </top>
      <bottom style="thin">
        <color indexed="23"/>
      </bottom>
      <diagonal/>
    </border>
    <border>
      <left style="thin">
        <color indexed="55"/>
      </left>
      <right style="thin">
        <color indexed="55"/>
      </right>
      <top style="thin">
        <color indexed="23"/>
      </top>
      <bottom style="thin">
        <color indexed="23"/>
      </bottom>
      <diagonal/>
    </border>
    <border>
      <left style="thin">
        <color indexed="23"/>
      </left>
      <right style="thin">
        <color indexed="55"/>
      </right>
      <top style="thin">
        <color indexed="23"/>
      </top>
      <bottom style="thin">
        <color indexed="23"/>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theme="1"/>
      </left>
      <right style="thin">
        <color theme="1"/>
      </right>
      <top style="thin">
        <color theme="1"/>
      </top>
      <bottom style="thin">
        <color theme="1"/>
      </bottom>
      <diagonal/>
    </border>
    <border>
      <left/>
      <right/>
      <top/>
      <bottom style="thin">
        <color theme="0" tint="-0.499984740745262"/>
      </bottom>
      <diagonal/>
    </border>
    <border>
      <left/>
      <right/>
      <top/>
      <bottom style="thin">
        <color auto="1"/>
      </bottom>
      <diagonal/>
    </border>
    <border diagonalUp="1" diagonalDown="1">
      <left style="double">
        <color rgb="FFFF0000"/>
      </left>
      <right style="double">
        <color rgb="FFFF0000"/>
      </right>
      <top style="double">
        <color rgb="FFFF0000"/>
      </top>
      <bottom style="double">
        <color rgb="FFFF0000"/>
      </bottom>
      <diagonal style="double">
        <color rgb="FFFF0000"/>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Dashed">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mediumDashed">
        <color indexed="64"/>
      </right>
      <top style="thin">
        <color auto="1"/>
      </top>
      <bottom/>
      <diagonal/>
    </border>
    <border>
      <left/>
      <right style="medium">
        <color indexed="64"/>
      </right>
      <top style="thin">
        <color indexed="64"/>
      </top>
      <bottom/>
      <diagonal/>
    </border>
    <border>
      <left style="thin">
        <color indexed="64"/>
      </left>
      <right style="mediumDashed">
        <color indexed="64"/>
      </right>
      <top style="thin">
        <color indexed="64"/>
      </top>
      <bottom style="medium">
        <color indexed="64"/>
      </bottom>
      <diagonal/>
    </border>
    <border>
      <left/>
      <right/>
      <top style="mediumDashed">
        <color auto="1"/>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medium">
        <color indexed="64"/>
      </bottom>
      <diagonal/>
    </border>
    <border>
      <left style="thin">
        <color indexed="64"/>
      </left>
      <right style="mediumDashed">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mediumDashed">
        <color indexed="64"/>
      </top>
      <bottom style="thin">
        <color indexed="64"/>
      </bottom>
      <diagonal/>
    </border>
    <border>
      <left style="thin">
        <color indexed="64"/>
      </left>
      <right style="medium">
        <color indexed="64"/>
      </right>
      <top style="mediumDashed">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116">
    <xf numFmtId="0" fontId="0" fillId="0" borderId="0"/>
    <xf numFmtId="0" fontId="36" fillId="2" borderId="0" applyNumberFormat="0" applyBorder="0" applyAlignment="0" applyProtection="0"/>
    <xf numFmtId="0" fontId="6" fillId="2" borderId="0" applyNumberFormat="0" applyBorder="0" applyAlignment="0" applyProtection="0"/>
    <xf numFmtId="0" fontId="36" fillId="3" borderId="0" applyNumberFormat="0" applyBorder="0" applyAlignment="0" applyProtection="0"/>
    <xf numFmtId="0" fontId="6" fillId="3" borderId="0" applyNumberFormat="0" applyBorder="0" applyAlignment="0" applyProtection="0"/>
    <xf numFmtId="0" fontId="36" fillId="4" borderId="0" applyNumberFormat="0" applyBorder="0" applyAlignment="0" applyProtection="0"/>
    <xf numFmtId="0" fontId="6" fillId="4" borderId="0" applyNumberFormat="0" applyBorder="0" applyAlignment="0" applyProtection="0"/>
    <xf numFmtId="0" fontId="36" fillId="5" borderId="0" applyNumberFormat="0" applyBorder="0" applyAlignment="0" applyProtection="0"/>
    <xf numFmtId="0" fontId="6" fillId="5" borderId="0" applyNumberFormat="0" applyBorder="0" applyAlignment="0" applyProtection="0"/>
    <xf numFmtId="0" fontId="36" fillId="6" borderId="0" applyNumberFormat="0" applyBorder="0" applyAlignment="0" applyProtection="0"/>
    <xf numFmtId="0" fontId="6" fillId="6" borderId="0" applyNumberFormat="0" applyBorder="0" applyAlignment="0" applyProtection="0"/>
    <xf numFmtId="0" fontId="36" fillId="7" borderId="0" applyNumberFormat="0" applyBorder="0" applyAlignment="0" applyProtection="0"/>
    <xf numFmtId="0" fontId="6" fillId="7" borderId="0" applyNumberFormat="0" applyBorder="0" applyAlignment="0" applyProtection="0"/>
    <xf numFmtId="0" fontId="36" fillId="8" borderId="0" applyNumberFormat="0" applyBorder="0" applyAlignment="0" applyProtection="0"/>
    <xf numFmtId="0" fontId="6" fillId="8" borderId="0" applyNumberFormat="0" applyBorder="0" applyAlignment="0" applyProtection="0"/>
    <xf numFmtId="0" fontId="36" fillId="9" borderId="0" applyNumberFormat="0" applyBorder="0" applyAlignment="0" applyProtection="0"/>
    <xf numFmtId="0" fontId="6" fillId="9" borderId="0" applyNumberFormat="0" applyBorder="0" applyAlignment="0" applyProtection="0"/>
    <xf numFmtId="0" fontId="36" fillId="10" borderId="0" applyNumberFormat="0" applyBorder="0" applyAlignment="0" applyProtection="0"/>
    <xf numFmtId="0" fontId="6" fillId="10" borderId="0" applyNumberFormat="0" applyBorder="0" applyAlignment="0" applyProtection="0"/>
    <xf numFmtId="0" fontId="36" fillId="5" borderId="0" applyNumberFormat="0" applyBorder="0" applyAlignment="0" applyProtection="0"/>
    <xf numFmtId="0" fontId="6" fillId="5" borderId="0" applyNumberFormat="0" applyBorder="0" applyAlignment="0" applyProtection="0"/>
    <xf numFmtId="0" fontId="36" fillId="8" borderId="0" applyNumberFormat="0" applyBorder="0" applyAlignment="0" applyProtection="0"/>
    <xf numFmtId="0" fontId="6" fillId="8" borderId="0" applyNumberFormat="0" applyBorder="0" applyAlignment="0" applyProtection="0"/>
    <xf numFmtId="0" fontId="36" fillId="11" borderId="0" applyNumberFormat="0" applyBorder="0" applyAlignment="0" applyProtection="0"/>
    <xf numFmtId="0" fontId="6" fillId="11" borderId="0" applyNumberFormat="0" applyBorder="0" applyAlignment="0" applyProtection="0"/>
    <xf numFmtId="0" fontId="37" fillId="12" borderId="0" applyNumberFormat="0" applyBorder="0" applyAlignment="0" applyProtection="0"/>
    <xf numFmtId="0" fontId="37" fillId="9" borderId="0" applyNumberFormat="0" applyBorder="0" applyAlignment="0" applyProtection="0"/>
    <xf numFmtId="0" fontId="37" fillId="10" borderId="0" applyNumberFormat="0" applyBorder="0" applyAlignment="0" applyProtection="0"/>
    <xf numFmtId="0" fontId="37" fillId="13" borderId="0" applyNumberFormat="0" applyBorder="0" applyAlignment="0" applyProtection="0"/>
    <xf numFmtId="0" fontId="37" fillId="14" borderId="0" applyNumberFormat="0" applyBorder="0" applyAlignment="0" applyProtection="0"/>
    <xf numFmtId="0" fontId="37" fillId="15" borderId="0" applyNumberFormat="0" applyBorder="0" applyAlignment="0" applyProtection="0"/>
    <xf numFmtId="0" fontId="37" fillId="16" borderId="0" applyNumberFormat="0" applyBorder="0" applyAlignment="0" applyProtection="0"/>
    <xf numFmtId="0" fontId="37" fillId="17" borderId="0" applyNumberFormat="0" applyBorder="0" applyAlignment="0" applyProtection="0"/>
    <xf numFmtId="0" fontId="37" fillId="18" borderId="0" applyNumberFormat="0" applyBorder="0" applyAlignment="0" applyProtection="0"/>
    <xf numFmtId="0" fontId="37" fillId="13" borderId="0" applyNumberFormat="0" applyBorder="0" applyAlignment="0" applyProtection="0"/>
    <xf numFmtId="0" fontId="37" fillId="14" borderId="0" applyNumberFormat="0" applyBorder="0" applyAlignment="0" applyProtection="0"/>
    <xf numFmtId="0" fontId="37" fillId="19" borderId="0" applyNumberFormat="0" applyBorder="0" applyAlignment="0" applyProtection="0"/>
    <xf numFmtId="0" fontId="14" fillId="44" borderId="0"/>
    <xf numFmtId="0" fontId="14" fillId="45" borderId="0"/>
    <xf numFmtId="49" fontId="14" fillId="0" borderId="0">
      <alignment horizontal="center"/>
    </xf>
    <xf numFmtId="0" fontId="38" fillId="21" borderId="1" applyNumberFormat="0" applyAlignment="0" applyProtection="0"/>
    <xf numFmtId="0" fontId="39" fillId="21" borderId="2" applyNumberFormat="0" applyAlignment="0" applyProtection="0"/>
    <xf numFmtId="0" fontId="40" fillId="7" borderId="2" applyNumberFormat="0" applyAlignment="0" applyProtection="0"/>
    <xf numFmtId="0" fontId="15" fillId="46" borderId="3">
      <alignment horizontal="center" vertical="center" wrapText="1"/>
      <protection locked="0"/>
    </xf>
    <xf numFmtId="0" fontId="143" fillId="46" borderId="96" applyProtection="0">
      <alignment horizontal="center" vertical="center"/>
    </xf>
    <xf numFmtId="0" fontId="143" fillId="46" borderId="96" applyProtection="0">
      <alignment horizontal="center" vertical="center"/>
    </xf>
    <xf numFmtId="0" fontId="15" fillId="46" borderId="3">
      <alignment horizontal="center" vertical="center" wrapText="1"/>
      <protection locked="0"/>
    </xf>
    <xf numFmtId="0" fontId="40" fillId="7" borderId="2" applyNumberFormat="0" applyAlignment="0" applyProtection="0"/>
    <xf numFmtId="0" fontId="41" fillId="0" borderId="4" applyNumberFormat="0" applyFill="0" applyAlignment="0" applyProtection="0"/>
    <xf numFmtId="0" fontId="42" fillId="0" borderId="0" applyNumberFormat="0" applyFill="0" applyBorder="0" applyAlignment="0" applyProtection="0"/>
    <xf numFmtId="44" fontId="7" fillId="0" borderId="0" applyFont="0" applyFill="0" applyBorder="0" applyAlignment="0" applyProtection="0"/>
    <xf numFmtId="223" fontId="7" fillId="0" borderId="0" applyFill="0" applyBorder="0" applyAlignment="0" applyProtection="0"/>
    <xf numFmtId="223" fontId="7" fillId="0" borderId="0" applyFill="0" applyBorder="0" applyAlignment="0" applyProtection="0"/>
    <xf numFmtId="49" fontId="8" fillId="47" borderId="0"/>
    <xf numFmtId="49" fontId="8" fillId="48" borderId="0"/>
    <xf numFmtId="0" fontId="8" fillId="49" borderId="0"/>
    <xf numFmtId="0" fontId="43" fillId="4" borderId="0" applyNumberFormat="0" applyBorder="0" applyAlignment="0" applyProtection="0"/>
    <xf numFmtId="0" fontId="9" fillId="0" borderId="0" applyNumberFormat="0" applyFill="0" applyBorder="0" applyAlignment="0" applyProtection="0">
      <alignment vertical="top"/>
      <protection locked="0"/>
    </xf>
    <xf numFmtId="164" fontId="7" fillId="0" borderId="0" applyFont="0" applyFill="0" applyBorder="0" applyAlignment="0" applyProtection="0"/>
    <xf numFmtId="164" fontId="7" fillId="0" borderId="0" applyFont="0" applyFill="0" applyBorder="0" applyAlignment="0" applyProtection="0"/>
    <xf numFmtId="164" fontId="7" fillId="0" borderId="0" applyFont="0" applyFill="0" applyBorder="0" applyAlignment="0" applyProtection="0"/>
    <xf numFmtId="164" fontId="7" fillId="0" borderId="0" applyFont="0" applyFill="0" applyBorder="0" applyAlignment="0" applyProtection="0"/>
    <xf numFmtId="164" fontId="7" fillId="0" borderId="0" applyFont="0" applyFill="0" applyBorder="0" applyAlignment="0" applyProtection="0"/>
    <xf numFmtId="164" fontId="7" fillId="0" borderId="0" applyFont="0" applyFill="0" applyBorder="0" applyAlignment="0" applyProtection="0"/>
    <xf numFmtId="164" fontId="7" fillId="0" borderId="0" applyFont="0" applyFill="0" applyBorder="0" applyAlignment="0" applyProtection="0"/>
    <xf numFmtId="164" fontId="7" fillId="0" borderId="0" applyFont="0" applyFill="0" applyBorder="0" applyAlignment="0" applyProtection="0"/>
    <xf numFmtId="164" fontId="7" fillId="0" borderId="0" applyFont="0" applyFill="0" applyBorder="0" applyAlignment="0" applyProtection="0"/>
    <xf numFmtId="164" fontId="7" fillId="0" borderId="0" applyFont="0" applyFill="0" applyBorder="0" applyAlignment="0" applyProtection="0"/>
    <xf numFmtId="164" fontId="7" fillId="0" borderId="0" applyFont="0" applyFill="0" applyBorder="0" applyAlignment="0" applyProtection="0"/>
    <xf numFmtId="164" fontId="7" fillId="0" borderId="0" applyFont="0" applyFill="0" applyBorder="0" applyAlignment="0" applyProtection="0"/>
    <xf numFmtId="0" fontId="9" fillId="0" borderId="0" applyNumberFormat="0" applyFill="0" applyBorder="0" applyAlignment="0" applyProtection="0">
      <alignment vertical="top"/>
      <protection locked="0"/>
    </xf>
    <xf numFmtId="0" fontId="44" fillId="25" borderId="0" applyNumberFormat="0" applyBorder="0" applyAlignment="0" applyProtection="0"/>
    <xf numFmtId="0" fontId="7" fillId="26" borderId="5" applyNumberFormat="0" applyFont="0" applyAlignment="0" applyProtection="0"/>
    <xf numFmtId="0" fontId="7" fillId="26" borderId="5" applyNumberFormat="0" applyFont="0" applyAlignment="0" applyProtection="0"/>
    <xf numFmtId="0" fontId="7" fillId="26" borderId="5" applyNumberFormat="0" applyFont="0" applyAlignment="0" applyProtection="0"/>
    <xf numFmtId="0" fontId="7" fillId="26" borderId="5" applyNumberFormat="0" applyFont="0" applyAlignment="0" applyProtection="0"/>
    <xf numFmtId="0" fontId="7" fillId="26" borderId="5" applyNumberFormat="0" applyFont="0" applyAlignment="0" applyProtection="0"/>
    <xf numFmtId="0" fontId="7" fillId="26" borderId="5" applyNumberFormat="0" applyFont="0" applyAlignment="0" applyProtection="0"/>
    <xf numFmtId="0" fontId="7" fillId="26" borderId="5" applyNumberFormat="0" applyFont="0" applyAlignment="0" applyProtection="0"/>
    <xf numFmtId="0" fontId="7" fillId="26" borderId="5" applyNumberFormat="0" applyFont="0" applyAlignment="0" applyProtection="0"/>
    <xf numFmtId="0" fontId="7" fillId="26" borderId="5" applyNumberFormat="0" applyFont="0" applyAlignment="0" applyProtection="0"/>
    <xf numFmtId="0" fontId="7" fillId="26" borderId="5" applyNumberFormat="0" applyFont="0" applyAlignment="0" applyProtection="0"/>
    <xf numFmtId="0" fontId="7" fillId="26" borderId="5" applyNumberFormat="0" applyFont="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0" fontId="45" fillId="3" borderId="0" applyNumberFormat="0" applyBorder="0" applyAlignment="0" applyProtection="0"/>
    <xf numFmtId="0" fontId="18" fillId="0" borderId="0"/>
    <xf numFmtId="0" fontId="7" fillId="0" borderId="0"/>
    <xf numFmtId="0" fontId="7" fillId="0" borderId="0"/>
    <xf numFmtId="0" fontId="142" fillId="0" borderId="0"/>
    <xf numFmtId="0" fontId="58" fillId="0" borderId="0"/>
    <xf numFmtId="0" fontId="7" fillId="0" borderId="0" applyProtection="0"/>
    <xf numFmtId="0" fontId="46" fillId="0" borderId="0" applyNumberFormat="0" applyFill="0" applyBorder="0" applyAlignment="0" applyProtection="0"/>
    <xf numFmtId="0" fontId="47" fillId="0" borderId="6" applyNumberFormat="0" applyFill="0" applyAlignment="0" applyProtection="0"/>
    <xf numFmtId="0" fontId="48" fillId="0" borderId="7" applyNumberFormat="0" applyFill="0" applyAlignment="0" applyProtection="0"/>
    <xf numFmtId="0" fontId="49" fillId="0" borderId="8" applyNumberFormat="0" applyFill="0" applyAlignment="0" applyProtection="0"/>
    <xf numFmtId="0" fontId="49" fillId="0" borderId="0" applyNumberFormat="0" applyFill="0" applyBorder="0" applyAlignment="0" applyProtection="0"/>
    <xf numFmtId="0" fontId="50" fillId="0" borderId="9" applyNumberFormat="0" applyFill="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0" fontId="51" fillId="0" borderId="0" applyNumberFormat="0" applyFill="0" applyBorder="0" applyAlignment="0" applyProtection="0"/>
    <xf numFmtId="0" fontId="52" fillId="27" borderId="10" applyNumberFormat="0" applyAlignment="0" applyProtection="0"/>
    <xf numFmtId="0" fontId="5" fillId="0" borderId="0"/>
    <xf numFmtId="9" fontId="174" fillId="0" borderId="0" applyFont="0" applyFill="0" applyBorder="0" applyAlignment="0" applyProtection="0"/>
  </cellStyleXfs>
  <cellXfs count="3537">
    <xf numFmtId="0" fontId="0" fillId="0" borderId="0" xfId="0"/>
    <xf numFmtId="0" fontId="0" fillId="0" borderId="0" xfId="0" applyAlignment="1">
      <alignment horizontal="center"/>
    </xf>
    <xf numFmtId="0" fontId="8" fillId="0" borderId="0" xfId="0" applyFont="1"/>
    <xf numFmtId="0" fontId="0" fillId="0" borderId="0" xfId="0" applyFill="1"/>
    <xf numFmtId="0" fontId="0" fillId="24" borderId="0" xfId="0" applyFill="1"/>
    <xf numFmtId="49" fontId="0" fillId="24" borderId="0" xfId="0" applyNumberFormat="1" applyFill="1"/>
    <xf numFmtId="0" fontId="0" fillId="0" borderId="0" xfId="0" applyBorder="1"/>
    <xf numFmtId="0" fontId="19" fillId="0" borderId="3" xfId="0" applyFont="1" applyBorder="1"/>
    <xf numFmtId="0" fontId="0" fillId="0" borderId="0" xfId="0" applyBorder="1" applyAlignment="1"/>
    <xf numFmtId="0" fontId="0" fillId="0" borderId="0" xfId="0" applyAlignment="1">
      <alignment vertical="center"/>
    </xf>
    <xf numFmtId="0" fontId="0" fillId="0" borderId="0" xfId="0" applyBorder="1" applyAlignment="1">
      <alignment horizontal="center"/>
    </xf>
    <xf numFmtId="0" fontId="0" fillId="0" borderId="0" xfId="0" applyBorder="1" applyAlignment="1">
      <alignment horizontal="right"/>
    </xf>
    <xf numFmtId="0" fontId="0" fillId="0" borderId="11" xfId="0" applyBorder="1"/>
    <xf numFmtId="0" fontId="7" fillId="0" borderId="0" xfId="0" applyFont="1"/>
    <xf numFmtId="0" fontId="8" fillId="0" borderId="0" xfId="0" applyFont="1" applyFill="1" applyBorder="1" applyAlignment="1">
      <alignment horizontal="center" vertical="center"/>
    </xf>
    <xf numFmtId="0" fontId="0" fillId="0" borderId="0" xfId="0" applyAlignment="1">
      <alignment horizontal="left" vertical="center"/>
    </xf>
    <xf numFmtId="0" fontId="0" fillId="0" borderId="0" xfId="0" applyAlignment="1">
      <alignment horizontal="right"/>
    </xf>
    <xf numFmtId="0" fontId="0" fillId="0" borderId="0" xfId="0" applyFill="1" applyBorder="1" applyAlignment="1">
      <alignment vertical="center"/>
    </xf>
    <xf numFmtId="0" fontId="14" fillId="0" borderId="0" xfId="0" applyFont="1"/>
    <xf numFmtId="0" fontId="0" fillId="0" borderId="12" xfId="0" applyBorder="1"/>
    <xf numFmtId="0" fontId="19" fillId="0" borderId="0" xfId="0" applyFont="1"/>
    <xf numFmtId="0" fontId="11" fillId="0" borderId="0" xfId="0" applyFont="1" applyAlignment="1">
      <alignment horizontal="center" vertical="center"/>
    </xf>
    <xf numFmtId="0" fontId="19" fillId="0" borderId="0" xfId="0" applyFont="1" applyBorder="1"/>
    <xf numFmtId="0" fontId="26" fillId="0" borderId="0" xfId="0" applyFont="1"/>
    <xf numFmtId="0" fontId="21" fillId="0" borderId="0" xfId="0" applyFont="1" applyBorder="1" applyAlignment="1">
      <alignment vertical="center"/>
    </xf>
    <xf numFmtId="0" fontId="21" fillId="0" borderId="13" xfId="0" applyFont="1" applyBorder="1" applyAlignment="1">
      <alignment horizontal="center"/>
    </xf>
    <xf numFmtId="0" fontId="21" fillId="0" borderId="0" xfId="0" applyFont="1"/>
    <xf numFmtId="0" fontId="19" fillId="0" borderId="0" xfId="0" applyFont="1" applyAlignment="1">
      <alignment horizontal="center"/>
    </xf>
    <xf numFmtId="0" fontId="19" fillId="0" borderId="0" xfId="0" applyNumberFormat="1" applyFont="1" applyFill="1" applyAlignment="1">
      <alignment horizontal="center"/>
    </xf>
    <xf numFmtId="49" fontId="19" fillId="0" borderId="3" xfId="0" applyNumberFormat="1" applyFont="1" applyBorder="1"/>
    <xf numFmtId="49" fontId="19" fillId="0" borderId="3" xfId="0" applyNumberFormat="1" applyFont="1" applyFill="1" applyBorder="1" applyAlignment="1">
      <alignment horizontal="center"/>
    </xf>
    <xf numFmtId="0" fontId="19" fillId="0" borderId="3" xfId="0" applyFont="1" applyBorder="1" applyAlignment="1">
      <alignment horizontal="center"/>
    </xf>
    <xf numFmtId="0" fontId="19" fillId="0" borderId="3" xfId="0" applyFont="1" applyFill="1" applyBorder="1" applyAlignment="1">
      <alignment horizontal="center"/>
    </xf>
    <xf numFmtId="0" fontId="19" fillId="22" borderId="3" xfId="0" applyNumberFormat="1" applyFont="1" applyFill="1" applyBorder="1"/>
    <xf numFmtId="0" fontId="19" fillId="0" borderId="0" xfId="0" applyFont="1" applyAlignment="1">
      <alignment horizontal="right"/>
    </xf>
    <xf numFmtId="0" fontId="27" fillId="0" borderId="0" xfId="0" applyFont="1"/>
    <xf numFmtId="0" fontId="0" fillId="0" borderId="0" xfId="0" applyAlignment="1">
      <alignment horizontal="left"/>
    </xf>
    <xf numFmtId="0" fontId="14" fillId="0" borderId="0" xfId="0" applyFont="1" applyAlignment="1">
      <alignment horizontal="right"/>
    </xf>
    <xf numFmtId="0" fontId="14" fillId="0" borderId="0" xfId="0" applyFont="1" applyBorder="1"/>
    <xf numFmtId="0" fontId="11" fillId="0" borderId="0" xfId="0" applyFont="1" applyBorder="1" applyAlignment="1">
      <alignment horizontal="center" vertical="center"/>
    </xf>
    <xf numFmtId="0" fontId="19" fillId="0" borderId="14" xfId="0" applyFont="1" applyBorder="1"/>
    <xf numFmtId="0" fontId="19" fillId="28" borderId="3" xfId="0" applyFont="1" applyFill="1" applyBorder="1"/>
    <xf numFmtId="0" fontId="19" fillId="28" borderId="3" xfId="0" applyFont="1" applyFill="1" applyBorder="1" applyAlignment="1">
      <alignment horizontal="center"/>
    </xf>
    <xf numFmtId="0" fontId="19" fillId="23" borderId="3" xfId="0" applyFont="1" applyFill="1" applyBorder="1"/>
    <xf numFmtId="0" fontId="19" fillId="23" borderId="3" xfId="0" applyFont="1" applyFill="1" applyBorder="1" applyAlignment="1">
      <alignment horizontal="center"/>
    </xf>
    <xf numFmtId="49" fontId="19" fillId="0" borderId="3" xfId="0" applyNumberFormat="1" applyFont="1" applyBorder="1" applyAlignment="1">
      <alignment horizontal="left"/>
    </xf>
    <xf numFmtId="0" fontId="19" fillId="0" borderId="3" xfId="0" applyFont="1" applyBorder="1" applyAlignment="1">
      <alignment horizontal="left"/>
    </xf>
    <xf numFmtId="0" fontId="28" fillId="0" borderId="0" xfId="0" applyFont="1" applyBorder="1" applyAlignment="1">
      <alignment vertical="center"/>
    </xf>
    <xf numFmtId="0" fontId="14" fillId="0" borderId="0" xfId="0" applyFont="1" applyBorder="1" applyAlignment="1">
      <alignment horizontal="center"/>
    </xf>
    <xf numFmtId="169" fontId="19" fillId="0" borderId="3" xfId="0" applyNumberFormat="1" applyFont="1" applyBorder="1" applyAlignment="1">
      <alignment horizontal="left"/>
    </xf>
    <xf numFmtId="0" fontId="19" fillId="0" borderId="0" xfId="0" applyFont="1" applyBorder="1" applyAlignment="1">
      <alignment horizontal="center"/>
    </xf>
    <xf numFmtId="0" fontId="19" fillId="0" borderId="0" xfId="0" applyFont="1" applyBorder="1" applyAlignment="1"/>
    <xf numFmtId="0" fontId="28" fillId="0" borderId="13" xfId="0" applyFont="1" applyBorder="1" applyAlignment="1">
      <alignment horizontal="center"/>
    </xf>
    <xf numFmtId="0" fontId="21" fillId="0" borderId="0" xfId="0" applyFont="1" applyAlignment="1">
      <alignment horizontal="center" vertical="center"/>
    </xf>
    <xf numFmtId="0" fontId="14" fillId="0" borderId="0" xfId="0" applyFont="1" applyAlignment="1">
      <alignment horizontal="center"/>
    </xf>
    <xf numFmtId="0" fontId="14" fillId="0" borderId="0" xfId="0" applyFont="1" applyBorder="1" applyAlignment="1"/>
    <xf numFmtId="0" fontId="14" fillId="0" borderId="14" xfId="0" applyFont="1" applyBorder="1"/>
    <xf numFmtId="0" fontId="19" fillId="0" borderId="0" xfId="0" applyFont="1" applyBorder="1" applyAlignment="1">
      <alignment horizontal="right"/>
    </xf>
    <xf numFmtId="0" fontId="28" fillId="0" borderId="0" xfId="0" applyFont="1" applyBorder="1" applyAlignment="1">
      <alignment horizontal="center" vertical="center"/>
    </xf>
    <xf numFmtId="0" fontId="21" fillId="0" borderId="0" xfId="0" applyFont="1" applyBorder="1" applyAlignment="1">
      <alignment horizontal="center"/>
    </xf>
    <xf numFmtId="0" fontId="19" fillId="0" borderId="3" xfId="0" applyFont="1" applyFill="1" applyBorder="1"/>
    <xf numFmtId="0" fontId="18" fillId="0" borderId="0" xfId="0" applyFont="1" applyAlignment="1">
      <alignment horizontal="left"/>
    </xf>
    <xf numFmtId="49" fontId="32" fillId="0" borderId="15" xfId="0" applyNumberFormat="1" applyFont="1" applyBorder="1" applyAlignment="1">
      <alignment horizontal="right"/>
    </xf>
    <xf numFmtId="0" fontId="32" fillId="0" borderId="15" xfId="0" applyFont="1" applyBorder="1" applyAlignment="1">
      <alignment horizontal="right"/>
    </xf>
    <xf numFmtId="0" fontId="32" fillId="0" borderId="15" xfId="0" applyFont="1" applyBorder="1"/>
    <xf numFmtId="0" fontId="32" fillId="0" borderId="0" xfId="0" applyFont="1"/>
    <xf numFmtId="49" fontId="32" fillId="0" borderId="3" xfId="0" applyNumberFormat="1" applyFont="1" applyBorder="1" applyAlignment="1">
      <alignment horizontal="right"/>
    </xf>
    <xf numFmtId="0" fontId="32" fillId="0" borderId="3" xfId="0" applyFont="1" applyBorder="1" applyAlignment="1">
      <alignment horizontal="right"/>
    </xf>
    <xf numFmtId="0" fontId="32" fillId="0" borderId="3" xfId="0" applyFont="1" applyBorder="1"/>
    <xf numFmtId="0" fontId="32" fillId="0" borderId="0" xfId="0" applyFont="1" applyAlignment="1">
      <alignment horizontal="center"/>
    </xf>
    <xf numFmtId="0" fontId="19" fillId="0" borderId="16" xfId="0" applyFont="1" applyBorder="1"/>
    <xf numFmtId="0" fontId="28" fillId="0" borderId="12" xfId="0" applyFont="1" applyBorder="1" applyAlignment="1">
      <alignment horizontal="center" vertical="center"/>
    </xf>
    <xf numFmtId="0" fontId="19" fillId="0" borderId="17" xfId="0" applyFont="1" applyBorder="1"/>
    <xf numFmtId="0" fontId="28" fillId="0" borderId="11" xfId="0" applyFont="1" applyBorder="1"/>
    <xf numFmtId="0" fontId="19" fillId="0" borderId="11" xfId="0" applyFont="1" applyBorder="1"/>
    <xf numFmtId="0" fontId="26" fillId="0" borderId="17" xfId="0" applyFont="1" applyBorder="1"/>
    <xf numFmtId="0" fontId="19" fillId="0" borderId="17" xfId="0" applyFont="1" applyBorder="1" applyAlignment="1">
      <alignment horizontal="center"/>
    </xf>
    <xf numFmtId="0" fontId="19" fillId="0" borderId="12" xfId="0" applyFont="1" applyBorder="1" applyAlignment="1">
      <alignment horizontal="center"/>
    </xf>
    <xf numFmtId="0" fontId="19" fillId="0" borderId="12" xfId="0" applyFont="1" applyBorder="1"/>
    <xf numFmtId="0" fontId="32" fillId="0" borderId="18" xfId="0" applyFont="1" applyBorder="1"/>
    <xf numFmtId="0" fontId="32" fillId="0" borderId="19" xfId="0" applyFont="1" applyBorder="1"/>
    <xf numFmtId="0" fontId="32" fillId="0" borderId="20" xfId="0" applyFont="1" applyBorder="1" applyAlignment="1">
      <alignment horizontal="right"/>
    </xf>
    <xf numFmtId="0" fontId="32" fillId="0" borderId="20" xfId="0" applyFont="1" applyBorder="1"/>
    <xf numFmtId="0" fontId="32" fillId="0" borderId="21" xfId="0" applyFont="1" applyBorder="1"/>
    <xf numFmtId="49" fontId="32" fillId="0" borderId="20" xfId="0" applyNumberFormat="1" applyFont="1" applyBorder="1" applyAlignment="1">
      <alignment horizontal="right"/>
    </xf>
    <xf numFmtId="0" fontId="19" fillId="0" borderId="3" xfId="0" applyFont="1" applyFill="1" applyBorder="1" applyAlignment="1">
      <alignment horizontal="right"/>
    </xf>
    <xf numFmtId="0" fontId="19" fillId="0" borderId="15" xfId="0" applyFont="1" applyFill="1" applyBorder="1" applyAlignment="1">
      <alignment horizontal="right"/>
    </xf>
    <xf numFmtId="0" fontId="19" fillId="0" borderId="15" xfId="0" applyFont="1" applyFill="1" applyBorder="1"/>
    <xf numFmtId="0" fontId="19" fillId="0" borderId="22" xfId="0" applyFont="1" applyFill="1" applyBorder="1"/>
    <xf numFmtId="0" fontId="19" fillId="0" borderId="23" xfId="0" applyFont="1" applyFill="1" applyBorder="1"/>
    <xf numFmtId="0" fontId="19" fillId="0" borderId="24" xfId="0" applyFont="1" applyFill="1" applyBorder="1"/>
    <xf numFmtId="49" fontId="19" fillId="0" borderId="3" xfId="0" applyNumberFormat="1" applyFont="1" applyFill="1" applyBorder="1" applyAlignment="1">
      <alignment horizontal="right"/>
    </xf>
    <xf numFmtId="49" fontId="32" fillId="0" borderId="25" xfId="0" applyNumberFormat="1" applyFont="1" applyBorder="1" applyAlignment="1">
      <alignment horizontal="left"/>
    </xf>
    <xf numFmtId="49" fontId="32" fillId="0" borderId="26" xfId="0" applyNumberFormat="1" applyFont="1" applyBorder="1" applyAlignment="1">
      <alignment horizontal="left"/>
    </xf>
    <xf numFmtId="49" fontId="32" fillId="0" borderId="14" xfId="0" applyNumberFormat="1" applyFont="1" applyBorder="1" applyAlignment="1">
      <alignment horizontal="left"/>
    </xf>
    <xf numFmtId="0" fontId="11" fillId="0" borderId="12" xfId="0" applyFont="1" applyBorder="1" applyAlignment="1">
      <alignment horizontal="center" vertical="center"/>
    </xf>
    <xf numFmtId="0" fontId="0" fillId="0" borderId="12" xfId="0" applyBorder="1" applyAlignment="1">
      <alignment horizontal="center"/>
    </xf>
    <xf numFmtId="0" fontId="21" fillId="0" borderId="11" xfId="0" applyFont="1" applyBorder="1"/>
    <xf numFmtId="0" fontId="19" fillId="0" borderId="27" xfId="0" applyFont="1" applyBorder="1"/>
    <xf numFmtId="0" fontId="19" fillId="0" borderId="28" xfId="0" applyFont="1" applyBorder="1"/>
    <xf numFmtId="0" fontId="19" fillId="0" borderId="20" xfId="0" applyFont="1" applyFill="1" applyBorder="1" applyAlignment="1">
      <alignment horizontal="right"/>
    </xf>
    <xf numFmtId="0" fontId="19" fillId="0" borderId="20" xfId="0" applyFont="1" applyFill="1" applyBorder="1"/>
    <xf numFmtId="0" fontId="19" fillId="0" borderId="29" xfId="0" applyFont="1" applyFill="1" applyBorder="1"/>
    <xf numFmtId="0" fontId="19" fillId="0" borderId="30" xfId="0" applyFont="1" applyBorder="1"/>
    <xf numFmtId="169" fontId="19" fillId="0" borderId="0" xfId="0" applyNumberFormat="1" applyFont="1" applyBorder="1" applyAlignment="1">
      <alignment horizontal="left"/>
    </xf>
    <xf numFmtId="0" fontId="0" fillId="29" borderId="0" xfId="0" applyFill="1" applyAlignment="1">
      <alignment horizontal="right" vertical="center"/>
    </xf>
    <xf numFmtId="49" fontId="19" fillId="0" borderId="20" xfId="0" applyNumberFormat="1" applyFont="1" applyFill="1" applyBorder="1" applyAlignment="1">
      <alignment horizontal="right"/>
    </xf>
    <xf numFmtId="0" fontId="0" fillId="0" borderId="0" xfId="0" applyAlignment="1"/>
    <xf numFmtId="0" fontId="25" fillId="0" borderId="0" xfId="0" applyFont="1"/>
    <xf numFmtId="49" fontId="0" fillId="0" borderId="0" xfId="0" applyNumberFormat="1" applyAlignment="1">
      <alignment horizontal="center"/>
    </xf>
    <xf numFmtId="0" fontId="19" fillId="20" borderId="0" xfId="0" applyFont="1" applyFill="1" applyBorder="1" applyAlignment="1">
      <alignment horizontal="center"/>
    </xf>
    <xf numFmtId="0" fontId="19" fillId="20" borderId="0" xfId="0" applyFont="1" applyFill="1" applyAlignment="1">
      <alignment horizontal="center"/>
    </xf>
    <xf numFmtId="0" fontId="0" fillId="24" borderId="33" xfId="0" applyFill="1" applyBorder="1" applyAlignment="1">
      <alignment horizontal="center"/>
    </xf>
    <xf numFmtId="0" fontId="0" fillId="0" borderId="0" xfId="0" applyBorder="1" applyAlignment="1">
      <alignment vertical="center"/>
    </xf>
    <xf numFmtId="0" fontId="0" fillId="0" borderId="0" xfId="0" applyAlignment="1">
      <alignment horizontal="left" vertical="center" wrapText="1"/>
    </xf>
    <xf numFmtId="0" fontId="8" fillId="0" borderId="3" xfId="0" applyFont="1" applyBorder="1" applyAlignment="1">
      <alignment horizontal="center"/>
    </xf>
    <xf numFmtId="0" fontId="7" fillId="0" borderId="0" xfId="0" applyFont="1" applyAlignment="1">
      <alignment horizontal="center"/>
    </xf>
    <xf numFmtId="0" fontId="0" fillId="0" borderId="0" xfId="0" applyFill="1" applyAlignment="1">
      <alignment horizontal="center"/>
    </xf>
    <xf numFmtId="0" fontId="0" fillId="0" borderId="0" xfId="0" applyNumberFormat="1" applyAlignment="1">
      <alignment horizontal="center"/>
    </xf>
    <xf numFmtId="0" fontId="25" fillId="0" borderId="0" xfId="0" applyFont="1" applyAlignment="1">
      <alignment horizontal="left"/>
    </xf>
    <xf numFmtId="0" fontId="25" fillId="0" borderId="0" xfId="0" applyFont="1" applyAlignment="1">
      <alignment horizontal="center"/>
    </xf>
    <xf numFmtId="0" fontId="0" fillId="0" borderId="34" xfId="0" applyBorder="1" applyAlignment="1">
      <alignment horizontal="left"/>
    </xf>
    <xf numFmtId="0" fontId="21" fillId="0" borderId="34" xfId="0" applyFont="1" applyBorder="1" applyAlignment="1">
      <alignment horizontal="center"/>
    </xf>
    <xf numFmtId="0" fontId="8" fillId="0" borderId="0" xfId="0" applyFont="1" applyAlignment="1">
      <alignment horizontal="center"/>
    </xf>
    <xf numFmtId="0" fontId="8" fillId="0" borderId="0" xfId="0" applyFont="1" applyAlignment="1">
      <alignment horizontal="left"/>
    </xf>
    <xf numFmtId="14" fontId="18" fillId="0" borderId="0" xfId="0" applyNumberFormat="1" applyFont="1" applyAlignment="1">
      <alignment horizontal="left"/>
    </xf>
    <xf numFmtId="0" fontId="18" fillId="0" borderId="0" xfId="0" applyFont="1" applyAlignment="1">
      <alignment horizontal="right"/>
    </xf>
    <xf numFmtId="49" fontId="8" fillId="0" borderId="3" xfId="0" applyNumberFormat="1" applyFont="1" applyBorder="1" applyAlignment="1">
      <alignment horizontal="center"/>
    </xf>
    <xf numFmtId="0" fontId="7" fillId="0" borderId="0" xfId="0" applyFont="1" applyAlignment="1">
      <alignment horizontal="right"/>
    </xf>
    <xf numFmtId="14" fontId="8" fillId="0" borderId="3" xfId="0" applyNumberFormat="1" applyFont="1" applyBorder="1" applyAlignment="1">
      <alignment horizontal="center"/>
    </xf>
    <xf numFmtId="0" fontId="21" fillId="0" borderId="0" xfId="0" applyFont="1" applyAlignment="1">
      <alignment vertical="center"/>
    </xf>
    <xf numFmtId="0" fontId="11" fillId="0" borderId="0" xfId="0" applyFont="1" applyAlignment="1">
      <alignment vertical="center"/>
    </xf>
    <xf numFmtId="0" fontId="8" fillId="0" borderId="0" xfId="0" applyFont="1" applyAlignment="1">
      <alignment vertical="center"/>
    </xf>
    <xf numFmtId="0" fontId="19" fillId="0" borderId="23" xfId="0" applyFont="1" applyFill="1" applyBorder="1" applyAlignment="1">
      <alignment horizontal="center"/>
    </xf>
    <xf numFmtId="49" fontId="20" fillId="0" borderId="3" xfId="0" applyNumberFormat="1" applyFont="1" applyFill="1" applyBorder="1" applyAlignment="1">
      <alignment horizontal="center" vertical="center"/>
    </xf>
    <xf numFmtId="0" fontId="8" fillId="0" borderId="0" xfId="0" applyFont="1" applyFill="1"/>
    <xf numFmtId="2" fontId="19" fillId="0" borderId="12" xfId="0" applyNumberFormat="1" applyFont="1" applyBorder="1"/>
    <xf numFmtId="2" fontId="28" fillId="0" borderId="0" xfId="0" applyNumberFormat="1" applyFont="1" applyBorder="1" applyAlignment="1">
      <alignment vertical="center"/>
    </xf>
    <xf numFmtId="2" fontId="19" fillId="0" borderId="0" xfId="0" applyNumberFormat="1" applyFont="1" applyBorder="1" applyAlignment="1">
      <alignment horizontal="right"/>
    </xf>
    <xf numFmtId="2" fontId="19" fillId="0" borderId="0" xfId="0" applyNumberFormat="1" applyFont="1" applyBorder="1"/>
    <xf numFmtId="2" fontId="28" fillId="0" borderId="13" xfId="0" applyNumberFormat="1" applyFont="1" applyBorder="1" applyAlignment="1">
      <alignment horizontal="center"/>
    </xf>
    <xf numFmtId="2" fontId="32" fillId="0" borderId="15" xfId="0" applyNumberFormat="1" applyFont="1" applyBorder="1" applyAlignment="1">
      <alignment horizontal="center"/>
    </xf>
    <xf numFmtId="2" fontId="32" fillId="0" borderId="3" xfId="0" applyNumberFormat="1" applyFont="1" applyBorder="1" applyAlignment="1">
      <alignment horizontal="center"/>
    </xf>
    <xf numFmtId="2" fontId="32" fillId="0" borderId="20" xfId="0" applyNumberFormat="1" applyFont="1" applyBorder="1" applyAlignment="1">
      <alignment horizontal="center"/>
    </xf>
    <xf numFmtId="2" fontId="19" fillId="0" borderId="0" xfId="0" applyNumberFormat="1" applyFont="1"/>
    <xf numFmtId="169" fontId="21" fillId="0" borderId="3" xfId="0" applyNumberFormat="1" applyFont="1" applyBorder="1" applyAlignment="1">
      <alignment horizontal="center"/>
    </xf>
    <xf numFmtId="49" fontId="21" fillId="0" borderId="3" xfId="0" applyNumberFormat="1" applyFont="1" applyBorder="1" applyAlignment="1">
      <alignment horizontal="center"/>
    </xf>
    <xf numFmtId="0" fontId="21" fillId="0" borderId="3" xfId="0" applyFont="1" applyBorder="1" applyAlignment="1">
      <alignment horizontal="center"/>
    </xf>
    <xf numFmtId="0" fontId="21" fillId="0" borderId="0" xfId="0" applyFont="1" applyBorder="1"/>
    <xf numFmtId="0" fontId="32" fillId="0" borderId="15" xfId="0" applyFont="1" applyBorder="1" applyAlignment="1">
      <alignment horizontal="center"/>
    </xf>
    <xf numFmtId="0" fontId="32" fillId="0" borderId="3" xfId="0" applyFont="1" applyBorder="1" applyAlignment="1">
      <alignment horizontal="center"/>
    </xf>
    <xf numFmtId="0" fontId="32" fillId="0" borderId="20" xfId="0" applyFont="1" applyBorder="1" applyAlignment="1">
      <alignment horizontal="center"/>
    </xf>
    <xf numFmtId="2" fontId="19" fillId="0" borderId="0" xfId="0" applyNumberFormat="1" applyFont="1" applyFill="1" applyBorder="1"/>
    <xf numFmtId="0" fontId="0" fillId="0" borderId="0" xfId="0" applyAlignment="1">
      <alignment wrapText="1"/>
    </xf>
    <xf numFmtId="0" fontId="0" fillId="0" borderId="0" xfId="0" applyAlignment="1">
      <alignment horizontal="center" wrapText="1"/>
    </xf>
    <xf numFmtId="0" fontId="0" fillId="31" borderId="0" xfId="0" applyFill="1" applyAlignment="1">
      <alignment horizontal="center"/>
    </xf>
    <xf numFmtId="165" fontId="0" fillId="0" borderId="0" xfId="0" applyNumberFormat="1" applyAlignment="1">
      <alignment horizontal="center"/>
    </xf>
    <xf numFmtId="0" fontId="8" fillId="0" borderId="0" xfId="0" applyFont="1" applyAlignment="1">
      <alignment wrapText="1"/>
    </xf>
    <xf numFmtId="0" fontId="18" fillId="0" borderId="0" xfId="0" applyFont="1" applyAlignment="1">
      <alignment wrapText="1"/>
    </xf>
    <xf numFmtId="0" fontId="8" fillId="0" borderId="0" xfId="0" applyFont="1" applyAlignment="1">
      <alignment horizontal="center" wrapText="1"/>
    </xf>
    <xf numFmtId="0" fontId="18" fillId="32" borderId="0" xfId="0" applyFont="1" applyFill="1" applyAlignment="1">
      <alignment wrapText="1"/>
    </xf>
    <xf numFmtId="170" fontId="0" fillId="0" borderId="0" xfId="0" applyNumberFormat="1" applyAlignment="1">
      <alignment horizontal="center"/>
    </xf>
    <xf numFmtId="170" fontId="8" fillId="32" borderId="0" xfId="0" applyNumberFormat="1" applyFont="1" applyFill="1" applyAlignment="1">
      <alignment horizontal="center"/>
    </xf>
    <xf numFmtId="0" fontId="8" fillId="0" borderId="0" xfId="0" applyFont="1" applyAlignment="1">
      <alignment horizontal="left" wrapText="1"/>
    </xf>
    <xf numFmtId="170" fontId="8" fillId="0" borderId="0" xfId="0" applyNumberFormat="1" applyFont="1" applyAlignment="1">
      <alignment horizontal="center"/>
    </xf>
    <xf numFmtId="170" fontId="8" fillId="33" borderId="0" xfId="0" applyNumberFormat="1" applyFont="1" applyFill="1" applyAlignment="1">
      <alignment horizontal="center" wrapText="1"/>
    </xf>
    <xf numFmtId="0" fontId="18" fillId="0" borderId="0" xfId="0" applyFont="1" applyAlignment="1">
      <alignment horizontal="center"/>
    </xf>
    <xf numFmtId="170" fontId="0" fillId="0" borderId="0" xfId="0" applyNumberFormat="1" applyFill="1" applyAlignment="1">
      <alignment horizontal="center"/>
    </xf>
    <xf numFmtId="0" fontId="8" fillId="0" borderId="0" xfId="0" applyFont="1" applyFill="1" applyAlignment="1">
      <alignment wrapText="1"/>
    </xf>
    <xf numFmtId="170" fontId="18" fillId="0" borderId="0" xfId="0" applyNumberFormat="1" applyFont="1" applyFill="1" applyAlignment="1">
      <alignment horizontal="left" wrapText="1"/>
    </xf>
    <xf numFmtId="170" fontId="8" fillId="0" borderId="0" xfId="0" applyNumberFormat="1" applyFont="1" applyAlignment="1">
      <alignment horizontal="left" wrapText="1"/>
    </xf>
    <xf numFmtId="170" fontId="0" fillId="0" borderId="0" xfId="0" applyNumberFormat="1" applyAlignment="1">
      <alignment horizontal="left" wrapText="1"/>
    </xf>
    <xf numFmtId="0" fontId="0" fillId="33" borderId="0" xfId="0" applyFill="1" applyAlignment="1">
      <alignment horizontal="left" wrapText="1"/>
    </xf>
    <xf numFmtId="0" fontId="18" fillId="33" borderId="0" xfId="0" applyFont="1" applyFill="1" applyAlignment="1">
      <alignment horizontal="left" wrapText="1"/>
    </xf>
    <xf numFmtId="0" fontId="8" fillId="0" borderId="0" xfId="0" applyFont="1" applyFill="1" applyAlignment="1">
      <alignment horizontal="left" wrapText="1"/>
    </xf>
    <xf numFmtId="170" fontId="18" fillId="33" borderId="0" xfId="0" applyNumberFormat="1" applyFont="1" applyFill="1" applyAlignment="1">
      <alignment horizontal="left" wrapText="1"/>
    </xf>
    <xf numFmtId="170" fontId="18" fillId="0" borderId="0" xfId="0" applyNumberFormat="1" applyFont="1" applyAlignment="1">
      <alignment horizontal="left" wrapText="1"/>
    </xf>
    <xf numFmtId="170" fontId="0" fillId="33" borderId="0" xfId="0" applyNumberFormat="1" applyFill="1" applyAlignment="1">
      <alignment horizontal="left" wrapText="1"/>
    </xf>
    <xf numFmtId="0" fontId="0" fillId="32" borderId="0" xfId="0" applyFill="1" applyAlignment="1">
      <alignment wrapText="1"/>
    </xf>
    <xf numFmtId="170" fontId="18" fillId="0" borderId="0" xfId="0" applyNumberFormat="1" applyFont="1" applyAlignment="1">
      <alignment horizontal="center"/>
    </xf>
    <xf numFmtId="170" fontId="8" fillId="0" borderId="0" xfId="0" applyNumberFormat="1" applyFont="1" applyAlignment="1">
      <alignment horizontal="left"/>
    </xf>
    <xf numFmtId="170" fontId="0" fillId="0" borderId="0" xfId="0" applyNumberFormat="1" applyAlignment="1">
      <alignment horizontal="left"/>
    </xf>
    <xf numFmtId="170" fontId="18" fillId="0" borderId="0" xfId="0" applyNumberFormat="1" applyFont="1" applyAlignment="1">
      <alignment horizontal="left"/>
    </xf>
    <xf numFmtId="170" fontId="8" fillId="32" borderId="0" xfId="0" applyNumberFormat="1" applyFont="1" applyFill="1" applyAlignment="1">
      <alignment horizontal="left"/>
    </xf>
    <xf numFmtId="170" fontId="8" fillId="33" borderId="0" xfId="0" applyNumberFormat="1" applyFont="1" applyFill="1" applyAlignment="1">
      <alignment horizontal="left" wrapText="1"/>
    </xf>
    <xf numFmtId="170" fontId="18" fillId="32" borderId="0" xfId="0" applyNumberFormat="1" applyFont="1" applyFill="1" applyAlignment="1">
      <alignment horizontal="left"/>
    </xf>
    <xf numFmtId="171" fontId="0" fillId="0" borderId="0" xfId="0" applyNumberFormat="1" applyAlignment="1">
      <alignment horizontal="center" wrapText="1"/>
    </xf>
    <xf numFmtId="170" fontId="0" fillId="34" borderId="0" xfId="0" applyNumberFormat="1" applyFill="1" applyAlignment="1">
      <alignment horizontal="center"/>
    </xf>
    <xf numFmtId="170" fontId="8" fillId="34" borderId="0" xfId="0" applyNumberFormat="1" applyFont="1" applyFill="1" applyAlignment="1">
      <alignment horizontal="center" wrapText="1"/>
    </xf>
    <xf numFmtId="0" fontId="8" fillId="34" borderId="0" xfId="0" applyFont="1" applyFill="1" applyAlignment="1">
      <alignment wrapText="1"/>
    </xf>
    <xf numFmtId="0" fontId="0" fillId="0" borderId="0" xfId="0" applyAlignment="1">
      <alignment horizontal="right" vertical="center"/>
    </xf>
    <xf numFmtId="0" fontId="0" fillId="31" borderId="3" xfId="0" applyFill="1" applyBorder="1" applyAlignment="1">
      <alignment horizontal="center" vertical="center"/>
    </xf>
    <xf numFmtId="0" fontId="0" fillId="33" borderId="3" xfId="0"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right" vertical="center"/>
    </xf>
    <xf numFmtId="0" fontId="0" fillId="29" borderId="3" xfId="0" applyFill="1" applyBorder="1" applyAlignment="1">
      <alignment horizontal="center" vertical="center"/>
    </xf>
    <xf numFmtId="0" fontId="0" fillId="0" borderId="0" xfId="0" applyAlignment="1">
      <alignment horizontal="right" vertical="center" wrapText="1"/>
    </xf>
    <xf numFmtId="0" fontId="18" fillId="0" borderId="0" xfId="0" applyFont="1" applyAlignment="1">
      <alignment horizontal="right" vertical="center"/>
    </xf>
    <xf numFmtId="0" fontId="18" fillId="29" borderId="0" xfId="0" applyFont="1" applyFill="1"/>
    <xf numFmtId="0" fontId="7" fillId="35" borderId="0" xfId="0" applyFont="1" applyFill="1" applyAlignment="1">
      <alignment horizontal="center"/>
    </xf>
    <xf numFmtId="0" fontId="7" fillId="0" borderId="0" xfId="0" applyFont="1" applyFill="1" applyAlignment="1">
      <alignment horizontal="center"/>
    </xf>
    <xf numFmtId="49" fontId="12" fillId="0" borderId="3" xfId="0" applyNumberFormat="1" applyFont="1" applyFill="1" applyBorder="1" applyAlignment="1">
      <alignment horizontal="center" vertical="center"/>
    </xf>
    <xf numFmtId="0" fontId="14" fillId="0" borderId="3" xfId="0" applyFont="1" applyFill="1" applyBorder="1" applyAlignment="1">
      <alignment horizontal="center"/>
    </xf>
    <xf numFmtId="49" fontId="19" fillId="0" borderId="3" xfId="0" applyNumberFormat="1" applyFont="1" applyBorder="1" applyAlignment="1">
      <alignment horizontal="center"/>
    </xf>
    <xf numFmtId="169" fontId="19" fillId="0" borderId="3" xfId="0" applyNumberFormat="1" applyFont="1" applyBorder="1" applyAlignment="1">
      <alignment horizontal="center"/>
    </xf>
    <xf numFmtId="0" fontId="19" fillId="0" borderId="15" xfId="0" applyFont="1" applyFill="1" applyBorder="1" applyAlignment="1">
      <alignment horizontal="center"/>
    </xf>
    <xf numFmtId="0" fontId="19" fillId="0" borderId="20" xfId="0" applyFont="1" applyFill="1" applyBorder="1" applyAlignment="1">
      <alignment horizontal="center"/>
    </xf>
    <xf numFmtId="0" fontId="18" fillId="0" borderId="0" xfId="96" applyFont="1"/>
    <xf numFmtId="0" fontId="24" fillId="0" borderId="0" xfId="96" applyFont="1" applyAlignment="1">
      <alignment vertical="center"/>
    </xf>
    <xf numFmtId="0" fontId="11" fillId="0" borderId="0" xfId="96" applyFont="1" applyAlignment="1">
      <alignment horizontal="right" vertical="center"/>
    </xf>
    <xf numFmtId="172" fontId="11" fillId="0" borderId="14" xfId="96" applyNumberFormat="1" applyFont="1" applyFill="1" applyBorder="1" applyAlignment="1" applyProtection="1">
      <alignment horizontal="left" vertical="center"/>
      <protection locked="0"/>
    </xf>
    <xf numFmtId="0" fontId="18" fillId="0" borderId="0" xfId="96" applyFont="1" applyAlignment="1">
      <alignment vertical="center"/>
    </xf>
    <xf numFmtId="0" fontId="24" fillId="0" borderId="0" xfId="96" applyFont="1"/>
    <xf numFmtId="0" fontId="24" fillId="0" borderId="0" xfId="96" applyFont="1" applyAlignment="1">
      <alignment horizontal="left" vertical="center"/>
    </xf>
    <xf numFmtId="0" fontId="18" fillId="0" borderId="0" xfId="96" applyFont="1" applyBorder="1"/>
    <xf numFmtId="0" fontId="18" fillId="0" borderId="0" xfId="96" applyBorder="1" applyAlignment="1"/>
    <xf numFmtId="0" fontId="11" fillId="0" borderId="3" xfId="96" applyFont="1" applyFill="1" applyBorder="1" applyAlignment="1" applyProtection="1">
      <alignment horizontal="center" vertical="center"/>
      <protection locked="0"/>
    </xf>
    <xf numFmtId="0" fontId="25" fillId="0" borderId="0" xfId="96" applyFont="1" applyBorder="1" applyAlignment="1">
      <alignment horizontal="right" vertical="center"/>
    </xf>
    <xf numFmtId="0" fontId="18" fillId="0" borderId="0" xfId="96" applyFont="1" applyAlignment="1">
      <alignment horizontal="right"/>
    </xf>
    <xf numFmtId="169" fontId="11" fillId="0" borderId="3" xfId="96" applyNumberFormat="1" applyFont="1" applyBorder="1" applyAlignment="1">
      <alignment horizontal="center" vertical="center"/>
    </xf>
    <xf numFmtId="0" fontId="14" fillId="0" borderId="0" xfId="96" applyFont="1"/>
    <xf numFmtId="49" fontId="14" fillId="0" borderId="0" xfId="96" applyNumberFormat="1" applyFont="1" applyFill="1" applyAlignment="1">
      <alignment horizontal="center"/>
    </xf>
    <xf numFmtId="0" fontId="11" fillId="0" borderId="0" xfId="96" applyFont="1" applyAlignment="1">
      <alignment vertical="center" wrapText="1"/>
    </xf>
    <xf numFmtId="0" fontId="11" fillId="0" borderId="0" xfId="96" applyFont="1" applyAlignment="1">
      <alignment vertical="center"/>
    </xf>
    <xf numFmtId="1" fontId="11" fillId="0" borderId="3" xfId="96" applyNumberFormat="1" applyFont="1" applyFill="1" applyBorder="1" applyAlignment="1" applyProtection="1">
      <alignment horizontal="center" vertical="center"/>
      <protection locked="0"/>
    </xf>
    <xf numFmtId="0" fontId="24" fillId="0" borderId="0" xfId="96" applyFont="1" applyFill="1" applyBorder="1" applyAlignment="1">
      <alignment vertical="center"/>
    </xf>
    <xf numFmtId="0" fontId="24" fillId="0" borderId="0" xfId="96" applyFont="1" applyAlignment="1">
      <alignment horizontal="right" vertical="center"/>
    </xf>
    <xf numFmtId="173" fontId="14" fillId="0" borderId="0" xfId="96" applyNumberFormat="1" applyFont="1" applyAlignment="1">
      <alignment horizontal="left" vertical="center"/>
    </xf>
    <xf numFmtId="0" fontId="11" fillId="0" borderId="0" xfId="96" applyFont="1" applyFill="1" applyBorder="1" applyAlignment="1">
      <alignment horizontal="center" vertical="center"/>
    </xf>
    <xf numFmtId="169" fontId="11" fillId="0" borderId="0" xfId="96" applyNumberFormat="1" applyFont="1" applyBorder="1" applyAlignment="1">
      <alignment horizontal="center" vertical="center"/>
    </xf>
    <xf numFmtId="0" fontId="11" fillId="0" borderId="0" xfId="96" applyFont="1" applyFill="1" applyBorder="1" applyAlignment="1">
      <alignment vertical="center"/>
    </xf>
    <xf numFmtId="0" fontId="60" fillId="0" borderId="0" xfId="96" applyFont="1" applyBorder="1" applyAlignment="1">
      <alignment horizontal="center" vertical="center"/>
    </xf>
    <xf numFmtId="0" fontId="61" fillId="0" borderId="0" xfId="96" applyFont="1" applyBorder="1" applyAlignment="1">
      <alignment horizontal="center" vertical="center"/>
    </xf>
    <xf numFmtId="0" fontId="24" fillId="0" borderId="35" xfId="96" applyFont="1" applyFill="1" applyBorder="1" applyAlignment="1">
      <alignment horizontal="center" vertical="center"/>
    </xf>
    <xf numFmtId="0" fontId="21" fillId="0" borderId="0" xfId="96" applyNumberFormat="1" applyFont="1" applyFill="1" applyBorder="1" applyAlignment="1">
      <alignment horizontal="left" vertical="center"/>
    </xf>
    <xf numFmtId="0" fontId="24" fillId="0" borderId="0" xfId="96" applyNumberFormat="1" applyFont="1" applyFill="1" applyBorder="1" applyAlignment="1">
      <alignment horizontal="left" vertical="top"/>
    </xf>
    <xf numFmtId="174" fontId="24" fillId="0" borderId="0" xfId="70" applyNumberFormat="1" applyFont="1" applyFill="1" applyBorder="1" applyAlignment="1" applyProtection="1">
      <alignment horizontal="center" vertical="center"/>
      <protection locked="0"/>
    </xf>
    <xf numFmtId="175" fontId="54" fillId="0" borderId="0" xfId="70" applyNumberFormat="1" applyFont="1" applyFill="1" applyBorder="1" applyAlignment="1" applyProtection="1">
      <alignment horizontal="center" vertical="center"/>
      <protection locked="0"/>
    </xf>
    <xf numFmtId="2" fontId="24" fillId="0" borderId="0" xfId="96" applyNumberFormat="1" applyFont="1" applyFill="1" applyBorder="1" applyAlignment="1">
      <alignment horizontal="center" vertical="top"/>
    </xf>
    <xf numFmtId="0" fontId="25" fillId="0" borderId="0" xfId="96" applyFont="1" applyFill="1" applyBorder="1" applyAlignment="1">
      <alignment horizontal="center" vertical="top"/>
    </xf>
    <xf numFmtId="0" fontId="21" fillId="0" borderId="0" xfId="96" applyFont="1" applyFill="1" applyBorder="1" applyAlignment="1">
      <alignment horizontal="center" vertical="center"/>
    </xf>
    <xf numFmtId="0" fontId="18" fillId="0" borderId="0" xfId="96" applyFont="1" applyAlignment="1"/>
    <xf numFmtId="49" fontId="24" fillId="0" borderId="0" xfId="70" applyNumberFormat="1" applyFont="1" applyFill="1" applyBorder="1" applyAlignment="1" applyProtection="1">
      <alignment horizontal="left" vertical="center"/>
      <protection locked="0"/>
    </xf>
    <xf numFmtId="175" fontId="25" fillId="0" borderId="0" xfId="70" applyNumberFormat="1" applyFont="1" applyFill="1" applyBorder="1" applyAlignment="1" applyProtection="1">
      <alignment horizontal="center" vertical="center"/>
      <protection locked="0"/>
    </xf>
    <xf numFmtId="0" fontId="24" fillId="0" borderId="0" xfId="96" applyFont="1" applyFill="1" applyBorder="1" applyAlignment="1"/>
    <xf numFmtId="0" fontId="21" fillId="0" borderId="0" xfId="70" applyNumberFormat="1" applyFont="1" applyFill="1" applyBorder="1" applyAlignment="1" applyProtection="1">
      <alignment horizontal="right" vertical="center"/>
      <protection locked="0"/>
    </xf>
    <xf numFmtId="0" fontId="21" fillId="0" borderId="0" xfId="96" applyFont="1" applyFill="1" applyBorder="1" applyAlignment="1">
      <alignment horizontal="left" vertical="center"/>
    </xf>
    <xf numFmtId="0" fontId="21" fillId="0" borderId="0" xfId="70" applyNumberFormat="1" applyFont="1" applyFill="1" applyBorder="1" applyAlignment="1" applyProtection="1">
      <alignment horizontal="left" vertical="center"/>
      <protection locked="0"/>
    </xf>
    <xf numFmtId="0" fontId="21" fillId="0" borderId="0" xfId="96" applyNumberFormat="1" applyFont="1" applyFill="1" applyBorder="1" applyAlignment="1">
      <alignment horizontal="center" vertical="center"/>
    </xf>
    <xf numFmtId="0" fontId="21" fillId="0" borderId="0" xfId="96" applyNumberFormat="1" applyFont="1" applyFill="1" applyBorder="1" applyAlignment="1">
      <alignment horizontal="right" vertical="center"/>
    </xf>
    <xf numFmtId="0" fontId="21" fillId="0" borderId="0" xfId="96" applyNumberFormat="1" applyFont="1" applyFill="1" applyBorder="1" applyAlignment="1">
      <alignment horizontal="left" vertical="center" indent="2"/>
    </xf>
    <xf numFmtId="0" fontId="24" fillId="0" borderId="36" xfId="96" applyFont="1" applyFill="1" applyBorder="1" applyAlignment="1">
      <alignment horizontal="center" vertical="center"/>
    </xf>
    <xf numFmtId="0" fontId="21" fillId="0" borderId="37" xfId="96" applyNumberFormat="1" applyFont="1" applyFill="1" applyBorder="1" applyAlignment="1">
      <alignment horizontal="right" vertical="center"/>
    </xf>
    <xf numFmtId="0" fontId="21" fillId="0" borderId="37" xfId="96" applyNumberFormat="1" applyFont="1" applyFill="1" applyBorder="1" applyAlignment="1">
      <alignment horizontal="left" vertical="center" indent="2"/>
    </xf>
    <xf numFmtId="0" fontId="24" fillId="0" borderId="37" xfId="96" applyNumberFormat="1" applyFont="1" applyFill="1" applyBorder="1" applyAlignment="1">
      <alignment horizontal="left" vertical="top"/>
    </xf>
    <xf numFmtId="174" fontId="24" fillId="0" borderId="37" xfId="70" applyNumberFormat="1" applyFont="1" applyFill="1" applyBorder="1" applyAlignment="1" applyProtection="1">
      <alignment horizontal="center" vertical="center"/>
      <protection locked="0"/>
    </xf>
    <xf numFmtId="175" fontId="54" fillId="0" borderId="37" xfId="70" applyNumberFormat="1" applyFont="1" applyFill="1" applyBorder="1" applyAlignment="1" applyProtection="1">
      <alignment horizontal="center" vertical="center"/>
      <protection locked="0"/>
    </xf>
    <xf numFmtId="2" fontId="24" fillId="0" borderId="37" xfId="96" applyNumberFormat="1" applyFont="1" applyFill="1" applyBorder="1" applyAlignment="1">
      <alignment horizontal="center" vertical="top"/>
    </xf>
    <xf numFmtId="0" fontId="25" fillId="0" borderId="37" xfId="96" applyFont="1" applyFill="1" applyBorder="1" applyAlignment="1">
      <alignment horizontal="center" vertical="top"/>
    </xf>
    <xf numFmtId="0" fontId="8" fillId="0" borderId="16" xfId="96" applyFont="1" applyFill="1" applyBorder="1"/>
    <xf numFmtId="0" fontId="8" fillId="0" borderId="12" xfId="96" applyFont="1" applyFill="1" applyBorder="1"/>
    <xf numFmtId="0" fontId="25" fillId="0" borderId="12" xfId="96" applyFont="1" applyFill="1" applyBorder="1" applyAlignment="1">
      <alignment horizontal="center" vertical="center"/>
    </xf>
    <xf numFmtId="0" fontId="11" fillId="0" borderId="12" xfId="96" applyFont="1" applyFill="1" applyBorder="1" applyAlignment="1">
      <alignment horizontal="center" vertical="center"/>
    </xf>
    <xf numFmtId="0" fontId="8" fillId="0" borderId="38" xfId="96" applyFont="1" applyFill="1" applyBorder="1" applyAlignment="1">
      <alignment horizontal="center"/>
    </xf>
    <xf numFmtId="0" fontId="8" fillId="0" borderId="39" xfId="96" applyFont="1" applyFill="1" applyBorder="1" applyAlignment="1">
      <alignment horizontal="center"/>
    </xf>
    <xf numFmtId="0" fontId="8" fillId="0" borderId="40" xfId="96" applyFont="1" applyFill="1" applyBorder="1"/>
    <xf numFmtId="0" fontId="8" fillId="0" borderId="0" xfId="96" applyFont="1" applyFill="1" applyBorder="1"/>
    <xf numFmtId="0" fontId="8" fillId="0" borderId="0" xfId="96" applyFont="1" applyFill="1"/>
    <xf numFmtId="0" fontId="8" fillId="0" borderId="0" xfId="96" applyFont="1" applyFill="1" applyAlignment="1">
      <alignment horizontal="center"/>
    </xf>
    <xf numFmtId="0" fontId="21" fillId="0" borderId="17" xfId="96" applyFont="1" applyFill="1" applyBorder="1" applyAlignment="1">
      <alignment vertical="center"/>
    </xf>
    <xf numFmtId="0" fontId="21" fillId="0" borderId="0" xfId="96" applyFont="1" applyFill="1" applyBorder="1" applyAlignment="1">
      <alignment vertical="center"/>
    </xf>
    <xf numFmtId="0" fontId="8" fillId="0" borderId="0" xfId="96" applyFont="1" applyFill="1" applyBorder="1" applyAlignment="1">
      <alignment vertical="center"/>
    </xf>
    <xf numFmtId="0" fontId="8" fillId="0" borderId="11" xfId="96" applyFont="1" applyFill="1" applyBorder="1" applyAlignment="1">
      <alignment vertical="center"/>
    </xf>
    <xf numFmtId="0" fontId="8" fillId="0" borderId="0" xfId="96" applyFont="1" applyFill="1" applyAlignment="1">
      <alignment vertical="center"/>
    </xf>
    <xf numFmtId="0" fontId="8" fillId="0" borderId="0" xfId="96" applyFont="1" applyFill="1" applyAlignment="1">
      <alignment horizontal="center" vertical="center"/>
    </xf>
    <xf numFmtId="0" fontId="8" fillId="0" borderId="17" xfId="96" applyFont="1" applyFill="1" applyBorder="1"/>
    <xf numFmtId="0" fontId="21" fillId="0" borderId="0" xfId="96" applyFont="1" applyFill="1" applyBorder="1" applyAlignment="1">
      <alignment horizontal="right" vertical="center"/>
    </xf>
    <xf numFmtId="0" fontId="21" fillId="0" borderId="35" xfId="96" applyFont="1" applyFill="1" applyBorder="1" applyAlignment="1">
      <alignment horizontal="center" vertical="center"/>
    </xf>
    <xf numFmtId="0" fontId="8" fillId="0" borderId="11" xfId="96" applyFont="1" applyFill="1" applyBorder="1"/>
    <xf numFmtId="0" fontId="8" fillId="0" borderId="17" xfId="96" applyFont="1" applyFill="1" applyBorder="1" applyAlignment="1">
      <alignment vertical="center"/>
    </xf>
    <xf numFmtId="0" fontId="21" fillId="0" borderId="0" xfId="96" applyFont="1" applyFill="1" applyAlignment="1">
      <alignment horizontal="center" vertical="center"/>
    </xf>
    <xf numFmtId="0" fontId="14" fillId="0" borderId="0" xfId="96" applyFont="1" applyFill="1" applyBorder="1" applyAlignment="1">
      <alignment horizontal="center" vertical="center"/>
    </xf>
    <xf numFmtId="0" fontId="8" fillId="0" borderId="0" xfId="96" applyFont="1" applyFill="1" applyBorder="1" applyAlignment="1">
      <alignment horizontal="left" vertical="center"/>
    </xf>
    <xf numFmtId="0" fontId="18" fillId="0" borderId="0" xfId="96" applyFont="1" applyFill="1" applyBorder="1" applyAlignment="1">
      <alignment vertical="center"/>
    </xf>
    <xf numFmtId="0" fontId="21" fillId="20" borderId="0" xfId="96" applyFont="1" applyFill="1" applyBorder="1" applyAlignment="1">
      <alignment horizontal="center"/>
    </xf>
    <xf numFmtId="14" fontId="21" fillId="0" borderId="0" xfId="96" applyNumberFormat="1" applyFont="1" applyFill="1" applyBorder="1" applyAlignment="1">
      <alignment horizontal="center" vertical="center"/>
    </xf>
    <xf numFmtId="0" fontId="21" fillId="0" borderId="41" xfId="96" applyFont="1" applyFill="1" applyBorder="1" applyAlignment="1">
      <alignment vertical="center"/>
    </xf>
    <xf numFmtId="0" fontId="21" fillId="0" borderId="34" xfId="96" applyFont="1" applyFill="1" applyBorder="1" applyAlignment="1">
      <alignment vertical="center"/>
    </xf>
    <xf numFmtId="0" fontId="8" fillId="0" borderId="34" xfId="96" applyFont="1" applyFill="1" applyBorder="1" applyAlignment="1">
      <alignment vertical="center"/>
    </xf>
    <xf numFmtId="0" fontId="8" fillId="0" borderId="34" xfId="96" applyFont="1" applyFill="1" applyBorder="1"/>
    <xf numFmtId="0" fontId="21" fillId="0" borderId="34" xfId="96" applyFont="1" applyFill="1" applyBorder="1" applyAlignment="1">
      <alignment horizontal="center" vertical="center"/>
    </xf>
    <xf numFmtId="0" fontId="21" fillId="0" borderId="34" xfId="96" applyFont="1" applyFill="1" applyBorder="1" applyAlignment="1">
      <alignment horizontal="left" vertical="center"/>
    </xf>
    <xf numFmtId="14" fontId="21" fillId="0" borderId="34" xfId="96" applyNumberFormat="1" applyFont="1" applyFill="1" applyBorder="1" applyAlignment="1">
      <alignment horizontal="center" vertical="center"/>
    </xf>
    <xf numFmtId="0" fontId="8" fillId="0" borderId="42" xfId="96" applyFont="1" applyFill="1" applyBorder="1"/>
    <xf numFmtId="0" fontId="14" fillId="0" borderId="16" xfId="96" applyFont="1" applyFill="1" applyBorder="1" applyAlignment="1">
      <alignment vertical="center"/>
    </xf>
    <xf numFmtId="0" fontId="14" fillId="0" borderId="12" xfId="96" applyFont="1" applyFill="1" applyBorder="1" applyAlignment="1">
      <alignment vertical="center"/>
    </xf>
    <xf numFmtId="0" fontId="18" fillId="0" borderId="12" xfId="96" applyFont="1" applyFill="1" applyBorder="1" applyAlignment="1">
      <alignment vertical="center"/>
    </xf>
    <xf numFmtId="0" fontId="18" fillId="0" borderId="12" xfId="96" applyFont="1" applyFill="1" applyBorder="1"/>
    <xf numFmtId="0" fontId="18" fillId="0" borderId="40" xfId="96" applyFont="1" applyFill="1" applyBorder="1"/>
    <xf numFmtId="0" fontId="18" fillId="0" borderId="0" xfId="96" applyFont="1" applyFill="1" applyBorder="1"/>
    <xf numFmtId="0" fontId="18" fillId="0" borderId="0" xfId="96" applyFont="1" applyFill="1"/>
    <xf numFmtId="0" fontId="18" fillId="0" borderId="0" xfId="96" applyFont="1" applyFill="1" applyAlignment="1">
      <alignment horizontal="center"/>
    </xf>
    <xf numFmtId="0" fontId="14" fillId="0" borderId="17" xfId="96" applyFont="1" applyFill="1" applyBorder="1" applyAlignment="1">
      <alignment vertical="center"/>
    </xf>
    <xf numFmtId="0" fontId="14" fillId="0" borderId="0" xfId="96" applyFont="1" applyFill="1" applyBorder="1" applyAlignment="1">
      <alignment vertical="center"/>
    </xf>
    <xf numFmtId="0" fontId="21" fillId="0" borderId="0" xfId="96" applyFont="1" applyFill="1" applyBorder="1" applyAlignment="1" applyProtection="1">
      <alignment horizontal="center" vertical="center"/>
      <protection locked="0"/>
    </xf>
    <xf numFmtId="0" fontId="18" fillId="0" borderId="0" xfId="96" applyBorder="1" applyAlignment="1">
      <alignment horizontal="center" vertical="center"/>
    </xf>
    <xf numFmtId="0" fontId="21" fillId="0" borderId="0" xfId="96" applyFont="1" applyBorder="1" applyAlignment="1">
      <alignment horizontal="right" vertical="center"/>
    </xf>
    <xf numFmtId="0" fontId="18" fillId="0" borderId="11" xfId="96" applyFont="1" applyFill="1" applyBorder="1"/>
    <xf numFmtId="0" fontId="18" fillId="0" borderId="17" xfId="96" applyFont="1" applyFill="1" applyBorder="1"/>
    <xf numFmtId="0" fontId="14" fillId="0" borderId="12" xfId="96" applyFont="1" applyFill="1" applyBorder="1" applyAlignment="1">
      <alignment horizontal="left" vertical="center"/>
    </xf>
    <xf numFmtId="0" fontId="14" fillId="0" borderId="12" xfId="96" applyFont="1" applyFill="1" applyBorder="1" applyAlignment="1">
      <alignment horizontal="center" vertical="center"/>
    </xf>
    <xf numFmtId="0" fontId="14" fillId="0" borderId="40" xfId="96" applyFont="1" applyFill="1" applyBorder="1" applyAlignment="1">
      <alignment horizontal="center" vertical="center"/>
    </xf>
    <xf numFmtId="0" fontId="18" fillId="0" borderId="16" xfId="96" applyFont="1" applyFill="1" applyBorder="1" applyAlignment="1">
      <alignment vertical="center"/>
    </xf>
    <xf numFmtId="0" fontId="18" fillId="0" borderId="12" xfId="96" applyBorder="1" applyAlignment="1">
      <alignment horizontal="center" wrapText="1"/>
    </xf>
    <xf numFmtId="0" fontId="18" fillId="0" borderId="41" xfId="96" applyFont="1" applyFill="1" applyBorder="1"/>
    <xf numFmtId="0" fontId="18" fillId="0" borderId="34" xfId="96" applyFont="1" applyFill="1" applyBorder="1"/>
    <xf numFmtId="0" fontId="18" fillId="0" borderId="42" xfId="96" applyFont="1" applyFill="1" applyBorder="1"/>
    <xf numFmtId="0" fontId="18" fillId="0" borderId="16" xfId="96" applyFont="1" applyFill="1" applyBorder="1"/>
    <xf numFmtId="49" fontId="8" fillId="0" borderId="0" xfId="96" applyNumberFormat="1" applyFont="1" applyFill="1" applyBorder="1" applyAlignment="1">
      <alignment horizontal="center"/>
    </xf>
    <xf numFmtId="0" fontId="18" fillId="0" borderId="0" xfId="96" applyFont="1" applyFill="1" applyBorder="1" applyAlignment="1">
      <alignment horizontal="center"/>
    </xf>
    <xf numFmtId="0" fontId="18" fillId="0" borderId="0" xfId="96" applyFont="1" applyFill="1" applyBorder="1" applyAlignment="1">
      <alignment horizontal="left" indent="1"/>
    </xf>
    <xf numFmtId="0" fontId="8" fillId="0" borderId="0" xfId="96" applyFont="1" applyFill="1" applyBorder="1" applyAlignment="1">
      <alignment horizontal="center"/>
    </xf>
    <xf numFmtId="0" fontId="18" fillId="0" borderId="0" xfId="96" applyFont="1" applyFill="1" applyBorder="1" applyAlignment="1"/>
    <xf numFmtId="0" fontId="21" fillId="0" borderId="0" xfId="96" applyNumberFormat="1" applyFont="1" applyFill="1" applyBorder="1" applyAlignment="1" applyProtection="1">
      <alignment horizontal="center"/>
      <protection locked="0"/>
    </xf>
    <xf numFmtId="49" fontId="8" fillId="0" borderId="0" xfId="96" applyNumberFormat="1" applyFont="1" applyFill="1" applyBorder="1" applyAlignment="1" applyProtection="1">
      <alignment horizontal="center"/>
      <protection locked="0"/>
    </xf>
    <xf numFmtId="0" fontId="18" fillId="0" borderId="11" xfId="96" applyFont="1" applyFill="1" applyBorder="1" applyAlignment="1"/>
    <xf numFmtId="0" fontId="8" fillId="0" borderId="3" xfId="96" applyFont="1" applyFill="1" applyBorder="1" applyAlignment="1">
      <alignment horizontal="center" vertical="center"/>
    </xf>
    <xf numFmtId="0" fontId="8" fillId="0" borderId="0" xfId="96" applyFont="1" applyFill="1" applyBorder="1" applyAlignment="1">
      <alignment horizontal="center" vertical="center"/>
    </xf>
    <xf numFmtId="0" fontId="18" fillId="0" borderId="0" xfId="96" applyFont="1" applyFill="1" applyBorder="1" applyAlignment="1">
      <alignment horizontal="left" vertical="center"/>
    </xf>
    <xf numFmtId="0" fontId="18" fillId="20" borderId="0" xfId="96" applyFill="1" applyBorder="1"/>
    <xf numFmtId="0" fontId="8" fillId="0" borderId="3" xfId="96" applyFont="1" applyFill="1" applyBorder="1" applyAlignment="1">
      <alignment horizontal="center"/>
    </xf>
    <xf numFmtId="0" fontId="8" fillId="0" borderId="3" xfId="96" applyFont="1" applyFill="1" applyBorder="1" applyAlignment="1" applyProtection="1">
      <alignment horizontal="center"/>
      <protection locked="0"/>
    </xf>
    <xf numFmtId="0" fontId="21" fillId="0" borderId="0" xfId="96" applyFont="1" applyFill="1"/>
    <xf numFmtId="0" fontId="0" fillId="22" borderId="3" xfId="0" applyFill="1" applyBorder="1" applyAlignment="1">
      <alignment horizontal="center" vertical="center"/>
    </xf>
    <xf numFmtId="0" fontId="0" fillId="36" borderId="0" xfId="0" applyFill="1"/>
    <xf numFmtId="0" fontId="18" fillId="36" borderId="0" xfId="0" applyFont="1" applyFill="1"/>
    <xf numFmtId="0" fontId="7" fillId="0" borderId="0" xfId="0" applyFont="1" applyFill="1"/>
    <xf numFmtId="49" fontId="14" fillId="23" borderId="3" xfId="0" applyNumberFormat="1" applyFont="1" applyFill="1" applyBorder="1"/>
    <xf numFmtId="0" fontId="0" fillId="20" borderId="0" xfId="0" applyFill="1" applyBorder="1" applyAlignment="1" applyProtection="1">
      <alignment vertical="center"/>
    </xf>
    <xf numFmtId="0" fontId="10" fillId="20" borderId="0" xfId="0" applyFont="1" applyFill="1" applyBorder="1" applyAlignment="1" applyProtection="1">
      <alignment vertical="center"/>
    </xf>
    <xf numFmtId="0" fontId="10" fillId="20" borderId="0" xfId="0" applyFont="1" applyFill="1" applyBorder="1" applyAlignment="1" applyProtection="1">
      <alignment horizontal="center" vertical="center"/>
    </xf>
    <xf numFmtId="0" fontId="11" fillId="20" borderId="0" xfId="0" applyFont="1" applyFill="1" applyBorder="1" applyAlignment="1" applyProtection="1">
      <alignment vertical="center"/>
    </xf>
    <xf numFmtId="0" fontId="19" fillId="20" borderId="0" xfId="0" applyFont="1" applyFill="1" applyBorder="1" applyAlignment="1" applyProtection="1">
      <alignment horizontal="right" vertical="center"/>
    </xf>
    <xf numFmtId="49" fontId="0" fillId="20" borderId="0" xfId="0" applyNumberFormat="1" applyFill="1" applyBorder="1" applyAlignment="1" applyProtection="1">
      <alignment vertical="center"/>
    </xf>
    <xf numFmtId="0" fontId="0" fillId="20" borderId="0" xfId="0" applyFill="1" applyAlignment="1">
      <alignment vertical="center"/>
    </xf>
    <xf numFmtId="0" fontId="12" fillId="20" borderId="0" xfId="0" applyFont="1" applyFill="1" applyBorder="1" applyAlignment="1" applyProtection="1">
      <alignment vertical="center"/>
    </xf>
    <xf numFmtId="0" fontId="13" fillId="20" borderId="0" xfId="0" applyFont="1" applyFill="1" applyBorder="1" applyAlignment="1" applyProtection="1">
      <alignment vertical="center"/>
    </xf>
    <xf numFmtId="0" fontId="18" fillId="20" borderId="0" xfId="0" applyFont="1" applyFill="1" applyBorder="1" applyAlignment="1" applyProtection="1">
      <alignment vertical="center"/>
    </xf>
    <xf numFmtId="0" fontId="18" fillId="20" borderId="0" xfId="0" quotePrefix="1" applyFont="1" applyFill="1" applyBorder="1" applyAlignment="1" applyProtection="1">
      <alignment horizontal="left" vertical="center"/>
    </xf>
    <xf numFmtId="49" fontId="18" fillId="20" borderId="0" xfId="0" applyNumberFormat="1" applyFont="1" applyFill="1" applyBorder="1" applyAlignment="1" applyProtection="1">
      <alignment horizontal="left" vertical="center"/>
    </xf>
    <xf numFmtId="0" fontId="18" fillId="20" borderId="0" xfId="0" applyFont="1" applyFill="1" applyBorder="1" applyAlignment="1" applyProtection="1">
      <alignment horizontal="right" vertical="center"/>
    </xf>
    <xf numFmtId="49" fontId="8" fillId="22" borderId="3" xfId="0" applyNumberFormat="1" applyFont="1" applyFill="1" applyBorder="1" applyAlignment="1" applyProtection="1">
      <alignment horizontal="center" vertical="center"/>
      <protection locked="0"/>
    </xf>
    <xf numFmtId="0" fontId="18" fillId="0" borderId="0" xfId="0" applyFont="1" applyBorder="1" applyAlignment="1">
      <alignment horizontal="right" vertical="center"/>
    </xf>
    <xf numFmtId="0" fontId="14" fillId="20" borderId="0" xfId="0" applyFont="1" applyFill="1" applyBorder="1" applyAlignment="1" applyProtection="1">
      <alignment vertical="center"/>
    </xf>
    <xf numFmtId="0" fontId="35" fillId="20" borderId="0" xfId="0" applyFont="1" applyFill="1" applyAlignment="1">
      <alignment vertical="center"/>
    </xf>
    <xf numFmtId="0" fontId="18" fillId="20" borderId="0" xfId="0" applyFont="1" applyFill="1" applyBorder="1" applyAlignment="1" applyProtection="1">
      <alignment horizontal="center" vertical="center"/>
    </xf>
    <xf numFmtId="0" fontId="18" fillId="20" borderId="44" xfId="0" applyFont="1" applyFill="1" applyBorder="1" applyAlignment="1" applyProtection="1">
      <alignment horizontal="center" vertical="center"/>
    </xf>
    <xf numFmtId="0" fontId="15" fillId="20" borderId="0" xfId="0" applyFont="1" applyFill="1" applyBorder="1" applyAlignment="1" applyProtection="1">
      <alignment horizontal="center" vertical="center"/>
    </xf>
    <xf numFmtId="49" fontId="15" fillId="20" borderId="0" xfId="0" applyNumberFormat="1" applyFont="1" applyFill="1" applyBorder="1" applyAlignment="1" applyProtection="1">
      <alignment horizontal="center" vertical="center"/>
    </xf>
    <xf numFmtId="0" fontId="34" fillId="20" borderId="0" xfId="0" applyFont="1" applyFill="1" applyAlignment="1">
      <alignment vertical="center"/>
    </xf>
    <xf numFmtId="0" fontId="18" fillId="0" borderId="0" xfId="0" applyFont="1" applyAlignment="1">
      <alignment vertical="center"/>
    </xf>
    <xf numFmtId="0" fontId="18" fillId="20" borderId="0" xfId="0" quotePrefix="1" applyFont="1" applyFill="1" applyBorder="1" applyAlignment="1" applyProtection="1">
      <alignment horizontal="right" vertical="center"/>
    </xf>
    <xf numFmtId="49" fontId="18" fillId="20" borderId="0" xfId="0" applyNumberFormat="1" applyFont="1" applyFill="1" applyBorder="1" applyAlignment="1" applyProtection="1">
      <alignment horizontal="center" vertical="center"/>
      <protection locked="0"/>
    </xf>
    <xf numFmtId="0" fontId="18" fillId="20" borderId="0" xfId="0" quotePrefix="1" applyFont="1" applyFill="1" applyBorder="1" applyAlignment="1" applyProtection="1">
      <alignment horizontal="center" vertical="center"/>
    </xf>
    <xf numFmtId="0" fontId="15" fillId="20" borderId="0" xfId="0" quotePrefix="1" applyFont="1" applyFill="1" applyBorder="1" applyAlignment="1" applyProtection="1">
      <alignment horizontal="center" vertical="center"/>
    </xf>
    <xf numFmtId="0" fontId="18" fillId="20" borderId="35" xfId="0" applyFont="1" applyFill="1" applyBorder="1" applyAlignment="1" applyProtection="1">
      <alignment horizontal="center" vertical="center"/>
    </xf>
    <xf numFmtId="49" fontId="18" fillId="20" borderId="0" xfId="0" quotePrefix="1" applyNumberFormat="1" applyFont="1" applyFill="1" applyBorder="1" applyAlignment="1" applyProtection="1">
      <alignment horizontal="left" vertical="center"/>
    </xf>
    <xf numFmtId="166" fontId="15" fillId="20" borderId="0" xfId="0" applyNumberFormat="1" applyFont="1" applyFill="1" applyBorder="1" applyAlignment="1" applyProtection="1">
      <alignment horizontal="center" vertical="center"/>
    </xf>
    <xf numFmtId="2" fontId="18" fillId="20" borderId="0" xfId="0" applyNumberFormat="1" applyFont="1" applyFill="1" applyBorder="1" applyAlignment="1" applyProtection="1">
      <alignment horizontal="left" vertical="center"/>
    </xf>
    <xf numFmtId="0" fontId="0" fillId="20" borderId="0" xfId="0" applyFill="1" applyBorder="1" applyAlignment="1">
      <alignment horizontal="right" vertical="center"/>
    </xf>
    <xf numFmtId="0" fontId="30" fillId="0" borderId="0" xfId="0" applyFont="1" applyFill="1" applyBorder="1" applyAlignment="1">
      <alignment horizontal="center" vertical="center" wrapText="1"/>
    </xf>
    <xf numFmtId="0" fontId="17" fillId="20" borderId="0" xfId="0" applyFont="1" applyFill="1" applyAlignment="1">
      <alignment horizontal="center" vertical="center"/>
    </xf>
    <xf numFmtId="0" fontId="18" fillId="0" borderId="0" xfId="0" applyFont="1" applyFill="1" applyBorder="1" applyAlignment="1" applyProtection="1">
      <alignment horizontal="center" vertical="center"/>
    </xf>
    <xf numFmtId="166" fontId="16" fillId="20" borderId="0" xfId="0" applyNumberFormat="1" applyFont="1" applyFill="1" applyBorder="1" applyAlignment="1" applyProtection="1">
      <alignment horizontal="center" vertical="center"/>
    </xf>
    <xf numFmtId="49" fontId="18" fillId="20" borderId="0" xfId="0" applyNumberFormat="1" applyFont="1" applyFill="1" applyBorder="1" applyAlignment="1" applyProtection="1">
      <alignment vertical="center"/>
    </xf>
    <xf numFmtId="0" fontId="8" fillId="20" borderId="3" xfId="0" applyNumberFormat="1" applyFont="1" applyFill="1" applyBorder="1" applyAlignment="1" applyProtection="1">
      <alignment horizontal="center" vertical="center"/>
    </xf>
    <xf numFmtId="167" fontId="18" fillId="20" borderId="0" xfId="0" applyNumberFormat="1" applyFont="1" applyFill="1" applyBorder="1" applyAlignment="1" applyProtection="1">
      <alignment horizontal="center" vertical="center"/>
    </xf>
    <xf numFmtId="167" fontId="15" fillId="20" borderId="0" xfId="0" quotePrefix="1" applyNumberFormat="1" applyFont="1" applyFill="1" applyBorder="1" applyAlignment="1" applyProtection="1">
      <alignment horizontal="center" vertical="center"/>
    </xf>
    <xf numFmtId="49" fontId="18" fillId="20" borderId="0" xfId="0" applyNumberFormat="1" applyFont="1" applyFill="1" applyBorder="1" applyAlignment="1" applyProtection="1">
      <alignment horizontal="center" vertical="center"/>
    </xf>
    <xf numFmtId="167" fontId="18" fillId="20" borderId="0" xfId="0" quotePrefix="1" applyNumberFormat="1" applyFont="1" applyFill="1" applyBorder="1" applyAlignment="1" applyProtection="1">
      <alignment horizontal="center" vertical="center"/>
    </xf>
    <xf numFmtId="14" fontId="0" fillId="0" borderId="0" xfId="0" applyNumberFormat="1" applyBorder="1" applyAlignment="1">
      <alignment vertical="center"/>
    </xf>
    <xf numFmtId="168" fontId="18" fillId="20" borderId="0" xfId="0" applyNumberFormat="1" applyFont="1" applyFill="1" applyBorder="1" applyAlignment="1" applyProtection="1">
      <alignment horizontal="center" vertical="center"/>
      <protection locked="0"/>
    </xf>
    <xf numFmtId="19" fontId="8" fillId="22" borderId="3" xfId="0" applyNumberFormat="1" applyFont="1" applyFill="1" applyBorder="1" applyAlignment="1">
      <alignment horizontal="center" vertical="center"/>
    </xf>
    <xf numFmtId="0" fontId="8" fillId="20" borderId="0" xfId="0" applyFont="1" applyFill="1" applyBorder="1" applyAlignment="1" applyProtection="1">
      <alignment horizontal="center" vertical="center"/>
    </xf>
    <xf numFmtId="14" fontId="8" fillId="22" borderId="3" xfId="0" applyNumberFormat="1" applyFont="1" applyFill="1" applyBorder="1" applyAlignment="1" applyProtection="1">
      <alignment horizontal="center" vertical="center"/>
      <protection locked="0"/>
    </xf>
    <xf numFmtId="14" fontId="18" fillId="20" borderId="0" xfId="0" applyNumberFormat="1" applyFont="1" applyFill="1" applyBorder="1" applyAlignment="1" applyProtection="1">
      <alignment horizontal="center" vertical="center"/>
      <protection locked="0"/>
    </xf>
    <xf numFmtId="0" fontId="0" fillId="20" borderId="0" xfId="0" applyFill="1" applyBorder="1" applyAlignment="1">
      <alignment vertical="center"/>
    </xf>
    <xf numFmtId="0" fontId="18" fillId="20" borderId="34" xfId="0" applyFont="1" applyFill="1" applyBorder="1" applyAlignment="1" applyProtection="1">
      <alignment vertical="center"/>
    </xf>
    <xf numFmtId="0" fontId="0" fillId="20" borderId="34" xfId="0" applyFill="1" applyBorder="1" applyAlignment="1" applyProtection="1">
      <alignment vertical="center"/>
    </xf>
    <xf numFmtId="0" fontId="18" fillId="20" borderId="12" xfId="0" applyFont="1" applyFill="1" applyBorder="1" applyAlignment="1" applyProtection="1">
      <alignment vertical="center"/>
    </xf>
    <xf numFmtId="0" fontId="8" fillId="20" borderId="0" xfId="0" applyFont="1" applyFill="1" applyBorder="1" applyAlignment="1">
      <alignment horizontal="center" vertical="center"/>
    </xf>
    <xf numFmtId="0" fontId="8" fillId="20" borderId="0" xfId="0" applyFont="1" applyFill="1" applyBorder="1" applyAlignment="1">
      <alignment horizontal="right" vertical="center"/>
    </xf>
    <xf numFmtId="0" fontId="0" fillId="20" borderId="0" xfId="0" applyFill="1" applyAlignment="1">
      <alignment horizontal="right" vertical="center"/>
    </xf>
    <xf numFmtId="0" fontId="0" fillId="20" borderId="0" xfId="0" applyFill="1" applyBorder="1" applyAlignment="1">
      <alignment horizontal="center" vertical="center"/>
    </xf>
    <xf numFmtId="0" fontId="18" fillId="20" borderId="0" xfId="0" applyFont="1" applyFill="1" applyAlignment="1">
      <alignment vertical="center"/>
    </xf>
    <xf numFmtId="0" fontId="21" fillId="31" borderId="0" xfId="0" applyFont="1" applyFill="1" applyAlignment="1">
      <alignment vertical="center"/>
    </xf>
    <xf numFmtId="0" fontId="0" fillId="0" borderId="0" xfId="0" applyFill="1" applyAlignment="1">
      <alignment vertical="center"/>
    </xf>
    <xf numFmtId="0" fontId="0" fillId="0" borderId="0" xfId="0" applyFill="1" applyBorder="1" applyAlignment="1">
      <alignment horizontal="right" vertical="center"/>
    </xf>
    <xf numFmtId="0" fontId="0" fillId="0" borderId="44" xfId="0" applyFill="1" applyBorder="1" applyAlignment="1">
      <alignment horizontal="center" vertical="center"/>
    </xf>
    <xf numFmtId="0" fontId="0" fillId="0" borderId="0" xfId="0" applyFill="1" applyBorder="1" applyAlignment="1">
      <alignment horizontal="center" vertical="center"/>
    </xf>
    <xf numFmtId="0" fontId="0" fillId="20" borderId="0" xfId="0" applyFill="1" applyAlignment="1">
      <alignment horizontal="left" vertical="center"/>
    </xf>
    <xf numFmtId="0" fontId="31" fillId="31" borderId="0" xfId="0" applyFont="1" applyFill="1" applyAlignment="1">
      <alignment vertical="center"/>
    </xf>
    <xf numFmtId="0" fontId="0" fillId="31" borderId="0" xfId="0" applyFill="1" applyAlignment="1">
      <alignment vertical="center"/>
    </xf>
    <xf numFmtId="0" fontId="33" fillId="31" borderId="0" xfId="0" applyFont="1" applyFill="1" applyAlignment="1">
      <alignment vertical="center"/>
    </xf>
    <xf numFmtId="0" fontId="8" fillId="20" borderId="24" xfId="0" applyFont="1" applyFill="1" applyBorder="1" applyAlignment="1">
      <alignment horizontal="center" vertical="center"/>
    </xf>
    <xf numFmtId="0" fontId="8" fillId="20" borderId="3" xfId="0" applyFont="1" applyFill="1" applyBorder="1" applyAlignment="1">
      <alignment horizontal="center" vertical="center"/>
    </xf>
    <xf numFmtId="0" fontId="0" fillId="20" borderId="24" xfId="0" applyFill="1" applyBorder="1" applyAlignment="1">
      <alignment horizontal="center" vertical="center"/>
    </xf>
    <xf numFmtId="0" fontId="0" fillId="20" borderId="3" xfId="0" applyFill="1" applyBorder="1" applyAlignment="1">
      <alignment horizontal="center" vertical="center"/>
    </xf>
    <xf numFmtId="0" fontId="8" fillId="20" borderId="0" xfId="0" applyFont="1" applyFill="1" applyAlignment="1">
      <alignment vertical="center"/>
    </xf>
    <xf numFmtId="0" fontId="27" fillId="0" borderId="0" xfId="0" applyFont="1" applyAlignment="1">
      <alignment vertical="center"/>
    </xf>
    <xf numFmtId="0" fontId="0" fillId="20" borderId="3" xfId="0" applyFill="1" applyBorder="1" applyAlignment="1">
      <alignment vertical="center"/>
    </xf>
    <xf numFmtId="0" fontId="18" fillId="20" borderId="0" xfId="0" applyFont="1" applyFill="1" applyAlignment="1">
      <alignment horizontal="right" vertical="center"/>
    </xf>
    <xf numFmtId="0" fontId="18" fillId="0" borderId="0" xfId="0" applyFont="1" applyFill="1" applyBorder="1" applyAlignment="1">
      <alignment horizontal="right" vertical="center"/>
    </xf>
    <xf numFmtId="49" fontId="18" fillId="0" borderId="0" xfId="0" applyNumberFormat="1" applyFont="1" applyAlignment="1">
      <alignment horizontal="center" vertical="center"/>
    </xf>
    <xf numFmtId="0" fontId="18" fillId="0" borderId="0" xfId="0" applyFont="1" applyAlignment="1">
      <alignment horizontal="center" wrapText="1"/>
    </xf>
    <xf numFmtId="0" fontId="18" fillId="0" borderId="0" xfId="0" applyFont="1" applyAlignment="1">
      <alignment horizontal="right" wrapText="1"/>
    </xf>
    <xf numFmtId="0" fontId="18" fillId="22" borderId="3" xfId="0" applyFont="1" applyFill="1" applyBorder="1" applyAlignment="1">
      <alignment horizontal="center" vertical="center"/>
    </xf>
    <xf numFmtId="0" fontId="18" fillId="0" borderId="44"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0" xfId="0" applyFont="1" applyFill="1" applyAlignment="1">
      <alignment horizontal="center"/>
    </xf>
    <xf numFmtId="0" fontId="18" fillId="36" borderId="0" xfId="0" applyFont="1" applyFill="1" applyBorder="1"/>
    <xf numFmtId="0" fontId="18" fillId="0" borderId="0" xfId="0" applyFont="1" applyAlignment="1">
      <alignment horizontal="center" vertical="center"/>
    </xf>
    <xf numFmtId="0" fontId="8" fillId="0" borderId="0" xfId="0" applyFont="1" applyAlignment="1">
      <alignment horizontal="left" vertical="center"/>
    </xf>
    <xf numFmtId="0" fontId="7" fillId="0" borderId="0" xfId="0" applyFont="1" applyFill="1" applyBorder="1" applyAlignment="1">
      <alignment horizontal="center" vertical="center"/>
    </xf>
    <xf numFmtId="14" fontId="8" fillId="22" borderId="3" xfId="0" applyNumberFormat="1" applyFont="1" applyFill="1" applyBorder="1" applyAlignment="1">
      <alignment horizontal="center" vertical="center"/>
    </xf>
    <xf numFmtId="169" fontId="11" fillId="0" borderId="0" xfId="96" applyNumberFormat="1" applyFont="1" applyFill="1" applyBorder="1" applyAlignment="1">
      <alignment vertical="center"/>
    </xf>
    <xf numFmtId="0" fontId="24" fillId="0" borderId="0" xfId="96" applyNumberFormat="1" applyFont="1" applyFill="1" applyBorder="1" applyAlignment="1">
      <alignment horizontal="right" vertical="center"/>
    </xf>
    <xf numFmtId="0" fontId="24" fillId="0" borderId="0" xfId="96" applyFont="1" applyFill="1" applyBorder="1" applyAlignment="1">
      <alignment horizontal="right" vertical="center"/>
    </xf>
    <xf numFmtId="49" fontId="24" fillId="0" borderId="0" xfId="70" applyNumberFormat="1" applyFont="1" applyFill="1" applyBorder="1" applyAlignment="1" applyProtection="1">
      <alignment horizontal="right" vertical="center"/>
      <protection locked="0"/>
    </xf>
    <xf numFmtId="177" fontId="25" fillId="0" borderId="0" xfId="70" applyNumberFormat="1" applyFont="1" applyFill="1" applyBorder="1" applyAlignment="1" applyProtection="1">
      <alignment vertical="center"/>
      <protection locked="0"/>
    </xf>
    <xf numFmtId="177" fontId="18" fillId="0" borderId="0" xfId="96" applyNumberFormat="1" applyAlignment="1">
      <alignment vertical="center"/>
    </xf>
    <xf numFmtId="0" fontId="7" fillId="0" borderId="0" xfId="98" applyFont="1" applyAlignment="1">
      <alignment vertical="center"/>
    </xf>
    <xf numFmtId="49" fontId="7" fillId="0" borderId="0" xfId="98" applyNumberFormat="1" applyFont="1" applyBorder="1" applyAlignment="1">
      <alignment horizontal="center" vertical="center"/>
    </xf>
    <xf numFmtId="0" fontId="14" fillId="0" borderId="3" xfId="98" applyFont="1" applyBorder="1" applyAlignment="1">
      <alignment horizontal="center" vertical="center"/>
    </xf>
    <xf numFmtId="0" fontId="14" fillId="0" borderId="3" xfId="98" applyNumberFormat="1" applyFont="1" applyBorder="1" applyAlignment="1">
      <alignment horizontal="center" vertical="center"/>
    </xf>
    <xf numFmtId="0" fontId="21" fillId="0" borderId="0" xfId="98" applyFont="1" applyBorder="1" applyAlignment="1">
      <alignment horizontal="left" vertical="center"/>
    </xf>
    <xf numFmtId="0" fontId="21" fillId="0" borderId="0" xfId="98" applyFont="1" applyBorder="1" applyAlignment="1">
      <alignment horizontal="right" vertical="center"/>
    </xf>
    <xf numFmtId="49" fontId="21" fillId="0" borderId="0" xfId="98" applyNumberFormat="1" applyFont="1" applyBorder="1" applyAlignment="1">
      <alignment horizontal="right" vertical="center"/>
    </xf>
    <xf numFmtId="0" fontId="15" fillId="0" borderId="0" xfId="98" applyFont="1" applyAlignment="1">
      <alignment horizontal="left" vertical="center"/>
    </xf>
    <xf numFmtId="49" fontId="14" fillId="0" borderId="3" xfId="98" applyNumberFormat="1" applyFont="1" applyBorder="1" applyAlignment="1">
      <alignment horizontal="center" vertical="center"/>
    </xf>
    <xf numFmtId="0" fontId="14" fillId="0" borderId="0" xfId="98" applyFont="1" applyBorder="1" applyAlignment="1">
      <alignment horizontal="left" vertical="center"/>
    </xf>
    <xf numFmtId="49" fontId="14" fillId="0" borderId="0" xfId="98" applyNumberFormat="1" applyFont="1" applyBorder="1" applyAlignment="1">
      <alignment horizontal="right" vertical="center"/>
    </xf>
    <xf numFmtId="0" fontId="14" fillId="0" borderId="26" xfId="98" applyFont="1" applyBorder="1" applyAlignment="1">
      <alignment horizontal="left" vertical="center"/>
    </xf>
    <xf numFmtId="0" fontId="7" fillId="0" borderId="0" xfId="98" applyFont="1" applyBorder="1" applyAlignment="1">
      <alignment horizontal="center" vertical="center"/>
    </xf>
    <xf numFmtId="0" fontId="7" fillId="0" borderId="0" xfId="98" applyFont="1" applyBorder="1" applyAlignment="1">
      <alignment horizontal="left" vertical="center"/>
    </xf>
    <xf numFmtId="0" fontId="7" fillId="0" borderId="0" xfId="98" applyFont="1" applyAlignment="1">
      <alignment horizontal="left" vertical="center"/>
    </xf>
    <xf numFmtId="0" fontId="11" fillId="0" borderId="24" xfId="98" applyFont="1" applyBorder="1" applyAlignment="1">
      <alignment horizontal="right" vertical="center"/>
    </xf>
    <xf numFmtId="1" fontId="11" fillId="0" borderId="14" xfId="98" applyNumberFormat="1" applyFont="1" applyBorder="1" applyAlignment="1">
      <alignment horizontal="left" vertical="center"/>
    </xf>
    <xf numFmtId="0" fontId="66" fillId="0" borderId="0" xfId="98" applyFont="1" applyBorder="1" applyAlignment="1">
      <alignment horizontal="justify" vertical="center"/>
    </xf>
    <xf numFmtId="0" fontId="7" fillId="0" borderId="0" xfId="98" applyFont="1" applyBorder="1" applyAlignment="1">
      <alignment vertical="center"/>
    </xf>
    <xf numFmtId="0" fontId="7" fillId="0" borderId="44" xfId="98" applyFont="1" applyBorder="1" applyAlignment="1">
      <alignment vertical="center"/>
    </xf>
    <xf numFmtId="0" fontId="21" fillId="0" borderId="3" xfId="98" applyFont="1" applyBorder="1" applyAlignment="1">
      <alignment horizontal="center" vertical="center"/>
    </xf>
    <xf numFmtId="181" fontId="21" fillId="0" borderId="3" xfId="98" applyNumberFormat="1" applyFont="1" applyBorder="1" applyAlignment="1">
      <alignment horizontal="center" vertical="center"/>
    </xf>
    <xf numFmtId="0" fontId="7" fillId="0" borderId="0" xfId="98" applyFont="1"/>
    <xf numFmtId="0" fontId="8" fillId="0" borderId="0" xfId="98" applyFont="1" applyBorder="1" applyAlignment="1">
      <alignment horizontal="center"/>
    </xf>
    <xf numFmtId="0" fontId="8" fillId="0" borderId="0" xfId="98" applyFont="1" applyAlignment="1">
      <alignment horizontal="center"/>
    </xf>
    <xf numFmtId="0" fontId="7" fillId="0" borderId="0" xfId="98" applyFont="1" applyBorder="1"/>
    <xf numFmtId="0" fontId="21" fillId="0" borderId="0" xfId="98" applyFont="1" applyFill="1" applyBorder="1" applyAlignment="1">
      <alignment horizontal="center" vertical="center"/>
    </xf>
    <xf numFmtId="0" fontId="8" fillId="0" borderId="46" xfId="98" applyFont="1" applyBorder="1" applyAlignment="1">
      <alignment horizontal="right" vertical="center" indent="1"/>
    </xf>
    <xf numFmtId="0" fontId="8" fillId="0" borderId="3" xfId="98" applyFont="1" applyBorder="1" applyAlignment="1">
      <alignment horizontal="center" vertical="center"/>
    </xf>
    <xf numFmtId="0" fontId="7" fillId="0" borderId="0" xfId="98" applyFont="1" applyAlignment="1">
      <alignment horizontal="center" vertical="center"/>
    </xf>
    <xf numFmtId="0" fontId="7" fillId="0" borderId="0" xfId="98" applyFont="1" applyBorder="1" applyAlignment="1">
      <alignment horizontal="right" indent="1"/>
    </xf>
    <xf numFmtId="0" fontId="25" fillId="0" borderId="0" xfId="98" applyFont="1" applyFill="1" applyBorder="1" applyAlignment="1">
      <alignment horizontal="center" vertical="center" wrapText="1"/>
    </xf>
    <xf numFmtId="0" fontId="7" fillId="0" borderId="0" xfId="98" applyNumberFormat="1" applyFont="1" applyBorder="1" applyAlignment="1">
      <alignment horizontal="center" vertical="center"/>
    </xf>
    <xf numFmtId="0" fontId="25" fillId="0" borderId="0" xfId="98" applyFont="1" applyFill="1" applyBorder="1" applyAlignment="1">
      <alignment horizontal="center" vertical="center"/>
    </xf>
    <xf numFmtId="0" fontId="7" fillId="0" borderId="0" xfId="98" applyFont="1" applyFill="1" applyBorder="1" applyAlignment="1">
      <alignment horizontal="left" vertical="center"/>
    </xf>
    <xf numFmtId="49" fontId="7" fillId="0" borderId="0" xfId="98" applyNumberFormat="1" applyFont="1" applyFill="1" applyBorder="1" applyAlignment="1">
      <alignment horizontal="center" vertical="center"/>
    </xf>
    <xf numFmtId="0" fontId="14" fillId="0" borderId="3" xfId="98" applyFont="1" applyFill="1" applyBorder="1" applyAlignment="1">
      <alignment horizontal="center" vertical="center"/>
    </xf>
    <xf numFmtId="49" fontId="14" fillId="0" borderId="3" xfId="98" applyNumberFormat="1" applyFont="1" applyFill="1" applyBorder="1" applyAlignment="1">
      <alignment horizontal="center" vertical="center"/>
    </xf>
    <xf numFmtId="0" fontId="21" fillId="0" borderId="0" xfId="98" applyFont="1" applyBorder="1" applyAlignment="1">
      <alignment horizontal="center" vertical="center"/>
    </xf>
    <xf numFmtId="0" fontId="56" fillId="0" borderId="0" xfId="98" applyFont="1" applyBorder="1" applyAlignment="1">
      <alignment horizontal="right" vertical="center"/>
    </xf>
    <xf numFmtId="182" fontId="56" fillId="0" borderId="0" xfId="98" applyNumberFormat="1" applyFont="1" applyFill="1" applyBorder="1" applyAlignment="1">
      <alignment horizontal="center" vertical="center"/>
    </xf>
    <xf numFmtId="0" fontId="16" fillId="0" borderId="0" xfId="98" applyFont="1" applyFill="1" applyBorder="1" applyAlignment="1">
      <alignment horizontal="center" vertical="center" wrapText="1"/>
    </xf>
    <xf numFmtId="0" fontId="21" fillId="0" borderId="0" xfId="98" applyFont="1" applyBorder="1" applyAlignment="1">
      <alignment horizontal="center" vertical="center" wrapText="1"/>
    </xf>
    <xf numFmtId="0" fontId="57" fillId="0" borderId="0" xfId="98" applyFont="1" applyBorder="1" applyAlignment="1">
      <alignment horizontal="left" vertical="center" wrapText="1"/>
    </xf>
    <xf numFmtId="49" fontId="21" fillId="31" borderId="47" xfId="98" applyNumberFormat="1" applyFont="1" applyFill="1" applyBorder="1" applyAlignment="1">
      <alignment horizontal="center" vertical="center"/>
    </xf>
    <xf numFmtId="0" fontId="16" fillId="31" borderId="48" xfId="98" applyFont="1" applyFill="1" applyBorder="1" applyAlignment="1">
      <alignment horizontal="center" vertical="center" wrapText="1"/>
    </xf>
    <xf numFmtId="0" fontId="21" fillId="31" borderId="47" xfId="98" applyFont="1" applyFill="1" applyBorder="1" applyAlignment="1" applyProtection="1">
      <alignment horizontal="center" vertical="center" wrapText="1"/>
      <protection locked="0"/>
    </xf>
    <xf numFmtId="0" fontId="53" fillId="31" borderId="47" xfId="98" applyFont="1" applyFill="1" applyBorder="1" applyAlignment="1">
      <alignment horizontal="center" vertical="center" wrapText="1"/>
    </xf>
    <xf numFmtId="0" fontId="14" fillId="0" borderId="0" xfId="98" applyFont="1" applyFill="1" applyBorder="1" applyAlignment="1">
      <alignment horizontal="left" vertical="center"/>
    </xf>
    <xf numFmtId="0" fontId="21" fillId="0" borderId="0" xfId="98" applyFont="1" applyFill="1" applyBorder="1" applyAlignment="1">
      <alignment horizontal="left" vertical="center"/>
    </xf>
    <xf numFmtId="49" fontId="8" fillId="0" borderId="0" xfId="98" applyNumberFormat="1" applyFont="1" applyFill="1" applyBorder="1" applyAlignment="1">
      <alignment horizontal="center" vertical="center"/>
    </xf>
    <xf numFmtId="49" fontId="7" fillId="0" borderId="0" xfId="100" applyNumberFormat="1" applyFont="1" applyFill="1" applyBorder="1" applyAlignment="1">
      <alignment horizontal="center" vertical="center"/>
    </xf>
    <xf numFmtId="0" fontId="14" fillId="31" borderId="3" xfId="98" applyFont="1" applyFill="1" applyBorder="1" applyAlignment="1">
      <alignment horizontal="center" vertical="center"/>
    </xf>
    <xf numFmtId="0" fontId="21" fillId="0" borderId="25" xfId="98" applyFont="1" applyFill="1" applyBorder="1" applyAlignment="1">
      <alignment horizontal="left" vertical="center"/>
    </xf>
    <xf numFmtId="0" fontId="21" fillId="0" borderId="26" xfId="98" applyFont="1" applyFill="1" applyBorder="1" applyAlignment="1">
      <alignment horizontal="left" vertical="center"/>
    </xf>
    <xf numFmtId="0" fontId="21" fillId="0" borderId="28" xfId="98" applyFont="1" applyFill="1" applyBorder="1" applyAlignment="1">
      <alignment horizontal="right" vertical="center"/>
    </xf>
    <xf numFmtId="0" fontId="14" fillId="0" borderId="49" xfId="98" applyNumberFormat="1" applyFont="1" applyFill="1" applyBorder="1" applyAlignment="1">
      <alignment horizontal="center" vertical="center"/>
    </xf>
    <xf numFmtId="0" fontId="21" fillId="0" borderId="49" xfId="98" applyFont="1" applyFill="1" applyBorder="1" applyAlignment="1">
      <alignment horizontal="center" vertical="center"/>
    </xf>
    <xf numFmtId="0" fontId="14" fillId="0" borderId="49" xfId="98" applyFont="1" applyFill="1" applyBorder="1" applyAlignment="1">
      <alignment horizontal="center" vertical="center"/>
    </xf>
    <xf numFmtId="0" fontId="14" fillId="0" borderId="49" xfId="98" applyFont="1" applyFill="1" applyBorder="1" applyAlignment="1">
      <alignment horizontal="left" vertical="center"/>
    </xf>
    <xf numFmtId="49" fontId="14" fillId="0" borderId="3" xfId="100" applyNumberFormat="1" applyFont="1" applyFill="1" applyBorder="1" applyAlignment="1">
      <alignment horizontal="center" vertical="center"/>
    </xf>
    <xf numFmtId="0" fontId="21" fillId="0" borderId="50" xfId="98" applyFont="1" applyFill="1" applyBorder="1" applyAlignment="1">
      <alignment horizontal="left" vertical="center"/>
    </xf>
    <xf numFmtId="0" fontId="21" fillId="0" borderId="44" xfId="98" applyFont="1" applyFill="1" applyBorder="1" applyAlignment="1">
      <alignment horizontal="left" vertical="center"/>
    </xf>
    <xf numFmtId="183" fontId="21" fillId="0" borderId="24" xfId="98" applyNumberFormat="1" applyFont="1" applyFill="1" applyBorder="1" applyAlignment="1">
      <alignment horizontal="left" vertical="center"/>
    </xf>
    <xf numFmtId="0" fontId="21" fillId="0" borderId="51" xfId="98" applyFont="1" applyFill="1" applyBorder="1" applyAlignment="1">
      <alignment horizontal="right" vertical="center"/>
    </xf>
    <xf numFmtId="49" fontId="21" fillId="0" borderId="0" xfId="98" applyNumberFormat="1" applyFont="1" applyFill="1" applyBorder="1" applyAlignment="1">
      <alignment horizontal="left" vertical="center"/>
    </xf>
    <xf numFmtId="0" fontId="21" fillId="0" borderId="25" xfId="98" applyFont="1" applyFill="1" applyBorder="1" applyAlignment="1">
      <alignment vertical="center"/>
    </xf>
    <xf numFmtId="0" fontId="21" fillId="0" borderId="26" xfId="98" applyFont="1" applyFill="1" applyBorder="1" applyAlignment="1">
      <alignment vertical="center"/>
    </xf>
    <xf numFmtId="185" fontId="21" fillId="0" borderId="28" xfId="98" applyNumberFormat="1" applyFont="1" applyFill="1" applyBorder="1" applyAlignment="1">
      <alignment horizontal="left" vertical="center"/>
    </xf>
    <xf numFmtId="0" fontId="21" fillId="0" borderId="26" xfId="98" applyFont="1" applyFill="1" applyBorder="1" applyAlignment="1">
      <alignment horizontal="center" vertical="center"/>
    </xf>
    <xf numFmtId="0" fontId="21" fillId="0" borderId="28" xfId="98" applyFont="1" applyFill="1" applyBorder="1" applyAlignment="1">
      <alignment horizontal="center" vertical="center"/>
    </xf>
    <xf numFmtId="49" fontId="14" fillId="0" borderId="49" xfId="98" applyNumberFormat="1" applyFont="1" applyFill="1" applyBorder="1" applyAlignment="1">
      <alignment horizontal="center" vertical="center"/>
    </xf>
    <xf numFmtId="0" fontId="14" fillId="0" borderId="26" xfId="98" applyFont="1" applyFill="1" applyBorder="1" applyAlignment="1">
      <alignment vertical="center"/>
    </xf>
    <xf numFmtId="0" fontId="14" fillId="0" borderId="26" xfId="98" applyFont="1" applyFill="1" applyBorder="1" applyAlignment="1">
      <alignment horizontal="right" vertical="center"/>
    </xf>
    <xf numFmtId="0" fontId="14" fillId="0" borderId="49" xfId="98" applyNumberFormat="1" applyFont="1" applyBorder="1" applyAlignment="1">
      <alignment horizontal="center"/>
    </xf>
    <xf numFmtId="0" fontId="14" fillId="0" borderId="28" xfId="98" applyFont="1" applyFill="1" applyBorder="1" applyAlignment="1">
      <alignment horizontal="right" vertical="center"/>
    </xf>
    <xf numFmtId="0" fontId="21" fillId="0" borderId="52" xfId="98" applyFont="1" applyFill="1" applyBorder="1" applyAlignment="1">
      <alignment vertical="center"/>
    </xf>
    <xf numFmtId="0" fontId="21" fillId="0" borderId="53" xfId="98" applyFont="1" applyFill="1" applyBorder="1" applyAlignment="1">
      <alignment vertical="center"/>
    </xf>
    <xf numFmtId="0" fontId="21" fillId="0" borderId="30" xfId="98" applyFont="1" applyFill="1" applyBorder="1" applyAlignment="1">
      <alignment horizontal="right" vertical="center"/>
    </xf>
    <xf numFmtId="0" fontId="14" fillId="0" borderId="54" xfId="98" applyFont="1" applyFill="1" applyBorder="1" applyAlignment="1">
      <alignment horizontal="left" vertical="center"/>
    </xf>
    <xf numFmtId="0" fontId="14" fillId="0" borderId="0" xfId="98" applyFont="1" applyFill="1" applyBorder="1" applyAlignment="1">
      <alignment horizontal="center" vertical="center"/>
    </xf>
    <xf numFmtId="49" fontId="14" fillId="0" borderId="26" xfId="98" applyNumberFormat="1" applyFont="1" applyFill="1" applyBorder="1" applyAlignment="1">
      <alignment horizontal="center" vertical="center"/>
    </xf>
    <xf numFmtId="0" fontId="21" fillId="0" borderId="34" xfId="98" applyFont="1" applyFill="1" applyBorder="1" applyAlignment="1">
      <alignment horizontal="center" vertical="center"/>
    </xf>
    <xf numFmtId="0" fontId="14" fillId="0" borderId="34" xfId="98" applyFont="1" applyFill="1" applyBorder="1" applyAlignment="1">
      <alignment horizontal="center" vertical="center"/>
    </xf>
    <xf numFmtId="0" fontId="21" fillId="0" borderId="55" xfId="98" applyFont="1" applyFill="1" applyBorder="1" applyAlignment="1">
      <alignment vertical="center"/>
    </xf>
    <xf numFmtId="0" fontId="14" fillId="0" borderId="56" xfId="98" applyNumberFormat="1" applyFont="1" applyFill="1" applyBorder="1" applyAlignment="1">
      <alignment horizontal="center" vertical="center"/>
    </xf>
    <xf numFmtId="0" fontId="21" fillId="0" borderId="56" xfId="98" applyFont="1" applyFill="1" applyBorder="1" applyAlignment="1">
      <alignment horizontal="center" vertical="center"/>
    </xf>
    <xf numFmtId="0" fontId="14" fillId="0" borderId="56" xfId="98" applyFont="1" applyFill="1" applyBorder="1" applyAlignment="1">
      <alignment horizontal="left" vertical="center"/>
    </xf>
    <xf numFmtId="0" fontId="7" fillId="31" borderId="57" xfId="98" applyFont="1" applyFill="1" applyBorder="1" applyAlignment="1">
      <alignment vertical="center"/>
    </xf>
    <xf numFmtId="0" fontId="7" fillId="31" borderId="27" xfId="98" applyFont="1" applyFill="1" applyBorder="1" applyAlignment="1">
      <alignment vertical="center"/>
    </xf>
    <xf numFmtId="0" fontId="14" fillId="0" borderId="37" xfId="98" applyFont="1" applyFill="1" applyBorder="1" applyAlignment="1">
      <alignment vertical="center"/>
    </xf>
    <xf numFmtId="0" fontId="14" fillId="0" borderId="37" xfId="98" applyFont="1" applyFill="1" applyBorder="1" applyAlignment="1">
      <alignment horizontal="right" vertical="center"/>
    </xf>
    <xf numFmtId="49" fontId="7" fillId="0" borderId="0" xfId="98" applyNumberFormat="1" applyFont="1" applyBorder="1" applyAlignment="1">
      <alignment horizontal="left" vertical="center"/>
    </xf>
    <xf numFmtId="0" fontId="67" fillId="0" borderId="58" xfId="98" applyFont="1" applyBorder="1" applyAlignment="1">
      <alignment horizontal="center" vertical="center" wrapText="1"/>
    </xf>
    <xf numFmtId="0" fontId="21" fillId="0" borderId="25" xfId="98" applyFont="1" applyBorder="1" applyAlignment="1">
      <alignment horizontal="left" vertical="center"/>
    </xf>
    <xf numFmtId="0" fontId="14" fillId="0" borderId="59" xfId="98" applyFont="1" applyFill="1" applyBorder="1" applyAlignment="1">
      <alignment horizontal="left" vertical="center"/>
    </xf>
    <xf numFmtId="0" fontId="14" fillId="0" borderId="57" xfId="98" applyFont="1" applyFill="1" applyBorder="1" applyAlignment="1">
      <alignment horizontal="center" vertical="center"/>
    </xf>
    <xf numFmtId="0" fontId="14" fillId="0" borderId="37" xfId="98" applyFont="1" applyFill="1" applyBorder="1" applyAlignment="1">
      <alignment horizontal="center" vertical="center"/>
    </xf>
    <xf numFmtId="0" fontId="14" fillId="0" borderId="26" xfId="98" applyFont="1" applyFill="1" applyBorder="1" applyAlignment="1">
      <alignment horizontal="center" vertical="center"/>
    </xf>
    <xf numFmtId="0" fontId="7" fillId="0" borderId="0" xfId="98" applyFont="1" applyFill="1" applyBorder="1" applyAlignment="1">
      <alignment vertical="center"/>
    </xf>
    <xf numFmtId="0" fontId="21" fillId="0" borderId="44" xfId="98" applyFont="1" applyFill="1" applyBorder="1" applyAlignment="1">
      <alignment vertical="center"/>
    </xf>
    <xf numFmtId="49" fontId="7" fillId="0" borderId="0" xfId="98" applyNumberFormat="1" applyFont="1" applyAlignment="1">
      <alignment horizontal="center" vertical="center"/>
    </xf>
    <xf numFmtId="0" fontId="7" fillId="0" borderId="0" xfId="98" applyFont="1" applyFill="1" applyAlignment="1">
      <alignment vertical="center"/>
    </xf>
    <xf numFmtId="0" fontId="14" fillId="0" borderId="0" xfId="98" applyFont="1" applyAlignment="1">
      <alignment vertical="center"/>
    </xf>
    <xf numFmtId="49" fontId="14" fillId="0" borderId="0" xfId="98" applyNumberFormat="1" applyFont="1" applyBorder="1" applyAlignment="1">
      <alignment horizontal="center" vertical="center"/>
    </xf>
    <xf numFmtId="49" fontId="14" fillId="0" borderId="0" xfId="98" applyNumberFormat="1" applyFont="1" applyFill="1" applyBorder="1" applyAlignment="1">
      <alignment horizontal="center" vertical="center"/>
    </xf>
    <xf numFmtId="0" fontId="14" fillId="20" borderId="0" xfId="98" applyFont="1" applyFill="1" applyBorder="1" applyAlignment="1">
      <alignment horizontal="center" vertical="center"/>
    </xf>
    <xf numFmtId="186" fontId="7" fillId="0" borderId="0" xfId="98" applyNumberFormat="1" applyFont="1" applyBorder="1" applyAlignment="1">
      <alignment horizontal="center" vertical="center"/>
    </xf>
    <xf numFmtId="0" fontId="14" fillId="0" borderId="0" xfId="98" applyFont="1" applyBorder="1" applyAlignment="1">
      <alignment vertical="center"/>
    </xf>
    <xf numFmtId="0" fontId="14" fillId="0" borderId="0" xfId="98" applyFont="1" applyAlignment="1">
      <alignment horizontal="center" vertical="center"/>
    </xf>
    <xf numFmtId="0" fontId="7" fillId="0" borderId="0" xfId="98"/>
    <xf numFmtId="0" fontId="21" fillId="0" borderId="0" xfId="98" applyNumberFormat="1" applyFont="1" applyBorder="1" applyAlignment="1">
      <alignment horizontal="right" vertical="center"/>
    </xf>
    <xf numFmtId="0" fontId="14" fillId="0" borderId="0" xfId="98" applyNumberFormat="1" applyFont="1" applyBorder="1" applyAlignment="1">
      <alignment horizontal="right" vertical="center"/>
    </xf>
    <xf numFmtId="0" fontId="14" fillId="0" borderId="44" xfId="98" applyFont="1" applyBorder="1" applyAlignment="1">
      <alignment horizontal="left" vertical="center"/>
    </xf>
    <xf numFmtId="0" fontId="7" fillId="0" borderId="44" xfId="98" applyFont="1" applyBorder="1" applyAlignment="1">
      <alignment horizontal="center" vertical="center"/>
    </xf>
    <xf numFmtId="49" fontId="21" fillId="0" borderId="3" xfId="98" applyNumberFormat="1" applyFont="1" applyBorder="1" applyAlignment="1">
      <alignment horizontal="center" vertical="center"/>
    </xf>
    <xf numFmtId="0" fontId="21" fillId="31" borderId="60" xfId="98" applyFont="1" applyFill="1" applyBorder="1" applyAlignment="1">
      <alignment vertical="center"/>
    </xf>
    <xf numFmtId="0" fontId="14" fillId="31" borderId="60" xfId="98" applyFont="1" applyFill="1" applyBorder="1" applyAlignment="1">
      <alignment vertical="center"/>
    </xf>
    <xf numFmtId="187" fontId="21" fillId="31" borderId="39" xfId="98" applyNumberFormat="1" applyFont="1" applyFill="1" applyBorder="1" applyAlignment="1">
      <alignment horizontal="right" vertical="center" indent="1"/>
    </xf>
    <xf numFmtId="0" fontId="8" fillId="0" borderId="55" xfId="98" applyFont="1" applyFill="1" applyBorder="1" applyAlignment="1">
      <alignment horizontal="left" vertical="center"/>
    </xf>
    <xf numFmtId="0" fontId="7" fillId="0" borderId="37" xfId="98" applyFont="1" applyFill="1" applyBorder="1" applyAlignment="1">
      <alignment horizontal="left" vertical="center"/>
    </xf>
    <xf numFmtId="0" fontId="7" fillId="0" borderId="57" xfId="98" applyFont="1" applyFill="1" applyBorder="1" applyAlignment="1">
      <alignment horizontal="left" vertical="center"/>
    </xf>
    <xf numFmtId="49" fontId="7" fillId="0" borderId="57" xfId="98" applyNumberFormat="1" applyFont="1" applyFill="1" applyBorder="1" applyAlignment="1">
      <alignment horizontal="center" vertical="center"/>
    </xf>
    <xf numFmtId="0" fontId="7" fillId="0" borderId="27" xfId="98" applyFont="1" applyFill="1" applyBorder="1" applyAlignment="1">
      <alignment horizontal="center" vertical="center"/>
    </xf>
    <xf numFmtId="0" fontId="7" fillId="0" borderId="17" xfId="98" applyFont="1" applyBorder="1" applyAlignment="1">
      <alignment vertical="center"/>
    </xf>
    <xf numFmtId="0" fontId="7" fillId="0" borderId="36" xfId="98" applyFont="1" applyBorder="1" applyAlignment="1">
      <alignment horizontal="left" vertical="center"/>
    </xf>
    <xf numFmtId="0" fontId="7" fillId="0" borderId="37" xfId="98" applyFont="1" applyBorder="1" applyAlignment="1">
      <alignment horizontal="left" vertical="center"/>
    </xf>
    <xf numFmtId="186" fontId="7" fillId="0" borderId="28" xfId="98" applyNumberFormat="1" applyFont="1" applyBorder="1" applyAlignment="1">
      <alignment horizontal="center" vertical="center"/>
    </xf>
    <xf numFmtId="0" fontId="7" fillId="0" borderId="24" xfId="98" applyFont="1" applyBorder="1" applyAlignment="1">
      <alignment vertical="center"/>
    </xf>
    <xf numFmtId="0" fontId="7" fillId="0" borderId="26" xfId="98" applyFont="1" applyBorder="1" applyAlignment="1">
      <alignment vertical="center"/>
    </xf>
    <xf numFmtId="49" fontId="69" fillId="0" borderId="3" xfId="98" applyNumberFormat="1" applyFont="1" applyBorder="1" applyAlignment="1">
      <alignment horizontal="center" vertical="center"/>
    </xf>
    <xf numFmtId="0" fontId="7" fillId="0" borderId="26" xfId="98" applyFont="1" applyBorder="1" applyAlignment="1">
      <alignment horizontal="left" vertical="center"/>
    </xf>
    <xf numFmtId="0" fontId="14" fillId="0" borderId="26" xfId="98" applyNumberFormat="1" applyFont="1" applyFill="1" applyBorder="1" applyAlignment="1">
      <alignment horizontal="center" vertical="center"/>
    </xf>
    <xf numFmtId="49" fontId="69" fillId="0" borderId="3" xfId="98" applyNumberFormat="1" applyFont="1" applyFill="1" applyBorder="1" applyAlignment="1">
      <alignment horizontal="center" vertical="center"/>
    </xf>
    <xf numFmtId="0" fontId="7" fillId="0" borderId="43" xfId="98" applyFont="1" applyBorder="1" applyAlignment="1">
      <alignment horizontal="left" vertical="center"/>
    </xf>
    <xf numFmtId="0" fontId="7" fillId="0" borderId="44" xfId="98" applyFont="1" applyBorder="1" applyAlignment="1">
      <alignment horizontal="left" vertical="center"/>
    </xf>
    <xf numFmtId="0" fontId="8" fillId="0" borderId="25" xfId="98" applyFont="1" applyBorder="1" applyAlignment="1">
      <alignment horizontal="left" vertical="center"/>
    </xf>
    <xf numFmtId="0" fontId="7" fillId="0" borderId="36" xfId="98" applyFont="1" applyBorder="1" applyAlignment="1">
      <alignment vertical="center"/>
    </xf>
    <xf numFmtId="178" fontId="7" fillId="0" borderId="37" xfId="98" applyNumberFormat="1" applyFont="1" applyBorder="1" applyAlignment="1">
      <alignment horizontal="center" vertical="center"/>
    </xf>
    <xf numFmtId="186" fontId="7" fillId="0" borderId="49" xfId="98" applyNumberFormat="1" applyFont="1" applyBorder="1" applyAlignment="1">
      <alignment horizontal="center" vertical="center"/>
    </xf>
    <xf numFmtId="49" fontId="7" fillId="31" borderId="0" xfId="98" applyNumberFormat="1" applyFont="1" applyFill="1" applyBorder="1" applyAlignment="1">
      <alignment horizontal="center" vertical="center"/>
    </xf>
    <xf numFmtId="49" fontId="7" fillId="0" borderId="37" xfId="98" applyNumberFormat="1" applyFont="1" applyFill="1" applyBorder="1" applyAlignment="1">
      <alignment horizontal="center" vertical="center"/>
    </xf>
    <xf numFmtId="186" fontId="7" fillId="0" borderId="61" xfId="98" applyNumberFormat="1" applyFont="1" applyFill="1" applyBorder="1" applyAlignment="1">
      <alignment horizontal="center" vertical="center"/>
    </xf>
    <xf numFmtId="0" fontId="7" fillId="0" borderId="17" xfId="98" applyFont="1" applyFill="1" applyBorder="1" applyAlignment="1">
      <alignment vertical="center"/>
    </xf>
    <xf numFmtId="186" fontId="7" fillId="0" borderId="51" xfId="98" applyNumberFormat="1" applyFont="1" applyBorder="1" applyAlignment="1">
      <alignment horizontal="center" vertical="center"/>
    </xf>
    <xf numFmtId="0" fontId="7" fillId="0" borderId="43" xfId="98" applyFont="1" applyBorder="1" applyAlignment="1">
      <alignment vertical="center"/>
    </xf>
    <xf numFmtId="0" fontId="21" fillId="0" borderId="59" xfId="98" applyFont="1" applyFill="1" applyBorder="1" applyAlignment="1">
      <alignment horizontal="center" vertical="center"/>
    </xf>
    <xf numFmtId="0" fontId="7" fillId="0" borderId="12" xfId="98" applyFont="1" applyBorder="1" applyAlignment="1">
      <alignment vertical="center"/>
    </xf>
    <xf numFmtId="0" fontId="7" fillId="0" borderId="12" xfId="98" applyFont="1" applyBorder="1" applyAlignment="1">
      <alignment horizontal="left" vertical="center"/>
    </xf>
    <xf numFmtId="49" fontId="14" fillId="0" borderId="12" xfId="98" applyNumberFormat="1" applyFont="1" applyFill="1" applyBorder="1" applyAlignment="1">
      <alignment horizontal="center" vertical="center"/>
    </xf>
    <xf numFmtId="0" fontId="14" fillId="20" borderId="12" xfId="98" applyFont="1" applyFill="1" applyBorder="1" applyAlignment="1">
      <alignment horizontal="center" vertical="center"/>
    </xf>
    <xf numFmtId="0" fontId="21" fillId="0" borderId="12" xfId="98" applyFont="1" applyFill="1" applyBorder="1" applyAlignment="1">
      <alignment horizontal="center" vertical="center"/>
    </xf>
    <xf numFmtId="0" fontId="14" fillId="0" borderId="12" xfId="98" applyFont="1" applyFill="1" applyBorder="1" applyAlignment="1">
      <alignment horizontal="center" vertical="center"/>
    </xf>
    <xf numFmtId="186" fontId="7" fillId="0" borderId="12" xfId="98" applyNumberFormat="1" applyFont="1" applyBorder="1" applyAlignment="1">
      <alignment horizontal="center" vertical="center"/>
    </xf>
    <xf numFmtId="0" fontId="7" fillId="0" borderId="34" xfId="98" applyFont="1" applyBorder="1" applyAlignment="1">
      <alignment vertical="center"/>
    </xf>
    <xf numFmtId="0" fontId="7" fillId="0" borderId="34" xfId="98" applyFont="1" applyBorder="1" applyAlignment="1">
      <alignment horizontal="left" vertical="center"/>
    </xf>
    <xf numFmtId="49" fontId="14" fillId="0" borderId="34" xfId="98" applyNumberFormat="1" applyFont="1" applyFill="1" applyBorder="1" applyAlignment="1">
      <alignment horizontal="center" vertical="center"/>
    </xf>
    <xf numFmtId="186" fontId="7" fillId="0" borderId="34" xfId="98" applyNumberFormat="1" applyFont="1" applyBorder="1" applyAlignment="1">
      <alignment horizontal="center" vertical="center"/>
    </xf>
    <xf numFmtId="0" fontId="7" fillId="22" borderId="0" xfId="98" applyFont="1" applyFill="1" applyBorder="1" applyAlignment="1">
      <alignment horizontal="left" vertical="center"/>
    </xf>
    <xf numFmtId="186" fontId="7" fillId="0" borderId="11" xfId="98" applyNumberFormat="1" applyFont="1" applyBorder="1" applyAlignment="1">
      <alignment horizontal="center" vertical="center"/>
    </xf>
    <xf numFmtId="49" fontId="69" fillId="0" borderId="3" xfId="100" applyNumberFormat="1" applyFont="1" applyFill="1" applyBorder="1" applyAlignment="1">
      <alignment horizontal="center" vertical="center"/>
    </xf>
    <xf numFmtId="0" fontId="7" fillId="0" borderId="51" xfId="98" applyFont="1" applyBorder="1" applyAlignment="1">
      <alignment horizontal="left" vertical="center"/>
    </xf>
    <xf numFmtId="0" fontId="8" fillId="0" borderId="25" xfId="98" applyFont="1" applyFill="1" applyBorder="1" applyAlignment="1">
      <alignment horizontal="left" vertical="center"/>
    </xf>
    <xf numFmtId="0" fontId="7" fillId="0" borderId="26" xfId="98" applyFont="1" applyFill="1" applyBorder="1" applyAlignment="1">
      <alignment horizontal="left" vertical="center"/>
    </xf>
    <xf numFmtId="186" fontId="7" fillId="0" borderId="28" xfId="98" applyNumberFormat="1" applyFont="1" applyFill="1" applyBorder="1" applyAlignment="1">
      <alignment horizontal="center" vertical="center"/>
    </xf>
    <xf numFmtId="0" fontId="7" fillId="0" borderId="55" xfId="98" applyFont="1" applyBorder="1" applyAlignment="1">
      <alignment vertical="center"/>
    </xf>
    <xf numFmtId="49" fontId="7" fillId="0" borderId="0" xfId="100" applyNumberFormat="1" applyFont="1" applyFill="1" applyBorder="1" applyAlignment="1">
      <alignment horizontal="center"/>
    </xf>
    <xf numFmtId="0" fontId="8" fillId="0" borderId="17" xfId="98" applyFont="1" applyFill="1" applyBorder="1" applyAlignment="1">
      <alignment horizontal="left" vertical="center"/>
    </xf>
    <xf numFmtId="186" fontId="7" fillId="0" borderId="49" xfId="98" applyNumberFormat="1" applyFont="1" applyFill="1" applyBorder="1" applyAlignment="1">
      <alignment horizontal="center" vertical="center"/>
    </xf>
    <xf numFmtId="49" fontId="69" fillId="29" borderId="3" xfId="98" applyNumberFormat="1" applyFont="1" applyFill="1" applyBorder="1" applyAlignment="1">
      <alignment horizontal="center" vertical="center"/>
    </xf>
    <xf numFmtId="0" fontId="7" fillId="0" borderId="16" xfId="98" applyFont="1" applyBorder="1" applyAlignment="1">
      <alignment vertical="center"/>
    </xf>
    <xf numFmtId="0" fontId="14" fillId="0" borderId="12" xfId="98" applyNumberFormat="1" applyFont="1" applyFill="1" applyBorder="1" applyAlignment="1">
      <alignment horizontal="center" vertical="center"/>
    </xf>
    <xf numFmtId="186" fontId="7" fillId="0" borderId="40" xfId="98" applyNumberFormat="1" applyFont="1" applyBorder="1" applyAlignment="1">
      <alignment horizontal="center" vertical="center"/>
    </xf>
    <xf numFmtId="0" fontId="21" fillId="31" borderId="39" xfId="98" applyFont="1" applyFill="1" applyBorder="1" applyAlignment="1">
      <alignment vertical="center"/>
    </xf>
    <xf numFmtId="186" fontId="7" fillId="0" borderId="61" xfId="98" applyNumberFormat="1" applyFont="1" applyBorder="1" applyAlignment="1">
      <alignment horizontal="center" vertical="center"/>
    </xf>
    <xf numFmtId="0" fontId="7" fillId="0" borderId="12" xfId="98" applyFont="1" applyFill="1" applyBorder="1" applyAlignment="1">
      <alignment vertical="center"/>
    </xf>
    <xf numFmtId="0" fontId="7" fillId="0" borderId="12" xfId="98" applyFont="1" applyFill="1" applyBorder="1" applyAlignment="1">
      <alignment horizontal="left" vertical="center"/>
    </xf>
    <xf numFmtId="186" fontId="7" fillId="0" borderId="12" xfId="98" applyNumberFormat="1" applyFont="1" applyFill="1" applyBorder="1" applyAlignment="1">
      <alignment horizontal="center" vertical="center"/>
    </xf>
    <xf numFmtId="0" fontId="7" fillId="0" borderId="34" xfId="98" applyFont="1" applyFill="1" applyBorder="1" applyAlignment="1">
      <alignment vertical="center"/>
    </xf>
    <xf numFmtId="0" fontId="7" fillId="0" borderId="34" xfId="98" applyFont="1" applyFill="1" applyBorder="1" applyAlignment="1">
      <alignment horizontal="left" vertical="center"/>
    </xf>
    <xf numFmtId="186" fontId="7" fillId="0" borderId="34" xfId="98" applyNumberFormat="1" applyFont="1" applyFill="1" applyBorder="1" applyAlignment="1">
      <alignment horizontal="center" vertical="center"/>
    </xf>
    <xf numFmtId="0" fontId="8" fillId="31" borderId="16" xfId="98" applyFont="1" applyFill="1" applyBorder="1" applyAlignment="1">
      <alignment horizontal="left" vertical="center"/>
    </xf>
    <xf numFmtId="0" fontId="7" fillId="31" borderId="12" xfId="98" applyFont="1" applyFill="1" applyBorder="1" applyAlignment="1">
      <alignment horizontal="left" vertical="center"/>
    </xf>
    <xf numFmtId="0" fontId="68" fillId="31" borderId="41" xfId="98" applyFont="1" applyFill="1" applyBorder="1" applyAlignment="1">
      <alignment vertical="center"/>
    </xf>
    <xf numFmtId="0" fontId="68" fillId="31" borderId="62" xfId="98" applyFont="1" applyFill="1" applyBorder="1" applyAlignment="1">
      <alignment vertical="center"/>
    </xf>
    <xf numFmtId="0" fontId="68" fillId="31" borderId="63" xfId="98" applyFont="1" applyFill="1" applyBorder="1" applyAlignment="1">
      <alignment vertical="center"/>
    </xf>
    <xf numFmtId="0" fontId="7" fillId="31" borderId="34" xfId="98" applyFont="1" applyFill="1" applyBorder="1" applyAlignment="1">
      <alignment horizontal="left" vertical="center"/>
    </xf>
    <xf numFmtId="0" fontId="17" fillId="0" borderId="64" xfId="98" applyNumberFormat="1" applyFont="1" applyFill="1" applyBorder="1" applyAlignment="1">
      <alignment vertical="center"/>
    </xf>
    <xf numFmtId="0" fontId="17" fillId="0" borderId="57" xfId="98" applyNumberFormat="1" applyFont="1" applyFill="1" applyBorder="1" applyAlignment="1">
      <alignment vertical="center"/>
    </xf>
    <xf numFmtId="0" fontId="17" fillId="0" borderId="22" xfId="98" applyNumberFormat="1" applyFont="1" applyFill="1" applyBorder="1" applyAlignment="1">
      <alignment vertical="center"/>
    </xf>
    <xf numFmtId="0" fontId="17" fillId="0" borderId="57" xfId="98" applyNumberFormat="1" applyFont="1" applyFill="1" applyBorder="1" applyAlignment="1">
      <alignment horizontal="left" vertical="center"/>
    </xf>
    <xf numFmtId="0" fontId="14" fillId="0" borderId="65" xfId="98" applyNumberFormat="1" applyFont="1" applyFill="1" applyBorder="1" applyAlignment="1">
      <alignment horizontal="center" vertical="center"/>
    </xf>
    <xf numFmtId="0" fontId="17" fillId="0" borderId="65" xfId="98" applyNumberFormat="1" applyFont="1" applyFill="1" applyBorder="1" applyAlignment="1">
      <alignment horizontal="center" vertical="center"/>
    </xf>
    <xf numFmtId="0" fontId="7" fillId="0" borderId="55" xfId="98" applyFont="1" applyBorder="1" applyAlignment="1">
      <alignment horizontal="left" vertical="center"/>
    </xf>
    <xf numFmtId="0" fontId="68" fillId="0" borderId="66" xfId="98" applyFont="1" applyFill="1" applyBorder="1" applyAlignment="1">
      <alignment vertical="center"/>
    </xf>
    <xf numFmtId="0" fontId="17" fillId="0" borderId="36" xfId="98" applyFont="1" applyFill="1" applyBorder="1" applyAlignment="1">
      <alignment vertical="center"/>
    </xf>
    <xf numFmtId="0" fontId="53" fillId="0" borderId="61" xfId="98" applyFont="1" applyFill="1" applyBorder="1" applyAlignment="1">
      <alignment horizontal="center" vertical="center" wrapText="1"/>
    </xf>
    <xf numFmtId="0" fontId="17" fillId="0" borderId="24" xfId="100" applyFont="1" applyBorder="1"/>
    <xf numFmtId="0" fontId="72" fillId="0" borderId="55" xfId="98" applyFont="1" applyBorder="1" applyAlignment="1">
      <alignment horizontal="left" vertical="center"/>
    </xf>
    <xf numFmtId="0" fontId="17" fillId="0" borderId="36" xfId="100" applyFont="1" applyBorder="1"/>
    <xf numFmtId="0" fontId="7" fillId="0" borderId="66" xfId="98" applyFont="1" applyBorder="1" applyAlignment="1">
      <alignment vertical="center"/>
    </xf>
    <xf numFmtId="0" fontId="7" fillId="0" borderId="25" xfId="98" applyFont="1" applyBorder="1" applyAlignment="1">
      <alignment vertical="center"/>
    </xf>
    <xf numFmtId="0" fontId="7" fillId="0" borderId="14" xfId="98" applyFont="1" applyBorder="1" applyAlignment="1">
      <alignment vertical="center"/>
    </xf>
    <xf numFmtId="0" fontId="7" fillId="0" borderId="28" xfId="98" applyFont="1" applyFill="1" applyBorder="1" applyAlignment="1">
      <alignment horizontal="left" vertical="center"/>
    </xf>
    <xf numFmtId="0" fontId="7" fillId="0" borderId="24" xfId="98" applyFont="1" applyFill="1" applyBorder="1" applyAlignment="1">
      <alignment horizontal="left" vertical="center"/>
    </xf>
    <xf numFmtId="0" fontId="72" fillId="0" borderId="24" xfId="98" applyFont="1" applyBorder="1" applyAlignment="1">
      <alignment vertical="center"/>
    </xf>
    <xf numFmtId="49" fontId="73" fillId="0" borderId="49" xfId="98" applyNumberFormat="1" applyFont="1" applyFill="1" applyBorder="1" applyAlignment="1">
      <alignment horizontal="center" vertical="center"/>
    </xf>
    <xf numFmtId="0" fontId="7" fillId="0" borderId="36" xfId="98" applyFont="1" applyFill="1" applyBorder="1" applyAlignment="1">
      <alignment vertical="center"/>
    </xf>
    <xf numFmtId="0" fontId="7" fillId="0" borderId="49" xfId="98" applyBorder="1"/>
    <xf numFmtId="0" fontId="7" fillId="0" borderId="61" xfId="98" applyFont="1" applyFill="1" applyBorder="1" applyAlignment="1">
      <alignment horizontal="left" vertical="center"/>
    </xf>
    <xf numFmtId="0" fontId="7" fillId="0" borderId="0" xfId="98" applyFont="1" applyFill="1"/>
    <xf numFmtId="0" fontId="7" fillId="0" borderId="25" xfId="98" applyBorder="1"/>
    <xf numFmtId="0" fontId="7" fillId="0" borderId="14" xfId="98" applyBorder="1"/>
    <xf numFmtId="0" fontId="7" fillId="0" borderId="26" xfId="98" applyFont="1" applyBorder="1"/>
    <xf numFmtId="0" fontId="7" fillId="0" borderId="28" xfId="98" applyBorder="1"/>
    <xf numFmtId="0" fontId="7" fillId="0" borderId="26" xfId="98" applyBorder="1"/>
    <xf numFmtId="0" fontId="7" fillId="0" borderId="25" xfId="98" applyFont="1" applyBorder="1"/>
    <xf numFmtId="0" fontId="7" fillId="0" borderId="52" xfId="98" applyBorder="1"/>
    <xf numFmtId="0" fontId="7" fillId="0" borderId="67" xfId="98" applyBorder="1"/>
    <xf numFmtId="0" fontId="7" fillId="0" borderId="53" xfId="98" applyBorder="1"/>
    <xf numFmtId="0" fontId="7" fillId="0" borderId="30" xfId="98" applyBorder="1"/>
    <xf numFmtId="0" fontId="7" fillId="0" borderId="54" xfId="98" applyBorder="1"/>
    <xf numFmtId="0" fontId="7" fillId="36" borderId="0" xfId="0" applyFont="1" applyFill="1"/>
    <xf numFmtId="0" fontId="21" fillId="0" borderId="50" xfId="98" applyFont="1" applyFill="1" applyBorder="1" applyAlignment="1">
      <alignment vertical="center"/>
    </xf>
    <xf numFmtId="184" fontId="21" fillId="0" borderId="25" xfId="98" applyNumberFormat="1" applyFont="1" applyFill="1" applyBorder="1" applyAlignment="1">
      <alignment horizontal="left" vertical="center"/>
    </xf>
    <xf numFmtId="19" fontId="21" fillId="0" borderId="3" xfId="98" applyNumberFormat="1" applyFont="1" applyBorder="1" applyAlignment="1">
      <alignment horizontal="center" vertical="center"/>
    </xf>
    <xf numFmtId="0" fontId="7" fillId="0" borderId="0" xfId="0" applyFont="1" applyAlignment="1">
      <alignment horizontal="left" vertical="center"/>
    </xf>
    <xf numFmtId="0" fontId="21" fillId="0" borderId="0" xfId="0" applyFont="1" applyBorder="1" applyAlignment="1">
      <alignment horizontal="center" vertical="center"/>
    </xf>
    <xf numFmtId="0" fontId="19" fillId="0" borderId="22" xfId="0" applyFont="1" applyFill="1" applyBorder="1" applyAlignment="1">
      <alignment horizontal="center"/>
    </xf>
    <xf numFmtId="0" fontId="19" fillId="0" borderId="24" xfId="0" applyFont="1" applyFill="1" applyBorder="1" applyAlignment="1">
      <alignment horizontal="center"/>
    </xf>
    <xf numFmtId="0" fontId="19" fillId="0" borderId="29" xfId="0" applyFont="1" applyFill="1" applyBorder="1" applyAlignment="1">
      <alignment horizontal="center"/>
    </xf>
    <xf numFmtId="0" fontId="14" fillId="37" borderId="0" xfId="0" applyFont="1" applyFill="1"/>
    <xf numFmtId="0" fontId="14" fillId="37" borderId="0" xfId="0" applyFont="1" applyFill="1" applyAlignment="1">
      <alignment horizontal="center"/>
    </xf>
    <xf numFmtId="0" fontId="19" fillId="37" borderId="0" xfId="0" applyFont="1" applyFill="1"/>
    <xf numFmtId="49" fontId="7" fillId="0" borderId="0" xfId="0" applyNumberFormat="1" applyFont="1" applyAlignment="1">
      <alignment horizontal="center" vertical="center"/>
    </xf>
    <xf numFmtId="0" fontId="7" fillId="20" borderId="0" xfId="0" applyFont="1" applyFill="1" applyAlignment="1">
      <alignment horizontal="right" vertical="center"/>
    </xf>
    <xf numFmtId="0" fontId="7" fillId="0" borderId="0" xfId="0" applyFont="1" applyAlignment="1">
      <alignment horizontal="right" vertical="center"/>
    </xf>
    <xf numFmtId="0" fontId="28" fillId="0" borderId="12" xfId="0" applyNumberFormat="1" applyFont="1" applyBorder="1" applyAlignment="1">
      <alignment horizontal="center" vertical="center"/>
    </xf>
    <xf numFmtId="0" fontId="19" fillId="0" borderId="12" xfId="0" applyNumberFormat="1" applyFont="1" applyBorder="1" applyAlignment="1">
      <alignment horizontal="center"/>
    </xf>
    <xf numFmtId="0" fontId="28" fillId="0" borderId="0" xfId="0" applyNumberFormat="1" applyFont="1" applyBorder="1" applyAlignment="1">
      <alignment horizontal="center" vertical="center"/>
    </xf>
    <xf numFmtId="0" fontId="19" fillId="0" borderId="0" xfId="0" applyNumberFormat="1" applyFont="1" applyBorder="1" applyAlignment="1">
      <alignment horizontal="center"/>
    </xf>
    <xf numFmtId="0" fontId="28" fillId="0" borderId="13" xfId="0" applyNumberFormat="1" applyFont="1" applyBorder="1" applyAlignment="1">
      <alignment horizontal="center"/>
    </xf>
    <xf numFmtId="0" fontId="19" fillId="0" borderId="0" xfId="0" applyNumberFormat="1" applyFont="1" applyFill="1" applyBorder="1" applyAlignment="1">
      <alignment horizontal="center"/>
    </xf>
    <xf numFmtId="0" fontId="32" fillId="0" borderId="15" xfId="0" applyNumberFormat="1" applyFont="1" applyBorder="1" applyAlignment="1">
      <alignment horizontal="center"/>
    </xf>
    <xf numFmtId="0" fontId="32" fillId="0" borderId="3" xfId="0" applyNumberFormat="1" applyFont="1" applyBorder="1" applyAlignment="1">
      <alignment horizontal="center"/>
    </xf>
    <xf numFmtId="0" fontId="32" fillId="0" borderId="20" xfId="0" applyNumberFormat="1" applyFont="1" applyBorder="1" applyAlignment="1">
      <alignment horizontal="center"/>
    </xf>
    <xf numFmtId="0" fontId="19" fillId="0" borderId="0" xfId="0" applyNumberFormat="1" applyFont="1" applyAlignment="1">
      <alignment horizontal="center"/>
    </xf>
    <xf numFmtId="0" fontId="7" fillId="0" borderId="0" xfId="96" applyFont="1" applyFill="1" applyBorder="1"/>
    <xf numFmtId="0" fontId="7" fillId="0" borderId="0" xfId="0" applyFont="1" applyFill="1" applyBorder="1" applyAlignment="1">
      <alignment horizontal="right" vertical="center"/>
    </xf>
    <xf numFmtId="0" fontId="7" fillId="20" borderId="0" xfId="0" applyFont="1" applyFill="1" applyAlignment="1">
      <alignment vertical="center"/>
    </xf>
    <xf numFmtId="49" fontId="14" fillId="0" borderId="3" xfId="0" applyNumberFormat="1" applyFont="1" applyFill="1" applyBorder="1" applyAlignment="1">
      <alignment horizontal="right"/>
    </xf>
    <xf numFmtId="49" fontId="7" fillId="0" borderId="0" xfId="0" applyNumberFormat="1" applyFont="1" applyAlignment="1">
      <alignment horizontal="center"/>
    </xf>
    <xf numFmtId="0" fontId="14" fillId="0" borderId="59" xfId="98" applyFont="1" applyFill="1" applyBorder="1" applyAlignment="1">
      <alignment horizontal="center" vertical="center"/>
    </xf>
    <xf numFmtId="0" fontId="14" fillId="0" borderId="16" xfId="0" applyFont="1" applyBorder="1"/>
    <xf numFmtId="0" fontId="21" fillId="0" borderId="12" xfId="0" applyFont="1" applyBorder="1" applyAlignment="1"/>
    <xf numFmtId="0" fontId="11" fillId="0" borderId="12" xfId="0" applyFont="1" applyBorder="1" applyAlignment="1"/>
    <xf numFmtId="0" fontId="21" fillId="0" borderId="12" xfId="0" applyFont="1" applyBorder="1" applyAlignment="1">
      <alignment vertical="center"/>
    </xf>
    <xf numFmtId="0" fontId="21" fillId="0" borderId="40" xfId="0" applyFont="1" applyBorder="1" applyAlignment="1">
      <alignment vertical="center"/>
    </xf>
    <xf numFmtId="0" fontId="14" fillId="0" borderId="17" xfId="0" applyFont="1" applyBorder="1"/>
    <xf numFmtId="0" fontId="11" fillId="0" borderId="0" xfId="0" applyFont="1" applyBorder="1" applyAlignment="1"/>
    <xf numFmtId="0" fontId="21" fillId="0" borderId="11" xfId="0" applyFont="1" applyBorder="1" applyAlignment="1">
      <alignment vertical="center"/>
    </xf>
    <xf numFmtId="0" fontId="14" fillId="0" borderId="17" xfId="0" applyNumberFormat="1" applyFont="1" applyBorder="1"/>
    <xf numFmtId="0" fontId="14" fillId="0" borderId="0" xfId="0" applyNumberFormat="1" applyFont="1" applyBorder="1"/>
    <xf numFmtId="0" fontId="14" fillId="0" borderId="0" xfId="0" applyNumberFormat="1" applyFont="1" applyBorder="1" applyAlignment="1">
      <alignment horizontal="center"/>
    </xf>
    <xf numFmtId="0" fontId="0" fillId="0" borderId="11" xfId="0" applyBorder="1" applyAlignment="1">
      <alignment horizontal="center"/>
    </xf>
    <xf numFmtId="0" fontId="14" fillId="0" borderId="0" xfId="0" applyNumberFormat="1" applyFont="1" applyBorder="1" applyAlignment="1">
      <alignment horizontal="left"/>
    </xf>
    <xf numFmtId="0" fontId="0" fillId="0" borderId="0" xfId="0" applyNumberFormat="1" applyBorder="1" applyAlignment="1">
      <alignment horizontal="center"/>
    </xf>
    <xf numFmtId="14" fontId="14" fillId="0" borderId="3" xfId="0" applyNumberFormat="1" applyFont="1" applyBorder="1" applyAlignment="1">
      <alignment horizontal="center"/>
    </xf>
    <xf numFmtId="0" fontId="26" fillId="0" borderId="17" xfId="0" applyNumberFormat="1" applyFont="1" applyBorder="1"/>
    <xf numFmtId="0" fontId="14" fillId="0" borderId="17" xfId="0" applyFont="1" applyBorder="1" applyAlignment="1">
      <alignment horizontal="center"/>
    </xf>
    <xf numFmtId="0" fontId="12" fillId="0" borderId="0" xfId="0" applyFont="1"/>
    <xf numFmtId="0" fontId="21" fillId="0" borderId="48" xfId="0" applyFont="1" applyBorder="1" applyAlignment="1">
      <alignment vertical="center"/>
    </xf>
    <xf numFmtId="0" fontId="21" fillId="0" borderId="47" xfId="0" applyFont="1" applyBorder="1" applyAlignment="1">
      <alignment horizontal="center" vertical="center" wrapText="1"/>
    </xf>
    <xf numFmtId="0" fontId="0" fillId="0" borderId="33" xfId="0" applyBorder="1" applyAlignment="1">
      <alignment horizontal="center"/>
    </xf>
    <xf numFmtId="0" fontId="8" fillId="0" borderId="68" xfId="0" applyFont="1" applyBorder="1" applyAlignment="1">
      <alignment vertical="center"/>
    </xf>
    <xf numFmtId="0" fontId="21" fillId="0" borderId="31" xfId="0" applyFont="1" applyBorder="1" applyAlignment="1">
      <alignment horizontal="center" vertical="center"/>
    </xf>
    <xf numFmtId="0" fontId="0" fillId="0" borderId="69" xfId="0" applyBorder="1" applyAlignment="1">
      <alignment horizontal="center"/>
    </xf>
    <xf numFmtId="0" fontId="21" fillId="0" borderId="65" xfId="0" applyNumberFormat="1" applyFont="1" applyFill="1" applyBorder="1" applyAlignment="1">
      <alignment horizontal="center" vertical="center"/>
    </xf>
    <xf numFmtId="0" fontId="21" fillId="0" borderId="56" xfId="0" applyNumberFormat="1" applyFont="1" applyFill="1" applyBorder="1" applyAlignment="1">
      <alignment horizontal="center" vertical="center"/>
    </xf>
    <xf numFmtId="0" fontId="14" fillId="0" borderId="27" xfId="0" applyNumberFormat="1" applyFont="1" applyBorder="1" applyAlignment="1">
      <alignment horizontal="center"/>
    </xf>
    <xf numFmtId="0" fontId="14" fillId="0" borderId="3" xfId="0" applyFont="1" applyBorder="1" applyAlignment="1">
      <alignment horizontal="center" vertical="center"/>
    </xf>
    <xf numFmtId="49" fontId="12" fillId="0" borderId="70" xfId="0" applyNumberFormat="1" applyFont="1" applyFill="1" applyBorder="1" applyAlignment="1">
      <alignment horizontal="left" vertical="center"/>
    </xf>
    <xf numFmtId="49" fontId="12" fillId="0" borderId="15" xfId="0" applyNumberFormat="1" applyFont="1" applyFill="1" applyBorder="1" applyAlignment="1">
      <alignment horizontal="center" vertical="center"/>
    </xf>
    <xf numFmtId="49" fontId="12" fillId="0" borderId="71" xfId="0" applyNumberFormat="1" applyFont="1" applyFill="1" applyBorder="1" applyAlignment="1">
      <alignment horizontal="left" vertical="center"/>
    </xf>
    <xf numFmtId="0" fontId="14" fillId="0" borderId="24" xfId="0" applyNumberFormat="1" applyFont="1" applyFill="1" applyBorder="1" applyAlignment="1">
      <alignment horizontal="center" vertical="center"/>
    </xf>
    <xf numFmtId="0" fontId="21" fillId="0" borderId="49" xfId="0" applyNumberFormat="1" applyFont="1" applyFill="1" applyBorder="1" applyAlignment="1">
      <alignment horizontal="center" vertical="center"/>
    </xf>
    <xf numFmtId="0" fontId="14" fillId="0" borderId="28" xfId="0" applyNumberFormat="1" applyFont="1" applyBorder="1" applyAlignment="1">
      <alignment horizontal="center"/>
    </xf>
    <xf numFmtId="49" fontId="12" fillId="0" borderId="72" xfId="0" applyNumberFormat="1" applyFont="1" applyFill="1" applyBorder="1" applyAlignment="1">
      <alignment horizontal="left" vertical="center"/>
    </xf>
    <xf numFmtId="0" fontId="12" fillId="0" borderId="72" xfId="0" applyNumberFormat="1" applyFont="1" applyFill="1" applyBorder="1" applyAlignment="1">
      <alignment horizontal="left" vertical="center"/>
    </xf>
    <xf numFmtId="0" fontId="14" fillId="0" borderId="29" xfId="0" applyNumberFormat="1" applyFont="1" applyFill="1" applyBorder="1" applyAlignment="1">
      <alignment horizontal="center" vertical="center"/>
    </xf>
    <xf numFmtId="0" fontId="21" fillId="0" borderId="54" xfId="0" applyNumberFormat="1" applyFont="1" applyFill="1" applyBorder="1" applyAlignment="1">
      <alignment horizontal="center" vertical="center"/>
    </xf>
    <xf numFmtId="0" fontId="14" fillId="0" borderId="30" xfId="0" applyNumberFormat="1" applyFont="1" applyBorder="1" applyAlignment="1">
      <alignment horizontal="center"/>
    </xf>
    <xf numFmtId="0" fontId="12" fillId="0" borderId="73" xfId="0" applyNumberFormat="1" applyFont="1" applyFill="1" applyBorder="1" applyAlignment="1">
      <alignment horizontal="left" vertical="center"/>
    </xf>
    <xf numFmtId="49" fontId="12" fillId="0" borderId="20" xfId="0" applyNumberFormat="1" applyFont="1" applyFill="1" applyBorder="1" applyAlignment="1">
      <alignment horizontal="center" vertical="center"/>
    </xf>
    <xf numFmtId="49" fontId="75" fillId="0" borderId="3" xfId="0" applyNumberFormat="1" applyFont="1" applyBorder="1" applyAlignment="1">
      <alignment horizontal="center" vertical="center"/>
    </xf>
    <xf numFmtId="19" fontId="14" fillId="0" borderId="3" xfId="0" applyNumberFormat="1" applyFont="1" applyBorder="1" applyAlignment="1">
      <alignment horizontal="center"/>
    </xf>
    <xf numFmtId="49" fontId="14" fillId="0" borderId="36" xfId="0" applyNumberFormat="1" applyFont="1" applyFill="1" applyBorder="1" applyAlignment="1">
      <alignment horizontal="center" vertical="center"/>
    </xf>
    <xf numFmtId="0" fontId="14" fillId="0" borderId="69" xfId="0" applyFont="1" applyFill="1" applyBorder="1" applyAlignment="1">
      <alignment horizontal="center"/>
    </xf>
    <xf numFmtId="0" fontId="14" fillId="0" borderId="0" xfId="0" applyFont="1" applyFill="1" applyAlignment="1">
      <alignment horizontal="center"/>
    </xf>
    <xf numFmtId="0" fontId="25" fillId="29" borderId="0" xfId="0" applyNumberFormat="1" applyFont="1" applyFill="1" applyBorder="1" applyAlignment="1">
      <alignment horizontal="left"/>
    </xf>
    <xf numFmtId="0" fontId="19" fillId="29" borderId="0" xfId="0" applyFont="1" applyFill="1" applyBorder="1" applyAlignment="1">
      <alignment horizontal="left"/>
    </xf>
    <xf numFmtId="0" fontId="8" fillId="20" borderId="0" xfId="96" applyFont="1" applyFill="1" applyBorder="1"/>
    <xf numFmtId="0" fontId="0" fillId="50" borderId="3" xfId="0" applyFill="1" applyBorder="1" applyAlignment="1">
      <alignment horizontal="center" vertical="center"/>
    </xf>
    <xf numFmtId="0" fontId="7" fillId="0" borderId="0" xfId="0" applyFont="1" applyAlignment="1">
      <alignment horizontal="center" wrapText="1"/>
    </xf>
    <xf numFmtId="0" fontId="7" fillId="22" borderId="3" xfId="0" applyFont="1" applyFill="1" applyBorder="1" applyAlignment="1">
      <alignment horizontal="center" vertical="center"/>
    </xf>
    <xf numFmtId="0" fontId="0" fillId="0" borderId="3" xfId="0" applyBorder="1" applyAlignment="1">
      <alignment horizontal="center" vertical="center"/>
    </xf>
    <xf numFmtId="0" fontId="0" fillId="51" borderId="3" xfId="0" applyFill="1" applyBorder="1" applyAlignment="1">
      <alignment horizontal="center" vertical="center"/>
    </xf>
    <xf numFmtId="0" fontId="0" fillId="52" borderId="3" xfId="0" applyFill="1" applyBorder="1" applyAlignment="1">
      <alignment horizontal="center" vertical="center"/>
    </xf>
    <xf numFmtId="0" fontId="7" fillId="0" borderId="3" xfId="0" applyFont="1" applyBorder="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71" fillId="0" borderId="0" xfId="0" applyFont="1" applyAlignment="1">
      <alignment horizontal="center" vertical="center"/>
    </xf>
    <xf numFmtId="0" fontId="7" fillId="0" borderId="3" xfId="0" applyNumberFormat="1" applyFont="1" applyBorder="1" applyAlignment="1">
      <alignment horizontal="center" vertical="center"/>
    </xf>
    <xf numFmtId="0" fontId="18" fillId="50" borderId="3" xfId="0" applyFont="1" applyFill="1" applyBorder="1" applyAlignment="1">
      <alignment horizontal="center" vertical="center"/>
    </xf>
    <xf numFmtId="0" fontId="0" fillId="0" borderId="0" xfId="0" applyBorder="1" applyAlignment="1">
      <alignment horizontal="center" vertical="center"/>
    </xf>
    <xf numFmtId="0" fontId="0" fillId="0" borderId="43" xfId="0" applyBorder="1" applyAlignment="1">
      <alignment horizontal="center" vertical="center"/>
    </xf>
    <xf numFmtId="0" fontId="14" fillId="0" borderId="26" xfId="98" applyFont="1" applyFill="1" applyBorder="1" applyAlignment="1">
      <alignment horizontal="left" vertical="center"/>
    </xf>
    <xf numFmtId="0" fontId="21" fillId="0" borderId="28" xfId="98" applyFont="1" applyFill="1" applyBorder="1" applyAlignment="1">
      <alignment vertical="center"/>
    </xf>
    <xf numFmtId="0" fontId="12" fillId="0" borderId="0" xfId="0" applyFont="1" applyFill="1" applyBorder="1" applyAlignment="1">
      <alignment horizontal="right" vertical="center"/>
    </xf>
    <xf numFmtId="167" fontId="21" fillId="0" borderId="49" xfId="98" applyNumberFormat="1" applyFont="1" applyFill="1" applyBorder="1" applyAlignment="1">
      <alignment horizontal="center" vertical="center"/>
    </xf>
    <xf numFmtId="0" fontId="0" fillId="0" borderId="26" xfId="0" applyFill="1" applyBorder="1" applyAlignment="1">
      <alignment horizontal="center" vertical="center"/>
    </xf>
    <xf numFmtId="0" fontId="0" fillId="46" borderId="0" xfId="0" applyFill="1" applyAlignment="1">
      <alignment horizontal="center" vertical="center"/>
    </xf>
    <xf numFmtId="49" fontId="14" fillId="0" borderId="23" xfId="0" applyNumberFormat="1" applyFont="1" applyFill="1" applyBorder="1" applyAlignment="1">
      <alignment horizontal="center"/>
    </xf>
    <xf numFmtId="49" fontId="144" fillId="0" borderId="23" xfId="0" applyNumberFormat="1" applyFont="1" applyFill="1" applyBorder="1" applyAlignment="1">
      <alignment horizontal="center"/>
    </xf>
    <xf numFmtId="0" fontId="24" fillId="0" borderId="36" xfId="96" applyFont="1" applyBorder="1" applyAlignment="1">
      <alignment vertical="center"/>
    </xf>
    <xf numFmtId="0" fontId="24" fillId="0" borderId="66" xfId="96" applyFont="1" applyBorder="1" applyAlignment="1">
      <alignment vertical="center"/>
    </xf>
    <xf numFmtId="0" fontId="7" fillId="20" borderId="0" xfId="96" applyFont="1" applyFill="1" applyBorder="1"/>
    <xf numFmtId="0" fontId="7" fillId="53" borderId="0" xfId="0" applyFont="1" applyFill="1"/>
    <xf numFmtId="0" fontId="7" fillId="46" borderId="0" xfId="0" applyFont="1" applyFill="1" applyAlignment="1">
      <alignment horizontal="center"/>
    </xf>
    <xf numFmtId="0" fontId="7" fillId="0" borderId="3" xfId="0" applyFont="1" applyBorder="1" applyAlignment="1">
      <alignment horizontal="center"/>
    </xf>
    <xf numFmtId="0" fontId="20" fillId="0" borderId="0" xfId="0" applyFont="1" applyFill="1" applyBorder="1" applyAlignment="1">
      <alignment vertical="center"/>
    </xf>
    <xf numFmtId="0" fontId="77" fillId="0" borderId="0" xfId="0" applyFont="1" applyAlignment="1">
      <alignment horizontal="center" vertical="center"/>
    </xf>
    <xf numFmtId="0" fontId="8" fillId="0" borderId="0" xfId="0" applyFont="1" applyAlignment="1">
      <alignment horizontal="right" vertical="center"/>
    </xf>
    <xf numFmtId="0" fontId="21" fillId="0" borderId="69" xfId="0" applyFont="1" applyBorder="1" applyAlignment="1">
      <alignment horizontal="center" vertical="center"/>
    </xf>
    <xf numFmtId="0" fontId="21" fillId="0" borderId="69" xfId="0" applyFont="1" applyBorder="1" applyAlignment="1">
      <alignment vertical="center"/>
    </xf>
    <xf numFmtId="0" fontId="21" fillId="0" borderId="0" xfId="0" applyFont="1" applyAlignment="1">
      <alignment vertical="top"/>
    </xf>
    <xf numFmtId="0" fontId="77" fillId="0" borderId="0" xfId="0" applyFont="1" applyAlignment="1">
      <alignment horizontal="left" vertical="center"/>
    </xf>
    <xf numFmtId="0" fontId="0" fillId="20" borderId="0" xfId="0" applyFill="1" applyAlignment="1">
      <alignment horizontal="center" vertical="center"/>
    </xf>
    <xf numFmtId="0" fontId="8" fillId="0" borderId="15" xfId="0" applyFont="1" applyFill="1" applyBorder="1" applyAlignment="1">
      <alignment vertical="center"/>
    </xf>
    <xf numFmtId="0" fontId="8" fillId="0" borderId="3" xfId="0" applyFont="1" applyFill="1" applyBorder="1" applyAlignment="1">
      <alignment vertical="center"/>
    </xf>
    <xf numFmtId="188" fontId="8" fillId="0" borderId="3" xfId="0" applyNumberFormat="1" applyFont="1" applyFill="1" applyBorder="1" applyAlignment="1">
      <alignment horizontal="center" vertical="center"/>
    </xf>
    <xf numFmtId="0" fontId="8" fillId="0" borderId="3" xfId="0" applyFont="1" applyBorder="1" applyAlignment="1">
      <alignment vertical="center"/>
    </xf>
    <xf numFmtId="188" fontId="8" fillId="0" borderId="3" xfId="0" applyNumberFormat="1" applyFont="1" applyBorder="1" applyAlignment="1">
      <alignment horizontal="center" vertical="center"/>
    </xf>
    <xf numFmtId="0" fontId="8" fillId="0" borderId="3" xfId="0" applyFont="1" applyFill="1" applyBorder="1" applyAlignment="1">
      <alignment vertical="top"/>
    </xf>
    <xf numFmtId="14" fontId="8" fillId="0" borderId="15" xfId="0" applyNumberFormat="1" applyFont="1" applyFill="1" applyBorder="1" applyAlignment="1">
      <alignment horizontal="center" vertical="center"/>
    </xf>
    <xf numFmtId="14" fontId="8" fillId="0" borderId="3" xfId="0" applyNumberFormat="1" applyFont="1" applyFill="1" applyBorder="1" applyAlignment="1">
      <alignment horizontal="center" vertical="center"/>
    </xf>
    <xf numFmtId="0" fontId="7" fillId="0" borderId="37" xfId="98" applyBorder="1" applyAlignment="1">
      <alignment horizontal="right"/>
    </xf>
    <xf numFmtId="0" fontId="7" fillId="0" borderId="37" xfId="98" applyBorder="1"/>
    <xf numFmtId="0" fontId="7" fillId="0" borderId="37" xfId="98" applyBorder="1" applyAlignment="1">
      <alignment horizontal="center"/>
    </xf>
    <xf numFmtId="164" fontId="7" fillId="0" borderId="37" xfId="58" applyFont="1" applyBorder="1" applyAlignment="1">
      <alignment horizontal="center"/>
    </xf>
    <xf numFmtId="164" fontId="7" fillId="0" borderId="37" xfId="58" applyFont="1" applyBorder="1"/>
    <xf numFmtId="0" fontId="7" fillId="0" borderId="0" xfId="98" applyAlignment="1">
      <alignment horizontal="center"/>
    </xf>
    <xf numFmtId="164" fontId="7" fillId="0" borderId="0" xfId="58" applyAlignment="1">
      <alignment horizontal="center"/>
    </xf>
    <xf numFmtId="191" fontId="7" fillId="0" borderId="0" xfId="58" applyNumberFormat="1" applyAlignment="1">
      <alignment horizontal="center"/>
    </xf>
    <xf numFmtId="191" fontId="7" fillId="0" borderId="0" xfId="83" applyNumberFormat="1" applyAlignment="1">
      <alignment horizontal="center"/>
    </xf>
    <xf numFmtId="49" fontId="142" fillId="0" borderId="0" xfId="99" applyNumberFormat="1"/>
    <xf numFmtId="0" fontId="142" fillId="0" borderId="0" xfId="99"/>
    <xf numFmtId="14" fontId="142" fillId="0" borderId="0" xfId="99" applyNumberFormat="1"/>
    <xf numFmtId="4" fontId="142" fillId="0" borderId="0" xfId="99" applyNumberFormat="1"/>
    <xf numFmtId="0" fontId="77" fillId="0" borderId="0" xfId="0" applyFont="1" applyBorder="1" applyAlignment="1">
      <alignment horizontal="left" vertical="center"/>
    </xf>
    <xf numFmtId="0" fontId="77" fillId="0" borderId="0" xfId="0" applyFont="1" applyBorder="1" applyAlignment="1">
      <alignment horizontal="center" vertical="center"/>
    </xf>
    <xf numFmtId="0" fontId="8" fillId="0" borderId="0" xfId="0" applyFont="1" applyBorder="1" applyAlignment="1">
      <alignment horizontal="right" vertical="center"/>
    </xf>
    <xf numFmtId="0" fontId="21" fillId="0" borderId="0" xfId="0" applyFont="1" applyBorder="1" applyAlignment="1">
      <alignment vertical="top"/>
    </xf>
    <xf numFmtId="0" fontId="7" fillId="0" borderId="0" xfId="0" applyFont="1" applyBorder="1" applyAlignment="1">
      <alignment horizontal="left" vertical="center"/>
    </xf>
    <xf numFmtId="0" fontId="8" fillId="0" borderId="0" xfId="0" applyFont="1" applyFill="1" applyBorder="1" applyAlignment="1">
      <alignment vertical="center"/>
    </xf>
    <xf numFmtId="14" fontId="8" fillId="0" borderId="0" xfId="0" applyNumberFormat="1" applyFont="1" applyFill="1" applyBorder="1" applyAlignment="1">
      <alignment horizontal="center" vertical="center"/>
    </xf>
    <xf numFmtId="188" fontId="8" fillId="0" borderId="0" xfId="0" applyNumberFormat="1" applyFont="1" applyFill="1" applyBorder="1" applyAlignment="1">
      <alignment horizontal="center" vertical="center"/>
    </xf>
    <xf numFmtId="0" fontId="8" fillId="0" borderId="0" xfId="0" applyFont="1" applyBorder="1" applyAlignment="1">
      <alignment vertical="center"/>
    </xf>
    <xf numFmtId="188" fontId="8" fillId="0" borderId="0" xfId="0" applyNumberFormat="1" applyFont="1" applyBorder="1" applyAlignment="1">
      <alignment horizontal="center" vertical="center"/>
    </xf>
    <xf numFmtId="0" fontId="8" fillId="0" borderId="0" xfId="0" applyFont="1" applyFill="1" applyBorder="1" applyAlignment="1">
      <alignment vertical="top"/>
    </xf>
    <xf numFmtId="0" fontId="53" fillId="0" borderId="0" xfId="0" applyFont="1" applyBorder="1" applyAlignment="1">
      <alignment vertical="center" wrapText="1"/>
    </xf>
    <xf numFmtId="0" fontId="0" fillId="0" borderId="3" xfId="0" applyFill="1" applyBorder="1" applyAlignment="1">
      <alignment horizontal="center" vertical="center"/>
    </xf>
    <xf numFmtId="0" fontId="0" fillId="0" borderId="12" xfId="0" applyBorder="1" applyAlignment="1">
      <alignment vertical="center"/>
    </xf>
    <xf numFmtId="0" fontId="0" fillId="0" borderId="24" xfId="0" applyFill="1" applyBorder="1" applyAlignment="1">
      <alignment horizontal="center" vertical="center"/>
    </xf>
    <xf numFmtId="0" fontId="0" fillId="0" borderId="14" xfId="0" applyFill="1" applyBorder="1" applyAlignment="1">
      <alignment horizontal="center" vertical="center"/>
    </xf>
    <xf numFmtId="49" fontId="8" fillId="0" borderId="3" xfId="0" applyNumberFormat="1" applyFont="1" applyFill="1" applyBorder="1" applyAlignment="1" applyProtection="1">
      <alignment horizontal="center" vertical="center"/>
      <protection locked="0"/>
    </xf>
    <xf numFmtId="0" fontId="13" fillId="20" borderId="0" xfId="0" applyFont="1" applyFill="1" applyBorder="1" applyAlignment="1">
      <alignment horizontal="right" vertical="center" wrapText="1"/>
    </xf>
    <xf numFmtId="176" fontId="0" fillId="0" borderId="3" xfId="0" applyNumberFormat="1" applyBorder="1" applyAlignment="1">
      <alignment horizontal="center" vertical="center"/>
    </xf>
    <xf numFmtId="0" fontId="13" fillId="20" borderId="0" xfId="0" applyFont="1" applyFill="1" applyBorder="1" applyAlignment="1" applyProtection="1">
      <alignment horizontal="right" vertical="center"/>
    </xf>
    <xf numFmtId="0" fontId="0" fillId="0" borderId="23" xfId="0" applyFill="1" applyBorder="1" applyAlignment="1">
      <alignment horizontal="center" vertical="center"/>
    </xf>
    <xf numFmtId="49" fontId="7" fillId="0" borderId="0" xfId="0" applyNumberFormat="1" applyFont="1" applyAlignment="1">
      <alignment horizontal="center" wrapText="1"/>
    </xf>
    <xf numFmtId="0" fontId="58" fillId="0" borderId="0" xfId="0" applyFont="1" applyAlignment="1">
      <alignment horizontal="center"/>
    </xf>
    <xf numFmtId="0" fontId="7" fillId="0" borderId="0" xfId="0" applyFont="1" applyFill="1" applyBorder="1"/>
    <xf numFmtId="0" fontId="7" fillId="54" borderId="0" xfId="0" applyFont="1" applyFill="1" applyAlignment="1">
      <alignment horizontal="center"/>
    </xf>
    <xf numFmtId="0" fontId="0" fillId="54" borderId="0" xfId="0" applyFill="1" applyAlignment="1">
      <alignment horizontal="center"/>
    </xf>
    <xf numFmtId="0" fontId="7" fillId="54" borderId="0" xfId="0" applyFont="1" applyFill="1"/>
    <xf numFmtId="0" fontId="0" fillId="0" borderId="3" xfId="0" applyBorder="1" applyAlignment="1">
      <alignment horizontal="center"/>
    </xf>
    <xf numFmtId="0" fontId="7" fillId="51" borderId="3" xfId="0" applyFont="1" applyFill="1" applyBorder="1" applyAlignment="1">
      <alignment horizontal="center" vertical="center"/>
    </xf>
    <xf numFmtId="0" fontId="0" fillId="0" borderId="43" xfId="0" applyBorder="1" applyAlignment="1">
      <alignment horizontal="center"/>
    </xf>
    <xf numFmtId="0" fontId="0" fillId="0" borderId="44" xfId="0" applyBorder="1" applyAlignment="1">
      <alignment horizontal="center"/>
    </xf>
    <xf numFmtId="0" fontId="0" fillId="0" borderId="45" xfId="0" applyBorder="1" applyAlignment="1">
      <alignment horizontal="center"/>
    </xf>
    <xf numFmtId="0" fontId="0" fillId="0" borderId="35" xfId="0" applyBorder="1" applyAlignment="1">
      <alignment horizontal="center"/>
    </xf>
    <xf numFmtId="0" fontId="0" fillId="0" borderId="46" xfId="0" applyBorder="1" applyAlignment="1">
      <alignment horizontal="center"/>
    </xf>
    <xf numFmtId="0" fontId="18" fillId="36" borderId="0" xfId="0" applyFont="1" applyFill="1" applyAlignment="1">
      <alignment horizontal="center"/>
    </xf>
    <xf numFmtId="0" fontId="0" fillId="0" borderId="44" xfId="0" applyBorder="1" applyAlignment="1">
      <alignment horizontal="center" vertical="center"/>
    </xf>
    <xf numFmtId="0" fontId="0" fillId="0" borderId="44" xfId="0" applyBorder="1" applyAlignment="1">
      <alignment vertical="center"/>
    </xf>
    <xf numFmtId="0" fontId="8" fillId="0" borderId="0" xfId="0" applyFont="1" applyBorder="1" applyAlignment="1">
      <alignment horizontal="center" vertical="center"/>
    </xf>
    <xf numFmtId="0" fontId="7" fillId="0" borderId="35" xfId="0" applyFont="1" applyBorder="1" applyAlignment="1">
      <alignment horizontal="center" vertical="center" wrapText="1"/>
    </xf>
    <xf numFmtId="0" fontId="7" fillId="0" borderId="0" xfId="0" applyFont="1" applyBorder="1" applyAlignment="1">
      <alignment horizontal="center" vertical="center" wrapText="1"/>
    </xf>
    <xf numFmtId="0" fontId="0" fillId="0" borderId="0" xfId="0" applyBorder="1" applyAlignment="1">
      <alignment horizontal="center" vertical="center" wrapText="1"/>
    </xf>
    <xf numFmtId="0" fontId="0" fillId="55" borderId="0" xfId="0" applyFill="1" applyBorder="1" applyAlignment="1">
      <alignment horizontal="center" vertical="center"/>
    </xf>
    <xf numFmtId="0" fontId="0" fillId="55" borderId="0" xfId="0" applyFill="1" applyBorder="1" applyAlignment="1">
      <alignment horizontal="center" vertical="center" wrapText="1"/>
    </xf>
    <xf numFmtId="0" fontId="0" fillId="0" borderId="0" xfId="0" applyFill="1" applyBorder="1" applyAlignment="1">
      <alignment horizontal="center" vertical="center" wrapText="1"/>
    </xf>
    <xf numFmtId="0" fontId="0" fillId="0" borderId="37" xfId="0" applyBorder="1" applyAlignment="1">
      <alignment horizontal="center" vertical="center"/>
    </xf>
    <xf numFmtId="0" fontId="0" fillId="0" borderId="35" xfId="0" applyBorder="1" applyAlignment="1">
      <alignment horizontal="center" vertical="center"/>
    </xf>
    <xf numFmtId="0" fontId="7" fillId="0" borderId="35" xfId="0" applyFont="1" applyBorder="1" applyAlignment="1">
      <alignment horizontal="center" vertical="center"/>
    </xf>
    <xf numFmtId="0" fontId="0" fillId="0" borderId="36" xfId="0" applyBorder="1" applyAlignment="1">
      <alignment horizontal="center" vertical="center"/>
    </xf>
    <xf numFmtId="0" fontId="0" fillId="0" borderId="46" xfId="0" applyBorder="1" applyAlignment="1">
      <alignment horizontal="center" vertical="center"/>
    </xf>
    <xf numFmtId="0" fontId="7" fillId="0" borderId="46" xfId="0" applyFont="1" applyBorder="1" applyAlignment="1">
      <alignment horizontal="center" vertical="center"/>
    </xf>
    <xf numFmtId="0" fontId="7" fillId="0" borderId="36" xfId="0" applyFont="1" applyBorder="1" applyAlignment="1">
      <alignment horizontal="center" vertical="center"/>
    </xf>
    <xf numFmtId="0" fontId="0" fillId="0" borderId="66" xfId="0" applyBorder="1" applyAlignment="1">
      <alignment horizontal="center" vertical="center"/>
    </xf>
    <xf numFmtId="0" fontId="7" fillId="0" borderId="44" xfId="0" applyFont="1" applyBorder="1" applyAlignment="1">
      <alignment horizontal="center"/>
    </xf>
    <xf numFmtId="0" fontId="7" fillId="0" borderId="0" xfId="0" applyFont="1" applyBorder="1" applyAlignment="1">
      <alignment horizontal="center"/>
    </xf>
    <xf numFmtId="0" fontId="0" fillId="38" borderId="3" xfId="0" applyFill="1" applyBorder="1" applyAlignment="1">
      <alignment horizontal="center"/>
    </xf>
    <xf numFmtId="0" fontId="7" fillId="38" borderId="3" xfId="0" applyFont="1" applyFill="1" applyBorder="1" applyAlignment="1">
      <alignment horizontal="center"/>
    </xf>
    <xf numFmtId="0" fontId="0" fillId="20" borderId="3" xfId="0" applyFill="1" applyBorder="1" applyAlignment="1">
      <alignment horizontal="center"/>
    </xf>
    <xf numFmtId="0" fontId="7" fillId="20" borderId="3" xfId="0" applyFont="1" applyFill="1" applyBorder="1" applyAlignment="1">
      <alignment horizontal="center"/>
    </xf>
    <xf numFmtId="0" fontId="7" fillId="20" borderId="3" xfId="0" applyFont="1" applyFill="1" applyBorder="1" applyAlignment="1">
      <alignment horizontal="center" wrapText="1"/>
    </xf>
    <xf numFmtId="0" fontId="7" fillId="20" borderId="3" xfId="0" applyFont="1" applyFill="1" applyBorder="1" applyAlignment="1">
      <alignment horizontal="center" vertical="center" wrapText="1"/>
    </xf>
    <xf numFmtId="0" fontId="0" fillId="20" borderId="3" xfId="0" applyFill="1" applyBorder="1" applyAlignment="1">
      <alignment horizontal="center" vertical="center" wrapText="1"/>
    </xf>
    <xf numFmtId="0" fontId="0" fillId="56" borderId="0" xfId="0" applyFill="1" applyAlignment="1">
      <alignment horizontal="center"/>
    </xf>
    <xf numFmtId="0" fontId="21" fillId="0" borderId="0" xfId="0" applyFont="1" applyAlignment="1">
      <alignment horizontal="center"/>
    </xf>
    <xf numFmtId="0" fontId="7" fillId="0" borderId="0" xfId="0" applyNumberFormat="1" applyFont="1" applyAlignment="1">
      <alignment horizontal="center" vertical="center"/>
    </xf>
    <xf numFmtId="0" fontId="7" fillId="20" borderId="0" xfId="98" applyFill="1" applyAlignment="1">
      <alignment horizontal="center"/>
    </xf>
    <xf numFmtId="0" fontId="7" fillId="0" borderId="0" xfId="98" applyFill="1" applyAlignment="1">
      <alignment horizontal="center"/>
    </xf>
    <xf numFmtId="0" fontId="21" fillId="20" borderId="0" xfId="98" applyFont="1" applyFill="1" applyBorder="1" applyAlignment="1">
      <alignment horizontal="left" vertical="center"/>
    </xf>
    <xf numFmtId="0" fontId="21" fillId="20" borderId="0" xfId="98" applyFont="1" applyFill="1" applyBorder="1" applyAlignment="1">
      <alignment horizontal="center" vertical="center"/>
    </xf>
    <xf numFmtId="0" fontId="21" fillId="20" borderId="0" xfId="98" applyFont="1" applyFill="1" applyBorder="1" applyAlignment="1">
      <alignment horizontal="center"/>
    </xf>
    <xf numFmtId="0" fontId="21" fillId="20" borderId="0" xfId="98" applyFont="1" applyFill="1" applyBorder="1" applyAlignment="1">
      <alignment horizontal="left"/>
    </xf>
    <xf numFmtId="0" fontId="7" fillId="20" borderId="0" xfId="98" applyFill="1" applyBorder="1" applyAlignment="1">
      <alignment horizontal="center"/>
    </xf>
    <xf numFmtId="0" fontId="68" fillId="20" borderId="13" xfId="98" applyFont="1" applyFill="1" applyBorder="1" applyAlignment="1">
      <alignment horizontal="center"/>
    </xf>
    <xf numFmtId="0" fontId="54" fillId="20" borderId="0" xfId="98" applyFont="1" applyFill="1" applyBorder="1" applyAlignment="1">
      <alignment horizontal="center"/>
    </xf>
    <xf numFmtId="0" fontId="7" fillId="0" borderId="0" xfId="98" applyBorder="1" applyAlignment="1">
      <alignment horizontal="center"/>
    </xf>
    <xf numFmtId="0" fontId="68" fillId="0" borderId="13" xfId="98" applyFont="1" applyBorder="1" applyAlignment="1">
      <alignment horizontal="center"/>
    </xf>
    <xf numFmtId="0" fontId="7" fillId="29" borderId="60" xfId="98" applyFill="1" applyBorder="1" applyAlignment="1">
      <alignment horizontal="center" vertical="center"/>
    </xf>
    <xf numFmtId="0" fontId="7" fillId="30" borderId="60" xfId="98" applyFill="1" applyBorder="1" applyAlignment="1">
      <alignment horizontal="center" vertical="center"/>
    </xf>
    <xf numFmtId="0" fontId="7" fillId="0" borderId="0" xfId="98" applyFill="1" applyBorder="1" applyAlignment="1">
      <alignment horizontal="center" vertical="center"/>
    </xf>
    <xf numFmtId="0" fontId="7" fillId="30" borderId="0" xfId="98" applyFill="1" applyBorder="1" applyAlignment="1">
      <alignment horizontal="center" vertical="center"/>
    </xf>
    <xf numFmtId="0" fontId="31" fillId="0" borderId="13" xfId="98" applyFont="1" applyBorder="1" applyAlignment="1">
      <alignment horizontal="center"/>
    </xf>
    <xf numFmtId="0" fontId="31" fillId="0" borderId="0" xfId="98" applyFont="1" applyFill="1" applyBorder="1" applyAlignment="1">
      <alignment horizontal="center"/>
    </xf>
    <xf numFmtId="0" fontId="31" fillId="0" borderId="0" xfId="98" applyFont="1" applyBorder="1" applyAlignment="1">
      <alignment horizontal="center"/>
    </xf>
    <xf numFmtId="0" fontId="7" fillId="0" borderId="13" xfId="98" applyBorder="1" applyAlignment="1">
      <alignment horizontal="center" vertical="center"/>
    </xf>
    <xf numFmtId="0" fontId="7" fillId="22" borderId="13" xfId="98" applyFill="1" applyBorder="1" applyAlignment="1">
      <alignment horizontal="center"/>
    </xf>
    <xf numFmtId="165" fontId="7" fillId="24" borderId="13" xfId="98" applyNumberFormat="1" applyFont="1" applyFill="1" applyBorder="1" applyAlignment="1">
      <alignment horizontal="center"/>
    </xf>
    <xf numFmtId="165" fontId="7" fillId="24" borderId="13" xfId="98" applyNumberFormat="1" applyFill="1" applyBorder="1" applyAlignment="1">
      <alignment horizontal="center"/>
    </xf>
    <xf numFmtId="165" fontId="7" fillId="22" borderId="13" xfId="98" applyNumberFormat="1" applyFont="1" applyFill="1" applyBorder="1" applyAlignment="1">
      <alignment horizontal="center"/>
    </xf>
    <xf numFmtId="165" fontId="7" fillId="22" borderId="13" xfId="98" applyNumberFormat="1" applyFill="1" applyBorder="1" applyAlignment="1">
      <alignment horizontal="center"/>
    </xf>
    <xf numFmtId="165" fontId="7" fillId="24" borderId="13" xfId="98" applyNumberFormat="1" applyFill="1" applyBorder="1" applyAlignment="1">
      <alignment horizontal="center" wrapText="1"/>
    </xf>
    <xf numFmtId="165" fontId="7" fillId="0" borderId="0" xfId="98" applyNumberFormat="1" applyFill="1" applyBorder="1" applyAlignment="1">
      <alignment horizontal="center"/>
    </xf>
    <xf numFmtId="10" fontId="7" fillId="0" borderId="0" xfId="98" applyNumberFormat="1" applyFill="1" applyBorder="1" applyAlignment="1">
      <alignment horizontal="center"/>
    </xf>
    <xf numFmtId="0" fontId="7" fillId="0" borderId="0" xfId="98" applyNumberFormat="1" applyFill="1" applyBorder="1" applyAlignment="1">
      <alignment horizontal="center"/>
    </xf>
    <xf numFmtId="178" fontId="7" fillId="0" borderId="13" xfId="98" applyNumberFormat="1" applyBorder="1" applyAlignment="1">
      <alignment horizontal="center" vertical="center"/>
    </xf>
    <xf numFmtId="165" fontId="34" fillId="35" borderId="13" xfId="98" applyNumberFormat="1" applyFont="1" applyFill="1" applyBorder="1" applyAlignment="1">
      <alignment horizontal="center"/>
    </xf>
    <xf numFmtId="165" fontId="7" fillId="22" borderId="13" xfId="98" applyNumberFormat="1" applyFill="1" applyBorder="1" applyAlignment="1">
      <alignment horizontal="center" wrapText="1"/>
    </xf>
    <xf numFmtId="165" fontId="7" fillId="35" borderId="13" xfId="98" applyNumberFormat="1" applyFill="1" applyBorder="1" applyAlignment="1">
      <alignment horizontal="center"/>
    </xf>
    <xf numFmtId="14" fontId="7" fillId="0" borderId="0" xfId="98" applyNumberFormat="1" applyAlignment="1">
      <alignment horizontal="center"/>
    </xf>
    <xf numFmtId="0" fontId="7" fillId="29" borderId="13" xfId="98" applyFill="1" applyBorder="1" applyAlignment="1">
      <alignment horizontal="center" vertical="center"/>
    </xf>
    <xf numFmtId="0" fontId="7" fillId="30" borderId="13" xfId="98" applyFill="1" applyBorder="1" applyAlignment="1">
      <alignment horizontal="center" vertical="center"/>
    </xf>
    <xf numFmtId="165" fontId="7" fillId="22" borderId="0" xfId="98" applyNumberFormat="1" applyFill="1" applyBorder="1" applyAlignment="1">
      <alignment horizontal="center"/>
    </xf>
    <xf numFmtId="0" fontId="21" fillId="29" borderId="0" xfId="98" applyFont="1" applyFill="1" applyBorder="1" applyAlignment="1">
      <alignment horizontal="center" vertical="center"/>
    </xf>
    <xf numFmtId="0" fontId="8" fillId="0" borderId="0" xfId="98" applyFont="1" applyFill="1" applyBorder="1" applyAlignment="1">
      <alignment horizontal="left" vertical="center"/>
    </xf>
    <xf numFmtId="0" fontId="7" fillId="0" borderId="0" xfId="98" applyAlignment="1">
      <alignment horizontal="left" vertical="center"/>
    </xf>
    <xf numFmtId="0" fontId="8" fillId="24" borderId="3" xfId="98" applyFont="1" applyFill="1" applyBorder="1" applyAlignment="1">
      <alignment horizontal="center"/>
    </xf>
    <xf numFmtId="0" fontId="8" fillId="34" borderId="24" xfId="98" applyFont="1" applyFill="1" applyBorder="1" applyAlignment="1">
      <alignment horizontal="center" vertical="center"/>
    </xf>
    <xf numFmtId="0" fontId="7" fillId="34" borderId="26" xfId="98" applyFill="1" applyBorder="1" applyAlignment="1">
      <alignment horizontal="center"/>
    </xf>
    <xf numFmtId="0" fontId="7" fillId="34" borderId="14" xfId="98" applyFill="1" applyBorder="1" applyAlignment="1">
      <alignment horizontal="center"/>
    </xf>
    <xf numFmtId="0" fontId="7" fillId="0" borderId="3" xfId="98" applyBorder="1" applyAlignment="1">
      <alignment horizontal="center"/>
    </xf>
    <xf numFmtId="0" fontId="7" fillId="0" borderId="24" xfId="98" applyBorder="1" applyAlignment="1">
      <alignment horizontal="center" vertical="center"/>
    </xf>
    <xf numFmtId="0" fontId="7" fillId="0" borderId="26" xfId="98" applyBorder="1" applyAlignment="1">
      <alignment horizontal="center"/>
    </xf>
    <xf numFmtId="0" fontId="7" fillId="0" borderId="14" xfId="98" applyBorder="1" applyAlignment="1">
      <alignment horizontal="center"/>
    </xf>
    <xf numFmtId="0" fontId="7" fillId="32" borderId="0" xfId="98" applyFill="1" applyAlignment="1">
      <alignment horizontal="center"/>
    </xf>
    <xf numFmtId="0" fontId="21" fillId="32" borderId="0" xfId="98" applyFont="1" applyFill="1" applyBorder="1" applyAlignment="1">
      <alignment horizontal="left" vertical="center"/>
    </xf>
    <xf numFmtId="0" fontId="21" fillId="32" borderId="0" xfId="98" applyFont="1" applyFill="1" applyBorder="1" applyAlignment="1">
      <alignment horizontal="center" vertical="center"/>
    </xf>
    <xf numFmtId="0" fontId="21" fillId="32" borderId="0" xfId="98" applyFont="1" applyFill="1" applyBorder="1" applyAlignment="1">
      <alignment horizontal="center"/>
    </xf>
    <xf numFmtId="0" fontId="21" fillId="32" borderId="0" xfId="98" applyFont="1" applyFill="1" applyBorder="1" applyAlignment="1">
      <alignment horizontal="left"/>
    </xf>
    <xf numFmtId="0" fontId="7" fillId="32" borderId="0" xfId="98" applyFill="1" applyBorder="1" applyAlignment="1">
      <alignment horizontal="center"/>
    </xf>
    <xf numFmtId="0" fontId="68" fillId="32" borderId="13" xfId="98" applyFont="1" applyFill="1" applyBorder="1" applyAlignment="1">
      <alignment horizontal="center"/>
    </xf>
    <xf numFmtId="0" fontId="7" fillId="32" borderId="60" xfId="98" applyFill="1" applyBorder="1" applyAlignment="1">
      <alignment horizontal="center" vertical="center"/>
    </xf>
    <xf numFmtId="0" fontId="31" fillId="32" borderId="13" xfId="98" applyFont="1" applyFill="1" applyBorder="1" applyAlignment="1">
      <alignment horizontal="center"/>
    </xf>
    <xf numFmtId="0" fontId="7" fillId="32" borderId="13" xfId="98" applyFill="1" applyBorder="1" applyAlignment="1">
      <alignment horizontal="center" vertical="center"/>
    </xf>
    <xf numFmtId="0" fontId="7" fillId="32" borderId="13" xfId="98" applyFill="1" applyBorder="1" applyAlignment="1">
      <alignment horizontal="center"/>
    </xf>
    <xf numFmtId="165" fontId="7" fillId="32" borderId="13" xfId="98" applyNumberFormat="1" applyFill="1" applyBorder="1" applyAlignment="1">
      <alignment horizontal="center"/>
    </xf>
    <xf numFmtId="178" fontId="7" fillId="32" borderId="13" xfId="98" applyNumberFormat="1" applyFill="1" applyBorder="1" applyAlignment="1">
      <alignment horizontal="center" vertical="center"/>
    </xf>
    <xf numFmtId="0" fontId="7" fillId="39" borderId="0" xfId="98" applyFill="1" applyAlignment="1">
      <alignment horizontal="center"/>
    </xf>
    <xf numFmtId="0" fontId="21" fillId="39" borderId="0" xfId="98" applyFont="1" applyFill="1" applyBorder="1" applyAlignment="1">
      <alignment horizontal="left" vertical="center"/>
    </xf>
    <xf numFmtId="0" fontId="21" fillId="39" borderId="0" xfId="98" applyFont="1" applyFill="1" applyBorder="1" applyAlignment="1">
      <alignment horizontal="center" vertical="center"/>
    </xf>
    <xf numFmtId="0" fontId="21" fillId="39" borderId="0" xfId="98" applyFont="1" applyFill="1" applyBorder="1" applyAlignment="1">
      <alignment horizontal="center"/>
    </xf>
    <xf numFmtId="0" fontId="21" fillId="39" borderId="0" xfId="98" applyFont="1" applyFill="1" applyBorder="1" applyAlignment="1">
      <alignment horizontal="left"/>
    </xf>
    <xf numFmtId="0" fontId="7" fillId="39" borderId="0" xfId="98" applyFill="1" applyBorder="1" applyAlignment="1">
      <alignment horizontal="center"/>
    </xf>
    <xf numFmtId="0" fontId="68" fillId="39" borderId="13" xfId="98" applyFont="1" applyFill="1" applyBorder="1" applyAlignment="1">
      <alignment horizontal="center"/>
    </xf>
    <xf numFmtId="0" fontId="7" fillId="39" borderId="60" xfId="98" applyFill="1" applyBorder="1" applyAlignment="1">
      <alignment horizontal="center" vertical="center"/>
    </xf>
    <xf numFmtId="0" fontId="31" fillId="39" borderId="13" xfId="98" applyFont="1" applyFill="1" applyBorder="1" applyAlignment="1">
      <alignment horizontal="center"/>
    </xf>
    <xf numFmtId="0" fontId="7" fillId="39" borderId="13" xfId="98" applyFill="1" applyBorder="1" applyAlignment="1">
      <alignment horizontal="center" vertical="center"/>
    </xf>
    <xf numFmtId="0" fontId="7" fillId="39" borderId="13" xfId="98" applyFill="1" applyBorder="1" applyAlignment="1">
      <alignment horizontal="center"/>
    </xf>
    <xf numFmtId="10" fontId="7" fillId="39" borderId="13" xfId="98" applyNumberFormat="1" applyFill="1" applyBorder="1" applyAlignment="1">
      <alignment horizontal="center"/>
    </xf>
    <xf numFmtId="178" fontId="7" fillId="39" borderId="13" xfId="98" applyNumberFormat="1" applyFill="1" applyBorder="1" applyAlignment="1">
      <alignment horizontal="center" vertical="center"/>
    </xf>
    <xf numFmtId="165" fontId="7" fillId="39" borderId="13" xfId="98" applyNumberFormat="1" applyFill="1" applyBorder="1" applyAlignment="1">
      <alignment horizontal="center"/>
    </xf>
    <xf numFmtId="0" fontId="7" fillId="0" borderId="13" xfId="98" applyBorder="1" applyAlignment="1">
      <alignment horizontal="center"/>
    </xf>
    <xf numFmtId="0" fontId="7" fillId="24" borderId="13" xfId="98" applyNumberFormat="1" applyFill="1" applyBorder="1" applyAlignment="1">
      <alignment horizontal="center"/>
    </xf>
    <xf numFmtId="178" fontId="7" fillId="0" borderId="12" xfId="98" applyNumberFormat="1" applyBorder="1" applyAlignment="1">
      <alignment horizontal="center" vertical="center"/>
    </xf>
    <xf numFmtId="0" fontId="7" fillId="22" borderId="60" xfId="98" applyFill="1" applyBorder="1" applyAlignment="1">
      <alignment horizontal="center"/>
    </xf>
    <xf numFmtId="165" fontId="7" fillId="24" borderId="60" xfId="98" applyNumberFormat="1" applyFill="1" applyBorder="1" applyAlignment="1">
      <alignment horizontal="center"/>
    </xf>
    <xf numFmtId="0" fontId="7" fillId="24" borderId="0" xfId="98" applyNumberFormat="1" applyFill="1" applyBorder="1" applyAlignment="1">
      <alignment horizontal="center"/>
    </xf>
    <xf numFmtId="165" fontId="7" fillId="24" borderId="0" xfId="98" applyNumberFormat="1" applyFill="1" applyBorder="1" applyAlignment="1">
      <alignment horizontal="center"/>
    </xf>
    <xf numFmtId="0" fontId="21" fillId="20" borderId="34" xfId="98" applyFont="1" applyFill="1" applyBorder="1" applyAlignment="1"/>
    <xf numFmtId="0" fontId="21" fillId="32" borderId="34" xfId="98" applyFont="1" applyFill="1" applyBorder="1" applyAlignment="1"/>
    <xf numFmtId="0" fontId="21" fillId="39" borderId="34" xfId="98" applyFont="1" applyFill="1" applyBorder="1" applyAlignment="1"/>
    <xf numFmtId="178" fontId="7" fillId="39" borderId="0" xfId="98" applyNumberFormat="1" applyFill="1" applyBorder="1" applyAlignment="1">
      <alignment horizontal="center" vertical="center"/>
    </xf>
    <xf numFmtId="165" fontId="7" fillId="39" borderId="0" xfId="98" applyNumberFormat="1" applyFill="1" applyBorder="1" applyAlignment="1">
      <alignment horizontal="center"/>
    </xf>
    <xf numFmtId="0" fontId="53" fillId="0" borderId="0" xfId="98" applyFont="1" applyAlignment="1">
      <alignment horizontal="center"/>
    </xf>
    <xf numFmtId="0" fontId="8" fillId="39" borderId="0" xfId="98" applyFont="1" applyFill="1" applyBorder="1" applyAlignment="1">
      <alignment vertical="center"/>
    </xf>
    <xf numFmtId="0" fontId="21" fillId="39" borderId="0" xfId="98" applyFont="1" applyFill="1" applyBorder="1" applyAlignment="1">
      <alignment vertical="center"/>
    </xf>
    <xf numFmtId="0" fontId="0" fillId="46" borderId="3" xfId="0" applyFill="1" applyBorder="1" applyAlignment="1">
      <alignment horizontal="center" vertical="center"/>
    </xf>
    <xf numFmtId="49" fontId="0" fillId="0" borderId="0" xfId="0" applyNumberFormat="1" applyAlignment="1">
      <alignment horizontal="center" vertical="center"/>
    </xf>
    <xf numFmtId="0" fontId="0" fillId="0" borderId="33" xfId="0" applyBorder="1" applyAlignment="1">
      <alignment horizontal="center" vertical="center"/>
    </xf>
    <xf numFmtId="0" fontId="0" fillId="53" borderId="3" xfId="0" applyFill="1" applyBorder="1" applyAlignment="1">
      <alignment horizontal="center" vertical="center"/>
    </xf>
    <xf numFmtId="0" fontId="7" fillId="0" borderId="0" xfId="0" applyFont="1" applyAlignment="1">
      <alignment vertical="center"/>
    </xf>
    <xf numFmtId="0" fontId="7" fillId="36" borderId="0" xfId="0" applyFont="1" applyFill="1" applyBorder="1"/>
    <xf numFmtId="49" fontId="14" fillId="0" borderId="3" xfId="0" applyNumberFormat="1" applyFont="1" applyFill="1" applyBorder="1" applyAlignment="1">
      <alignment horizontal="center"/>
    </xf>
    <xf numFmtId="49" fontId="0" fillId="0" borderId="3" xfId="0" applyNumberFormat="1" applyBorder="1" applyAlignment="1">
      <alignment horizontal="center" vertical="center"/>
    </xf>
    <xf numFmtId="0" fontId="0" fillId="0" borderId="3" xfId="0" applyBorder="1" applyAlignment="1">
      <alignment horizontal="left" vertical="center"/>
    </xf>
    <xf numFmtId="0" fontId="21" fillId="0" borderId="3" xfId="96" applyFont="1" applyFill="1" applyBorder="1" applyAlignment="1">
      <alignment horizontal="center"/>
    </xf>
    <xf numFmtId="0" fontId="7" fillId="0" borderId="0" xfId="96" applyFont="1" applyFill="1" applyBorder="1" applyAlignment="1">
      <alignment horizontal="left" vertical="center"/>
    </xf>
    <xf numFmtId="0" fontId="145" fillId="0" borderId="3" xfId="0" applyFont="1" applyFill="1" applyBorder="1" applyAlignment="1">
      <alignment horizontal="center"/>
    </xf>
    <xf numFmtId="0" fontId="12" fillId="0" borderId="0" xfId="0" applyFont="1" applyAlignment="1">
      <alignment vertical="center" wrapText="1"/>
    </xf>
    <xf numFmtId="0" fontId="0" fillId="0" borderId="0" xfId="0" applyAlignment="1">
      <alignment vertical="center" wrapText="1"/>
    </xf>
    <xf numFmtId="0" fontId="12" fillId="0" borderId="0" xfId="0" applyFont="1" applyFill="1" applyAlignment="1">
      <alignment vertical="center" wrapText="1"/>
    </xf>
    <xf numFmtId="49" fontId="7" fillId="0" borderId="0" xfId="0" applyNumberFormat="1" applyFont="1" applyFill="1" applyAlignment="1">
      <alignment horizontal="center" vertical="center"/>
    </xf>
    <xf numFmtId="0" fontId="14" fillId="0" borderId="23" xfId="0" applyFont="1" applyFill="1" applyBorder="1" applyAlignment="1">
      <alignment horizontal="center"/>
    </xf>
    <xf numFmtId="0" fontId="7" fillId="20" borderId="3" xfId="0" applyFont="1" applyFill="1" applyBorder="1" applyAlignment="1">
      <alignment horizontal="center" vertical="center"/>
    </xf>
    <xf numFmtId="0" fontId="21" fillId="0" borderId="0" xfId="101" applyFont="1" applyBorder="1" applyAlignment="1">
      <alignment horizontal="left" vertical="center" indent="1"/>
    </xf>
    <xf numFmtId="0" fontId="7" fillId="0" borderId="0" xfId="101" applyFont="1"/>
    <xf numFmtId="0" fontId="63" fillId="0" borderId="0" xfId="101" applyFont="1" applyBorder="1" applyAlignment="1">
      <alignment vertical="center" wrapText="1"/>
    </xf>
    <xf numFmtId="0" fontId="7" fillId="0" borderId="0" xfId="101" applyFont="1" applyAlignment="1"/>
    <xf numFmtId="0" fontId="24" fillId="0" borderId="0" xfId="101" applyFont="1" applyBorder="1" applyAlignment="1">
      <alignment horizontal="center" vertical="center" wrapText="1"/>
    </xf>
    <xf numFmtId="0" fontId="24" fillId="0" borderId="3" xfId="101" applyFont="1" applyBorder="1" applyAlignment="1">
      <alignment horizontal="center" vertical="center" wrapText="1"/>
    </xf>
    <xf numFmtId="0" fontId="21" fillId="0" borderId="24" xfId="101" applyFont="1" applyBorder="1" applyAlignment="1">
      <alignment horizontal="center" vertical="center"/>
    </xf>
    <xf numFmtId="0" fontId="25" fillId="0" borderId="0" xfId="101" applyFont="1" applyBorder="1" applyAlignment="1">
      <alignment horizontal="center" vertical="center"/>
    </xf>
    <xf numFmtId="49" fontId="54" fillId="0" borderId="0" xfId="101" applyNumberFormat="1" applyFont="1" applyBorder="1" applyAlignment="1">
      <alignment horizontal="center" vertical="center"/>
    </xf>
    <xf numFmtId="0" fontId="54" fillId="0" borderId="0" xfId="101" applyFont="1" applyFill="1" applyBorder="1" applyAlignment="1">
      <alignment vertical="center"/>
    </xf>
    <xf numFmtId="0" fontId="25" fillId="0" borderId="0" xfId="101" applyFont="1" applyFill="1" applyBorder="1" applyAlignment="1">
      <alignment vertical="center"/>
    </xf>
    <xf numFmtId="0" fontId="21" fillId="0" borderId="0" xfId="101" applyFont="1" applyAlignment="1">
      <alignment horizontal="center" vertical="center"/>
    </xf>
    <xf numFmtId="0" fontId="21" fillId="0" borderId="0" xfId="101" applyFont="1" applyAlignment="1">
      <alignment vertical="center"/>
    </xf>
    <xf numFmtId="49" fontId="54" fillId="0" borderId="0" xfId="101" applyNumberFormat="1" applyFont="1" applyAlignment="1">
      <alignment horizontal="center" vertical="center"/>
    </xf>
    <xf numFmtId="49" fontId="54" fillId="0" borderId="0" xfId="101" applyNumberFormat="1" applyFont="1" applyAlignment="1">
      <alignment vertical="center"/>
    </xf>
    <xf numFmtId="0" fontId="14" fillId="0" borderId="0" xfId="101" applyFont="1" applyAlignment="1">
      <alignment vertical="center"/>
    </xf>
    <xf numFmtId="0" fontId="25" fillId="0" borderId="0" xfId="101" applyFont="1" applyAlignment="1">
      <alignment vertical="center"/>
    </xf>
    <xf numFmtId="0" fontId="25" fillId="0" borderId="0" xfId="101" applyFont="1" applyBorder="1" applyAlignment="1">
      <alignment vertical="center"/>
    </xf>
    <xf numFmtId="49" fontId="54" fillId="0" borderId="0" xfId="101" applyNumberFormat="1" applyFont="1" applyBorder="1" applyAlignment="1">
      <alignment vertical="center"/>
    </xf>
    <xf numFmtId="0" fontId="54" fillId="0" borderId="0" xfId="101" applyFont="1" applyBorder="1" applyAlignment="1">
      <alignment vertical="center"/>
    </xf>
    <xf numFmtId="0" fontId="21" fillId="0" borderId="3" xfId="101" applyFont="1" applyBorder="1" applyAlignment="1">
      <alignment horizontal="center" vertical="center"/>
    </xf>
    <xf numFmtId="1" fontId="25" fillId="0" borderId="0" xfId="101" applyNumberFormat="1" applyFont="1" applyFill="1" applyBorder="1" applyAlignment="1">
      <alignment horizontal="center" vertical="center"/>
    </xf>
    <xf numFmtId="0" fontId="25" fillId="0" borderId="0" xfId="101" applyFont="1" applyAlignment="1">
      <alignment horizontal="center" vertical="center"/>
    </xf>
    <xf numFmtId="0" fontId="54" fillId="0" borderId="0" xfId="101" applyFont="1" applyAlignment="1">
      <alignment vertical="center"/>
    </xf>
    <xf numFmtId="0" fontId="14" fillId="0" borderId="26" xfId="101" applyFont="1" applyBorder="1" applyAlignment="1">
      <alignment vertical="center"/>
    </xf>
    <xf numFmtId="0" fontId="14" fillId="0" borderId="26" xfId="101" applyFont="1" applyBorder="1" applyAlignment="1">
      <alignment horizontal="center" vertical="center"/>
    </xf>
    <xf numFmtId="0" fontId="14" fillId="0" borderId="0" xfId="101" applyFont="1" applyBorder="1" applyAlignment="1">
      <alignment vertical="center"/>
    </xf>
    <xf numFmtId="0" fontId="8" fillId="0" borderId="0" xfId="101" applyFont="1" applyFill="1" applyBorder="1" applyAlignment="1">
      <alignment vertical="center"/>
    </xf>
    <xf numFmtId="0" fontId="7" fillId="0" borderId="0" xfId="101" applyFont="1" applyBorder="1" applyAlignment="1">
      <alignment vertical="center"/>
    </xf>
    <xf numFmtId="0" fontId="14" fillId="0" borderId="0" xfId="101" applyFont="1" applyBorder="1" applyAlignment="1">
      <alignment horizontal="center" vertical="center"/>
    </xf>
    <xf numFmtId="0" fontId="7" fillId="0" borderId="0" xfId="101" applyFont="1" applyBorder="1"/>
    <xf numFmtId="0" fontId="21" fillId="0" borderId="0" xfId="101" applyFont="1" applyBorder="1" applyAlignment="1">
      <alignment horizontal="center" vertical="justify" textRotation="90"/>
    </xf>
    <xf numFmtId="0" fontId="21" fillId="22" borderId="3" xfId="101" applyFont="1" applyFill="1" applyBorder="1" applyAlignment="1">
      <alignment horizontal="center" vertical="center"/>
    </xf>
    <xf numFmtId="1" fontId="21" fillId="22" borderId="3" xfId="101" applyNumberFormat="1" applyFont="1" applyFill="1" applyBorder="1" applyAlignment="1">
      <alignment horizontal="center" vertical="center"/>
    </xf>
    <xf numFmtId="2" fontId="7" fillId="22" borderId="3" xfId="101" applyNumberFormat="1" applyFont="1" applyFill="1" applyBorder="1"/>
    <xf numFmtId="0" fontId="21" fillId="24" borderId="0" xfId="101" applyFont="1" applyFill="1" applyBorder="1" applyAlignment="1">
      <alignment horizontal="center" vertical="center"/>
    </xf>
    <xf numFmtId="192" fontId="21" fillId="24" borderId="0" xfId="101" applyNumberFormat="1" applyFont="1" applyFill="1" applyBorder="1" applyAlignment="1">
      <alignment vertical="center"/>
    </xf>
    <xf numFmtId="192" fontId="21" fillId="24" borderId="0" xfId="101" applyNumberFormat="1" applyFont="1" applyFill="1" applyBorder="1" applyAlignment="1">
      <alignment horizontal="center" vertical="center"/>
    </xf>
    <xf numFmtId="181" fontId="21" fillId="24" borderId="0" xfId="101" applyNumberFormat="1" applyFont="1" applyFill="1" applyBorder="1" applyAlignment="1">
      <alignment horizontal="center" vertical="center"/>
    </xf>
    <xf numFmtId="0" fontId="21" fillId="24" borderId="0" xfId="101" applyFont="1" applyFill="1" applyBorder="1" applyAlignment="1">
      <alignment vertical="center"/>
    </xf>
    <xf numFmtId="0" fontId="11" fillId="0" borderId="24" xfId="101" applyFont="1" applyBorder="1" applyAlignment="1">
      <alignment horizontal="center" vertical="center"/>
    </xf>
    <xf numFmtId="0" fontId="11" fillId="0" borderId="14" xfId="101" applyFont="1" applyBorder="1" applyAlignment="1">
      <alignment horizontal="center" vertical="center"/>
    </xf>
    <xf numFmtId="49" fontId="21" fillId="24" borderId="0" xfId="101" applyNumberFormat="1" applyFont="1" applyFill="1" applyBorder="1" applyAlignment="1">
      <alignment horizontal="center" vertical="center"/>
    </xf>
    <xf numFmtId="2" fontId="7" fillId="0" borderId="3" xfId="101" applyNumberFormat="1" applyFont="1" applyBorder="1" applyAlignment="1">
      <alignment horizontal="center"/>
    </xf>
    <xf numFmtId="0" fontId="7" fillId="0" borderId="3" xfId="101" applyFont="1" applyBorder="1"/>
    <xf numFmtId="0" fontId="21" fillId="0" borderId="0" xfId="101" applyFont="1" applyBorder="1" applyAlignment="1">
      <alignment vertical="center"/>
    </xf>
    <xf numFmtId="0" fontId="21" fillId="0" borderId="0" xfId="101" applyFont="1" applyBorder="1" applyAlignment="1"/>
    <xf numFmtId="0" fontId="21" fillId="24" borderId="0" xfId="101" applyFont="1" applyFill="1" applyBorder="1" applyAlignment="1">
      <alignment horizontal="center"/>
    </xf>
    <xf numFmtId="0" fontId="21" fillId="24" borderId="0" xfId="101" applyFont="1" applyFill="1" applyBorder="1" applyAlignment="1"/>
    <xf numFmtId="2" fontId="7" fillId="0" borderId="3" xfId="101" applyNumberFormat="1" applyFont="1" applyBorder="1"/>
    <xf numFmtId="0" fontId="21" fillId="0" borderId="3" xfId="101" applyFont="1" applyFill="1" applyBorder="1" applyAlignment="1">
      <alignment horizontal="center"/>
    </xf>
    <xf numFmtId="0" fontId="21" fillId="0" borderId="0" xfId="101" applyFont="1" applyBorder="1" applyAlignment="1">
      <alignment horizontal="center"/>
    </xf>
    <xf numFmtId="0" fontId="14" fillId="0" borderId="0" xfId="101" applyFont="1" applyBorder="1"/>
    <xf numFmtId="0" fontId="14" fillId="0" borderId="0" xfId="101" applyFont="1"/>
    <xf numFmtId="1" fontId="21" fillId="24" borderId="0" xfId="101" applyNumberFormat="1" applyFont="1" applyFill="1" applyBorder="1" applyAlignment="1">
      <alignment horizontal="center"/>
    </xf>
    <xf numFmtId="0" fontId="84" fillId="24" borderId="0" xfId="101" applyFont="1" applyFill="1" applyBorder="1" applyAlignment="1">
      <alignment horizontal="center"/>
    </xf>
    <xf numFmtId="0" fontId="11" fillId="0" borderId="3" xfId="101" applyFont="1" applyBorder="1" applyAlignment="1">
      <alignment horizontal="center"/>
    </xf>
    <xf numFmtId="0" fontId="11" fillId="0" borderId="24" xfId="101" applyFont="1" applyBorder="1" applyAlignment="1">
      <alignment horizontal="center"/>
    </xf>
    <xf numFmtId="0" fontId="11" fillId="0" borderId="14" xfId="101" applyFont="1" applyBorder="1" applyAlignment="1">
      <alignment horizontal="center"/>
    </xf>
    <xf numFmtId="0" fontId="11" fillId="22" borderId="3" xfId="101" applyFont="1" applyFill="1" applyBorder="1" applyAlignment="1">
      <alignment horizontal="center"/>
    </xf>
    <xf numFmtId="2" fontId="11" fillId="22" borderId="3" xfId="101" applyNumberFormat="1" applyFont="1" applyFill="1" applyBorder="1" applyAlignment="1">
      <alignment horizontal="center" textRotation="90"/>
    </xf>
    <xf numFmtId="2" fontId="21" fillId="22" borderId="3" xfId="101" applyNumberFormat="1" applyFont="1" applyFill="1" applyBorder="1" applyAlignment="1">
      <alignment horizontal="center" textRotation="90"/>
    </xf>
    <xf numFmtId="0" fontId="21" fillId="22" borderId="3" xfId="101" applyFont="1" applyFill="1" applyBorder="1" applyAlignment="1"/>
    <xf numFmtId="0" fontId="11" fillId="24" borderId="3" xfId="101" applyFont="1" applyFill="1" applyBorder="1" applyAlignment="1">
      <alignment horizontal="center"/>
    </xf>
    <xf numFmtId="0" fontId="11" fillId="35" borderId="3" xfId="101" applyFont="1" applyFill="1" applyBorder="1" applyAlignment="1">
      <alignment horizontal="center"/>
    </xf>
    <xf numFmtId="2" fontId="21" fillId="35" borderId="3" xfId="101" applyNumberFormat="1" applyFont="1" applyFill="1" applyBorder="1" applyAlignment="1">
      <alignment horizontal="center" textRotation="90"/>
    </xf>
    <xf numFmtId="0" fontId="21" fillId="35" borderId="3" xfId="101" applyFont="1" applyFill="1" applyBorder="1" applyAlignment="1"/>
    <xf numFmtId="0" fontId="21" fillId="0" borderId="3" xfId="101" applyFont="1" applyBorder="1" applyAlignment="1"/>
    <xf numFmtId="0" fontId="11" fillId="0" borderId="33" xfId="101" applyFont="1" applyBorder="1" applyAlignment="1">
      <alignment vertical="justify"/>
    </xf>
    <xf numFmtId="0" fontId="21" fillId="0" borderId="3" xfId="101" applyFont="1" applyBorder="1" applyAlignment="1">
      <alignment horizontal="center"/>
    </xf>
    <xf numFmtId="0" fontId="21" fillId="0" borderId="3" xfId="101" applyFont="1" applyBorder="1" applyAlignment="1">
      <alignment horizontal="left"/>
    </xf>
    <xf numFmtId="0" fontId="21" fillId="0" borderId="0" xfId="101" applyFont="1" applyBorder="1" applyAlignment="1">
      <alignment horizontal="left"/>
    </xf>
    <xf numFmtId="0" fontId="14" fillId="0" borderId="0" xfId="101" applyFont="1" applyBorder="1" applyAlignment="1">
      <alignment horizontal="left"/>
    </xf>
    <xf numFmtId="0" fontId="14" fillId="0" borderId="0" xfId="101" applyFont="1" applyAlignment="1">
      <alignment horizontal="left"/>
    </xf>
    <xf numFmtId="0" fontId="11" fillId="0" borderId="3" xfId="101" applyFont="1" applyBorder="1" applyAlignment="1">
      <alignment vertical="justify"/>
    </xf>
    <xf numFmtId="0" fontId="11" fillId="0" borderId="69" xfId="101" applyFont="1" applyBorder="1" applyAlignment="1">
      <alignment horizontal="justify" vertical="justify"/>
    </xf>
    <xf numFmtId="49" fontId="11" fillId="0" borderId="23" xfId="101" applyNumberFormat="1" applyFont="1" applyBorder="1" applyAlignment="1">
      <alignment horizontal="center"/>
    </xf>
    <xf numFmtId="0" fontId="21" fillId="0" borderId="46" xfId="101" applyFont="1" applyBorder="1" applyAlignment="1"/>
    <xf numFmtId="0" fontId="21" fillId="0" borderId="3" xfId="101" applyFont="1" applyBorder="1" applyAlignment="1">
      <alignment horizontal="center" vertical="justify"/>
    </xf>
    <xf numFmtId="0" fontId="21" fillId="0" borderId="37" xfId="101" applyFont="1" applyBorder="1" applyAlignment="1">
      <alignment horizontal="center"/>
    </xf>
    <xf numFmtId="0" fontId="21" fillId="0" borderId="66" xfId="101" applyFont="1" applyBorder="1" applyAlignment="1"/>
    <xf numFmtId="0" fontId="25" fillId="0" borderId="3" xfId="101" applyFont="1" applyBorder="1" applyAlignment="1"/>
    <xf numFmtId="0" fontId="21" fillId="0" borderId="3" xfId="101" applyNumberFormat="1" applyFont="1" applyBorder="1" applyAlignment="1">
      <alignment horizontal="center"/>
    </xf>
    <xf numFmtId="0" fontId="7" fillId="0" borderId="0" xfId="101" applyFont="1" applyAlignment="1">
      <alignment horizontal="center"/>
    </xf>
    <xf numFmtId="0" fontId="14" fillId="0" borderId="0" xfId="101" applyFont="1" applyFill="1" applyBorder="1" applyAlignment="1">
      <alignment vertical="center"/>
    </xf>
    <xf numFmtId="0" fontId="14" fillId="0" borderId="0" xfId="101" applyFont="1" applyFill="1" applyBorder="1" applyAlignment="1">
      <alignment horizontal="center" vertical="center"/>
    </xf>
    <xf numFmtId="0" fontId="7" fillId="0" borderId="0" xfId="101" applyFont="1" applyFill="1" applyBorder="1" applyAlignment="1">
      <alignment vertical="center"/>
    </xf>
    <xf numFmtId="0" fontId="21" fillId="0" borderId="0" xfId="101" applyFont="1" applyFill="1" applyBorder="1" applyAlignment="1">
      <alignment horizontal="center" vertical="center"/>
    </xf>
    <xf numFmtId="0" fontId="14" fillId="0" borderId="0" xfId="101" applyFont="1" applyBorder="1" applyAlignment="1"/>
    <xf numFmtId="0" fontId="21" fillId="0" borderId="0" xfId="101" applyFont="1" applyFill="1" applyBorder="1" applyAlignment="1">
      <alignment vertical="center"/>
    </xf>
    <xf numFmtId="0" fontId="85" fillId="0" borderId="0" xfId="101" applyFont="1" applyFill="1" applyBorder="1" applyAlignment="1">
      <alignment vertical="center" wrapText="1"/>
    </xf>
    <xf numFmtId="0" fontId="21" fillId="0" borderId="0" xfId="101" applyFont="1" applyFill="1" applyBorder="1" applyAlignment="1">
      <alignment horizontal="center"/>
    </xf>
    <xf numFmtId="0" fontId="21" fillId="0" borderId="0" xfId="101" applyFont="1" applyFill="1" applyBorder="1" applyAlignment="1"/>
    <xf numFmtId="0" fontId="14" fillId="0" borderId="0" xfId="101" applyFont="1" applyBorder="1" applyAlignment="1">
      <alignment horizontal="center"/>
    </xf>
    <xf numFmtId="0" fontId="54" fillId="0" borderId="0" xfId="101" applyFont="1" applyBorder="1" applyAlignment="1"/>
    <xf numFmtId="0" fontId="14" fillId="0" borderId="0" xfId="101" applyFont="1" applyFill="1" applyBorder="1" applyAlignment="1"/>
    <xf numFmtId="0" fontId="14" fillId="0" borderId="0" xfId="101" applyFont="1" applyFill="1" applyBorder="1" applyAlignment="1">
      <alignment horizontal="center"/>
    </xf>
    <xf numFmtId="0" fontId="14" fillId="0" borderId="0" xfId="101" applyFont="1" applyFill="1" applyBorder="1"/>
    <xf numFmtId="0" fontId="21" fillId="0" borderId="0" xfId="101" applyFont="1" applyFill="1" applyBorder="1"/>
    <xf numFmtId="49" fontId="21" fillId="0" borderId="0" xfId="101" applyNumberFormat="1" applyFont="1" applyFill="1" applyBorder="1"/>
    <xf numFmtId="0" fontId="7" fillId="0" borderId="0" xfId="101" applyFont="1" applyFill="1" applyBorder="1" applyAlignment="1">
      <alignment horizontal="center"/>
    </xf>
    <xf numFmtId="0" fontId="7" fillId="0" borderId="0" xfId="101" applyFont="1" applyFill="1" applyBorder="1"/>
    <xf numFmtId="0" fontId="7" fillId="0" borderId="0" xfId="101" applyFont="1" applyFill="1" applyBorder="1" applyAlignment="1"/>
    <xf numFmtId="0" fontId="7" fillId="0" borderId="0" xfId="101" applyFont="1" applyBorder="1" applyAlignment="1">
      <alignment horizontal="center"/>
    </xf>
    <xf numFmtId="0" fontId="7" fillId="0" borderId="0" xfId="101" applyFont="1" applyBorder="1" applyAlignment="1"/>
    <xf numFmtId="0" fontId="23" fillId="0" borderId="0" xfId="101" applyFont="1" applyBorder="1" applyAlignment="1">
      <alignment horizontal="center"/>
    </xf>
    <xf numFmtId="0" fontId="23" fillId="0" borderId="0" xfId="101" applyFont="1" applyBorder="1" applyAlignment="1"/>
    <xf numFmtId="0" fontId="23" fillId="0" borderId="0" xfId="101" applyFont="1"/>
    <xf numFmtId="2" fontId="7" fillId="0" borderId="0" xfId="101" applyNumberFormat="1" applyFont="1" applyFill="1" applyBorder="1" applyAlignment="1">
      <alignment horizontal="center"/>
    </xf>
    <xf numFmtId="2" fontId="23" fillId="0" borderId="0" xfId="101" applyNumberFormat="1" applyFont="1" applyBorder="1" applyAlignment="1">
      <alignment horizontal="center"/>
    </xf>
    <xf numFmtId="0" fontId="23" fillId="0" borderId="0" xfId="101" applyFont="1" applyFill="1" applyBorder="1" applyAlignment="1">
      <alignment horizontal="center"/>
    </xf>
    <xf numFmtId="0" fontId="23" fillId="0" borderId="0" xfId="101" applyFont="1" applyBorder="1"/>
    <xf numFmtId="0" fontId="7" fillId="0" borderId="3" xfId="101" applyFont="1" applyFill="1" applyBorder="1" applyAlignment="1">
      <alignment horizontal="center"/>
    </xf>
    <xf numFmtId="193" fontId="7" fillId="0" borderId="3" xfId="101" applyNumberFormat="1" applyFont="1" applyBorder="1"/>
    <xf numFmtId="0" fontId="7" fillId="0" borderId="3" xfId="101" applyFont="1" applyFill="1" applyBorder="1"/>
    <xf numFmtId="49" fontId="14" fillId="28" borderId="3" xfId="0" applyNumberFormat="1" applyFont="1" applyFill="1" applyBorder="1"/>
    <xf numFmtId="0" fontId="0" fillId="0" borderId="46" xfId="0" applyFill="1" applyBorder="1" applyAlignment="1">
      <alignment horizontal="center" vertical="center"/>
    </xf>
    <xf numFmtId="0" fontId="0" fillId="57" borderId="3" xfId="0" applyFill="1" applyBorder="1" applyAlignment="1">
      <alignment horizontal="center" vertical="center"/>
    </xf>
    <xf numFmtId="0" fontId="0" fillId="58" borderId="3" xfId="0" applyFill="1" applyBorder="1" applyAlignment="1">
      <alignment horizontal="center" vertical="center"/>
    </xf>
    <xf numFmtId="0" fontId="0" fillId="58" borderId="73" xfId="0" applyFill="1" applyBorder="1" applyAlignment="1">
      <alignment horizontal="center" vertical="center"/>
    </xf>
    <xf numFmtId="0" fontId="0" fillId="58" borderId="20" xfId="0" applyFill="1" applyBorder="1" applyAlignment="1">
      <alignment horizontal="center" vertical="center"/>
    </xf>
    <xf numFmtId="0" fontId="0" fillId="58" borderId="21" xfId="0" applyFill="1" applyBorder="1" applyAlignment="1">
      <alignment horizontal="center" vertical="center"/>
    </xf>
    <xf numFmtId="0" fontId="7" fillId="0" borderId="74" xfId="0" applyFont="1" applyBorder="1" applyAlignment="1">
      <alignment horizontal="center" vertical="center"/>
    </xf>
    <xf numFmtId="0" fontId="0" fillId="0" borderId="23" xfId="0" applyBorder="1" applyAlignment="1">
      <alignment horizontal="center" vertical="center"/>
    </xf>
    <xf numFmtId="0" fontId="0" fillId="0" borderId="75" xfId="0" applyBorder="1" applyAlignment="1">
      <alignment horizontal="center" vertical="center"/>
    </xf>
    <xf numFmtId="180" fontId="24" fillId="0" borderId="44" xfId="70" applyNumberFormat="1" applyFont="1" applyFill="1" applyBorder="1" applyAlignment="1" applyProtection="1">
      <alignment vertical="center"/>
      <protection locked="0"/>
    </xf>
    <xf numFmtId="0" fontId="11" fillId="0" borderId="3" xfId="96" applyNumberFormat="1" applyFont="1" applyFill="1" applyBorder="1" applyAlignment="1">
      <alignment horizontal="center" vertical="top"/>
    </xf>
    <xf numFmtId="0" fontId="0" fillId="59" borderId="3" xfId="0" applyFill="1" applyBorder="1" applyAlignment="1">
      <alignment horizontal="center"/>
    </xf>
    <xf numFmtId="0" fontId="0" fillId="59" borderId="35" xfId="0" applyFill="1" applyBorder="1" applyAlignment="1">
      <alignment horizontal="center"/>
    </xf>
    <xf numFmtId="0" fontId="0" fillId="59" borderId="0" xfId="0" applyFill="1" applyAlignment="1">
      <alignment horizontal="center"/>
    </xf>
    <xf numFmtId="0" fontId="0" fillId="59" borderId="0" xfId="0" applyFill="1"/>
    <xf numFmtId="0" fontId="0" fillId="59" borderId="0" xfId="0" applyNumberFormat="1" applyFill="1" applyAlignment="1">
      <alignment horizontal="center"/>
    </xf>
    <xf numFmtId="0" fontId="7" fillId="59" borderId="0" xfId="0" applyFont="1" applyFill="1" applyAlignment="1">
      <alignment horizontal="center"/>
    </xf>
    <xf numFmtId="49" fontId="0" fillId="59" borderId="0" xfId="0" applyNumberFormat="1" applyFill="1" applyAlignment="1">
      <alignment horizontal="center"/>
    </xf>
    <xf numFmtId="0" fontId="58" fillId="59" borderId="0" xfId="0" applyFont="1" applyFill="1" applyAlignment="1">
      <alignment horizontal="center"/>
    </xf>
    <xf numFmtId="0" fontId="7" fillId="36" borderId="0" xfId="0" applyFont="1" applyFill="1" applyAlignment="1">
      <alignment horizontal="left"/>
    </xf>
    <xf numFmtId="0" fontId="0" fillId="59" borderId="3" xfId="0" applyFill="1" applyBorder="1" applyAlignment="1">
      <alignment horizontal="left"/>
    </xf>
    <xf numFmtId="0" fontId="7" fillId="60" borderId="0" xfId="0" applyFont="1" applyFill="1"/>
    <xf numFmtId="49" fontId="7" fillId="61" borderId="0" xfId="0" applyNumberFormat="1" applyFont="1" applyFill="1" applyAlignment="1">
      <alignment horizontal="center"/>
    </xf>
    <xf numFmtId="49" fontId="0" fillId="56" borderId="0" xfId="0" applyNumberFormat="1" applyFill="1" applyAlignment="1">
      <alignment horizontal="center"/>
    </xf>
    <xf numFmtId="0" fontId="11" fillId="0" borderId="3" xfId="101" applyFont="1" applyBorder="1" applyAlignment="1"/>
    <xf numFmtId="0" fontId="14" fillId="0" borderId="3" xfId="0" applyFont="1" applyBorder="1" applyAlignment="1">
      <alignment horizontal="center"/>
    </xf>
    <xf numFmtId="0" fontId="14" fillId="0" borderId="24" xfId="0" applyNumberFormat="1" applyFont="1" applyFill="1" applyBorder="1" applyAlignment="1">
      <alignment horizontal="left"/>
    </xf>
    <xf numFmtId="0" fontId="19" fillId="0" borderId="26" xfId="0" applyNumberFormat="1" applyFont="1" applyFill="1" applyBorder="1" applyAlignment="1">
      <alignment horizontal="left"/>
    </xf>
    <xf numFmtId="0" fontId="11" fillId="0" borderId="0" xfId="96" applyFont="1" applyBorder="1" applyAlignment="1">
      <alignment horizontal="right" vertical="center"/>
    </xf>
    <xf numFmtId="49" fontId="53" fillId="0" borderId="3" xfId="0" applyNumberFormat="1" applyFont="1" applyFill="1" applyBorder="1" applyAlignment="1">
      <alignment horizontal="center" vertical="center"/>
    </xf>
    <xf numFmtId="0" fontId="21" fillId="0" borderId="3" xfId="0" applyFont="1" applyFill="1" applyBorder="1" applyAlignment="1">
      <alignment horizontal="center"/>
    </xf>
    <xf numFmtId="186" fontId="7" fillId="0" borderId="26" xfId="98" applyNumberFormat="1" applyFont="1" applyBorder="1" applyAlignment="1">
      <alignment horizontal="center" vertical="center"/>
    </xf>
    <xf numFmtId="0" fontId="8" fillId="0" borderId="3" xfId="0" applyFont="1" applyFill="1" applyBorder="1" applyAlignment="1">
      <alignment horizontal="center" vertical="center"/>
    </xf>
    <xf numFmtId="0" fontId="7" fillId="59" borderId="3" xfId="0" applyFont="1" applyFill="1" applyBorder="1" applyAlignment="1">
      <alignment horizontal="left"/>
    </xf>
    <xf numFmtId="0" fontId="8" fillId="0" borderId="3" xfId="96" applyFont="1" applyBorder="1" applyAlignment="1">
      <alignment horizontal="left" vertical="center"/>
    </xf>
    <xf numFmtId="0" fontId="14" fillId="29" borderId="3" xfId="0" applyFont="1" applyFill="1" applyBorder="1" applyAlignment="1">
      <alignment horizontal="center"/>
    </xf>
    <xf numFmtId="0" fontId="21" fillId="40" borderId="3" xfId="0" applyFont="1" applyFill="1" applyBorder="1" applyAlignment="1">
      <alignment horizontal="center"/>
    </xf>
    <xf numFmtId="0" fontId="21" fillId="28" borderId="3" xfId="0" applyFont="1" applyFill="1" applyBorder="1" applyAlignment="1">
      <alignment horizontal="center"/>
    </xf>
    <xf numFmtId="0" fontId="21" fillId="30" borderId="3" xfId="0" applyFont="1" applyFill="1" applyBorder="1" applyAlignment="1">
      <alignment horizontal="center"/>
    </xf>
    <xf numFmtId="0" fontId="8" fillId="46" borderId="3" xfId="98" applyFont="1" applyFill="1" applyBorder="1" applyAlignment="1">
      <alignment horizontal="center" vertical="center"/>
    </xf>
    <xf numFmtId="0" fontId="21" fillId="0" borderId="0" xfId="0" applyFont="1" applyAlignment="1">
      <alignment horizontal="left"/>
    </xf>
    <xf numFmtId="194" fontId="0" fillId="0" borderId="3" xfId="0" applyNumberFormat="1" applyFill="1" applyBorder="1" applyAlignment="1">
      <alignment horizontal="center" vertical="center"/>
    </xf>
    <xf numFmtId="0" fontId="53" fillId="20" borderId="0" xfId="0" applyFont="1" applyFill="1" applyAlignment="1">
      <alignment horizontal="center" vertical="center" wrapText="1"/>
    </xf>
    <xf numFmtId="0" fontId="0" fillId="0" borderId="36" xfId="0" applyFill="1" applyBorder="1" applyAlignment="1">
      <alignment horizontal="center" vertical="center"/>
    </xf>
    <xf numFmtId="0" fontId="19" fillId="0" borderId="0" xfId="0" applyFont="1" applyFill="1" applyBorder="1" applyAlignment="1">
      <alignment horizontal="center"/>
    </xf>
    <xf numFmtId="195" fontId="0" fillId="0" borderId="0" xfId="0" applyNumberFormat="1" applyAlignment="1">
      <alignment horizontal="center" wrapText="1"/>
    </xf>
    <xf numFmtId="196" fontId="0" fillId="0" borderId="0" xfId="0" applyNumberFormat="1" applyAlignment="1">
      <alignment horizontal="center" wrapText="1"/>
    </xf>
    <xf numFmtId="49" fontId="8" fillId="0" borderId="0" xfId="0" applyNumberFormat="1" applyFont="1" applyFill="1" applyBorder="1" applyAlignment="1" applyProtection="1">
      <alignment horizontal="center" vertical="center"/>
      <protection locked="0"/>
    </xf>
    <xf numFmtId="0" fontId="18" fillId="22" borderId="24" xfId="0" applyFont="1" applyFill="1" applyBorder="1" applyAlignment="1">
      <alignment horizontal="center" vertical="center"/>
    </xf>
    <xf numFmtId="0" fontId="12" fillId="20" borderId="0" xfId="0" applyFont="1" applyFill="1" applyBorder="1" applyAlignment="1">
      <alignment horizontal="center" vertical="center"/>
    </xf>
    <xf numFmtId="0" fontId="53" fillId="20" borderId="0" xfId="0" applyFont="1" applyFill="1" applyBorder="1" applyAlignment="1" applyProtection="1">
      <alignment horizontal="right" vertical="center"/>
    </xf>
    <xf numFmtId="0" fontId="0" fillId="62" borderId="3" xfId="0" applyFill="1" applyBorder="1" applyAlignment="1">
      <alignment horizontal="center" vertical="center"/>
    </xf>
    <xf numFmtId="0" fontId="7" fillId="0" borderId="0" xfId="0" applyFont="1" applyAlignment="1">
      <alignment horizontal="left"/>
    </xf>
    <xf numFmtId="0" fontId="53" fillId="20" borderId="0" xfId="0" applyNumberFormat="1" applyFont="1" applyFill="1" applyBorder="1" applyAlignment="1" applyProtection="1">
      <alignment horizontal="right" vertical="center"/>
    </xf>
    <xf numFmtId="197" fontId="0" fillId="0" borderId="3" xfId="0" applyNumberFormat="1" applyFill="1" applyBorder="1" applyAlignment="1">
      <alignment horizontal="center" vertical="center"/>
    </xf>
    <xf numFmtId="0" fontId="8" fillId="0" borderId="33" xfId="0" applyNumberFormat="1" applyFont="1" applyBorder="1" applyAlignment="1">
      <alignment horizontal="center" vertical="center"/>
    </xf>
    <xf numFmtId="0" fontId="15" fillId="20" borderId="69" xfId="0" quotePrefix="1" applyNumberFormat="1" applyFont="1" applyFill="1" applyBorder="1" applyAlignment="1" applyProtection="1">
      <alignment horizontal="center" vertical="center"/>
    </xf>
    <xf numFmtId="0" fontId="53" fillId="0" borderId="23" xfId="0" applyNumberFormat="1" applyFont="1" applyBorder="1" applyAlignment="1">
      <alignment horizontal="center" vertical="center"/>
    </xf>
    <xf numFmtId="0" fontId="8" fillId="0" borderId="0" xfId="97" applyFont="1" applyAlignment="1">
      <alignment horizontal="center" vertical="center"/>
    </xf>
    <xf numFmtId="0" fontId="7" fillId="0" borderId="0" xfId="97"/>
    <xf numFmtId="0" fontId="7" fillId="0" borderId="0" xfId="97" applyAlignment="1">
      <alignment vertical="center"/>
    </xf>
    <xf numFmtId="198" fontId="7" fillId="0" borderId="0" xfId="97" applyNumberFormat="1" applyAlignment="1">
      <alignment horizontal="center" vertical="center"/>
    </xf>
    <xf numFmtId="0" fontId="7" fillId="0" borderId="0" xfId="97" applyFill="1" applyAlignment="1">
      <alignment vertical="center"/>
    </xf>
    <xf numFmtId="198" fontId="8" fillId="0" borderId="0" xfId="97" applyNumberFormat="1" applyFont="1" applyAlignment="1">
      <alignment horizontal="right" vertical="center"/>
    </xf>
    <xf numFmtId="14" fontId="8" fillId="0" borderId="0" xfId="97" applyNumberFormat="1" applyFont="1" applyAlignment="1">
      <alignment horizontal="left" vertical="center"/>
    </xf>
    <xf numFmtId="0" fontId="55" fillId="0" borderId="0" xfId="97" applyFont="1" applyAlignment="1">
      <alignment horizontal="center" vertical="center"/>
    </xf>
    <xf numFmtId="0" fontId="21" fillId="0" borderId="0" xfId="97" applyFont="1" applyAlignment="1">
      <alignment horizontal="right" vertical="center"/>
    </xf>
    <xf numFmtId="0" fontId="11" fillId="0" borderId="0" xfId="97" applyFont="1" applyAlignment="1">
      <alignment horizontal="right" vertical="center"/>
    </xf>
    <xf numFmtId="0" fontId="21" fillId="0" borderId="0" xfId="97" applyFont="1" applyBorder="1" applyAlignment="1">
      <alignment horizontal="center" vertical="center"/>
    </xf>
    <xf numFmtId="0" fontId="7" fillId="0" borderId="0" xfId="97" applyBorder="1" applyAlignment="1">
      <alignment horizontal="center" vertical="center"/>
    </xf>
    <xf numFmtId="0" fontId="63" fillId="0" borderId="0" xfId="97" applyFont="1" applyAlignment="1">
      <alignment horizontal="left" vertical="center"/>
    </xf>
    <xf numFmtId="0" fontId="63" fillId="0" borderId="0" xfId="97" applyFont="1" applyAlignment="1">
      <alignment horizontal="center" vertical="center"/>
    </xf>
    <xf numFmtId="0" fontId="11" fillId="0" borderId="0" xfId="97" applyFont="1" applyAlignment="1">
      <alignment horizontal="center" vertical="center"/>
    </xf>
    <xf numFmtId="0" fontId="7" fillId="0" borderId="35" xfId="97" applyBorder="1" applyAlignment="1">
      <alignment horizontal="left" vertical="center"/>
    </xf>
    <xf numFmtId="0" fontId="7" fillId="0" borderId="0" xfId="97" applyBorder="1" applyAlignment="1">
      <alignment horizontal="left" vertical="center"/>
    </xf>
    <xf numFmtId="0" fontId="7" fillId="0" borderId="0" xfId="97" applyFont="1" applyAlignment="1">
      <alignment horizontal="center" vertical="center"/>
    </xf>
    <xf numFmtId="0" fontId="7" fillId="0" borderId="0" xfId="97" applyAlignment="1">
      <alignment horizontal="center" vertical="center"/>
    </xf>
    <xf numFmtId="0" fontId="63" fillId="0" borderId="0" xfId="97" applyFont="1" applyAlignment="1">
      <alignment horizontal="right" vertical="center"/>
    </xf>
    <xf numFmtId="0" fontId="11" fillId="0" borderId="24" xfId="97" applyFont="1" applyBorder="1" applyAlignment="1">
      <alignment horizontal="right" vertical="center" indent="1"/>
    </xf>
    <xf numFmtId="0" fontId="11" fillId="0" borderId="14" xfId="97" applyFont="1" applyFill="1" applyBorder="1" applyAlignment="1">
      <alignment horizontal="left" vertical="center"/>
    </xf>
    <xf numFmtId="0" fontId="21" fillId="0" borderId="3" xfId="97" applyFont="1" applyBorder="1" applyAlignment="1">
      <alignment horizontal="center" vertical="center"/>
    </xf>
    <xf numFmtId="198" fontId="7" fillId="0" borderId="3" xfId="97" applyNumberFormat="1" applyBorder="1" applyAlignment="1">
      <alignment horizontal="center" vertical="center"/>
    </xf>
    <xf numFmtId="0" fontId="8" fillId="0" borderId="3" xfId="97" applyFont="1" applyBorder="1" applyAlignment="1">
      <alignment horizontal="center" vertical="center"/>
    </xf>
    <xf numFmtId="0" fontId="25" fillId="20" borderId="0" xfId="97" applyFont="1" applyFill="1" applyBorder="1" applyAlignment="1">
      <alignment horizontal="center" vertical="center"/>
    </xf>
    <xf numFmtId="0" fontId="54" fillId="20" borderId="0" xfId="97" applyFont="1" applyFill="1" applyBorder="1" applyAlignment="1">
      <alignment horizontal="center" vertical="center"/>
    </xf>
    <xf numFmtId="0" fontId="21" fillId="20" borderId="0" xfId="97" applyFont="1" applyFill="1" applyBorder="1" applyAlignment="1">
      <alignment horizontal="center" vertical="center"/>
    </xf>
    <xf numFmtId="0" fontId="7" fillId="20" borderId="0" xfId="97" applyFill="1" applyBorder="1" applyAlignment="1">
      <alignment horizontal="center" vertical="center"/>
    </xf>
    <xf numFmtId="0" fontId="63" fillId="0" borderId="0" xfId="97" applyFont="1" applyAlignment="1">
      <alignment vertical="center"/>
    </xf>
    <xf numFmtId="199" fontId="21" fillId="0" borderId="3" xfId="97" applyNumberFormat="1" applyFont="1" applyBorder="1" applyAlignment="1">
      <alignment horizontal="center" vertical="center"/>
    </xf>
    <xf numFmtId="0" fontId="8" fillId="0" borderId="0" xfId="97" applyFont="1" applyAlignment="1">
      <alignment horizontal="left" vertical="center"/>
    </xf>
    <xf numFmtId="0" fontId="55" fillId="0" borderId="16" xfId="97" applyFont="1" applyBorder="1" applyAlignment="1">
      <alignment vertical="center"/>
    </xf>
    <xf numFmtId="0" fontId="7" fillId="0" borderId="40" xfId="97" applyBorder="1" applyAlignment="1">
      <alignment vertical="center"/>
    </xf>
    <xf numFmtId="0" fontId="7" fillId="0" borderId="0" xfId="97" applyBorder="1" applyAlignment="1">
      <alignment vertical="center"/>
    </xf>
    <xf numFmtId="0" fontId="7" fillId="0" borderId="17" xfId="97" applyBorder="1" applyAlignment="1">
      <alignment vertical="center"/>
    </xf>
    <xf numFmtId="0" fontId="7" fillId="0" borderId="11" xfId="97" applyBorder="1" applyAlignment="1">
      <alignment vertical="center"/>
    </xf>
    <xf numFmtId="0" fontId="14" fillId="0" borderId="0" xfId="97" applyFont="1" applyBorder="1" applyAlignment="1">
      <alignment horizontal="right" vertical="center"/>
    </xf>
    <xf numFmtId="0" fontId="21" fillId="0" borderId="3" xfId="97" applyFont="1" applyBorder="1" applyAlignment="1">
      <alignment vertical="center"/>
    </xf>
    <xf numFmtId="0" fontId="14" fillId="0" borderId="0" xfId="97" applyFont="1" applyBorder="1" applyAlignment="1">
      <alignment horizontal="left" vertical="center"/>
    </xf>
    <xf numFmtId="0" fontId="14" fillId="0" borderId="11" xfId="97" applyFont="1" applyBorder="1" applyAlignment="1">
      <alignment horizontal="left" vertical="center"/>
    </xf>
    <xf numFmtId="0" fontId="7" fillId="0" borderId="0" xfId="97" applyBorder="1" applyAlignment="1">
      <alignment horizontal="right" vertical="center"/>
    </xf>
    <xf numFmtId="0" fontId="56" fillId="0" borderId="0" xfId="97" applyFont="1" applyBorder="1" applyAlignment="1">
      <alignment vertical="center"/>
    </xf>
    <xf numFmtId="0" fontId="7" fillId="0" borderId="0" xfId="97" applyAlignment="1">
      <alignment horizontal="right" vertical="center"/>
    </xf>
    <xf numFmtId="0" fontId="15" fillId="0" borderId="0" xfId="97" applyFont="1" applyBorder="1" applyAlignment="1">
      <alignment horizontal="right" vertical="center"/>
    </xf>
    <xf numFmtId="0" fontId="7" fillId="0" borderId="3" xfId="97" applyBorder="1" applyAlignment="1">
      <alignment vertical="center"/>
    </xf>
    <xf numFmtId="0" fontId="7" fillId="0" borderId="41" xfId="97" applyBorder="1" applyAlignment="1">
      <alignment vertical="center"/>
    </xf>
    <xf numFmtId="0" fontId="7" fillId="0" borderId="34" xfId="97" applyBorder="1" applyAlignment="1">
      <alignment vertical="center"/>
    </xf>
    <xf numFmtId="0" fontId="7" fillId="0" borderId="42" xfId="97" applyBorder="1" applyAlignment="1">
      <alignment vertical="center"/>
    </xf>
    <xf numFmtId="0" fontId="8" fillId="0" borderId="0" xfId="97" applyFont="1" applyBorder="1" applyAlignment="1">
      <alignment vertical="center"/>
    </xf>
    <xf numFmtId="0" fontId="8" fillId="0" borderId="0" xfId="97" applyFont="1" applyBorder="1" applyAlignment="1">
      <alignment horizontal="center" vertical="center"/>
    </xf>
    <xf numFmtId="0" fontId="21" fillId="0" borderId="0" xfId="97" applyFont="1" applyBorder="1" applyAlignment="1">
      <alignment vertical="center"/>
    </xf>
    <xf numFmtId="165" fontId="7" fillId="0" borderId="0" xfId="97" applyNumberFormat="1" applyAlignment="1">
      <alignment horizontal="center" vertical="center"/>
    </xf>
    <xf numFmtId="0" fontId="14" fillId="63" borderId="3" xfId="0" applyFont="1" applyFill="1" applyBorder="1" applyAlignment="1">
      <alignment horizontal="center"/>
    </xf>
    <xf numFmtId="49" fontId="7" fillId="20" borderId="44" xfId="0" applyNumberFormat="1" applyFont="1" applyFill="1" applyBorder="1" applyAlignment="1" applyProtection="1">
      <alignment horizontal="center" vertical="center"/>
      <protection locked="0"/>
    </xf>
    <xf numFmtId="49" fontId="7" fillId="20" borderId="0" xfId="0" applyNumberFormat="1" applyFont="1" applyFill="1" applyBorder="1" applyAlignment="1" applyProtection="1">
      <alignment horizontal="center" vertical="center"/>
      <protection locked="0"/>
    </xf>
    <xf numFmtId="49" fontId="7" fillId="20" borderId="0" xfId="0" applyNumberFormat="1" applyFont="1" applyFill="1" applyBorder="1" applyAlignment="1" applyProtection="1">
      <alignment horizontal="center" vertical="center"/>
    </xf>
    <xf numFmtId="168" fontId="7" fillId="20" borderId="0" xfId="0" applyNumberFormat="1" applyFont="1" applyFill="1" applyBorder="1" applyAlignment="1" applyProtection="1">
      <alignment horizontal="center" vertical="center"/>
      <protection locked="0"/>
    </xf>
    <xf numFmtId="14" fontId="7" fillId="20" borderId="0" xfId="0" applyNumberFormat="1" applyFont="1" applyFill="1" applyBorder="1" applyAlignment="1" applyProtection="1">
      <alignment horizontal="center" vertical="center"/>
      <protection locked="0"/>
    </xf>
    <xf numFmtId="0" fontId="12" fillId="0" borderId="0" xfId="0" applyFont="1" applyAlignment="1">
      <alignment horizontal="center" vertical="center"/>
    </xf>
    <xf numFmtId="0" fontId="7" fillId="46" borderId="3" xfId="0" applyFont="1" applyFill="1" applyBorder="1" applyAlignment="1">
      <alignment horizontal="center" vertical="center" wrapText="1"/>
    </xf>
    <xf numFmtId="0" fontId="7" fillId="0" borderId="3" xfId="0" applyFont="1" applyFill="1" applyBorder="1" applyAlignment="1">
      <alignment horizontal="center" vertical="center" wrapText="1"/>
    </xf>
    <xf numFmtId="201" fontId="0" fillId="0" borderId="0" xfId="0" applyNumberFormat="1" applyAlignment="1">
      <alignment horizontal="center"/>
    </xf>
    <xf numFmtId="0" fontId="8" fillId="0" borderId="16" xfId="0" applyFont="1" applyBorder="1" applyAlignment="1">
      <alignment horizontal="center" vertical="center"/>
    </xf>
    <xf numFmtId="0" fontId="7" fillId="0" borderId="17" xfId="0" applyFont="1" applyBorder="1" applyAlignment="1">
      <alignment horizontal="center" vertical="center"/>
    </xf>
    <xf numFmtId="202" fontId="0" fillId="0" borderId="11" xfId="0" applyNumberFormat="1" applyBorder="1" applyAlignment="1">
      <alignment horizontal="center" vertical="center"/>
    </xf>
    <xf numFmtId="0" fontId="0" fillId="0" borderId="17" xfId="0" applyBorder="1" applyAlignment="1">
      <alignment horizontal="center" vertical="center"/>
    </xf>
    <xf numFmtId="0" fontId="0" fillId="0" borderId="11" xfId="0" applyBorder="1" applyAlignment="1">
      <alignment horizontal="center" vertical="center"/>
    </xf>
    <xf numFmtId="0" fontId="7" fillId="0" borderId="41" xfId="0" applyFont="1" applyBorder="1" applyAlignment="1">
      <alignment horizontal="center" vertical="center"/>
    </xf>
    <xf numFmtId="0" fontId="0" fillId="0" borderId="34" xfId="0" applyBorder="1" applyAlignment="1">
      <alignment horizontal="center" vertical="center"/>
    </xf>
    <xf numFmtId="0" fontId="8" fillId="0" borderId="12" xfId="0" applyFont="1" applyBorder="1" applyAlignment="1">
      <alignment horizontal="center" vertical="center"/>
    </xf>
    <xf numFmtId="0" fontId="8" fillId="0" borderId="40" xfId="0" applyFont="1" applyBorder="1" applyAlignment="1">
      <alignment horizontal="center" vertical="center"/>
    </xf>
    <xf numFmtId="0" fontId="8" fillId="0" borderId="76" xfId="0" applyFont="1" applyBorder="1" applyAlignment="1">
      <alignment horizontal="right" vertical="center"/>
    </xf>
    <xf numFmtId="0" fontId="0" fillId="0" borderId="77" xfId="0" applyBorder="1" applyAlignment="1">
      <alignment horizontal="center" vertical="center"/>
    </xf>
    <xf numFmtId="0" fontId="0" fillId="0" borderId="16" xfId="0" applyBorder="1" applyAlignment="1">
      <alignment horizontal="center" vertical="center"/>
    </xf>
    <xf numFmtId="0" fontId="0" fillId="0" borderId="12" xfId="0" applyBorder="1" applyAlignment="1">
      <alignment horizontal="center" vertical="center"/>
    </xf>
    <xf numFmtId="49" fontId="21" fillId="0" borderId="3" xfId="0" applyNumberFormat="1" applyFont="1" applyFill="1" applyBorder="1" applyAlignment="1">
      <alignment horizontal="center" vertical="center"/>
    </xf>
    <xf numFmtId="202" fontId="0" fillId="0" borderId="42" xfId="0" applyNumberFormat="1" applyBorder="1" applyAlignment="1">
      <alignment horizontal="center" vertical="center"/>
    </xf>
    <xf numFmtId="49" fontId="0" fillId="0" borderId="0" xfId="0" applyNumberFormat="1" applyBorder="1" applyAlignment="1">
      <alignment horizontal="center" vertical="center"/>
    </xf>
    <xf numFmtId="49" fontId="7" fillId="0" borderId="0" xfId="0" applyNumberFormat="1" applyFont="1" applyBorder="1" applyAlignment="1">
      <alignment horizontal="center" vertical="center"/>
    </xf>
    <xf numFmtId="49" fontId="0" fillId="0" borderId="0" xfId="0" applyNumberFormat="1" applyAlignment="1">
      <alignment vertical="center"/>
    </xf>
    <xf numFmtId="0" fontId="12" fillId="20" borderId="0" xfId="0" applyFont="1" applyFill="1" applyAlignment="1">
      <alignment horizontal="center" vertical="center"/>
    </xf>
    <xf numFmtId="0" fontId="7" fillId="0" borderId="17" xfId="0" applyFont="1" applyBorder="1" applyAlignment="1">
      <alignment vertical="center"/>
    </xf>
    <xf numFmtId="0" fontId="0" fillId="20" borderId="11" xfId="0" applyFill="1" applyBorder="1" applyAlignment="1">
      <alignment horizontal="center" vertical="center"/>
    </xf>
    <xf numFmtId="0" fontId="0" fillId="0" borderId="45" xfId="0" applyBorder="1" applyAlignment="1">
      <alignment horizontal="center" vertical="center"/>
    </xf>
    <xf numFmtId="0" fontId="0" fillId="64" borderId="24" xfId="0" applyFill="1" applyBorder="1" applyAlignment="1">
      <alignment horizontal="center" vertical="center"/>
    </xf>
    <xf numFmtId="0" fontId="0" fillId="64" borderId="26" xfId="0" applyFill="1" applyBorder="1" applyAlignment="1">
      <alignment horizontal="center" vertical="center"/>
    </xf>
    <xf numFmtId="0" fontId="0" fillId="64" borderId="14" xfId="0" applyFill="1" applyBorder="1" applyAlignment="1">
      <alignment horizontal="center" vertical="center"/>
    </xf>
    <xf numFmtId="0" fontId="7" fillId="0" borderId="0" xfId="0" applyFont="1" applyBorder="1" applyAlignment="1">
      <alignment horizontal="center" vertical="center"/>
    </xf>
    <xf numFmtId="0" fontId="0" fillId="64" borderId="28" xfId="0" applyFill="1" applyBorder="1" applyAlignment="1">
      <alignment horizontal="center" vertical="center"/>
    </xf>
    <xf numFmtId="0" fontId="0" fillId="0" borderId="61" xfId="0" applyBorder="1" applyAlignment="1">
      <alignment horizontal="center" vertical="center"/>
    </xf>
    <xf numFmtId="0" fontId="0" fillId="0" borderId="41"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203" fontId="146" fillId="0" borderId="17" xfId="0" applyNumberFormat="1" applyFont="1" applyBorder="1" applyAlignment="1">
      <alignment horizontal="center" vertical="center"/>
    </xf>
    <xf numFmtId="204" fontId="146" fillId="0" borderId="11" xfId="0" applyNumberFormat="1" applyFont="1" applyBorder="1" applyAlignment="1">
      <alignment horizontal="center" vertical="center"/>
    </xf>
    <xf numFmtId="0" fontId="147" fillId="0" borderId="17" xfId="0" applyFont="1" applyBorder="1" applyAlignment="1">
      <alignment horizontal="center" vertical="center"/>
    </xf>
    <xf numFmtId="203" fontId="146" fillId="0" borderId="41" xfId="0" applyNumberFormat="1" applyFont="1" applyBorder="1" applyAlignment="1">
      <alignment horizontal="center" vertical="center"/>
    </xf>
    <xf numFmtId="204" fontId="146" fillId="0" borderId="42" xfId="0" applyNumberFormat="1" applyFont="1" applyBorder="1" applyAlignment="1">
      <alignment horizontal="center" vertical="center"/>
    </xf>
    <xf numFmtId="0" fontId="8" fillId="0" borderId="26" xfId="98" applyFont="1" applyBorder="1" applyAlignment="1">
      <alignment horizontal="left" vertical="center"/>
    </xf>
    <xf numFmtId="49" fontId="17" fillId="0" borderId="3" xfId="98" applyNumberFormat="1" applyFont="1" applyBorder="1" applyAlignment="1">
      <alignment horizontal="center" vertical="center"/>
    </xf>
    <xf numFmtId="0" fontId="0" fillId="0" borderId="0" xfId="0" applyNumberFormat="1" applyFill="1" applyAlignment="1">
      <alignment horizontal="center"/>
    </xf>
    <xf numFmtId="49" fontId="0" fillId="0" borderId="0" xfId="0" applyNumberFormat="1" applyFill="1" applyAlignment="1">
      <alignment horizontal="center"/>
    </xf>
    <xf numFmtId="0" fontId="58" fillId="0" borderId="0" xfId="0" applyFont="1" applyFill="1" applyAlignment="1">
      <alignment horizontal="center"/>
    </xf>
    <xf numFmtId="0" fontId="0" fillId="59" borderId="0" xfId="0" applyFill="1" applyBorder="1" applyAlignment="1">
      <alignment horizontal="center"/>
    </xf>
    <xf numFmtId="0" fontId="0" fillId="0" borderId="0" xfId="0" applyFill="1" applyBorder="1" applyAlignment="1">
      <alignment horizontal="center"/>
    </xf>
    <xf numFmtId="0" fontId="7" fillId="0" borderId="3" xfId="98" applyBorder="1"/>
    <xf numFmtId="49" fontId="53" fillId="0" borderId="0" xfId="98" applyNumberFormat="1" applyFont="1" applyFill="1" applyBorder="1" applyAlignment="1">
      <alignment horizontal="left" vertical="center"/>
    </xf>
    <xf numFmtId="49" fontId="8" fillId="0" borderId="0" xfId="98" applyNumberFormat="1" applyFont="1" applyFill="1" applyBorder="1" applyAlignment="1">
      <alignment horizontal="left" vertical="center"/>
    </xf>
    <xf numFmtId="178" fontId="18" fillId="22" borderId="3" xfId="0" applyNumberFormat="1" applyFont="1" applyFill="1" applyBorder="1" applyAlignment="1">
      <alignment horizontal="center" vertical="center"/>
    </xf>
    <xf numFmtId="178" fontId="7" fillId="0" borderId="3" xfId="98" applyNumberFormat="1" applyBorder="1"/>
    <xf numFmtId="0" fontId="21" fillId="0" borderId="13" xfId="0" applyFont="1" applyFill="1" applyBorder="1" applyAlignment="1">
      <alignment horizontal="center" vertical="center" wrapText="1"/>
    </xf>
    <xf numFmtId="0" fontId="0" fillId="0" borderId="43" xfId="0" applyBorder="1" applyAlignment="1">
      <alignment vertical="center"/>
    </xf>
    <xf numFmtId="0" fontId="0" fillId="0" borderId="35" xfId="0" applyBorder="1" applyAlignment="1">
      <alignment vertical="center"/>
    </xf>
    <xf numFmtId="0" fontId="14" fillId="28" borderId="3" xfId="0" applyFont="1" applyFill="1" applyBorder="1" applyAlignment="1">
      <alignment horizontal="center"/>
    </xf>
    <xf numFmtId="0" fontId="14" fillId="23" borderId="3" xfId="0" applyFont="1" applyFill="1" applyBorder="1" applyAlignment="1">
      <alignment horizontal="center"/>
    </xf>
    <xf numFmtId="0" fontId="21" fillId="0" borderId="31" xfId="98" applyFont="1" applyBorder="1" applyAlignment="1">
      <alignment horizontal="center"/>
    </xf>
    <xf numFmtId="0" fontId="0" fillId="0" borderId="40" xfId="0" applyBorder="1" applyAlignment="1">
      <alignment horizontal="center" vertical="center"/>
    </xf>
    <xf numFmtId="0" fontId="7" fillId="0" borderId="3" xfId="0" applyFont="1" applyFill="1" applyBorder="1" applyAlignment="1">
      <alignment horizontal="center" vertical="center"/>
    </xf>
    <xf numFmtId="1" fontId="7" fillId="0" borderId="3" xfId="0" applyNumberFormat="1" applyFont="1" applyFill="1" applyBorder="1" applyAlignment="1">
      <alignment horizontal="center" vertical="center"/>
    </xf>
    <xf numFmtId="0" fontId="7" fillId="0" borderId="34" xfId="0" applyFont="1" applyBorder="1" applyAlignment="1">
      <alignment horizontal="center" vertical="center"/>
    </xf>
    <xf numFmtId="0" fontId="148" fillId="0" borderId="3" xfId="0" applyFont="1" applyBorder="1" applyAlignment="1">
      <alignment horizontal="center" vertical="center"/>
    </xf>
    <xf numFmtId="0" fontId="0" fillId="0" borderId="42" xfId="0" applyBorder="1" applyAlignment="1">
      <alignment horizontal="center" vertical="center"/>
    </xf>
    <xf numFmtId="0" fontId="7" fillId="0" borderId="47" xfId="0" applyFont="1" applyBorder="1" applyAlignment="1">
      <alignment horizontal="center" vertical="center"/>
    </xf>
    <xf numFmtId="0" fontId="0" fillId="0" borderId="47" xfId="0" applyBorder="1" applyAlignment="1">
      <alignment horizontal="center" vertical="center"/>
    </xf>
    <xf numFmtId="0" fontId="0" fillId="0" borderId="78" xfId="0" applyBorder="1" applyAlignment="1">
      <alignment horizontal="center" vertical="center"/>
    </xf>
    <xf numFmtId="0" fontId="0" fillId="0" borderId="31" xfId="0" applyBorder="1" applyAlignment="1">
      <alignment horizontal="center" vertical="center"/>
    </xf>
    <xf numFmtId="0" fontId="21" fillId="0" borderId="13" xfId="0" applyFont="1" applyBorder="1" applyAlignment="1">
      <alignment horizontal="center" vertical="center"/>
    </xf>
    <xf numFmtId="0" fontId="7" fillId="0" borderId="72" xfId="0" applyFont="1" applyBorder="1" applyAlignment="1">
      <alignment horizontal="center" vertical="center"/>
    </xf>
    <xf numFmtId="0" fontId="0" fillId="0" borderId="19" xfId="0" applyBorder="1" applyAlignment="1">
      <alignment horizontal="center" vertical="center"/>
    </xf>
    <xf numFmtId="0" fontId="7" fillId="0" borderId="11" xfId="0" applyFont="1" applyBorder="1" applyAlignment="1">
      <alignment horizontal="center" vertical="center"/>
    </xf>
    <xf numFmtId="0" fontId="148" fillId="0" borderId="20" xfId="0" applyFont="1" applyBorder="1" applyAlignment="1">
      <alignment horizontal="center" vertical="center"/>
    </xf>
    <xf numFmtId="0" fontId="17" fillId="0" borderId="0" xfId="0" applyFont="1" applyBorder="1" applyAlignment="1">
      <alignment horizontal="right" vertical="center"/>
    </xf>
    <xf numFmtId="49" fontId="7" fillId="60" borderId="0" xfId="0" applyNumberFormat="1" applyFont="1" applyFill="1" applyAlignment="1">
      <alignment horizontal="center" vertical="center"/>
    </xf>
    <xf numFmtId="0" fontId="0" fillId="60" borderId="0" xfId="0" applyFill="1" applyAlignment="1">
      <alignment horizontal="center"/>
    </xf>
    <xf numFmtId="0" fontId="0" fillId="60" borderId="0" xfId="0" applyNumberFormat="1" applyFill="1" applyAlignment="1">
      <alignment horizontal="center"/>
    </xf>
    <xf numFmtId="0" fontId="7" fillId="0" borderId="76" xfId="0" applyFont="1" applyBorder="1" applyAlignment="1">
      <alignment horizontal="center" vertical="center"/>
    </xf>
    <xf numFmtId="0" fontId="21" fillId="0" borderId="49" xfId="98" applyNumberFormat="1" applyFont="1" applyFill="1" applyBorder="1" applyAlignment="1">
      <alignment horizontal="center" vertical="center"/>
    </xf>
    <xf numFmtId="167" fontId="21" fillId="0" borderId="28" xfId="98" applyNumberFormat="1" applyFont="1" applyFill="1" applyBorder="1" applyAlignment="1">
      <alignment horizontal="center" vertical="center"/>
    </xf>
    <xf numFmtId="1" fontId="21" fillId="0" borderId="28" xfId="98" applyNumberFormat="1" applyFont="1" applyFill="1" applyBorder="1" applyAlignment="1">
      <alignment horizontal="center" vertical="center"/>
    </xf>
    <xf numFmtId="1" fontId="21" fillId="0" borderId="49" xfId="98" applyNumberFormat="1" applyFont="1" applyFill="1" applyBorder="1" applyAlignment="1">
      <alignment horizontal="center" vertical="center"/>
    </xf>
    <xf numFmtId="0" fontId="21" fillId="0" borderId="59" xfId="98" applyNumberFormat="1" applyFont="1" applyFill="1" applyBorder="1" applyAlignment="1">
      <alignment horizontal="center" vertical="center"/>
    </xf>
    <xf numFmtId="0" fontId="21" fillId="0" borderId="61" xfId="98" applyNumberFormat="1" applyFont="1" applyFill="1" applyBorder="1" applyAlignment="1">
      <alignment horizontal="center" vertical="center"/>
    </xf>
    <xf numFmtId="0" fontId="21" fillId="0" borderId="28" xfId="98" applyNumberFormat="1" applyFont="1" applyFill="1" applyBorder="1" applyAlignment="1">
      <alignment horizontal="center" vertical="center"/>
    </xf>
    <xf numFmtId="0" fontId="21" fillId="0" borderId="51" xfId="98" applyNumberFormat="1" applyFont="1" applyFill="1" applyBorder="1" applyAlignment="1">
      <alignment horizontal="center" vertical="center"/>
    </xf>
    <xf numFmtId="0" fontId="21" fillId="0" borderId="66" xfId="98" applyFont="1" applyFill="1" applyBorder="1" applyAlignment="1">
      <alignment horizontal="center" vertical="center"/>
    </xf>
    <xf numFmtId="0" fontId="21" fillId="0" borderId="37" xfId="98" applyFont="1" applyFill="1" applyBorder="1" applyAlignment="1">
      <alignment horizontal="center" vertical="center"/>
    </xf>
    <xf numFmtId="0" fontId="21" fillId="20" borderId="12" xfId="98" applyFont="1" applyFill="1" applyBorder="1" applyAlignment="1">
      <alignment horizontal="center" vertical="center"/>
    </xf>
    <xf numFmtId="0" fontId="21" fillId="20" borderId="34" xfId="98" applyFont="1" applyFill="1" applyBorder="1" applyAlignment="1">
      <alignment horizontal="center" vertical="center"/>
    </xf>
    <xf numFmtId="0" fontId="21" fillId="22" borderId="66" xfId="98" applyFont="1" applyFill="1" applyBorder="1" applyAlignment="1">
      <alignment horizontal="center" vertical="center"/>
    </xf>
    <xf numFmtId="0" fontId="21" fillId="22" borderId="37" xfId="98" applyFont="1" applyFill="1" applyBorder="1" applyAlignment="1">
      <alignment horizontal="center" vertical="center"/>
    </xf>
    <xf numFmtId="0" fontId="8" fillId="0" borderId="56" xfId="98" applyFont="1" applyFill="1" applyBorder="1" applyAlignment="1">
      <alignment horizontal="center" vertical="center" wrapText="1"/>
    </xf>
    <xf numFmtId="0" fontId="149" fillId="0" borderId="66" xfId="98" applyFont="1" applyFill="1" applyBorder="1" applyAlignment="1">
      <alignment horizontal="center" vertical="center"/>
    </xf>
    <xf numFmtId="0" fontId="16" fillId="22" borderId="3" xfId="43" applyFont="1" applyFill="1">
      <alignment horizontal="center" vertical="center" wrapText="1"/>
      <protection locked="0"/>
    </xf>
    <xf numFmtId="0" fontId="8" fillId="0" borderId="49" xfId="98" applyFont="1" applyFill="1" applyBorder="1" applyAlignment="1">
      <alignment horizontal="center"/>
    </xf>
    <xf numFmtId="0" fontId="8" fillId="22" borderId="49" xfId="98" applyFont="1" applyFill="1" applyBorder="1"/>
    <xf numFmtId="0" fontId="8" fillId="22" borderId="49" xfId="98" applyFont="1" applyFill="1" applyBorder="1" applyAlignment="1">
      <alignment horizontal="center"/>
    </xf>
    <xf numFmtId="0" fontId="8" fillId="22" borderId="54" xfId="98" applyFont="1" applyFill="1" applyBorder="1"/>
    <xf numFmtId="49" fontId="150" fillId="0" borderId="3" xfId="98" applyNumberFormat="1" applyFont="1" applyFill="1" applyBorder="1" applyAlignment="1">
      <alignment horizontal="center" vertical="center"/>
    </xf>
    <xf numFmtId="49" fontId="150" fillId="0" borderId="3" xfId="98" applyNumberFormat="1" applyFont="1" applyBorder="1" applyAlignment="1">
      <alignment horizontal="center" vertical="center"/>
    </xf>
    <xf numFmtId="0" fontId="12" fillId="0" borderId="25" xfId="98" applyFont="1" applyBorder="1" applyAlignment="1">
      <alignment vertical="center"/>
    </xf>
    <xf numFmtId="0" fontId="149" fillId="65" borderId="66" xfId="98" applyFont="1" applyFill="1" applyBorder="1" applyAlignment="1">
      <alignment horizontal="center" vertical="center"/>
    </xf>
    <xf numFmtId="0" fontId="17" fillId="0" borderId="3" xfId="0" applyFont="1" applyBorder="1" applyAlignment="1">
      <alignment horizontal="right" vertical="center"/>
    </xf>
    <xf numFmtId="0" fontId="18" fillId="0" borderId="3" xfId="0" applyNumberFormat="1" applyFont="1" applyBorder="1" applyAlignment="1">
      <alignment horizontal="center" vertical="center"/>
    </xf>
    <xf numFmtId="0" fontId="7" fillId="0" borderId="3" xfId="0" applyFont="1" applyBorder="1" applyAlignment="1">
      <alignment horizontal="right" vertical="center"/>
    </xf>
    <xf numFmtId="0" fontId="7" fillId="54" borderId="0" xfId="0" applyNumberFormat="1" applyFont="1" applyFill="1" applyAlignment="1">
      <alignment horizontal="center"/>
    </xf>
    <xf numFmtId="0" fontId="12" fillId="0" borderId="49" xfId="98" applyNumberFormat="1" applyFont="1" applyFill="1" applyBorder="1" applyAlignment="1">
      <alignment horizontal="center" vertical="center" wrapText="1"/>
    </xf>
    <xf numFmtId="0" fontId="21" fillId="0" borderId="25" xfId="98" applyNumberFormat="1" applyFont="1" applyFill="1" applyBorder="1" applyAlignment="1">
      <alignment horizontal="left" vertical="center"/>
    </xf>
    <xf numFmtId="0" fontId="149" fillId="0" borderId="26" xfId="98" applyFont="1" applyFill="1" applyBorder="1" applyAlignment="1">
      <alignment vertical="center"/>
    </xf>
    <xf numFmtId="0" fontId="7" fillId="0" borderId="0" xfId="0" applyFont="1" applyBorder="1" applyAlignment="1">
      <alignment horizontal="right" vertical="center"/>
    </xf>
    <xf numFmtId="0" fontId="7" fillId="20" borderId="0" xfId="0" applyFont="1" applyFill="1" applyBorder="1" applyAlignment="1" applyProtection="1">
      <alignment horizontal="center" vertical="center"/>
    </xf>
    <xf numFmtId="0" fontId="7" fillId="20" borderId="44" xfId="0" applyFont="1" applyFill="1" applyBorder="1" applyAlignment="1" applyProtection="1">
      <alignment horizontal="center" vertical="center"/>
    </xf>
    <xf numFmtId="0" fontId="0" fillId="56" borderId="0" xfId="0" applyFill="1" applyAlignment="1">
      <alignment horizontal="center" vertical="center"/>
    </xf>
    <xf numFmtId="0" fontId="0" fillId="59" borderId="3" xfId="0" applyFill="1" applyBorder="1" applyAlignment="1">
      <alignment horizontal="center" vertical="center"/>
    </xf>
    <xf numFmtId="0" fontId="0" fillId="0" borderId="0" xfId="0" applyFill="1" applyAlignment="1">
      <alignment horizontal="center" vertical="center"/>
    </xf>
    <xf numFmtId="0" fontId="7" fillId="0" borderId="0" xfId="0" applyFont="1" applyAlignment="1">
      <alignment horizontal="left" vertical="center" wrapText="1"/>
    </xf>
    <xf numFmtId="49" fontId="24" fillId="0" borderId="3" xfId="0" applyNumberFormat="1" applyFont="1" applyBorder="1" applyAlignment="1">
      <alignment horizontal="right"/>
    </xf>
    <xf numFmtId="0" fontId="21" fillId="31" borderId="12" xfId="98" applyFont="1" applyFill="1" applyBorder="1" applyAlignment="1">
      <alignment horizontal="center" vertical="center" wrapText="1"/>
    </xf>
    <xf numFmtId="49" fontId="14" fillId="0" borderId="59" xfId="98" applyNumberFormat="1" applyFont="1" applyFill="1" applyBorder="1" applyAlignment="1">
      <alignment horizontal="center" vertical="center"/>
    </xf>
    <xf numFmtId="0" fontId="21" fillId="31" borderId="48" xfId="98" applyFont="1" applyFill="1" applyBorder="1" applyAlignment="1">
      <alignment horizontal="center" vertical="center" wrapText="1"/>
    </xf>
    <xf numFmtId="0" fontId="21" fillId="0" borderId="54" xfId="98" applyNumberFormat="1" applyFont="1" applyFill="1" applyBorder="1" applyAlignment="1">
      <alignment horizontal="center" vertical="center"/>
    </xf>
    <xf numFmtId="206" fontId="53" fillId="46" borderId="3" xfId="0" applyNumberFormat="1" applyFont="1" applyFill="1" applyBorder="1" applyAlignment="1">
      <alignment horizontal="center" vertical="center"/>
    </xf>
    <xf numFmtId="0" fontId="88" fillId="20" borderId="3" xfId="0" applyFont="1" applyFill="1" applyBorder="1" applyAlignment="1">
      <alignment vertical="center"/>
    </xf>
    <xf numFmtId="1" fontId="21" fillId="0" borderId="37" xfId="98" applyNumberFormat="1" applyFont="1" applyFill="1" applyBorder="1" applyAlignment="1">
      <alignment horizontal="center" vertical="center"/>
    </xf>
    <xf numFmtId="0" fontId="68" fillId="20" borderId="23" xfId="0" applyFont="1" applyFill="1" applyBorder="1" applyAlignment="1">
      <alignment horizontal="center" vertical="center"/>
    </xf>
    <xf numFmtId="0" fontId="53" fillId="0" borderId="3" xfId="0" applyFont="1" applyBorder="1" applyAlignment="1">
      <alignment horizontal="center" vertical="center"/>
    </xf>
    <xf numFmtId="0" fontId="53" fillId="0" borderId="3" xfId="0" applyFont="1" applyFill="1" applyBorder="1" applyAlignment="1">
      <alignment horizontal="center" vertical="center"/>
    </xf>
    <xf numFmtId="0" fontId="26" fillId="0" borderId="0" xfId="0" applyFont="1" applyBorder="1"/>
    <xf numFmtId="0" fontId="32" fillId="0" borderId="65" xfId="0" applyFont="1" applyBorder="1" applyAlignment="1">
      <alignment horizontal="center" vertical="center"/>
    </xf>
    <xf numFmtId="0" fontId="32" fillId="0" borderId="49" xfId="0" applyFont="1" applyBorder="1" applyAlignment="1">
      <alignment horizontal="center" vertical="center"/>
    </xf>
    <xf numFmtId="0" fontId="32" fillId="0" borderId="54" xfId="0" applyFont="1" applyBorder="1" applyAlignment="1">
      <alignment horizontal="center" vertical="center"/>
    </xf>
    <xf numFmtId="2" fontId="7" fillId="0" borderId="12" xfId="0" applyNumberFormat="1" applyFont="1" applyBorder="1"/>
    <xf numFmtId="2" fontId="8" fillId="0" borderId="0" xfId="0" applyNumberFormat="1" applyFont="1" applyBorder="1" applyAlignment="1">
      <alignment vertical="center"/>
    </xf>
    <xf numFmtId="2" fontId="7" fillId="0" borderId="0" xfId="0" applyNumberFormat="1" applyFont="1" applyBorder="1" applyAlignment="1">
      <alignment horizontal="right"/>
    </xf>
    <xf numFmtId="2" fontId="7" fillId="0" borderId="0" xfId="0" applyNumberFormat="1" applyFont="1" applyBorder="1"/>
    <xf numFmtId="2" fontId="7" fillId="0" borderId="0" xfId="0" applyNumberFormat="1" applyFont="1" applyFill="1" applyBorder="1"/>
    <xf numFmtId="2" fontId="7" fillId="0" borderId="15" xfId="0" applyNumberFormat="1" applyFont="1" applyBorder="1" applyAlignment="1">
      <alignment horizontal="center"/>
    </xf>
    <xf numFmtId="2" fontId="7" fillId="0" borderId="3" xfId="0" applyNumberFormat="1" applyFont="1" applyBorder="1" applyAlignment="1">
      <alignment horizontal="center"/>
    </xf>
    <xf numFmtId="2" fontId="7" fillId="0" borderId="20" xfId="0" applyNumberFormat="1" applyFont="1" applyBorder="1" applyAlignment="1">
      <alignment horizontal="center"/>
    </xf>
    <xf numFmtId="2" fontId="7" fillId="0" borderId="0" xfId="0" applyNumberFormat="1" applyFont="1"/>
    <xf numFmtId="0" fontId="7" fillId="20" borderId="0" xfId="0" applyFont="1" applyFill="1" applyBorder="1" applyAlignment="1" applyProtection="1">
      <alignment horizontal="right" vertical="center"/>
    </xf>
    <xf numFmtId="178" fontId="18" fillId="0" borderId="0" xfId="0" applyNumberFormat="1" applyFont="1" applyFill="1" applyBorder="1" applyAlignment="1">
      <alignment horizontal="center" vertical="center"/>
    </xf>
    <xf numFmtId="0" fontId="8" fillId="0" borderId="0" xfId="0" applyFont="1" applyFill="1" applyBorder="1" applyAlignment="1">
      <alignment horizontal="center" vertical="center" wrapText="1"/>
    </xf>
    <xf numFmtId="184" fontId="21" fillId="0" borderId="50" xfId="98" applyNumberFormat="1" applyFont="1" applyFill="1" applyBorder="1" applyAlignment="1">
      <alignment horizontal="left" vertical="center"/>
    </xf>
    <xf numFmtId="0" fontId="7" fillId="0" borderId="0" xfId="0" applyNumberFormat="1" applyFont="1" applyFill="1" applyAlignment="1">
      <alignment horizontal="center"/>
    </xf>
    <xf numFmtId="0" fontId="7" fillId="31" borderId="0" xfId="97" applyFill="1"/>
    <xf numFmtId="0" fontId="91" fillId="31" borderId="0" xfId="97" applyFont="1" applyFill="1"/>
    <xf numFmtId="0" fontId="91" fillId="31" borderId="0" xfId="97" applyFont="1" applyFill="1" applyAlignment="1">
      <alignment horizontal="center" vertical="center"/>
    </xf>
    <xf numFmtId="0" fontId="7" fillId="31" borderId="0" xfId="97" applyFill="1" applyAlignment="1">
      <alignment horizontal="center"/>
    </xf>
    <xf numFmtId="0" fontId="7" fillId="20" borderId="0" xfId="97" applyFill="1"/>
    <xf numFmtId="0" fontId="91" fillId="20" borderId="80" xfId="97" applyFont="1" applyFill="1" applyBorder="1"/>
    <xf numFmtId="0" fontId="91" fillId="20" borderId="80" xfId="97" applyFont="1" applyFill="1" applyBorder="1" applyAlignment="1">
      <alignment horizontal="center" vertical="center"/>
    </xf>
    <xf numFmtId="0" fontId="7" fillId="0" borderId="0" xfId="97" applyAlignment="1">
      <alignment horizontal="center"/>
    </xf>
    <xf numFmtId="0" fontId="91" fillId="20" borderId="0" xfId="97" applyFont="1" applyFill="1"/>
    <xf numFmtId="0" fontId="91" fillId="20" borderId="0" xfId="97" applyFont="1" applyFill="1" applyAlignment="1">
      <alignment horizontal="center" vertical="center"/>
    </xf>
    <xf numFmtId="0" fontId="91" fillId="20" borderId="0" xfId="97" applyFont="1" applyFill="1" applyAlignment="1">
      <alignment horizontal="right"/>
    </xf>
    <xf numFmtId="1" fontId="91" fillId="20" borderId="80" xfId="97" applyNumberFormat="1" applyFont="1" applyFill="1" applyBorder="1" applyAlignment="1">
      <alignment horizontal="center"/>
    </xf>
    <xf numFmtId="0" fontId="91" fillId="0" borderId="0" xfId="97" applyFont="1"/>
    <xf numFmtId="0" fontId="93" fillId="20" borderId="0" xfId="97" applyFont="1" applyFill="1"/>
    <xf numFmtId="0" fontId="94" fillId="20" borderId="0" xfId="97" applyFont="1" applyFill="1"/>
    <xf numFmtId="0" fontId="95" fillId="20" borderId="0" xfId="97" applyFont="1" applyFill="1" applyBorder="1" applyAlignment="1"/>
    <xf numFmtId="0" fontId="15" fillId="20" borderId="0" xfId="97" applyFont="1" applyFill="1" applyBorder="1" applyAlignment="1"/>
    <xf numFmtId="0" fontId="91" fillId="20" borderId="0" xfId="97" applyFont="1" applyFill="1" applyBorder="1"/>
    <xf numFmtId="0" fontId="91" fillId="20" borderId="0" xfId="97" applyFont="1" applyFill="1" applyBorder="1" applyAlignment="1">
      <alignment horizontal="center" vertical="center"/>
    </xf>
    <xf numFmtId="0" fontId="95" fillId="20" borderId="81" xfId="97" applyFont="1" applyFill="1" applyBorder="1"/>
    <xf numFmtId="0" fontId="91" fillId="20" borderId="81" xfId="97" applyFont="1" applyFill="1" applyBorder="1"/>
    <xf numFmtId="0" fontId="91" fillId="20" borderId="81" xfId="97" applyFont="1" applyFill="1" applyBorder="1" applyAlignment="1">
      <alignment horizontal="center" vertical="center"/>
    </xf>
    <xf numFmtId="0" fontId="95" fillId="20" borderId="0" xfId="97" applyFont="1" applyFill="1"/>
    <xf numFmtId="0" fontId="96" fillId="20" borderId="0" xfId="97" applyFont="1" applyFill="1"/>
    <xf numFmtId="0" fontId="91" fillId="20" borderId="0" xfId="97" applyFont="1" applyFill="1" applyAlignment="1">
      <alignment vertical="center"/>
    </xf>
    <xf numFmtId="0" fontId="91" fillId="20" borderId="0" xfId="97" applyFont="1" applyFill="1" applyAlignment="1">
      <alignment vertical="center" wrapText="1"/>
    </xf>
    <xf numFmtId="0" fontId="91" fillId="20" borderId="80" xfId="97" applyFont="1" applyFill="1" applyBorder="1" applyAlignment="1">
      <alignment vertical="center" wrapText="1"/>
    </xf>
    <xf numFmtId="0" fontId="91" fillId="20" borderId="80" xfId="97" applyFont="1" applyFill="1" applyBorder="1" applyAlignment="1">
      <alignment horizontal="center" vertical="center" wrapText="1"/>
    </xf>
    <xf numFmtId="0" fontId="95" fillId="20" borderId="3" xfId="97" applyFont="1" applyFill="1" applyBorder="1" applyAlignment="1">
      <alignment horizontal="center" vertical="center"/>
    </xf>
    <xf numFmtId="0" fontId="97" fillId="20" borderId="0" xfId="97" applyFont="1" applyFill="1"/>
    <xf numFmtId="0" fontId="91" fillId="20" borderId="82" xfId="97" applyFont="1" applyFill="1" applyBorder="1" applyAlignment="1">
      <alignment vertical="center" wrapText="1"/>
    </xf>
    <xf numFmtId="0" fontId="91" fillId="20" borderId="82" xfId="97" applyFont="1" applyFill="1" applyBorder="1" applyAlignment="1">
      <alignment horizontal="center" vertical="center" wrapText="1"/>
    </xf>
    <xf numFmtId="0" fontId="95" fillId="20" borderId="0" xfId="97" applyFont="1" applyFill="1" applyAlignment="1">
      <alignment horizontal="center"/>
    </xf>
    <xf numFmtId="0" fontId="99" fillId="20" borderId="0" xfId="97" applyFont="1" applyFill="1"/>
    <xf numFmtId="0" fontId="98" fillId="20" borderId="0" xfId="97" applyFont="1" applyFill="1" applyAlignment="1">
      <alignment horizontal="center"/>
    </xf>
    <xf numFmtId="0" fontId="91" fillId="20" borderId="0" xfId="97" applyFont="1" applyFill="1" applyBorder="1" applyAlignment="1">
      <alignment horizontal="right" vertical="center"/>
    </xf>
    <xf numFmtId="0" fontId="95" fillId="20" borderId="0" xfId="97" applyFont="1" applyFill="1" applyBorder="1" applyAlignment="1">
      <alignment horizontal="right" vertical="center"/>
    </xf>
    <xf numFmtId="0" fontId="95" fillId="20" borderId="0" xfId="97" applyFont="1" applyFill="1" applyBorder="1" applyAlignment="1">
      <alignment vertical="center"/>
    </xf>
    <xf numFmtId="0" fontId="95" fillId="0" borderId="0" xfId="97" applyFont="1" applyFill="1" applyBorder="1" applyAlignment="1">
      <alignment horizontal="left" vertical="center"/>
    </xf>
    <xf numFmtId="0" fontId="95" fillId="20" borderId="2" xfId="97" applyFont="1" applyFill="1" applyBorder="1" applyAlignment="1">
      <alignment horizontal="center" vertical="center"/>
    </xf>
    <xf numFmtId="0" fontId="91" fillId="20" borderId="2" xfId="97" applyFont="1" applyFill="1" applyBorder="1" applyAlignment="1">
      <alignment horizontal="center" vertical="center"/>
    </xf>
    <xf numFmtId="0" fontId="100" fillId="20" borderId="2" xfId="97" applyFont="1" applyFill="1" applyBorder="1" applyAlignment="1">
      <alignment horizontal="center" vertical="center"/>
    </xf>
    <xf numFmtId="0" fontId="100" fillId="20" borderId="2" xfId="97" applyFont="1" applyFill="1" applyBorder="1" applyAlignment="1">
      <alignment horizontal="center" vertical="center" wrapText="1"/>
    </xf>
    <xf numFmtId="0" fontId="101" fillId="20" borderId="2" xfId="97" applyFont="1" applyFill="1" applyBorder="1" applyAlignment="1">
      <alignment horizontal="center" vertical="center" wrapText="1"/>
    </xf>
    <xf numFmtId="0" fontId="102" fillId="20" borderId="83" xfId="97" applyFont="1" applyFill="1" applyBorder="1" applyAlignment="1">
      <alignment horizontal="left" vertical="center"/>
    </xf>
    <xf numFmtId="0" fontId="91" fillId="20" borderId="84" xfId="97" applyFont="1" applyFill="1" applyBorder="1" applyAlignment="1">
      <alignment horizontal="left" vertical="center"/>
    </xf>
    <xf numFmtId="0" fontId="91" fillId="20" borderId="85" xfId="97" applyFont="1" applyFill="1" applyBorder="1" applyAlignment="1">
      <alignment horizontal="left" vertical="center"/>
    </xf>
    <xf numFmtId="0" fontId="91" fillId="0" borderId="0" xfId="97" applyFont="1" applyAlignment="1">
      <alignment horizontal="right" vertical="center"/>
    </xf>
    <xf numFmtId="0" fontId="95" fillId="20" borderId="86" xfId="97" applyFont="1" applyFill="1" applyBorder="1" applyAlignment="1">
      <alignment vertical="center"/>
    </xf>
    <xf numFmtId="0" fontId="95" fillId="20" borderId="82" xfId="97" applyFont="1" applyFill="1" applyBorder="1" applyAlignment="1">
      <alignment vertical="center"/>
    </xf>
    <xf numFmtId="0" fontId="8" fillId="20" borderId="82" xfId="97" applyFont="1" applyFill="1" applyBorder="1" applyAlignment="1">
      <alignment vertical="center"/>
    </xf>
    <xf numFmtId="0" fontId="8" fillId="20" borderId="87" xfId="97" applyFont="1" applyFill="1" applyBorder="1" applyAlignment="1">
      <alignment vertical="center"/>
    </xf>
    <xf numFmtId="0" fontId="91" fillId="20" borderId="86" xfId="97" applyFont="1" applyFill="1" applyBorder="1" applyAlignment="1">
      <alignment vertical="center"/>
    </xf>
    <xf numFmtId="0" fontId="91" fillId="20" borderId="82" xfId="97" applyFont="1" applyFill="1" applyBorder="1" applyAlignment="1">
      <alignment vertical="center"/>
    </xf>
    <xf numFmtId="0" fontId="91" fillId="20" borderId="87" xfId="97" applyFont="1" applyFill="1" applyBorder="1" applyAlignment="1">
      <alignment vertical="center"/>
    </xf>
    <xf numFmtId="0" fontId="91" fillId="20" borderId="82" xfId="97" applyFont="1" applyFill="1" applyBorder="1" applyAlignment="1">
      <alignment horizontal="center" vertical="center"/>
    </xf>
    <xf numFmtId="0" fontId="95" fillId="0" borderId="88" xfId="97" applyFont="1" applyFill="1" applyBorder="1" applyAlignment="1">
      <alignment horizontal="center" vertical="center"/>
    </xf>
    <xf numFmtId="0" fontId="91" fillId="0" borderId="89" xfId="97" applyFont="1" applyFill="1" applyBorder="1" applyAlignment="1">
      <alignment horizontal="center" vertical="center"/>
    </xf>
    <xf numFmtId="0" fontId="91" fillId="20" borderId="89" xfId="97" applyFont="1" applyFill="1" applyBorder="1" applyAlignment="1">
      <alignment horizontal="center" vertical="center"/>
    </xf>
    <xf numFmtId="0" fontId="8" fillId="20" borderId="82" xfId="97" applyFont="1" applyFill="1" applyBorder="1" applyAlignment="1">
      <alignment horizontal="center" vertical="center"/>
    </xf>
    <xf numFmtId="0" fontId="95" fillId="0" borderId="2" xfId="97" applyFont="1" applyFill="1" applyBorder="1" applyAlignment="1">
      <alignment horizontal="center" vertical="center"/>
    </xf>
    <xf numFmtId="0" fontId="7" fillId="32" borderId="0" xfId="97" applyFill="1" applyAlignment="1">
      <alignment horizontal="center" vertical="center"/>
    </xf>
    <xf numFmtId="0" fontId="91" fillId="20" borderId="0" xfId="97" applyFont="1" applyFill="1" applyBorder="1" applyAlignment="1">
      <alignment vertical="center"/>
    </xf>
    <xf numFmtId="0" fontId="91" fillId="0" borderId="2" xfId="97" applyFont="1" applyFill="1" applyBorder="1" applyAlignment="1">
      <alignment horizontal="center" vertical="center"/>
    </xf>
    <xf numFmtId="0" fontId="7" fillId="31" borderId="0" xfId="97" applyFill="1" applyBorder="1"/>
    <xf numFmtId="0" fontId="7" fillId="31" borderId="0" xfId="97" applyFill="1" applyBorder="1" applyAlignment="1">
      <alignment horizontal="center"/>
    </xf>
    <xf numFmtId="0" fontId="7" fillId="32" borderId="3" xfId="97" applyFill="1" applyBorder="1" applyAlignment="1">
      <alignment horizontal="center" vertical="center"/>
    </xf>
    <xf numFmtId="0" fontId="91" fillId="20" borderId="87" xfId="97" applyFont="1" applyFill="1" applyBorder="1" applyAlignment="1">
      <alignment horizontal="center" vertical="center"/>
    </xf>
    <xf numFmtId="0" fontId="95" fillId="20" borderId="82" xfId="97" applyFont="1" applyFill="1" applyBorder="1" applyAlignment="1">
      <alignment horizontal="center" vertical="center"/>
    </xf>
    <xf numFmtId="0" fontId="95" fillId="20" borderId="87" xfId="97" applyFont="1" applyFill="1" applyBorder="1" applyAlignment="1">
      <alignment horizontal="center" vertical="center"/>
    </xf>
    <xf numFmtId="0" fontId="93" fillId="20" borderId="0" xfId="97" applyFont="1" applyFill="1" applyAlignment="1">
      <alignment horizontal="right"/>
    </xf>
    <xf numFmtId="0" fontId="91" fillId="20" borderId="2" xfId="97" applyFont="1" applyFill="1" applyBorder="1"/>
    <xf numFmtId="0" fontId="12" fillId="20" borderId="2" xfId="97" applyFont="1" applyFill="1" applyBorder="1"/>
    <xf numFmtId="0" fontId="12" fillId="31" borderId="0" xfId="97" applyFont="1" applyFill="1"/>
    <xf numFmtId="0" fontId="101" fillId="31" borderId="0" xfId="97" applyFont="1" applyFill="1"/>
    <xf numFmtId="0" fontId="91" fillId="0" borderId="0" xfId="97" applyFont="1" applyAlignment="1">
      <alignment horizontal="center" vertical="center"/>
    </xf>
    <xf numFmtId="0" fontId="7" fillId="0" borderId="43" xfId="97" applyBorder="1"/>
    <xf numFmtId="0" fontId="7" fillId="0" borderId="44" xfId="97" applyBorder="1"/>
    <xf numFmtId="0" fontId="7" fillId="0" borderId="45" xfId="97" applyBorder="1"/>
    <xf numFmtId="0" fontId="7" fillId="0" borderId="35" xfId="97" applyBorder="1"/>
    <xf numFmtId="0" fontId="7" fillId="0" borderId="46" xfId="97" applyBorder="1"/>
    <xf numFmtId="0" fontId="90" fillId="0" borderId="0" xfId="97" applyFont="1" applyBorder="1" applyAlignment="1">
      <alignment horizontal="center"/>
    </xf>
    <xf numFmtId="0" fontId="65" fillId="0" borderId="0" xfId="97" applyFont="1" applyBorder="1" applyAlignment="1"/>
    <xf numFmtId="0" fontId="105" fillId="0" borderId="0" xfId="97" applyFont="1" applyBorder="1" applyAlignment="1">
      <alignment horizontal="center"/>
    </xf>
    <xf numFmtId="0" fontId="7" fillId="0" borderId="36" xfId="97" applyBorder="1"/>
    <xf numFmtId="0" fontId="65" fillId="0" borderId="37" xfId="97" applyFont="1" applyBorder="1" applyAlignment="1"/>
    <xf numFmtId="0" fontId="105" fillId="0" borderId="37" xfId="97" applyFont="1" applyBorder="1" applyAlignment="1">
      <alignment horizontal="center"/>
    </xf>
    <xf numFmtId="0" fontId="7" fillId="0" borderId="66" xfId="97" applyBorder="1"/>
    <xf numFmtId="0" fontId="65" fillId="0" borderId="0" xfId="97" applyFont="1" applyBorder="1"/>
    <xf numFmtId="0" fontId="7" fillId="0" borderId="0" xfId="97" applyBorder="1"/>
    <xf numFmtId="0" fontId="17" fillId="0" borderId="35" xfId="97" applyFont="1" applyBorder="1"/>
    <xf numFmtId="0" fontId="89" fillId="0" borderId="0" xfId="97" applyFont="1" applyBorder="1" applyAlignment="1">
      <alignment wrapText="1"/>
    </xf>
    <xf numFmtId="0" fontId="89" fillId="0" borderId="0" xfId="97" applyFont="1" applyBorder="1"/>
    <xf numFmtId="0" fontId="17" fillId="0" borderId="0" xfId="97" applyFont="1" applyBorder="1"/>
    <xf numFmtId="0" fontId="108" fillId="0" borderId="35" xfId="97" applyFont="1" applyBorder="1"/>
    <xf numFmtId="0" fontId="68" fillId="0" borderId="0" xfId="97" applyFont="1" applyBorder="1"/>
    <xf numFmtId="0" fontId="108" fillId="0" borderId="0" xfId="97" applyFont="1" applyBorder="1"/>
    <xf numFmtId="0" fontId="109" fillId="0" borderId="46" xfId="97" applyFont="1" applyBorder="1"/>
    <xf numFmtId="0" fontId="109" fillId="0" borderId="0" xfId="97" applyFont="1"/>
    <xf numFmtId="0" fontId="110" fillId="0" borderId="0" xfId="97" applyFont="1" applyBorder="1"/>
    <xf numFmtId="0" fontId="108" fillId="0" borderId="0" xfId="97" applyFont="1" applyBorder="1" applyAlignment="1">
      <alignment vertical="top"/>
    </xf>
    <xf numFmtId="0" fontId="89" fillId="0" borderId="0" xfId="97" applyFont="1" applyBorder="1" applyAlignment="1">
      <alignment horizontal="left" wrapText="1"/>
    </xf>
    <xf numFmtId="0" fontId="68" fillId="0" borderId="35" xfId="97" applyFont="1" applyBorder="1"/>
    <xf numFmtId="0" fontId="111" fillId="0" borderId="0" xfId="97" applyFont="1" applyBorder="1"/>
    <xf numFmtId="0" fontId="112" fillId="0" borderId="0" xfId="97" applyFont="1" applyBorder="1"/>
    <xf numFmtId="0" fontId="8" fillId="0" borderId="46" xfId="97" applyFont="1" applyBorder="1"/>
    <xf numFmtId="0" fontId="8" fillId="0" borderId="0" xfId="97" applyFont="1"/>
    <xf numFmtId="0" fontId="89" fillId="0" borderId="0" xfId="97" applyFont="1" applyBorder="1" applyAlignment="1">
      <alignment horizontal="right" wrapText="1"/>
    </xf>
    <xf numFmtId="0" fontId="17" fillId="0" borderId="44" xfId="97" applyFont="1" applyBorder="1"/>
    <xf numFmtId="0" fontId="89" fillId="0" borderId="44" xfId="97" applyFont="1" applyBorder="1" applyAlignment="1">
      <alignment horizontal="left" wrapText="1"/>
    </xf>
    <xf numFmtId="0" fontId="17" fillId="0" borderId="37" xfId="97" applyFont="1" applyBorder="1"/>
    <xf numFmtId="0" fontId="89" fillId="0" borderId="37" xfId="97" applyFont="1" applyBorder="1" applyAlignment="1">
      <alignment horizontal="left" wrapText="1"/>
    </xf>
    <xf numFmtId="0" fontId="7" fillId="0" borderId="37" xfId="97" applyBorder="1"/>
    <xf numFmtId="0" fontId="65" fillId="0" borderId="0" xfId="97" applyFont="1" applyBorder="1" applyAlignment="1">
      <alignment wrapText="1"/>
    </xf>
    <xf numFmtId="0" fontId="65" fillId="0" borderId="47" xfId="97" applyFont="1" applyBorder="1" applyAlignment="1">
      <alignment horizontal="center" vertical="top" wrapText="1"/>
    </xf>
    <xf numFmtId="0" fontId="7" fillId="0" borderId="0" xfId="97" applyAlignment="1">
      <alignment horizontal="left"/>
    </xf>
    <xf numFmtId="0" fontId="65" fillId="0" borderId="31" xfId="97" applyFont="1" applyBorder="1" applyAlignment="1">
      <alignment horizontal="center" vertical="top" wrapText="1"/>
    </xf>
    <xf numFmtId="0" fontId="7" fillId="0" borderId="31" xfId="97" applyFont="1" applyBorder="1" applyAlignment="1">
      <alignment vertical="center" wrapText="1"/>
    </xf>
    <xf numFmtId="0" fontId="109" fillId="0" borderId="35" xfId="97" applyFont="1" applyBorder="1"/>
    <xf numFmtId="14" fontId="7" fillId="0" borderId="0" xfId="97" applyNumberFormat="1"/>
    <xf numFmtId="0" fontId="93" fillId="0" borderId="0" xfId="97" applyFont="1" applyBorder="1"/>
    <xf numFmtId="0" fontId="93" fillId="0" borderId="37" xfId="97" applyFont="1" applyBorder="1" applyAlignment="1">
      <alignment vertical="top" wrapText="1"/>
    </xf>
    <xf numFmtId="0" fontId="93" fillId="0" borderId="0" xfId="97" applyFont="1" applyBorder="1" applyAlignment="1">
      <alignment vertical="top" wrapText="1"/>
    </xf>
    <xf numFmtId="0" fontId="65" fillId="0" borderId="0" xfId="97" applyFont="1" applyBorder="1" applyAlignment="1">
      <alignment horizontal="center" vertical="top" wrapText="1"/>
    </xf>
    <xf numFmtId="0" fontId="65" fillId="0" borderId="0" xfId="97" applyFont="1" applyBorder="1" applyAlignment="1">
      <alignment vertical="top" wrapText="1"/>
    </xf>
    <xf numFmtId="0" fontId="114" fillId="0" borderId="37" xfId="97" applyNumberFormat="1" applyFont="1" applyBorder="1" applyAlignment="1">
      <alignment horizontal="center" vertical="top" wrapText="1"/>
    </xf>
    <xf numFmtId="0" fontId="114" fillId="0" borderId="0" xfId="97" applyNumberFormat="1" applyFont="1" applyBorder="1" applyAlignment="1">
      <alignment horizontal="center" vertical="top" wrapText="1"/>
    </xf>
    <xf numFmtId="14" fontId="7" fillId="0" borderId="0" xfId="97" applyNumberFormat="1" applyBorder="1"/>
    <xf numFmtId="0" fontId="89" fillId="0" borderId="37" xfId="97" applyFont="1" applyBorder="1" applyAlignment="1">
      <alignment horizontal="right" wrapText="1"/>
    </xf>
    <xf numFmtId="0" fontId="7" fillId="51" borderId="0" xfId="0" applyFont="1" applyFill="1" applyAlignment="1">
      <alignment horizontal="center"/>
    </xf>
    <xf numFmtId="0" fontId="0" fillId="51" borderId="0" xfId="0" applyNumberFormat="1" applyFill="1" applyAlignment="1">
      <alignment horizontal="center"/>
    </xf>
    <xf numFmtId="49" fontId="0" fillId="61" borderId="0" xfId="0" applyNumberFormat="1" applyFill="1" applyAlignment="1">
      <alignment horizontal="center"/>
    </xf>
    <xf numFmtId="0" fontId="18" fillId="0" borderId="3" xfId="0" applyFont="1" applyFill="1" applyBorder="1" applyAlignment="1">
      <alignment horizontal="center" vertical="center"/>
    </xf>
    <xf numFmtId="0" fontId="102" fillId="20" borderId="0" xfId="97" applyFont="1" applyFill="1" applyAlignment="1">
      <alignment horizontal="right"/>
    </xf>
    <xf numFmtId="0" fontId="7" fillId="0" borderId="55" xfId="98" applyFont="1" applyFill="1" applyBorder="1" applyAlignment="1">
      <alignment vertical="center"/>
    </xf>
    <xf numFmtId="0" fontId="59" fillId="0" borderId="0" xfId="96" applyFont="1" applyBorder="1" applyAlignment="1">
      <alignment vertical="center"/>
    </xf>
    <xf numFmtId="207" fontId="0" fillId="29" borderId="3" xfId="0" applyNumberFormat="1" applyFill="1" applyBorder="1" applyAlignment="1">
      <alignment horizontal="center" vertical="center"/>
    </xf>
    <xf numFmtId="207" fontId="11" fillId="0" borderId="3" xfId="97" applyNumberFormat="1" applyFont="1" applyBorder="1" applyAlignment="1">
      <alignment horizontal="center" vertical="center"/>
    </xf>
    <xf numFmtId="0" fontId="57" fillId="0" borderId="0" xfId="98" applyFont="1" applyBorder="1" applyAlignment="1">
      <alignment horizontal="right" vertical="center"/>
    </xf>
    <xf numFmtId="182" fontId="57" fillId="0" borderId="0" xfId="98" applyNumberFormat="1" applyFont="1" applyFill="1" applyBorder="1" applyAlignment="1">
      <alignment horizontal="left" vertical="center"/>
    </xf>
    <xf numFmtId="19" fontId="21" fillId="0" borderId="3" xfId="98" applyNumberFormat="1" applyFont="1" applyBorder="1" applyAlignment="1">
      <alignment horizontal="center" vertical="center" shrinkToFit="1"/>
    </xf>
    <xf numFmtId="0" fontId="67" fillId="20" borderId="0" xfId="0" applyFont="1" applyFill="1" applyAlignment="1">
      <alignment horizontal="left" vertical="center"/>
    </xf>
    <xf numFmtId="0" fontId="91" fillId="20" borderId="86" xfId="0" applyFont="1" applyFill="1" applyBorder="1" applyAlignment="1">
      <alignment vertical="center"/>
    </xf>
    <xf numFmtId="0" fontId="116" fillId="20" borderId="86" xfId="97" applyFont="1" applyFill="1" applyBorder="1" applyAlignment="1">
      <alignment vertical="center"/>
    </xf>
    <xf numFmtId="0" fontId="91" fillId="0" borderId="2" xfId="0" applyFont="1" applyFill="1" applyBorder="1" applyAlignment="1">
      <alignment horizontal="center" vertical="center"/>
    </xf>
    <xf numFmtId="0" fontId="95" fillId="20" borderId="82" xfId="0" applyFont="1" applyFill="1" applyBorder="1" applyAlignment="1">
      <alignment vertical="center"/>
    </xf>
    <xf numFmtId="0" fontId="8" fillId="20" borderId="82" xfId="0" applyFont="1" applyFill="1" applyBorder="1" applyAlignment="1">
      <alignment vertical="center"/>
    </xf>
    <xf numFmtId="0" fontId="91" fillId="20" borderId="82" xfId="0" applyFont="1" applyFill="1" applyBorder="1" applyAlignment="1">
      <alignment vertical="center"/>
    </xf>
    <xf numFmtId="0" fontId="91" fillId="20" borderId="87" xfId="0" applyFont="1" applyFill="1" applyBorder="1" applyAlignment="1">
      <alignment vertical="center"/>
    </xf>
    <xf numFmtId="0" fontId="91" fillId="0" borderId="87" xfId="0" applyFont="1" applyFill="1" applyBorder="1" applyAlignment="1">
      <alignment horizontal="center" vertical="center"/>
    </xf>
    <xf numFmtId="0" fontId="91" fillId="0" borderId="81" xfId="97" applyFont="1" applyFill="1" applyBorder="1"/>
    <xf numFmtId="178" fontId="7" fillId="0" borderId="3" xfId="0" applyNumberFormat="1" applyFont="1" applyFill="1" applyBorder="1" applyAlignment="1">
      <alignment horizontal="center" vertical="center"/>
    </xf>
    <xf numFmtId="0" fontId="95" fillId="0" borderId="3" xfId="97" applyFont="1" applyFill="1" applyBorder="1" applyAlignment="1">
      <alignment horizontal="center" vertical="center"/>
    </xf>
    <xf numFmtId="0" fontId="103" fillId="20" borderId="87" xfId="97" applyFont="1" applyFill="1" applyBorder="1"/>
    <xf numFmtId="0" fontId="8" fillId="0" borderId="3" xfId="0" applyFont="1" applyBorder="1" applyAlignment="1">
      <alignment horizontal="center" vertical="center"/>
    </xf>
    <xf numFmtId="0" fontId="103" fillId="20" borderId="86" xfId="0" applyFont="1" applyFill="1" applyBorder="1" applyAlignment="1">
      <alignment horizontal="center"/>
    </xf>
    <xf numFmtId="0" fontId="12" fillId="0" borderId="3" xfId="0" applyFont="1" applyBorder="1" applyAlignment="1">
      <alignment horizontal="center" vertical="center"/>
    </xf>
    <xf numFmtId="0" fontId="151" fillId="0" borderId="0" xfId="0" applyFont="1" applyAlignment="1">
      <alignment horizontal="center" vertical="center"/>
    </xf>
    <xf numFmtId="49" fontId="19" fillId="22" borderId="3" xfId="0" applyNumberFormat="1" applyFont="1" applyFill="1" applyBorder="1" applyAlignment="1">
      <alignment horizontal="left"/>
    </xf>
    <xf numFmtId="0" fontId="0" fillId="0" borderId="51" xfId="0" applyBorder="1" applyAlignment="1">
      <alignment horizontal="center" vertical="center" wrapText="1"/>
    </xf>
    <xf numFmtId="0" fontId="0" fillId="0" borderId="79" xfId="0" applyBorder="1" applyAlignment="1">
      <alignment horizontal="center" vertical="center" wrapText="1"/>
    </xf>
    <xf numFmtId="0" fontId="0" fillId="55" borderId="11" xfId="0" applyFill="1" applyBorder="1" applyAlignment="1">
      <alignment horizontal="center" vertical="center" wrapText="1"/>
    </xf>
    <xf numFmtId="0" fontId="0" fillId="55" borderId="90" xfId="0" applyFill="1" applyBorder="1" applyAlignment="1">
      <alignment horizontal="center" vertical="center"/>
    </xf>
    <xf numFmtId="0" fontId="0" fillId="0" borderId="11" xfId="0" applyFill="1" applyBorder="1" applyAlignment="1">
      <alignment horizontal="center" vertical="center" wrapText="1"/>
    </xf>
    <xf numFmtId="0" fontId="0" fillId="0" borderId="90" xfId="0" applyFill="1" applyBorder="1" applyAlignment="1">
      <alignment horizontal="center" vertical="center"/>
    </xf>
    <xf numFmtId="0" fontId="0" fillId="0" borderId="61" xfId="0" applyFill="1" applyBorder="1" applyAlignment="1">
      <alignment horizontal="center" vertical="center" wrapText="1"/>
    </xf>
    <xf numFmtId="0" fontId="0" fillId="0" borderId="74" xfId="0" applyFill="1" applyBorder="1" applyAlignment="1">
      <alignment horizontal="center" vertical="center"/>
    </xf>
    <xf numFmtId="0" fontId="0" fillId="0" borderId="19" xfId="0" applyFill="1" applyBorder="1" applyAlignment="1">
      <alignment horizontal="center" vertical="center"/>
    </xf>
    <xf numFmtId="0" fontId="0" fillId="0" borderId="72" xfId="0" applyFill="1" applyBorder="1" applyAlignment="1">
      <alignment horizontal="center" vertical="center"/>
    </xf>
    <xf numFmtId="0" fontId="14" fillId="0" borderId="23" xfId="0" applyNumberFormat="1" applyFont="1" applyFill="1" applyBorder="1" applyAlignment="1">
      <alignment horizontal="center"/>
    </xf>
    <xf numFmtId="0" fontId="14" fillId="28" borderId="3" xfId="0" applyNumberFormat="1" applyFont="1" applyFill="1" applyBorder="1" applyAlignment="1">
      <alignment horizontal="left"/>
    </xf>
    <xf numFmtId="49" fontId="14" fillId="23" borderId="3" xfId="0" applyNumberFormat="1" applyFont="1" applyFill="1" applyBorder="1" applyAlignment="1">
      <alignment horizontal="left"/>
    </xf>
    <xf numFmtId="0" fontId="0" fillId="37" borderId="0" xfId="0" applyFill="1" applyAlignment="1">
      <alignment horizontal="left"/>
    </xf>
    <xf numFmtId="0" fontId="53" fillId="0" borderId="3" xfId="0" applyNumberFormat="1" applyFont="1" applyFill="1" applyBorder="1" applyAlignment="1">
      <alignment horizontal="center" vertical="center"/>
    </xf>
    <xf numFmtId="0" fontId="20" fillId="0" borderId="3" xfId="0" applyNumberFormat="1" applyFont="1" applyFill="1" applyBorder="1" applyAlignment="1">
      <alignment horizontal="center" vertical="center"/>
    </xf>
    <xf numFmtId="0" fontId="12" fillId="0" borderId="3" xfId="0" applyNumberFormat="1" applyFont="1" applyFill="1" applyBorder="1" applyAlignment="1">
      <alignment horizontal="center" vertical="center"/>
    </xf>
    <xf numFmtId="2" fontId="53" fillId="0" borderId="3" xfId="0" applyNumberFormat="1" applyFont="1" applyFill="1" applyBorder="1" applyAlignment="1">
      <alignment horizontal="center" vertical="center"/>
    </xf>
    <xf numFmtId="2" fontId="12" fillId="0" borderId="3" xfId="0" applyNumberFormat="1" applyFont="1" applyFill="1" applyBorder="1" applyAlignment="1">
      <alignment horizontal="center" vertical="center"/>
    </xf>
    <xf numFmtId="49" fontId="19" fillId="23" borderId="3" xfId="0" applyNumberFormat="1" applyFont="1" applyFill="1" applyBorder="1" applyAlignment="1">
      <alignment horizontal="center"/>
    </xf>
    <xf numFmtId="0" fontId="19" fillId="0" borderId="66" xfId="0" applyFont="1" applyFill="1" applyBorder="1"/>
    <xf numFmtId="0" fontId="19" fillId="0" borderId="14" xfId="0" applyFont="1" applyFill="1" applyBorder="1"/>
    <xf numFmtId="0" fontId="12" fillId="0" borderId="0" xfId="97" applyFont="1" applyAlignment="1">
      <alignment horizontal="center" vertical="center"/>
    </xf>
    <xf numFmtId="0" fontId="7" fillId="0" borderId="0" xfId="97" applyFont="1" applyAlignment="1">
      <alignment horizontal="left" vertical="center"/>
    </xf>
    <xf numFmtId="189" fontId="7" fillId="0" borderId="0" xfId="97" applyNumberFormat="1" applyAlignment="1">
      <alignment horizontal="center" vertical="center"/>
    </xf>
    <xf numFmtId="190" fontId="7" fillId="0" borderId="0" xfId="97" applyNumberFormat="1" applyAlignment="1">
      <alignment horizontal="center" vertical="center"/>
    </xf>
    <xf numFmtId="0" fontId="21" fillId="0" borderId="0" xfId="97" applyFont="1" applyAlignment="1">
      <alignment horizontal="left" vertical="center"/>
    </xf>
    <xf numFmtId="0" fontId="7" fillId="0" borderId="0" xfId="97" applyFill="1" applyBorder="1" applyAlignment="1">
      <alignment horizontal="center" vertical="center"/>
    </xf>
    <xf numFmtId="0" fontId="53" fillId="0" borderId="0" xfId="97" applyFont="1" applyAlignment="1">
      <alignment horizontal="center" vertical="center"/>
    </xf>
    <xf numFmtId="165" fontId="8" fillId="0" borderId="0" xfId="97" applyNumberFormat="1" applyFont="1" applyAlignment="1">
      <alignment horizontal="center" vertical="center"/>
    </xf>
    <xf numFmtId="190" fontId="8" fillId="0" borderId="0" xfId="97" applyNumberFormat="1" applyFont="1" applyAlignment="1">
      <alignment horizontal="center" vertical="center" wrapText="1"/>
    </xf>
    <xf numFmtId="189" fontId="8" fillId="0" borderId="0" xfId="97" applyNumberFormat="1" applyFont="1" applyAlignment="1">
      <alignment horizontal="center" vertical="center" wrapText="1"/>
    </xf>
    <xf numFmtId="165" fontId="8" fillId="0" borderId="0" xfId="97" applyNumberFormat="1" applyFont="1" applyAlignment="1">
      <alignment horizontal="center" vertical="center" wrapText="1"/>
    </xf>
    <xf numFmtId="0" fontId="8" fillId="0" borderId="0" xfId="97" applyFont="1" applyFill="1" applyBorder="1" applyAlignment="1">
      <alignment horizontal="center" vertical="center"/>
    </xf>
    <xf numFmtId="0" fontId="7" fillId="0" borderId="0" xfId="97" applyFont="1" applyFill="1" applyBorder="1" applyAlignment="1">
      <alignment horizontal="center" vertical="center"/>
    </xf>
    <xf numFmtId="0" fontId="7" fillId="0" borderId="0" xfId="98" applyBorder="1" applyAlignment="1">
      <alignment horizontal="right"/>
    </xf>
    <xf numFmtId="0" fontId="7" fillId="0" borderId="0" xfId="98" applyBorder="1"/>
    <xf numFmtId="164" fontId="7" fillId="51" borderId="0" xfId="58" applyFont="1" applyFill="1" applyBorder="1" applyAlignment="1">
      <alignment horizontal="center"/>
    </xf>
    <xf numFmtId="164" fontId="7" fillId="51" borderId="0" xfId="58" applyFont="1" applyFill="1" applyBorder="1"/>
    <xf numFmtId="164" fontId="7" fillId="51" borderId="0" xfId="58" applyFill="1" applyAlignment="1">
      <alignment horizontal="center"/>
    </xf>
    <xf numFmtId="164" fontId="7" fillId="51" borderId="0" xfId="98" applyNumberFormat="1" applyFill="1"/>
    <xf numFmtId="9" fontId="7" fillId="56" borderId="0" xfId="58" applyNumberFormat="1" applyFill="1" applyAlignment="1">
      <alignment horizontal="center"/>
    </xf>
    <xf numFmtId="0" fontId="14" fillId="0" borderId="3" xfId="0" applyFont="1" applyBorder="1"/>
    <xf numFmtId="0" fontId="14" fillId="0" borderId="3" xfId="0" applyNumberFormat="1" applyFont="1" applyFill="1" applyBorder="1" applyAlignment="1">
      <alignment horizontal="center"/>
    </xf>
    <xf numFmtId="0" fontId="14" fillId="0" borderId="24" xfId="0" applyFont="1" applyFill="1" applyBorder="1" applyAlignment="1">
      <alignment horizontal="center"/>
    </xf>
    <xf numFmtId="0" fontId="0" fillId="0" borderId="26" xfId="0" applyBorder="1" applyAlignment="1">
      <alignment vertical="center"/>
    </xf>
    <xf numFmtId="0" fontId="0" fillId="0" borderId="14" xfId="0" applyBorder="1" applyAlignment="1">
      <alignment horizontal="center" vertical="center"/>
    </xf>
    <xf numFmtId="0" fontId="0" fillId="31" borderId="3" xfId="0" applyFill="1" applyBorder="1" applyAlignment="1">
      <alignment horizontal="center" vertical="center" shrinkToFit="1"/>
    </xf>
    <xf numFmtId="0" fontId="17" fillId="22" borderId="3" xfId="0" applyFont="1" applyFill="1" applyBorder="1" applyAlignment="1">
      <alignment horizontal="center" vertical="center" wrapText="1"/>
    </xf>
    <xf numFmtId="0" fontId="12" fillId="20" borderId="24" xfId="0" applyFont="1" applyFill="1" applyBorder="1" applyAlignment="1">
      <alignment vertical="center"/>
    </xf>
    <xf numFmtId="0" fontId="12" fillId="0" borderId="24" xfId="0" applyFont="1" applyBorder="1" applyAlignment="1">
      <alignment vertical="center"/>
    </xf>
    <xf numFmtId="49" fontId="7" fillId="66" borderId="0" xfId="0" applyNumberFormat="1" applyFont="1" applyFill="1" applyAlignment="1">
      <alignment horizontal="center" vertical="center"/>
    </xf>
    <xf numFmtId="49" fontId="19" fillId="67" borderId="3" xfId="0" applyNumberFormat="1" applyFont="1" applyFill="1" applyBorder="1" applyAlignment="1">
      <alignment horizontal="center"/>
    </xf>
    <xf numFmtId="0" fontId="19" fillId="67" borderId="23" xfId="0" applyFont="1" applyFill="1" applyBorder="1" applyAlignment="1">
      <alignment horizontal="center"/>
    </xf>
    <xf numFmtId="2" fontId="11" fillId="0" borderId="0" xfId="96" applyNumberFormat="1" applyFont="1" applyFill="1" applyBorder="1" applyAlignment="1">
      <alignment vertical="center" wrapText="1"/>
    </xf>
    <xf numFmtId="0" fontId="18" fillId="0" borderId="0" xfId="96" applyFill="1" applyBorder="1" applyAlignment="1"/>
    <xf numFmtId="0" fontId="55" fillId="0" borderId="0" xfId="96" applyFont="1" applyFill="1" applyBorder="1" applyAlignment="1">
      <alignment vertical="center"/>
    </xf>
    <xf numFmtId="0" fontId="18" fillId="0" borderId="0" xfId="96" applyFill="1" applyBorder="1" applyAlignment="1">
      <alignment vertical="center"/>
    </xf>
    <xf numFmtId="0" fontId="55" fillId="0" borderId="0" xfId="96" applyFont="1" applyFill="1" applyBorder="1" applyAlignment="1">
      <alignment vertical="center" wrapText="1"/>
    </xf>
    <xf numFmtId="0" fontId="24" fillId="0" borderId="0" xfId="96" applyFont="1" applyFill="1" applyBorder="1" applyAlignment="1">
      <alignment horizontal="center" vertical="center"/>
    </xf>
    <xf numFmtId="0" fontId="62" fillId="0" borderId="0" xfId="96" applyFont="1" applyFill="1" applyBorder="1" applyAlignment="1"/>
    <xf numFmtId="0" fontId="21" fillId="0" borderId="23" xfId="0" applyFont="1" applyFill="1" applyBorder="1" applyAlignment="1">
      <alignment horizontal="center" vertical="center"/>
    </xf>
    <xf numFmtId="0" fontId="21" fillId="0" borderId="23" xfId="0" applyNumberFormat="1" applyFont="1" applyFill="1" applyBorder="1" applyAlignment="1">
      <alignment horizontal="center" vertical="center"/>
    </xf>
    <xf numFmtId="175" fontId="21" fillId="0" borderId="23" xfId="70" applyNumberFormat="1" applyFont="1" applyFill="1" applyBorder="1" applyAlignment="1" applyProtection="1">
      <alignment horizontal="center" vertical="center"/>
      <protection locked="0"/>
    </xf>
    <xf numFmtId="1" fontId="11" fillId="0" borderId="3" xfId="0" applyNumberFormat="1" applyFont="1" applyFill="1" applyBorder="1" applyAlignment="1">
      <alignment horizontal="center" vertical="center"/>
    </xf>
    <xf numFmtId="178" fontId="21" fillId="0" borderId="3" xfId="0" applyNumberFormat="1" applyFont="1" applyFill="1" applyBorder="1" applyAlignment="1">
      <alignment horizontal="center" vertical="center"/>
    </xf>
    <xf numFmtId="0" fontId="21" fillId="0" borderId="3" xfId="0" applyNumberFormat="1" applyFont="1" applyFill="1" applyBorder="1" applyAlignment="1">
      <alignment horizontal="center" vertical="center"/>
    </xf>
    <xf numFmtId="0" fontId="21" fillId="0" borderId="0" xfId="96" applyFont="1" applyAlignment="1">
      <alignment horizontal="right" vertical="center"/>
    </xf>
    <xf numFmtId="0" fontId="14" fillId="0" borderId="0" xfId="96" applyFont="1" applyAlignment="1">
      <alignment vertical="center"/>
    </xf>
    <xf numFmtId="169" fontId="21" fillId="0" borderId="0" xfId="96" applyNumberFormat="1" applyFont="1" applyFill="1" applyBorder="1" applyAlignment="1">
      <alignment vertical="center"/>
    </xf>
    <xf numFmtId="0" fontId="0" fillId="59" borderId="3" xfId="0" applyFill="1" applyBorder="1" applyAlignment="1">
      <alignment horizontal="left" vertical="center"/>
    </xf>
    <xf numFmtId="0" fontId="0" fillId="59" borderId="35" xfId="0" applyFill="1" applyBorder="1" applyAlignment="1">
      <alignment horizontal="center" vertical="center"/>
    </xf>
    <xf numFmtId="0" fontId="0" fillId="59" borderId="0" xfId="0" applyFill="1" applyAlignment="1">
      <alignment horizontal="center" vertical="center"/>
    </xf>
    <xf numFmtId="0" fontId="0" fillId="59" borderId="0" xfId="0" applyFill="1" applyAlignment="1">
      <alignment vertical="center"/>
    </xf>
    <xf numFmtId="0" fontId="0" fillId="59" borderId="0" xfId="0" applyNumberFormat="1" applyFill="1" applyAlignment="1">
      <alignment horizontal="center" vertical="center"/>
    </xf>
    <xf numFmtId="0" fontId="7" fillId="59" borderId="0" xfId="0" applyFont="1" applyFill="1" applyAlignment="1">
      <alignment horizontal="center" vertical="center"/>
    </xf>
    <xf numFmtId="49" fontId="0" fillId="59" borderId="0" xfId="0" applyNumberFormat="1" applyFill="1" applyAlignment="1">
      <alignment horizontal="center" vertical="center"/>
    </xf>
    <xf numFmtId="0" fontId="58" fillId="59" borderId="0" xfId="0" applyFont="1" applyFill="1" applyAlignment="1">
      <alignment horizontal="center" vertical="center"/>
    </xf>
    <xf numFmtId="0" fontId="7" fillId="51" borderId="0" xfId="0" applyFont="1" applyFill="1" applyBorder="1"/>
    <xf numFmtId="49" fontId="7" fillId="51" borderId="0" xfId="0" applyNumberFormat="1" applyFont="1" applyFill="1" applyAlignment="1">
      <alignment horizontal="center" vertical="center"/>
    </xf>
    <xf numFmtId="49" fontId="14" fillId="67" borderId="23" xfId="0" applyNumberFormat="1" applyFont="1" applyFill="1" applyBorder="1" applyAlignment="1">
      <alignment horizontal="center"/>
    </xf>
    <xf numFmtId="0" fontId="19" fillId="67" borderId="3" xfId="0" applyFont="1" applyFill="1" applyBorder="1" applyAlignment="1">
      <alignment horizontal="center"/>
    </xf>
    <xf numFmtId="0" fontId="12" fillId="67" borderId="23" xfId="0" applyNumberFormat="1" applyFont="1" applyFill="1" applyBorder="1" applyAlignment="1">
      <alignment horizontal="center" vertical="center"/>
    </xf>
    <xf numFmtId="49" fontId="144" fillId="67" borderId="23" xfId="0" applyNumberFormat="1" applyFont="1" applyFill="1" applyBorder="1" applyAlignment="1">
      <alignment horizontal="center"/>
    </xf>
    <xf numFmtId="189" fontId="7" fillId="49" borderId="0" xfId="97" applyNumberFormat="1" applyFill="1" applyAlignment="1">
      <alignment horizontal="center" vertical="center"/>
    </xf>
    <xf numFmtId="165" fontId="7" fillId="0" borderId="0" xfId="97" applyNumberFormat="1" applyFont="1" applyAlignment="1">
      <alignment horizontal="center" vertical="center"/>
    </xf>
    <xf numFmtId="190" fontId="7" fillId="0" borderId="0" xfId="97" applyNumberFormat="1" applyFont="1" applyAlignment="1">
      <alignment horizontal="center" vertical="center"/>
    </xf>
    <xf numFmtId="189" fontId="7" fillId="0" borderId="0" xfId="97" applyNumberFormat="1" applyFont="1" applyAlignment="1">
      <alignment horizontal="center" vertical="center"/>
    </xf>
    <xf numFmtId="0" fontId="7" fillId="49" borderId="0" xfId="97" applyFont="1" applyFill="1" applyAlignment="1">
      <alignment horizontal="center" vertical="center"/>
    </xf>
    <xf numFmtId="0" fontId="7" fillId="49" borderId="0" xfId="97" applyFill="1" applyAlignment="1">
      <alignment horizontal="center" vertical="center"/>
    </xf>
    <xf numFmtId="189" fontId="8" fillId="49" borderId="0" xfId="97" applyNumberFormat="1" applyFont="1" applyFill="1" applyAlignment="1">
      <alignment horizontal="center" vertical="center"/>
    </xf>
    <xf numFmtId="0" fontId="8" fillId="49" borderId="0" xfId="97" applyFont="1" applyFill="1" applyAlignment="1">
      <alignment horizontal="center" vertical="center" wrapText="1"/>
    </xf>
    <xf numFmtId="208" fontId="7" fillId="49" borderId="0" xfId="97" applyNumberFormat="1" applyFont="1" applyFill="1" applyAlignment="1">
      <alignment horizontal="center" vertical="center"/>
    </xf>
    <xf numFmtId="200" fontId="7" fillId="49" borderId="0" xfId="97" applyNumberFormat="1" applyFont="1" applyFill="1" applyAlignment="1">
      <alignment horizontal="center" vertical="center" wrapText="1"/>
    </xf>
    <xf numFmtId="190" fontId="7" fillId="49" borderId="0" xfId="97" applyNumberFormat="1" applyFont="1" applyFill="1" applyAlignment="1">
      <alignment horizontal="center" vertical="center"/>
    </xf>
    <xf numFmtId="0" fontId="7" fillId="49" borderId="0" xfId="97" applyFont="1" applyFill="1" applyAlignment="1">
      <alignment horizontal="center" vertical="center" wrapText="1"/>
    </xf>
    <xf numFmtId="0" fontId="7" fillId="0" borderId="0" xfId="97" applyFont="1" applyFill="1" applyAlignment="1">
      <alignment horizontal="left" vertical="center"/>
    </xf>
    <xf numFmtId="189" fontId="7" fillId="49" borderId="0" xfId="97" applyNumberFormat="1" applyFont="1" applyFill="1" applyAlignment="1">
      <alignment horizontal="center" vertical="center"/>
    </xf>
    <xf numFmtId="190" fontId="7" fillId="49" borderId="0" xfId="97" applyNumberFormat="1" applyFont="1" applyFill="1" applyAlignment="1">
      <alignment horizontal="center" vertical="center" wrapText="1"/>
    </xf>
    <xf numFmtId="0" fontId="7" fillId="0" borderId="44" xfId="98" applyFont="1" applyFill="1" applyBorder="1" applyAlignment="1">
      <alignment horizontal="left" vertical="center"/>
    </xf>
    <xf numFmtId="0" fontId="7" fillId="0" borderId="24" xfId="98" applyFont="1" applyFill="1" applyBorder="1" applyAlignment="1">
      <alignment vertical="center"/>
    </xf>
    <xf numFmtId="0" fontId="14" fillId="56" borderId="0" xfId="0" applyFont="1" applyFill="1"/>
    <xf numFmtId="0" fontId="0" fillId="56" borderId="0" xfId="0" applyFill="1" applyAlignment="1">
      <alignment horizontal="left"/>
    </xf>
    <xf numFmtId="0" fontId="14" fillId="56" borderId="0" xfId="0" applyFont="1" applyFill="1" applyAlignment="1">
      <alignment horizontal="center"/>
    </xf>
    <xf numFmtId="0" fontId="19" fillId="56" borderId="0" xfId="0" applyFont="1" applyFill="1"/>
    <xf numFmtId="0" fontId="0" fillId="68" borderId="0" xfId="0" applyFill="1" applyAlignment="1">
      <alignment horizontal="center" vertical="center"/>
    </xf>
    <xf numFmtId="0" fontId="7" fillId="68" borderId="0" xfId="0" applyFont="1" applyFill="1"/>
    <xf numFmtId="49" fontId="7" fillId="68" borderId="0" xfId="0" applyNumberFormat="1" applyFont="1" applyFill="1" applyAlignment="1">
      <alignment horizontal="center" vertical="center"/>
    </xf>
    <xf numFmtId="0" fontId="0" fillId="68" borderId="0" xfId="0" applyFill="1" applyAlignment="1">
      <alignment horizontal="center"/>
    </xf>
    <xf numFmtId="0" fontId="0" fillId="68" borderId="0" xfId="0" applyFill="1"/>
    <xf numFmtId="0" fontId="0" fillId="68" borderId="0" xfId="0" applyNumberFormat="1" applyFill="1" applyAlignment="1">
      <alignment horizontal="center"/>
    </xf>
    <xf numFmtId="0" fontId="7" fillId="68" borderId="0" xfId="0" applyFont="1" applyFill="1" applyAlignment="1">
      <alignment horizontal="center"/>
    </xf>
    <xf numFmtId="49" fontId="0" fillId="68" borderId="0" xfId="0" applyNumberFormat="1" applyFill="1" applyAlignment="1">
      <alignment horizontal="center"/>
    </xf>
    <xf numFmtId="0" fontId="0" fillId="45" borderId="0" xfId="0" applyFill="1" applyBorder="1"/>
    <xf numFmtId="0" fontId="0" fillId="45" borderId="0" xfId="0" applyFill="1" applyBorder="1" applyAlignment="1">
      <alignment horizontal="center"/>
    </xf>
    <xf numFmtId="0" fontId="21" fillId="45" borderId="23" xfId="0" applyFont="1" applyFill="1" applyBorder="1" applyAlignment="1">
      <alignment horizontal="center" vertical="center"/>
    </xf>
    <xf numFmtId="0" fontId="0" fillId="45" borderId="23" xfId="0" applyFill="1" applyBorder="1" applyAlignment="1">
      <alignment horizontal="center" vertical="center"/>
    </xf>
    <xf numFmtId="0" fontId="7" fillId="69" borderId="3" xfId="0" applyFont="1" applyFill="1" applyBorder="1" applyAlignment="1">
      <alignment horizontal="center"/>
    </xf>
    <xf numFmtId="0" fontId="0" fillId="45" borderId="46" xfId="0" applyFill="1" applyBorder="1"/>
    <xf numFmtId="0" fontId="0" fillId="45" borderId="36" xfId="0" applyFill="1" applyBorder="1" applyAlignment="1">
      <alignment horizontal="center"/>
    </xf>
    <xf numFmtId="0" fontId="0" fillId="45" borderId="37" xfId="0" applyFill="1" applyBorder="1"/>
    <xf numFmtId="0" fontId="0" fillId="45" borderId="37" xfId="0" applyFill="1" applyBorder="1" applyAlignment="1">
      <alignment horizontal="center"/>
    </xf>
    <xf numFmtId="0" fontId="0" fillId="45" borderId="66" xfId="0" applyFill="1" applyBorder="1"/>
    <xf numFmtId="0" fontId="12" fillId="70" borderId="0" xfId="97" applyFont="1" applyFill="1" applyAlignment="1">
      <alignment horizontal="center" vertical="center"/>
    </xf>
    <xf numFmtId="0" fontId="7" fillId="70" borderId="0" xfId="97" applyFont="1" applyFill="1" applyAlignment="1">
      <alignment horizontal="left" vertical="center" wrapText="1"/>
    </xf>
    <xf numFmtId="0" fontId="152" fillId="70" borderId="0" xfId="97" applyFont="1" applyFill="1" applyAlignment="1">
      <alignment horizontal="left" vertical="center" wrapText="1"/>
    </xf>
    <xf numFmtId="0" fontId="7" fillId="70" borderId="0" xfId="97" applyFont="1" applyFill="1" applyAlignment="1">
      <alignment horizontal="center" vertical="center"/>
    </xf>
    <xf numFmtId="165" fontId="7" fillId="70" borderId="0" xfId="97" applyNumberFormat="1" applyFont="1" applyFill="1" applyAlignment="1">
      <alignment horizontal="center" vertical="center"/>
    </xf>
    <xf numFmtId="190" fontId="7" fillId="70" borderId="0" xfId="97" applyNumberFormat="1" applyFont="1" applyFill="1" applyAlignment="1">
      <alignment horizontal="center" vertical="center" wrapText="1"/>
    </xf>
    <xf numFmtId="189" fontId="7" fillId="70" borderId="0" xfId="97" applyNumberFormat="1" applyFont="1" applyFill="1" applyAlignment="1">
      <alignment horizontal="center" vertical="center" wrapText="1"/>
    </xf>
    <xf numFmtId="165" fontId="7" fillId="70" borderId="0" xfId="97" applyNumberFormat="1" applyFont="1" applyFill="1" applyAlignment="1">
      <alignment horizontal="center" vertical="center" wrapText="1"/>
    </xf>
    <xf numFmtId="0" fontId="7" fillId="70" borderId="0" xfId="97" applyFont="1" applyFill="1" applyBorder="1" applyAlignment="1">
      <alignment horizontal="center" vertical="center"/>
    </xf>
    <xf numFmtId="0" fontId="7" fillId="70" borderId="0" xfId="97" applyFont="1" applyFill="1" applyAlignment="1">
      <alignment horizontal="left" vertical="center"/>
    </xf>
    <xf numFmtId="0" fontId="17" fillId="20" borderId="0" xfId="0" applyFont="1" applyFill="1" applyBorder="1" applyAlignment="1">
      <alignment horizontal="center" vertical="center" wrapText="1"/>
    </xf>
    <xf numFmtId="49" fontId="14" fillId="0" borderId="3" xfId="98" applyNumberFormat="1" applyFont="1" applyBorder="1" applyAlignment="1">
      <alignment horizontal="center"/>
    </xf>
    <xf numFmtId="0" fontId="12" fillId="20" borderId="3" xfId="0" applyFont="1" applyFill="1" applyBorder="1" applyAlignment="1">
      <alignment vertical="center"/>
    </xf>
    <xf numFmtId="0" fontId="153" fillId="0" borderId="69" xfId="0" applyFont="1" applyFill="1" applyBorder="1" applyAlignment="1">
      <alignment horizontal="right" vertical="center"/>
    </xf>
    <xf numFmtId="0" fontId="24" fillId="20" borderId="0" xfId="0" applyFont="1" applyFill="1" applyBorder="1" applyAlignment="1">
      <alignment vertical="center"/>
    </xf>
    <xf numFmtId="165" fontId="117" fillId="70" borderId="39" xfId="97" applyNumberFormat="1" applyFont="1" applyFill="1" applyBorder="1" applyAlignment="1">
      <alignment horizontal="center" vertical="center" wrapText="1"/>
    </xf>
    <xf numFmtId="0" fontId="14" fillId="0" borderId="16" xfId="98" applyFont="1" applyBorder="1"/>
    <xf numFmtId="0" fontId="14" fillId="0" borderId="17" xfId="98" applyFont="1" applyBorder="1"/>
    <xf numFmtId="0" fontId="14" fillId="0" borderId="0" xfId="98" applyFont="1" applyBorder="1"/>
    <xf numFmtId="0" fontId="14" fillId="0" borderId="0" xfId="98" applyFont="1" applyBorder="1" applyAlignment="1">
      <alignment horizontal="center"/>
    </xf>
    <xf numFmtId="0" fontId="14" fillId="0" borderId="0" xfId="98" applyFont="1" applyBorder="1" applyAlignment="1">
      <alignment horizontal="right"/>
    </xf>
    <xf numFmtId="0" fontId="21" fillId="0" borderId="0" xfId="98" applyFont="1" applyBorder="1"/>
    <xf numFmtId="0" fontId="14" fillId="0" borderId="17" xfId="98" applyFont="1" applyBorder="1" applyAlignment="1">
      <alignment horizontal="right" vertical="center"/>
    </xf>
    <xf numFmtId="49" fontId="14" fillId="0" borderId="3" xfId="98" applyNumberFormat="1" applyFont="1" applyBorder="1"/>
    <xf numFmtId="0" fontId="14" fillId="0" borderId="17" xfId="98" applyFont="1" applyBorder="1" applyAlignment="1">
      <alignment vertical="center"/>
    </xf>
    <xf numFmtId="14" fontId="14" fillId="0" borderId="3" xfId="98" applyNumberFormat="1" applyFont="1" applyBorder="1" applyAlignment="1">
      <alignment horizontal="center"/>
    </xf>
    <xf numFmtId="169" fontId="14" fillId="0" borderId="0" xfId="98" applyNumberFormat="1" applyFont="1" applyBorder="1" applyAlignment="1">
      <alignment horizontal="left"/>
    </xf>
    <xf numFmtId="0" fontId="14" fillId="0" borderId="17" xfId="98" applyFont="1" applyBorder="1" applyAlignment="1">
      <alignment horizontal="center"/>
    </xf>
    <xf numFmtId="0" fontId="14" fillId="0" borderId="69" xfId="98" applyFont="1" applyBorder="1" applyAlignment="1">
      <alignment horizontal="center"/>
    </xf>
    <xf numFmtId="49" fontId="53" fillId="22" borderId="23" xfId="98" applyNumberFormat="1" applyFont="1" applyFill="1" applyBorder="1" applyAlignment="1">
      <alignment horizontal="center"/>
    </xf>
    <xf numFmtId="0" fontId="53" fillId="22" borderId="23" xfId="98" applyFont="1" applyFill="1" applyBorder="1" applyAlignment="1">
      <alignment horizontal="center"/>
    </xf>
    <xf numFmtId="0" fontId="53" fillId="22" borderId="36" xfId="98" applyFont="1" applyFill="1" applyBorder="1" applyAlignment="1">
      <alignment horizontal="center"/>
    </xf>
    <xf numFmtId="0" fontId="14" fillId="22" borderId="32" xfId="98" applyFont="1" applyFill="1" applyBorder="1" applyAlignment="1">
      <alignment horizontal="center"/>
    </xf>
    <xf numFmtId="0" fontId="14" fillId="22" borderId="35" xfId="98" applyFont="1" applyFill="1" applyBorder="1"/>
    <xf numFmtId="0" fontId="14" fillId="0" borderId="0" xfId="98" applyFont="1"/>
    <xf numFmtId="49" fontId="53" fillId="22" borderId="3" xfId="98" applyNumberFormat="1" applyFont="1" applyFill="1" applyBorder="1" applyAlignment="1">
      <alignment horizontal="center"/>
    </xf>
    <xf numFmtId="0" fontId="53" fillId="22" borderId="3" xfId="98" applyFont="1" applyFill="1" applyBorder="1" applyAlignment="1">
      <alignment horizontal="center"/>
    </xf>
    <xf numFmtId="0" fontId="53" fillId="22" borderId="24" xfId="98" applyFont="1" applyFill="1" applyBorder="1" applyAlignment="1">
      <alignment horizontal="center"/>
    </xf>
    <xf numFmtId="0" fontId="14" fillId="22" borderId="24" xfId="98" applyFont="1" applyFill="1" applyBorder="1" applyAlignment="1">
      <alignment horizontal="center"/>
    </xf>
    <xf numFmtId="0" fontId="14" fillId="0" borderId="23" xfId="98" applyFont="1" applyBorder="1" applyAlignment="1">
      <alignment horizontal="center"/>
    </xf>
    <xf numFmtId="49" fontId="53" fillId="0" borderId="3" xfId="98" applyNumberFormat="1" applyFont="1" applyFill="1" applyBorder="1" applyAlignment="1">
      <alignment horizontal="center"/>
    </xf>
    <xf numFmtId="0" fontId="21" fillId="0" borderId="3" xfId="98" applyFont="1" applyFill="1" applyBorder="1" applyAlignment="1">
      <alignment horizontal="center"/>
    </xf>
    <xf numFmtId="49" fontId="53" fillId="0" borderId="20" xfId="98" applyNumberFormat="1" applyFont="1" applyFill="1" applyBorder="1" applyAlignment="1">
      <alignment horizontal="center"/>
    </xf>
    <xf numFmtId="0" fontId="21" fillId="0" borderId="20" xfId="98" applyFont="1" applyFill="1" applyBorder="1" applyAlignment="1">
      <alignment horizontal="center"/>
    </xf>
    <xf numFmtId="0" fontId="14" fillId="22" borderId="29" xfId="98" applyFont="1" applyFill="1" applyBorder="1" applyAlignment="1">
      <alignment horizontal="center"/>
    </xf>
    <xf numFmtId="0" fontId="14" fillId="0" borderId="0" xfId="98" applyFont="1" applyAlignment="1">
      <alignment horizontal="center"/>
    </xf>
    <xf numFmtId="0" fontId="7" fillId="68" borderId="26" xfId="0" applyFont="1" applyFill="1" applyBorder="1" applyAlignment="1">
      <alignment vertical="center"/>
    </xf>
    <xf numFmtId="0" fontId="7" fillId="0" borderId="69" xfId="0" applyFont="1" applyFill="1" applyBorder="1" applyAlignment="1">
      <alignment horizontal="center"/>
    </xf>
    <xf numFmtId="0" fontId="7" fillId="64" borderId="69" xfId="0" applyFont="1" applyFill="1" applyBorder="1" applyAlignment="1">
      <alignment horizontal="center"/>
    </xf>
    <xf numFmtId="0" fontId="0" fillId="0" borderId="69" xfId="0" applyBorder="1" applyAlignment="1">
      <alignment horizontal="center" vertical="center"/>
    </xf>
    <xf numFmtId="0" fontId="0" fillId="64" borderId="69" xfId="0" applyFill="1" applyBorder="1" applyAlignment="1">
      <alignment horizontal="center" vertical="center"/>
    </xf>
    <xf numFmtId="0" fontId="7" fillId="64" borderId="23" xfId="0" applyFont="1" applyFill="1" applyBorder="1" applyAlignment="1">
      <alignment horizontal="center"/>
    </xf>
    <xf numFmtId="0" fontId="0" fillId="64" borderId="23" xfId="0" applyFill="1" applyBorder="1" applyAlignment="1">
      <alignment horizontal="center" vertical="center"/>
    </xf>
    <xf numFmtId="0" fontId="7" fillId="0" borderId="33" xfId="0" applyFont="1" applyFill="1" applyBorder="1" applyAlignment="1">
      <alignment horizontal="center"/>
    </xf>
    <xf numFmtId="0" fontId="0" fillId="0" borderId="3" xfId="0" applyBorder="1" applyAlignment="1">
      <alignment vertical="center"/>
    </xf>
    <xf numFmtId="0" fontId="8" fillId="51" borderId="3" xfId="0" applyFont="1" applyFill="1" applyBorder="1" applyAlignment="1">
      <alignment horizontal="center" vertical="center"/>
    </xf>
    <xf numFmtId="0" fontId="8" fillId="0" borderId="3" xfId="0" applyFont="1" applyBorder="1" applyAlignment="1">
      <alignment horizontal="right" vertical="center"/>
    </xf>
    <xf numFmtId="0" fontId="151" fillId="0" borderId="0" xfId="0" applyFont="1" applyAlignment="1">
      <alignment horizontal="left"/>
    </xf>
    <xf numFmtId="0" fontId="8" fillId="20" borderId="3" xfId="0" applyFont="1" applyFill="1" applyBorder="1" applyAlignment="1">
      <alignment horizontal="center"/>
    </xf>
    <xf numFmtId="175" fontId="7" fillId="0" borderId="3" xfId="0" applyNumberFormat="1" applyFont="1" applyBorder="1" applyAlignment="1">
      <alignment horizontal="center"/>
    </xf>
    <xf numFmtId="0" fontId="0" fillId="67" borderId="0" xfId="0" applyFill="1" applyAlignment="1">
      <alignment horizontal="center" vertical="center"/>
    </xf>
    <xf numFmtId="49" fontId="7" fillId="67" borderId="0" xfId="0" applyNumberFormat="1" applyFont="1" applyFill="1" applyAlignment="1">
      <alignment horizontal="center" vertical="center"/>
    </xf>
    <xf numFmtId="0" fontId="8" fillId="0" borderId="0" xfId="97" applyFont="1" applyFill="1" applyBorder="1" applyAlignment="1">
      <alignment horizontal="center" vertical="center" wrapText="1"/>
    </xf>
    <xf numFmtId="210" fontId="7" fillId="70" borderId="0" xfId="97" applyNumberFormat="1" applyFont="1" applyFill="1" applyBorder="1" applyAlignment="1">
      <alignment horizontal="center" vertical="center"/>
    </xf>
    <xf numFmtId="194" fontId="0" fillId="46" borderId="3" xfId="0" applyNumberFormat="1" applyFill="1" applyBorder="1" applyAlignment="1">
      <alignment horizontal="center" vertical="center"/>
    </xf>
    <xf numFmtId="49" fontId="14" fillId="0" borderId="0" xfId="98" applyNumberFormat="1" applyFont="1" applyFill="1" applyBorder="1" applyAlignment="1">
      <alignment horizontal="left" vertical="center"/>
    </xf>
    <xf numFmtId="0" fontId="7" fillId="20" borderId="3" xfId="0" applyNumberFormat="1" applyFont="1" applyFill="1" applyBorder="1" applyAlignment="1">
      <alignment horizontal="center" vertical="center"/>
    </xf>
    <xf numFmtId="0" fontId="12" fillId="20" borderId="0" xfId="0" applyFont="1" applyFill="1" applyBorder="1" applyAlignment="1">
      <alignment horizontal="center" vertical="center" wrapText="1"/>
    </xf>
    <xf numFmtId="0" fontId="12" fillId="0" borderId="0" xfId="0" applyFont="1" applyFill="1" applyBorder="1" applyAlignment="1">
      <alignment horizontal="right" vertical="center" wrapText="1"/>
    </xf>
    <xf numFmtId="0" fontId="7" fillId="0" borderId="0" xfId="97" applyFont="1" applyFill="1" applyAlignment="1">
      <alignment horizontal="center" vertical="center"/>
    </xf>
    <xf numFmtId="0" fontId="8" fillId="0" borderId="3" xfId="98" applyFont="1" applyFill="1" applyBorder="1" applyAlignment="1">
      <alignment horizontal="center" vertical="center"/>
    </xf>
    <xf numFmtId="0" fontId="7" fillId="0" borderId="3" xfId="0" applyFont="1" applyBorder="1" applyAlignment="1">
      <alignment horizontal="center" vertical="center" wrapText="1"/>
    </xf>
    <xf numFmtId="49" fontId="7" fillId="0" borderId="0" xfId="0" applyNumberFormat="1" applyFont="1" applyAlignment="1">
      <alignment horizontal="left" vertical="center"/>
    </xf>
    <xf numFmtId="0" fontId="14" fillId="0" borderId="12" xfId="0" applyFont="1" applyBorder="1"/>
    <xf numFmtId="0" fontId="14" fillId="0" borderId="0" xfId="0" applyFont="1" applyBorder="1" applyAlignment="1">
      <alignment horizontal="right"/>
    </xf>
    <xf numFmtId="0" fontId="21" fillId="0" borderId="11" xfId="0" applyFont="1" applyBorder="1" applyAlignment="1">
      <alignment horizontal="left"/>
    </xf>
    <xf numFmtId="49" fontId="14" fillId="0" borderId="3" xfId="0" applyNumberFormat="1" applyFont="1" applyBorder="1" applyAlignment="1">
      <alignment horizontal="center"/>
    </xf>
    <xf numFmtId="0" fontId="14" fillId="0" borderId="11" xfId="0" applyFont="1" applyBorder="1"/>
    <xf numFmtId="0" fontId="123" fillId="0" borderId="17" xfId="0" applyFont="1" applyBorder="1" applyAlignment="1">
      <alignment vertical="center"/>
    </xf>
    <xf numFmtId="0" fontId="123" fillId="0" borderId="0" xfId="0" applyFont="1" applyBorder="1" applyAlignment="1">
      <alignment vertical="center"/>
    </xf>
    <xf numFmtId="0" fontId="14" fillId="0" borderId="41" xfId="0" applyFont="1" applyBorder="1" applyAlignment="1">
      <alignment horizontal="center"/>
    </xf>
    <xf numFmtId="0" fontId="14" fillId="0" borderId="34" xfId="0" applyFont="1" applyBorder="1" applyAlignment="1">
      <alignment horizontal="center"/>
    </xf>
    <xf numFmtId="0" fontId="14" fillId="0" borderId="34" xfId="0" applyFont="1" applyBorder="1" applyAlignment="1"/>
    <xf numFmtId="0" fontId="14" fillId="0" borderId="34" xfId="0" applyFont="1" applyBorder="1"/>
    <xf numFmtId="0" fontId="14" fillId="0" borderId="42" xfId="0" applyFont="1" applyBorder="1"/>
    <xf numFmtId="0" fontId="14" fillId="24" borderId="17" xfId="0" applyFont="1" applyFill="1" applyBorder="1" applyAlignment="1">
      <alignment horizontal="center"/>
    </xf>
    <xf numFmtId="0" fontId="14" fillId="24" borderId="0" xfId="0" applyFont="1" applyFill="1" applyBorder="1" applyAlignment="1">
      <alignment horizontal="center"/>
    </xf>
    <xf numFmtId="0" fontId="14" fillId="24" borderId="0" xfId="0" applyFont="1" applyFill="1" applyBorder="1" applyAlignment="1"/>
    <xf numFmtId="0" fontId="14" fillId="24" borderId="0" xfId="0" applyFont="1" applyFill="1" applyBorder="1"/>
    <xf numFmtId="0" fontId="14" fillId="24" borderId="11" xfId="0" applyFont="1" applyFill="1" applyBorder="1"/>
    <xf numFmtId="0" fontId="0" fillId="24" borderId="17" xfId="0" applyFill="1" applyBorder="1"/>
    <xf numFmtId="0" fontId="0" fillId="24" borderId="0" xfId="0" applyFill="1" applyBorder="1"/>
    <xf numFmtId="0" fontId="7" fillId="24" borderId="0" xfId="0" applyFont="1" applyFill="1" applyBorder="1" applyAlignment="1">
      <alignment horizontal="right"/>
    </xf>
    <xf numFmtId="0" fontId="7" fillId="24" borderId="11" xfId="0" applyFont="1" applyFill="1" applyBorder="1"/>
    <xf numFmtId="0" fontId="0" fillId="24" borderId="55" xfId="0" applyFill="1" applyBorder="1"/>
    <xf numFmtId="0" fontId="0" fillId="24" borderId="37" xfId="0" applyFill="1" applyBorder="1"/>
    <xf numFmtId="0" fontId="0" fillId="24" borderId="61" xfId="0" applyFill="1" applyBorder="1"/>
    <xf numFmtId="0" fontId="0" fillId="0" borderId="17" xfId="0" applyBorder="1"/>
    <xf numFmtId="209" fontId="21" fillId="0" borderId="17" xfId="0" applyNumberFormat="1" applyFont="1" applyBorder="1"/>
    <xf numFmtId="49" fontId="14" fillId="0" borderId="0" xfId="0" applyNumberFormat="1" applyFont="1" applyBorder="1" applyAlignment="1">
      <alignment horizontal="center"/>
    </xf>
    <xf numFmtId="211" fontId="17" fillId="0" borderId="0" xfId="0" applyNumberFormat="1" applyFont="1" applyBorder="1" applyAlignment="1">
      <alignment horizontal="left"/>
    </xf>
    <xf numFmtId="211" fontId="0" fillId="0" borderId="0" xfId="0" applyNumberFormat="1" applyBorder="1" applyAlignment="1">
      <alignment horizontal="left"/>
    </xf>
    <xf numFmtId="0" fontId="124" fillId="0" borderId="0" xfId="0" applyFont="1" applyBorder="1"/>
    <xf numFmtId="49" fontId="124" fillId="0" borderId="0" xfId="0" applyNumberFormat="1" applyFont="1" applyBorder="1" applyAlignment="1">
      <alignment horizontal="center"/>
    </xf>
    <xf numFmtId="0" fontId="0" fillId="0" borderId="41" xfId="0" applyBorder="1"/>
    <xf numFmtId="0" fontId="0" fillId="0" borderId="34" xfId="0" applyBorder="1"/>
    <xf numFmtId="0" fontId="0" fillId="0" borderId="42" xfId="0" applyBorder="1"/>
    <xf numFmtId="212" fontId="125" fillId="24" borderId="0" xfId="0" applyNumberFormat="1" applyFont="1" applyFill="1" applyBorder="1" applyAlignment="1">
      <alignment horizontal="left" vertical="center"/>
    </xf>
    <xf numFmtId="0" fontId="21" fillId="0" borderId="0" xfId="0" applyFont="1" applyBorder="1" applyAlignment="1">
      <alignment horizontal="right"/>
    </xf>
    <xf numFmtId="212" fontId="125" fillId="24" borderId="0" xfId="0" applyNumberFormat="1" applyFont="1" applyFill="1" applyBorder="1" applyAlignment="1">
      <alignment horizontal="center" vertical="center"/>
    </xf>
    <xf numFmtId="1" fontId="14" fillId="24" borderId="0" xfId="0" applyNumberFormat="1" applyFont="1" applyFill="1" applyBorder="1" applyAlignment="1">
      <alignment horizontal="center"/>
    </xf>
    <xf numFmtId="0" fontId="14" fillId="0" borderId="50" xfId="0" applyFont="1" applyBorder="1"/>
    <xf numFmtId="0" fontId="14" fillId="0" borderId="44" xfId="0" applyFont="1" applyBorder="1"/>
    <xf numFmtId="0" fontId="14" fillId="0" borderId="44" xfId="0" applyFont="1" applyBorder="1" applyAlignment="1">
      <alignment horizontal="center"/>
    </xf>
    <xf numFmtId="0" fontId="14" fillId="0" borderId="44" xfId="0" applyFont="1" applyBorder="1" applyAlignment="1">
      <alignment horizontal="left"/>
    </xf>
    <xf numFmtId="0" fontId="0" fillId="0" borderId="44" xfId="0" applyBorder="1"/>
    <xf numFmtId="0" fontId="0" fillId="0" borderId="51" xfId="0" applyBorder="1"/>
    <xf numFmtId="0" fontId="7" fillId="0" borderId="24" xfId="0" applyFont="1" applyBorder="1"/>
    <xf numFmtId="0" fontId="7" fillId="0" borderId="26" xfId="0" applyFont="1" applyBorder="1"/>
    <xf numFmtId="0" fontId="7" fillId="0" borderId="28" xfId="0" applyFont="1" applyBorder="1"/>
    <xf numFmtId="1" fontId="122" fillId="46" borderId="3" xfId="45" applyNumberFormat="1" applyFont="1" applyBorder="1">
      <alignment horizontal="center" vertical="center"/>
    </xf>
    <xf numFmtId="49" fontId="14" fillId="0" borderId="3" xfId="0" applyNumberFormat="1" applyFont="1" applyBorder="1" applyAlignment="1">
      <alignment horizontal="center" vertical="center"/>
    </xf>
    <xf numFmtId="0" fontId="7" fillId="0" borderId="51" xfId="0" applyFont="1" applyBorder="1"/>
    <xf numFmtId="49" fontId="14" fillId="0" borderId="20" xfId="0" applyNumberFormat="1" applyFont="1" applyBorder="1" applyAlignment="1">
      <alignment horizontal="center"/>
    </xf>
    <xf numFmtId="1" fontId="122" fillId="46" borderId="20" xfId="45" applyNumberFormat="1" applyFont="1" applyBorder="1">
      <alignment horizontal="center" vertical="center"/>
    </xf>
    <xf numFmtId="0" fontId="7" fillId="0" borderId="29" xfId="0" applyFont="1" applyBorder="1"/>
    <xf numFmtId="0" fontId="7" fillId="0" borderId="53" xfId="0" applyFont="1" applyBorder="1"/>
    <xf numFmtId="0" fontId="7" fillId="0" borderId="30" xfId="0" applyFont="1" applyBorder="1"/>
    <xf numFmtId="0" fontId="121" fillId="0" borderId="0" xfId="0" applyFont="1" applyFill="1"/>
    <xf numFmtId="0" fontId="12" fillId="22" borderId="3" xfId="0" applyNumberFormat="1" applyFont="1" applyFill="1" applyBorder="1" applyAlignment="1">
      <alignment horizontal="center" vertical="center"/>
    </xf>
    <xf numFmtId="213" fontId="82" fillId="0" borderId="3" xfId="0" applyNumberFormat="1" applyFont="1" applyFill="1" applyBorder="1" applyAlignment="1">
      <alignment horizontal="center" vertical="center"/>
    </xf>
    <xf numFmtId="0" fontId="0" fillId="57" borderId="17" xfId="0" applyFill="1" applyBorder="1"/>
    <xf numFmtId="0" fontId="0" fillId="57" borderId="0" xfId="0" applyFill="1" applyBorder="1"/>
    <xf numFmtId="0" fontId="0" fillId="57" borderId="55" xfId="0" applyFill="1" applyBorder="1"/>
    <xf numFmtId="0" fontId="0" fillId="57" borderId="37" xfId="0" applyFill="1" applyBorder="1"/>
    <xf numFmtId="0" fontId="0" fillId="57" borderId="61" xfId="0" applyFill="1" applyBorder="1"/>
    <xf numFmtId="0" fontId="7" fillId="57" borderId="11" xfId="0" applyFont="1" applyFill="1" applyBorder="1"/>
    <xf numFmtId="0" fontId="7" fillId="57" borderId="0" xfId="0" applyFont="1" applyFill="1" applyBorder="1" applyAlignment="1">
      <alignment horizontal="right"/>
    </xf>
    <xf numFmtId="0" fontId="14" fillId="57" borderId="17" xfId="0" applyFont="1" applyFill="1" applyBorder="1" applyAlignment="1">
      <alignment horizontal="center"/>
    </xf>
    <xf numFmtId="0" fontId="14" fillId="57" borderId="0" xfId="0" applyFont="1" applyFill="1" applyBorder="1" applyAlignment="1">
      <alignment horizontal="center"/>
    </xf>
    <xf numFmtId="0" fontId="14" fillId="57" borderId="0" xfId="0" applyFont="1" applyFill="1" applyBorder="1" applyAlignment="1"/>
    <xf numFmtId="0" fontId="14" fillId="57" borderId="0" xfId="0" applyFont="1" applyFill="1" applyBorder="1"/>
    <xf numFmtId="0" fontId="14" fillId="57" borderId="11" xfId="0" applyFont="1" applyFill="1" applyBorder="1"/>
    <xf numFmtId="0" fontId="11" fillId="57" borderId="0" xfId="0" applyFont="1" applyFill="1" applyBorder="1"/>
    <xf numFmtId="0" fontId="7" fillId="0" borderId="33" xfId="0" applyFont="1" applyBorder="1" applyAlignment="1">
      <alignment horizontal="center"/>
    </xf>
    <xf numFmtId="0" fontId="0" fillId="0" borderId="69" xfId="0" applyBorder="1"/>
    <xf numFmtId="0" fontId="0" fillId="0" borderId="23" xfId="0" applyBorder="1"/>
    <xf numFmtId="0" fontId="154" fillId="20" borderId="0" xfId="0" applyFont="1" applyFill="1" applyBorder="1" applyAlignment="1">
      <alignment vertical="center"/>
    </xf>
    <xf numFmtId="211" fontId="21" fillId="0" borderId="3" xfId="0" applyNumberFormat="1" applyFont="1" applyFill="1" applyBorder="1" applyAlignment="1">
      <alignment horizontal="center"/>
    </xf>
    <xf numFmtId="1" fontId="14" fillId="0" borderId="3" xfId="0" applyNumberFormat="1" applyFont="1" applyFill="1" applyBorder="1" applyAlignment="1">
      <alignment horizontal="center"/>
    </xf>
    <xf numFmtId="0" fontId="7" fillId="0" borderId="0" xfId="0" applyFont="1" applyFill="1" applyAlignment="1"/>
    <xf numFmtId="0" fontId="65" fillId="0" borderId="0" xfId="0" applyFont="1" applyBorder="1"/>
    <xf numFmtId="0" fontId="8" fillId="0" borderId="24" xfId="0" applyFont="1" applyBorder="1" applyAlignment="1">
      <alignment horizontal="center" vertical="center"/>
    </xf>
    <xf numFmtId="0" fontId="7" fillId="0" borderId="24" xfId="0" applyFont="1" applyBorder="1" applyAlignment="1">
      <alignment horizontal="center" vertical="center"/>
    </xf>
    <xf numFmtId="0" fontId="7" fillId="0" borderId="0" xfId="0" applyFont="1" applyBorder="1" applyAlignment="1">
      <alignment vertical="center"/>
    </xf>
    <xf numFmtId="0" fontId="8" fillId="20" borderId="0" xfId="0" applyFont="1" applyFill="1" applyBorder="1" applyAlignment="1">
      <alignment vertical="center"/>
    </xf>
    <xf numFmtId="0" fontId="18" fillId="20" borderId="0" xfId="0" applyFont="1" applyFill="1" applyBorder="1" applyAlignment="1">
      <alignment vertical="center"/>
    </xf>
    <xf numFmtId="0" fontId="7" fillId="20" borderId="0" xfId="0" applyFont="1" applyFill="1" applyBorder="1" applyAlignment="1">
      <alignment vertical="center"/>
    </xf>
    <xf numFmtId="0" fontId="12" fillId="0" borderId="71" xfId="0" applyFont="1" applyBorder="1" applyAlignment="1">
      <alignment horizontal="center" vertical="center"/>
    </xf>
    <xf numFmtId="0" fontId="7" fillId="0" borderId="12" xfId="0" applyFont="1" applyBorder="1" applyAlignment="1">
      <alignment vertical="center"/>
    </xf>
    <xf numFmtId="0" fontId="0" fillId="0" borderId="40" xfId="0" applyBorder="1" applyAlignment="1">
      <alignment vertical="center"/>
    </xf>
    <xf numFmtId="0" fontId="12" fillId="0" borderId="90" xfId="0" applyFont="1" applyBorder="1" applyAlignment="1">
      <alignment horizontal="center" vertical="center"/>
    </xf>
    <xf numFmtId="0" fontId="0" fillId="0" borderId="11" xfId="0" applyBorder="1" applyAlignment="1">
      <alignment vertical="center"/>
    </xf>
    <xf numFmtId="0" fontId="0" fillId="0" borderId="90" xfId="0" applyBorder="1" applyAlignment="1">
      <alignment vertical="center"/>
    </xf>
    <xf numFmtId="0" fontId="12" fillId="0" borderId="91" xfId="0" applyFont="1" applyBorder="1" applyAlignment="1">
      <alignment horizontal="center" vertical="center"/>
    </xf>
    <xf numFmtId="0" fontId="18" fillId="20" borderId="34" xfId="0" applyFont="1" applyFill="1" applyBorder="1" applyAlignment="1">
      <alignment vertical="center"/>
    </xf>
    <xf numFmtId="0" fontId="7" fillId="20" borderId="34" xfId="0" applyFont="1" applyFill="1" applyBorder="1" applyAlignment="1">
      <alignment vertical="center"/>
    </xf>
    <xf numFmtId="0" fontId="0" fillId="0" borderId="42" xfId="0" applyBorder="1" applyAlignment="1">
      <alignment vertical="center"/>
    </xf>
    <xf numFmtId="2" fontId="21" fillId="0" borderId="0" xfId="96" applyNumberFormat="1" applyFont="1" applyFill="1" applyBorder="1" applyAlignment="1">
      <alignment horizontal="center" vertical="center"/>
    </xf>
    <xf numFmtId="175" fontId="54" fillId="0" borderId="69" xfId="70" applyNumberFormat="1" applyFont="1" applyFill="1" applyBorder="1" applyAlignment="1" applyProtection="1">
      <alignment horizontal="center" vertical="center"/>
      <protection locked="0"/>
    </xf>
    <xf numFmtId="177" fontId="25" fillId="0" borderId="69" xfId="70" applyNumberFormat="1" applyFont="1" applyFill="1" applyBorder="1" applyAlignment="1" applyProtection="1">
      <alignment vertical="top"/>
      <protection locked="0"/>
    </xf>
    <xf numFmtId="0" fontId="18" fillId="0" borderId="46" xfId="96" applyFont="1" applyBorder="1"/>
    <xf numFmtId="178" fontId="8" fillId="0" borderId="3" xfId="96" applyNumberFormat="1" applyFont="1" applyFill="1" applyBorder="1" applyAlignment="1">
      <alignment horizontal="center" vertical="center"/>
    </xf>
    <xf numFmtId="49" fontId="8" fillId="0" borderId="3" xfId="96" applyNumberFormat="1" applyFont="1" applyFill="1" applyBorder="1" applyAlignment="1">
      <alignment horizontal="center" vertical="center"/>
    </xf>
    <xf numFmtId="1" fontId="0" fillId="0" borderId="0" xfId="0" applyNumberFormat="1" applyFill="1" applyAlignment="1">
      <alignment horizontal="center"/>
    </xf>
    <xf numFmtId="175" fontId="122" fillId="0" borderId="3" xfId="45" applyNumberFormat="1" applyFont="1" applyFill="1" applyBorder="1">
      <alignment horizontal="center" vertical="center"/>
    </xf>
    <xf numFmtId="1" fontId="122" fillId="0" borderId="3" xfId="45" applyNumberFormat="1" applyFont="1" applyFill="1" applyBorder="1">
      <alignment horizontal="center" vertical="center"/>
    </xf>
    <xf numFmtId="1" fontId="122" fillId="0" borderId="3" xfId="45" applyNumberFormat="1" applyFont="1" applyFill="1" applyBorder="1" applyAlignment="1">
      <alignment horizontal="center" vertical="center"/>
    </xf>
    <xf numFmtId="0" fontId="21" fillId="0" borderId="46" xfId="96" applyFont="1" applyFill="1" applyBorder="1" applyAlignment="1">
      <alignment horizontal="center" vertical="center"/>
    </xf>
    <xf numFmtId="0" fontId="7" fillId="0" borderId="69" xfId="96" applyFont="1" applyBorder="1" applyAlignment="1">
      <alignment vertical="center"/>
    </xf>
    <xf numFmtId="206" fontId="8" fillId="0" borderId="3" xfId="96" applyNumberFormat="1" applyFont="1" applyFill="1" applyBorder="1" applyAlignment="1">
      <alignment horizontal="center" vertical="center"/>
    </xf>
    <xf numFmtId="0" fontId="14" fillId="0" borderId="0" xfId="96" applyFont="1" applyBorder="1" applyAlignment="1">
      <alignment vertical="center" textRotation="90" wrapText="1"/>
    </xf>
    <xf numFmtId="0" fontId="14" fillId="0" borderId="34" xfId="96" applyFont="1" applyBorder="1" applyAlignment="1">
      <alignment vertical="center" textRotation="90" wrapText="1"/>
    </xf>
    <xf numFmtId="0" fontId="16" fillId="0" borderId="0" xfId="96" applyFont="1" applyAlignment="1">
      <alignment horizontal="right" wrapText="1"/>
    </xf>
    <xf numFmtId="0" fontId="7" fillId="53" borderId="0" xfId="0" applyFont="1" applyFill="1" applyAlignment="1">
      <alignment horizontal="center"/>
    </xf>
    <xf numFmtId="0" fontId="0" fillId="53" borderId="0" xfId="0" applyFill="1" applyAlignment="1">
      <alignment horizontal="center"/>
    </xf>
    <xf numFmtId="0" fontId="21" fillId="0" borderId="25" xfId="98" applyNumberFormat="1" applyFont="1" applyFill="1" applyBorder="1" applyAlignment="1">
      <alignment vertical="center"/>
    </xf>
    <xf numFmtId="179" fontId="21" fillId="0" borderId="51" xfId="98" applyNumberFormat="1" applyFont="1" applyFill="1" applyBorder="1" applyAlignment="1">
      <alignment horizontal="center" vertical="center"/>
    </xf>
    <xf numFmtId="0" fontId="0" fillId="49" borderId="0" xfId="0" applyFill="1" applyAlignment="1">
      <alignment horizontal="center" vertical="center"/>
    </xf>
    <xf numFmtId="0" fontId="8" fillId="0" borderId="3" xfId="96" applyNumberFormat="1" applyFont="1" applyFill="1" applyBorder="1" applyAlignment="1">
      <alignment horizontal="center" vertical="center"/>
    </xf>
    <xf numFmtId="19" fontId="14" fillId="0" borderId="3" xfId="98" applyNumberFormat="1" applyFont="1" applyBorder="1" applyAlignment="1">
      <alignment horizontal="left"/>
    </xf>
    <xf numFmtId="0" fontId="0" fillId="20" borderId="0" xfId="0" applyFill="1" applyBorder="1" applyAlignment="1">
      <alignment horizontal="right" vertical="center" wrapText="1"/>
    </xf>
    <xf numFmtId="0" fontId="0" fillId="20" borderId="53" xfId="0" applyFill="1" applyBorder="1" applyAlignment="1">
      <alignment horizontal="center" vertical="center"/>
    </xf>
    <xf numFmtId="0" fontId="14" fillId="0" borderId="54" xfId="98" applyNumberFormat="1" applyFont="1" applyFill="1" applyBorder="1" applyAlignment="1">
      <alignment horizontal="center" vertical="center"/>
    </xf>
    <xf numFmtId="0" fontId="7" fillId="0" borderId="0" xfId="0" applyFont="1" applyFill="1" applyBorder="1" applyAlignment="1">
      <alignment horizontal="center" vertical="center" wrapText="1"/>
    </xf>
    <xf numFmtId="0" fontId="54" fillId="0" borderId="0" xfId="101" applyFont="1" applyBorder="1" applyAlignment="1">
      <alignment horizontal="center" vertical="center"/>
    </xf>
    <xf numFmtId="14" fontId="54" fillId="0" borderId="0" xfId="101" applyNumberFormat="1" applyFont="1" applyBorder="1" applyAlignment="1">
      <alignment horizontal="center" vertical="center"/>
    </xf>
    <xf numFmtId="0" fontId="82" fillId="0" borderId="0" xfId="101" applyFont="1" applyBorder="1" applyAlignment="1">
      <alignment vertical="center" wrapText="1"/>
    </xf>
    <xf numFmtId="0" fontId="21" fillId="0" borderId="0" xfId="101" applyFont="1" applyBorder="1" applyAlignment="1">
      <alignment horizontal="left" indent="1"/>
    </xf>
    <xf numFmtId="0" fontId="21" fillId="0" borderId="26" xfId="101" applyFont="1" applyBorder="1" applyAlignment="1">
      <alignment horizontal="center" vertical="center"/>
    </xf>
    <xf numFmtId="49" fontId="25" fillId="0" borderId="26" xfId="101" applyNumberFormat="1" applyFont="1" applyBorder="1" applyAlignment="1">
      <alignment horizontal="center" vertical="center"/>
    </xf>
    <xf numFmtId="0" fontId="21" fillId="0" borderId="3" xfId="101" applyFont="1" applyBorder="1" applyAlignment="1">
      <alignment horizontal="right" vertical="center"/>
    </xf>
    <xf numFmtId="0" fontId="15" fillId="0" borderId="0" xfId="101" applyFont="1" applyBorder="1" applyAlignment="1">
      <alignment horizontal="center" vertical="center" wrapText="1"/>
    </xf>
    <xf numFmtId="0" fontId="16" fillId="0" borderId="0" xfId="101" applyFont="1" applyFill="1" applyBorder="1" applyAlignment="1">
      <alignment horizontal="center" vertical="center"/>
    </xf>
    <xf numFmtId="0" fontId="21" fillId="0" borderId="0" xfId="101" applyFont="1" applyFill="1" applyBorder="1" applyAlignment="1">
      <alignment horizontal="left" vertical="center"/>
    </xf>
    <xf numFmtId="0" fontId="11" fillId="0" borderId="0" xfId="101" applyFont="1" applyFill="1" applyBorder="1" applyAlignment="1">
      <alignment horizontal="left" vertical="center"/>
    </xf>
    <xf numFmtId="0" fontId="21" fillId="71" borderId="3" xfId="101" applyFont="1" applyFill="1" applyBorder="1" applyAlignment="1">
      <alignment horizontal="center" vertical="center"/>
    </xf>
    <xf numFmtId="0" fontId="21" fillId="72" borderId="3" xfId="101" applyFont="1" applyFill="1" applyBorder="1" applyAlignment="1">
      <alignment horizontal="center"/>
    </xf>
    <xf numFmtId="0" fontId="0" fillId="73" borderId="0" xfId="0" applyFill="1" applyAlignment="1">
      <alignment horizontal="center"/>
    </xf>
    <xf numFmtId="0" fontId="0" fillId="24" borderId="23" xfId="0" applyFill="1" applyBorder="1" applyAlignment="1">
      <alignment horizontal="center"/>
    </xf>
    <xf numFmtId="0" fontId="7" fillId="0" borderId="35" xfId="0" applyFont="1" applyBorder="1" applyAlignment="1">
      <alignment vertical="center"/>
    </xf>
    <xf numFmtId="0" fontId="8" fillId="0" borderId="35" xfId="0" applyFont="1" applyBorder="1" applyAlignment="1">
      <alignment vertical="center"/>
    </xf>
    <xf numFmtId="0" fontId="0" fillId="0" borderId="14" xfId="0" applyBorder="1" applyAlignment="1">
      <alignment vertical="center"/>
    </xf>
    <xf numFmtId="0" fontId="8" fillId="20" borderId="3" xfId="0" applyFont="1" applyFill="1" applyBorder="1" applyAlignment="1">
      <alignment horizontal="right" vertical="center"/>
    </xf>
    <xf numFmtId="0" fontId="8" fillId="20" borderId="24" xfId="0" applyFont="1" applyFill="1" applyBorder="1" applyAlignment="1">
      <alignment vertical="center"/>
    </xf>
    <xf numFmtId="0" fontId="0" fillId="20" borderId="26" xfId="0" applyFill="1" applyBorder="1" applyAlignment="1">
      <alignment vertical="center"/>
    </xf>
    <xf numFmtId="0" fontId="18" fillId="20" borderId="24" xfId="0" applyFont="1" applyFill="1" applyBorder="1" applyAlignment="1">
      <alignment vertical="center"/>
    </xf>
    <xf numFmtId="0" fontId="7" fillId="0" borderId="24" xfId="0" applyFont="1" applyBorder="1" applyAlignment="1">
      <alignment vertical="center"/>
    </xf>
    <xf numFmtId="0" fontId="8" fillId="20" borderId="26" xfId="0" applyFont="1" applyFill="1" applyBorder="1" applyAlignment="1">
      <alignment horizontal="right" vertical="center"/>
    </xf>
    <xf numFmtId="0" fontId="7" fillId="20" borderId="24" xfId="0" applyFont="1" applyFill="1" applyBorder="1" applyAlignment="1">
      <alignment vertical="center"/>
    </xf>
    <xf numFmtId="0" fontId="0" fillId="20" borderId="26" xfId="0" applyFill="1" applyBorder="1" applyAlignment="1">
      <alignment horizontal="right" vertical="center"/>
    </xf>
    <xf numFmtId="0" fontId="0" fillId="20" borderId="24" xfId="0" applyFill="1" applyBorder="1" applyAlignment="1">
      <alignment vertical="center"/>
    </xf>
    <xf numFmtId="0" fontId="0" fillId="20" borderId="14" xfId="0" applyFill="1" applyBorder="1" applyAlignment="1">
      <alignment vertical="center"/>
    </xf>
    <xf numFmtId="0" fontId="11" fillId="0" borderId="3" xfId="0" applyFont="1" applyFill="1" applyBorder="1" applyAlignment="1">
      <alignment horizontal="center" vertical="center"/>
    </xf>
    <xf numFmtId="0" fontId="8" fillId="0" borderId="46" xfId="98" applyFont="1" applyBorder="1" applyAlignment="1">
      <alignment horizontal="right" vertical="center"/>
    </xf>
    <xf numFmtId="0" fontId="7" fillId="0" borderId="0" xfId="98" applyFont="1" applyBorder="1" applyAlignment="1">
      <alignment horizontal="right"/>
    </xf>
    <xf numFmtId="0" fontId="8" fillId="0" borderId="0" xfId="97" applyFont="1" applyAlignment="1">
      <alignment horizontal="center"/>
    </xf>
    <xf numFmtId="0" fontId="8" fillId="0" borderId="0" xfId="97" applyFont="1" applyAlignment="1">
      <alignment horizontal="right"/>
    </xf>
    <xf numFmtId="0" fontId="7" fillId="0" borderId="0" xfId="97" applyAlignment="1">
      <alignment horizontal="right"/>
    </xf>
    <xf numFmtId="0" fontId="21" fillId="0" borderId="0" xfId="97" applyFont="1" applyBorder="1" applyAlignment="1">
      <alignment horizontal="right" vertical="center"/>
    </xf>
    <xf numFmtId="0" fontId="21" fillId="0" borderId="0" xfId="97" applyNumberFormat="1" applyFont="1" applyBorder="1" applyAlignment="1">
      <alignment horizontal="right" vertical="center"/>
    </xf>
    <xf numFmtId="0" fontId="14" fillId="0" borderId="0" xfId="97" applyNumberFormat="1" applyFont="1" applyBorder="1" applyAlignment="1">
      <alignment horizontal="right" vertical="center"/>
    </xf>
    <xf numFmtId="0" fontId="14" fillId="0" borderId="44" xfId="97" applyFont="1" applyBorder="1" applyAlignment="1">
      <alignment horizontal="left" vertical="center"/>
    </xf>
    <xf numFmtId="0" fontId="7" fillId="0" borderId="44" xfId="97" applyFont="1" applyBorder="1" applyAlignment="1">
      <alignment horizontal="center" vertical="center"/>
    </xf>
    <xf numFmtId="0" fontId="7" fillId="0" borderId="0" xfId="97" applyFont="1" applyBorder="1" applyAlignment="1">
      <alignment horizontal="left" vertical="center"/>
    </xf>
    <xf numFmtId="0" fontId="7" fillId="0" borderId="0" xfId="97" applyNumberFormat="1" applyFont="1" applyBorder="1" applyAlignment="1">
      <alignment horizontal="center" vertical="center"/>
    </xf>
    <xf numFmtId="0" fontId="7" fillId="0" borderId="0" xfId="97" applyFont="1" applyBorder="1" applyAlignment="1">
      <alignment vertical="center"/>
    </xf>
    <xf numFmtId="0" fontId="7" fillId="0" borderId="0" xfId="97" applyFont="1" applyBorder="1" applyAlignment="1">
      <alignment horizontal="center" vertical="center"/>
    </xf>
    <xf numFmtId="0" fontId="7" fillId="0" borderId="43" xfId="97" applyFont="1" applyBorder="1"/>
    <xf numFmtId="0" fontId="8" fillId="0" borderId="0" xfId="97" applyFont="1" applyAlignment="1">
      <alignment horizontal="left"/>
    </xf>
    <xf numFmtId="0" fontId="128" fillId="0" borderId="0" xfId="97" applyFont="1"/>
    <xf numFmtId="0" fontId="7" fillId="0" borderId="0" xfId="97" applyFont="1" applyAlignment="1">
      <alignment horizontal="center"/>
    </xf>
    <xf numFmtId="0" fontId="7" fillId="0" borderId="35" xfId="97" applyFont="1" applyBorder="1"/>
    <xf numFmtId="167" fontId="7" fillId="0" borderId="3" xfId="97" applyNumberFormat="1" applyFont="1" applyBorder="1" applyAlignment="1">
      <alignment horizontal="center"/>
    </xf>
    <xf numFmtId="0" fontId="8" fillId="0" borderId="0" xfId="97" applyFont="1" applyBorder="1" applyAlignment="1">
      <alignment horizontal="center"/>
    </xf>
    <xf numFmtId="49" fontId="7" fillId="0" borderId="3" xfId="97" applyNumberFormat="1" applyBorder="1" applyAlignment="1">
      <alignment horizontal="center"/>
    </xf>
    <xf numFmtId="0" fontId="7" fillId="0" borderId="3" xfId="97" applyBorder="1" applyAlignment="1">
      <alignment horizontal="center"/>
    </xf>
    <xf numFmtId="0" fontId="8" fillId="0" borderId="3" xfId="97" applyFont="1" applyBorder="1" applyAlignment="1">
      <alignment horizontal="center"/>
    </xf>
    <xf numFmtId="0" fontId="8" fillId="0" borderId="69" xfId="97" applyFont="1" applyBorder="1" applyAlignment="1">
      <alignment horizontal="center"/>
    </xf>
    <xf numFmtId="0" fontId="8" fillId="0" borderId="3" xfId="97" applyFont="1" applyFill="1" applyBorder="1" applyAlignment="1">
      <alignment horizontal="center"/>
    </xf>
    <xf numFmtId="0" fontId="8" fillId="0" borderId="3" xfId="97" applyFont="1" applyBorder="1"/>
    <xf numFmtId="0" fontId="129" fillId="0" borderId="0" xfId="97" applyFont="1" applyBorder="1" applyAlignment="1">
      <alignment horizontal="right"/>
    </xf>
    <xf numFmtId="0" fontId="7" fillId="0" borderId="0" xfId="97" applyFont="1" applyBorder="1" applyAlignment="1">
      <alignment horizontal="left"/>
    </xf>
    <xf numFmtId="0" fontId="7" fillId="0" borderId="0" xfId="97" applyFill="1" applyBorder="1" applyAlignment="1">
      <alignment horizontal="right"/>
    </xf>
    <xf numFmtId="0" fontId="7" fillId="0" borderId="0" xfId="97" applyFont="1" applyAlignment="1">
      <alignment horizontal="right"/>
    </xf>
    <xf numFmtId="0" fontId="57" fillId="0" borderId="0" xfId="97" applyFont="1" applyBorder="1" applyAlignment="1">
      <alignment horizontal="right"/>
    </xf>
    <xf numFmtId="49" fontId="7" fillId="0" borderId="33" xfId="97" applyNumberFormat="1" applyBorder="1" applyAlignment="1">
      <alignment horizontal="center"/>
    </xf>
    <xf numFmtId="0" fontId="7" fillId="0" borderId="0" xfId="97" applyFont="1" applyBorder="1"/>
    <xf numFmtId="0" fontId="7" fillId="0" borderId="3" xfId="97" applyBorder="1"/>
    <xf numFmtId="0" fontId="7" fillId="0" borderId="0" xfId="97" applyFont="1"/>
    <xf numFmtId="0" fontId="8" fillId="0" borderId="69" xfId="97" applyFont="1" applyFill="1" applyBorder="1" applyAlignment="1">
      <alignment horizontal="center"/>
    </xf>
    <xf numFmtId="0" fontId="57" fillId="0" borderId="0" xfId="97" applyFont="1" applyAlignment="1">
      <alignment horizontal="right"/>
    </xf>
    <xf numFmtId="0" fontId="8" fillId="0" borderId="0" xfId="97" applyFont="1" applyFill="1" applyBorder="1" applyAlignment="1">
      <alignment horizontal="center"/>
    </xf>
    <xf numFmtId="0" fontId="8" fillId="0" borderId="0" xfId="97" applyFont="1" applyBorder="1"/>
    <xf numFmtId="0" fontId="7" fillId="0" borderId="0" xfId="97" applyBorder="1" applyAlignment="1">
      <alignment horizontal="center"/>
    </xf>
    <xf numFmtId="1" fontId="8" fillId="0" borderId="3" xfId="97" applyNumberFormat="1" applyFont="1" applyBorder="1" applyAlignment="1">
      <alignment horizontal="center"/>
    </xf>
    <xf numFmtId="1" fontId="8" fillId="0" borderId="3" xfId="97" applyNumberFormat="1" applyFont="1" applyFill="1" applyBorder="1" applyAlignment="1">
      <alignment horizontal="center"/>
    </xf>
    <xf numFmtId="0" fontId="8" fillId="0" borderId="24" xfId="97" applyFont="1" applyBorder="1" applyAlignment="1">
      <alignment horizontal="center"/>
    </xf>
    <xf numFmtId="0" fontId="7" fillId="0" borderId="26" xfId="97" applyBorder="1"/>
    <xf numFmtId="0" fontId="8" fillId="41" borderId="14" xfId="97" applyFont="1" applyFill="1" applyBorder="1" applyAlignment="1">
      <alignment horizontal="center"/>
    </xf>
    <xf numFmtId="0" fontId="7" fillId="42" borderId="0" xfId="97" applyFill="1" applyAlignment="1">
      <alignment horizontal="left"/>
    </xf>
    <xf numFmtId="2" fontId="7" fillId="0" borderId="44" xfId="97" applyNumberFormat="1" applyFont="1" applyBorder="1" applyAlignment="1">
      <alignment horizontal="center"/>
    </xf>
    <xf numFmtId="0" fontId="130" fillId="0" borderId="0" xfId="97" applyFont="1" applyAlignment="1">
      <alignment horizontal="right"/>
    </xf>
    <xf numFmtId="0" fontId="53" fillId="0" borderId="0" xfId="97" applyFont="1" applyAlignment="1">
      <alignment horizontal="center"/>
    </xf>
    <xf numFmtId="0" fontId="68" fillId="0" borderId="0" xfId="97" applyFont="1" applyAlignment="1">
      <alignment horizontal="center"/>
    </xf>
    <xf numFmtId="0" fontId="130" fillId="0" borderId="0" xfId="97" applyFont="1" applyBorder="1" applyAlignment="1">
      <alignment horizontal="right"/>
    </xf>
    <xf numFmtId="2" fontId="7" fillId="0" borderId="0" xfId="97" applyNumberFormat="1" applyBorder="1" applyAlignment="1">
      <alignment horizontal="center"/>
    </xf>
    <xf numFmtId="0" fontId="131" fillId="0" borderId="0" xfId="97" applyFont="1" applyAlignment="1">
      <alignment horizontal="center"/>
    </xf>
    <xf numFmtId="0" fontId="132" fillId="0" borderId="0" xfId="97" applyFont="1" applyBorder="1" applyAlignment="1">
      <alignment horizontal="right"/>
    </xf>
    <xf numFmtId="0" fontId="131" fillId="0" borderId="0" xfId="97" applyFont="1" applyBorder="1" applyAlignment="1">
      <alignment horizontal="center"/>
    </xf>
    <xf numFmtId="0" fontId="7" fillId="0" borderId="0" xfId="97" applyBorder="1" applyAlignment="1">
      <alignment horizontal="left"/>
    </xf>
    <xf numFmtId="0" fontId="7" fillId="0" borderId="35" xfId="97" applyFont="1" applyBorder="1" applyAlignment="1">
      <alignment horizontal="right"/>
    </xf>
    <xf numFmtId="0" fontId="7" fillId="0" borderId="69" xfId="97" applyBorder="1" applyAlignment="1">
      <alignment horizontal="center"/>
    </xf>
    <xf numFmtId="0" fontId="7" fillId="0" borderId="35" xfId="97" applyBorder="1" applyAlignment="1">
      <alignment horizontal="right"/>
    </xf>
    <xf numFmtId="0" fontId="7" fillId="0" borderId="23" xfId="97" applyBorder="1" applyAlignment="1">
      <alignment horizontal="center"/>
    </xf>
    <xf numFmtId="0" fontId="7" fillId="0" borderId="37" xfId="97" applyBorder="1" applyAlignment="1">
      <alignment horizontal="center"/>
    </xf>
    <xf numFmtId="0" fontId="7" fillId="0" borderId="37" xfId="97" applyBorder="1" applyAlignment="1">
      <alignment horizontal="left"/>
    </xf>
    <xf numFmtId="0" fontId="7" fillId="0" borderId="44" xfId="97" applyBorder="1" applyAlignment="1">
      <alignment horizontal="center"/>
    </xf>
    <xf numFmtId="0" fontId="7" fillId="0" borderId="43" xfId="97" applyBorder="1" applyAlignment="1">
      <alignment horizontal="center"/>
    </xf>
    <xf numFmtId="0" fontId="7" fillId="0" borderId="44" xfId="97" applyFont="1" applyBorder="1" applyAlignment="1">
      <alignment horizontal="center"/>
    </xf>
    <xf numFmtId="0" fontId="53" fillId="0" borderId="0" xfId="97" applyFont="1" applyBorder="1" applyAlignment="1">
      <alignment horizontal="center"/>
    </xf>
    <xf numFmtId="2" fontId="7" fillId="0" borderId="35" xfId="97" applyNumberFormat="1" applyBorder="1" applyAlignment="1">
      <alignment horizontal="center"/>
    </xf>
    <xf numFmtId="1" fontId="7" fillId="0" borderId="0" xfId="97" applyNumberFormat="1" applyBorder="1" applyAlignment="1">
      <alignment horizontal="center"/>
    </xf>
    <xf numFmtId="214" fontId="7" fillId="0" borderId="0" xfId="97" applyNumberFormat="1" applyAlignment="1">
      <alignment horizontal="left"/>
    </xf>
    <xf numFmtId="0" fontId="34" fillId="0" borderId="35" xfId="97" applyFont="1" applyBorder="1"/>
    <xf numFmtId="215" fontId="7" fillId="0" borderId="0" xfId="97" applyNumberFormat="1" applyAlignment="1">
      <alignment horizontal="left"/>
    </xf>
    <xf numFmtId="215" fontId="7" fillId="0" borderId="35" xfId="97" applyNumberFormat="1" applyFont="1" applyBorder="1" applyAlignment="1">
      <alignment horizontal="left"/>
    </xf>
    <xf numFmtId="215" fontId="7" fillId="0" borderId="35" xfId="97" applyNumberFormat="1" applyBorder="1"/>
    <xf numFmtId="215" fontId="7" fillId="0" borderId="0" xfId="97" applyNumberFormat="1"/>
    <xf numFmtId="0" fontId="7" fillId="35" borderId="0" xfId="97" applyFill="1"/>
    <xf numFmtId="0" fontId="7" fillId="0" borderId="0" xfId="97" applyFont="1" applyFill="1" applyBorder="1" applyAlignment="1">
      <alignment horizontal="left"/>
    </xf>
    <xf numFmtId="215" fontId="7" fillId="0" borderId="0" xfId="97" applyNumberFormat="1" applyFont="1"/>
    <xf numFmtId="0" fontId="8" fillId="32" borderId="3" xfId="97" applyFont="1" applyFill="1" applyBorder="1" applyAlignment="1">
      <alignment horizontal="center"/>
    </xf>
    <xf numFmtId="0" fontId="8" fillId="0" borderId="0" xfId="97" applyFont="1" applyAlignment="1">
      <alignment vertical="center" wrapText="1"/>
    </xf>
    <xf numFmtId="0" fontId="130" fillId="0" borderId="0" xfId="97" applyFont="1" applyAlignment="1">
      <alignment horizontal="center"/>
    </xf>
    <xf numFmtId="0" fontId="130" fillId="0" borderId="0" xfId="97" applyFont="1" applyBorder="1" applyAlignment="1">
      <alignment horizontal="center"/>
    </xf>
    <xf numFmtId="0" fontId="133" fillId="0" borderId="0" xfId="97" applyFont="1" applyAlignment="1">
      <alignment horizontal="right"/>
    </xf>
    <xf numFmtId="0" fontId="8" fillId="22" borderId="3" xfId="97" applyFont="1" applyFill="1" applyBorder="1" applyAlignment="1">
      <alignment horizontal="center"/>
    </xf>
    <xf numFmtId="0" fontId="130" fillId="0" borderId="0" xfId="97" applyFont="1" applyBorder="1" applyAlignment="1">
      <alignment wrapText="1"/>
    </xf>
    <xf numFmtId="2" fontId="7" fillId="0" borderId="37" xfId="97" applyNumberFormat="1" applyBorder="1" applyAlignment="1">
      <alignment horizontal="center"/>
    </xf>
    <xf numFmtId="2" fontId="7" fillId="0" borderId="36" xfId="97" applyNumberFormat="1" applyBorder="1" applyAlignment="1">
      <alignment horizontal="center"/>
    </xf>
    <xf numFmtId="2" fontId="7" fillId="0" borderId="0" xfId="97" applyNumberFormat="1"/>
    <xf numFmtId="216" fontId="8" fillId="0" borderId="3" xfId="97" applyNumberFormat="1" applyFont="1" applyBorder="1" applyAlignment="1">
      <alignment horizontal="center"/>
    </xf>
    <xf numFmtId="0" fontId="7" fillId="0" borderId="46" xfId="97" applyBorder="1" applyAlignment="1">
      <alignment horizontal="right"/>
    </xf>
    <xf numFmtId="0" fontId="7" fillId="0" borderId="46" xfId="97" applyFont="1" applyBorder="1"/>
    <xf numFmtId="167" fontId="8" fillId="0" borderId="3" xfId="97" applyNumberFormat="1" applyFont="1" applyBorder="1" applyAlignment="1">
      <alignment horizontal="center"/>
    </xf>
    <xf numFmtId="0" fontId="130" fillId="0" borderId="37" xfId="97" applyFont="1" applyBorder="1" applyAlignment="1">
      <alignment horizontal="right"/>
    </xf>
    <xf numFmtId="0" fontId="7" fillId="0" borderId="0" xfId="97" applyFill="1"/>
    <xf numFmtId="0" fontId="7" fillId="0" borderId="0" xfId="97" applyFont="1" applyFill="1"/>
    <xf numFmtId="0" fontId="7" fillId="0" borderId="0" xfId="97" applyFont="1" applyFill="1" applyBorder="1" applyAlignment="1">
      <alignment horizontal="center"/>
    </xf>
    <xf numFmtId="0" fontId="7" fillId="0" borderId="3" xfId="97" applyFont="1" applyFill="1" applyBorder="1" applyAlignment="1">
      <alignment horizontal="center"/>
    </xf>
    <xf numFmtId="0" fontId="7" fillId="0" borderId="3" xfId="97" applyFill="1" applyBorder="1" applyAlignment="1">
      <alignment horizontal="center"/>
    </xf>
    <xf numFmtId="0" fontId="7" fillId="0" borderId="24" xfId="97" applyFill="1" applyBorder="1" applyAlignment="1">
      <alignment horizontal="center"/>
    </xf>
    <xf numFmtId="0" fontId="7" fillId="0" borderId="0" xfId="97" applyFont="1" applyFill="1" applyBorder="1"/>
    <xf numFmtId="1" fontId="7" fillId="0" borderId="3" xfId="97" applyNumberFormat="1" applyFill="1" applyBorder="1" applyAlignment="1">
      <alignment horizontal="center"/>
    </xf>
    <xf numFmtId="0" fontId="8" fillId="0" borderId="24" xfId="0" applyFont="1" applyBorder="1" applyAlignment="1">
      <alignment vertical="center"/>
    </xf>
    <xf numFmtId="0" fontId="7" fillId="0" borderId="35" xfId="0" applyFont="1" applyBorder="1" applyAlignment="1">
      <alignment horizontal="left" vertical="center"/>
    </xf>
    <xf numFmtId="49" fontId="7" fillId="0" borderId="0" xfId="0" applyNumberFormat="1" applyFont="1" applyFill="1"/>
    <xf numFmtId="0" fontId="7" fillId="0" borderId="0" xfId="97" applyAlignment="1">
      <alignment horizontal="left" vertical="center"/>
    </xf>
    <xf numFmtId="0" fontId="135" fillId="0" borderId="0" xfId="97" applyFont="1" applyAlignment="1">
      <alignment vertical="center"/>
    </xf>
    <xf numFmtId="49" fontId="11" fillId="0" borderId="14" xfId="97" applyNumberFormat="1" applyFont="1" applyFill="1" applyBorder="1" applyAlignment="1">
      <alignment horizontal="left" vertical="center"/>
    </xf>
    <xf numFmtId="198" fontId="21" fillId="0" borderId="3" xfId="97" applyNumberFormat="1" applyFont="1" applyBorder="1" applyAlignment="1">
      <alignment vertical="center"/>
    </xf>
    <xf numFmtId="0" fontId="8" fillId="0" borderId="0" xfId="97" applyFont="1" applyAlignment="1">
      <alignment horizontal="right" vertical="center"/>
    </xf>
    <xf numFmtId="218" fontId="7" fillId="0" borderId="0" xfId="97" applyNumberFormat="1" applyAlignment="1">
      <alignment horizontal="left" vertical="center"/>
    </xf>
    <xf numFmtId="219" fontId="7" fillId="0" borderId="0" xfId="97" applyNumberFormat="1" applyAlignment="1">
      <alignment horizontal="left" vertical="center"/>
    </xf>
    <xf numFmtId="220" fontId="7" fillId="0" borderId="0" xfId="97" applyNumberFormat="1" applyAlignment="1">
      <alignment horizontal="left" vertical="center"/>
    </xf>
    <xf numFmtId="0" fontId="7" fillId="56" borderId="0" xfId="0" applyFont="1" applyFill="1" applyBorder="1"/>
    <xf numFmtId="0" fontId="7" fillId="0" borderId="0" xfId="97" applyFill="1" applyBorder="1" applyAlignment="1">
      <alignment vertical="center"/>
    </xf>
    <xf numFmtId="0" fontId="7" fillId="0" borderId="11" xfId="97" applyFill="1" applyBorder="1" applyAlignment="1">
      <alignment vertical="center"/>
    </xf>
    <xf numFmtId="0" fontId="14" fillId="0" borderId="0" xfId="97" applyFont="1" applyFill="1" applyBorder="1" applyAlignment="1">
      <alignment horizontal="right" vertical="center"/>
    </xf>
    <xf numFmtId="0" fontId="14" fillId="0" borderId="0" xfId="97" applyFont="1" applyFill="1" applyBorder="1" applyAlignment="1">
      <alignment horizontal="left" vertical="center"/>
    </xf>
    <xf numFmtId="0" fontId="21" fillId="0" borderId="0" xfId="97" applyFont="1" applyFill="1" applyBorder="1" applyAlignment="1">
      <alignment vertical="center"/>
    </xf>
    <xf numFmtId="0" fontId="14" fillId="0" borderId="11" xfId="97" applyFont="1" applyFill="1" applyBorder="1" applyAlignment="1">
      <alignment horizontal="left" vertical="center"/>
    </xf>
    <xf numFmtId="0" fontId="21" fillId="0" borderId="14" xfId="97" applyNumberFormat="1" applyFont="1" applyBorder="1" applyAlignment="1">
      <alignment horizontal="left" vertical="center"/>
    </xf>
    <xf numFmtId="49" fontId="14" fillId="0" borderId="0" xfId="0" applyNumberFormat="1" applyFont="1" applyFill="1" applyBorder="1" applyAlignment="1">
      <alignment horizontal="center"/>
    </xf>
    <xf numFmtId="49" fontId="21" fillId="0" borderId="0" xfId="0" applyNumberFormat="1" applyFont="1" applyFill="1" applyBorder="1" applyAlignment="1">
      <alignment horizontal="center"/>
    </xf>
    <xf numFmtId="49" fontId="14" fillId="0" borderId="15" xfId="0" applyNumberFormat="1" applyFont="1" applyBorder="1" applyAlignment="1">
      <alignment horizontal="center"/>
    </xf>
    <xf numFmtId="49" fontId="14" fillId="0" borderId="0" xfId="0" applyNumberFormat="1" applyFont="1" applyAlignment="1">
      <alignment horizontal="center"/>
    </xf>
    <xf numFmtId="0" fontId="53" fillId="0" borderId="0" xfId="97" applyFont="1" applyAlignment="1">
      <alignment horizontal="center" vertical="center" wrapText="1"/>
    </xf>
    <xf numFmtId="0" fontId="7" fillId="70" borderId="0" xfId="0" applyFont="1" applyFill="1" applyAlignment="1">
      <alignment horizontal="center" vertical="center" wrapText="1"/>
    </xf>
    <xf numFmtId="0" fontId="14" fillId="0" borderId="0" xfId="96" applyFont="1" applyBorder="1" applyAlignment="1">
      <alignment horizontal="center" vertical="center" textRotation="90" wrapText="1"/>
    </xf>
    <xf numFmtId="49" fontId="14" fillId="28" borderId="3" xfId="0" applyNumberFormat="1" applyFont="1" applyFill="1" applyBorder="1" applyAlignment="1">
      <alignment horizontal="left"/>
    </xf>
    <xf numFmtId="0" fontId="14" fillId="28" borderId="3" xfId="0" applyFont="1" applyFill="1" applyBorder="1"/>
    <xf numFmtId="0" fontId="53" fillId="70" borderId="0" xfId="97" applyFont="1" applyFill="1" applyAlignment="1">
      <alignment horizontal="center" vertical="center"/>
    </xf>
    <xf numFmtId="0" fontId="12" fillId="0" borderId="0" xfId="97" applyFont="1" applyFill="1" applyAlignment="1">
      <alignment horizontal="center" vertical="center"/>
    </xf>
    <xf numFmtId="0" fontId="53" fillId="0" borderId="0" xfId="97" applyFont="1" applyFill="1" applyAlignment="1">
      <alignment horizontal="center" vertical="center"/>
    </xf>
    <xf numFmtId="0" fontId="7" fillId="0" borderId="0" xfId="97" applyFont="1" applyFill="1" applyAlignment="1">
      <alignment horizontal="left" vertical="center" wrapText="1"/>
    </xf>
    <xf numFmtId="165" fontId="7" fillId="0" borderId="0" xfId="97" applyNumberFormat="1" applyFont="1" applyFill="1" applyAlignment="1">
      <alignment horizontal="center" vertical="center"/>
    </xf>
    <xf numFmtId="190" fontId="7" fillId="0" borderId="0" xfId="97" applyNumberFormat="1" applyFont="1" applyFill="1" applyAlignment="1">
      <alignment horizontal="center" vertical="center" wrapText="1"/>
    </xf>
    <xf numFmtId="189" fontId="7" fillId="0" borderId="0" xfId="97" applyNumberFormat="1" applyFont="1" applyFill="1" applyAlignment="1">
      <alignment horizontal="center" vertical="center" wrapText="1"/>
    </xf>
    <xf numFmtId="165" fontId="7" fillId="0" borderId="0" xfId="97" applyNumberFormat="1" applyFont="1" applyFill="1" applyAlignment="1">
      <alignment horizontal="center" vertical="center" wrapText="1"/>
    </xf>
    <xf numFmtId="0" fontId="7" fillId="0" borderId="0" xfId="0" applyFont="1" applyFill="1" applyAlignment="1">
      <alignment horizontal="center" vertical="center" wrapText="1"/>
    </xf>
    <xf numFmtId="1" fontId="7" fillId="0" borderId="0" xfId="97" applyNumberFormat="1" applyFont="1" applyFill="1" applyAlignment="1">
      <alignment horizontal="center" vertical="center"/>
    </xf>
    <xf numFmtId="49" fontId="7" fillId="0" borderId="0" xfId="97" applyNumberFormat="1" applyFont="1" applyFill="1" applyAlignment="1">
      <alignment horizontal="center" vertical="center"/>
    </xf>
    <xf numFmtId="0" fontId="152" fillId="0" borderId="0" xfId="97" applyFont="1" applyFill="1" applyAlignment="1">
      <alignment horizontal="left" vertical="center"/>
    </xf>
    <xf numFmtId="0" fontId="54" fillId="0" borderId="23" xfId="97" applyFont="1" applyFill="1" applyBorder="1" applyAlignment="1">
      <alignment horizontal="center" vertical="center"/>
    </xf>
    <xf numFmtId="0" fontId="7" fillId="0" borderId="23" xfId="97" applyFont="1" applyFill="1" applyBorder="1" applyAlignment="1">
      <alignment horizontal="center" vertical="center"/>
    </xf>
    <xf numFmtId="189" fontId="7" fillId="0" borderId="0" xfId="97" applyNumberFormat="1" applyFill="1" applyAlignment="1">
      <alignment horizontal="center" vertical="center"/>
    </xf>
    <xf numFmtId="0" fontId="7" fillId="0" borderId="0" xfId="97" applyFill="1" applyAlignment="1">
      <alignment horizontal="center" vertical="center"/>
    </xf>
    <xf numFmtId="165" fontId="7" fillId="0" borderId="0" xfId="97" applyNumberFormat="1" applyFill="1" applyAlignment="1">
      <alignment horizontal="center" vertical="center"/>
    </xf>
    <xf numFmtId="190" fontId="7" fillId="0" borderId="0" xfId="97" applyNumberFormat="1" applyFill="1" applyAlignment="1">
      <alignment horizontal="center" vertical="center"/>
    </xf>
    <xf numFmtId="165" fontId="7" fillId="0" borderId="0" xfId="97" applyNumberFormat="1" applyFill="1" applyAlignment="1">
      <alignment horizontal="right" vertical="center"/>
    </xf>
    <xf numFmtId="0" fontId="8" fillId="70" borderId="0" xfId="97" applyFont="1" applyFill="1" applyAlignment="1">
      <alignment horizontal="center" vertical="center"/>
    </xf>
    <xf numFmtId="0" fontId="8" fillId="70" borderId="0" xfId="97" applyFont="1" applyFill="1" applyBorder="1" applyAlignment="1">
      <alignment horizontal="center" vertical="center"/>
    </xf>
    <xf numFmtId="1" fontId="7" fillId="70" borderId="0" xfId="97" applyNumberFormat="1" applyFont="1" applyFill="1" applyAlignment="1">
      <alignment horizontal="center" vertical="center"/>
    </xf>
    <xf numFmtId="0" fontId="8" fillId="75" borderId="0" xfId="97" applyFont="1" applyFill="1" applyAlignment="1">
      <alignment horizontal="center" vertical="center"/>
    </xf>
    <xf numFmtId="0" fontId="7" fillId="75" borderId="0" xfId="97" applyFont="1" applyFill="1" applyAlignment="1">
      <alignment horizontal="center" vertical="center"/>
    </xf>
    <xf numFmtId="0" fontId="7" fillId="75" borderId="0" xfId="97" applyFont="1" applyFill="1" applyBorder="1" applyAlignment="1">
      <alignment horizontal="center" vertical="center"/>
    </xf>
    <xf numFmtId="0" fontId="7" fillId="56" borderId="0" xfId="97" applyFont="1" applyFill="1" applyAlignment="1">
      <alignment horizontal="center" vertical="center"/>
    </xf>
    <xf numFmtId="0" fontId="7" fillId="51" borderId="0" xfId="0" applyFont="1" applyFill="1"/>
    <xf numFmtId="199" fontId="7" fillId="22" borderId="3" xfId="0" applyNumberFormat="1" applyFont="1" applyFill="1" applyBorder="1" applyAlignment="1">
      <alignment horizontal="center" vertical="center"/>
    </xf>
    <xf numFmtId="0" fontId="7" fillId="0" borderId="0" xfId="0" applyNumberFormat="1" applyFont="1" applyAlignment="1">
      <alignment horizontal="center"/>
    </xf>
    <xf numFmtId="0" fontId="8" fillId="0" borderId="37" xfId="98" applyFont="1" applyFill="1" applyBorder="1" applyAlignment="1">
      <alignment horizontal="center"/>
    </xf>
    <xf numFmtId="49" fontId="0" fillId="59" borderId="3" xfId="0" applyNumberFormat="1" applyFill="1" applyBorder="1" applyAlignment="1">
      <alignment horizontal="center"/>
    </xf>
    <xf numFmtId="221" fontId="21" fillId="0" borderId="49" xfId="98" applyNumberFormat="1" applyFont="1" applyFill="1" applyBorder="1" applyAlignment="1">
      <alignment horizontal="center" vertical="center"/>
    </xf>
    <xf numFmtId="0" fontId="7" fillId="0" borderId="69" xfId="0" applyFont="1" applyBorder="1" applyAlignment="1">
      <alignment horizontal="center" vertical="center"/>
    </xf>
    <xf numFmtId="0" fontId="8" fillId="0" borderId="14" xfId="0" applyFont="1" applyBorder="1" applyAlignment="1">
      <alignment horizontal="center" vertical="center"/>
    </xf>
    <xf numFmtId="0" fontId="24" fillId="0" borderId="0" xfId="97" applyFont="1" applyAlignment="1">
      <alignment vertical="center"/>
    </xf>
    <xf numFmtId="0" fontId="8" fillId="56" borderId="13" xfId="0" applyFont="1" applyFill="1" applyBorder="1" applyAlignment="1">
      <alignment horizontal="center"/>
    </xf>
    <xf numFmtId="0" fontId="0" fillId="43" borderId="69" xfId="0" applyFill="1" applyBorder="1" applyAlignment="1">
      <alignment vertical="center"/>
    </xf>
    <xf numFmtId="0" fontId="0" fillId="0" borderId="69" xfId="0" applyBorder="1" applyAlignment="1">
      <alignment vertical="center"/>
    </xf>
    <xf numFmtId="0" fontId="7" fillId="0" borderId="26" xfId="0" applyFont="1" applyBorder="1" applyAlignment="1">
      <alignment horizontal="center" vertical="center"/>
    </xf>
    <xf numFmtId="0" fontId="0" fillId="67" borderId="69" xfId="0" applyFill="1" applyBorder="1" applyAlignment="1">
      <alignment horizontal="center" vertical="center"/>
    </xf>
    <xf numFmtId="0" fontId="0" fillId="0" borderId="69" xfId="0" applyBorder="1" applyAlignment="1">
      <alignment horizontal="right" vertical="center"/>
    </xf>
    <xf numFmtId="0" fontId="0" fillId="67" borderId="69" xfId="0" applyFill="1" applyBorder="1" applyAlignment="1">
      <alignment horizontal="right" vertical="center"/>
    </xf>
    <xf numFmtId="0" fontId="8" fillId="0" borderId="69" xfId="0" applyFont="1" applyBorder="1" applyAlignment="1">
      <alignment vertical="center"/>
    </xf>
    <xf numFmtId="0" fontId="8" fillId="0" borderId="46" xfId="0" applyFont="1" applyBorder="1" applyAlignment="1">
      <alignment horizontal="center" vertical="center"/>
    </xf>
    <xf numFmtId="0" fontId="0" fillId="0" borderId="23" xfId="0" applyBorder="1" applyAlignment="1">
      <alignment vertical="center"/>
    </xf>
    <xf numFmtId="0" fontId="0" fillId="0" borderId="23" xfId="0" applyBorder="1" applyAlignment="1">
      <alignment horizontal="right" vertical="center"/>
    </xf>
    <xf numFmtId="0" fontId="8" fillId="0" borderId="23" xfId="0" applyFont="1" applyBorder="1" applyAlignment="1">
      <alignment vertical="center"/>
    </xf>
    <xf numFmtId="0" fontId="0" fillId="0" borderId="46" xfId="0" applyBorder="1" applyAlignment="1">
      <alignment vertical="center"/>
    </xf>
    <xf numFmtId="0" fontId="7" fillId="46" borderId="3" xfId="0" applyFont="1" applyFill="1" applyBorder="1" applyAlignment="1">
      <alignment horizontal="center" vertical="center"/>
    </xf>
    <xf numFmtId="0" fontId="135" fillId="59" borderId="3" xfId="0" applyFont="1" applyFill="1" applyBorder="1" applyAlignment="1">
      <alignment horizontal="left" vertical="center"/>
    </xf>
    <xf numFmtId="0" fontId="135" fillId="0" borderId="0" xfId="0" applyFont="1" applyFill="1" applyAlignment="1">
      <alignment horizontal="center"/>
    </xf>
    <xf numFmtId="0" fontId="11" fillId="0" borderId="0" xfId="97" applyFont="1" applyAlignment="1">
      <alignment vertical="center" wrapText="1"/>
    </xf>
    <xf numFmtId="0" fontId="11" fillId="0" borderId="0" xfId="97" applyFont="1" applyAlignment="1">
      <alignment vertical="center"/>
    </xf>
    <xf numFmtId="172" fontId="11" fillId="0" borderId="14" xfId="97" applyNumberFormat="1" applyFont="1" applyFill="1" applyBorder="1" applyAlignment="1" applyProtection="1">
      <alignment horizontal="left" vertical="center"/>
      <protection locked="0"/>
    </xf>
    <xf numFmtId="0" fontId="7" fillId="0" borderId="0" xfId="97" applyFont="1" applyAlignment="1">
      <alignment vertical="center"/>
    </xf>
    <xf numFmtId="0" fontId="24" fillId="0" borderId="0" xfId="97" applyFont="1"/>
    <xf numFmtId="0" fontId="11" fillId="0" borderId="3" xfId="97" applyFont="1" applyFill="1" applyBorder="1" applyAlignment="1" applyProtection="1">
      <alignment horizontal="center" vertical="center"/>
      <protection locked="0"/>
    </xf>
    <xf numFmtId="0" fontId="14" fillId="0" borderId="0" xfId="97" applyFont="1" applyAlignment="1">
      <alignment vertical="center"/>
    </xf>
    <xf numFmtId="169" fontId="21" fillId="0" borderId="0" xfId="97" applyNumberFormat="1" applyFont="1" applyFill="1" applyBorder="1" applyAlignment="1">
      <alignment vertical="center"/>
    </xf>
    <xf numFmtId="0" fontId="14" fillId="0" borderId="0" xfId="97" applyFont="1"/>
    <xf numFmtId="0" fontId="24" fillId="0" borderId="0" xfId="97" applyFont="1" applyFill="1" applyBorder="1" applyAlignment="1">
      <alignment vertical="center"/>
    </xf>
    <xf numFmtId="169" fontId="11" fillId="0" borderId="3" xfId="97" applyNumberFormat="1" applyFont="1" applyBorder="1" applyAlignment="1">
      <alignment horizontal="center" vertical="center"/>
    </xf>
    <xf numFmtId="173" fontId="14" fillId="0" borderId="0" xfId="97" applyNumberFormat="1" applyFont="1" applyAlignment="1">
      <alignment horizontal="left" vertical="center"/>
    </xf>
    <xf numFmtId="0" fontId="14" fillId="0" borderId="0" xfId="97" applyFont="1" applyBorder="1" applyAlignment="1">
      <alignment horizontal="center" vertical="center" textRotation="90" wrapText="1"/>
    </xf>
    <xf numFmtId="19" fontId="11" fillId="0" borderId="0" xfId="97" applyNumberFormat="1" applyFont="1" applyFill="1" applyBorder="1" applyAlignment="1">
      <alignment horizontal="center" vertical="center"/>
    </xf>
    <xf numFmtId="0" fontId="11" fillId="0" borderId="0" xfId="97" applyFont="1" applyFill="1" applyBorder="1" applyAlignment="1">
      <alignment horizontal="center" vertical="center"/>
    </xf>
    <xf numFmtId="169" fontId="11" fillId="0" borderId="0" xfId="97" applyNumberFormat="1" applyFont="1" applyBorder="1" applyAlignment="1">
      <alignment horizontal="center" vertical="center"/>
    </xf>
    <xf numFmtId="0" fontId="24" fillId="0" borderId="0" xfId="97" applyFont="1" applyAlignment="1">
      <alignment horizontal="right" vertical="center"/>
    </xf>
    <xf numFmtId="0" fontId="55" fillId="0" borderId="0" xfId="97" applyFont="1" applyFill="1" applyBorder="1" applyAlignment="1">
      <alignment vertical="center"/>
    </xf>
    <xf numFmtId="0" fontId="24" fillId="0" borderId="0" xfId="97" applyFont="1" applyFill="1" applyBorder="1" applyAlignment="1">
      <alignment horizontal="center" vertical="center"/>
    </xf>
    <xf numFmtId="0" fontId="21" fillId="0" borderId="3" xfId="97" applyFont="1" applyFill="1" applyBorder="1" applyAlignment="1">
      <alignment horizontal="center" vertical="center"/>
    </xf>
    <xf numFmtId="0" fontId="21" fillId="0" borderId="3" xfId="97" applyNumberFormat="1" applyFont="1" applyFill="1" applyBorder="1" applyAlignment="1">
      <alignment horizontal="center" vertical="center"/>
    </xf>
    <xf numFmtId="175" fontId="21" fillId="0" borderId="3" xfId="70" applyNumberFormat="1" applyFont="1" applyFill="1" applyBorder="1" applyAlignment="1" applyProtection="1">
      <alignment horizontal="center" vertical="center"/>
      <protection locked="0"/>
    </xf>
    <xf numFmtId="2" fontId="11" fillId="0" borderId="0" xfId="97" applyNumberFormat="1" applyFont="1" applyFill="1" applyBorder="1" applyAlignment="1">
      <alignment vertical="center" wrapText="1"/>
    </xf>
    <xf numFmtId="1" fontId="11" fillId="0" borderId="3" xfId="97" applyNumberFormat="1" applyFont="1" applyFill="1" applyBorder="1" applyAlignment="1">
      <alignment horizontal="center" vertical="center"/>
    </xf>
    <xf numFmtId="178" fontId="21" fillId="0" borderId="3" xfId="97" applyNumberFormat="1" applyFont="1" applyFill="1" applyBorder="1" applyAlignment="1">
      <alignment horizontal="center" vertical="center"/>
    </xf>
    <xf numFmtId="1" fontId="155" fillId="0" borderId="3" xfId="97" applyNumberFormat="1" applyFont="1" applyFill="1" applyBorder="1" applyAlignment="1">
      <alignment horizontal="center" vertical="center"/>
    </xf>
    <xf numFmtId="0" fontId="11" fillId="0" borderId="3" xfId="97" applyNumberFormat="1" applyFont="1" applyFill="1" applyBorder="1" applyAlignment="1" applyProtection="1">
      <alignment horizontal="center" vertical="center"/>
      <protection locked="0"/>
    </xf>
    <xf numFmtId="0" fontId="0" fillId="67" borderId="0" xfId="0" applyFill="1" applyBorder="1" applyAlignment="1">
      <alignment horizontal="center" vertical="center"/>
    </xf>
    <xf numFmtId="0" fontId="0" fillId="67" borderId="37" xfId="0" applyFill="1" applyBorder="1" applyAlignment="1">
      <alignment horizontal="center" vertical="center"/>
    </xf>
    <xf numFmtId="17" fontId="12" fillId="0" borderId="0" xfId="97" applyNumberFormat="1" applyFont="1" applyFill="1" applyAlignment="1">
      <alignment horizontal="center" vertical="center"/>
    </xf>
    <xf numFmtId="0" fontId="0" fillId="0" borderId="37" xfId="0" applyFill="1" applyBorder="1" applyAlignment="1">
      <alignment horizontal="center" vertical="center"/>
    </xf>
    <xf numFmtId="0" fontId="7" fillId="0" borderId="0" xfId="97" applyFill="1" applyAlignment="1">
      <alignment horizontal="center" vertical="center" wrapText="1"/>
    </xf>
    <xf numFmtId="222" fontId="7" fillId="22" borderId="3" xfId="0" applyNumberFormat="1" applyFont="1" applyFill="1" applyBorder="1" applyAlignment="1">
      <alignment horizontal="center" vertical="center"/>
    </xf>
    <xf numFmtId="0" fontId="91" fillId="0" borderId="2" xfId="0" applyFont="1" applyFill="1" applyBorder="1" applyAlignment="1">
      <alignment horizontal="center" vertical="center" wrapText="1"/>
    </xf>
    <xf numFmtId="0" fontId="140" fillId="20" borderId="2" xfId="0" applyFont="1" applyFill="1" applyBorder="1"/>
    <xf numFmtId="0" fontId="89" fillId="0" borderId="0" xfId="97" applyFont="1" applyBorder="1" applyAlignment="1">
      <alignment horizontal="left" vertical="top" wrapText="1"/>
    </xf>
    <xf numFmtId="0" fontId="89" fillId="0" borderId="0" xfId="97" applyFont="1" applyBorder="1" applyAlignment="1">
      <alignment horizontal="left" vertical="top"/>
    </xf>
    <xf numFmtId="0" fontId="93" fillId="0" borderId="37" xfId="98" applyFont="1" applyBorder="1" applyAlignment="1">
      <alignment vertical="top"/>
    </xf>
    <xf numFmtId="0" fontId="141" fillId="0" borderId="0" xfId="98" applyFont="1" applyAlignment="1">
      <alignment horizontal="center"/>
    </xf>
    <xf numFmtId="0" fontId="7" fillId="76" borderId="0" xfId="0" applyFont="1" applyFill="1" applyBorder="1"/>
    <xf numFmtId="0" fontId="7" fillId="76" borderId="0" xfId="0" applyNumberFormat="1" applyFont="1" applyFill="1" applyBorder="1" applyAlignment="1">
      <alignment horizontal="center" vertical="center"/>
    </xf>
    <xf numFmtId="0" fontId="0" fillId="76" borderId="0" xfId="0" applyFill="1" applyBorder="1" applyAlignment="1">
      <alignment horizontal="center" vertical="center"/>
    </xf>
    <xf numFmtId="0" fontId="7" fillId="76" borderId="0" xfId="0" applyFont="1" applyFill="1" applyBorder="1" applyAlignment="1">
      <alignment horizontal="center"/>
    </xf>
    <xf numFmtId="0" fontId="0" fillId="76" borderId="0" xfId="0" applyNumberFormat="1" applyFill="1" applyBorder="1" applyAlignment="1">
      <alignment horizontal="center"/>
    </xf>
    <xf numFmtId="0" fontId="0" fillId="76" borderId="0" xfId="0" applyFill="1" applyBorder="1" applyAlignment="1">
      <alignment horizontal="center"/>
    </xf>
    <xf numFmtId="0" fontId="0" fillId="76" borderId="44" xfId="0" applyFill="1" applyBorder="1" applyAlignment="1">
      <alignment horizontal="center" vertical="center"/>
    </xf>
    <xf numFmtId="0" fontId="7" fillId="76" borderId="44" xfId="0" applyFont="1" applyFill="1" applyBorder="1"/>
    <xf numFmtId="0" fontId="7" fillId="76" borderId="44" xfId="0" applyNumberFormat="1" applyFont="1" applyFill="1" applyBorder="1" applyAlignment="1">
      <alignment horizontal="center" vertical="center"/>
    </xf>
    <xf numFmtId="0" fontId="7" fillId="76" borderId="44" xfId="0" applyFont="1" applyFill="1" applyBorder="1" applyAlignment="1">
      <alignment horizontal="center"/>
    </xf>
    <xf numFmtId="0" fontId="0" fillId="76" borderId="44" xfId="0" applyNumberFormat="1" applyFill="1" applyBorder="1" applyAlignment="1">
      <alignment horizontal="center"/>
    </xf>
    <xf numFmtId="0" fontId="0" fillId="76" borderId="44" xfId="0" applyFill="1" applyBorder="1" applyAlignment="1">
      <alignment horizontal="center"/>
    </xf>
    <xf numFmtId="0" fontId="0" fillId="76" borderId="44" xfId="0" applyFill="1" applyBorder="1"/>
    <xf numFmtId="49" fontId="0" fillId="76" borderId="44" xfId="0" applyNumberFormat="1" applyFill="1" applyBorder="1" applyAlignment="1">
      <alignment horizontal="center"/>
    </xf>
    <xf numFmtId="0" fontId="0" fillId="76" borderId="0" xfId="0" applyFill="1" applyBorder="1"/>
    <xf numFmtId="49" fontId="0" fillId="76" borderId="0" xfId="0" applyNumberFormat="1" applyFill="1" applyBorder="1" applyAlignment="1">
      <alignment horizontal="center"/>
    </xf>
    <xf numFmtId="0" fontId="0" fillId="76" borderId="37" xfId="0" applyFill="1" applyBorder="1" applyAlignment="1">
      <alignment horizontal="center" vertical="center"/>
    </xf>
    <xf numFmtId="0" fontId="7" fillId="76" borderId="37" xfId="0" applyNumberFormat="1" applyFont="1" applyFill="1" applyBorder="1" applyAlignment="1">
      <alignment horizontal="center" vertical="center"/>
    </xf>
    <xf numFmtId="0" fontId="7" fillId="76" borderId="37" xfId="0" applyFont="1" applyFill="1" applyBorder="1" applyAlignment="1">
      <alignment horizontal="center"/>
    </xf>
    <xf numFmtId="0" fontId="0" fillId="76" borderId="37" xfId="0" applyNumberFormat="1" applyFill="1" applyBorder="1" applyAlignment="1">
      <alignment horizontal="center"/>
    </xf>
    <xf numFmtId="0" fontId="0" fillId="76" borderId="37" xfId="0" applyFill="1" applyBorder="1" applyAlignment="1">
      <alignment horizontal="center"/>
    </xf>
    <xf numFmtId="0" fontId="0" fillId="76" borderId="37" xfId="0" applyFill="1" applyBorder="1"/>
    <xf numFmtId="49" fontId="0" fillId="76" borderId="37" xfId="0" applyNumberFormat="1" applyFill="1" applyBorder="1" applyAlignment="1">
      <alignment horizontal="center"/>
    </xf>
    <xf numFmtId="0" fontId="156" fillId="0" borderId="17" xfId="97" applyFont="1" applyBorder="1" applyAlignment="1">
      <alignment vertical="center"/>
    </xf>
    <xf numFmtId="0" fontId="156" fillId="0" borderId="0" xfId="97" applyFont="1" applyBorder="1" applyAlignment="1">
      <alignment vertical="center"/>
    </xf>
    <xf numFmtId="49" fontId="0" fillId="59" borderId="0" xfId="0" applyNumberFormat="1" applyFill="1" applyBorder="1" applyAlignment="1">
      <alignment horizontal="center"/>
    </xf>
    <xf numFmtId="0" fontId="157" fillId="0" borderId="40" xfId="97" applyFont="1" applyBorder="1" applyAlignment="1">
      <alignment vertical="center"/>
    </xf>
    <xf numFmtId="0" fontId="14" fillId="0" borderId="3" xfId="0" applyFont="1" applyFill="1" applyBorder="1"/>
    <xf numFmtId="0" fontId="0" fillId="0" borderId="3" xfId="0" applyBorder="1" applyAlignment="1">
      <alignment horizontal="center" vertical="center"/>
    </xf>
    <xf numFmtId="0" fontId="12" fillId="65" borderId="0" xfId="97" applyFont="1" applyFill="1" applyAlignment="1">
      <alignment horizontal="center" vertical="center"/>
    </xf>
    <xf numFmtId="0" fontId="7" fillId="65" borderId="0" xfId="97" applyFont="1" applyFill="1" applyAlignment="1">
      <alignment horizontal="left" vertical="center"/>
    </xf>
    <xf numFmtId="0" fontId="7" fillId="65" borderId="0" xfId="97" applyFont="1" applyFill="1" applyAlignment="1">
      <alignment horizontal="center" vertical="center"/>
    </xf>
    <xf numFmtId="189" fontId="8" fillId="65" borderId="0" xfId="97" applyNumberFormat="1" applyFont="1" applyFill="1" applyAlignment="1">
      <alignment horizontal="center" vertical="center"/>
    </xf>
    <xf numFmtId="0" fontId="8" fillId="65" borderId="0" xfId="97" applyFont="1" applyFill="1" applyAlignment="1">
      <alignment horizontal="center" vertical="center"/>
    </xf>
    <xf numFmtId="165" fontId="8" fillId="65" borderId="0" xfId="97" applyNumberFormat="1" applyFont="1" applyFill="1" applyAlignment="1">
      <alignment horizontal="center" vertical="center"/>
    </xf>
    <xf numFmtId="190" fontId="8" fillId="65" borderId="0" xfId="97" applyNumberFormat="1" applyFont="1" applyFill="1" applyAlignment="1">
      <alignment horizontal="center" vertical="center" wrapText="1"/>
    </xf>
    <xf numFmtId="189" fontId="8" fillId="65" borderId="0" xfId="97" applyNumberFormat="1" applyFont="1" applyFill="1" applyAlignment="1">
      <alignment horizontal="center" vertical="center" wrapText="1"/>
    </xf>
    <xf numFmtId="165" fontId="8" fillId="65" borderId="0" xfId="97" applyNumberFormat="1" applyFont="1" applyFill="1" applyAlignment="1">
      <alignment horizontal="center" vertical="center" wrapText="1"/>
    </xf>
    <xf numFmtId="0" fontId="8" fillId="65" borderId="0" xfId="97" applyFont="1" applyFill="1" applyBorder="1" applyAlignment="1">
      <alignment horizontal="center" vertical="center"/>
    </xf>
    <xf numFmtId="0" fontId="7" fillId="65" borderId="0" xfId="97" applyFont="1" applyFill="1" applyBorder="1" applyAlignment="1">
      <alignment horizontal="center" vertical="center"/>
    </xf>
    <xf numFmtId="208" fontId="7" fillId="70" borderId="0" xfId="97" applyNumberFormat="1" applyFont="1" applyFill="1" applyAlignment="1">
      <alignment horizontal="center" vertical="center"/>
    </xf>
    <xf numFmtId="0" fontId="0" fillId="0" borderId="98" xfId="0" applyFill="1" applyBorder="1" applyAlignment="1">
      <alignment horizontal="center" vertical="center"/>
    </xf>
    <xf numFmtId="0" fontId="0" fillId="0" borderId="98" xfId="0" applyFill="1" applyBorder="1" applyAlignment="1">
      <alignment horizontal="center" vertical="center" wrapText="1"/>
    </xf>
    <xf numFmtId="20" fontId="8" fillId="75" borderId="0" xfId="97" applyNumberFormat="1" applyFont="1" applyFill="1" applyBorder="1" applyAlignment="1">
      <alignment horizontal="center" vertical="center"/>
    </xf>
    <xf numFmtId="0" fontId="7" fillId="75" borderId="0" xfId="97" applyNumberFormat="1" applyFont="1" applyFill="1" applyBorder="1" applyAlignment="1">
      <alignment horizontal="center" vertical="center"/>
    </xf>
    <xf numFmtId="189" fontId="162" fillId="70" borderId="13" xfId="97" applyNumberFormat="1" applyFont="1" applyFill="1" applyBorder="1" applyAlignment="1">
      <alignment horizontal="center" vertical="center" wrapText="1"/>
    </xf>
    <xf numFmtId="0" fontId="14" fillId="0" borderId="24" xfId="0" applyNumberFormat="1" applyFont="1" applyFill="1" applyBorder="1" applyAlignment="1">
      <alignment horizontal="left"/>
    </xf>
    <xf numFmtId="0" fontId="19" fillId="0" borderId="26" xfId="0" applyNumberFormat="1" applyFont="1" applyFill="1" applyBorder="1" applyAlignment="1">
      <alignment horizontal="left"/>
    </xf>
    <xf numFmtId="49" fontId="14" fillId="23" borderId="3" xfId="0" applyNumberFormat="1" applyFont="1" applyFill="1" applyBorder="1" applyAlignment="1">
      <alignment horizontal="center"/>
    </xf>
    <xf numFmtId="165" fontId="117" fillId="70" borderId="0" xfId="97" applyNumberFormat="1" applyFont="1" applyFill="1" applyBorder="1" applyAlignment="1">
      <alignment horizontal="center" vertical="center" wrapText="1"/>
    </xf>
    <xf numFmtId="189" fontId="117" fillId="70" borderId="47" xfId="97" applyNumberFormat="1" applyFont="1" applyFill="1" applyBorder="1" applyAlignment="1">
      <alignment horizontal="center" vertical="center" wrapText="1"/>
    </xf>
    <xf numFmtId="224" fontId="117" fillId="70" borderId="3" xfId="97" applyNumberFormat="1" applyFont="1" applyFill="1" applyBorder="1" applyAlignment="1">
      <alignment horizontal="center" vertical="center" wrapText="1"/>
    </xf>
    <xf numFmtId="0" fontId="163" fillId="0" borderId="3" xfId="0" applyFont="1" applyBorder="1" applyAlignment="1">
      <alignment horizontal="center"/>
    </xf>
    <xf numFmtId="49" fontId="7" fillId="0" borderId="0" xfId="0" applyNumberFormat="1" applyFont="1"/>
    <xf numFmtId="49" fontId="165" fillId="53" borderId="0" xfId="0" applyNumberFormat="1" applyFont="1" applyFill="1" applyAlignment="1">
      <alignment wrapText="1"/>
    </xf>
    <xf numFmtId="49" fontId="7" fillId="84" borderId="0" xfId="0" applyNumberFormat="1" applyFont="1" applyFill="1" applyAlignment="1">
      <alignment wrapText="1"/>
    </xf>
    <xf numFmtId="49" fontId="7" fillId="82" borderId="0" xfId="0" applyNumberFormat="1" applyFont="1" applyFill="1" applyAlignment="1">
      <alignment wrapText="1"/>
    </xf>
    <xf numFmtId="0" fontId="164" fillId="53" borderId="99" xfId="0" applyFont="1" applyFill="1" applyBorder="1" applyAlignment="1">
      <alignment horizontal="center" vertical="center"/>
    </xf>
    <xf numFmtId="0" fontId="7" fillId="83" borderId="0" xfId="0" applyFont="1" applyFill="1" applyAlignment="1">
      <alignment horizontal="center" wrapText="1"/>
    </xf>
    <xf numFmtId="0" fontId="21" fillId="0" borderId="0" xfId="98" applyFont="1" applyBorder="1" applyAlignment="1">
      <alignment horizontal="right" vertical="center"/>
    </xf>
    <xf numFmtId="19" fontId="21" fillId="0" borderId="0" xfId="98" applyNumberFormat="1" applyFont="1" applyBorder="1" applyAlignment="1">
      <alignment horizontal="center" vertical="center" shrinkToFit="1"/>
    </xf>
    <xf numFmtId="181" fontId="21" fillId="0" borderId="0" xfId="98" applyNumberFormat="1" applyFont="1" applyBorder="1" applyAlignment="1">
      <alignment horizontal="center" vertical="center"/>
    </xf>
    <xf numFmtId="0" fontId="8" fillId="0" borderId="0" xfId="98" applyFont="1" applyBorder="1" applyAlignment="1">
      <alignment horizontal="center" vertical="center"/>
    </xf>
    <xf numFmtId="0" fontId="0" fillId="85" borderId="0" xfId="0" applyFill="1" applyAlignment="1">
      <alignment horizontal="center" vertical="center"/>
    </xf>
    <xf numFmtId="0" fontId="8" fillId="85" borderId="0" xfId="0" applyFont="1" applyFill="1"/>
    <xf numFmtId="49" fontId="7" fillId="85" borderId="0" xfId="0" applyNumberFormat="1" applyFont="1" applyFill="1" applyAlignment="1">
      <alignment horizontal="center" vertical="center"/>
    </xf>
    <xf numFmtId="0" fontId="0" fillId="85" borderId="0" xfId="0" applyFill="1" applyAlignment="1">
      <alignment horizontal="center"/>
    </xf>
    <xf numFmtId="0" fontId="0" fillId="85" borderId="0" xfId="0" applyNumberFormat="1" applyFill="1" applyAlignment="1">
      <alignment horizontal="center"/>
    </xf>
    <xf numFmtId="0" fontId="0" fillId="85" borderId="0" xfId="0" applyFill="1"/>
    <xf numFmtId="49" fontId="0" fillId="85" borderId="0" xfId="0" applyNumberFormat="1" applyFill="1" applyAlignment="1">
      <alignment horizontal="center"/>
    </xf>
    <xf numFmtId="0" fontId="7" fillId="76" borderId="0" xfId="0" applyNumberFormat="1" applyFont="1" applyFill="1"/>
    <xf numFmtId="49" fontId="7" fillId="76" borderId="0" xfId="0" applyNumberFormat="1" applyFont="1" applyFill="1"/>
    <xf numFmtId="0" fontId="7" fillId="0" borderId="0" xfId="0" applyNumberFormat="1" applyFont="1"/>
    <xf numFmtId="0" fontId="0" fillId="0" borderId="69" xfId="0" applyBorder="1" applyAlignment="1">
      <alignment horizontal="center" vertical="center"/>
    </xf>
    <xf numFmtId="0" fontId="0" fillId="0" borderId="23" xfId="0" applyBorder="1" applyAlignment="1">
      <alignment horizontal="center" vertical="center"/>
    </xf>
    <xf numFmtId="0" fontId="0" fillId="0" borderId="3" xfId="0" applyBorder="1" applyAlignment="1">
      <alignment horizontal="center" vertical="center"/>
    </xf>
    <xf numFmtId="0" fontId="8" fillId="0" borderId="14" xfId="0" applyFont="1" applyBorder="1" applyAlignment="1">
      <alignment horizontal="center" vertical="center"/>
    </xf>
    <xf numFmtId="0" fontId="8" fillId="0" borderId="0" xfId="0" applyFont="1" applyBorder="1" applyAlignment="1">
      <alignment horizontal="center" vertical="center"/>
    </xf>
    <xf numFmtId="0" fontId="8" fillId="0" borderId="46" xfId="0" applyFont="1" applyBorder="1" applyAlignment="1">
      <alignment horizontal="center" vertical="center"/>
    </xf>
    <xf numFmtId="0" fontId="8" fillId="0" borderId="37" xfId="0" applyFont="1" applyBorder="1" applyAlignment="1">
      <alignment horizontal="center" vertical="center"/>
    </xf>
    <xf numFmtId="0" fontId="8" fillId="0" borderId="66" xfId="0" applyFont="1" applyBorder="1" applyAlignment="1">
      <alignment horizontal="center" vertical="center"/>
    </xf>
    <xf numFmtId="0" fontId="0" fillId="0" borderId="0" xfId="0" applyBorder="1" applyAlignment="1">
      <alignment horizontal="center" vertical="center"/>
    </xf>
    <xf numFmtId="0" fontId="21" fillId="0" borderId="3" xfId="97" applyNumberFormat="1" applyFont="1" applyFill="1" applyBorder="1" applyAlignment="1">
      <alignment horizontal="center" vertical="center"/>
    </xf>
    <xf numFmtId="0" fontId="0" fillId="64" borderId="0" xfId="0" applyFill="1" applyBorder="1" applyAlignment="1">
      <alignment horizontal="center" vertical="center"/>
    </xf>
    <xf numFmtId="0" fontId="8" fillId="0" borderId="24" xfId="0" applyFont="1" applyBorder="1" applyAlignment="1">
      <alignment horizontal="center" vertical="center"/>
    </xf>
    <xf numFmtId="0" fontId="7" fillId="20" borderId="24" xfId="0" applyFont="1" applyFill="1" applyBorder="1" applyAlignment="1">
      <alignment horizontal="center" vertical="center"/>
    </xf>
    <xf numFmtId="0" fontId="12" fillId="20" borderId="3" xfId="0" applyFont="1" applyFill="1" applyBorder="1" applyAlignment="1">
      <alignment horizontal="center" vertical="center"/>
    </xf>
    <xf numFmtId="0" fontId="7" fillId="0" borderId="3" xfId="0" applyFont="1" applyBorder="1" applyAlignment="1">
      <alignment vertical="center"/>
    </xf>
    <xf numFmtId="0" fontId="8" fillId="31" borderId="65" xfId="98" applyFont="1" applyFill="1" applyBorder="1" applyAlignment="1">
      <alignment horizontal="center" vertical="center"/>
    </xf>
    <xf numFmtId="0" fontId="8" fillId="31" borderId="65" xfId="98" applyFont="1" applyFill="1" applyBorder="1" applyAlignment="1">
      <alignment horizontal="center" vertical="center" wrapText="1"/>
    </xf>
    <xf numFmtId="0" fontId="7" fillId="0" borderId="0" xfId="98" applyFont="1" applyFill="1" applyBorder="1" applyAlignment="1">
      <alignment horizontal="center" vertical="center"/>
    </xf>
    <xf numFmtId="49" fontId="14" fillId="81" borderId="56" xfId="98" applyNumberFormat="1" applyFont="1" applyFill="1" applyBorder="1" applyAlignment="1">
      <alignment horizontal="center" vertical="center"/>
    </xf>
    <xf numFmtId="0" fontId="21" fillId="81" borderId="61" xfId="98" applyNumberFormat="1" applyFont="1" applyFill="1" applyBorder="1" applyAlignment="1">
      <alignment horizontal="center" vertical="center"/>
    </xf>
    <xf numFmtId="0" fontId="21" fillId="81" borderId="56" xfId="98" applyFont="1" applyFill="1" applyBorder="1" applyAlignment="1">
      <alignment horizontal="center" vertical="center"/>
    </xf>
    <xf numFmtId="0" fontId="14" fillId="81" borderId="49" xfId="98" applyFont="1" applyFill="1" applyBorder="1" applyAlignment="1">
      <alignment horizontal="center" vertical="center"/>
    </xf>
    <xf numFmtId="49" fontId="14" fillId="81" borderId="54" xfId="98" applyNumberFormat="1" applyFont="1" applyFill="1" applyBorder="1" applyAlignment="1">
      <alignment horizontal="center" vertical="center"/>
    </xf>
    <xf numFmtId="0" fontId="7" fillId="53" borderId="0" xfId="0" applyNumberFormat="1" applyFont="1" applyFill="1" applyAlignment="1">
      <alignment horizontal="left"/>
    </xf>
    <xf numFmtId="0" fontId="8" fillId="20" borderId="3" xfId="0" applyFont="1" applyFill="1" applyBorder="1" applyAlignment="1">
      <alignment vertical="center"/>
    </xf>
    <xf numFmtId="0" fontId="167" fillId="0" borderId="0" xfId="98" applyFont="1" applyFill="1" applyBorder="1" applyAlignment="1">
      <alignment horizontal="left" vertical="center"/>
    </xf>
    <xf numFmtId="49" fontId="167" fillId="0" borderId="0" xfId="98" applyNumberFormat="1" applyFont="1" applyFill="1" applyBorder="1" applyAlignment="1">
      <alignment horizontal="left" vertical="center"/>
    </xf>
    <xf numFmtId="0" fontId="68" fillId="0" borderId="24" xfId="98" applyFont="1" applyFill="1" applyBorder="1" applyAlignment="1">
      <alignment horizontal="center" vertical="center"/>
    </xf>
    <xf numFmtId="0" fontId="68" fillId="74" borderId="24" xfId="98" applyFont="1" applyFill="1" applyBorder="1" applyAlignment="1">
      <alignment horizontal="center" vertical="center"/>
    </xf>
    <xf numFmtId="0" fontId="21" fillId="0" borderId="0" xfId="0" applyFont="1" applyAlignment="1">
      <alignment horizontal="right"/>
    </xf>
    <xf numFmtId="0" fontId="21" fillId="0" borderId="3" xfId="0" applyFont="1" applyBorder="1" applyAlignment="1">
      <alignment horizontal="right"/>
    </xf>
    <xf numFmtId="0" fontId="11" fillId="0" borderId="3" xfId="0" applyFont="1" applyBorder="1" applyAlignment="1">
      <alignment horizontal="center"/>
    </xf>
    <xf numFmtId="0" fontId="11" fillId="0" borderId="19" xfId="0" applyFont="1" applyBorder="1" applyAlignment="1">
      <alignment horizontal="center"/>
    </xf>
    <xf numFmtId="0" fontId="11" fillId="0" borderId="14" xfId="0" applyFont="1" applyBorder="1" applyAlignment="1">
      <alignment horizontal="center"/>
    </xf>
    <xf numFmtId="0" fontId="24" fillId="0" borderId="3" xfId="0" applyFont="1" applyBorder="1" applyAlignment="1">
      <alignment horizontal="center"/>
    </xf>
    <xf numFmtId="0" fontId="24" fillId="0" borderId="3" xfId="0" applyFont="1" applyBorder="1" applyAlignment="1">
      <alignment horizontal="left"/>
    </xf>
    <xf numFmtId="0" fontId="24" fillId="0" borderId="19" xfId="0" applyFont="1" applyBorder="1" applyAlignment="1">
      <alignment horizontal="left"/>
    </xf>
    <xf numFmtId="0" fontId="24" fillId="0" borderId="14" xfId="0" applyFont="1" applyBorder="1" applyAlignment="1">
      <alignment horizontal="left"/>
    </xf>
    <xf numFmtId="0" fontId="168" fillId="0" borderId="0" xfId="97" applyFont="1" applyAlignment="1">
      <alignment horizontal="center" vertical="center"/>
    </xf>
    <xf numFmtId="0" fontId="169" fillId="0" borderId="0" xfId="97" applyFont="1" applyAlignment="1">
      <alignment horizontal="center"/>
    </xf>
    <xf numFmtId="0" fontId="7" fillId="0" borderId="0" xfId="97" applyAlignment="1"/>
    <xf numFmtId="0" fontId="170" fillId="0" borderId="0" xfId="97" applyFont="1" applyAlignment="1"/>
    <xf numFmtId="0" fontId="7" fillId="0" borderId="70" xfId="97" applyFont="1" applyBorder="1"/>
    <xf numFmtId="0" fontId="7" fillId="49" borderId="18" xfId="97" applyFill="1" applyBorder="1" applyAlignment="1">
      <alignment horizontal="center"/>
    </xf>
    <xf numFmtId="0" fontId="7" fillId="0" borderId="72" xfId="97" applyFont="1" applyBorder="1"/>
    <xf numFmtId="0" fontId="7" fillId="49" borderId="19" xfId="97" applyFill="1" applyBorder="1" applyAlignment="1">
      <alignment horizontal="center"/>
    </xf>
    <xf numFmtId="0" fontId="7" fillId="0" borderId="73" xfId="97" applyFont="1" applyBorder="1"/>
    <xf numFmtId="0" fontId="7" fillId="49" borderId="21" xfId="97" applyFill="1" applyBorder="1" applyAlignment="1">
      <alignment horizontal="center"/>
    </xf>
    <xf numFmtId="0" fontId="21" fillId="0" borderId="13" xfId="97" applyFont="1" applyBorder="1" applyAlignment="1">
      <alignment horizontal="center"/>
    </xf>
    <xf numFmtId="49" fontId="14" fillId="0" borderId="23" xfId="97" applyNumberFormat="1" applyFont="1" applyFill="1" applyBorder="1" applyAlignment="1">
      <alignment horizontal="center"/>
    </xf>
    <xf numFmtId="49" fontId="12" fillId="22" borderId="3" xfId="97" applyNumberFormat="1" applyFont="1" applyFill="1" applyBorder="1" applyAlignment="1">
      <alignment horizontal="center" vertical="center"/>
    </xf>
    <xf numFmtId="0" fontId="14" fillId="0" borderId="3" xfId="97" applyFont="1" applyFill="1" applyBorder="1" applyAlignment="1">
      <alignment horizontal="center"/>
    </xf>
    <xf numFmtId="0" fontId="14" fillId="22" borderId="3" xfId="97" applyFont="1" applyFill="1" applyBorder="1" applyAlignment="1">
      <alignment horizontal="center"/>
    </xf>
    <xf numFmtId="0" fontId="14" fillId="46" borderId="23" xfId="97" applyFont="1" applyFill="1" applyBorder="1" applyAlignment="1">
      <alignment horizontal="center"/>
    </xf>
    <xf numFmtId="49" fontId="14" fillId="0" borderId="69" xfId="97" applyNumberFormat="1" applyFont="1" applyFill="1" applyBorder="1" applyAlignment="1">
      <alignment horizontal="center"/>
    </xf>
    <xf numFmtId="49" fontId="12" fillId="22" borderId="33" xfId="97" applyNumberFormat="1" applyFont="1" applyFill="1" applyBorder="1" applyAlignment="1">
      <alignment horizontal="center" vertical="center"/>
    </xf>
    <xf numFmtId="0" fontId="14" fillId="0" borderId="33" xfId="97" applyFont="1" applyFill="1" applyBorder="1" applyAlignment="1">
      <alignment horizontal="center"/>
    </xf>
    <xf numFmtId="0" fontId="14" fillId="22" borderId="33" xfId="97" applyFont="1" applyFill="1" applyBorder="1" applyAlignment="1">
      <alignment horizontal="center"/>
    </xf>
    <xf numFmtId="0" fontId="14" fillId="46" borderId="69" xfId="97" applyFont="1" applyFill="1" applyBorder="1" applyAlignment="1">
      <alignment horizontal="center"/>
    </xf>
    <xf numFmtId="49" fontId="14" fillId="0" borderId="15" xfId="97" applyNumberFormat="1" applyFont="1" applyFill="1" applyBorder="1" applyAlignment="1">
      <alignment horizontal="center"/>
    </xf>
    <xf numFmtId="49" fontId="12" fillId="22" borderId="15" xfId="97" applyNumberFormat="1" applyFont="1" applyFill="1" applyBorder="1" applyAlignment="1">
      <alignment horizontal="center" vertical="center"/>
    </xf>
    <xf numFmtId="0" fontId="14" fillId="0" borderId="15" xfId="97" applyFont="1" applyFill="1" applyBorder="1" applyAlignment="1">
      <alignment horizontal="center"/>
    </xf>
    <xf numFmtId="0" fontId="14" fillId="22" borderId="15" xfId="97" applyFont="1" applyFill="1" applyBorder="1" applyAlignment="1">
      <alignment horizontal="center"/>
    </xf>
    <xf numFmtId="0" fontId="14" fillId="46" borderId="15" xfId="97" applyFont="1" applyFill="1" applyBorder="1" applyAlignment="1">
      <alignment horizontal="center"/>
    </xf>
    <xf numFmtId="49" fontId="14" fillId="0" borderId="20" xfId="97" applyNumberFormat="1" applyFont="1" applyFill="1" applyBorder="1" applyAlignment="1">
      <alignment horizontal="center"/>
    </xf>
    <xf numFmtId="49" fontId="12" fillId="22" borderId="20" xfId="97" applyNumberFormat="1" applyFont="1" applyFill="1" applyBorder="1" applyAlignment="1">
      <alignment horizontal="center" vertical="center"/>
    </xf>
    <xf numFmtId="0" fontId="14" fillId="0" borderId="20" xfId="97" applyFont="1" applyFill="1" applyBorder="1" applyAlignment="1">
      <alignment horizontal="center"/>
    </xf>
    <xf numFmtId="0" fontId="14" fillId="22" borderId="20" xfId="97" applyFont="1" applyFill="1" applyBorder="1" applyAlignment="1">
      <alignment horizontal="center"/>
    </xf>
    <xf numFmtId="0" fontId="14" fillId="46" borderId="20" xfId="97" applyFont="1" applyFill="1" applyBorder="1" applyAlignment="1">
      <alignment horizontal="center"/>
    </xf>
    <xf numFmtId="49" fontId="12" fillId="22" borderId="23" xfId="97" applyNumberFormat="1" applyFont="1" applyFill="1" applyBorder="1" applyAlignment="1">
      <alignment horizontal="center" vertical="center"/>
    </xf>
    <xf numFmtId="0" fontId="14" fillId="0" borderId="23" xfId="97" applyFont="1" applyFill="1" applyBorder="1" applyAlignment="1">
      <alignment horizontal="center"/>
    </xf>
    <xf numFmtId="0" fontId="14" fillId="22" borderId="23" xfId="97" applyFont="1" applyFill="1" applyBorder="1" applyAlignment="1">
      <alignment horizontal="center"/>
    </xf>
    <xf numFmtId="0" fontId="7" fillId="53" borderId="19" xfId="97" applyFill="1" applyBorder="1" applyAlignment="1" applyProtection="1">
      <alignment horizontal="center"/>
    </xf>
    <xf numFmtId="49" fontId="12" fillId="0" borderId="3" xfId="97" applyNumberFormat="1" applyFont="1" applyFill="1" applyBorder="1" applyAlignment="1">
      <alignment horizontal="center" vertical="center"/>
    </xf>
    <xf numFmtId="49" fontId="14" fillId="0" borderId="69" xfId="0" applyNumberFormat="1" applyFont="1" applyFill="1" applyBorder="1" applyAlignment="1">
      <alignment horizontal="center"/>
    </xf>
    <xf numFmtId="0" fontId="19" fillId="0" borderId="33" xfId="0" applyFont="1" applyFill="1" applyBorder="1" applyAlignment="1">
      <alignment horizontal="center"/>
    </xf>
    <xf numFmtId="0" fontId="19" fillId="0" borderId="45" xfId="0" applyFont="1" applyBorder="1"/>
    <xf numFmtId="49" fontId="14" fillId="0" borderId="15" xfId="0" applyNumberFormat="1" applyFont="1" applyFill="1" applyBorder="1" applyAlignment="1">
      <alignment horizontal="center"/>
    </xf>
    <xf numFmtId="0" fontId="14" fillId="0" borderId="15" xfId="0" applyFont="1" applyFill="1" applyBorder="1" applyAlignment="1">
      <alignment horizontal="center"/>
    </xf>
    <xf numFmtId="0" fontId="19" fillId="0" borderId="92" xfId="0" applyFont="1" applyBorder="1"/>
    <xf numFmtId="0" fontId="14" fillId="57" borderId="3" xfId="97" applyFont="1" applyFill="1" applyBorder="1" applyAlignment="1">
      <alignment horizontal="center"/>
    </xf>
    <xf numFmtId="0" fontId="14" fillId="57" borderId="14" xfId="97" applyFont="1" applyFill="1" applyBorder="1"/>
    <xf numFmtId="0" fontId="14" fillId="57" borderId="33" xfId="97" applyFont="1" applyFill="1" applyBorder="1" applyAlignment="1">
      <alignment horizontal="center"/>
    </xf>
    <xf numFmtId="0" fontId="14" fillId="57" borderId="45" xfId="97" applyFont="1" applyFill="1" applyBorder="1"/>
    <xf numFmtId="0" fontId="14" fillId="57" borderId="15" xfId="97" applyFont="1" applyFill="1" applyBorder="1" applyAlignment="1">
      <alignment horizontal="center"/>
    </xf>
    <xf numFmtId="0" fontId="14" fillId="57" borderId="92" xfId="97" applyFont="1" applyFill="1" applyBorder="1"/>
    <xf numFmtId="0" fontId="14" fillId="57" borderId="20" xfId="97" applyFont="1" applyFill="1" applyBorder="1" applyAlignment="1">
      <alignment horizontal="center"/>
    </xf>
    <xf numFmtId="0" fontId="14" fillId="57" borderId="67" xfId="97" applyFont="1" applyFill="1" applyBorder="1"/>
    <xf numFmtId="0" fontId="14" fillId="57" borderId="23" xfId="97" applyFont="1" applyFill="1" applyBorder="1" applyAlignment="1">
      <alignment horizontal="center"/>
    </xf>
    <xf numFmtId="0" fontId="14" fillId="57" borderId="66" xfId="97" applyFont="1" applyFill="1" applyBorder="1"/>
    <xf numFmtId="0" fontId="7" fillId="57" borderId="0" xfId="97" applyFill="1"/>
    <xf numFmtId="0" fontId="21" fillId="57" borderId="13" xfId="97" applyFont="1" applyFill="1" applyBorder="1" applyAlignment="1">
      <alignment horizontal="center"/>
    </xf>
    <xf numFmtId="0" fontId="7" fillId="0" borderId="3" xfId="97" applyFont="1" applyBorder="1" applyAlignment="1">
      <alignment horizontal="center"/>
    </xf>
    <xf numFmtId="0" fontId="7" fillId="0" borderId="3" xfId="97" applyFont="1" applyBorder="1" applyAlignment="1">
      <alignment horizontal="left"/>
    </xf>
    <xf numFmtId="0" fontId="151" fillId="0" borderId="0" xfId="97" applyFont="1" applyFill="1" applyAlignment="1">
      <alignment horizontal="left"/>
    </xf>
    <xf numFmtId="222" fontId="7" fillId="46" borderId="3" xfId="0" applyNumberFormat="1" applyFont="1" applyFill="1" applyBorder="1" applyAlignment="1">
      <alignment horizontal="center" vertical="center"/>
    </xf>
    <xf numFmtId="0" fontId="7" fillId="0" borderId="37" xfId="98" applyFont="1" applyFill="1" applyBorder="1" applyAlignment="1">
      <alignment vertical="center"/>
    </xf>
    <xf numFmtId="0" fontId="7" fillId="0" borderId="14" xfId="98" applyFont="1" applyFill="1" applyBorder="1" applyAlignment="1">
      <alignment vertical="center"/>
    </xf>
    <xf numFmtId="0" fontId="21" fillId="0" borderId="0" xfId="96" applyFont="1" applyFill="1" applyBorder="1" applyAlignment="1">
      <alignment horizontal="center" vertical="center"/>
    </xf>
    <xf numFmtId="0" fontId="8" fillId="0" borderId="0" xfId="96" applyFont="1" applyFill="1" applyBorder="1" applyAlignment="1">
      <alignment horizontal="center" vertical="center"/>
    </xf>
    <xf numFmtId="0" fontId="5" fillId="0" borderId="66" xfId="114" applyBorder="1"/>
    <xf numFmtId="0" fontId="5" fillId="0" borderId="34" xfId="114" applyBorder="1"/>
    <xf numFmtId="0" fontId="5" fillId="0" borderId="0" xfId="114" applyBorder="1"/>
    <xf numFmtId="0" fontId="5" fillId="0" borderId="35" xfId="114" applyBorder="1"/>
    <xf numFmtId="0" fontId="5" fillId="0" borderId="100" xfId="114" applyBorder="1"/>
    <xf numFmtId="0" fontId="5" fillId="0" borderId="101" xfId="114" applyBorder="1"/>
    <xf numFmtId="0" fontId="5" fillId="0" borderId="102" xfId="114" applyBorder="1"/>
    <xf numFmtId="0" fontId="5" fillId="0" borderId="46" xfId="114" applyBorder="1"/>
    <xf numFmtId="0" fontId="5" fillId="0" borderId="0" xfId="114" applyBorder="1" applyAlignment="1">
      <alignment horizontal="right"/>
    </xf>
    <xf numFmtId="0" fontId="5" fillId="0" borderId="0" xfId="114" applyBorder="1" applyAlignment="1">
      <alignment horizontal="left"/>
    </xf>
    <xf numFmtId="226" fontId="5" fillId="0" borderId="98" xfId="114" applyNumberFormat="1" applyBorder="1" applyAlignment="1">
      <alignment horizontal="left"/>
    </xf>
    <xf numFmtId="0" fontId="5" fillId="0" borderId="98" xfId="114" applyBorder="1"/>
    <xf numFmtId="49" fontId="5" fillId="0" borderId="0" xfId="114" applyNumberFormat="1" applyBorder="1"/>
    <xf numFmtId="0" fontId="5" fillId="0" borderId="63" xfId="114" applyBorder="1"/>
    <xf numFmtId="0" fontId="5" fillId="0" borderId="62" xfId="114" applyBorder="1"/>
    <xf numFmtId="0" fontId="0" fillId="0" borderId="98" xfId="0" applyBorder="1" applyAlignment="1">
      <alignment horizontal="center" vertical="center"/>
    </xf>
    <xf numFmtId="0" fontId="0" fillId="0" borderId="98" xfId="0" applyBorder="1" applyAlignment="1">
      <alignment vertical="center"/>
    </xf>
    <xf numFmtId="0" fontId="0" fillId="0" borderId="66" xfId="0" applyBorder="1" applyAlignment="1">
      <alignment vertical="center"/>
    </xf>
    <xf numFmtId="0" fontId="4" fillId="0" borderId="0" xfId="114" applyFont="1" applyBorder="1"/>
    <xf numFmtId="0" fontId="171" fillId="0" borderId="0" xfId="114" applyFont="1" applyBorder="1"/>
    <xf numFmtId="231" fontId="5" fillId="0" borderId="0" xfId="114" applyNumberFormat="1" applyBorder="1"/>
    <xf numFmtId="0" fontId="173" fillId="0" borderId="0" xfId="114" applyFont="1" applyBorder="1"/>
    <xf numFmtId="2" fontId="173" fillId="51" borderId="38" xfId="114" applyNumberFormat="1" applyFont="1" applyFill="1" applyBorder="1"/>
    <xf numFmtId="0" fontId="173" fillId="51" borderId="39" xfId="114" applyFont="1" applyFill="1" applyBorder="1"/>
    <xf numFmtId="175" fontId="173" fillId="51" borderId="38" xfId="114" applyNumberFormat="1" applyFont="1" applyFill="1" applyBorder="1"/>
    <xf numFmtId="0" fontId="4" fillId="0" borderId="0" xfId="114" applyFont="1" applyBorder="1" applyAlignment="1">
      <alignment horizontal="right"/>
    </xf>
    <xf numFmtId="233" fontId="7" fillId="0" borderId="0" xfId="0" applyNumberFormat="1" applyFont="1" applyAlignment="1">
      <alignment horizontal="center" vertical="center"/>
    </xf>
    <xf numFmtId="234" fontId="0" fillId="0" borderId="0" xfId="0" applyNumberFormat="1" applyAlignment="1">
      <alignment horizontal="center" vertical="center"/>
    </xf>
    <xf numFmtId="0" fontId="18" fillId="0" borderId="0" xfId="96" applyFont="1" applyBorder="1" applyAlignment="1">
      <alignment vertical="center"/>
    </xf>
    <xf numFmtId="0" fontId="7" fillId="0" borderId="0" xfId="96" applyFont="1" applyFill="1" applyBorder="1" applyAlignment="1">
      <alignment horizontal="center" vertical="center"/>
    </xf>
    <xf numFmtId="0" fontId="7" fillId="0" borderId="98" xfId="98" applyFont="1" applyBorder="1" applyAlignment="1">
      <alignment vertical="center"/>
    </xf>
    <xf numFmtId="226" fontId="5" fillId="51" borderId="13" xfId="114" applyNumberFormat="1" applyFill="1" applyBorder="1"/>
    <xf numFmtId="0" fontId="3" fillId="0" borderId="100" xfId="114" applyFont="1" applyBorder="1"/>
    <xf numFmtId="0" fontId="5" fillId="0" borderId="98" xfId="114" applyBorder="1" applyAlignment="1">
      <alignment horizontal="right"/>
    </xf>
    <xf numFmtId="226" fontId="5" fillId="0" borderId="26" xfId="114" applyNumberFormat="1" applyBorder="1" applyAlignment="1">
      <alignment horizontal="left"/>
    </xf>
    <xf numFmtId="0" fontId="5" fillId="0" borderId="26" xfId="114" applyBorder="1"/>
    <xf numFmtId="0" fontId="5" fillId="0" borderId="26" xfId="114" applyBorder="1" applyAlignment="1">
      <alignment horizontal="right"/>
    </xf>
    <xf numFmtId="0" fontId="5" fillId="0" borderId="14" xfId="114" applyBorder="1"/>
    <xf numFmtId="0" fontId="3" fillId="0" borderId="0" xfId="114" applyFont="1" applyBorder="1"/>
    <xf numFmtId="0" fontId="5" fillId="0" borderId="17" xfId="114" applyBorder="1"/>
    <xf numFmtId="235" fontId="0" fillId="0" borderId="0" xfId="0" applyNumberFormat="1" applyAlignment="1">
      <alignment horizontal="center" vertical="center"/>
    </xf>
    <xf numFmtId="233" fontId="164" fillId="0" borderId="0" xfId="114" applyNumberFormat="1" applyFont="1" applyBorder="1" applyAlignment="1">
      <alignment horizontal="right"/>
    </xf>
    <xf numFmtId="0" fontId="3" fillId="0" borderId="0" xfId="114" applyFont="1" applyBorder="1" applyAlignment="1">
      <alignment horizontal="right"/>
    </xf>
    <xf numFmtId="230" fontId="5" fillId="51" borderId="3" xfId="114" applyNumberFormat="1" applyFill="1" applyBorder="1"/>
    <xf numFmtId="0" fontId="5" fillId="51" borderId="36" xfId="114" applyFill="1" applyBorder="1"/>
    <xf numFmtId="0" fontId="5" fillId="51" borderId="66" xfId="114" applyFill="1" applyBorder="1"/>
    <xf numFmtId="0" fontId="5" fillId="51" borderId="36" xfId="114" applyNumberFormat="1" applyFill="1" applyBorder="1"/>
    <xf numFmtId="228" fontId="5" fillId="51" borderId="0" xfId="114" applyNumberFormat="1" applyFill="1" applyBorder="1"/>
    <xf numFmtId="228" fontId="5" fillId="51" borderId="17" xfId="114" applyNumberFormat="1" applyFill="1" applyBorder="1"/>
    <xf numFmtId="232" fontId="5" fillId="51" borderId="17" xfId="114" applyNumberFormat="1" applyFill="1" applyBorder="1"/>
    <xf numFmtId="232" fontId="5" fillId="51" borderId="0" xfId="114" applyNumberFormat="1" applyFill="1" applyBorder="1"/>
    <xf numFmtId="227" fontId="5" fillId="51" borderId="0" xfId="114" applyNumberFormat="1" applyFill="1" applyBorder="1"/>
    <xf numFmtId="227" fontId="5" fillId="51" borderId="17" xfId="114" applyNumberFormat="1" applyFill="1" applyBorder="1"/>
    <xf numFmtId="229" fontId="5" fillId="51" borderId="17" xfId="114" applyNumberFormat="1" applyFill="1" applyBorder="1"/>
    <xf numFmtId="229" fontId="5" fillId="51" borderId="0" xfId="114" applyNumberFormat="1" applyFill="1" applyBorder="1"/>
    <xf numFmtId="226" fontId="5" fillId="51" borderId="98" xfId="114" applyNumberFormat="1" applyFill="1" applyBorder="1" applyAlignment="1">
      <alignment horizontal="left"/>
    </xf>
    <xf numFmtId="226" fontId="5" fillId="51" borderId="26" xfId="114" applyNumberFormat="1" applyFill="1" applyBorder="1" applyAlignment="1">
      <alignment horizontal="left"/>
    </xf>
    <xf numFmtId="0" fontId="0" fillId="0" borderId="0" xfId="0" applyBorder="1" applyAlignment="1">
      <alignment horizontal="center" vertical="center"/>
    </xf>
    <xf numFmtId="0" fontId="2" fillId="0" borderId="0" xfId="114" applyFont="1" applyBorder="1" applyAlignment="1">
      <alignment horizontal="right"/>
    </xf>
    <xf numFmtId="0" fontId="0" fillId="0" borderId="17" xfId="0" applyBorder="1" applyAlignment="1">
      <alignment vertical="center"/>
    </xf>
    <xf numFmtId="0" fontId="5" fillId="0" borderId="103" xfId="114" applyBorder="1"/>
    <xf numFmtId="0" fontId="5" fillId="0" borderId="12" xfId="114" applyBorder="1"/>
    <xf numFmtId="0" fontId="2" fillId="0" borderId="12" xfId="114" applyFont="1" applyBorder="1" applyAlignment="1">
      <alignment horizontal="right"/>
    </xf>
    <xf numFmtId="0" fontId="5" fillId="0" borderId="104" xfId="114" applyBorder="1"/>
    <xf numFmtId="0" fontId="5" fillId="57" borderId="12" xfId="114" applyNumberFormat="1" applyFill="1" applyBorder="1"/>
    <xf numFmtId="236" fontId="5" fillId="57" borderId="0" xfId="114" applyNumberFormat="1" applyFill="1" applyBorder="1"/>
    <xf numFmtId="236" fontId="5" fillId="57" borderId="17" xfId="114" applyNumberFormat="1" applyFill="1" applyBorder="1"/>
    <xf numFmtId="0" fontId="5" fillId="57" borderId="16" xfId="114" applyNumberFormat="1" applyFill="1" applyBorder="1"/>
    <xf numFmtId="0" fontId="0" fillId="0" borderId="55" xfId="0" applyBorder="1" applyAlignment="1">
      <alignment vertical="center"/>
    </xf>
    <xf numFmtId="0" fontId="7" fillId="0" borderId="35" xfId="0" applyFont="1" applyBorder="1" applyAlignment="1">
      <alignment horizontal="center" vertical="center"/>
    </xf>
    <xf numFmtId="0" fontId="21" fillId="22" borderId="3" xfId="0" applyFont="1" applyFill="1" applyBorder="1" applyAlignment="1">
      <alignment horizontal="center" wrapText="1"/>
    </xf>
    <xf numFmtId="0" fontId="21" fillId="22" borderId="3" xfId="0" applyNumberFormat="1" applyFont="1" applyFill="1" applyBorder="1" applyAlignment="1">
      <alignment wrapText="1"/>
    </xf>
    <xf numFmtId="0" fontId="21" fillId="22" borderId="3" xfId="0" applyFont="1" applyFill="1" applyBorder="1" applyAlignment="1">
      <alignment horizontal="left" wrapText="1"/>
    </xf>
    <xf numFmtId="0" fontId="21" fillId="22" borderId="3" xfId="0" applyNumberFormat="1" applyFont="1" applyFill="1" applyBorder="1" applyAlignment="1">
      <alignment horizontal="center" wrapText="1"/>
    </xf>
    <xf numFmtId="0" fontId="14" fillId="67" borderId="0" xfId="0" applyFont="1" applyFill="1"/>
    <xf numFmtId="0" fontId="14" fillId="67" borderId="3" xfId="0" applyFont="1" applyFill="1" applyBorder="1" applyAlignment="1">
      <alignment wrapText="1"/>
    </xf>
    <xf numFmtId="0" fontId="14" fillId="67" borderId="3" xfId="0" applyFont="1" applyFill="1" applyBorder="1" applyAlignment="1">
      <alignment horizontal="center"/>
    </xf>
    <xf numFmtId="0" fontId="7" fillId="67" borderId="0" xfId="0" applyFont="1" applyFill="1"/>
    <xf numFmtId="0" fontId="14" fillId="67" borderId="0" xfId="0" applyFont="1" applyFill="1" applyAlignment="1">
      <alignment horizontal="center"/>
    </xf>
    <xf numFmtId="0" fontId="14" fillId="67" borderId="3" xfId="0" applyFont="1" applyFill="1" applyBorder="1" applyAlignment="1">
      <alignment horizontal="center" wrapText="1"/>
    </xf>
    <xf numFmtId="2" fontId="0" fillId="29" borderId="3" xfId="0" applyNumberFormat="1" applyFill="1" applyBorder="1" applyAlignment="1">
      <alignment horizontal="center" vertical="center"/>
    </xf>
    <xf numFmtId="2" fontId="7" fillId="20" borderId="3" xfId="0" applyNumberFormat="1" applyFont="1" applyFill="1" applyBorder="1" applyAlignment="1">
      <alignment horizontal="center" vertical="center"/>
    </xf>
    <xf numFmtId="0" fontId="7" fillId="0" borderId="3" xfId="0" applyFont="1" applyBorder="1" applyAlignment="1">
      <alignment horizontal="center" vertical="center"/>
    </xf>
    <xf numFmtId="0" fontId="0" fillId="0" borderId="3" xfId="0" applyBorder="1" applyAlignment="1">
      <alignment horizontal="center" vertical="center"/>
    </xf>
    <xf numFmtId="0" fontId="7" fillId="0" borderId="72" xfId="0" applyFont="1" applyBorder="1" applyAlignment="1">
      <alignment horizontal="center" vertical="center"/>
    </xf>
    <xf numFmtId="0" fontId="1" fillId="0" borderId="0" xfId="114" applyFont="1" applyBorder="1" applyAlignment="1">
      <alignment horizontal="right"/>
    </xf>
    <xf numFmtId="9" fontId="5" fillId="51" borderId="0" xfId="115" applyFont="1" applyFill="1" applyBorder="1"/>
    <xf numFmtId="9" fontId="5" fillId="51" borderId="17" xfId="115" applyFont="1" applyFill="1" applyBorder="1"/>
    <xf numFmtId="0" fontId="148" fillId="0" borderId="14" xfId="0" applyFont="1" applyBorder="1" applyAlignment="1">
      <alignment horizontal="center" vertical="center"/>
    </xf>
    <xf numFmtId="0" fontId="0" fillId="0" borderId="105" xfId="0" applyBorder="1" applyAlignment="1">
      <alignment horizontal="center" vertical="center"/>
    </xf>
    <xf numFmtId="237" fontId="7" fillId="20" borderId="3" xfId="0" applyNumberFormat="1" applyFont="1" applyFill="1" applyBorder="1" applyAlignment="1">
      <alignment horizontal="center" vertical="center"/>
    </xf>
    <xf numFmtId="0" fontId="67" fillId="0" borderId="82" xfId="0" applyFont="1" applyFill="1" applyBorder="1" applyAlignment="1">
      <alignment horizontal="center" vertical="center" wrapText="1"/>
    </xf>
    <xf numFmtId="0" fontId="7" fillId="52" borderId="3" xfId="0" applyFont="1" applyFill="1" applyBorder="1" applyAlignment="1">
      <alignment horizontal="center" vertical="center"/>
    </xf>
    <xf numFmtId="0" fontId="0" fillId="0" borderId="0" xfId="0" applyBorder="1" applyAlignment="1">
      <alignment horizontal="center" vertical="center"/>
    </xf>
    <xf numFmtId="49" fontId="7" fillId="54" borderId="0" xfId="0" applyNumberFormat="1" applyFont="1" applyFill="1" applyAlignment="1">
      <alignment horizontal="center" vertical="center"/>
    </xf>
    <xf numFmtId="0" fontId="0" fillId="54" borderId="0" xfId="0" applyFill="1" applyAlignment="1">
      <alignment horizontal="center" vertical="center"/>
    </xf>
    <xf numFmtId="0" fontId="0" fillId="54" borderId="3" xfId="0" applyFill="1" applyBorder="1" applyAlignment="1">
      <alignment horizontal="center" vertical="center"/>
    </xf>
    <xf numFmtId="0" fontId="7" fillId="20" borderId="0" xfId="97" applyFont="1" applyFill="1" applyBorder="1" applyAlignment="1" applyProtection="1">
      <alignment vertical="center"/>
    </xf>
    <xf numFmtId="0" fontId="151" fillId="20" borderId="0" xfId="97" applyFont="1" applyFill="1" applyBorder="1" applyAlignment="1" applyProtection="1">
      <alignment horizontal="right" vertical="center"/>
    </xf>
    <xf numFmtId="0" fontId="175" fillId="20" borderId="0" xfId="97" applyFont="1" applyFill="1" applyAlignment="1">
      <alignment horizontal="right" vertical="center"/>
    </xf>
    <xf numFmtId="0" fontId="175" fillId="20" borderId="0" xfId="97" applyFont="1" applyFill="1" applyAlignment="1">
      <alignment vertical="center" wrapText="1"/>
    </xf>
    <xf numFmtId="0" fontId="175" fillId="20" borderId="46" xfId="97" applyFont="1" applyFill="1" applyBorder="1" applyAlignment="1">
      <alignment vertical="center" wrapText="1"/>
    </xf>
    <xf numFmtId="0" fontId="8" fillId="31" borderId="106" xfId="0" applyFont="1" applyFill="1" applyBorder="1" applyAlignment="1">
      <alignment horizontal="left"/>
    </xf>
    <xf numFmtId="0" fontId="8" fillId="0" borderId="106" xfId="0" applyFont="1" applyBorder="1" applyAlignment="1">
      <alignment horizontal="left"/>
    </xf>
    <xf numFmtId="0" fontId="7" fillId="31" borderId="106" xfId="97" applyFill="1" applyBorder="1"/>
    <xf numFmtId="0" fontId="7" fillId="0" borderId="106" xfId="97" applyBorder="1" applyAlignment="1">
      <alignment horizontal="center"/>
    </xf>
    <xf numFmtId="0" fontId="7" fillId="0" borderId="106" xfId="97" applyBorder="1"/>
    <xf numFmtId="49" fontId="7" fillId="31" borderId="106" xfId="97" applyNumberFormat="1" applyFill="1" applyBorder="1"/>
    <xf numFmtId="49" fontId="7" fillId="0" borderId="106" xfId="97" applyNumberFormat="1" applyBorder="1"/>
    <xf numFmtId="14" fontId="7" fillId="0" borderId="106" xfId="97" applyNumberFormat="1" applyBorder="1"/>
    <xf numFmtId="0" fontId="0" fillId="0" borderId="106" xfId="0" applyBorder="1" applyAlignment="1">
      <alignment horizontal="center" vertical="center"/>
    </xf>
    <xf numFmtId="0" fontId="0" fillId="0" borderId="19" xfId="0" applyBorder="1" applyAlignment="1">
      <alignment vertical="center"/>
    </xf>
    <xf numFmtId="0" fontId="7" fillId="0" borderId="20" xfId="0" applyFont="1" applyBorder="1" applyAlignment="1">
      <alignment horizontal="center" vertical="center"/>
    </xf>
    <xf numFmtId="0" fontId="0" fillId="0" borderId="19" xfId="0" applyBorder="1" applyAlignment="1">
      <alignment horizontal="center" vertical="center"/>
    </xf>
    <xf numFmtId="0" fontId="0" fillId="0" borderId="0" xfId="0" applyBorder="1" applyAlignment="1">
      <alignment horizontal="center" vertical="center"/>
    </xf>
    <xf numFmtId="0" fontId="8" fillId="0" borderId="0" xfId="0" applyFont="1" applyBorder="1" applyAlignment="1">
      <alignment horizontal="center" vertical="center"/>
    </xf>
    <xf numFmtId="0" fontId="0" fillId="0" borderId="21" xfId="0" applyBorder="1" applyAlignment="1">
      <alignment horizontal="center" vertical="center"/>
    </xf>
    <xf numFmtId="0" fontId="7" fillId="0" borderId="14" xfId="97" applyBorder="1" applyAlignment="1">
      <alignment horizontal="center" vertical="center"/>
    </xf>
    <xf numFmtId="0" fontId="55" fillId="0" borderId="0" xfId="97" applyFont="1"/>
    <xf numFmtId="0" fontId="8" fillId="66" borderId="13" xfId="97" applyFont="1" applyFill="1" applyBorder="1" applyAlignment="1">
      <alignment horizontal="center" vertical="center"/>
    </xf>
    <xf numFmtId="0" fontId="8" fillId="86" borderId="13" xfId="97" applyFont="1" applyFill="1" applyBorder="1" applyAlignment="1">
      <alignment horizontal="center" vertical="center"/>
    </xf>
    <xf numFmtId="0" fontId="8" fillId="57" borderId="13" xfId="97" applyFont="1" applyFill="1" applyBorder="1" applyAlignment="1">
      <alignment horizontal="center" vertical="center"/>
    </xf>
    <xf numFmtId="0" fontId="8" fillId="0" borderId="70" xfId="97" applyFont="1" applyBorder="1"/>
    <xf numFmtId="0" fontId="8" fillId="0" borderId="18" xfId="97" applyFont="1" applyBorder="1"/>
    <xf numFmtId="0" fontId="7" fillId="0" borderId="70" xfId="97" applyFont="1" applyBorder="1" applyAlignment="1">
      <alignment horizontal="center"/>
    </xf>
    <xf numFmtId="0" fontId="157" fillId="87" borderId="18" xfId="97" applyFont="1" applyFill="1" applyBorder="1"/>
    <xf numFmtId="0" fontId="8" fillId="53" borderId="13" xfId="97" applyFont="1" applyFill="1" applyBorder="1" applyAlignment="1">
      <alignment horizontal="center" vertical="center"/>
    </xf>
    <xf numFmtId="0" fontId="8" fillId="0" borderId="73" xfId="97" applyFont="1" applyBorder="1"/>
    <xf numFmtId="0" fontId="8" fillId="0" borderId="21" xfId="97" applyFont="1" applyBorder="1"/>
    <xf numFmtId="0" fontId="7" fillId="0" borderId="73" xfId="97" applyFont="1" applyBorder="1" applyAlignment="1">
      <alignment horizontal="center"/>
    </xf>
    <xf numFmtId="0" fontId="7" fillId="0" borderId="21" xfId="97" applyFont="1" applyBorder="1"/>
    <xf numFmtId="0" fontId="8" fillId="73" borderId="13" xfId="97" applyFont="1" applyFill="1" applyBorder="1" applyAlignment="1">
      <alignment horizontal="center" vertical="center"/>
    </xf>
    <xf numFmtId="0" fontId="7" fillId="0" borderId="0" xfId="97" applyFont="1" applyBorder="1" applyAlignment="1">
      <alignment horizontal="center"/>
    </xf>
    <xf numFmtId="0" fontId="7" fillId="88" borderId="13" xfId="97" applyFont="1" applyFill="1" applyBorder="1" applyAlignment="1">
      <alignment horizontal="center" vertical="center"/>
    </xf>
    <xf numFmtId="0" fontId="7" fillId="0" borderId="13" xfId="97" applyBorder="1" applyAlignment="1">
      <alignment horizontal="center" vertical="center"/>
    </xf>
    <xf numFmtId="0" fontId="8" fillId="89" borderId="13" xfId="97" applyFont="1" applyFill="1" applyBorder="1" applyAlignment="1">
      <alignment horizontal="left" vertical="center"/>
    </xf>
    <xf numFmtId="0" fontId="7" fillId="0" borderId="110" xfId="97" applyBorder="1"/>
    <xf numFmtId="0" fontId="8" fillId="89" borderId="111" xfId="97" applyFont="1" applyFill="1" applyBorder="1" applyAlignment="1">
      <alignment horizontal="center" vertical="center"/>
    </xf>
    <xf numFmtId="0" fontId="7" fillId="86" borderId="39" xfId="97" applyFill="1" applyBorder="1" applyAlignment="1">
      <alignment horizontal="center" vertical="center"/>
    </xf>
    <xf numFmtId="0" fontId="21" fillId="86" borderId="60" xfId="97" applyFont="1" applyFill="1" applyBorder="1" applyAlignment="1">
      <alignment vertical="center"/>
    </xf>
    <xf numFmtId="49" fontId="11" fillId="86" borderId="13" xfId="97" applyNumberFormat="1" applyFont="1" applyFill="1" applyBorder="1" applyAlignment="1">
      <alignment horizontal="left"/>
    </xf>
    <xf numFmtId="0" fontId="8" fillId="89" borderId="112" xfId="97" applyFont="1" applyFill="1" applyBorder="1" applyAlignment="1">
      <alignment horizontal="center" vertical="center"/>
    </xf>
    <xf numFmtId="0" fontId="8" fillId="86" borderId="39" xfId="97" applyFont="1" applyFill="1" applyBorder="1" applyAlignment="1">
      <alignment horizontal="center" vertical="center"/>
    </xf>
    <xf numFmtId="0" fontId="8" fillId="66" borderId="39" xfId="97" applyFont="1" applyFill="1" applyBorder="1" applyAlignment="1">
      <alignment horizontal="center" vertical="center"/>
    </xf>
    <xf numFmtId="0" fontId="8" fillId="57" borderId="39" xfId="97" applyFont="1" applyFill="1" applyBorder="1" applyAlignment="1">
      <alignment horizontal="center" vertical="center"/>
    </xf>
    <xf numFmtId="0" fontId="8" fillId="0" borderId="56" xfId="97" applyFont="1" applyBorder="1" applyAlignment="1">
      <alignment horizontal="center" vertical="center"/>
    </xf>
    <xf numFmtId="0" fontId="7" fillId="0" borderId="66" xfId="97" applyFont="1" applyBorder="1" applyAlignment="1">
      <alignment horizontal="center" vertical="center"/>
    </xf>
    <xf numFmtId="0" fontId="7" fillId="0" borderId="113" xfId="97" applyFont="1" applyBorder="1" applyAlignment="1">
      <alignment horizontal="center" vertical="center"/>
    </xf>
    <xf numFmtId="0" fontId="7" fillId="0" borderId="61" xfId="97" applyBorder="1" applyAlignment="1">
      <alignment horizontal="center" vertical="center"/>
    </xf>
    <xf numFmtId="0" fontId="7" fillId="0" borderId="14" xfId="97" applyFont="1" applyBorder="1" applyAlignment="1">
      <alignment horizontal="center" vertical="center"/>
    </xf>
    <xf numFmtId="0" fontId="7" fillId="0" borderId="105" xfId="97" applyFont="1" applyBorder="1" applyAlignment="1">
      <alignment horizontal="center" vertical="center"/>
    </xf>
    <xf numFmtId="0" fontId="7" fillId="0" borderId="28" xfId="97" applyBorder="1" applyAlignment="1">
      <alignment horizontal="center" vertical="center"/>
    </xf>
    <xf numFmtId="0" fontId="7" fillId="0" borderId="105" xfId="97" applyBorder="1" applyAlignment="1">
      <alignment horizontal="center" vertical="center"/>
    </xf>
    <xf numFmtId="0" fontId="7" fillId="0" borderId="102" xfId="97" applyFont="1" applyBorder="1" applyAlignment="1">
      <alignment horizontal="center" vertical="center"/>
    </xf>
    <xf numFmtId="0" fontId="7" fillId="0" borderId="107" xfId="97" applyFont="1" applyBorder="1" applyAlignment="1">
      <alignment horizontal="center" vertical="center"/>
    </xf>
    <xf numFmtId="0" fontId="7" fillId="0" borderId="108" xfId="97" applyBorder="1" applyAlignment="1">
      <alignment horizontal="center" vertical="center"/>
    </xf>
    <xf numFmtId="0" fontId="8" fillId="0" borderId="59" xfId="97" applyFont="1" applyBorder="1" applyAlignment="1">
      <alignment horizontal="center" vertical="center"/>
    </xf>
    <xf numFmtId="0" fontId="7" fillId="88" borderId="109" xfId="97" applyFont="1" applyFill="1" applyBorder="1" applyAlignment="1">
      <alignment horizontal="center" vertical="center"/>
    </xf>
    <xf numFmtId="0" fontId="7" fillId="0" borderId="108" xfId="97" applyFont="1" applyBorder="1" applyAlignment="1">
      <alignment horizontal="center" vertical="center"/>
    </xf>
    <xf numFmtId="0" fontId="8" fillId="0" borderId="49" xfId="97" applyFont="1" applyBorder="1" applyAlignment="1">
      <alignment horizontal="center" vertical="center"/>
    </xf>
    <xf numFmtId="0" fontId="8" fillId="0" borderId="54" xfId="97" applyFont="1" applyBorder="1" applyAlignment="1">
      <alignment horizontal="center" vertical="center"/>
    </xf>
    <xf numFmtId="0" fontId="7" fillId="0" borderId="67" xfId="97" applyFont="1" applyBorder="1" applyAlignment="1">
      <alignment horizontal="center" vertical="center"/>
    </xf>
    <xf numFmtId="0" fontId="7" fillId="0" borderId="30" xfId="97" applyBorder="1" applyAlignment="1">
      <alignment horizontal="center" vertical="center"/>
    </xf>
    <xf numFmtId="0" fontId="7" fillId="49" borderId="74" xfId="0" applyFont="1" applyFill="1" applyBorder="1" applyAlignment="1">
      <alignment horizontal="left" vertical="center"/>
    </xf>
    <xf numFmtId="178" fontId="7" fillId="0" borderId="75" xfId="0" applyNumberFormat="1" applyFont="1" applyFill="1" applyBorder="1" applyAlignment="1">
      <alignment horizontal="right" vertical="center"/>
    </xf>
    <xf numFmtId="178" fontId="7" fillId="0" borderId="19" xfId="0" applyNumberFormat="1" applyFont="1" applyFill="1" applyBorder="1" applyAlignment="1">
      <alignment horizontal="right" vertical="center"/>
    </xf>
    <xf numFmtId="0" fontId="7" fillId="73" borderId="72" xfId="0" applyFont="1" applyFill="1" applyBorder="1" applyAlignment="1">
      <alignment horizontal="left" vertical="center"/>
    </xf>
    <xf numFmtId="178" fontId="0" fillId="0" borderId="19" xfId="0" applyNumberFormat="1" applyFill="1" applyBorder="1" applyAlignment="1">
      <alignment horizontal="right" vertical="center"/>
    </xf>
    <xf numFmtId="0" fontId="7" fillId="49" borderId="79" xfId="0" applyFont="1" applyFill="1" applyBorder="1" applyAlignment="1">
      <alignment horizontal="left" vertical="center"/>
    </xf>
    <xf numFmtId="178" fontId="0" fillId="0" borderId="114" xfId="0" applyNumberFormat="1" applyFill="1" applyBorder="1" applyAlignment="1">
      <alignment horizontal="right" vertical="center"/>
    </xf>
    <xf numFmtId="0" fontId="7" fillId="49" borderId="70" xfId="0" applyFont="1" applyFill="1" applyBorder="1" applyAlignment="1">
      <alignment horizontal="left" vertical="center"/>
    </xf>
    <xf numFmtId="178" fontId="7" fillId="49" borderId="18" xfId="0" applyNumberFormat="1" applyFont="1" applyFill="1" applyBorder="1" applyAlignment="1">
      <alignment horizontal="right" vertical="center"/>
    </xf>
    <xf numFmtId="0" fontId="7" fillId="73" borderId="79" xfId="0" applyFont="1" applyFill="1" applyBorder="1" applyAlignment="1">
      <alignment horizontal="left" vertical="center"/>
    </xf>
    <xf numFmtId="178" fontId="7" fillId="73" borderId="114" xfId="0" applyNumberFormat="1" applyFont="1" applyFill="1" applyBorder="1" applyAlignment="1">
      <alignment horizontal="right" vertical="center"/>
    </xf>
    <xf numFmtId="0" fontId="16" fillId="56" borderId="71" xfId="0" applyFont="1" applyFill="1" applyBorder="1" applyAlignment="1">
      <alignment horizontal="left" vertical="center"/>
    </xf>
    <xf numFmtId="0" fontId="16" fillId="56" borderId="48" xfId="0" applyNumberFormat="1" applyFont="1" applyFill="1" applyBorder="1" applyAlignment="1">
      <alignment horizontal="center" vertical="center"/>
    </xf>
    <xf numFmtId="0" fontId="16" fillId="66" borderId="72" xfId="0" applyFont="1" applyFill="1" applyBorder="1" applyAlignment="1">
      <alignment horizontal="left" vertical="center"/>
    </xf>
    <xf numFmtId="178" fontId="16" fillId="66" borderId="19" xfId="0" applyNumberFormat="1" applyFont="1" applyFill="1" applyBorder="1" applyAlignment="1">
      <alignment horizontal="right" vertical="center"/>
    </xf>
    <xf numFmtId="0" fontId="16" fillId="51" borderId="91" xfId="0" applyFont="1" applyFill="1" applyBorder="1" applyAlignment="1">
      <alignment horizontal="left" vertical="center"/>
    </xf>
    <xf numFmtId="178" fontId="16" fillId="51" borderId="68" xfId="0" applyNumberFormat="1" applyFont="1" applyFill="1" applyBorder="1" applyAlignment="1">
      <alignment horizontal="right" vertical="center"/>
    </xf>
    <xf numFmtId="0" fontId="7" fillId="64" borderId="72" xfId="0" applyFont="1" applyFill="1" applyBorder="1" applyAlignment="1">
      <alignment horizontal="center" vertical="center"/>
    </xf>
    <xf numFmtId="0" fontId="7" fillId="64" borderId="73" xfId="0" applyFont="1" applyFill="1" applyBorder="1" applyAlignment="1">
      <alignment horizontal="center" vertical="center"/>
    </xf>
    <xf numFmtId="0" fontId="0" fillId="63" borderId="72" xfId="0" applyFill="1" applyBorder="1" applyAlignment="1">
      <alignment horizontal="left" vertical="center"/>
    </xf>
    <xf numFmtId="0" fontId="0" fillId="63" borderId="19" xfId="0" applyFill="1" applyBorder="1" applyAlignment="1">
      <alignment horizontal="right" vertical="center"/>
    </xf>
    <xf numFmtId="0" fontId="7" fillId="64" borderId="70" xfId="0" applyFont="1" applyFill="1" applyBorder="1" applyAlignment="1">
      <alignment horizontal="left" vertical="center"/>
    </xf>
    <xf numFmtId="178" fontId="0" fillId="0" borderId="18" xfId="0" applyNumberFormat="1" applyBorder="1" applyAlignment="1">
      <alignment horizontal="right" vertical="center"/>
    </xf>
    <xf numFmtId="0" fontId="0" fillId="0" borderId="72" xfId="0" applyBorder="1" applyAlignment="1">
      <alignment horizontal="left" vertical="center"/>
    </xf>
    <xf numFmtId="0" fontId="0" fillId="0" borderId="19" xfId="0" applyBorder="1" applyAlignment="1">
      <alignment horizontal="right" vertical="center"/>
    </xf>
    <xf numFmtId="0" fontId="7" fillId="64" borderId="72" xfId="0" applyFont="1" applyFill="1" applyBorder="1" applyAlignment="1">
      <alignment horizontal="left" vertical="center"/>
    </xf>
    <xf numFmtId="178" fontId="0" fillId="0" borderId="19" xfId="0" applyNumberFormat="1" applyBorder="1" applyAlignment="1">
      <alignment horizontal="right" vertical="center"/>
    </xf>
    <xf numFmtId="0" fontId="7" fillId="64" borderId="79" xfId="0" applyFont="1" applyFill="1" applyBorder="1" applyAlignment="1">
      <alignment horizontal="left" vertical="center"/>
    </xf>
    <xf numFmtId="178" fontId="0" fillId="0" borderId="114" xfId="0" applyNumberFormat="1" applyBorder="1" applyAlignment="1">
      <alignment horizontal="right" vertical="center"/>
    </xf>
    <xf numFmtId="0" fontId="7" fillId="64" borderId="115" xfId="0" applyFont="1" applyFill="1" applyBorder="1" applyAlignment="1">
      <alignment horizontal="left" vertical="center"/>
    </xf>
    <xf numFmtId="178" fontId="0" fillId="0" borderId="116" xfId="0" applyNumberFormat="1" applyBorder="1" applyAlignment="1">
      <alignment horizontal="right" vertical="center"/>
    </xf>
    <xf numFmtId="0" fontId="0" fillId="63" borderId="73" xfId="0" applyFill="1" applyBorder="1" applyAlignment="1">
      <alignment horizontal="left" vertical="center"/>
    </xf>
    <xf numFmtId="0" fontId="0" fillId="63" borderId="21" xfId="0" applyFill="1" applyBorder="1" applyAlignment="1">
      <alignment horizontal="right" vertical="center"/>
    </xf>
    <xf numFmtId="0" fontId="7" fillId="64" borderId="73" xfId="0" applyFont="1" applyFill="1" applyBorder="1" applyAlignment="1">
      <alignment horizontal="left" vertical="center"/>
    </xf>
    <xf numFmtId="178" fontId="0" fillId="0" borderId="21" xfId="0" applyNumberFormat="1" applyBorder="1" applyAlignment="1">
      <alignment horizontal="right" vertical="center"/>
    </xf>
    <xf numFmtId="0" fontId="21" fillId="73" borderId="70" xfId="0" applyFont="1" applyFill="1" applyBorder="1" applyAlignment="1">
      <alignment horizontal="center" vertical="center"/>
    </xf>
    <xf numFmtId="0" fontId="8" fillId="0" borderId="92" xfId="0" applyFont="1" applyBorder="1" applyAlignment="1">
      <alignment horizontal="center" vertical="center"/>
    </xf>
    <xf numFmtId="0" fontId="8" fillId="0" borderId="15" xfId="0" applyFont="1" applyBorder="1" applyAlignment="1">
      <alignment horizontal="center" vertical="center"/>
    </xf>
    <xf numFmtId="0" fontId="8" fillId="0" borderId="18" xfId="0" applyFont="1" applyBorder="1" applyAlignment="1">
      <alignment vertical="center"/>
    </xf>
    <xf numFmtId="0" fontId="0" fillId="0" borderId="74" xfId="0" applyBorder="1" applyAlignment="1">
      <alignment horizontal="right" vertical="center"/>
    </xf>
    <xf numFmtId="0" fontId="0" fillId="0" borderId="73" xfId="0" applyBorder="1" applyAlignment="1">
      <alignment horizontal="right" vertical="center"/>
    </xf>
    <xf numFmtId="0" fontId="0" fillId="0" borderId="21" xfId="0" applyBorder="1" applyAlignment="1">
      <alignment horizontal="left" vertical="center"/>
    </xf>
    <xf numFmtId="0" fontId="0" fillId="0" borderId="73" xfId="0" applyBorder="1" applyAlignment="1">
      <alignment horizontal="center" vertical="center"/>
    </xf>
    <xf numFmtId="0" fontId="7" fillId="91" borderId="70" xfId="0" applyFont="1" applyFill="1" applyBorder="1" applyAlignment="1">
      <alignment horizontal="center" vertical="center"/>
    </xf>
    <xf numFmtId="178" fontId="0" fillId="88" borderId="18" xfId="0" applyNumberFormat="1" applyFill="1" applyBorder="1" applyAlignment="1">
      <alignment vertical="center"/>
    </xf>
    <xf numFmtId="0" fontId="7" fillId="91" borderId="72" xfId="0" applyFont="1" applyFill="1" applyBorder="1" applyAlignment="1">
      <alignment horizontal="center" vertical="center"/>
    </xf>
    <xf numFmtId="178" fontId="0" fillId="88" borderId="19" xfId="0" applyNumberFormat="1" applyFill="1" applyBorder="1" applyAlignment="1">
      <alignment vertical="center"/>
    </xf>
    <xf numFmtId="181" fontId="21" fillId="0" borderId="106" xfId="98" applyNumberFormat="1" applyFont="1" applyBorder="1" applyAlignment="1">
      <alignment horizontal="center" vertical="center"/>
    </xf>
    <xf numFmtId="49" fontId="7" fillId="0" borderId="0" xfId="0" applyNumberFormat="1" applyFont="1" applyFill="1" applyAlignment="1">
      <alignment wrapText="1"/>
    </xf>
    <xf numFmtId="0" fontId="7" fillId="0" borderId="0" xfId="0" applyFont="1" applyFill="1" applyAlignment="1">
      <alignment horizontal="center" wrapText="1"/>
    </xf>
    <xf numFmtId="0" fontId="7" fillId="92" borderId="0" xfId="0" applyFont="1" applyFill="1" applyAlignment="1">
      <alignment horizontal="center"/>
    </xf>
    <xf numFmtId="49" fontId="0" fillId="0" borderId="0" xfId="0" applyNumberFormat="1" applyAlignment="1">
      <alignment horizontal="left"/>
    </xf>
    <xf numFmtId="0" fontId="7" fillId="59" borderId="0" xfId="0" applyFont="1" applyFill="1" applyAlignment="1">
      <alignment horizontal="left"/>
    </xf>
    <xf numFmtId="0" fontId="7" fillId="68" borderId="0" xfId="0" applyFont="1" applyFill="1" applyAlignment="1">
      <alignment horizontal="left"/>
    </xf>
    <xf numFmtId="0" fontId="0" fillId="68" borderId="0" xfId="0" applyFill="1" applyAlignment="1">
      <alignment horizontal="left"/>
    </xf>
    <xf numFmtId="0" fontId="7" fillId="59" borderId="0" xfId="0" applyFont="1" applyFill="1" applyAlignment="1">
      <alignment horizontal="left" vertical="center"/>
    </xf>
    <xf numFmtId="0" fontId="7" fillId="76" borderId="0" xfId="0" applyFont="1" applyFill="1" applyBorder="1" applyAlignment="1">
      <alignment horizontal="left"/>
    </xf>
    <xf numFmtId="0" fontId="0" fillId="0" borderId="0" xfId="0" applyFill="1" applyAlignment="1">
      <alignment horizontal="left"/>
    </xf>
    <xf numFmtId="0" fontId="7" fillId="0" borderId="0" xfId="0" applyFont="1" applyFill="1" applyAlignment="1">
      <alignment horizontal="left"/>
    </xf>
    <xf numFmtId="49" fontId="7" fillId="0" borderId="0" xfId="0" applyNumberFormat="1" applyFont="1" applyAlignment="1">
      <alignment horizontal="left"/>
    </xf>
    <xf numFmtId="0" fontId="0" fillId="85" borderId="0" xfId="0" applyFill="1" applyAlignment="1">
      <alignment horizontal="left"/>
    </xf>
    <xf numFmtId="0" fontId="0" fillId="0" borderId="21" xfId="0" applyBorder="1" applyAlignment="1">
      <alignment horizontal="center" vertical="center"/>
    </xf>
    <xf numFmtId="0" fontId="7" fillId="0" borderId="0" xfId="0" applyNumberFormat="1" applyFont="1" applyAlignment="1">
      <alignment horizontal="center" wrapText="1"/>
    </xf>
    <xf numFmtId="210" fontId="0" fillId="0" borderId="0" xfId="0" applyNumberFormat="1" applyAlignment="1">
      <alignment horizontal="center"/>
    </xf>
    <xf numFmtId="209" fontId="0" fillId="0" borderId="0" xfId="0" applyNumberFormat="1" applyFill="1" applyAlignment="1">
      <alignment horizontal="center"/>
    </xf>
    <xf numFmtId="0" fontId="7" fillId="22" borderId="106" xfId="0" applyFont="1" applyFill="1" applyBorder="1" applyAlignment="1">
      <alignment horizontal="center" wrapText="1"/>
    </xf>
    <xf numFmtId="210" fontId="0" fillId="76" borderId="0" xfId="0" applyNumberFormat="1" applyFill="1" applyAlignment="1">
      <alignment horizontal="center"/>
    </xf>
    <xf numFmtId="209" fontId="0" fillId="76" borderId="0" xfId="0" applyNumberFormat="1" applyFill="1" applyAlignment="1">
      <alignment horizontal="center"/>
    </xf>
    <xf numFmtId="210" fontId="0" fillId="68" borderId="0" xfId="0" applyNumberFormat="1" applyFill="1" applyAlignment="1">
      <alignment horizontal="center"/>
    </xf>
    <xf numFmtId="209" fontId="0" fillId="68" borderId="0" xfId="0" applyNumberFormat="1" applyFill="1" applyAlignment="1">
      <alignment horizontal="center"/>
    </xf>
    <xf numFmtId="0" fontId="18" fillId="68" borderId="0" xfId="0" applyFont="1" applyFill="1"/>
    <xf numFmtId="0" fontId="7" fillId="68" borderId="0" xfId="0" applyNumberFormat="1" applyFont="1" applyFill="1" applyAlignment="1">
      <alignment horizontal="center" vertical="center"/>
    </xf>
    <xf numFmtId="0" fontId="58" fillId="68" borderId="0" xfId="0" applyFont="1" applyFill="1" applyAlignment="1">
      <alignment horizontal="center"/>
    </xf>
    <xf numFmtId="0" fontId="0" fillId="68" borderId="3" xfId="0" applyFill="1" applyBorder="1" applyAlignment="1">
      <alignment horizontal="center" vertical="center"/>
    </xf>
    <xf numFmtId="0" fontId="0" fillId="68" borderId="3" xfId="0" applyFill="1" applyBorder="1" applyAlignment="1">
      <alignment horizontal="left"/>
    </xf>
    <xf numFmtId="49" fontId="0" fillId="68" borderId="3" xfId="0" applyNumberFormat="1" applyFill="1" applyBorder="1" applyAlignment="1">
      <alignment horizontal="center"/>
    </xf>
    <xf numFmtId="0" fontId="0" fillId="68" borderId="35" xfId="0" applyFill="1" applyBorder="1" applyAlignment="1">
      <alignment horizontal="center"/>
    </xf>
    <xf numFmtId="0" fontId="18" fillId="68" borderId="0" xfId="0" applyFont="1" applyFill="1" applyAlignment="1">
      <alignment horizontal="center"/>
    </xf>
    <xf numFmtId="0" fontId="18" fillId="68" borderId="0" xfId="0" applyFont="1" applyFill="1" applyAlignment="1">
      <alignment horizontal="left"/>
    </xf>
    <xf numFmtId="210" fontId="0" fillId="87" borderId="0" xfId="0" applyNumberFormat="1" applyFill="1" applyAlignment="1">
      <alignment horizontal="center"/>
    </xf>
    <xf numFmtId="209" fontId="0" fillId="87" borderId="0" xfId="0" applyNumberFormat="1" applyFill="1" applyAlignment="1">
      <alignment horizontal="center"/>
    </xf>
    <xf numFmtId="210" fontId="0" fillId="76" borderId="101" xfId="0" applyNumberFormat="1" applyFill="1" applyBorder="1" applyAlignment="1">
      <alignment horizontal="center"/>
    </xf>
    <xf numFmtId="209" fontId="0" fillId="76" borderId="101" xfId="0" applyNumberFormat="1" applyFill="1" applyBorder="1" applyAlignment="1">
      <alignment horizontal="center"/>
    </xf>
    <xf numFmtId="210" fontId="0" fillId="76" borderId="0" xfId="0" applyNumberFormat="1" applyFill="1" applyBorder="1" applyAlignment="1">
      <alignment horizontal="center"/>
    </xf>
    <xf numFmtId="209" fontId="0" fillId="76" borderId="0" xfId="0" applyNumberFormat="1" applyFill="1" applyBorder="1" applyAlignment="1">
      <alignment horizontal="center"/>
    </xf>
    <xf numFmtId="210" fontId="0" fillId="76" borderId="98" xfId="0" applyNumberFormat="1" applyFill="1" applyBorder="1" applyAlignment="1">
      <alignment horizontal="center"/>
    </xf>
    <xf numFmtId="209" fontId="0" fillId="76" borderId="98" xfId="0" applyNumberFormat="1" applyFill="1" applyBorder="1" applyAlignment="1">
      <alignment horizontal="center"/>
    </xf>
    <xf numFmtId="195" fontId="12" fillId="0" borderId="0" xfId="0" applyNumberFormat="1" applyFont="1" applyAlignment="1">
      <alignment horizontal="center" wrapText="1"/>
    </xf>
    <xf numFmtId="196" fontId="12" fillId="0" borderId="0" xfId="0" applyNumberFormat="1" applyFont="1" applyAlignment="1">
      <alignment horizontal="center" wrapText="1"/>
    </xf>
    <xf numFmtId="0" fontId="7" fillId="57" borderId="50" xfId="0" applyFont="1" applyFill="1" applyBorder="1" applyAlignment="1">
      <alignment horizontal="center"/>
    </xf>
    <xf numFmtId="0" fontId="7" fillId="57" borderId="47" xfId="0" applyFont="1" applyFill="1" applyBorder="1" applyAlignment="1">
      <alignment horizontal="center"/>
    </xf>
    <xf numFmtId="0" fontId="7" fillId="57" borderId="108" xfId="0" applyFont="1" applyFill="1" applyBorder="1" applyAlignment="1">
      <alignment horizontal="center"/>
    </xf>
    <xf numFmtId="0" fontId="0" fillId="0" borderId="106" xfId="0" applyBorder="1" applyAlignment="1">
      <alignment horizontal="center"/>
    </xf>
    <xf numFmtId="49" fontId="0" fillId="82" borderId="106" xfId="0" applyNumberFormat="1" applyFill="1" applyBorder="1" applyAlignment="1">
      <alignment horizontal="center"/>
    </xf>
    <xf numFmtId="209" fontId="0" fillId="82" borderId="106" xfId="0" applyNumberFormat="1" applyFill="1" applyBorder="1" applyAlignment="1">
      <alignment horizontal="center"/>
    </xf>
    <xf numFmtId="0" fontId="0" fillId="82" borderId="106" xfId="0" applyFill="1" applyBorder="1" applyAlignment="1">
      <alignment horizontal="center"/>
    </xf>
    <xf numFmtId="49" fontId="8" fillId="53" borderId="106" xfId="0" applyNumberFormat="1" applyFont="1" applyFill="1" applyBorder="1" applyAlignment="1">
      <alignment horizontal="center"/>
    </xf>
    <xf numFmtId="209" fontId="0" fillId="53" borderId="106" xfId="0" applyNumberFormat="1" applyFill="1" applyBorder="1" applyAlignment="1">
      <alignment horizontal="center"/>
    </xf>
    <xf numFmtId="0" fontId="0" fillId="53" borderId="106" xfId="0" applyFill="1" applyBorder="1" applyAlignment="1">
      <alignment horizontal="center"/>
    </xf>
    <xf numFmtId="49" fontId="0" fillId="53" borderId="106" xfId="0" applyNumberFormat="1" applyFill="1" applyBorder="1" applyAlignment="1">
      <alignment horizontal="center"/>
    </xf>
    <xf numFmtId="49" fontId="0" fillId="84" borderId="106" xfId="0" applyNumberFormat="1" applyFill="1" applyBorder="1" applyAlignment="1">
      <alignment horizontal="center"/>
    </xf>
    <xf numFmtId="209" fontId="0" fillId="84" borderId="106" xfId="0" applyNumberFormat="1" applyFill="1" applyBorder="1" applyAlignment="1">
      <alignment horizontal="center"/>
    </xf>
    <xf numFmtId="0" fontId="7" fillId="84" borderId="106" xfId="0" applyFont="1" applyFill="1" applyBorder="1" applyAlignment="1">
      <alignment horizontal="center"/>
    </xf>
    <xf numFmtId="49" fontId="0" fillId="0" borderId="106" xfId="0" applyNumberFormat="1" applyBorder="1" applyAlignment="1">
      <alignment horizontal="center"/>
    </xf>
    <xf numFmtId="49" fontId="0" fillId="76" borderId="106" xfId="0" applyNumberFormat="1" applyFill="1" applyBorder="1" applyAlignment="1">
      <alignment horizontal="center"/>
    </xf>
    <xf numFmtId="0" fontId="0" fillId="59" borderId="106" xfId="0" applyFill="1" applyBorder="1" applyAlignment="1">
      <alignment horizontal="center"/>
    </xf>
    <xf numFmtId="49" fontId="0" fillId="68" borderId="106" xfId="0" applyNumberFormat="1" applyFill="1" applyBorder="1" applyAlignment="1">
      <alignment horizontal="center"/>
    </xf>
    <xf numFmtId="0" fontId="0" fillId="68" borderId="106" xfId="0" applyFill="1" applyBorder="1" applyAlignment="1">
      <alignment horizontal="center"/>
    </xf>
    <xf numFmtId="49" fontId="0" fillId="83" borderId="106" xfId="0" applyNumberFormat="1" applyFill="1" applyBorder="1" applyAlignment="1">
      <alignment horizontal="center"/>
    </xf>
    <xf numFmtId="0" fontId="0" fillId="83" borderId="106" xfId="0" applyFill="1" applyBorder="1" applyAlignment="1">
      <alignment horizontal="center"/>
    </xf>
    <xf numFmtId="0" fontId="0" fillId="83" borderId="106" xfId="0" applyFont="1" applyFill="1" applyBorder="1" applyAlignment="1">
      <alignment horizontal="center"/>
    </xf>
    <xf numFmtId="49" fontId="7" fillId="82" borderId="106" xfId="0" applyNumberFormat="1" applyFont="1" applyFill="1" applyBorder="1" applyAlignment="1">
      <alignment horizontal="center"/>
    </xf>
    <xf numFmtId="49" fontId="7" fillId="84" borderId="106" xfId="0" applyNumberFormat="1" applyFont="1" applyFill="1" applyBorder="1" applyAlignment="1">
      <alignment horizontal="center"/>
    </xf>
    <xf numFmtId="209" fontId="7" fillId="84" borderId="106" xfId="0" quotePrefix="1" applyNumberFormat="1" applyFont="1" applyFill="1" applyBorder="1" applyAlignment="1">
      <alignment horizontal="center"/>
    </xf>
    <xf numFmtId="0" fontId="0" fillId="59" borderId="106" xfId="0" applyFill="1" applyBorder="1" applyAlignment="1">
      <alignment horizontal="center" vertical="center"/>
    </xf>
    <xf numFmtId="49" fontId="7" fillId="53" borderId="106" xfId="0" applyNumberFormat="1" applyFont="1" applyFill="1" applyBorder="1" applyAlignment="1">
      <alignment horizontal="center"/>
    </xf>
    <xf numFmtId="0" fontId="0" fillId="76" borderId="106" xfId="0" applyFill="1" applyBorder="1" applyAlignment="1">
      <alignment horizontal="center"/>
    </xf>
    <xf numFmtId="0" fontId="0" fillId="0" borderId="106" xfId="0" applyFill="1" applyBorder="1" applyAlignment="1">
      <alignment horizontal="center"/>
    </xf>
    <xf numFmtId="49" fontId="0" fillId="85" borderId="106" xfId="0" applyNumberFormat="1" applyFill="1" applyBorder="1" applyAlignment="1">
      <alignment horizontal="center"/>
    </xf>
    <xf numFmtId="0" fontId="0" fillId="85" borderId="106" xfId="0" applyFill="1" applyBorder="1" applyAlignment="1">
      <alignment horizontal="center"/>
    </xf>
    <xf numFmtId="49" fontId="14" fillId="0" borderId="106" xfId="98" applyNumberFormat="1" applyFont="1" applyFill="1" applyBorder="1" applyAlignment="1">
      <alignment horizontal="center" vertical="center"/>
    </xf>
    <xf numFmtId="0" fontId="21" fillId="0" borderId="101" xfId="98" applyFont="1" applyFill="1" applyBorder="1" applyAlignment="1">
      <alignment vertical="center"/>
    </xf>
    <xf numFmtId="0" fontId="21" fillId="0" borderId="108" xfId="98" applyFont="1" applyFill="1" applyBorder="1" applyAlignment="1">
      <alignment horizontal="right" vertical="center"/>
    </xf>
    <xf numFmtId="0" fontId="16" fillId="31" borderId="26" xfId="98" applyFont="1" applyFill="1" applyBorder="1" applyAlignment="1">
      <alignment vertical="center"/>
    </xf>
    <xf numFmtId="0" fontId="16" fillId="31" borderId="28" xfId="98" applyFont="1" applyFill="1" applyBorder="1" applyAlignment="1">
      <alignment vertical="center"/>
    </xf>
    <xf numFmtId="0" fontId="177" fillId="31" borderId="26" xfId="98" applyFont="1" applyFill="1" applyBorder="1" applyAlignment="1">
      <alignment horizontal="center" vertical="center"/>
    </xf>
    <xf numFmtId="0" fontId="177" fillId="31" borderId="57" xfId="98" applyFont="1" applyFill="1" applyBorder="1" applyAlignment="1">
      <alignment horizontal="center" vertical="center"/>
    </xf>
    <xf numFmtId="0" fontId="0" fillId="0" borderId="0" xfId="0" applyBorder="1" applyAlignment="1">
      <alignment horizontal="center" vertical="center"/>
    </xf>
    <xf numFmtId="0" fontId="0" fillId="31" borderId="106" xfId="0" applyFill="1" applyBorder="1" applyAlignment="1">
      <alignment horizontal="center" vertical="center"/>
    </xf>
    <xf numFmtId="1" fontId="0" fillId="31" borderId="106" xfId="0" applyNumberFormat="1" applyFill="1" applyBorder="1" applyAlignment="1">
      <alignment horizontal="center" vertical="center"/>
    </xf>
    <xf numFmtId="1" fontId="0" fillId="29" borderId="3" xfId="0" applyNumberFormat="1" applyFill="1" applyBorder="1" applyAlignment="1">
      <alignment horizontal="center" vertical="center"/>
    </xf>
    <xf numFmtId="0" fontId="0" fillId="0" borderId="3" xfId="0" applyBorder="1" applyAlignment="1">
      <alignment horizontal="center" vertical="center"/>
    </xf>
    <xf numFmtId="0" fontId="0" fillId="0" borderId="19" xfId="0" applyBorder="1" applyAlignment="1">
      <alignment horizontal="center" vertical="center"/>
    </xf>
    <xf numFmtId="0" fontId="0" fillId="0" borderId="21" xfId="0" applyBorder="1" applyAlignment="1">
      <alignment horizontal="center" vertical="center"/>
    </xf>
    <xf numFmtId="0" fontId="7" fillId="83" borderId="106" xfId="0" applyFont="1" applyFill="1" applyBorder="1" applyAlignment="1">
      <alignment horizontal="center"/>
    </xf>
    <xf numFmtId="0" fontId="8" fillId="68" borderId="56" xfId="97" applyFont="1" applyFill="1" applyBorder="1" applyAlignment="1">
      <alignment horizontal="center" vertical="center"/>
    </xf>
    <xf numFmtId="49" fontId="21" fillId="0" borderId="3" xfId="0" applyNumberFormat="1" applyFont="1" applyFill="1" applyBorder="1" applyAlignment="1">
      <alignment horizontal="center"/>
    </xf>
    <xf numFmtId="0" fontId="21" fillId="0" borderId="3" xfId="97" applyFont="1" applyBorder="1" applyAlignment="1">
      <alignment horizontal="center" vertical="center"/>
    </xf>
    <xf numFmtId="0" fontId="11" fillId="0" borderId="0" xfId="97" applyFont="1" applyBorder="1" applyAlignment="1">
      <alignment horizontal="right" vertical="center" indent="1"/>
    </xf>
    <xf numFmtId="0" fontId="11" fillId="0" borderId="0" xfId="97" applyFont="1" applyFill="1" applyBorder="1" applyAlignment="1">
      <alignment horizontal="left" vertical="center"/>
    </xf>
    <xf numFmtId="0" fontId="14" fillId="0" borderId="56" xfId="98" applyFont="1" applyFill="1" applyBorder="1" applyAlignment="1">
      <alignment horizontal="center" vertical="center"/>
    </xf>
    <xf numFmtId="0" fontId="53" fillId="31" borderId="27" xfId="98" applyFont="1" applyFill="1" applyBorder="1" applyAlignment="1">
      <alignment vertical="center"/>
    </xf>
    <xf numFmtId="0" fontId="68" fillId="0" borderId="74" xfId="97" applyFont="1" applyBorder="1" applyAlignment="1">
      <alignment vertical="center"/>
    </xf>
    <xf numFmtId="0" fontId="68" fillId="0" borderId="23" xfId="97" applyFont="1" applyBorder="1" applyAlignment="1">
      <alignment vertical="center"/>
    </xf>
    <xf numFmtId="0" fontId="68" fillId="0" borderId="23" xfId="97" applyFont="1" applyBorder="1" applyAlignment="1">
      <alignment horizontal="center" vertical="center"/>
    </xf>
    <xf numFmtId="0" fontId="7" fillId="0" borderId="72" xfId="97" applyNumberFormat="1" applyBorder="1" applyAlignment="1">
      <alignment vertical="center"/>
    </xf>
    <xf numFmtId="0" fontId="7" fillId="0" borderId="106" xfId="97" applyBorder="1" applyAlignment="1">
      <alignment horizontal="right" vertical="center" indent="3"/>
    </xf>
    <xf numFmtId="0" fontId="11" fillId="0" borderId="14" xfId="97" applyNumberFormat="1" applyFont="1" applyFill="1" applyBorder="1" applyAlignment="1">
      <alignment horizontal="left" vertical="center"/>
    </xf>
    <xf numFmtId="198" fontId="7" fillId="81" borderId="106" xfId="97" applyNumberFormat="1" applyFont="1" applyFill="1" applyBorder="1" applyAlignment="1">
      <alignment horizontal="right" vertical="center" indent="1"/>
    </xf>
    <xf numFmtId="0" fontId="7" fillId="81" borderId="106" xfId="97" applyFont="1" applyFill="1" applyBorder="1" applyAlignment="1">
      <alignment horizontal="center" vertical="center"/>
    </xf>
    <xf numFmtId="0" fontId="7" fillId="81" borderId="19" xfId="97" applyFont="1" applyFill="1" applyBorder="1" applyAlignment="1">
      <alignment horizontal="center" vertical="center"/>
    </xf>
    <xf numFmtId="198" fontId="7" fillId="0" borderId="13" xfId="97" applyNumberFormat="1" applyBorder="1" applyAlignment="1">
      <alignment horizontal="center" vertical="center"/>
    </xf>
    <xf numFmtId="0" fontId="7" fillId="0" borderId="13" xfId="97" applyNumberFormat="1" applyBorder="1" applyAlignment="1">
      <alignment horizontal="center" vertical="center"/>
    </xf>
    <xf numFmtId="0" fontId="7" fillId="81" borderId="106" xfId="97" applyNumberFormat="1" applyFont="1" applyFill="1" applyBorder="1" applyAlignment="1">
      <alignment horizontal="center" vertical="center"/>
    </xf>
    <xf numFmtId="0" fontId="0" fillId="0" borderId="0" xfId="0" applyBorder="1" applyAlignment="1">
      <alignment horizontal="center" vertical="center"/>
    </xf>
    <xf numFmtId="0" fontId="12" fillId="20" borderId="0" xfId="0" applyFont="1" applyFill="1" applyBorder="1" applyAlignment="1">
      <alignment horizontal="center" vertical="center"/>
    </xf>
    <xf numFmtId="0" fontId="0" fillId="0" borderId="24" xfId="0" applyFill="1" applyBorder="1" applyAlignment="1">
      <alignment horizontal="center" vertical="center"/>
    </xf>
    <xf numFmtId="0" fontId="53" fillId="20" borderId="0" xfId="0" applyFont="1" applyFill="1" applyBorder="1" applyAlignment="1" applyProtection="1">
      <alignment horizontal="right" vertical="center"/>
    </xf>
    <xf numFmtId="0" fontId="0" fillId="0" borderId="44" xfId="0" applyFill="1" applyBorder="1" applyAlignment="1">
      <alignment horizontal="center" vertical="center"/>
    </xf>
    <xf numFmtId="0" fontId="0" fillId="0" borderId="0" xfId="0" applyFill="1" applyBorder="1" applyAlignment="1">
      <alignment horizontal="center" vertical="center"/>
    </xf>
    <xf numFmtId="0" fontId="0" fillId="0" borderId="36" xfId="0" applyFill="1" applyBorder="1" applyAlignment="1">
      <alignment horizontal="center" vertical="center"/>
    </xf>
    <xf numFmtId="194" fontId="0" fillId="81" borderId="3" xfId="0" applyNumberFormat="1" applyFill="1" applyBorder="1" applyAlignment="1">
      <alignment horizontal="center" vertical="center"/>
    </xf>
    <xf numFmtId="197" fontId="0" fillId="81" borderId="3" xfId="0" applyNumberFormat="1" applyFill="1" applyBorder="1" applyAlignment="1">
      <alignment horizontal="center" vertical="center"/>
    </xf>
    <xf numFmtId="0" fontId="7" fillId="67" borderId="0" xfId="97" applyFont="1" applyFill="1" applyAlignment="1">
      <alignment horizontal="center" vertical="center"/>
    </xf>
    <xf numFmtId="0" fontId="7" fillId="0" borderId="0" xfId="0" applyFont="1" applyFill="1" applyAlignment="1">
      <alignment horizontal="left" vertical="center"/>
    </xf>
    <xf numFmtId="49" fontId="7" fillId="0" borderId="106" xfId="0" applyNumberFormat="1" applyFont="1" applyBorder="1" applyAlignment="1">
      <alignment horizontal="center"/>
    </xf>
    <xf numFmtId="0" fontId="0" fillId="81" borderId="24" xfId="0" applyFill="1" applyBorder="1" applyAlignment="1">
      <alignment horizontal="center" vertical="center"/>
    </xf>
    <xf numFmtId="0" fontId="0" fillId="81" borderId="26" xfId="0" applyFill="1" applyBorder="1" applyAlignment="1">
      <alignment horizontal="center" vertical="center"/>
    </xf>
    <xf numFmtId="0" fontId="0" fillId="81" borderId="14" xfId="0" applyFill="1" applyBorder="1" applyAlignment="1">
      <alignment horizontal="center" vertical="center"/>
    </xf>
    <xf numFmtId="0" fontId="21" fillId="81" borderId="25" xfId="98" applyFont="1" applyFill="1" applyBorder="1" applyAlignment="1">
      <alignment horizontal="left" vertical="center"/>
    </xf>
    <xf numFmtId="0" fontId="21" fillId="81" borderId="26" xfId="98" applyFont="1" applyFill="1" applyBorder="1" applyAlignment="1">
      <alignment horizontal="left" vertical="center"/>
    </xf>
    <xf numFmtId="0" fontId="14" fillId="0" borderId="119" xfId="0" applyFont="1" applyFill="1" applyBorder="1" applyAlignment="1">
      <alignment horizontal="center"/>
    </xf>
    <xf numFmtId="0" fontId="14" fillId="0" borderId="117" xfId="0" applyFont="1" applyFill="1" applyBorder="1" applyAlignment="1">
      <alignment horizontal="center"/>
    </xf>
    <xf numFmtId="0" fontId="14" fillId="0" borderId="118" xfId="0" applyFont="1" applyBorder="1"/>
    <xf numFmtId="0" fontId="14" fillId="81" borderId="3" xfId="0" applyFont="1" applyFill="1" applyBorder="1" applyAlignment="1">
      <alignment horizontal="center"/>
    </xf>
    <xf numFmtId="0" fontId="14" fillId="81" borderId="119" xfId="0" applyFont="1" applyFill="1" applyBorder="1" applyAlignment="1">
      <alignment horizontal="center"/>
    </xf>
    <xf numFmtId="49" fontId="58" fillId="81" borderId="3" xfId="0" applyNumberFormat="1" applyFont="1" applyFill="1" applyBorder="1" applyAlignment="1">
      <alignment horizontal="center" vertical="center"/>
    </xf>
    <xf numFmtId="49" fontId="12" fillId="81" borderId="3" xfId="0" applyNumberFormat="1" applyFont="1" applyFill="1" applyBorder="1" applyAlignment="1">
      <alignment horizontal="center" vertical="center"/>
    </xf>
    <xf numFmtId="49" fontId="20" fillId="81" borderId="3" xfId="0" applyNumberFormat="1" applyFont="1" applyFill="1" applyBorder="1" applyAlignment="1">
      <alignment horizontal="center" vertical="center"/>
    </xf>
    <xf numFmtId="0" fontId="19" fillId="81" borderId="23" xfId="0" applyFont="1" applyFill="1" applyBorder="1" applyAlignment="1">
      <alignment horizontal="center"/>
    </xf>
    <xf numFmtId="0" fontId="19" fillId="81" borderId="3" xfId="0" applyFont="1" applyFill="1" applyBorder="1" applyAlignment="1">
      <alignment horizontal="center"/>
    </xf>
    <xf numFmtId="49" fontId="20" fillId="81" borderId="33" xfId="0" applyNumberFormat="1" applyFont="1" applyFill="1" applyBorder="1" applyAlignment="1">
      <alignment horizontal="center" vertical="center"/>
    </xf>
    <xf numFmtId="49" fontId="12" fillId="81" borderId="15" xfId="0" applyNumberFormat="1" applyFont="1" applyFill="1" applyBorder="1" applyAlignment="1">
      <alignment horizontal="center" vertical="center"/>
    </xf>
    <xf numFmtId="0" fontId="19" fillId="81" borderId="33" xfId="0" applyFont="1" applyFill="1" applyBorder="1" applyAlignment="1">
      <alignment horizontal="center"/>
    </xf>
    <xf numFmtId="0" fontId="19" fillId="81" borderId="69" xfId="0" applyFont="1" applyFill="1" applyBorder="1" applyAlignment="1">
      <alignment horizontal="center"/>
    </xf>
    <xf numFmtId="0" fontId="19" fillId="81" borderId="15" xfId="0" applyFont="1" applyFill="1" applyBorder="1" applyAlignment="1">
      <alignment horizontal="center"/>
    </xf>
    <xf numFmtId="183" fontId="21" fillId="81" borderId="26" xfId="98" applyNumberFormat="1" applyFont="1" applyFill="1" applyBorder="1" applyAlignment="1">
      <alignment horizontal="left" vertical="center"/>
    </xf>
    <xf numFmtId="0" fontId="21" fillId="81" borderId="28" xfId="98" applyFont="1" applyFill="1" applyBorder="1" applyAlignment="1">
      <alignment horizontal="right" vertical="center"/>
    </xf>
    <xf numFmtId="0" fontId="14" fillId="81" borderId="49" xfId="98" applyNumberFormat="1" applyFont="1" applyFill="1" applyBorder="1" applyAlignment="1">
      <alignment horizontal="center" vertical="center"/>
    </xf>
    <xf numFmtId="0" fontId="21" fillId="81" borderId="49" xfId="98" applyNumberFormat="1" applyFont="1" applyFill="1" applyBorder="1" applyAlignment="1">
      <alignment horizontal="center" vertical="center"/>
    </xf>
    <xf numFmtId="0" fontId="17" fillId="81" borderId="49" xfId="98" applyNumberFormat="1" applyFont="1" applyFill="1" applyBorder="1" applyAlignment="1">
      <alignment horizontal="center" vertical="center"/>
    </xf>
    <xf numFmtId="184" fontId="21" fillId="81" borderId="25" xfId="98" applyNumberFormat="1" applyFont="1" applyFill="1" applyBorder="1" applyAlignment="1">
      <alignment horizontal="left" vertical="center"/>
    </xf>
    <xf numFmtId="0" fontId="21" fillId="81" borderId="28" xfId="98" applyNumberFormat="1" applyFont="1" applyFill="1" applyBorder="1" applyAlignment="1">
      <alignment horizontal="center" vertical="center"/>
    </xf>
    <xf numFmtId="0" fontId="14" fillId="81" borderId="59" xfId="98" applyFont="1" applyFill="1" applyBorder="1" applyAlignment="1">
      <alignment horizontal="center" vertical="center"/>
    </xf>
    <xf numFmtId="0" fontId="21" fillId="81" borderId="50" xfId="98" applyFont="1" applyFill="1" applyBorder="1" applyAlignment="1">
      <alignment vertical="center"/>
    </xf>
    <xf numFmtId="0" fontId="21" fillId="81" borderId="44" xfId="98" applyFont="1" applyFill="1" applyBorder="1" applyAlignment="1">
      <alignment vertical="center"/>
    </xf>
    <xf numFmtId="0" fontId="21" fillId="81" borderId="51" xfId="98" applyFont="1" applyFill="1" applyBorder="1" applyAlignment="1">
      <alignment horizontal="right" vertical="center"/>
    </xf>
    <xf numFmtId="0" fontId="14" fillId="81" borderId="59" xfId="98" applyNumberFormat="1" applyFont="1" applyFill="1" applyBorder="1" applyAlignment="1">
      <alignment horizontal="center" vertical="center"/>
    </xf>
    <xf numFmtId="0" fontId="21" fillId="81" borderId="59" xfId="98" applyNumberFormat="1" applyFont="1" applyFill="1" applyBorder="1" applyAlignment="1">
      <alignment horizontal="center" vertical="center"/>
    </xf>
    <xf numFmtId="0" fontId="21" fillId="81" borderId="26" xfId="98" applyFont="1" applyFill="1" applyBorder="1" applyAlignment="1">
      <alignment horizontal="center" vertical="center"/>
    </xf>
    <xf numFmtId="0" fontId="21" fillId="81" borderId="66" xfId="98" applyFont="1" applyFill="1" applyBorder="1" applyAlignment="1">
      <alignment horizontal="center" vertical="center"/>
    </xf>
    <xf numFmtId="0" fontId="7" fillId="81" borderId="36" xfId="98" applyFont="1" applyFill="1" applyBorder="1" applyAlignment="1">
      <alignment vertical="center"/>
    </xf>
    <xf numFmtId="0" fontId="7" fillId="81" borderId="37" xfId="98" applyFont="1" applyFill="1" applyBorder="1" applyAlignment="1">
      <alignment horizontal="left" vertical="center"/>
    </xf>
    <xf numFmtId="178" fontId="7" fillId="81" borderId="37" xfId="98" applyNumberFormat="1" applyFont="1" applyFill="1" applyBorder="1" applyAlignment="1">
      <alignment horizontal="center" vertical="center"/>
    </xf>
    <xf numFmtId="0" fontId="21" fillId="81" borderId="37" xfId="98" applyFont="1" applyFill="1" applyBorder="1" applyAlignment="1">
      <alignment horizontal="center" vertical="center"/>
    </xf>
    <xf numFmtId="0" fontId="21" fillId="81" borderId="79" xfId="98" applyFont="1" applyFill="1" applyBorder="1" applyAlignment="1">
      <alignment horizontal="center" vertical="center"/>
    </xf>
    <xf numFmtId="0" fontId="21" fillId="81" borderId="44" xfId="98" applyFont="1" applyFill="1" applyBorder="1" applyAlignment="1">
      <alignment horizontal="center" vertical="center"/>
    </xf>
    <xf numFmtId="0" fontId="21" fillId="81" borderId="49" xfId="98" applyFont="1" applyFill="1" applyBorder="1" applyAlignment="1">
      <alignment horizontal="center" vertical="center"/>
    </xf>
    <xf numFmtId="0" fontId="21" fillId="81" borderId="59" xfId="98" applyFont="1" applyFill="1" applyBorder="1" applyAlignment="1">
      <alignment horizontal="center" vertical="center"/>
    </xf>
    <xf numFmtId="0" fontId="7" fillId="81" borderId="24" xfId="98" applyFont="1" applyFill="1" applyBorder="1" applyAlignment="1">
      <alignment vertical="center"/>
    </xf>
    <xf numFmtId="0" fontId="21" fillId="81" borderId="46" xfId="98" applyFont="1" applyFill="1" applyBorder="1" applyAlignment="1">
      <alignment horizontal="center" vertical="center"/>
    </xf>
    <xf numFmtId="0" fontId="7" fillId="81" borderId="29" xfId="98" applyFont="1" applyFill="1" applyBorder="1" applyAlignment="1">
      <alignment vertical="center"/>
    </xf>
    <xf numFmtId="0" fontId="7" fillId="81" borderId="44" xfId="98" applyFont="1" applyFill="1" applyBorder="1" applyAlignment="1">
      <alignment horizontal="left" vertical="center"/>
    </xf>
    <xf numFmtId="49" fontId="14" fillId="81" borderId="59" xfId="98" applyNumberFormat="1" applyFont="1" applyFill="1" applyBorder="1" applyAlignment="1">
      <alignment horizontal="center" vertical="center"/>
    </xf>
    <xf numFmtId="0" fontId="7" fillId="81" borderId="65" xfId="98" applyNumberFormat="1" applyFont="1" applyFill="1" applyBorder="1" applyAlignment="1" applyProtection="1">
      <alignment horizontal="center" vertical="center"/>
      <protection locked="0"/>
    </xf>
    <xf numFmtId="0" fontId="21" fillId="81" borderId="56" xfId="98" applyFont="1" applyFill="1" applyBorder="1" applyAlignment="1" applyProtection="1">
      <alignment horizontal="center" vertical="center" wrapText="1"/>
      <protection locked="0"/>
    </xf>
    <xf numFmtId="0" fontId="8" fillId="81" borderId="65" xfId="98" applyNumberFormat="1" applyFont="1" applyFill="1" applyBorder="1" applyAlignment="1">
      <alignment horizontal="center" vertical="center"/>
    </xf>
    <xf numFmtId="0" fontId="8" fillId="81" borderId="56" xfId="98" applyFont="1" applyFill="1" applyBorder="1" applyAlignment="1">
      <alignment horizontal="center" vertical="center" wrapText="1"/>
    </xf>
    <xf numFmtId="0" fontId="8" fillId="81" borderId="37" xfId="98" applyFont="1" applyFill="1" applyBorder="1" applyAlignment="1">
      <alignment horizontal="center" vertical="center" wrapText="1"/>
    </xf>
    <xf numFmtId="0" fontId="7" fillId="81" borderId="25" xfId="98" applyFont="1" applyFill="1" applyBorder="1" applyAlignment="1">
      <alignment vertical="center"/>
    </xf>
    <xf numFmtId="0" fontId="7" fillId="81" borderId="14" xfId="98" applyFont="1" applyFill="1" applyBorder="1" applyAlignment="1">
      <alignment vertical="center"/>
    </xf>
    <xf numFmtId="0" fontId="7" fillId="81" borderId="26" xfId="98" applyFont="1" applyFill="1" applyBorder="1" applyAlignment="1">
      <alignment horizontal="left" vertical="center"/>
    </xf>
    <xf numFmtId="0" fontId="7" fillId="81" borderId="24" xfId="98" applyFont="1" applyFill="1" applyBorder="1" applyAlignment="1">
      <alignment horizontal="left" vertical="center"/>
    </xf>
    <xf numFmtId="0" fontId="7" fillId="81" borderId="28" xfId="98" applyFont="1" applyFill="1" applyBorder="1" applyAlignment="1">
      <alignment horizontal="left" vertical="center"/>
    </xf>
    <xf numFmtId="0" fontId="16" fillId="81" borderId="3" xfId="43" applyFont="1" applyFill="1">
      <alignment horizontal="center" vertical="center" wrapText="1"/>
      <protection locked="0"/>
    </xf>
    <xf numFmtId="14" fontId="91" fillId="81" borderId="80" xfId="97" applyNumberFormat="1" applyFont="1" applyFill="1" applyBorder="1" applyAlignment="1">
      <alignment horizontal="center" vertical="center" wrapText="1"/>
    </xf>
    <xf numFmtId="0" fontId="0" fillId="0" borderId="0" xfId="0" applyBorder="1" applyAlignment="1">
      <alignment horizontal="center" vertical="center"/>
    </xf>
    <xf numFmtId="2" fontId="0" fillId="0" borderId="3" xfId="0" applyNumberFormat="1" applyFill="1" applyBorder="1" applyAlignment="1">
      <alignment horizontal="center" vertical="center"/>
    </xf>
    <xf numFmtId="2" fontId="0" fillId="0" borderId="35" xfId="0" applyNumberFormat="1" applyBorder="1" applyAlignment="1">
      <alignment horizontal="center" vertical="center"/>
    </xf>
    <xf numFmtId="0" fontId="7" fillId="0" borderId="98" xfId="0" applyFont="1" applyBorder="1" applyAlignment="1">
      <alignment horizontal="left" vertical="center"/>
    </xf>
    <xf numFmtId="49" fontId="14" fillId="28" borderId="3" xfId="0" applyNumberFormat="1" applyFont="1" applyFill="1" applyBorder="1" applyAlignment="1">
      <alignment horizontal="center"/>
    </xf>
    <xf numFmtId="0" fontId="12" fillId="68" borderId="3" xfId="0" applyNumberFormat="1" applyFont="1" applyFill="1" applyBorder="1" applyAlignment="1">
      <alignment horizontal="center" vertical="center"/>
    </xf>
    <xf numFmtId="49" fontId="12" fillId="68" borderId="3" xfId="0" applyNumberFormat="1" applyFont="1" applyFill="1" applyBorder="1" applyAlignment="1">
      <alignment horizontal="center" vertical="center"/>
    </xf>
    <xf numFmtId="0" fontId="14" fillId="0" borderId="98" xfId="98" applyFont="1" applyFill="1" applyBorder="1" applyAlignment="1">
      <alignment vertical="center"/>
    </xf>
    <xf numFmtId="0" fontId="14" fillId="0" borderId="98" xfId="98" applyFont="1" applyFill="1" applyBorder="1" applyAlignment="1">
      <alignment horizontal="right" vertical="center"/>
    </xf>
    <xf numFmtId="49" fontId="14" fillId="0" borderId="119" xfId="98" applyNumberFormat="1" applyFont="1" applyBorder="1" applyAlignment="1">
      <alignment horizontal="center" vertical="center"/>
    </xf>
    <xf numFmtId="209" fontId="7" fillId="53" borderId="106" xfId="0" applyNumberFormat="1" applyFont="1" applyFill="1" applyBorder="1" applyAlignment="1">
      <alignment horizontal="center"/>
    </xf>
    <xf numFmtId="49" fontId="14" fillId="0" borderId="119" xfId="100" applyNumberFormat="1" applyFont="1" applyFill="1" applyBorder="1" applyAlignment="1">
      <alignment horizontal="center" vertical="center"/>
    </xf>
    <xf numFmtId="0" fontId="0" fillId="93" borderId="3" xfId="0" applyFill="1" applyBorder="1" applyAlignment="1">
      <alignment horizontal="center" vertical="center"/>
    </xf>
    <xf numFmtId="0" fontId="0" fillId="93" borderId="0" xfId="0" applyFill="1" applyAlignment="1">
      <alignment horizontal="center"/>
    </xf>
    <xf numFmtId="0" fontId="21" fillId="0" borderId="47" xfId="97" applyFont="1" applyBorder="1" applyAlignment="1">
      <alignment horizontal="center"/>
    </xf>
    <xf numFmtId="0" fontId="21" fillId="0" borderId="31" xfId="97" applyFont="1" applyBorder="1" applyAlignment="1">
      <alignment horizontal="center"/>
    </xf>
    <xf numFmtId="0" fontId="21" fillId="0" borderId="47" xfId="97" applyFont="1" applyBorder="1" applyAlignment="1">
      <alignment horizontal="center" wrapText="1"/>
    </xf>
    <xf numFmtId="0" fontId="21" fillId="0" borderId="38" xfId="97" applyFont="1" applyBorder="1" applyAlignment="1">
      <alignment horizontal="center"/>
    </xf>
    <xf numFmtId="0" fontId="7" fillId="0" borderId="39" xfId="97" applyBorder="1" applyAlignment="1">
      <alignment horizontal="center"/>
    </xf>
    <xf numFmtId="0" fontId="168" fillId="0" borderId="0" xfId="97" applyFont="1" applyAlignment="1">
      <alignment horizontal="center" vertical="center"/>
    </xf>
    <xf numFmtId="0" fontId="169" fillId="0" borderId="0" xfId="97" applyFont="1" applyAlignment="1">
      <alignment horizontal="center"/>
    </xf>
    <xf numFmtId="0" fontId="135" fillId="0" borderId="0" xfId="97" applyFont="1" applyAlignment="1">
      <alignment horizontal="justify" vertical="top" wrapText="1"/>
    </xf>
    <xf numFmtId="0" fontId="21" fillId="57" borderId="47" xfId="97" applyFont="1" applyFill="1" applyBorder="1" applyAlignment="1">
      <alignment horizontal="center"/>
    </xf>
    <xf numFmtId="0" fontId="21" fillId="57" borderId="31" xfId="97" applyFont="1" applyFill="1" applyBorder="1" applyAlignment="1">
      <alignment horizontal="center"/>
    </xf>
    <xf numFmtId="0" fontId="21" fillId="57" borderId="16" xfId="97" applyFont="1" applyFill="1" applyBorder="1" applyAlignment="1">
      <alignment horizontal="center"/>
    </xf>
    <xf numFmtId="0" fontId="21" fillId="57" borderId="12" xfId="97" applyFont="1" applyFill="1" applyBorder="1" applyAlignment="1">
      <alignment horizontal="center"/>
    </xf>
    <xf numFmtId="0" fontId="21" fillId="57" borderId="41" xfId="97" applyFont="1" applyFill="1" applyBorder="1" applyAlignment="1">
      <alignment horizontal="center"/>
    </xf>
    <xf numFmtId="0" fontId="21" fillId="57" borderId="34" xfId="97" applyFont="1" applyFill="1" applyBorder="1" applyAlignment="1">
      <alignment horizontal="center"/>
    </xf>
    <xf numFmtId="0" fontId="21" fillId="57" borderId="47" xfId="97" applyFont="1" applyFill="1" applyBorder="1" applyAlignment="1">
      <alignment horizontal="center" wrapText="1"/>
    </xf>
    <xf numFmtId="0" fontId="21" fillId="57" borderId="38" xfId="97" applyFont="1" applyFill="1" applyBorder="1" applyAlignment="1">
      <alignment horizontal="center"/>
    </xf>
    <xf numFmtId="0" fontId="7" fillId="57" borderId="60" xfId="97" applyFill="1" applyBorder="1" applyAlignment="1">
      <alignment horizontal="center"/>
    </xf>
    <xf numFmtId="49" fontId="14" fillId="22" borderId="22" xfId="97" applyNumberFormat="1" applyFont="1" applyFill="1" applyBorder="1" applyAlignment="1">
      <alignment horizontal="left"/>
    </xf>
    <xf numFmtId="49" fontId="14" fillId="22" borderId="92" xfId="97" applyNumberFormat="1" applyFont="1" applyFill="1" applyBorder="1" applyAlignment="1">
      <alignment horizontal="left"/>
    </xf>
    <xf numFmtId="49" fontId="14" fillId="22" borderId="24" xfId="97" applyNumberFormat="1" applyFont="1" applyFill="1" applyBorder="1" applyAlignment="1">
      <alignment horizontal="left"/>
    </xf>
    <xf numFmtId="49" fontId="14" fillId="22" borderId="14" xfId="97" applyNumberFormat="1" applyFont="1" applyFill="1" applyBorder="1" applyAlignment="1">
      <alignment horizontal="left"/>
    </xf>
    <xf numFmtId="0" fontId="21" fillId="0" borderId="16" xfId="97" applyFont="1" applyBorder="1" applyAlignment="1">
      <alignment horizontal="center"/>
    </xf>
    <xf numFmtId="0" fontId="21" fillId="0" borderId="12" xfId="97" applyFont="1" applyBorder="1" applyAlignment="1">
      <alignment horizontal="center"/>
    </xf>
    <xf numFmtId="0" fontId="21" fillId="0" borderId="41" xfId="97" applyFont="1" applyBorder="1" applyAlignment="1">
      <alignment horizontal="center"/>
    </xf>
    <xf numFmtId="0" fontId="21" fillId="0" borderId="34" xfId="97" applyFont="1" applyBorder="1" applyAlignment="1">
      <alignment horizontal="center"/>
    </xf>
    <xf numFmtId="49" fontId="14" fillId="22" borderId="43" xfId="97" applyNumberFormat="1" applyFont="1" applyFill="1" applyBorder="1" applyAlignment="1">
      <alignment horizontal="left"/>
    </xf>
    <xf numFmtId="49" fontId="14" fillId="22" borderId="45" xfId="97" applyNumberFormat="1" applyFont="1" applyFill="1" applyBorder="1" applyAlignment="1">
      <alignment horizontal="left"/>
    </xf>
    <xf numFmtId="0" fontId="14" fillId="22" borderId="14" xfId="97" applyNumberFormat="1" applyFont="1" applyFill="1" applyBorder="1" applyAlignment="1">
      <alignment horizontal="left"/>
    </xf>
    <xf numFmtId="49" fontId="14" fillId="22" borderId="29" xfId="97" applyNumberFormat="1" applyFont="1" applyFill="1" applyBorder="1" applyAlignment="1">
      <alignment horizontal="left"/>
    </xf>
    <xf numFmtId="49" fontId="14" fillId="22" borderId="67" xfId="97" applyNumberFormat="1" applyFont="1" applyFill="1" applyBorder="1" applyAlignment="1">
      <alignment horizontal="left"/>
    </xf>
    <xf numFmtId="0" fontId="123" fillId="0" borderId="43" xfId="0" applyFont="1" applyBorder="1" applyAlignment="1">
      <alignment horizontal="center" wrapText="1"/>
    </xf>
    <xf numFmtId="0" fontId="123" fillId="0" borderId="44" xfId="0" applyFont="1" applyBorder="1" applyAlignment="1">
      <alignment horizontal="center" wrapText="1"/>
    </xf>
    <xf numFmtId="0" fontId="123" fillId="0" borderId="45" xfId="0" applyFont="1" applyBorder="1" applyAlignment="1">
      <alignment horizontal="center" wrapText="1"/>
    </xf>
    <xf numFmtId="0" fontId="123" fillId="0" borderId="35" xfId="0" applyFont="1" applyBorder="1" applyAlignment="1">
      <alignment horizontal="center" wrapText="1"/>
    </xf>
    <xf numFmtId="0" fontId="123" fillId="0" borderId="0" xfId="0" applyFont="1" applyBorder="1" applyAlignment="1">
      <alignment horizontal="center" wrapText="1"/>
    </xf>
    <xf numFmtId="0" fontId="123" fillId="0" borderId="46" xfId="0" applyFont="1" applyBorder="1" applyAlignment="1">
      <alignment horizontal="center" wrapText="1"/>
    </xf>
    <xf numFmtId="0" fontId="123" fillId="0" borderId="36" xfId="0" applyFont="1" applyBorder="1" applyAlignment="1">
      <alignment horizontal="center" wrapText="1"/>
    </xf>
    <xf numFmtId="0" fontId="123" fillId="0" borderId="37" xfId="0" applyFont="1" applyBorder="1" applyAlignment="1">
      <alignment horizontal="center" wrapText="1"/>
    </xf>
    <xf numFmtId="0" fontId="123" fillId="0" borderId="66" xfId="0" applyFont="1" applyBorder="1" applyAlignment="1">
      <alignment horizontal="center" wrapText="1"/>
    </xf>
    <xf numFmtId="0" fontId="14" fillId="0" borderId="25" xfId="0" applyFont="1" applyBorder="1" applyAlignment="1">
      <alignment horizontal="left"/>
    </xf>
    <xf numFmtId="0" fontId="14" fillId="0" borderId="26" xfId="0" applyFont="1" applyBorder="1" applyAlignment="1">
      <alignment horizontal="left"/>
    </xf>
    <xf numFmtId="0" fontId="14" fillId="0" borderId="14" xfId="0" applyFont="1" applyBorder="1" applyAlignment="1">
      <alignment horizontal="left"/>
    </xf>
    <xf numFmtId="0" fontId="14" fillId="0" borderId="17" xfId="0" applyFont="1" applyBorder="1" applyAlignment="1">
      <alignment horizontal="right"/>
    </xf>
    <xf numFmtId="0" fontId="14" fillId="0" borderId="46" xfId="0" applyFont="1" applyBorder="1" applyAlignment="1">
      <alignment horizontal="right"/>
    </xf>
    <xf numFmtId="0" fontId="14" fillId="0" borderId="3" xfId="0" applyNumberFormat="1" applyFont="1" applyBorder="1" applyAlignment="1">
      <alignment horizontal="center"/>
    </xf>
    <xf numFmtId="169" fontId="14" fillId="0" borderId="3" xfId="0" applyNumberFormat="1" applyFont="1" applyBorder="1" applyAlignment="1">
      <alignment horizontal="center"/>
    </xf>
    <xf numFmtId="49" fontId="14" fillId="0" borderId="52" xfId="0" applyNumberFormat="1" applyFont="1" applyBorder="1" applyAlignment="1">
      <alignment horizontal="left"/>
    </xf>
    <xf numFmtId="49" fontId="14" fillId="0" borderId="53" xfId="0" applyNumberFormat="1" applyFont="1" applyBorder="1" applyAlignment="1">
      <alignment horizontal="left"/>
    </xf>
    <xf numFmtId="49" fontId="14" fillId="0" borderId="67" xfId="0" applyNumberFormat="1" applyFont="1" applyBorder="1" applyAlignment="1">
      <alignment horizontal="left"/>
    </xf>
    <xf numFmtId="49" fontId="14" fillId="0" borderId="25" xfId="0" applyNumberFormat="1" applyFont="1" applyBorder="1" applyAlignment="1">
      <alignment horizontal="left"/>
    </xf>
    <xf numFmtId="49" fontId="14" fillId="0" borderId="26" xfId="0" applyNumberFormat="1" applyFont="1" applyBorder="1" applyAlignment="1">
      <alignment horizontal="left"/>
    </xf>
    <xf numFmtId="49" fontId="14" fillId="0" borderId="14" xfId="0" applyNumberFormat="1" applyFont="1" applyBorder="1" applyAlignment="1">
      <alignment horizontal="left"/>
    </xf>
    <xf numFmtId="0" fontId="7" fillId="0" borderId="24" xfId="0" applyFont="1" applyBorder="1" applyAlignment="1">
      <alignment horizontal="left" vertical="center" wrapText="1"/>
    </xf>
    <xf numFmtId="0" fontId="7" fillId="0" borderId="26" xfId="0" applyFont="1" applyBorder="1" applyAlignment="1">
      <alignment horizontal="left" vertical="center" wrapText="1"/>
    </xf>
    <xf numFmtId="0" fontId="7" fillId="0" borderId="28" xfId="0" applyFont="1" applyBorder="1" applyAlignment="1">
      <alignment horizontal="left" vertical="center" wrapText="1"/>
    </xf>
    <xf numFmtId="0" fontId="127" fillId="0" borderId="0" xfId="0" applyFont="1" applyBorder="1" applyAlignment="1">
      <alignment horizontal="center" vertical="center" wrapText="1"/>
    </xf>
    <xf numFmtId="0" fontId="11" fillId="0" borderId="12" xfId="0" applyFont="1" applyBorder="1" applyAlignment="1">
      <alignment horizontal="center" vertical="center"/>
    </xf>
    <xf numFmtId="0" fontId="11" fillId="0" borderId="0" xfId="0" applyFont="1" applyBorder="1" applyAlignment="1">
      <alignment horizontal="center" vertical="center"/>
    </xf>
    <xf numFmtId="0" fontId="21" fillId="0" borderId="12" xfId="0" applyFont="1" applyBorder="1" applyAlignment="1">
      <alignment horizontal="right" vertical="center"/>
    </xf>
    <xf numFmtId="0" fontId="21" fillId="0" borderId="40" xfId="0" applyFont="1" applyBorder="1" applyAlignment="1">
      <alignment horizontal="right" vertical="center"/>
    </xf>
    <xf numFmtId="0" fontId="21" fillId="0" borderId="0" xfId="0" applyFont="1" applyBorder="1" applyAlignment="1">
      <alignment horizontal="right" vertical="center"/>
    </xf>
    <xf numFmtId="0" fontId="21" fillId="0" borderId="11" xfId="0" applyFont="1" applyBorder="1" applyAlignment="1">
      <alignment horizontal="right" vertical="center"/>
    </xf>
    <xf numFmtId="49" fontId="14" fillId="0" borderId="3" xfId="0" applyNumberFormat="1" applyFont="1" applyBorder="1" applyAlignment="1">
      <alignment horizontal="center"/>
    </xf>
    <xf numFmtId="1" fontId="14" fillId="0" borderId="3" xfId="0" applyNumberFormat="1" applyFont="1" applyBorder="1" applyAlignment="1">
      <alignment horizontal="center"/>
    </xf>
    <xf numFmtId="49" fontId="14" fillId="0" borderId="25" xfId="0" applyNumberFormat="1" applyFont="1" applyBorder="1" applyAlignment="1">
      <alignment horizontal="left" vertical="center"/>
    </xf>
    <xf numFmtId="49" fontId="14" fillId="0" borderId="26" xfId="0" applyNumberFormat="1" applyFont="1" applyBorder="1" applyAlignment="1">
      <alignment horizontal="left" vertical="center"/>
    </xf>
    <xf numFmtId="49" fontId="14" fillId="0" borderId="14" xfId="0" applyNumberFormat="1" applyFont="1" applyBorder="1" applyAlignment="1">
      <alignment horizontal="left" vertical="center"/>
    </xf>
    <xf numFmtId="49" fontId="32" fillId="0" borderId="25" xfId="0" applyNumberFormat="1" applyFont="1" applyBorder="1" applyAlignment="1">
      <alignment horizontal="left"/>
    </xf>
    <xf numFmtId="49" fontId="32" fillId="0" borderId="26" xfId="0" applyNumberFormat="1" applyFont="1" applyBorder="1" applyAlignment="1">
      <alignment horizontal="left"/>
    </xf>
    <xf numFmtId="49" fontId="32" fillId="0" borderId="14" xfId="0" applyNumberFormat="1" applyFont="1" applyBorder="1" applyAlignment="1">
      <alignment horizontal="left"/>
    </xf>
    <xf numFmtId="49" fontId="32" fillId="0" borderId="72" xfId="0" applyNumberFormat="1" applyFont="1" applyBorder="1" applyAlignment="1"/>
    <xf numFmtId="49" fontId="32" fillId="0" borderId="3" xfId="0" applyNumberFormat="1" applyFont="1" applyBorder="1" applyAlignment="1"/>
    <xf numFmtId="0" fontId="28" fillId="0" borderId="47" xfId="0" applyFont="1" applyBorder="1" applyAlignment="1">
      <alignment horizontal="left"/>
    </xf>
    <xf numFmtId="0" fontId="28" fillId="0" borderId="31" xfId="0" applyFont="1" applyBorder="1" applyAlignment="1">
      <alignment horizontal="left"/>
    </xf>
    <xf numFmtId="49" fontId="32" fillId="0" borderId="70" xfId="0" applyNumberFormat="1" applyFont="1" applyBorder="1" applyAlignment="1"/>
    <xf numFmtId="49" fontId="32" fillId="0" borderId="15" xfId="0" applyNumberFormat="1" applyFont="1" applyBorder="1" applyAlignment="1"/>
    <xf numFmtId="0" fontId="28" fillId="0" borderId="12" xfId="0" applyFont="1" applyBorder="1" applyAlignment="1">
      <alignment horizontal="right" vertical="center"/>
    </xf>
    <xf numFmtId="0" fontId="28" fillId="0" borderId="40" xfId="0" applyFont="1" applyBorder="1" applyAlignment="1">
      <alignment horizontal="right" vertical="center"/>
    </xf>
    <xf numFmtId="0" fontId="28" fillId="0" borderId="0" xfId="0" applyFont="1" applyBorder="1" applyAlignment="1">
      <alignment horizontal="right" vertical="center"/>
    </xf>
    <xf numFmtId="0" fontId="28" fillId="0" borderId="11" xfId="0" applyFont="1" applyBorder="1" applyAlignment="1">
      <alignment horizontal="right" vertical="center"/>
    </xf>
    <xf numFmtId="0" fontId="28" fillId="0" borderId="38" xfId="0" applyFont="1" applyBorder="1" applyAlignment="1">
      <alignment horizontal="center"/>
    </xf>
    <xf numFmtId="0" fontId="19" fillId="0" borderId="60" xfId="0" applyFont="1" applyBorder="1" applyAlignment="1">
      <alignment horizontal="center"/>
    </xf>
    <xf numFmtId="0" fontId="19" fillId="0" borderId="39" xfId="0" applyFont="1" applyBorder="1" applyAlignment="1">
      <alignment horizontal="center"/>
    </xf>
    <xf numFmtId="0" fontId="28" fillId="0" borderId="47" xfId="0" applyFont="1" applyBorder="1" applyAlignment="1">
      <alignment horizontal="center"/>
    </xf>
    <xf numFmtId="0" fontId="28" fillId="0" borderId="31" xfId="0" applyFont="1" applyBorder="1" applyAlignment="1">
      <alignment horizontal="center"/>
    </xf>
    <xf numFmtId="0" fontId="29" fillId="0" borderId="12" xfId="0" applyFont="1" applyBorder="1" applyAlignment="1">
      <alignment horizontal="center" vertical="center"/>
    </xf>
    <xf numFmtId="0" fontId="29" fillId="0" borderId="0" xfId="0" applyFont="1" applyBorder="1" applyAlignment="1">
      <alignment horizontal="center" vertical="center"/>
    </xf>
    <xf numFmtId="0" fontId="19" fillId="0" borderId="50" xfId="0" applyFont="1" applyBorder="1" applyAlignment="1">
      <alignment horizontal="center"/>
    </xf>
    <xf numFmtId="0" fontId="19" fillId="0" borderId="44" xfId="0" applyFont="1" applyBorder="1" applyAlignment="1">
      <alignment horizontal="center"/>
    </xf>
    <xf numFmtId="0" fontId="19" fillId="0" borderId="45" xfId="0" applyFont="1" applyBorder="1" applyAlignment="1">
      <alignment horizontal="center"/>
    </xf>
    <xf numFmtId="0" fontId="19" fillId="0" borderId="17" xfId="0" applyFont="1" applyBorder="1" applyAlignment="1">
      <alignment horizontal="center"/>
    </xf>
    <xf numFmtId="0" fontId="19" fillId="0" borderId="0" xfId="0" applyFont="1" applyBorder="1" applyAlignment="1">
      <alignment horizontal="center"/>
    </xf>
    <xf numFmtId="0" fontId="19" fillId="0" borderId="46" xfId="0" applyFont="1" applyBorder="1" applyAlignment="1">
      <alignment horizontal="center"/>
    </xf>
    <xf numFmtId="0" fontId="19" fillId="0" borderId="55" xfId="0" applyFont="1" applyBorder="1" applyAlignment="1">
      <alignment horizontal="center"/>
    </xf>
    <xf numFmtId="0" fontId="19" fillId="0" borderId="37" xfId="0" applyFont="1" applyBorder="1" applyAlignment="1">
      <alignment horizontal="center"/>
    </xf>
    <xf numFmtId="0" fontId="19" fillId="0" borderId="66" xfId="0" applyFont="1" applyBorder="1" applyAlignment="1">
      <alignment horizontal="center"/>
    </xf>
    <xf numFmtId="0" fontId="28" fillId="0" borderId="47" xfId="0" applyFont="1" applyBorder="1" applyAlignment="1">
      <alignment horizontal="left" wrapText="1"/>
    </xf>
    <xf numFmtId="49" fontId="32" fillId="0" borderId="52" xfId="0" applyNumberFormat="1" applyFont="1" applyBorder="1" applyAlignment="1">
      <alignment horizontal="left"/>
    </xf>
    <xf numFmtId="49" fontId="32" fillId="0" borderId="53" xfId="0" applyNumberFormat="1" applyFont="1" applyBorder="1" applyAlignment="1">
      <alignment horizontal="left"/>
    </xf>
    <xf numFmtId="49" fontId="32" fillId="0" borderId="67" xfId="0" applyNumberFormat="1" applyFont="1" applyBorder="1" applyAlignment="1">
      <alignment horizontal="left"/>
    </xf>
    <xf numFmtId="0" fontId="21" fillId="22" borderId="3" xfId="0" applyFont="1" applyFill="1" applyBorder="1" applyAlignment="1">
      <alignment horizontal="center"/>
    </xf>
    <xf numFmtId="0" fontId="7" fillId="0" borderId="22" xfId="0" applyFont="1" applyBorder="1" applyAlignment="1">
      <alignment horizontal="center" vertical="center"/>
    </xf>
    <xf numFmtId="0" fontId="0" fillId="0" borderId="57" xfId="0" applyBorder="1" applyAlignment="1">
      <alignment horizontal="center" vertical="center"/>
    </xf>
    <xf numFmtId="0" fontId="0" fillId="0" borderId="27" xfId="0" applyBorder="1" applyAlignment="1">
      <alignment horizontal="center" vertical="center"/>
    </xf>
    <xf numFmtId="0" fontId="7" fillId="0" borderId="69" xfId="0" applyFont="1" applyBorder="1" applyAlignment="1">
      <alignment horizontal="center" vertical="center"/>
    </xf>
    <xf numFmtId="0" fontId="0" fillId="0" borderId="69" xfId="0" applyBorder="1" applyAlignment="1">
      <alignment horizontal="center" vertical="center"/>
    </xf>
    <xf numFmtId="0" fontId="0" fillId="0" borderId="23" xfId="0" applyBorder="1" applyAlignment="1">
      <alignment horizontal="center" vertical="center"/>
    </xf>
    <xf numFmtId="0" fontId="0" fillId="0" borderId="92" xfId="0" applyBorder="1" applyAlignment="1">
      <alignment horizontal="center" vertical="center"/>
    </xf>
    <xf numFmtId="0" fontId="7" fillId="0" borderId="44" xfId="0" applyFont="1" applyBorder="1" applyAlignment="1">
      <alignment horizontal="center"/>
    </xf>
    <xf numFmtId="0" fontId="0" fillId="0" borderId="44" xfId="0" applyBorder="1" applyAlignment="1"/>
    <xf numFmtId="0" fontId="7" fillId="0" borderId="3" xfId="0" applyFont="1" applyBorder="1" applyAlignment="1">
      <alignment horizontal="center" vertical="center"/>
    </xf>
    <xf numFmtId="0" fontId="0" fillId="0" borderId="3" xfId="0" applyBorder="1" applyAlignment="1">
      <alignment horizontal="center" vertical="center"/>
    </xf>
    <xf numFmtId="0" fontId="0" fillId="0" borderId="16" xfId="0" applyBorder="1" applyAlignment="1">
      <alignment horizontal="center" vertical="center"/>
    </xf>
    <xf numFmtId="0" fontId="0" fillId="0" borderId="12" xfId="0" applyBorder="1" applyAlignment="1">
      <alignment horizontal="center" vertical="center"/>
    </xf>
    <xf numFmtId="0" fontId="0" fillId="0" borderId="40" xfId="0" applyBorder="1" applyAlignment="1">
      <alignment horizontal="center" vertical="center"/>
    </xf>
    <xf numFmtId="0" fontId="8" fillId="0" borderId="0" xfId="0" applyFont="1" applyAlignment="1">
      <alignment horizontal="center" vertical="center"/>
    </xf>
    <xf numFmtId="0" fontId="172" fillId="0" borderId="0" xfId="114" applyFont="1" applyBorder="1" applyAlignment="1">
      <alignment horizontal="center" vertical="center" wrapText="1"/>
    </xf>
    <xf numFmtId="0" fontId="171" fillId="0" borderId="0" xfId="114" applyFont="1" applyBorder="1" applyAlignment="1">
      <alignment horizontal="center"/>
    </xf>
    <xf numFmtId="0" fontId="171" fillId="0" borderId="17" xfId="114" applyFont="1" applyBorder="1" applyAlignment="1">
      <alignment horizontal="center"/>
    </xf>
    <xf numFmtId="229" fontId="164" fillId="51" borderId="38" xfId="114" applyNumberFormat="1" applyFont="1" applyFill="1" applyBorder="1" applyAlignment="1">
      <alignment horizontal="center"/>
    </xf>
    <xf numFmtId="229" fontId="164" fillId="51" borderId="39" xfId="114" applyNumberFormat="1" applyFont="1" applyFill="1" applyBorder="1" applyAlignment="1">
      <alignment horizontal="center"/>
    </xf>
    <xf numFmtId="0" fontId="8" fillId="0" borderId="24" xfId="0" applyFont="1" applyBorder="1" applyAlignment="1">
      <alignment horizontal="center" vertical="center"/>
    </xf>
    <xf numFmtId="0" fontId="8" fillId="0" borderId="26" xfId="0" applyFont="1" applyBorder="1" applyAlignment="1">
      <alignment horizontal="center" vertical="center"/>
    </xf>
    <xf numFmtId="0" fontId="8" fillId="0" borderId="14" xfId="0" applyFont="1" applyBorder="1" applyAlignment="1">
      <alignment horizontal="center" vertical="center"/>
    </xf>
    <xf numFmtId="0" fontId="7" fillId="0" borderId="43" xfId="0" applyFont="1" applyBorder="1" applyAlignment="1">
      <alignment horizontal="center" vertical="center"/>
    </xf>
    <xf numFmtId="0" fontId="7" fillId="0" borderId="35" xfId="0" applyFont="1" applyBorder="1" applyAlignment="1">
      <alignment horizontal="center" vertical="center"/>
    </xf>
    <xf numFmtId="0" fontId="7" fillId="0" borderId="23" xfId="0" applyFont="1" applyBorder="1" applyAlignment="1">
      <alignment horizontal="center" vertical="center"/>
    </xf>
    <xf numFmtId="236" fontId="164" fillId="57" borderId="38" xfId="114" applyNumberFormat="1" applyFont="1" applyFill="1" applyBorder="1" applyAlignment="1">
      <alignment horizontal="center"/>
    </xf>
    <xf numFmtId="236" fontId="164" fillId="57" borderId="39" xfId="114" applyNumberFormat="1" applyFont="1" applyFill="1" applyBorder="1" applyAlignment="1">
      <alignment horizontal="center"/>
    </xf>
    <xf numFmtId="0" fontId="21" fillId="0" borderId="38" xfId="0" applyFont="1" applyBorder="1" applyAlignment="1">
      <alignment horizontal="center" vertical="center"/>
    </xf>
    <xf numFmtId="0" fontId="21" fillId="0" borderId="39" xfId="0" applyFont="1" applyBorder="1" applyAlignment="1">
      <alignment horizontal="center" vertical="center"/>
    </xf>
    <xf numFmtId="0" fontId="0" fillId="0" borderId="0" xfId="0" applyBorder="1" applyAlignment="1">
      <alignment horizontal="center" vertical="center"/>
    </xf>
    <xf numFmtId="0" fontId="8" fillId="0" borderId="24" xfId="0" applyFont="1" applyBorder="1" applyAlignment="1">
      <alignment horizontal="center"/>
    </xf>
    <xf numFmtId="0" fontId="8" fillId="0" borderId="14" xfId="0" applyFont="1" applyBorder="1" applyAlignment="1">
      <alignment horizontal="center"/>
    </xf>
    <xf numFmtId="0" fontId="8" fillId="0" borderId="43" xfId="0" applyFont="1" applyBorder="1" applyAlignment="1">
      <alignment horizontal="center" vertical="center" wrapText="1"/>
    </xf>
    <xf numFmtId="0" fontId="8" fillId="0" borderId="45" xfId="0" applyFont="1" applyBorder="1" applyAlignment="1">
      <alignment horizontal="center" vertical="center" wrapText="1"/>
    </xf>
    <xf numFmtId="0" fontId="7" fillId="0" borderId="19" xfId="0" applyFont="1" applyBorder="1" applyAlignment="1">
      <alignment horizontal="center" vertical="center"/>
    </xf>
    <xf numFmtId="0" fontId="0" fillId="0" borderId="49" xfId="0" applyBorder="1" applyAlignment="1">
      <alignment horizontal="center" vertical="center"/>
    </xf>
    <xf numFmtId="0" fontId="21" fillId="0" borderId="24" xfId="0" applyFont="1" applyBorder="1" applyAlignment="1">
      <alignment horizontal="center" vertical="center"/>
    </xf>
    <xf numFmtId="0" fontId="21" fillId="0" borderId="26" xfId="0" applyFont="1" applyBorder="1" applyAlignment="1">
      <alignment horizontal="center" vertical="center"/>
    </xf>
    <xf numFmtId="0" fontId="21" fillId="0" borderId="14" xfId="0" applyFont="1" applyBorder="1" applyAlignment="1">
      <alignment horizontal="center" vertical="center"/>
    </xf>
    <xf numFmtId="0" fontId="16" fillId="0" borderId="37" xfId="0" applyFont="1" applyBorder="1" applyAlignment="1">
      <alignment horizontal="center" vertical="center"/>
    </xf>
    <xf numFmtId="0" fontId="16" fillId="0" borderId="66" xfId="0" applyFont="1" applyBorder="1" applyAlignment="1">
      <alignment horizontal="center" vertical="center"/>
    </xf>
    <xf numFmtId="0" fontId="8" fillId="0" borderId="43" xfId="0" applyFont="1" applyBorder="1" applyAlignment="1">
      <alignment horizontal="center" vertical="center"/>
    </xf>
    <xf numFmtId="0" fontId="8" fillId="0" borderId="44" xfId="0" applyFont="1" applyBorder="1" applyAlignment="1">
      <alignment horizontal="center" vertical="center"/>
    </xf>
    <xf numFmtId="0" fontId="8" fillId="0" borderId="45" xfId="0" applyFont="1" applyBorder="1" applyAlignment="1">
      <alignment horizontal="center" vertical="center"/>
    </xf>
    <xf numFmtId="0" fontId="8" fillId="0" borderId="35" xfId="0" applyFont="1" applyBorder="1" applyAlignment="1">
      <alignment horizontal="center" vertical="center"/>
    </xf>
    <xf numFmtId="0" fontId="8" fillId="0" borderId="0" xfId="0" applyFont="1" applyBorder="1" applyAlignment="1">
      <alignment horizontal="center" vertical="center"/>
    </xf>
    <xf numFmtId="0" fontId="8" fillId="0" borderId="46" xfId="0" applyFont="1" applyBorder="1" applyAlignment="1">
      <alignment horizontal="center" vertical="center"/>
    </xf>
    <xf numFmtId="0" fontId="8" fillId="0" borderId="36" xfId="0" applyFont="1" applyBorder="1" applyAlignment="1">
      <alignment horizontal="center" vertical="center"/>
    </xf>
    <xf numFmtId="0" fontId="8" fillId="0" borderId="37" xfId="0" applyFont="1" applyBorder="1" applyAlignment="1">
      <alignment horizontal="center" vertical="center"/>
    </xf>
    <xf numFmtId="0" fontId="8" fillId="0" borderId="66" xfId="0" applyFont="1" applyBorder="1" applyAlignment="1">
      <alignment horizontal="center" vertical="center"/>
    </xf>
    <xf numFmtId="0" fontId="7" fillId="0" borderId="100" xfId="0" applyFont="1" applyBorder="1" applyAlignment="1">
      <alignment horizontal="center" vertical="center" wrapText="1"/>
    </xf>
    <xf numFmtId="0" fontId="7" fillId="0" borderId="101" xfId="0" applyFont="1" applyBorder="1" applyAlignment="1">
      <alignment horizontal="center" vertical="center" wrapText="1"/>
    </xf>
    <xf numFmtId="0" fontId="7" fillId="0" borderId="102" xfId="0" applyFont="1" applyBorder="1" applyAlignment="1">
      <alignment horizontal="center" vertical="center" wrapText="1"/>
    </xf>
    <xf numFmtId="0" fontId="0" fillId="0" borderId="19" xfId="0" applyBorder="1" applyAlignment="1">
      <alignment horizontal="center" vertical="center"/>
    </xf>
    <xf numFmtId="0" fontId="25" fillId="0" borderId="16" xfId="0" applyFont="1" applyBorder="1" applyAlignment="1">
      <alignment horizontal="center" vertical="center"/>
    </xf>
    <xf numFmtId="0" fontId="25" fillId="0" borderId="12" xfId="0" applyFont="1" applyBorder="1" applyAlignment="1">
      <alignment horizontal="center" vertical="center"/>
    </xf>
    <xf numFmtId="0" fontId="25" fillId="0" borderId="40" xfId="0" applyFont="1" applyBorder="1" applyAlignment="1">
      <alignment horizontal="center" vertical="center"/>
    </xf>
    <xf numFmtId="0" fontId="25" fillId="0" borderId="41" xfId="0" applyFont="1" applyBorder="1" applyAlignment="1">
      <alignment horizontal="center" vertical="center"/>
    </xf>
    <xf numFmtId="0" fontId="25" fillId="0" borderId="34" xfId="0" applyFont="1" applyBorder="1" applyAlignment="1">
      <alignment horizontal="center" vertical="center"/>
    </xf>
    <xf numFmtId="0" fontId="25" fillId="0" borderId="42" xfId="0" applyFont="1" applyBorder="1" applyAlignment="1">
      <alignment horizontal="center" vertical="center"/>
    </xf>
    <xf numFmtId="0" fontId="0" fillId="0" borderId="24" xfId="0" applyFill="1" applyBorder="1" applyAlignment="1">
      <alignment horizontal="center" vertical="center"/>
    </xf>
    <xf numFmtId="0" fontId="0" fillId="0" borderId="26" xfId="0" applyFill="1" applyBorder="1" applyAlignment="1">
      <alignment horizontal="center" vertical="center"/>
    </xf>
    <xf numFmtId="0" fontId="0" fillId="0" borderId="14" xfId="0" applyFill="1" applyBorder="1" applyAlignment="1">
      <alignment horizontal="center" vertical="center"/>
    </xf>
    <xf numFmtId="49" fontId="8" fillId="0" borderId="24" xfId="0" applyNumberFormat="1" applyFont="1" applyFill="1" applyBorder="1" applyAlignment="1" applyProtection="1">
      <alignment horizontal="center" vertical="center"/>
      <protection locked="0"/>
    </xf>
    <xf numFmtId="49" fontId="8" fillId="0" borderId="26" xfId="0" applyNumberFormat="1" applyFont="1" applyFill="1" applyBorder="1" applyAlignment="1" applyProtection="1">
      <alignment horizontal="center" vertical="center"/>
      <protection locked="0"/>
    </xf>
    <xf numFmtId="49" fontId="8" fillId="0" borderId="14" xfId="0" applyNumberFormat="1" applyFont="1" applyFill="1" applyBorder="1" applyAlignment="1" applyProtection="1">
      <alignment horizontal="center" vertical="center"/>
      <protection locked="0"/>
    </xf>
    <xf numFmtId="0" fontId="11" fillId="0" borderId="0" xfId="0" applyFont="1" applyFill="1" applyBorder="1" applyAlignment="1" applyProtection="1">
      <alignment horizontal="center" vertical="center"/>
    </xf>
    <xf numFmtId="0" fontId="0" fillId="0" borderId="44" xfId="0" applyFill="1" applyBorder="1" applyAlignment="1">
      <alignment horizontal="center" vertical="center"/>
    </xf>
    <xf numFmtId="0" fontId="0" fillId="0" borderId="0" xfId="0" applyFill="1" applyBorder="1" applyAlignment="1">
      <alignment horizontal="center" vertical="center"/>
    </xf>
    <xf numFmtId="0" fontId="0" fillId="0" borderId="36" xfId="0" applyFill="1" applyBorder="1" applyAlignment="1">
      <alignment horizontal="center" vertical="center"/>
    </xf>
    <xf numFmtId="0" fontId="0" fillId="0" borderId="37" xfId="0" applyFill="1" applyBorder="1" applyAlignment="1">
      <alignment horizontal="center" vertical="center"/>
    </xf>
    <xf numFmtId="0" fontId="0" fillId="0" borderId="66" xfId="0" applyFill="1" applyBorder="1" applyAlignment="1">
      <alignment horizontal="center" vertical="center"/>
    </xf>
    <xf numFmtId="0" fontId="0" fillId="0" borderId="24" xfId="0" applyNumberFormat="1" applyFill="1" applyBorder="1" applyAlignment="1">
      <alignment horizontal="center" vertical="center"/>
    </xf>
    <xf numFmtId="0" fontId="0" fillId="0" borderId="26" xfId="0" applyNumberFormat="1" applyFill="1" applyBorder="1" applyAlignment="1">
      <alignment horizontal="center" vertical="center"/>
    </xf>
    <xf numFmtId="0" fontId="0" fillId="0" borderId="14" xfId="0" applyNumberFormat="1" applyFill="1" applyBorder="1" applyAlignment="1">
      <alignment horizontal="center" vertical="center"/>
    </xf>
    <xf numFmtId="0" fontId="53" fillId="20" borderId="37" xfId="0" applyFont="1" applyFill="1" applyBorder="1" applyAlignment="1" applyProtection="1">
      <alignment horizontal="center" vertical="center"/>
    </xf>
    <xf numFmtId="14" fontId="8" fillId="0" borderId="24" xfId="0" applyNumberFormat="1" applyFont="1" applyFill="1" applyBorder="1" applyAlignment="1">
      <alignment horizontal="center" vertical="center"/>
    </xf>
    <xf numFmtId="14" fontId="8" fillId="0" borderId="26" xfId="0" applyNumberFormat="1" applyFont="1" applyFill="1" applyBorder="1" applyAlignment="1">
      <alignment horizontal="center" vertical="center"/>
    </xf>
    <xf numFmtId="14" fontId="8" fillId="0" borderId="14" xfId="0" applyNumberFormat="1" applyFont="1" applyFill="1" applyBorder="1" applyAlignment="1">
      <alignment horizontal="center" vertical="center"/>
    </xf>
    <xf numFmtId="0" fontId="53" fillId="20" borderId="0" xfId="0" applyFont="1" applyFill="1" applyBorder="1" applyAlignment="1">
      <alignment horizontal="center" vertical="center"/>
    </xf>
    <xf numFmtId="0" fontId="53" fillId="20" borderId="0" xfId="0" applyFont="1" applyFill="1" applyAlignment="1">
      <alignment horizontal="center" vertical="center"/>
    </xf>
    <xf numFmtId="0" fontId="12" fillId="20" borderId="0" xfId="0" applyFont="1" applyFill="1" applyBorder="1" applyAlignment="1" applyProtection="1">
      <alignment horizontal="center" vertical="center"/>
    </xf>
    <xf numFmtId="0" fontId="12" fillId="20" borderId="46" xfId="0" applyFont="1" applyFill="1" applyBorder="1" applyAlignment="1" applyProtection="1">
      <alignment horizontal="center" vertical="center"/>
    </xf>
    <xf numFmtId="0" fontId="12" fillId="20" borderId="0" xfId="0" applyFont="1" applyFill="1" applyBorder="1" applyAlignment="1">
      <alignment horizontal="center" vertical="center"/>
    </xf>
    <xf numFmtId="0" fontId="13" fillId="20" borderId="0" xfId="0" applyFont="1" applyFill="1" applyBorder="1" applyAlignment="1">
      <alignment horizontal="center" vertical="center" wrapText="1"/>
    </xf>
    <xf numFmtId="0" fontId="12" fillId="20" borderId="0" xfId="0" applyFont="1" applyFill="1" applyBorder="1" applyAlignment="1" applyProtection="1">
      <alignment horizontal="center" vertical="center" wrapText="1"/>
    </xf>
    <xf numFmtId="0" fontId="12" fillId="20" borderId="46" xfId="0" applyFont="1" applyFill="1" applyBorder="1" applyAlignment="1" applyProtection="1">
      <alignment horizontal="center" vertical="center" wrapText="1"/>
    </xf>
    <xf numFmtId="0" fontId="17" fillId="20" borderId="0" xfId="0" applyFont="1" applyFill="1" applyBorder="1" applyAlignment="1">
      <alignment horizontal="center" vertical="center" wrapText="1"/>
    </xf>
    <xf numFmtId="0" fontId="13" fillId="20" borderId="0" xfId="0" applyFont="1" applyFill="1" applyBorder="1" applyAlignment="1" applyProtection="1">
      <alignment horizontal="center" vertical="center" wrapText="1"/>
    </xf>
    <xf numFmtId="0" fontId="13" fillId="20" borderId="0" xfId="0" applyFont="1" applyFill="1" applyBorder="1" applyAlignment="1" applyProtection="1">
      <alignment horizontal="center" vertical="center"/>
    </xf>
    <xf numFmtId="0" fontId="13" fillId="20" borderId="46" xfId="0" applyFont="1" applyFill="1" applyBorder="1" applyAlignment="1" applyProtection="1">
      <alignment horizontal="center" vertical="center"/>
    </xf>
    <xf numFmtId="0" fontId="58" fillId="20" borderId="0" xfId="0" applyFont="1" applyFill="1" applyBorder="1" applyAlignment="1" applyProtection="1">
      <alignment horizontal="center" vertical="center"/>
    </xf>
    <xf numFmtId="0" fontId="58" fillId="20" borderId="46" xfId="0" applyFont="1" applyFill="1" applyBorder="1" applyAlignment="1" applyProtection="1">
      <alignment horizontal="center" vertical="center"/>
    </xf>
    <xf numFmtId="0" fontId="53" fillId="20" borderId="0" xfId="0" applyFont="1" applyFill="1" applyBorder="1" applyAlignment="1" applyProtection="1">
      <alignment horizontal="right" vertical="center"/>
    </xf>
    <xf numFmtId="0" fontId="53" fillId="20" borderId="46" xfId="0" applyFont="1" applyFill="1" applyBorder="1" applyAlignment="1" applyProtection="1">
      <alignment horizontal="right" vertical="center"/>
    </xf>
    <xf numFmtId="0" fontId="58" fillId="20" borderId="0" xfId="0" applyFont="1" applyFill="1" applyBorder="1" applyAlignment="1" applyProtection="1">
      <alignment horizontal="center" vertical="center" wrapText="1"/>
    </xf>
    <xf numFmtId="0" fontId="58" fillId="20" borderId="46" xfId="0" applyFont="1" applyFill="1" applyBorder="1" applyAlignment="1" applyProtection="1">
      <alignment horizontal="center" vertical="center" wrapText="1"/>
    </xf>
    <xf numFmtId="0" fontId="12" fillId="20" borderId="0" xfId="0" applyFont="1" applyFill="1" applyAlignment="1">
      <alignment horizontal="center" vertical="center"/>
    </xf>
    <xf numFmtId="0" fontId="0" fillId="81" borderId="24" xfId="0" applyFill="1" applyBorder="1" applyAlignment="1">
      <alignment horizontal="center" vertical="center"/>
    </xf>
    <xf numFmtId="0" fontId="0" fillId="81" borderId="26" xfId="0" applyFill="1" applyBorder="1" applyAlignment="1">
      <alignment horizontal="center" vertical="center"/>
    </xf>
    <xf numFmtId="0" fontId="0" fillId="81" borderId="14" xfId="0" applyFill="1" applyBorder="1" applyAlignment="1">
      <alignment horizontal="center" vertical="center"/>
    </xf>
    <xf numFmtId="0" fontId="0" fillId="81" borderId="24" xfId="0" applyNumberFormat="1" applyFill="1" applyBorder="1" applyAlignment="1">
      <alignment horizontal="center" vertical="center"/>
    </xf>
    <xf numFmtId="0" fontId="0" fillId="81" borderId="26" xfId="0" applyNumberFormat="1" applyFill="1" applyBorder="1" applyAlignment="1">
      <alignment horizontal="center" vertical="center"/>
    </xf>
    <xf numFmtId="0" fontId="0" fillId="81" borderId="14" xfId="0" applyNumberFormat="1" applyFill="1" applyBorder="1" applyAlignment="1">
      <alignment horizontal="center" vertical="center"/>
    </xf>
    <xf numFmtId="0" fontId="53" fillId="0" borderId="0" xfId="0" applyFont="1" applyAlignment="1">
      <alignment horizontal="right" vertical="center" wrapText="1"/>
    </xf>
    <xf numFmtId="0" fontId="8" fillId="20" borderId="24" xfId="0" applyFont="1" applyFill="1" applyBorder="1" applyAlignment="1">
      <alignment horizontal="center" vertical="center"/>
    </xf>
    <xf numFmtId="0" fontId="8" fillId="20" borderId="14" xfId="0" applyFont="1" applyFill="1" applyBorder="1" applyAlignment="1">
      <alignment horizontal="center" vertical="center"/>
    </xf>
    <xf numFmtId="0" fontId="0" fillId="0" borderId="18" xfId="0" applyBorder="1" applyAlignment="1">
      <alignment horizontal="center" vertical="center"/>
    </xf>
    <xf numFmtId="0" fontId="0" fillId="0" borderId="21" xfId="0" applyBorder="1" applyAlignment="1">
      <alignment horizontal="center" vertical="center"/>
    </xf>
    <xf numFmtId="0" fontId="151" fillId="0" borderId="0" xfId="0" applyFont="1" applyFill="1" applyBorder="1" applyAlignment="1">
      <alignment horizontal="center" vertical="center" wrapText="1"/>
    </xf>
    <xf numFmtId="0" fontId="8" fillId="64" borderId="0" xfId="0" applyFont="1" applyFill="1" applyBorder="1" applyAlignment="1">
      <alignment horizontal="center" vertical="center" wrapText="1"/>
    </xf>
    <xf numFmtId="0" fontId="12" fillId="0" borderId="70" xfId="0" applyFont="1" applyBorder="1" applyAlignment="1">
      <alignment horizontal="center" vertical="center" wrapText="1"/>
    </xf>
    <xf numFmtId="0" fontId="12" fillId="0" borderId="72" xfId="0" applyFont="1" applyBorder="1" applyAlignment="1">
      <alignment horizontal="center" vertical="center"/>
    </xf>
    <xf numFmtId="0" fontId="12" fillId="0" borderId="73" xfId="0" applyFont="1" applyBorder="1" applyAlignment="1">
      <alignment horizontal="center" vertical="center"/>
    </xf>
    <xf numFmtId="0" fontId="8" fillId="0" borderId="16" xfId="0" applyFont="1" applyBorder="1" applyAlignment="1">
      <alignment horizontal="center" vertical="center" wrapText="1"/>
    </xf>
    <xf numFmtId="0" fontId="8" fillId="0" borderId="40" xfId="0" applyFont="1" applyBorder="1" applyAlignment="1">
      <alignment horizontal="center" vertical="center" wrapText="1"/>
    </xf>
    <xf numFmtId="0" fontId="8" fillId="0" borderId="17" xfId="0" applyFont="1" applyBorder="1" applyAlignment="1">
      <alignment horizontal="center" vertical="center" wrapText="1"/>
    </xf>
    <xf numFmtId="0" fontId="8" fillId="0" borderId="11" xfId="0" applyFont="1" applyBorder="1" applyAlignment="1">
      <alignment horizontal="center" vertical="center" wrapText="1"/>
    </xf>
    <xf numFmtId="0" fontId="151" fillId="20" borderId="0" xfId="0" applyFont="1" applyFill="1" applyBorder="1" applyAlignment="1">
      <alignment horizontal="center" vertical="center" wrapText="1"/>
    </xf>
    <xf numFmtId="0" fontId="53" fillId="0" borderId="35" xfId="0" applyFont="1" applyFill="1" applyBorder="1" applyAlignment="1">
      <alignment horizontal="center" vertical="center" wrapText="1"/>
    </xf>
    <xf numFmtId="0" fontId="53" fillId="0" borderId="0" xfId="0" applyFont="1" applyFill="1" applyBorder="1" applyAlignment="1">
      <alignment horizontal="center" vertical="center" wrapText="1"/>
    </xf>
    <xf numFmtId="0" fontId="7" fillId="0" borderId="24" xfId="0" applyFont="1" applyFill="1" applyBorder="1" applyAlignment="1">
      <alignment horizontal="center" vertical="center"/>
    </xf>
    <xf numFmtId="0" fontId="7" fillId="0" borderId="14" xfId="0" applyFont="1" applyFill="1" applyBorder="1" applyAlignment="1">
      <alignment horizontal="center" vertical="center"/>
    </xf>
    <xf numFmtId="0" fontId="7" fillId="0" borderId="35" xfId="0" applyFont="1" applyBorder="1" applyAlignment="1">
      <alignment horizontal="right" vertical="center" wrapText="1"/>
    </xf>
    <xf numFmtId="0" fontId="7" fillId="0" borderId="46" xfId="0" applyFont="1" applyBorder="1" applyAlignment="1">
      <alignment horizontal="right" vertical="center" wrapText="1"/>
    </xf>
    <xf numFmtId="0" fontId="8" fillId="22" borderId="100" xfId="97" applyFont="1" applyFill="1" applyBorder="1" applyAlignment="1">
      <alignment horizontal="center" vertical="center" wrapText="1"/>
    </xf>
    <xf numFmtId="0" fontId="8" fillId="22" borderId="101" xfId="97" applyFont="1" applyFill="1" applyBorder="1" applyAlignment="1">
      <alignment horizontal="center" vertical="center" wrapText="1"/>
    </xf>
    <xf numFmtId="0" fontId="8" fillId="22" borderId="102" xfId="97" applyFont="1" applyFill="1" applyBorder="1" applyAlignment="1">
      <alignment horizontal="center" vertical="center" wrapText="1"/>
    </xf>
    <xf numFmtId="0" fontId="8" fillId="22" borderId="35" xfId="97" applyFont="1" applyFill="1" applyBorder="1" applyAlignment="1">
      <alignment horizontal="center" vertical="center" wrapText="1"/>
    </xf>
    <xf numFmtId="0" fontId="8" fillId="22" borderId="0" xfId="97" applyFont="1" applyFill="1" applyBorder="1" applyAlignment="1">
      <alignment horizontal="center" vertical="center" wrapText="1"/>
    </xf>
    <xf numFmtId="0" fontId="8" fillId="22" borderId="46" xfId="97" applyFont="1" applyFill="1" applyBorder="1" applyAlignment="1">
      <alignment horizontal="center" vertical="center" wrapText="1"/>
    </xf>
    <xf numFmtId="0" fontId="8" fillId="22" borderId="36" xfId="97" applyFont="1" applyFill="1" applyBorder="1" applyAlignment="1">
      <alignment horizontal="center" vertical="center" wrapText="1"/>
    </xf>
    <xf numFmtId="0" fontId="8" fillId="22" borderId="98" xfId="97" applyFont="1" applyFill="1" applyBorder="1" applyAlignment="1">
      <alignment horizontal="center" vertical="center" wrapText="1"/>
    </xf>
    <xf numFmtId="0" fontId="8" fillId="22" borderId="66" xfId="97" applyFont="1" applyFill="1" applyBorder="1" applyAlignment="1">
      <alignment horizontal="center" vertical="center" wrapText="1"/>
    </xf>
    <xf numFmtId="19" fontId="8" fillId="22" borderId="24" xfId="0" applyNumberFormat="1" applyFont="1" applyFill="1" applyBorder="1" applyAlignment="1">
      <alignment horizontal="center" vertical="center"/>
    </xf>
    <xf numFmtId="19" fontId="8" fillId="22" borderId="14" xfId="0" applyNumberFormat="1" applyFont="1" applyFill="1" applyBorder="1" applyAlignment="1">
      <alignment horizontal="center" vertical="center"/>
    </xf>
    <xf numFmtId="0" fontId="21" fillId="46" borderId="24" xfId="0" applyFont="1" applyFill="1" applyBorder="1" applyAlignment="1">
      <alignment horizontal="center" vertical="center" wrapText="1"/>
    </xf>
    <xf numFmtId="0" fontId="21" fillId="46" borderId="14" xfId="0" applyFont="1" applyFill="1" applyBorder="1" applyAlignment="1">
      <alignment horizontal="center" vertical="center" wrapText="1"/>
    </xf>
    <xf numFmtId="0" fontId="68" fillId="20" borderId="24" xfId="0" applyFont="1" applyFill="1" applyBorder="1" applyAlignment="1">
      <alignment horizontal="center" vertical="center"/>
    </xf>
    <xf numFmtId="0" fontId="68" fillId="20" borderId="26" xfId="0" applyFont="1" applyFill="1" applyBorder="1" applyAlignment="1">
      <alignment horizontal="center" vertical="center"/>
    </xf>
    <xf numFmtId="0" fontId="68" fillId="20" borderId="14" xfId="0" applyFont="1" applyFill="1" applyBorder="1" applyAlignment="1">
      <alignment horizontal="center" vertical="center"/>
    </xf>
    <xf numFmtId="0" fontId="7" fillId="0" borderId="0" xfId="0" applyFont="1" applyFill="1" applyAlignment="1">
      <alignment horizontal="right" vertical="center" wrapText="1"/>
    </xf>
    <xf numFmtId="0" fontId="7" fillId="0" borderId="46" xfId="0" applyFont="1" applyFill="1" applyBorder="1" applyAlignment="1">
      <alignment horizontal="right" vertical="center" wrapText="1"/>
    </xf>
    <xf numFmtId="217" fontId="158" fillId="57" borderId="0" xfId="0" applyNumberFormat="1" applyFont="1" applyFill="1" applyAlignment="1">
      <alignment horizontal="center" vertical="center" textRotation="90" wrapText="1"/>
    </xf>
    <xf numFmtId="0" fontId="47" fillId="64" borderId="6" xfId="103" applyFill="1" applyAlignment="1">
      <alignment horizontal="center"/>
    </xf>
    <xf numFmtId="217" fontId="0" fillId="30" borderId="0" xfId="0" applyNumberFormat="1" applyFill="1" applyAlignment="1">
      <alignment horizontal="center" textRotation="90"/>
    </xf>
    <xf numFmtId="0" fontId="0" fillId="31" borderId="0" xfId="0" applyFill="1" applyAlignment="1">
      <alignment horizontal="center" textRotation="90"/>
    </xf>
    <xf numFmtId="0" fontId="14" fillId="45" borderId="3" xfId="0" applyFont="1" applyFill="1" applyBorder="1" applyAlignment="1">
      <alignment horizontal="center" vertical="center"/>
    </xf>
    <xf numFmtId="217" fontId="15" fillId="77" borderId="0" xfId="0" applyNumberFormat="1" applyFont="1" applyFill="1" applyAlignment="1">
      <alignment horizontal="center" vertical="center" textRotation="90" wrapText="1"/>
    </xf>
    <xf numFmtId="0" fontId="80" fillId="20" borderId="0" xfId="98" applyFont="1" applyFill="1" applyBorder="1" applyAlignment="1">
      <alignment horizontal="center"/>
    </xf>
    <xf numFmtId="0" fontId="80" fillId="0" borderId="0" xfId="98" applyFont="1" applyAlignment="1">
      <alignment horizontal="center"/>
    </xf>
    <xf numFmtId="0" fontId="68" fillId="20" borderId="13" xfId="98" applyFont="1" applyFill="1" applyBorder="1" applyAlignment="1">
      <alignment horizontal="center" wrapText="1"/>
    </xf>
    <xf numFmtId="0" fontId="68" fillId="0" borderId="13" xfId="98" applyFont="1" applyBorder="1" applyAlignment="1">
      <alignment horizontal="center" wrapText="1"/>
    </xf>
    <xf numFmtId="0" fontId="54" fillId="20" borderId="13" xfId="98" applyFont="1" applyFill="1" applyBorder="1" applyAlignment="1">
      <alignment horizontal="center"/>
    </xf>
    <xf numFmtId="0" fontId="7" fillId="29" borderId="13" xfId="98" applyFill="1" applyBorder="1" applyAlignment="1">
      <alignment horizontal="center" vertical="center"/>
    </xf>
    <xf numFmtId="0" fontId="7" fillId="30" borderId="13" xfId="98" applyFill="1" applyBorder="1" applyAlignment="1">
      <alignment horizontal="center" vertical="center"/>
    </xf>
    <xf numFmtId="0" fontId="21" fillId="20" borderId="0" xfId="98" applyFont="1" applyFill="1" applyBorder="1" applyAlignment="1">
      <alignment horizontal="right" vertical="center"/>
    </xf>
    <xf numFmtId="0" fontId="21" fillId="20" borderId="0" xfId="98" applyFont="1" applyFill="1" applyBorder="1" applyAlignment="1">
      <alignment horizontal="center"/>
    </xf>
    <xf numFmtId="0" fontId="78" fillId="20" borderId="0" xfId="98" applyFont="1" applyFill="1" applyBorder="1" applyAlignment="1">
      <alignment horizontal="center"/>
    </xf>
    <xf numFmtId="0" fontId="78" fillId="0" borderId="0" xfId="98" applyFont="1" applyAlignment="1">
      <alignment horizontal="center"/>
    </xf>
    <xf numFmtId="0" fontId="68" fillId="39" borderId="47" xfId="98" applyFont="1" applyFill="1" applyBorder="1" applyAlignment="1">
      <alignment horizontal="center" wrapText="1"/>
    </xf>
    <xf numFmtId="0" fontId="68" fillId="39" borderId="31" xfId="98" applyFont="1" applyFill="1" applyBorder="1" applyAlignment="1">
      <alignment horizontal="center" wrapText="1"/>
    </xf>
    <xf numFmtId="0" fontId="54" fillId="39" borderId="38" xfId="98" applyFont="1" applyFill="1" applyBorder="1" applyAlignment="1">
      <alignment horizontal="center"/>
    </xf>
    <xf numFmtId="0" fontId="54" fillId="39" borderId="60" xfId="98" applyFont="1" applyFill="1" applyBorder="1" applyAlignment="1">
      <alignment horizontal="center"/>
    </xf>
    <xf numFmtId="0" fontId="54" fillId="39" borderId="39" xfId="98" applyFont="1" applyFill="1" applyBorder="1" applyAlignment="1">
      <alignment horizontal="center"/>
    </xf>
    <xf numFmtId="0" fontId="7" fillId="39" borderId="38" xfId="98" applyFill="1" applyBorder="1" applyAlignment="1">
      <alignment horizontal="center" vertical="center"/>
    </xf>
    <xf numFmtId="0" fontId="7" fillId="39" borderId="39" xfId="98" applyFill="1" applyBorder="1" applyAlignment="1">
      <alignment horizontal="center" vertical="center"/>
    </xf>
    <xf numFmtId="0" fontId="21" fillId="39" borderId="0" xfId="98" applyFont="1" applyFill="1" applyBorder="1" applyAlignment="1">
      <alignment horizontal="right" vertical="center"/>
    </xf>
    <xf numFmtId="0" fontId="68" fillId="39" borderId="13" xfId="98" applyFont="1" applyFill="1" applyBorder="1" applyAlignment="1">
      <alignment horizontal="center" wrapText="1"/>
    </xf>
    <xf numFmtId="0" fontId="54" fillId="39" borderId="13" xfId="98" applyFont="1" applyFill="1" applyBorder="1" applyAlignment="1">
      <alignment horizontal="center"/>
    </xf>
    <xf numFmtId="0" fontId="7" fillId="39" borderId="13" xfId="98" applyFill="1" applyBorder="1" applyAlignment="1">
      <alignment horizontal="center" vertical="center"/>
    </xf>
    <xf numFmtId="0" fontId="21" fillId="39" borderId="0" xfId="98" applyFont="1" applyFill="1" applyBorder="1" applyAlignment="1">
      <alignment horizontal="center"/>
    </xf>
    <xf numFmtId="0" fontId="68" fillId="32" borderId="47" xfId="98" applyFont="1" applyFill="1" applyBorder="1" applyAlignment="1">
      <alignment horizontal="center" wrapText="1"/>
    </xf>
    <xf numFmtId="0" fontId="68" fillId="32" borderId="31" xfId="98" applyFont="1" applyFill="1" applyBorder="1" applyAlignment="1">
      <alignment horizontal="center" wrapText="1"/>
    </xf>
    <xf numFmtId="0" fontId="54" fillId="32" borderId="38" xfId="98" applyFont="1" applyFill="1" applyBorder="1" applyAlignment="1">
      <alignment horizontal="center"/>
    </xf>
    <xf numFmtId="0" fontId="54" fillId="32" borderId="60" xfId="98" applyFont="1" applyFill="1" applyBorder="1" applyAlignment="1">
      <alignment horizontal="center"/>
    </xf>
    <xf numFmtId="0" fontId="54" fillId="32" borderId="39" xfId="98" applyFont="1" applyFill="1" applyBorder="1" applyAlignment="1">
      <alignment horizontal="center"/>
    </xf>
    <xf numFmtId="0" fontId="7" fillId="32" borderId="38" xfId="98" applyFill="1" applyBorder="1" applyAlignment="1">
      <alignment horizontal="center" vertical="center"/>
    </xf>
    <xf numFmtId="0" fontId="7" fillId="32" borderId="39" xfId="98" applyFill="1" applyBorder="1" applyAlignment="1">
      <alignment horizontal="center" vertical="center"/>
    </xf>
    <xf numFmtId="0" fontId="21" fillId="32" borderId="0" xfId="98" applyFont="1" applyFill="1" applyBorder="1" applyAlignment="1">
      <alignment horizontal="right" vertical="center"/>
    </xf>
    <xf numFmtId="0" fontId="68" fillId="32" borderId="13" xfId="98" applyFont="1" applyFill="1" applyBorder="1" applyAlignment="1">
      <alignment horizontal="center" wrapText="1"/>
    </xf>
    <xf numFmtId="0" fontId="54" fillId="32" borderId="13" xfId="98" applyFont="1" applyFill="1" applyBorder="1" applyAlignment="1">
      <alignment horizontal="center"/>
    </xf>
    <xf numFmtId="0" fontId="7" fillId="32" borderId="13" xfId="98" applyFill="1" applyBorder="1" applyAlignment="1">
      <alignment horizontal="center" vertical="center"/>
    </xf>
    <xf numFmtId="0" fontId="21" fillId="32" borderId="0" xfId="98" applyFont="1" applyFill="1" applyBorder="1" applyAlignment="1">
      <alignment horizontal="center"/>
    </xf>
    <xf numFmtId="0" fontId="68" fillId="20" borderId="47" xfId="98" applyFont="1" applyFill="1" applyBorder="1" applyAlignment="1">
      <alignment horizontal="center" wrapText="1"/>
    </xf>
    <xf numFmtId="0" fontId="68" fillId="20" borderId="31" xfId="98" applyFont="1" applyFill="1" applyBorder="1" applyAlignment="1">
      <alignment horizontal="center" wrapText="1"/>
    </xf>
    <xf numFmtId="0" fontId="54" fillId="20" borderId="38" xfId="98" applyFont="1" applyFill="1" applyBorder="1" applyAlignment="1">
      <alignment horizontal="center"/>
    </xf>
    <xf numFmtId="0" fontId="54" fillId="20" borderId="60" xfId="98" applyFont="1" applyFill="1" applyBorder="1" applyAlignment="1">
      <alignment horizontal="center"/>
    </xf>
    <xf numFmtId="0" fontId="54" fillId="20" borderId="39" xfId="98" applyFont="1" applyFill="1" applyBorder="1" applyAlignment="1">
      <alignment horizontal="center"/>
    </xf>
    <xf numFmtId="0" fontId="7" fillId="30" borderId="38" xfId="98" applyFill="1" applyBorder="1" applyAlignment="1">
      <alignment horizontal="center" vertical="center"/>
    </xf>
    <xf numFmtId="0" fontId="7" fillId="30" borderId="39" xfId="98" applyFill="1" applyBorder="1" applyAlignment="1">
      <alignment horizontal="center" vertical="center"/>
    </xf>
    <xf numFmtId="0" fontId="7" fillId="29" borderId="38" xfId="98" applyFill="1" applyBorder="1" applyAlignment="1">
      <alignment horizontal="center" vertical="center"/>
    </xf>
    <xf numFmtId="0" fontId="7" fillId="29" borderId="39" xfId="98" applyFill="1" applyBorder="1" applyAlignment="1">
      <alignment horizontal="center" vertical="center"/>
    </xf>
    <xf numFmtId="0" fontId="62" fillId="20" borderId="0" xfId="98" applyFont="1" applyFill="1" applyBorder="1" applyAlignment="1">
      <alignment horizontal="center"/>
    </xf>
    <xf numFmtId="0" fontId="62" fillId="0" borderId="0" xfId="98" applyFont="1" applyAlignment="1">
      <alignment horizontal="center"/>
    </xf>
    <xf numFmtId="0" fontId="11" fillId="0" borderId="12" xfId="98" applyFont="1" applyBorder="1" applyAlignment="1">
      <alignment horizontal="center" vertical="center"/>
    </xf>
    <xf numFmtId="0" fontId="11" fillId="0" borderId="0" xfId="98" applyFont="1" applyBorder="1" applyAlignment="1">
      <alignment horizontal="center" vertical="center"/>
    </xf>
    <xf numFmtId="0" fontId="21" fillId="0" borderId="12" xfId="98" applyFont="1" applyBorder="1" applyAlignment="1">
      <alignment horizontal="center" vertical="center"/>
    </xf>
    <xf numFmtId="0" fontId="21" fillId="0" borderId="0" xfId="98" applyFont="1" applyBorder="1" applyAlignment="1">
      <alignment horizontal="center" vertical="center"/>
    </xf>
    <xf numFmtId="0" fontId="21" fillId="0" borderId="0" xfId="98" applyFont="1" applyBorder="1" applyAlignment="1">
      <alignment horizontal="right" vertical="center"/>
    </xf>
    <xf numFmtId="0" fontId="14" fillId="0" borderId="33" xfId="98" applyFont="1" applyBorder="1" applyAlignment="1">
      <alignment horizontal="center" textRotation="90"/>
    </xf>
    <xf numFmtId="0" fontId="14" fillId="0" borderId="69" xfId="98" applyFont="1" applyBorder="1" applyAlignment="1">
      <alignment horizontal="center" textRotation="90"/>
    </xf>
    <xf numFmtId="0" fontId="14" fillId="0" borderId="23" xfId="98" applyFont="1" applyBorder="1" applyAlignment="1">
      <alignment horizontal="center" textRotation="90"/>
    </xf>
    <xf numFmtId="0" fontId="53" fillId="0" borderId="17" xfId="98" applyFont="1" applyBorder="1" applyAlignment="1">
      <alignment horizontal="center" wrapText="1"/>
    </xf>
    <xf numFmtId="0" fontId="53" fillId="0" borderId="0" xfId="98" applyFont="1" applyBorder="1" applyAlignment="1">
      <alignment horizontal="center" wrapText="1"/>
    </xf>
    <xf numFmtId="0" fontId="68" fillId="0" borderId="47" xfId="98" applyFont="1" applyBorder="1" applyAlignment="1">
      <alignment horizontal="left"/>
    </xf>
    <xf numFmtId="0" fontId="68" fillId="0" borderId="31" xfId="98" applyFont="1" applyBorder="1" applyAlignment="1">
      <alignment horizontal="left"/>
    </xf>
    <xf numFmtId="0" fontId="68" fillId="0" borderId="47" xfId="98" applyFont="1" applyBorder="1" applyAlignment="1">
      <alignment horizontal="center" wrapText="1"/>
    </xf>
    <xf numFmtId="0" fontId="68" fillId="0" borderId="31" xfId="98" applyFont="1" applyBorder="1" applyAlignment="1">
      <alignment horizontal="center"/>
    </xf>
    <xf numFmtId="0" fontId="68" fillId="0" borderId="16" xfId="98" applyFont="1" applyBorder="1" applyAlignment="1">
      <alignment horizontal="center" wrapText="1"/>
    </xf>
    <xf numFmtId="0" fontId="68" fillId="0" borderId="41" xfId="98" applyFont="1" applyBorder="1" applyAlignment="1">
      <alignment horizontal="center"/>
    </xf>
    <xf numFmtId="49" fontId="8" fillId="0" borderId="25" xfId="98" applyNumberFormat="1" applyFont="1" applyFill="1" applyBorder="1" applyAlignment="1">
      <alignment horizontal="left"/>
    </xf>
    <xf numFmtId="49" fontId="8" fillId="0" borderId="26" xfId="98" applyNumberFormat="1" applyFont="1" applyFill="1" applyBorder="1" applyAlignment="1">
      <alignment horizontal="left"/>
    </xf>
    <xf numFmtId="49" fontId="8" fillId="0" borderId="14" xfId="98" applyNumberFormat="1" applyFont="1" applyFill="1" applyBorder="1" applyAlignment="1">
      <alignment horizontal="left"/>
    </xf>
    <xf numFmtId="0" fontId="21" fillId="0" borderId="38" xfId="98" applyFont="1" applyBorder="1" applyAlignment="1">
      <alignment horizontal="center"/>
    </xf>
    <xf numFmtId="0" fontId="21" fillId="0" borderId="39" xfId="98" applyFont="1" applyBorder="1" applyAlignment="1">
      <alignment horizontal="center"/>
    </xf>
    <xf numFmtId="0" fontId="21" fillId="0" borderId="17" xfId="98" applyFont="1" applyBorder="1" applyAlignment="1">
      <alignment horizontal="center" wrapText="1"/>
    </xf>
    <xf numFmtId="0" fontId="21" fillId="0" borderId="17" xfId="98" applyFont="1" applyBorder="1" applyAlignment="1">
      <alignment horizontal="center"/>
    </xf>
    <xf numFmtId="49" fontId="53" fillId="22" borderId="55" xfId="98" applyNumberFormat="1" applyFont="1" applyFill="1" applyBorder="1" applyAlignment="1">
      <alignment horizontal="left"/>
    </xf>
    <xf numFmtId="49" fontId="53" fillId="22" borderId="37" xfId="98" applyNumberFormat="1" applyFont="1" applyFill="1" applyBorder="1" applyAlignment="1">
      <alignment horizontal="left"/>
    </xf>
    <xf numFmtId="49" fontId="53" fillId="22" borderId="66" xfId="98" applyNumberFormat="1" applyFont="1" applyFill="1" applyBorder="1" applyAlignment="1">
      <alignment horizontal="left"/>
    </xf>
    <xf numFmtId="49" fontId="53" fillId="22" borderId="25" xfId="98" applyNumberFormat="1" applyFont="1" applyFill="1" applyBorder="1" applyAlignment="1">
      <alignment horizontal="left"/>
    </xf>
    <xf numFmtId="49" fontId="53" fillId="22" borderId="26" xfId="98" applyNumberFormat="1" applyFont="1" applyFill="1" applyBorder="1" applyAlignment="1">
      <alignment horizontal="left"/>
    </xf>
    <xf numFmtId="49" fontId="53" fillId="22" borderId="14" xfId="98" applyNumberFormat="1" applyFont="1" applyFill="1" applyBorder="1" applyAlignment="1">
      <alignment horizontal="left"/>
    </xf>
    <xf numFmtId="0" fontId="8" fillId="0" borderId="25" xfId="98" applyNumberFormat="1" applyFont="1" applyFill="1" applyBorder="1" applyAlignment="1">
      <alignment horizontal="left"/>
    </xf>
    <xf numFmtId="0" fontId="8" fillId="0" borderId="26" xfId="98" applyNumberFormat="1" applyFont="1" applyFill="1" applyBorder="1" applyAlignment="1">
      <alignment horizontal="left"/>
    </xf>
    <xf numFmtId="0" fontId="8" fillId="0" borderId="14" xfId="98" applyNumberFormat="1" applyFont="1" applyFill="1" applyBorder="1" applyAlignment="1">
      <alignment horizontal="left"/>
    </xf>
    <xf numFmtId="49" fontId="32" fillId="0" borderId="72" xfId="0" applyNumberFormat="1" applyFont="1" applyBorder="1" applyAlignment="1">
      <alignment horizontal="left"/>
    </xf>
    <xf numFmtId="49" fontId="32" fillId="0" borderId="3" xfId="0" applyNumberFormat="1" applyFont="1" applyBorder="1" applyAlignment="1">
      <alignment horizontal="left"/>
    </xf>
    <xf numFmtId="49" fontId="24" fillId="0" borderId="72" xfId="0" applyNumberFormat="1" applyFont="1" applyBorder="1" applyAlignment="1">
      <alignment horizontal="left"/>
    </xf>
    <xf numFmtId="49" fontId="21" fillId="0" borderId="47" xfId="0" applyNumberFormat="1" applyFont="1" applyBorder="1" applyAlignment="1">
      <alignment horizontal="center"/>
    </xf>
    <xf numFmtId="49" fontId="21" fillId="0" borderId="31" xfId="0" applyNumberFormat="1" applyFont="1" applyBorder="1" applyAlignment="1">
      <alignment horizontal="center"/>
    </xf>
    <xf numFmtId="0" fontId="25" fillId="0" borderId="0" xfId="0" applyFont="1" applyFill="1" applyBorder="1" applyAlignment="1">
      <alignment horizontal="right"/>
    </xf>
    <xf numFmtId="0" fontId="21" fillId="0" borderId="47" xfId="0" applyFont="1" applyBorder="1" applyAlignment="1">
      <alignment horizontal="center"/>
    </xf>
    <xf numFmtId="0" fontId="21" fillId="0" borderId="31" xfId="0" applyFont="1" applyBorder="1" applyAlignment="1">
      <alignment horizontal="center"/>
    </xf>
    <xf numFmtId="0" fontId="21" fillId="0" borderId="43" xfId="0" applyFont="1" applyBorder="1" applyAlignment="1">
      <alignment horizontal="center"/>
    </xf>
    <xf numFmtId="0" fontId="21" fillId="0" borderId="44" xfId="0" applyFont="1" applyBorder="1" applyAlignment="1">
      <alignment horizontal="center"/>
    </xf>
    <xf numFmtId="0" fontId="21" fillId="0" borderId="45" xfId="0" applyFont="1" applyBorder="1" applyAlignment="1">
      <alignment horizontal="center"/>
    </xf>
    <xf numFmtId="0" fontId="21" fillId="0" borderId="35" xfId="0" applyFont="1" applyBorder="1" applyAlignment="1">
      <alignment horizontal="center"/>
    </xf>
    <xf numFmtId="0" fontId="21" fillId="0" borderId="0" xfId="0" applyFont="1" applyBorder="1" applyAlignment="1">
      <alignment horizontal="center"/>
    </xf>
    <xf numFmtId="0" fontId="21" fillId="0" borderId="46" xfId="0" applyFont="1" applyBorder="1" applyAlignment="1">
      <alignment horizontal="center"/>
    </xf>
    <xf numFmtId="0" fontId="21" fillId="0" borderId="36" xfId="0" applyFont="1" applyBorder="1" applyAlignment="1">
      <alignment horizontal="center"/>
    </xf>
    <xf numFmtId="0" fontId="21" fillId="0" borderId="37" xfId="0" applyFont="1" applyBorder="1" applyAlignment="1">
      <alignment horizontal="center"/>
    </xf>
    <xf numFmtId="0" fontId="21" fillId="0" borderId="66" xfId="0" applyFont="1" applyBorder="1" applyAlignment="1">
      <alignment horizontal="center"/>
    </xf>
    <xf numFmtId="49" fontId="24" fillId="0" borderId="72" xfId="0" applyNumberFormat="1" applyFont="1" applyBorder="1" applyAlignment="1"/>
    <xf numFmtId="49" fontId="24" fillId="0" borderId="25" xfId="0" applyNumberFormat="1" applyFont="1" applyBorder="1" applyAlignment="1">
      <alignment horizontal="left"/>
    </xf>
    <xf numFmtId="0" fontId="28" fillId="0" borderId="47" xfId="0" applyFont="1" applyBorder="1" applyAlignment="1">
      <alignment horizontal="center" wrapText="1"/>
    </xf>
    <xf numFmtId="49" fontId="19" fillId="81" borderId="24" xfId="0" applyNumberFormat="1" applyFont="1" applyFill="1" applyBorder="1" applyAlignment="1">
      <alignment horizontal="left"/>
    </xf>
    <xf numFmtId="49" fontId="19" fillId="81" borderId="14" xfId="0" applyNumberFormat="1" applyFont="1" applyFill="1" applyBorder="1" applyAlignment="1">
      <alignment horizontal="left"/>
    </xf>
    <xf numFmtId="0" fontId="14" fillId="0" borderId="24" xfId="0" applyNumberFormat="1" applyFont="1" applyFill="1" applyBorder="1" applyAlignment="1">
      <alignment horizontal="left"/>
    </xf>
    <xf numFmtId="0" fontId="19" fillId="0" borderId="26" xfId="0" applyNumberFormat="1" applyFont="1" applyFill="1" applyBorder="1" applyAlignment="1">
      <alignment horizontal="left"/>
    </xf>
    <xf numFmtId="0" fontId="21" fillId="0" borderId="24" xfId="0" applyNumberFormat="1" applyFont="1" applyFill="1" applyBorder="1" applyAlignment="1">
      <alignment horizontal="left"/>
    </xf>
    <xf numFmtId="0" fontId="21" fillId="0" borderId="26" xfId="0" applyNumberFormat="1" applyFont="1" applyFill="1" applyBorder="1" applyAlignment="1">
      <alignment horizontal="left"/>
    </xf>
    <xf numFmtId="0" fontId="53" fillId="0" borderId="24" xfId="96" applyFont="1" applyBorder="1" applyAlignment="1">
      <alignment horizontal="center" vertical="center"/>
    </xf>
    <xf numFmtId="0" fontId="53" fillId="0" borderId="26" xfId="96" applyFont="1" applyBorder="1" applyAlignment="1">
      <alignment horizontal="center" vertical="center"/>
    </xf>
    <xf numFmtId="0" fontId="53" fillId="0" borderId="14" xfId="96" applyFont="1" applyBorder="1" applyAlignment="1">
      <alignment horizontal="center" vertical="center"/>
    </xf>
    <xf numFmtId="0" fontId="14" fillId="67" borderId="24" xfId="0" applyNumberFormat="1" applyFont="1" applyFill="1" applyBorder="1" applyAlignment="1">
      <alignment horizontal="left"/>
    </xf>
    <xf numFmtId="0" fontId="19" fillId="67" borderId="26" xfId="0" applyNumberFormat="1" applyFont="1" applyFill="1" applyBorder="1" applyAlignment="1">
      <alignment horizontal="left"/>
    </xf>
    <xf numFmtId="0" fontId="21" fillId="0" borderId="38" xfId="0" applyFont="1" applyBorder="1" applyAlignment="1">
      <alignment horizontal="center"/>
    </xf>
    <xf numFmtId="0" fontId="0" fillId="0" borderId="60" xfId="0" applyBorder="1" applyAlignment="1">
      <alignment horizontal="center"/>
    </xf>
    <xf numFmtId="0" fontId="21" fillId="0" borderId="47" xfId="0" applyFont="1" applyBorder="1" applyAlignment="1">
      <alignment horizontal="center" wrapText="1"/>
    </xf>
    <xf numFmtId="0" fontId="29" fillId="0" borderId="0" xfId="0" applyFont="1" applyAlignment="1">
      <alignment horizontal="center" vertical="center"/>
    </xf>
    <xf numFmtId="0" fontId="19" fillId="0" borderId="43" xfId="0" applyFont="1" applyBorder="1" applyAlignment="1">
      <alignment horizontal="center"/>
    </xf>
    <xf numFmtId="0" fontId="19" fillId="0" borderId="35" xfId="0" applyFont="1" applyBorder="1" applyAlignment="1">
      <alignment horizontal="center"/>
    </xf>
    <xf numFmtId="0" fontId="19" fillId="0" borderId="36" xfId="0" applyFont="1" applyBorder="1" applyAlignment="1">
      <alignment horizontal="center"/>
    </xf>
    <xf numFmtId="0" fontId="21" fillId="0" borderId="16" xfId="0" applyFont="1" applyBorder="1" applyAlignment="1">
      <alignment horizontal="center"/>
    </xf>
    <xf numFmtId="0" fontId="28" fillId="0" borderId="12" xfId="0" applyFont="1" applyBorder="1" applyAlignment="1">
      <alignment horizontal="center"/>
    </xf>
    <xf numFmtId="0" fontId="28" fillId="0" borderId="41" xfId="0" applyFont="1" applyBorder="1" applyAlignment="1">
      <alignment horizontal="center"/>
    </xf>
    <xf numFmtId="0" fontId="28" fillId="0" borderId="34" xfId="0" applyFont="1" applyBorder="1" applyAlignment="1">
      <alignment horizontal="center"/>
    </xf>
    <xf numFmtId="0" fontId="16" fillId="0" borderId="0" xfId="0" applyFont="1" applyAlignment="1">
      <alignment horizontal="center"/>
    </xf>
    <xf numFmtId="49" fontId="19" fillId="81" borderId="29" xfId="0" applyNumberFormat="1" applyFont="1" applyFill="1" applyBorder="1" applyAlignment="1">
      <alignment horizontal="left"/>
    </xf>
    <xf numFmtId="49" fontId="19" fillId="81" borderId="67" xfId="0" applyNumberFormat="1" applyFont="1" applyFill="1" applyBorder="1" applyAlignment="1">
      <alignment horizontal="left"/>
    </xf>
    <xf numFmtId="49" fontId="19" fillId="81" borderId="22" xfId="0" applyNumberFormat="1" applyFont="1" applyFill="1" applyBorder="1" applyAlignment="1">
      <alignment horizontal="left"/>
    </xf>
    <xf numFmtId="49" fontId="19" fillId="81" borderId="92" xfId="0" applyNumberFormat="1" applyFont="1" applyFill="1" applyBorder="1" applyAlignment="1">
      <alignment horizontal="left"/>
    </xf>
    <xf numFmtId="49" fontId="19" fillId="81" borderId="117" xfId="0" applyNumberFormat="1" applyFont="1" applyFill="1" applyBorder="1" applyAlignment="1">
      <alignment horizontal="center"/>
    </xf>
    <xf numFmtId="49" fontId="19" fillId="81" borderId="118" xfId="0" applyNumberFormat="1" applyFont="1" applyFill="1" applyBorder="1" applyAlignment="1">
      <alignment horizontal="center"/>
    </xf>
    <xf numFmtId="0" fontId="14" fillId="0" borderId="22" xfId="0" applyNumberFormat="1" applyFont="1" applyFill="1" applyBorder="1" applyAlignment="1">
      <alignment horizontal="center"/>
    </xf>
    <xf numFmtId="0" fontId="14" fillId="0" borderId="92" xfId="0" applyNumberFormat="1" applyFont="1" applyFill="1" applyBorder="1" applyAlignment="1">
      <alignment horizontal="center"/>
    </xf>
    <xf numFmtId="49" fontId="19" fillId="0" borderId="117" xfId="0" applyNumberFormat="1" applyFont="1" applyFill="1" applyBorder="1" applyAlignment="1">
      <alignment horizontal="center"/>
    </xf>
    <xf numFmtId="49" fontId="19" fillId="0" borderId="118" xfId="0" applyNumberFormat="1" applyFont="1" applyFill="1" applyBorder="1" applyAlignment="1">
      <alignment horizontal="center"/>
    </xf>
    <xf numFmtId="0" fontId="14" fillId="0" borderId="60" xfId="0" applyFont="1" applyBorder="1" applyAlignment="1">
      <alignment horizontal="center"/>
    </xf>
    <xf numFmtId="0" fontId="14" fillId="0" borderId="39" xfId="0" applyFont="1" applyBorder="1" applyAlignment="1">
      <alignment horizontal="center"/>
    </xf>
    <xf numFmtId="0" fontId="0" fillId="81" borderId="43" xfId="0" applyFill="1" applyBorder="1" applyAlignment="1">
      <alignment horizontal="center"/>
    </xf>
    <xf numFmtId="0" fontId="0" fillId="81" borderId="44" xfId="0" applyFill="1" applyBorder="1" applyAlignment="1">
      <alignment horizontal="center"/>
    </xf>
    <xf numFmtId="0" fontId="0" fillId="81" borderId="45" xfId="0" applyFill="1" applyBorder="1" applyAlignment="1">
      <alignment horizontal="center"/>
    </xf>
    <xf numFmtId="0" fontId="0" fillId="81" borderId="35" xfId="0" applyFill="1" applyBorder="1" applyAlignment="1">
      <alignment horizontal="center"/>
    </xf>
    <xf numFmtId="0" fontId="0" fillId="81" borderId="0" xfId="0" applyFill="1" applyBorder="1" applyAlignment="1">
      <alignment horizontal="center"/>
    </xf>
    <xf numFmtId="0" fontId="0" fillId="81" borderId="46" xfId="0" applyFill="1" applyBorder="1" applyAlignment="1">
      <alignment horizontal="center"/>
    </xf>
    <xf numFmtId="0" fontId="0" fillId="81" borderId="36" xfId="0" applyFill="1" applyBorder="1" applyAlignment="1">
      <alignment horizontal="center"/>
    </xf>
    <xf numFmtId="0" fontId="0" fillId="81" borderId="37" xfId="0" applyFill="1" applyBorder="1" applyAlignment="1">
      <alignment horizontal="center"/>
    </xf>
    <xf numFmtId="0" fontId="0" fillId="81" borderId="66" xfId="0" applyFill="1" applyBorder="1" applyAlignment="1">
      <alignment horizontal="center"/>
    </xf>
    <xf numFmtId="12" fontId="8" fillId="0" borderId="43" xfId="0" applyNumberFormat="1" applyFont="1" applyFill="1" applyBorder="1" applyAlignment="1">
      <alignment horizontal="center" vertical="center" wrapText="1"/>
    </xf>
    <xf numFmtId="12" fontId="8" fillId="0" borderId="44" xfId="0" applyNumberFormat="1" applyFont="1" applyFill="1" applyBorder="1" applyAlignment="1">
      <alignment horizontal="center" vertical="center" wrapText="1"/>
    </xf>
    <xf numFmtId="12" fontId="8" fillId="0" borderId="45" xfId="0" applyNumberFormat="1" applyFont="1" applyFill="1" applyBorder="1" applyAlignment="1">
      <alignment horizontal="center" vertical="center" wrapText="1"/>
    </xf>
    <xf numFmtId="12" fontId="8" fillId="0" borderId="35" xfId="0" applyNumberFormat="1" applyFont="1" applyFill="1" applyBorder="1" applyAlignment="1">
      <alignment horizontal="center" vertical="center" wrapText="1"/>
    </xf>
    <xf numFmtId="12" fontId="8" fillId="0" borderId="0" xfId="0" applyNumberFormat="1" applyFont="1" applyFill="1" applyBorder="1" applyAlignment="1">
      <alignment horizontal="center" vertical="center" wrapText="1"/>
    </xf>
    <xf numFmtId="12" fontId="8" fillId="0" borderId="46" xfId="0" applyNumberFormat="1" applyFont="1" applyFill="1" applyBorder="1" applyAlignment="1">
      <alignment horizontal="center" vertical="center" wrapText="1"/>
    </xf>
    <xf numFmtId="12" fontId="8" fillId="0" borderId="36" xfId="0" applyNumberFormat="1" applyFont="1" applyFill="1" applyBorder="1" applyAlignment="1">
      <alignment horizontal="center" vertical="center" wrapText="1"/>
    </xf>
    <xf numFmtId="12" fontId="8" fillId="0" borderId="37" xfId="0" applyNumberFormat="1" applyFont="1" applyFill="1" applyBorder="1" applyAlignment="1">
      <alignment horizontal="center" vertical="center" wrapText="1"/>
    </xf>
    <xf numFmtId="12" fontId="8" fillId="0" borderId="66" xfId="0" applyNumberFormat="1" applyFont="1" applyFill="1" applyBorder="1" applyAlignment="1">
      <alignment horizontal="center" vertical="center" wrapText="1"/>
    </xf>
    <xf numFmtId="0" fontId="21" fillId="0" borderId="40" xfId="0" applyFont="1" applyBorder="1" applyAlignment="1">
      <alignment horizontal="center"/>
    </xf>
    <xf numFmtId="0" fontId="21" fillId="0" borderId="41" xfId="0" applyFont="1" applyBorder="1" applyAlignment="1">
      <alignment horizontal="center"/>
    </xf>
    <xf numFmtId="0" fontId="21" fillId="0" borderId="42" xfId="0" applyFont="1" applyBorder="1" applyAlignment="1">
      <alignment horizontal="center"/>
    </xf>
    <xf numFmtId="49" fontId="19" fillId="81" borderId="26" xfId="0" applyNumberFormat="1" applyFont="1" applyFill="1" applyBorder="1" applyAlignment="1">
      <alignment horizontal="left"/>
    </xf>
    <xf numFmtId="0" fontId="19" fillId="0" borderId="14" xfId="0" applyNumberFormat="1" applyFont="1" applyFill="1" applyBorder="1" applyAlignment="1">
      <alignment horizontal="left"/>
    </xf>
    <xf numFmtId="49" fontId="19" fillId="81" borderId="24" xfId="0" applyNumberFormat="1" applyFont="1" applyFill="1" applyBorder="1" applyAlignment="1">
      <alignment horizontal="center"/>
    </xf>
    <xf numFmtId="49" fontId="19" fillId="81" borderId="14" xfId="0" applyNumberFormat="1" applyFont="1" applyFill="1" applyBorder="1" applyAlignment="1">
      <alignment horizontal="center"/>
    </xf>
    <xf numFmtId="0" fontId="28" fillId="0" borderId="16" xfId="0" applyFont="1" applyBorder="1" applyAlignment="1">
      <alignment horizontal="center"/>
    </xf>
    <xf numFmtId="0" fontId="21" fillId="0" borderId="0" xfId="101" applyFont="1" applyFill="1" applyBorder="1" applyAlignment="1">
      <alignment horizontal="center"/>
    </xf>
    <xf numFmtId="0" fontId="7" fillId="0" borderId="46" xfId="101" applyFont="1" applyBorder="1" applyAlignment="1">
      <alignment horizontal="right" textRotation="90" wrapText="1"/>
    </xf>
    <xf numFmtId="0" fontId="55" fillId="0" borderId="0" xfId="101" applyFont="1" applyFill="1" applyBorder="1" applyAlignment="1">
      <alignment horizontal="center" wrapText="1"/>
    </xf>
    <xf numFmtId="0" fontId="21" fillId="0" borderId="0" xfId="101" applyFont="1" applyBorder="1" applyAlignment="1">
      <alignment horizontal="center" vertical="center"/>
    </xf>
    <xf numFmtId="0" fontId="21" fillId="0" borderId="0" xfId="101" applyFont="1" applyBorder="1" applyAlignment="1">
      <alignment horizontal="center"/>
    </xf>
    <xf numFmtId="0" fontId="21" fillId="0" borderId="24" xfId="101" applyFont="1" applyBorder="1" applyAlignment="1">
      <alignment horizontal="center" vertical="justify"/>
    </xf>
    <xf numFmtId="0" fontId="21" fillId="0" borderId="14" xfId="101" applyFont="1" applyBorder="1" applyAlignment="1">
      <alignment horizontal="center" vertical="justify"/>
    </xf>
    <xf numFmtId="0" fontId="21" fillId="0" borderId="0" xfId="101" applyFont="1" applyFill="1" applyBorder="1" applyAlignment="1">
      <alignment horizontal="center" vertical="center"/>
    </xf>
    <xf numFmtId="0" fontId="11" fillId="0" borderId="24" xfId="101" applyFont="1" applyBorder="1" applyAlignment="1">
      <alignment horizontal="center" vertical="center"/>
    </xf>
    <xf numFmtId="0" fontId="11" fillId="0" borderId="14" xfId="101" applyFont="1" applyBorder="1" applyAlignment="1">
      <alignment horizontal="center" vertical="center"/>
    </xf>
    <xf numFmtId="0" fontId="25" fillId="0" borderId="24" xfId="101" applyFont="1" applyBorder="1" applyAlignment="1">
      <alignment horizontal="center"/>
    </xf>
    <xf numFmtId="0" fontId="25" fillId="0" borderId="26" xfId="101" applyFont="1" applyBorder="1" applyAlignment="1">
      <alignment horizontal="center"/>
    </xf>
    <xf numFmtId="0" fontId="25" fillId="0" borderId="37" xfId="101" applyFont="1" applyBorder="1" applyAlignment="1">
      <alignment horizontal="center"/>
    </xf>
    <xf numFmtId="0" fontId="11" fillId="0" borderId="24" xfId="101" applyFont="1" applyBorder="1" applyAlignment="1">
      <alignment horizontal="center" vertical="justify"/>
    </xf>
    <xf numFmtId="0" fontId="11" fillId="0" borderId="14" xfId="101" applyFont="1" applyBorder="1" applyAlignment="1">
      <alignment horizontal="center" vertical="justify"/>
    </xf>
    <xf numFmtId="0" fontId="25" fillId="0" borderId="14" xfId="101" applyFont="1" applyBorder="1" applyAlignment="1">
      <alignment horizontal="center"/>
    </xf>
    <xf numFmtId="0" fontId="11" fillId="0" borderId="24" xfId="101" applyFont="1" applyBorder="1" applyAlignment="1">
      <alignment horizontal="center" wrapText="1"/>
    </xf>
    <xf numFmtId="0" fontId="11" fillId="0" borderId="14" xfId="101" applyFont="1" applyBorder="1" applyAlignment="1">
      <alignment horizontal="center" wrapText="1"/>
    </xf>
    <xf numFmtId="0" fontId="11" fillId="0" borderId="3" xfId="101" applyFont="1" applyBorder="1" applyAlignment="1">
      <alignment horizontal="center"/>
    </xf>
    <xf numFmtId="0" fontId="11" fillId="0" borderId="24" xfId="101" applyFont="1" applyBorder="1" applyAlignment="1">
      <alignment horizontal="center"/>
    </xf>
    <xf numFmtId="0" fontId="11" fillId="0" borderId="14" xfId="101" applyFont="1" applyBorder="1" applyAlignment="1">
      <alignment horizontal="center"/>
    </xf>
    <xf numFmtId="0" fontId="11" fillId="0" borderId="43" xfId="101" applyFont="1" applyFill="1" applyBorder="1" applyAlignment="1">
      <alignment horizontal="center"/>
    </xf>
    <xf numFmtId="0" fontId="11" fillId="0" borderId="44" xfId="101" applyFont="1" applyFill="1" applyBorder="1" applyAlignment="1">
      <alignment horizontal="center"/>
    </xf>
    <xf numFmtId="0" fontId="11" fillId="0" borderId="45" xfId="101" applyFont="1" applyFill="1" applyBorder="1" applyAlignment="1">
      <alignment horizontal="center"/>
    </xf>
    <xf numFmtId="0" fontId="25" fillId="0" borderId="0" xfId="101" applyFont="1" applyBorder="1" applyAlignment="1">
      <alignment horizontal="center" vertical="center"/>
    </xf>
    <xf numFmtId="14" fontId="54" fillId="0" borderId="0" xfId="101" applyNumberFormat="1" applyFont="1" applyBorder="1" applyAlignment="1">
      <alignment horizontal="center" vertical="center"/>
    </xf>
    <xf numFmtId="0" fontId="54" fillId="0" borderId="0" xfId="101" applyFont="1" applyBorder="1" applyAlignment="1">
      <alignment horizontal="center" vertical="center"/>
    </xf>
    <xf numFmtId="0" fontId="11" fillId="0" borderId="24" xfId="101" applyFont="1" applyBorder="1" applyAlignment="1">
      <alignment horizontal="right" vertical="center" indent="1"/>
    </xf>
    <xf numFmtId="0" fontId="11" fillId="0" borderId="14" xfId="101" applyFont="1" applyBorder="1" applyAlignment="1">
      <alignment horizontal="right" vertical="center" indent="1"/>
    </xf>
    <xf numFmtId="0" fontId="81" fillId="0" borderId="0" xfId="101" applyFont="1" applyBorder="1" applyAlignment="1">
      <alignment horizontal="center" vertical="center"/>
    </xf>
    <xf numFmtId="0" fontId="21" fillId="0" borderId="0" xfId="101" applyFont="1" applyBorder="1" applyAlignment="1">
      <alignment horizontal="center" vertical="justify" textRotation="90"/>
    </xf>
    <xf numFmtId="0" fontId="11" fillId="0" borderId="24" xfId="101" applyFont="1" applyBorder="1" applyAlignment="1">
      <alignment horizontal="right" vertical="center"/>
    </xf>
    <xf numFmtId="0" fontId="11" fillId="0" borderId="14" xfId="101" applyFont="1" applyBorder="1" applyAlignment="1">
      <alignment horizontal="right" vertical="center"/>
    </xf>
    <xf numFmtId="0" fontId="11" fillId="0" borderId="26" xfId="101" applyFont="1" applyBorder="1" applyAlignment="1">
      <alignment horizontal="center" vertical="center"/>
    </xf>
    <xf numFmtId="0" fontId="21" fillId="0" borderId="24" xfId="101" applyFont="1" applyBorder="1" applyAlignment="1">
      <alignment horizontal="right" vertical="center"/>
    </xf>
    <xf numFmtId="0" fontId="21" fillId="0" borderId="14" xfId="101" applyFont="1" applyBorder="1" applyAlignment="1">
      <alignment horizontal="right" vertical="center"/>
    </xf>
    <xf numFmtId="49" fontId="25" fillId="0" borderId="3" xfId="101" applyNumberFormat="1" applyFont="1" applyBorder="1" applyAlignment="1">
      <alignment horizontal="center" vertical="center"/>
    </xf>
    <xf numFmtId="49" fontId="54" fillId="0" borderId="0" xfId="101" applyNumberFormat="1" applyFont="1" applyBorder="1" applyAlignment="1">
      <alignment horizontal="center" vertical="center"/>
    </xf>
    <xf numFmtId="0" fontId="63" fillId="0" borderId="43" xfId="0" applyFont="1" applyFill="1" applyBorder="1" applyAlignment="1">
      <alignment horizontal="center" vertical="center" wrapText="1"/>
    </xf>
    <xf numFmtId="0" fontId="63" fillId="0" borderId="44" xfId="0" applyFont="1" applyFill="1" applyBorder="1" applyAlignment="1">
      <alignment horizontal="center" vertical="center" wrapText="1"/>
    </xf>
    <xf numFmtId="0" fontId="63" fillId="0" borderId="45" xfId="0" applyFont="1" applyFill="1" applyBorder="1" applyAlignment="1">
      <alignment horizontal="center" vertical="center" wrapText="1"/>
    </xf>
    <xf numFmtId="0" fontId="63" fillId="0" borderId="35" xfId="0" applyFont="1" applyFill="1" applyBorder="1" applyAlignment="1">
      <alignment horizontal="center" vertical="center" wrapText="1"/>
    </xf>
    <xf numFmtId="0" fontId="63" fillId="0" borderId="0" xfId="0" applyFont="1" applyFill="1" applyBorder="1" applyAlignment="1">
      <alignment horizontal="center" vertical="center" wrapText="1"/>
    </xf>
    <xf numFmtId="0" fontId="63" fillId="0" borderId="46" xfId="0" applyFont="1" applyFill="1" applyBorder="1" applyAlignment="1">
      <alignment horizontal="center" vertical="center" wrapText="1"/>
    </xf>
    <xf numFmtId="0" fontId="63" fillId="0" borderId="36" xfId="0" applyFont="1" applyFill="1" applyBorder="1" applyAlignment="1">
      <alignment horizontal="center" vertical="center" wrapText="1"/>
    </xf>
    <xf numFmtId="0" fontId="63" fillId="0" borderId="37" xfId="0" applyFont="1" applyFill="1" applyBorder="1" applyAlignment="1">
      <alignment horizontal="center" vertical="center" wrapText="1"/>
    </xf>
    <xf numFmtId="0" fontId="63" fillId="0" borderId="66" xfId="0" applyFont="1" applyFill="1" applyBorder="1" applyAlignment="1">
      <alignment horizontal="center" vertical="center" wrapText="1"/>
    </xf>
    <xf numFmtId="0" fontId="11" fillId="22" borderId="43" xfId="101" applyFont="1" applyFill="1" applyBorder="1" applyAlignment="1">
      <alignment horizontal="center"/>
    </xf>
    <xf numFmtId="0" fontId="11" fillId="22" borderId="44" xfId="101" applyFont="1" applyFill="1" applyBorder="1" applyAlignment="1">
      <alignment horizontal="center"/>
    </xf>
    <xf numFmtId="0" fontId="11" fillId="22" borderId="45" xfId="101" applyFont="1" applyFill="1" applyBorder="1" applyAlignment="1">
      <alignment horizontal="center"/>
    </xf>
    <xf numFmtId="0" fontId="11" fillId="46" borderId="24" xfId="101" applyFont="1" applyFill="1" applyBorder="1" applyAlignment="1">
      <alignment horizontal="center" vertical="center"/>
    </xf>
    <xf numFmtId="0" fontId="11" fillId="46" borderId="26" xfId="101" applyFont="1" applyFill="1" applyBorder="1" applyAlignment="1">
      <alignment horizontal="center" vertical="center"/>
    </xf>
    <xf numFmtId="0" fontId="11" fillId="46" borderId="14" xfId="101" applyFont="1" applyFill="1" applyBorder="1" applyAlignment="1">
      <alignment horizontal="center" vertical="center"/>
    </xf>
    <xf numFmtId="49" fontId="8" fillId="0" borderId="24" xfId="101" applyNumberFormat="1" applyFont="1" applyFill="1" applyBorder="1" applyAlignment="1">
      <alignment horizontal="center" vertical="center" wrapText="1"/>
    </xf>
    <xf numFmtId="0" fontId="8" fillId="0" borderId="26" xfId="101" applyNumberFormat="1" applyFont="1" applyFill="1" applyBorder="1" applyAlignment="1">
      <alignment horizontal="center" vertical="center" wrapText="1"/>
    </xf>
    <xf numFmtId="0" fontId="8" fillId="0" borderId="14" xfId="101" applyNumberFormat="1" applyFont="1" applyFill="1" applyBorder="1" applyAlignment="1">
      <alignment horizontal="center" vertical="center" wrapText="1"/>
    </xf>
    <xf numFmtId="0" fontId="21" fillId="0" borderId="3" xfId="101" applyFont="1" applyBorder="1" applyAlignment="1">
      <alignment horizontal="center" vertical="center"/>
    </xf>
    <xf numFmtId="14" fontId="54" fillId="0" borderId="3" xfId="101" applyNumberFormat="1" applyFont="1" applyFill="1" applyBorder="1" applyAlignment="1">
      <alignment horizontal="center" vertical="center"/>
    </xf>
    <xf numFmtId="0" fontId="54" fillId="0" borderId="3" xfId="101" applyFont="1" applyFill="1" applyBorder="1" applyAlignment="1">
      <alignment horizontal="center" vertical="center"/>
    </xf>
    <xf numFmtId="0" fontId="63" fillId="0" borderId="0" xfId="101" applyFont="1" applyBorder="1" applyAlignment="1">
      <alignment horizontal="center" vertical="center" wrapText="1"/>
    </xf>
    <xf numFmtId="0" fontId="62" fillId="0" borderId="0" xfId="101" applyFont="1" applyBorder="1" applyAlignment="1">
      <alignment horizontal="center" vertical="center" wrapText="1"/>
    </xf>
    <xf numFmtId="49" fontId="25" fillId="0" borderId="3" xfId="101" applyNumberFormat="1" applyFont="1" applyFill="1" applyBorder="1" applyAlignment="1">
      <alignment horizontal="center" vertical="center"/>
    </xf>
    <xf numFmtId="0" fontId="25" fillId="0" borderId="3" xfId="101" applyNumberFormat="1" applyFont="1" applyFill="1" applyBorder="1" applyAlignment="1">
      <alignment horizontal="center" vertical="center"/>
    </xf>
    <xf numFmtId="0" fontId="21" fillId="0" borderId="3" xfId="101" applyFont="1" applyFill="1" applyBorder="1" applyAlignment="1">
      <alignment horizontal="center" vertical="center"/>
    </xf>
    <xf numFmtId="1" fontId="25" fillId="0" borderId="3" xfId="101" applyNumberFormat="1" applyFont="1" applyFill="1" applyBorder="1" applyAlignment="1">
      <alignment horizontal="center" vertical="center"/>
    </xf>
    <xf numFmtId="0" fontId="25" fillId="0" borderId="3" xfId="101" applyFont="1" applyFill="1" applyBorder="1" applyAlignment="1">
      <alignment horizontal="center" vertical="center"/>
    </xf>
    <xf numFmtId="0" fontId="83" fillId="0" borderId="0" xfId="101" applyFont="1" applyFill="1" applyBorder="1" applyAlignment="1">
      <alignment horizontal="center" vertical="center" wrapText="1"/>
    </xf>
    <xf numFmtId="0" fontId="83" fillId="0" borderId="0" xfId="101" applyFont="1" applyFill="1" applyBorder="1" applyAlignment="1">
      <alignment horizontal="center" vertical="center"/>
    </xf>
    <xf numFmtId="0" fontId="25" fillId="0" borderId="0" xfId="101" applyFont="1" applyFill="1" applyBorder="1" applyAlignment="1">
      <alignment horizontal="center" vertical="center"/>
    </xf>
    <xf numFmtId="0" fontId="54" fillId="0" borderId="0" xfId="101" applyFont="1" applyFill="1" applyBorder="1" applyAlignment="1">
      <alignment horizontal="center" vertical="center"/>
    </xf>
    <xf numFmtId="49" fontId="54" fillId="0" borderId="3" xfId="101" applyNumberFormat="1" applyFont="1" applyBorder="1" applyAlignment="1">
      <alignment horizontal="center" vertical="center"/>
    </xf>
    <xf numFmtId="19" fontId="54" fillId="0" borderId="3" xfId="101" applyNumberFormat="1" applyFont="1" applyFill="1" applyBorder="1" applyAlignment="1">
      <alignment horizontal="center" vertical="center"/>
    </xf>
    <xf numFmtId="0" fontId="0" fillId="0" borderId="39" xfId="0" applyBorder="1" applyAlignment="1">
      <alignment horizontal="center"/>
    </xf>
    <xf numFmtId="49" fontId="19" fillId="0" borderId="72" xfId="0" applyNumberFormat="1" applyFont="1" applyFill="1" applyBorder="1" applyAlignment="1">
      <alignment horizontal="left"/>
    </xf>
    <xf numFmtId="49" fontId="19" fillId="0" borderId="3" xfId="0" applyNumberFormat="1" applyFont="1" applyFill="1" applyBorder="1" applyAlignment="1">
      <alignment horizontal="left"/>
    </xf>
    <xf numFmtId="49" fontId="19" fillId="0" borderId="70" xfId="0" applyNumberFormat="1" applyFont="1" applyFill="1" applyBorder="1" applyAlignment="1">
      <alignment horizontal="left"/>
    </xf>
    <xf numFmtId="49" fontId="19" fillId="0" borderId="15" xfId="0" applyNumberFormat="1" applyFont="1" applyFill="1" applyBorder="1" applyAlignment="1">
      <alignment horizontal="left"/>
    </xf>
    <xf numFmtId="0" fontId="28" fillId="0" borderId="56" xfId="0" applyFont="1" applyBorder="1" applyAlignment="1">
      <alignment horizontal="center"/>
    </xf>
    <xf numFmtId="49" fontId="19" fillId="0" borderId="73" xfId="0" applyNumberFormat="1" applyFont="1" applyFill="1" applyBorder="1" applyAlignment="1">
      <alignment horizontal="left"/>
    </xf>
    <xf numFmtId="49" fontId="19" fillId="0" borderId="20" xfId="0" applyNumberFormat="1" applyFont="1" applyFill="1" applyBorder="1" applyAlignment="1">
      <alignment horizontal="left"/>
    </xf>
    <xf numFmtId="0" fontId="14" fillId="0" borderId="72" xfId="0" applyNumberFormat="1" applyFont="1" applyFill="1" applyBorder="1" applyAlignment="1">
      <alignment horizontal="left" vertical="center"/>
    </xf>
    <xf numFmtId="0" fontId="14" fillId="0" borderId="3" xfId="0" applyNumberFormat="1" applyFont="1" applyFill="1" applyBorder="1" applyAlignment="1">
      <alignment horizontal="left" vertical="center"/>
    </xf>
    <xf numFmtId="0" fontId="14" fillId="0" borderId="73" xfId="0" applyNumberFormat="1" applyFont="1" applyFill="1" applyBorder="1" applyAlignment="1">
      <alignment horizontal="left" vertical="center"/>
    </xf>
    <xf numFmtId="0" fontId="14" fillId="0" borderId="20" xfId="0" applyNumberFormat="1" applyFont="1" applyFill="1" applyBorder="1" applyAlignment="1">
      <alignment horizontal="left" vertical="center"/>
    </xf>
    <xf numFmtId="0" fontId="21" fillId="0" borderId="47" xfId="0" applyFont="1" applyBorder="1" applyAlignment="1">
      <alignment horizontal="center" vertical="center"/>
    </xf>
    <xf numFmtId="0" fontId="21" fillId="0" borderId="31" xfId="0" applyFont="1" applyBorder="1" applyAlignment="1">
      <alignment horizontal="center" vertical="center"/>
    </xf>
    <xf numFmtId="0" fontId="14" fillId="0" borderId="71" xfId="0" applyNumberFormat="1" applyFont="1" applyFill="1" applyBorder="1" applyAlignment="1">
      <alignment horizontal="left" vertical="center"/>
    </xf>
    <xf numFmtId="0" fontId="14" fillId="0" borderId="32" xfId="0" applyNumberFormat="1" applyFont="1" applyFill="1" applyBorder="1" applyAlignment="1">
      <alignment horizontal="left" vertical="center"/>
    </xf>
    <xf numFmtId="49" fontId="74" fillId="0" borderId="24" xfId="0" applyNumberFormat="1" applyFont="1" applyBorder="1" applyAlignment="1">
      <alignment horizontal="center" vertical="center"/>
    </xf>
    <xf numFmtId="0" fontId="74" fillId="0" borderId="14" xfId="0" applyNumberFormat="1" applyFont="1" applyBorder="1" applyAlignment="1">
      <alignment horizontal="center" vertical="center"/>
    </xf>
    <xf numFmtId="0" fontId="14" fillId="0" borderId="50" xfId="0" applyNumberFormat="1" applyFont="1" applyBorder="1" applyAlignment="1">
      <alignment horizontal="center"/>
    </xf>
    <xf numFmtId="0" fontId="14" fillId="0" borderId="44" xfId="0" applyNumberFormat="1" applyFont="1" applyBorder="1" applyAlignment="1">
      <alignment horizontal="center"/>
    </xf>
    <xf numFmtId="0" fontId="14" fillId="0" borderId="45" xfId="0" applyNumberFormat="1" applyFont="1" applyBorder="1" applyAlignment="1">
      <alignment horizontal="center"/>
    </xf>
    <xf numFmtId="0" fontId="14" fillId="0" borderId="17" xfId="0" applyNumberFormat="1" applyFont="1" applyBorder="1" applyAlignment="1">
      <alignment horizontal="center"/>
    </xf>
    <xf numFmtId="0" fontId="14" fillId="0" borderId="0" xfId="0" applyNumberFormat="1" applyFont="1" applyBorder="1" applyAlignment="1">
      <alignment horizontal="center"/>
    </xf>
    <xf numFmtId="0" fontId="14" fillId="0" borderId="46" xfId="0" applyNumberFormat="1" applyFont="1" applyBorder="1" applyAlignment="1">
      <alignment horizontal="center"/>
    </xf>
    <xf numFmtId="0" fontId="14" fillId="0" borderId="55" xfId="0" applyNumberFormat="1" applyFont="1" applyBorder="1" applyAlignment="1">
      <alignment horizontal="center"/>
    </xf>
    <xf numFmtId="0" fontId="14" fillId="0" borderId="37" xfId="0" applyNumberFormat="1" applyFont="1" applyBorder="1" applyAlignment="1">
      <alignment horizontal="center"/>
    </xf>
    <xf numFmtId="0" fontId="14" fillId="0" borderId="66" xfId="0" applyNumberFormat="1" applyFont="1" applyBorder="1" applyAlignment="1">
      <alignment horizontal="center"/>
    </xf>
    <xf numFmtId="0" fontId="21" fillId="0" borderId="71" xfId="0" applyFont="1" applyBorder="1" applyAlignment="1">
      <alignment horizontal="left" vertical="center"/>
    </xf>
    <xf numFmtId="0" fontId="21" fillId="0" borderId="32" xfId="0" applyFont="1" applyBorder="1" applyAlignment="1">
      <alignment horizontal="left" vertical="center"/>
    </xf>
    <xf numFmtId="0" fontId="21" fillId="0" borderId="91" xfId="0" applyFont="1" applyBorder="1" applyAlignment="1">
      <alignment horizontal="left" vertical="center"/>
    </xf>
    <xf numFmtId="0" fontId="21" fillId="0" borderId="93" xfId="0" applyFont="1" applyBorder="1" applyAlignment="1">
      <alignment horizontal="left" vertical="center"/>
    </xf>
    <xf numFmtId="0" fontId="21" fillId="0" borderId="47" xfId="0" applyFont="1" applyBorder="1" applyAlignment="1">
      <alignment horizontal="center" vertical="center" wrapText="1"/>
    </xf>
    <xf numFmtId="0" fontId="28" fillId="0" borderId="78" xfId="0" applyFont="1" applyBorder="1" applyAlignment="1">
      <alignment horizontal="left"/>
    </xf>
    <xf numFmtId="0" fontId="53" fillId="0" borderId="24" xfId="96" applyFont="1" applyFill="1" applyBorder="1" applyAlignment="1">
      <alignment horizontal="center" vertical="center" wrapText="1"/>
    </xf>
    <xf numFmtId="0" fontId="53" fillId="0" borderId="26" xfId="96" applyFont="1" applyFill="1" applyBorder="1" applyAlignment="1">
      <alignment horizontal="center" vertical="center" wrapText="1"/>
    </xf>
    <xf numFmtId="0" fontId="53" fillId="0" borderId="14" xfId="96" applyFont="1" applyFill="1" applyBorder="1" applyAlignment="1">
      <alignment horizontal="center" vertical="center" wrapText="1"/>
    </xf>
    <xf numFmtId="180" fontId="24" fillId="0" borderId="24" xfId="70" applyNumberFormat="1" applyFont="1" applyFill="1" applyBorder="1" applyAlignment="1" applyProtection="1">
      <alignment horizontal="center" vertical="center"/>
      <protection locked="0"/>
    </xf>
    <xf numFmtId="180" fontId="24" fillId="0" borderId="26" xfId="70" applyNumberFormat="1" applyFont="1" applyFill="1" applyBorder="1" applyAlignment="1" applyProtection="1">
      <alignment horizontal="center" vertical="center"/>
      <protection locked="0"/>
    </xf>
    <xf numFmtId="180" fontId="24" fillId="0" borderId="44" xfId="70" applyNumberFormat="1" applyFont="1" applyFill="1" applyBorder="1" applyAlignment="1" applyProtection="1">
      <alignment horizontal="center" vertical="center"/>
      <protection locked="0"/>
    </xf>
    <xf numFmtId="0" fontId="21" fillId="0" borderId="37" xfId="96" applyFont="1" applyFill="1" applyBorder="1" applyAlignment="1">
      <alignment horizontal="center" vertical="center"/>
    </xf>
    <xf numFmtId="0" fontId="18" fillId="0" borderId="37" xfId="96" applyBorder="1" applyAlignment="1">
      <alignment horizontal="center"/>
    </xf>
    <xf numFmtId="0" fontId="18" fillId="0" borderId="66" xfId="96" applyBorder="1" applyAlignment="1">
      <alignment horizontal="center"/>
    </xf>
    <xf numFmtId="0" fontId="8" fillId="0" borderId="24" xfId="96" applyFont="1" applyFill="1" applyBorder="1" applyAlignment="1">
      <alignment horizontal="center" vertical="center"/>
    </xf>
    <xf numFmtId="0" fontId="8" fillId="0" borderId="26" xfId="96" applyFont="1" applyFill="1" applyBorder="1" applyAlignment="1">
      <alignment horizontal="center" vertical="center"/>
    </xf>
    <xf numFmtId="0" fontId="21" fillId="0" borderId="0" xfId="96" applyFont="1" applyFill="1" applyBorder="1" applyAlignment="1">
      <alignment horizontal="center" vertical="center"/>
    </xf>
    <xf numFmtId="0" fontId="18" fillId="0" borderId="0" xfId="96" applyBorder="1" applyAlignment="1">
      <alignment horizontal="center"/>
    </xf>
    <xf numFmtId="0" fontId="18" fillId="0" borderId="46" xfId="96" applyBorder="1" applyAlignment="1">
      <alignment horizontal="center"/>
    </xf>
    <xf numFmtId="176" fontId="63" fillId="0" borderId="33" xfId="96" applyNumberFormat="1" applyFont="1" applyFill="1" applyBorder="1" applyAlignment="1">
      <alignment horizontal="center" vertical="center"/>
    </xf>
    <xf numFmtId="176" fontId="63" fillId="0" borderId="23" xfId="96" applyNumberFormat="1" applyFont="1" applyFill="1" applyBorder="1" applyAlignment="1">
      <alignment horizontal="center" vertical="center"/>
    </xf>
    <xf numFmtId="0" fontId="55" fillId="31" borderId="24" xfId="96" applyFont="1" applyFill="1" applyBorder="1" applyAlignment="1">
      <alignment horizontal="center" vertical="center" wrapText="1"/>
    </xf>
    <xf numFmtId="0" fontId="62" fillId="0" borderId="26" xfId="96" applyFont="1" applyBorder="1" applyAlignment="1">
      <alignment horizontal="center"/>
    </xf>
    <xf numFmtId="0" fontId="62" fillId="0" borderId="14" xfId="96" applyFont="1" applyBorder="1" applyAlignment="1">
      <alignment horizontal="center"/>
    </xf>
    <xf numFmtId="180" fontId="24" fillId="0" borderId="3" xfId="70" applyNumberFormat="1" applyFont="1" applyFill="1" applyBorder="1" applyAlignment="1" applyProtection="1">
      <alignment horizontal="center" vertical="center"/>
      <protection locked="0"/>
    </xf>
    <xf numFmtId="0" fontId="8" fillId="0" borderId="24" xfId="96" applyFont="1" applyFill="1" applyBorder="1" applyAlignment="1">
      <alignment horizontal="center" vertical="center" wrapText="1"/>
    </xf>
    <xf numFmtId="0" fontId="8" fillId="0" borderId="14" xfId="96" applyFont="1" applyFill="1" applyBorder="1" applyAlignment="1">
      <alignment horizontal="center" vertical="center" wrapText="1"/>
    </xf>
    <xf numFmtId="2" fontId="11" fillId="0" borderId="44" xfId="96" applyNumberFormat="1" applyFont="1" applyFill="1" applyBorder="1" applyAlignment="1">
      <alignment horizontal="center" vertical="center"/>
    </xf>
    <xf numFmtId="2" fontId="11" fillId="0" borderId="45" xfId="96" applyNumberFormat="1" applyFont="1" applyFill="1" applyBorder="1" applyAlignment="1">
      <alignment horizontal="center" vertical="center"/>
    </xf>
    <xf numFmtId="180" fontId="24" fillId="0" borderId="14" xfId="70" applyNumberFormat="1" applyFont="1" applyFill="1" applyBorder="1" applyAlignment="1" applyProtection="1">
      <alignment horizontal="center" vertical="center"/>
      <protection locked="0"/>
    </xf>
    <xf numFmtId="0" fontId="55" fillId="31" borderId="26" xfId="96" applyFont="1" applyFill="1" applyBorder="1" applyAlignment="1">
      <alignment horizontal="center" vertical="center" wrapText="1"/>
    </xf>
    <xf numFmtId="0" fontId="55" fillId="31" borderId="14" xfId="96" applyFont="1" applyFill="1" applyBorder="1" applyAlignment="1">
      <alignment horizontal="center" vertical="center" wrapText="1"/>
    </xf>
    <xf numFmtId="2" fontId="11" fillId="67" borderId="35" xfId="96" applyNumberFormat="1" applyFont="1" applyFill="1" applyBorder="1" applyAlignment="1">
      <alignment horizontal="center" vertical="center" wrapText="1"/>
    </xf>
    <xf numFmtId="2" fontId="11" fillId="67" borderId="0" xfId="96" applyNumberFormat="1" applyFont="1" applyFill="1" applyBorder="1" applyAlignment="1">
      <alignment horizontal="center" vertical="center" wrapText="1"/>
    </xf>
    <xf numFmtId="2" fontId="11" fillId="67" borderId="46" xfId="96" applyNumberFormat="1" applyFont="1" applyFill="1" applyBorder="1" applyAlignment="1">
      <alignment horizontal="center" vertical="center" wrapText="1"/>
    </xf>
    <xf numFmtId="2" fontId="11" fillId="67" borderId="36" xfId="96" applyNumberFormat="1" applyFont="1" applyFill="1" applyBorder="1" applyAlignment="1">
      <alignment horizontal="center" vertical="center" wrapText="1"/>
    </xf>
    <xf numFmtId="2" fontId="11" fillId="67" borderId="37" xfId="96" applyNumberFormat="1" applyFont="1" applyFill="1" applyBorder="1" applyAlignment="1">
      <alignment horizontal="center" vertical="center" wrapText="1"/>
    </xf>
    <xf numFmtId="2" fontId="11" fillId="67" borderId="66" xfId="96" applyNumberFormat="1" applyFont="1" applyFill="1" applyBorder="1" applyAlignment="1">
      <alignment horizontal="center" vertical="center" wrapText="1"/>
    </xf>
    <xf numFmtId="0" fontId="21" fillId="64" borderId="24" xfId="96" applyFont="1" applyFill="1" applyBorder="1" applyAlignment="1">
      <alignment horizontal="center" vertical="center"/>
    </xf>
    <xf numFmtId="0" fontId="21" fillId="64" borderId="26" xfId="96" applyFont="1" applyFill="1" applyBorder="1" applyAlignment="1">
      <alignment horizontal="center" vertical="center"/>
    </xf>
    <xf numFmtId="0" fontId="21" fillId="64" borderId="14" xfId="96" applyFont="1" applyFill="1" applyBorder="1" applyAlignment="1">
      <alignment horizontal="center" vertical="center"/>
    </xf>
    <xf numFmtId="19" fontId="11" fillId="0" borderId="24" xfId="96" applyNumberFormat="1" applyFont="1" applyFill="1" applyBorder="1" applyAlignment="1">
      <alignment horizontal="center" vertical="center"/>
    </xf>
    <xf numFmtId="0" fontId="11" fillId="0" borderId="14" xfId="96" applyFont="1" applyFill="1" applyBorder="1" applyAlignment="1">
      <alignment horizontal="center" vertical="center"/>
    </xf>
    <xf numFmtId="0" fontId="55" fillId="0" borderId="22" xfId="96" applyFont="1" applyFill="1" applyBorder="1" applyAlignment="1">
      <alignment horizontal="right" vertical="center"/>
    </xf>
    <xf numFmtId="0" fontId="18" fillId="0" borderId="57" xfId="96" applyBorder="1" applyAlignment="1">
      <alignment vertical="center"/>
    </xf>
    <xf numFmtId="0" fontId="18" fillId="0" borderId="92" xfId="96" applyBorder="1" applyAlignment="1">
      <alignment vertical="center"/>
    </xf>
    <xf numFmtId="0" fontId="55" fillId="31" borderId="94" xfId="96" applyFont="1" applyFill="1" applyBorder="1" applyAlignment="1">
      <alignment horizontal="right" vertical="center"/>
    </xf>
    <xf numFmtId="0" fontId="55" fillId="31" borderId="60" xfId="96" applyFont="1" applyFill="1" applyBorder="1" applyAlignment="1">
      <alignment horizontal="right" vertical="center"/>
    </xf>
    <xf numFmtId="180" fontId="55" fillId="0" borderId="94" xfId="96" applyNumberFormat="1" applyFont="1" applyBorder="1" applyAlignment="1">
      <alignment horizontal="left" vertical="center"/>
    </xf>
    <xf numFmtId="180" fontId="55" fillId="0" borderId="60" xfId="96" applyNumberFormat="1" applyFont="1" applyBorder="1" applyAlignment="1">
      <alignment horizontal="left" vertical="center"/>
    </xf>
    <xf numFmtId="180" fontId="55" fillId="0" borderId="95" xfId="96" applyNumberFormat="1" applyFont="1" applyBorder="1" applyAlignment="1">
      <alignment horizontal="left" vertical="center"/>
    </xf>
    <xf numFmtId="0" fontId="55" fillId="0" borderId="94" xfId="96" applyNumberFormat="1" applyFont="1" applyBorder="1" applyAlignment="1">
      <alignment horizontal="center" vertical="center"/>
    </xf>
    <xf numFmtId="0" fontId="55" fillId="0" borderId="39" xfId="96" applyNumberFormat="1" applyFont="1" applyBorder="1" applyAlignment="1">
      <alignment horizontal="center" vertical="center"/>
    </xf>
    <xf numFmtId="169" fontId="11" fillId="0" borderId="24" xfId="96" applyNumberFormat="1" applyFont="1" applyBorder="1" applyAlignment="1">
      <alignment horizontal="center" vertical="center"/>
    </xf>
    <xf numFmtId="169" fontId="11" fillId="0" borderId="14" xfId="96" applyNumberFormat="1" applyFont="1" applyBorder="1" applyAlignment="1">
      <alignment horizontal="center" vertical="center"/>
    </xf>
    <xf numFmtId="2" fontId="11" fillId="67" borderId="100" xfId="96" applyNumberFormat="1" applyFont="1" applyFill="1" applyBorder="1" applyAlignment="1">
      <alignment horizontal="center" vertical="center" wrapText="1"/>
    </xf>
    <xf numFmtId="2" fontId="11" fillId="67" borderId="101" xfId="96" applyNumberFormat="1" applyFont="1" applyFill="1" applyBorder="1" applyAlignment="1">
      <alignment horizontal="center" vertical="center" wrapText="1"/>
    </xf>
    <xf numFmtId="2" fontId="11" fillId="67" borderId="102" xfId="96" applyNumberFormat="1" applyFont="1" applyFill="1" applyBorder="1" applyAlignment="1">
      <alignment horizontal="center" vertical="center" wrapText="1"/>
    </xf>
    <xf numFmtId="0" fontId="11" fillId="0" borderId="0" xfId="96" applyFont="1" applyAlignment="1">
      <alignment horizontal="center" vertical="center"/>
    </xf>
    <xf numFmtId="0" fontId="24" fillId="0" borderId="0" xfId="96" applyFont="1" applyAlignment="1"/>
    <xf numFmtId="49" fontId="11" fillId="0" borderId="24" xfId="96" applyNumberFormat="1" applyFont="1" applyFill="1" applyBorder="1" applyAlignment="1" applyProtection="1">
      <alignment horizontal="right" vertical="center"/>
      <protection locked="0"/>
    </xf>
    <xf numFmtId="0" fontId="11" fillId="0" borderId="26" xfId="96" applyNumberFormat="1" applyFont="1" applyFill="1" applyBorder="1" applyAlignment="1" applyProtection="1">
      <alignment horizontal="right" vertical="center"/>
      <protection locked="0"/>
    </xf>
    <xf numFmtId="49" fontId="11" fillId="0" borderId="24" xfId="96" applyNumberFormat="1" applyFont="1" applyFill="1" applyBorder="1" applyAlignment="1">
      <alignment horizontal="center" vertical="center"/>
    </xf>
    <xf numFmtId="0" fontId="18" fillId="0" borderId="14" xfId="96" applyBorder="1" applyAlignment="1">
      <alignment horizontal="center" vertical="center"/>
    </xf>
    <xf numFmtId="0" fontId="54" fillId="0" borderId="0" xfId="96" applyFont="1" applyBorder="1" applyAlignment="1">
      <alignment vertical="center"/>
    </xf>
    <xf numFmtId="0" fontId="18" fillId="0" borderId="0" xfId="96" applyBorder="1" applyAlignment="1"/>
    <xf numFmtId="0" fontId="11" fillId="0" borderId="24" xfId="96" applyNumberFormat="1" applyFont="1" applyBorder="1" applyAlignment="1" applyProtection="1">
      <alignment horizontal="center"/>
      <protection locked="0"/>
    </xf>
    <xf numFmtId="0" fontId="11" fillId="0" borderId="26" xfId="96" applyNumberFormat="1" applyFont="1" applyBorder="1" applyAlignment="1" applyProtection="1">
      <alignment horizontal="center"/>
      <protection locked="0"/>
    </xf>
    <xf numFmtId="0" fontId="11" fillId="0" borderId="14" xfId="96" applyNumberFormat="1" applyFont="1" applyBorder="1" applyAlignment="1" applyProtection="1">
      <alignment horizontal="center"/>
      <protection locked="0"/>
    </xf>
    <xf numFmtId="0" fontId="11" fillId="64" borderId="43" xfId="96" applyFont="1" applyFill="1" applyBorder="1" applyAlignment="1">
      <alignment horizontal="center" vertical="center" wrapText="1"/>
    </xf>
    <xf numFmtId="0" fontId="11" fillId="64" borderId="45" xfId="96" applyFont="1" applyFill="1" applyBorder="1" applyAlignment="1">
      <alignment horizontal="center" vertical="center" wrapText="1"/>
    </xf>
    <xf numFmtId="0" fontId="11" fillId="64" borderId="35" xfId="96" applyFont="1" applyFill="1" applyBorder="1" applyAlignment="1">
      <alignment horizontal="center" vertical="center" wrapText="1"/>
    </xf>
    <xf numFmtId="0" fontId="11" fillId="64" borderId="46" xfId="96" applyFont="1" applyFill="1" applyBorder="1" applyAlignment="1">
      <alignment horizontal="center" vertical="center" wrapText="1"/>
    </xf>
    <xf numFmtId="0" fontId="11" fillId="64" borderId="36" xfId="96" applyFont="1" applyFill="1" applyBorder="1" applyAlignment="1">
      <alignment horizontal="center" vertical="center" wrapText="1"/>
    </xf>
    <xf numFmtId="0" fontId="11" fillId="64" borderId="66" xfId="96" applyFont="1" applyFill="1" applyBorder="1" applyAlignment="1">
      <alignment horizontal="center" vertical="center" wrapText="1"/>
    </xf>
    <xf numFmtId="0" fontId="11" fillId="0" borderId="43" xfId="96" applyFont="1" applyBorder="1" applyAlignment="1">
      <alignment horizontal="center" vertical="center"/>
    </xf>
    <xf numFmtId="0" fontId="11" fillId="0" borderId="45" xfId="96" applyFont="1" applyBorder="1" applyAlignment="1">
      <alignment horizontal="center" vertical="center"/>
    </xf>
    <xf numFmtId="169" fontId="11" fillId="0" borderId="24" xfId="96" applyNumberFormat="1" applyFont="1" applyFill="1" applyBorder="1" applyAlignment="1">
      <alignment horizontal="center" vertical="center"/>
    </xf>
    <xf numFmtId="169" fontId="11" fillId="0" borderId="14" xfId="96" applyNumberFormat="1" applyFont="1" applyFill="1" applyBorder="1" applyAlignment="1">
      <alignment horizontal="center" vertical="center"/>
    </xf>
    <xf numFmtId="169" fontId="25" fillId="0" borderId="24" xfId="96" applyNumberFormat="1" applyFont="1" applyBorder="1" applyAlignment="1">
      <alignment horizontal="center" vertical="center"/>
    </xf>
    <xf numFmtId="169" fontId="25" fillId="0" borderId="14" xfId="96" applyNumberFormat="1" applyFont="1" applyBorder="1" applyAlignment="1">
      <alignment horizontal="center" vertical="center"/>
    </xf>
    <xf numFmtId="0" fontId="16" fillId="0" borderId="24" xfId="97" applyNumberFormat="1" applyFont="1" applyFill="1" applyBorder="1" applyAlignment="1">
      <alignment horizontal="center" vertical="center"/>
    </xf>
    <xf numFmtId="0" fontId="15" fillId="0" borderId="26" xfId="97" applyFont="1" applyBorder="1" applyAlignment="1">
      <alignment horizontal="center" vertical="center"/>
    </xf>
    <xf numFmtId="0" fontId="15" fillId="0" borderId="14" xfId="97" applyFont="1" applyBorder="1" applyAlignment="1">
      <alignment horizontal="center" vertical="center"/>
    </xf>
    <xf numFmtId="178" fontId="159" fillId="0" borderId="24" xfId="97" applyNumberFormat="1" applyFont="1" applyFill="1" applyBorder="1" applyAlignment="1">
      <alignment horizontal="center" vertical="center"/>
    </xf>
    <xf numFmtId="178" fontId="159" fillId="0" borderId="26" xfId="97" applyNumberFormat="1" applyFont="1" applyFill="1" applyBorder="1" applyAlignment="1">
      <alignment horizontal="center" vertical="center"/>
    </xf>
    <xf numFmtId="178" fontId="159" fillId="0" borderId="14" xfId="97" applyNumberFormat="1" applyFont="1" applyFill="1" applyBorder="1" applyAlignment="1">
      <alignment horizontal="center" vertical="center"/>
    </xf>
    <xf numFmtId="0" fontId="11" fillId="0" borderId="0" xfId="97" applyFont="1" applyAlignment="1">
      <alignment horizontal="center" vertical="center"/>
    </xf>
    <xf numFmtId="0" fontId="24" fillId="0" borderId="0" xfId="97" applyFont="1" applyAlignment="1"/>
    <xf numFmtId="49" fontId="11" fillId="0" borderId="24" xfId="97" applyNumberFormat="1" applyFont="1" applyFill="1" applyBorder="1" applyAlignment="1" applyProtection="1">
      <alignment horizontal="right" vertical="center"/>
      <protection locked="0"/>
    </xf>
    <xf numFmtId="0" fontId="11" fillId="0" borderId="26" xfId="97" applyNumberFormat="1" applyFont="1" applyFill="1" applyBorder="1" applyAlignment="1" applyProtection="1">
      <alignment horizontal="right" vertical="center"/>
      <protection locked="0"/>
    </xf>
    <xf numFmtId="49" fontId="11" fillId="0" borderId="24" xfId="97" applyNumberFormat="1" applyFont="1" applyFill="1" applyBorder="1" applyAlignment="1">
      <alignment horizontal="center" vertical="center"/>
    </xf>
    <xf numFmtId="0" fontId="7" fillId="0" borderId="14" xfId="97" applyNumberFormat="1" applyBorder="1" applyAlignment="1">
      <alignment horizontal="center" vertical="center"/>
    </xf>
    <xf numFmtId="0" fontId="11" fillId="0" borderId="24" xfId="97" applyNumberFormat="1" applyFont="1" applyBorder="1" applyAlignment="1" applyProtection="1">
      <alignment horizontal="center"/>
      <protection locked="0"/>
    </xf>
    <xf numFmtId="0" fontId="11" fillId="0" borderId="26" xfId="97" applyNumberFormat="1" applyFont="1" applyBorder="1" applyAlignment="1" applyProtection="1">
      <alignment horizontal="center"/>
      <protection locked="0"/>
    </xf>
    <xf numFmtId="0" fontId="11" fillId="0" borderId="14" xfId="97" applyNumberFormat="1" applyFont="1" applyBorder="1" applyAlignment="1" applyProtection="1">
      <alignment horizontal="center"/>
      <protection locked="0"/>
    </xf>
    <xf numFmtId="0" fontId="54" fillId="0" borderId="0" xfId="97" applyFont="1" applyBorder="1" applyAlignment="1">
      <alignment vertical="center"/>
    </xf>
    <xf numFmtId="0" fontId="7" fillId="0" borderId="0" xfId="97" applyBorder="1" applyAlignment="1"/>
    <xf numFmtId="169" fontId="11" fillId="0" borderId="24" xfId="97" applyNumberFormat="1" applyFont="1" applyFill="1" applyBorder="1" applyAlignment="1">
      <alignment horizontal="center" vertical="center"/>
    </xf>
    <xf numFmtId="169" fontId="11" fillId="0" borderId="14" xfId="97" applyNumberFormat="1" applyFont="1" applyFill="1" applyBorder="1" applyAlignment="1">
      <alignment horizontal="center" vertical="center"/>
    </xf>
    <xf numFmtId="19" fontId="11" fillId="0" borderId="24" xfId="97" applyNumberFormat="1" applyFont="1" applyFill="1" applyBorder="1" applyAlignment="1">
      <alignment horizontal="center" vertical="center"/>
    </xf>
    <xf numFmtId="0" fontId="11" fillId="0" borderId="14" xfId="97" applyFont="1" applyFill="1" applyBorder="1" applyAlignment="1">
      <alignment horizontal="center" vertical="center"/>
    </xf>
    <xf numFmtId="0" fontId="14" fillId="0" borderId="0" xfId="97" applyFont="1" applyBorder="1" applyAlignment="1">
      <alignment horizontal="center" vertical="center" textRotation="90" wrapText="1"/>
    </xf>
    <xf numFmtId="0" fontId="11" fillId="0" borderId="43" xfId="97" applyFont="1" applyFill="1" applyBorder="1" applyAlignment="1">
      <alignment horizontal="left" vertical="top" wrapText="1"/>
    </xf>
    <xf numFmtId="0" fontId="11" fillId="0" borderId="44" xfId="97" applyFont="1" applyFill="1" applyBorder="1" applyAlignment="1">
      <alignment horizontal="left" vertical="top" wrapText="1"/>
    </xf>
    <xf numFmtId="0" fontId="11" fillId="0" borderId="45" xfId="97" applyFont="1" applyFill="1" applyBorder="1" applyAlignment="1">
      <alignment horizontal="left" vertical="top" wrapText="1"/>
    </xf>
    <xf numFmtId="0" fontId="11" fillId="0" borderId="35" xfId="97" applyFont="1" applyFill="1" applyBorder="1" applyAlignment="1">
      <alignment horizontal="left" vertical="top" wrapText="1"/>
    </xf>
    <xf numFmtId="0" fontId="11" fillId="0" borderId="0" xfId="97" applyFont="1" applyFill="1" applyBorder="1" applyAlignment="1">
      <alignment horizontal="left" vertical="top" wrapText="1"/>
    </xf>
    <xf numFmtId="0" fontId="11" fillId="0" borderId="46" xfId="97" applyFont="1" applyFill="1" applyBorder="1" applyAlignment="1">
      <alignment horizontal="left" vertical="top" wrapText="1"/>
    </xf>
    <xf numFmtId="0" fontId="11" fillId="0" borderId="36" xfId="97" applyFont="1" applyFill="1" applyBorder="1" applyAlignment="1">
      <alignment horizontal="left" vertical="top" wrapText="1"/>
    </xf>
    <xf numFmtId="0" fontId="11" fillId="0" borderId="37" xfId="97" applyFont="1" applyFill="1" applyBorder="1" applyAlignment="1">
      <alignment horizontal="left" vertical="top" wrapText="1"/>
    </xf>
    <xf numFmtId="0" fontId="11" fillId="0" borderId="66" xfId="97" applyFont="1" applyFill="1" applyBorder="1" applyAlignment="1">
      <alignment horizontal="left" vertical="top" wrapText="1"/>
    </xf>
    <xf numFmtId="0" fontId="21" fillId="0" borderId="3" xfId="97" applyNumberFormat="1" applyFont="1" applyFill="1" applyBorder="1" applyAlignment="1">
      <alignment horizontal="center" vertical="center"/>
    </xf>
    <xf numFmtId="0" fontId="21" fillId="0" borderId="3" xfId="97" applyFont="1" applyBorder="1" applyAlignment="1">
      <alignment horizontal="center" vertical="center"/>
    </xf>
    <xf numFmtId="0" fontId="55" fillId="31" borderId="38" xfId="96" applyFont="1" applyFill="1" applyBorder="1" applyAlignment="1">
      <alignment horizontal="center" vertical="center"/>
    </xf>
    <xf numFmtId="0" fontId="55" fillId="31" borderId="60" xfId="96" applyFont="1" applyFill="1" applyBorder="1" applyAlignment="1">
      <alignment horizontal="center" vertical="center"/>
    </xf>
    <xf numFmtId="0" fontId="55" fillId="31" borderId="39" xfId="96" applyFont="1" applyFill="1" applyBorder="1" applyAlignment="1">
      <alignment horizontal="center" vertical="center"/>
    </xf>
    <xf numFmtId="0" fontId="25" fillId="0" borderId="24" xfId="0" applyFont="1" applyFill="1" applyBorder="1" applyAlignment="1">
      <alignment horizontal="center" vertical="center" wrapText="1"/>
    </xf>
    <xf numFmtId="0" fontId="0" fillId="0" borderId="26" xfId="0" applyBorder="1" applyAlignment="1">
      <alignment horizontal="center" vertical="center"/>
    </xf>
    <xf numFmtId="0" fontId="0" fillId="0" borderId="14" xfId="0" applyBorder="1" applyAlignment="1">
      <alignment vertical="center"/>
    </xf>
    <xf numFmtId="0" fontId="21" fillId="0" borderId="23" xfId="0" applyNumberFormat="1" applyFont="1" applyFill="1" applyBorder="1" applyAlignment="1">
      <alignment horizontal="center" vertical="center"/>
    </xf>
    <xf numFmtId="0" fontId="21" fillId="0" borderId="23" xfId="0" applyFont="1" applyBorder="1" applyAlignment="1">
      <alignment horizontal="center" vertical="center"/>
    </xf>
    <xf numFmtId="0" fontId="16" fillId="0" borderId="24" xfId="0" applyNumberFormat="1" applyFont="1" applyFill="1" applyBorder="1" applyAlignment="1">
      <alignment horizontal="center" vertical="center"/>
    </xf>
    <xf numFmtId="0" fontId="15" fillId="0" borderId="26" xfId="0" applyFont="1" applyBorder="1" applyAlignment="1">
      <alignment horizontal="center" vertical="center"/>
    </xf>
    <xf numFmtId="0" fontId="15" fillId="0" borderId="14" xfId="0" applyFont="1" applyBorder="1" applyAlignment="1">
      <alignment horizontal="center" vertical="center"/>
    </xf>
    <xf numFmtId="0" fontId="14" fillId="0" borderId="0" xfId="96" applyFont="1" applyBorder="1" applyAlignment="1">
      <alignment horizontal="center" vertical="center" textRotation="90" wrapText="1"/>
    </xf>
    <xf numFmtId="0" fontId="11" fillId="0" borderId="53" xfId="96" applyFont="1" applyFill="1" applyBorder="1" applyAlignment="1">
      <alignment horizontal="center" vertical="center"/>
    </xf>
    <xf numFmtId="0" fontId="11" fillId="0" borderId="43" xfId="96" applyFont="1" applyFill="1" applyBorder="1" applyAlignment="1">
      <alignment horizontal="left" vertical="top" wrapText="1"/>
    </xf>
    <xf numFmtId="0" fontId="11" fillId="0" borderId="44" xfId="96" applyFont="1" applyFill="1" applyBorder="1" applyAlignment="1">
      <alignment horizontal="left" vertical="top" wrapText="1"/>
    </xf>
    <xf numFmtId="0" fontId="11" fillId="0" borderId="45" xfId="96" applyFont="1" applyFill="1" applyBorder="1" applyAlignment="1">
      <alignment horizontal="left" vertical="top" wrapText="1"/>
    </xf>
    <xf numFmtId="0" fontId="11" fillId="0" borderId="35" xfId="96" applyFont="1" applyFill="1" applyBorder="1" applyAlignment="1">
      <alignment horizontal="left" vertical="top" wrapText="1"/>
    </xf>
    <xf numFmtId="0" fontId="11" fillId="0" borderId="0" xfId="96" applyFont="1" applyFill="1" applyBorder="1" applyAlignment="1">
      <alignment horizontal="left" vertical="top" wrapText="1"/>
    </xf>
    <xf numFmtId="0" fontId="11" fillId="0" borderId="46" xfId="96" applyFont="1" applyFill="1" applyBorder="1" applyAlignment="1">
      <alignment horizontal="left" vertical="top" wrapText="1"/>
    </xf>
    <xf numFmtId="0" fontId="11" fillId="0" borderId="36" xfId="96" applyFont="1" applyFill="1" applyBorder="1" applyAlignment="1">
      <alignment horizontal="left" vertical="top" wrapText="1"/>
    </xf>
    <xf numFmtId="0" fontId="11" fillId="0" borderId="37" xfId="96" applyFont="1" applyFill="1" applyBorder="1" applyAlignment="1">
      <alignment horizontal="left" vertical="top" wrapText="1"/>
    </xf>
    <xf numFmtId="0" fontId="11" fillId="0" borderId="66" xfId="96" applyFont="1" applyFill="1" applyBorder="1" applyAlignment="1">
      <alignment horizontal="left" vertical="top" wrapText="1"/>
    </xf>
    <xf numFmtId="0" fontId="68" fillId="0" borderId="24" xfId="96" applyFont="1" applyFill="1" applyBorder="1" applyAlignment="1">
      <alignment horizontal="center"/>
    </xf>
    <xf numFmtId="0" fontId="68" fillId="0" borderId="26" xfId="96" applyFont="1" applyFill="1" applyBorder="1" applyAlignment="1">
      <alignment horizontal="center"/>
    </xf>
    <xf numFmtId="0" fontId="68" fillId="0" borderId="14" xfId="96" applyFont="1" applyFill="1" applyBorder="1" applyAlignment="1">
      <alignment horizontal="center"/>
    </xf>
    <xf numFmtId="0" fontId="21" fillId="0" borderId="24" xfId="96" applyFont="1" applyFill="1" applyBorder="1" applyAlignment="1">
      <alignment horizontal="center" vertical="center"/>
    </xf>
    <xf numFmtId="0" fontId="21" fillId="0" borderId="26" xfId="96" applyFont="1" applyFill="1" applyBorder="1" applyAlignment="1">
      <alignment horizontal="center" vertical="center"/>
    </xf>
    <xf numFmtId="0" fontId="21" fillId="0" borderId="14" xfId="96" applyFont="1" applyFill="1" applyBorder="1" applyAlignment="1">
      <alignment horizontal="center" vertical="center"/>
    </xf>
    <xf numFmtId="0" fontId="53" fillId="0" borderId="24" xfId="96" applyFont="1" applyFill="1" applyBorder="1" applyAlignment="1" applyProtection="1">
      <alignment horizontal="center" vertical="center" wrapText="1"/>
      <protection locked="0"/>
    </xf>
    <xf numFmtId="0" fontId="12" fillId="0" borderId="26" xfId="96" applyFont="1" applyBorder="1" applyAlignment="1">
      <alignment horizontal="center" vertical="center" wrapText="1"/>
    </xf>
    <xf numFmtId="0" fontId="12" fillId="0" borderId="14" xfId="96" applyFont="1" applyBorder="1" applyAlignment="1">
      <alignment horizontal="center" vertical="center" wrapText="1"/>
    </xf>
    <xf numFmtId="169" fontId="21" fillId="0" borderId="24" xfId="96" applyNumberFormat="1" applyFont="1" applyFill="1" applyBorder="1" applyAlignment="1">
      <alignment horizontal="center" vertical="center"/>
    </xf>
    <xf numFmtId="169" fontId="21" fillId="0" borderId="26" xfId="96" applyNumberFormat="1" applyFont="1" applyFill="1" applyBorder="1" applyAlignment="1">
      <alignment horizontal="center" vertical="center"/>
    </xf>
    <xf numFmtId="169" fontId="21" fillId="0" borderId="14" xfId="96" applyNumberFormat="1" applyFont="1" applyFill="1" applyBorder="1" applyAlignment="1">
      <alignment horizontal="center" vertical="center"/>
    </xf>
    <xf numFmtId="0" fontId="8" fillId="0" borderId="0" xfId="96" applyFont="1" applyFill="1" applyBorder="1" applyAlignment="1">
      <alignment horizontal="center" vertical="center"/>
    </xf>
    <xf numFmtId="0" fontId="18" fillId="0" borderId="0" xfId="96" applyBorder="1" applyAlignment="1">
      <alignment horizontal="center" vertical="center"/>
    </xf>
    <xf numFmtId="19" fontId="8" fillId="0" borderId="24" xfId="96" applyNumberFormat="1" applyFont="1" applyFill="1" applyBorder="1" applyAlignment="1">
      <alignment horizontal="center" vertical="center"/>
    </xf>
    <xf numFmtId="0" fontId="8" fillId="0" borderId="14" xfId="96" applyFont="1" applyFill="1" applyBorder="1" applyAlignment="1">
      <alignment horizontal="center" vertical="center"/>
    </xf>
    <xf numFmtId="14" fontId="21" fillId="0" borderId="24" xfId="96" applyNumberFormat="1" applyFont="1" applyFill="1" applyBorder="1" applyAlignment="1">
      <alignment horizontal="center" vertical="center"/>
    </xf>
    <xf numFmtId="0" fontId="18" fillId="0" borderId="26" xfId="96" applyBorder="1" applyAlignment="1"/>
    <xf numFmtId="0" fontId="18" fillId="0" borderId="14" xfId="96" applyBorder="1" applyAlignment="1"/>
    <xf numFmtId="0" fontId="64" fillId="0" borderId="0" xfId="96" applyFont="1" applyFill="1" applyBorder="1" applyAlignment="1">
      <alignment horizontal="center" vertical="center"/>
    </xf>
    <xf numFmtId="0" fontId="53" fillId="0" borderId="24" xfId="96" applyFont="1" applyBorder="1" applyAlignment="1">
      <alignment horizontal="center" vertical="center" wrapText="1"/>
    </xf>
    <xf numFmtId="0" fontId="53" fillId="0" borderId="26" xfId="96" applyFont="1" applyBorder="1" applyAlignment="1">
      <alignment vertical="center"/>
    </xf>
    <xf numFmtId="0" fontId="53" fillId="0" borderId="14" xfId="96" applyFont="1" applyBorder="1" applyAlignment="1">
      <alignment vertical="center"/>
    </xf>
    <xf numFmtId="0" fontId="8" fillId="0" borderId="26" xfId="96" applyFont="1" applyBorder="1" applyAlignment="1"/>
    <xf numFmtId="0" fontId="8" fillId="0" borderId="14" xfId="96" applyFont="1" applyBorder="1" applyAlignment="1"/>
    <xf numFmtId="0" fontId="14" fillId="20" borderId="12" xfId="96" applyFont="1" applyFill="1" applyBorder="1" applyAlignment="1">
      <alignment horizontal="center" vertical="center" wrapText="1"/>
    </xf>
    <xf numFmtId="0" fontId="18" fillId="0" borderId="12" xfId="96" applyBorder="1" applyAlignment="1">
      <alignment horizontal="center" wrapText="1"/>
    </xf>
    <xf numFmtId="0" fontId="18" fillId="0" borderId="34" xfId="96" applyBorder="1" applyAlignment="1">
      <alignment horizontal="center" wrapText="1"/>
    </xf>
    <xf numFmtId="0" fontId="7" fillId="0" borderId="24" xfId="96" applyFont="1" applyFill="1" applyBorder="1" applyAlignment="1">
      <alignment horizontal="center" vertical="center"/>
    </xf>
    <xf numFmtId="0" fontId="7" fillId="0" borderId="26" xfId="96" applyFont="1" applyFill="1" applyBorder="1" applyAlignment="1">
      <alignment horizontal="center" vertical="center"/>
    </xf>
    <xf numFmtId="0" fontId="7" fillId="0" borderId="14" xfId="96" applyFont="1" applyFill="1" applyBorder="1" applyAlignment="1">
      <alignment horizontal="center" vertical="center"/>
    </xf>
    <xf numFmtId="0" fontId="7" fillId="0" borderId="0" xfId="96" applyFont="1" applyFill="1" applyBorder="1" applyAlignment="1">
      <alignment horizontal="left" vertical="center"/>
    </xf>
    <xf numFmtId="229" fontId="68" fillId="0" borderId="24" xfId="96" applyNumberFormat="1" applyFont="1" applyFill="1" applyBorder="1" applyAlignment="1">
      <alignment horizontal="center"/>
    </xf>
    <xf numFmtId="229" fontId="68" fillId="0" borderId="26" xfId="96" applyNumberFormat="1" applyFont="1" applyFill="1" applyBorder="1" applyAlignment="1">
      <alignment horizontal="center"/>
    </xf>
    <xf numFmtId="229" fontId="68" fillId="0" borderId="14" xfId="96" applyNumberFormat="1" applyFont="1" applyFill="1" applyBorder="1" applyAlignment="1">
      <alignment horizontal="center"/>
    </xf>
    <xf numFmtId="0" fontId="21" fillId="0" borderId="24" xfId="96" applyNumberFormat="1" applyFont="1" applyFill="1" applyBorder="1" applyAlignment="1">
      <alignment horizontal="center" vertical="center"/>
    </xf>
    <xf numFmtId="0" fontId="21" fillId="0" borderId="26" xfId="96" applyNumberFormat="1" applyFont="1" applyFill="1" applyBorder="1" applyAlignment="1">
      <alignment horizontal="center" vertical="center"/>
    </xf>
    <xf numFmtId="0" fontId="16" fillId="0" borderId="12" xfId="96" applyFont="1" applyFill="1" applyBorder="1" applyAlignment="1">
      <alignment horizontal="center" vertical="center"/>
    </xf>
    <xf numFmtId="0" fontId="11" fillId="0" borderId="17" xfId="96" applyFont="1" applyFill="1" applyBorder="1" applyAlignment="1">
      <alignment horizontal="center" vertical="center"/>
    </xf>
    <xf numFmtId="0" fontId="11" fillId="0" borderId="0" xfId="96" applyFont="1" applyFill="1" applyBorder="1" applyAlignment="1">
      <alignment horizontal="center" vertical="center"/>
    </xf>
    <xf numFmtId="0" fontId="11" fillId="0" borderId="11" xfId="96" applyFont="1" applyFill="1" applyBorder="1" applyAlignment="1">
      <alignment horizontal="center" vertical="center"/>
    </xf>
    <xf numFmtId="49" fontId="21" fillId="0" borderId="24" xfId="96" applyNumberFormat="1" applyFont="1" applyFill="1" applyBorder="1" applyAlignment="1">
      <alignment horizontal="center" vertical="center"/>
    </xf>
    <xf numFmtId="0" fontId="18" fillId="0" borderId="26" xfId="96" applyNumberFormat="1" applyBorder="1" applyAlignment="1">
      <alignment horizontal="center" vertical="center"/>
    </xf>
    <xf numFmtId="0" fontId="18" fillId="0" borderId="14" xfId="96" applyNumberFormat="1" applyBorder="1" applyAlignment="1">
      <alignment horizontal="center" vertical="center"/>
    </xf>
    <xf numFmtId="49" fontId="53" fillId="0" borderId="24" xfId="96" applyNumberFormat="1" applyFont="1" applyFill="1" applyBorder="1" applyAlignment="1">
      <alignment horizontal="center" vertical="center"/>
    </xf>
    <xf numFmtId="0" fontId="53" fillId="0" borderId="26" xfId="96" applyFont="1" applyFill="1" applyBorder="1" applyAlignment="1">
      <alignment horizontal="center" vertical="center"/>
    </xf>
    <xf numFmtId="0" fontId="53" fillId="0" borderId="14" xfId="96" applyFont="1" applyFill="1" applyBorder="1" applyAlignment="1">
      <alignment horizontal="center" vertical="center"/>
    </xf>
    <xf numFmtId="1" fontId="21" fillId="0" borderId="24" xfId="96" applyNumberFormat="1" applyFont="1" applyFill="1" applyBorder="1" applyAlignment="1">
      <alignment horizontal="center" vertical="center"/>
    </xf>
    <xf numFmtId="0" fontId="21" fillId="81" borderId="25" xfId="98" applyFont="1" applyFill="1" applyBorder="1" applyAlignment="1">
      <alignment horizontal="left" vertical="center"/>
    </xf>
    <xf numFmtId="0" fontId="21" fillId="81" borderId="26" xfId="98" applyFont="1" applyFill="1" applyBorder="1" applyAlignment="1">
      <alignment horizontal="left" vertical="center"/>
    </xf>
    <xf numFmtId="0" fontId="21" fillId="81" borderId="28" xfId="98" applyFont="1" applyFill="1" applyBorder="1" applyAlignment="1">
      <alignment horizontal="left" vertical="center"/>
    </xf>
    <xf numFmtId="0" fontId="21" fillId="81" borderId="52" xfId="98" applyFont="1" applyFill="1" applyBorder="1" applyAlignment="1">
      <alignment horizontal="left" vertical="center"/>
    </xf>
    <xf numFmtId="0" fontId="21" fillId="81" borderId="53" xfId="98" applyFont="1" applyFill="1" applyBorder="1" applyAlignment="1">
      <alignment horizontal="left" vertical="center"/>
    </xf>
    <xf numFmtId="0" fontId="21" fillId="81" borderId="30" xfId="98" applyFont="1" applyFill="1" applyBorder="1" applyAlignment="1">
      <alignment horizontal="left" vertical="center"/>
    </xf>
    <xf numFmtId="0" fontId="21" fillId="31" borderId="65" xfId="98" applyFont="1" applyFill="1" applyBorder="1" applyAlignment="1">
      <alignment horizontal="center" vertical="center"/>
    </xf>
    <xf numFmtId="49" fontId="16" fillId="0" borderId="0" xfId="98" applyNumberFormat="1" applyFont="1" applyBorder="1" applyAlignment="1">
      <alignment horizontal="right" vertical="center"/>
    </xf>
    <xf numFmtId="0" fontId="8" fillId="0" borderId="0" xfId="98" applyFont="1" applyBorder="1" applyAlignment="1">
      <alignment horizontal="right" vertical="center" wrapText="1"/>
    </xf>
    <xf numFmtId="0" fontId="8" fillId="0" borderId="46" xfId="98" applyFont="1" applyBorder="1" applyAlignment="1">
      <alignment horizontal="right" vertical="center" wrapText="1"/>
    </xf>
    <xf numFmtId="0" fontId="21" fillId="31" borderId="64" xfId="98" applyFont="1" applyFill="1" applyBorder="1" applyAlignment="1">
      <alignment horizontal="center" vertical="center"/>
    </xf>
    <xf numFmtId="0" fontId="21" fillId="31" borderId="57" xfId="98" applyFont="1" applyFill="1" applyBorder="1" applyAlignment="1">
      <alignment horizontal="center" vertical="center"/>
    </xf>
    <xf numFmtId="0" fontId="21" fillId="31" borderId="25" xfId="98" applyFont="1" applyFill="1" applyBorder="1" applyAlignment="1">
      <alignment horizontal="center" vertical="center"/>
    </xf>
    <xf numFmtId="0" fontId="21" fillId="31" borderId="26" xfId="98" applyFont="1" applyFill="1" applyBorder="1" applyAlignment="1">
      <alignment horizontal="center" vertical="center"/>
    </xf>
    <xf numFmtId="0" fontId="16" fillId="0" borderId="0" xfId="98" applyFont="1" applyBorder="1" applyAlignment="1">
      <alignment horizontal="center" vertical="center"/>
    </xf>
    <xf numFmtId="0" fontId="57" fillId="0" borderId="0" xfId="98" applyFont="1" applyBorder="1" applyAlignment="1">
      <alignment horizontal="left" vertical="center" wrapText="1"/>
    </xf>
    <xf numFmtId="182" fontId="21" fillId="0" borderId="0" xfId="98" applyNumberFormat="1" applyFont="1" applyBorder="1" applyAlignment="1">
      <alignment horizontal="center" vertical="center" wrapText="1"/>
    </xf>
    <xf numFmtId="0" fontId="16" fillId="0" borderId="0" xfId="98" applyFont="1" applyFill="1" applyBorder="1" applyAlignment="1">
      <alignment horizontal="center" vertical="center" wrapText="1"/>
    </xf>
    <xf numFmtId="0" fontId="16" fillId="0" borderId="46" xfId="98" applyFont="1" applyFill="1" applyBorder="1" applyAlignment="1">
      <alignment horizontal="center" vertical="center" wrapText="1"/>
    </xf>
    <xf numFmtId="225" fontId="176" fillId="90" borderId="33" xfId="98" applyNumberFormat="1" applyFont="1" applyFill="1" applyBorder="1" applyAlignment="1">
      <alignment horizontal="center" vertical="center"/>
    </xf>
    <xf numFmtId="225" fontId="176" fillId="90" borderId="69" xfId="98" applyNumberFormat="1" applyFont="1" applyFill="1" applyBorder="1" applyAlignment="1">
      <alignment horizontal="center" vertical="center"/>
    </xf>
    <xf numFmtId="225" fontId="176" fillId="90" borderId="23" xfId="98" applyNumberFormat="1" applyFont="1" applyFill="1" applyBorder="1" applyAlignment="1">
      <alignment horizontal="center" vertical="center"/>
    </xf>
    <xf numFmtId="0" fontId="25" fillId="0" borderId="0" xfId="98" applyFont="1" applyBorder="1" applyAlignment="1">
      <alignment horizontal="center" vertical="center"/>
    </xf>
    <xf numFmtId="0" fontId="8" fillId="0" borderId="0" xfId="98" applyFont="1" applyBorder="1" applyAlignment="1">
      <alignment vertical="center"/>
    </xf>
    <xf numFmtId="0" fontId="21" fillId="0" borderId="24" xfId="98" applyNumberFormat="1" applyFont="1" applyBorder="1" applyAlignment="1">
      <alignment horizontal="center" vertical="center"/>
    </xf>
    <xf numFmtId="0" fontId="21" fillId="0" borderId="14" xfId="98" applyNumberFormat="1" applyFont="1" applyBorder="1" applyAlignment="1">
      <alignment horizontal="center" vertical="center"/>
    </xf>
    <xf numFmtId="14" fontId="21" fillId="0" borderId="24" xfId="98" applyNumberFormat="1" applyFont="1" applyBorder="1" applyAlignment="1">
      <alignment horizontal="center" vertical="center"/>
    </xf>
    <xf numFmtId="0" fontId="21" fillId="0" borderId="26" xfId="98" applyNumberFormat="1" applyFont="1" applyBorder="1" applyAlignment="1">
      <alignment horizontal="center" vertical="center"/>
    </xf>
    <xf numFmtId="0" fontId="14" fillId="0" borderId="26" xfId="98" applyNumberFormat="1" applyFont="1" applyBorder="1" applyAlignment="1">
      <alignment vertical="center"/>
    </xf>
    <xf numFmtId="0" fontId="14" fillId="0" borderId="14" xfId="98" applyNumberFormat="1" applyFont="1" applyBorder="1" applyAlignment="1">
      <alignment vertical="center"/>
    </xf>
    <xf numFmtId="49" fontId="21" fillId="0" borderId="24" xfId="98" applyNumberFormat="1" applyFont="1" applyBorder="1" applyAlignment="1">
      <alignment horizontal="center" vertical="center"/>
    </xf>
    <xf numFmtId="0" fontId="7" fillId="0" borderId="14" xfId="98" applyNumberFormat="1" applyBorder="1" applyAlignment="1">
      <alignment horizontal="center" vertical="center"/>
    </xf>
    <xf numFmtId="49" fontId="8" fillId="0" borderId="24" xfId="98" applyNumberFormat="1" applyFont="1" applyBorder="1" applyAlignment="1">
      <alignment horizontal="center" vertical="center"/>
    </xf>
    <xf numFmtId="0" fontId="8" fillId="0" borderId="14" xfId="98" applyFont="1" applyBorder="1" applyAlignment="1">
      <alignment horizontal="center" vertical="center"/>
    </xf>
    <xf numFmtId="0" fontId="14" fillId="0" borderId="24" xfId="98" applyFont="1" applyFill="1" applyBorder="1" applyAlignment="1">
      <alignment horizontal="center" vertical="center"/>
    </xf>
    <xf numFmtId="0" fontId="14" fillId="0" borderId="14" xfId="98" applyFont="1" applyFill="1" applyBorder="1" applyAlignment="1">
      <alignment horizontal="center" vertical="center"/>
    </xf>
    <xf numFmtId="0" fontId="21" fillId="31" borderId="38" xfId="98" applyFont="1" applyFill="1" applyBorder="1" applyAlignment="1" applyProtection="1">
      <alignment horizontal="center" vertical="center" wrapText="1"/>
      <protection locked="0"/>
    </xf>
    <xf numFmtId="0" fontId="21" fillId="31" borderId="60" xfId="98" applyFont="1" applyFill="1" applyBorder="1" applyAlignment="1" applyProtection="1">
      <alignment horizontal="center" vertical="center" wrapText="1"/>
      <protection locked="0"/>
    </xf>
    <xf numFmtId="0" fontId="14" fillId="0" borderId="39" xfId="98" applyFont="1" applyBorder="1" applyAlignment="1">
      <alignment vertical="center" wrapText="1"/>
    </xf>
    <xf numFmtId="0" fontId="25" fillId="0" borderId="38" xfId="98" applyFont="1" applyFill="1" applyBorder="1" applyAlignment="1" applyProtection="1">
      <alignment horizontal="center" vertical="center" wrapText="1"/>
      <protection locked="0"/>
    </xf>
    <xf numFmtId="0" fontId="7" fillId="0" borderId="60" xfId="98" applyFont="1" applyFill="1" applyBorder="1" applyAlignment="1">
      <alignment vertical="center"/>
    </xf>
    <xf numFmtId="0" fontId="7" fillId="0" borderId="39" xfId="98" applyFont="1" applyFill="1" applyBorder="1" applyAlignment="1">
      <alignment vertical="center"/>
    </xf>
    <xf numFmtId="0" fontId="8" fillId="0" borderId="3" xfId="98" applyFont="1" applyBorder="1" applyAlignment="1">
      <alignment horizontal="center"/>
    </xf>
    <xf numFmtId="0" fontId="21" fillId="0" borderId="0" xfId="98" applyFont="1" applyBorder="1" applyAlignment="1">
      <alignment vertical="center"/>
    </xf>
    <xf numFmtId="0" fontId="21" fillId="0" borderId="24" xfId="98" applyFont="1" applyBorder="1" applyAlignment="1">
      <alignment horizontal="center" vertical="center"/>
    </xf>
    <xf numFmtId="0" fontId="21" fillId="0" borderId="14" xfId="98" applyFont="1" applyBorder="1" applyAlignment="1">
      <alignment horizontal="center" vertical="center"/>
    </xf>
    <xf numFmtId="14" fontId="16" fillId="0" borderId="24" xfId="98" applyNumberFormat="1" applyFont="1" applyBorder="1" applyAlignment="1">
      <alignment horizontal="center" vertical="center"/>
    </xf>
    <xf numFmtId="0" fontId="16" fillId="0" borderId="26" xfId="98" applyNumberFormat="1" applyFont="1" applyBorder="1" applyAlignment="1">
      <alignment horizontal="center" vertical="center"/>
    </xf>
    <xf numFmtId="0" fontId="7" fillId="0" borderId="26" xfId="98" applyNumberFormat="1" applyFont="1" applyBorder="1" applyAlignment="1">
      <alignment vertical="center"/>
    </xf>
    <xf numFmtId="0" fontId="7" fillId="0" borderId="14" xfId="98" applyNumberFormat="1" applyFont="1" applyBorder="1" applyAlignment="1">
      <alignment vertical="center"/>
    </xf>
    <xf numFmtId="0" fontId="7" fillId="0" borderId="14" xfId="98" applyFont="1" applyBorder="1" applyAlignment="1">
      <alignment horizontal="center" vertical="center"/>
    </xf>
    <xf numFmtId="0" fontId="8" fillId="0" borderId="26" xfId="98" applyFont="1" applyBorder="1" applyAlignment="1">
      <alignment horizontal="center" vertical="center"/>
    </xf>
    <xf numFmtId="0" fontId="8" fillId="0" borderId="24" xfId="98" applyFont="1" applyBorder="1" applyAlignment="1">
      <alignment horizontal="center" vertical="center"/>
    </xf>
    <xf numFmtId="205" fontId="8" fillId="31" borderId="60" xfId="98" applyNumberFormat="1" applyFont="1" applyFill="1" applyBorder="1" applyAlignment="1">
      <alignment horizontal="left" vertical="center"/>
    </xf>
    <xf numFmtId="205" fontId="8" fillId="31" borderId="39" xfId="98" applyNumberFormat="1" applyFont="1" applyFill="1" applyBorder="1" applyAlignment="1">
      <alignment horizontal="left" vertical="center"/>
    </xf>
    <xf numFmtId="0" fontId="7" fillId="31" borderId="38" xfId="98" applyFont="1" applyFill="1" applyBorder="1" applyAlignment="1">
      <alignment horizontal="right" vertical="center" wrapText="1"/>
    </xf>
    <xf numFmtId="0" fontId="7" fillId="31" borderId="60" xfId="98" applyFont="1" applyFill="1" applyBorder="1" applyAlignment="1">
      <alignment horizontal="right" vertical="center" wrapText="1"/>
    </xf>
    <xf numFmtId="0" fontId="166" fillId="0" borderId="0" xfId="98" applyFont="1" applyAlignment="1">
      <alignment horizontal="center" wrapText="1"/>
    </xf>
    <xf numFmtId="0" fontId="31" fillId="35" borderId="0" xfId="98" applyFont="1" applyFill="1" applyAlignment="1">
      <alignment horizontal="center" vertical="center" wrapText="1"/>
    </xf>
    <xf numFmtId="0" fontId="31" fillId="35" borderId="46" xfId="98" applyFont="1" applyFill="1" applyBorder="1" applyAlignment="1">
      <alignment horizontal="center" vertical="center" wrapText="1"/>
    </xf>
    <xf numFmtId="0" fontId="53" fillId="31" borderId="47" xfId="98" applyFont="1" applyFill="1" applyBorder="1" applyAlignment="1">
      <alignment horizontal="center" vertical="center" wrapText="1"/>
    </xf>
    <xf numFmtId="0" fontId="53" fillId="31" borderId="31" xfId="98" applyFont="1" applyFill="1" applyBorder="1" applyAlignment="1">
      <alignment horizontal="center" vertical="center" wrapText="1"/>
    </xf>
    <xf numFmtId="0" fontId="7" fillId="0" borderId="41" xfId="98" applyFont="1" applyBorder="1" applyAlignment="1">
      <alignment vertical="center"/>
    </xf>
    <xf numFmtId="0" fontId="7" fillId="0" borderId="34" xfId="98" applyBorder="1" applyAlignment="1">
      <alignment vertical="center"/>
    </xf>
    <xf numFmtId="0" fontId="7" fillId="0" borderId="42" xfId="98" applyBorder="1" applyAlignment="1">
      <alignment vertical="center"/>
    </xf>
    <xf numFmtId="0" fontId="21" fillId="31" borderId="38" xfId="98" applyFont="1" applyFill="1" applyBorder="1" applyAlignment="1">
      <alignment horizontal="center" vertical="center"/>
    </xf>
    <xf numFmtId="0" fontId="21" fillId="31" borderId="60" xfId="98" applyFont="1" applyFill="1" applyBorder="1" applyAlignment="1">
      <alignment horizontal="center" vertical="center"/>
    </xf>
    <xf numFmtId="0" fontId="21" fillId="31" borderId="47" xfId="98" applyFont="1" applyFill="1" applyBorder="1" applyAlignment="1" applyProtection="1">
      <alignment horizontal="center" vertical="center" wrapText="1"/>
      <protection locked="0"/>
    </xf>
    <xf numFmtId="0" fontId="21" fillId="31" borderId="31" xfId="98" applyFont="1" applyFill="1" applyBorder="1" applyAlignment="1" applyProtection="1">
      <alignment horizontal="center" vertical="center" wrapText="1"/>
      <protection locked="0"/>
    </xf>
    <xf numFmtId="0" fontId="7" fillId="0" borderId="24" xfId="98" applyFont="1" applyFill="1" applyBorder="1" applyAlignment="1">
      <alignment vertical="center" wrapText="1"/>
    </xf>
    <xf numFmtId="0" fontId="7" fillId="0" borderId="28" xfId="98" applyBorder="1" applyAlignment="1">
      <alignment vertical="center" wrapText="1"/>
    </xf>
    <xf numFmtId="49" fontId="21" fillId="31" borderId="47" xfId="98" applyNumberFormat="1" applyFont="1" applyFill="1" applyBorder="1" applyAlignment="1">
      <alignment horizontal="center" vertical="center"/>
    </xf>
    <xf numFmtId="49" fontId="21" fillId="31" borderId="31" xfId="98" applyNumberFormat="1" applyFont="1" applyFill="1" applyBorder="1" applyAlignment="1">
      <alignment horizontal="center" vertical="center"/>
    </xf>
    <xf numFmtId="0" fontId="8" fillId="31" borderId="47" xfId="98" applyFont="1" applyFill="1" applyBorder="1" applyAlignment="1">
      <alignment horizontal="center" vertical="center" wrapText="1"/>
    </xf>
    <xf numFmtId="0" fontId="8" fillId="31" borderId="31" xfId="98" applyFont="1" applyFill="1" applyBorder="1" applyAlignment="1">
      <alignment horizontal="center" vertical="center" wrapText="1"/>
    </xf>
    <xf numFmtId="14" fontId="91" fillId="20" borderId="81" xfId="97" applyNumberFormat="1" applyFont="1" applyFill="1" applyBorder="1" applyAlignment="1">
      <alignment horizontal="center"/>
    </xf>
    <xf numFmtId="0" fontId="7" fillId="0" borderId="81" xfId="97" applyBorder="1" applyAlignment="1">
      <alignment horizontal="center"/>
    </xf>
    <xf numFmtId="0" fontId="92" fillId="20" borderId="80" xfId="97" applyFont="1" applyFill="1" applyBorder="1" applyAlignment="1">
      <alignment horizontal="center" vertical="center"/>
    </xf>
    <xf numFmtId="49" fontId="91" fillId="20" borderId="80" xfId="97" applyNumberFormat="1" applyFont="1" applyFill="1" applyBorder="1" applyAlignment="1">
      <alignment horizontal="center"/>
    </xf>
    <xf numFmtId="0" fontId="15" fillId="0" borderId="80" xfId="97" applyNumberFormat="1" applyFont="1" applyBorder="1" applyAlignment="1">
      <alignment horizontal="center"/>
    </xf>
    <xf numFmtId="0" fontId="91" fillId="20" borderId="80" xfId="97" applyNumberFormat="1" applyFont="1" applyFill="1" applyBorder="1" applyAlignment="1">
      <alignment horizontal="left" vertical="center" indent="1" shrinkToFit="1"/>
    </xf>
    <xf numFmtId="0" fontId="67" fillId="20" borderId="0" xfId="97" applyFont="1" applyFill="1" applyBorder="1" applyAlignment="1">
      <alignment horizontal="center" vertical="center"/>
    </xf>
    <xf numFmtId="0" fontId="8" fillId="20" borderId="0" xfId="97" applyFont="1" applyFill="1" applyBorder="1" applyAlignment="1">
      <alignment horizontal="center" vertical="center"/>
    </xf>
    <xf numFmtId="0" fontId="95" fillId="20" borderId="2" xfId="97" applyFont="1" applyFill="1" applyBorder="1" applyAlignment="1">
      <alignment horizontal="center" vertical="center"/>
    </xf>
    <xf numFmtId="0" fontId="95" fillId="0" borderId="82" xfId="97" applyFont="1" applyBorder="1" applyAlignment="1">
      <alignment horizontal="left" vertical="center"/>
    </xf>
    <xf numFmtId="0" fontId="91" fillId="20" borderId="97" xfId="97" applyFont="1" applyFill="1" applyBorder="1" applyAlignment="1">
      <alignment horizontal="center" shrinkToFit="1"/>
    </xf>
    <xf numFmtId="0" fontId="89" fillId="0" borderId="0" xfId="97" applyFont="1" applyBorder="1" applyAlignment="1">
      <alignment horizontal="left" vertical="top" wrapText="1"/>
    </xf>
    <xf numFmtId="0" fontId="89" fillId="0" borderId="0" xfId="97" applyFont="1" applyBorder="1" applyAlignment="1">
      <alignment horizontal="left" vertical="top"/>
    </xf>
    <xf numFmtId="0" fontId="7" fillId="0" borderId="38" xfId="0" applyFont="1" applyBorder="1" applyAlignment="1">
      <alignment horizontal="center" vertical="center" wrapText="1"/>
    </xf>
    <xf numFmtId="0" fontId="7" fillId="0" borderId="60" xfId="0" applyFont="1" applyBorder="1" applyAlignment="1">
      <alignment horizontal="center" vertical="center" wrapText="1"/>
    </xf>
    <xf numFmtId="0" fontId="7" fillId="0" borderId="39" xfId="0" applyFont="1" applyBorder="1" applyAlignment="1">
      <alignment horizontal="center" vertical="center" wrapText="1"/>
    </xf>
    <xf numFmtId="0" fontId="7" fillId="0" borderId="38" xfId="97" applyFont="1" applyBorder="1" applyAlignment="1">
      <alignment horizontal="center" vertical="center" wrapText="1"/>
    </xf>
    <xf numFmtId="0" fontId="7" fillId="0" borderId="39" xfId="97" applyFont="1" applyBorder="1" applyAlignment="1">
      <alignment horizontal="center" vertical="center" wrapText="1"/>
    </xf>
    <xf numFmtId="0" fontId="65" fillId="0" borderId="16" xfId="97" applyFont="1" applyBorder="1" applyAlignment="1">
      <alignment horizontal="center" vertical="top" wrapText="1"/>
    </xf>
    <xf numFmtId="0" fontId="65" fillId="0" borderId="12" xfId="97" applyFont="1" applyBorder="1" applyAlignment="1">
      <alignment horizontal="center" vertical="top" wrapText="1"/>
    </xf>
    <xf numFmtId="0" fontId="65" fillId="0" borderId="40" xfId="97" applyFont="1" applyBorder="1" applyAlignment="1">
      <alignment horizontal="center" vertical="top" wrapText="1"/>
    </xf>
    <xf numFmtId="0" fontId="65" fillId="0" borderId="41" xfId="97" applyFont="1" applyBorder="1" applyAlignment="1">
      <alignment horizontal="center" vertical="top" wrapText="1"/>
    </xf>
    <xf numFmtId="0" fontId="65" fillId="0" borderId="34" xfId="97" applyFont="1" applyBorder="1" applyAlignment="1">
      <alignment horizontal="center" vertical="top" wrapText="1"/>
    </xf>
    <xf numFmtId="0" fontId="65" fillId="0" borderId="42" xfId="97" applyFont="1" applyBorder="1" applyAlignment="1">
      <alignment horizontal="center" vertical="top" wrapText="1"/>
    </xf>
    <xf numFmtId="0" fontId="89" fillId="0" borderId="0" xfId="97" applyFont="1" applyBorder="1" applyAlignment="1">
      <alignment wrapText="1"/>
    </xf>
    <xf numFmtId="0" fontId="68" fillId="0" borderId="0" xfId="97" applyFont="1" applyBorder="1" applyAlignment="1">
      <alignment wrapText="1"/>
    </xf>
    <xf numFmtId="0" fontId="108" fillId="0" borderId="0" xfId="97" applyFont="1" applyBorder="1" applyAlignment="1">
      <alignment wrapText="1"/>
    </xf>
    <xf numFmtId="0" fontId="89" fillId="0" borderId="0" xfId="97" applyFont="1" applyBorder="1" applyAlignment="1">
      <alignment horizontal="left" wrapText="1"/>
    </xf>
    <xf numFmtId="0" fontId="104" fillId="0" borderId="0" xfId="97" applyFont="1" applyBorder="1" applyAlignment="1">
      <alignment horizontal="center"/>
    </xf>
    <xf numFmtId="0" fontId="105" fillId="0" borderId="0" xfId="97" applyFont="1" applyBorder="1" applyAlignment="1">
      <alignment horizontal="center"/>
    </xf>
    <xf numFmtId="0" fontId="108" fillId="0" borderId="0" xfId="97" applyFont="1" applyBorder="1" applyAlignment="1">
      <alignment horizontal="left" vertical="top" wrapText="1"/>
    </xf>
    <xf numFmtId="0" fontId="7" fillId="0" borderId="24" xfId="97" applyBorder="1" applyAlignment="1">
      <alignment horizontal="left" vertical="center"/>
    </xf>
    <xf numFmtId="0" fontId="7" fillId="0" borderId="26" xfId="97" applyBorder="1" applyAlignment="1">
      <alignment horizontal="left" vertical="center"/>
    </xf>
    <xf numFmtId="0" fontId="7" fillId="0" borderId="14" xfId="97" applyBorder="1" applyAlignment="1">
      <alignment horizontal="left" vertical="center"/>
    </xf>
    <xf numFmtId="0" fontId="153" fillId="57" borderId="38" xfId="97" applyFont="1" applyFill="1" applyBorder="1" applyAlignment="1">
      <alignment horizontal="right" vertical="center"/>
    </xf>
    <xf numFmtId="0" fontId="153" fillId="57" borderId="60" xfId="97" applyFont="1" applyFill="1" applyBorder="1" applyAlignment="1">
      <alignment horizontal="right" vertical="center"/>
    </xf>
    <xf numFmtId="0" fontId="143" fillId="57" borderId="60" xfId="97" applyFont="1" applyFill="1" applyBorder="1" applyAlignment="1">
      <alignment horizontal="left" vertical="center"/>
    </xf>
    <xf numFmtId="0" fontId="143" fillId="57" borderId="39" xfId="97" applyFont="1" applyFill="1" applyBorder="1" applyAlignment="1">
      <alignment horizontal="left" vertical="center"/>
    </xf>
    <xf numFmtId="0" fontId="21" fillId="0" borderId="24" xfId="97" applyFont="1" applyBorder="1" applyAlignment="1">
      <alignment horizontal="center" vertical="center"/>
    </xf>
    <xf numFmtId="0" fontId="7" fillId="0" borderId="14" xfId="97" applyBorder="1" applyAlignment="1">
      <alignment horizontal="center" vertical="center"/>
    </xf>
    <xf numFmtId="198" fontId="21" fillId="0" borderId="24" xfId="97" applyNumberFormat="1" applyFont="1" applyBorder="1" applyAlignment="1">
      <alignment horizontal="center" vertical="center"/>
    </xf>
    <xf numFmtId="0" fontId="7" fillId="0" borderId="44" xfId="97" applyBorder="1" applyAlignment="1">
      <alignment horizontal="center" vertical="center"/>
    </xf>
    <xf numFmtId="0" fontId="153" fillId="78" borderId="57" xfId="97" applyFont="1" applyFill="1" applyBorder="1" applyAlignment="1">
      <alignment horizontal="center" vertical="center" wrapText="1"/>
    </xf>
    <xf numFmtId="0" fontId="153" fillId="78" borderId="92" xfId="97" applyFont="1" applyFill="1" applyBorder="1" applyAlignment="1">
      <alignment horizontal="center" vertical="center" wrapText="1"/>
    </xf>
    <xf numFmtId="0" fontId="24" fillId="0" borderId="22" xfId="97" applyFont="1" applyBorder="1" applyAlignment="1">
      <alignment horizontal="center" vertical="center"/>
    </xf>
    <xf numFmtId="0" fontId="24" fillId="0" borderId="57" xfId="97" applyFont="1" applyBorder="1" applyAlignment="1">
      <alignment horizontal="center" vertical="center"/>
    </xf>
    <xf numFmtId="0" fontId="7" fillId="49" borderId="57" xfId="97" applyFill="1" applyBorder="1" applyAlignment="1">
      <alignment horizontal="center" vertical="center"/>
    </xf>
    <xf numFmtId="0" fontId="7" fillId="49" borderId="92" xfId="97" applyFill="1" applyBorder="1" applyAlignment="1">
      <alignment horizontal="center" vertical="center"/>
    </xf>
    <xf numFmtId="0" fontId="7" fillId="49" borderId="57" xfId="97" applyFill="1" applyBorder="1" applyAlignment="1">
      <alignment horizontal="center" vertical="center" wrapText="1"/>
    </xf>
    <xf numFmtId="0" fontId="7" fillId="49" borderId="92" xfId="97" applyFill="1" applyBorder="1" applyAlignment="1">
      <alignment horizontal="center" vertical="center" wrapText="1"/>
    </xf>
    <xf numFmtId="0" fontId="153" fillId="78" borderId="57" xfId="97" applyFont="1" applyFill="1" applyBorder="1" applyAlignment="1">
      <alignment horizontal="center" vertical="center"/>
    </xf>
    <xf numFmtId="0" fontId="153" fillId="78" borderId="92" xfId="97" applyFont="1" applyFill="1" applyBorder="1" applyAlignment="1">
      <alignment horizontal="center" vertical="center"/>
    </xf>
    <xf numFmtId="0" fontId="7" fillId="79" borderId="57" xfId="97" applyFill="1" applyBorder="1" applyAlignment="1">
      <alignment horizontal="center" vertical="center" wrapText="1"/>
    </xf>
    <xf numFmtId="0" fontId="7" fillId="79" borderId="92" xfId="97" applyFill="1" applyBorder="1" applyAlignment="1">
      <alignment horizontal="center" vertical="center" wrapText="1"/>
    </xf>
    <xf numFmtId="0" fontId="7" fillId="80" borderId="57" xfId="97" applyFill="1" applyBorder="1" applyAlignment="1">
      <alignment horizontal="center" vertical="center" wrapText="1"/>
    </xf>
    <xf numFmtId="0" fontId="7" fillId="80" borderId="92" xfId="97" applyFill="1" applyBorder="1" applyAlignment="1">
      <alignment horizontal="center" vertical="center" wrapText="1"/>
    </xf>
    <xf numFmtId="0" fontId="7" fillId="80" borderId="57" xfId="97" applyFill="1" applyBorder="1" applyAlignment="1">
      <alignment horizontal="center" vertical="center"/>
    </xf>
    <xf numFmtId="0" fontId="7" fillId="80" borderId="92" xfId="97" applyFill="1" applyBorder="1" applyAlignment="1">
      <alignment horizontal="center" vertical="center"/>
    </xf>
    <xf numFmtId="0" fontId="7" fillId="0" borderId="17" xfId="97" applyBorder="1" applyAlignment="1">
      <alignment horizontal="center" vertical="center"/>
    </xf>
    <xf numFmtId="0" fontId="7" fillId="0" borderId="0" xfId="97" applyBorder="1" applyAlignment="1">
      <alignment horizontal="center" vertical="center"/>
    </xf>
    <xf numFmtId="0" fontId="7" fillId="0" borderId="11" xfId="97" applyBorder="1" applyAlignment="1">
      <alignment horizontal="center" vertical="center"/>
    </xf>
    <xf numFmtId="0" fontId="7" fillId="0" borderId="41" xfId="97" applyBorder="1" applyAlignment="1">
      <alignment horizontal="center" vertical="center"/>
    </xf>
    <xf numFmtId="0" fontId="7" fillId="0" borderId="34" xfId="97" applyBorder="1" applyAlignment="1">
      <alignment horizontal="center" vertical="center"/>
    </xf>
    <xf numFmtId="0" fontId="7" fillId="0" borderId="42" xfId="97" applyBorder="1" applyAlignment="1">
      <alignment horizontal="center" vertical="center"/>
    </xf>
    <xf numFmtId="0" fontId="7" fillId="80" borderId="57" xfId="97" applyFont="1" applyFill="1" applyBorder="1" applyAlignment="1">
      <alignment horizontal="center" vertical="center" wrapText="1"/>
    </xf>
    <xf numFmtId="0" fontId="7" fillId="80" borderId="92" xfId="97" applyFont="1" applyFill="1" applyBorder="1" applyAlignment="1">
      <alignment horizontal="center" vertical="center" wrapText="1"/>
    </xf>
    <xf numFmtId="0" fontId="8" fillId="57" borderId="16" xfId="97" applyFont="1" applyFill="1" applyBorder="1" applyAlignment="1">
      <alignment horizontal="center" vertical="center"/>
    </xf>
    <xf numFmtId="0" fontId="8" fillId="57" borderId="12" xfId="97" applyFont="1" applyFill="1" applyBorder="1" applyAlignment="1">
      <alignment horizontal="center" vertical="center"/>
    </xf>
    <xf numFmtId="0" fontId="8" fillId="57" borderId="40" xfId="97" applyFont="1" applyFill="1" applyBorder="1" applyAlignment="1">
      <alignment horizontal="center" vertical="center"/>
    </xf>
    <xf numFmtId="0" fontId="8" fillId="57" borderId="41" xfId="97" applyFont="1" applyFill="1" applyBorder="1" applyAlignment="1">
      <alignment horizontal="center" vertical="center"/>
    </xf>
    <xf numFmtId="0" fontId="8" fillId="57" borderId="34" xfId="97" applyFont="1" applyFill="1" applyBorder="1" applyAlignment="1">
      <alignment horizontal="center" vertical="center"/>
    </xf>
    <xf numFmtId="0" fontId="8" fillId="57" borderId="42" xfId="97" applyFont="1" applyFill="1" applyBorder="1" applyAlignment="1">
      <alignment horizontal="center" vertical="center"/>
    </xf>
    <xf numFmtId="0" fontId="68" fillId="0" borderId="36" xfId="97" applyFont="1" applyBorder="1" applyAlignment="1">
      <alignment horizontal="center" vertical="center"/>
    </xf>
    <xf numFmtId="0" fontId="68" fillId="0" borderId="98" xfId="97" applyFont="1" applyBorder="1" applyAlignment="1">
      <alignment horizontal="center" vertical="center"/>
    </xf>
    <xf numFmtId="0" fontId="68" fillId="0" borderId="66" xfId="97" applyFont="1" applyBorder="1" applyAlignment="1">
      <alignment horizontal="center" vertical="center"/>
    </xf>
    <xf numFmtId="0" fontId="11" fillId="0" borderId="0" xfId="97" applyFont="1" applyFill="1" applyAlignment="1">
      <alignment horizontal="center" vertical="center"/>
    </xf>
    <xf numFmtId="0" fontId="24" fillId="0" borderId="0" xfId="97" applyFont="1" applyAlignment="1">
      <alignment vertical="center"/>
    </xf>
    <xf numFmtId="14" fontId="21" fillId="0" borderId="24" xfId="97" applyNumberFormat="1" applyFont="1" applyBorder="1" applyAlignment="1">
      <alignment horizontal="center" vertical="center"/>
    </xf>
    <xf numFmtId="0" fontId="7" fillId="0" borderId="26" xfId="97" applyNumberFormat="1" applyBorder="1" applyAlignment="1">
      <alignment horizontal="center" vertical="center"/>
    </xf>
    <xf numFmtId="0" fontId="17" fillId="0" borderId="0" xfId="97" applyFont="1" applyAlignment="1">
      <alignment horizontal="right" vertical="top"/>
    </xf>
    <xf numFmtId="169" fontId="25" fillId="81" borderId="24" xfId="97" applyNumberFormat="1" applyFont="1" applyFill="1" applyBorder="1" applyAlignment="1">
      <alignment horizontal="center" vertical="center"/>
    </xf>
    <xf numFmtId="169" fontId="54" fillId="81" borderId="14" xfId="97" applyNumberFormat="1" applyFont="1" applyFill="1" applyBorder="1" applyAlignment="1">
      <alignment horizontal="center" vertical="center"/>
    </xf>
    <xf numFmtId="49" fontId="21" fillId="0" borderId="24" xfId="97" applyNumberFormat="1" applyFont="1" applyBorder="1" applyAlignment="1">
      <alignment horizontal="right" vertical="center"/>
    </xf>
    <xf numFmtId="49" fontId="21" fillId="0" borderId="26" xfId="97" applyNumberFormat="1" applyFont="1" applyBorder="1" applyAlignment="1">
      <alignment horizontal="right" vertical="center"/>
    </xf>
    <xf numFmtId="169" fontId="11" fillId="0" borderId="24" xfId="97" applyNumberFormat="1" applyFont="1" applyBorder="1" applyAlignment="1">
      <alignment horizontal="right" vertical="center"/>
    </xf>
    <xf numFmtId="0" fontId="24" fillId="0" borderId="26" xfId="97" applyFont="1" applyBorder="1" applyAlignment="1">
      <alignment horizontal="right" vertical="center"/>
    </xf>
    <xf numFmtId="14" fontId="11" fillId="0" borderId="26" xfId="97" applyNumberFormat="1" applyFont="1" applyBorder="1" applyAlignment="1">
      <alignment horizontal="left" vertical="center"/>
    </xf>
    <xf numFmtId="14" fontId="11" fillId="0" borderId="14" xfId="97" applyNumberFormat="1" applyFont="1" applyBorder="1" applyAlignment="1">
      <alignment horizontal="left" vertical="center"/>
    </xf>
    <xf numFmtId="0" fontId="7" fillId="80" borderId="38" xfId="97" applyFont="1" applyFill="1" applyBorder="1" applyAlignment="1">
      <alignment horizontal="right" vertical="center"/>
    </xf>
    <xf numFmtId="0" fontId="7" fillId="80" borderId="60" xfId="97" applyFont="1" applyFill="1" applyBorder="1" applyAlignment="1">
      <alignment horizontal="right" vertical="center"/>
    </xf>
    <xf numFmtId="0" fontId="8" fillId="80" borderId="60" xfId="97" applyFont="1" applyFill="1" applyBorder="1" applyAlignment="1">
      <alignment horizontal="left" vertical="center"/>
    </xf>
    <xf numFmtId="0" fontId="8" fillId="80" borderId="39" xfId="97" applyFont="1" applyFill="1" applyBorder="1" applyAlignment="1">
      <alignment horizontal="left" vertical="center"/>
    </xf>
    <xf numFmtId="0" fontId="7" fillId="49" borderId="38" xfId="97" applyFill="1" applyBorder="1" applyAlignment="1">
      <alignment horizontal="right" vertical="center"/>
    </xf>
    <xf numFmtId="0" fontId="7" fillId="49" borderId="60" xfId="97" applyFill="1" applyBorder="1" applyAlignment="1">
      <alignment horizontal="right" vertical="center"/>
    </xf>
    <xf numFmtId="0" fontId="8" fillId="49" borderId="60" xfId="97" applyFont="1" applyFill="1" applyBorder="1" applyAlignment="1">
      <alignment horizontal="left" vertical="center"/>
    </xf>
    <xf numFmtId="0" fontId="8" fillId="49" borderId="39" xfId="97" applyFont="1" applyFill="1" applyBorder="1" applyAlignment="1">
      <alignment horizontal="left" vertical="center"/>
    </xf>
    <xf numFmtId="0" fontId="7" fillId="79" borderId="38" xfId="97" applyFill="1" applyBorder="1" applyAlignment="1">
      <alignment horizontal="right" vertical="center"/>
    </xf>
    <xf numFmtId="0" fontId="7" fillId="79" borderId="60" xfId="97" applyFill="1" applyBorder="1" applyAlignment="1">
      <alignment horizontal="right" vertical="center"/>
    </xf>
    <xf numFmtId="0" fontId="8" fillId="79" borderId="60" xfId="97" applyFont="1" applyFill="1" applyBorder="1" applyAlignment="1">
      <alignment horizontal="left" vertical="center"/>
    </xf>
    <xf numFmtId="0" fontId="8" fillId="79" borderId="39" xfId="97" applyFont="1" applyFill="1" applyBorder="1" applyAlignment="1">
      <alignment horizontal="left" vertical="center"/>
    </xf>
    <xf numFmtId="0" fontId="153" fillId="78" borderId="38" xfId="97" applyFont="1" applyFill="1" applyBorder="1" applyAlignment="1">
      <alignment horizontal="right" vertical="center"/>
    </xf>
    <xf numFmtId="0" fontId="153" fillId="78" borderId="60" xfId="97" applyFont="1" applyFill="1" applyBorder="1" applyAlignment="1">
      <alignment horizontal="right" vertical="center"/>
    </xf>
    <xf numFmtId="0" fontId="143" fillId="78" borderId="60" xfId="97" applyFont="1" applyFill="1" applyBorder="1" applyAlignment="1">
      <alignment horizontal="left" vertical="center"/>
    </xf>
    <xf numFmtId="0" fontId="143" fillId="78" borderId="39" xfId="97" applyFont="1" applyFill="1" applyBorder="1" applyAlignment="1">
      <alignment horizontal="left" vertical="center"/>
    </xf>
    <xf numFmtId="0" fontId="8" fillId="0" borderId="0" xfId="97" applyFont="1" applyAlignment="1">
      <alignment horizontal="center" vertical="center" wrapText="1"/>
    </xf>
    <xf numFmtId="0" fontId="130" fillId="0" borderId="0" xfId="97" applyFont="1" applyBorder="1" applyAlignment="1">
      <alignment horizontal="center" wrapText="1"/>
    </xf>
    <xf numFmtId="0" fontId="57" fillId="0" borderId="0" xfId="97" applyFont="1" applyAlignment="1">
      <alignment horizontal="center" wrapText="1"/>
    </xf>
    <xf numFmtId="0" fontId="12" fillId="0" borderId="33" xfId="97" applyFont="1" applyBorder="1" applyAlignment="1">
      <alignment horizontal="center" vertical="center" wrapText="1"/>
    </xf>
    <xf numFmtId="0" fontId="12" fillId="0" borderId="69" xfId="97" applyFont="1" applyBorder="1" applyAlignment="1">
      <alignment horizontal="center" vertical="center" wrapText="1"/>
    </xf>
    <xf numFmtId="0" fontId="21" fillId="0" borderId="26" xfId="97" applyFont="1" applyBorder="1" applyAlignment="1">
      <alignment horizontal="center" vertical="center"/>
    </xf>
    <xf numFmtId="0" fontId="21" fillId="0" borderId="14" xfId="97" applyFont="1" applyBorder="1" applyAlignment="1">
      <alignment horizontal="center" vertical="center"/>
    </xf>
    <xf numFmtId="181" fontId="21" fillId="0" borderId="24" xfId="97" applyNumberFormat="1" applyFont="1" applyBorder="1" applyAlignment="1">
      <alignment horizontal="center" vertical="center"/>
    </xf>
    <xf numFmtId="181" fontId="21" fillId="0" borderId="26" xfId="97" applyNumberFormat="1" applyFont="1" applyBorder="1" applyAlignment="1">
      <alignment horizontal="center" vertical="center"/>
    </xf>
    <xf numFmtId="181" fontId="21" fillId="0" borderId="14" xfId="97" applyNumberFormat="1" applyFont="1" applyBorder="1" applyAlignment="1">
      <alignment horizontal="center" vertical="center"/>
    </xf>
    <xf numFmtId="0" fontId="8" fillId="0" borderId="24" xfId="97" applyFont="1" applyBorder="1" applyAlignment="1">
      <alignment horizontal="center" vertical="center"/>
    </xf>
    <xf numFmtId="0" fontId="8" fillId="0" borderId="14" xfId="97" applyFont="1" applyBorder="1" applyAlignment="1">
      <alignment horizontal="center" vertical="center"/>
    </xf>
    <xf numFmtId="0" fontId="25" fillId="0" borderId="0" xfId="97" applyFont="1" applyBorder="1" applyAlignment="1">
      <alignment horizontal="center" vertical="center"/>
    </xf>
    <xf numFmtId="0" fontId="16" fillId="0" borderId="24" xfId="97" applyNumberFormat="1" applyFont="1" applyBorder="1" applyAlignment="1">
      <alignment horizontal="center" vertical="center"/>
    </xf>
    <xf numFmtId="0" fontId="16" fillId="0" borderId="26" xfId="97" applyNumberFormat="1" applyFont="1" applyBorder="1" applyAlignment="1">
      <alignment horizontal="center" vertical="center"/>
    </xf>
    <xf numFmtId="0" fontId="7" fillId="0" borderId="26" xfId="97" applyNumberFormat="1" applyFont="1" applyBorder="1" applyAlignment="1">
      <alignment vertical="center"/>
    </xf>
    <xf numFmtId="0" fontId="7" fillId="0" borderId="14" xfId="97" applyNumberFormat="1" applyFont="1" applyBorder="1" applyAlignment="1">
      <alignment vertical="center"/>
    </xf>
    <xf numFmtId="0" fontId="8" fillId="0" borderId="24" xfId="97" applyNumberFormat="1" applyFont="1" applyBorder="1" applyAlignment="1">
      <alignment horizontal="center" vertical="center"/>
    </xf>
    <xf numFmtId="0" fontId="8" fillId="0" borderId="26" xfId="97" applyNumberFormat="1" applyFont="1" applyBorder="1" applyAlignment="1">
      <alignment horizontal="center" vertical="center"/>
    </xf>
    <xf numFmtId="0" fontId="8" fillId="0" borderId="14" xfId="97" applyNumberFormat="1" applyFont="1" applyBorder="1" applyAlignment="1">
      <alignment horizontal="center" vertical="center"/>
    </xf>
    <xf numFmtId="49" fontId="8" fillId="0" borderId="24" xfId="97" applyNumberFormat="1" applyFont="1" applyBorder="1" applyAlignment="1">
      <alignment horizontal="center" vertical="center"/>
    </xf>
    <xf numFmtId="0" fontId="8" fillId="0" borderId="26" xfId="97" applyFont="1" applyBorder="1" applyAlignment="1">
      <alignment horizontal="center" vertical="center"/>
    </xf>
    <xf numFmtId="0" fontId="14" fillId="29" borderId="0" xfId="0" applyFont="1" applyFill="1" applyBorder="1" applyAlignment="1">
      <alignment horizontal="left"/>
    </xf>
  </cellXfs>
  <cellStyles count="116">
    <cellStyle name="20% - Akzent1" xfId="1" xr:uid="{00000000-0005-0000-0000-000000000000}"/>
    <cellStyle name="20% - Akzent1 2" xfId="2" xr:uid="{00000000-0005-0000-0000-000001000000}"/>
    <cellStyle name="20% - Akzent2" xfId="3" xr:uid="{00000000-0005-0000-0000-000002000000}"/>
    <cellStyle name="20% - Akzent2 2" xfId="4" xr:uid="{00000000-0005-0000-0000-000003000000}"/>
    <cellStyle name="20% - Akzent3" xfId="5" xr:uid="{00000000-0005-0000-0000-000004000000}"/>
    <cellStyle name="20% - Akzent3 2" xfId="6" xr:uid="{00000000-0005-0000-0000-000005000000}"/>
    <cellStyle name="20% - Akzent4" xfId="7" xr:uid="{00000000-0005-0000-0000-000006000000}"/>
    <cellStyle name="20% - Akzent4 2" xfId="8" xr:uid="{00000000-0005-0000-0000-000007000000}"/>
    <cellStyle name="20% - Akzent5" xfId="9" xr:uid="{00000000-0005-0000-0000-000008000000}"/>
    <cellStyle name="20% - Akzent5 2" xfId="10" xr:uid="{00000000-0005-0000-0000-000009000000}"/>
    <cellStyle name="20% - Akzent6" xfId="11" xr:uid="{00000000-0005-0000-0000-00000A000000}"/>
    <cellStyle name="20% - Akzent6 2" xfId="12" xr:uid="{00000000-0005-0000-0000-00000B000000}"/>
    <cellStyle name="40% - Akzent1" xfId="13" xr:uid="{00000000-0005-0000-0000-00000C000000}"/>
    <cellStyle name="40% - Akzent1 2" xfId="14" xr:uid="{00000000-0005-0000-0000-00000D000000}"/>
    <cellStyle name="40% - Akzent2" xfId="15" xr:uid="{00000000-0005-0000-0000-00000E000000}"/>
    <cellStyle name="40% - Akzent2 2" xfId="16" xr:uid="{00000000-0005-0000-0000-00000F000000}"/>
    <cellStyle name="40% - Akzent3" xfId="17" xr:uid="{00000000-0005-0000-0000-000010000000}"/>
    <cellStyle name="40% - Akzent3 2" xfId="18" xr:uid="{00000000-0005-0000-0000-000011000000}"/>
    <cellStyle name="40% - Akzent4" xfId="19" xr:uid="{00000000-0005-0000-0000-000012000000}"/>
    <cellStyle name="40% - Akzent4 2" xfId="20" xr:uid="{00000000-0005-0000-0000-000013000000}"/>
    <cellStyle name="40% - Akzent5" xfId="21" xr:uid="{00000000-0005-0000-0000-000014000000}"/>
    <cellStyle name="40% - Akzent5 2" xfId="22" xr:uid="{00000000-0005-0000-0000-000015000000}"/>
    <cellStyle name="40% - Akzent6" xfId="23" xr:uid="{00000000-0005-0000-0000-000016000000}"/>
    <cellStyle name="40% - Akzent6 2" xfId="24" xr:uid="{00000000-0005-0000-0000-000017000000}"/>
    <cellStyle name="60% - Akzent1" xfId="25" xr:uid="{00000000-0005-0000-0000-000018000000}"/>
    <cellStyle name="60% - Akzent2" xfId="26" xr:uid="{00000000-0005-0000-0000-000019000000}"/>
    <cellStyle name="60% - Akzent3" xfId="27" xr:uid="{00000000-0005-0000-0000-00001A000000}"/>
    <cellStyle name="60% - Akzent4" xfId="28" xr:uid="{00000000-0005-0000-0000-00001B000000}"/>
    <cellStyle name="60% - Akzent5" xfId="29" xr:uid="{00000000-0005-0000-0000-00001C000000}"/>
    <cellStyle name="60% - Akzent6" xfId="30" xr:uid="{00000000-0005-0000-0000-00001D000000}"/>
    <cellStyle name="Akzent1" xfId="31" builtinId="29" customBuiltin="1"/>
    <cellStyle name="Akzent2" xfId="32" builtinId="33" customBuiltin="1"/>
    <cellStyle name="Akzent3" xfId="33" builtinId="37" customBuiltin="1"/>
    <cellStyle name="Akzent4" xfId="34" builtinId="41" customBuiltin="1"/>
    <cellStyle name="Akzent5" xfId="35" builtinId="45" customBuiltin="1"/>
    <cellStyle name="Akzent6" xfId="36" builtinId="49" customBuiltin="1"/>
    <cellStyle name="ArtBen Edel" xfId="37" xr:uid="{00000000-0005-0000-0000-000024000000}"/>
    <cellStyle name="ArtBen verzinkt" xfId="38" xr:uid="{00000000-0005-0000-0000-000025000000}"/>
    <cellStyle name="Artikelnummer MatAb" xfId="39" xr:uid="{00000000-0005-0000-0000-000026000000}"/>
    <cellStyle name="Ausgabe" xfId="40" builtinId="21" customBuiltin="1"/>
    <cellStyle name="Berechnung" xfId="41" builtinId="22" customBuiltin="1"/>
    <cellStyle name="Eingabe" xfId="42" builtinId="20" customBuiltin="1"/>
    <cellStyle name="Eingabe 2" xfId="43" xr:uid="{00000000-0005-0000-0000-00002A000000}"/>
    <cellStyle name="Eingabe 2 2" xfId="44" xr:uid="{00000000-0005-0000-0000-00002B000000}"/>
    <cellStyle name="Eingabe 3" xfId="45" xr:uid="{00000000-0005-0000-0000-00002C000000}"/>
    <cellStyle name="Eingabe 3 2" xfId="46" xr:uid="{00000000-0005-0000-0000-00002D000000}"/>
    <cellStyle name="Eingabe 4" xfId="47" xr:uid="{00000000-0005-0000-0000-00002E000000}"/>
    <cellStyle name="Ergebnis" xfId="48" builtinId="25" customBuiltin="1"/>
    <cellStyle name="Erklärender Text" xfId="49" builtinId="53" customBuiltin="1"/>
    <cellStyle name="Euro" xfId="50" xr:uid="{00000000-0005-0000-0000-000031000000}"/>
    <cellStyle name="Euro 2" xfId="51" xr:uid="{00000000-0005-0000-0000-000032000000}"/>
    <cellStyle name="Euro 3" xfId="52" xr:uid="{00000000-0005-0000-0000-000033000000}"/>
    <cellStyle name="FAA Hinweistext" xfId="53" xr:uid="{00000000-0005-0000-0000-000034000000}"/>
    <cellStyle name="FAA/Flex" xfId="54" xr:uid="{00000000-0005-0000-0000-000035000000}"/>
    <cellStyle name="Flex Hinweistext" xfId="55" xr:uid="{00000000-0005-0000-0000-000036000000}"/>
    <cellStyle name="Gut" xfId="56" builtinId="26" customBuiltin="1"/>
    <cellStyle name="Hyperlink 2" xfId="57" xr:uid="{00000000-0005-0000-0000-000038000000}"/>
    <cellStyle name="Komma 2" xfId="58" xr:uid="{00000000-0005-0000-0000-000039000000}"/>
    <cellStyle name="Komma 2 2" xfId="59" xr:uid="{00000000-0005-0000-0000-00003A000000}"/>
    <cellStyle name="Komma 3" xfId="60" xr:uid="{00000000-0005-0000-0000-00003B000000}"/>
    <cellStyle name="Komma 3 2" xfId="61" xr:uid="{00000000-0005-0000-0000-00003C000000}"/>
    <cellStyle name="Komma 3 3" xfId="62" xr:uid="{00000000-0005-0000-0000-00003D000000}"/>
    <cellStyle name="Komma 4" xfId="63" xr:uid="{00000000-0005-0000-0000-00003E000000}"/>
    <cellStyle name="Komma 4 2" xfId="64" xr:uid="{00000000-0005-0000-0000-00003F000000}"/>
    <cellStyle name="Komma 4 2 2" xfId="65" xr:uid="{00000000-0005-0000-0000-000040000000}"/>
    <cellStyle name="Komma 4 3" xfId="66" xr:uid="{00000000-0005-0000-0000-000041000000}"/>
    <cellStyle name="Komma 5" xfId="67" xr:uid="{00000000-0005-0000-0000-000042000000}"/>
    <cellStyle name="Komma 5 2" xfId="68" xr:uid="{00000000-0005-0000-0000-000043000000}"/>
    <cellStyle name="Komma 6" xfId="69" xr:uid="{00000000-0005-0000-0000-000044000000}"/>
    <cellStyle name="Link" xfId="70" builtinId="8"/>
    <cellStyle name="Neutral" xfId="71" builtinId="28" customBuiltin="1"/>
    <cellStyle name="Notiz" xfId="72" builtinId="10" customBuiltin="1"/>
    <cellStyle name="Notiz 2" xfId="73" xr:uid="{00000000-0005-0000-0000-000048000000}"/>
    <cellStyle name="Notiz 2 2" xfId="74" xr:uid="{00000000-0005-0000-0000-000049000000}"/>
    <cellStyle name="Notiz 3" xfId="75" xr:uid="{00000000-0005-0000-0000-00004A000000}"/>
    <cellStyle name="Notiz 3 2" xfId="76" xr:uid="{00000000-0005-0000-0000-00004B000000}"/>
    <cellStyle name="Notiz 3 2 2" xfId="77" xr:uid="{00000000-0005-0000-0000-00004C000000}"/>
    <cellStyle name="Notiz 3 3" xfId="78" xr:uid="{00000000-0005-0000-0000-00004D000000}"/>
    <cellStyle name="Notiz 4" xfId="79" xr:uid="{00000000-0005-0000-0000-00004E000000}"/>
    <cellStyle name="Notiz 4 2" xfId="80" xr:uid="{00000000-0005-0000-0000-00004F000000}"/>
    <cellStyle name="Notiz 5" xfId="81" xr:uid="{00000000-0005-0000-0000-000050000000}"/>
    <cellStyle name="Notiz 6" xfId="82" xr:uid="{00000000-0005-0000-0000-000051000000}"/>
    <cellStyle name="Prozent" xfId="115" builtinId="5"/>
    <cellStyle name="Prozent 2" xfId="83" xr:uid="{00000000-0005-0000-0000-000053000000}"/>
    <cellStyle name="Prozent 2 2" xfId="84" xr:uid="{00000000-0005-0000-0000-000054000000}"/>
    <cellStyle name="Prozent 3" xfId="85" xr:uid="{00000000-0005-0000-0000-000055000000}"/>
    <cellStyle name="Prozent 3 2" xfId="86" xr:uid="{00000000-0005-0000-0000-000056000000}"/>
    <cellStyle name="Prozent 3 3" xfId="87" xr:uid="{00000000-0005-0000-0000-000057000000}"/>
    <cellStyle name="Prozent 4" xfId="88" xr:uid="{00000000-0005-0000-0000-000058000000}"/>
    <cellStyle name="Prozent 4 2" xfId="89" xr:uid="{00000000-0005-0000-0000-000059000000}"/>
    <cellStyle name="Prozent 4 2 2" xfId="90" xr:uid="{00000000-0005-0000-0000-00005A000000}"/>
    <cellStyle name="Prozent 4 3" xfId="91" xr:uid="{00000000-0005-0000-0000-00005B000000}"/>
    <cellStyle name="Prozent 5" xfId="92" xr:uid="{00000000-0005-0000-0000-00005C000000}"/>
    <cellStyle name="Prozent 5 2" xfId="93" xr:uid="{00000000-0005-0000-0000-00005D000000}"/>
    <cellStyle name="Prozent 6" xfId="94" xr:uid="{00000000-0005-0000-0000-00005E000000}"/>
    <cellStyle name="Schlecht" xfId="95" builtinId="27" customBuiltin="1"/>
    <cellStyle name="Standard" xfId="0" builtinId="0"/>
    <cellStyle name="Standard 2" xfId="96" xr:uid="{00000000-0005-0000-0000-000061000000}"/>
    <cellStyle name="Standard 2 2" xfId="97" xr:uid="{00000000-0005-0000-0000-000062000000}"/>
    <cellStyle name="Standard 3" xfId="98" xr:uid="{00000000-0005-0000-0000-000063000000}"/>
    <cellStyle name="Standard 4" xfId="99" xr:uid="{00000000-0005-0000-0000-000064000000}"/>
    <cellStyle name="Standard 5" xfId="114" xr:uid="{00000000-0005-0000-0000-000065000000}"/>
    <cellStyle name="Standard_Artikelnummern OS 2003" xfId="100" xr:uid="{00000000-0005-0000-0000-000066000000}"/>
    <cellStyle name="Standard_Intublöcke" xfId="101" xr:uid="{00000000-0005-0000-0000-000067000000}"/>
    <cellStyle name="Überschrift" xfId="102" builtinId="15" customBuiltin="1"/>
    <cellStyle name="Überschrift 1" xfId="103" builtinId="16" customBuiltin="1"/>
    <cellStyle name="Überschrift 2" xfId="104" builtinId="17" customBuiltin="1"/>
    <cellStyle name="Überschrift 3" xfId="105" builtinId="18" customBuiltin="1"/>
    <cellStyle name="Überschrift 4" xfId="106" builtinId="19" customBuiltin="1"/>
    <cellStyle name="Verknüpfte Zelle" xfId="107" builtinId="24" customBuiltin="1"/>
    <cellStyle name="Währung 2" xfId="108" xr:uid="{00000000-0005-0000-0000-00006E000000}"/>
    <cellStyle name="Währung 3" xfId="109" xr:uid="{00000000-0005-0000-0000-00006F000000}"/>
    <cellStyle name="Währung 4" xfId="110" xr:uid="{00000000-0005-0000-0000-000070000000}"/>
    <cellStyle name="Währung 5" xfId="111" xr:uid="{00000000-0005-0000-0000-000071000000}"/>
    <cellStyle name="Warnender Text" xfId="112" builtinId="11" customBuiltin="1"/>
    <cellStyle name="Zelle überprüfen" xfId="113" builtinId="23" customBuiltin="1"/>
  </cellStyles>
  <dxfs count="1816">
    <dxf>
      <font>
        <condense val="0"/>
        <extend val="0"/>
        <color indexed="9"/>
      </font>
    </dxf>
    <dxf>
      <font>
        <condense val="0"/>
        <extend val="0"/>
        <color indexed="9"/>
      </font>
    </dxf>
    <dxf>
      <fill>
        <patternFill>
          <bgColor theme="0" tint="-0.34998626667073579"/>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fill>
        <patternFill>
          <bgColor indexed="43"/>
        </patternFill>
      </fill>
    </dxf>
    <dxf>
      <font>
        <condense val="0"/>
        <extend val="0"/>
        <color indexed="9"/>
      </font>
    </dxf>
    <dxf>
      <font>
        <condense val="0"/>
        <extend val="0"/>
        <color indexed="9"/>
      </font>
      <fill>
        <patternFill>
          <bgColor indexed="43"/>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fill>
        <patternFill patternType="none">
          <bgColor indexed="65"/>
        </patternFill>
      </fill>
    </dxf>
    <dxf>
      <font>
        <condense val="0"/>
        <extend val="0"/>
        <color indexed="9"/>
      </font>
    </dxf>
    <dxf>
      <font>
        <condense val="0"/>
        <extend val="0"/>
        <color indexed="9"/>
      </font>
      <fill>
        <patternFill patternType="none">
          <bgColor indexed="65"/>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fill>
        <patternFill patternType="none">
          <bgColor indexed="65"/>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theme="0"/>
      </font>
    </dxf>
    <dxf>
      <font>
        <color theme="0"/>
      </font>
    </dxf>
    <dxf>
      <font>
        <color theme="0"/>
      </font>
    </dxf>
    <dxf>
      <font>
        <color theme="0"/>
      </font>
    </dxf>
    <dxf>
      <font>
        <condense val="0"/>
        <extend val="0"/>
        <color indexed="9"/>
      </font>
    </dxf>
    <dxf>
      <font>
        <color theme="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theme="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theme="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theme="0"/>
      </font>
      <fill>
        <patternFill patternType="none">
          <bgColor indexed="65"/>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rgb="FFFF0000"/>
      </font>
    </dxf>
    <dxf>
      <font>
        <condense val="0"/>
        <extend val="0"/>
        <color indexed="9"/>
      </font>
    </dxf>
    <dxf>
      <font>
        <color theme="0"/>
      </font>
    </dxf>
    <dxf>
      <font>
        <color rgb="FFFF0000"/>
      </font>
    </dxf>
    <dxf>
      <font>
        <condense val="0"/>
        <extend val="0"/>
        <color indexed="9"/>
      </font>
    </dxf>
    <dxf>
      <font>
        <color theme="0"/>
      </font>
    </dxf>
    <dxf>
      <font>
        <condense val="0"/>
        <extend val="0"/>
        <color indexed="9"/>
      </font>
    </dxf>
    <dxf>
      <font>
        <condense val="0"/>
        <extend val="0"/>
        <color indexed="9"/>
      </font>
    </dxf>
    <dxf>
      <font>
        <color rgb="FFFF0000"/>
      </font>
    </dxf>
    <dxf>
      <font>
        <condense val="0"/>
        <extend val="0"/>
        <color indexed="9"/>
      </font>
    </dxf>
    <dxf>
      <font>
        <color theme="0"/>
      </font>
    </dxf>
    <dxf>
      <font>
        <color rgb="FFFF0000"/>
      </font>
    </dxf>
    <dxf>
      <font>
        <condense val="0"/>
        <extend val="0"/>
        <color indexed="9"/>
      </font>
    </dxf>
    <dxf>
      <font>
        <color theme="0"/>
      </font>
    </dxf>
    <dxf>
      <font>
        <condense val="0"/>
        <extend val="0"/>
        <color indexed="9"/>
      </font>
    </dxf>
    <dxf>
      <font>
        <condense val="0"/>
        <extend val="0"/>
        <color indexed="9"/>
      </font>
    </dxf>
    <dxf>
      <font>
        <color rgb="FFFF0000"/>
      </font>
    </dxf>
    <dxf>
      <font>
        <condense val="0"/>
        <extend val="0"/>
        <color indexed="9"/>
      </font>
    </dxf>
    <dxf>
      <font>
        <color theme="0"/>
      </font>
    </dxf>
    <dxf>
      <font>
        <color rgb="FFFF0000"/>
      </font>
    </dxf>
    <dxf>
      <font>
        <condense val="0"/>
        <extend val="0"/>
        <color indexed="9"/>
      </font>
    </dxf>
    <dxf>
      <font>
        <color theme="0"/>
      </font>
    </dxf>
    <dxf>
      <font>
        <condense val="0"/>
        <extend val="0"/>
        <color indexed="9"/>
      </font>
    </dxf>
    <dxf>
      <font>
        <condense val="0"/>
        <extend val="0"/>
        <color indexed="9"/>
      </font>
    </dxf>
    <dxf>
      <font>
        <condense val="0"/>
        <extend val="0"/>
        <color indexed="9"/>
      </font>
    </dxf>
    <dxf>
      <font>
        <color rgb="FFFF0000"/>
      </font>
    </dxf>
    <dxf>
      <font>
        <condense val="0"/>
        <extend val="0"/>
        <color indexed="9"/>
      </font>
    </dxf>
    <dxf>
      <font>
        <color theme="0"/>
      </font>
    </dxf>
    <dxf>
      <font>
        <color rgb="FFFF0000"/>
      </font>
    </dxf>
    <dxf>
      <font>
        <condense val="0"/>
        <extend val="0"/>
        <color indexed="9"/>
      </font>
    </dxf>
    <dxf>
      <font>
        <color theme="0"/>
      </font>
    </dxf>
    <dxf>
      <font>
        <color rgb="FFFF0000"/>
      </font>
    </dxf>
    <dxf>
      <font>
        <condense val="0"/>
        <extend val="0"/>
        <color indexed="9"/>
      </font>
    </dxf>
    <dxf>
      <font>
        <color theme="0"/>
      </font>
    </dxf>
    <dxf>
      <font>
        <color rgb="FFFF0000"/>
      </font>
    </dxf>
    <dxf>
      <font>
        <condense val="0"/>
        <extend val="0"/>
        <color indexed="9"/>
      </font>
    </dxf>
    <dxf>
      <font>
        <color theme="0"/>
      </font>
    </dxf>
    <dxf>
      <font>
        <color rgb="FFFF0000"/>
      </font>
    </dxf>
    <dxf>
      <font>
        <condense val="0"/>
        <extend val="0"/>
        <color indexed="9"/>
      </font>
    </dxf>
    <dxf>
      <font>
        <color theme="0"/>
      </font>
    </dxf>
    <dxf>
      <font>
        <color rgb="FFFF0000"/>
      </font>
    </dxf>
    <dxf>
      <font>
        <condense val="0"/>
        <extend val="0"/>
        <color indexed="9"/>
      </font>
    </dxf>
    <dxf>
      <font>
        <color theme="0"/>
      </font>
    </dxf>
    <dxf>
      <font>
        <condense val="0"/>
        <extend val="0"/>
        <color indexed="9"/>
      </font>
    </dxf>
    <dxf>
      <font>
        <condense val="0"/>
        <extend val="0"/>
        <color indexed="9"/>
      </font>
    </dxf>
    <dxf>
      <font>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theme="0"/>
      </font>
    </dxf>
    <dxf>
      <font>
        <color theme="0"/>
      </font>
    </dxf>
    <dxf>
      <font>
        <color theme="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rgb="FFFF0000"/>
      </font>
    </dxf>
    <dxf>
      <font>
        <condense val="0"/>
        <extend val="0"/>
        <color indexed="9"/>
      </font>
    </dxf>
    <dxf>
      <font>
        <condense val="0"/>
        <extend val="0"/>
        <color indexed="9"/>
      </font>
    </dxf>
    <dxf>
      <font>
        <color rgb="FFFF0000"/>
      </font>
    </dxf>
    <dxf>
      <font>
        <condense val="0"/>
        <extend val="0"/>
        <color indexed="9"/>
      </font>
    </dxf>
    <dxf>
      <font>
        <condense val="0"/>
        <extend val="0"/>
        <color indexed="9"/>
      </font>
    </dxf>
    <dxf>
      <font>
        <color rgb="FFFF0000"/>
      </font>
    </dxf>
    <dxf>
      <font>
        <condense val="0"/>
        <extend val="0"/>
        <color indexed="9"/>
      </font>
    </dxf>
    <dxf>
      <font>
        <condense val="0"/>
        <extend val="0"/>
        <color indexed="9"/>
      </font>
    </dxf>
    <dxf>
      <font>
        <color theme="0"/>
      </font>
    </dxf>
    <dxf>
      <font>
        <color rgb="FFFF0000"/>
      </font>
    </dxf>
    <dxf>
      <font>
        <condense val="0"/>
        <extend val="0"/>
        <color indexed="9"/>
      </font>
    </dxf>
    <dxf>
      <font>
        <color theme="0"/>
      </font>
    </dxf>
    <dxf>
      <font>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theme="0"/>
      </font>
    </dxf>
    <dxf>
      <font>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theme="0"/>
      </font>
    </dxf>
    <dxf>
      <font>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theme="0"/>
      </font>
    </dxf>
    <dxf>
      <font>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ndense val="0"/>
        <extend val="0"/>
        <color indexed="9"/>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indexed="8"/>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indexed="8"/>
      </font>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ill>
        <patternFill>
          <bgColor rgb="FFFF0000"/>
        </patternFill>
      </fill>
    </dxf>
    <dxf>
      <font>
        <condense val="0"/>
        <extend val="0"/>
        <color indexed="9"/>
      </font>
    </dxf>
    <dxf>
      <font>
        <condense val="0"/>
        <extend val="0"/>
        <color indexed="9"/>
      </font>
    </dxf>
    <dxf>
      <fill>
        <patternFill>
          <bgColor rgb="FFFF0000"/>
        </patternFill>
      </fill>
    </dxf>
    <dxf>
      <fill>
        <patternFill>
          <bgColor rgb="FFFF0000"/>
        </patternFill>
      </fill>
    </dxf>
    <dxf>
      <font>
        <condense val="0"/>
        <extend val="0"/>
        <color indexed="9"/>
      </font>
    </dxf>
    <dxf>
      <font>
        <condense val="0"/>
        <extend val="0"/>
        <color indexed="9"/>
      </font>
    </dxf>
    <dxf>
      <font>
        <condense val="0"/>
        <extend val="0"/>
        <color indexed="9"/>
      </font>
    </dxf>
    <dxf>
      <font>
        <condense val="0"/>
        <extend val="0"/>
        <color indexed="9"/>
      </font>
    </dxf>
    <dxf>
      <fill>
        <patternFill>
          <bgColor rgb="FFFF0000"/>
        </patternFill>
      </fill>
    </dxf>
    <dxf>
      <fill>
        <patternFill>
          <bgColor rgb="FFFF0000"/>
        </patternFill>
      </fill>
    </dxf>
    <dxf>
      <fill>
        <patternFill>
          <bgColor rgb="FFFF0000"/>
        </patternFill>
      </fill>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ill>
        <patternFill>
          <bgColor rgb="FFFF0000"/>
        </patternFill>
      </fill>
    </dxf>
    <dxf>
      <font>
        <condense val="0"/>
        <extend val="0"/>
        <color indexed="9"/>
      </font>
    </dxf>
    <dxf>
      <font>
        <condense val="0"/>
        <extend val="0"/>
        <color indexed="9"/>
      </font>
    </dxf>
    <dxf>
      <fill>
        <patternFill>
          <bgColor rgb="FFFF0000"/>
        </patternFill>
      </fill>
    </dxf>
    <dxf>
      <fill>
        <patternFill>
          <bgColor rgb="FFFF0000"/>
        </patternFill>
      </fill>
    </dxf>
    <dxf>
      <font>
        <condense val="0"/>
        <extend val="0"/>
        <color indexed="9"/>
      </font>
    </dxf>
    <dxf>
      <font>
        <condense val="0"/>
        <extend val="0"/>
        <color indexed="9"/>
      </font>
    </dxf>
    <dxf>
      <font>
        <condense val="0"/>
        <extend val="0"/>
        <color indexed="9"/>
      </font>
    </dxf>
    <dxf>
      <font>
        <condense val="0"/>
        <extend val="0"/>
        <color indexed="9"/>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indexed="8"/>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indexed="8"/>
      </font>
    </dxf>
    <dxf>
      <fill>
        <patternFill>
          <bgColor rgb="FFFF0000"/>
        </patternFill>
      </fill>
    </dxf>
    <dxf>
      <fill>
        <patternFill>
          <bgColor rgb="FFFF0000"/>
        </patternFill>
      </fill>
    </dxf>
    <dxf>
      <fill>
        <patternFill>
          <bgColor rgb="FFFF0000"/>
        </patternFill>
      </fill>
    </dxf>
    <dxf>
      <font>
        <condense val="0"/>
        <extend val="0"/>
        <color indexed="8"/>
      </font>
    </dxf>
    <dxf>
      <font>
        <condense val="0"/>
        <extend val="0"/>
        <color indexed="8"/>
      </font>
    </dxf>
    <dxf>
      <font>
        <condense val="0"/>
        <extend val="0"/>
        <color indexed="9"/>
      </font>
    </dxf>
    <dxf>
      <font>
        <condense val="0"/>
        <extend val="0"/>
        <color indexed="8"/>
      </font>
    </dxf>
    <dxf>
      <fill>
        <patternFill>
          <bgColor rgb="FFFF0000"/>
        </patternFill>
      </fill>
    </dxf>
    <dxf>
      <font>
        <color theme="0"/>
      </font>
      <fill>
        <patternFill>
          <bgColor theme="1"/>
        </patternFill>
      </fill>
    </dxf>
    <dxf>
      <font>
        <color theme="0"/>
      </font>
    </dxf>
    <dxf>
      <font>
        <color theme="0"/>
      </font>
    </dxf>
    <dxf>
      <font>
        <color theme="0"/>
      </font>
    </dxf>
    <dxf>
      <font>
        <color theme="0"/>
      </font>
    </dxf>
    <dxf>
      <font>
        <color theme="0"/>
      </font>
    </dxf>
    <dxf>
      <font>
        <color theme="0"/>
        <name val="Cambria"/>
        <scheme val="none"/>
      </font>
    </dxf>
    <dxf>
      <font>
        <color theme="0"/>
      </font>
      <fill>
        <patternFill>
          <bgColor theme="0"/>
        </patternFill>
      </fill>
    </dxf>
    <dxf>
      <font>
        <condense val="0"/>
        <extend val="0"/>
        <color indexed="9"/>
      </font>
    </dxf>
    <dxf>
      <font>
        <color theme="0"/>
        <name val="Cambria"/>
        <scheme val="none"/>
      </font>
    </dxf>
    <dxf>
      <font>
        <color theme="0"/>
        <name val="Cambria"/>
        <scheme val="none"/>
      </font>
    </dxf>
    <dxf>
      <font>
        <color theme="0"/>
      </font>
    </dxf>
    <dxf>
      <font>
        <color theme="0"/>
      </font>
    </dxf>
    <dxf>
      <font>
        <color theme="0"/>
      </font>
    </dxf>
    <dxf>
      <font>
        <color theme="0"/>
      </font>
    </dxf>
    <dxf>
      <font>
        <color theme="0"/>
        <name val="Cambria"/>
        <scheme val="none"/>
      </font>
    </dxf>
    <dxf>
      <fill>
        <patternFill>
          <bgColor theme="0"/>
        </patternFill>
      </fill>
    </dxf>
    <dxf>
      <font>
        <color theme="0"/>
        <name val="Cambria"/>
        <scheme val="none"/>
      </font>
    </dxf>
    <dxf>
      <font>
        <color theme="0"/>
        <name val="Cambria"/>
        <scheme val="none"/>
      </font>
    </dxf>
    <dxf>
      <fill>
        <patternFill>
          <bgColor theme="0"/>
        </patternFill>
      </fill>
    </dxf>
    <dxf>
      <font>
        <color theme="0"/>
        <name val="Cambria"/>
        <scheme val="none"/>
      </font>
    </dxf>
    <dxf>
      <font>
        <color theme="0"/>
      </font>
    </dxf>
    <dxf>
      <font>
        <color theme="0"/>
        <name val="Cambria"/>
        <scheme val="none"/>
      </font>
    </dxf>
    <dxf>
      <fill>
        <patternFill>
          <bgColor theme="0"/>
        </patternFill>
      </fill>
    </dxf>
    <dxf>
      <fill>
        <patternFill>
          <bgColor theme="0"/>
        </patternFill>
      </fill>
    </dxf>
    <dxf>
      <font>
        <color theme="0"/>
        <name val="Cambria"/>
        <scheme val="none"/>
      </font>
    </dxf>
    <dxf>
      <font>
        <color theme="0"/>
        <name val="Cambria"/>
        <scheme val="none"/>
      </font>
    </dxf>
    <dxf>
      <font>
        <color theme="0"/>
        <name val="Cambria"/>
        <scheme val="none"/>
      </font>
    </dxf>
    <dxf>
      <font>
        <color theme="0"/>
        <name val="Cambria"/>
        <scheme val="none"/>
      </font>
    </dxf>
    <dxf>
      <font>
        <color theme="0"/>
        <name val="Cambria"/>
        <scheme val="none"/>
      </font>
    </dxf>
    <dxf>
      <font>
        <color theme="0"/>
      </font>
    </dxf>
    <dxf>
      <font>
        <color theme="0"/>
        <name val="Cambria"/>
        <scheme val="none"/>
      </font>
    </dxf>
    <dxf>
      <font>
        <color theme="0"/>
        <name val="Cambria"/>
        <scheme val="none"/>
      </font>
    </dxf>
    <dxf>
      <font>
        <color theme="0"/>
      </font>
    </dxf>
    <dxf>
      <font>
        <color theme="0"/>
        <name val="Cambria"/>
        <scheme val="none"/>
      </font>
    </dxf>
    <dxf>
      <font>
        <color theme="0"/>
        <name val="Cambria"/>
        <scheme val="none"/>
      </font>
    </dxf>
    <dxf>
      <font>
        <color theme="0"/>
        <name val="Cambria"/>
        <scheme val="none"/>
      </font>
    </dxf>
    <dxf>
      <font>
        <color theme="0"/>
        <name val="Cambria"/>
        <scheme val="none"/>
      </font>
    </dxf>
    <dxf>
      <font>
        <color theme="0"/>
        <name val="Cambria"/>
        <scheme val="none"/>
      </font>
    </dxf>
    <dxf>
      <font>
        <color theme="0"/>
      </font>
    </dxf>
    <dxf>
      <font>
        <color theme="0"/>
        <name val="Cambria"/>
        <scheme val="none"/>
      </font>
    </dxf>
    <dxf>
      <font>
        <color theme="0"/>
      </font>
    </dxf>
    <dxf>
      <font>
        <color theme="0"/>
        <name val="Cambria"/>
        <scheme val="none"/>
      </font>
    </dxf>
    <dxf>
      <font>
        <color theme="0"/>
      </font>
    </dxf>
    <dxf>
      <fill>
        <patternFill>
          <bgColor rgb="FFFFFF99"/>
        </patternFill>
      </fill>
      <border>
        <left style="thin">
          <color indexed="64"/>
        </left>
        <right style="thin">
          <color indexed="64"/>
        </right>
        <top style="thin">
          <color indexed="64"/>
        </top>
        <bottom style="thin">
          <color indexed="64"/>
        </bottom>
      </border>
    </dxf>
    <dxf>
      <font>
        <color theme="0"/>
        <name val="Cambria"/>
        <scheme val="none"/>
      </font>
    </dxf>
    <dxf>
      <font>
        <color theme="0"/>
      </font>
    </dxf>
    <dxf>
      <font>
        <condense val="0"/>
        <extend val="0"/>
        <color indexed="9"/>
      </font>
    </dxf>
    <dxf>
      <font>
        <color theme="0"/>
      </font>
    </dxf>
    <dxf>
      <font>
        <color theme="0"/>
        <name val="Cambria"/>
        <scheme val="none"/>
      </font>
    </dxf>
    <dxf>
      <font>
        <color theme="0"/>
      </font>
    </dxf>
    <dxf>
      <font>
        <color theme="0"/>
      </font>
    </dxf>
    <dxf>
      <fill>
        <patternFill>
          <bgColor rgb="FFFFFF99"/>
        </patternFill>
      </fill>
      <border>
        <left style="thin">
          <color indexed="64"/>
        </left>
        <right style="thin">
          <color indexed="64"/>
        </right>
        <top style="thin">
          <color indexed="64"/>
        </top>
        <bottom style="thin">
          <color indexed="64"/>
        </bottom>
      </border>
    </dxf>
    <dxf>
      <font>
        <color theme="0"/>
        <name val="Cambria"/>
        <scheme val="none"/>
      </font>
    </dxf>
    <dxf>
      <font>
        <color theme="0"/>
      </font>
    </dxf>
    <dxf>
      <font>
        <color theme="0"/>
      </font>
    </dxf>
    <dxf>
      <font>
        <color theme="0"/>
        <name val="Cambria"/>
        <scheme val="none"/>
      </font>
    </dxf>
    <dxf>
      <font>
        <color theme="0"/>
      </font>
    </dxf>
    <dxf>
      <font>
        <color theme="0"/>
      </font>
    </dxf>
    <dxf>
      <font>
        <color theme="0"/>
      </font>
    </dxf>
    <dxf>
      <font>
        <color theme="0"/>
      </font>
    </dxf>
    <dxf>
      <font>
        <color theme="0"/>
      </font>
    </dxf>
    <dxf>
      <font>
        <color theme="0"/>
      </font>
    </dxf>
    <dxf>
      <font>
        <color theme="0"/>
        <name val="Cambria"/>
        <scheme val="none"/>
      </font>
    </dxf>
    <dxf>
      <font>
        <color theme="0"/>
      </font>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ill>
        <patternFill>
          <bgColor rgb="FFFFFF99"/>
        </patternFill>
      </fill>
      <border>
        <left style="thin">
          <color indexed="64"/>
        </left>
        <right style="thin">
          <color indexed="64"/>
        </right>
        <top style="thin">
          <color indexed="64"/>
        </top>
        <bottom style="thin">
          <color indexed="64"/>
        </bottom>
      </border>
    </dxf>
    <dxf>
      <font>
        <condense val="0"/>
        <extend val="0"/>
        <color auto="1"/>
      </font>
    </dxf>
    <dxf>
      <font>
        <color theme="0"/>
      </font>
    </dxf>
    <dxf>
      <font>
        <color theme="0"/>
      </font>
    </dxf>
    <dxf>
      <fill>
        <patternFill>
          <bgColor rgb="FFFFFF99"/>
        </patternFill>
      </fill>
    </dxf>
    <dxf>
      <fill>
        <patternFill>
          <bgColor rgb="FFFFFF99"/>
        </patternFill>
      </fill>
    </dxf>
    <dxf>
      <fill>
        <patternFill>
          <bgColor rgb="FFFFFF99"/>
        </patternFill>
      </fill>
    </dxf>
    <dxf>
      <font>
        <color theme="0"/>
      </font>
    </dxf>
    <dxf>
      <font>
        <color theme="0"/>
      </font>
    </dxf>
    <dxf>
      <fill>
        <patternFill>
          <bgColor rgb="FFFFFF99"/>
        </patternFill>
      </fill>
    </dxf>
    <dxf>
      <fill>
        <patternFill>
          <bgColor rgb="FFFFFF99"/>
        </patternFill>
      </fill>
    </dxf>
    <dxf>
      <fill>
        <patternFill>
          <bgColor rgb="FFFFFF99"/>
        </patternFill>
      </fill>
    </dxf>
    <dxf>
      <font>
        <color theme="0"/>
      </font>
    </dxf>
    <dxf>
      <fill>
        <patternFill>
          <bgColor rgb="FFFFFF99"/>
        </patternFill>
      </fill>
    </dxf>
    <dxf>
      <font>
        <color theme="0"/>
      </font>
    </dxf>
    <dxf>
      <font>
        <color theme="0"/>
      </font>
    </dxf>
    <dxf>
      <font>
        <color theme="0"/>
      </font>
    </dxf>
    <dxf>
      <fill>
        <patternFill>
          <bgColor rgb="FFFFFF99"/>
        </patternFill>
      </fill>
    </dxf>
    <dxf>
      <font>
        <color theme="0"/>
      </font>
    </dxf>
    <dxf>
      <font>
        <color theme="0"/>
      </font>
    </dxf>
    <dxf>
      <font>
        <color theme="0"/>
      </font>
    </dxf>
    <dxf>
      <font>
        <color theme="0"/>
      </font>
    </dxf>
    <dxf>
      <font>
        <color theme="0"/>
      </font>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condense val="0"/>
        <extend val="0"/>
        <color auto="1"/>
      </font>
      <fill>
        <patternFill>
          <bgColor indexed="43"/>
        </patternFill>
      </fill>
      <border>
        <left style="thin">
          <color indexed="64"/>
        </left>
        <right style="thin">
          <color indexed="64"/>
        </right>
        <top style="thin">
          <color indexed="64"/>
        </top>
        <bottom style="thin">
          <color indexed="64"/>
        </bottom>
      </border>
    </dxf>
    <dxf>
      <font>
        <condense val="0"/>
        <extend val="0"/>
        <color indexed="9"/>
      </font>
    </dxf>
    <dxf>
      <font>
        <condense val="0"/>
        <extend val="0"/>
        <color indexed="9"/>
      </font>
    </dxf>
    <dxf>
      <font>
        <condense val="0"/>
        <extend val="0"/>
        <color indexed="9"/>
      </font>
    </dxf>
    <dxf>
      <font>
        <color theme="0"/>
      </font>
    </dxf>
    <dxf>
      <font>
        <color theme="0"/>
      </font>
    </dxf>
    <dxf>
      <font>
        <color theme="0"/>
      </font>
    </dxf>
    <dxf>
      <font>
        <color theme="0"/>
      </font>
    </dxf>
    <dxf>
      <font>
        <color theme="0"/>
      </font>
    </dxf>
    <dxf>
      <font>
        <color theme="0"/>
      </font>
    </dxf>
    <dxf>
      <font>
        <color theme="0"/>
      </font>
    </dxf>
    <dxf>
      <fill>
        <patternFill>
          <bgColor rgb="FFFFFF99"/>
        </patternFill>
      </fill>
    </dxf>
    <dxf>
      <font>
        <color theme="0"/>
      </font>
    </dxf>
    <dxf>
      <font>
        <color theme="0"/>
      </font>
    </dxf>
    <dxf>
      <font>
        <condense val="0"/>
        <extend val="0"/>
        <color indexed="9"/>
      </font>
    </dxf>
    <dxf>
      <font>
        <condense val="0"/>
        <extend val="0"/>
        <color indexed="9"/>
      </font>
    </dxf>
    <dxf>
      <font>
        <color theme="0"/>
      </font>
    </dxf>
    <dxf>
      <font>
        <color theme="0"/>
      </font>
    </dxf>
    <dxf>
      <font>
        <color theme="0"/>
      </font>
    </dxf>
    <dxf>
      <font>
        <color theme="0"/>
      </font>
    </dxf>
    <dxf>
      <font>
        <color theme="0"/>
        <name val="Cambria"/>
        <scheme val="none"/>
      </font>
    </dxf>
    <dxf>
      <font>
        <condense val="0"/>
        <extend val="0"/>
        <color indexed="9"/>
      </font>
    </dxf>
    <dxf>
      <font>
        <condense val="0"/>
        <extend val="0"/>
        <color indexed="9"/>
      </font>
    </dxf>
    <dxf>
      <font>
        <color theme="0"/>
      </font>
    </dxf>
    <dxf>
      <font>
        <condense val="0"/>
        <extend val="0"/>
        <color indexed="9"/>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ndense val="0"/>
        <extend val="0"/>
        <color indexed="9"/>
      </font>
    </dxf>
    <dxf>
      <font>
        <condense val="0"/>
        <extend val="0"/>
        <color indexed="9"/>
      </font>
    </dxf>
    <dxf>
      <font>
        <condense val="0"/>
        <extend val="0"/>
        <color indexed="9"/>
      </font>
    </dxf>
    <dxf>
      <font>
        <color theme="0"/>
      </font>
    </dxf>
    <dxf>
      <font>
        <color theme="0"/>
      </font>
    </dxf>
    <dxf>
      <font>
        <color theme="0"/>
      </font>
    </dxf>
    <dxf>
      <font>
        <condense val="0"/>
        <extend val="0"/>
        <color indexed="9"/>
      </font>
    </dxf>
    <dxf>
      <font>
        <color theme="0"/>
      </font>
    </dxf>
    <dxf>
      <font>
        <color theme="0"/>
      </font>
    </dxf>
    <dxf>
      <font>
        <color theme="0"/>
      </font>
    </dxf>
    <dxf>
      <font>
        <color theme="0"/>
      </font>
    </dxf>
    <dxf>
      <font>
        <color theme="0"/>
      </font>
    </dxf>
    <dxf>
      <font>
        <color theme="0"/>
      </font>
    </dxf>
    <dxf>
      <font>
        <condense val="0"/>
        <extend val="0"/>
        <color indexed="9"/>
      </font>
    </dxf>
    <dxf>
      <font>
        <condense val="0"/>
        <extend val="0"/>
        <color indexed="9"/>
      </font>
    </dxf>
    <dxf>
      <font>
        <condense val="0"/>
        <extend val="0"/>
        <color indexed="9"/>
      </font>
    </dxf>
    <dxf>
      <font>
        <color theme="0"/>
      </font>
    </dxf>
    <dxf>
      <font>
        <color theme="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ndense val="0"/>
        <extend val="0"/>
        <color indexed="9"/>
      </font>
    </dxf>
    <dxf>
      <font>
        <condense val="0"/>
        <extend val="0"/>
        <color indexed="9"/>
      </font>
    </dxf>
    <dxf>
      <font>
        <condense val="0"/>
        <extend val="0"/>
        <color indexed="9"/>
      </font>
    </dxf>
    <dxf>
      <font>
        <color theme="0"/>
      </font>
    </dxf>
    <dxf>
      <font>
        <color theme="0"/>
      </font>
    </dxf>
    <dxf>
      <font>
        <color theme="0"/>
      </font>
    </dxf>
    <dxf>
      <font>
        <condense val="0"/>
        <extend val="0"/>
        <color indexed="9"/>
      </font>
    </dxf>
    <dxf>
      <font>
        <condense val="0"/>
        <extend val="0"/>
        <color indexed="9"/>
      </font>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ndense val="0"/>
        <extend val="0"/>
        <color indexed="9"/>
      </font>
    </dxf>
    <dxf>
      <font>
        <condense val="0"/>
        <extend val="0"/>
        <color indexed="9"/>
      </font>
    </dxf>
    <dxf>
      <font>
        <condense val="0"/>
        <extend val="0"/>
        <color indexed="9"/>
      </font>
    </dxf>
    <dxf>
      <font>
        <condense val="0"/>
        <extend val="0"/>
        <color indexed="9"/>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ndense val="0"/>
        <extend val="0"/>
        <color indexed="9"/>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rgb="FFFF0000"/>
      </font>
    </dxf>
    <dxf>
      <font>
        <condense val="0"/>
        <extend val="0"/>
        <color indexed="9"/>
      </font>
    </dxf>
    <dxf>
      <font>
        <color rgb="FFFF0000"/>
      </font>
    </dxf>
    <dxf>
      <font>
        <color rgb="FFFF0000"/>
      </font>
    </dxf>
    <dxf>
      <font>
        <color rgb="FFFF0000"/>
      </font>
    </dxf>
    <dxf>
      <font>
        <condense val="0"/>
        <extend val="0"/>
        <color indexed="9"/>
      </font>
    </dxf>
    <dxf>
      <font>
        <color rgb="FFFF0000"/>
      </font>
    </dxf>
    <dxf>
      <font>
        <condense val="0"/>
        <extend val="0"/>
        <color indexed="9"/>
      </font>
    </dxf>
    <dxf>
      <font>
        <color rgb="FFFF0000"/>
      </font>
    </dxf>
    <dxf>
      <font>
        <condense val="0"/>
        <extend val="0"/>
        <color indexed="9"/>
      </font>
    </dxf>
    <dxf>
      <font>
        <color rgb="FFFF0000"/>
      </font>
    </dxf>
    <dxf>
      <font>
        <color rgb="FFFF0000"/>
      </font>
    </dxf>
    <dxf>
      <font>
        <condense val="0"/>
        <extend val="0"/>
        <color indexed="9"/>
      </font>
    </dxf>
    <dxf>
      <font>
        <color rgb="FFFF0000"/>
      </font>
    </dxf>
    <dxf>
      <font>
        <condense val="0"/>
        <extend val="0"/>
        <color indexed="9"/>
      </font>
    </dxf>
    <dxf>
      <font>
        <color rgb="FFFF0000"/>
      </font>
    </dxf>
    <dxf>
      <font>
        <condense val="0"/>
        <extend val="0"/>
        <color indexed="9"/>
      </font>
    </dxf>
    <dxf>
      <font>
        <color rgb="FFFF0000"/>
      </font>
    </dxf>
    <dxf>
      <font>
        <condense val="0"/>
        <extend val="0"/>
        <color indexed="9"/>
      </font>
    </dxf>
    <dxf>
      <font>
        <color rgb="FFFF0000"/>
      </font>
    </dxf>
    <dxf>
      <font>
        <condense val="0"/>
        <extend val="0"/>
        <color indexed="9"/>
      </font>
    </dxf>
    <dxf>
      <font>
        <color rgb="FFFF0000"/>
      </font>
    </dxf>
    <dxf>
      <font>
        <condense val="0"/>
        <extend val="0"/>
        <color indexed="9"/>
      </font>
    </dxf>
    <dxf>
      <font>
        <color rgb="FFFF0000"/>
      </font>
    </dxf>
    <dxf>
      <font>
        <condense val="0"/>
        <extend val="0"/>
        <color indexed="9"/>
      </font>
    </dxf>
    <dxf>
      <font>
        <color rgb="FFFF0000"/>
      </font>
    </dxf>
    <dxf>
      <font>
        <condense val="0"/>
        <extend val="0"/>
        <color indexed="9"/>
      </font>
    </dxf>
    <dxf>
      <font>
        <color rgb="FFFF0000"/>
      </font>
    </dxf>
    <dxf>
      <font>
        <condense val="0"/>
        <extend val="0"/>
        <color indexed="9"/>
      </font>
    </dxf>
    <dxf>
      <font>
        <color rgb="FFFF0000"/>
      </font>
    </dxf>
    <dxf>
      <font>
        <condense val="0"/>
        <extend val="0"/>
        <color indexed="9"/>
      </font>
    </dxf>
    <dxf>
      <font>
        <color rgb="FFFF0000"/>
      </font>
    </dxf>
    <dxf>
      <font>
        <condense val="0"/>
        <extend val="0"/>
        <color indexed="9"/>
      </font>
    </dxf>
    <dxf>
      <font>
        <color rgb="FFFF0000"/>
      </font>
    </dxf>
    <dxf>
      <font>
        <condense val="0"/>
        <extend val="0"/>
        <color indexed="9"/>
      </font>
    </dxf>
    <dxf>
      <font>
        <color rgb="FFFF0000"/>
      </font>
    </dxf>
    <dxf>
      <font>
        <condense val="0"/>
        <extend val="0"/>
        <color indexed="9"/>
      </font>
    </dxf>
    <dxf>
      <font>
        <color rgb="FFFF0000"/>
      </font>
    </dxf>
    <dxf>
      <font>
        <condense val="0"/>
        <extend val="0"/>
        <color indexed="9"/>
      </font>
    </dxf>
    <dxf>
      <font>
        <color rgb="FFFF0000"/>
      </font>
    </dxf>
    <dxf>
      <font>
        <condense val="0"/>
        <extend val="0"/>
        <color indexed="9"/>
      </font>
    </dxf>
    <dxf>
      <font>
        <color rgb="FFFF0000"/>
      </font>
    </dxf>
    <dxf>
      <font>
        <condense val="0"/>
        <extend val="0"/>
        <color indexed="9"/>
      </font>
    </dxf>
    <dxf>
      <font>
        <condense val="0"/>
        <extend val="0"/>
        <color indexed="9"/>
      </font>
    </dxf>
    <dxf>
      <font>
        <condense val="0"/>
        <extend val="0"/>
        <color indexed="9"/>
      </font>
    </dxf>
    <dxf>
      <font>
        <color rgb="FFFF0000"/>
      </font>
    </dxf>
    <dxf>
      <font>
        <condense val="0"/>
        <extend val="0"/>
        <color indexed="9"/>
      </font>
    </dxf>
    <dxf>
      <font>
        <color rgb="FFFF0000"/>
      </font>
    </dxf>
    <dxf>
      <font>
        <condense val="0"/>
        <extend val="0"/>
        <color indexed="9"/>
      </font>
    </dxf>
    <dxf>
      <font>
        <color rgb="FFFF0000"/>
      </font>
    </dxf>
    <dxf>
      <font>
        <color rgb="FFFF0000"/>
      </font>
    </dxf>
    <dxf>
      <font>
        <condense val="0"/>
        <extend val="0"/>
        <color indexed="9"/>
      </font>
    </dxf>
    <dxf>
      <font>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rgb="FFFF0000"/>
      </font>
    </dxf>
    <dxf>
      <font>
        <condense val="0"/>
        <extend val="0"/>
        <color indexed="9"/>
      </font>
    </dxf>
    <dxf>
      <font>
        <condense val="0"/>
        <extend val="0"/>
        <color indexed="9"/>
      </font>
    </dxf>
    <dxf>
      <font>
        <condense val="0"/>
        <extend val="0"/>
        <color indexed="9"/>
      </font>
    </dxf>
    <dxf>
      <font>
        <color rgb="FFFF0000"/>
      </font>
    </dxf>
    <dxf>
      <font>
        <condense val="0"/>
        <extend val="0"/>
        <color indexed="9"/>
      </font>
    </dxf>
    <dxf>
      <font>
        <condense val="0"/>
        <extend val="0"/>
        <color indexed="9"/>
      </font>
    </dxf>
    <dxf>
      <font>
        <color rgb="FFFF0000"/>
      </font>
    </dxf>
    <dxf>
      <font>
        <condense val="0"/>
        <extend val="0"/>
        <color indexed="9"/>
      </font>
    </dxf>
    <dxf>
      <font>
        <condense val="0"/>
        <extend val="0"/>
        <color indexed="9"/>
      </font>
    </dxf>
    <dxf>
      <font>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rgb="FFFF0000"/>
      </font>
    </dxf>
    <dxf>
      <font>
        <condense val="0"/>
        <extend val="0"/>
        <color indexed="9"/>
      </font>
    </dxf>
    <dxf>
      <font>
        <condense val="0"/>
        <extend val="0"/>
        <color indexed="9"/>
      </font>
    </dxf>
    <dxf>
      <font>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rgb="FFFF0000"/>
      </font>
    </dxf>
    <dxf>
      <font>
        <condense val="0"/>
        <extend val="0"/>
        <color indexed="9"/>
      </font>
    </dxf>
    <dxf>
      <font>
        <condense val="0"/>
        <extend val="0"/>
        <color indexed="9"/>
      </font>
    </dxf>
    <dxf>
      <font>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2" defaultPivotStyle="PivotStyleLight16"/>
  <colors>
    <mruColors>
      <color rgb="FFFFCCFF"/>
      <color rgb="FFFFFFCC"/>
      <color rgb="FFFFFF99"/>
      <color rgb="FF339966"/>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png"/><Relationship Id="rId4" Type="http://schemas.openxmlformats.org/officeDocument/2006/relationships/image" Target="../media/image9.png"/></Relationships>
</file>

<file path=xl/drawings/_rels/drawing8.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4.png"/><Relationship Id="rId1" Type="http://schemas.openxmlformats.org/officeDocument/2006/relationships/image" Target="../media/image15.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7.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18.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4.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image" Target="../media/image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4.png"/></Relationships>
</file>

<file path=xl/drawings/_rels/drawing25.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image" Target="../media/image4.png"/></Relationships>
</file>

<file path=xl/drawings/_rels/drawing26.xml.rels><?xml version="1.0" encoding="UTF-8" standalone="yes"?>
<Relationships xmlns="http://schemas.openxmlformats.org/package/2006/relationships"><Relationship Id="rId13" Type="http://schemas.openxmlformats.org/officeDocument/2006/relationships/image" Target="../media/image33.png"/><Relationship Id="rId18" Type="http://schemas.openxmlformats.org/officeDocument/2006/relationships/image" Target="../media/image38.png"/><Relationship Id="rId26" Type="http://schemas.openxmlformats.org/officeDocument/2006/relationships/image" Target="../media/image46.png"/><Relationship Id="rId39" Type="http://schemas.openxmlformats.org/officeDocument/2006/relationships/image" Target="../media/image59.png"/><Relationship Id="rId21" Type="http://schemas.openxmlformats.org/officeDocument/2006/relationships/image" Target="../media/image41.png"/><Relationship Id="rId34" Type="http://schemas.openxmlformats.org/officeDocument/2006/relationships/image" Target="../media/image54.png"/><Relationship Id="rId42" Type="http://schemas.openxmlformats.org/officeDocument/2006/relationships/image" Target="../media/image62.png"/><Relationship Id="rId47" Type="http://schemas.openxmlformats.org/officeDocument/2006/relationships/image" Target="../media/image67.png"/><Relationship Id="rId50" Type="http://schemas.openxmlformats.org/officeDocument/2006/relationships/image" Target="../media/image70.png"/><Relationship Id="rId55" Type="http://schemas.openxmlformats.org/officeDocument/2006/relationships/image" Target="../media/image4.png"/><Relationship Id="rId7" Type="http://schemas.openxmlformats.org/officeDocument/2006/relationships/image" Target="../media/image27.png"/><Relationship Id="rId12" Type="http://schemas.openxmlformats.org/officeDocument/2006/relationships/image" Target="../media/image32.png"/><Relationship Id="rId17" Type="http://schemas.openxmlformats.org/officeDocument/2006/relationships/image" Target="../media/image37.png"/><Relationship Id="rId25" Type="http://schemas.openxmlformats.org/officeDocument/2006/relationships/image" Target="../media/image45.png"/><Relationship Id="rId33" Type="http://schemas.openxmlformats.org/officeDocument/2006/relationships/image" Target="../media/image53.png"/><Relationship Id="rId38" Type="http://schemas.openxmlformats.org/officeDocument/2006/relationships/image" Target="../media/image58.png"/><Relationship Id="rId46" Type="http://schemas.openxmlformats.org/officeDocument/2006/relationships/image" Target="../media/image66.png"/><Relationship Id="rId2" Type="http://schemas.openxmlformats.org/officeDocument/2006/relationships/image" Target="../media/image22.png"/><Relationship Id="rId16" Type="http://schemas.openxmlformats.org/officeDocument/2006/relationships/image" Target="../media/image36.png"/><Relationship Id="rId20" Type="http://schemas.openxmlformats.org/officeDocument/2006/relationships/image" Target="../media/image40.png"/><Relationship Id="rId29" Type="http://schemas.openxmlformats.org/officeDocument/2006/relationships/image" Target="../media/image49.png"/><Relationship Id="rId41" Type="http://schemas.openxmlformats.org/officeDocument/2006/relationships/image" Target="../media/image61.png"/><Relationship Id="rId54" Type="http://schemas.openxmlformats.org/officeDocument/2006/relationships/image" Target="../media/image74.emf"/><Relationship Id="rId1" Type="http://schemas.openxmlformats.org/officeDocument/2006/relationships/image" Target="../media/image21.png"/><Relationship Id="rId6" Type="http://schemas.openxmlformats.org/officeDocument/2006/relationships/image" Target="../media/image26.png"/><Relationship Id="rId11" Type="http://schemas.openxmlformats.org/officeDocument/2006/relationships/image" Target="../media/image31.png"/><Relationship Id="rId24" Type="http://schemas.openxmlformats.org/officeDocument/2006/relationships/image" Target="../media/image44.png"/><Relationship Id="rId32" Type="http://schemas.openxmlformats.org/officeDocument/2006/relationships/image" Target="../media/image52.png"/><Relationship Id="rId37" Type="http://schemas.openxmlformats.org/officeDocument/2006/relationships/image" Target="../media/image57.png"/><Relationship Id="rId40" Type="http://schemas.openxmlformats.org/officeDocument/2006/relationships/image" Target="../media/image60.png"/><Relationship Id="rId45" Type="http://schemas.openxmlformats.org/officeDocument/2006/relationships/image" Target="../media/image65.png"/><Relationship Id="rId53" Type="http://schemas.openxmlformats.org/officeDocument/2006/relationships/image" Target="../media/image73.emf"/><Relationship Id="rId5" Type="http://schemas.openxmlformats.org/officeDocument/2006/relationships/image" Target="../media/image25.png"/><Relationship Id="rId15" Type="http://schemas.openxmlformats.org/officeDocument/2006/relationships/image" Target="../media/image35.png"/><Relationship Id="rId23" Type="http://schemas.openxmlformats.org/officeDocument/2006/relationships/image" Target="../media/image43.png"/><Relationship Id="rId28" Type="http://schemas.openxmlformats.org/officeDocument/2006/relationships/image" Target="../media/image48.png"/><Relationship Id="rId36" Type="http://schemas.openxmlformats.org/officeDocument/2006/relationships/image" Target="../media/image56.png"/><Relationship Id="rId49" Type="http://schemas.openxmlformats.org/officeDocument/2006/relationships/image" Target="../media/image69.png"/><Relationship Id="rId10" Type="http://schemas.openxmlformats.org/officeDocument/2006/relationships/image" Target="../media/image30.png"/><Relationship Id="rId19" Type="http://schemas.openxmlformats.org/officeDocument/2006/relationships/image" Target="../media/image39.png"/><Relationship Id="rId31" Type="http://schemas.openxmlformats.org/officeDocument/2006/relationships/image" Target="../media/image51.png"/><Relationship Id="rId44" Type="http://schemas.openxmlformats.org/officeDocument/2006/relationships/image" Target="../media/image64.png"/><Relationship Id="rId52" Type="http://schemas.openxmlformats.org/officeDocument/2006/relationships/image" Target="../media/image72.emf"/><Relationship Id="rId4" Type="http://schemas.openxmlformats.org/officeDocument/2006/relationships/image" Target="../media/image24.png"/><Relationship Id="rId9" Type="http://schemas.openxmlformats.org/officeDocument/2006/relationships/image" Target="../media/image29.png"/><Relationship Id="rId14" Type="http://schemas.openxmlformats.org/officeDocument/2006/relationships/image" Target="../media/image34.png"/><Relationship Id="rId22" Type="http://schemas.openxmlformats.org/officeDocument/2006/relationships/image" Target="../media/image42.png"/><Relationship Id="rId27" Type="http://schemas.openxmlformats.org/officeDocument/2006/relationships/image" Target="../media/image47.png"/><Relationship Id="rId30" Type="http://schemas.openxmlformats.org/officeDocument/2006/relationships/image" Target="../media/image50.png"/><Relationship Id="rId35" Type="http://schemas.openxmlformats.org/officeDocument/2006/relationships/image" Target="../media/image55.png"/><Relationship Id="rId43" Type="http://schemas.openxmlformats.org/officeDocument/2006/relationships/image" Target="../media/image63.png"/><Relationship Id="rId48" Type="http://schemas.openxmlformats.org/officeDocument/2006/relationships/image" Target="../media/image68.png"/><Relationship Id="rId8" Type="http://schemas.openxmlformats.org/officeDocument/2006/relationships/image" Target="../media/image28.png"/><Relationship Id="rId51" Type="http://schemas.openxmlformats.org/officeDocument/2006/relationships/image" Target="../media/image71.png"/><Relationship Id="rId3" Type="http://schemas.openxmlformats.org/officeDocument/2006/relationships/image" Target="../media/image2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oneCellAnchor>
    <xdr:from>
      <xdr:col>0</xdr:col>
      <xdr:colOff>0</xdr:colOff>
      <xdr:row>2</xdr:row>
      <xdr:rowOff>38101</xdr:rowOff>
    </xdr:from>
    <xdr:ext cx="4559369" cy="3609974"/>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srcRect l="33528" t="25051" r="24652" b="13766"/>
        <a:stretch/>
      </xdr:blipFill>
      <xdr:spPr>
        <a:xfrm>
          <a:off x="0" y="457201"/>
          <a:ext cx="4559369" cy="3609974"/>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20</xdr:col>
      <xdr:colOff>400050</xdr:colOff>
      <xdr:row>22</xdr:row>
      <xdr:rowOff>19050</xdr:rowOff>
    </xdr:from>
    <xdr:to>
      <xdr:col>24</xdr:col>
      <xdr:colOff>123825</xdr:colOff>
      <xdr:row>26</xdr:row>
      <xdr:rowOff>133350</xdr:rowOff>
    </xdr:to>
    <xdr:pic>
      <xdr:nvPicPr>
        <xdr:cNvPr id="240641" name="Grafik 5">
          <a:extLst>
            <a:ext uri="{FF2B5EF4-FFF2-40B4-BE49-F238E27FC236}">
              <a16:creationId xmlns:a16="http://schemas.microsoft.com/office/drawing/2014/main" id="{00000000-0008-0000-0100-000001AC0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94" t="12512" r="5524" b="32191"/>
        <a:stretch>
          <a:fillRect/>
        </a:stretch>
      </xdr:blipFill>
      <xdr:spPr bwMode="auto">
        <a:xfrm>
          <a:off x="14906625" y="2943225"/>
          <a:ext cx="2771775" cy="790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161925</xdr:colOff>
      <xdr:row>11</xdr:row>
      <xdr:rowOff>133350</xdr:rowOff>
    </xdr:from>
    <xdr:to>
      <xdr:col>24</xdr:col>
      <xdr:colOff>19050</xdr:colOff>
      <xdr:row>18</xdr:row>
      <xdr:rowOff>47625</xdr:rowOff>
    </xdr:to>
    <xdr:pic>
      <xdr:nvPicPr>
        <xdr:cNvPr id="240642" name="Grafik 8">
          <a:extLst>
            <a:ext uri="{FF2B5EF4-FFF2-40B4-BE49-F238E27FC236}">
              <a16:creationId xmlns:a16="http://schemas.microsoft.com/office/drawing/2014/main" id="{00000000-0008-0000-0100-000002A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125" t="30525" r="31203" b="25980"/>
        <a:stretch>
          <a:fillRect/>
        </a:stretch>
      </xdr:blipFill>
      <xdr:spPr bwMode="auto">
        <a:xfrm>
          <a:off x="14668500" y="1390650"/>
          <a:ext cx="2905125" cy="895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628650</xdr:colOff>
      <xdr:row>19</xdr:row>
      <xdr:rowOff>38100</xdr:rowOff>
    </xdr:from>
    <xdr:to>
      <xdr:col>12</xdr:col>
      <xdr:colOff>685800</xdr:colOff>
      <xdr:row>24</xdr:row>
      <xdr:rowOff>66675</xdr:rowOff>
    </xdr:to>
    <xdr:pic>
      <xdr:nvPicPr>
        <xdr:cNvPr id="240643" name="Grafik 9">
          <a:extLst>
            <a:ext uri="{FF2B5EF4-FFF2-40B4-BE49-F238E27FC236}">
              <a16:creationId xmlns:a16="http://schemas.microsoft.com/office/drawing/2014/main" id="{00000000-0008-0000-0100-000003AC0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94" t="12512" r="5524" b="32191"/>
        <a:stretch>
          <a:fillRect/>
        </a:stretch>
      </xdr:blipFill>
      <xdr:spPr bwMode="auto">
        <a:xfrm>
          <a:off x="6229350" y="2438400"/>
          <a:ext cx="3171825" cy="904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123825</xdr:colOff>
      <xdr:row>1</xdr:row>
      <xdr:rowOff>114300</xdr:rowOff>
    </xdr:from>
    <xdr:to>
      <xdr:col>23</xdr:col>
      <xdr:colOff>742950</xdr:colOff>
      <xdr:row>8</xdr:row>
      <xdr:rowOff>171450</xdr:rowOff>
    </xdr:to>
    <xdr:pic>
      <xdr:nvPicPr>
        <xdr:cNvPr id="240644" name="Grafik 10">
          <a:extLst>
            <a:ext uri="{FF2B5EF4-FFF2-40B4-BE49-F238E27FC236}">
              <a16:creationId xmlns:a16="http://schemas.microsoft.com/office/drawing/2014/main" id="{00000000-0008-0000-0100-000004A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125" t="30525" r="31203" b="25980"/>
        <a:stretch>
          <a:fillRect/>
        </a:stretch>
      </xdr:blipFill>
      <xdr:spPr bwMode="auto">
        <a:xfrm>
          <a:off x="14630400" y="285750"/>
          <a:ext cx="2905125" cy="895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19050</xdr:colOff>
      <xdr:row>1</xdr:row>
      <xdr:rowOff>161544</xdr:rowOff>
    </xdr:from>
    <xdr:to>
      <xdr:col>2</xdr:col>
      <xdr:colOff>676275</xdr:colOff>
      <xdr:row>3</xdr:row>
      <xdr:rowOff>67056</xdr:rowOff>
    </xdr:to>
    <xdr:pic>
      <xdr:nvPicPr>
        <xdr:cNvPr id="240645" name="Grafik 6">
          <a:extLst>
            <a:ext uri="{FF2B5EF4-FFF2-40B4-BE49-F238E27FC236}">
              <a16:creationId xmlns:a16="http://schemas.microsoft.com/office/drawing/2014/main" id="{00000000-0008-0000-0100-000005AC03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171450" y="332994"/>
          <a:ext cx="1409700" cy="2960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152400</xdr:colOff>
      <xdr:row>1</xdr:row>
      <xdr:rowOff>19050</xdr:rowOff>
    </xdr:from>
    <xdr:to>
      <xdr:col>2</xdr:col>
      <xdr:colOff>209550</xdr:colOff>
      <xdr:row>2</xdr:row>
      <xdr:rowOff>133922</xdr:rowOff>
    </xdr:to>
    <xdr:pic>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2400" y="180975"/>
          <a:ext cx="1771650" cy="37204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47625</xdr:colOff>
      <xdr:row>0</xdr:row>
      <xdr:rowOff>66675</xdr:rowOff>
    </xdr:from>
    <xdr:to>
      <xdr:col>0</xdr:col>
      <xdr:colOff>781050</xdr:colOff>
      <xdr:row>2</xdr:row>
      <xdr:rowOff>28575</xdr:rowOff>
    </xdr:to>
    <xdr:pic>
      <xdr:nvPicPr>
        <xdr:cNvPr id="221362" name="Picture 1" descr="StoebichBrandschutzLogoDeutschClaim">
          <a:extLst>
            <a:ext uri="{FF2B5EF4-FFF2-40B4-BE49-F238E27FC236}">
              <a16:creationId xmlns:a16="http://schemas.microsoft.com/office/drawing/2014/main" id="{00000000-0008-0000-0500-0000B2600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625" y="66675"/>
          <a:ext cx="733425"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314325</xdr:colOff>
      <xdr:row>0</xdr:row>
      <xdr:rowOff>66675</xdr:rowOff>
    </xdr:from>
    <xdr:to>
      <xdr:col>5</xdr:col>
      <xdr:colOff>523875</xdr:colOff>
      <xdr:row>2</xdr:row>
      <xdr:rowOff>152400</xdr:rowOff>
    </xdr:to>
    <xdr:pic>
      <xdr:nvPicPr>
        <xdr:cNvPr id="2" name="Grafik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52975" y="66675"/>
          <a:ext cx="2857500" cy="6000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466725</xdr:colOff>
          <xdr:row>0</xdr:row>
          <xdr:rowOff>228600</xdr:rowOff>
        </xdr:from>
        <xdr:to>
          <xdr:col>14</xdr:col>
          <xdr:colOff>0</xdr:colOff>
          <xdr:row>2</xdr:row>
          <xdr:rowOff>38100</xdr:rowOff>
        </xdr:to>
        <xdr:sp macro="" textlink="">
          <xdr:nvSpPr>
            <xdr:cNvPr id="44036" name="Button 4" hidden="1">
              <a:extLst>
                <a:ext uri="{63B3BB69-23CF-44E3-9099-C40C66FF867C}">
                  <a14:compatExt spid="_x0000_s44036"/>
                </a:ext>
                <a:ext uri="{FF2B5EF4-FFF2-40B4-BE49-F238E27FC236}">
                  <a16:creationId xmlns:a16="http://schemas.microsoft.com/office/drawing/2014/main" id="{00000000-0008-0000-0800-000004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STL exportieren und an "B2 </a:t>
              </a:r>
              <a:r>
                <a:rPr lang="de-DE" sz="1000" b="0" i="0" u="none" strike="noStrike" baseline="0">
                  <a:solidFill>
                    <a:srgbClr val="FF0000"/>
                  </a:solidFill>
                  <a:latin typeface="Arial"/>
                  <a:cs typeface="Arial"/>
                </a:rPr>
                <a:t>TESTMANDANT </a:t>
              </a:r>
              <a:r>
                <a:rPr lang="de-DE" sz="1000" b="0" i="0" u="none" strike="noStrike" baseline="0">
                  <a:solidFill>
                    <a:srgbClr val="000000"/>
                  </a:solidFill>
                  <a:latin typeface="Arial"/>
                  <a:cs typeface="Arial"/>
                </a:rPr>
                <a:t>" übergeben</a:t>
              </a:r>
            </a:p>
          </xdr:txBody>
        </xdr:sp>
        <xdr:clientData fPrintsWithSheet="0"/>
      </xdr:twoCellAnchor>
    </mc:Choice>
    <mc:Fallback/>
  </mc:AlternateContent>
  <xdr:twoCellAnchor>
    <xdr:from>
      <xdr:col>61</xdr:col>
      <xdr:colOff>404077</xdr:colOff>
      <xdr:row>0</xdr:row>
      <xdr:rowOff>317356</xdr:rowOff>
    </xdr:from>
    <xdr:to>
      <xdr:col>64</xdr:col>
      <xdr:colOff>534482</xdr:colOff>
      <xdr:row>2</xdr:row>
      <xdr:rowOff>279256</xdr:rowOff>
    </xdr:to>
    <xdr:sp macro="" textlink="">
      <xdr:nvSpPr>
        <xdr:cNvPr id="44078" name="historie">
          <a:extLst>
            <a:ext uri="{FF2B5EF4-FFF2-40B4-BE49-F238E27FC236}">
              <a16:creationId xmlns:a16="http://schemas.microsoft.com/office/drawing/2014/main" id="{00000000-0008-0000-0800-00002EAC0000}"/>
            </a:ext>
          </a:extLst>
        </xdr:cNvPr>
        <xdr:cNvSpPr txBox="1">
          <a:spLocks noChangeArrowheads="1"/>
        </xdr:cNvSpPr>
      </xdr:nvSpPr>
      <xdr:spPr bwMode="auto">
        <a:xfrm>
          <a:off x="16989483" y="317356"/>
          <a:ext cx="2416405" cy="7239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de-DE" sz="1000" b="1" i="0" u="none" strike="noStrike" baseline="0">
              <a:solidFill>
                <a:srgbClr val="000000"/>
              </a:solidFill>
              <a:latin typeface="Arial"/>
              <a:cs typeface="Arial"/>
            </a:rPr>
            <a:t>Übergabe Stückliste erfolgte 
zuletzt am 02.02.2022 13:21:30 durch wolff an ECHT
Anzahl:      24</a:t>
          </a:r>
        </a:p>
      </xdr:txBody>
    </xdr:sp>
    <xdr:clientData/>
  </xdr:twoCellAnchor>
  <mc:AlternateContent xmlns:mc="http://schemas.openxmlformats.org/markup-compatibility/2006">
    <mc:Choice xmlns:a14="http://schemas.microsoft.com/office/drawing/2010/main" Requires="a14">
      <xdr:twoCellAnchor>
        <xdr:from>
          <xdr:col>5</xdr:col>
          <xdr:colOff>200025</xdr:colOff>
          <xdr:row>0</xdr:row>
          <xdr:rowOff>257175</xdr:rowOff>
        </xdr:from>
        <xdr:to>
          <xdr:col>8</xdr:col>
          <xdr:colOff>57150</xdr:colOff>
          <xdr:row>2</xdr:row>
          <xdr:rowOff>76200</xdr:rowOff>
        </xdr:to>
        <xdr:sp macro="" textlink="">
          <xdr:nvSpPr>
            <xdr:cNvPr id="44037" name="Button 5" hidden="1">
              <a:extLst>
                <a:ext uri="{63B3BB69-23CF-44E3-9099-C40C66FF867C}">
                  <a14:compatExt spid="_x0000_s44037"/>
                </a:ext>
                <a:ext uri="{FF2B5EF4-FFF2-40B4-BE49-F238E27FC236}">
                  <a16:creationId xmlns:a16="http://schemas.microsoft.com/office/drawing/2014/main" id="{00000000-0008-0000-0800-000005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STL exportieren und an "B2 Echtmandanten" übergeben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17</xdr:col>
      <xdr:colOff>1058330</xdr:colOff>
      <xdr:row>229</xdr:row>
      <xdr:rowOff>52916</xdr:rowOff>
    </xdr:from>
    <xdr:to>
      <xdr:col>19</xdr:col>
      <xdr:colOff>878414</xdr:colOff>
      <xdr:row>251</xdr:row>
      <xdr:rowOff>60845</xdr:rowOff>
    </xdr:to>
    <xdr:pic>
      <xdr:nvPicPr>
        <xdr:cNvPr id="3" name="Grafik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574247" y="38121166"/>
          <a:ext cx="4688417" cy="36311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57150</xdr:colOff>
      <xdr:row>57</xdr:row>
      <xdr:rowOff>17993</xdr:rowOff>
    </xdr:from>
    <xdr:to>
      <xdr:col>31</xdr:col>
      <xdr:colOff>541334</xdr:colOff>
      <xdr:row>65</xdr:row>
      <xdr:rowOff>148167</xdr:rowOff>
    </xdr:to>
    <xdr:pic>
      <xdr:nvPicPr>
        <xdr:cNvPr id="4" name="Grafik 3">
          <a:extLst>
            <a:ext uri="{FF2B5EF4-FFF2-40B4-BE49-F238E27FC236}">
              <a16:creationId xmlns:a16="http://schemas.microsoft.com/office/drawing/2014/main" id="{00000000-0008-0000-0900-000004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9138" t="35922" r="23069" b="29369"/>
        <a:stretch/>
      </xdr:blipFill>
      <xdr:spPr bwMode="auto">
        <a:xfrm>
          <a:off x="31129817" y="10188576"/>
          <a:ext cx="5924017" cy="16541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322794</xdr:colOff>
      <xdr:row>80</xdr:row>
      <xdr:rowOff>14817</xdr:rowOff>
    </xdr:from>
    <xdr:to>
      <xdr:col>31</xdr:col>
      <xdr:colOff>104775</xdr:colOff>
      <xdr:row>93</xdr:row>
      <xdr:rowOff>28786</xdr:rowOff>
    </xdr:to>
    <xdr:pic>
      <xdr:nvPicPr>
        <xdr:cNvPr id="5" name="Grafik 4">
          <a:extLst>
            <a:ext uri="{FF2B5EF4-FFF2-40B4-BE49-F238E27FC236}">
              <a16:creationId xmlns:a16="http://schemas.microsoft.com/office/drawing/2014/main" id="{00000000-0008-0000-0900-000005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5072" t="10581" r="57211" b="15700"/>
        <a:stretch/>
      </xdr:blipFill>
      <xdr:spPr bwMode="auto">
        <a:xfrm>
          <a:off x="35285147" y="14750552"/>
          <a:ext cx="1305981" cy="25464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28</xdr:col>
      <xdr:colOff>57149</xdr:colOff>
      <xdr:row>93</xdr:row>
      <xdr:rowOff>66675</xdr:rowOff>
    </xdr:from>
    <xdr:to>
      <xdr:col>31</xdr:col>
      <xdr:colOff>714375</xdr:colOff>
      <xdr:row>102</xdr:row>
      <xdr:rowOff>104775</xdr:rowOff>
    </xdr:to>
    <xdr:sp macro="" textlink="">
      <xdr:nvSpPr>
        <xdr:cNvPr id="2" name="Textfeld 1">
          <a:extLst>
            <a:ext uri="{FF2B5EF4-FFF2-40B4-BE49-F238E27FC236}">
              <a16:creationId xmlns:a16="http://schemas.microsoft.com/office/drawing/2014/main" id="{00000000-0008-0000-0900-000002000000}"/>
            </a:ext>
          </a:extLst>
        </xdr:cNvPr>
        <xdr:cNvSpPr txBox="1"/>
      </xdr:nvSpPr>
      <xdr:spPr>
        <a:xfrm>
          <a:off x="34251899" y="17078325"/>
          <a:ext cx="2943226" cy="1676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Dieser</a:t>
          </a:r>
          <a:r>
            <a:rPr lang="de-DE" sz="1100" baseline="0"/>
            <a:t> Berechnungsteil ist rein informativ und hatte den Zweck konstruktive Entscheiden treffen zu können. Er hat in der Ausschreibung keine weiteren Folgen.</a:t>
          </a:r>
        </a:p>
        <a:p>
          <a:endParaRPr lang="de-DE" sz="1100" baseline="0"/>
        </a:p>
        <a:p>
          <a:r>
            <a:rPr lang="de-DE" sz="1100" baseline="0"/>
            <a:t>Stand 05.06.2019 E.T.</a:t>
          </a:r>
          <a:endParaRPr lang="de-DE" sz="1100"/>
        </a:p>
      </xdr:txBody>
    </xdr:sp>
    <xdr:clientData/>
  </xdr:twoCellAnchor>
  <xdr:oneCellAnchor>
    <xdr:from>
      <xdr:col>7</xdr:col>
      <xdr:colOff>476250</xdr:colOff>
      <xdr:row>261</xdr:row>
      <xdr:rowOff>81879</xdr:rowOff>
    </xdr:from>
    <xdr:ext cx="2743200" cy="2130505"/>
    <xdr:pic>
      <xdr:nvPicPr>
        <xdr:cNvPr id="6" name="Grafik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4"/>
        <a:stretch>
          <a:fillRect/>
        </a:stretch>
      </xdr:blipFill>
      <xdr:spPr>
        <a:xfrm>
          <a:off x="10420350" y="41763279"/>
          <a:ext cx="2743200" cy="2130505"/>
        </a:xfrm>
        <a:prstGeom prst="rect">
          <a:avLst/>
        </a:prstGeom>
      </xdr:spPr>
    </xdr:pic>
    <xdr:clientData/>
  </xdr:oneCellAnchor>
  <xdr:oneCellAnchor>
    <xdr:from>
      <xdr:col>7</xdr:col>
      <xdr:colOff>476250</xdr:colOff>
      <xdr:row>248</xdr:row>
      <xdr:rowOff>64672</xdr:rowOff>
    </xdr:from>
    <xdr:ext cx="2765288" cy="2402303"/>
    <xdr:pic>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5"/>
        <a:stretch>
          <a:fillRect/>
        </a:stretch>
      </xdr:blipFill>
      <xdr:spPr>
        <a:xfrm>
          <a:off x="10420350" y="39469597"/>
          <a:ext cx="2765288" cy="2402303"/>
        </a:xfrm>
        <a:prstGeom prst="rect">
          <a:avLst/>
        </a:prstGeom>
      </xdr:spPr>
    </xdr:pic>
    <xdr:clientData/>
  </xdr:oneCellAnchor>
  <xdr:twoCellAnchor>
    <xdr:from>
      <xdr:col>4</xdr:col>
      <xdr:colOff>2241</xdr:colOff>
      <xdr:row>259</xdr:row>
      <xdr:rowOff>114300</xdr:rowOff>
    </xdr:from>
    <xdr:to>
      <xdr:col>8</xdr:col>
      <xdr:colOff>276225</xdr:colOff>
      <xdr:row>260</xdr:row>
      <xdr:rowOff>95250</xdr:rowOff>
    </xdr:to>
    <xdr:cxnSp macro="">
      <xdr:nvCxnSpPr>
        <xdr:cNvPr id="8" name="Gerade Verbindung mit Pfeil 7">
          <a:extLst>
            <a:ext uri="{FF2B5EF4-FFF2-40B4-BE49-F238E27FC236}">
              <a16:creationId xmlns:a16="http://schemas.microsoft.com/office/drawing/2014/main" id="{00000000-0008-0000-0900-000008000000}"/>
            </a:ext>
          </a:extLst>
        </xdr:cNvPr>
        <xdr:cNvCxnSpPr/>
      </xdr:nvCxnSpPr>
      <xdr:spPr>
        <a:xfrm>
          <a:off x="6981825" y="41405175"/>
          <a:ext cx="4124325" cy="171450"/>
        </a:xfrm>
        <a:prstGeom prst="straightConnector1">
          <a:avLst/>
        </a:prstGeom>
        <a:ln w="3810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260</xdr:row>
      <xdr:rowOff>104775</xdr:rowOff>
    </xdr:from>
    <xdr:to>
      <xdr:col>8</xdr:col>
      <xdr:colOff>19050</xdr:colOff>
      <xdr:row>272</xdr:row>
      <xdr:rowOff>85725</xdr:rowOff>
    </xdr:to>
    <xdr:cxnSp macro="">
      <xdr:nvCxnSpPr>
        <xdr:cNvPr id="9" name="Gerade Verbindung mit Pfeil 8">
          <a:extLst>
            <a:ext uri="{FF2B5EF4-FFF2-40B4-BE49-F238E27FC236}">
              <a16:creationId xmlns:a16="http://schemas.microsoft.com/office/drawing/2014/main" id="{00000000-0008-0000-0900-000009000000}"/>
            </a:ext>
          </a:extLst>
        </xdr:cNvPr>
        <xdr:cNvCxnSpPr/>
      </xdr:nvCxnSpPr>
      <xdr:spPr>
        <a:xfrm>
          <a:off x="7000875" y="41586150"/>
          <a:ext cx="3848100" cy="2028825"/>
        </a:xfrm>
        <a:prstGeom prst="straightConnector1">
          <a:avLst/>
        </a:prstGeom>
        <a:ln w="38100">
          <a:solidFill>
            <a:srgbClr val="92D05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1062316</xdr:colOff>
      <xdr:row>230</xdr:row>
      <xdr:rowOff>112059</xdr:rowOff>
    </xdr:from>
    <xdr:to>
      <xdr:col>8</xdr:col>
      <xdr:colOff>625847</xdr:colOff>
      <xdr:row>247</xdr:row>
      <xdr:rowOff>24295</xdr:rowOff>
    </xdr:to>
    <xdr:pic>
      <xdr:nvPicPr>
        <xdr:cNvPr id="10" name="Grafik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6"/>
        <a:stretch>
          <a:fillRect/>
        </a:stretch>
      </xdr:blipFill>
      <xdr:spPr>
        <a:xfrm>
          <a:off x="9074522" y="40251530"/>
          <a:ext cx="2790825" cy="2646472"/>
        </a:xfrm>
        <a:prstGeom prst="rect">
          <a:avLst/>
        </a:prstGeom>
      </xdr:spPr>
    </xdr:pic>
    <xdr:clientData/>
  </xdr:twoCellAnchor>
  <xdr:twoCellAnchor>
    <xdr:from>
      <xdr:col>3</xdr:col>
      <xdr:colOff>806823</xdr:colOff>
      <xdr:row>237</xdr:row>
      <xdr:rowOff>87406</xdr:rowOff>
    </xdr:from>
    <xdr:to>
      <xdr:col>7</xdr:col>
      <xdr:colOff>1433232</xdr:colOff>
      <xdr:row>258</xdr:row>
      <xdr:rowOff>119343</xdr:rowOff>
    </xdr:to>
    <xdr:cxnSp macro="">
      <xdr:nvCxnSpPr>
        <xdr:cNvPr id="11" name="Gerade Verbindung mit Pfeil 10">
          <a:extLst>
            <a:ext uri="{FF2B5EF4-FFF2-40B4-BE49-F238E27FC236}">
              <a16:creationId xmlns:a16="http://schemas.microsoft.com/office/drawing/2014/main" id="{00000000-0008-0000-0900-00000B000000}"/>
            </a:ext>
          </a:extLst>
        </xdr:cNvPr>
        <xdr:cNvCxnSpPr/>
      </xdr:nvCxnSpPr>
      <xdr:spPr>
        <a:xfrm flipV="1">
          <a:off x="5961529" y="41358671"/>
          <a:ext cx="5276850" cy="3438525"/>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19050</xdr:colOff>
      <xdr:row>0</xdr:row>
      <xdr:rowOff>9525</xdr:rowOff>
    </xdr:from>
    <xdr:to>
      <xdr:col>1</xdr:col>
      <xdr:colOff>466725</xdr:colOff>
      <xdr:row>1</xdr:row>
      <xdr:rowOff>104775</xdr:rowOff>
    </xdr:to>
    <xdr:pic>
      <xdr:nvPicPr>
        <xdr:cNvPr id="177995" name="Picture 1" descr="StoebichBrandschutzLogoDeutschClaim">
          <a:extLst>
            <a:ext uri="{FF2B5EF4-FFF2-40B4-BE49-F238E27FC236}">
              <a16:creationId xmlns:a16="http://schemas.microsoft.com/office/drawing/2014/main" id="{00000000-0008-0000-0A00-00004BB702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9525"/>
          <a:ext cx="7334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19050</xdr:colOff>
      <xdr:row>0</xdr:row>
      <xdr:rowOff>9525</xdr:rowOff>
    </xdr:from>
    <xdr:to>
      <xdr:col>1</xdr:col>
      <xdr:colOff>466725</xdr:colOff>
      <xdr:row>1</xdr:row>
      <xdr:rowOff>104775</xdr:rowOff>
    </xdr:to>
    <xdr:pic>
      <xdr:nvPicPr>
        <xdr:cNvPr id="2" name="Picture 1" descr="StoebichBrandschutzLogoDeutschClaim">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9525"/>
          <a:ext cx="7334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94837</xdr:colOff>
      <xdr:row>0</xdr:row>
      <xdr:rowOff>76226</xdr:rowOff>
    </xdr:from>
    <xdr:to>
      <xdr:col>2</xdr:col>
      <xdr:colOff>180562</xdr:colOff>
      <xdr:row>1</xdr:row>
      <xdr:rowOff>83212</xdr:rowOff>
    </xdr:to>
    <xdr:pic>
      <xdr:nvPicPr>
        <xdr:cNvPr id="204206" name="Grafik 1">
          <a:extLst>
            <a:ext uri="{FF2B5EF4-FFF2-40B4-BE49-F238E27FC236}">
              <a16:creationId xmlns:a16="http://schemas.microsoft.com/office/drawing/2014/main" id="{00000000-0008-0000-0C00-0000AE1D03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94837" y="76226"/>
          <a:ext cx="1137616" cy="2388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57150</xdr:rowOff>
    </xdr:from>
    <xdr:to>
      <xdr:col>0</xdr:col>
      <xdr:colOff>1114425</xdr:colOff>
      <xdr:row>2</xdr:row>
      <xdr:rowOff>76200</xdr:rowOff>
    </xdr:to>
    <xdr:pic>
      <xdr:nvPicPr>
        <xdr:cNvPr id="194097" name="Grafik 1">
          <a:extLst>
            <a:ext uri="{FF2B5EF4-FFF2-40B4-BE49-F238E27FC236}">
              <a16:creationId xmlns:a16="http://schemas.microsoft.com/office/drawing/2014/main" id="{00000000-0008-0000-0F00-000031F602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57150"/>
          <a:ext cx="1047750" cy="409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57150</xdr:colOff>
      <xdr:row>1</xdr:row>
      <xdr:rowOff>36725</xdr:rowOff>
    </xdr:from>
    <xdr:to>
      <xdr:col>2</xdr:col>
      <xdr:colOff>1066800</xdr:colOff>
      <xdr:row>2</xdr:row>
      <xdr:rowOff>108870</xdr:rowOff>
    </xdr:to>
    <xdr:pic>
      <xdr:nvPicPr>
        <xdr:cNvPr id="220339" name="Grafik 1">
          <a:extLst>
            <a:ext uri="{FF2B5EF4-FFF2-40B4-BE49-F238E27FC236}">
              <a16:creationId xmlns:a16="http://schemas.microsoft.com/office/drawing/2014/main" id="{00000000-0008-0000-1100-0000B35C0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34043" y="200011"/>
          <a:ext cx="1445078" cy="30346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1476375</xdr:colOff>
          <xdr:row>4</xdr:row>
          <xdr:rowOff>161925</xdr:rowOff>
        </xdr:from>
        <xdr:to>
          <xdr:col>12</xdr:col>
          <xdr:colOff>276225</xdr:colOff>
          <xdr:row>7</xdr:row>
          <xdr:rowOff>0</xdr:rowOff>
        </xdr:to>
        <xdr:sp macro="" textlink="">
          <xdr:nvSpPr>
            <xdr:cNvPr id="209921" name="CommandButton1" hidden="1">
              <a:extLst>
                <a:ext uri="{63B3BB69-23CF-44E3-9099-C40C66FF867C}">
                  <a14:compatExt spid="_x0000_s209921"/>
                </a:ext>
                <a:ext uri="{FF2B5EF4-FFF2-40B4-BE49-F238E27FC236}">
                  <a16:creationId xmlns:a16="http://schemas.microsoft.com/office/drawing/2014/main" id="{00000000-0008-0000-1100-00000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1</xdr:col>
      <xdr:colOff>38100</xdr:colOff>
      <xdr:row>1</xdr:row>
      <xdr:rowOff>869</xdr:rowOff>
    </xdr:from>
    <xdr:to>
      <xdr:col>2</xdr:col>
      <xdr:colOff>514350</xdr:colOff>
      <xdr:row>1</xdr:row>
      <xdr:rowOff>199717</xdr:rowOff>
    </xdr:to>
    <xdr:pic>
      <xdr:nvPicPr>
        <xdr:cNvPr id="215252" name="Grafik 1">
          <a:extLst>
            <a:ext uri="{FF2B5EF4-FFF2-40B4-BE49-F238E27FC236}">
              <a16:creationId xmlns:a16="http://schemas.microsoft.com/office/drawing/2014/main" id="{00000000-0008-0000-1200-0000D44803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94129" y="157751"/>
          <a:ext cx="946897" cy="1988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2</xdr:col>
      <xdr:colOff>57150</xdr:colOff>
      <xdr:row>1</xdr:row>
      <xdr:rowOff>13383</xdr:rowOff>
    </xdr:from>
    <xdr:to>
      <xdr:col>2</xdr:col>
      <xdr:colOff>1381125</xdr:colOff>
      <xdr:row>2</xdr:row>
      <xdr:rowOff>62817</xdr:rowOff>
    </xdr:to>
    <xdr:pic>
      <xdr:nvPicPr>
        <xdr:cNvPr id="219327" name="Grafik 1">
          <a:extLst>
            <a:ext uri="{FF2B5EF4-FFF2-40B4-BE49-F238E27FC236}">
              <a16:creationId xmlns:a16="http://schemas.microsoft.com/office/drawing/2014/main" id="{00000000-0008-0000-1400-0000BF580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561975" y="175308"/>
          <a:ext cx="1323975" cy="2780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38100</xdr:colOff>
      <xdr:row>1</xdr:row>
      <xdr:rowOff>34495</xdr:rowOff>
    </xdr:from>
    <xdr:to>
      <xdr:col>2</xdr:col>
      <xdr:colOff>904875</xdr:colOff>
      <xdr:row>2</xdr:row>
      <xdr:rowOff>86529</xdr:rowOff>
    </xdr:to>
    <xdr:pic>
      <xdr:nvPicPr>
        <xdr:cNvPr id="189078" name="Grafik 1">
          <a:extLst>
            <a:ext uri="{FF2B5EF4-FFF2-40B4-BE49-F238E27FC236}">
              <a16:creationId xmlns:a16="http://schemas.microsoft.com/office/drawing/2014/main" id="{00000000-0008-0000-1500-000096E202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94129" y="191377"/>
          <a:ext cx="1315011" cy="2761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38100</xdr:colOff>
      <xdr:row>63</xdr:row>
      <xdr:rowOff>19050</xdr:rowOff>
    </xdr:from>
    <xdr:to>
      <xdr:col>21</xdr:col>
      <xdr:colOff>38100</xdr:colOff>
      <xdr:row>72</xdr:row>
      <xdr:rowOff>19050</xdr:rowOff>
    </xdr:to>
    <xdr:pic>
      <xdr:nvPicPr>
        <xdr:cNvPr id="238612" name="Picture 30">
          <a:extLst>
            <a:ext uri="{FF2B5EF4-FFF2-40B4-BE49-F238E27FC236}">
              <a16:creationId xmlns:a16="http://schemas.microsoft.com/office/drawing/2014/main" id="{00000000-0008-0000-1600-000014A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11068050"/>
          <a:ext cx="13382625" cy="5562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57150</xdr:colOff>
      <xdr:row>0</xdr:row>
      <xdr:rowOff>251644</xdr:rowOff>
    </xdr:from>
    <xdr:to>
      <xdr:col>2</xdr:col>
      <xdr:colOff>1762125</xdr:colOff>
      <xdr:row>1</xdr:row>
      <xdr:rowOff>119831</xdr:rowOff>
    </xdr:to>
    <xdr:pic>
      <xdr:nvPicPr>
        <xdr:cNvPr id="238613" name="Grafik 1">
          <a:extLst>
            <a:ext uri="{FF2B5EF4-FFF2-40B4-BE49-F238E27FC236}">
              <a16:creationId xmlns:a16="http://schemas.microsoft.com/office/drawing/2014/main" id="{00000000-0008-0000-1600-000015A403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560614" y="251644"/>
          <a:ext cx="1704975" cy="3580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299854</xdr:colOff>
      <xdr:row>59</xdr:row>
      <xdr:rowOff>28894</xdr:rowOff>
    </xdr:from>
    <xdr:to>
      <xdr:col>15</xdr:col>
      <xdr:colOff>429317</xdr:colOff>
      <xdr:row>66</xdr:row>
      <xdr:rowOff>4335</xdr:rowOff>
    </xdr:to>
    <xdr:pic>
      <xdr:nvPicPr>
        <xdr:cNvPr id="2" name="Grafik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3"/>
        <a:stretch>
          <a:fillRect/>
        </a:stretch>
      </xdr:blipFill>
      <xdr:spPr>
        <a:xfrm>
          <a:off x="8325171" y="9832360"/>
          <a:ext cx="2453391" cy="1784375"/>
        </a:xfrm>
        <a:prstGeom prst="rect">
          <a:avLst/>
        </a:prstGeom>
        <a:effectLst>
          <a:glow rad="127000">
            <a:schemeClr val="accent1">
              <a:alpha val="0"/>
            </a:schemeClr>
          </a:glow>
          <a:reflection stA="0" endPos="65000" dist="50800" dir="5400000" sy="-100000" algn="bl" rotWithShape="0"/>
        </a:effec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57150</xdr:colOff>
      <xdr:row>1</xdr:row>
      <xdr:rowOff>15621</xdr:rowOff>
    </xdr:from>
    <xdr:to>
      <xdr:col>0</xdr:col>
      <xdr:colOff>1314450</xdr:colOff>
      <xdr:row>2</xdr:row>
      <xdr:rowOff>51054</xdr:rowOff>
    </xdr:to>
    <xdr:pic>
      <xdr:nvPicPr>
        <xdr:cNvPr id="222386" name="Grafik 1">
          <a:extLst>
            <a:ext uri="{FF2B5EF4-FFF2-40B4-BE49-F238E27FC236}">
              <a16:creationId xmlns:a16="http://schemas.microsoft.com/office/drawing/2014/main" id="{00000000-0008-0000-1700-0000B2640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57150" y="177546"/>
          <a:ext cx="1257300" cy="2640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47625</xdr:colOff>
      <xdr:row>0</xdr:row>
      <xdr:rowOff>85725</xdr:rowOff>
    </xdr:from>
    <xdr:to>
      <xdr:col>2</xdr:col>
      <xdr:colOff>781050</xdr:colOff>
      <xdr:row>2</xdr:row>
      <xdr:rowOff>47625</xdr:rowOff>
    </xdr:to>
    <xdr:pic>
      <xdr:nvPicPr>
        <xdr:cNvPr id="225434" name="Picture 1" descr="StoebichBrandschutzLogoDeutschClaim">
          <a:extLst>
            <a:ext uri="{FF2B5EF4-FFF2-40B4-BE49-F238E27FC236}">
              <a16:creationId xmlns:a16="http://schemas.microsoft.com/office/drawing/2014/main" id="{00000000-0008-0000-1800-00009A700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33450" y="85725"/>
          <a:ext cx="733425"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47625</xdr:colOff>
      <xdr:row>0</xdr:row>
      <xdr:rowOff>66675</xdr:rowOff>
    </xdr:from>
    <xdr:to>
      <xdr:col>0</xdr:col>
      <xdr:colOff>781050</xdr:colOff>
      <xdr:row>2</xdr:row>
      <xdr:rowOff>28575</xdr:rowOff>
    </xdr:to>
    <xdr:pic>
      <xdr:nvPicPr>
        <xdr:cNvPr id="223410" name="Picture 1" descr="StoebichBrandschutzLogoDeutschClaim">
          <a:extLst>
            <a:ext uri="{FF2B5EF4-FFF2-40B4-BE49-F238E27FC236}">
              <a16:creationId xmlns:a16="http://schemas.microsoft.com/office/drawing/2014/main" id="{00000000-0008-0000-1900-0000B2680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625" y="66675"/>
          <a:ext cx="733425"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104775</xdr:colOff>
      <xdr:row>0</xdr:row>
      <xdr:rowOff>268358</xdr:rowOff>
    </xdr:from>
    <xdr:to>
      <xdr:col>1</xdr:col>
      <xdr:colOff>933450</xdr:colOff>
      <xdr:row>1</xdr:row>
      <xdr:rowOff>55491</xdr:rowOff>
    </xdr:to>
    <xdr:pic>
      <xdr:nvPicPr>
        <xdr:cNvPr id="144173" name="Grafik 1">
          <a:extLst>
            <a:ext uri="{FF2B5EF4-FFF2-40B4-BE49-F238E27FC236}">
              <a16:creationId xmlns:a16="http://schemas.microsoft.com/office/drawing/2014/main" id="{00000000-0008-0000-1A00-00002D3302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104775" y="268358"/>
          <a:ext cx="1625311" cy="3413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104775</xdr:colOff>
      <xdr:row>0</xdr:row>
      <xdr:rowOff>268358</xdr:rowOff>
    </xdr:from>
    <xdr:to>
      <xdr:col>2</xdr:col>
      <xdr:colOff>933450</xdr:colOff>
      <xdr:row>1</xdr:row>
      <xdr:rowOff>55491</xdr:rowOff>
    </xdr:to>
    <xdr:pic>
      <xdr:nvPicPr>
        <xdr:cNvPr id="233634" name="Grafik 1">
          <a:extLst>
            <a:ext uri="{FF2B5EF4-FFF2-40B4-BE49-F238E27FC236}">
              <a16:creationId xmlns:a16="http://schemas.microsoft.com/office/drawing/2014/main" id="{00000000-0008-0000-1B00-0000A29003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08684" y="268358"/>
          <a:ext cx="1625311" cy="34131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52635</xdr:colOff>
      <xdr:row>17</xdr:row>
      <xdr:rowOff>219075</xdr:rowOff>
    </xdr:from>
    <xdr:to>
      <xdr:col>8</xdr:col>
      <xdr:colOff>242640</xdr:colOff>
      <xdr:row>37</xdr:row>
      <xdr:rowOff>161925</xdr:rowOff>
    </xdr:to>
    <xdr:pic>
      <xdr:nvPicPr>
        <xdr:cNvPr id="233635" name="Grafik 3">
          <a:extLst>
            <a:ext uri="{FF2B5EF4-FFF2-40B4-BE49-F238E27FC236}">
              <a16:creationId xmlns:a16="http://schemas.microsoft.com/office/drawing/2014/main" id="{00000000-0008-0000-1B00-0000A39003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685742" y="3335111"/>
          <a:ext cx="5592041" cy="43787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104775</xdr:colOff>
      <xdr:row>0</xdr:row>
      <xdr:rowOff>271422</xdr:rowOff>
    </xdr:from>
    <xdr:to>
      <xdr:col>2</xdr:col>
      <xdr:colOff>1133475</xdr:colOff>
      <xdr:row>1</xdr:row>
      <xdr:rowOff>52428</xdr:rowOff>
    </xdr:to>
    <xdr:pic>
      <xdr:nvPicPr>
        <xdr:cNvPr id="185046" name="Grafik 1">
          <a:extLst>
            <a:ext uri="{FF2B5EF4-FFF2-40B4-BE49-F238E27FC236}">
              <a16:creationId xmlns:a16="http://schemas.microsoft.com/office/drawing/2014/main" id="{00000000-0008-0000-1C00-0000D6D202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13632" y="271422"/>
          <a:ext cx="1613807" cy="3388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2</xdr:col>
      <xdr:colOff>9525</xdr:colOff>
      <xdr:row>21</xdr:row>
      <xdr:rowOff>200025</xdr:rowOff>
    </xdr:from>
    <xdr:to>
      <xdr:col>3</xdr:col>
      <xdr:colOff>152400</xdr:colOff>
      <xdr:row>21</xdr:row>
      <xdr:rowOff>200025</xdr:rowOff>
    </xdr:to>
    <xdr:sp macro="" textlink="">
      <xdr:nvSpPr>
        <xdr:cNvPr id="237835" name="Line 1">
          <a:extLst>
            <a:ext uri="{FF2B5EF4-FFF2-40B4-BE49-F238E27FC236}">
              <a16:creationId xmlns:a16="http://schemas.microsoft.com/office/drawing/2014/main" id="{00000000-0008-0000-1D00-00000BA10300}"/>
            </a:ext>
          </a:extLst>
        </xdr:cNvPr>
        <xdr:cNvSpPr>
          <a:spLocks noChangeShapeType="1"/>
        </xdr:cNvSpPr>
      </xdr:nvSpPr>
      <xdr:spPr bwMode="auto">
        <a:xfrm>
          <a:off x="1447800" y="3895725"/>
          <a:ext cx="3524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57150</xdr:colOff>
      <xdr:row>23</xdr:row>
      <xdr:rowOff>152400</xdr:rowOff>
    </xdr:from>
    <xdr:to>
      <xdr:col>22</xdr:col>
      <xdr:colOff>47625</xdr:colOff>
      <xdr:row>28</xdr:row>
      <xdr:rowOff>152400</xdr:rowOff>
    </xdr:to>
    <xdr:grpSp>
      <xdr:nvGrpSpPr>
        <xdr:cNvPr id="237836" name="Gruppieren 2">
          <a:extLst>
            <a:ext uri="{FF2B5EF4-FFF2-40B4-BE49-F238E27FC236}">
              <a16:creationId xmlns:a16="http://schemas.microsoft.com/office/drawing/2014/main" id="{00000000-0008-0000-1D00-00000CA10300}"/>
            </a:ext>
          </a:extLst>
        </xdr:cNvPr>
        <xdr:cNvGrpSpPr>
          <a:grpSpLocks/>
        </xdr:cNvGrpSpPr>
      </xdr:nvGrpSpPr>
      <xdr:grpSpPr bwMode="auto">
        <a:xfrm>
          <a:off x="3943350" y="4514850"/>
          <a:ext cx="1514475" cy="1000125"/>
          <a:chOff x="4376739" y="4433887"/>
          <a:chExt cx="1519236" cy="1000124"/>
        </a:xfrm>
      </xdr:grpSpPr>
      <xdr:sp macro="" textlink="">
        <xdr:nvSpPr>
          <xdr:cNvPr id="237845" name="Rectangle 6">
            <a:extLst>
              <a:ext uri="{FF2B5EF4-FFF2-40B4-BE49-F238E27FC236}">
                <a16:creationId xmlns:a16="http://schemas.microsoft.com/office/drawing/2014/main" id="{00000000-0008-0000-1D00-000015A10300}"/>
              </a:ext>
            </a:extLst>
          </xdr:cNvPr>
          <xdr:cNvSpPr>
            <a:spLocks noChangeArrowheads="1"/>
          </xdr:cNvSpPr>
        </xdr:nvSpPr>
        <xdr:spPr bwMode="auto">
          <a:xfrm rot="-5400000">
            <a:off x="4348164" y="4462462"/>
            <a:ext cx="771525" cy="714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7846" name="Line 19">
            <a:extLst>
              <a:ext uri="{FF2B5EF4-FFF2-40B4-BE49-F238E27FC236}">
                <a16:creationId xmlns:a16="http://schemas.microsoft.com/office/drawing/2014/main" id="{00000000-0008-0000-1D00-000016A10300}"/>
              </a:ext>
            </a:extLst>
          </xdr:cNvPr>
          <xdr:cNvSpPr>
            <a:spLocks noChangeShapeType="1"/>
          </xdr:cNvSpPr>
        </xdr:nvSpPr>
        <xdr:spPr bwMode="auto">
          <a:xfrm rot="-5400000">
            <a:off x="4781551" y="4810125"/>
            <a:ext cx="504825" cy="0"/>
          </a:xfrm>
          <a:prstGeom prst="line">
            <a:avLst/>
          </a:prstGeom>
          <a:noFill/>
          <a:ln w="3810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7847" name="Line 18">
            <a:extLst>
              <a:ext uri="{FF2B5EF4-FFF2-40B4-BE49-F238E27FC236}">
                <a16:creationId xmlns:a16="http://schemas.microsoft.com/office/drawing/2014/main" id="{00000000-0008-0000-1D00-000017A10300}"/>
              </a:ext>
            </a:extLst>
          </xdr:cNvPr>
          <xdr:cNvSpPr>
            <a:spLocks noChangeShapeType="1"/>
          </xdr:cNvSpPr>
        </xdr:nvSpPr>
        <xdr:spPr bwMode="auto">
          <a:xfrm rot="-5400000" flipH="1" flipV="1">
            <a:off x="4648200" y="5205412"/>
            <a:ext cx="452437" cy="476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7848" name="Rectangle 6">
            <a:extLst>
              <a:ext uri="{FF2B5EF4-FFF2-40B4-BE49-F238E27FC236}">
                <a16:creationId xmlns:a16="http://schemas.microsoft.com/office/drawing/2014/main" id="{00000000-0008-0000-1D00-000018A10300}"/>
              </a:ext>
            </a:extLst>
          </xdr:cNvPr>
          <xdr:cNvSpPr>
            <a:spLocks noChangeArrowheads="1"/>
          </xdr:cNvSpPr>
        </xdr:nvSpPr>
        <xdr:spPr bwMode="auto">
          <a:xfrm rot="-5400000">
            <a:off x="4548189" y="4567238"/>
            <a:ext cx="319088" cy="490536"/>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7849" name="Rectangle 6">
            <a:extLst>
              <a:ext uri="{FF2B5EF4-FFF2-40B4-BE49-F238E27FC236}">
                <a16:creationId xmlns:a16="http://schemas.microsoft.com/office/drawing/2014/main" id="{00000000-0008-0000-1D00-000019A10300}"/>
              </a:ext>
            </a:extLst>
          </xdr:cNvPr>
          <xdr:cNvSpPr>
            <a:spLocks noChangeArrowheads="1"/>
          </xdr:cNvSpPr>
        </xdr:nvSpPr>
        <xdr:spPr bwMode="auto">
          <a:xfrm rot="-5400000">
            <a:off x="5291138" y="4405312"/>
            <a:ext cx="404814" cy="804861"/>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7850" name="Line 18">
            <a:extLst>
              <a:ext uri="{FF2B5EF4-FFF2-40B4-BE49-F238E27FC236}">
                <a16:creationId xmlns:a16="http://schemas.microsoft.com/office/drawing/2014/main" id="{00000000-0008-0000-1D00-00001AA10300}"/>
              </a:ext>
            </a:extLst>
          </xdr:cNvPr>
          <xdr:cNvSpPr>
            <a:spLocks noChangeShapeType="1"/>
          </xdr:cNvSpPr>
        </xdr:nvSpPr>
        <xdr:spPr bwMode="auto">
          <a:xfrm rot="-5400000" flipH="1" flipV="1">
            <a:off x="4333875" y="5205412"/>
            <a:ext cx="452437" cy="476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3</xdr:col>
      <xdr:colOff>114300</xdr:colOff>
      <xdr:row>23</xdr:row>
      <xdr:rowOff>104775</xdr:rowOff>
    </xdr:from>
    <xdr:to>
      <xdr:col>9</xdr:col>
      <xdr:colOff>209550</xdr:colOff>
      <xdr:row>28</xdr:row>
      <xdr:rowOff>104775</xdr:rowOff>
    </xdr:to>
    <xdr:grpSp>
      <xdr:nvGrpSpPr>
        <xdr:cNvPr id="237837" name="Gruppieren 3">
          <a:extLst>
            <a:ext uri="{FF2B5EF4-FFF2-40B4-BE49-F238E27FC236}">
              <a16:creationId xmlns:a16="http://schemas.microsoft.com/office/drawing/2014/main" id="{00000000-0008-0000-1D00-00000DA10300}"/>
            </a:ext>
          </a:extLst>
        </xdr:cNvPr>
        <xdr:cNvGrpSpPr>
          <a:grpSpLocks/>
        </xdr:cNvGrpSpPr>
      </xdr:nvGrpSpPr>
      <xdr:grpSpPr bwMode="auto">
        <a:xfrm>
          <a:off x="1247775" y="4467225"/>
          <a:ext cx="1514475" cy="1000125"/>
          <a:chOff x="1757364" y="4386262"/>
          <a:chExt cx="1514475" cy="1000124"/>
        </a:xfrm>
      </xdr:grpSpPr>
      <xdr:sp macro="" textlink="">
        <xdr:nvSpPr>
          <xdr:cNvPr id="237839" name="Rectangle 6">
            <a:extLst>
              <a:ext uri="{FF2B5EF4-FFF2-40B4-BE49-F238E27FC236}">
                <a16:creationId xmlns:a16="http://schemas.microsoft.com/office/drawing/2014/main" id="{00000000-0008-0000-1D00-00000FA10300}"/>
              </a:ext>
            </a:extLst>
          </xdr:cNvPr>
          <xdr:cNvSpPr>
            <a:spLocks noChangeArrowheads="1"/>
          </xdr:cNvSpPr>
        </xdr:nvSpPr>
        <xdr:spPr bwMode="auto">
          <a:xfrm rot="-5400000">
            <a:off x="2528889" y="4414837"/>
            <a:ext cx="771525" cy="714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7840" name="Line 19">
            <a:extLst>
              <a:ext uri="{FF2B5EF4-FFF2-40B4-BE49-F238E27FC236}">
                <a16:creationId xmlns:a16="http://schemas.microsoft.com/office/drawing/2014/main" id="{00000000-0008-0000-1D00-000010A10300}"/>
              </a:ext>
            </a:extLst>
          </xdr:cNvPr>
          <xdr:cNvSpPr>
            <a:spLocks noChangeShapeType="1"/>
          </xdr:cNvSpPr>
        </xdr:nvSpPr>
        <xdr:spPr bwMode="auto">
          <a:xfrm rot="-5400000">
            <a:off x="2352676" y="4762500"/>
            <a:ext cx="504825" cy="0"/>
          </a:xfrm>
          <a:prstGeom prst="line">
            <a:avLst/>
          </a:prstGeom>
          <a:noFill/>
          <a:ln w="3810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7841" name="Line 18">
            <a:extLst>
              <a:ext uri="{FF2B5EF4-FFF2-40B4-BE49-F238E27FC236}">
                <a16:creationId xmlns:a16="http://schemas.microsoft.com/office/drawing/2014/main" id="{00000000-0008-0000-1D00-000011A10300}"/>
              </a:ext>
            </a:extLst>
          </xdr:cNvPr>
          <xdr:cNvSpPr>
            <a:spLocks noChangeShapeType="1"/>
          </xdr:cNvSpPr>
        </xdr:nvSpPr>
        <xdr:spPr bwMode="auto">
          <a:xfrm rot="-5400000" flipH="1" flipV="1">
            <a:off x="2847975" y="5157787"/>
            <a:ext cx="452437" cy="476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7842" name="Rectangle 6">
            <a:extLst>
              <a:ext uri="{FF2B5EF4-FFF2-40B4-BE49-F238E27FC236}">
                <a16:creationId xmlns:a16="http://schemas.microsoft.com/office/drawing/2014/main" id="{00000000-0008-0000-1D00-000012A10300}"/>
              </a:ext>
            </a:extLst>
          </xdr:cNvPr>
          <xdr:cNvSpPr>
            <a:spLocks noChangeArrowheads="1"/>
          </xdr:cNvSpPr>
        </xdr:nvSpPr>
        <xdr:spPr bwMode="auto">
          <a:xfrm rot="-5400000">
            <a:off x="2767014" y="4519613"/>
            <a:ext cx="319088" cy="490536"/>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7843" name="Rectangle 6">
            <a:extLst>
              <a:ext uri="{FF2B5EF4-FFF2-40B4-BE49-F238E27FC236}">
                <a16:creationId xmlns:a16="http://schemas.microsoft.com/office/drawing/2014/main" id="{00000000-0008-0000-1D00-000013A10300}"/>
              </a:ext>
            </a:extLst>
          </xdr:cNvPr>
          <xdr:cNvSpPr>
            <a:spLocks noChangeArrowheads="1"/>
          </xdr:cNvSpPr>
        </xdr:nvSpPr>
        <xdr:spPr bwMode="auto">
          <a:xfrm rot="-5400000">
            <a:off x="1957388" y="4357687"/>
            <a:ext cx="404814" cy="804861"/>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7844" name="Line 18">
            <a:extLst>
              <a:ext uri="{FF2B5EF4-FFF2-40B4-BE49-F238E27FC236}">
                <a16:creationId xmlns:a16="http://schemas.microsoft.com/office/drawing/2014/main" id="{00000000-0008-0000-1D00-000014A10300}"/>
              </a:ext>
            </a:extLst>
          </xdr:cNvPr>
          <xdr:cNvSpPr>
            <a:spLocks noChangeShapeType="1"/>
          </xdr:cNvSpPr>
        </xdr:nvSpPr>
        <xdr:spPr bwMode="auto">
          <a:xfrm rot="-5400000" flipH="1" flipV="1">
            <a:off x="2543175" y="5157787"/>
            <a:ext cx="452437" cy="476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1</xdr:col>
      <xdr:colOff>28575</xdr:colOff>
      <xdr:row>0</xdr:row>
      <xdr:rowOff>171259</xdr:rowOff>
    </xdr:from>
    <xdr:to>
      <xdr:col>6</xdr:col>
      <xdr:colOff>161925</xdr:colOff>
      <xdr:row>2</xdr:row>
      <xdr:rowOff>9715</xdr:rowOff>
    </xdr:to>
    <xdr:pic>
      <xdr:nvPicPr>
        <xdr:cNvPr id="237838" name="Grafik 1">
          <a:extLst>
            <a:ext uri="{FF2B5EF4-FFF2-40B4-BE49-F238E27FC236}">
              <a16:creationId xmlns:a16="http://schemas.microsoft.com/office/drawing/2014/main" id="{00000000-0008-0000-1D00-00000EA103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42950" y="171259"/>
          <a:ext cx="1181100" cy="2480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4.xml><?xml version="1.0" encoding="utf-8"?>
<xdr:wsDr xmlns:xdr="http://schemas.openxmlformats.org/drawingml/2006/spreadsheetDrawing" xmlns:a="http://schemas.openxmlformats.org/drawingml/2006/main">
  <xdr:twoCellAnchor>
    <xdr:from>
      <xdr:col>2</xdr:col>
      <xdr:colOff>9525</xdr:colOff>
      <xdr:row>1</xdr:row>
      <xdr:rowOff>28575</xdr:rowOff>
    </xdr:from>
    <xdr:to>
      <xdr:col>2</xdr:col>
      <xdr:colOff>419100</xdr:colOff>
      <xdr:row>1</xdr:row>
      <xdr:rowOff>438150</xdr:rowOff>
    </xdr:to>
    <xdr:grpSp>
      <xdr:nvGrpSpPr>
        <xdr:cNvPr id="231201" name="Group 1">
          <a:extLst>
            <a:ext uri="{FF2B5EF4-FFF2-40B4-BE49-F238E27FC236}">
              <a16:creationId xmlns:a16="http://schemas.microsoft.com/office/drawing/2014/main" id="{00000000-0008-0000-2000-000021870300}"/>
            </a:ext>
          </a:extLst>
        </xdr:cNvPr>
        <xdr:cNvGrpSpPr>
          <a:grpSpLocks noChangeAspect="1"/>
        </xdr:cNvGrpSpPr>
      </xdr:nvGrpSpPr>
      <xdr:grpSpPr bwMode="auto">
        <a:xfrm>
          <a:off x="200025" y="152814"/>
          <a:ext cx="409575" cy="409575"/>
          <a:chOff x="0" y="0"/>
          <a:chExt cx="20000" cy="20000"/>
        </a:xfrm>
      </xdr:grpSpPr>
      <xdr:sp macro="" textlink="">
        <xdr:nvSpPr>
          <xdr:cNvPr id="231203" name="Rectangle 2">
            <a:extLst>
              <a:ext uri="{FF2B5EF4-FFF2-40B4-BE49-F238E27FC236}">
                <a16:creationId xmlns:a16="http://schemas.microsoft.com/office/drawing/2014/main" id="{00000000-0008-0000-2000-000023870300}"/>
              </a:ext>
            </a:extLst>
          </xdr:cNvPr>
          <xdr:cNvSpPr>
            <a:spLocks noChangeAspect="1" noChangeArrowheads="1"/>
          </xdr:cNvSpPr>
        </xdr:nvSpPr>
        <xdr:spPr bwMode="auto">
          <a:xfrm>
            <a:off x="0" y="0"/>
            <a:ext cx="19981" cy="19981"/>
          </a:xfrm>
          <a:prstGeom prst="rect">
            <a:avLst/>
          </a:prstGeom>
          <a:noFill/>
          <a:ln w="9525">
            <a:solidFill>
              <a:srgbClr val="000000"/>
            </a:solidFill>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231204" name="Oval 3">
            <a:extLst>
              <a:ext uri="{FF2B5EF4-FFF2-40B4-BE49-F238E27FC236}">
                <a16:creationId xmlns:a16="http://schemas.microsoft.com/office/drawing/2014/main" id="{00000000-0008-0000-2000-000024870300}"/>
              </a:ext>
            </a:extLst>
          </xdr:cNvPr>
          <xdr:cNvSpPr>
            <a:spLocks noChangeAspect="1" noChangeArrowheads="1"/>
          </xdr:cNvSpPr>
        </xdr:nvSpPr>
        <xdr:spPr bwMode="auto">
          <a:xfrm>
            <a:off x="0" y="0"/>
            <a:ext cx="19981" cy="19981"/>
          </a:xfrm>
          <a:prstGeom prst="ellipse">
            <a:avLst/>
          </a:prstGeom>
          <a:solidFill>
            <a:srgbClr val="B2B2B2"/>
          </a:solidFill>
          <a:ln>
            <a:noFill/>
          </a:ln>
          <a:effectLst/>
          <a:extLs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231205" name="Oval 4">
            <a:extLst>
              <a:ext uri="{FF2B5EF4-FFF2-40B4-BE49-F238E27FC236}">
                <a16:creationId xmlns:a16="http://schemas.microsoft.com/office/drawing/2014/main" id="{00000000-0008-0000-2000-000025870300}"/>
              </a:ext>
            </a:extLst>
          </xdr:cNvPr>
          <xdr:cNvSpPr>
            <a:spLocks noChangeAspect="1" noChangeArrowheads="1"/>
          </xdr:cNvSpPr>
        </xdr:nvSpPr>
        <xdr:spPr bwMode="auto">
          <a:xfrm>
            <a:off x="2878" y="2878"/>
            <a:ext cx="14280" cy="14280"/>
          </a:xfrm>
          <a:prstGeom prst="ellipse">
            <a:avLst/>
          </a:prstGeom>
          <a:solidFill>
            <a:srgbClr val="FFFFFF"/>
          </a:solidFill>
          <a:ln>
            <a:noFill/>
          </a:ln>
          <a:effectLst/>
          <a:extLs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231206" name="Line 5">
            <a:extLst>
              <a:ext uri="{FF2B5EF4-FFF2-40B4-BE49-F238E27FC236}">
                <a16:creationId xmlns:a16="http://schemas.microsoft.com/office/drawing/2014/main" id="{00000000-0008-0000-2000-000026870300}"/>
              </a:ext>
            </a:extLst>
          </xdr:cNvPr>
          <xdr:cNvSpPr>
            <a:spLocks noChangeAspect="1" noChangeShapeType="1"/>
          </xdr:cNvSpPr>
        </xdr:nvSpPr>
        <xdr:spPr bwMode="auto">
          <a:xfrm>
            <a:off x="9991" y="9991"/>
            <a:ext cx="18" cy="10009"/>
          </a:xfrm>
          <a:prstGeom prst="line">
            <a:avLst/>
          </a:prstGeom>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type="none" w="sm" len="sm"/>
                <a:tailEnd type="none" w="sm" len="sm"/>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231207" name="Line 6">
            <a:extLst>
              <a:ext uri="{FF2B5EF4-FFF2-40B4-BE49-F238E27FC236}">
                <a16:creationId xmlns:a16="http://schemas.microsoft.com/office/drawing/2014/main" id="{00000000-0008-0000-2000-000027870300}"/>
              </a:ext>
            </a:extLst>
          </xdr:cNvPr>
          <xdr:cNvSpPr>
            <a:spLocks noChangeAspect="1" noChangeShapeType="1"/>
          </xdr:cNvSpPr>
        </xdr:nvSpPr>
        <xdr:spPr bwMode="auto">
          <a:xfrm>
            <a:off x="9991" y="9991"/>
            <a:ext cx="10009" cy="10009"/>
          </a:xfrm>
          <a:prstGeom prst="line">
            <a:avLst/>
          </a:prstGeom>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type="none" w="sm" len="sm"/>
                <a:tailEnd type="none" w="sm" len="sm"/>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231208" name="Freeform 7">
            <a:extLst>
              <a:ext uri="{FF2B5EF4-FFF2-40B4-BE49-F238E27FC236}">
                <a16:creationId xmlns:a16="http://schemas.microsoft.com/office/drawing/2014/main" id="{00000000-0008-0000-2000-000028870300}"/>
              </a:ext>
            </a:extLst>
          </xdr:cNvPr>
          <xdr:cNvSpPr>
            <a:spLocks noChangeAspect="1"/>
          </xdr:cNvSpPr>
        </xdr:nvSpPr>
        <xdr:spPr bwMode="auto">
          <a:xfrm>
            <a:off x="9768" y="9991"/>
            <a:ext cx="10009" cy="10009"/>
          </a:xfrm>
          <a:custGeom>
            <a:avLst/>
            <a:gdLst>
              <a:gd name="T0" fmla="*/ 0 w 20000"/>
              <a:gd name="T1" fmla="*/ 0 h 20000"/>
              <a:gd name="T2" fmla="*/ 0 w 20000"/>
              <a:gd name="T3" fmla="*/ 1 h 20000"/>
              <a:gd name="T4" fmla="*/ 1 w 20000"/>
              <a:gd name="T5" fmla="*/ 1 h 20000"/>
              <a:gd name="T6" fmla="*/ 0 w 20000"/>
              <a:gd name="T7" fmla="*/ 0 h 20000"/>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20000" h="20000">
                <a:moveTo>
                  <a:pt x="0" y="0"/>
                </a:moveTo>
                <a:lnTo>
                  <a:pt x="0" y="19963"/>
                </a:lnTo>
                <a:lnTo>
                  <a:pt x="19963" y="19963"/>
                </a:lnTo>
                <a:lnTo>
                  <a:pt x="0" y="0"/>
                </a:lnTo>
                <a:close/>
              </a:path>
            </a:pathLst>
          </a:custGeom>
          <a:solidFill>
            <a:srgbClr val="FF0000"/>
          </a:solidFill>
          <a:ln>
            <a:noFill/>
          </a:ln>
          <a:effectLst/>
          <a:extLst>
            <a:ext uri="{91240B29-F687-4F45-9708-019B960494DF}">
              <a14:hiddenLine xmlns:a14="http://schemas.microsoft.com/office/drawing/2010/main" w="6350" cap="flat">
                <a:solidFill>
                  <a:srgbClr val="000000"/>
                </a:solidFill>
                <a:round/>
                <a:headEnd type="none" w="sm" len="sm"/>
                <a:tailEnd type="none" w="sm" len="sm"/>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editAs="oneCell">
    <xdr:from>
      <xdr:col>11</xdr:col>
      <xdr:colOff>790575</xdr:colOff>
      <xdr:row>1</xdr:row>
      <xdr:rowOff>158597</xdr:rowOff>
    </xdr:from>
    <xdr:to>
      <xdr:col>15</xdr:col>
      <xdr:colOff>114300</xdr:colOff>
      <xdr:row>1</xdr:row>
      <xdr:rowOff>416629</xdr:rowOff>
    </xdr:to>
    <xdr:pic>
      <xdr:nvPicPr>
        <xdr:cNvPr id="231202" name="Grafik 1">
          <a:extLst>
            <a:ext uri="{FF2B5EF4-FFF2-40B4-BE49-F238E27FC236}">
              <a16:creationId xmlns:a16="http://schemas.microsoft.com/office/drawing/2014/main" id="{00000000-0008-0000-2000-0000228703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5801553" y="282836"/>
          <a:ext cx="1228725" cy="2580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17</xdr:col>
          <xdr:colOff>9525</xdr:colOff>
          <xdr:row>5</xdr:row>
          <xdr:rowOff>219075</xdr:rowOff>
        </xdr:from>
        <xdr:to>
          <xdr:col>21</xdr:col>
          <xdr:colOff>0</xdr:colOff>
          <xdr:row>11</xdr:row>
          <xdr:rowOff>171450</xdr:rowOff>
        </xdr:to>
        <xdr:sp macro="" textlink="">
          <xdr:nvSpPr>
            <xdr:cNvPr id="223233" name="Button 1" hidden="1">
              <a:extLst>
                <a:ext uri="{63B3BB69-23CF-44E3-9099-C40C66FF867C}">
                  <a14:compatExt spid="_x0000_s223233"/>
                </a:ext>
                <a:ext uri="{FF2B5EF4-FFF2-40B4-BE49-F238E27FC236}">
                  <a16:creationId xmlns:a16="http://schemas.microsoft.com/office/drawing/2014/main" id="{00000000-0008-0000-2000-0000016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Daten an "N:\Fertigung\Zulassung\Produktionskontrolle GCC.xlsm" übertragen</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7</xdr:col>
      <xdr:colOff>1400175</xdr:colOff>
      <xdr:row>6</xdr:row>
      <xdr:rowOff>120491</xdr:rowOff>
    </xdr:from>
    <xdr:to>
      <xdr:col>8</xdr:col>
      <xdr:colOff>161925</xdr:colOff>
      <xdr:row>8</xdr:row>
      <xdr:rowOff>3333</xdr:rowOff>
    </xdr:to>
    <xdr:pic>
      <xdr:nvPicPr>
        <xdr:cNvPr id="176020" name="Grafik 2">
          <a:extLst>
            <a:ext uri="{FF2B5EF4-FFF2-40B4-BE49-F238E27FC236}">
              <a16:creationId xmlns:a16="http://schemas.microsoft.com/office/drawing/2014/main" id="{00000000-0008-0000-2100-000094AF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020050" y="1206341"/>
          <a:ext cx="1619250" cy="3400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219075</xdr:colOff>
      <xdr:row>89</xdr:row>
      <xdr:rowOff>76200</xdr:rowOff>
    </xdr:from>
    <xdr:to>
      <xdr:col>7</xdr:col>
      <xdr:colOff>2800350</xdr:colOff>
      <xdr:row>95</xdr:row>
      <xdr:rowOff>38100</xdr:rowOff>
    </xdr:to>
    <xdr:pic>
      <xdr:nvPicPr>
        <xdr:cNvPr id="176021" name="Grafik 2">
          <a:extLst>
            <a:ext uri="{FF2B5EF4-FFF2-40B4-BE49-F238E27FC236}">
              <a16:creationId xmlns:a16="http://schemas.microsoft.com/office/drawing/2014/main" id="{00000000-0008-0000-2100-000095AF020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838950" y="22926675"/>
          <a:ext cx="258127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180975</xdr:colOff>
      <xdr:row>541</xdr:row>
      <xdr:rowOff>66675</xdr:rowOff>
    </xdr:from>
    <xdr:to>
      <xdr:col>19</xdr:col>
      <xdr:colOff>9525</xdr:colOff>
      <xdr:row>560</xdr:row>
      <xdr:rowOff>104775</xdr:rowOff>
    </xdr:to>
    <xdr:pic>
      <xdr:nvPicPr>
        <xdr:cNvPr id="240054" name="Grafik 48">
          <a:extLst>
            <a:ext uri="{FF2B5EF4-FFF2-40B4-BE49-F238E27FC236}">
              <a16:creationId xmlns:a16="http://schemas.microsoft.com/office/drawing/2014/main" id="{00000000-0008-0000-2200-0000B6A903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508575" y="93430725"/>
          <a:ext cx="3771900" cy="320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129429</xdr:colOff>
      <xdr:row>619</xdr:row>
      <xdr:rowOff>81598</xdr:rowOff>
    </xdr:from>
    <xdr:to>
      <xdr:col>11</xdr:col>
      <xdr:colOff>474570</xdr:colOff>
      <xdr:row>635</xdr:row>
      <xdr:rowOff>22973</xdr:rowOff>
    </xdr:to>
    <xdr:pic>
      <xdr:nvPicPr>
        <xdr:cNvPr id="240055" name="Grafik 49">
          <a:extLst>
            <a:ext uri="{FF2B5EF4-FFF2-40B4-BE49-F238E27FC236}">
              <a16:creationId xmlns:a16="http://schemas.microsoft.com/office/drawing/2014/main" id="{00000000-0008-0000-2200-0000B7A903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75664" y="101125039"/>
          <a:ext cx="5854513" cy="247390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109818</xdr:colOff>
      <xdr:row>619</xdr:row>
      <xdr:rowOff>114300</xdr:rowOff>
    </xdr:from>
    <xdr:to>
      <xdr:col>19</xdr:col>
      <xdr:colOff>576543</xdr:colOff>
      <xdr:row>635</xdr:row>
      <xdr:rowOff>28576</xdr:rowOff>
    </xdr:to>
    <xdr:pic>
      <xdr:nvPicPr>
        <xdr:cNvPr id="240056" name="Grafik 51">
          <a:extLst>
            <a:ext uri="{FF2B5EF4-FFF2-40B4-BE49-F238E27FC236}">
              <a16:creationId xmlns:a16="http://schemas.microsoft.com/office/drawing/2014/main" id="{00000000-0008-0000-2200-0000B8A903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760759" y="105505624"/>
          <a:ext cx="6023722" cy="24468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619125</xdr:colOff>
      <xdr:row>544</xdr:row>
      <xdr:rowOff>9525</xdr:rowOff>
    </xdr:from>
    <xdr:to>
      <xdr:col>11</xdr:col>
      <xdr:colOff>104775</xdr:colOff>
      <xdr:row>560</xdr:row>
      <xdr:rowOff>133350</xdr:rowOff>
    </xdr:to>
    <xdr:pic>
      <xdr:nvPicPr>
        <xdr:cNvPr id="240057" name="Grafik 52">
          <a:extLst>
            <a:ext uri="{FF2B5EF4-FFF2-40B4-BE49-F238E27FC236}">
              <a16:creationId xmlns:a16="http://schemas.microsoft.com/office/drawing/2014/main" id="{00000000-0008-0000-2200-0000B9A903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155275" y="93926025"/>
          <a:ext cx="4991100" cy="2733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10084</xdr:colOff>
      <xdr:row>594</xdr:row>
      <xdr:rowOff>43535</xdr:rowOff>
    </xdr:from>
    <xdr:to>
      <xdr:col>11</xdr:col>
      <xdr:colOff>216833</xdr:colOff>
      <xdr:row>610</xdr:row>
      <xdr:rowOff>83482</xdr:rowOff>
    </xdr:to>
    <xdr:pic>
      <xdr:nvPicPr>
        <xdr:cNvPr id="240058" name="Grafik 4">
          <a:extLst>
            <a:ext uri="{FF2B5EF4-FFF2-40B4-BE49-F238E27FC236}">
              <a16:creationId xmlns:a16="http://schemas.microsoft.com/office/drawing/2014/main" id="{00000000-0008-0000-2200-0000BAA903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327025" y="101109388"/>
          <a:ext cx="4864474" cy="25500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47625</xdr:colOff>
      <xdr:row>670</xdr:row>
      <xdr:rowOff>95250</xdr:rowOff>
    </xdr:from>
    <xdr:to>
      <xdr:col>11</xdr:col>
      <xdr:colOff>619125</xdr:colOff>
      <xdr:row>683</xdr:row>
      <xdr:rowOff>152401</xdr:rowOff>
    </xdr:to>
    <xdr:pic>
      <xdr:nvPicPr>
        <xdr:cNvPr id="240059" name="Grafik 3">
          <a:extLst>
            <a:ext uri="{FF2B5EF4-FFF2-40B4-BE49-F238E27FC236}">
              <a16:creationId xmlns:a16="http://schemas.microsoft.com/office/drawing/2014/main" id="{00000000-0008-0000-2200-0000BBA903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2583775" y="111871125"/>
          <a:ext cx="6076950" cy="2162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314325</xdr:colOff>
      <xdr:row>669</xdr:row>
      <xdr:rowOff>57150</xdr:rowOff>
    </xdr:from>
    <xdr:to>
      <xdr:col>19</xdr:col>
      <xdr:colOff>323850</xdr:colOff>
      <xdr:row>685</xdr:row>
      <xdr:rowOff>85724</xdr:rowOff>
    </xdr:to>
    <xdr:pic>
      <xdr:nvPicPr>
        <xdr:cNvPr id="240060" name="Grafik 4">
          <a:extLst>
            <a:ext uri="{FF2B5EF4-FFF2-40B4-BE49-F238E27FC236}">
              <a16:creationId xmlns:a16="http://schemas.microsoft.com/office/drawing/2014/main" id="{00000000-0008-0000-2200-0000BCA903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9032200" y="111671100"/>
          <a:ext cx="5562600" cy="2638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295275</xdr:colOff>
      <xdr:row>694</xdr:row>
      <xdr:rowOff>47625</xdr:rowOff>
    </xdr:from>
    <xdr:to>
      <xdr:col>11</xdr:col>
      <xdr:colOff>352425</xdr:colOff>
      <xdr:row>710</xdr:row>
      <xdr:rowOff>76201</xdr:rowOff>
    </xdr:to>
    <xdr:pic>
      <xdr:nvPicPr>
        <xdr:cNvPr id="240061" name="Grafik 50">
          <a:extLst>
            <a:ext uri="{FF2B5EF4-FFF2-40B4-BE49-F238E27FC236}">
              <a16:creationId xmlns:a16="http://schemas.microsoft.com/office/drawing/2014/main" id="{00000000-0008-0000-2200-0000BDA903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2831425" y="116090700"/>
          <a:ext cx="5562600" cy="2638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295275</xdr:colOff>
      <xdr:row>769</xdr:row>
      <xdr:rowOff>38100</xdr:rowOff>
    </xdr:from>
    <xdr:to>
      <xdr:col>19</xdr:col>
      <xdr:colOff>304800</xdr:colOff>
      <xdr:row>785</xdr:row>
      <xdr:rowOff>66676</xdr:rowOff>
    </xdr:to>
    <xdr:pic>
      <xdr:nvPicPr>
        <xdr:cNvPr id="240062" name="Grafik 51">
          <a:extLst>
            <a:ext uri="{FF2B5EF4-FFF2-40B4-BE49-F238E27FC236}">
              <a16:creationId xmlns:a16="http://schemas.microsoft.com/office/drawing/2014/main" id="{00000000-0008-0000-2200-0000BEA903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9013150" y="129520950"/>
          <a:ext cx="5562600" cy="2638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304800</xdr:colOff>
      <xdr:row>794</xdr:row>
      <xdr:rowOff>28575</xdr:rowOff>
    </xdr:from>
    <xdr:to>
      <xdr:col>11</xdr:col>
      <xdr:colOff>361950</xdr:colOff>
      <xdr:row>810</xdr:row>
      <xdr:rowOff>57149</xdr:rowOff>
    </xdr:to>
    <xdr:pic>
      <xdr:nvPicPr>
        <xdr:cNvPr id="240063" name="Grafik 52">
          <a:extLst>
            <a:ext uri="{FF2B5EF4-FFF2-40B4-BE49-F238E27FC236}">
              <a16:creationId xmlns:a16="http://schemas.microsoft.com/office/drawing/2014/main" id="{00000000-0008-0000-2200-0000BFA903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2840950" y="133940550"/>
          <a:ext cx="5562600" cy="2638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295275</xdr:colOff>
      <xdr:row>769</xdr:row>
      <xdr:rowOff>38100</xdr:rowOff>
    </xdr:from>
    <xdr:to>
      <xdr:col>11</xdr:col>
      <xdr:colOff>352425</xdr:colOff>
      <xdr:row>785</xdr:row>
      <xdr:rowOff>66676</xdr:rowOff>
    </xdr:to>
    <xdr:pic>
      <xdr:nvPicPr>
        <xdr:cNvPr id="240064" name="Grafik 53">
          <a:extLst>
            <a:ext uri="{FF2B5EF4-FFF2-40B4-BE49-F238E27FC236}">
              <a16:creationId xmlns:a16="http://schemas.microsoft.com/office/drawing/2014/main" id="{00000000-0008-0000-2200-0000C0A903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2831425" y="129520950"/>
          <a:ext cx="5562600" cy="2638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666750</xdr:colOff>
      <xdr:row>693</xdr:row>
      <xdr:rowOff>161925</xdr:rowOff>
    </xdr:from>
    <xdr:to>
      <xdr:col>18</xdr:col>
      <xdr:colOff>666750</xdr:colOff>
      <xdr:row>710</xdr:row>
      <xdr:rowOff>85726</xdr:rowOff>
    </xdr:to>
    <xdr:pic>
      <xdr:nvPicPr>
        <xdr:cNvPr id="240065" name="Grafik 5">
          <a:extLst>
            <a:ext uri="{FF2B5EF4-FFF2-40B4-BE49-F238E27FC236}">
              <a16:creationId xmlns:a16="http://schemas.microsoft.com/office/drawing/2014/main" id="{00000000-0008-0000-2200-0000C1A903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9384625" y="115995450"/>
          <a:ext cx="4657725" cy="274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676275</xdr:colOff>
      <xdr:row>794</xdr:row>
      <xdr:rowOff>19050</xdr:rowOff>
    </xdr:from>
    <xdr:to>
      <xdr:col>18</xdr:col>
      <xdr:colOff>704850</xdr:colOff>
      <xdr:row>810</xdr:row>
      <xdr:rowOff>133349</xdr:rowOff>
    </xdr:to>
    <xdr:pic>
      <xdr:nvPicPr>
        <xdr:cNvPr id="240066" name="Grafik 6">
          <a:extLst>
            <a:ext uri="{FF2B5EF4-FFF2-40B4-BE49-F238E27FC236}">
              <a16:creationId xmlns:a16="http://schemas.microsoft.com/office/drawing/2014/main" id="{00000000-0008-0000-2200-0000C2A903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394150" y="133931025"/>
          <a:ext cx="4686300" cy="2724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57150</xdr:colOff>
      <xdr:row>821</xdr:row>
      <xdr:rowOff>66675</xdr:rowOff>
    </xdr:from>
    <xdr:to>
      <xdr:col>11</xdr:col>
      <xdr:colOff>619125</xdr:colOff>
      <xdr:row>833</xdr:row>
      <xdr:rowOff>114300</xdr:rowOff>
    </xdr:to>
    <xdr:pic>
      <xdr:nvPicPr>
        <xdr:cNvPr id="240067" name="Grafik 7">
          <a:extLst>
            <a:ext uri="{FF2B5EF4-FFF2-40B4-BE49-F238E27FC236}">
              <a16:creationId xmlns:a16="http://schemas.microsoft.com/office/drawing/2014/main" id="{00000000-0008-0000-2200-0000C3A903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593300" y="138731625"/>
          <a:ext cx="6067425" cy="1990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66675</xdr:colOff>
      <xdr:row>821</xdr:row>
      <xdr:rowOff>133350</xdr:rowOff>
    </xdr:from>
    <xdr:to>
      <xdr:col>19</xdr:col>
      <xdr:colOff>571500</xdr:colOff>
      <xdr:row>833</xdr:row>
      <xdr:rowOff>85725</xdr:rowOff>
    </xdr:to>
    <xdr:pic>
      <xdr:nvPicPr>
        <xdr:cNvPr id="240068" name="Grafik 8">
          <a:extLst>
            <a:ext uri="{FF2B5EF4-FFF2-40B4-BE49-F238E27FC236}">
              <a16:creationId xmlns:a16="http://schemas.microsoft.com/office/drawing/2014/main" id="{00000000-0008-0000-2200-0000C4A903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8784550" y="138798300"/>
          <a:ext cx="6057900" cy="1895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85725</xdr:colOff>
      <xdr:row>720</xdr:row>
      <xdr:rowOff>47625</xdr:rowOff>
    </xdr:from>
    <xdr:to>
      <xdr:col>11</xdr:col>
      <xdr:colOff>600075</xdr:colOff>
      <xdr:row>734</xdr:row>
      <xdr:rowOff>9525</xdr:rowOff>
    </xdr:to>
    <xdr:pic>
      <xdr:nvPicPr>
        <xdr:cNvPr id="240069" name="Grafik 9">
          <a:extLst>
            <a:ext uri="{FF2B5EF4-FFF2-40B4-BE49-F238E27FC236}">
              <a16:creationId xmlns:a16="http://schemas.microsoft.com/office/drawing/2014/main" id="{00000000-0008-0000-2200-0000C5A903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2621875" y="120681750"/>
          <a:ext cx="6019800" cy="2324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28575</xdr:colOff>
      <xdr:row>720</xdr:row>
      <xdr:rowOff>66675</xdr:rowOff>
    </xdr:from>
    <xdr:to>
      <xdr:col>19</xdr:col>
      <xdr:colOff>581025</xdr:colOff>
      <xdr:row>734</xdr:row>
      <xdr:rowOff>76200</xdr:rowOff>
    </xdr:to>
    <xdr:pic>
      <xdr:nvPicPr>
        <xdr:cNvPr id="240070" name="Grafik 10">
          <a:extLst>
            <a:ext uri="{FF2B5EF4-FFF2-40B4-BE49-F238E27FC236}">
              <a16:creationId xmlns:a16="http://schemas.microsoft.com/office/drawing/2014/main" id="{00000000-0008-0000-2200-0000C6A903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746450" y="120700800"/>
          <a:ext cx="6105525" cy="2371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485775</xdr:colOff>
      <xdr:row>744</xdr:row>
      <xdr:rowOff>38100</xdr:rowOff>
    </xdr:from>
    <xdr:to>
      <xdr:col>10</xdr:col>
      <xdr:colOff>228600</xdr:colOff>
      <xdr:row>760</xdr:row>
      <xdr:rowOff>28574</xdr:rowOff>
    </xdr:to>
    <xdr:pic>
      <xdr:nvPicPr>
        <xdr:cNvPr id="240071" name="Grafik 11">
          <a:extLst>
            <a:ext uri="{FF2B5EF4-FFF2-40B4-BE49-F238E27FC236}">
              <a16:creationId xmlns:a16="http://schemas.microsoft.com/office/drawing/2014/main" id="{00000000-0008-0000-2200-0000C7A903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3869650" y="125015625"/>
          <a:ext cx="3638550" cy="2676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628650</xdr:colOff>
      <xdr:row>69</xdr:row>
      <xdr:rowOff>38100</xdr:rowOff>
    </xdr:from>
    <xdr:to>
      <xdr:col>10</xdr:col>
      <xdr:colOff>647700</xdr:colOff>
      <xdr:row>85</xdr:row>
      <xdr:rowOff>133350</xdr:rowOff>
    </xdr:to>
    <xdr:pic>
      <xdr:nvPicPr>
        <xdr:cNvPr id="240072" name="Grafik 3">
          <a:extLst>
            <a:ext uri="{FF2B5EF4-FFF2-40B4-BE49-F238E27FC236}">
              <a16:creationId xmlns:a16="http://schemas.microsoft.com/office/drawing/2014/main" id="{00000000-0008-0000-2200-0000C8A903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3164800" y="9563100"/>
          <a:ext cx="4762500" cy="2781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69</xdr:row>
      <xdr:rowOff>19050</xdr:rowOff>
    </xdr:from>
    <xdr:to>
      <xdr:col>18</xdr:col>
      <xdr:colOff>781050</xdr:colOff>
      <xdr:row>85</xdr:row>
      <xdr:rowOff>104775</xdr:rowOff>
    </xdr:to>
    <xdr:pic>
      <xdr:nvPicPr>
        <xdr:cNvPr id="240073" name="Grafik 1">
          <a:extLst>
            <a:ext uri="{FF2B5EF4-FFF2-40B4-BE49-F238E27FC236}">
              <a16:creationId xmlns:a16="http://schemas.microsoft.com/office/drawing/2014/main" id="{00000000-0008-0000-2200-0000C9A903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29603700" y="9544050"/>
          <a:ext cx="4552950" cy="2771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123825</xdr:colOff>
      <xdr:row>91</xdr:row>
      <xdr:rowOff>57150</xdr:rowOff>
    </xdr:from>
    <xdr:to>
      <xdr:col>11</xdr:col>
      <xdr:colOff>247650</xdr:colOff>
      <xdr:row>110</xdr:row>
      <xdr:rowOff>123825</xdr:rowOff>
    </xdr:to>
    <xdr:pic>
      <xdr:nvPicPr>
        <xdr:cNvPr id="240074" name="Grafik 2">
          <a:extLst>
            <a:ext uri="{FF2B5EF4-FFF2-40B4-BE49-F238E27FC236}">
              <a16:creationId xmlns:a16="http://schemas.microsoft.com/office/drawing/2014/main" id="{00000000-0008-0000-2200-0000CAA903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24269700" y="13535025"/>
          <a:ext cx="4019550" cy="3248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228600</xdr:colOff>
      <xdr:row>92</xdr:row>
      <xdr:rowOff>38100</xdr:rowOff>
    </xdr:from>
    <xdr:to>
      <xdr:col>19</xdr:col>
      <xdr:colOff>9525</xdr:colOff>
      <xdr:row>110</xdr:row>
      <xdr:rowOff>28575</xdr:rowOff>
    </xdr:to>
    <xdr:pic>
      <xdr:nvPicPr>
        <xdr:cNvPr id="240075" name="Grafik 3">
          <a:extLst>
            <a:ext uri="{FF2B5EF4-FFF2-40B4-BE49-F238E27FC236}">
              <a16:creationId xmlns:a16="http://schemas.microsoft.com/office/drawing/2014/main" id="{00000000-0008-0000-2200-0000CBA903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556200" y="13716000"/>
          <a:ext cx="3724275" cy="2971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76200</xdr:colOff>
      <xdr:row>116</xdr:row>
      <xdr:rowOff>114300</xdr:rowOff>
    </xdr:from>
    <xdr:to>
      <xdr:col>11</xdr:col>
      <xdr:colOff>114300</xdr:colOff>
      <xdr:row>135</xdr:row>
      <xdr:rowOff>66675</xdr:rowOff>
    </xdr:to>
    <xdr:pic>
      <xdr:nvPicPr>
        <xdr:cNvPr id="240076" name="Grafik 4">
          <a:extLst>
            <a:ext uri="{FF2B5EF4-FFF2-40B4-BE49-F238E27FC236}">
              <a16:creationId xmlns:a16="http://schemas.microsoft.com/office/drawing/2014/main" id="{00000000-0008-0000-2200-0000CCA903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4222075" y="18040350"/>
          <a:ext cx="3933825" cy="3124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847725</xdr:colOff>
      <xdr:row>119</xdr:row>
      <xdr:rowOff>114300</xdr:rowOff>
    </xdr:from>
    <xdr:to>
      <xdr:col>18</xdr:col>
      <xdr:colOff>866775</xdr:colOff>
      <xdr:row>135</xdr:row>
      <xdr:rowOff>28575</xdr:rowOff>
    </xdr:to>
    <xdr:pic>
      <xdr:nvPicPr>
        <xdr:cNvPr id="240077" name="Grafik 5">
          <a:extLst>
            <a:ext uri="{FF2B5EF4-FFF2-40B4-BE49-F238E27FC236}">
              <a16:creationId xmlns:a16="http://schemas.microsoft.com/office/drawing/2014/main" id="{00000000-0008-0000-2200-0000CDA903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565600" y="18592800"/>
          <a:ext cx="4676775" cy="2533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495300</xdr:colOff>
      <xdr:row>144</xdr:row>
      <xdr:rowOff>133350</xdr:rowOff>
    </xdr:from>
    <xdr:to>
      <xdr:col>11</xdr:col>
      <xdr:colOff>219075</xdr:colOff>
      <xdr:row>160</xdr:row>
      <xdr:rowOff>47625</xdr:rowOff>
    </xdr:to>
    <xdr:pic>
      <xdr:nvPicPr>
        <xdr:cNvPr id="240078" name="Grafik 26">
          <a:extLst>
            <a:ext uri="{FF2B5EF4-FFF2-40B4-BE49-F238E27FC236}">
              <a16:creationId xmlns:a16="http://schemas.microsoft.com/office/drawing/2014/main" id="{00000000-0008-0000-2200-0000CEA903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23031450" y="23050500"/>
          <a:ext cx="5229225" cy="2524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123825</xdr:colOff>
      <xdr:row>143</xdr:row>
      <xdr:rowOff>180975</xdr:rowOff>
    </xdr:from>
    <xdr:to>
      <xdr:col>19</xdr:col>
      <xdr:colOff>190500</xdr:colOff>
      <xdr:row>160</xdr:row>
      <xdr:rowOff>114300</xdr:rowOff>
    </xdr:to>
    <xdr:pic>
      <xdr:nvPicPr>
        <xdr:cNvPr id="240079" name="Grafik 6">
          <a:extLst>
            <a:ext uri="{FF2B5EF4-FFF2-40B4-BE49-F238E27FC236}">
              <a16:creationId xmlns:a16="http://schemas.microsoft.com/office/drawing/2014/main" id="{00000000-0008-0000-2200-0000CFA903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30451425" y="22888575"/>
          <a:ext cx="4010025" cy="2752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47625</xdr:colOff>
      <xdr:row>169</xdr:row>
      <xdr:rowOff>76200</xdr:rowOff>
    </xdr:from>
    <xdr:to>
      <xdr:col>11</xdr:col>
      <xdr:colOff>104775</xdr:colOff>
      <xdr:row>185</xdr:row>
      <xdr:rowOff>47625</xdr:rowOff>
    </xdr:to>
    <xdr:pic>
      <xdr:nvPicPr>
        <xdr:cNvPr id="240080" name="Grafik 7">
          <a:extLst>
            <a:ext uri="{FF2B5EF4-FFF2-40B4-BE49-F238E27FC236}">
              <a16:creationId xmlns:a16="http://schemas.microsoft.com/office/drawing/2014/main" id="{00000000-0008-0000-2200-0000D0A903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23431500" y="27422475"/>
          <a:ext cx="4714875" cy="2581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85725</xdr:colOff>
      <xdr:row>166</xdr:row>
      <xdr:rowOff>38100</xdr:rowOff>
    </xdr:from>
    <xdr:to>
      <xdr:col>18</xdr:col>
      <xdr:colOff>609600</xdr:colOff>
      <xdr:row>185</xdr:row>
      <xdr:rowOff>85725</xdr:rowOff>
    </xdr:to>
    <xdr:pic>
      <xdr:nvPicPr>
        <xdr:cNvPr id="240081" name="Grafik 8">
          <a:extLst>
            <a:ext uri="{FF2B5EF4-FFF2-40B4-BE49-F238E27FC236}">
              <a16:creationId xmlns:a16="http://schemas.microsoft.com/office/drawing/2014/main" id="{00000000-0008-0000-2200-0000D1A903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30413325" y="26831925"/>
          <a:ext cx="3571875" cy="3209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657225</xdr:colOff>
      <xdr:row>194</xdr:row>
      <xdr:rowOff>47625</xdr:rowOff>
    </xdr:from>
    <xdr:to>
      <xdr:col>18</xdr:col>
      <xdr:colOff>800100</xdr:colOff>
      <xdr:row>210</xdr:row>
      <xdr:rowOff>104775</xdr:rowOff>
    </xdr:to>
    <xdr:pic>
      <xdr:nvPicPr>
        <xdr:cNvPr id="240082" name="Grafik 9">
          <a:extLst>
            <a:ext uri="{FF2B5EF4-FFF2-40B4-BE49-F238E27FC236}">
              <a16:creationId xmlns:a16="http://schemas.microsoft.com/office/drawing/2014/main" id="{00000000-0008-0000-2200-0000D2A903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29375100" y="31823025"/>
          <a:ext cx="4800600" cy="2667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342900</xdr:colOff>
      <xdr:row>344</xdr:row>
      <xdr:rowOff>95250</xdr:rowOff>
    </xdr:from>
    <xdr:to>
      <xdr:col>11</xdr:col>
      <xdr:colOff>228600</xdr:colOff>
      <xdr:row>360</xdr:row>
      <xdr:rowOff>85725</xdr:rowOff>
    </xdr:to>
    <xdr:pic>
      <xdr:nvPicPr>
        <xdr:cNvPr id="240083" name="Grafik 10">
          <a:extLst>
            <a:ext uri="{FF2B5EF4-FFF2-40B4-BE49-F238E27FC236}">
              <a16:creationId xmlns:a16="http://schemas.microsoft.com/office/drawing/2014/main" id="{00000000-0008-0000-2200-0000D3A903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22879050" y="58445400"/>
          <a:ext cx="5391150" cy="2600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514350</xdr:colOff>
      <xdr:row>219</xdr:row>
      <xdr:rowOff>47625</xdr:rowOff>
    </xdr:from>
    <xdr:to>
      <xdr:col>11</xdr:col>
      <xdr:colOff>171450</xdr:colOff>
      <xdr:row>235</xdr:row>
      <xdr:rowOff>95250</xdr:rowOff>
    </xdr:to>
    <xdr:pic>
      <xdr:nvPicPr>
        <xdr:cNvPr id="240084" name="Grafik 11">
          <a:extLst>
            <a:ext uri="{FF2B5EF4-FFF2-40B4-BE49-F238E27FC236}">
              <a16:creationId xmlns:a16="http://schemas.microsoft.com/office/drawing/2014/main" id="{00000000-0008-0000-2200-0000D4A903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23050500" y="36252150"/>
          <a:ext cx="5162550" cy="2657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171450</xdr:colOff>
      <xdr:row>216</xdr:row>
      <xdr:rowOff>142875</xdr:rowOff>
    </xdr:from>
    <xdr:to>
      <xdr:col>19</xdr:col>
      <xdr:colOff>114300</xdr:colOff>
      <xdr:row>235</xdr:row>
      <xdr:rowOff>85725</xdr:rowOff>
    </xdr:to>
    <xdr:pic>
      <xdr:nvPicPr>
        <xdr:cNvPr id="240085" name="Grafik 12">
          <a:extLst>
            <a:ext uri="{FF2B5EF4-FFF2-40B4-BE49-F238E27FC236}">
              <a16:creationId xmlns:a16="http://schemas.microsoft.com/office/drawing/2014/main" id="{00000000-0008-0000-2200-0000D5A903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30499050" y="35794950"/>
          <a:ext cx="3886200" cy="3105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581025</xdr:colOff>
      <xdr:row>244</xdr:row>
      <xdr:rowOff>38100</xdr:rowOff>
    </xdr:from>
    <xdr:to>
      <xdr:col>11</xdr:col>
      <xdr:colOff>47625</xdr:colOff>
      <xdr:row>260</xdr:row>
      <xdr:rowOff>123825</xdr:rowOff>
    </xdr:to>
    <xdr:pic>
      <xdr:nvPicPr>
        <xdr:cNvPr id="240086" name="Grafik 13">
          <a:extLst>
            <a:ext uri="{FF2B5EF4-FFF2-40B4-BE49-F238E27FC236}">
              <a16:creationId xmlns:a16="http://schemas.microsoft.com/office/drawing/2014/main" id="{00000000-0008-0000-2200-0000D6A903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3117175" y="40671750"/>
          <a:ext cx="4972050" cy="2695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190500</xdr:colOff>
      <xdr:row>266</xdr:row>
      <xdr:rowOff>114300</xdr:rowOff>
    </xdr:from>
    <xdr:to>
      <xdr:col>10</xdr:col>
      <xdr:colOff>571500</xdr:colOff>
      <xdr:row>285</xdr:row>
      <xdr:rowOff>85725</xdr:rowOff>
    </xdr:to>
    <xdr:pic>
      <xdr:nvPicPr>
        <xdr:cNvPr id="240087" name="Grafik 15">
          <a:extLst>
            <a:ext uri="{FF2B5EF4-FFF2-40B4-BE49-F238E27FC236}">
              <a16:creationId xmlns:a16="http://schemas.microsoft.com/office/drawing/2014/main" id="{00000000-0008-0000-2200-0000D7A903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269441" y="43951712"/>
          <a:ext cx="3514725" cy="30530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19050</xdr:colOff>
      <xdr:row>269</xdr:row>
      <xdr:rowOff>38100</xdr:rowOff>
    </xdr:from>
    <xdr:to>
      <xdr:col>18</xdr:col>
      <xdr:colOff>628650</xdr:colOff>
      <xdr:row>285</xdr:row>
      <xdr:rowOff>123825</xdr:rowOff>
    </xdr:to>
    <xdr:pic>
      <xdr:nvPicPr>
        <xdr:cNvPr id="240088" name="Grafik 16">
          <a:extLst>
            <a:ext uri="{FF2B5EF4-FFF2-40B4-BE49-F238E27FC236}">
              <a16:creationId xmlns:a16="http://schemas.microsoft.com/office/drawing/2014/main" id="{00000000-0008-0000-2200-0000D8A903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29584650" y="45100875"/>
          <a:ext cx="4419600" cy="2695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200025</xdr:colOff>
      <xdr:row>291</xdr:row>
      <xdr:rowOff>114300</xdr:rowOff>
    </xdr:from>
    <xdr:to>
      <xdr:col>10</xdr:col>
      <xdr:colOff>409575</xdr:colOff>
      <xdr:row>310</xdr:row>
      <xdr:rowOff>123825</xdr:rowOff>
    </xdr:to>
    <xdr:pic>
      <xdr:nvPicPr>
        <xdr:cNvPr id="240089" name="Grafik 17">
          <a:extLst>
            <a:ext uri="{FF2B5EF4-FFF2-40B4-BE49-F238E27FC236}">
              <a16:creationId xmlns:a16="http://schemas.microsoft.com/office/drawing/2014/main" id="{00000000-0008-0000-2200-0000D9A903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24345900" y="49053750"/>
          <a:ext cx="3343275" cy="3171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114300</xdr:colOff>
      <xdr:row>291</xdr:row>
      <xdr:rowOff>152400</xdr:rowOff>
    </xdr:from>
    <xdr:to>
      <xdr:col>19</xdr:col>
      <xdr:colOff>495300</xdr:colOff>
      <xdr:row>310</xdr:row>
      <xdr:rowOff>19050</xdr:rowOff>
    </xdr:to>
    <xdr:pic>
      <xdr:nvPicPr>
        <xdr:cNvPr id="240090" name="Grafik 18">
          <a:extLst>
            <a:ext uri="{FF2B5EF4-FFF2-40B4-BE49-F238E27FC236}">
              <a16:creationId xmlns:a16="http://schemas.microsoft.com/office/drawing/2014/main" id="{00000000-0008-0000-2200-0000DAA903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30441900" y="49091850"/>
          <a:ext cx="4324350" cy="3028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200025</xdr:colOff>
      <xdr:row>319</xdr:row>
      <xdr:rowOff>38100</xdr:rowOff>
    </xdr:from>
    <xdr:to>
      <xdr:col>10</xdr:col>
      <xdr:colOff>161925</xdr:colOff>
      <xdr:row>335</xdr:row>
      <xdr:rowOff>152400</xdr:rowOff>
    </xdr:to>
    <xdr:pic>
      <xdr:nvPicPr>
        <xdr:cNvPr id="240091" name="Grafik 19">
          <a:extLst>
            <a:ext uri="{FF2B5EF4-FFF2-40B4-BE49-F238E27FC236}">
              <a16:creationId xmlns:a16="http://schemas.microsoft.com/office/drawing/2014/main" id="{00000000-0008-0000-2200-0000DBA903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23583900" y="53959125"/>
          <a:ext cx="3857625" cy="2724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190500</xdr:colOff>
      <xdr:row>316</xdr:row>
      <xdr:rowOff>47625</xdr:rowOff>
    </xdr:from>
    <xdr:to>
      <xdr:col>17</xdr:col>
      <xdr:colOff>104775</xdr:colOff>
      <xdr:row>335</xdr:row>
      <xdr:rowOff>114300</xdr:rowOff>
    </xdr:to>
    <xdr:pic>
      <xdr:nvPicPr>
        <xdr:cNvPr id="240092" name="Grafik 21">
          <a:extLst>
            <a:ext uri="{FF2B5EF4-FFF2-40B4-BE49-F238E27FC236}">
              <a16:creationId xmlns:a16="http://schemas.microsoft.com/office/drawing/2014/main" id="{00000000-0008-0000-2200-0000DCA903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30518100" y="53416200"/>
          <a:ext cx="2200275" cy="3228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4</xdr:col>
      <xdr:colOff>54349</xdr:colOff>
      <xdr:row>247</xdr:row>
      <xdr:rowOff>67235</xdr:rowOff>
    </xdr:from>
    <xdr:ext cx="738087" cy="264560"/>
    <xdr:sp macro="" textlink="">
      <xdr:nvSpPr>
        <xdr:cNvPr id="23" name="Textfeld 22">
          <a:extLst>
            <a:ext uri="{FF2B5EF4-FFF2-40B4-BE49-F238E27FC236}">
              <a16:creationId xmlns:a16="http://schemas.microsoft.com/office/drawing/2014/main" id="{00000000-0008-0000-2200-000017000000}"/>
            </a:ext>
          </a:extLst>
        </xdr:cNvPr>
        <xdr:cNvSpPr txBox="1"/>
      </xdr:nvSpPr>
      <xdr:spPr>
        <a:xfrm>
          <a:off x="22600584" y="40576500"/>
          <a:ext cx="7380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100"/>
            <a:t>Sichtseite</a:t>
          </a:r>
        </a:p>
      </xdr:txBody>
    </xdr:sp>
    <xdr:clientData/>
  </xdr:oneCellAnchor>
  <xdr:twoCellAnchor editAs="oneCell">
    <xdr:from>
      <xdr:col>5</xdr:col>
      <xdr:colOff>152400</xdr:colOff>
      <xdr:row>194</xdr:row>
      <xdr:rowOff>9525</xdr:rowOff>
    </xdr:from>
    <xdr:to>
      <xdr:col>10</xdr:col>
      <xdr:colOff>57150</xdr:colOff>
      <xdr:row>210</xdr:row>
      <xdr:rowOff>133350</xdr:rowOff>
    </xdr:to>
    <xdr:pic>
      <xdr:nvPicPr>
        <xdr:cNvPr id="240094" name="Grafik 1">
          <a:extLst>
            <a:ext uri="{FF2B5EF4-FFF2-40B4-BE49-F238E27FC236}">
              <a16:creationId xmlns:a16="http://schemas.microsoft.com/office/drawing/2014/main" id="{00000000-0008-0000-2200-0000DEA903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23536275" y="31784925"/>
          <a:ext cx="3800475" cy="2733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247650</xdr:colOff>
      <xdr:row>369</xdr:row>
      <xdr:rowOff>47625</xdr:rowOff>
    </xdr:from>
    <xdr:to>
      <xdr:col>7</xdr:col>
      <xdr:colOff>571500</xdr:colOff>
      <xdr:row>383</xdr:row>
      <xdr:rowOff>123825</xdr:rowOff>
    </xdr:to>
    <xdr:pic>
      <xdr:nvPicPr>
        <xdr:cNvPr id="240095" name="Grafik 1">
          <a:extLst>
            <a:ext uri="{FF2B5EF4-FFF2-40B4-BE49-F238E27FC236}">
              <a16:creationId xmlns:a16="http://schemas.microsoft.com/office/drawing/2014/main" id="{00000000-0008-0000-2200-0000DFA90300}"/>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Lst>
        </a:blip>
        <a:srcRect b="13062"/>
        <a:stretch>
          <a:fillRect/>
        </a:stretch>
      </xdr:blipFill>
      <xdr:spPr bwMode="auto">
        <a:xfrm>
          <a:off x="22783800" y="62826900"/>
          <a:ext cx="2695575" cy="234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152400</xdr:colOff>
      <xdr:row>369</xdr:row>
      <xdr:rowOff>57150</xdr:rowOff>
    </xdr:from>
    <xdr:to>
      <xdr:col>11</xdr:col>
      <xdr:colOff>552450</xdr:colOff>
      <xdr:row>385</xdr:row>
      <xdr:rowOff>66675</xdr:rowOff>
    </xdr:to>
    <xdr:pic>
      <xdr:nvPicPr>
        <xdr:cNvPr id="240096" name="Grafik 2">
          <a:extLst>
            <a:ext uri="{FF2B5EF4-FFF2-40B4-BE49-F238E27FC236}">
              <a16:creationId xmlns:a16="http://schemas.microsoft.com/office/drawing/2014/main" id="{00000000-0008-0000-2200-0000E0A903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25822275" y="62836425"/>
          <a:ext cx="2771775" cy="2657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549089</xdr:colOff>
      <xdr:row>378</xdr:row>
      <xdr:rowOff>134469</xdr:rowOff>
    </xdr:from>
    <xdr:to>
      <xdr:col>10</xdr:col>
      <xdr:colOff>313765</xdr:colOff>
      <xdr:row>383</xdr:row>
      <xdr:rowOff>112058</xdr:rowOff>
    </xdr:to>
    <xdr:sp macro="" textlink="">
      <xdr:nvSpPr>
        <xdr:cNvPr id="4" name="Textfeld 3">
          <a:extLst>
            <a:ext uri="{FF2B5EF4-FFF2-40B4-BE49-F238E27FC236}">
              <a16:creationId xmlns:a16="http://schemas.microsoft.com/office/drawing/2014/main" id="{00000000-0008-0000-2200-000004000000}"/>
            </a:ext>
          </a:extLst>
        </xdr:cNvPr>
        <xdr:cNvSpPr txBox="1"/>
      </xdr:nvSpPr>
      <xdr:spPr>
        <a:xfrm>
          <a:off x="5199530" y="63414087"/>
          <a:ext cx="1288676"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b="1"/>
            <a:t>U-Form</a:t>
          </a:r>
        </a:p>
      </xdr:txBody>
    </xdr:sp>
    <xdr:clientData/>
  </xdr:twoCellAnchor>
  <xdr:twoCellAnchor>
    <xdr:from>
      <xdr:col>4</xdr:col>
      <xdr:colOff>246529</xdr:colOff>
      <xdr:row>378</xdr:row>
      <xdr:rowOff>134470</xdr:rowOff>
    </xdr:from>
    <xdr:to>
      <xdr:col>5</xdr:col>
      <xdr:colOff>683558</xdr:colOff>
      <xdr:row>383</xdr:row>
      <xdr:rowOff>112059</xdr:rowOff>
    </xdr:to>
    <xdr:sp macro="" textlink="">
      <xdr:nvSpPr>
        <xdr:cNvPr id="50" name="Textfeld 49">
          <a:extLst>
            <a:ext uri="{FF2B5EF4-FFF2-40B4-BE49-F238E27FC236}">
              <a16:creationId xmlns:a16="http://schemas.microsoft.com/office/drawing/2014/main" id="{00000000-0008-0000-2200-000032000000}"/>
            </a:ext>
          </a:extLst>
        </xdr:cNvPr>
        <xdr:cNvSpPr txBox="1"/>
      </xdr:nvSpPr>
      <xdr:spPr>
        <a:xfrm>
          <a:off x="1759323" y="63414088"/>
          <a:ext cx="1288676"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b="1"/>
            <a:t>Standard</a:t>
          </a:r>
        </a:p>
      </xdr:txBody>
    </xdr:sp>
    <xdr:clientData/>
  </xdr:twoCellAnchor>
  <xdr:twoCellAnchor>
    <xdr:from>
      <xdr:col>8</xdr:col>
      <xdr:colOff>56030</xdr:colOff>
      <xdr:row>369</xdr:row>
      <xdr:rowOff>89648</xdr:rowOff>
    </xdr:from>
    <xdr:to>
      <xdr:col>8</xdr:col>
      <xdr:colOff>56030</xdr:colOff>
      <xdr:row>385</xdr:row>
      <xdr:rowOff>78441</xdr:rowOff>
    </xdr:to>
    <xdr:cxnSp macro="">
      <xdr:nvCxnSpPr>
        <xdr:cNvPr id="6" name="Gerader Verbinder 5">
          <a:extLst>
            <a:ext uri="{FF2B5EF4-FFF2-40B4-BE49-F238E27FC236}">
              <a16:creationId xmlns:a16="http://schemas.microsoft.com/office/drawing/2014/main" id="{00000000-0008-0000-2200-000006000000}"/>
            </a:ext>
          </a:extLst>
        </xdr:cNvPr>
        <xdr:cNvCxnSpPr/>
      </xdr:nvCxnSpPr>
      <xdr:spPr>
        <a:xfrm>
          <a:off x="4706471" y="61957324"/>
          <a:ext cx="0" cy="252132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257175</xdr:colOff>
      <xdr:row>369</xdr:row>
      <xdr:rowOff>47625</xdr:rowOff>
    </xdr:from>
    <xdr:to>
      <xdr:col>15</xdr:col>
      <xdr:colOff>581025</xdr:colOff>
      <xdr:row>383</xdr:row>
      <xdr:rowOff>123825</xdr:rowOff>
    </xdr:to>
    <xdr:pic>
      <xdr:nvPicPr>
        <xdr:cNvPr id="240100" name="Grafik 52">
          <a:extLst>
            <a:ext uri="{FF2B5EF4-FFF2-40B4-BE49-F238E27FC236}">
              <a16:creationId xmlns:a16="http://schemas.microsoft.com/office/drawing/2014/main" id="{00000000-0008-0000-2200-0000E4A90300}"/>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Lst>
        </a:blip>
        <a:srcRect b="13062"/>
        <a:stretch>
          <a:fillRect/>
        </a:stretch>
      </xdr:blipFill>
      <xdr:spPr bwMode="auto">
        <a:xfrm>
          <a:off x="28975050" y="62826900"/>
          <a:ext cx="2695575" cy="234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161925</xdr:colOff>
      <xdr:row>369</xdr:row>
      <xdr:rowOff>57150</xdr:rowOff>
    </xdr:from>
    <xdr:to>
      <xdr:col>19</xdr:col>
      <xdr:colOff>514350</xdr:colOff>
      <xdr:row>385</xdr:row>
      <xdr:rowOff>76200</xdr:rowOff>
    </xdr:to>
    <xdr:pic>
      <xdr:nvPicPr>
        <xdr:cNvPr id="240101" name="Grafik 53">
          <a:extLst>
            <a:ext uri="{FF2B5EF4-FFF2-40B4-BE49-F238E27FC236}">
              <a16:creationId xmlns:a16="http://schemas.microsoft.com/office/drawing/2014/main" id="{00000000-0008-0000-2200-0000E5A903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32013525" y="62836425"/>
          <a:ext cx="2771775" cy="2667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555811</xdr:colOff>
      <xdr:row>378</xdr:row>
      <xdr:rowOff>141192</xdr:rowOff>
    </xdr:from>
    <xdr:to>
      <xdr:col>18</xdr:col>
      <xdr:colOff>320487</xdr:colOff>
      <xdr:row>383</xdr:row>
      <xdr:rowOff>118781</xdr:rowOff>
    </xdr:to>
    <xdr:sp macro="" textlink="">
      <xdr:nvSpPr>
        <xdr:cNvPr id="55" name="Textfeld 54">
          <a:extLst>
            <a:ext uri="{FF2B5EF4-FFF2-40B4-BE49-F238E27FC236}">
              <a16:creationId xmlns:a16="http://schemas.microsoft.com/office/drawing/2014/main" id="{00000000-0008-0000-2200-000037000000}"/>
            </a:ext>
          </a:extLst>
        </xdr:cNvPr>
        <xdr:cNvSpPr txBox="1"/>
      </xdr:nvSpPr>
      <xdr:spPr>
        <a:xfrm>
          <a:off x="11391899" y="63420810"/>
          <a:ext cx="1288676"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b="1"/>
            <a:t>U-Form</a:t>
          </a:r>
        </a:p>
      </xdr:txBody>
    </xdr:sp>
    <xdr:clientData/>
  </xdr:twoCellAnchor>
  <xdr:twoCellAnchor>
    <xdr:from>
      <xdr:col>12</xdr:col>
      <xdr:colOff>253251</xdr:colOff>
      <xdr:row>378</xdr:row>
      <xdr:rowOff>141193</xdr:rowOff>
    </xdr:from>
    <xdr:to>
      <xdr:col>13</xdr:col>
      <xdr:colOff>690280</xdr:colOff>
      <xdr:row>383</xdr:row>
      <xdr:rowOff>118782</xdr:rowOff>
    </xdr:to>
    <xdr:sp macro="" textlink="">
      <xdr:nvSpPr>
        <xdr:cNvPr id="56" name="Textfeld 55">
          <a:extLst>
            <a:ext uri="{FF2B5EF4-FFF2-40B4-BE49-F238E27FC236}">
              <a16:creationId xmlns:a16="http://schemas.microsoft.com/office/drawing/2014/main" id="{00000000-0008-0000-2200-000038000000}"/>
            </a:ext>
          </a:extLst>
        </xdr:cNvPr>
        <xdr:cNvSpPr txBox="1"/>
      </xdr:nvSpPr>
      <xdr:spPr>
        <a:xfrm>
          <a:off x="7951692" y="63420811"/>
          <a:ext cx="1288676"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b="1"/>
            <a:t>Standard</a:t>
          </a:r>
        </a:p>
      </xdr:txBody>
    </xdr:sp>
    <xdr:clientData/>
  </xdr:twoCellAnchor>
  <xdr:twoCellAnchor>
    <xdr:from>
      <xdr:col>16</xdr:col>
      <xdr:colOff>62752</xdr:colOff>
      <xdr:row>369</xdr:row>
      <xdr:rowOff>96371</xdr:rowOff>
    </xdr:from>
    <xdr:to>
      <xdr:col>16</xdr:col>
      <xdr:colOff>62752</xdr:colOff>
      <xdr:row>385</xdr:row>
      <xdr:rowOff>85164</xdr:rowOff>
    </xdr:to>
    <xdr:cxnSp macro="">
      <xdr:nvCxnSpPr>
        <xdr:cNvPr id="57" name="Gerader Verbinder 56">
          <a:extLst>
            <a:ext uri="{FF2B5EF4-FFF2-40B4-BE49-F238E27FC236}">
              <a16:creationId xmlns:a16="http://schemas.microsoft.com/office/drawing/2014/main" id="{00000000-0008-0000-2200-000039000000}"/>
            </a:ext>
          </a:extLst>
        </xdr:cNvPr>
        <xdr:cNvCxnSpPr/>
      </xdr:nvCxnSpPr>
      <xdr:spPr>
        <a:xfrm>
          <a:off x="10898840" y="61964047"/>
          <a:ext cx="0" cy="252132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257175</xdr:colOff>
      <xdr:row>394</xdr:row>
      <xdr:rowOff>19050</xdr:rowOff>
    </xdr:from>
    <xdr:to>
      <xdr:col>7</xdr:col>
      <xdr:colOff>581025</xdr:colOff>
      <xdr:row>408</xdr:row>
      <xdr:rowOff>95250</xdr:rowOff>
    </xdr:to>
    <xdr:pic>
      <xdr:nvPicPr>
        <xdr:cNvPr id="240105" name="Grafik 57">
          <a:extLst>
            <a:ext uri="{FF2B5EF4-FFF2-40B4-BE49-F238E27FC236}">
              <a16:creationId xmlns:a16="http://schemas.microsoft.com/office/drawing/2014/main" id="{00000000-0008-0000-2200-0000E9A90300}"/>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Lst>
        </a:blip>
        <a:srcRect b="13062"/>
        <a:stretch>
          <a:fillRect/>
        </a:stretch>
      </xdr:blipFill>
      <xdr:spPr bwMode="auto">
        <a:xfrm>
          <a:off x="22793325" y="67265550"/>
          <a:ext cx="2695575" cy="234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171450</xdr:colOff>
      <xdr:row>394</xdr:row>
      <xdr:rowOff>28575</xdr:rowOff>
    </xdr:from>
    <xdr:to>
      <xdr:col>11</xdr:col>
      <xdr:colOff>561975</xdr:colOff>
      <xdr:row>410</xdr:row>
      <xdr:rowOff>47625</xdr:rowOff>
    </xdr:to>
    <xdr:pic>
      <xdr:nvPicPr>
        <xdr:cNvPr id="240106" name="Grafik 58">
          <a:extLst>
            <a:ext uri="{FF2B5EF4-FFF2-40B4-BE49-F238E27FC236}">
              <a16:creationId xmlns:a16="http://schemas.microsoft.com/office/drawing/2014/main" id="{00000000-0008-0000-2200-0000EAA903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25841325" y="67275075"/>
          <a:ext cx="2762250" cy="2667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560294</xdr:colOff>
      <xdr:row>403</xdr:row>
      <xdr:rowOff>112057</xdr:rowOff>
    </xdr:from>
    <xdr:to>
      <xdr:col>10</xdr:col>
      <xdr:colOff>324970</xdr:colOff>
      <xdr:row>408</xdr:row>
      <xdr:rowOff>89645</xdr:rowOff>
    </xdr:to>
    <xdr:sp macro="" textlink="">
      <xdr:nvSpPr>
        <xdr:cNvPr id="60" name="Textfeld 59">
          <a:extLst>
            <a:ext uri="{FF2B5EF4-FFF2-40B4-BE49-F238E27FC236}">
              <a16:creationId xmlns:a16="http://schemas.microsoft.com/office/drawing/2014/main" id="{00000000-0008-0000-2200-00003C000000}"/>
            </a:ext>
          </a:extLst>
        </xdr:cNvPr>
        <xdr:cNvSpPr txBox="1"/>
      </xdr:nvSpPr>
      <xdr:spPr>
        <a:xfrm>
          <a:off x="5210735" y="67739557"/>
          <a:ext cx="1288676"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b="1"/>
            <a:t>U-Form</a:t>
          </a:r>
        </a:p>
      </xdr:txBody>
    </xdr:sp>
    <xdr:clientData/>
  </xdr:twoCellAnchor>
  <xdr:twoCellAnchor>
    <xdr:from>
      <xdr:col>4</xdr:col>
      <xdr:colOff>257734</xdr:colOff>
      <xdr:row>403</xdr:row>
      <xdr:rowOff>112058</xdr:rowOff>
    </xdr:from>
    <xdr:to>
      <xdr:col>5</xdr:col>
      <xdr:colOff>694763</xdr:colOff>
      <xdr:row>408</xdr:row>
      <xdr:rowOff>89646</xdr:rowOff>
    </xdr:to>
    <xdr:sp macro="" textlink="">
      <xdr:nvSpPr>
        <xdr:cNvPr id="61" name="Textfeld 60">
          <a:extLst>
            <a:ext uri="{FF2B5EF4-FFF2-40B4-BE49-F238E27FC236}">
              <a16:creationId xmlns:a16="http://schemas.microsoft.com/office/drawing/2014/main" id="{00000000-0008-0000-2200-00003D000000}"/>
            </a:ext>
          </a:extLst>
        </xdr:cNvPr>
        <xdr:cNvSpPr txBox="1"/>
      </xdr:nvSpPr>
      <xdr:spPr>
        <a:xfrm>
          <a:off x="1770528" y="67739558"/>
          <a:ext cx="1288676"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b="1"/>
            <a:t>Standard</a:t>
          </a:r>
        </a:p>
      </xdr:txBody>
    </xdr:sp>
    <xdr:clientData/>
  </xdr:twoCellAnchor>
  <xdr:twoCellAnchor>
    <xdr:from>
      <xdr:col>8</xdr:col>
      <xdr:colOff>67235</xdr:colOff>
      <xdr:row>394</xdr:row>
      <xdr:rowOff>67235</xdr:rowOff>
    </xdr:from>
    <xdr:to>
      <xdr:col>8</xdr:col>
      <xdr:colOff>67235</xdr:colOff>
      <xdr:row>410</xdr:row>
      <xdr:rowOff>56029</xdr:rowOff>
    </xdr:to>
    <xdr:cxnSp macro="">
      <xdr:nvCxnSpPr>
        <xdr:cNvPr id="62" name="Gerader Verbinder 61">
          <a:extLst>
            <a:ext uri="{FF2B5EF4-FFF2-40B4-BE49-F238E27FC236}">
              <a16:creationId xmlns:a16="http://schemas.microsoft.com/office/drawing/2014/main" id="{00000000-0008-0000-2200-00003E000000}"/>
            </a:ext>
          </a:extLst>
        </xdr:cNvPr>
        <xdr:cNvCxnSpPr/>
      </xdr:nvCxnSpPr>
      <xdr:spPr>
        <a:xfrm>
          <a:off x="4717676" y="66282794"/>
          <a:ext cx="0" cy="252132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257175</xdr:colOff>
      <xdr:row>394</xdr:row>
      <xdr:rowOff>38100</xdr:rowOff>
    </xdr:from>
    <xdr:to>
      <xdr:col>15</xdr:col>
      <xdr:colOff>581025</xdr:colOff>
      <xdr:row>408</xdr:row>
      <xdr:rowOff>114300</xdr:rowOff>
    </xdr:to>
    <xdr:pic>
      <xdr:nvPicPr>
        <xdr:cNvPr id="240110" name="Grafik 62">
          <a:extLst>
            <a:ext uri="{FF2B5EF4-FFF2-40B4-BE49-F238E27FC236}">
              <a16:creationId xmlns:a16="http://schemas.microsoft.com/office/drawing/2014/main" id="{00000000-0008-0000-2200-0000EEA90300}"/>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Lst>
        </a:blip>
        <a:srcRect t="5" b="12743"/>
        <a:stretch>
          <a:fillRect/>
        </a:stretch>
      </xdr:blipFill>
      <xdr:spPr bwMode="auto">
        <a:xfrm>
          <a:off x="28975050" y="67284600"/>
          <a:ext cx="2695575" cy="234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171450</xdr:colOff>
      <xdr:row>394</xdr:row>
      <xdr:rowOff>38100</xdr:rowOff>
    </xdr:from>
    <xdr:to>
      <xdr:col>19</xdr:col>
      <xdr:colOff>514350</xdr:colOff>
      <xdr:row>410</xdr:row>
      <xdr:rowOff>57150</xdr:rowOff>
    </xdr:to>
    <xdr:pic>
      <xdr:nvPicPr>
        <xdr:cNvPr id="240111" name="Grafik 63">
          <a:extLst>
            <a:ext uri="{FF2B5EF4-FFF2-40B4-BE49-F238E27FC236}">
              <a16:creationId xmlns:a16="http://schemas.microsoft.com/office/drawing/2014/main" id="{00000000-0008-0000-2200-0000EFA903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32023050" y="67284600"/>
          <a:ext cx="2762250" cy="2667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560297</xdr:colOff>
      <xdr:row>403</xdr:row>
      <xdr:rowOff>123264</xdr:rowOff>
    </xdr:from>
    <xdr:to>
      <xdr:col>18</xdr:col>
      <xdr:colOff>324973</xdr:colOff>
      <xdr:row>408</xdr:row>
      <xdr:rowOff>100852</xdr:rowOff>
    </xdr:to>
    <xdr:sp macro="" textlink="">
      <xdr:nvSpPr>
        <xdr:cNvPr id="65" name="Textfeld 64">
          <a:extLst>
            <a:ext uri="{FF2B5EF4-FFF2-40B4-BE49-F238E27FC236}">
              <a16:creationId xmlns:a16="http://schemas.microsoft.com/office/drawing/2014/main" id="{00000000-0008-0000-2200-000041000000}"/>
            </a:ext>
          </a:extLst>
        </xdr:cNvPr>
        <xdr:cNvSpPr txBox="1"/>
      </xdr:nvSpPr>
      <xdr:spPr>
        <a:xfrm>
          <a:off x="11396385" y="67750764"/>
          <a:ext cx="1288676"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b="1"/>
            <a:t>U-Form</a:t>
          </a:r>
        </a:p>
      </xdr:txBody>
    </xdr:sp>
    <xdr:clientData/>
  </xdr:twoCellAnchor>
  <xdr:twoCellAnchor>
    <xdr:from>
      <xdr:col>12</xdr:col>
      <xdr:colOff>257737</xdr:colOff>
      <xdr:row>403</xdr:row>
      <xdr:rowOff>123265</xdr:rowOff>
    </xdr:from>
    <xdr:to>
      <xdr:col>13</xdr:col>
      <xdr:colOff>694766</xdr:colOff>
      <xdr:row>408</xdr:row>
      <xdr:rowOff>100853</xdr:rowOff>
    </xdr:to>
    <xdr:sp macro="" textlink="">
      <xdr:nvSpPr>
        <xdr:cNvPr id="66" name="Textfeld 65">
          <a:extLst>
            <a:ext uri="{FF2B5EF4-FFF2-40B4-BE49-F238E27FC236}">
              <a16:creationId xmlns:a16="http://schemas.microsoft.com/office/drawing/2014/main" id="{00000000-0008-0000-2200-000042000000}"/>
            </a:ext>
          </a:extLst>
        </xdr:cNvPr>
        <xdr:cNvSpPr txBox="1"/>
      </xdr:nvSpPr>
      <xdr:spPr>
        <a:xfrm>
          <a:off x="7956178" y="67750765"/>
          <a:ext cx="1288676"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b="1"/>
            <a:t>Standard</a:t>
          </a:r>
        </a:p>
      </xdr:txBody>
    </xdr:sp>
    <xdr:clientData/>
  </xdr:twoCellAnchor>
  <xdr:twoCellAnchor>
    <xdr:from>
      <xdr:col>16</xdr:col>
      <xdr:colOff>67238</xdr:colOff>
      <xdr:row>394</xdr:row>
      <xdr:rowOff>78442</xdr:rowOff>
    </xdr:from>
    <xdr:to>
      <xdr:col>16</xdr:col>
      <xdr:colOff>67238</xdr:colOff>
      <xdr:row>410</xdr:row>
      <xdr:rowOff>67236</xdr:rowOff>
    </xdr:to>
    <xdr:cxnSp macro="">
      <xdr:nvCxnSpPr>
        <xdr:cNvPr id="67" name="Gerader Verbinder 66">
          <a:extLst>
            <a:ext uri="{FF2B5EF4-FFF2-40B4-BE49-F238E27FC236}">
              <a16:creationId xmlns:a16="http://schemas.microsoft.com/office/drawing/2014/main" id="{00000000-0008-0000-2200-000043000000}"/>
            </a:ext>
          </a:extLst>
        </xdr:cNvPr>
        <xdr:cNvCxnSpPr/>
      </xdr:nvCxnSpPr>
      <xdr:spPr>
        <a:xfrm>
          <a:off x="10903326" y="66294001"/>
          <a:ext cx="0" cy="252132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247650</xdr:colOff>
      <xdr:row>419</xdr:row>
      <xdr:rowOff>38100</xdr:rowOff>
    </xdr:from>
    <xdr:to>
      <xdr:col>7</xdr:col>
      <xdr:colOff>571500</xdr:colOff>
      <xdr:row>433</xdr:row>
      <xdr:rowOff>114300</xdr:rowOff>
    </xdr:to>
    <xdr:pic>
      <xdr:nvPicPr>
        <xdr:cNvPr id="240115" name="Grafik 67">
          <a:extLst>
            <a:ext uri="{FF2B5EF4-FFF2-40B4-BE49-F238E27FC236}">
              <a16:creationId xmlns:a16="http://schemas.microsoft.com/office/drawing/2014/main" id="{00000000-0008-0000-2200-0000F3A90300}"/>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Lst>
        </a:blip>
        <a:srcRect t="5" b="12743"/>
        <a:stretch>
          <a:fillRect/>
        </a:stretch>
      </xdr:blipFill>
      <xdr:spPr bwMode="auto">
        <a:xfrm>
          <a:off x="22783800" y="71770875"/>
          <a:ext cx="2695575" cy="234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152400</xdr:colOff>
      <xdr:row>419</xdr:row>
      <xdr:rowOff>38100</xdr:rowOff>
    </xdr:from>
    <xdr:to>
      <xdr:col>11</xdr:col>
      <xdr:colOff>552450</xdr:colOff>
      <xdr:row>435</xdr:row>
      <xdr:rowOff>57150</xdr:rowOff>
    </xdr:to>
    <xdr:pic>
      <xdr:nvPicPr>
        <xdr:cNvPr id="240116" name="Grafik 68">
          <a:extLst>
            <a:ext uri="{FF2B5EF4-FFF2-40B4-BE49-F238E27FC236}">
              <a16:creationId xmlns:a16="http://schemas.microsoft.com/office/drawing/2014/main" id="{00000000-0008-0000-2200-0000F4A903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25822275" y="71770875"/>
          <a:ext cx="2771775" cy="2667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549089</xdr:colOff>
      <xdr:row>428</xdr:row>
      <xdr:rowOff>123263</xdr:rowOff>
    </xdr:from>
    <xdr:to>
      <xdr:col>10</xdr:col>
      <xdr:colOff>313765</xdr:colOff>
      <xdr:row>433</xdr:row>
      <xdr:rowOff>100851</xdr:rowOff>
    </xdr:to>
    <xdr:sp macro="" textlink="">
      <xdr:nvSpPr>
        <xdr:cNvPr id="70" name="Textfeld 69">
          <a:extLst>
            <a:ext uri="{FF2B5EF4-FFF2-40B4-BE49-F238E27FC236}">
              <a16:creationId xmlns:a16="http://schemas.microsoft.com/office/drawing/2014/main" id="{00000000-0008-0000-2200-000046000000}"/>
            </a:ext>
          </a:extLst>
        </xdr:cNvPr>
        <xdr:cNvSpPr txBox="1"/>
      </xdr:nvSpPr>
      <xdr:spPr>
        <a:xfrm>
          <a:off x="5199530" y="72121057"/>
          <a:ext cx="1288676"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b="1"/>
            <a:t>U-Form</a:t>
          </a:r>
        </a:p>
      </xdr:txBody>
    </xdr:sp>
    <xdr:clientData/>
  </xdr:twoCellAnchor>
  <xdr:twoCellAnchor>
    <xdr:from>
      <xdr:col>4</xdr:col>
      <xdr:colOff>246529</xdr:colOff>
      <xdr:row>428</xdr:row>
      <xdr:rowOff>123264</xdr:rowOff>
    </xdr:from>
    <xdr:to>
      <xdr:col>5</xdr:col>
      <xdr:colOff>683558</xdr:colOff>
      <xdr:row>433</xdr:row>
      <xdr:rowOff>100852</xdr:rowOff>
    </xdr:to>
    <xdr:sp macro="" textlink="">
      <xdr:nvSpPr>
        <xdr:cNvPr id="71" name="Textfeld 70">
          <a:extLst>
            <a:ext uri="{FF2B5EF4-FFF2-40B4-BE49-F238E27FC236}">
              <a16:creationId xmlns:a16="http://schemas.microsoft.com/office/drawing/2014/main" id="{00000000-0008-0000-2200-000047000000}"/>
            </a:ext>
          </a:extLst>
        </xdr:cNvPr>
        <xdr:cNvSpPr txBox="1"/>
      </xdr:nvSpPr>
      <xdr:spPr>
        <a:xfrm>
          <a:off x="1759323" y="72121058"/>
          <a:ext cx="1288676"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b="1"/>
            <a:t>Standard</a:t>
          </a:r>
        </a:p>
      </xdr:txBody>
    </xdr:sp>
    <xdr:clientData/>
  </xdr:twoCellAnchor>
  <xdr:twoCellAnchor>
    <xdr:from>
      <xdr:col>8</xdr:col>
      <xdr:colOff>56030</xdr:colOff>
      <xdr:row>419</xdr:row>
      <xdr:rowOff>78441</xdr:rowOff>
    </xdr:from>
    <xdr:to>
      <xdr:col>8</xdr:col>
      <xdr:colOff>56030</xdr:colOff>
      <xdr:row>435</xdr:row>
      <xdr:rowOff>67235</xdr:rowOff>
    </xdr:to>
    <xdr:cxnSp macro="">
      <xdr:nvCxnSpPr>
        <xdr:cNvPr id="72" name="Gerader Verbinder 71">
          <a:extLst>
            <a:ext uri="{FF2B5EF4-FFF2-40B4-BE49-F238E27FC236}">
              <a16:creationId xmlns:a16="http://schemas.microsoft.com/office/drawing/2014/main" id="{00000000-0008-0000-2200-000048000000}"/>
            </a:ext>
          </a:extLst>
        </xdr:cNvPr>
        <xdr:cNvCxnSpPr/>
      </xdr:nvCxnSpPr>
      <xdr:spPr>
        <a:xfrm>
          <a:off x="4706471" y="70664294"/>
          <a:ext cx="0" cy="252132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266700</xdr:colOff>
      <xdr:row>419</xdr:row>
      <xdr:rowOff>38100</xdr:rowOff>
    </xdr:from>
    <xdr:to>
      <xdr:col>15</xdr:col>
      <xdr:colOff>590550</xdr:colOff>
      <xdr:row>433</xdr:row>
      <xdr:rowOff>114300</xdr:rowOff>
    </xdr:to>
    <xdr:pic>
      <xdr:nvPicPr>
        <xdr:cNvPr id="240120" name="Grafik 72">
          <a:extLst>
            <a:ext uri="{FF2B5EF4-FFF2-40B4-BE49-F238E27FC236}">
              <a16:creationId xmlns:a16="http://schemas.microsoft.com/office/drawing/2014/main" id="{00000000-0008-0000-2200-0000F8A90300}"/>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Lst>
        </a:blip>
        <a:srcRect t="5" b="12743"/>
        <a:stretch>
          <a:fillRect/>
        </a:stretch>
      </xdr:blipFill>
      <xdr:spPr bwMode="auto">
        <a:xfrm>
          <a:off x="28984575" y="71770875"/>
          <a:ext cx="2695575" cy="234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180975</xdr:colOff>
      <xdr:row>419</xdr:row>
      <xdr:rowOff>38100</xdr:rowOff>
    </xdr:from>
    <xdr:to>
      <xdr:col>19</xdr:col>
      <xdr:colOff>523875</xdr:colOff>
      <xdr:row>435</xdr:row>
      <xdr:rowOff>57150</xdr:rowOff>
    </xdr:to>
    <xdr:pic>
      <xdr:nvPicPr>
        <xdr:cNvPr id="240121" name="Grafik 73">
          <a:extLst>
            <a:ext uri="{FF2B5EF4-FFF2-40B4-BE49-F238E27FC236}">
              <a16:creationId xmlns:a16="http://schemas.microsoft.com/office/drawing/2014/main" id="{00000000-0008-0000-2200-0000F9A903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32032575" y="71770875"/>
          <a:ext cx="2762250" cy="2667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571501</xdr:colOff>
      <xdr:row>428</xdr:row>
      <xdr:rowOff>123264</xdr:rowOff>
    </xdr:from>
    <xdr:to>
      <xdr:col>18</xdr:col>
      <xdr:colOff>336177</xdr:colOff>
      <xdr:row>433</xdr:row>
      <xdr:rowOff>100852</xdr:rowOff>
    </xdr:to>
    <xdr:sp macro="" textlink="">
      <xdr:nvSpPr>
        <xdr:cNvPr id="75" name="Textfeld 74">
          <a:extLst>
            <a:ext uri="{FF2B5EF4-FFF2-40B4-BE49-F238E27FC236}">
              <a16:creationId xmlns:a16="http://schemas.microsoft.com/office/drawing/2014/main" id="{00000000-0008-0000-2200-00004B000000}"/>
            </a:ext>
          </a:extLst>
        </xdr:cNvPr>
        <xdr:cNvSpPr txBox="1"/>
      </xdr:nvSpPr>
      <xdr:spPr>
        <a:xfrm>
          <a:off x="11407589" y="72121058"/>
          <a:ext cx="1288676"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b="1"/>
            <a:t>U-Form</a:t>
          </a:r>
        </a:p>
      </xdr:txBody>
    </xdr:sp>
    <xdr:clientData/>
  </xdr:twoCellAnchor>
  <xdr:twoCellAnchor>
    <xdr:from>
      <xdr:col>12</xdr:col>
      <xdr:colOff>268941</xdr:colOff>
      <xdr:row>428</xdr:row>
      <xdr:rowOff>123265</xdr:rowOff>
    </xdr:from>
    <xdr:to>
      <xdr:col>13</xdr:col>
      <xdr:colOff>705970</xdr:colOff>
      <xdr:row>433</xdr:row>
      <xdr:rowOff>100853</xdr:rowOff>
    </xdr:to>
    <xdr:sp macro="" textlink="">
      <xdr:nvSpPr>
        <xdr:cNvPr id="76" name="Textfeld 75">
          <a:extLst>
            <a:ext uri="{FF2B5EF4-FFF2-40B4-BE49-F238E27FC236}">
              <a16:creationId xmlns:a16="http://schemas.microsoft.com/office/drawing/2014/main" id="{00000000-0008-0000-2200-00004C000000}"/>
            </a:ext>
          </a:extLst>
        </xdr:cNvPr>
        <xdr:cNvSpPr txBox="1"/>
      </xdr:nvSpPr>
      <xdr:spPr>
        <a:xfrm>
          <a:off x="7967382" y="72121059"/>
          <a:ext cx="1288676"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b="1"/>
            <a:t>Standard</a:t>
          </a:r>
        </a:p>
      </xdr:txBody>
    </xdr:sp>
    <xdr:clientData/>
  </xdr:twoCellAnchor>
  <xdr:twoCellAnchor>
    <xdr:from>
      <xdr:col>16</xdr:col>
      <xdr:colOff>78442</xdr:colOff>
      <xdr:row>419</xdr:row>
      <xdr:rowOff>78442</xdr:rowOff>
    </xdr:from>
    <xdr:to>
      <xdr:col>16</xdr:col>
      <xdr:colOff>78442</xdr:colOff>
      <xdr:row>435</xdr:row>
      <xdr:rowOff>67236</xdr:rowOff>
    </xdr:to>
    <xdr:cxnSp macro="">
      <xdr:nvCxnSpPr>
        <xdr:cNvPr id="77" name="Gerader Verbinder 76">
          <a:extLst>
            <a:ext uri="{FF2B5EF4-FFF2-40B4-BE49-F238E27FC236}">
              <a16:creationId xmlns:a16="http://schemas.microsoft.com/office/drawing/2014/main" id="{00000000-0008-0000-2200-00004D000000}"/>
            </a:ext>
          </a:extLst>
        </xdr:cNvPr>
        <xdr:cNvCxnSpPr/>
      </xdr:nvCxnSpPr>
      <xdr:spPr>
        <a:xfrm>
          <a:off x="10914530" y="70664295"/>
          <a:ext cx="0" cy="252132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704850</xdr:colOff>
      <xdr:row>244</xdr:row>
      <xdr:rowOff>66675</xdr:rowOff>
    </xdr:from>
    <xdr:to>
      <xdr:col>18</xdr:col>
      <xdr:colOff>847725</xdr:colOff>
      <xdr:row>260</xdr:row>
      <xdr:rowOff>123825</xdr:rowOff>
    </xdr:to>
    <xdr:pic>
      <xdr:nvPicPr>
        <xdr:cNvPr id="240125" name="Grafik 9">
          <a:extLst>
            <a:ext uri="{FF2B5EF4-FFF2-40B4-BE49-F238E27FC236}">
              <a16:creationId xmlns:a16="http://schemas.microsoft.com/office/drawing/2014/main" id="{00000000-0008-0000-2200-0000FDA903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29422725" y="40700325"/>
          <a:ext cx="4800600" cy="2667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228600</xdr:colOff>
      <xdr:row>341</xdr:row>
      <xdr:rowOff>161925</xdr:rowOff>
    </xdr:from>
    <xdr:to>
      <xdr:col>17</xdr:col>
      <xdr:colOff>466725</xdr:colOff>
      <xdr:row>360</xdr:row>
      <xdr:rowOff>123825</xdr:rowOff>
    </xdr:to>
    <xdr:pic>
      <xdr:nvPicPr>
        <xdr:cNvPr id="240126" name="Grafik 77">
          <a:extLst>
            <a:ext uri="{FF2B5EF4-FFF2-40B4-BE49-F238E27FC236}">
              <a16:creationId xmlns:a16="http://schemas.microsoft.com/office/drawing/2014/main" id="{00000000-0008-0000-2200-0000FEA903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10493188" y="57042984"/>
          <a:ext cx="2524125" cy="30435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555809</xdr:colOff>
      <xdr:row>594</xdr:row>
      <xdr:rowOff>100853</xdr:rowOff>
    </xdr:from>
    <xdr:to>
      <xdr:col>19</xdr:col>
      <xdr:colOff>154622</xdr:colOff>
      <xdr:row>610</xdr:row>
      <xdr:rowOff>67795</xdr:rowOff>
    </xdr:to>
    <xdr:pic>
      <xdr:nvPicPr>
        <xdr:cNvPr id="240127" name="Grafik 3">
          <a:extLst>
            <a:ext uri="{FF2B5EF4-FFF2-40B4-BE49-F238E27FC236}">
              <a16:creationId xmlns:a16="http://schemas.microsoft.com/office/drawing/2014/main" id="{00000000-0008-0000-2200-0000FFA90300}"/>
            </a:ext>
          </a:extLst>
        </xdr:cNvPr>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val="0"/>
            </a:ext>
          </a:extLst>
        </a:blip>
        <a:srcRect/>
        <a:stretch>
          <a:fillRect/>
        </a:stretch>
      </xdr:blipFill>
      <xdr:spPr bwMode="auto">
        <a:xfrm>
          <a:off x="29287691" y="96818824"/>
          <a:ext cx="5155810" cy="24770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549083</xdr:colOff>
      <xdr:row>494</xdr:row>
      <xdr:rowOff>39784</xdr:rowOff>
    </xdr:from>
    <xdr:to>
      <xdr:col>10</xdr:col>
      <xdr:colOff>749108</xdr:colOff>
      <xdr:row>510</xdr:row>
      <xdr:rowOff>131672</xdr:rowOff>
    </xdr:to>
    <xdr:pic>
      <xdr:nvPicPr>
        <xdr:cNvPr id="240131" name="Grafik 1">
          <a:extLst>
            <a:ext uri="{FF2B5EF4-FFF2-40B4-BE49-F238E27FC236}">
              <a16:creationId xmlns:a16="http://schemas.microsoft.com/office/drawing/2014/main" id="{00000000-0008-0000-2200-000003AA03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Lst>
        </a:blip>
        <a:srcRect/>
        <a:stretch>
          <a:fillRect/>
        </a:stretch>
      </xdr:blipFill>
      <xdr:spPr bwMode="auto">
        <a:xfrm>
          <a:off x="16909671" y="83714108"/>
          <a:ext cx="4947397" cy="26244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287431</xdr:colOff>
      <xdr:row>519</xdr:row>
      <xdr:rowOff>56029</xdr:rowOff>
    </xdr:from>
    <xdr:to>
      <xdr:col>18</xdr:col>
      <xdr:colOff>371093</xdr:colOff>
      <xdr:row>535</xdr:row>
      <xdr:rowOff>96370</xdr:rowOff>
    </xdr:to>
    <xdr:pic>
      <xdr:nvPicPr>
        <xdr:cNvPr id="240132" name="Grafik 2">
          <a:extLst>
            <a:ext uri="{FF2B5EF4-FFF2-40B4-BE49-F238E27FC236}">
              <a16:creationId xmlns:a16="http://schemas.microsoft.com/office/drawing/2014/main" id="{00000000-0008-0000-2200-000004AA03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23685313" y="88078235"/>
          <a:ext cx="3893662" cy="25728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185459</xdr:colOff>
      <xdr:row>469</xdr:row>
      <xdr:rowOff>17370</xdr:rowOff>
    </xdr:from>
    <xdr:to>
      <xdr:col>18</xdr:col>
      <xdr:colOff>747434</xdr:colOff>
      <xdr:row>485</xdr:row>
      <xdr:rowOff>128307</xdr:rowOff>
    </xdr:to>
    <xdr:pic>
      <xdr:nvPicPr>
        <xdr:cNvPr id="240133" name="Grafik 88">
          <a:extLst>
            <a:ext uri="{FF2B5EF4-FFF2-40B4-BE49-F238E27FC236}">
              <a16:creationId xmlns:a16="http://schemas.microsoft.com/office/drawing/2014/main" id="{00000000-0008-0000-2200-000005AA03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23583341" y="79343811"/>
          <a:ext cx="4371975" cy="26434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392763</xdr:colOff>
      <xdr:row>519</xdr:row>
      <xdr:rowOff>53888</xdr:rowOff>
    </xdr:from>
    <xdr:to>
      <xdr:col>10</xdr:col>
      <xdr:colOff>216831</xdr:colOff>
      <xdr:row>535</xdr:row>
      <xdr:rowOff>128308</xdr:rowOff>
    </xdr:to>
    <xdr:pic>
      <xdr:nvPicPr>
        <xdr:cNvPr id="240134" name="Grafik 4">
          <a:extLst>
            <a:ext uri="{FF2B5EF4-FFF2-40B4-BE49-F238E27FC236}">
              <a16:creationId xmlns:a16="http://schemas.microsoft.com/office/drawing/2014/main" id="{00000000-0008-0000-2200-000006AA03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7604998" y="88076094"/>
          <a:ext cx="3719793" cy="26069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800657</xdr:colOff>
      <xdr:row>644</xdr:row>
      <xdr:rowOff>66341</xdr:rowOff>
    </xdr:from>
    <xdr:to>
      <xdr:col>10</xdr:col>
      <xdr:colOff>474566</xdr:colOff>
      <xdr:row>660</xdr:row>
      <xdr:rowOff>73960</xdr:rowOff>
    </xdr:to>
    <xdr:pic>
      <xdr:nvPicPr>
        <xdr:cNvPr id="240136" name="Grafik 7">
          <a:extLst>
            <a:ext uri="{FF2B5EF4-FFF2-40B4-BE49-F238E27FC236}">
              <a16:creationId xmlns:a16="http://schemas.microsoft.com/office/drawing/2014/main" id="{00000000-0008-0000-2200-000008AA03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17161245" y="105457665"/>
          <a:ext cx="4421281" cy="25401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314325</xdr:colOff>
      <xdr:row>441</xdr:row>
      <xdr:rowOff>152400</xdr:rowOff>
    </xdr:from>
    <xdr:to>
      <xdr:col>10</xdr:col>
      <xdr:colOff>542925</xdr:colOff>
      <xdr:row>460</xdr:row>
      <xdr:rowOff>123825</xdr:rowOff>
    </xdr:to>
    <xdr:pic>
      <xdr:nvPicPr>
        <xdr:cNvPr id="240137" name="Grafik 84">
          <a:extLst>
            <a:ext uri="{FF2B5EF4-FFF2-40B4-BE49-F238E27FC236}">
              <a16:creationId xmlns:a16="http://schemas.microsoft.com/office/drawing/2014/main" id="{00000000-0008-0000-2200-000009AA0300}"/>
            </a:ext>
          </a:extLst>
        </xdr:cNvPr>
        <xdr:cNvPicPr>
          <a:picLocks noChangeAspect="1" noChangeArrowheads="1"/>
        </xdr:cNvPicPr>
      </xdr:nvPicPr>
      <xdr:blipFill>
        <a:blip xmlns:r="http://schemas.openxmlformats.org/officeDocument/2006/relationships" r:embed="rId46" cstate="print">
          <a:extLst>
            <a:ext uri="{28A0092B-C50C-407E-A947-70E740481C1C}">
              <a14:useLocalDpi xmlns:a14="http://schemas.microsoft.com/office/drawing/2010/main" val="0"/>
            </a:ext>
          </a:extLst>
        </a:blip>
        <a:srcRect/>
        <a:stretch>
          <a:fillRect/>
        </a:stretch>
      </xdr:blipFill>
      <xdr:spPr bwMode="auto">
        <a:xfrm>
          <a:off x="24460200" y="75799950"/>
          <a:ext cx="3362325" cy="3133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104775</xdr:colOff>
      <xdr:row>442</xdr:row>
      <xdr:rowOff>28575</xdr:rowOff>
    </xdr:from>
    <xdr:to>
      <xdr:col>19</xdr:col>
      <xdr:colOff>9525</xdr:colOff>
      <xdr:row>460</xdr:row>
      <xdr:rowOff>95250</xdr:rowOff>
    </xdr:to>
    <xdr:pic>
      <xdr:nvPicPr>
        <xdr:cNvPr id="240138" name="Grafik 1">
          <a:extLst>
            <a:ext uri="{FF2B5EF4-FFF2-40B4-BE49-F238E27FC236}">
              <a16:creationId xmlns:a16="http://schemas.microsoft.com/office/drawing/2014/main" id="{00000000-0008-0000-2200-00000AAA03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30432375" y="75857100"/>
          <a:ext cx="3848100" cy="3048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76200</xdr:colOff>
      <xdr:row>468</xdr:row>
      <xdr:rowOff>47625</xdr:rowOff>
    </xdr:from>
    <xdr:to>
      <xdr:col>11</xdr:col>
      <xdr:colOff>485775</xdr:colOff>
      <xdr:row>485</xdr:row>
      <xdr:rowOff>76200</xdr:rowOff>
    </xdr:to>
    <xdr:pic>
      <xdr:nvPicPr>
        <xdr:cNvPr id="240139" name="Grafik 2">
          <a:extLst>
            <a:ext uri="{FF2B5EF4-FFF2-40B4-BE49-F238E27FC236}">
              <a16:creationId xmlns:a16="http://schemas.microsoft.com/office/drawing/2014/main" id="{00000000-0008-0000-2200-00000BAA03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24222075" y="80467200"/>
          <a:ext cx="4305300" cy="2847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257739</xdr:colOff>
      <xdr:row>494</xdr:row>
      <xdr:rowOff>25387</xdr:rowOff>
    </xdr:from>
    <xdr:to>
      <xdr:col>19</xdr:col>
      <xdr:colOff>348504</xdr:colOff>
      <xdr:row>510</xdr:row>
      <xdr:rowOff>106456</xdr:rowOff>
    </xdr:to>
    <xdr:pic>
      <xdr:nvPicPr>
        <xdr:cNvPr id="85" name="Grafik 84">
          <a:extLst>
            <a:ext uri="{FF2B5EF4-FFF2-40B4-BE49-F238E27FC236}">
              <a16:creationId xmlns:a16="http://schemas.microsoft.com/office/drawing/2014/main" id="{00000000-0008-0000-2200-000055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2803974" y="83699711"/>
          <a:ext cx="5647762" cy="26135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481854</xdr:colOff>
      <xdr:row>641</xdr:row>
      <xdr:rowOff>56031</xdr:rowOff>
    </xdr:from>
    <xdr:to>
      <xdr:col>18</xdr:col>
      <xdr:colOff>537883</xdr:colOff>
      <xdr:row>660</xdr:row>
      <xdr:rowOff>114259</xdr:rowOff>
    </xdr:to>
    <xdr:pic>
      <xdr:nvPicPr>
        <xdr:cNvPr id="2" name="Grafik 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50"/>
        <a:stretch>
          <a:fillRect/>
        </a:stretch>
      </xdr:blipFill>
      <xdr:spPr>
        <a:xfrm>
          <a:off x="10746442" y="104898266"/>
          <a:ext cx="3104029" cy="3139845"/>
        </a:xfrm>
        <a:prstGeom prst="rect">
          <a:avLst/>
        </a:prstGeom>
      </xdr:spPr>
    </xdr:pic>
    <xdr:clientData/>
  </xdr:twoCellAnchor>
  <xdr:twoCellAnchor editAs="oneCell">
    <xdr:from>
      <xdr:col>4</xdr:col>
      <xdr:colOff>89646</xdr:colOff>
      <xdr:row>571</xdr:row>
      <xdr:rowOff>33617</xdr:rowOff>
    </xdr:from>
    <xdr:to>
      <xdr:col>11</xdr:col>
      <xdr:colOff>633433</xdr:colOff>
      <xdr:row>584</xdr:row>
      <xdr:rowOff>100851</xdr:rowOff>
    </xdr:to>
    <xdr:pic>
      <xdr:nvPicPr>
        <xdr:cNvPr id="88" name="Grafik 87">
          <a:extLst>
            <a:ext uri="{FF2B5EF4-FFF2-40B4-BE49-F238E27FC236}">
              <a16:creationId xmlns:a16="http://schemas.microsoft.com/office/drawing/2014/main" id="{00000000-0008-0000-2200-000058000000}"/>
            </a:ext>
          </a:extLst>
        </xdr:cNvPr>
        <xdr:cNvPicPr>
          <a:picLocks noChangeAspect="1"/>
        </xdr:cNvPicPr>
      </xdr:nvPicPr>
      <xdr:blipFill>
        <a:blip xmlns:r="http://schemas.openxmlformats.org/officeDocument/2006/relationships" r:embed="rId51"/>
        <a:stretch>
          <a:fillRect/>
        </a:stretch>
      </xdr:blipFill>
      <xdr:spPr>
        <a:xfrm>
          <a:off x="2554940" y="97065352"/>
          <a:ext cx="6053159" cy="2129117"/>
        </a:xfrm>
        <a:prstGeom prst="rect">
          <a:avLst/>
        </a:prstGeom>
      </xdr:spPr>
    </xdr:pic>
    <xdr:clientData/>
  </xdr:twoCellAnchor>
  <xdr:oneCellAnchor>
    <xdr:from>
      <xdr:col>2</xdr:col>
      <xdr:colOff>750793</xdr:colOff>
      <xdr:row>569</xdr:row>
      <xdr:rowOff>0</xdr:rowOff>
    </xdr:from>
    <xdr:ext cx="738087" cy="264560"/>
    <xdr:sp macro="" textlink="">
      <xdr:nvSpPr>
        <xdr:cNvPr id="89" name="Textfeld 88">
          <a:extLst>
            <a:ext uri="{FF2B5EF4-FFF2-40B4-BE49-F238E27FC236}">
              <a16:creationId xmlns:a16="http://schemas.microsoft.com/office/drawing/2014/main" id="{00000000-0008-0000-2200-000059000000}"/>
            </a:ext>
          </a:extLst>
        </xdr:cNvPr>
        <xdr:cNvSpPr txBox="1"/>
      </xdr:nvSpPr>
      <xdr:spPr>
        <a:xfrm>
          <a:off x="2409264" y="96717971"/>
          <a:ext cx="7380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DE" sz="1100"/>
            <a:t>Sichtseite</a:t>
          </a:r>
        </a:p>
      </xdr:txBody>
    </xdr:sp>
    <xdr:clientData/>
  </xdr:oneCellAnchor>
  <xdr:twoCellAnchor>
    <xdr:from>
      <xdr:col>4</xdr:col>
      <xdr:colOff>88896</xdr:colOff>
      <xdr:row>570</xdr:row>
      <xdr:rowOff>130090</xdr:rowOff>
    </xdr:from>
    <xdr:to>
      <xdr:col>4</xdr:col>
      <xdr:colOff>302559</xdr:colOff>
      <xdr:row>577</xdr:row>
      <xdr:rowOff>123265</xdr:rowOff>
    </xdr:to>
    <xdr:cxnSp macro="">
      <xdr:nvCxnSpPr>
        <xdr:cNvPr id="90" name="Gerader Verbinder 89">
          <a:extLst>
            <a:ext uri="{FF2B5EF4-FFF2-40B4-BE49-F238E27FC236}">
              <a16:creationId xmlns:a16="http://schemas.microsoft.com/office/drawing/2014/main" id="{00000000-0008-0000-2200-00005A000000}"/>
            </a:ext>
          </a:extLst>
        </xdr:cNvPr>
        <xdr:cNvCxnSpPr/>
      </xdr:nvCxnSpPr>
      <xdr:spPr>
        <a:xfrm>
          <a:off x="2554190" y="97004943"/>
          <a:ext cx="213663" cy="1091351"/>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0</xdr:colOff>
      <xdr:row>544</xdr:row>
      <xdr:rowOff>100856</xdr:rowOff>
    </xdr:from>
    <xdr:ext cx="738087" cy="264560"/>
    <xdr:sp macro="" textlink="">
      <xdr:nvSpPr>
        <xdr:cNvPr id="92" name="Textfeld 91">
          <a:extLst>
            <a:ext uri="{FF2B5EF4-FFF2-40B4-BE49-F238E27FC236}">
              <a16:creationId xmlns:a16="http://schemas.microsoft.com/office/drawing/2014/main" id="{00000000-0008-0000-2200-00005C000000}"/>
            </a:ext>
          </a:extLst>
        </xdr:cNvPr>
        <xdr:cNvSpPr txBox="1"/>
      </xdr:nvSpPr>
      <xdr:spPr>
        <a:xfrm>
          <a:off x="2465294" y="92470944"/>
          <a:ext cx="7380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DE" sz="1100"/>
            <a:t>Sichtseite</a:t>
          </a:r>
        </a:p>
      </xdr:txBody>
    </xdr:sp>
    <xdr:clientData/>
  </xdr:oneCellAnchor>
  <xdr:twoCellAnchor>
    <xdr:from>
      <xdr:col>4</xdr:col>
      <xdr:colOff>369044</xdr:colOff>
      <xdr:row>546</xdr:row>
      <xdr:rowOff>51651</xdr:rowOff>
    </xdr:from>
    <xdr:to>
      <xdr:col>4</xdr:col>
      <xdr:colOff>803899</xdr:colOff>
      <xdr:row>549</xdr:row>
      <xdr:rowOff>123268</xdr:rowOff>
    </xdr:to>
    <xdr:cxnSp macro="">
      <xdr:nvCxnSpPr>
        <xdr:cNvPr id="93" name="Gerader Verbinder 92">
          <a:extLst>
            <a:ext uri="{FF2B5EF4-FFF2-40B4-BE49-F238E27FC236}">
              <a16:creationId xmlns:a16="http://schemas.microsoft.com/office/drawing/2014/main" id="{00000000-0008-0000-2200-00005D000000}"/>
            </a:ext>
          </a:extLst>
        </xdr:cNvPr>
        <xdr:cNvCxnSpPr>
          <a:stCxn id="92" idx="2"/>
        </xdr:cNvCxnSpPr>
      </xdr:nvCxnSpPr>
      <xdr:spPr>
        <a:xfrm>
          <a:off x="2834338" y="92735504"/>
          <a:ext cx="434855" cy="54226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0</xdr:colOff>
      <xdr:row>392</xdr:row>
      <xdr:rowOff>44826</xdr:rowOff>
    </xdr:from>
    <xdr:ext cx="738087" cy="264560"/>
    <xdr:sp macro="" textlink="">
      <xdr:nvSpPr>
        <xdr:cNvPr id="95" name="Textfeld 94">
          <a:extLst>
            <a:ext uri="{FF2B5EF4-FFF2-40B4-BE49-F238E27FC236}">
              <a16:creationId xmlns:a16="http://schemas.microsoft.com/office/drawing/2014/main" id="{00000000-0008-0000-2200-00005F000000}"/>
            </a:ext>
          </a:extLst>
        </xdr:cNvPr>
        <xdr:cNvSpPr txBox="1"/>
      </xdr:nvSpPr>
      <xdr:spPr>
        <a:xfrm>
          <a:off x="2465294" y="65845767"/>
          <a:ext cx="7380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DE" sz="1100"/>
            <a:t>Sichtseite</a:t>
          </a:r>
        </a:p>
      </xdr:txBody>
    </xdr:sp>
    <xdr:clientData/>
  </xdr:oneCellAnchor>
  <xdr:twoCellAnchor>
    <xdr:from>
      <xdr:col>4</xdr:col>
      <xdr:colOff>369044</xdr:colOff>
      <xdr:row>393</xdr:row>
      <xdr:rowOff>152503</xdr:rowOff>
    </xdr:from>
    <xdr:to>
      <xdr:col>4</xdr:col>
      <xdr:colOff>803899</xdr:colOff>
      <xdr:row>397</xdr:row>
      <xdr:rowOff>11209</xdr:rowOff>
    </xdr:to>
    <xdr:cxnSp macro="">
      <xdr:nvCxnSpPr>
        <xdr:cNvPr id="96" name="Gerader Verbinder 95">
          <a:extLst>
            <a:ext uri="{FF2B5EF4-FFF2-40B4-BE49-F238E27FC236}">
              <a16:creationId xmlns:a16="http://schemas.microsoft.com/office/drawing/2014/main" id="{00000000-0008-0000-2200-000060000000}"/>
            </a:ext>
          </a:extLst>
        </xdr:cNvPr>
        <xdr:cNvCxnSpPr>
          <a:stCxn id="95" idx="2"/>
        </xdr:cNvCxnSpPr>
      </xdr:nvCxnSpPr>
      <xdr:spPr>
        <a:xfrm>
          <a:off x="2834338" y="66110327"/>
          <a:ext cx="434855" cy="54226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0</xdr:colOff>
      <xdr:row>392</xdr:row>
      <xdr:rowOff>56029</xdr:rowOff>
    </xdr:from>
    <xdr:ext cx="738087" cy="264560"/>
    <xdr:sp macro="" textlink="">
      <xdr:nvSpPr>
        <xdr:cNvPr id="97" name="Textfeld 96">
          <a:extLst>
            <a:ext uri="{FF2B5EF4-FFF2-40B4-BE49-F238E27FC236}">
              <a16:creationId xmlns:a16="http://schemas.microsoft.com/office/drawing/2014/main" id="{00000000-0008-0000-2200-000061000000}"/>
            </a:ext>
          </a:extLst>
        </xdr:cNvPr>
        <xdr:cNvSpPr txBox="1"/>
      </xdr:nvSpPr>
      <xdr:spPr>
        <a:xfrm>
          <a:off x="8650941" y="65856970"/>
          <a:ext cx="7380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DE" sz="1100"/>
            <a:t>Sichtseite</a:t>
          </a:r>
        </a:p>
      </xdr:txBody>
    </xdr:sp>
    <xdr:clientData/>
  </xdr:oneCellAnchor>
  <xdr:twoCellAnchor>
    <xdr:from>
      <xdr:col>12</xdr:col>
      <xdr:colOff>369044</xdr:colOff>
      <xdr:row>393</xdr:row>
      <xdr:rowOff>163706</xdr:rowOff>
    </xdr:from>
    <xdr:to>
      <xdr:col>12</xdr:col>
      <xdr:colOff>803899</xdr:colOff>
      <xdr:row>397</xdr:row>
      <xdr:rowOff>22412</xdr:rowOff>
    </xdr:to>
    <xdr:cxnSp macro="">
      <xdr:nvCxnSpPr>
        <xdr:cNvPr id="98" name="Gerader Verbinder 97">
          <a:extLst>
            <a:ext uri="{FF2B5EF4-FFF2-40B4-BE49-F238E27FC236}">
              <a16:creationId xmlns:a16="http://schemas.microsoft.com/office/drawing/2014/main" id="{00000000-0008-0000-2200-000062000000}"/>
            </a:ext>
          </a:extLst>
        </xdr:cNvPr>
        <xdr:cNvCxnSpPr>
          <a:stCxn id="97" idx="2"/>
        </xdr:cNvCxnSpPr>
      </xdr:nvCxnSpPr>
      <xdr:spPr>
        <a:xfrm>
          <a:off x="9019985" y="66121530"/>
          <a:ext cx="434855" cy="54226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0</xdr:colOff>
      <xdr:row>417</xdr:row>
      <xdr:rowOff>44822</xdr:rowOff>
    </xdr:from>
    <xdr:ext cx="738087" cy="264560"/>
    <xdr:sp macro="" textlink="">
      <xdr:nvSpPr>
        <xdr:cNvPr id="99" name="Textfeld 98">
          <a:extLst>
            <a:ext uri="{FF2B5EF4-FFF2-40B4-BE49-F238E27FC236}">
              <a16:creationId xmlns:a16="http://schemas.microsoft.com/office/drawing/2014/main" id="{00000000-0008-0000-2200-000063000000}"/>
            </a:ext>
          </a:extLst>
        </xdr:cNvPr>
        <xdr:cNvSpPr txBox="1"/>
      </xdr:nvSpPr>
      <xdr:spPr>
        <a:xfrm>
          <a:off x="2465294" y="70260881"/>
          <a:ext cx="7380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DE" sz="1100"/>
            <a:t>Sichtseite</a:t>
          </a:r>
        </a:p>
      </xdr:txBody>
    </xdr:sp>
    <xdr:clientData/>
  </xdr:oneCellAnchor>
  <xdr:twoCellAnchor>
    <xdr:from>
      <xdr:col>4</xdr:col>
      <xdr:colOff>369044</xdr:colOff>
      <xdr:row>418</xdr:row>
      <xdr:rowOff>152500</xdr:rowOff>
    </xdr:from>
    <xdr:to>
      <xdr:col>4</xdr:col>
      <xdr:colOff>803899</xdr:colOff>
      <xdr:row>422</xdr:row>
      <xdr:rowOff>11205</xdr:rowOff>
    </xdr:to>
    <xdr:cxnSp macro="">
      <xdr:nvCxnSpPr>
        <xdr:cNvPr id="100" name="Gerader Verbinder 99">
          <a:extLst>
            <a:ext uri="{FF2B5EF4-FFF2-40B4-BE49-F238E27FC236}">
              <a16:creationId xmlns:a16="http://schemas.microsoft.com/office/drawing/2014/main" id="{00000000-0008-0000-2200-000064000000}"/>
            </a:ext>
          </a:extLst>
        </xdr:cNvPr>
        <xdr:cNvCxnSpPr>
          <a:stCxn id="99" idx="2"/>
        </xdr:cNvCxnSpPr>
      </xdr:nvCxnSpPr>
      <xdr:spPr>
        <a:xfrm>
          <a:off x="2834338" y="70525441"/>
          <a:ext cx="434855" cy="54226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0</xdr:colOff>
      <xdr:row>417</xdr:row>
      <xdr:rowOff>33618</xdr:rowOff>
    </xdr:from>
    <xdr:ext cx="738087" cy="264560"/>
    <xdr:sp macro="" textlink="">
      <xdr:nvSpPr>
        <xdr:cNvPr id="101" name="Textfeld 100">
          <a:extLst>
            <a:ext uri="{FF2B5EF4-FFF2-40B4-BE49-F238E27FC236}">
              <a16:creationId xmlns:a16="http://schemas.microsoft.com/office/drawing/2014/main" id="{00000000-0008-0000-2200-000065000000}"/>
            </a:ext>
          </a:extLst>
        </xdr:cNvPr>
        <xdr:cNvSpPr txBox="1"/>
      </xdr:nvSpPr>
      <xdr:spPr>
        <a:xfrm>
          <a:off x="8650941" y="70249677"/>
          <a:ext cx="7380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DE" sz="1100"/>
            <a:t>Sichtseite</a:t>
          </a:r>
        </a:p>
      </xdr:txBody>
    </xdr:sp>
    <xdr:clientData/>
  </xdr:oneCellAnchor>
  <xdr:twoCellAnchor>
    <xdr:from>
      <xdr:col>12</xdr:col>
      <xdr:colOff>369044</xdr:colOff>
      <xdr:row>418</xdr:row>
      <xdr:rowOff>141296</xdr:rowOff>
    </xdr:from>
    <xdr:to>
      <xdr:col>12</xdr:col>
      <xdr:colOff>803899</xdr:colOff>
      <xdr:row>422</xdr:row>
      <xdr:rowOff>1</xdr:rowOff>
    </xdr:to>
    <xdr:cxnSp macro="">
      <xdr:nvCxnSpPr>
        <xdr:cNvPr id="102" name="Gerader Verbinder 101">
          <a:extLst>
            <a:ext uri="{FF2B5EF4-FFF2-40B4-BE49-F238E27FC236}">
              <a16:creationId xmlns:a16="http://schemas.microsoft.com/office/drawing/2014/main" id="{00000000-0008-0000-2200-000066000000}"/>
            </a:ext>
          </a:extLst>
        </xdr:cNvPr>
        <xdr:cNvCxnSpPr>
          <a:stCxn id="101" idx="2"/>
        </xdr:cNvCxnSpPr>
      </xdr:nvCxnSpPr>
      <xdr:spPr>
        <a:xfrm>
          <a:off x="9019985" y="70514237"/>
          <a:ext cx="434855" cy="54226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0</xdr:colOff>
      <xdr:row>367</xdr:row>
      <xdr:rowOff>56030</xdr:rowOff>
    </xdr:from>
    <xdr:ext cx="738087" cy="264560"/>
    <xdr:sp macro="" textlink="">
      <xdr:nvSpPr>
        <xdr:cNvPr id="103" name="Textfeld 102">
          <a:extLst>
            <a:ext uri="{FF2B5EF4-FFF2-40B4-BE49-F238E27FC236}">
              <a16:creationId xmlns:a16="http://schemas.microsoft.com/office/drawing/2014/main" id="{00000000-0008-0000-2200-000067000000}"/>
            </a:ext>
          </a:extLst>
        </xdr:cNvPr>
        <xdr:cNvSpPr txBox="1"/>
      </xdr:nvSpPr>
      <xdr:spPr>
        <a:xfrm>
          <a:off x="2465294" y="61464265"/>
          <a:ext cx="7380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DE" sz="1100"/>
            <a:t>Sichtseite</a:t>
          </a:r>
        </a:p>
      </xdr:txBody>
    </xdr:sp>
    <xdr:clientData/>
  </xdr:oneCellAnchor>
  <xdr:twoCellAnchor>
    <xdr:from>
      <xdr:col>4</xdr:col>
      <xdr:colOff>369044</xdr:colOff>
      <xdr:row>368</xdr:row>
      <xdr:rowOff>163707</xdr:rowOff>
    </xdr:from>
    <xdr:to>
      <xdr:col>4</xdr:col>
      <xdr:colOff>803899</xdr:colOff>
      <xdr:row>372</xdr:row>
      <xdr:rowOff>22413</xdr:rowOff>
    </xdr:to>
    <xdr:cxnSp macro="">
      <xdr:nvCxnSpPr>
        <xdr:cNvPr id="104" name="Gerader Verbinder 103">
          <a:extLst>
            <a:ext uri="{FF2B5EF4-FFF2-40B4-BE49-F238E27FC236}">
              <a16:creationId xmlns:a16="http://schemas.microsoft.com/office/drawing/2014/main" id="{00000000-0008-0000-2200-000068000000}"/>
            </a:ext>
          </a:extLst>
        </xdr:cNvPr>
        <xdr:cNvCxnSpPr>
          <a:stCxn id="103" idx="2"/>
        </xdr:cNvCxnSpPr>
      </xdr:nvCxnSpPr>
      <xdr:spPr>
        <a:xfrm>
          <a:off x="2834338" y="61728825"/>
          <a:ext cx="434855" cy="54226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0</xdr:colOff>
      <xdr:row>367</xdr:row>
      <xdr:rowOff>56029</xdr:rowOff>
    </xdr:from>
    <xdr:ext cx="738087" cy="264560"/>
    <xdr:sp macro="" textlink="">
      <xdr:nvSpPr>
        <xdr:cNvPr id="105" name="Textfeld 104">
          <a:extLst>
            <a:ext uri="{FF2B5EF4-FFF2-40B4-BE49-F238E27FC236}">
              <a16:creationId xmlns:a16="http://schemas.microsoft.com/office/drawing/2014/main" id="{00000000-0008-0000-2200-000069000000}"/>
            </a:ext>
          </a:extLst>
        </xdr:cNvPr>
        <xdr:cNvSpPr txBox="1"/>
      </xdr:nvSpPr>
      <xdr:spPr>
        <a:xfrm>
          <a:off x="8650941" y="61464264"/>
          <a:ext cx="7380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DE" sz="1100"/>
            <a:t>Sichtseite</a:t>
          </a:r>
        </a:p>
      </xdr:txBody>
    </xdr:sp>
    <xdr:clientData/>
  </xdr:oneCellAnchor>
  <xdr:twoCellAnchor>
    <xdr:from>
      <xdr:col>12</xdr:col>
      <xdr:colOff>369044</xdr:colOff>
      <xdr:row>368</xdr:row>
      <xdr:rowOff>163706</xdr:rowOff>
    </xdr:from>
    <xdr:to>
      <xdr:col>12</xdr:col>
      <xdr:colOff>803899</xdr:colOff>
      <xdr:row>372</xdr:row>
      <xdr:rowOff>22412</xdr:rowOff>
    </xdr:to>
    <xdr:cxnSp macro="">
      <xdr:nvCxnSpPr>
        <xdr:cNvPr id="106" name="Gerader Verbinder 105">
          <a:extLst>
            <a:ext uri="{FF2B5EF4-FFF2-40B4-BE49-F238E27FC236}">
              <a16:creationId xmlns:a16="http://schemas.microsoft.com/office/drawing/2014/main" id="{00000000-0008-0000-2200-00006A000000}"/>
            </a:ext>
          </a:extLst>
        </xdr:cNvPr>
        <xdr:cNvCxnSpPr>
          <a:stCxn id="105" idx="2"/>
        </xdr:cNvCxnSpPr>
      </xdr:nvCxnSpPr>
      <xdr:spPr>
        <a:xfrm>
          <a:off x="9019985" y="61728824"/>
          <a:ext cx="434855" cy="54226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33617</xdr:colOff>
      <xdr:row>840</xdr:row>
      <xdr:rowOff>190500</xdr:rowOff>
    </xdr:from>
    <xdr:to>
      <xdr:col>10</xdr:col>
      <xdr:colOff>71157</xdr:colOff>
      <xdr:row>861</xdr:row>
      <xdr:rowOff>1</xdr:rowOff>
    </xdr:to>
    <xdr:pic>
      <xdr:nvPicPr>
        <xdr:cNvPr id="109" name="Grafik 108">
          <a:extLst>
            <a:ext uri="{FF2B5EF4-FFF2-40B4-BE49-F238E27FC236}">
              <a16:creationId xmlns:a16="http://schemas.microsoft.com/office/drawing/2014/main" id="{00000000-0008-0000-2200-00006D000000}"/>
            </a:ext>
          </a:extLst>
        </xdr:cNvPr>
        <xdr:cNvPicPr>
          <a:picLocks noChangeAspect="1" noChangeArrowheads="1"/>
        </xdr:cNvPicPr>
      </xdr:nvPicPr>
      <xdr:blipFill rotWithShape="1">
        <a:blip xmlns:r="http://schemas.openxmlformats.org/officeDocument/2006/relationships" r:embed="rId52" cstate="print">
          <a:extLst>
            <a:ext uri="{28A0092B-C50C-407E-A947-70E740481C1C}">
              <a14:useLocalDpi xmlns:a14="http://schemas.microsoft.com/office/drawing/2010/main" val="0"/>
            </a:ext>
          </a:extLst>
        </a:blip>
        <a:srcRect l="23593" t="15934" r="33721" b="12176"/>
        <a:stretch/>
      </xdr:blipFill>
      <xdr:spPr bwMode="auto">
        <a:xfrm>
          <a:off x="3350558" y="144141265"/>
          <a:ext cx="3933265" cy="3260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537882</xdr:colOff>
      <xdr:row>840</xdr:row>
      <xdr:rowOff>145676</xdr:rowOff>
    </xdr:from>
    <xdr:to>
      <xdr:col>18</xdr:col>
      <xdr:colOff>89647</xdr:colOff>
      <xdr:row>860</xdr:row>
      <xdr:rowOff>112059</xdr:rowOff>
    </xdr:to>
    <xdr:pic>
      <xdr:nvPicPr>
        <xdr:cNvPr id="110" name="Grafik 109">
          <a:extLst>
            <a:ext uri="{FF2B5EF4-FFF2-40B4-BE49-F238E27FC236}">
              <a16:creationId xmlns:a16="http://schemas.microsoft.com/office/drawing/2014/main" id="{00000000-0008-0000-2200-00006E000000}"/>
            </a:ext>
          </a:extLst>
        </xdr:cNvPr>
        <xdr:cNvPicPr>
          <a:picLocks noChangeAspect="1" noChangeArrowheads="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7916" t="27852" r="40809" b="10492"/>
        <a:stretch/>
      </xdr:blipFill>
      <xdr:spPr bwMode="auto">
        <a:xfrm>
          <a:off x="10040470" y="144096441"/>
          <a:ext cx="3361765" cy="32497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123825</xdr:colOff>
      <xdr:row>568</xdr:row>
      <xdr:rowOff>209549</xdr:rowOff>
    </xdr:from>
    <xdr:to>
      <xdr:col>16</xdr:col>
      <xdr:colOff>514351</xdr:colOff>
      <xdr:row>585</xdr:row>
      <xdr:rowOff>114300</xdr:rowOff>
    </xdr:to>
    <xdr:pic>
      <xdr:nvPicPr>
        <xdr:cNvPr id="108" name="Grafik 107">
          <a:extLst>
            <a:ext uri="{FF2B5EF4-FFF2-40B4-BE49-F238E27FC236}">
              <a16:creationId xmlns:a16="http://schemas.microsoft.com/office/drawing/2014/main" id="{00000000-0008-0000-2200-00006C000000}"/>
            </a:ext>
          </a:extLst>
        </xdr:cNvPr>
        <xdr:cNvPicPr>
          <a:picLocks noChangeAspect="1" noChangeArrowheads="1"/>
        </xdr:cNvPicPr>
      </xdr:nvPicPr>
      <xdr:blipFill rotWithShape="1">
        <a:blip xmlns:r="http://schemas.openxmlformats.org/officeDocument/2006/relationships" r:embed="rId54" cstate="print">
          <a:extLst>
            <a:ext uri="{28A0092B-C50C-407E-A947-70E740481C1C}">
              <a14:useLocalDpi xmlns:a14="http://schemas.microsoft.com/office/drawing/2010/main" val="0"/>
            </a:ext>
          </a:extLst>
        </a:blip>
        <a:srcRect l="31442" t="8092" r="37730" b="5156"/>
        <a:stretch/>
      </xdr:blipFill>
      <xdr:spPr bwMode="auto">
        <a:xfrm>
          <a:off x="10382250" y="98345624"/>
          <a:ext cx="1914526" cy="2724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190500</xdr:colOff>
      <xdr:row>1</xdr:row>
      <xdr:rowOff>95250</xdr:rowOff>
    </xdr:from>
    <xdr:to>
      <xdr:col>7</xdr:col>
      <xdr:colOff>676275</xdr:colOff>
      <xdr:row>3</xdr:row>
      <xdr:rowOff>171450</xdr:rowOff>
    </xdr:to>
    <xdr:pic>
      <xdr:nvPicPr>
        <xdr:cNvPr id="3" name="Grafik 2">
          <a:extLst>
            <a:ext uri="{FF2B5EF4-FFF2-40B4-BE49-F238E27FC236}">
              <a16:creationId xmlns:a16="http://schemas.microsoft.com/office/drawing/2014/main" id="{00000000-0008-0000-2200-000003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2657475" y="228600"/>
          <a:ext cx="2857500" cy="600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Zeichnungen/Systemzeichnungen/AbschreibungsVorlag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hrzboost01\TRUMPF.NET\DATA_PDM2\St&#246;bich\Varianten\&#220;bergabeliste_Blechvarian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ückliste"/>
      <sheetName val="Versionen"/>
      <sheetName val="Kostenstellen "/>
      <sheetName val="Konzeptdokumentation"/>
      <sheetName val=" Beispiel Sverweis"/>
    </sheetNames>
    <definedNames>
      <definedName name="abschr"/>
      <definedName name="abschr_test"/>
    </definedNames>
    <sheetDataSet>
      <sheetData sheetId="0"/>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elle1"/>
      <sheetName val="Übersicht-Flex"/>
      <sheetName val="Übersicht-FAA"/>
      <sheetName val="Bauteilliste master gmv"/>
      <sheetName val="FlexSys_GMVDatenbak"/>
      <sheetName val="Tabelle3"/>
      <sheetName val="schmierereien"/>
    </sheetNames>
    <sheetDataSet>
      <sheetData sheetId="0"/>
      <sheetData sheetId="1"/>
      <sheetData sheetId="2"/>
      <sheetData sheetId="3"/>
      <sheetData sheetId="4">
        <row r="2">
          <cell r="A2" t="str">
            <v>0701875</v>
          </cell>
          <cell r="B2" t="str">
            <v>"//shrzboost01/TRUMPF.NET/DATA_PDM2/Stöbich/Varianten/0701875.GMV"</v>
          </cell>
          <cell r="C2" t="str">
            <v>//shrzboost01/TRUMPF.NET/DATA_PDM2/Stöbich/Aufträge.GEO</v>
          </cell>
        </row>
        <row r="3">
          <cell r="C3" t="str">
            <v>//shrzboost01/TRUMPF.NET/DATA_PDM2/Stöbich/Aufträge.GEO</v>
          </cell>
        </row>
        <row r="4">
          <cell r="A4" t="str">
            <v>0704601</v>
          </cell>
          <cell r="B4" t="str">
            <v>"//shrzboost01/TRUMPF.NET/DATA_PDM2/Stöbich/Varianten/0704601_0704604.GMV"</v>
          </cell>
          <cell r="C4" t="str">
            <v>//shrzboost01/TRUMPF.NET/DATA_PDM2/Stöbich/Aufträge.GEO</v>
          </cell>
        </row>
        <row r="5">
          <cell r="A5" t="str">
            <v>0704602</v>
          </cell>
          <cell r="B5" t="str">
            <v>"//shrzboost01/TRUMPF.NET/DATA_PDM2/Stöbich/Varianten/0704602_0704605.GMV"</v>
          </cell>
          <cell r="C5" t="str">
            <v>//shrzboost01/TRUMPF.NET/DATA_PDM2/Stöbich/Aufträge.GEO</v>
          </cell>
        </row>
        <row r="6">
          <cell r="A6" t="str">
            <v>0704603</v>
          </cell>
          <cell r="B6" t="str">
            <v>"//shrzboost01/TRUMPF.NET/DATA_PDM2/Stöbich/Varianten/0704603_0704605.GMV"</v>
          </cell>
          <cell r="C6" t="str">
            <v>//shrzboost01/TRUMPF.NET/DATA_PDM2/Stöbich/Aufträge.GEO</v>
          </cell>
        </row>
        <row r="7">
          <cell r="A7" t="str">
            <v>0704604</v>
          </cell>
          <cell r="C7" t="str">
            <v>//shrzboost01/TRUMPF.NET/DATA_PDM2/Stöbich/Aufträge.GEO</v>
          </cell>
        </row>
        <row r="8">
          <cell r="A8" t="str">
            <v>0704605</v>
          </cell>
          <cell r="C8" t="str">
            <v>//shrzboost01/TRUMPF.NET/DATA_PDM2/Stöbich/Aufträge.GEO</v>
          </cell>
        </row>
        <row r="9">
          <cell r="A9" t="str">
            <v>0704606</v>
          </cell>
          <cell r="B9" t="str">
            <v>"//shrzboost01/TRUMPF.NET/DATA_PDM2/Stöbich/Varianten/0704606.GMV"</v>
          </cell>
          <cell r="C9" t="str">
            <v>//shrzboost01/TRUMPF.NET/DATA_PDM2/Stöbich/Aufträge.GEO</v>
          </cell>
        </row>
        <row r="10">
          <cell r="A10" t="str">
            <v>0704608</v>
          </cell>
          <cell r="B10" t="str">
            <v>"//shrzboost01/TRUMPF.NET/DATA_PDM2/Stöbich/Varianten/0704608.GMV"</v>
          </cell>
          <cell r="C10" t="str">
            <v>//shrzboost01/TRUMPF.NET/DATA_PDM2/Stöbich/Aufträge.GEO</v>
          </cell>
        </row>
        <row r="11">
          <cell r="A11" t="str">
            <v>0704609</v>
          </cell>
          <cell r="B11" t="str">
            <v>"//shrzboost01/TRUMPF.NET/DATA_PDM2/Stöbich/Varianten/0704609.GMV"</v>
          </cell>
          <cell r="C11" t="str">
            <v>//shrzboost01/TRUMPF.NET/DATA_PDM2/Stöbich/Aufträge.GEO</v>
          </cell>
        </row>
        <row r="12">
          <cell r="A12" t="str">
            <v>0704610</v>
          </cell>
          <cell r="B12" t="str">
            <v>"//shrzboost01/TRUMPF.NET/DATA_PDM2/Stöbich/Varianten/0704610.GMV"</v>
          </cell>
          <cell r="C12" t="str">
            <v>//shrzboost01/TRUMPF.NET/DATA_PDM2/Stöbich/Aufträge.GEO</v>
          </cell>
        </row>
        <row r="13">
          <cell r="A13" t="str">
            <v>0704611</v>
          </cell>
          <cell r="B13" t="str">
            <v>"//shrzboost01/TRUMPF.NET/DATA_PDM2/Stöbich/Varianten/0704611_0704615.GMV"</v>
          </cell>
          <cell r="C13" t="str">
            <v>//shrzboost01/TRUMPF.NET/DATA_PDM2/Stöbich/Aufträge.GEO</v>
          </cell>
        </row>
        <row r="14">
          <cell r="A14" t="str">
            <v>0704612</v>
          </cell>
          <cell r="B14" t="str">
            <v>"//shrzboost01/TRUMPF.NET/DATA_PDM2/Stöbich/Varianten/0704612_0704615.GMV"</v>
          </cell>
          <cell r="C14" t="str">
            <v>//shrzboost01/TRUMPF.NET/DATA_PDM2/Stöbich/Aufträge.GEO</v>
          </cell>
        </row>
        <row r="15">
          <cell r="A15" t="str">
            <v>0704613</v>
          </cell>
          <cell r="B15" t="str">
            <v>"//shrzboost01/TRUMPF.NET/DATA_PDM2/Stöbich/Varianten/0704613_0704616.GMV"</v>
          </cell>
          <cell r="C15" t="str">
            <v>//shrzboost01/TRUMPF.NET/DATA_PDM2/Stöbich/Aufträge.GEO</v>
          </cell>
        </row>
        <row r="16">
          <cell r="A16" t="str">
            <v>0704614</v>
          </cell>
          <cell r="B16" t="str">
            <v>"//shrzboost01/TRUMPF.NET/DATA_PDM2/Stöbich/Varianten/0704614_0704616.GMV"</v>
          </cell>
          <cell r="C16" t="str">
            <v>//shrzboost01/TRUMPF.NET/DATA_PDM2/Stöbich/Aufträge.GEO</v>
          </cell>
        </row>
        <row r="17">
          <cell r="A17" t="str">
            <v>0704615</v>
          </cell>
          <cell r="C17" t="str">
            <v>//shrzboost01/TRUMPF.NET/DATA_PDM2/Stöbich/Aufträge.GEO</v>
          </cell>
        </row>
        <row r="18">
          <cell r="A18" t="str">
            <v>0704616</v>
          </cell>
          <cell r="C18" t="str">
            <v>//shrzboost01/TRUMPF.NET/DATA_PDM2/Stöbich/Aufträge.GEO</v>
          </cell>
        </row>
        <row r="19">
          <cell r="B19" t="str">
            <v>"//shrzboost01/TRUMPF.NET/DATA_PDM2/Stöbich/Varianten/.GMV"</v>
          </cell>
          <cell r="C19" t="str">
            <v>//shrzboost01/TRUMPF.NET/DATA_PDM2/Stöbich/Aufträge.GEO</v>
          </cell>
        </row>
        <row r="20">
          <cell r="A20" t="str">
            <v>0714621</v>
          </cell>
          <cell r="B20" t="str">
            <v>"//shrzboost01/TRUMPF.NET/DATA_PDM2/Stöbich/Varianten/0714621.GMV"</v>
          </cell>
          <cell r="C20" t="str">
            <v>//shrzboost01/TRUMPF.NET/DATA_PDM2/Stöbich/Aufträge.GEO</v>
          </cell>
        </row>
        <row r="21">
          <cell r="A21" t="str">
            <v>0714622</v>
          </cell>
          <cell r="B21" t="str">
            <v>"//shrzboost01/TRUMPF.NET/DATA_PDM2/Stöbich/Varianten/0714622.GMV"</v>
          </cell>
          <cell r="C21" t="str">
            <v>//shrzboost01/TRUMPF.NET/DATA_PDM2/Stöbich/Aufträge.GEO</v>
          </cell>
        </row>
        <row r="22">
          <cell r="A22" t="str">
            <v>0714650</v>
          </cell>
          <cell r="B22" t="str">
            <v>"//shrzboost01/TRUMPF.NET/DATA_PDM2/Stöbich/Varianten/0714650.GMV"</v>
          </cell>
          <cell r="C22" t="str">
            <v>//shrzboost01/TRUMPF.NET/DATA_PDM2/Stöbich/Aufträge.GEO</v>
          </cell>
        </row>
        <row r="23">
          <cell r="A23" t="str">
            <v>0714674</v>
          </cell>
          <cell r="B23" t="str">
            <v>"//shrzboost01/TRUMPF.NET/DATA_PDM2/Stöbich/Varianten/0714674.GMV"</v>
          </cell>
          <cell r="C23" t="str">
            <v>//shrzboost01/TRUMPF.NET/DATA_PDM2/Stöbich/Aufträge.GEO</v>
          </cell>
        </row>
        <row r="24">
          <cell r="A24" t="str">
            <v>0715669</v>
          </cell>
          <cell r="B24" t="str">
            <v>"//shrzboost01/TRUMPF.NET/DATA_PDM2/Stöbich/Varianten/0715669.GMV"</v>
          </cell>
          <cell r="C24" t="str">
            <v>//shrzboost01/TRUMPF.NET/DATA_PDM2/Stöbich/Aufträge.GEO</v>
          </cell>
        </row>
        <row r="25">
          <cell r="A25" t="str">
            <v>0714624</v>
          </cell>
          <cell r="B25" t="str">
            <v>"//shrzboost01/TRUMPF.NET/DATA_PDM2/Stöbich/Varianten/0714624.GMV"</v>
          </cell>
          <cell r="C25" t="str">
            <v>//shrzboost01/TRUMPF.NET/DATA_PDM2/Stöbich/Aufträge.GEO</v>
          </cell>
        </row>
        <row r="26">
          <cell r="A26" t="str">
            <v>0714655</v>
          </cell>
          <cell r="B26" t="str">
            <v>"//shrzboost01/TRUMPF.NET/DATA_PDM2/Stöbich/Varianten/0714655.GMV"</v>
          </cell>
          <cell r="C26" t="str">
            <v>//shrzboost01/TRUMPF.NET/DATA_PDM2/Stöbich/Aufträge.GEO</v>
          </cell>
        </row>
        <row r="27">
          <cell r="A27" t="str">
            <v>0714675</v>
          </cell>
          <cell r="B27" t="str">
            <v>"//shrzboost01/TRUMPF.NET/DATA_PDM2/Stöbich/Varianten/0714675.GMV"</v>
          </cell>
          <cell r="C27" t="str">
            <v>//shrzboost01/TRUMPF.NET/DATA_PDM2/Stöbich/Aufträge.GEO</v>
          </cell>
        </row>
        <row r="28">
          <cell r="A28" t="str">
            <v>0715670</v>
          </cell>
          <cell r="B28" t="str">
            <v>"//shrzboost01/TRUMPF.NET/DATA_PDM2/Stöbich/Varianten/0715670.GMV"</v>
          </cell>
          <cell r="C28" t="str">
            <v>//shrzboost01/TRUMPF.NET/DATA_PDM2/Stöbich/Aufträge.GEO</v>
          </cell>
        </row>
        <row r="29">
          <cell r="A29" t="str">
            <v>0713401</v>
          </cell>
          <cell r="B29" t="str">
            <v>"//shrzboost01/TRUMPF.NET/DATA_PDM2/Stöbich/Varianten/0713401.GMV"</v>
          </cell>
          <cell r="C29" t="str">
            <v>//shrzboost01/TRUMPF.NET/DATA_PDM2/Stöbich/Aufträge.GEO</v>
          </cell>
        </row>
        <row r="30">
          <cell r="A30" t="str">
            <v>0713402</v>
          </cell>
          <cell r="B30" t="str">
            <v>"//shrzboost01/TRUMPF.NET/DATA_PDM2/Stöbich/Varianten/0713402.GMV"</v>
          </cell>
          <cell r="C30" t="str">
            <v>//shrzboost01/TRUMPF.NET/DATA_PDM2/Stöbich/Aufträge.GEO</v>
          </cell>
        </row>
        <row r="31">
          <cell r="A31" t="str">
            <v>0704634</v>
          </cell>
          <cell r="B31" t="str">
            <v>"//shrzboost01/TRUMPF.NET/DATA_PDM2/Stöbich/Varianten/0704634.GMV"</v>
          </cell>
          <cell r="C31" t="str">
            <v>//shrzboost01/TRUMPF.NET/DATA_PDM2/Stöbich/Aufträge.GEO</v>
          </cell>
        </row>
        <row r="32">
          <cell r="A32" t="str">
            <v>0704635</v>
          </cell>
          <cell r="B32" t="str">
            <v>"//shrzboost01/TRUMPF.NET/DATA_PDM2/Stöbich/Varianten/0704635.GMV"</v>
          </cell>
          <cell r="C32" t="str">
            <v>//shrzboost01/TRUMPF.NET/DATA_PDM2/Stöbich/Aufträge.GEO</v>
          </cell>
        </row>
        <row r="33">
          <cell r="A33" t="str">
            <v>0704636</v>
          </cell>
          <cell r="B33" t="str">
            <v>"//shrzboost01/TRUMPF.NET/DATA_PDM2/Stöbich/Varianten/0704636.GMV"</v>
          </cell>
          <cell r="C33" t="str">
            <v>//shrzboost01/TRUMPF.NET/DATA_PDM2/Stöbich/Aufträge.GEO</v>
          </cell>
        </row>
        <row r="34">
          <cell r="A34" t="str">
            <v>0704637</v>
          </cell>
          <cell r="B34" t="str">
            <v>"//shrzboost01/TRUMPF.NET/DATA_PDM2/Stöbich/Varianten/0704637.GMV"</v>
          </cell>
          <cell r="C34" t="str">
            <v>//shrzboost01/TRUMPF.NET/DATA_PDM2/Stöbich/Aufträge.GEO</v>
          </cell>
        </row>
        <row r="35">
          <cell r="A35" t="str">
            <v>0704638</v>
          </cell>
          <cell r="B35" t="str">
            <v>"//shrzboost01/TRUMPF.NET/DATA_PDM2/Stöbich/Varianten/0704638.GMV"</v>
          </cell>
          <cell r="C35" t="str">
            <v>//shrzboost01/TRUMPF.NET/DATA_PDM2/Stöbich/Aufträge.GEO</v>
          </cell>
        </row>
        <row r="36">
          <cell r="A36" t="str">
            <v>0704639</v>
          </cell>
          <cell r="B36" t="str">
            <v>"//shrzboost01/TRUMPF.NET/DATA_PDM2/Stöbich/Varianten/0704639.GMV"</v>
          </cell>
          <cell r="C36" t="str">
            <v>//shrzboost01/TRUMPF.NET/DATA_PDM2/Stöbich/Aufträge.GEO</v>
          </cell>
        </row>
        <row r="37">
          <cell r="A37" t="str">
            <v>0704642</v>
          </cell>
          <cell r="B37" t="str">
            <v>"//shrzboost01/TRUMPF.NET/DATA_PDM2/Stöbich/Varianten/0704642_0704643.GMV"</v>
          </cell>
          <cell r="C37" t="str">
            <v>//shrzboost01/TRUMPF.NET/DATA_PDM2/Stöbich/Aufträge.GEO</v>
          </cell>
        </row>
        <row r="38">
          <cell r="A38" t="str">
            <v>0704643</v>
          </cell>
          <cell r="C38" t="str">
            <v>//shrzboost01/TRUMPF.NET/DATA_PDM2/Stöbich/Aufträge.GEO</v>
          </cell>
        </row>
        <row r="39">
          <cell r="A39" t="str">
            <v>0704644</v>
          </cell>
          <cell r="B39" t="str">
            <v>"//shrzboost01/TRUMPF.NET/DATA_PDM2/Stöbich/Varianten/0704644_0704646.GMV"</v>
          </cell>
          <cell r="C39" t="str">
            <v>//shrzboost01/TRUMPF.NET/DATA_PDM2/Stöbich/Aufträge.GEO</v>
          </cell>
        </row>
        <row r="40">
          <cell r="A40" t="str">
            <v>0704645</v>
          </cell>
          <cell r="B40" t="str">
            <v>"//shrzboost01/TRUMPF.NET/DATA_PDM2/Stöbich/Varianten/0704645_0704646.GMV"</v>
          </cell>
          <cell r="C40" t="str">
            <v>//shrzboost01/TRUMPF.NET/DATA_PDM2/Stöbich/Aufträge.GEO</v>
          </cell>
        </row>
        <row r="41">
          <cell r="A41" t="str">
            <v>0711085</v>
          </cell>
          <cell r="B41" t="str">
            <v>"//shrzboost01/TRUMPF.NET/DATA_PDM2/Stöbich/Varianten/0711085.GMV"</v>
          </cell>
          <cell r="C41" t="str">
            <v>//shrzboost01/TRUMPF.NET/DATA_PDM2/Stöbich/Aufträge.GEO</v>
          </cell>
        </row>
        <row r="42">
          <cell r="A42" t="str">
            <v>0711086</v>
          </cell>
          <cell r="B42" t="str">
            <v>"//shrzboost01/TRUMPF.NET/DATA_PDM2/Stöbich/Varianten/0711086.GMV"</v>
          </cell>
          <cell r="C42" t="str">
            <v>//shrzboost01/TRUMPF.NET/DATA_PDM2/Stöbich/Aufträge.GEO</v>
          </cell>
        </row>
        <row r="43">
          <cell r="A43" t="str">
            <v>0711087</v>
          </cell>
          <cell r="B43" t="str">
            <v>"//shrzboost01/TRUMPF.NET/DATA_PDM2/Stöbich/Varianten/0711087_0711088.GMV"</v>
          </cell>
          <cell r="C43" t="str">
            <v>//shrzboost01/TRUMPF.NET/DATA_PDM2/Stöbich/Aufträge.GEO</v>
          </cell>
        </row>
        <row r="44">
          <cell r="A44" t="str">
            <v>0711088</v>
          </cell>
          <cell r="C44" t="str">
            <v>//shrzboost01/TRUMPF.NET/DATA_PDM2/Stöbich/Aufträge.GEO</v>
          </cell>
        </row>
        <row r="45">
          <cell r="A45" t="str">
            <v>0711116</v>
          </cell>
          <cell r="B45" t="str">
            <v>"//shrzboost01/TRUMPF.NET/DATA_PDM2/Stöbich/Varianten/0711116.GMV"</v>
          </cell>
          <cell r="C45" t="str">
            <v>//shrzboost01/TRUMPF.NET/DATA_PDM2/Stöbich/Aufträge.GEO</v>
          </cell>
        </row>
        <row r="46">
          <cell r="A46" t="str">
            <v>0711117</v>
          </cell>
          <cell r="B46" t="str">
            <v>"//shrzboost01/TRUMPF.NET/DATA_PDM2/Stöbich/Varianten/0711117.GMV"</v>
          </cell>
          <cell r="C46" t="str">
            <v>//shrzboost01/TRUMPF.NET/DATA_PDM2/Stöbich/Aufträge.GEO</v>
          </cell>
        </row>
        <row r="47">
          <cell r="A47" t="str">
            <v>0711118</v>
          </cell>
          <cell r="B47" t="str">
            <v>"//shrzboost01/TRUMPF.NET/DATA_PDM2/Stöbich/Varianten/0711118.GMV"</v>
          </cell>
          <cell r="C47" t="str">
            <v>//shrzboost01/TRUMPF.NET/DATA_PDM2/Stöbich/Aufträge.GEO</v>
          </cell>
        </row>
        <row r="48">
          <cell r="A48" t="str">
            <v>0711119</v>
          </cell>
          <cell r="B48" t="str">
            <v>"//shrzboost01/TRUMPF.NET/DATA_PDM2/Stöbich/Varianten/0711119.GMV"</v>
          </cell>
          <cell r="C48" t="str">
            <v>//shrzboost01/TRUMPF.NET/DATA_PDM2/Stöbich/Aufträge.GEO</v>
          </cell>
        </row>
        <row r="49">
          <cell r="A49" t="str">
            <v>0711120</v>
          </cell>
          <cell r="B49" t="str">
            <v>"//shrzboost01/TRUMPF.NET/DATA_PDM2/Stöbich/Varianten/0711120.GMV"</v>
          </cell>
          <cell r="C49" t="str">
            <v>//shrzboost01/TRUMPF.NET/DATA_PDM2/Stöbich/Aufträge.GEO</v>
          </cell>
        </row>
        <row r="50">
          <cell r="A50" t="str">
            <v>0711121</v>
          </cell>
          <cell r="B50" t="str">
            <v>"//shrzboost01/TRUMPF.NET/DATA_PDM2/Stöbich/Varianten/0711121.GMV"</v>
          </cell>
          <cell r="C50" t="str">
            <v>//shrzboost01/TRUMPF.NET/DATA_PDM2/Stöbich/Aufträge.GEO</v>
          </cell>
        </row>
        <row r="51">
          <cell r="A51" t="str">
            <v>0711122</v>
          </cell>
          <cell r="B51" t="str">
            <v>"//shrzboost01/TRUMPF.NET/DATA_PDM2/Stöbich/Varianten/0711122.GMV"</v>
          </cell>
          <cell r="C51" t="str">
            <v>//shrzboost01/TRUMPF.NET/DATA_PDM2/Stöbich/Aufträge.GEO</v>
          </cell>
        </row>
        <row r="52">
          <cell r="A52" t="str">
            <v>0711123</v>
          </cell>
          <cell r="B52" t="str">
            <v>"//shrzboost01/TRUMPF.NET/DATA_PDM2/Stöbich/Varianten/0711123.GMV"</v>
          </cell>
          <cell r="C52" t="str">
            <v>//shrzboost01/TRUMPF.NET/DATA_PDM2/Stöbich/Aufträge.GEO</v>
          </cell>
        </row>
        <row r="53">
          <cell r="A53" t="str">
            <v>0711124</v>
          </cell>
          <cell r="B53" t="str">
            <v>"//shrzboost01/TRUMPF.NET/DATA_PDM2/Stöbich/Varianten/0711124.GMV"</v>
          </cell>
          <cell r="C53" t="str">
            <v>//shrzboost01/TRUMPF.NET/DATA_PDM2/Stöbich/Aufträge.GEO</v>
          </cell>
        </row>
        <row r="54">
          <cell r="A54" t="str">
            <v>0711125</v>
          </cell>
          <cell r="B54" t="str">
            <v>"//shrzboost01/TRUMPF.NET/DATA_PDM2/Stöbich/Varianten/0711125.GMV"</v>
          </cell>
          <cell r="C54" t="str">
            <v>//shrzboost01/TRUMPF.NET/DATA_PDM2/Stöbich/Aufträge.GEO</v>
          </cell>
        </row>
        <row r="55">
          <cell r="A55" t="str">
            <v>0711126</v>
          </cell>
          <cell r="B55" t="str">
            <v>"//shrzboost01/TRUMPF.NET/DATA_PDM2/Stöbich/Varianten/0711126.GMV"</v>
          </cell>
          <cell r="C55" t="str">
            <v>//shrzboost01/TRUMPF.NET/DATA_PDM2/Stöbich/Aufträge.GEO</v>
          </cell>
        </row>
        <row r="56">
          <cell r="A56" t="str">
            <v>0711127</v>
          </cell>
          <cell r="B56" t="str">
            <v>"//shrzboost01/TRUMPF.NET/DATA_PDM2/Stöbich/Varianten/0711127.GMV"</v>
          </cell>
          <cell r="C56" t="str">
            <v>//shrzboost01/TRUMPF.NET/DATA_PDM2/Stöbich/Aufträge.GEO</v>
          </cell>
        </row>
        <row r="57">
          <cell r="A57" t="str">
            <v>0717365</v>
          </cell>
          <cell r="B57" t="str">
            <v>"//shrzboost01/TRUMPF.NET/DATA_PDM2/Stöbich/Varianten/0717365.GMV"</v>
          </cell>
          <cell r="C57" t="str">
            <v>//shrzboost01/TRUMPF.NET/DATA_PDM2/Stöbich/Aufträge.GEO</v>
          </cell>
        </row>
        <row r="58">
          <cell r="B58" t="str">
            <v>"//shrzboost01/TRUMPF.NET/DATA_PDM2/Stöbich/Varianten/.GMV"</v>
          </cell>
          <cell r="C58" t="str">
            <v>//shrzboost01/TRUMPF.NET/DATA_PDM2/Stöbich/Aufträge.GEO</v>
          </cell>
        </row>
        <row r="59">
          <cell r="A59" t="str">
            <v>0711128</v>
          </cell>
          <cell r="B59" t="str">
            <v>"//shrzboost01/TRUMPF.NET/DATA_PDM2/Stöbich/Varianten/0711128.GMV"</v>
          </cell>
          <cell r="C59" t="str">
            <v>//shrzboost01/TRUMPF.NET/DATA_PDM2/Stöbich/Aufträge.GEO</v>
          </cell>
        </row>
        <row r="60">
          <cell r="A60" t="str">
            <v>0711129</v>
          </cell>
          <cell r="B60" t="str">
            <v>"//shrzboost01/TRUMPF.NET/DATA_PDM2/Stöbich/Varianten/0711129.GMV"</v>
          </cell>
          <cell r="C60" t="str">
            <v>//shrzboost01/TRUMPF.NET/DATA_PDM2/Stöbich/Aufträge.GEO</v>
          </cell>
        </row>
        <row r="61">
          <cell r="A61" t="str">
            <v>0711130</v>
          </cell>
          <cell r="B61" t="str">
            <v>"//shrzboost01/TRUMPF.NET/DATA_PDM2/Stöbich/Varianten/0711130.GMV"</v>
          </cell>
          <cell r="C61" t="str">
            <v>//shrzboost01/TRUMPF.NET/DATA_PDM2/Stöbich/Aufträge.GEO</v>
          </cell>
        </row>
        <row r="62">
          <cell r="A62" t="str">
            <v>0711131</v>
          </cell>
          <cell r="B62" t="str">
            <v>"//shrzboost01/TRUMPF.NET/DATA_PDM2/Stöbich/Varianten/0711131.GMV"</v>
          </cell>
          <cell r="C62" t="str">
            <v>//shrzboost01/TRUMPF.NET/DATA_PDM2/Stöbich/Aufträge.GEO</v>
          </cell>
        </row>
        <row r="63">
          <cell r="A63" t="str">
            <v>0711132</v>
          </cell>
          <cell r="B63" t="str">
            <v>"//shrzboost01/TRUMPF.NET/DATA_PDM2/Stöbich/Varianten/0711132.GMV"</v>
          </cell>
          <cell r="C63" t="str">
            <v>//shrzboost01/TRUMPF.NET/DATA_PDM2/Stöbich/Aufträge.GEO</v>
          </cell>
        </row>
        <row r="64">
          <cell r="A64" t="str">
            <v>0711133</v>
          </cell>
          <cell r="B64" t="str">
            <v>"//shrzboost01/TRUMPF.NET/DATA_PDM2/Stöbich/Varianten/0711133.GMV"</v>
          </cell>
          <cell r="C64" t="str">
            <v>//shrzboost01/TRUMPF.NET/DATA_PDM2/Stöbich/Aufträge.GEO</v>
          </cell>
        </row>
        <row r="65">
          <cell r="A65" t="str">
            <v>0711134</v>
          </cell>
          <cell r="B65" t="str">
            <v>"//shrzboost01/TRUMPF.NET/DATA_PDM2/Stöbich/Varianten/0711134.GMV"</v>
          </cell>
          <cell r="C65" t="str">
            <v>//shrzboost01/TRUMPF.NET/DATA_PDM2/Stöbich/Aufträge.GEO</v>
          </cell>
        </row>
        <row r="66">
          <cell r="A66" t="str">
            <v>0711135</v>
          </cell>
          <cell r="B66" t="str">
            <v>"//shrzboost01/TRUMPF.NET/DATA_PDM2/Stöbich/Varianten/0711135.GMV"</v>
          </cell>
          <cell r="C66" t="str">
            <v>//shrzboost01/TRUMPF.NET/DATA_PDM2/Stöbich/Aufträge.GEO</v>
          </cell>
        </row>
        <row r="67">
          <cell r="A67" t="str">
            <v>0711138</v>
          </cell>
          <cell r="B67" t="str">
            <v>"//shrzboost01/TRUMPF.NET/DATA_PDM2/Stöbich/Varianten/0711138.GMV"</v>
          </cell>
          <cell r="C67" t="str">
            <v>//shrzboost01/TRUMPF.NET/DATA_PDM2/Stöbich/Aufträge.GEO</v>
          </cell>
        </row>
        <row r="68">
          <cell r="A68" t="str">
            <v>0711140</v>
          </cell>
          <cell r="B68" t="str">
            <v>"//shrzboost01/TRUMPF.NET/DATA_PDM2/Stöbich/Varianten/0711140.GMV"</v>
          </cell>
          <cell r="C68" t="str">
            <v>//shrzboost01/TRUMPF.NET/DATA_PDM2/Stöbich/Aufträge.GEO</v>
          </cell>
        </row>
        <row r="69">
          <cell r="A69" t="str">
            <v>0711143</v>
          </cell>
          <cell r="B69" t="str">
            <v>"//shrzboost01/TRUMPF.NET/DATA_PDM2/Stöbich/Varianten/0711143.GMV"</v>
          </cell>
          <cell r="C69" t="str">
            <v>//shrzboost01/TRUMPF.NET/DATA_PDM2/Stöbich/Aufträge.GEO</v>
          </cell>
        </row>
        <row r="70">
          <cell r="A70" t="str">
            <v>0711144</v>
          </cell>
          <cell r="B70" t="str">
            <v>"//shrzboost01/TRUMPF.NET/DATA_PDM2/Stöbich/Varianten/0711144.GMV"</v>
          </cell>
          <cell r="C70" t="str">
            <v>//shrzboost01/TRUMPF.NET/DATA_PDM2/Stöbich/Aufträge.GEO</v>
          </cell>
        </row>
        <row r="71">
          <cell r="A71" t="str">
            <v>0711145</v>
          </cell>
          <cell r="B71" t="str">
            <v>"//shrzboost01/TRUMPF.NET/DATA_PDM2/Stöbich/Varianten/0711145.GMV"</v>
          </cell>
          <cell r="C71" t="str">
            <v>//shrzboost01/TRUMPF.NET/DATA_PDM2/Stöbich/Aufträge.GEO</v>
          </cell>
        </row>
        <row r="72">
          <cell r="A72" t="str">
            <v>0711146</v>
          </cell>
          <cell r="B72" t="str">
            <v>"//shrzboost01/TRUMPF.NET/DATA_PDM2/Stöbich/Varianten/0711146.GMV"</v>
          </cell>
          <cell r="C72" t="str">
            <v>//shrzboost01/TRUMPF.NET/DATA_PDM2/Stöbich/Aufträge.GEO</v>
          </cell>
        </row>
        <row r="73">
          <cell r="A73" t="str">
            <v>0711147</v>
          </cell>
          <cell r="B73" t="str">
            <v>"//shrzboost01/TRUMPF.NET/DATA_PDM2/Stöbich/Varianten/0711147.GMV"</v>
          </cell>
          <cell r="C73" t="str">
            <v>//shrzboost01/TRUMPF.NET/DATA_PDM2/Stöbich/Aufträge.GEO</v>
          </cell>
        </row>
        <row r="74">
          <cell r="A74" t="str">
            <v>0711148</v>
          </cell>
          <cell r="B74" t="str">
            <v>"//shrzboost01/TRUMPF.NET/DATA_PDM2/Stöbich/Varianten/0711148.GMV"</v>
          </cell>
          <cell r="C74" t="str">
            <v>//shrzboost01/TRUMPF.NET/DATA_PDM2/Stöbich/Aufträge.GEO</v>
          </cell>
        </row>
        <row r="75">
          <cell r="A75" t="str">
            <v>0711149</v>
          </cell>
          <cell r="B75" t="str">
            <v>"//shrzboost01/TRUMPF.NET/DATA_PDM2/Stöbich/Varianten/0711149.GMV"</v>
          </cell>
          <cell r="C75" t="str">
            <v>//shrzboost01/TRUMPF.NET/DATA_PDM2/Stöbich/Aufträge.GEO</v>
          </cell>
        </row>
        <row r="76">
          <cell r="A76" t="str">
            <v>0711150</v>
          </cell>
          <cell r="B76" t="str">
            <v>"//shrzboost01/TRUMPF.NET/DATA_PDM2/Stöbich/Varianten/0711150.GMV"</v>
          </cell>
          <cell r="C76" t="str">
            <v>//shrzboost01/TRUMPF.NET/DATA_PDM2/Stöbich/Aufträge.GEO</v>
          </cell>
        </row>
        <row r="77">
          <cell r="A77" t="str">
            <v>0711151</v>
          </cell>
          <cell r="B77" t="str">
            <v>"//shrzboost01/TRUMPF.NET/DATA_PDM2/Stöbich/Varianten/0711151.GMV"</v>
          </cell>
          <cell r="C77" t="str">
            <v>//shrzboost01/TRUMPF.NET/DATA_PDM2/Stöbich/Aufträge.GEO</v>
          </cell>
        </row>
        <row r="78">
          <cell r="A78" t="str">
            <v>0711152</v>
          </cell>
          <cell r="B78" t="str">
            <v>"//shrzboost01/TRUMPF.NET/DATA_PDM2/Stöbich/Varianten/0711152.GMV"</v>
          </cell>
          <cell r="C78" t="str">
            <v>//shrzboost01/TRUMPF.NET/DATA_PDM2/Stöbich/Aufträge.GEO</v>
          </cell>
        </row>
        <row r="79">
          <cell r="A79"/>
          <cell r="B79"/>
          <cell r="C79"/>
        </row>
        <row r="80">
          <cell r="A80" t="str">
            <v>0711183</v>
          </cell>
          <cell r="B80" t="str">
            <v>"//shrzboost01/TRUMPF.NET/DATA_PDM2/Stöbich/Varianten/0711183.GMV"</v>
          </cell>
          <cell r="C80" t="str">
            <v>//shrzboost01/TRUMPF.NET/DATA_PDM2/Stöbich/Aufträge.GEO</v>
          </cell>
        </row>
        <row r="81">
          <cell r="A81"/>
          <cell r="B81"/>
          <cell r="C81"/>
        </row>
        <row r="82">
          <cell r="A82" t="str">
            <v>0711185</v>
          </cell>
          <cell r="B82" t="str">
            <v>"//shrzboost01/TRUMPF.NET/DATA_PDM2/Stöbich/Varianten/0711185.GMV"</v>
          </cell>
          <cell r="C82" t="str">
            <v>//shrzboost01/TRUMPF.NET/DATA_PDM2/Stöbich/Aufträge.GEO</v>
          </cell>
        </row>
        <row r="83">
          <cell r="A83" t="str">
            <v>0711186</v>
          </cell>
          <cell r="B83" t="str">
            <v>"//shrzboost01/TRUMPF.NET/DATA_PDM2/Stöbich/Varianten/0711186.GMV"</v>
          </cell>
          <cell r="C83" t="str">
            <v>//shrzboost01/TRUMPF.NET/DATA_PDM2/Stöbich/Aufträge.GEO</v>
          </cell>
        </row>
        <row r="84">
          <cell r="A84"/>
          <cell r="B84"/>
          <cell r="C84"/>
        </row>
        <row r="85">
          <cell r="A85" t="str">
            <v>0704698</v>
          </cell>
          <cell r="B85" t="str">
            <v>"//shrzboost01/TRUMPF.NET/DATA_PDM2/Stöbich/Varianten/0704698.GMV"</v>
          </cell>
          <cell r="C85" t="str">
            <v>//shrzboost01/TRUMPF.NET/DATA_PDM2/Stöbich/Aufträge.GEO</v>
          </cell>
        </row>
        <row r="86">
          <cell r="A86" t="str">
            <v>0704699</v>
          </cell>
          <cell r="B86" t="str">
            <v>"//shrzboost01/TRUMPF.NET/DATA_PDM2/Stöbich/Varianten/0704699.GMV"</v>
          </cell>
          <cell r="C86" t="str">
            <v>//shrzboost01/TRUMPF.NET/DATA_PDM2/Stöbich/Aufträge.GEO</v>
          </cell>
        </row>
        <row r="87">
          <cell r="A87" t="str">
            <v>0704700</v>
          </cell>
          <cell r="B87" t="str">
            <v>"//shrzboost01/TRUMPF.NET/DATA_PDM2/Stöbich/Varianten/0704700.GMV"</v>
          </cell>
          <cell r="C87" t="str">
            <v>//shrzboost01/TRUMPF.NET/DATA_PDM2/Stöbich/Aufträge.GEO</v>
          </cell>
        </row>
        <row r="88">
          <cell r="A88" t="str">
            <v>0704701</v>
          </cell>
          <cell r="B88" t="str">
            <v>"//shrzboost01/TRUMPF.NET/DATA_PDM2/Stöbich/Varianten/0704701.GMV"</v>
          </cell>
          <cell r="C88" t="str">
            <v>//shrzboost01/TRUMPF.NET/DATA_PDM2/Stöbich/Aufträge.GEO</v>
          </cell>
        </row>
        <row r="89">
          <cell r="A89" t="str">
            <v>0704702</v>
          </cell>
          <cell r="B89" t="str">
            <v>"//shrzboost01/TRUMPF.NET/DATA_PDM2/Stöbich/Varianten/0704702.GMV"</v>
          </cell>
          <cell r="C89" t="str">
            <v>//shrzboost01/TRUMPF.NET/DATA_PDM2/Stöbich/Aufträge.GEO</v>
          </cell>
        </row>
        <row r="90">
          <cell r="A90" t="str">
            <v>0704703</v>
          </cell>
          <cell r="B90" t="str">
            <v>"//shrzboost01/TRUMPF.NET/DATA_PDM2/Stöbich/Varianten/0704703.GMV"</v>
          </cell>
          <cell r="C90" t="str">
            <v>//shrzboost01/TRUMPF.NET/DATA_PDM2/Stöbich/Aufträge.GEO</v>
          </cell>
        </row>
        <row r="91">
          <cell r="A91" t="str">
            <v>0704706</v>
          </cell>
          <cell r="B91" t="str">
            <v>"//shrzboost01/TRUMPF.NET/DATA_PDM2/Stöbich/Varianten/0704706.GMV"</v>
          </cell>
          <cell r="C91" t="str">
            <v>//shrzboost01/TRUMPF.NET/DATA_PDM2/Stöbich/Aufträge.GEO</v>
          </cell>
        </row>
        <row r="92">
          <cell r="A92" t="str">
            <v>0704707</v>
          </cell>
          <cell r="B92" t="str">
            <v>"//shrzboost01/TRUMPF.NET/DATA_PDM2/Stöbich/Varianten/0704707.GMV"</v>
          </cell>
          <cell r="C92" t="str">
            <v>//shrzboost01/TRUMPF.NET/DATA_PDM2/Stöbich/Aufträge.GEO</v>
          </cell>
        </row>
        <row r="93">
          <cell r="A93" t="str">
            <v>0704708</v>
          </cell>
          <cell r="B93" t="str">
            <v>"//shrzboost01/TRUMPF.NET/DATA_PDM2/Stöbich/Varianten/0704708.GMV"</v>
          </cell>
          <cell r="C93" t="str">
            <v>//shrzboost01/TRUMPF.NET/DATA_PDM2/Stöbich/Aufträge.GEO</v>
          </cell>
        </row>
        <row r="94">
          <cell r="A94" t="str">
            <v>0704709</v>
          </cell>
          <cell r="B94" t="str">
            <v>"//shrzboost01/TRUMPF.NET/DATA_PDM2/Stöbich/Varianten/0704709.GMV"</v>
          </cell>
          <cell r="C94" t="str">
            <v>//shrzboost01/TRUMPF.NET/DATA_PDM2/Stöbich/Aufträge.GEO</v>
          </cell>
        </row>
        <row r="95">
          <cell r="A95" t="str">
            <v>0704710</v>
          </cell>
          <cell r="B95" t="str">
            <v>"//shrzboost01/TRUMPF.NET/DATA_PDM2/Stöbich/Varianten/0704710.GMV"</v>
          </cell>
          <cell r="C95" t="str">
            <v>//shrzboost01/TRUMPF.NET/DATA_PDM2/Stöbich/Aufträge.GEO</v>
          </cell>
        </row>
        <row r="96">
          <cell r="A96" t="str">
            <v>0704711</v>
          </cell>
          <cell r="B96" t="str">
            <v>"//shrzboost01/TRUMPF.NET/DATA_PDM2/Stöbich/Varianten/0704711.GMV"</v>
          </cell>
          <cell r="C96" t="str">
            <v>//shrzboost01/TRUMPF.NET/DATA_PDM2/Stöbich/Aufträge.GEO</v>
          </cell>
        </row>
        <row r="97">
          <cell r="A97" t="str">
            <v>0704714</v>
          </cell>
          <cell r="B97" t="str">
            <v>"//shrzboost01/TRUMPF.NET/DATA_PDM2/Stöbich/Varianten/0704714.GMV"</v>
          </cell>
          <cell r="C97" t="str">
            <v>//shrzboost01/TRUMPF.NET/DATA_PDM2/Stöbich/Aufträge.GEO</v>
          </cell>
        </row>
        <row r="98">
          <cell r="A98"/>
          <cell r="B98" t="str">
            <v>"//shrzboost01/TRUMPF.NET/DATA_PDM2/Stöbich/Varianten/.GMV"</v>
          </cell>
          <cell r="C98" t="str">
            <v>//shrzboost01/TRUMPF.NET/DATA_PDM2/Stöbich/Aufträge.GEO</v>
          </cell>
        </row>
        <row r="99">
          <cell r="A99" t="str">
            <v>0704746</v>
          </cell>
          <cell r="B99" t="str">
            <v>"//shrzboost01/TRUMPF.NET/DATA_PDM2/Stöbich/Varianten/0704746.GMV"</v>
          </cell>
          <cell r="C99" t="str">
            <v>//shrzboost01/TRUMPF.NET/DATA_PDM2/Stöbich/Aufträge.GEO</v>
          </cell>
        </row>
        <row r="100">
          <cell r="A100" t="str">
            <v>0704747</v>
          </cell>
          <cell r="B100" t="str">
            <v>"//shrzboost01/TRUMPF.NET/DATA_PDM2/Stöbich/Varianten/0704747.GMV"</v>
          </cell>
          <cell r="C100" t="str">
            <v>//shrzboost01/TRUMPF.NET/DATA_PDM2/Stöbich/Aufträge.GEO</v>
          </cell>
        </row>
        <row r="101">
          <cell r="A101" t="str">
            <v>0704748</v>
          </cell>
          <cell r="B101" t="str">
            <v>"//shrzboost01/TRUMPF.NET/DATA_PDM2/Stöbich/Varianten/0704748.GMV"</v>
          </cell>
          <cell r="C101" t="str">
            <v>//shrzboost01/TRUMPF.NET/DATA_PDM2/Stöbich/Aufträge.GEO</v>
          </cell>
        </row>
        <row r="102">
          <cell r="A102" t="str">
            <v>0704749</v>
          </cell>
          <cell r="B102" t="str">
            <v>"//shrzboost01/TRUMPF.NET/DATA_PDM2/Stöbich/Varianten/0704749.GMV"</v>
          </cell>
          <cell r="C102" t="str">
            <v>//shrzboost01/TRUMPF.NET/DATA_PDM2/Stöbich/Aufträge.GEO</v>
          </cell>
        </row>
        <row r="103">
          <cell r="A103"/>
          <cell r="B103" t="str">
            <v>"//shrzboost01/TRUMPF.NET/DATA_PDM2/Stöbich/Varianten/.GMV"</v>
          </cell>
          <cell r="C103" t="str">
            <v>//shrzboost01/TRUMPF.NET/DATA_PDM2/Stöbich/Aufträge.GEO</v>
          </cell>
        </row>
        <row r="104">
          <cell r="A104" t="str">
            <v>0711791</v>
          </cell>
          <cell r="B104" t="str">
            <v>"//shrzboost01/TRUMPF.NET/DATA_PDM2/Stöbich/Varianten/0711791.GMV"</v>
          </cell>
          <cell r="C104" t="str">
            <v>//shrzboost01/TRUMPF.NET/DATA_PDM2/Stöbich/Aufträge.GEO</v>
          </cell>
        </row>
        <row r="105">
          <cell r="A105" t="str">
            <v>0711792</v>
          </cell>
          <cell r="B105" t="str">
            <v>"//shrzboost01/TRUMPF.NET/DATA_PDM2/Stöbich/Varianten/0711792.GMV"</v>
          </cell>
          <cell r="C105" t="str">
            <v>//shrzboost01/TRUMPF.NET/DATA_PDM2/Stöbich/Aufträge.GEO</v>
          </cell>
        </row>
        <row r="106">
          <cell r="A106" t="str">
            <v>0711793</v>
          </cell>
          <cell r="B106" t="str">
            <v>"//shrzboost01/TRUMPF.NET/DATA_PDM2/Stöbich/Varianten/0711793.GMV"</v>
          </cell>
          <cell r="C106" t="str">
            <v>//shrzboost01/TRUMPF.NET/DATA_PDM2/Stöbich/Aufträge.GEO</v>
          </cell>
        </row>
        <row r="107">
          <cell r="A107" t="str">
            <v>0711142</v>
          </cell>
          <cell r="B107" t="str">
            <v>"//shrzboost01/TRUMPF.NET/DATA_PDM2/Stöbich/Varianten/0711142.GMV"</v>
          </cell>
          <cell r="C107" t="str">
            <v>//shrzboost01/TRUMPF.NET/DATA_PDM2/Stöbich/Aufträge.GEO</v>
          </cell>
        </row>
        <row r="108">
          <cell r="A108" t="str">
            <v>0713126</v>
          </cell>
          <cell r="B108" t="str">
            <v>"//shrzboost01/TRUMPF.NET/DATA_PDM2/Stöbich/Varianten/0713126.GMV"</v>
          </cell>
          <cell r="C108" t="str">
            <v>//shrzboost01/TRUMPF.NET/DATA_PDM2/Stöbich/Aufträge.GEO</v>
          </cell>
        </row>
        <row r="109">
          <cell r="A109" t="str">
            <v>0713127</v>
          </cell>
          <cell r="B109" t="str">
            <v>"//shrzboost01/TRUMPF.NET/DATA_PDM2/Stöbich/Varianten/0713127.GMV"</v>
          </cell>
          <cell r="C109" t="str">
            <v>//shrzboost01/TRUMPF.NET/DATA_PDM2/Stöbich/Aufträge.GEO</v>
          </cell>
        </row>
        <row r="110">
          <cell r="A110" t="str">
            <v>0713128</v>
          </cell>
          <cell r="B110" t="str">
            <v>"//shrzboost01/TRUMPF.NET/DATA_PDM2/Stöbich/Varianten/0713128.GMV"</v>
          </cell>
          <cell r="C110" t="str">
            <v>//shrzboost01/TRUMPF.NET/DATA_PDM2/Stöbich/Aufträge.GEO</v>
          </cell>
        </row>
        <row r="111">
          <cell r="A111" t="str">
            <v>0713129</v>
          </cell>
          <cell r="B111" t="str">
            <v>"//shrzboost01/TRUMPF.NET/DATA_PDM2/Stöbich/Varianten/0713129.GMV"</v>
          </cell>
          <cell r="C111" t="str">
            <v>//shrzboost01/TRUMPF.NET/DATA_PDM2/Stöbich/Aufträge.GEO</v>
          </cell>
        </row>
        <row r="112">
          <cell r="A112" t="str">
            <v>0713130</v>
          </cell>
          <cell r="B112" t="str">
            <v>"//shrzboost01/TRUMPF.NET/DATA_PDM2/Stöbich/Varianten/0713130.GMV"</v>
          </cell>
          <cell r="C112" t="str">
            <v>//shrzboost01/TRUMPF.NET/DATA_PDM2/Stöbich/Aufträge.GEO</v>
          </cell>
        </row>
        <row r="113">
          <cell r="A113" t="str">
            <v>0713131</v>
          </cell>
          <cell r="B113" t="str">
            <v>"//shrzboost01/TRUMPF.NET/DATA_PDM2/Stöbich/Varianten/0713131.GMV"</v>
          </cell>
          <cell r="C113" t="str">
            <v>//shrzboost01/TRUMPF.NET/DATA_PDM2/Stöbich/Aufträge.GEO</v>
          </cell>
        </row>
        <row r="114">
          <cell r="A114" t="str">
            <v>0717290</v>
          </cell>
          <cell r="B114" t="str">
            <v>"//shrzboost01/TRUMPF.NET/DATA_PDM2/Stöbich/Varianten/0717290_0717292.GMV"</v>
          </cell>
          <cell r="C114" t="str">
            <v>//shrzboost01/TRUMPF.NET/DATA_PDM2/Stöbich/Aufträge.GEO</v>
          </cell>
        </row>
        <row r="115">
          <cell r="A115" t="str">
            <v>0717291</v>
          </cell>
          <cell r="B115" t="str">
            <v>"//shrzboost01/TRUMPF.NET/DATA_PDM2/Stöbich/Varianten/0717291_0717292.GMV"</v>
          </cell>
          <cell r="C115" t="str">
            <v>//shrzboost01/TRUMPF.NET/DATA_PDM2/Stöbich/Aufträge.GEO</v>
          </cell>
        </row>
        <row r="116">
          <cell r="A116" t="str">
            <v>0717292</v>
          </cell>
          <cell r="B116"/>
          <cell r="C116" t="str">
            <v>//shrzboost01/TRUMPF.NET/DATA_PDM2/Stöbich/Aufträge.GEO</v>
          </cell>
        </row>
        <row r="117">
          <cell r="A117" t="str">
            <v>0717293</v>
          </cell>
          <cell r="B117" t="str">
            <v>"//shrzboost01/TRUMPF.NET/DATA_PDM2/Stöbich/Varianten/0717293.GMV"</v>
          </cell>
          <cell r="C117" t="str">
            <v>//shrzboost01/TRUMPF.NET/DATA_PDM2/Stöbich/Aufträge.GEO</v>
          </cell>
        </row>
        <row r="118">
          <cell r="A118" t="str">
            <v>0717294</v>
          </cell>
          <cell r="B118" t="str">
            <v>"//shrzboost01/TRUMPF.NET/DATA_PDM2/Stöbich/Varianten/0717294_0717295.GMV"</v>
          </cell>
          <cell r="C118" t="str">
            <v>//shrzboost01/TRUMPF.NET/DATA_PDM2/Stöbich/Aufträge.GEO</v>
          </cell>
        </row>
        <row r="119">
          <cell r="A119" t="str">
            <v>0717295</v>
          </cell>
          <cell r="B119"/>
          <cell r="C119" t="str">
            <v>//shrzboost01/TRUMPF.NET/DATA_PDM2/Stöbich/Aufträge.GEO</v>
          </cell>
        </row>
        <row r="120">
          <cell r="A120" t="str">
            <v>0717296</v>
          </cell>
          <cell r="B120" t="str">
            <v>"//shrzboost01/TRUMPF.NET/DATA_PDM2/Stöbich/Varianten/Moducoil/0717296.GMV"</v>
          </cell>
          <cell r="C120" t="str">
            <v>//shrzboost01/TRUMPF.NET/DATA_PDM2/Stöbich/Aufträge.GEO</v>
          </cell>
        </row>
        <row r="121">
          <cell r="A121" t="str">
            <v>0717298</v>
          </cell>
          <cell r="B121" t="str">
            <v>"//shrzboost01/TRUMPF.NET/DATA_PDM2/Stöbich/Varianten/Moducoil/0717298.GMV"</v>
          </cell>
          <cell r="C121" t="str">
            <v>//shrzboost01/TRUMPF.NET/DATA_PDM2/Stöbich/Aufträge.GEO</v>
          </cell>
        </row>
        <row r="122">
          <cell r="A122" t="str">
            <v>0717299</v>
          </cell>
          <cell r="B122" t="str">
            <v>"//shrzboost01/TRUMPF.NET/DATA_PDM2/Stöbich/Varianten/Moducoil/0717299.GMV"</v>
          </cell>
          <cell r="C122" t="str">
            <v>//shrzboost01/TRUMPF.NET/DATA_PDM2/Stöbich/Aufträge.GEO</v>
          </cell>
        </row>
        <row r="123">
          <cell r="A123" t="str">
            <v>0717300</v>
          </cell>
          <cell r="B123" t="str">
            <v>"//shrzboost01/TRUMPF.NET/DATA_PDM2/Stöbich/Varianten/Moducoil/0717300.GMV"</v>
          </cell>
          <cell r="C123" t="str">
            <v>//shrzboost01/TRUMPF.NET/DATA_PDM2/Stöbich/Aufträge.GEO</v>
          </cell>
        </row>
        <row r="124">
          <cell r="A124"/>
          <cell r="B124"/>
          <cell r="C124" t="str">
            <v>//shrzboost01/TRUMPF.NET/DATA_PDM2/Stöbich/Aufträge.GEO</v>
          </cell>
        </row>
        <row r="125">
          <cell r="A125" t="str">
            <v>0704486</v>
          </cell>
          <cell r="B125" t="str">
            <v>"//shrzboost01/TRUMPF.NET/DATA_PDM2/Stöbich/Varianten/0704486.GMV"</v>
          </cell>
          <cell r="C125" t="str">
            <v>//shrzboost01/TRUMPF.NET/DATA_PDM2/Stöbich/Aufträge.GEO</v>
          </cell>
        </row>
        <row r="126">
          <cell r="A126" t="str">
            <v>0704487</v>
          </cell>
          <cell r="B126" t="str">
            <v>"//shrzboost01/TRUMPF.NET/DATA_PDM2/Stöbich/Varianten/0704487.GMV"</v>
          </cell>
          <cell r="C126" t="str">
            <v>//shrzboost01/TRUMPF.NET/DATA_PDM2/Stöbich/Aufträge.GEO</v>
          </cell>
        </row>
        <row r="127">
          <cell r="A127" t="str">
            <v>0710471</v>
          </cell>
          <cell r="B127" t="str">
            <v>"//shrzboost01/TRUMPF.NET/DATA_PDM2/Stöbich/Varianten/0710471.GMV"</v>
          </cell>
          <cell r="C127" t="str">
            <v>//shrzboost01/TRUMPF.NET/DATA_PDM2/Stöbich/Aufträge.GEO</v>
          </cell>
        </row>
        <row r="128">
          <cell r="A128" t="str">
            <v>0711187</v>
          </cell>
          <cell r="B128" t="str">
            <v>"//shrzboost01/TRUMPF.NET/DATA_PDM2/Stöbich/Varianten/0711187.GMV"</v>
          </cell>
          <cell r="C128" t="str">
            <v>//shrzboost01/TRUMPF.NET/DATA_PDM2/Stöbich/Aufträge.GEO</v>
          </cell>
        </row>
        <row r="129">
          <cell r="A129" t="str">
            <v>0711188</v>
          </cell>
          <cell r="B129" t="str">
            <v>"//shrzboost01/TRUMPF.NET/DATA_PDM2/Stöbich/Varianten/0711188.GMV"</v>
          </cell>
          <cell r="C129" t="str">
            <v>//shrzboost01/TRUMPF.NET/DATA_PDM2/Stöbich/Aufträge.GEO</v>
          </cell>
        </row>
        <row r="130">
          <cell r="A130" t="str">
            <v>0711189</v>
          </cell>
          <cell r="B130" t="str">
            <v>"//shrzboost01/TRUMPF.NET/DATA_PDM2/Stöbich/Varianten/0711189.GMV"</v>
          </cell>
          <cell r="C130" t="str">
            <v>//shrzboost01/TRUMPF.NET/DATA_PDM2/Stöbich/Aufträge.GEO</v>
          </cell>
        </row>
        <row r="131">
          <cell r="A131" t="str">
            <v>0711190</v>
          </cell>
          <cell r="B131" t="str">
            <v>"//shrzboost01/TRUMPF.NET/DATA_PDM2/Stöbich/Varianten/0711190.GMV"</v>
          </cell>
          <cell r="C131" t="str">
            <v>//shrzboost01/TRUMPF.NET/DATA_PDM2/Stöbich/Aufträge.GEO</v>
          </cell>
        </row>
        <row r="132">
          <cell r="A132" t="str">
            <v>0711191</v>
          </cell>
          <cell r="B132" t="str">
            <v>"//shrzboost01/TRUMPF.NET/DATA_PDM2/Stöbich/Varianten/0711191.GMV"</v>
          </cell>
          <cell r="C132" t="str">
            <v>//shrzboost01/TRUMPF.NET/DATA_PDM2/Stöbich/Aufträge.GEO</v>
          </cell>
        </row>
        <row r="133">
          <cell r="A133" t="str">
            <v>0711192</v>
          </cell>
          <cell r="B133" t="str">
            <v>"//shrzboost01/TRUMPF.NET/DATA_PDM2/Stöbich/Varianten/0711192.GMV"</v>
          </cell>
          <cell r="C133" t="str">
            <v>//shrzboost01/TRUMPF.NET/DATA_PDM2/Stöbich/Aufträge.GEO</v>
          </cell>
        </row>
        <row r="134">
          <cell r="A134" t="str">
            <v>0711193</v>
          </cell>
          <cell r="B134" t="str">
            <v>"//shrzboost01/TRUMPF.NET/DATA_PDM2/Stöbich/Varianten/0711193.GMV"</v>
          </cell>
          <cell r="C134" t="str">
            <v>//shrzboost01/TRUMPF.NET/DATA_PDM2/Stöbich/Aufträge.GEO</v>
          </cell>
        </row>
        <row r="135">
          <cell r="A135" t="str">
            <v>0711194</v>
          </cell>
          <cell r="B135" t="str">
            <v>"//shrzboost01/TRUMPF.NET/DATA_PDM2/Stöbich/Varianten/0711194.GMV"</v>
          </cell>
          <cell r="C135" t="str">
            <v>//shrzboost01/TRUMPF.NET/DATA_PDM2/Stöbich/Aufträge.GEO</v>
          </cell>
        </row>
        <row r="136">
          <cell r="A136" t="str">
            <v>0711196</v>
          </cell>
          <cell r="B136" t="str">
            <v>"//shrzboost01/TRUMPF.NET/DATA_PDM2/Stöbich/Varianten/0711196.GMV"</v>
          </cell>
          <cell r="C136" t="str">
            <v>//shrzboost01/TRUMPF.NET/DATA_PDM2/Stöbich/Aufträge.GEO</v>
          </cell>
        </row>
        <row r="137">
          <cell r="A137" t="str">
            <v>0710259</v>
          </cell>
          <cell r="B137" t="str">
            <v>"//shrzboost01/TRUMPF.NET/DATA_PDM2/Stöbich/Varianten/0710259.GMV"</v>
          </cell>
          <cell r="C137" t="str">
            <v>//shrzboost01/TRUMPF.NET/DATA_PDM2/Stöbich/Aufträge.GEO</v>
          </cell>
        </row>
        <row r="138">
          <cell r="A138" t="str">
            <v>0710260</v>
          </cell>
          <cell r="B138" t="str">
            <v>"//shrzboost01/TRUMPF.NET/DATA_PDM2/Stöbich/Varianten/0710260.GMV"</v>
          </cell>
          <cell r="C138" t="str">
            <v>//shrzboost01/TRUMPF.NET/DATA_PDM2/Stöbich/Aufträge.GEO</v>
          </cell>
        </row>
        <row r="139">
          <cell r="A139" t="str">
            <v>0710261</v>
          </cell>
          <cell r="B139" t="str">
            <v>"//shrzboost01/TRUMPF.NET/DATA_PDM2/Stöbich/Varianten/0710261.GMV"</v>
          </cell>
          <cell r="C139" t="str">
            <v>//shrzboost01/TRUMPF.NET/DATA_PDM2/Stöbich/Aufträge.GEO</v>
          </cell>
        </row>
        <row r="140">
          <cell r="A140" t="str">
            <v>0713179</v>
          </cell>
          <cell r="B140" t="str">
            <v>"//shrzboost01/TRUMPF.NET/DATA_PDM2/Stöbich/Varianten/0713179.GMV"</v>
          </cell>
          <cell r="C140" t="str">
            <v>//shrzboost01/TRUMPF.NET/DATA_PDM2/Stöbich/Aufträge.GEO</v>
          </cell>
        </row>
        <row r="141">
          <cell r="A141" t="str">
            <v>0710286</v>
          </cell>
          <cell r="B141" t="str">
            <v>"//shrzboost01/TRUMPF.NET/DATA_PDM2/Stöbich/Varianten/0710286.GMV"</v>
          </cell>
          <cell r="C141" t="str">
            <v>//shrzboost01/TRUMPF.NET/DATA_PDM2/Stöbich/Aufträge.GEO</v>
          </cell>
        </row>
        <row r="142">
          <cell r="A142" t="str">
            <v>0712846</v>
          </cell>
          <cell r="B142" t="str">
            <v>"//shrzboost01/TRUMPF.NET/DATA_PDM2/Stöbich/Varianten/0712846.GMV"</v>
          </cell>
          <cell r="C142" t="str">
            <v>//shrzboost01/TRUMPF.NET/DATA_PDM2/Stöbich/Aufträge.GEO</v>
          </cell>
        </row>
        <row r="143">
          <cell r="A143" t="str">
            <v>0713180</v>
          </cell>
          <cell r="B143" t="str">
            <v>"//shrzboost01/TRUMPF.NET/DATA_PDM2/Stöbich/Varianten/0713180.GMV"</v>
          </cell>
          <cell r="C143" t="str">
            <v>//shrzboost01/TRUMPF.NET/DATA_PDM2/Stöbich/Aufträge.GEO</v>
          </cell>
        </row>
        <row r="144">
          <cell r="A144" t="str">
            <v>0710744</v>
          </cell>
          <cell r="B144" t="str">
            <v>"//shrzboost01/TRUMPF.NET/DATA_PDM2/Stöbich/Varianten/0710744.GMV"</v>
          </cell>
          <cell r="C144" t="str">
            <v>//shrzboost01/TRUMPF.NET/DATA_PDM2/Stöbich/Aufträge.GEO</v>
          </cell>
        </row>
        <row r="145">
          <cell r="A145" t="str">
            <v>0710745</v>
          </cell>
          <cell r="B145" t="str">
            <v>"//shrzboost01/TRUMPF.NET/DATA_PDM2/Stöbich/Varianten/0710745.GMV"</v>
          </cell>
          <cell r="C145" t="str">
            <v>//shrzboost01/TRUMPF.NET/DATA_PDM2/Stöbich/Aufträge.GEO</v>
          </cell>
        </row>
        <row r="146">
          <cell r="A146" t="str">
            <v>0710746</v>
          </cell>
          <cell r="B146" t="str">
            <v>"//shrzboost01/TRUMPF.NET/DATA_PDM2/Stöbich/Varianten/0710746.GMV"</v>
          </cell>
          <cell r="C146" t="str">
            <v>//shrzboost01/TRUMPF.NET/DATA_PDM2/Stöbich/Aufträge.GEO</v>
          </cell>
        </row>
        <row r="147">
          <cell r="A147" t="str">
            <v>0710747</v>
          </cell>
          <cell r="B147" t="str">
            <v>"//shrzboost01/TRUMPF.NET/DATA_PDM2/Stöbich/Varianten/0710747.GMV"</v>
          </cell>
          <cell r="C147" t="str">
            <v>//shrzboost01/TRUMPF.NET/DATA_PDM2/Stöbich/Aufträge.GEO</v>
          </cell>
        </row>
        <row r="148">
          <cell r="A148" t="str">
            <v>0710748</v>
          </cell>
          <cell r="B148" t="str">
            <v>"//shrzboost01/TRUMPF.NET/DATA_PDM2/Stöbich/Varianten/0710748.GMV"</v>
          </cell>
          <cell r="C148" t="str">
            <v>//shrzboost01/TRUMPF.NET/DATA_PDM2/Stöbich/Aufträge.GEO</v>
          </cell>
        </row>
        <row r="149">
          <cell r="A149" t="str">
            <v>0710749</v>
          </cell>
          <cell r="B149" t="str">
            <v>"//shrzboost01/TRUMPF.NET/DATA_PDM2/Stöbich/Varianten/0710749.GMV"</v>
          </cell>
          <cell r="C149" t="str">
            <v>//shrzboost01/TRUMPF.NET/DATA_PDM2/Stöbich/Aufträge.GEO</v>
          </cell>
        </row>
        <row r="150">
          <cell r="A150" t="str">
            <v>0710750</v>
          </cell>
          <cell r="B150" t="str">
            <v>"//shrzboost01/TRUMPF.NET/DATA_PDM2/Stöbich/Varianten/0710750.GMV"</v>
          </cell>
          <cell r="C150" t="str">
            <v>//shrzboost01/TRUMPF.NET/DATA_PDM2/Stöbich/Aufträge.GEO</v>
          </cell>
        </row>
        <row r="151">
          <cell r="A151" t="str">
            <v>0710751</v>
          </cell>
          <cell r="B151" t="str">
            <v>"//shrzboost01/TRUMPF.NET/DATA_PDM2/Stöbich/Varianten/0710751.GMV"</v>
          </cell>
          <cell r="C151" t="str">
            <v>//shrzboost01/TRUMPF.NET/DATA_PDM2/Stöbich/Aufträge.GEO</v>
          </cell>
        </row>
        <row r="152">
          <cell r="A152" t="str">
            <v>0710752</v>
          </cell>
          <cell r="B152" t="str">
            <v>"//shrzboost01/TRUMPF.NET/DATA_PDM2/Stöbich/Varianten/0710752.GMV"</v>
          </cell>
          <cell r="C152" t="str">
            <v>//shrzboost01/TRUMPF.NET/DATA_PDM2/Stöbich/Aufträge.GEO</v>
          </cell>
        </row>
        <row r="153">
          <cell r="A153" t="str">
            <v>0710753</v>
          </cell>
          <cell r="B153" t="str">
            <v>"//shrzboost01/TRUMPF.NET/DATA_PDM2/Stöbich/Varianten/0710753.GMV"</v>
          </cell>
          <cell r="C153" t="str">
            <v>//shrzboost01/TRUMPF.NET/DATA_PDM2/Stöbich/Aufträge.GEO</v>
          </cell>
        </row>
        <row r="154">
          <cell r="A154" t="str">
            <v>0710754</v>
          </cell>
          <cell r="B154" t="str">
            <v>"//shrzboost01/TRUMPF.NET/DATA_PDM2/Stöbich/Varianten/0710754.GMV"</v>
          </cell>
          <cell r="C154" t="str">
            <v>//shrzboost01/TRUMPF.NET/DATA_PDM2/Stöbich/Aufträge.GEO</v>
          </cell>
        </row>
        <row r="155">
          <cell r="A155" t="str">
            <v>0710755</v>
          </cell>
          <cell r="B155" t="str">
            <v>"//shrzboost01/TRUMPF.NET/DATA_PDM2/Stöbich/Varianten/0710755.GMV"</v>
          </cell>
          <cell r="C155" t="str">
            <v>//shrzboost01/TRUMPF.NET/DATA_PDM2/Stöbich/Aufträge.GEO</v>
          </cell>
        </row>
        <row r="156">
          <cell r="A156" t="str">
            <v>0710756</v>
          </cell>
          <cell r="B156" t="str">
            <v>"//shrzboost01/TRUMPF.NET/DATA_PDM2/Stöbich/Varianten/0710756.GMV"</v>
          </cell>
          <cell r="C156" t="str">
            <v>//shrzboost01/TRUMPF.NET/DATA_PDM2/Stöbich/Aufträge.GEO</v>
          </cell>
        </row>
        <row r="157">
          <cell r="A157" t="str">
            <v>0713947</v>
          </cell>
          <cell r="B157" t="str">
            <v>"//shrzboost01/TRUMPF.NET/DATA_PDM2/Stöbich/Varianten/0713947.GMV"</v>
          </cell>
          <cell r="C157" t="str">
            <v>//shrzboost01/TRUMPF.NET/DATA_PDM2/Stöbich/Aufträge.GEO</v>
          </cell>
        </row>
        <row r="158">
          <cell r="A158" t="str">
            <v>0710042</v>
          </cell>
          <cell r="B158" t="str">
            <v>"//shrzboost01/TRUMPF.NET/DATA_PDM2/Stöbich/Varianten/0710042.GMV"</v>
          </cell>
          <cell r="C158" t="str">
            <v>//shrzboost01/TRUMPF.NET/DATA_PDM2/Stöbich/Aufträge.GEO</v>
          </cell>
        </row>
        <row r="159">
          <cell r="A159" t="str">
            <v>0710043</v>
          </cell>
          <cell r="B159" t="str">
            <v>"//shrzboost01/TRUMPF.NET/DATA_PDM2/Stöbich/Varianten/0710043.GMV"</v>
          </cell>
          <cell r="C159" t="str">
            <v>//shrzboost01/TRUMPF.NET/DATA_PDM2/Stöbich/Aufträge.GEO</v>
          </cell>
        </row>
        <row r="160">
          <cell r="A160" t="str">
            <v>0710044</v>
          </cell>
          <cell r="B160" t="str">
            <v>"//shrzboost01/TRUMPF.NET/DATA_PDM2/Stöbich/Varianten/0710044.GMV"</v>
          </cell>
          <cell r="C160" t="str">
            <v>//shrzboost01/TRUMPF.NET/DATA_PDM2/Stöbich/Aufträge.GEO</v>
          </cell>
        </row>
        <row r="161">
          <cell r="A161" t="str">
            <v>0710045</v>
          </cell>
          <cell r="B161" t="str">
            <v>"//shrzboost01/TRUMPF.NET/DATA_PDM2/Stöbich/Varianten/0710045.GMV"</v>
          </cell>
          <cell r="C161" t="str">
            <v>//shrzboost01/TRUMPF.NET/DATA_PDM2/Stöbich/Aufträge.GEO</v>
          </cell>
        </row>
        <row r="162">
          <cell r="A162"/>
          <cell r="B162"/>
          <cell r="C162"/>
        </row>
        <row r="163">
          <cell r="A163" t="str">
            <v>0710091</v>
          </cell>
          <cell r="B163" t="str">
            <v>"//shrzboost01/TRUMPF.NET/DATA_PDM2/Stöbich/Varianten/0710091.GMV"</v>
          </cell>
          <cell r="C163" t="str">
            <v>//shrzboost01/TRUMPF.NET/DATA_PDM2/Stöbich/Aufträge.GEO</v>
          </cell>
        </row>
        <row r="164">
          <cell r="A164" t="str">
            <v>0710092</v>
          </cell>
          <cell r="B164" t="str">
            <v>"//shrzboost01/TRUMPF.NET/DATA_PDM2/Stöbich/Varianten/0710092.GMV"</v>
          </cell>
          <cell r="C164" t="str">
            <v>//shrzboost01/TRUMPF.NET/DATA_PDM2/Stöbich/Aufträge.GEO</v>
          </cell>
        </row>
        <row r="165">
          <cell r="A165"/>
          <cell r="B165"/>
          <cell r="C165"/>
        </row>
        <row r="166">
          <cell r="A166" t="str">
            <v>0718253</v>
          </cell>
          <cell r="B166" t="str">
            <v>"//shrzboost01/TRUMPF.NET/DATA_PDM2/Stöbich/Varianten/0718253.GMV"</v>
          </cell>
          <cell r="C166" t="str">
            <v>//shrzboost01/TRUMPF.NET/DATA_PDM2/Stöbich/Aufträge.GEO</v>
          </cell>
        </row>
        <row r="167">
          <cell r="A167" t="str">
            <v>0710052</v>
          </cell>
          <cell r="B167" t="str">
            <v>"//shrzboost01/TRUMPF.NET/DATA_PDM2/Stöbich/Varianten/0710052.GMV"</v>
          </cell>
          <cell r="C167" t="str">
            <v>//shrzboost01/TRUMPF.NET/DATA_PDM2/Stöbich/Aufträge.GEO</v>
          </cell>
        </row>
        <row r="168">
          <cell r="A168" t="str">
            <v>0710053</v>
          </cell>
          <cell r="B168" t="str">
            <v>"//shrzboost01/TRUMPF.NET/DATA_PDM2/Stöbich/Varianten/0710053.GMV"</v>
          </cell>
          <cell r="C168" t="str">
            <v>//shrzboost01/TRUMPF.NET/DATA_PDM2/Stöbich/Aufträge.GEO</v>
          </cell>
        </row>
        <row r="169">
          <cell r="A169" t="str">
            <v>0718254</v>
          </cell>
          <cell r="B169" t="str">
            <v>"//shrzboost01/TRUMPF.NET/DATA_PDM2/Stöbich/Varianten/0718254.GMV"</v>
          </cell>
          <cell r="C169" t="str">
            <v>//shrzboost01/TRUMPF.NET/DATA_PDM2/Stöbich/Aufträge.GEO</v>
          </cell>
        </row>
        <row r="170">
          <cell r="A170" t="str">
            <v>0712894</v>
          </cell>
          <cell r="B170" t="str">
            <v>"//shrzboost01/TRUMPF.NET/DATA_PDM2/Stöbich/Varianten/0712894.GMV"</v>
          </cell>
          <cell r="C170" t="str">
            <v>//shrzboost01/TRUMPF.NET/DATA_PDM2/Stöbich/Aufträge.GEO</v>
          </cell>
        </row>
        <row r="171">
          <cell r="A171" t="str">
            <v>0713332</v>
          </cell>
          <cell r="B171" t="str">
            <v>"//shrzboost01/TRUMPF.NET/DATA_PDM2/Stöbich/Varianten/0713332.GMV"</v>
          </cell>
          <cell r="C171" t="str">
            <v>//shrzboost01/TRUMPF.NET/DATA_PDM2/Stöbich/Aufträge.GEO</v>
          </cell>
        </row>
        <row r="172">
          <cell r="A172"/>
          <cell r="B172" t="str">
            <v>"//shrzboost01/TRUMPF.NET/DATA_PDM2/Stöbich/Varianten/.GMV"</v>
          </cell>
          <cell r="C172" t="str">
            <v>//shrzboost01/TRUMPF.NET/DATA_PDM2/Stöbich/Aufträge.GEO</v>
          </cell>
        </row>
        <row r="173">
          <cell r="A173" t="str">
            <v>0713397</v>
          </cell>
          <cell r="B173" t="str">
            <v>"//shrzboost01/TRUMPF.NET/DATA_PDM2/Stöbich/Varianten/0713397.GMV"</v>
          </cell>
          <cell r="C173" t="str">
            <v>//shrzboost01/TRUMPF.NET/DATA_PDM2/Stöbich/Aufträge.GEO</v>
          </cell>
        </row>
        <row r="174">
          <cell r="A174" t="str">
            <v>0712894</v>
          </cell>
          <cell r="B174" t="str">
            <v>"//shrzboost01/TRUMPF.NET/DATA_PDM2/Stöbich/Varianten/0712894.GMV"</v>
          </cell>
          <cell r="C174" t="str">
            <v>//shrzboost01/TRUMPF.NET/DATA_PDM2/Stöbich/Aufträge.GEO</v>
          </cell>
        </row>
        <row r="175">
          <cell r="A175" t="str">
            <v>0713411</v>
          </cell>
          <cell r="B175" t="str">
            <v>"//shrzboost01/TRUMPF.NET/DATA_PDM2/Stöbich/Varianten/0713411.GMV"</v>
          </cell>
          <cell r="C175" t="str">
            <v>//shrzboost01/TRUMPF.NET/DATA_PDM2/Stöbich/Aufträge.GEO</v>
          </cell>
        </row>
        <row r="176">
          <cell r="A176"/>
          <cell r="B176" t="str">
            <v>"//shrzboost01/TRUMPF.NET/DATA_PDM2/Stöbich/Varianten/.GMV"</v>
          </cell>
          <cell r="C176" t="str">
            <v>//shrzboost01/TRUMPF.NET/DATA_PDM2/Stöbich/Aufträge.GEO</v>
          </cell>
        </row>
        <row r="177">
          <cell r="A177" t="str">
            <v>0713414</v>
          </cell>
          <cell r="B177" t="str">
            <v>"//shrzboost01/TRUMPF.NET/DATA_PDM2/Stöbich/Varianten/0713414.GMV"</v>
          </cell>
          <cell r="C177" t="str">
            <v>//shrzboost01/TRUMPF.NET/DATA_PDM2/Stöbich/Aufträge.GEO</v>
          </cell>
        </row>
        <row r="178">
          <cell r="A178"/>
          <cell r="B178" t="str">
            <v>"//shrzboost01/TRUMPF.NET/DATA_PDM2/Stöbich/Varianten/.GMV"</v>
          </cell>
          <cell r="C178" t="str">
            <v>//shrzboost01/TRUMPF.NET/DATA_PDM2/Stöbich/Aufträge.GEO</v>
          </cell>
        </row>
        <row r="179">
          <cell r="A179" t="str">
            <v>0713416</v>
          </cell>
          <cell r="B179" t="str">
            <v>"//shrzboost01/TRUMPF.NET/DATA_PDM2/Stöbich/Varianten/0713416.GMV"</v>
          </cell>
          <cell r="C179" t="str">
            <v>//shrzboost01/TRUMPF.NET/DATA_PDM2/Stöbich/Aufträge.GEO</v>
          </cell>
        </row>
        <row r="180">
          <cell r="A180" t="str">
            <v>0713417</v>
          </cell>
          <cell r="B180" t="str">
            <v>"//shrzboost01/TRUMPF.NET/DATA_PDM2/Stöbich/Varianten/0713417.GMV"</v>
          </cell>
          <cell r="C180" t="str">
            <v>//shrzboost01/TRUMPF.NET/DATA_PDM2/Stöbich/Aufträge.GEO</v>
          </cell>
        </row>
        <row r="181">
          <cell r="A181" t="str">
            <v>0713418</v>
          </cell>
          <cell r="B181" t="str">
            <v>"//shrzboost01/TRUMPF.NET/DATA_PDM2/Stöbich/Varianten/0713418.GMV"</v>
          </cell>
          <cell r="C181" t="str">
            <v>//shrzboost01/TRUMPF.NET/DATA_PDM2/Stöbich/Aufträge.GEO</v>
          </cell>
        </row>
        <row r="182">
          <cell r="A182" t="str">
            <v>0713419</v>
          </cell>
          <cell r="B182" t="str">
            <v>"//shrzboost01/TRUMPF.NET/DATA_PDM2/Stöbich/Varianten/0713419.GMV"</v>
          </cell>
          <cell r="C182" t="str">
            <v>//shrzboost01/TRUMPF.NET/DATA_PDM2/Stöbich/Aufträge.GEO</v>
          </cell>
        </row>
        <row r="183">
          <cell r="A183" t="str">
            <v>0713420</v>
          </cell>
          <cell r="B183" t="str">
            <v>"//shrzboost01/TRUMPF.NET/DATA_PDM2/Stöbich/Varianten/0713420.GMV"</v>
          </cell>
          <cell r="C183" t="str">
            <v>//shrzboost01/TRUMPF.NET/DATA_PDM2/Stöbich/Aufträge.GEO</v>
          </cell>
        </row>
        <row r="184">
          <cell r="A184" t="str">
            <v>0713421</v>
          </cell>
          <cell r="B184" t="str">
            <v>"//shrzboost01/TRUMPF.NET/DATA_PDM2/Stöbich/Varianten/0713421.GMV"</v>
          </cell>
          <cell r="C184" t="str">
            <v>//shrzboost01/TRUMPF.NET/DATA_PDM2/Stöbich/Aufträge.GEO</v>
          </cell>
        </row>
        <row r="185">
          <cell r="A185" t="str">
            <v>0713422</v>
          </cell>
          <cell r="B185" t="str">
            <v>"//shrzboost01/TRUMPF.NET/DATA_PDM2/Stöbich/Varianten/0713422.GMV"</v>
          </cell>
          <cell r="C185" t="str">
            <v>//shrzboost01/TRUMPF.NET/DATA_PDM2/Stöbich/Aufträge.GEO</v>
          </cell>
        </row>
        <row r="186">
          <cell r="A186" t="str">
            <v>0713424</v>
          </cell>
          <cell r="B186" t="str">
            <v>"//shrzboost01/TRUMPF.NET/DATA_PDM2/Stöbich/Varianten/0713424.GMV"</v>
          </cell>
          <cell r="C186" t="str">
            <v>//shrzboost01/TRUMPF.NET/DATA_PDM2/Stöbich/Aufträge.GEO</v>
          </cell>
        </row>
        <row r="187">
          <cell r="A187"/>
          <cell r="B187" t="str">
            <v>"//shrzboost01/TRUMPF.NET/DATA_PDM2/Stöbich/Varianten/.GMV"</v>
          </cell>
          <cell r="C187" t="str">
            <v>//shrzboost01/TRUMPF.NET/DATA_PDM2/Stöbich/Aufträge.GEO</v>
          </cell>
        </row>
        <row r="188">
          <cell r="A188" t="str">
            <v>0713427</v>
          </cell>
          <cell r="B188" t="str">
            <v>"//shrzboost01/TRUMPF.NET/DATA_PDM2/Stöbich/Varianten/0713427.GMV"</v>
          </cell>
          <cell r="C188" t="str">
            <v>//shrzboost01/TRUMPF.NET/DATA_PDM2/Stöbich/Aufträge.GEO</v>
          </cell>
        </row>
        <row r="189">
          <cell r="A189"/>
          <cell r="B189" t="str">
            <v>"//shrzboost01/TRUMPF.NET/DATA_PDM2/Stöbich/Varianten/.GMV"</v>
          </cell>
          <cell r="C189" t="str">
            <v>//shrzboost01/TRUMPF.NET/DATA_PDM2/Stöbich/Aufträge.GEO</v>
          </cell>
        </row>
        <row r="190">
          <cell r="A190" t="str">
            <v>0713430</v>
          </cell>
          <cell r="B190" t="str">
            <v>"//shrzboost01/TRUMPF.NET/DATA_PDM2/Stöbich/Varianten/0713430.GMV"</v>
          </cell>
          <cell r="C190" t="str">
            <v>//shrzboost01/TRUMPF.NET/DATA_PDM2/Stöbich/Aufträge.GEO</v>
          </cell>
        </row>
        <row r="191">
          <cell r="A191" t="str">
            <v>0713432</v>
          </cell>
          <cell r="B191" t="str">
            <v>"//shrzboost01/TRUMPF.NET/DATA_PDM2/Stöbich/Varianten/0713432.GMV"</v>
          </cell>
          <cell r="C191" t="str">
            <v>//shrzboost01/TRUMPF.NET/DATA_PDM2/Stöbich/Aufträge.GEO</v>
          </cell>
        </row>
        <row r="192">
          <cell r="A192" t="str">
            <v>0713433</v>
          </cell>
          <cell r="B192" t="str">
            <v>"//shrzboost01/TRUMPF.NET/DATA_PDM2/Stöbich/Varianten/0713433.GMV"</v>
          </cell>
          <cell r="C192" t="str">
            <v>//shrzboost01/TRUMPF.NET/DATA_PDM2/Stöbich/Aufträge.GEO</v>
          </cell>
        </row>
        <row r="193">
          <cell r="A193" t="str">
            <v>0713434</v>
          </cell>
          <cell r="B193" t="str">
            <v>"//shrzboost01/TRUMPF.NET/DATA_PDM2/Stöbich/Varianten/0713434.GMV"</v>
          </cell>
          <cell r="C193" t="str">
            <v>//shrzboost01/TRUMPF.NET/DATA_PDM2/Stöbich/Aufträge.GEO</v>
          </cell>
        </row>
        <row r="194">
          <cell r="A194" t="str">
            <v>0713435</v>
          </cell>
          <cell r="B194" t="str">
            <v>"//shrzboost01/TRUMPF.NET/DATA_PDM2/Stöbich/Varianten/0713435.GMV"</v>
          </cell>
          <cell r="C194" t="str">
            <v>//shrzboost01/TRUMPF.NET/DATA_PDM2/Stöbich/Aufträge.GEO</v>
          </cell>
        </row>
        <row r="195">
          <cell r="A195" t="str">
            <v>0713436</v>
          </cell>
          <cell r="B195" t="str">
            <v>"//shrzboost01/TRUMPF.NET/DATA_PDM2/Stöbich/Varianten/0713436.GMV"</v>
          </cell>
          <cell r="C195" t="str">
            <v>//shrzboost01/TRUMPF.NET/DATA_PDM2/Stöbich/Aufträge.GEO</v>
          </cell>
        </row>
        <row r="196">
          <cell r="A196" t="str">
            <v>0713437</v>
          </cell>
          <cell r="B196" t="str">
            <v>"//shrzboost01/TRUMPF.NET/DATA_PDM2/Stöbich/Varianten/0713437.GMV"</v>
          </cell>
          <cell r="C196" t="str">
            <v>//shrzboost01/TRUMPF.NET/DATA_PDM2/Stöbich/Aufträge.GEO</v>
          </cell>
        </row>
        <row r="197">
          <cell r="A197" t="str">
            <v>0713661</v>
          </cell>
          <cell r="B197" t="str">
            <v>"//shrzboost01/TRUMPF.NET/DATA_PDM2/Stöbich/Varianten/0713661.GMV"</v>
          </cell>
          <cell r="C197" t="str">
            <v>//shrzboost01/TRUMPF.NET/DATA_PDM2/Stöbich/Aufträge.GEO</v>
          </cell>
        </row>
        <row r="198">
          <cell r="A198" t="str">
            <v>0704406</v>
          </cell>
          <cell r="B198" t="str">
            <v>"//shrzboost01/TRUMPF.NET/DATA_PDM2/Stöbich/Varianten/0704406.GMV"</v>
          </cell>
          <cell r="C198" t="str">
            <v>//shrzboost01/TRUMPF.NET/DATA_PDM2/Stöbich/Aufträge.GEO</v>
          </cell>
        </row>
        <row r="199">
          <cell r="A199" t="str">
            <v>0710026</v>
          </cell>
          <cell r="B199" t="str">
            <v>"//shrzboost01/TRUMPF.NET/DATA_PDM2/Stöbich/Varianten/0710026.GMV"</v>
          </cell>
          <cell r="C199" t="str">
            <v>//shrzboost01/TRUMPF.NET/DATA_PDM2/Stöbich/Aufträge.GEO</v>
          </cell>
        </row>
        <row r="200">
          <cell r="A200" t="str">
            <v>0710027</v>
          </cell>
          <cell r="B200" t="str">
            <v>"//shrzboost01/TRUMPF.NET/DATA_PDM2/Stöbich/Varianten/0710027.GMV"</v>
          </cell>
          <cell r="C200" t="str">
            <v>//shrzboost01/TRUMPF.NET/DATA_PDM2/Stöbich/Aufträge.GEO</v>
          </cell>
        </row>
        <row r="201">
          <cell r="A201" t="str">
            <v>0711161</v>
          </cell>
          <cell r="B201" t="str">
            <v>"//shrzboost01/TRUMPF.NET/DATA_PDM2/Stöbich/Varianten/0711161.GMV"</v>
          </cell>
          <cell r="C201" t="str">
            <v>//shrzboost01/TRUMPF.NET/DATA_PDM2/Stöbich/Aufträge.GEO</v>
          </cell>
        </row>
        <row r="202">
          <cell r="A202" t="str">
            <v>0711162</v>
          </cell>
          <cell r="B202" t="str">
            <v>"//shrzboost01/TRUMPF.NET/DATA_PDM2/Stöbich/Varianten/0711162.GMV"</v>
          </cell>
          <cell r="C202" t="str">
            <v>//shrzboost01/TRUMPF.NET/DATA_PDM2/Stöbich/Aufträge.GEO</v>
          </cell>
        </row>
        <row r="203">
          <cell r="A203" t="str">
            <v>0711163</v>
          </cell>
          <cell r="B203" t="str">
            <v>"//shrzboost01/TRUMPF.NET/DATA_PDM2/Stöbich/Varianten/0711163.GMV"</v>
          </cell>
          <cell r="C203" t="str">
            <v>//shrzboost01/TRUMPF.NET/DATA_PDM2/Stöbich/Aufträge.GEO</v>
          </cell>
        </row>
        <row r="204">
          <cell r="A204" t="str">
            <v>0711164</v>
          </cell>
          <cell r="B204" t="str">
            <v>"//shrzboost01/TRUMPF.NET/DATA_PDM2/Stöbich/Varianten/0711164.GMV"</v>
          </cell>
          <cell r="C204" t="str">
            <v>//shrzboost01/TRUMPF.NET/DATA_PDM2/Stöbich/Aufträge.GEO</v>
          </cell>
        </row>
        <row r="205">
          <cell r="A205" t="str">
            <v>0711165</v>
          </cell>
          <cell r="B205" t="str">
            <v>"//shrzboost01/TRUMPF.NET/DATA_PDM2/Stöbich/Varianten/0711165.GMV"</v>
          </cell>
          <cell r="C205" t="str">
            <v>//shrzboost01/TRUMPF.NET/DATA_PDM2/Stöbich/Aufträge.GEO</v>
          </cell>
        </row>
        <row r="206">
          <cell r="A206" t="str">
            <v>0711166</v>
          </cell>
          <cell r="B206" t="str">
            <v>"//shrzboost01/TRUMPF.NET/DATA_PDM2/Stöbich/Varianten/0711166.GMV"</v>
          </cell>
          <cell r="C206" t="str">
            <v>//shrzboost01/TRUMPF.NET/DATA_PDM2/Stöbich/Aufträge.GEO</v>
          </cell>
        </row>
        <row r="207">
          <cell r="A207" t="str">
            <v>0711167</v>
          </cell>
          <cell r="B207" t="str">
            <v>"//shrzboost01/TRUMPF.NET/DATA_PDM2/Stöbich/Varianten/0711167.GMV"</v>
          </cell>
          <cell r="C207" t="str">
            <v>//shrzboost01/TRUMPF.NET/DATA_PDM2/Stöbich/Aufträge.GEO</v>
          </cell>
        </row>
        <row r="208">
          <cell r="A208" t="str">
            <v>0711168</v>
          </cell>
          <cell r="B208" t="str">
            <v>"//shrzboost01/TRUMPF.NET/DATA_PDM2/Stöbich/Varianten/0711168.GMV"</v>
          </cell>
          <cell r="C208" t="str">
            <v>//shrzboost01/TRUMPF.NET/DATA_PDM2/Stöbich/Aufträge.GEO</v>
          </cell>
        </row>
        <row r="209">
          <cell r="A209" t="str">
            <v>0711169</v>
          </cell>
          <cell r="B209" t="str">
            <v>"//shrzboost01/TRUMPF.NET/DATA_PDM2/Stöbich/Varianten/0711169.GMV"</v>
          </cell>
          <cell r="C209" t="str">
            <v>//shrzboost01/TRUMPF.NET/DATA_PDM2/Stöbich/Aufträge.GEO</v>
          </cell>
        </row>
        <row r="210">
          <cell r="A210" t="str">
            <v>0711170</v>
          </cell>
          <cell r="B210" t="str">
            <v>"//shrzboost01/TRUMPF.NET/DATA_PDM2/Stöbich/Varianten/0711170.GMV"</v>
          </cell>
          <cell r="C210" t="str">
            <v>//shrzboost01/TRUMPF.NET/DATA_PDM2/Stöbich/Aufträge.GEO</v>
          </cell>
        </row>
        <row r="211">
          <cell r="A211" t="str">
            <v>0711171</v>
          </cell>
          <cell r="B211" t="str">
            <v>"//shrzboost01/TRUMPF.NET/DATA_PDM2/Stöbich/Varianten/0711171.GMV"</v>
          </cell>
          <cell r="C211" t="str">
            <v>//shrzboost01/TRUMPF.NET/DATA_PDM2/Stöbich/Aufträge.GEO</v>
          </cell>
        </row>
        <row r="212">
          <cell r="A212" t="str">
            <v>0711172</v>
          </cell>
          <cell r="B212" t="str">
            <v>"//shrzboost01/TRUMPF.NET/DATA_PDM2/Stöbich/Varianten/0711172.GMV"</v>
          </cell>
          <cell r="C212" t="str">
            <v>//shrzboost01/TRUMPF.NET/DATA_PDM2/Stöbich/Aufträge.GEO</v>
          </cell>
        </row>
        <row r="213">
          <cell r="A213" t="str">
            <v>0711173</v>
          </cell>
          <cell r="B213" t="str">
            <v>"//shrzboost01/TRUMPF.NET/DATA_PDM2/Stöbich/Varianten/0711173.GMV"</v>
          </cell>
          <cell r="C213" t="str">
            <v>//shrzboost01/TRUMPF.NET/DATA_PDM2/Stöbich/Aufträge.GEO</v>
          </cell>
        </row>
        <row r="214">
          <cell r="A214" t="str">
            <v>0711174</v>
          </cell>
          <cell r="B214" t="str">
            <v>"//shrzboost01/TRUMPF.NET/DATA_PDM2/Stöbich/Varianten/0711174.GMV"</v>
          </cell>
          <cell r="C214" t="str">
            <v>//shrzboost01/TRUMPF.NET/DATA_PDM2/Stöbich/Aufträge.GEO</v>
          </cell>
        </row>
        <row r="215">
          <cell r="A215"/>
          <cell r="B215"/>
          <cell r="C215"/>
        </row>
        <row r="216">
          <cell r="A216" t="str">
            <v>0711176</v>
          </cell>
          <cell r="B216" t="str">
            <v>"//shrzboost01/TRUMPF.NET/DATA_PDM2/Stöbich/Varianten/0711176.GMV"</v>
          </cell>
          <cell r="C216" t="str">
            <v>//shrzboost01/TRUMPF.NET/DATA_PDM2/Stöbich/Aufträge.GEO</v>
          </cell>
        </row>
        <row r="217">
          <cell r="A217" t="str">
            <v>0713070</v>
          </cell>
          <cell r="B217" t="str">
            <v>"//shrzboost01/TRUMPF.NET/DATA_PDM2/Stöbich/Varianten/0713070.GMV"</v>
          </cell>
          <cell r="C217" t="str">
            <v>//shrzboost01/TRUMPF.NET/DATA_PDM2/Stöbich/Aufträge.GEO</v>
          </cell>
        </row>
        <row r="218">
          <cell r="A218" t="str">
            <v>0713071</v>
          </cell>
          <cell r="B218" t="str">
            <v>"//shrzboost01/TRUMPF.NET/DATA_PDM2/Stöbich/Varianten/0713071.GMV"</v>
          </cell>
          <cell r="C218" t="str">
            <v>//shrzboost01/TRUMPF.NET/DATA_PDM2/Stöbich/Aufträge.GEO</v>
          </cell>
        </row>
        <row r="219">
          <cell r="A219" t="str">
            <v>0713072</v>
          </cell>
          <cell r="B219" t="str">
            <v>"//shrzboost01/TRUMPF.NET/DATA_PDM2/Stöbich/Varianten/0713072.GMV"</v>
          </cell>
          <cell r="C219" t="str">
            <v>//shrzboost01/TRUMPF.NET/DATA_PDM2/Stöbich/Aufträge.GEO</v>
          </cell>
        </row>
        <row r="220">
          <cell r="A220" t="str">
            <v>0713073</v>
          </cell>
          <cell r="B220" t="str">
            <v>"//shrzboost01/TRUMPF.NET/DATA_PDM2/Stöbich/Varianten/0713073.GMV"</v>
          </cell>
          <cell r="C220" t="str">
            <v>//shrzboost01/TRUMPF.NET/DATA_PDM2/Stöbich/Aufträge.GEO</v>
          </cell>
        </row>
        <row r="221">
          <cell r="A221" t="str">
            <v>0713074</v>
          </cell>
          <cell r="B221" t="str">
            <v>"//shrzboost01/TRUMPF.NET/DATA_PDM2/Stöbich/Varianten/0713074.GMV"</v>
          </cell>
          <cell r="C221" t="str">
            <v>//shrzboost01/TRUMPF.NET/DATA_PDM2/Stöbich/Aufträge.GEO</v>
          </cell>
        </row>
        <row r="222">
          <cell r="A222" t="str">
            <v>0713075</v>
          </cell>
          <cell r="B222" t="str">
            <v>"//shrzboost01/TRUMPF.NET/DATA_PDM2/Stöbich/Varianten/0713075.GMV"</v>
          </cell>
          <cell r="C222" t="str">
            <v>//shrzboost01/TRUMPF.NET/DATA_PDM2/Stöbich/Aufträge.GEO</v>
          </cell>
        </row>
        <row r="223">
          <cell r="A223" t="str">
            <v>0713076</v>
          </cell>
          <cell r="B223" t="str">
            <v>"//shrzboost01/TRUMPF.NET/DATA_PDM2/Stöbich/Varianten/0713076.GMV"</v>
          </cell>
          <cell r="C223" t="str">
            <v>//shrzboost01/TRUMPF.NET/DATA_PDM2/Stöbich/Aufträge.GEO</v>
          </cell>
        </row>
        <row r="224">
          <cell r="A224" t="str">
            <v>0713077</v>
          </cell>
          <cell r="B224" t="str">
            <v>"//shrzboost01/TRUMPF.NET/DATA_PDM2/Stöbich/Varianten/0713077.GMV"</v>
          </cell>
          <cell r="C224" t="str">
            <v>//shrzboost01/TRUMPF.NET/DATA_PDM2/Stöbich/Aufträge.GEO</v>
          </cell>
        </row>
        <row r="225">
          <cell r="A225" t="str">
            <v>0713078</v>
          </cell>
          <cell r="B225" t="str">
            <v>"//shrzboost01/TRUMPF.NET/DATA_PDM2/Stöbich/Varianten/0713078.GMV"</v>
          </cell>
          <cell r="C225" t="str">
            <v>//shrzboost01/TRUMPF.NET/DATA_PDM2/Stöbich/Aufträge.GEO</v>
          </cell>
        </row>
        <row r="226">
          <cell r="A226" t="str">
            <v>0713079</v>
          </cell>
          <cell r="B226" t="str">
            <v>"//shrzboost01/TRUMPF.NET/DATA_PDM2/Stöbich/Varianten/0713079.GMV"</v>
          </cell>
          <cell r="C226" t="str">
            <v>//shrzboost01/TRUMPF.NET/DATA_PDM2/Stöbich/Aufträge.GEO</v>
          </cell>
        </row>
        <row r="227">
          <cell r="A227" t="str">
            <v>0713080</v>
          </cell>
          <cell r="B227" t="str">
            <v>"//shrzboost01/TRUMPF.NET/DATA_PDM2/Stöbich/Varianten/0713080.GMV"</v>
          </cell>
          <cell r="C227" t="str">
            <v>//shrzboost01/TRUMPF.NET/DATA_PDM2/Stöbich/Aufträge.GEO</v>
          </cell>
        </row>
        <row r="228">
          <cell r="A228" t="str">
            <v>0713081</v>
          </cell>
          <cell r="B228" t="str">
            <v>"//shrzboost01/TRUMPF.NET/DATA_PDM2/Stöbich/Varianten/0713081.GMV"</v>
          </cell>
          <cell r="C228" t="str">
            <v>//shrzboost01/TRUMPF.NET/DATA_PDM2/Stöbich/Aufträge.GEO</v>
          </cell>
        </row>
        <row r="229">
          <cell r="A229" t="str">
            <v>0730042</v>
          </cell>
          <cell r="B229" t="str">
            <v>"//shrzboost01/TRUMPF.NET/DATA_PDM2/Stöbich/Varianten/0730042.GMV"</v>
          </cell>
          <cell r="C229" t="str">
            <v>//shrzboost01/TRUMPF.NET/DATA_PDM2/Stöbich/Aufträge.GEO</v>
          </cell>
        </row>
        <row r="230">
          <cell r="A230" t="str">
            <v>0730043</v>
          </cell>
          <cell r="B230" t="str">
            <v>"//shrzboost01/TRUMPF.NET/DATA_PDM2/Stöbich/Varianten/0730043.GMV"</v>
          </cell>
          <cell r="C230" t="str">
            <v>//shrzboost01/TRUMPF.NET/DATA_PDM2/Stöbich/Aufträge.GEO</v>
          </cell>
        </row>
        <row r="231">
          <cell r="A231" t="str">
            <v>0730044</v>
          </cell>
          <cell r="B231" t="str">
            <v>"//shrzboost01/TRUMPF.NET/DATA_PDM2/Stöbich/Varianten/0730044.GMV"</v>
          </cell>
          <cell r="C231" t="str">
            <v>//shrzboost01/TRUMPF.NET/DATA_PDM2/Stöbich/Aufträge.GEO</v>
          </cell>
        </row>
        <row r="232">
          <cell r="A232" t="str">
            <v>0730045</v>
          </cell>
          <cell r="B232" t="str">
            <v>"//shrzboost01/TRUMPF.NET/DATA_PDM2/Stöbich/Varianten/0730045.GMV"</v>
          </cell>
          <cell r="C232" t="str">
            <v>//shrzboost01/TRUMPF.NET/DATA_PDM2/Stöbich/Aufträge.GEO</v>
          </cell>
        </row>
        <row r="233">
          <cell r="A233" t="str">
            <v>0730026</v>
          </cell>
          <cell r="B233" t="str">
            <v>"//shrzboost01/TRUMPF.NET/DATA_PDM2/Stöbich/Varianten/0730026.GMV"</v>
          </cell>
          <cell r="C233" t="str">
            <v>//shrzboost01/TRUMPF.NET/DATA_PDM2/Stöbich/Aufträge.GEO</v>
          </cell>
        </row>
        <row r="234">
          <cell r="A234" t="str">
            <v>0730027</v>
          </cell>
          <cell r="B234" t="str">
            <v>"//shrzboost01/TRUMPF.NET/DATA_PDM2/Stöbich/Varianten/0730027.GMV"</v>
          </cell>
          <cell r="C234" t="str">
            <v>//shrzboost01/TRUMPF.NET/DATA_PDM2/Stöbich/Aufträge.GEO</v>
          </cell>
        </row>
        <row r="235">
          <cell r="A235" t="str">
            <v>0730259</v>
          </cell>
          <cell r="B235" t="str">
            <v>"//shrzboost01/TRUMPF.NET/DATA_PDM2/Stöbich/Varianten/0730259.GMV"</v>
          </cell>
          <cell r="C235" t="str">
            <v>//shrzboost01/TRUMPF.NET/DATA_PDM2/Stöbich/Aufträge.GEO</v>
          </cell>
        </row>
        <row r="236">
          <cell r="A236" t="str">
            <v>0730260</v>
          </cell>
          <cell r="B236" t="str">
            <v>"//shrzboost01/TRUMPF.NET/DATA_PDM2/Stöbich/Varianten/0730260.GMV"</v>
          </cell>
          <cell r="C236" t="str">
            <v>//shrzboost01/TRUMPF.NET/DATA_PDM2/Stöbich/Aufträge.GEO</v>
          </cell>
        </row>
        <row r="237">
          <cell r="A237" t="str">
            <v>0730261</v>
          </cell>
          <cell r="B237" t="str">
            <v>"//shrzboost01/TRUMPF.NET/DATA_PDM2/Stöbich/Varianten/0730261.GMV"</v>
          </cell>
          <cell r="C237" t="str">
            <v>//shrzboost01/TRUMPF.NET/DATA_PDM2/Stöbich/Aufträge.GEO</v>
          </cell>
        </row>
        <row r="238">
          <cell r="A238" t="str">
            <v>0730286</v>
          </cell>
          <cell r="B238" t="str">
            <v>"//shrzboost01/TRUMPF.NET/DATA_PDM2/Stöbich/Varianten/0730286.GMV"</v>
          </cell>
          <cell r="C238" t="str">
            <v>//shrzboost01/TRUMPF.NET/DATA_PDM2/Stöbich/Aufträge.GEO</v>
          </cell>
        </row>
        <row r="239">
          <cell r="A239" t="str">
            <v>0733416</v>
          </cell>
          <cell r="B239" t="str">
            <v>"//shrzboost01/TRUMPF.NET/DATA_PDM2/Stöbich/Varianten/0733416.GMV"</v>
          </cell>
          <cell r="C239" t="str">
            <v>//shrzboost01/TRUMPF.NET/DATA_PDM2/Stöbich/Aufträge.GEO</v>
          </cell>
        </row>
        <row r="240">
          <cell r="A240" t="str">
            <v>0733417</v>
          </cell>
          <cell r="B240" t="str">
            <v>"//shrzboost01/TRUMPF.NET/DATA_PDM2/Stöbich/Varianten/0733417.GMV"</v>
          </cell>
          <cell r="C240" t="str">
            <v>//shrzboost01/TRUMPF.NET/DATA_PDM2/Stöbich/Aufträge.GEO</v>
          </cell>
        </row>
        <row r="241">
          <cell r="A241" t="str">
            <v>0733418</v>
          </cell>
          <cell r="B241" t="str">
            <v>"//shrzboost01/TRUMPF.NET/DATA_PDM2/Stöbich/Varianten/0733418.GMV"</v>
          </cell>
          <cell r="C241" t="str">
            <v>//shrzboost01/TRUMPF.NET/DATA_PDM2/Stöbich/Aufträge.GEO</v>
          </cell>
        </row>
        <row r="242">
          <cell r="A242" t="str">
            <v>0733420</v>
          </cell>
          <cell r="B242" t="str">
            <v>"//shrzboost01/TRUMPF.NET/DATA_PDM2/Stöbich/Varianten/0733420.GMV"</v>
          </cell>
          <cell r="C242" t="str">
            <v>//shrzboost01/TRUMPF.NET/DATA_PDM2/Stöbich/Aufträge.GEO</v>
          </cell>
        </row>
        <row r="243">
          <cell r="A243" t="str">
            <v>0733421</v>
          </cell>
          <cell r="B243" t="str">
            <v>"//shrzboost01/TRUMPF.NET/DATA_PDM2/Stöbich/Varianten/0733421.GMV"</v>
          </cell>
          <cell r="C243" t="str">
            <v>//shrzboost01/TRUMPF.NET/DATA_PDM2/Stöbich/Aufträge.GEO</v>
          </cell>
        </row>
        <row r="244">
          <cell r="A244" t="str">
            <v>0733422</v>
          </cell>
          <cell r="B244" t="str">
            <v>"//shrzboost01/TRUMPF.NET/DATA_PDM2/Stöbich/Varianten/0733422.GMV"</v>
          </cell>
          <cell r="C244" t="str">
            <v>//shrzboost01/TRUMPF.NET/DATA_PDM2/Stöbich/Aufträge.GEO</v>
          </cell>
        </row>
        <row r="245">
          <cell r="A245" t="str">
            <v>0733432</v>
          </cell>
          <cell r="B245" t="str">
            <v>"//shrzboost01/TRUMPF.NET/DATA_PDM2/Stöbich/Varianten/0733432.GMV"</v>
          </cell>
          <cell r="C245" t="str">
            <v>//shrzboost01/TRUMPF.NET/DATA_PDM2/Stöbich/Aufträge.GEO</v>
          </cell>
        </row>
        <row r="246">
          <cell r="A246" t="str">
            <v>0733433</v>
          </cell>
          <cell r="B246" t="str">
            <v>"//shrzboost01/TRUMPF.NET/DATA_PDM2/Stöbich/Varianten/0733433.GMV"</v>
          </cell>
          <cell r="C246" t="str">
            <v>//shrzboost01/TRUMPF.NET/DATA_PDM2/Stöbich/Aufträge.GEO</v>
          </cell>
        </row>
        <row r="247">
          <cell r="A247" t="str">
            <v>0733434</v>
          </cell>
          <cell r="B247" t="str">
            <v>"//shrzboost01/TRUMPF.NET/DATA_PDM2/Stöbich/Varianten/0733434.GMV"</v>
          </cell>
          <cell r="C247" t="str">
            <v>//shrzboost01/TRUMPF.NET/DATA_PDM2/Stöbich/Aufträge.GEO</v>
          </cell>
        </row>
        <row r="248">
          <cell r="A248" t="str">
            <v>0733435</v>
          </cell>
          <cell r="B248" t="str">
            <v>"//shrzboost01/TRUMPF.NET/DATA_PDM2/Stöbich/Varianten/0733435.GMV"</v>
          </cell>
          <cell r="C248" t="str">
            <v>//shrzboost01/TRUMPF.NET/DATA_PDM2/Stöbich/Aufträge.GEO</v>
          </cell>
        </row>
        <row r="249">
          <cell r="A249" t="str">
            <v>0733436</v>
          </cell>
          <cell r="B249" t="str">
            <v>"//shrzboost01/TRUMPF.NET/DATA_PDM2/Stöbich/Varianten/0733436.GMV"</v>
          </cell>
          <cell r="C249" t="str">
            <v>//shrzboost01/TRUMPF.NET/DATA_PDM2/Stöbich/Aufträge.GEO</v>
          </cell>
        </row>
        <row r="250">
          <cell r="A250" t="str">
            <v>0733437</v>
          </cell>
          <cell r="B250" t="str">
            <v>"//shrzboost01/TRUMPF.NET/DATA_PDM2/Stöbich/Varianten/0733437.GMV"</v>
          </cell>
          <cell r="C250" t="str">
            <v>//shrzboost01/TRUMPF.NET/DATA_PDM2/Stöbich/Aufträge.GEO</v>
          </cell>
        </row>
        <row r="251">
          <cell r="A251" t="str">
            <v>0734406</v>
          </cell>
          <cell r="B251" t="str">
            <v>"//shrzboost01/TRUMPF.NET/DATA_PDM2/Stöbich/Varianten/0734406.GMV"</v>
          </cell>
          <cell r="C251" t="str">
            <v>//shrzboost01/TRUMPF.NET/DATA_PDM2/Stöbich/Aufträge.GEO</v>
          </cell>
        </row>
        <row r="252">
          <cell r="A252"/>
          <cell r="B252" t="str">
            <v>"//shrzboost01/TRUMPF.NET/DATA_PDM2/Stöbich/Varianten/.GMV"</v>
          </cell>
          <cell r="C252" t="str">
            <v>//shrzboost01/TRUMPF.NET/DATA_PDM2/Stöbich/Aufträge.GEO</v>
          </cell>
        </row>
        <row r="253">
          <cell r="A253" t="str">
            <v>0704662</v>
          </cell>
          <cell r="B253" t="str">
            <v>"//shrzboost01/TRUMPF.NET/DATA_PDM2/Stöbich/Varianten/0704662.GMV"</v>
          </cell>
          <cell r="C253" t="str">
            <v>//shrzboost01/TRUMPF.NET/DATA_PDM2/Stöbich/Aufträge.GEO</v>
          </cell>
        </row>
        <row r="254">
          <cell r="A254" t="str">
            <v>0704663</v>
          </cell>
          <cell r="B254" t="str">
            <v>"//shrzboost01/TRUMPF.NET/DATA_PDM2/Stöbich/Varianten/0704663.GMV"</v>
          </cell>
          <cell r="C254" t="str">
            <v>//shrzboost01/TRUMPF.NET/DATA_PDM2/Stöbich/Aufträge.GEO</v>
          </cell>
        </row>
        <row r="255">
          <cell r="A255" t="str">
            <v>0704664</v>
          </cell>
          <cell r="B255" t="str">
            <v>"//shrzboost01/TRUMPF.NET/DATA_PDM2/Stöbich/Varianten/0704664.GMV"</v>
          </cell>
          <cell r="C255" t="str">
            <v>//shrzboost01/TRUMPF.NET/DATA_PDM2/Stöbich/Aufträge.GEO</v>
          </cell>
        </row>
        <row r="256">
          <cell r="A256" t="str">
            <v>0704665</v>
          </cell>
          <cell r="B256" t="str">
            <v>"//shrzboost01/TRUMPF.NET/DATA_PDM2/Stöbich/Varianten/0704665.GMV"</v>
          </cell>
          <cell r="C256" t="str">
            <v>//shrzboost01/TRUMPF.NET/DATA_PDM2/Stöbich/Aufträge.GEO</v>
          </cell>
        </row>
        <row r="257">
          <cell r="A257" t="str">
            <v>0704676</v>
          </cell>
          <cell r="B257" t="str">
            <v>"//shrzboost01/TRUMPF.NET/DATA_PDM2/Stöbich/Varianten/0704676.GMV"</v>
          </cell>
          <cell r="C257" t="str">
            <v>//shrzboost01/TRUMPF.NET/DATA_PDM2/Stöbich/Aufträge.GEO</v>
          </cell>
        </row>
        <row r="258">
          <cell r="A258" t="str">
            <v>0704677</v>
          </cell>
          <cell r="B258" t="str">
            <v>"//shrzboost01/TRUMPF.NET/DATA_PDM2/Stöbich/Varianten/0704677.GMV"</v>
          </cell>
          <cell r="C258" t="str">
            <v>//shrzboost01/TRUMPF.NET/DATA_PDM2/Stöbich/Aufträge.GEO</v>
          </cell>
        </row>
        <row r="259">
          <cell r="A259" t="str">
            <v>0704678</v>
          </cell>
          <cell r="B259" t="str">
            <v>"//shrzboost01/TRUMPF.NET/DATA_PDM2/Stöbich/Varianten/0704678.GMV"</v>
          </cell>
          <cell r="C259" t="str">
            <v>//shrzboost01/TRUMPF.NET/DATA_PDM2/Stöbich/Aufträge.GEO</v>
          </cell>
        </row>
        <row r="260">
          <cell r="A260" t="str">
            <v>0704679</v>
          </cell>
          <cell r="B260" t="str">
            <v>"//shrzboost01/TRUMPF.NET/DATA_PDM2/Stöbich/Varianten/0704679.GMV"</v>
          </cell>
          <cell r="C260" t="str">
            <v>//shrzboost01/TRUMPF.NET/DATA_PDM2/Stöbich/Aufträge.GEO</v>
          </cell>
        </row>
        <row r="261">
          <cell r="A261" t="str">
            <v>0704716</v>
          </cell>
          <cell r="B261" t="str">
            <v>"//shrzboost01/TRUMPF.NET/DATA_PDM2/Stöbich/Varianten/0704716.GMV"</v>
          </cell>
          <cell r="C261" t="str">
            <v>//shrzboost01/TRUMPF.NET/DATA_PDM2/Stöbich/Aufträge.GEO</v>
          </cell>
        </row>
        <row r="262">
          <cell r="A262" t="str">
            <v>0704717</v>
          </cell>
          <cell r="B262" t="str">
            <v>"//shrzboost01/TRUMPF.NET/DATA_PDM2/Stöbich/Varianten/0704717.GMV"</v>
          </cell>
          <cell r="C262" t="str">
            <v>//shrzboost01/TRUMPF.NET/DATA_PDM2/Stöbich/Aufträge.GEO</v>
          </cell>
        </row>
        <row r="263">
          <cell r="A263" t="str">
            <v>0704718</v>
          </cell>
          <cell r="B263" t="str">
            <v>"//shrzboost01/TRUMPF.NET/DATA_PDM2/Stöbich/Varianten/0704718.GMV"</v>
          </cell>
          <cell r="C263" t="str">
            <v>//shrzboost01/TRUMPF.NET/DATA_PDM2/Stöbich/Aufträge.GEO</v>
          </cell>
        </row>
        <row r="264">
          <cell r="A264" t="str">
            <v>0704719</v>
          </cell>
          <cell r="B264" t="str">
            <v>"//shrzboost01/TRUMPF.NET/DATA_PDM2/Stöbich/Varianten/0704719.GMV"</v>
          </cell>
          <cell r="C264" t="str">
            <v>//shrzboost01/TRUMPF.NET/DATA_PDM2/Stöbich/Aufträge.GEO</v>
          </cell>
        </row>
        <row r="265">
          <cell r="A265" t="str">
            <v>0704720</v>
          </cell>
          <cell r="B265" t="str">
            <v>"//shrzboost01/TRUMPF.NET/DATA_PDM2/Stöbich/Varianten/0704720.GMV"</v>
          </cell>
          <cell r="C265" t="str">
            <v>//shrzboost01/TRUMPF.NET/DATA_PDM2/Stöbich/Aufträge.GEO</v>
          </cell>
        </row>
        <row r="266">
          <cell r="A266" t="str">
            <v>0704721</v>
          </cell>
          <cell r="B266" t="str">
            <v>"//shrzboost01/TRUMPF.NET/DATA_PDM2/Stöbich/Varianten/0704721.GMV"</v>
          </cell>
          <cell r="C266" t="str">
            <v>//shrzboost01/TRUMPF.NET/DATA_PDM2/Stöbich/Aufträge.GEO</v>
          </cell>
        </row>
        <row r="267">
          <cell r="A267" t="str">
            <v>0704722</v>
          </cell>
          <cell r="B267" t="str">
            <v>"//shrzboost01/TRUMPF.NET/DATA_PDM2/Stöbich/Varianten/0704722.GMV"</v>
          </cell>
          <cell r="C267" t="str">
            <v>//shrzboost01/TRUMPF.NET/DATA_PDM2/Stöbich/Aufträge.GEO</v>
          </cell>
        </row>
        <row r="268">
          <cell r="A268" t="str">
            <v>0704723</v>
          </cell>
          <cell r="B268" t="str">
            <v>"//shrzboost01/TRUMPF.NET/DATA_PDM2/Stöbich/Varianten/0704723.GMV"</v>
          </cell>
          <cell r="C268" t="str">
            <v>//shrzboost01/TRUMPF.NET/DATA_PDM2/Stöbich/Aufträge.GEO</v>
          </cell>
        </row>
        <row r="269">
          <cell r="A269" t="str">
            <v>0704859</v>
          </cell>
          <cell r="B269" t="str">
            <v>"//shrzboost01/TRUMPF.NET/DATA_PDM2/Stöbich/Varianten/0704859.GMV"</v>
          </cell>
          <cell r="C269" t="str">
            <v>//shrzboost01/TRUMPF.NET/DATA_PDM2/Stöbich/Aufträge.GEO</v>
          </cell>
        </row>
        <row r="270">
          <cell r="A270" t="str">
            <v>0704860</v>
          </cell>
          <cell r="B270" t="str">
            <v>"//shrzboost01/TRUMPF.NET/DATA_PDM2/Stöbich/Varianten/0704860.GMV"</v>
          </cell>
          <cell r="C270" t="str">
            <v>//shrzboost01/TRUMPF.NET/DATA_PDM2/Stöbich/Aufträge.GEO</v>
          </cell>
        </row>
        <row r="271">
          <cell r="A271" t="str">
            <v>0704861</v>
          </cell>
          <cell r="B271" t="str">
            <v>"//shrzboost01/TRUMPF.NET/DATA_PDM2/Stöbich/Varianten/0704861.GMV"</v>
          </cell>
          <cell r="C271" t="str">
            <v>//shrzboost01/TRUMPF.NET/DATA_PDM2/Stöbich/Aufträge.GEO</v>
          </cell>
        </row>
        <row r="272">
          <cell r="A272" t="str">
            <v>0713934</v>
          </cell>
          <cell r="B272" t="str">
            <v>"//shrzboost01/TRUMPF.NET/DATA_PDM2/Stöbich/Varianten/0713934.GMV"</v>
          </cell>
          <cell r="C272" t="str">
            <v>//shrzboost01/TRUMPF.NET/DATA_PDM2/Stöbich/Aufträge.GEO</v>
          </cell>
        </row>
        <row r="273">
          <cell r="A273" t="str">
            <v>0713935</v>
          </cell>
          <cell r="B273" t="str">
            <v>"//shrzboost01/TRUMPF.NET/DATA_PDM2/Stöbich/Varianten/0713935.GMV"</v>
          </cell>
          <cell r="C273" t="str">
            <v>//shrzboost01/TRUMPF.NET/DATA_PDM2/Stöbich/Aufträge.GEO</v>
          </cell>
        </row>
        <row r="274">
          <cell r="A274" t="str">
            <v>0713936</v>
          </cell>
          <cell r="B274" t="str">
            <v>"//shrzboost01/TRUMPF.NET/DATA_PDM2/Stöbich/Varianten/0713936.GMV"</v>
          </cell>
          <cell r="C274" t="str">
            <v>//shrzboost01/TRUMPF.NET/DATA_PDM2/Stöbich/Aufträge.GEO</v>
          </cell>
        </row>
        <row r="275">
          <cell r="A275" t="str">
            <v>0717473</v>
          </cell>
          <cell r="B275" t="str">
            <v>"//shrzboost01/TRUMPF.NET/DATA_PDM2/Stöbich/Varianten/0717473.GMV"</v>
          </cell>
          <cell r="C275" t="str">
            <v>//shrzboost01/TRUMPF.NET/DATA_PDM2/Stöbich/Aufträge.GEO</v>
          </cell>
        </row>
        <row r="276">
          <cell r="A276" t="str">
            <v>0717474</v>
          </cell>
          <cell r="B276" t="str">
            <v>"//shrzboost01/TRUMPF.NET/DATA_PDM2/Stöbich/Varianten/0717474.GMV"</v>
          </cell>
          <cell r="C276" t="str">
            <v>//shrzboost01/TRUMPF.NET/DATA_PDM2/Stöbich/Aufträge.GEO</v>
          </cell>
        </row>
        <row r="277">
          <cell r="A277" t="str">
            <v>0717475</v>
          </cell>
          <cell r="B277" t="str">
            <v>"//shrzboost01/TRUMPF.NET/DATA_PDM2/Stöbich/Varianten/0717475.GMV"</v>
          </cell>
          <cell r="C277" t="str">
            <v>//shrzboost01/TRUMPF.NET/DATA_PDM2/Stöbich/Aufträge.GEO</v>
          </cell>
        </row>
        <row r="278">
          <cell r="A278" t="str">
            <v>0717476</v>
          </cell>
          <cell r="B278" t="str">
            <v>"//shrzboost01/TRUMPF.NET/DATA_PDM2/Stöbich/Varianten/0717476.GMV"</v>
          </cell>
          <cell r="C278" t="str">
            <v>//shrzboost01/TRUMPF.NET/DATA_PDM2/Stöbich/Aufträge.GEO</v>
          </cell>
        </row>
        <row r="279">
          <cell r="A279" t="str">
            <v>0717492</v>
          </cell>
          <cell r="B279" t="str">
            <v>"//shrzboost01/TRUMPF.NET/DATA_PDM2/Stöbich/Varianten/0717492.GMV"</v>
          </cell>
          <cell r="C279" t="str">
            <v>//shrzboost01/TRUMPF.NET/DATA_PDM2/Stöbich/Aufträge.GEO</v>
          </cell>
        </row>
        <row r="280">
          <cell r="A280" t="str">
            <v>0717493</v>
          </cell>
          <cell r="B280" t="str">
            <v>"//shrzboost01/TRUMPF.NET/DATA_PDM2/Stöbich/Varianten/0717493.GMV"</v>
          </cell>
          <cell r="C280" t="str">
            <v>//shrzboost01/TRUMPF.NET/DATA_PDM2/Stöbich/Aufträge.GEO</v>
          </cell>
        </row>
        <row r="281">
          <cell r="A281" t="str">
            <v>0717494</v>
          </cell>
          <cell r="B281" t="str">
            <v>"//shrzboost01/TRUMPF.NET/DATA_PDM2/Stöbich/Varianten/0717494.GMV"</v>
          </cell>
          <cell r="C281" t="str">
            <v>//shrzboost01/TRUMPF.NET/DATA_PDM2/Stöbich/Aufträge.GEO</v>
          </cell>
        </row>
        <row r="282">
          <cell r="A282" t="str">
            <v>0717495</v>
          </cell>
          <cell r="B282" t="str">
            <v>"//shrzboost01/TRUMPF.NET/DATA_PDM2/Stöbich/Varianten/0717495.GMV"</v>
          </cell>
          <cell r="C282" t="str">
            <v>//shrzboost01/TRUMPF.NET/DATA_PDM2/Stöbich/Aufträge.GEO</v>
          </cell>
        </row>
        <row r="283">
          <cell r="A283" t="str">
            <v>0717498</v>
          </cell>
          <cell r="B283" t="str">
            <v>"//shrzboost01/TRUMPF.NET/DATA_PDM2/Stöbich/Varianten/0717498.GMV"</v>
          </cell>
          <cell r="C283" t="str">
            <v>//shrzboost01/TRUMPF.NET/DATA_PDM2/Stöbich/Aufträge.GEO</v>
          </cell>
        </row>
        <row r="284">
          <cell r="A284" t="str">
            <v>0717499</v>
          </cell>
          <cell r="B284" t="str">
            <v>"//shrzboost01/TRUMPF.NET/DATA_PDM2/Stöbich/Varianten/0717499.GMV"</v>
          </cell>
          <cell r="C284" t="str">
            <v>//shrzboost01/TRUMPF.NET/DATA_PDM2/Stöbich/Aufträge.GEO</v>
          </cell>
        </row>
        <row r="285">
          <cell r="A285" t="str">
            <v>0717515</v>
          </cell>
          <cell r="B285" t="str">
            <v>"//shrzboost01/TRUMPF.NET/DATA_PDM2/Stöbich/Varianten/0717515.GMV"</v>
          </cell>
          <cell r="C285" t="str">
            <v>//shrzboost01/TRUMPF.NET/DATA_PDM2/Stöbich/Aufträge.GEO</v>
          </cell>
        </row>
        <row r="286">
          <cell r="A286" t="str">
            <v>0717516</v>
          </cell>
          <cell r="B286" t="str">
            <v>"//shrzboost01/TRUMPF.NET/DATA_PDM2/Stöbich/Varianten/0717516.GMV"</v>
          </cell>
          <cell r="C286" t="str">
            <v>//shrzboost01/TRUMPF.NET/DATA_PDM2/Stöbich/Aufträge.GEO</v>
          </cell>
        </row>
        <row r="287">
          <cell r="A287"/>
          <cell r="B287"/>
          <cell r="C287"/>
        </row>
        <row r="288">
          <cell r="A288" t="str">
            <v>0717541</v>
          </cell>
          <cell r="B288" t="str">
            <v>"//shrzboost01/TRUMPF.NET/DATA_PDM2/Stöbich/Varianten/0717541.GMV"</v>
          </cell>
          <cell r="C288" t="str">
            <v>//shrzboost01/TRUMPF.NET/DATA_PDM2/Stöbich/Aufträge.GEO</v>
          </cell>
        </row>
        <row r="289">
          <cell r="A289" t="str">
            <v>0717542</v>
          </cell>
          <cell r="B289" t="str">
            <v>"//shrzboost01/TRUMPF.NET/DATA_PDM2/Stöbich/Varianten/0717542.GMV"</v>
          </cell>
          <cell r="C289" t="str">
            <v>//shrzboost01/TRUMPF.NET/DATA_PDM2/Stöbich/Aufträge.GEO</v>
          </cell>
        </row>
        <row r="290">
          <cell r="A290"/>
          <cell r="B290"/>
          <cell r="C290"/>
        </row>
        <row r="291">
          <cell r="A291" t="str">
            <v>0717544</v>
          </cell>
          <cell r="B291" t="str">
            <v>"//shrzboost01/TRUMPF.NET/DATA_PDM2/Stöbich/Varianten/0717544.GMV"</v>
          </cell>
          <cell r="C291" t="str">
            <v>//shrzboost01/TRUMPF.NET/DATA_PDM2/Stöbich/Aufträge.GEO</v>
          </cell>
        </row>
        <row r="292">
          <cell r="A292"/>
          <cell r="B292"/>
          <cell r="C292"/>
        </row>
        <row r="293">
          <cell r="A293" t="str">
            <v>0713937</v>
          </cell>
          <cell r="B293" t="str">
            <v>"//shrzboost01/TRUMPF.NET/DATA_PDM2/Stöbich/Varianten/0713937.GMV"</v>
          </cell>
          <cell r="C293" t="str">
            <v>//shrzboost01/TRUMPF.NET/DATA_PDM2/Stöbich/Aufträge.GEO</v>
          </cell>
        </row>
        <row r="294">
          <cell r="A294" t="str">
            <v>0710323</v>
          </cell>
          <cell r="B294" t="str">
            <v>"//shrzboost01/TRUMPF.NET/DATA_PDM2/Stöbich/Varianten/0710323.GMV"</v>
          </cell>
          <cell r="C294" t="str">
            <v>//shrzboost01/TRUMPF.NET/DATA_PDM2/Stöbich/Aufträge.GEO</v>
          </cell>
        </row>
        <row r="295">
          <cell r="A295" t="str">
            <v>0710324</v>
          </cell>
          <cell r="B295" t="str">
            <v>"//shrzboost01/TRUMPF.NET/DATA_PDM2/Stöbich/Varianten/0710324.GMV"</v>
          </cell>
          <cell r="C295" t="str">
            <v>//shrzboost01/TRUMPF.NET/DATA_PDM2/Stöbich/Aufträge.GEO</v>
          </cell>
        </row>
        <row r="296">
          <cell r="A296" t="str">
            <v>0710325</v>
          </cell>
          <cell r="B296" t="str">
            <v>"//shrzboost01/TRUMPF.NET/DATA_PDM2/Stöbich/Varianten/0710325.GMV"</v>
          </cell>
          <cell r="C296" t="str">
            <v>//shrzboost01/TRUMPF.NET/DATA_PDM2/Stöbich/Aufträge.GEO</v>
          </cell>
        </row>
        <row r="297">
          <cell r="A297" t="str">
            <v>0710326</v>
          </cell>
          <cell r="B297" t="str">
            <v>"//shrzboost01/TRUMPF.NET/DATA_PDM2/Stöbich/Varianten/0710326.GMV"</v>
          </cell>
          <cell r="C297" t="str">
            <v>//shrzboost01/TRUMPF.NET/DATA_PDM2/Stöbich/Aufträge.GEO</v>
          </cell>
        </row>
        <row r="298">
          <cell r="A298" t="str">
            <v>0710430</v>
          </cell>
          <cell r="B298" t="str">
            <v>"//shrzboost01/TRUMPF.NET/DATA_PDM2/Stöbich/Varianten/0710430.GMV"</v>
          </cell>
          <cell r="C298" t="str">
            <v>//shrzboost01/TRUMPF.NET/DATA_PDM2/Stöbich/Aufträge.GEO</v>
          </cell>
        </row>
        <row r="299">
          <cell r="A299" t="str">
            <v>0710431</v>
          </cell>
          <cell r="B299" t="str">
            <v>"//shrzboost01/TRUMPF.NET/DATA_PDM2/Stöbich/Varianten/0710431.GMV"</v>
          </cell>
          <cell r="C299" t="str">
            <v>//shrzboost01/TRUMPF.NET/DATA_PDM2/Stöbich/Aufträge.GEO</v>
          </cell>
        </row>
        <row r="300">
          <cell r="A300"/>
          <cell r="B300"/>
          <cell r="C300" t="str">
            <v>//shrzboost01/TRUMPF.NET/DATA_PDM2/Stöbich/Aufträge.GEO</v>
          </cell>
        </row>
        <row r="301">
          <cell r="A301"/>
          <cell r="B301" t="str">
            <v>"//shrzboost01/TRUMPF.NET/DATA_PDM2/Stöbich/Varianten/Fibershield E/bp_lai_ob_links.GMV"</v>
          </cell>
          <cell r="C301" t="str">
            <v>//shrzboost01/TRUMPF.NET/DATA_PDM2/Stöbich/Aufträge.GEO</v>
          </cell>
        </row>
        <row r="302">
          <cell r="A302"/>
          <cell r="B302" t="str">
            <v>"//shrzboost01/TRUMPF.NET/DATA_PDM2/Stöbich/Varianten/Fibershield E/bp_lai_ob_rechts.GMV"</v>
          </cell>
          <cell r="C302" t="str">
            <v>//shrzboost01/TRUMPF.NET/DATA_PDM2/Stöbich/Aufträge.GEO</v>
          </cell>
        </row>
        <row r="303">
          <cell r="A303"/>
          <cell r="B303" t="str">
            <v>"//shrzboost01/TRUMPF.NET/DATA_PDM2/Stöbich/Varianten/Fibershield E/bp_lai_un_links.GMV"</v>
          </cell>
          <cell r="C303" t="str">
            <v>//shrzboost01/TRUMPF.NET/DATA_PDM2/Stöbich/Aufträge.GEO</v>
          </cell>
        </row>
        <row r="304">
          <cell r="A304"/>
          <cell r="B304" t="str">
            <v>"//shrzboost01/TRUMPF.NET/DATA_PDM2/Stöbich/Varianten/Fibershield E/bp_lai_un_rechts.GMV"</v>
          </cell>
          <cell r="C304" t="str">
            <v>//shrzboost01/TRUMPF.NET/DATA_PDM2/Stöbich/Aufträge.GEO</v>
          </cell>
        </row>
        <row r="305">
          <cell r="A305"/>
          <cell r="B305" t="str">
            <v>"//shrzboost01/TRUMPF.NET/DATA_PDM2/Stöbich/Varianten/Fibershield E/bp_w_ob_links.GMV"</v>
          </cell>
          <cell r="C305" t="str">
            <v>//shrzboost01/TRUMPF.NET/DATA_PDM2/Stöbich/Aufträge.GEO</v>
          </cell>
        </row>
        <row r="306">
          <cell r="A306"/>
          <cell r="B306" t="str">
            <v>"//shrzboost01/TRUMPF.NET/DATA_PDM2/Stöbich/Varianten/Fibershield E/bp_w_ob_rechts.GMV"</v>
          </cell>
          <cell r="C306" t="str">
            <v>//shrzboost01/TRUMPF.NET/DATA_PDM2/Stöbich/Aufträge.GEO</v>
          </cell>
        </row>
        <row r="307">
          <cell r="A307"/>
          <cell r="B307" t="str">
            <v>"//shrzboost01/TRUMPF.NET/DATA_PDM2/Stöbich/Varianten/Fibershield E/bp_w_un_links.GMV"</v>
          </cell>
          <cell r="C307" t="str">
            <v>//shrzboost01/TRUMPF.NET/DATA_PDM2/Stöbich/Aufträge.GEO</v>
          </cell>
        </row>
        <row r="308">
          <cell r="A308"/>
          <cell r="B308" t="str">
            <v>"//shrzboost01/TRUMPF.NET/DATA_PDM2/Stöbich/Varianten/Fibershield E/bp_w_un_rechts.GMV"</v>
          </cell>
          <cell r="C308" t="str">
            <v>//shrzboost01/TRUMPF.NET/DATA_PDM2/Stöbich/Aufträge.GEO</v>
          </cell>
        </row>
        <row r="309">
          <cell r="A309"/>
          <cell r="B309" t="str">
            <v>"//shrzboost01/TRUMPF.NET/DATA_PDM2/Stöbich/Varianten/Fibershield E/dp_ob_links.GMV"</v>
          </cell>
          <cell r="C309" t="str">
            <v>//shrzboost01/TRUMPF.NET/DATA_PDM2/Stöbich/Aufträge.GEO</v>
          </cell>
        </row>
        <row r="310">
          <cell r="A310"/>
          <cell r="B310" t="str">
            <v>"//shrzboost01/TRUMPF.NET/DATA_PDM2/Stöbich/Varianten/Fibershield E/dp_ob_rechts.GMV"</v>
          </cell>
          <cell r="C310" t="str">
            <v>//shrzboost01/TRUMPF.NET/DATA_PDM2/Stöbich/Aufträge.GEO</v>
          </cell>
        </row>
        <row r="311">
          <cell r="A311"/>
          <cell r="B311" t="str">
            <v>"//shrzboost01/TRUMPF.NET/DATA_PDM2/Stöbich/Varianten/Fibershield E/dp_un_links.GMV"</v>
          </cell>
          <cell r="C311" t="str">
            <v>//shrzboost01/TRUMPF.NET/DATA_PDM2/Stöbich/Aufträge.GEO</v>
          </cell>
        </row>
        <row r="312">
          <cell r="A312"/>
          <cell r="B312" t="str">
            <v>"//shrzboost01/TRUMPF.NET/DATA_PDM2/Stöbich/Varianten/Fibershield E/dp_un_rechts.GMV"</v>
          </cell>
          <cell r="C312" t="str">
            <v>//shrzboost01/TRUMPF.NET/DATA_PDM2/Stöbich/Aufträge.GEO</v>
          </cell>
        </row>
        <row r="313">
          <cell r="A313"/>
          <cell r="B313" t="str">
            <v>"//shrzboost01/TRUMPF.NET/DATA_PDM2/Stöbich/Varianten/Fibershield E/wp_ob_links.GMV"</v>
          </cell>
          <cell r="C313" t="str">
            <v>//shrzboost01/TRUMPF.NET/DATA_PDM2/Stöbich/Aufträge.GEO</v>
          </cell>
        </row>
        <row r="314">
          <cell r="B314" t="str">
            <v>"//shrzboost01/TRUMPF.NET/DATA_PDM2/Stöbich/Varianten/Fibershield E/wp_ob_rechts.GMV"</v>
          </cell>
          <cell r="C314" t="str">
            <v>//shrzboost01/TRUMPF.NET/DATA_PDM2/Stöbich/Aufträge.GEO</v>
          </cell>
        </row>
        <row r="315">
          <cell r="A315"/>
          <cell r="B315" t="str">
            <v>"//shrzboost01/TRUMPF.NET/DATA_PDM2/Stöbich/Varianten/Fibershield E/wp_un_links.GMV"</v>
          </cell>
          <cell r="C315" t="str">
            <v>//shrzboost01/TRUMPF.NET/DATA_PDM2/Stöbich/Aufträge.GEO</v>
          </cell>
        </row>
        <row r="316">
          <cell r="A316"/>
          <cell r="B316" t="str">
            <v>"//shrzboost01/TRUMPF.NET/DATA_PDM2/Stöbich/Varianten/Fibershield E/wp_un_rechts.GMV"</v>
          </cell>
          <cell r="C316" t="str">
            <v>//shrzboost01/TRUMPF.NET/DATA_PDM2/Stöbich/Aufträge.GEO</v>
          </cell>
        </row>
        <row r="317">
          <cell r="A317"/>
          <cell r="B317" t="str">
            <v>"//shrzboost01/TRUMPF.NET/DATA_PDM2/Stöbich/Varianten/Fibershield E/bp_lai_mi_rechts.GMV"</v>
          </cell>
          <cell r="C317" t="str">
            <v>//shrzboost01/TRUMPF.NET/DATA_PDM2/Stöbich/Aufträge.GEO</v>
          </cell>
        </row>
        <row r="318">
          <cell r="A318"/>
          <cell r="B318" t="str">
            <v>"//shrzboost01/TRUMPF.NET/DATA_PDM2/Stöbich/Varianten/Fibershield E/bp_lai_mi_links.GMV"</v>
          </cell>
          <cell r="C318" t="str">
            <v>//shrzboost01/TRUMPF.NET/DATA_PDM2/Stöbich/Aufträge.GEO</v>
          </cell>
        </row>
        <row r="319">
          <cell r="A319"/>
          <cell r="B319" t="str">
            <v>"//shrzboost01/TRUMPF.NET/DATA_PDM2/Stöbich/Varianten/Fibershield E/bp_w_mi_rechts.GMV"</v>
          </cell>
          <cell r="C319" t="str">
            <v>//shrzboost01/TRUMPF.NET/DATA_PDM2/Stöbich/Aufträge.GEO</v>
          </cell>
        </row>
        <row r="320">
          <cell r="A320"/>
          <cell r="B320" t="str">
            <v>"//shrzboost01/TRUMPF.NET/DATA_PDM2/Stöbich/Varianten/Fibershield E/bp_w_mi_links.GMV"</v>
          </cell>
          <cell r="C320" t="str">
            <v>//shrzboost01/TRUMPF.NET/DATA_PDM2/Stöbich/Aufträge.GEO</v>
          </cell>
        </row>
        <row r="321">
          <cell r="A321"/>
          <cell r="B321" t="str">
            <v>"//shrzboost01/TRUMPF.NET/DATA_PDM2/Stöbich/Varianten/Fibershield E/dp_mi_links.GMV"</v>
          </cell>
          <cell r="C321" t="str">
            <v>//shrzboost01/TRUMPF.NET/DATA_PDM2/Stöbich/Aufträge.GEO</v>
          </cell>
        </row>
        <row r="322">
          <cell r="A322"/>
          <cell r="B322" t="str">
            <v>"//shrzboost01/TRUMPF.NET/DATA_PDM2/Stöbich/Varianten/Fibershield E/dp_mi_rechts.GMV"</v>
          </cell>
          <cell r="C322" t="str">
            <v>//shrzboost01/TRUMPF.NET/DATA_PDM2/Stöbich/Aufträge.GEO</v>
          </cell>
        </row>
        <row r="323">
          <cell r="A323"/>
          <cell r="B323" t="str">
            <v>"//shrzboost01/TRUMPF.NET/DATA_PDM2/Stöbich/Varianten/Fibershield E/wp_mi_links.GMV"</v>
          </cell>
          <cell r="C323" t="str">
            <v>//shrzboost01/TRUMPF.NET/DATA_PDM2/Stöbich/Aufträge.GEO</v>
          </cell>
        </row>
        <row r="324">
          <cell r="A324"/>
          <cell r="B324" t="str">
            <v>"//shrzboost01/TRUMPF.NET/DATA_PDM2/Stöbich/Varianten/Fibershield E/wp_mi_rechts.GMV"</v>
          </cell>
          <cell r="C324" t="str">
            <v>//shrzboost01/TRUMPF.NET/DATA_PDM2/Stöbich/Aufträge.GEO</v>
          </cell>
        </row>
        <row r="325">
          <cell r="A325" t="str">
            <v>0712602</v>
          </cell>
          <cell r="B325" t="str">
            <v>"//shrzboost01/TRUMPF.NET/DATA_PDM2/Stöbich/Varianten/0712602.GMV"</v>
          </cell>
          <cell r="C325" t="str">
            <v>//shrzboost01/TRUMPF.NET/DATA_PDM2/Stöbich/Aufträge.GEO</v>
          </cell>
        </row>
        <row r="326">
          <cell r="A326" t="str">
            <v>0712603</v>
          </cell>
          <cell r="B326" t="str">
            <v>"//shrzboost01/TRUMPF.NET/DATA_PDM2/Stöbich/Varianten/0712603.GMV"</v>
          </cell>
          <cell r="C326" t="str">
            <v>//shrzboost01/TRUMPF.NET/DATA_PDM2/Stöbich/Aufträge.GEO</v>
          </cell>
        </row>
        <row r="327">
          <cell r="A327" t="str">
            <v>0712604</v>
          </cell>
          <cell r="B327" t="str">
            <v>"//shrzboost01/TRUMPF.NET/DATA_PDM2/Stöbich/Varianten/0712604.GMV"</v>
          </cell>
          <cell r="C327" t="str">
            <v>//shrzboost01/TRUMPF.NET/DATA_PDM2/Stöbich/Aufträge.GEO</v>
          </cell>
        </row>
        <row r="328">
          <cell r="A328" t="str">
            <v>0712618</v>
          </cell>
          <cell r="B328" t="str">
            <v>"//shrzboost01/TRUMPF.NET/DATA_PDM2/Stöbich/Varianten/0712618.GMV"</v>
          </cell>
          <cell r="C328" t="str">
            <v>//shrzboost01/TRUMPF.NET/DATA_PDM2/Stöbich/Aufträge.GEO</v>
          </cell>
        </row>
        <row r="329">
          <cell r="A329" t="str">
            <v>0712619</v>
          </cell>
          <cell r="B329" t="str">
            <v>"//shrzboost01/TRUMPF.NET/DATA_PDM2/Stöbich/Varianten/0712619.GMV"</v>
          </cell>
          <cell r="C329" t="str">
            <v>//shrzboost01/TRUMPF.NET/DATA_PDM2/Stöbich/Aufträge.GEO</v>
          </cell>
        </row>
        <row r="330">
          <cell r="A330" t="str">
            <v>0712620</v>
          </cell>
          <cell r="B330" t="str">
            <v>"//shrzboost01/TRUMPF.NET/DATA_PDM2/Stöbich/Varianten/0712620.GMV"</v>
          </cell>
          <cell r="C330" t="str">
            <v>//shrzboost01/TRUMPF.NET/DATA_PDM2/Stöbich/Aufträge.GEO</v>
          </cell>
        </row>
        <row r="331">
          <cell r="A331" t="str">
            <v>0712621</v>
          </cell>
          <cell r="B331" t="str">
            <v>"//shrzboost01/TRUMPF.NET/DATA_PDM2/Stöbich/Varianten/0712621.GMV"</v>
          </cell>
          <cell r="C331" t="str">
            <v>//shrzboost01/TRUMPF.NET/DATA_PDM2/Stöbich/Aufträge.GEO</v>
          </cell>
        </row>
        <row r="332">
          <cell r="A332" t="str">
            <v>0712622</v>
          </cell>
          <cell r="B332" t="str">
            <v>"//shrzboost01/TRUMPF.NET/DATA_PDM2/Stöbich/Varianten/0712622.GMV"</v>
          </cell>
          <cell r="C332" t="str">
            <v>//shrzboost01/TRUMPF.NET/DATA_PDM2/Stöbich/Aufträge.GEO</v>
          </cell>
        </row>
        <row r="333">
          <cell r="A333" t="str">
            <v>0712623</v>
          </cell>
          <cell r="B333" t="str">
            <v>"//shrzboost01/TRUMPF.NET/DATA_PDM2/Stöbich/Varianten/0712623.GMV"</v>
          </cell>
          <cell r="C333" t="str">
            <v>//shrzboost01/TRUMPF.NET/DATA_PDM2/Stöbich/Aufträge.GEO</v>
          </cell>
        </row>
        <row r="334">
          <cell r="A334" t="str">
            <v>0712629</v>
          </cell>
          <cell r="B334" t="str">
            <v>"//shrzboost01/TRUMPF.NET/DATA_PDM2/Stöbich/Varianten/0712629.GMV"</v>
          </cell>
          <cell r="C334" t="str">
            <v>//shrzboost01/TRUMPF.NET/DATA_PDM2/Stöbich/Aufträge.GEO</v>
          </cell>
        </row>
        <row r="335">
          <cell r="A335" t="str">
            <v>0712630</v>
          </cell>
          <cell r="B335" t="str">
            <v>"//shrzboost01/TRUMPF.NET/DATA_PDM2/Stöbich/Varianten/0712630.GMV"</v>
          </cell>
          <cell r="C335" t="str">
            <v>//shrzboost01/TRUMPF.NET/DATA_PDM2/Stöbich/Aufträge.GEO</v>
          </cell>
        </row>
        <row r="336">
          <cell r="A336" t="str">
            <v>0712631</v>
          </cell>
          <cell r="B336" t="str">
            <v>"//shrzboost01/TRUMPF.NET/DATA_PDM2/Stöbich/Varianten/0712631.GMV"</v>
          </cell>
          <cell r="C336" t="str">
            <v>//shrzboost01/TRUMPF.NET/DATA_PDM2/Stöbich/Aufträge.GEO</v>
          </cell>
        </row>
        <row r="337">
          <cell r="A337"/>
          <cell r="B337" t="str">
            <v>"//shrzboost01/TRUMPF.NET/DATA_PDM2/Stöbich/Varianten/.GMV"</v>
          </cell>
          <cell r="C337" t="str">
            <v>//shrzboost01/TRUMPF.NET/DATA_PDM2/Stöbich/Aufträge.GEO</v>
          </cell>
        </row>
        <row r="338">
          <cell r="A338" t="str">
            <v>0732602</v>
          </cell>
          <cell r="B338" t="str">
            <v>"//shrzboost01/TRUMPF.NET/DATA_PDM2/Stöbich/Varianten/0732602.GMV"</v>
          </cell>
          <cell r="C338" t="str">
            <v>//shrzboost01/TRUMPF.NET/DATA_PDM2/Stöbich/Aufträge.GEO</v>
          </cell>
        </row>
        <row r="339">
          <cell r="A339"/>
          <cell r="B339" t="str">
            <v>"//shrzboost01/TRUMPF.NET/DATA_PDM2/Stöbich/Varianten/.GMV"</v>
          </cell>
          <cell r="C339" t="str">
            <v>//shrzboost01/TRUMPF.NET/DATA_PDM2/Stöbich/Aufträge.GEO</v>
          </cell>
        </row>
        <row r="340">
          <cell r="A340" t="str">
            <v>0734662</v>
          </cell>
          <cell r="B340" t="str">
            <v>"//shrzboost01/TRUMPF.NET/DATA_PDM2/Stöbich/Varianten/0734662.GMV"</v>
          </cell>
          <cell r="C340" t="str">
            <v>//shrzboost01/TRUMPF.NET/DATA_PDM2/Stöbich/Aufträge.GEO</v>
          </cell>
        </row>
        <row r="341">
          <cell r="A341" t="str">
            <v>0734663</v>
          </cell>
          <cell r="B341" t="str">
            <v>"//shrzboost01/TRUMPF.NET/DATA_PDM2/Stöbich/Varianten/0734663.GMV"</v>
          </cell>
          <cell r="C341" t="str">
            <v>//shrzboost01/TRUMPF.NET/DATA_PDM2/Stöbich/Aufträge.GEO</v>
          </cell>
        </row>
        <row r="342">
          <cell r="A342" t="str">
            <v>0734664</v>
          </cell>
          <cell r="B342" t="str">
            <v>"//shrzboost01/TRUMPF.NET/DATA_PDM2/Stöbich/Varianten/0734664.GMV"</v>
          </cell>
          <cell r="C342" t="str">
            <v>//shrzboost01/TRUMPF.NET/DATA_PDM2/Stöbich/Aufträge.GEO</v>
          </cell>
        </row>
        <row r="343">
          <cell r="A343" t="str">
            <v>0734665</v>
          </cell>
          <cell r="B343" t="str">
            <v>"//shrzboost01/TRUMPF.NET/DATA_PDM2/Stöbich/Varianten/0734665.GMV"</v>
          </cell>
          <cell r="C343" t="str">
            <v>//shrzboost01/TRUMPF.NET/DATA_PDM2/Stöbich/Aufträge.GEO</v>
          </cell>
        </row>
        <row r="344">
          <cell r="A344" t="str">
            <v>0734666</v>
          </cell>
          <cell r="B344" t="str">
            <v>"//shrzboost01/TRUMPF.NET/DATA_PDM2/Stöbich/Varianten/0734666.GMV"</v>
          </cell>
          <cell r="C344" t="str">
            <v>//shrzboost01/TRUMPF.NET/DATA_PDM2/Stöbich/Aufträge.GEO</v>
          </cell>
        </row>
        <row r="345">
          <cell r="A345" t="str">
            <v>0734667</v>
          </cell>
          <cell r="B345" t="str">
            <v>"//shrzboost01/TRUMPF.NET/DATA_PDM2/Stöbich/Varianten/0734667.GMV"</v>
          </cell>
          <cell r="C345" t="str">
            <v>//shrzboost01/TRUMPF.NET/DATA_PDM2/Stöbich/Aufträge.GEO</v>
          </cell>
        </row>
        <row r="346">
          <cell r="A346" t="str">
            <v>0734668</v>
          </cell>
          <cell r="B346" t="str">
            <v>"//shrzboost01/TRUMPF.NET/DATA_PDM2/Stöbich/Varianten/0734668.GMV"</v>
          </cell>
          <cell r="C346" t="str">
            <v>//shrzboost01/TRUMPF.NET/DATA_PDM2/Stöbich/Aufträge.GEO</v>
          </cell>
        </row>
        <row r="347">
          <cell r="A347" t="str">
            <v>0734669</v>
          </cell>
          <cell r="B347" t="str">
            <v>"//shrzboost01/TRUMPF.NET/DATA_PDM2/Stöbich/Varianten/0734669.GMV"</v>
          </cell>
          <cell r="C347" t="str">
            <v>//shrzboost01/TRUMPF.NET/DATA_PDM2/Stöbich/Aufträge.GEO</v>
          </cell>
        </row>
        <row r="348">
          <cell r="A348" t="str">
            <v>0734670</v>
          </cell>
          <cell r="B348" t="str">
            <v>"//shrzboost01/TRUMPF.NET/DATA_PDM2/Stöbich/Varianten/0734670.GMV"</v>
          </cell>
          <cell r="C348" t="str">
            <v>//shrzboost01/TRUMPF.NET/DATA_PDM2/Stöbich/Aufträge.GEO</v>
          </cell>
        </row>
        <row r="349">
          <cell r="A349" t="str">
            <v>0734671</v>
          </cell>
          <cell r="B349" t="str">
            <v>"//shrzboost01/TRUMPF.NET/DATA_PDM2/Stöbich/Varianten/0734671.GMV"</v>
          </cell>
          <cell r="C349" t="str">
            <v>//shrzboost01/TRUMPF.NET/DATA_PDM2/Stöbich/Aufträge.GEO</v>
          </cell>
        </row>
        <row r="350">
          <cell r="A350" t="str">
            <v>0734672</v>
          </cell>
          <cell r="B350" t="str">
            <v>"//shrzboost01/TRUMPF.NET/DATA_PDM2/Stöbich/Varianten/0734672.GMV"</v>
          </cell>
          <cell r="C350" t="str">
            <v>//shrzboost01/TRUMPF.NET/DATA_PDM2/Stöbich/Aufträge.GEO</v>
          </cell>
        </row>
        <row r="351">
          <cell r="A351" t="str">
            <v>0734673</v>
          </cell>
          <cell r="B351" t="str">
            <v>"//shrzboost01/TRUMPF.NET/DATA_PDM2/Stöbich/Varianten/0734673.GMV"</v>
          </cell>
          <cell r="C351" t="str">
            <v>//shrzboost01/TRUMPF.NET/DATA_PDM2/Stöbich/Aufträge.GEO</v>
          </cell>
        </row>
        <row r="352">
          <cell r="A352" t="str">
            <v>0734674</v>
          </cell>
          <cell r="B352" t="str">
            <v>"//shrzboost01/TRUMPF.NET/DATA_PDM2/Stöbich/Varianten/0734674.GMV"</v>
          </cell>
          <cell r="C352" t="str">
            <v>//shrzboost01/TRUMPF.NET/DATA_PDM2/Stöbich/Aufträge.GEO</v>
          </cell>
        </row>
        <row r="353">
          <cell r="A353" t="str">
            <v>0734675</v>
          </cell>
          <cell r="B353" t="str">
            <v>"//shrzboost01/TRUMPF.NET/DATA_PDM2/Stöbich/Varianten/0734675.GMV"</v>
          </cell>
          <cell r="C353" t="str">
            <v>//shrzboost01/TRUMPF.NET/DATA_PDM2/Stöbich/Aufträge.GEO</v>
          </cell>
        </row>
        <row r="354">
          <cell r="A354" t="str">
            <v>0734676</v>
          </cell>
          <cell r="B354" t="str">
            <v>"//shrzboost01/TRUMPF.NET/DATA_PDM2/Stöbich/Varianten/0734676.GMV"</v>
          </cell>
          <cell r="C354" t="str">
            <v>//shrzboost01/TRUMPF.NET/DATA_PDM2/Stöbich/Aufträge.GEO</v>
          </cell>
        </row>
        <row r="355">
          <cell r="A355" t="str">
            <v>0734677</v>
          </cell>
          <cell r="B355" t="str">
            <v>"//shrzboost01/TRUMPF.NET/DATA_PDM2/Stöbich/Varianten/0734677.GMV"</v>
          </cell>
          <cell r="C355" t="str">
            <v>//shrzboost01/TRUMPF.NET/DATA_PDM2/Stöbich/Aufträge.GEO</v>
          </cell>
        </row>
        <row r="356">
          <cell r="A356" t="str">
            <v>0734678</v>
          </cell>
          <cell r="B356" t="str">
            <v>"//shrzboost01/TRUMPF.NET/DATA_PDM2/Stöbich/Varianten/0734678.GMV"</v>
          </cell>
          <cell r="C356" t="str">
            <v>//shrzboost01/TRUMPF.NET/DATA_PDM2/Stöbich/Aufträge.GEO</v>
          </cell>
        </row>
        <row r="357">
          <cell r="A357" t="str">
            <v>0734679</v>
          </cell>
          <cell r="B357" t="str">
            <v>"//shrzboost01/TRUMPF.NET/DATA_PDM2/Stöbich/Varianten/0734679.GMV"</v>
          </cell>
          <cell r="C357" t="str">
            <v>//shrzboost01/TRUMPF.NET/DATA_PDM2/Stöbich/Aufträge.GEO</v>
          </cell>
        </row>
        <row r="358">
          <cell r="A358" t="str">
            <v>0734680</v>
          </cell>
          <cell r="B358" t="str">
            <v>"//shrzboost01/TRUMPF.NET/DATA_PDM2/Stöbich/Varianten/0734680.GMV"</v>
          </cell>
          <cell r="C358" t="str">
            <v>//shrzboost01/TRUMPF.NET/DATA_PDM2/Stöbich/Aufträge.GEO</v>
          </cell>
        </row>
        <row r="359">
          <cell r="A359" t="str">
            <v>0734681</v>
          </cell>
          <cell r="B359" t="str">
            <v>"//shrzboost01/TRUMPF.NET/DATA_PDM2/Stöbich/Varianten/0734681.GMV"</v>
          </cell>
          <cell r="C359" t="str">
            <v>//shrzboost01/TRUMPF.NET/DATA_PDM2/Stöbich/Aufträge.GEO</v>
          </cell>
        </row>
        <row r="360">
          <cell r="A360" t="str">
            <v>0734682</v>
          </cell>
          <cell r="B360" t="str">
            <v>"//shrzboost01/TRUMPF.NET/DATA_PDM2/Stöbich/Varianten/0734682.GMV"</v>
          </cell>
          <cell r="C360" t="str">
            <v>//shrzboost01/TRUMPF.NET/DATA_PDM2/Stöbich/Aufträge.GEO</v>
          </cell>
        </row>
        <row r="361">
          <cell r="A361" t="str">
            <v>0734683</v>
          </cell>
          <cell r="B361" t="str">
            <v>"//shrzboost01/TRUMPF.NET/DATA_PDM2/Stöbich/Varianten/0734683.GMV"</v>
          </cell>
          <cell r="C361" t="str">
            <v>//shrzboost01/TRUMPF.NET/DATA_PDM2/Stöbich/Aufträge.GEO</v>
          </cell>
        </row>
        <row r="362">
          <cell r="A362"/>
          <cell r="B362" t="str">
            <v>"//shrzboost01/TRUMPF.NET/DATA_PDM2/Stöbich/Varianten/.GMV"</v>
          </cell>
          <cell r="C362" t="str">
            <v>//shrzboost01/TRUMPF.NET/DATA_PDM2/Stöbich/Aufträge.GEO</v>
          </cell>
        </row>
        <row r="363">
          <cell r="A363" t="str">
            <v>0734716</v>
          </cell>
          <cell r="B363" t="str">
            <v>"//shrzboost01/TRUMPF.NET/DATA_PDM2/Stöbich/Varianten/0734716.GMV"</v>
          </cell>
          <cell r="C363" t="str">
            <v>//shrzboost01/TRUMPF.NET/DATA_PDM2/Stöbich/Aufträge.GEO</v>
          </cell>
        </row>
        <row r="364">
          <cell r="A364" t="str">
            <v>0734717</v>
          </cell>
          <cell r="B364" t="str">
            <v>"//shrzboost01/TRUMPF.NET/DATA_PDM2/Stöbich/Varianten/0734717.GMV"</v>
          </cell>
          <cell r="C364" t="str">
            <v>//shrzboost01/TRUMPF.NET/DATA_PDM2/Stöbich/Aufträge.GEO</v>
          </cell>
        </row>
        <row r="365">
          <cell r="A365"/>
          <cell r="B365" t="str">
            <v>"//shrzboost01/TRUMPF.NET/DATA_PDM2/Stöbich/Varianten/.GMV"</v>
          </cell>
          <cell r="C365" t="str">
            <v>//shrzboost01/TRUMPF.NET/DATA_PDM2/Stöbich/Aufträge.GEO</v>
          </cell>
        </row>
        <row r="366">
          <cell r="A366"/>
          <cell r="B366" t="str">
            <v>"//shrzboost01/TRUMPF.NET/DATA_PDM2/Stöbich/Varianten/.GMV"</v>
          </cell>
          <cell r="C366" t="str">
            <v>//shrzboost01/TRUMPF.NET/DATA_PDM2/Stöbich/Aufträge.GEO</v>
          </cell>
        </row>
        <row r="367">
          <cell r="A367" t="str">
            <v>0734720</v>
          </cell>
          <cell r="B367" t="str">
            <v>"//shrzboost01/TRUMPF.NET/DATA_PDM2/Stöbich/Varianten/0734720.GMV"</v>
          </cell>
          <cell r="C367" t="str">
            <v>//shrzboost01/TRUMPF.NET/DATA_PDM2/Stöbich/Aufträge.GEO</v>
          </cell>
        </row>
        <row r="368">
          <cell r="A368" t="str">
            <v>0734721</v>
          </cell>
          <cell r="B368" t="str">
            <v>"//shrzboost01/TRUMPF.NET/DATA_PDM2/Stöbich/Varianten/0734721.GMV"</v>
          </cell>
          <cell r="C368" t="str">
            <v>//shrzboost01/TRUMPF.NET/DATA_PDM2/Stöbich/Aufträge.GEO</v>
          </cell>
        </row>
        <row r="369">
          <cell r="A369"/>
          <cell r="B369" t="str">
            <v>"//shrzboost01/TRUMPF.NET/DATA_PDM2/Stöbich/Varianten/.GMV"</v>
          </cell>
          <cell r="C369" t="str">
            <v>//shrzboost01/TRUMPF.NET/DATA_PDM2/Stöbich/Aufträge.GEO</v>
          </cell>
        </row>
        <row r="370">
          <cell r="A370"/>
          <cell r="B370" t="str">
            <v>"//shrzboost01/TRUMPF.NET/DATA_PDM2/Stöbich/Varianten/.GMV"</v>
          </cell>
          <cell r="C370" t="str">
            <v>//shrzboost01/TRUMPF.NET/DATA_PDM2/Stöbich/Aufträge.GEO</v>
          </cell>
        </row>
        <row r="371">
          <cell r="A371" t="str">
            <v>0734859</v>
          </cell>
          <cell r="B371" t="str">
            <v>"//shrzboost01/TRUMPF.NET/DATA_PDM2/Stöbich/Varianten/0734859.GMV"</v>
          </cell>
          <cell r="C371" t="str">
            <v>//shrzboost01/TRUMPF.NET/DATA_PDM2/Stöbich/Aufträge.GEO</v>
          </cell>
        </row>
        <row r="372">
          <cell r="A372" t="str">
            <v>0734860</v>
          </cell>
          <cell r="B372" t="str">
            <v>"//shrzboost01/TRUMPF.NET/DATA_PDM2/Stöbich/Varianten/0734860.GMV"</v>
          </cell>
          <cell r="C372" t="str">
            <v>//shrzboost01/TRUMPF.NET/DATA_PDM2/Stöbich/Aufträge.GEO</v>
          </cell>
        </row>
        <row r="373">
          <cell r="A373" t="str">
            <v>0734861</v>
          </cell>
          <cell r="B373" t="str">
            <v>"//shrzboost01/TRUMPF.NET/DATA_PDM2/Stöbich/Varianten/0734861.GMV"</v>
          </cell>
          <cell r="C373" t="str">
            <v>//shrzboost01/TRUMPF.NET/DATA_PDM2/Stöbich/Aufträge.GEO</v>
          </cell>
        </row>
        <row r="374">
          <cell r="A374" t="str">
            <v>0734862</v>
          </cell>
          <cell r="B374" t="str">
            <v>"//shrzboost01/TRUMPF.NET/DATA_PDM2/Stöbich/Varianten/0734862.GMV"</v>
          </cell>
          <cell r="C374" t="str">
            <v>//shrzboost01/TRUMPF.NET/DATA_PDM2/Stöbich/Aufträge.GEO</v>
          </cell>
        </row>
        <row r="375">
          <cell r="A375" t="str">
            <v>0734863</v>
          </cell>
          <cell r="B375" t="str">
            <v>"//shrzboost01/TRUMPF.NET/DATA_PDM2/Stöbich/Varianten/0734863.GMV"</v>
          </cell>
          <cell r="C375" t="str">
            <v>//shrzboost01/TRUMPF.NET/DATA_PDM2/Stöbich/Aufträge.GEO</v>
          </cell>
        </row>
        <row r="376">
          <cell r="A376" t="str">
            <v>0734864</v>
          </cell>
          <cell r="B376" t="str">
            <v>"//shrzboost01/TRUMPF.NET/DATA_PDM2/Stöbich/Varianten/0734864.GMV"</v>
          </cell>
          <cell r="C376" t="str">
            <v>//shrzboost01/TRUMPF.NET/DATA_PDM2/Stöbich/Aufträge.GEO</v>
          </cell>
        </row>
        <row r="377">
          <cell r="A377" t="str">
            <v>0734865</v>
          </cell>
          <cell r="B377" t="str">
            <v>"//shrzboost01/TRUMPF.NET/DATA_PDM2/Stöbich/Varianten/0734865.GMV"</v>
          </cell>
          <cell r="C377" t="str">
            <v>//shrzboost01/TRUMPF.NET/DATA_PDM2/Stöbich/Aufträge.GEO</v>
          </cell>
        </row>
        <row r="378">
          <cell r="A378" t="str">
            <v>0734866</v>
          </cell>
          <cell r="B378" t="str">
            <v>"//shrzboost01/TRUMPF.NET/DATA_PDM2/Stöbich/Varianten/0734866.GMV"</v>
          </cell>
          <cell r="C378" t="str">
            <v>//shrzboost01/TRUMPF.NET/DATA_PDM2/Stöbich/Aufträge.GEO</v>
          </cell>
        </row>
        <row r="379">
          <cell r="A379" t="str">
            <v>0733138</v>
          </cell>
          <cell r="B379" t="str">
            <v>"//shrzboost01/TRUMPF.NET/DATA_PDM2/Stöbich/Varianten/0733138.GMV"</v>
          </cell>
          <cell r="C379" t="str">
            <v>//shrzboost01/TRUMPF.NET/DATA_PDM2/Stöbich/Aufträge.GEO</v>
          </cell>
        </row>
        <row r="380">
          <cell r="A380" t="str">
            <v>0733143</v>
          </cell>
          <cell r="B380" t="str">
            <v>"//shrzboost01/TRUMPF.NET/DATA_PDM2/Stöbich/Varianten/0733143.GMV"</v>
          </cell>
          <cell r="C380" t="str">
            <v>//shrzboost01/TRUMPF.NET/DATA_PDM2/Stöbich/Aufträge.GEO</v>
          </cell>
        </row>
        <row r="381">
          <cell r="A381" t="str">
            <v>0733142</v>
          </cell>
          <cell r="B381" t="str">
            <v>"//shrzboost01/TRUMPF.NET/DATA_PDM2/Stöbich/Varianten/0733142.GMV"</v>
          </cell>
          <cell r="C381" t="str">
            <v>//shrzboost01/TRUMPF.NET/DATA_PDM2/Stöbich/Aufträge.GEO</v>
          </cell>
        </row>
        <row r="382">
          <cell r="A382" t="str">
            <v>0735592</v>
          </cell>
          <cell r="B382" t="str">
            <v>"//shrzboost01/TRUMPF.NET/DATA_PDM2/Stöbich/Varianten/0735592.GMV"</v>
          </cell>
          <cell r="C382" t="str">
            <v>//shrzboost01/TRUMPF.NET/DATA_PDM2/Stöbich/Aufträge.GEO</v>
          </cell>
        </row>
        <row r="383">
          <cell r="A383" t="str">
            <v>0733137</v>
          </cell>
          <cell r="B383" t="str">
            <v>"//shrzboost01/TRUMPF.NET/DATA_PDM2/Stöbich/Varianten/0733137.GMV"</v>
          </cell>
          <cell r="C383" t="str">
            <v>//shrzboost01/TRUMPF.NET/DATA_PDM2/Stöbich/Aufträge.GEO</v>
          </cell>
        </row>
        <row r="384">
          <cell r="A384" t="str">
            <v>0733144</v>
          </cell>
          <cell r="B384" t="str">
            <v>"//shrzboost01/TRUMPF.NET/DATA_PDM2/Stöbich/Varianten/0733144.GMV"</v>
          </cell>
          <cell r="C384" t="str">
            <v>//shrzboost01/TRUMPF.NET/DATA_PDM2/Stöbich/Aufträge.GEO</v>
          </cell>
        </row>
        <row r="385">
          <cell r="A385" t="str">
            <v>0733141</v>
          </cell>
          <cell r="B385" t="str">
            <v>"//shrzboost01/TRUMPF.NET/DATA_PDM2/Stöbich/Varianten/0733141.GMV"</v>
          </cell>
          <cell r="C385" t="str">
            <v>//shrzboost01/TRUMPF.NET/DATA_PDM2/Stöbich/Aufträge.GEO</v>
          </cell>
        </row>
        <row r="386">
          <cell r="A386" t="str">
            <v>0735593</v>
          </cell>
          <cell r="B386" t="str">
            <v>"//shrzboost01/TRUMPF.NET/DATA_PDM2/Stöbich/Varianten/0735593.GMV"</v>
          </cell>
          <cell r="C386" t="str">
            <v>//shrzboost01/TRUMPF.NET/DATA_PDM2/Stöbich/Aufträge.GEO</v>
          </cell>
        </row>
        <row r="387">
          <cell r="A387" t="str">
            <v>0733032</v>
          </cell>
          <cell r="B387" t="str">
            <v>"//shrzboost01/TRUMPF.NET/DATA_PDM2/Stöbich/Varianten/0733032.GMV"</v>
          </cell>
          <cell r="C387" t="str">
            <v>//shrzboost01/TRUMPF.NET/DATA_PDM2/Stöbich/Aufträge.GEO</v>
          </cell>
        </row>
        <row r="388">
          <cell r="A388" t="str">
            <v>0733136</v>
          </cell>
          <cell r="B388" t="str">
            <v>"//shrzboost01/TRUMPF.NET/DATA_PDM2/Stöbich/Varianten/0733136.GMV"</v>
          </cell>
          <cell r="C388" t="str">
            <v>//shrzboost01/TRUMPF.NET/DATA_PDM2/Stöbich/Aufträge.GEO</v>
          </cell>
        </row>
        <row r="389">
          <cell r="A389" t="str">
            <v>0733031</v>
          </cell>
          <cell r="B389" t="str">
            <v>"//shrzboost01/TRUMPF.NET/DATA_PDM2/Stöbich/Varianten/0733031.GMV"</v>
          </cell>
          <cell r="C389" t="str">
            <v>//shrzboost01/TRUMPF.NET/DATA_PDM2/Stöbich/Aufträge.GEO</v>
          </cell>
        </row>
        <row r="390">
          <cell r="A390" t="str">
            <v>0733135</v>
          </cell>
          <cell r="B390" t="str">
            <v>"//shrzboost01/TRUMPF.NET/DATA_PDM2/Stöbich/Varianten/0733135.GMV"</v>
          </cell>
          <cell r="C390" t="str">
            <v>//shrzboost01/TRUMPF.NET/DATA_PDM2/Stöbich/Aufträge.GEO</v>
          </cell>
        </row>
        <row r="391">
          <cell r="A391"/>
          <cell r="B391" t="str">
            <v>"//shrzboost01/TRUMPF.NET/DATA_PDM2/Stöbich/Varianten/.GMV"</v>
          </cell>
          <cell r="C391" t="str">
            <v>//shrzboost01/TRUMPF.NET/DATA_PDM2/Stöbich/Aufträge.GEO</v>
          </cell>
        </row>
        <row r="392">
          <cell r="A392"/>
          <cell r="B392" t="str">
            <v>"//shrzboost01/TRUMPF.NET/DATA_PDM2/Stöbich/Varianten/.GMV"</v>
          </cell>
          <cell r="C392" t="str">
            <v>//shrzboost01/TRUMPF.NET/DATA_PDM2/Stöbich/Aufträge.GEO</v>
          </cell>
        </row>
        <row r="393">
          <cell r="A393" t="str">
            <v>0713396</v>
          </cell>
          <cell r="B393" t="str">
            <v>"//shrzboost01/TRUMPF.NET/DATA_PDM2/Stöbich/Varianten/0713396.GMV"</v>
          </cell>
          <cell r="C393" t="str">
            <v>//shrzboost01/TRUMPF.NET/DATA_PDM2/Stöbich/Aufträge.GEO</v>
          </cell>
        </row>
        <row r="394">
          <cell r="A394"/>
          <cell r="B394" t="str">
            <v>"//shrzboost01/TRUMPF.NET/DATA_PDM2/Stöbich/Varianten/.GMV"</v>
          </cell>
          <cell r="C394" t="str">
            <v>//shrzboost01/TRUMPF.NET/DATA_PDM2/Stöbich/Aufträge.GEO</v>
          </cell>
        </row>
        <row r="395">
          <cell r="A395" t="str">
            <v>0713398</v>
          </cell>
          <cell r="B395" t="str">
            <v>"//shrzboost01/TRUMPF.NET/DATA_PDM2/Stöbich/Varianten/0713398.GMV"</v>
          </cell>
          <cell r="C395" t="str">
            <v>//shrzboost01/TRUMPF.NET/DATA_PDM2/Stöbich/Aufträge.GEO</v>
          </cell>
        </row>
        <row r="396">
          <cell r="A396" t="str">
            <v>0713399</v>
          </cell>
          <cell r="B396" t="str">
            <v>"//shrzboost01/TRUMPF.NET/DATA_PDM2/Stöbich/Varianten/0713399.GMV"</v>
          </cell>
          <cell r="C396" t="str">
            <v>//shrzboost01/TRUMPF.NET/DATA_PDM2/Stöbich/Aufträge.GEO</v>
          </cell>
        </row>
        <row r="397">
          <cell r="A397"/>
          <cell r="B397" t="str">
            <v>"//shrzboost01/TRUMPF.NET/DATA_PDM2/Stöbich/Varianten/.GMV"</v>
          </cell>
          <cell r="C397" t="str">
            <v>//shrzboost01/TRUMPF.NET/DATA_PDM2/Stöbich/Aufträge.GEO</v>
          </cell>
        </row>
        <row r="398">
          <cell r="A398" t="str">
            <v>0713412</v>
          </cell>
          <cell r="B398" t="str">
            <v>"//shrzboost01/TRUMPF.NET/DATA_PDM2/Stöbich/Varianten/0713412.GMV"</v>
          </cell>
          <cell r="C398" t="str">
            <v>//shrzboost01/TRUMPF.NET/DATA_PDM2/Stöbich/Aufträge.GEO</v>
          </cell>
        </row>
        <row r="399">
          <cell r="A399" t="str">
            <v>0713413</v>
          </cell>
          <cell r="B399" t="str">
            <v>"//shrzboost01/TRUMPF.NET/DATA_PDM2/Stöbich/Varianten/0713413.GMV"</v>
          </cell>
          <cell r="C399" t="str">
            <v>//shrzboost01/TRUMPF.NET/DATA_PDM2/Stöbich/Aufträge.GEO</v>
          </cell>
        </row>
        <row r="400">
          <cell r="A400"/>
          <cell r="B400" t="str">
            <v>"//shrzboost01/TRUMPF.NET/DATA_PDM2/Stöbich/Varianten/.GMV"</v>
          </cell>
          <cell r="C400" t="str">
            <v>//shrzboost01/TRUMPF.NET/DATA_PDM2/Stöbich/Aufträge.GEO</v>
          </cell>
        </row>
        <row r="401">
          <cell r="A401" t="str">
            <v>0713415</v>
          </cell>
          <cell r="B401" t="str">
            <v>"//shrzboost01/TRUMPF.NET/DATA_PDM2/Stöbich/Varianten/0713415.GMV"</v>
          </cell>
          <cell r="C401" t="str">
            <v>//shrzboost01/TRUMPF.NET/DATA_PDM2/Stöbich/Aufträge.GEO</v>
          </cell>
        </row>
        <row r="402">
          <cell r="A402"/>
          <cell r="B402" t="str">
            <v>"//shrzboost01/TRUMPF.NET/DATA_PDM2/Stöbich/Varianten/.GMV"</v>
          </cell>
          <cell r="C402" t="str">
            <v>//shrzboost01/TRUMPF.NET/DATA_PDM2/Stöbich/Aufträge.GEO</v>
          </cell>
        </row>
        <row r="403">
          <cell r="A403" t="str">
            <v>0713423</v>
          </cell>
          <cell r="B403" t="str">
            <v>"//shrzboost01/TRUMPF.NET/DATA_PDM2/Stöbich/Varianten/0713423.GMV"</v>
          </cell>
          <cell r="C403" t="str">
            <v>//shrzboost01/TRUMPF.NET/DATA_PDM2/Stöbich/Aufträge.GEO</v>
          </cell>
        </row>
        <row r="404">
          <cell r="A404" t="str">
            <v>0713425</v>
          </cell>
          <cell r="B404" t="str">
            <v>"//shrzboost01/TRUMPF.NET/DATA_PDM2/Stöbich/Varianten/0713425.GMV"</v>
          </cell>
          <cell r="C404" t="str">
            <v>//shrzboost01/TRUMPF.NET/DATA_PDM2/Stöbich/Aufträge.GEO</v>
          </cell>
        </row>
        <row r="405">
          <cell r="A405" t="str">
            <v>0713426</v>
          </cell>
          <cell r="B405" t="str">
            <v>"//shrzboost01/TRUMPF.NET/DATA_PDM2/Stöbich/Varianten/0713426.GMV"</v>
          </cell>
          <cell r="C405" t="str">
            <v>//shrzboost01/TRUMPF.NET/DATA_PDM2/Stöbich/Aufträge.GEO</v>
          </cell>
        </row>
        <row r="406">
          <cell r="A406"/>
          <cell r="B406" t="str">
            <v>"//shrzboost01/TRUMPF.NET/DATA_PDM2/Stöbich/Varianten/.GMV"</v>
          </cell>
          <cell r="C406" t="str">
            <v>//shrzboost01/TRUMPF.NET/DATA_PDM2/Stöbich/Aufträge.GEO</v>
          </cell>
        </row>
        <row r="407">
          <cell r="A407" t="str">
            <v>0713428</v>
          </cell>
          <cell r="B407" t="str">
            <v>"//shrzboost01/TRUMPF.NET/DATA_PDM2/Stöbich/Varianten/0713428.GMV"</v>
          </cell>
          <cell r="C407" t="str">
            <v>//shrzboost01/TRUMPF.NET/DATA_PDM2/Stöbich/Aufträge.GEO</v>
          </cell>
        </row>
        <row r="408">
          <cell r="A408" t="str">
            <v>0713429</v>
          </cell>
          <cell r="B408" t="str">
            <v>"//shrzboost01/TRUMPF.NET/DATA_PDM2/Stöbich/Varianten/0713429.GMV"</v>
          </cell>
          <cell r="C408" t="str">
            <v>//shrzboost01/TRUMPF.NET/DATA_PDM2/Stöbich/Aufträge.GEO</v>
          </cell>
        </row>
        <row r="409">
          <cell r="A409"/>
          <cell r="B409" t="str">
            <v>"//shrzboost01/TRUMPF.NET/DATA_PDM2/Stöbich/Varianten/.GMV"</v>
          </cell>
          <cell r="C409" t="str">
            <v>//shrzboost01/TRUMPF.NET/DATA_PDM2/Stöbich/Aufträge.GEO</v>
          </cell>
        </row>
        <row r="410">
          <cell r="A410" t="str">
            <v>0713431</v>
          </cell>
          <cell r="B410" t="str">
            <v>"//shrzboost01/TRUMPF.NET/DATA_PDM2/Stöbich/Varianten/0713431.GMV"</v>
          </cell>
          <cell r="C410" t="str">
            <v>//shrzboost01/TRUMPF.NET/DATA_PDM2/Stöbich/Aufträge.GEO</v>
          </cell>
        </row>
        <row r="411">
          <cell r="A411" t="str">
            <v>0714493</v>
          </cell>
          <cell r="B411" t="str">
            <v>"//shrzboost01/TRUMPF.NET/DATA_PDM2/Stöbich/Varianten/0714493.GMV"</v>
          </cell>
          <cell r="C411" t="str">
            <v>//shrzboost01/TRUMPF.NET/DATA_PDM2/Stöbich/Aufträge.GEO</v>
          </cell>
        </row>
        <row r="412">
          <cell r="A412" t="str">
            <v>0714498</v>
          </cell>
          <cell r="B412" t="str">
            <v>"//shrzboost01/TRUMPF.NET/DATA_PDM2/Stöbich/Varianten/0714498.GMV"</v>
          </cell>
          <cell r="C412" t="str">
            <v>//shrzboost01/TRUMPF.NET/DATA_PDM2/Stöbich/Aufträge.GEO</v>
          </cell>
        </row>
        <row r="413">
          <cell r="A413"/>
          <cell r="B413" t="str">
            <v>"//shrzboost01/TRUMPF.NET/DATA_PDM2/Stöbich/Varianten/.GMV"</v>
          </cell>
          <cell r="C413" t="str">
            <v>//shrzboost01/TRUMPF.NET/DATA_PDM2/Stöbich/Aufträge.GEO</v>
          </cell>
        </row>
        <row r="414">
          <cell r="A414" t="str">
            <v>0714309</v>
          </cell>
          <cell r="B414" t="str">
            <v>"//shrzboost01/TRUMPF.NET/DATA_PDM2/Stöbich/Varianten/0714309.GMV"</v>
          </cell>
          <cell r="C414" t="str">
            <v>//shrzboost01/TRUMPF.NET/DATA_PDM2/Stöbich/Aufträge.GEO</v>
          </cell>
        </row>
        <row r="415">
          <cell r="A415" t="str">
            <v>0714310</v>
          </cell>
          <cell r="B415" t="str">
            <v>"//shrzboost01/TRUMPF.NET/DATA_PDM2/Stöbich/Varianten/0714310.GMV"</v>
          </cell>
          <cell r="C415" t="str">
            <v>//shrzboost01/TRUMPF.NET/DATA_PDM2/Stöbich/Aufträge.GEO</v>
          </cell>
        </row>
        <row r="416">
          <cell r="A416"/>
          <cell r="B416" t="str">
            <v>"//shrzboost01/TRUMPF.NET/DATA_PDM2/Stöbich/Varianten/.GMV"</v>
          </cell>
          <cell r="C416" t="str">
            <v>//shrzboost01/TRUMPF.NET/DATA_PDM2/Stöbich/Aufträge.GEO</v>
          </cell>
        </row>
        <row r="417">
          <cell r="A417" t="str">
            <v>0701220</v>
          </cell>
          <cell r="B417" t="str">
            <v>"//shrzboost01/TRUMPF.NET/DATA_PDM2/Stöbich/Varianten/0701220.GMV"</v>
          </cell>
          <cell r="C417" t="str">
            <v>//shrzboost01/TRUMPF.NET/DATA_PDM2/Stöbich/Aufträge.GEO</v>
          </cell>
        </row>
        <row r="418">
          <cell r="A418" t="str">
            <v>0704039</v>
          </cell>
          <cell r="B418" t="str">
            <v>"//shrzboost01/TRUMPF.NET/DATA_PDM2/Stöbich/Varianten/0704039.GMV"</v>
          </cell>
          <cell r="C418" t="str">
            <v>//shrzboost01/TRUMPF.NET/DATA_PDM2/Stöbich/Aufträge.GEO</v>
          </cell>
        </row>
        <row r="419">
          <cell r="A419" t="str">
            <v>0704785</v>
          </cell>
          <cell r="B419" t="str">
            <v>"//shrzboost01/TRUMPF.NET/DATA_PDM2/Stöbich/Varianten/0704785.GMV"</v>
          </cell>
          <cell r="C419" t="str">
            <v>//shrzboost01/TRUMPF.NET/DATA_PDM2/Stöbich/Aufträge.GEO</v>
          </cell>
        </row>
        <row r="420">
          <cell r="A420" t="str">
            <v>0704787</v>
          </cell>
          <cell r="B420" t="str">
            <v>"//shrzboost01/TRUMPF.NET/DATA_PDM2/Stöbich/Varianten/0704787.GMV"</v>
          </cell>
          <cell r="C420" t="str">
            <v>//shrzboost01/TRUMPF.NET/DATA_PDM2/Stöbich/Aufträge.GEO</v>
          </cell>
        </row>
        <row r="421">
          <cell r="A421" t="str">
            <v>0714291</v>
          </cell>
          <cell r="B421" t="str">
            <v>"//shrzboost01/TRUMPF.NET/DATA_PDM2/Stöbich/Varianten/0714291.GMV"</v>
          </cell>
          <cell r="C421" t="str">
            <v>//shrzboost01/TRUMPF.NET/DATA_PDM2/Stöbich/Aufträge.GEO</v>
          </cell>
        </row>
        <row r="422">
          <cell r="A422" t="str">
            <v>0714290</v>
          </cell>
          <cell r="B422" t="str">
            <v>"//shrzboost01/TRUMPF.NET/DATA_PDM2/Stöbich/Varianten/0714290.GMV"</v>
          </cell>
          <cell r="C422" t="str">
            <v>//shrzboost01/TRUMPF.NET/DATA_PDM2/Stöbich/Aufträge.GEO</v>
          </cell>
        </row>
        <row r="423">
          <cell r="A423" t="str">
            <v>0715658</v>
          </cell>
          <cell r="B423" t="str">
            <v>"//shrzboost01/TRUMPF.NET/DATA_PDM2/Stöbich/Varianten/0715658.GMV"</v>
          </cell>
          <cell r="C423" t="str">
            <v>//shrzboost01/TRUMPF.NET/DATA_PDM2/Stöbich/Aufträge.GEO</v>
          </cell>
        </row>
        <row r="424">
          <cell r="A424" t="str">
            <v>0715659</v>
          </cell>
          <cell r="B424" t="str">
            <v>"//shrzboost01/TRUMPF.NET/DATA_PDM2/Stöbich/Varianten/0715659.GMV"</v>
          </cell>
          <cell r="C424" t="str">
            <v>//shrzboost01/TRUMPF.NET/DATA_PDM2/Stöbich/Aufträge.GEO</v>
          </cell>
        </row>
        <row r="425">
          <cell r="A425" t="str">
            <v>0704789</v>
          </cell>
          <cell r="B425" t="str">
            <v>"//shrzboost01/TRUMPF.NET/DATA_PDM2/Stöbich/Varianten/0704789.GMV"</v>
          </cell>
          <cell r="C425" t="str">
            <v>//shrzboost01/TRUMPF.NET/DATA_PDM2/Stöbich/Aufträge.GEO</v>
          </cell>
        </row>
        <row r="426">
          <cell r="A426" t="str">
            <v>0704791</v>
          </cell>
          <cell r="B426" t="str">
            <v>"//shrzboost01/TRUMPF.NET/DATA_PDM2/Stöbich/Varianten/0704791.GMV"</v>
          </cell>
          <cell r="C426" t="str">
            <v>//shrzboost01/TRUMPF.NET/DATA_PDM2/Stöbich/Aufträge.GEO</v>
          </cell>
        </row>
        <row r="427">
          <cell r="A427" t="str">
            <v>0704876</v>
          </cell>
          <cell r="B427" t="str">
            <v>"//shrzboost01/TRUMPF.NET/DATA_PDM2/Stöbich/Varianten/0704876.GMV"</v>
          </cell>
          <cell r="C427" t="str">
            <v>//shrzboost01/TRUMPF.NET/DATA_PDM2/Stöbich/Aufträge.GEO</v>
          </cell>
        </row>
        <row r="428">
          <cell r="A428" t="str">
            <v>0704954</v>
          </cell>
          <cell r="B428" t="str">
            <v>"//shrzboost01/TRUMPF.NET/DATA_PDM2/Stöbich/Varianten/0704954.GMV"</v>
          </cell>
          <cell r="C428" t="str">
            <v>//shrzboost01/TRUMPF.NET/DATA_PDM2/Stöbich/Aufträge.GEO</v>
          </cell>
        </row>
        <row r="429">
          <cell r="A429" t="str">
            <v>0704955</v>
          </cell>
          <cell r="B429" t="str">
            <v>"//shrzboost01/TRUMPF.NET/DATA_PDM2/Stöbich/Varianten/0704955.GMV"</v>
          </cell>
          <cell r="C429" t="str">
            <v>//shrzboost01/TRUMPF.NET/DATA_PDM2/Stöbich/Aufträge.GEO</v>
          </cell>
        </row>
        <row r="430">
          <cell r="A430" t="str">
            <v>0712274</v>
          </cell>
          <cell r="B430" t="str">
            <v>"//shrzboost01/TRUMPF.NET/DATA_PDM2/Stöbich/Varianten/0712274.GMV"</v>
          </cell>
          <cell r="C430" t="str">
            <v>//shrzboost01/TRUMPF.NET/DATA_PDM2/Stöbich/Aufträge.GEO</v>
          </cell>
        </row>
        <row r="431">
          <cell r="A431" t="str">
            <v>0704956</v>
          </cell>
          <cell r="B431" t="str">
            <v>"//shrzboost01/TRUMPF.NET/DATA_PDM2/Stöbich/Varianten/0704956.GMV"</v>
          </cell>
          <cell r="C431" t="str">
            <v>//shrzboost01/TRUMPF.NET/DATA_PDM2/Stöbich/Aufträge.GEO</v>
          </cell>
        </row>
        <row r="432">
          <cell r="A432" t="str">
            <v>0704957</v>
          </cell>
          <cell r="B432" t="str">
            <v>"//shrzboost01/TRUMPF.NET/DATA_PDM2/Stöbich/Varianten/0704957.GMV"</v>
          </cell>
          <cell r="C432" t="str">
            <v>//shrzboost01/TRUMPF.NET/DATA_PDM2/Stöbich/Aufträge.GEO</v>
          </cell>
        </row>
        <row r="433">
          <cell r="A433" t="str">
            <v>0710701</v>
          </cell>
          <cell r="B433" t="str">
            <v>"//shrzboost01/TRUMPF.NET/DATA_PDM2/Stöbich/Varianten/0710701.GMV"</v>
          </cell>
          <cell r="C433" t="str">
            <v>//shrzboost01/TRUMPF.NET/DATA_PDM2/Stöbich/Aufträge.GEO</v>
          </cell>
        </row>
        <row r="434">
          <cell r="A434" t="str">
            <v>0711392</v>
          </cell>
          <cell r="B434" t="str">
            <v>"//shrzboost01/TRUMPF.NET/DATA_PDM2/Stöbich/Varianten/0711392.GMV"</v>
          </cell>
          <cell r="C434" t="str">
            <v>//shrzboost01/TRUMPF.NET/DATA_PDM2/Stöbich/Aufträge.GEO</v>
          </cell>
        </row>
        <row r="435">
          <cell r="A435" t="str">
            <v>0711393</v>
          </cell>
          <cell r="B435" t="str">
            <v>"//shrzboost01/TRUMPF.NET/DATA_PDM2/Stöbich/Varianten/0711393.GMV"</v>
          </cell>
          <cell r="C435" t="str">
            <v>//shrzboost01/TRUMPF.NET/DATA_PDM2/Stöbich/Aufträge.GEO</v>
          </cell>
        </row>
        <row r="436">
          <cell r="A436" t="str">
            <v>0711394</v>
          </cell>
          <cell r="B436" t="str">
            <v>"//shrzboost01/TRUMPF.NET/DATA_PDM2/Stöbich/Varianten/0711394.GMV"</v>
          </cell>
          <cell r="C436" t="str">
            <v>//shrzboost01/TRUMPF.NET/DATA_PDM2/Stöbich/Aufträge.GEO</v>
          </cell>
        </row>
        <row r="437">
          <cell r="A437" t="str">
            <v>0711395</v>
          </cell>
          <cell r="B437" t="str">
            <v>"//shrzboost01/TRUMPF.NET/DATA_PDM2/Stöbich/Varianten/0711395.GMV"</v>
          </cell>
          <cell r="C437" t="str">
            <v>//shrzboost01/TRUMPF.NET/DATA_PDM2/Stöbich/Aufträge.GEO</v>
          </cell>
        </row>
        <row r="438">
          <cell r="A438" t="str">
            <v>0711396</v>
          </cell>
          <cell r="B438" t="str">
            <v>"//shrzboost01/TRUMPF.NET/DATA_PDM2/Stöbich/Varianten/0711396.GMV"</v>
          </cell>
          <cell r="C438" t="str">
            <v>//shrzboost01/TRUMPF.NET/DATA_PDM2/Stöbich/Aufträge.GEO</v>
          </cell>
        </row>
        <row r="439">
          <cell r="A439" t="str">
            <v>0712250</v>
          </cell>
          <cell r="B439" t="str">
            <v>"//shrzboost01/TRUMPF.NET/DATA_PDM2/Stöbich/Varianten/0712250.GMV"</v>
          </cell>
          <cell r="C439" t="str">
            <v>//shrzboost01/TRUMPF.NET/DATA_PDM2/Stöbich/Aufträge.GEO</v>
          </cell>
        </row>
        <row r="440">
          <cell r="A440" t="str">
            <v>0712251</v>
          </cell>
          <cell r="B440" t="str">
            <v>"//shrzboost01/TRUMPF.NET/DATA_PDM2/Stöbich/Varianten/0712251.GMV"</v>
          </cell>
          <cell r="C440" t="str">
            <v>//shrzboost01/TRUMPF.NET/DATA_PDM2/Stöbich/Aufträge.GEO</v>
          </cell>
        </row>
        <row r="441">
          <cell r="A441" t="str">
            <v>0712252</v>
          </cell>
          <cell r="B441" t="str">
            <v>"//shrzboost01/TRUMPF.NET/DATA_PDM2/Stöbich/Varianten/0712252.GMV"</v>
          </cell>
          <cell r="C441" t="str">
            <v>//shrzboost01/TRUMPF.NET/DATA_PDM2/Stöbich/Aufträge.GEO</v>
          </cell>
        </row>
        <row r="442">
          <cell r="A442" t="str">
            <v>0712258</v>
          </cell>
          <cell r="B442" t="str">
            <v>"//shrzboost01/TRUMPF.NET/DATA_PDM2/Stöbich/Varianten/0712258.GMV"</v>
          </cell>
          <cell r="C442" t="str">
            <v>//shrzboost01/TRUMPF.NET/DATA_PDM2/Stöbich/Aufträge.GEO</v>
          </cell>
        </row>
        <row r="443">
          <cell r="A443" t="str">
            <v>0712259</v>
          </cell>
          <cell r="B443" t="str">
            <v>"//shrzboost01/TRUMPF.NET/DATA_PDM2/Stöbich/Varianten/0712259.GMV"</v>
          </cell>
          <cell r="C443" t="str">
            <v>//shrzboost01/TRUMPF.NET/DATA_PDM2/Stöbich/Aufträge.GEO</v>
          </cell>
        </row>
        <row r="444">
          <cell r="A444" t="str">
            <v>0712260</v>
          </cell>
          <cell r="B444" t="str">
            <v>"//shrzboost01/TRUMPF.NET/DATA_PDM2/Stöbich/Varianten/0712260.GMV"</v>
          </cell>
          <cell r="C444" t="str">
            <v>//shrzboost01/TRUMPF.NET/DATA_PDM2/Stöbich/Aufträge.GEO</v>
          </cell>
        </row>
        <row r="445">
          <cell r="A445" t="str">
            <v>0712265</v>
          </cell>
          <cell r="B445" t="str">
            <v>"//shrzboost01/TRUMPF.NET/DATA_PDM2/Stöbich/Varianten/0712265.GMV"</v>
          </cell>
          <cell r="C445" t="str">
            <v>//shrzboost01/TRUMPF.NET/DATA_PDM2/Stöbich/Aufträge.GEO</v>
          </cell>
        </row>
        <row r="446">
          <cell r="A446" t="str">
            <v>0711397</v>
          </cell>
          <cell r="B446" t="str">
            <v>"//shrzboost01/TRUMPF.NET/DATA_PDM2/Stöbich/Varianten/0711397.GMV"</v>
          </cell>
          <cell r="C446" t="str">
            <v>//shrzboost01/TRUMPF.NET/DATA_PDM2/Stöbich/Aufträge.GEO</v>
          </cell>
        </row>
        <row r="447">
          <cell r="A447" t="str">
            <v>0701217</v>
          </cell>
          <cell r="B447" t="str">
            <v>"//shrzboost01/TRUMPF.NET/DATA_PDM2/Stöbich/Varianten/0701217.GMV"</v>
          </cell>
          <cell r="C447" t="str">
            <v>//shrzboost01/TRUMPF.NET/DATA_PDM2/Stöbich/Aufträge.GEO</v>
          </cell>
        </row>
        <row r="448">
          <cell r="A448" t="str">
            <v>0712294</v>
          </cell>
          <cell r="B448" t="str">
            <v>"//shrzboost01/TRUMPF.NET/DATA_PDM2/Stöbich/Varianten/0712294.GMV"</v>
          </cell>
          <cell r="C448" t="str">
            <v>//shrzboost01/TRUMPF.NET/DATA_PDM2/Stöbich/Aufträge.GEO</v>
          </cell>
        </row>
        <row r="449">
          <cell r="A449" t="str">
            <v>0704793</v>
          </cell>
          <cell r="B449" t="str">
            <v>"//shrzboost01/TRUMPF.NET/DATA_PDM2/Stöbich/Varianten/0704793.GMV"</v>
          </cell>
          <cell r="C449" t="str">
            <v>//shrzboost01/TRUMPF.NET/DATA_PDM2/Stöbich/Aufträge.GEO</v>
          </cell>
        </row>
        <row r="450">
          <cell r="A450" t="str">
            <v>0704795</v>
          </cell>
          <cell r="B450" t="str">
            <v>"//shrzboost01/TRUMPF.NET/DATA_PDM2/Stöbich/Varianten/0704795.GMV"</v>
          </cell>
          <cell r="C450" t="str">
            <v>//shrzboost01/TRUMPF.NET/DATA_PDM2/Stöbich/Aufträge.GEO</v>
          </cell>
        </row>
        <row r="451">
          <cell r="A451" t="str">
            <v>0704797</v>
          </cell>
          <cell r="B451" t="str">
            <v>"//shrzboost01/TRUMPF.NET/DATA_PDM2/Stöbich/Varianten/0704797.GMV"</v>
          </cell>
          <cell r="C451" t="str">
            <v>//shrzboost01/TRUMPF.NET/DATA_PDM2/Stöbich/Aufträge.GEO</v>
          </cell>
        </row>
        <row r="452">
          <cell r="A452" t="str">
            <v>0704799</v>
          </cell>
          <cell r="B452" t="str">
            <v>"//shrzboost01/TRUMPF.NET/DATA_PDM2/Stöbich/Varianten/0704799.GMV"</v>
          </cell>
          <cell r="C452" t="str">
            <v>//shrzboost01/TRUMPF.NET/DATA_PDM2/Stöbich/Aufträge.GEO</v>
          </cell>
        </row>
        <row r="453">
          <cell r="A453" t="str">
            <v>0704877</v>
          </cell>
          <cell r="B453" t="str">
            <v>"//shrzboost01/TRUMPF.NET/DATA_PDM2/Stöbich/Varianten/0704877.GMV"</v>
          </cell>
          <cell r="C453" t="str">
            <v>//shrzboost01/TRUMPF.NET/DATA_PDM2/Stöbich/Aufträge.GEO</v>
          </cell>
        </row>
        <row r="454">
          <cell r="A454" t="str">
            <v>0704958</v>
          </cell>
          <cell r="B454" t="str">
            <v>"//shrzboost01/TRUMPF.NET/DATA_PDM2/Stöbich/Varianten/0704958.GMV"</v>
          </cell>
          <cell r="C454" t="str">
            <v>//shrzboost01/TRUMPF.NET/DATA_PDM2/Stöbich/Aufträge.GEO</v>
          </cell>
        </row>
        <row r="455">
          <cell r="A455" t="str">
            <v>0704960</v>
          </cell>
          <cell r="B455" t="str">
            <v>"//shrzboost01/TRUMPF.NET/DATA_PDM2/Stöbich/Varianten/0704960.GMV"</v>
          </cell>
          <cell r="C455" t="str">
            <v>//shrzboost01/TRUMPF.NET/DATA_PDM2/Stöbich/Aufträge.GEO</v>
          </cell>
        </row>
        <row r="456">
          <cell r="A456" t="str">
            <v>0704963</v>
          </cell>
          <cell r="B456" t="str">
            <v>"//shrzboost01/TRUMPF.NET/DATA_PDM2/Stöbich/Varianten/0704963.GMV"</v>
          </cell>
          <cell r="C456" t="str">
            <v>//shrzboost01/TRUMPF.NET/DATA_PDM2/Stöbich/Aufträge.GEO</v>
          </cell>
        </row>
        <row r="457">
          <cell r="A457" t="str">
            <v>0710702</v>
          </cell>
          <cell r="B457" t="str">
            <v>"//shrzboost01/TRUMPF.NET/DATA_PDM2/Stöbich/Varianten/0710702.GMV"</v>
          </cell>
          <cell r="C457" t="str">
            <v>//shrzboost01/TRUMPF.NET/DATA_PDM2/Stöbich/Aufträge.GEO</v>
          </cell>
        </row>
        <row r="458">
          <cell r="A458" t="str">
            <v>0710704</v>
          </cell>
          <cell r="B458" t="str">
            <v>"//shrzboost01/TRUMPF.NET/DATA_PDM2/Stöbich/Varianten/0710704.GMV"</v>
          </cell>
          <cell r="C458" t="str">
            <v>//shrzboost01/TRUMPF.NET/DATA_PDM2/Stöbich/Aufträge.GEO</v>
          </cell>
        </row>
        <row r="459">
          <cell r="A459" t="str">
            <v>0711398</v>
          </cell>
          <cell r="B459" t="str">
            <v>"//shrzboost01/TRUMPF.NET/DATA_PDM2/Stöbich/Varianten/0711398.GMV"</v>
          </cell>
          <cell r="C459" t="str">
            <v>//shrzboost01/TRUMPF.NET/DATA_PDM2/Stöbich/Aufträge.GEO</v>
          </cell>
        </row>
        <row r="460">
          <cell r="A460" t="str">
            <v>0711399</v>
          </cell>
          <cell r="B460" t="str">
            <v>"//shrzboost01/TRUMPF.NET/DATA_PDM2/Stöbich/Varianten/0711399.GMV"</v>
          </cell>
          <cell r="C460" t="str">
            <v>//shrzboost01/TRUMPF.NET/DATA_PDM2/Stöbich/Aufträge.GEO</v>
          </cell>
        </row>
        <row r="461">
          <cell r="A461" t="str">
            <v>0711400</v>
          </cell>
          <cell r="B461" t="str">
            <v>"//shrzboost01/TRUMPF.NET/DATA_PDM2/Stöbich/Varianten/0711400.GMV"</v>
          </cell>
          <cell r="C461" t="str">
            <v>//shrzboost01/TRUMPF.NET/DATA_PDM2/Stöbich/Aufträge.GEO</v>
          </cell>
        </row>
        <row r="462">
          <cell r="A462" t="str">
            <v>0711401</v>
          </cell>
          <cell r="B462" t="str">
            <v>"//shrzboost01/TRUMPF.NET/DATA_PDM2/Stöbich/Varianten/0711401.GMV"</v>
          </cell>
          <cell r="C462" t="str">
            <v>//shrzboost01/TRUMPF.NET/DATA_PDM2/Stöbich/Aufträge.GEO</v>
          </cell>
        </row>
        <row r="463">
          <cell r="A463" t="str">
            <v>0711402</v>
          </cell>
          <cell r="B463" t="str">
            <v>"//shrzboost01/TRUMPF.NET/DATA_PDM2/Stöbich/Varianten/0711402.GMV"</v>
          </cell>
          <cell r="C463" t="str">
            <v>//shrzboost01/TRUMPF.NET/DATA_PDM2/Stöbich/Aufträge.GEO</v>
          </cell>
        </row>
        <row r="464">
          <cell r="A464" t="str">
            <v>0711403</v>
          </cell>
          <cell r="B464" t="str">
            <v>"//shrzboost01/TRUMPF.NET/DATA_PDM2/Stöbich/Varianten/0711403.GMV"</v>
          </cell>
          <cell r="C464" t="str">
            <v>//shrzboost01/TRUMPF.NET/DATA_PDM2/Stöbich/Aufträge.GEO</v>
          </cell>
        </row>
        <row r="465">
          <cell r="A465" t="str">
            <v>0713832</v>
          </cell>
          <cell r="B465" t="str">
            <v>"//shrzboost01/TRUMPF.NET/DATA_PDM2/Stöbich/Varianten/0713832.GMV"</v>
          </cell>
          <cell r="C465" t="str">
            <v>//shrzboost01/TRUMPF.NET/DATA_PDM2/Stöbich/Aufträge.GEO</v>
          </cell>
        </row>
        <row r="466">
          <cell r="A466" t="str">
            <v>0713229</v>
          </cell>
          <cell r="B466" t="str">
            <v>"//shrzboost01/TRUMPF.NET/DATA_PDM2/Stöbich/Varianten/0713229.GMV"</v>
          </cell>
          <cell r="C466" t="str">
            <v>//shrzboost01/TRUMPF.NET/DATA_PDM2/Stöbich/Aufträge.GEO</v>
          </cell>
        </row>
        <row r="467">
          <cell r="A467" t="str">
            <v>0701232</v>
          </cell>
          <cell r="B467" t="str">
            <v>"//shrzboost01/TRUMPF.NET/DATA_PDM2/Stöbich/Varianten/0701232.GMV"</v>
          </cell>
          <cell r="C467" t="str">
            <v>//shrzboost01/TRUMPF.NET/DATA_PDM2/Stöbich/Aufträge.GEO</v>
          </cell>
        </row>
        <row r="468">
          <cell r="A468" t="str">
            <v>0713228</v>
          </cell>
          <cell r="B468" t="str">
            <v>"//shrzboost01/TRUMPF.NET/DATA_PDM2/Stöbich/Varianten/0713228.GMV"</v>
          </cell>
          <cell r="C468" t="str">
            <v>//shrzboost01/TRUMPF.NET/DATA_PDM2/Stöbich/Aufträge.GEO</v>
          </cell>
        </row>
        <row r="469">
          <cell r="A469" t="str">
            <v>0701233</v>
          </cell>
          <cell r="B469" t="str">
            <v>"//shrzboost01/TRUMPF.NET/DATA_PDM2/Stöbich/Varianten/0701233.GMV"</v>
          </cell>
          <cell r="C469" t="str">
            <v>//shrzboost01/TRUMPF.NET/DATA_PDM2/Stöbich/Aufträge.GEO</v>
          </cell>
        </row>
        <row r="470">
          <cell r="A470" t="str">
            <v>0712574</v>
          </cell>
          <cell r="B470" t="str">
            <v>"//shrzboost01/TRUMPF.NET/DATA_PDM2/Stöbich/Varianten/0712574.GMV"</v>
          </cell>
          <cell r="C470" t="str">
            <v>//shrzboost01/TRUMPF.NET/DATA_PDM2/Stöbich/Aufträge.GEO</v>
          </cell>
        </row>
        <row r="471">
          <cell r="A471" t="str">
            <v>0712295</v>
          </cell>
          <cell r="B471" t="str">
            <v>"//shrzboost01/TRUMPF.NET/DATA_PDM2/Stöbich/Varianten/0712295.GMV"</v>
          </cell>
          <cell r="C471" t="str">
            <v>//shrzboost01/TRUMPF.NET/DATA_PDM2/Stöbich/Aufträge.GEO</v>
          </cell>
        </row>
        <row r="472">
          <cell r="A472" t="str">
            <v>0701234</v>
          </cell>
          <cell r="B472" t="str">
            <v>"//shrzboost01/TRUMPF.NET/DATA_PDM2/Stöbich/Varianten/0701234.GMV"</v>
          </cell>
          <cell r="C472" t="str">
            <v>//shrzboost01/TRUMPF.NET/DATA_PDM2/Stöbich/Aufträge.GEO</v>
          </cell>
        </row>
        <row r="473">
          <cell r="A473" t="str">
            <v>0704800</v>
          </cell>
          <cell r="B473" t="str">
            <v>"//shrzboost01/TRUMPF.NET/DATA_PDM2/Stöbich/Varianten/0704800.GMV"</v>
          </cell>
          <cell r="C473" t="str">
            <v>//shrzboost01/TRUMPF.NET/DATA_PDM2/Stöbich/Aufträge.GEO</v>
          </cell>
        </row>
        <row r="474">
          <cell r="A474" t="str">
            <v>0704801</v>
          </cell>
          <cell r="B474" t="str">
            <v>"//shrzboost01/TRUMPF.NET/DATA_PDM2/Stöbich/Varianten/0704801.GMV"</v>
          </cell>
          <cell r="C474" t="str">
            <v>//shrzboost01/TRUMPF.NET/DATA_PDM2/Stöbich/Aufträge.GEO</v>
          </cell>
        </row>
        <row r="475">
          <cell r="A475" t="str">
            <v>0704802</v>
          </cell>
          <cell r="B475" t="str">
            <v>"//shrzboost01/TRUMPF.NET/DATA_PDM2/Stöbich/Varianten/0704802.GMV"</v>
          </cell>
          <cell r="C475" t="str">
            <v>//shrzboost01/TRUMPF.NET/DATA_PDM2/Stöbich/Aufträge.GEO</v>
          </cell>
        </row>
        <row r="476">
          <cell r="A476" t="str">
            <v>0704803</v>
          </cell>
          <cell r="B476" t="str">
            <v>"//shrzboost01/TRUMPF.NET/DATA_PDM2/Stöbich/Varianten/0704803.GMV"</v>
          </cell>
          <cell r="C476" t="str">
            <v>//shrzboost01/TRUMPF.NET/DATA_PDM2/Stöbich/Aufträge.GEO</v>
          </cell>
        </row>
        <row r="477">
          <cell r="A477" t="str">
            <v>0704804</v>
          </cell>
          <cell r="B477" t="str">
            <v>"//shrzboost01/TRUMPF.NET/DATA_PDM2/Stöbich/Varianten/0704804.GMV"</v>
          </cell>
          <cell r="C477" t="str">
            <v>//shrzboost01/TRUMPF.NET/DATA_PDM2/Stöbich/Aufträge.GEO</v>
          </cell>
        </row>
        <row r="478">
          <cell r="A478" t="str">
            <v>0704805</v>
          </cell>
          <cell r="B478" t="str">
            <v>"//shrzboost01/TRUMPF.NET/DATA_PDM2/Stöbich/Varianten/0704805.GMV"</v>
          </cell>
          <cell r="C478" t="str">
            <v>//shrzboost01/TRUMPF.NET/DATA_PDM2/Stöbich/Aufträge.GEO</v>
          </cell>
        </row>
        <row r="479">
          <cell r="A479" t="str">
            <v>0704806</v>
          </cell>
          <cell r="B479" t="str">
            <v>"//shrzboost01/TRUMPF.NET/DATA_PDM2/Stöbich/Varianten/0704806.GMV"</v>
          </cell>
          <cell r="C479" t="str">
            <v>//shrzboost01/TRUMPF.NET/DATA_PDM2/Stöbich/Aufträge.GEO</v>
          </cell>
        </row>
        <row r="480">
          <cell r="A480" t="str">
            <v>0704807</v>
          </cell>
          <cell r="B480" t="str">
            <v>"//shrzboost01/TRUMPF.NET/DATA_PDM2/Stöbich/Varianten/0704807.GMV"</v>
          </cell>
          <cell r="C480" t="str">
            <v>//shrzboost01/TRUMPF.NET/DATA_PDM2/Stöbich/Aufträge.GEO</v>
          </cell>
        </row>
        <row r="481">
          <cell r="A481" t="str">
            <v>0704961</v>
          </cell>
          <cell r="B481" t="str">
            <v>"//shrzboost01/TRUMPF.NET/DATA_PDM2/Stöbich/Varianten/0704961.GMV"</v>
          </cell>
          <cell r="C481" t="str">
            <v>//shrzboost01/TRUMPF.NET/DATA_PDM2/Stöbich/Aufträge.GEO</v>
          </cell>
        </row>
        <row r="482">
          <cell r="A482" t="str">
            <v>0704962</v>
          </cell>
          <cell r="B482" t="str">
            <v>"//shrzboost01/TRUMPF.NET/DATA_PDM2/Stöbich/Varianten/0704962.GMV"</v>
          </cell>
          <cell r="C482" t="str">
            <v>//shrzboost01/TRUMPF.NET/DATA_PDM2/Stöbich/Aufträge.GEO</v>
          </cell>
        </row>
        <row r="483">
          <cell r="A483" t="str">
            <v>0704964</v>
          </cell>
          <cell r="B483" t="str">
            <v>"//shrzboost01/TRUMPF.NET/DATA_PDM2/Stöbich/Varianten/0704964.GMV"</v>
          </cell>
          <cell r="C483" t="str">
            <v>//shrzboost01/TRUMPF.NET/DATA_PDM2/Stöbich/Aufträge.GEO</v>
          </cell>
        </row>
        <row r="484">
          <cell r="A484" t="str">
            <v>0710703</v>
          </cell>
          <cell r="B484" t="str">
            <v>"//shrzboost01/TRUMPF.NET/DATA_PDM2/Stöbich/Varianten/0710703.GMV"</v>
          </cell>
          <cell r="C484" t="str">
            <v>//shrzboost01/TRUMPF.NET/DATA_PDM2/Stöbich/Aufträge.GEO</v>
          </cell>
        </row>
        <row r="485">
          <cell r="A485" t="str">
            <v>0710705</v>
          </cell>
          <cell r="B485" t="str">
            <v>"//shrzboost01/TRUMPF.NET/DATA_PDM2/Stöbich/Varianten/0710705.GMV"</v>
          </cell>
          <cell r="C485" t="str">
            <v>//shrzboost01/TRUMPF.NET/DATA_PDM2/Stöbich/Aufträge.GEO</v>
          </cell>
        </row>
        <row r="486">
          <cell r="A486" t="str">
            <v>0710706</v>
          </cell>
          <cell r="B486" t="str">
            <v>"//shrzboost01/TRUMPF.NET/DATA_PDM2/Stöbich/Varianten/0710706.GMV"</v>
          </cell>
          <cell r="C486" t="str">
            <v>//shrzboost01/TRUMPF.NET/DATA_PDM2/Stöbich/Aufträge.GEO</v>
          </cell>
        </row>
        <row r="487">
          <cell r="A487" t="str">
            <v>0713825</v>
          </cell>
          <cell r="B487" t="str">
            <v>"//shrzboost01/TRUMPF.NET/DATA_PDM2/Stöbich/Varianten/0713825.GMV"</v>
          </cell>
          <cell r="C487" t="str">
            <v>//shrzboost01/TRUMPF.NET/DATA_PDM2/Stöbich/Aufträge.GEO</v>
          </cell>
        </row>
        <row r="488">
          <cell r="A488" t="str">
            <v>0713827</v>
          </cell>
          <cell r="B488" t="str">
            <v>"//shrzboost01/TRUMPF.NET/DATA_PDM2/Stöbich/Varianten/0713827.GMV"</v>
          </cell>
          <cell r="C488" t="str">
            <v>//shrzboost01/TRUMPF.NET/DATA_PDM2/Stöbich/Aufträge.GEO</v>
          </cell>
        </row>
        <row r="489">
          <cell r="A489" t="str">
            <v>0704879</v>
          </cell>
          <cell r="B489" t="str">
            <v>"//shrzboost01/TRUMPF.NET/DATA_PDM2/Stöbich/Varianten/0704879.GMV"</v>
          </cell>
          <cell r="C489" t="str">
            <v>//shrzboost01/TRUMPF.NET/DATA_PDM2/Stöbich/Aufträge.GEO</v>
          </cell>
        </row>
        <row r="490">
          <cell r="A490" t="str">
            <v>0704880</v>
          </cell>
          <cell r="B490" t="str">
            <v>"//shrzboost01/TRUMPF.NET/DATA_PDM2/Stöbich/Varianten/0704880.GMV"</v>
          </cell>
          <cell r="C490" t="str">
            <v>//shrzboost01/TRUMPF.NET/DATA_PDM2/Stöbich/Aufträge.GEO</v>
          </cell>
        </row>
        <row r="491">
          <cell r="A491" t="str">
            <v>0710707</v>
          </cell>
          <cell r="B491" t="str">
            <v>"//shrzboost01/TRUMPF.NET/DATA_PDM2/Stöbich/Varianten/0710707.GMV"</v>
          </cell>
          <cell r="C491" t="str">
            <v>//shrzboost01/TRUMPF.NET/DATA_PDM2/Stöbich/Aufträge.GEO</v>
          </cell>
        </row>
        <row r="492">
          <cell r="A492" t="str">
            <v>0710708</v>
          </cell>
          <cell r="B492" t="str">
            <v>"//shrzboost01/TRUMPF.NET/DATA_PDM2/Stöbich/Varianten/0710708.GMV"</v>
          </cell>
          <cell r="C492" t="str">
            <v>//shrzboost01/TRUMPF.NET/DATA_PDM2/Stöbich/Aufträge.GEO</v>
          </cell>
        </row>
        <row r="493">
          <cell r="A493" t="str">
            <v>0710709</v>
          </cell>
          <cell r="B493" t="str">
            <v>"//shrzboost01/TRUMPF.NET/DATA_PDM2/Stöbich/Varianten/0710709.GMV"</v>
          </cell>
          <cell r="C493" t="str">
            <v>//shrzboost01/TRUMPF.NET/DATA_PDM2/Stöbich/Aufträge.GEO</v>
          </cell>
        </row>
        <row r="494">
          <cell r="A494" t="str">
            <v>0710710</v>
          </cell>
          <cell r="B494" t="str">
            <v>"//shrzboost01/TRUMPF.NET/DATA_PDM2/Stöbich/Varianten/0710710.GMV"</v>
          </cell>
          <cell r="C494" t="str">
            <v>//shrzboost01/TRUMPF.NET/DATA_PDM2/Stöbich/Aufträge.GEO</v>
          </cell>
        </row>
        <row r="495">
          <cell r="A495" t="str">
            <v>0710711</v>
          </cell>
          <cell r="B495" t="str">
            <v>"//shrzboost01/TRUMPF.NET/DATA_PDM2/Stöbich/Varianten/0710711.GMV"</v>
          </cell>
          <cell r="C495" t="str">
            <v>//shrzboost01/TRUMPF.NET/DATA_PDM2/Stöbich/Aufträge.GEO</v>
          </cell>
        </row>
        <row r="496">
          <cell r="A496" t="str">
            <v>0710712</v>
          </cell>
          <cell r="B496" t="str">
            <v>"//shrzboost01/TRUMPF.NET/DATA_PDM2/Stöbich/Varianten/0710712.GMV"</v>
          </cell>
          <cell r="C496" t="str">
            <v>//shrzboost01/TRUMPF.NET/DATA_PDM2/Stöbich/Aufträge.GEO</v>
          </cell>
        </row>
        <row r="497">
          <cell r="A497" t="str">
            <v>0710075</v>
          </cell>
          <cell r="B497" t="str">
            <v>"//shrzboost01/TRUMPF.NET/DATA_PDM2/Stöbich/Varianten/0710075.GMV"</v>
          </cell>
          <cell r="C497" t="str">
            <v>//shrzboost01/TRUMPF.NET/DATA_PDM2/Stöbich/Aufträge.GEO</v>
          </cell>
        </row>
        <row r="498">
          <cell r="A498" t="str">
            <v>0710076</v>
          </cell>
          <cell r="B498" t="str">
            <v>"//shrzboost01/TRUMPF.NET/DATA_PDM2/Stöbich/Varianten/0710076.GMV"</v>
          </cell>
          <cell r="C498" t="str">
            <v>//shrzboost01/TRUMPF.NET/DATA_PDM2/Stöbich/Aufträge.GEO</v>
          </cell>
        </row>
        <row r="499">
          <cell r="A499" t="str">
            <v>0710077</v>
          </cell>
          <cell r="B499" t="str">
            <v>"//shrzboost01/TRUMPF.NET/DATA_PDM2/Stöbich/Varianten/0710077.GMV"</v>
          </cell>
          <cell r="C499" t="str">
            <v>//shrzboost01/TRUMPF.NET/DATA_PDM2/Stöbich/Aufträge.GEO</v>
          </cell>
        </row>
        <row r="500">
          <cell r="A500" t="str">
            <v>0710078</v>
          </cell>
          <cell r="B500" t="str">
            <v>"//shrzboost01/TRUMPF.NET/DATA_PDM2/Stöbich/Varianten/0710078.GMV"</v>
          </cell>
          <cell r="C500" t="str">
            <v>//shrzboost01/TRUMPF.NET/DATA_PDM2/Stöbich/Aufträge.GEO</v>
          </cell>
        </row>
        <row r="501">
          <cell r="A501" t="str">
            <v>0710181</v>
          </cell>
          <cell r="B501" t="str">
            <v>"//shrzboost01/TRUMPF.NET/DATA_PDM2/Stöbich/Varianten/0710181.GMV"</v>
          </cell>
          <cell r="C501" t="str">
            <v>//shrzboost01/TRUMPF.NET/DATA_PDM2/Stöbich/Aufträge.GEO</v>
          </cell>
        </row>
        <row r="502">
          <cell r="A502" t="str">
            <v>0710184</v>
          </cell>
          <cell r="B502" t="str">
            <v>"//shrzboost01/TRUMPF.NET/DATA_PDM2/Stöbich/Varianten/0710184.GMV"</v>
          </cell>
          <cell r="C502" t="str">
            <v>//shrzboost01/TRUMPF.NET/DATA_PDM2/Stöbich/Aufträge.GEO</v>
          </cell>
        </row>
        <row r="503">
          <cell r="A503" t="str">
            <v>0701950</v>
          </cell>
          <cell r="B503" t="str">
            <v>"//shrzboost01/TRUMPF.NET/DATA_PDM2/Stöbich/Varianten/0701950.GMV"</v>
          </cell>
          <cell r="C503" t="str">
            <v>//shrzboost01/TRUMPF.NET/DATA_PDM2/Stöbich/Aufträge.GEO</v>
          </cell>
        </row>
        <row r="504">
          <cell r="A504" t="str">
            <v>0701951</v>
          </cell>
          <cell r="B504" t="str">
            <v>"//shrzboost01/TRUMPF.NET/DATA_PDM2/Stöbich/Varianten/0701951.GMV"</v>
          </cell>
          <cell r="C504" t="str">
            <v>//shrzboost01/TRUMPF.NET/DATA_PDM2/Stöbich/Aufträge.GEO</v>
          </cell>
        </row>
        <row r="505">
          <cell r="A505" t="str">
            <v>0701952</v>
          </cell>
          <cell r="B505" t="str">
            <v>"//shrzboost01/TRUMPF.NET/DATA_PDM2/Stöbich/Varianten/0701952.GMV"</v>
          </cell>
          <cell r="C505" t="str">
            <v>//shrzboost01/TRUMPF.NET/DATA_PDM2/Stöbich/Aufträge.GEO</v>
          </cell>
        </row>
        <row r="506">
          <cell r="A506" t="str">
            <v>0701953</v>
          </cell>
          <cell r="B506" t="str">
            <v>"//shrzboost01/TRUMPF.NET/DATA_PDM2/Stöbich/Varianten/0701953.GMV"</v>
          </cell>
          <cell r="C506" t="str">
            <v>//shrzboost01/TRUMPF.NET/DATA_PDM2/Stöbich/Aufträge.GEO</v>
          </cell>
        </row>
        <row r="507">
          <cell r="A507" t="str">
            <v>0710036</v>
          </cell>
          <cell r="B507" t="str">
            <v>"//shrzboost01/TRUMPF.NET/DATA_PDM2/Stöbich/Varianten/0710036.GMV"</v>
          </cell>
          <cell r="C507" t="str">
            <v>//shrzboost01/TRUMPF.NET/DATA_PDM2/Stöbich/Aufträge.GEO</v>
          </cell>
        </row>
        <row r="508">
          <cell r="A508" t="str">
            <v>0710037</v>
          </cell>
          <cell r="B508" t="str">
            <v>"//shrzboost01/TRUMPF.NET/DATA_PDM2/Stöbich/Varianten/0710037.GMV"</v>
          </cell>
          <cell r="C508" t="str">
            <v>//shrzboost01/TRUMPF.NET/DATA_PDM2/Stöbich/Aufträge.GEO</v>
          </cell>
        </row>
        <row r="509">
          <cell r="A509" t="str">
            <v>0710038</v>
          </cell>
          <cell r="B509" t="str">
            <v>"//shrzboost01/TRUMPF.NET/DATA_PDM2/Stöbich/Varianten/0710038.GMV"</v>
          </cell>
          <cell r="C509" t="str">
            <v>//shrzboost01/TRUMPF.NET/DATA_PDM2/Stöbich/Aufträge.GEO</v>
          </cell>
        </row>
        <row r="510">
          <cell r="A510" t="str">
            <v>0710039</v>
          </cell>
          <cell r="B510" t="str">
            <v>"//shrzboost01/TRUMPF.NET/DATA_PDM2/Stöbich/Varianten/0710039.GMV"</v>
          </cell>
          <cell r="C510" t="str">
            <v>//shrzboost01/TRUMPF.NET/DATA_PDM2/Stöbich/Aufträge.GEO</v>
          </cell>
        </row>
        <row r="511">
          <cell r="A511" t="str">
            <v>0710040</v>
          </cell>
          <cell r="B511" t="str">
            <v>"//shrzboost01/TRUMPF.NET/DATA_PDM2/Stöbich/Varianten/0710040.GMV"</v>
          </cell>
          <cell r="C511" t="str">
            <v>//shrzboost01/TRUMPF.NET/DATA_PDM2/Stöbich/Aufträge.GEO</v>
          </cell>
        </row>
        <row r="512">
          <cell r="A512" t="str">
            <v>0710041</v>
          </cell>
          <cell r="B512" t="str">
            <v>"//shrzboost01/TRUMPF.NET/DATA_PDM2/Stöbich/Varianten/0710041.GMV"</v>
          </cell>
          <cell r="C512" t="str">
            <v>//shrzboost01/TRUMPF.NET/DATA_PDM2/Stöbich/Aufträge.GEO</v>
          </cell>
        </row>
        <row r="513">
          <cell r="A513"/>
          <cell r="B513" t="str">
            <v>"//shrzboost01/TRUMPF.NET/DATA_PDM2/Stöbich/Varianten/.GMV"</v>
          </cell>
          <cell r="C513" t="str">
            <v>//shrzboost01/TRUMPF.NET/DATA_PDM2/Stöbich/Aufträge.GEO</v>
          </cell>
        </row>
        <row r="514">
          <cell r="A514" t="str">
            <v>0710081</v>
          </cell>
          <cell r="B514" t="str">
            <v>"//shrzboost01/TRUMPF.NET/DATA_PDM2/Stöbich/Varianten/0710081.GMV"</v>
          </cell>
          <cell r="C514" t="str">
            <v>//shrzboost01/TRUMPF.NET/DATA_PDM2/Stöbich/Aufträge.GEO</v>
          </cell>
        </row>
        <row r="515">
          <cell r="A515"/>
          <cell r="B515" t="str">
            <v>"//shrzboost01/TRUMPF.NET/DATA_PDM2/Stöbich/Varianten/.GMV"</v>
          </cell>
          <cell r="C515" t="str">
            <v>//shrzboost01/TRUMPF.NET/DATA_PDM2/Stöbich/Aufträge.GEO</v>
          </cell>
        </row>
        <row r="516">
          <cell r="A516" t="str">
            <v>0712241</v>
          </cell>
          <cell r="B516" t="str">
            <v>"//shrzboost01/TRUMPF.NET/DATA_PDM2/Stöbich/Varianten/0712241.GMV"</v>
          </cell>
          <cell r="C516" t="str">
            <v>//shrzboost01/TRUMPF.NET/DATA_PDM2/Stöbich/Aufträge.GEO</v>
          </cell>
        </row>
        <row r="517">
          <cell r="A517" t="str">
            <v>0704784</v>
          </cell>
          <cell r="B517" t="str">
            <v>"//shrzboost01/TRUMPF.NET/DATA_PDM2/Stöbich/Varianten/0704784.GMV"</v>
          </cell>
          <cell r="C517" t="str">
            <v>//shrzboost01/TRUMPF.NET/DATA_PDM2/Stöbich/Aufträge.GEO</v>
          </cell>
        </row>
        <row r="518">
          <cell r="A518" t="str">
            <v>0704786</v>
          </cell>
          <cell r="B518" t="str">
            <v>"//shrzboost01/TRUMPF.NET/DATA_PDM2/Stöbich/Varianten/0704786.GMV"</v>
          </cell>
          <cell r="C518" t="str">
            <v>//shrzboost01/TRUMPF.NET/DATA_PDM2/Stöbich/Aufträge.GEO</v>
          </cell>
        </row>
        <row r="519">
          <cell r="A519" t="str">
            <v>0704788</v>
          </cell>
          <cell r="B519" t="str">
            <v>"//shrzboost01/TRUMPF.NET/DATA_PDM2/Stöbich/Varianten/0704788.GMV"</v>
          </cell>
          <cell r="C519" t="str">
            <v>//shrzboost01/TRUMPF.NET/DATA_PDM2/Stöbich/Aufträge.GEO</v>
          </cell>
        </row>
        <row r="520">
          <cell r="A520" t="str">
            <v>0704790</v>
          </cell>
          <cell r="B520" t="str">
            <v>"//shrzboost01/TRUMPF.NET/DATA_PDM2/Stöbich/Varianten/0704790.GMV"</v>
          </cell>
          <cell r="C520" t="str">
            <v>//shrzboost01/TRUMPF.NET/DATA_PDM2/Stöbich/Aufträge.GEO</v>
          </cell>
        </row>
        <row r="521">
          <cell r="A521" t="str">
            <v>0704792</v>
          </cell>
          <cell r="B521" t="str">
            <v>"//shrzboost01/TRUMPF.NET/DATA_PDM2/Stöbich/Varianten/0704792.GMV"</v>
          </cell>
          <cell r="C521" t="str">
            <v>//shrzboost01/TRUMPF.NET/DATA_PDM2/Stöbich/Aufträge.GEO</v>
          </cell>
        </row>
        <row r="522">
          <cell r="A522" t="str">
            <v>0704794</v>
          </cell>
          <cell r="B522" t="str">
            <v>"//shrzboost01/TRUMPF.NET/DATA_PDM2/Stöbich/Varianten/0704794.GMV"</v>
          </cell>
          <cell r="C522" t="str">
            <v>//shrzboost01/TRUMPF.NET/DATA_PDM2/Stöbich/Aufträge.GEO</v>
          </cell>
        </row>
        <row r="523">
          <cell r="A523" t="str">
            <v>0704796</v>
          </cell>
          <cell r="B523" t="str">
            <v>"//shrzboost01/TRUMPF.NET/DATA_PDM2/Stöbich/Varianten/0704796.GMV"</v>
          </cell>
          <cell r="C523" t="str">
            <v>//shrzboost01/TRUMPF.NET/DATA_PDM2/Stöbich/Aufträge.GEO</v>
          </cell>
        </row>
        <row r="524">
          <cell r="A524" t="str">
            <v>0704798</v>
          </cell>
          <cell r="B524" t="str">
            <v>"//shrzboost01/TRUMPF.NET/DATA_PDM2/Stöbich/Varianten/0704798.GMV"</v>
          </cell>
          <cell r="C524" t="str">
            <v>//shrzboost01/TRUMPF.NET/DATA_PDM2/Stöbich/Aufträge.GEO</v>
          </cell>
        </row>
        <row r="525">
          <cell r="B525" t="str">
            <v>"//shrzboost01/TRUMPF.NET/DATA_PDM2/Stöbich/Varianten/bp_l_oben_links_105.GMV"</v>
          </cell>
          <cell r="C525" t="str">
            <v>//shrzboost01/TRUMPF.NET/DATA_PDM2/Stöbich/Aufträge.GEO</v>
          </cell>
        </row>
        <row r="526">
          <cell r="B526" t="str">
            <v>"//shrzboost01/TRUMPF.NET/DATA_PDM2/Stöbich/Varianten/bp_l_oben_rechts_105.GMV"</v>
          </cell>
          <cell r="C526" t="str">
            <v>//shrzboost01/TRUMPF.NET/DATA_PDM2/Stöbich/Aufträge.GEO</v>
          </cell>
        </row>
        <row r="527">
          <cell r="B527" t="str">
            <v>"//shrzboost01/TRUMPF.NET/DATA_PDM2/Stöbich/Varianten/bp_l_unten_links_105.GMV"</v>
          </cell>
          <cell r="C527" t="str">
            <v>//shrzboost01/TRUMPF.NET/DATA_PDM2/Stöbich/Aufträge.GEO</v>
          </cell>
        </row>
        <row r="528">
          <cell r="B528" t="str">
            <v>"//shrzboost01/TRUMPF.NET/DATA_PDM2/Stöbich/Varianten/bp_l_unten_rechts_105.GMV"</v>
          </cell>
          <cell r="C528" t="str">
            <v>//shrzboost01/TRUMPF.NET/DATA_PDM2/Stöbich/Aufträge.GEO</v>
          </cell>
        </row>
        <row r="529">
          <cell r="B529" t="str">
            <v>"//shrzboost01/TRUMPF.NET/DATA_PDM2/Stöbich/Varianten/bp_w_unten_links_105.GMV"</v>
          </cell>
          <cell r="C529" t="str">
            <v>//shrzboost01/TRUMPF.NET/DATA_PDM2/Stöbich/Aufträge.GEO</v>
          </cell>
        </row>
        <row r="530">
          <cell r="A530"/>
          <cell r="B530" t="str">
            <v>"//shrzboost01/TRUMPF.NET/DATA_PDM2/Stöbich/Varianten/bp_w_unten_rechts_105.GMV"</v>
          </cell>
          <cell r="C530" t="str">
            <v>//shrzboost01/TRUMPF.NET/DATA_PDM2/Stöbich/Aufträge.GEO</v>
          </cell>
        </row>
        <row r="531">
          <cell r="A531"/>
          <cell r="B531" t="str">
            <v>"//shrzboost01/TRUMPF.NET/DATA_PDM2/Stöbich/Varianten/bp_w_oben_links_105.GMV"</v>
          </cell>
          <cell r="C531" t="str">
            <v>//shrzboost01/TRUMPF.NET/DATA_PDM2/Stöbich/Aufträge.GEO</v>
          </cell>
        </row>
        <row r="532">
          <cell r="A532"/>
          <cell r="B532" t="str">
            <v>"//shrzboost01/TRUMPF.NET/DATA_PDM2/Stöbich/Varianten/bp_w_oben_rechts_105.GMV"</v>
          </cell>
          <cell r="C532" t="str">
            <v>//shrzboost01/TRUMPF.NET/DATA_PDM2/Stöbich/Aufträge.GEO</v>
          </cell>
        </row>
        <row r="533">
          <cell r="A533"/>
          <cell r="B533" t="str">
            <v>"//shrzboost01/TRUMPF.NET/DATA_PDM2/Stöbich/Varianten/dip_1_oben_links_105.GMV"</v>
          </cell>
          <cell r="C533" t="str">
            <v>//shrzboost01/TRUMPF.NET/DATA_PDM2/Stöbich/Aufträge.GEO</v>
          </cell>
        </row>
        <row r="534">
          <cell r="A534"/>
          <cell r="B534" t="str">
            <v>"//shrzboost01/TRUMPF.NET/DATA_PDM2/Stöbich/Varianten/dip_1_oben_rechts_105.GMV"</v>
          </cell>
          <cell r="C534" t="str">
            <v>//shrzboost01/TRUMPF.NET/DATA_PDM2/Stöbich/Aufträge.GEO</v>
          </cell>
        </row>
        <row r="535">
          <cell r="A535"/>
          <cell r="B535" t="str">
            <v>"//shrzboost01/TRUMPF.NET/DATA_PDM2/Stöbich/Varianten/dip_1_unten_links_105.GMV"</v>
          </cell>
          <cell r="C535" t="str">
            <v>//shrzboost01/TRUMPF.NET/DATA_PDM2/Stöbich/Aufträge.GEO</v>
          </cell>
        </row>
        <row r="536">
          <cell r="A536"/>
          <cell r="B536" t="str">
            <v>"//shrzboost01/TRUMPF.NET/DATA_PDM2/Stöbich/Varianten/dip_1_unten_rechts_105.GMV"</v>
          </cell>
          <cell r="C536" t="str">
            <v>//shrzboost01/TRUMPF.NET/DATA_PDM2/Stöbich/Aufträge.GEO</v>
          </cell>
        </row>
        <row r="537">
          <cell r="A537"/>
          <cell r="B537" t="str">
            <v>"//shrzboost01/TRUMPF.NET/DATA_PDM2/Stöbich/Varianten/dip_2_oben_links_105.GMV"</v>
          </cell>
          <cell r="C537" t="str">
            <v>//shrzboost01/TRUMPF.NET/DATA_PDM2/Stöbich/Aufträge.GEO</v>
          </cell>
        </row>
        <row r="538">
          <cell r="A538"/>
          <cell r="B538" t="str">
            <v>"//shrzboost01/TRUMPF.NET/DATA_PDM2/Stöbich/Varianten/dip_2_oben_rechts_105.GMV"</v>
          </cell>
          <cell r="C538" t="str">
            <v>//shrzboost01/TRUMPF.NET/DATA_PDM2/Stöbich/Aufträge.GEO</v>
          </cell>
        </row>
        <row r="539">
          <cell r="A539"/>
          <cell r="B539" t="str">
            <v>"//shrzboost01/TRUMPF.NET/DATA_PDM2/Stöbich/Varianten/dip_2_unten_links_105.GMV"</v>
          </cell>
          <cell r="C539" t="str">
            <v>//shrzboost01/TRUMPF.NET/DATA_PDM2/Stöbich/Aufträge.GEO</v>
          </cell>
        </row>
        <row r="540">
          <cell r="A540"/>
          <cell r="B540" t="str">
            <v>"//shrzboost01/TRUMPF.NET/DATA_PDM2/Stöbich/Varianten/dip_2_unten_rechts_105.GMV"</v>
          </cell>
          <cell r="C540" t="str">
            <v>//shrzboost01/TRUMPF.NET/DATA_PDM2/Stöbich/Aufträge.GEO</v>
          </cell>
        </row>
        <row r="541">
          <cell r="A541"/>
          <cell r="B541" t="str">
            <v>"//shrzboost01/TRUMPF.NET/DATA_PDM2/Stöbich/Varianten/dp_oben_links_105.GMV"</v>
          </cell>
          <cell r="C541" t="str">
            <v>//shrzboost01/TRUMPF.NET/DATA_PDM2/Stöbich/Aufträge.GEO</v>
          </cell>
        </row>
        <row r="542">
          <cell r="A542"/>
          <cell r="B542" t="str">
            <v>"//shrzboost01/TRUMPF.NET/DATA_PDM2/Stöbich/Varianten/dp_oben_rechts_105.GMV"</v>
          </cell>
          <cell r="C542" t="str">
            <v>//shrzboost01/TRUMPF.NET/DATA_PDM2/Stöbich/Aufträge.GEO</v>
          </cell>
        </row>
        <row r="543">
          <cell r="A543"/>
          <cell r="B543" t="str">
            <v>"//shrzboost01/TRUMPF.NET/DATA_PDM2/Stöbich/Varianten/dp_unten_links_105.GMV"</v>
          </cell>
          <cell r="C543" t="str">
            <v>//shrzboost01/TRUMPF.NET/DATA_PDM2/Stöbich/Aufträge.GEO</v>
          </cell>
        </row>
        <row r="544">
          <cell r="A544"/>
          <cell r="B544" t="str">
            <v>"//shrzboost01/TRUMPF.NET/DATA_PDM2/Stöbich/Varianten/dp_unten_rechts_105.GMV"</v>
          </cell>
          <cell r="C544" t="str">
            <v>//shrzboost01/TRUMPF.NET/DATA_PDM2/Stöbich/Aufträge.GEO</v>
          </cell>
        </row>
        <row r="545">
          <cell r="A545"/>
          <cell r="B545" t="str">
            <v>"//shrzboost01/TRUMPF.NET/DATA_PDM2/Stöbich/Varianten/bp_l_mitte_links_105.GMV"</v>
          </cell>
          <cell r="C545" t="str">
            <v>//shrzboost01/TRUMPF.NET/DATA_PDM2/Stöbich/Aufträge.GEO</v>
          </cell>
        </row>
        <row r="546">
          <cell r="A546"/>
          <cell r="B546" t="str">
            <v>"//shrzboost01/TRUMPF.NET/DATA_PDM2/Stöbich/Varianten/bp_l_mitte_rechts_105.GMV"</v>
          </cell>
          <cell r="C546" t="str">
            <v>//shrzboost01/TRUMPF.NET/DATA_PDM2/Stöbich/Aufträge.GEO</v>
          </cell>
        </row>
        <row r="547">
          <cell r="A547"/>
          <cell r="B547" t="str">
            <v>"//shrzboost01/TRUMPF.NET/DATA_PDM2/Stöbich/Varianten/bp_w_mitte_links_105.GMV"</v>
          </cell>
          <cell r="C547" t="str">
            <v>//shrzboost01/TRUMPF.NET/DATA_PDM2/Stöbich/Aufträge.GEO</v>
          </cell>
        </row>
        <row r="548">
          <cell r="A548"/>
          <cell r="B548" t="str">
            <v>"//shrzboost01/TRUMPF.NET/DATA_PDM2/Stöbich/Varianten/bp_w_mitte_rechts_105.GMV"</v>
          </cell>
          <cell r="C548" t="str">
            <v>//shrzboost01/TRUMPF.NET/DATA_PDM2/Stöbich/Aufträge.GEO</v>
          </cell>
        </row>
        <row r="549">
          <cell r="B549" t="str">
            <v>"//shrzboost01/TRUMPF.NET/DATA_PDM2/Stöbich/Varianten/dip_1_mitte_links_105.GMV"</v>
          </cell>
          <cell r="C549" t="str">
            <v>//shrzboost01/TRUMPF.NET/DATA_PDM2/Stöbich/Aufträge.GEO</v>
          </cell>
        </row>
        <row r="550">
          <cell r="A550"/>
          <cell r="B550" t="str">
            <v>"//shrzboost01/TRUMPF.NET/DATA_PDM2/Stöbich/Varianten/dip_1_mitte_rechts_105.GMV"</v>
          </cell>
          <cell r="C550" t="str">
            <v>//shrzboost01/TRUMPF.NET/DATA_PDM2/Stöbich/Aufträge.GEO</v>
          </cell>
        </row>
        <row r="551">
          <cell r="A551"/>
          <cell r="B551" t="str">
            <v>"//shrzboost01/TRUMPF.NET/DATA_PDM2/Stöbich/Varianten/dip_2_mitte_links_105.GMV"</v>
          </cell>
          <cell r="C551" t="str">
            <v>//shrzboost01/TRUMPF.NET/DATA_PDM2/Stöbich/Aufträge.GEO</v>
          </cell>
        </row>
        <row r="552">
          <cell r="A552"/>
          <cell r="B552" t="str">
            <v>"//shrzboost01/TRUMPF.NET/DATA_PDM2/Stöbich/Varianten/dip_2_mitte_rechts_105.GMV"</v>
          </cell>
          <cell r="C552" t="str">
            <v>//shrzboost01/TRUMPF.NET/DATA_PDM2/Stöbich/Aufträge.GEO</v>
          </cell>
        </row>
        <row r="553">
          <cell r="A553"/>
          <cell r="B553" t="str">
            <v>"//shrzboost01/TRUMPF.NET/DATA_PDM2/Stöbich/Varianten/dp_mitte_links_105.GMV"</v>
          </cell>
          <cell r="C553" t="str">
            <v>//shrzboost01/TRUMPF.NET/DATA_PDM2/Stöbich/Aufträge.GEO</v>
          </cell>
        </row>
        <row r="554">
          <cell r="A554"/>
          <cell r="B554" t="str">
            <v>"//shrzboost01/TRUMPF.NET/DATA_PDM2/Stöbich/Varianten/dp_mitte_rechts_105.GMV"</v>
          </cell>
          <cell r="C554" t="str">
            <v>//shrzboost01/TRUMPF.NET/DATA_PDM2/Stöbich/Aufträge.GEO</v>
          </cell>
        </row>
        <row r="555">
          <cell r="A555" t="str">
            <v>0704741</v>
          </cell>
          <cell r="B555" t="str">
            <v>"//shrzboost01/TRUMPF.NET/DATA_PDM2/Stöbich/Varianten/0704741.GMV"</v>
          </cell>
          <cell r="C555" t="str">
            <v>//shrzboost01/TRUMPF.NET/DATA_PDM2/Stöbich/Aufträge.GEO</v>
          </cell>
        </row>
        <row r="556">
          <cell r="A556" t="str">
            <v>0704742</v>
          </cell>
          <cell r="B556" t="str">
            <v>"//shrzboost01/TRUMPF.NET/DATA_PDM2/Stöbich/Varianten/0704742.GMV"</v>
          </cell>
          <cell r="C556" t="str">
            <v>//shrzboost01/TRUMPF.NET/DATA_PDM2/Stöbich/Aufträge.GEO</v>
          </cell>
        </row>
        <row r="557">
          <cell r="A557" t="str">
            <v>0704743</v>
          </cell>
          <cell r="B557" t="str">
            <v>"//shrzboost01/TRUMPF.NET/DATA_PDM2/Stöbich/Varianten/0704743.GMV"</v>
          </cell>
          <cell r="C557" t="str">
            <v>//shrzboost01/TRUMPF.NET/DATA_PDM2/Stöbich/Aufträge.GEO</v>
          </cell>
        </row>
        <row r="558">
          <cell r="A558" t="str">
            <v>0704744</v>
          </cell>
          <cell r="B558" t="str">
            <v>"//shrzboost01/TRUMPF.NET/DATA_PDM2/Stöbich/Varianten/0704744.GMV"</v>
          </cell>
          <cell r="C558" t="str">
            <v>//shrzboost01/TRUMPF.NET/DATA_PDM2/Stöbich/Aufträge.GEO</v>
          </cell>
        </row>
        <row r="559">
          <cell r="A559" t="str">
            <v>0712325</v>
          </cell>
          <cell r="B559" t="str">
            <v>"//shrzboost01/TRUMPF.NET/DATA_PDM2/Stöbich/Varianten/0712325.GMV"</v>
          </cell>
          <cell r="C559" t="str">
            <v>//shrzboost01/TRUMPF.NET/DATA_PDM2/Stöbich/Aufträge.GEO</v>
          </cell>
        </row>
        <row r="560">
          <cell r="A560" t="str">
            <v>0712336</v>
          </cell>
          <cell r="B560" t="str">
            <v>"//shrzboost01/TRUMPF.NET/DATA_PDM2/Stöbich/Varianten/0712336.GMV"</v>
          </cell>
          <cell r="C560" t="str">
            <v>//shrzboost01/TRUMPF.NET/DATA_PDM2/Stöbich/Aufträge.GEO</v>
          </cell>
        </row>
        <row r="561">
          <cell r="A561" t="str">
            <v>0712337</v>
          </cell>
          <cell r="B561" t="str">
            <v>"//shrzboost01/TRUMPF.NET/DATA_PDM2/Stöbich/Varianten/0712337.GMV"</v>
          </cell>
          <cell r="C561" t="str">
            <v>//shrzboost01/TRUMPF.NET/DATA_PDM2/Stöbich/Aufträge.GEO</v>
          </cell>
        </row>
        <row r="562">
          <cell r="A562" t="str">
            <v>0712338</v>
          </cell>
          <cell r="B562" t="str">
            <v>"//shrzboost01/TRUMPF.NET/DATA_PDM2/Stöbich/Varianten/0712338.GMV"</v>
          </cell>
          <cell r="C562" t="str">
            <v>//shrzboost01/TRUMPF.NET/DATA_PDM2/Stöbich/Aufträge.GEO</v>
          </cell>
        </row>
        <row r="563">
          <cell r="A563" t="str">
            <v>0712339</v>
          </cell>
          <cell r="B563" t="str">
            <v>"//shrzboost01/TRUMPF.NET/DATA_PDM2/Stöbich/Varianten/0712339.GMV"</v>
          </cell>
          <cell r="C563" t="str">
            <v>//shrzboost01/TRUMPF.NET/DATA_PDM2/Stöbich/Aufträge.GEO</v>
          </cell>
        </row>
        <row r="564">
          <cell r="A564" t="str">
            <v>0712340</v>
          </cell>
          <cell r="B564" t="str">
            <v>"//shrzboost01/TRUMPF.NET/DATA_PDM2/Stöbich/Varianten/0712340.GMV"</v>
          </cell>
          <cell r="C564" t="str">
            <v>//shrzboost01/TRUMPF.NET/DATA_PDM2/Stöbich/Aufträge.GEO</v>
          </cell>
        </row>
        <row r="565">
          <cell r="A565" t="str">
            <v>0714700</v>
          </cell>
          <cell r="B565" t="str">
            <v>"//shrzboost01/TRUMPF.NET/DATA_PDM2/Stöbich/Varianten/0714700.GMV"</v>
          </cell>
          <cell r="C565" t="str">
            <v>//shrzboost01/TRUMPF.NET/DATA_PDM2/Stöbich/Aufträge.GEO</v>
          </cell>
        </row>
        <row r="566">
          <cell r="A566" t="str">
            <v>0712859</v>
          </cell>
          <cell r="B566" t="str">
            <v>"//shrzboost01/TRUMPF.NET/DATA_PDM2/Stöbich/Varianten/0712859.GMV"</v>
          </cell>
          <cell r="C566" t="str">
            <v>//shrzboost01/TRUMPF.NET/DATA_PDM2/Stöbich/Aufträge.GEO</v>
          </cell>
        </row>
        <row r="567">
          <cell r="A567" t="str">
            <v>0714709</v>
          </cell>
          <cell r="B567" t="str">
            <v>"//shrzboost01/TRUMPF.NET/DATA_PDM2/Stöbich/Varianten/0714709.GMV"</v>
          </cell>
          <cell r="C567" t="str">
            <v>//shrzboost01/TRUMPF.NET/DATA_PDM2/Stöbich/Aufträge.GEO</v>
          </cell>
        </row>
        <row r="568">
          <cell r="A568" t="str">
            <v>0712862</v>
          </cell>
          <cell r="B568" t="str">
            <v>"//shrzboost01/TRUMPF.NET/DATA_PDM2/Stöbich/Varianten/0712862.GMV"</v>
          </cell>
          <cell r="C568" t="str">
            <v>//shrzboost01/TRUMPF.NET/DATA_PDM2/Stöbich/Aufträge.GEO</v>
          </cell>
        </row>
        <row r="569">
          <cell r="A569" t="str">
            <v>0712863</v>
          </cell>
          <cell r="B569" t="str">
            <v>"//shrzboost01/TRUMPF.NET/DATA_PDM2/Stöbich/Varianten/0712863.GMV"</v>
          </cell>
          <cell r="C569" t="str">
            <v>//shrzboost01/TRUMPF.NET/DATA_PDM2/Stöbich/Aufträge.GEO</v>
          </cell>
        </row>
        <row r="570">
          <cell r="A570" t="str">
            <v>0712864</v>
          </cell>
          <cell r="B570" t="str">
            <v>"//shrzboost01/TRUMPF.NET/DATA_PDM2/Stöbich/Varianten/0712864.GMV"</v>
          </cell>
          <cell r="C570" t="str">
            <v>//shrzboost01/TRUMPF.NET/DATA_PDM2/Stöbich/Aufträge.GEO</v>
          </cell>
        </row>
        <row r="571">
          <cell r="A571" t="str">
            <v>0714696</v>
          </cell>
          <cell r="B571" t="str">
            <v>"//shrzboost01/TRUMPF.NET/DATA_PDM2/Stöbich/Varianten/0714696.GMV"</v>
          </cell>
          <cell r="C571" t="str">
            <v>//shrzboost01/TRUMPF.NET/DATA_PDM2/Stöbich/Aufträge.GEO</v>
          </cell>
        </row>
        <row r="572">
          <cell r="B572"/>
          <cell r="C572" t="str">
            <v>//shrzboost01/TRUMPF.NET/DATA_PDM2/Stöbich/Aufträge.GEO</v>
          </cell>
        </row>
        <row r="573">
          <cell r="B573"/>
          <cell r="C573" t="str">
            <v>//shrzboost01/TRUMPF.NET/DATA_PDM2/Stöbich/Aufträge.GEO</v>
          </cell>
        </row>
        <row r="574">
          <cell r="B574" t="str">
            <v>"//shrzboost01/TRUMPF.NET/DATA_PDM2/Stöbich/Varianten/bp_l_mitte_links_160.GMV"</v>
          </cell>
          <cell r="C574" t="str">
            <v>//shrzboost01/TRUMPF.NET/DATA_PDM2/Stöbich/Aufträge.GEO</v>
          </cell>
        </row>
        <row r="575">
          <cell r="B575" t="str">
            <v>"//shrzboost01/TRUMPF.NET/DATA_PDM2/Stöbich/Varianten/bp_l_mitte_rechts_160.GMV"</v>
          </cell>
          <cell r="C575" t="str">
            <v>//shrzboost01/TRUMPF.NET/DATA_PDM2/Stöbich/Aufträge.GEO</v>
          </cell>
        </row>
        <row r="576">
          <cell r="B576" t="str">
            <v>"//shrzboost01/TRUMPF.NET/DATA_PDM2/Stöbich/Varianten/bp_l_oben_links_160.GMV"</v>
          </cell>
          <cell r="C576" t="str">
            <v>//shrzboost01/TRUMPF.NET/DATA_PDM2/Stöbich/Aufträge.GEO</v>
          </cell>
        </row>
        <row r="577">
          <cell r="B577" t="str">
            <v>"//shrzboost01/TRUMPF.NET/DATA_PDM2/Stöbich/Varianten/bp_l_oben_rechts_160.GMV"</v>
          </cell>
          <cell r="C577" t="str">
            <v>//shrzboost01/TRUMPF.NET/DATA_PDM2/Stöbich/Aufträge.GEO</v>
          </cell>
        </row>
        <row r="578">
          <cell r="B578" t="str">
            <v>"//shrzboost01/TRUMPF.NET/DATA_PDM2/Stöbich/Varianten/bp_l_unten_links_160.GMV"</v>
          </cell>
          <cell r="C578" t="str">
            <v>//shrzboost01/TRUMPF.NET/DATA_PDM2/Stöbich/Aufträge.GEO</v>
          </cell>
        </row>
        <row r="579">
          <cell r="A579"/>
          <cell r="B579" t="str">
            <v>"//shrzboost01/TRUMPF.NET/DATA_PDM2/Stöbich/Varianten/bp_l_unten_rechts_160.GMV"</v>
          </cell>
          <cell r="C579" t="str">
            <v>//shrzboost01/TRUMPF.NET/DATA_PDM2/Stöbich/Aufträge.GEO</v>
          </cell>
        </row>
        <row r="580">
          <cell r="A580"/>
          <cell r="B580" t="str">
            <v>"//shrzboost01/TRUMPF.NET/DATA_PDM2/Stöbich/Varianten/bp_w_mitte_links_160.GMV"</v>
          </cell>
          <cell r="C580" t="str">
            <v>//shrzboost01/TRUMPF.NET/DATA_PDM2/Stöbich/Aufträge.GEO</v>
          </cell>
        </row>
        <row r="581">
          <cell r="A581"/>
          <cell r="B581" t="str">
            <v>"//shrzboost01/TRUMPF.NET/DATA_PDM2/Stöbich/Varianten/bp_w_mitte_rechts_160.GMV"</v>
          </cell>
          <cell r="C581" t="str">
            <v>//shrzboost01/TRUMPF.NET/DATA_PDM2/Stöbich/Aufträge.GEO</v>
          </cell>
        </row>
        <row r="582">
          <cell r="A582"/>
          <cell r="B582" t="str">
            <v>"//shrzboost01/TRUMPF.NET/DATA_PDM2/Stöbich/Varianten/bp_w_oben_links_160.GMV"</v>
          </cell>
          <cell r="C582" t="str">
            <v>//shrzboost01/TRUMPF.NET/DATA_PDM2/Stöbich/Aufträge.GEO</v>
          </cell>
        </row>
        <row r="583">
          <cell r="A583"/>
          <cell r="B583" t="str">
            <v>"//shrzboost01/TRUMPF.NET/DATA_PDM2/Stöbich/Varianten/bp_w_oben_rechts_160.GMV"</v>
          </cell>
          <cell r="C583" t="str">
            <v>//shrzboost01/TRUMPF.NET/DATA_PDM2/Stöbich/Aufträge.GEO</v>
          </cell>
        </row>
        <row r="584">
          <cell r="A584"/>
          <cell r="B584" t="str">
            <v>"//shrzboost01/TRUMPF.NET/DATA_PDM2/Stöbich/Varianten/bp_w_unten_links_160.GMV"</v>
          </cell>
          <cell r="C584" t="str">
            <v>//shrzboost01/TRUMPF.NET/DATA_PDM2/Stöbich/Aufträge.GEO</v>
          </cell>
        </row>
        <row r="585">
          <cell r="A585"/>
          <cell r="B585" t="str">
            <v>"//shrzboost01/TRUMPF.NET/DATA_PDM2/Stöbich/Varianten/bp_w_unten_rechts_160.GMV"</v>
          </cell>
          <cell r="C585" t="str">
            <v>//shrzboost01/TRUMPF.NET/DATA_PDM2/Stöbich/Aufträge.GEO</v>
          </cell>
        </row>
        <row r="586">
          <cell r="A586"/>
          <cell r="B586" t="str">
            <v>"//shrzboost01/TRUMPF.NET/DATA_PDM2/Stöbich/Varianten/dip_1_mitte_links_160.GMV"</v>
          </cell>
          <cell r="C586" t="str">
            <v>//shrzboost01/TRUMPF.NET/DATA_PDM2/Stöbich/Aufträge.GEO</v>
          </cell>
        </row>
        <row r="587">
          <cell r="A587"/>
          <cell r="B587" t="str">
            <v>"//shrzboost01/TRUMPF.NET/DATA_PDM2/Stöbich/Varianten/dip_1_mitte_rechts_160.GMV"</v>
          </cell>
          <cell r="C587" t="str">
            <v>//shrzboost01/TRUMPF.NET/DATA_PDM2/Stöbich/Aufträge.GEO</v>
          </cell>
        </row>
        <row r="588">
          <cell r="A588"/>
          <cell r="B588" t="str">
            <v>"//shrzboost01/TRUMPF.NET/DATA_PDM2/Stöbich/Varianten/dip_1_oben_links_160.GMV"</v>
          </cell>
          <cell r="C588" t="str">
            <v>//shrzboost01/TRUMPF.NET/DATA_PDM2/Stöbich/Aufträge.GEO</v>
          </cell>
        </row>
        <row r="589">
          <cell r="A589"/>
          <cell r="B589" t="str">
            <v>"//shrzboost01/TRUMPF.NET/DATA_PDM2/Stöbich/Varianten/dip_1_oben_rechts_160.GMV"</v>
          </cell>
          <cell r="C589" t="str">
            <v>//shrzboost01/TRUMPF.NET/DATA_PDM2/Stöbich/Aufträge.GEO</v>
          </cell>
        </row>
        <row r="590">
          <cell r="A590"/>
          <cell r="B590" t="str">
            <v>"//shrzboost01/TRUMPF.NET/DATA_PDM2/Stöbich/Varianten/dip_1_unten_links_160.GMV"</v>
          </cell>
          <cell r="C590" t="str">
            <v>//shrzboost01/TRUMPF.NET/DATA_PDM2/Stöbich/Aufträge.GEO</v>
          </cell>
        </row>
        <row r="591">
          <cell r="A591"/>
          <cell r="B591" t="str">
            <v>"//shrzboost01/TRUMPF.NET/DATA_PDM2/Stöbich/Varianten/dip_1_unten_rechts_160.GMV"</v>
          </cell>
          <cell r="C591" t="str">
            <v>//shrzboost01/TRUMPF.NET/DATA_PDM2/Stöbich/Aufträge.GEO</v>
          </cell>
        </row>
        <row r="592">
          <cell r="A592"/>
          <cell r="B592" t="str">
            <v>"//shrzboost01/TRUMPF.NET/DATA_PDM2/Stöbich/Varianten/dip_2_mitte_links_160.GMV"</v>
          </cell>
          <cell r="C592" t="str">
            <v>//shrzboost01/TRUMPF.NET/DATA_PDM2/Stöbich/Aufträge.GEO</v>
          </cell>
        </row>
        <row r="593">
          <cell r="A593"/>
          <cell r="B593" t="str">
            <v>"//shrzboost01/TRUMPF.NET/DATA_PDM2/Stöbich/Varianten/dip_2_mitte_rechts_160.GMV"</v>
          </cell>
          <cell r="C593" t="str">
            <v>//shrzboost01/TRUMPF.NET/DATA_PDM2/Stöbich/Aufträge.GEO</v>
          </cell>
        </row>
        <row r="594">
          <cell r="A594"/>
          <cell r="B594" t="str">
            <v>"//shrzboost01/TRUMPF.NET/DATA_PDM2/Stöbich/Varianten/dip_2_oben_links_160.GMV"</v>
          </cell>
          <cell r="C594" t="str">
            <v>//shrzboost01/TRUMPF.NET/DATA_PDM2/Stöbich/Aufträge.GEO</v>
          </cell>
        </row>
        <row r="595">
          <cell r="A595"/>
          <cell r="B595" t="str">
            <v>"//shrzboost01/TRUMPF.NET/DATA_PDM2/Stöbich/Varianten/dip_2_oben_rechts_160.GMV"</v>
          </cell>
          <cell r="C595" t="str">
            <v>//shrzboost01/TRUMPF.NET/DATA_PDM2/Stöbich/Aufträge.GEO</v>
          </cell>
        </row>
        <row r="596">
          <cell r="A596"/>
          <cell r="B596" t="str">
            <v>"//shrzboost01/TRUMPF.NET/DATA_PDM2/Stöbich/Varianten/dip_2_unten_links_160.GMV"</v>
          </cell>
          <cell r="C596" t="str">
            <v>//shrzboost01/TRUMPF.NET/DATA_PDM2/Stöbich/Aufträge.GEO</v>
          </cell>
        </row>
        <row r="597">
          <cell r="A597"/>
          <cell r="B597" t="str">
            <v>"//shrzboost01/TRUMPF.NET/DATA_PDM2/Stöbich/Varianten/dip_2_unten_rechts_160.GMV"</v>
          </cell>
          <cell r="C597" t="str">
            <v>//shrzboost01/TRUMPF.NET/DATA_PDM2/Stöbich/Aufträge.GEO</v>
          </cell>
        </row>
        <row r="598">
          <cell r="A598"/>
          <cell r="B598" t="str">
            <v>"//shrzboost01/TRUMPF.NET/DATA_PDM2/Stöbich/Varianten/dp_mitte_links_160.GMV"</v>
          </cell>
          <cell r="C598" t="str">
            <v>//shrzboost01/TRUMPF.NET/DATA_PDM2/Stöbich/Aufträge.GEO</v>
          </cell>
        </row>
        <row r="599">
          <cell r="A599"/>
          <cell r="B599" t="str">
            <v>"//shrzboost01/TRUMPF.NET/DATA_PDM2/Stöbich/Varianten/dp_mitte_rechts_160.GMV"</v>
          </cell>
          <cell r="C599" t="str">
            <v>//shrzboost01/TRUMPF.NET/DATA_PDM2/Stöbich/Aufträge.GEO</v>
          </cell>
        </row>
        <row r="600">
          <cell r="A600"/>
          <cell r="B600" t="str">
            <v>"//shrzboost01/TRUMPF.NET/DATA_PDM2/Stöbich/Varianten/dp_oben_links_160.GMV"</v>
          </cell>
          <cell r="C600" t="str">
            <v>//shrzboost01/TRUMPF.NET/DATA_PDM2/Stöbich/Aufträge.GEO</v>
          </cell>
        </row>
        <row r="601">
          <cell r="A601"/>
          <cell r="B601" t="str">
            <v>"//shrzboost01/TRUMPF.NET/DATA_PDM2/Stöbich/Varianten/dp_oben_rechts_160.GMV"</v>
          </cell>
          <cell r="C601" t="str">
            <v>//shrzboost01/TRUMPF.NET/DATA_PDM2/Stöbich/Aufträge.GEO</v>
          </cell>
        </row>
        <row r="602">
          <cell r="A602"/>
          <cell r="B602" t="str">
            <v>"//shrzboost01/TRUMPF.NET/DATA_PDM2/Stöbich/Varianten/dp_unten_links_160.GMV"</v>
          </cell>
          <cell r="C602" t="str">
            <v>//shrzboost01/TRUMPF.NET/DATA_PDM2/Stöbich/Aufträge.GEO</v>
          </cell>
        </row>
        <row r="603">
          <cell r="A603"/>
          <cell r="B603" t="str">
            <v>"//shrzboost01/TRUMPF.NET/DATA_PDM2/Stöbich/Varianten/dp_unten_rechts_160.GMV"</v>
          </cell>
          <cell r="C603" t="str">
            <v>//shrzboost01/TRUMPF.NET/DATA_PDM2/Stöbich/Aufträge.GEO</v>
          </cell>
        </row>
        <row r="604">
          <cell r="A604" t="str">
            <v>0704263</v>
          </cell>
          <cell r="B604" t="str">
            <v>"//shrzboost01/TRUMPF.NET/DATA_PDM2/Stöbich/Varianten/0704263.GMV"</v>
          </cell>
          <cell r="C604" t="str">
            <v>//shrzboost01/TRUMPF.NET/DATA_PDM2/Stöbich/Aufträge.GEO</v>
          </cell>
        </row>
        <row r="605">
          <cell r="A605" t="str">
            <v>0704551</v>
          </cell>
          <cell r="B605" t="str">
            <v>"//shrzboost01/TRUMPF.NET/DATA_PDM2/Stöbich/Varianten/0704551.GMV"</v>
          </cell>
          <cell r="C605" t="str">
            <v>//shrzboost01/TRUMPF.NET/DATA_PDM2/Stöbich/Aufträge.GEO</v>
          </cell>
        </row>
        <row r="606">
          <cell r="A606" t="str">
            <v>0704783</v>
          </cell>
          <cell r="B606" t="str">
            <v>"//shrzboost01/TRUMPF.NET/DATA_PDM2/Stöbich/Varianten/0704783.GMV"</v>
          </cell>
          <cell r="C606" t="str">
            <v>//shrzboost01/TRUMPF.NET/DATA_PDM2/Stöbich/Aufträge.GEO</v>
          </cell>
        </row>
        <row r="607">
          <cell r="A607" t="str">
            <v>0704264</v>
          </cell>
          <cell r="B607" t="str">
            <v>"//shrzboost01/TRUMPF.NET/DATA_PDM2/Stöbich/Varianten/0704264.GMV"</v>
          </cell>
          <cell r="C607" t="str">
            <v>//shrzboost01/TRUMPF.NET/DATA_PDM2/Stöbich/Aufträge.GEO</v>
          </cell>
        </row>
        <row r="608">
          <cell r="A608" t="str">
            <v>0704965</v>
          </cell>
          <cell r="B608" t="str">
            <v>"//shrzboost01/TRUMPF.NET/DATA_PDM2/Stöbich/Varianten/0704965.GMV"</v>
          </cell>
          <cell r="C608" t="str">
            <v>//shrzboost01/TRUMPF.NET/DATA_PDM2/Stöbich/Aufträge.GEO</v>
          </cell>
        </row>
        <row r="609">
          <cell r="A609" t="str">
            <v>0704966</v>
          </cell>
          <cell r="B609" t="str">
            <v>"//shrzboost01/TRUMPF.NET/DATA_PDM2/Stöbich/Varianten/0704966.GMV"</v>
          </cell>
          <cell r="C609" t="str">
            <v>//shrzboost01/TRUMPF.NET/DATA_PDM2/Stöbich/Aufträge.GEO</v>
          </cell>
        </row>
        <row r="610">
          <cell r="A610" t="str">
            <v>0704265</v>
          </cell>
          <cell r="B610" t="str">
            <v>"//shrzboost01/TRUMPF.NET/DATA_PDM2/Stöbich/Varianten/0704265.GMV"</v>
          </cell>
          <cell r="C610" t="str">
            <v>//shrzboost01/TRUMPF.NET/DATA_PDM2/Stöbich/Aufträge.GEO</v>
          </cell>
        </row>
        <row r="611">
          <cell r="A611" t="str">
            <v>0704967</v>
          </cell>
          <cell r="B611" t="str">
            <v>"//shrzboost01/TRUMPF.NET/DATA_PDM2/Stöbich/Varianten/0704967.GMV"</v>
          </cell>
          <cell r="C611" t="str">
            <v>//shrzboost01/TRUMPF.NET/DATA_PDM2/Stöbich/Aufträge.GEO</v>
          </cell>
        </row>
        <row r="612">
          <cell r="A612" t="str">
            <v>0704968</v>
          </cell>
          <cell r="B612" t="str">
            <v>"//shrzboost01/TRUMPF.NET/DATA_PDM2/Stöbich/Varianten/0704968.GMV"</v>
          </cell>
          <cell r="C612" t="str">
            <v>//shrzboost01/TRUMPF.NET/DATA_PDM2/Stöbich/Aufträge.GEO</v>
          </cell>
        </row>
        <row r="613">
          <cell r="A613" t="str">
            <v>0701391</v>
          </cell>
          <cell r="B613" t="str">
            <v>"//shrzboost01/TRUMPF.NET/DATA_PDM2/Stöbich/Varianten/0701391.GMV"</v>
          </cell>
          <cell r="C613" t="str">
            <v>//shrzboost01/TRUMPF.NET/DATA_PDM2/Stöbich/Aufträge.GEO</v>
          </cell>
        </row>
        <row r="614">
          <cell r="A614" t="str">
            <v>0704881</v>
          </cell>
          <cell r="B614" t="str">
            <v>"//shrzboost01/TRUMPF.NET/DATA_PDM2/Stöbich/Varianten/0704881.GMV"</v>
          </cell>
          <cell r="C614" t="str">
            <v>//shrzboost01/TRUMPF.NET/DATA_PDM2/Stöbich/Aufträge.GEO</v>
          </cell>
        </row>
        <row r="615">
          <cell r="A615" t="str">
            <v>0701393</v>
          </cell>
          <cell r="B615" t="str">
            <v>"//shrzboost01/TRUMPF.NET/DATA_PDM2/Stöbich/Varianten/0701393.GMV"</v>
          </cell>
          <cell r="C615" t="str">
            <v>//shrzboost01/TRUMPF.NET/DATA_PDM2/Stöbich/Aufträge.GEO</v>
          </cell>
        </row>
        <row r="616">
          <cell r="A616" t="str">
            <v>0704893</v>
          </cell>
          <cell r="B616" t="str">
            <v>"//shrzboost01/TRUMPF.NET/DATA_PDM2/Stöbich/Varianten/0704893.GMV"</v>
          </cell>
          <cell r="C616" t="str">
            <v>//shrzboost01/TRUMPF.NET/DATA_PDM2/Stöbich/Aufträge.GEO</v>
          </cell>
        </row>
        <row r="617">
          <cell r="A617"/>
          <cell r="B617" t="str">
            <v>"//shrzboost01/TRUMPF.NET/DATA_PDM2/Stöbich/Varianten/.GMV"</v>
          </cell>
          <cell r="C617" t="str">
            <v>//shrzboost01/TRUMPF.NET/DATA_PDM2/Stöbich/Aufträge.GEO</v>
          </cell>
        </row>
        <row r="618">
          <cell r="A618" t="str">
            <v>0714679</v>
          </cell>
          <cell r="B618" t="str">
            <v>"//shrzboost01/TRUMPF.NET/DATA_PDM2/Stöbich/Varianten/0714679.GMV"</v>
          </cell>
          <cell r="C618" t="str">
            <v>//shrzboost01/TRUMPF.NET/DATA_PDM2/Stöbich/Aufträge.GEO</v>
          </cell>
        </row>
        <row r="619">
          <cell r="A619" t="str">
            <v>0714680</v>
          </cell>
          <cell r="B619" t="str">
            <v>"//shrzboost01/TRUMPF.NET/DATA_PDM2/Stöbich/Varianten/0714680.GMV"</v>
          </cell>
          <cell r="C619" t="str">
            <v>//shrzboost01/TRUMPF.NET/DATA_PDM2/Stöbich/Aufträge.GEO</v>
          </cell>
        </row>
        <row r="620">
          <cell r="A620" t="str">
            <v>0714681</v>
          </cell>
          <cell r="B620" t="str">
            <v>"//shrzboost01/TRUMPF.NET/DATA_PDM2/Stöbich/Varianten/0714681.GMV"</v>
          </cell>
          <cell r="C620" t="str">
            <v>//shrzboost01/TRUMPF.NET/DATA_PDM2/Stöbich/Aufträge.GEO</v>
          </cell>
        </row>
        <row r="621">
          <cell r="A621" t="str">
            <v>0714682</v>
          </cell>
          <cell r="B621" t="str">
            <v>"//shrzboost01/TRUMPF.NET/DATA_PDM2/Stöbich/Varianten/0714682.GMV"</v>
          </cell>
          <cell r="C621" t="str">
            <v>//shrzboost01/TRUMPF.NET/DATA_PDM2/Stöbich/Aufträge.GEO</v>
          </cell>
        </row>
        <row r="622">
          <cell r="A622" t="str">
            <v>0714702</v>
          </cell>
          <cell r="B622" t="str">
            <v>"//shrzboost01/TRUMPF.NET/DATA_PDM2/Stöbich/Varianten/0714702.GMV"</v>
          </cell>
          <cell r="C622" t="str">
            <v>//shrzboost01/TRUMPF.NET/DATA_PDM2/Stöbich/Aufträge.GEO</v>
          </cell>
        </row>
        <row r="623">
          <cell r="A623" t="str">
            <v>0714703</v>
          </cell>
          <cell r="B623" t="str">
            <v>"//shrzboost01/TRUMPF.NET/DATA_PDM2/Stöbich/Varianten/0714703.GMV"</v>
          </cell>
          <cell r="C623" t="str">
            <v>//shrzboost01/TRUMPF.NET/DATA_PDM2/Stöbich/Aufträge.GEO</v>
          </cell>
        </row>
        <row r="624">
          <cell r="A624" t="str">
            <v>07147003</v>
          </cell>
          <cell r="B624" t="str">
            <v>"//shrzboost01/TRUMPF.NET/DATA_PDM2/Stöbich/Varianten/07147003.GMV"</v>
          </cell>
          <cell r="C624" t="str">
            <v>//shrzboost01/TRUMPF.NET/DATA_PDM2/Stöbich/Aufträge.GEO</v>
          </cell>
        </row>
        <row r="625">
          <cell r="A625"/>
          <cell r="B625" t="str">
            <v>"//shrzboost01/TRUMPF.NET/DATA_PDM2/Stöbich/Varianten/.GMV"</v>
          </cell>
          <cell r="C625" t="str">
            <v>//shrzboost01/TRUMPF.NET/DATA_PDM2/Stöbich/Aufträge.GEO</v>
          </cell>
        </row>
        <row r="626">
          <cell r="A626"/>
          <cell r="B626" t="str">
            <v>"//shrzboost01/TRUMPF.NET/DATA_PDM2/Stöbich/Varianten/.GMV"</v>
          </cell>
          <cell r="C626" t="str">
            <v>//shrzboost01/TRUMPF.NET/DATA_PDM2/Stöbich/Aufträge.GEO</v>
          </cell>
        </row>
        <row r="627">
          <cell r="A627" t="str">
            <v>0711691</v>
          </cell>
          <cell r="B627" t="str">
            <v>"//shrzboost01/TRUMPF.NET/DATA_PDM2/Stöbich/Varianten/0711691.GMV"</v>
          </cell>
          <cell r="C627" t="str">
            <v>//shrzboost01/TRUMPF.NET/DATA_PDM2/Stöbich/Aufträge.GEO</v>
          </cell>
        </row>
        <row r="628">
          <cell r="A628" t="str">
            <v>0711692</v>
          </cell>
          <cell r="B628" t="str">
            <v>"//shrzboost01/TRUMPF.NET/DATA_PDM2/Stöbich/Varianten/0711692.GMV"</v>
          </cell>
          <cell r="C628" t="str">
            <v>//shrzboost01/TRUMPF.NET/DATA_PDM2/Stöbich/Aufträge.GEO</v>
          </cell>
        </row>
        <row r="629">
          <cell r="A629" t="str">
            <v>0711693</v>
          </cell>
          <cell r="B629" t="str">
            <v>"//shrzboost01/TRUMPF.NET/DATA_PDM2/Stöbich/Varianten/0711693.GMV"</v>
          </cell>
          <cell r="C629" t="str">
            <v>//shrzboost01/TRUMPF.NET/DATA_PDM2/Stöbich/Aufträge.GEO</v>
          </cell>
        </row>
        <row r="630">
          <cell r="A630" t="str">
            <v>0711695</v>
          </cell>
          <cell r="B630" t="str">
            <v>"//shrzboost01/TRUMPF.NET/DATA_PDM2/Stöbich/Varianten/0711695.GMV"</v>
          </cell>
          <cell r="C630" t="str">
            <v>//shrzboost01/TRUMPF.NET/DATA_PDM2/Stöbich/Aufträge.GEO</v>
          </cell>
        </row>
        <row r="631">
          <cell r="A631" t="str">
            <v>0711696</v>
          </cell>
          <cell r="B631" t="str">
            <v>"//shrzboost01/TRUMPF.NET/DATA_PDM2/Stöbich/Varianten/0711696.GMV"</v>
          </cell>
          <cell r="C631" t="str">
            <v>//shrzboost01/TRUMPF.NET/DATA_PDM2/Stöbich/Aufträge.GEO</v>
          </cell>
        </row>
        <row r="632">
          <cell r="A632" t="str">
            <v>0711697</v>
          </cell>
          <cell r="B632" t="str">
            <v>"//shrzboost01/TRUMPF.NET/DATA_PDM2/Stöbich/Varianten/0711697.GMV"</v>
          </cell>
          <cell r="C632" t="str">
            <v>//shrzboost01/TRUMPF.NET/DATA_PDM2/Stöbich/Aufträge.GEO</v>
          </cell>
        </row>
        <row r="633">
          <cell r="A633" t="str">
            <v>0711699</v>
          </cell>
          <cell r="B633" t="str">
            <v>"//shrzboost01/TRUMPF.NET/DATA_PDM2/Stöbich/Varianten/0711699.GMV"</v>
          </cell>
          <cell r="C633" t="str">
            <v>//shrzboost01/TRUMPF.NET/DATA_PDM2/Stöbich/Aufträge.GEO</v>
          </cell>
        </row>
        <row r="634">
          <cell r="A634" t="str">
            <v>0711700</v>
          </cell>
          <cell r="B634" t="str">
            <v>"//shrzboost01/TRUMPF.NET/DATA_PDM2/Stöbich/Varianten/0711700.GMV"</v>
          </cell>
          <cell r="C634" t="str">
            <v>//shrzboost01/TRUMPF.NET/DATA_PDM2/Stöbich/Aufträge.GEO</v>
          </cell>
        </row>
        <row r="635">
          <cell r="A635" t="str">
            <v>0711701</v>
          </cell>
          <cell r="B635" t="str">
            <v>"//shrzboost01/TRUMPF.NET/DATA_PDM2/Stöbich/Varianten/0711701.GMV"</v>
          </cell>
          <cell r="C635" t="str">
            <v>//shrzboost01/TRUMPF.NET/DATA_PDM2/Stöbich/Aufträge.GEO</v>
          </cell>
        </row>
        <row r="636">
          <cell r="A636" t="str">
            <v>0711702</v>
          </cell>
          <cell r="B636" t="str">
            <v>"//shrzboost01/TRUMPF.NET/DATA_PDM2/Stöbich/Varianten/0711702.GMV"</v>
          </cell>
          <cell r="C636" t="str">
            <v>//shrzboost01/TRUMPF.NET/DATA_PDM2/Stöbich/Aufträge.GEO</v>
          </cell>
        </row>
        <row r="637">
          <cell r="A637" t="str">
            <v>0711704</v>
          </cell>
          <cell r="B637" t="str">
            <v>"//shrzboost01/TRUMPF.NET/DATA_PDM2/Stöbich/Varianten/0711704.GMV"</v>
          </cell>
          <cell r="C637" t="str">
            <v>//shrzboost01/TRUMPF.NET/DATA_PDM2/Stöbich/Aufträge.GEO</v>
          </cell>
        </row>
        <row r="638">
          <cell r="A638" t="str">
            <v>0711705</v>
          </cell>
          <cell r="B638" t="str">
            <v>"//shrzboost01/TRUMPF.NET/DATA_PDM2/Stöbich/Varianten/0711705.GMV"</v>
          </cell>
          <cell r="C638" t="str">
            <v>//shrzboost01/TRUMPF.NET/DATA_PDM2/Stöbich/Aufträge.GEO</v>
          </cell>
        </row>
        <row r="639">
          <cell r="A639" t="str">
            <v>0711706</v>
          </cell>
          <cell r="B639" t="str">
            <v>"//shrzboost01/TRUMPF.NET/DATA_PDM2/Stöbich/Varianten/0711706.GMV"</v>
          </cell>
          <cell r="C639" t="str">
            <v>//shrzboost01/TRUMPF.NET/DATA_PDM2/Stöbich/Aufträge.GEO</v>
          </cell>
        </row>
        <row r="640">
          <cell r="A640" t="str">
            <v>0711707</v>
          </cell>
          <cell r="B640" t="str">
            <v>"//shrzboost01/TRUMPF.NET/DATA_PDM2/Stöbich/Varianten/0711707.GMV"</v>
          </cell>
          <cell r="C640" t="str">
            <v>//shrzboost01/TRUMPF.NET/DATA_PDM2/Stöbich/Aufträge.GEO</v>
          </cell>
        </row>
        <row r="641">
          <cell r="A641" t="str">
            <v>0711709</v>
          </cell>
          <cell r="B641" t="str">
            <v>"//shrzboost01/TRUMPF.NET/DATA_PDM2/Stöbich/Varianten/0711709.GMV"</v>
          </cell>
          <cell r="C641" t="str">
            <v>//shrzboost01/TRUMPF.NET/DATA_PDM2/Stöbich/Aufträge.GEO</v>
          </cell>
        </row>
        <row r="642">
          <cell r="A642" t="str">
            <v>0711710</v>
          </cell>
          <cell r="B642" t="str">
            <v>"//shrzboost01/TRUMPF.NET/DATA_PDM2/Stöbich/Varianten/0711710.GMV"</v>
          </cell>
          <cell r="C642" t="str">
            <v>//shrzboost01/TRUMPF.NET/DATA_PDM2/Stöbich/Aufträge.GEO</v>
          </cell>
        </row>
        <row r="643">
          <cell r="A643" t="str">
            <v>0711711</v>
          </cell>
          <cell r="B643" t="str">
            <v>"//shrzboost01/TRUMPF.NET/DATA_PDM2/Stöbich/Varianten/0711711.GMV"</v>
          </cell>
          <cell r="C643" t="str">
            <v>//shrzboost01/TRUMPF.NET/DATA_PDM2/Stöbich/Aufträge.GEO</v>
          </cell>
        </row>
        <row r="644">
          <cell r="A644" t="str">
            <v>0711712</v>
          </cell>
          <cell r="B644" t="str">
            <v>"//shrzboost01/TRUMPF.NET/DATA_PDM2/Stöbich/Varianten/0711712.GMV"</v>
          </cell>
          <cell r="C644" t="str">
            <v>//shrzboost01/TRUMPF.NET/DATA_PDM2/Stöbich/Aufträge.GEO</v>
          </cell>
        </row>
        <row r="645">
          <cell r="A645" t="str">
            <v>0711713</v>
          </cell>
          <cell r="B645" t="str">
            <v>"//shrzboost01/TRUMPF.NET/DATA_PDM2/Stöbich/Varianten/0711713.GMV"</v>
          </cell>
          <cell r="C645" t="str">
            <v>//shrzboost01/TRUMPF.NET/DATA_PDM2/Stöbich/Aufträge.GEO</v>
          </cell>
        </row>
        <row r="646">
          <cell r="A646" t="str">
            <v>0711714</v>
          </cell>
          <cell r="B646" t="str">
            <v>"//shrzboost01/TRUMPF.NET/DATA_PDM2/Stöbich/Varianten/0711714.GMV"</v>
          </cell>
          <cell r="C646" t="str">
            <v>//shrzboost01/TRUMPF.NET/DATA_PDM2/Stöbich/Aufträge.GEO</v>
          </cell>
        </row>
        <row r="647">
          <cell r="A647" t="str">
            <v>0711715</v>
          </cell>
          <cell r="B647" t="str">
            <v>"//shrzboost01/TRUMPF.NET/DATA_PDM2/Stöbich/Varianten/0711715.GMV"</v>
          </cell>
          <cell r="C647" t="str">
            <v>//shrzboost01/TRUMPF.NET/DATA_PDM2/Stöbich/Aufträge.GEO</v>
          </cell>
        </row>
        <row r="648">
          <cell r="A648" t="str">
            <v>0711716</v>
          </cell>
          <cell r="B648" t="str">
            <v>"//shrzboost01/TRUMPF.NET/DATA_PDM2/Stöbich/Varianten/0711716.GMV"</v>
          </cell>
          <cell r="C648" t="str">
            <v>//shrzboost01/TRUMPF.NET/DATA_PDM2/Stöbich/Aufträge.GEO</v>
          </cell>
        </row>
        <row r="649">
          <cell r="A649" t="str">
            <v>0711717</v>
          </cell>
          <cell r="B649" t="str">
            <v>"//shrzboost01/TRUMPF.NET/DATA_PDM2/Stöbich/Varianten/0711717.GMV"</v>
          </cell>
          <cell r="C649" t="str">
            <v>//shrzboost01/TRUMPF.NET/DATA_PDM2/Stöbich/Aufträge.GEO</v>
          </cell>
        </row>
        <row r="650">
          <cell r="A650" t="str">
            <v>0711718</v>
          </cell>
          <cell r="B650" t="str">
            <v>"//shrzboost01/TRUMPF.NET/DATA_PDM2/Stöbich/Varianten/0711718.GMV"</v>
          </cell>
          <cell r="C650" t="str">
            <v>//shrzboost01/TRUMPF.NET/DATA_PDM2/Stöbich/Aufträge.GEO</v>
          </cell>
        </row>
        <row r="651">
          <cell r="A651" t="str">
            <v>0711723</v>
          </cell>
          <cell r="B651" t="str">
            <v>"//shrzboost01/TRUMPF.NET/DATA_PDM2/Stöbich/Varianten/0711723.GMV"</v>
          </cell>
          <cell r="C651" t="str">
            <v>//shrzboost01/TRUMPF.NET/DATA_PDM2/Stöbich/Aufträge.GEO</v>
          </cell>
        </row>
        <row r="652">
          <cell r="A652" t="str">
            <v>0711724</v>
          </cell>
          <cell r="B652" t="str">
            <v>"//shrzboost01/TRUMPF.NET/DATA_PDM2/Stöbich/Varianten/0711724.GMV"</v>
          </cell>
          <cell r="C652" t="str">
            <v>//shrzboost01/TRUMPF.NET/DATA_PDM2/Stöbich/Aufträge.GEO</v>
          </cell>
        </row>
        <row r="653">
          <cell r="A653" t="str">
            <v>0711725</v>
          </cell>
          <cell r="B653" t="str">
            <v>"//shrzboost01/TRUMPF.NET/DATA_PDM2/Stöbich/Varianten/0711725.GMV"</v>
          </cell>
          <cell r="C653" t="str">
            <v>//shrzboost01/TRUMPF.NET/DATA_PDM2/Stöbich/Aufträge.GEO</v>
          </cell>
        </row>
        <row r="654">
          <cell r="A654" t="str">
            <v>0711726</v>
          </cell>
          <cell r="B654" t="str">
            <v>"//shrzboost01/TRUMPF.NET/DATA_PDM2/Stöbich/Varianten/0711726.GMV"</v>
          </cell>
          <cell r="C654" t="str">
            <v>//shrzboost01/TRUMPF.NET/DATA_PDM2/Stöbich/Aufträge.GEO</v>
          </cell>
        </row>
        <row r="655">
          <cell r="A655" t="str">
            <v>0712817</v>
          </cell>
          <cell r="B655" t="str">
            <v>"//shrzboost01/TRUMPF.NET/DATA_PDM2/Stöbich/Varianten/0712817.GMV"</v>
          </cell>
          <cell r="C655" t="str">
            <v>//shrzboost01/TRUMPF.NET/DATA_PDM2/Stöbich/Aufträge.GEO</v>
          </cell>
        </row>
        <row r="656">
          <cell r="A656" t="str">
            <v>0711554</v>
          </cell>
          <cell r="B656" t="str">
            <v>"//shrzboost01/TRUMPF.NET/DATA_PDM2/Stöbich/Varianten/0711554.GMV"</v>
          </cell>
          <cell r="C656" t="str">
            <v>//shrzboost01/TRUMPF.NET/DATA_PDM2/Stöbich/Aufträge.GEO</v>
          </cell>
        </row>
        <row r="657">
          <cell r="A657" t="str">
            <v>0711555</v>
          </cell>
          <cell r="B657" t="str">
            <v>"//shrzboost01/TRUMPF.NET/DATA_PDM2/Stöbich/Varianten/0711555.GMV"</v>
          </cell>
          <cell r="C657" t="str">
            <v>//shrzboost01/TRUMPF.NET/DATA_PDM2/Stöbich/Aufträge.GEO</v>
          </cell>
        </row>
        <row r="658">
          <cell r="A658" t="str">
            <v>0711556</v>
          </cell>
          <cell r="B658" t="str">
            <v>"//shrzboost01/TRUMPF.NET/DATA_PDM2/Stöbich/Varianten/0711556.GMV"</v>
          </cell>
          <cell r="C658" t="str">
            <v>//shrzboost01/TRUMPF.NET/DATA_PDM2/Stöbich/Aufträge.GEO</v>
          </cell>
        </row>
        <row r="659">
          <cell r="A659" t="str">
            <v>0711557</v>
          </cell>
          <cell r="B659" t="str">
            <v>"//shrzboost01/TRUMPF.NET/DATA_PDM2/Stöbich/Varianten/0711557.GMV"</v>
          </cell>
          <cell r="C659" t="str">
            <v>//shrzboost01/TRUMPF.NET/DATA_PDM2/Stöbich/Aufträge.GEO</v>
          </cell>
        </row>
        <row r="660">
          <cell r="A660" t="str">
            <v>0711558</v>
          </cell>
          <cell r="B660" t="str">
            <v>"//shrzboost01/TRUMPF.NET/DATA_PDM2/Stöbich/Varianten/0711558.GMV"</v>
          </cell>
          <cell r="C660" t="str">
            <v>//shrzboost01/TRUMPF.NET/DATA_PDM2/Stöbich/Aufträge.GEO</v>
          </cell>
        </row>
        <row r="661">
          <cell r="A661" t="str">
            <v>0711559</v>
          </cell>
          <cell r="B661" t="str">
            <v>"//shrzboost01/TRUMPF.NET/DATA_PDM2/Stöbich/Varianten/0711559.GMV"</v>
          </cell>
          <cell r="C661" t="str">
            <v>//shrzboost01/TRUMPF.NET/DATA_PDM2/Stöbich/Aufträge.GEO</v>
          </cell>
        </row>
        <row r="662">
          <cell r="A662" t="str">
            <v>0711560</v>
          </cell>
          <cell r="B662" t="str">
            <v>"//shrzboost01/TRUMPF.NET/DATA_PDM2/Stöbich/Varianten/0711560.GMV"</v>
          </cell>
          <cell r="C662" t="str">
            <v>//shrzboost01/TRUMPF.NET/DATA_PDM2/Stöbich/Aufträge.GEO</v>
          </cell>
        </row>
        <row r="663">
          <cell r="A663" t="str">
            <v>0711561</v>
          </cell>
          <cell r="B663" t="str">
            <v>"//shrzboost01/TRUMPF.NET/DATA_PDM2/Stöbich/Varianten/0711561.GMV"</v>
          </cell>
          <cell r="C663" t="str">
            <v>//shrzboost01/TRUMPF.NET/DATA_PDM2/Stöbich/Aufträge.GEO</v>
          </cell>
        </row>
        <row r="664">
          <cell r="A664" t="str">
            <v>0711569</v>
          </cell>
          <cell r="B664" t="str">
            <v>"//shrzboost01/TRUMPF.NET/DATA_PDM2/Stöbich/Varianten/0711569.GMV"</v>
          </cell>
          <cell r="C664" t="str">
            <v>//shrzboost01/TRUMPF.NET/DATA_PDM2/Stöbich/Aufträge.GEO</v>
          </cell>
        </row>
        <row r="665">
          <cell r="A665" t="str">
            <v>0711570</v>
          </cell>
          <cell r="B665" t="str">
            <v>"//shrzboost01/TRUMPF.NET/DATA_PDM2/Stöbich/Varianten/0711570.GMV"</v>
          </cell>
          <cell r="C665" t="str">
            <v>//shrzboost01/TRUMPF.NET/DATA_PDM2/Stöbich/Aufträge.GEO</v>
          </cell>
        </row>
        <row r="666">
          <cell r="A666" t="str">
            <v>0711571</v>
          </cell>
          <cell r="B666" t="str">
            <v>"//shrzboost01/TRUMPF.NET/DATA_PDM2/Stöbich/Varianten/0711571.GMV"</v>
          </cell>
          <cell r="C666" t="str">
            <v>//shrzboost01/TRUMPF.NET/DATA_PDM2/Stöbich/Aufträge.GEO</v>
          </cell>
        </row>
        <row r="667">
          <cell r="A667" t="str">
            <v>0711572</v>
          </cell>
          <cell r="B667" t="str">
            <v>"//shrzboost01/TRUMPF.NET/DATA_PDM2/Stöbich/Varianten/0711572.GMV"</v>
          </cell>
          <cell r="C667" t="str">
            <v>//shrzboost01/TRUMPF.NET/DATA_PDM2/Stöbich/Aufträge.GEO</v>
          </cell>
        </row>
        <row r="668">
          <cell r="A668" t="str">
            <v>0711574</v>
          </cell>
          <cell r="B668" t="str">
            <v>"//shrzboost01/TRUMPF.NET/DATA_PDM2/Stöbich/Varianten/0711574.GMV"</v>
          </cell>
          <cell r="C668" t="str">
            <v>//shrzboost01/TRUMPF.NET/DATA_PDM2/Stöbich/Aufträge.GEO</v>
          </cell>
        </row>
        <row r="669">
          <cell r="A669" t="str">
            <v>0717657</v>
          </cell>
          <cell r="B669" t="str">
            <v>"//shrzboost01/TRUMPF.NET/DATA_PDM2/Stöbich/Varianten/0717657.GMV"</v>
          </cell>
          <cell r="C669" t="str">
            <v>//shrzboost01/TRUMPF.NET/DATA_PDM2/Stöbich/Aufträge.GEO</v>
          </cell>
        </row>
        <row r="670">
          <cell r="A670" t="str">
            <v>0717658</v>
          </cell>
          <cell r="B670" t="str">
            <v>"//shrzboost01/TRUMPF.NET/DATA_PDM2/Stöbich/Varianten/0717658.GMV"</v>
          </cell>
          <cell r="C670" t="str">
            <v>//shrzboost01/TRUMPF.NET/DATA_PDM2/Stöbich/Aufträge.GEO</v>
          </cell>
        </row>
        <row r="671">
          <cell r="A671"/>
          <cell r="B671" t="str">
            <v>"//shrzboost01/TRUMPF.NET/DATA_PDM2/Stöbich/Varianten/.GMV"</v>
          </cell>
          <cell r="C671" t="str">
            <v>//shrzboost01/TRUMPF.NET/DATA_PDM2/Stöbich/Aufträge.GEO</v>
          </cell>
        </row>
        <row r="672">
          <cell r="A672" t="str">
            <v>0713205</v>
          </cell>
          <cell r="B672" t="str">
            <v>"//shrzboost01/TRUMPF.NET/DATA_PDM2/Stöbich/Varianten/0713205.GMV"</v>
          </cell>
          <cell r="C672" t="str">
            <v>//shrzboost01/TRUMPF.NET/DATA_PDM2/Stöbich/Aufträge.GEO</v>
          </cell>
        </row>
        <row r="673">
          <cell r="A673" t="str">
            <v>0713206</v>
          </cell>
          <cell r="B673" t="str">
            <v>"//shrzboost01/TRUMPF.NET/DATA_PDM2/Stöbich/Varianten/0713206.GMV"</v>
          </cell>
          <cell r="C673" t="str">
            <v>//shrzboost01/TRUMPF.NET/DATA_PDM2/Stöbich/Aufträge.GEO</v>
          </cell>
        </row>
        <row r="674">
          <cell r="A674" t="str">
            <v>0713207</v>
          </cell>
          <cell r="B674" t="str">
            <v>"//shrzboost01/TRUMPF.NET/DATA_PDM2/Stöbich/Varianten/0713207.GMV"</v>
          </cell>
          <cell r="C674" t="str">
            <v>//shrzboost01/TRUMPF.NET/DATA_PDM2/Stöbich/Aufträge.GEO</v>
          </cell>
        </row>
        <row r="675">
          <cell r="A675" t="str">
            <v>0713209</v>
          </cell>
          <cell r="B675" t="str">
            <v>"//shrzboost01/TRUMPF.NET/DATA_PDM2/Stöbich/Varianten/0713209.GMV"</v>
          </cell>
          <cell r="C675" t="str">
            <v>//shrzboost01/TRUMPF.NET/DATA_PDM2/Stöbich/Aufträge.GEO</v>
          </cell>
        </row>
        <row r="676">
          <cell r="A676" t="str">
            <v>0713236</v>
          </cell>
          <cell r="B676" t="str">
            <v>"//shrzboost01/TRUMPF.NET/DATA_PDM2/Stöbich/Varianten/0713236.GMV"</v>
          </cell>
          <cell r="C676" t="str">
            <v>//shrzboost01/TRUMPF.NET/DATA_PDM2/Stöbich/Aufträge.GEO</v>
          </cell>
        </row>
        <row r="677">
          <cell r="A677" t="str">
            <v>0713237</v>
          </cell>
          <cell r="B677" t="str">
            <v>"//shrzboost01/TRUMPF.NET/DATA_PDM2/Stöbich/Varianten/0713237.GMV"</v>
          </cell>
          <cell r="C677" t="str">
            <v>//shrzboost01/TRUMPF.NET/DATA_PDM2/Stöbich/Aufträge.GEO</v>
          </cell>
        </row>
        <row r="678">
          <cell r="A678" t="str">
            <v>0713238</v>
          </cell>
          <cell r="B678" t="str">
            <v>"//shrzboost01/TRUMPF.NET/DATA_PDM2/Stöbich/Varianten/0713238.GMV"</v>
          </cell>
          <cell r="C678" t="str">
            <v>//shrzboost01/TRUMPF.NET/DATA_PDM2/Stöbich/Aufträge.GEO</v>
          </cell>
        </row>
        <row r="679">
          <cell r="A679" t="str">
            <v>0713244</v>
          </cell>
          <cell r="B679" t="str">
            <v>"//shrzboost01/TRUMPF.NET/DATA_PDM2/Stöbich/Varianten/0713244.GMV"</v>
          </cell>
          <cell r="C679" t="str">
            <v>//shrzboost01/TRUMPF.NET/DATA_PDM2/Stöbich/Aufträge.GEO</v>
          </cell>
        </row>
        <row r="680">
          <cell r="A680" t="str">
            <v>0713247</v>
          </cell>
          <cell r="B680" t="str">
            <v>"//shrzboost01/TRUMPF.NET/DATA_PDM2/Stöbich/Varianten/0713247.GMV"</v>
          </cell>
          <cell r="C680" t="str">
            <v>//shrzboost01/TRUMPF.NET/DATA_PDM2/Stöbich/Aufträge.GEO</v>
          </cell>
        </row>
        <row r="681">
          <cell r="A681" t="str">
            <v>0713318</v>
          </cell>
          <cell r="B681" t="str">
            <v>"//shrzboost01/TRUMPF.NET/DATA_PDM2/Stöbich/Varianten/0713318.GMV"</v>
          </cell>
          <cell r="C681" t="str">
            <v>//shrzboost01/TRUMPF.NET/DATA_PDM2/Stöbich/Aufträge.GEO</v>
          </cell>
        </row>
        <row r="682">
          <cell r="A682" t="str">
            <v>0713372</v>
          </cell>
          <cell r="B682" t="str">
            <v>"//shrzboost01/TRUMPF.NET/DATA_PDM2/Stöbich/Varianten/0713372.GMV"</v>
          </cell>
          <cell r="C682" t="str">
            <v>//shrzboost01/TRUMPF.NET/DATA_PDM2/Stöbich/Aufträge.GEO</v>
          </cell>
        </row>
        <row r="683">
          <cell r="A683" t="str">
            <v>0713374</v>
          </cell>
          <cell r="B683" t="str">
            <v>"//shrzboost01/TRUMPF.NET/DATA_PDM2/Stöbich/Varianten/0713374.GMV"</v>
          </cell>
          <cell r="C683" t="str">
            <v>//shrzboost01/TRUMPF.NET/DATA_PDM2/Stöbich/Aufträge.GEO</v>
          </cell>
        </row>
        <row r="684">
          <cell r="A684" t="str">
            <v>0713377</v>
          </cell>
          <cell r="B684" t="str">
            <v>"//shrzboost01/TRUMPF.NET/DATA_PDM2/Stöbich/Varianten/0713377.GMV"</v>
          </cell>
          <cell r="C684" t="str">
            <v>//shrzboost01/TRUMPF.NET/DATA_PDM2/Stöbich/Aufträge.GEO</v>
          </cell>
        </row>
        <row r="685">
          <cell r="A685" t="str">
            <v>0713385</v>
          </cell>
          <cell r="B685" t="str">
            <v>"//shrzboost01/TRUMPF.NET/DATA_PDM2/Stöbich/Varianten/0713385.GMV"</v>
          </cell>
          <cell r="C685" t="str">
            <v>//shrzboost01/TRUMPF.NET/DATA_PDM2/Stöbich/Aufträge.GEO</v>
          </cell>
        </row>
        <row r="686">
          <cell r="A686" t="str">
            <v>0713752</v>
          </cell>
          <cell r="B686" t="str">
            <v>"//shrzboost01/TRUMPF.NET/DATA_PDM2/Stöbich/Varianten/0713752.GMV"</v>
          </cell>
          <cell r="C686" t="str">
            <v>//shrzboost01/TRUMPF.NET/DATA_PDM2/Stöbich/Aufträge.GEO</v>
          </cell>
        </row>
        <row r="687">
          <cell r="A687" t="str">
            <v>0713281</v>
          </cell>
          <cell r="B687" t="str">
            <v>"//shrzboost01/TRUMPF.NET/DATA_PDM2/Stöbich/Varianten/0713281.GMV"</v>
          </cell>
          <cell r="C687" t="str">
            <v>//shrzboost01/TRUMPF.NET/DATA_PDM2/Stöbich/Aufträge.GEO</v>
          </cell>
        </row>
        <row r="688">
          <cell r="A688" t="str">
            <v>0713222</v>
          </cell>
          <cell r="B688" t="str">
            <v>"//shrzboost01/TRUMPF.NET/DATA_PDM2/Stöbich/Varianten/0713222.GMV"</v>
          </cell>
          <cell r="C688" t="str">
            <v>//shrzboost01/TRUMPF.NET/DATA_PDM2/Stöbich/Aufträge.GEO</v>
          </cell>
        </row>
        <row r="689">
          <cell r="A689" t="str">
            <v>0713636</v>
          </cell>
          <cell r="B689" t="str">
            <v>"//shrzboost01/TRUMPF.NET/DATA_PDM2/Stöbich/Varianten/0713636.GMV"</v>
          </cell>
          <cell r="C689" t="str">
            <v>//shrzboost01/TRUMPF.NET/DATA_PDM2/Stöbich/Aufträge.GEO</v>
          </cell>
        </row>
        <row r="690">
          <cell r="A690" t="str">
            <v>0713284</v>
          </cell>
          <cell r="B690" t="str">
            <v>"//shrzboost01/TRUMPF.NET/DATA_PDM2/Stöbich/Varianten/0713284.GMV"</v>
          </cell>
          <cell r="C690" t="str">
            <v>//shrzboost01/TRUMPF.NET/DATA_PDM2/Stöbich/Aufträge.GEO</v>
          </cell>
        </row>
        <row r="691">
          <cell r="A691" t="str">
            <v>0713753</v>
          </cell>
          <cell r="B691" t="str">
            <v>"//shrzboost01/TRUMPF.NET/DATA_PDM2/Stöbich/Varianten/0713753.GMV"</v>
          </cell>
          <cell r="C691" t="str">
            <v>//shrzboost01/TRUMPF.NET/DATA_PDM2/Stöbich/Aufträge.GEO</v>
          </cell>
        </row>
        <row r="692">
          <cell r="A692" t="str">
            <v>0713634</v>
          </cell>
          <cell r="B692" t="str">
            <v>"//shrzboost01/TRUMPF.NET/DATA_PDM2/Stöbich/Varianten/0713634.GMV"</v>
          </cell>
          <cell r="C692" t="str">
            <v>//shrzboost01/TRUMPF.NET/DATA_PDM2/Stöbich/Aufträge.GEO</v>
          </cell>
        </row>
        <row r="693">
          <cell r="A693" t="str">
            <v>0713635</v>
          </cell>
          <cell r="B693" t="str">
            <v>"//shrzboost01/TRUMPF.NET/DATA_PDM2/Stöbich/Varianten/0713635.GMV"</v>
          </cell>
          <cell r="C693" t="str">
            <v>//shrzboost01/TRUMPF.NET/DATA_PDM2/Stöbich/Aufträge.GEO</v>
          </cell>
        </row>
        <row r="694">
          <cell r="A694" t="str">
            <v>0713638</v>
          </cell>
          <cell r="B694" t="str">
            <v>"//shrzboost01/TRUMPF.NET/DATA_PDM2/Stöbich/Varianten/0713638.GMV"</v>
          </cell>
          <cell r="C694" t="str">
            <v>//shrzboost01/TRUMPF.NET/DATA_PDM2/Stöbich/Aufträge.GEO</v>
          </cell>
        </row>
        <row r="695">
          <cell r="A695" t="str">
            <v>0713754</v>
          </cell>
          <cell r="B695" t="str">
            <v>"//shrzboost01/TRUMPF.NET/DATA_PDM2/Stöbich/Varianten/0713754.GMV"</v>
          </cell>
          <cell r="C695" t="str">
            <v>//shrzboost01/TRUMPF.NET/DATA_PDM2/Stöbich/Aufträge.GEO</v>
          </cell>
        </row>
        <row r="696">
          <cell r="A696" t="str">
            <v>0713321</v>
          </cell>
          <cell r="B696" t="str">
            <v>"//shrzboost01/TRUMPF.NET/DATA_PDM2/Stöbich/Varianten/0713321.GMV"</v>
          </cell>
          <cell r="C696" t="str">
            <v>//shrzboost01/TRUMPF.NET/DATA_PDM2/Stöbich/Aufträge.GEO</v>
          </cell>
        </row>
        <row r="697">
          <cell r="A697" t="str">
            <v>0713282</v>
          </cell>
          <cell r="B697" t="str">
            <v>"//shrzboost01/TRUMPF.NET/DATA_PDM2/Stöbich/Varianten/0713282.GMV"</v>
          </cell>
          <cell r="C697" t="str">
            <v>//shrzboost01/TRUMPF.NET/DATA_PDM2/Stöbich/Aufträge.GEO</v>
          </cell>
        </row>
        <row r="698">
          <cell r="A698" t="str">
            <v>0713323</v>
          </cell>
          <cell r="B698" t="str">
            <v>"//shrzboost01/TRUMPF.NET/DATA_PDM2/Stöbich/Varianten/0713323.GMV"</v>
          </cell>
          <cell r="C698" t="str">
            <v>//shrzboost01/TRUMPF.NET/DATA_PDM2/Stöbich/Aufträge.GEO</v>
          </cell>
        </row>
        <row r="699">
          <cell r="A699" t="str">
            <v>0713637</v>
          </cell>
          <cell r="B699" t="str">
            <v>"//shrzboost01/TRUMPF.NET/DATA_PDM2/Stöbich/Varianten/0713637.GMV"</v>
          </cell>
          <cell r="C699" t="str">
            <v>//shrzboost01/TRUMPF.NET/DATA_PDM2/Stöbich/Aufträge.GEO</v>
          </cell>
        </row>
        <row r="700">
          <cell r="A700" t="str">
            <v>0713319</v>
          </cell>
          <cell r="B700" t="str">
            <v>"//shrzboost01/TRUMPF.NET/DATA_PDM2/Stöbich/Varianten/0713319.GMV"</v>
          </cell>
          <cell r="C700" t="str">
            <v>//shrzboost01/TRUMPF.NET/DATA_PDM2/Stöbich/Aufträge.GEO</v>
          </cell>
        </row>
        <row r="701">
          <cell r="A701" t="str">
            <v>0713320</v>
          </cell>
          <cell r="B701" t="str">
            <v>"//shrzboost01/TRUMPF.NET/DATA_PDM2/Stöbich/Varianten/0713320.GMV"</v>
          </cell>
          <cell r="C701" t="str">
            <v>//shrzboost01/TRUMPF.NET/DATA_PDM2/Stöbich/Aufträge.GEO</v>
          </cell>
        </row>
        <row r="702">
          <cell r="A702" t="str">
            <v>0713177</v>
          </cell>
          <cell r="B702" t="str">
            <v>"//shrzboost01/TRUMPF.NET/DATA_PDM2/Stöbich/Varianten/0713177.GMV"</v>
          </cell>
          <cell r="C702" t="str">
            <v>//shrzboost01/TRUMPF.NET/DATA_PDM2/Stöbich/Aufträge.GEO</v>
          </cell>
        </row>
        <row r="703">
          <cell r="A703" t="str">
            <v>0713614</v>
          </cell>
          <cell r="B703" t="str">
            <v>"//shrzboost01/TRUMPF.NET/DATA_PDM2/Stöbich/Varianten/0713614.GMV"</v>
          </cell>
          <cell r="C703" t="str">
            <v>//shrzboost01/TRUMPF.NET/DATA_PDM2/Stöbich/Aufträge.GEO</v>
          </cell>
        </row>
        <row r="704">
          <cell r="A704" t="str">
            <v>0713615</v>
          </cell>
          <cell r="B704" t="str">
            <v>"//shrzboost01/TRUMPF.NET/DATA_PDM2/Stöbich/Varianten/0713615.GMV"</v>
          </cell>
          <cell r="C704" t="str">
            <v>//shrzboost01/TRUMPF.NET/DATA_PDM2/Stöbich/Aufträge.GEO</v>
          </cell>
        </row>
        <row r="705">
          <cell r="A705" t="str">
            <v>0713616</v>
          </cell>
          <cell r="B705" t="str">
            <v>"//shrzboost01/TRUMPF.NET/DATA_PDM2/Stöbich/Varianten/0713616.GMV"</v>
          </cell>
          <cell r="C705" t="str">
            <v>//shrzboost01/TRUMPF.NET/DATA_PDM2/Stöbich/Aufträge.GEO</v>
          </cell>
        </row>
        <row r="706">
          <cell r="A706" t="str">
            <v>0713756</v>
          </cell>
          <cell r="B706" t="str">
            <v>"//shrzboost01/TRUMPF.NET/DATA_PDM2/Stöbich/Varianten/0713756.GMV"</v>
          </cell>
          <cell r="C706" t="str">
            <v>//shrzboost01/TRUMPF.NET/DATA_PDM2/Stöbich/Aufträge.GEO</v>
          </cell>
        </row>
        <row r="707">
          <cell r="A707"/>
          <cell r="B707" t="str">
            <v>"//shrzboost01/TRUMPF.NET/DATA_PDM2/Stöbich/Varianten/.GMV"</v>
          </cell>
          <cell r="C707" t="str">
            <v>//shrzboost01/TRUMPF.NET/DATA_PDM2/Stöbich/Aufträge.GEO</v>
          </cell>
        </row>
        <row r="708">
          <cell r="A708" t="str">
            <v>0710758</v>
          </cell>
          <cell r="B708" t="str">
            <v>"//shrzboost01/TRUMPF.NET/DATA_PDM2/Stöbich/Varianten/0710758.GMV"</v>
          </cell>
          <cell r="C708" t="str">
            <v>//shrzboost01/TRUMPF.NET/DATA_PDM2/Stöbich/Aufträge.GEO</v>
          </cell>
        </row>
        <row r="709">
          <cell r="A709" t="str">
            <v>0710759</v>
          </cell>
          <cell r="B709" t="str">
            <v>"//shrzboost01/TRUMPF.NET/DATA_PDM2/Stöbich/Varianten/0710759.GMV"</v>
          </cell>
          <cell r="C709" t="str">
            <v>//shrzboost01/TRUMPF.NET/DATA_PDM2/Stöbich/Aufträge.GEO</v>
          </cell>
        </row>
        <row r="710">
          <cell r="A710" t="str">
            <v>0710760</v>
          </cell>
          <cell r="B710" t="str">
            <v>"//shrzboost01/TRUMPF.NET/DATA_PDM2/Stöbich/Varianten/0710760.GMV"</v>
          </cell>
          <cell r="C710" t="str">
            <v>//shrzboost01/TRUMPF.NET/DATA_PDM2/Stöbich/Aufträge.GEO</v>
          </cell>
        </row>
        <row r="711">
          <cell r="A711" t="str">
            <v>0710761</v>
          </cell>
          <cell r="B711" t="str">
            <v>"//shrzboost01/TRUMPF.NET/DATA_PDM2/Stöbich/Varianten/0710761.GMV"</v>
          </cell>
          <cell r="C711" t="str">
            <v>//shrzboost01/TRUMPF.NET/DATA_PDM2/Stöbich/Aufträge.GEO</v>
          </cell>
        </row>
        <row r="712">
          <cell r="A712" t="str">
            <v>0711301</v>
          </cell>
          <cell r="B712" t="str">
            <v>"//shrzboost01/TRUMPF.NET/DATA_PDM2/Stöbich/Varianten/0711301.GMV"</v>
          </cell>
          <cell r="C712" t="str">
            <v>//shrzboost01/TRUMPF.NET/DATA_PDM2/Stöbich/Aufträge.GEO</v>
          </cell>
        </row>
        <row r="713">
          <cell r="A713" t="str">
            <v>0711303</v>
          </cell>
          <cell r="B713" t="str">
            <v>"//shrzboost01/TRUMPF.NET/DATA_PDM2/Stöbich/Varianten/0711303.GMV"</v>
          </cell>
          <cell r="C713" t="str">
            <v>//shrzboost01/TRUMPF.NET/DATA_PDM2/Stöbich/Aufträge.GEO</v>
          </cell>
        </row>
        <row r="714">
          <cell r="A714" t="str">
            <v>0711304</v>
          </cell>
          <cell r="B714" t="str">
            <v>"//shrzboost01/TRUMPF.NET/DATA_PDM2/Stöbich/Varianten/0711304.GMV"</v>
          </cell>
          <cell r="C714" t="str">
            <v>//shrzboost01/TRUMPF.NET/DATA_PDM2/Stöbich/Aufträge.GEO</v>
          </cell>
        </row>
        <row r="715">
          <cell r="A715" t="str">
            <v>0711305</v>
          </cell>
          <cell r="B715" t="str">
            <v>"//shrzboost01/TRUMPF.NET/DATA_PDM2/Stöbich/Varianten/0711305.GMV"</v>
          </cell>
          <cell r="C715" t="str">
            <v>//shrzboost01/TRUMPF.NET/DATA_PDM2/Stöbich/Aufträge.GEO</v>
          </cell>
        </row>
        <row r="716">
          <cell r="A716" t="str">
            <v>0710145</v>
          </cell>
          <cell r="B716" t="str">
            <v>"//shrzboost01/TRUMPF.NET/DATA_PDM2/Stöbich/Varianten/0710145.GMV"</v>
          </cell>
          <cell r="C716" t="str">
            <v>//shrzboost01/TRUMPF.NET/DATA_PDM2/Stöbich/Aufträge.GEO</v>
          </cell>
        </row>
        <row r="717">
          <cell r="A717" t="str">
            <v>0710113</v>
          </cell>
          <cell r="B717" t="str">
            <v>"//shrzboost01/TRUMPF.NET/DATA_PDM2/Stöbich/Varianten/0710113.GMV"</v>
          </cell>
          <cell r="C717" t="str">
            <v>//shrzboost01/TRUMPF.NET/DATA_PDM2/Stöbich/Aufträge.GEO</v>
          </cell>
        </row>
        <row r="718">
          <cell r="A718" t="str">
            <v>0710104</v>
          </cell>
          <cell r="B718" t="str">
            <v>"//shrzboost01/TRUMPF.NET/DATA_PDM2/Stöbich/Varianten/0710104.GMV"</v>
          </cell>
          <cell r="C718" t="str">
            <v>//shrzboost01/TRUMPF.NET/DATA_PDM2/Stöbich/Aufträge.GEO</v>
          </cell>
        </row>
        <row r="719">
          <cell r="A719" t="str">
            <v>0710143</v>
          </cell>
          <cell r="B719" t="str">
            <v>"//shrzboost01/TRUMPF.NET/DATA_PDM2/Stöbich/Varianten/0710143.GMV"</v>
          </cell>
          <cell r="C719" t="str">
            <v>//shrzboost01/TRUMPF.NET/DATA_PDM2/Stöbich/Aufträge.GEO</v>
          </cell>
        </row>
        <row r="720">
          <cell r="A720" t="str">
            <v>0710144</v>
          </cell>
          <cell r="B720" t="str">
            <v>"//shrzboost01/TRUMPF.NET/DATA_PDM2/Stöbich/Varianten/0710144.GMV"</v>
          </cell>
          <cell r="C720" t="str">
            <v>//shrzboost01/TRUMPF.NET/DATA_PDM2/Stöbich/Aufträge.GEO</v>
          </cell>
        </row>
        <row r="721">
          <cell r="A721" t="str">
            <v>0713751</v>
          </cell>
          <cell r="B721" t="str">
            <v>"//shrzboost01/TRUMPF.NET/DATA_PDM2/Stöbich/Varianten/0713751.GMV"</v>
          </cell>
          <cell r="C721" t="str">
            <v>//shrzboost01/TRUMPF.NET/DATA_PDM2/Stöbich/Aufträge.GEO</v>
          </cell>
        </row>
        <row r="722">
          <cell r="A722" t="str">
            <v>0710111</v>
          </cell>
          <cell r="B722" t="str">
            <v>"//shrzboost01/TRUMPF.NET/DATA_PDM2/Stöbich/Varianten/0710111.GMV"</v>
          </cell>
          <cell r="C722" t="str">
            <v>//shrzboost01/TRUMPF.NET/DATA_PDM2/Stöbich/Aufträge.GEO</v>
          </cell>
        </row>
        <row r="723">
          <cell r="A723" t="str">
            <v>0710101</v>
          </cell>
          <cell r="B723" t="str">
            <v>"//shrzboost01/TRUMPF.NET/DATA_PDM2/Stöbich/Varianten/0710101.GMV"</v>
          </cell>
          <cell r="C723" t="str">
            <v>//shrzboost01/TRUMPF.NET/DATA_PDM2/Stöbich/Aufträge.GEO</v>
          </cell>
        </row>
        <row r="724">
          <cell r="A724" t="str">
            <v>0710112</v>
          </cell>
          <cell r="B724" t="str">
            <v>"//shrzboost01/TRUMPF.NET/DATA_PDM2/Stöbich/Varianten/0710112.GMV"</v>
          </cell>
          <cell r="C724" t="str">
            <v>//shrzboost01/TRUMPF.NET/DATA_PDM2/Stöbich/Aufträge.GEO</v>
          </cell>
        </row>
        <row r="725">
          <cell r="A725" t="str">
            <v>0710103</v>
          </cell>
          <cell r="B725" t="str">
            <v>"//shrzboost01/TRUMPF.NET/DATA_PDM2/Stöbich/Varianten/0710103.GMV"</v>
          </cell>
          <cell r="C725" t="str">
            <v>//shrzboost01/TRUMPF.NET/DATA_PDM2/Stöbich/Aufträge.GEO</v>
          </cell>
        </row>
        <row r="726">
          <cell r="A726" t="str">
            <v>0713276</v>
          </cell>
          <cell r="B726" t="str">
            <v>"//shrzboost01/TRUMPF.NET/DATA_PDM2/Stöbich/Varianten/0713276.GMV"</v>
          </cell>
          <cell r="C726" t="str">
            <v>//shrzboost01/TRUMPF.NET/DATA_PDM2/Stöbich/Aufträge.GEO</v>
          </cell>
        </row>
        <row r="727">
          <cell r="A727" t="str">
            <v>0713277</v>
          </cell>
          <cell r="B727" t="str">
            <v>"//shrzboost01/TRUMPF.NET/DATA_PDM2/Stöbich/Varianten/0713277.GMV"</v>
          </cell>
          <cell r="C727" t="str">
            <v>//shrzboost01/TRUMPF.NET/DATA_PDM2/Stöbich/Aufträge.GEO</v>
          </cell>
        </row>
        <row r="728">
          <cell r="A728" t="str">
            <v>0715647</v>
          </cell>
          <cell r="B728" t="str">
            <v>"//shrzboost01/TRUMPF.NET/DATA_PDM2/Stöbich/Varianten/0715647.GMV"</v>
          </cell>
          <cell r="C728" t="str">
            <v>//shrzboost01/TRUMPF.NET/DATA_PDM2/Stöbich/Aufträge.GEO</v>
          </cell>
        </row>
        <row r="729">
          <cell r="A729" t="str">
            <v>0715654</v>
          </cell>
          <cell r="B729" t="str">
            <v>"//shrzboost01/TRUMPF.NET/DATA_PDM2/Stöbich/Varianten/0715654.GMV"</v>
          </cell>
          <cell r="C729" t="str">
            <v>//shrzboost01/TRUMPF.NET/DATA_PDM2/Stöbich/Aufträge.GEO</v>
          </cell>
        </row>
        <row r="730">
          <cell r="A730" t="str">
            <v>0715655</v>
          </cell>
          <cell r="B730" t="str">
            <v>"//shrzboost01/TRUMPF.NET/DATA_PDM2/Stöbich/Varianten/0715655.GMV"</v>
          </cell>
          <cell r="C730" t="str">
            <v>//shrzboost01/TRUMPF.NET/DATA_PDM2/Stöbich/Aufträge.GEO</v>
          </cell>
        </row>
        <row r="731">
          <cell r="A731" t="str">
            <v>0710139</v>
          </cell>
          <cell r="B731" t="str">
            <v>"//shrzboost01/TRUMPF.NET/DATA_PDM2/Stöbich/Varianten/0710139.GMV"</v>
          </cell>
          <cell r="C731" t="str">
            <v>//shrzboost01/TRUMPF.NET/DATA_PDM2/Stöbich/Aufträge.GEO</v>
          </cell>
        </row>
        <row r="732">
          <cell r="A732" t="str">
            <v>0710155</v>
          </cell>
          <cell r="B732" t="str">
            <v>"//shrzboost01/TRUMPF.NET/DATA_PDM2/Stöbich/Varianten/0710155.GMV"</v>
          </cell>
          <cell r="C732" t="str">
            <v>//shrzboost01/TRUMPF.NET/DATA_PDM2/Stöbich/Aufträge.GEO</v>
          </cell>
        </row>
        <row r="733">
          <cell r="A733" t="str">
            <v>0710137</v>
          </cell>
          <cell r="B733" t="str">
            <v>"//shrzboost01/TRUMPF.NET/DATA_PDM2/Stöbich/Varianten/0710137.GMV"</v>
          </cell>
          <cell r="C733" t="str">
            <v>//shrzboost01/TRUMPF.NET/DATA_PDM2/Stöbich/Aufträge.GEO</v>
          </cell>
        </row>
        <row r="734">
          <cell r="A734" t="str">
            <v>0710138</v>
          </cell>
          <cell r="B734" t="str">
            <v>"//shrzboost01/TRUMPF.NET/DATA_PDM2/Stöbich/Varianten/0710138.GMV"</v>
          </cell>
          <cell r="C734" t="str">
            <v>//shrzboost01/TRUMPF.NET/DATA_PDM2/Stöbich/Aufträge.GEO</v>
          </cell>
        </row>
        <row r="735">
          <cell r="A735" t="str">
            <v>0713762</v>
          </cell>
          <cell r="B735" t="str">
            <v>"//shrzboost01/TRUMPF.NET/DATA_PDM2/Stöbich/Varianten/0713762.GMV"</v>
          </cell>
          <cell r="C735" t="str">
            <v>//shrzboost01/TRUMPF.NET/DATA_PDM2/Stöbich/Aufträge.GEO</v>
          </cell>
        </row>
        <row r="736">
          <cell r="A736" t="str">
            <v>0710151</v>
          </cell>
          <cell r="B736" t="str">
            <v>"//shrzboost01/TRUMPF.NET/DATA_PDM2/Stöbich/Varianten/0710151.GMV"</v>
          </cell>
          <cell r="C736" t="str">
            <v>//shrzboost01/TRUMPF.NET/DATA_PDM2/Stöbich/Aufträge.GEO</v>
          </cell>
        </row>
        <row r="737">
          <cell r="A737" t="str">
            <v>0710133</v>
          </cell>
          <cell r="B737" t="str">
            <v>"//shrzboost01/TRUMPF.NET/DATA_PDM2/Stöbich/Varianten/0710133.GMV"</v>
          </cell>
          <cell r="C737" t="str">
            <v>//shrzboost01/TRUMPF.NET/DATA_PDM2/Stöbich/Aufträge.GEO</v>
          </cell>
        </row>
        <row r="738">
          <cell r="A738" t="str">
            <v>0710149</v>
          </cell>
          <cell r="B738" t="str">
            <v>"//shrzboost01/TRUMPF.NET/DATA_PDM2/Stöbich/Varianten/0710149.GMV"</v>
          </cell>
          <cell r="C738" t="str">
            <v>//shrzboost01/TRUMPF.NET/DATA_PDM2/Stöbich/Aufträge.GEO</v>
          </cell>
        </row>
        <row r="739">
          <cell r="A739" t="str">
            <v>0710131</v>
          </cell>
          <cell r="B739" t="str">
            <v>"//shrzboost01/TRUMPF.NET/DATA_PDM2/Stöbich/Varianten/0710131.GMV"</v>
          </cell>
          <cell r="C739" t="str">
            <v>//shrzboost01/TRUMPF.NET/DATA_PDM2/Stöbich/Aufträge.GEO</v>
          </cell>
        </row>
        <row r="740">
          <cell r="A740" t="str">
            <v>0710150</v>
          </cell>
          <cell r="B740" t="str">
            <v>"//shrzboost01/TRUMPF.NET/DATA_PDM2/Stöbich/Varianten/0710150.GMV"</v>
          </cell>
          <cell r="C740" t="str">
            <v>//shrzboost01/TRUMPF.NET/DATA_PDM2/Stöbich/Aufträge.GEO</v>
          </cell>
        </row>
        <row r="741">
          <cell r="A741" t="str">
            <v>0710132</v>
          </cell>
          <cell r="B741" t="str">
            <v>"//shrzboost01/TRUMPF.NET/DATA_PDM2/Stöbich/Varianten/0710132.GMV"</v>
          </cell>
          <cell r="C741" t="str">
            <v>//shrzboost01/TRUMPF.NET/DATA_PDM2/Stöbich/Aufträge.GEO</v>
          </cell>
        </row>
        <row r="742">
          <cell r="A742" t="str">
            <v>0713760</v>
          </cell>
          <cell r="B742" t="str">
            <v>"//shrzboost01/TRUMPF.NET/DATA_PDM2/Stöbich/Varianten/0713760.GMV"</v>
          </cell>
          <cell r="C742" t="str">
            <v>//shrzboost01/TRUMPF.NET/DATA_PDM2/Stöbich/Aufträge.GEO</v>
          </cell>
        </row>
        <row r="743">
          <cell r="A743" t="str">
            <v>0713907</v>
          </cell>
          <cell r="B743" t="str">
            <v>"//shrzboost01/TRUMPF.NET/DATA_PDM2/Stöbich/Varianten/0713907.GMV"</v>
          </cell>
          <cell r="C743" t="str">
            <v>//shrzboost01/TRUMPF.NET/DATA_PDM2/Stöbich/Aufträge.GEO</v>
          </cell>
        </row>
        <row r="744">
          <cell r="A744"/>
          <cell r="B744" t="str">
            <v>"//shrzboost01/TRUMPF.NET/DATA_PDM2/Stöbich/Varianten/.GMV"</v>
          </cell>
          <cell r="C744" t="str">
            <v>//shrzboost01/TRUMPF.NET/DATA_PDM2/Stöbich/Aufträge.GEO</v>
          </cell>
        </row>
        <row r="745">
          <cell r="A745" t="str">
            <v>0712678</v>
          </cell>
          <cell r="B745" t="str">
            <v>"//shrzboost01/TRUMPF.NET/DATA_PDM2/Stöbich/Varianten/0712678.GMV"</v>
          </cell>
          <cell r="C745" t="str">
            <v>//shrzboost01/TRUMPF.NET/DATA_PDM2/Stöbich/Aufträge.GEO</v>
          </cell>
        </row>
        <row r="746">
          <cell r="A746" t="str">
            <v>0712679</v>
          </cell>
          <cell r="B746" t="str">
            <v>"//shrzboost01/TRUMPF.NET/DATA_PDM2/Stöbich/Varianten/0712679.GMV"</v>
          </cell>
          <cell r="C746" t="str">
            <v>//shrzboost01/TRUMPF.NET/DATA_PDM2/Stöbich/Aufträge.GEO</v>
          </cell>
        </row>
        <row r="747">
          <cell r="A747" t="str">
            <v>0712680</v>
          </cell>
          <cell r="B747" t="str">
            <v>"//shrzboost01/TRUMPF.NET/DATA_PDM2/Stöbich/Varianten/0712680.GMV"</v>
          </cell>
          <cell r="C747" t="str">
            <v>//shrzboost01/TRUMPF.NET/DATA_PDM2/Stöbich/Aufträge.GEO</v>
          </cell>
        </row>
        <row r="748">
          <cell r="A748" t="str">
            <v>0712682</v>
          </cell>
          <cell r="B748" t="str">
            <v>"//shrzboost01/TRUMPF.NET/DATA_PDM2/Stöbich/Varianten/0712682.GMV"</v>
          </cell>
          <cell r="C748" t="str">
            <v>//shrzboost01/TRUMPF.NET/DATA_PDM2/Stöbich/Aufträge.GEO</v>
          </cell>
        </row>
        <row r="749">
          <cell r="A749" t="str">
            <v>0712683</v>
          </cell>
          <cell r="B749" t="str">
            <v>"//shrzboost01/TRUMPF.NET/DATA_PDM2/Stöbich/Varianten/0712683.GMV"</v>
          </cell>
          <cell r="C749" t="str">
            <v>//shrzboost01/TRUMPF.NET/DATA_PDM2/Stöbich/Aufträge.GEO</v>
          </cell>
        </row>
        <row r="750">
          <cell r="A750" t="str">
            <v>0712684</v>
          </cell>
          <cell r="B750" t="str">
            <v>"//shrzboost01/TRUMPF.NET/DATA_PDM2/Stöbich/Varianten/0712684.GMV"</v>
          </cell>
          <cell r="C750" t="str">
            <v>//shrzboost01/TRUMPF.NET/DATA_PDM2/Stöbich/Aufträge.GEO</v>
          </cell>
        </row>
        <row r="751">
          <cell r="A751" t="str">
            <v>0712686</v>
          </cell>
          <cell r="B751" t="str">
            <v>"//shrzboost01/TRUMPF.NET/DATA_PDM2/Stöbich/Varianten/0712686.GMV"</v>
          </cell>
          <cell r="C751" t="str">
            <v>//shrzboost01/TRUMPF.NET/DATA_PDM2/Stöbich/Aufträge.GEO</v>
          </cell>
        </row>
        <row r="752">
          <cell r="A752" t="str">
            <v>0712687</v>
          </cell>
          <cell r="B752" t="str">
            <v>"//shrzboost01/TRUMPF.NET/DATA_PDM2/Stöbich/Varianten/0712687.GMV"</v>
          </cell>
          <cell r="C752" t="str">
            <v>//shrzboost01/TRUMPF.NET/DATA_PDM2/Stöbich/Aufträge.GEO</v>
          </cell>
        </row>
        <row r="753">
          <cell r="A753" t="str">
            <v>0712688</v>
          </cell>
          <cell r="B753" t="str">
            <v>"//shrzboost01/TRUMPF.NET/DATA_PDM2/Stöbich/Varianten/0712688.GMV"</v>
          </cell>
          <cell r="C753" t="str">
            <v>//shrzboost01/TRUMPF.NET/DATA_PDM2/Stöbich/Aufträge.GEO</v>
          </cell>
        </row>
        <row r="754">
          <cell r="A754"/>
          <cell r="B754" t="str">
            <v>"//shrzboost01/TRUMPF.NET/DATA_PDM2/Stöbich/Varianten/.GMV"</v>
          </cell>
          <cell r="C754" t="str">
            <v>//shrzboost01/TRUMPF.NET/DATA_PDM2/Stöbich/Aufträge.GEO</v>
          </cell>
        </row>
        <row r="755">
          <cell r="A755"/>
          <cell r="B755" t="str">
            <v>"//shrzboost01/TRUMPF.NET/DATA_PDM2/Stöbich/Varianten/.GMV"</v>
          </cell>
          <cell r="C755" t="str">
            <v>//shrzboost01/TRUMPF.NET/DATA_PDM2/Stöbich/Aufträge.GEO</v>
          </cell>
        </row>
        <row r="756">
          <cell r="A756" t="str">
            <v>0714057</v>
          </cell>
          <cell r="B756" t="str">
            <v>"//shrzboost01/TRUMPF.NET/DATA_PDM2/Stöbich/Varianten/0714057.GMV"</v>
          </cell>
          <cell r="C756" t="str">
            <v>//shrzboost01/TRUMPF.NET/DATA_PDM2/Stöbich/Aufträge.GEO</v>
          </cell>
        </row>
        <row r="757">
          <cell r="A757" t="str">
            <v>0714058</v>
          </cell>
          <cell r="B757" t="str">
            <v>"//shrzboost01/TRUMPF.NET/DATA_PDM2/Stöbich/Varianten/0714058.GMV"</v>
          </cell>
          <cell r="C757" t="str">
            <v>//shrzboost01/TRUMPF.NET/DATA_PDM2/Stöbich/Aufträge.GEO</v>
          </cell>
        </row>
        <row r="758">
          <cell r="A758"/>
          <cell r="B758" t="str">
            <v>"//shrzboost01/TRUMPF.NET/DATA_PDM2/Stöbich/Varianten/.GMV"</v>
          </cell>
          <cell r="C758" t="str">
            <v>//shrzboost01/TRUMPF.NET/DATA_PDM2/Stöbich/Aufträge.GEO</v>
          </cell>
        </row>
        <row r="759">
          <cell r="A759" t="str">
            <v>0714264</v>
          </cell>
          <cell r="B759" t="str">
            <v>"//shrzboost01/TRUMPF.NET/DATA_PDM2/Stöbich/Varianten/0714264.GMV"</v>
          </cell>
          <cell r="C759" t="str">
            <v>//shrzboost01/TRUMPF.NET/DATA_PDM2/Stöbich/Aufträge.GEO</v>
          </cell>
        </row>
        <row r="760">
          <cell r="A760" t="str">
            <v>0714263</v>
          </cell>
          <cell r="B760" t="str">
            <v>"//shrzboost01/TRUMPF.NET/DATA_PDM2/Stöbich/Varianten/0714263.GMV"</v>
          </cell>
          <cell r="C760" t="str">
            <v>//shrzboost01/TRUMPF.NET/DATA_PDM2/Stöbich/Aufträge.GEO</v>
          </cell>
        </row>
        <row r="761">
          <cell r="A761" t="str">
            <v>0714262</v>
          </cell>
          <cell r="B761" t="str">
            <v>"//shrzboost01/TRUMPF.NET/DATA_PDM2/Stöbich/Varianten/0714262.GMV"</v>
          </cell>
          <cell r="C761" t="str">
            <v>//shrzboost01/TRUMPF.NET/DATA_PDM2/Stöbich/Aufträge.GEO</v>
          </cell>
        </row>
        <row r="762">
          <cell r="A762" t="str">
            <v>0714331</v>
          </cell>
          <cell r="B762" t="str">
            <v>"//shrzboost01/TRUMPF.NET/DATA_PDM2/Stöbich/Varianten/0714331.GMV"</v>
          </cell>
          <cell r="C762" t="str">
            <v>//shrzboost01/TRUMPF.NET/DATA_PDM2/Stöbich/Aufträge.GEO</v>
          </cell>
        </row>
        <row r="763">
          <cell r="A763" t="str">
            <v>0714257</v>
          </cell>
          <cell r="B763" t="str">
            <v>"//shrzboost01/TRUMPF.NET/DATA_PDM2/Stöbich/Varianten/0714257.GMV"</v>
          </cell>
          <cell r="C763" t="str">
            <v>//shrzboost01/TRUMPF.NET/DATA_PDM2/Stöbich/Aufträge.GEO</v>
          </cell>
        </row>
        <row r="764">
          <cell r="A764" t="str">
            <v>0714260</v>
          </cell>
          <cell r="B764" t="str">
            <v>"//shrzboost01/TRUMPF.NET/DATA_PDM2/Stöbich/Varianten/0714260.GMV"</v>
          </cell>
          <cell r="C764" t="str">
            <v>//shrzboost01/TRUMPF.NET/DATA_PDM2/Stöbich/Aufträge.GEO</v>
          </cell>
        </row>
        <row r="765">
          <cell r="A765" t="str">
            <v>0714261</v>
          </cell>
          <cell r="B765" t="str">
            <v>"//shrzboost01/TRUMPF.NET/DATA_PDM2/Stöbich/Varianten/0714261.GMV"</v>
          </cell>
          <cell r="C765" t="str">
            <v>//shrzboost01/TRUMPF.NET/DATA_PDM2/Stöbich/Aufträge.GEO</v>
          </cell>
        </row>
        <row r="766">
          <cell r="A766" t="str">
            <v>0714332</v>
          </cell>
          <cell r="B766" t="str">
            <v>"//shrzboost01/TRUMPF.NET/DATA_PDM2/Stöbich/Varianten/0714332.GMV"</v>
          </cell>
          <cell r="C766" t="str">
            <v>//shrzboost01/TRUMPF.NET/DATA_PDM2/Stöbich/Aufträge.GEO</v>
          </cell>
        </row>
        <row r="767">
          <cell r="A767" t="str">
            <v>0714387</v>
          </cell>
          <cell r="B767" t="str">
            <v>"//shrzboost01/TRUMPF.NET/DATA_PDM2/Stöbich/Varianten/0714387.GMV"</v>
          </cell>
          <cell r="C767" t="str">
            <v>//shrzboost01/TRUMPF.NET/DATA_PDM2/Stöbich/Aufträge.GEO</v>
          </cell>
        </row>
        <row r="768">
          <cell r="A768" t="str">
            <v>0714266</v>
          </cell>
          <cell r="B768" t="str">
            <v>"//shrzboost01/TRUMPF.NET/DATA_PDM2/Stöbich/Varianten/0714266.GMV"</v>
          </cell>
          <cell r="C768" t="str">
            <v>//shrzboost01/TRUMPF.NET/DATA_PDM2/Stöbich/Aufträge.GEO</v>
          </cell>
        </row>
        <row r="769">
          <cell r="A769" t="str">
            <v>0714392</v>
          </cell>
          <cell r="B769" t="str">
            <v>"//shrzboost01/TRUMPF.NET/DATA_PDM2/Stöbich/Varianten/0714392.GMV"</v>
          </cell>
          <cell r="C769" t="str">
            <v>//shrzboost01/TRUMPF.NET/DATA_PDM2/Stöbich/Aufträge.GEO</v>
          </cell>
        </row>
        <row r="770">
          <cell r="A770" t="str">
            <v>0714265</v>
          </cell>
          <cell r="B770" t="str">
            <v>"//shrzboost01/TRUMPF.NET/DATA_PDM2/Stöbich/Varianten/0714265.GMV"</v>
          </cell>
          <cell r="C770" t="str">
            <v>//shrzboost01/TRUMPF.NET/DATA_PDM2/Stöbich/Aufträge.GEO</v>
          </cell>
        </row>
        <row r="771">
          <cell r="A771" t="str">
            <v>0714267</v>
          </cell>
          <cell r="B771" t="str">
            <v>"//shrzboost01/TRUMPF.NET/DATA_PDM2/Stöbich/Varianten/0714267.GMV"</v>
          </cell>
          <cell r="C771" t="str">
            <v>//shrzboost01/TRUMPF.NET/DATA_PDM2/Stöbich/Aufträge.GEO</v>
          </cell>
        </row>
        <row r="772">
          <cell r="A772" t="str">
            <v>0714333</v>
          </cell>
          <cell r="B772" t="str">
            <v>"//shrzboost01/TRUMPF.NET/DATA_PDM2/Stöbich/Varianten/0714333.GMV"</v>
          </cell>
          <cell r="C772" t="str">
            <v>//shrzboost01/TRUMPF.NET/DATA_PDM2/Stöbich/Aufträge.GEO</v>
          </cell>
        </row>
        <row r="773">
          <cell r="A773" t="str">
            <v>0714270</v>
          </cell>
          <cell r="B773" t="str">
            <v>"//shrzboost01/TRUMPF.NET/DATA_PDM2/Stöbich/Varianten/0714270.GMV"</v>
          </cell>
          <cell r="C773" t="str">
            <v>//shrzboost01/TRUMPF.NET/DATA_PDM2/Stöbich/Aufträge.GEO</v>
          </cell>
        </row>
        <row r="774">
          <cell r="A774" t="str">
            <v>0714269</v>
          </cell>
          <cell r="B774" t="str">
            <v>"//shrzboost01/TRUMPF.NET/DATA_PDM2/Stöbich/Varianten/0714269.GMV"</v>
          </cell>
          <cell r="C774" t="str">
            <v>//shrzboost01/TRUMPF.NET/DATA_PDM2/Stöbich/Aufträge.GEO</v>
          </cell>
        </row>
        <row r="775">
          <cell r="A775" t="str">
            <v>0714268</v>
          </cell>
          <cell r="B775" t="str">
            <v>"//shrzboost01/TRUMPF.NET/DATA_PDM2/Stöbich/Varianten/0714268.GMV"</v>
          </cell>
          <cell r="C775" t="str">
            <v>//shrzboost01/TRUMPF.NET/DATA_PDM2/Stöbich/Aufträge.GEO</v>
          </cell>
        </row>
        <row r="776">
          <cell r="A776"/>
          <cell r="B776" t="str">
            <v>"//shrzboost01/TRUMPF.NET/DATA_PDM2/Stöbich/Varianten/.GMV"</v>
          </cell>
          <cell r="C776" t="str">
            <v>//shrzboost01/TRUMPF.NET/DATA_PDM2/Stöbich/Aufträge.GEO</v>
          </cell>
        </row>
        <row r="777">
          <cell r="A777" t="str">
            <v>0714306</v>
          </cell>
          <cell r="B777" t="str">
            <v>"//shrzboost01/TRUMPF.NET/DATA_PDM2/Stöbich/Varianten/0714306.GMV"</v>
          </cell>
          <cell r="C777" t="str">
            <v>//shrzboost01/TRUMPF.NET/DATA_PDM2/Stöbich/Aufträge.GEO</v>
          </cell>
        </row>
        <row r="778">
          <cell r="A778" t="str">
            <v>0714307</v>
          </cell>
          <cell r="B778" t="str">
            <v>"//shrzboost01/TRUMPF.NET/DATA_PDM2/Stöbich/Varianten/0714307.GMV"</v>
          </cell>
          <cell r="C778" t="str">
            <v>//shrzboost01/TRUMPF.NET/DATA_PDM2/Stöbich/Aufträge.GEO</v>
          </cell>
        </row>
        <row r="779">
          <cell r="A779" t="str">
            <v>0714308</v>
          </cell>
          <cell r="B779" t="str">
            <v>"//shrzboost01/TRUMPF.NET/DATA_PDM2/Stöbich/Varianten/0714308.GMV"</v>
          </cell>
          <cell r="C779" t="str">
            <v>//shrzboost01/TRUMPF.NET/DATA_PDM2/Stöbich/Aufträge.GEO</v>
          </cell>
        </row>
        <row r="780">
          <cell r="A780" t="str">
            <v>0718242</v>
          </cell>
          <cell r="B780" t="str">
            <v>"//shrzboost01/TRUMPF.NET/DATA_PDM2/Stöbich/Varianten/0718242.GMV"</v>
          </cell>
          <cell r="C780" t="str">
            <v>//shrzboost01/TRUMPF.NET/DATA_PDM2/Stöbich/Aufträge.GEO</v>
          </cell>
        </row>
        <row r="781">
          <cell r="A781" t="str">
            <v>0714312</v>
          </cell>
          <cell r="B781" t="str">
            <v>"//shrzboost01/TRUMPF.NET/DATA_PDM2/Stöbich/Varianten/0714312.GMV"</v>
          </cell>
          <cell r="C781" t="str">
            <v>//shrzboost01/TRUMPF.NET/DATA_PDM2/Stöbich/Aufträge.GEO</v>
          </cell>
        </row>
        <row r="782">
          <cell r="A782" t="str">
            <v>0718243</v>
          </cell>
          <cell r="B782" t="str">
            <v>"//shrzboost01/TRUMPF.NET/DATA_PDM2/Stöbich/Varianten/0718243.GMV"</v>
          </cell>
          <cell r="C782" t="str">
            <v>//shrzboost01/TRUMPF.NET/DATA_PDM2/Stöbich/Aufträge.GEO</v>
          </cell>
        </row>
        <row r="783">
          <cell r="A783" t="str">
            <v>0714316</v>
          </cell>
          <cell r="B783" t="str">
            <v>"//shrzboost01/TRUMPF.NET/DATA_PDM2/Stöbich/Varianten/0714316.GMV"</v>
          </cell>
          <cell r="C783" t="str">
            <v>//shrzboost01/TRUMPF.NET/DATA_PDM2/Stöbich/Aufträge.GEO</v>
          </cell>
        </row>
        <row r="784">
          <cell r="A784" t="str">
            <v>0714741</v>
          </cell>
          <cell r="B784" t="str">
            <v>"//shrzboost01/TRUMPF.NET/DATA_PDM2/Stöbich/Varianten/0714741.GMV"</v>
          </cell>
          <cell r="C784" t="str">
            <v>//shrzboost01/TRUMPF.NET/DATA_PDM2/Stöbich/Aufträge.GEO</v>
          </cell>
        </row>
        <row r="785">
          <cell r="A785" t="str">
            <v>0714318</v>
          </cell>
          <cell r="B785" t="str">
            <v>"//shrzboost01/TRUMPF.NET/DATA_PDM2/Stöbich/Varianten/0714318.GMV"</v>
          </cell>
          <cell r="C785" t="str">
            <v>//shrzboost01/TRUMPF.NET/DATA_PDM2/Stöbich/Aufträge.GEO</v>
          </cell>
        </row>
        <row r="786">
          <cell r="A786" t="str">
            <v>0714743</v>
          </cell>
          <cell r="B786" t="str">
            <v>"//shrzboost01/TRUMPF.NET/DATA_PDM2/Stöbich/Varianten/0714743.GMV"</v>
          </cell>
          <cell r="C786" t="str">
            <v>//shrzboost01/TRUMPF.NET/DATA_PDM2/Stöbich/Aufträge.GEO</v>
          </cell>
        </row>
        <row r="787">
          <cell r="A787" t="str">
            <v>0714323</v>
          </cell>
          <cell r="B787" t="str">
            <v>"//shrzboost01/TRUMPF.NET/DATA_PDM2/Stöbich/Varianten/0714323.GMV"</v>
          </cell>
          <cell r="C787" t="str">
            <v>//shrzboost01/TRUMPF.NET/DATA_PDM2/Stöbich/Aufträge.GEO</v>
          </cell>
        </row>
        <row r="788">
          <cell r="A788" t="str">
            <v>0714326</v>
          </cell>
          <cell r="B788" t="str">
            <v>"//shrzboost01/TRUMPF.NET/DATA_PDM2/Stöbich/Varianten/0714326.GMV"</v>
          </cell>
          <cell r="C788" t="str">
            <v>//shrzboost01/TRUMPF.NET/DATA_PDM2/Stöbich/Aufträge.GEO</v>
          </cell>
        </row>
        <row r="789">
          <cell r="A789" t="str">
            <v>0714327</v>
          </cell>
          <cell r="B789" t="str">
            <v>"//shrzboost01/TRUMPF.NET/DATA_PDM2/Stöbich/Varianten/0714327.GMV"</v>
          </cell>
          <cell r="C789" t="str">
            <v>//shrzboost01/TRUMPF.NET/DATA_PDM2/Stöbich/Aufträge.GEO</v>
          </cell>
        </row>
        <row r="790">
          <cell r="A790" t="str">
            <v>0714328</v>
          </cell>
          <cell r="B790" t="str">
            <v>"//shrzboost01/TRUMPF.NET/DATA_PDM2/Stöbich/Varianten/0714328.GMV"</v>
          </cell>
          <cell r="C790" t="str">
            <v>//shrzboost01/TRUMPF.NET/DATA_PDM2/Stöbich/Aufträge.GEO</v>
          </cell>
        </row>
        <row r="791">
          <cell r="A791" t="str">
            <v>0714329</v>
          </cell>
          <cell r="B791" t="str">
            <v>"//shrzboost01/TRUMPF.NET/DATA_PDM2/Stöbich/Varianten/0714329.GMV"</v>
          </cell>
          <cell r="C791" t="str">
            <v>//shrzboost01/TRUMPF.NET/DATA_PDM2/Stöbich/Aufträge.GEO</v>
          </cell>
        </row>
        <row r="792">
          <cell r="A792" t="str">
            <v>0714330</v>
          </cell>
          <cell r="B792" t="str">
            <v>"//shrzboost01/TRUMPF.NET/DATA_PDM2/Stöbich/Varianten/0714330.GMV"</v>
          </cell>
          <cell r="C792" t="str">
            <v>//shrzboost01/TRUMPF.NET/DATA_PDM2/Stöbich/Aufträge.GEO</v>
          </cell>
        </row>
        <row r="793">
          <cell r="A793" t="str">
            <v>0714335</v>
          </cell>
          <cell r="B793" t="str">
            <v>"//shrzboost01/TRUMPF.NET/DATA_PDM2/Stöbich/Varianten/0714335.GMV"</v>
          </cell>
          <cell r="C793" t="str">
            <v>//shrzboost01/TRUMPF.NET/DATA_PDM2/Stöbich/Aufträge.GEO</v>
          </cell>
        </row>
        <row r="794">
          <cell r="A794" t="str">
            <v>0714336</v>
          </cell>
          <cell r="B794" t="str">
            <v>"//shrzboost01/TRUMPF.NET/DATA_PDM2/Stöbich/Varianten/0714336.GMV"</v>
          </cell>
          <cell r="C794" t="str">
            <v>//shrzboost01/TRUMPF.NET/DATA_PDM2/Stöbich/Aufträge.GEO</v>
          </cell>
        </row>
        <row r="795">
          <cell r="A795" t="str">
            <v>0714337</v>
          </cell>
          <cell r="B795" t="str">
            <v>"//shrzboost01/TRUMPF.NET/DATA_PDM2/Stöbich/Varianten/0714337.GMV"</v>
          </cell>
          <cell r="C795" t="str">
            <v>//shrzboost01/TRUMPF.NET/DATA_PDM2/Stöbich/Aufträge.GEO</v>
          </cell>
        </row>
        <row r="796">
          <cell r="A796" t="str">
            <v>0714338</v>
          </cell>
          <cell r="B796" t="str">
            <v>"//shrzboost01/TRUMPF.NET/DATA_PDM2/Stöbich/Varianten/0714338.GMV"</v>
          </cell>
          <cell r="C796" t="str">
            <v>//shrzboost01/TRUMPF.NET/DATA_PDM2/Stöbich/Aufträge.GEO</v>
          </cell>
        </row>
        <row r="797">
          <cell r="A797" t="str">
            <v>0714339</v>
          </cell>
          <cell r="B797" t="str">
            <v>"//shrzboost01/TRUMPF.NET/DATA_PDM2/Stöbich/Varianten/0714339.GMV"</v>
          </cell>
          <cell r="C797" t="str">
            <v>//shrzboost01/TRUMPF.NET/DATA_PDM2/Stöbich/Aufträge.GEO</v>
          </cell>
        </row>
        <row r="798">
          <cell r="A798" t="str">
            <v>0714340</v>
          </cell>
          <cell r="B798" t="str">
            <v>"//shrzboost01/TRUMPF.NET/DATA_PDM2/Stöbich/Varianten/0714340.GMV"</v>
          </cell>
          <cell r="C798" t="str">
            <v>//shrzboost01/TRUMPF.NET/DATA_PDM2/Stöbich/Aufträge.GEO</v>
          </cell>
        </row>
        <row r="799">
          <cell r="A799" t="str">
            <v>0714341</v>
          </cell>
          <cell r="B799" t="str">
            <v>"//shrzboost01/TRUMPF.NET/DATA_PDM2/Stöbich/Varianten/0714341.GMV"</v>
          </cell>
          <cell r="C799" t="str">
            <v>//shrzboost01/TRUMPF.NET/DATA_PDM2/Stöbich/Aufträge.GEO</v>
          </cell>
        </row>
        <row r="800">
          <cell r="A800" t="str">
            <v>0714747</v>
          </cell>
          <cell r="B800" t="str">
            <v>"//shrzboost01/TRUMPF.NET/DATA_PDM2/Stöbich/Varianten/0714747.GMV"</v>
          </cell>
          <cell r="C800" t="str">
            <v>//shrzboost01/TRUMPF.NET/DATA_PDM2/Stöbich/Aufträge.GEO</v>
          </cell>
        </row>
        <row r="801">
          <cell r="A801" t="str">
            <v>0714344</v>
          </cell>
          <cell r="B801" t="str">
            <v>"//shrzboost01/TRUMPF.NET/DATA_PDM2/Stöbich/Varianten/0714344.GMV"</v>
          </cell>
          <cell r="C801" t="str">
            <v>//shrzboost01/TRUMPF.NET/DATA_PDM2/Stöbich/Aufträge.GEO</v>
          </cell>
        </row>
        <row r="802">
          <cell r="A802" t="str">
            <v>0714749</v>
          </cell>
          <cell r="B802" t="str">
            <v>"//shrzboost01/TRUMPF.NET/DATA_PDM2/Stöbich/Varianten/0714749.GMV"</v>
          </cell>
          <cell r="C802" t="str">
            <v>//shrzboost01/TRUMPF.NET/DATA_PDM2/Stöbich/Aufträge.GEO</v>
          </cell>
        </row>
        <row r="803">
          <cell r="A803"/>
          <cell r="B803" t="str">
            <v>"//shrzboost01/TRUMPF.NET/DATA_PDM2/Stöbich/Varianten/.GMV"</v>
          </cell>
          <cell r="C803" t="str">
            <v>//shrzboost01/TRUMPF.NET/DATA_PDM2/Stöbich/Aufträge.GEO</v>
          </cell>
        </row>
        <row r="804">
          <cell r="A804" t="str">
            <v>0714353</v>
          </cell>
          <cell r="B804" t="str">
            <v>"//shrzboost01/TRUMPF.NET/DATA_PDM2/Stöbich/Varianten/0714353.GMV"</v>
          </cell>
          <cell r="C804" t="str">
            <v>//shrzboost01/TRUMPF.NET/DATA_PDM2/Stöbich/Aufträge.GEO</v>
          </cell>
        </row>
        <row r="805">
          <cell r="A805" t="str">
            <v>0714354</v>
          </cell>
          <cell r="B805" t="str">
            <v>"//shrzboost01/TRUMPF.NET/DATA_PDM2/Stöbich/Varianten/0714354.GMV"</v>
          </cell>
          <cell r="C805" t="str">
            <v>//shrzboost01/TRUMPF.NET/DATA_PDM2/Stöbich/Aufträge.GEO</v>
          </cell>
        </row>
        <row r="806">
          <cell r="A806" t="str">
            <v>0714355</v>
          </cell>
          <cell r="B806" t="str">
            <v>"//shrzboost01/TRUMPF.NET/DATA_PDM2/Stöbich/Varianten/0714355.GMV"</v>
          </cell>
          <cell r="C806" t="str">
            <v>//shrzboost01/TRUMPF.NET/DATA_PDM2/Stöbich/Aufträge.GEO</v>
          </cell>
        </row>
        <row r="807">
          <cell r="A807" t="str">
            <v>0714356</v>
          </cell>
          <cell r="B807" t="str">
            <v>"//shrzboost01/TRUMPF.NET/DATA_PDM2/Stöbich/Varianten/0714356.GMV"</v>
          </cell>
          <cell r="C807" t="str">
            <v>//shrzboost01/TRUMPF.NET/DATA_PDM2/Stöbich/Aufträge.GEO</v>
          </cell>
        </row>
        <row r="808">
          <cell r="A808" t="str">
            <v>0714357</v>
          </cell>
          <cell r="B808" t="str">
            <v>"//shrzboost01/TRUMPF.NET/DATA_PDM2/Stöbich/Varianten/0714357.GMV"</v>
          </cell>
          <cell r="C808" t="str">
            <v>//shrzboost01/TRUMPF.NET/DATA_PDM2/Stöbich/Aufträge.GEO</v>
          </cell>
        </row>
        <row r="809">
          <cell r="A809"/>
          <cell r="B809" t="str">
            <v>"//shrzboost01/TRUMPF.NET/DATA_PDM2/Stöbich/Varianten/.GMV"</v>
          </cell>
          <cell r="C809" t="str">
            <v>//shrzboost01/TRUMPF.NET/DATA_PDM2/Stöbich/Aufträge.GEO</v>
          </cell>
        </row>
        <row r="810">
          <cell r="A810"/>
          <cell r="B810" t="str">
            <v>"//shrzboost01/TRUMPF.NET/DATA_PDM2/Stöbich/Varianten/.GMV"</v>
          </cell>
          <cell r="C810" t="str">
            <v>//shrzboost01/TRUMPF.NET/DATA_PDM2/Stöbich/Aufträge.GEO</v>
          </cell>
        </row>
        <row r="811">
          <cell r="A811" t="str">
            <v>0714378</v>
          </cell>
          <cell r="B811" t="str">
            <v>"//shrzboost01/TRUMPF.NET/DATA_PDM2/Stöbich/Varianten/0714378.GMV"</v>
          </cell>
          <cell r="C811" t="str">
            <v>//shrzboost01/TRUMPF.NET/DATA_PDM2/Stöbich/Aufträge.GEO</v>
          </cell>
        </row>
        <row r="812">
          <cell r="A812" t="str">
            <v>0714379</v>
          </cell>
          <cell r="B812" t="str">
            <v>"//shrzboost01/TRUMPF.NET/DATA_PDM2/Stöbich/Varianten/0714379.GMV"</v>
          </cell>
          <cell r="C812" t="str">
            <v>//shrzboost01/TRUMPF.NET/DATA_PDM2/Stöbich/Aufträge.GEO</v>
          </cell>
        </row>
        <row r="813">
          <cell r="A813" t="str">
            <v>0714380</v>
          </cell>
          <cell r="B813" t="str">
            <v>"//shrzboost01/TRUMPF.NET/DATA_PDM2/Stöbich/Varianten/0714380.GMV"</v>
          </cell>
          <cell r="C813" t="str">
            <v>//shrzboost01/TRUMPF.NET/DATA_PDM2/Stöbich/Aufträge.GEO</v>
          </cell>
        </row>
        <row r="814">
          <cell r="A814" t="str">
            <v>0714394</v>
          </cell>
          <cell r="B814" t="str">
            <v>"//shrzboost01/TRUMPF.NET/DATA_PDM2/Stöbich/Varianten/0714394.GMV"</v>
          </cell>
          <cell r="C814" t="str">
            <v>//shrzboost01/TRUMPF.NET/DATA_PDM2/Stöbich/Aufträge.GEO</v>
          </cell>
        </row>
        <row r="815">
          <cell r="A815" t="str">
            <v>0714395</v>
          </cell>
          <cell r="B815" t="str">
            <v>"//shrzboost01/TRUMPF.NET/DATA_PDM2/Stöbich/Varianten/0714395.GMV"</v>
          </cell>
          <cell r="C815" t="str">
            <v>//shrzboost01/TRUMPF.NET/DATA_PDM2/Stöbich/Aufträge.GEO</v>
          </cell>
        </row>
        <row r="816">
          <cell r="A816" t="str">
            <v>0714397</v>
          </cell>
          <cell r="B816" t="str">
            <v>"//shrzboost01/TRUMPF.NET/DATA_PDM2/Stöbich/Varianten/0714397.GMV"</v>
          </cell>
          <cell r="C816" t="str">
            <v>//shrzboost01/TRUMPF.NET/DATA_PDM2/Stöbich/Aufträge.GEO</v>
          </cell>
        </row>
        <row r="817">
          <cell r="A817" t="str">
            <v>0714398</v>
          </cell>
          <cell r="B817" t="str">
            <v>"//shrzboost01/TRUMPF.NET/DATA_PDM2/Stöbich/Varianten/0714398.GMV"</v>
          </cell>
          <cell r="C817" t="str">
            <v>//shrzboost01/TRUMPF.NET/DATA_PDM2/Stöbich/Aufträge.GEO</v>
          </cell>
        </row>
        <row r="818">
          <cell r="A818" t="str">
            <v>0714399</v>
          </cell>
          <cell r="B818" t="str">
            <v>"//shrzboost01/TRUMPF.NET/DATA_PDM2/Stöbich/Varianten/0714399.GMV"</v>
          </cell>
          <cell r="C818" t="str">
            <v>//shrzboost01/TRUMPF.NET/DATA_PDM2/Stöbich/Aufträge.GEO</v>
          </cell>
        </row>
        <row r="819">
          <cell r="A819" t="str">
            <v>0714400</v>
          </cell>
          <cell r="B819" t="str">
            <v>"//shrzboost01/TRUMPF.NET/DATA_PDM2/Stöbich/Varianten/0714400.GMV"</v>
          </cell>
          <cell r="C819" t="str">
            <v>//shrzboost01/TRUMPF.NET/DATA_PDM2/Stöbich/Aufträge.GEO</v>
          </cell>
        </row>
        <row r="820">
          <cell r="A820" t="str">
            <v>0714401</v>
          </cell>
          <cell r="B820" t="str">
            <v>"//shrzboost01/TRUMPF.NET/DATA_PDM2/Stöbich/Varianten/0714401.GMV"</v>
          </cell>
          <cell r="C820" t="str">
            <v>//shrzboost01/TRUMPF.NET/DATA_PDM2/Stöbich/Aufträge.GEO</v>
          </cell>
        </row>
        <row r="821">
          <cell r="A821" t="str">
            <v>0714402</v>
          </cell>
          <cell r="B821" t="str">
            <v>"//shrzboost01/TRUMPF.NET/DATA_PDM2/Stöbich/Varianten/0714402.GMV"</v>
          </cell>
          <cell r="C821" t="str">
            <v>//shrzboost01/TRUMPF.NET/DATA_PDM2/Stöbich/Aufträge.GEO</v>
          </cell>
        </row>
        <row r="822">
          <cell r="A822" t="str">
            <v>0714403</v>
          </cell>
          <cell r="B822" t="str">
            <v>"//shrzboost01/TRUMPF.NET/DATA_PDM2/Stöbich/Varianten/0714403.GMV"</v>
          </cell>
          <cell r="C822" t="str">
            <v>//shrzboost01/TRUMPF.NET/DATA_PDM2/Stöbich/Aufträge.GEO</v>
          </cell>
        </row>
        <row r="823">
          <cell r="A823" t="str">
            <v>0714404</v>
          </cell>
          <cell r="B823" t="str">
            <v>"//shrzboost01/TRUMPF.NET/DATA_PDM2/Stöbich/Varianten/0714404.GMV"</v>
          </cell>
          <cell r="C823" t="str">
            <v>//shrzboost01/TRUMPF.NET/DATA_PDM2/Stöbich/Aufträge.GEO</v>
          </cell>
        </row>
        <row r="824">
          <cell r="A824" t="str">
            <v>0714405</v>
          </cell>
          <cell r="B824" t="str">
            <v>"//shrzboost01/TRUMPF.NET/DATA_PDM2/Stöbich/Varianten/0714405.GMV"</v>
          </cell>
          <cell r="C824" t="str">
            <v>//shrzboost01/TRUMPF.NET/DATA_PDM2/Stöbich/Aufträge.GEO</v>
          </cell>
        </row>
        <row r="825">
          <cell r="A825" t="str">
            <v>0714406</v>
          </cell>
          <cell r="B825" t="str">
            <v>"//shrzboost01/TRUMPF.NET/DATA_PDM2/Stöbich/Varianten/0714406.GMV"</v>
          </cell>
          <cell r="C825" t="str">
            <v>//shrzboost01/TRUMPF.NET/DATA_PDM2/Stöbich/Aufträge.GEO</v>
          </cell>
        </row>
        <row r="826">
          <cell r="A826" t="str">
            <v>0714422</v>
          </cell>
          <cell r="B826" t="str">
            <v>"//shrzboost01/TRUMPF.NET/DATA_PDM2/Stöbich/Varianten/0714422.GMV"</v>
          </cell>
          <cell r="C826" t="str">
            <v>//shrzboost01/TRUMPF.NET/DATA_PDM2/Stöbich/Aufträge.GEO</v>
          </cell>
        </row>
        <row r="827">
          <cell r="A827" t="str">
            <v>0714427</v>
          </cell>
          <cell r="B827" t="str">
            <v>"//shrzboost01/TRUMPF.NET/DATA_PDM2/Stöbich/Varianten/0714427.GMV"</v>
          </cell>
          <cell r="C827" t="str">
            <v>//shrzboost01/TRUMPF.NET/DATA_PDM2/Stöbich/Aufträge.GEO</v>
          </cell>
        </row>
        <row r="828">
          <cell r="A828" t="str">
            <v>0714428</v>
          </cell>
          <cell r="B828" t="str">
            <v>"//shrzboost01/TRUMPF.NET/DATA_PDM2/Stöbich/Varianten/0714428.GMV"</v>
          </cell>
          <cell r="C828" t="str">
            <v>//shrzboost01/TRUMPF.NET/DATA_PDM2/Stöbich/Aufträge.GEO</v>
          </cell>
        </row>
        <row r="829">
          <cell r="A829" t="str">
            <v>0714429</v>
          </cell>
          <cell r="B829" t="str">
            <v>"//shrzboost01/TRUMPF.NET/DATA_PDM2/Stöbich/Varianten/0714429.GMV"</v>
          </cell>
          <cell r="C829" t="str">
            <v>//shrzboost01/TRUMPF.NET/DATA_PDM2/Stöbich/Aufträge.GEO</v>
          </cell>
        </row>
        <row r="830">
          <cell r="A830" t="str">
            <v>0714430</v>
          </cell>
          <cell r="B830" t="str">
            <v>"//shrzboost01/TRUMPF.NET/DATA_PDM2/Stöbich/Varianten/0714430.GMV"</v>
          </cell>
          <cell r="C830" t="str">
            <v>//shrzboost01/TRUMPF.NET/DATA_PDM2/Stöbich/Aufträge.GEO</v>
          </cell>
        </row>
        <row r="831">
          <cell r="A831" t="str">
            <v>0714431</v>
          </cell>
          <cell r="B831" t="str">
            <v>"//shrzboost01/TRUMPF.NET/DATA_PDM2/Stöbich/Varianten/0714431.GMV"</v>
          </cell>
          <cell r="C831" t="str">
            <v>//shrzboost01/TRUMPF.NET/DATA_PDM2/Stöbich/Aufträge.GEO</v>
          </cell>
        </row>
        <row r="832">
          <cell r="A832" t="str">
            <v>0714432</v>
          </cell>
          <cell r="B832" t="str">
            <v>"//shrzboost01/TRUMPF.NET/DATA_PDM2/Stöbich/Varianten/0714432.GMV"</v>
          </cell>
          <cell r="C832" t="str">
            <v>//shrzboost01/TRUMPF.NET/DATA_PDM2/Stöbich/Aufträge.GEO</v>
          </cell>
        </row>
        <row r="833">
          <cell r="A833" t="str">
            <v>0714433</v>
          </cell>
          <cell r="B833" t="str">
            <v>"//shrzboost01/TRUMPF.NET/DATA_PDM2/Stöbich/Varianten/0714433.GMV"</v>
          </cell>
          <cell r="C833" t="str">
            <v>//shrzboost01/TRUMPF.NET/DATA_PDM2/Stöbich/Aufträge.GEO</v>
          </cell>
        </row>
        <row r="834">
          <cell r="A834" t="str">
            <v>0714434</v>
          </cell>
          <cell r="B834" t="str">
            <v>"//shrzboost01/TRUMPF.NET/DATA_PDM2/Stöbich/Varianten/0714434.GMV"</v>
          </cell>
          <cell r="C834" t="str">
            <v>//shrzboost01/TRUMPF.NET/DATA_PDM2/Stöbich/Aufträge.GEO</v>
          </cell>
        </row>
        <row r="835">
          <cell r="A835" t="str">
            <v>0714435</v>
          </cell>
          <cell r="B835" t="str">
            <v>"//shrzboost01/TRUMPF.NET/DATA_PDM2/Stöbich/Varianten/0714435.GMV"</v>
          </cell>
          <cell r="C835" t="str">
            <v>//shrzboost01/TRUMPF.NET/DATA_PDM2/Stöbich/Aufträge.GEO</v>
          </cell>
        </row>
        <row r="836">
          <cell r="A836" t="str">
            <v>0714436</v>
          </cell>
          <cell r="B836" t="str">
            <v>"//shrzboost01/TRUMPF.NET/DATA_PDM2/Stöbich/Varianten/0714436.GMV"</v>
          </cell>
          <cell r="C836" t="str">
            <v>//shrzboost01/TRUMPF.NET/DATA_PDM2/Stöbich/Aufträge.GEO</v>
          </cell>
        </row>
        <row r="837">
          <cell r="A837" t="str">
            <v>0714437</v>
          </cell>
          <cell r="B837" t="str">
            <v>"//shrzboost01/TRUMPF.NET/DATA_PDM2/Stöbich/Varianten/0714437.GMV"</v>
          </cell>
          <cell r="C837" t="str">
            <v>//shrzboost01/TRUMPF.NET/DATA_PDM2/Stöbich/Aufträge.GEO</v>
          </cell>
        </row>
        <row r="838">
          <cell r="A838" t="str">
            <v>0714438</v>
          </cell>
          <cell r="B838" t="str">
            <v>"//shrzboost01/TRUMPF.NET/DATA_PDM2/Stöbich/Varianten/0714438.GMV"</v>
          </cell>
          <cell r="C838" t="str">
            <v>//shrzboost01/TRUMPF.NET/DATA_PDM2/Stöbich/Aufträge.GEO</v>
          </cell>
        </row>
        <row r="839">
          <cell r="A839" t="str">
            <v>0714439</v>
          </cell>
          <cell r="B839" t="str">
            <v>"//shrzboost01/TRUMPF.NET/DATA_PDM2/Stöbich/Varianten/0714439.GMV"</v>
          </cell>
          <cell r="C839" t="str">
            <v>//shrzboost01/TRUMPF.NET/DATA_PDM2/Stöbich/Aufträge.GEO</v>
          </cell>
        </row>
        <row r="840">
          <cell r="A840" t="str">
            <v>0714440</v>
          </cell>
          <cell r="B840" t="str">
            <v>"//shrzboost01/TRUMPF.NET/DATA_PDM2/Stöbich/Varianten/0714440.GMV"</v>
          </cell>
          <cell r="C840" t="str">
            <v>//shrzboost01/TRUMPF.NET/DATA_PDM2/Stöbich/Aufträge.GEO</v>
          </cell>
        </row>
        <row r="841">
          <cell r="A841" t="str">
            <v>0714442</v>
          </cell>
          <cell r="B841" t="str">
            <v>"//shrzboost01/TRUMPF.NET/DATA_PDM2/Stöbich/Varianten/0714442.GMV"</v>
          </cell>
          <cell r="C841" t="str">
            <v>//shrzboost01/TRUMPF.NET/DATA_PDM2/Stöbich/Aufträge.GEO</v>
          </cell>
        </row>
        <row r="842">
          <cell r="A842" t="str">
            <v>0714449</v>
          </cell>
          <cell r="B842" t="str">
            <v>"//shrzboost01/TRUMPF.NET/DATA_PDM2/Stöbich/Varianten/0714449.GMV"</v>
          </cell>
          <cell r="C842" t="str">
            <v>//shrzboost01/TRUMPF.NET/DATA_PDM2/Stöbich/Aufträge.GEO</v>
          </cell>
        </row>
        <row r="843">
          <cell r="A843" t="str">
            <v>0714450</v>
          </cell>
          <cell r="B843" t="str">
            <v>"//shrzboost01/TRUMPF.NET/DATA_PDM2/Stöbich/Varianten/0714450.GMV"</v>
          </cell>
          <cell r="C843" t="str">
            <v>//shrzboost01/TRUMPF.NET/DATA_PDM2/Stöbich/Aufträge.GEO</v>
          </cell>
        </row>
        <row r="844">
          <cell r="A844" t="str">
            <v>0714451</v>
          </cell>
          <cell r="B844" t="str">
            <v>"//shrzboost01/TRUMPF.NET/DATA_PDM2/Stöbich/Varianten/0714451.GMV"</v>
          </cell>
          <cell r="C844" t="str">
            <v>//shrzboost01/TRUMPF.NET/DATA_PDM2/Stöbich/Aufträge.GEO</v>
          </cell>
        </row>
        <row r="845">
          <cell r="A845"/>
          <cell r="B845" t="str">
            <v>"//shrzboost01/TRUMPF.NET/DATA_PDM2/Stöbich/Varianten/.GMV"</v>
          </cell>
          <cell r="C845" t="str">
            <v>//shrzboost01/TRUMPF.NET/DATA_PDM2/Stöbich/Aufträge.GEO</v>
          </cell>
        </row>
        <row r="846">
          <cell r="A846"/>
          <cell r="B846" t="str">
            <v>"//shrzboost01/TRUMPF.NET/DATA_PDM2/Stöbich/Varianten/.GMV"</v>
          </cell>
          <cell r="C846" t="str">
            <v>//shrzboost01/TRUMPF.NET/DATA_PDM2/Stöbich/Aufträge.GEO</v>
          </cell>
        </row>
        <row r="847">
          <cell r="A847"/>
          <cell r="B847" t="str">
            <v>"//shrzboost01/TRUMPF.NET/DATA_PDM2/Stöbich/Varianten/.GMV"</v>
          </cell>
          <cell r="C847" t="str">
            <v>//shrzboost01/TRUMPF.NET/DATA_PDM2/Stöbich/Aufträge.GEO</v>
          </cell>
        </row>
        <row r="848">
          <cell r="A848" t="str">
            <v>0714457</v>
          </cell>
          <cell r="B848" t="str">
            <v>"//shrzboost01/TRUMPF.NET/DATA_PDM2/Stöbich/Varianten/0714457.GMV"</v>
          </cell>
          <cell r="C848" t="str">
            <v>//shrzboost01/TRUMPF.NET/DATA_PDM2/Stöbich/Aufträge.GEO</v>
          </cell>
        </row>
        <row r="849">
          <cell r="A849" t="str">
            <v>0714456</v>
          </cell>
          <cell r="B849" t="str">
            <v>"//shrzboost01/TRUMPF.NET/DATA_PDM2/Stöbich/Varianten/0714456.GMV"</v>
          </cell>
          <cell r="C849" t="str">
            <v>//shrzboost01/TRUMPF.NET/DATA_PDM2/Stöbich/Aufträge.GEO</v>
          </cell>
        </row>
        <row r="850">
          <cell r="A850" t="str">
            <v>0714460</v>
          </cell>
          <cell r="B850" t="str">
            <v>"//shrzboost01/TRUMPF.NET/DATA_PDM2/Stöbich/Varianten/0714460.GMV"</v>
          </cell>
          <cell r="C850" t="str">
            <v>//shrzboost01/TRUMPF.NET/DATA_PDM2/Stöbich/Aufträge.GEO</v>
          </cell>
        </row>
        <row r="851">
          <cell r="A851" t="str">
            <v>0714461</v>
          </cell>
          <cell r="B851" t="str">
            <v>"//shrzboost01/TRUMPF.NET/DATA_PDM2/Stöbich/Varianten/0714461.GMV"</v>
          </cell>
          <cell r="C851" t="str">
            <v>//shrzboost01/TRUMPF.NET/DATA_PDM2/Stöbich/Aufträge.GEO</v>
          </cell>
        </row>
        <row r="852">
          <cell r="A852" t="str">
            <v>0714462</v>
          </cell>
          <cell r="B852" t="str">
            <v>"//shrzboost01/TRUMPF.NET/DATA_PDM2/Stöbich/Varianten/0714462.GMV"</v>
          </cell>
          <cell r="C852" t="str">
            <v>//shrzboost01/TRUMPF.NET/DATA_PDM2/Stöbich/Aufträge.GEO</v>
          </cell>
        </row>
        <row r="853">
          <cell r="A853" t="str">
            <v>0714463</v>
          </cell>
          <cell r="B853" t="str">
            <v>"//shrzboost01/TRUMPF.NET/DATA_PDM2/Stöbich/Varianten/0714463.GMV"</v>
          </cell>
          <cell r="C853" t="str">
            <v>//shrzboost01/TRUMPF.NET/DATA_PDM2/Stöbich/Aufträge.GEO</v>
          </cell>
        </row>
        <row r="854">
          <cell r="A854" t="str">
            <v>0714473</v>
          </cell>
          <cell r="B854" t="str">
            <v>"//shrzboost01/TRUMPF.NET/DATA_PDM2/Stöbich/Varianten/0714473.GMV"</v>
          </cell>
          <cell r="C854" t="str">
            <v>//shrzboost01/TRUMPF.NET/DATA_PDM2/Stöbich/Aufträge.GEO</v>
          </cell>
        </row>
        <row r="855">
          <cell r="A855" t="str">
            <v>0714474</v>
          </cell>
          <cell r="B855" t="str">
            <v>"//shrzboost01/TRUMPF.NET/DATA_PDM2/Stöbich/Varianten/0714474.GMV"</v>
          </cell>
          <cell r="C855" t="str">
            <v>//shrzboost01/TRUMPF.NET/DATA_PDM2/Stöbich/Aufträge.GEO</v>
          </cell>
        </row>
        <row r="856">
          <cell r="A856" t="str">
            <v>0714475</v>
          </cell>
          <cell r="B856" t="str">
            <v>"//shrzboost01/TRUMPF.NET/DATA_PDM2/Stöbich/Varianten/0714475.GMV"</v>
          </cell>
          <cell r="C856" t="str">
            <v>//shrzboost01/TRUMPF.NET/DATA_PDM2/Stöbich/Aufträge.GEO</v>
          </cell>
        </row>
        <row r="857">
          <cell r="A857" t="str">
            <v>0714477</v>
          </cell>
          <cell r="B857" t="str">
            <v>"//shrzboost01/TRUMPF.NET/DATA_PDM2/Stöbich/Varianten/0714477.GMV"</v>
          </cell>
          <cell r="C857" t="str">
            <v>//shrzboost01/TRUMPF.NET/DATA_PDM2/Stöbich/Aufträge.GEO</v>
          </cell>
        </row>
        <row r="858">
          <cell r="A858" t="str">
            <v>0714479</v>
          </cell>
          <cell r="B858" t="str">
            <v>"//shrzboost01/TRUMPF.NET/DATA_PDM2/Stöbich/Varianten/0714479.GMV"</v>
          </cell>
          <cell r="C858" t="str">
            <v>//shrzboost01/TRUMPF.NET/DATA_PDM2/Stöbich/Aufträge.GEO</v>
          </cell>
        </row>
        <row r="859">
          <cell r="A859" t="str">
            <v>0714480</v>
          </cell>
          <cell r="B859" t="str">
            <v>"//shrzboost01/TRUMPF.NET/DATA_PDM2/Stöbich/Varianten/0714480.GMV"</v>
          </cell>
          <cell r="C859" t="str">
            <v>//shrzboost01/TRUMPF.NET/DATA_PDM2/Stöbich/Aufträge.GEO</v>
          </cell>
        </row>
        <row r="860">
          <cell r="A860" t="str">
            <v>0714481</v>
          </cell>
          <cell r="B860" t="str">
            <v>"//shrzboost01/TRUMPF.NET/DATA_PDM2/Stöbich/Varianten/0714481.GMV"</v>
          </cell>
          <cell r="C860" t="str">
            <v>//shrzboost01/TRUMPF.NET/DATA_PDM2/Stöbich/Aufträge.GEO</v>
          </cell>
        </row>
        <row r="861">
          <cell r="A861" t="str">
            <v>0714482</v>
          </cell>
          <cell r="B861" t="str">
            <v>"//shrzboost01/TRUMPF.NET/DATA_PDM2/Stöbich/Varianten/0714482.GMV"</v>
          </cell>
          <cell r="C861" t="str">
            <v>//shrzboost01/TRUMPF.NET/DATA_PDM2/Stöbich/Aufträge.GEO</v>
          </cell>
        </row>
        <row r="862">
          <cell r="A862" t="str">
            <v>0714483</v>
          </cell>
          <cell r="B862" t="str">
            <v>"//shrzboost01/TRUMPF.NET/DATA_PDM2/Stöbich/Varianten/0714483.GMV"</v>
          </cell>
          <cell r="C862" t="str">
            <v>//shrzboost01/TRUMPF.NET/DATA_PDM2/Stöbich/Aufträge.GEO</v>
          </cell>
        </row>
        <row r="863">
          <cell r="A863" t="str">
            <v>0714484</v>
          </cell>
          <cell r="B863" t="str">
            <v>"//shrzboost01/TRUMPF.NET/DATA_PDM2/Stöbich/Varianten/0714484.GMV"</v>
          </cell>
          <cell r="C863" t="str">
            <v>//shrzboost01/TRUMPF.NET/DATA_PDM2/Stöbich/Aufträge.GEO</v>
          </cell>
        </row>
        <row r="864">
          <cell r="A864" t="str">
            <v>0714486</v>
          </cell>
          <cell r="B864" t="str">
            <v>"//shrzboost01/TRUMPF.NET/DATA_PDM2/Stöbich/Varianten/0714486.GMV"</v>
          </cell>
          <cell r="C864" t="str">
            <v>//shrzboost01/TRUMPF.NET/DATA_PDM2/Stöbich/Aufträge.GEO</v>
          </cell>
        </row>
        <row r="865">
          <cell r="A865" t="str">
            <v>0714488</v>
          </cell>
          <cell r="B865" t="str">
            <v>"//shrzboost01/TRUMPF.NET/DATA_PDM2/Stöbich/Varianten/0714488.GMV"</v>
          </cell>
          <cell r="C865" t="str">
            <v>//shrzboost01/TRUMPF.NET/DATA_PDM2/Stöbich/Aufträge.GEO</v>
          </cell>
        </row>
        <row r="866">
          <cell r="A866" t="str">
            <v>0714489</v>
          </cell>
          <cell r="B866" t="str">
            <v>"//shrzboost01/TRUMPF.NET/DATA_PDM2/Stöbich/Varianten/0714489.GMV"</v>
          </cell>
          <cell r="C866" t="str">
            <v>//shrzboost01/TRUMPF.NET/DATA_PDM2/Stöbich/Aufträge.GEO</v>
          </cell>
        </row>
        <row r="867">
          <cell r="A867" t="str">
            <v>0714492</v>
          </cell>
          <cell r="B867" t="str">
            <v>"//shrzboost01/TRUMPF.NET/DATA_PDM2/Stöbich/Varianten/0714492.GMV"</v>
          </cell>
          <cell r="C867" t="str">
            <v>//shrzboost01/TRUMPF.NET/DATA_PDM2/Stöbich/Aufträge.GEO</v>
          </cell>
        </row>
        <row r="868">
          <cell r="A868" t="str">
            <v>0714494</v>
          </cell>
          <cell r="B868" t="str">
            <v>"//shrzboost01/TRUMPF.NET/DATA_PDM2/Stöbich/Varianten/0714494.GMV"</v>
          </cell>
          <cell r="C868" t="str">
            <v>//shrzboost01/TRUMPF.NET/DATA_PDM2/Stöbich/Aufträge.GEO</v>
          </cell>
        </row>
        <row r="869">
          <cell r="A869" t="str">
            <v>0714502</v>
          </cell>
          <cell r="B869" t="str">
            <v>"//shrzboost01/TRUMPF.NET/DATA_PDM2/Stöbich/Varianten/0714502.GMV"</v>
          </cell>
          <cell r="C869" t="str">
            <v>//shrzboost01/TRUMPF.NET/DATA_PDM2/Stöbich/Aufträge.GEO</v>
          </cell>
        </row>
        <row r="870">
          <cell r="A870" t="str">
            <v>0714503</v>
          </cell>
          <cell r="B870" t="str">
            <v>"//shrzboost01/TRUMPF.NET/DATA_PDM2/Stöbich/Varianten/0714503.GMV"</v>
          </cell>
          <cell r="C870" t="str">
            <v>//shrzboost01/TRUMPF.NET/DATA_PDM2/Stöbich/Aufträge.GEO</v>
          </cell>
        </row>
        <row r="871">
          <cell r="A871" t="str">
            <v>0714504</v>
          </cell>
          <cell r="B871" t="str">
            <v>"//shrzboost01/TRUMPF.NET/DATA_PDM2/Stöbich/Varianten/0714504.GMV"</v>
          </cell>
          <cell r="C871" t="str">
            <v>//shrzboost01/TRUMPF.NET/DATA_PDM2/Stöbich/Aufträge.GEO</v>
          </cell>
        </row>
        <row r="872">
          <cell r="A872" t="str">
            <v>0714505</v>
          </cell>
          <cell r="B872" t="str">
            <v>"//shrzboost01/TRUMPF.NET/DATA_PDM2/Stöbich/Varianten/0714505.GMV"</v>
          </cell>
          <cell r="C872" t="str">
            <v>//shrzboost01/TRUMPF.NET/DATA_PDM2/Stöbich/Aufträge.GEO</v>
          </cell>
        </row>
        <row r="873">
          <cell r="A873" t="str">
            <v>0714506</v>
          </cell>
          <cell r="B873" t="str">
            <v>"//shrzboost01/TRUMPF.NET/DATA_PDM2/Stöbich/Varianten/0714506.GMV"</v>
          </cell>
          <cell r="C873" t="str">
            <v>//shrzboost01/TRUMPF.NET/DATA_PDM2/Stöbich/Aufträge.GEO</v>
          </cell>
        </row>
        <row r="874">
          <cell r="A874" t="str">
            <v>0714530</v>
          </cell>
          <cell r="B874" t="str">
            <v>"//shrzboost01/TRUMPF.NET/DATA_PDM2/Stöbich/Varianten/0714530.GMV"</v>
          </cell>
          <cell r="C874" t="str">
            <v>//shrzboost01/TRUMPF.NET/DATA_PDM2/Stöbich/Aufträge.GEO</v>
          </cell>
        </row>
        <row r="875">
          <cell r="A875" t="str">
            <v>0714531</v>
          </cell>
          <cell r="B875" t="str">
            <v>"//shrzboost01/TRUMPF.NET/DATA_PDM2/Stöbich/Varianten/0714531.GMV"</v>
          </cell>
          <cell r="C875" t="str">
            <v>//shrzboost01/TRUMPF.NET/DATA_PDM2/Stöbich/Aufträge.GEO</v>
          </cell>
        </row>
        <row r="876">
          <cell r="A876" t="str">
            <v>0714533</v>
          </cell>
          <cell r="B876" t="str">
            <v>"//shrzboost01/TRUMPF.NET/DATA_PDM2/Stöbich/Varianten/0714533.GMV"</v>
          </cell>
          <cell r="C876" t="str">
            <v>//shrzboost01/TRUMPF.NET/DATA_PDM2/Stöbich/Aufträge.GEO</v>
          </cell>
        </row>
        <row r="877">
          <cell r="A877" t="str">
            <v>0714534</v>
          </cell>
          <cell r="B877" t="str">
            <v>"//shrzboost01/TRUMPF.NET/DATA_PDM2/Stöbich/Varianten/0714534.GMV"</v>
          </cell>
          <cell r="C877" t="str">
            <v>//shrzboost01/TRUMPF.NET/DATA_PDM2/Stöbich/Aufträge.GEO</v>
          </cell>
        </row>
        <row r="878">
          <cell r="A878" t="str">
            <v>0714535</v>
          </cell>
          <cell r="B878" t="str">
            <v>"//shrzboost01/TRUMPF.NET/DATA_PDM2/Stöbich/Varianten/0714535.GMV"</v>
          </cell>
          <cell r="C878" t="str">
            <v>//shrzboost01/TRUMPF.NET/DATA_PDM2/Stöbich/Aufträge.GEO</v>
          </cell>
        </row>
        <row r="879">
          <cell r="A879" t="str">
            <v>0714536</v>
          </cell>
          <cell r="B879" t="str">
            <v>"//shrzboost01/TRUMPF.NET/DATA_PDM2/Stöbich/Varianten/0714536.GMV"</v>
          </cell>
          <cell r="C879" t="str">
            <v>//shrzboost01/TRUMPF.NET/DATA_PDM2/Stöbich/Aufträge.GEO</v>
          </cell>
        </row>
        <row r="880">
          <cell r="A880" t="str">
            <v>0714537</v>
          </cell>
          <cell r="B880" t="str">
            <v>"//shrzboost01/TRUMPF.NET/DATA_PDM2/Stöbich/Varianten/0714537.GMV"</v>
          </cell>
          <cell r="C880" t="str">
            <v>//shrzboost01/TRUMPF.NET/DATA_PDM2/Stöbich/Aufträge.GEO</v>
          </cell>
        </row>
        <row r="881">
          <cell r="A881" t="str">
            <v>0714538</v>
          </cell>
          <cell r="B881" t="str">
            <v>"//shrzboost01/TRUMPF.NET/DATA_PDM2/Stöbich/Varianten/0714538.GMV"</v>
          </cell>
          <cell r="C881" t="str">
            <v>//shrzboost01/TRUMPF.NET/DATA_PDM2/Stöbich/Aufträge.GEO</v>
          </cell>
        </row>
        <row r="882">
          <cell r="A882" t="str">
            <v>0714539</v>
          </cell>
          <cell r="B882" t="str">
            <v>"//shrzboost01/TRUMPF.NET/DATA_PDM2/Stöbich/Varianten/0714539.GMV"</v>
          </cell>
          <cell r="C882" t="str">
            <v>//shrzboost01/TRUMPF.NET/DATA_PDM2/Stöbich/Aufträge.GEO</v>
          </cell>
        </row>
        <row r="883">
          <cell r="A883" t="str">
            <v>0714540</v>
          </cell>
          <cell r="B883" t="str">
            <v>"//shrzboost01/TRUMPF.NET/DATA_PDM2/Stöbich/Varianten/0714540.GMV"</v>
          </cell>
          <cell r="C883" t="str">
            <v>//shrzboost01/TRUMPF.NET/DATA_PDM2/Stöbich/Aufträge.GEO</v>
          </cell>
        </row>
        <row r="884">
          <cell r="A884" t="str">
            <v>0714629</v>
          </cell>
          <cell r="B884" t="str">
            <v>"//shrzboost01/TRUMPF.NET/DATA_PDM2/Stöbich/Varianten/0714629.GMV"</v>
          </cell>
          <cell r="C884" t="str">
            <v>//shrzboost01/TRUMPF.NET/DATA_PDM2/Stöbich/Aufträge.GEO</v>
          </cell>
        </row>
        <row r="885">
          <cell r="A885" t="str">
            <v>0714630</v>
          </cell>
          <cell r="B885" t="str">
            <v>"//shrzboost01/TRUMPF.NET/DATA_PDM2/Stöbich/Varianten/0714630.GMV"</v>
          </cell>
          <cell r="C885" t="str">
            <v>//shrzboost01/TRUMPF.NET/DATA_PDM2/Stöbich/Aufträge.GEO</v>
          </cell>
        </row>
        <row r="886">
          <cell r="A886" t="str">
            <v>0714633</v>
          </cell>
          <cell r="B886" t="str">
            <v>"//shrzboost01/TRUMPF.NET/DATA_PDM2/Stöbich/Varianten/0714633.GMV"</v>
          </cell>
          <cell r="C886" t="str">
            <v>//shrzboost01/TRUMPF.NET/DATA_PDM2/Stöbich/Aufträge.GEO</v>
          </cell>
        </row>
        <row r="887">
          <cell r="A887" t="str">
            <v>0714634</v>
          </cell>
          <cell r="B887" t="str">
            <v>"//shrzboost01/TRUMPF.NET/DATA_PDM2/Stöbich/Varianten/0714634.GMV"</v>
          </cell>
          <cell r="C887" t="str">
            <v>//shrzboost01/TRUMPF.NET/DATA_PDM2/Stöbich/Aufträge.GEO</v>
          </cell>
        </row>
        <row r="888">
          <cell r="A888" t="str">
            <v>0714637</v>
          </cell>
          <cell r="B888" t="str">
            <v>"//shrzboost01/TRUMPF.NET/DATA_PDM2/Stöbich/Varianten/0714637.GMV"</v>
          </cell>
          <cell r="C888" t="str">
            <v>//shrzboost01/TRUMPF.NET/DATA_PDM2/Stöbich/Aufträge.GEO</v>
          </cell>
        </row>
        <row r="889">
          <cell r="A889" t="str">
            <v>0714638</v>
          </cell>
          <cell r="B889" t="str">
            <v>"//shrzboost01/TRUMPF.NET/DATA_PDM2/Stöbich/Varianten/0714638.GMV"</v>
          </cell>
          <cell r="C889" t="str">
            <v>//shrzboost01/TRUMPF.NET/DATA_PDM2/Stöbich/Aufträge.GEO</v>
          </cell>
        </row>
        <row r="890">
          <cell r="A890"/>
          <cell r="B890" t="str">
            <v>"//shrzboost01/TRUMPF.NET/DATA_PDM2/Stöbich/Varianten/.GMV"</v>
          </cell>
          <cell r="C890" t="str">
            <v>//shrzboost01/TRUMPF.NET/DATA_PDM2/Stöbich/Aufträge.GEO</v>
          </cell>
        </row>
        <row r="891">
          <cell r="A891" t="str">
            <v>0714715</v>
          </cell>
          <cell r="B891" t="str">
            <v>"//shrzboost01/TRUMPF.NET/DATA_PDM2/Stöbich/Varianten/0714715.GMV"</v>
          </cell>
          <cell r="C891" t="str">
            <v>//shrzboost01/TRUMPF.NET/DATA_PDM2/Stöbich/Aufträge.GEO</v>
          </cell>
        </row>
        <row r="892">
          <cell r="A892"/>
          <cell r="B892" t="str">
            <v>"//shrzboost01/TRUMPF.NET/DATA_PDM2/Stöbich/Varianten/.GMV"</v>
          </cell>
          <cell r="C892" t="str">
            <v>//shrzboost01/TRUMPF.NET/DATA_PDM2/Stöbich/Aufträge.GEO</v>
          </cell>
        </row>
        <row r="893">
          <cell r="A893" t="str">
            <v>0714732</v>
          </cell>
          <cell r="B893" t="str">
            <v>"//shrzboost01/TRUMPF.NET/DATA_PDM2/Stöbich/Varianten/0714732.GMV"</v>
          </cell>
          <cell r="C893" t="str">
            <v>//shrzboost01/TRUMPF.NET/DATA_PDM2/Stöbich/Aufträge.GEO</v>
          </cell>
        </row>
        <row r="894">
          <cell r="A894" t="str">
            <v>0714733</v>
          </cell>
          <cell r="B894" t="str">
            <v>"//shrzboost01/TRUMPF.NET/DATA_PDM2/Stöbich/Varianten/0714733.GMV"</v>
          </cell>
          <cell r="C894" t="str">
            <v>//shrzboost01/TRUMPF.NET/DATA_PDM2/Stöbich/Aufträge.GEO</v>
          </cell>
        </row>
        <row r="895">
          <cell r="A895"/>
          <cell r="B895" t="str">
            <v>"//shrzboost01/TRUMPF.NET/DATA_PDM2/Stöbich/Varianten/.GMV"</v>
          </cell>
          <cell r="C895" t="str">
            <v>//shrzboost01/TRUMPF.NET/DATA_PDM2/Stöbich/Aufträge.GEO</v>
          </cell>
        </row>
        <row r="896">
          <cell r="A896" t="str">
            <v>0714735</v>
          </cell>
          <cell r="B896" t="str">
            <v>"//shrzboost01/TRUMPF.NET/DATA_PDM2/Stöbich/Varianten/0714735.GMV"</v>
          </cell>
          <cell r="C896" t="str">
            <v>//shrzboost01/TRUMPF.NET/DATA_PDM2/Stöbich/Aufträge.GEO</v>
          </cell>
        </row>
        <row r="897">
          <cell r="A897"/>
          <cell r="B897"/>
          <cell r="C897"/>
        </row>
        <row r="898">
          <cell r="A898" t="str">
            <v>0714742</v>
          </cell>
          <cell r="B898" t="str">
            <v>"//shrzboost01/TRUMPF.NET/DATA_PDM2/Stöbich/Varianten/0714742.GMV"</v>
          </cell>
          <cell r="C898" t="str">
            <v>//shrzboost01/TRUMPF.NET/DATA_PDM2/Stöbich/Aufträge.GEO</v>
          </cell>
        </row>
        <row r="899">
          <cell r="A899" t="str">
            <v>0714743</v>
          </cell>
          <cell r="B899" t="str">
            <v>"//shrzboost01/TRUMPF.NET/DATA_PDM2/Stöbich/Varianten/0714743.GMV"</v>
          </cell>
          <cell r="C899" t="str">
            <v>//shrzboost01/TRUMPF.NET/DATA_PDM2/Stöbich/Aufträge.GEO</v>
          </cell>
        </row>
        <row r="900">
          <cell r="A900" t="str">
            <v>0714744</v>
          </cell>
          <cell r="B900" t="str">
            <v>"//shrzboost01/TRUMPF.NET/DATA_PDM2/Stöbich/Varianten/0714744.GMV"</v>
          </cell>
          <cell r="C900" t="str">
            <v>//shrzboost01/TRUMPF.NET/DATA_PDM2/Stöbich/Aufträge.GEO</v>
          </cell>
        </row>
        <row r="901">
          <cell r="A901" t="str">
            <v>0714745</v>
          </cell>
          <cell r="B901" t="str">
            <v>"//shrzboost01/TRUMPF.NET/DATA_PDM2/Stöbich/Varianten/0714745.GMV"</v>
          </cell>
          <cell r="C901" t="str">
            <v>//shrzboost01/TRUMPF.NET/DATA_PDM2/Stöbich/Aufträge.GEO</v>
          </cell>
        </row>
        <row r="902">
          <cell r="A902" t="str">
            <v>0714746</v>
          </cell>
          <cell r="B902" t="str">
            <v>"//shrzboost01/TRUMPF.NET/DATA_PDM2/Stöbich/Varianten/0714746.GMV"</v>
          </cell>
          <cell r="C902" t="str">
            <v>//shrzboost01/TRUMPF.NET/DATA_PDM2/Stöbich/Aufträge.GEO</v>
          </cell>
        </row>
        <row r="903">
          <cell r="A903" t="str">
            <v>0714747</v>
          </cell>
          <cell r="B903" t="str">
            <v>"//shrzboost01/TRUMPF.NET/DATA_PDM2/Stöbich/Varianten/0714747.GMV"</v>
          </cell>
          <cell r="C903" t="str">
            <v>//shrzboost01/TRUMPF.NET/DATA_PDM2/Stöbich/Aufträge.GEO</v>
          </cell>
        </row>
        <row r="904">
          <cell r="A904" t="str">
            <v>0714748</v>
          </cell>
          <cell r="B904" t="str">
            <v>"//shrzboost01/TRUMPF.NET/DATA_PDM2/Stöbich/Varianten/0714748.GMV"</v>
          </cell>
          <cell r="C904" t="str">
            <v>//shrzboost01/TRUMPF.NET/DATA_PDM2/Stöbich/Aufträge.GEO</v>
          </cell>
        </row>
        <row r="905">
          <cell r="A905"/>
          <cell r="B905" t="str">
            <v>"//shrzboost01/TRUMPF.NET/DATA_PDM2/Stöbich/Varianten/.GMV"</v>
          </cell>
          <cell r="C905" t="str">
            <v>//shrzboost01/TRUMPF.NET/DATA_PDM2/Stöbich/Aufträge.GEO</v>
          </cell>
        </row>
        <row r="906">
          <cell r="A906" t="str">
            <v>0714750</v>
          </cell>
          <cell r="B906" t="str">
            <v>"//shrzboost01/TRUMPF.NET/DATA_PDM2/Stöbich/Varianten/0714750.GMV"</v>
          </cell>
          <cell r="C906" t="str">
            <v>//shrzboost01/TRUMPF.NET/DATA_PDM2/Stöbich/Aufträge.GEO</v>
          </cell>
        </row>
        <row r="907">
          <cell r="A907" t="str">
            <v>0714751</v>
          </cell>
          <cell r="B907" t="str">
            <v>"//shrzboost01/TRUMPF.NET/DATA_PDM2/Stöbich/Varianten/0714751.GMV"</v>
          </cell>
          <cell r="C907" t="str">
            <v>//shrzboost01/TRUMPF.NET/DATA_PDM2/Stöbich/Aufträge.GEO</v>
          </cell>
        </row>
        <row r="908">
          <cell r="A908" t="str">
            <v>0714752</v>
          </cell>
          <cell r="B908" t="str">
            <v>"//shrzboost01/TRUMPF.NET/DATA_PDM2/Stöbich/Varianten/0714752.GMV"</v>
          </cell>
          <cell r="C908" t="str">
            <v>//shrzboost01/TRUMPF.NET/DATA_PDM2/Stöbich/Aufträge.GEO</v>
          </cell>
        </row>
        <row r="909">
          <cell r="A909" t="str">
            <v>0714753</v>
          </cell>
          <cell r="B909" t="str">
            <v>"//shrzboost01/TRUMPF.NET/DATA_PDM2/Stöbich/Varianten/0714753.GMV"</v>
          </cell>
          <cell r="C909" t="str">
            <v>//shrzboost01/TRUMPF.NET/DATA_PDM2/Stöbich/Aufträge.GEO</v>
          </cell>
        </row>
        <row r="910">
          <cell r="A910" t="str">
            <v>0714754</v>
          </cell>
          <cell r="B910" t="str">
            <v>"//shrzboost01/TRUMPF.NET/DATA_PDM2/Stöbich/Varianten/0714754.GMV"</v>
          </cell>
          <cell r="C910" t="str">
            <v>//shrzboost01/TRUMPF.NET/DATA_PDM2/Stöbich/Aufträge.GEO</v>
          </cell>
        </row>
        <row r="911">
          <cell r="A911" t="str">
            <v>0714755</v>
          </cell>
          <cell r="B911" t="str">
            <v>"//shrzboost01/TRUMPF.NET/DATA_PDM2/Stöbich/Varianten/0714755.GMV"</v>
          </cell>
          <cell r="C911" t="str">
            <v>//shrzboost01/TRUMPF.NET/DATA_PDM2/Stöbich/Aufträge.GEO</v>
          </cell>
        </row>
        <row r="912">
          <cell r="A912"/>
          <cell r="B912" t="str">
            <v>"//shrzboost01/TRUMPF.NET/DATA_PDM2/Stöbich/Varianten/.GMV"</v>
          </cell>
          <cell r="C912" t="str">
            <v>//shrzboost01/TRUMPF.NET/DATA_PDM2/Stöbich/Aufträge.GEO</v>
          </cell>
        </row>
        <row r="913">
          <cell r="A913" t="str">
            <v>0714776</v>
          </cell>
          <cell r="B913" t="str">
            <v>"//shrzboost01/TRUMPF.NET/DATA_PDM2/Stöbich/Varianten/0714776.GMV"</v>
          </cell>
          <cell r="C913" t="str">
            <v>//shrzboost01/TRUMPF.NET/DATA_PDM2/Stöbich/Aufträge.GEO</v>
          </cell>
        </row>
        <row r="914">
          <cell r="A914" t="str">
            <v>0714777</v>
          </cell>
          <cell r="B914" t="str">
            <v>"//shrzboost01/TRUMPF.NET/DATA_PDM2/Stöbich/Varianten/0714777.GMV"</v>
          </cell>
          <cell r="C914" t="str">
            <v>//shrzboost01/TRUMPF.NET/DATA_PDM2/Stöbich/Aufträge.GEO</v>
          </cell>
        </row>
        <row r="915">
          <cell r="A915" t="str">
            <v>0714778</v>
          </cell>
          <cell r="B915" t="str">
            <v>"//shrzboost01/TRUMPF.NET/DATA_PDM2/Stöbich/Varianten/0714778.GMV"</v>
          </cell>
          <cell r="C915" t="str">
            <v>//shrzboost01/TRUMPF.NET/DATA_PDM2/Stöbich/Aufträge.GEO</v>
          </cell>
        </row>
        <row r="916">
          <cell r="A916" t="str">
            <v>0714779</v>
          </cell>
          <cell r="B916" t="str">
            <v>"//shrzboost01/TRUMPF.NET/DATA_PDM2/Stöbich/Varianten/0714779.GMV"</v>
          </cell>
          <cell r="C916" t="str">
            <v>//shrzboost01/TRUMPF.NET/DATA_PDM2/Stöbich/Aufträge.GEO</v>
          </cell>
        </row>
        <row r="917">
          <cell r="A917" t="str">
            <v>0714780</v>
          </cell>
          <cell r="B917" t="str">
            <v>"//shrzboost01/TRUMPF.NET/DATA_PDM2/Stöbich/Varianten/0714780.GMV"</v>
          </cell>
          <cell r="C917" t="str">
            <v>//shrzboost01/TRUMPF.NET/DATA_PDM2/Stöbich/Aufträge.GEO</v>
          </cell>
        </row>
        <row r="918">
          <cell r="A918"/>
          <cell r="B918"/>
          <cell r="C918"/>
        </row>
        <row r="919">
          <cell r="A919" t="str">
            <v>0714783</v>
          </cell>
          <cell r="B919" t="str">
            <v>"//shrzboost01/TRUMPF.NET/DATA_PDM2/Stöbich/Varianten/0714783.GMV"</v>
          </cell>
          <cell r="C919" t="str">
            <v>//shrzboost01/TRUMPF.NET/DATA_PDM2/Stöbich/Aufträge.GEO</v>
          </cell>
        </row>
        <row r="920">
          <cell r="A920" t="str">
            <v>0714784</v>
          </cell>
          <cell r="B920" t="str">
            <v>"//shrzboost01/TRUMPF.NET/DATA_PDM2/Stöbich/Varianten/0714784.GMV"</v>
          </cell>
          <cell r="C920" t="str">
            <v>//shrzboost01/TRUMPF.NET/DATA_PDM2/Stöbich/Aufträge.GEO</v>
          </cell>
        </row>
        <row r="921">
          <cell r="A921" t="str">
            <v>0714785</v>
          </cell>
          <cell r="B921" t="str">
            <v>"//shrzboost01/TRUMPF.NET/DATA_PDM2/Stöbich/Varianten/0714785.GMV"</v>
          </cell>
          <cell r="C921" t="str">
            <v>//shrzboost01/TRUMPF.NET/DATA_PDM2/Stöbich/Aufträge.GEO</v>
          </cell>
        </row>
        <row r="922">
          <cell r="A922" t="str">
            <v>0714786</v>
          </cell>
          <cell r="B922" t="str">
            <v>"//shrzboost01/TRUMPF.NET/DATA_PDM2/Stöbich/Varianten/0714786.GMV"</v>
          </cell>
          <cell r="C922" t="str">
            <v>//shrzboost01/TRUMPF.NET/DATA_PDM2/Stöbich/Aufträge.GEO</v>
          </cell>
        </row>
        <row r="923">
          <cell r="A923" t="str">
            <v>0714787</v>
          </cell>
          <cell r="B923" t="str">
            <v>"//shrzboost01/TRUMPF.NET/DATA_PDM2/Stöbich/Varianten/0714787.GMV"</v>
          </cell>
          <cell r="C923" t="str">
            <v>//shrzboost01/TRUMPF.NET/DATA_PDM2/Stöbich/Aufträge.GEO</v>
          </cell>
        </row>
        <row r="924">
          <cell r="A924" t="str">
            <v>0714788</v>
          </cell>
          <cell r="B924" t="str">
            <v>"//shrzboost01/TRUMPF.NET/DATA_PDM2/Stöbich/Varianten/0714788.GMV"</v>
          </cell>
          <cell r="C924" t="str">
            <v>//shrzboost01/TRUMPF.NET/DATA_PDM2/Stöbich/Aufträge.GEO</v>
          </cell>
        </row>
        <row r="925">
          <cell r="A925" t="str">
            <v>0714795</v>
          </cell>
          <cell r="B925" t="str">
            <v>"//shrzboost01/TRUMPF.NET/DATA_PDM2/Stöbich/Varianten/0714795.GMV"</v>
          </cell>
          <cell r="C925" t="str">
            <v>//shrzboost01/TRUMPF.NET/DATA_PDM2/Stöbich/Aufträge.GEO</v>
          </cell>
        </row>
        <row r="926">
          <cell r="A926" t="str">
            <v>0714796</v>
          </cell>
          <cell r="B926" t="str">
            <v>"//shrzboost01/TRUMPF.NET/DATA_PDM2/Stöbich/Varianten/0714796.GMV"</v>
          </cell>
          <cell r="C926" t="str">
            <v>//shrzboost01/TRUMPF.NET/DATA_PDM2/Stöbich/Aufträge.GEO</v>
          </cell>
        </row>
        <row r="927">
          <cell r="A927" t="str">
            <v>0714797</v>
          </cell>
          <cell r="B927" t="str">
            <v>"//shrzboost01/TRUMPF.NET/DATA_PDM2/Stöbich/Varianten/0714797.GMV"</v>
          </cell>
          <cell r="C927" t="str">
            <v>//shrzboost01/TRUMPF.NET/DATA_PDM2/Stöbich/Aufträge.GEO</v>
          </cell>
        </row>
        <row r="928">
          <cell r="A928" t="str">
            <v>0714798</v>
          </cell>
          <cell r="B928" t="str">
            <v>"//shrzboost01/TRUMPF.NET/DATA_PDM2/Stöbich/Varianten/0714798.GMV"</v>
          </cell>
          <cell r="C928" t="str">
            <v>//shrzboost01/TRUMPF.NET/DATA_PDM2/Stöbich/Aufträge.GEO</v>
          </cell>
        </row>
        <row r="929">
          <cell r="A929" t="str">
            <v>0714799</v>
          </cell>
          <cell r="B929" t="str">
            <v>"//shrzboost01/TRUMPF.NET/DATA_PDM2/Stöbich/Varianten/0714799.GMV"</v>
          </cell>
          <cell r="C929" t="str">
            <v>//shrzboost01/TRUMPF.NET/DATA_PDM2/Stöbich/Aufträge.GEO</v>
          </cell>
        </row>
        <row r="930">
          <cell r="A930" t="str">
            <v>0714800</v>
          </cell>
          <cell r="B930" t="str">
            <v>"//shrzboost01/TRUMPF.NET/DATA_PDM2/Stöbich/Varianten/0714800.GMV"</v>
          </cell>
          <cell r="C930" t="str">
            <v>//shrzboost01/TRUMPF.NET/DATA_PDM2/Stöbich/Aufträge.GEO</v>
          </cell>
        </row>
        <row r="931">
          <cell r="A931" t="str">
            <v>0714801</v>
          </cell>
          <cell r="B931" t="str">
            <v>"//shrzboost01/TRUMPF.NET/DATA_PDM2/Stöbich/Varianten/0714801.GMV"</v>
          </cell>
          <cell r="C931" t="str">
            <v>//shrzboost01/TRUMPF.NET/DATA_PDM2/Stöbich/Aufträge.GEO</v>
          </cell>
        </row>
        <row r="932">
          <cell r="A932" t="str">
            <v>0714802</v>
          </cell>
          <cell r="B932" t="str">
            <v>"//shrzboost01/TRUMPF.NET/DATA_PDM2/Stöbich/Varianten/0714802.GMV"</v>
          </cell>
          <cell r="C932" t="str">
            <v>//shrzboost01/TRUMPF.NET/DATA_PDM2/Stöbich/Aufträge.GEO</v>
          </cell>
        </row>
        <row r="933">
          <cell r="A933"/>
          <cell r="B933" t="str">
            <v>"//shrzboost01/TRUMPF.NET/DATA_PDM2/Stöbich/Varianten/.GMV"</v>
          </cell>
          <cell r="C933" t="str">
            <v>//shrzboost01/TRUMPF.NET/DATA_PDM2/Stöbich/Aufträge.GEO</v>
          </cell>
        </row>
        <row r="934">
          <cell r="A934" t="str">
            <v>0714279</v>
          </cell>
          <cell r="B934" t="str">
            <v>"//shrzboost01/TRUMPF.NET/DATA_PDM2/Stöbich/Varianten/0714279.GMV"</v>
          </cell>
          <cell r="C934" t="str">
            <v>//shrzboost01/TRUMPF.NET/DATA_PDM2/Stöbich/Aufträge.GEO</v>
          </cell>
        </row>
        <row r="935">
          <cell r="A935" t="str">
            <v>0714281</v>
          </cell>
          <cell r="B935" t="str">
            <v>"//shrzboost01/TRUMPF.NET/DATA_PDM2/Stöbich/Varianten/0714281.GMV"</v>
          </cell>
          <cell r="C935" t="str">
            <v>//shrzboost01/TRUMPF.NET/DATA_PDM2/Stöbich/Aufträge.GEO</v>
          </cell>
        </row>
        <row r="936">
          <cell r="A936" t="str">
            <v>0714283</v>
          </cell>
          <cell r="B936" t="str">
            <v>"//shrzboost01/TRUMPF.NET/DATA_PDM2/Stöbich/Varianten/0714283.GMV"</v>
          </cell>
          <cell r="C936" t="str">
            <v>//shrzboost01/TRUMPF.NET/DATA_PDM2/Stöbich/Aufträge.GEO</v>
          </cell>
        </row>
        <row r="937">
          <cell r="A937" t="str">
            <v>0714284</v>
          </cell>
          <cell r="B937" t="str">
            <v>"//shrzboost01/TRUMPF.NET/DATA_PDM2/Stöbich/Varianten/0714284.GMV"</v>
          </cell>
          <cell r="C937" t="str">
            <v>//shrzboost01/TRUMPF.NET/DATA_PDM2/Stöbich/Aufträge.GEO</v>
          </cell>
        </row>
        <row r="938">
          <cell r="A938" t="str">
            <v>0714285</v>
          </cell>
          <cell r="B938" t="str">
            <v>"//shrzboost01/TRUMPF.NET/DATA_PDM2/Stöbich/Varianten/0714285.GMV"</v>
          </cell>
          <cell r="C938" t="str">
            <v>//shrzboost01/TRUMPF.NET/DATA_PDM2/Stöbich/Aufträge.GEO</v>
          </cell>
        </row>
        <row r="939">
          <cell r="A939" t="str">
            <v>0714286</v>
          </cell>
          <cell r="B939" t="str">
            <v>"//shrzboost01/TRUMPF.NET/DATA_PDM2/Stöbich/Varianten/0714286.GMV"</v>
          </cell>
          <cell r="C939" t="str">
            <v>//shrzboost01/TRUMPF.NET/DATA_PDM2/Stöbich/Aufträge.GEO</v>
          </cell>
        </row>
        <row r="940">
          <cell r="A940" t="str">
            <v>0714287</v>
          </cell>
          <cell r="B940" t="str">
            <v>"//shrzboost01/TRUMPF.NET/DATA_PDM2/Stöbich/Varianten/0714287.GMV"</v>
          </cell>
          <cell r="C940" t="str">
            <v>//shrzboost01/TRUMPF.NET/DATA_PDM2/Stöbich/Aufträge.GEO</v>
          </cell>
        </row>
        <row r="941">
          <cell r="A941" t="str">
            <v>0714288</v>
          </cell>
          <cell r="B941" t="str">
            <v>"//shrzboost01/TRUMPF.NET/DATA_PDM2/Stöbich/Varianten/0714288.GMV"</v>
          </cell>
          <cell r="C941" t="str">
            <v>//shrzboost01/TRUMPF.NET/DATA_PDM2/Stöbich/Aufträge.GEO</v>
          </cell>
        </row>
        <row r="942">
          <cell r="A942" t="str">
            <v>0714303</v>
          </cell>
          <cell r="B942" t="str">
            <v>"//shrzboost01/TRUMPF.NET/DATA_PDM2/Stöbich/Varianten/0714303.GMV"</v>
          </cell>
          <cell r="C942" t="str">
            <v>//shrzboost01/TRUMPF.NET/DATA_PDM2/Stöbich/Aufträge.GEO</v>
          </cell>
        </row>
        <row r="943">
          <cell r="A943" t="str">
            <v>0714304</v>
          </cell>
          <cell r="B943" t="str">
            <v>"//shrzboost01/TRUMPF.NET/DATA_PDM2/Stöbich/Varianten/0714304.GMV"</v>
          </cell>
          <cell r="C943" t="str">
            <v>//shrzboost01/TRUMPF.NET/DATA_PDM2/Stöbich/Aufträge.GEO</v>
          </cell>
        </row>
        <row r="944">
          <cell r="A944" t="str">
            <v>0714311</v>
          </cell>
          <cell r="B944" t="str">
            <v>"//shrzboost01/TRUMPF.NET/DATA_PDM2/Stöbich/Varianten/0714311.GMV"</v>
          </cell>
          <cell r="C944" t="str">
            <v>//shrzboost01/TRUMPF.NET/DATA_PDM2/Stöbich/Aufträge.GEO</v>
          </cell>
        </row>
        <row r="945">
          <cell r="A945" t="str">
            <v>0714312</v>
          </cell>
          <cell r="B945" t="str">
            <v>"//shrzboost01/TRUMPF.NET/DATA_PDM2/Stöbich/Varianten/0714312.GMV"</v>
          </cell>
          <cell r="C945" t="str">
            <v>//shrzboost01/TRUMPF.NET/DATA_PDM2/Stöbich/Aufträge.GEO</v>
          </cell>
        </row>
        <row r="946">
          <cell r="A946" t="str">
            <v>0714313</v>
          </cell>
          <cell r="B946" t="str">
            <v>"//shrzboost01/TRUMPF.NET/DATA_PDM2/Stöbich/Varianten/0714313.GMV"</v>
          </cell>
          <cell r="C946" t="str">
            <v>//shrzboost01/TRUMPF.NET/DATA_PDM2/Stöbich/Aufträge.GEO</v>
          </cell>
        </row>
        <row r="947">
          <cell r="A947" t="str">
            <v>0714314</v>
          </cell>
          <cell r="B947" t="str">
            <v>"//shrzboost01/TRUMPF.NET/DATA_PDM2/Stöbich/Varianten/0714314.GMV"</v>
          </cell>
          <cell r="C947" t="str">
            <v>//shrzboost01/TRUMPF.NET/DATA_PDM2/Stöbich/Aufträge.GEO</v>
          </cell>
        </row>
        <row r="948">
          <cell r="A948" t="str">
            <v>0714317</v>
          </cell>
          <cell r="B948" t="str">
            <v>"//shrzboost01/TRUMPF.NET/DATA_PDM2/Stöbich/Varianten/0714317.GMV"</v>
          </cell>
          <cell r="C948" t="str">
            <v>//shrzboost01/TRUMPF.NET/DATA_PDM2/Stöbich/Aufträge.GEO</v>
          </cell>
        </row>
        <row r="949">
          <cell r="A949" t="str">
            <v>0714318</v>
          </cell>
          <cell r="B949" t="str">
            <v>"//shrzboost01/TRUMPF.NET/DATA_PDM2/Stöbich/Varianten/0714318.GMV"</v>
          </cell>
          <cell r="C949" t="str">
            <v>//shrzboost01/TRUMPF.NET/DATA_PDM2/Stöbich/Aufträge.GEO</v>
          </cell>
        </row>
        <row r="950">
          <cell r="A950" t="str">
            <v>0717167</v>
          </cell>
          <cell r="B950" t="str">
            <v>"//shrzboost01/TRUMPF.NET/DATA_PDM2/Stöbich/Varianten/0717167.GMV"</v>
          </cell>
          <cell r="C950" t="str">
            <v>//shrzboost01/TRUMPF.NET/DATA_PDM2/Stöbich/Aufträge.GEO</v>
          </cell>
        </row>
        <row r="951">
          <cell r="A951" t="str">
            <v>0717168</v>
          </cell>
          <cell r="B951" t="str">
            <v>"//shrzboost01/TRUMPF.NET/DATA_PDM2/Stöbich/Varianten/0717168.GMV"</v>
          </cell>
          <cell r="C951" t="str">
            <v>//shrzboost01/TRUMPF.NET/DATA_PDM2/Stöbich/Aufträge.GEO</v>
          </cell>
        </row>
        <row r="952">
          <cell r="A952"/>
          <cell r="B952" t="str">
            <v>"//shrzboost01/TRUMPF.NET/DATA_PDM2/Stöbich/Varianten/.GMV"</v>
          </cell>
          <cell r="C952" t="str">
            <v>//shrzboost01/TRUMPF.NET/DATA_PDM2/Stöbich/Aufträge.GEO</v>
          </cell>
        </row>
        <row r="953">
          <cell r="A953" t="str">
            <v>0717183</v>
          </cell>
          <cell r="B953" t="str">
            <v>"//shrzboost01/TRUMPF.NET/DATA_PDM2/Stöbich/Varianten/0717183.GMV"</v>
          </cell>
          <cell r="C953" t="str">
            <v>//shrzboost01/TRUMPF.NET/DATA_PDM2/Stöbich/Aufträge.GEO</v>
          </cell>
        </row>
        <row r="954">
          <cell r="A954" t="str">
            <v>0714623</v>
          </cell>
          <cell r="B954" t="str">
            <v>"//shrzboost01/TRUMPF.NET/DATA_PDM2/Stöbich/Varianten/0714623.GMV"</v>
          </cell>
          <cell r="C954" t="str">
            <v>//shrzboost01/TRUMPF.NET/DATA_PDM2/Stöbich/Aufträge.GEO</v>
          </cell>
        </row>
        <row r="955">
          <cell r="A955" t="str">
            <v>0714652</v>
          </cell>
          <cell r="B955" t="str">
            <v>"//shrzboost01/TRUMPF.NET/DATA_PDM2/Stöbich/Varianten/0714652.GMV"</v>
          </cell>
          <cell r="C955" t="str">
            <v>//shrzboost01/TRUMPF.NET/DATA_PDM2/Stöbich/Aufträge.GEO</v>
          </cell>
        </row>
        <row r="956">
          <cell r="A956" t="str">
            <v>0717762</v>
          </cell>
          <cell r="B956" t="str">
            <v>"//shrzboost01/TRUMPF.NET/DATA_PDM2/Stöbich/Varianten/0717762.GMV"</v>
          </cell>
          <cell r="C956" t="str">
            <v>//shrzboost01/TRUMPF.NET/DATA_PDM2/Stöbich/Aufträge.GEO</v>
          </cell>
        </row>
        <row r="957">
          <cell r="A957" t="str">
            <v>0717763</v>
          </cell>
          <cell r="B957" t="str">
            <v>"//shrzboost01/TRUMPF.NET/DATA_PDM2/Stöbich/Varianten/0717763.GMV"</v>
          </cell>
          <cell r="C957" t="str">
            <v>//shrzboost01/TRUMPF.NET/DATA_PDM2/Stöbich/Aufträge.GEO</v>
          </cell>
        </row>
        <row r="958">
          <cell r="A958" t="str">
            <v>0717764</v>
          </cell>
          <cell r="B958" t="str">
            <v>"//shrzboost01/TRUMPF.NET/DATA_PDM2/Stöbich/Varianten/0717764.GMV"</v>
          </cell>
          <cell r="C958" t="str">
            <v>//shrzboost01/TRUMPF.NET/DATA_PDM2/Stöbich/Aufträge.GEO</v>
          </cell>
        </row>
        <row r="959">
          <cell r="A959" t="str">
            <v>0717766</v>
          </cell>
          <cell r="B959" t="str">
            <v>"//shrzboost01/TRUMPF.NET/DATA_PDM2/Stöbich/Varianten/0717766.GMV"</v>
          </cell>
          <cell r="C959" t="str">
            <v>//shrzboost01/TRUMPF.NET/DATA_PDM2/Stöbich/Aufträge.GEO</v>
          </cell>
        </row>
        <row r="960">
          <cell r="A960" t="str">
            <v>0717767</v>
          </cell>
          <cell r="B960" t="str">
            <v>"//shrzboost01/TRUMPF.NET/DATA_PDM2/Stöbich/Varianten/0717767.GMV"</v>
          </cell>
          <cell r="C960" t="str">
            <v>//shrzboost01/TRUMPF.NET/DATA_PDM2/Stöbich/Aufträge.GEO</v>
          </cell>
        </row>
        <row r="961">
          <cell r="A961" t="str">
            <v>0717768</v>
          </cell>
          <cell r="B961" t="str">
            <v>"//shrzboost01/TRUMPF.NET/DATA_PDM2/Stöbich/Varianten/0717768.GMV"</v>
          </cell>
          <cell r="C961" t="str">
            <v>//shrzboost01/TRUMPF.NET/DATA_PDM2/Stöbich/Aufträge.GEO</v>
          </cell>
        </row>
        <row r="962">
          <cell r="A962" t="str">
            <v>0717809</v>
          </cell>
          <cell r="B962" t="str">
            <v>"//shrzboost01/TRUMPF.NET/DATA_PDM2/Stöbich/Varianten/0717809.GMV"</v>
          </cell>
          <cell r="C962" t="str">
            <v>//shrzboost01/TRUMPF.NET/DATA_PDM2/Stöbich/Aufträge.GEO</v>
          </cell>
        </row>
        <row r="963">
          <cell r="A963" t="str">
            <v>0717810</v>
          </cell>
          <cell r="B963" t="str">
            <v>"//shrzboost01/TRUMPF.NET/DATA_PDM2/Stöbich/Varianten/0717810.GMV"</v>
          </cell>
          <cell r="C963" t="str">
            <v>//shrzboost01/TRUMPF.NET/DATA_PDM2/Stöbich/Aufträge.GEO</v>
          </cell>
        </row>
        <row r="964">
          <cell r="A964" t="str">
            <v>0717811</v>
          </cell>
          <cell r="B964" t="str">
            <v>"//shrzboost01/TRUMPF.NET/DATA_PDM2/Stöbich/Varianten/0717811.GMV"</v>
          </cell>
          <cell r="C964" t="str">
            <v>//shrzboost01/TRUMPF.NET/DATA_PDM2/Stöbich/Aufträge.GEO</v>
          </cell>
        </row>
        <row r="965">
          <cell r="A965" t="str">
            <v>0717812</v>
          </cell>
          <cell r="B965" t="str">
            <v>"//shrzboost01/TRUMPF.NET/DATA_PDM2/Stöbich/Varianten/0717812.GMV"</v>
          </cell>
          <cell r="C965" t="str">
            <v>//shrzboost01/TRUMPF.NET/DATA_PDM2/Stöbich/Aufträge.GEO</v>
          </cell>
        </row>
        <row r="966">
          <cell r="A966" t="str">
            <v>0722761</v>
          </cell>
          <cell r="B966" t="str">
            <v>"//shrzboost01/TRUMPF.NET/DATA_PDM2/Stöbich/Varianten/0722761.GMV"</v>
          </cell>
          <cell r="C966" t="str">
            <v>//shrzboost01/TRUMPF.NET/DATA_PDM2/Stöbich/Aufträge.GEO</v>
          </cell>
        </row>
        <row r="967">
          <cell r="A967" t="str">
            <v>0717814</v>
          </cell>
          <cell r="B967" t="str">
            <v>"//shrzboost01/TRUMPF.NET/DATA_PDM2/Stöbich/Varianten/0717814.GMV"</v>
          </cell>
          <cell r="C967" t="str">
            <v>//shrzboost01/TRUMPF.NET/DATA_PDM2/Stöbich/Aufträge.GEO</v>
          </cell>
        </row>
        <row r="968">
          <cell r="A968" t="str">
            <v>0717815</v>
          </cell>
          <cell r="B968" t="str">
            <v>"//shrzboost01/TRUMPF.NET/DATA_PDM2/Stöbich/Varianten/0717815.GMV"</v>
          </cell>
          <cell r="C968" t="str">
            <v>//shrzboost01/TRUMPF.NET/DATA_PDM2/Stöbich/Aufträge.GEO</v>
          </cell>
        </row>
        <row r="969">
          <cell r="A969" t="str">
            <v>0717816</v>
          </cell>
          <cell r="B969" t="str">
            <v>"//shrzboost01/TRUMPF.NET/DATA_PDM2/Stöbich/Varianten/0717816.GMV"</v>
          </cell>
          <cell r="C969" t="str">
            <v>//shrzboost01/TRUMPF.NET/DATA_PDM2/Stöbich/Aufträge.GEO</v>
          </cell>
        </row>
        <row r="970">
          <cell r="A970" t="str">
            <v>0717817</v>
          </cell>
          <cell r="B970" t="str">
            <v>"//shrzboost01/TRUMPF.NET/DATA_PDM2/Stöbich/Varianten/0717817.GMV"</v>
          </cell>
          <cell r="C970" t="str">
            <v>//shrzboost01/TRUMPF.NET/DATA_PDM2/Stöbich/Aufträge.GEO</v>
          </cell>
        </row>
        <row r="971">
          <cell r="A971" t="str">
            <v>0717818</v>
          </cell>
          <cell r="B971" t="str">
            <v>"//shrzboost01/TRUMPF.NET/DATA_PDM2/Stöbich/Varianten/0717818.GMV"</v>
          </cell>
          <cell r="C971" t="str">
            <v>//shrzboost01/TRUMPF.NET/DATA_PDM2/Stöbich/Aufträge.GEO</v>
          </cell>
        </row>
        <row r="972">
          <cell r="A972" t="str">
            <v>0717819</v>
          </cell>
          <cell r="B972" t="str">
            <v>"//shrzboost01/TRUMPF.NET/DATA_PDM2/Stöbich/Varianten/0717819.GMV"</v>
          </cell>
          <cell r="C972" t="str">
            <v>//shrzboost01/TRUMPF.NET/DATA_PDM2/Stöbich/Aufträge.GEO</v>
          </cell>
        </row>
        <row r="973">
          <cell r="A973" t="str">
            <v>0717820</v>
          </cell>
          <cell r="B973" t="str">
            <v>"//shrzboost01/TRUMPF.NET/DATA_PDM2/Stöbich/Varianten/0717820.GMV"</v>
          </cell>
          <cell r="C973" t="str">
            <v>//shrzboost01/TRUMPF.NET/DATA_PDM2/Stöbich/Aufträge.GEO</v>
          </cell>
        </row>
        <row r="974">
          <cell r="A974" t="str">
            <v>0714487</v>
          </cell>
          <cell r="B974" t="str">
            <v>"//shrzboost01/TRUMPF.NET/DATA_PDM2/Stöbich/Varianten/0714487.GMV"</v>
          </cell>
          <cell r="C974" t="str">
            <v>//shrzboost01/TRUMPF.NET/DATA_PDM2/Stöbich/Aufträge.GEO</v>
          </cell>
        </row>
        <row r="975">
          <cell r="A975" t="str">
            <v>0717830</v>
          </cell>
          <cell r="B975" t="str">
            <v>"//shrzboost01/TRUMPF.NET/DATA_PDM2/Stöbich/Varianten/0717830.GMV"</v>
          </cell>
          <cell r="C975" t="str">
            <v>//shrzboost01/TRUMPF.NET/DATA_PDM2/Stöbich/Aufträge.GEO</v>
          </cell>
        </row>
        <row r="976">
          <cell r="A976" t="str">
            <v>0717831</v>
          </cell>
          <cell r="B976" t="str">
            <v>"//shrzboost01/TRUMPF.NET/DATA_PDM2/Stöbich/Varianten/0717831.GMV"</v>
          </cell>
          <cell r="C976" t="str">
            <v>//shrzboost01/TRUMPF.NET/DATA_PDM2/Stöbich/Aufträge.GEO</v>
          </cell>
        </row>
        <row r="977">
          <cell r="A977" t="str">
            <v>0717832</v>
          </cell>
          <cell r="B977" t="str">
            <v>"//shrzboost01/TRUMPF.NET/DATA_PDM2/Stöbich/Varianten/0717832.GMV"</v>
          </cell>
          <cell r="C977" t="str">
            <v>//shrzboost01/TRUMPF.NET/DATA_PDM2/Stöbich/Aufträge.GEO</v>
          </cell>
        </row>
        <row r="978">
          <cell r="A978" t="str">
            <v>0717838</v>
          </cell>
          <cell r="B978" t="str">
            <v>"//shrzboost01/TRUMPF.NET/DATA_PDM2/Stöbich/Varianten/0717838.GMV"</v>
          </cell>
          <cell r="C978" t="str">
            <v>//shrzboost01/TRUMPF.NET/DATA_PDM2/Stöbich/Aufträge.GEO</v>
          </cell>
        </row>
        <row r="979">
          <cell r="A979" t="str">
            <v>0717839</v>
          </cell>
          <cell r="B979" t="str">
            <v>"//shrzboost01/TRUMPF.NET/DATA_PDM2/Stöbich/Varianten/0717839.GMV"</v>
          </cell>
          <cell r="C979" t="str">
            <v>//shrzboost01/TRUMPF.NET/DATA_PDM2/Stöbich/Aufträge.GEO</v>
          </cell>
        </row>
        <row r="980">
          <cell r="A980" t="str">
            <v>0717840</v>
          </cell>
          <cell r="B980" t="str">
            <v>"//shrzboost01/TRUMPF.NET/DATA_PDM2/Stöbich/Varianten/0717840.GMV"</v>
          </cell>
          <cell r="C980" t="str">
            <v>//shrzboost01/TRUMPF.NET/DATA_PDM2/Stöbich/Aufträge.GEO</v>
          </cell>
        </row>
        <row r="981">
          <cell r="A981"/>
          <cell r="B981"/>
          <cell r="C981"/>
        </row>
        <row r="982">
          <cell r="A982" t="str">
            <v>0717848</v>
          </cell>
          <cell r="B982" t="str">
            <v>"//shrzboost01/TRUMPF.NET/DATA_PDM2/Stöbich/Varianten/0717848.GMV"</v>
          </cell>
          <cell r="C982" t="str">
            <v>//shrzboost01/TRUMPF.NET/DATA_PDM2/Stöbich/Aufträge.GEO</v>
          </cell>
        </row>
        <row r="983">
          <cell r="A983"/>
          <cell r="B983" t="str">
            <v>"//shrzboost01/TRUMPF.NET/DATA_PDM2/Stöbich/Varianten/.GMV"</v>
          </cell>
          <cell r="C983" t="str">
            <v>//shrzboost01/TRUMPF.NET/DATA_PDM2/Stöbich/Aufträge.GEO</v>
          </cell>
        </row>
        <row r="984">
          <cell r="A984" t="str">
            <v>0714864</v>
          </cell>
          <cell r="B984" t="str">
            <v>"//shrzboost01/TRUMPF.NET/DATA_PDM2/Stöbich/Varianten/0714864.GMV"</v>
          </cell>
          <cell r="C984" t="str">
            <v>//shrzboost01/TRUMPF.NET/DATA_PDM2/Stöbich/Aufträge.GEO</v>
          </cell>
        </row>
        <row r="985">
          <cell r="A985" t="str">
            <v>0714865</v>
          </cell>
          <cell r="B985" t="str">
            <v>"//shrzboost01/TRUMPF.NET/DATA_PDM2/Stöbich/Varianten/0714865.GMV"</v>
          </cell>
          <cell r="C985" t="str">
            <v>//shrzboost01/TRUMPF.NET/DATA_PDM2/Stöbich/Aufträge.GEO</v>
          </cell>
        </row>
        <row r="986">
          <cell r="A986"/>
          <cell r="B986"/>
          <cell r="C986"/>
        </row>
        <row r="987">
          <cell r="A987" t="str">
            <v>0717876</v>
          </cell>
          <cell r="B987" t="str">
            <v>"//shrzboost01/TRUMPF.NET/DATA_PDM2/Stöbich/Varianten/0717876.GMV"</v>
          </cell>
          <cell r="C987" t="str">
            <v>//shrzboost01/TRUMPF.NET/DATA_PDM2/Stöbich/Aufträge.GEO</v>
          </cell>
        </row>
        <row r="988">
          <cell r="A988" t="str">
            <v>0717877</v>
          </cell>
          <cell r="B988" t="str">
            <v>"//shrzboost01/TRUMPF.NET/DATA_PDM2/Stöbich/Varianten/0717877.GMV"</v>
          </cell>
          <cell r="C988" t="str">
            <v>//shrzboost01/TRUMPF.NET/DATA_PDM2/Stöbich/Aufträge.GEO</v>
          </cell>
        </row>
        <row r="989">
          <cell r="A989" t="str">
            <v>0717878</v>
          </cell>
          <cell r="B989" t="str">
            <v>"//shrzboost01/TRUMPF.NET/DATA_PDM2/Stöbich/Varianten/0717878.GMV"</v>
          </cell>
          <cell r="C989" t="str">
            <v>//shrzboost01/TRUMPF.NET/DATA_PDM2/Stöbich/Aufträge.GEO</v>
          </cell>
        </row>
        <row r="990">
          <cell r="A990"/>
          <cell r="B990"/>
          <cell r="C990"/>
        </row>
        <row r="991">
          <cell r="A991" t="str">
            <v>0715023</v>
          </cell>
          <cell r="B991" t="str">
            <v>"//shrzboost01/TRUMPF.NET/DATA_PDM2/Stöbich/Varianten/0715023.GMV"</v>
          </cell>
          <cell r="C991" t="str">
            <v>//shrzboost01/TRUMPF.NET/DATA_PDM2/Stöbich/Aufträge.GEO</v>
          </cell>
        </row>
        <row r="992">
          <cell r="A992" t="str">
            <v>0715024</v>
          </cell>
          <cell r="B992" t="str">
            <v>"//shrzboost01/TRUMPF.NET/DATA_PDM2/Stöbich/Varianten/0715024.GMV"</v>
          </cell>
          <cell r="C992" t="str">
            <v>//shrzboost01/TRUMPF.NET/DATA_PDM2/Stöbich/Aufträge.GEO</v>
          </cell>
        </row>
        <row r="993">
          <cell r="A993" t="str">
            <v>0715025</v>
          </cell>
          <cell r="B993" t="str">
            <v>"//shrzboost01/TRUMPF.NET/DATA_PDM2/Stöbich/Varianten/0715025.GMV"</v>
          </cell>
          <cell r="C993" t="str">
            <v>//shrzboost01/TRUMPF.NET/DATA_PDM2/Stöbich/Aufträge.GEO</v>
          </cell>
        </row>
        <row r="994">
          <cell r="A994" t="str">
            <v>0715026</v>
          </cell>
          <cell r="B994" t="str">
            <v>"//shrzboost01/TRUMPF.NET/DATA_PDM2/Stöbich/Varianten/0715026.GMV"</v>
          </cell>
          <cell r="C994" t="str">
            <v>//shrzboost01/TRUMPF.NET/DATA_PDM2/Stöbich/Aufträge.GEO</v>
          </cell>
        </row>
        <row r="995">
          <cell r="A995" t="str">
            <v>0715027</v>
          </cell>
          <cell r="B995" t="str">
            <v>"//shrzboost01/TRUMPF.NET/DATA_PDM2/Stöbich/Varianten/0715027.GMV"</v>
          </cell>
          <cell r="C995" t="str">
            <v>//shrzboost01/TRUMPF.NET/DATA_PDM2/Stöbich/Aufträge.GEO</v>
          </cell>
        </row>
        <row r="996">
          <cell r="A996" t="str">
            <v>0715054</v>
          </cell>
          <cell r="B996" t="str">
            <v>"//shrzboost01/TRUMPF.NET/DATA_PDM2/Stöbich/Varianten/0715054.GMV"</v>
          </cell>
          <cell r="C996" t="str">
            <v>//shrzboost01/TRUMPF.NET/DATA_PDM2/Stöbich/Aufträge.GEO</v>
          </cell>
        </row>
        <row r="997">
          <cell r="A997" t="str">
            <v>0715057</v>
          </cell>
          <cell r="B997" t="str">
            <v>"//shrzboost01/TRUMPF.NET/DATA_PDM2/Stöbich/Varianten/0715057.GMV"</v>
          </cell>
          <cell r="C997" t="str">
            <v>//shrzboost01/TRUMPF.NET/DATA_PDM2/Stöbich/Aufträge.GEO</v>
          </cell>
        </row>
        <row r="998">
          <cell r="A998" t="str">
            <v>0715059</v>
          </cell>
          <cell r="B998" t="str">
            <v>"//shrzboost01/TRUMPF.NET/DATA_PDM2/Stöbich/Varianten/0715059.GMV"</v>
          </cell>
          <cell r="C998" t="str">
            <v>//shrzboost01/TRUMPF.NET/DATA_PDM2/Stöbich/Aufträge.GEO</v>
          </cell>
        </row>
        <row r="999">
          <cell r="A999" t="str">
            <v>0715060</v>
          </cell>
          <cell r="B999" t="str">
            <v>"//shrzboost01/TRUMPF.NET/DATA_PDM2/Stöbich/Varianten/0715060.GMV"</v>
          </cell>
          <cell r="C999" t="str">
            <v>//shrzboost01/TRUMPF.NET/DATA_PDM2/Stöbich/Aufträge.GEO</v>
          </cell>
        </row>
        <row r="1000">
          <cell r="A1000" t="str">
            <v>0715061</v>
          </cell>
          <cell r="B1000" t="str">
            <v>"//shrzboost01/TRUMPF.NET/DATA_PDM2/Stöbich/Varianten/0715061.GMV"</v>
          </cell>
          <cell r="C1000" t="str">
            <v>//shrzboost01/TRUMPF.NET/DATA_PDM2/Stöbich/Aufträge.GEO</v>
          </cell>
        </row>
        <row r="1001">
          <cell r="A1001" t="str">
            <v>0715062</v>
          </cell>
          <cell r="B1001" t="str">
            <v>"//shrzboost01/TRUMPF.NET/DATA_PDM2/Stöbich/Varianten/0715062.GMV"</v>
          </cell>
          <cell r="C1001" t="str">
            <v>//shrzboost01/TRUMPF.NET/DATA_PDM2/Stöbich/Aufträge.GEO</v>
          </cell>
        </row>
        <row r="1002">
          <cell r="A1002" t="str">
            <v>0715063</v>
          </cell>
          <cell r="B1002" t="str">
            <v>"//shrzboost01/TRUMPF.NET/DATA_PDM2/Stöbich/Varianten/0715063.GMV"</v>
          </cell>
          <cell r="C1002" t="str">
            <v>//shrzboost01/TRUMPF.NET/DATA_PDM2/Stöbich/Aufträge.GEO</v>
          </cell>
        </row>
        <row r="1003">
          <cell r="A1003" t="str">
            <v>0715064</v>
          </cell>
          <cell r="B1003" t="str">
            <v>"//shrzboost01/TRUMPF.NET/DATA_PDM2/Stöbich/Varianten/0715064.GMV"</v>
          </cell>
          <cell r="C1003" t="str">
            <v>//shrzboost01/TRUMPF.NET/DATA_PDM2/Stöbich/Aufträge.GEO</v>
          </cell>
        </row>
        <row r="1004">
          <cell r="A1004" t="str">
            <v>0715066</v>
          </cell>
          <cell r="B1004" t="str">
            <v>"//shrzboost01/TRUMPF.NET/DATA_PDM2/Stöbich/Varianten/0715066.GMV"</v>
          </cell>
          <cell r="C1004" t="str">
            <v>//shrzboost01/TRUMPF.NET/DATA_PDM2/Stöbich/Aufträge.GEO</v>
          </cell>
        </row>
        <row r="1005">
          <cell r="A1005" t="str">
            <v>0715069</v>
          </cell>
          <cell r="B1005" t="str">
            <v>"//shrzboost01/TRUMPF.NET/DATA_PDM2/Stöbich/Varianten/0715069.GMV"</v>
          </cell>
          <cell r="C1005" t="str">
            <v>//shrzboost01/TRUMPF.NET/DATA_PDM2/Stöbich/Aufträge.GEO</v>
          </cell>
        </row>
        <row r="1006">
          <cell r="A1006" t="str">
            <v>0715092</v>
          </cell>
          <cell r="B1006" t="str">
            <v>"//shrzboost01/TRUMPF.NET/DATA_PDM2/Stöbich/Varianten/0715092.GMV"</v>
          </cell>
          <cell r="C1006" t="str">
            <v>//shrzboost01/TRUMPF.NET/DATA_PDM2/Stöbich/Aufträge.GEO</v>
          </cell>
        </row>
        <row r="1007">
          <cell r="A1007" t="str">
            <v>0715093</v>
          </cell>
          <cell r="B1007" t="str">
            <v>"//shrzboost01/TRUMPF.NET/DATA_PDM2/Stöbich/Varianten/0715093.GMV"</v>
          </cell>
          <cell r="C1007" t="str">
            <v>//shrzboost01/TRUMPF.NET/DATA_PDM2/Stöbich/Aufträge.GEO</v>
          </cell>
        </row>
        <row r="1008">
          <cell r="A1008" t="str">
            <v>0715095</v>
          </cell>
          <cell r="B1008" t="str">
            <v>"//shrzboost01/TRUMPF.NET/DATA_PDM2/Stöbich/Varianten/0715095.GMV"</v>
          </cell>
          <cell r="C1008" t="str">
            <v>//shrzboost01/TRUMPF.NET/DATA_PDM2/Stöbich/Aufträge.GEO</v>
          </cell>
        </row>
        <row r="1009">
          <cell r="A1009" t="str">
            <v>0715096</v>
          </cell>
          <cell r="B1009" t="str">
            <v>"//shrzboost01/TRUMPF.NET/DATA_PDM2/Stöbich/Varianten/0715096.GMV"</v>
          </cell>
          <cell r="C1009" t="str">
            <v>//shrzboost01/TRUMPF.NET/DATA_PDM2/Stöbich/Aufträge.GEO</v>
          </cell>
        </row>
        <row r="1010">
          <cell r="A1010" t="str">
            <v>0715099</v>
          </cell>
          <cell r="B1010" t="str">
            <v>"//shrzboost01/TRUMPF.NET/DATA_PDM2/Stöbich/Varianten/0715099.GMV"</v>
          </cell>
          <cell r="C1010" t="str">
            <v>//shrzboost01/TRUMPF.NET/DATA_PDM2/Stöbich/Aufträge.GEO</v>
          </cell>
        </row>
        <row r="1011">
          <cell r="A1011" t="str">
            <v>0715103</v>
          </cell>
          <cell r="B1011" t="str">
            <v>"//shrzboost01/TRUMPF.NET/DATA_PDM2/Stöbich/Varianten/0715103.GMV"</v>
          </cell>
          <cell r="C1011" t="str">
            <v>//shrzboost01/TRUMPF.NET/DATA_PDM2/Stöbich/Aufträge.GEO</v>
          </cell>
        </row>
        <row r="1012">
          <cell r="A1012" t="str">
            <v>0715105</v>
          </cell>
          <cell r="B1012" t="str">
            <v>"//shrzboost01/TRUMPF.NET/DATA_PDM2/Stöbich/Varianten/0715105.GMV"</v>
          </cell>
          <cell r="C1012" t="str">
            <v>//shrzboost01/TRUMPF.NET/DATA_PDM2/Stöbich/Aufträge.GEO</v>
          </cell>
        </row>
        <row r="1013">
          <cell r="A1013" t="str">
            <v>0715106</v>
          </cell>
          <cell r="B1013" t="str">
            <v>"//shrzboost01/TRUMPF.NET/DATA_PDM2/Stöbich/Varianten/0715106.GMV"</v>
          </cell>
          <cell r="C1013" t="str">
            <v>//shrzboost01/TRUMPF.NET/DATA_PDM2/Stöbich/Aufträge.GEO</v>
          </cell>
        </row>
        <row r="1014">
          <cell r="A1014" t="str">
            <v>0715107</v>
          </cell>
          <cell r="B1014" t="str">
            <v>"//shrzboost01/TRUMPF.NET/DATA_PDM2/Stöbich/Varianten/0715107.GMV"</v>
          </cell>
          <cell r="C1014" t="str">
            <v>//shrzboost01/TRUMPF.NET/DATA_PDM2/Stöbich/Aufträge.GEO</v>
          </cell>
        </row>
        <row r="1015">
          <cell r="A1015" t="str">
            <v>0715108</v>
          </cell>
          <cell r="B1015" t="str">
            <v>"//shrzboost01/TRUMPF.NET/DATA_PDM2/Stöbich/Varianten/0715108.GMV"</v>
          </cell>
          <cell r="C1015" t="str">
            <v>//shrzboost01/TRUMPF.NET/DATA_PDM2/Stöbich/Aufträge.GEO</v>
          </cell>
        </row>
        <row r="1016">
          <cell r="A1016" t="str">
            <v>0715109</v>
          </cell>
          <cell r="B1016" t="str">
            <v>"//shrzboost01/TRUMPF.NET/DATA_PDM2/Stöbich/Varianten/0715109.GMV"</v>
          </cell>
          <cell r="C1016" t="str">
            <v>//shrzboost01/TRUMPF.NET/DATA_PDM2/Stöbich/Aufträge.GEO</v>
          </cell>
        </row>
        <row r="1017">
          <cell r="A1017" t="str">
            <v>0715110</v>
          </cell>
          <cell r="B1017" t="str">
            <v>"//shrzboost01/TRUMPF.NET/DATA_PDM2/Stöbich/Varianten/0715110.GMV"</v>
          </cell>
          <cell r="C1017" t="str">
            <v>//shrzboost01/TRUMPF.NET/DATA_PDM2/Stöbich/Aufträge.GEO</v>
          </cell>
        </row>
        <row r="1018">
          <cell r="A1018" t="str">
            <v>0715111</v>
          </cell>
          <cell r="B1018" t="str">
            <v>"//shrzboost01/TRUMPF.NET/DATA_PDM2/Stöbich/Varianten/0715111.GMV"</v>
          </cell>
          <cell r="C1018" t="str">
            <v>//shrzboost01/TRUMPF.NET/DATA_PDM2/Stöbich/Aufträge.GEO</v>
          </cell>
        </row>
        <row r="1019">
          <cell r="A1019" t="str">
            <v>0715112</v>
          </cell>
          <cell r="B1019" t="str">
            <v>"//shrzboost01/TRUMPF.NET/DATA_PDM2/Stöbich/Varianten/0715112.GMV"</v>
          </cell>
          <cell r="C1019" t="str">
            <v>//shrzboost01/TRUMPF.NET/DATA_PDM2/Stöbich/Aufträge.GEO</v>
          </cell>
        </row>
        <row r="1020">
          <cell r="A1020" t="str">
            <v>0715113</v>
          </cell>
          <cell r="B1020" t="str">
            <v>"//shrzboost01/TRUMPF.NET/DATA_PDM2/Stöbich/Varianten/0715113.GMV"</v>
          </cell>
          <cell r="C1020" t="str">
            <v>//shrzboost01/TRUMPF.NET/DATA_PDM2/Stöbich/Aufträge.GEO</v>
          </cell>
        </row>
        <row r="1021">
          <cell r="A1021" t="str">
            <v>0715114</v>
          </cell>
          <cell r="B1021" t="str">
            <v>"//shrzboost01/TRUMPF.NET/DATA_PDM2/Stöbich/Varianten/0715114.GMV"</v>
          </cell>
          <cell r="C1021" t="str">
            <v>//shrzboost01/TRUMPF.NET/DATA_PDM2/Stöbich/Aufträge.GEO</v>
          </cell>
        </row>
        <row r="1022">
          <cell r="A1022" t="str">
            <v>0715115</v>
          </cell>
          <cell r="B1022" t="str">
            <v>"//shrzboost01/TRUMPF.NET/DATA_PDM2/Stöbich/Varianten/0715115.GMV"</v>
          </cell>
          <cell r="C1022" t="str">
            <v>//shrzboost01/TRUMPF.NET/DATA_PDM2/Stöbich/Aufträge.GEO</v>
          </cell>
        </row>
        <row r="1023">
          <cell r="A1023" t="str">
            <v>0715116</v>
          </cell>
          <cell r="B1023" t="str">
            <v>"//shrzboost01/TRUMPF.NET/DATA_PDM2/Stöbich/Varianten/0715116.GMV"</v>
          </cell>
          <cell r="C1023" t="str">
            <v>//shrzboost01/TRUMPF.NET/DATA_PDM2/Stöbich/Aufträge.GEO</v>
          </cell>
        </row>
        <row r="1024">
          <cell r="A1024" t="str">
            <v>0715117</v>
          </cell>
          <cell r="B1024" t="str">
            <v>"//shrzboost01/TRUMPF.NET/DATA_PDM2/Stöbich/Varianten/0715117.GMV"</v>
          </cell>
          <cell r="C1024" t="str">
            <v>//shrzboost01/TRUMPF.NET/DATA_PDM2/Stöbich/Aufträge.GEO</v>
          </cell>
        </row>
        <row r="1025">
          <cell r="A1025" t="str">
            <v>0715126</v>
          </cell>
          <cell r="B1025" t="str">
            <v>"//shrzboost01/TRUMPF.NET/DATA_PDM2/Stöbich/Varianten/0715126.GMV"</v>
          </cell>
          <cell r="C1025" t="str">
            <v>//shrzboost01/TRUMPF.NET/DATA_PDM2/Stöbich/Aufträge.GEO</v>
          </cell>
        </row>
        <row r="1026">
          <cell r="A1026" t="str">
            <v>0715129</v>
          </cell>
          <cell r="B1026" t="str">
            <v>"//shrzboost01/TRUMPF.NET/DATA_PDM2/Stöbich/Varianten/0715129.GMV"</v>
          </cell>
          <cell r="C1026" t="str">
            <v>//shrzboost01/TRUMPF.NET/DATA_PDM2/Stöbich/Aufträge.GEO</v>
          </cell>
        </row>
        <row r="1027">
          <cell r="A1027" t="str">
            <v>0715143</v>
          </cell>
          <cell r="B1027" t="str">
            <v>"//shrzboost01/TRUMPF.NET/DATA_PDM2/Stöbich/Varianten/0715143.GMV"</v>
          </cell>
          <cell r="C1027" t="str">
            <v>//shrzboost01/TRUMPF.NET/DATA_PDM2/Stöbich/Aufträge.GEO</v>
          </cell>
        </row>
        <row r="1028">
          <cell r="A1028" t="str">
            <v>0715144</v>
          </cell>
          <cell r="B1028" t="str">
            <v>"//shrzboost01/TRUMPF.NET/DATA_PDM2/Stöbich/Varianten/0715144.GMV"</v>
          </cell>
          <cell r="C1028" t="str">
            <v>//shrzboost01/TRUMPF.NET/DATA_PDM2/Stöbich/Aufträge.GEO</v>
          </cell>
        </row>
        <row r="1029">
          <cell r="A1029" t="str">
            <v>0715154</v>
          </cell>
          <cell r="B1029" t="str">
            <v>"//shrzboost01/TRUMPF.NET/DATA_PDM2/Stöbich/Varianten/0715154.GMV"</v>
          </cell>
          <cell r="C1029" t="str">
            <v>//shrzboost01/TRUMPF.NET/DATA_PDM2/Stöbich/Aufträge.GEO</v>
          </cell>
        </row>
        <row r="1030">
          <cell r="A1030" t="str">
            <v>0715155</v>
          </cell>
          <cell r="B1030" t="str">
            <v>"//shrzboost01/TRUMPF.NET/DATA_PDM2/Stöbich/Varianten/0715155.GMV"</v>
          </cell>
          <cell r="C1030" t="str">
            <v>//shrzboost01/TRUMPF.NET/DATA_PDM2/Stöbich/Aufträge.GEO</v>
          </cell>
        </row>
        <row r="1031">
          <cell r="A1031" t="str">
            <v>0715256</v>
          </cell>
          <cell r="B1031" t="str">
            <v>"//shrzboost01/TRUMPF.NET/DATA_PDM2/Stöbich/Varianten/0715256.GMV"</v>
          </cell>
          <cell r="C1031" t="str">
            <v>//shrzboost01/TRUMPF.NET/DATA_PDM2/Stöbich/Aufträge.GEO</v>
          </cell>
        </row>
        <row r="1032">
          <cell r="A1032" t="str">
            <v>0715257</v>
          </cell>
          <cell r="B1032" t="str">
            <v>"//shrzboost01/TRUMPF.NET/DATA_PDM2/Stöbich/Varianten/0715257.GMV"</v>
          </cell>
          <cell r="C1032" t="str">
            <v>//shrzboost01/TRUMPF.NET/DATA_PDM2/Stöbich/Aufträge.GEO</v>
          </cell>
        </row>
        <row r="1033">
          <cell r="A1033" t="str">
            <v>0715258</v>
          </cell>
          <cell r="B1033" t="str">
            <v>"//shrzboost01/TRUMPF.NET/DATA_PDM2/Stöbich/Varianten/0715258.GMV"</v>
          </cell>
          <cell r="C1033" t="str">
            <v>//shrzboost01/TRUMPF.NET/DATA_PDM2/Stöbich/Aufträge.GEO</v>
          </cell>
        </row>
        <row r="1034">
          <cell r="A1034" t="str">
            <v>0715259</v>
          </cell>
          <cell r="B1034" t="str">
            <v>"//shrzboost01/TRUMPF.NET/DATA_PDM2/Stöbich/Varianten/0715259.GMV"</v>
          </cell>
          <cell r="C1034" t="str">
            <v>//shrzboost01/TRUMPF.NET/DATA_PDM2/Stöbich/Aufträge.GEO</v>
          </cell>
        </row>
        <row r="1035">
          <cell r="A1035" t="str">
            <v>0715260</v>
          </cell>
          <cell r="B1035" t="str">
            <v>"//shrzboost01/TRUMPF.NET/DATA_PDM2/Stöbich/Varianten/0715260.GMV"</v>
          </cell>
          <cell r="C1035" t="str">
            <v>//shrzboost01/TRUMPF.NET/DATA_PDM2/Stöbich/Aufträge.GEO</v>
          </cell>
        </row>
        <row r="1036">
          <cell r="A1036" t="str">
            <v>0715261</v>
          </cell>
          <cell r="B1036" t="str">
            <v>"//shrzboost01/TRUMPF.NET/DATA_PDM2/Stöbich/Varianten/0715261.GMV"</v>
          </cell>
          <cell r="C1036" t="str">
            <v>//shrzboost01/TRUMPF.NET/DATA_PDM2/Stöbich/Aufträge.GEO</v>
          </cell>
        </row>
        <row r="1037">
          <cell r="A1037" t="str">
            <v>0715262</v>
          </cell>
          <cell r="B1037" t="str">
            <v>"//shrzboost01/TRUMPF.NET/DATA_PDM2/Stöbich/Varianten/0715262.GMV"</v>
          </cell>
          <cell r="C1037" t="str">
            <v>//shrzboost01/TRUMPF.NET/DATA_PDM2/Stöbich/Aufträge.GEO</v>
          </cell>
        </row>
        <row r="1038">
          <cell r="A1038" t="str">
            <v>0715263</v>
          </cell>
          <cell r="B1038" t="str">
            <v>"//shrzboost01/TRUMPF.NET/DATA_PDM2/Stöbich/Varianten/0715263.GMV"</v>
          </cell>
          <cell r="C1038" t="str">
            <v>//shrzboost01/TRUMPF.NET/DATA_PDM2/Stöbich/Aufträge.GEO</v>
          </cell>
        </row>
        <row r="1039">
          <cell r="A1039" t="str">
            <v>0715268</v>
          </cell>
          <cell r="B1039" t="str">
            <v>"//shrzboost01/TRUMPF.NET/DATA_PDM2/Stöbich/Varianten/0715268.GMV"</v>
          </cell>
          <cell r="C1039" t="str">
            <v>//shrzboost01/TRUMPF.NET/DATA_PDM2/Stöbich/Aufträge.GEO</v>
          </cell>
        </row>
        <row r="1040">
          <cell r="A1040" t="str">
            <v>0715269</v>
          </cell>
          <cell r="B1040" t="str">
            <v>"//shrzboost01/TRUMPF.NET/DATA_PDM2/Stöbich/Varianten/0715269.GMV"</v>
          </cell>
          <cell r="C1040" t="str">
            <v>//shrzboost01/TRUMPF.NET/DATA_PDM2/Stöbich/Aufträge.GEO</v>
          </cell>
        </row>
        <row r="1041">
          <cell r="A1041" t="str">
            <v>0715270</v>
          </cell>
          <cell r="B1041" t="str">
            <v>"//shrzboost01/TRUMPF.NET/DATA_PDM2/Stöbich/Varianten/0715270.GMV"</v>
          </cell>
          <cell r="C1041" t="str">
            <v>//shrzboost01/TRUMPF.NET/DATA_PDM2/Stöbich/Aufträge.GEO</v>
          </cell>
        </row>
        <row r="1042">
          <cell r="A1042" t="str">
            <v>0715271</v>
          </cell>
          <cell r="B1042" t="str">
            <v>"//shrzboost01/TRUMPF.NET/DATA_PDM2/Stöbich/Varianten/0715271.GMV"</v>
          </cell>
          <cell r="C1042" t="str">
            <v>//shrzboost01/TRUMPF.NET/DATA_PDM2/Stöbich/Aufträge.GEO</v>
          </cell>
        </row>
        <row r="1043">
          <cell r="A1043" t="str">
            <v>0715276</v>
          </cell>
          <cell r="B1043" t="str">
            <v>"//shrzboost01/TRUMPF.NET/DATA_PDM2/Stöbich/Varianten/0715276.GMV"</v>
          </cell>
          <cell r="C1043" t="str">
            <v>//shrzboost01/TRUMPF.NET/DATA_PDM2/Stöbich/Aufträge.GEO</v>
          </cell>
        </row>
        <row r="1044">
          <cell r="A1044" t="str">
            <v>0715277</v>
          </cell>
          <cell r="B1044" t="str">
            <v>"//shrzboost01/TRUMPF.NET/DATA_PDM2/Stöbich/Varianten/0715277.GMV"</v>
          </cell>
          <cell r="C1044" t="str">
            <v>//shrzboost01/TRUMPF.NET/DATA_PDM2/Stöbich/Aufträge.GEO</v>
          </cell>
        </row>
        <row r="1045">
          <cell r="A1045" t="str">
            <v>0715278</v>
          </cell>
          <cell r="B1045" t="str">
            <v>"//shrzboost01/TRUMPF.NET/DATA_PDM2/Stöbich/Varianten/0715278.GMV"</v>
          </cell>
          <cell r="C1045" t="str">
            <v>//shrzboost01/TRUMPF.NET/DATA_PDM2/Stöbich/Aufträge.GEO</v>
          </cell>
        </row>
        <row r="1046">
          <cell r="A1046" t="str">
            <v>0715279</v>
          </cell>
          <cell r="B1046" t="str">
            <v>"//shrzboost01/TRUMPF.NET/DATA_PDM2/Stöbich/Varianten/0715279.GMV"</v>
          </cell>
          <cell r="C1046" t="str">
            <v>//shrzboost01/TRUMPF.NET/DATA_PDM2/Stöbich/Aufträge.GEO</v>
          </cell>
        </row>
        <row r="1047">
          <cell r="A1047" t="str">
            <v>0717607</v>
          </cell>
          <cell r="B1047" t="str">
            <v>"//shrzboost01/TRUMPF.NET/DATA_PDM2/Stöbich/Varianten/0717607.GMV"</v>
          </cell>
          <cell r="C1047" t="str">
            <v>//shrzboost01/TRUMPF.NET/DATA_PDM2/Stöbich/Aufträge.GEO</v>
          </cell>
        </row>
        <row r="1048">
          <cell r="A1048" t="str">
            <v>0717608</v>
          </cell>
          <cell r="B1048" t="str">
            <v>"//shrzboost01/TRUMPF.NET/DATA_PDM2/Stöbich/Varianten/0717608.GMV"</v>
          </cell>
          <cell r="C1048" t="str">
            <v>//shrzboost01/TRUMPF.NET/DATA_PDM2/Stöbich/Aufträge.GEO</v>
          </cell>
        </row>
        <row r="1049">
          <cell r="A1049" t="str">
            <v>0717609</v>
          </cell>
          <cell r="B1049" t="str">
            <v>"//shrzboost01/TRUMPF.NET/DATA_PDM2/Stöbich/Varianten/0717609.GMV"</v>
          </cell>
          <cell r="C1049" t="str">
            <v>//shrzboost01/TRUMPF.NET/DATA_PDM2/Stöbich/Aufträge.GEO</v>
          </cell>
        </row>
        <row r="1050">
          <cell r="A1050" t="str">
            <v>0717610</v>
          </cell>
          <cell r="B1050" t="str">
            <v>"//shrzboost01/TRUMPF.NET/DATA_PDM2/Stöbich/Varianten/0717610.GMV"</v>
          </cell>
          <cell r="C1050" t="str">
            <v>//shrzboost01/TRUMPF.NET/DATA_PDM2/Stöbich/Aufträge.GEO</v>
          </cell>
        </row>
        <row r="1051">
          <cell r="A1051" t="str">
            <v>0717611</v>
          </cell>
          <cell r="B1051" t="str">
            <v>"//shrzboost01/TRUMPF.NET/DATA_PDM2/Stöbich/Varianten/0717611.GMV"</v>
          </cell>
          <cell r="C1051" t="str">
            <v>//shrzboost01/TRUMPF.NET/DATA_PDM2/Stöbich/Aufträge.GEO</v>
          </cell>
        </row>
        <row r="1052">
          <cell r="A1052" t="str">
            <v>0717612</v>
          </cell>
          <cell r="B1052" t="str">
            <v>"//shrzboost01/TRUMPF.NET/DATA_PDM2/Stöbich/Varianten/0717612.GMV"</v>
          </cell>
          <cell r="C1052" t="str">
            <v>//shrzboost01/TRUMPF.NET/DATA_PDM2/Stöbich/Aufträge.GEO</v>
          </cell>
        </row>
        <row r="1053">
          <cell r="A1053" t="str">
            <v>0717613</v>
          </cell>
          <cell r="B1053" t="str">
            <v>"//shrzboost01/TRUMPF.NET/DATA_PDM2/Stöbich/Varianten/0717613.GMV"</v>
          </cell>
          <cell r="C1053" t="str">
            <v>//shrzboost01/TRUMPF.NET/DATA_PDM2/Stöbich/Aufträge.GEO</v>
          </cell>
        </row>
        <row r="1054">
          <cell r="A1054" t="str">
            <v>0717614</v>
          </cell>
          <cell r="B1054" t="str">
            <v>"//shrzboost01/TRUMPF.NET/DATA_PDM2/Stöbich/Varianten/0717614.GMV"</v>
          </cell>
          <cell r="C1054" t="str">
            <v>//shrzboost01/TRUMPF.NET/DATA_PDM2/Stöbich/Aufträge.GEO</v>
          </cell>
        </row>
        <row r="1055">
          <cell r="A1055" t="str">
            <v>0717615</v>
          </cell>
          <cell r="B1055" t="str">
            <v>"//shrzboost01/TRUMPF.NET/DATA_PDM2/Stöbich/Varianten/0717615.GMV"</v>
          </cell>
          <cell r="C1055" t="str">
            <v>//shrzboost01/TRUMPF.NET/DATA_PDM2/Stöbich/Aufträge.GEO</v>
          </cell>
        </row>
        <row r="1056">
          <cell r="A1056" t="str">
            <v>0717616</v>
          </cell>
          <cell r="B1056" t="str">
            <v>"//shrzboost01/TRUMPF.NET/DATA_PDM2/Stöbich/Varianten/0717616.GMV"</v>
          </cell>
          <cell r="C1056" t="str">
            <v>//shrzboost01/TRUMPF.NET/DATA_PDM2/Stöbich/Aufträge.GEO</v>
          </cell>
        </row>
        <row r="1057">
          <cell r="A1057" t="str">
            <v>0718028</v>
          </cell>
          <cell r="B1057" t="str">
            <v>"//shrzboost01/TRUMPF.NET/DATA_PDM2/Stöbich/Varianten/0718028.GMV"</v>
          </cell>
          <cell r="C1057" t="str">
            <v>//shrzboost01/TRUMPF.NET/DATA_PDM2/Stöbich/Aufträge.GEO</v>
          </cell>
        </row>
        <row r="1058">
          <cell r="A1058" t="str">
            <v>0718029</v>
          </cell>
          <cell r="B1058" t="str">
            <v>"//shrzboost01/TRUMPF.NET/DATA_PDM2/Stöbich/Varianten/0718029.GMV"</v>
          </cell>
          <cell r="C1058" t="str">
            <v>//shrzboost01/TRUMPF.NET/DATA_PDM2/Stöbich/Aufträge.GEO</v>
          </cell>
        </row>
        <row r="1059">
          <cell r="A1059" t="str">
            <v>0718030</v>
          </cell>
          <cell r="B1059" t="str">
            <v>"//shrzboost01/TRUMPF.NET/DATA_PDM2/Stöbich/Varianten/0718030.GMV"</v>
          </cell>
          <cell r="C1059" t="str">
            <v>//shrzboost01/TRUMPF.NET/DATA_PDM2/Stöbich/Aufträge.GEO</v>
          </cell>
        </row>
        <row r="1060">
          <cell r="A1060" t="str">
            <v>0718031</v>
          </cell>
          <cell r="B1060" t="str">
            <v>"//shrzboost01/TRUMPF.NET/DATA_PDM2/Stöbich/Varianten/0718031.GMV"</v>
          </cell>
          <cell r="C1060" t="str">
            <v>//shrzboost01/TRUMPF.NET/DATA_PDM2/Stöbich/Aufträge.GEO</v>
          </cell>
        </row>
        <row r="1061">
          <cell r="A1061" t="str">
            <v>0718032</v>
          </cell>
          <cell r="B1061" t="str">
            <v>"//shrzboost01/TRUMPF.NET/DATA_PDM2/Stöbich/Varianten/0718032.GMV"</v>
          </cell>
          <cell r="C1061" t="str">
            <v>//shrzboost01/TRUMPF.NET/DATA_PDM2/Stöbich/Aufträge.GEO</v>
          </cell>
        </row>
        <row r="1062">
          <cell r="A1062" t="str">
            <v>0718033</v>
          </cell>
          <cell r="B1062" t="str">
            <v>"//shrzboost01/TRUMPF.NET/DATA_PDM2/Stöbich/Varianten/0718033.GMV"</v>
          </cell>
          <cell r="C1062" t="str">
            <v>//shrzboost01/TRUMPF.NET/DATA_PDM2/Stöbich/Aufträge.GEO</v>
          </cell>
        </row>
        <row r="1063">
          <cell r="A1063" t="str">
            <v>0718034</v>
          </cell>
          <cell r="B1063" t="str">
            <v>"//shrzboost01/TRUMPF.NET/DATA_PDM2/Stöbich/Varianten/0718034.GMV"</v>
          </cell>
          <cell r="C1063" t="str">
            <v>//shrzboost01/TRUMPF.NET/DATA_PDM2/Stöbich/Aufträge.GEO</v>
          </cell>
        </row>
        <row r="1064">
          <cell r="A1064" t="str">
            <v>0718035</v>
          </cell>
          <cell r="B1064" t="str">
            <v>"//shrzboost01/TRUMPF.NET/DATA_PDM2/Stöbich/Varianten/0718035.GMV"</v>
          </cell>
          <cell r="C1064" t="str">
            <v>//shrzboost01/TRUMPF.NET/DATA_PDM2/Stöbich/Aufträge.GEO</v>
          </cell>
        </row>
        <row r="1065">
          <cell r="A1065" t="str">
            <v>0718036</v>
          </cell>
          <cell r="B1065" t="str">
            <v>"//shrzboost01/TRUMPF.NET/DATA_PDM2/Stöbich/Varianten/0718036.GMV"</v>
          </cell>
          <cell r="C1065" t="str">
            <v>//shrzboost01/TRUMPF.NET/DATA_PDM2/Stöbich/Aufträge.GEO</v>
          </cell>
        </row>
        <row r="1066">
          <cell r="A1066" t="str">
            <v>0718037</v>
          </cell>
          <cell r="B1066" t="str">
            <v>"//shrzboost01/TRUMPF.NET/DATA_PDM2/Stöbich/Varianten/0718037.GMV"</v>
          </cell>
          <cell r="C1066" t="str">
            <v>//shrzboost01/TRUMPF.NET/DATA_PDM2/Stöbich/Aufträge.GEO</v>
          </cell>
        </row>
        <row r="1067">
          <cell r="A1067" t="str">
            <v>0718038</v>
          </cell>
          <cell r="B1067" t="str">
            <v>"//shrzboost01/TRUMPF.NET/DATA_PDM2/Stöbich/Varianten/0718038.GMV"</v>
          </cell>
          <cell r="C1067" t="str">
            <v>//shrzboost01/TRUMPF.NET/DATA_PDM2/Stöbich/Aufträge.GEO</v>
          </cell>
        </row>
        <row r="1068">
          <cell r="A1068" t="str">
            <v>0718039</v>
          </cell>
          <cell r="B1068" t="str">
            <v>"//shrzboost01/TRUMPF.NET/DATA_PDM2/Stöbich/Varianten/0718039.GMV"</v>
          </cell>
          <cell r="C1068" t="str">
            <v>//shrzboost01/TRUMPF.NET/DATA_PDM2/Stöbich/Aufträge.GEO</v>
          </cell>
        </row>
        <row r="1069">
          <cell r="A1069" t="str">
            <v>0718040</v>
          </cell>
          <cell r="B1069" t="str">
            <v>"//shrzboost01/TRUMPF.NET/DATA_PDM2/Stöbich/Varianten/0718040.GMV"</v>
          </cell>
          <cell r="C1069" t="str">
            <v>//shrzboost01/TRUMPF.NET/DATA_PDM2/Stöbich/Aufträge.GEO</v>
          </cell>
        </row>
        <row r="1070">
          <cell r="A1070" t="str">
            <v>0718041</v>
          </cell>
          <cell r="B1070" t="str">
            <v>"//shrzboost01/TRUMPF.NET/DATA_PDM2/Stöbich/Varianten/0718041.GMV"</v>
          </cell>
          <cell r="C1070" t="str">
            <v>//shrzboost01/TRUMPF.NET/DATA_PDM2/Stöbich/Aufträge.GEO</v>
          </cell>
        </row>
        <row r="1071">
          <cell r="A1071" t="str">
            <v>0718228</v>
          </cell>
          <cell r="B1071" t="str">
            <v>"//shrzboost01/TRUMPF.NET/DATA_PDM2/Stöbich/Varianten/0718228.GMV"</v>
          </cell>
          <cell r="C1071" t="str">
            <v>//shrzboost01/TRUMPF.NET/DATA_PDM2/Stöbich/Aufträge.GEO</v>
          </cell>
        </row>
        <row r="1072">
          <cell r="A1072" t="str">
            <v>0718229</v>
          </cell>
          <cell r="B1072" t="str">
            <v>"//shrzboost01/TRUMPF.NET/DATA_PDM2/Stöbich/Varianten/0718229.GMV"</v>
          </cell>
          <cell r="C1072" t="str">
            <v>//shrzboost01/TRUMPF.NET/DATA_PDM2/Stöbich/Aufträge.GEO</v>
          </cell>
        </row>
        <row r="1073">
          <cell r="A1073" t="str">
            <v>0718230</v>
          </cell>
          <cell r="B1073" t="str">
            <v>"//shrzboost01/TRUMPF.NET/DATA_PDM2/Stöbich/Varianten/0718230.GMV"</v>
          </cell>
          <cell r="C1073" t="str">
            <v>//shrzboost01/TRUMPF.NET/DATA_PDM2/Stöbich/Aufträge.GEO</v>
          </cell>
        </row>
        <row r="1074">
          <cell r="A1074" t="str">
            <v>0718231</v>
          </cell>
          <cell r="B1074" t="str">
            <v>"//shrzboost01/TRUMPF.NET/DATA_PDM2/Stöbich/Varianten/0718231.GMV"</v>
          </cell>
          <cell r="C1074" t="str">
            <v>//shrzboost01/TRUMPF.NET/DATA_PDM2/Stöbich/Aufträge.GEO</v>
          </cell>
        </row>
        <row r="1075">
          <cell r="A1075" t="str">
            <v>0718232</v>
          </cell>
          <cell r="B1075" t="str">
            <v>"//shrzboost01/TRUMPF.NET/DATA_PDM2/Stöbich/Varianten/0718232.GMV"</v>
          </cell>
          <cell r="C1075" t="str">
            <v>//shrzboost01/TRUMPF.NET/DATA_PDM2/Stöbich/Aufträge.GEO</v>
          </cell>
        </row>
        <row r="1076">
          <cell r="A1076" t="str">
            <v>0718233</v>
          </cell>
          <cell r="B1076" t="str">
            <v>"//shrzboost01/TRUMPF.NET/DATA_PDM2/Stöbich/Varianten/0718233.GMV"</v>
          </cell>
          <cell r="C1076" t="str">
            <v>//shrzboost01/TRUMPF.NET/DATA_PDM2/Stöbich/Aufträge.GEO</v>
          </cell>
        </row>
        <row r="1077">
          <cell r="A1077" t="str">
            <v>0718234</v>
          </cell>
          <cell r="B1077" t="str">
            <v>"//shrzboost01/TRUMPF.NET/DATA_PDM2/Stöbich/Varianten/0718234.GMV"</v>
          </cell>
          <cell r="C1077" t="str">
            <v>//shrzboost01/TRUMPF.NET/DATA_PDM2/Stöbich/Aufträge.GEO</v>
          </cell>
        </row>
        <row r="1078">
          <cell r="A1078"/>
          <cell r="B1078" t="str">
            <v>"//shrzboost01/TRUMPF.NET/DATA_PDM2/Stöbich/Varianten/.GMV"</v>
          </cell>
          <cell r="C1078" t="str">
            <v>//shrzboost01/TRUMPF.NET/DATA_PDM2/Stöbich/Aufträge.GEO</v>
          </cell>
        </row>
        <row r="1079">
          <cell r="A1079" t="str">
            <v>0718236</v>
          </cell>
          <cell r="B1079" t="str">
            <v>"//shrzboost01/TRUMPF.NET/DATA_PDM2/Stöbich/Varianten/0718236.GMV"</v>
          </cell>
          <cell r="C1079" t="str">
            <v>//shrzboost01/TRUMPF.NET/DATA_PDM2/Stöbich/Aufträge.GEO</v>
          </cell>
        </row>
        <row r="1080">
          <cell r="A1080" t="str">
            <v>0718237</v>
          </cell>
          <cell r="B1080" t="str">
            <v>"//shrzboost01/TRUMPF.NET/DATA_PDM2/Stöbich/Varianten/0718237.GMV"</v>
          </cell>
          <cell r="C1080" t="str">
            <v>//shrzboost01/TRUMPF.NET/DATA_PDM2/Stöbich/Aufträge.GEO</v>
          </cell>
        </row>
        <row r="1081">
          <cell r="A1081" t="str">
            <v>0718239</v>
          </cell>
          <cell r="B1081" t="str">
            <v>"//shrzboost01/TRUMPF.NET/DATA_PDM2/Stöbich/Varianten/0718239.GMV"</v>
          </cell>
          <cell r="C1081" t="str">
            <v>//shrzboost01/TRUMPF.NET/DATA_PDM2/Stöbich/Aufträge.GEO</v>
          </cell>
        </row>
        <row r="1082">
          <cell r="A1082" t="str">
            <v>0718252</v>
          </cell>
          <cell r="B1082" t="str">
            <v>"//shrzboost01/TRUMPF.NET/DATA_PDM2/Stöbich/Varianten/0718252.GMV"</v>
          </cell>
          <cell r="C1082" t="str">
            <v>//shrzboost01/TRUMPF.NET/DATA_PDM2/Stöbich/Aufträge.GEO</v>
          </cell>
        </row>
        <row r="1083">
          <cell r="A1083" t="str">
            <v>0718240</v>
          </cell>
          <cell r="B1083" t="str">
            <v>"//shrzboost01/TRUMPF.NET/DATA_PDM2/Stöbich/Varianten/0718240.GMV"</v>
          </cell>
          <cell r="C1083" t="str">
            <v>//shrzboost01/TRUMPF.NET/DATA_PDM2/Stöbich/Aufträge.GEO</v>
          </cell>
        </row>
        <row r="1084">
          <cell r="A1084"/>
          <cell r="B1084"/>
          <cell r="C1084"/>
        </row>
        <row r="1085">
          <cell r="A1085" t="str">
            <v>0718249</v>
          </cell>
          <cell r="B1085" t="str">
            <v>"//shrzboost01/TRUMPF.NET/DATA_PDM2/Stöbich/Varianten/0718249.GMV"</v>
          </cell>
          <cell r="C1085" t="str">
            <v>//shrzboost01/TRUMPF.NET/DATA_PDM2/Stöbich/Aufträge.GEO</v>
          </cell>
        </row>
        <row r="1086">
          <cell r="A1086"/>
          <cell r="B1086"/>
          <cell r="C1086"/>
        </row>
        <row r="1087">
          <cell r="A1087" t="str">
            <v>0718255</v>
          </cell>
          <cell r="B1087" t="str">
            <v>"//shrzboost01/TRUMPF.NET/DATA_PDM2/Stöbich/Varianten/0718255.GMV"</v>
          </cell>
          <cell r="C1087" t="str">
            <v>//shrzboost01/TRUMPF.NET/DATA_PDM2/Stöbich/Aufträge.GEO</v>
          </cell>
        </row>
        <row r="1088">
          <cell r="A1088" t="str">
            <v>0718256</v>
          </cell>
          <cell r="B1088" t="str">
            <v>"//shrzboost01/TRUMPF.NET/DATA_PDM2/Stöbich/Varianten/0718256.GMV"</v>
          </cell>
          <cell r="C1088" t="str">
            <v>//shrzboost01/TRUMPF.NET/DATA_PDM2/Stöbich/Aufträge.GEO</v>
          </cell>
        </row>
        <row r="1089">
          <cell r="A1089" t="str">
            <v>0718257</v>
          </cell>
          <cell r="B1089" t="str">
            <v>"//shrzboost01/TRUMPF.NET/DATA_PDM2/Stöbich/Varianten/0718257.GMV"</v>
          </cell>
          <cell r="C1089" t="str">
            <v>//shrzboost01/TRUMPF.NET/DATA_PDM2/Stöbich/Aufträge.GEO</v>
          </cell>
        </row>
        <row r="1090">
          <cell r="A1090"/>
          <cell r="B1090" t="str">
            <v>"//shrzboost01/TRUMPF.NET/DATA_PDM2/Stöbich/Varianten/.GMV"</v>
          </cell>
          <cell r="C1090" t="str">
            <v>//shrzboost01/TRUMPF.NET/DATA_PDM2/Stöbich/Aufträge.GEO</v>
          </cell>
        </row>
        <row r="1091">
          <cell r="A1091"/>
          <cell r="B1091" t="str">
            <v>"//shrzboost01/TRUMPF.NET/DATA_PDM2/Stöbich/Varianten/.GMV"</v>
          </cell>
          <cell r="C1091" t="str">
            <v>//shrzboost01/TRUMPF.NET/DATA_PDM2/Stöbich/Aufträge.GEO</v>
          </cell>
        </row>
        <row r="1092">
          <cell r="A1092" t="str">
            <v>0718629</v>
          </cell>
          <cell r="B1092" t="str">
            <v>"//shrzboost01/TRUMPF.NET/DATA_PDM2/Stöbich/Varianten/0718629.GMV"</v>
          </cell>
          <cell r="C1092" t="str">
            <v>//shrzboost01/TRUMPF.NET/DATA_PDM2/Stöbich/Aufträge.GEO</v>
          </cell>
        </row>
        <row r="1093">
          <cell r="A1093"/>
          <cell r="B1093"/>
          <cell r="C1093"/>
        </row>
        <row r="1094">
          <cell r="A1094"/>
          <cell r="B1094"/>
          <cell r="C1094"/>
        </row>
        <row r="1095">
          <cell r="A1095"/>
          <cell r="B1095"/>
          <cell r="C1095"/>
        </row>
        <row r="1096">
          <cell r="A1096"/>
          <cell r="B1096"/>
          <cell r="C1096"/>
        </row>
        <row r="1097">
          <cell r="A1097"/>
          <cell r="B1097"/>
          <cell r="C1097"/>
        </row>
        <row r="1098">
          <cell r="A1098" t="str">
            <v>0719026</v>
          </cell>
          <cell r="B1098" t="str">
            <v>"//shrzboost01/TRUMPF.NET/DATA_PDM2/Stöbich/Varianten/0719026.GMV"</v>
          </cell>
          <cell r="C1098" t="str">
            <v>//shrzboost01/TRUMPF.NET/DATA_PDM2/Stöbich/Aufträge.GEO</v>
          </cell>
        </row>
        <row r="1099">
          <cell r="A1099" t="str">
            <v>0719027</v>
          </cell>
          <cell r="B1099" t="str">
            <v>"//shrzboost01/TRUMPF.NET/DATA_PDM2/Stöbich/Varianten/0719027.GMV"</v>
          </cell>
          <cell r="C1099" t="str">
            <v>//shrzboost01/TRUMPF.NET/DATA_PDM2/Stöbich/Aufträge.GEO</v>
          </cell>
        </row>
        <row r="1100">
          <cell r="A1100"/>
          <cell r="B1100"/>
          <cell r="C1100"/>
        </row>
        <row r="1101">
          <cell r="A1101" t="str">
            <v>0719255</v>
          </cell>
          <cell r="B1101" t="str">
            <v>"//shrzboost01/TRUMPF.NET/DATA_PDM2/Stöbich/Varianten/0719255.GMV"</v>
          </cell>
          <cell r="C1101" t="str">
            <v>//shrzboost01/TRUMPF.NET/DATA_PDM2/Stöbich/Aufträge.GEO</v>
          </cell>
        </row>
        <row r="1102">
          <cell r="A1102"/>
          <cell r="B1102"/>
          <cell r="C1102"/>
        </row>
        <row r="1103">
          <cell r="A1103" t="str">
            <v>0719362</v>
          </cell>
          <cell r="B1103" t="str">
            <v>"//shrzboost01/TRUMPF.NET/DATA_PDM2/Stöbich/Varianten/0719362.GMV"</v>
          </cell>
          <cell r="C1103" t="str">
            <v>//shrzboost01/TRUMPF.NET/DATA_PDM2/Stöbich/Aufträge.GEO</v>
          </cell>
        </row>
        <row r="1104">
          <cell r="A1104" t="str">
            <v>0719363</v>
          </cell>
          <cell r="B1104" t="str">
            <v>"//shrzboost01/TRUMPF.NET/DATA_PDM2/Stöbich/Varianten/0719363.GMV"</v>
          </cell>
          <cell r="C1104" t="str">
            <v>//shrzboost01/TRUMPF.NET/DATA_PDM2/Stöbich/Aufträge.GEO</v>
          </cell>
        </row>
        <row r="1105">
          <cell r="A1105" t="str">
            <v>0719364</v>
          </cell>
          <cell r="B1105" t="str">
            <v>"//shrzboost01/TRUMPF.NET/DATA_PDM2/Stöbich/Varianten/0719364.GMV"</v>
          </cell>
          <cell r="C1105" t="str">
            <v>//shrzboost01/TRUMPF.NET/DATA_PDM2/Stöbich/Aufträge.GEO</v>
          </cell>
        </row>
        <row r="1106">
          <cell r="A1106"/>
          <cell r="B1106"/>
          <cell r="C1106"/>
        </row>
        <row r="1107">
          <cell r="A1107" t="str">
            <v>0719590</v>
          </cell>
          <cell r="B1107" t="str">
            <v>"//shrzboost01/TRUMPF.NET/DATA_PDM2/Stöbich/Varianten/0719590.GMV"</v>
          </cell>
          <cell r="C1107" t="str">
            <v>//shrzboost01/TRUMPF.NET/DATA_PDM2/Stöbich/Aufträge.GEO</v>
          </cell>
        </row>
        <row r="1108">
          <cell r="A1108" t="str">
            <v>0719591</v>
          </cell>
          <cell r="B1108" t="str">
            <v>"//shrzboost01/TRUMPF.NET/DATA_PDM2/Stöbich/Varianten/0719591.GMV"</v>
          </cell>
          <cell r="C1108" t="str">
            <v>//shrzboost01/TRUMPF.NET/DATA_PDM2/Stöbich/Aufträge.GEO</v>
          </cell>
        </row>
        <row r="1109">
          <cell r="A1109" t="str">
            <v>0719592</v>
          </cell>
          <cell r="B1109" t="str">
            <v>"//shrzboost01/TRUMPF.NET/DATA_PDM2/Stöbich/Varianten/0719592.GMV"</v>
          </cell>
          <cell r="C1109" t="str">
            <v>//shrzboost01/TRUMPF.NET/DATA_PDM2/Stöbich/Aufträge.GEO</v>
          </cell>
        </row>
        <row r="1110">
          <cell r="A1110" t="str">
            <v>0719593</v>
          </cell>
          <cell r="B1110" t="str">
            <v>"//shrzboost01/TRUMPF.NET/DATA_PDM2/Stöbich/Varianten/0719593.GMV"</v>
          </cell>
          <cell r="C1110" t="str">
            <v>//shrzboost01/TRUMPF.NET/DATA_PDM2/Stöbich/Aufträge.GEO</v>
          </cell>
        </row>
        <row r="1111">
          <cell r="A1111" t="str">
            <v>0719594</v>
          </cell>
          <cell r="B1111" t="str">
            <v>"//shrzboost01/TRUMPF.NET/DATA_PDM2/Stöbich/Varianten/0719594.GMV"</v>
          </cell>
          <cell r="C1111" t="str">
            <v>//shrzboost01/TRUMPF.NET/DATA_PDM2/Stöbich/Aufträge.GEO</v>
          </cell>
        </row>
        <row r="1112">
          <cell r="A1112" t="str">
            <v>0719595</v>
          </cell>
          <cell r="B1112" t="str">
            <v>"//shrzboost01/TRUMPF.NET/DATA_PDM2/Stöbich/Varianten/0719595.GMV"</v>
          </cell>
          <cell r="C1112" t="str">
            <v>//shrzboost01/TRUMPF.NET/DATA_PDM2/Stöbich/Aufträge.GEO</v>
          </cell>
        </row>
        <row r="1113">
          <cell r="A1113" t="str">
            <v>0719596</v>
          </cell>
          <cell r="B1113" t="str">
            <v>"//shrzboost01/TRUMPF.NET/DATA_PDM2/Stöbich/Varianten/0719596.GMV"</v>
          </cell>
          <cell r="C1113" t="str">
            <v>//shrzboost01/TRUMPF.NET/DATA_PDM2/Stöbich/Aufträge.GEO</v>
          </cell>
        </row>
        <row r="1114">
          <cell r="A1114" t="str">
            <v>0719597</v>
          </cell>
          <cell r="B1114" t="str">
            <v>"//shrzboost01/TRUMPF.NET/DATA_PDM2/Stöbich/Varianten/0719597.GMV"</v>
          </cell>
          <cell r="C1114" t="str">
            <v>//shrzboost01/TRUMPF.NET/DATA_PDM2/Stöbich/Aufträge.GEO</v>
          </cell>
        </row>
        <row r="1115">
          <cell r="A1115" t="str">
            <v>0719598</v>
          </cell>
          <cell r="B1115" t="str">
            <v>"//shrzboost01/TRUMPF.NET/DATA_PDM2/Stöbich/Varianten/0719598.GMV"</v>
          </cell>
          <cell r="C1115" t="str">
            <v>//shrzboost01/TRUMPF.NET/DATA_PDM2/Stöbich/Aufträge.GEO</v>
          </cell>
        </row>
        <row r="1116">
          <cell r="A1116"/>
          <cell r="B1116"/>
          <cell r="C1116"/>
        </row>
        <row r="1117">
          <cell r="A1117"/>
          <cell r="B1117"/>
          <cell r="C1117"/>
        </row>
        <row r="1118">
          <cell r="A1118"/>
          <cell r="B1118"/>
          <cell r="C1118"/>
        </row>
        <row r="1119">
          <cell r="A1119"/>
          <cell r="B1119"/>
          <cell r="C1119"/>
        </row>
        <row r="1120">
          <cell r="A1120" t="str">
            <v>0719678</v>
          </cell>
          <cell r="B1120" t="str">
            <v>"//shrzboost01/TRUMPF.NET/DATA_PDM2/Stöbich/Varianten/0719678.GMV"</v>
          </cell>
          <cell r="C1120" t="str">
            <v>//shrzboost01/TRUMPF.NET/DATA_PDM2/Stöbich/Aufträge.GEO</v>
          </cell>
        </row>
        <row r="1121">
          <cell r="A1121" t="str">
            <v>0719679</v>
          </cell>
          <cell r="B1121" t="str">
            <v>"//shrzboost01/TRUMPF.NET/DATA_PDM2/Stöbich/Varianten/0719679.GMV"</v>
          </cell>
          <cell r="C1121" t="str">
            <v>//shrzboost01/TRUMPF.NET/DATA_PDM2/Stöbich/Aufträge.GEO</v>
          </cell>
        </row>
        <row r="1122">
          <cell r="A1122" t="str">
            <v>0719680</v>
          </cell>
          <cell r="B1122" t="str">
            <v>"//shrzboost01/TRUMPF.NET/DATA_PDM2/Stöbich/Varianten/0719680.GMV"</v>
          </cell>
          <cell r="C1122" t="str">
            <v>//shrzboost01/TRUMPF.NET/DATA_PDM2/Stöbich/Aufträge.GEO</v>
          </cell>
        </row>
        <row r="1123">
          <cell r="A1123" t="str">
            <v>0719734</v>
          </cell>
          <cell r="B1123" t="str">
            <v>"//shrzboost01/TRUMPF.NET/DATA_PDM2/Stöbich/Varianten/0719734.GMV"</v>
          </cell>
          <cell r="C1123" t="str">
            <v>//shrzboost01/TRUMPF.NET/DATA_PDM2/Stöbich/Aufträge.GEO</v>
          </cell>
        </row>
        <row r="1124">
          <cell r="A1124" t="str">
            <v>0719747</v>
          </cell>
          <cell r="B1124" t="str">
            <v>"//shrzboost01/TRUMPF.NET/DATA_PDM2/Stöbich/Varianten/0719747.GMV"</v>
          </cell>
          <cell r="C1124" t="str">
            <v>//shrzboost01/TRUMPF.NET/DATA_PDM2/Stöbich/Aufträge.GEO</v>
          </cell>
        </row>
        <row r="1125">
          <cell r="A1125"/>
          <cell r="B1125"/>
          <cell r="C1125"/>
        </row>
        <row r="1126">
          <cell r="A1126" t="str">
            <v>0714805</v>
          </cell>
          <cell r="B1126" t="str">
            <v>"//shrzboost01/TRUMPF.NET/DATA_PDM2/Stöbich/Varianten/0714805.GMV"</v>
          </cell>
          <cell r="C1126" t="str">
            <v>//shrzboost01/TRUMPF.NET/DATA_PDM2/Stöbich/Aufträge.GEO</v>
          </cell>
        </row>
        <row r="1127">
          <cell r="A1127" t="str">
            <v>0714806</v>
          </cell>
          <cell r="B1127" t="str">
            <v>"//shrzboost01/TRUMPF.NET/DATA_PDM2/Stöbich/Varianten/0714806.GMV"</v>
          </cell>
          <cell r="C1127" t="str">
            <v>//shrzboost01/TRUMPF.NET/DATA_PDM2/Stöbich/Aufträge.GEO</v>
          </cell>
        </row>
        <row r="1128">
          <cell r="A1128"/>
          <cell r="B1128"/>
          <cell r="C1128"/>
        </row>
        <row r="1129">
          <cell r="A1129" t="str">
            <v>0714808</v>
          </cell>
          <cell r="B1129" t="str">
            <v>"//shrzboost01/TRUMPF.NET/DATA_PDM2/Stöbich/Varianten/0714808.GMV"</v>
          </cell>
          <cell r="C1129" t="str">
            <v>//shrzboost01/TRUMPF.NET/DATA_PDM2/Stöbich/Aufträge.GEO</v>
          </cell>
        </row>
        <row r="1130">
          <cell r="A1130" t="str">
            <v>0715621</v>
          </cell>
          <cell r="B1130" t="str">
            <v>"//shrzboost01/TRUMPF.NET/DATA_PDM2/Stöbich/Varianten/0715621.GMV"</v>
          </cell>
          <cell r="C1130" t="str">
            <v>//shrzboost01/TRUMPF.NET/DATA_PDM2/Stöbich/Aufträge.GEO</v>
          </cell>
        </row>
        <row r="1131">
          <cell r="A1131" t="str">
            <v>0715620</v>
          </cell>
          <cell r="B1131" t="str">
            <v>"//shrzboost01/TRUMPF.NET/DATA_PDM2/Stöbich/Varianten/0715620.GMV"</v>
          </cell>
          <cell r="C1131" t="str">
            <v>//shrzboost01/TRUMPF.NET/DATA_PDM2/Stöbich/Aufträge.GEO</v>
          </cell>
        </row>
        <row r="1132">
          <cell r="A1132" t="str">
            <v>0715619</v>
          </cell>
          <cell r="B1132" t="str">
            <v>"//shrzboost01/TRUMPF.NET/DATA_PDM2/Stöbich/Varianten/0715619.GMV"</v>
          </cell>
          <cell r="C1132" t="str">
            <v>//shrzboost01/TRUMPF.NET/DATA_PDM2/Stöbich/Aufträge.GEO</v>
          </cell>
        </row>
        <row r="1133">
          <cell r="A1133" t="str">
            <v>0715614</v>
          </cell>
          <cell r="B1133" t="str">
            <v>"//shrzboost01/TRUMPF.NET/DATA_PDM2/Stöbich/Varianten/0715614.GMV"</v>
          </cell>
          <cell r="C1133" t="str">
            <v>//shrzboost01/TRUMPF.NET/DATA_PDM2/Stöbich/Aufträge.GEO</v>
          </cell>
        </row>
        <row r="1134">
          <cell r="A1134" t="str">
            <v>0715593</v>
          </cell>
          <cell r="B1134" t="str">
            <v>"//shrzboost01/TRUMPF.NET/DATA_PDM2/Stöbich/Varianten/0715593.GMV"</v>
          </cell>
          <cell r="C1134" t="str">
            <v>//shrzboost01/TRUMPF.NET/DATA_PDM2/Stöbich/Aufträge.GEO</v>
          </cell>
        </row>
        <row r="1135">
          <cell r="A1135" t="str">
            <v>0715592</v>
          </cell>
          <cell r="B1135" t="str">
            <v>"//shrzboost01/TRUMPF.NET/DATA_PDM2/Stöbich/Varianten/0715592.GMV"</v>
          </cell>
          <cell r="C1135" t="str">
            <v>//shrzboost01/TRUMPF.NET/DATA_PDM2/Stöbich/Aufträge.GEO</v>
          </cell>
        </row>
        <row r="1136">
          <cell r="A1136" t="str">
            <v>0715591</v>
          </cell>
          <cell r="B1136" t="str">
            <v>"//shrzboost01/TRUMPF.NET/DATA_PDM2/Stöbich/Varianten/0715591.GMV"</v>
          </cell>
          <cell r="C1136" t="str">
            <v>//shrzboost01/TRUMPF.NET/DATA_PDM2/Stöbich/Aufträge.GEO</v>
          </cell>
        </row>
        <row r="1137">
          <cell r="A1137" t="str">
            <v>0715590</v>
          </cell>
          <cell r="B1137" t="str">
            <v>"//shrzboost01/TRUMPF.NET/DATA_PDM2/Stöbich/Varianten/0715590.GMV"</v>
          </cell>
          <cell r="C1137" t="str">
            <v>//shrzboost01/TRUMPF.NET/DATA_PDM2/Stöbich/Aufträge.GEO</v>
          </cell>
        </row>
        <row r="1138">
          <cell r="A1138" t="str">
            <v>0713148</v>
          </cell>
          <cell r="B1138" t="str">
            <v>"//shrzboost01/TRUMPF.NET/DATA_PDM2/Stöbich/Varianten/0713148.GMV"</v>
          </cell>
          <cell r="C1138" t="str">
            <v>//shrzboost01/TRUMPF.NET/DATA_PDM2/Stöbich/Aufträge.GEO</v>
          </cell>
        </row>
        <row r="1139">
          <cell r="A1139" t="str">
            <v>0713149</v>
          </cell>
          <cell r="B1139" t="str">
            <v>"//shrzboost01/TRUMPF.NET/DATA_PDM2/Stöbich/Varianten/0713149.GMV"</v>
          </cell>
          <cell r="C1139" t="str">
            <v>//shrzboost01/TRUMPF.NET/DATA_PDM2/Stöbich/Aufträge.GEO</v>
          </cell>
        </row>
        <row r="1140">
          <cell r="A1140" t="str">
            <v>0713144</v>
          </cell>
          <cell r="B1140" t="str">
            <v>"//shrzboost01/TRUMPF.NET/DATA_PDM2/Stöbich/Varianten/0713144.GMV"</v>
          </cell>
          <cell r="C1140" t="str">
            <v>//shrzboost01/TRUMPF.NET/DATA_PDM2/Stöbich/Aufträge.GEO</v>
          </cell>
        </row>
        <row r="1141">
          <cell r="A1141" t="str">
            <v>0713143</v>
          </cell>
          <cell r="B1141" t="str">
            <v>"//shrzboost01/TRUMPF.NET/DATA_PDM2/Stöbich/Varianten/0713143.GMV"</v>
          </cell>
          <cell r="C1141" t="str">
            <v>//shrzboost01/TRUMPF.NET/DATA_PDM2/Stöbich/Aufträge.GEO</v>
          </cell>
        </row>
        <row r="1142">
          <cell r="A1142" t="str">
            <v>0713142</v>
          </cell>
          <cell r="B1142" t="str">
            <v>"//shrzboost01/TRUMPF.NET/DATA_PDM2/Stöbich/Varianten/0713142.GMV"</v>
          </cell>
          <cell r="C1142" t="str">
            <v>//shrzboost01/TRUMPF.NET/DATA_PDM2/Stöbich/Aufträge.GEO</v>
          </cell>
        </row>
        <row r="1143">
          <cell r="A1143" t="str">
            <v>0713141</v>
          </cell>
          <cell r="B1143" t="str">
            <v>"//shrzboost01/TRUMPF.NET/DATA_PDM2/Stöbich/Varianten/0713141.GMV"</v>
          </cell>
          <cell r="C1143" t="str">
            <v>//shrzboost01/TRUMPF.NET/DATA_PDM2/Stöbich/Aufträge.GEO</v>
          </cell>
        </row>
        <row r="1144">
          <cell r="A1144" t="str">
            <v>0713140</v>
          </cell>
          <cell r="B1144" t="str">
            <v>"//shrzboost01/TRUMPF.NET/DATA_PDM2/Stöbich/Varianten/0713140.GMV"</v>
          </cell>
          <cell r="C1144" t="str">
            <v>//shrzboost01/TRUMPF.NET/DATA_PDM2/Stöbich/Aufträge.GEO</v>
          </cell>
        </row>
        <row r="1145">
          <cell r="A1145" t="str">
            <v>0713139</v>
          </cell>
          <cell r="B1145" t="str">
            <v>"//shrzboost01/TRUMPF.NET/DATA_PDM2/Stöbich/Varianten/0713139.GMV"</v>
          </cell>
          <cell r="C1145" t="str">
            <v>//shrzboost01/TRUMPF.NET/DATA_PDM2/Stöbich/Aufträge.GEO</v>
          </cell>
        </row>
        <row r="1146">
          <cell r="A1146" t="str">
            <v>0713138</v>
          </cell>
          <cell r="B1146" t="str">
            <v>"//shrzboost01/TRUMPF.NET/DATA_PDM2/Stöbich/Varianten/0713138.GMV"</v>
          </cell>
          <cell r="C1146" t="str">
            <v>//shrzboost01/TRUMPF.NET/DATA_PDM2/Stöbich/Aufträge.GEO</v>
          </cell>
        </row>
        <row r="1147">
          <cell r="A1147" t="str">
            <v>0713137</v>
          </cell>
          <cell r="B1147" t="str">
            <v>"//shrzboost01/TRUMPF.NET/DATA_PDM2/Stöbich/Varianten/0713137.GMV"</v>
          </cell>
          <cell r="C1147" t="str">
            <v>//shrzboost01/TRUMPF.NET/DATA_PDM2/Stöbich/Aufträge.GEO</v>
          </cell>
        </row>
        <row r="1148">
          <cell r="A1148" t="str">
            <v>0713136</v>
          </cell>
          <cell r="B1148" t="str">
            <v>"//shrzboost01/TRUMPF.NET/DATA_PDM2/Stöbich/Varianten/0713136.GMV"</v>
          </cell>
          <cell r="C1148" t="str">
            <v>//shrzboost01/TRUMPF.NET/DATA_PDM2/Stöbich/Aufträge.GEO</v>
          </cell>
        </row>
        <row r="1149">
          <cell r="A1149" t="str">
            <v>0713135</v>
          </cell>
          <cell r="B1149" t="str">
            <v>"//shrzboost01/TRUMPF.NET/DATA_PDM2/Stöbich/Varianten/0713135.GMV"</v>
          </cell>
          <cell r="C1149" t="str">
            <v>//shrzboost01/TRUMPF.NET/DATA_PDM2/Stöbich/Aufträge.GEO</v>
          </cell>
        </row>
        <row r="1150">
          <cell r="A1150" t="str">
            <v>0713134</v>
          </cell>
          <cell r="B1150" t="str">
            <v>"//shrzboost01/TRUMPF.NET/DATA_PDM2/Stöbich/Varianten/0713134.GMV"</v>
          </cell>
          <cell r="C1150" t="str">
            <v>//shrzboost01/TRUMPF.NET/DATA_PDM2/Stöbich/Aufträge.GEO</v>
          </cell>
        </row>
        <row r="1151">
          <cell r="A1151" t="str">
            <v>0713133</v>
          </cell>
          <cell r="B1151" t="str">
            <v>"//shrzboost01/TRUMPF.NET/DATA_PDM2/Stöbich/Varianten/0713133.GMV"</v>
          </cell>
          <cell r="C1151" t="str">
            <v>//shrzboost01/TRUMPF.NET/DATA_PDM2/Stöbich/Aufträge.GEO</v>
          </cell>
        </row>
        <row r="1152">
          <cell r="A1152" t="str">
            <v>0713132</v>
          </cell>
          <cell r="B1152" t="str">
            <v>"//shrzboost01/TRUMPF.NET/DATA_PDM2/Stöbich/Varianten/0713132.GMV"</v>
          </cell>
          <cell r="C1152" t="str">
            <v>//shrzboost01/TRUMPF.NET/DATA_PDM2/Stöbich/Aufträge.GEO</v>
          </cell>
        </row>
        <row r="1153">
          <cell r="A1153" t="str">
            <v>0713036</v>
          </cell>
          <cell r="B1153" t="str">
            <v>"//shrzboost01/TRUMPF.NET/DATA_PDM2/Stöbich/Varianten/0713036.GMV"</v>
          </cell>
          <cell r="C1153" t="str">
            <v>//shrzboost01/TRUMPF.NET/DATA_PDM2/Stöbich/Aufträge.GEO</v>
          </cell>
        </row>
        <row r="1154">
          <cell r="A1154" t="str">
            <v>0713032</v>
          </cell>
          <cell r="B1154" t="str">
            <v>"//shrzboost01/TRUMPF.NET/DATA_PDM2/Stöbich/Varianten/0713032.GMV"</v>
          </cell>
          <cell r="C1154" t="str">
            <v>//shrzboost01/TRUMPF.NET/DATA_PDM2/Stöbich/Aufträge.GEO</v>
          </cell>
        </row>
        <row r="1155">
          <cell r="A1155" t="str">
            <v>0713031</v>
          </cell>
          <cell r="B1155" t="str">
            <v>"//shrzboost01/TRUMPF.NET/DATA_PDM2/Stöbich/Varianten/0713031.GMV"</v>
          </cell>
          <cell r="C1155" t="str">
            <v>//shrzboost01/TRUMPF.NET/DATA_PDM2/Stöbich/Aufträge.GEO</v>
          </cell>
        </row>
        <row r="1156">
          <cell r="A1156" t="str">
            <v>0713030</v>
          </cell>
          <cell r="B1156" t="str">
            <v>"//shrzboost01/TRUMPF.NET/DATA_PDM2/Stöbich/Varianten/0713030.GMV"</v>
          </cell>
          <cell r="C1156" t="str">
            <v>//shrzboost01/TRUMPF.NET/DATA_PDM2/Stöbich/Aufträge.GEO</v>
          </cell>
        </row>
        <row r="1157">
          <cell r="A1157" t="str">
            <v>0717473</v>
          </cell>
          <cell r="B1157" t="str">
            <v>"//shrzboost01/TRUMPF.NET/DATA_PDM2/Stöbich/Varianten/0717473.GMV"</v>
          </cell>
          <cell r="C1157" t="str">
            <v>//shrzboost01/TRUMPF.NET/DATA_PDM2/Stöbich/Aufträge.GEO</v>
          </cell>
        </row>
        <row r="1158">
          <cell r="A1158" t="str">
            <v>0717477</v>
          </cell>
          <cell r="B1158" t="str">
            <v>"//shrzboost01/TRUMPF.NET/DATA_PDM2/Stöbich/Varianten/0717477.GMV"</v>
          </cell>
          <cell r="C1158" t="str">
            <v>//shrzboost01/TRUMPF.NET/DATA_PDM2/Stöbich/Aufträge.GEO</v>
          </cell>
        </row>
        <row r="1159">
          <cell r="A1159" t="str">
            <v>0717478</v>
          </cell>
          <cell r="B1159" t="str">
            <v>"//shrzboost01/TRUMPF.NET/DATA_PDM2/Stöbich/Varianten/0717478.GMV"</v>
          </cell>
          <cell r="C1159" t="str">
            <v>//shrzboost01/TRUMPF.NET/DATA_PDM2/Stöbich/Aufträge.GEO</v>
          </cell>
        </row>
        <row r="1160">
          <cell r="A1160" t="str">
            <v>0717479</v>
          </cell>
          <cell r="B1160" t="str">
            <v>"//shrzboost01/TRUMPF.NET/DATA_PDM2/Stöbich/Varianten/0717479.GMV"</v>
          </cell>
          <cell r="C1160" t="str">
            <v>//shrzboost01/TRUMPF.NET/DATA_PDM2/Stöbich/Aufträge.GEO</v>
          </cell>
        </row>
        <row r="1161">
          <cell r="A1161" t="str">
            <v>0717480</v>
          </cell>
          <cell r="B1161" t="str">
            <v>"//shrzboost01/TRUMPF.NET/DATA_PDM2/Stöbich/Varianten/0717480.GMV"</v>
          </cell>
          <cell r="C1161" t="str">
            <v>//shrzboost01/TRUMPF.NET/DATA_PDM2/Stöbich/Aufträge.GEO</v>
          </cell>
        </row>
        <row r="1162">
          <cell r="A1162" t="str">
            <v>0717813</v>
          </cell>
          <cell r="B1162" t="str">
            <v>"//shrzboost01/TRUMPF.NET/DATA_PDM2/Stöbich/Varianten/0717813.GMV"</v>
          </cell>
          <cell r="C1162" t="str">
            <v>//shrzboost01/TRUMPF.NET/DATA_PDM2/Stöbich/Aufträge.GEO</v>
          </cell>
        </row>
        <row r="1163">
          <cell r="A1163" t="str">
            <v>0717837</v>
          </cell>
          <cell r="B1163" t="str">
            <v>"//shrzboost01/TRUMPF.NET/DATA_PDM2/Stöbich/Varianten/0717837.GMV"</v>
          </cell>
          <cell r="C1163" t="str">
            <v>//shrzboost01/TRUMPF.NET/DATA_PDM2/Stöbich/Aufträge.GEO</v>
          </cell>
        </row>
        <row r="1164">
          <cell r="A1164" t="str">
            <v>0717494</v>
          </cell>
          <cell r="B1164" t="str">
            <v>"//shrzboost01/TRUMPF.NET/DATA_PDM2/Stöbich/Varianten/0717494.GMV"</v>
          </cell>
          <cell r="C1164" t="str">
            <v>//shrzboost01/TRUMPF.NET/DATA_PDM2/Stöbich/Aufträge.GEO</v>
          </cell>
        </row>
        <row r="1165">
          <cell r="A1165" t="str">
            <v>0717495</v>
          </cell>
          <cell r="B1165" t="str">
            <v>"//shrzboost01/TRUMPF.NET/DATA_PDM2/Stöbich/Varianten/0717495.GMV"</v>
          </cell>
          <cell r="C1165" t="str">
            <v>//shrzboost01/TRUMPF.NET/DATA_PDM2/Stöbich/Aufträge.GEO</v>
          </cell>
        </row>
        <row r="1166">
          <cell r="A1166" t="str">
            <v>0717496</v>
          </cell>
          <cell r="B1166" t="str">
            <v>"//shrzboost01/TRUMPF.NET/DATA_PDM2/Stöbich/Varianten/0717496.GMV"</v>
          </cell>
          <cell r="C1166" t="str">
            <v>//shrzboost01/TRUMPF.NET/DATA_PDM2/Stöbich/Aufträge.GEO</v>
          </cell>
        </row>
        <row r="1167">
          <cell r="A1167" t="str">
            <v>0717497</v>
          </cell>
          <cell r="B1167" t="str">
            <v>"//shrzboost01/TRUMPF.NET/DATA_PDM2/Stöbich/Varianten/0717497.GMV"</v>
          </cell>
          <cell r="C1167" t="str">
            <v>//shrzboost01/TRUMPF.NET/DATA_PDM2/Stöbich/Aufträge.GEO</v>
          </cell>
        </row>
        <row r="1168">
          <cell r="A1168" t="str">
            <v>0717498</v>
          </cell>
          <cell r="B1168" t="str">
            <v>"//shrzboost01/TRUMPF.NET/DATA_PDM2/Stöbich/Varianten/0717498.GMV"</v>
          </cell>
          <cell r="C1168" t="str">
            <v>//shrzboost01/TRUMPF.NET/DATA_PDM2/Stöbich/Aufträge.GEO</v>
          </cell>
        </row>
        <row r="1169">
          <cell r="A1169" t="str">
            <v>0717499</v>
          </cell>
          <cell r="B1169" t="str">
            <v>"//shrzboost01/TRUMPF.NET/DATA_PDM2/Stöbich/Varianten/0717499.GMV"</v>
          </cell>
          <cell r="C1169" t="str">
            <v>//shrzboost01/TRUMPF.NET/DATA_PDM2/Stöbich/Aufträge.GEO</v>
          </cell>
        </row>
        <row r="1170">
          <cell r="A1170" t="str">
            <v>0717515</v>
          </cell>
          <cell r="B1170" t="str">
            <v>"//shrzboost01/TRUMPF.NET/DATA_PDM2/Stöbich/Varianten/0717515.GMV"</v>
          </cell>
          <cell r="C1170" t="str">
            <v>//shrzboost01/TRUMPF.NET/DATA_PDM2/Stöbich/Aufträge.GEO</v>
          </cell>
        </row>
        <row r="1171">
          <cell r="A1171" t="str">
            <v>0717516</v>
          </cell>
          <cell r="B1171" t="str">
            <v>"//shrzboost01/TRUMPF.NET/DATA_PDM2/Stöbich/Varianten/0717516.GMV"</v>
          </cell>
          <cell r="C1171" t="str">
            <v>//shrzboost01/TRUMPF.NET/DATA_PDM2/Stöbich/Aufträge.GEO</v>
          </cell>
        </row>
        <row r="1172">
          <cell r="A1172" t="str">
            <v>0717681</v>
          </cell>
          <cell r="B1172" t="str">
            <v>"//shrzboost01/TRUMPF.NET/DATA_PDM2/Stöbich/Varianten/0717681.GMV"</v>
          </cell>
          <cell r="C1172" t="str">
            <v>//shrzboost01/TRUMPF.NET/DATA_PDM2/Stöbich/Aufträge.GEO</v>
          </cell>
        </row>
        <row r="1173">
          <cell r="A1173" t="str">
            <v>0717682</v>
          </cell>
          <cell r="B1173" t="str">
            <v>"//shrzboost01/TRUMPF.NET/DATA_PDM2/Stöbich/Varianten/0717682.GMV"</v>
          </cell>
          <cell r="C1173" t="str">
            <v>//shrzboost01/TRUMPF.NET/DATA_PDM2/Stöbich/Aufträge.GEO</v>
          </cell>
        </row>
        <row r="1174">
          <cell r="A1174" t="str">
            <v>0717683</v>
          </cell>
          <cell r="B1174" t="str">
            <v>"//shrzboost01/TRUMPF.NET/DATA_PDM2/Stöbich/Varianten/0717683.GMV"</v>
          </cell>
          <cell r="C1174" t="str">
            <v>//shrzboost01/TRUMPF.NET/DATA_PDM2/Stöbich/Aufträge.GEO</v>
          </cell>
        </row>
        <row r="1175">
          <cell r="A1175" t="str">
            <v>0717684</v>
          </cell>
          <cell r="B1175" t="str">
            <v>"//shrzboost01/TRUMPF.NET/DATA_PDM2/Stöbich/Varianten/0717684.GMV"</v>
          </cell>
          <cell r="C1175" t="str">
            <v>//shrzboost01/TRUMPF.NET/DATA_PDM2/Stöbich/Aufträge.GEO</v>
          </cell>
        </row>
        <row r="1176">
          <cell r="A1176" t="str">
            <v>0717685</v>
          </cell>
          <cell r="B1176" t="str">
            <v>"//shrzboost01/TRUMPF.NET/DATA_PDM2/Stöbich/Varianten/0717685.GMV"</v>
          </cell>
          <cell r="C1176" t="str">
            <v>//shrzboost01/TRUMPF.NET/DATA_PDM2/Stöbich/Aufträge.GEO</v>
          </cell>
        </row>
        <row r="1177">
          <cell r="A1177" t="str">
            <v>0717686</v>
          </cell>
          <cell r="B1177" t="str">
            <v>"//shrzboost01/TRUMPF.NET/DATA_PDM2/Stöbich/Varianten/0717686.GMV"</v>
          </cell>
          <cell r="C1177" t="str">
            <v>//shrzboost01/TRUMPF.NET/DATA_PDM2/Stöbich/Aufträge.GEO</v>
          </cell>
        </row>
        <row r="1178">
          <cell r="A1178"/>
          <cell r="B1178" t="str">
            <v>"//shrzboost01/TRUMPF.NET/DATA_PDM2/Stöbich/Varianten/.GMV"</v>
          </cell>
          <cell r="C1178" t="str">
            <v>//shrzboost01/TRUMPF.NET/DATA_PDM2/Stöbich/Aufträge.GEO</v>
          </cell>
        </row>
        <row r="1179">
          <cell r="A1179"/>
          <cell r="B1179" t="str">
            <v>"//shrzboost01/TRUMPF.NET/DATA_PDM2/Stöbich/Varianten/.GMV"</v>
          </cell>
          <cell r="C1179" t="str">
            <v>//shrzboost01/TRUMPF.NET/DATA_PDM2/Stöbich/Aufträge.GEO</v>
          </cell>
        </row>
        <row r="1180">
          <cell r="A1180" t="str">
            <v>0712814</v>
          </cell>
          <cell r="B1180" t="str">
            <v>"//shrzboost01/TRUMPF.NET/DATA_PDM2/Stöbich/Varianten/0712814.GMV"</v>
          </cell>
          <cell r="C1180" t="str">
            <v>//shrzboost01/TRUMPF.NET/DATA_PDM2/Stöbich/Aufträge.GEO</v>
          </cell>
        </row>
        <row r="1181">
          <cell r="A1181" t="str">
            <v>0712815</v>
          </cell>
          <cell r="B1181" t="str">
            <v>"//shrzboost01/TRUMPF.NET/DATA_PDM2/Stöbich/Varianten/0712815.GMV"</v>
          </cell>
          <cell r="C1181" t="str">
            <v>//shrzboost01/TRUMPF.NET/DATA_PDM2/Stöbich/Aufträge.GEO</v>
          </cell>
        </row>
        <row r="1182">
          <cell r="A1182" t="str">
            <v>0712816</v>
          </cell>
          <cell r="B1182" t="str">
            <v>"//shrzboost01/TRUMPF.NET/DATA_PDM2/Stöbich/Varianten/0712816.GMV"</v>
          </cell>
          <cell r="C1182" t="str">
            <v>//shrzboost01/TRUMPF.NET/DATA_PDM2/Stöbich/Aufträge.GEO</v>
          </cell>
        </row>
        <row r="1183">
          <cell r="A1183"/>
          <cell r="B1183" t="str">
            <v>"//shrzboost01/TRUMPF.NET/DATA_PDM2/Stöbich/Varianten/.GMV"</v>
          </cell>
          <cell r="C1183" t="str">
            <v>//shrzboost01/TRUMPF.NET/DATA_PDM2/Stöbich/Aufträge.GEO</v>
          </cell>
        </row>
        <row r="1184">
          <cell r="A1184" t="str">
            <v>0714441</v>
          </cell>
          <cell r="B1184" t="str">
            <v>"//shrzboost01/TRUMPF.NET/DATA_PDM2/Stöbich/Varianten/0714441.GMV"</v>
          </cell>
          <cell r="C1184" t="str">
            <v>//shrzboost01/TRUMPF.NET/DATA_PDM2/Stöbich/Aufträge.GEO</v>
          </cell>
        </row>
        <row r="1185">
          <cell r="A1185" t="str">
            <v>0714631</v>
          </cell>
          <cell r="B1185" t="str">
            <v>"//shrzboost01/TRUMPF.NET/DATA_PDM2/Stöbich/Varianten/0714631.GMV"</v>
          </cell>
          <cell r="C1185" t="str">
            <v>//shrzboost01/TRUMPF.NET/DATA_PDM2/Stöbich/Aufträge.GEO</v>
          </cell>
        </row>
        <row r="1186">
          <cell r="A1186" t="str">
            <v>0714632</v>
          </cell>
          <cell r="B1186" t="str">
            <v>"//shrzboost01/TRUMPF.NET/DATA_PDM2/Stöbich/Varianten/0714632.GMV"</v>
          </cell>
          <cell r="C1186" t="str">
            <v>//shrzboost01/TRUMPF.NET/DATA_PDM2/Stöbich/Aufträge.GEO</v>
          </cell>
        </row>
        <row r="1187">
          <cell r="A1187"/>
          <cell r="B1187" t="str">
            <v>"//shrzboost01/TRUMPF.NET/DATA_PDM2/Stöbich/Varianten/.GMV"</v>
          </cell>
          <cell r="C1187" t="str">
            <v>//shrzboost01/TRUMPF.NET/DATA_PDM2/Stöbich/Aufträge.GEO</v>
          </cell>
        </row>
        <row r="1188">
          <cell r="A1188" t="str">
            <v>0714635</v>
          </cell>
          <cell r="B1188" t="str">
            <v>"//shrzboost01/TRUMPF.NET/DATA_PDM2/Stöbich/Varianten/0714635.GMV"</v>
          </cell>
          <cell r="C1188" t="str">
            <v>//shrzboost01/TRUMPF.NET/DATA_PDM2/Stöbich/Aufträge.GEO</v>
          </cell>
        </row>
        <row r="1189">
          <cell r="A1189" t="str">
            <v>0714636</v>
          </cell>
          <cell r="B1189" t="str">
            <v>"//shrzboost01/TRUMPF.NET/DATA_PDM2/Stöbich/Varianten/0714636.GMV"</v>
          </cell>
          <cell r="C1189" t="str">
            <v>//shrzboost01/TRUMPF.NET/DATA_PDM2/Stöbich/Aufträge.GEO</v>
          </cell>
        </row>
        <row r="1190">
          <cell r="A1190" t="str">
            <v>0714639</v>
          </cell>
          <cell r="B1190" t="str">
            <v>"//shrzboost01/TRUMPF.NET/DATA_PDM2/Stöbich/Varianten/0714639.GMV"</v>
          </cell>
          <cell r="C1190" t="str">
            <v>//shrzboost01/TRUMPF.NET/DATA_PDM2/Stöbich/Aufträge.GEO</v>
          </cell>
        </row>
        <row r="1191">
          <cell r="A1191" t="str">
            <v>0714640</v>
          </cell>
          <cell r="B1191" t="str">
            <v>"//shrzboost01/TRUMPF.NET/DATA_PDM2/Stöbich/Varianten/0714640.GMV"</v>
          </cell>
          <cell r="C1191" t="str">
            <v>//shrzboost01/TRUMPF.NET/DATA_PDM2/Stöbich/Aufträge.GEO</v>
          </cell>
        </row>
        <row r="1192">
          <cell r="A1192" t="str">
            <v>0714643</v>
          </cell>
          <cell r="B1192" t="str">
            <v>"//shrzboost01/TRUMPF.NET/DATA_PDM2/Stöbich/Varianten/0714643.GMV"</v>
          </cell>
          <cell r="C1192" t="str">
            <v>//shrzboost01/TRUMPF.NET/DATA_PDM2/Stöbich/Aufträge.GEO</v>
          </cell>
        </row>
        <row r="1193">
          <cell r="A1193" t="str">
            <v>0714644</v>
          </cell>
          <cell r="B1193" t="str">
            <v>"//shrzboost01/TRUMPF.NET/DATA_PDM2/Stöbich/Varianten/0714644.GMV"</v>
          </cell>
          <cell r="C1193" t="str">
            <v>//shrzboost01/TRUMPF.NET/DATA_PDM2/Stöbich/Aufträge.GEO</v>
          </cell>
        </row>
        <row r="1194">
          <cell r="A1194" t="str">
            <v>0714645</v>
          </cell>
          <cell r="B1194" t="str">
            <v>"//shrzboost01/TRUMPF.NET/DATA_PDM2/Stöbich/Varianten/0714645.GMV"</v>
          </cell>
          <cell r="C1194" t="str">
            <v>//shrzboost01/TRUMPF.NET/DATA_PDM2/Stöbich/Aufträge.GEO</v>
          </cell>
        </row>
        <row r="1195">
          <cell r="A1195" t="str">
            <v>0714646</v>
          </cell>
          <cell r="B1195" t="str">
            <v>"//shrzboost01/TRUMPF.NET/DATA_PDM2/Stöbich/Varianten/0714646.GMV"</v>
          </cell>
          <cell r="C1195" t="str">
            <v>//shrzboost01/TRUMPF.NET/DATA_PDM2/Stöbich/Aufträge.GEO</v>
          </cell>
        </row>
        <row r="1196">
          <cell r="A1196" t="str">
            <v>0714647</v>
          </cell>
          <cell r="B1196" t="str">
            <v>"//shrzboost01/TRUMPF.NET/DATA_PDM2/Stöbich/Varianten/0714647.GMV"</v>
          </cell>
          <cell r="C1196" t="str">
            <v>//shrzboost01/TRUMPF.NET/DATA_PDM2/Stöbich/Aufträge.GEO</v>
          </cell>
        </row>
        <row r="1197">
          <cell r="A1197" t="str">
            <v>0714648</v>
          </cell>
          <cell r="B1197" t="str">
            <v>"//shrzboost01/TRUMPF.NET/DATA_PDM2/Stöbich/Varianten/0714648.GMV"</v>
          </cell>
          <cell r="C1197" t="str">
            <v>//shrzboost01/TRUMPF.NET/DATA_PDM2/Stöbich/Aufträge.GEO</v>
          </cell>
        </row>
        <row r="1198">
          <cell r="A1198" t="str">
            <v>0714683</v>
          </cell>
          <cell r="B1198" t="str">
            <v>"//shrzboost01/TRUMPF.NET/DATA_PDM2/Stöbich/Varianten/0714683.GMV"</v>
          </cell>
          <cell r="C1198" t="str">
            <v>//shrzboost01/TRUMPF.NET/DATA_PDM2/Stöbich/Aufträge.GEO</v>
          </cell>
        </row>
        <row r="1199">
          <cell r="A1199" t="str">
            <v>0714684</v>
          </cell>
          <cell r="B1199" t="str">
            <v>"//shrzboost01/TRUMPF.NET/DATA_PDM2/Stöbich/Varianten/0714684.GMV"</v>
          </cell>
          <cell r="C1199" t="str">
            <v>//shrzboost01/TRUMPF.NET/DATA_PDM2/Stöbich/Aufträge.GEO</v>
          </cell>
        </row>
        <row r="1200">
          <cell r="A1200" t="str">
            <v>0714685</v>
          </cell>
          <cell r="B1200" t="str">
            <v>"//shrzboost01/TRUMPF.NET/DATA_PDM2/Stöbich/Varianten/0714685.GMV"</v>
          </cell>
          <cell r="C1200" t="str">
            <v>//shrzboost01/TRUMPF.NET/DATA_PDM2/Stöbich/Aufträge.GEO</v>
          </cell>
        </row>
        <row r="1201">
          <cell r="A1201" t="str">
            <v>0714686</v>
          </cell>
          <cell r="B1201" t="str">
            <v>"//shrzboost01/TRUMPF.NET/DATA_PDM2/Stöbich/Varianten/0714686.GMV"</v>
          </cell>
          <cell r="C1201" t="str">
            <v>//shrzboost01/TRUMPF.NET/DATA_PDM2/Stöbich/Aufträge.GEO</v>
          </cell>
        </row>
        <row r="1202">
          <cell r="A1202" t="str">
            <v>0714687</v>
          </cell>
          <cell r="B1202" t="str">
            <v>"//shrzboost01/TRUMPF.NET/DATA_PDM2/Stöbich/Varianten/0714687.GMV"</v>
          </cell>
          <cell r="C1202" t="str">
            <v>//shrzboost01/TRUMPF.NET/DATA_PDM2/Stöbich/Aufträge.GEO</v>
          </cell>
        </row>
        <row r="1203">
          <cell r="A1203" t="str">
            <v>0714688</v>
          </cell>
          <cell r="B1203" t="str">
            <v>"//shrzboost01/TRUMPF.NET/DATA_PDM2/Stöbich/Varianten/0714688.GMV"</v>
          </cell>
          <cell r="C1203" t="str">
            <v>//shrzboost01/TRUMPF.NET/DATA_PDM2/Stöbich/Aufträge.GEO</v>
          </cell>
        </row>
        <row r="1204">
          <cell r="A1204" t="str">
            <v>0714689</v>
          </cell>
          <cell r="B1204" t="str">
            <v>"//shrzboost01/TRUMPF.NET/DATA_PDM2/Stöbich/Varianten/0714689.GMV"</v>
          </cell>
          <cell r="C1204" t="str">
            <v>//shrzboost01/TRUMPF.NET/DATA_PDM2/Stöbich/Aufträge.GEO</v>
          </cell>
        </row>
        <row r="1205">
          <cell r="A1205" t="str">
            <v>0714690</v>
          </cell>
          <cell r="B1205" t="str">
            <v>"//shrzboost01/TRUMPF.NET/DATA_PDM2/Stöbich/Varianten/0714690.GMV"</v>
          </cell>
          <cell r="C1205" t="str">
            <v>//shrzboost01/TRUMPF.NET/DATA_PDM2/Stöbich/Aufträge.GEO</v>
          </cell>
        </row>
        <row r="1206">
          <cell r="A1206"/>
          <cell r="B1206" t="str">
            <v>"//shrzboost01/TRUMPF.NET/DATA_PDM2/Stöbich/Varianten/.GMV"</v>
          </cell>
          <cell r="C1206" t="str">
            <v>//shrzboost01/TRUMPF.NET/DATA_PDM2/Stöbich/Aufträge.GEO</v>
          </cell>
        </row>
        <row r="1207">
          <cell r="A1207" t="str">
            <v>0714693</v>
          </cell>
          <cell r="B1207" t="str">
            <v>"//shrzboost01/TRUMPF.NET/DATA_PDM2/Stöbich/Varianten/0714693.GMV"</v>
          </cell>
          <cell r="C1207" t="str">
            <v>//shrzboost01/TRUMPF.NET/DATA_PDM2/Stöbich/Aufträge.GEO</v>
          </cell>
        </row>
        <row r="1208">
          <cell r="A1208"/>
          <cell r="B1208" t="str">
            <v>"//shrzboost01/TRUMPF.NET/DATA_PDM2/Stöbich/Varianten/.GMV"</v>
          </cell>
          <cell r="C1208" t="str">
            <v>//shrzboost01/TRUMPF.NET/DATA_PDM2/Stöbich/Aufträge.GEO</v>
          </cell>
        </row>
        <row r="1209">
          <cell r="A1209" t="str">
            <v>0714893</v>
          </cell>
          <cell r="B1209" t="str">
            <v>"//shrzboost01/TRUMPF.NET/DATA_PDM2/Stöbich/Varianten/0714893.GMV"</v>
          </cell>
          <cell r="C1209" t="str">
            <v>//shrzboost01/TRUMPF.NET/DATA_PDM2/Stöbich/Aufträge.GEO</v>
          </cell>
        </row>
        <row r="1210">
          <cell r="A1210" t="str">
            <v>0714899</v>
          </cell>
          <cell r="B1210" t="str">
            <v>"//shrzboost01/TRUMPF.NET/DATA_PDM2/Stöbich/Varianten/0714899.GMV"</v>
          </cell>
          <cell r="C1210" t="str">
            <v>//shrzboost01/TRUMPF.NET/DATA_PDM2/Stöbich/Aufträge.GEO</v>
          </cell>
        </row>
        <row r="1211">
          <cell r="A1211" t="str">
            <v>0714900</v>
          </cell>
          <cell r="B1211" t="str">
            <v>"//shrzboost01/TRUMPF.NET/DATA_PDM2/Stöbich/Varianten/0714900.GMV"</v>
          </cell>
          <cell r="C1211" t="str">
            <v>//shrzboost01/TRUMPF.NET/DATA_PDM2/Stöbich/Aufträge.GEO</v>
          </cell>
        </row>
        <row r="1212">
          <cell r="A1212" t="str">
            <v>0714901</v>
          </cell>
          <cell r="B1212" t="str">
            <v>"//shrzboost01/TRUMPF.NET/DATA_PDM2/Stöbich/Varianten/0714901.GMV"</v>
          </cell>
          <cell r="C1212" t="str">
            <v>//shrzboost01/TRUMPF.NET/DATA_PDM2/Stöbich/Aufträge.GEO</v>
          </cell>
        </row>
        <row r="1213">
          <cell r="A1213" t="str">
            <v>0714902</v>
          </cell>
          <cell r="B1213" t="str">
            <v>"//shrzboost01/TRUMPF.NET/DATA_PDM2/Stöbich/Varianten/0714902.GMV"</v>
          </cell>
          <cell r="C1213" t="str">
            <v>//shrzboost01/TRUMPF.NET/DATA_PDM2/Stöbich/Aufträge.GEO</v>
          </cell>
        </row>
        <row r="1214">
          <cell r="A1214" t="str">
            <v>0714903</v>
          </cell>
          <cell r="B1214" t="str">
            <v>"//shrzboost01/TRUMPF.NET/DATA_PDM2/Stöbich/Varianten/0714903.GMV"</v>
          </cell>
          <cell r="C1214" t="str">
            <v>//shrzboost01/TRUMPF.NET/DATA_PDM2/Stöbich/Aufträge.GEO</v>
          </cell>
        </row>
        <row r="1215">
          <cell r="A1215" t="str">
            <v>0714904</v>
          </cell>
          <cell r="B1215" t="str">
            <v>"//shrzboost01/TRUMPF.NET/DATA_PDM2/Stöbich/Varianten/0714904.GMV"</v>
          </cell>
          <cell r="C1215" t="str">
            <v>//shrzboost01/TRUMPF.NET/DATA_PDM2/Stöbich/Aufträge.GEO</v>
          </cell>
        </row>
        <row r="1216">
          <cell r="A1216" t="str">
            <v>0714905</v>
          </cell>
          <cell r="B1216" t="str">
            <v>"//shrzboost01/TRUMPF.NET/DATA_PDM2/Stöbich/Varianten/0714905.GMV"</v>
          </cell>
          <cell r="C1216" t="str">
            <v>//shrzboost01/TRUMPF.NET/DATA_PDM2/Stöbich/Aufträge.GEO</v>
          </cell>
        </row>
        <row r="1217">
          <cell r="A1217" t="str">
            <v>0714906</v>
          </cell>
          <cell r="B1217" t="str">
            <v>"//shrzboost01/TRUMPF.NET/DATA_PDM2/Stöbich/Varianten/0714906.GMV"</v>
          </cell>
          <cell r="C1217" t="str">
            <v>//shrzboost01/TRUMPF.NET/DATA_PDM2/Stöbich/Aufträge.GEO</v>
          </cell>
        </row>
        <row r="1218">
          <cell r="A1218" t="str">
            <v>0714907</v>
          </cell>
          <cell r="B1218" t="str">
            <v>"//shrzboost01/TRUMPF.NET/DATA_PDM2/Stöbich/Varianten/0714907.GMV"</v>
          </cell>
          <cell r="C1218" t="str">
            <v>//shrzboost01/TRUMPF.NET/DATA_PDM2/Stöbich/Aufträge.GEO</v>
          </cell>
        </row>
        <row r="1219">
          <cell r="A1219" t="str">
            <v>0714908</v>
          </cell>
          <cell r="B1219" t="str">
            <v>"//shrzboost01/TRUMPF.NET/DATA_PDM2/Stöbich/Varianten/0714908.GMV"</v>
          </cell>
          <cell r="C1219" t="str">
            <v>//shrzboost01/TRUMPF.NET/DATA_PDM2/Stöbich/Aufträge.GEO</v>
          </cell>
        </row>
        <row r="1220">
          <cell r="A1220" t="str">
            <v>0714909</v>
          </cell>
          <cell r="B1220" t="str">
            <v>"//shrzboost01/TRUMPF.NET/DATA_PDM2/Stöbich/Varianten/0714909.GMV"</v>
          </cell>
          <cell r="C1220" t="str">
            <v>//shrzboost01/TRUMPF.NET/DATA_PDM2/Stöbich/Aufträge.GEO</v>
          </cell>
        </row>
        <row r="1221">
          <cell r="A1221" t="str">
            <v>0714949</v>
          </cell>
          <cell r="B1221" t="str">
            <v>"//shrzboost01/TRUMPF.NET/DATA_PDM2/Stöbich/Varianten/0714949.GMV"</v>
          </cell>
          <cell r="C1221" t="str">
            <v>//shrzboost01/TRUMPF.NET/DATA_PDM2/Stöbich/Aufträge.GEO</v>
          </cell>
        </row>
        <row r="1222">
          <cell r="A1222" t="str">
            <v>0714946</v>
          </cell>
          <cell r="B1222" t="str">
            <v>"//shrzboost01/TRUMPF.NET/DATA_PDM2/Stöbich/Varianten/0714946.GMV"</v>
          </cell>
          <cell r="C1222" t="str">
            <v>//shrzboost01/TRUMPF.NET/DATA_PDM2/Stöbich/Aufträge.GEO</v>
          </cell>
        </row>
        <row r="1223">
          <cell r="A1223" t="str">
            <v>0714944</v>
          </cell>
          <cell r="B1223" t="str">
            <v>"//shrzboost01/TRUMPF.NET/DATA_PDM2/Stöbich/Varianten/0714944.GMV"</v>
          </cell>
          <cell r="C1223" t="str">
            <v>//shrzboost01/TRUMPF.NET/DATA_PDM2/Stöbich/Aufträge.GEO</v>
          </cell>
        </row>
        <row r="1224">
          <cell r="A1224" t="str">
            <v>0714935</v>
          </cell>
          <cell r="B1224" t="str">
            <v>"//shrzboost01/TRUMPF.NET/DATA_PDM2/Stöbich/Varianten/0714935.GMV"</v>
          </cell>
          <cell r="C1224" t="str">
            <v>//shrzboost01/TRUMPF.NET/DATA_PDM2/Stöbich/Aufträge.GEO</v>
          </cell>
        </row>
        <row r="1225">
          <cell r="A1225" t="str">
            <v>0714937</v>
          </cell>
          <cell r="B1225" t="str">
            <v>"//shrzboost01/TRUMPF.NET/DATA_PDM2/Stöbich/Varianten/0714937.GMV"</v>
          </cell>
          <cell r="C1225" t="str">
            <v>//shrzboost01/TRUMPF.NET/DATA_PDM2/Stöbich/Aufträge.GEO</v>
          </cell>
        </row>
        <row r="1226">
          <cell r="A1226" t="str">
            <v>0714947</v>
          </cell>
          <cell r="B1226" t="str">
            <v>"//shrzboost01/TRUMPF.NET/DATA_PDM2/Stöbich/Varianten/0714947.GMV"</v>
          </cell>
          <cell r="C1226" t="str">
            <v>//shrzboost01/TRUMPF.NET/DATA_PDM2/Stöbich/Aufträge.GEO</v>
          </cell>
        </row>
        <row r="1227">
          <cell r="A1227" t="str">
            <v>0714945</v>
          </cell>
          <cell r="B1227" t="str">
            <v>"//shrzboost01/TRUMPF.NET/DATA_PDM2/Stöbich/Varianten/0714945.GMV"</v>
          </cell>
          <cell r="C1227" t="str">
            <v>//shrzboost01/TRUMPF.NET/DATA_PDM2/Stöbich/Aufträge.GEO</v>
          </cell>
        </row>
        <row r="1228">
          <cell r="A1228" t="str">
            <v>0714948</v>
          </cell>
          <cell r="B1228" t="str">
            <v>"//shrzboost01/TRUMPF.NET/DATA_PDM2/Stöbich/Varianten/0714948.GMV"</v>
          </cell>
          <cell r="C1228" t="str">
            <v>//shrzboost01/TRUMPF.NET/DATA_PDM2/Stöbich/Aufträge.GEO</v>
          </cell>
        </row>
        <row r="1229">
          <cell r="A1229" t="str">
            <v>0714950</v>
          </cell>
          <cell r="B1229" t="str">
            <v>"//shrzboost01/TRUMPF.NET/DATA_PDM2/Stöbich/Varianten/0714950.GMV"</v>
          </cell>
          <cell r="C1229" t="str">
            <v>//shrzboost01/TRUMPF.NET/DATA_PDM2/Stöbich/Aufträge.GEO</v>
          </cell>
        </row>
        <row r="1230">
          <cell r="A1230" t="str">
            <v>0714951</v>
          </cell>
          <cell r="B1230" t="str">
            <v>"//shrzboost01/TRUMPF.NET/DATA_PDM2/Stöbich/Varianten/0714951.GMV"</v>
          </cell>
          <cell r="C1230" t="str">
            <v>//shrzboost01/TRUMPF.NET/DATA_PDM2/Stöbich/Aufträge.GEO</v>
          </cell>
        </row>
        <row r="1231">
          <cell r="A1231" t="str">
            <v>0714952</v>
          </cell>
          <cell r="B1231" t="str">
            <v>"//shrzboost01/TRUMPF.NET/DATA_PDM2/Stöbich/Varianten/0714952.GMV"</v>
          </cell>
          <cell r="C1231" t="str">
            <v>//shrzboost01/TRUMPF.NET/DATA_PDM2/Stöbich/Aufträge.GEO</v>
          </cell>
        </row>
        <row r="1232">
          <cell r="A1232" t="str">
            <v>0714958</v>
          </cell>
          <cell r="B1232" t="str">
            <v>"//shrzboost01/TRUMPF.NET/DATA_PDM2/Stöbich/Varianten/0714958.GMV"</v>
          </cell>
          <cell r="C1232" t="str">
            <v>//shrzboost01/TRUMPF.NET/DATA_PDM2/Stöbich/Aufträge.GEO</v>
          </cell>
        </row>
        <row r="1233">
          <cell r="A1233" t="str">
            <v>0714959</v>
          </cell>
          <cell r="B1233" t="str">
            <v>"//shrzboost01/TRUMPF.NET/DATA_PDM2/Stöbich/Varianten/0714959.GMV"</v>
          </cell>
          <cell r="C1233" t="str">
            <v>//shrzboost01/TRUMPF.NET/DATA_PDM2/Stöbich/Aufträge.GEO</v>
          </cell>
        </row>
        <row r="1234">
          <cell r="A1234" t="str">
            <v>0714960</v>
          </cell>
          <cell r="B1234" t="str">
            <v>"//shrzboost01/TRUMPF.NET/DATA_PDM2/Stöbich/Varianten/0714960.GMV"</v>
          </cell>
          <cell r="C1234" t="str">
            <v>//shrzboost01/TRUMPF.NET/DATA_PDM2/Stöbich/Aufträge.GEO</v>
          </cell>
        </row>
        <row r="1235">
          <cell r="A1235" t="str">
            <v>0714961</v>
          </cell>
          <cell r="B1235" t="str">
            <v>"//shrzboost01/TRUMPF.NET/DATA_PDM2/Stöbich/Varianten/0714961.GMV"</v>
          </cell>
          <cell r="C1235" t="str">
            <v>//shrzboost01/TRUMPF.NET/DATA_PDM2/Stöbich/Aufträge.GEO</v>
          </cell>
        </row>
        <row r="1236">
          <cell r="A1236" t="str">
            <v>0714964</v>
          </cell>
          <cell r="B1236" t="str">
            <v>"//shrzboost01/TRUMPF.NET/DATA_PDM2/Stöbich/Varianten/0714964.GMV"</v>
          </cell>
          <cell r="C1236" t="str">
            <v>//shrzboost01/TRUMPF.NET/DATA_PDM2/Stöbich/Aufträge.GEO</v>
          </cell>
        </row>
        <row r="1237">
          <cell r="A1237" t="str">
            <v>0714965</v>
          </cell>
          <cell r="B1237" t="str">
            <v>"//shrzboost01/TRUMPF.NET/DATA_PDM2/Stöbich/Varianten/0714965.GMV"</v>
          </cell>
          <cell r="C1237" t="str">
            <v>//shrzboost01/TRUMPF.NET/DATA_PDM2/Stöbich/Aufträge.GEO</v>
          </cell>
        </row>
        <row r="1238">
          <cell r="A1238" t="str">
            <v>0714966</v>
          </cell>
          <cell r="B1238" t="str">
            <v>"//shrzboost01/TRUMPF.NET/DATA_PDM2/Stöbich/Varianten/0714966.GMV"</v>
          </cell>
          <cell r="C1238" t="str">
            <v>//shrzboost01/TRUMPF.NET/DATA_PDM2/Stöbich/Aufträge.GEO</v>
          </cell>
        </row>
        <row r="1239">
          <cell r="A1239" t="str">
            <v>0714967</v>
          </cell>
          <cell r="B1239" t="str">
            <v>"//shrzboost01/TRUMPF.NET/DATA_PDM2/Stöbich/Varianten/0714967.GMV"</v>
          </cell>
          <cell r="C1239" t="str">
            <v>//shrzboost01/TRUMPF.NET/DATA_PDM2/Stöbich/Aufträge.GEO</v>
          </cell>
        </row>
        <row r="1240">
          <cell r="A1240" t="str">
            <v>0712674</v>
          </cell>
          <cell r="B1240" t="str">
            <v>"//shrzboost01/TRUMPF.NET/DATA_PDM2/Stöbich/Varianten/0712674.GMV"</v>
          </cell>
          <cell r="C1240" t="str">
            <v>//shrzboost01/TRUMPF.NET/DATA_PDM2/Stöbich/Aufträge.GEO</v>
          </cell>
        </row>
        <row r="1241">
          <cell r="A1241" t="str">
            <v>0712676</v>
          </cell>
          <cell r="B1241" t="str">
            <v>"//shrzboost01/TRUMPF.NET/DATA_PDM2/Stöbich/Varianten/0712676.GMV"</v>
          </cell>
          <cell r="C1241" t="str">
            <v>//shrzboost01/TRUMPF.NET/DATA_PDM2/Stöbich/Aufträge.GEO</v>
          </cell>
        </row>
        <row r="1242">
          <cell r="A1242"/>
          <cell r="B1242" t="str">
            <v>"//shrzboost01/TRUMPF.NET/DATA_PDM2/Stöbich/Varianten/.GMV"</v>
          </cell>
          <cell r="C1242" t="str">
            <v>//shrzboost01/TRUMPF.NET/DATA_PDM2/Stöbich/Aufträge.GEO</v>
          </cell>
        </row>
        <row r="1243">
          <cell r="A1243" t="str">
            <v>0712503</v>
          </cell>
          <cell r="B1243" t="str">
            <v>"//shrzboost01/TRUMPF.NET/DATA_PDM2/Stöbich/Varianten/0712503.GMV"</v>
          </cell>
          <cell r="C1243" t="str">
            <v>//shrzboost01/TRUMPF.NET/DATA_PDM2/Stöbich/Aufträge.GEO</v>
          </cell>
        </row>
        <row r="1244">
          <cell r="A1244" t="str">
            <v>0730036</v>
          </cell>
          <cell r="B1244" t="str">
            <v>"//shrzboost01/TRUMPF.NET/DATA_PDM2/Stöbich/Varianten/0730036.GMV"</v>
          </cell>
          <cell r="C1244" t="str">
            <v>//shrzboost01/TRUMPF.NET/DATA_PDM2/Stöbich/Aufträge.GEO</v>
          </cell>
        </row>
        <row r="1245">
          <cell r="A1245" t="str">
            <v>0730037</v>
          </cell>
          <cell r="B1245" t="str">
            <v>"//shrzboost01/TRUMPF.NET/DATA_PDM2/Stöbich/Varianten/0730037.GMV"</v>
          </cell>
          <cell r="C1245" t="str">
            <v>//shrzboost01/TRUMPF.NET/DATA_PDM2/Stöbich/Aufträge.GEO</v>
          </cell>
        </row>
        <row r="1246">
          <cell r="A1246" t="str">
            <v>0730038</v>
          </cell>
          <cell r="B1246" t="str">
            <v>"//shrzboost01/TRUMPF.NET/DATA_PDM2/Stöbich/Varianten/0730038.GMV"</v>
          </cell>
          <cell r="C1246" t="str">
            <v>//shrzboost01/TRUMPF.NET/DATA_PDM2/Stöbich/Aufträge.GEO</v>
          </cell>
        </row>
        <row r="1247">
          <cell r="A1247" t="str">
            <v>0730039</v>
          </cell>
          <cell r="B1247" t="str">
            <v>"//shrzboost01/TRUMPF.NET/DATA_PDM2/Stöbich/Varianten/0730039.GMV"</v>
          </cell>
          <cell r="C1247" t="str">
            <v>//shrzboost01/TRUMPF.NET/DATA_PDM2/Stöbich/Aufträge.GEO</v>
          </cell>
        </row>
        <row r="1248">
          <cell r="A1248" t="str">
            <v>0730040</v>
          </cell>
          <cell r="B1248" t="str">
            <v>"//shrzboost01/TRUMPF.NET/DATA_PDM2/Stöbich/Varianten/0730040.GMV"</v>
          </cell>
          <cell r="C1248" t="str">
            <v>//shrzboost01/TRUMPF.NET/DATA_PDM2/Stöbich/Aufträge.GEO</v>
          </cell>
        </row>
        <row r="1249">
          <cell r="A1249" t="str">
            <v>0730041</v>
          </cell>
          <cell r="B1249" t="str">
            <v>"//shrzboost01/TRUMPF.NET/DATA_PDM2/Stöbich/Varianten/0730041.GMV"</v>
          </cell>
          <cell r="C1249" t="str">
            <v>//shrzboost01/TRUMPF.NET/DATA_PDM2/Stöbich/Aufträge.GEO</v>
          </cell>
        </row>
        <row r="1250">
          <cell r="A1250" t="str">
            <v>0730707</v>
          </cell>
          <cell r="B1250" t="str">
            <v>"//shrzboost01/TRUMPF.NET/DATA_PDM2/Stöbich/Varianten/0730707.GMV"</v>
          </cell>
          <cell r="C1250" t="str">
            <v>//shrzboost01/TRUMPF.NET/DATA_PDM2/Stöbich/Aufträge.GEO</v>
          </cell>
        </row>
        <row r="1251">
          <cell r="A1251" t="str">
            <v>0730708</v>
          </cell>
          <cell r="B1251" t="str">
            <v>"//shrzboost01/TRUMPF.NET/DATA_PDM2/Stöbich/Varianten/0730708.GMV"</v>
          </cell>
          <cell r="C1251" t="str">
            <v>//shrzboost01/TRUMPF.NET/DATA_PDM2/Stöbich/Aufträge.GEO</v>
          </cell>
        </row>
        <row r="1252">
          <cell r="A1252" t="str">
            <v>0730711</v>
          </cell>
          <cell r="B1252" t="str">
            <v>"//shrzboost01/TRUMPF.NET/DATA_PDM2/Stöbich/Varianten/0730711.GMV"</v>
          </cell>
          <cell r="C1252" t="str">
            <v>//shrzboost01/TRUMPF.NET/DATA_PDM2/Stöbich/Aufträge.GEO</v>
          </cell>
        </row>
        <row r="1253">
          <cell r="A1253" t="str">
            <v>0730712</v>
          </cell>
          <cell r="B1253" t="str">
            <v>"//shrzboost01/TRUMPF.NET/DATA_PDM2/Stöbich/Varianten/0730712.GMV"</v>
          </cell>
          <cell r="C1253" t="str">
            <v>//shrzboost01/TRUMPF.NET/DATA_PDM2/Stöbich/Aufträge.GEO</v>
          </cell>
        </row>
        <row r="1254">
          <cell r="A1254" t="str">
            <v>0731232</v>
          </cell>
          <cell r="B1254" t="str">
            <v>"//shrzboost01/TRUMPF.NET/DATA_PDM2/Stöbich/Varianten/0731232.GMV"</v>
          </cell>
          <cell r="C1254" t="str">
            <v>//shrzboost01/TRUMPF.NET/DATA_PDM2/Stöbich/Aufträge.GEO</v>
          </cell>
        </row>
        <row r="1255">
          <cell r="A1255" t="str">
            <v>0731233</v>
          </cell>
          <cell r="B1255" t="str">
            <v>"//shrzboost01/TRUMPF.NET/DATA_PDM2/Stöbich/Varianten/0731233.GMV"</v>
          </cell>
          <cell r="C1255" t="str">
            <v>//shrzboost01/TRUMPF.NET/DATA_PDM2/Stöbich/Aufträge.GEO</v>
          </cell>
        </row>
        <row r="1256">
          <cell r="A1256" t="str">
            <v>0731392</v>
          </cell>
          <cell r="B1256" t="str">
            <v>"//shrzboost01/TRUMPF.NET/DATA_PDM2/Stöbich/Varianten/0731392.GMV"</v>
          </cell>
          <cell r="C1256" t="str">
            <v>//shrzboost01/TRUMPF.NET/DATA_PDM2/Stöbich/Aufträge.GEO</v>
          </cell>
        </row>
        <row r="1257">
          <cell r="A1257" t="str">
            <v>0731393</v>
          </cell>
          <cell r="B1257" t="str">
            <v>"//shrzboost01/TRUMPF.NET/DATA_PDM2/Stöbich/Varianten/0731393.GMV"</v>
          </cell>
          <cell r="C1257" t="str">
            <v>//shrzboost01/TRUMPF.NET/DATA_PDM2/Stöbich/Aufträge.GEO</v>
          </cell>
        </row>
        <row r="1258">
          <cell r="A1258" t="str">
            <v>0731394</v>
          </cell>
          <cell r="B1258" t="str">
            <v>"//shrzboost01/TRUMPF.NET/DATA_PDM2/Stöbich/Varianten/0731394.GMV"</v>
          </cell>
          <cell r="C1258" t="str">
            <v>//shrzboost01/TRUMPF.NET/DATA_PDM2/Stöbich/Aufträge.GEO</v>
          </cell>
        </row>
        <row r="1259">
          <cell r="A1259" t="str">
            <v>0731398</v>
          </cell>
          <cell r="B1259" t="str">
            <v>"//shrzboost01/TRUMPF.NET/DATA_PDM2/Stöbich/Varianten/0731398.GMV"</v>
          </cell>
          <cell r="C1259" t="str">
            <v>//shrzboost01/TRUMPF.NET/DATA_PDM2/Stöbich/Aufträge.GEO</v>
          </cell>
        </row>
        <row r="1260">
          <cell r="A1260" t="str">
            <v>0731402</v>
          </cell>
          <cell r="B1260" t="str">
            <v>"//shrzboost01/TRUMPF.NET/DATA_PDM2/Stöbich/Varianten/0731402.GMV"</v>
          </cell>
          <cell r="C1260" t="str">
            <v>//shrzboost01/TRUMPF.NET/DATA_PDM2/Stöbich/Aufträge.GEO</v>
          </cell>
        </row>
        <row r="1261">
          <cell r="A1261" t="str">
            <v>0731950</v>
          </cell>
          <cell r="B1261" t="str">
            <v>"//shrzboost01/TRUMPF.NET/DATA_PDM2/Stöbich/Varianten/0731950.GMV"</v>
          </cell>
          <cell r="C1261" t="str">
            <v>//shrzboost01/TRUMPF.NET/DATA_PDM2/Stöbich/Aufträge.GEO</v>
          </cell>
        </row>
        <row r="1262">
          <cell r="A1262" t="str">
            <v>0731951</v>
          </cell>
          <cell r="B1262" t="str">
            <v>"//shrzboost01/TRUMPF.NET/DATA_PDM2/Stöbich/Varianten/0731951.GMV"</v>
          </cell>
          <cell r="C1262" t="str">
            <v>//shrzboost01/TRUMPF.NET/DATA_PDM2/Stöbich/Aufträge.GEO</v>
          </cell>
        </row>
        <row r="1263">
          <cell r="A1263" t="str">
            <v>0731952</v>
          </cell>
          <cell r="B1263" t="str">
            <v>"//shrzboost01/TRUMPF.NET/DATA_PDM2/Stöbich/Varianten/0731952.GMV"</v>
          </cell>
          <cell r="C1263" t="str">
            <v>//shrzboost01/TRUMPF.NET/DATA_PDM2/Stöbich/Aufträge.GEO</v>
          </cell>
        </row>
        <row r="1264">
          <cell r="A1264" t="str">
            <v>0731953</v>
          </cell>
          <cell r="B1264" t="str">
            <v>"//shrzboost01/TRUMPF.NET/DATA_PDM2/Stöbich/Varianten/0731953.GMV"</v>
          </cell>
          <cell r="C1264" t="str">
            <v>//shrzboost01/TRUMPF.NET/DATA_PDM2/Stöbich/Aufträge.GEO</v>
          </cell>
        </row>
        <row r="1265">
          <cell r="A1265" t="str">
            <v>0732294</v>
          </cell>
          <cell r="B1265" t="str">
            <v>"//shrzboost01/TRUMPF.NET/DATA_PDM2/Stöbich/Varianten/0732294.GMV"</v>
          </cell>
          <cell r="C1265" t="str">
            <v>//shrzboost01/TRUMPF.NET/DATA_PDM2/Stöbich/Aufträge.GEO</v>
          </cell>
        </row>
        <row r="1266">
          <cell r="A1266" t="str">
            <v>0733396</v>
          </cell>
          <cell r="B1266" t="str">
            <v>"//shrzboost01/TRUMPF.NET/DATA_PDM2/Stöbich/Varianten/0733396.GMV"</v>
          </cell>
          <cell r="C1266" t="str">
            <v>//shrzboost01/TRUMPF.NET/DATA_PDM2/Stöbich/Aufträge.GEO</v>
          </cell>
        </row>
        <row r="1267">
          <cell r="A1267" t="str">
            <v>0733397</v>
          </cell>
          <cell r="B1267" t="str">
            <v>"//shrzboost01/TRUMPF.NET/DATA_PDM2/Stöbich/Varianten/0733397.GMV"</v>
          </cell>
          <cell r="C1267" t="str">
            <v>//shrzboost01/TRUMPF.NET/DATA_PDM2/Stöbich/Aufträge.GEO</v>
          </cell>
        </row>
        <row r="1268">
          <cell r="A1268" t="str">
            <v>0733399</v>
          </cell>
          <cell r="B1268" t="str">
            <v>"//shrzboost01/TRUMPF.NET/DATA_PDM2/Stöbich/Varianten/0733399.GMV"</v>
          </cell>
          <cell r="C1268" t="str">
            <v>//shrzboost01/TRUMPF.NET/DATA_PDM2/Stöbich/Aufträge.GEO</v>
          </cell>
        </row>
        <row r="1269">
          <cell r="A1269" t="str">
            <v>0733411</v>
          </cell>
          <cell r="B1269" t="str">
            <v>"//shrzboost01/TRUMPF.NET/DATA_PDM2/Stöbich/Varianten/0733411.GMV"</v>
          </cell>
          <cell r="C1269" t="str">
            <v>//shrzboost01/TRUMPF.NET/DATA_PDM2/Stöbich/Aufträge.GEO</v>
          </cell>
        </row>
        <row r="1270">
          <cell r="A1270" t="str">
            <v>0733412</v>
          </cell>
          <cell r="B1270" t="str">
            <v>"//shrzboost01/TRUMPF.NET/DATA_PDM2/Stöbich/Varianten/0733412.GMV"</v>
          </cell>
          <cell r="C1270" t="str">
            <v>//shrzboost01/TRUMPF.NET/DATA_PDM2/Stöbich/Aufträge.GEO</v>
          </cell>
        </row>
        <row r="1271">
          <cell r="A1271" t="str">
            <v>0733413</v>
          </cell>
          <cell r="B1271" t="str">
            <v>"//shrzboost01/TRUMPF.NET/DATA_PDM2/Stöbich/Varianten/0733413.GMV"</v>
          </cell>
          <cell r="C1271" t="str">
            <v>//shrzboost01/TRUMPF.NET/DATA_PDM2/Stöbich/Aufträge.GEO</v>
          </cell>
        </row>
        <row r="1272">
          <cell r="A1272" t="str">
            <v>0733414</v>
          </cell>
          <cell r="B1272" t="str">
            <v>"//shrzboost01/TRUMPF.NET/DATA_PDM2/Stöbich/Varianten/0733414.GMV"</v>
          </cell>
          <cell r="C1272" t="str">
            <v>//shrzboost01/TRUMPF.NET/DATA_PDM2/Stöbich/Aufträge.GEO</v>
          </cell>
        </row>
        <row r="1273">
          <cell r="A1273" t="str">
            <v>0733423</v>
          </cell>
          <cell r="B1273" t="str">
            <v>"//shrzboost01/TRUMPF.NET/DATA_PDM2/Stöbich/Varianten/0733423.GMV"</v>
          </cell>
          <cell r="C1273" t="str">
            <v>//shrzboost01/TRUMPF.NET/DATA_PDM2/Stöbich/Aufträge.GEO</v>
          </cell>
        </row>
        <row r="1274">
          <cell r="A1274" t="str">
            <v>0733424</v>
          </cell>
          <cell r="B1274" t="str">
            <v>"//shrzboost01/TRUMPF.NET/DATA_PDM2/Stöbich/Varianten/0733424.GMV"</v>
          </cell>
          <cell r="C1274" t="str">
            <v>//shrzboost01/TRUMPF.NET/DATA_PDM2/Stöbich/Aufträge.GEO</v>
          </cell>
        </row>
        <row r="1275">
          <cell r="A1275" t="str">
            <v>0733426</v>
          </cell>
          <cell r="B1275" t="str">
            <v>"//shrzboost01/TRUMPF.NET/DATA_PDM2/Stöbich/Varianten/0733426.GMV"</v>
          </cell>
          <cell r="C1275" t="str">
            <v>//shrzboost01/TRUMPF.NET/DATA_PDM2/Stöbich/Aufträge.GEO</v>
          </cell>
        </row>
        <row r="1276">
          <cell r="A1276" t="str">
            <v>0733427</v>
          </cell>
          <cell r="B1276" t="str">
            <v>"//shrzboost01/TRUMPF.NET/DATA_PDM2/Stöbich/Varianten/0733427.GMV"</v>
          </cell>
          <cell r="C1276" t="str">
            <v>//shrzboost01/TRUMPF.NET/DATA_PDM2/Stöbich/Aufträge.GEO</v>
          </cell>
        </row>
        <row r="1277">
          <cell r="A1277" t="str">
            <v>0733428</v>
          </cell>
          <cell r="B1277" t="str">
            <v>"//shrzboost01/TRUMPF.NET/DATA_PDM2/Stöbich/Varianten/0733428.GMV"</v>
          </cell>
          <cell r="C1277" t="str">
            <v>//shrzboost01/TRUMPF.NET/DATA_PDM2/Stöbich/Aufträge.GEO</v>
          </cell>
        </row>
        <row r="1278">
          <cell r="A1278" t="str">
            <v>0733429</v>
          </cell>
          <cell r="B1278" t="str">
            <v>"//shrzboost01/TRUMPF.NET/DATA_PDM2/Stöbich/Varianten/0733429.GMV"</v>
          </cell>
          <cell r="C1278" t="str">
            <v>//shrzboost01/TRUMPF.NET/DATA_PDM2/Stöbich/Aufträge.GEO</v>
          </cell>
        </row>
        <row r="1279">
          <cell r="A1279" t="str">
            <v>0733430</v>
          </cell>
          <cell r="B1279" t="str">
            <v>"//shrzboost01/TRUMPF.NET/DATA_PDM2/Stöbich/Varianten/0733430.GMV"</v>
          </cell>
          <cell r="C1279" t="str">
            <v>//shrzboost01/TRUMPF.NET/DATA_PDM2/Stöbich/Aufträge.GEO</v>
          </cell>
        </row>
        <row r="1280">
          <cell r="A1280" t="str">
            <v>0734039</v>
          </cell>
          <cell r="B1280" t="str">
            <v>"//shrzboost01/TRUMPF.NET/DATA_PDM2/Stöbich/Varianten/0734039.GMV"</v>
          </cell>
          <cell r="C1280" t="str">
            <v>//shrzboost01/TRUMPF.NET/DATA_PDM2/Stöbich/Aufträge.GEO</v>
          </cell>
        </row>
        <row r="1281">
          <cell r="A1281" t="str">
            <v>0734265</v>
          </cell>
          <cell r="B1281" t="str">
            <v>"//shrzboost01/TRUMPF.NET/DATA_PDM2/Stöbich/Varianten/0734265.GMV"</v>
          </cell>
          <cell r="C1281" t="str">
            <v>//shrzboost01/TRUMPF.NET/DATA_PDM2/Stöbich/Aufträge.GEO</v>
          </cell>
        </row>
        <row r="1282">
          <cell r="A1282" t="str">
            <v>0734879</v>
          </cell>
          <cell r="B1282" t="str">
            <v>"//shrzboost01/TRUMPF.NET/DATA_PDM2/Stöbich/Varianten/0734879.GMV"</v>
          </cell>
          <cell r="C1282" t="str">
            <v>//shrzboost01/TRUMPF.NET/DATA_PDM2/Stöbich/Aufträge.GEO</v>
          </cell>
        </row>
        <row r="1283">
          <cell r="A1283" t="str">
            <v>0734880</v>
          </cell>
          <cell r="B1283" t="str">
            <v>"//shrzboost01/TRUMPF.NET/DATA_PDM2/Stöbich/Varianten/0734880.GMV"</v>
          </cell>
          <cell r="C1283" t="str">
            <v>//shrzboost01/TRUMPF.NET/DATA_PDM2/Stöbich/Aufträge.GEO</v>
          </cell>
        </row>
        <row r="1284">
          <cell r="A1284" t="str">
            <v>0734961</v>
          </cell>
          <cell r="B1284" t="str">
            <v>"//shrzboost01/TRUMPF.NET/DATA_PDM2/Stöbich/Varianten/0734961.GMV"</v>
          </cell>
          <cell r="C1284" t="str">
            <v>//shrzboost01/TRUMPF.NET/DATA_PDM2/Stöbich/Aufträge.GEO</v>
          </cell>
        </row>
        <row r="1285">
          <cell r="A1285" t="str">
            <v>0743398</v>
          </cell>
          <cell r="B1285" t="str">
            <v>"//shrzboost01/TRUMPF.NET/DATA_PDM2/Stöbich/Varianten/0743398.GMV"</v>
          </cell>
          <cell r="C1285" t="str">
            <v>//shrzboost01/TRUMPF.NET/DATA_PDM2/Stöbich/Aufträge.GEO</v>
          </cell>
        </row>
        <row r="1286">
          <cell r="A1286" t="str">
            <v>0743415</v>
          </cell>
          <cell r="B1286" t="str">
            <v>"//shrzboost01/TRUMPF.NET/DATA_PDM2/Stöbich/Varianten/0743415.GMV"</v>
          </cell>
          <cell r="C1286" t="str">
            <v>//shrzboost01/TRUMPF.NET/DATA_PDM2/Stöbich/Aufträge.GEO</v>
          </cell>
        </row>
        <row r="1287">
          <cell r="A1287" t="str">
            <v>0743425</v>
          </cell>
          <cell r="B1287" t="str">
            <v>"//shrzboost01/TRUMPF.NET/DATA_PDM2/Stöbich/Varianten/0743425.GMV"</v>
          </cell>
          <cell r="C1287" t="str">
            <v>//shrzboost01/TRUMPF.NET/DATA_PDM2/Stöbich/Aufträge.GEO</v>
          </cell>
        </row>
        <row r="1288">
          <cell r="A1288" t="str">
            <v>0743431</v>
          </cell>
          <cell r="B1288" t="str">
            <v>"//shrzboost01/TRUMPF.NET/DATA_PDM2/Stöbich/Varianten/0743431.GMV"</v>
          </cell>
          <cell r="C1288" t="str">
            <v>//shrzboost01/TRUMPF.NET/DATA_PDM2/Stöbich/Aufträge.GEO</v>
          </cell>
        </row>
        <row r="1289">
          <cell r="A1289" t="str">
            <v>0744037</v>
          </cell>
          <cell r="B1289" t="str">
            <v>"//shrzboost01/TRUMPF.NET/DATA_PDM2/Stöbich/Varianten/0744037.GMV"</v>
          </cell>
          <cell r="C1289" t="str">
            <v>//shrzboost01/TRUMPF.NET/DATA_PDM2/Stöbich/Aufträge.GEO</v>
          </cell>
        </row>
        <row r="1290">
          <cell r="A1290" t="str">
            <v>0744038</v>
          </cell>
          <cell r="B1290" t="str">
            <v>"//shrzboost01/TRUMPF.NET/DATA_PDM2/Stöbich/Varianten/0744038.GMV"</v>
          </cell>
          <cell r="C1290" t="str">
            <v>//shrzboost01/TRUMPF.NET/DATA_PDM2/Stöbich/Aufträge.GEO</v>
          </cell>
        </row>
        <row r="1291">
          <cell r="A1291" t="str">
            <v>0744057</v>
          </cell>
          <cell r="B1291" t="str">
            <v>"//shrzboost01/TRUMPF.NET/DATA_PDM2/Stöbich/Varianten/0744057.GMV"</v>
          </cell>
          <cell r="C1291" t="str">
            <v>//shrzboost01/TRUMPF.NET/DATA_PDM2/Stöbich/Aufträge.GEO</v>
          </cell>
        </row>
        <row r="1292">
          <cell r="A1292" t="str">
            <v>0744058</v>
          </cell>
          <cell r="B1292" t="str">
            <v>"//shrzboost01/TRUMPF.NET/DATA_PDM2/Stöbich/Varianten/0744058.GMV"</v>
          </cell>
          <cell r="C1292" t="str">
            <v>//shrzboost01/TRUMPF.NET/DATA_PDM2/Stöbich/Aufträge.GEO</v>
          </cell>
        </row>
        <row r="1293">
          <cell r="A1293" t="str">
            <v>0744261</v>
          </cell>
          <cell r="B1293" t="str">
            <v>"//shrzboost01/TRUMPF.NET/DATA_PDM2/Stöbich/Varianten/0744261.GMV"</v>
          </cell>
          <cell r="C1293" t="str">
            <v>//shrzboost01/TRUMPF.NET/DATA_PDM2/Stöbich/Aufträge.GEO</v>
          </cell>
        </row>
        <row r="1294">
          <cell r="A1294" t="str">
            <v>0744262</v>
          </cell>
          <cell r="B1294" t="str">
            <v>"//shrzboost01/TRUMPF.NET/DATA_PDM2/Stöbich/Varianten/0744262.GMV"</v>
          </cell>
          <cell r="C1294" t="str">
            <v>//shrzboost01/TRUMPF.NET/DATA_PDM2/Stöbich/Aufträge.GEO</v>
          </cell>
        </row>
        <row r="1295">
          <cell r="A1295" t="str">
            <v>0744263</v>
          </cell>
          <cell r="B1295" t="str">
            <v>"//shrzboost01/TRUMPF.NET/DATA_PDM2/Stöbich/Varianten/0744263.GMV"</v>
          </cell>
          <cell r="C1295" t="str">
            <v>//shrzboost01/TRUMPF.NET/DATA_PDM2/Stöbich/Aufträge.GEO</v>
          </cell>
        </row>
        <row r="1296">
          <cell r="A1296" t="str">
            <v>0744264</v>
          </cell>
          <cell r="B1296" t="str">
            <v>"//shrzboost01/TRUMPF.NET/DATA_PDM2/Stöbich/Varianten/0744264.GMV"</v>
          </cell>
          <cell r="C1296" t="str">
            <v>//shrzboost01/TRUMPF.NET/DATA_PDM2/Stöbich/Aufträge.GEO</v>
          </cell>
        </row>
        <row r="1297">
          <cell r="A1297" t="str">
            <v>0744265</v>
          </cell>
          <cell r="B1297" t="str">
            <v>"//shrzboost01/TRUMPF.NET/DATA_PDM2/Stöbich/Varianten/0744265.GMV"</v>
          </cell>
          <cell r="C1297" t="str">
            <v>//shrzboost01/TRUMPF.NET/DATA_PDM2/Stöbich/Aufträge.GEO</v>
          </cell>
        </row>
        <row r="1298">
          <cell r="A1298" t="str">
            <v>0744266</v>
          </cell>
          <cell r="B1298" t="str">
            <v>"//shrzboost01/TRUMPF.NET/DATA_PDM2/Stöbich/Varianten/0744266.GMV"</v>
          </cell>
          <cell r="C1298" t="str">
            <v>//shrzboost01/TRUMPF.NET/DATA_PDM2/Stöbich/Aufträge.GEO</v>
          </cell>
        </row>
        <row r="1299">
          <cell r="A1299" t="str">
            <v>0744267</v>
          </cell>
          <cell r="B1299" t="str">
            <v>"//shrzboost01/TRUMPF.NET/DATA_PDM2/Stöbich/Varianten/0744267.GMV"</v>
          </cell>
          <cell r="C1299" t="str">
            <v>//shrzboost01/TRUMPF.NET/DATA_PDM2/Stöbich/Aufträge.GEO</v>
          </cell>
        </row>
        <row r="1300">
          <cell r="A1300" t="str">
            <v>0744268</v>
          </cell>
          <cell r="B1300" t="str">
            <v>"//shrzboost01/TRUMPF.NET/DATA_PDM2/Stöbich/Varianten/0744268.GMV"</v>
          </cell>
          <cell r="C1300" t="str">
            <v>//shrzboost01/TRUMPF.NET/DATA_PDM2/Stöbich/Aufträge.GEO</v>
          </cell>
        </row>
        <row r="1301">
          <cell r="A1301" t="str">
            <v>0744269</v>
          </cell>
          <cell r="B1301" t="str">
            <v>"//shrzboost01/TRUMPF.NET/DATA_PDM2/Stöbich/Varianten/0744269.GMV"</v>
          </cell>
          <cell r="C1301" t="str">
            <v>//shrzboost01/TRUMPF.NET/DATA_PDM2/Stöbich/Aufträge.GEO</v>
          </cell>
        </row>
        <row r="1302">
          <cell r="A1302" t="str">
            <v>0744270</v>
          </cell>
          <cell r="B1302" t="str">
            <v>"//shrzboost01/TRUMPF.NET/DATA_PDM2/Stöbich/Varianten/0744270.GMV"</v>
          </cell>
          <cell r="C1302" t="str">
            <v>//shrzboost01/TRUMPF.NET/DATA_PDM2/Stöbich/Aufträge.GEO</v>
          </cell>
        </row>
        <row r="1303">
          <cell r="A1303" t="str">
            <v>0744279</v>
          </cell>
          <cell r="B1303" t="str">
            <v>"//shrzboost01/TRUMPF.NET/DATA_PDM2/Stöbich/Varianten/0744279.GMV"</v>
          </cell>
          <cell r="C1303" t="str">
            <v>//shrzboost01/TRUMPF.NET/DATA_PDM2/Stöbich/Aufträge.GEO</v>
          </cell>
        </row>
        <row r="1304">
          <cell r="A1304" t="str">
            <v>0744281</v>
          </cell>
          <cell r="B1304" t="str">
            <v>"//shrzboost01/TRUMPF.NET/DATA_PDM2/Stöbich/Varianten/0744281.GMV"</v>
          </cell>
          <cell r="C1304" t="str">
            <v>//shrzboost01/TRUMPF.NET/DATA_PDM2/Stöbich/Aufträge.GEO</v>
          </cell>
        </row>
        <row r="1305">
          <cell r="A1305" t="str">
            <v>0744283</v>
          </cell>
          <cell r="B1305" t="str">
            <v>"//shrzboost01/TRUMPF.NET/DATA_PDM2/Stöbich/Varianten/0744283.GMV"</v>
          </cell>
          <cell r="C1305" t="str">
            <v>//shrzboost01/TRUMPF.NET/DATA_PDM2/Stöbich/Aufträge.GEO</v>
          </cell>
        </row>
        <row r="1306">
          <cell r="A1306" t="str">
            <v>0744284</v>
          </cell>
          <cell r="B1306" t="str">
            <v>"//shrzboost01/TRUMPF.NET/DATA_PDM2/Stöbich/Varianten/0744284.GMV"</v>
          </cell>
          <cell r="C1306" t="str">
            <v>//shrzboost01/TRUMPF.NET/DATA_PDM2/Stöbich/Aufträge.GEO</v>
          </cell>
        </row>
        <row r="1307">
          <cell r="A1307" t="str">
            <v>0744285</v>
          </cell>
          <cell r="B1307" t="str">
            <v>"//shrzboost01/TRUMPF.NET/DATA_PDM2/Stöbich/Varianten/0744285.GMV"</v>
          </cell>
          <cell r="C1307" t="str">
            <v>//shrzboost01/TRUMPF.NET/DATA_PDM2/Stöbich/Aufträge.GEO</v>
          </cell>
        </row>
        <row r="1308">
          <cell r="A1308" t="str">
            <v>0744286</v>
          </cell>
          <cell r="B1308" t="str">
            <v>"//shrzboost01/TRUMPF.NET/DATA_PDM2/Stöbich/Varianten/0744286.GMV"</v>
          </cell>
          <cell r="C1308" t="str">
            <v>//shrzboost01/TRUMPF.NET/DATA_PDM2/Stöbich/Aufträge.GEO</v>
          </cell>
        </row>
        <row r="1309">
          <cell r="A1309" t="str">
            <v>0744287</v>
          </cell>
          <cell r="B1309" t="str">
            <v>"//shrzboost01/TRUMPF.NET/DATA_PDM2/Stöbich/Varianten/0744287.GMV"</v>
          </cell>
          <cell r="C1309" t="str">
            <v>//shrzboost01/TRUMPF.NET/DATA_PDM2/Stöbich/Aufträge.GEO</v>
          </cell>
        </row>
        <row r="1310">
          <cell r="A1310" t="str">
            <v>0744288</v>
          </cell>
          <cell r="B1310" t="str">
            <v>"//shrzboost01/TRUMPF.NET/DATA_PDM2/Stöbich/Varianten/0744288.GMV"</v>
          </cell>
          <cell r="C1310" t="str">
            <v>//shrzboost01/TRUMPF.NET/DATA_PDM2/Stöbich/Aufträge.GEO</v>
          </cell>
        </row>
        <row r="1311">
          <cell r="A1311" t="str">
            <v>0744290</v>
          </cell>
          <cell r="B1311" t="str">
            <v>"//shrzboost01/TRUMPF.NET/DATA_PDM2/Stöbich/Varianten/0744290.GMV"</v>
          </cell>
          <cell r="C1311" t="str">
            <v>//shrzboost01/TRUMPF.NET/DATA_PDM2/Stöbich/Aufträge.GEO</v>
          </cell>
        </row>
        <row r="1312">
          <cell r="A1312" t="str">
            <v>0744291</v>
          </cell>
          <cell r="B1312" t="str">
            <v>"//shrzboost01/TRUMPF.NET/DATA_PDM2/Stöbich/Varianten/0744291.GMV"</v>
          </cell>
          <cell r="C1312" t="str">
            <v>//shrzboost01/TRUMPF.NET/DATA_PDM2/Stöbich/Aufträge.GEO</v>
          </cell>
        </row>
        <row r="1313">
          <cell r="A1313" t="str">
            <v>0744303</v>
          </cell>
          <cell r="B1313" t="str">
            <v>"//shrzboost01/TRUMPF.NET/DATA_PDM2/Stöbich/Varianten/0744303.GMV"</v>
          </cell>
          <cell r="C1313" t="str">
            <v>//shrzboost01/TRUMPF.NET/DATA_PDM2/Stöbich/Aufträge.GEO</v>
          </cell>
        </row>
        <row r="1314">
          <cell r="A1314" t="str">
            <v>0744304</v>
          </cell>
          <cell r="B1314" t="str">
            <v>"//shrzboost01/TRUMPF.NET/DATA_PDM2/Stöbich/Varianten/0744304.GMV"</v>
          </cell>
          <cell r="C1314" t="str">
            <v>//shrzboost01/TRUMPF.NET/DATA_PDM2/Stöbich/Aufträge.GEO</v>
          </cell>
        </row>
        <row r="1315">
          <cell r="A1315" t="str">
            <v>0744305</v>
          </cell>
          <cell r="B1315" t="str">
            <v>"//shrzboost01/TRUMPF.NET/DATA_PDM2/Stöbich/Varianten/0744305.GMV"</v>
          </cell>
          <cell r="C1315" t="str">
            <v>//shrzboost01/TRUMPF.NET/DATA_PDM2/Stöbich/Aufträge.GEO</v>
          </cell>
        </row>
        <row r="1316">
          <cell r="A1316" t="str">
            <v>0744306</v>
          </cell>
          <cell r="B1316" t="str">
            <v>"//shrzboost01/TRUMPF.NET/DATA_PDM2/Stöbich/Varianten/0744306.GMV"</v>
          </cell>
          <cell r="C1316" t="str">
            <v>//shrzboost01/TRUMPF.NET/DATA_PDM2/Stöbich/Aufträge.GEO</v>
          </cell>
        </row>
        <row r="1317">
          <cell r="A1317" t="str">
            <v>0744307</v>
          </cell>
          <cell r="B1317" t="str">
            <v>"//shrzboost01/TRUMPF.NET/DATA_PDM2/Stöbich/Varianten/0744307.GMV"</v>
          </cell>
          <cell r="C1317" t="str">
            <v>//shrzboost01/TRUMPF.NET/DATA_PDM2/Stöbich/Aufträge.GEO</v>
          </cell>
        </row>
        <row r="1318">
          <cell r="A1318" t="str">
            <v>0744308</v>
          </cell>
          <cell r="B1318" t="str">
            <v>"//shrzboost01/TRUMPF.NET/DATA_PDM2/Stöbich/Varianten/0744308.GMV"</v>
          </cell>
          <cell r="C1318" t="str">
            <v>//shrzboost01/TRUMPF.NET/DATA_PDM2/Stöbich/Aufträge.GEO</v>
          </cell>
        </row>
        <row r="1319">
          <cell r="A1319" t="str">
            <v>0744309</v>
          </cell>
          <cell r="B1319" t="str">
            <v>"//shrzboost01/TRUMPF.NET/DATA_PDM2/Stöbich/Varianten/0744309.GMV"</v>
          </cell>
          <cell r="C1319" t="str">
            <v>//shrzboost01/TRUMPF.NET/DATA_PDM2/Stöbich/Aufträge.GEO</v>
          </cell>
        </row>
        <row r="1320">
          <cell r="A1320" t="str">
            <v>0744310</v>
          </cell>
          <cell r="B1320" t="str">
            <v>"//shrzboost01/TRUMPF.NET/DATA_PDM2/Stöbich/Varianten/0744310.GMV"</v>
          </cell>
          <cell r="C1320" t="str">
            <v>//shrzboost01/TRUMPF.NET/DATA_PDM2/Stöbich/Aufträge.GEO</v>
          </cell>
        </row>
        <row r="1321">
          <cell r="A1321" t="str">
            <v>0744311</v>
          </cell>
          <cell r="B1321" t="str">
            <v>"//shrzboost01/TRUMPF.NET/DATA_PDM2/Stöbich/Varianten/0744311.GMV"</v>
          </cell>
          <cell r="C1321" t="str">
            <v>//shrzboost01/TRUMPF.NET/DATA_PDM2/Stöbich/Aufträge.GEO</v>
          </cell>
        </row>
        <row r="1322">
          <cell r="A1322" t="str">
            <v>0744312</v>
          </cell>
          <cell r="B1322" t="str">
            <v>"//shrzboost01/TRUMPF.NET/DATA_PDM2/Stöbich/Varianten/0744312.GMV"</v>
          </cell>
          <cell r="C1322" t="str">
            <v>//shrzboost01/TRUMPF.NET/DATA_PDM2/Stöbich/Aufträge.GEO</v>
          </cell>
        </row>
        <row r="1323">
          <cell r="A1323" t="str">
            <v>0744313</v>
          </cell>
          <cell r="B1323" t="str">
            <v>"//shrzboost01/TRUMPF.NET/DATA_PDM2/Stöbich/Varianten/0744313.GMV"</v>
          </cell>
          <cell r="C1323" t="str">
            <v>//shrzboost01/TRUMPF.NET/DATA_PDM2/Stöbich/Aufträge.GEO</v>
          </cell>
        </row>
        <row r="1324">
          <cell r="A1324" t="str">
            <v>0744314</v>
          </cell>
          <cell r="B1324" t="str">
            <v>"//shrzboost01/TRUMPF.NET/DATA_PDM2/Stöbich/Varianten/0744314.GMV"</v>
          </cell>
          <cell r="C1324" t="str">
            <v>//shrzboost01/TRUMPF.NET/DATA_PDM2/Stöbich/Aufträge.GEO</v>
          </cell>
        </row>
        <row r="1325">
          <cell r="A1325" t="str">
            <v>0744315</v>
          </cell>
          <cell r="B1325" t="str">
            <v>"//shrzboost01/TRUMPF.NET/DATA_PDM2/Stöbich/Varianten/0744315.GMV"</v>
          </cell>
          <cell r="C1325" t="str">
            <v>//shrzboost01/TRUMPF.NET/DATA_PDM2/Stöbich/Aufträge.GEO</v>
          </cell>
        </row>
        <row r="1326">
          <cell r="A1326" t="str">
            <v>0744316</v>
          </cell>
          <cell r="B1326" t="str">
            <v>"//shrzboost01/TRUMPF.NET/DATA_PDM2/Stöbich/Varianten/0744316.GMV"</v>
          </cell>
          <cell r="C1326" t="str">
            <v>//shrzboost01/TRUMPF.NET/DATA_PDM2/Stöbich/Aufträge.GEO</v>
          </cell>
        </row>
        <row r="1327">
          <cell r="A1327" t="str">
            <v>0744317</v>
          </cell>
          <cell r="B1327" t="str">
            <v>"//shrzboost01/TRUMPF.NET/DATA_PDM2/Stöbich/Varianten/0744317.GMV"</v>
          </cell>
          <cell r="C1327" t="str">
            <v>//shrzboost01/TRUMPF.NET/DATA_PDM2/Stöbich/Aufträge.GEO</v>
          </cell>
        </row>
        <row r="1328">
          <cell r="A1328" t="str">
            <v>0744318</v>
          </cell>
          <cell r="B1328" t="str">
            <v>"//shrzboost01/TRUMPF.NET/DATA_PDM2/Stöbich/Varianten/0744318.GMV"</v>
          </cell>
          <cell r="C1328" t="str">
            <v>//shrzboost01/TRUMPF.NET/DATA_PDM2/Stöbich/Aufträge.GEO</v>
          </cell>
        </row>
        <row r="1329">
          <cell r="A1329" t="str">
            <v>0744323</v>
          </cell>
          <cell r="B1329" t="str">
            <v>"//shrzboost01/TRUMPF.NET/DATA_PDM2/Stöbich/Varianten/0744323.GMV"</v>
          </cell>
          <cell r="C1329" t="str">
            <v>//shrzboost01/TRUMPF.NET/DATA_PDM2/Stöbich/Aufträge.GEO</v>
          </cell>
        </row>
        <row r="1330">
          <cell r="A1330" t="str">
            <v>0744326</v>
          </cell>
          <cell r="B1330" t="str">
            <v>"//shrzboost01/TRUMPF.NET/DATA_PDM2/Stöbich/Varianten/0744326.GMV"</v>
          </cell>
          <cell r="C1330" t="str">
            <v>//shrzboost01/TRUMPF.NET/DATA_PDM2/Stöbich/Aufträge.GEO</v>
          </cell>
        </row>
        <row r="1331">
          <cell r="A1331" t="str">
            <v>0744327</v>
          </cell>
          <cell r="B1331" t="str">
            <v>"//shrzboost01/TRUMPF.NET/DATA_PDM2/Stöbich/Varianten/0744327.GMV"</v>
          </cell>
          <cell r="C1331" t="str">
            <v>//shrzboost01/TRUMPF.NET/DATA_PDM2/Stöbich/Aufträge.GEO</v>
          </cell>
        </row>
        <row r="1332">
          <cell r="A1332" t="str">
            <v>0744328</v>
          </cell>
          <cell r="B1332" t="str">
            <v>"//shrzboost01/TRUMPF.NET/DATA_PDM2/Stöbich/Varianten/0744328.GMV"</v>
          </cell>
          <cell r="C1332" t="str">
            <v>//shrzboost01/TRUMPF.NET/DATA_PDM2/Stöbich/Aufträge.GEO</v>
          </cell>
        </row>
        <row r="1333">
          <cell r="A1333" t="str">
            <v>0744329</v>
          </cell>
          <cell r="B1333" t="str">
            <v>"//shrzboost01/TRUMPF.NET/DATA_PDM2/Stöbich/Varianten/0744329.GMV"</v>
          </cell>
          <cell r="C1333" t="str">
            <v>//shrzboost01/TRUMPF.NET/DATA_PDM2/Stöbich/Aufträge.GEO</v>
          </cell>
        </row>
        <row r="1334">
          <cell r="A1334" t="str">
            <v>0744330</v>
          </cell>
          <cell r="B1334" t="str">
            <v>"//shrzboost01/TRUMPF.NET/DATA_PDM2/Stöbich/Varianten/0744330.GMV"</v>
          </cell>
          <cell r="C1334" t="str">
            <v>//shrzboost01/TRUMPF.NET/DATA_PDM2/Stöbich/Aufträge.GEO</v>
          </cell>
        </row>
        <row r="1335">
          <cell r="A1335" t="str">
            <v>0744331</v>
          </cell>
          <cell r="B1335" t="str">
            <v>"//shrzboost01/TRUMPF.NET/DATA_PDM2/Stöbich/Varianten/0744331.GMV"</v>
          </cell>
          <cell r="C1335" t="str">
            <v>//shrzboost01/TRUMPF.NET/DATA_PDM2/Stöbich/Aufträge.GEO</v>
          </cell>
        </row>
        <row r="1336">
          <cell r="A1336" t="str">
            <v>0744332</v>
          </cell>
          <cell r="B1336" t="str">
            <v>"//shrzboost01/TRUMPF.NET/DATA_PDM2/Stöbich/Varianten/0744332.GMV"</v>
          </cell>
          <cell r="C1336" t="str">
            <v>//shrzboost01/TRUMPF.NET/DATA_PDM2/Stöbich/Aufträge.GEO</v>
          </cell>
        </row>
        <row r="1337">
          <cell r="A1337" t="str">
            <v>0744333</v>
          </cell>
          <cell r="B1337" t="str">
            <v>"//shrzboost01/TRUMPF.NET/DATA_PDM2/Stöbich/Varianten/0744333.GMV"</v>
          </cell>
          <cell r="C1337" t="str">
            <v>//shrzboost01/TRUMPF.NET/DATA_PDM2/Stöbich/Aufträge.GEO</v>
          </cell>
        </row>
        <row r="1338">
          <cell r="A1338" t="str">
            <v>0744335</v>
          </cell>
          <cell r="B1338" t="str">
            <v>"//shrzboost01/TRUMPF.NET/DATA_PDM2/Stöbich/Varianten/0744335.GMV"</v>
          </cell>
          <cell r="C1338" t="str">
            <v>//shrzboost01/TRUMPF.NET/DATA_PDM2/Stöbich/Aufträge.GEO</v>
          </cell>
        </row>
        <row r="1339">
          <cell r="A1339" t="str">
            <v>0744336</v>
          </cell>
          <cell r="B1339" t="str">
            <v>"//shrzboost01/TRUMPF.NET/DATA_PDM2/Stöbich/Varianten/0744336.GMV"</v>
          </cell>
          <cell r="C1339" t="str">
            <v>//shrzboost01/TRUMPF.NET/DATA_PDM2/Stöbich/Aufträge.GEO</v>
          </cell>
        </row>
        <row r="1340">
          <cell r="A1340" t="str">
            <v>0744337</v>
          </cell>
          <cell r="B1340" t="str">
            <v>"//shrzboost01/TRUMPF.NET/DATA_PDM2/Stöbich/Varianten/0744337.GMV"</v>
          </cell>
          <cell r="C1340" t="str">
            <v>//shrzboost01/TRUMPF.NET/DATA_PDM2/Stöbich/Aufträge.GEO</v>
          </cell>
        </row>
        <row r="1341">
          <cell r="A1341" t="str">
            <v>0744338</v>
          </cell>
          <cell r="B1341" t="str">
            <v>"//shrzboost01/TRUMPF.NET/DATA_PDM2/Stöbich/Varianten/0744338.GMV"</v>
          </cell>
          <cell r="C1341" t="str">
            <v>//shrzboost01/TRUMPF.NET/DATA_PDM2/Stöbich/Aufträge.GEO</v>
          </cell>
        </row>
        <row r="1342">
          <cell r="A1342" t="str">
            <v>0744339</v>
          </cell>
          <cell r="B1342" t="str">
            <v>"//shrzboost01/TRUMPF.NET/DATA_PDM2/Stöbich/Varianten/0744339.GMV"</v>
          </cell>
          <cell r="C1342" t="str">
            <v>//shrzboost01/TRUMPF.NET/DATA_PDM2/Stöbich/Aufträge.GEO</v>
          </cell>
        </row>
        <row r="1343">
          <cell r="A1343" t="str">
            <v>0744340</v>
          </cell>
          <cell r="B1343" t="str">
            <v>"//shrzboost01/TRUMPF.NET/DATA_PDM2/Stöbich/Varianten/0744340.GMV"</v>
          </cell>
          <cell r="C1343" t="str">
            <v>//shrzboost01/TRUMPF.NET/DATA_PDM2/Stöbich/Aufträge.GEO</v>
          </cell>
        </row>
        <row r="1344">
          <cell r="A1344" t="str">
            <v>0744341</v>
          </cell>
          <cell r="B1344" t="str">
            <v>"//shrzboost01/TRUMPF.NET/DATA_PDM2/Stöbich/Varianten/0744341.GMV"</v>
          </cell>
          <cell r="C1344" t="str">
            <v>//shrzboost01/TRUMPF.NET/DATA_PDM2/Stöbich/Aufträge.GEO</v>
          </cell>
        </row>
        <row r="1345">
          <cell r="A1345" t="str">
            <v>0744344</v>
          </cell>
          <cell r="B1345" t="str">
            <v>"//shrzboost01/TRUMPF.NET/DATA_PDM2/Stöbich/Varianten/0744344.GMV"</v>
          </cell>
          <cell r="C1345" t="str">
            <v>//shrzboost01/TRUMPF.NET/DATA_PDM2/Stöbich/Aufträge.GEO</v>
          </cell>
        </row>
        <row r="1346">
          <cell r="A1346" t="str">
            <v>0744353</v>
          </cell>
          <cell r="B1346" t="str">
            <v>"//shrzboost01/TRUMPF.NET/DATA_PDM2/Stöbich/Varianten/0744353.GMV"</v>
          </cell>
          <cell r="C1346" t="str">
            <v>//shrzboost01/TRUMPF.NET/DATA_PDM2/Stöbich/Aufträge.GEO</v>
          </cell>
        </row>
        <row r="1347">
          <cell r="A1347" t="str">
            <v>0744354</v>
          </cell>
          <cell r="B1347" t="str">
            <v>"//shrzboost01/TRUMPF.NET/DATA_PDM2/Stöbich/Varianten/0744354.GMV"</v>
          </cell>
          <cell r="C1347" t="str">
            <v>//shrzboost01/TRUMPF.NET/DATA_PDM2/Stöbich/Aufträge.GEO</v>
          </cell>
        </row>
        <row r="1348">
          <cell r="A1348" t="str">
            <v>0744355</v>
          </cell>
          <cell r="B1348" t="str">
            <v>"//shrzboost01/TRUMPF.NET/DATA_PDM2/Stöbich/Varianten/0744355.GMV"</v>
          </cell>
          <cell r="C1348" t="str">
            <v>//shrzboost01/TRUMPF.NET/DATA_PDM2/Stöbich/Aufträge.GEO</v>
          </cell>
        </row>
        <row r="1349">
          <cell r="A1349" t="str">
            <v>0744356</v>
          </cell>
          <cell r="B1349" t="str">
            <v>"//shrzboost01/TRUMPF.NET/DATA_PDM2/Stöbich/Varianten/0744356.GMV"</v>
          </cell>
          <cell r="C1349" t="str">
            <v>//shrzboost01/TRUMPF.NET/DATA_PDM2/Stöbich/Aufträge.GEO</v>
          </cell>
        </row>
        <row r="1350">
          <cell r="A1350" t="str">
            <v>0744357</v>
          </cell>
          <cell r="B1350" t="str">
            <v>"//shrzboost01/TRUMPF.NET/DATA_PDM2/Stöbich/Varianten/0744357.GMV"</v>
          </cell>
          <cell r="C1350" t="str">
            <v>//shrzboost01/TRUMPF.NET/DATA_PDM2/Stöbich/Aufträge.GEO</v>
          </cell>
        </row>
        <row r="1351">
          <cell r="A1351" t="str">
            <v>0744378</v>
          </cell>
          <cell r="B1351" t="str">
            <v>"//shrzboost01/TRUMPF.NET/DATA_PDM2/Stöbich/Varianten/0744378.GMV"</v>
          </cell>
          <cell r="C1351" t="str">
            <v>//shrzboost01/TRUMPF.NET/DATA_PDM2/Stöbich/Aufträge.GEO</v>
          </cell>
        </row>
        <row r="1352">
          <cell r="A1352" t="str">
            <v>0744379</v>
          </cell>
          <cell r="B1352" t="str">
            <v>"//shrzboost01/TRUMPF.NET/DATA_PDM2/Stöbich/Varianten/0744379.GMV"</v>
          </cell>
          <cell r="C1352" t="str">
            <v>//shrzboost01/TRUMPF.NET/DATA_PDM2/Stöbich/Aufträge.GEO</v>
          </cell>
        </row>
        <row r="1353">
          <cell r="A1353" t="str">
            <v>0744380</v>
          </cell>
          <cell r="B1353" t="str">
            <v>"//shrzboost01/TRUMPF.NET/DATA_PDM2/Stöbich/Varianten/0744380.GMV"</v>
          </cell>
          <cell r="C1353" t="str">
            <v>//shrzboost01/TRUMPF.NET/DATA_PDM2/Stöbich/Aufträge.GEO</v>
          </cell>
        </row>
        <row r="1354">
          <cell r="A1354" t="str">
            <v>0744387</v>
          </cell>
          <cell r="B1354" t="str">
            <v>"//shrzboost01/TRUMPF.NET/DATA_PDM2/Stöbich/Varianten/0744387.GMV"</v>
          </cell>
          <cell r="C1354" t="str">
            <v>//shrzboost01/TRUMPF.NET/DATA_PDM2/Stöbich/Aufträge.GEO</v>
          </cell>
        </row>
        <row r="1355">
          <cell r="A1355" t="str">
            <v>0744392</v>
          </cell>
          <cell r="B1355" t="str">
            <v>"//shrzboost01/TRUMPF.NET/DATA_PDM2/Stöbich/Varianten/0744392.GMV"</v>
          </cell>
          <cell r="C1355" t="str">
            <v>//shrzboost01/TRUMPF.NET/DATA_PDM2/Stöbich/Aufträge.GEO</v>
          </cell>
        </row>
        <row r="1356">
          <cell r="A1356" t="str">
            <v>0744394</v>
          </cell>
          <cell r="B1356" t="str">
            <v>"//shrzboost01/TRUMPF.NET/DATA_PDM2/Stöbich/Varianten/0744394.GMV"</v>
          </cell>
          <cell r="C1356" t="str">
            <v>//shrzboost01/TRUMPF.NET/DATA_PDM2/Stöbich/Aufträge.GEO</v>
          </cell>
        </row>
        <row r="1357">
          <cell r="A1357" t="str">
            <v>0744395</v>
          </cell>
          <cell r="B1357" t="str">
            <v>"//shrzboost01/TRUMPF.NET/DATA_PDM2/Stöbich/Varianten/0744395.GMV"</v>
          </cell>
          <cell r="C1357" t="str">
            <v>//shrzboost01/TRUMPF.NET/DATA_PDM2/Stöbich/Aufträge.GEO</v>
          </cell>
        </row>
        <row r="1358">
          <cell r="A1358" t="str">
            <v>0744397</v>
          </cell>
          <cell r="B1358" t="str">
            <v>"//shrzboost01/TRUMPF.NET/DATA_PDM2/Stöbich/Varianten/0744397.GMV"</v>
          </cell>
          <cell r="C1358" t="str">
            <v>//shrzboost01/TRUMPF.NET/DATA_PDM2/Stöbich/Aufträge.GEO</v>
          </cell>
        </row>
        <row r="1359">
          <cell r="A1359" t="str">
            <v>0744398</v>
          </cell>
          <cell r="B1359" t="str">
            <v>"//shrzboost01/TRUMPF.NET/DATA_PDM2/Stöbich/Varianten/0744398.GMV"</v>
          </cell>
          <cell r="C1359" t="str">
            <v>//shrzboost01/TRUMPF.NET/DATA_PDM2/Stöbich/Aufträge.GEO</v>
          </cell>
        </row>
        <row r="1360">
          <cell r="A1360" t="str">
            <v>0744399</v>
          </cell>
          <cell r="B1360" t="str">
            <v>"//shrzboost01/TRUMPF.NET/DATA_PDM2/Stöbich/Varianten/0744399.GMV"</v>
          </cell>
          <cell r="C1360" t="str">
            <v>//shrzboost01/TRUMPF.NET/DATA_PDM2/Stöbich/Aufträge.GEO</v>
          </cell>
        </row>
        <row r="1361">
          <cell r="A1361" t="str">
            <v>0744400</v>
          </cell>
          <cell r="B1361" t="str">
            <v>"//shrzboost01/TRUMPF.NET/DATA_PDM2/Stöbich/Varianten/0744400.GMV"</v>
          </cell>
          <cell r="C1361" t="str">
            <v>//shrzboost01/TRUMPF.NET/DATA_PDM2/Stöbich/Aufträge.GEO</v>
          </cell>
        </row>
        <row r="1362">
          <cell r="A1362" t="str">
            <v>0744401</v>
          </cell>
          <cell r="B1362" t="str">
            <v>"//shrzboost01/TRUMPF.NET/DATA_PDM2/Stöbich/Varianten/0744401.GMV"</v>
          </cell>
          <cell r="C1362" t="str">
            <v>//shrzboost01/TRUMPF.NET/DATA_PDM2/Stöbich/Aufträge.GEO</v>
          </cell>
        </row>
        <row r="1363">
          <cell r="A1363" t="str">
            <v>0744402</v>
          </cell>
          <cell r="B1363" t="str">
            <v>"//shrzboost01/TRUMPF.NET/DATA_PDM2/Stöbich/Varianten/0744402.GMV"</v>
          </cell>
          <cell r="C1363" t="str">
            <v>//shrzboost01/TRUMPF.NET/DATA_PDM2/Stöbich/Aufträge.GEO</v>
          </cell>
        </row>
        <row r="1364">
          <cell r="A1364" t="str">
            <v>0744403</v>
          </cell>
          <cell r="B1364" t="str">
            <v>"//shrzboost01/TRUMPF.NET/DATA_PDM2/Stöbich/Varianten/0744403.GMV"</v>
          </cell>
          <cell r="C1364" t="str">
            <v>//shrzboost01/TRUMPF.NET/DATA_PDM2/Stöbich/Aufträge.GEO</v>
          </cell>
        </row>
        <row r="1365">
          <cell r="A1365" t="str">
            <v>0744404</v>
          </cell>
          <cell r="B1365" t="str">
            <v>"//shrzboost01/TRUMPF.NET/DATA_PDM2/Stöbich/Varianten/0744404.GMV"</v>
          </cell>
          <cell r="C1365" t="str">
            <v>//shrzboost01/TRUMPF.NET/DATA_PDM2/Stöbich/Aufträge.GEO</v>
          </cell>
        </row>
        <row r="1366">
          <cell r="A1366" t="str">
            <v>0744405</v>
          </cell>
          <cell r="B1366" t="str">
            <v>"//shrzboost01/TRUMPF.NET/DATA_PDM2/Stöbich/Varianten/0744405.GMV"</v>
          </cell>
          <cell r="C1366" t="str">
            <v>//shrzboost01/TRUMPF.NET/DATA_PDM2/Stöbich/Aufträge.GEO</v>
          </cell>
        </row>
        <row r="1367">
          <cell r="A1367" t="str">
            <v>0744406</v>
          </cell>
          <cell r="B1367" t="str">
            <v>"//shrzboost01/TRUMPF.NET/DATA_PDM2/Stöbich/Varianten/0744406.GMV"</v>
          </cell>
          <cell r="C1367" t="str">
            <v>//shrzboost01/TRUMPF.NET/DATA_PDM2/Stöbich/Aufträge.GEO</v>
          </cell>
        </row>
        <row r="1368">
          <cell r="A1368" t="str">
            <v>0744427</v>
          </cell>
          <cell r="B1368" t="str">
            <v>"//shrzboost01/TRUMPF.NET/DATA_PDM2/Stöbich/Varianten/0744427.GMV"</v>
          </cell>
          <cell r="C1368" t="str">
            <v>//shrzboost01/TRUMPF.NET/DATA_PDM2/Stöbich/Aufträge.GEO</v>
          </cell>
        </row>
        <row r="1369">
          <cell r="A1369" t="str">
            <v>0744428</v>
          </cell>
          <cell r="B1369" t="str">
            <v>"//shrzboost01/TRUMPF.NET/DATA_PDM2/Stöbich/Varianten/0744428.GMV"</v>
          </cell>
          <cell r="C1369" t="str">
            <v>//shrzboost01/TRUMPF.NET/DATA_PDM2/Stöbich/Aufträge.GEO</v>
          </cell>
        </row>
        <row r="1370">
          <cell r="A1370" t="str">
            <v>0744429</v>
          </cell>
          <cell r="B1370" t="str">
            <v>"//shrzboost01/TRUMPF.NET/DATA_PDM2/Stöbich/Varianten/0744429.GMV"</v>
          </cell>
          <cell r="C1370" t="str">
            <v>//shrzboost01/TRUMPF.NET/DATA_PDM2/Stöbich/Aufträge.GEO</v>
          </cell>
        </row>
        <row r="1371">
          <cell r="A1371" t="str">
            <v>0744430</v>
          </cell>
          <cell r="B1371" t="str">
            <v>"//shrzboost01/TRUMPF.NET/DATA_PDM2/Stöbich/Varianten/0744430.GMV"</v>
          </cell>
          <cell r="C1371" t="str">
            <v>//shrzboost01/TRUMPF.NET/DATA_PDM2/Stöbich/Aufträge.GEO</v>
          </cell>
        </row>
        <row r="1372">
          <cell r="A1372" t="str">
            <v>0744431</v>
          </cell>
          <cell r="B1372" t="str">
            <v>"//shrzboost01/TRUMPF.NET/DATA_PDM2/Stöbich/Varianten/0744431.GMV"</v>
          </cell>
          <cell r="C1372" t="str">
            <v>//shrzboost01/TRUMPF.NET/DATA_PDM2/Stöbich/Aufträge.GEO</v>
          </cell>
        </row>
        <row r="1373">
          <cell r="A1373" t="str">
            <v>0744432</v>
          </cell>
          <cell r="B1373" t="str">
            <v>"//shrzboost01/TRUMPF.NET/DATA_PDM2/Stöbich/Varianten/0744432.GMV"</v>
          </cell>
          <cell r="C1373" t="str">
            <v>//shrzboost01/TRUMPF.NET/DATA_PDM2/Stöbich/Aufträge.GEO</v>
          </cell>
        </row>
        <row r="1374">
          <cell r="A1374" t="str">
            <v>0744433</v>
          </cell>
          <cell r="B1374" t="str">
            <v>"//shrzboost01/TRUMPF.NET/DATA_PDM2/Stöbich/Varianten/0744433.GMV"</v>
          </cell>
          <cell r="C1374" t="str">
            <v>//shrzboost01/TRUMPF.NET/DATA_PDM2/Stöbich/Aufträge.GEO</v>
          </cell>
        </row>
        <row r="1375">
          <cell r="A1375" t="str">
            <v>0744434</v>
          </cell>
          <cell r="B1375" t="str">
            <v>"//shrzboost01/TRUMPF.NET/DATA_PDM2/Stöbich/Varianten/0744434.GMV"</v>
          </cell>
          <cell r="C1375" t="str">
            <v>//shrzboost01/TRUMPF.NET/DATA_PDM2/Stöbich/Aufträge.GEO</v>
          </cell>
        </row>
        <row r="1376">
          <cell r="A1376" t="str">
            <v>0744435</v>
          </cell>
          <cell r="B1376" t="str">
            <v>"//shrzboost01/TRUMPF.NET/DATA_PDM2/Stöbich/Varianten/0744435.GMV"</v>
          </cell>
          <cell r="C1376" t="str">
            <v>//shrzboost01/TRUMPF.NET/DATA_PDM2/Stöbich/Aufträge.GEO</v>
          </cell>
        </row>
        <row r="1377">
          <cell r="A1377" t="str">
            <v>0744436</v>
          </cell>
          <cell r="B1377" t="str">
            <v>"//shrzboost01/TRUMPF.NET/DATA_PDM2/Stöbich/Varianten/0744436.GMV"</v>
          </cell>
          <cell r="C1377" t="str">
            <v>//shrzboost01/TRUMPF.NET/DATA_PDM2/Stöbich/Aufträge.GEO</v>
          </cell>
        </row>
        <row r="1378">
          <cell r="A1378" t="str">
            <v>0744437</v>
          </cell>
          <cell r="B1378" t="str">
            <v>"//shrzboost01/TRUMPF.NET/DATA_PDM2/Stöbich/Varianten/0744437.GMV"</v>
          </cell>
          <cell r="C1378" t="str">
            <v>//shrzboost01/TRUMPF.NET/DATA_PDM2/Stöbich/Aufträge.GEO</v>
          </cell>
        </row>
        <row r="1379">
          <cell r="A1379" t="str">
            <v>0744438</v>
          </cell>
          <cell r="B1379" t="str">
            <v>"//shrzboost01/TRUMPF.NET/DATA_PDM2/Stöbich/Varianten/0744438.GMV"</v>
          </cell>
          <cell r="C1379" t="str">
            <v>//shrzboost01/TRUMPF.NET/DATA_PDM2/Stöbich/Aufträge.GEO</v>
          </cell>
        </row>
        <row r="1380">
          <cell r="A1380" t="str">
            <v>0744439</v>
          </cell>
          <cell r="B1380" t="str">
            <v>"//shrzboost01/TRUMPF.NET/DATA_PDM2/Stöbich/Varianten/0744439.GMV"</v>
          </cell>
          <cell r="C1380" t="str">
            <v>//shrzboost01/TRUMPF.NET/DATA_PDM2/Stöbich/Aufträge.GEO</v>
          </cell>
        </row>
        <row r="1381">
          <cell r="A1381" t="str">
            <v>0744440</v>
          </cell>
          <cell r="B1381" t="str">
            <v>"//shrzboost01/TRUMPF.NET/DATA_PDM2/Stöbich/Varianten/0744440.GMV"</v>
          </cell>
          <cell r="C1381" t="str">
            <v>//shrzboost01/TRUMPF.NET/DATA_PDM2/Stöbich/Aufträge.GEO</v>
          </cell>
        </row>
        <row r="1382">
          <cell r="A1382" t="str">
            <v>0744442</v>
          </cell>
          <cell r="B1382" t="str">
            <v>"//shrzboost01/TRUMPF.NET/DATA_PDM2/Stöbich/Varianten/0744442.GMV"</v>
          </cell>
          <cell r="C1382" t="str">
            <v>//shrzboost01/TRUMPF.NET/DATA_PDM2/Stöbich/Aufträge.GEO</v>
          </cell>
        </row>
        <row r="1383">
          <cell r="A1383" t="str">
            <v>0744445</v>
          </cell>
          <cell r="B1383" t="str">
            <v>"//shrzboost01/TRUMPF.NET/DATA_PDM2/Stöbich/Varianten/0744445.GMV"</v>
          </cell>
          <cell r="C1383" t="str">
            <v>//shrzboost01/TRUMPF.NET/DATA_PDM2/Stöbich/Aufträge.GEO</v>
          </cell>
        </row>
        <row r="1384">
          <cell r="A1384" t="str">
            <v>0744446</v>
          </cell>
          <cell r="B1384" t="str">
            <v>"//shrzboost01/TRUMPF.NET/DATA_PDM2/Stöbich/Varianten/0744446.GMV"</v>
          </cell>
          <cell r="C1384" t="str">
            <v>//shrzboost01/TRUMPF.NET/DATA_PDM2/Stöbich/Aufträge.GEO</v>
          </cell>
        </row>
        <row r="1385">
          <cell r="A1385" t="str">
            <v>0744447</v>
          </cell>
          <cell r="B1385" t="str">
            <v>"//shrzboost01/TRUMPF.NET/DATA_PDM2/Stöbich/Varianten/0744447.GMV"</v>
          </cell>
          <cell r="C1385" t="str">
            <v>//shrzboost01/TRUMPF.NET/DATA_PDM2/Stöbich/Aufträge.GEO</v>
          </cell>
        </row>
        <row r="1386">
          <cell r="A1386" t="str">
            <v>0744449</v>
          </cell>
          <cell r="B1386" t="str">
            <v>"//shrzboost01/TRUMPF.NET/DATA_PDM2/Stöbich/Varianten/0744449.GMV"</v>
          </cell>
          <cell r="C1386" t="str">
            <v>//shrzboost01/TRUMPF.NET/DATA_PDM2/Stöbich/Aufträge.GEO</v>
          </cell>
        </row>
        <row r="1387">
          <cell r="A1387" t="str">
            <v>0744450</v>
          </cell>
          <cell r="B1387" t="str">
            <v>"//shrzboost01/TRUMPF.NET/DATA_PDM2/Stöbich/Varianten/0744450.GMV"</v>
          </cell>
          <cell r="C1387" t="str">
            <v>//shrzboost01/TRUMPF.NET/DATA_PDM2/Stöbich/Aufträge.GEO</v>
          </cell>
        </row>
        <row r="1388">
          <cell r="A1388" t="str">
            <v>0744451</v>
          </cell>
          <cell r="B1388" t="str">
            <v>"//shrzboost01/TRUMPF.NET/DATA_PDM2/Stöbich/Varianten/0744451.GMV"</v>
          </cell>
          <cell r="C1388" t="str">
            <v>//shrzboost01/TRUMPF.NET/DATA_PDM2/Stöbich/Aufträge.GEO</v>
          </cell>
        </row>
        <row r="1389">
          <cell r="A1389" t="str">
            <v>0744452</v>
          </cell>
          <cell r="B1389" t="str">
            <v>"//shrzboost01/TRUMPF.NET/DATA_PDM2/Stöbich/Varianten/0744452.GMV"</v>
          </cell>
          <cell r="C1389" t="str">
            <v>//shrzboost01/TRUMPF.NET/DATA_PDM2/Stöbich/Aufträge.GEO</v>
          </cell>
        </row>
        <row r="1390">
          <cell r="A1390" t="str">
            <v>0744456</v>
          </cell>
          <cell r="B1390" t="str">
            <v>"//shrzboost01/TRUMPF.NET/DATA_PDM2/Stöbich/Varianten/0744456.GMV"</v>
          </cell>
          <cell r="C1390" t="str">
            <v>//shrzboost01/TRUMPF.NET/DATA_PDM2/Stöbich/Aufträge.GEO</v>
          </cell>
        </row>
        <row r="1391">
          <cell r="A1391" t="str">
            <v>0744457</v>
          </cell>
          <cell r="B1391" t="str">
            <v>"//shrzboost01/TRUMPF.NET/DATA_PDM2/Stöbich/Varianten/0744457.GMV"</v>
          </cell>
          <cell r="C1391" t="str">
            <v>//shrzboost01/TRUMPF.NET/DATA_PDM2/Stöbich/Aufträge.GEO</v>
          </cell>
        </row>
        <row r="1392">
          <cell r="A1392" t="str">
            <v>0744460</v>
          </cell>
          <cell r="B1392" t="str">
            <v>"//shrzboost01/TRUMPF.NET/DATA_PDM2/Stöbich/Varianten/0744460.GMV"</v>
          </cell>
          <cell r="C1392" t="str">
            <v>//shrzboost01/TRUMPF.NET/DATA_PDM2/Stöbich/Aufträge.GEO</v>
          </cell>
        </row>
        <row r="1393">
          <cell r="A1393" t="str">
            <v>0744461</v>
          </cell>
          <cell r="B1393" t="str">
            <v>"//shrzboost01/TRUMPF.NET/DATA_PDM2/Stöbich/Varianten/0744461.GMV"</v>
          </cell>
          <cell r="C1393" t="str">
            <v>//shrzboost01/TRUMPF.NET/DATA_PDM2/Stöbich/Aufträge.GEO</v>
          </cell>
        </row>
        <row r="1394">
          <cell r="A1394" t="str">
            <v>0744462</v>
          </cell>
          <cell r="B1394" t="str">
            <v>"//shrzboost01/TRUMPF.NET/DATA_PDM2/Stöbich/Varianten/0744462.GMV"</v>
          </cell>
          <cell r="C1394" t="str">
            <v>//shrzboost01/TRUMPF.NET/DATA_PDM2/Stöbich/Aufträge.GEO</v>
          </cell>
        </row>
        <row r="1395">
          <cell r="A1395" t="str">
            <v>0744463</v>
          </cell>
          <cell r="B1395" t="str">
            <v>"//shrzboost01/TRUMPF.NET/DATA_PDM2/Stöbich/Varianten/0744463.GMV"</v>
          </cell>
          <cell r="C1395" t="str">
            <v>//shrzboost01/TRUMPF.NET/DATA_PDM2/Stöbich/Aufträge.GEO</v>
          </cell>
        </row>
        <row r="1396">
          <cell r="A1396" t="str">
            <v>0744473</v>
          </cell>
          <cell r="B1396" t="str">
            <v>"//shrzboost01/TRUMPF.NET/DATA_PDM2/Stöbich/Varianten/0744473.GMV"</v>
          </cell>
          <cell r="C1396" t="str">
            <v>//shrzboost01/TRUMPF.NET/DATA_PDM2/Stöbich/Aufträge.GEO</v>
          </cell>
        </row>
        <row r="1397">
          <cell r="A1397" t="str">
            <v>0744474</v>
          </cell>
          <cell r="B1397" t="str">
            <v>"//shrzboost01/TRUMPF.NET/DATA_PDM2/Stöbich/Varianten/0744474.GMV"</v>
          </cell>
          <cell r="C1397" t="str">
            <v>//shrzboost01/TRUMPF.NET/DATA_PDM2/Stöbich/Aufträge.GEO</v>
          </cell>
        </row>
        <row r="1398">
          <cell r="A1398" t="str">
            <v>0744475</v>
          </cell>
          <cell r="B1398" t="str">
            <v>"//shrzboost01/TRUMPF.NET/DATA_PDM2/Stöbich/Varianten/0744475.GMV"</v>
          </cell>
          <cell r="C1398" t="str">
            <v>//shrzboost01/TRUMPF.NET/DATA_PDM2/Stöbich/Aufträge.GEO</v>
          </cell>
        </row>
        <row r="1399">
          <cell r="A1399" t="str">
            <v>0744477</v>
          </cell>
          <cell r="B1399" t="str">
            <v>"//shrzboost01/TRUMPF.NET/DATA_PDM2/Stöbich/Varianten/0744477.GMV"</v>
          </cell>
          <cell r="C1399" t="str">
            <v>//shrzboost01/TRUMPF.NET/DATA_PDM2/Stöbich/Aufträge.GEO</v>
          </cell>
        </row>
        <row r="1400">
          <cell r="A1400" t="str">
            <v>0744479</v>
          </cell>
          <cell r="B1400" t="str">
            <v>"//shrzboost01/TRUMPF.NET/DATA_PDM2/Stöbich/Varianten/0744479.GMV"</v>
          </cell>
          <cell r="C1400" t="str">
            <v>//shrzboost01/TRUMPF.NET/DATA_PDM2/Stöbich/Aufträge.GEO</v>
          </cell>
        </row>
        <row r="1401">
          <cell r="A1401" t="str">
            <v>0744480</v>
          </cell>
          <cell r="B1401" t="str">
            <v>"//shrzboost01/TRUMPF.NET/DATA_PDM2/Stöbich/Varianten/0744480.GMV"</v>
          </cell>
          <cell r="C1401" t="str">
            <v>//shrzboost01/TRUMPF.NET/DATA_PDM2/Stöbich/Aufträge.GEO</v>
          </cell>
        </row>
        <row r="1402">
          <cell r="A1402" t="str">
            <v>0744481</v>
          </cell>
          <cell r="B1402" t="str">
            <v>"//shrzboost01/TRUMPF.NET/DATA_PDM2/Stöbich/Varianten/0744481.GMV"</v>
          </cell>
          <cell r="C1402" t="str">
            <v>//shrzboost01/TRUMPF.NET/DATA_PDM2/Stöbich/Aufträge.GEO</v>
          </cell>
        </row>
        <row r="1403">
          <cell r="A1403" t="str">
            <v>0744482</v>
          </cell>
          <cell r="B1403" t="str">
            <v>"//shrzboost01/TRUMPF.NET/DATA_PDM2/Stöbich/Varianten/0744482.GMV"</v>
          </cell>
          <cell r="C1403" t="str">
            <v>//shrzboost01/TRUMPF.NET/DATA_PDM2/Stöbich/Aufträge.GEO</v>
          </cell>
        </row>
        <row r="1404">
          <cell r="A1404" t="str">
            <v>0744483</v>
          </cell>
          <cell r="B1404" t="str">
            <v>"//shrzboost01/TRUMPF.NET/DATA_PDM2/Stöbich/Varianten/0744483.GMV"</v>
          </cell>
          <cell r="C1404" t="str">
            <v>//shrzboost01/TRUMPF.NET/DATA_PDM2/Stöbich/Aufträge.GEO</v>
          </cell>
        </row>
        <row r="1405">
          <cell r="A1405" t="str">
            <v>0744484</v>
          </cell>
          <cell r="B1405" t="str">
            <v>"//shrzboost01/TRUMPF.NET/DATA_PDM2/Stöbich/Varianten/0744484.GMV"</v>
          </cell>
          <cell r="C1405" t="str">
            <v>//shrzboost01/TRUMPF.NET/DATA_PDM2/Stöbich/Aufträge.GEO</v>
          </cell>
        </row>
        <row r="1406">
          <cell r="A1406" t="str">
            <v>0744485</v>
          </cell>
          <cell r="B1406" t="str">
            <v>"//shrzboost01/TRUMPF.NET/DATA_PDM2/Stöbich/Varianten/0744485.GMV"</v>
          </cell>
          <cell r="C1406" t="str">
            <v>//shrzboost01/TRUMPF.NET/DATA_PDM2/Stöbich/Aufträge.GEO</v>
          </cell>
        </row>
        <row r="1407">
          <cell r="A1407" t="str">
            <v>0744486</v>
          </cell>
          <cell r="B1407" t="str">
            <v>"//shrzboost01/TRUMPF.NET/DATA_PDM2/Stöbich/Varianten/0744486.GMV"</v>
          </cell>
          <cell r="C1407" t="str">
            <v>//shrzboost01/TRUMPF.NET/DATA_PDM2/Stöbich/Aufträge.GEO</v>
          </cell>
        </row>
        <row r="1408">
          <cell r="A1408" t="str">
            <v>0744487</v>
          </cell>
          <cell r="B1408" t="str">
            <v>"//shrzboost01/TRUMPF.NET/DATA_PDM2/Stöbich/Varianten/0744487.GMV"</v>
          </cell>
          <cell r="C1408" t="str">
            <v>//shrzboost01/TRUMPF.NET/DATA_PDM2/Stöbich/Aufträge.GEO</v>
          </cell>
        </row>
        <row r="1409">
          <cell r="A1409" t="str">
            <v>0744488</v>
          </cell>
          <cell r="B1409" t="str">
            <v>"//shrzboost01/TRUMPF.NET/DATA_PDM2/Stöbich/Varianten/0744488.GMV"</v>
          </cell>
          <cell r="C1409" t="str">
            <v>//shrzboost01/TRUMPF.NET/DATA_PDM2/Stöbich/Aufträge.GEO</v>
          </cell>
        </row>
        <row r="1410">
          <cell r="A1410" t="str">
            <v>0744489</v>
          </cell>
          <cell r="B1410" t="str">
            <v>"//shrzboost01/TRUMPF.NET/DATA_PDM2/Stöbich/Varianten/0744489.GMV"</v>
          </cell>
          <cell r="C1410" t="str">
            <v>//shrzboost01/TRUMPF.NET/DATA_PDM2/Stöbich/Aufträge.GEO</v>
          </cell>
        </row>
        <row r="1411">
          <cell r="A1411" t="str">
            <v>0744492</v>
          </cell>
          <cell r="B1411" t="str">
            <v>"//shrzboost01/TRUMPF.NET/DATA_PDM2/Stöbich/Varianten/0744492.GMV"</v>
          </cell>
          <cell r="C1411" t="str">
            <v>//shrzboost01/TRUMPF.NET/DATA_PDM2/Stöbich/Aufträge.GEO</v>
          </cell>
        </row>
        <row r="1412">
          <cell r="A1412" t="str">
            <v>0744493</v>
          </cell>
          <cell r="B1412" t="str">
            <v>"//shrzboost01/TRUMPF.NET/DATA_PDM2/Stöbich/Varianten/0744493.GMV"</v>
          </cell>
          <cell r="C1412" t="str">
            <v>//shrzboost01/TRUMPF.NET/DATA_PDM2/Stöbich/Aufträge.GEO</v>
          </cell>
        </row>
        <row r="1413">
          <cell r="A1413" t="str">
            <v>0744494</v>
          </cell>
          <cell r="B1413" t="str">
            <v>"//shrzboost01/TRUMPF.NET/DATA_PDM2/Stöbich/Varianten/0744494.GMV"</v>
          </cell>
          <cell r="C1413" t="str">
            <v>//shrzboost01/TRUMPF.NET/DATA_PDM2/Stöbich/Aufträge.GEO</v>
          </cell>
        </row>
        <row r="1414">
          <cell r="A1414" t="str">
            <v>0744496</v>
          </cell>
          <cell r="B1414" t="str">
            <v>"//shrzboost01/TRUMPF.NET/DATA_PDM2/Stöbich/Varianten/0744496.GMV"</v>
          </cell>
          <cell r="C1414" t="str">
            <v>//shrzboost01/TRUMPF.NET/DATA_PDM2/Stöbich/Aufträge.GEO</v>
          </cell>
        </row>
        <row r="1415">
          <cell r="A1415" t="str">
            <v>0744497</v>
          </cell>
          <cell r="B1415" t="str">
            <v>"//shrzboost01/TRUMPF.NET/DATA_PDM2/Stöbich/Varianten/0744497.GMV"</v>
          </cell>
          <cell r="C1415" t="str">
            <v>//shrzboost01/TRUMPF.NET/DATA_PDM2/Stöbich/Aufträge.GEO</v>
          </cell>
        </row>
        <row r="1416">
          <cell r="A1416" t="str">
            <v>0744498</v>
          </cell>
          <cell r="B1416" t="str">
            <v>"//shrzboost01/TRUMPF.NET/DATA_PDM2/Stöbich/Varianten/0744498.GMV"</v>
          </cell>
          <cell r="C1416" t="str">
            <v>//shrzboost01/TRUMPF.NET/DATA_PDM2/Stöbich/Aufträge.GEO</v>
          </cell>
        </row>
        <row r="1417">
          <cell r="A1417" t="str">
            <v>0744499</v>
          </cell>
          <cell r="B1417" t="str">
            <v>"//shrzboost01/TRUMPF.NET/DATA_PDM2/Stöbich/Varianten/0744499.GMV"</v>
          </cell>
          <cell r="C1417" t="str">
            <v>//shrzboost01/TRUMPF.NET/DATA_PDM2/Stöbich/Aufträge.GEO</v>
          </cell>
        </row>
        <row r="1418">
          <cell r="A1418" t="str">
            <v>0744502</v>
          </cell>
          <cell r="B1418" t="str">
            <v>"//shrzboost01/TRUMPF.NET/DATA_PDM2/Stöbich/Varianten/0744502.GMV"</v>
          </cell>
          <cell r="C1418" t="str">
            <v>//shrzboost01/TRUMPF.NET/DATA_PDM2/Stöbich/Aufträge.GEO</v>
          </cell>
        </row>
        <row r="1419">
          <cell r="A1419" t="str">
            <v>0744503</v>
          </cell>
          <cell r="B1419" t="str">
            <v>"//shrzboost01/TRUMPF.NET/DATA_PDM2/Stöbich/Varianten/0744503.GMV"</v>
          </cell>
          <cell r="C1419" t="str">
            <v>//shrzboost01/TRUMPF.NET/DATA_PDM2/Stöbich/Aufträge.GEO</v>
          </cell>
        </row>
        <row r="1420">
          <cell r="A1420" t="str">
            <v>0744504</v>
          </cell>
          <cell r="B1420" t="str">
            <v>"//shrzboost01/TRUMPF.NET/DATA_PDM2/Stöbich/Varianten/0744504.GMV"</v>
          </cell>
          <cell r="C1420" t="str">
            <v>//shrzboost01/TRUMPF.NET/DATA_PDM2/Stöbich/Aufträge.GEO</v>
          </cell>
        </row>
        <row r="1421">
          <cell r="A1421" t="str">
            <v>0744505</v>
          </cell>
          <cell r="B1421" t="str">
            <v>"//shrzboost01/TRUMPF.NET/DATA_PDM2/Stöbich/Varianten/0744505.GMV"</v>
          </cell>
          <cell r="C1421" t="str">
            <v>//shrzboost01/TRUMPF.NET/DATA_PDM2/Stöbich/Aufträge.GEO</v>
          </cell>
        </row>
        <row r="1422">
          <cell r="A1422" t="str">
            <v>0744506</v>
          </cell>
          <cell r="B1422" t="str">
            <v>"//shrzboost01/TRUMPF.NET/DATA_PDM2/Stöbich/Varianten/0744506.GMV"</v>
          </cell>
          <cell r="C1422" t="str">
            <v>//shrzboost01/TRUMPF.NET/DATA_PDM2/Stöbich/Aufträge.GEO</v>
          </cell>
        </row>
        <row r="1423">
          <cell r="A1423" t="str">
            <v>0744530</v>
          </cell>
          <cell r="B1423" t="str">
            <v>"//shrzboost01/TRUMPF.NET/DATA_PDM2/Stöbich/Varianten/0744530.GMV"</v>
          </cell>
          <cell r="C1423" t="str">
            <v>//shrzboost01/TRUMPF.NET/DATA_PDM2/Stöbich/Aufträge.GEO</v>
          </cell>
        </row>
        <row r="1424">
          <cell r="A1424" t="str">
            <v>0744531</v>
          </cell>
          <cell r="B1424" t="str">
            <v>"//shrzboost01/TRUMPF.NET/DATA_PDM2/Stöbich/Varianten/0744531.GMV"</v>
          </cell>
          <cell r="C1424" t="str">
            <v>//shrzboost01/TRUMPF.NET/DATA_PDM2/Stöbich/Aufträge.GEO</v>
          </cell>
        </row>
        <row r="1425">
          <cell r="A1425" t="str">
            <v>0744533</v>
          </cell>
          <cell r="B1425" t="str">
            <v>"//shrzboost01/TRUMPF.NET/DATA_PDM2/Stöbich/Varianten/0744533.GMV"</v>
          </cell>
          <cell r="C1425" t="str">
            <v>//shrzboost01/TRUMPF.NET/DATA_PDM2/Stöbich/Aufträge.GEO</v>
          </cell>
        </row>
        <row r="1426">
          <cell r="A1426" t="str">
            <v>0744534</v>
          </cell>
          <cell r="B1426" t="str">
            <v>"//shrzboost01/TRUMPF.NET/DATA_PDM2/Stöbich/Varianten/0744534.GMV"</v>
          </cell>
          <cell r="C1426" t="str">
            <v>//shrzboost01/TRUMPF.NET/DATA_PDM2/Stöbich/Aufträge.GEO</v>
          </cell>
        </row>
        <row r="1427">
          <cell r="A1427" t="str">
            <v>0744535</v>
          </cell>
          <cell r="B1427" t="str">
            <v>"//shrzboost01/TRUMPF.NET/DATA_PDM2/Stöbich/Varianten/0744535.GMV"</v>
          </cell>
          <cell r="C1427" t="str">
            <v>//shrzboost01/TRUMPF.NET/DATA_PDM2/Stöbich/Aufträge.GEO</v>
          </cell>
        </row>
        <row r="1428">
          <cell r="A1428" t="str">
            <v>0744536</v>
          </cell>
          <cell r="B1428" t="str">
            <v>"//shrzboost01/TRUMPF.NET/DATA_PDM2/Stöbich/Varianten/0744536.GMV"</v>
          </cell>
          <cell r="C1428" t="str">
            <v>//shrzboost01/TRUMPF.NET/DATA_PDM2/Stöbich/Aufträge.GEO</v>
          </cell>
        </row>
        <row r="1429">
          <cell r="A1429" t="str">
            <v>0744537</v>
          </cell>
          <cell r="B1429" t="str">
            <v>"//shrzboost01/TRUMPF.NET/DATA_PDM2/Stöbich/Varianten/0744537.GMV"</v>
          </cell>
          <cell r="C1429" t="str">
            <v>//shrzboost01/TRUMPF.NET/DATA_PDM2/Stöbich/Aufträge.GEO</v>
          </cell>
        </row>
        <row r="1430">
          <cell r="A1430" t="str">
            <v>0744538</v>
          </cell>
          <cell r="B1430" t="str">
            <v>"//shrzboost01/TRUMPF.NET/DATA_PDM2/Stöbich/Varianten/0744538.GMV"</v>
          </cell>
          <cell r="C1430" t="str">
            <v>//shrzboost01/TRUMPF.NET/DATA_PDM2/Stöbich/Aufträge.GEO</v>
          </cell>
        </row>
        <row r="1431">
          <cell r="A1431" t="str">
            <v>0744539</v>
          </cell>
          <cell r="B1431" t="str">
            <v>"//shrzboost01/TRUMPF.NET/DATA_PDM2/Stöbich/Varianten/0744539.GMV"</v>
          </cell>
          <cell r="C1431" t="str">
            <v>//shrzboost01/TRUMPF.NET/DATA_PDM2/Stöbich/Aufträge.GEO</v>
          </cell>
        </row>
        <row r="1432">
          <cell r="A1432" t="str">
            <v>0744540</v>
          </cell>
          <cell r="B1432" t="str">
            <v>"//shrzboost01/TRUMPF.NET/DATA_PDM2/Stöbich/Varianten/0744540.GMV"</v>
          </cell>
          <cell r="C1432" t="str">
            <v>//shrzboost01/TRUMPF.NET/DATA_PDM2/Stöbich/Aufträge.GEO</v>
          </cell>
        </row>
        <row r="1433">
          <cell r="A1433" t="str">
            <v>0744621</v>
          </cell>
          <cell r="B1433" t="str">
            <v>"//shrzboost01/TRUMPF.NET/DATA_PDM2/Stöbich/Varianten/0744621.GMV"</v>
          </cell>
          <cell r="C1433" t="str">
            <v>//shrzboost01/TRUMPF.NET/DATA_PDM2/Stöbich/Aufträge.GEO</v>
          </cell>
        </row>
        <row r="1434">
          <cell r="A1434" t="str">
            <v>0744622</v>
          </cell>
          <cell r="B1434" t="str">
            <v>"//shrzboost01/TRUMPF.NET/DATA_PDM2/Stöbich/Varianten/0744622.GMV"</v>
          </cell>
          <cell r="C1434" t="str">
            <v>//shrzboost01/TRUMPF.NET/DATA_PDM2/Stöbich/Aufträge.GEO</v>
          </cell>
        </row>
        <row r="1435">
          <cell r="A1435" t="str">
            <v>0744623</v>
          </cell>
          <cell r="B1435" t="str">
            <v>"//shrzboost01/TRUMPF.NET/DATA_PDM2/Stöbich/Varianten/0744623.GMV"</v>
          </cell>
          <cell r="C1435" t="str">
            <v>//shrzboost01/TRUMPF.NET/DATA_PDM2/Stöbich/Aufträge.GEO</v>
          </cell>
        </row>
        <row r="1436">
          <cell r="A1436" t="str">
            <v>0744624</v>
          </cell>
          <cell r="B1436" t="str">
            <v>"//shrzboost01/TRUMPF.NET/DATA_PDM2/Stöbich/Varianten/0744624.GMV"</v>
          </cell>
          <cell r="C1436" t="str">
            <v>//shrzboost01/TRUMPF.NET/DATA_PDM2/Stöbich/Aufträge.GEO</v>
          </cell>
        </row>
        <row r="1437">
          <cell r="A1437" t="str">
            <v>0744629</v>
          </cell>
          <cell r="B1437" t="str">
            <v>"//shrzboost01/TRUMPF.NET/DATA_PDM2/Stöbich/Varianten/0744629.GMV"</v>
          </cell>
          <cell r="C1437" t="str">
            <v>//shrzboost01/TRUMPF.NET/DATA_PDM2/Stöbich/Aufträge.GEO</v>
          </cell>
        </row>
        <row r="1438">
          <cell r="A1438" t="str">
            <v>0744630</v>
          </cell>
          <cell r="B1438" t="str">
            <v>"//shrzboost01/TRUMPF.NET/DATA_PDM2/Stöbich/Varianten/0744630.GMV"</v>
          </cell>
          <cell r="C1438" t="str">
            <v>//shrzboost01/TRUMPF.NET/DATA_PDM2/Stöbich/Aufträge.GEO</v>
          </cell>
        </row>
        <row r="1439">
          <cell r="A1439" t="str">
            <v>0744631</v>
          </cell>
          <cell r="B1439" t="str">
            <v>"//shrzboost01/TRUMPF.NET/DATA_PDM2/Stöbich/Varianten/0744631.GMV"</v>
          </cell>
          <cell r="C1439" t="str">
            <v>//shrzboost01/TRUMPF.NET/DATA_PDM2/Stöbich/Aufträge.GEO</v>
          </cell>
        </row>
        <row r="1440">
          <cell r="A1440" t="str">
            <v>0744632</v>
          </cell>
          <cell r="B1440" t="str">
            <v>"//shrzboost01/TRUMPF.NET/DATA_PDM2/Stöbich/Varianten/0744632.GMV"</v>
          </cell>
          <cell r="C1440" t="str">
            <v>//shrzboost01/TRUMPF.NET/DATA_PDM2/Stöbich/Aufträge.GEO</v>
          </cell>
        </row>
        <row r="1441">
          <cell r="A1441" t="str">
            <v>0744633</v>
          </cell>
          <cell r="B1441" t="str">
            <v>"//shrzboost01/TRUMPF.NET/DATA_PDM2/Stöbich/Varianten/0744633.GMV"</v>
          </cell>
          <cell r="C1441" t="str">
            <v>//shrzboost01/TRUMPF.NET/DATA_PDM2/Stöbich/Aufträge.GEO</v>
          </cell>
        </row>
        <row r="1442">
          <cell r="A1442" t="str">
            <v>0744634</v>
          </cell>
          <cell r="B1442" t="str">
            <v>"//shrzboost01/TRUMPF.NET/DATA_PDM2/Stöbich/Varianten/0744634.GMV"</v>
          </cell>
          <cell r="C1442" t="str">
            <v>//shrzboost01/TRUMPF.NET/DATA_PDM2/Stöbich/Aufträge.GEO</v>
          </cell>
        </row>
        <row r="1443">
          <cell r="A1443" t="str">
            <v>0744635</v>
          </cell>
          <cell r="B1443" t="str">
            <v>"//shrzboost01/TRUMPF.NET/DATA_PDM2/Stöbich/Varianten/0744635.GMV"</v>
          </cell>
          <cell r="C1443" t="str">
            <v>//shrzboost01/TRUMPF.NET/DATA_PDM2/Stöbich/Aufträge.GEO</v>
          </cell>
        </row>
        <row r="1444">
          <cell r="A1444" t="str">
            <v>0744636</v>
          </cell>
          <cell r="B1444" t="str">
            <v>"//shrzboost01/TRUMPF.NET/DATA_PDM2/Stöbich/Varianten/0744636.GMV"</v>
          </cell>
          <cell r="C1444" t="str">
            <v>//shrzboost01/TRUMPF.NET/DATA_PDM2/Stöbich/Aufträge.GEO</v>
          </cell>
        </row>
        <row r="1445">
          <cell r="A1445" t="str">
            <v>0744637</v>
          </cell>
          <cell r="B1445" t="str">
            <v>"//shrzboost01/TRUMPF.NET/DATA_PDM2/Stöbich/Varianten/0744637.GMV"</v>
          </cell>
          <cell r="C1445" t="str">
            <v>//shrzboost01/TRUMPF.NET/DATA_PDM2/Stöbich/Aufträge.GEO</v>
          </cell>
        </row>
        <row r="1446">
          <cell r="A1446" t="str">
            <v>0744638</v>
          </cell>
          <cell r="B1446" t="str">
            <v>"//shrzboost01/TRUMPF.NET/DATA_PDM2/Stöbich/Varianten/0744638.GMV"</v>
          </cell>
          <cell r="C1446" t="str">
            <v>//shrzboost01/TRUMPF.NET/DATA_PDM2/Stöbich/Aufträge.GEO</v>
          </cell>
        </row>
        <row r="1447">
          <cell r="A1447" t="str">
            <v>0744639</v>
          </cell>
          <cell r="B1447" t="str">
            <v>"//shrzboost01/TRUMPF.NET/DATA_PDM2/Stöbich/Varianten/0744639.GMV"</v>
          </cell>
          <cell r="C1447" t="str">
            <v>//shrzboost01/TRUMPF.NET/DATA_PDM2/Stöbich/Aufträge.GEO</v>
          </cell>
        </row>
        <row r="1448">
          <cell r="A1448" t="str">
            <v>0744640</v>
          </cell>
          <cell r="B1448" t="str">
            <v>"//shrzboost01/TRUMPF.NET/DATA_PDM2/Stöbich/Varianten/0744640.GMV"</v>
          </cell>
          <cell r="C1448" t="str">
            <v>//shrzboost01/TRUMPF.NET/DATA_PDM2/Stöbich/Aufträge.GEO</v>
          </cell>
        </row>
        <row r="1449">
          <cell r="A1449" t="str">
            <v>0744643</v>
          </cell>
          <cell r="B1449" t="str">
            <v>"//shrzboost01/TRUMPF.NET/DATA_PDM2/Stöbich/Varianten/0744643.GMV"</v>
          </cell>
          <cell r="C1449" t="str">
            <v>//shrzboost01/TRUMPF.NET/DATA_PDM2/Stöbich/Aufträge.GEO</v>
          </cell>
        </row>
        <row r="1450">
          <cell r="A1450" t="str">
            <v>0744644</v>
          </cell>
          <cell r="B1450" t="str">
            <v>"//shrzboost01/TRUMPF.NET/DATA_PDM2/Stöbich/Varianten/0744644.GMV"</v>
          </cell>
          <cell r="C1450" t="str">
            <v>//shrzboost01/TRUMPF.NET/DATA_PDM2/Stöbich/Aufträge.GEO</v>
          </cell>
        </row>
        <row r="1451">
          <cell r="A1451" t="str">
            <v>0744645</v>
          </cell>
          <cell r="B1451" t="str">
            <v>"//shrzboost01/TRUMPF.NET/DATA_PDM2/Stöbich/Varianten/0744645.GMV"</v>
          </cell>
          <cell r="C1451" t="str">
            <v>//shrzboost01/TRUMPF.NET/DATA_PDM2/Stöbich/Aufträge.GEO</v>
          </cell>
        </row>
        <row r="1452">
          <cell r="A1452" t="str">
            <v>0744646</v>
          </cell>
          <cell r="B1452" t="str">
            <v>"//shrzboost01/TRUMPF.NET/DATA_PDM2/Stöbich/Varianten/0744646.GMV"</v>
          </cell>
          <cell r="C1452" t="str">
            <v>//shrzboost01/TRUMPF.NET/DATA_PDM2/Stöbich/Aufträge.GEO</v>
          </cell>
        </row>
        <row r="1453">
          <cell r="A1453" t="str">
            <v>0744647</v>
          </cell>
          <cell r="B1453" t="str">
            <v>"//shrzboost01/TRUMPF.NET/DATA_PDM2/Stöbich/Varianten/0744647.GMV"</v>
          </cell>
          <cell r="C1453" t="str">
            <v>//shrzboost01/TRUMPF.NET/DATA_PDM2/Stöbich/Aufträge.GEO</v>
          </cell>
        </row>
        <row r="1454">
          <cell r="A1454" t="str">
            <v>0744648</v>
          </cell>
          <cell r="B1454" t="str">
            <v>"//shrzboost01/TRUMPF.NET/DATA_PDM2/Stöbich/Varianten/0744648.GMV"</v>
          </cell>
          <cell r="C1454" t="str">
            <v>//shrzboost01/TRUMPF.NET/DATA_PDM2/Stöbich/Aufträge.GEO</v>
          </cell>
        </row>
        <row r="1455">
          <cell r="A1455" t="str">
            <v>0744650</v>
          </cell>
          <cell r="B1455" t="str">
            <v>"//shrzboost01/TRUMPF.NET/DATA_PDM2/Stöbich/Varianten/0744650.GMV"</v>
          </cell>
          <cell r="C1455" t="str">
            <v>//shrzboost01/TRUMPF.NET/DATA_PDM2/Stöbich/Aufträge.GEO</v>
          </cell>
        </row>
        <row r="1456">
          <cell r="A1456" t="str">
            <v>0744651</v>
          </cell>
          <cell r="B1456" t="str">
            <v>"//shrzboost01/TRUMPF.NET/DATA_PDM2/Stöbich/Varianten/0744651.GMV"</v>
          </cell>
          <cell r="C1456" t="str">
            <v>//shrzboost01/TRUMPF.NET/DATA_PDM2/Stöbich/Aufträge.GEO</v>
          </cell>
        </row>
        <row r="1457">
          <cell r="A1457" t="str">
            <v>0744652</v>
          </cell>
          <cell r="B1457" t="str">
            <v>"//shrzboost01/TRUMPF.NET/DATA_PDM2/Stöbich/Varianten/0744652.GMV"</v>
          </cell>
          <cell r="C1457" t="str">
            <v>//shrzboost01/TRUMPF.NET/DATA_PDM2/Stöbich/Aufträge.GEO</v>
          </cell>
        </row>
        <row r="1458">
          <cell r="A1458" t="str">
            <v>0744653</v>
          </cell>
          <cell r="B1458" t="str">
            <v>"//shrzboost01/TRUMPF.NET/DATA_PDM2/Stöbich/Varianten/0744653.GMV"</v>
          </cell>
          <cell r="C1458" t="str">
            <v>//shrzboost01/TRUMPF.NET/DATA_PDM2/Stöbich/Aufträge.GEO</v>
          </cell>
        </row>
        <row r="1459">
          <cell r="A1459" t="str">
            <v>0744654</v>
          </cell>
          <cell r="B1459" t="str">
            <v>"//shrzboost01/TRUMPF.NET/DATA_PDM2/Stöbich/Varianten/0744654.GMV"</v>
          </cell>
          <cell r="C1459" t="str">
            <v>//shrzboost01/TRUMPF.NET/DATA_PDM2/Stöbich/Aufträge.GEO</v>
          </cell>
        </row>
        <row r="1460">
          <cell r="A1460" t="str">
            <v>0744655</v>
          </cell>
          <cell r="B1460" t="str">
            <v>"//shrzboost01/TRUMPF.NET/DATA_PDM2/Stöbich/Varianten/0744655.GMV"</v>
          </cell>
          <cell r="C1460" t="str">
            <v>//shrzboost01/TRUMPF.NET/DATA_PDM2/Stöbich/Aufträge.GEO</v>
          </cell>
        </row>
        <row r="1461">
          <cell r="A1461" t="str">
            <v>0744674</v>
          </cell>
          <cell r="B1461" t="str">
            <v>"//shrzboost01/TRUMPF.NET/DATA_PDM2/Stöbich/Varianten/0744674.GMV"</v>
          </cell>
          <cell r="C1461" t="str">
            <v>//shrzboost01/TRUMPF.NET/DATA_PDM2/Stöbich/Aufträge.GEO</v>
          </cell>
        </row>
        <row r="1462">
          <cell r="A1462" t="str">
            <v>0744675</v>
          </cell>
          <cell r="B1462" t="str">
            <v>"//shrzboost01/TRUMPF.NET/DATA_PDM2/Stöbich/Varianten/0744675.GMV"</v>
          </cell>
          <cell r="C1462" t="str">
            <v>//shrzboost01/TRUMPF.NET/DATA_PDM2/Stöbich/Aufträge.GEO</v>
          </cell>
        </row>
        <row r="1463">
          <cell r="A1463" t="str">
            <v>0744679</v>
          </cell>
          <cell r="B1463" t="str">
            <v>"//shrzboost01/TRUMPF.NET/DATA_PDM2/Stöbich/Varianten/0744679.GMV"</v>
          </cell>
          <cell r="C1463" t="str">
            <v>//shrzboost01/TRUMPF.NET/DATA_PDM2/Stöbich/Aufträge.GEO</v>
          </cell>
        </row>
        <row r="1464">
          <cell r="A1464" t="str">
            <v>0744680</v>
          </cell>
          <cell r="B1464" t="str">
            <v>"//shrzboost01/TRUMPF.NET/DATA_PDM2/Stöbich/Varianten/0744680.GMV"</v>
          </cell>
          <cell r="C1464" t="str">
            <v>//shrzboost01/TRUMPF.NET/DATA_PDM2/Stöbich/Aufträge.GEO</v>
          </cell>
        </row>
        <row r="1465">
          <cell r="A1465" t="str">
            <v>0744681</v>
          </cell>
          <cell r="B1465" t="str">
            <v>"//shrzboost01/TRUMPF.NET/DATA_PDM2/Stöbich/Varianten/0744681.GMV"</v>
          </cell>
          <cell r="C1465" t="str">
            <v>//shrzboost01/TRUMPF.NET/DATA_PDM2/Stöbich/Aufträge.GEO</v>
          </cell>
        </row>
        <row r="1466">
          <cell r="A1466" t="str">
            <v>0744682</v>
          </cell>
          <cell r="B1466" t="str">
            <v>"//shrzboost01/TRUMPF.NET/DATA_PDM2/Stöbich/Varianten/0744682.GMV"</v>
          </cell>
          <cell r="C1466" t="str">
            <v>//shrzboost01/TRUMPF.NET/DATA_PDM2/Stöbich/Aufträge.GEO</v>
          </cell>
        </row>
        <row r="1467">
          <cell r="A1467" t="str">
            <v>0744683</v>
          </cell>
          <cell r="B1467" t="str">
            <v>"//shrzboost01/TRUMPF.NET/DATA_PDM2/Stöbich/Varianten/0744683.GMV"</v>
          </cell>
          <cell r="C1467" t="str">
            <v>//shrzboost01/TRUMPF.NET/DATA_PDM2/Stöbich/Aufträge.GEO</v>
          </cell>
        </row>
        <row r="1468">
          <cell r="A1468" t="str">
            <v>0744684</v>
          </cell>
          <cell r="B1468" t="str">
            <v>"//shrzboost01/TRUMPF.NET/DATA_PDM2/Stöbich/Varianten/0744684.GMV"</v>
          </cell>
          <cell r="C1468" t="str">
            <v>//shrzboost01/TRUMPF.NET/DATA_PDM2/Stöbich/Aufträge.GEO</v>
          </cell>
        </row>
        <row r="1469">
          <cell r="A1469" t="str">
            <v>0744685</v>
          </cell>
          <cell r="B1469" t="str">
            <v>"//shrzboost01/TRUMPF.NET/DATA_PDM2/Stöbich/Varianten/0744685.GMV"</v>
          </cell>
          <cell r="C1469" t="str">
            <v>//shrzboost01/TRUMPF.NET/DATA_PDM2/Stöbich/Aufträge.GEO</v>
          </cell>
        </row>
        <row r="1470">
          <cell r="A1470" t="str">
            <v>0744686</v>
          </cell>
          <cell r="B1470" t="str">
            <v>"//shrzboost01/TRUMPF.NET/DATA_PDM2/Stöbich/Varianten/0744686.GMV"</v>
          </cell>
          <cell r="C1470" t="str">
            <v>//shrzboost01/TRUMPF.NET/DATA_PDM2/Stöbich/Aufträge.GEO</v>
          </cell>
        </row>
        <row r="1471">
          <cell r="A1471" t="str">
            <v>0744687</v>
          </cell>
          <cell r="B1471" t="str">
            <v>"//shrzboost01/TRUMPF.NET/DATA_PDM2/Stöbich/Varianten/0744687.GMV"</v>
          </cell>
          <cell r="C1471" t="str">
            <v>//shrzboost01/TRUMPF.NET/DATA_PDM2/Stöbich/Aufträge.GEO</v>
          </cell>
        </row>
        <row r="1472">
          <cell r="A1472" t="str">
            <v>0744688</v>
          </cell>
          <cell r="B1472" t="str">
            <v>"//shrzboost01/TRUMPF.NET/DATA_PDM2/Stöbich/Varianten/0744688.GMV"</v>
          </cell>
          <cell r="C1472" t="str">
            <v>//shrzboost01/TRUMPF.NET/DATA_PDM2/Stöbich/Aufträge.GEO</v>
          </cell>
        </row>
        <row r="1473">
          <cell r="A1473" t="str">
            <v>0744689</v>
          </cell>
          <cell r="B1473" t="str">
            <v>"//shrzboost01/TRUMPF.NET/DATA_PDM2/Stöbich/Varianten/0744689.GMV"</v>
          </cell>
          <cell r="C1473" t="str">
            <v>//shrzboost01/TRUMPF.NET/DATA_PDM2/Stöbich/Aufträge.GEO</v>
          </cell>
        </row>
        <row r="1474">
          <cell r="A1474" t="str">
            <v>0744690</v>
          </cell>
          <cell r="B1474" t="str">
            <v>"//shrzboost01/TRUMPF.NET/DATA_PDM2/Stöbich/Varianten/0744690.GMV"</v>
          </cell>
          <cell r="C1474" t="str">
            <v>//shrzboost01/TRUMPF.NET/DATA_PDM2/Stöbich/Aufträge.GEO</v>
          </cell>
        </row>
        <row r="1475">
          <cell r="A1475" t="str">
            <v>0744691</v>
          </cell>
          <cell r="B1475" t="str">
            <v>"//shrzboost01/TRUMPF.NET/DATA_PDM2/Stöbich/Varianten/0744691.GMV"</v>
          </cell>
          <cell r="C1475" t="str">
            <v>//shrzboost01/TRUMPF.NET/DATA_PDM2/Stöbich/Aufträge.GEO</v>
          </cell>
        </row>
        <row r="1476">
          <cell r="A1476" t="str">
            <v>0744692</v>
          </cell>
          <cell r="B1476" t="str">
            <v>"//shrzboost01/TRUMPF.NET/DATA_PDM2/Stöbich/Varianten/0744692.GMV"</v>
          </cell>
          <cell r="C1476" t="str">
            <v>//shrzboost01/TRUMPF.NET/DATA_PDM2/Stöbich/Aufträge.GEO</v>
          </cell>
        </row>
        <row r="1477">
          <cell r="A1477" t="str">
            <v>0744693</v>
          </cell>
          <cell r="B1477" t="str">
            <v>"//shrzboost01/TRUMPF.NET/DATA_PDM2/Stöbich/Varianten/0744693.GMV"</v>
          </cell>
          <cell r="C1477" t="str">
            <v>//shrzboost01/TRUMPF.NET/DATA_PDM2/Stöbich/Aufträge.GEO</v>
          </cell>
        </row>
        <row r="1478">
          <cell r="A1478" t="str">
            <v>0744696</v>
          </cell>
          <cell r="B1478" t="str">
            <v>"//shrzboost01/TRUMPF.NET/DATA_PDM2/Stöbich/Varianten/0744696.GMV"</v>
          </cell>
          <cell r="C1478" t="str">
            <v>//shrzboost01/TRUMPF.NET/DATA_PDM2/Stöbich/Aufträge.GEO</v>
          </cell>
        </row>
        <row r="1479">
          <cell r="A1479" t="str">
            <v>0744697</v>
          </cell>
          <cell r="B1479" t="str">
            <v>"//shrzboost01/TRUMPF.NET/DATA_PDM2/Stöbich/Varianten/0744697.GMV"</v>
          </cell>
          <cell r="C1479" t="str">
            <v>//shrzboost01/TRUMPF.NET/DATA_PDM2/Stöbich/Aufträge.GEO</v>
          </cell>
        </row>
        <row r="1480">
          <cell r="A1480" t="str">
            <v>0744698</v>
          </cell>
          <cell r="B1480" t="str">
            <v>"//shrzboost01/TRUMPF.NET/DATA_PDM2/Stöbich/Varianten/0744698.GMV"</v>
          </cell>
          <cell r="C1480" t="str">
            <v>//shrzboost01/TRUMPF.NET/DATA_PDM2/Stöbich/Aufträge.GEO</v>
          </cell>
        </row>
        <row r="1481">
          <cell r="A1481" t="str">
            <v>0744700</v>
          </cell>
          <cell r="B1481" t="str">
            <v>"//shrzboost01/TRUMPF.NET/DATA_PDM2/Stöbich/Varianten/0744700.GMV"</v>
          </cell>
          <cell r="C1481" t="str">
            <v>//shrzboost01/TRUMPF.NET/DATA_PDM2/Stöbich/Aufträge.GEO</v>
          </cell>
        </row>
        <row r="1482">
          <cell r="A1482" t="str">
            <v>0744701</v>
          </cell>
          <cell r="B1482" t="str">
            <v>"//shrzboost01/TRUMPF.NET/DATA_PDM2/Stöbich/Varianten/0744701.GMV"</v>
          </cell>
          <cell r="C1482" t="str">
            <v>//shrzboost01/TRUMPF.NET/DATA_PDM2/Stöbich/Aufträge.GEO</v>
          </cell>
        </row>
        <row r="1483">
          <cell r="A1483" t="str">
            <v>0744702</v>
          </cell>
          <cell r="B1483" t="str">
            <v>"//shrzboost01/TRUMPF.NET/DATA_PDM2/Stöbich/Varianten/0744702.GMV"</v>
          </cell>
          <cell r="C1483" t="str">
            <v>//shrzboost01/TRUMPF.NET/DATA_PDM2/Stöbich/Aufträge.GEO</v>
          </cell>
        </row>
        <row r="1484">
          <cell r="A1484" t="str">
            <v>0744703</v>
          </cell>
          <cell r="B1484" t="str">
            <v>"//shrzboost01/TRUMPF.NET/DATA_PDM2/Stöbich/Varianten/0744703.GMV"</v>
          </cell>
          <cell r="C1484" t="str">
            <v>//shrzboost01/TRUMPF.NET/DATA_PDM2/Stöbich/Aufträge.GEO</v>
          </cell>
        </row>
        <row r="1485">
          <cell r="A1485" t="str">
            <v>0744709</v>
          </cell>
          <cell r="B1485" t="str">
            <v>"//shrzboost01/TRUMPF.NET/DATA_PDM2/Stöbich/Varianten/0744709.GMV"</v>
          </cell>
          <cell r="C1485" t="str">
            <v>//shrzboost01/TRUMPF.NET/DATA_PDM2/Stöbich/Aufträge.GEO</v>
          </cell>
        </row>
        <row r="1486">
          <cell r="A1486" t="str">
            <v>0744710</v>
          </cell>
          <cell r="B1486" t="str">
            <v>"//shrzboost01/TRUMPF.NET/DATA_PDM2/Stöbich/Varianten/0744710.GMV"</v>
          </cell>
          <cell r="C1486" t="str">
            <v>//shrzboost01/TRUMPF.NET/DATA_PDM2/Stöbich/Aufträge.GEO</v>
          </cell>
        </row>
        <row r="1487">
          <cell r="A1487" t="str">
            <v>0744712</v>
          </cell>
          <cell r="B1487" t="str">
            <v>"//shrzboost01/TRUMPF.NET/DATA_PDM2/Stöbich/Varianten/0744712.GMV"</v>
          </cell>
          <cell r="C1487" t="str">
            <v>//shrzboost01/TRUMPF.NET/DATA_PDM2/Stöbich/Aufträge.GEO</v>
          </cell>
        </row>
        <row r="1488">
          <cell r="A1488" t="str">
            <v>0744713</v>
          </cell>
          <cell r="B1488" t="str">
            <v>"//shrzboost01/TRUMPF.NET/DATA_PDM2/Stöbich/Varianten/0744713.GMV"</v>
          </cell>
          <cell r="C1488" t="str">
            <v>//shrzboost01/TRUMPF.NET/DATA_PDM2/Stöbich/Aufträge.GEO</v>
          </cell>
        </row>
        <row r="1489">
          <cell r="A1489" t="str">
            <v>0744715</v>
          </cell>
          <cell r="B1489" t="str">
            <v>"//shrzboost01/TRUMPF.NET/DATA_PDM2/Stöbich/Varianten/0744715.GMV"</v>
          </cell>
          <cell r="C1489" t="str">
            <v>//shrzboost01/TRUMPF.NET/DATA_PDM2/Stöbich/Aufträge.GEO</v>
          </cell>
        </row>
        <row r="1490">
          <cell r="A1490" t="str">
            <v>0744716</v>
          </cell>
          <cell r="B1490" t="str">
            <v>"//shrzboost01/TRUMPF.NET/DATA_PDM2/Stöbich/Varianten/0744716.GMV"</v>
          </cell>
          <cell r="C1490" t="str">
            <v>//shrzboost01/TRUMPF.NET/DATA_PDM2/Stöbich/Aufträge.GEO</v>
          </cell>
        </row>
        <row r="1491">
          <cell r="A1491" t="str">
            <v>0744717</v>
          </cell>
          <cell r="B1491" t="str">
            <v>"//shrzboost01/TRUMPF.NET/DATA_PDM2/Stöbich/Varianten/0744717.GMV"</v>
          </cell>
          <cell r="C1491" t="str">
            <v>//shrzboost01/TRUMPF.NET/DATA_PDM2/Stöbich/Aufträge.GEO</v>
          </cell>
        </row>
        <row r="1492">
          <cell r="A1492" t="str">
            <v>0744718</v>
          </cell>
          <cell r="B1492" t="str">
            <v>"//shrzboost01/TRUMPF.NET/DATA_PDM2/Stöbich/Varianten/0744718.GMV"</v>
          </cell>
          <cell r="C1492" t="str">
            <v>//shrzboost01/TRUMPF.NET/DATA_PDM2/Stöbich/Aufträge.GEO</v>
          </cell>
        </row>
        <row r="1493">
          <cell r="A1493" t="str">
            <v>0744719</v>
          </cell>
          <cell r="B1493" t="str">
            <v>"//shrzboost01/TRUMPF.NET/DATA_PDM2/Stöbich/Varianten/0744719.GMV"</v>
          </cell>
          <cell r="C1493" t="str">
            <v>//shrzboost01/TRUMPF.NET/DATA_PDM2/Stöbich/Aufträge.GEO</v>
          </cell>
        </row>
        <row r="1494">
          <cell r="A1494" t="str">
            <v>0744732</v>
          </cell>
          <cell r="B1494" t="str">
            <v>"//shrzboost01/TRUMPF.NET/DATA_PDM2/Stöbich/Varianten/0744732.GMV"</v>
          </cell>
          <cell r="C1494" t="str">
            <v>//shrzboost01/TRUMPF.NET/DATA_PDM2/Stöbich/Aufträge.GEO</v>
          </cell>
        </row>
        <row r="1495">
          <cell r="A1495" t="str">
            <v>0744733</v>
          </cell>
          <cell r="B1495" t="str">
            <v>"//shrzboost01/TRUMPF.NET/DATA_PDM2/Stöbich/Varianten/0744733.GMV"</v>
          </cell>
          <cell r="C1495" t="str">
            <v>//shrzboost01/TRUMPF.NET/DATA_PDM2/Stöbich/Aufträge.GEO</v>
          </cell>
        </row>
        <row r="1496">
          <cell r="A1496" t="str">
            <v>0744734</v>
          </cell>
          <cell r="B1496" t="str">
            <v>"//shrzboost01/TRUMPF.NET/DATA_PDM2/Stöbich/Varianten/0744734.GMV"</v>
          </cell>
          <cell r="C1496" t="str">
            <v>//shrzboost01/TRUMPF.NET/DATA_PDM2/Stöbich/Aufträge.GEO</v>
          </cell>
        </row>
        <row r="1497">
          <cell r="A1497" t="str">
            <v>0744735</v>
          </cell>
          <cell r="B1497" t="str">
            <v>"//shrzboost01/TRUMPF.NET/DATA_PDM2/Stöbich/Varianten/0744735.GMV"</v>
          </cell>
          <cell r="C1497" t="str">
            <v>//shrzboost01/TRUMPF.NET/DATA_PDM2/Stöbich/Aufträge.GEO</v>
          </cell>
        </row>
        <row r="1498">
          <cell r="A1498" t="str">
            <v>0744740</v>
          </cell>
          <cell r="B1498" t="str">
            <v>"//shrzboost01/TRUMPF.NET/DATA_PDM2/Stöbich/Varianten/0744740.GMV"</v>
          </cell>
          <cell r="C1498" t="str">
            <v>//shrzboost01/TRUMPF.NET/DATA_PDM2/Stöbich/Aufträge.GEO</v>
          </cell>
        </row>
        <row r="1499">
          <cell r="A1499" t="str">
            <v>0744741</v>
          </cell>
          <cell r="B1499" t="str">
            <v>"//shrzboost01/TRUMPF.NET/DATA_PDM2/Stöbich/Varianten/0744741.GMV"</v>
          </cell>
          <cell r="C1499" t="str">
            <v>//shrzboost01/TRUMPF.NET/DATA_PDM2/Stöbich/Aufträge.GEO</v>
          </cell>
        </row>
        <row r="1500">
          <cell r="A1500" t="str">
            <v>0744742</v>
          </cell>
          <cell r="B1500" t="str">
            <v>"//shrzboost01/TRUMPF.NET/DATA_PDM2/Stöbich/Varianten/0744742.GMV"</v>
          </cell>
          <cell r="C1500" t="str">
            <v>//shrzboost01/TRUMPF.NET/DATA_PDM2/Stöbich/Aufträge.GEO</v>
          </cell>
        </row>
        <row r="1501">
          <cell r="A1501" t="str">
            <v>0744743</v>
          </cell>
          <cell r="B1501" t="str">
            <v>"//shrzboost01/TRUMPF.NET/DATA_PDM2/Stöbich/Varianten/0744743.GMV"</v>
          </cell>
          <cell r="C1501" t="str">
            <v>//shrzboost01/TRUMPF.NET/DATA_PDM2/Stöbich/Aufträge.GEO</v>
          </cell>
        </row>
        <row r="1502">
          <cell r="A1502" t="str">
            <v>0744746</v>
          </cell>
          <cell r="B1502" t="str">
            <v>"//shrzboost01/TRUMPF.NET/DATA_PDM2/Stöbich/Varianten/0744746.GMV"</v>
          </cell>
          <cell r="C1502" t="str">
            <v>//shrzboost01/TRUMPF.NET/DATA_PDM2/Stöbich/Aufträge.GEO</v>
          </cell>
        </row>
        <row r="1503">
          <cell r="A1503" t="str">
            <v>0744747</v>
          </cell>
          <cell r="B1503" t="str">
            <v>"//shrzboost01/TRUMPF.NET/DATA_PDM2/Stöbich/Varianten/0744747.GMV"</v>
          </cell>
          <cell r="C1503" t="str">
            <v>//shrzboost01/TRUMPF.NET/DATA_PDM2/Stöbich/Aufträge.GEO</v>
          </cell>
        </row>
        <row r="1504">
          <cell r="A1504" t="str">
            <v>0744748</v>
          </cell>
          <cell r="B1504" t="str">
            <v>"//shrzboost01/TRUMPF.NET/DATA_PDM2/Stöbich/Varianten/0744748.GMV"</v>
          </cell>
          <cell r="C1504" t="str">
            <v>//shrzboost01/TRUMPF.NET/DATA_PDM2/Stöbich/Aufträge.GEO</v>
          </cell>
        </row>
        <row r="1505">
          <cell r="A1505" t="str">
            <v>0744749</v>
          </cell>
          <cell r="B1505" t="str">
            <v>"//shrzboost01/TRUMPF.NET/DATA_PDM2/Stöbich/Varianten/0744749.GMV"</v>
          </cell>
          <cell r="C1505" t="str">
            <v>//shrzboost01/TRUMPF.NET/DATA_PDM2/Stöbich/Aufträge.GEO</v>
          </cell>
        </row>
        <row r="1506">
          <cell r="A1506" t="str">
            <v>0744750</v>
          </cell>
          <cell r="B1506" t="str">
            <v>"//shrzboost01/TRUMPF.NET/DATA_PDM2/Stöbich/Varianten/0744750.GMV"</v>
          </cell>
          <cell r="C1506" t="str">
            <v>//shrzboost01/TRUMPF.NET/DATA_PDM2/Stöbich/Aufträge.GEO</v>
          </cell>
        </row>
        <row r="1507">
          <cell r="A1507" t="str">
            <v>0744751</v>
          </cell>
          <cell r="B1507" t="str">
            <v>"//shrzboost01/TRUMPF.NET/DATA_PDM2/Stöbich/Varianten/0744751.GMV"</v>
          </cell>
          <cell r="C1507" t="str">
            <v>//shrzboost01/TRUMPF.NET/DATA_PDM2/Stöbich/Aufträge.GEO</v>
          </cell>
        </row>
        <row r="1508">
          <cell r="A1508" t="str">
            <v>0744752</v>
          </cell>
          <cell r="B1508" t="str">
            <v>"//shrzboost01/TRUMPF.NET/DATA_PDM2/Stöbich/Varianten/0744752.GMV"</v>
          </cell>
          <cell r="C1508" t="str">
            <v>//shrzboost01/TRUMPF.NET/DATA_PDM2/Stöbich/Aufträge.GEO</v>
          </cell>
        </row>
        <row r="1509">
          <cell r="A1509" t="str">
            <v>0744753</v>
          </cell>
          <cell r="B1509" t="str">
            <v>"//shrzboost01/TRUMPF.NET/DATA_PDM2/Stöbich/Varianten/0744753.GMV"</v>
          </cell>
          <cell r="C1509" t="str">
            <v>//shrzboost01/TRUMPF.NET/DATA_PDM2/Stöbich/Aufträge.GEO</v>
          </cell>
        </row>
        <row r="1510">
          <cell r="A1510" t="str">
            <v>0744754</v>
          </cell>
          <cell r="B1510" t="str">
            <v>"//shrzboost01/TRUMPF.NET/DATA_PDM2/Stöbich/Varianten/0744754.GMV"</v>
          </cell>
          <cell r="C1510" t="str">
            <v>//shrzboost01/TRUMPF.NET/DATA_PDM2/Stöbich/Aufträge.GEO</v>
          </cell>
        </row>
        <row r="1511">
          <cell r="A1511" t="str">
            <v>0744755</v>
          </cell>
          <cell r="B1511" t="str">
            <v>"//shrzboost01/TRUMPF.NET/DATA_PDM2/Stöbich/Varianten/0744755.GMV"</v>
          </cell>
          <cell r="C1511" t="str">
            <v>//shrzboost01/TRUMPF.NET/DATA_PDM2/Stöbich/Aufträge.GEO</v>
          </cell>
        </row>
        <row r="1512">
          <cell r="A1512" t="str">
            <v>0744761</v>
          </cell>
          <cell r="B1512" t="str">
            <v>"//shrzboost01/TRUMPF.NET/DATA_PDM2/Stöbich/Varianten/0744761.GMV"</v>
          </cell>
          <cell r="C1512" t="str">
            <v>//shrzboost01/TRUMPF.NET/DATA_PDM2/Stöbich/Aufträge.GEO</v>
          </cell>
        </row>
        <row r="1513">
          <cell r="A1513" t="str">
            <v>0744762</v>
          </cell>
          <cell r="B1513" t="str">
            <v>"//shrzboost01/TRUMPF.NET/DATA_PDM2/Stöbich/Varianten/0744762.GMV"</v>
          </cell>
          <cell r="C1513" t="str">
            <v>//shrzboost01/TRUMPF.NET/DATA_PDM2/Stöbich/Aufträge.GEO</v>
          </cell>
        </row>
        <row r="1514">
          <cell r="A1514" t="str">
            <v>0744763</v>
          </cell>
          <cell r="B1514" t="str">
            <v>"//shrzboost01/TRUMPF.NET/DATA_PDM2/Stöbich/Varianten/0744763.GMV"</v>
          </cell>
          <cell r="C1514" t="str">
            <v>//shrzboost01/TRUMPF.NET/DATA_PDM2/Stöbich/Aufträge.GEO</v>
          </cell>
        </row>
        <row r="1515">
          <cell r="A1515" t="str">
            <v>0744764</v>
          </cell>
          <cell r="B1515" t="str">
            <v>"//shrzboost01/TRUMPF.NET/DATA_PDM2/Stöbich/Varianten/0744764.GMV"</v>
          </cell>
          <cell r="C1515" t="str">
            <v>//shrzboost01/TRUMPF.NET/DATA_PDM2/Stöbich/Aufträge.GEO</v>
          </cell>
        </row>
        <row r="1516">
          <cell r="A1516" t="str">
            <v>0744765</v>
          </cell>
          <cell r="B1516" t="str">
            <v>"//shrzboost01/TRUMPF.NET/DATA_PDM2/Stöbich/Varianten/0744765.GMV"</v>
          </cell>
          <cell r="C1516" t="str">
            <v>//shrzboost01/TRUMPF.NET/DATA_PDM2/Stöbich/Aufträge.GEO</v>
          </cell>
        </row>
        <row r="1517">
          <cell r="A1517" t="str">
            <v>0744766</v>
          </cell>
          <cell r="B1517" t="str">
            <v>"//shrzboost01/TRUMPF.NET/DATA_PDM2/Stöbich/Varianten/0744766.GMV"</v>
          </cell>
          <cell r="C1517" t="str">
            <v>//shrzboost01/TRUMPF.NET/DATA_PDM2/Stöbich/Aufträge.GEO</v>
          </cell>
        </row>
        <row r="1518">
          <cell r="A1518" t="str">
            <v>0744767</v>
          </cell>
          <cell r="B1518" t="str">
            <v>"//shrzboost01/TRUMPF.NET/DATA_PDM2/Stöbich/Varianten/0744767.GMV"</v>
          </cell>
          <cell r="C1518" t="str">
            <v>//shrzboost01/TRUMPF.NET/DATA_PDM2/Stöbich/Aufträge.GEO</v>
          </cell>
        </row>
        <row r="1519">
          <cell r="A1519" t="str">
            <v>0744768</v>
          </cell>
          <cell r="B1519" t="str">
            <v>"//shrzboost01/TRUMPF.NET/DATA_PDM2/Stöbich/Varianten/0744768.GMV"</v>
          </cell>
          <cell r="C1519" t="str">
            <v>//shrzboost01/TRUMPF.NET/DATA_PDM2/Stöbich/Aufträge.GEO</v>
          </cell>
        </row>
        <row r="1520">
          <cell r="A1520" t="str">
            <v>0744769</v>
          </cell>
          <cell r="B1520" t="str">
            <v>"//shrzboost01/TRUMPF.NET/DATA_PDM2/Stöbich/Varianten/0744769.GMV"</v>
          </cell>
          <cell r="C1520" t="str">
            <v>//shrzboost01/TRUMPF.NET/DATA_PDM2/Stöbich/Aufträge.GEO</v>
          </cell>
        </row>
        <row r="1521">
          <cell r="A1521" t="str">
            <v>0744770</v>
          </cell>
          <cell r="B1521" t="str">
            <v>"//shrzboost01/TRUMPF.NET/DATA_PDM2/Stöbich/Varianten/0744770.GMV"</v>
          </cell>
          <cell r="C1521" t="str">
            <v>//shrzboost01/TRUMPF.NET/DATA_PDM2/Stöbich/Aufträge.GEO</v>
          </cell>
        </row>
        <row r="1522">
          <cell r="A1522" t="str">
            <v>0744771</v>
          </cell>
          <cell r="B1522" t="str">
            <v>"//shrzboost01/TRUMPF.NET/DATA_PDM2/Stöbich/Varianten/0744771.GMV"</v>
          </cell>
          <cell r="C1522" t="str">
            <v>//shrzboost01/TRUMPF.NET/DATA_PDM2/Stöbich/Aufträge.GEO</v>
          </cell>
        </row>
        <row r="1523">
          <cell r="A1523" t="str">
            <v>0744772</v>
          </cell>
          <cell r="B1523" t="str">
            <v>"//shrzboost01/TRUMPF.NET/DATA_PDM2/Stöbich/Varianten/0744772.GMV"</v>
          </cell>
          <cell r="C1523" t="str">
            <v>//shrzboost01/TRUMPF.NET/DATA_PDM2/Stöbich/Aufträge.GEO</v>
          </cell>
        </row>
        <row r="1524">
          <cell r="A1524" t="str">
            <v>0744773</v>
          </cell>
          <cell r="B1524" t="str">
            <v>"//shrzboost01/TRUMPF.NET/DATA_PDM2/Stöbich/Varianten/0744773.GMV"</v>
          </cell>
          <cell r="C1524" t="str">
            <v>//shrzboost01/TRUMPF.NET/DATA_PDM2/Stöbich/Aufträge.GEO</v>
          </cell>
        </row>
        <row r="1525">
          <cell r="A1525" t="str">
            <v>0744774</v>
          </cell>
          <cell r="B1525" t="str">
            <v>"//shrzboost01/TRUMPF.NET/DATA_PDM2/Stöbich/Varianten/0744774.GMV"</v>
          </cell>
          <cell r="C1525" t="str">
            <v>//shrzboost01/TRUMPF.NET/DATA_PDM2/Stöbich/Aufträge.GEO</v>
          </cell>
        </row>
        <row r="1526">
          <cell r="A1526" t="str">
            <v>0744776</v>
          </cell>
          <cell r="B1526" t="str">
            <v>"//shrzboost01/TRUMPF.NET/DATA_PDM2/Stöbich/Varianten/0744776.GMV"</v>
          </cell>
          <cell r="C1526" t="str">
            <v>//shrzboost01/TRUMPF.NET/DATA_PDM2/Stöbich/Aufträge.GEO</v>
          </cell>
        </row>
        <row r="1527">
          <cell r="A1527" t="str">
            <v>0744777</v>
          </cell>
          <cell r="B1527" t="str">
            <v>"//shrzboost01/TRUMPF.NET/DATA_PDM2/Stöbich/Varianten/0744777.GMV"</v>
          </cell>
          <cell r="C1527" t="str">
            <v>//shrzboost01/TRUMPF.NET/DATA_PDM2/Stöbich/Aufträge.GEO</v>
          </cell>
        </row>
        <row r="1528">
          <cell r="A1528" t="str">
            <v>0744778</v>
          </cell>
          <cell r="B1528" t="str">
            <v>"//shrzboost01/TRUMPF.NET/DATA_PDM2/Stöbich/Varianten/0744778.GMV"</v>
          </cell>
          <cell r="C1528" t="str">
            <v>//shrzboost01/TRUMPF.NET/DATA_PDM2/Stöbich/Aufträge.GEO</v>
          </cell>
        </row>
        <row r="1529">
          <cell r="A1529" t="str">
            <v>0744779</v>
          </cell>
          <cell r="B1529" t="str">
            <v>"//shrzboost01/TRUMPF.NET/DATA_PDM2/Stöbich/Varianten/0744779.GMV"</v>
          </cell>
          <cell r="C1529" t="str">
            <v>//shrzboost01/TRUMPF.NET/DATA_PDM2/Stöbich/Aufträge.GEO</v>
          </cell>
        </row>
        <row r="1530">
          <cell r="A1530" t="str">
            <v>0744780</v>
          </cell>
          <cell r="B1530" t="str">
            <v>"//shrzboost01/TRUMPF.NET/DATA_PDM2/Stöbich/Varianten/0744780.GMV"</v>
          </cell>
          <cell r="C1530" t="str">
            <v>//shrzboost01/TRUMPF.NET/DATA_PDM2/Stöbich/Aufträge.GEO</v>
          </cell>
        </row>
        <row r="1531">
          <cell r="A1531" t="str">
            <v>0744781</v>
          </cell>
          <cell r="B1531" t="str">
            <v>"//shrzboost01/TRUMPF.NET/DATA_PDM2/Stöbich/Varianten/0744781.GMV"</v>
          </cell>
          <cell r="C1531" t="str">
            <v>//shrzboost01/TRUMPF.NET/DATA_PDM2/Stöbich/Aufträge.GEO</v>
          </cell>
        </row>
        <row r="1532">
          <cell r="A1532" t="str">
            <v>0744783</v>
          </cell>
          <cell r="B1532" t="str">
            <v>"//shrzboost01/TRUMPF.NET/DATA_PDM2/Stöbich/Varianten/0744783.GMV"</v>
          </cell>
          <cell r="C1532" t="str">
            <v>//shrzboost01/TRUMPF.NET/DATA_PDM2/Stöbich/Aufträge.GEO</v>
          </cell>
        </row>
        <row r="1533">
          <cell r="A1533" t="str">
            <v>0744784</v>
          </cell>
          <cell r="B1533" t="str">
            <v>"//shrzboost01/TRUMPF.NET/DATA_PDM2/Stöbich/Varianten/0744784.GMV"</v>
          </cell>
          <cell r="C1533" t="str">
            <v>//shrzboost01/TRUMPF.NET/DATA_PDM2/Stöbich/Aufträge.GEO</v>
          </cell>
        </row>
        <row r="1534">
          <cell r="A1534" t="str">
            <v>0744785</v>
          </cell>
          <cell r="B1534" t="str">
            <v>"//shrzboost01/TRUMPF.NET/DATA_PDM2/Stöbich/Varianten/0744785.GMV"</v>
          </cell>
          <cell r="C1534" t="str">
            <v>//shrzboost01/TRUMPF.NET/DATA_PDM2/Stöbich/Aufträge.GEO</v>
          </cell>
        </row>
        <row r="1535">
          <cell r="A1535" t="str">
            <v>0744786</v>
          </cell>
          <cell r="B1535" t="str">
            <v>"//shrzboost01/TRUMPF.NET/DATA_PDM2/Stöbich/Varianten/0744786.GMV"</v>
          </cell>
          <cell r="C1535" t="str">
            <v>//shrzboost01/TRUMPF.NET/DATA_PDM2/Stöbich/Aufträge.GEO</v>
          </cell>
        </row>
        <row r="1536">
          <cell r="A1536" t="str">
            <v>0744787</v>
          </cell>
          <cell r="B1536" t="str">
            <v>"//shrzboost01/TRUMPF.NET/DATA_PDM2/Stöbich/Varianten/0744787.GMV"</v>
          </cell>
          <cell r="C1536" t="str">
            <v>//shrzboost01/TRUMPF.NET/DATA_PDM2/Stöbich/Aufträge.GEO</v>
          </cell>
        </row>
        <row r="1537">
          <cell r="A1537" t="str">
            <v>0744788</v>
          </cell>
          <cell r="B1537" t="str">
            <v>"//shrzboost01/TRUMPF.NET/DATA_PDM2/Stöbich/Varianten/0744788.GMV"</v>
          </cell>
          <cell r="C1537" t="str">
            <v>//shrzboost01/TRUMPF.NET/DATA_PDM2/Stöbich/Aufträge.GEO</v>
          </cell>
        </row>
        <row r="1538">
          <cell r="A1538" t="str">
            <v>0744789</v>
          </cell>
          <cell r="B1538" t="str">
            <v>"//shrzboost01/TRUMPF.NET/DATA_PDM2/Stöbich/Varianten/0744789.GMV"</v>
          </cell>
          <cell r="C1538" t="str">
            <v>//shrzboost01/TRUMPF.NET/DATA_PDM2/Stöbich/Aufträge.GEO</v>
          </cell>
        </row>
        <row r="1539">
          <cell r="A1539" t="str">
            <v>0744790</v>
          </cell>
          <cell r="B1539" t="str">
            <v>"//shrzboost01/TRUMPF.NET/DATA_PDM2/Stöbich/Varianten/0744790.GMV"</v>
          </cell>
          <cell r="C1539" t="str">
            <v>//shrzboost01/TRUMPF.NET/DATA_PDM2/Stöbich/Aufträge.GEO</v>
          </cell>
        </row>
        <row r="1540">
          <cell r="A1540" t="str">
            <v>0744791</v>
          </cell>
          <cell r="B1540" t="str">
            <v>"//shrzboost01/TRUMPF.NET/DATA_PDM2/Stöbich/Varianten/0744791.GMV"</v>
          </cell>
          <cell r="C1540" t="str">
            <v>//shrzboost01/TRUMPF.NET/DATA_PDM2/Stöbich/Aufträge.GEO</v>
          </cell>
        </row>
        <row r="1541">
          <cell r="A1541" t="str">
            <v>0744792</v>
          </cell>
          <cell r="B1541" t="str">
            <v>"//shrzboost01/TRUMPF.NET/DATA_PDM2/Stöbich/Varianten/0744792.GMV"</v>
          </cell>
          <cell r="C1541" t="str">
            <v>//shrzboost01/TRUMPF.NET/DATA_PDM2/Stöbich/Aufträge.GEO</v>
          </cell>
        </row>
        <row r="1542">
          <cell r="A1542" t="str">
            <v>0744793</v>
          </cell>
          <cell r="B1542" t="str">
            <v>"//shrzboost01/TRUMPF.NET/DATA_PDM2/Stöbich/Varianten/0744793.GMV"</v>
          </cell>
          <cell r="C1542" t="str">
            <v>//shrzboost01/TRUMPF.NET/DATA_PDM2/Stöbich/Aufträge.GEO</v>
          </cell>
        </row>
        <row r="1543">
          <cell r="A1543" t="str">
            <v>0744795</v>
          </cell>
          <cell r="B1543" t="str">
            <v>"//shrzboost01/TRUMPF.NET/DATA_PDM2/Stöbich/Varianten/0744795.GMV"</v>
          </cell>
          <cell r="C1543" t="str">
            <v>//shrzboost01/TRUMPF.NET/DATA_PDM2/Stöbich/Aufträge.GEO</v>
          </cell>
        </row>
        <row r="1544">
          <cell r="A1544" t="str">
            <v>0744796</v>
          </cell>
          <cell r="B1544" t="str">
            <v>"//shrzboost01/TRUMPF.NET/DATA_PDM2/Stöbich/Varianten/0744796.GMV"</v>
          </cell>
          <cell r="C1544" t="str">
            <v>//shrzboost01/TRUMPF.NET/DATA_PDM2/Stöbich/Aufträge.GEO</v>
          </cell>
        </row>
        <row r="1545">
          <cell r="A1545" t="str">
            <v>0744797</v>
          </cell>
          <cell r="B1545" t="str">
            <v>"//shrzboost01/TRUMPF.NET/DATA_PDM2/Stöbich/Varianten/0744797.GMV"</v>
          </cell>
          <cell r="C1545" t="str">
            <v>//shrzboost01/TRUMPF.NET/DATA_PDM2/Stöbich/Aufträge.GEO</v>
          </cell>
        </row>
        <row r="1546">
          <cell r="A1546" t="str">
            <v>0744798</v>
          </cell>
          <cell r="B1546" t="str">
            <v>"//shrzboost01/TRUMPF.NET/DATA_PDM2/Stöbich/Varianten/0744798.GMV"</v>
          </cell>
          <cell r="C1546" t="str">
            <v>//shrzboost01/TRUMPF.NET/DATA_PDM2/Stöbich/Aufträge.GEO</v>
          </cell>
        </row>
        <row r="1547">
          <cell r="A1547" t="str">
            <v>0744799</v>
          </cell>
          <cell r="B1547" t="str">
            <v>"//shrzboost01/TRUMPF.NET/DATA_PDM2/Stöbich/Varianten/0744799.GMV"</v>
          </cell>
          <cell r="C1547" t="str">
            <v>//shrzboost01/TRUMPF.NET/DATA_PDM2/Stöbich/Aufträge.GEO</v>
          </cell>
        </row>
        <row r="1548">
          <cell r="A1548" t="str">
            <v>0744800</v>
          </cell>
          <cell r="B1548" t="str">
            <v>"//shrzboost01/TRUMPF.NET/DATA_PDM2/Stöbich/Varianten/0744800.GMV"</v>
          </cell>
          <cell r="C1548" t="str">
            <v>//shrzboost01/TRUMPF.NET/DATA_PDM2/Stöbich/Aufträge.GEO</v>
          </cell>
        </row>
        <row r="1549">
          <cell r="A1549" t="str">
            <v>0744801</v>
          </cell>
          <cell r="B1549" t="str">
            <v>"//shrzboost01/TRUMPF.NET/DATA_PDM2/Stöbich/Varianten/0744801.GMV"</v>
          </cell>
          <cell r="C1549" t="str">
            <v>//shrzboost01/TRUMPF.NET/DATA_PDM2/Stöbich/Aufträge.GEO</v>
          </cell>
        </row>
        <row r="1550">
          <cell r="A1550" t="str">
            <v>0744802</v>
          </cell>
          <cell r="B1550" t="str">
            <v>"//shrzboost01/TRUMPF.NET/DATA_PDM2/Stöbich/Varianten/0744802.GMV"</v>
          </cell>
          <cell r="C1550" t="str">
            <v>//shrzboost01/TRUMPF.NET/DATA_PDM2/Stöbich/Aufträge.GEO</v>
          </cell>
        </row>
        <row r="1551">
          <cell r="A1551" t="str">
            <v>0744803</v>
          </cell>
          <cell r="B1551" t="str">
            <v>"//shrzboost01/TRUMPF.NET/DATA_PDM2/Stöbich/Varianten/0744803.GMV"</v>
          </cell>
          <cell r="C1551" t="str">
            <v>//shrzboost01/TRUMPF.NET/DATA_PDM2/Stöbich/Aufträge.GEO</v>
          </cell>
        </row>
        <row r="1552">
          <cell r="A1552" t="str">
            <v>0744804</v>
          </cell>
          <cell r="B1552" t="str">
            <v>"//shrzboost01/TRUMPF.NET/DATA_PDM2/Stöbich/Varianten/0744804.GMV"</v>
          </cell>
          <cell r="C1552" t="str">
            <v>//shrzboost01/TRUMPF.NET/DATA_PDM2/Stöbich/Aufträge.GEO</v>
          </cell>
        </row>
        <row r="1553">
          <cell r="A1553" t="str">
            <v>0744805</v>
          </cell>
          <cell r="B1553" t="str">
            <v>"//shrzboost01/TRUMPF.NET/DATA_PDM2/Stöbich/Varianten/0744805.GMV"</v>
          </cell>
          <cell r="C1553" t="str">
            <v>//shrzboost01/TRUMPF.NET/DATA_PDM2/Stöbich/Aufträge.GEO</v>
          </cell>
        </row>
        <row r="1554">
          <cell r="A1554" t="str">
            <v>0744806</v>
          </cell>
          <cell r="B1554" t="str">
            <v>"//shrzboost01/TRUMPF.NET/DATA_PDM2/Stöbich/Varianten/0744806.GMV"</v>
          </cell>
          <cell r="C1554" t="str">
            <v>//shrzboost01/TRUMPF.NET/DATA_PDM2/Stöbich/Aufträge.GEO</v>
          </cell>
        </row>
        <row r="1555">
          <cell r="A1555" t="str">
            <v>0744807</v>
          </cell>
          <cell r="B1555" t="str">
            <v>"//shrzboost01/TRUMPF.NET/DATA_PDM2/Stöbich/Varianten/0744807.GMV"</v>
          </cell>
          <cell r="C1555" t="str">
            <v>//shrzboost01/TRUMPF.NET/DATA_PDM2/Stöbich/Aufträge.GEO</v>
          </cell>
        </row>
        <row r="1556">
          <cell r="A1556" t="str">
            <v>0744808</v>
          </cell>
          <cell r="B1556" t="str">
            <v>"//shrzboost01/TRUMPF.NET/DATA_PDM2/Stöbich/Varianten/0744808.GMV"</v>
          </cell>
          <cell r="C1556" t="str">
            <v>//shrzboost01/TRUMPF.NET/DATA_PDM2/Stöbich/Aufträge.GEO</v>
          </cell>
        </row>
        <row r="1557">
          <cell r="A1557"/>
          <cell r="B1557"/>
          <cell r="C1557"/>
        </row>
        <row r="1558">
          <cell r="A1558" t="str">
            <v>0745658</v>
          </cell>
          <cell r="B1558" t="str">
            <v>"//shrzboost01/TRUMPF.NET/DATA_PDM2/Stöbich/Varianten/0745658.GMV"</v>
          </cell>
          <cell r="C1558" t="str">
            <v>//shrzboost01/TRUMPF.NET/DATA_PDM2/Stöbich/Aufträge.GEO</v>
          </cell>
        </row>
        <row r="1559">
          <cell r="A1559" t="str">
            <v>0745659</v>
          </cell>
          <cell r="B1559" t="str">
            <v>"//shrzboost01/TRUMPF.NET/DATA_PDM2/Stöbich/Varianten/0745659.GMV"</v>
          </cell>
          <cell r="C1559" t="str">
            <v>//shrzboost01/TRUMPF.NET/DATA_PDM2/Stöbich/Aufträge.GEO</v>
          </cell>
        </row>
        <row r="1560">
          <cell r="A1560"/>
          <cell r="B1560"/>
          <cell r="C1560"/>
        </row>
        <row r="1561">
          <cell r="A1561"/>
          <cell r="B1561" t="str">
            <v>"//shrzboost01/TRUMPF.NET/DATA_PDM2/Stöbich/Varianten/.GMV"</v>
          </cell>
          <cell r="C1561" t="str">
            <v>//shrzboost01/TRUMPF.NET/DATA_PDM2/Stöbich/Aufträge.GEO</v>
          </cell>
        </row>
        <row r="1562">
          <cell r="A1562" t="str">
            <v>0715026</v>
          </cell>
          <cell r="B1562" t="str">
            <v>"//shrzboost01/TRUMPF.NET/DATA_PDM2/Stöbich/Varianten/0715026.GMV"</v>
          </cell>
          <cell r="C1562" t="str">
            <v>//shrzboost01/TRUMPF.NET/DATA_PDM2/Stöbich/Aufträge.GEO</v>
          </cell>
        </row>
        <row r="1563">
          <cell r="A1563" t="str">
            <v>0715028</v>
          </cell>
          <cell r="B1563" t="str">
            <v>"//shrzboost01/TRUMPF.NET/DATA_PDM2/Stöbich/Varianten/0715028.GMV"</v>
          </cell>
          <cell r="C1563" t="str">
            <v>//shrzboost01/TRUMPF.NET/DATA_PDM2/Stöbich/Aufträge.GEO</v>
          </cell>
        </row>
        <row r="1564">
          <cell r="A1564" t="str">
            <v>0715151</v>
          </cell>
          <cell r="B1564" t="str">
            <v>"//shrzboost01/TRUMPF.NET/DATA_PDM2/Stöbich/Varianten/0715151.GMV"</v>
          </cell>
          <cell r="C1564" t="str">
            <v>//shrzboost01/TRUMPF.NET/DATA_PDM2/Stöbich/Aufträge.GEO</v>
          </cell>
        </row>
        <row r="1565">
          <cell r="A1565" t="str">
            <v>0715158</v>
          </cell>
          <cell r="B1565" t="str">
            <v>"//shrzboost01/TRUMPF.NET/DATA_PDM2/Stöbich/Varianten/0715158.GMV"</v>
          </cell>
          <cell r="C1565" t="str">
            <v>//shrzboost01/TRUMPF.NET/DATA_PDM2/Stöbich/Aufträge.GEO</v>
          </cell>
        </row>
        <row r="1566">
          <cell r="A1566" t="str">
            <v>0715097</v>
          </cell>
          <cell r="B1566" t="str">
            <v>"//shrzboost01/TRUMPF.NET/DATA_PDM2/Stöbich/Varianten/0715097.GMV"</v>
          </cell>
          <cell r="C1566" t="str">
            <v>//shrzboost01/TRUMPF.NET/DATA_PDM2/Stöbich/Aufträge.GEO</v>
          </cell>
        </row>
        <row r="1567">
          <cell r="A1567" t="str">
            <v>0715152</v>
          </cell>
          <cell r="B1567" t="str">
            <v>"//shrzboost01/TRUMPF.NET/DATA_PDM2/Stöbich/Varianten/0715152.GMV"</v>
          </cell>
          <cell r="C1567" t="str">
            <v>//shrzboost01/TRUMPF.NET/DATA_PDM2/Stöbich/Aufträge.GEO</v>
          </cell>
        </row>
        <row r="1568">
          <cell r="A1568" t="str">
            <v>0715132</v>
          </cell>
          <cell r="B1568" t="str">
            <v>"//shrzboost01/TRUMPF.NET/DATA_PDM2/Stöbich/Varianten/0715132.GMV"</v>
          </cell>
          <cell r="C1568" t="str">
            <v>//shrzboost01/TRUMPF.NET/DATA_PDM2/Stöbich/Aufträge.GEO</v>
          </cell>
        </row>
        <row r="1569">
          <cell r="A1569" t="str">
            <v>0715159</v>
          </cell>
          <cell r="B1569" t="str">
            <v>"//shrzboost01/TRUMPF.NET/DATA_PDM2/Stöbich/Varianten/0715159.GMV"</v>
          </cell>
          <cell r="C1569" t="str">
            <v>//shrzboost01/TRUMPF.NET/DATA_PDM2/Stöbich/Aufträge.GEO</v>
          </cell>
        </row>
        <row r="1570">
          <cell r="A1570" t="str">
            <v>0715164</v>
          </cell>
          <cell r="B1570" t="str">
            <v>"//shrzboost01/TRUMPF.NET/DATA_PDM2/Stöbich/Varianten/0715164.GMV"</v>
          </cell>
          <cell r="C1570" t="str">
            <v>//shrzboost01/TRUMPF.NET/DATA_PDM2/Stöbich/Aufträge.GEO</v>
          </cell>
        </row>
        <row r="1571">
          <cell r="A1571" t="str">
            <v>0715170</v>
          </cell>
          <cell r="B1571" t="str">
            <v>"//shrzboost01/TRUMPF.NET/DATA_PDM2/Stöbich/Varianten/0715170.GMV"</v>
          </cell>
          <cell r="C1571" t="str">
            <v>//shrzboost01/TRUMPF.NET/DATA_PDM2/Stöbich/Aufträge.GEO</v>
          </cell>
        </row>
        <row r="1572">
          <cell r="A1572" t="str">
            <v>0715169</v>
          </cell>
          <cell r="B1572" t="str">
            <v>"//shrzboost01/TRUMPF.NET/DATA_PDM2/Stöbich/Varianten/0715169.GMV"</v>
          </cell>
          <cell r="C1572" t="str">
            <v>//shrzboost01/TRUMPF.NET/DATA_PDM2/Stöbich/Aufträge.GEO</v>
          </cell>
        </row>
        <row r="1573">
          <cell r="A1573" t="str">
            <v>0715208</v>
          </cell>
          <cell r="B1573" t="str">
            <v>"//shrzboost01/TRUMPF.NET/DATA_PDM2/Stöbich/Varianten/0715208.GMV"</v>
          </cell>
          <cell r="C1573" t="str">
            <v>//shrzboost01/TRUMPF.NET/DATA_PDM2/Stöbich/Aufträge.GEO</v>
          </cell>
        </row>
        <row r="1574">
          <cell r="A1574" t="str">
            <v>0715209</v>
          </cell>
          <cell r="B1574" t="str">
            <v>"//shrzboost01/TRUMPF.NET/DATA_PDM2/Stöbich/Varianten/0715209.GMV"</v>
          </cell>
          <cell r="C1574" t="str">
            <v>//shrzboost01/TRUMPF.NET/DATA_PDM2/Stöbich/Aufträge.GEO</v>
          </cell>
        </row>
        <row r="1575">
          <cell r="A1575" t="str">
            <v>0715211</v>
          </cell>
          <cell r="B1575" t="str">
            <v>"//shrzboost01/TRUMPF.NET/DATA_PDM2/Stöbich/Varianten/0715211.GMV"</v>
          </cell>
          <cell r="C1575" t="str">
            <v>//shrzboost01/TRUMPF.NET/DATA_PDM2/Stöbich/Aufträge.GEO</v>
          </cell>
        </row>
        <row r="1576">
          <cell r="A1576" t="str">
            <v>0715210</v>
          </cell>
          <cell r="B1576" t="str">
            <v>"//shrzboost01/TRUMPF.NET/DATA_PDM2/Stöbich/Varianten/0715210.GMV"</v>
          </cell>
          <cell r="C1576" t="str">
            <v>//shrzboost01/TRUMPF.NET/DATA_PDM2/Stöbich/Aufträge.GEO</v>
          </cell>
        </row>
        <row r="1577">
          <cell r="A1577" t="str">
            <v>0715188</v>
          </cell>
          <cell r="B1577" t="str">
            <v>"//shrzboost01/TRUMPF.NET/DATA_PDM2/Stöbich/Varianten/0715188.GMV"</v>
          </cell>
          <cell r="C1577" t="str">
            <v>//shrzboost01/TRUMPF.NET/DATA_PDM2/Stöbich/Aufträge.GEO</v>
          </cell>
        </row>
        <row r="1578">
          <cell r="A1578" t="str">
            <v>0715174</v>
          </cell>
          <cell r="B1578" t="str">
            <v>"//shrzboost01/TRUMPF.NET/DATA_PDM2/Stöbich/Varianten/0715174.GMV"</v>
          </cell>
          <cell r="C1578" t="str">
            <v>//shrzboost01/TRUMPF.NET/DATA_PDM2/Stöbich/Aufträge.GEO</v>
          </cell>
        </row>
        <row r="1579">
          <cell r="A1579" t="str">
            <v>0715189</v>
          </cell>
          <cell r="B1579" t="str">
            <v>"//shrzboost01/TRUMPF.NET/DATA_PDM2/Stöbich/Varianten/0715189.GMV"</v>
          </cell>
          <cell r="C1579" t="str">
            <v>//shrzboost01/TRUMPF.NET/DATA_PDM2/Stöbich/Aufträge.GEO</v>
          </cell>
        </row>
        <row r="1580">
          <cell r="A1580" t="str">
            <v>0715175</v>
          </cell>
          <cell r="B1580" t="str">
            <v>"//shrzboost01/TRUMPF.NET/DATA_PDM2/Stöbich/Varianten/0715175.GMV"</v>
          </cell>
          <cell r="C1580" t="str">
            <v>//shrzboost01/TRUMPF.NET/DATA_PDM2/Stöbich/Aufträge.GEO</v>
          </cell>
        </row>
        <row r="1581">
          <cell r="A1581" t="str">
            <v>0715176</v>
          </cell>
          <cell r="B1581" t="str">
            <v>"//shrzboost01/TRUMPF.NET/DATA_PDM2/Stöbich/Varianten/0715176.GMV"</v>
          </cell>
          <cell r="C1581" t="str">
            <v>//shrzboost01/TRUMPF.NET/DATA_PDM2/Stöbich/Aufträge.GEO</v>
          </cell>
        </row>
        <row r="1582">
          <cell r="A1582" t="str">
            <v>0715191</v>
          </cell>
          <cell r="B1582" t="str">
            <v>"//shrzboost01/TRUMPF.NET/DATA_PDM2/Stöbich/Varianten/0715191.GMV"</v>
          </cell>
          <cell r="C1582" t="str">
            <v>//shrzboost01/TRUMPF.NET/DATA_PDM2/Stöbich/Aufträge.GEO</v>
          </cell>
        </row>
        <row r="1583">
          <cell r="A1583" t="str">
            <v>0715177</v>
          </cell>
          <cell r="B1583" t="str">
            <v>"//shrzboost01/TRUMPF.NET/DATA_PDM2/Stöbich/Varianten/0715177.GMV"</v>
          </cell>
          <cell r="C1583" t="str">
            <v>//shrzboost01/TRUMPF.NET/DATA_PDM2/Stöbich/Aufträge.GEO</v>
          </cell>
        </row>
        <row r="1584">
          <cell r="A1584" t="str">
            <v>0715221</v>
          </cell>
          <cell r="B1584" t="str">
            <v>"//shrzboost01/TRUMPF.NET/DATA_PDM2/Stöbich/Varianten/0715221.GMV"</v>
          </cell>
          <cell r="C1584" t="str">
            <v>//shrzboost01/TRUMPF.NET/DATA_PDM2/Stöbich/Aufträge.GEO</v>
          </cell>
        </row>
        <row r="1585">
          <cell r="A1585" t="str">
            <v>0715594</v>
          </cell>
          <cell r="B1585" t="str">
            <v>"//shrzboost01/TRUMPF.NET/DATA_PDM2/Stöbich/Varianten/0715594.GMV"</v>
          </cell>
          <cell r="C1585" t="str">
            <v>//shrzboost01/TRUMPF.NET/DATA_PDM2/Stöbich/Aufträge.GEO</v>
          </cell>
        </row>
        <row r="1586">
          <cell r="A1586" t="str">
            <v>0715595</v>
          </cell>
          <cell r="B1586" t="str">
            <v>"//shrzboost01/TRUMPF.NET/DATA_PDM2/Stöbich/Varianten/0715595.GMV"</v>
          </cell>
          <cell r="C1586" t="str">
            <v>//shrzboost01/TRUMPF.NET/DATA_PDM2/Stöbich/Aufträge.GEO</v>
          </cell>
        </row>
        <row r="1587">
          <cell r="A1587" t="str">
            <v>0715222</v>
          </cell>
          <cell r="B1587" t="str">
            <v>"//shrzboost01/TRUMPF.NET/DATA_PDM2/Stöbich/Varianten/0715222.GMV"</v>
          </cell>
          <cell r="C1587" t="str">
            <v>//shrzboost01/TRUMPF.NET/DATA_PDM2/Stöbich/Aufträge.GEO</v>
          </cell>
        </row>
        <row r="1588">
          <cell r="A1588" t="str">
            <v>0715165</v>
          </cell>
          <cell r="B1588" t="str">
            <v>"//shrzboost01/TRUMPF.NET/DATA_PDM2/Stöbich/Varianten/0715165.GMV"</v>
          </cell>
          <cell r="C1588" t="str">
            <v>//shrzboost01/TRUMPF.NET/DATA_PDM2/Stöbich/Aufträge.GEO</v>
          </cell>
        </row>
        <row r="1589">
          <cell r="A1589" t="str">
            <v>0715168</v>
          </cell>
          <cell r="B1589" t="str">
            <v>"//shrzboost01/TRUMPF.NET/DATA_PDM2/Stöbich/Varianten/0715168.GMV"</v>
          </cell>
          <cell r="C1589" t="str">
            <v>//shrzboost01/TRUMPF.NET/DATA_PDM2/Stöbich/Aufträge.GEO</v>
          </cell>
        </row>
        <row r="1590">
          <cell r="A1590" t="str">
            <v>0715145</v>
          </cell>
          <cell r="B1590" t="str">
            <v>"//shrzboost01/TRUMPF.NET/DATA_PDM2/Stöbich/Varianten/0715145.GMV"</v>
          </cell>
          <cell r="C1590" t="str">
            <v>//shrzboost01/TRUMPF.NET/DATA_PDM2/Stöbich/Aufträge.GEO</v>
          </cell>
        </row>
        <row r="1591">
          <cell r="A1591" t="str">
            <v>0715298</v>
          </cell>
          <cell r="B1591" t="str">
            <v>"//shrzboost01/TRUMPF.NET/DATA_PDM2/Stöbich/Varianten/0715298.GMV"</v>
          </cell>
          <cell r="C1591" t="str">
            <v>//shrzboost01/TRUMPF.NET/DATA_PDM2/Stöbich/Aufträge.GEO</v>
          </cell>
        </row>
        <row r="1592">
          <cell r="A1592" t="str">
            <v>0715299</v>
          </cell>
          <cell r="B1592" t="str">
            <v>"//shrzboost01/TRUMPF.NET/DATA_PDM2/Stöbich/Varianten/0715299.GMV"</v>
          </cell>
          <cell r="C1592" t="str">
            <v>//shrzboost01/TRUMPF.NET/DATA_PDM2/Stöbich/Aufträge.GEO</v>
          </cell>
        </row>
        <row r="1593">
          <cell r="A1593" t="str">
            <v>0715300</v>
          </cell>
          <cell r="B1593" t="str">
            <v>"//shrzboost01/TRUMPF.NET/DATA_PDM2/Stöbich/Varianten/0715300.GMV"</v>
          </cell>
          <cell r="C1593" t="str">
            <v>//shrzboost01/TRUMPF.NET/DATA_PDM2/Stöbich/Aufträge.GEO</v>
          </cell>
        </row>
        <row r="1594">
          <cell r="A1594" t="str">
            <v>0715301</v>
          </cell>
          <cell r="B1594" t="str">
            <v>"//shrzboost01/TRUMPF.NET/DATA_PDM2/Stöbich/Varianten/0715301.GMV"</v>
          </cell>
          <cell r="C1594" t="str">
            <v>//shrzboost01/TRUMPF.NET/DATA_PDM2/Stöbich/Aufträge.GEO</v>
          </cell>
        </row>
        <row r="1595">
          <cell r="A1595" t="str">
            <v>0715167</v>
          </cell>
          <cell r="B1595" t="str">
            <v>"//shrzboost01/TRUMPF.NET/DATA_PDM2/Stöbich/Varianten/0715167.GMV"</v>
          </cell>
          <cell r="C1595" t="str">
            <v>//shrzboost01/TRUMPF.NET/DATA_PDM2/Stöbich/Aufträge.GEO</v>
          </cell>
        </row>
        <row r="1596">
          <cell r="A1596" t="str">
            <v>0715202</v>
          </cell>
          <cell r="B1596" t="str">
            <v>"//shrzboost01/TRUMPF.NET/DATA_PDM2/Stöbich/Varianten/0715202.GMV"</v>
          </cell>
          <cell r="C1596" t="str">
            <v>//shrzboost01/TRUMPF.NET/DATA_PDM2/Stöbich/Aufträge.GEO</v>
          </cell>
        </row>
        <row r="1597">
          <cell r="A1597" t="str">
            <v>0715203</v>
          </cell>
          <cell r="B1597" t="str">
            <v>"//shrzboost01/TRUMPF.NET/DATA_PDM2/Stöbich/Varianten/0715203.GMV"</v>
          </cell>
          <cell r="C1597" t="str">
            <v>//shrzboost01/TRUMPF.NET/DATA_PDM2/Stöbich/Aufträge.GEO</v>
          </cell>
        </row>
        <row r="1598">
          <cell r="A1598" t="str">
            <v>0715204</v>
          </cell>
          <cell r="B1598" t="str">
            <v>"//shrzboost01/TRUMPF.NET/DATA_PDM2/Stöbich/Varianten/0715204.GMV"</v>
          </cell>
          <cell r="C1598" t="str">
            <v>//shrzboost01/TRUMPF.NET/DATA_PDM2/Stöbich/Aufträge.GEO</v>
          </cell>
        </row>
        <row r="1599">
          <cell r="A1599" t="str">
            <v>0715205</v>
          </cell>
          <cell r="B1599" t="str">
            <v>"//shrzboost01/TRUMPF.NET/DATA_PDM2/Stöbich/Varianten/0715205.GMV"</v>
          </cell>
          <cell r="C1599" t="str">
            <v>//shrzboost01/TRUMPF.NET/DATA_PDM2/Stöbich/Aufträge.GEO</v>
          </cell>
        </row>
        <row r="1600">
          <cell r="A1600" t="str">
            <v>0715190</v>
          </cell>
          <cell r="B1600" t="str">
            <v>"//shrzboost01/TRUMPF.NET/DATA_PDM2/Stöbich/Varianten/0715190.GMV"</v>
          </cell>
          <cell r="C1600" t="str">
            <v>//shrzboost01/TRUMPF.NET/DATA_PDM2/Stöbich/Aufträge.GEO</v>
          </cell>
        </row>
        <row r="1601">
          <cell r="A1601" t="str">
            <v>0715199</v>
          </cell>
          <cell r="B1601" t="str">
            <v>"//shrzboost01/TRUMPF.NET/DATA_PDM2/Stöbich/Varianten/0715199.GMV"</v>
          </cell>
          <cell r="C1601" t="str">
            <v>//shrzboost01/TRUMPF.NET/DATA_PDM2/Stöbich/Aufträge.GEO</v>
          </cell>
        </row>
        <row r="1602">
          <cell r="A1602" t="str">
            <v>0715196</v>
          </cell>
          <cell r="B1602" t="str">
            <v>"//shrzboost01/TRUMPF.NET/DATA_PDM2/Stöbich/Varianten/0715196.GMV"</v>
          </cell>
          <cell r="C1602" t="str">
            <v>//shrzboost01/TRUMPF.NET/DATA_PDM2/Stöbich/Aufträge.GEO</v>
          </cell>
        </row>
        <row r="1603">
          <cell r="A1603" t="str">
            <v>0715200</v>
          </cell>
          <cell r="B1603" t="str">
            <v>"//shrzboost01/TRUMPF.NET/DATA_PDM2/Stöbich/Varianten/0715200.GMV"</v>
          </cell>
          <cell r="C1603" t="str">
            <v>//shrzboost01/TRUMPF.NET/DATA_PDM2/Stöbich/Aufträge.GEO</v>
          </cell>
        </row>
        <row r="1604">
          <cell r="A1604" t="str">
            <v>0715198</v>
          </cell>
          <cell r="B1604" t="str">
            <v>"//shrzboost01/TRUMPF.NET/DATA_PDM2/Stöbich/Varianten/0715198.GMV"</v>
          </cell>
          <cell r="C1604" t="str">
            <v>//shrzboost01/TRUMPF.NET/DATA_PDM2/Stöbich/Aufträge.GEO</v>
          </cell>
        </row>
        <row r="1605">
          <cell r="A1605" t="str">
            <v>0715201</v>
          </cell>
          <cell r="B1605" t="str">
            <v>"//shrzboost01/TRUMPF.NET/DATA_PDM2/Stöbich/Varianten/0715201.GMV"</v>
          </cell>
          <cell r="C1605" t="str">
            <v>//shrzboost01/TRUMPF.NET/DATA_PDM2/Stöbich/Aufträge.GEO</v>
          </cell>
        </row>
        <row r="1606">
          <cell r="A1606" t="str">
            <v>0715197</v>
          </cell>
          <cell r="B1606" t="str">
            <v>"//shrzboost01/TRUMPF.NET/DATA_PDM2/Stöbich/Varianten/0715197.GMV"</v>
          </cell>
          <cell r="C1606" t="str">
            <v>//shrzboost01/TRUMPF.NET/DATA_PDM2/Stöbich/Aufträge.GEO</v>
          </cell>
        </row>
        <row r="1607">
          <cell r="A1607" t="str">
            <v>0715221</v>
          </cell>
          <cell r="B1607" t="str">
            <v>"//shrzboost01/TRUMPF.NET/DATA_PDM2/Stöbich/Varianten/0715221.GMV"</v>
          </cell>
          <cell r="C1607" t="str">
            <v>//shrzboost01/TRUMPF.NET/DATA_PDM2/Stöbich/Aufträge.GEO</v>
          </cell>
        </row>
        <row r="1608">
          <cell r="A1608" t="str">
            <v>0715594</v>
          </cell>
          <cell r="B1608" t="str">
            <v>"//shrzboost01/TRUMPF.NET/DATA_PDM2/Stöbich/Varianten/0715594.GMV"</v>
          </cell>
          <cell r="C1608" t="str">
            <v>//shrzboost01/TRUMPF.NET/DATA_PDM2/Stöbich/Aufträge.GEO</v>
          </cell>
        </row>
        <row r="1609">
          <cell r="A1609" t="str">
            <v>0715222</v>
          </cell>
          <cell r="B1609" t="str">
            <v>"//shrzboost01/TRUMPF.NET/DATA_PDM2/Stöbich/Varianten/0715222.GMV"</v>
          </cell>
          <cell r="C1609" t="str">
            <v>//shrzboost01/TRUMPF.NET/DATA_PDM2/Stöbich/Aufträge.GEO</v>
          </cell>
        </row>
        <row r="1610">
          <cell r="A1610" t="str">
            <v>0715595</v>
          </cell>
          <cell r="B1610" t="str">
            <v>"//shrzboost01/TRUMPF.NET/DATA_PDM2/Stöbich/Varianten/0715595.GMV"</v>
          </cell>
          <cell r="C1610" t="str">
            <v>//shrzboost01/TRUMPF.NET/DATA_PDM2/Stöbich/Aufträge.GEO</v>
          </cell>
        </row>
        <row r="1611">
          <cell r="A1611" t="str">
            <v>0714866</v>
          </cell>
          <cell r="B1611" t="str">
            <v>"//shrzboost01/TRUMPF.NET/DATA_PDM2/Stöbich/Varianten/0714866.GMV"</v>
          </cell>
          <cell r="C1611" t="str">
            <v>//shrzboost01/TRUMPF.NET/DATA_PDM2/Stöbich/Aufträge.GEO</v>
          </cell>
        </row>
        <row r="1612">
          <cell r="A1612" t="str">
            <v>0715118</v>
          </cell>
          <cell r="B1612" t="str">
            <v>"//shrzboost01/TRUMPF.NET/DATA_PDM2/Stöbich/Varianten/0715118.GMV"</v>
          </cell>
          <cell r="C1612" t="str">
            <v>//shrzboost01/TRUMPF.NET/DATA_PDM2/Stöbich/Aufträge.GEO</v>
          </cell>
        </row>
        <row r="1613">
          <cell r="A1613" t="str">
            <v>0715153</v>
          </cell>
          <cell r="B1613" t="str">
            <v>"//shrzboost01/TRUMPF.NET/DATA_PDM2/Stöbich/Varianten/0715153.GMV"</v>
          </cell>
          <cell r="C1613" t="str">
            <v>//shrzboost01/TRUMPF.NET/DATA_PDM2/Stöbich/Aufträge.GEO</v>
          </cell>
        </row>
        <row r="1614">
          <cell r="A1614" t="str">
            <v>0715098</v>
          </cell>
          <cell r="B1614" t="str">
            <v>"//shrzboost01/TRUMPF.NET/DATA_PDM2/Stöbich/Varianten/0715098.GMV"</v>
          </cell>
          <cell r="C1614" t="str">
            <v>//shrzboost01/TRUMPF.NET/DATA_PDM2/Stöbich/Aufträge.GEO</v>
          </cell>
        </row>
        <row r="1615">
          <cell r="A1615" t="str">
            <v>0715145</v>
          </cell>
          <cell r="B1615" t="str">
            <v>"//shrzboost01/TRUMPF.NET/DATA_PDM2/Stöbich/Varianten/0715145.GMV"</v>
          </cell>
          <cell r="C1615" t="str">
            <v>//shrzboost01/TRUMPF.NET/DATA_PDM2/Stöbich/Aufträge.GEO</v>
          </cell>
        </row>
        <row r="1616">
          <cell r="A1616" t="str">
            <v>0715162</v>
          </cell>
          <cell r="B1616" t="str">
            <v>"//shrzboost01/TRUMPF.NET/DATA_PDM2/Stöbich/Varianten/0715162.GMV"</v>
          </cell>
          <cell r="C1616" t="str">
            <v>//shrzboost01/TRUMPF.NET/DATA_PDM2/Stöbich/Aufträge.GEO</v>
          </cell>
        </row>
        <row r="1617">
          <cell r="A1617" t="str">
            <v>0715302</v>
          </cell>
          <cell r="B1617" t="str">
            <v>"//shrzboost01/TRUMPF.NET/DATA_PDM2/Stöbich/Varianten/0715302.GMV"</v>
          </cell>
          <cell r="C1617" t="str">
            <v>//shrzboost01/TRUMPF.NET/DATA_PDM2/Stöbich/Aufträge.GEO</v>
          </cell>
        </row>
        <row r="1618">
          <cell r="A1618" t="str">
            <v>0715303</v>
          </cell>
          <cell r="B1618" t="str">
            <v>"//shrzboost01/TRUMPF.NET/DATA_PDM2/Stöbich/Varianten/0715303.GMV"</v>
          </cell>
          <cell r="C1618" t="str">
            <v>//shrzboost01/TRUMPF.NET/DATA_PDM2/Stöbich/Aufträge.GEO</v>
          </cell>
        </row>
        <row r="1619">
          <cell r="A1619" t="str">
            <v>0715166</v>
          </cell>
          <cell r="B1619" t="str">
            <v>"//shrzboost01/TRUMPF.NET/DATA_PDM2/Stöbich/Varianten/0715166.GMV"</v>
          </cell>
          <cell r="C1619" t="str">
            <v>//shrzboost01/TRUMPF.NET/DATA_PDM2/Stöbich/Aufträge.GEO</v>
          </cell>
        </row>
        <row r="1620">
          <cell r="A1620" t="str">
            <v>0714851</v>
          </cell>
          <cell r="B1620" t="str">
            <v>"//shrzboost01/TRUMPF.NET/DATA_PDM2/Stöbich/Varianten/0714851.GMV"</v>
          </cell>
          <cell r="C1620" t="str">
            <v>//shrzboost01/TRUMPF.NET/DATA_PDM2/Stöbich/Aufträge.GEO</v>
          </cell>
        </row>
        <row r="1621">
          <cell r="A1621" t="str">
            <v>0714852</v>
          </cell>
          <cell r="B1621" t="str">
            <v>"//shrzboost01/TRUMPF.NET/DATA_PDM2/Stöbich/Varianten/0714852.GMV"</v>
          </cell>
          <cell r="C1621" t="str">
            <v>//shrzboost01/TRUMPF.NET/DATA_PDM2/Stöbich/Aufträge.GEO</v>
          </cell>
        </row>
        <row r="1622">
          <cell r="A1622" t="str">
            <v>0717160</v>
          </cell>
          <cell r="B1622" t="str">
            <v>"//shrzboost01/TRUMPF.NET/DATA_PDM2/Stöbich/Varianten/0717160.GMV"</v>
          </cell>
          <cell r="C1622" t="str">
            <v>//shrzboost01/TRUMPF.NET/DATA_PDM2/Stöbich/Aufträge.GEO</v>
          </cell>
        </row>
        <row r="1623">
          <cell r="A1623" t="str">
            <v>0717161</v>
          </cell>
          <cell r="B1623" t="str">
            <v>"//shrzboost01/TRUMPF.NET/DATA_PDM2/Stöbich/Varianten/0717161.GMV"</v>
          </cell>
          <cell r="C1623" t="str">
            <v>//shrzboost01/TRUMPF.NET/DATA_PDM2/Stöbich/Aufträge.GEO</v>
          </cell>
        </row>
        <row r="1624">
          <cell r="A1624" t="str">
            <v>0717162</v>
          </cell>
          <cell r="B1624" t="str">
            <v>"//shrzboost01/TRUMPF.NET/DATA_PDM2/Stöbich/Varianten/0717162.GMV"</v>
          </cell>
          <cell r="C1624" t="str">
            <v>//shrzboost01/TRUMPF.NET/DATA_PDM2/Stöbich/Aufträge.GEO</v>
          </cell>
        </row>
        <row r="1625">
          <cell r="A1625" t="str">
            <v>0717163</v>
          </cell>
          <cell r="B1625" t="str">
            <v>"//shrzboost01/TRUMPF.NET/DATA_PDM2/Stöbich/Varianten/0717163.GMV"</v>
          </cell>
          <cell r="C1625" t="str">
            <v>//shrzboost01/TRUMPF.NET/DATA_PDM2/Stöbich/Aufträge.GEO</v>
          </cell>
        </row>
        <row r="1626">
          <cell r="A1626" t="str">
            <v>0717164</v>
          </cell>
          <cell r="B1626" t="str">
            <v>"//shrzboost01/TRUMPF.NET/DATA_PDM2/Stöbich/Varianten/0717164.GMV"</v>
          </cell>
          <cell r="C1626" t="str">
            <v>//shrzboost01/TRUMPF.NET/DATA_PDM2/Stöbich/Aufträge.GEO</v>
          </cell>
        </row>
        <row r="1627">
          <cell r="A1627" t="str">
            <v>0717165</v>
          </cell>
          <cell r="B1627" t="str">
            <v>"//shrzboost01/TRUMPF.NET/DATA_PDM2/Stöbich/Varianten/0717165.GMV"</v>
          </cell>
          <cell r="C1627" t="str">
            <v>//shrzboost01/TRUMPF.NET/DATA_PDM2/Stöbich/Aufträge.GEO</v>
          </cell>
        </row>
        <row r="1628">
          <cell r="A1628" t="str">
            <v>0717166</v>
          </cell>
          <cell r="B1628" t="str">
            <v>"//shrzboost01/TRUMPF.NET/DATA_PDM2/Stöbich/Varianten/0717166.GMV"</v>
          </cell>
          <cell r="C1628" t="str">
            <v>//shrzboost01/TRUMPF.NET/DATA_PDM2/Stöbich/Aufträge.GEO</v>
          </cell>
        </row>
        <row r="1629">
          <cell r="A1629" t="str">
            <v>0717169</v>
          </cell>
          <cell r="B1629" t="str">
            <v>"//shrzboost01/TRUMPF.NET/DATA_PDM2/Stöbich/Varianten/0717169.GMV"</v>
          </cell>
          <cell r="C1629" t="str">
            <v>//shrzboost01/TRUMPF.NET/DATA_PDM2/Stöbich/Aufträge.GEO</v>
          </cell>
        </row>
        <row r="1630">
          <cell r="A1630" t="str">
            <v>0717159</v>
          </cell>
          <cell r="B1630" t="str">
            <v>"//shrzboost01/TRUMPF.NET/DATA_PDM2/Stöbich/Varianten/0717159.GMV"</v>
          </cell>
          <cell r="C1630" t="str">
            <v>//shrzboost01/TRUMPF.NET/DATA_PDM2/Stöbich/Aufträge.GEO</v>
          </cell>
        </row>
        <row r="1631">
          <cell r="A1631" t="str">
            <v>0717170</v>
          </cell>
          <cell r="B1631" t="str">
            <v>"//shrzboost01/TRUMPF.NET/DATA_PDM2/Stöbich/Varianten/0717170.GMV"</v>
          </cell>
          <cell r="C1631" t="str">
            <v>//shrzboost01/TRUMPF.NET/DATA_PDM2/Stöbich/Aufträge.GEO</v>
          </cell>
        </row>
        <row r="1632">
          <cell r="A1632" t="str">
            <v>0717171</v>
          </cell>
          <cell r="B1632" t="str">
            <v>"//shrzboost01/TRUMPF.NET/DATA_PDM2/Stöbich/Varianten/0717171.GMV"</v>
          </cell>
          <cell r="C1632" t="str">
            <v>//shrzboost01/TRUMPF.NET/DATA_PDM2/Stöbich/Aufträge.GEO</v>
          </cell>
        </row>
        <row r="1633">
          <cell r="A1633" t="str">
            <v>0717172</v>
          </cell>
          <cell r="B1633" t="str">
            <v>"//shrzboost01/TRUMPF.NET/DATA_PDM2/Stöbich/Varianten/0717172.GMV"</v>
          </cell>
          <cell r="C1633" t="str">
            <v>//shrzboost01/TRUMPF.NET/DATA_PDM2/Stöbich/Aufträge.GEO</v>
          </cell>
        </row>
        <row r="1634">
          <cell r="A1634"/>
          <cell r="B1634" t="str">
            <v>"//shrzboost01/TRUMPF.NET/DATA_PDM2/Stöbich/Varianten/.GMV"</v>
          </cell>
          <cell r="C1634" t="str">
            <v>//shrzboost01/TRUMPF.NET/DATA_PDM2/Stöbich/Aufträge.GEO</v>
          </cell>
        </row>
        <row r="1635">
          <cell r="A1635" t="str">
            <v>0308022</v>
          </cell>
          <cell r="B1635" t="str">
            <v>"//shrzboost01/TRUMPF.NET/DATA_PDM2/Stöbich/Varianten/0308022.GMV"</v>
          </cell>
          <cell r="C1635" t="str">
            <v>//shrzboost01/TRUMPF.NET/DATA_PDM2/Stöbich/Aufträge.GEO</v>
          </cell>
        </row>
        <row r="1636">
          <cell r="A1636" t="str">
            <v>0308044</v>
          </cell>
          <cell r="B1636" t="str">
            <v>"//shrzboost01/TRUMPF.NET/DATA_PDM2/Stöbich/Varianten/0308044.GMV"</v>
          </cell>
          <cell r="C1636" t="str">
            <v>//shrzboost01/TRUMPF.NET/DATA_PDM2/Stöbich/Aufträge.GEO</v>
          </cell>
        </row>
        <row r="1637">
          <cell r="A1637" t="str">
            <v>0308045</v>
          </cell>
          <cell r="B1637" t="str">
            <v>"//shrzboost01/TRUMPF.NET/DATA_PDM2/Stöbich/Varianten/0308045.GMV"</v>
          </cell>
          <cell r="C1637" t="str">
            <v>//shrzboost01/TRUMPF.NET/DATA_PDM2/Stöbich/Aufträge.GEO</v>
          </cell>
        </row>
        <row r="1638">
          <cell r="A1638"/>
          <cell r="B1638"/>
          <cell r="C1638"/>
        </row>
        <row r="1639">
          <cell r="A1639"/>
          <cell r="B1639"/>
          <cell r="C1639"/>
        </row>
        <row r="1640">
          <cell r="A1640"/>
          <cell r="B1640"/>
          <cell r="C1640"/>
        </row>
        <row r="1641">
          <cell r="A1641" t="str">
            <v>0308094</v>
          </cell>
          <cell r="B1641" t="str">
            <v>"//shrzboost01/TRUMPF.NET/DATA_PDM2/Stöbich/Varianten/0308094.GMV"</v>
          </cell>
          <cell r="C1641" t="str">
            <v>//shrzboost01/TRUMPF.NET/DATA_PDM2/Stöbich/Aufträge.GEO</v>
          </cell>
        </row>
        <row r="1642">
          <cell r="A1642"/>
          <cell r="B1642"/>
          <cell r="C1642"/>
        </row>
        <row r="1643">
          <cell r="A1643" t="str">
            <v>0308165</v>
          </cell>
          <cell r="B1643" t="str">
            <v>"//shrzboost01/TRUMPF.NET/DATA_PDM2/Stöbich/Varianten/0308165.GMV"</v>
          </cell>
          <cell r="C1643" t="str">
            <v>//shrzboost01/TRUMPF.NET/DATA_PDM2/Stöbich/Aufträge.GEO</v>
          </cell>
        </row>
        <row r="1644">
          <cell r="A1644" t="str">
            <v>0308146</v>
          </cell>
          <cell r="B1644" t="str">
            <v>"//shrzboost01/TRUMPF.NET/DATA_PDM2/Stöbich/Varianten/0308146.GMV"</v>
          </cell>
          <cell r="C1644" t="str">
            <v>//shrzboost01/TRUMPF.NET/DATA_PDM2/Stöbich/Aufträge.GEO</v>
          </cell>
        </row>
        <row r="1645">
          <cell r="A1645" t="str">
            <v>0308202</v>
          </cell>
          <cell r="B1645" t="str">
            <v>"//shrzboost01/TRUMPF.NET/DATA_PDM2/Stöbich/Varianten/0308202.GMV"</v>
          </cell>
          <cell r="C1645" t="str">
            <v>//shrzboost01/TRUMPF.NET/DATA_PDM2/Stöbich/Aufträge.GEO</v>
          </cell>
        </row>
        <row r="1646">
          <cell r="A1646" t="str">
            <v>0308203</v>
          </cell>
          <cell r="B1646" t="str">
            <v>"//shrzboost01/TRUMPF.NET/DATA_PDM2/Stöbich/Varianten/0308203.GMV"</v>
          </cell>
          <cell r="C1646" t="str">
            <v>//shrzboost01/TRUMPF.NET/DATA_PDM2/Stöbich/Aufträge.GEO</v>
          </cell>
        </row>
        <row r="1647">
          <cell r="A1647" t="str">
            <v>0308211</v>
          </cell>
          <cell r="B1647" t="str">
            <v>"//shrzboost01/TRUMPF.NET/DATA_PDM2/Stöbich/Varianten/0308211.GMV"</v>
          </cell>
          <cell r="C1647" t="str">
            <v>//shrzboost01/TRUMPF.NET/DATA_PDM2/Stöbich/Aufträge.GEO</v>
          </cell>
        </row>
        <row r="1648">
          <cell r="A1648" t="str">
            <v>0308212</v>
          </cell>
          <cell r="B1648" t="str">
            <v>"//shrzboost01/TRUMPF.NET/DATA_PDM2/Stöbich/Varianten/0308212.GMV"</v>
          </cell>
          <cell r="C1648" t="str">
            <v>//shrzboost01/TRUMPF.NET/DATA_PDM2/Stöbich/Aufträge.GEO</v>
          </cell>
        </row>
        <row r="1649">
          <cell r="A1649" t="str">
            <v>0308214</v>
          </cell>
          <cell r="B1649" t="str">
            <v>"//shrzboost01/TRUMPF.NET/DATA_PDM2/Stöbich/Varianten/0308214.GMV"</v>
          </cell>
          <cell r="C1649" t="str">
            <v>//shrzboost01/TRUMPF.NET/DATA_PDM2/Stöbich/Aufträge.GEO</v>
          </cell>
        </row>
        <row r="1650">
          <cell r="A1650" t="str">
            <v>0308215</v>
          </cell>
          <cell r="B1650" t="str">
            <v>"//shrzboost01/TRUMPF.NET/DATA_PDM2/Stöbich/Varianten/0308215.GMV"</v>
          </cell>
          <cell r="C1650" t="str">
            <v>//shrzboost01/TRUMPF.NET/DATA_PDM2/Stöbich/Aufträge.GEO</v>
          </cell>
        </row>
        <row r="1651">
          <cell r="A1651" t="str">
            <v>0308233</v>
          </cell>
          <cell r="B1651" t="str">
            <v>"//shrzboost01/TRUMPF.NET/DATA_PDM2/Stöbich/Varianten/0308233.GMV"</v>
          </cell>
          <cell r="C1651" t="str">
            <v>//shrzboost01/TRUMPF.NET/DATA_PDM2/Stöbich/Aufträge.GEO</v>
          </cell>
        </row>
        <row r="1652">
          <cell r="A1652" t="str">
            <v>0308234</v>
          </cell>
          <cell r="B1652" t="str">
            <v>"//shrzboost01/TRUMPF.NET/DATA_PDM2/Stöbich/Varianten/0308234.GMV"</v>
          </cell>
          <cell r="C1652" t="str">
            <v>//shrzboost01/TRUMPF.NET/DATA_PDM2/Stöbich/Aufträge.GEO</v>
          </cell>
        </row>
        <row r="1653">
          <cell r="A1653" t="str">
            <v>0308236</v>
          </cell>
          <cell r="B1653" t="str">
            <v>"//shrzboost01/TRUMPF.NET/DATA_PDM2/Stöbich/Varianten/0308236.GMV"</v>
          </cell>
          <cell r="C1653" t="str">
            <v>//shrzboost01/TRUMPF.NET/DATA_PDM2/Stöbich/Aufträge.GEO</v>
          </cell>
        </row>
        <row r="1654">
          <cell r="A1654" t="str">
            <v>0308275</v>
          </cell>
          <cell r="B1654" t="str">
            <v>"//shrzboost01/TRUMPF.NET/DATA_PDM2/Stöbich/Varianten/0308275.GMV"</v>
          </cell>
          <cell r="C1654" t="str">
            <v>//shrzboost01/TRUMPF.NET/DATA_PDM2/Stöbich/Aufträge.GEO</v>
          </cell>
        </row>
        <row r="1655">
          <cell r="A1655" t="str">
            <v>0308277</v>
          </cell>
          <cell r="B1655" t="str">
            <v>"//shrzboost01/TRUMPF.NET/DATA_PDM2/Stöbich/Varianten/0308277.GMV"</v>
          </cell>
          <cell r="C1655" t="str">
            <v>//shrzboost01/TRUMPF.NET/DATA_PDM2/Stöbich/Aufträge.GEO</v>
          </cell>
        </row>
        <row r="1656">
          <cell r="A1656" t="str">
            <v>0308293</v>
          </cell>
          <cell r="B1656" t="str">
            <v>"//shrzboost01/TRUMPF.NET/DATA_PDM2/Stöbich/Varianten/0308293.GMV"</v>
          </cell>
          <cell r="C1656" t="str">
            <v>//shrzboost01/TRUMPF.NET/DATA_PDM2/Stöbich/Aufträge.GEO</v>
          </cell>
        </row>
        <row r="1657">
          <cell r="A1657" t="str">
            <v>0308294</v>
          </cell>
          <cell r="B1657" t="str">
            <v>"//shrzboost01/TRUMPF.NET/DATA_PDM2/Stöbich/Varianten/0308294.GMV"</v>
          </cell>
          <cell r="C1657" t="str">
            <v>//shrzboost01/TRUMPF.NET/DATA_PDM2/Stöbich/Aufträge.GEO</v>
          </cell>
        </row>
        <row r="1658">
          <cell r="A1658" t="str">
            <v>0308299</v>
          </cell>
          <cell r="B1658" t="str">
            <v>"//shrzboost01/TRUMPF.NET/DATA_PDM2/Stöbich/Varianten/0308299.GMV"</v>
          </cell>
          <cell r="C1658" t="str">
            <v>//shrzboost01/TRUMPF.NET/DATA_PDM2/Stöbich/Aufträge.GEO</v>
          </cell>
        </row>
        <row r="1659">
          <cell r="A1659" t="str">
            <v>0308301</v>
          </cell>
          <cell r="B1659" t="str">
            <v>"//shrzboost01/TRUMPF.NET/DATA_PDM2/Stöbich/Varianten/0308301.GMV"</v>
          </cell>
          <cell r="C1659" t="str">
            <v>//shrzboost01/TRUMPF.NET/DATA_PDM2/Stöbich/Aufträge.GEO</v>
          </cell>
        </row>
        <row r="1660">
          <cell r="A1660" t="str">
            <v>0308302</v>
          </cell>
          <cell r="B1660" t="str">
            <v>"//shrzboost01/TRUMPF.NET/DATA_PDM2/Stöbich/Varianten/0308302.GMV"</v>
          </cell>
          <cell r="C1660" t="str">
            <v>//shrzboost01/TRUMPF.NET/DATA_PDM2/Stöbich/Aufträge.GEO</v>
          </cell>
        </row>
        <row r="1661">
          <cell r="A1661" t="str">
            <v>0308303</v>
          </cell>
          <cell r="B1661" t="str">
            <v>"//shrzboost01/TRUMPF.NET/DATA_PDM2/Stöbich/Varianten/0308303.GMV"</v>
          </cell>
          <cell r="C1661" t="str">
            <v>//shrzboost01/TRUMPF.NET/DATA_PDM2/Stöbich/Aufträge.GEO</v>
          </cell>
        </row>
        <row r="1662">
          <cell r="A1662" t="str">
            <v>0308304</v>
          </cell>
          <cell r="B1662" t="str">
            <v>"//shrzboost01/TRUMPF.NET/DATA_PDM2/Stöbich/Varianten/0308304.GMV"</v>
          </cell>
          <cell r="C1662" t="str">
            <v>//shrzboost01/TRUMPF.NET/DATA_PDM2/Stöbich/Aufträge.GEO</v>
          </cell>
        </row>
        <row r="1663">
          <cell r="A1663" t="str">
            <v>0308305</v>
          </cell>
          <cell r="B1663" t="str">
            <v>"//shrzboost01/TRUMPF.NET/DATA_PDM2/Stöbich/Varianten/0308305.GMV"</v>
          </cell>
          <cell r="C1663" t="str">
            <v>//shrzboost01/TRUMPF.NET/DATA_PDM2/Stöbich/Aufträge.GEO</v>
          </cell>
        </row>
        <row r="1664">
          <cell r="A1664" t="str">
            <v>0308314</v>
          </cell>
          <cell r="B1664" t="str">
            <v>"//shrzboost01/TRUMPF.NET/DATA_PDM2/Stöbich/Varianten/0308314.GMV"</v>
          </cell>
          <cell r="C1664" t="str">
            <v>//shrzboost01/TRUMPF.NET/DATA_PDM2/Stöbich/Aufträge.GEO</v>
          </cell>
        </row>
        <row r="1665">
          <cell r="A1665" t="str">
            <v>0308315</v>
          </cell>
          <cell r="B1665" t="str">
            <v>"//shrzboost01/TRUMPF.NET/DATA_PDM2/Stöbich/Varianten/0308315.GMV"</v>
          </cell>
          <cell r="C1665" t="str">
            <v>//shrzboost01/TRUMPF.NET/DATA_PDM2/Stöbich/Aufträge.GEO</v>
          </cell>
        </row>
        <row r="1666">
          <cell r="A1666" t="str">
            <v>0308316</v>
          </cell>
          <cell r="B1666" t="str">
            <v>"//shrzboost01/TRUMPF.NET/DATA_PDM2/Stöbich/Varianten/0308316.GMV"</v>
          </cell>
          <cell r="C1666" t="str">
            <v>//shrzboost01/TRUMPF.NET/DATA_PDM2/Stöbich/Aufträge.GEO</v>
          </cell>
        </row>
        <row r="1667">
          <cell r="A1667" t="str">
            <v>0308317</v>
          </cell>
          <cell r="B1667" t="str">
            <v>"//shrzboost01/TRUMPF.NET/DATA_PDM2/Stöbich/Varianten/0308317.GMV"</v>
          </cell>
          <cell r="C1667" t="str">
            <v>//shrzboost01/TRUMPF.NET/DATA_PDM2/Stöbich/Aufträge.GEO</v>
          </cell>
        </row>
        <row r="1668">
          <cell r="A1668" t="str">
            <v>0308318</v>
          </cell>
          <cell r="B1668" t="str">
            <v>"//shrzboost01/TRUMPF.NET/DATA_PDM2/Stöbich/Varianten/0308318.GMV"</v>
          </cell>
          <cell r="C1668" t="str">
            <v>//shrzboost01/TRUMPF.NET/DATA_PDM2/Stöbich/Aufträge.GEO</v>
          </cell>
        </row>
        <row r="1669">
          <cell r="A1669" t="str">
            <v>0308321</v>
          </cell>
          <cell r="B1669" t="str">
            <v>"//shrzboost01/TRUMPF.NET/DATA_PDM2/Stöbich/Varianten/0308321.GMV"</v>
          </cell>
          <cell r="C1669" t="str">
            <v>//shrzboost01/TRUMPF.NET/DATA_PDM2/Stöbich/Aufträge.GEO</v>
          </cell>
        </row>
        <row r="1670">
          <cell r="A1670" t="str">
            <v>0308322</v>
          </cell>
          <cell r="B1670" t="str">
            <v>"//shrzboost01/TRUMPF.NET/DATA_PDM2/Stöbich/Varianten/0308322.GMV"</v>
          </cell>
          <cell r="C1670" t="str">
            <v>//shrzboost01/TRUMPF.NET/DATA_PDM2/Stöbich/Aufträge.GEO</v>
          </cell>
        </row>
        <row r="1671">
          <cell r="A1671" t="str">
            <v>0308323</v>
          </cell>
          <cell r="B1671" t="str">
            <v>"//shrzboost01/TRUMPF.NET/DATA_PDM2/Stöbich/Varianten/0308323.GMV"</v>
          </cell>
          <cell r="C1671" t="str">
            <v>//shrzboost01/TRUMPF.NET/DATA_PDM2/Stöbich/Aufträge.GEO</v>
          </cell>
        </row>
        <row r="1672">
          <cell r="A1672" t="str">
            <v>0308324</v>
          </cell>
          <cell r="B1672" t="str">
            <v>"//shrzboost01/TRUMPF.NET/DATA_PDM2/Stöbich/Varianten/0308324.GMV"</v>
          </cell>
          <cell r="C1672" t="str">
            <v>//shrzboost01/TRUMPF.NET/DATA_PDM2/Stöbich/Aufträge.GEO</v>
          </cell>
        </row>
        <row r="1673">
          <cell r="A1673" t="str">
            <v>0308325</v>
          </cell>
          <cell r="B1673" t="str">
            <v>"//shrzboost01/TRUMPF.NET/DATA_PDM2/Stöbich/Varianten/0308325.GMV"</v>
          </cell>
          <cell r="C1673" t="str">
            <v>//shrzboost01/TRUMPF.NET/DATA_PDM2/Stöbich/Aufträge.GEO</v>
          </cell>
        </row>
        <row r="1674">
          <cell r="A1674" t="str">
            <v>0308337</v>
          </cell>
          <cell r="B1674" t="str">
            <v>"//shrzboost01/TRUMPF.NET/DATA_PDM2/Stöbich/Varianten/0308337.GMV"</v>
          </cell>
          <cell r="C1674" t="str">
            <v>//shrzboost01/TRUMPF.NET/DATA_PDM2/Stöbich/Aufträge.GEO</v>
          </cell>
        </row>
        <row r="1675">
          <cell r="A1675" t="str">
            <v>0308338</v>
          </cell>
          <cell r="B1675" t="str">
            <v>"//shrzboost01/TRUMPF.NET/DATA_PDM2/Stöbich/Varianten/0308338.GMV"</v>
          </cell>
          <cell r="C1675" t="str">
            <v>//shrzboost01/TRUMPF.NET/DATA_PDM2/Stöbich/Aufträge.GEO</v>
          </cell>
        </row>
        <row r="1676">
          <cell r="A1676" t="str">
            <v>0308360</v>
          </cell>
          <cell r="B1676" t="str">
            <v>"//shrzboost01/TRUMPF.NET/DATA_PDM2/Stöbich/Varianten/0308360.GMV"</v>
          </cell>
          <cell r="C1676" t="str">
            <v>//shrzboost01/TRUMPF.NET/DATA_PDM2/Stöbich/Aufträge.GEO</v>
          </cell>
        </row>
        <row r="1677">
          <cell r="A1677" t="str">
            <v>0308363</v>
          </cell>
          <cell r="B1677" t="str">
            <v>"//shrzboost01/TRUMPF.NET/DATA_PDM2/Stöbich/Varianten/0308363.GMV"</v>
          </cell>
          <cell r="C1677" t="str">
            <v>//shrzboost01/TRUMPF.NET/DATA_PDM2/Stöbich/Aufträge.GEO</v>
          </cell>
        </row>
        <row r="1678">
          <cell r="A1678"/>
          <cell r="B1678"/>
          <cell r="C1678"/>
        </row>
        <row r="1679">
          <cell r="A1679" t="str">
            <v>0308373</v>
          </cell>
          <cell r="B1679" t="str">
            <v>"//shrzboost01/TRUMPF.NET/DATA_PDM2/Stöbich/Varianten/0308373.GMV"</v>
          </cell>
          <cell r="C1679" t="str">
            <v>//shrzboost01/TRUMPF.NET/DATA_PDM2/Stöbich/Aufträge.GEO</v>
          </cell>
        </row>
        <row r="1680">
          <cell r="A1680"/>
          <cell r="B1680"/>
          <cell r="C1680"/>
        </row>
        <row r="1681">
          <cell r="A1681" t="str">
            <v>0308380</v>
          </cell>
          <cell r="B1681" t="str">
            <v>"//shrzboost01/TRUMPF.NET/DATA_PDM2/Stöbich/Varianten/0308380.GMV"</v>
          </cell>
          <cell r="C1681" t="str">
            <v>//shrzboost01/TRUMPF.NET/DATA_PDM2/Stöbich/Aufträge.GEO</v>
          </cell>
        </row>
        <row r="1682">
          <cell r="A1682" t="str">
            <v>0308383</v>
          </cell>
          <cell r="B1682" t="str">
            <v>"//shrzboost01/TRUMPF.NET/DATA_PDM2/Stöbich/Varianten/0308383.GMV"</v>
          </cell>
          <cell r="C1682" t="str">
            <v>//shrzboost01/TRUMPF.NET/DATA_PDM2/Stöbich/Aufträge.GEO</v>
          </cell>
        </row>
        <row r="1683">
          <cell r="A1683" t="str">
            <v>0308384</v>
          </cell>
          <cell r="B1683" t="str">
            <v>"//shrzboost01/TRUMPF.NET/DATA_PDM2/Stöbich/Varianten/0308384.GMV"</v>
          </cell>
          <cell r="C1683" t="str">
            <v>//shrzboost01/TRUMPF.NET/DATA_PDM2/Stöbich/Aufträge.GEO</v>
          </cell>
        </row>
        <row r="1684">
          <cell r="A1684"/>
          <cell r="B1684" t="str">
            <v>"//shrzboost01/TRUMPF.NET/DATA_PDM2/Stöbich/Varianten/.GMV"</v>
          </cell>
          <cell r="C1684" t="str">
            <v>//shrzboost01/TRUMPF.NET/DATA_PDM2/Stöbich/Aufträge.GEO</v>
          </cell>
        </row>
        <row r="1685">
          <cell r="A1685" t="str">
            <v>0308387</v>
          </cell>
          <cell r="B1685" t="str">
            <v>"//shrzboost01/TRUMPF.NET/DATA_PDM2/Stöbich/Varianten/0308387.GMV"</v>
          </cell>
          <cell r="C1685" t="str">
            <v>//shrzboost01/TRUMPF.NET/DATA_PDM2/Stöbich/Aufträge.GEO</v>
          </cell>
        </row>
        <row r="1686">
          <cell r="A1686" t="str">
            <v>0308388</v>
          </cell>
          <cell r="B1686" t="str">
            <v>"//shrzboost01/TRUMPF.NET/DATA_PDM2/Stöbich/Varianten/0308388.GMV"</v>
          </cell>
          <cell r="C1686" t="str">
            <v>//shrzboost01/TRUMPF.NET/DATA_PDM2/Stöbich/Aufträge.GEO</v>
          </cell>
        </row>
        <row r="1687">
          <cell r="A1687"/>
          <cell r="B1687"/>
          <cell r="C1687"/>
        </row>
        <row r="1688">
          <cell r="A1688" t="str">
            <v>0308442</v>
          </cell>
          <cell r="B1688" t="str">
            <v>"//shrzboost01/TRUMPF.NET/DATA_PDM2/Stöbich/Varianten/0308442.GMV"</v>
          </cell>
          <cell r="C1688" t="str">
            <v>//shrzboost01/TRUMPF.NET/DATA_PDM2/Stöbich/Aufträge.GEO</v>
          </cell>
        </row>
        <row r="1689">
          <cell r="A1689"/>
          <cell r="B1689" t="str">
            <v>"//shrzboost01/TRUMPF.NET/DATA_PDM2/Stöbich/Varianten/.GMV"</v>
          </cell>
          <cell r="C1689" t="str">
            <v>//shrzboost01/TRUMPF.NET/DATA_PDM2/Stöbich/Aufträge.GEO</v>
          </cell>
        </row>
        <row r="1690">
          <cell r="A1690" t="str">
            <v>0308504</v>
          </cell>
          <cell r="B1690" t="str">
            <v>"//shrzboost01/TRUMPF.NET/DATA_PDM2/Stöbich/Varianten/0308504.GMV"</v>
          </cell>
          <cell r="C1690" t="str">
            <v>//shrzboost01/TRUMPF.NET/DATA_PDM2/Stöbich/Aufträge.GEO</v>
          </cell>
        </row>
        <row r="1691">
          <cell r="A1691" t="str">
            <v>0308505</v>
          </cell>
          <cell r="B1691" t="str">
            <v>"//shrzboost01/TRUMPF.NET/DATA_PDM2/Stöbich/Varianten/0308505.GMV"</v>
          </cell>
          <cell r="C1691" t="str">
            <v>//shrzboost01/TRUMPF.NET/DATA_PDM2/Stöbich/Aufträge.GEO</v>
          </cell>
        </row>
        <row r="1692">
          <cell r="A1692"/>
          <cell r="B1692" t="str">
            <v>"//shrzboost01/TRUMPF.NET/DATA_PDM2/Stöbich/Varianten/.GMV"</v>
          </cell>
          <cell r="C1692" t="str">
            <v>//shrzboost01/TRUMPF.NET/DATA_PDM2/Stöbich/Aufträge.GEO</v>
          </cell>
        </row>
        <row r="1693">
          <cell r="A1693"/>
          <cell r="B1693" t="str">
            <v>"//shrzboost01/TRUMPF.NET/DATA_PDM2/Stöbich/Varianten/.GMV"</v>
          </cell>
          <cell r="C1693" t="str">
            <v>//shrzboost01/TRUMPF.NET/DATA_PDM2/Stöbich/Aufträge.GEO</v>
          </cell>
        </row>
        <row r="1694">
          <cell r="A1694" t="str">
            <v>0308514</v>
          </cell>
          <cell r="B1694" t="str">
            <v>"//shrzboost01/TRUMPF.NET/DATA_PDM2/Stöbich/Varianten/0308514.GMV"</v>
          </cell>
          <cell r="C1694" t="str">
            <v>//shrzboost01/TRUMPF.NET/DATA_PDM2/Stöbich/Aufträge.GEO</v>
          </cell>
        </row>
        <row r="1695">
          <cell r="A1695" t="str">
            <v>0308567</v>
          </cell>
          <cell r="B1695" t="str">
            <v>"//shrzboost01/TRUMPF.NET/DATA_PDM2/Stöbich/Varianten/0308567.GMV"</v>
          </cell>
          <cell r="C1695" t="str">
            <v>//shrzboost01/TRUMPF.NET/DATA_PDM2/Stöbich/Aufträge.GEO</v>
          </cell>
        </row>
        <row r="1696">
          <cell r="A1696" t="str">
            <v>0308568</v>
          </cell>
          <cell r="B1696" t="str">
            <v>"//shrzboost01/TRUMPF.NET/DATA_PDM2/Stöbich/Varianten/0308568.GMV"</v>
          </cell>
          <cell r="C1696" t="str">
            <v>//shrzboost01/TRUMPF.NET/DATA_PDM2/Stöbich/Aufträge.GEO</v>
          </cell>
        </row>
        <row r="1697">
          <cell r="A1697" t="str">
            <v>0308569</v>
          </cell>
          <cell r="B1697" t="str">
            <v>"//shrzboost01/TRUMPF.NET/DATA_PDM2/Stöbich/Varianten/0308569.GMV"</v>
          </cell>
          <cell r="C1697" t="str">
            <v>//shrzboost01/TRUMPF.NET/DATA_PDM2/Stöbich/Aufträge.GEO</v>
          </cell>
        </row>
        <row r="1698">
          <cell r="A1698" t="str">
            <v>0308578</v>
          </cell>
          <cell r="B1698" t="str">
            <v>"//shrzboost01/TRUMPF.NET/DATA_PDM2/Stöbich/Varianten/0308578.GMV"</v>
          </cell>
          <cell r="C1698" t="str">
            <v>//shrzboost01/TRUMPF.NET/DATA_PDM2/Stöbich/Aufträge.GEO</v>
          </cell>
        </row>
        <row r="1699">
          <cell r="A1699"/>
          <cell r="B1699"/>
          <cell r="C1699"/>
        </row>
        <row r="1700">
          <cell r="A1700" t="str">
            <v>0308598</v>
          </cell>
          <cell r="B1700" t="str">
            <v>"//shrzboost01/TRUMPF.NET/DATA_PDM2/Stöbich/Varianten/0308598.GMV"</v>
          </cell>
          <cell r="C1700" t="str">
            <v>//shrzboost01/TRUMPF.NET/DATA_PDM2/Stöbich/Aufträge.GEO</v>
          </cell>
        </row>
        <row r="1701">
          <cell r="A1701"/>
          <cell r="B1701"/>
          <cell r="C1701"/>
        </row>
        <row r="1702">
          <cell r="A1702" t="str">
            <v>0338022</v>
          </cell>
          <cell r="B1702" t="str">
            <v>"//shrzboost01/TRUMPF.NET/DATA_PDM2/Stöbich/Varianten/0338022.GMV"</v>
          </cell>
          <cell r="C1702" t="str">
            <v>//shrzboost01/TRUMPF.NET/DATA_PDM2/Stöbich/Aufträge.GEO</v>
          </cell>
        </row>
        <row r="1703">
          <cell r="A1703" t="str">
            <v>0338094</v>
          </cell>
          <cell r="B1703" t="str">
            <v>"//shrzboost01/TRUMPF.NET/DATA_PDM2/Stöbich/Varianten/0338094.GMV"</v>
          </cell>
          <cell r="C1703" t="str">
            <v>//shrzboost01/TRUMPF.NET/DATA_PDM2/Stöbich/Aufträge.GEO</v>
          </cell>
        </row>
        <row r="1704">
          <cell r="A1704" t="str">
            <v>0338167</v>
          </cell>
          <cell r="B1704" t="str">
            <v>"//shrzboost01/TRUMPF.NET/DATA_PDM2/Stöbich/Varianten/0338167.GMV"</v>
          </cell>
          <cell r="C1704" t="str">
            <v>//shrzboost01/TRUMPF.NET/DATA_PDM2/Stöbich/Aufträge.GEO</v>
          </cell>
        </row>
        <row r="1705">
          <cell r="A1705" t="str">
            <v>0338202</v>
          </cell>
          <cell r="B1705" t="str">
            <v>"//shrzboost01/TRUMPF.NET/DATA_PDM2/Stöbich/Varianten/0338202.GMV"</v>
          </cell>
          <cell r="C1705" t="str">
            <v>//shrzboost01/TRUMPF.NET/DATA_PDM2/Stöbich/Aufträge.GEO</v>
          </cell>
        </row>
        <row r="1706">
          <cell r="A1706" t="str">
            <v>0338203</v>
          </cell>
          <cell r="B1706" t="str">
            <v>"//shrzboost01/TRUMPF.NET/DATA_PDM2/Stöbich/Varianten/0338203.GMV"</v>
          </cell>
          <cell r="C1706" t="str">
            <v>//shrzboost01/TRUMPF.NET/DATA_PDM2/Stöbich/Aufträge.GEO</v>
          </cell>
        </row>
        <row r="1707">
          <cell r="A1707" t="str">
            <v>0338211</v>
          </cell>
          <cell r="B1707" t="str">
            <v>"//shrzboost01/TRUMPF.NET/DATA_PDM2/Stöbich/Varianten/0338211.GMV"</v>
          </cell>
          <cell r="C1707" t="str">
            <v>//shrzboost01/TRUMPF.NET/DATA_PDM2/Stöbich/Aufträge.GEO</v>
          </cell>
        </row>
        <row r="1708">
          <cell r="A1708" t="str">
            <v>0338212</v>
          </cell>
          <cell r="B1708" t="str">
            <v>"//shrzboost01/TRUMPF.NET/DATA_PDM2/Stöbich/Varianten/0338212.GMV"</v>
          </cell>
          <cell r="C1708" t="str">
            <v>//shrzboost01/TRUMPF.NET/DATA_PDM2/Stöbich/Aufträge.GEO</v>
          </cell>
        </row>
        <row r="1709">
          <cell r="A1709" t="str">
            <v>0338214</v>
          </cell>
          <cell r="B1709" t="str">
            <v>"//shrzboost01/TRUMPF.NET/DATA_PDM2/Stöbich/Varianten/0338214.GMV"</v>
          </cell>
          <cell r="C1709" t="str">
            <v>//shrzboost01/TRUMPF.NET/DATA_PDM2/Stöbich/Aufträge.GEO</v>
          </cell>
        </row>
        <row r="1710">
          <cell r="A1710" t="str">
            <v>0338215</v>
          </cell>
          <cell r="B1710" t="str">
            <v>"//shrzboost01/TRUMPF.NET/DATA_PDM2/Stöbich/Varianten/0338215.GMV"</v>
          </cell>
          <cell r="C1710" t="str">
            <v>//shrzboost01/TRUMPF.NET/DATA_PDM2/Stöbich/Aufträge.GEO</v>
          </cell>
        </row>
        <row r="1711">
          <cell r="A1711" t="str">
            <v>0338236</v>
          </cell>
          <cell r="B1711" t="str">
            <v>"//shrzboost01/TRUMPF.NET/DATA_PDM2/Stöbich/Varianten/0338236.GMV"</v>
          </cell>
          <cell r="C1711" t="str">
            <v>//shrzboost01/TRUMPF.NET/DATA_PDM2/Stöbich/Aufträge.GEO</v>
          </cell>
        </row>
        <row r="1712">
          <cell r="A1712" t="str">
            <v>0338304</v>
          </cell>
          <cell r="B1712" t="str">
            <v>"//shrzboost01/TRUMPF.NET/DATA_PDM2/Stöbich/Varianten/0338304.GMV"</v>
          </cell>
          <cell r="C1712" t="str">
            <v>//shrzboost01/TRUMPF.NET/DATA_PDM2/Stöbich/Aufträge.GEO</v>
          </cell>
        </row>
        <row r="1713">
          <cell r="A1713" t="str">
            <v>0338305</v>
          </cell>
          <cell r="B1713" t="str">
            <v>"//shrzboost01/TRUMPF.NET/DATA_PDM2/Stöbich/Varianten/0338305.GMV"</v>
          </cell>
          <cell r="C1713" t="str">
            <v>//shrzboost01/TRUMPF.NET/DATA_PDM2/Stöbich/Aufträge.GEO</v>
          </cell>
        </row>
        <row r="1714">
          <cell r="A1714" t="str">
            <v>0338314</v>
          </cell>
          <cell r="B1714" t="str">
            <v>"//shrzboost01/TRUMPF.NET/DATA_PDM2/Stöbich/Varianten/0338314.GMV"</v>
          </cell>
          <cell r="C1714" t="str">
            <v>//shrzboost01/TRUMPF.NET/DATA_PDM2/Stöbich/Aufträge.GEO</v>
          </cell>
        </row>
        <row r="1715">
          <cell r="A1715" t="str">
            <v>0338315</v>
          </cell>
          <cell r="B1715" t="str">
            <v>"//shrzboost01/TRUMPF.NET/DATA_PDM2/Stöbich/Varianten/0338315.GMV"</v>
          </cell>
          <cell r="C1715" t="str">
            <v>//shrzboost01/TRUMPF.NET/DATA_PDM2/Stöbich/Aufträge.GEO</v>
          </cell>
        </row>
        <row r="1716">
          <cell r="A1716" t="str">
            <v>0338316</v>
          </cell>
          <cell r="B1716" t="str">
            <v>"//shrzboost01/TRUMPF.NET/DATA_PDM2/Stöbich/Varianten/0338316.GMV"</v>
          </cell>
          <cell r="C1716" t="str">
            <v>//shrzboost01/TRUMPF.NET/DATA_PDM2/Stöbich/Aufträge.GEO</v>
          </cell>
        </row>
        <row r="1717">
          <cell r="A1717" t="str">
            <v>0338317</v>
          </cell>
          <cell r="B1717" t="str">
            <v>"//shrzboost01/TRUMPF.NET/DATA_PDM2/Stöbich/Varianten/0338317.GMV"</v>
          </cell>
          <cell r="C1717" t="str">
            <v>//shrzboost01/TRUMPF.NET/DATA_PDM2/Stöbich/Aufträge.GEO</v>
          </cell>
        </row>
        <row r="1718">
          <cell r="A1718" t="str">
            <v>0338318</v>
          </cell>
          <cell r="B1718" t="str">
            <v>"//shrzboost01/TRUMPF.NET/DATA_PDM2/Stöbich/Varianten/0338318.GMV"</v>
          </cell>
          <cell r="C1718" t="str">
            <v>//shrzboost01/TRUMPF.NET/DATA_PDM2/Stöbich/Aufträge.GEO</v>
          </cell>
        </row>
        <row r="1719">
          <cell r="A1719" t="str">
            <v>0338321</v>
          </cell>
          <cell r="B1719" t="str">
            <v>"//shrzboost01/TRUMPF.NET/DATA_PDM2/Stöbich/Varianten/0338321.GMV"</v>
          </cell>
          <cell r="C1719" t="str">
            <v>//shrzboost01/TRUMPF.NET/DATA_PDM2/Stöbich/Aufträge.GEO</v>
          </cell>
        </row>
        <row r="1720">
          <cell r="A1720" t="str">
            <v>0338322</v>
          </cell>
          <cell r="B1720" t="str">
            <v>"//shrzboost01/TRUMPF.NET/DATA_PDM2/Stöbich/Varianten/0338322.GMV"</v>
          </cell>
          <cell r="C1720" t="str">
            <v>//shrzboost01/TRUMPF.NET/DATA_PDM2/Stöbich/Aufträge.GEO</v>
          </cell>
        </row>
        <row r="1721">
          <cell r="A1721" t="str">
            <v>0338324</v>
          </cell>
          <cell r="B1721" t="str">
            <v>"//shrzboost01/TRUMPF.NET/DATA_PDM2/Stöbich/Varianten/0338324.GMV"</v>
          </cell>
          <cell r="C1721" t="str">
            <v>//shrzboost01/TRUMPF.NET/DATA_PDM2/Stöbich/Aufträge.GEO</v>
          </cell>
        </row>
        <row r="1722">
          <cell r="A1722" t="str">
            <v>0338325</v>
          </cell>
          <cell r="B1722" t="str">
            <v>"//shrzboost01/TRUMPF.NET/DATA_PDM2/Stöbich/Varianten/0338325.GMV"</v>
          </cell>
          <cell r="C1722" t="str">
            <v>//shrzboost01/TRUMPF.NET/DATA_PDM2/Stöbich/Aufträge.GEO</v>
          </cell>
        </row>
        <row r="1723">
          <cell r="A1723" t="str">
            <v>0338337</v>
          </cell>
          <cell r="B1723" t="str">
            <v>"//shrzboost01/TRUMPF.NET/DATA_PDM2/Stöbich/Varianten/0338337.GMV"</v>
          </cell>
          <cell r="C1723" t="str">
            <v>//shrzboost01/TRUMPF.NET/DATA_PDM2/Stöbich/Aufträge.GEO</v>
          </cell>
        </row>
        <row r="1724">
          <cell r="A1724" t="str">
            <v>0338338</v>
          </cell>
          <cell r="B1724" t="str">
            <v>"//shrzboost01/TRUMPF.NET/DATA_PDM2/Stöbich/Varianten/0338338.GMV"</v>
          </cell>
          <cell r="C1724" t="str">
            <v>//shrzboost01/TRUMPF.NET/DATA_PDM2/Stöbich/Aufträge.GEO</v>
          </cell>
        </row>
        <row r="1725">
          <cell r="A1725" t="str">
            <v>0338360</v>
          </cell>
          <cell r="B1725" t="str">
            <v>"//shrzboost01/TRUMPF.NET/DATA_PDM2/Stöbich/Varianten/0338360.GMV"</v>
          </cell>
          <cell r="C1725" t="str">
            <v>//shrzboost01/TRUMPF.NET/DATA_PDM2/Stöbich/Aufträge.GEO</v>
          </cell>
        </row>
        <row r="1726">
          <cell r="A1726" t="str">
            <v>0338361</v>
          </cell>
          <cell r="B1726" t="str">
            <v>"//shrzboost01/TRUMPF.NET/DATA_PDM2/Stöbich/Varianten/0338361.GMV"</v>
          </cell>
          <cell r="C1726" t="str">
            <v>//shrzboost01/TRUMPF.NET/DATA_PDM2/Stöbich/Aufträge.GEO</v>
          </cell>
        </row>
        <row r="1727">
          <cell r="A1727" t="str">
            <v>0338362</v>
          </cell>
          <cell r="B1727" t="str">
            <v>"//shrzboost01/TRUMPF.NET/DATA_PDM2/Stöbich/Varianten/0338362.GMV"</v>
          </cell>
          <cell r="C1727" t="str">
            <v>//shrzboost01/TRUMPF.NET/DATA_PDM2/Stöbich/Aufträge.GEO</v>
          </cell>
        </row>
        <row r="1728">
          <cell r="A1728" t="str">
            <v>0338363</v>
          </cell>
          <cell r="B1728" t="str">
            <v>"//shrzboost01/TRUMPF.NET/DATA_PDM2/Stöbich/Varianten/0338363.GMV"</v>
          </cell>
          <cell r="C1728" t="str">
            <v>//shrzboost01/TRUMPF.NET/DATA_PDM2/Stöbich/Aufträge.GEO</v>
          </cell>
        </row>
        <row r="1729">
          <cell r="A1729" t="str">
            <v>0338368</v>
          </cell>
          <cell r="B1729" t="str">
            <v>"//shrzboost01/TRUMPF.NET/DATA_PDM2/Stöbich/Varianten/0338368.GMV"</v>
          </cell>
          <cell r="C1729" t="str">
            <v>//shrzboost01/TRUMPF.NET/DATA_PDM2/Stöbich/Aufträge.GEO</v>
          </cell>
        </row>
        <row r="1730">
          <cell r="A1730" t="str">
            <v>0338372</v>
          </cell>
          <cell r="B1730" t="str">
            <v>"//shrzboost01/TRUMPF.NET/DATA_PDM2/Stöbich/Varianten/0338372.GMV"</v>
          </cell>
          <cell r="C1730" t="str">
            <v>//shrzboost01/TRUMPF.NET/DATA_PDM2/Stöbich/Aufträge.GEO</v>
          </cell>
        </row>
        <row r="1731">
          <cell r="A1731" t="str">
            <v>0338381</v>
          </cell>
          <cell r="B1731" t="str">
            <v>"//shrzboost01/TRUMPF.NET/DATA_PDM2/Stöbich/Varianten/0338381.GMV"</v>
          </cell>
          <cell r="C1731" t="str">
            <v>//shrzboost01/TRUMPF.NET/DATA_PDM2/Stöbich/Aufträge.GEO</v>
          </cell>
        </row>
        <row r="1732">
          <cell r="A1732" t="str">
            <v>0338383</v>
          </cell>
          <cell r="B1732" t="str">
            <v>"//shrzboost01/TRUMPF.NET/DATA_PDM2/Stöbich/Varianten/0338383.GMV"</v>
          </cell>
          <cell r="C1732" t="str">
            <v>//shrzboost01/TRUMPF.NET/DATA_PDM2/Stöbich/Aufträge.GEO</v>
          </cell>
        </row>
        <row r="1733">
          <cell r="A1733" t="str">
            <v>0338385</v>
          </cell>
          <cell r="B1733" t="str">
            <v>"//shrzboost01/TRUMPF.NET/DATA_PDM2/Stöbich/Varianten/0338385.GMV"</v>
          </cell>
          <cell r="C1733" t="str">
            <v>//shrzboost01/TRUMPF.NET/DATA_PDM2/Stöbich/Aufträge.GEO</v>
          </cell>
        </row>
        <row r="1734">
          <cell r="A1734" t="str">
            <v>0338386</v>
          </cell>
          <cell r="B1734" t="str">
            <v>"//shrzboost01/TRUMPF.NET/DATA_PDM2/Stöbich/Varianten/0338386.GMV"</v>
          </cell>
          <cell r="C1734" t="str">
            <v>//shrzboost01/TRUMPF.NET/DATA_PDM2/Stöbich/Aufträge.GEO</v>
          </cell>
        </row>
        <row r="1735">
          <cell r="A1735" t="str">
            <v>0338387</v>
          </cell>
          <cell r="B1735" t="str">
            <v>"//shrzboost01/TRUMPF.NET/DATA_PDM2/Stöbich/Varianten/0338387.GMV"</v>
          </cell>
          <cell r="C1735" t="str">
            <v>//shrzboost01/TRUMPF.NET/DATA_PDM2/Stöbich/Aufträge.GEO</v>
          </cell>
        </row>
        <row r="1736">
          <cell r="A1736" t="str">
            <v>0338388</v>
          </cell>
          <cell r="B1736" t="str">
            <v>"//shrzboost01/TRUMPF.NET/DATA_PDM2/Stöbich/Varianten/0338388.GMV"</v>
          </cell>
          <cell r="C1736" t="str">
            <v>//shrzboost01/TRUMPF.NET/DATA_PDM2/Stöbich/Aufträge.GEO</v>
          </cell>
        </row>
        <row r="1737">
          <cell r="A1737" t="str">
            <v>0338389</v>
          </cell>
          <cell r="B1737" t="str">
            <v>"//shrzboost01/TRUMPF.NET/DATA_PDM2/Stöbich/Varianten/0338389.GMV"</v>
          </cell>
          <cell r="C1737" t="str">
            <v>//shrzboost01/TRUMPF.NET/DATA_PDM2/Stöbich/Aufträge.GEO</v>
          </cell>
        </row>
        <row r="1738">
          <cell r="A1738" t="str">
            <v>0338390</v>
          </cell>
          <cell r="B1738" t="str">
            <v>"//shrzboost01/TRUMPF.NET/DATA_PDM2/Stöbich/Varianten/0338390.GMV"</v>
          </cell>
          <cell r="C1738" t="str">
            <v>//shrzboost01/TRUMPF.NET/DATA_PDM2/Stöbich/Aufträge.GEO</v>
          </cell>
        </row>
        <row r="1739">
          <cell r="A1739"/>
          <cell r="B1739" t="str">
            <v>"//shrzboost01/TRUMPF.NET/DATA_PDM2/Stöbich/Varianten/.GMV"</v>
          </cell>
          <cell r="C1739" t="str">
            <v>//shrzboost01/TRUMPF.NET/DATA_PDM2/Stöbich/Aufträge.GEO</v>
          </cell>
        </row>
        <row r="1740">
          <cell r="A1740"/>
          <cell r="B1740" t="str">
            <v>"//shrzboost01/TRUMPF.NET/DATA_PDM2/Stöbich/Varianten/.GMV"</v>
          </cell>
          <cell r="C1740" t="str">
            <v>//shrzboost01/TRUMPF.NET/DATA_PDM2/Stöbich/Aufträge.GEO</v>
          </cell>
        </row>
        <row r="1741">
          <cell r="A1741"/>
          <cell r="B1741" t="str">
            <v>"//shrzboost01/TRUMPF.NET/DATA_PDM2/Stöbich/Varianten/.GMV"</v>
          </cell>
          <cell r="C1741" t="str">
            <v>//shrzboost01/TRUMPF.NET/DATA_PDM2/Stöbich/Aufträge.GEO</v>
          </cell>
        </row>
        <row r="1742">
          <cell r="A1742" t="str">
            <v>0305720</v>
          </cell>
          <cell r="B1742" t="str">
            <v>"//shrzboost01/TRUMPF.NET/DATA_PDM2/Stöbich/Varianten/0305720.GMV"</v>
          </cell>
          <cell r="C1742" t="str">
            <v>//shrzboost01/TRUMPF.NET/DATA_PDM2/Stöbich/Aufträge.GEO</v>
          </cell>
        </row>
        <row r="1743">
          <cell r="A1743" t="str">
            <v>0306026</v>
          </cell>
          <cell r="B1743" t="str">
            <v>"//shrzboost01/TRUMPF.NET/DATA_PDM2/Stöbich/Varianten/0306026.GMV"</v>
          </cell>
          <cell r="C1743" t="str">
            <v>//shrzboost01/TRUMPF.NET/DATA_PDM2/Stöbich/Aufträge.GEO</v>
          </cell>
        </row>
        <row r="1744">
          <cell r="A1744" t="str">
            <v>0306027</v>
          </cell>
          <cell r="B1744" t="str">
            <v>"//shrzboost01/TRUMPF.NET/DATA_PDM2/Stöbich/Varianten/0306027.GMV"</v>
          </cell>
          <cell r="C1744" t="str">
            <v>//shrzboost01/TRUMPF.NET/DATA_PDM2/Stöbich/Aufträge.GEO</v>
          </cell>
        </row>
        <row r="1745">
          <cell r="A1745" t="str">
            <v>0306028</v>
          </cell>
          <cell r="B1745" t="str">
            <v>"//shrzboost01/TRUMPF.NET/DATA_PDM2/Stöbich/Varianten/0306028.GMV"</v>
          </cell>
          <cell r="C1745" t="str">
            <v>//shrzboost01/TRUMPF.NET/DATA_PDM2/Stöbich/Aufträge.GEO</v>
          </cell>
        </row>
        <row r="1746">
          <cell r="A1746" t="str">
            <v>0306029</v>
          </cell>
          <cell r="B1746" t="str">
            <v>"//shrzboost01/TRUMPF.NET/DATA_PDM2/Stöbich/Varianten/0306029.GMV"</v>
          </cell>
          <cell r="C1746" t="str">
            <v>//shrzboost01/TRUMPF.NET/DATA_PDM2/Stöbich/Aufträge.GEO</v>
          </cell>
        </row>
        <row r="1747">
          <cell r="A1747" t="str">
            <v>0306094</v>
          </cell>
          <cell r="B1747" t="str">
            <v>"//shrzboost01/TRUMPF.NET/DATA_PDM2/Stöbich/Varianten/0306094.GMV"</v>
          </cell>
          <cell r="C1747" t="str">
            <v>//shrzboost01/TRUMPF.NET/DATA_PDM2/Stöbich/Aufträge.GEO</v>
          </cell>
        </row>
        <row r="1748">
          <cell r="A1748" t="str">
            <v>0306128</v>
          </cell>
          <cell r="B1748" t="str">
            <v>"//shrzboost01/TRUMPF.NET/DATA_PDM2/Stöbich/Varianten/0306128.GMV"</v>
          </cell>
          <cell r="C1748" t="str">
            <v>//shrzboost01/TRUMPF.NET/DATA_PDM2/Stöbich/Aufträge.GEO</v>
          </cell>
        </row>
        <row r="1749">
          <cell r="A1749" t="str">
            <v>0306308</v>
          </cell>
          <cell r="B1749" t="str">
            <v>"//shrzboost01/TRUMPF.NET/DATA_PDM2/Stöbich/Varianten/0306308.GMV"</v>
          </cell>
          <cell r="C1749" t="str">
            <v>//shrzboost01/TRUMPF.NET/DATA_PDM2/Stöbich/Aufträge.GEO</v>
          </cell>
        </row>
        <row r="1750">
          <cell r="A1750" t="str">
            <v>0306309</v>
          </cell>
          <cell r="B1750" t="str">
            <v>"//shrzboost01/TRUMPF.NET/DATA_PDM2/Stöbich/Varianten/0306309.GMV"</v>
          </cell>
          <cell r="C1750" t="str">
            <v>//shrzboost01/TRUMPF.NET/DATA_PDM2/Stöbich/Aufträge.GEO</v>
          </cell>
        </row>
        <row r="1751">
          <cell r="A1751" t="str">
            <v>0306310</v>
          </cell>
          <cell r="B1751" t="str">
            <v>"//shrzboost01/TRUMPF.NET/DATA_PDM2/Stöbich/Varianten/0306310.GMV"</v>
          </cell>
          <cell r="C1751" t="str">
            <v>//shrzboost01/TRUMPF.NET/DATA_PDM2/Stöbich/Aufträge.GEO</v>
          </cell>
        </row>
        <row r="1752">
          <cell r="A1752" t="str">
            <v>0306311</v>
          </cell>
          <cell r="B1752" t="str">
            <v>"//shrzboost01/TRUMPF.NET/DATA_PDM2/Stöbich/Varianten/0306311.GMV"</v>
          </cell>
          <cell r="C1752" t="str">
            <v>//shrzboost01/TRUMPF.NET/DATA_PDM2/Stöbich/Aufträge.GEO</v>
          </cell>
        </row>
        <row r="1753">
          <cell r="A1753" t="str">
            <v>0306312</v>
          </cell>
          <cell r="B1753" t="str">
            <v>"//shrzboost01/TRUMPF.NET/DATA_PDM2/Stöbich/Varianten/0306312.GMV"</v>
          </cell>
          <cell r="C1753" t="str">
            <v>//shrzboost01/TRUMPF.NET/DATA_PDM2/Stöbich/Aufträge.GEO</v>
          </cell>
        </row>
        <row r="1754">
          <cell r="A1754" t="str">
            <v>0306313</v>
          </cell>
          <cell r="B1754" t="str">
            <v>"//shrzboost01/TRUMPF.NET/DATA_PDM2/Stöbich/Varianten/0306313.GMV"</v>
          </cell>
          <cell r="C1754" t="str">
            <v>//shrzboost01/TRUMPF.NET/DATA_PDM2/Stöbich/Aufträge.GEO</v>
          </cell>
        </row>
        <row r="1755">
          <cell r="A1755" t="str">
            <v>0306355</v>
          </cell>
          <cell r="B1755" t="str">
            <v>"//shrzboost01/TRUMPF.NET/DATA_PDM2/Stöbich/Varianten/0306355.GMV"</v>
          </cell>
          <cell r="C1755" t="str">
            <v>//shrzboost01/TRUMPF.NET/DATA_PDM2/Stöbich/Aufträge.GEO</v>
          </cell>
        </row>
        <row r="1756">
          <cell r="A1756" t="str">
            <v>0306361</v>
          </cell>
          <cell r="B1756" t="str">
            <v>"//shrzboost01/TRUMPF.NET/DATA_PDM2/Stöbich/Varianten/0306361.GMV"</v>
          </cell>
          <cell r="C1756" t="str">
            <v>//shrzboost01/TRUMPF.NET/DATA_PDM2/Stöbich/Aufträge.GEO</v>
          </cell>
        </row>
        <row r="1757">
          <cell r="A1757" t="str">
            <v>0306364</v>
          </cell>
          <cell r="B1757" t="str">
            <v>"//shrzboost01/TRUMPF.NET/DATA_PDM2/Stöbich/Varianten/0306364.GMV"</v>
          </cell>
          <cell r="C1757" t="str">
            <v>//shrzboost01/TRUMPF.NET/DATA_PDM2/Stöbich/Aufträge.GEO</v>
          </cell>
        </row>
        <row r="1758">
          <cell r="A1758" t="str">
            <v>0306365</v>
          </cell>
          <cell r="B1758" t="str">
            <v>"//shrzboost01/TRUMPF.NET/DATA_PDM2/Stöbich/Varianten/0306365.GMV"</v>
          </cell>
          <cell r="C1758" t="str">
            <v>//shrzboost01/TRUMPF.NET/DATA_PDM2/Stöbich/Aufträge.GEO</v>
          </cell>
        </row>
        <row r="1759">
          <cell r="A1759" t="str">
            <v>0306367</v>
          </cell>
          <cell r="B1759" t="str">
            <v>"//shrzboost01/TRUMPF.NET/DATA_PDM2/Stöbich/Varianten/0306367.GMV"</v>
          </cell>
          <cell r="C1759" t="str">
            <v>//shrzboost01/TRUMPF.NET/DATA_PDM2/Stöbich/Aufträge.GEO</v>
          </cell>
        </row>
        <row r="1760">
          <cell r="A1760" t="str">
            <v>0306368</v>
          </cell>
          <cell r="B1760" t="str">
            <v>"//shrzboost01/TRUMPF.NET/DATA_PDM2/Stöbich/Varianten/0306368.GMV"</v>
          </cell>
          <cell r="C1760" t="str">
            <v>//shrzboost01/TRUMPF.NET/DATA_PDM2/Stöbich/Aufträge.GEO</v>
          </cell>
        </row>
        <row r="1761">
          <cell r="A1761" t="str">
            <v>0306369</v>
          </cell>
          <cell r="B1761" t="str">
            <v>"//shrzboost01/TRUMPF.NET/DATA_PDM2/Stöbich/Varianten/0306369.GMV"</v>
          </cell>
          <cell r="C1761" t="str">
            <v>//shrzboost01/TRUMPF.NET/DATA_PDM2/Stöbich/Aufträge.GEO</v>
          </cell>
        </row>
        <row r="1762">
          <cell r="A1762"/>
          <cell r="B1762"/>
          <cell r="C1762"/>
        </row>
        <row r="1763">
          <cell r="A1763" t="str">
            <v>0306402</v>
          </cell>
          <cell r="B1763" t="str">
            <v>"//shrzboost01/TRUMPF.NET/DATA_PDM2/Stöbich/Varianten/0306402.GMV"</v>
          </cell>
          <cell r="C1763" t="str">
            <v>//shrzboost01/TRUMPF.NET/DATA_PDM2/Stöbich/Aufträge.GEO</v>
          </cell>
        </row>
        <row r="1764">
          <cell r="A1764"/>
          <cell r="B1764"/>
          <cell r="C1764"/>
        </row>
        <row r="1765">
          <cell r="A1765" t="str">
            <v>0306414</v>
          </cell>
          <cell r="B1765" t="str">
            <v>"//shrzboost01/TRUMPF.NET/DATA_PDM2/Stöbich/Varianten/0306414.GMV"</v>
          </cell>
          <cell r="C1765" t="str">
            <v>//shrzboost01/TRUMPF.NET/DATA_PDM2/Stöbich/Aufträge.GEO</v>
          </cell>
        </row>
        <row r="1766">
          <cell r="A1766" t="str">
            <v>0306418</v>
          </cell>
          <cell r="B1766" t="str">
            <v>"//shrzboost01/TRUMPF.NET/DATA_PDM2/Stöbich/Varianten/0306418.GMV"</v>
          </cell>
          <cell r="C1766" t="str">
            <v>//shrzboost01/TRUMPF.NET/DATA_PDM2/Stöbich/Aufträge.GEO</v>
          </cell>
        </row>
        <row r="1767">
          <cell r="A1767" t="str">
            <v>0306424</v>
          </cell>
          <cell r="B1767" t="str">
            <v>"//shrzboost01/TRUMPF.NET/DATA_PDM2/Stöbich/Varianten/0306424.GMV"</v>
          </cell>
          <cell r="C1767" t="str">
            <v>//shrzboost01/TRUMPF.NET/DATA_PDM2/Stöbich/Aufträge.GEO</v>
          </cell>
        </row>
        <row r="1768">
          <cell r="A1768" t="str">
            <v>0306427</v>
          </cell>
          <cell r="B1768" t="str">
            <v>"//shrzboost01/TRUMPF.NET/DATA_PDM2/Stöbich/Varianten/0306427.GMV"</v>
          </cell>
          <cell r="C1768" t="str">
            <v>//shrzboost01/TRUMPF.NET/DATA_PDM2/Stöbich/Aufträge.GEO</v>
          </cell>
        </row>
        <row r="1769">
          <cell r="A1769" t="str">
            <v>0306428</v>
          </cell>
          <cell r="B1769" t="str">
            <v>"//shrzboost01/TRUMPF.NET/DATA_PDM2/Stöbich/Varianten/0306428.GMV"</v>
          </cell>
          <cell r="C1769" t="str">
            <v>//shrzboost01/TRUMPF.NET/DATA_PDM2/Stöbich/Aufträge.GEO</v>
          </cell>
        </row>
        <row r="1770">
          <cell r="A1770" t="str">
            <v>0306429</v>
          </cell>
          <cell r="B1770" t="str">
            <v>"//shrzboost01/TRUMPF.NET/DATA_PDM2/Stöbich/Varianten/0306429.GMV"</v>
          </cell>
          <cell r="C1770" t="str">
            <v>//shrzboost01/TRUMPF.NET/DATA_PDM2/Stöbich/Aufträge.GEO</v>
          </cell>
        </row>
        <row r="1771">
          <cell r="A1771" t="str">
            <v>0306431</v>
          </cell>
          <cell r="B1771" t="str">
            <v>"//shrzboost01/TRUMPF.NET/DATA_PDM2/Stöbich/Varianten/0306431.GMV"</v>
          </cell>
          <cell r="C1771" t="str">
            <v>//shrzboost01/TRUMPF.NET/DATA_PDM2/Stöbich/Aufträge.GEO</v>
          </cell>
        </row>
        <row r="1772">
          <cell r="A1772" t="str">
            <v>0306432</v>
          </cell>
          <cell r="B1772" t="str">
            <v>"//shrzboost01/TRUMPF.NET/DATA_PDM2/Stöbich/Varianten/0306432.GMV"</v>
          </cell>
          <cell r="C1772" t="str">
            <v>//shrzboost01/TRUMPF.NET/DATA_PDM2/Stöbich/Aufträge.GEO</v>
          </cell>
        </row>
        <row r="1773">
          <cell r="A1773" t="str">
            <v>0306433</v>
          </cell>
          <cell r="B1773" t="str">
            <v>"//shrzboost01/TRUMPF.NET/DATA_PDM2/Stöbich/Varianten/0306433.GMV"</v>
          </cell>
          <cell r="C1773" t="str">
            <v>//shrzboost01/TRUMPF.NET/DATA_PDM2/Stöbich/Aufträge.GEO</v>
          </cell>
        </row>
        <row r="1774">
          <cell r="A1774" t="str">
            <v>0306435</v>
          </cell>
          <cell r="B1774" t="str">
            <v>"//shrzboost01/TRUMPF.NET/DATA_PDM2/Stöbich/Varianten/0306435.GMV"</v>
          </cell>
          <cell r="C1774" t="str">
            <v>//shrzboost01/TRUMPF.NET/DATA_PDM2/Stöbich/Aufträge.GEO</v>
          </cell>
        </row>
        <row r="1775">
          <cell r="A1775" t="str">
            <v>0306438</v>
          </cell>
          <cell r="B1775" t="str">
            <v>"//shrzboost01/TRUMPF.NET/DATA_PDM2/Stöbich/Varianten/0306438.GMV"</v>
          </cell>
          <cell r="C1775" t="str">
            <v>//shrzboost01/TRUMPF.NET/DATA_PDM2/Stöbich/Aufträge.GEO</v>
          </cell>
        </row>
        <row r="1776">
          <cell r="A1776" t="str">
            <v>0306443</v>
          </cell>
          <cell r="B1776" t="str">
            <v>"//shrzboost01/TRUMPF.NET/DATA_PDM2/Stöbich/Varianten/0306443.GMV"</v>
          </cell>
          <cell r="C1776" t="str">
            <v>//shrzboost01/TRUMPF.NET/DATA_PDM2/Stöbich/Aufträge.GEO</v>
          </cell>
        </row>
        <row r="1777">
          <cell r="A1777" t="str">
            <v>0306444</v>
          </cell>
          <cell r="B1777" t="str">
            <v>"//shrzboost01/TRUMPF.NET/DATA_PDM2/Stöbich/Varianten/0306444.GMV"</v>
          </cell>
          <cell r="C1777" t="str">
            <v>//shrzboost01/TRUMPF.NET/DATA_PDM2/Stöbich/Aufträge.GEO</v>
          </cell>
        </row>
        <row r="1778">
          <cell r="A1778" t="str">
            <v>0306445</v>
          </cell>
          <cell r="B1778" t="str">
            <v>"//shrzboost01/TRUMPF.NET/DATA_PDM2/Stöbich/Varianten/0306445.GMV"</v>
          </cell>
          <cell r="C1778" t="str">
            <v>//shrzboost01/TRUMPF.NET/DATA_PDM2/Stöbich/Aufträge.GEO</v>
          </cell>
        </row>
        <row r="1779">
          <cell r="A1779" t="str">
            <v>0306459</v>
          </cell>
          <cell r="B1779" t="str">
            <v>"//shrzboost01/TRUMPF.NET/DATA_PDM2/Stöbich/Varianten/0306459.GMV"</v>
          </cell>
          <cell r="C1779" t="str">
            <v>//shrzboost01/TRUMPF.NET/DATA_PDM2/Stöbich/Aufträge.GEO</v>
          </cell>
        </row>
        <row r="1780">
          <cell r="A1780" t="str">
            <v>0306460</v>
          </cell>
          <cell r="B1780" t="str">
            <v>"//shrzboost01/TRUMPF.NET/DATA_PDM2/Stöbich/Varianten/0306460.GMV"</v>
          </cell>
          <cell r="C1780" t="str">
            <v>//shrzboost01/TRUMPF.NET/DATA_PDM2/Stöbich/Aufträge.GEO</v>
          </cell>
        </row>
        <row r="1781">
          <cell r="A1781" t="str">
            <v>0306461</v>
          </cell>
          <cell r="B1781" t="str">
            <v>"//shrzboost01/TRUMPF.NET/DATA_PDM2/Stöbich/Varianten/0306461.GMV"</v>
          </cell>
          <cell r="C1781" t="str">
            <v>//shrzboost01/TRUMPF.NET/DATA_PDM2/Stöbich/Aufträge.GEO</v>
          </cell>
        </row>
        <row r="1782">
          <cell r="A1782" t="str">
            <v>0306462</v>
          </cell>
          <cell r="B1782" t="str">
            <v>"//shrzboost01/TRUMPF.NET/DATA_PDM2/Stöbich/Varianten/0306462.GMV"</v>
          </cell>
          <cell r="C1782" t="str">
            <v>//shrzboost01/TRUMPF.NET/DATA_PDM2/Stöbich/Aufträge.GEO</v>
          </cell>
        </row>
        <row r="1783">
          <cell r="A1783" t="str">
            <v>0306466</v>
          </cell>
          <cell r="B1783" t="str">
            <v>"//shrzboost01/TRUMPF.NET/DATA_PDM2/Stöbich/Varianten/0306466.GMV"</v>
          </cell>
          <cell r="C1783" t="str">
            <v>//shrzboost01/TRUMPF.NET/DATA_PDM2/Stöbich/Aufträge.GEO</v>
          </cell>
        </row>
        <row r="1784">
          <cell r="A1784" t="str">
            <v>0306472</v>
          </cell>
          <cell r="B1784" t="str">
            <v>"//shrzboost01/TRUMPF.NET/DATA_PDM2/Stöbich/Varianten/0306472.GMV"</v>
          </cell>
          <cell r="C1784" t="str">
            <v>//shrzboost01/TRUMPF.NET/DATA_PDM2/Stöbich/Aufträge.GEO</v>
          </cell>
        </row>
        <row r="1785">
          <cell r="A1785" t="str">
            <v>0306497</v>
          </cell>
          <cell r="B1785" t="str">
            <v>"//shrzboost01/TRUMPF.NET/DATA_PDM2/Stöbich/Varianten/0306497.GMV"</v>
          </cell>
          <cell r="C1785" t="str">
            <v>//shrzboost01/TRUMPF.NET/DATA_PDM2/Stöbich/Aufträge.GEO</v>
          </cell>
        </row>
        <row r="1786">
          <cell r="A1786" t="str">
            <v>0306539</v>
          </cell>
          <cell r="B1786" t="str">
            <v>"//shrzboost01/TRUMPF.NET/DATA_PDM2/Stöbich/Varianten/0306539.GMV"</v>
          </cell>
          <cell r="C1786" t="str">
            <v>//shrzboost01/TRUMPF.NET/DATA_PDM2/Stöbich/Aufträge.GEO</v>
          </cell>
        </row>
        <row r="1787">
          <cell r="A1787" t="str">
            <v>0306603</v>
          </cell>
          <cell r="B1787" t="str">
            <v>"//shrzboost01/TRUMPF.NET/DATA_PDM2/Stöbich/Varianten/0306603.GMV"</v>
          </cell>
          <cell r="C1787" t="str">
            <v>//shrzboost01/TRUMPF.NET/DATA_PDM2/Stöbich/Aufträge.GEO</v>
          </cell>
        </row>
        <row r="1788">
          <cell r="A1788" t="str">
            <v>0306793</v>
          </cell>
          <cell r="B1788" t="str">
            <v>"//shrzboost01/TRUMPF.NET/DATA_PDM2/Stöbich/Varianten/0306793.GMV"</v>
          </cell>
          <cell r="C1788" t="str">
            <v>//shrzboost01/TRUMPF.NET/DATA_PDM2/Stöbich/Aufträge.GEO</v>
          </cell>
        </row>
        <row r="1789">
          <cell r="A1789" t="str">
            <v>0306828</v>
          </cell>
          <cell r="B1789" t="str">
            <v>"//shrzboost01/TRUMPF.NET/DATA_PDM2/Stöbich/Varianten/0306828.GMV"</v>
          </cell>
          <cell r="C1789" t="str">
            <v>//shrzboost01/TRUMPF.NET/DATA_PDM2/Stöbich/Aufträge.GEO</v>
          </cell>
        </row>
        <row r="1790">
          <cell r="A1790" t="str">
            <v>0306829</v>
          </cell>
          <cell r="B1790" t="str">
            <v>"//shrzboost01/TRUMPF.NET/DATA_PDM2/Stöbich/Varianten/0306829.GMV"</v>
          </cell>
          <cell r="C1790" t="str">
            <v>//shrzboost01/TRUMPF.NET/DATA_PDM2/Stöbich/Aufträge.GEO</v>
          </cell>
        </row>
        <row r="1791">
          <cell r="A1791" t="str">
            <v>0306884</v>
          </cell>
          <cell r="B1791" t="str">
            <v>"//shrzboost01/TRUMPF.NET/DATA_PDM2/Stöbich/Varianten/0306884.GMV"</v>
          </cell>
          <cell r="C1791" t="str">
            <v>//shrzboost01/TRUMPF.NET/DATA_PDM2/Stöbich/Aufträge.GEO</v>
          </cell>
        </row>
        <row r="1792">
          <cell r="A1792"/>
          <cell r="B1792" t="str">
            <v>"//shrzboost01/TRUMPF.NET/DATA_PDM2/Stöbich/Varianten/.GMV"</v>
          </cell>
          <cell r="C1792" t="str">
            <v>//shrzboost01/TRUMPF.NET/DATA_PDM2/Stöbich/Aufträge.GEO</v>
          </cell>
        </row>
        <row r="1793">
          <cell r="A1793" t="str">
            <v>0308157</v>
          </cell>
          <cell r="B1793" t="str">
            <v>"//shrzboost01/TRUMPF.NET/DATA_PDM2/Stöbich/Varianten/0308157.GMV"</v>
          </cell>
          <cell r="C1793" t="str">
            <v>//shrzboost01/TRUMPF.NET/DATA_PDM2/Stöbich/Aufträge.GEO</v>
          </cell>
        </row>
        <row r="1794">
          <cell r="A1794"/>
          <cell r="B1794"/>
          <cell r="C1794"/>
        </row>
        <row r="1795">
          <cell r="A1795"/>
          <cell r="B1795"/>
          <cell r="C1795"/>
        </row>
        <row r="1796">
          <cell r="A1796" t="str">
            <v>0338508</v>
          </cell>
          <cell r="B1796" t="str">
            <v>"//shrzboost01/TRUMPF.NET/DATA_PDM2/Stöbich/Varianten/0338508.GMV"</v>
          </cell>
          <cell r="C1796" t="str">
            <v>//shrzboost01/TRUMPF.NET/DATA_PDM2/Stöbich/Aufträge.GEO</v>
          </cell>
        </row>
        <row r="1797">
          <cell r="A1797" t="str">
            <v>0308508</v>
          </cell>
          <cell r="B1797" t="str">
            <v>"//shrzboost01/TRUMPF.NET/DATA_PDM2/Stöbich/Varianten/0308508.GMV"</v>
          </cell>
          <cell r="C1797" t="str">
            <v>//shrzboost01/TRUMPF.NET/DATA_PDM2/Stöbich/Aufträge.GEO</v>
          </cell>
        </row>
        <row r="1798">
          <cell r="A1798" t="str">
            <v>0308507</v>
          </cell>
          <cell r="B1798" t="str">
            <v>"//shrzboost01/TRUMPF.NET/DATA_PDM2/Stöbich/Varianten/0308507.GMV"</v>
          </cell>
          <cell r="C1798" t="str">
            <v>//shrzboost01/TRUMPF.NET/DATA_PDM2/Stöbich/Aufträge.GEO</v>
          </cell>
        </row>
        <row r="1799">
          <cell r="A1799" t="str">
            <v>0338507</v>
          </cell>
          <cell r="B1799" t="str">
            <v>"//shrzboost01/TRUMPF.NET/DATA_PDM2/Stöbich/Varianten/0338507.GMV"</v>
          </cell>
          <cell r="C1799" t="str">
            <v>//shrzboost01/TRUMPF.NET/DATA_PDM2/Stöbich/Aufträge.GEO</v>
          </cell>
        </row>
        <row r="1800">
          <cell r="A1800" t="str">
            <v>0308506</v>
          </cell>
          <cell r="B1800" t="str">
            <v>"//shrzboost01/TRUMPF.NET/DATA_PDM2/Stöbich/Varianten/0308506.GMV"</v>
          </cell>
          <cell r="C1800" t="str">
            <v>//shrzboost01/TRUMPF.NET/DATA_PDM2/Stöbich/Aufträge.GEO</v>
          </cell>
        </row>
        <row r="1801">
          <cell r="A1801" t="str">
            <v>0338506</v>
          </cell>
          <cell r="B1801" t="str">
            <v>"//shrzboost01/TRUMPF.NET/DATA_PDM2/Stöbich/Varianten/0338506.GMV"</v>
          </cell>
          <cell r="C1801" t="str">
            <v>//shrzboost01/TRUMPF.NET/DATA_PDM2/Stöbich/Aufträge.GEO</v>
          </cell>
        </row>
        <row r="1802">
          <cell r="A1802"/>
          <cell r="B1802" t="str">
            <v>"//shrzboost01/TRUMPF.NET/DATA_PDM2/Stöbich/Varianten/.GMV"</v>
          </cell>
          <cell r="C1802" t="str">
            <v>//shrzboost01/TRUMPF.NET/DATA_PDM2/Stöbich/Aufträge.GEO</v>
          </cell>
        </row>
        <row r="1803">
          <cell r="A1803" t="str">
            <v>0338115</v>
          </cell>
          <cell r="B1803" t="str">
            <v>"//shrzboost01/TRUMPF.NET/DATA_PDM2/Stöbich/Varianten/0338115.GMV"</v>
          </cell>
          <cell r="C1803" t="str">
            <v>//shrzboost01/TRUMPF.NET/DATA_PDM2/Stöbich/Aufträge.GEO</v>
          </cell>
        </row>
        <row r="1804">
          <cell r="A1804" t="str">
            <v>0338116</v>
          </cell>
          <cell r="B1804" t="str">
            <v>"//shrzboost01/TRUMPF.NET/DATA_PDM2/Stöbich/Varianten/0338116.GMV"</v>
          </cell>
          <cell r="C1804" t="str">
            <v>//shrzboost01/TRUMPF.NET/DATA_PDM2/Stöbich/Aufträge.GEO</v>
          </cell>
        </row>
        <row r="1805">
          <cell r="A1805" t="str">
            <v>0338112</v>
          </cell>
          <cell r="B1805" t="str">
            <v>"//shrzboost01/TRUMPF.NET/DATA_PDM2/Stöbich/Varianten/0338112.GMV"</v>
          </cell>
          <cell r="C1805" t="str">
            <v>//shrzboost01/TRUMPF.NET/DATA_PDM2/Stöbich/Aufträge.GEO</v>
          </cell>
        </row>
        <row r="1806">
          <cell r="A1806" t="str">
            <v>0338132</v>
          </cell>
          <cell r="B1806" t="str">
            <v>"//shrzboost01/TRUMPF.NET/DATA_PDM2/Stöbich/Varianten/0338132.GMV"</v>
          </cell>
          <cell r="C1806" t="str">
            <v>//shrzboost01/TRUMPF.NET/DATA_PDM2/Stöbich/Aufträge.GEO</v>
          </cell>
        </row>
        <row r="1807">
          <cell r="A1807" t="str">
            <v>0338136</v>
          </cell>
          <cell r="B1807" t="str">
            <v>"//shrzboost01/TRUMPF.NET/DATA_PDM2/Stöbich/Varianten/0338136.GMV"</v>
          </cell>
          <cell r="C1807" t="str">
            <v>//shrzboost01/TRUMPF.NET/DATA_PDM2/Stöbich/Aufträge.GEO</v>
          </cell>
        </row>
        <row r="1808">
          <cell r="A1808" t="str">
            <v>0338151</v>
          </cell>
          <cell r="B1808" t="str">
            <v>"//shrzboost01/TRUMPF.NET/DATA_PDM2/Stöbich/Varianten/0338151.GMV"</v>
          </cell>
          <cell r="C1808" t="str">
            <v>//shrzboost01/TRUMPF.NET/DATA_PDM2/Stöbich/Aufträge.GEO</v>
          </cell>
        </row>
        <row r="1809">
          <cell r="A1809" t="str">
            <v>0338044</v>
          </cell>
          <cell r="B1809" t="str">
            <v>"//shrzboost01/TRUMPF.NET/DATA_PDM2/Stöbich/Varianten/0338044.GMV"</v>
          </cell>
          <cell r="C1809" t="str">
            <v>//shrzboost01/TRUMPF.NET/DATA_PDM2/Stöbich/Aufträge.GEO</v>
          </cell>
        </row>
        <row r="1810">
          <cell r="A1810" t="str">
            <v>0338045</v>
          </cell>
          <cell r="B1810" t="str">
            <v>"//shrzboost01/TRUMPF.NET/DATA_PDM2/Stöbich/Varianten/0338045.GMV"</v>
          </cell>
          <cell r="C1810" t="str">
            <v>//shrzboost01/TRUMPF.NET/DATA_PDM2/Stöbich/Aufträge.GEO</v>
          </cell>
        </row>
        <row r="1811">
          <cell r="A1811" t="str">
            <v>0338062</v>
          </cell>
          <cell r="B1811" t="str">
            <v>"//shrzboost01/TRUMPF.NET/DATA_PDM2/Stöbich/Varianten/0338062.GMV"</v>
          </cell>
          <cell r="C1811" t="str">
            <v>//shrzboost01/TRUMPF.NET/DATA_PDM2/Stöbich/Aufträge.GEO</v>
          </cell>
        </row>
        <row r="1812">
          <cell r="A1812" t="str">
            <v>0338233</v>
          </cell>
          <cell r="B1812" t="str">
            <v>"//shrzboost01/TRUMPF.NET/DATA_PDM2/Stöbich/Varianten/0338233.GMV"</v>
          </cell>
          <cell r="C1812" t="str">
            <v>//shrzboost01/TRUMPF.NET/DATA_PDM2/Stöbich/Aufträge.GEO</v>
          </cell>
        </row>
        <row r="1813">
          <cell r="A1813" t="str">
            <v>0338234</v>
          </cell>
          <cell r="B1813" t="str">
            <v>"//shrzboost01/TRUMPF.NET/DATA_PDM2/Stöbich/Varianten/0338234.GMV"</v>
          </cell>
          <cell r="C1813" t="str">
            <v>//shrzboost01/TRUMPF.NET/DATA_PDM2/Stöbich/Aufträge.GEO</v>
          </cell>
        </row>
        <row r="1814">
          <cell r="A1814" t="str">
            <v>0338297</v>
          </cell>
          <cell r="B1814" t="str">
            <v>"//shrzboost01/TRUMPF.NET/DATA_PDM2/Stöbich/Varianten/0338297.GMV"</v>
          </cell>
          <cell r="C1814" t="str">
            <v>//shrzboost01/TRUMPF.NET/DATA_PDM2/Stöbich/Aufträge.GEO</v>
          </cell>
        </row>
        <row r="1815">
          <cell r="A1815" t="str">
            <v>0308297</v>
          </cell>
          <cell r="B1815" t="str">
            <v>"//shrzboost01/TRUMPF.NET/DATA_PDM2/Stöbich/Varianten/0308297.GMV"</v>
          </cell>
          <cell r="C1815" t="str">
            <v>//shrzboost01/TRUMPF.NET/DATA_PDM2/Stöbich/Aufträge.GEO</v>
          </cell>
        </row>
        <row r="1816">
          <cell r="A1816" t="str">
            <v>0308381</v>
          </cell>
          <cell r="B1816" t="str">
            <v>"//shrzboost01/TRUMPF.NET/DATA_PDM2/Stöbich/Varianten/0308381.GMV"</v>
          </cell>
          <cell r="C1816" t="str">
            <v>//shrzboost01/TRUMPF.NET/DATA_PDM2/Stöbich/Aufträge.GEO</v>
          </cell>
        </row>
        <row r="1817">
          <cell r="A1817" t="str">
            <v>0338440</v>
          </cell>
          <cell r="B1817" t="str">
            <v>"//shrzboost01/TRUMPF.NET/DATA_PDM2/Stöbich/Varianten/0338440.GMV"</v>
          </cell>
          <cell r="C1817" t="str">
            <v>//shrzboost01/TRUMPF.NET/DATA_PDM2/Stöbich/Aufträge.GEO</v>
          </cell>
        </row>
        <row r="1818">
          <cell r="A1818" t="str">
            <v>0338118</v>
          </cell>
          <cell r="B1818" t="str">
            <v>"//shrzboost01/TRUMPF.NET/DATA_PDM2/Stöbich/Varianten/0338118.GMV"</v>
          </cell>
          <cell r="C1818" t="str">
            <v>//shrzboost01/TRUMPF.NET/DATA_PDM2/Stöbich/Aufträge.GEO</v>
          </cell>
        </row>
        <row r="1819">
          <cell r="A1819" t="str">
            <v>0712842</v>
          </cell>
          <cell r="B1819" t="str">
            <v>"//shrzboost01/TRUMPF.NET/DATA_PDM2/Stöbich/Varianten/0712842.GMV"</v>
          </cell>
          <cell r="C1819" t="str">
            <v>//shrzboost01/TRUMPF.NET/DATA_PDM2/Stöbich/Aufträge.GEO</v>
          </cell>
        </row>
        <row r="1820">
          <cell r="A1820" t="str">
            <v>0712843</v>
          </cell>
          <cell r="B1820" t="str">
            <v>"//shrzboost01/TRUMPF.NET/DATA_PDM2/Stöbich/Varianten/0712843.GMV"</v>
          </cell>
          <cell r="C1820" t="str">
            <v>//shrzboost01/TRUMPF.NET/DATA_PDM2/Stöbich/Aufträge.GEO</v>
          </cell>
        </row>
        <row r="1821">
          <cell r="A1821" t="str">
            <v>0712822</v>
          </cell>
          <cell r="B1821" t="str">
            <v>"//shrzboost01/TRUMPF.NET/DATA_PDM2/Stöbich/Varianten/0712822.GMV"</v>
          </cell>
          <cell r="C1821" t="str">
            <v>//shrzboost01/TRUMPF.NET/DATA_PDM2/Stöbich/Aufträge.GEO</v>
          </cell>
        </row>
        <row r="1822">
          <cell r="A1822" t="str">
            <v>0717297</v>
          </cell>
          <cell r="B1822" t="str">
            <v>"//shrzboost01/TRUMPF.NET/DATA_PDM2/Stöbich/Varianten/0717297_0717295.GMV"</v>
          </cell>
          <cell r="C1822" t="str">
            <v>//shrzboost01/TRUMPF.NET/DATA_PDM2/Stöbich/Aufträge.GEO</v>
          </cell>
        </row>
        <row r="1823">
          <cell r="A1823" t="str">
            <v>0308512</v>
          </cell>
          <cell r="B1823" t="str">
            <v>"//shrzboost01/TRUMPF.NET/DATA_PDM2/Stöbich/Varianten/0308512.GMV"</v>
          </cell>
          <cell r="C1823" t="str">
            <v>//shrzboost01/TRUMPF.NET/DATA_PDM2/Stöbich/Aufträge.GEO</v>
          </cell>
        </row>
        <row r="1824">
          <cell r="A1824" t="str">
            <v>0308511</v>
          </cell>
          <cell r="B1824" t="str">
            <v>"//shrzboost01/TRUMPF.NET/DATA_PDM2/Stöbich/Varianten/0308511.GMV"</v>
          </cell>
          <cell r="C1824" t="str">
            <v>//shrzboost01/TRUMPF.NET/DATA_PDM2/Stöbich/Aufträge.GEO</v>
          </cell>
        </row>
        <row r="1825">
          <cell r="A1825" t="str">
            <v>0308576</v>
          </cell>
          <cell r="B1825" t="str">
            <v>"//shrzboost01/TRUMPF.NET/DATA_PDM2/Stöbich/Varianten/0308576.GMV"</v>
          </cell>
          <cell r="C1825" t="str">
            <v>//shrzboost01/TRUMPF.NET/DATA_PDM2/Stöbich/Aufträge.GEO</v>
          </cell>
        </row>
        <row r="1826">
          <cell r="A1826" t="str">
            <v>0338299</v>
          </cell>
          <cell r="B1826" t="str">
            <v>"//shrzboost01/TRUMPF.NET/DATA_PDM2/Stöbich/Varianten/0338299.GMV"</v>
          </cell>
          <cell r="C1826" t="str">
            <v>//shrzboost01/TRUMPF.NET/DATA_PDM2/Stöbich/Aufträge.GEO</v>
          </cell>
        </row>
        <row r="1827">
          <cell r="A1827" t="str">
            <v>0338323</v>
          </cell>
          <cell r="B1827" t="str">
            <v>"//shrzboost01/TRUMPF.NET/DATA_PDM2/Stöbich/Varianten/0338323.GMV"</v>
          </cell>
          <cell r="C1827" t="str">
            <v>//shrzboost01/TRUMPF.NET/DATA_PDM2/Stöbich/Aufträge.GEO</v>
          </cell>
        </row>
        <row r="1828">
          <cell r="A1828" t="str">
            <v>0308385</v>
          </cell>
          <cell r="B1828" t="str">
            <v>"//shrzboost01/TRUMPF.NET/DATA_PDM2/Stöbich/Varianten/0308385.GMV"</v>
          </cell>
          <cell r="C1828" t="str">
            <v>//shrzboost01/TRUMPF.NET/DATA_PDM2/Stöbich/Aufträge.GEO</v>
          </cell>
        </row>
        <row r="1829">
          <cell r="A1829" t="str">
            <v>0308386</v>
          </cell>
          <cell r="B1829" t="str">
            <v>"//shrzboost01/TRUMPF.NET/DATA_PDM2/Stöbich/Varianten/0308386.GMV"</v>
          </cell>
          <cell r="C1829" t="str">
            <v>//shrzboost01/TRUMPF.NET/DATA_PDM2/Stöbich/Aufträge.GEO</v>
          </cell>
        </row>
        <row r="1830">
          <cell r="A1830" t="str">
            <v>0713082</v>
          </cell>
          <cell r="B1830" t="str">
            <v>"//shrzboost01/TRUMPF.NET/DATA_PDM2/Stöbich/Varianten/0713082.GMV"</v>
          </cell>
          <cell r="C1830" t="str">
            <v>//shrzboost01/TRUMPF.NET/DATA_PDM2/Stöbich/Aufträge.GEO</v>
          </cell>
        </row>
        <row r="1831">
          <cell r="A1831" t="str">
            <v>0713083</v>
          </cell>
          <cell r="B1831" t="str">
            <v>"//shrzboost01/TRUMPF.NET/DATA_PDM2/Stöbich/Varianten/0713083.GMV"</v>
          </cell>
          <cell r="C1831" t="str">
            <v>//shrzboost01/TRUMPF.NET/DATA_PDM2/Stöbich/Aufträge.GEO</v>
          </cell>
        </row>
        <row r="1832">
          <cell r="A1832" t="str">
            <v>0338319</v>
          </cell>
          <cell r="B1832" t="str">
            <v>"//shrzboost01/TRUMPF.NET/DATA_PDM2/Stöbich/Varianten/0338319.GMV"</v>
          </cell>
          <cell r="C1832" t="str">
            <v>//shrzboost01/TRUMPF.NET/DATA_PDM2/Stöbich/Aufträge.GEO</v>
          </cell>
        </row>
        <row r="1833">
          <cell r="A1833" t="str">
            <v>0338320</v>
          </cell>
          <cell r="B1833" t="str">
            <v>"//shrzboost01/TRUMPF.NET/DATA_PDM2/Stöbich/Varianten/0338320.GMV"</v>
          </cell>
          <cell r="C1833" t="str">
            <v>//shrzboost01/TRUMPF.NET/DATA_PDM2/Stöbich/Aufträge.GEO</v>
          </cell>
        </row>
        <row r="1834">
          <cell r="A1834" t="str">
            <v>0338567</v>
          </cell>
          <cell r="B1834" t="str">
            <v>"//shrzboost01/TRUMPF.NET/DATA_PDM2/Stöbich/Varianten/0338567.GMV"</v>
          </cell>
          <cell r="C1834" t="str">
            <v>//shrzboost01/TRUMPF.NET/DATA_PDM2/Stöbich/Aufträge.GEO</v>
          </cell>
        </row>
        <row r="1835">
          <cell r="A1835" t="str">
            <v>0338568</v>
          </cell>
          <cell r="B1835" t="str">
            <v>"//shrzboost01/TRUMPF.NET/DATA_PDM2/Stöbich/Varianten/0338568.GMV"</v>
          </cell>
          <cell r="C1835" t="str">
            <v>//shrzboost01/TRUMPF.NET/DATA_PDM2/Stöbich/Aufträge.GEO</v>
          </cell>
        </row>
        <row r="1836">
          <cell r="A1836" t="str">
            <v>0338021</v>
          </cell>
          <cell r="B1836" t="str">
            <v>"//shrzboost01/TRUMPF.NET/DATA_PDM2/Stöbich/Varianten/0338021.GMV"</v>
          </cell>
          <cell r="C1836" t="str">
            <v>//shrzboost01/TRUMPF.NET/DATA_PDM2/Stöbich/Aufträge.GEO</v>
          </cell>
        </row>
        <row r="1837">
          <cell r="A1837" t="str">
            <v>0338019</v>
          </cell>
          <cell r="B1837" t="str">
            <v>"//shrzboost01/TRUMPF.NET/DATA_PDM2/Stöbich/Varianten/0338019.GMV"</v>
          </cell>
          <cell r="C1837" t="str">
            <v>//shrzboost01/TRUMPF.NET/DATA_PDM2/Stöbich/Aufträge.GEO</v>
          </cell>
        </row>
        <row r="1838">
          <cell r="A1838" t="str">
            <v>0338166</v>
          </cell>
          <cell r="B1838" t="str">
            <v>"//shrzboost01/TRUMPF.NET/DATA_PDM2/Stöbich/Varianten/0338166.GMV"</v>
          </cell>
          <cell r="C1838" t="str">
            <v>//shrzboost01/TRUMPF.NET/DATA_PDM2/Stöbich/Aufträge.GEO</v>
          </cell>
        </row>
        <row r="1839">
          <cell r="A1839" t="str">
            <v>0338279</v>
          </cell>
          <cell r="B1839" t="str">
            <v>"//shrzboost01/TRUMPF.NET/DATA_PDM2/Stöbich/Varianten/0338279.GMV"</v>
          </cell>
          <cell r="C1839" t="str">
            <v>//shrzboost01/TRUMPF.NET/DATA_PDM2/Stöbich/Aufträge.GEO</v>
          </cell>
        </row>
        <row r="1840">
          <cell r="A1840"/>
          <cell r="B1840" t="str">
            <v>"//shrzboost01/TRUMPF.NET/DATA_PDM2/Stöbich/Varianten/.GMV"</v>
          </cell>
          <cell r="C1840" t="str">
            <v>//shrzboost01/TRUMPF.NET/DATA_PDM2/Stöbich/Aufträge.GEO</v>
          </cell>
        </row>
        <row r="1841">
          <cell r="A1841" t="str">
            <v>0710342</v>
          </cell>
          <cell r="B1841" t="str">
            <v>"//shrzboost01/TRUMPF.NET/DATA_PDM2/Stöbich/Varianten/0710342.GMV"</v>
          </cell>
          <cell r="C1841" t="str">
            <v>//shrzboost01/TRUMPF.NET/DATA_PDM2/Stöbich/Aufträge.GEO</v>
          </cell>
        </row>
        <row r="1842">
          <cell r="A1842" t="str">
            <v>0710343</v>
          </cell>
          <cell r="B1842" t="str">
            <v>"//shrzboost01/TRUMPF.NET/DATA_PDM2/Stöbich/Varianten/0710343.GMV"</v>
          </cell>
          <cell r="C1842" t="str">
            <v>//shrzboost01/TRUMPF.NET/DATA_PDM2/Stöbich/Aufträge.GEO</v>
          </cell>
        </row>
        <row r="1843">
          <cell r="A1843" t="str">
            <v>0710346</v>
          </cell>
          <cell r="B1843" t="str">
            <v>"//shrzboost01/TRUMPF.NET/DATA_PDM2/Stöbich/Varianten/0710346.GMV"</v>
          </cell>
          <cell r="C1843" t="str">
            <v>//shrzboost01/TRUMPF.NET/DATA_PDM2/Stöbich/Aufträge.GEO</v>
          </cell>
        </row>
        <row r="1844">
          <cell r="A1844" t="str">
            <v>0710347</v>
          </cell>
          <cell r="B1844" t="str">
            <v>"//shrzboost01/TRUMPF.NET/DATA_PDM2/Stöbich/Varianten/0710347.GMV"</v>
          </cell>
          <cell r="C1844" t="str">
            <v>//shrzboost01/TRUMPF.NET/DATA_PDM2/Stöbich/Aufträge.GEO</v>
          </cell>
        </row>
        <row r="1845">
          <cell r="A1845" t="str">
            <v>0710350</v>
          </cell>
          <cell r="B1845" t="str">
            <v>"//shrzboost01/TRUMPF.NET/DATA_PDM2/Stöbich/Varianten/0710350.GMV"</v>
          </cell>
          <cell r="C1845" t="str">
            <v>//shrzboost01/TRUMPF.NET/DATA_PDM2/Stöbich/Aufträge.GEO</v>
          </cell>
        </row>
        <row r="1846">
          <cell r="A1846" t="str">
            <v>0710353</v>
          </cell>
          <cell r="B1846" t="str">
            <v>"//shrzboost01/TRUMPF.NET/DATA_PDM2/Stöbich/Varianten/0710353.GMV"</v>
          </cell>
          <cell r="C1846" t="str">
            <v>//shrzboost01/TRUMPF.NET/DATA_PDM2/Stöbich/Aufträge.GEO</v>
          </cell>
        </row>
        <row r="1847">
          <cell r="A1847" t="str">
            <v>0710356</v>
          </cell>
          <cell r="B1847" t="str">
            <v>"//shrzboost01/TRUMPF.NET/DATA_PDM2/Stöbich/Varianten/0710356.GMV"</v>
          </cell>
          <cell r="C1847" t="str">
            <v>//shrzboost01/TRUMPF.NET/DATA_PDM2/Stöbich/Aufträge.GEO</v>
          </cell>
        </row>
        <row r="1848">
          <cell r="A1848"/>
          <cell r="B1848" t="str">
            <v>"//shrzboost01/TRUMPF.NET/DATA_PDM2/Stöbich/Varianten/.GMV"</v>
          </cell>
          <cell r="C1848" t="str">
            <v>//shrzboost01/TRUMPF.NET/DATA_PDM2/Stöbich/Aufträge.GEO</v>
          </cell>
        </row>
        <row r="1849">
          <cell r="A1849" t="str">
            <v>0710359</v>
          </cell>
          <cell r="B1849" t="str">
            <v>"//shrzboost01/TRUMPF.NET/DATA_PDM2/Stöbich/Varianten/0710359.GMV"</v>
          </cell>
          <cell r="C1849" t="str">
            <v>//shrzboost01/TRUMPF.NET/DATA_PDM2/Stöbich/Aufträge.GEO</v>
          </cell>
        </row>
        <row r="1850">
          <cell r="A1850"/>
          <cell r="B1850" t="str">
            <v>"//shrzboost01/TRUMPF.NET/DATA_PDM2/Stöbich/Varianten/.GMV"</v>
          </cell>
          <cell r="C1850" t="str">
            <v>//shrzboost01/TRUMPF.NET/DATA_PDM2/Stöbich/Aufträge.GEO</v>
          </cell>
        </row>
        <row r="1851">
          <cell r="A1851" t="str">
            <v>0710362</v>
          </cell>
          <cell r="B1851" t="str">
            <v>"//shrzboost01/TRUMPF.NET/DATA_PDM2/Stöbich/Varianten/0710362.GMV"</v>
          </cell>
          <cell r="C1851" t="str">
            <v>//shrzboost01/TRUMPF.NET/DATA_PDM2/Stöbich/Aufträge.GEO</v>
          </cell>
        </row>
        <row r="1852">
          <cell r="A1852" t="str">
            <v>0710363</v>
          </cell>
          <cell r="B1852" t="str">
            <v>"//shrzboost01/TRUMPF.NET/DATA_PDM2/Stöbich/Varianten/0710363.GMV"</v>
          </cell>
          <cell r="C1852" t="str">
            <v>//shrzboost01/TRUMPF.NET/DATA_PDM2/Stöbich/Aufträge.GEO</v>
          </cell>
        </row>
        <row r="1853">
          <cell r="A1853"/>
          <cell r="B1853" t="str">
            <v>"//shrzboost01/TRUMPF.NET/DATA_PDM2/Stöbich/Varianten/.GMV"</v>
          </cell>
          <cell r="C1853" t="str">
            <v>//shrzboost01/TRUMPF.NET/DATA_PDM2/Stöbich/Aufträge.GEO</v>
          </cell>
        </row>
        <row r="1854">
          <cell r="A1854" t="str">
            <v>0710366</v>
          </cell>
          <cell r="B1854" t="str">
            <v>"//shrzboost01/TRUMPF.NET/DATA_PDM2/Stöbich/Varianten/0710366.GMV"</v>
          </cell>
          <cell r="C1854" t="str">
            <v>//shrzboost01/TRUMPF.NET/DATA_PDM2/Stöbich/Aufträge.GEO</v>
          </cell>
        </row>
        <row r="1855">
          <cell r="A1855" t="str">
            <v>0710367</v>
          </cell>
          <cell r="B1855" t="str">
            <v>"//shrzboost01/TRUMPF.NET/DATA_PDM2/Stöbich/Varianten/0710367.GMV"</v>
          </cell>
          <cell r="C1855" t="str">
            <v>//shrzboost01/TRUMPF.NET/DATA_PDM2/Stöbich/Aufträge.GEO</v>
          </cell>
        </row>
        <row r="1856">
          <cell r="A1856"/>
          <cell r="B1856" t="str">
            <v>"//shrzboost01/TRUMPF.NET/DATA_PDM2/Stöbich/Varianten/.GMV"</v>
          </cell>
          <cell r="C1856" t="str">
            <v>//shrzboost01/TRUMPF.NET/DATA_PDM2/Stöbich/Aufträge.GEO</v>
          </cell>
        </row>
        <row r="1857">
          <cell r="A1857" t="str">
            <v>0710370</v>
          </cell>
          <cell r="B1857" t="str">
            <v>"//shrzboost01/TRUMPF.NET/DATA_PDM2/Stöbich/Varianten/0710370.GMV"</v>
          </cell>
          <cell r="C1857" t="str">
            <v>//shrzboost01/TRUMPF.NET/DATA_PDM2/Stöbich/Aufträge.GEO</v>
          </cell>
        </row>
        <row r="1858">
          <cell r="A1858" t="str">
            <v>0710371</v>
          </cell>
          <cell r="B1858" t="str">
            <v>"//shrzboost01/TRUMPF.NET/DATA_PDM2/Stöbich/Varianten/0710371.GMV"</v>
          </cell>
          <cell r="C1858" t="str">
            <v>//shrzboost01/TRUMPF.NET/DATA_PDM2/Stöbich/Aufträge.GEO</v>
          </cell>
        </row>
        <row r="1859">
          <cell r="A1859" t="str">
            <v>0701965</v>
          </cell>
          <cell r="B1859" t="str">
            <v>"//shrzboost01/TRUMPF.NET/DATA_PDM2/Stöbich/Varianten/0701965.GMV"</v>
          </cell>
          <cell r="C1859" t="str">
            <v>//shrzboost01/TRUMPF.NET/DATA_PDM2/Stöbich/Aufträge.GEO</v>
          </cell>
        </row>
        <row r="1860">
          <cell r="A1860" t="str">
            <v>0701967</v>
          </cell>
          <cell r="B1860" t="str">
            <v>"//shrzboost01/TRUMPF.NET/DATA_PDM2/Stöbich/Varianten/0701967.GMV"</v>
          </cell>
          <cell r="C1860" t="str">
            <v>//shrzboost01/TRUMPF.NET/DATA_PDM2/Stöbich/Aufträge.GEO</v>
          </cell>
        </row>
        <row r="1861">
          <cell r="A1861" t="str">
            <v>0710374</v>
          </cell>
          <cell r="B1861" t="str">
            <v>"//shrzboost01/TRUMPF.NET/DATA_PDM2/Stöbich/Varianten/0710374.GMV"</v>
          </cell>
          <cell r="C1861" t="str">
            <v>//shrzboost01/TRUMPF.NET/DATA_PDM2/Stöbich/Aufträge.GEO</v>
          </cell>
        </row>
        <row r="1862">
          <cell r="A1862" t="str">
            <v>0710375</v>
          </cell>
          <cell r="B1862" t="str">
            <v>"//shrzboost01/TRUMPF.NET/DATA_PDM2/Stöbich/Varianten/0710375.GMV"</v>
          </cell>
          <cell r="C1862" t="str">
            <v>//shrzboost01/TRUMPF.NET/DATA_PDM2/Stöbich/Aufträge.GEO</v>
          </cell>
        </row>
        <row r="1863">
          <cell r="A1863" t="str">
            <v>0710378</v>
          </cell>
          <cell r="B1863" t="str">
            <v>"//shrzboost01/TRUMPF.NET/DATA_PDM2/Stöbich/Varianten/0710378.GMV"</v>
          </cell>
          <cell r="C1863" t="str">
            <v>//shrzboost01/TRUMPF.NET/DATA_PDM2/Stöbich/Aufträge.GEO</v>
          </cell>
        </row>
        <row r="1864">
          <cell r="A1864" t="str">
            <v>0710381</v>
          </cell>
          <cell r="B1864" t="str">
            <v>"//shrzboost01/TRUMPF.NET/DATA_PDM2/Stöbich/Varianten/0710381.GMV"</v>
          </cell>
          <cell r="C1864" t="str">
            <v>//shrzboost01/TRUMPF.NET/DATA_PDM2/Stöbich/Aufträge.GEO</v>
          </cell>
        </row>
        <row r="1865">
          <cell r="A1865" t="str">
            <v>0710382</v>
          </cell>
          <cell r="B1865" t="str">
            <v>"//shrzboost01/TRUMPF.NET/DATA_PDM2/Stöbich/Varianten/0710382.GMV"</v>
          </cell>
          <cell r="C1865" t="str">
            <v>//shrzboost01/TRUMPF.NET/DATA_PDM2/Stöbich/Aufträge.GEO</v>
          </cell>
        </row>
        <row r="1866">
          <cell r="A1866" t="str">
            <v>0710385</v>
          </cell>
          <cell r="B1866" t="str">
            <v>"//shrzboost01/TRUMPF.NET/DATA_PDM2/Stöbich/Varianten/0710385.GMV"</v>
          </cell>
          <cell r="C1866" t="str">
            <v>//shrzboost01/TRUMPF.NET/DATA_PDM2/Stöbich/Aufträge.GEO</v>
          </cell>
        </row>
        <row r="1867">
          <cell r="A1867" t="str">
            <v>0710388</v>
          </cell>
          <cell r="B1867" t="str">
            <v>"//shrzboost01/TRUMPF.NET/DATA_PDM2/Stöbich/Varianten/0710388.GMV"</v>
          </cell>
          <cell r="C1867" t="str">
            <v>//shrzboost01/TRUMPF.NET/DATA_PDM2/Stöbich/Aufträge.GEO</v>
          </cell>
        </row>
        <row r="1868">
          <cell r="A1868" t="str">
            <v>0710389</v>
          </cell>
          <cell r="B1868" t="str">
            <v>"//shrzboost01/TRUMPF.NET/DATA_PDM2/Stöbich/Varianten/0710389.GMV"</v>
          </cell>
          <cell r="C1868" t="str">
            <v>//shrzboost01/TRUMPF.NET/DATA_PDM2/Stöbich/Aufträge.GEO</v>
          </cell>
        </row>
        <row r="1869">
          <cell r="A1869" t="str">
            <v>0710392</v>
          </cell>
          <cell r="B1869" t="str">
            <v>"//shrzboost01/TRUMPF.NET/DATA_PDM2/Stöbich/Varianten/0710392.GMV"</v>
          </cell>
          <cell r="C1869" t="str">
            <v>//shrzboost01/TRUMPF.NET/DATA_PDM2/Stöbich/Aufträge.GEO</v>
          </cell>
        </row>
        <row r="1870">
          <cell r="A1870" t="str">
            <v>0710393</v>
          </cell>
          <cell r="B1870" t="str">
            <v>"//shrzboost01/TRUMPF.NET/DATA_PDM2/Stöbich/Varianten/0710393.GMV"</v>
          </cell>
          <cell r="C1870" t="str">
            <v>//shrzboost01/TRUMPF.NET/DATA_PDM2/Stöbich/Aufträge.GEO</v>
          </cell>
        </row>
        <row r="1871">
          <cell r="A1871" t="str">
            <v>0710402</v>
          </cell>
          <cell r="B1871" t="str">
            <v>"//shrzboost01/TRUMPF.NET/DATA_PDM2/Stöbich/Varianten/0710402.GMV"</v>
          </cell>
          <cell r="C1871" t="str">
            <v>//shrzboost01/TRUMPF.NET/DATA_PDM2/Stöbich/Aufträge.GEO</v>
          </cell>
        </row>
        <row r="1872">
          <cell r="A1872" t="str">
            <v>0710407</v>
          </cell>
          <cell r="B1872" t="str">
            <v>"//shrzboost01/TRUMPF.NET/DATA_PDM2/Stöbich/Varianten/0710407.GMV"</v>
          </cell>
          <cell r="C1872" t="str">
            <v>//shrzboost01/TRUMPF.NET/DATA_PDM2/Stöbich/Aufträge.GEO</v>
          </cell>
        </row>
        <row r="1873">
          <cell r="A1873" t="str">
            <v>0710408</v>
          </cell>
          <cell r="B1873" t="str">
            <v>"//shrzboost01/TRUMPF.NET/DATA_PDM2/Stöbich/Varianten/0710408.GMV"</v>
          </cell>
          <cell r="C1873" t="str">
            <v>//shrzboost01/TRUMPF.NET/DATA_PDM2/Stöbich/Aufträge.GEO</v>
          </cell>
        </row>
        <row r="1874">
          <cell r="A1874" t="str">
            <v>0710409</v>
          </cell>
          <cell r="B1874" t="str">
            <v>"//shrzboost01/TRUMPF.NET/DATA_PDM2/Stöbich/Varianten/0710409.GMV"</v>
          </cell>
          <cell r="C1874" t="str">
            <v>//shrzboost01/TRUMPF.NET/DATA_PDM2/Stöbich/Aufträge.GEO</v>
          </cell>
        </row>
        <row r="1875">
          <cell r="A1875" t="str">
            <v>0710410</v>
          </cell>
          <cell r="B1875" t="str">
            <v>"//shrzboost01/TRUMPF.NET/DATA_PDM2/Stöbich/Varianten/0710410.GMV"</v>
          </cell>
          <cell r="C1875" t="str">
            <v>//shrzboost01/TRUMPF.NET/DATA_PDM2/Stöbich/Aufträge.GEO</v>
          </cell>
        </row>
        <row r="1876">
          <cell r="A1876" t="str">
            <v>0710411</v>
          </cell>
          <cell r="B1876" t="str">
            <v>"//shrzboost01/TRUMPF.NET/DATA_PDM2/Stöbich/Varianten/0710411.GMV"</v>
          </cell>
          <cell r="C1876" t="str">
            <v>//shrzboost01/TRUMPF.NET/DATA_PDM2/Stöbich/Aufträge.GEO</v>
          </cell>
        </row>
        <row r="1877">
          <cell r="A1877" t="str">
            <v>0710412</v>
          </cell>
          <cell r="B1877" t="str">
            <v>"//shrzboost01/TRUMPF.NET/DATA_PDM2/Stöbich/Varianten/0710412.GMV"</v>
          </cell>
          <cell r="C1877" t="str">
            <v>//shrzboost01/TRUMPF.NET/DATA_PDM2/Stöbich/Aufträge.GEO</v>
          </cell>
        </row>
        <row r="1878">
          <cell r="A1878" t="str">
            <v>0710413</v>
          </cell>
          <cell r="B1878" t="str">
            <v>"//shrzboost01/TRUMPF.NET/DATA_PDM2/Stöbich/Varianten/0710413.GMV"</v>
          </cell>
          <cell r="C1878" t="str">
            <v>//shrzboost01/TRUMPF.NET/DATA_PDM2/Stöbich/Aufträge.GEO</v>
          </cell>
        </row>
        <row r="1879">
          <cell r="A1879" t="str">
            <v>0710414</v>
          </cell>
          <cell r="B1879" t="str">
            <v>"//shrzboost01/TRUMPF.NET/DATA_PDM2/Stöbich/Varianten/0710414.GMV"</v>
          </cell>
          <cell r="C1879" t="str">
            <v>//shrzboost01/TRUMPF.NET/DATA_PDM2/Stöbich/Aufträge.GEO</v>
          </cell>
        </row>
        <row r="1880">
          <cell r="A1880" t="str">
            <v>0710415</v>
          </cell>
          <cell r="B1880" t="str">
            <v>"//shrzboost01/TRUMPF.NET/DATA_PDM2/Stöbich/Varianten/0710415.GMV"</v>
          </cell>
          <cell r="C1880" t="str">
            <v>//shrzboost01/TRUMPF.NET/DATA_PDM2/Stöbich/Aufträge.GEO</v>
          </cell>
        </row>
        <row r="1881">
          <cell r="A1881" t="str">
            <v>0710416</v>
          </cell>
          <cell r="B1881" t="str">
            <v>"//shrzboost01/TRUMPF.NET/DATA_PDM2/Stöbich/Varianten/0710416.GMV"</v>
          </cell>
          <cell r="C1881" t="str">
            <v>//shrzboost01/TRUMPF.NET/DATA_PDM2/Stöbich/Aufträge.GEO</v>
          </cell>
        </row>
        <row r="1882">
          <cell r="A1882" t="str">
            <v>0710417</v>
          </cell>
          <cell r="B1882" t="str">
            <v>"//shrzboost01/TRUMPF.NET/DATA_PDM2/Stöbich/Varianten/0710417.GMV"</v>
          </cell>
          <cell r="C1882" t="str">
            <v>//shrzboost01/TRUMPF.NET/DATA_PDM2/Stöbich/Aufträge.GEO</v>
          </cell>
        </row>
        <row r="1883">
          <cell r="A1883" t="str">
            <v>0710418</v>
          </cell>
          <cell r="B1883" t="str">
            <v>"//shrzboost01/TRUMPF.NET/DATA_PDM2/Stöbich/Varianten/0710418.GMV"</v>
          </cell>
          <cell r="C1883" t="str">
            <v>//shrzboost01/TRUMPF.NET/DATA_PDM2/Stöbich/Aufträge.GEO</v>
          </cell>
        </row>
        <row r="1884">
          <cell r="A1884"/>
          <cell r="B1884"/>
          <cell r="C1884"/>
        </row>
        <row r="1885">
          <cell r="A1885" t="str">
            <v>0710457</v>
          </cell>
          <cell r="B1885" t="str">
            <v>"//shrzboost01/TRUMPF.NET/DATA_PDM2/Stöbich/Varianten/0710457.GMV"</v>
          </cell>
          <cell r="C1885" t="str">
            <v>//shrzboost01/TRUMPF.NET/DATA_PDM2/Stöbich/Aufträge.GEO</v>
          </cell>
        </row>
        <row r="1886">
          <cell r="A1886" t="str">
            <v>0710458</v>
          </cell>
          <cell r="B1886" t="str">
            <v>"//shrzboost01/TRUMPF.NET/DATA_PDM2/Stöbich/Varianten/0710458.GMV"</v>
          </cell>
          <cell r="C1886" t="str">
            <v>//shrzboost01/TRUMPF.NET/DATA_PDM2/Stöbich/Aufträge.GEO</v>
          </cell>
        </row>
        <row r="1887">
          <cell r="A1887" t="str">
            <v>0710343</v>
          </cell>
          <cell r="B1887" t="str">
            <v>"//shrzboost01/TRUMPF.NET/DATA_PDM2/Stöbich/Varianten/0710343.GMV"</v>
          </cell>
          <cell r="C1887" t="str">
            <v>//shrzboost01/TRUMPF.NET/DATA_PDM2/Stöbich/Aufträge.GEO</v>
          </cell>
        </row>
        <row r="1888">
          <cell r="A1888" t="str">
            <v>0714305</v>
          </cell>
          <cell r="B1888" t="str">
            <v>"//shrzboost01/TRUMPF.NET/DATA_PDM2/Stöbich/Varianten/0714305.GMV"</v>
          </cell>
          <cell r="C1888" t="str">
            <v>//shrzboost01/TRUMPF.NET/DATA_PDM2/Stöbich/Aufträge.GEO</v>
          </cell>
        </row>
        <row r="1889">
          <cell r="A1889" t="str">
            <v>0714315</v>
          </cell>
          <cell r="B1889" t="str">
            <v>"//shrzboost01/TRUMPF.NET/DATA_PDM2/Stöbich/Varianten/0714315.GMV"</v>
          </cell>
          <cell r="C1889" t="str">
            <v>//shrzboost01/TRUMPF.NET/DATA_PDM2/Stöbich/Aufträge.GEO</v>
          </cell>
        </row>
        <row r="1890">
          <cell r="A1890" t="str">
            <v>0714969</v>
          </cell>
          <cell r="B1890" t="str">
            <v>"//shrzboost01/TRUMPF.NET/DATA_PDM2/Stöbich/Varianten/0714969.GMV"</v>
          </cell>
          <cell r="C1890" t="str">
            <v>//shrzboost01/TRUMPF.NET/DATA_PDM2/Stöbich/Aufträge.GEO</v>
          </cell>
        </row>
        <row r="1891">
          <cell r="A1891" t="str">
            <v>0714709</v>
          </cell>
          <cell r="B1891" t="str">
            <v>"//shrzboost01/TRUMPF.NET/DATA_PDM2/Stöbich/Varianten/0714709.GMV"</v>
          </cell>
          <cell r="C1891" t="str">
            <v>//shrzboost01/TRUMPF.NET/DATA_PDM2/Stöbich/Aufträge.GEO</v>
          </cell>
        </row>
        <row r="1892">
          <cell r="A1892" t="str">
            <v>0714700</v>
          </cell>
          <cell r="B1892" t="str">
            <v>"//shrzboost01/TRUMPF.NET/DATA_PDM2/Stöbich/Varianten/0714700.GMV"</v>
          </cell>
          <cell r="C1892" t="str">
            <v>//shrzboost01/TRUMPF.NET/DATA_PDM2/Stöbich/Aufträge.GEO</v>
          </cell>
        </row>
        <row r="1893">
          <cell r="A1893" t="str">
            <v>0714701</v>
          </cell>
          <cell r="B1893" t="str">
            <v>"//shrzboost01/TRUMPF.NET/DATA_PDM2/Stöbich/Varianten/0714701.GMV"</v>
          </cell>
          <cell r="C1893" t="str">
            <v>//shrzboost01/TRUMPF.NET/DATA_PDM2/Stöbich/Aufträge.GEO</v>
          </cell>
        </row>
        <row r="1894">
          <cell r="A1894" t="str">
            <v>0714712</v>
          </cell>
          <cell r="B1894" t="str">
            <v>"//shrzboost01/TRUMPF.NET/DATA_PDM2/Stöbich/Varianten/0714712.GMV"</v>
          </cell>
          <cell r="C1894" t="str">
            <v>//shrzboost01/TRUMPF.NET/DATA_PDM2/Stöbich/Aufträge.GEO</v>
          </cell>
        </row>
        <row r="1895">
          <cell r="A1895" t="str">
            <v>0714713</v>
          </cell>
          <cell r="B1895" t="str">
            <v>"//shrzboost01/TRUMPF.NET/DATA_PDM2/Stöbich/Varianten/0714713.GMV"</v>
          </cell>
          <cell r="C1895" t="str">
            <v>//shrzboost01/TRUMPF.NET/DATA_PDM2/Stöbich/Aufträge.GEO</v>
          </cell>
        </row>
        <row r="1896">
          <cell r="A1896" t="str">
            <v>0714807</v>
          </cell>
          <cell r="B1896" t="str">
            <v>"//shrzboost01/TRUMPF.NET/DATA_PDM2/Stöbich/Varianten/0714807.GMV"</v>
          </cell>
          <cell r="C1896" t="str">
            <v>//shrzboost01/TRUMPF.NET/DATA_PDM2/Stöbich/Aufträge.GEO</v>
          </cell>
        </row>
        <row r="1897">
          <cell r="A1897" t="str">
            <v>0714710</v>
          </cell>
          <cell r="B1897" t="str">
            <v>"//shrzboost01/TRUMPF.NET/DATA_PDM2/Stöbich/Varianten/0714710.GMV"</v>
          </cell>
          <cell r="C1897" t="str">
            <v>//shrzboost01/TRUMPF.NET/DATA_PDM2/Stöbich/Aufträge.GEO</v>
          </cell>
        </row>
        <row r="1898">
          <cell r="A1898" t="str">
            <v>0715050</v>
          </cell>
          <cell r="B1898" t="str">
            <v>"//shrzboost01/TRUMPF.NET/DATA_PDM2/Stöbich/Varianten/0715050.GMV"</v>
          </cell>
          <cell r="C1898" t="str">
            <v>//shrzboost01/TRUMPF.NET/DATA_PDM2/Stöbich/Aufträge.GEO</v>
          </cell>
        </row>
        <row r="1899">
          <cell r="A1899" t="str">
            <v>0716790</v>
          </cell>
          <cell r="B1899" t="str">
            <v>"//shrzboost01/TRUMPF.NET/DATA_PDM2/Stöbich/Varianten/0716790.GMV"</v>
          </cell>
          <cell r="C1899" t="str">
            <v>//shrzboost01/TRUMPF.NET/DATA_PDM2/Stöbich/Aufträge.GEO</v>
          </cell>
        </row>
        <row r="1900">
          <cell r="A1900" t="str">
            <v>0716791</v>
          </cell>
          <cell r="B1900" t="str">
            <v>"//shrzboost01/TRUMPF.NET/DATA_PDM2/Stöbich/Varianten/0716791.GMV"</v>
          </cell>
          <cell r="C1900" t="str">
            <v>//shrzboost01/TRUMPF.NET/DATA_PDM2/Stöbich/Aufträge.GEO</v>
          </cell>
        </row>
        <row r="1901">
          <cell r="A1901" t="str">
            <v>0716794</v>
          </cell>
          <cell r="B1901" t="str">
            <v>"//shrzboost01/TRUMPF.NET/DATA_PDM2/Stöbich/Varianten/0716794.GMV"</v>
          </cell>
          <cell r="C1901" t="str">
            <v>//shrzboost01/TRUMPF.NET/DATA_PDM2/Stöbich/Aufträge.GEO</v>
          </cell>
        </row>
        <row r="1902">
          <cell r="A1902" t="str">
            <v>0716795</v>
          </cell>
          <cell r="B1902" t="str">
            <v>"//shrzboost01/TRUMPF.NET/DATA_PDM2/Stöbich/Varianten/0716795.GMV"</v>
          </cell>
          <cell r="C1902" t="str">
            <v>//shrzboost01/TRUMPF.NET/DATA_PDM2/Stöbich/Aufträge.GEO</v>
          </cell>
        </row>
        <row r="1903">
          <cell r="A1903" t="str">
            <v>0716797</v>
          </cell>
          <cell r="B1903" t="str">
            <v>"//shrzboost01/TRUMPF.NET/DATA_PDM2/Stöbich/Varianten/0716797.GMV"</v>
          </cell>
          <cell r="C1903" t="str">
            <v>//shrzboost01/TRUMPF.NET/DATA_PDM2/Stöbich/Aufträge.GEO</v>
          </cell>
        </row>
        <row r="1904">
          <cell r="A1904" t="str">
            <v>0716798</v>
          </cell>
          <cell r="B1904" t="str">
            <v>"//shrzboost01/TRUMPF.NET/DATA_PDM2/Stöbich/Varianten/0716798.GMV"</v>
          </cell>
          <cell r="C1904" t="str">
            <v>//shrzboost01/TRUMPF.NET/DATA_PDM2/Stöbich/Aufträge.GEO</v>
          </cell>
        </row>
        <row r="1905">
          <cell r="A1905" t="str">
            <v>0716799</v>
          </cell>
          <cell r="B1905" t="str">
            <v>"//shrzboost01/TRUMPF.NET/DATA_PDM2/Stöbich/Varianten/0716799.GMV"</v>
          </cell>
          <cell r="C1905" t="str">
            <v>//shrzboost01/TRUMPF.NET/DATA_PDM2/Stöbich/Aufträge.GEO</v>
          </cell>
        </row>
        <row r="1906">
          <cell r="A1906" t="str">
            <v>0716801</v>
          </cell>
          <cell r="B1906" t="str">
            <v>"//shrzboost01/TRUMPF.NET/DATA_PDM2/Stöbich/Varianten/0716801.GMV"</v>
          </cell>
          <cell r="C1906" t="str">
            <v>//shrzboost01/TRUMPF.NET/DATA_PDM2/Stöbich/Aufträge.GEO</v>
          </cell>
        </row>
        <row r="1907">
          <cell r="A1907" t="str">
            <v>0716802</v>
          </cell>
          <cell r="B1907" t="str">
            <v>"//shrzboost01/TRUMPF.NET/DATA_PDM2/Stöbich/Varianten/0716802.GMV"</v>
          </cell>
          <cell r="C1907" t="str">
            <v>//shrzboost01/TRUMPF.NET/DATA_PDM2/Stöbich/Aufträge.GEO</v>
          </cell>
        </row>
        <row r="1908">
          <cell r="A1908" t="str">
            <v>0716803</v>
          </cell>
          <cell r="B1908" t="str">
            <v>"//shrzboost01/TRUMPF.NET/DATA_PDM2/Stöbich/Varianten/0716803.GMV"</v>
          </cell>
          <cell r="C1908" t="str">
            <v>//shrzboost01/TRUMPF.NET/DATA_PDM2/Stöbich/Aufträge.GEO</v>
          </cell>
        </row>
        <row r="1909">
          <cell r="A1909" t="str">
            <v>0716804</v>
          </cell>
          <cell r="B1909" t="str">
            <v>"//shrzboost01/TRUMPF.NET/DATA_PDM2/Stöbich/Varianten/0716804.GMV"</v>
          </cell>
          <cell r="C1909" t="str">
            <v>//shrzboost01/TRUMPF.NET/DATA_PDM2/Stöbich/Aufträge.GEO</v>
          </cell>
        </row>
        <row r="1910">
          <cell r="A1910" t="str">
            <v>0716807</v>
          </cell>
          <cell r="B1910" t="str">
            <v>"//shrzboost01/TRUMPF.NET/DATA_PDM2/Stöbich/Varianten/0716807.GMV"</v>
          </cell>
          <cell r="C1910" t="str">
            <v>//shrzboost01/TRUMPF.NET/DATA_PDM2/Stöbich/Aufträge.GEO</v>
          </cell>
        </row>
        <row r="1911">
          <cell r="A1911" t="str">
            <v>0716809</v>
          </cell>
          <cell r="B1911" t="str">
            <v>"//shrzboost01/TRUMPF.NET/DATA_PDM2/Stöbich/Varianten/0716809.GMV"</v>
          </cell>
          <cell r="C1911" t="str">
            <v>//shrzboost01/TRUMPF.NET/DATA_PDM2/Stöbich/Aufträge.GEO</v>
          </cell>
        </row>
        <row r="1912">
          <cell r="A1912" t="str">
            <v>0716810</v>
          </cell>
          <cell r="B1912" t="str">
            <v>"//shrzboost01/TRUMPF.NET/DATA_PDM2/Stöbich/Varianten/0716810.GMV"</v>
          </cell>
          <cell r="C1912" t="str">
            <v>//shrzboost01/TRUMPF.NET/DATA_PDM2/Stöbich/Aufträge.GEO</v>
          </cell>
        </row>
        <row r="1913">
          <cell r="A1913" t="str">
            <v>0716811</v>
          </cell>
          <cell r="B1913" t="str">
            <v>"//shrzboost01/TRUMPF.NET/DATA_PDM2/Stöbich/Varianten/0716811.GMV"</v>
          </cell>
          <cell r="C1913" t="str">
            <v>//shrzboost01/TRUMPF.NET/DATA_PDM2/Stöbich/Aufträge.GEO</v>
          </cell>
        </row>
        <row r="1914">
          <cell r="A1914" t="str">
            <v>0716812</v>
          </cell>
          <cell r="B1914" t="str">
            <v>"//shrzboost01/TRUMPF.NET/DATA_PDM2/Stöbich/Varianten/0716812.GMV"</v>
          </cell>
          <cell r="C1914" t="str">
            <v>//shrzboost01/TRUMPF.NET/DATA_PDM2/Stöbich/Aufträge.GEO</v>
          </cell>
        </row>
        <row r="1915">
          <cell r="A1915" t="str">
            <v>0716813</v>
          </cell>
          <cell r="B1915" t="str">
            <v>"//shrzboost01/TRUMPF.NET/DATA_PDM2/Stöbich/Varianten/0716813.GMV"</v>
          </cell>
          <cell r="C1915" t="str">
            <v>//shrzboost01/TRUMPF.NET/DATA_PDM2/Stöbich/Aufträge.GEO</v>
          </cell>
        </row>
        <row r="1916">
          <cell r="A1916" t="str">
            <v>0716806</v>
          </cell>
          <cell r="B1916" t="str">
            <v>"//shrzboost01/TRUMPF.NET/DATA_PDM2/Stöbich/Varianten/0716806.GMV"</v>
          </cell>
          <cell r="C1916" t="str">
            <v>//shrzboost01/TRUMPF.NET/DATA_PDM2/Stöbich/Aufträge.GEO</v>
          </cell>
        </row>
        <row r="1917">
          <cell r="A1917" t="str">
            <v>0716815</v>
          </cell>
          <cell r="B1917" t="str">
            <v>"//shrzboost01/TRUMPF.NET/DATA_PDM2/Stöbich/Varianten/0716815.GMV"</v>
          </cell>
          <cell r="C1917" t="str">
            <v>//shrzboost01/TRUMPF.NET/DATA_PDM2/Stöbich/Aufträge.GEO</v>
          </cell>
        </row>
        <row r="1918">
          <cell r="A1918" t="str">
            <v>0716816</v>
          </cell>
          <cell r="B1918" t="str">
            <v>"//shrzboost01/TRUMPF.NET/DATA_PDM2/Stöbich/Varianten/0716816.GMV"</v>
          </cell>
          <cell r="C1918" t="str">
            <v>//shrzboost01/TRUMPF.NET/DATA_PDM2/Stöbich/Aufträge.GEO</v>
          </cell>
        </row>
        <row r="1919">
          <cell r="A1919" t="str">
            <v>0716817</v>
          </cell>
          <cell r="B1919" t="str">
            <v>"//shrzboost01/TRUMPF.NET/DATA_PDM2/Stöbich/Varianten/0716817.GMV"</v>
          </cell>
          <cell r="C1919" t="str">
            <v>//shrzboost01/TRUMPF.NET/DATA_PDM2/Stöbich/Aufträge.GEO</v>
          </cell>
        </row>
        <row r="1920">
          <cell r="A1920" t="str">
            <v>0716818</v>
          </cell>
          <cell r="B1920" t="str">
            <v>"//shrzboost01/TRUMPF.NET/DATA_PDM2/Stöbich/Varianten/0716818.GMV"</v>
          </cell>
          <cell r="C1920" t="str">
            <v>//shrzboost01/TRUMPF.NET/DATA_PDM2/Stöbich/Aufträge.GEO</v>
          </cell>
        </row>
        <row r="1921">
          <cell r="A1921" t="str">
            <v>0716829</v>
          </cell>
          <cell r="B1921" t="str">
            <v>"//shrzboost01/TRUMPF.NET/DATA_PDM2/Stöbich/Varianten/0716829.GMV"</v>
          </cell>
          <cell r="C1921" t="str">
            <v>//shrzboost01/TRUMPF.NET/DATA_PDM2/Stöbich/Aufträge.GEO</v>
          </cell>
        </row>
        <row r="1922">
          <cell r="A1922" t="str">
            <v>0716830</v>
          </cell>
          <cell r="B1922" t="str">
            <v>"//shrzboost01/TRUMPF.NET/DATA_PDM2/Stöbich/Varianten/0716830.GMV"</v>
          </cell>
          <cell r="C1922" t="str">
            <v>//shrzboost01/TRUMPF.NET/DATA_PDM2/Stöbich/Aufträge.GEO</v>
          </cell>
        </row>
        <row r="1923">
          <cell r="A1923" t="str">
            <v>0716831</v>
          </cell>
          <cell r="B1923" t="str">
            <v>"//shrzboost01/TRUMPF.NET/DATA_PDM2/Stöbich/Varianten/0716831.GMV"</v>
          </cell>
          <cell r="C1923" t="str">
            <v>//shrzboost01/TRUMPF.NET/DATA_PDM2/Stöbich/Aufträge.GEO</v>
          </cell>
        </row>
        <row r="1924">
          <cell r="A1924" t="str">
            <v>0716833</v>
          </cell>
          <cell r="B1924" t="str">
            <v>"//shrzboost01/TRUMPF.NET/DATA_PDM2/Stöbich/Varianten/0716833.GMV"</v>
          </cell>
          <cell r="C1924" t="str">
            <v>//shrzboost01/TRUMPF.NET/DATA_PDM2/Stöbich/Aufträge.GEO</v>
          </cell>
        </row>
        <row r="1925">
          <cell r="A1925" t="str">
            <v>0716834</v>
          </cell>
          <cell r="B1925" t="str">
            <v>"//shrzboost01/TRUMPF.NET/DATA_PDM2/Stöbich/Varianten/0716834.GMV"</v>
          </cell>
          <cell r="C1925" t="str">
            <v>//shrzboost01/TRUMPF.NET/DATA_PDM2/Stöbich/Aufträge.GEO</v>
          </cell>
        </row>
        <row r="1926">
          <cell r="A1926" t="str">
            <v>0716835</v>
          </cell>
          <cell r="B1926" t="str">
            <v>"//shrzboost01/TRUMPF.NET/DATA_PDM2/Stöbich/Varianten/0716835.GMV"</v>
          </cell>
          <cell r="C1926" t="str">
            <v>//shrzboost01/TRUMPF.NET/DATA_PDM2/Stöbich/Aufträge.GEO</v>
          </cell>
        </row>
        <row r="1927">
          <cell r="A1927" t="str">
            <v>0716831</v>
          </cell>
          <cell r="B1927" t="str">
            <v>"//shrzboost01/TRUMPF.NET/DATA_PDM2/Stöbich/Varianten/0716831.GMV"</v>
          </cell>
          <cell r="C1927" t="str">
            <v>//shrzboost01/TRUMPF.NET/DATA_PDM2/Stöbich/Aufträge.GEO</v>
          </cell>
        </row>
        <row r="1928">
          <cell r="A1928" t="str">
            <v>0716837</v>
          </cell>
          <cell r="B1928" t="str">
            <v>"//shrzboost01/TRUMPF.NET/DATA_PDM2/Stöbich/Varianten/0716837.GMV"</v>
          </cell>
          <cell r="C1928" t="str">
            <v>//shrzboost01/TRUMPF.NET/DATA_PDM2/Stöbich/Aufträge.GEO</v>
          </cell>
        </row>
        <row r="1929">
          <cell r="A1929" t="str">
            <v>0716838</v>
          </cell>
          <cell r="B1929" t="str">
            <v>"//shrzboost01/TRUMPF.NET/DATA_PDM2/Stöbich/Varianten/0716838.GMV"</v>
          </cell>
          <cell r="C1929" t="str">
            <v>//shrzboost01/TRUMPF.NET/DATA_PDM2/Stöbich/Aufträge.GEO</v>
          </cell>
        </row>
        <row r="1930">
          <cell r="A1930" t="str">
            <v>0716840</v>
          </cell>
          <cell r="B1930" t="str">
            <v>"//shrzboost01/TRUMPF.NET/DATA_PDM2/Stöbich/Varianten/0716840.GMV"</v>
          </cell>
          <cell r="C1930" t="str">
            <v>//shrzboost01/TRUMPF.NET/DATA_PDM2/Stöbich/Aufträge.GEO</v>
          </cell>
        </row>
        <row r="1931">
          <cell r="A1931" t="str">
            <v>0716841</v>
          </cell>
          <cell r="B1931" t="str">
            <v>"//shrzboost01/TRUMPF.NET/DATA_PDM2/Stöbich/Varianten/0716841.GMV"</v>
          </cell>
          <cell r="C1931" t="str">
            <v>//shrzboost01/TRUMPF.NET/DATA_PDM2/Stöbich/Aufträge.GEO</v>
          </cell>
        </row>
        <row r="1932">
          <cell r="A1932" t="str">
            <v>0716824</v>
          </cell>
          <cell r="B1932" t="str">
            <v>"//shrzboost01/TRUMPF.NET/DATA_PDM2/Stöbich/Varianten/0716824.GMV"</v>
          </cell>
          <cell r="C1932" t="str">
            <v>//shrzboost01/TRUMPF.NET/DATA_PDM2/Stöbich/Aufträge.GEO</v>
          </cell>
        </row>
        <row r="1933">
          <cell r="A1933" t="str">
            <v>0716826</v>
          </cell>
          <cell r="B1933" t="str">
            <v>"//shrzboost01/TRUMPF.NET/DATA_PDM2/Stöbich/Varianten/0716826.GMV"</v>
          </cell>
          <cell r="C1933" t="str">
            <v>//shrzboost01/TRUMPF.NET/DATA_PDM2/Stöbich/Aufträge.GEO</v>
          </cell>
        </row>
        <row r="1934">
          <cell r="A1934" t="str">
            <v>0716827</v>
          </cell>
          <cell r="B1934" t="str">
            <v>"//shrzboost01/TRUMPF.NET/DATA_PDM2/Stöbich/Varianten/0716827.GMV"</v>
          </cell>
          <cell r="C1934" t="str">
            <v>//shrzboost01/TRUMPF.NET/DATA_PDM2/Stöbich/Aufträge.GEO</v>
          </cell>
        </row>
        <row r="1935">
          <cell r="A1935" t="str">
            <v>0714691</v>
          </cell>
          <cell r="B1935" t="str">
            <v>"//shrzboost01/TRUMPF.NET/DATA_PDM2/Stöbich/Varianten/0714691.GMV"</v>
          </cell>
          <cell r="C1935" t="str">
            <v>//shrzboost01/TRUMPF.NET/DATA_PDM2/Stöbich/Aufträge.GEO</v>
          </cell>
        </row>
        <row r="1936">
          <cell r="A1936" t="str">
            <v>0714697</v>
          </cell>
          <cell r="B1936" t="str">
            <v>"//shrzboost01/TRUMPF.NET/DATA_PDM2/Stöbich/Varianten/0714697.GMV"</v>
          </cell>
          <cell r="C1936" t="str">
            <v>//shrzboost01/TRUMPF.NET/DATA_PDM2/Stöbich/Aufträge.GEO</v>
          </cell>
        </row>
        <row r="1937">
          <cell r="A1937" t="str">
            <v>0714803</v>
          </cell>
          <cell r="B1937" t="str">
            <v>"//shrzboost01/TRUMPF.NET/DATA_PDM2/Stöbich/Varianten/0714803.GMV"</v>
          </cell>
          <cell r="C1937" t="str">
            <v>//shrzboost01/TRUMPF.NET/DATA_PDM2/Stöbich/Aufträge.GEO</v>
          </cell>
        </row>
        <row r="1938">
          <cell r="A1938" t="str">
            <v>0714692</v>
          </cell>
          <cell r="B1938" t="str">
            <v>"//shrzboost01/TRUMPF.NET/DATA_PDM2/Stöbich/Varianten/0714692.GMV"</v>
          </cell>
          <cell r="C1938" t="str">
            <v>//shrzboost01/TRUMPF.NET/DATA_PDM2/Stöbich/Aufträge.GEO</v>
          </cell>
        </row>
        <row r="1939">
          <cell r="A1939" t="str">
            <v>0714698</v>
          </cell>
          <cell r="B1939" t="str">
            <v>"//shrzboost01/TRUMPF.NET/DATA_PDM2/Stöbich/Varianten/0714698.GMV"</v>
          </cell>
          <cell r="C1939" t="str">
            <v>//shrzboost01/TRUMPF.NET/DATA_PDM2/Stöbich/Aufträge.GEO</v>
          </cell>
        </row>
        <row r="1940">
          <cell r="A1940" t="str">
            <v>0714804</v>
          </cell>
          <cell r="B1940" t="str">
            <v>"//shrzboost01/TRUMPF.NET/DATA_PDM2/Stöbich/Varianten/0714804.GMV"</v>
          </cell>
          <cell r="C1940" t="str">
            <v>//shrzboost01/TRUMPF.NET/DATA_PDM2/Stöbich/Aufträge.GEO</v>
          </cell>
        </row>
        <row r="1941">
          <cell r="A1941" t="str">
            <v>0712897</v>
          </cell>
          <cell r="B1941" t="str">
            <v>"//shrzboost01/TRUMPF.NET/DATA_PDM2/Stöbich/Varianten/0712897.GMV"</v>
          </cell>
          <cell r="C1941" t="str">
            <v>//shrzboost01/TRUMPF.NET/DATA_PDM2/Stöbich/Aufträge.GEO</v>
          </cell>
        </row>
        <row r="1942">
          <cell r="A1942" t="str">
            <v>0712900</v>
          </cell>
          <cell r="B1942" t="str">
            <v>"//shrzboost01/TRUMPF.NET/DATA_PDM2/Stöbich/Varianten/0712900.GMV"</v>
          </cell>
          <cell r="C1942" t="str">
            <v>//shrzboost01/TRUMPF.NET/DATA_PDM2/Stöbich/Aufträge.GEO</v>
          </cell>
        </row>
        <row r="1943">
          <cell r="A1943" t="str">
            <v>0713400</v>
          </cell>
          <cell r="B1943" t="str">
            <v>"//shrzboost01/TRUMPF.NET/DATA_PDM2/Stöbich/Varianten/0713400.GMV"</v>
          </cell>
          <cell r="C1943" t="str">
            <v>//shrzboost01/TRUMPF.NET/DATA_PDM2/Stöbich/Aufträge.GEO</v>
          </cell>
        </row>
        <row r="1944">
          <cell r="A1944" t="str">
            <v>0712895</v>
          </cell>
          <cell r="B1944" t="str">
            <v>"//shrzboost01/TRUMPF.NET/DATA_PDM2/Stöbich/Varianten/0712895.GMV"</v>
          </cell>
          <cell r="C1944" t="str">
            <v>//shrzboost01/TRUMPF.NET/DATA_PDM2/Stöbich/Aufträge.GEO</v>
          </cell>
        </row>
        <row r="1945">
          <cell r="A1945" t="str">
            <v>0712896</v>
          </cell>
          <cell r="B1945" t="str">
            <v>"//shrzboost01/TRUMPF.NET/DATA_PDM2/Stöbich/Varianten/0712896.GMV"</v>
          </cell>
          <cell r="C1945" t="str">
            <v>//shrzboost01/TRUMPF.NET/DATA_PDM2/Stöbich/Aufträge.GEO</v>
          </cell>
        </row>
        <row r="1946">
          <cell r="A1946" t="str">
            <v>0712898</v>
          </cell>
          <cell r="B1946" t="str">
            <v>"//shrzboost01/TRUMPF.NET/DATA_PDM2/Stöbich/Varianten/0712898.GMV"</v>
          </cell>
          <cell r="C1946" t="str">
            <v>//shrzboost01/TRUMPF.NET/DATA_PDM2/Stöbich/Aufträge.GEO</v>
          </cell>
        </row>
        <row r="1947">
          <cell r="A1947" t="str">
            <v>0712899</v>
          </cell>
          <cell r="B1947" t="str">
            <v>"//shrzboost01/TRUMPF.NET/DATA_PDM2/Stöbich/Varianten/0712899.GMV"</v>
          </cell>
          <cell r="C1947" t="str">
            <v>//shrzboost01/TRUMPF.NET/DATA_PDM2/Stöbich/Aufträge.GEO</v>
          </cell>
        </row>
        <row r="1948">
          <cell r="A1948" t="str">
            <v>0712901</v>
          </cell>
          <cell r="B1948" t="str">
            <v>"//shrzboost01/TRUMPF.NET/DATA_PDM2/Stöbich/Varianten/0712901.GMV"</v>
          </cell>
          <cell r="C1948" t="str">
            <v>//shrzboost01/TRUMPF.NET/DATA_PDM2/Stöbich/Aufträge.GEO</v>
          </cell>
        </row>
        <row r="1949">
          <cell r="A1949" t="str">
            <v>0712902</v>
          </cell>
          <cell r="B1949" t="str">
            <v>"//shrzboost01/TRUMPF.NET/DATA_PDM2/Stöbich/Varianten/0712902.GMV"</v>
          </cell>
          <cell r="C1949" t="str">
            <v>//shrzboost01/TRUMPF.NET/DATA_PDM2/Stöbich/Aufträge.GEO</v>
          </cell>
        </row>
        <row r="1950">
          <cell r="A1950" t="str">
            <v>0712909</v>
          </cell>
          <cell r="B1950" t="str">
            <v>"//shrzboost01/TRUMPF.NET/DATA_PDM2/Stöbich/Varianten/0712909.GMV"</v>
          </cell>
          <cell r="C1950" t="str">
            <v>//shrzboost01/TRUMPF.NET/DATA_PDM2/Stöbich/Aufträge.GEO</v>
          </cell>
        </row>
        <row r="1951">
          <cell r="B1951" t="str">
            <v>"//shrzboost01/TRUMPF.NET/DATA_PDM2/Stöbich/Varianten/.GMV"</v>
          </cell>
          <cell r="C1951" t="str">
            <v>//shrzboost01/TRUMPF.NET/DATA_PDM2/Stöbich/Aufträge.GEO</v>
          </cell>
        </row>
        <row r="1952">
          <cell r="B1952" t="str">
            <v>"//shrzboost01/TRUMPF.NET/DATA_PDM2/Stöbich/Varianten/.GMV"</v>
          </cell>
          <cell r="C1952" t="str">
            <v>//shrzboost01/TRUMPF.NET/DATA_PDM2/Stöbich/Aufträge.GEO</v>
          </cell>
        </row>
        <row r="1953">
          <cell r="B1953" t="str">
            <v>"//shrzboost01/TRUMPF.NET/DATA_PDM2/Stöbich/Varianten/.GMV"</v>
          </cell>
          <cell r="C1953" t="str">
            <v>//shrzboost01/TRUMPF.NET/DATA_PDM2/Stöbich/Aufträge.GEO</v>
          </cell>
        </row>
        <row r="1954">
          <cell r="B1954" t="str">
            <v>"//shrzboost01/TRUMPF.NET/DATA_PDM2/Stöbich/Varianten/.GMV"</v>
          </cell>
          <cell r="C1954" t="str">
            <v>//shrzboost01/TRUMPF.NET/DATA_PDM2/Stöbich/Aufträge.GEO</v>
          </cell>
        </row>
      </sheetData>
      <sheetData sheetId="5"/>
      <sheetData sheetId="6"/>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5.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6.bin"/><Relationship Id="rId5" Type="http://schemas.openxmlformats.org/officeDocument/2006/relationships/image" Target="../media/image14.emf"/><Relationship Id="rId4" Type="http://schemas.openxmlformats.org/officeDocument/2006/relationships/control" Target="../activeX/activeX1.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4.xml"/><Relationship Id="rId1" Type="http://schemas.openxmlformats.org/officeDocument/2006/relationships/printerSettings" Target="../printerSettings/printerSettings31.bin"/><Relationship Id="rId4" Type="http://schemas.openxmlformats.org/officeDocument/2006/relationships/ctrlProp" Target="../ctrlProps/ctrlProp3.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tabColor rgb="FFFF0000"/>
  </sheetPr>
  <dimension ref="A1:T138"/>
  <sheetViews>
    <sheetView showGridLines="0" view="pageBreakPreview" zoomScaleNormal="85" zoomScaleSheetLayoutView="100" workbookViewId="0">
      <selection activeCell="E23" sqref="E23"/>
    </sheetView>
  </sheetViews>
  <sheetFormatPr baseColWidth="10" defaultColWidth="11.42578125" defaultRowHeight="17.100000000000001" customHeight="1" x14ac:dyDescent="0.2"/>
  <cols>
    <col min="1" max="1" width="0.85546875" style="1136" customWidth="1"/>
    <col min="2" max="2" width="7" style="1136" customWidth="1"/>
    <col min="3" max="3" width="20.140625" style="1136" customWidth="1"/>
    <col min="4" max="4" width="13.140625" style="1136" customWidth="1"/>
    <col min="5" max="5" width="27.28515625" style="1136" customWidth="1"/>
    <col min="6" max="6" width="11.7109375" style="1136" customWidth="1"/>
    <col min="7" max="7" width="14" style="1136" customWidth="1"/>
    <col min="8" max="9" width="7.7109375" style="1136" customWidth="1"/>
    <col min="10" max="10" width="14.140625" style="1136" customWidth="1"/>
    <col min="11" max="11" width="5.42578125" style="1136" customWidth="1"/>
    <col min="12" max="12" width="0.85546875" style="1136" customWidth="1"/>
    <col min="13" max="13" width="11.42578125" style="1136"/>
    <col min="14" max="14" width="20.140625" style="1136" customWidth="1"/>
    <col min="15" max="15" width="13.140625" style="1136" customWidth="1"/>
    <col min="16" max="16" width="27.28515625" style="1136" customWidth="1"/>
    <col min="17" max="17" width="11.7109375" style="1136" customWidth="1"/>
    <col min="18" max="18" width="14" style="1136" customWidth="1"/>
    <col min="19" max="20" width="7.7109375" style="1136" customWidth="1"/>
    <col min="21" max="16384" width="11.42578125" style="1136"/>
  </cols>
  <sheetData>
    <row r="1" spans="3:11" ht="17.100000000000001" customHeight="1" x14ac:dyDescent="0.2">
      <c r="C1" s="2646" t="s">
        <v>30670</v>
      </c>
      <c r="D1" s="2646"/>
      <c r="E1" s="2646"/>
      <c r="F1" s="2646"/>
      <c r="G1" s="2647" t="s">
        <v>30671</v>
      </c>
      <c r="H1" s="2647"/>
      <c r="I1" s="2647"/>
      <c r="J1" s="2647"/>
      <c r="K1" s="2647"/>
    </row>
    <row r="2" spans="3:11" ht="17.100000000000001" customHeight="1" x14ac:dyDescent="0.2">
      <c r="C2" s="2646"/>
      <c r="D2" s="2646"/>
      <c r="E2" s="2646"/>
      <c r="F2" s="2646"/>
      <c r="G2" s="2647"/>
      <c r="H2" s="2647"/>
      <c r="I2" s="2647"/>
      <c r="J2" s="2647"/>
      <c r="K2" s="2647"/>
    </row>
    <row r="3" spans="3:11" ht="17.100000000000001" customHeight="1" x14ac:dyDescent="0.2">
      <c r="C3" s="2176"/>
      <c r="D3" s="2176"/>
      <c r="E3" s="2176"/>
      <c r="F3" s="2176"/>
      <c r="G3" s="2177"/>
      <c r="H3" s="2177"/>
      <c r="I3" s="2177"/>
      <c r="J3" s="2177"/>
      <c r="K3" s="2177"/>
    </row>
    <row r="4" spans="3:11" ht="17.100000000000001" customHeight="1" x14ac:dyDescent="0.2">
      <c r="C4" s="2176"/>
      <c r="D4" s="2176"/>
      <c r="E4" s="2176"/>
      <c r="F4" s="2176"/>
      <c r="G4" s="2177"/>
      <c r="H4" s="2177"/>
      <c r="I4" s="2177"/>
      <c r="J4" s="2177"/>
      <c r="K4" s="2177"/>
    </row>
    <row r="6" spans="3:11" ht="17.100000000000001" customHeight="1" x14ac:dyDescent="0.2">
      <c r="F6" s="2178"/>
      <c r="G6" s="2178"/>
      <c r="H6" s="2178"/>
      <c r="I6" s="2178"/>
      <c r="J6" s="2178"/>
    </row>
    <row r="7" spans="3:11" ht="17.100000000000001" customHeight="1" x14ac:dyDescent="0.2">
      <c r="F7" s="2179" t="s">
        <v>30672</v>
      </c>
      <c r="G7" s="2178"/>
      <c r="H7" s="2178"/>
      <c r="I7" s="2178"/>
      <c r="J7" s="2178"/>
    </row>
    <row r="8" spans="3:11" ht="17.100000000000001" customHeight="1" x14ac:dyDescent="0.2">
      <c r="F8" s="2648" t="s">
        <v>30799</v>
      </c>
      <c r="G8" s="2648"/>
      <c r="H8" s="2648"/>
      <c r="I8" s="2648"/>
      <c r="J8" s="2648"/>
    </row>
    <row r="9" spans="3:11" ht="17.100000000000001" customHeight="1" x14ac:dyDescent="0.2">
      <c r="F9" s="2648"/>
      <c r="G9" s="2648"/>
      <c r="H9" s="2648"/>
      <c r="I9" s="2648"/>
      <c r="J9" s="2648"/>
    </row>
    <row r="10" spans="3:11" ht="17.100000000000001" customHeight="1" x14ac:dyDescent="0.2">
      <c r="F10" s="2648"/>
      <c r="G10" s="2648"/>
      <c r="H10" s="2648"/>
      <c r="I10" s="2648"/>
      <c r="J10" s="2648"/>
    </row>
    <row r="11" spans="3:11" ht="17.100000000000001" customHeight="1" x14ac:dyDescent="0.2">
      <c r="F11" s="2648"/>
      <c r="G11" s="2648"/>
      <c r="H11" s="2648"/>
      <c r="I11" s="2648"/>
      <c r="J11" s="2648"/>
    </row>
    <row r="12" spans="3:11" ht="17.100000000000001" customHeight="1" x14ac:dyDescent="0.2">
      <c r="F12" s="2648"/>
      <c r="G12" s="2648"/>
      <c r="H12" s="2648"/>
      <c r="I12" s="2648"/>
      <c r="J12" s="2648"/>
    </row>
    <row r="13" spans="3:11" ht="17.100000000000001" customHeight="1" x14ac:dyDescent="0.2">
      <c r="F13" s="2648"/>
      <c r="G13" s="2648"/>
      <c r="H13" s="2648"/>
      <c r="I13" s="2648"/>
      <c r="J13" s="2648"/>
    </row>
    <row r="14" spans="3:11" ht="17.100000000000001" customHeight="1" x14ac:dyDescent="0.2">
      <c r="F14" s="2648"/>
      <c r="G14" s="2648"/>
      <c r="H14" s="2648"/>
      <c r="I14" s="2648"/>
      <c r="J14" s="2648"/>
    </row>
    <row r="15" spans="3:11" ht="17.100000000000001" customHeight="1" x14ac:dyDescent="0.2">
      <c r="F15" s="2648"/>
      <c r="G15" s="2648"/>
      <c r="H15" s="2648"/>
      <c r="I15" s="2648"/>
      <c r="J15" s="2648"/>
    </row>
    <row r="16" spans="3:11" ht="17.100000000000001" customHeight="1" x14ac:dyDescent="0.2">
      <c r="F16" s="2648"/>
      <c r="G16" s="2648"/>
      <c r="H16" s="2648"/>
      <c r="I16" s="2648"/>
      <c r="J16" s="2648"/>
    </row>
    <row r="17" spans="1:20" ht="17.100000000000001" customHeight="1" x14ac:dyDescent="0.2">
      <c r="F17" s="2648"/>
      <c r="G17" s="2648"/>
      <c r="H17" s="2648"/>
      <c r="I17" s="2648"/>
      <c r="J17" s="2648"/>
    </row>
    <row r="18" spans="1:20" ht="17.100000000000001" customHeight="1" x14ac:dyDescent="0.2">
      <c r="F18" s="2648"/>
      <c r="G18" s="2648"/>
      <c r="H18" s="2648"/>
      <c r="I18" s="2648"/>
      <c r="J18" s="2648"/>
    </row>
    <row r="19" spans="1:20" ht="17.100000000000001" customHeight="1" x14ac:dyDescent="0.2">
      <c r="F19" s="2648"/>
      <c r="G19" s="2648"/>
      <c r="H19" s="2648"/>
      <c r="I19" s="2648"/>
      <c r="J19" s="2648"/>
    </row>
    <row r="20" spans="1:20" ht="17.100000000000001" customHeight="1" thickBot="1" x14ac:dyDescent="0.25"/>
    <row r="21" spans="1:20" ht="17.100000000000001" customHeight="1" x14ac:dyDescent="0.2">
      <c r="B21" s="2180" t="s">
        <v>30673</v>
      </c>
      <c r="C21" s="2181">
        <v>60</v>
      </c>
      <c r="E21" s="2231" t="str">
        <f>'Berechnung &amp; Tabellen'!B21</f>
        <v>Schieberblattbreite</v>
      </c>
      <c r="F21" s="2230">
        <f>'Berechnung &amp; Tabellen'!C21</f>
        <v>1080</v>
      </c>
    </row>
    <row r="22" spans="1:20" ht="17.100000000000001" customHeight="1" x14ac:dyDescent="0.2">
      <c r="B22" s="2182" t="s">
        <v>30674</v>
      </c>
      <c r="C22" s="2210">
        <f>'Berechnung &amp; Tabellen'!C21-C21-C23</f>
        <v>960</v>
      </c>
      <c r="E22" s="2232" t="str">
        <f>IF(F21&lt;(60+60+80+80),"ACHTUNG: Schieber zu klein für korrekte Berechnung"," ")</f>
        <v xml:space="preserve"> </v>
      </c>
      <c r="F22" s="1863"/>
    </row>
    <row r="23" spans="1:20" ht="17.100000000000001" customHeight="1" x14ac:dyDescent="0.2">
      <c r="B23" s="2182" t="s">
        <v>30675</v>
      </c>
      <c r="C23" s="2183">
        <v>60</v>
      </c>
      <c r="I23" s="2228"/>
      <c r="J23" s="1446" t="str">
        <f>"= nicht kopieren"</f>
        <v>= nicht kopieren</v>
      </c>
    </row>
    <row r="24" spans="1:20" ht="17.100000000000001" customHeight="1" thickBot="1" x14ac:dyDescent="0.25">
      <c r="B24" s="2184" t="s">
        <v>30676</v>
      </c>
      <c r="C24" s="2185">
        <v>80</v>
      </c>
    </row>
    <row r="25" spans="1:20" ht="17.100000000000001" customHeight="1" x14ac:dyDescent="0.2">
      <c r="N25" s="1136" t="s">
        <v>30677</v>
      </c>
    </row>
    <row r="26" spans="1:20" ht="17.100000000000001" customHeight="1" thickBot="1" x14ac:dyDescent="0.25">
      <c r="A26" s="1881"/>
      <c r="B26" s="1881"/>
      <c r="C26" s="1881"/>
      <c r="D26" s="1881"/>
    </row>
    <row r="27" spans="1:20" ht="17.100000000000001" customHeight="1" thickBot="1" x14ac:dyDescent="0.3">
      <c r="B27" s="2649" t="s">
        <v>28098</v>
      </c>
      <c r="C27" s="2651" t="s">
        <v>109</v>
      </c>
      <c r="D27" s="2652"/>
      <c r="E27" s="2649" t="s">
        <v>297</v>
      </c>
      <c r="F27" s="2649" t="s">
        <v>104</v>
      </c>
      <c r="G27" s="2655" t="s">
        <v>299</v>
      </c>
      <c r="H27" s="2656" t="s">
        <v>103</v>
      </c>
      <c r="I27" s="2657"/>
      <c r="J27" s="2655" t="s">
        <v>4</v>
      </c>
      <c r="K27" s="2649" t="s">
        <v>12</v>
      </c>
      <c r="N27" s="2662" t="s">
        <v>109</v>
      </c>
      <c r="O27" s="2663"/>
      <c r="P27" s="2641" t="s">
        <v>297</v>
      </c>
      <c r="Q27" s="2641" t="s">
        <v>104</v>
      </c>
      <c r="R27" s="2643" t="s">
        <v>299</v>
      </c>
      <c r="S27" s="2644" t="s">
        <v>103</v>
      </c>
      <c r="T27" s="2645"/>
    </row>
    <row r="28" spans="1:20" ht="17.100000000000001" customHeight="1" thickBot="1" x14ac:dyDescent="0.3">
      <c r="B28" s="2650"/>
      <c r="C28" s="2653"/>
      <c r="D28" s="2654"/>
      <c r="E28" s="2650"/>
      <c r="F28" s="2650"/>
      <c r="G28" s="2650"/>
      <c r="H28" s="2229" t="s">
        <v>17</v>
      </c>
      <c r="I28" s="2229" t="s">
        <v>73</v>
      </c>
      <c r="J28" s="2650"/>
      <c r="K28" s="2650"/>
      <c r="N28" s="2664"/>
      <c r="O28" s="2665"/>
      <c r="P28" s="2642"/>
      <c r="Q28" s="2642"/>
      <c r="R28" s="2642"/>
      <c r="S28" s="2186" t="s">
        <v>17</v>
      </c>
      <c r="T28" s="2186" t="s">
        <v>73</v>
      </c>
    </row>
    <row r="29" spans="1:20" ht="17.100000000000001" customHeight="1" x14ac:dyDescent="0.2">
      <c r="A29" s="2034"/>
      <c r="B29" s="2187" t="s">
        <v>30678</v>
      </c>
      <c r="C29" s="2658" t="str">
        <f>N29</f>
        <v xml:space="preserve">0202003 / Promatect-H 6  </v>
      </c>
      <c r="D29" s="2659"/>
      <c r="E29" s="2211" t="str">
        <f>P29</f>
        <v>Aufdopplung links waagerecht</v>
      </c>
      <c r="F29" s="2189" t="str">
        <f>Q29</f>
        <v>0202003</v>
      </c>
      <c r="G29" s="2189">
        <f>R29</f>
        <v>1</v>
      </c>
      <c r="H29" s="2208">
        <f>S29</f>
        <v>80</v>
      </c>
      <c r="I29" s="2208">
        <f>T29</f>
        <v>80</v>
      </c>
      <c r="J29" s="2218">
        <f>(H29/1000)*(I29/1000)*G29</f>
        <v>6.4000000000000003E-3</v>
      </c>
      <c r="K29" s="2219"/>
      <c r="L29" s="2034"/>
      <c r="N29" s="2660" t="s">
        <v>86</v>
      </c>
      <c r="O29" s="2661"/>
      <c r="P29" s="2188" t="s">
        <v>30679</v>
      </c>
      <c r="Q29" s="2189" t="str">
        <f>LEFT(N29,7)</f>
        <v>0202003</v>
      </c>
      <c r="R29" s="2190">
        <f>IF($C$21&gt;0,1,0)</f>
        <v>1</v>
      </c>
      <c r="S29" s="2191">
        <f>IF($C$21-60+80&lt;2491,$C$21-60+80,0)+IF(AND($C$21-60+80&gt;2490,$C$21-60+80&lt;2791),$C$21-60+80-300,0)+IF(AND($C$21-60+80&gt;2790),2490,0)</f>
        <v>80</v>
      </c>
      <c r="T29" s="2191">
        <v>80</v>
      </c>
    </row>
    <row r="30" spans="1:20" ht="17.100000000000001" customHeight="1" x14ac:dyDescent="0.2">
      <c r="A30" s="2034"/>
      <c r="B30" s="2187" t="s">
        <v>30680</v>
      </c>
      <c r="C30" s="2660" t="str">
        <f t="shared" ref="C30:C78" si="0">N30</f>
        <v xml:space="preserve">0202003 / Promatect-H 6  </v>
      </c>
      <c r="D30" s="2661"/>
      <c r="E30" s="2211" t="str">
        <f t="shared" ref="E30:E78" si="1">P30</f>
        <v>Aufdopplung links waagerecht</v>
      </c>
      <c r="F30" s="2189" t="str">
        <f t="shared" ref="F30:F78" si="2">Q30</f>
        <v>0202003</v>
      </c>
      <c r="G30" s="2189">
        <f t="shared" ref="G30:G78" si="3">R30</f>
        <v>0</v>
      </c>
      <c r="H30" s="2208">
        <f t="shared" ref="H30:H78" si="4">S30</f>
        <v>0</v>
      </c>
      <c r="I30" s="2208">
        <f t="shared" ref="I30:I78" si="5">T30</f>
        <v>80</v>
      </c>
      <c r="J30" s="2218">
        <f t="shared" ref="J30:J78" si="6">(H30/1000)*(I30/1000)*G30</f>
        <v>0</v>
      </c>
      <c r="K30" s="2219"/>
      <c r="L30" s="2034"/>
      <c r="N30" s="2660" t="s">
        <v>86</v>
      </c>
      <c r="O30" s="2661"/>
      <c r="P30" s="2188" t="s">
        <v>30679</v>
      </c>
      <c r="Q30" s="2189" t="str">
        <f t="shared" ref="Q30:Q38" si="7">LEFT(N30,7)</f>
        <v>0202003</v>
      </c>
      <c r="R30" s="2190">
        <f>IF(S30&gt;0,1,0)</f>
        <v>0</v>
      </c>
      <c r="S30" s="2191">
        <f>IF(S29&lt;$C$21,$C$21-S29+20,0)</f>
        <v>0</v>
      </c>
      <c r="T30" s="2191">
        <v>80</v>
      </c>
    </row>
    <row r="31" spans="1:20" ht="17.100000000000001" customHeight="1" x14ac:dyDescent="0.2">
      <c r="A31" s="2034"/>
      <c r="B31" s="2187" t="s">
        <v>30681</v>
      </c>
      <c r="C31" s="2660" t="str">
        <f t="shared" si="0"/>
        <v xml:space="preserve">0708161 / GKF 12,5mm </v>
      </c>
      <c r="D31" s="2661"/>
      <c r="E31" s="2211" t="str">
        <f t="shared" si="1"/>
        <v>Aufdopplung links waagerecht</v>
      </c>
      <c r="F31" s="2189" t="str">
        <f t="shared" si="2"/>
        <v>0708161</v>
      </c>
      <c r="G31" s="2189">
        <f t="shared" si="3"/>
        <v>1</v>
      </c>
      <c r="H31" s="2208">
        <f t="shared" si="4"/>
        <v>0</v>
      </c>
      <c r="I31" s="2208">
        <f t="shared" si="5"/>
        <v>80</v>
      </c>
      <c r="J31" s="2218">
        <f t="shared" si="6"/>
        <v>0</v>
      </c>
      <c r="K31" s="2219"/>
      <c r="L31" s="2034"/>
      <c r="N31" s="2660" t="s">
        <v>294</v>
      </c>
      <c r="O31" s="2661"/>
      <c r="P31" s="2188" t="s">
        <v>30679</v>
      </c>
      <c r="Q31" s="2189" t="str">
        <f>LEFT(N31,7)</f>
        <v>0708161</v>
      </c>
      <c r="R31" s="2190">
        <f>IF($C$21&gt;0,1,0)</f>
        <v>1</v>
      </c>
      <c r="S31" s="2191">
        <f>IF($C$21-60&lt;2491,$C$21-60,0)+IF(AND($C$21-60&gt;2490,$C$21-60&lt;2791),$C$21-60-300,0)+IF(AND($C$21-60&gt;2790),2490,0)</f>
        <v>0</v>
      </c>
      <c r="T31" s="2191">
        <v>80</v>
      </c>
    </row>
    <row r="32" spans="1:20" ht="17.100000000000001" customHeight="1" x14ac:dyDescent="0.2">
      <c r="A32" s="2034"/>
      <c r="B32" s="2187" t="s">
        <v>30682</v>
      </c>
      <c r="C32" s="2660" t="str">
        <f t="shared" si="0"/>
        <v xml:space="preserve">0708161 / GKF 12,5mm </v>
      </c>
      <c r="D32" s="2661"/>
      <c r="E32" s="2211" t="str">
        <f t="shared" si="1"/>
        <v>Aufdopplung links waagerecht</v>
      </c>
      <c r="F32" s="2189" t="str">
        <f t="shared" si="2"/>
        <v>0708161</v>
      </c>
      <c r="G32" s="2189">
        <f t="shared" si="3"/>
        <v>0</v>
      </c>
      <c r="H32" s="2208">
        <f t="shared" si="4"/>
        <v>0</v>
      </c>
      <c r="I32" s="2208">
        <f t="shared" si="5"/>
        <v>80</v>
      </c>
      <c r="J32" s="2218">
        <f t="shared" si="6"/>
        <v>0</v>
      </c>
      <c r="K32" s="2219"/>
      <c r="L32" s="2034"/>
      <c r="N32" s="2660" t="s">
        <v>294</v>
      </c>
      <c r="O32" s="2661"/>
      <c r="P32" s="2188" t="s">
        <v>30679</v>
      </c>
      <c r="Q32" s="2189" t="str">
        <f t="shared" si="7"/>
        <v>0708161</v>
      </c>
      <c r="R32" s="2190">
        <f>IF(S32&gt;0,1,0)</f>
        <v>0</v>
      </c>
      <c r="S32" s="2191">
        <f>IF((S31+60)&lt;$C$21,$C$21-S31-60,0)</f>
        <v>0</v>
      </c>
      <c r="T32" s="2191">
        <v>80</v>
      </c>
    </row>
    <row r="33" spans="1:20" ht="17.100000000000001" customHeight="1" x14ac:dyDescent="0.2">
      <c r="A33" s="2034"/>
      <c r="B33" s="2187" t="s">
        <v>30683</v>
      </c>
      <c r="C33" s="2660" t="str">
        <f t="shared" si="0"/>
        <v xml:space="preserve">0708161 / GKF 12,5mm </v>
      </c>
      <c r="D33" s="2661"/>
      <c r="E33" s="2211" t="str">
        <f t="shared" si="1"/>
        <v>Aufdopplung links waagerecht</v>
      </c>
      <c r="F33" s="2189" t="str">
        <f t="shared" si="2"/>
        <v>0708161</v>
      </c>
      <c r="G33" s="2189">
        <f t="shared" si="3"/>
        <v>1</v>
      </c>
      <c r="H33" s="2208">
        <f t="shared" si="4"/>
        <v>80</v>
      </c>
      <c r="I33" s="2208">
        <f t="shared" si="5"/>
        <v>80</v>
      </c>
      <c r="J33" s="2218">
        <f t="shared" si="6"/>
        <v>6.4000000000000003E-3</v>
      </c>
      <c r="K33" s="2219"/>
      <c r="L33" s="2034"/>
      <c r="N33" s="2660" t="s">
        <v>294</v>
      </c>
      <c r="O33" s="2661"/>
      <c r="P33" s="2188" t="s">
        <v>30679</v>
      </c>
      <c r="Q33" s="2189" t="str">
        <f>LEFT(N33,7)</f>
        <v>0708161</v>
      </c>
      <c r="R33" s="2190">
        <f>IF($C$21&gt;0,1,0)</f>
        <v>1</v>
      </c>
      <c r="S33" s="2191">
        <f>IF($C$21-60+80&lt;2491,$C$21-60+80,0)+IF(AND($C$21-60+80&gt;2490,$C$21-60+80&lt;2791),$C$21-60+80-300,0)+IF(AND($C$21-60+80&gt;2790),2490,0)</f>
        <v>80</v>
      </c>
      <c r="T33" s="2191">
        <v>80</v>
      </c>
    </row>
    <row r="34" spans="1:20" ht="17.100000000000001" customHeight="1" x14ac:dyDescent="0.2">
      <c r="A34" s="2034"/>
      <c r="B34" s="2187" t="s">
        <v>30684</v>
      </c>
      <c r="C34" s="2660" t="str">
        <f t="shared" si="0"/>
        <v xml:space="preserve">0708161 / GKF 12,5mm </v>
      </c>
      <c r="D34" s="2661"/>
      <c r="E34" s="2211" t="str">
        <f t="shared" si="1"/>
        <v>Aufdopplung links waagerecht</v>
      </c>
      <c r="F34" s="2189" t="str">
        <f t="shared" si="2"/>
        <v>0708161</v>
      </c>
      <c r="G34" s="2189">
        <f t="shared" si="3"/>
        <v>0</v>
      </c>
      <c r="H34" s="2208">
        <f t="shared" si="4"/>
        <v>0</v>
      </c>
      <c r="I34" s="2208">
        <f t="shared" si="5"/>
        <v>80</v>
      </c>
      <c r="J34" s="2218">
        <f t="shared" si="6"/>
        <v>0</v>
      </c>
      <c r="K34" s="2219"/>
      <c r="L34" s="2034"/>
      <c r="N34" s="2660" t="s">
        <v>294</v>
      </c>
      <c r="O34" s="2661"/>
      <c r="P34" s="2188" t="s">
        <v>30679</v>
      </c>
      <c r="Q34" s="2189" t="str">
        <f t="shared" si="7"/>
        <v>0708161</v>
      </c>
      <c r="R34" s="2190">
        <f>IF(S34&gt;0,1,0)</f>
        <v>0</v>
      </c>
      <c r="S34" s="2191">
        <f>IF(S33&lt;$C$21,$C$21-S33+20,0)</f>
        <v>0</v>
      </c>
      <c r="T34" s="2191">
        <v>80</v>
      </c>
    </row>
    <row r="35" spans="1:20" ht="17.100000000000001" customHeight="1" x14ac:dyDescent="0.2">
      <c r="A35" s="2034"/>
      <c r="B35" s="2187" t="s">
        <v>30685</v>
      </c>
      <c r="C35" s="2660" t="str">
        <f t="shared" si="0"/>
        <v xml:space="preserve">0202018 / GKF VK 18mm </v>
      </c>
      <c r="D35" s="2661"/>
      <c r="E35" s="2211" t="str">
        <f t="shared" si="1"/>
        <v>Aufdopplung links waagerecht</v>
      </c>
      <c r="F35" s="2189" t="str">
        <f t="shared" si="2"/>
        <v>0202018</v>
      </c>
      <c r="G35" s="2189">
        <f t="shared" si="3"/>
        <v>1</v>
      </c>
      <c r="H35" s="2208">
        <f t="shared" si="4"/>
        <v>0</v>
      </c>
      <c r="I35" s="2208">
        <f t="shared" si="5"/>
        <v>80</v>
      </c>
      <c r="J35" s="2218">
        <f t="shared" si="6"/>
        <v>0</v>
      </c>
      <c r="K35" s="2219"/>
      <c r="L35" s="2034"/>
      <c r="N35" s="2660" t="s">
        <v>29523</v>
      </c>
      <c r="O35" s="2661"/>
      <c r="P35" s="2188" t="s">
        <v>30679</v>
      </c>
      <c r="Q35" s="2189" t="str">
        <f>LEFT(N35,7)</f>
        <v>0202018</v>
      </c>
      <c r="R35" s="2190">
        <f>IF($C$21&gt;0,1,0)</f>
        <v>1</v>
      </c>
      <c r="S35" s="2191">
        <f>IF($C$21-60&lt;2491,$C$21-60,0)+IF(AND($C$21-60&gt;2490,$C$21-60&lt;2791),$C$21-60-300,0)+IF(AND($C$21-60&gt;2790),2490,0)</f>
        <v>0</v>
      </c>
      <c r="T35" s="2191">
        <v>80</v>
      </c>
    </row>
    <row r="36" spans="1:20" ht="17.100000000000001" customHeight="1" x14ac:dyDescent="0.2">
      <c r="A36" s="2034"/>
      <c r="B36" s="2187" t="s">
        <v>30686</v>
      </c>
      <c r="C36" s="2660" t="str">
        <f t="shared" si="0"/>
        <v xml:space="preserve">0202018 / GKF VK 18mm </v>
      </c>
      <c r="D36" s="2661"/>
      <c r="E36" s="2211" t="str">
        <f t="shared" si="1"/>
        <v>Aufdopplung links waagerecht</v>
      </c>
      <c r="F36" s="2189" t="str">
        <f t="shared" si="2"/>
        <v>0202018</v>
      </c>
      <c r="G36" s="2189">
        <f t="shared" si="3"/>
        <v>0</v>
      </c>
      <c r="H36" s="2208">
        <f t="shared" si="4"/>
        <v>0</v>
      </c>
      <c r="I36" s="2208">
        <f t="shared" si="5"/>
        <v>80</v>
      </c>
      <c r="J36" s="2218">
        <f t="shared" si="6"/>
        <v>0</v>
      </c>
      <c r="K36" s="2219"/>
      <c r="L36" s="2034"/>
      <c r="N36" s="2660" t="s">
        <v>29523</v>
      </c>
      <c r="O36" s="2661"/>
      <c r="P36" s="2188" t="s">
        <v>30679</v>
      </c>
      <c r="Q36" s="2189" t="str">
        <f t="shared" si="7"/>
        <v>0202018</v>
      </c>
      <c r="R36" s="2190">
        <f>IF(S36&gt;0,1,0)</f>
        <v>0</v>
      </c>
      <c r="S36" s="2191">
        <f>IF((S35+60)&lt;$C$21,$C$21-S35-60,0)</f>
        <v>0</v>
      </c>
      <c r="T36" s="2191">
        <v>80</v>
      </c>
    </row>
    <row r="37" spans="1:20" ht="17.100000000000001" customHeight="1" x14ac:dyDescent="0.2">
      <c r="A37" s="2034"/>
      <c r="B37" s="2187" t="s">
        <v>30687</v>
      </c>
      <c r="C37" s="2660" t="str">
        <f t="shared" si="0"/>
        <v xml:space="preserve">0202018 / GKF VK 18mm </v>
      </c>
      <c r="D37" s="2661"/>
      <c r="E37" s="2211" t="str">
        <f t="shared" si="1"/>
        <v>Aufdopplung links waagerecht</v>
      </c>
      <c r="F37" s="2189" t="str">
        <f t="shared" si="2"/>
        <v>0202018</v>
      </c>
      <c r="G37" s="2189">
        <f t="shared" si="3"/>
        <v>1</v>
      </c>
      <c r="H37" s="2208">
        <f t="shared" si="4"/>
        <v>80</v>
      </c>
      <c r="I37" s="2208">
        <f t="shared" si="5"/>
        <v>80</v>
      </c>
      <c r="J37" s="2218">
        <f t="shared" si="6"/>
        <v>6.4000000000000003E-3</v>
      </c>
      <c r="K37" s="2219"/>
      <c r="L37" s="2034"/>
      <c r="N37" s="2660" t="s">
        <v>29523</v>
      </c>
      <c r="O37" s="2661"/>
      <c r="P37" s="2188" t="s">
        <v>30679</v>
      </c>
      <c r="Q37" s="2189" t="str">
        <f>LEFT(N37,7)</f>
        <v>0202018</v>
      </c>
      <c r="R37" s="2190">
        <f>IF($C$21&gt;0,1,0)</f>
        <v>1</v>
      </c>
      <c r="S37" s="2191">
        <f>IF($C$21-60+80&lt;2491,$C$21-60+80,0)+IF(AND($C$21-60+80&gt;2490,$C$21-60+80&lt;2791),$C$21-60+80-300,0)+IF(AND($C$21-60+80&gt;2790),2490,0)</f>
        <v>80</v>
      </c>
      <c r="T37" s="2191">
        <v>80</v>
      </c>
    </row>
    <row r="38" spans="1:20" ht="17.100000000000001" customHeight="1" thickBot="1" x14ac:dyDescent="0.25">
      <c r="A38" s="2034"/>
      <c r="B38" s="2192" t="s">
        <v>30688</v>
      </c>
      <c r="C38" s="2660" t="str">
        <f t="shared" si="0"/>
        <v xml:space="preserve">0202018 / GKF VK 18mm </v>
      </c>
      <c r="D38" s="2661"/>
      <c r="E38" s="2211" t="str">
        <f t="shared" si="1"/>
        <v>Aufdopplung links waagerecht</v>
      </c>
      <c r="F38" s="2189" t="str">
        <f t="shared" si="2"/>
        <v>0202018</v>
      </c>
      <c r="G38" s="2189">
        <f t="shared" si="3"/>
        <v>0</v>
      </c>
      <c r="H38" s="2208">
        <f t="shared" si="4"/>
        <v>0</v>
      </c>
      <c r="I38" s="2208">
        <f t="shared" si="5"/>
        <v>80</v>
      </c>
      <c r="J38" s="2218">
        <f t="shared" si="6"/>
        <v>0</v>
      </c>
      <c r="K38" s="2219"/>
      <c r="L38" s="2034"/>
      <c r="N38" s="2666" t="s">
        <v>29523</v>
      </c>
      <c r="O38" s="2667"/>
      <c r="P38" s="2193" t="s">
        <v>30679</v>
      </c>
      <c r="Q38" s="2194" t="str">
        <f t="shared" si="7"/>
        <v>0202018</v>
      </c>
      <c r="R38" s="2190">
        <f>IF(S38&gt;0,1,0)</f>
        <v>0</v>
      </c>
      <c r="S38" s="2196">
        <f>IF(S37&lt;$C$21,$C$21-S37+20,0)</f>
        <v>0</v>
      </c>
      <c r="T38" s="2191">
        <v>80</v>
      </c>
    </row>
    <row r="39" spans="1:20" ht="17.100000000000001" customHeight="1" x14ac:dyDescent="0.2">
      <c r="B39" s="2197" t="s">
        <v>30689</v>
      </c>
      <c r="C39" s="2660" t="str">
        <f t="shared" si="0"/>
        <v xml:space="preserve">0202003 / Promatect-H 6  </v>
      </c>
      <c r="D39" s="2661"/>
      <c r="E39" s="2211" t="str">
        <f t="shared" si="1"/>
        <v>Aufdopplung links senkrecht</v>
      </c>
      <c r="F39" s="2189" t="str">
        <f t="shared" si="2"/>
        <v>0202003</v>
      </c>
      <c r="G39" s="2189">
        <f t="shared" si="3"/>
        <v>1</v>
      </c>
      <c r="H39" s="2208">
        <f t="shared" si="4"/>
        <v>0</v>
      </c>
      <c r="I39" s="2208">
        <f t="shared" si="5"/>
        <v>80</v>
      </c>
      <c r="J39" s="2218">
        <f t="shared" si="6"/>
        <v>0</v>
      </c>
      <c r="K39" s="2219"/>
      <c r="N39" s="2658" t="s">
        <v>86</v>
      </c>
      <c r="O39" s="2659"/>
      <c r="P39" s="2198" t="s">
        <v>30690</v>
      </c>
      <c r="Q39" s="2199" t="str">
        <f>LEFT(N39,7)</f>
        <v>0202003</v>
      </c>
      <c r="R39" s="2200">
        <f>IF($C$24&gt;0,1,0)</f>
        <v>1</v>
      </c>
      <c r="S39" s="2201">
        <f>IF($C$24-80&lt;2491,$C$24-80,0)+IF(AND($C$24-80&gt;2490,$C$24-80&lt;2791),$C$24-80-300,0)+IF(AND($C$24-80&gt;2790),2490,0)</f>
        <v>0</v>
      </c>
      <c r="T39" s="2191">
        <v>80</v>
      </c>
    </row>
    <row r="40" spans="1:20" ht="17.100000000000001" customHeight="1" x14ac:dyDescent="0.2">
      <c r="B40" s="2187" t="s">
        <v>30691</v>
      </c>
      <c r="C40" s="2660" t="str">
        <f t="shared" si="0"/>
        <v xml:space="preserve">0202003 / Promatect-H 6  </v>
      </c>
      <c r="D40" s="2661"/>
      <c r="E40" s="2211" t="str">
        <f t="shared" si="1"/>
        <v>Aufdopplung links senkrecht</v>
      </c>
      <c r="F40" s="2189" t="str">
        <f t="shared" si="2"/>
        <v>0202003</v>
      </c>
      <c r="G40" s="2189">
        <f t="shared" si="3"/>
        <v>0</v>
      </c>
      <c r="H40" s="2208">
        <f t="shared" si="4"/>
        <v>0</v>
      </c>
      <c r="I40" s="2208">
        <f t="shared" si="5"/>
        <v>80</v>
      </c>
      <c r="J40" s="2218">
        <f t="shared" si="6"/>
        <v>0</v>
      </c>
      <c r="K40" s="2219"/>
      <c r="N40" s="2660" t="s">
        <v>86</v>
      </c>
      <c r="O40" s="2661"/>
      <c r="P40" s="2188" t="s">
        <v>30690</v>
      </c>
      <c r="Q40" s="2189" t="str">
        <f t="shared" ref="Q40:Q48" si="8">LEFT(N40,7)</f>
        <v>0202003</v>
      </c>
      <c r="R40" s="2190">
        <f>IF(S40&gt;0,1,0)</f>
        <v>0</v>
      </c>
      <c r="S40" s="2191">
        <f>IF(S39+80&lt;$C$24,$C$24-S39-80,0)</f>
        <v>0</v>
      </c>
      <c r="T40" s="2191">
        <v>80</v>
      </c>
    </row>
    <row r="41" spans="1:20" ht="17.100000000000001" customHeight="1" x14ac:dyDescent="0.2">
      <c r="B41" s="2187" t="s">
        <v>30692</v>
      </c>
      <c r="C41" s="2660" t="str">
        <f t="shared" si="0"/>
        <v xml:space="preserve">0708161 / GKF 12,5mm </v>
      </c>
      <c r="D41" s="2661"/>
      <c r="E41" s="2211" t="str">
        <f t="shared" si="1"/>
        <v>Aufdopplung links senkrecht</v>
      </c>
      <c r="F41" s="2189" t="str">
        <f t="shared" si="2"/>
        <v>0708161</v>
      </c>
      <c r="G41" s="2189">
        <f t="shared" si="3"/>
        <v>1</v>
      </c>
      <c r="H41" s="2208">
        <f t="shared" si="4"/>
        <v>160</v>
      </c>
      <c r="I41" s="2208">
        <f t="shared" si="5"/>
        <v>80</v>
      </c>
      <c r="J41" s="2218">
        <f t="shared" si="6"/>
        <v>1.2800000000000001E-2</v>
      </c>
      <c r="K41" s="2219"/>
      <c r="N41" s="2660" t="s">
        <v>294</v>
      </c>
      <c r="O41" s="2661"/>
      <c r="P41" s="2188" t="s">
        <v>30690</v>
      </c>
      <c r="Q41" s="2189" t="str">
        <f>LEFT(N41,7)</f>
        <v>0708161</v>
      </c>
      <c r="R41" s="2190">
        <f>IF($C$24&gt;0,1,0)</f>
        <v>1</v>
      </c>
      <c r="S41" s="2191">
        <f>IF($C$24+80&lt;2491,$C$24+80,0)+IF(AND($C$24+80&gt;2490,$C$24+80&lt;2791),$C$24+80-300,0)+IF(AND($C$24+80&gt;2790),2490,0)</f>
        <v>160</v>
      </c>
      <c r="T41" s="2191">
        <v>80</v>
      </c>
    </row>
    <row r="42" spans="1:20" ht="17.100000000000001" customHeight="1" x14ac:dyDescent="0.2">
      <c r="B42" s="2187" t="s">
        <v>30693</v>
      </c>
      <c r="C42" s="2660" t="str">
        <f t="shared" si="0"/>
        <v xml:space="preserve">0708161 / GKF 12,5mm </v>
      </c>
      <c r="D42" s="2661"/>
      <c r="E42" s="2211" t="str">
        <f t="shared" si="1"/>
        <v>Aufdopplung links senkrecht</v>
      </c>
      <c r="F42" s="2189" t="str">
        <f t="shared" si="2"/>
        <v>0708161</v>
      </c>
      <c r="G42" s="2189">
        <f t="shared" si="3"/>
        <v>0</v>
      </c>
      <c r="H42" s="2208">
        <f t="shared" si="4"/>
        <v>0</v>
      </c>
      <c r="I42" s="2208">
        <f t="shared" si="5"/>
        <v>80</v>
      </c>
      <c r="J42" s="2218">
        <f t="shared" si="6"/>
        <v>0</v>
      </c>
      <c r="K42" s="2219"/>
      <c r="N42" s="2660" t="s">
        <v>294</v>
      </c>
      <c r="O42" s="2661"/>
      <c r="P42" s="2188" t="s">
        <v>30690</v>
      </c>
      <c r="Q42" s="2189" t="str">
        <f t="shared" si="8"/>
        <v>0708161</v>
      </c>
      <c r="R42" s="2190">
        <f>IF(S42&gt;0,1,0)</f>
        <v>0</v>
      </c>
      <c r="S42" s="2191">
        <f>IF((S41-80)&lt;$C$24,$C$24-S41+80,0)</f>
        <v>0</v>
      </c>
      <c r="T42" s="2191">
        <v>80</v>
      </c>
    </row>
    <row r="43" spans="1:20" ht="17.100000000000001" customHeight="1" x14ac:dyDescent="0.2">
      <c r="B43" s="2187" t="s">
        <v>30694</v>
      </c>
      <c r="C43" s="2660" t="str">
        <f t="shared" si="0"/>
        <v xml:space="preserve">0708161 / GKF 12,5mm </v>
      </c>
      <c r="D43" s="2661"/>
      <c r="E43" s="2211" t="str">
        <f t="shared" si="1"/>
        <v>Aufdopplung links senkrecht</v>
      </c>
      <c r="F43" s="2189" t="str">
        <f t="shared" si="2"/>
        <v>0708161</v>
      </c>
      <c r="G43" s="2189">
        <f t="shared" si="3"/>
        <v>1</v>
      </c>
      <c r="H43" s="2208">
        <f t="shared" si="4"/>
        <v>0</v>
      </c>
      <c r="I43" s="2208">
        <f t="shared" si="5"/>
        <v>80</v>
      </c>
      <c r="J43" s="2218">
        <f t="shared" si="6"/>
        <v>0</v>
      </c>
      <c r="K43" s="2219"/>
      <c r="N43" s="2660" t="s">
        <v>294</v>
      </c>
      <c r="O43" s="2661"/>
      <c r="P43" s="2188" t="s">
        <v>30690</v>
      </c>
      <c r="Q43" s="2189" t="str">
        <f>LEFT(N43,7)</f>
        <v>0708161</v>
      </c>
      <c r="R43" s="2190">
        <f>IF($C$24&gt;0,1,0)</f>
        <v>1</v>
      </c>
      <c r="S43" s="2191">
        <f>IF($C$24-80&lt;2491,$C$24-80,0)+IF(AND($C$24-80&gt;2490,$C$24-80&lt;2791),$C$24-80-300,0)+IF(AND($C$24-80&gt;2790),2490,0)</f>
        <v>0</v>
      </c>
      <c r="T43" s="2191">
        <v>80</v>
      </c>
    </row>
    <row r="44" spans="1:20" ht="17.100000000000001" customHeight="1" x14ac:dyDescent="0.2">
      <c r="B44" s="2187" t="s">
        <v>30695</v>
      </c>
      <c r="C44" s="2660" t="str">
        <f t="shared" si="0"/>
        <v xml:space="preserve">0708161 / GKF 12,5mm </v>
      </c>
      <c r="D44" s="2668"/>
      <c r="E44" s="2211" t="str">
        <f t="shared" si="1"/>
        <v>Aufdopplung links senkrecht</v>
      </c>
      <c r="F44" s="2189" t="str">
        <f t="shared" si="2"/>
        <v>0708161</v>
      </c>
      <c r="G44" s="2189">
        <f t="shared" si="3"/>
        <v>0</v>
      </c>
      <c r="H44" s="2208">
        <f t="shared" si="4"/>
        <v>0</v>
      </c>
      <c r="I44" s="2208">
        <f t="shared" si="5"/>
        <v>80</v>
      </c>
      <c r="J44" s="2218">
        <f t="shared" si="6"/>
        <v>0</v>
      </c>
      <c r="K44" s="2219"/>
      <c r="N44" s="2660" t="s">
        <v>294</v>
      </c>
      <c r="O44" s="2661"/>
      <c r="P44" s="2188" t="s">
        <v>30690</v>
      </c>
      <c r="Q44" s="2189" t="str">
        <f t="shared" si="8"/>
        <v>0708161</v>
      </c>
      <c r="R44" s="2190">
        <f>IF(S44&gt;0,1,0)</f>
        <v>0</v>
      </c>
      <c r="S44" s="2191">
        <f>IF(S43+80&lt;$C$24,$C$24-S43-80,0)</f>
        <v>0</v>
      </c>
      <c r="T44" s="2191">
        <v>80</v>
      </c>
    </row>
    <row r="45" spans="1:20" ht="17.100000000000001" customHeight="1" x14ac:dyDescent="0.2">
      <c r="B45" s="2187" t="s">
        <v>30696</v>
      </c>
      <c r="C45" s="2660" t="str">
        <f t="shared" si="0"/>
        <v xml:space="preserve">0202018 / GKF VK 18mm </v>
      </c>
      <c r="D45" s="2668"/>
      <c r="E45" s="2211" t="str">
        <f t="shared" si="1"/>
        <v>Aufdopplung links senkrecht</v>
      </c>
      <c r="F45" s="2189" t="str">
        <f t="shared" si="2"/>
        <v>0202018</v>
      </c>
      <c r="G45" s="2189">
        <f t="shared" si="3"/>
        <v>1</v>
      </c>
      <c r="H45" s="2208">
        <f t="shared" si="4"/>
        <v>160</v>
      </c>
      <c r="I45" s="2208">
        <f t="shared" si="5"/>
        <v>80</v>
      </c>
      <c r="J45" s="2218">
        <f t="shared" si="6"/>
        <v>1.2800000000000001E-2</v>
      </c>
      <c r="K45" s="2219"/>
      <c r="N45" s="2660" t="s">
        <v>29523</v>
      </c>
      <c r="O45" s="2661"/>
      <c r="P45" s="2188" t="s">
        <v>30690</v>
      </c>
      <c r="Q45" s="2189" t="str">
        <f>LEFT(N45,7)</f>
        <v>0202018</v>
      </c>
      <c r="R45" s="2190">
        <f>IF($C$24&gt;0,1,0)</f>
        <v>1</v>
      </c>
      <c r="S45" s="2191">
        <f>IF($C$24+80&lt;2491,$C$24+80,0)+IF(AND($C$24+80&gt;2490,$C$24+80&lt;2791),$C$24+80-300,0)+IF(AND($C$24+80&gt;2790),2490,0)</f>
        <v>160</v>
      </c>
      <c r="T45" s="2191">
        <v>80</v>
      </c>
    </row>
    <row r="46" spans="1:20" ht="17.100000000000001" customHeight="1" x14ac:dyDescent="0.2">
      <c r="B46" s="2187" t="s">
        <v>30697</v>
      </c>
      <c r="C46" s="2660" t="str">
        <f t="shared" si="0"/>
        <v xml:space="preserve">0202018 / GKF VK 18mm </v>
      </c>
      <c r="D46" s="2668"/>
      <c r="E46" s="2211" t="str">
        <f t="shared" si="1"/>
        <v>Aufdopplung links senkrecht</v>
      </c>
      <c r="F46" s="2189" t="str">
        <f t="shared" si="2"/>
        <v>0202018</v>
      </c>
      <c r="G46" s="2189">
        <f t="shared" si="3"/>
        <v>0</v>
      </c>
      <c r="H46" s="2208">
        <f t="shared" si="4"/>
        <v>0</v>
      </c>
      <c r="I46" s="2208">
        <f t="shared" si="5"/>
        <v>80</v>
      </c>
      <c r="J46" s="2218">
        <f t="shared" si="6"/>
        <v>0</v>
      </c>
      <c r="K46" s="2219"/>
      <c r="N46" s="2660" t="s">
        <v>29523</v>
      </c>
      <c r="O46" s="2661"/>
      <c r="P46" s="2188" t="s">
        <v>30690</v>
      </c>
      <c r="Q46" s="2189" t="str">
        <f t="shared" si="8"/>
        <v>0202018</v>
      </c>
      <c r="R46" s="2190">
        <f>IF(S46&gt;0,1,0)</f>
        <v>0</v>
      </c>
      <c r="S46" s="2191">
        <f>IF((S45-80)&lt;$C$24,$C$24-S45+80,0)</f>
        <v>0</v>
      </c>
      <c r="T46" s="2191">
        <v>80</v>
      </c>
    </row>
    <row r="47" spans="1:20" ht="17.100000000000001" customHeight="1" x14ac:dyDescent="0.2">
      <c r="B47" s="2187" t="s">
        <v>30698</v>
      </c>
      <c r="C47" s="2660" t="str">
        <f t="shared" si="0"/>
        <v xml:space="preserve">0202018 / GKF VK 18mm </v>
      </c>
      <c r="D47" s="2668"/>
      <c r="E47" s="2211" t="str">
        <f t="shared" si="1"/>
        <v>Aufdopplung links senkrecht</v>
      </c>
      <c r="F47" s="2189" t="str">
        <f t="shared" si="2"/>
        <v>0202018</v>
      </c>
      <c r="G47" s="2189">
        <f t="shared" si="3"/>
        <v>1</v>
      </c>
      <c r="H47" s="2208">
        <f t="shared" si="4"/>
        <v>0</v>
      </c>
      <c r="I47" s="2208">
        <f t="shared" si="5"/>
        <v>80</v>
      </c>
      <c r="J47" s="2218">
        <f t="shared" si="6"/>
        <v>0</v>
      </c>
      <c r="K47" s="2219"/>
      <c r="N47" s="2660" t="s">
        <v>29523</v>
      </c>
      <c r="O47" s="2661"/>
      <c r="P47" s="2188" t="s">
        <v>30690</v>
      </c>
      <c r="Q47" s="2189" t="str">
        <f>LEFT(N47,7)</f>
        <v>0202018</v>
      </c>
      <c r="R47" s="2190">
        <f>IF($C$24&gt;0,1,0)</f>
        <v>1</v>
      </c>
      <c r="S47" s="2191">
        <f>IF($C$24-80&lt;2491,$C$24-80,0)+IF(AND($C$24-80&gt;2490,$C$24-80&lt;2791),$C$24-80-300,0)+IF(AND($C$24-80&gt;2790),2490,0)</f>
        <v>0</v>
      </c>
      <c r="T47" s="2191">
        <v>80</v>
      </c>
    </row>
    <row r="48" spans="1:20" ht="17.100000000000001" customHeight="1" thickBot="1" x14ac:dyDescent="0.25">
      <c r="B48" s="2192" t="s">
        <v>30699</v>
      </c>
      <c r="C48" s="2660" t="str">
        <f t="shared" si="0"/>
        <v xml:space="preserve">0202018 / GKF VK 18mm </v>
      </c>
      <c r="D48" s="2668"/>
      <c r="E48" s="2211" t="str">
        <f t="shared" si="1"/>
        <v>Aufdopplung links senkrecht</v>
      </c>
      <c r="F48" s="2189" t="str">
        <f t="shared" si="2"/>
        <v>0202018</v>
      </c>
      <c r="G48" s="2189">
        <f t="shared" si="3"/>
        <v>0</v>
      </c>
      <c r="H48" s="2208">
        <f t="shared" si="4"/>
        <v>0</v>
      </c>
      <c r="I48" s="2208">
        <f t="shared" si="5"/>
        <v>80</v>
      </c>
      <c r="J48" s="2218">
        <f t="shared" si="6"/>
        <v>0</v>
      </c>
      <c r="K48" s="2219"/>
      <c r="N48" s="2666" t="s">
        <v>29523</v>
      </c>
      <c r="O48" s="2667"/>
      <c r="P48" s="2193" t="s">
        <v>30690</v>
      </c>
      <c r="Q48" s="2194" t="str">
        <f t="shared" si="8"/>
        <v>0202018</v>
      </c>
      <c r="R48" s="2190">
        <f>IF(S48&gt;0,1,0)</f>
        <v>0</v>
      </c>
      <c r="S48" s="2196">
        <f>IF(S47+80&lt;$C$24,$C$24-S47-80,0)</f>
        <v>0</v>
      </c>
      <c r="T48" s="2191">
        <v>80</v>
      </c>
    </row>
    <row r="49" spans="2:20" ht="17.100000000000001" customHeight="1" x14ac:dyDescent="0.2">
      <c r="B49" s="2197" t="s">
        <v>30700</v>
      </c>
      <c r="C49" s="2660" t="str">
        <f t="shared" si="0"/>
        <v xml:space="preserve">0202003 / Promatect-H 6  </v>
      </c>
      <c r="D49" s="2668"/>
      <c r="E49" s="2211" t="str">
        <f t="shared" si="1"/>
        <v>Aufdopplung mitte</v>
      </c>
      <c r="F49" s="2189" t="str">
        <f t="shared" si="2"/>
        <v>0202003</v>
      </c>
      <c r="G49" s="2189">
        <f t="shared" si="3"/>
        <v>1</v>
      </c>
      <c r="H49" s="2208">
        <f t="shared" si="4"/>
        <v>960</v>
      </c>
      <c r="I49" s="2208">
        <f t="shared" si="5"/>
        <v>80</v>
      </c>
      <c r="J49" s="2218">
        <f t="shared" si="6"/>
        <v>7.6799999999999993E-2</v>
      </c>
      <c r="K49" s="2219"/>
      <c r="N49" s="2658" t="s">
        <v>86</v>
      </c>
      <c r="O49" s="2659"/>
      <c r="P49" s="2198" t="s">
        <v>30701</v>
      </c>
      <c r="Q49" s="2199" t="str">
        <f>LEFT(N49,7)</f>
        <v>0202003</v>
      </c>
      <c r="R49" s="2200">
        <f>IF($C$22&gt;0,1,0)</f>
        <v>1</v>
      </c>
      <c r="S49" s="2201">
        <f>IF($C$22&lt;2491,$C$22,0)+IF(AND($C$22&gt;2490,$C$22&lt;2791),$C$22-300,0)+IF(AND($C$22&gt;2790),2490,0)</f>
        <v>960</v>
      </c>
      <c r="T49" s="2191">
        <v>80</v>
      </c>
    </row>
    <row r="50" spans="2:20" ht="17.100000000000001" customHeight="1" x14ac:dyDescent="0.2">
      <c r="B50" s="2187" t="s">
        <v>30702</v>
      </c>
      <c r="C50" s="2660" t="str">
        <f t="shared" si="0"/>
        <v xml:space="preserve">0202003 / Promatect-H 6  </v>
      </c>
      <c r="D50" s="2668"/>
      <c r="E50" s="2211" t="str">
        <f t="shared" si="1"/>
        <v>Aufdopplung mitte</v>
      </c>
      <c r="F50" s="2189" t="str">
        <f t="shared" si="2"/>
        <v>0202003</v>
      </c>
      <c r="G50" s="2189">
        <f t="shared" si="3"/>
        <v>0</v>
      </c>
      <c r="H50" s="2208">
        <f t="shared" si="4"/>
        <v>0</v>
      </c>
      <c r="I50" s="2208">
        <f t="shared" si="5"/>
        <v>80</v>
      </c>
      <c r="J50" s="2218">
        <f t="shared" si="6"/>
        <v>0</v>
      </c>
      <c r="K50" s="2219"/>
      <c r="N50" s="2660" t="s">
        <v>86</v>
      </c>
      <c r="O50" s="2661"/>
      <c r="P50" s="2188" t="s">
        <v>30701</v>
      </c>
      <c r="Q50" s="2189" t="str">
        <f t="shared" ref="Q50:Q58" si="9">LEFT(N50,7)</f>
        <v>0202003</v>
      </c>
      <c r="R50" s="2190">
        <f>IF(S50&gt;0,1,0)</f>
        <v>0</v>
      </c>
      <c r="S50" s="2191">
        <f>IF(S49&lt;$C$22,$C$22-S49,0)</f>
        <v>0</v>
      </c>
      <c r="T50" s="2191">
        <v>80</v>
      </c>
    </row>
    <row r="51" spans="2:20" ht="17.100000000000001" customHeight="1" x14ac:dyDescent="0.2">
      <c r="B51" s="2187" t="s">
        <v>30703</v>
      </c>
      <c r="C51" s="2660" t="str">
        <f t="shared" si="0"/>
        <v xml:space="preserve">0708161 / GKF 12,5mm </v>
      </c>
      <c r="D51" s="2668"/>
      <c r="E51" s="2211" t="str">
        <f t="shared" si="1"/>
        <v>Aufdopplung mitte</v>
      </c>
      <c r="F51" s="2189" t="str">
        <f t="shared" si="2"/>
        <v>0708161</v>
      </c>
      <c r="G51" s="2189">
        <f t="shared" si="3"/>
        <v>1</v>
      </c>
      <c r="H51" s="2208">
        <f t="shared" si="4"/>
        <v>800</v>
      </c>
      <c r="I51" s="2208">
        <f t="shared" si="5"/>
        <v>80</v>
      </c>
      <c r="J51" s="2218">
        <f t="shared" si="6"/>
        <v>6.4000000000000001E-2</v>
      </c>
      <c r="K51" s="2219"/>
      <c r="N51" s="2660" t="s">
        <v>294</v>
      </c>
      <c r="O51" s="2661"/>
      <c r="P51" s="2188" t="s">
        <v>30701</v>
      </c>
      <c r="Q51" s="2189" t="str">
        <f>LEFT(N51,7)</f>
        <v>0708161</v>
      </c>
      <c r="R51" s="2190">
        <f>IF($C$22&gt;0,1,0)</f>
        <v>1</v>
      </c>
      <c r="S51" s="2191">
        <f>IF($C$22-80-80&lt;2491,$C$22-80-80,0)+IF(AND($C$22-80-80&gt;2490,$C$22-80-80&lt;2791),$C$22-80-80-300,0)+IF(AND($C$22-80-80&gt;2790),2490,0)</f>
        <v>800</v>
      </c>
      <c r="T51" s="2191">
        <v>80</v>
      </c>
    </row>
    <row r="52" spans="2:20" ht="17.100000000000001" customHeight="1" x14ac:dyDescent="0.2">
      <c r="B52" s="2187" t="s">
        <v>30704</v>
      </c>
      <c r="C52" s="2660" t="str">
        <f t="shared" si="0"/>
        <v xml:space="preserve">0708161 / GKF 12,5mm </v>
      </c>
      <c r="D52" s="2668"/>
      <c r="E52" s="2211" t="str">
        <f t="shared" si="1"/>
        <v>Aufdopplung mitte</v>
      </c>
      <c r="F52" s="2189" t="str">
        <f t="shared" si="2"/>
        <v>0708161</v>
      </c>
      <c r="G52" s="2189">
        <f t="shared" si="3"/>
        <v>0</v>
      </c>
      <c r="H52" s="2208">
        <f t="shared" si="4"/>
        <v>0</v>
      </c>
      <c r="I52" s="2208">
        <f t="shared" si="5"/>
        <v>80</v>
      </c>
      <c r="J52" s="2218">
        <f t="shared" si="6"/>
        <v>0</v>
      </c>
      <c r="K52" s="2219"/>
      <c r="N52" s="2660" t="s">
        <v>294</v>
      </c>
      <c r="O52" s="2661"/>
      <c r="P52" s="2188" t="s">
        <v>30701</v>
      </c>
      <c r="Q52" s="2189" t="str">
        <f t="shared" si="9"/>
        <v>0708161</v>
      </c>
      <c r="R52" s="2190">
        <f>IF(S52&gt;0,1,0)</f>
        <v>0</v>
      </c>
      <c r="S52" s="2191">
        <f>IF(S51+80+80&lt;$C$22,$C$22-S51-80-80,0)</f>
        <v>0</v>
      </c>
      <c r="T52" s="2191">
        <v>80</v>
      </c>
    </row>
    <row r="53" spans="2:20" ht="17.100000000000001" customHeight="1" x14ac:dyDescent="0.2">
      <c r="B53" s="2187" t="s">
        <v>30705</v>
      </c>
      <c r="C53" s="2660" t="str">
        <f t="shared" si="0"/>
        <v xml:space="preserve">0708161 / GKF 12,5mm </v>
      </c>
      <c r="D53" s="2668"/>
      <c r="E53" s="2211" t="str">
        <f t="shared" si="1"/>
        <v>Aufdopplung mitte</v>
      </c>
      <c r="F53" s="2189" t="str">
        <f t="shared" si="2"/>
        <v>0708161</v>
      </c>
      <c r="G53" s="2189">
        <f t="shared" si="3"/>
        <v>1</v>
      </c>
      <c r="H53" s="2208">
        <f t="shared" si="4"/>
        <v>960</v>
      </c>
      <c r="I53" s="2208">
        <f t="shared" si="5"/>
        <v>80</v>
      </c>
      <c r="J53" s="2218">
        <f t="shared" si="6"/>
        <v>7.6799999999999993E-2</v>
      </c>
      <c r="K53" s="2219"/>
      <c r="N53" s="2660" t="s">
        <v>294</v>
      </c>
      <c r="O53" s="2661"/>
      <c r="P53" s="2188" t="s">
        <v>30701</v>
      </c>
      <c r="Q53" s="2189" t="str">
        <f>LEFT(N53,7)</f>
        <v>0708161</v>
      </c>
      <c r="R53" s="2190">
        <f>IF($C$22&gt;0,1,0)</f>
        <v>1</v>
      </c>
      <c r="S53" s="2191">
        <f>IF($C$22&lt;2491,$C$22,0)+IF(AND($C$22&gt;2490,$C$22&lt;2791),$C$22-300,0)+IF(AND($C$22&gt;2790),2490,0)</f>
        <v>960</v>
      </c>
      <c r="T53" s="2191">
        <v>80</v>
      </c>
    </row>
    <row r="54" spans="2:20" ht="17.100000000000001" customHeight="1" x14ac:dyDescent="0.2">
      <c r="B54" s="2187" t="s">
        <v>30706</v>
      </c>
      <c r="C54" s="2660" t="str">
        <f t="shared" si="0"/>
        <v xml:space="preserve">0708161 / GKF 12,5mm </v>
      </c>
      <c r="D54" s="2668"/>
      <c r="E54" s="2211" t="str">
        <f t="shared" si="1"/>
        <v>Aufdopplung mitte</v>
      </c>
      <c r="F54" s="2189" t="str">
        <f t="shared" si="2"/>
        <v>0708161</v>
      </c>
      <c r="G54" s="2189">
        <f t="shared" si="3"/>
        <v>0</v>
      </c>
      <c r="H54" s="2208">
        <f t="shared" si="4"/>
        <v>0</v>
      </c>
      <c r="I54" s="2208">
        <f t="shared" si="5"/>
        <v>80</v>
      </c>
      <c r="J54" s="2218">
        <f t="shared" si="6"/>
        <v>0</v>
      </c>
      <c r="K54" s="2219"/>
      <c r="N54" s="2660" t="s">
        <v>294</v>
      </c>
      <c r="O54" s="2661"/>
      <c r="P54" s="2188" t="s">
        <v>30701</v>
      </c>
      <c r="Q54" s="2189" t="str">
        <f t="shared" si="9"/>
        <v>0708161</v>
      </c>
      <c r="R54" s="2190">
        <f>IF(S54&gt;0,1,0)</f>
        <v>0</v>
      </c>
      <c r="S54" s="2191">
        <f>IF(S53&lt;$C$22,$C$22-S53,0)</f>
        <v>0</v>
      </c>
      <c r="T54" s="2191">
        <v>80</v>
      </c>
    </row>
    <row r="55" spans="2:20" ht="17.100000000000001" customHeight="1" x14ac:dyDescent="0.2">
      <c r="B55" s="2187" t="s">
        <v>30707</v>
      </c>
      <c r="C55" s="2660" t="str">
        <f t="shared" si="0"/>
        <v xml:space="preserve">0202018 / GKF VK 18mm </v>
      </c>
      <c r="D55" s="2668"/>
      <c r="E55" s="2211" t="str">
        <f t="shared" si="1"/>
        <v>Aufdopplung mitte</v>
      </c>
      <c r="F55" s="2189" t="str">
        <f t="shared" si="2"/>
        <v>0202018</v>
      </c>
      <c r="G55" s="2189">
        <f t="shared" si="3"/>
        <v>1</v>
      </c>
      <c r="H55" s="2208">
        <f t="shared" si="4"/>
        <v>800</v>
      </c>
      <c r="I55" s="2208">
        <f t="shared" si="5"/>
        <v>80</v>
      </c>
      <c r="J55" s="2218">
        <f t="shared" si="6"/>
        <v>6.4000000000000001E-2</v>
      </c>
      <c r="K55" s="2219"/>
      <c r="N55" s="2660" t="s">
        <v>29523</v>
      </c>
      <c r="O55" s="2661"/>
      <c r="P55" s="2188" t="s">
        <v>30701</v>
      </c>
      <c r="Q55" s="2189" t="str">
        <f>LEFT(N55,7)</f>
        <v>0202018</v>
      </c>
      <c r="R55" s="2190">
        <f>IF($C$22&gt;0,1,0)</f>
        <v>1</v>
      </c>
      <c r="S55" s="2191">
        <f>IF($C$22-80-80&lt;2491,$C$22-80-80,0)+IF(AND($C$22-80-80&gt;2490,$C$22-80-80&lt;2791),$C$22-80-80-300,0)+IF(AND($C$22-80-80&gt;2790),2490,0)</f>
        <v>800</v>
      </c>
      <c r="T55" s="2191">
        <v>80</v>
      </c>
    </row>
    <row r="56" spans="2:20" ht="17.100000000000001" customHeight="1" x14ac:dyDescent="0.2">
      <c r="B56" s="2187" t="s">
        <v>30708</v>
      </c>
      <c r="C56" s="2660" t="str">
        <f t="shared" si="0"/>
        <v xml:space="preserve">0202018 / GKF VK 18mm </v>
      </c>
      <c r="D56" s="2668"/>
      <c r="E56" s="2211" t="str">
        <f t="shared" si="1"/>
        <v>Aufdopplung mitte</v>
      </c>
      <c r="F56" s="2189" t="str">
        <f t="shared" si="2"/>
        <v>0202018</v>
      </c>
      <c r="G56" s="2189">
        <f t="shared" si="3"/>
        <v>0</v>
      </c>
      <c r="H56" s="2208">
        <f t="shared" si="4"/>
        <v>0</v>
      </c>
      <c r="I56" s="2208">
        <f t="shared" si="5"/>
        <v>80</v>
      </c>
      <c r="J56" s="2218">
        <f t="shared" si="6"/>
        <v>0</v>
      </c>
      <c r="K56" s="2219"/>
      <c r="N56" s="2660" t="s">
        <v>29523</v>
      </c>
      <c r="O56" s="2661"/>
      <c r="P56" s="2188" t="s">
        <v>30701</v>
      </c>
      <c r="Q56" s="2189" t="str">
        <f t="shared" si="9"/>
        <v>0202018</v>
      </c>
      <c r="R56" s="2190">
        <f>IF(S56&gt;0,1,0)</f>
        <v>0</v>
      </c>
      <c r="S56" s="2191">
        <f>IF(S55+80+80&lt;$C$22,$C$22-S55-80-80,0)</f>
        <v>0</v>
      </c>
      <c r="T56" s="2191">
        <v>80</v>
      </c>
    </row>
    <row r="57" spans="2:20" ht="17.100000000000001" customHeight="1" x14ac:dyDescent="0.2">
      <c r="B57" s="2187" t="s">
        <v>30709</v>
      </c>
      <c r="C57" s="2660" t="str">
        <f t="shared" si="0"/>
        <v xml:space="preserve">0202018 / GKF VK 18mm </v>
      </c>
      <c r="D57" s="2668"/>
      <c r="E57" s="2211" t="str">
        <f t="shared" si="1"/>
        <v>Aufdopplung mitte</v>
      </c>
      <c r="F57" s="2189" t="str">
        <f t="shared" si="2"/>
        <v>0202018</v>
      </c>
      <c r="G57" s="2189">
        <f t="shared" si="3"/>
        <v>1</v>
      </c>
      <c r="H57" s="2208">
        <f t="shared" si="4"/>
        <v>960</v>
      </c>
      <c r="I57" s="2208">
        <f t="shared" si="5"/>
        <v>80</v>
      </c>
      <c r="J57" s="2218">
        <f t="shared" si="6"/>
        <v>7.6799999999999993E-2</v>
      </c>
      <c r="K57" s="2219"/>
      <c r="N57" s="2660" t="s">
        <v>29523</v>
      </c>
      <c r="O57" s="2661"/>
      <c r="P57" s="2188" t="s">
        <v>30701</v>
      </c>
      <c r="Q57" s="2189" t="str">
        <f>LEFT(N57,7)</f>
        <v>0202018</v>
      </c>
      <c r="R57" s="2190">
        <f>IF($C$22&gt;0,1,0)</f>
        <v>1</v>
      </c>
      <c r="S57" s="2191">
        <f>IF($C$22&lt;2491,$C$22,0)+IF(AND($C$22&gt;2490,$C$22&lt;2791),$C$22-300,0)+IF(AND($C$22&gt;2790),2490,0)</f>
        <v>960</v>
      </c>
      <c r="T57" s="2191">
        <v>80</v>
      </c>
    </row>
    <row r="58" spans="2:20" ht="17.100000000000001" customHeight="1" thickBot="1" x14ac:dyDescent="0.25">
      <c r="B58" s="2192" t="s">
        <v>30710</v>
      </c>
      <c r="C58" s="2660" t="str">
        <f t="shared" si="0"/>
        <v xml:space="preserve">0202018 / GKF VK 18mm </v>
      </c>
      <c r="D58" s="2668"/>
      <c r="E58" s="2211" t="str">
        <f t="shared" si="1"/>
        <v>Aufdopplung mitte</v>
      </c>
      <c r="F58" s="2189" t="str">
        <f t="shared" si="2"/>
        <v>0202018</v>
      </c>
      <c r="G58" s="2189">
        <f t="shared" si="3"/>
        <v>0</v>
      </c>
      <c r="H58" s="2208">
        <f t="shared" si="4"/>
        <v>0</v>
      </c>
      <c r="I58" s="2208">
        <f t="shared" si="5"/>
        <v>80</v>
      </c>
      <c r="J58" s="2218">
        <f t="shared" si="6"/>
        <v>0</v>
      </c>
      <c r="K58" s="2219"/>
      <c r="N58" s="2666" t="s">
        <v>29523</v>
      </c>
      <c r="O58" s="2667"/>
      <c r="P58" s="2193" t="s">
        <v>30701</v>
      </c>
      <c r="Q58" s="2194" t="str">
        <f t="shared" si="9"/>
        <v>0202018</v>
      </c>
      <c r="R58" s="2190">
        <f>IF(S58&gt;0,1,0)</f>
        <v>0</v>
      </c>
      <c r="S58" s="2196">
        <f>IF(S57&lt;$C$22,$C$22-S57,0)</f>
        <v>0</v>
      </c>
      <c r="T58" s="2191">
        <v>80</v>
      </c>
    </row>
    <row r="59" spans="2:20" ht="17.100000000000001" customHeight="1" x14ac:dyDescent="0.2">
      <c r="B59" s="2197" t="s">
        <v>30711</v>
      </c>
      <c r="C59" s="2660" t="str">
        <f t="shared" si="0"/>
        <v xml:space="preserve">0202003 / Promatect-H 6  </v>
      </c>
      <c r="D59" s="2668"/>
      <c r="E59" s="2211" t="str">
        <f t="shared" si="1"/>
        <v>Aufdopplung rechts senkrecht</v>
      </c>
      <c r="F59" s="2189" t="str">
        <f t="shared" si="2"/>
        <v>0202003</v>
      </c>
      <c r="G59" s="2189">
        <f t="shared" si="3"/>
        <v>1</v>
      </c>
      <c r="H59" s="2208">
        <f t="shared" si="4"/>
        <v>0</v>
      </c>
      <c r="I59" s="2208">
        <f t="shared" si="5"/>
        <v>80</v>
      </c>
      <c r="J59" s="2218">
        <f t="shared" si="6"/>
        <v>0</v>
      </c>
      <c r="K59" s="2219"/>
      <c r="N59" s="2658" t="s">
        <v>86</v>
      </c>
      <c r="O59" s="2659"/>
      <c r="P59" s="2198" t="s">
        <v>30712</v>
      </c>
      <c r="Q59" s="2199" t="str">
        <f>LEFT(N59,7)</f>
        <v>0202003</v>
      </c>
      <c r="R59" s="2200">
        <f>IF($C$24&gt;0,1,0)</f>
        <v>1</v>
      </c>
      <c r="S59" s="2201">
        <f>IF($C$24-80&lt;2491,$C$24-80,0)+IF(AND($C$24-80&gt;2490,$C$24-80&lt;2791),$C$24-80-300,0)+IF(AND($C$24-80&gt;2790),2490,0)</f>
        <v>0</v>
      </c>
      <c r="T59" s="2191">
        <v>80</v>
      </c>
    </row>
    <row r="60" spans="2:20" ht="17.100000000000001" customHeight="1" x14ac:dyDescent="0.2">
      <c r="B60" s="2187" t="s">
        <v>30713</v>
      </c>
      <c r="C60" s="2660" t="str">
        <f t="shared" si="0"/>
        <v xml:space="preserve">0202003 / Promatect-H 6  </v>
      </c>
      <c r="D60" s="2668"/>
      <c r="E60" s="2211" t="str">
        <f t="shared" si="1"/>
        <v>Aufdopplung rechts senkrecht</v>
      </c>
      <c r="F60" s="2189" t="str">
        <f t="shared" si="2"/>
        <v>0202003</v>
      </c>
      <c r="G60" s="2189">
        <f t="shared" si="3"/>
        <v>0</v>
      </c>
      <c r="H60" s="2208">
        <f t="shared" si="4"/>
        <v>0</v>
      </c>
      <c r="I60" s="2208">
        <f t="shared" si="5"/>
        <v>80</v>
      </c>
      <c r="J60" s="2218">
        <f t="shared" si="6"/>
        <v>0</v>
      </c>
      <c r="K60" s="2219"/>
      <c r="N60" s="2660" t="s">
        <v>86</v>
      </c>
      <c r="O60" s="2661"/>
      <c r="P60" s="2188" t="s">
        <v>30712</v>
      </c>
      <c r="Q60" s="2189" t="str">
        <f t="shared" ref="Q60:Q78" si="10">LEFT(N60,7)</f>
        <v>0202003</v>
      </c>
      <c r="R60" s="2190">
        <f>IF(S60&gt;0,1,0)</f>
        <v>0</v>
      </c>
      <c r="S60" s="2191">
        <f>IF(S59+80&lt;$C$24,$C$24-S59-80,0)</f>
        <v>0</v>
      </c>
      <c r="T60" s="2191">
        <v>80</v>
      </c>
    </row>
    <row r="61" spans="2:20" ht="17.100000000000001" customHeight="1" x14ac:dyDescent="0.2">
      <c r="B61" s="2187" t="s">
        <v>30714</v>
      </c>
      <c r="C61" s="2660" t="str">
        <f t="shared" si="0"/>
        <v xml:space="preserve">0708161 / GKF 12,5mm </v>
      </c>
      <c r="D61" s="2668"/>
      <c r="E61" s="2211" t="str">
        <f t="shared" si="1"/>
        <v>Aufdopplung rechts senkrecht</v>
      </c>
      <c r="F61" s="2189" t="str">
        <f t="shared" si="2"/>
        <v>0708161</v>
      </c>
      <c r="G61" s="2189">
        <f t="shared" si="3"/>
        <v>1</v>
      </c>
      <c r="H61" s="2208">
        <f t="shared" si="4"/>
        <v>160</v>
      </c>
      <c r="I61" s="2208">
        <f t="shared" si="5"/>
        <v>80</v>
      </c>
      <c r="J61" s="2218">
        <f t="shared" si="6"/>
        <v>1.2800000000000001E-2</v>
      </c>
      <c r="K61" s="2219"/>
      <c r="N61" s="2660" t="s">
        <v>294</v>
      </c>
      <c r="O61" s="2661"/>
      <c r="P61" s="2188" t="s">
        <v>30712</v>
      </c>
      <c r="Q61" s="2189" t="str">
        <f>LEFT(N61,7)</f>
        <v>0708161</v>
      </c>
      <c r="R61" s="2190">
        <f>IF($C$24&gt;0,1,0)</f>
        <v>1</v>
      </c>
      <c r="S61" s="2191">
        <f>IF($C$24+80&lt;2491,$C$24+80,0)+IF(AND($C$24+80&gt;2490,$C$24+80&lt;2791),$C$24+80-300,0)+IF(AND($C$24+80&gt;2790),2490,0)</f>
        <v>160</v>
      </c>
      <c r="T61" s="2191">
        <v>80</v>
      </c>
    </row>
    <row r="62" spans="2:20" ht="17.100000000000001" customHeight="1" x14ac:dyDescent="0.2">
      <c r="B62" s="2187" t="s">
        <v>30715</v>
      </c>
      <c r="C62" s="2660" t="str">
        <f t="shared" si="0"/>
        <v xml:space="preserve">0708161 / GKF 12,5mm </v>
      </c>
      <c r="D62" s="2668"/>
      <c r="E62" s="2211" t="str">
        <f t="shared" si="1"/>
        <v>Aufdopplung rechts senkrecht</v>
      </c>
      <c r="F62" s="2189" t="str">
        <f t="shared" si="2"/>
        <v>0708161</v>
      </c>
      <c r="G62" s="2189">
        <f t="shared" si="3"/>
        <v>0</v>
      </c>
      <c r="H62" s="2208">
        <f t="shared" si="4"/>
        <v>0</v>
      </c>
      <c r="I62" s="2208">
        <f t="shared" si="5"/>
        <v>80</v>
      </c>
      <c r="J62" s="2218">
        <f t="shared" si="6"/>
        <v>0</v>
      </c>
      <c r="K62" s="2219"/>
      <c r="N62" s="2660" t="s">
        <v>294</v>
      </c>
      <c r="O62" s="2661"/>
      <c r="P62" s="2188" t="s">
        <v>30712</v>
      </c>
      <c r="Q62" s="2189" t="str">
        <f t="shared" si="10"/>
        <v>0708161</v>
      </c>
      <c r="R62" s="2190">
        <f>IF(S62&gt;0,1,0)</f>
        <v>0</v>
      </c>
      <c r="S62" s="2191">
        <f>IF((S61-80)&lt;$C$24,$C$24-S61+80,0)</f>
        <v>0</v>
      </c>
      <c r="T62" s="2191">
        <v>80</v>
      </c>
    </row>
    <row r="63" spans="2:20" ht="17.100000000000001" customHeight="1" x14ac:dyDescent="0.2">
      <c r="B63" s="2187" t="s">
        <v>30716</v>
      </c>
      <c r="C63" s="2660" t="str">
        <f t="shared" si="0"/>
        <v xml:space="preserve">0708161 / GKF 12,5mm </v>
      </c>
      <c r="D63" s="2668"/>
      <c r="E63" s="2211" t="str">
        <f t="shared" si="1"/>
        <v>Aufdopplung rechts senkrecht</v>
      </c>
      <c r="F63" s="2189" t="str">
        <f t="shared" si="2"/>
        <v>0708161</v>
      </c>
      <c r="G63" s="2189">
        <f t="shared" si="3"/>
        <v>1</v>
      </c>
      <c r="H63" s="2208">
        <f t="shared" si="4"/>
        <v>0</v>
      </c>
      <c r="I63" s="2208">
        <f t="shared" si="5"/>
        <v>80</v>
      </c>
      <c r="J63" s="2218">
        <f t="shared" si="6"/>
        <v>0</v>
      </c>
      <c r="K63" s="2219"/>
      <c r="N63" s="2660" t="s">
        <v>294</v>
      </c>
      <c r="O63" s="2661"/>
      <c r="P63" s="2188" t="s">
        <v>30712</v>
      </c>
      <c r="Q63" s="2189" t="str">
        <f>LEFT(N63,7)</f>
        <v>0708161</v>
      </c>
      <c r="R63" s="2190">
        <f>IF($C$24&gt;0,1,0)</f>
        <v>1</v>
      </c>
      <c r="S63" s="2191">
        <f>IF($C$24-80&lt;2491,$C$24-80,0)+IF(AND($C$24-80&gt;2490,$C$24-80&lt;2791),$C$24-80-300,0)+IF(AND($C$24-80&gt;2790),2490,0)</f>
        <v>0</v>
      </c>
      <c r="T63" s="2191">
        <v>80</v>
      </c>
    </row>
    <row r="64" spans="2:20" ht="17.100000000000001" customHeight="1" x14ac:dyDescent="0.2">
      <c r="B64" s="2187" t="s">
        <v>30717</v>
      </c>
      <c r="C64" s="2660" t="str">
        <f t="shared" si="0"/>
        <v xml:space="preserve">0708161 / GKF 12,5mm </v>
      </c>
      <c r="D64" s="2668"/>
      <c r="E64" s="2211" t="str">
        <f t="shared" si="1"/>
        <v>Aufdopplung rechts senkrecht</v>
      </c>
      <c r="F64" s="2189" t="str">
        <f t="shared" si="2"/>
        <v>0708161</v>
      </c>
      <c r="G64" s="2189">
        <f t="shared" si="3"/>
        <v>0</v>
      </c>
      <c r="H64" s="2208">
        <f t="shared" si="4"/>
        <v>0</v>
      </c>
      <c r="I64" s="2208">
        <f t="shared" si="5"/>
        <v>80</v>
      </c>
      <c r="J64" s="2218">
        <f t="shared" si="6"/>
        <v>0</v>
      </c>
      <c r="K64" s="2219"/>
      <c r="N64" s="2660" t="s">
        <v>294</v>
      </c>
      <c r="O64" s="2661"/>
      <c r="P64" s="2188" t="s">
        <v>30712</v>
      </c>
      <c r="Q64" s="2189" t="str">
        <f t="shared" si="10"/>
        <v>0708161</v>
      </c>
      <c r="R64" s="2190">
        <f>IF(S64&gt;0,1,0)</f>
        <v>0</v>
      </c>
      <c r="S64" s="2191">
        <f>IF(S63+80&lt;$C$24,$C$24-S63-80,0)</f>
        <v>0</v>
      </c>
      <c r="T64" s="2191">
        <v>80</v>
      </c>
    </row>
    <row r="65" spans="2:20" ht="17.100000000000001" customHeight="1" x14ac:dyDescent="0.2">
      <c r="B65" s="2187" t="s">
        <v>30718</v>
      </c>
      <c r="C65" s="2660" t="str">
        <f t="shared" si="0"/>
        <v xml:space="preserve">0202018 / GKF VK 18mm </v>
      </c>
      <c r="D65" s="2668"/>
      <c r="E65" s="2211" t="str">
        <f t="shared" si="1"/>
        <v>Aufdopplung rechts senkrecht</v>
      </c>
      <c r="F65" s="2189" t="str">
        <f t="shared" si="2"/>
        <v>0202018</v>
      </c>
      <c r="G65" s="2189">
        <f t="shared" si="3"/>
        <v>1</v>
      </c>
      <c r="H65" s="2208">
        <f t="shared" si="4"/>
        <v>160</v>
      </c>
      <c r="I65" s="2208">
        <f t="shared" si="5"/>
        <v>80</v>
      </c>
      <c r="J65" s="2218">
        <f t="shared" si="6"/>
        <v>1.2800000000000001E-2</v>
      </c>
      <c r="K65" s="2219"/>
      <c r="N65" s="2660" t="s">
        <v>29523</v>
      </c>
      <c r="O65" s="2661"/>
      <c r="P65" s="2188" t="s">
        <v>30712</v>
      </c>
      <c r="Q65" s="2189" t="str">
        <f>LEFT(N65,7)</f>
        <v>0202018</v>
      </c>
      <c r="R65" s="2190">
        <f>IF($C$24&gt;0,1,0)</f>
        <v>1</v>
      </c>
      <c r="S65" s="2191">
        <f>IF($C$24+80&lt;2491,$C$24+80,0)+IF(AND($C$24+80&gt;2490,$C$24+80&lt;2791),$C$24+80-300,0)+IF(AND($C$24+80&gt;2790),2490,0)</f>
        <v>160</v>
      </c>
      <c r="T65" s="2191">
        <v>80</v>
      </c>
    </row>
    <row r="66" spans="2:20" ht="17.100000000000001" customHeight="1" x14ac:dyDescent="0.2">
      <c r="B66" s="2187" t="s">
        <v>30719</v>
      </c>
      <c r="C66" s="2660" t="str">
        <f t="shared" si="0"/>
        <v xml:space="preserve">0202018 / GKF VK 18mm </v>
      </c>
      <c r="D66" s="2668"/>
      <c r="E66" s="2211" t="str">
        <f t="shared" si="1"/>
        <v>Aufdopplung rechts senkrecht</v>
      </c>
      <c r="F66" s="2189" t="str">
        <f t="shared" si="2"/>
        <v>0202018</v>
      </c>
      <c r="G66" s="2189">
        <f t="shared" si="3"/>
        <v>0</v>
      </c>
      <c r="H66" s="2208">
        <f t="shared" si="4"/>
        <v>0</v>
      </c>
      <c r="I66" s="2208">
        <f t="shared" si="5"/>
        <v>80</v>
      </c>
      <c r="J66" s="2218">
        <f t="shared" si="6"/>
        <v>0</v>
      </c>
      <c r="K66" s="2219"/>
      <c r="N66" s="2660" t="s">
        <v>29523</v>
      </c>
      <c r="O66" s="2661"/>
      <c r="P66" s="2188" t="s">
        <v>30712</v>
      </c>
      <c r="Q66" s="2189" t="str">
        <f t="shared" si="10"/>
        <v>0202018</v>
      </c>
      <c r="R66" s="2190">
        <f>IF(S66&gt;0,1,0)</f>
        <v>0</v>
      </c>
      <c r="S66" s="2191">
        <f>IF((S65-80)&lt;$C$24,$C$24-S65+80,0)</f>
        <v>0</v>
      </c>
      <c r="T66" s="2191">
        <v>80</v>
      </c>
    </row>
    <row r="67" spans="2:20" ht="17.100000000000001" customHeight="1" x14ac:dyDescent="0.2">
      <c r="B67" s="2187" t="s">
        <v>30720</v>
      </c>
      <c r="C67" s="2660" t="str">
        <f t="shared" si="0"/>
        <v xml:space="preserve">0202018 / GKF VK 18mm </v>
      </c>
      <c r="D67" s="2668"/>
      <c r="E67" s="2211" t="str">
        <f t="shared" si="1"/>
        <v>Aufdopplung rechts senkrecht</v>
      </c>
      <c r="F67" s="2189" t="str">
        <f t="shared" si="2"/>
        <v>0202018</v>
      </c>
      <c r="G67" s="2189">
        <f t="shared" si="3"/>
        <v>1</v>
      </c>
      <c r="H67" s="2208">
        <f t="shared" si="4"/>
        <v>0</v>
      </c>
      <c r="I67" s="2208">
        <f t="shared" si="5"/>
        <v>80</v>
      </c>
      <c r="J67" s="2218">
        <f t="shared" si="6"/>
        <v>0</v>
      </c>
      <c r="K67" s="2219"/>
      <c r="N67" s="2660" t="s">
        <v>29523</v>
      </c>
      <c r="O67" s="2661"/>
      <c r="P67" s="2188" t="s">
        <v>30712</v>
      </c>
      <c r="Q67" s="2189" t="str">
        <f>LEFT(N67,7)</f>
        <v>0202018</v>
      </c>
      <c r="R67" s="2190">
        <f>IF($C$24&gt;0,1,0)</f>
        <v>1</v>
      </c>
      <c r="S67" s="2191">
        <f>IF($C$24-80&lt;2491,$C$24-80,0)+IF(AND($C$24-80&gt;2490,$C$24-80&lt;2791),$C$24-80-300,0)+IF(AND($C$24-80&gt;2790),2490,0)</f>
        <v>0</v>
      </c>
      <c r="T67" s="2191">
        <v>80</v>
      </c>
    </row>
    <row r="68" spans="2:20" ht="17.100000000000001" customHeight="1" thickBot="1" x14ac:dyDescent="0.25">
      <c r="B68" s="2192" t="s">
        <v>30721</v>
      </c>
      <c r="C68" s="2660" t="str">
        <f t="shared" si="0"/>
        <v xml:space="preserve">0202018 / GKF VK 18mm </v>
      </c>
      <c r="D68" s="2668"/>
      <c r="E68" s="2211" t="str">
        <f t="shared" si="1"/>
        <v>Aufdopplung rechts senkrecht</v>
      </c>
      <c r="F68" s="2189" t="str">
        <f t="shared" si="2"/>
        <v>0202018</v>
      </c>
      <c r="G68" s="2189">
        <f t="shared" si="3"/>
        <v>0</v>
      </c>
      <c r="H68" s="2208">
        <f t="shared" si="4"/>
        <v>0</v>
      </c>
      <c r="I68" s="2208">
        <f t="shared" si="5"/>
        <v>80</v>
      </c>
      <c r="J68" s="2218">
        <f t="shared" si="6"/>
        <v>0</v>
      </c>
      <c r="K68" s="2219"/>
      <c r="N68" s="2666" t="s">
        <v>29523</v>
      </c>
      <c r="O68" s="2667"/>
      <c r="P68" s="2193" t="s">
        <v>30712</v>
      </c>
      <c r="Q68" s="2194" t="str">
        <f t="shared" si="10"/>
        <v>0202018</v>
      </c>
      <c r="R68" s="2190">
        <f>IF(S68&gt;0,1,0)</f>
        <v>0</v>
      </c>
      <c r="S68" s="2196">
        <f>IF(S67+80&lt;$C$24,$C$24-S67-80,0)</f>
        <v>0</v>
      </c>
      <c r="T68" s="2191">
        <v>80</v>
      </c>
    </row>
    <row r="69" spans="2:20" ht="17.100000000000001" customHeight="1" x14ac:dyDescent="0.2">
      <c r="B69" s="2197" t="s">
        <v>30722</v>
      </c>
      <c r="C69" s="2660" t="str">
        <f t="shared" si="0"/>
        <v xml:space="preserve">0202003 / Promatect-H 6  </v>
      </c>
      <c r="D69" s="2668"/>
      <c r="E69" s="2211" t="str">
        <f t="shared" si="1"/>
        <v>Aufdopplung rechts waagerecht</v>
      </c>
      <c r="F69" s="2189" t="str">
        <f t="shared" si="2"/>
        <v>0202003</v>
      </c>
      <c r="G69" s="2189">
        <f t="shared" si="3"/>
        <v>1</v>
      </c>
      <c r="H69" s="2208">
        <f t="shared" si="4"/>
        <v>80</v>
      </c>
      <c r="I69" s="2208">
        <f t="shared" si="5"/>
        <v>80</v>
      </c>
      <c r="J69" s="2218">
        <f t="shared" si="6"/>
        <v>6.4000000000000003E-3</v>
      </c>
      <c r="K69" s="2219"/>
      <c r="N69" s="2658" t="s">
        <v>86</v>
      </c>
      <c r="O69" s="2659"/>
      <c r="P69" s="2198" t="s">
        <v>30723</v>
      </c>
      <c r="Q69" s="2199" t="str">
        <f t="shared" si="10"/>
        <v>0202003</v>
      </c>
      <c r="R69" s="2200">
        <f>IF($C$21&gt;0,1,0)</f>
        <v>1</v>
      </c>
      <c r="S69" s="2201">
        <f>IF($C$23-60+80&lt;2491,$C$23-60+80,0)+IF(AND($C$23-60+80&gt;2490,$C$23-60+80&lt;2791),$C$23-60+80-300,0)+IF(AND($C$23-60+80&gt;2790),2490,0)</f>
        <v>80</v>
      </c>
      <c r="T69" s="2191">
        <v>80</v>
      </c>
    </row>
    <row r="70" spans="2:20" ht="17.100000000000001" customHeight="1" x14ac:dyDescent="0.2">
      <c r="B70" s="2187" t="s">
        <v>30724</v>
      </c>
      <c r="C70" s="2660" t="str">
        <f t="shared" si="0"/>
        <v xml:space="preserve">0202003 / Promatect-H 6  </v>
      </c>
      <c r="D70" s="2668"/>
      <c r="E70" s="2211" t="str">
        <f t="shared" si="1"/>
        <v>Aufdopplung rechts waagerecht</v>
      </c>
      <c r="F70" s="2189" t="str">
        <f t="shared" si="2"/>
        <v>0202003</v>
      </c>
      <c r="G70" s="2189">
        <f t="shared" si="3"/>
        <v>0</v>
      </c>
      <c r="H70" s="2208">
        <f t="shared" si="4"/>
        <v>0</v>
      </c>
      <c r="I70" s="2208">
        <f t="shared" si="5"/>
        <v>80</v>
      </c>
      <c r="J70" s="2218">
        <f t="shared" si="6"/>
        <v>0</v>
      </c>
      <c r="K70" s="2219"/>
      <c r="N70" s="2660" t="s">
        <v>86</v>
      </c>
      <c r="O70" s="2661"/>
      <c r="P70" s="2188" t="s">
        <v>30723</v>
      </c>
      <c r="Q70" s="2189" t="str">
        <f t="shared" si="10"/>
        <v>0202003</v>
      </c>
      <c r="R70" s="2190">
        <f>IF(S70&gt;0,1,0)</f>
        <v>0</v>
      </c>
      <c r="S70" s="2191">
        <f>IF(S69&lt;$C$23,$C$23-S69+20,0)</f>
        <v>0</v>
      </c>
      <c r="T70" s="2191">
        <v>80</v>
      </c>
    </row>
    <row r="71" spans="2:20" ht="17.100000000000001" customHeight="1" x14ac:dyDescent="0.2">
      <c r="B71" s="2187" t="s">
        <v>30725</v>
      </c>
      <c r="C71" s="2660" t="str">
        <f t="shared" si="0"/>
        <v xml:space="preserve">0708161 / GKF 12,5mm </v>
      </c>
      <c r="D71" s="2668"/>
      <c r="E71" s="2211" t="str">
        <f t="shared" si="1"/>
        <v>Aufdopplung rechts waagerecht</v>
      </c>
      <c r="F71" s="2189" t="str">
        <f t="shared" si="2"/>
        <v>0708161</v>
      </c>
      <c r="G71" s="2189">
        <f t="shared" si="3"/>
        <v>1</v>
      </c>
      <c r="H71" s="2208">
        <f t="shared" si="4"/>
        <v>0</v>
      </c>
      <c r="I71" s="2208">
        <f t="shared" si="5"/>
        <v>80</v>
      </c>
      <c r="J71" s="2218">
        <f t="shared" si="6"/>
        <v>0</v>
      </c>
      <c r="K71" s="2219"/>
      <c r="N71" s="2660" t="s">
        <v>294</v>
      </c>
      <c r="O71" s="2661"/>
      <c r="P71" s="2188" t="s">
        <v>30723</v>
      </c>
      <c r="Q71" s="2189" t="str">
        <f t="shared" si="10"/>
        <v>0708161</v>
      </c>
      <c r="R71" s="2190">
        <f>IF($C$21&gt;0,1,0)</f>
        <v>1</v>
      </c>
      <c r="S71" s="2191">
        <f>IF($C$23-60&lt;2491,$C$23-60,0)+IF(AND($C$23-60&gt;2490,$C$23-60&lt;2791),$C$23-60-300,0)+IF(AND($C$23-60&gt;2790),2490,0)</f>
        <v>0</v>
      </c>
      <c r="T71" s="2191">
        <v>80</v>
      </c>
    </row>
    <row r="72" spans="2:20" ht="17.100000000000001" customHeight="1" x14ac:dyDescent="0.2">
      <c r="B72" s="2187" t="s">
        <v>30726</v>
      </c>
      <c r="C72" s="2660" t="str">
        <f t="shared" si="0"/>
        <v xml:space="preserve">0708161 / GKF 12,5mm </v>
      </c>
      <c r="D72" s="2668"/>
      <c r="E72" s="2211" t="str">
        <f t="shared" si="1"/>
        <v>Aufdopplung rechts waagerecht</v>
      </c>
      <c r="F72" s="2189" t="str">
        <f t="shared" si="2"/>
        <v>0708161</v>
      </c>
      <c r="G72" s="2189">
        <f t="shared" si="3"/>
        <v>0</v>
      </c>
      <c r="H72" s="2208">
        <f t="shared" si="4"/>
        <v>0</v>
      </c>
      <c r="I72" s="2208">
        <f t="shared" si="5"/>
        <v>80</v>
      </c>
      <c r="J72" s="2218">
        <f t="shared" si="6"/>
        <v>0</v>
      </c>
      <c r="K72" s="2219"/>
      <c r="N72" s="2660" t="s">
        <v>294</v>
      </c>
      <c r="O72" s="2661"/>
      <c r="P72" s="2188" t="s">
        <v>30723</v>
      </c>
      <c r="Q72" s="2189" t="str">
        <f t="shared" si="10"/>
        <v>0708161</v>
      </c>
      <c r="R72" s="2190">
        <f>IF(S72&gt;0,1,0)</f>
        <v>0</v>
      </c>
      <c r="S72" s="2191">
        <f>IF((S71+60)&lt;$C$23,$C$23-S71-60,0)</f>
        <v>0</v>
      </c>
      <c r="T72" s="2191">
        <v>80</v>
      </c>
    </row>
    <row r="73" spans="2:20" ht="17.100000000000001" customHeight="1" x14ac:dyDescent="0.2">
      <c r="B73" s="2187" t="s">
        <v>30727</v>
      </c>
      <c r="C73" s="2660" t="str">
        <f t="shared" si="0"/>
        <v xml:space="preserve">0708161 / GKF 12,5mm </v>
      </c>
      <c r="D73" s="2668"/>
      <c r="E73" s="2211" t="str">
        <f t="shared" si="1"/>
        <v>Aufdopplung rechts waagerecht</v>
      </c>
      <c r="F73" s="2189" t="str">
        <f t="shared" si="2"/>
        <v>0708161</v>
      </c>
      <c r="G73" s="2189">
        <f t="shared" si="3"/>
        <v>1</v>
      </c>
      <c r="H73" s="2208">
        <f t="shared" si="4"/>
        <v>80</v>
      </c>
      <c r="I73" s="2208">
        <f t="shared" si="5"/>
        <v>80</v>
      </c>
      <c r="J73" s="2218">
        <f t="shared" si="6"/>
        <v>6.4000000000000003E-3</v>
      </c>
      <c r="K73" s="2219"/>
      <c r="N73" s="2660" t="s">
        <v>294</v>
      </c>
      <c r="O73" s="2661"/>
      <c r="P73" s="2188" t="s">
        <v>30723</v>
      </c>
      <c r="Q73" s="2189" t="str">
        <f t="shared" si="10"/>
        <v>0708161</v>
      </c>
      <c r="R73" s="2190">
        <f>IF($C$21&gt;0,1,0)</f>
        <v>1</v>
      </c>
      <c r="S73" s="2191">
        <f>IF($C$23-60+80&lt;2491,$C$23-60+80,0)+IF(AND($C$23-60+80&gt;2490,$C$23-60+80&lt;2791),$C$23-60+80-300,0)+IF(AND($C$23-60+80&gt;2790),2490,0)</f>
        <v>80</v>
      </c>
      <c r="T73" s="2191">
        <v>80</v>
      </c>
    </row>
    <row r="74" spans="2:20" ht="17.100000000000001" customHeight="1" x14ac:dyDescent="0.2">
      <c r="B74" s="2187" t="s">
        <v>30728</v>
      </c>
      <c r="C74" s="2660" t="str">
        <f t="shared" si="0"/>
        <v xml:space="preserve">0708161 / GKF 12,5mm </v>
      </c>
      <c r="D74" s="2668"/>
      <c r="E74" s="2211" t="str">
        <f t="shared" si="1"/>
        <v>Aufdopplung rechts waagerecht</v>
      </c>
      <c r="F74" s="2189" t="str">
        <f t="shared" si="2"/>
        <v>0708161</v>
      </c>
      <c r="G74" s="2189">
        <f t="shared" si="3"/>
        <v>0</v>
      </c>
      <c r="H74" s="2208">
        <f t="shared" si="4"/>
        <v>0</v>
      </c>
      <c r="I74" s="2208">
        <f t="shared" si="5"/>
        <v>80</v>
      </c>
      <c r="J74" s="2218">
        <f t="shared" si="6"/>
        <v>0</v>
      </c>
      <c r="K74" s="2219"/>
      <c r="N74" s="2660" t="s">
        <v>294</v>
      </c>
      <c r="O74" s="2661"/>
      <c r="P74" s="2188" t="s">
        <v>30723</v>
      </c>
      <c r="Q74" s="2189" t="str">
        <f t="shared" si="10"/>
        <v>0708161</v>
      </c>
      <c r="R74" s="2190">
        <f>IF(S74&gt;0,1,0)</f>
        <v>0</v>
      </c>
      <c r="S74" s="2191">
        <f>IF(S73&lt;$C$23,$C$23-S73+20,0)</f>
        <v>0</v>
      </c>
      <c r="T74" s="2191">
        <v>80</v>
      </c>
    </row>
    <row r="75" spans="2:20" ht="17.100000000000001" customHeight="1" x14ac:dyDescent="0.2">
      <c r="B75" s="2187" t="s">
        <v>30729</v>
      </c>
      <c r="C75" s="2660" t="str">
        <f t="shared" si="0"/>
        <v xml:space="preserve">0202018 / GKF VK 18mm </v>
      </c>
      <c r="D75" s="2668"/>
      <c r="E75" s="2211" t="str">
        <f t="shared" si="1"/>
        <v>Aufdopplung rechts waagerecht</v>
      </c>
      <c r="F75" s="2189" t="str">
        <f t="shared" si="2"/>
        <v>0202018</v>
      </c>
      <c r="G75" s="2189">
        <f t="shared" si="3"/>
        <v>1</v>
      </c>
      <c r="H75" s="2208">
        <f t="shared" si="4"/>
        <v>0</v>
      </c>
      <c r="I75" s="2208">
        <f t="shared" si="5"/>
        <v>80</v>
      </c>
      <c r="J75" s="2218">
        <f t="shared" si="6"/>
        <v>0</v>
      </c>
      <c r="K75" s="2219"/>
      <c r="N75" s="2660" t="s">
        <v>29523</v>
      </c>
      <c r="O75" s="2661"/>
      <c r="P75" s="2188" t="s">
        <v>30723</v>
      </c>
      <c r="Q75" s="2189" t="str">
        <f t="shared" si="10"/>
        <v>0202018</v>
      </c>
      <c r="R75" s="2190">
        <f>IF($C$21&gt;0,1,0)</f>
        <v>1</v>
      </c>
      <c r="S75" s="2191">
        <f>IF($C$23-60&lt;2491,$C$23-60,0)+IF(AND($C$23-60&gt;2490,$C$23-60&lt;2791),$C$23-60-300,0)+IF(AND($C$23-60&gt;2790),2490,0)</f>
        <v>0</v>
      </c>
      <c r="T75" s="2191">
        <v>80</v>
      </c>
    </row>
    <row r="76" spans="2:20" ht="17.100000000000001" customHeight="1" x14ac:dyDescent="0.2">
      <c r="B76" s="2187" t="s">
        <v>30730</v>
      </c>
      <c r="C76" s="2660" t="str">
        <f t="shared" si="0"/>
        <v xml:space="preserve">0202018 / GKF VK 18mm </v>
      </c>
      <c r="D76" s="2668"/>
      <c r="E76" s="2211" t="str">
        <f t="shared" si="1"/>
        <v>Aufdopplung rechts waagerecht</v>
      </c>
      <c r="F76" s="2189" t="str">
        <f t="shared" si="2"/>
        <v>0202018</v>
      </c>
      <c r="G76" s="2189">
        <f t="shared" si="3"/>
        <v>0</v>
      </c>
      <c r="H76" s="2208">
        <f t="shared" si="4"/>
        <v>0</v>
      </c>
      <c r="I76" s="2208">
        <f t="shared" si="5"/>
        <v>80</v>
      </c>
      <c r="J76" s="2218">
        <f t="shared" si="6"/>
        <v>0</v>
      </c>
      <c r="K76" s="2219"/>
      <c r="N76" s="2660" t="s">
        <v>29523</v>
      </c>
      <c r="O76" s="2661"/>
      <c r="P76" s="2188" t="s">
        <v>30723</v>
      </c>
      <c r="Q76" s="2189" t="str">
        <f t="shared" si="10"/>
        <v>0202018</v>
      </c>
      <c r="R76" s="2190">
        <f>IF(S76&gt;0,1,0)</f>
        <v>0</v>
      </c>
      <c r="S76" s="2191">
        <f>IF((S75+60)&lt;$C$23,$C$23-S75-60,0)</f>
        <v>0</v>
      </c>
      <c r="T76" s="2191">
        <v>80</v>
      </c>
    </row>
    <row r="77" spans="2:20" ht="17.100000000000001" customHeight="1" x14ac:dyDescent="0.2">
      <c r="B77" s="2187" t="s">
        <v>30731</v>
      </c>
      <c r="C77" s="2660" t="str">
        <f t="shared" si="0"/>
        <v xml:space="preserve">0202018 / GKF VK 18mm </v>
      </c>
      <c r="D77" s="2668"/>
      <c r="E77" s="2211" t="str">
        <f t="shared" si="1"/>
        <v>Aufdopplung rechts waagerecht</v>
      </c>
      <c r="F77" s="2189" t="str">
        <f t="shared" si="2"/>
        <v>0202018</v>
      </c>
      <c r="G77" s="2189">
        <f t="shared" si="3"/>
        <v>1</v>
      </c>
      <c r="H77" s="2208">
        <f t="shared" si="4"/>
        <v>80</v>
      </c>
      <c r="I77" s="2208">
        <f t="shared" si="5"/>
        <v>80</v>
      </c>
      <c r="J77" s="2218">
        <f t="shared" si="6"/>
        <v>6.4000000000000003E-3</v>
      </c>
      <c r="K77" s="2219"/>
      <c r="N77" s="2660" t="s">
        <v>29523</v>
      </c>
      <c r="O77" s="2661"/>
      <c r="P77" s="2188" t="s">
        <v>30723</v>
      </c>
      <c r="Q77" s="2189" t="str">
        <f t="shared" si="10"/>
        <v>0202018</v>
      </c>
      <c r="R77" s="2190">
        <f>IF($C$21&gt;0,1,0)</f>
        <v>1</v>
      </c>
      <c r="S77" s="2191">
        <f>IF($C$23-60+80&lt;2491,$C$23-60+80,0)+IF(AND($C$23-60+80&gt;2490,$C$23-60+80&lt;2791),$C$23-60+80-300,0)+IF(AND($C$23-60+80&gt;2790),2490,0)</f>
        <v>80</v>
      </c>
      <c r="T77" s="2191">
        <v>80</v>
      </c>
    </row>
    <row r="78" spans="2:20" ht="17.100000000000001" customHeight="1" thickBot="1" x14ac:dyDescent="0.25">
      <c r="B78" s="2192" t="s">
        <v>30732</v>
      </c>
      <c r="C78" s="2660" t="str">
        <f t="shared" si="0"/>
        <v xml:space="preserve">0202018 / GKF VK 18mm </v>
      </c>
      <c r="D78" s="2668"/>
      <c r="E78" s="2211" t="str">
        <f t="shared" si="1"/>
        <v>Aufdopplung rechts waagerecht</v>
      </c>
      <c r="F78" s="2189" t="str">
        <f t="shared" si="2"/>
        <v>0202018</v>
      </c>
      <c r="G78" s="2189">
        <f t="shared" si="3"/>
        <v>0</v>
      </c>
      <c r="H78" s="2208">
        <f t="shared" si="4"/>
        <v>0</v>
      </c>
      <c r="I78" s="2208">
        <f t="shared" si="5"/>
        <v>80</v>
      </c>
      <c r="J78" s="2218">
        <f t="shared" si="6"/>
        <v>0</v>
      </c>
      <c r="K78" s="2219"/>
      <c r="N78" s="2660" t="s">
        <v>29523</v>
      </c>
      <c r="O78" s="2661"/>
      <c r="P78" s="2188" t="s">
        <v>30723</v>
      </c>
      <c r="Q78" s="2189" t="str">
        <f t="shared" si="10"/>
        <v>0202018</v>
      </c>
      <c r="R78" s="2190">
        <f>IF(S78&gt;0,1,0)</f>
        <v>0</v>
      </c>
      <c r="S78" s="2191">
        <f>IF(S77&lt;$C$23,$C$23-S77+20,0)</f>
        <v>0</v>
      </c>
      <c r="T78" s="2191">
        <v>80</v>
      </c>
    </row>
    <row r="79" spans="2:20" ht="17.100000000000001" customHeight="1" x14ac:dyDescent="0.2">
      <c r="B79" s="2197" t="s">
        <v>30733</v>
      </c>
      <c r="C79" s="2658"/>
      <c r="D79" s="2659"/>
      <c r="E79" s="2198"/>
      <c r="F79" s="2199"/>
      <c r="G79" s="2200"/>
      <c r="H79" s="2201"/>
      <c r="I79" s="2201"/>
      <c r="J79" s="2222">
        <f>(H79/1000)*(I79/1000)*G79</f>
        <v>0</v>
      </c>
      <c r="K79" s="2223"/>
    </row>
    <row r="80" spans="2:20" ht="17.100000000000001" customHeight="1" x14ac:dyDescent="0.2">
      <c r="B80" s="2187" t="s">
        <v>30734</v>
      </c>
      <c r="C80" s="2660"/>
      <c r="D80" s="2661"/>
      <c r="E80" s="2188"/>
      <c r="F80" s="2189"/>
      <c r="G80" s="2190"/>
      <c r="H80" s="2191"/>
      <c r="I80" s="2191"/>
      <c r="J80" s="2218">
        <f t="shared" ref="J80:J88" si="11">(H80/1000)*(I80/1000)*G80</f>
        <v>0</v>
      </c>
      <c r="K80" s="2219"/>
    </row>
    <row r="81" spans="2:11" ht="17.100000000000001" customHeight="1" x14ac:dyDescent="0.2">
      <c r="B81" s="2187" t="s">
        <v>30735</v>
      </c>
      <c r="C81" s="2660"/>
      <c r="D81" s="2661"/>
      <c r="E81" s="2188"/>
      <c r="F81" s="2189"/>
      <c r="G81" s="2190"/>
      <c r="H81" s="2191"/>
      <c r="I81" s="2191"/>
      <c r="J81" s="2218">
        <f t="shared" si="11"/>
        <v>0</v>
      </c>
      <c r="K81" s="2219"/>
    </row>
    <row r="82" spans="2:11" ht="17.100000000000001" customHeight="1" x14ac:dyDescent="0.2">
      <c r="B82" s="2187" t="s">
        <v>30736</v>
      </c>
      <c r="C82" s="2660"/>
      <c r="D82" s="2661"/>
      <c r="E82" s="2188"/>
      <c r="F82" s="2189"/>
      <c r="G82" s="2190"/>
      <c r="H82" s="2191"/>
      <c r="I82" s="2191"/>
      <c r="J82" s="2218">
        <f t="shared" si="11"/>
        <v>0</v>
      </c>
      <c r="K82" s="2219"/>
    </row>
    <row r="83" spans="2:11" ht="17.100000000000001" customHeight="1" x14ac:dyDescent="0.2">
      <c r="B83" s="2187" t="s">
        <v>30737</v>
      </c>
      <c r="C83" s="2660"/>
      <c r="D83" s="2661"/>
      <c r="E83" s="2188"/>
      <c r="F83" s="2189"/>
      <c r="G83" s="2190"/>
      <c r="H83" s="2191"/>
      <c r="I83" s="2191"/>
      <c r="J83" s="2218">
        <f t="shared" si="11"/>
        <v>0</v>
      </c>
      <c r="K83" s="2219"/>
    </row>
    <row r="84" spans="2:11" ht="17.100000000000001" customHeight="1" x14ac:dyDescent="0.2">
      <c r="B84" s="2187" t="s">
        <v>30738</v>
      </c>
      <c r="C84" s="2660"/>
      <c r="D84" s="2661"/>
      <c r="E84" s="2188"/>
      <c r="F84" s="2189"/>
      <c r="G84" s="2190"/>
      <c r="H84" s="2191"/>
      <c r="I84" s="2191"/>
      <c r="J84" s="2218">
        <f t="shared" si="11"/>
        <v>0</v>
      </c>
      <c r="K84" s="2219"/>
    </row>
    <row r="85" spans="2:11" ht="17.100000000000001" customHeight="1" x14ac:dyDescent="0.2">
      <c r="B85" s="2187" t="s">
        <v>30739</v>
      </c>
      <c r="C85" s="2660"/>
      <c r="D85" s="2661"/>
      <c r="E85" s="2188"/>
      <c r="F85" s="2189"/>
      <c r="G85" s="2190"/>
      <c r="H85" s="2191"/>
      <c r="I85" s="2191"/>
      <c r="J85" s="2218">
        <f t="shared" si="11"/>
        <v>0</v>
      </c>
      <c r="K85" s="2219"/>
    </row>
    <row r="86" spans="2:11" ht="17.100000000000001" customHeight="1" x14ac:dyDescent="0.2">
      <c r="B86" s="2187" t="s">
        <v>30740</v>
      </c>
      <c r="C86" s="2660"/>
      <c r="D86" s="2661"/>
      <c r="E86" s="2188"/>
      <c r="F86" s="2189"/>
      <c r="G86" s="2190"/>
      <c r="H86" s="2191"/>
      <c r="I86" s="2191"/>
      <c r="J86" s="2218">
        <f t="shared" si="11"/>
        <v>0</v>
      </c>
      <c r="K86" s="2219"/>
    </row>
    <row r="87" spans="2:11" ht="17.100000000000001" customHeight="1" x14ac:dyDescent="0.2">
      <c r="B87" s="2187" t="s">
        <v>30741</v>
      </c>
      <c r="C87" s="2660"/>
      <c r="D87" s="2661"/>
      <c r="E87" s="2188"/>
      <c r="F87" s="2189"/>
      <c r="G87" s="2190"/>
      <c r="H87" s="2191"/>
      <c r="I87" s="2191"/>
      <c r="J87" s="2218">
        <f t="shared" si="11"/>
        <v>0</v>
      </c>
      <c r="K87" s="2219"/>
    </row>
    <row r="88" spans="2:11" ht="17.100000000000001" customHeight="1" thickBot="1" x14ac:dyDescent="0.25">
      <c r="B88" s="2192" t="s">
        <v>30742</v>
      </c>
      <c r="C88" s="2669"/>
      <c r="D88" s="2670"/>
      <c r="E88" s="2193"/>
      <c r="F88" s="2194"/>
      <c r="G88" s="2195"/>
      <c r="H88" s="2196"/>
      <c r="I88" s="2196"/>
      <c r="J88" s="2220">
        <f t="shared" si="11"/>
        <v>0</v>
      </c>
      <c r="K88" s="2221"/>
    </row>
    <row r="89" spans="2:11" ht="17.100000000000001" customHeight="1" x14ac:dyDescent="0.2">
      <c r="B89" s="2197" t="s">
        <v>30743</v>
      </c>
      <c r="C89" s="2658"/>
      <c r="D89" s="2659"/>
      <c r="E89" s="2198"/>
      <c r="F89" s="2199"/>
      <c r="G89" s="2200"/>
      <c r="H89" s="2201"/>
      <c r="I89" s="2201"/>
      <c r="J89" s="2222">
        <f>(H89/1000)*(I89/1000)*G89</f>
        <v>0</v>
      </c>
      <c r="K89" s="2223"/>
    </row>
    <row r="90" spans="2:11" ht="17.100000000000001" customHeight="1" x14ac:dyDescent="0.2">
      <c r="B90" s="2187" t="s">
        <v>30744</v>
      </c>
      <c r="C90" s="2660"/>
      <c r="D90" s="2661"/>
      <c r="E90" s="2188"/>
      <c r="F90" s="2189"/>
      <c r="G90" s="2190"/>
      <c r="H90" s="2191"/>
      <c r="I90" s="2191"/>
      <c r="J90" s="2218">
        <f t="shared" ref="J90:J98" si="12">(H90/1000)*(I90/1000)*G90</f>
        <v>0</v>
      </c>
      <c r="K90" s="2219"/>
    </row>
    <row r="91" spans="2:11" ht="17.100000000000001" customHeight="1" x14ac:dyDescent="0.2">
      <c r="B91" s="2187" t="s">
        <v>30745</v>
      </c>
      <c r="C91" s="2660"/>
      <c r="D91" s="2661"/>
      <c r="E91" s="2188"/>
      <c r="F91" s="2189"/>
      <c r="G91" s="2190"/>
      <c r="H91" s="2191"/>
      <c r="I91" s="2191"/>
      <c r="J91" s="2218">
        <f t="shared" si="12"/>
        <v>0</v>
      </c>
      <c r="K91" s="2219"/>
    </row>
    <row r="92" spans="2:11" ht="17.100000000000001" customHeight="1" x14ac:dyDescent="0.2">
      <c r="B92" s="2187" t="s">
        <v>30746</v>
      </c>
      <c r="C92" s="2660"/>
      <c r="D92" s="2661"/>
      <c r="E92" s="2188"/>
      <c r="F92" s="2189"/>
      <c r="G92" s="2190"/>
      <c r="H92" s="2191"/>
      <c r="I92" s="2191"/>
      <c r="J92" s="2218">
        <f t="shared" si="12"/>
        <v>0</v>
      </c>
      <c r="K92" s="2219"/>
    </row>
    <row r="93" spans="2:11" ht="17.100000000000001" customHeight="1" x14ac:dyDescent="0.2">
      <c r="B93" s="2187" t="s">
        <v>30747</v>
      </c>
      <c r="C93" s="2660"/>
      <c r="D93" s="2661"/>
      <c r="E93" s="2188"/>
      <c r="F93" s="2189"/>
      <c r="G93" s="2190"/>
      <c r="H93" s="2191"/>
      <c r="I93" s="2191"/>
      <c r="J93" s="2218">
        <f t="shared" si="12"/>
        <v>0</v>
      </c>
      <c r="K93" s="2219"/>
    </row>
    <row r="94" spans="2:11" ht="17.100000000000001" customHeight="1" x14ac:dyDescent="0.2">
      <c r="B94" s="2187" t="s">
        <v>30748</v>
      </c>
      <c r="C94" s="2660"/>
      <c r="D94" s="2661"/>
      <c r="E94" s="2188"/>
      <c r="F94" s="2189"/>
      <c r="G94" s="2190"/>
      <c r="H94" s="2191"/>
      <c r="I94" s="2191"/>
      <c r="J94" s="2218">
        <f t="shared" si="12"/>
        <v>0</v>
      </c>
      <c r="K94" s="2219"/>
    </row>
    <row r="95" spans="2:11" ht="17.100000000000001" customHeight="1" x14ac:dyDescent="0.2">
      <c r="B95" s="2187" t="s">
        <v>30749</v>
      </c>
      <c r="C95" s="2660"/>
      <c r="D95" s="2661"/>
      <c r="E95" s="2188"/>
      <c r="F95" s="2189"/>
      <c r="G95" s="2190"/>
      <c r="H95" s="2191"/>
      <c r="I95" s="2191"/>
      <c r="J95" s="2218">
        <f t="shared" si="12"/>
        <v>0</v>
      </c>
      <c r="K95" s="2219"/>
    </row>
    <row r="96" spans="2:11" ht="17.100000000000001" customHeight="1" x14ac:dyDescent="0.2">
      <c r="B96" s="2187" t="s">
        <v>30750</v>
      </c>
      <c r="C96" s="2660"/>
      <c r="D96" s="2661"/>
      <c r="E96" s="2188"/>
      <c r="F96" s="2189"/>
      <c r="G96" s="2190"/>
      <c r="H96" s="2191"/>
      <c r="I96" s="2191"/>
      <c r="J96" s="2218">
        <f t="shared" si="12"/>
        <v>0</v>
      </c>
      <c r="K96" s="2219"/>
    </row>
    <row r="97" spans="2:11" ht="17.100000000000001" customHeight="1" x14ac:dyDescent="0.2">
      <c r="B97" s="2187" t="s">
        <v>30751</v>
      </c>
      <c r="C97" s="2660"/>
      <c r="D97" s="2661"/>
      <c r="E97" s="2188"/>
      <c r="F97" s="2189"/>
      <c r="G97" s="2190"/>
      <c r="H97" s="2191"/>
      <c r="I97" s="2191"/>
      <c r="J97" s="2218">
        <f t="shared" si="12"/>
        <v>0</v>
      </c>
      <c r="K97" s="2219"/>
    </row>
    <row r="98" spans="2:11" ht="17.100000000000001" customHeight="1" thickBot="1" x14ac:dyDescent="0.25">
      <c r="B98" s="2192" t="s">
        <v>30752</v>
      </c>
      <c r="C98" s="2669"/>
      <c r="D98" s="2670"/>
      <c r="E98" s="2193"/>
      <c r="F98" s="2194"/>
      <c r="G98" s="2195"/>
      <c r="H98" s="2196"/>
      <c r="I98" s="2196"/>
      <c r="J98" s="2220">
        <f t="shared" si="12"/>
        <v>0</v>
      </c>
      <c r="K98" s="2221"/>
    </row>
    <row r="99" spans="2:11" ht="17.100000000000001" customHeight="1" x14ac:dyDescent="0.2">
      <c r="B99" s="2197" t="s">
        <v>30753</v>
      </c>
      <c r="C99" s="2658"/>
      <c r="D99" s="2659"/>
      <c r="E99" s="2198"/>
      <c r="F99" s="2199"/>
      <c r="G99" s="2200"/>
      <c r="H99" s="2201"/>
      <c r="I99" s="2201"/>
      <c r="J99" s="2222">
        <f>(H99/1000)*(I99/1000)*G99</f>
        <v>0</v>
      </c>
      <c r="K99" s="2223"/>
    </row>
    <row r="100" spans="2:11" ht="17.100000000000001" customHeight="1" x14ac:dyDescent="0.2">
      <c r="B100" s="2187" t="s">
        <v>30754</v>
      </c>
      <c r="C100" s="2660"/>
      <c r="D100" s="2661"/>
      <c r="E100" s="2188"/>
      <c r="F100" s="2189"/>
      <c r="G100" s="2190"/>
      <c r="H100" s="2191"/>
      <c r="I100" s="2191"/>
      <c r="J100" s="2218">
        <f t="shared" ref="J100:J108" si="13">(H100/1000)*(I100/1000)*G100</f>
        <v>0</v>
      </c>
      <c r="K100" s="2219"/>
    </row>
    <row r="101" spans="2:11" ht="17.100000000000001" customHeight="1" x14ac:dyDescent="0.2">
      <c r="B101" s="2187" t="s">
        <v>30755</v>
      </c>
      <c r="C101" s="2660"/>
      <c r="D101" s="2661"/>
      <c r="E101" s="2188"/>
      <c r="F101" s="2189"/>
      <c r="G101" s="2190"/>
      <c r="H101" s="2191"/>
      <c r="I101" s="2191"/>
      <c r="J101" s="2218">
        <f t="shared" si="13"/>
        <v>0</v>
      </c>
      <c r="K101" s="2219"/>
    </row>
    <row r="102" spans="2:11" ht="17.100000000000001" customHeight="1" x14ac:dyDescent="0.2">
      <c r="B102" s="2187" t="s">
        <v>30756</v>
      </c>
      <c r="C102" s="2660"/>
      <c r="D102" s="2661"/>
      <c r="E102" s="2188"/>
      <c r="F102" s="2189"/>
      <c r="G102" s="2190"/>
      <c r="H102" s="2191"/>
      <c r="I102" s="2191"/>
      <c r="J102" s="2218">
        <f t="shared" si="13"/>
        <v>0</v>
      </c>
      <c r="K102" s="2219"/>
    </row>
    <row r="103" spans="2:11" ht="17.100000000000001" customHeight="1" x14ac:dyDescent="0.2">
      <c r="B103" s="2187" t="s">
        <v>30757</v>
      </c>
      <c r="C103" s="2660"/>
      <c r="D103" s="2661"/>
      <c r="E103" s="2188"/>
      <c r="F103" s="2189"/>
      <c r="G103" s="2190"/>
      <c r="H103" s="2191"/>
      <c r="I103" s="2191"/>
      <c r="J103" s="2218">
        <f t="shared" si="13"/>
        <v>0</v>
      </c>
      <c r="K103" s="2219"/>
    </row>
    <row r="104" spans="2:11" ht="17.100000000000001" customHeight="1" x14ac:dyDescent="0.2">
      <c r="B104" s="2187" t="s">
        <v>30758</v>
      </c>
      <c r="C104" s="2660"/>
      <c r="D104" s="2661"/>
      <c r="E104" s="2188"/>
      <c r="F104" s="2189"/>
      <c r="G104" s="2190"/>
      <c r="H104" s="2191"/>
      <c r="I104" s="2191"/>
      <c r="J104" s="2218">
        <f t="shared" si="13"/>
        <v>0</v>
      </c>
      <c r="K104" s="2219"/>
    </row>
    <row r="105" spans="2:11" ht="17.100000000000001" customHeight="1" x14ac:dyDescent="0.2">
      <c r="B105" s="2187" t="s">
        <v>30759</v>
      </c>
      <c r="C105" s="2660"/>
      <c r="D105" s="2661"/>
      <c r="E105" s="2188"/>
      <c r="F105" s="2189"/>
      <c r="G105" s="2190"/>
      <c r="H105" s="2191"/>
      <c r="I105" s="2191"/>
      <c r="J105" s="2218">
        <f t="shared" si="13"/>
        <v>0</v>
      </c>
      <c r="K105" s="2219"/>
    </row>
    <row r="106" spans="2:11" ht="17.100000000000001" customHeight="1" x14ac:dyDescent="0.2">
      <c r="B106" s="2187" t="s">
        <v>30760</v>
      </c>
      <c r="C106" s="2660"/>
      <c r="D106" s="2661"/>
      <c r="E106" s="2188"/>
      <c r="F106" s="2189"/>
      <c r="G106" s="2190"/>
      <c r="H106" s="2191"/>
      <c r="I106" s="2191"/>
      <c r="J106" s="2218">
        <f t="shared" si="13"/>
        <v>0</v>
      </c>
      <c r="K106" s="2219"/>
    </row>
    <row r="107" spans="2:11" ht="17.100000000000001" customHeight="1" x14ac:dyDescent="0.2">
      <c r="B107" s="2192" t="s">
        <v>30761</v>
      </c>
      <c r="C107" s="2660"/>
      <c r="D107" s="2661"/>
      <c r="E107" s="2193"/>
      <c r="F107" s="2194"/>
      <c r="G107" s="2195"/>
      <c r="H107" s="2196"/>
      <c r="I107" s="2196"/>
      <c r="J107" s="2220">
        <f t="shared" si="13"/>
        <v>0</v>
      </c>
      <c r="K107" s="2221"/>
    </row>
    <row r="108" spans="2:11" ht="17.100000000000001" customHeight="1" thickBot="1" x14ac:dyDescent="0.25">
      <c r="B108" s="2202" t="s">
        <v>30762</v>
      </c>
      <c r="C108" s="2669"/>
      <c r="D108" s="2670"/>
      <c r="E108" s="2203"/>
      <c r="F108" s="2204"/>
      <c r="G108" s="2205"/>
      <c r="H108" s="2206"/>
      <c r="I108" s="2206"/>
      <c r="J108" s="2224">
        <f t="shared" si="13"/>
        <v>0</v>
      </c>
      <c r="K108" s="2225"/>
    </row>
    <row r="109" spans="2:11" ht="17.100000000000001" customHeight="1" x14ac:dyDescent="0.2">
      <c r="B109" s="2187" t="s">
        <v>30763</v>
      </c>
      <c r="C109" s="2658"/>
      <c r="D109" s="2659"/>
      <c r="E109" s="2207"/>
      <c r="F109" s="2208"/>
      <c r="G109" s="2209"/>
      <c r="H109" s="2191"/>
      <c r="I109" s="2191"/>
      <c r="J109" s="2226">
        <f>(H109/1000)*(I109/1000)*G109</f>
        <v>0</v>
      </c>
      <c r="K109" s="2227"/>
    </row>
    <row r="110" spans="2:11" ht="17.100000000000001" customHeight="1" x14ac:dyDescent="0.2">
      <c r="B110" s="2187" t="s">
        <v>30764</v>
      </c>
      <c r="C110" s="2660"/>
      <c r="D110" s="2661"/>
      <c r="E110" s="2188"/>
      <c r="F110" s="2189"/>
      <c r="G110" s="2190"/>
      <c r="H110" s="2191"/>
      <c r="I110" s="2191"/>
      <c r="J110" s="2218">
        <f t="shared" ref="J110:J118" si="14">(H110/1000)*(I110/1000)*G110</f>
        <v>0</v>
      </c>
      <c r="K110" s="2219"/>
    </row>
    <row r="111" spans="2:11" ht="17.100000000000001" customHeight="1" x14ac:dyDescent="0.2">
      <c r="B111" s="2187" t="s">
        <v>30765</v>
      </c>
      <c r="C111" s="2660"/>
      <c r="D111" s="2661"/>
      <c r="E111" s="2188"/>
      <c r="F111" s="2189"/>
      <c r="G111" s="2190"/>
      <c r="H111" s="2191"/>
      <c r="I111" s="2191"/>
      <c r="J111" s="2218">
        <f t="shared" si="14"/>
        <v>0</v>
      </c>
      <c r="K111" s="2219"/>
    </row>
    <row r="112" spans="2:11" ht="17.100000000000001" customHeight="1" x14ac:dyDescent="0.2">
      <c r="B112" s="2187" t="s">
        <v>30766</v>
      </c>
      <c r="C112" s="2660"/>
      <c r="D112" s="2661"/>
      <c r="E112" s="2188"/>
      <c r="F112" s="2189"/>
      <c r="G112" s="2190"/>
      <c r="H112" s="2191"/>
      <c r="I112" s="2191"/>
      <c r="J112" s="2218">
        <f t="shared" si="14"/>
        <v>0</v>
      </c>
      <c r="K112" s="2219"/>
    </row>
    <row r="113" spans="2:11" ht="17.100000000000001" customHeight="1" x14ac:dyDescent="0.2">
      <c r="B113" s="2187" t="s">
        <v>30767</v>
      </c>
      <c r="C113" s="2660"/>
      <c r="D113" s="2661"/>
      <c r="E113" s="2188"/>
      <c r="F113" s="2189"/>
      <c r="G113" s="2190"/>
      <c r="H113" s="2191"/>
      <c r="I113" s="2191"/>
      <c r="J113" s="2218">
        <f t="shared" si="14"/>
        <v>0</v>
      </c>
      <c r="K113" s="2219"/>
    </row>
    <row r="114" spans="2:11" ht="17.100000000000001" customHeight="1" x14ac:dyDescent="0.2">
      <c r="B114" s="2187" t="s">
        <v>30768</v>
      </c>
      <c r="C114" s="2660"/>
      <c r="D114" s="2661"/>
      <c r="E114" s="2188"/>
      <c r="F114" s="2189"/>
      <c r="G114" s="2190"/>
      <c r="H114" s="2191"/>
      <c r="I114" s="2191"/>
      <c r="J114" s="2218">
        <f t="shared" si="14"/>
        <v>0</v>
      </c>
      <c r="K114" s="2219"/>
    </row>
    <row r="115" spans="2:11" ht="17.100000000000001" customHeight="1" x14ac:dyDescent="0.2">
      <c r="B115" s="2187" t="s">
        <v>30769</v>
      </c>
      <c r="C115" s="2660"/>
      <c r="D115" s="2661"/>
      <c r="E115" s="2188"/>
      <c r="F115" s="2189"/>
      <c r="G115" s="2190"/>
      <c r="H115" s="2191"/>
      <c r="I115" s="2191"/>
      <c r="J115" s="2218">
        <f t="shared" si="14"/>
        <v>0</v>
      </c>
      <c r="K115" s="2219"/>
    </row>
    <row r="116" spans="2:11" ht="17.100000000000001" customHeight="1" x14ac:dyDescent="0.2">
      <c r="B116" s="2187" t="s">
        <v>30770</v>
      </c>
      <c r="C116" s="2660"/>
      <c r="D116" s="2661"/>
      <c r="E116" s="2188"/>
      <c r="F116" s="2189"/>
      <c r="G116" s="2190"/>
      <c r="H116" s="2191"/>
      <c r="I116" s="2191"/>
      <c r="J116" s="2218">
        <f t="shared" si="14"/>
        <v>0</v>
      </c>
      <c r="K116" s="2219"/>
    </row>
    <row r="117" spans="2:11" ht="17.100000000000001" customHeight="1" x14ac:dyDescent="0.2">
      <c r="B117" s="2187" t="s">
        <v>30771</v>
      </c>
      <c r="C117" s="2660"/>
      <c r="D117" s="2661"/>
      <c r="E117" s="2188"/>
      <c r="F117" s="2189"/>
      <c r="G117" s="2190"/>
      <c r="H117" s="2191"/>
      <c r="I117" s="2191"/>
      <c r="J117" s="2218">
        <f t="shared" si="14"/>
        <v>0</v>
      </c>
      <c r="K117" s="2219"/>
    </row>
    <row r="118" spans="2:11" ht="17.100000000000001" customHeight="1" thickBot="1" x14ac:dyDescent="0.25">
      <c r="B118" s="2192" t="s">
        <v>30772</v>
      </c>
      <c r="C118" s="2669"/>
      <c r="D118" s="2670"/>
      <c r="E118" s="2193"/>
      <c r="F118" s="2194"/>
      <c r="G118" s="2195"/>
      <c r="H118" s="2196"/>
      <c r="I118" s="2196"/>
      <c r="J118" s="2220">
        <f t="shared" si="14"/>
        <v>0</v>
      </c>
      <c r="K118" s="2221"/>
    </row>
    <row r="119" spans="2:11" ht="17.100000000000001" customHeight="1" x14ac:dyDescent="0.2">
      <c r="B119" s="2197" t="s">
        <v>30773</v>
      </c>
      <c r="C119" s="2658"/>
      <c r="D119" s="2659"/>
      <c r="E119" s="2198"/>
      <c r="F119" s="2199"/>
      <c r="G119" s="2200"/>
      <c r="H119" s="2201"/>
      <c r="I119" s="2201"/>
      <c r="J119" s="2222">
        <f>(H119/1000)*(I119/1000)*G119</f>
        <v>0</v>
      </c>
      <c r="K119" s="2223"/>
    </row>
    <row r="120" spans="2:11" ht="17.100000000000001" customHeight="1" x14ac:dyDescent="0.2">
      <c r="B120" s="2187" t="s">
        <v>30774</v>
      </c>
      <c r="C120" s="2660"/>
      <c r="D120" s="2661"/>
      <c r="E120" s="2188"/>
      <c r="F120" s="2189"/>
      <c r="G120" s="2190"/>
      <c r="H120" s="2191"/>
      <c r="I120" s="2191"/>
      <c r="J120" s="2218">
        <f t="shared" ref="J120:J128" si="15">(H120/1000)*(I120/1000)*G120</f>
        <v>0</v>
      </c>
      <c r="K120" s="2219"/>
    </row>
    <row r="121" spans="2:11" ht="17.100000000000001" customHeight="1" x14ac:dyDescent="0.2">
      <c r="B121" s="2187" t="s">
        <v>30775</v>
      </c>
      <c r="C121" s="2660"/>
      <c r="D121" s="2661"/>
      <c r="E121" s="2188"/>
      <c r="F121" s="2189"/>
      <c r="G121" s="2190"/>
      <c r="H121" s="2191"/>
      <c r="I121" s="2191"/>
      <c r="J121" s="2218">
        <f t="shared" si="15"/>
        <v>0</v>
      </c>
      <c r="K121" s="2219"/>
    </row>
    <row r="122" spans="2:11" ht="17.100000000000001" customHeight="1" x14ac:dyDescent="0.2">
      <c r="B122" s="2187" t="s">
        <v>30776</v>
      </c>
      <c r="C122" s="2660"/>
      <c r="D122" s="2661"/>
      <c r="E122" s="2188"/>
      <c r="F122" s="2189"/>
      <c r="G122" s="2190"/>
      <c r="H122" s="2191"/>
      <c r="I122" s="2191"/>
      <c r="J122" s="2218">
        <f t="shared" si="15"/>
        <v>0</v>
      </c>
      <c r="K122" s="2219"/>
    </row>
    <row r="123" spans="2:11" ht="17.100000000000001" customHeight="1" x14ac:dyDescent="0.2">
      <c r="B123" s="2187" t="s">
        <v>30777</v>
      </c>
      <c r="C123" s="2660"/>
      <c r="D123" s="2661"/>
      <c r="E123" s="2188"/>
      <c r="F123" s="2189"/>
      <c r="G123" s="2190"/>
      <c r="H123" s="2191"/>
      <c r="I123" s="2191"/>
      <c r="J123" s="2218">
        <f t="shared" si="15"/>
        <v>0</v>
      </c>
      <c r="K123" s="2219"/>
    </row>
    <row r="124" spans="2:11" ht="17.100000000000001" customHeight="1" x14ac:dyDescent="0.2">
      <c r="B124" s="2187" t="s">
        <v>30778</v>
      </c>
      <c r="C124" s="2660"/>
      <c r="D124" s="2661"/>
      <c r="E124" s="2188"/>
      <c r="F124" s="2189"/>
      <c r="G124" s="2190"/>
      <c r="H124" s="2191"/>
      <c r="I124" s="2191"/>
      <c r="J124" s="2218">
        <f t="shared" si="15"/>
        <v>0</v>
      </c>
      <c r="K124" s="2219"/>
    </row>
    <row r="125" spans="2:11" ht="17.100000000000001" customHeight="1" x14ac:dyDescent="0.2">
      <c r="B125" s="2187" t="s">
        <v>30779</v>
      </c>
      <c r="C125" s="2660"/>
      <c r="D125" s="2661"/>
      <c r="E125" s="2188"/>
      <c r="F125" s="2189"/>
      <c r="G125" s="2190"/>
      <c r="H125" s="2191"/>
      <c r="I125" s="2191"/>
      <c r="J125" s="2218">
        <f t="shared" si="15"/>
        <v>0</v>
      </c>
      <c r="K125" s="2219"/>
    </row>
    <row r="126" spans="2:11" ht="17.100000000000001" customHeight="1" x14ac:dyDescent="0.2">
      <c r="B126" s="2187" t="s">
        <v>30780</v>
      </c>
      <c r="C126" s="2660"/>
      <c r="D126" s="2661"/>
      <c r="E126" s="2188"/>
      <c r="F126" s="2189"/>
      <c r="G126" s="2190"/>
      <c r="H126" s="2191"/>
      <c r="I126" s="2191"/>
      <c r="J126" s="2218">
        <f t="shared" si="15"/>
        <v>0</v>
      </c>
      <c r="K126" s="2219"/>
    </row>
    <row r="127" spans="2:11" ht="17.100000000000001" customHeight="1" x14ac:dyDescent="0.2">
      <c r="B127" s="2187" t="s">
        <v>30781</v>
      </c>
      <c r="C127" s="2660"/>
      <c r="D127" s="2661"/>
      <c r="E127" s="2188"/>
      <c r="F127" s="2189"/>
      <c r="G127" s="2190"/>
      <c r="H127" s="2191"/>
      <c r="I127" s="2191"/>
      <c r="J127" s="2218">
        <f t="shared" si="15"/>
        <v>0</v>
      </c>
      <c r="K127" s="2219"/>
    </row>
    <row r="128" spans="2:11" ht="17.100000000000001" customHeight="1" thickBot="1" x14ac:dyDescent="0.25">
      <c r="B128" s="2192" t="s">
        <v>30782</v>
      </c>
      <c r="C128" s="2669"/>
      <c r="D128" s="2670"/>
      <c r="E128" s="2193"/>
      <c r="F128" s="2194"/>
      <c r="G128" s="2195"/>
      <c r="H128" s="2196"/>
      <c r="I128" s="2196"/>
      <c r="J128" s="2220">
        <f t="shared" si="15"/>
        <v>0</v>
      </c>
      <c r="K128" s="2221"/>
    </row>
    <row r="129" spans="2:11" ht="17.100000000000001" customHeight="1" x14ac:dyDescent="0.2">
      <c r="B129" s="2197" t="s">
        <v>30783</v>
      </c>
      <c r="C129" s="2658"/>
      <c r="D129" s="2659"/>
      <c r="E129" s="2198"/>
      <c r="F129" s="2199"/>
      <c r="G129" s="2200"/>
      <c r="H129" s="2201"/>
      <c r="I129" s="2201"/>
      <c r="J129" s="2222">
        <f>(H129/1000)*(I129/1000)*G129</f>
        <v>0</v>
      </c>
      <c r="K129" s="2223"/>
    </row>
    <row r="130" spans="2:11" ht="17.100000000000001" customHeight="1" x14ac:dyDescent="0.2">
      <c r="B130" s="2187" t="s">
        <v>30784</v>
      </c>
      <c r="C130" s="2660"/>
      <c r="D130" s="2661"/>
      <c r="E130" s="2188"/>
      <c r="F130" s="2189"/>
      <c r="G130" s="2190"/>
      <c r="H130" s="2191"/>
      <c r="I130" s="2191"/>
      <c r="J130" s="2218">
        <f t="shared" ref="J130:J138" si="16">(H130/1000)*(I130/1000)*G130</f>
        <v>0</v>
      </c>
      <c r="K130" s="2219"/>
    </row>
    <row r="131" spans="2:11" ht="17.100000000000001" customHeight="1" x14ac:dyDescent="0.2">
      <c r="B131" s="2187" t="s">
        <v>30785</v>
      </c>
      <c r="C131" s="2660"/>
      <c r="D131" s="2661"/>
      <c r="E131" s="2188"/>
      <c r="F131" s="2189"/>
      <c r="G131" s="2190"/>
      <c r="H131" s="2191"/>
      <c r="I131" s="2191"/>
      <c r="J131" s="2218">
        <f t="shared" si="16"/>
        <v>0</v>
      </c>
      <c r="K131" s="2219"/>
    </row>
    <row r="132" spans="2:11" ht="17.100000000000001" customHeight="1" x14ac:dyDescent="0.2">
      <c r="B132" s="2187" t="s">
        <v>30786</v>
      </c>
      <c r="C132" s="2660"/>
      <c r="D132" s="2661"/>
      <c r="E132" s="2188"/>
      <c r="F132" s="2189"/>
      <c r="G132" s="2190"/>
      <c r="H132" s="2191"/>
      <c r="I132" s="2191"/>
      <c r="J132" s="2218">
        <f t="shared" si="16"/>
        <v>0</v>
      </c>
      <c r="K132" s="2219"/>
    </row>
    <row r="133" spans="2:11" ht="17.100000000000001" customHeight="1" x14ac:dyDescent="0.2">
      <c r="B133" s="2187" t="s">
        <v>30787</v>
      </c>
      <c r="C133" s="2660"/>
      <c r="D133" s="2661"/>
      <c r="E133" s="2188"/>
      <c r="F133" s="2189"/>
      <c r="G133" s="2190"/>
      <c r="H133" s="2191"/>
      <c r="I133" s="2191"/>
      <c r="J133" s="2218">
        <f t="shared" si="16"/>
        <v>0</v>
      </c>
      <c r="K133" s="2219"/>
    </row>
    <row r="134" spans="2:11" ht="17.100000000000001" customHeight="1" x14ac:dyDescent="0.2">
      <c r="B134" s="2187" t="s">
        <v>30788</v>
      </c>
      <c r="C134" s="2660"/>
      <c r="D134" s="2661"/>
      <c r="E134" s="2188"/>
      <c r="F134" s="2189"/>
      <c r="G134" s="2190"/>
      <c r="H134" s="2191"/>
      <c r="I134" s="2191"/>
      <c r="J134" s="2218">
        <f t="shared" si="16"/>
        <v>0</v>
      </c>
      <c r="K134" s="2219"/>
    </row>
    <row r="135" spans="2:11" ht="17.100000000000001" customHeight="1" x14ac:dyDescent="0.2">
      <c r="B135" s="2187" t="s">
        <v>30789</v>
      </c>
      <c r="C135" s="2660"/>
      <c r="D135" s="2661"/>
      <c r="E135" s="2188"/>
      <c r="F135" s="2189"/>
      <c r="G135" s="2190"/>
      <c r="H135" s="2191"/>
      <c r="I135" s="2191"/>
      <c r="J135" s="2218">
        <f t="shared" si="16"/>
        <v>0</v>
      </c>
      <c r="K135" s="2219"/>
    </row>
    <row r="136" spans="2:11" ht="17.100000000000001" customHeight="1" x14ac:dyDescent="0.2">
      <c r="B136" s="2187" t="s">
        <v>30790</v>
      </c>
      <c r="C136" s="2660"/>
      <c r="D136" s="2661"/>
      <c r="E136" s="2188"/>
      <c r="F136" s="2189"/>
      <c r="G136" s="2190"/>
      <c r="H136" s="2191"/>
      <c r="I136" s="2191"/>
      <c r="J136" s="2218">
        <f t="shared" si="16"/>
        <v>0</v>
      </c>
      <c r="K136" s="2219"/>
    </row>
    <row r="137" spans="2:11" ht="17.100000000000001" customHeight="1" x14ac:dyDescent="0.2">
      <c r="B137" s="2187" t="s">
        <v>30791</v>
      </c>
      <c r="C137" s="2660"/>
      <c r="D137" s="2661"/>
      <c r="E137" s="2188"/>
      <c r="F137" s="2189"/>
      <c r="G137" s="2190"/>
      <c r="H137" s="2191"/>
      <c r="I137" s="2191"/>
      <c r="J137" s="2218">
        <f t="shared" si="16"/>
        <v>0</v>
      </c>
      <c r="K137" s="2219"/>
    </row>
    <row r="138" spans="2:11" ht="17.100000000000001" customHeight="1" x14ac:dyDescent="0.2">
      <c r="B138" s="2187" t="s">
        <v>30792</v>
      </c>
      <c r="C138" s="2660"/>
      <c r="D138" s="2661"/>
      <c r="E138" s="2188"/>
      <c r="F138" s="2189"/>
      <c r="G138" s="2190"/>
      <c r="H138" s="2191"/>
      <c r="I138" s="2191"/>
      <c r="J138" s="2218">
        <f t="shared" si="16"/>
        <v>0</v>
      </c>
      <c r="K138" s="2219"/>
    </row>
  </sheetData>
  <mergeCells count="176">
    <mergeCell ref="C135:D135"/>
    <mergeCell ref="C136:D136"/>
    <mergeCell ref="C137:D137"/>
    <mergeCell ref="C138:D138"/>
    <mergeCell ref="C129:D129"/>
    <mergeCell ref="C130:D130"/>
    <mergeCell ref="C131:D131"/>
    <mergeCell ref="C132:D132"/>
    <mergeCell ref="C133:D133"/>
    <mergeCell ref="C134:D134"/>
    <mergeCell ref="C123:D123"/>
    <mergeCell ref="C124:D124"/>
    <mergeCell ref="C125:D125"/>
    <mergeCell ref="C126:D126"/>
    <mergeCell ref="C127:D127"/>
    <mergeCell ref="C128:D128"/>
    <mergeCell ref="C117:D117"/>
    <mergeCell ref="C118:D118"/>
    <mergeCell ref="C119:D119"/>
    <mergeCell ref="C120:D120"/>
    <mergeCell ref="C121:D121"/>
    <mergeCell ref="C122:D122"/>
    <mergeCell ref="C111:D111"/>
    <mergeCell ref="C112:D112"/>
    <mergeCell ref="C113:D113"/>
    <mergeCell ref="C114:D114"/>
    <mergeCell ref="C115:D115"/>
    <mergeCell ref="C116:D116"/>
    <mergeCell ref="C105:D105"/>
    <mergeCell ref="C106:D106"/>
    <mergeCell ref="C107:D107"/>
    <mergeCell ref="C108:D108"/>
    <mergeCell ref="C109:D109"/>
    <mergeCell ref="C110:D110"/>
    <mergeCell ref="C99:D99"/>
    <mergeCell ref="C100:D100"/>
    <mergeCell ref="C101:D101"/>
    <mergeCell ref="C102:D102"/>
    <mergeCell ref="C103:D103"/>
    <mergeCell ref="C104:D104"/>
    <mergeCell ref="C93:D93"/>
    <mergeCell ref="C94:D94"/>
    <mergeCell ref="C95:D95"/>
    <mergeCell ref="C96:D96"/>
    <mergeCell ref="C97:D97"/>
    <mergeCell ref="C98:D98"/>
    <mergeCell ref="C87:D87"/>
    <mergeCell ref="C88:D88"/>
    <mergeCell ref="C89:D89"/>
    <mergeCell ref="C90:D90"/>
    <mergeCell ref="C91:D91"/>
    <mergeCell ref="C92:D92"/>
    <mergeCell ref="C81:D81"/>
    <mergeCell ref="C82:D82"/>
    <mergeCell ref="C83:D83"/>
    <mergeCell ref="C84:D84"/>
    <mergeCell ref="C85:D85"/>
    <mergeCell ref="C86:D86"/>
    <mergeCell ref="C77:D77"/>
    <mergeCell ref="N77:O77"/>
    <mergeCell ref="C78:D78"/>
    <mergeCell ref="N78:O78"/>
    <mergeCell ref="C79:D79"/>
    <mergeCell ref="C80:D80"/>
    <mergeCell ref="C74:D74"/>
    <mergeCell ref="N74:O74"/>
    <mergeCell ref="C75:D75"/>
    <mergeCell ref="N75:O75"/>
    <mergeCell ref="C76:D76"/>
    <mergeCell ref="N76:O76"/>
    <mergeCell ref="C71:D71"/>
    <mergeCell ref="N71:O71"/>
    <mergeCell ref="C72:D72"/>
    <mergeCell ref="N72:O72"/>
    <mergeCell ref="C73:D73"/>
    <mergeCell ref="N73:O73"/>
    <mergeCell ref="C68:D68"/>
    <mergeCell ref="N68:O68"/>
    <mergeCell ref="C69:D69"/>
    <mergeCell ref="N69:O69"/>
    <mergeCell ref="C70:D70"/>
    <mergeCell ref="N70:O70"/>
    <mergeCell ref="C65:D65"/>
    <mergeCell ref="N65:O65"/>
    <mergeCell ref="C66:D66"/>
    <mergeCell ref="N66:O66"/>
    <mergeCell ref="C67:D67"/>
    <mergeCell ref="N67:O67"/>
    <mergeCell ref="C62:D62"/>
    <mergeCell ref="N62:O62"/>
    <mergeCell ref="C63:D63"/>
    <mergeCell ref="N63:O63"/>
    <mergeCell ref="C64:D64"/>
    <mergeCell ref="N64:O64"/>
    <mergeCell ref="C59:D59"/>
    <mergeCell ref="N59:O59"/>
    <mergeCell ref="C60:D60"/>
    <mergeCell ref="N60:O60"/>
    <mergeCell ref="C61:D61"/>
    <mergeCell ref="N61:O61"/>
    <mergeCell ref="C56:D56"/>
    <mergeCell ref="N56:O56"/>
    <mergeCell ref="C57:D57"/>
    <mergeCell ref="N57:O57"/>
    <mergeCell ref="C58:D58"/>
    <mergeCell ref="N58:O58"/>
    <mergeCell ref="C53:D53"/>
    <mergeCell ref="N53:O53"/>
    <mergeCell ref="C54:D54"/>
    <mergeCell ref="N54:O54"/>
    <mergeCell ref="C55:D55"/>
    <mergeCell ref="N55:O55"/>
    <mergeCell ref="C50:D50"/>
    <mergeCell ref="N50:O50"/>
    <mergeCell ref="C51:D51"/>
    <mergeCell ref="N51:O51"/>
    <mergeCell ref="C52:D52"/>
    <mergeCell ref="N52:O52"/>
    <mergeCell ref="C47:D47"/>
    <mergeCell ref="N47:O47"/>
    <mergeCell ref="C48:D48"/>
    <mergeCell ref="N48:O48"/>
    <mergeCell ref="C49:D49"/>
    <mergeCell ref="N49:O49"/>
    <mergeCell ref="C44:D44"/>
    <mergeCell ref="N44:O44"/>
    <mergeCell ref="C45:D45"/>
    <mergeCell ref="N45:O45"/>
    <mergeCell ref="C46:D46"/>
    <mergeCell ref="N46:O46"/>
    <mergeCell ref="C41:D41"/>
    <mergeCell ref="N41:O41"/>
    <mergeCell ref="C42:D42"/>
    <mergeCell ref="N42:O42"/>
    <mergeCell ref="C43:D43"/>
    <mergeCell ref="N43:O43"/>
    <mergeCell ref="C38:D38"/>
    <mergeCell ref="N38:O38"/>
    <mergeCell ref="C39:D39"/>
    <mergeCell ref="N39:O39"/>
    <mergeCell ref="C40:D40"/>
    <mergeCell ref="N40:O40"/>
    <mergeCell ref="C35:D35"/>
    <mergeCell ref="N35:O35"/>
    <mergeCell ref="C36:D36"/>
    <mergeCell ref="N36:O36"/>
    <mergeCell ref="C37:D37"/>
    <mergeCell ref="N37:O37"/>
    <mergeCell ref="C32:D32"/>
    <mergeCell ref="N32:O32"/>
    <mergeCell ref="C33:D33"/>
    <mergeCell ref="N33:O33"/>
    <mergeCell ref="C34:D34"/>
    <mergeCell ref="N34:O34"/>
    <mergeCell ref="C29:D29"/>
    <mergeCell ref="N29:O29"/>
    <mergeCell ref="C30:D30"/>
    <mergeCell ref="N30:O30"/>
    <mergeCell ref="C31:D31"/>
    <mergeCell ref="N31:O31"/>
    <mergeCell ref="K27:K28"/>
    <mergeCell ref="N27:O28"/>
    <mergeCell ref="P27:P28"/>
    <mergeCell ref="Q27:Q28"/>
    <mergeCell ref="R27:R28"/>
    <mergeCell ref="S27:T27"/>
    <mergeCell ref="C1:F2"/>
    <mergeCell ref="G1:K2"/>
    <mergeCell ref="F8:J19"/>
    <mergeCell ref="B27:B28"/>
    <mergeCell ref="C27:D28"/>
    <mergeCell ref="E27:E28"/>
    <mergeCell ref="F27:F28"/>
    <mergeCell ref="G27:G28"/>
    <mergeCell ref="H27:I27"/>
    <mergeCell ref="J27:J28"/>
  </mergeCells>
  <conditionalFormatting sqref="A27:L28 A29:A76 L29:L71">
    <cfRule type="cellIs" dxfId="1815" priority="298" stopIfTrue="1" operator="equal">
      <formula>0</formula>
    </cfRule>
  </conditionalFormatting>
  <conditionalFormatting sqref="B130 B132 B134 B136 B138">
    <cfRule type="cellIs" dxfId="1814" priority="159" stopIfTrue="1" operator="equal">
      <formula>0</formula>
    </cfRule>
  </conditionalFormatting>
  <conditionalFormatting sqref="L76">
    <cfRule type="cellIs" dxfId="1813" priority="300" stopIfTrue="1" operator="equal">
      <formula>0</formula>
    </cfRule>
  </conditionalFormatting>
  <conditionalFormatting sqref="E113">
    <cfRule type="cellIs" dxfId="1812" priority="210" stopIfTrue="1" operator="equal">
      <formula>0</formula>
    </cfRule>
  </conditionalFormatting>
  <conditionalFormatting sqref="E100">
    <cfRule type="cellIs" dxfId="1811" priority="226" stopIfTrue="1" operator="equal">
      <formula>0</formula>
    </cfRule>
  </conditionalFormatting>
  <conditionalFormatting sqref="E101">
    <cfRule type="cellIs" dxfId="1810" priority="225" stopIfTrue="1" operator="equal">
      <formula>0</formula>
    </cfRule>
  </conditionalFormatting>
  <conditionalFormatting sqref="E127">
    <cfRule type="cellIs" dxfId="1809" priority="193" stopIfTrue="1" operator="equal">
      <formula>0</formula>
    </cfRule>
  </conditionalFormatting>
  <conditionalFormatting sqref="H129:I138">
    <cfRule type="cellIs" dxfId="1808" priority="190" stopIfTrue="1" operator="equal">
      <formula>0</formula>
    </cfRule>
  </conditionalFormatting>
  <conditionalFormatting sqref="E128">
    <cfRule type="cellIs" dxfId="1807" priority="192" stopIfTrue="1" operator="equal">
      <formula>0</formula>
    </cfRule>
  </conditionalFormatting>
  <conditionalFormatting sqref="J129:K138 F129:G138 C129:D138">
    <cfRule type="cellIs" dxfId="1806" priority="191" stopIfTrue="1" operator="equal">
      <formula>0</formula>
    </cfRule>
  </conditionalFormatting>
  <conditionalFormatting sqref="E121">
    <cfRule type="cellIs" dxfId="1805" priority="199" stopIfTrue="1" operator="equal">
      <formula>0</formula>
    </cfRule>
  </conditionalFormatting>
  <conditionalFormatting sqref="E123">
    <cfRule type="cellIs" dxfId="1804" priority="197" stopIfTrue="1" operator="equal">
      <formula>0</formula>
    </cfRule>
  </conditionalFormatting>
  <conditionalFormatting sqref="E119">
    <cfRule type="cellIs" dxfId="1803" priority="201" stopIfTrue="1" operator="equal">
      <formula>0</formula>
    </cfRule>
  </conditionalFormatting>
  <conditionalFormatting sqref="E120">
    <cfRule type="cellIs" dxfId="1802" priority="200" stopIfTrue="1" operator="equal">
      <formula>0</formula>
    </cfRule>
  </conditionalFormatting>
  <conditionalFormatting sqref="E122">
    <cfRule type="cellIs" dxfId="1801" priority="198" stopIfTrue="1" operator="equal">
      <formula>0</formula>
    </cfRule>
  </conditionalFormatting>
  <conditionalFormatting sqref="E124">
    <cfRule type="cellIs" dxfId="1800" priority="196" stopIfTrue="1" operator="equal">
      <formula>0</formula>
    </cfRule>
  </conditionalFormatting>
  <conditionalFormatting sqref="E130">
    <cfRule type="cellIs" dxfId="1799" priority="187" stopIfTrue="1" operator="equal">
      <formula>0</formula>
    </cfRule>
  </conditionalFormatting>
  <conditionalFormatting sqref="E133">
    <cfRule type="cellIs" dxfId="1798" priority="184" stopIfTrue="1" operator="equal">
      <formula>0</formula>
    </cfRule>
  </conditionalFormatting>
  <conditionalFormatting sqref="E134">
    <cfRule type="cellIs" dxfId="1797" priority="183" stopIfTrue="1" operator="equal">
      <formula>0</formula>
    </cfRule>
  </conditionalFormatting>
  <conditionalFormatting sqref="E137">
    <cfRule type="cellIs" dxfId="1796" priority="180" stopIfTrue="1" operator="equal">
      <formula>0</formula>
    </cfRule>
  </conditionalFormatting>
  <conditionalFormatting sqref="E136">
    <cfRule type="cellIs" dxfId="1795" priority="181" stopIfTrue="1" operator="equal">
      <formula>0</formula>
    </cfRule>
  </conditionalFormatting>
  <conditionalFormatting sqref="E138">
    <cfRule type="cellIs" dxfId="1794" priority="179" stopIfTrue="1" operator="equal">
      <formula>0</formula>
    </cfRule>
  </conditionalFormatting>
  <conditionalFormatting sqref="E135">
    <cfRule type="cellIs" dxfId="1793" priority="182" stopIfTrue="1" operator="equal">
      <formula>0</formula>
    </cfRule>
  </conditionalFormatting>
  <conditionalFormatting sqref="B39 B41 B43 B45 B47">
    <cfRule type="cellIs" dxfId="1792" priority="178" stopIfTrue="1" operator="equal">
      <formula>0</formula>
    </cfRule>
  </conditionalFormatting>
  <conditionalFormatting sqref="B50 B52 B54 B56 B58">
    <cfRule type="cellIs" dxfId="1791" priority="175" stopIfTrue="1" operator="equal">
      <formula>0</formula>
    </cfRule>
  </conditionalFormatting>
  <conditionalFormatting sqref="L72:L75">
    <cfRule type="cellIs" dxfId="1790" priority="299" stopIfTrue="1" operator="equal">
      <formula>0</formula>
    </cfRule>
  </conditionalFormatting>
  <conditionalFormatting sqref="B29:G29 B30:B38 C30:G78 J29:K78">
    <cfRule type="cellIs" dxfId="1789" priority="297" stopIfTrue="1" operator="equal">
      <formula>0</formula>
    </cfRule>
  </conditionalFormatting>
  <conditionalFormatting sqref="H29:I78">
    <cfRule type="cellIs" dxfId="1788" priority="296" stopIfTrue="1" operator="equal">
      <formula>0</formula>
    </cfRule>
  </conditionalFormatting>
  <conditionalFormatting sqref="H29:H78">
    <cfRule type="expression" dxfId="1787" priority="295" stopIfTrue="1">
      <formula>H29&gt;M29</formula>
    </cfRule>
  </conditionalFormatting>
  <conditionalFormatting sqref="J79:K88 F79:G88 C79:D88">
    <cfRule type="cellIs" dxfId="1786" priority="256" stopIfTrue="1" operator="equal">
      <formula>0</formula>
    </cfRule>
  </conditionalFormatting>
  <conditionalFormatting sqref="H79:I88">
    <cfRule type="cellIs" dxfId="1785" priority="255" stopIfTrue="1" operator="equal">
      <formula>0</formula>
    </cfRule>
  </conditionalFormatting>
  <conditionalFormatting sqref="H79:I88">
    <cfRule type="expression" dxfId="1784" priority="254" stopIfTrue="1">
      <formula>H79&gt;M79</formula>
    </cfRule>
  </conditionalFormatting>
  <conditionalFormatting sqref="E79">
    <cfRule type="cellIs" dxfId="1783" priority="253" stopIfTrue="1" operator="equal">
      <formula>0</formula>
    </cfRule>
  </conditionalFormatting>
  <conditionalFormatting sqref="E80">
    <cfRule type="cellIs" dxfId="1782" priority="252" stopIfTrue="1" operator="equal">
      <formula>0</formula>
    </cfRule>
  </conditionalFormatting>
  <conditionalFormatting sqref="E81">
    <cfRule type="cellIs" dxfId="1781" priority="251" stopIfTrue="1" operator="equal">
      <formula>0</formula>
    </cfRule>
  </conditionalFormatting>
  <conditionalFormatting sqref="E82">
    <cfRule type="cellIs" dxfId="1780" priority="250" stopIfTrue="1" operator="equal">
      <formula>0</formula>
    </cfRule>
  </conditionalFormatting>
  <conditionalFormatting sqref="E83">
    <cfRule type="cellIs" dxfId="1779" priority="249" stopIfTrue="1" operator="equal">
      <formula>0</formula>
    </cfRule>
  </conditionalFormatting>
  <conditionalFormatting sqref="E84">
    <cfRule type="cellIs" dxfId="1778" priority="248" stopIfTrue="1" operator="equal">
      <formula>0</formula>
    </cfRule>
  </conditionalFormatting>
  <conditionalFormatting sqref="E85">
    <cfRule type="cellIs" dxfId="1777" priority="247" stopIfTrue="1" operator="equal">
      <formula>0</formula>
    </cfRule>
  </conditionalFormatting>
  <conditionalFormatting sqref="E86">
    <cfRule type="cellIs" dxfId="1776" priority="246" stopIfTrue="1" operator="equal">
      <formula>0</formula>
    </cfRule>
  </conditionalFormatting>
  <conditionalFormatting sqref="E87">
    <cfRule type="cellIs" dxfId="1775" priority="245" stopIfTrue="1" operator="equal">
      <formula>0</formula>
    </cfRule>
  </conditionalFormatting>
  <conditionalFormatting sqref="E88">
    <cfRule type="cellIs" dxfId="1774" priority="244" stopIfTrue="1" operator="equal">
      <formula>0</formula>
    </cfRule>
  </conditionalFormatting>
  <conditionalFormatting sqref="J89:K98 F89:G98 C89:D98">
    <cfRule type="cellIs" dxfId="1773" priority="243" stopIfTrue="1" operator="equal">
      <formula>0</formula>
    </cfRule>
  </conditionalFormatting>
  <conditionalFormatting sqref="H89:I98">
    <cfRule type="cellIs" dxfId="1772" priority="242" stopIfTrue="1" operator="equal">
      <formula>0</formula>
    </cfRule>
  </conditionalFormatting>
  <conditionalFormatting sqref="H89:I98">
    <cfRule type="expression" dxfId="1771" priority="241" stopIfTrue="1">
      <formula>H89&gt;M89</formula>
    </cfRule>
  </conditionalFormatting>
  <conditionalFormatting sqref="E89">
    <cfRule type="cellIs" dxfId="1770" priority="240" stopIfTrue="1" operator="equal">
      <formula>0</formula>
    </cfRule>
  </conditionalFormatting>
  <conditionalFormatting sqref="E90">
    <cfRule type="cellIs" dxfId="1769" priority="239" stopIfTrue="1" operator="equal">
      <formula>0</formula>
    </cfRule>
  </conditionalFormatting>
  <conditionalFormatting sqref="E91">
    <cfRule type="cellIs" dxfId="1768" priority="238" stopIfTrue="1" operator="equal">
      <formula>0</formula>
    </cfRule>
  </conditionalFormatting>
  <conditionalFormatting sqref="E92">
    <cfRule type="cellIs" dxfId="1767" priority="237" stopIfTrue="1" operator="equal">
      <formula>0</formula>
    </cfRule>
  </conditionalFormatting>
  <conditionalFormatting sqref="E93">
    <cfRule type="cellIs" dxfId="1766" priority="236" stopIfTrue="1" operator="equal">
      <formula>0</formula>
    </cfRule>
  </conditionalFormatting>
  <conditionalFormatting sqref="E94">
    <cfRule type="cellIs" dxfId="1765" priority="235" stopIfTrue="1" operator="equal">
      <formula>0</formula>
    </cfRule>
  </conditionalFormatting>
  <conditionalFormatting sqref="E95">
    <cfRule type="cellIs" dxfId="1764" priority="234" stopIfTrue="1" operator="equal">
      <formula>0</formula>
    </cfRule>
  </conditionalFormatting>
  <conditionalFormatting sqref="E96">
    <cfRule type="cellIs" dxfId="1763" priority="233" stopIfTrue="1" operator="equal">
      <formula>0</formula>
    </cfRule>
  </conditionalFormatting>
  <conditionalFormatting sqref="E97">
    <cfRule type="cellIs" dxfId="1762" priority="232" stopIfTrue="1" operator="equal">
      <formula>0</formula>
    </cfRule>
  </conditionalFormatting>
  <conditionalFormatting sqref="E98">
    <cfRule type="cellIs" dxfId="1761" priority="231" stopIfTrue="1" operator="equal">
      <formula>0</formula>
    </cfRule>
  </conditionalFormatting>
  <conditionalFormatting sqref="J99:K108 F99:G108 C99:D108">
    <cfRule type="cellIs" dxfId="1760" priority="230" stopIfTrue="1" operator="equal">
      <formula>0</formula>
    </cfRule>
  </conditionalFormatting>
  <conditionalFormatting sqref="H99:I108">
    <cfRule type="cellIs" dxfId="1759" priority="229" stopIfTrue="1" operator="equal">
      <formula>0</formula>
    </cfRule>
  </conditionalFormatting>
  <conditionalFormatting sqref="H99:I108">
    <cfRule type="expression" dxfId="1758" priority="228" stopIfTrue="1">
      <formula>H99&gt;M99</formula>
    </cfRule>
  </conditionalFormatting>
  <conditionalFormatting sqref="E99">
    <cfRule type="cellIs" dxfId="1757" priority="227" stopIfTrue="1" operator="equal">
      <formula>0</formula>
    </cfRule>
  </conditionalFormatting>
  <conditionalFormatting sqref="E102">
    <cfRule type="cellIs" dxfId="1756" priority="224" stopIfTrue="1" operator="equal">
      <formula>0</formula>
    </cfRule>
  </conditionalFormatting>
  <conditionalFormatting sqref="E103">
    <cfRule type="cellIs" dxfId="1755" priority="223" stopIfTrue="1" operator="equal">
      <formula>0</formula>
    </cfRule>
  </conditionalFormatting>
  <conditionalFormatting sqref="E104">
    <cfRule type="cellIs" dxfId="1754" priority="222" stopIfTrue="1" operator="equal">
      <formula>0</formula>
    </cfRule>
  </conditionalFormatting>
  <conditionalFormatting sqref="E105">
    <cfRule type="cellIs" dxfId="1753" priority="221" stopIfTrue="1" operator="equal">
      <formula>0</formula>
    </cfRule>
  </conditionalFormatting>
  <conditionalFormatting sqref="E106">
    <cfRule type="cellIs" dxfId="1752" priority="220" stopIfTrue="1" operator="equal">
      <formula>0</formula>
    </cfRule>
  </conditionalFormatting>
  <conditionalFormatting sqref="E107">
    <cfRule type="cellIs" dxfId="1751" priority="219" stopIfTrue="1" operator="equal">
      <formula>0</formula>
    </cfRule>
  </conditionalFormatting>
  <conditionalFormatting sqref="E108">
    <cfRule type="cellIs" dxfId="1750" priority="218" stopIfTrue="1" operator="equal">
      <formula>0</formula>
    </cfRule>
  </conditionalFormatting>
  <conditionalFormatting sqref="J109:K118 F109:G118 C109:D118">
    <cfRule type="cellIs" dxfId="1749" priority="217" stopIfTrue="1" operator="equal">
      <formula>0</formula>
    </cfRule>
  </conditionalFormatting>
  <conditionalFormatting sqref="H109:I118">
    <cfRule type="cellIs" dxfId="1748" priority="216" stopIfTrue="1" operator="equal">
      <formula>0</formula>
    </cfRule>
  </conditionalFormatting>
  <conditionalFormatting sqref="H109:I118">
    <cfRule type="expression" dxfId="1747" priority="215" stopIfTrue="1">
      <formula>H109&gt;M109</formula>
    </cfRule>
  </conditionalFormatting>
  <conditionalFormatting sqref="E109">
    <cfRule type="cellIs" dxfId="1746" priority="214" stopIfTrue="1" operator="equal">
      <formula>0</formula>
    </cfRule>
  </conditionalFormatting>
  <conditionalFormatting sqref="E110">
    <cfRule type="cellIs" dxfId="1745" priority="213" stopIfTrue="1" operator="equal">
      <formula>0</formula>
    </cfRule>
  </conditionalFormatting>
  <conditionalFormatting sqref="E111">
    <cfRule type="cellIs" dxfId="1744" priority="212" stopIfTrue="1" operator="equal">
      <formula>0</formula>
    </cfRule>
  </conditionalFormatting>
  <conditionalFormatting sqref="E112">
    <cfRule type="cellIs" dxfId="1743" priority="211" stopIfTrue="1" operator="equal">
      <formula>0</formula>
    </cfRule>
  </conditionalFormatting>
  <conditionalFormatting sqref="E114">
    <cfRule type="cellIs" dxfId="1742" priority="209" stopIfTrue="1" operator="equal">
      <formula>0</formula>
    </cfRule>
  </conditionalFormatting>
  <conditionalFormatting sqref="E115">
    <cfRule type="cellIs" dxfId="1741" priority="208" stopIfTrue="1" operator="equal">
      <formula>0</formula>
    </cfRule>
  </conditionalFormatting>
  <conditionalFormatting sqref="E116">
    <cfRule type="cellIs" dxfId="1740" priority="207" stopIfTrue="1" operator="equal">
      <formula>0</formula>
    </cfRule>
  </conditionalFormatting>
  <conditionalFormatting sqref="E117">
    <cfRule type="cellIs" dxfId="1739" priority="206" stopIfTrue="1" operator="equal">
      <formula>0</formula>
    </cfRule>
  </conditionalFormatting>
  <conditionalFormatting sqref="E118">
    <cfRule type="cellIs" dxfId="1738" priority="205" stopIfTrue="1" operator="equal">
      <formula>0</formula>
    </cfRule>
  </conditionalFormatting>
  <conditionalFormatting sqref="J119:K128 F119:G128 C119:D128">
    <cfRule type="cellIs" dxfId="1737" priority="204" stopIfTrue="1" operator="equal">
      <formula>0</formula>
    </cfRule>
  </conditionalFormatting>
  <conditionalFormatting sqref="H119:I128">
    <cfRule type="cellIs" dxfId="1736" priority="203" stopIfTrue="1" operator="equal">
      <formula>0</formula>
    </cfRule>
  </conditionalFormatting>
  <conditionalFormatting sqref="H119:I128">
    <cfRule type="expression" dxfId="1735" priority="202" stopIfTrue="1">
      <formula>H119&gt;M119</formula>
    </cfRule>
  </conditionalFormatting>
  <conditionalFormatting sqref="E125">
    <cfRule type="cellIs" dxfId="1734" priority="195" stopIfTrue="1" operator="equal">
      <formula>0</formula>
    </cfRule>
  </conditionalFormatting>
  <conditionalFormatting sqref="E126">
    <cfRule type="cellIs" dxfId="1733" priority="194" stopIfTrue="1" operator="equal">
      <formula>0</formula>
    </cfRule>
  </conditionalFormatting>
  <conditionalFormatting sqref="H129:I138">
    <cfRule type="expression" dxfId="1732" priority="189" stopIfTrue="1">
      <formula>H129&gt;M129</formula>
    </cfRule>
  </conditionalFormatting>
  <conditionalFormatting sqref="E129">
    <cfRule type="cellIs" dxfId="1731" priority="188" stopIfTrue="1" operator="equal">
      <formula>0</formula>
    </cfRule>
  </conditionalFormatting>
  <conditionalFormatting sqref="E131">
    <cfRule type="cellIs" dxfId="1730" priority="186" stopIfTrue="1" operator="equal">
      <formula>0</formula>
    </cfRule>
  </conditionalFormatting>
  <conditionalFormatting sqref="E132">
    <cfRule type="cellIs" dxfId="1729" priority="185" stopIfTrue="1" operator="equal">
      <formula>0</formula>
    </cfRule>
  </conditionalFormatting>
  <conditionalFormatting sqref="B40 B42 B44 B46 B48">
    <cfRule type="cellIs" dxfId="1728" priority="177" stopIfTrue="1" operator="equal">
      <formula>0</formula>
    </cfRule>
  </conditionalFormatting>
  <conditionalFormatting sqref="B49 B51 B53 B55 B57">
    <cfRule type="cellIs" dxfId="1727" priority="176" stopIfTrue="1" operator="equal">
      <formula>0</formula>
    </cfRule>
  </conditionalFormatting>
  <conditionalFormatting sqref="B59 B61 B63 B65 B67">
    <cfRule type="cellIs" dxfId="1726" priority="174" stopIfTrue="1" operator="equal">
      <formula>0</formula>
    </cfRule>
  </conditionalFormatting>
  <conditionalFormatting sqref="B60 B62 B64 B66 B68">
    <cfRule type="cellIs" dxfId="1725" priority="173" stopIfTrue="1" operator="equal">
      <formula>0</formula>
    </cfRule>
  </conditionalFormatting>
  <conditionalFormatting sqref="B69 B71 B73 B75 B77">
    <cfRule type="cellIs" dxfId="1724" priority="172" stopIfTrue="1" operator="equal">
      <formula>0</formula>
    </cfRule>
  </conditionalFormatting>
  <conditionalFormatting sqref="B70 B72 B74 B76 B78">
    <cfRule type="cellIs" dxfId="1723" priority="171" stopIfTrue="1" operator="equal">
      <formula>0</formula>
    </cfRule>
  </conditionalFormatting>
  <conditionalFormatting sqref="B79 B81 B83 B85 B87">
    <cfRule type="cellIs" dxfId="1722" priority="170" stopIfTrue="1" operator="equal">
      <formula>0</formula>
    </cfRule>
  </conditionalFormatting>
  <conditionalFormatting sqref="B80 B82 B84 B86 B88">
    <cfRule type="cellIs" dxfId="1721" priority="169" stopIfTrue="1" operator="equal">
      <formula>0</formula>
    </cfRule>
  </conditionalFormatting>
  <conditionalFormatting sqref="B89 B91 B93 B95 B97">
    <cfRule type="cellIs" dxfId="1720" priority="168" stopIfTrue="1" operator="equal">
      <formula>0</formula>
    </cfRule>
  </conditionalFormatting>
  <conditionalFormatting sqref="B90 B92 B94 B96 B98">
    <cfRule type="cellIs" dxfId="1719" priority="167" stopIfTrue="1" operator="equal">
      <formula>0</formula>
    </cfRule>
  </conditionalFormatting>
  <conditionalFormatting sqref="B99 B101 B103 B105 B107">
    <cfRule type="cellIs" dxfId="1718" priority="166" stopIfTrue="1" operator="equal">
      <formula>0</formula>
    </cfRule>
  </conditionalFormatting>
  <conditionalFormatting sqref="B100 B102 B104 B106 B108">
    <cfRule type="cellIs" dxfId="1717" priority="165" stopIfTrue="1" operator="equal">
      <formula>0</formula>
    </cfRule>
  </conditionalFormatting>
  <conditionalFormatting sqref="B109 B111 B113 B115 B117">
    <cfRule type="cellIs" dxfId="1716" priority="164" stopIfTrue="1" operator="equal">
      <formula>0</formula>
    </cfRule>
  </conditionalFormatting>
  <conditionalFormatting sqref="B110 B112 B114 B116 B118">
    <cfRule type="cellIs" dxfId="1715" priority="163" stopIfTrue="1" operator="equal">
      <formula>0</formula>
    </cfRule>
  </conditionalFormatting>
  <conditionalFormatting sqref="B119 B121 B123 B125 B127">
    <cfRule type="cellIs" dxfId="1714" priority="162" stopIfTrue="1" operator="equal">
      <formula>0</formula>
    </cfRule>
  </conditionalFormatting>
  <conditionalFormatting sqref="B120 B122 B124 B126 B128">
    <cfRule type="cellIs" dxfId="1713" priority="161" stopIfTrue="1" operator="equal">
      <formula>0</formula>
    </cfRule>
  </conditionalFormatting>
  <conditionalFormatting sqref="B129 B131 B133 B135 B137">
    <cfRule type="cellIs" dxfId="1712" priority="160" stopIfTrue="1" operator="equal">
      <formula>0</formula>
    </cfRule>
  </conditionalFormatting>
  <conditionalFormatting sqref="N27:T28">
    <cfRule type="cellIs" dxfId="1711" priority="148" stopIfTrue="1" operator="equal">
      <formula>0</formula>
    </cfRule>
  </conditionalFormatting>
  <conditionalFormatting sqref="N29:R38">
    <cfRule type="cellIs" dxfId="1710" priority="147" stopIfTrue="1" operator="equal">
      <formula>0</formula>
    </cfRule>
  </conditionalFormatting>
  <conditionalFormatting sqref="S29:T29 S30:S38">
    <cfRule type="cellIs" dxfId="1709" priority="146" stopIfTrue="1" operator="equal">
      <formula>0</formula>
    </cfRule>
  </conditionalFormatting>
  <conditionalFormatting sqref="S30:S38">
    <cfRule type="expression" dxfId="1708" priority="145" stopIfTrue="1">
      <formula>S30&gt;X5</formula>
    </cfRule>
  </conditionalFormatting>
  <conditionalFormatting sqref="N39:O48 Q39:Q48">
    <cfRule type="cellIs" dxfId="1707" priority="144" stopIfTrue="1" operator="equal">
      <formula>0</formula>
    </cfRule>
  </conditionalFormatting>
  <conditionalFormatting sqref="S39 S41 S45 S43 S47">
    <cfRule type="cellIs" dxfId="1706" priority="143" stopIfTrue="1" operator="equal">
      <formula>0</formula>
    </cfRule>
  </conditionalFormatting>
  <conditionalFormatting sqref="S45 S47">
    <cfRule type="expression" dxfId="1705" priority="142" stopIfTrue="1">
      <formula>S45&gt;X20</formula>
    </cfRule>
  </conditionalFormatting>
  <conditionalFormatting sqref="N49:O58 Q49:Q58">
    <cfRule type="cellIs" dxfId="1704" priority="141" stopIfTrue="1" operator="equal">
      <formula>0</formula>
    </cfRule>
  </conditionalFormatting>
  <conditionalFormatting sqref="S49 S51 S53 S55 S57">
    <cfRule type="cellIs" dxfId="1703" priority="140" stopIfTrue="1" operator="equal">
      <formula>0</formula>
    </cfRule>
  </conditionalFormatting>
  <conditionalFormatting sqref="S49 S53 S55 S57 S51 S73 S77 S41 S43 S39">
    <cfRule type="expression" dxfId="1702" priority="139" stopIfTrue="1">
      <formula>S39&gt;X15</formula>
    </cfRule>
  </conditionalFormatting>
  <conditionalFormatting sqref="N59:O68 Q59:Q68">
    <cfRule type="cellIs" dxfId="1701" priority="138" stopIfTrue="1" operator="equal">
      <formula>0</formula>
    </cfRule>
  </conditionalFormatting>
  <conditionalFormatting sqref="N69:O78 Q69:Q78">
    <cfRule type="cellIs" dxfId="1700" priority="137" stopIfTrue="1" operator="equal">
      <formula>0</formula>
    </cfRule>
  </conditionalFormatting>
  <conditionalFormatting sqref="S69 S71 S75 S73 S77">
    <cfRule type="cellIs" dxfId="1699" priority="136" stopIfTrue="1" operator="equal">
      <formula>0</formula>
    </cfRule>
  </conditionalFormatting>
  <conditionalFormatting sqref="S75">
    <cfRule type="expression" dxfId="1698" priority="135" stopIfTrue="1">
      <formula>S75&gt;X51</formula>
    </cfRule>
  </conditionalFormatting>
  <conditionalFormatting sqref="P42">
    <cfRule type="cellIs" dxfId="1697" priority="131" stopIfTrue="1" operator="equal">
      <formula>0</formula>
    </cfRule>
  </conditionalFormatting>
  <conditionalFormatting sqref="P39">
    <cfRule type="cellIs" dxfId="1696" priority="134" stopIfTrue="1" operator="equal">
      <formula>0</formula>
    </cfRule>
  </conditionalFormatting>
  <conditionalFormatting sqref="P40">
    <cfRule type="cellIs" dxfId="1695" priority="133" stopIfTrue="1" operator="equal">
      <formula>0</formula>
    </cfRule>
  </conditionalFormatting>
  <conditionalFormatting sqref="P41">
    <cfRule type="cellIs" dxfId="1694" priority="132" stopIfTrue="1" operator="equal">
      <formula>0</formula>
    </cfRule>
  </conditionalFormatting>
  <conditionalFormatting sqref="P43">
    <cfRule type="cellIs" dxfId="1693" priority="130" stopIfTrue="1" operator="equal">
      <formula>0</formula>
    </cfRule>
  </conditionalFormatting>
  <conditionalFormatting sqref="P44">
    <cfRule type="cellIs" dxfId="1692" priority="129" stopIfTrue="1" operator="equal">
      <formula>0</formula>
    </cfRule>
  </conditionalFormatting>
  <conditionalFormatting sqref="P45">
    <cfRule type="cellIs" dxfId="1691" priority="128" stopIfTrue="1" operator="equal">
      <formula>0</formula>
    </cfRule>
  </conditionalFormatting>
  <conditionalFormatting sqref="P46">
    <cfRule type="cellIs" dxfId="1690" priority="127" stopIfTrue="1" operator="equal">
      <formula>0</formula>
    </cfRule>
  </conditionalFormatting>
  <conditionalFormatting sqref="P47">
    <cfRule type="cellIs" dxfId="1689" priority="126" stopIfTrue="1" operator="equal">
      <formula>0</formula>
    </cfRule>
  </conditionalFormatting>
  <conditionalFormatting sqref="P48">
    <cfRule type="cellIs" dxfId="1688" priority="125" stopIfTrue="1" operator="equal">
      <formula>0</formula>
    </cfRule>
  </conditionalFormatting>
  <conditionalFormatting sqref="P59">
    <cfRule type="cellIs" dxfId="1687" priority="124" stopIfTrue="1" operator="equal">
      <formula>0</formula>
    </cfRule>
  </conditionalFormatting>
  <conditionalFormatting sqref="P60">
    <cfRule type="cellIs" dxfId="1686" priority="123" stopIfTrue="1" operator="equal">
      <formula>0</formula>
    </cfRule>
  </conditionalFormatting>
  <conditionalFormatting sqref="P61">
    <cfRule type="cellIs" dxfId="1685" priority="122" stopIfTrue="1" operator="equal">
      <formula>0</formula>
    </cfRule>
  </conditionalFormatting>
  <conditionalFormatting sqref="P62">
    <cfRule type="cellIs" dxfId="1684" priority="121" stopIfTrue="1" operator="equal">
      <formula>0</formula>
    </cfRule>
  </conditionalFormatting>
  <conditionalFormatting sqref="P63">
    <cfRule type="cellIs" dxfId="1683" priority="120" stopIfTrue="1" operator="equal">
      <formula>0</formula>
    </cfRule>
  </conditionalFormatting>
  <conditionalFormatting sqref="P64">
    <cfRule type="cellIs" dxfId="1682" priority="119" stopIfTrue="1" operator="equal">
      <formula>0</formula>
    </cfRule>
  </conditionalFormatting>
  <conditionalFormatting sqref="P65">
    <cfRule type="cellIs" dxfId="1681" priority="118" stopIfTrue="1" operator="equal">
      <formula>0</formula>
    </cfRule>
  </conditionalFormatting>
  <conditionalFormatting sqref="P66">
    <cfRule type="cellIs" dxfId="1680" priority="117" stopIfTrue="1" operator="equal">
      <formula>0</formula>
    </cfRule>
  </conditionalFormatting>
  <conditionalFormatting sqref="P67">
    <cfRule type="cellIs" dxfId="1679" priority="116" stopIfTrue="1" operator="equal">
      <formula>0</formula>
    </cfRule>
  </conditionalFormatting>
  <conditionalFormatting sqref="P68">
    <cfRule type="cellIs" dxfId="1678" priority="115" stopIfTrue="1" operator="equal">
      <formula>0</formula>
    </cfRule>
  </conditionalFormatting>
  <conditionalFormatting sqref="P49">
    <cfRule type="cellIs" dxfId="1677" priority="114" stopIfTrue="1" operator="equal">
      <formula>0</formula>
    </cfRule>
  </conditionalFormatting>
  <conditionalFormatting sqref="P50">
    <cfRule type="cellIs" dxfId="1676" priority="113" stopIfTrue="1" operator="equal">
      <formula>0</formula>
    </cfRule>
  </conditionalFormatting>
  <conditionalFormatting sqref="P51">
    <cfRule type="cellIs" dxfId="1675" priority="112" stopIfTrue="1" operator="equal">
      <formula>0</formula>
    </cfRule>
  </conditionalFormatting>
  <conditionalFormatting sqref="P52">
    <cfRule type="cellIs" dxfId="1674" priority="111" stopIfTrue="1" operator="equal">
      <formula>0</formula>
    </cfRule>
  </conditionalFormatting>
  <conditionalFormatting sqref="P53">
    <cfRule type="cellIs" dxfId="1673" priority="110" stopIfTrue="1" operator="equal">
      <formula>0</formula>
    </cfRule>
  </conditionalFormatting>
  <conditionalFormatting sqref="P54">
    <cfRule type="cellIs" dxfId="1672" priority="109" stopIfTrue="1" operator="equal">
      <formula>0</formula>
    </cfRule>
  </conditionalFormatting>
  <conditionalFormatting sqref="P55">
    <cfRule type="cellIs" dxfId="1671" priority="108" stopIfTrue="1" operator="equal">
      <formula>0</formula>
    </cfRule>
  </conditionalFormatting>
  <conditionalFormatting sqref="P56">
    <cfRule type="cellIs" dxfId="1670" priority="107" stopIfTrue="1" operator="equal">
      <formula>0</formula>
    </cfRule>
  </conditionalFormatting>
  <conditionalFormatting sqref="P57">
    <cfRule type="cellIs" dxfId="1669" priority="106" stopIfTrue="1" operator="equal">
      <formula>0</formula>
    </cfRule>
  </conditionalFormatting>
  <conditionalFormatting sqref="P58">
    <cfRule type="cellIs" dxfId="1668" priority="105" stopIfTrue="1" operator="equal">
      <formula>0</formula>
    </cfRule>
  </conditionalFormatting>
  <conditionalFormatting sqref="P69">
    <cfRule type="cellIs" dxfId="1667" priority="104" stopIfTrue="1" operator="equal">
      <formula>0</formula>
    </cfRule>
  </conditionalFormatting>
  <conditionalFormatting sqref="P70">
    <cfRule type="cellIs" dxfId="1666" priority="103" stopIfTrue="1" operator="equal">
      <formula>0</formula>
    </cfRule>
  </conditionalFormatting>
  <conditionalFormatting sqref="P71">
    <cfRule type="cellIs" dxfId="1665" priority="102" stopIfTrue="1" operator="equal">
      <formula>0</formula>
    </cfRule>
  </conditionalFormatting>
  <conditionalFormatting sqref="P72">
    <cfRule type="cellIs" dxfId="1664" priority="101" stopIfTrue="1" operator="equal">
      <formula>0</formula>
    </cfRule>
  </conditionalFormatting>
  <conditionalFormatting sqref="P73">
    <cfRule type="cellIs" dxfId="1663" priority="100" stopIfTrue="1" operator="equal">
      <formula>0</formula>
    </cfRule>
  </conditionalFormatting>
  <conditionalFormatting sqref="P74">
    <cfRule type="cellIs" dxfId="1662" priority="99" stopIfTrue="1" operator="equal">
      <formula>0</formula>
    </cfRule>
  </conditionalFormatting>
  <conditionalFormatting sqref="P75">
    <cfRule type="cellIs" dxfId="1661" priority="98" stopIfTrue="1" operator="equal">
      <formula>0</formula>
    </cfRule>
  </conditionalFormatting>
  <conditionalFormatting sqref="P76">
    <cfRule type="cellIs" dxfId="1660" priority="97" stopIfTrue="1" operator="equal">
      <formula>0</formula>
    </cfRule>
  </conditionalFormatting>
  <conditionalFormatting sqref="P77">
    <cfRule type="cellIs" dxfId="1659" priority="96" stopIfTrue="1" operator="equal">
      <formula>0</formula>
    </cfRule>
  </conditionalFormatting>
  <conditionalFormatting sqref="P78">
    <cfRule type="cellIs" dxfId="1658" priority="95" stopIfTrue="1" operator="equal">
      <formula>0</formula>
    </cfRule>
  </conditionalFormatting>
  <conditionalFormatting sqref="S61">
    <cfRule type="cellIs" dxfId="1657" priority="94" stopIfTrue="1" operator="equal">
      <formula>0</formula>
    </cfRule>
  </conditionalFormatting>
  <conditionalFormatting sqref="S61 S69 S71">
    <cfRule type="expression" dxfId="1656" priority="93" stopIfTrue="1">
      <formula>S61&gt;X38</formula>
    </cfRule>
  </conditionalFormatting>
  <conditionalFormatting sqref="S59">
    <cfRule type="cellIs" dxfId="1655" priority="92" stopIfTrue="1" operator="equal">
      <formula>0</formula>
    </cfRule>
  </conditionalFormatting>
  <conditionalFormatting sqref="S59">
    <cfRule type="expression" dxfId="1654" priority="91" stopIfTrue="1">
      <formula>S59&gt;X36</formula>
    </cfRule>
  </conditionalFormatting>
  <conditionalFormatting sqref="S63">
    <cfRule type="expression" dxfId="1653" priority="89" stopIfTrue="1">
      <formula>S63&gt;X39</formula>
    </cfRule>
  </conditionalFormatting>
  <conditionalFormatting sqref="S63">
    <cfRule type="cellIs" dxfId="1652" priority="90" stopIfTrue="1" operator="equal">
      <formula>0</formula>
    </cfRule>
  </conditionalFormatting>
  <conditionalFormatting sqref="S65">
    <cfRule type="expression" dxfId="1651" priority="85" stopIfTrue="1">
      <formula>S65&gt;X41</formula>
    </cfRule>
  </conditionalFormatting>
  <conditionalFormatting sqref="S67">
    <cfRule type="cellIs" dxfId="1650" priority="88" stopIfTrue="1" operator="equal">
      <formula>0</formula>
    </cfRule>
  </conditionalFormatting>
  <conditionalFormatting sqref="S67">
    <cfRule type="expression" dxfId="1649" priority="87" stopIfTrue="1">
      <formula>S67&gt;X43</formula>
    </cfRule>
  </conditionalFormatting>
  <conditionalFormatting sqref="S65">
    <cfRule type="cellIs" dxfId="1648" priority="86" stopIfTrue="1" operator="equal">
      <formula>0</formula>
    </cfRule>
  </conditionalFormatting>
  <conditionalFormatting sqref="S76">
    <cfRule type="cellIs" dxfId="1647" priority="56" stopIfTrue="1" operator="equal">
      <formula>0</formula>
    </cfRule>
  </conditionalFormatting>
  <conditionalFormatting sqref="S52">
    <cfRule type="cellIs" dxfId="1646" priority="52" stopIfTrue="1" operator="equal">
      <formula>0</formula>
    </cfRule>
  </conditionalFormatting>
  <conditionalFormatting sqref="S52">
    <cfRule type="expression" dxfId="1645" priority="51" stopIfTrue="1">
      <formula>S52&gt;X28</formula>
    </cfRule>
  </conditionalFormatting>
  <conditionalFormatting sqref="S40">
    <cfRule type="cellIs" dxfId="1644" priority="84" stopIfTrue="1" operator="equal">
      <formula>0</formula>
    </cfRule>
  </conditionalFormatting>
  <conditionalFormatting sqref="S40">
    <cfRule type="expression" dxfId="1643" priority="83" stopIfTrue="1">
      <formula>S40&gt;X16</formula>
    </cfRule>
  </conditionalFormatting>
  <conditionalFormatting sqref="S42">
    <cfRule type="cellIs" dxfId="1642" priority="82" stopIfTrue="1" operator="equal">
      <formula>0</formula>
    </cfRule>
  </conditionalFormatting>
  <conditionalFormatting sqref="S42">
    <cfRule type="expression" dxfId="1641" priority="81" stopIfTrue="1">
      <formula>S42&gt;X18</formula>
    </cfRule>
  </conditionalFormatting>
  <conditionalFormatting sqref="S54">
    <cfRule type="cellIs" dxfId="1640" priority="50" stopIfTrue="1" operator="equal">
      <formula>0</formula>
    </cfRule>
  </conditionalFormatting>
  <conditionalFormatting sqref="S54">
    <cfRule type="expression" dxfId="1639" priority="49" stopIfTrue="1">
      <formula>S54&gt;X30</formula>
    </cfRule>
  </conditionalFormatting>
  <conditionalFormatting sqref="S46">
    <cfRule type="cellIs" dxfId="1638" priority="80" stopIfTrue="1" operator="equal">
      <formula>0</formula>
    </cfRule>
  </conditionalFormatting>
  <conditionalFormatting sqref="S46">
    <cfRule type="expression" dxfId="1637" priority="79" stopIfTrue="1">
      <formula>S46&gt;X21</formula>
    </cfRule>
  </conditionalFormatting>
  <conditionalFormatting sqref="S44">
    <cfRule type="cellIs" dxfId="1636" priority="78" stopIfTrue="1" operator="equal">
      <formula>0</formula>
    </cfRule>
  </conditionalFormatting>
  <conditionalFormatting sqref="S44">
    <cfRule type="expression" dxfId="1635" priority="77" stopIfTrue="1">
      <formula>S44&gt;#REF!</formula>
    </cfRule>
  </conditionalFormatting>
  <conditionalFormatting sqref="S48">
    <cfRule type="cellIs" dxfId="1634" priority="76" stopIfTrue="1" operator="equal">
      <formula>0</formula>
    </cfRule>
  </conditionalFormatting>
  <conditionalFormatting sqref="S48">
    <cfRule type="expression" dxfId="1633" priority="75" stopIfTrue="1">
      <formula>S48&gt;X23</formula>
    </cfRule>
  </conditionalFormatting>
  <conditionalFormatting sqref="S60">
    <cfRule type="cellIs" dxfId="1632" priority="74" stopIfTrue="1" operator="equal">
      <formula>0</formula>
    </cfRule>
  </conditionalFormatting>
  <conditionalFormatting sqref="S60">
    <cfRule type="expression" dxfId="1631" priority="73" stopIfTrue="1">
      <formula>S60&gt;X37</formula>
    </cfRule>
  </conditionalFormatting>
  <conditionalFormatting sqref="S64">
    <cfRule type="cellIs" dxfId="1630" priority="72" stopIfTrue="1" operator="equal">
      <formula>0</formula>
    </cfRule>
  </conditionalFormatting>
  <conditionalFormatting sqref="S64">
    <cfRule type="expression" dxfId="1629" priority="71" stopIfTrue="1">
      <formula>S64&gt;X40</formula>
    </cfRule>
  </conditionalFormatting>
  <conditionalFormatting sqref="S68">
    <cfRule type="cellIs" dxfId="1628" priority="70" stopIfTrue="1" operator="equal">
      <formula>0</formula>
    </cfRule>
  </conditionalFormatting>
  <conditionalFormatting sqref="S68">
    <cfRule type="expression" dxfId="1627" priority="69" stopIfTrue="1">
      <formula>S68&gt;X44</formula>
    </cfRule>
  </conditionalFormatting>
  <conditionalFormatting sqref="S62">
    <cfRule type="cellIs" dxfId="1626" priority="68" stopIfTrue="1" operator="equal">
      <formula>0</formula>
    </cfRule>
  </conditionalFormatting>
  <conditionalFormatting sqref="S62">
    <cfRule type="expression" dxfId="1625" priority="67" stopIfTrue="1">
      <formula>S62&gt;#REF!</formula>
    </cfRule>
  </conditionalFormatting>
  <conditionalFormatting sqref="S66">
    <cfRule type="cellIs" dxfId="1624" priority="66" stopIfTrue="1" operator="equal">
      <formula>0</formula>
    </cfRule>
  </conditionalFormatting>
  <conditionalFormatting sqref="S66">
    <cfRule type="expression" dxfId="1623" priority="65" stopIfTrue="1">
      <formula>S66&gt;X42</formula>
    </cfRule>
  </conditionalFormatting>
  <conditionalFormatting sqref="S70">
    <cfRule type="cellIs" dxfId="1622" priority="64" stopIfTrue="1" operator="equal">
      <formula>0</formula>
    </cfRule>
  </conditionalFormatting>
  <conditionalFormatting sqref="S70">
    <cfRule type="expression" dxfId="1621" priority="63" stopIfTrue="1">
      <formula>S70&gt;X47</formula>
    </cfRule>
  </conditionalFormatting>
  <conditionalFormatting sqref="S74">
    <cfRule type="cellIs" dxfId="1620" priority="62" stopIfTrue="1" operator="equal">
      <formula>0</formula>
    </cfRule>
  </conditionalFormatting>
  <conditionalFormatting sqref="S74">
    <cfRule type="expression" dxfId="1619" priority="61" stopIfTrue="1">
      <formula>S74&gt;X50</formula>
    </cfRule>
  </conditionalFormatting>
  <conditionalFormatting sqref="S78">
    <cfRule type="cellIs" dxfId="1618" priority="60" stopIfTrue="1" operator="equal">
      <formula>0</formula>
    </cfRule>
  </conditionalFormatting>
  <conditionalFormatting sqref="S78">
    <cfRule type="expression" dxfId="1617" priority="59" stopIfTrue="1">
      <formula>S78&gt;X54</formula>
    </cfRule>
  </conditionalFormatting>
  <conditionalFormatting sqref="S72">
    <cfRule type="cellIs" dxfId="1616" priority="58" stopIfTrue="1" operator="equal">
      <formula>0</formula>
    </cfRule>
  </conditionalFormatting>
  <conditionalFormatting sqref="S72">
    <cfRule type="expression" dxfId="1615" priority="57" stopIfTrue="1">
      <formula>S72&gt;#REF!</formula>
    </cfRule>
  </conditionalFormatting>
  <conditionalFormatting sqref="S76">
    <cfRule type="expression" dxfId="1614" priority="55" stopIfTrue="1">
      <formula>S76&gt;X52</formula>
    </cfRule>
  </conditionalFormatting>
  <conditionalFormatting sqref="S50">
    <cfRule type="cellIs" dxfId="1613" priority="54" stopIfTrue="1" operator="equal">
      <formula>0</formula>
    </cfRule>
  </conditionalFormatting>
  <conditionalFormatting sqref="S50">
    <cfRule type="expression" dxfId="1612" priority="53" stopIfTrue="1">
      <formula>S50&gt;X26</formula>
    </cfRule>
  </conditionalFormatting>
  <conditionalFormatting sqref="S58">
    <cfRule type="cellIs" dxfId="1611" priority="48" stopIfTrue="1" operator="equal">
      <formula>0</formula>
    </cfRule>
  </conditionalFormatting>
  <conditionalFormatting sqref="S58">
    <cfRule type="expression" dxfId="1610" priority="47" stopIfTrue="1">
      <formula>S58&gt;X34</formula>
    </cfRule>
  </conditionalFormatting>
  <conditionalFormatting sqref="S56">
    <cfRule type="cellIs" dxfId="1609" priority="46" stopIfTrue="1" operator="equal">
      <formula>0</formula>
    </cfRule>
  </conditionalFormatting>
  <conditionalFormatting sqref="S56">
    <cfRule type="expression" dxfId="1608" priority="45" stopIfTrue="1">
      <formula>S56&gt;X32</formula>
    </cfRule>
  </conditionalFormatting>
  <conditionalFormatting sqref="I29:I78">
    <cfRule type="expression" dxfId="1607" priority="303" stopIfTrue="1">
      <formula>I29&gt;N53</formula>
    </cfRule>
  </conditionalFormatting>
  <conditionalFormatting sqref="S29:T29">
    <cfRule type="expression" dxfId="1606" priority="306" stopIfTrue="1">
      <formula>S29&gt;X2</formula>
    </cfRule>
  </conditionalFormatting>
  <conditionalFormatting sqref="T30:T78">
    <cfRule type="cellIs" dxfId="1605" priority="41" stopIfTrue="1" operator="equal">
      <formula>0</formula>
    </cfRule>
  </conditionalFormatting>
  <conditionalFormatting sqref="T30:T78">
    <cfRule type="expression" dxfId="1604" priority="42" stopIfTrue="1">
      <formula>T30&gt;Y3</formula>
    </cfRule>
  </conditionalFormatting>
  <conditionalFormatting sqref="R39">
    <cfRule type="cellIs" dxfId="1603" priority="40" stopIfTrue="1" operator="equal">
      <formula>0</formula>
    </cfRule>
  </conditionalFormatting>
  <conditionalFormatting sqref="R41">
    <cfRule type="cellIs" dxfId="1602" priority="39" stopIfTrue="1" operator="equal">
      <formula>0</formula>
    </cfRule>
  </conditionalFormatting>
  <conditionalFormatting sqref="R43">
    <cfRule type="cellIs" dxfId="1601" priority="38" stopIfTrue="1" operator="equal">
      <formula>0</formula>
    </cfRule>
  </conditionalFormatting>
  <conditionalFormatting sqref="R45">
    <cfRule type="cellIs" dxfId="1600" priority="37" stopIfTrue="1" operator="equal">
      <formula>0</formula>
    </cfRule>
  </conditionalFormatting>
  <conditionalFormatting sqref="R47">
    <cfRule type="cellIs" dxfId="1599" priority="36" stopIfTrue="1" operator="equal">
      <formula>0</formula>
    </cfRule>
  </conditionalFormatting>
  <conditionalFormatting sqref="R49">
    <cfRule type="cellIs" dxfId="1598" priority="35" stopIfTrue="1" operator="equal">
      <formula>0</formula>
    </cfRule>
  </conditionalFormatting>
  <conditionalFormatting sqref="R51">
    <cfRule type="cellIs" dxfId="1597" priority="34" stopIfTrue="1" operator="equal">
      <formula>0</formula>
    </cfRule>
  </conditionalFormatting>
  <conditionalFormatting sqref="R53">
    <cfRule type="cellIs" dxfId="1596" priority="33" stopIfTrue="1" operator="equal">
      <formula>0</formula>
    </cfRule>
  </conditionalFormatting>
  <conditionalFormatting sqref="R55">
    <cfRule type="cellIs" dxfId="1595" priority="32" stopIfTrue="1" operator="equal">
      <formula>0</formula>
    </cfRule>
  </conditionalFormatting>
  <conditionalFormatting sqref="R57">
    <cfRule type="cellIs" dxfId="1594" priority="31" stopIfTrue="1" operator="equal">
      <formula>0</formula>
    </cfRule>
  </conditionalFormatting>
  <conditionalFormatting sqref="R59">
    <cfRule type="cellIs" dxfId="1593" priority="30" stopIfTrue="1" operator="equal">
      <formula>0</formula>
    </cfRule>
  </conditionalFormatting>
  <conditionalFormatting sqref="R61">
    <cfRule type="cellIs" dxfId="1592" priority="29" stopIfTrue="1" operator="equal">
      <formula>0</formula>
    </cfRule>
  </conditionalFormatting>
  <conditionalFormatting sqref="R63">
    <cfRule type="cellIs" dxfId="1591" priority="28" stopIfTrue="1" operator="equal">
      <formula>0</formula>
    </cfRule>
  </conditionalFormatting>
  <conditionalFormatting sqref="R65">
    <cfRule type="cellIs" dxfId="1590" priority="27" stopIfTrue="1" operator="equal">
      <formula>0</formula>
    </cfRule>
  </conditionalFormatting>
  <conditionalFormatting sqref="R67">
    <cfRule type="cellIs" dxfId="1589" priority="26" stopIfTrue="1" operator="equal">
      <formula>0</formula>
    </cfRule>
  </conditionalFormatting>
  <conditionalFormatting sqref="R69">
    <cfRule type="cellIs" dxfId="1588" priority="25" stopIfTrue="1" operator="equal">
      <formula>0</formula>
    </cfRule>
  </conditionalFormatting>
  <conditionalFormatting sqref="R71">
    <cfRule type="cellIs" dxfId="1587" priority="24" stopIfTrue="1" operator="equal">
      <formula>0</formula>
    </cfRule>
  </conditionalFormatting>
  <conditionalFormatting sqref="R73">
    <cfRule type="cellIs" dxfId="1586" priority="23" stopIfTrue="1" operator="equal">
      <formula>0</formula>
    </cfRule>
  </conditionalFormatting>
  <conditionalFormatting sqref="R75">
    <cfRule type="cellIs" dxfId="1585" priority="22" stopIfTrue="1" operator="equal">
      <formula>0</formula>
    </cfRule>
  </conditionalFormatting>
  <conditionalFormatting sqref="R77">
    <cfRule type="cellIs" dxfId="1584" priority="21" stopIfTrue="1" operator="equal">
      <formula>0</formula>
    </cfRule>
  </conditionalFormatting>
  <conditionalFormatting sqref="R40">
    <cfRule type="cellIs" dxfId="1583" priority="20" stopIfTrue="1" operator="equal">
      <formula>0</formula>
    </cfRule>
  </conditionalFormatting>
  <conditionalFormatting sqref="R42">
    <cfRule type="cellIs" dxfId="1582" priority="19" stopIfTrue="1" operator="equal">
      <formula>0</formula>
    </cfRule>
  </conditionalFormatting>
  <conditionalFormatting sqref="R44">
    <cfRule type="cellIs" dxfId="1581" priority="18" stopIfTrue="1" operator="equal">
      <formula>0</formula>
    </cfRule>
  </conditionalFormatting>
  <conditionalFormatting sqref="R46">
    <cfRule type="cellIs" dxfId="1580" priority="17" stopIfTrue="1" operator="equal">
      <formula>0</formula>
    </cfRule>
  </conditionalFormatting>
  <conditionalFormatting sqref="R48">
    <cfRule type="cellIs" dxfId="1579" priority="16" stopIfTrue="1" operator="equal">
      <formula>0</formula>
    </cfRule>
  </conditionalFormatting>
  <conditionalFormatting sqref="R50">
    <cfRule type="cellIs" dxfId="1578" priority="15" stopIfTrue="1" operator="equal">
      <formula>0</formula>
    </cfRule>
  </conditionalFormatting>
  <conditionalFormatting sqref="R52">
    <cfRule type="cellIs" dxfId="1577" priority="14" stopIfTrue="1" operator="equal">
      <formula>0</formula>
    </cfRule>
  </conditionalFormatting>
  <conditionalFormatting sqref="R54">
    <cfRule type="cellIs" dxfId="1576" priority="13" stopIfTrue="1" operator="equal">
      <formula>0</formula>
    </cfRule>
  </conditionalFormatting>
  <conditionalFormatting sqref="R56">
    <cfRule type="cellIs" dxfId="1575" priority="12" stopIfTrue="1" operator="equal">
      <formula>0</formula>
    </cfRule>
  </conditionalFormatting>
  <conditionalFormatting sqref="R58">
    <cfRule type="cellIs" dxfId="1574" priority="11" stopIfTrue="1" operator="equal">
      <formula>0</formula>
    </cfRule>
  </conditionalFormatting>
  <conditionalFormatting sqref="R60">
    <cfRule type="cellIs" dxfId="1573" priority="10" stopIfTrue="1" operator="equal">
      <formula>0</formula>
    </cfRule>
  </conditionalFormatting>
  <conditionalFormatting sqref="R62">
    <cfRule type="cellIs" dxfId="1572" priority="9" stopIfTrue="1" operator="equal">
      <formula>0</formula>
    </cfRule>
  </conditionalFormatting>
  <conditionalFormatting sqref="R64">
    <cfRule type="cellIs" dxfId="1571" priority="8" stopIfTrue="1" operator="equal">
      <formula>0</formula>
    </cfRule>
  </conditionalFormatting>
  <conditionalFormatting sqref="R66">
    <cfRule type="cellIs" dxfId="1570" priority="7" stopIfTrue="1" operator="equal">
      <formula>0</formula>
    </cfRule>
  </conditionalFormatting>
  <conditionalFormatting sqref="R68">
    <cfRule type="cellIs" dxfId="1569" priority="6" stopIfTrue="1" operator="equal">
      <formula>0</formula>
    </cfRule>
  </conditionalFormatting>
  <conditionalFormatting sqref="R70">
    <cfRule type="cellIs" dxfId="1568" priority="5" stopIfTrue="1" operator="equal">
      <formula>0</formula>
    </cfRule>
  </conditionalFormatting>
  <conditionalFormatting sqref="R72">
    <cfRule type="cellIs" dxfId="1567" priority="4" stopIfTrue="1" operator="equal">
      <formula>0</formula>
    </cfRule>
  </conditionalFormatting>
  <conditionalFormatting sqref="R74">
    <cfRule type="cellIs" dxfId="1566" priority="3" stopIfTrue="1" operator="equal">
      <formula>0</formula>
    </cfRule>
  </conditionalFormatting>
  <conditionalFormatting sqref="R76">
    <cfRule type="cellIs" dxfId="1565" priority="2" stopIfTrue="1" operator="equal">
      <formula>0</formula>
    </cfRule>
  </conditionalFormatting>
  <conditionalFormatting sqref="R78">
    <cfRule type="cellIs" dxfId="1564" priority="1" stopIfTrue="1" operator="equal">
      <formula>0</formula>
    </cfRule>
  </conditionalFormatting>
  <dataValidations count="11">
    <dataValidation type="whole" allowBlank="1" showInputMessage="1" showErrorMessage="1" errorTitle="Formatüberschreitung!" error="Das Maß übersteigt das augewählte Plattenformat!Falls möglich anderes Plattenformat wählen, sonst Platte teilen." sqref="S29:T29" xr:uid="{00000000-0002-0000-0000-000000000000}">
      <formula1>0</formula1>
      <formula2>X2</formula2>
    </dataValidation>
    <dataValidation type="whole" allowBlank="1" showInputMessage="1" showErrorMessage="1" errorTitle="Formatüberschreitung!" error="Das Maß übersteigt das augewählte Plattenformat!Falls möglich anderes Plattenformat wählen, sonst Platte teilen." sqref="S44:T44 S72:T72 S62:T62" xr:uid="{00000000-0002-0000-0000-000001000000}">
      <formula1>0</formula1>
      <formula2>#REF!</formula2>
    </dataValidation>
    <dataValidation type="whole" allowBlank="1" showInputMessage="1" showErrorMessage="1" errorTitle="Formatüberschreitung!" error="Das Maß übersteigt das augewählte Plattenformat!Falls möglich anderes Plattenformat wählen, sonst Platte teilen." sqref="I79:I88 H89:I138 H29:H88" xr:uid="{00000000-0002-0000-0000-000002000000}">
      <formula1>0</formula1>
      <formula2>M29</formula2>
    </dataValidation>
    <dataValidation type="whole" allowBlank="1" showInputMessage="1" showErrorMessage="1" errorTitle="Formatüberschreitung!" error="Das Maß übersteigt das augewählte Plattenformat!Falls möglich anderes Plattenformat wählen, sonst Platte teilen." sqref="S59:T61 S69:T71" xr:uid="{00000000-0002-0000-0000-000003000000}">
      <formula1>0</formula1>
      <formula2>X36</formula2>
    </dataValidation>
    <dataValidation type="whole" allowBlank="1" showInputMessage="1" showErrorMessage="1" errorTitle="Formatüberschreitung!" error="Das Maß übersteigt das augewählte Plattenformat!Falls möglich anderes Plattenformat wählen, sonst Platte teilen." sqref="S49:T58 S63:T68 S73:T78 S39:T43" xr:uid="{00000000-0002-0000-0000-000004000000}">
      <formula1>0</formula1>
      <formula2>X15</formula2>
    </dataValidation>
    <dataValidation type="whole" allowBlank="1" showInputMessage="1" showErrorMessage="1" errorTitle="Formatüberschreitung!" error="Das Maß übersteigt das augewählte Plattenformat!Falls möglich anderes Plattenformat wählen, sonst Platte teilen." sqref="I29:I78" xr:uid="{00000000-0002-0000-0000-000005000000}">
      <formula1>0</formula1>
      <formula2>N53</formula2>
    </dataValidation>
    <dataValidation type="whole" allowBlank="1" showInputMessage="1" showErrorMessage="1" errorTitle="Formatüberschreitung!" error="Das Maß übersteigt das augewählte Plattenformat!Falls möglich anderes Plattenformat wählen, sonst Platte teilen." sqref="S45:T48 S30:T38" xr:uid="{00000000-0002-0000-0000-000006000000}">
      <formula1>0</formula1>
      <formula2>X5</formula2>
    </dataValidation>
    <dataValidation type="textLength" allowBlank="1" showInputMessage="1" showErrorMessage="1" sqref="P29:P78 E29:E138" xr:uid="{00000000-0002-0000-0000-000007000000}">
      <formula1>0</formula1>
      <formula2>35</formula2>
    </dataValidation>
    <dataValidation type="whole" showInputMessage="1" showErrorMessage="1" sqref="C22" xr:uid="{00000000-0002-0000-0000-000008000000}">
      <formula1>0</formula1>
      <formula2>0</formula2>
    </dataValidation>
    <dataValidation type="whole" allowBlank="1" showInputMessage="1" showErrorMessage="1" sqref="C21 C23" xr:uid="{00000000-0002-0000-0000-000009000000}">
      <formula1>60</formula1>
      <formula2>4000</formula2>
    </dataValidation>
    <dataValidation type="whole" allowBlank="1" showInputMessage="1" showErrorMessage="1" sqref="C24" xr:uid="{00000000-0002-0000-0000-00000A000000}">
      <formula1>80</formula1>
      <formula2>2000</formula2>
    </dataValidation>
  </dataValidations>
  <pageMargins left="0.7" right="0.7" top="0.78740157499999996" bottom="0.78740157499999996" header="0.3" footer="0.3"/>
  <pageSetup paperSize="9" scale="52" orientation="portrait" r:id="rId1"/>
  <rowBreaks count="3" manualBreakCount="3">
    <brk id="48" max="11" man="1"/>
    <brk id="88" max="11" man="1"/>
    <brk id="128" max="11" man="1"/>
  </rowBreaks>
  <colBreaks count="1" manualBreakCount="1">
    <brk id="12" max="149" man="1"/>
  </col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3">
    <tabColor rgb="FFFFFF00"/>
    <pageSetUpPr fitToPage="1"/>
  </sheetPr>
  <dimension ref="B1:T44"/>
  <sheetViews>
    <sheetView showGridLines="0" view="pageBreakPreview" zoomScaleNormal="100" zoomScaleSheetLayoutView="100" workbookViewId="0">
      <selection activeCell="D55" sqref="D55"/>
    </sheetView>
  </sheetViews>
  <sheetFormatPr baseColWidth="10" defaultRowHeight="12.75" x14ac:dyDescent="0.2"/>
  <cols>
    <col min="1" max="1" width="2.28515625" customWidth="1"/>
    <col min="2" max="2" width="11.28515625" customWidth="1"/>
    <col min="3" max="3" width="12.7109375" customWidth="1"/>
    <col min="7" max="7" width="12" customWidth="1"/>
    <col min="11" max="11" width="12.42578125" customWidth="1"/>
    <col min="14" max="14" width="2.140625" customWidth="1"/>
    <col min="17" max="17" width="16.140625" customWidth="1"/>
  </cols>
  <sheetData>
    <row r="1" spans="2:17" ht="13.5" thickBot="1" x14ac:dyDescent="0.25"/>
    <row r="2" spans="2:17" ht="15" x14ac:dyDescent="0.2">
      <c r="B2" s="684"/>
      <c r="C2" s="1695"/>
      <c r="D2" s="2697" t="str">
        <f>Dateneingabe!$F$1&amp;" "&amp;Dateneingabe!$I$1</f>
        <v>Ausschreibung GCC vertikal Rev. 0563b</v>
      </c>
      <c r="E2" s="2697"/>
      <c r="F2" s="2697"/>
      <c r="G2" s="2697"/>
      <c r="H2" s="2697"/>
      <c r="I2" s="2697"/>
      <c r="J2" s="2697"/>
      <c r="K2" s="1695"/>
      <c r="L2" s="2699" t="s">
        <v>70</v>
      </c>
      <c r="M2" s="2700"/>
      <c r="P2" s="13" t="s">
        <v>29477</v>
      </c>
    </row>
    <row r="3" spans="2:17" ht="15.75" x14ac:dyDescent="0.2">
      <c r="B3" s="689"/>
      <c r="C3" s="38"/>
      <c r="D3" s="2698"/>
      <c r="E3" s="2698"/>
      <c r="F3" s="2698"/>
      <c r="G3" s="2698"/>
      <c r="H3" s="2698"/>
      <c r="I3" s="2698"/>
      <c r="J3" s="2698"/>
      <c r="K3" s="24"/>
      <c r="L3" s="2701"/>
      <c r="M3" s="2702"/>
      <c r="P3" s="817">
        <f>IF(Q9+P9&gt;0,1,0)</f>
        <v>0</v>
      </c>
    </row>
    <row r="4" spans="2:17" ht="15.75" x14ac:dyDescent="0.25">
      <c r="B4" s="689"/>
      <c r="C4" s="38"/>
      <c r="D4" s="38"/>
      <c r="E4" s="38"/>
      <c r="F4" s="38"/>
      <c r="G4" s="38"/>
      <c r="H4" s="38"/>
      <c r="I4" s="38"/>
      <c r="J4" s="38"/>
      <c r="K4" s="1696"/>
      <c r="L4" s="1696" t="s">
        <v>29478</v>
      </c>
      <c r="M4" s="1697">
        <v>550</v>
      </c>
    </row>
    <row r="5" spans="2:17" ht="15" x14ac:dyDescent="0.2">
      <c r="B5" s="2683" t="s">
        <v>81</v>
      </c>
      <c r="C5" s="2684"/>
      <c r="D5" s="2703" t="str">
        <f>Dateneingabe!F3</f>
        <v>05217112</v>
      </c>
      <c r="E5" s="2685"/>
      <c r="F5" s="1696" t="s">
        <v>13</v>
      </c>
      <c r="G5" s="2704" t="str">
        <f>Dateneingabe!H3</f>
        <v>200</v>
      </c>
      <c r="H5" s="2704"/>
      <c r="I5" s="38"/>
      <c r="J5" s="38"/>
      <c r="K5" s="38"/>
      <c r="L5" s="38"/>
      <c r="M5" s="1699"/>
      <c r="P5" s="1766" t="s">
        <v>29479</v>
      </c>
      <c r="Q5" s="1766" t="s">
        <v>29552</v>
      </c>
    </row>
    <row r="6" spans="2:17" ht="15" hidden="1" x14ac:dyDescent="0.2">
      <c r="B6" s="689"/>
      <c r="C6" s="38"/>
      <c r="D6" s="38"/>
      <c r="E6" s="38"/>
      <c r="F6" s="1696"/>
      <c r="G6" s="38"/>
      <c r="H6" s="38"/>
      <c r="I6" s="38"/>
      <c r="J6" s="38"/>
      <c r="K6" s="38"/>
      <c r="L6" s="38"/>
      <c r="M6" s="1699"/>
      <c r="P6" s="1767"/>
      <c r="Q6" s="1767"/>
    </row>
    <row r="7" spans="2:17" ht="15" hidden="1" x14ac:dyDescent="0.2">
      <c r="B7" s="689"/>
      <c r="C7" s="38"/>
      <c r="D7" s="696"/>
      <c r="E7" s="38"/>
      <c r="F7" s="6"/>
      <c r="G7" s="6"/>
      <c r="H7" s="38"/>
      <c r="I7" s="38"/>
      <c r="J7" s="38"/>
      <c r="K7" s="38"/>
      <c r="L7" s="38"/>
      <c r="M7" s="1699"/>
      <c r="P7" s="1767"/>
      <c r="Q7" s="1767"/>
    </row>
    <row r="8" spans="2:17" ht="4.7" customHeight="1" x14ac:dyDescent="0.2">
      <c r="B8" s="689"/>
      <c r="C8" s="38"/>
      <c r="D8" s="38"/>
      <c r="E8" s="38"/>
      <c r="F8" s="1696"/>
      <c r="G8" s="38"/>
      <c r="H8" s="38"/>
      <c r="I8" s="38"/>
      <c r="J8" s="38"/>
      <c r="K8" s="38"/>
      <c r="L8" s="38"/>
      <c r="M8" s="1699"/>
      <c r="P8" s="1768"/>
      <c r="Q8" s="1768"/>
    </row>
    <row r="9" spans="2:17" ht="15" x14ac:dyDescent="0.2">
      <c r="B9" s="2683" t="s">
        <v>300</v>
      </c>
      <c r="C9" s="2684"/>
      <c r="D9" s="2685" t="str">
        <f>Dateneingabe!F15</f>
        <v>MiWo</v>
      </c>
      <c r="E9" s="2685"/>
      <c r="F9" s="1696" t="s">
        <v>97</v>
      </c>
      <c r="G9" s="2686">
        <f>Dateneingabe!F13</f>
        <v>44594</v>
      </c>
      <c r="H9" s="2686"/>
      <c r="I9" s="38"/>
      <c r="J9" s="38"/>
      <c r="K9" s="38"/>
      <c r="L9" s="38"/>
      <c r="M9" s="1699"/>
      <c r="P9" s="817">
        <f>Dateneingabe!E157</f>
        <v>0</v>
      </c>
      <c r="Q9" s="817">
        <f>Dateneingabe!E158</f>
        <v>0</v>
      </c>
    </row>
    <row r="10" spans="2:17" ht="15" hidden="1" x14ac:dyDescent="0.2">
      <c r="B10" s="689"/>
      <c r="C10" s="38"/>
      <c r="D10" s="38"/>
      <c r="E10" s="38"/>
      <c r="F10" s="38"/>
      <c r="G10" s="38"/>
      <c r="H10" s="38"/>
      <c r="I10" s="38"/>
      <c r="J10" s="38"/>
      <c r="K10" s="38"/>
      <c r="L10" s="38"/>
      <c r="M10" s="1699"/>
    </row>
    <row r="11" spans="2:17" ht="4.7" customHeight="1" x14ac:dyDescent="0.2">
      <c r="B11" s="689"/>
      <c r="C11" s="38"/>
      <c r="D11" s="38"/>
      <c r="E11" s="38"/>
      <c r="F11" s="38"/>
      <c r="G11" s="38"/>
      <c r="H11" s="38"/>
      <c r="I11" s="38"/>
      <c r="J11" s="38"/>
      <c r="K11" s="38"/>
      <c r="L11" s="38"/>
      <c r="M11" s="1699"/>
    </row>
    <row r="12" spans="2:17" ht="15.75" x14ac:dyDescent="0.25">
      <c r="B12" s="1700"/>
      <c r="C12" s="1701"/>
      <c r="D12" s="1701"/>
      <c r="E12" s="1701"/>
      <c r="F12" s="1701"/>
      <c r="G12" s="1730" t="s">
        <v>29490</v>
      </c>
      <c r="H12" s="1770" t="s">
        <v>29491</v>
      </c>
      <c r="I12" s="48"/>
      <c r="J12" s="55"/>
      <c r="K12" s="38"/>
      <c r="M12" s="1699"/>
      <c r="P12" s="13" t="s">
        <v>29480</v>
      </c>
    </row>
    <row r="13" spans="2:17" ht="15" x14ac:dyDescent="0.2">
      <c r="B13" s="1700"/>
      <c r="C13" s="2696" t="str">
        <f>IF(P13=1,"-ACHTUNG- Spiralkabel für direkte Verbindung von Unterkante Schieber zu Motor zu kurz. (Klemmdose wird auf Wandwinkel in Sturzhöhe montiert-bitte Kabel für Anschluss vorsehen)!","")</f>
        <v/>
      </c>
      <c r="D13" s="2696"/>
      <c r="E13" s="2696"/>
      <c r="F13" s="2696"/>
      <c r="G13" s="2696"/>
      <c r="H13" s="2696"/>
      <c r="I13" s="2696"/>
      <c r="J13" s="2696"/>
      <c r="K13" s="2696"/>
      <c r="L13" s="2696"/>
      <c r="M13" s="1699"/>
      <c r="P13" s="817">
        <f>IF(AND(P3=1,'Berechnung &amp; Tabellen'!C28&gt;2900),1,0)</f>
        <v>0</v>
      </c>
    </row>
    <row r="14" spans="2:17" ht="15" x14ac:dyDescent="0.2">
      <c r="B14" s="1700"/>
      <c r="C14" s="2696"/>
      <c r="D14" s="2696"/>
      <c r="E14" s="2696"/>
      <c r="F14" s="2696"/>
      <c r="G14" s="2696"/>
      <c r="H14" s="2696"/>
      <c r="I14" s="2696"/>
      <c r="J14" s="2696"/>
      <c r="K14" s="2696"/>
      <c r="L14" s="2696"/>
      <c r="M14" s="1699"/>
    </row>
    <row r="15" spans="2:17" ht="4.7" customHeight="1" thickBot="1" x14ac:dyDescent="0.25">
      <c r="B15" s="1702"/>
      <c r="C15" s="1703"/>
      <c r="D15" s="1703"/>
      <c r="E15" s="1703"/>
      <c r="F15" s="1703"/>
      <c r="G15" s="1703"/>
      <c r="H15" s="1703"/>
      <c r="I15" s="1703"/>
      <c r="J15" s="1704"/>
      <c r="K15" s="1705"/>
      <c r="L15" s="1705"/>
      <c r="M15" s="1706"/>
    </row>
    <row r="16" spans="2:17" ht="5.0999999999999996" customHeight="1" x14ac:dyDescent="0.2">
      <c r="B16" s="1760"/>
      <c r="C16" s="1761"/>
      <c r="D16" s="1761"/>
      <c r="E16" s="1761"/>
      <c r="F16" s="1761"/>
      <c r="G16" s="1761"/>
      <c r="H16" s="1761"/>
      <c r="I16" s="1761"/>
      <c r="J16" s="1762"/>
      <c r="K16" s="1763"/>
      <c r="L16" s="1763"/>
      <c r="M16" s="1764"/>
    </row>
    <row r="17" spans="2:20" ht="18" x14ac:dyDescent="0.25">
      <c r="B17" s="1753"/>
      <c r="C17" s="1752">
        <f>P3</f>
        <v>0</v>
      </c>
      <c r="D17" s="1765" t="s">
        <v>29481</v>
      </c>
      <c r="E17" s="1754"/>
      <c r="F17" s="1754"/>
      <c r="G17" s="1754"/>
      <c r="H17" s="1754"/>
      <c r="I17" s="1754"/>
      <c r="J17" s="1754"/>
      <c r="K17" s="1759" t="s">
        <v>29482</v>
      </c>
      <c r="L17" s="1771">
        <f>Dateneingabe!F22+20</f>
        <v>920</v>
      </c>
      <c r="M17" s="1758" t="s">
        <v>29483</v>
      </c>
    </row>
    <row r="18" spans="2:20" ht="5.0999999999999996" customHeight="1" x14ac:dyDescent="0.2">
      <c r="B18" s="1755"/>
      <c r="C18" s="1756"/>
      <c r="D18" s="1756"/>
      <c r="E18" s="1756"/>
      <c r="F18" s="1756"/>
      <c r="G18" s="1756"/>
      <c r="H18" s="1756"/>
      <c r="I18" s="1756"/>
      <c r="J18" s="1756"/>
      <c r="K18" s="1756"/>
      <c r="L18" s="1756"/>
      <c r="M18" s="1757"/>
    </row>
    <row r="19" spans="2:20" x14ac:dyDescent="0.2">
      <c r="B19" s="1719"/>
      <c r="C19" s="6"/>
      <c r="D19" s="6"/>
      <c r="E19" s="6"/>
      <c r="F19" s="6"/>
      <c r="G19" s="6"/>
      <c r="H19" s="6"/>
      <c r="I19" s="6"/>
      <c r="J19" s="6"/>
      <c r="K19" s="6"/>
      <c r="L19" s="6"/>
      <c r="M19" s="12"/>
    </row>
    <row r="20" spans="2:20" ht="15.75" x14ac:dyDescent="0.25">
      <c r="B20" s="1720">
        <f>L21/1000</f>
        <v>0.89500000000000002</v>
      </c>
      <c r="C20" s="148" t="s">
        <v>29484</v>
      </c>
      <c r="D20" s="1721"/>
      <c r="F20" s="6"/>
      <c r="G20" s="6"/>
      <c r="H20" s="6"/>
      <c r="I20" s="6"/>
      <c r="J20" s="6"/>
      <c r="K20" s="6"/>
      <c r="L20" s="1722">
        <f>L17</f>
        <v>920</v>
      </c>
      <c r="M20" s="12"/>
    </row>
    <row r="21" spans="2:20" x14ac:dyDescent="0.2">
      <c r="B21" s="1719"/>
      <c r="C21" s="6"/>
      <c r="D21" s="6"/>
      <c r="E21" s="6"/>
      <c r="F21" s="6"/>
      <c r="G21" s="6"/>
      <c r="H21" s="6"/>
      <c r="I21" s="6"/>
      <c r="J21" s="6"/>
      <c r="K21" s="6"/>
      <c r="L21" s="1723">
        <f>L20-10-15</f>
        <v>895</v>
      </c>
      <c r="M21" s="12"/>
      <c r="Q21" s="2675" t="s">
        <v>29492</v>
      </c>
      <c r="R21" s="2675"/>
      <c r="S21" s="2675"/>
      <c r="T21" s="2675"/>
    </row>
    <row r="22" spans="2:20" ht="12.75" customHeight="1" x14ac:dyDescent="0.2">
      <c r="B22" s="1719"/>
      <c r="C22" s="1724" t="s">
        <v>29485</v>
      </c>
      <c r="D22" s="1725" t="s">
        <v>20797</v>
      </c>
      <c r="E22" s="1724" t="s">
        <v>29486</v>
      </c>
      <c r="F22" s="6"/>
      <c r="G22" s="6"/>
      <c r="H22" s="6"/>
      <c r="I22" s="6"/>
      <c r="J22" s="6"/>
      <c r="K22" s="6"/>
      <c r="L22" s="6"/>
      <c r="M22" s="12"/>
      <c r="Q22" s="2675"/>
      <c r="R22" s="2675"/>
      <c r="S22" s="2675"/>
      <c r="T22" s="2675"/>
    </row>
    <row r="23" spans="2:20" ht="15" customHeight="1" x14ac:dyDescent="0.2">
      <c r="B23" s="1719"/>
      <c r="C23" s="1724"/>
      <c r="D23" s="1725" t="s">
        <v>20799</v>
      </c>
      <c r="E23" s="1724" t="s">
        <v>29487</v>
      </c>
      <c r="F23" s="6"/>
      <c r="G23" s="6"/>
      <c r="H23" s="6"/>
      <c r="I23" s="6"/>
      <c r="J23" s="6"/>
      <c r="K23" s="6"/>
      <c r="L23" s="6"/>
      <c r="M23" s="12"/>
      <c r="Q23" s="2678"/>
      <c r="R23" s="2678"/>
      <c r="S23" s="2678"/>
      <c r="T23" s="2678"/>
    </row>
    <row r="24" spans="2:20" x14ac:dyDescent="0.2">
      <c r="B24" s="1719"/>
      <c r="C24" s="1724"/>
      <c r="D24" s="1725" t="s">
        <v>20801</v>
      </c>
      <c r="E24" s="1724" t="s">
        <v>29488</v>
      </c>
      <c r="F24" s="6"/>
      <c r="G24" s="6"/>
      <c r="H24" s="6"/>
      <c r="I24" s="6"/>
      <c r="J24" s="6"/>
      <c r="K24" s="6"/>
      <c r="L24" s="6"/>
      <c r="M24" s="12"/>
      <c r="Q24" s="2671" t="s">
        <v>29493</v>
      </c>
      <c r="R24" s="2672"/>
      <c r="S24" s="2672"/>
      <c r="T24" s="2673"/>
    </row>
    <row r="25" spans="2:20" x14ac:dyDescent="0.2">
      <c r="B25" s="1719"/>
      <c r="C25" s="1724"/>
      <c r="D25" s="1725" t="s">
        <v>20803</v>
      </c>
      <c r="E25" s="1724" t="s">
        <v>29489</v>
      </c>
      <c r="F25" s="6"/>
      <c r="G25" s="6"/>
      <c r="H25" s="6"/>
      <c r="I25" s="6"/>
      <c r="J25" s="6"/>
      <c r="K25" s="6"/>
      <c r="L25" s="6"/>
      <c r="M25" s="12"/>
      <c r="Q25" s="2674"/>
      <c r="R25" s="2675"/>
      <c r="S25" s="2675"/>
      <c r="T25" s="2676"/>
    </row>
    <row r="26" spans="2:20" x14ac:dyDescent="0.2">
      <c r="B26" s="1719"/>
      <c r="C26" s="6"/>
      <c r="D26" s="6"/>
      <c r="E26" s="6"/>
      <c r="F26" s="6"/>
      <c r="G26" s="6"/>
      <c r="H26" s="6"/>
      <c r="I26" s="6"/>
      <c r="J26" s="6"/>
      <c r="K26" s="6"/>
      <c r="L26" s="6"/>
      <c r="M26" s="12"/>
      <c r="Q26" s="2677"/>
      <c r="R26" s="2678"/>
      <c r="S26" s="2678"/>
      <c r="T26" s="2679"/>
    </row>
    <row r="27" spans="2:20" ht="13.5" thickBot="1" x14ac:dyDescent="0.25">
      <c r="B27" s="1726"/>
      <c r="C27" s="1727"/>
      <c r="D27" s="1727"/>
      <c r="E27" s="1727"/>
      <c r="F27" s="1727"/>
      <c r="G27" s="1727"/>
      <c r="H27" s="1727"/>
      <c r="I27" s="1727"/>
      <c r="J27" s="1727"/>
      <c r="K27" s="1727"/>
      <c r="L27" s="1727"/>
      <c r="M27" s="1728"/>
    </row>
    <row r="28" spans="2:20" ht="5.0999999999999996" customHeight="1" x14ac:dyDescent="0.2">
      <c r="B28" s="1707"/>
      <c r="C28" s="1708"/>
      <c r="D28" s="1708"/>
      <c r="E28" s="1708"/>
      <c r="F28" s="1708"/>
      <c r="G28" s="1708"/>
      <c r="H28" s="1708"/>
      <c r="I28" s="1708"/>
      <c r="J28" s="1709"/>
      <c r="K28" s="1710"/>
      <c r="L28" s="1710"/>
      <c r="M28" s="1711"/>
    </row>
    <row r="29" spans="2:20" ht="18" x14ac:dyDescent="0.2">
      <c r="B29" s="1712"/>
      <c r="C29" s="1731" t="s">
        <v>550</v>
      </c>
      <c r="D29" s="1729"/>
      <c r="E29" s="1713"/>
      <c r="F29" s="1713"/>
      <c r="G29" s="1713"/>
      <c r="H29" s="1713"/>
      <c r="I29" s="1713"/>
      <c r="J29" s="1713"/>
      <c r="K29" s="1714"/>
      <c r="L29" s="1732"/>
      <c r="M29" s="1715"/>
    </row>
    <row r="30" spans="2:20" ht="5.0999999999999996" customHeight="1" x14ac:dyDescent="0.2">
      <c r="B30" s="1716"/>
      <c r="C30" s="1717"/>
      <c r="D30" s="1717"/>
      <c r="E30" s="1717"/>
      <c r="F30" s="1717"/>
      <c r="G30" s="1717"/>
      <c r="H30" s="1717"/>
      <c r="I30" s="1717"/>
      <c r="J30" s="1717"/>
      <c r="K30" s="1717"/>
      <c r="L30" s="1717"/>
      <c r="M30" s="1718"/>
    </row>
    <row r="31" spans="2:20" ht="15" x14ac:dyDescent="0.2">
      <c r="B31" s="1733" t="s">
        <v>451</v>
      </c>
      <c r="C31" s="1734"/>
      <c r="D31" s="1734"/>
      <c r="E31" s="1734"/>
      <c r="F31" s="1734"/>
      <c r="G31" s="1735"/>
      <c r="H31" s="1735" t="s">
        <v>29494</v>
      </c>
      <c r="I31" s="1735" t="s">
        <v>53</v>
      </c>
      <c r="J31" s="1736" t="s">
        <v>29495</v>
      </c>
      <c r="K31" s="1737"/>
      <c r="L31" s="1737"/>
      <c r="M31" s="1738"/>
    </row>
    <row r="32" spans="2:20" ht="15.75" x14ac:dyDescent="0.2">
      <c r="B32" s="2680" t="s">
        <v>29496</v>
      </c>
      <c r="C32" s="2681"/>
      <c r="D32" s="2681"/>
      <c r="E32" s="2681"/>
      <c r="F32" s="2681"/>
      <c r="G32" s="2682"/>
      <c r="H32" s="1698" t="s">
        <v>29738</v>
      </c>
      <c r="I32" s="1797">
        <f>IF(P3&gt;0,ROUNDUP(L17/1000,0),0)</f>
        <v>0</v>
      </c>
      <c r="J32" s="1739" t="s">
        <v>29497</v>
      </c>
      <c r="K32" s="1740"/>
      <c r="L32" s="1740"/>
      <c r="M32" s="1741"/>
    </row>
    <row r="33" spans="2:13" ht="15.75" x14ac:dyDescent="0.2">
      <c r="B33" s="2680" t="s">
        <v>611</v>
      </c>
      <c r="C33" s="2681"/>
      <c r="D33" s="2681"/>
      <c r="E33" s="2681"/>
      <c r="F33" s="2681"/>
      <c r="G33" s="2682"/>
      <c r="H33" s="1698" t="s">
        <v>29498</v>
      </c>
      <c r="I33" s="1798">
        <f>P3</f>
        <v>0</v>
      </c>
      <c r="J33" s="1739"/>
      <c r="K33" s="1740"/>
      <c r="L33" s="1740"/>
      <c r="M33" s="1741"/>
    </row>
    <row r="34" spans="2:13" ht="15.75" x14ac:dyDescent="0.2">
      <c r="B34" s="2680" t="s">
        <v>29499</v>
      </c>
      <c r="C34" s="2681"/>
      <c r="D34" s="2681"/>
      <c r="E34" s="2681"/>
      <c r="F34" s="2681"/>
      <c r="G34" s="2682"/>
      <c r="H34" s="1698" t="s">
        <v>20751</v>
      </c>
      <c r="I34" s="1798">
        <f>IF(P3&gt;0,2,0)</f>
        <v>0</v>
      </c>
      <c r="J34" s="1739"/>
      <c r="K34" s="1740"/>
      <c r="L34" s="1740"/>
      <c r="M34" s="1741"/>
    </row>
    <row r="35" spans="2:13" ht="41.25" customHeight="1" x14ac:dyDescent="0.2">
      <c r="B35" s="2705" t="s">
        <v>29500</v>
      </c>
      <c r="C35" s="2706"/>
      <c r="D35" s="2706"/>
      <c r="E35" s="2706"/>
      <c r="F35" s="2706"/>
      <c r="G35" s="2707"/>
      <c r="H35" s="1743" t="s">
        <v>16905</v>
      </c>
      <c r="I35" s="1799">
        <f>Q9</f>
        <v>0</v>
      </c>
      <c r="J35" s="2693" t="s">
        <v>29501</v>
      </c>
      <c r="K35" s="2694"/>
      <c r="L35" s="2694"/>
      <c r="M35" s="2695"/>
    </row>
    <row r="36" spans="2:13" ht="15" hidden="1" customHeight="1" x14ac:dyDescent="0.2">
      <c r="B36" s="2690" t="s">
        <v>29502</v>
      </c>
      <c r="C36" s="2691"/>
      <c r="D36" s="2691"/>
      <c r="E36" s="2691"/>
      <c r="F36" s="2691"/>
      <c r="G36" s="2692"/>
      <c r="H36" s="1698" t="s">
        <v>25625</v>
      </c>
      <c r="I36" s="1799"/>
      <c r="J36" s="1739" t="s">
        <v>29503</v>
      </c>
      <c r="K36" s="1740"/>
      <c r="L36" s="1740"/>
      <c r="M36" s="1741"/>
    </row>
    <row r="37" spans="2:13" ht="18" hidden="1" customHeight="1" x14ac:dyDescent="0.2">
      <c r="B37" s="2690" t="s">
        <v>29504</v>
      </c>
      <c r="C37" s="2691"/>
      <c r="D37" s="2691"/>
      <c r="E37" s="2691"/>
      <c r="F37" s="2691"/>
      <c r="G37" s="2692"/>
      <c r="H37" s="1698" t="s">
        <v>25959</v>
      </c>
      <c r="I37" s="1798"/>
      <c r="J37" s="1739" t="s">
        <v>29503</v>
      </c>
      <c r="K37" s="1740"/>
      <c r="L37" s="1740"/>
      <c r="M37" s="1741"/>
    </row>
    <row r="38" spans="2:13" ht="15.75" hidden="1" x14ac:dyDescent="0.2">
      <c r="B38" s="2690" t="s">
        <v>29505</v>
      </c>
      <c r="C38" s="2691"/>
      <c r="D38" s="2691"/>
      <c r="E38" s="2691"/>
      <c r="F38" s="2691"/>
      <c r="G38" s="2692"/>
      <c r="H38" s="1698" t="s">
        <v>26708</v>
      </c>
      <c r="I38" s="1798"/>
      <c r="J38" s="1739"/>
      <c r="K38" s="1740"/>
      <c r="L38" s="1740"/>
      <c r="M38" s="1741"/>
    </row>
    <row r="39" spans="2:13" ht="15.75" x14ac:dyDescent="0.2">
      <c r="B39" s="2690" t="s">
        <v>29506</v>
      </c>
      <c r="C39" s="2691"/>
      <c r="D39" s="2691"/>
      <c r="E39" s="2691"/>
      <c r="F39" s="2691"/>
      <c r="G39" s="2692"/>
      <c r="H39" s="1698" t="s">
        <v>26728</v>
      </c>
      <c r="I39" s="1798">
        <f>P9</f>
        <v>0</v>
      </c>
      <c r="J39" s="1739"/>
      <c r="K39" s="1740"/>
      <c r="L39" s="1740"/>
      <c r="M39" s="1741"/>
    </row>
    <row r="40" spans="2:13" ht="15.75" hidden="1" x14ac:dyDescent="0.2">
      <c r="B40" s="2690" t="s">
        <v>29507</v>
      </c>
      <c r="C40" s="2691"/>
      <c r="D40" s="2691"/>
      <c r="E40" s="2691"/>
      <c r="F40" s="2691"/>
      <c r="G40" s="2692"/>
      <c r="H40" s="1698" t="s">
        <v>26730</v>
      </c>
      <c r="I40" s="1742"/>
      <c r="J40" s="1739" t="s">
        <v>29508</v>
      </c>
      <c r="K40" s="1740"/>
      <c r="L40" s="1740"/>
      <c r="M40" s="1741"/>
    </row>
    <row r="41" spans="2:13" ht="15.75" hidden="1" x14ac:dyDescent="0.2">
      <c r="B41" s="2690" t="s">
        <v>29509</v>
      </c>
      <c r="C41" s="2691"/>
      <c r="D41" s="2691"/>
      <c r="E41" s="2691"/>
      <c r="F41" s="2691"/>
      <c r="G41" s="2692"/>
      <c r="H41" s="1698" t="s">
        <v>25955</v>
      </c>
      <c r="I41" s="1742"/>
      <c r="J41" s="1739" t="s">
        <v>29503</v>
      </c>
      <c r="K41" s="1740"/>
      <c r="L41" s="1740"/>
      <c r="M41" s="1744"/>
    </row>
    <row r="42" spans="2:13" ht="18.75" hidden="1" customHeight="1" thickBot="1" x14ac:dyDescent="0.25">
      <c r="B42" s="2687" t="s">
        <v>29510</v>
      </c>
      <c r="C42" s="2688"/>
      <c r="D42" s="2688"/>
      <c r="E42" s="2688"/>
      <c r="F42" s="2688"/>
      <c r="G42" s="2689"/>
      <c r="H42" s="1745" t="s">
        <v>22846</v>
      </c>
      <c r="I42" s="1746"/>
      <c r="J42" s="1747" t="s">
        <v>29503</v>
      </c>
      <c r="K42" s="1748"/>
      <c r="L42" s="1748"/>
      <c r="M42" s="1749"/>
    </row>
    <row r="44" spans="2:13" ht="18" x14ac:dyDescent="0.25">
      <c r="B44" s="1750" t="s">
        <v>29511</v>
      </c>
    </row>
  </sheetData>
  <mergeCells count="23">
    <mergeCell ref="J35:M35"/>
    <mergeCell ref="C13:L14"/>
    <mergeCell ref="D2:J3"/>
    <mergeCell ref="L2:M3"/>
    <mergeCell ref="B5:C5"/>
    <mergeCell ref="D5:E5"/>
    <mergeCell ref="G5:H5"/>
    <mergeCell ref="B33:G33"/>
    <mergeCell ref="B34:G34"/>
    <mergeCell ref="B35:G35"/>
    <mergeCell ref="B42:G42"/>
    <mergeCell ref="B36:G36"/>
    <mergeCell ref="B37:G37"/>
    <mergeCell ref="B38:G38"/>
    <mergeCell ref="B39:G39"/>
    <mergeCell ref="B40:G40"/>
    <mergeCell ref="B41:G41"/>
    <mergeCell ref="Q24:T26"/>
    <mergeCell ref="B32:G32"/>
    <mergeCell ref="B9:C9"/>
    <mergeCell ref="D9:E9"/>
    <mergeCell ref="G9:H9"/>
    <mergeCell ref="Q21:T23"/>
  </mergeCells>
  <dataValidations count="1">
    <dataValidation type="list" allowBlank="1" showInputMessage="1" showErrorMessage="1" sqref="H12" xr:uid="{00000000-0002-0000-0100-000000000000}">
      <formula1>#REF!</formula1>
    </dataValidation>
  </dataValidations>
  <pageMargins left="0.7" right="0.7" top="0.75" bottom="0.75" header="0.3" footer="0.3"/>
  <pageSetup paperSize="9" scale="61"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0"/>
  <dimension ref="A2:E660"/>
  <sheetViews>
    <sheetView showGridLines="0" workbookViewId="0">
      <selection activeCell="E11" sqref="E11"/>
    </sheetView>
  </sheetViews>
  <sheetFormatPr baseColWidth="10" defaultRowHeight="12.75" x14ac:dyDescent="0.2"/>
  <cols>
    <col min="1" max="1" width="14.28515625" style="36" customWidth="1"/>
    <col min="2" max="2" width="11.42578125" style="36" customWidth="1"/>
    <col min="3" max="3" width="14.85546875" style="36" customWidth="1"/>
    <col min="4" max="4" width="49.5703125" style="36" customWidth="1"/>
    <col min="5" max="5" width="90.7109375" style="36" customWidth="1"/>
  </cols>
  <sheetData>
    <row r="2" spans="1:5" s="108" customFormat="1" ht="20.25" x14ac:dyDescent="0.3">
      <c r="A2" s="119"/>
      <c r="B2" s="119"/>
      <c r="C2" s="119"/>
      <c r="D2" s="120" t="s">
        <v>0</v>
      </c>
      <c r="E2" s="119"/>
    </row>
    <row r="3" spans="1:5" x14ac:dyDescent="0.2">
      <c r="D3" s="1"/>
    </row>
    <row r="4" spans="1:5" ht="16.5" thickBot="1" x14ac:dyDescent="0.3">
      <c r="A4" s="121"/>
      <c r="B4" s="121"/>
      <c r="C4" s="121"/>
      <c r="D4" s="122" t="s">
        <v>288</v>
      </c>
      <c r="E4" s="121"/>
    </row>
    <row r="5" spans="1:5" x14ac:dyDescent="0.2">
      <c r="A5" s="123" t="s">
        <v>289</v>
      </c>
      <c r="B5" s="123" t="s">
        <v>100</v>
      </c>
      <c r="C5" s="123" t="s">
        <v>290</v>
      </c>
      <c r="D5" s="123" t="s">
        <v>291</v>
      </c>
      <c r="E5" s="124" t="s">
        <v>292</v>
      </c>
    </row>
    <row r="6" spans="1:5" ht="12.2" customHeight="1" x14ac:dyDescent="0.2">
      <c r="A6" s="61"/>
      <c r="B6" s="61"/>
      <c r="C6" s="61"/>
      <c r="D6" s="61"/>
      <c r="E6" s="61"/>
    </row>
    <row r="7" spans="1:5" ht="12.2" customHeight="1" x14ac:dyDescent="0.2">
      <c r="A7" s="61" t="s">
        <v>31509</v>
      </c>
      <c r="B7" s="125">
        <v>44594</v>
      </c>
      <c r="C7" s="61" t="s">
        <v>31506</v>
      </c>
      <c r="D7" s="61"/>
      <c r="E7" s="61"/>
    </row>
    <row r="8" spans="1:5" ht="12.2" customHeight="1" x14ac:dyDescent="0.2">
      <c r="A8" s="61" t="s">
        <v>31509</v>
      </c>
      <c r="B8" s="125">
        <v>44594</v>
      </c>
      <c r="C8" s="61" t="s">
        <v>31506</v>
      </c>
      <c r="D8" s="61" t="s">
        <v>31516</v>
      </c>
      <c r="E8" s="61"/>
    </row>
    <row r="9" spans="1:5" ht="12.2" customHeight="1" x14ac:dyDescent="0.2">
      <c r="A9" s="61" t="s">
        <v>31509</v>
      </c>
      <c r="B9" s="125">
        <v>44593</v>
      </c>
      <c r="C9" s="61" t="s">
        <v>31506</v>
      </c>
      <c r="D9" s="61" t="s">
        <v>31516</v>
      </c>
      <c r="E9" s="61"/>
    </row>
    <row r="10" spans="1:5" ht="12.2" customHeight="1" x14ac:dyDescent="0.2">
      <c r="A10" s="61" t="s">
        <v>31509</v>
      </c>
      <c r="B10" s="125">
        <v>44582</v>
      </c>
      <c r="C10" s="61" t="s">
        <v>31506</v>
      </c>
      <c r="D10" s="61" t="s">
        <v>31516</v>
      </c>
      <c r="E10" s="61"/>
    </row>
    <row r="11" spans="1:5" ht="12.2" customHeight="1" x14ac:dyDescent="0.2">
      <c r="A11" s="61" t="s">
        <v>31509</v>
      </c>
      <c r="B11" s="125">
        <v>44578</v>
      </c>
      <c r="C11" s="61" t="s">
        <v>31506</v>
      </c>
      <c r="D11" s="61" t="s">
        <v>31516</v>
      </c>
      <c r="E11" s="61"/>
    </row>
    <row r="12" spans="1:5" ht="12.2" customHeight="1" x14ac:dyDescent="0.2">
      <c r="A12" s="61" t="s">
        <v>31509</v>
      </c>
      <c r="B12" s="125">
        <v>44578</v>
      </c>
      <c r="C12" s="61" t="s">
        <v>31506</v>
      </c>
      <c r="D12" s="61" t="s">
        <v>31516</v>
      </c>
      <c r="E12" s="61"/>
    </row>
    <row r="13" spans="1:5" ht="12.2" customHeight="1" x14ac:dyDescent="0.2">
      <c r="A13" s="61" t="s">
        <v>31509</v>
      </c>
      <c r="B13" s="125">
        <v>44578</v>
      </c>
      <c r="C13" s="61" t="s">
        <v>31506</v>
      </c>
      <c r="D13" s="61" t="s">
        <v>31516</v>
      </c>
      <c r="E13" s="61"/>
    </row>
    <row r="14" spans="1:5" ht="12.2" customHeight="1" x14ac:dyDescent="0.2">
      <c r="A14" s="61" t="s">
        <v>29240</v>
      </c>
      <c r="B14" s="125">
        <v>44572</v>
      </c>
      <c r="C14" s="61" t="s">
        <v>31506</v>
      </c>
      <c r="D14" s="61" t="s">
        <v>31510</v>
      </c>
      <c r="E14" s="61" t="s">
        <v>31507</v>
      </c>
    </row>
    <row r="15" spans="1:5" ht="12.2" customHeight="1" x14ac:dyDescent="0.2">
      <c r="A15" s="61" t="s">
        <v>29240</v>
      </c>
      <c r="B15" s="125">
        <v>44505</v>
      </c>
      <c r="C15" s="61" t="s">
        <v>31504</v>
      </c>
      <c r="D15" s="61" t="s">
        <v>31508</v>
      </c>
      <c r="E15" s="61" t="s">
        <v>31503</v>
      </c>
    </row>
    <row r="16" spans="1:5" ht="12.2" customHeight="1" x14ac:dyDescent="0.2">
      <c r="A16" s="61" t="s">
        <v>29240</v>
      </c>
      <c r="B16" s="125">
        <v>44495</v>
      </c>
      <c r="C16" s="61" t="s">
        <v>31500</v>
      </c>
      <c r="D16" s="61" t="s">
        <v>31505</v>
      </c>
      <c r="E16" s="61" t="s">
        <v>31501</v>
      </c>
    </row>
    <row r="17" spans="1:5" ht="12.2" customHeight="1" x14ac:dyDescent="0.2">
      <c r="A17" s="61" t="s">
        <v>29240</v>
      </c>
      <c r="B17" s="125">
        <v>44473</v>
      </c>
      <c r="C17" s="61" t="s">
        <v>31493</v>
      </c>
      <c r="D17" s="61" t="s">
        <v>31502</v>
      </c>
      <c r="E17" s="61" t="s">
        <v>31494</v>
      </c>
    </row>
    <row r="18" spans="1:5" ht="12.2" customHeight="1" x14ac:dyDescent="0.2">
      <c r="A18" s="61" t="s">
        <v>29240</v>
      </c>
      <c r="B18" s="125">
        <v>44386</v>
      </c>
      <c r="C18" s="61" t="s">
        <v>31490</v>
      </c>
      <c r="D18" s="61" t="s">
        <v>31495</v>
      </c>
      <c r="E18" s="61" t="s">
        <v>31491</v>
      </c>
    </row>
    <row r="19" spans="1:5" ht="12.2" customHeight="1" x14ac:dyDescent="0.2">
      <c r="A19" s="61" t="s">
        <v>29240</v>
      </c>
      <c r="B19" s="125">
        <v>44383</v>
      </c>
      <c r="C19" s="61" t="s">
        <v>31488</v>
      </c>
      <c r="D19" s="61" t="s">
        <v>31492</v>
      </c>
      <c r="E19" s="61" t="s">
        <v>31487</v>
      </c>
    </row>
    <row r="20" spans="1:5" ht="12.2" customHeight="1" x14ac:dyDescent="0.2">
      <c r="A20" s="61" t="s">
        <v>29240</v>
      </c>
      <c r="B20" s="125">
        <v>44383</v>
      </c>
      <c r="C20" s="61" t="s">
        <v>31484</v>
      </c>
      <c r="D20" s="61" t="s">
        <v>31489</v>
      </c>
      <c r="E20" s="61" t="s">
        <v>31485</v>
      </c>
    </row>
    <row r="21" spans="1:5" ht="12.2" customHeight="1" x14ac:dyDescent="0.2">
      <c r="A21" s="61" t="s">
        <v>29240</v>
      </c>
      <c r="B21" s="125">
        <v>44342</v>
      </c>
      <c r="C21" s="61" t="s">
        <v>31481</v>
      </c>
      <c r="D21" s="61" t="s">
        <v>31486</v>
      </c>
      <c r="E21" s="61" t="s">
        <v>31482</v>
      </c>
    </row>
    <row r="22" spans="1:5" ht="12.2" customHeight="1" x14ac:dyDescent="0.2">
      <c r="A22" s="61" t="s">
        <v>29240</v>
      </c>
      <c r="B22" s="125">
        <v>44335</v>
      </c>
      <c r="C22" s="61" t="s">
        <v>31478</v>
      </c>
      <c r="D22" s="61" t="s">
        <v>31483</v>
      </c>
      <c r="E22" s="61" t="s">
        <v>31479</v>
      </c>
    </row>
    <row r="23" spans="1:5" ht="12.2" customHeight="1" x14ac:dyDescent="0.2">
      <c r="A23" s="61" t="s">
        <v>29240</v>
      </c>
      <c r="B23" s="125">
        <v>44334</v>
      </c>
      <c r="C23" s="61" t="s">
        <v>31475</v>
      </c>
      <c r="D23" s="61" t="s">
        <v>31480</v>
      </c>
      <c r="E23" s="61" t="s">
        <v>31476</v>
      </c>
    </row>
    <row r="24" spans="1:5" ht="12.2" customHeight="1" x14ac:dyDescent="0.2">
      <c r="A24" s="61" t="s">
        <v>29240</v>
      </c>
      <c r="B24" s="125">
        <v>44284</v>
      </c>
      <c r="C24" s="61" t="s">
        <v>31469</v>
      </c>
      <c r="D24" s="61" t="s">
        <v>31477</v>
      </c>
      <c r="E24" s="61" t="s">
        <v>31470</v>
      </c>
    </row>
    <row r="25" spans="1:5" ht="12.2" customHeight="1" x14ac:dyDescent="0.2">
      <c r="A25" s="61" t="s">
        <v>29240</v>
      </c>
      <c r="B25" s="125">
        <v>44284</v>
      </c>
      <c r="C25" s="61" t="s">
        <v>31466</v>
      </c>
      <c r="D25" s="61" t="s">
        <v>31471</v>
      </c>
      <c r="E25" s="61" t="s">
        <v>31467</v>
      </c>
    </row>
    <row r="26" spans="1:5" ht="12.2" customHeight="1" x14ac:dyDescent="0.2">
      <c r="A26" s="61" t="s">
        <v>29240</v>
      </c>
      <c r="B26" s="125">
        <v>44258</v>
      </c>
      <c r="C26" s="61" t="s">
        <v>31463</v>
      </c>
      <c r="D26" s="61" t="s">
        <v>31468</v>
      </c>
      <c r="E26" s="61" t="s">
        <v>31464</v>
      </c>
    </row>
    <row r="27" spans="1:5" ht="12.2" customHeight="1" x14ac:dyDescent="0.2">
      <c r="A27" s="61" t="s">
        <v>29240</v>
      </c>
      <c r="B27" s="125">
        <v>44215</v>
      </c>
      <c r="C27" s="61" t="s">
        <v>31460</v>
      </c>
      <c r="D27" s="61" t="s">
        <v>31465</v>
      </c>
      <c r="E27" s="61" t="s">
        <v>31461</v>
      </c>
    </row>
    <row r="28" spans="1:5" ht="12.2" customHeight="1" x14ac:dyDescent="0.2">
      <c r="A28" s="61" t="s">
        <v>29240</v>
      </c>
      <c r="B28" s="125">
        <v>44146</v>
      </c>
      <c r="C28" s="61" t="s">
        <v>31457</v>
      </c>
      <c r="D28" s="61" t="s">
        <v>31462</v>
      </c>
      <c r="E28" s="61" t="s">
        <v>31456</v>
      </c>
    </row>
    <row r="29" spans="1:5" ht="12.2" customHeight="1" x14ac:dyDescent="0.2">
      <c r="A29" s="61" t="s">
        <v>29240</v>
      </c>
      <c r="B29" s="125">
        <v>44146</v>
      </c>
      <c r="C29" s="1129" t="s">
        <v>31459</v>
      </c>
      <c r="D29" s="61" t="s">
        <v>31458</v>
      </c>
      <c r="E29" s="61" t="s">
        <v>31455</v>
      </c>
    </row>
    <row r="30" spans="1:5" ht="12.2" customHeight="1" x14ac:dyDescent="0.2">
      <c r="A30" s="61" t="s">
        <v>29240</v>
      </c>
      <c r="B30" s="125">
        <v>44146</v>
      </c>
      <c r="C30" s="61" t="s">
        <v>31450</v>
      </c>
      <c r="D30" s="61" t="s">
        <v>31454</v>
      </c>
      <c r="E30" s="61" t="s">
        <v>31449</v>
      </c>
    </row>
    <row r="31" spans="1:5" ht="12.2" customHeight="1" x14ac:dyDescent="0.2">
      <c r="A31" s="61" t="s">
        <v>29240</v>
      </c>
      <c r="B31" s="125">
        <v>44137</v>
      </c>
      <c r="C31" s="61" t="s">
        <v>31444</v>
      </c>
      <c r="D31" s="61" t="s">
        <v>31451</v>
      </c>
      <c r="E31" s="61" t="s">
        <v>31445</v>
      </c>
    </row>
    <row r="32" spans="1:5" ht="12.2" customHeight="1" x14ac:dyDescent="0.2">
      <c r="A32" s="61" t="s">
        <v>850</v>
      </c>
      <c r="B32" s="125">
        <v>44116</v>
      </c>
      <c r="C32" s="61" t="s">
        <v>31442</v>
      </c>
      <c r="D32" s="61" t="s">
        <v>31447</v>
      </c>
      <c r="E32" s="61" t="s">
        <v>31441</v>
      </c>
    </row>
    <row r="33" spans="1:5" ht="12.2" customHeight="1" x14ac:dyDescent="0.2">
      <c r="A33" s="61" t="s">
        <v>850</v>
      </c>
      <c r="B33" s="125">
        <v>44109</v>
      </c>
      <c r="C33" s="61" t="s">
        <v>31437</v>
      </c>
      <c r="D33" s="61" t="s">
        <v>31443</v>
      </c>
      <c r="E33" s="61" t="s">
        <v>31436</v>
      </c>
    </row>
    <row r="34" spans="1:5" ht="12.2" customHeight="1" x14ac:dyDescent="0.2">
      <c r="A34" s="61" t="s">
        <v>29240</v>
      </c>
      <c r="B34" s="125">
        <v>44092</v>
      </c>
      <c r="C34" s="61" t="s">
        <v>31430</v>
      </c>
      <c r="D34" s="61" t="s">
        <v>31438</v>
      </c>
      <c r="E34" s="61" t="s">
        <v>31429</v>
      </c>
    </row>
    <row r="35" spans="1:5" ht="12.2" customHeight="1" x14ac:dyDescent="0.2">
      <c r="A35" s="61" t="s">
        <v>29240</v>
      </c>
      <c r="B35" s="125">
        <v>44088</v>
      </c>
      <c r="C35" s="61" t="s">
        <v>31414</v>
      </c>
      <c r="D35" s="61" t="s">
        <v>31431</v>
      </c>
      <c r="E35" s="61" t="s">
        <v>31415</v>
      </c>
    </row>
    <row r="36" spans="1:5" ht="12.2" customHeight="1" x14ac:dyDescent="0.2">
      <c r="A36" s="61" t="s">
        <v>850</v>
      </c>
      <c r="B36" s="125">
        <v>44085</v>
      </c>
      <c r="C36" s="61" t="s">
        <v>31412</v>
      </c>
      <c r="D36" s="61" t="s">
        <v>31416</v>
      </c>
      <c r="E36" s="61" t="s">
        <v>31413</v>
      </c>
    </row>
    <row r="37" spans="1:5" ht="12.2" customHeight="1" x14ac:dyDescent="0.2">
      <c r="A37" s="61" t="s">
        <v>850</v>
      </c>
      <c r="B37" s="125">
        <v>44084</v>
      </c>
      <c r="C37" s="61" t="s">
        <v>31410</v>
      </c>
      <c r="D37" s="61" t="s">
        <v>31411</v>
      </c>
      <c r="E37" s="61" t="s">
        <v>31409</v>
      </c>
    </row>
    <row r="38" spans="1:5" ht="12.2" customHeight="1" x14ac:dyDescent="0.2">
      <c r="A38" s="61" t="s">
        <v>29240</v>
      </c>
      <c r="B38" s="125">
        <v>44011</v>
      </c>
      <c r="C38" s="61" t="s">
        <v>31396</v>
      </c>
      <c r="D38" s="61" t="s">
        <v>31411</v>
      </c>
      <c r="E38" s="61" t="s">
        <v>31399</v>
      </c>
    </row>
    <row r="39" spans="1:5" ht="12.2" customHeight="1" x14ac:dyDescent="0.2">
      <c r="A39" s="61" t="s">
        <v>29240</v>
      </c>
      <c r="B39" s="125">
        <v>44011</v>
      </c>
      <c r="C39" s="61" t="s">
        <v>31396</v>
      </c>
      <c r="D39" s="61" t="s">
        <v>31400</v>
      </c>
      <c r="E39" s="61" t="s">
        <v>31397</v>
      </c>
    </row>
    <row r="40" spans="1:5" ht="12.2" customHeight="1" x14ac:dyDescent="0.2">
      <c r="A40" s="61" t="s">
        <v>29240</v>
      </c>
      <c r="B40" s="125">
        <v>44008</v>
      </c>
      <c r="C40" s="61" t="s">
        <v>31294</v>
      </c>
      <c r="D40" s="61" t="s">
        <v>31398</v>
      </c>
      <c r="E40" s="61" t="s">
        <v>31293</v>
      </c>
    </row>
    <row r="41" spans="1:5" ht="12.2" customHeight="1" x14ac:dyDescent="0.2">
      <c r="A41" s="61" t="s">
        <v>29240</v>
      </c>
      <c r="B41" s="125">
        <v>43999</v>
      </c>
      <c r="C41" s="61" t="s">
        <v>31291</v>
      </c>
      <c r="D41" s="61" t="s">
        <v>31295</v>
      </c>
      <c r="E41" s="61" t="s">
        <v>31290</v>
      </c>
    </row>
    <row r="42" spans="1:5" ht="12.2" customHeight="1" x14ac:dyDescent="0.2">
      <c r="A42" s="61" t="s">
        <v>29240</v>
      </c>
      <c r="B42" s="125">
        <v>43999</v>
      </c>
      <c r="C42" s="61" t="s">
        <v>31288</v>
      </c>
      <c r="D42" s="61" t="s">
        <v>31292</v>
      </c>
      <c r="E42" s="61" t="s">
        <v>31287</v>
      </c>
    </row>
    <row r="43" spans="1:5" ht="12.2" customHeight="1" x14ac:dyDescent="0.2">
      <c r="A43" s="61" t="s">
        <v>29240</v>
      </c>
      <c r="B43" s="125">
        <v>43999</v>
      </c>
      <c r="C43" s="61" t="s">
        <v>31285</v>
      </c>
      <c r="D43" s="61" t="s">
        <v>31289</v>
      </c>
      <c r="E43" s="61" t="s">
        <v>31284</v>
      </c>
    </row>
    <row r="44" spans="1:5" ht="12.2" customHeight="1" x14ac:dyDescent="0.2">
      <c r="A44" s="61" t="s">
        <v>29240</v>
      </c>
      <c r="B44" s="125">
        <v>43958</v>
      </c>
      <c r="C44" s="61" t="s">
        <v>31279</v>
      </c>
      <c r="D44" s="61" t="s">
        <v>31286</v>
      </c>
      <c r="E44" s="61" t="s">
        <v>31280</v>
      </c>
    </row>
    <row r="45" spans="1:5" ht="12.2" customHeight="1" x14ac:dyDescent="0.2">
      <c r="A45" s="61" t="s">
        <v>850</v>
      </c>
      <c r="B45" s="125">
        <v>43928</v>
      </c>
      <c r="C45" s="61" t="s">
        <v>31276</v>
      </c>
      <c r="D45" s="61" t="s">
        <v>31281</v>
      </c>
      <c r="E45" s="61" t="s">
        <v>31277</v>
      </c>
    </row>
    <row r="46" spans="1:5" ht="12.2" customHeight="1" x14ac:dyDescent="0.2">
      <c r="A46" s="61" t="s">
        <v>29240</v>
      </c>
      <c r="B46" s="125">
        <v>43922</v>
      </c>
      <c r="C46" s="61" t="s">
        <v>31273</v>
      </c>
      <c r="D46" s="61" t="s">
        <v>31278</v>
      </c>
      <c r="E46" s="61" t="s">
        <v>31274</v>
      </c>
    </row>
    <row r="47" spans="1:5" ht="12.2" customHeight="1" x14ac:dyDescent="0.2">
      <c r="A47" s="61" t="s">
        <v>29240</v>
      </c>
      <c r="B47" s="125">
        <v>43914</v>
      </c>
      <c r="C47" s="61" t="s">
        <v>31271</v>
      </c>
      <c r="D47" s="61" t="s">
        <v>31275</v>
      </c>
      <c r="E47" s="61" t="s">
        <v>31270</v>
      </c>
    </row>
    <row r="48" spans="1:5" ht="12.2" customHeight="1" x14ac:dyDescent="0.2">
      <c r="A48" s="61" t="s">
        <v>29240</v>
      </c>
      <c r="B48" s="125">
        <v>43908</v>
      </c>
      <c r="C48" s="61" t="s">
        <v>31267</v>
      </c>
      <c r="D48" s="61" t="s">
        <v>31272</v>
      </c>
      <c r="E48" s="61" t="s">
        <v>31268</v>
      </c>
    </row>
    <row r="49" spans="1:5" ht="12.2" customHeight="1" x14ac:dyDescent="0.2">
      <c r="A49" s="61" t="s">
        <v>29240</v>
      </c>
      <c r="B49" s="125">
        <v>43907</v>
      </c>
      <c r="C49" s="61" t="s">
        <v>31264</v>
      </c>
      <c r="D49" s="61" t="s">
        <v>31269</v>
      </c>
      <c r="E49" s="61" t="s">
        <v>31265</v>
      </c>
    </row>
    <row r="50" spans="1:5" ht="12.2" customHeight="1" x14ac:dyDescent="0.2">
      <c r="A50" s="61" t="s">
        <v>29240</v>
      </c>
      <c r="B50" s="125">
        <v>43902</v>
      </c>
      <c r="C50" s="61" t="s">
        <v>31262</v>
      </c>
      <c r="D50" s="61" t="s">
        <v>31266</v>
      </c>
      <c r="E50" s="61" t="s">
        <v>31261</v>
      </c>
    </row>
    <row r="51" spans="1:5" ht="12.2" customHeight="1" x14ac:dyDescent="0.2">
      <c r="A51" s="61" t="s">
        <v>29240</v>
      </c>
      <c r="B51" s="125">
        <v>43901</v>
      </c>
      <c r="C51" s="61" t="s">
        <v>31257</v>
      </c>
      <c r="D51" s="61" t="s">
        <v>31263</v>
      </c>
      <c r="E51" s="61" t="s">
        <v>31258</v>
      </c>
    </row>
    <row r="52" spans="1:5" ht="12.2" customHeight="1" x14ac:dyDescent="0.2">
      <c r="A52" s="61" t="s">
        <v>29240</v>
      </c>
      <c r="B52" s="125">
        <v>43901</v>
      </c>
      <c r="C52" s="61" t="s">
        <v>31254</v>
      </c>
      <c r="D52" s="61" t="s">
        <v>31259</v>
      </c>
      <c r="E52" s="61" t="s">
        <v>31255</v>
      </c>
    </row>
    <row r="53" spans="1:5" ht="12.2" customHeight="1" x14ac:dyDescent="0.2">
      <c r="A53" s="61" t="s">
        <v>29240</v>
      </c>
      <c r="B53" s="125">
        <v>43901</v>
      </c>
      <c r="C53" s="61" t="s">
        <v>31251</v>
      </c>
      <c r="D53" s="61" t="s">
        <v>31256</v>
      </c>
      <c r="E53" s="61" t="s">
        <v>31252</v>
      </c>
    </row>
    <row r="54" spans="1:5" ht="12.2" customHeight="1" x14ac:dyDescent="0.2">
      <c r="A54" s="61" t="s">
        <v>29240</v>
      </c>
      <c r="B54" s="125">
        <v>43894</v>
      </c>
      <c r="C54" s="61" t="s">
        <v>31249</v>
      </c>
      <c r="D54" s="61" t="s">
        <v>31253</v>
      </c>
      <c r="E54" s="61" t="s">
        <v>31248</v>
      </c>
    </row>
    <row r="55" spans="1:5" ht="12.2" customHeight="1" x14ac:dyDescent="0.2">
      <c r="A55" s="61" t="s">
        <v>29240</v>
      </c>
      <c r="B55" s="125">
        <v>43888</v>
      </c>
      <c r="C55" s="61" t="s">
        <v>31245</v>
      </c>
      <c r="D55" s="61" t="s">
        <v>31250</v>
      </c>
      <c r="E55" s="61" t="s">
        <v>31246</v>
      </c>
    </row>
    <row r="56" spans="1:5" ht="12.2" customHeight="1" x14ac:dyDescent="0.2">
      <c r="A56" s="61" t="s">
        <v>29240</v>
      </c>
      <c r="B56" s="125">
        <v>43885</v>
      </c>
      <c r="C56" s="61" t="s">
        <v>31243</v>
      </c>
      <c r="D56" s="61" t="s">
        <v>31247</v>
      </c>
      <c r="E56" s="61" t="s">
        <v>31241</v>
      </c>
    </row>
    <row r="57" spans="1:5" ht="12.2" customHeight="1" x14ac:dyDescent="0.2">
      <c r="A57" s="61" t="s">
        <v>29240</v>
      </c>
      <c r="B57" s="125">
        <v>43880</v>
      </c>
      <c r="C57" s="61" t="s">
        <v>31240</v>
      </c>
      <c r="D57" s="61" t="s">
        <v>31244</v>
      </c>
      <c r="E57" s="61" t="s">
        <v>31241</v>
      </c>
    </row>
    <row r="58" spans="1:5" ht="12.2" customHeight="1" x14ac:dyDescent="0.2">
      <c r="A58" s="61" t="s">
        <v>29240</v>
      </c>
      <c r="B58" s="125">
        <v>43875</v>
      </c>
      <c r="C58" s="61" t="s">
        <v>31237</v>
      </c>
      <c r="D58" s="61" t="s">
        <v>31242</v>
      </c>
      <c r="E58" s="61" t="s">
        <v>31238</v>
      </c>
    </row>
    <row r="59" spans="1:5" ht="12.2" customHeight="1" x14ac:dyDescent="0.2">
      <c r="A59" s="61" t="s">
        <v>29240</v>
      </c>
      <c r="B59" s="125">
        <v>43872</v>
      </c>
      <c r="C59" s="61" t="s">
        <v>31235</v>
      </c>
      <c r="D59" s="61" t="s">
        <v>31239</v>
      </c>
      <c r="E59" s="61" t="s">
        <v>31234</v>
      </c>
    </row>
    <row r="60" spans="1:5" ht="12.2" customHeight="1" x14ac:dyDescent="0.2">
      <c r="A60" s="61" t="s">
        <v>29240</v>
      </c>
      <c r="B60" s="125">
        <v>43858</v>
      </c>
      <c r="C60" s="61" t="s">
        <v>31231</v>
      </c>
      <c r="D60" s="61" t="s">
        <v>31236</v>
      </c>
      <c r="E60" s="61" t="s">
        <v>31232</v>
      </c>
    </row>
    <row r="61" spans="1:5" ht="12.2" customHeight="1" x14ac:dyDescent="0.2">
      <c r="A61" s="61" t="s">
        <v>29240</v>
      </c>
      <c r="B61" s="125">
        <v>43853</v>
      </c>
      <c r="C61" s="61" t="s">
        <v>31228</v>
      </c>
      <c r="D61" s="61" t="s">
        <v>31233</v>
      </c>
      <c r="E61" s="61" t="s">
        <v>31229</v>
      </c>
    </row>
    <row r="62" spans="1:5" ht="12.2" customHeight="1" x14ac:dyDescent="0.2">
      <c r="A62" s="61" t="s">
        <v>29240</v>
      </c>
      <c r="B62" s="125">
        <v>43846</v>
      </c>
      <c r="C62" s="61" t="s">
        <v>31225</v>
      </c>
      <c r="D62" s="61" t="s">
        <v>31230</v>
      </c>
      <c r="E62" s="61" t="s">
        <v>31224</v>
      </c>
    </row>
    <row r="63" spans="1:5" ht="12.2" customHeight="1" x14ac:dyDescent="0.2">
      <c r="A63" s="61" t="s">
        <v>29240</v>
      </c>
      <c r="B63" s="125">
        <v>43845</v>
      </c>
      <c r="C63" s="61" t="s">
        <v>31221</v>
      </c>
      <c r="D63" s="61" t="s">
        <v>31226</v>
      </c>
      <c r="E63" s="61" t="s">
        <v>31222</v>
      </c>
    </row>
    <row r="64" spans="1:5" ht="12.2" customHeight="1" x14ac:dyDescent="0.2">
      <c r="A64" s="61" t="s">
        <v>29240</v>
      </c>
      <c r="B64" s="125">
        <v>43843</v>
      </c>
      <c r="C64" s="61" t="s">
        <v>31218</v>
      </c>
      <c r="D64" s="61" t="s">
        <v>31223</v>
      </c>
      <c r="E64" s="61" t="s">
        <v>31219</v>
      </c>
    </row>
    <row r="65" spans="1:5" ht="12.2" customHeight="1" x14ac:dyDescent="0.2">
      <c r="A65" s="61" t="s">
        <v>29240</v>
      </c>
      <c r="B65" s="125">
        <v>43843</v>
      </c>
      <c r="C65" s="61" t="s">
        <v>31213</v>
      </c>
      <c r="D65" s="61" t="s">
        <v>31220</v>
      </c>
      <c r="E65" s="61" t="s">
        <v>31212</v>
      </c>
    </row>
    <row r="66" spans="1:5" ht="12.2" customHeight="1" x14ac:dyDescent="0.2">
      <c r="A66" s="61" t="s">
        <v>29240</v>
      </c>
      <c r="B66" s="125">
        <v>43839</v>
      </c>
      <c r="C66" s="61" t="s">
        <v>31209</v>
      </c>
      <c r="D66" s="61" t="s">
        <v>31214</v>
      </c>
      <c r="E66" s="61" t="s">
        <v>31210</v>
      </c>
    </row>
    <row r="67" spans="1:5" ht="12.2" customHeight="1" x14ac:dyDescent="0.2">
      <c r="A67" s="61" t="s">
        <v>29240</v>
      </c>
      <c r="B67" s="125">
        <v>43839</v>
      </c>
      <c r="C67" s="61" t="s">
        <v>31196</v>
      </c>
      <c r="D67" s="61" t="s">
        <v>31211</v>
      </c>
      <c r="E67" s="61" t="s">
        <v>31197</v>
      </c>
    </row>
    <row r="68" spans="1:5" ht="12.2" customHeight="1" x14ac:dyDescent="0.2">
      <c r="A68" s="61" t="s">
        <v>29240</v>
      </c>
      <c r="B68" s="125">
        <v>43816</v>
      </c>
      <c r="C68" s="61" t="s">
        <v>31182</v>
      </c>
      <c r="D68" s="61" t="s">
        <v>31198</v>
      </c>
      <c r="E68" s="61" t="s">
        <v>31181</v>
      </c>
    </row>
    <row r="69" spans="1:5" ht="12.2" customHeight="1" x14ac:dyDescent="0.2">
      <c r="A69" s="61" t="s">
        <v>29240</v>
      </c>
      <c r="B69" s="125">
        <v>43811</v>
      </c>
      <c r="C69" s="61" t="s">
        <v>31178</v>
      </c>
      <c r="D69" s="61" t="s">
        <v>31183</v>
      </c>
      <c r="E69" s="61" t="s">
        <v>31179</v>
      </c>
    </row>
    <row r="70" spans="1:5" ht="12.2" customHeight="1" x14ac:dyDescent="0.2">
      <c r="A70" s="61" t="s">
        <v>29240</v>
      </c>
      <c r="B70" s="125">
        <v>43808</v>
      </c>
      <c r="C70" s="61" t="s">
        <v>31176</v>
      </c>
      <c r="D70" s="61" t="s">
        <v>31180</v>
      </c>
      <c r="E70" s="61" t="s">
        <v>31175</v>
      </c>
    </row>
    <row r="71" spans="1:5" ht="12.2" customHeight="1" x14ac:dyDescent="0.2">
      <c r="A71" s="61" t="s">
        <v>29240</v>
      </c>
      <c r="B71" s="125">
        <v>43784</v>
      </c>
      <c r="C71" s="61" t="s">
        <v>31134</v>
      </c>
      <c r="D71" s="61" t="s">
        <v>31177</v>
      </c>
      <c r="E71" s="61" t="s">
        <v>31135</v>
      </c>
    </row>
    <row r="72" spans="1:5" ht="12.2" customHeight="1" x14ac:dyDescent="0.2">
      <c r="A72" s="61" t="s">
        <v>29240</v>
      </c>
      <c r="B72" s="125">
        <v>43783</v>
      </c>
      <c r="C72" s="61" t="s">
        <v>31131</v>
      </c>
      <c r="D72" s="61" t="s">
        <v>31136</v>
      </c>
      <c r="E72" s="61" t="s">
        <v>31132</v>
      </c>
    </row>
    <row r="73" spans="1:5" ht="12.2" customHeight="1" x14ac:dyDescent="0.2">
      <c r="A73" s="61" t="s">
        <v>29240</v>
      </c>
      <c r="B73" s="125">
        <v>43777</v>
      </c>
      <c r="C73" s="61" t="s">
        <v>31128</v>
      </c>
      <c r="D73" s="61" t="s">
        <v>31133</v>
      </c>
      <c r="E73" s="61" t="s">
        <v>31129</v>
      </c>
    </row>
    <row r="74" spans="1:5" ht="12.2" customHeight="1" x14ac:dyDescent="0.2">
      <c r="A74" s="61" t="s">
        <v>29240</v>
      </c>
      <c r="B74" s="125">
        <v>43776</v>
      </c>
      <c r="C74" s="61" t="s">
        <v>31125</v>
      </c>
      <c r="D74" s="61" t="s">
        <v>31130</v>
      </c>
      <c r="E74" s="61" t="s">
        <v>31126</v>
      </c>
    </row>
    <row r="75" spans="1:5" ht="12.2" customHeight="1" x14ac:dyDescent="0.2">
      <c r="A75" s="61" t="s">
        <v>29240</v>
      </c>
      <c r="B75" s="125">
        <v>43776</v>
      </c>
      <c r="C75" s="61" t="s">
        <v>31115</v>
      </c>
      <c r="D75" s="61" t="s">
        <v>31127</v>
      </c>
      <c r="E75" s="61" t="s">
        <v>31116</v>
      </c>
    </row>
    <row r="76" spans="1:5" ht="12.2" customHeight="1" x14ac:dyDescent="0.2">
      <c r="A76" s="61" t="s">
        <v>29240</v>
      </c>
      <c r="B76" s="125">
        <v>43763</v>
      </c>
      <c r="C76" s="61" t="s">
        <v>31112</v>
      </c>
      <c r="D76" s="61" t="s">
        <v>31117</v>
      </c>
      <c r="E76" s="61" t="s">
        <v>31113</v>
      </c>
    </row>
    <row r="77" spans="1:5" ht="12.2" customHeight="1" x14ac:dyDescent="0.2">
      <c r="A77" s="61" t="s">
        <v>30394</v>
      </c>
      <c r="B77" s="125">
        <v>43747</v>
      </c>
      <c r="C77" s="61" t="s">
        <v>31105</v>
      </c>
      <c r="D77" s="61" t="s">
        <v>31114</v>
      </c>
      <c r="E77" s="61" t="s">
        <v>31104</v>
      </c>
    </row>
    <row r="78" spans="1:5" ht="12.2" customHeight="1" x14ac:dyDescent="0.2">
      <c r="A78" s="61" t="s">
        <v>29240</v>
      </c>
      <c r="B78" s="125">
        <v>43732</v>
      </c>
      <c r="C78" s="61" t="s">
        <v>31101</v>
      </c>
      <c r="D78" s="61" t="s">
        <v>31106</v>
      </c>
      <c r="E78" s="61" t="s">
        <v>31102</v>
      </c>
    </row>
    <row r="79" spans="1:5" ht="12.2" customHeight="1" x14ac:dyDescent="0.2">
      <c r="A79" s="61" t="s">
        <v>29240</v>
      </c>
      <c r="B79" s="125">
        <v>43732</v>
      </c>
      <c r="C79" s="61" t="s">
        <v>31098</v>
      </c>
      <c r="D79" s="61" t="s">
        <v>31103</v>
      </c>
      <c r="E79" s="61" t="s">
        <v>31099</v>
      </c>
    </row>
    <row r="80" spans="1:5" ht="12.2" customHeight="1" x14ac:dyDescent="0.2">
      <c r="A80" s="61" t="s">
        <v>29240</v>
      </c>
      <c r="B80" s="125">
        <v>43731</v>
      </c>
      <c r="C80" s="61" t="s">
        <v>31081</v>
      </c>
      <c r="D80" s="61" t="s">
        <v>31100</v>
      </c>
      <c r="E80" s="61" t="s">
        <v>31082</v>
      </c>
    </row>
    <row r="81" spans="1:5" ht="12.2" customHeight="1" x14ac:dyDescent="0.2">
      <c r="A81" s="61" t="s">
        <v>29240</v>
      </c>
      <c r="B81" s="125">
        <v>43728</v>
      </c>
      <c r="C81" s="61" t="s">
        <v>31075</v>
      </c>
      <c r="D81" s="61" t="s">
        <v>31083</v>
      </c>
      <c r="E81" s="61" t="s">
        <v>31077</v>
      </c>
    </row>
    <row r="82" spans="1:5" ht="12.2" customHeight="1" x14ac:dyDescent="0.2">
      <c r="A82" s="61" t="s">
        <v>29240</v>
      </c>
      <c r="B82" s="125">
        <v>43728</v>
      </c>
      <c r="C82" s="61" t="s">
        <v>31072</v>
      </c>
      <c r="D82" s="61" t="s">
        <v>31078</v>
      </c>
      <c r="E82" s="61" t="s">
        <v>31073</v>
      </c>
    </row>
    <row r="83" spans="1:5" ht="12.2" customHeight="1" x14ac:dyDescent="0.2">
      <c r="A83" s="61" t="s">
        <v>29240</v>
      </c>
      <c r="B83" s="125">
        <v>43724</v>
      </c>
      <c r="C83" s="61" t="s">
        <v>31069</v>
      </c>
      <c r="D83" s="61" t="s">
        <v>31074</v>
      </c>
      <c r="E83" s="61" t="s">
        <v>31068</v>
      </c>
    </row>
    <row r="84" spans="1:5" ht="12.2" customHeight="1" x14ac:dyDescent="0.2">
      <c r="A84" s="61" t="s">
        <v>29240</v>
      </c>
      <c r="B84" s="125">
        <v>43711</v>
      </c>
      <c r="C84" s="61" t="s">
        <v>31065</v>
      </c>
      <c r="D84" s="61" t="s">
        <v>31070</v>
      </c>
      <c r="E84" s="61" t="s">
        <v>31066</v>
      </c>
    </row>
    <row r="85" spans="1:5" ht="12.2" customHeight="1" x14ac:dyDescent="0.2">
      <c r="A85" s="61" t="s">
        <v>29240</v>
      </c>
      <c r="B85" s="125">
        <v>43703</v>
      </c>
      <c r="C85" s="61" t="s">
        <v>31062</v>
      </c>
      <c r="D85" s="61" t="s">
        <v>31067</v>
      </c>
      <c r="E85" s="61" t="s">
        <v>31063</v>
      </c>
    </row>
    <row r="86" spans="1:5" ht="12.2" customHeight="1" x14ac:dyDescent="0.2">
      <c r="A86" s="61" t="s">
        <v>29240</v>
      </c>
      <c r="B86" s="125">
        <v>43703</v>
      </c>
      <c r="C86" s="61" t="s">
        <v>31050</v>
      </c>
      <c r="D86" s="61" t="s">
        <v>31064</v>
      </c>
      <c r="E86" s="61" t="s">
        <v>31051</v>
      </c>
    </row>
    <row r="87" spans="1:5" ht="12.2" customHeight="1" x14ac:dyDescent="0.2">
      <c r="A87" s="61" t="s">
        <v>29240</v>
      </c>
      <c r="B87" s="125">
        <v>43699</v>
      </c>
      <c r="C87" s="61" t="s">
        <v>31046</v>
      </c>
      <c r="D87" s="61" t="s">
        <v>31052</v>
      </c>
      <c r="E87" s="61" t="s">
        <v>31045</v>
      </c>
    </row>
    <row r="88" spans="1:5" ht="12.2" customHeight="1" x14ac:dyDescent="0.2">
      <c r="A88" s="61" t="s">
        <v>29240</v>
      </c>
      <c r="B88" s="125">
        <v>43697</v>
      </c>
      <c r="C88" s="61" t="s">
        <v>31042</v>
      </c>
      <c r="D88" s="61" t="s">
        <v>31047</v>
      </c>
      <c r="E88" s="61" t="s">
        <v>31043</v>
      </c>
    </row>
    <row r="89" spans="1:5" ht="12.2" customHeight="1" x14ac:dyDescent="0.2">
      <c r="A89" s="61" t="s">
        <v>850</v>
      </c>
      <c r="B89" s="125">
        <v>43636</v>
      </c>
      <c r="C89" s="61" t="s">
        <v>31040</v>
      </c>
      <c r="D89" s="61" t="s">
        <v>31044</v>
      </c>
      <c r="E89" s="61" t="s">
        <v>31039</v>
      </c>
    </row>
    <row r="90" spans="1:5" ht="12.2" customHeight="1" x14ac:dyDescent="0.2">
      <c r="A90" s="61" t="s">
        <v>29240</v>
      </c>
      <c r="B90" s="125">
        <v>43635</v>
      </c>
      <c r="C90" s="61" t="s">
        <v>31037</v>
      </c>
      <c r="D90" s="61" t="s">
        <v>31041</v>
      </c>
      <c r="E90" s="61" t="s">
        <v>31036</v>
      </c>
    </row>
    <row r="91" spans="1:5" ht="12.2" customHeight="1" x14ac:dyDescent="0.2">
      <c r="A91" s="61" t="s">
        <v>29240</v>
      </c>
      <c r="B91" s="125">
        <v>43635</v>
      </c>
      <c r="C91" s="61" t="s">
        <v>31033</v>
      </c>
      <c r="D91" s="61" t="s">
        <v>31038</v>
      </c>
      <c r="E91" s="61" t="s">
        <v>31034</v>
      </c>
    </row>
    <row r="92" spans="1:5" ht="12.2" customHeight="1" x14ac:dyDescent="0.2">
      <c r="A92" s="61" t="s">
        <v>29240</v>
      </c>
      <c r="B92" s="125">
        <v>43629</v>
      </c>
      <c r="C92" s="61" t="s">
        <v>31028</v>
      </c>
      <c r="D92" s="61" t="s">
        <v>31035</v>
      </c>
      <c r="E92" s="61" t="s">
        <v>31027</v>
      </c>
    </row>
    <row r="93" spans="1:5" ht="12.2" customHeight="1" x14ac:dyDescent="0.2">
      <c r="A93" s="61" t="s">
        <v>29240</v>
      </c>
      <c r="B93" s="125">
        <v>43628</v>
      </c>
      <c r="C93" s="61" t="s">
        <v>31023</v>
      </c>
      <c r="D93" s="61" t="s">
        <v>31029</v>
      </c>
      <c r="E93" s="61" t="s">
        <v>31024</v>
      </c>
    </row>
    <row r="94" spans="1:5" ht="12.2" customHeight="1" x14ac:dyDescent="0.2">
      <c r="A94" s="61" t="s">
        <v>29240</v>
      </c>
      <c r="B94" s="125">
        <v>43628</v>
      </c>
      <c r="C94" s="61" t="s">
        <v>31015</v>
      </c>
      <c r="D94" s="61" t="s">
        <v>31025</v>
      </c>
      <c r="E94" s="61" t="s">
        <v>31016</v>
      </c>
    </row>
    <row r="95" spans="1:5" ht="12.2" customHeight="1" x14ac:dyDescent="0.2">
      <c r="A95" s="61" t="s">
        <v>29240</v>
      </c>
      <c r="B95" s="125">
        <v>43628</v>
      </c>
      <c r="C95" s="61" t="s">
        <v>30994</v>
      </c>
      <c r="D95" s="61" t="s">
        <v>31017</v>
      </c>
      <c r="E95" s="1129" t="s">
        <v>30996</v>
      </c>
    </row>
    <row r="96" spans="1:5" ht="12.2" customHeight="1" x14ac:dyDescent="0.2">
      <c r="A96" s="61" t="s">
        <v>29240</v>
      </c>
      <c r="B96" s="125">
        <v>43621</v>
      </c>
      <c r="C96" s="61" t="s">
        <v>30990</v>
      </c>
      <c r="D96" s="61" t="s">
        <v>30995</v>
      </c>
      <c r="E96" s="61" t="s">
        <v>30991</v>
      </c>
    </row>
    <row r="97" spans="1:5" ht="12.2" customHeight="1" x14ac:dyDescent="0.2">
      <c r="A97" s="61" t="s">
        <v>29240</v>
      </c>
      <c r="B97" s="125">
        <v>43621</v>
      </c>
      <c r="C97" s="61" t="s">
        <v>30985</v>
      </c>
      <c r="D97" s="61" t="s">
        <v>30992</v>
      </c>
      <c r="E97" s="61" t="s">
        <v>30986</v>
      </c>
    </row>
    <row r="98" spans="1:5" ht="12.2" customHeight="1" x14ac:dyDescent="0.2">
      <c r="A98" s="61" t="s">
        <v>29240</v>
      </c>
      <c r="B98" s="125">
        <v>43621</v>
      </c>
      <c r="C98" s="61" t="s">
        <v>30978</v>
      </c>
      <c r="D98" s="61" t="s">
        <v>30987</v>
      </c>
      <c r="E98" s="61" t="s">
        <v>30977</v>
      </c>
    </row>
    <row r="99" spans="1:5" ht="12.2" customHeight="1" x14ac:dyDescent="0.2">
      <c r="A99" s="61" t="s">
        <v>29240</v>
      </c>
      <c r="B99" s="125">
        <v>43621</v>
      </c>
      <c r="C99" s="61" t="s">
        <v>30973</v>
      </c>
      <c r="D99" s="61" t="s">
        <v>30979</v>
      </c>
      <c r="E99" s="61" t="s">
        <v>30974</v>
      </c>
    </row>
    <row r="100" spans="1:5" ht="12.2" customHeight="1" x14ac:dyDescent="0.2">
      <c r="A100" s="61" t="s">
        <v>29240</v>
      </c>
      <c r="B100" s="125">
        <v>43621</v>
      </c>
      <c r="C100" s="61" t="s">
        <v>30970</v>
      </c>
      <c r="D100" s="61" t="s">
        <v>30975</v>
      </c>
      <c r="E100" s="61" t="s">
        <v>30971</v>
      </c>
    </row>
    <row r="101" spans="1:5" ht="12.2" customHeight="1" x14ac:dyDescent="0.2">
      <c r="A101" s="61" t="s">
        <v>29240</v>
      </c>
      <c r="B101" s="125">
        <v>43619</v>
      </c>
      <c r="C101" s="61" t="s">
        <v>30958</v>
      </c>
      <c r="D101" s="61" t="s">
        <v>30972</v>
      </c>
      <c r="E101" s="61" t="s">
        <v>30959</v>
      </c>
    </row>
    <row r="102" spans="1:5" ht="12.2" customHeight="1" x14ac:dyDescent="0.2">
      <c r="A102" s="61" t="s">
        <v>29240</v>
      </c>
      <c r="B102" s="125">
        <v>43609</v>
      </c>
      <c r="C102" s="61" t="s">
        <v>30955</v>
      </c>
      <c r="D102" s="61" t="s">
        <v>30960</v>
      </c>
      <c r="E102" s="61" t="s">
        <v>30956</v>
      </c>
    </row>
    <row r="103" spans="1:5" ht="12.2" customHeight="1" x14ac:dyDescent="0.2">
      <c r="A103" s="61" t="s">
        <v>29240</v>
      </c>
      <c r="B103" s="125">
        <v>43608</v>
      </c>
      <c r="C103" s="61" t="s">
        <v>30950</v>
      </c>
      <c r="D103" s="61" t="s">
        <v>30957</v>
      </c>
      <c r="E103" s="61" t="s">
        <v>30946</v>
      </c>
    </row>
    <row r="104" spans="1:5" ht="12.2" customHeight="1" x14ac:dyDescent="0.2">
      <c r="A104" s="61" t="s">
        <v>29240</v>
      </c>
      <c r="B104" s="125">
        <v>43606</v>
      </c>
      <c r="C104" s="61" t="s">
        <v>30943</v>
      </c>
      <c r="D104" s="61" t="s">
        <v>30949</v>
      </c>
      <c r="E104" s="61" t="s">
        <v>30944</v>
      </c>
    </row>
    <row r="105" spans="1:5" ht="12.2" customHeight="1" x14ac:dyDescent="0.2">
      <c r="A105" s="61" t="s">
        <v>29240</v>
      </c>
      <c r="B105" s="125">
        <v>43605</v>
      </c>
      <c r="C105" s="61" t="s">
        <v>30937</v>
      </c>
      <c r="D105" s="61" t="s">
        <v>30945</v>
      </c>
      <c r="E105" s="61" t="s">
        <v>30938</v>
      </c>
    </row>
    <row r="106" spans="1:5" ht="12.2" customHeight="1" x14ac:dyDescent="0.2">
      <c r="A106" s="61" t="s">
        <v>29240</v>
      </c>
      <c r="B106" s="125">
        <v>43602</v>
      </c>
      <c r="C106" s="61" t="s">
        <v>30934</v>
      </c>
      <c r="D106" s="61" t="s">
        <v>30939</v>
      </c>
      <c r="E106" s="61" t="s">
        <v>30935</v>
      </c>
    </row>
    <row r="107" spans="1:5" ht="12.2" customHeight="1" x14ac:dyDescent="0.2">
      <c r="A107" s="61" t="s">
        <v>29240</v>
      </c>
      <c r="B107" s="125">
        <v>43600</v>
      </c>
      <c r="C107" s="61" t="s">
        <v>30931</v>
      </c>
      <c r="D107" s="61" t="s">
        <v>30936</v>
      </c>
      <c r="E107" s="61" t="s">
        <v>30932</v>
      </c>
    </row>
    <row r="108" spans="1:5" ht="12.2" customHeight="1" x14ac:dyDescent="0.2">
      <c r="A108" s="61" t="s">
        <v>29240</v>
      </c>
      <c r="B108" s="125">
        <v>43599</v>
      </c>
      <c r="C108" s="61" t="s">
        <v>30928</v>
      </c>
      <c r="D108" s="61" t="s">
        <v>30933</v>
      </c>
      <c r="E108" s="61" t="s">
        <v>30929</v>
      </c>
    </row>
    <row r="109" spans="1:5" ht="12.2" customHeight="1" x14ac:dyDescent="0.2">
      <c r="A109" s="61" t="s">
        <v>29240</v>
      </c>
      <c r="B109" s="125">
        <v>43595</v>
      </c>
      <c r="C109" s="61" t="s">
        <v>30918</v>
      </c>
      <c r="D109" s="61" t="s">
        <v>30930</v>
      </c>
      <c r="E109" s="61" t="s">
        <v>30923</v>
      </c>
    </row>
    <row r="110" spans="1:5" ht="12.2" customHeight="1" x14ac:dyDescent="0.2">
      <c r="A110" s="61" t="s">
        <v>29240</v>
      </c>
      <c r="B110" s="125">
        <v>43594</v>
      </c>
      <c r="C110" s="61" t="s">
        <v>30901</v>
      </c>
      <c r="D110" s="61" t="s">
        <v>30911</v>
      </c>
      <c r="E110" s="61" t="s">
        <v>30902</v>
      </c>
    </row>
    <row r="111" spans="1:5" ht="12.2" customHeight="1" x14ac:dyDescent="0.2">
      <c r="A111" s="61" t="s">
        <v>850</v>
      </c>
      <c r="B111" s="125">
        <v>43587</v>
      </c>
      <c r="C111" s="61" t="s">
        <v>30898</v>
      </c>
      <c r="D111" s="61" t="s">
        <v>30903</v>
      </c>
      <c r="E111" s="61" t="s">
        <v>30899</v>
      </c>
    </row>
    <row r="112" spans="1:5" ht="12.2" customHeight="1" x14ac:dyDescent="0.2">
      <c r="A112" s="61" t="s">
        <v>29240</v>
      </c>
      <c r="B112" s="125">
        <v>43570</v>
      </c>
      <c r="C112" s="61" t="s">
        <v>30895</v>
      </c>
      <c r="D112" s="61" t="s">
        <v>30900</v>
      </c>
      <c r="E112" s="61" t="s">
        <v>30896</v>
      </c>
    </row>
    <row r="113" spans="1:5" ht="12.2" customHeight="1" x14ac:dyDescent="0.2">
      <c r="A113" s="61" t="s">
        <v>29240</v>
      </c>
      <c r="B113" s="125">
        <v>43567</v>
      </c>
      <c r="C113" s="61" t="s">
        <v>30893</v>
      </c>
      <c r="D113" s="61" t="s">
        <v>30897</v>
      </c>
      <c r="E113" s="61" t="s">
        <v>30892</v>
      </c>
    </row>
    <row r="114" spans="1:5" ht="12.2" customHeight="1" x14ac:dyDescent="0.2">
      <c r="A114" s="61" t="s">
        <v>29240</v>
      </c>
      <c r="B114" s="125">
        <v>43544</v>
      </c>
      <c r="C114" s="61" t="s">
        <v>30889</v>
      </c>
      <c r="D114" s="61" t="s">
        <v>30894</v>
      </c>
      <c r="E114" s="61" t="s">
        <v>30890</v>
      </c>
    </row>
    <row r="115" spans="1:5" ht="12.2" customHeight="1" x14ac:dyDescent="0.2">
      <c r="A115" s="61" t="s">
        <v>29240</v>
      </c>
      <c r="B115" s="125">
        <v>43544</v>
      </c>
      <c r="C115" s="61" t="s">
        <v>30887</v>
      </c>
      <c r="D115" s="61" t="s">
        <v>30891</v>
      </c>
      <c r="E115" s="61" t="s">
        <v>30886</v>
      </c>
    </row>
    <row r="116" spans="1:5" ht="12.2" customHeight="1" x14ac:dyDescent="0.2">
      <c r="A116" s="61" t="s">
        <v>29240</v>
      </c>
      <c r="B116" s="125">
        <v>43542</v>
      </c>
      <c r="C116" s="61" t="s">
        <v>30883</v>
      </c>
      <c r="D116" s="61" t="s">
        <v>30888</v>
      </c>
      <c r="E116" s="61" t="s">
        <v>30884</v>
      </c>
    </row>
    <row r="117" spans="1:5" ht="12.2" customHeight="1" x14ac:dyDescent="0.2">
      <c r="A117" s="61" t="s">
        <v>29240</v>
      </c>
      <c r="B117" s="125">
        <v>43542</v>
      </c>
      <c r="C117" s="61" t="s">
        <v>30880</v>
      </c>
      <c r="D117" s="61" t="s">
        <v>30885</v>
      </c>
      <c r="E117" s="61" t="s">
        <v>30882</v>
      </c>
    </row>
    <row r="118" spans="1:5" ht="12.2" customHeight="1" x14ac:dyDescent="0.2">
      <c r="A118" s="61" t="s">
        <v>29240</v>
      </c>
      <c r="B118" s="125">
        <v>43542</v>
      </c>
      <c r="C118" s="61" t="s">
        <v>30877</v>
      </c>
      <c r="D118" s="61" t="s">
        <v>30881</v>
      </c>
      <c r="E118" s="61" t="s">
        <v>30878</v>
      </c>
    </row>
    <row r="119" spans="1:5" ht="12.2" customHeight="1" x14ac:dyDescent="0.2">
      <c r="A119" s="61" t="s">
        <v>29240</v>
      </c>
      <c r="B119" s="125">
        <v>43521</v>
      </c>
      <c r="C119" s="61" t="s">
        <v>30868</v>
      </c>
      <c r="D119" s="61" t="s">
        <v>30872</v>
      </c>
      <c r="E119" s="61" t="s">
        <v>30869</v>
      </c>
    </row>
    <row r="120" spans="1:5" ht="12.2" customHeight="1" x14ac:dyDescent="0.2">
      <c r="A120" s="61" t="s">
        <v>29240</v>
      </c>
      <c r="B120" s="125">
        <v>43521</v>
      </c>
      <c r="C120" s="61" t="s">
        <v>30864</v>
      </c>
      <c r="D120" s="61" t="s">
        <v>30870</v>
      </c>
      <c r="E120" s="61" t="s">
        <v>30865</v>
      </c>
    </row>
    <row r="121" spans="1:5" ht="12.2" customHeight="1" x14ac:dyDescent="0.2">
      <c r="A121" s="61" t="s">
        <v>29240</v>
      </c>
      <c r="B121" s="125">
        <v>43518</v>
      </c>
      <c r="C121" s="61" t="s">
        <v>30852</v>
      </c>
      <c r="D121" s="61" t="s">
        <v>30866</v>
      </c>
      <c r="E121" s="61" t="s">
        <v>30853</v>
      </c>
    </row>
    <row r="122" spans="1:5" ht="12.2" customHeight="1" x14ac:dyDescent="0.2">
      <c r="A122" s="61" t="s">
        <v>29240</v>
      </c>
      <c r="B122" s="125">
        <v>43518</v>
      </c>
      <c r="C122" s="61" t="s">
        <v>30849</v>
      </c>
      <c r="D122" s="61" t="s">
        <v>30855</v>
      </c>
      <c r="E122" s="61" t="s">
        <v>30850</v>
      </c>
    </row>
    <row r="123" spans="1:5" ht="12.2" customHeight="1" x14ac:dyDescent="0.2">
      <c r="A123" s="61" t="s">
        <v>29240</v>
      </c>
      <c r="B123" s="125">
        <v>43514</v>
      </c>
      <c r="C123" s="61" t="s">
        <v>30844</v>
      </c>
      <c r="D123" s="61" t="s">
        <v>30851</v>
      </c>
      <c r="E123" s="61" t="s">
        <v>30845</v>
      </c>
    </row>
    <row r="124" spans="1:5" ht="12.2" customHeight="1" x14ac:dyDescent="0.2">
      <c r="A124" s="61" t="s">
        <v>29240</v>
      </c>
      <c r="B124" s="125">
        <v>43509</v>
      </c>
      <c r="C124" s="61" t="s">
        <v>30827</v>
      </c>
      <c r="D124" s="61" t="s">
        <v>30846</v>
      </c>
      <c r="E124" s="61" t="s">
        <v>30826</v>
      </c>
    </row>
    <row r="125" spans="1:5" ht="12.2" customHeight="1" x14ac:dyDescent="0.2">
      <c r="A125" s="61" t="s">
        <v>29240</v>
      </c>
      <c r="B125" s="125">
        <v>43501</v>
      </c>
      <c r="C125" s="61" t="s">
        <v>30820</v>
      </c>
      <c r="D125" s="61" t="s">
        <v>30825</v>
      </c>
      <c r="E125" s="61" t="s">
        <v>30821</v>
      </c>
    </row>
    <row r="126" spans="1:5" ht="12.2" customHeight="1" x14ac:dyDescent="0.2">
      <c r="A126" s="61" t="s">
        <v>29240</v>
      </c>
      <c r="B126" s="125">
        <v>43494</v>
      </c>
      <c r="C126" s="61" t="s">
        <v>30817</v>
      </c>
      <c r="D126" s="61" t="s">
        <v>30822</v>
      </c>
      <c r="E126" s="61" t="s">
        <v>30818</v>
      </c>
    </row>
    <row r="127" spans="1:5" ht="12.2" customHeight="1" x14ac:dyDescent="0.2">
      <c r="A127" s="61" t="s">
        <v>29240</v>
      </c>
      <c r="B127" s="125">
        <v>43490</v>
      </c>
      <c r="C127" s="61" t="s">
        <v>30811</v>
      </c>
      <c r="D127" s="61" t="s">
        <v>30819</v>
      </c>
      <c r="E127" s="61" t="s">
        <v>30810</v>
      </c>
    </row>
    <row r="128" spans="1:5" ht="12.2" customHeight="1" x14ac:dyDescent="0.2">
      <c r="A128" s="61" t="s">
        <v>29240</v>
      </c>
      <c r="B128" s="125">
        <v>43490</v>
      </c>
      <c r="C128" s="61" t="s">
        <v>30808</v>
      </c>
      <c r="D128" s="61" t="s">
        <v>30816</v>
      </c>
      <c r="E128" s="61" t="s">
        <v>30807</v>
      </c>
    </row>
    <row r="129" spans="1:5" ht="12.2" customHeight="1" x14ac:dyDescent="0.2">
      <c r="A129" s="61" t="s">
        <v>29240</v>
      </c>
      <c r="B129" s="125">
        <v>43480</v>
      </c>
      <c r="C129" s="61" t="s">
        <v>30804</v>
      </c>
      <c r="D129" s="61" t="s">
        <v>30809</v>
      </c>
      <c r="E129" s="61" t="s">
        <v>30805</v>
      </c>
    </row>
    <row r="130" spans="1:5" ht="12.2" customHeight="1" x14ac:dyDescent="0.2">
      <c r="A130" s="61" t="s">
        <v>29240</v>
      </c>
      <c r="B130" s="125">
        <v>43479</v>
      </c>
      <c r="C130" s="61" t="s">
        <v>30796</v>
      </c>
      <c r="D130" s="61" t="s">
        <v>30806</v>
      </c>
      <c r="E130" s="61" t="s">
        <v>30797</v>
      </c>
    </row>
    <row r="131" spans="1:5" ht="12.2" customHeight="1" x14ac:dyDescent="0.2">
      <c r="A131" s="61" t="s">
        <v>29240</v>
      </c>
      <c r="B131" s="125">
        <v>43475</v>
      </c>
      <c r="C131" s="61" t="s">
        <v>30667</v>
      </c>
      <c r="D131" s="61" t="s">
        <v>30798</v>
      </c>
      <c r="E131" s="61" t="s">
        <v>30668</v>
      </c>
    </row>
    <row r="132" spans="1:5" ht="12.2" customHeight="1" x14ac:dyDescent="0.2">
      <c r="A132" s="61" t="s">
        <v>29240</v>
      </c>
      <c r="B132" s="125">
        <v>43475</v>
      </c>
      <c r="C132" s="61" t="s">
        <v>30654</v>
      </c>
      <c r="D132" s="61" t="s">
        <v>30669</v>
      </c>
      <c r="E132" s="61" t="s">
        <v>30663</v>
      </c>
    </row>
    <row r="133" spans="1:5" ht="12.2" customHeight="1" x14ac:dyDescent="0.2">
      <c r="A133" s="61" t="s">
        <v>29240</v>
      </c>
      <c r="B133" s="125">
        <v>43474</v>
      </c>
      <c r="C133" s="61" t="s">
        <v>30651</v>
      </c>
      <c r="D133" s="61" t="s">
        <v>30664</v>
      </c>
      <c r="E133" s="61" t="s">
        <v>30652</v>
      </c>
    </row>
    <row r="134" spans="1:5" ht="12.2" customHeight="1" x14ac:dyDescent="0.2">
      <c r="A134" s="61" t="s">
        <v>29240</v>
      </c>
      <c r="B134" s="125">
        <v>43454</v>
      </c>
      <c r="C134" s="61" t="s">
        <v>30632</v>
      </c>
      <c r="D134" s="61" t="s">
        <v>30653</v>
      </c>
      <c r="E134" s="61" t="s">
        <v>30633</v>
      </c>
    </row>
    <row r="135" spans="1:5" ht="12.2" customHeight="1" x14ac:dyDescent="0.2">
      <c r="A135" s="61" t="s">
        <v>29240</v>
      </c>
      <c r="B135" s="125">
        <v>43453</v>
      </c>
      <c r="C135" s="61" t="s">
        <v>30620</v>
      </c>
      <c r="D135" s="61" t="s">
        <v>30634</v>
      </c>
      <c r="E135" s="61" t="s">
        <v>30621</v>
      </c>
    </row>
    <row r="136" spans="1:5" ht="12.2" customHeight="1" x14ac:dyDescent="0.2">
      <c r="A136" s="61" t="s">
        <v>29240</v>
      </c>
      <c r="B136" s="125">
        <v>43453</v>
      </c>
      <c r="C136" s="61" t="s">
        <v>30617</v>
      </c>
      <c r="D136" s="61" t="s">
        <v>30622</v>
      </c>
      <c r="E136" s="61" t="s">
        <v>30616</v>
      </c>
    </row>
    <row r="137" spans="1:5" ht="12.2" customHeight="1" x14ac:dyDescent="0.2">
      <c r="A137" s="61" t="s">
        <v>850</v>
      </c>
      <c r="B137" s="125">
        <v>43451</v>
      </c>
      <c r="C137" s="61" t="s">
        <v>30611</v>
      </c>
      <c r="D137" s="61" t="s">
        <v>30619</v>
      </c>
      <c r="E137" s="61" t="s">
        <v>30612</v>
      </c>
    </row>
    <row r="138" spans="1:5" ht="12.2" customHeight="1" x14ac:dyDescent="0.2">
      <c r="A138" s="61" t="s">
        <v>850</v>
      </c>
      <c r="B138" s="125">
        <v>43451</v>
      </c>
      <c r="C138" s="61" t="s">
        <v>30609</v>
      </c>
      <c r="D138" s="61" t="s">
        <v>30613</v>
      </c>
      <c r="E138" s="61" t="s">
        <v>30608</v>
      </c>
    </row>
    <row r="139" spans="1:5" ht="12.2" customHeight="1" x14ac:dyDescent="0.2">
      <c r="A139" s="61" t="s">
        <v>29240</v>
      </c>
      <c r="B139" s="125">
        <v>43451</v>
      </c>
      <c r="C139" s="61" t="s">
        <v>30606</v>
      </c>
      <c r="D139" s="61" t="s">
        <v>30610</v>
      </c>
      <c r="E139" s="61" t="s">
        <v>30605</v>
      </c>
    </row>
    <row r="140" spans="1:5" ht="12.2" customHeight="1" x14ac:dyDescent="0.2">
      <c r="A140" s="61" t="s">
        <v>850</v>
      </c>
      <c r="B140" s="125">
        <v>43448</v>
      </c>
      <c r="C140" s="61" t="s">
        <v>30601</v>
      </c>
      <c r="D140" s="61" t="s">
        <v>30607</v>
      </c>
      <c r="E140" s="61" t="s">
        <v>30602</v>
      </c>
    </row>
    <row r="141" spans="1:5" ht="12.2" customHeight="1" x14ac:dyDescent="0.2">
      <c r="A141" s="61" t="s">
        <v>850</v>
      </c>
      <c r="B141" s="125">
        <v>43447</v>
      </c>
      <c r="C141" s="61" t="s">
        <v>30599</v>
      </c>
      <c r="D141" s="61" t="s">
        <v>30603</v>
      </c>
      <c r="E141" s="61" t="s">
        <v>30598</v>
      </c>
    </row>
    <row r="142" spans="1:5" ht="12.2" customHeight="1" x14ac:dyDescent="0.2">
      <c r="A142" s="61" t="s">
        <v>29240</v>
      </c>
      <c r="B142" s="125">
        <v>43446</v>
      </c>
      <c r="C142" s="61" t="s">
        <v>30591</v>
      </c>
      <c r="D142" s="61" t="s">
        <v>30600</v>
      </c>
      <c r="E142" s="61" t="s">
        <v>30593</v>
      </c>
    </row>
    <row r="143" spans="1:5" ht="12.2" customHeight="1" x14ac:dyDescent="0.2">
      <c r="A143" s="61" t="s">
        <v>850</v>
      </c>
      <c r="B143" s="125">
        <v>43446</v>
      </c>
      <c r="C143" s="61" t="s">
        <v>30584</v>
      </c>
      <c r="D143" s="61" t="s">
        <v>30592</v>
      </c>
      <c r="E143" s="61" t="s">
        <v>30585</v>
      </c>
    </row>
    <row r="144" spans="1:5" ht="12.2" customHeight="1" x14ac:dyDescent="0.2">
      <c r="A144" s="61" t="s">
        <v>29240</v>
      </c>
      <c r="B144" s="125">
        <v>43446</v>
      </c>
      <c r="C144" s="61" t="s">
        <v>30578</v>
      </c>
      <c r="D144" s="61" t="s">
        <v>30586</v>
      </c>
      <c r="E144" s="61" t="s">
        <v>30579</v>
      </c>
    </row>
    <row r="145" spans="1:5" ht="12.2" customHeight="1" x14ac:dyDescent="0.2">
      <c r="A145" s="61" t="s">
        <v>29240</v>
      </c>
      <c r="B145" s="125">
        <v>43446</v>
      </c>
      <c r="C145" s="61" t="s">
        <v>30576</v>
      </c>
      <c r="D145" s="61" t="s">
        <v>30580</v>
      </c>
      <c r="E145" s="61" t="s">
        <v>30575</v>
      </c>
    </row>
    <row r="146" spans="1:5" ht="12.2" customHeight="1" x14ac:dyDescent="0.2">
      <c r="A146" s="61" t="s">
        <v>850</v>
      </c>
      <c r="B146" s="125">
        <v>43446</v>
      </c>
      <c r="C146" s="61" t="s">
        <v>30568</v>
      </c>
      <c r="D146" s="61" t="s">
        <v>30577</v>
      </c>
      <c r="E146" s="61" t="s">
        <v>30569</v>
      </c>
    </row>
    <row r="147" spans="1:5" ht="12.2" customHeight="1" x14ac:dyDescent="0.2">
      <c r="A147" s="61" t="s">
        <v>850</v>
      </c>
      <c r="B147" s="125">
        <v>43445</v>
      </c>
      <c r="C147" s="61" t="s">
        <v>30566</v>
      </c>
      <c r="D147" s="61" t="s">
        <v>30570</v>
      </c>
      <c r="E147" s="61" t="s">
        <v>30561</v>
      </c>
    </row>
    <row r="148" spans="1:5" ht="12.2" customHeight="1" x14ac:dyDescent="0.2">
      <c r="A148" s="61" t="s">
        <v>850</v>
      </c>
      <c r="B148" s="125">
        <v>43445</v>
      </c>
      <c r="C148" s="61" t="s">
        <v>30563</v>
      </c>
      <c r="D148" s="61" t="s">
        <v>30567</v>
      </c>
      <c r="E148" s="61" t="s">
        <v>30564</v>
      </c>
    </row>
    <row r="149" spans="1:5" ht="12.2" customHeight="1" x14ac:dyDescent="0.2">
      <c r="A149" s="61" t="s">
        <v>850</v>
      </c>
      <c r="B149" s="125">
        <v>43445</v>
      </c>
      <c r="C149" s="61" t="s">
        <v>30560</v>
      </c>
      <c r="D149" s="61" t="s">
        <v>30565</v>
      </c>
      <c r="E149" s="61" t="s">
        <v>30561</v>
      </c>
    </row>
    <row r="150" spans="1:5" ht="12.2" customHeight="1" x14ac:dyDescent="0.2">
      <c r="A150" s="61" t="s">
        <v>29240</v>
      </c>
      <c r="B150" s="125">
        <v>43445</v>
      </c>
      <c r="C150" s="61" t="s">
        <v>30557</v>
      </c>
      <c r="D150" s="61" t="s">
        <v>30562</v>
      </c>
      <c r="E150" s="61" t="s">
        <v>30556</v>
      </c>
    </row>
    <row r="151" spans="1:5" ht="12.2" customHeight="1" x14ac:dyDescent="0.2">
      <c r="A151" s="61" t="s">
        <v>29240</v>
      </c>
      <c r="B151" s="125">
        <v>43445</v>
      </c>
      <c r="C151" s="61" t="s">
        <v>30552</v>
      </c>
      <c r="D151" s="61" t="s">
        <v>30558</v>
      </c>
      <c r="E151" s="61" t="s">
        <v>30553</v>
      </c>
    </row>
    <row r="152" spans="1:5" ht="12.2" customHeight="1" x14ac:dyDescent="0.2">
      <c r="A152" s="61" t="s">
        <v>29240</v>
      </c>
      <c r="B152" s="125">
        <v>43440</v>
      </c>
      <c r="C152" s="61" t="s">
        <v>30550</v>
      </c>
      <c r="D152" s="61" t="s">
        <v>30555</v>
      </c>
      <c r="E152" s="61" t="s">
        <v>30549</v>
      </c>
    </row>
    <row r="153" spans="1:5" ht="12.2" customHeight="1" x14ac:dyDescent="0.2">
      <c r="A153" s="61" t="s">
        <v>29240</v>
      </c>
      <c r="B153" s="125">
        <v>43440</v>
      </c>
      <c r="C153" s="61" t="s">
        <v>30545</v>
      </c>
      <c r="D153" s="61" t="s">
        <v>30551</v>
      </c>
      <c r="E153" s="61" t="s">
        <v>30546</v>
      </c>
    </row>
    <row r="154" spans="1:5" ht="12.2" customHeight="1" x14ac:dyDescent="0.2">
      <c r="A154" s="61" t="s">
        <v>29240</v>
      </c>
      <c r="B154" s="125">
        <v>43439</v>
      </c>
      <c r="C154" s="61" t="s">
        <v>30543</v>
      </c>
      <c r="D154" s="61" t="s">
        <v>30547</v>
      </c>
      <c r="E154" s="61" t="s">
        <v>30542</v>
      </c>
    </row>
    <row r="155" spans="1:5" ht="12.2" customHeight="1" x14ac:dyDescent="0.2">
      <c r="A155" s="61" t="s">
        <v>29240</v>
      </c>
      <c r="B155" s="125">
        <v>43439</v>
      </c>
      <c r="C155" s="61" t="s">
        <v>30538</v>
      </c>
      <c r="D155" s="61" t="s">
        <v>30544</v>
      </c>
      <c r="E155" s="61" t="s">
        <v>30537</v>
      </c>
    </row>
    <row r="156" spans="1:5" ht="12.2" customHeight="1" x14ac:dyDescent="0.2">
      <c r="A156" s="61" t="s">
        <v>30525</v>
      </c>
      <c r="B156" s="125">
        <v>43424</v>
      </c>
      <c r="C156" s="61" t="s">
        <v>30526</v>
      </c>
      <c r="D156" s="61" t="s">
        <v>30541</v>
      </c>
      <c r="E156" s="1129" t="s">
        <v>30539</v>
      </c>
    </row>
    <row r="157" spans="1:5" ht="12.2" customHeight="1" x14ac:dyDescent="0.2">
      <c r="A157" s="61" t="s">
        <v>29240</v>
      </c>
      <c r="B157" s="125">
        <v>43424</v>
      </c>
      <c r="C157" s="61" t="s">
        <v>30523</v>
      </c>
      <c r="D157" s="1129" t="s">
        <v>30540</v>
      </c>
      <c r="E157" s="61" t="s">
        <v>30522</v>
      </c>
    </row>
    <row r="158" spans="1:5" ht="12.2" customHeight="1" x14ac:dyDescent="0.2">
      <c r="A158" s="61" t="s">
        <v>850</v>
      </c>
      <c r="B158" s="125">
        <v>43409</v>
      </c>
      <c r="C158" s="61" t="s">
        <v>30487</v>
      </c>
      <c r="D158" s="61" t="s">
        <v>30524</v>
      </c>
      <c r="E158" s="61" t="s">
        <v>30488</v>
      </c>
    </row>
    <row r="159" spans="1:5" ht="12.2" customHeight="1" x14ac:dyDescent="0.2">
      <c r="A159" s="61" t="s">
        <v>850</v>
      </c>
      <c r="B159" s="125">
        <v>43406</v>
      </c>
      <c r="C159" s="61" t="s">
        <v>30485</v>
      </c>
      <c r="D159" s="61" t="s">
        <v>30489</v>
      </c>
      <c r="E159" s="61" t="s">
        <v>30484</v>
      </c>
    </row>
    <row r="160" spans="1:5" ht="12.2" customHeight="1" x14ac:dyDescent="0.2">
      <c r="A160" s="61" t="s">
        <v>850</v>
      </c>
      <c r="B160" s="125">
        <v>43405</v>
      </c>
      <c r="C160" s="61" t="s">
        <v>30482</v>
      </c>
      <c r="D160" s="61" t="s">
        <v>30486</v>
      </c>
      <c r="E160" s="61" t="s">
        <v>30481</v>
      </c>
    </row>
    <row r="161" spans="1:5" ht="12.2" customHeight="1" x14ac:dyDescent="0.2">
      <c r="A161" s="61" t="s">
        <v>29240</v>
      </c>
      <c r="B161" s="125">
        <v>43398</v>
      </c>
      <c r="C161" s="61" t="s">
        <v>30474</v>
      </c>
      <c r="D161" s="61" t="s">
        <v>30483</v>
      </c>
      <c r="E161" s="61" t="s">
        <v>30475</v>
      </c>
    </row>
    <row r="162" spans="1:5" ht="12.2" customHeight="1" x14ac:dyDescent="0.2">
      <c r="A162" s="61" t="s">
        <v>29240</v>
      </c>
      <c r="B162" s="125">
        <v>43398</v>
      </c>
      <c r="C162" s="61" t="s">
        <v>30467</v>
      </c>
      <c r="D162" s="61" t="s">
        <v>30476</v>
      </c>
      <c r="E162" s="61" t="s">
        <v>30472</v>
      </c>
    </row>
    <row r="163" spans="1:5" ht="12.2" customHeight="1" x14ac:dyDescent="0.2">
      <c r="A163" s="61" t="s">
        <v>29240</v>
      </c>
      <c r="B163" s="125">
        <v>43398</v>
      </c>
      <c r="C163" s="61" t="s">
        <v>30465</v>
      </c>
      <c r="D163" s="61" t="s">
        <v>30473</v>
      </c>
      <c r="E163" s="61" t="s">
        <v>30464</v>
      </c>
    </row>
    <row r="164" spans="1:5" ht="12.2" customHeight="1" x14ac:dyDescent="0.2">
      <c r="A164" s="61" t="s">
        <v>29240</v>
      </c>
      <c r="B164" s="125">
        <v>43398</v>
      </c>
      <c r="C164" s="61" t="s">
        <v>30461</v>
      </c>
      <c r="D164" s="61" t="s">
        <v>30466</v>
      </c>
      <c r="E164" s="61" t="s">
        <v>30462</v>
      </c>
    </row>
    <row r="165" spans="1:5" ht="12.2" customHeight="1" x14ac:dyDescent="0.2">
      <c r="A165" s="61" t="s">
        <v>29240</v>
      </c>
      <c r="B165" s="125">
        <v>43390</v>
      </c>
      <c r="C165" s="61" t="s">
        <v>30453</v>
      </c>
      <c r="D165" s="61" t="s">
        <v>30463</v>
      </c>
      <c r="E165" s="61" t="s">
        <v>30454</v>
      </c>
    </row>
    <row r="166" spans="1:5" ht="12.2" customHeight="1" x14ac:dyDescent="0.2">
      <c r="A166" s="61" t="s">
        <v>29240</v>
      </c>
      <c r="B166" s="125">
        <v>43390</v>
      </c>
      <c r="C166" s="61" t="s">
        <v>30450</v>
      </c>
      <c r="D166" s="61" t="s">
        <v>30455</v>
      </c>
      <c r="E166" s="61" t="s">
        <v>30451</v>
      </c>
    </row>
    <row r="167" spans="1:5" ht="12.2" customHeight="1" x14ac:dyDescent="0.2">
      <c r="A167" s="61" t="s">
        <v>29240</v>
      </c>
      <c r="B167" s="125">
        <v>43389</v>
      </c>
      <c r="C167" s="61" t="s">
        <v>30446</v>
      </c>
      <c r="D167" s="61" t="s">
        <v>30452</v>
      </c>
      <c r="E167" s="61" t="s">
        <v>30447</v>
      </c>
    </row>
    <row r="168" spans="1:5" ht="12.2" customHeight="1" x14ac:dyDescent="0.2">
      <c r="A168" s="61" t="s">
        <v>29240</v>
      </c>
      <c r="B168" s="125">
        <v>43389</v>
      </c>
      <c r="C168" s="61" t="s">
        <v>30444</v>
      </c>
      <c r="D168" s="61" t="s">
        <v>30448</v>
      </c>
      <c r="E168" s="61" t="s">
        <v>30443</v>
      </c>
    </row>
    <row r="169" spans="1:5" ht="12.2" customHeight="1" x14ac:dyDescent="0.2">
      <c r="A169" s="61" t="s">
        <v>29240</v>
      </c>
      <c r="B169" s="125">
        <v>43388</v>
      </c>
      <c r="C169" s="61" t="s">
        <v>30440</v>
      </c>
      <c r="D169" s="61" t="s">
        <v>30445</v>
      </c>
      <c r="E169" s="61" t="s">
        <v>30441</v>
      </c>
    </row>
    <row r="170" spans="1:5" ht="12.2" customHeight="1" x14ac:dyDescent="0.2">
      <c r="A170" s="61" t="s">
        <v>29240</v>
      </c>
      <c r="B170" s="125">
        <v>43388</v>
      </c>
      <c r="C170" s="61" t="s">
        <v>30437</v>
      </c>
      <c r="D170" s="61" t="s">
        <v>30442</v>
      </c>
      <c r="E170" s="61" t="s">
        <v>30436</v>
      </c>
    </row>
    <row r="171" spans="1:5" ht="12.2" customHeight="1" x14ac:dyDescent="0.2">
      <c r="A171" s="61" t="s">
        <v>29240</v>
      </c>
      <c r="B171" s="125">
        <v>43388</v>
      </c>
      <c r="C171" s="61" t="s">
        <v>30433</v>
      </c>
      <c r="D171" s="61" t="s">
        <v>30438</v>
      </c>
      <c r="E171" s="61" t="s">
        <v>30434</v>
      </c>
    </row>
    <row r="172" spans="1:5" ht="12.2" customHeight="1" x14ac:dyDescent="0.2">
      <c r="A172" s="61" t="s">
        <v>29240</v>
      </c>
      <c r="B172" s="125">
        <v>43385</v>
      </c>
      <c r="C172" s="61" t="s">
        <v>30430</v>
      </c>
      <c r="D172" s="61" t="s">
        <v>30435</v>
      </c>
      <c r="E172" s="61" t="s">
        <v>30431</v>
      </c>
    </row>
    <row r="173" spans="1:5" ht="12.2" customHeight="1" x14ac:dyDescent="0.2">
      <c r="A173" s="61" t="s">
        <v>29240</v>
      </c>
      <c r="B173" s="125">
        <v>43385</v>
      </c>
      <c r="C173" s="61" t="s">
        <v>30427</v>
      </c>
      <c r="D173" s="61" t="s">
        <v>30432</v>
      </c>
      <c r="E173" s="61" t="s">
        <v>30425</v>
      </c>
    </row>
    <row r="174" spans="1:5" ht="12.2" customHeight="1" x14ac:dyDescent="0.2">
      <c r="A174" s="61" t="s">
        <v>29240</v>
      </c>
      <c r="B174" s="125">
        <v>43384</v>
      </c>
      <c r="C174" s="61" t="s">
        <v>30423</v>
      </c>
      <c r="D174" s="61" t="s">
        <v>30428</v>
      </c>
      <c r="E174" s="61" t="s">
        <v>30422</v>
      </c>
    </row>
    <row r="175" spans="1:5" ht="12.2" customHeight="1" x14ac:dyDescent="0.2">
      <c r="A175" s="61" t="s">
        <v>29240</v>
      </c>
      <c r="B175" s="125">
        <v>43384</v>
      </c>
      <c r="C175" s="61" t="s">
        <v>30419</v>
      </c>
      <c r="D175" s="61" t="s">
        <v>30424</v>
      </c>
      <c r="E175" s="61" t="s">
        <v>30420</v>
      </c>
    </row>
    <row r="176" spans="1:5" ht="12.2" customHeight="1" x14ac:dyDescent="0.2">
      <c r="A176" s="61" t="s">
        <v>29240</v>
      </c>
      <c r="B176" s="125">
        <v>43384</v>
      </c>
      <c r="C176" s="61" t="s">
        <v>30417</v>
      </c>
      <c r="D176" s="61" t="s">
        <v>30421</v>
      </c>
      <c r="E176" s="61" t="s">
        <v>30416</v>
      </c>
    </row>
    <row r="177" spans="1:5" ht="12.2" customHeight="1" x14ac:dyDescent="0.2">
      <c r="A177" s="61" t="s">
        <v>29240</v>
      </c>
      <c r="B177" s="125">
        <v>43384</v>
      </c>
      <c r="C177" s="61" t="s">
        <v>30413</v>
      </c>
      <c r="D177" s="61" t="s">
        <v>30418</v>
      </c>
      <c r="E177" s="61" t="s">
        <v>30414</v>
      </c>
    </row>
    <row r="178" spans="1:5" ht="12.2" customHeight="1" x14ac:dyDescent="0.2">
      <c r="A178" s="61" t="s">
        <v>29240</v>
      </c>
      <c r="B178" s="125">
        <v>43377</v>
      </c>
      <c r="C178" s="61" t="s">
        <v>30410</v>
      </c>
      <c r="D178" s="61" t="s">
        <v>30415</v>
      </c>
      <c r="E178" s="61" t="s">
        <v>30411</v>
      </c>
    </row>
    <row r="179" spans="1:5" ht="12.2" customHeight="1" x14ac:dyDescent="0.2">
      <c r="A179" s="61" t="s">
        <v>29240</v>
      </c>
      <c r="B179" s="125">
        <v>43375</v>
      </c>
      <c r="C179" s="61" t="s">
        <v>30405</v>
      </c>
      <c r="D179" s="61" t="s">
        <v>30412</v>
      </c>
      <c r="E179" s="61" t="s">
        <v>30403</v>
      </c>
    </row>
    <row r="180" spans="1:5" ht="12.2" customHeight="1" x14ac:dyDescent="0.2">
      <c r="A180" s="61" t="s">
        <v>29240</v>
      </c>
      <c r="B180" s="125">
        <v>43375</v>
      </c>
      <c r="C180" s="61" t="s">
        <v>30400</v>
      </c>
      <c r="D180" s="61" t="s">
        <v>30404</v>
      </c>
      <c r="E180" s="61" t="s">
        <v>30399</v>
      </c>
    </row>
    <row r="181" spans="1:5" ht="12.2" customHeight="1" x14ac:dyDescent="0.2">
      <c r="A181" s="61" t="s">
        <v>30394</v>
      </c>
      <c r="B181" s="125">
        <v>43371</v>
      </c>
      <c r="C181" s="61" t="s">
        <v>30393</v>
      </c>
      <c r="D181" s="61" t="s">
        <v>30401</v>
      </c>
      <c r="E181" s="61" t="s">
        <v>30392</v>
      </c>
    </row>
    <row r="182" spans="1:5" ht="12.2" customHeight="1" x14ac:dyDescent="0.2">
      <c r="A182" s="61" t="s">
        <v>29240</v>
      </c>
      <c r="B182" s="125">
        <v>43363</v>
      </c>
      <c r="C182" s="61" t="s">
        <v>30387</v>
      </c>
      <c r="D182" s="61" t="s">
        <v>30395</v>
      </c>
      <c r="E182" s="61" t="s">
        <v>30386</v>
      </c>
    </row>
    <row r="183" spans="1:5" ht="12.2" customHeight="1" x14ac:dyDescent="0.2">
      <c r="A183" s="61" t="s">
        <v>29240</v>
      </c>
      <c r="B183" s="125">
        <v>43356</v>
      </c>
      <c r="C183" s="61" t="s">
        <v>30383</v>
      </c>
      <c r="D183" s="61" t="s">
        <v>30388</v>
      </c>
      <c r="E183" s="61" t="s">
        <v>30384</v>
      </c>
    </row>
    <row r="184" spans="1:5" ht="12.2" customHeight="1" x14ac:dyDescent="0.2">
      <c r="A184" s="61" t="s">
        <v>29240</v>
      </c>
      <c r="B184" s="125">
        <v>43356</v>
      </c>
      <c r="C184" s="61" t="s">
        <v>30379</v>
      </c>
      <c r="D184" s="61" t="s">
        <v>30385</v>
      </c>
      <c r="E184" s="61" t="s">
        <v>30380</v>
      </c>
    </row>
    <row r="185" spans="1:5" ht="12.2" customHeight="1" x14ac:dyDescent="0.2">
      <c r="A185" s="61" t="s">
        <v>29240</v>
      </c>
      <c r="B185" s="125">
        <v>43355</v>
      </c>
      <c r="C185" s="61" t="s">
        <v>30365</v>
      </c>
      <c r="D185" s="61" t="s">
        <v>30381</v>
      </c>
      <c r="E185" s="61" t="s">
        <v>30366</v>
      </c>
    </row>
    <row r="186" spans="1:5" ht="12.2" customHeight="1" x14ac:dyDescent="0.2">
      <c r="A186" s="61" t="s">
        <v>850</v>
      </c>
      <c r="B186" s="125">
        <v>43349</v>
      </c>
      <c r="C186" s="61" t="s">
        <v>30350</v>
      </c>
      <c r="D186" s="61" t="s">
        <v>30375</v>
      </c>
      <c r="E186" s="61" t="s">
        <v>30352</v>
      </c>
    </row>
    <row r="187" spans="1:5" ht="12.2" customHeight="1" x14ac:dyDescent="0.2">
      <c r="A187" s="61" t="s">
        <v>850</v>
      </c>
      <c r="B187" s="125">
        <v>43349</v>
      </c>
      <c r="C187" s="61" t="s">
        <v>30347</v>
      </c>
      <c r="D187" s="61" t="s">
        <v>30353</v>
      </c>
      <c r="E187" s="61" t="s">
        <v>30348</v>
      </c>
    </row>
    <row r="188" spans="1:5" ht="12.2" customHeight="1" x14ac:dyDescent="0.2">
      <c r="A188" s="61" t="s">
        <v>29240</v>
      </c>
      <c r="B188" s="125">
        <v>43349</v>
      </c>
      <c r="C188" s="61" t="s">
        <v>30339</v>
      </c>
      <c r="D188" s="61" t="s">
        <v>30349</v>
      </c>
      <c r="E188" s="61" t="s">
        <v>30340</v>
      </c>
    </row>
    <row r="189" spans="1:5" ht="12.2" customHeight="1" x14ac:dyDescent="0.2">
      <c r="A189" s="61" t="s">
        <v>29240</v>
      </c>
      <c r="B189" s="125">
        <v>43347</v>
      </c>
      <c r="C189" s="61" t="s">
        <v>30337</v>
      </c>
      <c r="D189" s="61" t="s">
        <v>30341</v>
      </c>
      <c r="E189" s="61" t="s">
        <v>30336</v>
      </c>
    </row>
    <row r="190" spans="1:5" ht="12.2" customHeight="1" x14ac:dyDescent="0.2">
      <c r="A190" s="61" t="s">
        <v>29240</v>
      </c>
      <c r="B190" s="125">
        <v>43346</v>
      </c>
      <c r="C190" s="61" t="s">
        <v>30333</v>
      </c>
      <c r="D190" s="61" t="s">
        <v>30338</v>
      </c>
      <c r="E190" s="61" t="s">
        <v>30334</v>
      </c>
    </row>
    <row r="191" spans="1:5" ht="12.2" customHeight="1" x14ac:dyDescent="0.2">
      <c r="A191" s="61" t="s">
        <v>29240</v>
      </c>
      <c r="B191" s="125">
        <v>43346</v>
      </c>
      <c r="C191" s="61" t="s">
        <v>30324</v>
      </c>
      <c r="D191" s="61" t="s">
        <v>30335</v>
      </c>
      <c r="E191" s="61" t="s">
        <v>30326</v>
      </c>
    </row>
    <row r="192" spans="1:5" ht="12.2" customHeight="1" x14ac:dyDescent="0.2">
      <c r="A192" s="61" t="s">
        <v>29240</v>
      </c>
      <c r="B192" s="125">
        <v>43340</v>
      </c>
      <c r="C192" s="61" t="s">
        <v>30321</v>
      </c>
      <c r="D192" s="61" t="s">
        <v>30327</v>
      </c>
      <c r="E192" s="61" t="s">
        <v>30322</v>
      </c>
    </row>
    <row r="193" spans="1:5" ht="12.2" customHeight="1" x14ac:dyDescent="0.2">
      <c r="A193" s="61" t="s">
        <v>29240</v>
      </c>
      <c r="B193" s="125">
        <v>43335</v>
      </c>
      <c r="C193" s="61" t="s">
        <v>30292</v>
      </c>
      <c r="D193" s="61" t="s">
        <v>30323</v>
      </c>
      <c r="E193" s="61" t="s">
        <v>30293</v>
      </c>
    </row>
    <row r="194" spans="1:5" ht="12.2" customHeight="1" x14ac:dyDescent="0.2">
      <c r="A194" s="61" t="s">
        <v>29240</v>
      </c>
      <c r="B194" s="125">
        <v>43335</v>
      </c>
      <c r="C194" s="61" t="s">
        <v>30288</v>
      </c>
      <c r="D194" s="61" t="s">
        <v>30294</v>
      </c>
      <c r="E194" s="61" t="s">
        <v>30289</v>
      </c>
    </row>
    <row r="195" spans="1:5" ht="12.2" customHeight="1" x14ac:dyDescent="0.2">
      <c r="A195" s="61" t="s">
        <v>29240</v>
      </c>
      <c r="B195" s="125">
        <v>43312</v>
      </c>
      <c r="C195" s="61" t="s">
        <v>30284</v>
      </c>
      <c r="D195" s="61" t="s">
        <v>30290</v>
      </c>
      <c r="E195" s="61" t="s">
        <v>30285</v>
      </c>
    </row>
    <row r="196" spans="1:5" ht="12.2" customHeight="1" x14ac:dyDescent="0.2">
      <c r="A196" s="61" t="s">
        <v>29240</v>
      </c>
      <c r="B196" s="125">
        <v>43311</v>
      </c>
      <c r="C196" s="61" t="s">
        <v>30282</v>
      </c>
      <c r="D196" s="61" t="s">
        <v>30286</v>
      </c>
      <c r="E196" s="61" t="s">
        <v>30281</v>
      </c>
    </row>
    <row r="197" spans="1:5" ht="12.2" customHeight="1" x14ac:dyDescent="0.2">
      <c r="A197" s="61" t="s">
        <v>29240</v>
      </c>
      <c r="B197" s="125">
        <v>43308</v>
      </c>
      <c r="C197" s="61" t="s">
        <v>30275</v>
      </c>
      <c r="D197" s="61" t="s">
        <v>30283</v>
      </c>
      <c r="E197" s="61" t="s">
        <v>30267</v>
      </c>
    </row>
    <row r="198" spans="1:5" ht="12.2" customHeight="1" x14ac:dyDescent="0.2">
      <c r="A198" s="61" t="s">
        <v>29240</v>
      </c>
      <c r="B198" s="125">
        <v>43304</v>
      </c>
      <c r="C198" s="61" t="s">
        <v>30265</v>
      </c>
      <c r="D198" s="61" t="s">
        <v>30276</v>
      </c>
      <c r="E198" s="61" t="s">
        <v>30264</v>
      </c>
    </row>
    <row r="199" spans="1:5" ht="12.2" customHeight="1" x14ac:dyDescent="0.2">
      <c r="A199" s="61" t="s">
        <v>29240</v>
      </c>
      <c r="B199" s="125">
        <v>43301</v>
      </c>
      <c r="C199" s="61" t="s">
        <v>30262</v>
      </c>
      <c r="D199" s="61" t="s">
        <v>30266</v>
      </c>
      <c r="E199" s="61" t="s">
        <v>30261</v>
      </c>
    </row>
    <row r="200" spans="1:5" ht="12.2" customHeight="1" x14ac:dyDescent="0.2">
      <c r="A200" s="61" t="s">
        <v>29240</v>
      </c>
      <c r="B200" s="125">
        <v>43301</v>
      </c>
      <c r="C200" s="61" t="s">
        <v>30259</v>
      </c>
      <c r="D200" s="61" t="s">
        <v>30263</v>
      </c>
      <c r="E200" s="61" t="s">
        <v>30258</v>
      </c>
    </row>
    <row r="201" spans="1:5" ht="12.2" customHeight="1" x14ac:dyDescent="0.2">
      <c r="A201" s="61" t="s">
        <v>29240</v>
      </c>
      <c r="B201" s="125">
        <v>43299</v>
      </c>
      <c r="C201" s="61" t="s">
        <v>30251</v>
      </c>
      <c r="D201" s="61" t="s">
        <v>30260</v>
      </c>
      <c r="E201" s="61" t="s">
        <v>30252</v>
      </c>
    </row>
    <row r="202" spans="1:5" ht="12.2" customHeight="1" x14ac:dyDescent="0.2">
      <c r="A202" s="61" t="s">
        <v>29240</v>
      </c>
      <c r="B202" s="125">
        <v>43292</v>
      </c>
      <c r="C202" s="61" t="s">
        <v>30243</v>
      </c>
      <c r="D202" s="61" t="s">
        <v>30253</v>
      </c>
      <c r="E202" s="61" t="s">
        <v>30248</v>
      </c>
    </row>
    <row r="203" spans="1:5" ht="12.2" customHeight="1" x14ac:dyDescent="0.2">
      <c r="A203" s="61" t="s">
        <v>29240</v>
      </c>
      <c r="B203" s="125">
        <v>43291</v>
      </c>
      <c r="C203" s="61" t="s">
        <v>30240</v>
      </c>
      <c r="D203" s="61" t="s">
        <v>30249</v>
      </c>
      <c r="E203" s="61" t="s">
        <v>30241</v>
      </c>
    </row>
    <row r="204" spans="1:5" ht="12.2" customHeight="1" x14ac:dyDescent="0.2">
      <c r="A204" s="61" t="s">
        <v>29240</v>
      </c>
      <c r="B204" s="125">
        <v>43285</v>
      </c>
      <c r="C204" s="61" t="s">
        <v>30238</v>
      </c>
      <c r="D204" s="61" t="s">
        <v>30242</v>
      </c>
      <c r="E204" s="61" t="s">
        <v>30237</v>
      </c>
    </row>
    <row r="205" spans="1:5" ht="12.2" customHeight="1" x14ac:dyDescent="0.2">
      <c r="A205" s="61" t="s">
        <v>29240</v>
      </c>
      <c r="B205" s="125">
        <v>43284</v>
      </c>
      <c r="C205" s="61" t="s">
        <v>30235</v>
      </c>
      <c r="D205" s="61" t="s">
        <v>30239</v>
      </c>
      <c r="E205" s="61" t="s">
        <v>30234</v>
      </c>
    </row>
    <row r="206" spans="1:5" ht="12.2" customHeight="1" x14ac:dyDescent="0.2">
      <c r="A206" s="61" t="s">
        <v>29240</v>
      </c>
      <c r="B206" s="125">
        <v>43277</v>
      </c>
      <c r="C206" s="61" t="s">
        <v>30231</v>
      </c>
      <c r="D206" s="61" t="s">
        <v>30236</v>
      </c>
      <c r="E206" s="61" t="s">
        <v>30232</v>
      </c>
    </row>
    <row r="207" spans="1:5" ht="12.2" customHeight="1" x14ac:dyDescent="0.2">
      <c r="A207" s="61" t="s">
        <v>29240</v>
      </c>
      <c r="B207" s="125">
        <v>43276</v>
      </c>
      <c r="C207" s="61" t="s">
        <v>30226</v>
      </c>
      <c r="D207" s="61" t="s">
        <v>30233</v>
      </c>
      <c r="E207" s="61" t="s">
        <v>30229</v>
      </c>
    </row>
    <row r="208" spans="1:5" ht="12.2" customHeight="1" x14ac:dyDescent="0.2">
      <c r="A208" s="61" t="s">
        <v>29240</v>
      </c>
      <c r="B208" s="125">
        <v>43276</v>
      </c>
      <c r="C208" s="61" t="s">
        <v>30224</v>
      </c>
      <c r="D208" s="61" t="s">
        <v>30230</v>
      </c>
      <c r="E208" s="61" t="s">
        <v>30223</v>
      </c>
    </row>
    <row r="209" spans="1:5" ht="12.2" customHeight="1" x14ac:dyDescent="0.2">
      <c r="A209" s="61" t="s">
        <v>29240</v>
      </c>
      <c r="B209" s="125">
        <v>43273</v>
      </c>
      <c r="C209" s="61" t="s">
        <v>30219</v>
      </c>
      <c r="D209" s="61" t="s">
        <v>30225</v>
      </c>
      <c r="E209" s="61" t="s">
        <v>30218</v>
      </c>
    </row>
    <row r="210" spans="1:5" ht="12.2" customHeight="1" x14ac:dyDescent="0.2">
      <c r="A210" s="61" t="s">
        <v>850</v>
      </c>
      <c r="B210" s="125">
        <v>43272</v>
      </c>
      <c r="C210" s="61" t="s">
        <v>30215</v>
      </c>
      <c r="D210" s="61" t="s">
        <v>30220</v>
      </c>
      <c r="E210" s="61" t="s">
        <v>30216</v>
      </c>
    </row>
    <row r="211" spans="1:5" ht="12.2" customHeight="1" x14ac:dyDescent="0.2">
      <c r="A211" s="61" t="s">
        <v>29240</v>
      </c>
      <c r="B211" s="125">
        <v>43271</v>
      </c>
      <c r="C211" s="61" t="s">
        <v>30212</v>
      </c>
      <c r="D211" s="61" t="s">
        <v>30217</v>
      </c>
      <c r="E211" s="61" t="s">
        <v>30213</v>
      </c>
    </row>
    <row r="212" spans="1:5" ht="12.2" customHeight="1" x14ac:dyDescent="0.2">
      <c r="A212" s="61" t="s">
        <v>29240</v>
      </c>
      <c r="B212" s="125">
        <v>43264</v>
      </c>
      <c r="C212" s="61" t="s">
        <v>30206</v>
      </c>
      <c r="D212" s="61" t="s">
        <v>30214</v>
      </c>
      <c r="E212" s="61" t="s">
        <v>30207</v>
      </c>
    </row>
    <row r="213" spans="1:5" ht="12.2" customHeight="1" x14ac:dyDescent="0.2">
      <c r="A213" s="61" t="s">
        <v>29240</v>
      </c>
      <c r="B213" s="125">
        <v>43264</v>
      </c>
      <c r="C213" s="61" t="s">
        <v>30197</v>
      </c>
      <c r="D213" s="61" t="s">
        <v>30211</v>
      </c>
      <c r="E213" s="61" t="s">
        <v>30198</v>
      </c>
    </row>
    <row r="214" spans="1:5" ht="12.2" customHeight="1" x14ac:dyDescent="0.2">
      <c r="A214" s="61" t="s">
        <v>29240</v>
      </c>
      <c r="B214" s="125">
        <v>43264</v>
      </c>
      <c r="C214" s="61" t="s">
        <v>30196</v>
      </c>
      <c r="D214" s="61" t="s">
        <v>30199</v>
      </c>
      <c r="E214" s="1129" t="s">
        <v>30208</v>
      </c>
    </row>
    <row r="215" spans="1:5" ht="12.2" customHeight="1" x14ac:dyDescent="0.2">
      <c r="A215" s="61" t="s">
        <v>29240</v>
      </c>
      <c r="B215" s="125">
        <v>43262</v>
      </c>
      <c r="C215" s="61" t="s">
        <v>30180</v>
      </c>
      <c r="D215" s="61" t="s">
        <v>30195</v>
      </c>
      <c r="E215" s="61" t="s">
        <v>30179</v>
      </c>
    </row>
    <row r="216" spans="1:5" ht="12.2" customHeight="1" x14ac:dyDescent="0.2">
      <c r="A216" s="61" t="s">
        <v>29240</v>
      </c>
      <c r="B216" s="125">
        <v>43262</v>
      </c>
      <c r="C216" s="61" t="s">
        <v>30170</v>
      </c>
      <c r="D216" s="61" t="s">
        <v>30181</v>
      </c>
      <c r="E216" s="61" t="s">
        <v>30171</v>
      </c>
    </row>
    <row r="217" spans="1:5" ht="12.2" customHeight="1" x14ac:dyDescent="0.2">
      <c r="A217" s="61" t="s">
        <v>29240</v>
      </c>
      <c r="B217" s="125">
        <v>43258</v>
      </c>
      <c r="C217" s="61" t="s">
        <v>30155</v>
      </c>
      <c r="D217" s="61" t="s">
        <v>30172</v>
      </c>
      <c r="E217" s="61" t="s">
        <v>30156</v>
      </c>
    </row>
    <row r="218" spans="1:5" ht="12.2" customHeight="1" x14ac:dyDescent="0.2">
      <c r="A218" s="61" t="s">
        <v>850</v>
      </c>
      <c r="B218" s="125">
        <v>43257</v>
      </c>
      <c r="C218" s="61" t="s">
        <v>30152</v>
      </c>
      <c r="D218" s="61" t="s">
        <v>30157</v>
      </c>
      <c r="E218" s="61" t="s">
        <v>30153</v>
      </c>
    </row>
    <row r="219" spans="1:5" ht="12.2" customHeight="1" x14ac:dyDescent="0.2">
      <c r="A219" s="61" t="s">
        <v>29240</v>
      </c>
      <c r="B219" s="125">
        <v>43244</v>
      </c>
      <c r="C219" s="61" t="s">
        <v>29955</v>
      </c>
      <c r="D219" s="61" t="s">
        <v>30154</v>
      </c>
      <c r="E219" s="61" t="s">
        <v>29954</v>
      </c>
    </row>
    <row r="220" spans="1:5" ht="12.2" customHeight="1" x14ac:dyDescent="0.2">
      <c r="A220" s="61" t="s">
        <v>29240</v>
      </c>
      <c r="B220" s="125">
        <v>43242</v>
      </c>
      <c r="C220" s="61" t="s">
        <v>29952</v>
      </c>
      <c r="D220" s="61" t="s">
        <v>29956</v>
      </c>
      <c r="E220" s="61" t="s">
        <v>29951</v>
      </c>
    </row>
    <row r="221" spans="1:5" ht="12.2" customHeight="1" x14ac:dyDescent="0.2">
      <c r="A221" s="61" t="s">
        <v>29240</v>
      </c>
      <c r="B221" s="125">
        <v>43235</v>
      </c>
      <c r="C221" s="61" t="s">
        <v>29949</v>
      </c>
      <c r="D221" s="61" t="s">
        <v>29953</v>
      </c>
      <c r="E221" s="61" t="s">
        <v>29948</v>
      </c>
    </row>
    <row r="222" spans="1:5" ht="12.2" customHeight="1" x14ac:dyDescent="0.2">
      <c r="A222" s="61" t="s">
        <v>29240</v>
      </c>
      <c r="B222" s="125">
        <v>43234</v>
      </c>
      <c r="C222" s="61" t="s">
        <v>29946</v>
      </c>
      <c r="D222" s="61" t="s">
        <v>29950</v>
      </c>
      <c r="E222" s="61" t="s">
        <v>29945</v>
      </c>
    </row>
    <row r="223" spans="1:5" ht="12.2" customHeight="1" x14ac:dyDescent="0.2">
      <c r="A223" s="61" t="s">
        <v>29240</v>
      </c>
      <c r="B223" s="125">
        <v>43231</v>
      </c>
      <c r="C223" s="61" t="s">
        <v>29943</v>
      </c>
      <c r="D223" s="61" t="s">
        <v>29947</v>
      </c>
      <c r="E223" s="61" t="s">
        <v>29942</v>
      </c>
    </row>
    <row r="224" spans="1:5" ht="12.2" customHeight="1" x14ac:dyDescent="0.2">
      <c r="A224" s="61" t="s">
        <v>850</v>
      </c>
      <c r="B224" s="125">
        <v>43228</v>
      </c>
      <c r="C224" s="61" t="s">
        <v>29936</v>
      </c>
      <c r="D224" s="61" t="s">
        <v>29939</v>
      </c>
      <c r="E224" s="61" t="s">
        <v>29937</v>
      </c>
    </row>
    <row r="225" spans="1:5" ht="12.2" customHeight="1" x14ac:dyDescent="0.2">
      <c r="A225" s="61" t="s">
        <v>29240</v>
      </c>
      <c r="B225" s="125">
        <v>43228</v>
      </c>
      <c r="C225" s="61" t="s">
        <v>29933</v>
      </c>
      <c r="D225" s="61" t="s">
        <v>29938</v>
      </c>
      <c r="E225" s="61" t="s">
        <v>29935</v>
      </c>
    </row>
    <row r="226" spans="1:5" ht="12.2" customHeight="1" x14ac:dyDescent="0.2">
      <c r="A226" s="61" t="s">
        <v>29240</v>
      </c>
      <c r="B226" s="125">
        <v>43224</v>
      </c>
      <c r="C226" s="61" t="s">
        <v>29929</v>
      </c>
      <c r="D226" s="61" t="s">
        <v>29934</v>
      </c>
      <c r="E226" s="61" t="s">
        <v>29930</v>
      </c>
    </row>
    <row r="227" spans="1:5" ht="12.2" customHeight="1" x14ac:dyDescent="0.2">
      <c r="A227" s="61" t="s">
        <v>29240</v>
      </c>
      <c r="B227" s="125">
        <v>43224</v>
      </c>
      <c r="C227" s="61" t="s">
        <v>29927</v>
      </c>
      <c r="D227" s="61" t="s">
        <v>29931</v>
      </c>
      <c r="E227" s="1129" t="s">
        <v>29928</v>
      </c>
    </row>
    <row r="228" spans="1:5" ht="12.2" customHeight="1" x14ac:dyDescent="0.2">
      <c r="A228" s="61" t="s">
        <v>29240</v>
      </c>
      <c r="B228" s="125">
        <v>43224</v>
      </c>
      <c r="C228" s="1129" t="s">
        <v>29925</v>
      </c>
      <c r="D228" s="61" t="s">
        <v>29922</v>
      </c>
      <c r="E228" s="1129" t="s">
        <v>29926</v>
      </c>
    </row>
    <row r="229" spans="1:5" ht="12.2" customHeight="1" x14ac:dyDescent="0.2">
      <c r="A229" s="61" t="s">
        <v>29240</v>
      </c>
      <c r="B229" s="125">
        <v>43224</v>
      </c>
      <c r="C229" s="1129" t="s">
        <v>29924</v>
      </c>
      <c r="D229" s="61" t="s">
        <v>29917</v>
      </c>
      <c r="E229" s="1129" t="s">
        <v>29923</v>
      </c>
    </row>
    <row r="230" spans="1:5" ht="12.2" customHeight="1" x14ac:dyDescent="0.2">
      <c r="A230" s="61" t="s">
        <v>29240</v>
      </c>
      <c r="B230" s="125">
        <v>43223</v>
      </c>
      <c r="C230" s="61" t="s">
        <v>29886</v>
      </c>
      <c r="D230" s="61" t="s">
        <v>29907</v>
      </c>
      <c r="E230" s="61" t="s">
        <v>29887</v>
      </c>
    </row>
    <row r="231" spans="1:5" ht="12.2" customHeight="1" x14ac:dyDescent="0.2">
      <c r="A231" s="61" t="s">
        <v>29240</v>
      </c>
      <c r="B231" s="125">
        <v>43223</v>
      </c>
      <c r="C231" s="61" t="s">
        <v>29884</v>
      </c>
      <c r="D231" s="61" t="s">
        <v>29888</v>
      </c>
      <c r="E231" s="61" t="s">
        <v>29883</v>
      </c>
    </row>
    <row r="232" spans="1:5" ht="12.2" customHeight="1" x14ac:dyDescent="0.2">
      <c r="A232" s="61" t="s">
        <v>29240</v>
      </c>
      <c r="B232" s="125">
        <v>43223</v>
      </c>
      <c r="C232" s="61" t="s">
        <v>29878</v>
      </c>
      <c r="D232" s="61" t="s">
        <v>29885</v>
      </c>
      <c r="E232" s="61" t="s">
        <v>29879</v>
      </c>
    </row>
    <row r="233" spans="1:5" ht="12.2" customHeight="1" x14ac:dyDescent="0.2">
      <c r="A233" s="61" t="s">
        <v>850</v>
      </c>
      <c r="B233" s="125">
        <v>43220</v>
      </c>
      <c r="C233" s="61" t="s">
        <v>29872</v>
      </c>
      <c r="D233" s="61" t="s">
        <v>29880</v>
      </c>
      <c r="E233" s="61" t="s">
        <v>29873</v>
      </c>
    </row>
    <row r="234" spans="1:5" ht="12.2" customHeight="1" x14ac:dyDescent="0.2">
      <c r="A234" s="61" t="s">
        <v>29240</v>
      </c>
      <c r="B234" s="125">
        <v>43217</v>
      </c>
      <c r="C234" s="61" t="s">
        <v>29744</v>
      </c>
      <c r="D234" s="61" t="s">
        <v>29877</v>
      </c>
      <c r="E234" s="61" t="s">
        <v>29743</v>
      </c>
    </row>
    <row r="235" spans="1:5" ht="12.2" customHeight="1" x14ac:dyDescent="0.2">
      <c r="A235" s="61" t="s">
        <v>29240</v>
      </c>
      <c r="B235" s="125">
        <v>43217</v>
      </c>
      <c r="C235" s="61" t="s">
        <v>29741</v>
      </c>
      <c r="D235" s="61" t="s">
        <v>29745</v>
      </c>
      <c r="E235" s="61" t="s">
        <v>29740</v>
      </c>
    </row>
    <row r="236" spans="1:5" ht="12.2" customHeight="1" x14ac:dyDescent="0.2">
      <c r="A236" s="61" t="s">
        <v>850</v>
      </c>
      <c r="B236" s="125">
        <v>43213</v>
      </c>
      <c r="C236" s="61" t="s">
        <v>29733</v>
      </c>
      <c r="D236" s="61" t="s">
        <v>29742</v>
      </c>
      <c r="E236" s="61" t="s">
        <v>29736</v>
      </c>
    </row>
    <row r="237" spans="1:5" ht="12.2" customHeight="1" x14ac:dyDescent="0.2">
      <c r="A237" s="61" t="s">
        <v>850</v>
      </c>
      <c r="B237" s="125">
        <v>43213</v>
      </c>
      <c r="C237" s="61" t="s">
        <v>29725</v>
      </c>
      <c r="D237" s="61" t="s">
        <v>29737</v>
      </c>
      <c r="E237" s="61" t="s">
        <v>29726</v>
      </c>
    </row>
    <row r="238" spans="1:5" ht="12.2" customHeight="1" x14ac:dyDescent="0.2">
      <c r="A238" s="61" t="s">
        <v>29240</v>
      </c>
      <c r="B238" s="125">
        <v>43209</v>
      </c>
      <c r="C238" s="61" t="s">
        <v>29719</v>
      </c>
      <c r="D238" s="61" t="s">
        <v>29727</v>
      </c>
      <c r="E238" s="61" t="s">
        <v>29720</v>
      </c>
    </row>
    <row r="239" spans="1:5" ht="12.2" customHeight="1" x14ac:dyDescent="0.2">
      <c r="A239" s="61" t="s">
        <v>29240</v>
      </c>
      <c r="B239" s="125">
        <v>43208</v>
      </c>
      <c r="C239" s="61" t="s">
        <v>29715</v>
      </c>
      <c r="D239" s="61" t="s">
        <v>29721</v>
      </c>
      <c r="E239" s="61" t="s">
        <v>29714</v>
      </c>
    </row>
    <row r="240" spans="1:5" ht="12.2" customHeight="1" x14ac:dyDescent="0.2">
      <c r="A240" s="61" t="s">
        <v>29240</v>
      </c>
      <c r="B240" s="125">
        <v>43208</v>
      </c>
      <c r="C240" s="61" t="s">
        <v>29711</v>
      </c>
      <c r="D240" s="61" t="s">
        <v>29716</v>
      </c>
      <c r="E240" s="61" t="s">
        <v>29712</v>
      </c>
    </row>
    <row r="241" spans="1:5" ht="12.2" customHeight="1" x14ac:dyDescent="0.2">
      <c r="A241" s="61" t="s">
        <v>850</v>
      </c>
      <c r="B241" s="125">
        <v>43206</v>
      </c>
      <c r="C241" s="61" t="s">
        <v>29708</v>
      </c>
      <c r="D241" s="61" t="s">
        <v>29713</v>
      </c>
      <c r="E241" s="61" t="s">
        <v>29707</v>
      </c>
    </row>
    <row r="242" spans="1:5" ht="12.2" customHeight="1" x14ac:dyDescent="0.2">
      <c r="A242" s="61" t="s">
        <v>850</v>
      </c>
      <c r="B242" s="125">
        <v>43203</v>
      </c>
      <c r="C242" s="61" t="s">
        <v>29704</v>
      </c>
      <c r="D242" s="61" t="s">
        <v>29709</v>
      </c>
      <c r="E242" s="61" t="s">
        <v>29705</v>
      </c>
    </row>
    <row r="243" spans="1:5" ht="12.2" customHeight="1" x14ac:dyDescent="0.2">
      <c r="A243" s="61" t="s">
        <v>850</v>
      </c>
      <c r="B243" s="125">
        <v>43203</v>
      </c>
      <c r="C243" s="61" t="s">
        <v>29701</v>
      </c>
      <c r="D243" s="61" t="s">
        <v>29706</v>
      </c>
      <c r="E243" s="61" t="s">
        <v>29702</v>
      </c>
    </row>
    <row r="244" spans="1:5" ht="12.2" customHeight="1" x14ac:dyDescent="0.2">
      <c r="A244" s="61" t="s">
        <v>29240</v>
      </c>
      <c r="B244" s="125">
        <v>43201</v>
      </c>
      <c r="C244" s="61" t="s">
        <v>29699</v>
      </c>
      <c r="D244" s="61" t="s">
        <v>29703</v>
      </c>
      <c r="E244" s="61" t="s">
        <v>29698</v>
      </c>
    </row>
    <row r="245" spans="1:5" ht="12.2" customHeight="1" x14ac:dyDescent="0.2">
      <c r="A245" s="61" t="s">
        <v>29240</v>
      </c>
      <c r="B245" s="125">
        <v>43200</v>
      </c>
      <c r="C245" s="61" t="s">
        <v>29696</v>
      </c>
      <c r="D245" s="61" t="s">
        <v>29700</v>
      </c>
      <c r="E245" s="61" t="s">
        <v>29695</v>
      </c>
    </row>
    <row r="246" spans="1:5" ht="12.2" customHeight="1" x14ac:dyDescent="0.2">
      <c r="A246" s="61" t="s">
        <v>850</v>
      </c>
      <c r="B246" s="125">
        <v>43200</v>
      </c>
      <c r="C246" s="61" t="s">
        <v>29693</v>
      </c>
      <c r="D246" s="61" t="s">
        <v>29697</v>
      </c>
      <c r="E246" s="61" t="s">
        <v>29694</v>
      </c>
    </row>
    <row r="247" spans="1:5" ht="12.2" customHeight="1" x14ac:dyDescent="0.2">
      <c r="A247" s="61" t="s">
        <v>29240</v>
      </c>
      <c r="B247" s="125">
        <v>43200</v>
      </c>
      <c r="C247" s="61" t="s">
        <v>29688</v>
      </c>
      <c r="D247" s="61" t="s">
        <v>29692</v>
      </c>
      <c r="E247" s="61" t="s">
        <v>29691</v>
      </c>
    </row>
    <row r="248" spans="1:5" ht="12.2" customHeight="1" x14ac:dyDescent="0.2">
      <c r="A248" s="61" t="s">
        <v>850</v>
      </c>
      <c r="B248" s="125">
        <v>43195</v>
      </c>
      <c r="C248" s="61" t="s">
        <v>29682</v>
      </c>
      <c r="D248" s="61" t="s">
        <v>29692</v>
      </c>
      <c r="E248" s="61" t="s">
        <v>29681</v>
      </c>
    </row>
    <row r="249" spans="1:5" ht="12.2" customHeight="1" x14ac:dyDescent="0.2">
      <c r="A249" s="61" t="s">
        <v>850</v>
      </c>
      <c r="B249" s="125">
        <v>43194</v>
      </c>
      <c r="C249" s="61" t="s">
        <v>29676</v>
      </c>
      <c r="D249" s="61" t="s">
        <v>29683</v>
      </c>
      <c r="E249" s="61" t="s">
        <v>29675</v>
      </c>
    </row>
    <row r="250" spans="1:5" ht="12.2" customHeight="1" x14ac:dyDescent="0.2">
      <c r="A250" s="61" t="s">
        <v>850</v>
      </c>
      <c r="B250" s="125">
        <v>43182</v>
      </c>
      <c r="C250" s="61" t="s">
        <v>29672</v>
      </c>
      <c r="D250" s="61" t="s">
        <v>29677</v>
      </c>
      <c r="E250" s="61" t="s">
        <v>29673</v>
      </c>
    </row>
    <row r="251" spans="1:5" ht="12.2" customHeight="1" x14ac:dyDescent="0.2">
      <c r="A251" s="61" t="s">
        <v>29240</v>
      </c>
      <c r="B251" s="125">
        <v>43181</v>
      </c>
      <c r="C251" s="61" t="s">
        <v>29666</v>
      </c>
      <c r="D251" s="61" t="s">
        <v>29674</v>
      </c>
      <c r="E251" s="61" t="s">
        <v>29667</v>
      </c>
    </row>
    <row r="252" spans="1:5" ht="12.2" customHeight="1" x14ac:dyDescent="0.2">
      <c r="A252" s="61" t="s">
        <v>29240</v>
      </c>
      <c r="B252" s="125">
        <v>43181</v>
      </c>
      <c r="C252" s="61" t="s">
        <v>29658</v>
      </c>
      <c r="D252" s="61" t="s">
        <v>29668</v>
      </c>
      <c r="E252" s="61" t="s">
        <v>29660</v>
      </c>
    </row>
    <row r="253" spans="1:5" ht="12.2" customHeight="1" x14ac:dyDescent="0.2">
      <c r="A253" s="61" t="s">
        <v>29240</v>
      </c>
      <c r="B253" s="125">
        <v>43181</v>
      </c>
      <c r="C253" s="61" t="s">
        <v>29644</v>
      </c>
      <c r="D253" s="61" t="s">
        <v>29661</v>
      </c>
      <c r="E253" s="61" t="s">
        <v>29643</v>
      </c>
    </row>
    <row r="254" spans="1:5" ht="12.2" customHeight="1" x14ac:dyDescent="0.2">
      <c r="A254" s="61" t="s">
        <v>850</v>
      </c>
      <c r="B254" s="125">
        <v>43180</v>
      </c>
      <c r="C254" s="61" t="s">
        <v>29639</v>
      </c>
      <c r="D254" s="61" t="s">
        <v>29645</v>
      </c>
      <c r="E254" s="61" t="s">
        <v>29640</v>
      </c>
    </row>
    <row r="255" spans="1:5" ht="12.2" customHeight="1" x14ac:dyDescent="0.2">
      <c r="A255" s="61" t="s">
        <v>29240</v>
      </c>
      <c r="B255" s="125">
        <v>43179</v>
      </c>
      <c r="C255" s="61" t="s">
        <v>29633</v>
      </c>
      <c r="D255" s="61" t="s">
        <v>29641</v>
      </c>
      <c r="E255" s="61" t="s">
        <v>29634</v>
      </c>
    </row>
    <row r="256" spans="1:5" ht="12.2" customHeight="1" x14ac:dyDescent="0.2">
      <c r="A256" s="61" t="s">
        <v>850</v>
      </c>
      <c r="B256" s="125">
        <v>43178</v>
      </c>
      <c r="C256" s="61" t="s">
        <v>29629</v>
      </c>
      <c r="D256" s="61" t="s">
        <v>29635</v>
      </c>
      <c r="E256" s="61" t="s">
        <v>29628</v>
      </c>
    </row>
    <row r="257" spans="1:5" ht="12.2" customHeight="1" x14ac:dyDescent="0.2">
      <c r="A257" s="61" t="s">
        <v>850</v>
      </c>
      <c r="B257" s="125">
        <v>43175</v>
      </c>
      <c r="C257" s="61" t="s">
        <v>29625</v>
      </c>
      <c r="D257" s="61" t="s">
        <v>29630</v>
      </c>
      <c r="E257" s="61" t="s">
        <v>29626</v>
      </c>
    </row>
    <row r="258" spans="1:5" ht="12.2" customHeight="1" x14ac:dyDescent="0.2">
      <c r="A258" s="61" t="s">
        <v>850</v>
      </c>
      <c r="B258" s="125">
        <v>43175</v>
      </c>
      <c r="C258" s="61" t="s">
        <v>29621</v>
      </c>
      <c r="D258" s="61" t="s">
        <v>29627</v>
      </c>
      <c r="E258" s="61" t="s">
        <v>29622</v>
      </c>
    </row>
    <row r="259" spans="1:5" ht="12.2" customHeight="1" x14ac:dyDescent="0.2">
      <c r="A259" s="61" t="s">
        <v>29240</v>
      </c>
      <c r="B259" s="125">
        <v>43174</v>
      </c>
      <c r="C259" s="61" t="s">
        <v>29611</v>
      </c>
      <c r="D259" s="61" t="s">
        <v>29623</v>
      </c>
      <c r="E259" s="61" t="s">
        <v>29613</v>
      </c>
    </row>
    <row r="260" spans="1:5" ht="12.2" customHeight="1" x14ac:dyDescent="0.2">
      <c r="A260" s="61" t="s">
        <v>29240</v>
      </c>
      <c r="B260" s="125">
        <v>43174</v>
      </c>
      <c r="C260" s="61" t="s">
        <v>29608</v>
      </c>
      <c r="D260" s="61" t="s">
        <v>29614</v>
      </c>
      <c r="E260" s="61" t="s">
        <v>29609</v>
      </c>
    </row>
    <row r="261" spans="1:5" ht="12.2" customHeight="1" x14ac:dyDescent="0.2">
      <c r="A261" s="61" t="s">
        <v>850</v>
      </c>
      <c r="B261" s="125">
        <v>43171</v>
      </c>
      <c r="C261" s="61" t="s">
        <v>29605</v>
      </c>
      <c r="D261" s="61" t="s">
        <v>29610</v>
      </c>
      <c r="E261" s="61" t="s">
        <v>29606</v>
      </c>
    </row>
    <row r="262" spans="1:5" ht="12.2" customHeight="1" x14ac:dyDescent="0.2">
      <c r="A262" s="61" t="s">
        <v>29240</v>
      </c>
      <c r="B262" s="125">
        <v>43171</v>
      </c>
      <c r="C262" s="61" t="s">
        <v>29602</v>
      </c>
      <c r="D262" s="61" t="s">
        <v>29607</v>
      </c>
      <c r="E262" s="61" t="s">
        <v>29603</v>
      </c>
    </row>
    <row r="263" spans="1:5" ht="12.2" customHeight="1" x14ac:dyDescent="0.2">
      <c r="A263" s="61" t="s">
        <v>29240</v>
      </c>
      <c r="B263" s="125">
        <v>43167</v>
      </c>
      <c r="C263" s="61" t="s">
        <v>29596</v>
      </c>
      <c r="D263" s="61" t="s">
        <v>29604</v>
      </c>
      <c r="E263" s="61" t="s">
        <v>29595</v>
      </c>
    </row>
    <row r="264" spans="1:5" ht="12.2" customHeight="1" x14ac:dyDescent="0.2">
      <c r="A264" s="61" t="s">
        <v>29240</v>
      </c>
      <c r="B264" s="125">
        <v>43167</v>
      </c>
      <c r="C264" s="61" t="s">
        <v>29593</v>
      </c>
      <c r="D264" s="61" t="s">
        <v>29597</v>
      </c>
      <c r="E264" s="61" t="s">
        <v>29592</v>
      </c>
    </row>
    <row r="265" spans="1:5" ht="12.2" customHeight="1" x14ac:dyDescent="0.2">
      <c r="A265" s="61" t="s">
        <v>29240</v>
      </c>
      <c r="B265" s="125">
        <v>43167</v>
      </c>
      <c r="C265" s="61" t="s">
        <v>29588</v>
      </c>
      <c r="D265" s="61" t="s">
        <v>29594</v>
      </c>
      <c r="E265" s="61" t="s">
        <v>29589</v>
      </c>
    </row>
    <row r="266" spans="1:5" ht="12.2" customHeight="1" x14ac:dyDescent="0.2">
      <c r="A266" s="61" t="s">
        <v>29240</v>
      </c>
      <c r="B266" s="125">
        <v>43167</v>
      </c>
      <c r="C266" s="61" t="s">
        <v>29585</v>
      </c>
      <c r="D266" s="61" t="s">
        <v>29590</v>
      </c>
      <c r="E266" s="61" t="s">
        <v>29586</v>
      </c>
    </row>
    <row r="267" spans="1:5" ht="12.2" customHeight="1" x14ac:dyDescent="0.2">
      <c r="A267" s="61" t="s">
        <v>29240</v>
      </c>
      <c r="B267" s="125">
        <v>43166</v>
      </c>
      <c r="C267" s="61" t="s">
        <v>29582</v>
      </c>
      <c r="D267" s="61" t="s">
        <v>29587</v>
      </c>
      <c r="E267" s="61" t="s">
        <v>29583</v>
      </c>
    </row>
    <row r="268" spans="1:5" ht="12.2" customHeight="1" x14ac:dyDescent="0.2">
      <c r="A268" s="61" t="s">
        <v>850</v>
      </c>
      <c r="B268" s="125">
        <v>43165</v>
      </c>
      <c r="C268" s="61" t="s">
        <v>29572</v>
      </c>
      <c r="D268" s="61" t="s">
        <v>29584</v>
      </c>
      <c r="E268" s="61" t="s">
        <v>29571</v>
      </c>
    </row>
    <row r="269" spans="1:5" ht="12.2" customHeight="1" x14ac:dyDescent="0.2">
      <c r="A269" s="61" t="s">
        <v>850</v>
      </c>
      <c r="B269" s="125">
        <v>43164</v>
      </c>
      <c r="C269" s="61" t="s">
        <v>29549</v>
      </c>
      <c r="D269" s="61" t="s">
        <v>29573</v>
      </c>
      <c r="E269" s="61" t="s">
        <v>29550</v>
      </c>
    </row>
    <row r="270" spans="1:5" ht="12.2" customHeight="1" x14ac:dyDescent="0.2">
      <c r="A270" s="61" t="s">
        <v>850</v>
      </c>
      <c r="B270" s="125">
        <v>43161</v>
      </c>
      <c r="C270" s="61" t="s">
        <v>29543</v>
      </c>
      <c r="D270" s="61" t="s">
        <v>29551</v>
      </c>
      <c r="E270" s="61" t="s">
        <v>29542</v>
      </c>
    </row>
    <row r="271" spans="1:5" ht="12.2" customHeight="1" x14ac:dyDescent="0.2">
      <c r="A271" s="61" t="s">
        <v>850</v>
      </c>
      <c r="B271" s="125">
        <v>43160</v>
      </c>
      <c r="C271" s="61" t="s">
        <v>29538</v>
      </c>
      <c r="D271" s="61" t="s">
        <v>29544</v>
      </c>
      <c r="E271" s="61" t="s">
        <v>29539</v>
      </c>
    </row>
    <row r="272" spans="1:5" ht="12.2" customHeight="1" x14ac:dyDescent="0.2">
      <c r="A272" s="61" t="s">
        <v>29240</v>
      </c>
      <c r="B272" s="125">
        <v>43159</v>
      </c>
      <c r="C272" s="61" t="s">
        <v>29532</v>
      </c>
      <c r="D272" s="61" t="s">
        <v>29540</v>
      </c>
      <c r="E272" s="61" t="s">
        <v>29531</v>
      </c>
    </row>
    <row r="273" spans="1:5" ht="12.2" customHeight="1" x14ac:dyDescent="0.2">
      <c r="A273" s="61" t="s">
        <v>850</v>
      </c>
      <c r="B273" s="125">
        <v>43158</v>
      </c>
      <c r="C273" s="61" t="s">
        <v>29526</v>
      </c>
      <c r="D273" s="61" t="s">
        <v>29533</v>
      </c>
      <c r="E273" s="61" t="s">
        <v>29527</v>
      </c>
    </row>
    <row r="274" spans="1:5" ht="12.2" customHeight="1" x14ac:dyDescent="0.2">
      <c r="A274" s="61" t="s">
        <v>850</v>
      </c>
      <c r="B274" s="125">
        <v>43158</v>
      </c>
      <c r="C274" s="61" t="s">
        <v>29524</v>
      </c>
      <c r="D274" s="61" t="s">
        <v>29528</v>
      </c>
      <c r="E274" s="61" t="s">
        <v>29521</v>
      </c>
    </row>
    <row r="275" spans="1:5" ht="12.2" customHeight="1" x14ac:dyDescent="0.2">
      <c r="A275" s="61" t="s">
        <v>850</v>
      </c>
      <c r="B275" s="125">
        <v>43157</v>
      </c>
      <c r="C275" s="61" t="s">
        <v>29518</v>
      </c>
      <c r="D275" s="61" t="s">
        <v>29525</v>
      </c>
      <c r="E275" s="61" t="s">
        <v>29519</v>
      </c>
    </row>
    <row r="276" spans="1:5" ht="12.2" customHeight="1" x14ac:dyDescent="0.2">
      <c r="A276" s="61" t="s">
        <v>850</v>
      </c>
      <c r="B276" s="125">
        <v>43157</v>
      </c>
      <c r="C276" s="61" t="s">
        <v>29515</v>
      </c>
      <c r="D276" s="61" t="s">
        <v>29520</v>
      </c>
      <c r="E276" s="61" t="s">
        <v>29516</v>
      </c>
    </row>
    <row r="277" spans="1:5" ht="12.2" customHeight="1" x14ac:dyDescent="0.2">
      <c r="A277" s="61" t="s">
        <v>850</v>
      </c>
      <c r="B277" s="125">
        <v>43156</v>
      </c>
      <c r="C277" s="61" t="s">
        <v>29474</v>
      </c>
      <c r="D277" s="61" t="s">
        <v>29517</v>
      </c>
      <c r="E277" s="61" t="s">
        <v>29475</v>
      </c>
    </row>
    <row r="278" spans="1:5" ht="12.2" customHeight="1" x14ac:dyDescent="0.2">
      <c r="A278" s="61" t="s">
        <v>850</v>
      </c>
      <c r="B278" s="125">
        <v>43153</v>
      </c>
      <c r="C278" s="61" t="s">
        <v>29462</v>
      </c>
      <c r="D278" s="61" t="s">
        <v>29476</v>
      </c>
      <c r="E278" s="61" t="s">
        <v>29463</v>
      </c>
    </row>
    <row r="279" spans="1:5" ht="12.2" customHeight="1" x14ac:dyDescent="0.2">
      <c r="A279" s="61" t="s">
        <v>29240</v>
      </c>
      <c r="B279" s="125">
        <v>43153</v>
      </c>
      <c r="C279" s="61" t="s">
        <v>29460</v>
      </c>
      <c r="D279" s="61" t="s">
        <v>29464</v>
      </c>
      <c r="E279" s="61" t="s">
        <v>29459</v>
      </c>
    </row>
    <row r="280" spans="1:5" ht="12.2" customHeight="1" x14ac:dyDescent="0.2">
      <c r="A280" s="61" t="s">
        <v>29240</v>
      </c>
      <c r="B280" s="125">
        <v>43153</v>
      </c>
      <c r="C280" s="61" t="s">
        <v>29456</v>
      </c>
      <c r="D280" s="61" t="s">
        <v>29461</v>
      </c>
      <c r="E280" s="61" t="s">
        <v>29457</v>
      </c>
    </row>
    <row r="281" spans="1:5" ht="12.2" customHeight="1" x14ac:dyDescent="0.2">
      <c r="A281" s="61" t="s">
        <v>29240</v>
      </c>
      <c r="B281" s="125">
        <v>43153</v>
      </c>
      <c r="C281" s="61" t="s">
        <v>29453</v>
      </c>
      <c r="D281" s="61" t="s">
        <v>29458</v>
      </c>
      <c r="E281" s="61" t="s">
        <v>29454</v>
      </c>
    </row>
    <row r="282" spans="1:5" ht="12.2" customHeight="1" x14ac:dyDescent="0.2">
      <c r="A282" s="61" t="s">
        <v>29240</v>
      </c>
      <c r="B282" s="125">
        <v>43152</v>
      </c>
      <c r="C282" s="61" t="s">
        <v>29450</v>
      </c>
      <c r="D282" s="61" t="s">
        <v>29455</v>
      </c>
      <c r="E282" s="61" t="s">
        <v>29449</v>
      </c>
    </row>
    <row r="283" spans="1:5" ht="12.2" customHeight="1" x14ac:dyDescent="0.2">
      <c r="A283" s="61" t="s">
        <v>850</v>
      </c>
      <c r="B283" s="125">
        <v>43152</v>
      </c>
      <c r="C283" s="61" t="s">
        <v>29446</v>
      </c>
      <c r="D283" s="61" t="s">
        <v>29451</v>
      </c>
      <c r="E283" s="61" t="s">
        <v>29447</v>
      </c>
    </row>
    <row r="284" spans="1:5" ht="12.2" customHeight="1" x14ac:dyDescent="0.2">
      <c r="A284" s="61" t="s">
        <v>29240</v>
      </c>
      <c r="B284" s="125">
        <v>43152</v>
      </c>
      <c r="C284" s="61" t="s">
        <v>29445</v>
      </c>
      <c r="D284" s="61" t="s">
        <v>29448</v>
      </c>
      <c r="E284" s="61" t="s">
        <v>29444</v>
      </c>
    </row>
    <row r="285" spans="1:5" ht="12.2" customHeight="1" x14ac:dyDescent="0.2">
      <c r="A285" s="61" t="s">
        <v>29240</v>
      </c>
      <c r="B285" s="125">
        <v>43146</v>
      </c>
      <c r="C285" s="61" t="s">
        <v>29441</v>
      </c>
      <c r="D285" s="61" t="s">
        <v>29443</v>
      </c>
      <c r="E285" s="61" t="s">
        <v>29442</v>
      </c>
    </row>
    <row r="286" spans="1:5" ht="12.2" customHeight="1" x14ac:dyDescent="0.2">
      <c r="A286" s="61" t="s">
        <v>29240</v>
      </c>
      <c r="B286" s="125">
        <v>43145</v>
      </c>
      <c r="C286" s="61" t="s">
        <v>29438</v>
      </c>
      <c r="D286" s="61" t="s">
        <v>29443</v>
      </c>
      <c r="E286" s="61" t="s">
        <v>29437</v>
      </c>
    </row>
    <row r="287" spans="1:5" ht="12.2" customHeight="1" x14ac:dyDescent="0.2">
      <c r="A287" s="61" t="s">
        <v>29240</v>
      </c>
      <c r="B287" s="125">
        <v>43145</v>
      </c>
      <c r="C287" s="1129" t="s">
        <v>29436</v>
      </c>
      <c r="D287" s="61" t="s">
        <v>29440</v>
      </c>
      <c r="E287" s="61" t="s">
        <v>29429</v>
      </c>
    </row>
    <row r="288" spans="1:5" ht="12.2" customHeight="1" x14ac:dyDescent="0.2">
      <c r="A288" s="61" t="s">
        <v>850</v>
      </c>
      <c r="B288" s="125">
        <v>43143</v>
      </c>
      <c r="C288" s="61" t="s">
        <v>29398</v>
      </c>
      <c r="D288" s="1129" t="s">
        <v>29439</v>
      </c>
      <c r="E288" s="61" t="s">
        <v>29399</v>
      </c>
    </row>
    <row r="289" spans="1:5" ht="12.2" customHeight="1" x14ac:dyDescent="0.2">
      <c r="A289" s="61" t="s">
        <v>850</v>
      </c>
      <c r="B289" s="125">
        <v>43139</v>
      </c>
      <c r="C289" s="61" t="s">
        <v>29396</v>
      </c>
      <c r="D289" s="61" t="s">
        <v>29400</v>
      </c>
      <c r="E289" s="61" t="s">
        <v>29395</v>
      </c>
    </row>
    <row r="290" spans="1:5" ht="12.2" customHeight="1" x14ac:dyDescent="0.2">
      <c r="A290" s="61" t="s">
        <v>850</v>
      </c>
      <c r="B290" s="125">
        <v>43138</v>
      </c>
      <c r="C290" s="61" t="s">
        <v>29392</v>
      </c>
      <c r="D290" s="61" t="s">
        <v>29397</v>
      </c>
      <c r="E290" s="61" t="s">
        <v>29391</v>
      </c>
    </row>
    <row r="291" spans="1:5" ht="12.2" customHeight="1" x14ac:dyDescent="0.2">
      <c r="A291" s="61" t="s">
        <v>850</v>
      </c>
      <c r="B291" s="125">
        <v>43138</v>
      </c>
      <c r="C291" s="61" t="s">
        <v>29388</v>
      </c>
      <c r="D291" s="61" t="s">
        <v>29393</v>
      </c>
      <c r="E291" s="61" t="s">
        <v>29387</v>
      </c>
    </row>
    <row r="292" spans="1:5" ht="12.2" customHeight="1" x14ac:dyDescent="0.2">
      <c r="A292" s="61" t="s">
        <v>850</v>
      </c>
      <c r="B292" s="125">
        <v>43138</v>
      </c>
      <c r="C292" s="61" t="s">
        <v>29382</v>
      </c>
      <c r="D292" s="61" t="s">
        <v>29389</v>
      </c>
      <c r="E292" s="61" t="s">
        <v>29381</v>
      </c>
    </row>
    <row r="293" spans="1:5" ht="12.2" customHeight="1" x14ac:dyDescent="0.2">
      <c r="A293" s="61" t="s">
        <v>850</v>
      </c>
      <c r="B293" s="125">
        <v>43137</v>
      </c>
      <c r="C293" s="61" t="s">
        <v>29378</v>
      </c>
      <c r="D293" s="61" t="s">
        <v>29384</v>
      </c>
      <c r="E293" s="61" t="s">
        <v>29379</v>
      </c>
    </row>
    <row r="294" spans="1:5" ht="12.2" customHeight="1" x14ac:dyDescent="0.2">
      <c r="A294" s="61" t="s">
        <v>850</v>
      </c>
      <c r="B294" s="125">
        <v>43137</v>
      </c>
      <c r="C294" s="61" t="s">
        <v>29363</v>
      </c>
      <c r="D294" s="61" t="s">
        <v>29380</v>
      </c>
      <c r="E294" s="61" t="s">
        <v>29362</v>
      </c>
    </row>
    <row r="295" spans="1:5" ht="12.2" customHeight="1" x14ac:dyDescent="0.2">
      <c r="A295" s="61" t="s">
        <v>850</v>
      </c>
      <c r="B295" s="125">
        <v>43137</v>
      </c>
      <c r="C295" s="61" t="s">
        <v>29358</v>
      </c>
      <c r="D295" s="61" t="s">
        <v>29364</v>
      </c>
      <c r="E295" s="61" t="s">
        <v>29359</v>
      </c>
    </row>
    <row r="296" spans="1:5" ht="12.2" customHeight="1" x14ac:dyDescent="0.2">
      <c r="A296" s="61" t="s">
        <v>850</v>
      </c>
      <c r="B296" s="125">
        <v>43136</v>
      </c>
      <c r="C296" s="61" t="s">
        <v>29356</v>
      </c>
      <c r="D296" s="61" t="s">
        <v>29360</v>
      </c>
      <c r="E296" s="61" t="s">
        <v>29355</v>
      </c>
    </row>
    <row r="297" spans="1:5" ht="12.2" customHeight="1" x14ac:dyDescent="0.2">
      <c r="A297" s="61" t="s">
        <v>29240</v>
      </c>
      <c r="B297" s="125">
        <v>43131</v>
      </c>
      <c r="C297" s="61" t="s">
        <v>29353</v>
      </c>
      <c r="D297" s="61" t="s">
        <v>29357</v>
      </c>
      <c r="E297" s="61" t="s">
        <v>29354</v>
      </c>
    </row>
    <row r="298" spans="1:5" ht="12.2" customHeight="1" x14ac:dyDescent="0.2">
      <c r="A298" s="61" t="s">
        <v>29240</v>
      </c>
      <c r="B298" s="125">
        <v>43126</v>
      </c>
      <c r="C298" s="61" t="s">
        <v>29345</v>
      </c>
      <c r="D298" s="61" t="s">
        <v>29349</v>
      </c>
      <c r="E298" s="61" t="s">
        <v>29348</v>
      </c>
    </row>
    <row r="299" spans="1:5" ht="12.2" customHeight="1" x14ac:dyDescent="0.2">
      <c r="A299" s="61" t="s">
        <v>29240</v>
      </c>
      <c r="B299" s="125">
        <v>43126</v>
      </c>
      <c r="C299" s="61" t="s">
        <v>29345</v>
      </c>
      <c r="D299" s="61" t="s">
        <v>29349</v>
      </c>
      <c r="E299" s="61" t="s">
        <v>29346</v>
      </c>
    </row>
    <row r="300" spans="1:5" ht="12.2" customHeight="1" x14ac:dyDescent="0.2">
      <c r="A300" s="61" t="s">
        <v>850</v>
      </c>
      <c r="B300" s="125">
        <v>43125</v>
      </c>
      <c r="C300" s="61" t="s">
        <v>29343</v>
      </c>
      <c r="D300" s="61" t="s">
        <v>29347</v>
      </c>
      <c r="E300" s="61" t="s">
        <v>29341</v>
      </c>
    </row>
    <row r="301" spans="1:5" ht="12.2" customHeight="1" x14ac:dyDescent="0.2">
      <c r="A301" s="61" t="s">
        <v>850</v>
      </c>
      <c r="B301" s="125">
        <v>43125</v>
      </c>
      <c r="C301" s="61" t="s">
        <v>29340</v>
      </c>
      <c r="D301" s="61" t="s">
        <v>29344</v>
      </c>
      <c r="E301" s="61" t="s">
        <v>29341</v>
      </c>
    </row>
    <row r="302" spans="1:5" ht="12.2" customHeight="1" x14ac:dyDescent="0.2">
      <c r="A302" s="61" t="s">
        <v>850</v>
      </c>
      <c r="B302" s="125">
        <v>43125</v>
      </c>
      <c r="C302" s="61" t="s">
        <v>29337</v>
      </c>
      <c r="D302" s="61" t="s">
        <v>29342</v>
      </c>
      <c r="E302" s="61" t="s">
        <v>29338</v>
      </c>
    </row>
    <row r="303" spans="1:5" ht="12.2" customHeight="1" x14ac:dyDescent="0.2">
      <c r="A303" s="61" t="s">
        <v>850</v>
      </c>
      <c r="B303" s="125">
        <v>43125</v>
      </c>
      <c r="C303" s="61" t="s">
        <v>29334</v>
      </c>
      <c r="D303" s="61" t="s">
        <v>29339</v>
      </c>
      <c r="E303" s="61" t="s">
        <v>29335</v>
      </c>
    </row>
    <row r="304" spans="1:5" ht="12.2" customHeight="1" x14ac:dyDescent="0.2">
      <c r="A304" s="61" t="s">
        <v>850</v>
      </c>
      <c r="B304" s="125">
        <v>43125</v>
      </c>
      <c r="C304" s="61" t="s">
        <v>29331</v>
      </c>
      <c r="D304" s="61" t="s">
        <v>29336</v>
      </c>
      <c r="E304" s="61" t="s">
        <v>29332</v>
      </c>
    </row>
    <row r="305" spans="1:5" ht="12.2" customHeight="1" x14ac:dyDescent="0.2">
      <c r="A305" s="61" t="s">
        <v>29240</v>
      </c>
      <c r="B305" s="125">
        <v>43125</v>
      </c>
      <c r="C305" s="61" t="s">
        <v>29327</v>
      </c>
      <c r="D305" s="61" t="s">
        <v>29333</v>
      </c>
      <c r="E305" s="61" t="s">
        <v>29328</v>
      </c>
    </row>
    <row r="306" spans="1:5" ht="12.2" customHeight="1" x14ac:dyDescent="0.2">
      <c r="A306" s="61" t="s">
        <v>850</v>
      </c>
      <c r="B306" s="125">
        <v>43124</v>
      </c>
      <c r="C306" s="61" t="s">
        <v>29322</v>
      </c>
      <c r="D306" s="61" t="s">
        <v>29330</v>
      </c>
      <c r="E306" s="61" t="s">
        <v>29325</v>
      </c>
    </row>
    <row r="307" spans="1:5" ht="12.2" customHeight="1" x14ac:dyDescent="0.2">
      <c r="A307" s="61" t="s">
        <v>850</v>
      </c>
      <c r="B307" s="125">
        <v>43123</v>
      </c>
      <c r="C307" s="61" t="s">
        <v>29320</v>
      </c>
      <c r="D307" s="61" t="s">
        <v>29326</v>
      </c>
      <c r="E307" s="61" t="s">
        <v>29319</v>
      </c>
    </row>
    <row r="308" spans="1:5" ht="12.2" customHeight="1" x14ac:dyDescent="0.2">
      <c r="A308" s="61" t="s">
        <v>850</v>
      </c>
      <c r="B308" s="125">
        <v>43117</v>
      </c>
      <c r="C308" s="61" t="s">
        <v>29314</v>
      </c>
      <c r="D308" s="61" t="s">
        <v>29321</v>
      </c>
      <c r="E308" s="61" t="s">
        <v>29315</v>
      </c>
    </row>
    <row r="309" spans="1:5" ht="12.2" customHeight="1" x14ac:dyDescent="0.2">
      <c r="A309" s="61" t="s">
        <v>850</v>
      </c>
      <c r="B309" s="125">
        <v>43117</v>
      </c>
      <c r="C309" s="61" t="s">
        <v>29311</v>
      </c>
      <c r="D309" s="61" t="s">
        <v>29316</v>
      </c>
      <c r="E309" s="61" t="s">
        <v>29312</v>
      </c>
    </row>
    <row r="310" spans="1:5" ht="12.2" customHeight="1" x14ac:dyDescent="0.2">
      <c r="A310" s="61" t="s">
        <v>850</v>
      </c>
      <c r="B310" s="125">
        <v>43116</v>
      </c>
      <c r="C310" s="61" t="s">
        <v>29309</v>
      </c>
      <c r="D310" s="61" t="s">
        <v>29313</v>
      </c>
      <c r="E310" s="61" t="s">
        <v>29310</v>
      </c>
    </row>
    <row r="311" spans="1:5" ht="12.2" customHeight="1" x14ac:dyDescent="0.2">
      <c r="A311" s="61" t="s">
        <v>29240</v>
      </c>
      <c r="B311" s="125">
        <v>43116</v>
      </c>
      <c r="C311" s="61" t="s">
        <v>29306</v>
      </c>
      <c r="D311" s="61" t="s">
        <v>29308</v>
      </c>
      <c r="E311" s="61" t="s">
        <v>29305</v>
      </c>
    </row>
    <row r="312" spans="1:5" ht="12.2" customHeight="1" x14ac:dyDescent="0.2">
      <c r="A312" s="61" t="s">
        <v>850</v>
      </c>
      <c r="B312" s="125">
        <v>43116</v>
      </c>
      <c r="C312" s="61" t="s">
        <v>29297</v>
      </c>
      <c r="D312" s="61" t="s">
        <v>29308</v>
      </c>
      <c r="E312" s="61" t="s">
        <v>29298</v>
      </c>
    </row>
    <row r="313" spans="1:5" ht="12.2" customHeight="1" x14ac:dyDescent="0.2">
      <c r="A313" s="61" t="s">
        <v>850</v>
      </c>
      <c r="B313" s="125">
        <v>43116</v>
      </c>
      <c r="C313" s="61" t="s">
        <v>29294</v>
      </c>
      <c r="D313" s="61" t="s">
        <v>29299</v>
      </c>
      <c r="E313" s="61" t="s">
        <v>29295</v>
      </c>
    </row>
    <row r="314" spans="1:5" ht="12.2" customHeight="1" x14ac:dyDescent="0.2">
      <c r="A314" s="61" t="s">
        <v>850</v>
      </c>
      <c r="B314" s="125">
        <v>43115</v>
      </c>
      <c r="C314" s="61" t="s">
        <v>29288</v>
      </c>
      <c r="D314" s="61" t="s">
        <v>29296</v>
      </c>
      <c r="E314" s="61" t="s">
        <v>29289</v>
      </c>
    </row>
    <row r="315" spans="1:5" ht="12.2" customHeight="1" x14ac:dyDescent="0.2">
      <c r="A315" s="61" t="s">
        <v>850</v>
      </c>
      <c r="B315" s="125">
        <v>43110</v>
      </c>
      <c r="C315" s="61" t="s">
        <v>29269</v>
      </c>
      <c r="D315" s="61" t="s">
        <v>29290</v>
      </c>
      <c r="E315" s="61" t="s">
        <v>29270</v>
      </c>
    </row>
    <row r="316" spans="1:5" ht="12.2" customHeight="1" x14ac:dyDescent="0.2">
      <c r="A316" s="61" t="s">
        <v>29240</v>
      </c>
      <c r="B316" s="125">
        <v>43109</v>
      </c>
      <c r="C316" s="61" t="s">
        <v>29267</v>
      </c>
      <c r="D316" s="61" t="s">
        <v>29271</v>
      </c>
      <c r="E316" s="61" t="s">
        <v>29268</v>
      </c>
    </row>
    <row r="317" spans="1:5" ht="12.2" customHeight="1" x14ac:dyDescent="0.2">
      <c r="A317" s="61" t="s">
        <v>29240</v>
      </c>
      <c r="B317" s="125">
        <v>43109</v>
      </c>
      <c r="C317" s="61" t="s">
        <v>29238</v>
      </c>
      <c r="D317" s="61" t="s">
        <v>29262</v>
      </c>
      <c r="E317" s="61" t="s">
        <v>29239</v>
      </c>
    </row>
    <row r="318" spans="1:5" ht="12.2" customHeight="1" x14ac:dyDescent="0.2">
      <c r="A318" s="61" t="s">
        <v>850</v>
      </c>
      <c r="B318" s="125">
        <v>43108</v>
      </c>
      <c r="C318" s="61" t="s">
        <v>29236</v>
      </c>
      <c r="D318" s="61" t="s">
        <v>29241</v>
      </c>
      <c r="E318" s="61" t="s">
        <v>29235</v>
      </c>
    </row>
    <row r="319" spans="1:5" ht="12.2" customHeight="1" x14ac:dyDescent="0.2">
      <c r="A319" s="61" t="s">
        <v>850</v>
      </c>
      <c r="B319" s="125">
        <v>43108</v>
      </c>
      <c r="C319" s="61" t="s">
        <v>29232</v>
      </c>
      <c r="D319" s="61" t="s">
        <v>29237</v>
      </c>
      <c r="E319" s="61" t="s">
        <v>29233</v>
      </c>
    </row>
    <row r="320" spans="1:5" ht="12.2" customHeight="1" x14ac:dyDescent="0.2">
      <c r="A320" s="61" t="s">
        <v>850</v>
      </c>
      <c r="B320" s="125">
        <v>43102</v>
      </c>
      <c r="C320" s="61" t="s">
        <v>29229</v>
      </c>
      <c r="D320" s="61" t="s">
        <v>29234</v>
      </c>
      <c r="E320" s="61" t="s">
        <v>29230</v>
      </c>
    </row>
    <row r="321" spans="1:5" ht="12.2" customHeight="1" x14ac:dyDescent="0.2">
      <c r="A321" s="61" t="s">
        <v>850</v>
      </c>
      <c r="B321" s="125">
        <v>43102</v>
      </c>
      <c r="C321" s="61" t="s">
        <v>29225</v>
      </c>
      <c r="D321" s="61" t="s">
        <v>29231</v>
      </c>
      <c r="E321" s="61" t="s">
        <v>29224</v>
      </c>
    </row>
    <row r="322" spans="1:5" ht="12.2" customHeight="1" x14ac:dyDescent="0.2">
      <c r="A322" s="61" t="s">
        <v>850</v>
      </c>
      <c r="B322" s="125">
        <v>43102</v>
      </c>
      <c r="C322" s="61" t="s">
        <v>29220</v>
      </c>
      <c r="D322" s="61" t="s">
        <v>29226</v>
      </c>
      <c r="E322" s="61" t="s">
        <v>29221</v>
      </c>
    </row>
    <row r="323" spans="1:5" ht="12.2" customHeight="1" x14ac:dyDescent="0.2">
      <c r="A323" s="61" t="s">
        <v>850</v>
      </c>
      <c r="B323" s="125">
        <v>43088</v>
      </c>
      <c r="C323" s="61" t="s">
        <v>29216</v>
      </c>
      <c r="D323" s="61" t="s">
        <v>29219</v>
      </c>
      <c r="E323" s="61" t="s">
        <v>29217</v>
      </c>
    </row>
    <row r="324" spans="1:5" ht="12.2" customHeight="1" x14ac:dyDescent="0.2">
      <c r="A324" s="61" t="s">
        <v>850</v>
      </c>
      <c r="B324" s="125">
        <v>43088</v>
      </c>
      <c r="C324" s="61" t="s">
        <v>29205</v>
      </c>
      <c r="D324" s="61" t="s">
        <v>29218</v>
      </c>
      <c r="E324" s="61" t="s">
        <v>29206</v>
      </c>
    </row>
    <row r="325" spans="1:5" ht="12.2" customHeight="1" x14ac:dyDescent="0.2">
      <c r="A325" s="61" t="s">
        <v>850</v>
      </c>
      <c r="B325" s="125">
        <v>43084</v>
      </c>
      <c r="C325" s="61" t="s">
        <v>29201</v>
      </c>
      <c r="D325" s="61" t="s">
        <v>29207</v>
      </c>
      <c r="E325" s="61" t="s">
        <v>29203</v>
      </c>
    </row>
    <row r="326" spans="1:5" ht="12.2" customHeight="1" x14ac:dyDescent="0.2">
      <c r="A326" s="61" t="s">
        <v>850</v>
      </c>
      <c r="B326" s="125">
        <v>43084</v>
      </c>
      <c r="C326" s="61" t="s">
        <v>29197</v>
      </c>
      <c r="D326" s="61" t="s">
        <v>29199</v>
      </c>
      <c r="E326" s="1129" t="s">
        <v>29202</v>
      </c>
    </row>
    <row r="327" spans="1:5" ht="12.2" customHeight="1" x14ac:dyDescent="0.2">
      <c r="A327" s="61" t="s">
        <v>850</v>
      </c>
      <c r="B327" s="125">
        <v>43083</v>
      </c>
      <c r="C327" s="61" t="s">
        <v>29197</v>
      </c>
      <c r="D327" s="61" t="s">
        <v>29199</v>
      </c>
      <c r="E327" s="61" t="s">
        <v>29196</v>
      </c>
    </row>
    <row r="328" spans="1:5" ht="12.2" customHeight="1" x14ac:dyDescent="0.2">
      <c r="A328" s="61" t="s">
        <v>850</v>
      </c>
      <c r="B328" s="125">
        <v>43082</v>
      </c>
      <c r="C328" s="61" t="s">
        <v>29193</v>
      </c>
      <c r="D328" s="61" t="s">
        <v>29198</v>
      </c>
      <c r="E328" s="61" t="s">
        <v>29194</v>
      </c>
    </row>
    <row r="329" spans="1:5" ht="12.2" customHeight="1" x14ac:dyDescent="0.2">
      <c r="A329" s="61" t="s">
        <v>850</v>
      </c>
      <c r="B329" s="125">
        <v>43081</v>
      </c>
      <c r="C329" s="61" t="s">
        <v>29190</v>
      </c>
      <c r="D329" s="61" t="s">
        <v>29195</v>
      </c>
      <c r="E329" s="61" t="s">
        <v>29191</v>
      </c>
    </row>
    <row r="330" spans="1:5" ht="12.2" customHeight="1" x14ac:dyDescent="0.2">
      <c r="A330" s="61" t="s">
        <v>850</v>
      </c>
      <c r="B330" s="125">
        <v>43081</v>
      </c>
      <c r="C330" s="61" t="s">
        <v>29182</v>
      </c>
      <c r="D330" s="61" t="s">
        <v>29192</v>
      </c>
      <c r="E330" s="61" t="s">
        <v>29183</v>
      </c>
    </row>
    <row r="331" spans="1:5" ht="12.2" customHeight="1" x14ac:dyDescent="0.2">
      <c r="A331" s="61" t="s">
        <v>850</v>
      </c>
      <c r="B331" s="125">
        <v>43070</v>
      </c>
      <c r="C331" s="61" t="s">
        <v>29178</v>
      </c>
      <c r="D331" s="61" t="s">
        <v>29184</v>
      </c>
      <c r="E331" s="61" t="s">
        <v>29179</v>
      </c>
    </row>
    <row r="332" spans="1:5" ht="12.2" customHeight="1" x14ac:dyDescent="0.2">
      <c r="A332" s="61" t="s">
        <v>850</v>
      </c>
      <c r="B332" s="125">
        <v>43070</v>
      </c>
      <c r="C332" s="61" t="s">
        <v>29175</v>
      </c>
      <c r="D332" s="61" t="s">
        <v>29180</v>
      </c>
      <c r="E332" s="61" t="s">
        <v>29176</v>
      </c>
    </row>
    <row r="333" spans="1:5" ht="12.2" customHeight="1" x14ac:dyDescent="0.2">
      <c r="A333" s="61" t="s">
        <v>850</v>
      </c>
      <c r="B333" s="125">
        <v>43069</v>
      </c>
      <c r="C333" s="61" t="s">
        <v>29173</v>
      </c>
      <c r="D333" s="61" t="s">
        <v>29177</v>
      </c>
      <c r="E333" s="61"/>
    </row>
    <row r="334" spans="1:5" ht="12.2" customHeight="1" x14ac:dyDescent="0.2">
      <c r="A334" s="61" t="s">
        <v>850</v>
      </c>
      <c r="B334" s="125">
        <v>43068</v>
      </c>
      <c r="C334" s="61" t="s">
        <v>29170</v>
      </c>
      <c r="D334" s="61" t="s">
        <v>29174</v>
      </c>
      <c r="E334" s="61" t="s">
        <v>29171</v>
      </c>
    </row>
    <row r="335" spans="1:5" ht="12.2" customHeight="1" x14ac:dyDescent="0.2">
      <c r="A335" s="61" t="s">
        <v>850</v>
      </c>
      <c r="B335" s="125">
        <v>43068</v>
      </c>
      <c r="C335" s="61" t="s">
        <v>29167</v>
      </c>
      <c r="D335" s="61" t="s">
        <v>29172</v>
      </c>
      <c r="E335" s="61" t="s">
        <v>29168</v>
      </c>
    </row>
    <row r="336" spans="1:5" ht="12.2" customHeight="1" x14ac:dyDescent="0.2">
      <c r="A336" s="61" t="s">
        <v>850</v>
      </c>
      <c r="B336" s="125">
        <v>43068</v>
      </c>
      <c r="C336" s="61" t="s">
        <v>29164</v>
      </c>
      <c r="D336" s="61" t="s">
        <v>29169</v>
      </c>
      <c r="E336" s="61" t="s">
        <v>29165</v>
      </c>
    </row>
    <row r="337" spans="1:5" ht="12.2" customHeight="1" x14ac:dyDescent="0.2">
      <c r="A337" s="61" t="s">
        <v>850</v>
      </c>
      <c r="B337" s="125">
        <v>43068</v>
      </c>
      <c r="C337" s="61" t="s">
        <v>29161</v>
      </c>
      <c r="D337" s="61" t="s">
        <v>29166</v>
      </c>
      <c r="E337" s="61" t="s">
        <v>29162</v>
      </c>
    </row>
    <row r="338" spans="1:5" ht="12.2" customHeight="1" x14ac:dyDescent="0.2">
      <c r="A338" s="61" t="s">
        <v>850</v>
      </c>
      <c r="B338" s="125">
        <v>43068</v>
      </c>
      <c r="C338" s="61" t="s">
        <v>29158</v>
      </c>
      <c r="D338" s="61" t="s">
        <v>29163</v>
      </c>
      <c r="E338" s="61" t="s">
        <v>29159</v>
      </c>
    </row>
    <row r="339" spans="1:5" ht="12.2" customHeight="1" x14ac:dyDescent="0.2">
      <c r="A339" s="61" t="s">
        <v>850</v>
      </c>
      <c r="B339" s="125">
        <v>43068</v>
      </c>
      <c r="C339" s="61" t="s">
        <v>29155</v>
      </c>
      <c r="D339" s="61" t="s">
        <v>29160</v>
      </c>
      <c r="E339" s="61" t="s">
        <v>29156</v>
      </c>
    </row>
    <row r="340" spans="1:5" ht="12.2" customHeight="1" x14ac:dyDescent="0.2">
      <c r="A340" s="61" t="s">
        <v>850</v>
      </c>
      <c r="B340" s="125">
        <v>43068</v>
      </c>
      <c r="C340" s="61" t="s">
        <v>29152</v>
      </c>
      <c r="D340" s="61" t="s">
        <v>29157</v>
      </c>
      <c r="E340" s="61" t="s">
        <v>29153</v>
      </c>
    </row>
    <row r="341" spans="1:5" ht="12.2" customHeight="1" x14ac:dyDescent="0.2">
      <c r="A341" s="61" t="s">
        <v>850</v>
      </c>
      <c r="B341" s="125">
        <v>43067</v>
      </c>
      <c r="C341" s="61" t="s">
        <v>29142</v>
      </c>
      <c r="D341" s="61" t="s">
        <v>29154</v>
      </c>
      <c r="E341" s="61" t="s">
        <v>29148</v>
      </c>
    </row>
    <row r="342" spans="1:5" ht="12.2" customHeight="1" x14ac:dyDescent="0.2">
      <c r="A342" s="61" t="s">
        <v>850</v>
      </c>
      <c r="B342" s="125">
        <v>43056</v>
      </c>
      <c r="C342" s="61" t="s">
        <v>29139</v>
      </c>
      <c r="D342" s="61" t="s">
        <v>29149</v>
      </c>
      <c r="E342" s="61" t="s">
        <v>29140</v>
      </c>
    </row>
    <row r="343" spans="1:5" ht="12.2" customHeight="1" x14ac:dyDescent="0.2">
      <c r="A343" s="61" t="s">
        <v>850</v>
      </c>
      <c r="B343" s="125">
        <v>43055</v>
      </c>
      <c r="C343" s="61" t="s">
        <v>29136</v>
      </c>
      <c r="D343" s="61" t="s">
        <v>29141</v>
      </c>
      <c r="E343" s="61" t="s">
        <v>29137</v>
      </c>
    </row>
    <row r="344" spans="1:5" ht="12.2" customHeight="1" x14ac:dyDescent="0.2">
      <c r="A344" s="61" t="s">
        <v>850</v>
      </c>
      <c r="B344" s="125">
        <v>43054</v>
      </c>
      <c r="C344" s="61" t="s">
        <v>29133</v>
      </c>
      <c r="D344" s="61" t="s">
        <v>29138</v>
      </c>
      <c r="E344" s="61" t="s">
        <v>29134</v>
      </c>
    </row>
    <row r="345" spans="1:5" ht="12.2" customHeight="1" x14ac:dyDescent="0.2">
      <c r="A345" s="61" t="s">
        <v>850</v>
      </c>
      <c r="B345" s="125">
        <v>43054</v>
      </c>
      <c r="C345" s="61" t="s">
        <v>29130</v>
      </c>
      <c r="D345" s="61" t="s">
        <v>29135</v>
      </c>
      <c r="E345" s="61" t="s">
        <v>29131</v>
      </c>
    </row>
    <row r="346" spans="1:5" ht="12.2" customHeight="1" x14ac:dyDescent="0.2">
      <c r="A346" s="61" t="s">
        <v>850</v>
      </c>
      <c r="B346" s="125">
        <v>43054</v>
      </c>
      <c r="C346" s="61" t="s">
        <v>29126</v>
      </c>
      <c r="D346" s="61" t="s">
        <v>29132</v>
      </c>
      <c r="E346" s="61" t="s">
        <v>29127</v>
      </c>
    </row>
    <row r="347" spans="1:5" ht="12.2" customHeight="1" x14ac:dyDescent="0.2">
      <c r="A347" s="61" t="s">
        <v>850</v>
      </c>
      <c r="B347" s="125">
        <v>43054</v>
      </c>
      <c r="C347" s="61" t="s">
        <v>29122</v>
      </c>
      <c r="D347" s="61" t="s">
        <v>29128</v>
      </c>
      <c r="E347" s="61" t="s">
        <v>29123</v>
      </c>
    </row>
    <row r="348" spans="1:5" ht="12.2" customHeight="1" x14ac:dyDescent="0.2">
      <c r="A348" s="61" t="s">
        <v>850</v>
      </c>
      <c r="B348" s="125">
        <v>43054</v>
      </c>
      <c r="C348" s="61" t="s">
        <v>29096</v>
      </c>
      <c r="D348" s="61" t="s">
        <v>29124</v>
      </c>
      <c r="E348" s="61" t="s">
        <v>29097</v>
      </c>
    </row>
    <row r="349" spans="1:5" ht="12.2" customHeight="1" x14ac:dyDescent="0.2">
      <c r="A349" s="61" t="s">
        <v>850</v>
      </c>
      <c r="B349" s="125">
        <v>43053</v>
      </c>
      <c r="C349" s="61" t="s">
        <v>29090</v>
      </c>
      <c r="D349" s="61" t="s">
        <v>29101</v>
      </c>
      <c r="E349" s="61" t="s">
        <v>29091</v>
      </c>
    </row>
    <row r="350" spans="1:5" ht="12.2" customHeight="1" x14ac:dyDescent="0.2">
      <c r="A350" s="61" t="s">
        <v>850</v>
      </c>
      <c r="B350" s="125">
        <v>43052</v>
      </c>
      <c r="C350" s="61" t="s">
        <v>29084</v>
      </c>
      <c r="D350" s="61" t="s">
        <v>29092</v>
      </c>
      <c r="E350" s="61" t="s">
        <v>29085</v>
      </c>
    </row>
    <row r="351" spans="1:5" ht="12.2" customHeight="1" x14ac:dyDescent="0.2">
      <c r="A351" s="61" t="s">
        <v>850</v>
      </c>
      <c r="B351" s="125">
        <v>43049</v>
      </c>
      <c r="C351" s="61" t="s">
        <v>29081</v>
      </c>
      <c r="D351" s="61" t="s">
        <v>29086</v>
      </c>
      <c r="E351" s="61" t="s">
        <v>29082</v>
      </c>
    </row>
    <row r="352" spans="1:5" ht="12.2" customHeight="1" x14ac:dyDescent="0.2">
      <c r="A352" s="61" t="s">
        <v>850</v>
      </c>
      <c r="B352" s="125">
        <v>43046</v>
      </c>
      <c r="C352" s="61" t="s">
        <v>29073</v>
      </c>
      <c r="D352" s="61" t="s">
        <v>29083</v>
      </c>
      <c r="E352" s="61" t="s">
        <v>29074</v>
      </c>
    </row>
    <row r="353" spans="1:5" ht="12.2" customHeight="1" x14ac:dyDescent="0.2">
      <c r="A353" s="61" t="s">
        <v>850</v>
      </c>
      <c r="B353" s="125">
        <v>43045</v>
      </c>
      <c r="C353" s="61" t="s">
        <v>29067</v>
      </c>
      <c r="D353" s="61" t="s">
        <v>29075</v>
      </c>
      <c r="E353" s="61" t="s">
        <v>29068</v>
      </c>
    </row>
    <row r="354" spans="1:5" ht="12.2" customHeight="1" x14ac:dyDescent="0.2">
      <c r="A354" s="61" t="s">
        <v>850</v>
      </c>
      <c r="B354" s="125">
        <v>43033</v>
      </c>
      <c r="C354" s="61" t="s">
        <v>29065</v>
      </c>
      <c r="D354" s="61" t="s">
        <v>29069</v>
      </c>
      <c r="E354" s="61" t="s">
        <v>29064</v>
      </c>
    </row>
    <row r="355" spans="1:5" ht="12.2" customHeight="1" x14ac:dyDescent="0.2">
      <c r="A355" s="61" t="s">
        <v>850</v>
      </c>
      <c r="B355" s="125">
        <v>43033</v>
      </c>
      <c r="C355" s="61" t="s">
        <v>29061</v>
      </c>
      <c r="D355" s="61" t="s">
        <v>29066</v>
      </c>
      <c r="E355" s="61" t="s">
        <v>29062</v>
      </c>
    </row>
    <row r="356" spans="1:5" ht="12.2" customHeight="1" x14ac:dyDescent="0.2">
      <c r="A356" s="61" t="s">
        <v>850</v>
      </c>
      <c r="B356" s="125">
        <v>43033</v>
      </c>
      <c r="C356" s="61" t="s">
        <v>29054</v>
      </c>
      <c r="D356" s="61" t="s">
        <v>29063</v>
      </c>
      <c r="E356" s="61" t="s">
        <v>29055</v>
      </c>
    </row>
    <row r="357" spans="1:5" ht="12.2" customHeight="1" x14ac:dyDescent="0.2">
      <c r="A357" s="61" t="s">
        <v>850</v>
      </c>
      <c r="B357" s="125">
        <v>43032</v>
      </c>
      <c r="C357" s="61" t="s">
        <v>29036</v>
      </c>
      <c r="D357" s="61" t="s">
        <v>29056</v>
      </c>
      <c r="E357" s="61" t="s">
        <v>29037</v>
      </c>
    </row>
    <row r="358" spans="1:5" ht="12.2" customHeight="1" x14ac:dyDescent="0.2">
      <c r="A358" s="61" t="s">
        <v>850</v>
      </c>
      <c r="B358" s="125">
        <v>43028</v>
      </c>
      <c r="C358" s="61" t="s">
        <v>29027</v>
      </c>
      <c r="D358" s="61" t="s">
        <v>29038</v>
      </c>
      <c r="E358" s="61" t="s">
        <v>29028</v>
      </c>
    </row>
    <row r="359" spans="1:5" ht="12.2" customHeight="1" x14ac:dyDescent="0.2">
      <c r="A359" s="61" t="s">
        <v>850</v>
      </c>
      <c r="B359" s="125">
        <v>43028</v>
      </c>
      <c r="C359" s="61" t="s">
        <v>29024</v>
      </c>
      <c r="D359" s="61" t="s">
        <v>29029</v>
      </c>
      <c r="E359" s="61" t="s">
        <v>29025</v>
      </c>
    </row>
    <row r="360" spans="1:5" ht="12.2" customHeight="1" x14ac:dyDescent="0.2">
      <c r="A360" s="61" t="s">
        <v>850</v>
      </c>
      <c r="B360" s="125">
        <v>43028</v>
      </c>
      <c r="C360" s="61" t="s">
        <v>29020</v>
      </c>
      <c r="D360" s="61" t="s">
        <v>29026</v>
      </c>
      <c r="E360" s="61" t="s">
        <v>29021</v>
      </c>
    </row>
    <row r="361" spans="1:5" ht="12.2" customHeight="1" x14ac:dyDescent="0.2">
      <c r="A361" s="61" t="s">
        <v>850</v>
      </c>
      <c r="B361" s="125">
        <v>43028</v>
      </c>
      <c r="C361" s="61" t="s">
        <v>28988</v>
      </c>
      <c r="D361" s="61" t="s">
        <v>29022</v>
      </c>
      <c r="E361" s="61" t="s">
        <v>28989</v>
      </c>
    </row>
    <row r="362" spans="1:5" ht="12.2" customHeight="1" x14ac:dyDescent="0.2">
      <c r="A362" s="61" t="s">
        <v>850</v>
      </c>
      <c r="B362" s="125">
        <v>43028</v>
      </c>
      <c r="C362" s="61" t="s">
        <v>28986</v>
      </c>
      <c r="D362" s="61" t="s">
        <v>28990</v>
      </c>
      <c r="E362" s="61" t="s">
        <v>28985</v>
      </c>
    </row>
    <row r="363" spans="1:5" ht="12.2" customHeight="1" x14ac:dyDescent="0.2">
      <c r="A363" s="61" t="s">
        <v>850</v>
      </c>
      <c r="B363" s="125">
        <v>43027</v>
      </c>
      <c r="C363" s="61" t="s">
        <v>28982</v>
      </c>
      <c r="D363" s="61" t="s">
        <v>28987</v>
      </c>
      <c r="E363" s="61" t="s">
        <v>28983</v>
      </c>
    </row>
    <row r="364" spans="1:5" ht="12.2" customHeight="1" x14ac:dyDescent="0.2">
      <c r="A364" s="61" t="s">
        <v>850</v>
      </c>
      <c r="B364" s="125">
        <v>43017</v>
      </c>
      <c r="C364" s="61" t="s">
        <v>28979</v>
      </c>
      <c r="D364" s="61" t="s">
        <v>28984</v>
      </c>
      <c r="E364" s="61" t="s">
        <v>28980</v>
      </c>
    </row>
    <row r="365" spans="1:5" ht="12.2" customHeight="1" x14ac:dyDescent="0.2">
      <c r="A365" s="61" t="s">
        <v>850</v>
      </c>
      <c r="B365" s="125">
        <v>43016</v>
      </c>
      <c r="C365" s="61" t="s">
        <v>28974</v>
      </c>
      <c r="D365" s="61" t="s">
        <v>28981</v>
      </c>
      <c r="E365" s="61" t="s">
        <v>28975</v>
      </c>
    </row>
    <row r="366" spans="1:5" ht="12.2" customHeight="1" x14ac:dyDescent="0.2">
      <c r="A366" s="61" t="s">
        <v>850</v>
      </c>
      <c r="B366" s="125">
        <v>43007</v>
      </c>
      <c r="C366" s="61" t="s">
        <v>28889</v>
      </c>
      <c r="D366" s="61" t="s">
        <v>28976</v>
      </c>
      <c r="E366" s="61" t="s">
        <v>28890</v>
      </c>
    </row>
    <row r="367" spans="1:5" ht="12.2" customHeight="1" x14ac:dyDescent="0.2">
      <c r="A367" s="61" t="s">
        <v>850</v>
      </c>
      <c r="B367" s="125">
        <v>43007</v>
      </c>
      <c r="C367" s="61" t="s">
        <v>28886</v>
      </c>
      <c r="D367" s="61" t="s">
        <v>28891</v>
      </c>
      <c r="E367" s="61" t="s">
        <v>28887</v>
      </c>
    </row>
    <row r="368" spans="1:5" ht="12.2" customHeight="1" x14ac:dyDescent="0.2">
      <c r="A368" s="61" t="s">
        <v>850</v>
      </c>
      <c r="B368" s="125">
        <v>43006</v>
      </c>
      <c r="C368" s="61" t="s">
        <v>28883</v>
      </c>
      <c r="D368" s="61" t="s">
        <v>28888</v>
      </c>
      <c r="E368" s="61" t="s">
        <v>28884</v>
      </c>
    </row>
    <row r="369" spans="1:5" ht="12.2" customHeight="1" x14ac:dyDescent="0.2">
      <c r="A369" s="61" t="s">
        <v>850</v>
      </c>
      <c r="B369" s="125">
        <v>42991</v>
      </c>
      <c r="C369" s="61" t="s">
        <v>28880</v>
      </c>
      <c r="D369" s="61" t="s">
        <v>28885</v>
      </c>
      <c r="E369" s="61" t="s">
        <v>28881</v>
      </c>
    </row>
    <row r="370" spans="1:5" ht="12.2" customHeight="1" x14ac:dyDescent="0.2">
      <c r="A370" s="61" t="s">
        <v>850</v>
      </c>
      <c r="B370" s="125">
        <v>42989</v>
      </c>
      <c r="C370" s="61" t="s">
        <v>28875</v>
      </c>
      <c r="D370" s="61" t="s">
        <v>28882</v>
      </c>
      <c r="E370" s="61" t="s">
        <v>28874</v>
      </c>
    </row>
    <row r="371" spans="1:5" ht="12.2" customHeight="1" x14ac:dyDescent="0.2">
      <c r="A371" s="61" t="s">
        <v>850</v>
      </c>
      <c r="B371" s="125">
        <v>42986</v>
      </c>
      <c r="C371" s="61" t="s">
        <v>28869</v>
      </c>
      <c r="D371" s="61" t="s">
        <v>28876</v>
      </c>
      <c r="E371" s="61" t="s">
        <v>28870</v>
      </c>
    </row>
    <row r="372" spans="1:5" ht="12.2" customHeight="1" x14ac:dyDescent="0.2">
      <c r="A372" s="61" t="s">
        <v>850</v>
      </c>
      <c r="B372" s="125">
        <v>42986</v>
      </c>
      <c r="C372" s="61" t="s">
        <v>28863</v>
      </c>
      <c r="D372" s="61" t="s">
        <v>28871</v>
      </c>
      <c r="E372" s="61" t="s">
        <v>28862</v>
      </c>
    </row>
    <row r="373" spans="1:5" ht="12.2" customHeight="1" x14ac:dyDescent="0.2">
      <c r="A373" s="61" t="s">
        <v>850</v>
      </c>
      <c r="B373" s="125">
        <v>42985</v>
      </c>
      <c r="C373" s="61" t="s">
        <v>28859</v>
      </c>
      <c r="D373" s="61" t="s">
        <v>28864</v>
      </c>
      <c r="E373" s="61" t="s">
        <v>28860</v>
      </c>
    </row>
    <row r="374" spans="1:5" ht="12.2" customHeight="1" x14ac:dyDescent="0.2">
      <c r="A374" s="61" t="s">
        <v>850</v>
      </c>
      <c r="B374" s="125">
        <v>42985</v>
      </c>
      <c r="C374" s="61" t="s">
        <v>28826</v>
      </c>
      <c r="D374" s="61" t="s">
        <v>28861</v>
      </c>
      <c r="E374" s="61" t="s">
        <v>28827</v>
      </c>
    </row>
    <row r="375" spans="1:5" ht="12.2" customHeight="1" x14ac:dyDescent="0.2">
      <c r="A375" s="61" t="s">
        <v>850</v>
      </c>
      <c r="B375" s="125">
        <v>42982</v>
      </c>
      <c r="C375" s="61" t="s">
        <v>28821</v>
      </c>
      <c r="D375" s="61" t="s">
        <v>28828</v>
      </c>
      <c r="E375" s="61" t="s">
        <v>28817</v>
      </c>
    </row>
    <row r="376" spans="1:5" ht="12.2" customHeight="1" x14ac:dyDescent="0.2">
      <c r="A376" s="61" t="s">
        <v>850</v>
      </c>
      <c r="B376" s="125">
        <v>42978</v>
      </c>
      <c r="C376" s="61" t="s">
        <v>28814</v>
      </c>
      <c r="D376" s="61" t="s">
        <v>28822</v>
      </c>
      <c r="E376" s="61" t="s">
        <v>28815</v>
      </c>
    </row>
    <row r="377" spans="1:5" ht="12.2" customHeight="1" x14ac:dyDescent="0.2">
      <c r="A377" s="61" t="s">
        <v>850</v>
      </c>
      <c r="B377" s="125">
        <v>42978</v>
      </c>
      <c r="C377" s="61" t="s">
        <v>28812</v>
      </c>
      <c r="D377" s="61" t="s">
        <v>28816</v>
      </c>
      <c r="E377" s="61" t="s">
        <v>28811</v>
      </c>
    </row>
    <row r="378" spans="1:5" ht="12.2" customHeight="1" x14ac:dyDescent="0.2">
      <c r="A378" s="61" t="s">
        <v>850</v>
      </c>
      <c r="B378" s="125">
        <v>42978</v>
      </c>
      <c r="C378" s="61" t="s">
        <v>28809</v>
      </c>
      <c r="D378" s="61" t="s">
        <v>28813</v>
      </c>
      <c r="E378" s="61" t="s">
        <v>28808</v>
      </c>
    </row>
    <row r="379" spans="1:5" ht="12.2" customHeight="1" x14ac:dyDescent="0.2">
      <c r="A379" s="61" t="s">
        <v>850</v>
      </c>
      <c r="B379" s="125">
        <v>42977</v>
      </c>
      <c r="C379" s="61" t="s">
        <v>28805</v>
      </c>
      <c r="D379" s="61" t="s">
        <v>28810</v>
      </c>
      <c r="E379" s="61" t="s">
        <v>28806</v>
      </c>
    </row>
    <row r="380" spans="1:5" ht="12.2" customHeight="1" x14ac:dyDescent="0.2">
      <c r="A380" s="61" t="s">
        <v>850</v>
      </c>
      <c r="B380" s="125">
        <v>42976</v>
      </c>
      <c r="C380" s="61" t="s">
        <v>28803</v>
      </c>
      <c r="D380" s="61" t="s">
        <v>28807</v>
      </c>
      <c r="E380" s="61" t="s">
        <v>28802</v>
      </c>
    </row>
    <row r="381" spans="1:5" ht="12.2" customHeight="1" x14ac:dyDescent="0.2">
      <c r="A381" s="61" t="s">
        <v>850</v>
      </c>
      <c r="B381" s="125">
        <v>42976</v>
      </c>
      <c r="C381" s="61" t="s">
        <v>28799</v>
      </c>
      <c r="D381" s="61" t="s">
        <v>28804</v>
      </c>
      <c r="E381" s="61" t="s">
        <v>28800</v>
      </c>
    </row>
    <row r="382" spans="1:5" ht="12.2" customHeight="1" x14ac:dyDescent="0.2">
      <c r="A382" s="61" t="s">
        <v>850</v>
      </c>
      <c r="B382" s="125">
        <v>42969</v>
      </c>
      <c r="C382" s="61" t="s">
        <v>28796</v>
      </c>
      <c r="D382" s="61" t="s">
        <v>28801</v>
      </c>
      <c r="E382" s="61" t="s">
        <v>28797</v>
      </c>
    </row>
    <row r="383" spans="1:5" ht="12.2" customHeight="1" x14ac:dyDescent="0.2">
      <c r="A383" s="61" t="s">
        <v>850</v>
      </c>
      <c r="B383" s="125">
        <v>42968</v>
      </c>
      <c r="C383" s="61" t="s">
        <v>28793</v>
      </c>
      <c r="D383" s="61" t="s">
        <v>28798</v>
      </c>
      <c r="E383" s="61" t="s">
        <v>28794</v>
      </c>
    </row>
    <row r="384" spans="1:5" ht="12.2" customHeight="1" x14ac:dyDescent="0.2">
      <c r="A384" s="61" t="s">
        <v>850</v>
      </c>
      <c r="B384" s="125">
        <v>42967</v>
      </c>
      <c r="C384" s="61" t="s">
        <v>28783</v>
      </c>
      <c r="D384" s="61" t="s">
        <v>28795</v>
      </c>
      <c r="E384" s="61" t="s">
        <v>28784</v>
      </c>
    </row>
    <row r="385" spans="1:5" ht="12.2" customHeight="1" x14ac:dyDescent="0.2">
      <c r="A385" s="61" t="s">
        <v>850</v>
      </c>
      <c r="B385" s="125">
        <v>42965</v>
      </c>
      <c r="C385" s="61" t="s">
        <v>28777</v>
      </c>
      <c r="D385" s="61" t="s">
        <v>28792</v>
      </c>
      <c r="E385" s="61" t="s">
        <v>28778</v>
      </c>
    </row>
    <row r="386" spans="1:5" ht="12.2" customHeight="1" x14ac:dyDescent="0.2">
      <c r="A386" s="61" t="s">
        <v>850</v>
      </c>
      <c r="B386" s="125">
        <v>42965</v>
      </c>
      <c r="C386" s="61" t="s">
        <v>28775</v>
      </c>
      <c r="D386" s="61" t="s">
        <v>28779</v>
      </c>
      <c r="E386" s="61" t="s">
        <v>28774</v>
      </c>
    </row>
    <row r="387" spans="1:5" ht="12.2" customHeight="1" x14ac:dyDescent="0.2">
      <c r="A387" s="61" t="s">
        <v>850</v>
      </c>
      <c r="B387" s="125">
        <v>42965</v>
      </c>
      <c r="C387" s="61" t="s">
        <v>28759</v>
      </c>
      <c r="D387" s="61" t="s">
        <v>28776</v>
      </c>
      <c r="E387" s="61" t="s">
        <v>28760</v>
      </c>
    </row>
    <row r="388" spans="1:5" ht="12.2" customHeight="1" x14ac:dyDescent="0.2">
      <c r="A388" s="61" t="s">
        <v>850</v>
      </c>
      <c r="B388" s="125">
        <v>42964</v>
      </c>
      <c r="C388" s="61" t="s">
        <v>28674</v>
      </c>
      <c r="D388" s="61" t="s">
        <v>28761</v>
      </c>
      <c r="E388" s="61" t="s">
        <v>28757</v>
      </c>
    </row>
    <row r="389" spans="1:5" ht="12.2" customHeight="1" x14ac:dyDescent="0.2">
      <c r="A389" s="61" t="s">
        <v>850</v>
      </c>
      <c r="B389" s="125">
        <v>42964</v>
      </c>
      <c r="C389" s="61" t="s">
        <v>28671</v>
      </c>
      <c r="D389" s="61" t="s">
        <v>28758</v>
      </c>
      <c r="E389" s="61" t="s">
        <v>28672</v>
      </c>
    </row>
    <row r="390" spans="1:5" ht="12.2" customHeight="1" x14ac:dyDescent="0.2">
      <c r="A390" s="61" t="s">
        <v>850</v>
      </c>
      <c r="B390" s="125">
        <v>42964</v>
      </c>
      <c r="C390" s="61" t="s">
        <v>28666</v>
      </c>
      <c r="D390" s="61" t="s">
        <v>28673</v>
      </c>
      <c r="E390" s="61" t="s">
        <v>28667</v>
      </c>
    </row>
    <row r="391" spans="1:5" ht="12.2" customHeight="1" x14ac:dyDescent="0.2">
      <c r="A391" s="61" t="s">
        <v>850</v>
      </c>
      <c r="B391" s="125">
        <v>42964</v>
      </c>
      <c r="C391" s="61" t="s">
        <v>28652</v>
      </c>
      <c r="D391" s="61" t="s">
        <v>28668</v>
      </c>
      <c r="E391" s="61" t="s">
        <v>28653</v>
      </c>
    </row>
    <row r="392" spans="1:5" ht="12.2" customHeight="1" x14ac:dyDescent="0.2">
      <c r="A392" s="61" t="s">
        <v>850</v>
      </c>
      <c r="B392" s="125">
        <v>42963</v>
      </c>
      <c r="C392" s="61" t="s">
        <v>28643</v>
      </c>
      <c r="D392" s="61" t="s">
        <v>28651</v>
      </c>
      <c r="E392" s="61"/>
    </row>
    <row r="393" spans="1:5" ht="12.2" customHeight="1" x14ac:dyDescent="0.2">
      <c r="A393" s="61" t="s">
        <v>850</v>
      </c>
      <c r="B393" s="125">
        <v>42963</v>
      </c>
      <c r="C393" s="61" t="s">
        <v>28643</v>
      </c>
      <c r="D393" s="61" t="s">
        <v>28651</v>
      </c>
      <c r="E393" s="61" t="s">
        <v>28650</v>
      </c>
    </row>
    <row r="394" spans="1:5" ht="12.2" customHeight="1" x14ac:dyDescent="0.2">
      <c r="A394" s="61" t="s">
        <v>850</v>
      </c>
      <c r="B394" s="125">
        <v>42963</v>
      </c>
      <c r="C394" s="61" t="s">
        <v>28643</v>
      </c>
      <c r="D394" s="61" t="s">
        <v>28651</v>
      </c>
      <c r="E394" s="61" t="s">
        <v>28644</v>
      </c>
    </row>
    <row r="395" spans="1:5" ht="12.2" customHeight="1" x14ac:dyDescent="0.2">
      <c r="A395" s="61" t="s">
        <v>850</v>
      </c>
      <c r="B395" s="125">
        <v>42962</v>
      </c>
      <c r="C395" s="61" t="s">
        <v>28640</v>
      </c>
      <c r="D395" s="61" t="s">
        <v>28649</v>
      </c>
      <c r="E395" s="61" t="s">
        <v>28641</v>
      </c>
    </row>
    <row r="396" spans="1:5" ht="12.2" customHeight="1" x14ac:dyDescent="0.2">
      <c r="A396" s="61" t="s">
        <v>850</v>
      </c>
      <c r="B396" s="125">
        <v>42958</v>
      </c>
      <c r="C396" s="61" t="s">
        <v>28638</v>
      </c>
      <c r="D396" s="61" t="s">
        <v>28642</v>
      </c>
      <c r="E396" s="61" t="s">
        <v>28637</v>
      </c>
    </row>
    <row r="397" spans="1:5" ht="12.2" customHeight="1" x14ac:dyDescent="0.2">
      <c r="A397" s="61" t="s">
        <v>850</v>
      </c>
      <c r="B397" s="125">
        <v>42957</v>
      </c>
      <c r="C397" s="61" t="s">
        <v>28634</v>
      </c>
      <c r="D397" s="61" t="s">
        <v>28639</v>
      </c>
      <c r="E397" s="61" t="s">
        <v>28633</v>
      </c>
    </row>
    <row r="398" spans="1:5" ht="12.2" customHeight="1" x14ac:dyDescent="0.2">
      <c r="A398" s="61" t="s">
        <v>850</v>
      </c>
      <c r="B398" s="125">
        <v>42951</v>
      </c>
      <c r="C398" s="61" t="s">
        <v>28630</v>
      </c>
      <c r="D398" s="61" t="s">
        <v>28635</v>
      </c>
      <c r="E398" s="61" t="s">
        <v>28631</v>
      </c>
    </row>
    <row r="399" spans="1:5" ht="12.2" customHeight="1" x14ac:dyDescent="0.2">
      <c r="A399" s="61" t="s">
        <v>850</v>
      </c>
      <c r="B399" s="125">
        <v>42950</v>
      </c>
      <c r="C399" s="61" t="s">
        <v>28627</v>
      </c>
      <c r="D399" s="61" t="s">
        <v>28632</v>
      </c>
      <c r="E399" s="61" t="s">
        <v>28628</v>
      </c>
    </row>
    <row r="400" spans="1:5" ht="12.2" customHeight="1" x14ac:dyDescent="0.2">
      <c r="A400" s="61" t="s">
        <v>850</v>
      </c>
      <c r="B400" s="125">
        <v>42949</v>
      </c>
      <c r="C400" s="61" t="s">
        <v>28620</v>
      </c>
      <c r="D400" s="61" t="s">
        <v>28629</v>
      </c>
      <c r="E400" s="61" t="s">
        <v>28621</v>
      </c>
    </row>
    <row r="401" spans="1:5" ht="12.2" customHeight="1" x14ac:dyDescent="0.2">
      <c r="A401" s="61" t="s">
        <v>850</v>
      </c>
      <c r="B401" s="125">
        <v>42937</v>
      </c>
      <c r="C401" s="61" t="s">
        <v>28608</v>
      </c>
      <c r="D401" s="61" t="s">
        <v>28622</v>
      </c>
      <c r="E401" s="61" t="s">
        <v>28609</v>
      </c>
    </row>
    <row r="402" spans="1:5" ht="12.2" customHeight="1" x14ac:dyDescent="0.2">
      <c r="A402" s="61" t="s">
        <v>850</v>
      </c>
      <c r="B402" s="125">
        <v>42934</v>
      </c>
      <c r="C402" s="61" t="s">
        <v>28605</v>
      </c>
      <c r="D402" s="61" t="s">
        <v>28610</v>
      </c>
      <c r="E402" s="61" t="s">
        <v>28606</v>
      </c>
    </row>
    <row r="403" spans="1:5" ht="12.2" customHeight="1" x14ac:dyDescent="0.2">
      <c r="A403" s="61" t="s">
        <v>850</v>
      </c>
      <c r="B403" s="125">
        <v>42916</v>
      </c>
      <c r="C403" s="61" t="s">
        <v>28602</v>
      </c>
      <c r="D403" s="61" t="s">
        <v>28607</v>
      </c>
      <c r="E403" s="61" t="s">
        <v>28603</v>
      </c>
    </row>
    <row r="404" spans="1:5" ht="12.2" customHeight="1" x14ac:dyDescent="0.2">
      <c r="A404" s="61" t="s">
        <v>850</v>
      </c>
      <c r="B404" s="125">
        <v>42916</v>
      </c>
      <c r="C404" s="61" t="s">
        <v>28599</v>
      </c>
      <c r="D404" s="61" t="s">
        <v>28604</v>
      </c>
      <c r="E404" s="61" t="s">
        <v>28600</v>
      </c>
    </row>
    <row r="405" spans="1:5" ht="12.2" customHeight="1" x14ac:dyDescent="0.2">
      <c r="A405" s="61" t="s">
        <v>850</v>
      </c>
      <c r="B405" s="125">
        <v>42916</v>
      </c>
      <c r="C405" s="61" t="s">
        <v>28594</v>
      </c>
      <c r="D405" s="61" t="s">
        <v>28601</v>
      </c>
      <c r="E405" s="61" t="s">
        <v>28595</v>
      </c>
    </row>
    <row r="406" spans="1:5" ht="12.2" customHeight="1" x14ac:dyDescent="0.2">
      <c r="A406" s="61" t="s">
        <v>850</v>
      </c>
      <c r="B406" s="125">
        <v>42916</v>
      </c>
      <c r="C406" s="61" t="s">
        <v>28591</v>
      </c>
      <c r="D406" s="61" t="s">
        <v>28596</v>
      </c>
      <c r="E406" s="61" t="s">
        <v>28592</v>
      </c>
    </row>
    <row r="407" spans="1:5" ht="12.2" customHeight="1" x14ac:dyDescent="0.2">
      <c r="A407" s="61" t="s">
        <v>850</v>
      </c>
      <c r="B407" s="125">
        <v>42907</v>
      </c>
      <c r="C407" s="61" t="s">
        <v>28585</v>
      </c>
      <c r="D407" s="61" t="s">
        <v>28593</v>
      </c>
      <c r="E407" s="61" t="s">
        <v>28586</v>
      </c>
    </row>
    <row r="408" spans="1:5" ht="12.2" customHeight="1" x14ac:dyDescent="0.2">
      <c r="A408" s="61" t="s">
        <v>850</v>
      </c>
      <c r="B408" s="125">
        <v>42907</v>
      </c>
      <c r="C408" s="61" t="s">
        <v>28582</v>
      </c>
      <c r="D408" s="61" t="s">
        <v>28587</v>
      </c>
      <c r="E408" s="61" t="s">
        <v>28583</v>
      </c>
    </row>
    <row r="409" spans="1:5" ht="12.2" customHeight="1" x14ac:dyDescent="0.2">
      <c r="A409" s="61" t="s">
        <v>850</v>
      </c>
      <c r="B409" s="125">
        <v>42901</v>
      </c>
      <c r="C409" s="61" t="s">
        <v>28579</v>
      </c>
      <c r="D409" s="61" t="s">
        <v>28584</v>
      </c>
      <c r="E409" s="61" t="s">
        <v>28580</v>
      </c>
    </row>
    <row r="410" spans="1:5" ht="12.2" customHeight="1" x14ac:dyDescent="0.2">
      <c r="A410" s="61" t="s">
        <v>850</v>
      </c>
      <c r="B410" s="125">
        <v>42901</v>
      </c>
      <c r="C410" s="61" t="s">
        <v>28576</v>
      </c>
      <c r="D410" s="61" t="s">
        <v>28581</v>
      </c>
      <c r="E410" s="61" t="s">
        <v>28577</v>
      </c>
    </row>
    <row r="411" spans="1:5" ht="12.2" customHeight="1" x14ac:dyDescent="0.2">
      <c r="A411" s="61" t="s">
        <v>850</v>
      </c>
      <c r="B411" s="125">
        <v>42901</v>
      </c>
      <c r="C411" s="61" t="s">
        <v>28566</v>
      </c>
      <c r="D411" s="61" t="s">
        <v>28578</v>
      </c>
      <c r="E411" s="61" t="s">
        <v>28567</v>
      </c>
    </row>
    <row r="412" spans="1:5" ht="12.2" customHeight="1" x14ac:dyDescent="0.2">
      <c r="A412" s="61" t="s">
        <v>850</v>
      </c>
      <c r="B412" s="125">
        <v>42901</v>
      </c>
      <c r="C412" s="61" t="s">
        <v>28561</v>
      </c>
      <c r="D412" s="61" t="s">
        <v>28568</v>
      </c>
      <c r="E412" s="61" t="s">
        <v>28562</v>
      </c>
    </row>
    <row r="413" spans="1:5" ht="12.2" customHeight="1" x14ac:dyDescent="0.2">
      <c r="A413" s="61" t="s">
        <v>850</v>
      </c>
      <c r="B413" s="125">
        <v>42901</v>
      </c>
      <c r="C413" s="61" t="s">
        <v>28516</v>
      </c>
      <c r="D413" s="61" t="s">
        <v>28563</v>
      </c>
      <c r="E413" s="61" t="s">
        <v>28551</v>
      </c>
    </row>
    <row r="414" spans="1:5" ht="12.2" customHeight="1" x14ac:dyDescent="0.2">
      <c r="A414" s="61" t="s">
        <v>850</v>
      </c>
      <c r="B414" s="125">
        <v>42900</v>
      </c>
      <c r="C414" s="61" t="s">
        <v>28516</v>
      </c>
      <c r="D414" s="61" t="s">
        <v>28552</v>
      </c>
      <c r="E414" s="61" t="s">
        <v>28544</v>
      </c>
    </row>
    <row r="415" spans="1:5" ht="12.2" customHeight="1" x14ac:dyDescent="0.2">
      <c r="A415" s="61" t="s">
        <v>850</v>
      </c>
      <c r="B415" s="125">
        <v>42900</v>
      </c>
      <c r="C415" s="61" t="s">
        <v>28516</v>
      </c>
      <c r="D415" s="61" t="s">
        <v>28545</v>
      </c>
      <c r="E415" s="1129" t="s">
        <v>28546</v>
      </c>
    </row>
    <row r="416" spans="1:5" ht="12.2" customHeight="1" x14ac:dyDescent="0.2">
      <c r="A416" s="61" t="s">
        <v>850</v>
      </c>
      <c r="B416" s="125">
        <v>42900</v>
      </c>
      <c r="C416" s="61" t="s">
        <v>28516</v>
      </c>
      <c r="D416" s="61" t="s">
        <v>28543</v>
      </c>
      <c r="E416" s="61" t="s">
        <v>28526</v>
      </c>
    </row>
    <row r="417" spans="1:5" ht="12.2" customHeight="1" x14ac:dyDescent="0.2">
      <c r="A417" s="61" t="s">
        <v>850</v>
      </c>
      <c r="B417" s="125">
        <v>42898</v>
      </c>
      <c r="C417" s="61" t="s">
        <v>28516</v>
      </c>
      <c r="D417" s="61" t="s">
        <v>28537</v>
      </c>
      <c r="E417" s="61" t="s">
        <v>28515</v>
      </c>
    </row>
    <row r="418" spans="1:5" ht="12.2" customHeight="1" x14ac:dyDescent="0.2">
      <c r="A418" s="61" t="s">
        <v>850</v>
      </c>
      <c r="B418" s="125">
        <v>42898</v>
      </c>
      <c r="C418" s="61" t="s">
        <v>28508</v>
      </c>
      <c r="D418" s="61" t="s">
        <v>28517</v>
      </c>
      <c r="E418" s="61" t="s">
        <v>28512</v>
      </c>
    </row>
    <row r="419" spans="1:5" ht="12.2" customHeight="1" x14ac:dyDescent="0.2">
      <c r="A419" s="61" t="s">
        <v>850</v>
      </c>
      <c r="B419" s="125">
        <v>42895</v>
      </c>
      <c r="C419" s="61" t="s">
        <v>28506</v>
      </c>
      <c r="D419" s="61" t="s">
        <v>28513</v>
      </c>
      <c r="E419" s="61" t="s">
        <v>28507</v>
      </c>
    </row>
    <row r="420" spans="1:5" ht="12.2" customHeight="1" x14ac:dyDescent="0.2">
      <c r="A420" s="61" t="s">
        <v>850</v>
      </c>
      <c r="B420" s="125">
        <v>42894</v>
      </c>
      <c r="C420" s="61" t="s">
        <v>28500</v>
      </c>
      <c r="D420" s="61" t="s">
        <v>28502</v>
      </c>
      <c r="E420" s="61" t="s">
        <v>28505</v>
      </c>
    </row>
    <row r="421" spans="1:5" ht="12.2" customHeight="1" x14ac:dyDescent="0.2">
      <c r="A421" s="61" t="s">
        <v>850</v>
      </c>
      <c r="B421" s="125">
        <v>42894</v>
      </c>
      <c r="C421" s="61" t="s">
        <v>28500</v>
      </c>
      <c r="D421" s="61" t="s">
        <v>28502</v>
      </c>
      <c r="E421" s="61" t="s">
        <v>28504</v>
      </c>
    </row>
    <row r="422" spans="1:5" ht="12.2" customHeight="1" x14ac:dyDescent="0.2">
      <c r="A422" s="61" t="s">
        <v>850</v>
      </c>
      <c r="B422" s="125">
        <v>42894</v>
      </c>
      <c r="C422" s="61" t="s">
        <v>28500</v>
      </c>
      <c r="D422" s="61" t="s">
        <v>28502</v>
      </c>
      <c r="E422" s="61" t="s">
        <v>28499</v>
      </c>
    </row>
    <row r="423" spans="1:5" ht="12.2" customHeight="1" x14ac:dyDescent="0.2">
      <c r="A423" s="61" t="s">
        <v>850</v>
      </c>
      <c r="B423" s="125">
        <v>42894</v>
      </c>
      <c r="C423" s="61" t="s">
        <v>28500</v>
      </c>
      <c r="D423" s="61" t="s">
        <v>28502</v>
      </c>
      <c r="E423" s="61" t="s">
        <v>28499</v>
      </c>
    </row>
    <row r="424" spans="1:5" ht="12.2" customHeight="1" x14ac:dyDescent="0.2">
      <c r="A424" s="61" t="s">
        <v>850</v>
      </c>
      <c r="B424" s="125">
        <v>42894</v>
      </c>
      <c r="C424" s="61" t="s">
        <v>28496</v>
      </c>
      <c r="D424" s="61" t="s">
        <v>28501</v>
      </c>
      <c r="E424" s="61" t="s">
        <v>28497</v>
      </c>
    </row>
    <row r="425" spans="1:5" ht="12.2" customHeight="1" x14ac:dyDescent="0.2">
      <c r="A425" s="61" t="s">
        <v>850</v>
      </c>
      <c r="B425" s="125">
        <v>42894</v>
      </c>
      <c r="C425" s="61" t="s">
        <v>28490</v>
      </c>
      <c r="D425" s="61" t="s">
        <v>28498</v>
      </c>
      <c r="E425" s="61" t="s">
        <v>28489</v>
      </c>
    </row>
    <row r="426" spans="1:5" ht="12.2" customHeight="1" x14ac:dyDescent="0.2">
      <c r="A426" s="61" t="s">
        <v>850</v>
      </c>
      <c r="B426" s="125">
        <v>42893</v>
      </c>
      <c r="C426" s="61" t="s">
        <v>28487</v>
      </c>
      <c r="D426" s="61" t="s">
        <v>28491</v>
      </c>
      <c r="E426" s="61" t="s">
        <v>28486</v>
      </c>
    </row>
    <row r="427" spans="1:5" ht="12.2" customHeight="1" x14ac:dyDescent="0.2">
      <c r="A427" s="61" t="s">
        <v>850</v>
      </c>
      <c r="B427" s="125">
        <v>42893</v>
      </c>
      <c r="C427" s="61" t="s">
        <v>28483</v>
      </c>
      <c r="D427" s="61" t="s">
        <v>28488</v>
      </c>
      <c r="E427" s="61" t="s">
        <v>28484</v>
      </c>
    </row>
    <row r="428" spans="1:5" ht="12.2" customHeight="1" x14ac:dyDescent="0.2">
      <c r="A428" s="61" t="s">
        <v>850</v>
      </c>
      <c r="B428" s="125">
        <v>42893</v>
      </c>
      <c r="C428" s="61" t="s">
        <v>28479</v>
      </c>
      <c r="D428" s="61" t="s">
        <v>28485</v>
      </c>
      <c r="E428" s="61" t="s">
        <v>28478</v>
      </c>
    </row>
    <row r="429" spans="1:5" ht="12.2" customHeight="1" x14ac:dyDescent="0.2">
      <c r="A429" s="61" t="s">
        <v>850</v>
      </c>
      <c r="B429" s="125">
        <v>42892</v>
      </c>
      <c r="C429" s="61" t="s">
        <v>28475</v>
      </c>
      <c r="D429" s="61" t="s">
        <v>28480</v>
      </c>
      <c r="E429" s="61" t="s">
        <v>28476</v>
      </c>
    </row>
    <row r="430" spans="1:5" ht="12.2" customHeight="1" x14ac:dyDescent="0.2">
      <c r="A430" s="61" t="s">
        <v>850</v>
      </c>
      <c r="B430" s="125">
        <v>42892</v>
      </c>
      <c r="C430" s="61" t="s">
        <v>28474</v>
      </c>
      <c r="D430" s="61" t="s">
        <v>28477</v>
      </c>
      <c r="E430" s="61" t="s">
        <v>28473</v>
      </c>
    </row>
    <row r="431" spans="1:5" ht="12.2" customHeight="1" x14ac:dyDescent="0.2">
      <c r="A431" s="61" t="s">
        <v>850</v>
      </c>
      <c r="B431" s="125">
        <v>42892</v>
      </c>
      <c r="C431" s="61" t="s">
        <v>28466</v>
      </c>
      <c r="D431" s="61" t="s">
        <v>28470</v>
      </c>
      <c r="E431" s="61" t="s">
        <v>28472</v>
      </c>
    </row>
    <row r="432" spans="1:5" ht="12.2" customHeight="1" x14ac:dyDescent="0.2">
      <c r="A432" s="61" t="s">
        <v>850</v>
      </c>
      <c r="B432" s="125">
        <v>42892</v>
      </c>
      <c r="C432" s="61" t="s">
        <v>28466</v>
      </c>
      <c r="D432" s="61" t="s">
        <v>28470</v>
      </c>
      <c r="E432" s="61" t="s">
        <v>28469</v>
      </c>
    </row>
    <row r="433" spans="1:5" ht="12.2" customHeight="1" x14ac:dyDescent="0.2">
      <c r="A433" s="61" t="s">
        <v>850</v>
      </c>
      <c r="B433" s="125">
        <v>42892</v>
      </c>
      <c r="C433" s="61" t="s">
        <v>28466</v>
      </c>
      <c r="D433" s="61" t="s">
        <v>28470</v>
      </c>
      <c r="E433" s="61" t="s">
        <v>28467</v>
      </c>
    </row>
    <row r="434" spans="1:5" ht="12.2" customHeight="1" x14ac:dyDescent="0.2">
      <c r="A434" s="61" t="s">
        <v>850</v>
      </c>
      <c r="B434" s="125">
        <v>42888</v>
      </c>
      <c r="C434" s="61" t="s">
        <v>28462</v>
      </c>
      <c r="D434" s="61" t="s">
        <v>28468</v>
      </c>
      <c r="E434" s="61" t="s">
        <v>28463</v>
      </c>
    </row>
    <row r="435" spans="1:5" ht="12.2" customHeight="1" x14ac:dyDescent="0.2">
      <c r="A435" s="61" t="s">
        <v>850</v>
      </c>
      <c r="B435" s="125">
        <v>42888</v>
      </c>
      <c r="C435" s="61" t="s">
        <v>28459</v>
      </c>
      <c r="D435" s="61" t="s">
        <v>28464</v>
      </c>
      <c r="E435" s="61" t="s">
        <v>28460</v>
      </c>
    </row>
    <row r="436" spans="1:5" ht="12.2" customHeight="1" x14ac:dyDescent="0.2">
      <c r="A436" s="61" t="s">
        <v>850</v>
      </c>
      <c r="B436" s="125">
        <v>42887</v>
      </c>
      <c r="C436" s="61" t="s">
        <v>28457</v>
      </c>
      <c r="D436" s="61" t="s">
        <v>28461</v>
      </c>
      <c r="E436" s="61" t="s">
        <v>28456</v>
      </c>
    </row>
    <row r="437" spans="1:5" ht="12.2" customHeight="1" x14ac:dyDescent="0.2">
      <c r="A437" s="61" t="s">
        <v>850</v>
      </c>
      <c r="B437" s="125">
        <v>42887</v>
      </c>
      <c r="C437" s="61" t="s">
        <v>28452</v>
      </c>
      <c r="D437" s="61" t="s">
        <v>28458</v>
      </c>
      <c r="E437" s="61" t="s">
        <v>28453</v>
      </c>
    </row>
    <row r="438" spans="1:5" ht="12.2" customHeight="1" x14ac:dyDescent="0.2">
      <c r="A438" s="61" t="s">
        <v>850</v>
      </c>
      <c r="B438" s="125">
        <v>42887</v>
      </c>
      <c r="C438" s="61" t="s">
        <v>28446</v>
      </c>
      <c r="D438" s="61" t="s">
        <v>28455</v>
      </c>
      <c r="E438" s="61" t="s">
        <v>28445</v>
      </c>
    </row>
    <row r="439" spans="1:5" ht="12.2" customHeight="1" x14ac:dyDescent="0.2">
      <c r="A439" s="61" t="s">
        <v>850</v>
      </c>
      <c r="B439" s="125">
        <v>42887</v>
      </c>
      <c r="C439" s="61" t="s">
        <v>28423</v>
      </c>
      <c r="D439" s="61" t="s">
        <v>28447</v>
      </c>
      <c r="E439" s="61" t="s">
        <v>28422</v>
      </c>
    </row>
    <row r="440" spans="1:5" ht="12.2" customHeight="1" x14ac:dyDescent="0.2">
      <c r="A440" s="61" t="s">
        <v>850</v>
      </c>
      <c r="B440" s="125">
        <v>42885</v>
      </c>
      <c r="C440" s="61" t="s">
        <v>28419</v>
      </c>
      <c r="D440" s="61" t="s">
        <v>28424</v>
      </c>
      <c r="E440" s="61" t="s">
        <v>28420</v>
      </c>
    </row>
    <row r="441" spans="1:5" ht="12.2" customHeight="1" x14ac:dyDescent="0.2">
      <c r="A441" s="61" t="s">
        <v>850</v>
      </c>
      <c r="B441" s="125">
        <v>42879</v>
      </c>
      <c r="C441" s="61" t="s">
        <v>28416</v>
      </c>
      <c r="D441" s="61" t="s">
        <v>28421</v>
      </c>
      <c r="E441" s="61" t="s">
        <v>28417</v>
      </c>
    </row>
    <row r="442" spans="1:5" ht="12.2" customHeight="1" x14ac:dyDescent="0.2">
      <c r="A442" s="61" t="s">
        <v>850</v>
      </c>
      <c r="B442" s="125">
        <v>42871</v>
      </c>
      <c r="C442" s="61" t="s">
        <v>28414</v>
      </c>
      <c r="D442" s="61" t="s">
        <v>28418</v>
      </c>
      <c r="E442" s="61" t="s">
        <v>28413</v>
      </c>
    </row>
    <row r="443" spans="1:5" ht="12.2" customHeight="1" x14ac:dyDescent="0.2">
      <c r="A443" s="61" t="s">
        <v>850</v>
      </c>
      <c r="B443" s="125">
        <v>42866</v>
      </c>
      <c r="C443" s="61" t="s">
        <v>28410</v>
      </c>
      <c r="D443" s="61" t="s">
        <v>28415</v>
      </c>
      <c r="E443" s="61" t="s">
        <v>28411</v>
      </c>
    </row>
    <row r="444" spans="1:5" ht="12.2" customHeight="1" x14ac:dyDescent="0.2">
      <c r="A444" s="61" t="s">
        <v>850</v>
      </c>
      <c r="B444" s="125">
        <v>42866</v>
      </c>
      <c r="C444" s="61" t="s">
        <v>28404</v>
      </c>
      <c r="D444" s="61" t="s">
        <v>28407</v>
      </c>
      <c r="E444" s="61"/>
    </row>
    <row r="445" spans="1:5" ht="12.2" customHeight="1" x14ac:dyDescent="0.2">
      <c r="A445" s="61" t="s">
        <v>850</v>
      </c>
      <c r="B445" s="125">
        <v>42866</v>
      </c>
      <c r="C445" s="61" t="s">
        <v>28404</v>
      </c>
      <c r="D445" s="61" t="s">
        <v>28407</v>
      </c>
      <c r="E445" s="61"/>
    </row>
    <row r="446" spans="1:5" ht="12.2" customHeight="1" x14ac:dyDescent="0.2">
      <c r="A446" s="61" t="s">
        <v>850</v>
      </c>
      <c r="B446" s="125">
        <v>42865</v>
      </c>
      <c r="C446" s="61" t="s">
        <v>28404</v>
      </c>
      <c r="D446" s="61" t="s">
        <v>28407</v>
      </c>
      <c r="E446" s="61" t="s">
        <v>28405</v>
      </c>
    </row>
    <row r="447" spans="1:5" ht="12.2" customHeight="1" x14ac:dyDescent="0.2">
      <c r="A447" s="61" t="s">
        <v>850</v>
      </c>
      <c r="B447" s="125">
        <v>42865</v>
      </c>
      <c r="C447" s="61" t="s">
        <v>28397</v>
      </c>
      <c r="D447" s="61" t="s">
        <v>28406</v>
      </c>
      <c r="E447" s="61" t="s">
        <v>28398</v>
      </c>
    </row>
    <row r="448" spans="1:5" ht="12.2" customHeight="1" x14ac:dyDescent="0.2">
      <c r="A448" s="61" t="s">
        <v>850</v>
      </c>
      <c r="B448" s="125">
        <v>42850</v>
      </c>
      <c r="C448" s="61" t="s">
        <v>28395</v>
      </c>
      <c r="D448" s="61" t="s">
        <v>28401</v>
      </c>
      <c r="E448" s="61" t="s">
        <v>28394</v>
      </c>
    </row>
    <row r="449" spans="1:5" ht="12.2" customHeight="1" x14ac:dyDescent="0.2">
      <c r="A449" s="61" t="s">
        <v>850</v>
      </c>
      <c r="B449" s="125">
        <v>42850</v>
      </c>
      <c r="C449" s="61" t="s">
        <v>28391</v>
      </c>
      <c r="D449" s="61" t="s">
        <v>28396</v>
      </c>
      <c r="E449" s="61" t="s">
        <v>28392</v>
      </c>
    </row>
    <row r="450" spans="1:5" ht="12.2" customHeight="1" x14ac:dyDescent="0.2">
      <c r="A450" s="61" t="s">
        <v>850</v>
      </c>
      <c r="B450" s="125">
        <v>42839</v>
      </c>
      <c r="C450" s="61" t="s">
        <v>28389</v>
      </c>
      <c r="D450" s="61" t="s">
        <v>28393</v>
      </c>
      <c r="E450" s="61" t="s">
        <v>28390</v>
      </c>
    </row>
    <row r="451" spans="1:5" ht="12.2" customHeight="1" x14ac:dyDescent="0.2">
      <c r="A451" s="61" t="s">
        <v>850</v>
      </c>
      <c r="B451" s="125">
        <v>42839</v>
      </c>
      <c r="C451" s="61" t="s">
        <v>28377</v>
      </c>
      <c r="D451" s="61" t="s">
        <v>28380</v>
      </c>
      <c r="E451" s="61"/>
    </row>
    <row r="452" spans="1:5" ht="12.2" customHeight="1" x14ac:dyDescent="0.2">
      <c r="A452" s="61" t="s">
        <v>850</v>
      </c>
      <c r="B452" s="125">
        <v>42839</v>
      </c>
      <c r="C452" s="61" t="s">
        <v>28377</v>
      </c>
      <c r="D452" s="61" t="s">
        <v>28380</v>
      </c>
      <c r="E452" s="61" t="s">
        <v>28378</v>
      </c>
    </row>
    <row r="453" spans="1:5" ht="12.2" customHeight="1" x14ac:dyDescent="0.2">
      <c r="A453" s="61" t="s">
        <v>850</v>
      </c>
      <c r="B453" s="125">
        <v>42839</v>
      </c>
      <c r="C453" s="61" t="s">
        <v>28374</v>
      </c>
      <c r="D453" s="61" t="s">
        <v>28379</v>
      </c>
      <c r="E453" s="61" t="s">
        <v>28375</v>
      </c>
    </row>
    <row r="454" spans="1:5" ht="12.2" customHeight="1" x14ac:dyDescent="0.2">
      <c r="A454" s="61" t="s">
        <v>850</v>
      </c>
      <c r="B454" s="125">
        <v>42839</v>
      </c>
      <c r="C454" s="61" t="s">
        <v>28341</v>
      </c>
      <c r="D454" s="61" t="s">
        <v>28376</v>
      </c>
      <c r="E454" s="61" t="s">
        <v>28342</v>
      </c>
    </row>
    <row r="455" spans="1:5" ht="12.2" customHeight="1" x14ac:dyDescent="0.2">
      <c r="A455" s="61" t="s">
        <v>850</v>
      </c>
      <c r="B455" s="125">
        <v>42839</v>
      </c>
      <c r="C455" s="61" t="s">
        <v>28338</v>
      </c>
      <c r="D455" s="61" t="s">
        <v>28360</v>
      </c>
      <c r="E455" s="61" t="s">
        <v>28339</v>
      </c>
    </row>
    <row r="456" spans="1:5" ht="12.2" customHeight="1" x14ac:dyDescent="0.2">
      <c r="A456" s="61" t="s">
        <v>850</v>
      </c>
      <c r="B456" s="125">
        <v>42839</v>
      </c>
      <c r="C456" s="61" t="s">
        <v>28335</v>
      </c>
      <c r="D456" s="61" t="s">
        <v>28340</v>
      </c>
      <c r="E456" s="61" t="s">
        <v>28336</v>
      </c>
    </row>
    <row r="457" spans="1:5" ht="12.2" customHeight="1" x14ac:dyDescent="0.2">
      <c r="A457" s="61" t="s">
        <v>850</v>
      </c>
      <c r="B457" s="125">
        <v>42838</v>
      </c>
      <c r="C457" s="61" t="s">
        <v>28315</v>
      </c>
      <c r="D457" s="61" t="s">
        <v>28337</v>
      </c>
      <c r="E457" s="61" t="s">
        <v>28316</v>
      </c>
    </row>
    <row r="458" spans="1:5" ht="12.2" customHeight="1" x14ac:dyDescent="0.2">
      <c r="A458" s="61" t="s">
        <v>850</v>
      </c>
      <c r="B458" s="125">
        <v>42832</v>
      </c>
      <c r="C458" s="61" t="s">
        <v>28306</v>
      </c>
      <c r="D458" s="61" t="s">
        <v>28317</v>
      </c>
      <c r="E458" s="61" t="s">
        <v>28307</v>
      </c>
    </row>
    <row r="459" spans="1:5" ht="12.2" customHeight="1" x14ac:dyDescent="0.2">
      <c r="A459" s="61" t="s">
        <v>850</v>
      </c>
      <c r="B459" s="125">
        <v>42828</v>
      </c>
      <c r="C459" s="61" t="s">
        <v>28303</v>
      </c>
      <c r="D459" s="61" t="s">
        <v>28308</v>
      </c>
      <c r="E459" s="61" t="s">
        <v>28304</v>
      </c>
    </row>
    <row r="460" spans="1:5" ht="12.2" customHeight="1" x14ac:dyDescent="0.2">
      <c r="A460" s="61" t="s">
        <v>850</v>
      </c>
      <c r="B460" s="125">
        <v>42828</v>
      </c>
      <c r="C460" s="61" t="s">
        <v>28300</v>
      </c>
      <c r="D460" s="61" t="s">
        <v>28305</v>
      </c>
      <c r="E460" s="61" t="s">
        <v>28301</v>
      </c>
    </row>
    <row r="461" spans="1:5" ht="12.2" customHeight="1" x14ac:dyDescent="0.2">
      <c r="A461" s="61" t="s">
        <v>850</v>
      </c>
      <c r="B461" s="125">
        <v>42824</v>
      </c>
      <c r="C461" s="61" t="s">
        <v>28296</v>
      </c>
      <c r="D461" s="61" t="s">
        <v>28302</v>
      </c>
      <c r="E461" s="61" t="s">
        <v>28297</v>
      </c>
    </row>
    <row r="462" spans="1:5" ht="12.2" customHeight="1" x14ac:dyDescent="0.2">
      <c r="A462" s="61" t="s">
        <v>850</v>
      </c>
      <c r="B462" s="125">
        <v>42824</v>
      </c>
      <c r="C462" s="61" t="s">
        <v>28290</v>
      </c>
      <c r="D462" s="61" t="s">
        <v>28294</v>
      </c>
      <c r="E462" s="61" t="s">
        <v>28293</v>
      </c>
    </row>
    <row r="463" spans="1:5" ht="12.2" customHeight="1" x14ac:dyDescent="0.2">
      <c r="A463" s="61" t="s">
        <v>850</v>
      </c>
      <c r="B463" s="125">
        <v>42824</v>
      </c>
      <c r="C463" s="61" t="s">
        <v>28290</v>
      </c>
      <c r="D463" s="61" t="s">
        <v>28294</v>
      </c>
      <c r="E463" s="61" t="s">
        <v>28291</v>
      </c>
    </row>
    <row r="464" spans="1:5" ht="12.2" customHeight="1" x14ac:dyDescent="0.2">
      <c r="A464" s="61" t="s">
        <v>850</v>
      </c>
      <c r="B464" s="125">
        <v>42800</v>
      </c>
      <c r="C464" s="61" t="s">
        <v>28287</v>
      </c>
      <c r="D464" s="61" t="s">
        <v>28292</v>
      </c>
      <c r="E464" s="61" t="s">
        <v>28288</v>
      </c>
    </row>
    <row r="465" spans="1:5" ht="12.2" customHeight="1" x14ac:dyDescent="0.2">
      <c r="A465" s="61" t="s">
        <v>850</v>
      </c>
      <c r="B465" s="125">
        <v>42796</v>
      </c>
      <c r="C465" s="61" t="s">
        <v>28282</v>
      </c>
      <c r="D465" s="61" t="s">
        <v>28289</v>
      </c>
      <c r="E465" s="61" t="s">
        <v>28283</v>
      </c>
    </row>
    <row r="466" spans="1:5" ht="12.2" customHeight="1" x14ac:dyDescent="0.2">
      <c r="A466" s="61" t="s">
        <v>850</v>
      </c>
      <c r="B466" s="125">
        <v>42796</v>
      </c>
      <c r="C466" s="61" t="s">
        <v>28279</v>
      </c>
      <c r="D466" s="61" t="s">
        <v>28284</v>
      </c>
      <c r="E466" s="61" t="s">
        <v>28280</v>
      </c>
    </row>
    <row r="467" spans="1:5" ht="12.2" customHeight="1" x14ac:dyDescent="0.2">
      <c r="A467" s="61" t="s">
        <v>850</v>
      </c>
      <c r="B467" s="125">
        <v>42795</v>
      </c>
      <c r="C467" s="61" t="s">
        <v>28276</v>
      </c>
      <c r="D467" s="61" t="s">
        <v>28281</v>
      </c>
      <c r="E467" s="61" t="s">
        <v>28277</v>
      </c>
    </row>
    <row r="468" spans="1:5" ht="12.2" customHeight="1" x14ac:dyDescent="0.2">
      <c r="A468" s="61" t="s">
        <v>850</v>
      </c>
      <c r="B468" s="125">
        <v>42794</v>
      </c>
      <c r="C468" s="61" t="s">
        <v>28273</v>
      </c>
      <c r="D468" s="61" t="s">
        <v>28278</v>
      </c>
      <c r="E468" s="61" t="s">
        <v>28274</v>
      </c>
    </row>
    <row r="469" spans="1:5" ht="12.2" customHeight="1" x14ac:dyDescent="0.2">
      <c r="A469" s="61" t="s">
        <v>850</v>
      </c>
      <c r="B469" s="125">
        <v>42787</v>
      </c>
      <c r="C469" s="61" t="s">
        <v>28270</v>
      </c>
      <c r="D469" s="61" t="s">
        <v>28275</v>
      </c>
      <c r="E469" s="61" t="s">
        <v>28271</v>
      </c>
    </row>
    <row r="470" spans="1:5" ht="12.2" customHeight="1" x14ac:dyDescent="0.2">
      <c r="A470" s="61" t="s">
        <v>850</v>
      </c>
      <c r="B470" s="125">
        <v>42786</v>
      </c>
      <c r="C470" s="61" t="s">
        <v>28266</v>
      </c>
      <c r="D470" s="61" t="s">
        <v>28272</v>
      </c>
      <c r="E470" s="61" t="s">
        <v>28265</v>
      </c>
    </row>
    <row r="471" spans="1:5" ht="12.2" customHeight="1" x14ac:dyDescent="0.2">
      <c r="A471" s="61" t="s">
        <v>850</v>
      </c>
      <c r="B471" s="125">
        <v>42784</v>
      </c>
      <c r="C471" s="61" t="s">
        <v>28263</v>
      </c>
      <c r="D471" s="61" t="s">
        <v>28267</v>
      </c>
      <c r="E471" s="61" t="s">
        <v>28264</v>
      </c>
    </row>
    <row r="472" spans="1:5" ht="12.2" customHeight="1" x14ac:dyDescent="0.2">
      <c r="A472" s="61" t="s">
        <v>850</v>
      </c>
      <c r="B472" s="125">
        <v>42784</v>
      </c>
      <c r="C472" s="61" t="s">
        <v>28259</v>
      </c>
      <c r="D472" s="61" t="s">
        <v>28262</v>
      </c>
      <c r="E472" s="61"/>
    </row>
    <row r="473" spans="1:5" ht="12.2" customHeight="1" x14ac:dyDescent="0.2">
      <c r="A473" s="61" t="s">
        <v>850</v>
      </c>
      <c r="B473" s="125">
        <v>42784</v>
      </c>
      <c r="C473" s="61" t="s">
        <v>28259</v>
      </c>
      <c r="D473" s="61" t="s">
        <v>28262</v>
      </c>
      <c r="E473" s="61" t="s">
        <v>28261</v>
      </c>
    </row>
    <row r="474" spans="1:5" ht="12.2" customHeight="1" x14ac:dyDescent="0.2">
      <c r="A474" s="61" t="s">
        <v>850</v>
      </c>
      <c r="B474" s="125">
        <v>42784</v>
      </c>
      <c r="C474" s="61" t="s">
        <v>28252</v>
      </c>
      <c r="D474" s="61" t="s">
        <v>28255</v>
      </c>
      <c r="E474" s="61"/>
    </row>
    <row r="475" spans="1:5" ht="12.2" customHeight="1" x14ac:dyDescent="0.2">
      <c r="A475" s="61" t="s">
        <v>850</v>
      </c>
      <c r="B475" s="125">
        <v>42784</v>
      </c>
      <c r="C475" s="61" t="s">
        <v>28252</v>
      </c>
      <c r="D475" s="61" t="s">
        <v>28255</v>
      </c>
      <c r="E475" s="61" t="s">
        <v>28253</v>
      </c>
    </row>
    <row r="476" spans="1:5" ht="12.2" customHeight="1" x14ac:dyDescent="0.2">
      <c r="A476" s="61" t="s">
        <v>850</v>
      </c>
      <c r="B476" s="125">
        <v>42783</v>
      </c>
      <c r="C476" s="61" t="s">
        <v>28250</v>
      </c>
      <c r="D476" s="61" t="s">
        <v>28254</v>
      </c>
      <c r="E476" s="61" t="s">
        <v>28251</v>
      </c>
    </row>
    <row r="477" spans="1:5" ht="12.2" customHeight="1" x14ac:dyDescent="0.2">
      <c r="A477" s="61" t="s">
        <v>850</v>
      </c>
      <c r="B477" s="125">
        <v>42783</v>
      </c>
      <c r="C477" s="61" t="s">
        <v>28245</v>
      </c>
      <c r="D477" s="61" t="s">
        <v>28249</v>
      </c>
      <c r="E477" s="61"/>
    </row>
    <row r="478" spans="1:5" ht="12.2" customHeight="1" x14ac:dyDescent="0.2">
      <c r="A478" s="61" t="s">
        <v>850</v>
      </c>
      <c r="B478" s="125">
        <v>42783</v>
      </c>
      <c r="C478" s="61" t="s">
        <v>28245</v>
      </c>
      <c r="D478" s="61" t="s">
        <v>28249</v>
      </c>
      <c r="E478" s="61"/>
    </row>
    <row r="479" spans="1:5" ht="12.2" customHeight="1" x14ac:dyDescent="0.2">
      <c r="A479" s="61" t="s">
        <v>850</v>
      </c>
      <c r="B479" s="125">
        <v>42783</v>
      </c>
      <c r="C479" s="61" t="s">
        <v>28245</v>
      </c>
      <c r="D479" s="61" t="s">
        <v>28247</v>
      </c>
      <c r="E479" s="61" t="s">
        <v>28246</v>
      </c>
    </row>
    <row r="480" spans="1:5" ht="12.2" customHeight="1" x14ac:dyDescent="0.2">
      <c r="A480" s="61" t="s">
        <v>850</v>
      </c>
      <c r="B480" s="125">
        <v>42783</v>
      </c>
      <c r="C480" s="61" t="s">
        <v>28239</v>
      </c>
      <c r="D480" s="61" t="s">
        <v>28242</v>
      </c>
      <c r="E480" s="61" t="s">
        <v>28241</v>
      </c>
    </row>
    <row r="481" spans="1:5" ht="12.2" customHeight="1" x14ac:dyDescent="0.2">
      <c r="A481" s="61" t="s">
        <v>850</v>
      </c>
      <c r="B481" s="125">
        <v>42783</v>
      </c>
      <c r="C481" s="61" t="s">
        <v>28239</v>
      </c>
      <c r="D481" s="61" t="s">
        <v>28242</v>
      </c>
      <c r="E481" s="61" t="s">
        <v>28237</v>
      </c>
    </row>
    <row r="482" spans="1:5" ht="12.2" customHeight="1" x14ac:dyDescent="0.2">
      <c r="A482" s="61" t="s">
        <v>850</v>
      </c>
      <c r="B482" s="125">
        <v>42782</v>
      </c>
      <c r="C482" s="61" t="s">
        <v>28235</v>
      </c>
      <c r="D482" s="61" t="s">
        <v>28240</v>
      </c>
      <c r="E482" s="61" t="s">
        <v>28234</v>
      </c>
    </row>
    <row r="483" spans="1:5" ht="12.2" customHeight="1" x14ac:dyDescent="0.2">
      <c r="A483" s="61" t="s">
        <v>850</v>
      </c>
      <c r="B483" s="125">
        <v>42782</v>
      </c>
      <c r="C483" s="61" t="s">
        <v>28220</v>
      </c>
      <c r="D483" s="61" t="s">
        <v>28236</v>
      </c>
      <c r="E483" s="61" t="s">
        <v>28221</v>
      </c>
    </row>
    <row r="484" spans="1:5" ht="12.2" customHeight="1" x14ac:dyDescent="0.2">
      <c r="A484" s="61" t="s">
        <v>850</v>
      </c>
      <c r="B484" s="125">
        <v>42782</v>
      </c>
      <c r="C484" s="61" t="s">
        <v>28216</v>
      </c>
      <c r="D484" s="61" t="s">
        <v>28222</v>
      </c>
      <c r="E484" s="61" t="s">
        <v>28217</v>
      </c>
    </row>
    <row r="485" spans="1:5" ht="12.2" customHeight="1" x14ac:dyDescent="0.2">
      <c r="A485" s="61" t="s">
        <v>850</v>
      </c>
      <c r="B485" s="125">
        <v>42782</v>
      </c>
      <c r="C485" s="61" t="s">
        <v>28213</v>
      </c>
      <c r="D485" s="61" t="s">
        <v>28218</v>
      </c>
      <c r="E485" s="61" t="s">
        <v>28214</v>
      </c>
    </row>
    <row r="486" spans="1:5" ht="12.2" customHeight="1" x14ac:dyDescent="0.2">
      <c r="A486" s="61" t="s">
        <v>850</v>
      </c>
      <c r="B486" s="125">
        <v>42782</v>
      </c>
      <c r="C486" s="61" t="s">
        <v>28210</v>
      </c>
      <c r="D486" s="61" t="s">
        <v>28215</v>
      </c>
      <c r="E486" s="61" t="s">
        <v>28211</v>
      </c>
    </row>
    <row r="487" spans="1:5" ht="12.2" customHeight="1" x14ac:dyDescent="0.2">
      <c r="A487" s="61" t="s">
        <v>850</v>
      </c>
      <c r="B487" s="125">
        <v>42780</v>
      </c>
      <c r="C487" s="61" t="s">
        <v>28207</v>
      </c>
      <c r="D487" s="61" t="s">
        <v>28212</v>
      </c>
      <c r="E487" s="61" t="s">
        <v>28208</v>
      </c>
    </row>
    <row r="488" spans="1:5" ht="12.2" customHeight="1" x14ac:dyDescent="0.2">
      <c r="A488" s="61" t="s">
        <v>850</v>
      </c>
      <c r="B488" s="125">
        <v>42780</v>
      </c>
      <c r="C488" s="61" t="s">
        <v>28204</v>
      </c>
      <c r="D488" s="61" t="s">
        <v>28209</v>
      </c>
      <c r="E488" s="61" t="s">
        <v>28205</v>
      </c>
    </row>
    <row r="489" spans="1:5" ht="12.2" customHeight="1" x14ac:dyDescent="0.2">
      <c r="A489" s="61" t="s">
        <v>850</v>
      </c>
      <c r="B489" s="125">
        <v>42780</v>
      </c>
      <c r="C489" s="61" t="s">
        <v>28202</v>
      </c>
      <c r="D489" s="61" t="s">
        <v>28206</v>
      </c>
      <c r="E489" s="61" t="s">
        <v>28201</v>
      </c>
    </row>
    <row r="490" spans="1:5" ht="12.2" customHeight="1" x14ac:dyDescent="0.2">
      <c r="A490" s="61" t="s">
        <v>850</v>
      </c>
      <c r="B490" s="125">
        <v>42780</v>
      </c>
      <c r="C490" s="61" t="s">
        <v>28198</v>
      </c>
      <c r="D490" s="61" t="s">
        <v>28203</v>
      </c>
      <c r="E490" s="61" t="s">
        <v>28199</v>
      </c>
    </row>
    <row r="491" spans="1:5" ht="12.2" customHeight="1" x14ac:dyDescent="0.2">
      <c r="A491" s="61" t="s">
        <v>850</v>
      </c>
      <c r="B491" s="125">
        <v>42780</v>
      </c>
      <c r="C491" s="61" t="s">
        <v>28195</v>
      </c>
      <c r="D491" s="61" t="s">
        <v>28200</v>
      </c>
      <c r="E491" s="61" t="s">
        <v>28196</v>
      </c>
    </row>
    <row r="492" spans="1:5" ht="12.2" customHeight="1" x14ac:dyDescent="0.2">
      <c r="A492" s="61" t="s">
        <v>850</v>
      </c>
      <c r="B492" s="125">
        <v>42780</v>
      </c>
      <c r="C492" s="61" t="s">
        <v>28192</v>
      </c>
      <c r="D492" s="61" t="s">
        <v>28197</v>
      </c>
      <c r="E492" s="61" t="s">
        <v>28193</v>
      </c>
    </row>
    <row r="493" spans="1:5" ht="12.2" customHeight="1" x14ac:dyDescent="0.2">
      <c r="A493" s="61" t="s">
        <v>850</v>
      </c>
      <c r="B493" s="125">
        <v>42779</v>
      </c>
      <c r="C493" s="61" t="s">
        <v>28189</v>
      </c>
      <c r="D493" s="61" t="s">
        <v>28194</v>
      </c>
      <c r="E493" s="61" t="s">
        <v>28190</v>
      </c>
    </row>
    <row r="494" spans="1:5" ht="12.2" customHeight="1" x14ac:dyDescent="0.2">
      <c r="A494" s="61" t="s">
        <v>850</v>
      </c>
      <c r="B494" s="125">
        <v>42779</v>
      </c>
      <c r="C494" s="61" t="s">
        <v>28186</v>
      </c>
      <c r="D494" s="61" t="s">
        <v>28191</v>
      </c>
      <c r="E494" s="61" t="s">
        <v>28187</v>
      </c>
    </row>
    <row r="495" spans="1:5" ht="12.2" customHeight="1" x14ac:dyDescent="0.2">
      <c r="A495" s="61" t="s">
        <v>850</v>
      </c>
      <c r="B495" s="125">
        <v>42773</v>
      </c>
      <c r="C495" s="61" t="s">
        <v>28164</v>
      </c>
      <c r="D495" s="61" t="s">
        <v>28188</v>
      </c>
      <c r="E495" s="61" t="s">
        <v>28163</v>
      </c>
    </row>
    <row r="496" spans="1:5" ht="12.2" customHeight="1" x14ac:dyDescent="0.2">
      <c r="A496" s="61" t="s">
        <v>850</v>
      </c>
      <c r="B496" s="125">
        <v>42745</v>
      </c>
      <c r="C496" s="61" t="s">
        <v>28154</v>
      </c>
      <c r="D496" s="61" t="s">
        <v>28165</v>
      </c>
      <c r="E496" s="61" t="s">
        <v>28157</v>
      </c>
    </row>
    <row r="497" spans="1:5" ht="12.2" customHeight="1" x14ac:dyDescent="0.2">
      <c r="A497" s="61" t="s">
        <v>850</v>
      </c>
      <c r="B497" s="125">
        <v>42741</v>
      </c>
      <c r="C497" s="61" t="s">
        <v>28151</v>
      </c>
      <c r="D497" s="61" t="s">
        <v>28158</v>
      </c>
      <c r="E497" s="61" t="s">
        <v>28152</v>
      </c>
    </row>
    <row r="498" spans="1:5" ht="12.2" customHeight="1" x14ac:dyDescent="0.2">
      <c r="A498" s="61" t="s">
        <v>850</v>
      </c>
      <c r="B498" s="125">
        <v>42724</v>
      </c>
      <c r="C498" s="61" t="s">
        <v>28149</v>
      </c>
      <c r="D498" s="61" t="s">
        <v>28153</v>
      </c>
      <c r="E498" s="61" t="s">
        <v>28148</v>
      </c>
    </row>
    <row r="499" spans="1:5" ht="12.2" customHeight="1" x14ac:dyDescent="0.2">
      <c r="A499" s="61" t="s">
        <v>850</v>
      </c>
      <c r="B499" s="125">
        <v>42718</v>
      </c>
      <c r="C499" s="61" t="s">
        <v>28146</v>
      </c>
      <c r="D499" s="61" t="s">
        <v>28150</v>
      </c>
      <c r="E499" s="61" t="s">
        <v>28145</v>
      </c>
    </row>
    <row r="500" spans="1:5" ht="12.2" customHeight="1" x14ac:dyDescent="0.2">
      <c r="A500" s="61" t="s">
        <v>850</v>
      </c>
      <c r="B500" s="125">
        <v>42711</v>
      </c>
      <c r="C500" s="61" t="s">
        <v>28140</v>
      </c>
      <c r="D500" s="61" t="s">
        <v>28147</v>
      </c>
      <c r="E500" s="61" t="s">
        <v>28141</v>
      </c>
    </row>
    <row r="501" spans="1:5" ht="12.2" customHeight="1" x14ac:dyDescent="0.2">
      <c r="A501" s="61" t="s">
        <v>850</v>
      </c>
      <c r="B501" s="125">
        <v>42710</v>
      </c>
      <c r="C501" s="61" t="s">
        <v>28138</v>
      </c>
      <c r="D501" s="61" t="s">
        <v>28142</v>
      </c>
      <c r="E501" s="61" t="s">
        <v>28137</v>
      </c>
    </row>
    <row r="502" spans="1:5" ht="12.2" customHeight="1" x14ac:dyDescent="0.2">
      <c r="A502" s="61" t="s">
        <v>850</v>
      </c>
      <c r="B502" s="125">
        <v>42710</v>
      </c>
      <c r="C502" s="61" t="s">
        <v>28133</v>
      </c>
      <c r="D502" s="61" t="s">
        <v>28139</v>
      </c>
      <c r="E502" s="61" t="s">
        <v>28132</v>
      </c>
    </row>
    <row r="503" spans="1:5" ht="12.2" customHeight="1" x14ac:dyDescent="0.2">
      <c r="A503" s="61" t="s">
        <v>850</v>
      </c>
      <c r="B503" s="125">
        <v>42709</v>
      </c>
      <c r="C503" s="61" t="s">
        <v>28128</v>
      </c>
      <c r="D503" s="61" t="s">
        <v>28134</v>
      </c>
      <c r="E503" s="61" t="s">
        <v>28127</v>
      </c>
    </row>
    <row r="504" spans="1:5" ht="12.2" customHeight="1" x14ac:dyDescent="0.2">
      <c r="A504" s="61" t="s">
        <v>850</v>
      </c>
      <c r="B504" s="125">
        <v>42709</v>
      </c>
      <c r="C504" s="61" t="s">
        <v>28125</v>
      </c>
      <c r="D504" s="61" t="s">
        <v>28129</v>
      </c>
      <c r="E504" s="61" t="s">
        <v>28124</v>
      </c>
    </row>
    <row r="505" spans="1:5" ht="12.2" customHeight="1" x14ac:dyDescent="0.2">
      <c r="A505" s="61" t="s">
        <v>850</v>
      </c>
      <c r="B505" s="125">
        <v>42704</v>
      </c>
      <c r="C505" s="61" t="s">
        <v>28109</v>
      </c>
      <c r="D505" s="61" t="s">
        <v>28126</v>
      </c>
      <c r="E505" s="61" t="s">
        <v>28110</v>
      </c>
    </row>
    <row r="506" spans="1:5" ht="12.2" customHeight="1" x14ac:dyDescent="0.2">
      <c r="A506" s="61" t="s">
        <v>850</v>
      </c>
      <c r="B506" s="125">
        <v>42703</v>
      </c>
      <c r="C506" s="61" t="s">
        <v>28107</v>
      </c>
      <c r="D506" s="61" t="s">
        <v>28112</v>
      </c>
      <c r="E506" s="61" t="s">
        <v>28106</v>
      </c>
    </row>
    <row r="507" spans="1:5" ht="12.2" customHeight="1" x14ac:dyDescent="0.2">
      <c r="A507" s="61" t="s">
        <v>850</v>
      </c>
      <c r="B507" s="125">
        <v>42702</v>
      </c>
      <c r="C507" s="61" t="s">
        <v>28096</v>
      </c>
      <c r="D507" s="61" t="s">
        <v>28108</v>
      </c>
      <c r="E507" s="61" t="s">
        <v>28095</v>
      </c>
    </row>
    <row r="508" spans="1:5" ht="12.2" customHeight="1" x14ac:dyDescent="0.2">
      <c r="A508" s="61" t="s">
        <v>28093</v>
      </c>
      <c r="B508" s="125">
        <v>42696</v>
      </c>
      <c r="C508" s="61" t="s">
        <v>28092</v>
      </c>
      <c r="D508" s="61" t="s">
        <v>28097</v>
      </c>
      <c r="E508" s="61" t="s">
        <v>28091</v>
      </c>
    </row>
    <row r="509" spans="1:5" ht="12.2" customHeight="1" x14ac:dyDescent="0.2">
      <c r="A509" s="61" t="s">
        <v>850</v>
      </c>
      <c r="B509" s="125">
        <v>42689</v>
      </c>
      <c r="C509" s="61" t="s">
        <v>28089</v>
      </c>
      <c r="D509" s="61" t="s">
        <v>28094</v>
      </c>
      <c r="E509" s="61" t="s">
        <v>28088</v>
      </c>
    </row>
    <row r="510" spans="1:5" ht="12.2" customHeight="1" x14ac:dyDescent="0.2">
      <c r="A510" s="61" t="s">
        <v>850</v>
      </c>
      <c r="B510" s="125">
        <v>42688</v>
      </c>
      <c r="C510" s="61" t="s">
        <v>28082</v>
      </c>
      <c r="D510" s="61" t="s">
        <v>28090</v>
      </c>
      <c r="E510" s="61" t="s">
        <v>28083</v>
      </c>
    </row>
    <row r="511" spans="1:5" ht="12.2" customHeight="1" x14ac:dyDescent="0.2">
      <c r="A511" s="61" t="s">
        <v>850</v>
      </c>
      <c r="B511" s="125">
        <v>42688</v>
      </c>
      <c r="C511" s="61" t="s">
        <v>28079</v>
      </c>
      <c r="D511" s="61" t="s">
        <v>28084</v>
      </c>
      <c r="E511" s="61" t="s">
        <v>28080</v>
      </c>
    </row>
    <row r="512" spans="1:5" ht="12.2" customHeight="1" x14ac:dyDescent="0.2">
      <c r="A512" s="61" t="s">
        <v>850</v>
      </c>
      <c r="B512" s="125">
        <v>42688</v>
      </c>
      <c r="C512" s="61" t="s">
        <v>28076</v>
      </c>
      <c r="D512" s="61" t="s">
        <v>28081</v>
      </c>
      <c r="E512" s="61" t="s">
        <v>28075</v>
      </c>
    </row>
    <row r="513" spans="1:5" ht="12.2" customHeight="1" x14ac:dyDescent="0.2">
      <c r="A513" s="61" t="s">
        <v>850</v>
      </c>
      <c r="B513" s="125">
        <v>42688</v>
      </c>
      <c r="C513" s="61" t="s">
        <v>28073</v>
      </c>
      <c r="D513" s="61" t="s">
        <v>28077</v>
      </c>
      <c r="E513" s="61" t="s">
        <v>28072</v>
      </c>
    </row>
    <row r="514" spans="1:5" ht="12.2" customHeight="1" x14ac:dyDescent="0.2">
      <c r="A514" s="61" t="s">
        <v>850</v>
      </c>
      <c r="B514" s="125">
        <v>42688</v>
      </c>
      <c r="C514" s="61" t="s">
        <v>28069</v>
      </c>
      <c r="D514" s="61" t="s">
        <v>28074</v>
      </c>
      <c r="E514" s="61" t="s">
        <v>28070</v>
      </c>
    </row>
    <row r="515" spans="1:5" ht="12.2" customHeight="1" x14ac:dyDescent="0.2">
      <c r="A515" s="61" t="s">
        <v>850</v>
      </c>
      <c r="B515" s="125">
        <v>42688</v>
      </c>
      <c r="C515" s="61" t="s">
        <v>28034</v>
      </c>
      <c r="D515" s="61" t="s">
        <v>28071</v>
      </c>
      <c r="E515" s="61" t="s">
        <v>28068</v>
      </c>
    </row>
    <row r="516" spans="1:5" ht="12.2" customHeight="1" x14ac:dyDescent="0.2">
      <c r="A516" s="61" t="s">
        <v>850</v>
      </c>
      <c r="B516" s="125">
        <v>42688</v>
      </c>
      <c r="C516" s="61" t="s">
        <v>28031</v>
      </c>
      <c r="D516" s="61" t="s">
        <v>28029</v>
      </c>
      <c r="E516" s="61" t="s">
        <v>28032</v>
      </c>
    </row>
    <row r="517" spans="1:5" ht="12.2" customHeight="1" x14ac:dyDescent="0.2">
      <c r="A517" s="61" t="s">
        <v>850</v>
      </c>
      <c r="B517" s="125">
        <v>42685</v>
      </c>
      <c r="C517" s="61" t="s">
        <v>28025</v>
      </c>
      <c r="D517" s="61" t="s">
        <v>28029</v>
      </c>
      <c r="E517" s="61"/>
    </row>
    <row r="518" spans="1:5" ht="12.2" customHeight="1" x14ac:dyDescent="0.2">
      <c r="A518" s="61" t="s">
        <v>28030</v>
      </c>
      <c r="B518" s="125">
        <v>42563</v>
      </c>
      <c r="C518" s="61" t="s">
        <v>28025</v>
      </c>
      <c r="D518" s="61" t="s">
        <v>28029</v>
      </c>
      <c r="E518" s="61"/>
    </row>
    <row r="519" spans="1:5" ht="12.2" customHeight="1" x14ac:dyDescent="0.2">
      <c r="A519" s="61" t="s">
        <v>850</v>
      </c>
      <c r="B519" s="125">
        <v>42541</v>
      </c>
      <c r="C519" s="61" t="s">
        <v>28025</v>
      </c>
      <c r="D519" s="61" t="s">
        <v>28029</v>
      </c>
      <c r="E519" s="61"/>
    </row>
    <row r="520" spans="1:5" ht="12.2" customHeight="1" x14ac:dyDescent="0.2">
      <c r="A520" s="61" t="s">
        <v>850</v>
      </c>
      <c r="B520" s="125">
        <v>42541</v>
      </c>
      <c r="C520" s="61" t="s">
        <v>28025</v>
      </c>
      <c r="D520" s="61" t="s">
        <v>28029</v>
      </c>
      <c r="E520" s="61"/>
    </row>
    <row r="521" spans="1:5" ht="12.2" customHeight="1" x14ac:dyDescent="0.2">
      <c r="A521" s="61" t="s">
        <v>850</v>
      </c>
      <c r="B521" s="125">
        <v>42536</v>
      </c>
      <c r="C521" s="61" t="s">
        <v>28025</v>
      </c>
      <c r="D521" s="61" t="s">
        <v>28028</v>
      </c>
      <c r="E521" s="61"/>
    </row>
    <row r="522" spans="1:5" ht="12.2" customHeight="1" x14ac:dyDescent="0.2">
      <c r="A522" s="61" t="s">
        <v>850</v>
      </c>
      <c r="B522" s="125">
        <v>42536</v>
      </c>
      <c r="C522" s="61" t="s">
        <v>28025</v>
      </c>
      <c r="D522" s="61" t="s">
        <v>28026</v>
      </c>
      <c r="E522" s="61"/>
    </row>
    <row r="523" spans="1:5" ht="12.2" customHeight="1" x14ac:dyDescent="0.2">
      <c r="A523" s="61" t="s">
        <v>850</v>
      </c>
      <c r="B523" s="125">
        <v>42536</v>
      </c>
      <c r="C523" s="61" t="s">
        <v>28025</v>
      </c>
      <c r="D523" s="61" t="s">
        <v>28026</v>
      </c>
      <c r="E523" s="61"/>
    </row>
    <row r="524" spans="1:5" ht="12.2" customHeight="1" x14ac:dyDescent="0.2">
      <c r="A524" s="61" t="s">
        <v>850</v>
      </c>
      <c r="B524" s="125">
        <v>42536</v>
      </c>
      <c r="C524" s="61" t="s">
        <v>28025</v>
      </c>
      <c r="D524" s="61" t="s">
        <v>28026</v>
      </c>
      <c r="E524" s="61"/>
    </row>
    <row r="525" spans="1:5" ht="12.2" customHeight="1" x14ac:dyDescent="0.2">
      <c r="A525" s="61" t="s">
        <v>850</v>
      </c>
      <c r="B525" s="125">
        <v>42536</v>
      </c>
      <c r="C525" s="61" t="s">
        <v>28025</v>
      </c>
      <c r="D525" s="61" t="s">
        <v>28026</v>
      </c>
      <c r="E525" s="61"/>
    </row>
    <row r="526" spans="1:5" ht="12.2" customHeight="1" x14ac:dyDescent="0.2">
      <c r="A526" s="61" t="s">
        <v>850</v>
      </c>
      <c r="B526" s="125">
        <v>42536</v>
      </c>
      <c r="C526" s="61" t="s">
        <v>27995</v>
      </c>
      <c r="D526" s="61" t="s">
        <v>28015</v>
      </c>
      <c r="E526" s="61"/>
    </row>
    <row r="527" spans="1:5" ht="12.2" customHeight="1" x14ac:dyDescent="0.2">
      <c r="A527" s="61" t="s">
        <v>850</v>
      </c>
      <c r="B527" s="125">
        <v>42536</v>
      </c>
      <c r="C527" s="61" t="s">
        <v>27995</v>
      </c>
      <c r="D527" s="61" t="s">
        <v>28015</v>
      </c>
      <c r="E527" s="61"/>
    </row>
    <row r="528" spans="1:5" ht="12.2" customHeight="1" x14ac:dyDescent="0.2">
      <c r="A528" s="61" t="s">
        <v>850</v>
      </c>
      <c r="B528" s="125">
        <v>42534</v>
      </c>
      <c r="C528" s="61" t="s">
        <v>27995</v>
      </c>
      <c r="D528" s="61" t="s">
        <v>28015</v>
      </c>
      <c r="E528" s="61"/>
    </row>
    <row r="529" spans="1:5" ht="12.2" customHeight="1" x14ac:dyDescent="0.2">
      <c r="A529" s="61" t="s">
        <v>850</v>
      </c>
      <c r="B529" s="125">
        <v>42530</v>
      </c>
      <c r="C529" s="61" t="s">
        <v>27995</v>
      </c>
      <c r="D529" s="61" t="s">
        <v>28015</v>
      </c>
      <c r="E529" s="61"/>
    </row>
    <row r="530" spans="1:5" ht="12.2" customHeight="1" x14ac:dyDescent="0.2">
      <c r="A530" s="61" t="s">
        <v>850</v>
      </c>
      <c r="B530" s="125">
        <v>42514</v>
      </c>
      <c r="C530" s="61" t="s">
        <v>27995</v>
      </c>
      <c r="D530" s="61" t="s">
        <v>27997</v>
      </c>
      <c r="E530" s="61"/>
    </row>
    <row r="531" spans="1:5" ht="12.2" customHeight="1" x14ac:dyDescent="0.2">
      <c r="A531" s="61" t="s">
        <v>850</v>
      </c>
      <c r="B531" s="125">
        <v>42514</v>
      </c>
      <c r="C531" s="61" t="s">
        <v>27995</v>
      </c>
      <c r="D531" s="61" t="s">
        <v>27997</v>
      </c>
      <c r="E531" s="61" t="s">
        <v>27996</v>
      </c>
    </row>
    <row r="532" spans="1:5" ht="12.2" customHeight="1" x14ac:dyDescent="0.2">
      <c r="A532" s="61" t="s">
        <v>850</v>
      </c>
      <c r="B532" s="125">
        <v>42502</v>
      </c>
      <c r="C532" s="61" t="s">
        <v>27992</v>
      </c>
      <c r="D532" s="61" t="s">
        <v>27994</v>
      </c>
      <c r="E532" s="61"/>
    </row>
    <row r="533" spans="1:5" ht="12.2" customHeight="1" x14ac:dyDescent="0.2">
      <c r="A533" s="61" t="s">
        <v>850</v>
      </c>
      <c r="B533" s="125">
        <v>42502</v>
      </c>
      <c r="C533" s="61" t="s">
        <v>27992</v>
      </c>
      <c r="D533" s="61" t="s">
        <v>27994</v>
      </c>
      <c r="E533" s="61" t="s">
        <v>27993</v>
      </c>
    </row>
    <row r="534" spans="1:5" ht="12.2" customHeight="1" x14ac:dyDescent="0.2">
      <c r="A534" s="61" t="s">
        <v>850</v>
      </c>
      <c r="B534" s="125">
        <v>42499</v>
      </c>
      <c r="C534" s="61" t="s">
        <v>27990</v>
      </c>
      <c r="D534" s="61" t="s">
        <v>27991</v>
      </c>
      <c r="E534" s="61"/>
    </row>
    <row r="535" spans="1:5" ht="12.2" customHeight="1" x14ac:dyDescent="0.2">
      <c r="A535" s="61" t="s">
        <v>850</v>
      </c>
      <c r="B535" s="125">
        <v>42499</v>
      </c>
      <c r="C535" s="61" t="s">
        <v>27982</v>
      </c>
      <c r="D535" s="61" t="s">
        <v>27991</v>
      </c>
      <c r="E535" s="61"/>
    </row>
    <row r="536" spans="1:5" ht="12.2" customHeight="1" x14ac:dyDescent="0.2">
      <c r="A536" s="61" t="s">
        <v>850</v>
      </c>
      <c r="B536" s="125">
        <v>42498</v>
      </c>
      <c r="C536" s="61" t="s">
        <v>27982</v>
      </c>
      <c r="D536" s="61" t="s">
        <v>27988</v>
      </c>
      <c r="E536" s="61"/>
    </row>
    <row r="537" spans="1:5" ht="12.2" customHeight="1" x14ac:dyDescent="0.2">
      <c r="A537" s="61" t="s">
        <v>850</v>
      </c>
      <c r="B537" s="125">
        <v>42498</v>
      </c>
      <c r="C537" s="61" t="s">
        <v>27982</v>
      </c>
      <c r="D537" s="61" t="s">
        <v>27988</v>
      </c>
      <c r="E537" s="61"/>
    </row>
    <row r="538" spans="1:5" ht="12.2" customHeight="1" x14ac:dyDescent="0.2">
      <c r="A538" s="61" t="s">
        <v>850</v>
      </c>
      <c r="B538" s="125">
        <v>42496</v>
      </c>
      <c r="C538" s="61" t="s">
        <v>27982</v>
      </c>
      <c r="D538" s="61" t="s">
        <v>27987</v>
      </c>
      <c r="E538" s="61"/>
    </row>
    <row r="539" spans="1:5" ht="12.2" customHeight="1" x14ac:dyDescent="0.2">
      <c r="A539" s="61" t="s">
        <v>850</v>
      </c>
      <c r="B539" s="125">
        <v>42496</v>
      </c>
      <c r="C539" s="61" t="s">
        <v>27982</v>
      </c>
      <c r="D539" s="61" t="s">
        <v>27986</v>
      </c>
      <c r="E539" s="61"/>
    </row>
    <row r="540" spans="1:5" ht="12.2" customHeight="1" x14ac:dyDescent="0.2">
      <c r="A540" s="61" t="s">
        <v>850</v>
      </c>
      <c r="B540" s="125">
        <v>42494</v>
      </c>
      <c r="C540" s="61" t="s">
        <v>27982</v>
      </c>
      <c r="D540" s="61" t="s">
        <v>27986</v>
      </c>
      <c r="E540" s="61"/>
    </row>
    <row r="541" spans="1:5" ht="12.2" customHeight="1" x14ac:dyDescent="0.2">
      <c r="A541" s="61" t="s">
        <v>850</v>
      </c>
      <c r="B541" s="125">
        <v>42494</v>
      </c>
      <c r="C541" s="61" t="s">
        <v>27982</v>
      </c>
      <c r="D541" s="61" t="s">
        <v>27985</v>
      </c>
      <c r="E541" s="61"/>
    </row>
    <row r="542" spans="1:5" ht="12.2" customHeight="1" x14ac:dyDescent="0.2">
      <c r="A542" s="61" t="s">
        <v>850</v>
      </c>
      <c r="B542" s="125">
        <v>42494</v>
      </c>
      <c r="C542" s="61" t="s">
        <v>27982</v>
      </c>
      <c r="D542" s="61" t="s">
        <v>27984</v>
      </c>
      <c r="E542" s="61"/>
    </row>
    <row r="543" spans="1:5" ht="12.2" customHeight="1" x14ac:dyDescent="0.2">
      <c r="A543" s="61" t="s">
        <v>850</v>
      </c>
      <c r="B543" s="125">
        <v>42493</v>
      </c>
      <c r="C543" s="61" t="s">
        <v>27982</v>
      </c>
      <c r="D543" s="61" t="s">
        <v>27983</v>
      </c>
      <c r="E543" s="61"/>
    </row>
    <row r="544" spans="1:5" ht="12.2" customHeight="1" x14ac:dyDescent="0.2">
      <c r="A544" s="61" t="s">
        <v>850</v>
      </c>
      <c r="B544" s="125">
        <v>42493</v>
      </c>
      <c r="C544" s="61" t="s">
        <v>27980</v>
      </c>
      <c r="D544" s="61" t="s">
        <v>27983</v>
      </c>
      <c r="E544" s="61"/>
    </row>
    <row r="545" spans="1:5" ht="12.2" customHeight="1" x14ac:dyDescent="0.2">
      <c r="A545" s="61" t="s">
        <v>850</v>
      </c>
      <c r="B545" s="125">
        <v>42492</v>
      </c>
      <c r="C545" s="61" t="s">
        <v>27957</v>
      </c>
      <c r="D545" s="61" t="s">
        <v>27981</v>
      </c>
      <c r="E545" s="61"/>
    </row>
    <row r="546" spans="1:5" ht="12.2" customHeight="1" x14ac:dyDescent="0.2">
      <c r="A546" s="61" t="s">
        <v>850</v>
      </c>
      <c r="B546" s="125">
        <v>42492</v>
      </c>
      <c r="C546" s="61" t="s">
        <v>27957</v>
      </c>
      <c r="D546" s="61" t="s">
        <v>27961</v>
      </c>
      <c r="E546" s="61"/>
    </row>
    <row r="547" spans="1:5" ht="12.2" customHeight="1" x14ac:dyDescent="0.2">
      <c r="A547" s="61" t="s">
        <v>850</v>
      </c>
      <c r="B547" s="125">
        <v>42489</v>
      </c>
      <c r="C547" s="61" t="s">
        <v>27957</v>
      </c>
      <c r="D547" s="61" t="s">
        <v>27959</v>
      </c>
      <c r="E547" s="61"/>
    </row>
    <row r="548" spans="1:5" ht="12.2" customHeight="1" x14ac:dyDescent="0.2">
      <c r="A548" s="61" t="s">
        <v>850</v>
      </c>
      <c r="B548" s="125">
        <v>42488</v>
      </c>
      <c r="C548" s="61" t="s">
        <v>27951</v>
      </c>
      <c r="D548" s="61" t="s">
        <v>27958</v>
      </c>
      <c r="E548" s="61"/>
    </row>
    <row r="549" spans="1:5" ht="12.2" customHeight="1" x14ac:dyDescent="0.2">
      <c r="A549" s="61" t="s">
        <v>850</v>
      </c>
      <c r="B549" s="125">
        <v>42487</v>
      </c>
      <c r="C549" s="61" t="s">
        <v>27951</v>
      </c>
      <c r="D549" s="61" t="s">
        <v>27953</v>
      </c>
      <c r="E549" s="61"/>
    </row>
    <row r="550" spans="1:5" ht="12.2" customHeight="1" x14ac:dyDescent="0.2">
      <c r="A550" s="61" t="s">
        <v>850</v>
      </c>
      <c r="B550" s="125">
        <v>42487</v>
      </c>
      <c r="C550" s="61" t="s">
        <v>27951</v>
      </c>
      <c r="D550" s="61" t="s">
        <v>27953</v>
      </c>
      <c r="E550" s="61" t="s">
        <v>27950</v>
      </c>
    </row>
    <row r="551" spans="1:5" ht="12.2" customHeight="1" x14ac:dyDescent="0.2">
      <c r="A551" s="61" t="s">
        <v>850</v>
      </c>
      <c r="B551" s="125">
        <v>42487</v>
      </c>
      <c r="C551" s="61" t="s">
        <v>27894</v>
      </c>
      <c r="D551" s="61" t="s">
        <v>27952</v>
      </c>
      <c r="E551" s="61" t="s">
        <v>27893</v>
      </c>
    </row>
    <row r="552" spans="1:5" ht="12.2" customHeight="1" x14ac:dyDescent="0.2">
      <c r="A552" s="61" t="s">
        <v>850</v>
      </c>
      <c r="B552" s="125">
        <v>42487</v>
      </c>
      <c r="C552" s="61" t="s">
        <v>27891</v>
      </c>
      <c r="D552" s="61" t="s">
        <v>27895</v>
      </c>
      <c r="E552" s="61"/>
    </row>
    <row r="553" spans="1:5" ht="12.2" customHeight="1" x14ac:dyDescent="0.2">
      <c r="A553" s="61"/>
      <c r="B553" s="125"/>
      <c r="C553" s="61"/>
      <c r="D553" s="61" t="s">
        <v>27892</v>
      </c>
      <c r="E553" s="61"/>
    </row>
    <row r="554" spans="1:5" ht="12.2" customHeight="1" x14ac:dyDescent="0.2">
      <c r="A554" s="61"/>
      <c r="B554" s="125"/>
      <c r="C554" s="61"/>
      <c r="D554" s="61"/>
      <c r="E554" s="61"/>
    </row>
    <row r="555" spans="1:5" ht="12.2" customHeight="1" x14ac:dyDescent="0.2">
      <c r="A555" s="61"/>
      <c r="B555" s="125"/>
      <c r="C555" s="61"/>
      <c r="D555" s="61"/>
      <c r="E555" s="61"/>
    </row>
    <row r="556" spans="1:5" ht="12.2" customHeight="1" x14ac:dyDescent="0.2">
      <c r="A556" s="61"/>
      <c r="B556" s="125"/>
      <c r="C556" s="61"/>
      <c r="D556" s="61"/>
      <c r="E556" s="61"/>
    </row>
    <row r="557" spans="1:5" ht="12.2" customHeight="1" x14ac:dyDescent="0.2">
      <c r="A557" s="61"/>
      <c r="B557" s="125"/>
      <c r="C557" s="61"/>
      <c r="D557" s="61"/>
      <c r="E557" s="61"/>
    </row>
    <row r="558" spans="1:5" ht="12.2" customHeight="1" x14ac:dyDescent="0.2">
      <c r="A558" s="61"/>
      <c r="B558" s="125"/>
      <c r="C558" s="61"/>
      <c r="D558" s="61"/>
      <c r="E558" s="61"/>
    </row>
    <row r="559" spans="1:5" ht="12.2" customHeight="1" x14ac:dyDescent="0.2">
      <c r="A559" s="61"/>
      <c r="B559" s="125"/>
      <c r="C559" s="61"/>
      <c r="D559" s="61"/>
      <c r="E559" s="61"/>
    </row>
    <row r="560" spans="1:5" ht="12.2" customHeight="1" x14ac:dyDescent="0.2">
      <c r="A560" s="61"/>
      <c r="B560" s="125"/>
      <c r="C560" s="61"/>
      <c r="D560" s="61"/>
      <c r="E560" s="61"/>
    </row>
    <row r="561" spans="1:5" ht="12.2" customHeight="1" x14ac:dyDescent="0.2">
      <c r="A561" s="61"/>
      <c r="B561" s="125"/>
      <c r="C561" s="61"/>
      <c r="D561" s="61"/>
      <c r="E561" s="61"/>
    </row>
    <row r="562" spans="1:5" ht="12.2" customHeight="1" x14ac:dyDescent="0.2">
      <c r="A562" s="61"/>
      <c r="B562" s="125"/>
      <c r="C562" s="61"/>
      <c r="D562" s="61"/>
      <c r="E562" s="61"/>
    </row>
    <row r="563" spans="1:5" ht="12.2" customHeight="1" x14ac:dyDescent="0.2">
      <c r="A563" s="61"/>
      <c r="B563" s="125"/>
      <c r="C563" s="61"/>
      <c r="D563" s="61"/>
      <c r="E563" s="61"/>
    </row>
    <row r="564" spans="1:5" ht="12.2" customHeight="1" x14ac:dyDescent="0.2">
      <c r="A564" s="61"/>
      <c r="B564" s="125"/>
      <c r="C564" s="61"/>
      <c r="D564" s="61"/>
      <c r="E564" s="61"/>
    </row>
    <row r="565" spans="1:5" ht="12.2" customHeight="1" x14ac:dyDescent="0.2">
      <c r="A565" s="61"/>
      <c r="B565" s="125"/>
      <c r="C565" s="61"/>
      <c r="D565" s="61"/>
      <c r="E565" s="61"/>
    </row>
    <row r="566" spans="1:5" ht="12.2" customHeight="1" x14ac:dyDescent="0.2">
      <c r="A566" s="61"/>
      <c r="B566" s="125"/>
      <c r="C566" s="61"/>
      <c r="D566" s="61"/>
      <c r="E566" s="61"/>
    </row>
    <row r="567" spans="1:5" ht="12.2" customHeight="1" x14ac:dyDescent="0.2">
      <c r="A567" s="61"/>
      <c r="B567" s="125"/>
      <c r="C567" s="61"/>
      <c r="D567" s="61"/>
      <c r="E567" s="61"/>
    </row>
    <row r="568" spans="1:5" ht="12.2" customHeight="1" x14ac:dyDescent="0.2">
      <c r="A568" s="61"/>
      <c r="B568" s="125"/>
      <c r="C568" s="61"/>
      <c r="D568" s="61"/>
      <c r="E568" s="61"/>
    </row>
    <row r="569" spans="1:5" ht="12.2" customHeight="1" x14ac:dyDescent="0.2">
      <c r="A569" s="61"/>
      <c r="B569" s="125"/>
      <c r="C569" s="61"/>
      <c r="D569" s="61"/>
      <c r="E569" s="61"/>
    </row>
    <row r="570" spans="1:5" ht="12.2" customHeight="1" x14ac:dyDescent="0.2">
      <c r="A570" s="61"/>
      <c r="B570" s="125"/>
      <c r="C570" s="61"/>
      <c r="D570" s="61"/>
      <c r="E570" s="61"/>
    </row>
    <row r="571" spans="1:5" ht="12.2" customHeight="1" x14ac:dyDescent="0.2">
      <c r="A571" s="61"/>
      <c r="B571" s="125"/>
      <c r="C571" s="61"/>
      <c r="D571" s="61"/>
      <c r="E571" s="61"/>
    </row>
    <row r="572" spans="1:5" ht="12.2" customHeight="1" x14ac:dyDescent="0.2">
      <c r="A572" s="61"/>
      <c r="B572" s="125"/>
      <c r="C572" s="61"/>
      <c r="D572" s="61"/>
      <c r="E572" s="61"/>
    </row>
    <row r="573" spans="1:5" ht="12.2" customHeight="1" x14ac:dyDescent="0.2">
      <c r="A573" s="61"/>
      <c r="B573" s="125"/>
      <c r="C573" s="61"/>
      <c r="D573" s="61"/>
      <c r="E573" s="61"/>
    </row>
    <row r="574" spans="1:5" ht="12.2" customHeight="1" x14ac:dyDescent="0.2">
      <c r="A574" s="61"/>
      <c r="B574" s="125"/>
      <c r="C574" s="61"/>
      <c r="D574" s="61"/>
      <c r="E574" s="61"/>
    </row>
    <row r="575" spans="1:5" ht="12.2" customHeight="1" x14ac:dyDescent="0.2">
      <c r="A575" s="61"/>
      <c r="B575" s="125"/>
      <c r="C575" s="61"/>
      <c r="D575" s="61"/>
      <c r="E575" s="61"/>
    </row>
    <row r="576" spans="1:5" ht="12.2" customHeight="1" x14ac:dyDescent="0.2">
      <c r="A576" s="61"/>
      <c r="B576" s="125"/>
      <c r="C576" s="61"/>
      <c r="D576" s="61"/>
      <c r="E576" s="61"/>
    </row>
    <row r="577" spans="1:5" ht="12.2" customHeight="1" x14ac:dyDescent="0.2">
      <c r="A577" s="61"/>
      <c r="B577" s="125"/>
      <c r="C577" s="61"/>
      <c r="D577" s="61"/>
      <c r="E577" s="61"/>
    </row>
    <row r="578" spans="1:5" ht="12.2" customHeight="1" x14ac:dyDescent="0.2">
      <c r="A578" s="61"/>
      <c r="B578" s="125"/>
      <c r="C578" s="61"/>
      <c r="D578" s="61"/>
      <c r="E578" s="61"/>
    </row>
    <row r="579" spans="1:5" ht="12.2" customHeight="1" x14ac:dyDescent="0.2">
      <c r="A579" s="61"/>
      <c r="B579" s="125"/>
      <c r="C579" s="61"/>
      <c r="D579" s="61"/>
      <c r="E579" s="61"/>
    </row>
    <row r="580" spans="1:5" ht="12.2" customHeight="1" x14ac:dyDescent="0.2">
      <c r="A580" s="61"/>
      <c r="B580" s="125"/>
      <c r="C580" s="61"/>
      <c r="D580" s="61"/>
      <c r="E580" s="61"/>
    </row>
    <row r="581" spans="1:5" ht="12.2" customHeight="1" x14ac:dyDescent="0.2">
      <c r="A581" s="61"/>
      <c r="B581" s="125"/>
      <c r="C581" s="61"/>
      <c r="D581" s="61"/>
      <c r="E581" s="61"/>
    </row>
    <row r="582" spans="1:5" ht="12.2" customHeight="1" x14ac:dyDescent="0.2">
      <c r="A582" s="61"/>
      <c r="B582" s="125"/>
      <c r="C582" s="61"/>
      <c r="D582" s="61"/>
      <c r="E582" s="61"/>
    </row>
    <row r="583" spans="1:5" ht="12.2" customHeight="1" x14ac:dyDescent="0.2">
      <c r="A583" s="61"/>
      <c r="B583" s="125"/>
      <c r="C583" s="61"/>
      <c r="D583" s="61"/>
      <c r="E583" s="61"/>
    </row>
    <row r="584" spans="1:5" ht="12.2" customHeight="1" x14ac:dyDescent="0.2">
      <c r="A584" s="61"/>
      <c r="B584" s="125"/>
      <c r="C584" s="61"/>
      <c r="D584" s="61"/>
      <c r="E584" s="61"/>
    </row>
    <row r="585" spans="1:5" ht="12.2" customHeight="1" x14ac:dyDescent="0.2">
      <c r="A585" s="61"/>
      <c r="B585" s="125"/>
      <c r="C585" s="61"/>
      <c r="D585" s="61"/>
      <c r="E585" s="61"/>
    </row>
    <row r="586" spans="1:5" ht="12.2" customHeight="1" x14ac:dyDescent="0.2">
      <c r="A586" s="61"/>
      <c r="B586" s="125"/>
      <c r="C586" s="61"/>
      <c r="D586" s="61"/>
      <c r="E586" s="61"/>
    </row>
    <row r="587" spans="1:5" ht="12.2" customHeight="1" x14ac:dyDescent="0.2">
      <c r="A587" s="61"/>
      <c r="B587" s="125"/>
      <c r="C587" s="61"/>
      <c r="D587" s="61"/>
      <c r="E587" s="61"/>
    </row>
    <row r="588" spans="1:5" ht="12.2" customHeight="1" x14ac:dyDescent="0.2">
      <c r="A588" s="61"/>
      <c r="B588" s="125"/>
      <c r="C588" s="61"/>
      <c r="D588" s="61"/>
      <c r="E588" s="61"/>
    </row>
    <row r="589" spans="1:5" ht="12.2" customHeight="1" x14ac:dyDescent="0.2">
      <c r="A589" s="61"/>
      <c r="B589" s="125"/>
      <c r="C589" s="61"/>
      <c r="D589" s="61"/>
      <c r="E589" s="61"/>
    </row>
    <row r="590" spans="1:5" ht="12.2" customHeight="1" x14ac:dyDescent="0.2">
      <c r="A590" s="61"/>
      <c r="B590" s="125"/>
      <c r="C590" s="61"/>
      <c r="D590" s="61"/>
      <c r="E590" s="61"/>
    </row>
    <row r="591" spans="1:5" ht="12.2" customHeight="1" x14ac:dyDescent="0.2">
      <c r="A591" s="61"/>
      <c r="B591" s="125"/>
      <c r="C591" s="61"/>
      <c r="D591" s="61"/>
      <c r="E591" s="61"/>
    </row>
    <row r="592" spans="1:5" ht="12.2" customHeight="1" x14ac:dyDescent="0.2">
      <c r="A592" s="61"/>
      <c r="B592" s="125"/>
      <c r="C592" s="61"/>
      <c r="D592" s="61"/>
      <c r="E592" s="61"/>
    </row>
    <row r="593" spans="1:5" ht="12.2" customHeight="1" x14ac:dyDescent="0.2">
      <c r="A593" s="61"/>
      <c r="B593" s="125"/>
      <c r="C593" s="61"/>
      <c r="D593" s="61"/>
      <c r="E593" s="61"/>
    </row>
    <row r="594" spans="1:5" ht="12.2" customHeight="1" x14ac:dyDescent="0.2">
      <c r="A594" s="61"/>
      <c r="B594" s="125"/>
      <c r="C594" s="61"/>
      <c r="D594" s="61"/>
      <c r="E594" s="61"/>
    </row>
    <row r="595" spans="1:5" ht="12.2" customHeight="1" x14ac:dyDescent="0.2">
      <c r="A595" s="61"/>
      <c r="B595" s="125"/>
      <c r="C595" s="61"/>
      <c r="D595" s="61"/>
      <c r="E595" s="61"/>
    </row>
    <row r="596" spans="1:5" ht="12.2" customHeight="1" x14ac:dyDescent="0.2">
      <c r="A596" s="61"/>
      <c r="B596" s="125"/>
      <c r="C596" s="61"/>
      <c r="D596" s="61"/>
      <c r="E596" s="61"/>
    </row>
    <row r="597" spans="1:5" ht="12.2" customHeight="1" x14ac:dyDescent="0.2">
      <c r="A597" s="61"/>
      <c r="B597" s="125"/>
      <c r="C597" s="61"/>
      <c r="D597" s="61"/>
      <c r="E597" s="61"/>
    </row>
    <row r="598" spans="1:5" ht="12.2" customHeight="1" x14ac:dyDescent="0.2">
      <c r="A598" s="61"/>
      <c r="B598" s="125"/>
      <c r="C598" s="61"/>
      <c r="D598" s="61"/>
      <c r="E598" s="61"/>
    </row>
    <row r="599" spans="1:5" ht="12.2" customHeight="1" x14ac:dyDescent="0.2">
      <c r="A599" s="61"/>
      <c r="B599" s="125"/>
      <c r="C599" s="61"/>
      <c r="D599" s="61"/>
      <c r="E599" s="61"/>
    </row>
    <row r="600" spans="1:5" ht="12.2" customHeight="1" x14ac:dyDescent="0.2">
      <c r="A600" s="61"/>
      <c r="B600" s="125"/>
      <c r="C600" s="61"/>
      <c r="D600" s="61"/>
      <c r="E600" s="61"/>
    </row>
    <row r="601" spans="1:5" ht="12.2" customHeight="1" x14ac:dyDescent="0.2">
      <c r="A601" s="61"/>
      <c r="B601" s="125"/>
      <c r="C601" s="61"/>
      <c r="D601" s="61"/>
      <c r="E601" s="61"/>
    </row>
    <row r="602" spans="1:5" ht="12.2" customHeight="1" x14ac:dyDescent="0.2">
      <c r="A602" s="61"/>
      <c r="B602" s="125"/>
      <c r="C602" s="61"/>
      <c r="D602" s="61"/>
      <c r="E602" s="61"/>
    </row>
    <row r="603" spans="1:5" ht="12.2" customHeight="1" x14ac:dyDescent="0.2">
      <c r="A603" s="61"/>
      <c r="B603" s="125"/>
      <c r="C603" s="61"/>
      <c r="D603" s="61"/>
      <c r="E603" s="61"/>
    </row>
    <row r="604" spans="1:5" ht="12.2" customHeight="1" x14ac:dyDescent="0.2">
      <c r="A604" s="61"/>
      <c r="B604" s="125"/>
      <c r="C604" s="61"/>
      <c r="D604" s="61"/>
      <c r="E604" s="61"/>
    </row>
    <row r="605" spans="1:5" ht="12.2" customHeight="1" x14ac:dyDescent="0.2">
      <c r="A605" s="61"/>
      <c r="B605" s="125"/>
      <c r="C605" s="61"/>
      <c r="D605" s="61"/>
      <c r="E605" s="61"/>
    </row>
    <row r="606" spans="1:5" ht="12.2" customHeight="1" x14ac:dyDescent="0.2">
      <c r="A606" s="61"/>
      <c r="B606" s="125"/>
      <c r="C606" s="61"/>
      <c r="D606" s="61"/>
      <c r="E606" s="61"/>
    </row>
    <row r="607" spans="1:5" ht="12.2" customHeight="1" x14ac:dyDescent="0.2">
      <c r="A607" s="61"/>
      <c r="B607" s="125"/>
      <c r="C607" s="61"/>
      <c r="D607" s="61"/>
      <c r="E607" s="61"/>
    </row>
    <row r="608" spans="1:5" ht="12.2" customHeight="1" x14ac:dyDescent="0.2">
      <c r="A608" s="61"/>
      <c r="B608" s="125"/>
      <c r="C608" s="61"/>
      <c r="D608" s="61"/>
      <c r="E608" s="61"/>
    </row>
    <row r="609" spans="1:5" ht="12.2" customHeight="1" x14ac:dyDescent="0.2">
      <c r="A609" s="61"/>
      <c r="B609" s="125"/>
      <c r="C609" s="61"/>
      <c r="D609" s="61"/>
      <c r="E609" s="61"/>
    </row>
    <row r="610" spans="1:5" ht="12.2" customHeight="1" x14ac:dyDescent="0.2">
      <c r="A610" s="61"/>
      <c r="B610" s="125"/>
      <c r="C610" s="61"/>
      <c r="D610" s="61"/>
      <c r="E610" s="61"/>
    </row>
    <row r="611" spans="1:5" ht="12.2" customHeight="1" x14ac:dyDescent="0.2">
      <c r="A611" s="61"/>
      <c r="B611" s="125"/>
      <c r="C611" s="61"/>
      <c r="D611" s="61"/>
      <c r="E611" s="61"/>
    </row>
    <row r="612" spans="1:5" ht="12.2" customHeight="1" x14ac:dyDescent="0.2">
      <c r="A612" s="61"/>
      <c r="B612" s="125"/>
      <c r="C612" s="61"/>
      <c r="D612" s="61"/>
      <c r="E612" s="61"/>
    </row>
    <row r="613" spans="1:5" ht="12.2" customHeight="1" x14ac:dyDescent="0.2">
      <c r="A613" s="61"/>
      <c r="B613" s="125"/>
      <c r="C613" s="61"/>
      <c r="D613" s="61"/>
      <c r="E613" s="61"/>
    </row>
    <row r="614" spans="1:5" ht="12.2" customHeight="1" x14ac:dyDescent="0.2">
      <c r="A614" s="61"/>
      <c r="B614" s="125"/>
      <c r="C614" s="61"/>
      <c r="D614" s="61"/>
      <c r="E614" s="61"/>
    </row>
    <row r="615" spans="1:5" ht="12.2" customHeight="1" x14ac:dyDescent="0.2">
      <c r="A615" s="61"/>
      <c r="B615" s="125"/>
      <c r="C615" s="61"/>
      <c r="D615" s="61"/>
      <c r="E615" s="61"/>
    </row>
    <row r="616" spans="1:5" ht="12.2" customHeight="1" x14ac:dyDescent="0.2">
      <c r="A616" s="61"/>
      <c r="B616" s="125"/>
      <c r="C616" s="61"/>
      <c r="D616" s="61"/>
      <c r="E616" s="61"/>
    </row>
    <row r="617" spans="1:5" ht="12.2" customHeight="1" x14ac:dyDescent="0.2">
      <c r="A617" s="61"/>
      <c r="B617" s="125"/>
      <c r="C617" s="61"/>
      <c r="D617" s="61"/>
      <c r="E617" s="61"/>
    </row>
    <row r="618" spans="1:5" ht="12.2" customHeight="1" x14ac:dyDescent="0.2">
      <c r="A618" s="61"/>
      <c r="B618" s="125"/>
      <c r="C618" s="61"/>
      <c r="D618" s="61"/>
      <c r="E618" s="61"/>
    </row>
    <row r="619" spans="1:5" ht="12.2" customHeight="1" x14ac:dyDescent="0.2">
      <c r="A619" s="61"/>
      <c r="B619" s="125"/>
      <c r="C619" s="61"/>
      <c r="D619" s="61"/>
      <c r="E619" s="61"/>
    </row>
    <row r="620" spans="1:5" ht="12.2" customHeight="1" x14ac:dyDescent="0.2">
      <c r="A620" s="61"/>
      <c r="B620" s="125"/>
      <c r="C620" s="61"/>
      <c r="D620" s="61"/>
      <c r="E620" s="61"/>
    </row>
    <row r="621" spans="1:5" ht="12.2" customHeight="1" x14ac:dyDescent="0.2">
      <c r="A621" s="61"/>
      <c r="B621" s="125"/>
      <c r="C621" s="61"/>
      <c r="D621" s="61"/>
      <c r="E621" s="61"/>
    </row>
    <row r="622" spans="1:5" ht="12.2" customHeight="1" x14ac:dyDescent="0.2">
      <c r="A622" s="61"/>
      <c r="B622" s="125"/>
      <c r="C622" s="61"/>
      <c r="D622" s="61"/>
      <c r="E622" s="61"/>
    </row>
    <row r="623" spans="1:5" ht="12.2" customHeight="1" x14ac:dyDescent="0.2">
      <c r="A623" s="61"/>
      <c r="B623" s="125"/>
      <c r="C623" s="61"/>
      <c r="D623" s="61"/>
      <c r="E623" s="61"/>
    </row>
    <row r="624" spans="1:5" ht="12.2" customHeight="1" x14ac:dyDescent="0.2">
      <c r="A624" s="61"/>
      <c r="B624" s="125"/>
      <c r="C624" s="61"/>
      <c r="D624" s="61"/>
      <c r="E624" s="61"/>
    </row>
    <row r="625" spans="1:5" ht="12.2" customHeight="1" x14ac:dyDescent="0.2">
      <c r="A625" s="61"/>
      <c r="B625" s="125"/>
      <c r="C625" s="61"/>
      <c r="D625" s="61"/>
      <c r="E625" s="61"/>
    </row>
    <row r="626" spans="1:5" ht="12.2" customHeight="1" x14ac:dyDescent="0.2">
      <c r="A626" s="61"/>
      <c r="B626" s="125"/>
      <c r="C626" s="61"/>
      <c r="D626" s="61"/>
      <c r="E626" s="61"/>
    </row>
    <row r="627" spans="1:5" ht="12.2" customHeight="1" x14ac:dyDescent="0.2">
      <c r="A627" s="61"/>
      <c r="B627" s="125"/>
      <c r="C627" s="61"/>
      <c r="D627" s="61"/>
      <c r="E627" s="61"/>
    </row>
    <row r="628" spans="1:5" ht="12.2" customHeight="1" x14ac:dyDescent="0.2">
      <c r="A628" s="61"/>
      <c r="B628" s="125"/>
      <c r="C628" s="61"/>
      <c r="D628" s="61"/>
      <c r="E628" s="61"/>
    </row>
    <row r="629" spans="1:5" ht="12.2" customHeight="1" x14ac:dyDescent="0.2">
      <c r="A629" s="61"/>
      <c r="B629" s="125"/>
      <c r="C629" s="61"/>
      <c r="D629" s="61"/>
      <c r="E629" s="61"/>
    </row>
    <row r="630" spans="1:5" ht="12.2" customHeight="1" x14ac:dyDescent="0.2">
      <c r="A630" s="61"/>
      <c r="B630" s="125"/>
      <c r="C630" s="61"/>
      <c r="D630" s="61"/>
      <c r="E630" s="61"/>
    </row>
    <row r="631" spans="1:5" ht="12.2" customHeight="1" x14ac:dyDescent="0.2">
      <c r="A631" s="61"/>
      <c r="B631" s="125"/>
      <c r="C631" s="61"/>
      <c r="D631" s="61"/>
      <c r="E631" s="61"/>
    </row>
    <row r="632" spans="1:5" ht="12.2" customHeight="1" x14ac:dyDescent="0.2">
      <c r="A632" s="61"/>
      <c r="B632" s="125"/>
      <c r="C632" s="61"/>
      <c r="D632" s="61"/>
      <c r="E632" s="61"/>
    </row>
    <row r="633" spans="1:5" ht="12.2" customHeight="1" x14ac:dyDescent="0.2">
      <c r="A633" s="61"/>
      <c r="B633" s="125"/>
      <c r="C633" s="61"/>
      <c r="D633" s="61"/>
      <c r="E633" s="61"/>
    </row>
    <row r="634" spans="1:5" ht="12.2" customHeight="1" x14ac:dyDescent="0.2">
      <c r="A634" s="61"/>
      <c r="B634" s="125"/>
      <c r="C634" s="61"/>
      <c r="D634" s="61"/>
      <c r="E634" s="61"/>
    </row>
    <row r="635" spans="1:5" ht="12.2" customHeight="1" x14ac:dyDescent="0.2">
      <c r="A635" s="61"/>
      <c r="B635" s="125"/>
      <c r="C635" s="61"/>
      <c r="D635" s="61"/>
      <c r="E635" s="61"/>
    </row>
    <row r="636" spans="1:5" ht="12.2" customHeight="1" x14ac:dyDescent="0.2">
      <c r="A636" s="61"/>
      <c r="B636" s="125"/>
      <c r="C636" s="61"/>
      <c r="D636" s="61"/>
      <c r="E636" s="61"/>
    </row>
    <row r="637" spans="1:5" ht="12.2" customHeight="1" x14ac:dyDescent="0.2">
      <c r="A637" s="61"/>
      <c r="B637" s="125"/>
      <c r="C637" s="61"/>
      <c r="D637" s="61"/>
      <c r="E637" s="61"/>
    </row>
    <row r="638" spans="1:5" ht="12.2" customHeight="1" x14ac:dyDescent="0.2">
      <c r="A638" s="61"/>
      <c r="B638" s="125"/>
      <c r="C638" s="61"/>
      <c r="D638" s="61"/>
      <c r="E638" s="61"/>
    </row>
    <row r="639" spans="1:5" ht="12.2" customHeight="1" x14ac:dyDescent="0.2">
      <c r="A639" s="61"/>
      <c r="B639" s="125"/>
      <c r="C639" s="61"/>
      <c r="D639" s="61"/>
      <c r="E639" s="61"/>
    </row>
    <row r="640" spans="1:5" ht="12.2" customHeight="1" x14ac:dyDescent="0.2">
      <c r="A640" s="61"/>
      <c r="B640" s="125"/>
      <c r="C640" s="61"/>
      <c r="D640" s="61"/>
      <c r="E640" s="61"/>
    </row>
    <row r="641" spans="1:5" ht="12.2" customHeight="1" x14ac:dyDescent="0.2">
      <c r="A641" s="61"/>
      <c r="B641" s="125"/>
      <c r="C641" s="61"/>
      <c r="D641" s="61"/>
      <c r="E641" s="61"/>
    </row>
    <row r="642" spans="1:5" ht="12.2" customHeight="1" x14ac:dyDescent="0.2">
      <c r="A642" s="61"/>
      <c r="B642" s="125"/>
      <c r="C642" s="61"/>
      <c r="D642" s="61"/>
      <c r="E642" s="61"/>
    </row>
    <row r="643" spans="1:5" ht="12.2" customHeight="1" x14ac:dyDescent="0.2">
      <c r="A643" s="61"/>
      <c r="B643" s="125"/>
      <c r="C643" s="61"/>
      <c r="D643" s="61"/>
      <c r="E643" s="61"/>
    </row>
    <row r="644" spans="1:5" ht="12.2" customHeight="1" x14ac:dyDescent="0.2">
      <c r="A644" s="61"/>
      <c r="B644" s="125"/>
      <c r="C644" s="61"/>
      <c r="D644" s="61"/>
      <c r="E644" s="61"/>
    </row>
    <row r="645" spans="1:5" ht="12.2" customHeight="1" x14ac:dyDescent="0.2">
      <c r="A645" s="61"/>
      <c r="B645" s="125"/>
      <c r="C645" s="61"/>
      <c r="D645" s="61"/>
      <c r="E645" s="61"/>
    </row>
    <row r="646" spans="1:5" ht="12.2" customHeight="1" x14ac:dyDescent="0.2">
      <c r="A646" s="61"/>
      <c r="B646" s="125"/>
      <c r="C646" s="61"/>
      <c r="D646" s="61"/>
      <c r="E646" s="61"/>
    </row>
    <row r="647" spans="1:5" ht="12.2" customHeight="1" x14ac:dyDescent="0.2">
      <c r="A647" s="61"/>
      <c r="B647" s="125"/>
      <c r="C647" s="61"/>
      <c r="D647" s="61"/>
      <c r="E647" s="61"/>
    </row>
    <row r="648" spans="1:5" ht="12.2" customHeight="1" x14ac:dyDescent="0.2">
      <c r="A648" s="61"/>
      <c r="B648" s="125"/>
      <c r="C648" s="61"/>
      <c r="D648" s="61"/>
      <c r="E648" s="61"/>
    </row>
    <row r="649" spans="1:5" ht="12.2" customHeight="1" x14ac:dyDescent="0.2">
      <c r="A649" s="61"/>
      <c r="B649" s="125"/>
      <c r="C649" s="61"/>
      <c r="D649" s="61"/>
      <c r="E649" s="61"/>
    </row>
    <row r="650" spans="1:5" x14ac:dyDescent="0.2">
      <c r="A650" s="61"/>
      <c r="B650" s="125"/>
      <c r="C650" s="61"/>
      <c r="D650" s="61"/>
      <c r="E650" s="61"/>
    </row>
    <row r="651" spans="1:5" x14ac:dyDescent="0.2">
      <c r="A651" s="61"/>
      <c r="B651" s="125"/>
      <c r="C651" s="61"/>
      <c r="D651" s="61"/>
      <c r="E651" s="61"/>
    </row>
    <row r="652" spans="1:5" x14ac:dyDescent="0.2">
      <c r="A652" s="61"/>
      <c r="B652" s="125"/>
      <c r="C652" s="61"/>
      <c r="D652" s="61"/>
      <c r="E652" s="61"/>
    </row>
    <row r="653" spans="1:5" x14ac:dyDescent="0.2">
      <c r="A653" s="61"/>
      <c r="B653" s="125"/>
      <c r="C653" s="61"/>
      <c r="D653" s="61"/>
      <c r="E653" s="61"/>
    </row>
    <row r="654" spans="1:5" x14ac:dyDescent="0.2">
      <c r="A654" s="61"/>
      <c r="B654" s="125"/>
      <c r="C654" s="61"/>
      <c r="D654" s="61"/>
      <c r="E654" s="61"/>
    </row>
    <row r="655" spans="1:5" x14ac:dyDescent="0.2">
      <c r="A655" s="61"/>
      <c r="B655" s="125"/>
      <c r="C655" s="61"/>
      <c r="D655" s="61"/>
      <c r="E655" s="61"/>
    </row>
    <row r="656" spans="1:5" x14ac:dyDescent="0.2">
      <c r="A656" s="61"/>
      <c r="B656" s="125"/>
      <c r="C656" s="61"/>
      <c r="D656" s="61"/>
      <c r="E656" s="124"/>
    </row>
    <row r="657" spans="1:5" x14ac:dyDescent="0.2">
      <c r="A657" s="61"/>
      <c r="B657" s="125"/>
      <c r="C657" s="61"/>
      <c r="D657" s="61"/>
      <c r="E657" s="124"/>
    </row>
    <row r="658" spans="1:5" x14ac:dyDescent="0.2">
      <c r="A658" s="61"/>
      <c r="B658" s="125"/>
      <c r="C658" s="61"/>
      <c r="D658" s="61"/>
    </row>
    <row r="659" spans="1:5" x14ac:dyDescent="0.2">
      <c r="A659" s="61"/>
      <c r="B659" s="61"/>
      <c r="C659" s="61"/>
      <c r="D659" s="61"/>
    </row>
    <row r="660" spans="1:5" x14ac:dyDescent="0.2">
      <c r="A660" s="61"/>
      <c r="B660" s="61"/>
      <c r="C660" s="61"/>
      <c r="D660" s="61"/>
    </row>
  </sheetData>
  <sheetProtection algorithmName="SHA-512" hashValue="mYhnAvavhQeEa8GFbE0ZuB60/ZaBxQuTo1HVPiXzckCJNgl9RIY3MEyeuasK3DGHznb5K12CLbRVkkHNwSr/Qg==" saltValue="1HLkHXoEdvv2MswiFtPV2Q==" spinCount="100000" sheet="1" objects="1" scenarios="1"/>
  <phoneticPr fontId="12" type="noConversion"/>
  <pageMargins left="0.78740157499999996" right="0.78740157499999996" top="0.984251969" bottom="0.984251969" header="0.4921259845" footer="0.4921259845"/>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2:E70"/>
  <sheetViews>
    <sheetView workbookViewId="0">
      <selection activeCell="A72" sqref="A72"/>
    </sheetView>
  </sheetViews>
  <sheetFormatPr baseColWidth="10" defaultRowHeight="12.75" x14ac:dyDescent="0.2"/>
  <cols>
    <col min="1" max="1" width="42.85546875" style="153" customWidth="1"/>
    <col min="2" max="2" width="25.42578125" style="161" customWidth="1"/>
    <col min="3" max="3" width="42.7109375" style="171" customWidth="1"/>
    <col min="4" max="4" width="25.42578125" style="161" bestFit="1" customWidth="1"/>
    <col min="5" max="5" width="49" style="1" customWidth="1"/>
    <col min="7" max="7" width="6.140625" customWidth="1"/>
  </cols>
  <sheetData>
    <row r="2" spans="1:5" x14ac:dyDescent="0.2">
      <c r="B2" s="180" t="s">
        <v>354</v>
      </c>
    </row>
    <row r="3" spans="1:5" x14ac:dyDescent="0.2">
      <c r="B3" s="181"/>
    </row>
    <row r="4" spans="1:5" x14ac:dyDescent="0.2">
      <c r="B4" s="182" t="s">
        <v>341</v>
      </c>
    </row>
    <row r="5" spans="1:5" x14ac:dyDescent="0.2">
      <c r="B5" s="182" t="s">
        <v>342</v>
      </c>
    </row>
    <row r="6" spans="1:5" x14ac:dyDescent="0.2">
      <c r="A6" s="159" t="s">
        <v>345</v>
      </c>
      <c r="B6" s="182" t="s">
        <v>343</v>
      </c>
    </row>
    <row r="7" spans="1:5" x14ac:dyDescent="0.2">
      <c r="B7" s="182" t="s">
        <v>344</v>
      </c>
    </row>
    <row r="8" spans="1:5" x14ac:dyDescent="0.2">
      <c r="B8" s="179"/>
    </row>
    <row r="9" spans="1:5" s="2" customFormat="1" x14ac:dyDescent="0.2">
      <c r="A9" s="162" t="s">
        <v>339</v>
      </c>
      <c r="B9" s="164" t="s">
        <v>378</v>
      </c>
      <c r="C9" s="165" t="s">
        <v>340</v>
      </c>
      <c r="D9" s="164" t="s">
        <v>378</v>
      </c>
      <c r="E9" s="123" t="s">
        <v>359</v>
      </c>
    </row>
    <row r="10" spans="1:5" s="2" customFormat="1" x14ac:dyDescent="0.2">
      <c r="A10" s="183" t="s">
        <v>411</v>
      </c>
      <c r="B10" s="164"/>
      <c r="C10" s="184" t="s">
        <v>411</v>
      </c>
      <c r="D10" s="164"/>
      <c r="E10" s="123"/>
    </row>
    <row r="11" spans="1:5" s="2" customFormat="1" x14ac:dyDescent="0.2">
      <c r="A11" s="185" t="s">
        <v>411</v>
      </c>
      <c r="B11" s="179">
        <v>15</v>
      </c>
      <c r="C11" s="175" t="s">
        <v>411</v>
      </c>
      <c r="D11" s="179">
        <v>20</v>
      </c>
      <c r="E11" s="123"/>
    </row>
    <row r="12" spans="1:5" x14ac:dyDescent="0.2">
      <c r="A12" s="157" t="s">
        <v>321</v>
      </c>
      <c r="C12" s="170" t="s">
        <v>321</v>
      </c>
    </row>
    <row r="13" spans="1:5" ht="25.5" x14ac:dyDescent="0.2">
      <c r="A13" s="160" t="s">
        <v>346</v>
      </c>
      <c r="B13" s="161">
        <v>45</v>
      </c>
      <c r="C13" s="172" t="s">
        <v>346</v>
      </c>
      <c r="D13" s="161">
        <v>45</v>
      </c>
      <c r="E13" s="166" t="s">
        <v>367</v>
      </c>
    </row>
    <row r="14" spans="1:5" ht="25.5" x14ac:dyDescent="0.2">
      <c r="A14" s="160" t="s">
        <v>355</v>
      </c>
      <c r="B14" s="161">
        <v>40</v>
      </c>
      <c r="C14" s="172" t="s">
        <v>355</v>
      </c>
      <c r="D14" s="161">
        <v>40</v>
      </c>
      <c r="E14" s="166" t="s">
        <v>367</v>
      </c>
    </row>
    <row r="15" spans="1:5" ht="25.5" x14ac:dyDescent="0.2">
      <c r="A15" s="160" t="s">
        <v>347</v>
      </c>
      <c r="B15" s="161">
        <v>15</v>
      </c>
      <c r="C15" s="173" t="s">
        <v>348</v>
      </c>
      <c r="D15" s="161">
        <v>25</v>
      </c>
    </row>
    <row r="16" spans="1:5" ht="25.5" x14ac:dyDescent="0.2">
      <c r="A16" s="160" t="s">
        <v>349</v>
      </c>
      <c r="B16" s="161">
        <v>60</v>
      </c>
      <c r="C16" s="173" t="s">
        <v>350</v>
      </c>
      <c r="D16" s="161">
        <v>3</v>
      </c>
    </row>
    <row r="17" spans="1:5" x14ac:dyDescent="0.2">
      <c r="A17" s="160" t="s">
        <v>409</v>
      </c>
      <c r="B17" s="161">
        <v>10</v>
      </c>
      <c r="C17" s="173" t="s">
        <v>351</v>
      </c>
      <c r="D17" s="161">
        <v>7</v>
      </c>
    </row>
    <row r="18" spans="1:5" ht="25.5" x14ac:dyDescent="0.2">
      <c r="A18" s="160" t="s">
        <v>357</v>
      </c>
      <c r="B18" s="161">
        <v>10</v>
      </c>
      <c r="C18" s="173" t="s">
        <v>352</v>
      </c>
      <c r="D18" s="161">
        <v>25</v>
      </c>
    </row>
    <row r="19" spans="1:5" ht="25.5" x14ac:dyDescent="0.2">
      <c r="A19" s="160" t="s">
        <v>358</v>
      </c>
      <c r="B19" s="161">
        <v>15</v>
      </c>
      <c r="C19" s="173" t="s">
        <v>356</v>
      </c>
      <c r="D19" s="161">
        <v>3</v>
      </c>
    </row>
    <row r="20" spans="1:5" ht="25.5" x14ac:dyDescent="0.2">
      <c r="C20" s="173" t="s">
        <v>353</v>
      </c>
      <c r="D20" s="161">
        <v>12</v>
      </c>
    </row>
    <row r="21" spans="1:5" ht="25.5" x14ac:dyDescent="0.2">
      <c r="C21" s="173" t="s">
        <v>357</v>
      </c>
      <c r="D21" s="161">
        <v>10</v>
      </c>
    </row>
    <row r="22" spans="1:5" ht="25.5" x14ac:dyDescent="0.2">
      <c r="C22" s="173" t="s">
        <v>358</v>
      </c>
      <c r="D22" s="161">
        <v>20</v>
      </c>
    </row>
    <row r="23" spans="1:5" x14ac:dyDescent="0.2">
      <c r="A23" s="157" t="s">
        <v>360</v>
      </c>
      <c r="C23" s="163" t="s">
        <v>360</v>
      </c>
    </row>
    <row r="24" spans="1:5" ht="25.5" x14ac:dyDescent="0.2">
      <c r="A24" s="160" t="s">
        <v>361</v>
      </c>
      <c r="B24" s="161">
        <v>18</v>
      </c>
      <c r="C24" s="172" t="s">
        <v>361</v>
      </c>
      <c r="D24" s="161">
        <v>18</v>
      </c>
    </row>
    <row r="25" spans="1:5" ht="25.5" x14ac:dyDescent="0.2">
      <c r="A25" s="160" t="s">
        <v>362</v>
      </c>
      <c r="B25" s="161">
        <v>15</v>
      </c>
    </row>
    <row r="26" spans="1:5" s="3" customFormat="1" x14ac:dyDescent="0.2">
      <c r="A26" s="168" t="s">
        <v>372</v>
      </c>
      <c r="B26" s="167"/>
      <c r="C26" s="174" t="s">
        <v>372</v>
      </c>
      <c r="D26" s="167"/>
      <c r="E26" s="117"/>
    </row>
    <row r="27" spans="1:5" s="3" customFormat="1" x14ac:dyDescent="0.2">
      <c r="A27" s="168" t="s">
        <v>367</v>
      </c>
      <c r="B27" s="167"/>
      <c r="C27" s="169" t="s">
        <v>373</v>
      </c>
      <c r="D27" s="167">
        <v>17</v>
      </c>
      <c r="E27" s="117"/>
    </row>
    <row r="28" spans="1:5" x14ac:dyDescent="0.2">
      <c r="A28" s="157" t="s">
        <v>363</v>
      </c>
      <c r="C28" s="163" t="s">
        <v>363</v>
      </c>
    </row>
    <row r="29" spans="1:5" x14ac:dyDescent="0.2">
      <c r="A29" s="160" t="s">
        <v>364</v>
      </c>
      <c r="B29" s="161">
        <v>5</v>
      </c>
      <c r="C29" s="175" t="s">
        <v>366</v>
      </c>
      <c r="D29" s="161">
        <v>10</v>
      </c>
    </row>
    <row r="30" spans="1:5" ht="25.5" x14ac:dyDescent="0.2">
      <c r="A30" s="160" t="s">
        <v>365</v>
      </c>
      <c r="B30" s="161">
        <v>10</v>
      </c>
      <c r="C30" s="175" t="s">
        <v>375</v>
      </c>
      <c r="D30" s="161">
        <v>8</v>
      </c>
    </row>
    <row r="31" spans="1:5" ht="25.5" x14ac:dyDescent="0.2">
      <c r="A31" s="160" t="s">
        <v>371</v>
      </c>
      <c r="B31" s="161">
        <v>2</v>
      </c>
      <c r="C31" s="173" t="s">
        <v>376</v>
      </c>
      <c r="D31" s="161">
        <v>20</v>
      </c>
    </row>
    <row r="32" spans="1:5" s="3" customFormat="1" ht="25.5" x14ac:dyDescent="0.2">
      <c r="A32" s="160" t="s">
        <v>374</v>
      </c>
      <c r="B32" s="167">
        <v>10</v>
      </c>
      <c r="C32" s="173" t="s">
        <v>374</v>
      </c>
      <c r="D32" s="167">
        <v>10</v>
      </c>
      <c r="E32" s="117"/>
    </row>
    <row r="33" spans="1:4" x14ac:dyDescent="0.2">
      <c r="A33" s="157" t="s">
        <v>368</v>
      </c>
      <c r="C33" s="170" t="s">
        <v>368</v>
      </c>
    </row>
    <row r="34" spans="1:4" ht="25.5" x14ac:dyDescent="0.2">
      <c r="A34" s="158" t="s">
        <v>369</v>
      </c>
      <c r="B34" s="161">
        <v>18</v>
      </c>
      <c r="C34" s="176" t="s">
        <v>370</v>
      </c>
      <c r="D34" s="161">
        <v>21</v>
      </c>
    </row>
    <row r="35" spans="1:4" x14ac:dyDescent="0.2">
      <c r="A35" s="157" t="s">
        <v>377</v>
      </c>
      <c r="C35" s="170" t="s">
        <v>377</v>
      </c>
    </row>
    <row r="36" spans="1:4" ht="38.25" x14ac:dyDescent="0.2">
      <c r="A36" s="178" t="s">
        <v>381</v>
      </c>
      <c r="B36" s="161">
        <v>2</v>
      </c>
      <c r="C36" s="175" t="s">
        <v>380</v>
      </c>
      <c r="D36" s="161">
        <v>12</v>
      </c>
    </row>
    <row r="37" spans="1:4" ht="25.5" x14ac:dyDescent="0.2">
      <c r="A37" s="160" t="s">
        <v>379</v>
      </c>
      <c r="B37" s="161">
        <v>5</v>
      </c>
      <c r="C37" s="177" t="s">
        <v>384</v>
      </c>
      <c r="D37" s="161">
        <v>12</v>
      </c>
    </row>
    <row r="38" spans="1:4" ht="38.25" x14ac:dyDescent="0.2">
      <c r="A38" s="178" t="s">
        <v>382</v>
      </c>
      <c r="B38" s="161">
        <v>5</v>
      </c>
      <c r="C38" s="177" t="s">
        <v>385</v>
      </c>
      <c r="D38" s="161">
        <v>12</v>
      </c>
    </row>
    <row r="39" spans="1:4" x14ac:dyDescent="0.2">
      <c r="A39" s="178" t="s">
        <v>383</v>
      </c>
      <c r="B39" s="161">
        <v>5</v>
      </c>
      <c r="C39" s="177" t="s">
        <v>386</v>
      </c>
      <c r="D39" s="161">
        <v>1</v>
      </c>
    </row>
    <row r="40" spans="1:4" ht="38.25" x14ac:dyDescent="0.2">
      <c r="A40" s="178" t="s">
        <v>382</v>
      </c>
      <c r="B40" s="161">
        <v>5</v>
      </c>
      <c r="C40" s="177" t="s">
        <v>387</v>
      </c>
      <c r="D40" s="161">
        <v>12</v>
      </c>
    </row>
    <row r="41" spans="1:4" x14ac:dyDescent="0.2">
      <c r="A41" s="178" t="s">
        <v>383</v>
      </c>
      <c r="B41" s="161">
        <v>5</v>
      </c>
      <c r="C41" s="177" t="s">
        <v>386</v>
      </c>
      <c r="D41" s="161">
        <v>1</v>
      </c>
    </row>
    <row r="42" spans="1:4" ht="38.25" x14ac:dyDescent="0.2">
      <c r="A42" s="178" t="s">
        <v>382</v>
      </c>
      <c r="B42" s="161">
        <v>5</v>
      </c>
      <c r="C42" s="177" t="s">
        <v>387</v>
      </c>
      <c r="D42" s="161">
        <v>12</v>
      </c>
    </row>
    <row r="43" spans="1:4" x14ac:dyDescent="0.2">
      <c r="A43" s="178" t="s">
        <v>383</v>
      </c>
      <c r="B43" s="161">
        <v>5</v>
      </c>
      <c r="C43" s="177" t="s">
        <v>386</v>
      </c>
      <c r="D43" s="161">
        <v>1</v>
      </c>
    </row>
    <row r="44" spans="1:4" ht="25.5" x14ac:dyDescent="0.2">
      <c r="A44" s="160" t="s">
        <v>399</v>
      </c>
      <c r="B44" s="161">
        <v>15</v>
      </c>
      <c r="C44" s="177" t="s">
        <v>387</v>
      </c>
      <c r="D44" s="161">
        <v>12</v>
      </c>
    </row>
    <row r="45" spans="1:4" ht="38.25" x14ac:dyDescent="0.2">
      <c r="A45" s="178" t="s">
        <v>382</v>
      </c>
      <c r="B45" s="161">
        <v>5</v>
      </c>
      <c r="C45" s="177" t="s">
        <v>388</v>
      </c>
      <c r="D45" s="161">
        <v>5</v>
      </c>
    </row>
    <row r="46" spans="1:4" ht="25.5" x14ac:dyDescent="0.2">
      <c r="A46" s="178" t="s">
        <v>393</v>
      </c>
      <c r="B46" s="161">
        <v>5</v>
      </c>
      <c r="C46" s="177" t="s">
        <v>389</v>
      </c>
      <c r="D46" s="161">
        <v>18</v>
      </c>
    </row>
    <row r="47" spans="1:4" x14ac:dyDescent="0.2">
      <c r="C47" s="177" t="s">
        <v>390</v>
      </c>
      <c r="D47" s="161">
        <v>6</v>
      </c>
    </row>
    <row r="48" spans="1:4" ht="25.5" x14ac:dyDescent="0.2">
      <c r="C48" s="177" t="s">
        <v>391</v>
      </c>
      <c r="D48" s="161">
        <v>32</v>
      </c>
    </row>
    <row r="49" spans="1:4" x14ac:dyDescent="0.2">
      <c r="C49" s="177" t="s">
        <v>392</v>
      </c>
      <c r="D49" s="161">
        <v>5</v>
      </c>
    </row>
    <row r="50" spans="1:4" x14ac:dyDescent="0.2">
      <c r="A50" s="157" t="s">
        <v>397</v>
      </c>
      <c r="C50" s="157" t="s">
        <v>397</v>
      </c>
    </row>
    <row r="51" spans="1:4" ht="25.5" x14ac:dyDescent="0.2">
      <c r="A51" s="158" t="s">
        <v>398</v>
      </c>
      <c r="B51" s="161">
        <v>10</v>
      </c>
      <c r="C51" s="175" t="s">
        <v>367</v>
      </c>
    </row>
    <row r="52" spans="1:4" x14ac:dyDescent="0.2">
      <c r="A52" s="157" t="s">
        <v>394</v>
      </c>
      <c r="B52" s="164"/>
      <c r="C52" s="170" t="s">
        <v>394</v>
      </c>
    </row>
    <row r="53" spans="1:4" ht="25.5" x14ac:dyDescent="0.2">
      <c r="A53" s="153" t="s">
        <v>369</v>
      </c>
      <c r="B53" s="161">
        <v>18</v>
      </c>
      <c r="C53" s="171" t="s">
        <v>370</v>
      </c>
      <c r="D53" s="161">
        <v>21</v>
      </c>
    </row>
    <row r="54" spans="1:4" x14ac:dyDescent="0.2">
      <c r="A54" s="157" t="s">
        <v>395</v>
      </c>
      <c r="B54" s="164"/>
      <c r="C54" s="170" t="s">
        <v>395</v>
      </c>
    </row>
    <row r="55" spans="1:4" x14ac:dyDescent="0.2">
      <c r="A55" s="158" t="s">
        <v>396</v>
      </c>
      <c r="B55" s="161">
        <v>10</v>
      </c>
      <c r="C55" s="171" t="s">
        <v>396</v>
      </c>
      <c r="D55" s="161">
        <v>15</v>
      </c>
    </row>
    <row r="56" spans="1:4" x14ac:dyDescent="0.2">
      <c r="A56" s="157" t="s">
        <v>397</v>
      </c>
      <c r="C56" s="170" t="s">
        <v>397</v>
      </c>
    </row>
    <row r="57" spans="1:4" x14ac:dyDescent="0.2">
      <c r="A57" s="158" t="s">
        <v>408</v>
      </c>
      <c r="B57" s="161">
        <v>10</v>
      </c>
      <c r="C57" s="176" t="s">
        <v>402</v>
      </c>
      <c r="D57" s="161">
        <v>5</v>
      </c>
    </row>
    <row r="58" spans="1:4" x14ac:dyDescent="0.2">
      <c r="A58" s="153" t="s">
        <v>407</v>
      </c>
      <c r="B58" s="161">
        <v>10</v>
      </c>
      <c r="C58" s="176" t="s">
        <v>400</v>
      </c>
      <c r="D58" s="161">
        <v>5</v>
      </c>
    </row>
    <row r="59" spans="1:4" x14ac:dyDescent="0.2">
      <c r="C59" s="176" t="s">
        <v>401</v>
      </c>
      <c r="D59" s="161">
        <v>12</v>
      </c>
    </row>
    <row r="60" spans="1:4" x14ac:dyDescent="0.2">
      <c r="C60" s="176" t="s">
        <v>403</v>
      </c>
      <c r="D60" s="161">
        <v>10</v>
      </c>
    </row>
    <row r="61" spans="1:4" x14ac:dyDescent="0.2">
      <c r="C61" s="170" t="s">
        <v>404</v>
      </c>
    </row>
    <row r="62" spans="1:4" x14ac:dyDescent="0.2">
      <c r="C62" s="176" t="s">
        <v>412</v>
      </c>
      <c r="D62" s="161">
        <v>20</v>
      </c>
    </row>
    <row r="63" spans="1:4" x14ac:dyDescent="0.2">
      <c r="C63" s="170" t="s">
        <v>405</v>
      </c>
    </row>
    <row r="64" spans="1:4" ht="25.5" x14ac:dyDescent="0.2">
      <c r="C64" s="176" t="s">
        <v>410</v>
      </c>
      <c r="D64" s="161">
        <v>30</v>
      </c>
    </row>
    <row r="65" spans="1:4" x14ac:dyDescent="0.2">
      <c r="C65" s="176" t="s">
        <v>406</v>
      </c>
      <c r="D65" s="161">
        <v>5</v>
      </c>
    </row>
    <row r="66" spans="1:4" x14ac:dyDescent="0.2">
      <c r="C66" s="171" t="s">
        <v>407</v>
      </c>
      <c r="D66" s="161">
        <v>5</v>
      </c>
    </row>
    <row r="67" spans="1:4" x14ac:dyDescent="0.2">
      <c r="A67" s="189" t="s">
        <v>417</v>
      </c>
      <c r="B67" s="187"/>
      <c r="C67" s="188" t="s">
        <v>416</v>
      </c>
      <c r="D67" s="187"/>
    </row>
    <row r="68" spans="1:4" x14ac:dyDescent="0.2">
      <c r="A68" s="158" t="s">
        <v>413</v>
      </c>
      <c r="B68" s="161">
        <f>SUM(B11:B67)</f>
        <v>408</v>
      </c>
      <c r="C68" s="161">
        <f>D68-B68</f>
        <v>175</v>
      </c>
      <c r="D68" s="161">
        <f>SUM(D11:D67)</f>
        <v>583</v>
      </c>
    </row>
    <row r="69" spans="1:4" x14ac:dyDescent="0.2">
      <c r="A69" s="158" t="s">
        <v>414</v>
      </c>
      <c r="B69" s="186">
        <f>B68/60</f>
        <v>6.8</v>
      </c>
      <c r="C69" s="186">
        <f>D69-B69</f>
        <v>2.916666666666667</v>
      </c>
      <c r="D69" s="186">
        <f>D68/60</f>
        <v>9.7166666666666668</v>
      </c>
    </row>
    <row r="70" spans="1:4" x14ac:dyDescent="0.2">
      <c r="A70" s="158" t="s">
        <v>415</v>
      </c>
      <c r="B70" s="156">
        <f>B69*2*30</f>
        <v>408</v>
      </c>
      <c r="C70" s="156">
        <f>D70-B70</f>
        <v>175</v>
      </c>
      <c r="D70" s="156">
        <f>D69*2*30</f>
        <v>583</v>
      </c>
    </row>
  </sheetData>
  <phoneticPr fontId="20" type="noConversion"/>
  <pageMargins left="0.78740157499999996" right="0.78740157499999996" top="0.984251969" bottom="0.984251969" header="0.4921259845" footer="0.492125984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2:C15"/>
  <sheetViews>
    <sheetView workbookViewId="0">
      <selection activeCell="C6" sqref="C6"/>
    </sheetView>
  </sheetViews>
  <sheetFormatPr baseColWidth="10" defaultRowHeight="12.75" x14ac:dyDescent="0.2"/>
  <cols>
    <col min="1" max="1" width="41.140625" customWidth="1"/>
  </cols>
  <sheetData>
    <row r="2" spans="1:3" ht="20.25" x14ac:dyDescent="0.3">
      <c r="A2" s="108" t="s">
        <v>63</v>
      </c>
    </row>
    <row r="6" spans="1:3" x14ac:dyDescent="0.2">
      <c r="A6" s="2" t="s">
        <v>64</v>
      </c>
      <c r="B6" s="2" t="s">
        <v>96</v>
      </c>
      <c r="C6" s="2" t="s">
        <v>65</v>
      </c>
    </row>
    <row r="7" spans="1:3" x14ac:dyDescent="0.2">
      <c r="C7" t="str">
        <f t="shared" ref="C7:C13" si="0">IF(B7&gt;0,A7,"")</f>
        <v/>
      </c>
    </row>
    <row r="8" spans="1:3" x14ac:dyDescent="0.2">
      <c r="C8" t="str">
        <f t="shared" si="0"/>
        <v/>
      </c>
    </row>
    <row r="9" spans="1:3" x14ac:dyDescent="0.2">
      <c r="C9" t="str">
        <f t="shared" si="0"/>
        <v/>
      </c>
    </row>
    <row r="10" spans="1:3" x14ac:dyDescent="0.2">
      <c r="C10" t="str">
        <f t="shared" si="0"/>
        <v/>
      </c>
    </row>
    <row r="11" spans="1:3" x14ac:dyDescent="0.2">
      <c r="C11" t="str">
        <f t="shared" si="0"/>
        <v/>
      </c>
    </row>
    <row r="12" spans="1:3" x14ac:dyDescent="0.2">
      <c r="C12" t="str">
        <f t="shared" si="0"/>
        <v/>
      </c>
    </row>
    <row r="13" spans="1:3" x14ac:dyDescent="0.2">
      <c r="C13" t="str">
        <f t="shared" si="0"/>
        <v/>
      </c>
    </row>
    <row r="15" spans="1:3" x14ac:dyDescent="0.2">
      <c r="A15" s="2" t="s">
        <v>58</v>
      </c>
      <c r="B15" t="str">
        <f>C7&amp;C8&amp;C9&amp;C10&amp;C11&amp;C12&amp;C13</f>
        <v/>
      </c>
    </row>
  </sheetData>
  <phoneticPr fontId="20" type="noConversion"/>
  <pageMargins left="0.78740157499999996" right="0.78740157499999996" top="0.984251969" bottom="0.984251969" header="0.4921259845" footer="0.492125984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19">
    <tabColor indexed="43"/>
    <pageSetUpPr fitToPage="1"/>
  </sheetPr>
  <dimension ref="A1:M91"/>
  <sheetViews>
    <sheetView showGridLines="0" view="pageBreakPreview" zoomScale="85" zoomScaleNormal="100" workbookViewId="0">
      <selection activeCell="A20" sqref="A20:J90"/>
    </sheetView>
  </sheetViews>
  <sheetFormatPr baseColWidth="10" defaultRowHeight="15" x14ac:dyDescent="0.2"/>
  <cols>
    <col min="1" max="1" width="24.85546875" style="20" customWidth="1"/>
    <col min="2" max="2" width="22.7109375" style="20" customWidth="1"/>
    <col min="3" max="3" width="26.140625" style="20" customWidth="1"/>
    <col min="4" max="4" width="13.7109375" style="20" customWidth="1"/>
    <col min="5" max="5" width="12.7109375" style="20" customWidth="1"/>
    <col min="6" max="6" width="7.85546875" style="20" customWidth="1"/>
    <col min="7" max="7" width="7.28515625" style="20" customWidth="1"/>
    <col min="8" max="8" width="5.85546875" style="20" customWidth="1"/>
    <col min="9" max="9" width="18.7109375" style="20" customWidth="1"/>
    <col min="10" max="10" width="5.42578125" style="20" customWidth="1"/>
  </cols>
  <sheetData>
    <row r="1" spans="1:10" ht="12.75" customHeight="1" x14ac:dyDescent="0.2">
      <c r="A1" s="70"/>
      <c r="B1" s="2726" t="str">
        <f>Dateneingabe!F1&amp;"("&amp;Dateneingabe!J1&amp;")"</f>
        <v>Ausschreibung GCC vertikal()</v>
      </c>
      <c r="C1" s="2726"/>
      <c r="D1" s="2726"/>
      <c r="E1" s="2726"/>
      <c r="F1" s="71"/>
      <c r="G1" s="77"/>
      <c r="H1" s="78"/>
      <c r="I1" s="2717" t="s">
        <v>233</v>
      </c>
      <c r="J1" s="2718"/>
    </row>
    <row r="2" spans="1:10" ht="18" customHeight="1" x14ac:dyDescent="0.2">
      <c r="A2" s="72"/>
      <c r="B2" s="2727"/>
      <c r="C2" s="2727"/>
      <c r="D2" s="2727"/>
      <c r="E2" s="2727"/>
      <c r="F2" s="58"/>
      <c r="G2" s="22"/>
      <c r="H2" s="47"/>
      <c r="I2" s="2719"/>
      <c r="J2" s="2720"/>
    </row>
    <row r="3" spans="1:10" ht="15.75" x14ac:dyDescent="0.25">
      <c r="A3" s="72"/>
      <c r="B3" s="22"/>
      <c r="C3" s="22"/>
      <c r="D3" s="22"/>
      <c r="E3" s="22"/>
      <c r="F3" s="22"/>
      <c r="G3" s="22"/>
      <c r="H3" s="57"/>
      <c r="I3" s="22"/>
      <c r="J3" s="73"/>
    </row>
    <row r="4" spans="1:10" x14ac:dyDescent="0.2">
      <c r="A4" s="72" t="s">
        <v>106</v>
      </c>
      <c r="B4" s="45" t="str">
        <f>Dateneingabe!F3</f>
        <v>05217112</v>
      </c>
      <c r="C4" s="22"/>
      <c r="D4" s="57" t="s">
        <v>13</v>
      </c>
      <c r="E4" s="45" t="str">
        <f>Dateneingabe!H3</f>
        <v>200</v>
      </c>
      <c r="F4" s="22"/>
      <c r="G4" s="22"/>
      <c r="H4" s="22"/>
      <c r="I4" s="22"/>
      <c r="J4" s="74"/>
    </row>
    <row r="5" spans="1:10" ht="6" customHeight="1" x14ac:dyDescent="0.2">
      <c r="A5" s="72"/>
      <c r="B5" s="22"/>
      <c r="C5" s="22"/>
      <c r="D5" s="57"/>
      <c r="E5" s="22"/>
      <c r="F5" s="22"/>
      <c r="G5" s="22"/>
      <c r="H5" s="22"/>
      <c r="I5" s="22"/>
      <c r="J5" s="74"/>
    </row>
    <row r="6" spans="1:10" x14ac:dyDescent="0.2">
      <c r="A6" s="72" t="s">
        <v>83</v>
      </c>
      <c r="B6" s="45" t="str">
        <f>Dateneingabe!F5</f>
        <v>5101.002095</v>
      </c>
      <c r="C6" s="22"/>
      <c r="D6" s="6"/>
      <c r="E6" s="6"/>
      <c r="F6" s="22"/>
      <c r="G6" s="22"/>
      <c r="H6" s="22"/>
      <c r="I6" s="22"/>
      <c r="J6" s="74"/>
    </row>
    <row r="7" spans="1:10" ht="6" customHeight="1" x14ac:dyDescent="0.2">
      <c r="A7" s="72"/>
      <c r="B7" s="22"/>
      <c r="C7" s="22"/>
      <c r="D7" s="57"/>
      <c r="E7" s="22"/>
      <c r="F7" s="22"/>
      <c r="G7" s="22"/>
      <c r="H7" s="22"/>
      <c r="I7" s="22"/>
      <c r="J7" s="74"/>
    </row>
    <row r="8" spans="1:10" x14ac:dyDescent="0.2">
      <c r="A8" s="72" t="s">
        <v>66</v>
      </c>
      <c r="B8" s="46" t="str">
        <f>Dateneingabe!F15</f>
        <v>MiWo</v>
      </c>
      <c r="C8" s="22"/>
      <c r="D8" s="57" t="s">
        <v>97</v>
      </c>
      <c r="E8" s="49">
        <f>Dateneingabe!F13</f>
        <v>44594</v>
      </c>
      <c r="F8" s="22"/>
      <c r="G8" s="22"/>
      <c r="H8" s="22"/>
      <c r="I8" s="22"/>
      <c r="J8" s="74"/>
    </row>
    <row r="9" spans="1:10" ht="6" customHeight="1" x14ac:dyDescent="0.2">
      <c r="A9" s="72"/>
      <c r="B9" s="22"/>
      <c r="C9" s="22"/>
      <c r="D9" s="22"/>
      <c r="E9" s="22"/>
      <c r="F9" s="22"/>
      <c r="G9" s="22"/>
      <c r="H9" s="22"/>
      <c r="I9" s="22"/>
      <c r="J9" s="74"/>
    </row>
    <row r="10" spans="1:10" x14ac:dyDescent="0.2">
      <c r="A10" s="72" t="s">
        <v>57</v>
      </c>
      <c r="B10" s="104"/>
      <c r="C10" s="22"/>
      <c r="D10" s="22"/>
      <c r="E10" s="22"/>
      <c r="F10" s="22"/>
      <c r="G10" s="22"/>
      <c r="H10" s="22"/>
      <c r="I10" s="22"/>
      <c r="J10" s="74"/>
    </row>
    <row r="11" spans="1:10" ht="6" customHeight="1" x14ac:dyDescent="0.2">
      <c r="A11" s="72"/>
      <c r="B11" s="22"/>
      <c r="C11" s="22"/>
      <c r="D11" s="22"/>
      <c r="E11" s="22"/>
      <c r="F11" s="22"/>
      <c r="G11" s="22"/>
      <c r="H11" s="22"/>
      <c r="I11" s="22"/>
      <c r="J11" s="74"/>
    </row>
    <row r="12" spans="1:10" x14ac:dyDescent="0.2">
      <c r="A12" s="75" t="s">
        <v>14</v>
      </c>
      <c r="B12" s="22"/>
      <c r="C12" s="22"/>
      <c r="D12" s="22"/>
      <c r="E12" s="22"/>
      <c r="F12" s="22"/>
      <c r="G12" s="22"/>
      <c r="H12"/>
      <c r="I12"/>
      <c r="J12" s="74"/>
    </row>
    <row r="13" spans="1:10" ht="6" customHeight="1" x14ac:dyDescent="0.2">
      <c r="A13" s="72"/>
      <c r="B13" s="22"/>
      <c r="C13" s="22"/>
      <c r="D13" s="22"/>
      <c r="E13" s="22"/>
      <c r="F13" s="22"/>
      <c r="G13" s="22"/>
      <c r="H13"/>
      <c r="I13"/>
      <c r="J13" s="74"/>
    </row>
    <row r="14" spans="1:10" x14ac:dyDescent="0.2">
      <c r="A14" s="2728"/>
      <c r="B14" s="2729"/>
      <c r="C14" s="2729"/>
      <c r="D14" s="2729"/>
      <c r="E14" s="2730"/>
      <c r="F14" s="50"/>
      <c r="G14" s="51"/>
      <c r="H14"/>
      <c r="I14"/>
      <c r="J14" s="74"/>
    </row>
    <row r="15" spans="1:10" ht="12.2" customHeight="1" x14ac:dyDescent="0.2">
      <c r="A15" s="2731"/>
      <c r="B15" s="2732"/>
      <c r="C15" s="2732"/>
      <c r="D15" s="2732"/>
      <c r="E15" s="2733"/>
      <c r="F15" s="50"/>
      <c r="G15" s="51"/>
      <c r="H15"/>
      <c r="I15"/>
      <c r="J15" s="74"/>
    </row>
    <row r="16" spans="1:10" ht="12.2" customHeight="1" x14ac:dyDescent="0.2">
      <c r="A16" s="2734"/>
      <c r="B16" s="2735"/>
      <c r="C16" s="2735"/>
      <c r="D16" s="2735"/>
      <c r="E16" s="2736"/>
      <c r="F16" s="50"/>
      <c r="G16" s="51"/>
      <c r="H16" s="22"/>
      <c r="I16" s="22"/>
      <c r="J16" s="74"/>
    </row>
    <row r="17" spans="1:13" ht="20.100000000000001" customHeight="1" thickBot="1" x14ac:dyDescent="0.25">
      <c r="A17" s="76"/>
      <c r="B17" s="50"/>
      <c r="C17" s="50"/>
      <c r="D17" s="50"/>
      <c r="E17" s="50"/>
      <c r="F17" s="50"/>
      <c r="G17" s="51"/>
      <c r="H17" s="22"/>
      <c r="I17" s="22"/>
      <c r="J17" s="74"/>
    </row>
    <row r="18" spans="1:13" ht="15" customHeight="1" thickBot="1" x14ac:dyDescent="0.3">
      <c r="A18" s="2713" t="s">
        <v>72</v>
      </c>
      <c r="B18" s="2713"/>
      <c r="C18" s="2713"/>
      <c r="D18" s="2713" t="s">
        <v>104</v>
      </c>
      <c r="E18" s="2737" t="s">
        <v>105</v>
      </c>
      <c r="F18" s="2721" t="s">
        <v>103</v>
      </c>
      <c r="G18" s="2722"/>
      <c r="H18" s="2723"/>
      <c r="I18" s="2724" t="s">
        <v>84</v>
      </c>
      <c r="J18" s="2724" t="s">
        <v>12</v>
      </c>
    </row>
    <row r="19" spans="1:13" ht="16.5" thickBot="1" x14ac:dyDescent="0.3">
      <c r="A19" s="2714"/>
      <c r="B19" s="2714"/>
      <c r="C19" s="2714"/>
      <c r="D19" s="2714"/>
      <c r="E19" s="2714"/>
      <c r="F19" s="52" t="s">
        <v>17</v>
      </c>
      <c r="G19" s="52" t="s">
        <v>73</v>
      </c>
      <c r="H19" s="52" t="s">
        <v>16</v>
      </c>
      <c r="I19" s="2725"/>
      <c r="J19" s="2725"/>
    </row>
    <row r="20" spans="1:13" s="65" customFormat="1" ht="24.95" customHeight="1" x14ac:dyDescent="0.25">
      <c r="A20" s="2715" t="s">
        <v>278</v>
      </c>
      <c r="B20" s="2716"/>
      <c r="C20" s="2716"/>
      <c r="D20" s="62">
        <v>0</v>
      </c>
      <c r="E20" s="63">
        <v>1</v>
      </c>
      <c r="F20" s="64">
        <v>0</v>
      </c>
      <c r="G20" s="64">
        <v>0</v>
      </c>
      <c r="H20" s="64">
        <v>0</v>
      </c>
      <c r="I20" s="64"/>
      <c r="J20" s="79"/>
    </row>
    <row r="21" spans="1:13" s="65" customFormat="1" ht="24.95" customHeight="1" x14ac:dyDescent="0.25">
      <c r="A21" s="2711" t="s">
        <v>275</v>
      </c>
      <c r="B21" s="2712"/>
      <c r="C21" s="2712"/>
      <c r="D21" s="66">
        <v>0</v>
      </c>
      <c r="E21" s="67">
        <v>1</v>
      </c>
      <c r="F21" s="68">
        <v>1250</v>
      </c>
      <c r="G21" s="68">
        <v>1680</v>
      </c>
      <c r="H21" s="68">
        <v>12.5</v>
      </c>
      <c r="I21" s="68"/>
      <c r="J21" s="80"/>
    </row>
    <row r="22" spans="1:13" s="65" customFormat="1" ht="24.95" customHeight="1" x14ac:dyDescent="0.25">
      <c r="A22" s="2711" t="s">
        <v>277</v>
      </c>
      <c r="B22" s="2712"/>
      <c r="C22" s="2712"/>
      <c r="D22" s="66">
        <v>0</v>
      </c>
      <c r="E22" s="67">
        <v>1</v>
      </c>
      <c r="F22" s="68">
        <v>1500</v>
      </c>
      <c r="G22" s="68">
        <v>1680</v>
      </c>
      <c r="H22" s="68">
        <v>1</v>
      </c>
      <c r="I22" s="68"/>
      <c r="J22" s="80"/>
      <c r="M22" s="69"/>
    </row>
    <row r="23" spans="1:13" s="65" customFormat="1" ht="24.95" customHeight="1" x14ac:dyDescent="0.25">
      <c r="A23" s="2711" t="s">
        <v>275</v>
      </c>
      <c r="B23" s="2712"/>
      <c r="C23" s="2712"/>
      <c r="D23" s="66">
        <v>0</v>
      </c>
      <c r="E23" s="67">
        <v>1</v>
      </c>
      <c r="F23" s="68">
        <v>1250</v>
      </c>
      <c r="G23" s="68">
        <v>1680</v>
      </c>
      <c r="H23" s="68">
        <v>12.5</v>
      </c>
      <c r="I23" s="68"/>
      <c r="J23" s="80"/>
    </row>
    <row r="24" spans="1:13" s="65" customFormat="1" ht="24.95" customHeight="1" x14ac:dyDescent="0.25">
      <c r="A24" s="2711" t="s">
        <v>274</v>
      </c>
      <c r="B24" s="2712"/>
      <c r="C24" s="2712"/>
      <c r="D24" s="66">
        <v>0</v>
      </c>
      <c r="E24" s="67">
        <v>1</v>
      </c>
      <c r="F24" s="68">
        <v>1250</v>
      </c>
      <c r="G24" s="68">
        <v>1680</v>
      </c>
      <c r="H24" s="68">
        <v>12.5</v>
      </c>
      <c r="I24" s="68"/>
      <c r="J24" s="80"/>
    </row>
    <row r="25" spans="1:13" s="65" customFormat="1" ht="24.95" customHeight="1" x14ac:dyDescent="0.25">
      <c r="A25" s="2711" t="s">
        <v>279</v>
      </c>
      <c r="B25" s="2712"/>
      <c r="C25" s="2712"/>
      <c r="D25" s="66">
        <v>0</v>
      </c>
      <c r="E25" s="67">
        <v>1</v>
      </c>
      <c r="F25" s="68">
        <v>0</v>
      </c>
      <c r="G25" s="68">
        <v>0</v>
      </c>
      <c r="H25" s="68">
        <v>0</v>
      </c>
      <c r="I25" s="68"/>
      <c r="J25" s="80"/>
    </row>
    <row r="26" spans="1:13" s="65" customFormat="1" ht="24.95" customHeight="1" x14ac:dyDescent="0.25">
      <c r="A26" s="2711" t="s">
        <v>275</v>
      </c>
      <c r="B26" s="2712"/>
      <c r="C26" s="2712"/>
      <c r="D26" s="66">
        <v>0</v>
      </c>
      <c r="E26" s="67">
        <v>1</v>
      </c>
      <c r="F26" s="68">
        <v>300</v>
      </c>
      <c r="G26" s="68">
        <v>1680</v>
      </c>
      <c r="H26" s="68">
        <v>12.5</v>
      </c>
      <c r="I26" s="68"/>
      <c r="J26" s="80"/>
    </row>
    <row r="27" spans="1:13" s="65" customFormat="1" ht="24.95" customHeight="1" x14ac:dyDescent="0.25">
      <c r="A27" s="2711"/>
      <c r="B27" s="2712"/>
      <c r="C27" s="2712"/>
      <c r="D27" s="66"/>
      <c r="E27" s="67"/>
      <c r="F27" s="68"/>
      <c r="G27" s="68"/>
      <c r="H27" s="68"/>
      <c r="I27" s="68"/>
      <c r="J27" s="80"/>
    </row>
    <row r="28" spans="1:13" s="65" customFormat="1" ht="24.95" customHeight="1" x14ac:dyDescent="0.25">
      <c r="A28" s="2711"/>
      <c r="B28" s="2712"/>
      <c r="C28" s="2712"/>
      <c r="D28" s="66"/>
      <c r="E28" s="67"/>
      <c r="F28" s="68"/>
      <c r="G28" s="68"/>
      <c r="H28" s="68"/>
      <c r="I28" s="68"/>
      <c r="J28" s="80"/>
    </row>
    <row r="29" spans="1:13" s="65" customFormat="1" ht="24.95" customHeight="1" x14ac:dyDescent="0.25">
      <c r="A29" s="2711"/>
      <c r="B29" s="2712"/>
      <c r="C29" s="2712"/>
      <c r="D29" s="66"/>
      <c r="E29" s="67"/>
      <c r="F29" s="68"/>
      <c r="G29" s="68"/>
      <c r="H29" s="68"/>
      <c r="I29" s="68"/>
      <c r="J29" s="80"/>
    </row>
    <row r="30" spans="1:13" s="65" customFormat="1" ht="24.95" customHeight="1" x14ac:dyDescent="0.25">
      <c r="A30" s="2711"/>
      <c r="B30" s="2712"/>
      <c r="C30" s="2712"/>
      <c r="D30" s="66"/>
      <c r="E30" s="67"/>
      <c r="F30" s="68"/>
      <c r="G30" s="68"/>
      <c r="H30" s="68"/>
      <c r="I30" s="68"/>
      <c r="J30" s="80"/>
    </row>
    <row r="31" spans="1:13" s="65" customFormat="1" ht="24.95" customHeight="1" x14ac:dyDescent="0.25">
      <c r="A31" s="2708"/>
      <c r="B31" s="2709"/>
      <c r="C31" s="2710"/>
      <c r="D31" s="66"/>
      <c r="E31" s="67"/>
      <c r="F31" s="68"/>
      <c r="G31" s="68"/>
      <c r="H31" s="68"/>
      <c r="I31" s="68"/>
      <c r="J31" s="80"/>
    </row>
    <row r="32" spans="1:13" s="65" customFormat="1" ht="24.95" customHeight="1" x14ac:dyDescent="0.25">
      <c r="A32" s="92"/>
      <c r="B32" s="93"/>
      <c r="C32" s="94"/>
      <c r="D32" s="66"/>
      <c r="E32" s="67"/>
      <c r="F32" s="68"/>
      <c r="G32" s="68"/>
      <c r="H32" s="68"/>
      <c r="I32" s="68"/>
      <c r="J32" s="80"/>
    </row>
    <row r="33" spans="1:10" s="65" customFormat="1" ht="24.95" customHeight="1" x14ac:dyDescent="0.25">
      <c r="A33" s="92"/>
      <c r="B33" s="93"/>
      <c r="C33" s="94"/>
      <c r="D33" s="66"/>
      <c r="E33" s="67"/>
      <c r="F33" s="68"/>
      <c r="G33" s="68"/>
      <c r="H33" s="68"/>
      <c r="I33" s="68"/>
      <c r="J33" s="80"/>
    </row>
    <row r="34" spans="1:10" s="65" customFormat="1" ht="24.95" customHeight="1" x14ac:dyDescent="0.25">
      <c r="A34" s="2708"/>
      <c r="B34" s="2709"/>
      <c r="C34" s="2710"/>
      <c r="D34" s="66"/>
      <c r="E34" s="67"/>
      <c r="F34" s="68"/>
      <c r="G34" s="68"/>
      <c r="H34" s="68"/>
      <c r="I34" s="68"/>
      <c r="J34" s="80"/>
    </row>
    <row r="35" spans="1:10" s="65" customFormat="1" ht="24.95" customHeight="1" x14ac:dyDescent="0.25">
      <c r="A35" s="2708"/>
      <c r="B35" s="2709"/>
      <c r="C35" s="2710"/>
      <c r="D35" s="66"/>
      <c r="E35" s="67"/>
      <c r="F35" s="68"/>
      <c r="G35" s="68"/>
      <c r="H35" s="68"/>
      <c r="I35" s="68"/>
      <c r="J35" s="80"/>
    </row>
    <row r="36" spans="1:10" s="65" customFormat="1" ht="24.95" customHeight="1" x14ac:dyDescent="0.25">
      <c r="A36" s="2708"/>
      <c r="B36" s="2709"/>
      <c r="C36" s="2710"/>
      <c r="D36" s="66"/>
      <c r="E36" s="67"/>
      <c r="F36" s="68"/>
      <c r="G36" s="68"/>
      <c r="H36" s="68"/>
      <c r="I36" s="68"/>
      <c r="J36" s="80"/>
    </row>
    <row r="37" spans="1:10" s="65" customFormat="1" ht="24.95" customHeight="1" x14ac:dyDescent="0.25">
      <c r="A37" s="2708"/>
      <c r="B37" s="2709"/>
      <c r="C37" s="2710"/>
      <c r="D37" s="66"/>
      <c r="E37" s="67"/>
      <c r="F37" s="68"/>
      <c r="G37" s="68"/>
      <c r="H37" s="68"/>
      <c r="I37" s="68"/>
      <c r="J37" s="80"/>
    </row>
    <row r="38" spans="1:10" s="65" customFormat="1" ht="24.95" customHeight="1" x14ac:dyDescent="0.25">
      <c r="A38" s="2708"/>
      <c r="B38" s="2709"/>
      <c r="C38" s="2710"/>
      <c r="D38" s="66"/>
      <c r="E38" s="67"/>
      <c r="F38" s="68"/>
      <c r="G38" s="68"/>
      <c r="H38" s="68"/>
      <c r="I38" s="68"/>
      <c r="J38" s="80"/>
    </row>
    <row r="39" spans="1:10" s="65" customFormat="1" ht="24.95" customHeight="1" x14ac:dyDescent="0.25">
      <c r="A39" s="2708"/>
      <c r="B39" s="2709"/>
      <c r="C39" s="2710"/>
      <c r="D39" s="66"/>
      <c r="E39" s="67"/>
      <c r="F39" s="68"/>
      <c r="G39" s="68"/>
      <c r="H39" s="68"/>
      <c r="I39" s="68"/>
      <c r="J39" s="80"/>
    </row>
    <row r="40" spans="1:10" s="65" customFormat="1" ht="24.95" customHeight="1" x14ac:dyDescent="0.25">
      <c r="A40" s="2708"/>
      <c r="B40" s="2709"/>
      <c r="C40" s="2710"/>
      <c r="D40" s="66"/>
      <c r="E40" s="67"/>
      <c r="F40" s="68"/>
      <c r="G40" s="68"/>
      <c r="H40" s="68"/>
      <c r="I40" s="68"/>
      <c r="J40" s="80"/>
    </row>
    <row r="41" spans="1:10" s="65" customFormat="1" ht="24.95" customHeight="1" x14ac:dyDescent="0.25">
      <c r="A41" s="2708"/>
      <c r="B41" s="2709"/>
      <c r="C41" s="2710"/>
      <c r="D41" s="66"/>
      <c r="E41" s="67"/>
      <c r="F41" s="68"/>
      <c r="G41" s="68"/>
      <c r="H41" s="68"/>
      <c r="I41" s="68"/>
      <c r="J41" s="80"/>
    </row>
    <row r="42" spans="1:10" s="65" customFormat="1" ht="24.95" customHeight="1" x14ac:dyDescent="0.25">
      <c r="A42" s="2708"/>
      <c r="B42" s="2709"/>
      <c r="C42" s="2710"/>
      <c r="D42" s="66"/>
      <c r="E42" s="67"/>
      <c r="F42" s="68"/>
      <c r="G42" s="68"/>
      <c r="H42" s="68"/>
      <c r="I42" s="68"/>
      <c r="J42" s="80"/>
    </row>
    <row r="43" spans="1:10" s="65" customFormat="1" ht="24.95" customHeight="1" x14ac:dyDescent="0.25">
      <c r="A43" s="2708"/>
      <c r="B43" s="2709"/>
      <c r="C43" s="2710"/>
      <c r="D43" s="66"/>
      <c r="E43" s="67"/>
      <c r="F43" s="68"/>
      <c r="G43" s="68"/>
      <c r="H43" s="68"/>
      <c r="I43" s="68"/>
      <c r="J43" s="80"/>
    </row>
    <row r="44" spans="1:10" s="65" customFormat="1" ht="24.95" customHeight="1" x14ac:dyDescent="0.25">
      <c r="A44" s="2708"/>
      <c r="B44" s="2709"/>
      <c r="C44" s="2710"/>
      <c r="D44" s="66"/>
      <c r="E44" s="67"/>
      <c r="F44" s="68"/>
      <c r="G44" s="68"/>
      <c r="H44" s="68"/>
      <c r="I44" s="68"/>
      <c r="J44" s="80"/>
    </row>
    <row r="45" spans="1:10" s="65" customFormat="1" ht="24.95" customHeight="1" x14ac:dyDescent="0.25">
      <c r="A45" s="2708"/>
      <c r="B45" s="2709"/>
      <c r="C45" s="2710"/>
      <c r="D45" s="66"/>
      <c r="E45" s="67"/>
      <c r="F45" s="68"/>
      <c r="G45" s="68"/>
      <c r="H45" s="68"/>
      <c r="I45" s="68"/>
      <c r="J45" s="80"/>
    </row>
    <row r="46" spans="1:10" s="65" customFormat="1" ht="24.95" customHeight="1" x14ac:dyDescent="0.25">
      <c r="A46" s="2708"/>
      <c r="B46" s="2709"/>
      <c r="C46" s="2710"/>
      <c r="D46" s="66"/>
      <c r="E46" s="67"/>
      <c r="F46" s="68"/>
      <c r="G46" s="68"/>
      <c r="H46" s="68"/>
      <c r="I46" s="68"/>
      <c r="J46" s="80"/>
    </row>
    <row r="47" spans="1:10" s="65" customFormat="1" ht="24.95" customHeight="1" x14ac:dyDescent="0.25">
      <c r="A47" s="2708"/>
      <c r="B47" s="2709"/>
      <c r="C47" s="2710"/>
      <c r="D47" s="66"/>
      <c r="E47" s="67"/>
      <c r="F47" s="68"/>
      <c r="G47" s="68"/>
      <c r="H47" s="68"/>
      <c r="I47" s="68"/>
      <c r="J47" s="80"/>
    </row>
    <row r="48" spans="1:10" s="65" customFormat="1" ht="24.95" customHeight="1" x14ac:dyDescent="0.25">
      <c r="A48" s="2708"/>
      <c r="B48" s="2709"/>
      <c r="C48" s="2710"/>
      <c r="D48" s="66"/>
      <c r="E48" s="67"/>
      <c r="F48" s="68"/>
      <c r="G48" s="68"/>
      <c r="H48" s="68"/>
      <c r="I48" s="68"/>
      <c r="J48" s="80"/>
    </row>
    <row r="49" spans="1:10" s="65" customFormat="1" ht="24.95" customHeight="1" x14ac:dyDescent="0.25">
      <c r="A49" s="2708"/>
      <c r="B49" s="2709"/>
      <c r="C49" s="2710"/>
      <c r="D49" s="66"/>
      <c r="E49" s="67"/>
      <c r="F49" s="68"/>
      <c r="G49" s="68"/>
      <c r="H49" s="68"/>
      <c r="I49" s="68"/>
      <c r="J49" s="80"/>
    </row>
    <row r="50" spans="1:10" s="65" customFormat="1" ht="24.95" customHeight="1" x14ac:dyDescent="0.25">
      <c r="A50" s="2708"/>
      <c r="B50" s="2709"/>
      <c r="C50" s="2710"/>
      <c r="D50" s="66"/>
      <c r="E50" s="67"/>
      <c r="F50" s="68"/>
      <c r="G50" s="68"/>
      <c r="H50" s="68"/>
      <c r="I50" s="68"/>
      <c r="J50" s="80"/>
    </row>
    <row r="51" spans="1:10" s="65" customFormat="1" ht="24.95" customHeight="1" x14ac:dyDescent="0.25">
      <c r="A51" s="2708"/>
      <c r="B51" s="2709"/>
      <c r="C51" s="2710"/>
      <c r="D51" s="66"/>
      <c r="E51" s="67"/>
      <c r="F51" s="68"/>
      <c r="G51" s="68"/>
      <c r="H51" s="68"/>
      <c r="I51" s="68"/>
      <c r="J51" s="80"/>
    </row>
    <row r="52" spans="1:10" s="65" customFormat="1" ht="24.95" customHeight="1" x14ac:dyDescent="0.25">
      <c r="A52" s="2708"/>
      <c r="B52" s="2709"/>
      <c r="C52" s="2710"/>
      <c r="D52" s="66"/>
      <c r="E52" s="67"/>
      <c r="F52" s="68"/>
      <c r="G52" s="68"/>
      <c r="H52" s="68"/>
      <c r="I52" s="68"/>
      <c r="J52" s="80"/>
    </row>
    <row r="53" spans="1:10" s="65" customFormat="1" ht="24.95" customHeight="1" x14ac:dyDescent="0.25">
      <c r="A53" s="2708"/>
      <c r="B53" s="2709"/>
      <c r="C53" s="2710"/>
      <c r="D53" s="66"/>
      <c r="E53" s="67"/>
      <c r="F53" s="68"/>
      <c r="G53" s="68"/>
      <c r="H53" s="68"/>
      <c r="I53" s="68"/>
      <c r="J53" s="80"/>
    </row>
    <row r="54" spans="1:10" s="65" customFormat="1" ht="24.95" customHeight="1" x14ac:dyDescent="0.25">
      <c r="A54" s="2708"/>
      <c r="B54" s="2709"/>
      <c r="C54" s="2710"/>
      <c r="D54" s="66"/>
      <c r="E54" s="67"/>
      <c r="F54" s="68"/>
      <c r="G54" s="68"/>
      <c r="H54" s="68"/>
      <c r="I54" s="68"/>
      <c r="J54" s="80"/>
    </row>
    <row r="55" spans="1:10" s="65" customFormat="1" ht="24.95" customHeight="1" x14ac:dyDescent="0.25">
      <c r="A55" s="2708"/>
      <c r="B55" s="2709"/>
      <c r="C55" s="2710"/>
      <c r="D55" s="66"/>
      <c r="E55" s="67"/>
      <c r="F55" s="68"/>
      <c r="G55" s="68"/>
      <c r="H55" s="68"/>
      <c r="I55" s="68"/>
      <c r="J55" s="80"/>
    </row>
    <row r="56" spans="1:10" s="65" customFormat="1" ht="24.95" customHeight="1" x14ac:dyDescent="0.25">
      <c r="A56" s="2708"/>
      <c r="B56" s="2709"/>
      <c r="C56" s="2710"/>
      <c r="D56" s="66"/>
      <c r="E56" s="67"/>
      <c r="F56" s="68"/>
      <c r="G56" s="68"/>
      <c r="H56" s="68"/>
      <c r="I56" s="68"/>
      <c r="J56" s="80"/>
    </row>
    <row r="57" spans="1:10" s="65" customFormat="1" ht="24.95" customHeight="1" x14ac:dyDescent="0.25">
      <c r="A57" s="2708"/>
      <c r="B57" s="2709"/>
      <c r="C57" s="2710"/>
      <c r="D57" s="66"/>
      <c r="E57" s="67"/>
      <c r="F57" s="68"/>
      <c r="G57" s="68"/>
      <c r="H57" s="68"/>
      <c r="I57" s="68"/>
      <c r="J57" s="80"/>
    </row>
    <row r="58" spans="1:10" s="65" customFormat="1" ht="24.95" customHeight="1" x14ac:dyDescent="0.25">
      <c r="A58" s="2708"/>
      <c r="B58" s="2709"/>
      <c r="C58" s="2710"/>
      <c r="D58" s="66"/>
      <c r="E58" s="67"/>
      <c r="F58" s="68"/>
      <c r="G58" s="68"/>
      <c r="H58" s="68"/>
      <c r="I58" s="68"/>
      <c r="J58" s="80"/>
    </row>
    <row r="59" spans="1:10" s="65" customFormat="1" ht="24.95" customHeight="1" x14ac:dyDescent="0.25">
      <c r="A59" s="2708"/>
      <c r="B59" s="2709"/>
      <c r="C59" s="2710"/>
      <c r="D59" s="66"/>
      <c r="E59" s="67"/>
      <c r="F59" s="68"/>
      <c r="G59" s="68"/>
      <c r="H59" s="68"/>
      <c r="I59" s="68"/>
      <c r="J59" s="80"/>
    </row>
    <row r="60" spans="1:10" s="65" customFormat="1" ht="24.95" customHeight="1" x14ac:dyDescent="0.25">
      <c r="A60" s="2708"/>
      <c r="B60" s="2709"/>
      <c r="C60" s="2710"/>
      <c r="D60" s="66"/>
      <c r="E60" s="67"/>
      <c r="F60" s="68"/>
      <c r="G60" s="68"/>
      <c r="H60" s="68"/>
      <c r="I60" s="68"/>
      <c r="J60" s="80"/>
    </row>
    <row r="61" spans="1:10" s="65" customFormat="1" ht="24.95" customHeight="1" x14ac:dyDescent="0.25">
      <c r="A61" s="2708"/>
      <c r="B61" s="2709"/>
      <c r="C61" s="2710"/>
      <c r="D61" s="66"/>
      <c r="E61" s="67"/>
      <c r="F61" s="68"/>
      <c r="G61" s="68"/>
      <c r="H61" s="68"/>
      <c r="I61" s="68"/>
      <c r="J61" s="80"/>
    </row>
    <row r="62" spans="1:10" s="65" customFormat="1" ht="24.95" customHeight="1" x14ac:dyDescent="0.25">
      <c r="A62" s="2708"/>
      <c r="B62" s="2709"/>
      <c r="C62" s="2710"/>
      <c r="D62" s="66"/>
      <c r="E62" s="67"/>
      <c r="F62" s="68"/>
      <c r="G62" s="68"/>
      <c r="H62" s="68"/>
      <c r="I62" s="68"/>
      <c r="J62" s="80"/>
    </row>
    <row r="63" spans="1:10" s="65" customFormat="1" ht="24.95" customHeight="1" x14ac:dyDescent="0.25">
      <c r="A63" s="2708"/>
      <c r="B63" s="2709"/>
      <c r="C63" s="2710"/>
      <c r="D63" s="66"/>
      <c r="E63" s="67"/>
      <c r="F63" s="68"/>
      <c r="G63" s="68"/>
      <c r="H63" s="68"/>
      <c r="I63" s="68"/>
      <c r="J63" s="80"/>
    </row>
    <row r="64" spans="1:10" s="65" customFormat="1" ht="24.95" customHeight="1" x14ac:dyDescent="0.25">
      <c r="A64" s="2708"/>
      <c r="B64" s="2709"/>
      <c r="C64" s="2710"/>
      <c r="D64" s="66"/>
      <c r="E64" s="67"/>
      <c r="F64" s="68"/>
      <c r="G64" s="68"/>
      <c r="H64" s="68"/>
      <c r="I64" s="68"/>
      <c r="J64" s="80"/>
    </row>
    <row r="65" spans="1:10" s="65" customFormat="1" ht="24.95" customHeight="1" x14ac:dyDescent="0.25">
      <c r="A65" s="2708"/>
      <c r="B65" s="2709"/>
      <c r="C65" s="2710"/>
      <c r="D65" s="66"/>
      <c r="E65" s="67"/>
      <c r="F65" s="68"/>
      <c r="G65" s="68"/>
      <c r="H65" s="68"/>
      <c r="I65" s="68"/>
      <c r="J65" s="80"/>
    </row>
    <row r="66" spans="1:10" s="65" customFormat="1" ht="24.95" customHeight="1" x14ac:dyDescent="0.25">
      <c r="A66" s="2708"/>
      <c r="B66" s="2709"/>
      <c r="C66" s="2710"/>
      <c r="D66" s="66"/>
      <c r="E66" s="67"/>
      <c r="F66" s="68"/>
      <c r="G66" s="68"/>
      <c r="H66" s="68"/>
      <c r="I66" s="68"/>
      <c r="J66" s="80"/>
    </row>
    <row r="67" spans="1:10" s="65" customFormat="1" ht="24.95" customHeight="1" x14ac:dyDescent="0.25">
      <c r="A67" s="2708"/>
      <c r="B67" s="2709"/>
      <c r="C67" s="2710"/>
      <c r="D67" s="66"/>
      <c r="E67" s="67"/>
      <c r="F67" s="68"/>
      <c r="G67" s="68"/>
      <c r="H67" s="68"/>
      <c r="I67" s="68"/>
      <c r="J67" s="80"/>
    </row>
    <row r="68" spans="1:10" s="65" customFormat="1" ht="24.95" customHeight="1" x14ac:dyDescent="0.25">
      <c r="A68" s="2708"/>
      <c r="B68" s="2709"/>
      <c r="C68" s="2710"/>
      <c r="D68" s="66"/>
      <c r="E68" s="67"/>
      <c r="F68" s="68"/>
      <c r="G68" s="68"/>
      <c r="H68" s="68"/>
      <c r="I68" s="68"/>
      <c r="J68" s="80"/>
    </row>
    <row r="69" spans="1:10" s="65" customFormat="1" ht="24.95" customHeight="1" x14ac:dyDescent="0.25">
      <c r="A69" s="2708"/>
      <c r="B69" s="2709"/>
      <c r="C69" s="2710"/>
      <c r="D69" s="66"/>
      <c r="E69" s="67"/>
      <c r="F69" s="68"/>
      <c r="G69" s="68"/>
      <c r="H69" s="68"/>
      <c r="I69" s="68"/>
      <c r="J69" s="80"/>
    </row>
    <row r="70" spans="1:10" s="65" customFormat="1" ht="24.95" customHeight="1" x14ac:dyDescent="0.25">
      <c r="A70" s="2708"/>
      <c r="B70" s="2709"/>
      <c r="C70" s="2710"/>
      <c r="D70" s="66"/>
      <c r="E70" s="67"/>
      <c r="F70" s="68"/>
      <c r="G70" s="68"/>
      <c r="H70" s="68"/>
      <c r="I70" s="68"/>
      <c r="J70" s="80"/>
    </row>
    <row r="71" spans="1:10" s="65" customFormat="1" ht="24.95" customHeight="1" x14ac:dyDescent="0.25">
      <c r="A71" s="2708"/>
      <c r="B71" s="2709"/>
      <c r="C71" s="2710"/>
      <c r="D71" s="66"/>
      <c r="E71" s="67"/>
      <c r="F71" s="68"/>
      <c r="G71" s="68"/>
      <c r="H71" s="68"/>
      <c r="I71" s="68"/>
      <c r="J71" s="80"/>
    </row>
    <row r="72" spans="1:10" s="65" customFormat="1" ht="24.95" customHeight="1" x14ac:dyDescent="0.25">
      <c r="A72" s="2708"/>
      <c r="B72" s="2709"/>
      <c r="C72" s="2710"/>
      <c r="D72" s="66"/>
      <c r="E72" s="67"/>
      <c r="F72" s="68"/>
      <c r="G72" s="68"/>
      <c r="H72" s="68"/>
      <c r="I72" s="68"/>
      <c r="J72" s="80"/>
    </row>
    <row r="73" spans="1:10" s="65" customFormat="1" ht="24.95" customHeight="1" x14ac:dyDescent="0.25">
      <c r="A73" s="2708"/>
      <c r="B73" s="2709"/>
      <c r="C73" s="2710"/>
      <c r="D73" s="66"/>
      <c r="E73" s="67"/>
      <c r="F73" s="68"/>
      <c r="G73" s="68"/>
      <c r="H73" s="68"/>
      <c r="I73" s="68"/>
      <c r="J73" s="80"/>
    </row>
    <row r="74" spans="1:10" s="65" customFormat="1" ht="24.95" customHeight="1" x14ac:dyDescent="0.25">
      <c r="A74" s="2708"/>
      <c r="B74" s="2709"/>
      <c r="C74" s="2710"/>
      <c r="D74" s="66"/>
      <c r="E74" s="67"/>
      <c r="F74" s="68"/>
      <c r="G74" s="68"/>
      <c r="H74" s="68"/>
      <c r="I74" s="68"/>
      <c r="J74" s="80"/>
    </row>
    <row r="75" spans="1:10" s="65" customFormat="1" ht="24.95" customHeight="1" x14ac:dyDescent="0.25">
      <c r="A75" s="2708"/>
      <c r="B75" s="2709"/>
      <c r="C75" s="2710"/>
      <c r="D75" s="66"/>
      <c r="E75" s="67"/>
      <c r="F75" s="68"/>
      <c r="G75" s="68"/>
      <c r="H75" s="68"/>
      <c r="I75" s="68"/>
      <c r="J75" s="80"/>
    </row>
    <row r="76" spans="1:10" s="65" customFormat="1" ht="24.95" customHeight="1" x14ac:dyDescent="0.25">
      <c r="A76" s="2708"/>
      <c r="B76" s="2709"/>
      <c r="C76" s="2710"/>
      <c r="D76" s="66"/>
      <c r="E76" s="67"/>
      <c r="F76" s="68"/>
      <c r="G76" s="68"/>
      <c r="H76" s="68"/>
      <c r="I76" s="68"/>
      <c r="J76" s="80"/>
    </row>
    <row r="77" spans="1:10" s="65" customFormat="1" ht="24.95" customHeight="1" x14ac:dyDescent="0.25">
      <c r="A77" s="2708"/>
      <c r="B77" s="2709"/>
      <c r="C77" s="2710"/>
      <c r="D77" s="66"/>
      <c r="E77" s="67"/>
      <c r="F77" s="68"/>
      <c r="G77" s="68"/>
      <c r="H77" s="68"/>
      <c r="I77" s="68"/>
      <c r="J77" s="80"/>
    </row>
    <row r="78" spans="1:10" s="65" customFormat="1" ht="24.95" customHeight="1" x14ac:dyDescent="0.25">
      <c r="A78" s="2708"/>
      <c r="B78" s="2709"/>
      <c r="C78" s="2710"/>
      <c r="D78" s="66"/>
      <c r="E78" s="67"/>
      <c r="F78" s="68"/>
      <c r="G78" s="68"/>
      <c r="H78" s="68"/>
      <c r="I78" s="68"/>
      <c r="J78" s="80"/>
    </row>
    <row r="79" spans="1:10" s="65" customFormat="1" ht="24.95" customHeight="1" x14ac:dyDescent="0.25">
      <c r="A79" s="2708"/>
      <c r="B79" s="2709"/>
      <c r="C79" s="2710"/>
      <c r="D79" s="66"/>
      <c r="E79" s="67"/>
      <c r="F79" s="68"/>
      <c r="G79" s="68"/>
      <c r="H79" s="68"/>
      <c r="I79" s="68"/>
      <c r="J79" s="80"/>
    </row>
    <row r="80" spans="1:10" s="65" customFormat="1" ht="24.95" customHeight="1" x14ac:dyDescent="0.25">
      <c r="A80" s="2708"/>
      <c r="B80" s="2709"/>
      <c r="C80" s="2710"/>
      <c r="D80" s="66"/>
      <c r="E80" s="67"/>
      <c r="F80" s="68"/>
      <c r="G80" s="68"/>
      <c r="H80" s="68"/>
      <c r="I80" s="68"/>
      <c r="J80" s="80"/>
    </row>
    <row r="81" spans="1:10" s="65" customFormat="1" ht="24.95" customHeight="1" x14ac:dyDescent="0.25">
      <c r="A81" s="2708"/>
      <c r="B81" s="2709"/>
      <c r="C81" s="2710"/>
      <c r="D81" s="66"/>
      <c r="E81" s="67"/>
      <c r="F81" s="68"/>
      <c r="G81" s="68"/>
      <c r="H81" s="68"/>
      <c r="I81" s="68"/>
      <c r="J81" s="80"/>
    </row>
    <row r="82" spans="1:10" s="65" customFormat="1" ht="24.95" customHeight="1" x14ac:dyDescent="0.25">
      <c r="A82" s="2708"/>
      <c r="B82" s="2709"/>
      <c r="C82" s="2710"/>
      <c r="D82" s="66"/>
      <c r="E82" s="67"/>
      <c r="F82" s="68"/>
      <c r="G82" s="68"/>
      <c r="H82" s="68"/>
      <c r="I82" s="68"/>
      <c r="J82" s="80"/>
    </row>
    <row r="83" spans="1:10" s="65" customFormat="1" ht="24.95" customHeight="1" x14ac:dyDescent="0.25">
      <c r="A83" s="2708"/>
      <c r="B83" s="2709"/>
      <c r="C83" s="2710"/>
      <c r="D83" s="66"/>
      <c r="E83" s="67"/>
      <c r="F83" s="68"/>
      <c r="G83" s="68"/>
      <c r="H83" s="68"/>
      <c r="I83" s="68"/>
      <c r="J83" s="80"/>
    </row>
    <row r="84" spans="1:10" s="65" customFormat="1" ht="24.95" customHeight="1" x14ac:dyDescent="0.25">
      <c r="A84" s="2708"/>
      <c r="B84" s="2709"/>
      <c r="C84" s="2710"/>
      <c r="D84" s="66"/>
      <c r="E84" s="67"/>
      <c r="F84" s="68"/>
      <c r="G84" s="68"/>
      <c r="H84" s="68"/>
      <c r="I84" s="68"/>
      <c r="J84" s="80"/>
    </row>
    <row r="85" spans="1:10" s="65" customFormat="1" ht="24.95" customHeight="1" x14ac:dyDescent="0.25">
      <c r="A85" s="2708"/>
      <c r="B85" s="2709"/>
      <c r="C85" s="2710"/>
      <c r="D85" s="66"/>
      <c r="E85" s="67"/>
      <c r="F85" s="68"/>
      <c r="G85" s="68"/>
      <c r="H85" s="68"/>
      <c r="I85" s="68"/>
      <c r="J85" s="80"/>
    </row>
    <row r="86" spans="1:10" s="65" customFormat="1" ht="24.95" customHeight="1" x14ac:dyDescent="0.25">
      <c r="A86" s="2708"/>
      <c r="B86" s="2709"/>
      <c r="C86" s="2710"/>
      <c r="D86" s="66"/>
      <c r="E86" s="67"/>
      <c r="F86" s="68"/>
      <c r="G86" s="68"/>
      <c r="H86" s="68"/>
      <c r="I86" s="68"/>
      <c r="J86" s="80"/>
    </row>
    <row r="87" spans="1:10" s="65" customFormat="1" ht="24.95" customHeight="1" x14ac:dyDescent="0.25">
      <c r="A87" s="2708"/>
      <c r="B87" s="2709"/>
      <c r="C87" s="2710"/>
      <c r="D87" s="66"/>
      <c r="E87" s="67"/>
      <c r="F87" s="68"/>
      <c r="G87" s="68"/>
      <c r="H87" s="68"/>
      <c r="I87" s="68"/>
      <c r="J87" s="80"/>
    </row>
    <row r="88" spans="1:10" s="65" customFormat="1" ht="24.95" customHeight="1" x14ac:dyDescent="0.25">
      <c r="A88" s="2708"/>
      <c r="B88" s="2709"/>
      <c r="C88" s="2710"/>
      <c r="D88" s="66"/>
      <c r="E88" s="67"/>
      <c r="F88" s="68"/>
      <c r="G88" s="68"/>
      <c r="H88" s="68"/>
      <c r="I88" s="68"/>
      <c r="J88" s="80"/>
    </row>
    <row r="89" spans="1:10" s="65" customFormat="1" ht="24.95" customHeight="1" x14ac:dyDescent="0.25">
      <c r="A89" s="2708"/>
      <c r="B89" s="2709"/>
      <c r="C89" s="2710"/>
      <c r="D89" s="66"/>
      <c r="E89" s="67"/>
      <c r="F89" s="68"/>
      <c r="G89" s="68"/>
      <c r="H89" s="68"/>
      <c r="I89" s="68"/>
      <c r="J89" s="80"/>
    </row>
    <row r="90" spans="1:10" s="65" customFormat="1" ht="24.95" customHeight="1" thickBot="1" x14ac:dyDescent="0.3">
      <c r="A90" s="2738"/>
      <c r="B90" s="2739"/>
      <c r="C90" s="2740"/>
      <c r="D90" s="84"/>
      <c r="E90" s="81"/>
      <c r="F90" s="82"/>
      <c r="G90" s="82"/>
      <c r="H90" s="82"/>
      <c r="I90" s="82"/>
      <c r="J90" s="83"/>
    </row>
    <row r="91" spans="1:10" s="20" customFormat="1" x14ac:dyDescent="0.2"/>
  </sheetData>
  <mergeCells count="78">
    <mergeCell ref="A90:C90"/>
    <mergeCell ref="A38:C38"/>
    <mergeCell ref="A39:C39"/>
    <mergeCell ref="A55:C55"/>
    <mergeCell ref="A47:C47"/>
    <mergeCell ref="A48:C48"/>
    <mergeCell ref="A56:C56"/>
    <mergeCell ref="A45:C45"/>
    <mergeCell ref="A42:C42"/>
    <mergeCell ref="A44:C44"/>
    <mergeCell ref="A53:C53"/>
    <mergeCell ref="A59:C59"/>
    <mergeCell ref="A41:C41"/>
    <mergeCell ref="A49:C49"/>
    <mergeCell ref="A52:C52"/>
    <mergeCell ref="A50:C50"/>
    <mergeCell ref="I1:J2"/>
    <mergeCell ref="F18:H18"/>
    <mergeCell ref="I18:I19"/>
    <mergeCell ref="J18:J19"/>
    <mergeCell ref="A40:C40"/>
    <mergeCell ref="A25:C25"/>
    <mergeCell ref="A30:C30"/>
    <mergeCell ref="A26:C26"/>
    <mergeCell ref="A31:C31"/>
    <mergeCell ref="A28:C28"/>
    <mergeCell ref="A36:C36"/>
    <mergeCell ref="A29:C29"/>
    <mergeCell ref="B1:E2"/>
    <mergeCell ref="A14:E16"/>
    <mergeCell ref="E18:E19"/>
    <mergeCell ref="D18:D19"/>
    <mergeCell ref="A18:C19"/>
    <mergeCell ref="A20:C20"/>
    <mergeCell ref="A21:C21"/>
    <mergeCell ref="A22:C22"/>
    <mergeCell ref="A23:C23"/>
    <mergeCell ref="A35:C35"/>
    <mergeCell ref="A34:C34"/>
    <mergeCell ref="A27:C27"/>
    <mergeCell ref="A24:C24"/>
    <mergeCell ref="A37:C37"/>
    <mergeCell ref="A51:C51"/>
    <mergeCell ref="A57:C57"/>
    <mergeCell ref="A58:C58"/>
    <mergeCell ref="A46:C46"/>
    <mergeCell ref="A43:C43"/>
    <mergeCell ref="A54:C54"/>
    <mergeCell ref="A89:C89"/>
    <mergeCell ref="A60:C60"/>
    <mergeCell ref="A61:C61"/>
    <mergeCell ref="A62:C62"/>
    <mergeCell ref="A63:C63"/>
    <mergeCell ref="A69:C69"/>
    <mergeCell ref="A64:C64"/>
    <mergeCell ref="A87:C87"/>
    <mergeCell ref="A82:C82"/>
    <mergeCell ref="A83:C83"/>
    <mergeCell ref="A88:C88"/>
    <mergeCell ref="A65:C65"/>
    <mergeCell ref="A66:C66"/>
    <mergeCell ref="A67:C67"/>
    <mergeCell ref="A68:C68"/>
    <mergeCell ref="A79:C79"/>
    <mergeCell ref="A81:C81"/>
    <mergeCell ref="A77:C77"/>
    <mergeCell ref="A78:C78"/>
    <mergeCell ref="A86:C86"/>
    <mergeCell ref="A70:C70"/>
    <mergeCell ref="A72:C72"/>
    <mergeCell ref="A73:C73"/>
    <mergeCell ref="A71:C71"/>
    <mergeCell ref="A74:C74"/>
    <mergeCell ref="A75:C75"/>
    <mergeCell ref="A84:C84"/>
    <mergeCell ref="A85:C85"/>
    <mergeCell ref="A76:C76"/>
    <mergeCell ref="A80:C80"/>
  </mergeCells>
  <phoneticPr fontId="20" type="noConversion"/>
  <pageMargins left="0.39370078740157483" right="0.39370078740157483" top="0.39370078740157483" bottom="0.78740157480314965" header="0.51181102362204722" footer="0.51181102362204722"/>
  <pageSetup paperSize="9" scale="55" fitToHeight="3" orientation="landscape" r:id="rId1"/>
  <headerFooter alignWithMargins="0">
    <oddFooter>&amp;RSeite &amp;P / &amp;N</odd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tabColor rgb="FFFF00FF"/>
  </sheetPr>
  <dimension ref="A1:I38"/>
  <sheetViews>
    <sheetView workbookViewId="0">
      <pane ySplit="10" topLeftCell="A11" activePane="bottomLeft" state="frozen"/>
      <selection pane="bottomLeft" activeCell="G18" sqref="G18"/>
    </sheetView>
  </sheetViews>
  <sheetFormatPr baseColWidth="10" defaultColWidth="11.42578125" defaultRowHeight="12.75" x14ac:dyDescent="0.2"/>
  <cols>
    <col min="1" max="2" width="11.42578125" style="1136"/>
    <col min="3" max="3" width="32.28515625" style="1136" bestFit="1" customWidth="1"/>
    <col min="4" max="4" width="11.42578125" style="1136"/>
    <col min="5" max="5" width="39.7109375" style="1136" bestFit="1" customWidth="1"/>
    <col min="6" max="16384" width="11.42578125" style="1136"/>
  </cols>
  <sheetData>
    <row r="1" spans="1:9" ht="27" thickBot="1" x14ac:dyDescent="0.45">
      <c r="A1" s="2356" t="s">
        <v>31137</v>
      </c>
    </row>
    <row r="2" spans="1:9" ht="13.5" thickBot="1" x14ac:dyDescent="0.25">
      <c r="H2" s="2357"/>
      <c r="I2" s="1881" t="s">
        <v>31138</v>
      </c>
    </row>
    <row r="3" spans="1:9" ht="13.5" thickBot="1" x14ac:dyDescent="0.25">
      <c r="H3" s="2358"/>
      <c r="I3" s="1881" t="s">
        <v>31139</v>
      </c>
    </row>
    <row r="4" spans="1:9" ht="13.5" thickBot="1" x14ac:dyDescent="0.25">
      <c r="H4" s="2359"/>
      <c r="I4" s="1881" t="s">
        <v>31140</v>
      </c>
    </row>
    <row r="5" spans="1:9" ht="13.5" thickBot="1" x14ac:dyDescent="0.25">
      <c r="B5" s="2360" t="s">
        <v>31141</v>
      </c>
      <c r="C5" s="2361" t="s">
        <v>31142</v>
      </c>
      <c r="E5" s="2362" t="s">
        <v>31143</v>
      </c>
      <c r="F5" s="2363" t="s">
        <v>31144</v>
      </c>
      <c r="H5" s="2364"/>
      <c r="I5" s="1881" t="s">
        <v>31145</v>
      </c>
    </row>
    <row r="6" spans="1:9" ht="13.5" thickBot="1" x14ac:dyDescent="0.25">
      <c r="B6" s="2365" t="s">
        <v>31146</v>
      </c>
      <c r="C6" s="2366" t="s">
        <v>31147</v>
      </c>
      <c r="E6" s="2367" t="s">
        <v>31148</v>
      </c>
      <c r="F6" s="2368" t="s">
        <v>31149</v>
      </c>
      <c r="H6" s="2369"/>
      <c r="I6" s="1881" t="s">
        <v>31150</v>
      </c>
    </row>
    <row r="7" spans="1:9" ht="13.5" thickBot="1" x14ac:dyDescent="0.25">
      <c r="B7" s="1885"/>
      <c r="C7" s="1885"/>
      <c r="E7" s="2370"/>
      <c r="F7" s="1879"/>
      <c r="H7" s="2371"/>
      <c r="I7" s="1881" t="s">
        <v>31151</v>
      </c>
    </row>
    <row r="8" spans="1:9" ht="13.5" thickBot="1" x14ac:dyDescent="0.25">
      <c r="B8" s="1885"/>
      <c r="C8" s="1885"/>
      <c r="E8" s="2370"/>
      <c r="F8" s="1879"/>
      <c r="H8" s="2372"/>
      <c r="I8" s="1881" t="s">
        <v>31152</v>
      </c>
    </row>
    <row r="9" spans="1:9" ht="13.5" thickBot="1" x14ac:dyDescent="0.25">
      <c r="B9" s="1885"/>
      <c r="C9" s="1885"/>
      <c r="E9" s="2370"/>
      <c r="F9" s="1879"/>
      <c r="H9" s="2373"/>
      <c r="I9" s="1881" t="s">
        <v>31153</v>
      </c>
    </row>
    <row r="10" spans="1:9" ht="13.5" thickBot="1" x14ac:dyDescent="0.25"/>
    <row r="11" spans="1:9" s="2374" customFormat="1" ht="13.5" thickBot="1" x14ac:dyDescent="0.25"/>
    <row r="12" spans="1:9" s="1429" customFormat="1" ht="13.5" thickBot="1" x14ac:dyDescent="0.25">
      <c r="B12" s="2373" t="str">
        <f>$C$15&amp;$C$6&amp;B16&amp;$C$5&amp;$C$27&amp;$C$6&amp;B28&amp;$C$5&amp;$C$33&amp;$C$6&amp;B34</f>
        <v>L=1500^B=1000^H_WB=614</v>
      </c>
    </row>
    <row r="13" spans="1:9" ht="18.75" thickBot="1" x14ac:dyDescent="0.3">
      <c r="B13" s="2375" t="str">
        <f ca="1">MID(CELL("dateiname",Liste!$B470),SEARCH("]",CELL("dateiname",Liste!$B470))+1,255)</f>
        <v>Liste</v>
      </c>
      <c r="C13" s="2376">
        <v>1</v>
      </c>
      <c r="D13" s="2377"/>
      <c r="E13" s="2378" t="s">
        <v>31030</v>
      </c>
    </row>
    <row r="14" spans="1:9" ht="13.5" thickBot="1" x14ac:dyDescent="0.25">
      <c r="B14" s="2379" t="str">
        <f>"Zeile "&amp;ROW(Liste!B470)</f>
        <v>Zeile 470</v>
      </c>
      <c r="C14" s="2380" t="s">
        <v>31154</v>
      </c>
      <c r="D14" s="2358" t="s">
        <v>31155</v>
      </c>
      <c r="E14" s="2358" t="s">
        <v>27704</v>
      </c>
    </row>
    <row r="15" spans="1:9" ht="13.5" thickBot="1" x14ac:dyDescent="0.25">
      <c r="B15" s="2364">
        <f>'Berechnung &amp; Tabellen'!$D$260</f>
        <v>1250</v>
      </c>
      <c r="C15" s="2381" t="s">
        <v>17</v>
      </c>
      <c r="D15" s="2357">
        <v>1401</v>
      </c>
      <c r="E15" s="2357" t="s">
        <v>69</v>
      </c>
    </row>
    <row r="16" spans="1:9" ht="13.5" thickBot="1" x14ac:dyDescent="0.25">
      <c r="B16" s="2369">
        <f>VLOOKUP($C$13,B17:$E$26,4,FALSE)</f>
        <v>1500</v>
      </c>
      <c r="C16" s="2382" t="s">
        <v>27689</v>
      </c>
      <c r="D16" s="2359" t="s">
        <v>27690</v>
      </c>
      <c r="E16" s="2359" t="s">
        <v>31156</v>
      </c>
    </row>
    <row r="17" spans="2:5" x14ac:dyDescent="0.2">
      <c r="B17" s="2536">
        <f>IF(AND(B$15&lt;=$D17,B$15&gt;=$C17),1,0)*0</f>
        <v>0</v>
      </c>
      <c r="C17" s="2384">
        <v>0</v>
      </c>
      <c r="D17" s="2385">
        <v>500</v>
      </c>
      <c r="E17" s="2386">
        <v>500</v>
      </c>
    </row>
    <row r="18" spans="2:5" x14ac:dyDescent="0.2">
      <c r="B18" s="2536">
        <f>IF(AND(B$15&lt;=$D18,B$15&gt;=$C18),1,0)*0</f>
        <v>0</v>
      </c>
      <c r="C18" s="2387">
        <v>501</v>
      </c>
      <c r="D18" s="2388">
        <v>1000</v>
      </c>
      <c r="E18" s="2389">
        <v>1000</v>
      </c>
    </row>
    <row r="19" spans="2:5" x14ac:dyDescent="0.2">
      <c r="B19" s="2383">
        <f>IF(AND(B$15&lt;=$D19,B$15&gt;=$C17),1,0)</f>
        <v>1</v>
      </c>
      <c r="C19" s="2387">
        <v>1001</v>
      </c>
      <c r="D19" s="2388">
        <v>1500</v>
      </c>
      <c r="E19" s="2389">
        <v>1500</v>
      </c>
    </row>
    <row r="20" spans="2:5" x14ac:dyDescent="0.2">
      <c r="B20" s="2383">
        <f t="shared" ref="B20:B25" si="0">IF(AND(B$15&lt;=$D20,B$15&gt;=$C20),1,0)</f>
        <v>0</v>
      </c>
      <c r="C20" s="2355">
        <v>1501</v>
      </c>
      <c r="D20" s="2390">
        <v>2000</v>
      </c>
      <c r="E20" s="2389">
        <v>2000</v>
      </c>
    </row>
    <row r="21" spans="2:5" x14ac:dyDescent="0.2">
      <c r="B21" s="2383">
        <f t="shared" si="0"/>
        <v>0</v>
      </c>
      <c r="C21" s="2387">
        <v>2001</v>
      </c>
      <c r="D21" s="2388">
        <v>2500</v>
      </c>
      <c r="E21" s="2389">
        <v>2500</v>
      </c>
    </row>
    <row r="22" spans="2:5" x14ac:dyDescent="0.2">
      <c r="B22" s="2383">
        <f t="shared" si="0"/>
        <v>0</v>
      </c>
      <c r="C22" s="2387">
        <v>2501</v>
      </c>
      <c r="D22" s="2388">
        <v>3000</v>
      </c>
      <c r="E22" s="2389">
        <v>3000</v>
      </c>
    </row>
    <row r="23" spans="2:5" x14ac:dyDescent="0.2">
      <c r="B23" s="2383">
        <f t="shared" si="0"/>
        <v>0</v>
      </c>
      <c r="C23" s="2355">
        <v>3001</v>
      </c>
      <c r="D23" s="2388">
        <v>3500</v>
      </c>
      <c r="E23" s="2389">
        <v>3500</v>
      </c>
    </row>
    <row r="24" spans="2:5" x14ac:dyDescent="0.2">
      <c r="B24" s="2383">
        <f t="shared" si="0"/>
        <v>0</v>
      </c>
      <c r="C24" s="2387">
        <v>3501</v>
      </c>
      <c r="D24" s="2390">
        <v>4000</v>
      </c>
      <c r="E24" s="2389">
        <v>4000</v>
      </c>
    </row>
    <row r="25" spans="2:5" x14ac:dyDescent="0.2">
      <c r="B25" s="2383">
        <f t="shared" si="0"/>
        <v>0</v>
      </c>
      <c r="C25" s="2391">
        <v>4001</v>
      </c>
      <c r="D25" s="2392">
        <v>4500</v>
      </c>
      <c r="E25" s="2393">
        <v>4500</v>
      </c>
    </row>
    <row r="26" spans="2:5" ht="13.5" thickBot="1" x14ac:dyDescent="0.25">
      <c r="B26" s="2394">
        <f>IF(AND(B$15&gt;=$C26),1,0)</f>
        <v>0</v>
      </c>
      <c r="C26" s="2391">
        <v>4501</v>
      </c>
      <c r="D26" s="2395"/>
      <c r="E26" s="2396" t="s">
        <v>31157</v>
      </c>
    </row>
    <row r="27" spans="2:5" ht="13.5" thickBot="1" x14ac:dyDescent="0.25">
      <c r="B27" s="2364">
        <f>'Berechnung &amp; Tabellen'!$D$261</f>
        <v>686</v>
      </c>
      <c r="C27" s="2381" t="s">
        <v>73</v>
      </c>
      <c r="D27" s="2357">
        <v>1402</v>
      </c>
      <c r="E27" s="2357" t="s">
        <v>67</v>
      </c>
    </row>
    <row r="28" spans="2:5" ht="13.5" thickBot="1" x14ac:dyDescent="0.25">
      <c r="B28" s="2369">
        <f>VLOOKUP($C$13,B29:$E$32,4,FALSE)</f>
        <v>1000</v>
      </c>
      <c r="C28" s="2382" t="s">
        <v>27689</v>
      </c>
      <c r="D28" s="2359" t="s">
        <v>27690</v>
      </c>
      <c r="E28" s="2359" t="s">
        <v>31156</v>
      </c>
    </row>
    <row r="29" spans="2:5" x14ac:dyDescent="0.2">
      <c r="B29" s="2383">
        <f>IF(AND(B$27&lt;=$D29,B$27&gt;=$C29),1,0)</f>
        <v>1</v>
      </c>
      <c r="C29" s="2384">
        <v>0</v>
      </c>
      <c r="D29" s="2385">
        <v>1000</v>
      </c>
      <c r="E29" s="2386">
        <v>1000</v>
      </c>
    </row>
    <row r="30" spans="2:5" x14ac:dyDescent="0.2">
      <c r="B30" s="2383">
        <f>IF(AND(B$27&lt;=$D30,B$27&gt;=$C30),1,0)</f>
        <v>0</v>
      </c>
      <c r="C30" s="2391">
        <v>1001</v>
      </c>
      <c r="D30" s="2392">
        <v>1300</v>
      </c>
      <c r="E30" s="2393">
        <v>1300</v>
      </c>
    </row>
    <row r="31" spans="2:5" x14ac:dyDescent="0.2">
      <c r="B31" s="2383">
        <f>IF(AND(B$27&lt;=$D31,B$27&gt;=$C31),1,0)</f>
        <v>0</v>
      </c>
      <c r="C31" s="2391">
        <v>1301</v>
      </c>
      <c r="D31" s="2392">
        <v>1500</v>
      </c>
      <c r="E31" s="2393">
        <v>1500</v>
      </c>
    </row>
    <row r="32" spans="2:5" ht="13.5" thickBot="1" x14ac:dyDescent="0.25">
      <c r="B32" s="2394">
        <f>IF(AND(B$27&gt;=$C32),1,0)</f>
        <v>0</v>
      </c>
      <c r="C32" s="2391">
        <v>1501</v>
      </c>
      <c r="D32" s="2395"/>
      <c r="E32" s="2396" t="s">
        <v>31157</v>
      </c>
    </row>
    <row r="33" spans="2:5" ht="13.5" thickBot="1" x14ac:dyDescent="0.25">
      <c r="B33" s="2364">
        <f>'Berechnung &amp; Tabellen'!$D$259</f>
        <v>0</v>
      </c>
      <c r="C33" s="2381" t="s">
        <v>31158</v>
      </c>
      <c r="D33" s="2357">
        <v>1409</v>
      </c>
      <c r="E33" s="2357" t="s">
        <v>542</v>
      </c>
    </row>
    <row r="34" spans="2:5" ht="13.5" thickBot="1" x14ac:dyDescent="0.25">
      <c r="B34" s="2369">
        <f>VLOOKUP($C$13,B35:$E$36,4,FALSE)</f>
        <v>614</v>
      </c>
      <c r="C34" s="2382" t="s">
        <v>27689</v>
      </c>
      <c r="D34" s="2359" t="s">
        <v>27690</v>
      </c>
      <c r="E34" s="2359" t="s">
        <v>31156</v>
      </c>
    </row>
    <row r="35" spans="2:5" x14ac:dyDescent="0.2">
      <c r="B35" s="2397">
        <f>IF(AND(B$33&lt;=$D35,B$33&gt;=$C35),1,0)</f>
        <v>1</v>
      </c>
      <c r="C35" s="2387">
        <v>0</v>
      </c>
      <c r="D35" s="2388">
        <v>3</v>
      </c>
      <c r="E35" s="2389">
        <v>614</v>
      </c>
    </row>
    <row r="36" spans="2:5" ht="13.5" thickBot="1" x14ac:dyDescent="0.25">
      <c r="B36" s="2398">
        <f>IF(AND(B$33&gt;=$C36),1,0)</f>
        <v>0</v>
      </c>
      <c r="C36" s="2399">
        <v>4</v>
      </c>
      <c r="D36" s="2395"/>
      <c r="E36" s="2400">
        <v>814</v>
      </c>
    </row>
    <row r="37" spans="2:5" ht="13.5" thickBot="1" x14ac:dyDescent="0.25"/>
    <row r="38" spans="2:5" s="2374" customFormat="1" x14ac:dyDescent="0.2"/>
  </sheetData>
  <sheetProtection algorithmName="SHA-512" hashValue="RR+9a+BHBA878ujOcydRrQj/r6/jx8SCu5gSu9dLWgU2bXjImDyTd0EbkhrHKFnGEmBY83LggVr+LXlcZxKopQ==" saltValue="gxGe75JgUulPes5HRvhMEQ==" spinCount="100000" sheet="1" objects="1" scenarios="1"/>
  <pageMargins left="0.7" right="0.7" top="0.78740157499999996" bottom="0.78740157499999996" header="0.3" footer="0.3"/>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23">
    <tabColor theme="5" tint="0.59999389629810485"/>
    <pageSetUpPr fitToPage="1"/>
  </sheetPr>
  <dimension ref="A1:AG266"/>
  <sheetViews>
    <sheetView showGridLines="0" zoomScale="85" zoomScaleNormal="85" workbookViewId="0">
      <pane xSplit="3" ySplit="3" topLeftCell="D4" activePane="bottomRight" state="frozen"/>
      <selection pane="topRight" activeCell="C1" sqref="C1"/>
      <selection pane="bottomLeft" activeCell="A4" sqref="A4"/>
      <selection pane="bottomRight" activeCell="I266" sqref="I266"/>
    </sheetView>
  </sheetViews>
  <sheetFormatPr baseColWidth="10" defaultColWidth="11.42578125" defaultRowHeight="12.75" x14ac:dyDescent="0.2"/>
  <cols>
    <col min="1" max="1" width="40.7109375" style="1521" customWidth="1"/>
    <col min="2" max="2" width="11.7109375" style="1521" customWidth="1"/>
    <col min="3" max="3" width="48.7109375" style="1522" customWidth="1"/>
    <col min="4" max="4" width="37.5703125" style="1522" customWidth="1"/>
    <col min="5" max="5" width="24.7109375" style="1152" customWidth="1"/>
    <col min="6" max="6" width="13.140625" style="1152" customWidth="1"/>
    <col min="7" max="7" width="19.5703125" style="1583" customWidth="1"/>
    <col min="8" max="8" width="16.5703125" style="1153" customWidth="1"/>
    <col min="9" max="9" width="9.28515625" style="1152" customWidth="1"/>
    <col min="10" max="10" width="11.140625" style="1584" customWidth="1"/>
    <col min="11" max="11" width="12.7109375" style="1585" customWidth="1"/>
    <col min="12" max="12" width="19.28515625" style="1586" bestFit="1" customWidth="1"/>
    <col min="13" max="13" width="16.28515625" style="1584" customWidth="1"/>
    <col min="14" max="14" width="11.42578125" style="1587"/>
    <col min="15" max="16" width="16.7109375" style="1153" bestFit="1" customWidth="1"/>
    <col min="17" max="17" width="15.140625" style="1153" customWidth="1"/>
    <col min="18" max="19" width="16.7109375" style="1153" bestFit="1" customWidth="1"/>
    <col min="20" max="20" width="15.140625" style="1153" customWidth="1"/>
    <col min="21" max="21" width="18.5703125" style="1153" bestFit="1" customWidth="1"/>
    <col min="22" max="22" width="15.140625" style="1153" customWidth="1"/>
    <col min="23" max="23" width="17.5703125" style="1153" customWidth="1"/>
    <col min="24" max="24" width="11.7109375" style="1153" customWidth="1"/>
    <col min="25" max="25" width="19.7109375" style="1153" customWidth="1"/>
    <col min="26" max="16384" width="11.42578125" style="1153"/>
  </cols>
  <sheetData>
    <row r="1" spans="1:33" ht="12.2" customHeight="1" x14ac:dyDescent="0.2"/>
    <row r="2" spans="1:33" ht="12.2" customHeight="1" x14ac:dyDescent="0.2">
      <c r="A2" s="1525" t="s">
        <v>28966</v>
      </c>
      <c r="B2" s="1525"/>
      <c r="I2" s="1153"/>
      <c r="J2" s="1187"/>
      <c r="K2" s="1524"/>
      <c r="L2" s="1523"/>
      <c r="M2" s="1187"/>
      <c r="N2" s="1588"/>
      <c r="V2" s="1526"/>
      <c r="W2" s="1526"/>
      <c r="X2" s="1526"/>
      <c r="Y2" s="1526"/>
      <c r="Z2" s="1526"/>
      <c r="AA2" s="1526"/>
      <c r="AB2" s="1526"/>
      <c r="AC2" s="1526"/>
      <c r="AD2" s="1526"/>
      <c r="AE2" s="1526"/>
      <c r="AF2" s="1526"/>
      <c r="AG2" s="1526"/>
    </row>
    <row r="3" spans="1:33" s="1135" customFormat="1" ht="47.25" customHeight="1" x14ac:dyDescent="0.2">
      <c r="A3" s="1527" t="s">
        <v>851</v>
      </c>
      <c r="B3" s="1970" t="s">
        <v>30184</v>
      </c>
      <c r="C3" s="1135" t="s">
        <v>853</v>
      </c>
      <c r="D3" s="1135" t="s">
        <v>28892</v>
      </c>
      <c r="E3" s="1135" t="s">
        <v>852</v>
      </c>
      <c r="F3" s="1135" t="s">
        <v>93</v>
      </c>
      <c r="G3" s="1589" t="s">
        <v>854</v>
      </c>
      <c r="H3" s="1135" t="s">
        <v>62</v>
      </c>
      <c r="I3" s="1135" t="s">
        <v>61</v>
      </c>
      <c r="J3" s="1528" t="s">
        <v>855</v>
      </c>
      <c r="K3" s="1529" t="s">
        <v>856</v>
      </c>
      <c r="L3" s="1530" t="s">
        <v>857</v>
      </c>
      <c r="M3" s="1531" t="s">
        <v>858</v>
      </c>
      <c r="N3" s="1590" t="s">
        <v>859</v>
      </c>
      <c r="O3" s="1135">
        <v>501</v>
      </c>
      <c r="P3" s="1135">
        <v>502</v>
      </c>
      <c r="Q3" s="1135">
        <v>507</v>
      </c>
      <c r="R3" s="1135">
        <v>460</v>
      </c>
      <c r="S3" s="1135">
        <v>520</v>
      </c>
      <c r="T3" s="1135">
        <v>524</v>
      </c>
      <c r="U3" s="1135">
        <v>526</v>
      </c>
      <c r="V3" s="1684" t="s">
        <v>29374</v>
      </c>
      <c r="W3" s="1684" t="s">
        <v>29375</v>
      </c>
      <c r="X3" s="1684" t="s">
        <v>29376</v>
      </c>
      <c r="Y3" s="1684" t="s">
        <v>29377</v>
      </c>
      <c r="Z3" s="1532"/>
      <c r="AA3" s="1532"/>
      <c r="AB3" s="1532"/>
      <c r="AC3" s="1532"/>
      <c r="AD3" s="1532"/>
      <c r="AE3" s="1532"/>
      <c r="AF3" s="1532"/>
      <c r="AG3" s="1532"/>
    </row>
    <row r="4" spans="1:33" s="2098" customFormat="1" ht="12.2" customHeight="1" x14ac:dyDescent="0.2">
      <c r="A4" s="2094" t="s">
        <v>283</v>
      </c>
      <c r="B4" s="2094"/>
      <c r="C4" s="2095"/>
      <c r="D4" s="2095"/>
      <c r="E4" s="2096"/>
      <c r="F4" s="2096"/>
      <c r="G4" s="2097"/>
      <c r="J4" s="2099"/>
      <c r="K4" s="2100"/>
      <c r="L4" s="2101"/>
      <c r="M4" s="2102"/>
      <c r="N4" s="1590"/>
      <c r="V4" s="2103"/>
      <c r="W4" s="2104"/>
      <c r="X4" s="2103"/>
      <c r="Y4" s="2104"/>
      <c r="Z4" s="2103"/>
      <c r="AA4" s="2103"/>
      <c r="AB4" s="2103"/>
      <c r="AC4" s="2103"/>
      <c r="AD4" s="2103"/>
      <c r="AE4" s="2103"/>
      <c r="AF4" s="2103"/>
      <c r="AG4" s="2103"/>
    </row>
    <row r="5" spans="1:33" s="1994" customFormat="1" ht="11.25" customHeight="1" x14ac:dyDescent="0.2">
      <c r="A5" s="1975"/>
      <c r="B5" s="1975"/>
      <c r="C5" s="1631" t="s">
        <v>283</v>
      </c>
      <c r="D5" s="1631" t="s">
        <v>28969</v>
      </c>
      <c r="E5" s="1625" t="s">
        <v>28893</v>
      </c>
      <c r="F5" s="1625">
        <v>501</v>
      </c>
      <c r="G5" s="2105"/>
      <c r="H5" s="1625" t="s">
        <v>865</v>
      </c>
      <c r="I5" s="1625">
        <v>1</v>
      </c>
      <c r="J5" s="1626">
        <f>VLOOKUP(F5,Kostensätze!A:E,5,FALSE)</f>
        <v>47.08</v>
      </c>
      <c r="K5" s="1627">
        <f>I5*G5*60+IF(I5&gt;0,N5,0)</f>
        <v>30</v>
      </c>
      <c r="L5" s="1628">
        <f>K5/60</f>
        <v>0.5</v>
      </c>
      <c r="M5" s="1629">
        <f>L5*J5</f>
        <v>23.54</v>
      </c>
      <c r="N5" s="1592">
        <v>30</v>
      </c>
      <c r="O5" s="1997">
        <f>IF($F5=O$3,$L5,0)</f>
        <v>0.5</v>
      </c>
      <c r="P5" s="1997">
        <f t="shared" ref="P5:U27" si="0">IF($F5=P$3,$L5,0)</f>
        <v>0</v>
      </c>
      <c r="Q5" s="1997">
        <f t="shared" si="0"/>
        <v>0</v>
      </c>
      <c r="R5" s="1997">
        <f t="shared" si="0"/>
        <v>0</v>
      </c>
      <c r="S5" s="1997">
        <f t="shared" si="0"/>
        <v>0</v>
      </c>
      <c r="T5" s="1997">
        <f t="shared" si="0"/>
        <v>0</v>
      </c>
      <c r="U5" s="1997">
        <f t="shared" si="0"/>
        <v>0</v>
      </c>
      <c r="V5" s="2108"/>
      <c r="W5" s="1999">
        <f t="shared" ref="W5" si="1">IF(V5=1,L5,0)</f>
        <v>0</v>
      </c>
      <c r="X5" s="1999"/>
      <c r="Y5" s="1999">
        <f t="shared" ref="Y5" si="2">IF(X5=1,L5,0)</f>
        <v>0</v>
      </c>
      <c r="Z5" s="1995"/>
      <c r="AA5" s="1995"/>
      <c r="AB5" s="1995"/>
      <c r="AC5" s="1995"/>
      <c r="AD5" s="1995"/>
      <c r="AE5" s="1995"/>
      <c r="AF5" s="1995"/>
      <c r="AG5" s="1995"/>
    </row>
    <row r="6" spans="1:33" s="1135" customFormat="1" ht="11.25" customHeight="1" x14ac:dyDescent="0.2">
      <c r="A6" s="1527"/>
      <c r="B6" s="1527"/>
      <c r="C6" s="1522" t="s">
        <v>30479</v>
      </c>
      <c r="D6" s="1522" t="s">
        <v>28969</v>
      </c>
      <c r="E6" s="1152" t="s">
        <v>108</v>
      </c>
      <c r="F6" s="1152">
        <v>520</v>
      </c>
      <c r="G6" s="1591"/>
      <c r="H6" s="1152" t="s">
        <v>865</v>
      </c>
      <c r="I6" s="1152">
        <f>Dateneingabe!E181</f>
        <v>0</v>
      </c>
      <c r="J6" s="1979">
        <f>VLOOKUP(F6,Kostensätze!A:E,5,FALSE)</f>
        <v>37.619999999999997</v>
      </c>
      <c r="K6" s="1980">
        <f>I6*G6*60+IF(I6&gt;0,N6,0)</f>
        <v>0</v>
      </c>
      <c r="L6" s="1981">
        <f t="shared" ref="L6:L16" si="3">K6/60</f>
        <v>0</v>
      </c>
      <c r="M6" s="1982">
        <f t="shared" ref="M6:M79" si="4">L6*J6</f>
        <v>0</v>
      </c>
      <c r="N6" s="1592">
        <v>15</v>
      </c>
      <c r="O6" s="1998">
        <f t="shared" ref="O6" si="5">IF($F6=O$3,$L6,0)</f>
        <v>0</v>
      </c>
      <c r="P6" s="1998">
        <f t="shared" si="0"/>
        <v>0</v>
      </c>
      <c r="Q6" s="1997">
        <f t="shared" si="0"/>
        <v>0</v>
      </c>
      <c r="R6" s="1998">
        <f t="shared" si="0"/>
        <v>0</v>
      </c>
      <c r="S6" s="1998">
        <f t="shared" si="0"/>
        <v>0</v>
      </c>
      <c r="T6" s="1998">
        <f t="shared" si="0"/>
        <v>0</v>
      </c>
      <c r="U6" s="1998">
        <f t="shared" si="0"/>
        <v>0</v>
      </c>
      <c r="V6" s="2109">
        <v>1</v>
      </c>
      <c r="W6" s="1999">
        <f t="shared" ref="W6" si="6">IF(V6=1,L6,0)</f>
        <v>0</v>
      </c>
      <c r="X6" s="1999"/>
      <c r="Y6" s="1999">
        <f t="shared" ref="Y6" si="7">IF(X6=1,L6,0)</f>
        <v>0</v>
      </c>
      <c r="Z6" s="1532"/>
      <c r="AA6" s="1532"/>
      <c r="AB6" s="1532"/>
      <c r="AC6" s="1532"/>
      <c r="AD6" s="1532"/>
      <c r="AE6" s="1532"/>
      <c r="AF6" s="1532"/>
      <c r="AG6" s="1532"/>
    </row>
    <row r="7" spans="1:33" s="1625" customFormat="1" ht="12.2" customHeight="1" x14ac:dyDescent="0.2">
      <c r="A7" s="1622" t="s">
        <v>360</v>
      </c>
      <c r="B7" s="1622"/>
      <c r="C7" s="1631"/>
      <c r="D7" s="1631"/>
      <c r="F7" s="1625">
        <v>526</v>
      </c>
      <c r="G7" s="1593"/>
      <c r="J7" s="1626"/>
      <c r="K7" s="1627">
        <f t="shared" ref="K7:K79" si="8">I7*G7*60+IF(I7&gt;0,N7,0)</f>
        <v>0</v>
      </c>
      <c r="L7" s="1628"/>
      <c r="M7" s="1629">
        <f t="shared" si="4"/>
        <v>0</v>
      </c>
      <c r="N7" s="1597"/>
      <c r="O7" s="1998">
        <f t="shared" ref="O7:U72" si="9">IF($F7=O$3,$L7,0)</f>
        <v>0</v>
      </c>
      <c r="P7" s="1998">
        <f t="shared" si="0"/>
        <v>0</v>
      </c>
      <c r="Q7" s="1997">
        <f t="shared" si="0"/>
        <v>0</v>
      </c>
      <c r="R7" s="1998">
        <f t="shared" si="0"/>
        <v>0</v>
      </c>
      <c r="S7" s="1998">
        <f t="shared" si="0"/>
        <v>0</v>
      </c>
      <c r="T7" s="1998">
        <f t="shared" si="0"/>
        <v>0</v>
      </c>
      <c r="U7" s="1998">
        <f t="shared" si="0"/>
        <v>0</v>
      </c>
      <c r="V7" s="1999"/>
      <c r="W7" s="1999">
        <f t="shared" ref="W7:W24" si="10">IF(V7=1,L7,0)</f>
        <v>0</v>
      </c>
      <c r="X7" s="1999"/>
      <c r="Y7" s="1999">
        <f t="shared" ref="Y7:Y80" si="11">IF(X7=1,L7,0)</f>
        <v>0</v>
      </c>
      <c r="Z7" s="1630"/>
      <c r="AA7" s="1630"/>
      <c r="AB7" s="1630"/>
      <c r="AC7" s="1630"/>
      <c r="AD7" s="1630"/>
      <c r="AE7" s="1630"/>
      <c r="AF7" s="1630"/>
      <c r="AG7" s="1630"/>
    </row>
    <row r="8" spans="1:33" s="1691" customFormat="1" ht="12.2" customHeight="1" x14ac:dyDescent="0.2">
      <c r="A8" s="1976"/>
      <c r="B8" s="1977" t="s">
        <v>537</v>
      </c>
      <c r="C8" s="1978" t="s">
        <v>302</v>
      </c>
      <c r="D8" s="1978" t="s">
        <v>28894</v>
      </c>
      <c r="E8" s="1691" t="s">
        <v>28945</v>
      </c>
      <c r="F8" s="1691">
        <v>526</v>
      </c>
      <c r="G8" s="1591">
        <f>1/60*1</f>
        <v>1.6666666666666666E-2</v>
      </c>
      <c r="H8" s="1691" t="s">
        <v>860</v>
      </c>
      <c r="I8" s="1691">
        <f>Liste!D274</f>
        <v>0</v>
      </c>
      <c r="J8" s="1979">
        <f>VLOOKUP(F8,Kostensätze!A:E,5,FALSE)</f>
        <v>53.04</v>
      </c>
      <c r="K8" s="1980">
        <f t="shared" si="8"/>
        <v>0</v>
      </c>
      <c r="L8" s="1981">
        <f t="shared" si="3"/>
        <v>0</v>
      </c>
      <c r="M8" s="1982">
        <f t="shared" si="4"/>
        <v>0</v>
      </c>
      <c r="N8" s="1597"/>
      <c r="O8" s="1998">
        <f t="shared" si="9"/>
        <v>0</v>
      </c>
      <c r="P8" s="1998">
        <f t="shared" si="0"/>
        <v>0</v>
      </c>
      <c r="Q8" s="1997">
        <f t="shared" si="0"/>
        <v>0</v>
      </c>
      <c r="R8" s="1998">
        <f t="shared" si="0"/>
        <v>0</v>
      </c>
      <c r="S8" s="1998">
        <f t="shared" si="0"/>
        <v>0</v>
      </c>
      <c r="T8" s="1998">
        <f t="shared" si="0"/>
        <v>0</v>
      </c>
      <c r="U8" s="1998">
        <f t="shared" si="0"/>
        <v>0</v>
      </c>
      <c r="V8" s="1999"/>
      <c r="W8" s="1999">
        <f t="shared" si="10"/>
        <v>0</v>
      </c>
      <c r="X8" s="1999"/>
      <c r="Y8" s="1999">
        <f t="shared" si="11"/>
        <v>0</v>
      </c>
      <c r="Z8" s="1533"/>
      <c r="AA8" s="1533"/>
      <c r="AB8" s="1533"/>
      <c r="AC8" s="1533"/>
      <c r="AD8" s="1533"/>
      <c r="AE8" s="1533"/>
      <c r="AF8" s="1533"/>
      <c r="AG8" s="1533"/>
    </row>
    <row r="9" spans="1:33" s="1625" customFormat="1" ht="12.2" customHeight="1" x14ac:dyDescent="0.2">
      <c r="A9" s="1622"/>
      <c r="B9" s="1975" t="s">
        <v>537</v>
      </c>
      <c r="C9" s="1623" t="s">
        <v>27651</v>
      </c>
      <c r="D9" s="1631" t="s">
        <v>28895</v>
      </c>
      <c r="E9" s="1625" t="s">
        <v>28945</v>
      </c>
      <c r="F9" s="1625">
        <v>526</v>
      </c>
      <c r="G9" s="1591">
        <f>1/60*0.5</f>
        <v>8.3333333333333332E-3</v>
      </c>
      <c r="H9" s="1625" t="s">
        <v>860</v>
      </c>
      <c r="I9" s="1625">
        <f>Liste!A268</f>
        <v>2</v>
      </c>
      <c r="J9" s="1626">
        <f>VLOOKUP(F9,Kostensätze!A:E,5,FALSE)</f>
        <v>53.04</v>
      </c>
      <c r="K9" s="1627">
        <f t="shared" si="8"/>
        <v>1</v>
      </c>
      <c r="L9" s="1628">
        <f t="shared" si="3"/>
        <v>1.6666666666666666E-2</v>
      </c>
      <c r="M9" s="1629">
        <f t="shared" si="4"/>
        <v>0.88400000000000001</v>
      </c>
      <c r="N9" s="1597"/>
      <c r="O9" s="1998">
        <f t="shared" si="9"/>
        <v>0</v>
      </c>
      <c r="P9" s="1998">
        <f t="shared" si="0"/>
        <v>0</v>
      </c>
      <c r="Q9" s="1997">
        <f t="shared" si="0"/>
        <v>0</v>
      </c>
      <c r="R9" s="1998">
        <f t="shared" si="0"/>
        <v>0</v>
      </c>
      <c r="S9" s="1998">
        <f t="shared" si="0"/>
        <v>0</v>
      </c>
      <c r="T9" s="1998">
        <f t="shared" si="0"/>
        <v>0</v>
      </c>
      <c r="U9" s="1998">
        <f t="shared" si="0"/>
        <v>1.6666666666666666E-2</v>
      </c>
      <c r="V9" s="1999"/>
      <c r="W9" s="1999">
        <f t="shared" si="10"/>
        <v>0</v>
      </c>
      <c r="X9" s="1999"/>
      <c r="Y9" s="1999">
        <f t="shared" si="11"/>
        <v>0</v>
      </c>
      <c r="Z9" s="1630"/>
      <c r="AA9" s="1630"/>
      <c r="AB9" s="1630"/>
      <c r="AC9" s="1630"/>
      <c r="AD9" s="1630"/>
      <c r="AE9" s="1630"/>
      <c r="AF9" s="1630"/>
      <c r="AG9" s="1630"/>
    </row>
    <row r="10" spans="1:33" s="1691" customFormat="1" ht="12.2" customHeight="1" x14ac:dyDescent="0.2">
      <c r="A10" s="1976"/>
      <c r="B10" s="1977" t="s">
        <v>537</v>
      </c>
      <c r="C10" s="1595" t="s">
        <v>28896</v>
      </c>
      <c r="D10" s="1595" t="s">
        <v>28895</v>
      </c>
      <c r="E10" s="1691" t="s">
        <v>28945</v>
      </c>
      <c r="F10" s="1691">
        <v>526</v>
      </c>
      <c r="G10" s="1591">
        <f>1/60*0.5</f>
        <v>8.3333333333333332E-3</v>
      </c>
      <c r="H10" s="1691" t="s">
        <v>860</v>
      </c>
      <c r="I10" s="1691">
        <f>Liste!A268</f>
        <v>2</v>
      </c>
      <c r="J10" s="1979">
        <f>VLOOKUP(F10,Kostensätze!A:E,5,FALSE)</f>
        <v>53.04</v>
      </c>
      <c r="K10" s="1980">
        <f t="shared" si="8"/>
        <v>1</v>
      </c>
      <c r="L10" s="1981">
        <f t="shared" si="3"/>
        <v>1.6666666666666666E-2</v>
      </c>
      <c r="M10" s="1982">
        <f t="shared" si="4"/>
        <v>0.88400000000000001</v>
      </c>
      <c r="N10" s="1597"/>
      <c r="O10" s="1998">
        <f t="shared" si="9"/>
        <v>0</v>
      </c>
      <c r="P10" s="1998">
        <f t="shared" si="0"/>
        <v>0</v>
      </c>
      <c r="Q10" s="1997">
        <f t="shared" si="0"/>
        <v>0</v>
      </c>
      <c r="R10" s="1998">
        <f t="shared" si="0"/>
        <v>0</v>
      </c>
      <c r="S10" s="1998">
        <f t="shared" si="0"/>
        <v>0</v>
      </c>
      <c r="T10" s="1998">
        <f t="shared" si="0"/>
        <v>0</v>
      </c>
      <c r="U10" s="1998">
        <f t="shared" si="0"/>
        <v>1.6666666666666666E-2</v>
      </c>
      <c r="V10" s="1999"/>
      <c r="W10" s="1999">
        <f t="shared" si="10"/>
        <v>0</v>
      </c>
      <c r="X10" s="1999"/>
      <c r="Y10" s="1999">
        <f t="shared" si="11"/>
        <v>0</v>
      </c>
      <c r="Z10" s="1533"/>
      <c r="AA10" s="1533"/>
      <c r="AB10" s="1533"/>
      <c r="AC10" s="1533"/>
      <c r="AD10" s="1533"/>
      <c r="AE10" s="1533"/>
      <c r="AF10" s="1533"/>
      <c r="AG10" s="1533"/>
    </row>
    <row r="11" spans="1:33" s="1625" customFormat="1" ht="12.2" customHeight="1" x14ac:dyDescent="0.2">
      <c r="A11" s="1622"/>
      <c r="B11" s="1975" t="s">
        <v>537</v>
      </c>
      <c r="C11" s="1631" t="s">
        <v>28897</v>
      </c>
      <c r="D11" s="1631" t="s">
        <v>28895</v>
      </c>
      <c r="E11" s="1625" t="s">
        <v>28945</v>
      </c>
      <c r="F11" s="1625">
        <v>526</v>
      </c>
      <c r="G11" s="1591">
        <f>1/60*0.5</f>
        <v>8.3333333333333332E-3</v>
      </c>
      <c r="H11" s="1625" t="s">
        <v>860</v>
      </c>
      <c r="I11" s="1625">
        <f>Liste!A268</f>
        <v>2</v>
      </c>
      <c r="J11" s="1626">
        <f>VLOOKUP(F11,Kostensätze!A:E,5,FALSE)</f>
        <v>53.04</v>
      </c>
      <c r="K11" s="1627">
        <f t="shared" si="8"/>
        <v>1</v>
      </c>
      <c r="L11" s="1628">
        <f t="shared" si="3"/>
        <v>1.6666666666666666E-2</v>
      </c>
      <c r="M11" s="1629">
        <f t="shared" si="4"/>
        <v>0.88400000000000001</v>
      </c>
      <c r="N11" s="1597"/>
      <c r="O11" s="1998">
        <f t="shared" si="9"/>
        <v>0</v>
      </c>
      <c r="P11" s="1998">
        <f t="shared" si="0"/>
        <v>0</v>
      </c>
      <c r="Q11" s="1997">
        <f t="shared" si="0"/>
        <v>0</v>
      </c>
      <c r="R11" s="1998">
        <f t="shared" si="0"/>
        <v>0</v>
      </c>
      <c r="S11" s="1998">
        <f t="shared" si="0"/>
        <v>0</v>
      </c>
      <c r="T11" s="1998">
        <f t="shared" si="0"/>
        <v>0</v>
      </c>
      <c r="U11" s="1998">
        <f t="shared" si="0"/>
        <v>1.6666666666666666E-2</v>
      </c>
      <c r="V11" s="1999"/>
      <c r="W11" s="1999">
        <f t="shared" si="10"/>
        <v>0</v>
      </c>
      <c r="X11" s="1999"/>
      <c r="Y11" s="1999">
        <f t="shared" si="11"/>
        <v>0</v>
      </c>
      <c r="Z11" s="1630"/>
      <c r="AA11" s="1630"/>
      <c r="AB11" s="1630"/>
      <c r="AC11" s="1630"/>
      <c r="AD11" s="1630"/>
      <c r="AE11" s="1630"/>
      <c r="AF11" s="1630"/>
      <c r="AG11" s="1630"/>
    </row>
    <row r="12" spans="1:33" s="1691" customFormat="1" ht="12.2" customHeight="1" x14ac:dyDescent="0.2">
      <c r="A12" s="1976"/>
      <c r="B12" s="1977" t="s">
        <v>537</v>
      </c>
      <c r="C12" s="1978" t="s">
        <v>302</v>
      </c>
      <c r="D12" s="1978" t="s">
        <v>28898</v>
      </c>
      <c r="E12" s="1691" t="s">
        <v>28945</v>
      </c>
      <c r="F12" s="1691">
        <v>526</v>
      </c>
      <c r="G12" s="1591">
        <f>1/60*1</f>
        <v>1.6666666666666666E-2</v>
      </c>
      <c r="H12" s="1691" t="s">
        <v>860</v>
      </c>
      <c r="I12" s="1691">
        <f>Liste!D269</f>
        <v>1</v>
      </c>
      <c r="J12" s="1979">
        <f>VLOOKUP(F12,Kostensätze!A:E,5,FALSE)</f>
        <v>53.04</v>
      </c>
      <c r="K12" s="1980">
        <f t="shared" si="8"/>
        <v>1</v>
      </c>
      <c r="L12" s="1981">
        <f t="shared" si="3"/>
        <v>1.6666666666666666E-2</v>
      </c>
      <c r="M12" s="1982">
        <f t="shared" si="4"/>
        <v>0.88400000000000001</v>
      </c>
      <c r="N12" s="1597"/>
      <c r="O12" s="1998">
        <f t="shared" si="9"/>
        <v>0</v>
      </c>
      <c r="P12" s="1998">
        <f t="shared" si="0"/>
        <v>0</v>
      </c>
      <c r="Q12" s="1997">
        <f t="shared" si="0"/>
        <v>0</v>
      </c>
      <c r="R12" s="1998">
        <f t="shared" si="0"/>
        <v>0</v>
      </c>
      <c r="S12" s="1998">
        <f t="shared" si="0"/>
        <v>0</v>
      </c>
      <c r="T12" s="1998">
        <f t="shared" si="0"/>
        <v>0</v>
      </c>
      <c r="U12" s="1998">
        <f t="shared" si="0"/>
        <v>1.6666666666666666E-2</v>
      </c>
      <c r="V12" s="1999"/>
      <c r="W12" s="1999">
        <f t="shared" si="10"/>
        <v>0</v>
      </c>
      <c r="X12" s="1999"/>
      <c r="Y12" s="1999">
        <f t="shared" si="11"/>
        <v>0</v>
      </c>
      <c r="Z12" s="1533"/>
      <c r="AA12" s="1533"/>
      <c r="AB12" s="1533"/>
      <c r="AC12" s="1533"/>
      <c r="AD12" s="1533"/>
      <c r="AE12" s="1533"/>
      <c r="AF12" s="1533"/>
      <c r="AG12" s="1533"/>
    </row>
    <row r="13" spans="1:33" s="1625" customFormat="1" ht="12.2" customHeight="1" x14ac:dyDescent="0.2">
      <c r="A13" s="1622"/>
      <c r="B13" s="1975" t="s">
        <v>537</v>
      </c>
      <c r="C13" s="1623" t="s">
        <v>27651</v>
      </c>
      <c r="D13" s="1631" t="s">
        <v>28899</v>
      </c>
      <c r="E13" s="1625" t="s">
        <v>28945</v>
      </c>
      <c r="F13" s="1625">
        <v>526</v>
      </c>
      <c r="G13" s="1591">
        <f>1/60*0.5</f>
        <v>8.3333333333333332E-3</v>
      </c>
      <c r="H13" s="1625" t="s">
        <v>860</v>
      </c>
      <c r="I13" s="1625">
        <f>Liste!A265</f>
        <v>1</v>
      </c>
      <c r="J13" s="1626">
        <f>VLOOKUP(F13,Kostensätze!A:E,5,FALSE)</f>
        <v>53.04</v>
      </c>
      <c r="K13" s="1627">
        <f t="shared" si="8"/>
        <v>0.5</v>
      </c>
      <c r="L13" s="1628">
        <f t="shared" si="3"/>
        <v>8.3333333333333332E-3</v>
      </c>
      <c r="M13" s="1629">
        <f t="shared" si="4"/>
        <v>0.442</v>
      </c>
      <c r="N13" s="1597"/>
      <c r="O13" s="1998">
        <f t="shared" si="9"/>
        <v>0</v>
      </c>
      <c r="P13" s="1998">
        <f t="shared" si="0"/>
        <v>0</v>
      </c>
      <c r="Q13" s="1997">
        <f t="shared" si="0"/>
        <v>0</v>
      </c>
      <c r="R13" s="1998">
        <f t="shared" si="0"/>
        <v>0</v>
      </c>
      <c r="S13" s="1998">
        <f t="shared" si="0"/>
        <v>0</v>
      </c>
      <c r="T13" s="1998">
        <f t="shared" si="0"/>
        <v>0</v>
      </c>
      <c r="U13" s="1998">
        <f t="shared" si="0"/>
        <v>8.3333333333333332E-3</v>
      </c>
      <c r="V13" s="1999"/>
      <c r="W13" s="1999">
        <f t="shared" si="10"/>
        <v>0</v>
      </c>
      <c r="X13" s="1999"/>
      <c r="Y13" s="1999">
        <f t="shared" si="11"/>
        <v>0</v>
      </c>
      <c r="Z13" s="1630"/>
      <c r="AA13" s="1630"/>
      <c r="AB13" s="1630"/>
      <c r="AC13" s="1630"/>
      <c r="AD13" s="1630"/>
      <c r="AE13" s="1630"/>
      <c r="AF13" s="1630"/>
      <c r="AG13" s="1630"/>
    </row>
    <row r="14" spans="1:33" s="1691" customFormat="1" ht="12.2" customHeight="1" x14ac:dyDescent="0.2">
      <c r="A14" s="1976"/>
      <c r="B14" s="1977" t="s">
        <v>537</v>
      </c>
      <c r="C14" s="1978" t="s">
        <v>28896</v>
      </c>
      <c r="D14" s="1978" t="s">
        <v>28899</v>
      </c>
      <c r="E14" s="1691" t="s">
        <v>28945</v>
      </c>
      <c r="F14" s="1691">
        <v>526</v>
      </c>
      <c r="G14" s="1591">
        <f>1/60*0.5</f>
        <v>8.3333333333333332E-3</v>
      </c>
      <c r="H14" s="1691" t="s">
        <v>860</v>
      </c>
      <c r="I14" s="1691">
        <f>Liste!A265</f>
        <v>1</v>
      </c>
      <c r="J14" s="1979">
        <f>VLOOKUP(F14,Kostensätze!A:E,5,FALSE)</f>
        <v>53.04</v>
      </c>
      <c r="K14" s="1980">
        <f t="shared" si="8"/>
        <v>0.5</v>
      </c>
      <c r="L14" s="1981">
        <f t="shared" si="3"/>
        <v>8.3333333333333332E-3</v>
      </c>
      <c r="M14" s="1982">
        <f t="shared" si="4"/>
        <v>0.442</v>
      </c>
      <c r="N14" s="1597"/>
      <c r="O14" s="1998">
        <f t="shared" si="9"/>
        <v>0</v>
      </c>
      <c r="P14" s="1998">
        <f t="shared" si="0"/>
        <v>0</v>
      </c>
      <c r="Q14" s="1997">
        <f t="shared" si="0"/>
        <v>0</v>
      </c>
      <c r="R14" s="1998">
        <f t="shared" si="0"/>
        <v>0</v>
      </c>
      <c r="S14" s="1998">
        <f t="shared" si="0"/>
        <v>0</v>
      </c>
      <c r="T14" s="1998">
        <f t="shared" si="0"/>
        <v>0</v>
      </c>
      <c r="U14" s="1998">
        <f t="shared" si="0"/>
        <v>8.3333333333333332E-3</v>
      </c>
      <c r="V14" s="1999"/>
      <c r="W14" s="1999">
        <f t="shared" si="10"/>
        <v>0</v>
      </c>
      <c r="X14" s="1999"/>
      <c r="Y14" s="1999">
        <f t="shared" si="11"/>
        <v>0</v>
      </c>
      <c r="Z14" s="1533"/>
      <c r="AA14" s="1533"/>
      <c r="AB14" s="1533"/>
      <c r="AC14" s="1533"/>
      <c r="AD14" s="1533"/>
      <c r="AE14" s="1533"/>
      <c r="AF14" s="1533"/>
      <c r="AG14" s="1533"/>
    </row>
    <row r="15" spans="1:33" s="1625" customFormat="1" ht="12.2" customHeight="1" x14ac:dyDescent="0.2">
      <c r="A15" s="1622"/>
      <c r="B15" s="1975" t="s">
        <v>537</v>
      </c>
      <c r="C15" s="1623" t="s">
        <v>28897</v>
      </c>
      <c r="D15" s="1631" t="s">
        <v>28899</v>
      </c>
      <c r="E15" s="1625" t="s">
        <v>28945</v>
      </c>
      <c r="F15" s="1625">
        <v>526</v>
      </c>
      <c r="G15" s="1591">
        <f>1/60*0.5</f>
        <v>8.3333333333333332E-3</v>
      </c>
      <c r="H15" s="1625" t="s">
        <v>860</v>
      </c>
      <c r="I15" s="1625">
        <f>Liste!A265</f>
        <v>1</v>
      </c>
      <c r="J15" s="1626">
        <f>VLOOKUP(F15,Kostensätze!A:E,5,FALSE)</f>
        <v>53.04</v>
      </c>
      <c r="K15" s="1627">
        <f t="shared" si="8"/>
        <v>0.5</v>
      </c>
      <c r="L15" s="1628">
        <f t="shared" si="3"/>
        <v>8.3333333333333332E-3</v>
      </c>
      <c r="M15" s="1629">
        <f t="shared" si="4"/>
        <v>0.442</v>
      </c>
      <c r="N15" s="1597"/>
      <c r="O15" s="1998">
        <f t="shared" si="9"/>
        <v>0</v>
      </c>
      <c r="P15" s="1998">
        <f t="shared" si="0"/>
        <v>0</v>
      </c>
      <c r="Q15" s="1997">
        <f t="shared" si="0"/>
        <v>0</v>
      </c>
      <c r="R15" s="1998">
        <f t="shared" si="0"/>
        <v>0</v>
      </c>
      <c r="S15" s="1998">
        <f t="shared" si="0"/>
        <v>0</v>
      </c>
      <c r="T15" s="1998">
        <f t="shared" si="0"/>
        <v>0</v>
      </c>
      <c r="U15" s="1998">
        <f t="shared" si="0"/>
        <v>8.3333333333333332E-3</v>
      </c>
      <c r="V15" s="1999"/>
      <c r="W15" s="1999">
        <f t="shared" si="10"/>
        <v>0</v>
      </c>
      <c r="X15" s="1999"/>
      <c r="Y15" s="1999">
        <f t="shared" si="11"/>
        <v>0</v>
      </c>
      <c r="Z15" s="1630"/>
      <c r="AA15" s="1630"/>
      <c r="AB15" s="1630"/>
      <c r="AC15" s="1630"/>
      <c r="AD15" s="1630"/>
      <c r="AE15" s="1630"/>
      <c r="AF15" s="1630"/>
      <c r="AG15" s="1630"/>
    </row>
    <row r="16" spans="1:33" s="1691" customFormat="1" ht="12.2" customHeight="1" x14ac:dyDescent="0.2">
      <c r="A16" s="1976"/>
      <c r="B16" s="1977" t="s">
        <v>537</v>
      </c>
      <c r="C16" s="1595" t="s">
        <v>867</v>
      </c>
      <c r="D16" s="1595" t="s">
        <v>360</v>
      </c>
      <c r="E16" s="1691" t="s">
        <v>28945</v>
      </c>
      <c r="F16" s="1691">
        <v>526</v>
      </c>
      <c r="G16" s="1591">
        <f>1/60*0</f>
        <v>0</v>
      </c>
      <c r="H16" s="1691" t="s">
        <v>865</v>
      </c>
      <c r="I16" s="1691">
        <v>1</v>
      </c>
      <c r="J16" s="1979">
        <f>VLOOKUP(F16,Kostensätze!A:E,5,FALSE)</f>
        <v>53.04</v>
      </c>
      <c r="K16" s="1980">
        <f t="shared" si="8"/>
        <v>1</v>
      </c>
      <c r="L16" s="1981">
        <f t="shared" si="3"/>
        <v>1.6666666666666666E-2</v>
      </c>
      <c r="M16" s="1982">
        <f t="shared" si="4"/>
        <v>0.88400000000000001</v>
      </c>
      <c r="N16" s="1597">
        <v>1</v>
      </c>
      <c r="O16" s="1998">
        <f t="shared" si="9"/>
        <v>0</v>
      </c>
      <c r="P16" s="1998">
        <f t="shared" si="0"/>
        <v>0</v>
      </c>
      <c r="Q16" s="1997">
        <f t="shared" si="0"/>
        <v>0</v>
      </c>
      <c r="R16" s="1998">
        <f t="shared" si="0"/>
        <v>0</v>
      </c>
      <c r="S16" s="1998">
        <f t="shared" si="0"/>
        <v>0</v>
      </c>
      <c r="T16" s="1998">
        <f t="shared" si="0"/>
        <v>0</v>
      </c>
      <c r="U16" s="1998">
        <f t="shared" si="0"/>
        <v>1.6666666666666666E-2</v>
      </c>
      <c r="V16" s="1999"/>
      <c r="W16" s="1999">
        <f t="shared" si="10"/>
        <v>0</v>
      </c>
      <c r="X16" s="1999"/>
      <c r="Y16" s="1999">
        <f t="shared" si="11"/>
        <v>0</v>
      </c>
      <c r="Z16" s="1533"/>
      <c r="AA16" s="1533"/>
      <c r="AB16" s="1533"/>
      <c r="AC16" s="1533"/>
      <c r="AD16" s="1533"/>
      <c r="AE16" s="1533"/>
      <c r="AF16" s="1533"/>
      <c r="AG16" s="1533"/>
    </row>
    <row r="17" spans="1:33" s="1625" customFormat="1" ht="12.2" customHeight="1" x14ac:dyDescent="0.2">
      <c r="A17" s="1622"/>
      <c r="B17" s="1975" t="s">
        <v>537</v>
      </c>
      <c r="C17" s="1623" t="s">
        <v>28900</v>
      </c>
      <c r="D17" s="1631" t="s">
        <v>30295</v>
      </c>
      <c r="E17" s="1625" t="s">
        <v>108</v>
      </c>
      <c r="F17" s="1625">
        <v>520</v>
      </c>
      <c r="G17" s="1591">
        <f>1/60*0.25</f>
        <v>4.1666666666666666E-3</v>
      </c>
      <c r="H17" s="1625" t="s">
        <v>860</v>
      </c>
      <c r="I17" s="1625">
        <f>IF('Berechnung &amp; Tabellen'!D58=1,Liste!D296,0)</f>
        <v>0</v>
      </c>
      <c r="J17" s="1626">
        <f>VLOOKUP(F17,Kostensätze!A:E,5,FALSE)</f>
        <v>37.619999999999997</v>
      </c>
      <c r="K17" s="1627">
        <f t="shared" ref="K17:K22" si="12">I17*G17*60+IF(I17&gt;0,N17,0)</f>
        <v>0</v>
      </c>
      <c r="L17" s="1628">
        <f t="shared" ref="L17:L22" si="13">K17/60</f>
        <v>0</v>
      </c>
      <c r="M17" s="1629">
        <f t="shared" ref="M17:M22" si="14">L17*J17</f>
        <v>0</v>
      </c>
      <c r="N17" s="1597">
        <v>1</v>
      </c>
      <c r="O17" s="1998">
        <f t="shared" si="9"/>
        <v>0</v>
      </c>
      <c r="P17" s="1998">
        <f t="shared" si="0"/>
        <v>0</v>
      </c>
      <c r="Q17" s="1997">
        <f t="shared" si="0"/>
        <v>0</v>
      </c>
      <c r="R17" s="1998">
        <f t="shared" si="0"/>
        <v>0</v>
      </c>
      <c r="S17" s="1998">
        <f t="shared" si="0"/>
        <v>0</v>
      </c>
      <c r="T17" s="1998">
        <f t="shared" si="0"/>
        <v>0</v>
      </c>
      <c r="U17" s="1998">
        <f t="shared" si="0"/>
        <v>0</v>
      </c>
      <c r="V17" s="1999"/>
      <c r="W17" s="1999">
        <f t="shared" ref="W17:W22" si="15">IF(V17=1,L17,0)</f>
        <v>0</v>
      </c>
      <c r="X17" s="1999"/>
      <c r="Y17" s="1999">
        <f t="shared" ref="Y17:Y22" si="16">IF(X17=1,L17,0)</f>
        <v>0</v>
      </c>
      <c r="Z17" s="1630"/>
      <c r="AA17" s="1630"/>
      <c r="AB17" s="1630"/>
      <c r="AC17" s="1630"/>
      <c r="AD17" s="1630"/>
      <c r="AE17" s="1630"/>
      <c r="AF17" s="1630"/>
      <c r="AG17" s="1630"/>
    </row>
    <row r="18" spans="1:33" s="1691" customFormat="1" ht="12.2" customHeight="1" x14ac:dyDescent="0.2">
      <c r="A18" s="1976"/>
      <c r="B18" s="1977" t="s">
        <v>537</v>
      </c>
      <c r="C18" s="1595" t="s">
        <v>28901</v>
      </c>
      <c r="D18" s="1595" t="s">
        <v>30295</v>
      </c>
      <c r="E18" s="1691" t="s">
        <v>108</v>
      </c>
      <c r="F18" s="1691">
        <v>520</v>
      </c>
      <c r="G18" s="1591">
        <f>1/60*0.25</f>
        <v>4.1666666666666666E-3</v>
      </c>
      <c r="H18" s="1691" t="s">
        <v>860</v>
      </c>
      <c r="I18" s="1691">
        <f>IF('Berechnung &amp; Tabellen'!D58=1,Liste!D296,0)</f>
        <v>0</v>
      </c>
      <c r="J18" s="1979">
        <f>VLOOKUP(F18,Kostensätze!A:E,5,FALSE)</f>
        <v>37.619999999999997</v>
      </c>
      <c r="K18" s="1980">
        <f t="shared" si="12"/>
        <v>0</v>
      </c>
      <c r="L18" s="1981">
        <f t="shared" si="13"/>
        <v>0</v>
      </c>
      <c r="M18" s="1982">
        <f t="shared" si="14"/>
        <v>0</v>
      </c>
      <c r="N18" s="1597">
        <v>1</v>
      </c>
      <c r="O18" s="1998">
        <f t="shared" si="9"/>
        <v>0</v>
      </c>
      <c r="P18" s="1998">
        <f t="shared" si="0"/>
        <v>0</v>
      </c>
      <c r="Q18" s="1997">
        <f t="shared" si="0"/>
        <v>0</v>
      </c>
      <c r="R18" s="1998">
        <f t="shared" si="0"/>
        <v>0</v>
      </c>
      <c r="S18" s="1998">
        <f t="shared" si="0"/>
        <v>0</v>
      </c>
      <c r="T18" s="1998">
        <f t="shared" si="0"/>
        <v>0</v>
      </c>
      <c r="U18" s="1998">
        <f t="shared" si="0"/>
        <v>0</v>
      </c>
      <c r="V18" s="1999"/>
      <c r="W18" s="1999">
        <f t="shared" si="15"/>
        <v>0</v>
      </c>
      <c r="X18" s="1999"/>
      <c r="Y18" s="1999">
        <f t="shared" si="16"/>
        <v>0</v>
      </c>
      <c r="Z18" s="1533"/>
      <c r="AA18" s="1533"/>
      <c r="AB18" s="1533"/>
      <c r="AC18" s="1533"/>
      <c r="AD18" s="1533"/>
      <c r="AE18" s="1533"/>
      <c r="AF18" s="1533"/>
      <c r="AG18" s="1533"/>
    </row>
    <row r="19" spans="1:33" s="1625" customFormat="1" ht="12.2" customHeight="1" x14ac:dyDescent="0.2">
      <c r="A19" s="1622"/>
      <c r="B19" s="1975" t="s">
        <v>537</v>
      </c>
      <c r="C19" s="1631" t="s">
        <v>28902</v>
      </c>
      <c r="D19" s="1631" t="s">
        <v>30295</v>
      </c>
      <c r="E19" s="1625" t="s">
        <v>108</v>
      </c>
      <c r="F19" s="1625">
        <v>520</v>
      </c>
      <c r="G19" s="1591">
        <f>1/60*0.5</f>
        <v>8.3333333333333332E-3</v>
      </c>
      <c r="H19" s="1625" t="s">
        <v>860</v>
      </c>
      <c r="I19" s="1625">
        <f>IF('Berechnung &amp; Tabellen'!D58=1,Liste!D296,0)</f>
        <v>0</v>
      </c>
      <c r="J19" s="1626">
        <f>VLOOKUP(F19,Kostensätze!A:E,5,FALSE)</f>
        <v>37.619999999999997</v>
      </c>
      <c r="K19" s="1627">
        <f t="shared" si="12"/>
        <v>0</v>
      </c>
      <c r="L19" s="1628">
        <f t="shared" si="13"/>
        <v>0</v>
      </c>
      <c r="M19" s="1629">
        <f t="shared" si="14"/>
        <v>0</v>
      </c>
      <c r="N19" s="1597">
        <v>1</v>
      </c>
      <c r="O19" s="1998">
        <f t="shared" si="9"/>
        <v>0</v>
      </c>
      <c r="P19" s="1998">
        <f t="shared" si="0"/>
        <v>0</v>
      </c>
      <c r="Q19" s="1997">
        <f t="shared" si="0"/>
        <v>0</v>
      </c>
      <c r="R19" s="1998">
        <f t="shared" si="0"/>
        <v>0</v>
      </c>
      <c r="S19" s="1998">
        <f t="shared" si="0"/>
        <v>0</v>
      </c>
      <c r="T19" s="1998">
        <f t="shared" si="0"/>
        <v>0</v>
      </c>
      <c r="U19" s="1998">
        <f t="shared" si="0"/>
        <v>0</v>
      </c>
      <c r="V19" s="1999"/>
      <c r="W19" s="1999">
        <f t="shared" si="15"/>
        <v>0</v>
      </c>
      <c r="X19" s="1999"/>
      <c r="Y19" s="1999">
        <f t="shared" si="16"/>
        <v>0</v>
      </c>
      <c r="Z19" s="1630"/>
      <c r="AA19" s="1630"/>
      <c r="AB19" s="1630"/>
      <c r="AC19" s="1630"/>
      <c r="AD19" s="1630"/>
      <c r="AE19" s="1630"/>
      <c r="AF19" s="1630"/>
      <c r="AG19" s="1630"/>
    </row>
    <row r="20" spans="1:33" s="1691" customFormat="1" ht="12.2" customHeight="1" x14ac:dyDescent="0.2">
      <c r="A20" s="1976"/>
      <c r="B20" s="1977" t="s">
        <v>537</v>
      </c>
      <c r="C20" s="1595" t="s">
        <v>30315</v>
      </c>
      <c r="D20" s="1595" t="s">
        <v>30295</v>
      </c>
      <c r="E20" s="1691" t="s">
        <v>28945</v>
      </c>
      <c r="F20" s="1691">
        <v>526</v>
      </c>
      <c r="G20" s="1591">
        <f>1/60*0.2</f>
        <v>3.3333333333333335E-3</v>
      </c>
      <c r="H20" s="1691" t="s">
        <v>860</v>
      </c>
      <c r="I20" s="1691">
        <f>IF('Berechnung &amp; Tabellen'!D58=1,Liste!D296,0)</f>
        <v>0</v>
      </c>
      <c r="J20" s="1979">
        <f>VLOOKUP(F20,Kostensätze!A:E,5,FALSE)</f>
        <v>53.04</v>
      </c>
      <c r="K20" s="1980">
        <f t="shared" si="12"/>
        <v>0</v>
      </c>
      <c r="L20" s="1981">
        <f t="shared" si="13"/>
        <v>0</v>
      </c>
      <c r="M20" s="1982">
        <f t="shared" si="14"/>
        <v>0</v>
      </c>
      <c r="N20" s="1597">
        <v>0.5</v>
      </c>
      <c r="O20" s="1998">
        <f t="shared" si="9"/>
        <v>0</v>
      </c>
      <c r="P20" s="1998">
        <f t="shared" si="0"/>
        <v>0</v>
      </c>
      <c r="Q20" s="1997">
        <f t="shared" si="0"/>
        <v>0</v>
      </c>
      <c r="R20" s="1998">
        <f t="shared" si="0"/>
        <v>0</v>
      </c>
      <c r="S20" s="1998">
        <f t="shared" si="0"/>
        <v>0</v>
      </c>
      <c r="T20" s="1998">
        <f t="shared" si="0"/>
        <v>0</v>
      </c>
      <c r="U20" s="1998">
        <f t="shared" si="0"/>
        <v>0</v>
      </c>
      <c r="V20" s="1999"/>
      <c r="W20" s="1999">
        <f t="shared" si="15"/>
        <v>0</v>
      </c>
      <c r="X20" s="1999"/>
      <c r="Y20" s="1999">
        <f t="shared" si="16"/>
        <v>0</v>
      </c>
      <c r="Z20" s="1533"/>
      <c r="AA20" s="1533"/>
      <c r="AB20" s="1533"/>
      <c r="AC20" s="1533"/>
      <c r="AD20" s="1533"/>
      <c r="AE20" s="1533"/>
      <c r="AF20" s="1533"/>
      <c r="AG20" s="1533"/>
    </row>
    <row r="21" spans="1:33" s="1625" customFormat="1" ht="12.2" customHeight="1" x14ac:dyDescent="0.2">
      <c r="A21" s="1622"/>
      <c r="B21" s="1975" t="s">
        <v>537</v>
      </c>
      <c r="C21" s="1631" t="s">
        <v>30316</v>
      </c>
      <c r="D21" s="1631" t="s">
        <v>30295</v>
      </c>
      <c r="E21" s="1625" t="s">
        <v>28945</v>
      </c>
      <c r="F21" s="1625">
        <v>526</v>
      </c>
      <c r="G21" s="1591">
        <f>1/60*0.25</f>
        <v>4.1666666666666666E-3</v>
      </c>
      <c r="H21" s="1625" t="s">
        <v>860</v>
      </c>
      <c r="I21" s="1625">
        <f>IF('Berechnung &amp; Tabellen'!D58=1,Liste!D296,0)</f>
        <v>0</v>
      </c>
      <c r="J21" s="1626">
        <f>VLOOKUP(F21,Kostensätze!A:E,5,FALSE)</f>
        <v>53.04</v>
      </c>
      <c r="K21" s="1627">
        <f t="shared" si="12"/>
        <v>0</v>
      </c>
      <c r="L21" s="1628">
        <f t="shared" si="13"/>
        <v>0</v>
      </c>
      <c r="M21" s="1629">
        <f t="shared" si="14"/>
        <v>0</v>
      </c>
      <c r="N21" s="1597"/>
      <c r="O21" s="1998">
        <f t="shared" si="9"/>
        <v>0</v>
      </c>
      <c r="P21" s="1998">
        <f t="shared" si="0"/>
        <v>0</v>
      </c>
      <c r="Q21" s="1997">
        <f t="shared" si="0"/>
        <v>0</v>
      </c>
      <c r="R21" s="1998">
        <f t="shared" si="0"/>
        <v>0</v>
      </c>
      <c r="S21" s="1998">
        <f t="shared" si="0"/>
        <v>0</v>
      </c>
      <c r="T21" s="1998">
        <f t="shared" si="0"/>
        <v>0</v>
      </c>
      <c r="U21" s="1998">
        <f t="shared" si="0"/>
        <v>0</v>
      </c>
      <c r="V21" s="1999"/>
      <c r="W21" s="1999">
        <f t="shared" si="15"/>
        <v>0</v>
      </c>
      <c r="X21" s="1999"/>
      <c r="Y21" s="1999">
        <f t="shared" si="16"/>
        <v>0</v>
      </c>
      <c r="Z21" s="1630"/>
      <c r="AA21" s="1630"/>
      <c r="AB21" s="1630"/>
      <c r="AC21" s="1630"/>
      <c r="AD21" s="1630"/>
      <c r="AE21" s="1630"/>
      <c r="AF21" s="1630"/>
      <c r="AG21" s="1630"/>
    </row>
    <row r="22" spans="1:33" s="1691" customFormat="1" ht="12.2" customHeight="1" x14ac:dyDescent="0.2">
      <c r="A22" s="1976"/>
      <c r="B22" s="1977" t="s">
        <v>537</v>
      </c>
      <c r="C22" s="1595" t="s">
        <v>867</v>
      </c>
      <c r="D22" s="1595" t="s">
        <v>30295</v>
      </c>
      <c r="E22" s="1691" t="s">
        <v>28945</v>
      </c>
      <c r="F22" s="1691">
        <v>526</v>
      </c>
      <c r="G22" s="1591">
        <f>1/60*0</f>
        <v>0</v>
      </c>
      <c r="H22" s="1691" t="s">
        <v>860</v>
      </c>
      <c r="I22" s="1691">
        <f>IF('Berechnung &amp; Tabellen'!D58=1,1,0)</f>
        <v>0</v>
      </c>
      <c r="J22" s="1979">
        <f>VLOOKUP(F22,Kostensätze!A:E,5,FALSE)</f>
        <v>53.04</v>
      </c>
      <c r="K22" s="1980">
        <f t="shared" si="12"/>
        <v>0</v>
      </c>
      <c r="L22" s="1981">
        <f t="shared" si="13"/>
        <v>0</v>
      </c>
      <c r="M22" s="1982">
        <f t="shared" si="14"/>
        <v>0</v>
      </c>
      <c r="N22" s="1597">
        <v>2</v>
      </c>
      <c r="O22" s="1998">
        <f t="shared" si="9"/>
        <v>0</v>
      </c>
      <c r="P22" s="1998">
        <f t="shared" si="0"/>
        <v>0</v>
      </c>
      <c r="Q22" s="1997">
        <f t="shared" si="0"/>
        <v>0</v>
      </c>
      <c r="R22" s="1998">
        <f t="shared" si="0"/>
        <v>0</v>
      </c>
      <c r="S22" s="1998">
        <f t="shared" si="0"/>
        <v>0</v>
      </c>
      <c r="T22" s="1998">
        <f t="shared" si="0"/>
        <v>0</v>
      </c>
      <c r="U22" s="1998">
        <f t="shared" si="0"/>
        <v>0</v>
      </c>
      <c r="V22" s="1999"/>
      <c r="W22" s="1999">
        <f t="shared" si="15"/>
        <v>0</v>
      </c>
      <c r="X22" s="1999"/>
      <c r="Y22" s="1999">
        <f t="shared" si="16"/>
        <v>0</v>
      </c>
      <c r="Z22" s="1533"/>
      <c r="AA22" s="1533"/>
      <c r="AB22" s="1533"/>
      <c r="AC22" s="1533"/>
      <c r="AD22" s="1533"/>
      <c r="AE22" s="1533"/>
      <c r="AF22" s="1533"/>
      <c r="AG22" s="1533"/>
    </row>
    <row r="23" spans="1:33" s="1625" customFormat="1" ht="12.2" customHeight="1" x14ac:dyDescent="0.2">
      <c r="A23" s="1622" t="s">
        <v>303</v>
      </c>
      <c r="B23" s="1622"/>
      <c r="C23" s="1631"/>
      <c r="D23" s="1631"/>
      <c r="F23" s="1625">
        <v>526</v>
      </c>
      <c r="G23" s="1591"/>
      <c r="J23" s="1626"/>
      <c r="K23" s="1627">
        <f t="shared" si="8"/>
        <v>0</v>
      </c>
      <c r="L23" s="1628"/>
      <c r="M23" s="1629">
        <f t="shared" si="4"/>
        <v>0</v>
      </c>
      <c r="N23" s="1597"/>
      <c r="O23" s="1998">
        <f t="shared" si="9"/>
        <v>0</v>
      </c>
      <c r="P23" s="1998">
        <f t="shared" si="0"/>
        <v>0</v>
      </c>
      <c r="Q23" s="1997">
        <f t="shared" si="0"/>
        <v>0</v>
      </c>
      <c r="R23" s="1998">
        <f t="shared" si="0"/>
        <v>0</v>
      </c>
      <c r="S23" s="1998">
        <f t="shared" si="0"/>
        <v>0</v>
      </c>
      <c r="T23" s="1998">
        <f t="shared" si="0"/>
        <v>0</v>
      </c>
      <c r="U23" s="1998">
        <f t="shared" si="0"/>
        <v>0</v>
      </c>
      <c r="V23" s="1999"/>
      <c r="W23" s="1999">
        <f t="shared" si="10"/>
        <v>0</v>
      </c>
      <c r="X23" s="1999"/>
      <c r="Y23" s="1999">
        <f t="shared" si="11"/>
        <v>0</v>
      </c>
      <c r="Z23" s="1630"/>
      <c r="AA23" s="1630"/>
      <c r="AB23" s="1630"/>
      <c r="AC23" s="1630"/>
      <c r="AD23" s="1630"/>
      <c r="AE23" s="1630"/>
      <c r="AF23" s="1630"/>
      <c r="AG23" s="1630"/>
    </row>
    <row r="24" spans="1:33" s="1691" customFormat="1" ht="12.2" customHeight="1" x14ac:dyDescent="0.2">
      <c r="A24" s="1976"/>
      <c r="B24" s="1976"/>
      <c r="C24" s="1978" t="s">
        <v>28900</v>
      </c>
      <c r="D24" s="1978" t="s">
        <v>28903</v>
      </c>
      <c r="E24" s="1691" t="s">
        <v>108</v>
      </c>
      <c r="F24" s="1691">
        <v>520</v>
      </c>
      <c r="G24" s="1591">
        <v>3.3000000000000002E-2</v>
      </c>
      <c r="H24" s="1691" t="s">
        <v>860</v>
      </c>
      <c r="I24" s="1691">
        <f>Liste!$D$10+Liste!$D$11</f>
        <v>1</v>
      </c>
      <c r="J24" s="1979">
        <f>VLOOKUP(F24,Kostensätze!A:E,5,FALSE)</f>
        <v>37.619999999999997</v>
      </c>
      <c r="K24" s="1980">
        <f t="shared" si="8"/>
        <v>1.98</v>
      </c>
      <c r="L24" s="1981">
        <f t="shared" ref="L24:L75" si="17">K24/60</f>
        <v>3.3000000000000002E-2</v>
      </c>
      <c r="M24" s="1982">
        <f t="shared" si="4"/>
        <v>1.24146</v>
      </c>
      <c r="N24" s="1597"/>
      <c r="O24" s="1998">
        <f t="shared" si="9"/>
        <v>0</v>
      </c>
      <c r="P24" s="1998">
        <f t="shared" si="0"/>
        <v>0</v>
      </c>
      <c r="Q24" s="1997">
        <f t="shared" si="0"/>
        <v>0</v>
      </c>
      <c r="R24" s="1998">
        <f t="shared" si="0"/>
        <v>0</v>
      </c>
      <c r="S24" s="1998">
        <f t="shared" si="0"/>
        <v>3.3000000000000002E-2</v>
      </c>
      <c r="T24" s="1998">
        <f t="shared" si="0"/>
        <v>0</v>
      </c>
      <c r="U24" s="1998">
        <f t="shared" si="0"/>
        <v>0</v>
      </c>
      <c r="V24" s="1999">
        <v>1</v>
      </c>
      <c r="W24" s="1999">
        <f t="shared" si="10"/>
        <v>3.3000000000000002E-2</v>
      </c>
      <c r="X24" s="1999"/>
      <c r="Y24" s="1999">
        <f t="shared" si="11"/>
        <v>0</v>
      </c>
      <c r="Z24" s="1533"/>
      <c r="AA24" s="1533"/>
      <c r="AB24" s="1533"/>
      <c r="AC24" s="1533"/>
      <c r="AD24" s="1533"/>
      <c r="AE24" s="1533"/>
      <c r="AF24" s="1533"/>
      <c r="AG24" s="1533"/>
    </row>
    <row r="25" spans="1:33" s="1625" customFormat="1" ht="12.2" customHeight="1" x14ac:dyDescent="0.2">
      <c r="A25" s="1622"/>
      <c r="B25" s="1622"/>
      <c r="C25" s="1631" t="s">
        <v>28901</v>
      </c>
      <c r="D25" s="1631" t="s">
        <v>28903</v>
      </c>
      <c r="E25" s="1625" t="s">
        <v>108</v>
      </c>
      <c r="F25" s="1625">
        <v>520</v>
      </c>
      <c r="G25" s="1591">
        <v>1.2500000000000001E-2</v>
      </c>
      <c r="H25" s="1971" t="s">
        <v>860</v>
      </c>
      <c r="I25" s="1625">
        <f>Liste!$D$10+Liste!$D$11</f>
        <v>1</v>
      </c>
      <c r="J25" s="1626">
        <f>VLOOKUP(F25,Kostensätze!A:E,5,FALSE)</f>
        <v>37.619999999999997</v>
      </c>
      <c r="K25" s="1627">
        <f t="shared" si="8"/>
        <v>0.75</v>
      </c>
      <c r="L25" s="1628">
        <f t="shared" si="17"/>
        <v>1.2500000000000001E-2</v>
      </c>
      <c r="M25" s="1629">
        <f t="shared" si="4"/>
        <v>0.47025</v>
      </c>
      <c r="N25" s="1597"/>
      <c r="O25" s="1998">
        <f t="shared" si="9"/>
        <v>0</v>
      </c>
      <c r="P25" s="1998">
        <f t="shared" si="0"/>
        <v>0</v>
      </c>
      <c r="Q25" s="1997">
        <f t="shared" si="0"/>
        <v>0</v>
      </c>
      <c r="R25" s="1998">
        <f t="shared" si="0"/>
        <v>0</v>
      </c>
      <c r="S25" s="1998">
        <f t="shared" si="0"/>
        <v>1.2500000000000001E-2</v>
      </c>
      <c r="T25" s="1998">
        <f t="shared" si="0"/>
        <v>0</v>
      </c>
      <c r="U25" s="1998">
        <f t="shared" si="0"/>
        <v>0</v>
      </c>
      <c r="V25" s="1999"/>
      <c r="W25" s="1999">
        <f t="shared" ref="W25:W96" si="18">IF(V25=1,L25,0)</f>
        <v>0</v>
      </c>
      <c r="X25" s="1999">
        <v>1</v>
      </c>
      <c r="Y25" s="1999">
        <f t="shared" si="11"/>
        <v>1.2500000000000001E-2</v>
      </c>
      <c r="Z25" s="1630"/>
      <c r="AA25" s="1630"/>
      <c r="AB25" s="1630"/>
      <c r="AC25" s="1630"/>
      <c r="AD25" s="1630"/>
      <c r="AE25" s="1630"/>
      <c r="AF25" s="1630"/>
      <c r="AG25" s="1630"/>
    </row>
    <row r="26" spans="1:33" s="1691" customFormat="1" ht="12.2" customHeight="1" x14ac:dyDescent="0.2">
      <c r="A26" s="1976"/>
      <c r="B26" s="1976"/>
      <c r="C26" s="1978" t="s">
        <v>28902</v>
      </c>
      <c r="D26" s="1978" t="s">
        <v>28903</v>
      </c>
      <c r="E26" s="1691" t="s">
        <v>108</v>
      </c>
      <c r="F26" s="1691">
        <v>520</v>
      </c>
      <c r="G26" s="1591">
        <v>1.6E-2</v>
      </c>
      <c r="H26" s="1691" t="s">
        <v>860</v>
      </c>
      <c r="I26" s="1691">
        <f>Liste!$D$10+Liste!$D$11</f>
        <v>1</v>
      </c>
      <c r="J26" s="1979">
        <f>VLOOKUP(F26,Kostensätze!A:E,5,FALSE)</f>
        <v>37.619999999999997</v>
      </c>
      <c r="K26" s="1980">
        <f t="shared" si="8"/>
        <v>0.96</v>
      </c>
      <c r="L26" s="1981">
        <f t="shared" si="17"/>
        <v>1.6E-2</v>
      </c>
      <c r="M26" s="1982">
        <f t="shared" si="4"/>
        <v>0.60192000000000001</v>
      </c>
      <c r="N26" s="1597"/>
      <c r="O26" s="1998">
        <f t="shared" si="9"/>
        <v>0</v>
      </c>
      <c r="P26" s="1998">
        <f t="shared" si="0"/>
        <v>0</v>
      </c>
      <c r="Q26" s="1997">
        <f t="shared" si="0"/>
        <v>0</v>
      </c>
      <c r="R26" s="1998">
        <f t="shared" si="0"/>
        <v>0</v>
      </c>
      <c r="S26" s="1998">
        <f t="shared" si="0"/>
        <v>1.6E-2</v>
      </c>
      <c r="T26" s="1998">
        <f t="shared" si="0"/>
        <v>0</v>
      </c>
      <c r="U26" s="1998">
        <f t="shared" si="0"/>
        <v>0</v>
      </c>
      <c r="V26" s="1999"/>
      <c r="W26" s="1999">
        <f t="shared" si="18"/>
        <v>0</v>
      </c>
      <c r="X26" s="1999">
        <v>1</v>
      </c>
      <c r="Y26" s="1999">
        <f t="shared" si="11"/>
        <v>1.6E-2</v>
      </c>
      <c r="Z26" s="1533"/>
      <c r="AA26" s="1533"/>
      <c r="AB26" s="1533"/>
      <c r="AC26" s="1533"/>
      <c r="AD26" s="1533"/>
      <c r="AE26" s="1533"/>
      <c r="AF26" s="1533"/>
      <c r="AG26" s="1533"/>
    </row>
    <row r="27" spans="1:33" s="1625" customFormat="1" ht="12.2" customHeight="1" x14ac:dyDescent="0.2">
      <c r="A27" s="1622"/>
      <c r="B27" s="1622"/>
      <c r="C27" s="1623" t="s">
        <v>28900</v>
      </c>
      <c r="D27" s="1631" t="s">
        <v>28904</v>
      </c>
      <c r="E27" s="1625" t="s">
        <v>108</v>
      </c>
      <c r="F27" s="1625">
        <v>520</v>
      </c>
      <c r="G27" s="1591">
        <v>0.05</v>
      </c>
      <c r="H27" s="1625" t="s">
        <v>860</v>
      </c>
      <c r="I27" s="1625">
        <f>SUM(Liste!$D$12:$D$23)</f>
        <v>0</v>
      </c>
      <c r="J27" s="1626">
        <f>VLOOKUP(F27,Kostensätze!A:E,5,FALSE)</f>
        <v>37.619999999999997</v>
      </c>
      <c r="K27" s="1627">
        <f t="shared" si="8"/>
        <v>0</v>
      </c>
      <c r="L27" s="1628">
        <f t="shared" si="17"/>
        <v>0</v>
      </c>
      <c r="M27" s="1629">
        <f t="shared" si="4"/>
        <v>0</v>
      </c>
      <c r="N27" s="1597"/>
      <c r="O27" s="1998">
        <f t="shared" si="9"/>
        <v>0</v>
      </c>
      <c r="P27" s="1998">
        <f t="shared" si="0"/>
        <v>0</v>
      </c>
      <c r="Q27" s="1997">
        <f t="shared" si="0"/>
        <v>0</v>
      </c>
      <c r="R27" s="1998">
        <f t="shared" si="0"/>
        <v>0</v>
      </c>
      <c r="S27" s="1998">
        <f t="shared" si="0"/>
        <v>0</v>
      </c>
      <c r="T27" s="1998">
        <f t="shared" si="0"/>
        <v>0</v>
      </c>
      <c r="U27" s="1998">
        <f t="shared" si="0"/>
        <v>0</v>
      </c>
      <c r="V27" s="1999">
        <v>1</v>
      </c>
      <c r="W27" s="1999">
        <f t="shared" si="18"/>
        <v>0</v>
      </c>
      <c r="X27" s="1999"/>
      <c r="Y27" s="1999">
        <f t="shared" si="11"/>
        <v>0</v>
      </c>
      <c r="Z27" s="1630"/>
      <c r="AA27" s="1630"/>
      <c r="AB27" s="1630"/>
      <c r="AC27" s="1630"/>
      <c r="AD27" s="1630"/>
      <c r="AE27" s="1630"/>
      <c r="AF27" s="1630"/>
      <c r="AG27" s="1630"/>
    </row>
    <row r="28" spans="1:33" s="1691" customFormat="1" ht="12.2" customHeight="1" x14ac:dyDescent="0.2">
      <c r="A28" s="1976"/>
      <c r="B28" s="1976"/>
      <c r="C28" s="1595" t="s">
        <v>28901</v>
      </c>
      <c r="D28" s="1595" t="s">
        <v>28904</v>
      </c>
      <c r="E28" s="1691" t="s">
        <v>108</v>
      </c>
      <c r="F28" s="1691">
        <v>520</v>
      </c>
      <c r="G28" s="1591">
        <v>1.2500000000000001E-2</v>
      </c>
      <c r="H28" s="1691" t="s">
        <v>860</v>
      </c>
      <c r="I28" s="1691">
        <f>SUM(Liste!$D$12:$D$23)</f>
        <v>0</v>
      </c>
      <c r="J28" s="1979">
        <f>VLOOKUP(F28,Kostensätze!A:E,5,FALSE)</f>
        <v>37.619999999999997</v>
      </c>
      <c r="K28" s="1980">
        <f t="shared" si="8"/>
        <v>0</v>
      </c>
      <c r="L28" s="1981">
        <f t="shared" si="17"/>
        <v>0</v>
      </c>
      <c r="M28" s="1982">
        <f t="shared" si="4"/>
        <v>0</v>
      </c>
      <c r="N28" s="1597"/>
      <c r="O28" s="1998">
        <f t="shared" si="9"/>
        <v>0</v>
      </c>
      <c r="P28" s="1998">
        <f t="shared" si="9"/>
        <v>0</v>
      </c>
      <c r="Q28" s="1997">
        <f t="shared" si="9"/>
        <v>0</v>
      </c>
      <c r="R28" s="1998">
        <f t="shared" si="9"/>
        <v>0</v>
      </c>
      <c r="S28" s="1998">
        <f t="shared" si="9"/>
        <v>0</v>
      </c>
      <c r="T28" s="1998">
        <f t="shared" si="9"/>
        <v>0</v>
      </c>
      <c r="U28" s="1998">
        <f t="shared" si="9"/>
        <v>0</v>
      </c>
      <c r="V28" s="1999"/>
      <c r="W28" s="1999">
        <f t="shared" si="18"/>
        <v>0</v>
      </c>
      <c r="X28" s="1999">
        <v>1</v>
      </c>
      <c r="Y28" s="1999">
        <f t="shared" si="11"/>
        <v>0</v>
      </c>
      <c r="Z28" s="1533"/>
      <c r="AA28" s="1533"/>
      <c r="AB28" s="1533"/>
      <c r="AC28" s="1533"/>
      <c r="AD28" s="1533"/>
      <c r="AE28" s="1533"/>
      <c r="AF28" s="1533"/>
      <c r="AG28" s="1533"/>
    </row>
    <row r="29" spans="1:33" s="1625" customFormat="1" ht="12.2" customHeight="1" x14ac:dyDescent="0.2">
      <c r="A29" s="1622"/>
      <c r="B29" s="1622"/>
      <c r="C29" s="1631" t="s">
        <v>28902</v>
      </c>
      <c r="D29" s="1631" t="s">
        <v>28904</v>
      </c>
      <c r="E29" s="1625" t="s">
        <v>108</v>
      </c>
      <c r="F29" s="1625">
        <v>520</v>
      </c>
      <c r="G29" s="1591">
        <v>1.6E-2</v>
      </c>
      <c r="H29" s="1625" t="s">
        <v>860</v>
      </c>
      <c r="I29" s="1625">
        <f>SUM(Liste!$D$12:$D$23)</f>
        <v>0</v>
      </c>
      <c r="J29" s="1626">
        <f>VLOOKUP(F29,Kostensätze!A:E,5,FALSE)</f>
        <v>37.619999999999997</v>
      </c>
      <c r="K29" s="1627">
        <f t="shared" si="8"/>
        <v>0</v>
      </c>
      <c r="L29" s="1628">
        <f t="shared" si="17"/>
        <v>0</v>
      </c>
      <c r="M29" s="1629">
        <f t="shared" si="4"/>
        <v>0</v>
      </c>
      <c r="N29" s="1597"/>
      <c r="O29" s="1998">
        <f t="shared" si="9"/>
        <v>0</v>
      </c>
      <c r="P29" s="1998">
        <f t="shared" si="9"/>
        <v>0</v>
      </c>
      <c r="Q29" s="1997">
        <f t="shared" si="9"/>
        <v>0</v>
      </c>
      <c r="R29" s="1998">
        <f t="shared" si="9"/>
        <v>0</v>
      </c>
      <c r="S29" s="1998">
        <f t="shared" si="9"/>
        <v>0</v>
      </c>
      <c r="T29" s="1998">
        <f t="shared" si="9"/>
        <v>0</v>
      </c>
      <c r="U29" s="1998">
        <f t="shared" si="9"/>
        <v>0</v>
      </c>
      <c r="V29" s="1999"/>
      <c r="W29" s="1999">
        <f t="shared" si="18"/>
        <v>0</v>
      </c>
      <c r="X29" s="1999">
        <v>1</v>
      </c>
      <c r="Y29" s="1999">
        <f t="shared" si="11"/>
        <v>0</v>
      </c>
      <c r="Z29" s="1630"/>
      <c r="AA29" s="1630"/>
      <c r="AB29" s="1630"/>
      <c r="AC29" s="1630"/>
      <c r="AD29" s="1630"/>
      <c r="AE29" s="1630"/>
      <c r="AF29" s="1630"/>
      <c r="AG29" s="1630"/>
    </row>
    <row r="30" spans="1:33" s="1691" customFormat="1" ht="12.2" customHeight="1" x14ac:dyDescent="0.2">
      <c r="A30" s="1976"/>
      <c r="B30" s="1976"/>
      <c r="C30" s="1978" t="s">
        <v>28900</v>
      </c>
      <c r="D30" s="1978" t="s">
        <v>28905</v>
      </c>
      <c r="E30" s="1691" t="s">
        <v>108</v>
      </c>
      <c r="F30" s="1691">
        <v>520</v>
      </c>
      <c r="G30" s="1591">
        <v>0.05</v>
      </c>
      <c r="H30" s="1691" t="s">
        <v>860</v>
      </c>
      <c r="I30" s="1691">
        <f>SUM(Liste!$D$24:$D$25)</f>
        <v>0</v>
      </c>
      <c r="J30" s="1979">
        <f>VLOOKUP(F30,Kostensätze!A:E,5,FALSE)</f>
        <v>37.619999999999997</v>
      </c>
      <c r="K30" s="1980">
        <f t="shared" si="8"/>
        <v>0</v>
      </c>
      <c r="L30" s="1981">
        <f t="shared" si="17"/>
        <v>0</v>
      </c>
      <c r="M30" s="1982">
        <f t="shared" si="4"/>
        <v>0</v>
      </c>
      <c r="N30" s="1597"/>
      <c r="O30" s="1998">
        <f t="shared" si="9"/>
        <v>0</v>
      </c>
      <c r="P30" s="1998">
        <f t="shared" si="9"/>
        <v>0</v>
      </c>
      <c r="Q30" s="1997">
        <f t="shared" si="9"/>
        <v>0</v>
      </c>
      <c r="R30" s="1998">
        <f t="shared" si="9"/>
        <v>0</v>
      </c>
      <c r="S30" s="1998">
        <f t="shared" si="9"/>
        <v>0</v>
      </c>
      <c r="T30" s="1998">
        <f t="shared" si="9"/>
        <v>0</v>
      </c>
      <c r="U30" s="1998">
        <f t="shared" si="9"/>
        <v>0</v>
      </c>
      <c r="V30" s="1999">
        <v>1</v>
      </c>
      <c r="W30" s="1999">
        <f t="shared" si="18"/>
        <v>0</v>
      </c>
      <c r="X30" s="1999"/>
      <c r="Y30" s="1999">
        <f t="shared" si="11"/>
        <v>0</v>
      </c>
      <c r="Z30" s="1533"/>
      <c r="AA30" s="1533"/>
      <c r="AB30" s="1533"/>
      <c r="AC30" s="1533"/>
      <c r="AD30" s="1533"/>
      <c r="AE30" s="1533"/>
      <c r="AF30" s="1533"/>
      <c r="AG30" s="1533"/>
    </row>
    <row r="31" spans="1:33" s="1625" customFormat="1" ht="12.2" customHeight="1" x14ac:dyDescent="0.2">
      <c r="A31" s="1622"/>
      <c r="B31" s="1622"/>
      <c r="C31" s="1623" t="s">
        <v>28901</v>
      </c>
      <c r="D31" s="1631" t="s">
        <v>28905</v>
      </c>
      <c r="E31" s="1625" t="s">
        <v>108</v>
      </c>
      <c r="F31" s="1625">
        <v>520</v>
      </c>
      <c r="G31" s="1591">
        <v>1.2500000000000001E-2</v>
      </c>
      <c r="H31" s="1625" t="s">
        <v>860</v>
      </c>
      <c r="I31" s="1625">
        <f>SUM(Liste!$D$24:$D$25)</f>
        <v>0</v>
      </c>
      <c r="J31" s="1626">
        <f>VLOOKUP(F31,Kostensätze!A:E,5,FALSE)</f>
        <v>37.619999999999997</v>
      </c>
      <c r="K31" s="1627">
        <f t="shared" si="8"/>
        <v>0</v>
      </c>
      <c r="L31" s="1628">
        <f t="shared" si="17"/>
        <v>0</v>
      </c>
      <c r="M31" s="1629">
        <f t="shared" si="4"/>
        <v>0</v>
      </c>
      <c r="N31" s="1597"/>
      <c r="O31" s="1998">
        <f t="shared" si="9"/>
        <v>0</v>
      </c>
      <c r="P31" s="1998">
        <f t="shared" si="9"/>
        <v>0</v>
      </c>
      <c r="Q31" s="1997">
        <f t="shared" si="9"/>
        <v>0</v>
      </c>
      <c r="R31" s="1998">
        <f t="shared" si="9"/>
        <v>0</v>
      </c>
      <c r="S31" s="1998">
        <f t="shared" si="9"/>
        <v>0</v>
      </c>
      <c r="T31" s="1998">
        <f t="shared" si="9"/>
        <v>0</v>
      </c>
      <c r="U31" s="1998">
        <f t="shared" si="9"/>
        <v>0</v>
      </c>
      <c r="V31" s="1999"/>
      <c r="W31" s="1999">
        <f t="shared" si="18"/>
        <v>0</v>
      </c>
      <c r="X31" s="1999">
        <v>1</v>
      </c>
      <c r="Y31" s="1999">
        <f t="shared" si="11"/>
        <v>0</v>
      </c>
      <c r="Z31" s="1630"/>
      <c r="AA31" s="1630"/>
      <c r="AB31" s="1630"/>
      <c r="AC31" s="1630"/>
      <c r="AD31" s="1630"/>
      <c r="AE31" s="1630"/>
      <c r="AF31" s="1630"/>
      <c r="AG31" s="1630"/>
    </row>
    <row r="32" spans="1:33" s="1691" customFormat="1" ht="12.2" customHeight="1" x14ac:dyDescent="0.2">
      <c r="A32" s="1976"/>
      <c r="B32" s="1976"/>
      <c r="C32" s="1978" t="s">
        <v>28900</v>
      </c>
      <c r="D32" s="1978" t="s">
        <v>29659</v>
      </c>
      <c r="E32" s="1691" t="s">
        <v>108</v>
      </c>
      <c r="F32" s="1691">
        <v>520</v>
      </c>
      <c r="G32" s="1591">
        <v>3.3000000000000002E-2</v>
      </c>
      <c r="H32" s="1691" t="s">
        <v>860</v>
      </c>
      <c r="I32" s="1691">
        <f>Liste!$A$103*Liste!$D$5</f>
        <v>0</v>
      </c>
      <c r="J32" s="1979">
        <f>VLOOKUP(F32,Kostensätze!A:E,5,FALSE)</f>
        <v>37.619999999999997</v>
      </c>
      <c r="K32" s="1980">
        <f t="shared" si="8"/>
        <v>0</v>
      </c>
      <c r="L32" s="1981">
        <f t="shared" si="17"/>
        <v>0</v>
      </c>
      <c r="M32" s="1982">
        <f t="shared" si="4"/>
        <v>0</v>
      </c>
      <c r="N32" s="1597"/>
      <c r="O32" s="1998">
        <f t="shared" si="9"/>
        <v>0</v>
      </c>
      <c r="P32" s="1998">
        <f t="shared" si="9"/>
        <v>0</v>
      </c>
      <c r="Q32" s="1997">
        <f t="shared" si="9"/>
        <v>0</v>
      </c>
      <c r="R32" s="1998">
        <f t="shared" si="9"/>
        <v>0</v>
      </c>
      <c r="S32" s="1998">
        <f t="shared" si="9"/>
        <v>0</v>
      </c>
      <c r="T32" s="1998">
        <f t="shared" si="9"/>
        <v>0</v>
      </c>
      <c r="U32" s="1998">
        <f t="shared" si="9"/>
        <v>0</v>
      </c>
      <c r="V32" s="1999">
        <v>1</v>
      </c>
      <c r="W32" s="1999">
        <f t="shared" si="18"/>
        <v>0</v>
      </c>
      <c r="X32" s="1999"/>
      <c r="Y32" s="1999">
        <f t="shared" si="11"/>
        <v>0</v>
      </c>
      <c r="Z32" s="1533"/>
      <c r="AA32" s="1533"/>
      <c r="AB32" s="1533"/>
      <c r="AC32" s="1533"/>
      <c r="AD32" s="1533"/>
      <c r="AE32" s="1533"/>
      <c r="AF32" s="1533"/>
      <c r="AG32" s="1533"/>
    </row>
    <row r="33" spans="1:33" s="1625" customFormat="1" ht="12.2" customHeight="1" x14ac:dyDescent="0.2">
      <c r="A33" s="1622"/>
      <c r="B33" s="1622"/>
      <c r="C33" s="1623" t="s">
        <v>28901</v>
      </c>
      <c r="D33" s="1631" t="s">
        <v>29659</v>
      </c>
      <c r="E33" s="1625" t="s">
        <v>108</v>
      </c>
      <c r="F33" s="1625">
        <v>520</v>
      </c>
      <c r="G33" s="1591">
        <v>1.2999999999999999E-2</v>
      </c>
      <c r="H33" s="1625" t="s">
        <v>860</v>
      </c>
      <c r="I33" s="1625">
        <f>Liste!$A$103*Liste!$D$5</f>
        <v>0</v>
      </c>
      <c r="J33" s="1626">
        <f>VLOOKUP(F33,Kostensätze!A:E,5,FALSE)</f>
        <v>37.619999999999997</v>
      </c>
      <c r="K33" s="1627">
        <f t="shared" si="8"/>
        <v>0</v>
      </c>
      <c r="L33" s="1628">
        <f t="shared" si="17"/>
        <v>0</v>
      </c>
      <c r="M33" s="1629">
        <f t="shared" si="4"/>
        <v>0</v>
      </c>
      <c r="N33" s="1597"/>
      <c r="O33" s="1998">
        <f t="shared" si="9"/>
        <v>0</v>
      </c>
      <c r="P33" s="1998">
        <f t="shared" si="9"/>
        <v>0</v>
      </c>
      <c r="Q33" s="1997">
        <f t="shared" si="9"/>
        <v>0</v>
      </c>
      <c r="R33" s="1998">
        <f t="shared" si="9"/>
        <v>0</v>
      </c>
      <c r="S33" s="1998">
        <f t="shared" si="9"/>
        <v>0</v>
      </c>
      <c r="T33" s="1998">
        <f t="shared" si="9"/>
        <v>0</v>
      </c>
      <c r="U33" s="1998">
        <f t="shared" si="9"/>
        <v>0</v>
      </c>
      <c r="V33" s="1999"/>
      <c r="W33" s="1999">
        <f t="shared" si="18"/>
        <v>0</v>
      </c>
      <c r="X33" s="1999">
        <v>1</v>
      </c>
      <c r="Y33" s="1999">
        <f t="shared" si="11"/>
        <v>0</v>
      </c>
      <c r="Z33" s="1630"/>
      <c r="AA33" s="1630"/>
      <c r="AB33" s="1630"/>
      <c r="AC33" s="1630"/>
      <c r="AD33" s="1630"/>
      <c r="AE33" s="1630"/>
      <c r="AF33" s="1630"/>
      <c r="AG33" s="1630"/>
    </row>
    <row r="34" spans="1:33" s="1691" customFormat="1" ht="12.2" customHeight="1" x14ac:dyDescent="0.2">
      <c r="A34" s="1976"/>
      <c r="B34" s="1976"/>
      <c r="C34" s="1595" t="s">
        <v>28900</v>
      </c>
      <c r="D34" s="1595" t="s">
        <v>28906</v>
      </c>
      <c r="E34" s="1691" t="s">
        <v>108</v>
      </c>
      <c r="F34" s="1691">
        <v>520</v>
      </c>
      <c r="G34" s="1591">
        <v>0.05</v>
      </c>
      <c r="H34" s="1691" t="s">
        <v>860</v>
      </c>
      <c r="I34" s="1691">
        <f>SUM(Liste!$D$104:$D$105,Liste!$D$112:$D$113)*Liste!$D$5</f>
        <v>0</v>
      </c>
      <c r="J34" s="1979">
        <f>VLOOKUP(F34,Kostensätze!A:E,5,FALSE)</f>
        <v>37.619999999999997</v>
      </c>
      <c r="K34" s="1980">
        <f t="shared" si="8"/>
        <v>0</v>
      </c>
      <c r="L34" s="1981">
        <f t="shared" si="17"/>
        <v>0</v>
      </c>
      <c r="M34" s="1982">
        <f t="shared" si="4"/>
        <v>0</v>
      </c>
      <c r="N34" s="1597"/>
      <c r="O34" s="1998">
        <f t="shared" si="9"/>
        <v>0</v>
      </c>
      <c r="P34" s="1998">
        <f t="shared" si="9"/>
        <v>0</v>
      </c>
      <c r="Q34" s="1997">
        <f t="shared" ref="Q34:Q97" si="19">IF($F34=Q$3,$L34,0)</f>
        <v>0</v>
      </c>
      <c r="R34" s="1998">
        <f t="shared" si="9"/>
        <v>0</v>
      </c>
      <c r="S34" s="1998">
        <f t="shared" si="9"/>
        <v>0</v>
      </c>
      <c r="T34" s="1998">
        <f t="shared" si="9"/>
        <v>0</v>
      </c>
      <c r="U34" s="1998">
        <f t="shared" si="9"/>
        <v>0</v>
      </c>
      <c r="V34" s="1999">
        <v>1</v>
      </c>
      <c r="W34" s="1999">
        <f t="shared" si="18"/>
        <v>0</v>
      </c>
      <c r="X34" s="1999"/>
      <c r="Y34" s="1999">
        <f t="shared" si="11"/>
        <v>0</v>
      </c>
      <c r="Z34" s="1533"/>
      <c r="AA34" s="1533"/>
      <c r="AB34" s="1533"/>
      <c r="AC34" s="1533"/>
      <c r="AD34" s="1533"/>
      <c r="AE34" s="1533"/>
      <c r="AF34" s="1533"/>
      <c r="AG34" s="1533"/>
    </row>
    <row r="35" spans="1:33" s="1625" customFormat="1" ht="12.2" customHeight="1" x14ac:dyDescent="0.2">
      <c r="A35" s="1622"/>
      <c r="B35" s="1622"/>
      <c r="C35" s="1631" t="s">
        <v>28901</v>
      </c>
      <c r="D35" s="1631" t="s">
        <v>28906</v>
      </c>
      <c r="E35" s="1625" t="s">
        <v>108</v>
      </c>
      <c r="F35" s="1625">
        <v>520</v>
      </c>
      <c r="G35" s="1591">
        <v>1.2500000000000001E-2</v>
      </c>
      <c r="H35" s="1625" t="s">
        <v>860</v>
      </c>
      <c r="I35" s="1625">
        <f>SUM(Liste!$D$104:$D$105,Liste!$D$112:$D$113)*Liste!$D$5</f>
        <v>0</v>
      </c>
      <c r="J35" s="1626">
        <f>VLOOKUP(F35,Kostensätze!A:E,5,FALSE)</f>
        <v>37.619999999999997</v>
      </c>
      <c r="K35" s="1627">
        <f t="shared" si="8"/>
        <v>0</v>
      </c>
      <c r="L35" s="1628">
        <f t="shared" si="17"/>
        <v>0</v>
      </c>
      <c r="M35" s="1629">
        <f t="shared" si="4"/>
        <v>0</v>
      </c>
      <c r="N35" s="1597"/>
      <c r="O35" s="1998">
        <f t="shared" si="9"/>
        <v>0</v>
      </c>
      <c r="P35" s="1998">
        <f t="shared" si="9"/>
        <v>0</v>
      </c>
      <c r="Q35" s="1997">
        <f t="shared" si="19"/>
        <v>0</v>
      </c>
      <c r="R35" s="1998">
        <f t="shared" si="9"/>
        <v>0</v>
      </c>
      <c r="S35" s="1998">
        <f t="shared" si="9"/>
        <v>0</v>
      </c>
      <c r="T35" s="1998">
        <f t="shared" si="9"/>
        <v>0</v>
      </c>
      <c r="U35" s="1998">
        <f t="shared" si="9"/>
        <v>0</v>
      </c>
      <c r="V35" s="1999"/>
      <c r="W35" s="1999">
        <f t="shared" si="18"/>
        <v>0</v>
      </c>
      <c r="X35" s="1999">
        <v>1</v>
      </c>
      <c r="Y35" s="1999">
        <f t="shared" si="11"/>
        <v>0</v>
      </c>
      <c r="Z35" s="1630"/>
      <c r="AA35" s="1630"/>
      <c r="AB35" s="1630"/>
      <c r="AC35" s="1630"/>
      <c r="AD35" s="1630"/>
      <c r="AE35" s="1630"/>
      <c r="AF35" s="1630"/>
      <c r="AG35" s="1630"/>
    </row>
    <row r="36" spans="1:33" s="1691" customFormat="1" ht="12.2" customHeight="1" x14ac:dyDescent="0.2">
      <c r="A36" s="1976"/>
      <c r="B36" s="1976"/>
      <c r="C36" s="1978" t="s">
        <v>28902</v>
      </c>
      <c r="D36" s="1978" t="s">
        <v>28906</v>
      </c>
      <c r="E36" s="1691" t="s">
        <v>108</v>
      </c>
      <c r="F36" s="1691">
        <v>520</v>
      </c>
      <c r="G36" s="1591">
        <v>1.6E-2</v>
      </c>
      <c r="H36" s="1691" t="s">
        <v>860</v>
      </c>
      <c r="I36" s="1691">
        <f>SUM(Liste!$D$104:$D$105,Liste!$D$112:$D$113)*Liste!$D$5</f>
        <v>0</v>
      </c>
      <c r="J36" s="1979">
        <f>VLOOKUP(F36,Kostensätze!A:E,5,FALSE)</f>
        <v>37.619999999999997</v>
      </c>
      <c r="K36" s="1980">
        <f t="shared" si="8"/>
        <v>0</v>
      </c>
      <c r="L36" s="1981">
        <f t="shared" si="17"/>
        <v>0</v>
      </c>
      <c r="M36" s="1982">
        <f t="shared" si="4"/>
        <v>0</v>
      </c>
      <c r="N36" s="1597"/>
      <c r="O36" s="1998">
        <f t="shared" si="9"/>
        <v>0</v>
      </c>
      <c r="P36" s="1998">
        <f t="shared" si="9"/>
        <v>0</v>
      </c>
      <c r="Q36" s="1997">
        <f t="shared" si="19"/>
        <v>0</v>
      </c>
      <c r="R36" s="1998">
        <f t="shared" si="9"/>
        <v>0</v>
      </c>
      <c r="S36" s="1998">
        <f t="shared" si="9"/>
        <v>0</v>
      </c>
      <c r="T36" s="1998">
        <f t="shared" si="9"/>
        <v>0</v>
      </c>
      <c r="U36" s="1998">
        <f t="shared" si="9"/>
        <v>0</v>
      </c>
      <c r="V36" s="1999"/>
      <c r="W36" s="1999">
        <f t="shared" si="18"/>
        <v>0</v>
      </c>
      <c r="X36" s="1999">
        <v>1</v>
      </c>
      <c r="Y36" s="1999">
        <f t="shared" si="11"/>
        <v>0</v>
      </c>
      <c r="Z36" s="1533"/>
      <c r="AA36" s="1533"/>
      <c r="AB36" s="1533"/>
      <c r="AC36" s="1533"/>
      <c r="AD36" s="1533"/>
      <c r="AE36" s="1533"/>
      <c r="AF36" s="1533"/>
      <c r="AG36" s="1533"/>
    </row>
    <row r="37" spans="1:33" s="1625" customFormat="1" ht="12.2" customHeight="1" x14ac:dyDescent="0.2">
      <c r="A37" s="1622"/>
      <c r="B37" s="1622"/>
      <c r="C37" s="1623" t="s">
        <v>28900</v>
      </c>
      <c r="D37" s="1631" t="s">
        <v>28907</v>
      </c>
      <c r="E37" s="1625" t="s">
        <v>108</v>
      </c>
      <c r="F37" s="1625">
        <v>520</v>
      </c>
      <c r="G37" s="1591">
        <v>3.3000000000000002E-2</v>
      </c>
      <c r="H37" s="1625" t="s">
        <v>860</v>
      </c>
      <c r="I37" s="1625">
        <f>SUM(Liste!$D$106:$D$107,Liste!$D$114:$D$115,Liste!$D$124:$D$125)*Liste!$D$5</f>
        <v>0</v>
      </c>
      <c r="J37" s="1626">
        <f>VLOOKUP(F37,Kostensätze!A:E,5,FALSE)</f>
        <v>37.619999999999997</v>
      </c>
      <c r="K37" s="1627">
        <f t="shared" si="8"/>
        <v>0</v>
      </c>
      <c r="L37" s="1628">
        <f t="shared" si="17"/>
        <v>0</v>
      </c>
      <c r="M37" s="1629">
        <f t="shared" si="4"/>
        <v>0</v>
      </c>
      <c r="N37" s="1597"/>
      <c r="O37" s="1998">
        <f t="shared" si="9"/>
        <v>0</v>
      </c>
      <c r="P37" s="1998">
        <f t="shared" si="9"/>
        <v>0</v>
      </c>
      <c r="Q37" s="1997">
        <f t="shared" si="19"/>
        <v>0</v>
      </c>
      <c r="R37" s="1998">
        <f t="shared" si="9"/>
        <v>0</v>
      </c>
      <c r="S37" s="1998">
        <f t="shared" si="9"/>
        <v>0</v>
      </c>
      <c r="T37" s="1998">
        <f t="shared" si="9"/>
        <v>0</v>
      </c>
      <c r="U37" s="1998">
        <f t="shared" si="9"/>
        <v>0</v>
      </c>
      <c r="V37" s="1999">
        <v>1</v>
      </c>
      <c r="W37" s="1999">
        <f t="shared" si="18"/>
        <v>0</v>
      </c>
      <c r="X37" s="1999"/>
      <c r="Y37" s="1999">
        <f t="shared" si="11"/>
        <v>0</v>
      </c>
      <c r="Z37" s="1630"/>
      <c r="AA37" s="1630"/>
      <c r="AB37" s="1630"/>
      <c r="AC37" s="1630"/>
      <c r="AD37" s="1630"/>
      <c r="AE37" s="1630"/>
      <c r="AF37" s="1630"/>
      <c r="AG37" s="1630"/>
    </row>
    <row r="38" spans="1:33" s="1691" customFormat="1" ht="12.2" customHeight="1" x14ac:dyDescent="0.2">
      <c r="A38" s="1976"/>
      <c r="B38" s="1976"/>
      <c r="C38" s="1978" t="s">
        <v>28901</v>
      </c>
      <c r="D38" s="1978" t="s">
        <v>28907</v>
      </c>
      <c r="E38" s="1691" t="s">
        <v>108</v>
      </c>
      <c r="F38" s="1691">
        <v>520</v>
      </c>
      <c r="G38" s="1591">
        <v>1.2500000000000001E-2</v>
      </c>
      <c r="H38" s="1691" t="s">
        <v>860</v>
      </c>
      <c r="I38" s="1691">
        <f>SUM(Liste!$D$106:$D$107,Liste!$D$114:$D$115,Liste!$D$124:$D$125)*Liste!$D$5</f>
        <v>0</v>
      </c>
      <c r="J38" s="1979">
        <f>VLOOKUP(F38,Kostensätze!A:E,5,FALSE)</f>
        <v>37.619999999999997</v>
      </c>
      <c r="K38" s="1980">
        <f t="shared" si="8"/>
        <v>0</v>
      </c>
      <c r="L38" s="1981">
        <f t="shared" si="17"/>
        <v>0</v>
      </c>
      <c r="M38" s="1982">
        <f t="shared" si="4"/>
        <v>0</v>
      </c>
      <c r="N38" s="1597"/>
      <c r="O38" s="1998">
        <f t="shared" si="9"/>
        <v>0</v>
      </c>
      <c r="P38" s="1998">
        <f t="shared" si="9"/>
        <v>0</v>
      </c>
      <c r="Q38" s="1997">
        <f t="shared" si="19"/>
        <v>0</v>
      </c>
      <c r="R38" s="1998">
        <f t="shared" si="9"/>
        <v>0</v>
      </c>
      <c r="S38" s="1998">
        <f t="shared" si="9"/>
        <v>0</v>
      </c>
      <c r="T38" s="1998">
        <f t="shared" si="9"/>
        <v>0</v>
      </c>
      <c r="U38" s="1998">
        <f t="shared" si="9"/>
        <v>0</v>
      </c>
      <c r="V38" s="1999"/>
      <c r="W38" s="1999">
        <f t="shared" si="18"/>
        <v>0</v>
      </c>
      <c r="X38" s="1999">
        <v>1</v>
      </c>
      <c r="Y38" s="1999">
        <f t="shared" si="11"/>
        <v>0</v>
      </c>
      <c r="Z38" s="1533"/>
      <c r="AA38" s="1533"/>
      <c r="AB38" s="1533"/>
      <c r="AC38" s="1533"/>
      <c r="AD38" s="1533"/>
      <c r="AE38" s="1533"/>
      <c r="AF38" s="1533"/>
      <c r="AG38" s="1533"/>
    </row>
    <row r="39" spans="1:33" s="1625" customFormat="1" ht="12.2" customHeight="1" x14ac:dyDescent="0.2">
      <c r="A39" s="1622"/>
      <c r="B39" s="1622"/>
      <c r="C39" s="1623" t="s">
        <v>28902</v>
      </c>
      <c r="D39" s="1631" t="s">
        <v>28907</v>
      </c>
      <c r="E39" s="1625" t="s">
        <v>108</v>
      </c>
      <c r="F39" s="1625">
        <v>520</v>
      </c>
      <c r="G39" s="1591">
        <v>1.6E-2</v>
      </c>
      <c r="H39" s="1625" t="s">
        <v>860</v>
      </c>
      <c r="I39" s="1625">
        <f>SUM(Liste!$D$106:$D$107,Liste!$D$114:$D$115,Liste!$D$124:$D$125)*Liste!$D$5</f>
        <v>0</v>
      </c>
      <c r="J39" s="1626">
        <f>VLOOKUP(F39,Kostensätze!A:E,5,FALSE)</f>
        <v>37.619999999999997</v>
      </c>
      <c r="K39" s="1627">
        <f t="shared" si="8"/>
        <v>0</v>
      </c>
      <c r="L39" s="1628">
        <f t="shared" si="17"/>
        <v>0</v>
      </c>
      <c r="M39" s="1629">
        <f t="shared" si="4"/>
        <v>0</v>
      </c>
      <c r="N39" s="1597"/>
      <c r="O39" s="1998">
        <f t="shared" si="9"/>
        <v>0</v>
      </c>
      <c r="P39" s="1998">
        <f t="shared" si="9"/>
        <v>0</v>
      </c>
      <c r="Q39" s="1997">
        <f t="shared" si="19"/>
        <v>0</v>
      </c>
      <c r="R39" s="1998">
        <f t="shared" si="9"/>
        <v>0</v>
      </c>
      <c r="S39" s="1998">
        <f t="shared" si="9"/>
        <v>0</v>
      </c>
      <c r="T39" s="1998">
        <f t="shared" si="9"/>
        <v>0</v>
      </c>
      <c r="U39" s="1998">
        <f t="shared" si="9"/>
        <v>0</v>
      </c>
      <c r="V39" s="1999"/>
      <c r="W39" s="1999">
        <f t="shared" si="18"/>
        <v>0</v>
      </c>
      <c r="X39" s="1999">
        <v>1</v>
      </c>
      <c r="Y39" s="1999">
        <f t="shared" si="11"/>
        <v>0</v>
      </c>
      <c r="Z39" s="1630"/>
      <c r="AA39" s="1630"/>
      <c r="AB39" s="1630"/>
      <c r="AC39" s="1630"/>
      <c r="AD39" s="1630"/>
      <c r="AE39" s="1630"/>
      <c r="AF39" s="1630"/>
      <c r="AG39" s="1630"/>
    </row>
    <row r="40" spans="1:33" s="1691" customFormat="1" ht="12.2" customHeight="1" x14ac:dyDescent="0.2">
      <c r="A40" s="1976"/>
      <c r="B40" s="1976"/>
      <c r="C40" s="1595" t="s">
        <v>28900</v>
      </c>
      <c r="D40" s="1595" t="s">
        <v>28908</v>
      </c>
      <c r="E40" s="1691" t="s">
        <v>108</v>
      </c>
      <c r="F40" s="1691">
        <v>520</v>
      </c>
      <c r="G40" s="1591">
        <v>3.3000000000000002E-2</v>
      </c>
      <c r="H40" s="1691" t="s">
        <v>860</v>
      </c>
      <c r="I40" s="1691">
        <f>SUM(Liste!$D$108:$D$111,Liste!$D$116:$D$119,Liste!$D$120:$D$123)*Liste!$D$5</f>
        <v>0</v>
      </c>
      <c r="J40" s="1979">
        <f>VLOOKUP(F40,Kostensätze!A:E,5,FALSE)</f>
        <v>37.619999999999997</v>
      </c>
      <c r="K40" s="1980">
        <f t="shared" si="8"/>
        <v>0</v>
      </c>
      <c r="L40" s="1981">
        <f t="shared" si="17"/>
        <v>0</v>
      </c>
      <c r="M40" s="1982">
        <f t="shared" si="4"/>
        <v>0</v>
      </c>
      <c r="N40" s="1597"/>
      <c r="O40" s="1998">
        <f t="shared" si="9"/>
        <v>0</v>
      </c>
      <c r="P40" s="1998">
        <f t="shared" si="9"/>
        <v>0</v>
      </c>
      <c r="Q40" s="1997">
        <f t="shared" si="19"/>
        <v>0</v>
      </c>
      <c r="R40" s="1998">
        <f t="shared" si="9"/>
        <v>0</v>
      </c>
      <c r="S40" s="1998">
        <f t="shared" si="9"/>
        <v>0</v>
      </c>
      <c r="T40" s="1998">
        <f t="shared" si="9"/>
        <v>0</v>
      </c>
      <c r="U40" s="1998">
        <f t="shared" si="9"/>
        <v>0</v>
      </c>
      <c r="V40" s="1999">
        <v>1</v>
      </c>
      <c r="W40" s="1999">
        <f t="shared" si="18"/>
        <v>0</v>
      </c>
      <c r="X40" s="1999"/>
      <c r="Y40" s="1999">
        <f t="shared" si="11"/>
        <v>0</v>
      </c>
      <c r="Z40" s="1533"/>
      <c r="AA40" s="1533"/>
      <c r="AB40" s="1533"/>
      <c r="AC40" s="1533"/>
      <c r="AD40" s="1533"/>
      <c r="AE40" s="1533"/>
      <c r="AF40" s="1533"/>
      <c r="AG40" s="1533"/>
    </row>
    <row r="41" spans="1:33" s="1625" customFormat="1" ht="12.2" customHeight="1" x14ac:dyDescent="0.2">
      <c r="A41" s="1622"/>
      <c r="B41" s="1622"/>
      <c r="C41" s="1631" t="s">
        <v>28901</v>
      </c>
      <c r="D41" s="1631" t="s">
        <v>28908</v>
      </c>
      <c r="E41" s="1625" t="s">
        <v>108</v>
      </c>
      <c r="F41" s="1625">
        <v>520</v>
      </c>
      <c r="G41" s="1591">
        <v>1.2500000000000001E-2</v>
      </c>
      <c r="H41" s="1625" t="s">
        <v>860</v>
      </c>
      <c r="I41" s="1625">
        <f>SUM(Liste!$D$108:$D$111,Liste!$D$116:$D$119,Liste!$D$120:$D$123)*Liste!$D$5</f>
        <v>0</v>
      </c>
      <c r="J41" s="1626">
        <f>VLOOKUP(F41,Kostensätze!A:E,5,FALSE)</f>
        <v>37.619999999999997</v>
      </c>
      <c r="K41" s="1627">
        <f t="shared" si="8"/>
        <v>0</v>
      </c>
      <c r="L41" s="1628">
        <f t="shared" si="17"/>
        <v>0</v>
      </c>
      <c r="M41" s="1629">
        <f t="shared" si="4"/>
        <v>0</v>
      </c>
      <c r="N41" s="1597"/>
      <c r="O41" s="1998">
        <f t="shared" si="9"/>
        <v>0</v>
      </c>
      <c r="P41" s="1998">
        <f t="shared" si="9"/>
        <v>0</v>
      </c>
      <c r="Q41" s="1997">
        <f t="shared" si="19"/>
        <v>0</v>
      </c>
      <c r="R41" s="1998">
        <f t="shared" si="9"/>
        <v>0</v>
      </c>
      <c r="S41" s="1998">
        <f t="shared" si="9"/>
        <v>0</v>
      </c>
      <c r="T41" s="1998">
        <f t="shared" si="9"/>
        <v>0</v>
      </c>
      <c r="U41" s="1998">
        <f t="shared" si="9"/>
        <v>0</v>
      </c>
      <c r="V41" s="1999"/>
      <c r="W41" s="1999">
        <f t="shared" si="18"/>
        <v>0</v>
      </c>
      <c r="X41" s="1999">
        <v>1</v>
      </c>
      <c r="Y41" s="1999">
        <f t="shared" si="11"/>
        <v>0</v>
      </c>
      <c r="Z41" s="1630"/>
      <c r="AA41" s="1630"/>
      <c r="AB41" s="1630"/>
      <c r="AC41" s="1630"/>
      <c r="AD41" s="1630"/>
      <c r="AE41" s="1630"/>
      <c r="AF41" s="1630"/>
      <c r="AG41" s="1630"/>
    </row>
    <row r="42" spans="1:33" s="1691" customFormat="1" ht="12.2" customHeight="1" x14ac:dyDescent="0.2">
      <c r="A42" s="1976"/>
      <c r="B42" s="1976"/>
      <c r="C42" s="1978" t="s">
        <v>28902</v>
      </c>
      <c r="D42" s="1978" t="s">
        <v>28908</v>
      </c>
      <c r="E42" s="1691" t="s">
        <v>108</v>
      </c>
      <c r="F42" s="1691">
        <v>520</v>
      </c>
      <c r="G42" s="1591">
        <v>1.6E-2</v>
      </c>
      <c r="H42" s="1691" t="s">
        <v>860</v>
      </c>
      <c r="I42" s="1691">
        <f>SUM(Liste!$D$108:$D$111,Liste!$D$116:$D$119,Liste!$D$120:$D$123)*Liste!$D$5</f>
        <v>0</v>
      </c>
      <c r="J42" s="1979">
        <f>VLOOKUP(F42,Kostensätze!A:E,5,FALSE)</f>
        <v>37.619999999999997</v>
      </c>
      <c r="K42" s="1980">
        <f t="shared" si="8"/>
        <v>0</v>
      </c>
      <c r="L42" s="1981">
        <f t="shared" si="17"/>
        <v>0</v>
      </c>
      <c r="M42" s="1982">
        <f t="shared" si="4"/>
        <v>0</v>
      </c>
      <c r="N42" s="1597"/>
      <c r="O42" s="1998">
        <f t="shared" si="9"/>
        <v>0</v>
      </c>
      <c r="P42" s="1998">
        <f t="shared" si="9"/>
        <v>0</v>
      </c>
      <c r="Q42" s="1997">
        <f t="shared" si="19"/>
        <v>0</v>
      </c>
      <c r="R42" s="1998">
        <f t="shared" si="9"/>
        <v>0</v>
      </c>
      <c r="S42" s="1998">
        <f t="shared" si="9"/>
        <v>0</v>
      </c>
      <c r="T42" s="1998">
        <f t="shared" si="9"/>
        <v>0</v>
      </c>
      <c r="U42" s="1998">
        <f t="shared" si="9"/>
        <v>0</v>
      </c>
      <c r="V42" s="1999"/>
      <c r="W42" s="1999">
        <f t="shared" si="18"/>
        <v>0</v>
      </c>
      <c r="X42" s="1999">
        <v>1</v>
      </c>
      <c r="Y42" s="1999">
        <f t="shared" si="11"/>
        <v>0</v>
      </c>
      <c r="Z42" s="1533"/>
      <c r="AA42" s="1533"/>
      <c r="AB42" s="1533"/>
      <c r="AC42" s="1533"/>
      <c r="AD42" s="1533"/>
      <c r="AE42" s="1533"/>
      <c r="AF42" s="1533"/>
      <c r="AG42" s="1533"/>
    </row>
    <row r="43" spans="1:33" s="1625" customFormat="1" ht="12.2" customHeight="1" x14ac:dyDescent="0.2">
      <c r="A43" s="1622"/>
      <c r="B43" s="1975" t="s">
        <v>537</v>
      </c>
      <c r="C43" s="1631" t="s">
        <v>30185</v>
      </c>
      <c r="D43" s="1631" t="s">
        <v>303</v>
      </c>
      <c r="E43" s="1625" t="s">
        <v>28945</v>
      </c>
      <c r="F43" s="1625">
        <v>526</v>
      </c>
      <c r="G43" s="1591">
        <f>1/60*0.5</f>
        <v>8.3333333333333332E-3</v>
      </c>
      <c r="H43" s="1971" t="s">
        <v>860</v>
      </c>
      <c r="I43" s="1625">
        <f>2*Liste!D5</f>
        <v>2</v>
      </c>
      <c r="J43" s="1626">
        <f>VLOOKUP(F43,Kostensätze!A:E,5,FALSE)</f>
        <v>53.04</v>
      </c>
      <c r="K43" s="1627">
        <f t="shared" si="8"/>
        <v>1.5</v>
      </c>
      <c r="L43" s="1628">
        <f t="shared" si="17"/>
        <v>2.5000000000000001E-2</v>
      </c>
      <c r="M43" s="1629">
        <f t="shared" si="4"/>
        <v>1.3260000000000001</v>
      </c>
      <c r="N43" s="1597">
        <v>0.5</v>
      </c>
      <c r="O43" s="1998">
        <f t="shared" si="9"/>
        <v>0</v>
      </c>
      <c r="P43" s="1998">
        <f t="shared" si="9"/>
        <v>0</v>
      </c>
      <c r="Q43" s="1997">
        <f t="shared" si="19"/>
        <v>0</v>
      </c>
      <c r="R43" s="1998">
        <f t="shared" si="9"/>
        <v>0</v>
      </c>
      <c r="S43" s="1998">
        <f t="shared" si="9"/>
        <v>0</v>
      </c>
      <c r="T43" s="1998">
        <f t="shared" si="9"/>
        <v>0</v>
      </c>
      <c r="U43" s="1998">
        <f t="shared" si="9"/>
        <v>2.5000000000000001E-2</v>
      </c>
      <c r="V43" s="1999"/>
      <c r="W43" s="1999">
        <f t="shared" si="18"/>
        <v>0</v>
      </c>
      <c r="X43" s="1999"/>
      <c r="Y43" s="1999">
        <f t="shared" si="11"/>
        <v>0</v>
      </c>
      <c r="Z43" s="1630"/>
      <c r="AA43" s="1630"/>
      <c r="AB43" s="1630"/>
      <c r="AC43" s="1630"/>
      <c r="AD43" s="1630"/>
      <c r="AE43" s="1630"/>
      <c r="AF43" s="1630"/>
      <c r="AG43" s="1630"/>
    </row>
    <row r="44" spans="1:33" s="1691" customFormat="1" ht="12.2" customHeight="1" x14ac:dyDescent="0.2">
      <c r="A44" s="1976"/>
      <c r="B44" s="1976"/>
      <c r="C44" s="1978" t="s">
        <v>302</v>
      </c>
      <c r="D44" s="1978" t="s">
        <v>305</v>
      </c>
      <c r="E44" s="1691" t="s">
        <v>861</v>
      </c>
      <c r="F44" s="1691">
        <v>502</v>
      </c>
      <c r="G44" s="1591">
        <v>1.4999999999999999E-2</v>
      </c>
      <c r="H44" s="1691" t="s">
        <v>860</v>
      </c>
      <c r="I44" s="1691">
        <f>SUM(Liste!$D$8:$D$9)</f>
        <v>2</v>
      </c>
      <c r="J44" s="1979">
        <f>VLOOKUP(F44,Kostensätze!A:E,5,FALSE)</f>
        <v>53.66</v>
      </c>
      <c r="K44" s="1980">
        <f t="shared" si="8"/>
        <v>1.7999999999999998</v>
      </c>
      <c r="L44" s="1981">
        <f t="shared" si="17"/>
        <v>2.9999999999999995E-2</v>
      </c>
      <c r="M44" s="1982">
        <f t="shared" si="4"/>
        <v>1.6097999999999997</v>
      </c>
      <c r="N44" s="1597"/>
      <c r="O44" s="1998">
        <f t="shared" si="9"/>
        <v>0</v>
      </c>
      <c r="P44" s="1998">
        <f t="shared" si="9"/>
        <v>2.9999999999999995E-2</v>
      </c>
      <c r="Q44" s="1997">
        <f t="shared" si="19"/>
        <v>0</v>
      </c>
      <c r="R44" s="1998">
        <f t="shared" si="9"/>
        <v>0</v>
      </c>
      <c r="S44" s="1998">
        <f t="shared" si="9"/>
        <v>0</v>
      </c>
      <c r="T44" s="1998">
        <f t="shared" si="9"/>
        <v>0</v>
      </c>
      <c r="U44" s="1998">
        <f t="shared" si="9"/>
        <v>0</v>
      </c>
      <c r="V44" s="1999"/>
      <c r="W44" s="1999">
        <f t="shared" si="18"/>
        <v>0</v>
      </c>
      <c r="X44" s="1999"/>
      <c r="Y44" s="1999">
        <f t="shared" si="11"/>
        <v>0</v>
      </c>
      <c r="Z44" s="1533"/>
      <c r="AA44" s="1533"/>
      <c r="AB44" s="1533"/>
      <c r="AC44" s="1533"/>
      <c r="AD44" s="1533"/>
      <c r="AE44" s="1533"/>
      <c r="AF44" s="1533"/>
      <c r="AG44" s="1533"/>
    </row>
    <row r="45" spans="1:33" s="1625" customFormat="1" ht="12.2" customHeight="1" x14ac:dyDescent="0.2">
      <c r="A45" s="1622"/>
      <c r="B45" s="1622"/>
      <c r="C45" s="1623" t="s">
        <v>302</v>
      </c>
      <c r="D45" s="1631" t="s">
        <v>306</v>
      </c>
      <c r="E45" s="1625" t="s">
        <v>861</v>
      </c>
      <c r="F45" s="1625">
        <v>502</v>
      </c>
      <c r="G45" s="1591">
        <v>1.4999999999999999E-2</v>
      </c>
      <c r="H45" s="1625" t="s">
        <v>860</v>
      </c>
      <c r="I45" s="1625">
        <f>SUM(Liste!$D$6:$D$7)</f>
        <v>2</v>
      </c>
      <c r="J45" s="1626">
        <f>VLOOKUP(F45,Kostensätze!A:E,5,FALSE)</f>
        <v>53.66</v>
      </c>
      <c r="K45" s="1627">
        <f t="shared" si="8"/>
        <v>1.7999999999999998</v>
      </c>
      <c r="L45" s="1628">
        <f t="shared" si="17"/>
        <v>2.9999999999999995E-2</v>
      </c>
      <c r="M45" s="1629">
        <f t="shared" si="4"/>
        <v>1.6097999999999997</v>
      </c>
      <c r="N45" s="1597"/>
      <c r="O45" s="1998">
        <f t="shared" si="9"/>
        <v>0</v>
      </c>
      <c r="P45" s="1998">
        <f t="shared" si="9"/>
        <v>2.9999999999999995E-2</v>
      </c>
      <c r="Q45" s="1997">
        <f t="shared" si="19"/>
        <v>0</v>
      </c>
      <c r="R45" s="1998">
        <f t="shared" si="9"/>
        <v>0</v>
      </c>
      <c r="S45" s="1998">
        <f t="shared" si="9"/>
        <v>0</v>
      </c>
      <c r="T45" s="1998">
        <f t="shared" si="9"/>
        <v>0</v>
      </c>
      <c r="U45" s="1998">
        <f t="shared" si="9"/>
        <v>0</v>
      </c>
      <c r="V45" s="1999"/>
      <c r="W45" s="1999">
        <f t="shared" si="18"/>
        <v>0</v>
      </c>
      <c r="X45" s="1999"/>
      <c r="Y45" s="1999">
        <f t="shared" si="11"/>
        <v>0</v>
      </c>
      <c r="Z45" s="1630"/>
      <c r="AA45" s="1630"/>
      <c r="AB45" s="1630"/>
      <c r="AC45" s="1630"/>
      <c r="AD45" s="1630"/>
      <c r="AE45" s="1630"/>
      <c r="AF45" s="1630"/>
      <c r="AG45" s="1630"/>
    </row>
    <row r="46" spans="1:33" s="1691" customFormat="1" ht="12.2" customHeight="1" x14ac:dyDescent="0.2">
      <c r="A46" s="1976"/>
      <c r="B46" s="1976"/>
      <c r="C46" s="1595" t="s">
        <v>302</v>
      </c>
      <c r="D46" s="1595" t="s">
        <v>28909</v>
      </c>
      <c r="E46" s="1691" t="s">
        <v>861</v>
      </c>
      <c r="F46" s="1691">
        <v>502</v>
      </c>
      <c r="G46" s="1591">
        <v>1.4999999999999999E-2</v>
      </c>
      <c r="H46" s="1691" t="s">
        <v>860</v>
      </c>
      <c r="I46" s="1691">
        <f>SUM(Liste!$D$95:$D$96)*Liste!$D$5</f>
        <v>1</v>
      </c>
      <c r="J46" s="1979">
        <f>VLOOKUP(F46,Kostensätze!A:E,5,FALSE)</f>
        <v>53.66</v>
      </c>
      <c r="K46" s="1980">
        <f t="shared" si="8"/>
        <v>0.89999999999999991</v>
      </c>
      <c r="L46" s="1981">
        <f t="shared" si="17"/>
        <v>1.4999999999999998E-2</v>
      </c>
      <c r="M46" s="1982">
        <f t="shared" si="4"/>
        <v>0.80489999999999984</v>
      </c>
      <c r="N46" s="1597"/>
      <c r="O46" s="1998">
        <f t="shared" si="9"/>
        <v>0</v>
      </c>
      <c r="P46" s="1998">
        <f t="shared" si="9"/>
        <v>1.4999999999999998E-2</v>
      </c>
      <c r="Q46" s="1997">
        <f t="shared" si="19"/>
        <v>0</v>
      </c>
      <c r="R46" s="1998">
        <f t="shared" si="9"/>
        <v>0</v>
      </c>
      <c r="S46" s="1998">
        <f t="shared" si="9"/>
        <v>0</v>
      </c>
      <c r="T46" s="1998">
        <f t="shared" si="9"/>
        <v>0</v>
      </c>
      <c r="U46" s="1998">
        <f t="shared" si="9"/>
        <v>0</v>
      </c>
      <c r="V46" s="1999"/>
      <c r="W46" s="1999">
        <f t="shared" si="18"/>
        <v>0</v>
      </c>
      <c r="X46" s="1999"/>
      <c r="Y46" s="1999">
        <f t="shared" si="11"/>
        <v>0</v>
      </c>
      <c r="Z46" s="1533"/>
      <c r="AA46" s="1533"/>
      <c r="AB46" s="1533"/>
      <c r="AC46" s="1533"/>
      <c r="AD46" s="1533"/>
      <c r="AE46" s="1533"/>
      <c r="AF46" s="1533"/>
      <c r="AG46" s="1533"/>
    </row>
    <row r="47" spans="1:33" s="1625" customFormat="1" ht="12.2" customHeight="1" x14ac:dyDescent="0.2">
      <c r="A47" s="1622"/>
      <c r="B47" s="1622"/>
      <c r="C47" s="1631" t="s">
        <v>302</v>
      </c>
      <c r="D47" s="1631" t="s">
        <v>28910</v>
      </c>
      <c r="E47" s="1625" t="s">
        <v>861</v>
      </c>
      <c r="F47" s="1625">
        <v>502</v>
      </c>
      <c r="G47" s="1591">
        <v>1.4999999999999999E-2</v>
      </c>
      <c r="H47" s="1625" t="s">
        <v>860</v>
      </c>
      <c r="I47" s="1625">
        <f>SUM(Liste!$D$99:$D$100)*Liste!$D$5</f>
        <v>2</v>
      </c>
      <c r="J47" s="1626">
        <f>VLOOKUP(F47,Kostensätze!A:E,5,FALSE)</f>
        <v>53.66</v>
      </c>
      <c r="K47" s="1627">
        <f t="shared" si="8"/>
        <v>1.7999999999999998</v>
      </c>
      <c r="L47" s="1628">
        <f t="shared" si="17"/>
        <v>2.9999999999999995E-2</v>
      </c>
      <c r="M47" s="1629">
        <f t="shared" si="4"/>
        <v>1.6097999999999997</v>
      </c>
      <c r="N47" s="1597"/>
      <c r="O47" s="1998">
        <f t="shared" si="9"/>
        <v>0</v>
      </c>
      <c r="P47" s="1998">
        <f t="shared" si="9"/>
        <v>2.9999999999999995E-2</v>
      </c>
      <c r="Q47" s="1997">
        <f t="shared" si="19"/>
        <v>0</v>
      </c>
      <c r="R47" s="1998">
        <f t="shared" si="9"/>
        <v>0</v>
      </c>
      <c r="S47" s="1998">
        <f t="shared" si="9"/>
        <v>0</v>
      </c>
      <c r="T47" s="1998">
        <f t="shared" si="9"/>
        <v>0</v>
      </c>
      <c r="U47" s="1998">
        <f t="shared" si="9"/>
        <v>0</v>
      </c>
      <c r="V47" s="1999"/>
      <c r="W47" s="1999">
        <f t="shared" si="18"/>
        <v>0</v>
      </c>
      <c r="X47" s="1999"/>
      <c r="Y47" s="1999">
        <f t="shared" si="11"/>
        <v>0</v>
      </c>
      <c r="Z47" s="1630"/>
      <c r="AA47" s="1630"/>
      <c r="AB47" s="1630"/>
      <c r="AC47" s="1630"/>
      <c r="AD47" s="1630"/>
      <c r="AE47" s="1630"/>
      <c r="AF47" s="1630"/>
      <c r="AG47" s="1630"/>
    </row>
    <row r="48" spans="1:33" s="1691" customFormat="1" ht="12.2" customHeight="1" x14ac:dyDescent="0.2">
      <c r="A48" s="1976"/>
      <c r="B48" s="1976"/>
      <c r="C48" s="1978" t="s">
        <v>302</v>
      </c>
      <c r="D48" s="1978" t="s">
        <v>28911</v>
      </c>
      <c r="E48" s="1691" t="s">
        <v>861</v>
      </c>
      <c r="F48" s="1691">
        <v>502</v>
      </c>
      <c r="G48" s="1591">
        <v>1.4999999999999999E-2</v>
      </c>
      <c r="H48" s="1691" t="s">
        <v>860</v>
      </c>
      <c r="I48" s="1691">
        <f>SUM(Liste!$D$97:$D$98)*Liste!$D$5</f>
        <v>2</v>
      </c>
      <c r="J48" s="1979">
        <f>VLOOKUP(F48,Kostensätze!A:E,5,FALSE)</f>
        <v>53.66</v>
      </c>
      <c r="K48" s="1980">
        <f t="shared" si="8"/>
        <v>1.7999999999999998</v>
      </c>
      <c r="L48" s="1981">
        <f t="shared" si="17"/>
        <v>2.9999999999999995E-2</v>
      </c>
      <c r="M48" s="1982">
        <f t="shared" si="4"/>
        <v>1.6097999999999997</v>
      </c>
      <c r="N48" s="1597"/>
      <c r="O48" s="1998">
        <f t="shared" si="9"/>
        <v>0</v>
      </c>
      <c r="P48" s="1998">
        <f t="shared" si="9"/>
        <v>2.9999999999999995E-2</v>
      </c>
      <c r="Q48" s="1997">
        <f t="shared" si="19"/>
        <v>0</v>
      </c>
      <c r="R48" s="1998">
        <f t="shared" si="9"/>
        <v>0</v>
      </c>
      <c r="S48" s="1998">
        <f t="shared" si="9"/>
        <v>0</v>
      </c>
      <c r="T48" s="1998">
        <f t="shared" si="9"/>
        <v>0</v>
      </c>
      <c r="U48" s="1998">
        <f t="shared" si="9"/>
        <v>0</v>
      </c>
      <c r="V48" s="1999"/>
      <c r="W48" s="1999">
        <f t="shared" si="18"/>
        <v>0</v>
      </c>
      <c r="X48" s="1999"/>
      <c r="Y48" s="1999">
        <f t="shared" si="11"/>
        <v>0</v>
      </c>
      <c r="Z48" s="1533"/>
      <c r="AA48" s="1533"/>
      <c r="AB48" s="1533"/>
      <c r="AC48" s="1533"/>
      <c r="AD48" s="1533"/>
      <c r="AE48" s="1533"/>
      <c r="AF48" s="1533"/>
      <c r="AG48" s="1533"/>
    </row>
    <row r="49" spans="1:33" s="1625" customFormat="1" ht="12.2" customHeight="1" x14ac:dyDescent="0.2">
      <c r="A49" s="1622"/>
      <c r="B49" s="1975" t="s">
        <v>537</v>
      </c>
      <c r="C49" s="1623" t="s">
        <v>27651</v>
      </c>
      <c r="D49" s="1631" t="s">
        <v>28912</v>
      </c>
      <c r="E49" s="1625" t="s">
        <v>28945</v>
      </c>
      <c r="F49" s="1625">
        <v>526</v>
      </c>
      <c r="G49" s="1591">
        <f>1/60*0.5</f>
        <v>8.3333333333333332E-3</v>
      </c>
      <c r="H49" s="1625" t="s">
        <v>860</v>
      </c>
      <c r="I49" s="1625">
        <f>SUM(Liste!D141:D142)*Liste!$D$5</f>
        <v>0</v>
      </c>
      <c r="J49" s="1626">
        <f>VLOOKUP(F49,Kostensätze!A:E,5,FALSE)</f>
        <v>53.04</v>
      </c>
      <c r="K49" s="1627">
        <f t="shared" si="8"/>
        <v>0</v>
      </c>
      <c r="L49" s="1628">
        <f t="shared" si="17"/>
        <v>0</v>
      </c>
      <c r="M49" s="1629">
        <f t="shared" si="4"/>
        <v>0</v>
      </c>
      <c r="N49" s="1597"/>
      <c r="O49" s="1998">
        <f t="shared" si="9"/>
        <v>0</v>
      </c>
      <c r="P49" s="1998">
        <f t="shared" si="9"/>
        <v>0</v>
      </c>
      <c r="Q49" s="1997">
        <f t="shared" si="19"/>
        <v>0</v>
      </c>
      <c r="R49" s="1998">
        <f t="shared" si="9"/>
        <v>0</v>
      </c>
      <c r="S49" s="1998">
        <f t="shared" si="9"/>
        <v>0</v>
      </c>
      <c r="T49" s="1998">
        <f t="shared" si="9"/>
        <v>0</v>
      </c>
      <c r="U49" s="1998">
        <f t="shared" si="9"/>
        <v>0</v>
      </c>
      <c r="V49" s="1999"/>
      <c r="W49" s="1999">
        <f t="shared" si="18"/>
        <v>0</v>
      </c>
      <c r="X49" s="1999"/>
      <c r="Y49" s="1999">
        <f t="shared" si="11"/>
        <v>0</v>
      </c>
      <c r="Z49" s="1630"/>
      <c r="AA49" s="1630"/>
      <c r="AB49" s="1630"/>
      <c r="AC49" s="1630"/>
      <c r="AD49" s="1630"/>
      <c r="AE49" s="1630"/>
      <c r="AF49" s="1630"/>
      <c r="AG49" s="1630"/>
    </row>
    <row r="50" spans="1:33" s="1691" customFormat="1" ht="12.2" customHeight="1" x14ac:dyDescent="0.2">
      <c r="A50" s="1976"/>
      <c r="B50" s="1977" t="s">
        <v>537</v>
      </c>
      <c r="C50" s="1978" t="s">
        <v>27651</v>
      </c>
      <c r="D50" s="1595" t="s">
        <v>28913</v>
      </c>
      <c r="E50" s="1691" t="s">
        <v>28945</v>
      </c>
      <c r="F50" s="1691">
        <v>526</v>
      </c>
      <c r="G50" s="1591">
        <f>1/60*0.5</f>
        <v>8.3333333333333332E-3</v>
      </c>
      <c r="H50" s="1691" t="s">
        <v>860</v>
      </c>
      <c r="I50" s="1691">
        <f>SUM(Liste!D138:D140)*Liste!$D$5</f>
        <v>1</v>
      </c>
      <c r="J50" s="1979">
        <f>VLOOKUP(F50,Kostensätze!A:E,5,FALSE)</f>
        <v>53.04</v>
      </c>
      <c r="K50" s="1980">
        <f t="shared" si="8"/>
        <v>0.5</v>
      </c>
      <c r="L50" s="1981">
        <f t="shared" si="17"/>
        <v>8.3333333333333332E-3</v>
      </c>
      <c r="M50" s="1982">
        <f t="shared" si="4"/>
        <v>0.442</v>
      </c>
      <c r="N50" s="1597"/>
      <c r="O50" s="1998">
        <f t="shared" si="9"/>
        <v>0</v>
      </c>
      <c r="P50" s="1998">
        <f t="shared" si="9"/>
        <v>0</v>
      </c>
      <c r="Q50" s="1997">
        <f t="shared" si="19"/>
        <v>0</v>
      </c>
      <c r="R50" s="1998">
        <f t="shared" si="9"/>
        <v>0</v>
      </c>
      <c r="S50" s="1998">
        <f t="shared" si="9"/>
        <v>0</v>
      </c>
      <c r="T50" s="1998">
        <f t="shared" si="9"/>
        <v>0</v>
      </c>
      <c r="U50" s="1998">
        <f t="shared" si="9"/>
        <v>8.3333333333333332E-3</v>
      </c>
      <c r="V50" s="1999"/>
      <c r="W50" s="1999">
        <f t="shared" si="18"/>
        <v>0</v>
      </c>
      <c r="X50" s="1999"/>
      <c r="Y50" s="1999">
        <f t="shared" si="11"/>
        <v>0</v>
      </c>
      <c r="Z50" s="1533"/>
      <c r="AA50" s="1533"/>
      <c r="AB50" s="1533"/>
      <c r="AC50" s="1533"/>
      <c r="AD50" s="1533"/>
      <c r="AE50" s="1533"/>
      <c r="AF50" s="1533"/>
      <c r="AG50" s="1533"/>
    </row>
    <row r="51" spans="1:33" s="1625" customFormat="1" ht="12.2" customHeight="1" x14ac:dyDescent="0.2">
      <c r="A51" s="1622"/>
      <c r="B51" s="1975" t="s">
        <v>537</v>
      </c>
      <c r="C51" s="1623" t="s">
        <v>28914</v>
      </c>
      <c r="D51" s="1631" t="s">
        <v>306</v>
      </c>
      <c r="E51" s="1625" t="s">
        <v>28945</v>
      </c>
      <c r="F51" s="1625">
        <v>526</v>
      </c>
      <c r="G51" s="1591">
        <f>1/60*2</f>
        <v>3.3333333333333333E-2</v>
      </c>
      <c r="H51" s="1625" t="s">
        <v>860</v>
      </c>
      <c r="I51" s="1625">
        <f>Liste!D6+Liste!D7</f>
        <v>2</v>
      </c>
      <c r="J51" s="1626">
        <f>VLOOKUP(F51,Kostensätze!A:E,5,FALSE)</f>
        <v>53.04</v>
      </c>
      <c r="K51" s="1627">
        <f t="shared" si="8"/>
        <v>4</v>
      </c>
      <c r="L51" s="1628">
        <f t="shared" si="17"/>
        <v>6.6666666666666666E-2</v>
      </c>
      <c r="M51" s="1629">
        <f t="shared" si="4"/>
        <v>3.536</v>
      </c>
      <c r="N51" s="1597"/>
      <c r="O51" s="1998">
        <f t="shared" si="9"/>
        <v>0</v>
      </c>
      <c r="P51" s="1998">
        <f t="shared" si="9"/>
        <v>0</v>
      </c>
      <c r="Q51" s="1997">
        <f t="shared" si="19"/>
        <v>0</v>
      </c>
      <c r="R51" s="1998">
        <f t="shared" si="9"/>
        <v>0</v>
      </c>
      <c r="S51" s="1998">
        <f t="shared" si="9"/>
        <v>0</v>
      </c>
      <c r="T51" s="1998">
        <f t="shared" si="9"/>
        <v>0</v>
      </c>
      <c r="U51" s="1998">
        <f t="shared" si="9"/>
        <v>6.6666666666666666E-2</v>
      </c>
      <c r="V51" s="1999"/>
      <c r="W51" s="1999">
        <f t="shared" si="18"/>
        <v>0</v>
      </c>
      <c r="X51" s="1999"/>
      <c r="Y51" s="1999">
        <f t="shared" si="11"/>
        <v>0</v>
      </c>
      <c r="Z51" s="1630"/>
      <c r="AA51" s="1630"/>
      <c r="AB51" s="1630"/>
      <c r="AC51" s="1630"/>
      <c r="AD51" s="1630"/>
      <c r="AE51" s="1630"/>
      <c r="AF51" s="1630"/>
      <c r="AG51" s="1630"/>
    </row>
    <row r="52" spans="1:33" s="1691" customFormat="1" ht="12.2" customHeight="1" x14ac:dyDescent="0.2">
      <c r="A52" s="1976"/>
      <c r="B52" s="1977" t="s">
        <v>537</v>
      </c>
      <c r="C52" s="1595" t="s">
        <v>29087</v>
      </c>
      <c r="D52" s="1595" t="s">
        <v>306</v>
      </c>
      <c r="E52" s="1691" t="s">
        <v>28945</v>
      </c>
      <c r="F52" s="1691">
        <v>526</v>
      </c>
      <c r="G52" s="1591">
        <f>1/60*1.5</f>
        <v>2.5000000000000001E-2</v>
      </c>
      <c r="H52" s="1691" t="s">
        <v>863</v>
      </c>
      <c r="I52" s="1691">
        <f>(Liste!E6/1000*Liste!F6/1000*Liste!D6)*Liste!D243</f>
        <v>1.48176</v>
      </c>
      <c r="J52" s="1979">
        <f>VLOOKUP(F52,Kostensätze!A:E,5,FALSE)</f>
        <v>53.04</v>
      </c>
      <c r="K52" s="1980">
        <f t="shared" si="8"/>
        <v>2.7226400000000002</v>
      </c>
      <c r="L52" s="1981">
        <f>K52/60</f>
        <v>4.5377333333333339E-2</v>
      </c>
      <c r="M52" s="1982">
        <f t="shared" si="4"/>
        <v>2.4068137600000004</v>
      </c>
      <c r="N52" s="1597">
        <v>0.5</v>
      </c>
      <c r="O52" s="1998">
        <f t="shared" si="9"/>
        <v>0</v>
      </c>
      <c r="P52" s="1998">
        <f t="shared" si="9"/>
        <v>0</v>
      </c>
      <c r="Q52" s="1997">
        <f t="shared" si="19"/>
        <v>0</v>
      </c>
      <c r="R52" s="1998">
        <f t="shared" si="9"/>
        <v>0</v>
      </c>
      <c r="S52" s="1998">
        <f t="shared" si="9"/>
        <v>0</v>
      </c>
      <c r="T52" s="1998">
        <f t="shared" si="9"/>
        <v>0</v>
      </c>
      <c r="U52" s="1998">
        <f t="shared" si="9"/>
        <v>4.5377333333333339E-2</v>
      </c>
      <c r="V52" s="1999"/>
      <c r="W52" s="1999">
        <f t="shared" si="18"/>
        <v>0</v>
      </c>
      <c r="X52" s="1999"/>
      <c r="Y52" s="1999">
        <f t="shared" si="11"/>
        <v>0</v>
      </c>
      <c r="Z52" s="1533"/>
      <c r="AA52" s="1533"/>
      <c r="AB52" s="1533"/>
      <c r="AC52" s="1533"/>
      <c r="AD52" s="1533"/>
      <c r="AE52" s="1533"/>
      <c r="AF52" s="1533"/>
      <c r="AG52" s="1533"/>
    </row>
    <row r="53" spans="1:33" s="1625" customFormat="1" ht="12.2" customHeight="1" x14ac:dyDescent="0.2">
      <c r="A53" s="1622"/>
      <c r="B53" s="1975" t="s">
        <v>537</v>
      </c>
      <c r="C53" s="1631" t="s">
        <v>28915</v>
      </c>
      <c r="D53" s="1631" t="s">
        <v>306</v>
      </c>
      <c r="E53" s="1625" t="s">
        <v>28945</v>
      </c>
      <c r="F53" s="1625">
        <v>526</v>
      </c>
      <c r="G53" s="1591">
        <f>1/60*3</f>
        <v>0.05</v>
      </c>
      <c r="H53" s="1625" t="s">
        <v>863</v>
      </c>
      <c r="I53" s="1625">
        <f>(Liste!E6/1000*Liste!F6/1000*Liste!D6)*Liste!D243</f>
        <v>1.48176</v>
      </c>
      <c r="J53" s="1626">
        <f>VLOOKUP(F53,Kostensätze!A:E,5,FALSE)</f>
        <v>53.04</v>
      </c>
      <c r="K53" s="1627">
        <f t="shared" si="8"/>
        <v>4.9452800000000003</v>
      </c>
      <c r="L53" s="1628">
        <f t="shared" si="17"/>
        <v>8.2421333333333333E-2</v>
      </c>
      <c r="M53" s="1629">
        <f t="shared" si="4"/>
        <v>4.3716275199999997</v>
      </c>
      <c r="N53" s="1597">
        <v>0.5</v>
      </c>
      <c r="O53" s="1998">
        <f t="shared" si="9"/>
        <v>0</v>
      </c>
      <c r="P53" s="1998">
        <f t="shared" si="9"/>
        <v>0</v>
      </c>
      <c r="Q53" s="1997">
        <f t="shared" si="19"/>
        <v>0</v>
      </c>
      <c r="R53" s="1998">
        <f t="shared" si="9"/>
        <v>0</v>
      </c>
      <c r="S53" s="1998">
        <f t="shared" si="9"/>
        <v>0</v>
      </c>
      <c r="T53" s="1998">
        <f t="shared" si="9"/>
        <v>0</v>
      </c>
      <c r="U53" s="1998">
        <f t="shared" si="9"/>
        <v>8.2421333333333333E-2</v>
      </c>
      <c r="V53" s="1999"/>
      <c r="W53" s="1999">
        <f t="shared" si="18"/>
        <v>0</v>
      </c>
      <c r="X53" s="1999"/>
      <c r="Y53" s="1999">
        <f t="shared" si="11"/>
        <v>0</v>
      </c>
      <c r="Z53" s="1630"/>
      <c r="AA53" s="1630"/>
      <c r="AB53" s="1630"/>
      <c r="AC53" s="1630"/>
      <c r="AD53" s="1630"/>
      <c r="AE53" s="1630"/>
      <c r="AF53" s="1630"/>
      <c r="AG53" s="1630"/>
    </row>
    <row r="54" spans="1:33" s="1691" customFormat="1" ht="12.2" customHeight="1" x14ac:dyDescent="0.2">
      <c r="A54" s="1976"/>
      <c r="B54" s="1977" t="s">
        <v>537</v>
      </c>
      <c r="C54" s="1978" t="s">
        <v>28914</v>
      </c>
      <c r="D54" s="1978" t="s">
        <v>28916</v>
      </c>
      <c r="E54" s="1691" t="s">
        <v>28945</v>
      </c>
      <c r="F54" s="1691">
        <v>526</v>
      </c>
      <c r="G54" s="1591">
        <f>1/60*1</f>
        <v>1.6666666666666666E-2</v>
      </c>
      <c r="H54" s="1691" t="s">
        <v>860</v>
      </c>
      <c r="I54" s="1691">
        <f>Liste!D5*(Liste!D95+Liste!D96)</f>
        <v>1</v>
      </c>
      <c r="J54" s="1979">
        <f>VLOOKUP(F54,Kostensätze!A:E,5,FALSE)</f>
        <v>53.04</v>
      </c>
      <c r="K54" s="1980">
        <f t="shared" si="8"/>
        <v>1</v>
      </c>
      <c r="L54" s="1981">
        <f t="shared" si="17"/>
        <v>1.6666666666666666E-2</v>
      </c>
      <c r="M54" s="1982">
        <f t="shared" si="4"/>
        <v>0.88400000000000001</v>
      </c>
      <c r="N54" s="1597"/>
      <c r="O54" s="1998">
        <f t="shared" si="9"/>
        <v>0</v>
      </c>
      <c r="P54" s="1998">
        <f t="shared" si="9"/>
        <v>0</v>
      </c>
      <c r="Q54" s="1997">
        <f t="shared" si="19"/>
        <v>0</v>
      </c>
      <c r="R54" s="1998">
        <f t="shared" si="9"/>
        <v>0</v>
      </c>
      <c r="S54" s="1998">
        <f t="shared" si="9"/>
        <v>0</v>
      </c>
      <c r="T54" s="1998">
        <f t="shared" si="9"/>
        <v>0</v>
      </c>
      <c r="U54" s="1998">
        <f t="shared" si="9"/>
        <v>1.6666666666666666E-2</v>
      </c>
      <c r="V54" s="1999"/>
      <c r="W54" s="1999">
        <f t="shared" si="18"/>
        <v>0</v>
      </c>
      <c r="X54" s="1999"/>
      <c r="Y54" s="1999">
        <f t="shared" si="11"/>
        <v>0</v>
      </c>
      <c r="Z54" s="1533"/>
      <c r="AA54" s="1533"/>
      <c r="AB54" s="1533"/>
      <c r="AC54" s="1533"/>
      <c r="AD54" s="1533"/>
      <c r="AE54" s="1533"/>
      <c r="AF54" s="1533"/>
      <c r="AG54" s="1533"/>
    </row>
    <row r="55" spans="1:33" s="1625" customFormat="1" ht="12.2" customHeight="1" x14ac:dyDescent="0.2">
      <c r="A55" s="1622"/>
      <c r="B55" s="1975" t="s">
        <v>537</v>
      </c>
      <c r="C55" s="1631" t="s">
        <v>28915</v>
      </c>
      <c r="D55" s="1631" t="s">
        <v>28916</v>
      </c>
      <c r="E55" s="1625" t="s">
        <v>28945</v>
      </c>
      <c r="F55" s="1625">
        <v>526</v>
      </c>
      <c r="G55" s="1591">
        <f>1/60*3</f>
        <v>0.05</v>
      </c>
      <c r="H55" s="1971" t="s">
        <v>863</v>
      </c>
      <c r="I55" s="1625">
        <f>((Liste!D95*(((Liste!E95+67+67)/1000)*80/1000)+(Liste!E95/1000*67/1000))*Liste!D5)*Liste!D243</f>
        <v>0.15184</v>
      </c>
      <c r="J55" s="1626">
        <f>VLOOKUP(F55,Kostensätze!A:E,5,FALSE)</f>
        <v>53.04</v>
      </c>
      <c r="K55" s="1627">
        <f t="shared" si="8"/>
        <v>1.4555199999999999</v>
      </c>
      <c r="L55" s="1628">
        <f t="shared" si="17"/>
        <v>2.4258666666666664E-2</v>
      </c>
      <c r="M55" s="1629">
        <f t="shared" si="4"/>
        <v>1.2866796799999998</v>
      </c>
      <c r="N55" s="1597">
        <v>1</v>
      </c>
      <c r="O55" s="1998">
        <f t="shared" si="9"/>
        <v>0</v>
      </c>
      <c r="P55" s="1998">
        <f t="shared" si="9"/>
        <v>0</v>
      </c>
      <c r="Q55" s="1997">
        <f t="shared" si="19"/>
        <v>0</v>
      </c>
      <c r="R55" s="1998">
        <f t="shared" si="9"/>
        <v>0</v>
      </c>
      <c r="S55" s="1998">
        <f t="shared" si="9"/>
        <v>0</v>
      </c>
      <c r="T55" s="1998">
        <f t="shared" si="9"/>
        <v>0</v>
      </c>
      <c r="U55" s="1998">
        <f t="shared" si="9"/>
        <v>2.4258666666666664E-2</v>
      </c>
      <c r="V55" s="1999"/>
      <c r="W55" s="1999">
        <f t="shared" si="18"/>
        <v>0</v>
      </c>
      <c r="X55" s="1999"/>
      <c r="Y55" s="1999">
        <f t="shared" si="11"/>
        <v>0</v>
      </c>
      <c r="Z55" s="1630"/>
      <c r="AA55" s="1630"/>
      <c r="AB55" s="1630"/>
      <c r="AC55" s="1630"/>
      <c r="AD55" s="1630"/>
      <c r="AE55" s="1630"/>
      <c r="AF55" s="1630"/>
      <c r="AG55" s="1630"/>
    </row>
    <row r="56" spans="1:33" s="1691" customFormat="1" ht="12.2" customHeight="1" x14ac:dyDescent="0.2">
      <c r="A56" s="1976"/>
      <c r="B56" s="1977" t="s">
        <v>537</v>
      </c>
      <c r="C56" s="1595" t="s">
        <v>30186</v>
      </c>
      <c r="D56" s="1595" t="s">
        <v>303</v>
      </c>
      <c r="E56" s="1691" t="s">
        <v>28945</v>
      </c>
      <c r="F56" s="1691">
        <v>526</v>
      </c>
      <c r="G56" s="1591">
        <f>1/60*5/9</f>
        <v>9.2592592592592587E-3</v>
      </c>
      <c r="H56" s="1983" t="s">
        <v>860</v>
      </c>
      <c r="I56" s="1691">
        <f>SUM(Liste!D6:'Liste'!D11)</f>
        <v>5</v>
      </c>
      <c r="J56" s="1979">
        <f>VLOOKUP(F56,Kostensätze!A:E,5,FALSE)</f>
        <v>53.04</v>
      </c>
      <c r="K56" s="1980">
        <f>I56*G56*60+IF(I56&gt;0,N56,0)</f>
        <v>2.7777777777777777</v>
      </c>
      <c r="L56" s="1981">
        <f>K56/60</f>
        <v>4.6296296296296294E-2</v>
      </c>
      <c r="M56" s="1982">
        <f>L56*J56</f>
        <v>2.4555555555555553</v>
      </c>
      <c r="N56" s="1597"/>
      <c r="O56" s="1998">
        <f t="shared" ref="O56:U59" si="20">IF($F56=O$3,$L56,0)</f>
        <v>0</v>
      </c>
      <c r="P56" s="1998">
        <f t="shared" si="20"/>
        <v>0</v>
      </c>
      <c r="Q56" s="1997">
        <f t="shared" si="19"/>
        <v>0</v>
      </c>
      <c r="R56" s="1998">
        <f t="shared" si="20"/>
        <v>0</v>
      </c>
      <c r="S56" s="1998">
        <f t="shared" si="20"/>
        <v>0</v>
      </c>
      <c r="T56" s="1998">
        <f t="shared" si="20"/>
        <v>0</v>
      </c>
      <c r="U56" s="1998">
        <f t="shared" si="20"/>
        <v>4.6296296296296294E-2</v>
      </c>
      <c r="V56" s="1999"/>
      <c r="W56" s="1999">
        <f>IF(V56=1,L56,0)</f>
        <v>0</v>
      </c>
      <c r="X56" s="1999"/>
      <c r="Y56" s="1999">
        <f>IF(X56=1,L56,0)</f>
        <v>0</v>
      </c>
      <c r="Z56" s="1533"/>
      <c r="AA56" s="1533"/>
      <c r="AB56" s="1533"/>
      <c r="AC56" s="1533"/>
      <c r="AD56" s="1533"/>
      <c r="AE56" s="1533"/>
      <c r="AF56" s="1533"/>
      <c r="AG56" s="1533"/>
    </row>
    <row r="57" spans="1:33" s="1625" customFormat="1" ht="12.2" customHeight="1" x14ac:dyDescent="0.2">
      <c r="A57" s="1622"/>
      <c r="B57" s="1975" t="s">
        <v>537</v>
      </c>
      <c r="C57" s="1631" t="s">
        <v>30187</v>
      </c>
      <c r="D57" s="1631" t="s">
        <v>303</v>
      </c>
      <c r="E57" s="1625" t="s">
        <v>28945</v>
      </c>
      <c r="F57" s="1625">
        <v>526</v>
      </c>
      <c r="G57" s="1591">
        <f>1/60*1</f>
        <v>1.6666666666666666E-2</v>
      </c>
      <c r="H57" s="1971" t="s">
        <v>29088</v>
      </c>
      <c r="I57" s="1625">
        <f>Liste!D5</f>
        <v>1</v>
      </c>
      <c r="J57" s="1626">
        <f>VLOOKUP(F57,Kostensätze!A:E,5,FALSE)</f>
        <v>53.04</v>
      </c>
      <c r="K57" s="1627">
        <f>I57*G57*60+IF(I57&gt;0,N57,0)</f>
        <v>1</v>
      </c>
      <c r="L57" s="1628">
        <f>K57/60</f>
        <v>1.6666666666666666E-2</v>
      </c>
      <c r="M57" s="1629">
        <f>L57*J57</f>
        <v>0.88400000000000001</v>
      </c>
      <c r="N57" s="1597"/>
      <c r="O57" s="1998">
        <f t="shared" si="20"/>
        <v>0</v>
      </c>
      <c r="P57" s="1998">
        <f t="shared" si="20"/>
        <v>0</v>
      </c>
      <c r="Q57" s="1997">
        <f t="shared" si="19"/>
        <v>0</v>
      </c>
      <c r="R57" s="1998">
        <f t="shared" si="20"/>
        <v>0</v>
      </c>
      <c r="S57" s="1998">
        <f t="shared" si="20"/>
        <v>0</v>
      </c>
      <c r="T57" s="1998">
        <f t="shared" si="20"/>
        <v>0</v>
      </c>
      <c r="U57" s="1998">
        <f t="shared" si="20"/>
        <v>1.6666666666666666E-2</v>
      </c>
      <c r="V57" s="1999"/>
      <c r="W57" s="1999">
        <f>IF(V57=1,L57,0)</f>
        <v>0</v>
      </c>
      <c r="X57" s="1999"/>
      <c r="Y57" s="1999">
        <f>IF(X57=1,L57,0)</f>
        <v>0</v>
      </c>
      <c r="Z57" s="1630"/>
      <c r="AA57" s="1630"/>
      <c r="AB57" s="1630"/>
      <c r="AC57" s="1630"/>
      <c r="AD57" s="1630"/>
      <c r="AE57" s="1630"/>
      <c r="AF57" s="1630"/>
      <c r="AG57" s="1630"/>
    </row>
    <row r="58" spans="1:33" s="1691" customFormat="1" ht="12.2" customHeight="1" x14ac:dyDescent="0.2">
      <c r="A58" s="1976"/>
      <c r="B58" s="1977" t="s">
        <v>537</v>
      </c>
      <c r="C58" s="1595" t="s">
        <v>30182</v>
      </c>
      <c r="D58" s="1595" t="s">
        <v>303</v>
      </c>
      <c r="E58" s="1691" t="s">
        <v>28945</v>
      </c>
      <c r="F58" s="1691">
        <v>526</v>
      </c>
      <c r="G58" s="1591">
        <f>1/60*1</f>
        <v>1.6666666666666666E-2</v>
      </c>
      <c r="H58" s="1983" t="s">
        <v>29088</v>
      </c>
      <c r="I58" s="1691">
        <f>Liste!D5</f>
        <v>1</v>
      </c>
      <c r="J58" s="1979">
        <f>VLOOKUP(F58,Kostensätze!A:E,5,FALSE)</f>
        <v>53.04</v>
      </c>
      <c r="K58" s="1980">
        <f>I58*G58*60+IF(I58&gt;0,N58,0)</f>
        <v>1</v>
      </c>
      <c r="L58" s="1981">
        <f>K58/60</f>
        <v>1.6666666666666666E-2</v>
      </c>
      <c r="M58" s="1982">
        <f>L58*J58</f>
        <v>0.88400000000000001</v>
      </c>
      <c r="N58" s="1597"/>
      <c r="O58" s="1998">
        <f t="shared" si="20"/>
        <v>0</v>
      </c>
      <c r="P58" s="1998">
        <f t="shared" si="20"/>
        <v>0</v>
      </c>
      <c r="Q58" s="1997">
        <f t="shared" si="19"/>
        <v>0</v>
      </c>
      <c r="R58" s="1998">
        <f t="shared" si="20"/>
        <v>0</v>
      </c>
      <c r="S58" s="1998">
        <f t="shared" si="20"/>
        <v>0</v>
      </c>
      <c r="T58" s="1998">
        <f t="shared" si="20"/>
        <v>0</v>
      </c>
      <c r="U58" s="1998">
        <f t="shared" si="20"/>
        <v>1.6666666666666666E-2</v>
      </c>
      <c r="V58" s="1999"/>
      <c r="W58" s="1999">
        <f>IF(V58=1,L58,0)</f>
        <v>0</v>
      </c>
      <c r="X58" s="1999"/>
      <c r="Y58" s="1999">
        <f>IF(X58=1,L58,0)</f>
        <v>0</v>
      </c>
      <c r="Z58" s="1533"/>
      <c r="AA58" s="1533"/>
      <c r="AB58" s="1533"/>
      <c r="AC58" s="1533"/>
      <c r="AD58" s="1533"/>
      <c r="AE58" s="1533"/>
      <c r="AF58" s="1533"/>
      <c r="AG58" s="1533"/>
    </row>
    <row r="59" spans="1:33" s="1625" customFormat="1" ht="12.2" customHeight="1" x14ac:dyDescent="0.2">
      <c r="A59" s="1622"/>
      <c r="B59" s="1975" t="s">
        <v>537</v>
      </c>
      <c r="C59" s="1623" t="s">
        <v>28917</v>
      </c>
      <c r="D59" s="1631" t="s">
        <v>303</v>
      </c>
      <c r="E59" s="1625" t="s">
        <v>28945</v>
      </c>
      <c r="F59" s="1625">
        <v>526</v>
      </c>
      <c r="G59" s="1591">
        <f>1/60*4/30</f>
        <v>2.2222222222222222E-3</v>
      </c>
      <c r="H59" s="1971" t="s">
        <v>30183</v>
      </c>
      <c r="I59" s="1996">
        <f>Liste!D26</f>
        <v>0</v>
      </c>
      <c r="J59" s="1626">
        <f>VLOOKUP(F59,Kostensätze!A:E,5,FALSE)</f>
        <v>53.04</v>
      </c>
      <c r="K59" s="1627">
        <f>I59*G59*60+IF(I59&gt;0,N59,0)</f>
        <v>0</v>
      </c>
      <c r="L59" s="1628">
        <f>K59/60</f>
        <v>0</v>
      </c>
      <c r="M59" s="1629">
        <f>L59*J59</f>
        <v>0</v>
      </c>
      <c r="N59" s="1597">
        <v>2</v>
      </c>
      <c r="O59" s="1998">
        <f t="shared" si="20"/>
        <v>0</v>
      </c>
      <c r="P59" s="1998">
        <f t="shared" si="20"/>
        <v>0</v>
      </c>
      <c r="Q59" s="1997">
        <f t="shared" si="19"/>
        <v>0</v>
      </c>
      <c r="R59" s="1998">
        <f t="shared" si="20"/>
        <v>0</v>
      </c>
      <c r="S59" s="1998">
        <f t="shared" si="20"/>
        <v>0</v>
      </c>
      <c r="T59" s="1998">
        <f t="shared" si="20"/>
        <v>0</v>
      </c>
      <c r="U59" s="1998">
        <f t="shared" si="20"/>
        <v>0</v>
      </c>
      <c r="V59" s="1999"/>
      <c r="W59" s="1999">
        <f>IF(V59=1,L59,0)</f>
        <v>0</v>
      </c>
      <c r="X59" s="1999"/>
      <c r="Y59" s="1999">
        <f>IF(X59=1,L59,0)</f>
        <v>0</v>
      </c>
      <c r="Z59" s="1630"/>
      <c r="AA59" s="1630"/>
      <c r="AB59" s="1630"/>
      <c r="AC59" s="1630"/>
      <c r="AD59" s="1630"/>
      <c r="AE59" s="1630"/>
      <c r="AF59" s="1630"/>
      <c r="AG59" s="1630"/>
    </row>
    <row r="60" spans="1:33" s="1691" customFormat="1" ht="12.2" customHeight="1" x14ac:dyDescent="0.2">
      <c r="A60" s="1976"/>
      <c r="B60" s="1977" t="s">
        <v>537</v>
      </c>
      <c r="C60" s="1978" t="s">
        <v>30188</v>
      </c>
      <c r="D60" s="1595" t="s">
        <v>303</v>
      </c>
      <c r="E60" s="1691" t="s">
        <v>28945</v>
      </c>
      <c r="F60" s="1691">
        <v>526</v>
      </c>
      <c r="G60" s="1591">
        <f>1/60*1</f>
        <v>1.6666666666666666E-2</v>
      </c>
      <c r="H60" s="1691" t="s">
        <v>29088</v>
      </c>
      <c r="I60" s="1691">
        <f>Liste!D5</f>
        <v>1</v>
      </c>
      <c r="J60" s="1979">
        <f>VLOOKUP(F60,Kostensätze!A:E,5,FALSE)</f>
        <v>53.04</v>
      </c>
      <c r="K60" s="1980">
        <f>I60*G60*60+IF(I60&gt;0,N60,0)</f>
        <v>1</v>
      </c>
      <c r="L60" s="1981">
        <f>K60/60</f>
        <v>1.6666666666666666E-2</v>
      </c>
      <c r="M60" s="1982">
        <f>L60*J60</f>
        <v>0.88400000000000001</v>
      </c>
      <c r="N60" s="1597"/>
      <c r="O60" s="1998">
        <f t="shared" ref="O60:U60" si="21">IF($F60=O$3,$L60,0)</f>
        <v>0</v>
      </c>
      <c r="P60" s="1998">
        <f t="shared" si="21"/>
        <v>0</v>
      </c>
      <c r="Q60" s="1997">
        <f t="shared" si="19"/>
        <v>0</v>
      </c>
      <c r="R60" s="1998">
        <f t="shared" si="21"/>
        <v>0</v>
      </c>
      <c r="S60" s="1998">
        <f t="shared" si="21"/>
        <v>0</v>
      </c>
      <c r="T60" s="1998">
        <f t="shared" si="21"/>
        <v>0</v>
      </c>
      <c r="U60" s="1998">
        <f t="shared" si="21"/>
        <v>1.6666666666666666E-2</v>
      </c>
      <c r="V60" s="1999"/>
      <c r="W60" s="1999">
        <f>IF(V60=1,L60,0)</f>
        <v>0</v>
      </c>
      <c r="X60" s="1999"/>
      <c r="Y60" s="1999">
        <f>IF(X60=1,L60,0)</f>
        <v>0</v>
      </c>
      <c r="Z60" s="1533"/>
      <c r="AA60" s="1533"/>
      <c r="AB60" s="1533"/>
      <c r="AC60" s="1533"/>
      <c r="AD60" s="1533"/>
      <c r="AE60" s="1533"/>
      <c r="AF60" s="1533"/>
      <c r="AG60" s="1533"/>
    </row>
    <row r="61" spans="1:33" s="1625" customFormat="1" ht="12.2" customHeight="1" x14ac:dyDescent="0.2">
      <c r="A61" s="1622"/>
      <c r="B61" s="1622" t="s">
        <v>537</v>
      </c>
      <c r="C61" s="1631" t="s">
        <v>28918</v>
      </c>
      <c r="D61" s="1631" t="s">
        <v>303</v>
      </c>
      <c r="E61" s="1625" t="s">
        <v>28945</v>
      </c>
      <c r="F61" s="1625">
        <v>526</v>
      </c>
      <c r="G61" s="1591">
        <f>1/60*4</f>
        <v>6.6666666666666666E-2</v>
      </c>
      <c r="H61" s="1625" t="s">
        <v>860</v>
      </c>
      <c r="I61" s="1625">
        <f>I27</f>
        <v>0</v>
      </c>
      <c r="J61" s="1626">
        <f>VLOOKUP(F61,Kostensätze!A:E,5,FALSE)</f>
        <v>53.04</v>
      </c>
      <c r="K61" s="1627">
        <f t="shared" si="8"/>
        <v>0</v>
      </c>
      <c r="L61" s="1628">
        <f t="shared" si="17"/>
        <v>0</v>
      </c>
      <c r="M61" s="1629">
        <f t="shared" si="4"/>
        <v>0</v>
      </c>
      <c r="N61" s="1597">
        <v>10</v>
      </c>
      <c r="O61" s="1998">
        <f t="shared" si="9"/>
        <v>0</v>
      </c>
      <c r="P61" s="1998">
        <f t="shared" si="9"/>
        <v>0</v>
      </c>
      <c r="Q61" s="1997">
        <f t="shared" si="19"/>
        <v>0</v>
      </c>
      <c r="R61" s="1998">
        <f t="shared" si="9"/>
        <v>0</v>
      </c>
      <c r="S61" s="1998">
        <f t="shared" si="9"/>
        <v>0</v>
      </c>
      <c r="T61" s="1998">
        <f t="shared" si="9"/>
        <v>0</v>
      </c>
      <c r="U61" s="1998">
        <f t="shared" si="9"/>
        <v>0</v>
      </c>
      <c r="V61" s="1999"/>
      <c r="W61" s="1999">
        <f t="shared" si="18"/>
        <v>0</v>
      </c>
      <c r="X61" s="1999"/>
      <c r="Y61" s="1999">
        <f t="shared" si="11"/>
        <v>0</v>
      </c>
      <c r="Z61" s="1630"/>
      <c r="AA61" s="1630"/>
      <c r="AB61" s="1630"/>
      <c r="AC61" s="1630"/>
      <c r="AD61" s="1630"/>
      <c r="AE61" s="1630"/>
      <c r="AF61" s="1630"/>
      <c r="AG61" s="1630"/>
    </row>
    <row r="62" spans="1:33" s="1691" customFormat="1" ht="12.2" customHeight="1" x14ac:dyDescent="0.2">
      <c r="A62" s="1976"/>
      <c r="B62" s="1976" t="s">
        <v>537</v>
      </c>
      <c r="C62" s="1595" t="s">
        <v>28919</v>
      </c>
      <c r="D62" s="1595" t="s">
        <v>303</v>
      </c>
      <c r="E62" s="1691" t="s">
        <v>28945</v>
      </c>
      <c r="F62" s="1691">
        <v>526</v>
      </c>
      <c r="G62" s="1591">
        <f>1/60*4</f>
        <v>6.6666666666666666E-2</v>
      </c>
      <c r="H62" s="1691" t="s">
        <v>860</v>
      </c>
      <c r="I62" s="1691">
        <f>I30</f>
        <v>0</v>
      </c>
      <c r="J62" s="1979">
        <f>VLOOKUP(F62,Kostensätze!A:E,5,FALSE)</f>
        <v>53.04</v>
      </c>
      <c r="K62" s="1980">
        <f t="shared" si="8"/>
        <v>0</v>
      </c>
      <c r="L62" s="1981">
        <f t="shared" si="17"/>
        <v>0</v>
      </c>
      <c r="M62" s="1982">
        <f t="shared" si="4"/>
        <v>0</v>
      </c>
      <c r="N62" s="1597">
        <v>10</v>
      </c>
      <c r="O62" s="1998">
        <f t="shared" si="9"/>
        <v>0</v>
      </c>
      <c r="P62" s="1998">
        <f t="shared" si="9"/>
        <v>0</v>
      </c>
      <c r="Q62" s="1997">
        <f t="shared" si="19"/>
        <v>0</v>
      </c>
      <c r="R62" s="1998">
        <f t="shared" si="9"/>
        <v>0</v>
      </c>
      <c r="S62" s="1998">
        <f t="shared" si="9"/>
        <v>0</v>
      </c>
      <c r="T62" s="1998">
        <f t="shared" si="9"/>
        <v>0</v>
      </c>
      <c r="U62" s="1998">
        <f t="shared" si="9"/>
        <v>0</v>
      </c>
      <c r="V62" s="1999"/>
      <c r="W62" s="1999">
        <f t="shared" si="18"/>
        <v>0</v>
      </c>
      <c r="X62" s="1999"/>
      <c r="Y62" s="1999">
        <f t="shared" si="11"/>
        <v>0</v>
      </c>
      <c r="Z62" s="1533"/>
      <c r="AA62" s="1533"/>
      <c r="AB62" s="1533"/>
      <c r="AC62" s="1533"/>
      <c r="AD62" s="1533"/>
      <c r="AE62" s="1533"/>
      <c r="AF62" s="1533"/>
      <c r="AG62" s="1533"/>
    </row>
    <row r="63" spans="1:33" s="1625" customFormat="1" ht="12.2" customHeight="1" x14ac:dyDescent="0.2">
      <c r="A63" s="1622"/>
      <c r="B63" s="1975" t="s">
        <v>537</v>
      </c>
      <c r="C63" s="1623" t="s">
        <v>28920</v>
      </c>
      <c r="D63" s="1623" t="s">
        <v>303</v>
      </c>
      <c r="E63" s="1625" t="s">
        <v>28945</v>
      </c>
      <c r="F63" s="1625">
        <v>526</v>
      </c>
      <c r="G63" s="1591">
        <f>1/60*0.5</f>
        <v>8.3333333333333332E-3</v>
      </c>
      <c r="H63" s="1625" t="s">
        <v>30227</v>
      </c>
      <c r="I63" s="1625">
        <f>IF(I46&gt;0,ROUNDUP(Liste!G1/250*2,0),0)</f>
        <v>9</v>
      </c>
      <c r="J63" s="1626">
        <f>VLOOKUP(F63,Kostensätze!A:E,5,FALSE)</f>
        <v>53.04</v>
      </c>
      <c r="K63" s="1627">
        <f t="shared" si="8"/>
        <v>10.5</v>
      </c>
      <c r="L63" s="1628">
        <f t="shared" si="17"/>
        <v>0.17499999999999999</v>
      </c>
      <c r="M63" s="1629">
        <f t="shared" si="4"/>
        <v>9.282</v>
      </c>
      <c r="N63" s="1597">
        <v>6</v>
      </c>
      <c r="O63" s="1998">
        <f t="shared" si="9"/>
        <v>0</v>
      </c>
      <c r="P63" s="1998">
        <f t="shared" si="9"/>
        <v>0</v>
      </c>
      <c r="Q63" s="1997">
        <f t="shared" si="19"/>
        <v>0</v>
      </c>
      <c r="R63" s="1998">
        <f t="shared" si="9"/>
        <v>0</v>
      </c>
      <c r="S63" s="1998">
        <f t="shared" si="9"/>
        <v>0</v>
      </c>
      <c r="T63" s="1998">
        <f t="shared" si="9"/>
        <v>0</v>
      </c>
      <c r="U63" s="1998">
        <f t="shared" si="9"/>
        <v>0.17499999999999999</v>
      </c>
      <c r="V63" s="1999"/>
      <c r="W63" s="1999">
        <f t="shared" si="18"/>
        <v>0</v>
      </c>
      <c r="X63" s="1999"/>
      <c r="Y63" s="1999">
        <f t="shared" si="11"/>
        <v>0</v>
      </c>
      <c r="Z63" s="1630"/>
      <c r="AA63" s="1630"/>
      <c r="AB63" s="1630"/>
      <c r="AC63" s="1630"/>
      <c r="AD63" s="1630"/>
      <c r="AE63" s="1630"/>
      <c r="AF63" s="1630"/>
      <c r="AG63" s="1630"/>
    </row>
    <row r="64" spans="1:33" s="1691" customFormat="1" ht="12.2" customHeight="1" x14ac:dyDescent="0.2">
      <c r="A64" s="1976"/>
      <c r="B64" s="1976" t="s">
        <v>537</v>
      </c>
      <c r="C64" s="1978" t="s">
        <v>28921</v>
      </c>
      <c r="D64" s="1595" t="s">
        <v>303</v>
      </c>
      <c r="E64" s="1691" t="s">
        <v>28945</v>
      </c>
      <c r="F64" s="1691">
        <v>526</v>
      </c>
      <c r="G64" s="1591">
        <f>1/60*3</f>
        <v>0.05</v>
      </c>
      <c r="H64" s="1691" t="s">
        <v>860</v>
      </c>
      <c r="I64" s="1691">
        <f>I34</f>
        <v>0</v>
      </c>
      <c r="J64" s="1979">
        <f>VLOOKUP(F64,Kostensätze!A:E,5,FALSE)</f>
        <v>53.04</v>
      </c>
      <c r="K64" s="1980">
        <f t="shared" si="8"/>
        <v>0</v>
      </c>
      <c r="L64" s="1981">
        <f t="shared" si="17"/>
        <v>0</v>
      </c>
      <c r="M64" s="1982">
        <f t="shared" si="4"/>
        <v>0</v>
      </c>
      <c r="N64" s="1597"/>
      <c r="O64" s="1998">
        <f t="shared" si="9"/>
        <v>0</v>
      </c>
      <c r="P64" s="1998">
        <f t="shared" si="9"/>
        <v>0</v>
      </c>
      <c r="Q64" s="1997">
        <f t="shared" si="19"/>
        <v>0</v>
      </c>
      <c r="R64" s="1998">
        <f t="shared" si="9"/>
        <v>0</v>
      </c>
      <c r="S64" s="1998">
        <f t="shared" si="9"/>
        <v>0</v>
      </c>
      <c r="T64" s="1998">
        <f t="shared" si="9"/>
        <v>0</v>
      </c>
      <c r="U64" s="1998">
        <f t="shared" si="9"/>
        <v>0</v>
      </c>
      <c r="V64" s="1999"/>
      <c r="W64" s="1999">
        <f t="shared" si="18"/>
        <v>0</v>
      </c>
      <c r="X64" s="1999"/>
      <c r="Y64" s="1999">
        <f t="shared" si="11"/>
        <v>0</v>
      </c>
      <c r="Z64" s="1533"/>
      <c r="AA64" s="1533"/>
      <c r="AB64" s="1533"/>
      <c r="AC64" s="1533"/>
      <c r="AD64" s="1533"/>
      <c r="AE64" s="1533"/>
      <c r="AF64" s="1533"/>
      <c r="AG64" s="1533"/>
    </row>
    <row r="65" spans="1:33" s="1625" customFormat="1" ht="12.2" customHeight="1" x14ac:dyDescent="0.2">
      <c r="A65" s="1622"/>
      <c r="B65" s="1622" t="s">
        <v>537</v>
      </c>
      <c r="C65" s="1631" t="s">
        <v>28922</v>
      </c>
      <c r="D65" s="1631" t="s">
        <v>303</v>
      </c>
      <c r="E65" s="1625" t="s">
        <v>28945</v>
      </c>
      <c r="F65" s="1625">
        <v>526</v>
      </c>
      <c r="G65" s="1591">
        <f>1/60*4</f>
        <v>6.6666666666666666E-2</v>
      </c>
      <c r="H65" s="1625" t="s">
        <v>860</v>
      </c>
      <c r="I65" s="1625">
        <f>I37</f>
        <v>0</v>
      </c>
      <c r="J65" s="1626">
        <f>VLOOKUP(F65,Kostensätze!A:E,5,FALSE)</f>
        <v>53.04</v>
      </c>
      <c r="K65" s="1627">
        <f t="shared" si="8"/>
        <v>0</v>
      </c>
      <c r="L65" s="1628">
        <f t="shared" si="17"/>
        <v>0</v>
      </c>
      <c r="M65" s="1629">
        <f t="shared" si="4"/>
        <v>0</v>
      </c>
      <c r="N65" s="1597"/>
      <c r="O65" s="1998">
        <f t="shared" si="9"/>
        <v>0</v>
      </c>
      <c r="P65" s="1998">
        <f t="shared" si="9"/>
        <v>0</v>
      </c>
      <c r="Q65" s="1997">
        <f t="shared" si="19"/>
        <v>0</v>
      </c>
      <c r="R65" s="1998">
        <f t="shared" si="9"/>
        <v>0</v>
      </c>
      <c r="S65" s="1998">
        <f t="shared" si="9"/>
        <v>0</v>
      </c>
      <c r="T65" s="1998">
        <f t="shared" si="9"/>
        <v>0</v>
      </c>
      <c r="U65" s="1998">
        <f t="shared" si="9"/>
        <v>0</v>
      </c>
      <c r="V65" s="1999"/>
      <c r="W65" s="1999">
        <f t="shared" si="18"/>
        <v>0</v>
      </c>
      <c r="X65" s="1999"/>
      <c r="Y65" s="1999">
        <f t="shared" si="11"/>
        <v>0</v>
      </c>
      <c r="Z65" s="1630"/>
      <c r="AA65" s="1630"/>
      <c r="AB65" s="1630"/>
      <c r="AC65" s="1630"/>
      <c r="AD65" s="1630"/>
      <c r="AE65" s="1630"/>
      <c r="AF65" s="1630"/>
      <c r="AG65" s="1630"/>
    </row>
    <row r="66" spans="1:33" s="1691" customFormat="1" ht="12.2" customHeight="1" x14ac:dyDescent="0.2">
      <c r="A66" s="1976"/>
      <c r="B66" s="1976" t="s">
        <v>537</v>
      </c>
      <c r="C66" s="1595" t="s">
        <v>28923</v>
      </c>
      <c r="D66" s="1595" t="s">
        <v>303</v>
      </c>
      <c r="E66" s="1691" t="s">
        <v>28945</v>
      </c>
      <c r="F66" s="1691">
        <v>526</v>
      </c>
      <c r="G66" s="1591">
        <f>1/60*3</f>
        <v>0.05</v>
      </c>
      <c r="H66" s="1691" t="s">
        <v>860</v>
      </c>
      <c r="I66" s="1691">
        <f>I40</f>
        <v>0</v>
      </c>
      <c r="J66" s="1979">
        <f>VLOOKUP(F66,Kostensätze!A:E,5,FALSE)</f>
        <v>53.04</v>
      </c>
      <c r="K66" s="1980">
        <f t="shared" si="8"/>
        <v>0</v>
      </c>
      <c r="L66" s="1981">
        <f t="shared" si="17"/>
        <v>0</v>
      </c>
      <c r="M66" s="1982">
        <f t="shared" si="4"/>
        <v>0</v>
      </c>
      <c r="N66" s="1597"/>
      <c r="O66" s="1998">
        <f t="shared" si="9"/>
        <v>0</v>
      </c>
      <c r="P66" s="1998">
        <f t="shared" si="9"/>
        <v>0</v>
      </c>
      <c r="Q66" s="1997">
        <f t="shared" si="19"/>
        <v>0</v>
      </c>
      <c r="R66" s="1998">
        <f t="shared" si="9"/>
        <v>0</v>
      </c>
      <c r="S66" s="1998">
        <f t="shared" si="9"/>
        <v>0</v>
      </c>
      <c r="T66" s="1998">
        <f t="shared" si="9"/>
        <v>0</v>
      </c>
      <c r="U66" s="1998">
        <f t="shared" si="9"/>
        <v>0</v>
      </c>
      <c r="V66" s="1999"/>
      <c r="W66" s="1999">
        <f t="shared" si="18"/>
        <v>0</v>
      </c>
      <c r="X66" s="1999"/>
      <c r="Y66" s="1999">
        <f t="shared" si="11"/>
        <v>0</v>
      </c>
      <c r="Z66" s="1533"/>
      <c r="AA66" s="1533"/>
      <c r="AB66" s="1533"/>
      <c r="AC66" s="1533"/>
      <c r="AD66" s="1533"/>
      <c r="AE66" s="1533"/>
      <c r="AF66" s="1533"/>
      <c r="AG66" s="1533"/>
    </row>
    <row r="67" spans="1:33" s="1625" customFormat="1" ht="12.2" customHeight="1" x14ac:dyDescent="0.2">
      <c r="A67" s="1622"/>
      <c r="B67" s="1622" t="s">
        <v>537</v>
      </c>
      <c r="C67" s="1623" t="s">
        <v>28967</v>
      </c>
      <c r="D67" s="1623" t="s">
        <v>303</v>
      </c>
      <c r="E67" s="1625" t="s">
        <v>28945</v>
      </c>
      <c r="F67" s="1625">
        <v>526</v>
      </c>
      <c r="G67" s="1591">
        <f>1/60*3</f>
        <v>0.05</v>
      </c>
      <c r="H67" s="1625" t="s">
        <v>860</v>
      </c>
      <c r="I67" s="1625">
        <f>Liste!A34*Liste!D5</f>
        <v>1</v>
      </c>
      <c r="J67" s="1626">
        <f>VLOOKUP(F67,Kostensätze!A:E,5,FALSE)</f>
        <v>53.04</v>
      </c>
      <c r="K67" s="1627">
        <f t="shared" si="8"/>
        <v>4</v>
      </c>
      <c r="L67" s="1628">
        <f t="shared" si="17"/>
        <v>6.6666666666666666E-2</v>
      </c>
      <c r="M67" s="1629">
        <f t="shared" si="4"/>
        <v>3.536</v>
      </c>
      <c r="N67" s="1597">
        <v>1</v>
      </c>
      <c r="O67" s="1998">
        <f t="shared" si="9"/>
        <v>0</v>
      </c>
      <c r="P67" s="1998">
        <f t="shared" si="9"/>
        <v>0</v>
      </c>
      <c r="Q67" s="1997">
        <f t="shared" si="19"/>
        <v>0</v>
      </c>
      <c r="R67" s="1998">
        <f t="shared" si="9"/>
        <v>0</v>
      </c>
      <c r="S67" s="1998">
        <f t="shared" si="9"/>
        <v>0</v>
      </c>
      <c r="T67" s="1998">
        <f t="shared" si="9"/>
        <v>0</v>
      </c>
      <c r="U67" s="1998">
        <f t="shared" si="9"/>
        <v>6.6666666666666666E-2</v>
      </c>
      <c r="V67" s="1999"/>
      <c r="W67" s="1999">
        <f t="shared" si="18"/>
        <v>0</v>
      </c>
      <c r="X67" s="1999"/>
      <c r="Y67" s="1999">
        <f t="shared" si="11"/>
        <v>0</v>
      </c>
      <c r="Z67" s="1630"/>
      <c r="AA67" s="1630"/>
      <c r="AB67" s="1630"/>
      <c r="AC67" s="1630"/>
      <c r="AD67" s="1630"/>
      <c r="AE67" s="1630"/>
      <c r="AF67" s="1630"/>
      <c r="AG67" s="1630"/>
    </row>
    <row r="68" spans="1:33" s="1691" customFormat="1" ht="12.2" customHeight="1" x14ac:dyDescent="0.2">
      <c r="A68" s="1976"/>
      <c r="B68" s="1976" t="s">
        <v>537</v>
      </c>
      <c r="C68" s="1978" t="s">
        <v>28968</v>
      </c>
      <c r="D68" s="1595" t="s">
        <v>303</v>
      </c>
      <c r="E68" s="1691" t="s">
        <v>28945</v>
      </c>
      <c r="F68" s="1691">
        <v>526</v>
      </c>
      <c r="G68" s="1591">
        <f>1/60*3</f>
        <v>0.05</v>
      </c>
      <c r="H68" s="1691" t="s">
        <v>860</v>
      </c>
      <c r="I68" s="1691">
        <f>I67</f>
        <v>1</v>
      </c>
      <c r="J68" s="1979">
        <f>VLOOKUP(F68,Kostensätze!A:E,5,FALSE)</f>
        <v>53.04</v>
      </c>
      <c r="K68" s="1980">
        <f t="shared" si="8"/>
        <v>3</v>
      </c>
      <c r="L68" s="1981">
        <f t="shared" si="17"/>
        <v>0.05</v>
      </c>
      <c r="M68" s="1982">
        <f t="shared" si="4"/>
        <v>2.6520000000000001</v>
      </c>
      <c r="N68" s="1597"/>
      <c r="O68" s="1998">
        <f t="shared" si="9"/>
        <v>0</v>
      </c>
      <c r="P68" s="1998">
        <f t="shared" si="9"/>
        <v>0</v>
      </c>
      <c r="Q68" s="1997">
        <f t="shared" si="19"/>
        <v>0</v>
      </c>
      <c r="R68" s="1998">
        <f t="shared" si="9"/>
        <v>0</v>
      </c>
      <c r="S68" s="1998">
        <f t="shared" si="9"/>
        <v>0</v>
      </c>
      <c r="T68" s="1998">
        <f t="shared" si="9"/>
        <v>0</v>
      </c>
      <c r="U68" s="1998">
        <f t="shared" si="9"/>
        <v>0.05</v>
      </c>
      <c r="V68" s="1999"/>
      <c r="W68" s="1999">
        <f t="shared" si="18"/>
        <v>0</v>
      </c>
      <c r="X68" s="1999"/>
      <c r="Y68" s="1999">
        <f t="shared" si="11"/>
        <v>0</v>
      </c>
      <c r="Z68" s="1533"/>
      <c r="AA68" s="1533"/>
      <c r="AB68" s="1533"/>
      <c r="AC68" s="1533"/>
      <c r="AD68" s="1533"/>
      <c r="AE68" s="1533"/>
      <c r="AF68" s="1533"/>
      <c r="AG68" s="1533"/>
    </row>
    <row r="69" spans="1:33" s="1625" customFormat="1" ht="12.2" customHeight="1" x14ac:dyDescent="0.2">
      <c r="A69" s="1622"/>
      <c r="B69" s="1975" t="s">
        <v>537</v>
      </c>
      <c r="C69" s="1623" t="s">
        <v>30193</v>
      </c>
      <c r="D69" s="1631" t="s">
        <v>303</v>
      </c>
      <c r="E69" s="1625" t="s">
        <v>28945</v>
      </c>
      <c r="F69" s="1625">
        <v>526</v>
      </c>
      <c r="G69" s="1591">
        <f>1/60*2</f>
        <v>3.3333333333333333E-2</v>
      </c>
      <c r="H69" s="1625" t="s">
        <v>29088</v>
      </c>
      <c r="I69" s="1625">
        <f>Liste!D5</f>
        <v>1</v>
      </c>
      <c r="J69" s="1626">
        <f>VLOOKUP(F69,Kostensätze!A:E,5,FALSE)</f>
        <v>53.04</v>
      </c>
      <c r="K69" s="1627">
        <f>I69*G69*60+IF(I69&gt;0,N69,0)</f>
        <v>3</v>
      </c>
      <c r="L69" s="1628">
        <f>K69/60</f>
        <v>0.05</v>
      </c>
      <c r="M69" s="1629">
        <f>L69*J69</f>
        <v>2.6520000000000001</v>
      </c>
      <c r="N69" s="1597">
        <v>1</v>
      </c>
      <c r="O69" s="1998">
        <f t="shared" ref="O69:U69" si="22">IF($F69=O$3,$L69,0)</f>
        <v>0</v>
      </c>
      <c r="P69" s="1998">
        <f t="shared" si="22"/>
        <v>0</v>
      </c>
      <c r="Q69" s="1997">
        <f t="shared" si="19"/>
        <v>0</v>
      </c>
      <c r="R69" s="1998">
        <f t="shared" si="22"/>
        <v>0</v>
      </c>
      <c r="S69" s="1998">
        <f t="shared" si="22"/>
        <v>0</v>
      </c>
      <c r="T69" s="1998">
        <f t="shared" si="22"/>
        <v>0</v>
      </c>
      <c r="U69" s="1998">
        <f t="shared" si="22"/>
        <v>0.05</v>
      </c>
      <c r="V69" s="1999"/>
      <c r="W69" s="1999">
        <f>IF(V69=1,L69,0)</f>
        <v>0</v>
      </c>
      <c r="X69" s="1999"/>
      <c r="Y69" s="1999">
        <f>IF(X69=1,L69,0)</f>
        <v>0</v>
      </c>
      <c r="Z69" s="1630"/>
      <c r="AA69" s="1630"/>
      <c r="AB69" s="1630"/>
      <c r="AC69" s="1630"/>
      <c r="AD69" s="1630"/>
      <c r="AE69" s="1630"/>
      <c r="AF69" s="1630"/>
      <c r="AG69" s="1630"/>
    </row>
    <row r="70" spans="1:33" s="1691" customFormat="1" ht="12.2" customHeight="1" x14ac:dyDescent="0.2">
      <c r="A70" s="1976"/>
      <c r="B70" s="1977" t="s">
        <v>537</v>
      </c>
      <c r="C70" s="1978" t="s">
        <v>30158</v>
      </c>
      <c r="D70" s="1595" t="s">
        <v>303</v>
      </c>
      <c r="E70" s="1691" t="s">
        <v>28945</v>
      </c>
      <c r="F70" s="1691">
        <v>526</v>
      </c>
      <c r="G70" s="1591">
        <f>1/60*3</f>
        <v>0.05</v>
      </c>
      <c r="H70" s="1691" t="s">
        <v>29088</v>
      </c>
      <c r="I70" s="1691">
        <f>Liste!D5*Liste!D313</f>
        <v>1</v>
      </c>
      <c r="J70" s="1979">
        <f>VLOOKUP(F70,Kostensätze!A:E,5,FALSE)</f>
        <v>53.04</v>
      </c>
      <c r="K70" s="1980">
        <f>I70*G70*60+IF(I70&gt;0,N70,0)</f>
        <v>4</v>
      </c>
      <c r="L70" s="1981">
        <f>K70/60</f>
        <v>6.6666666666666666E-2</v>
      </c>
      <c r="M70" s="1982">
        <f>L70*J70</f>
        <v>3.536</v>
      </c>
      <c r="N70" s="1597">
        <v>1</v>
      </c>
      <c r="O70" s="1998">
        <f t="shared" ref="O70:U70" si="23">IF($F70=O$3,$L70,0)</f>
        <v>0</v>
      </c>
      <c r="P70" s="1998">
        <f t="shared" si="23"/>
        <v>0</v>
      </c>
      <c r="Q70" s="1997">
        <f t="shared" si="19"/>
        <v>0</v>
      </c>
      <c r="R70" s="1998">
        <f t="shared" si="23"/>
        <v>0</v>
      </c>
      <c r="S70" s="1998">
        <f t="shared" si="23"/>
        <v>0</v>
      </c>
      <c r="T70" s="1998">
        <f t="shared" si="23"/>
        <v>0</v>
      </c>
      <c r="U70" s="1998">
        <f t="shared" si="23"/>
        <v>6.6666666666666666E-2</v>
      </c>
      <c r="V70" s="1999"/>
      <c r="W70" s="1999">
        <f>IF(V70=1,L70,0)</f>
        <v>0</v>
      </c>
      <c r="X70" s="1999"/>
      <c r="Y70" s="1999">
        <f>IF(X70=1,L70,0)</f>
        <v>0</v>
      </c>
      <c r="Z70" s="1533"/>
      <c r="AA70" s="1533"/>
      <c r="AB70" s="1533"/>
      <c r="AC70" s="1533"/>
      <c r="AD70" s="1533"/>
      <c r="AE70" s="1533"/>
      <c r="AF70" s="1533"/>
      <c r="AG70" s="1533"/>
    </row>
    <row r="71" spans="1:33" s="1625" customFormat="1" ht="12.2" customHeight="1" x14ac:dyDescent="0.2">
      <c r="A71" s="1622"/>
      <c r="B71" s="1975" t="s">
        <v>537</v>
      </c>
      <c r="C71" s="1623" t="s">
        <v>28896</v>
      </c>
      <c r="D71" s="1623" t="s">
        <v>28912</v>
      </c>
      <c r="E71" s="1625" t="s">
        <v>28945</v>
      </c>
      <c r="F71" s="1625">
        <v>526</v>
      </c>
      <c r="G71" s="1591">
        <f>1/60*2</f>
        <v>3.3333333333333333E-2</v>
      </c>
      <c r="H71" s="1625" t="s">
        <v>29088</v>
      </c>
      <c r="I71" s="1625">
        <f>Liste!D5*(Liste!D141+Liste!D142)</f>
        <v>0</v>
      </c>
      <c r="J71" s="1626">
        <f>VLOOKUP(F71,Kostensätze!A:E,5,FALSE)</f>
        <v>53.04</v>
      </c>
      <c r="K71" s="1627">
        <f t="shared" si="8"/>
        <v>0</v>
      </c>
      <c r="L71" s="1628">
        <f t="shared" si="17"/>
        <v>0</v>
      </c>
      <c r="M71" s="1629">
        <f t="shared" si="4"/>
        <v>0</v>
      </c>
      <c r="N71" s="1597"/>
      <c r="O71" s="1998">
        <f t="shared" si="9"/>
        <v>0</v>
      </c>
      <c r="P71" s="1998">
        <f t="shared" si="9"/>
        <v>0</v>
      </c>
      <c r="Q71" s="1997">
        <f t="shared" si="19"/>
        <v>0</v>
      </c>
      <c r="R71" s="1998">
        <f t="shared" si="9"/>
        <v>0</v>
      </c>
      <c r="S71" s="1998">
        <f t="shared" si="9"/>
        <v>0</v>
      </c>
      <c r="T71" s="1998">
        <f t="shared" si="9"/>
        <v>0</v>
      </c>
      <c r="U71" s="1998">
        <f t="shared" si="9"/>
        <v>0</v>
      </c>
      <c r="V71" s="1999"/>
      <c r="W71" s="1999">
        <f t="shared" si="18"/>
        <v>0</v>
      </c>
      <c r="X71" s="1999"/>
      <c r="Y71" s="1999">
        <f t="shared" si="11"/>
        <v>0</v>
      </c>
      <c r="Z71" s="1630"/>
      <c r="AA71" s="1630"/>
      <c r="AB71" s="1630"/>
      <c r="AC71" s="1630"/>
      <c r="AD71" s="1630"/>
      <c r="AE71" s="1630"/>
      <c r="AF71" s="1630"/>
      <c r="AG71" s="1630"/>
    </row>
    <row r="72" spans="1:33" s="1691" customFormat="1" ht="12.2" customHeight="1" x14ac:dyDescent="0.2">
      <c r="A72" s="1976"/>
      <c r="B72" s="1977" t="s">
        <v>537</v>
      </c>
      <c r="C72" s="1978" t="s">
        <v>30221</v>
      </c>
      <c r="D72" s="1595" t="s">
        <v>28912</v>
      </c>
      <c r="E72" s="1691" t="s">
        <v>28945</v>
      </c>
      <c r="F72" s="1691">
        <v>526</v>
      </c>
      <c r="G72" s="1591">
        <f>1/60*1</f>
        <v>1.6666666666666666E-2</v>
      </c>
      <c r="H72" s="1691" t="s">
        <v>29088</v>
      </c>
      <c r="I72" s="1691">
        <f>Liste!D5*(Liste!D141+Liste!D142)</f>
        <v>0</v>
      </c>
      <c r="J72" s="1979">
        <f>VLOOKUP(F72,Kostensätze!A:E,5,FALSE)</f>
        <v>53.04</v>
      </c>
      <c r="K72" s="1980">
        <f t="shared" si="8"/>
        <v>0</v>
      </c>
      <c r="L72" s="1981">
        <f t="shared" si="17"/>
        <v>0</v>
      </c>
      <c r="M72" s="1982">
        <f t="shared" si="4"/>
        <v>0</v>
      </c>
      <c r="N72" s="1597"/>
      <c r="O72" s="1998">
        <f t="shared" si="9"/>
        <v>0</v>
      </c>
      <c r="P72" s="1998">
        <f t="shared" si="9"/>
        <v>0</v>
      </c>
      <c r="Q72" s="1997">
        <f t="shared" si="19"/>
        <v>0</v>
      </c>
      <c r="R72" s="1998">
        <f t="shared" si="9"/>
        <v>0</v>
      </c>
      <c r="S72" s="1998">
        <f t="shared" si="9"/>
        <v>0</v>
      </c>
      <c r="T72" s="1998">
        <f t="shared" si="9"/>
        <v>0</v>
      </c>
      <c r="U72" s="1998">
        <f t="shared" si="9"/>
        <v>0</v>
      </c>
      <c r="V72" s="1999"/>
      <c r="W72" s="1999">
        <f t="shared" si="18"/>
        <v>0</v>
      </c>
      <c r="X72" s="1999"/>
      <c r="Y72" s="1999">
        <f t="shared" si="11"/>
        <v>0</v>
      </c>
      <c r="Z72" s="1533"/>
      <c r="AA72" s="1533"/>
      <c r="AB72" s="1533"/>
      <c r="AC72" s="1533"/>
      <c r="AD72" s="1533"/>
      <c r="AE72" s="1533"/>
      <c r="AF72" s="1533"/>
      <c r="AG72" s="1533"/>
    </row>
    <row r="73" spans="1:33" s="1625" customFormat="1" ht="12.2" customHeight="1" x14ac:dyDescent="0.2">
      <c r="A73" s="1622"/>
      <c r="B73" s="1975" t="s">
        <v>537</v>
      </c>
      <c r="C73" s="1631" t="s">
        <v>30222</v>
      </c>
      <c r="D73" s="1631" t="s">
        <v>28913</v>
      </c>
      <c r="E73" s="1625" t="s">
        <v>28945</v>
      </c>
      <c r="F73" s="1625">
        <v>526</v>
      </c>
      <c r="G73" s="1591">
        <f>1/60*3</f>
        <v>0.05</v>
      </c>
      <c r="H73" s="1625" t="s">
        <v>29088</v>
      </c>
      <c r="I73" s="1625">
        <f>Liste!D5*(Liste!D138+Liste!D140)</f>
        <v>1</v>
      </c>
      <c r="J73" s="1626">
        <f>VLOOKUP(F73,Kostensätze!A:E,5,FALSE)</f>
        <v>53.04</v>
      </c>
      <c r="K73" s="1627">
        <f t="shared" si="8"/>
        <v>3</v>
      </c>
      <c r="L73" s="1628">
        <f t="shared" si="17"/>
        <v>0.05</v>
      </c>
      <c r="M73" s="1629">
        <f t="shared" si="4"/>
        <v>2.6520000000000001</v>
      </c>
      <c r="N73" s="1597"/>
      <c r="O73" s="1998">
        <f t="shared" ref="O73:U107" si="24">IF($F73=O$3,$L73,0)</f>
        <v>0</v>
      </c>
      <c r="P73" s="1998">
        <f t="shared" si="24"/>
        <v>0</v>
      </c>
      <c r="Q73" s="1997">
        <f t="shared" si="19"/>
        <v>0</v>
      </c>
      <c r="R73" s="1998">
        <f t="shared" si="24"/>
        <v>0</v>
      </c>
      <c r="S73" s="1998">
        <f t="shared" si="24"/>
        <v>0</v>
      </c>
      <c r="T73" s="1998">
        <f t="shared" si="24"/>
        <v>0</v>
      </c>
      <c r="U73" s="1998">
        <f t="shared" si="24"/>
        <v>0.05</v>
      </c>
      <c r="V73" s="1999"/>
      <c r="W73" s="1999">
        <f t="shared" si="18"/>
        <v>0</v>
      </c>
      <c r="X73" s="1999"/>
      <c r="Y73" s="1999">
        <f t="shared" si="11"/>
        <v>0</v>
      </c>
      <c r="Z73" s="1630"/>
      <c r="AA73" s="1630"/>
      <c r="AB73" s="1630"/>
      <c r="AC73" s="1630"/>
      <c r="AD73" s="1630"/>
      <c r="AE73" s="1630"/>
      <c r="AF73" s="1630"/>
      <c r="AG73" s="1630"/>
    </row>
    <row r="74" spans="1:33" s="1691" customFormat="1" ht="12.2" customHeight="1" x14ac:dyDescent="0.2">
      <c r="A74" s="1976"/>
      <c r="B74" s="1977" t="s">
        <v>537</v>
      </c>
      <c r="C74" s="1595" t="s">
        <v>30221</v>
      </c>
      <c r="D74" s="1595" t="s">
        <v>28913</v>
      </c>
      <c r="E74" s="1691" t="s">
        <v>28945</v>
      </c>
      <c r="F74" s="1691">
        <v>526</v>
      </c>
      <c r="G74" s="1591">
        <f>1/60*1</f>
        <v>1.6666666666666666E-2</v>
      </c>
      <c r="H74" s="1691" t="s">
        <v>29088</v>
      </c>
      <c r="I74" s="1691">
        <f>Liste!D5*(Liste!D138+Liste!D140)</f>
        <v>1</v>
      </c>
      <c r="J74" s="1979">
        <f>VLOOKUP(F74,Kostensätze!A:E,5,FALSE)</f>
        <v>53.04</v>
      </c>
      <c r="K74" s="1980">
        <f t="shared" si="8"/>
        <v>1</v>
      </c>
      <c r="L74" s="1981">
        <f t="shared" si="17"/>
        <v>1.6666666666666666E-2</v>
      </c>
      <c r="M74" s="1982">
        <f t="shared" si="4"/>
        <v>0.88400000000000001</v>
      </c>
      <c r="N74" s="1597"/>
      <c r="O74" s="1998">
        <f t="shared" si="24"/>
        <v>0</v>
      </c>
      <c r="P74" s="1998">
        <f t="shared" si="24"/>
        <v>0</v>
      </c>
      <c r="Q74" s="1997">
        <f t="shared" si="19"/>
        <v>0</v>
      </c>
      <c r="R74" s="1998">
        <f t="shared" si="24"/>
        <v>0</v>
      </c>
      <c r="S74" s="1998">
        <f t="shared" si="24"/>
        <v>0</v>
      </c>
      <c r="T74" s="1998">
        <f t="shared" si="24"/>
        <v>0</v>
      </c>
      <c r="U74" s="1998">
        <f t="shared" si="24"/>
        <v>1.6666666666666666E-2</v>
      </c>
      <c r="V74" s="1999"/>
      <c r="W74" s="1999">
        <f t="shared" si="18"/>
        <v>0</v>
      </c>
      <c r="X74" s="1999"/>
      <c r="Y74" s="1999">
        <f t="shared" si="11"/>
        <v>0</v>
      </c>
      <c r="Z74" s="1533"/>
      <c r="AA74" s="1533"/>
      <c r="AB74" s="1533"/>
      <c r="AC74" s="1533"/>
      <c r="AD74" s="1533"/>
      <c r="AE74" s="1533"/>
      <c r="AF74" s="1533"/>
      <c r="AG74" s="1533"/>
    </row>
    <row r="75" spans="1:33" s="1625" customFormat="1" ht="12.2" customHeight="1" x14ac:dyDescent="0.2">
      <c r="A75" s="1622"/>
      <c r="B75" s="1975" t="s">
        <v>537</v>
      </c>
      <c r="C75" s="1623" t="s">
        <v>867</v>
      </c>
      <c r="D75" s="1623" t="s">
        <v>453</v>
      </c>
      <c r="E75" s="1625" t="s">
        <v>28945</v>
      </c>
      <c r="F75" s="1625">
        <v>526</v>
      </c>
      <c r="G75" s="1591">
        <f>1/60*3</f>
        <v>0.05</v>
      </c>
      <c r="H75" s="1625" t="s">
        <v>29088</v>
      </c>
      <c r="I75" s="1625">
        <f>Liste!D5</f>
        <v>1</v>
      </c>
      <c r="J75" s="1626">
        <f>VLOOKUP(F75,Kostensätze!A:E,5,FALSE)</f>
        <v>53.04</v>
      </c>
      <c r="K75" s="1627">
        <f t="shared" si="8"/>
        <v>3</v>
      </c>
      <c r="L75" s="1628">
        <f t="shared" si="17"/>
        <v>0.05</v>
      </c>
      <c r="M75" s="1629">
        <f t="shared" si="4"/>
        <v>2.6520000000000001</v>
      </c>
      <c r="N75" s="1597"/>
      <c r="O75" s="1998">
        <f t="shared" si="24"/>
        <v>0</v>
      </c>
      <c r="P75" s="1998">
        <f t="shared" si="24"/>
        <v>0</v>
      </c>
      <c r="Q75" s="1997">
        <f t="shared" si="19"/>
        <v>0</v>
      </c>
      <c r="R75" s="1998">
        <f t="shared" si="24"/>
        <v>0</v>
      </c>
      <c r="S75" s="1998">
        <f t="shared" si="24"/>
        <v>0</v>
      </c>
      <c r="T75" s="1998">
        <f t="shared" si="24"/>
        <v>0</v>
      </c>
      <c r="U75" s="1998">
        <f t="shared" si="24"/>
        <v>0.05</v>
      </c>
      <c r="V75" s="1999"/>
      <c r="W75" s="1999">
        <f t="shared" si="18"/>
        <v>0</v>
      </c>
      <c r="X75" s="1999"/>
      <c r="Y75" s="1999">
        <f t="shared" si="11"/>
        <v>0</v>
      </c>
      <c r="Z75" s="1630"/>
      <c r="AA75" s="1630"/>
      <c r="AB75" s="1630"/>
      <c r="AC75" s="1630"/>
      <c r="AD75" s="1630"/>
      <c r="AE75" s="1630"/>
      <c r="AF75" s="1630"/>
      <c r="AG75" s="1630"/>
    </row>
    <row r="76" spans="1:33" s="1691" customFormat="1" ht="12.2" customHeight="1" x14ac:dyDescent="0.2">
      <c r="A76" s="1976" t="s">
        <v>276</v>
      </c>
      <c r="B76" s="1976"/>
      <c r="C76" s="1595"/>
      <c r="D76" s="1595"/>
      <c r="F76" s="1691">
        <v>526</v>
      </c>
      <c r="G76" s="1591"/>
      <c r="H76" s="1983"/>
      <c r="J76" s="1979"/>
      <c r="K76" s="1980">
        <f t="shared" si="8"/>
        <v>0</v>
      </c>
      <c r="L76" s="1981"/>
      <c r="M76" s="1982">
        <f t="shared" si="4"/>
        <v>0</v>
      </c>
      <c r="N76" s="1597"/>
      <c r="O76" s="1998">
        <f t="shared" si="24"/>
        <v>0</v>
      </c>
      <c r="P76" s="1998">
        <f t="shared" si="24"/>
        <v>0</v>
      </c>
      <c r="Q76" s="1997">
        <f t="shared" si="19"/>
        <v>0</v>
      </c>
      <c r="R76" s="1998">
        <f t="shared" si="24"/>
        <v>0</v>
      </c>
      <c r="S76" s="1998">
        <f t="shared" si="24"/>
        <v>0</v>
      </c>
      <c r="T76" s="1998">
        <f t="shared" si="24"/>
        <v>0</v>
      </c>
      <c r="U76" s="1998">
        <f t="shared" si="24"/>
        <v>0</v>
      </c>
      <c r="V76" s="1999"/>
      <c r="W76" s="1999">
        <f t="shared" si="18"/>
        <v>0</v>
      </c>
      <c r="X76" s="1999"/>
      <c r="Y76" s="1999">
        <f t="shared" si="11"/>
        <v>0</v>
      </c>
      <c r="Z76" s="1533"/>
      <c r="AA76" s="1533"/>
      <c r="AB76" s="1533"/>
      <c r="AC76" s="1533"/>
      <c r="AD76" s="1533"/>
      <c r="AE76" s="1533"/>
      <c r="AF76" s="1533"/>
      <c r="AG76" s="1533"/>
    </row>
    <row r="77" spans="1:33" s="1625" customFormat="1" ht="12.2" customHeight="1" x14ac:dyDescent="0.2">
      <c r="A77" s="1622"/>
      <c r="B77" s="1622"/>
      <c r="C77" s="1623" t="s">
        <v>28900</v>
      </c>
      <c r="D77" s="1623" t="s">
        <v>28903</v>
      </c>
      <c r="E77" s="1625" t="s">
        <v>108</v>
      </c>
      <c r="F77" s="1625">
        <v>520</v>
      </c>
      <c r="G77" s="1591">
        <v>3.3000000000000002E-2</v>
      </c>
      <c r="H77" s="1625" t="s">
        <v>860</v>
      </c>
      <c r="I77" s="1625">
        <f>Liste!$A$76</f>
        <v>0</v>
      </c>
      <c r="J77" s="1626">
        <f>VLOOKUP(F77,Kostensätze!A:E,5,FALSE)</f>
        <v>37.619999999999997</v>
      </c>
      <c r="K77" s="1627">
        <f t="shared" si="8"/>
        <v>0</v>
      </c>
      <c r="L77" s="1628">
        <f t="shared" ref="L77:L142" si="25">K77/60</f>
        <v>0</v>
      </c>
      <c r="M77" s="1629">
        <f t="shared" si="4"/>
        <v>0</v>
      </c>
      <c r="N77" s="1597"/>
      <c r="O77" s="1998">
        <f t="shared" si="24"/>
        <v>0</v>
      </c>
      <c r="P77" s="1998">
        <f t="shared" si="24"/>
        <v>0</v>
      </c>
      <c r="Q77" s="1997">
        <f t="shared" si="19"/>
        <v>0</v>
      </c>
      <c r="R77" s="1998">
        <f t="shared" si="24"/>
        <v>0</v>
      </c>
      <c r="S77" s="1998">
        <f t="shared" si="24"/>
        <v>0</v>
      </c>
      <c r="T77" s="1998">
        <f t="shared" si="24"/>
        <v>0</v>
      </c>
      <c r="U77" s="1998">
        <f t="shared" si="24"/>
        <v>0</v>
      </c>
      <c r="V77" s="1999">
        <v>1</v>
      </c>
      <c r="W77" s="1999">
        <f t="shared" si="18"/>
        <v>0</v>
      </c>
      <c r="X77" s="1999"/>
      <c r="Y77" s="1999">
        <f t="shared" si="11"/>
        <v>0</v>
      </c>
      <c r="Z77" s="1630"/>
      <c r="AA77" s="1630"/>
      <c r="AB77" s="1630"/>
      <c r="AC77" s="1630"/>
      <c r="AD77" s="1630"/>
      <c r="AE77" s="1630"/>
      <c r="AF77" s="1630"/>
      <c r="AG77" s="1630"/>
    </row>
    <row r="78" spans="1:33" s="1691" customFormat="1" ht="12.2" customHeight="1" x14ac:dyDescent="0.2">
      <c r="A78" s="1976"/>
      <c r="B78" s="1976"/>
      <c r="C78" s="1595" t="s">
        <v>28901</v>
      </c>
      <c r="D78" s="1595" t="s">
        <v>28903</v>
      </c>
      <c r="E78" s="1691" t="s">
        <v>108</v>
      </c>
      <c r="F78" s="1691">
        <v>520</v>
      </c>
      <c r="G78" s="1591">
        <v>1.2500000000000001E-2</v>
      </c>
      <c r="H78" s="1983" t="s">
        <v>860</v>
      </c>
      <c r="I78" s="1691">
        <f>Liste!$A$76</f>
        <v>0</v>
      </c>
      <c r="J78" s="1979">
        <f>VLOOKUP(F78,Kostensätze!A:E,5,FALSE)</f>
        <v>37.619999999999997</v>
      </c>
      <c r="K78" s="1980">
        <f t="shared" si="8"/>
        <v>0</v>
      </c>
      <c r="L78" s="1981">
        <f t="shared" si="25"/>
        <v>0</v>
      </c>
      <c r="M78" s="1982">
        <f t="shared" si="4"/>
        <v>0</v>
      </c>
      <c r="N78" s="1597"/>
      <c r="O78" s="1998">
        <f t="shared" si="24"/>
        <v>0</v>
      </c>
      <c r="P78" s="1998">
        <f t="shared" si="24"/>
        <v>0</v>
      </c>
      <c r="Q78" s="1997">
        <f t="shared" si="19"/>
        <v>0</v>
      </c>
      <c r="R78" s="1998">
        <f t="shared" si="24"/>
        <v>0</v>
      </c>
      <c r="S78" s="1998">
        <f t="shared" si="24"/>
        <v>0</v>
      </c>
      <c r="T78" s="1998">
        <f t="shared" si="24"/>
        <v>0</v>
      </c>
      <c r="U78" s="1998">
        <f t="shared" si="24"/>
        <v>0</v>
      </c>
      <c r="V78" s="1999"/>
      <c r="W78" s="1999">
        <f t="shared" si="18"/>
        <v>0</v>
      </c>
      <c r="X78" s="1999">
        <v>1</v>
      </c>
      <c r="Y78" s="1999">
        <f t="shared" si="11"/>
        <v>0</v>
      </c>
      <c r="Z78" s="1533"/>
      <c r="AA78" s="1533"/>
      <c r="AB78" s="1533"/>
      <c r="AC78" s="1533"/>
      <c r="AD78" s="1533"/>
      <c r="AE78" s="1533"/>
      <c r="AF78" s="1533"/>
      <c r="AG78" s="1533"/>
    </row>
    <row r="79" spans="1:33" s="1625" customFormat="1" ht="12.2" customHeight="1" x14ac:dyDescent="0.2">
      <c r="A79" s="1622"/>
      <c r="B79" s="1622"/>
      <c r="C79" s="1623" t="s">
        <v>28902</v>
      </c>
      <c r="D79" s="1623" t="s">
        <v>28903</v>
      </c>
      <c r="E79" s="1625" t="s">
        <v>108</v>
      </c>
      <c r="F79" s="1625">
        <v>520</v>
      </c>
      <c r="G79" s="1591">
        <v>1.6E-2</v>
      </c>
      <c r="H79" s="1625" t="s">
        <v>860</v>
      </c>
      <c r="I79" s="1625">
        <f>Liste!$A$76</f>
        <v>0</v>
      </c>
      <c r="J79" s="1626">
        <f>VLOOKUP(F79,Kostensätze!A:E,5,FALSE)</f>
        <v>37.619999999999997</v>
      </c>
      <c r="K79" s="1627">
        <f t="shared" si="8"/>
        <v>0</v>
      </c>
      <c r="L79" s="1628">
        <f t="shared" si="25"/>
        <v>0</v>
      </c>
      <c r="M79" s="1629">
        <f t="shared" si="4"/>
        <v>0</v>
      </c>
      <c r="N79" s="1597"/>
      <c r="O79" s="1998">
        <f t="shared" si="24"/>
        <v>0</v>
      </c>
      <c r="P79" s="1998">
        <f t="shared" si="24"/>
        <v>0</v>
      </c>
      <c r="Q79" s="1997">
        <f t="shared" si="19"/>
        <v>0</v>
      </c>
      <c r="R79" s="1998">
        <f t="shared" si="24"/>
        <v>0</v>
      </c>
      <c r="S79" s="1998">
        <f t="shared" si="24"/>
        <v>0</v>
      </c>
      <c r="T79" s="1998">
        <f t="shared" si="24"/>
        <v>0</v>
      </c>
      <c r="U79" s="1998">
        <f t="shared" si="24"/>
        <v>0</v>
      </c>
      <c r="V79" s="1999"/>
      <c r="W79" s="1999">
        <f t="shared" si="18"/>
        <v>0</v>
      </c>
      <c r="X79" s="1999">
        <v>1</v>
      </c>
      <c r="Y79" s="1999">
        <f t="shared" si="11"/>
        <v>0</v>
      </c>
      <c r="Z79" s="1630"/>
      <c r="AA79" s="1630"/>
      <c r="AB79" s="1630"/>
      <c r="AC79" s="1630"/>
      <c r="AD79" s="1630"/>
      <c r="AE79" s="1630"/>
      <c r="AF79" s="1630"/>
      <c r="AG79" s="1630"/>
    </row>
    <row r="80" spans="1:33" s="1691" customFormat="1" ht="12.2" customHeight="1" x14ac:dyDescent="0.2">
      <c r="A80" s="1976"/>
      <c r="B80" s="1976"/>
      <c r="C80" s="1595" t="s">
        <v>28900</v>
      </c>
      <c r="D80" s="1595" t="s">
        <v>28924</v>
      </c>
      <c r="E80" s="1691" t="s">
        <v>108</v>
      </c>
      <c r="F80" s="1691">
        <v>520</v>
      </c>
      <c r="G80" s="1591">
        <v>3.3000000000000002E-2</v>
      </c>
      <c r="H80" s="1691" t="s">
        <v>860</v>
      </c>
      <c r="I80" s="1691">
        <f>Liste!$A$81</f>
        <v>0</v>
      </c>
      <c r="J80" s="1979">
        <f>VLOOKUP(F80,Kostensätze!A:E,5,FALSE)</f>
        <v>37.619999999999997</v>
      </c>
      <c r="K80" s="1980">
        <f t="shared" ref="K80:K150" si="26">I80*G80*60+IF(I80&gt;0,N80,0)</f>
        <v>0</v>
      </c>
      <c r="L80" s="1981">
        <f t="shared" si="25"/>
        <v>0</v>
      </c>
      <c r="M80" s="1982">
        <f t="shared" ref="M80:M144" si="27">L80*J80</f>
        <v>0</v>
      </c>
      <c r="N80" s="1597"/>
      <c r="O80" s="1998">
        <f t="shared" si="24"/>
        <v>0</v>
      </c>
      <c r="P80" s="1998">
        <f t="shared" si="24"/>
        <v>0</v>
      </c>
      <c r="Q80" s="1997">
        <f t="shared" si="19"/>
        <v>0</v>
      </c>
      <c r="R80" s="1998">
        <f t="shared" si="24"/>
        <v>0</v>
      </c>
      <c r="S80" s="1998">
        <f t="shared" si="24"/>
        <v>0</v>
      </c>
      <c r="T80" s="1998">
        <f t="shared" si="24"/>
        <v>0</v>
      </c>
      <c r="U80" s="1998">
        <f t="shared" si="24"/>
        <v>0</v>
      </c>
      <c r="V80" s="1999">
        <v>1</v>
      </c>
      <c r="W80" s="1999">
        <f t="shared" si="18"/>
        <v>0</v>
      </c>
      <c r="X80" s="1999"/>
      <c r="Y80" s="1999">
        <f t="shared" si="11"/>
        <v>0</v>
      </c>
      <c r="Z80" s="1533"/>
      <c r="AA80" s="1533"/>
      <c r="AB80" s="1533"/>
      <c r="AC80" s="1533"/>
      <c r="AD80" s="1533"/>
      <c r="AE80" s="1533"/>
      <c r="AF80" s="1533"/>
      <c r="AG80" s="1533"/>
    </row>
    <row r="81" spans="1:33" s="1625" customFormat="1" ht="12.2" customHeight="1" x14ac:dyDescent="0.2">
      <c r="A81" s="1622"/>
      <c r="B81" s="1622"/>
      <c r="C81" s="1623" t="s">
        <v>28901</v>
      </c>
      <c r="D81" s="1623" t="s">
        <v>28924</v>
      </c>
      <c r="E81" s="1625" t="s">
        <v>108</v>
      </c>
      <c r="F81" s="1625">
        <v>520</v>
      </c>
      <c r="G81" s="1591">
        <v>1.2500000000000001E-2</v>
      </c>
      <c r="H81" s="1625" t="s">
        <v>860</v>
      </c>
      <c r="I81" s="1625">
        <f>Liste!$A$81</f>
        <v>0</v>
      </c>
      <c r="J81" s="1626">
        <f>VLOOKUP(F81,Kostensätze!A:E,5,FALSE)</f>
        <v>37.619999999999997</v>
      </c>
      <c r="K81" s="1627">
        <f t="shared" si="26"/>
        <v>0</v>
      </c>
      <c r="L81" s="1628">
        <f t="shared" si="25"/>
        <v>0</v>
      </c>
      <c r="M81" s="1629">
        <f t="shared" si="27"/>
        <v>0</v>
      </c>
      <c r="N81" s="1597"/>
      <c r="O81" s="1998">
        <f t="shared" si="24"/>
        <v>0</v>
      </c>
      <c r="P81" s="1998">
        <f t="shared" si="24"/>
        <v>0</v>
      </c>
      <c r="Q81" s="1997">
        <f t="shared" si="19"/>
        <v>0</v>
      </c>
      <c r="R81" s="1998">
        <f t="shared" si="24"/>
        <v>0</v>
      </c>
      <c r="S81" s="1998">
        <f t="shared" si="24"/>
        <v>0</v>
      </c>
      <c r="T81" s="1998">
        <f t="shared" si="24"/>
        <v>0</v>
      </c>
      <c r="U81" s="1998">
        <f t="shared" si="24"/>
        <v>0</v>
      </c>
      <c r="V81" s="1999"/>
      <c r="W81" s="1999">
        <f t="shared" si="18"/>
        <v>0</v>
      </c>
      <c r="X81" s="1999">
        <v>1</v>
      </c>
      <c r="Y81" s="1999">
        <f t="shared" ref="Y81:Y152" si="28">IF(X81=1,L81,0)</f>
        <v>0</v>
      </c>
      <c r="Z81" s="1630"/>
      <c r="AA81" s="1630"/>
      <c r="AB81" s="1630"/>
      <c r="AC81" s="1630"/>
      <c r="AD81" s="1630"/>
      <c r="AE81" s="1630"/>
      <c r="AF81" s="1630"/>
      <c r="AG81" s="1630"/>
    </row>
    <row r="82" spans="1:33" s="1691" customFormat="1" ht="12.2" customHeight="1" x14ac:dyDescent="0.2">
      <c r="A82" s="1976"/>
      <c r="B82" s="1976"/>
      <c r="C82" s="1978" t="s">
        <v>28902</v>
      </c>
      <c r="D82" s="1595" t="s">
        <v>28924</v>
      </c>
      <c r="E82" s="1691" t="s">
        <v>108</v>
      </c>
      <c r="F82" s="1691">
        <v>520</v>
      </c>
      <c r="G82" s="1591">
        <v>1.6E-2</v>
      </c>
      <c r="H82" s="1691" t="s">
        <v>860</v>
      </c>
      <c r="I82" s="1691">
        <f>Liste!$A$81</f>
        <v>0</v>
      </c>
      <c r="J82" s="1979">
        <f>VLOOKUP(F82,Kostensätze!A:E,5,FALSE)</f>
        <v>37.619999999999997</v>
      </c>
      <c r="K82" s="1980">
        <f t="shared" si="26"/>
        <v>0</v>
      </c>
      <c r="L82" s="1981">
        <f t="shared" si="25"/>
        <v>0</v>
      </c>
      <c r="M82" s="1982">
        <f t="shared" si="27"/>
        <v>0</v>
      </c>
      <c r="N82" s="1597"/>
      <c r="O82" s="1998">
        <f t="shared" si="24"/>
        <v>0</v>
      </c>
      <c r="P82" s="1998">
        <f t="shared" si="24"/>
        <v>0</v>
      </c>
      <c r="Q82" s="1997">
        <f t="shared" si="19"/>
        <v>0</v>
      </c>
      <c r="R82" s="1998">
        <f t="shared" si="24"/>
        <v>0</v>
      </c>
      <c r="S82" s="1998">
        <f t="shared" si="24"/>
        <v>0</v>
      </c>
      <c r="T82" s="1998">
        <f t="shared" si="24"/>
        <v>0</v>
      </c>
      <c r="U82" s="1998">
        <f t="shared" si="24"/>
        <v>0</v>
      </c>
      <c r="V82" s="1999"/>
      <c r="W82" s="1999">
        <f t="shared" si="18"/>
        <v>0</v>
      </c>
      <c r="X82" s="1999">
        <v>1</v>
      </c>
      <c r="Y82" s="1999">
        <f t="shared" si="28"/>
        <v>0</v>
      </c>
      <c r="Z82" s="1533"/>
      <c r="AA82" s="1533"/>
      <c r="AB82" s="1533"/>
      <c r="AC82" s="1533"/>
      <c r="AD82" s="1533"/>
      <c r="AE82" s="1533"/>
      <c r="AF82" s="1533"/>
      <c r="AG82" s="1533"/>
    </row>
    <row r="83" spans="1:33" s="1625" customFormat="1" ht="12.2" customHeight="1" x14ac:dyDescent="0.2">
      <c r="A83" s="1622"/>
      <c r="B83" s="1622"/>
      <c r="C83" s="1623" t="s">
        <v>28900</v>
      </c>
      <c r="D83" s="1623" t="s">
        <v>28925</v>
      </c>
      <c r="E83" s="1625" t="s">
        <v>108</v>
      </c>
      <c r="F83" s="1625">
        <v>520</v>
      </c>
      <c r="G83" s="1591">
        <v>3.3000000000000002E-2</v>
      </c>
      <c r="H83" s="1625" t="s">
        <v>860</v>
      </c>
      <c r="I83" s="1625">
        <f>Liste!$A$84</f>
        <v>0</v>
      </c>
      <c r="J83" s="1626">
        <f>VLOOKUP(F83,Kostensätze!A:E,5,FALSE)</f>
        <v>37.619999999999997</v>
      </c>
      <c r="K83" s="1627">
        <f t="shared" si="26"/>
        <v>0</v>
      </c>
      <c r="L83" s="1628">
        <f t="shared" si="25"/>
        <v>0</v>
      </c>
      <c r="M83" s="1629">
        <f t="shared" si="27"/>
        <v>0</v>
      </c>
      <c r="N83" s="1597"/>
      <c r="O83" s="1998">
        <f t="shared" si="24"/>
        <v>0</v>
      </c>
      <c r="P83" s="1998">
        <f t="shared" si="24"/>
        <v>0</v>
      </c>
      <c r="Q83" s="1997">
        <f t="shared" si="19"/>
        <v>0</v>
      </c>
      <c r="R83" s="1998">
        <f t="shared" si="24"/>
        <v>0</v>
      </c>
      <c r="S83" s="1998">
        <f t="shared" si="24"/>
        <v>0</v>
      </c>
      <c r="T83" s="1998">
        <f t="shared" si="24"/>
        <v>0</v>
      </c>
      <c r="U83" s="1998">
        <f t="shared" si="24"/>
        <v>0</v>
      </c>
      <c r="V83" s="1999">
        <v>1</v>
      </c>
      <c r="W83" s="1999">
        <f t="shared" si="18"/>
        <v>0</v>
      </c>
      <c r="X83" s="1999"/>
      <c r="Y83" s="1999">
        <f t="shared" si="28"/>
        <v>0</v>
      </c>
      <c r="Z83" s="1630"/>
      <c r="AA83" s="1630"/>
      <c r="AB83" s="1630"/>
      <c r="AC83" s="1630"/>
      <c r="AD83" s="1630"/>
      <c r="AE83" s="1630"/>
      <c r="AF83" s="1630"/>
      <c r="AG83" s="1630"/>
    </row>
    <row r="84" spans="1:33" s="1691" customFormat="1" ht="12.2" customHeight="1" x14ac:dyDescent="0.2">
      <c r="A84" s="1976"/>
      <c r="B84" s="1976"/>
      <c r="C84" s="1978" t="s">
        <v>28901</v>
      </c>
      <c r="D84" s="1595" t="s">
        <v>28925</v>
      </c>
      <c r="E84" s="1691" t="s">
        <v>108</v>
      </c>
      <c r="F84" s="1691">
        <v>520</v>
      </c>
      <c r="G84" s="1591">
        <v>1.2500000000000001E-2</v>
      </c>
      <c r="H84" s="1691" t="s">
        <v>860</v>
      </c>
      <c r="I84" s="1691">
        <f>Liste!$A$84</f>
        <v>0</v>
      </c>
      <c r="J84" s="1979">
        <f>VLOOKUP(F84,Kostensätze!A:E,5,FALSE)</f>
        <v>37.619999999999997</v>
      </c>
      <c r="K84" s="1980">
        <f t="shared" si="26"/>
        <v>0</v>
      </c>
      <c r="L84" s="1981">
        <f t="shared" si="25"/>
        <v>0</v>
      </c>
      <c r="M84" s="1982">
        <f t="shared" si="27"/>
        <v>0</v>
      </c>
      <c r="N84" s="1597"/>
      <c r="O84" s="1998">
        <f t="shared" si="24"/>
        <v>0</v>
      </c>
      <c r="P84" s="1998">
        <f t="shared" si="24"/>
        <v>0</v>
      </c>
      <c r="Q84" s="1997">
        <f t="shared" si="19"/>
        <v>0</v>
      </c>
      <c r="R84" s="1998">
        <f t="shared" si="24"/>
        <v>0</v>
      </c>
      <c r="S84" s="1998">
        <f t="shared" si="24"/>
        <v>0</v>
      </c>
      <c r="T84" s="1998">
        <f t="shared" si="24"/>
        <v>0</v>
      </c>
      <c r="U84" s="1998">
        <f t="shared" si="24"/>
        <v>0</v>
      </c>
      <c r="V84" s="1999"/>
      <c r="W84" s="1999">
        <f t="shared" si="18"/>
        <v>0</v>
      </c>
      <c r="X84" s="1999">
        <v>1</v>
      </c>
      <c r="Y84" s="1999">
        <f t="shared" si="28"/>
        <v>0</v>
      </c>
      <c r="Z84" s="1533"/>
      <c r="AA84" s="1533"/>
      <c r="AB84" s="1533"/>
      <c r="AC84" s="1533"/>
      <c r="AD84" s="1533"/>
      <c r="AE84" s="1533"/>
      <c r="AF84" s="1533"/>
      <c r="AG84" s="1533"/>
    </row>
    <row r="85" spans="1:33" s="1625" customFormat="1" ht="12.2" customHeight="1" x14ac:dyDescent="0.2">
      <c r="A85" s="1622"/>
      <c r="B85" s="1622"/>
      <c r="C85" s="1631" t="s">
        <v>302</v>
      </c>
      <c r="D85" s="1631" t="s">
        <v>28926</v>
      </c>
      <c r="E85" s="1625" t="s">
        <v>861</v>
      </c>
      <c r="F85" s="1625">
        <v>502</v>
      </c>
      <c r="G85" s="1591">
        <v>1.4999999999999999E-2</v>
      </c>
      <c r="H85" s="1625" t="s">
        <v>860</v>
      </c>
      <c r="I85" s="1625">
        <f>SUM(Liste!$D$68:$D$69)</f>
        <v>0</v>
      </c>
      <c r="J85" s="1626">
        <f>VLOOKUP(F85,Kostensätze!A:E,5,FALSE)</f>
        <v>53.66</v>
      </c>
      <c r="K85" s="1627">
        <f t="shared" si="26"/>
        <v>0</v>
      </c>
      <c r="L85" s="1628">
        <f t="shared" si="25"/>
        <v>0</v>
      </c>
      <c r="M85" s="1629">
        <f t="shared" si="27"/>
        <v>0</v>
      </c>
      <c r="N85" s="1597"/>
      <c r="O85" s="1998">
        <f t="shared" si="24"/>
        <v>0</v>
      </c>
      <c r="P85" s="1998">
        <f t="shared" si="24"/>
        <v>0</v>
      </c>
      <c r="Q85" s="1997">
        <f t="shared" si="19"/>
        <v>0</v>
      </c>
      <c r="R85" s="1998">
        <f t="shared" si="24"/>
        <v>0</v>
      </c>
      <c r="S85" s="1998">
        <f t="shared" si="24"/>
        <v>0</v>
      </c>
      <c r="T85" s="1998">
        <f t="shared" si="24"/>
        <v>0</v>
      </c>
      <c r="U85" s="1998">
        <f t="shared" si="24"/>
        <v>0</v>
      </c>
      <c r="V85" s="1999"/>
      <c r="W85" s="1999">
        <f t="shared" si="18"/>
        <v>0</v>
      </c>
      <c r="X85" s="1999"/>
      <c r="Y85" s="1999">
        <f t="shared" si="28"/>
        <v>0</v>
      </c>
      <c r="Z85" s="1630"/>
      <c r="AA85" s="1630"/>
      <c r="AB85" s="1630"/>
      <c r="AC85" s="1630"/>
      <c r="AD85" s="1630"/>
      <c r="AE85" s="1630"/>
      <c r="AF85" s="1630"/>
      <c r="AG85" s="1630"/>
    </row>
    <row r="86" spans="1:33" s="1691" customFormat="1" ht="12.2" customHeight="1" x14ac:dyDescent="0.2">
      <c r="A86" s="1976"/>
      <c r="B86" s="1976"/>
      <c r="C86" s="1978" t="s">
        <v>302</v>
      </c>
      <c r="D86" s="1978" t="s">
        <v>28927</v>
      </c>
      <c r="E86" s="1691" t="s">
        <v>861</v>
      </c>
      <c r="F86" s="1691">
        <v>502</v>
      </c>
      <c r="G86" s="1591">
        <v>1.4999999999999999E-2</v>
      </c>
      <c r="H86" s="1691" t="s">
        <v>860</v>
      </c>
      <c r="I86" s="1691">
        <f>SUM(Liste!$D$68:$D$69)</f>
        <v>0</v>
      </c>
      <c r="J86" s="1979">
        <f>VLOOKUP(F86,Kostensätze!A:E,5,FALSE)</f>
        <v>53.66</v>
      </c>
      <c r="K86" s="1980">
        <f t="shared" si="26"/>
        <v>0</v>
      </c>
      <c r="L86" s="1981">
        <f t="shared" si="25"/>
        <v>0</v>
      </c>
      <c r="M86" s="1982">
        <f t="shared" si="27"/>
        <v>0</v>
      </c>
      <c r="N86" s="1597"/>
      <c r="O86" s="1998">
        <f t="shared" si="24"/>
        <v>0</v>
      </c>
      <c r="P86" s="1998">
        <f t="shared" si="24"/>
        <v>0</v>
      </c>
      <c r="Q86" s="1997">
        <f t="shared" si="19"/>
        <v>0</v>
      </c>
      <c r="R86" s="1998">
        <f t="shared" si="24"/>
        <v>0</v>
      </c>
      <c r="S86" s="1998">
        <f t="shared" si="24"/>
        <v>0</v>
      </c>
      <c r="T86" s="1998">
        <f t="shared" si="24"/>
        <v>0</v>
      </c>
      <c r="U86" s="1998">
        <f t="shared" si="24"/>
        <v>0</v>
      </c>
      <c r="V86" s="1999"/>
      <c r="W86" s="1999">
        <f t="shared" si="18"/>
        <v>0</v>
      </c>
      <c r="X86" s="1999"/>
      <c r="Y86" s="1999">
        <f t="shared" si="28"/>
        <v>0</v>
      </c>
      <c r="Z86" s="1533"/>
      <c r="AA86" s="1533"/>
      <c r="AB86" s="1533"/>
      <c r="AC86" s="1533"/>
      <c r="AD86" s="1533"/>
      <c r="AE86" s="1533"/>
      <c r="AF86" s="1533"/>
      <c r="AG86" s="1533"/>
    </row>
    <row r="87" spans="1:33" s="1625" customFormat="1" ht="12.2" customHeight="1" x14ac:dyDescent="0.2">
      <c r="A87" s="1622"/>
      <c r="B87" s="1622"/>
      <c r="C87" s="1631" t="s">
        <v>302</v>
      </c>
      <c r="D87" s="1631" t="s">
        <v>28928</v>
      </c>
      <c r="E87" s="1625" t="s">
        <v>861</v>
      </c>
      <c r="F87" s="1625">
        <v>502</v>
      </c>
      <c r="G87" s="1591">
        <v>1.4999999999999999E-2</v>
      </c>
      <c r="H87" s="1971" t="s">
        <v>860</v>
      </c>
      <c r="I87" s="1625">
        <f>SUM(Liste!$D$68:$D$69)</f>
        <v>0</v>
      </c>
      <c r="J87" s="1626">
        <f>VLOOKUP(F87,Kostensätze!A:E,5,FALSE)</f>
        <v>53.66</v>
      </c>
      <c r="K87" s="1627">
        <f t="shared" si="26"/>
        <v>0</v>
      </c>
      <c r="L87" s="1628">
        <f t="shared" si="25"/>
        <v>0</v>
      </c>
      <c r="M87" s="1629">
        <f t="shared" si="27"/>
        <v>0</v>
      </c>
      <c r="N87" s="1597"/>
      <c r="O87" s="1998">
        <f t="shared" si="24"/>
        <v>0</v>
      </c>
      <c r="P87" s="1998">
        <f t="shared" si="24"/>
        <v>0</v>
      </c>
      <c r="Q87" s="1997">
        <f t="shared" si="19"/>
        <v>0</v>
      </c>
      <c r="R87" s="1998">
        <f t="shared" si="24"/>
        <v>0</v>
      </c>
      <c r="S87" s="1998">
        <f t="shared" si="24"/>
        <v>0</v>
      </c>
      <c r="T87" s="1998">
        <f t="shared" si="24"/>
        <v>0</v>
      </c>
      <c r="U87" s="1998">
        <f t="shared" si="24"/>
        <v>0</v>
      </c>
      <c r="V87" s="1999"/>
      <c r="W87" s="1999">
        <f t="shared" si="18"/>
        <v>0</v>
      </c>
      <c r="X87" s="1999"/>
      <c r="Y87" s="1999">
        <f t="shared" si="28"/>
        <v>0</v>
      </c>
      <c r="Z87" s="1630"/>
      <c r="AA87" s="1630"/>
      <c r="AB87" s="1630"/>
      <c r="AC87" s="1630"/>
      <c r="AD87" s="1630"/>
      <c r="AE87" s="1630"/>
      <c r="AF87" s="1630"/>
      <c r="AG87" s="1630"/>
    </row>
    <row r="88" spans="1:33" s="1691" customFormat="1" ht="12.2" customHeight="1" x14ac:dyDescent="0.2">
      <c r="A88" s="1976"/>
      <c r="B88" s="1976"/>
      <c r="C88" s="1978" t="s">
        <v>302</v>
      </c>
      <c r="D88" s="1978" t="s">
        <v>28929</v>
      </c>
      <c r="E88" s="1691" t="s">
        <v>861</v>
      </c>
      <c r="F88" s="1691">
        <v>502</v>
      </c>
      <c r="G88" s="1591">
        <v>1.4999999999999999E-2</v>
      </c>
      <c r="H88" s="1691" t="s">
        <v>860</v>
      </c>
      <c r="I88" s="1691">
        <f>SUM(Liste!$D$68:$D$69)</f>
        <v>0</v>
      </c>
      <c r="J88" s="1979">
        <f>VLOOKUP(F88,Kostensätze!A:E,5,FALSE)</f>
        <v>53.66</v>
      </c>
      <c r="K88" s="1980">
        <f>I88*G88*60+IF(I88&gt;0,N88,0)</f>
        <v>0</v>
      </c>
      <c r="L88" s="1981">
        <f t="shared" si="25"/>
        <v>0</v>
      </c>
      <c r="M88" s="1982">
        <f t="shared" si="27"/>
        <v>0</v>
      </c>
      <c r="N88" s="1597"/>
      <c r="O88" s="1998">
        <f t="shared" si="24"/>
        <v>0</v>
      </c>
      <c r="P88" s="1998">
        <f t="shared" si="24"/>
        <v>0</v>
      </c>
      <c r="Q88" s="1997">
        <f t="shared" si="19"/>
        <v>0</v>
      </c>
      <c r="R88" s="1998">
        <f t="shared" si="24"/>
        <v>0</v>
      </c>
      <c r="S88" s="1998">
        <f t="shared" si="24"/>
        <v>0</v>
      </c>
      <c r="T88" s="1998">
        <f t="shared" si="24"/>
        <v>0</v>
      </c>
      <c r="U88" s="1998">
        <f t="shared" si="24"/>
        <v>0</v>
      </c>
      <c r="V88" s="1999"/>
      <c r="W88" s="1999">
        <f t="shared" si="18"/>
        <v>0</v>
      </c>
      <c r="X88" s="1999"/>
      <c r="Y88" s="1999">
        <f t="shared" si="28"/>
        <v>0</v>
      </c>
      <c r="Z88" s="1533"/>
      <c r="AA88" s="1533"/>
      <c r="AB88" s="1533"/>
      <c r="AC88" s="1533"/>
      <c r="AD88" s="1533"/>
      <c r="AE88" s="1533"/>
      <c r="AF88" s="1533"/>
      <c r="AG88" s="1533"/>
    </row>
    <row r="89" spans="1:33" s="1625" customFormat="1" ht="12.2" customHeight="1" x14ac:dyDescent="0.2">
      <c r="A89" s="1622"/>
      <c r="B89" s="1975" t="s">
        <v>537</v>
      </c>
      <c r="C89" s="1623" t="s">
        <v>28914</v>
      </c>
      <c r="D89" s="1631" t="s">
        <v>28930</v>
      </c>
      <c r="E89" s="1625" t="s">
        <v>28945</v>
      </c>
      <c r="F89" s="1625">
        <v>526</v>
      </c>
      <c r="G89" s="1591">
        <f>1/60*1</f>
        <v>1.6666666666666666E-2</v>
      </c>
      <c r="H89" s="1625" t="s">
        <v>860</v>
      </c>
      <c r="I89" s="1625">
        <f>Liste!D66+Liste!D67</f>
        <v>0</v>
      </c>
      <c r="J89" s="1626">
        <f>VLOOKUP(F89,Kostensätze!A:E,5,FALSE)</f>
        <v>53.04</v>
      </c>
      <c r="K89" s="1627">
        <f t="shared" si="26"/>
        <v>0</v>
      </c>
      <c r="L89" s="1628">
        <f t="shared" si="25"/>
        <v>0</v>
      </c>
      <c r="M89" s="1629">
        <f t="shared" si="27"/>
        <v>0</v>
      </c>
      <c r="N89" s="1597"/>
      <c r="O89" s="1998">
        <f t="shared" si="24"/>
        <v>0</v>
      </c>
      <c r="P89" s="1998">
        <f t="shared" si="24"/>
        <v>0</v>
      </c>
      <c r="Q89" s="1997">
        <f t="shared" si="19"/>
        <v>0</v>
      </c>
      <c r="R89" s="1998">
        <f t="shared" si="24"/>
        <v>0</v>
      </c>
      <c r="S89" s="1998">
        <f t="shared" si="24"/>
        <v>0</v>
      </c>
      <c r="T89" s="1998">
        <f t="shared" si="24"/>
        <v>0</v>
      </c>
      <c r="U89" s="1998">
        <f t="shared" si="24"/>
        <v>0</v>
      </c>
      <c r="V89" s="1999"/>
      <c r="W89" s="1999">
        <f t="shared" si="18"/>
        <v>0</v>
      </c>
      <c r="X89" s="1999"/>
      <c r="Y89" s="1999">
        <f t="shared" si="28"/>
        <v>0</v>
      </c>
      <c r="Z89" s="1630"/>
      <c r="AA89" s="1630"/>
      <c r="AB89" s="1630"/>
      <c r="AC89" s="1630"/>
      <c r="AD89" s="1630"/>
      <c r="AE89" s="1630"/>
      <c r="AF89" s="1630"/>
      <c r="AG89" s="1630"/>
    </row>
    <row r="90" spans="1:33" s="1691" customFormat="1" ht="12.2" customHeight="1" x14ac:dyDescent="0.2">
      <c r="A90" s="1976"/>
      <c r="B90" s="1977" t="s">
        <v>537</v>
      </c>
      <c r="C90" s="1595" t="s">
        <v>28915</v>
      </c>
      <c r="D90" s="1595" t="s">
        <v>28930</v>
      </c>
      <c r="E90" s="1691" t="s">
        <v>28945</v>
      </c>
      <c r="F90" s="1691">
        <v>526</v>
      </c>
      <c r="G90" s="1591">
        <f>1/60*3</f>
        <v>0.05</v>
      </c>
      <c r="H90" s="1691" t="s">
        <v>863</v>
      </c>
      <c r="I90" s="1691">
        <f>(Liste!E66/1000*Liste!F66/1000*Liste!D66+Liste!E67/1000*Liste!F67/1000*Liste!D67)*Liste!D243</f>
        <v>0</v>
      </c>
      <c r="J90" s="1979">
        <f>VLOOKUP(F90,Kostensätze!A:E,5,FALSE)</f>
        <v>53.04</v>
      </c>
      <c r="K90" s="1980">
        <f t="shared" si="26"/>
        <v>0</v>
      </c>
      <c r="L90" s="1981">
        <f t="shared" si="25"/>
        <v>0</v>
      </c>
      <c r="M90" s="1982">
        <f t="shared" si="27"/>
        <v>0</v>
      </c>
      <c r="N90" s="1597">
        <v>0.5</v>
      </c>
      <c r="O90" s="1998">
        <f t="shared" si="24"/>
        <v>0</v>
      </c>
      <c r="P90" s="1998">
        <f t="shared" si="24"/>
        <v>0</v>
      </c>
      <c r="Q90" s="1997">
        <f t="shared" si="19"/>
        <v>0</v>
      </c>
      <c r="R90" s="1998">
        <f t="shared" si="24"/>
        <v>0</v>
      </c>
      <c r="S90" s="1998">
        <f t="shared" si="24"/>
        <v>0</v>
      </c>
      <c r="T90" s="1998">
        <f t="shared" si="24"/>
        <v>0</v>
      </c>
      <c r="U90" s="1998">
        <f t="shared" si="24"/>
        <v>0</v>
      </c>
      <c r="V90" s="1999"/>
      <c r="W90" s="1999">
        <f t="shared" si="18"/>
        <v>0</v>
      </c>
      <c r="X90" s="1999"/>
      <c r="Y90" s="1999">
        <f t="shared" si="28"/>
        <v>0</v>
      </c>
      <c r="Z90" s="1533"/>
      <c r="AA90" s="1533"/>
      <c r="AB90" s="1533"/>
      <c r="AC90" s="1533"/>
      <c r="AD90" s="1533"/>
      <c r="AE90" s="1533"/>
      <c r="AF90" s="1533"/>
      <c r="AG90" s="1533"/>
    </row>
    <row r="91" spans="1:33" s="1625" customFormat="1" ht="12.2" customHeight="1" x14ac:dyDescent="0.2">
      <c r="A91" s="1622"/>
      <c r="B91" s="1975" t="s">
        <v>537</v>
      </c>
      <c r="C91" s="1631" t="s">
        <v>29087</v>
      </c>
      <c r="D91" s="1631" t="s">
        <v>28930</v>
      </c>
      <c r="E91" s="1625" t="s">
        <v>28945</v>
      </c>
      <c r="F91" s="1625">
        <v>526</v>
      </c>
      <c r="G91" s="1591">
        <f>1/60*1.5</f>
        <v>2.5000000000000001E-2</v>
      </c>
      <c r="H91" s="1625" t="s">
        <v>863</v>
      </c>
      <c r="I91" s="1625">
        <f>(Liste!E66/1000*Liste!F66/1000*Liste!D66+Liste!E67/1000*Liste!F67/1000*Liste!D67)*Liste!D243</f>
        <v>0</v>
      </c>
      <c r="J91" s="1626">
        <f>VLOOKUP(F91,Kostensätze!A:E,5,FALSE)</f>
        <v>53.04</v>
      </c>
      <c r="K91" s="1627">
        <f t="shared" si="26"/>
        <v>0</v>
      </c>
      <c r="L91" s="1628">
        <f t="shared" si="25"/>
        <v>0</v>
      </c>
      <c r="M91" s="1629">
        <f t="shared" si="27"/>
        <v>0</v>
      </c>
      <c r="N91" s="1597">
        <v>0.5</v>
      </c>
      <c r="O91" s="1998">
        <f t="shared" si="24"/>
        <v>0</v>
      </c>
      <c r="P91" s="1998">
        <f t="shared" si="24"/>
        <v>0</v>
      </c>
      <c r="Q91" s="1997">
        <f t="shared" si="19"/>
        <v>0</v>
      </c>
      <c r="R91" s="1998">
        <f t="shared" si="24"/>
        <v>0</v>
      </c>
      <c r="S91" s="1998">
        <f t="shared" si="24"/>
        <v>0</v>
      </c>
      <c r="T91" s="1998">
        <f t="shared" si="24"/>
        <v>0</v>
      </c>
      <c r="U91" s="1998">
        <f t="shared" si="24"/>
        <v>0</v>
      </c>
      <c r="V91" s="1999"/>
      <c r="W91" s="1999">
        <f t="shared" si="18"/>
        <v>0</v>
      </c>
      <c r="X91" s="1999"/>
      <c r="Y91" s="1999">
        <f t="shared" si="28"/>
        <v>0</v>
      </c>
      <c r="Z91" s="1630"/>
      <c r="AA91" s="1630"/>
      <c r="AB91" s="1630"/>
      <c r="AC91" s="1630"/>
      <c r="AD91" s="1630"/>
      <c r="AE91" s="1630"/>
      <c r="AF91" s="1630"/>
      <c r="AG91" s="1630"/>
    </row>
    <row r="92" spans="1:33" s="1691" customFormat="1" ht="12.2" customHeight="1" x14ac:dyDescent="0.2">
      <c r="A92" s="1976"/>
      <c r="B92" s="1977" t="s">
        <v>537</v>
      </c>
      <c r="C92" s="1595" t="s">
        <v>30185</v>
      </c>
      <c r="D92" s="1978" t="s">
        <v>276</v>
      </c>
      <c r="E92" s="1691" t="s">
        <v>28945</v>
      </c>
      <c r="F92" s="1691">
        <v>526</v>
      </c>
      <c r="G92" s="1591">
        <f>1/60*0.5</f>
        <v>8.3333333333333332E-3</v>
      </c>
      <c r="H92" s="1983" t="s">
        <v>29088</v>
      </c>
      <c r="I92" s="1691">
        <f>Liste!D65*2</f>
        <v>0</v>
      </c>
      <c r="J92" s="1979">
        <f>VLOOKUP(F92,Kostensätze!A:E,5,FALSE)</f>
        <v>53.04</v>
      </c>
      <c r="K92" s="1980">
        <f t="shared" si="26"/>
        <v>0</v>
      </c>
      <c r="L92" s="1981">
        <f t="shared" si="25"/>
        <v>0</v>
      </c>
      <c r="M92" s="1982">
        <f t="shared" si="27"/>
        <v>0</v>
      </c>
      <c r="N92" s="1597">
        <v>1</v>
      </c>
      <c r="O92" s="1998">
        <f t="shared" si="24"/>
        <v>0</v>
      </c>
      <c r="P92" s="1998">
        <f t="shared" si="24"/>
        <v>0</v>
      </c>
      <c r="Q92" s="1997">
        <f t="shared" si="19"/>
        <v>0</v>
      </c>
      <c r="R92" s="1998">
        <f t="shared" si="24"/>
        <v>0</v>
      </c>
      <c r="S92" s="1998">
        <f t="shared" si="24"/>
        <v>0</v>
      </c>
      <c r="T92" s="1998">
        <f t="shared" si="24"/>
        <v>0</v>
      </c>
      <c r="U92" s="1998">
        <f t="shared" si="24"/>
        <v>0</v>
      </c>
      <c r="V92" s="1999"/>
      <c r="W92" s="1999">
        <f t="shared" si="18"/>
        <v>0</v>
      </c>
      <c r="X92" s="1999"/>
      <c r="Y92" s="1999">
        <f t="shared" si="28"/>
        <v>0</v>
      </c>
      <c r="Z92" s="1533"/>
      <c r="AA92" s="1533"/>
      <c r="AB92" s="1533"/>
      <c r="AC92" s="1533"/>
      <c r="AD92" s="1533"/>
      <c r="AE92" s="1533"/>
      <c r="AF92" s="1533"/>
      <c r="AG92" s="1533"/>
    </row>
    <row r="93" spans="1:33" s="1625" customFormat="1" ht="12.2" customHeight="1" x14ac:dyDescent="0.2">
      <c r="A93" s="1622"/>
      <c r="B93" s="1975" t="s">
        <v>537</v>
      </c>
      <c r="C93" s="1631" t="s">
        <v>30186</v>
      </c>
      <c r="D93" s="1631" t="s">
        <v>276</v>
      </c>
      <c r="E93" s="1625" t="s">
        <v>28945</v>
      </c>
      <c r="F93" s="1625">
        <v>526</v>
      </c>
      <c r="G93" s="1591">
        <f>1/60*5/9</f>
        <v>9.2592592592592587E-3</v>
      </c>
      <c r="H93" s="1971" t="s">
        <v>860</v>
      </c>
      <c r="I93" s="1625">
        <f>SUM(Liste!D66:'Liste'!D75)</f>
        <v>0</v>
      </c>
      <c r="J93" s="1626">
        <f>VLOOKUP(F93,Kostensätze!A:E,5,FALSE)</f>
        <v>53.04</v>
      </c>
      <c r="K93" s="1627">
        <f t="shared" si="26"/>
        <v>0</v>
      </c>
      <c r="L93" s="1628">
        <f t="shared" si="25"/>
        <v>0</v>
      </c>
      <c r="M93" s="1629">
        <f t="shared" si="27"/>
        <v>0</v>
      </c>
      <c r="N93" s="1597"/>
      <c r="O93" s="1998">
        <f t="shared" si="24"/>
        <v>0</v>
      </c>
      <c r="P93" s="1998">
        <f t="shared" si="24"/>
        <v>0</v>
      </c>
      <c r="Q93" s="1997">
        <f t="shared" si="19"/>
        <v>0</v>
      </c>
      <c r="R93" s="1998">
        <f t="shared" si="24"/>
        <v>0</v>
      </c>
      <c r="S93" s="1998">
        <f t="shared" si="24"/>
        <v>0</v>
      </c>
      <c r="T93" s="1998">
        <f t="shared" si="24"/>
        <v>0</v>
      </c>
      <c r="U93" s="1998">
        <f t="shared" si="24"/>
        <v>0</v>
      </c>
      <c r="V93" s="1999"/>
      <c r="W93" s="1999">
        <f t="shared" si="18"/>
        <v>0</v>
      </c>
      <c r="X93" s="1999"/>
      <c r="Y93" s="1999">
        <f t="shared" si="28"/>
        <v>0</v>
      </c>
      <c r="Z93" s="1630"/>
      <c r="AA93" s="1630"/>
      <c r="AB93" s="1630"/>
      <c r="AC93" s="1630"/>
      <c r="AD93" s="1630"/>
      <c r="AE93" s="1630"/>
      <c r="AF93" s="1630"/>
      <c r="AG93" s="1630"/>
    </row>
    <row r="94" spans="1:33" s="1691" customFormat="1" ht="12.2" customHeight="1" x14ac:dyDescent="0.2">
      <c r="A94" s="1976"/>
      <c r="B94" s="1977" t="s">
        <v>537</v>
      </c>
      <c r="C94" s="1595" t="s">
        <v>30187</v>
      </c>
      <c r="D94" s="1978" t="s">
        <v>276</v>
      </c>
      <c r="E94" s="1691" t="s">
        <v>28945</v>
      </c>
      <c r="F94" s="1691">
        <v>526</v>
      </c>
      <c r="G94" s="1591">
        <f>1/60*1</f>
        <v>1.6666666666666666E-2</v>
      </c>
      <c r="H94" s="1983" t="s">
        <v>29088</v>
      </c>
      <c r="I94" s="1691">
        <f>Liste!D65</f>
        <v>0</v>
      </c>
      <c r="J94" s="1979">
        <f>VLOOKUP(F94,Kostensätze!A:E,5,FALSE)</f>
        <v>53.04</v>
      </c>
      <c r="K94" s="1980">
        <f t="shared" si="26"/>
        <v>0</v>
      </c>
      <c r="L94" s="1981">
        <f t="shared" si="25"/>
        <v>0</v>
      </c>
      <c r="M94" s="1982">
        <f t="shared" si="27"/>
        <v>0</v>
      </c>
      <c r="N94" s="1597"/>
      <c r="O94" s="1998">
        <f t="shared" si="24"/>
        <v>0</v>
      </c>
      <c r="P94" s="1998">
        <f t="shared" si="24"/>
        <v>0</v>
      </c>
      <c r="Q94" s="1997">
        <f t="shared" si="19"/>
        <v>0</v>
      </c>
      <c r="R94" s="1998">
        <f t="shared" si="24"/>
        <v>0</v>
      </c>
      <c r="S94" s="1998">
        <f t="shared" si="24"/>
        <v>0</v>
      </c>
      <c r="T94" s="1998">
        <f t="shared" si="24"/>
        <v>0</v>
      </c>
      <c r="U94" s="1998">
        <f t="shared" si="24"/>
        <v>0</v>
      </c>
      <c r="V94" s="1999"/>
      <c r="W94" s="1999">
        <f t="shared" si="18"/>
        <v>0</v>
      </c>
      <c r="X94" s="1999"/>
      <c r="Y94" s="1999">
        <f t="shared" si="28"/>
        <v>0</v>
      </c>
      <c r="Z94" s="1533"/>
      <c r="AA94" s="1533"/>
      <c r="AB94" s="1533"/>
      <c r="AC94" s="1533"/>
      <c r="AD94" s="1533"/>
      <c r="AE94" s="1533"/>
      <c r="AF94" s="1533"/>
      <c r="AG94" s="1533"/>
    </row>
    <row r="95" spans="1:33" s="1625" customFormat="1" ht="12.2" customHeight="1" x14ac:dyDescent="0.2">
      <c r="A95" s="1622"/>
      <c r="B95" s="1975" t="s">
        <v>537</v>
      </c>
      <c r="C95" s="1631" t="s">
        <v>30182</v>
      </c>
      <c r="D95" s="1631" t="s">
        <v>276</v>
      </c>
      <c r="E95" s="1625" t="s">
        <v>28945</v>
      </c>
      <c r="F95" s="1625">
        <v>526</v>
      </c>
      <c r="G95" s="1591">
        <f>1/60*1</f>
        <v>1.6666666666666666E-2</v>
      </c>
      <c r="H95" s="1971" t="s">
        <v>29088</v>
      </c>
      <c r="I95" s="1625">
        <f>Liste!D65</f>
        <v>0</v>
      </c>
      <c r="J95" s="1626">
        <f>VLOOKUP(F95,Kostensätze!A:E,5,FALSE)</f>
        <v>53.04</v>
      </c>
      <c r="K95" s="1627">
        <f t="shared" si="26"/>
        <v>0</v>
      </c>
      <c r="L95" s="1628">
        <f t="shared" si="25"/>
        <v>0</v>
      </c>
      <c r="M95" s="1629">
        <f t="shared" si="27"/>
        <v>0</v>
      </c>
      <c r="N95" s="1597"/>
      <c r="O95" s="1998">
        <f t="shared" si="24"/>
        <v>0</v>
      </c>
      <c r="P95" s="1998">
        <f t="shared" si="24"/>
        <v>0</v>
      </c>
      <c r="Q95" s="1997">
        <f t="shared" si="19"/>
        <v>0</v>
      </c>
      <c r="R95" s="1998">
        <f t="shared" si="24"/>
        <v>0</v>
      </c>
      <c r="S95" s="1998">
        <f t="shared" si="24"/>
        <v>0</v>
      </c>
      <c r="T95" s="1998">
        <f t="shared" si="24"/>
        <v>0</v>
      </c>
      <c r="U95" s="1998">
        <f t="shared" si="24"/>
        <v>0</v>
      </c>
      <c r="V95" s="1999"/>
      <c r="W95" s="1999">
        <f t="shared" si="18"/>
        <v>0</v>
      </c>
      <c r="X95" s="1999"/>
      <c r="Y95" s="1999">
        <f t="shared" si="28"/>
        <v>0</v>
      </c>
      <c r="Z95" s="1630"/>
      <c r="AA95" s="1630"/>
      <c r="AB95" s="1630"/>
      <c r="AC95" s="1630"/>
      <c r="AD95" s="1630"/>
      <c r="AE95" s="1630"/>
      <c r="AF95" s="1630"/>
      <c r="AG95" s="1630"/>
    </row>
    <row r="96" spans="1:33" s="1691" customFormat="1" ht="12.2" customHeight="1" x14ac:dyDescent="0.2">
      <c r="A96" s="1976"/>
      <c r="B96" s="1977" t="s">
        <v>537</v>
      </c>
      <c r="C96" s="1978" t="s">
        <v>28917</v>
      </c>
      <c r="D96" s="1595" t="s">
        <v>276</v>
      </c>
      <c r="E96" s="1691" t="s">
        <v>28945</v>
      </c>
      <c r="F96" s="1691">
        <v>526</v>
      </c>
      <c r="G96" s="1591">
        <f>1/60*4/30</f>
        <v>2.2222222222222222E-3</v>
      </c>
      <c r="H96" s="1983" t="s">
        <v>30183</v>
      </c>
      <c r="I96" s="1984">
        <f>Liste!D85</f>
        <v>0</v>
      </c>
      <c r="J96" s="1979">
        <f>VLOOKUP(F96,Kostensätze!A:E,5,FALSE)</f>
        <v>53.04</v>
      </c>
      <c r="K96" s="1980">
        <f t="shared" si="26"/>
        <v>0</v>
      </c>
      <c r="L96" s="1981">
        <f t="shared" si="25"/>
        <v>0</v>
      </c>
      <c r="M96" s="1982">
        <f t="shared" si="27"/>
        <v>0</v>
      </c>
      <c r="N96" s="1597">
        <v>2</v>
      </c>
      <c r="O96" s="1998">
        <f t="shared" si="24"/>
        <v>0</v>
      </c>
      <c r="P96" s="1998">
        <f t="shared" si="24"/>
        <v>0</v>
      </c>
      <c r="Q96" s="1997">
        <f t="shared" si="19"/>
        <v>0</v>
      </c>
      <c r="R96" s="1998">
        <f t="shared" si="24"/>
        <v>0</v>
      </c>
      <c r="S96" s="1998">
        <f t="shared" si="24"/>
        <v>0</v>
      </c>
      <c r="T96" s="1998">
        <f t="shared" si="24"/>
        <v>0</v>
      </c>
      <c r="U96" s="1998">
        <f t="shared" si="24"/>
        <v>0</v>
      </c>
      <c r="V96" s="1999"/>
      <c r="W96" s="1999">
        <f t="shared" si="18"/>
        <v>0</v>
      </c>
      <c r="X96" s="1999"/>
      <c r="Y96" s="1999">
        <f t="shared" si="28"/>
        <v>0</v>
      </c>
      <c r="Z96" s="1533"/>
      <c r="AA96" s="1533"/>
      <c r="AB96" s="1533"/>
      <c r="AC96" s="1533"/>
      <c r="AD96" s="1533"/>
      <c r="AE96" s="1533"/>
      <c r="AF96" s="1533"/>
      <c r="AG96" s="1533"/>
    </row>
    <row r="97" spans="1:33" s="1625" customFormat="1" ht="12.2" customHeight="1" x14ac:dyDescent="0.2">
      <c r="A97" s="1622"/>
      <c r="B97" s="1975" t="s">
        <v>537</v>
      </c>
      <c r="C97" s="1623" t="s">
        <v>28931</v>
      </c>
      <c r="D97" s="1623" t="s">
        <v>276</v>
      </c>
      <c r="E97" s="1625" t="s">
        <v>28945</v>
      </c>
      <c r="F97" s="1625">
        <v>526</v>
      </c>
      <c r="G97" s="1591">
        <f>1/60*0.5</f>
        <v>8.3333333333333332E-3</v>
      </c>
      <c r="H97" s="1625" t="s">
        <v>29088</v>
      </c>
      <c r="I97" s="1625">
        <f>Liste!D65</f>
        <v>0</v>
      </c>
      <c r="J97" s="1626">
        <f>VLOOKUP(F97,Kostensätze!A:E,5,FALSE)</f>
        <v>53.04</v>
      </c>
      <c r="K97" s="1627">
        <f t="shared" si="26"/>
        <v>0</v>
      </c>
      <c r="L97" s="1628">
        <f t="shared" si="25"/>
        <v>0</v>
      </c>
      <c r="M97" s="1629">
        <f t="shared" si="27"/>
        <v>0</v>
      </c>
      <c r="N97" s="1597">
        <v>0.5</v>
      </c>
      <c r="O97" s="1998">
        <f t="shared" si="24"/>
        <v>0</v>
      </c>
      <c r="P97" s="1998">
        <f t="shared" si="24"/>
        <v>0</v>
      </c>
      <c r="Q97" s="1997">
        <f t="shared" si="19"/>
        <v>0</v>
      </c>
      <c r="R97" s="1998">
        <f t="shared" si="24"/>
        <v>0</v>
      </c>
      <c r="S97" s="1998">
        <f t="shared" si="24"/>
        <v>0</v>
      </c>
      <c r="T97" s="1998">
        <f t="shared" si="24"/>
        <v>0</v>
      </c>
      <c r="U97" s="1998">
        <f t="shared" si="24"/>
        <v>0</v>
      </c>
      <c r="V97" s="1999"/>
      <c r="W97" s="1999">
        <f t="shared" ref="W97:W165" si="29">IF(V97=1,L97,0)</f>
        <v>0</v>
      </c>
      <c r="X97" s="1999"/>
      <c r="Y97" s="1999">
        <f t="shared" si="28"/>
        <v>0</v>
      </c>
      <c r="Z97" s="1630"/>
      <c r="AA97" s="1630"/>
      <c r="AB97" s="1630"/>
      <c r="AC97" s="1630"/>
      <c r="AD97" s="1630"/>
      <c r="AE97" s="1630"/>
      <c r="AF97" s="1630"/>
      <c r="AG97" s="1630"/>
    </row>
    <row r="98" spans="1:33" s="1691" customFormat="1" ht="12.2" customHeight="1" x14ac:dyDescent="0.2">
      <c r="A98" s="1976"/>
      <c r="B98" s="1977" t="s">
        <v>537</v>
      </c>
      <c r="C98" s="1978" t="s">
        <v>30188</v>
      </c>
      <c r="D98" s="1595" t="s">
        <v>276</v>
      </c>
      <c r="E98" s="1691" t="s">
        <v>28945</v>
      </c>
      <c r="F98" s="1691">
        <v>526</v>
      </c>
      <c r="G98" s="1591">
        <f>1/60*1</f>
        <v>1.6666666666666666E-2</v>
      </c>
      <c r="H98" s="1691" t="s">
        <v>29088</v>
      </c>
      <c r="I98" s="1691">
        <f>Liste!D65</f>
        <v>0</v>
      </c>
      <c r="J98" s="1979">
        <f>VLOOKUP(F98,Kostensätze!A:E,5,FALSE)</f>
        <v>53.04</v>
      </c>
      <c r="K98" s="1980">
        <f t="shared" si="26"/>
        <v>0</v>
      </c>
      <c r="L98" s="1981">
        <f t="shared" si="25"/>
        <v>0</v>
      </c>
      <c r="M98" s="1982">
        <f t="shared" si="27"/>
        <v>0</v>
      </c>
      <c r="N98" s="1597"/>
      <c r="O98" s="1998">
        <f t="shared" si="24"/>
        <v>0</v>
      </c>
      <c r="P98" s="1998">
        <f t="shared" si="24"/>
        <v>0</v>
      </c>
      <c r="Q98" s="1997">
        <f t="shared" si="24"/>
        <v>0</v>
      </c>
      <c r="R98" s="1998">
        <f t="shared" si="24"/>
        <v>0</v>
      </c>
      <c r="S98" s="1998">
        <f t="shared" si="24"/>
        <v>0</v>
      </c>
      <c r="T98" s="1998">
        <f t="shared" si="24"/>
        <v>0</v>
      </c>
      <c r="U98" s="1998">
        <f t="shared" si="24"/>
        <v>0</v>
      </c>
      <c r="V98" s="1999"/>
      <c r="W98" s="1999">
        <f t="shared" si="29"/>
        <v>0</v>
      </c>
      <c r="X98" s="1999"/>
      <c r="Y98" s="1999">
        <f t="shared" si="28"/>
        <v>0</v>
      </c>
      <c r="Z98" s="1533"/>
      <c r="AA98" s="1533"/>
      <c r="AB98" s="1533"/>
      <c r="AC98" s="1533"/>
      <c r="AD98" s="1533"/>
      <c r="AE98" s="1533"/>
      <c r="AF98" s="1533"/>
      <c r="AG98" s="1533"/>
    </row>
    <row r="99" spans="1:33" s="1625" customFormat="1" ht="12.2" customHeight="1" x14ac:dyDescent="0.2">
      <c r="A99" s="1622"/>
      <c r="B99" s="1622" t="s">
        <v>537</v>
      </c>
      <c r="C99" s="1631" t="s">
        <v>28918</v>
      </c>
      <c r="D99" s="1631" t="s">
        <v>276</v>
      </c>
      <c r="E99" s="1625" t="s">
        <v>28945</v>
      </c>
      <c r="F99" s="1625">
        <v>526</v>
      </c>
      <c r="G99" s="1591">
        <f>1/60*4</f>
        <v>6.6666666666666666E-2</v>
      </c>
      <c r="H99" s="1625" t="s">
        <v>860</v>
      </c>
      <c r="I99" s="1625">
        <f>I80</f>
        <v>0</v>
      </c>
      <c r="J99" s="1626">
        <f>VLOOKUP(F99,Kostensätze!A:E,5,FALSE)</f>
        <v>53.04</v>
      </c>
      <c r="K99" s="1627">
        <f t="shared" si="26"/>
        <v>0</v>
      </c>
      <c r="L99" s="1628">
        <f t="shared" si="25"/>
        <v>0</v>
      </c>
      <c r="M99" s="1629">
        <f t="shared" si="27"/>
        <v>0</v>
      </c>
      <c r="N99" s="1597">
        <v>10</v>
      </c>
      <c r="O99" s="1998">
        <f t="shared" si="24"/>
        <v>0</v>
      </c>
      <c r="P99" s="1998">
        <f t="shared" si="24"/>
        <v>0</v>
      </c>
      <c r="Q99" s="1997">
        <f t="shared" si="24"/>
        <v>0</v>
      </c>
      <c r="R99" s="1998">
        <f t="shared" si="24"/>
        <v>0</v>
      </c>
      <c r="S99" s="1998">
        <f t="shared" si="24"/>
        <v>0</v>
      </c>
      <c r="T99" s="1998">
        <f t="shared" si="24"/>
        <v>0</v>
      </c>
      <c r="U99" s="1998">
        <f t="shared" si="24"/>
        <v>0</v>
      </c>
      <c r="V99" s="1999"/>
      <c r="W99" s="1999">
        <f t="shared" si="29"/>
        <v>0</v>
      </c>
      <c r="X99" s="1999"/>
      <c r="Y99" s="1999">
        <f t="shared" si="28"/>
        <v>0</v>
      </c>
      <c r="Z99" s="1630"/>
      <c r="AA99" s="1630"/>
      <c r="AB99" s="1630"/>
      <c r="AC99" s="1630"/>
      <c r="AD99" s="1630"/>
      <c r="AE99" s="1630"/>
      <c r="AF99" s="1630"/>
      <c r="AG99" s="1630"/>
    </row>
    <row r="100" spans="1:33" s="1691" customFormat="1" ht="12.2" customHeight="1" x14ac:dyDescent="0.2">
      <c r="A100" s="1976"/>
      <c r="B100" s="1976" t="s">
        <v>537</v>
      </c>
      <c r="C100" s="1595" t="s">
        <v>28919</v>
      </c>
      <c r="D100" s="1595" t="s">
        <v>276</v>
      </c>
      <c r="E100" s="1691" t="s">
        <v>28945</v>
      </c>
      <c r="F100" s="1691">
        <v>526</v>
      </c>
      <c r="G100" s="1591">
        <f>1/60*4</f>
        <v>6.6666666666666666E-2</v>
      </c>
      <c r="H100" s="1691" t="s">
        <v>860</v>
      </c>
      <c r="I100" s="1691">
        <f>I83</f>
        <v>0</v>
      </c>
      <c r="J100" s="1979">
        <f>VLOOKUP(F100,Kostensätze!A:E,5,FALSE)</f>
        <v>53.04</v>
      </c>
      <c r="K100" s="1980">
        <f t="shared" si="26"/>
        <v>0</v>
      </c>
      <c r="L100" s="1981">
        <f t="shared" si="25"/>
        <v>0</v>
      </c>
      <c r="M100" s="1982">
        <f t="shared" si="27"/>
        <v>0</v>
      </c>
      <c r="N100" s="1597">
        <v>10</v>
      </c>
      <c r="O100" s="1998">
        <f t="shared" si="24"/>
        <v>0</v>
      </c>
      <c r="P100" s="1998">
        <f t="shared" si="24"/>
        <v>0</v>
      </c>
      <c r="Q100" s="1997">
        <f t="shared" si="24"/>
        <v>0</v>
      </c>
      <c r="R100" s="1998">
        <f t="shared" si="24"/>
        <v>0</v>
      </c>
      <c r="S100" s="1998">
        <f t="shared" si="24"/>
        <v>0</v>
      </c>
      <c r="T100" s="1998">
        <f t="shared" si="24"/>
        <v>0</v>
      </c>
      <c r="U100" s="1998">
        <f t="shared" si="24"/>
        <v>0</v>
      </c>
      <c r="V100" s="1999"/>
      <c r="W100" s="1999">
        <f t="shared" si="29"/>
        <v>0</v>
      </c>
      <c r="X100" s="1999"/>
      <c r="Y100" s="1999">
        <f t="shared" si="28"/>
        <v>0</v>
      </c>
      <c r="Z100" s="1533"/>
      <c r="AA100" s="1533"/>
      <c r="AB100" s="1533"/>
      <c r="AC100" s="1533"/>
      <c r="AD100" s="1533"/>
      <c r="AE100" s="1533"/>
      <c r="AF100" s="1533"/>
      <c r="AG100" s="1533"/>
    </row>
    <row r="101" spans="1:33" s="1625" customFormat="1" ht="12.2" customHeight="1" x14ac:dyDescent="0.2">
      <c r="A101" s="1622"/>
      <c r="B101" s="1622" t="s">
        <v>537</v>
      </c>
      <c r="C101" s="1623" t="s">
        <v>28967</v>
      </c>
      <c r="D101" s="1623" t="s">
        <v>276</v>
      </c>
      <c r="E101" s="1625" t="s">
        <v>28945</v>
      </c>
      <c r="F101" s="1625">
        <v>526</v>
      </c>
      <c r="G101" s="1591">
        <f>1/60*5</f>
        <v>8.3333333333333329E-2</v>
      </c>
      <c r="H101" s="1625" t="s">
        <v>860</v>
      </c>
      <c r="I101" s="1625">
        <f>Liste!$A$34*Liste!$D$65</f>
        <v>0</v>
      </c>
      <c r="J101" s="1626">
        <f>VLOOKUP(F101,Kostensätze!A:E,5,FALSE)</f>
        <v>53.04</v>
      </c>
      <c r="K101" s="1627">
        <f t="shared" si="26"/>
        <v>0</v>
      </c>
      <c r="L101" s="1628">
        <f t="shared" si="25"/>
        <v>0</v>
      </c>
      <c r="M101" s="1629">
        <f t="shared" si="27"/>
        <v>0</v>
      </c>
      <c r="N101" s="1597"/>
      <c r="O101" s="1998">
        <f t="shared" si="24"/>
        <v>0</v>
      </c>
      <c r="P101" s="1998">
        <f t="shared" si="24"/>
        <v>0</v>
      </c>
      <c r="Q101" s="1997">
        <f t="shared" si="24"/>
        <v>0</v>
      </c>
      <c r="R101" s="1998">
        <f t="shared" si="24"/>
        <v>0</v>
      </c>
      <c r="S101" s="1998">
        <f t="shared" si="24"/>
        <v>0</v>
      </c>
      <c r="T101" s="1998">
        <f t="shared" si="24"/>
        <v>0</v>
      </c>
      <c r="U101" s="1998">
        <f t="shared" si="24"/>
        <v>0</v>
      </c>
      <c r="V101" s="1999"/>
      <c r="W101" s="1999">
        <f t="shared" si="29"/>
        <v>0</v>
      </c>
      <c r="X101" s="1999"/>
      <c r="Y101" s="1999">
        <f t="shared" si="28"/>
        <v>0</v>
      </c>
      <c r="Z101" s="1630"/>
      <c r="AA101" s="1630"/>
      <c r="AB101" s="1630"/>
      <c r="AC101" s="1630"/>
      <c r="AD101" s="1630"/>
      <c r="AE101" s="1630"/>
      <c r="AF101" s="1630"/>
      <c r="AG101" s="1630"/>
    </row>
    <row r="102" spans="1:33" s="1691" customFormat="1" ht="12.2" customHeight="1" x14ac:dyDescent="0.2">
      <c r="A102" s="1976"/>
      <c r="B102" s="1976" t="s">
        <v>537</v>
      </c>
      <c r="C102" s="1978" t="s">
        <v>28968</v>
      </c>
      <c r="D102" s="1595" t="s">
        <v>276</v>
      </c>
      <c r="E102" s="1691" t="s">
        <v>28945</v>
      </c>
      <c r="F102" s="1691">
        <v>526</v>
      </c>
      <c r="G102" s="1591">
        <f>1/60*2</f>
        <v>3.3333333333333333E-2</v>
      </c>
      <c r="H102" s="1691" t="s">
        <v>860</v>
      </c>
      <c r="I102" s="1691">
        <f>Liste!$A$34*Liste!$D$65</f>
        <v>0</v>
      </c>
      <c r="J102" s="1979">
        <f>VLOOKUP(F102,Kostensätze!A:E,5,FALSE)</f>
        <v>53.04</v>
      </c>
      <c r="K102" s="1980">
        <f t="shared" si="26"/>
        <v>0</v>
      </c>
      <c r="L102" s="1981">
        <f t="shared" si="25"/>
        <v>0</v>
      </c>
      <c r="M102" s="1982">
        <f t="shared" si="27"/>
        <v>0</v>
      </c>
      <c r="N102" s="1597"/>
      <c r="O102" s="1998">
        <f t="shared" si="24"/>
        <v>0</v>
      </c>
      <c r="P102" s="1998">
        <f t="shared" si="24"/>
        <v>0</v>
      </c>
      <c r="Q102" s="1997">
        <f t="shared" si="24"/>
        <v>0</v>
      </c>
      <c r="R102" s="1998">
        <f t="shared" si="24"/>
        <v>0</v>
      </c>
      <c r="S102" s="1998">
        <f t="shared" si="24"/>
        <v>0</v>
      </c>
      <c r="T102" s="1998">
        <f t="shared" si="24"/>
        <v>0</v>
      </c>
      <c r="U102" s="1998">
        <f t="shared" si="24"/>
        <v>0</v>
      </c>
      <c r="V102" s="1999"/>
      <c r="W102" s="1999">
        <f t="shared" si="29"/>
        <v>0</v>
      </c>
      <c r="X102" s="1999"/>
      <c r="Y102" s="1999">
        <f t="shared" si="28"/>
        <v>0</v>
      </c>
      <c r="Z102" s="1533"/>
      <c r="AA102" s="1533"/>
      <c r="AB102" s="1533"/>
      <c r="AC102" s="1533"/>
      <c r="AD102" s="1533"/>
      <c r="AE102" s="1533"/>
      <c r="AF102" s="1533"/>
      <c r="AG102" s="1533"/>
    </row>
    <row r="103" spans="1:33" s="1625" customFormat="1" ht="12.2" customHeight="1" x14ac:dyDescent="0.2">
      <c r="A103" s="1622"/>
      <c r="B103" s="1975" t="s">
        <v>537</v>
      </c>
      <c r="C103" s="1623" t="s">
        <v>30193</v>
      </c>
      <c r="D103" s="1623" t="s">
        <v>276</v>
      </c>
      <c r="E103" s="1625" t="s">
        <v>28945</v>
      </c>
      <c r="F103" s="1625">
        <v>526</v>
      </c>
      <c r="G103" s="1591">
        <f>1/60*2</f>
        <v>3.3333333333333333E-2</v>
      </c>
      <c r="H103" s="1625" t="s">
        <v>29088</v>
      </c>
      <c r="I103" s="1625">
        <f>Liste!D65</f>
        <v>0</v>
      </c>
      <c r="J103" s="1626">
        <f>VLOOKUP(F103,Kostensätze!A:E,5,FALSE)</f>
        <v>53.04</v>
      </c>
      <c r="K103" s="1627">
        <f t="shared" si="26"/>
        <v>0</v>
      </c>
      <c r="L103" s="1628">
        <f t="shared" si="25"/>
        <v>0</v>
      </c>
      <c r="M103" s="1629">
        <f t="shared" si="27"/>
        <v>0</v>
      </c>
      <c r="N103" s="1597"/>
      <c r="O103" s="1998">
        <f t="shared" si="24"/>
        <v>0</v>
      </c>
      <c r="P103" s="1998">
        <f t="shared" si="24"/>
        <v>0</v>
      </c>
      <c r="Q103" s="1997">
        <f t="shared" si="24"/>
        <v>0</v>
      </c>
      <c r="R103" s="1998">
        <f t="shared" si="24"/>
        <v>0</v>
      </c>
      <c r="S103" s="1998">
        <f t="shared" si="24"/>
        <v>0</v>
      </c>
      <c r="T103" s="1998">
        <f t="shared" si="24"/>
        <v>0</v>
      </c>
      <c r="U103" s="1998">
        <f t="shared" si="24"/>
        <v>0</v>
      </c>
      <c r="V103" s="1999"/>
      <c r="W103" s="1999">
        <f t="shared" si="29"/>
        <v>0</v>
      </c>
      <c r="X103" s="1999"/>
      <c r="Y103" s="1999">
        <f t="shared" si="28"/>
        <v>0</v>
      </c>
      <c r="Z103" s="1630"/>
      <c r="AA103" s="1630"/>
      <c r="AB103" s="1630"/>
      <c r="AC103" s="1630"/>
      <c r="AD103" s="1630"/>
      <c r="AE103" s="1630"/>
      <c r="AF103" s="1630"/>
      <c r="AG103" s="1630"/>
    </row>
    <row r="104" spans="1:33" s="1691" customFormat="1" ht="12.2" customHeight="1" x14ac:dyDescent="0.2">
      <c r="A104" s="1976"/>
      <c r="B104" s="1977" t="s">
        <v>537</v>
      </c>
      <c r="C104" s="1978" t="s">
        <v>867</v>
      </c>
      <c r="D104" s="1978" t="s">
        <v>453</v>
      </c>
      <c r="E104" s="1691" t="s">
        <v>28945</v>
      </c>
      <c r="F104" s="1691">
        <v>526</v>
      </c>
      <c r="G104" s="1591">
        <f>1/60*3</f>
        <v>0.05</v>
      </c>
      <c r="H104" s="1691" t="s">
        <v>29088</v>
      </c>
      <c r="I104" s="1691">
        <f>Liste!D65</f>
        <v>0</v>
      </c>
      <c r="J104" s="1979">
        <f>VLOOKUP(F104,Kostensätze!A:E,5,FALSE)</f>
        <v>53.04</v>
      </c>
      <c r="K104" s="1980">
        <f t="shared" si="26"/>
        <v>0</v>
      </c>
      <c r="L104" s="1981">
        <f t="shared" si="25"/>
        <v>0</v>
      </c>
      <c r="M104" s="1982">
        <f t="shared" si="27"/>
        <v>0</v>
      </c>
      <c r="N104" s="1597"/>
      <c r="O104" s="1998">
        <f t="shared" si="24"/>
        <v>0</v>
      </c>
      <c r="P104" s="1998">
        <f t="shared" si="24"/>
        <v>0</v>
      </c>
      <c r="Q104" s="1997">
        <f t="shared" si="24"/>
        <v>0</v>
      </c>
      <c r="R104" s="1998">
        <f t="shared" si="24"/>
        <v>0</v>
      </c>
      <c r="S104" s="1998">
        <f t="shared" si="24"/>
        <v>0</v>
      </c>
      <c r="T104" s="1998">
        <f t="shared" si="24"/>
        <v>0</v>
      </c>
      <c r="U104" s="1998">
        <f t="shared" si="24"/>
        <v>0</v>
      </c>
      <c r="V104" s="1999"/>
      <c r="W104" s="1999">
        <f t="shared" si="29"/>
        <v>0</v>
      </c>
      <c r="X104" s="1999"/>
      <c r="Y104" s="1999">
        <f t="shared" si="28"/>
        <v>0</v>
      </c>
      <c r="Z104" s="1533"/>
      <c r="AA104" s="1533"/>
      <c r="AB104" s="1533"/>
      <c r="AC104" s="1533"/>
      <c r="AD104" s="1533"/>
      <c r="AE104" s="1533"/>
      <c r="AF104" s="1533"/>
      <c r="AG104" s="1533"/>
    </row>
    <row r="105" spans="1:33" s="1625" customFormat="1" ht="12.2" customHeight="1" x14ac:dyDescent="0.2">
      <c r="A105" s="1622" t="s">
        <v>28932</v>
      </c>
      <c r="B105" s="1622"/>
      <c r="C105" s="1623"/>
      <c r="D105" s="1631"/>
      <c r="F105" s="1625">
        <v>526</v>
      </c>
      <c r="G105" s="1591"/>
      <c r="J105" s="1626"/>
      <c r="K105" s="1627">
        <f t="shared" si="26"/>
        <v>0</v>
      </c>
      <c r="L105" s="1628"/>
      <c r="M105" s="1629">
        <f t="shared" si="27"/>
        <v>0</v>
      </c>
      <c r="N105" s="1597"/>
      <c r="O105" s="1998">
        <f t="shared" si="24"/>
        <v>0</v>
      </c>
      <c r="P105" s="1998">
        <f t="shared" si="24"/>
        <v>0</v>
      </c>
      <c r="Q105" s="1997">
        <f t="shared" si="24"/>
        <v>0</v>
      </c>
      <c r="R105" s="1998">
        <f t="shared" si="24"/>
        <v>0</v>
      </c>
      <c r="S105" s="1998">
        <f t="shared" si="24"/>
        <v>0</v>
      </c>
      <c r="T105" s="1998">
        <f t="shared" si="24"/>
        <v>0</v>
      </c>
      <c r="U105" s="1998">
        <f t="shared" si="24"/>
        <v>0</v>
      </c>
      <c r="V105" s="1999"/>
      <c r="W105" s="1999">
        <f t="shared" si="29"/>
        <v>0</v>
      </c>
      <c r="X105" s="1999"/>
      <c r="Y105" s="1999">
        <f t="shared" si="28"/>
        <v>0</v>
      </c>
      <c r="Z105" s="1630"/>
      <c r="AA105" s="1630"/>
      <c r="AB105" s="1630"/>
      <c r="AC105" s="1630"/>
      <c r="AD105" s="1630"/>
      <c r="AE105" s="1630"/>
      <c r="AF105" s="1630"/>
      <c r="AG105" s="1630"/>
    </row>
    <row r="106" spans="1:33" s="1691" customFormat="1" ht="12.2" customHeight="1" x14ac:dyDescent="0.2">
      <c r="A106" s="1976"/>
      <c r="B106" s="1976"/>
      <c r="C106" s="1595" t="s">
        <v>28900</v>
      </c>
      <c r="D106" s="1595" t="s">
        <v>28903</v>
      </c>
      <c r="E106" s="1691" t="s">
        <v>108</v>
      </c>
      <c r="F106" s="1691">
        <v>520</v>
      </c>
      <c r="G106" s="1591">
        <v>3.3000000000000002E-2</v>
      </c>
      <c r="H106" s="1691" t="s">
        <v>860</v>
      </c>
      <c r="I106" s="1691">
        <f>Liste!$A$57</f>
        <v>0</v>
      </c>
      <c r="J106" s="1979">
        <f>VLOOKUP(F106,Kostensätze!A:E,5,FALSE)</f>
        <v>37.619999999999997</v>
      </c>
      <c r="K106" s="1980">
        <f t="shared" si="26"/>
        <v>0</v>
      </c>
      <c r="L106" s="1981">
        <f t="shared" si="25"/>
        <v>0</v>
      </c>
      <c r="M106" s="1982">
        <f t="shared" si="27"/>
        <v>0</v>
      </c>
      <c r="N106" s="1597"/>
      <c r="O106" s="1998">
        <f t="shared" si="24"/>
        <v>0</v>
      </c>
      <c r="P106" s="1998">
        <f t="shared" si="24"/>
        <v>0</v>
      </c>
      <c r="Q106" s="1997">
        <f t="shared" si="24"/>
        <v>0</v>
      </c>
      <c r="R106" s="1998">
        <f t="shared" si="24"/>
        <v>0</v>
      </c>
      <c r="S106" s="1998">
        <f t="shared" si="24"/>
        <v>0</v>
      </c>
      <c r="T106" s="1998">
        <f t="shared" si="24"/>
        <v>0</v>
      </c>
      <c r="U106" s="1998">
        <f t="shared" si="24"/>
        <v>0</v>
      </c>
      <c r="V106" s="1999">
        <v>1</v>
      </c>
      <c r="W106" s="1999">
        <f t="shared" si="29"/>
        <v>0</v>
      </c>
      <c r="X106" s="1999"/>
      <c r="Y106" s="1999">
        <f t="shared" si="28"/>
        <v>0</v>
      </c>
      <c r="Z106" s="1533"/>
      <c r="AA106" s="1533"/>
      <c r="AB106" s="1533"/>
      <c r="AC106" s="1533"/>
      <c r="AD106" s="1533"/>
      <c r="AE106" s="1533"/>
      <c r="AF106" s="1533"/>
      <c r="AG106" s="1533"/>
    </row>
    <row r="107" spans="1:33" s="1625" customFormat="1" ht="12.2" customHeight="1" x14ac:dyDescent="0.2">
      <c r="A107" s="1622"/>
      <c r="B107" s="1622"/>
      <c r="C107" s="1631" t="s">
        <v>28901</v>
      </c>
      <c r="D107" s="1631" t="s">
        <v>28903</v>
      </c>
      <c r="E107" s="1625" t="s">
        <v>108</v>
      </c>
      <c r="F107" s="1625">
        <v>520</v>
      </c>
      <c r="G107" s="1591">
        <v>1.2500000000000001E-2</v>
      </c>
      <c r="H107" s="1625" t="s">
        <v>860</v>
      </c>
      <c r="I107" s="1625">
        <f>Liste!$A$57</f>
        <v>0</v>
      </c>
      <c r="J107" s="1626">
        <f>VLOOKUP(F107,Kostensätze!A:E,5,FALSE)</f>
        <v>37.619999999999997</v>
      </c>
      <c r="K107" s="1627">
        <f t="shared" si="26"/>
        <v>0</v>
      </c>
      <c r="L107" s="1628">
        <f t="shared" si="25"/>
        <v>0</v>
      </c>
      <c r="M107" s="1629">
        <f t="shared" si="27"/>
        <v>0</v>
      </c>
      <c r="N107" s="1597"/>
      <c r="O107" s="1998">
        <f t="shared" si="24"/>
        <v>0</v>
      </c>
      <c r="P107" s="1998">
        <f t="shared" si="24"/>
        <v>0</v>
      </c>
      <c r="Q107" s="1997">
        <f t="shared" si="24"/>
        <v>0</v>
      </c>
      <c r="R107" s="1998">
        <f t="shared" si="24"/>
        <v>0</v>
      </c>
      <c r="S107" s="1998">
        <f t="shared" si="24"/>
        <v>0</v>
      </c>
      <c r="T107" s="1998">
        <f t="shared" si="24"/>
        <v>0</v>
      </c>
      <c r="U107" s="1998">
        <f t="shared" si="24"/>
        <v>0</v>
      </c>
      <c r="V107" s="1999"/>
      <c r="W107" s="1999">
        <f t="shared" si="29"/>
        <v>0</v>
      </c>
      <c r="X107" s="1999">
        <v>1</v>
      </c>
      <c r="Y107" s="1999">
        <f t="shared" si="28"/>
        <v>0</v>
      </c>
      <c r="Z107" s="1630"/>
      <c r="AA107" s="1630"/>
      <c r="AB107" s="1630"/>
      <c r="AC107" s="1630"/>
      <c r="AD107" s="1630"/>
      <c r="AE107" s="1630"/>
      <c r="AF107" s="1630"/>
      <c r="AG107" s="1630"/>
    </row>
    <row r="108" spans="1:33" s="1691" customFormat="1" ht="12.2" customHeight="1" x14ac:dyDescent="0.2">
      <c r="A108" s="1976"/>
      <c r="B108" s="1976"/>
      <c r="C108" s="1978" t="s">
        <v>28900</v>
      </c>
      <c r="D108" s="1978" t="s">
        <v>28933</v>
      </c>
      <c r="E108" s="1691" t="s">
        <v>108</v>
      </c>
      <c r="F108" s="1691">
        <v>520</v>
      </c>
      <c r="G108" s="1591">
        <v>3.3000000000000002E-2</v>
      </c>
      <c r="H108" s="1691" t="s">
        <v>860</v>
      </c>
      <c r="I108" s="1691">
        <f>Liste!A60+Liste!A63</f>
        <v>0</v>
      </c>
      <c r="J108" s="1979">
        <f>VLOOKUP(F108,Kostensätze!A:E,5,FALSE)</f>
        <v>37.619999999999997</v>
      </c>
      <c r="K108" s="1980">
        <f t="shared" si="26"/>
        <v>0</v>
      </c>
      <c r="L108" s="1981">
        <f t="shared" si="25"/>
        <v>0</v>
      </c>
      <c r="M108" s="1982">
        <f t="shared" si="27"/>
        <v>0</v>
      </c>
      <c r="N108" s="1597"/>
      <c r="O108" s="1998">
        <f t="shared" ref="O108:U141" si="30">IF($F108=O$3,$L108,0)</f>
        <v>0</v>
      </c>
      <c r="P108" s="1998">
        <f t="shared" si="30"/>
        <v>0</v>
      </c>
      <c r="Q108" s="1997">
        <f t="shared" si="30"/>
        <v>0</v>
      </c>
      <c r="R108" s="1998">
        <f t="shared" si="30"/>
        <v>0</v>
      </c>
      <c r="S108" s="1998">
        <f t="shared" si="30"/>
        <v>0</v>
      </c>
      <c r="T108" s="1998">
        <f t="shared" si="30"/>
        <v>0</v>
      </c>
      <c r="U108" s="1998">
        <f t="shared" si="30"/>
        <v>0</v>
      </c>
      <c r="V108" s="1999">
        <v>1</v>
      </c>
      <c r="W108" s="1999">
        <f t="shared" si="29"/>
        <v>0</v>
      </c>
      <c r="X108" s="1999"/>
      <c r="Y108" s="1999">
        <f t="shared" si="28"/>
        <v>0</v>
      </c>
      <c r="Z108" s="1533"/>
      <c r="AA108" s="1533"/>
      <c r="AB108" s="1533"/>
      <c r="AC108" s="1533"/>
      <c r="AD108" s="1533"/>
      <c r="AE108" s="1533"/>
      <c r="AF108" s="1533"/>
      <c r="AG108" s="1533"/>
    </row>
    <row r="109" spans="1:33" s="1625" customFormat="1" ht="12.2" customHeight="1" x14ac:dyDescent="0.2">
      <c r="A109" s="1622"/>
      <c r="B109" s="1622"/>
      <c r="C109" s="1631" t="s">
        <v>28901</v>
      </c>
      <c r="D109" s="1631" t="s">
        <v>28933</v>
      </c>
      <c r="E109" s="1625" t="s">
        <v>108</v>
      </c>
      <c r="F109" s="1625">
        <v>520</v>
      </c>
      <c r="G109" s="1591">
        <v>1.2500000000000001E-2</v>
      </c>
      <c r="H109" s="1971" t="s">
        <v>860</v>
      </c>
      <c r="I109" s="1625">
        <f>Liste!A60+Liste!A63</f>
        <v>0</v>
      </c>
      <c r="J109" s="1626">
        <f>VLOOKUP(F109,Kostensätze!A:E,5,FALSE)</f>
        <v>37.619999999999997</v>
      </c>
      <c r="K109" s="1627">
        <f t="shared" si="26"/>
        <v>0</v>
      </c>
      <c r="L109" s="1628">
        <f t="shared" si="25"/>
        <v>0</v>
      </c>
      <c r="M109" s="1629">
        <f t="shared" si="27"/>
        <v>0</v>
      </c>
      <c r="N109" s="1597"/>
      <c r="O109" s="1998">
        <f t="shared" si="30"/>
        <v>0</v>
      </c>
      <c r="P109" s="1998">
        <f t="shared" si="30"/>
        <v>0</v>
      </c>
      <c r="Q109" s="1997">
        <f t="shared" si="30"/>
        <v>0</v>
      </c>
      <c r="R109" s="1998">
        <f t="shared" si="30"/>
        <v>0</v>
      </c>
      <c r="S109" s="1998">
        <f t="shared" si="30"/>
        <v>0</v>
      </c>
      <c r="T109" s="1998">
        <f t="shared" si="30"/>
        <v>0</v>
      </c>
      <c r="U109" s="1998">
        <f t="shared" si="30"/>
        <v>0</v>
      </c>
      <c r="V109" s="1999"/>
      <c r="W109" s="1999">
        <f t="shared" si="29"/>
        <v>0</v>
      </c>
      <c r="X109" s="1999">
        <v>1</v>
      </c>
      <c r="Y109" s="1999">
        <f t="shared" si="28"/>
        <v>0</v>
      </c>
      <c r="Z109" s="1630"/>
      <c r="AA109" s="1630"/>
      <c r="AB109" s="1630"/>
      <c r="AC109" s="1630"/>
      <c r="AD109" s="1630"/>
      <c r="AE109" s="1630"/>
      <c r="AF109" s="1630"/>
      <c r="AG109" s="1630"/>
    </row>
    <row r="110" spans="1:33" s="1691" customFormat="1" ht="12.75" customHeight="1" x14ac:dyDescent="0.2">
      <c r="A110" s="1976"/>
      <c r="B110" s="1976"/>
      <c r="C110" s="1595" t="s">
        <v>302</v>
      </c>
      <c r="D110" s="1595" t="s">
        <v>28934</v>
      </c>
      <c r="E110" s="1691" t="s">
        <v>861</v>
      </c>
      <c r="F110" s="1691">
        <v>502</v>
      </c>
      <c r="G110" s="1596">
        <v>1.4999999999999999E-2</v>
      </c>
      <c r="H110" s="1691" t="s">
        <v>860</v>
      </c>
      <c r="I110" s="1691">
        <f>SUM(Liste!D53:D54)</f>
        <v>0</v>
      </c>
      <c r="J110" s="1979">
        <f>VLOOKUP(F110,Kostensätze!A:E,5,FALSE)</f>
        <v>53.66</v>
      </c>
      <c r="K110" s="1980">
        <f t="shared" si="26"/>
        <v>0</v>
      </c>
      <c r="L110" s="1981">
        <f t="shared" si="25"/>
        <v>0</v>
      </c>
      <c r="M110" s="1982">
        <f t="shared" si="27"/>
        <v>0</v>
      </c>
      <c r="N110" s="1597"/>
      <c r="O110" s="1998">
        <f t="shared" si="30"/>
        <v>0</v>
      </c>
      <c r="P110" s="1998">
        <f t="shared" si="30"/>
        <v>0</v>
      </c>
      <c r="Q110" s="1997">
        <f t="shared" si="30"/>
        <v>0</v>
      </c>
      <c r="R110" s="1998">
        <f t="shared" si="30"/>
        <v>0</v>
      </c>
      <c r="S110" s="1998">
        <f t="shared" si="30"/>
        <v>0</v>
      </c>
      <c r="T110" s="1998">
        <f t="shared" si="30"/>
        <v>0</v>
      </c>
      <c r="U110" s="1998">
        <f t="shared" si="30"/>
        <v>0</v>
      </c>
      <c r="V110" s="1998"/>
      <c r="W110" s="1999">
        <f t="shared" si="29"/>
        <v>0</v>
      </c>
      <c r="X110" s="1998"/>
      <c r="Y110" s="1999">
        <f t="shared" si="28"/>
        <v>0</v>
      </c>
    </row>
    <row r="111" spans="1:33" s="1625" customFormat="1" ht="12.2" customHeight="1" x14ac:dyDescent="0.2">
      <c r="A111" s="1622"/>
      <c r="B111" s="1622"/>
      <c r="C111" s="1623" t="s">
        <v>302</v>
      </c>
      <c r="D111" s="1623" t="s">
        <v>28935</v>
      </c>
      <c r="E111" s="1625" t="s">
        <v>861</v>
      </c>
      <c r="F111" s="1625">
        <v>502</v>
      </c>
      <c r="G111" s="1591">
        <v>1.4999999999999999E-2</v>
      </c>
      <c r="H111" s="1625" t="s">
        <v>860</v>
      </c>
      <c r="I111" s="1625">
        <f>SUM(Liste!D51:D52)</f>
        <v>0</v>
      </c>
      <c r="J111" s="1626">
        <f>VLOOKUP(F111,Kostensätze!A:E,5,FALSE)</f>
        <v>53.66</v>
      </c>
      <c r="K111" s="1627">
        <f t="shared" si="26"/>
        <v>0</v>
      </c>
      <c r="L111" s="1628">
        <f t="shared" si="25"/>
        <v>0</v>
      </c>
      <c r="M111" s="1629">
        <f t="shared" si="27"/>
        <v>0</v>
      </c>
      <c r="N111" s="1597"/>
      <c r="O111" s="1998">
        <f t="shared" si="30"/>
        <v>0</v>
      </c>
      <c r="P111" s="1998">
        <f t="shared" si="30"/>
        <v>0</v>
      </c>
      <c r="Q111" s="1997">
        <f t="shared" si="30"/>
        <v>0</v>
      </c>
      <c r="R111" s="1998">
        <f t="shared" si="30"/>
        <v>0</v>
      </c>
      <c r="S111" s="1998">
        <f t="shared" si="30"/>
        <v>0</v>
      </c>
      <c r="T111" s="1998">
        <f t="shared" si="30"/>
        <v>0</v>
      </c>
      <c r="U111" s="1998">
        <f t="shared" si="30"/>
        <v>0</v>
      </c>
      <c r="V111" s="1999"/>
      <c r="W111" s="1999">
        <f t="shared" si="29"/>
        <v>0</v>
      </c>
      <c r="X111" s="1999"/>
      <c r="Y111" s="1999">
        <f t="shared" si="28"/>
        <v>0</v>
      </c>
      <c r="Z111" s="1630"/>
      <c r="AA111" s="1630"/>
      <c r="AB111" s="1630"/>
      <c r="AC111" s="1630"/>
      <c r="AD111" s="1630"/>
      <c r="AE111" s="1630"/>
      <c r="AF111" s="1630"/>
      <c r="AG111" s="1630"/>
    </row>
    <row r="112" spans="1:33" s="1691" customFormat="1" ht="12.2" customHeight="1" x14ac:dyDescent="0.2">
      <c r="A112" s="1976"/>
      <c r="B112" s="1977" t="s">
        <v>537</v>
      </c>
      <c r="C112" s="1978" t="s">
        <v>28914</v>
      </c>
      <c r="D112" s="1595" t="s">
        <v>28936</v>
      </c>
      <c r="E112" s="1691" t="s">
        <v>28945</v>
      </c>
      <c r="F112" s="1691">
        <v>526</v>
      </c>
      <c r="G112" s="1591">
        <f>1/60*1</f>
        <v>1.6666666666666666E-2</v>
      </c>
      <c r="H112" s="1691" t="s">
        <v>860</v>
      </c>
      <c r="I112" s="1691">
        <f>SUM(Liste!D51:D52)</f>
        <v>0</v>
      </c>
      <c r="J112" s="1979">
        <f>VLOOKUP(F112,Kostensätze!A:E,5,FALSE)</f>
        <v>53.04</v>
      </c>
      <c r="K112" s="1980">
        <f t="shared" si="26"/>
        <v>0</v>
      </c>
      <c r="L112" s="1981">
        <f t="shared" si="25"/>
        <v>0</v>
      </c>
      <c r="M112" s="1982">
        <f t="shared" si="27"/>
        <v>0</v>
      </c>
      <c r="N112" s="1597"/>
      <c r="O112" s="1998">
        <f t="shared" si="30"/>
        <v>0</v>
      </c>
      <c r="P112" s="1998">
        <f t="shared" si="30"/>
        <v>0</v>
      </c>
      <c r="Q112" s="1997">
        <f t="shared" si="30"/>
        <v>0</v>
      </c>
      <c r="R112" s="1998">
        <f t="shared" si="30"/>
        <v>0</v>
      </c>
      <c r="S112" s="1998">
        <f t="shared" si="30"/>
        <v>0</v>
      </c>
      <c r="T112" s="1998">
        <f t="shared" si="30"/>
        <v>0</v>
      </c>
      <c r="U112" s="1998">
        <f t="shared" si="30"/>
        <v>0</v>
      </c>
      <c r="V112" s="1999"/>
      <c r="W112" s="1999">
        <f t="shared" si="29"/>
        <v>0</v>
      </c>
      <c r="X112" s="1999"/>
      <c r="Y112" s="1999">
        <f t="shared" si="28"/>
        <v>0</v>
      </c>
      <c r="Z112" s="1533"/>
      <c r="AA112" s="1533"/>
      <c r="AB112" s="1533"/>
      <c r="AC112" s="1533"/>
      <c r="AD112" s="1533"/>
      <c r="AE112" s="1533"/>
      <c r="AF112" s="1533"/>
      <c r="AG112" s="1533"/>
    </row>
    <row r="113" spans="1:33" s="1625" customFormat="1" ht="12.2" customHeight="1" x14ac:dyDescent="0.2">
      <c r="A113" s="1622"/>
      <c r="B113" s="1975" t="s">
        <v>537</v>
      </c>
      <c r="C113" s="1631" t="s">
        <v>28915</v>
      </c>
      <c r="D113" s="1631" t="s">
        <v>28936</v>
      </c>
      <c r="E113" s="1625" t="s">
        <v>28945</v>
      </c>
      <c r="F113" s="1625">
        <v>526</v>
      </c>
      <c r="G113" s="1591">
        <f>1/60*3</f>
        <v>0.05</v>
      </c>
      <c r="H113" s="1625" t="s">
        <v>863</v>
      </c>
      <c r="I113" s="1625">
        <f>(Liste!D51*Liste!E51/1000*Liste!F51/1000+Liste!D52*Liste!E52/1000*Liste!F52/1000)*Liste!D243</f>
        <v>0</v>
      </c>
      <c r="J113" s="1626">
        <f>VLOOKUP(F113,Kostensätze!A:E,5,FALSE)</f>
        <v>53.04</v>
      </c>
      <c r="K113" s="1627">
        <f t="shared" si="26"/>
        <v>0</v>
      </c>
      <c r="L113" s="1628">
        <f t="shared" si="25"/>
        <v>0</v>
      </c>
      <c r="M113" s="1629">
        <f t="shared" si="27"/>
        <v>0</v>
      </c>
      <c r="N113" s="1597">
        <v>0.5</v>
      </c>
      <c r="O113" s="1998">
        <f t="shared" si="30"/>
        <v>0</v>
      </c>
      <c r="P113" s="1998">
        <f t="shared" si="30"/>
        <v>0</v>
      </c>
      <c r="Q113" s="1997">
        <f t="shared" si="30"/>
        <v>0</v>
      </c>
      <c r="R113" s="1998">
        <f t="shared" si="30"/>
        <v>0</v>
      </c>
      <c r="S113" s="1998">
        <f t="shared" si="30"/>
        <v>0</v>
      </c>
      <c r="T113" s="1998">
        <f t="shared" si="30"/>
        <v>0</v>
      </c>
      <c r="U113" s="1998">
        <f t="shared" si="30"/>
        <v>0</v>
      </c>
      <c r="V113" s="1999"/>
      <c r="W113" s="1999">
        <f t="shared" si="29"/>
        <v>0</v>
      </c>
      <c r="X113" s="1999"/>
      <c r="Y113" s="1999">
        <f t="shared" si="28"/>
        <v>0</v>
      </c>
      <c r="Z113" s="1630"/>
      <c r="AA113" s="1630"/>
      <c r="AB113" s="1630"/>
      <c r="AC113" s="1630"/>
      <c r="AD113" s="1630"/>
      <c r="AE113" s="1630"/>
      <c r="AF113" s="1630"/>
      <c r="AG113" s="1630"/>
    </row>
    <row r="114" spans="1:33" s="1691" customFormat="1" ht="12.2" customHeight="1" x14ac:dyDescent="0.2">
      <c r="A114" s="1976"/>
      <c r="B114" s="1977" t="s">
        <v>537</v>
      </c>
      <c r="C114" s="1595" t="s">
        <v>29087</v>
      </c>
      <c r="D114" s="1595" t="s">
        <v>28936</v>
      </c>
      <c r="E114" s="1691" t="s">
        <v>28945</v>
      </c>
      <c r="F114" s="1691">
        <v>526</v>
      </c>
      <c r="G114" s="1591">
        <f>1/60*1.5</f>
        <v>2.5000000000000001E-2</v>
      </c>
      <c r="H114" s="1691" t="s">
        <v>863</v>
      </c>
      <c r="I114" s="1691">
        <f>(Liste!D51*Liste!E51/1000*Liste!F51/1000+Liste!D52*Liste!E52/1000*Liste!F52/1000)*Liste!D243</f>
        <v>0</v>
      </c>
      <c r="J114" s="1979">
        <f>VLOOKUP(F114,Kostensätze!A:E,5,FALSE)</f>
        <v>53.04</v>
      </c>
      <c r="K114" s="1980">
        <f t="shared" si="26"/>
        <v>0</v>
      </c>
      <c r="L114" s="1981">
        <f t="shared" si="25"/>
        <v>0</v>
      </c>
      <c r="M114" s="1982">
        <f t="shared" si="27"/>
        <v>0</v>
      </c>
      <c r="N114" s="1597">
        <v>0.5</v>
      </c>
      <c r="O114" s="1998">
        <f t="shared" si="30"/>
        <v>0</v>
      </c>
      <c r="P114" s="1998">
        <f t="shared" si="30"/>
        <v>0</v>
      </c>
      <c r="Q114" s="1997">
        <f t="shared" si="30"/>
        <v>0</v>
      </c>
      <c r="R114" s="1998">
        <f t="shared" si="30"/>
        <v>0</v>
      </c>
      <c r="S114" s="1998">
        <f t="shared" si="30"/>
        <v>0</v>
      </c>
      <c r="T114" s="1998">
        <f t="shared" si="30"/>
        <v>0</v>
      </c>
      <c r="U114" s="1998">
        <f t="shared" si="30"/>
        <v>0</v>
      </c>
      <c r="V114" s="1999"/>
      <c r="W114" s="1999">
        <f t="shared" si="29"/>
        <v>0</v>
      </c>
      <c r="X114" s="1999"/>
      <c r="Y114" s="1999">
        <f t="shared" si="28"/>
        <v>0</v>
      </c>
      <c r="Z114" s="1533"/>
      <c r="AA114" s="1533"/>
      <c r="AB114" s="1533"/>
      <c r="AC114" s="1533"/>
      <c r="AD114" s="1533"/>
      <c r="AE114" s="1533"/>
      <c r="AF114" s="1533"/>
      <c r="AG114" s="1533"/>
    </row>
    <row r="115" spans="1:33" s="1625" customFormat="1" ht="12.2" customHeight="1" x14ac:dyDescent="0.2">
      <c r="A115" s="1622"/>
      <c r="B115" s="1975" t="s">
        <v>537</v>
      </c>
      <c r="C115" s="1623" t="s">
        <v>30186</v>
      </c>
      <c r="D115" s="1623" t="s">
        <v>28937</v>
      </c>
      <c r="E115" s="1625" t="s">
        <v>28945</v>
      </c>
      <c r="F115" s="1625">
        <v>526</v>
      </c>
      <c r="G115" s="1591">
        <f>1/60*5/9</f>
        <v>9.2592592592592587E-3</v>
      </c>
      <c r="H115" s="1625" t="s">
        <v>860</v>
      </c>
      <c r="I115" s="1625">
        <f>SUM(Liste!D51:D56)</f>
        <v>0</v>
      </c>
      <c r="J115" s="1626">
        <f>VLOOKUP(F115,Kostensätze!A:E,5,FALSE)</f>
        <v>53.04</v>
      </c>
      <c r="K115" s="1627">
        <f>I115*G115*60+IF(I115&gt;0,N115,0)</f>
        <v>0</v>
      </c>
      <c r="L115" s="1628">
        <f>K115/60</f>
        <v>0</v>
      </c>
      <c r="M115" s="1629">
        <f>L115*J115</f>
        <v>0</v>
      </c>
      <c r="N115" s="1597"/>
      <c r="O115" s="1998">
        <f t="shared" si="30"/>
        <v>0</v>
      </c>
      <c r="P115" s="1998">
        <f t="shared" si="30"/>
        <v>0</v>
      </c>
      <c r="Q115" s="1997">
        <f t="shared" si="30"/>
        <v>0</v>
      </c>
      <c r="R115" s="1998">
        <f t="shared" si="30"/>
        <v>0</v>
      </c>
      <c r="S115" s="1998">
        <f t="shared" si="30"/>
        <v>0</v>
      </c>
      <c r="T115" s="1998">
        <f t="shared" si="30"/>
        <v>0</v>
      </c>
      <c r="U115" s="1998">
        <f t="shared" si="30"/>
        <v>0</v>
      </c>
      <c r="V115" s="1999"/>
      <c r="W115" s="1999">
        <f t="shared" si="29"/>
        <v>0</v>
      </c>
      <c r="X115" s="1999"/>
      <c r="Y115" s="1999">
        <f>IF(X115=1,L115,0)</f>
        <v>0</v>
      </c>
      <c r="Z115" s="1630"/>
      <c r="AA115" s="1630"/>
      <c r="AB115" s="1630"/>
      <c r="AC115" s="1630"/>
      <c r="AD115" s="1630"/>
      <c r="AE115" s="1630"/>
      <c r="AF115" s="1630"/>
      <c r="AG115" s="1630"/>
    </row>
    <row r="116" spans="1:33" s="1691" customFormat="1" ht="12.2" customHeight="1" x14ac:dyDescent="0.2">
      <c r="A116" s="1976"/>
      <c r="B116" s="1977" t="s">
        <v>537</v>
      </c>
      <c r="C116" s="1595" t="s">
        <v>30182</v>
      </c>
      <c r="D116" s="1595" t="s">
        <v>28937</v>
      </c>
      <c r="E116" s="1691" t="s">
        <v>28945</v>
      </c>
      <c r="F116" s="1691">
        <v>526</v>
      </c>
      <c r="G116" s="1591">
        <f>1/60*1</f>
        <v>1.6666666666666666E-2</v>
      </c>
      <c r="H116" s="1983" t="s">
        <v>29088</v>
      </c>
      <c r="I116" s="1691">
        <f>Liste!D50</f>
        <v>0</v>
      </c>
      <c r="J116" s="1979">
        <f>VLOOKUP(F116,Kostensätze!A:E,5,FALSE)</f>
        <v>53.04</v>
      </c>
      <c r="K116" s="1980">
        <f>I116*G116*60+IF(I116&gt;0,N116,0)</f>
        <v>0</v>
      </c>
      <c r="L116" s="1981">
        <f>K116/60</f>
        <v>0</v>
      </c>
      <c r="M116" s="1982">
        <f>L116*J116</f>
        <v>0</v>
      </c>
      <c r="N116" s="1597"/>
      <c r="O116" s="1998">
        <f t="shared" si="30"/>
        <v>0</v>
      </c>
      <c r="P116" s="1998">
        <f t="shared" si="30"/>
        <v>0</v>
      </c>
      <c r="Q116" s="1997">
        <f t="shared" si="30"/>
        <v>0</v>
      </c>
      <c r="R116" s="1998">
        <f t="shared" si="30"/>
        <v>0</v>
      </c>
      <c r="S116" s="1998">
        <f t="shared" si="30"/>
        <v>0</v>
      </c>
      <c r="T116" s="1998">
        <f t="shared" si="30"/>
        <v>0</v>
      </c>
      <c r="U116" s="1998">
        <f t="shared" si="30"/>
        <v>0</v>
      </c>
      <c r="V116" s="1999"/>
      <c r="W116" s="1999">
        <f t="shared" si="29"/>
        <v>0</v>
      </c>
      <c r="X116" s="1999"/>
      <c r="Y116" s="1999">
        <f>IF(X116=1,L116,0)</f>
        <v>0</v>
      </c>
      <c r="Z116" s="1533"/>
      <c r="AA116" s="1533"/>
      <c r="AB116" s="1533"/>
      <c r="AC116" s="1533"/>
      <c r="AD116" s="1533"/>
      <c r="AE116" s="1533"/>
      <c r="AF116" s="1533"/>
      <c r="AG116" s="1533"/>
    </row>
    <row r="117" spans="1:33" s="1625" customFormat="1" ht="12.2" customHeight="1" x14ac:dyDescent="0.2">
      <c r="A117" s="1622"/>
      <c r="B117" s="1975" t="s">
        <v>537</v>
      </c>
      <c r="C117" s="1623" t="s">
        <v>28917</v>
      </c>
      <c r="D117" s="1631" t="s">
        <v>28937</v>
      </c>
      <c r="E117" s="1625" t="s">
        <v>28945</v>
      </c>
      <c r="F117" s="1625">
        <v>526</v>
      </c>
      <c r="G117" s="1591">
        <f>1/60*4/30</f>
        <v>2.2222222222222222E-3</v>
      </c>
      <c r="H117" s="1971" t="s">
        <v>30183</v>
      </c>
      <c r="I117" s="1996">
        <f>Liste!D64</f>
        <v>0</v>
      </c>
      <c r="J117" s="1626">
        <f>VLOOKUP(F117,Kostensätze!A:E,5,FALSE)</f>
        <v>53.04</v>
      </c>
      <c r="K117" s="1627">
        <f>I117*G117*60+IF(I117&gt;0,N117,0)</f>
        <v>0</v>
      </c>
      <c r="L117" s="1628">
        <f>K117/60</f>
        <v>0</v>
      </c>
      <c r="M117" s="1629">
        <f>L117*J117</f>
        <v>0</v>
      </c>
      <c r="N117" s="1597">
        <v>2</v>
      </c>
      <c r="O117" s="1998">
        <f t="shared" si="30"/>
        <v>0</v>
      </c>
      <c r="P117" s="1998">
        <f t="shared" si="30"/>
        <v>0</v>
      </c>
      <c r="Q117" s="1997">
        <f t="shared" si="30"/>
        <v>0</v>
      </c>
      <c r="R117" s="1998">
        <f t="shared" si="30"/>
        <v>0</v>
      </c>
      <c r="S117" s="1998">
        <f t="shared" si="30"/>
        <v>0</v>
      </c>
      <c r="T117" s="1998">
        <f t="shared" si="30"/>
        <v>0</v>
      </c>
      <c r="U117" s="1998">
        <f t="shared" si="30"/>
        <v>0</v>
      </c>
      <c r="V117" s="1999"/>
      <c r="W117" s="1999">
        <f t="shared" si="29"/>
        <v>0</v>
      </c>
      <c r="X117" s="1999"/>
      <c r="Y117" s="1999">
        <f>IF(X117=1,L117,0)</f>
        <v>0</v>
      </c>
      <c r="Z117" s="1630"/>
      <c r="AA117" s="1630"/>
      <c r="AB117" s="1630"/>
      <c r="AC117" s="1630"/>
      <c r="AD117" s="1630"/>
      <c r="AE117" s="1630"/>
      <c r="AF117" s="1630"/>
      <c r="AG117" s="1630"/>
    </row>
    <row r="118" spans="1:33" s="1691" customFormat="1" ht="12.2" customHeight="1" x14ac:dyDescent="0.2">
      <c r="A118" s="1976"/>
      <c r="B118" s="1977" t="s">
        <v>537</v>
      </c>
      <c r="C118" s="1978" t="s">
        <v>28931</v>
      </c>
      <c r="D118" s="1978" t="s">
        <v>28937</v>
      </c>
      <c r="E118" s="1691" t="s">
        <v>28945</v>
      </c>
      <c r="F118" s="1691">
        <v>526</v>
      </c>
      <c r="G118" s="1591">
        <f>1/60*1</f>
        <v>1.6666666666666666E-2</v>
      </c>
      <c r="H118" s="1691" t="s">
        <v>29088</v>
      </c>
      <c r="I118" s="1691">
        <f>Liste!D50</f>
        <v>0</v>
      </c>
      <c r="J118" s="1979">
        <f>VLOOKUP(F118,Kostensätze!A:E,5,FALSE)</f>
        <v>53.04</v>
      </c>
      <c r="K118" s="1980">
        <f>I118*G118*60+IF(I118&gt;0,N118,0)</f>
        <v>0</v>
      </c>
      <c r="L118" s="1981">
        <f>K118/60</f>
        <v>0</v>
      </c>
      <c r="M118" s="1982">
        <f>L118*J118</f>
        <v>0</v>
      </c>
      <c r="N118" s="1597"/>
      <c r="O118" s="1998">
        <f t="shared" si="30"/>
        <v>0</v>
      </c>
      <c r="P118" s="1998">
        <f t="shared" si="30"/>
        <v>0</v>
      </c>
      <c r="Q118" s="1997">
        <f t="shared" si="30"/>
        <v>0</v>
      </c>
      <c r="R118" s="1998">
        <f t="shared" si="30"/>
        <v>0</v>
      </c>
      <c r="S118" s="1998">
        <f t="shared" si="30"/>
        <v>0</v>
      </c>
      <c r="T118" s="1998">
        <f t="shared" si="30"/>
        <v>0</v>
      </c>
      <c r="U118" s="1998">
        <f t="shared" si="30"/>
        <v>0</v>
      </c>
      <c r="V118" s="1999"/>
      <c r="W118" s="1999">
        <f>IF(V118=1,L118,0)</f>
        <v>0</v>
      </c>
      <c r="X118" s="1999"/>
      <c r="Y118" s="1999">
        <f>IF(X118=1,L118,0)</f>
        <v>0</v>
      </c>
      <c r="Z118" s="1533"/>
      <c r="AA118" s="1533"/>
      <c r="AB118" s="1533"/>
      <c r="AC118" s="1533"/>
      <c r="AD118" s="1533"/>
      <c r="AE118" s="1533"/>
      <c r="AF118" s="1533"/>
      <c r="AG118" s="1533"/>
    </row>
    <row r="119" spans="1:33" s="1625" customFormat="1" ht="12.2" customHeight="1" x14ac:dyDescent="0.2">
      <c r="A119" s="1622"/>
      <c r="B119" s="1975" t="s">
        <v>537</v>
      </c>
      <c r="C119" s="1623" t="s">
        <v>30209</v>
      </c>
      <c r="D119" s="1623" t="s">
        <v>28937</v>
      </c>
      <c r="E119" s="1625" t="s">
        <v>28945</v>
      </c>
      <c r="F119" s="1625">
        <v>526</v>
      </c>
      <c r="G119" s="1591">
        <f>1/60*2</f>
        <v>3.3333333333333333E-2</v>
      </c>
      <c r="H119" s="1625" t="s">
        <v>29088</v>
      </c>
      <c r="I119" s="1625">
        <f>Liste!D50</f>
        <v>0</v>
      </c>
      <c r="J119" s="1626">
        <f>VLOOKUP(F119,Kostensätze!A:E,5,FALSE)</f>
        <v>53.04</v>
      </c>
      <c r="K119" s="1627">
        <f t="shared" si="26"/>
        <v>0</v>
      </c>
      <c r="L119" s="1628">
        <f t="shared" si="25"/>
        <v>0</v>
      </c>
      <c r="M119" s="1629">
        <f t="shared" si="27"/>
        <v>0</v>
      </c>
      <c r="N119" s="1597"/>
      <c r="O119" s="1998">
        <f t="shared" si="30"/>
        <v>0</v>
      </c>
      <c r="P119" s="1998">
        <f t="shared" si="30"/>
        <v>0</v>
      </c>
      <c r="Q119" s="1997">
        <f t="shared" si="30"/>
        <v>0</v>
      </c>
      <c r="R119" s="1998">
        <f t="shared" si="30"/>
        <v>0</v>
      </c>
      <c r="S119" s="1998">
        <f t="shared" si="30"/>
        <v>0</v>
      </c>
      <c r="T119" s="1998">
        <f t="shared" si="30"/>
        <v>0</v>
      </c>
      <c r="U119" s="1998">
        <f t="shared" si="30"/>
        <v>0</v>
      </c>
      <c r="V119" s="1999"/>
      <c r="W119" s="1999">
        <f t="shared" si="29"/>
        <v>0</v>
      </c>
      <c r="X119" s="1999"/>
      <c r="Y119" s="1999">
        <f t="shared" si="28"/>
        <v>0</v>
      </c>
      <c r="Z119" s="1630"/>
      <c r="AA119" s="1630"/>
      <c r="AB119" s="1630"/>
      <c r="AC119" s="1630"/>
      <c r="AD119" s="1630"/>
      <c r="AE119" s="1630"/>
      <c r="AF119" s="1630"/>
      <c r="AG119" s="1630"/>
    </row>
    <row r="120" spans="1:33" s="1691" customFormat="1" ht="12.2" customHeight="1" x14ac:dyDescent="0.2">
      <c r="A120" s="1976"/>
      <c r="B120" s="1976" t="s">
        <v>537</v>
      </c>
      <c r="C120" s="1978" t="s">
        <v>28918</v>
      </c>
      <c r="D120" s="1595" t="s">
        <v>278</v>
      </c>
      <c r="E120" s="1691" t="s">
        <v>28945</v>
      </c>
      <c r="F120" s="1691">
        <v>526</v>
      </c>
      <c r="G120" s="1591">
        <f>1/60*4</f>
        <v>6.6666666666666666E-2</v>
      </c>
      <c r="H120" s="1691" t="s">
        <v>860</v>
      </c>
      <c r="I120" s="1691">
        <f>Liste!A60</f>
        <v>0</v>
      </c>
      <c r="J120" s="1979">
        <f>VLOOKUP(F120,Kostensätze!A:E,5,FALSE)</f>
        <v>53.04</v>
      </c>
      <c r="K120" s="1980">
        <f t="shared" si="26"/>
        <v>0</v>
      </c>
      <c r="L120" s="1981">
        <f t="shared" si="25"/>
        <v>0</v>
      </c>
      <c r="M120" s="1982">
        <f t="shared" si="27"/>
        <v>0</v>
      </c>
      <c r="N120" s="1597"/>
      <c r="O120" s="1998">
        <f t="shared" si="30"/>
        <v>0</v>
      </c>
      <c r="P120" s="1998">
        <f t="shared" si="30"/>
        <v>0</v>
      </c>
      <c r="Q120" s="1997">
        <f t="shared" si="30"/>
        <v>0</v>
      </c>
      <c r="R120" s="1998">
        <f t="shared" si="30"/>
        <v>0</v>
      </c>
      <c r="S120" s="1998">
        <f t="shared" si="30"/>
        <v>0</v>
      </c>
      <c r="T120" s="1998">
        <f t="shared" si="30"/>
        <v>0</v>
      </c>
      <c r="U120" s="1998">
        <f t="shared" si="30"/>
        <v>0</v>
      </c>
      <c r="V120" s="1999"/>
      <c r="W120" s="1999">
        <f t="shared" si="29"/>
        <v>0</v>
      </c>
      <c r="X120" s="1999"/>
      <c r="Y120" s="1999">
        <f t="shared" si="28"/>
        <v>0</v>
      </c>
      <c r="Z120" s="1533"/>
      <c r="AA120" s="1533"/>
      <c r="AB120" s="1533"/>
      <c r="AC120" s="1533"/>
      <c r="AD120" s="1533"/>
      <c r="AE120" s="1533"/>
      <c r="AF120" s="1533"/>
      <c r="AG120" s="1533"/>
    </row>
    <row r="121" spans="1:33" s="1625" customFormat="1" ht="12.2" customHeight="1" x14ac:dyDescent="0.2">
      <c r="A121" s="1622"/>
      <c r="B121" s="1622" t="s">
        <v>537</v>
      </c>
      <c r="C121" s="1631" t="s">
        <v>28919</v>
      </c>
      <c r="D121" s="1631" t="s">
        <v>278</v>
      </c>
      <c r="E121" s="1625" t="s">
        <v>28945</v>
      </c>
      <c r="F121" s="1625">
        <v>526</v>
      </c>
      <c r="G121" s="1591">
        <f>1/60*4</f>
        <v>6.6666666666666666E-2</v>
      </c>
      <c r="H121" s="1625" t="s">
        <v>860</v>
      </c>
      <c r="I121" s="1625">
        <f>Liste!A63</f>
        <v>0</v>
      </c>
      <c r="J121" s="1626">
        <f>VLOOKUP(F121,Kostensätze!A:E,5,FALSE)</f>
        <v>53.04</v>
      </c>
      <c r="K121" s="1627">
        <f t="shared" si="26"/>
        <v>0</v>
      </c>
      <c r="L121" s="1628">
        <f t="shared" si="25"/>
        <v>0</v>
      </c>
      <c r="M121" s="1629">
        <f t="shared" si="27"/>
        <v>0</v>
      </c>
      <c r="N121" s="1597"/>
      <c r="O121" s="1998">
        <f t="shared" si="30"/>
        <v>0</v>
      </c>
      <c r="P121" s="1998">
        <f t="shared" si="30"/>
        <v>0</v>
      </c>
      <c r="Q121" s="1997">
        <f t="shared" si="30"/>
        <v>0</v>
      </c>
      <c r="R121" s="1998">
        <f t="shared" si="30"/>
        <v>0</v>
      </c>
      <c r="S121" s="1998">
        <f t="shared" si="30"/>
        <v>0</v>
      </c>
      <c r="T121" s="1998">
        <f t="shared" si="30"/>
        <v>0</v>
      </c>
      <c r="U121" s="1998">
        <f t="shared" si="30"/>
        <v>0</v>
      </c>
      <c r="V121" s="1999"/>
      <c r="W121" s="1999">
        <f t="shared" si="29"/>
        <v>0</v>
      </c>
      <c r="X121" s="1999"/>
      <c r="Y121" s="1999">
        <f t="shared" si="28"/>
        <v>0</v>
      </c>
      <c r="Z121" s="1630"/>
      <c r="AA121" s="1630"/>
      <c r="AB121" s="1630"/>
      <c r="AC121" s="1630"/>
      <c r="AD121" s="1630"/>
      <c r="AE121" s="1630"/>
      <c r="AF121" s="1630"/>
      <c r="AG121" s="1630"/>
    </row>
    <row r="122" spans="1:33" s="1691" customFormat="1" ht="12.2" customHeight="1" x14ac:dyDescent="0.2">
      <c r="A122" s="1976"/>
      <c r="B122" s="1977" t="s">
        <v>537</v>
      </c>
      <c r="C122" s="1595" t="s">
        <v>867</v>
      </c>
      <c r="D122" s="1595" t="s">
        <v>453</v>
      </c>
      <c r="E122" s="1691" t="s">
        <v>28945</v>
      </c>
      <c r="F122" s="1691">
        <v>526</v>
      </c>
      <c r="G122" s="1591">
        <f>1/60*3</f>
        <v>0.05</v>
      </c>
      <c r="H122" s="1691" t="s">
        <v>29088</v>
      </c>
      <c r="I122" s="1691">
        <f>Liste!D50</f>
        <v>0</v>
      </c>
      <c r="J122" s="1979">
        <f>VLOOKUP(F122,Kostensätze!A:E,5,FALSE)</f>
        <v>53.04</v>
      </c>
      <c r="K122" s="1980">
        <f t="shared" si="26"/>
        <v>0</v>
      </c>
      <c r="L122" s="1981">
        <f t="shared" si="25"/>
        <v>0</v>
      </c>
      <c r="M122" s="1982">
        <f t="shared" si="27"/>
        <v>0</v>
      </c>
      <c r="N122" s="1597"/>
      <c r="O122" s="1998">
        <f t="shared" si="30"/>
        <v>0</v>
      </c>
      <c r="P122" s="1998">
        <f t="shared" si="30"/>
        <v>0</v>
      </c>
      <c r="Q122" s="1997">
        <f t="shared" si="30"/>
        <v>0</v>
      </c>
      <c r="R122" s="1998">
        <f t="shared" si="30"/>
        <v>0</v>
      </c>
      <c r="S122" s="1998">
        <f t="shared" si="30"/>
        <v>0</v>
      </c>
      <c r="T122" s="1998">
        <f t="shared" si="30"/>
        <v>0</v>
      </c>
      <c r="U122" s="1998">
        <f t="shared" si="30"/>
        <v>0</v>
      </c>
      <c r="V122" s="1999"/>
      <c r="W122" s="1999">
        <f t="shared" si="29"/>
        <v>0</v>
      </c>
      <c r="X122" s="1999"/>
      <c r="Y122" s="1999">
        <f t="shared" si="28"/>
        <v>0</v>
      </c>
      <c r="Z122" s="1533"/>
      <c r="AA122" s="1533"/>
      <c r="AB122" s="1533"/>
      <c r="AC122" s="1533"/>
      <c r="AD122" s="1533"/>
      <c r="AE122" s="1533"/>
      <c r="AF122" s="1533"/>
      <c r="AG122" s="1533"/>
    </row>
    <row r="123" spans="1:33" s="1625" customFormat="1" ht="12.2" customHeight="1" x14ac:dyDescent="0.2">
      <c r="A123" s="1622" t="s">
        <v>279</v>
      </c>
      <c r="B123" s="1622"/>
      <c r="C123" s="1623"/>
      <c r="D123" s="1623"/>
      <c r="F123" s="1625">
        <v>526</v>
      </c>
      <c r="G123" s="1591"/>
      <c r="J123" s="1626"/>
      <c r="K123" s="1627">
        <f t="shared" si="26"/>
        <v>0</v>
      </c>
      <c r="L123" s="1628"/>
      <c r="M123" s="1629">
        <f t="shared" si="27"/>
        <v>0</v>
      </c>
      <c r="N123" s="1597"/>
      <c r="O123" s="1998">
        <f t="shared" si="30"/>
        <v>0</v>
      </c>
      <c r="P123" s="1998">
        <f t="shared" si="30"/>
        <v>0</v>
      </c>
      <c r="Q123" s="1997">
        <f t="shared" si="30"/>
        <v>0</v>
      </c>
      <c r="R123" s="1998">
        <f t="shared" si="30"/>
        <v>0</v>
      </c>
      <c r="S123" s="1998">
        <f t="shared" si="30"/>
        <v>0</v>
      </c>
      <c r="T123" s="1998">
        <f t="shared" si="30"/>
        <v>0</v>
      </c>
      <c r="U123" s="1998">
        <f t="shared" si="30"/>
        <v>0</v>
      </c>
      <c r="V123" s="1999"/>
      <c r="W123" s="1999">
        <f t="shared" si="29"/>
        <v>0</v>
      </c>
      <c r="X123" s="1999"/>
      <c r="Y123" s="1999">
        <f t="shared" si="28"/>
        <v>0</v>
      </c>
      <c r="Z123" s="1630"/>
      <c r="AA123" s="1630"/>
      <c r="AB123" s="1630"/>
      <c r="AC123" s="1630"/>
      <c r="AD123" s="1630"/>
      <c r="AE123" s="1630"/>
      <c r="AF123" s="1630"/>
      <c r="AG123" s="1630"/>
    </row>
    <row r="124" spans="1:33" s="1691" customFormat="1" ht="12.2" customHeight="1" x14ac:dyDescent="0.2">
      <c r="A124" s="1976"/>
      <c r="B124" s="1976"/>
      <c r="C124" s="1595" t="s">
        <v>28900</v>
      </c>
      <c r="D124" s="1595" t="s">
        <v>28903</v>
      </c>
      <c r="E124" s="1691" t="s">
        <v>108</v>
      </c>
      <c r="F124" s="1691">
        <v>520</v>
      </c>
      <c r="G124" s="1591">
        <v>3.3000000000000002E-2</v>
      </c>
      <c r="H124" s="1983" t="s">
        <v>860</v>
      </c>
      <c r="I124" s="1691">
        <f>Liste!D86</f>
        <v>0</v>
      </c>
      <c r="J124" s="1979">
        <f>VLOOKUP(F124,Kostensätze!A:E,5,FALSE)</f>
        <v>37.619999999999997</v>
      </c>
      <c r="K124" s="1980">
        <f t="shared" si="26"/>
        <v>0</v>
      </c>
      <c r="L124" s="1981">
        <f t="shared" si="25"/>
        <v>0</v>
      </c>
      <c r="M124" s="1982">
        <f t="shared" si="27"/>
        <v>0</v>
      </c>
      <c r="N124" s="1597"/>
      <c r="O124" s="1998">
        <f t="shared" si="30"/>
        <v>0</v>
      </c>
      <c r="P124" s="1998">
        <f t="shared" si="30"/>
        <v>0</v>
      </c>
      <c r="Q124" s="1997">
        <f t="shared" si="30"/>
        <v>0</v>
      </c>
      <c r="R124" s="1998">
        <f t="shared" si="30"/>
        <v>0</v>
      </c>
      <c r="S124" s="1998">
        <f t="shared" si="30"/>
        <v>0</v>
      </c>
      <c r="T124" s="1998">
        <f t="shared" si="30"/>
        <v>0</v>
      </c>
      <c r="U124" s="1998">
        <f t="shared" si="30"/>
        <v>0</v>
      </c>
      <c r="V124" s="1999">
        <v>1</v>
      </c>
      <c r="W124" s="1999">
        <f t="shared" si="29"/>
        <v>0</v>
      </c>
      <c r="X124" s="1999"/>
      <c r="Y124" s="1999">
        <f t="shared" si="28"/>
        <v>0</v>
      </c>
      <c r="Z124" s="1533"/>
      <c r="AA124" s="1533"/>
      <c r="AB124" s="1533"/>
      <c r="AC124" s="1533"/>
      <c r="AD124" s="1533"/>
      <c r="AE124" s="1533"/>
      <c r="AF124" s="1533"/>
      <c r="AG124" s="1533"/>
    </row>
    <row r="125" spans="1:33" s="1625" customFormat="1" ht="12.2" customHeight="1" x14ac:dyDescent="0.2">
      <c r="A125" s="1622"/>
      <c r="B125" s="1622"/>
      <c r="C125" s="1623" t="s">
        <v>28901</v>
      </c>
      <c r="D125" s="1623" t="s">
        <v>28903</v>
      </c>
      <c r="E125" s="1625" t="s">
        <v>108</v>
      </c>
      <c r="F125" s="1625">
        <v>520</v>
      </c>
      <c r="G125" s="1591">
        <v>1.2500000000000001E-2</v>
      </c>
      <c r="H125" s="1625" t="s">
        <v>860</v>
      </c>
      <c r="I125" s="1625">
        <f>Liste!D86</f>
        <v>0</v>
      </c>
      <c r="J125" s="1626">
        <f>VLOOKUP(F125,Kostensätze!A:E,5,FALSE)</f>
        <v>37.619999999999997</v>
      </c>
      <c r="K125" s="1627">
        <f t="shared" si="26"/>
        <v>0</v>
      </c>
      <c r="L125" s="1628">
        <f t="shared" si="25"/>
        <v>0</v>
      </c>
      <c r="M125" s="1629">
        <f t="shared" si="27"/>
        <v>0</v>
      </c>
      <c r="N125" s="1597"/>
      <c r="O125" s="1998">
        <f t="shared" si="30"/>
        <v>0</v>
      </c>
      <c r="P125" s="1998">
        <f t="shared" si="30"/>
        <v>0</v>
      </c>
      <c r="Q125" s="1997">
        <f t="shared" si="30"/>
        <v>0</v>
      </c>
      <c r="R125" s="1998">
        <f t="shared" si="30"/>
        <v>0</v>
      </c>
      <c r="S125" s="1998">
        <f t="shared" si="30"/>
        <v>0</v>
      </c>
      <c r="T125" s="1998">
        <f t="shared" si="30"/>
        <v>0</v>
      </c>
      <c r="U125" s="1998">
        <f t="shared" si="30"/>
        <v>0</v>
      </c>
      <c r="V125" s="1999"/>
      <c r="W125" s="1999">
        <f t="shared" si="29"/>
        <v>0</v>
      </c>
      <c r="X125" s="1999">
        <v>1</v>
      </c>
      <c r="Y125" s="1999">
        <f t="shared" si="28"/>
        <v>0</v>
      </c>
      <c r="Z125" s="1630"/>
      <c r="AA125" s="1630"/>
      <c r="AB125" s="1630"/>
      <c r="AC125" s="1630"/>
      <c r="AD125" s="1630"/>
      <c r="AE125" s="1630"/>
      <c r="AF125" s="1630"/>
      <c r="AG125" s="1630"/>
    </row>
    <row r="126" spans="1:33" s="1691" customFormat="1" ht="12.2" customHeight="1" x14ac:dyDescent="0.2">
      <c r="A126" s="1976"/>
      <c r="B126" s="1976"/>
      <c r="C126" s="1978" t="s">
        <v>28900</v>
      </c>
      <c r="D126" s="1595" t="s">
        <v>28938</v>
      </c>
      <c r="E126" s="1691" t="s">
        <v>108</v>
      </c>
      <c r="F126" s="1691">
        <v>520</v>
      </c>
      <c r="G126" s="1591">
        <v>3.3000000000000002E-2</v>
      </c>
      <c r="H126" s="1691" t="s">
        <v>860</v>
      </c>
      <c r="I126" s="1691">
        <f>Liste!D86</f>
        <v>0</v>
      </c>
      <c r="J126" s="1979">
        <f>VLOOKUP(F126,Kostensätze!A:E,5,FALSE)</f>
        <v>37.619999999999997</v>
      </c>
      <c r="K126" s="1980">
        <f t="shared" si="26"/>
        <v>0</v>
      </c>
      <c r="L126" s="1981">
        <f t="shared" si="25"/>
        <v>0</v>
      </c>
      <c r="M126" s="1982">
        <f t="shared" si="27"/>
        <v>0</v>
      </c>
      <c r="N126" s="1597"/>
      <c r="O126" s="1998">
        <f t="shared" si="30"/>
        <v>0</v>
      </c>
      <c r="P126" s="1998">
        <f t="shared" si="30"/>
        <v>0</v>
      </c>
      <c r="Q126" s="1997">
        <f t="shared" si="30"/>
        <v>0</v>
      </c>
      <c r="R126" s="1998">
        <f t="shared" si="30"/>
        <v>0</v>
      </c>
      <c r="S126" s="1998">
        <f t="shared" si="30"/>
        <v>0</v>
      </c>
      <c r="T126" s="1998">
        <f t="shared" si="30"/>
        <v>0</v>
      </c>
      <c r="U126" s="1998">
        <f t="shared" si="30"/>
        <v>0</v>
      </c>
      <c r="V126" s="1999">
        <v>1</v>
      </c>
      <c r="W126" s="1999">
        <f t="shared" si="29"/>
        <v>0</v>
      </c>
      <c r="X126" s="1999"/>
      <c r="Y126" s="1999">
        <f t="shared" si="28"/>
        <v>0</v>
      </c>
      <c r="Z126" s="1533"/>
      <c r="AA126" s="1533"/>
      <c r="AB126" s="1533"/>
      <c r="AC126" s="1533"/>
      <c r="AD126" s="1533"/>
      <c r="AE126" s="1533"/>
      <c r="AF126" s="1533"/>
      <c r="AG126" s="1533"/>
    </row>
    <row r="127" spans="1:33" s="1625" customFormat="1" ht="12.2" customHeight="1" x14ac:dyDescent="0.2">
      <c r="A127" s="1622"/>
      <c r="B127" s="1622"/>
      <c r="C127" s="1631" t="s">
        <v>28901</v>
      </c>
      <c r="D127" s="1631" t="s">
        <v>28938</v>
      </c>
      <c r="E127" s="1625" t="s">
        <v>108</v>
      </c>
      <c r="F127" s="1625">
        <v>520</v>
      </c>
      <c r="G127" s="1591">
        <v>1.2500000000000001E-2</v>
      </c>
      <c r="H127" s="1625" t="s">
        <v>860</v>
      </c>
      <c r="I127" s="1625">
        <f>Liste!A134</f>
        <v>0</v>
      </c>
      <c r="J127" s="1626">
        <f>VLOOKUP(F127,Kostensätze!A:E,5,FALSE)</f>
        <v>37.619999999999997</v>
      </c>
      <c r="K127" s="1627">
        <f t="shared" si="26"/>
        <v>0</v>
      </c>
      <c r="L127" s="1628">
        <f t="shared" si="25"/>
        <v>0</v>
      </c>
      <c r="M127" s="1629">
        <f t="shared" si="27"/>
        <v>0</v>
      </c>
      <c r="N127" s="1597"/>
      <c r="O127" s="1998">
        <f t="shared" si="30"/>
        <v>0</v>
      </c>
      <c r="P127" s="1998">
        <f t="shared" si="30"/>
        <v>0</v>
      </c>
      <c r="Q127" s="1997">
        <f t="shared" si="30"/>
        <v>0</v>
      </c>
      <c r="R127" s="1998">
        <f t="shared" si="30"/>
        <v>0</v>
      </c>
      <c r="S127" s="1998">
        <f t="shared" si="30"/>
        <v>0</v>
      </c>
      <c r="T127" s="1998">
        <f t="shared" si="30"/>
        <v>0</v>
      </c>
      <c r="U127" s="1998">
        <f t="shared" si="30"/>
        <v>0</v>
      </c>
      <c r="V127" s="1999"/>
      <c r="W127" s="1999">
        <f t="shared" si="29"/>
        <v>0</v>
      </c>
      <c r="X127" s="1999">
        <v>1</v>
      </c>
      <c r="Y127" s="1999">
        <f t="shared" si="28"/>
        <v>0</v>
      </c>
      <c r="Z127" s="1630"/>
      <c r="AA127" s="1630"/>
      <c r="AB127" s="1630"/>
      <c r="AC127" s="1630"/>
      <c r="AD127" s="1630"/>
      <c r="AE127" s="1630"/>
      <c r="AF127" s="1630"/>
      <c r="AG127" s="1630"/>
    </row>
    <row r="128" spans="1:33" s="1691" customFormat="1" ht="12.2" customHeight="1" x14ac:dyDescent="0.2">
      <c r="A128" s="1976"/>
      <c r="B128" s="1976"/>
      <c r="C128" s="1595" t="s">
        <v>28900</v>
      </c>
      <c r="D128" s="1595" t="s">
        <v>28939</v>
      </c>
      <c r="E128" s="1691" t="s">
        <v>108</v>
      </c>
      <c r="F128" s="1691">
        <v>520</v>
      </c>
      <c r="G128" s="1591">
        <v>3.3000000000000002E-2</v>
      </c>
      <c r="H128" s="1691" t="s">
        <v>860</v>
      </c>
      <c r="I128" s="1691">
        <f>Liste!A134</f>
        <v>0</v>
      </c>
      <c r="J128" s="1979">
        <f>VLOOKUP(F128,Kostensätze!A:E,5,FALSE)</f>
        <v>37.619999999999997</v>
      </c>
      <c r="K128" s="1980">
        <f t="shared" si="26"/>
        <v>0</v>
      </c>
      <c r="L128" s="1981">
        <f t="shared" si="25"/>
        <v>0</v>
      </c>
      <c r="M128" s="1982">
        <f t="shared" si="27"/>
        <v>0</v>
      </c>
      <c r="N128" s="1597"/>
      <c r="O128" s="1998">
        <f t="shared" si="30"/>
        <v>0</v>
      </c>
      <c r="P128" s="1998">
        <f t="shared" si="30"/>
        <v>0</v>
      </c>
      <c r="Q128" s="1997">
        <f t="shared" si="30"/>
        <v>0</v>
      </c>
      <c r="R128" s="1998">
        <f t="shared" si="30"/>
        <v>0</v>
      </c>
      <c r="S128" s="1998">
        <f t="shared" si="30"/>
        <v>0</v>
      </c>
      <c r="T128" s="1998">
        <f t="shared" si="30"/>
        <v>0</v>
      </c>
      <c r="U128" s="1998">
        <f t="shared" si="30"/>
        <v>0</v>
      </c>
      <c r="V128" s="1999">
        <v>1</v>
      </c>
      <c r="W128" s="1999">
        <f t="shared" si="29"/>
        <v>0</v>
      </c>
      <c r="X128" s="1999"/>
      <c r="Y128" s="1999">
        <f t="shared" si="28"/>
        <v>0</v>
      </c>
      <c r="Z128" s="1533"/>
      <c r="AA128" s="1533"/>
      <c r="AB128" s="1533"/>
      <c r="AC128" s="1533"/>
      <c r="AD128" s="1533"/>
      <c r="AE128" s="1533"/>
      <c r="AF128" s="1533"/>
      <c r="AG128" s="1533"/>
    </row>
    <row r="129" spans="1:33" s="1625" customFormat="1" ht="12.2" customHeight="1" x14ac:dyDescent="0.2">
      <c r="A129" s="1622"/>
      <c r="B129" s="1622"/>
      <c r="C129" s="1623" t="s">
        <v>28901</v>
      </c>
      <c r="D129" s="1623" t="s">
        <v>28939</v>
      </c>
      <c r="E129" s="1625" t="s">
        <v>108</v>
      </c>
      <c r="F129" s="1625">
        <v>520</v>
      </c>
      <c r="G129" s="1591">
        <v>1.2500000000000001E-2</v>
      </c>
      <c r="H129" s="1625" t="s">
        <v>860</v>
      </c>
      <c r="I129" s="1625">
        <f>Liste!A137</f>
        <v>0</v>
      </c>
      <c r="J129" s="1626">
        <f>VLOOKUP(F129,Kostensätze!A:E,5,FALSE)</f>
        <v>37.619999999999997</v>
      </c>
      <c r="K129" s="1627">
        <f t="shared" si="26"/>
        <v>0</v>
      </c>
      <c r="L129" s="1628">
        <f t="shared" si="25"/>
        <v>0</v>
      </c>
      <c r="M129" s="1629">
        <f t="shared" si="27"/>
        <v>0</v>
      </c>
      <c r="N129" s="1597"/>
      <c r="O129" s="1998">
        <f t="shared" si="30"/>
        <v>0</v>
      </c>
      <c r="P129" s="1998">
        <f t="shared" si="30"/>
        <v>0</v>
      </c>
      <c r="Q129" s="1997">
        <f t="shared" si="30"/>
        <v>0</v>
      </c>
      <c r="R129" s="1998">
        <f t="shared" si="30"/>
        <v>0</v>
      </c>
      <c r="S129" s="1998">
        <f t="shared" si="30"/>
        <v>0</v>
      </c>
      <c r="T129" s="1998">
        <f t="shared" si="30"/>
        <v>0</v>
      </c>
      <c r="U129" s="1998">
        <f t="shared" si="30"/>
        <v>0</v>
      </c>
      <c r="V129" s="1999"/>
      <c r="W129" s="1999">
        <f t="shared" si="29"/>
        <v>0</v>
      </c>
      <c r="X129" s="1999">
        <v>1</v>
      </c>
      <c r="Y129" s="1999">
        <f t="shared" si="28"/>
        <v>0</v>
      </c>
      <c r="Z129" s="1630"/>
      <c r="AA129" s="1630"/>
      <c r="AB129" s="1630"/>
      <c r="AC129" s="1630"/>
      <c r="AD129" s="1630"/>
      <c r="AE129" s="1630"/>
      <c r="AF129" s="1630"/>
      <c r="AG129" s="1630"/>
    </row>
    <row r="130" spans="1:33" s="1691" customFormat="1" ht="12.2" customHeight="1" x14ac:dyDescent="0.2">
      <c r="A130" s="1976"/>
      <c r="B130" s="1976"/>
      <c r="C130" s="1595" t="s">
        <v>28900</v>
      </c>
      <c r="D130" s="1595" t="s">
        <v>29659</v>
      </c>
      <c r="E130" s="1691" t="s">
        <v>108</v>
      </c>
      <c r="F130" s="1691">
        <v>520</v>
      </c>
      <c r="G130" s="1591">
        <v>3.3000000000000002E-2</v>
      </c>
      <c r="H130" s="1691" t="s">
        <v>860</v>
      </c>
      <c r="I130" s="1691">
        <f>Liste!$A$103*Liste!$D$86</f>
        <v>0</v>
      </c>
      <c r="J130" s="1979">
        <f>VLOOKUP(F130,Kostensätze!A:E,5,FALSE)</f>
        <v>37.619999999999997</v>
      </c>
      <c r="K130" s="1980">
        <f t="shared" si="26"/>
        <v>0</v>
      </c>
      <c r="L130" s="1981">
        <f t="shared" si="25"/>
        <v>0</v>
      </c>
      <c r="M130" s="1982">
        <f t="shared" si="27"/>
        <v>0</v>
      </c>
      <c r="N130" s="1597"/>
      <c r="O130" s="1998">
        <f t="shared" si="30"/>
        <v>0</v>
      </c>
      <c r="P130" s="1998">
        <f t="shared" si="30"/>
        <v>0</v>
      </c>
      <c r="Q130" s="1997">
        <f t="shared" si="30"/>
        <v>0</v>
      </c>
      <c r="R130" s="1998">
        <f t="shared" si="30"/>
        <v>0</v>
      </c>
      <c r="S130" s="1998">
        <f t="shared" si="30"/>
        <v>0</v>
      </c>
      <c r="T130" s="1998">
        <f t="shared" si="30"/>
        <v>0</v>
      </c>
      <c r="U130" s="1998">
        <f t="shared" si="30"/>
        <v>0</v>
      </c>
      <c r="V130" s="1999">
        <v>1</v>
      </c>
      <c r="W130" s="1999">
        <f t="shared" si="29"/>
        <v>0</v>
      </c>
      <c r="X130" s="1999"/>
      <c r="Y130" s="1999">
        <f t="shared" si="28"/>
        <v>0</v>
      </c>
      <c r="Z130" s="1533"/>
      <c r="AA130" s="1533"/>
      <c r="AB130" s="1533"/>
      <c r="AC130" s="1533"/>
      <c r="AD130" s="1533"/>
      <c r="AE130" s="1533"/>
      <c r="AF130" s="1533"/>
      <c r="AG130" s="1533"/>
    </row>
    <row r="131" spans="1:33" s="1625" customFormat="1" ht="12.2" customHeight="1" x14ac:dyDescent="0.2">
      <c r="A131" s="1622"/>
      <c r="B131" s="1622"/>
      <c r="C131" s="1631" t="s">
        <v>28901</v>
      </c>
      <c r="D131" s="1631" t="s">
        <v>29659</v>
      </c>
      <c r="E131" s="1625" t="s">
        <v>108</v>
      </c>
      <c r="F131" s="1625">
        <v>520</v>
      </c>
      <c r="G131" s="1591">
        <v>1.2999999999999999E-2</v>
      </c>
      <c r="H131" s="1625" t="s">
        <v>860</v>
      </c>
      <c r="I131" s="1625">
        <f>Liste!$A$103*Liste!$D$86</f>
        <v>0</v>
      </c>
      <c r="J131" s="1626">
        <f>VLOOKUP(F131,Kostensätze!A:E,5,FALSE)</f>
        <v>37.619999999999997</v>
      </c>
      <c r="K131" s="1627">
        <f t="shared" si="26"/>
        <v>0</v>
      </c>
      <c r="L131" s="1628">
        <f t="shared" si="25"/>
        <v>0</v>
      </c>
      <c r="M131" s="1629">
        <f t="shared" si="27"/>
        <v>0</v>
      </c>
      <c r="N131" s="1597"/>
      <c r="O131" s="1998">
        <f t="shared" si="30"/>
        <v>0</v>
      </c>
      <c r="P131" s="1998">
        <f t="shared" si="30"/>
        <v>0</v>
      </c>
      <c r="Q131" s="1997">
        <f t="shared" si="30"/>
        <v>0</v>
      </c>
      <c r="R131" s="1998">
        <f t="shared" si="30"/>
        <v>0</v>
      </c>
      <c r="S131" s="1998">
        <f t="shared" si="30"/>
        <v>0</v>
      </c>
      <c r="T131" s="1998">
        <f t="shared" si="30"/>
        <v>0</v>
      </c>
      <c r="U131" s="1998">
        <f t="shared" si="30"/>
        <v>0</v>
      </c>
      <c r="V131" s="1999"/>
      <c r="W131" s="1999">
        <f t="shared" si="29"/>
        <v>0</v>
      </c>
      <c r="X131" s="1999">
        <v>1</v>
      </c>
      <c r="Y131" s="1999">
        <f t="shared" si="28"/>
        <v>0</v>
      </c>
      <c r="Z131" s="1630"/>
      <c r="AA131" s="1630"/>
      <c r="AB131" s="1630"/>
      <c r="AC131" s="1630"/>
      <c r="AD131" s="1630"/>
      <c r="AE131" s="1630"/>
      <c r="AF131" s="1630"/>
      <c r="AG131" s="1630"/>
    </row>
    <row r="132" spans="1:33" s="1691" customFormat="1" ht="12.2" customHeight="1" x14ac:dyDescent="0.2">
      <c r="A132" s="1976"/>
      <c r="B132" s="1976"/>
      <c r="C132" s="1978" t="s">
        <v>28900</v>
      </c>
      <c r="D132" s="1595" t="s">
        <v>28906</v>
      </c>
      <c r="E132" s="1691" t="s">
        <v>108</v>
      </c>
      <c r="F132" s="1691">
        <v>520</v>
      </c>
      <c r="G132" s="1591">
        <v>3.3000000000000002E-2</v>
      </c>
      <c r="H132" s="1691" t="s">
        <v>860</v>
      </c>
      <c r="I132" s="1691">
        <f>SUM(Liste!$D$104:$D$105,Liste!$D$112:$D$113)*Liste!$D$86</f>
        <v>0</v>
      </c>
      <c r="J132" s="1979">
        <f>VLOOKUP(F132,Kostensätze!A:E,5,FALSE)</f>
        <v>37.619999999999997</v>
      </c>
      <c r="K132" s="1980">
        <f t="shared" si="26"/>
        <v>0</v>
      </c>
      <c r="L132" s="1981">
        <f t="shared" si="25"/>
        <v>0</v>
      </c>
      <c r="M132" s="1982">
        <f t="shared" si="27"/>
        <v>0</v>
      </c>
      <c r="N132" s="1597"/>
      <c r="O132" s="1998">
        <f t="shared" si="30"/>
        <v>0</v>
      </c>
      <c r="P132" s="1998">
        <f t="shared" si="30"/>
        <v>0</v>
      </c>
      <c r="Q132" s="1997">
        <f t="shared" si="30"/>
        <v>0</v>
      </c>
      <c r="R132" s="1998">
        <f t="shared" si="30"/>
        <v>0</v>
      </c>
      <c r="S132" s="1998">
        <f t="shared" si="30"/>
        <v>0</v>
      </c>
      <c r="T132" s="1998">
        <f t="shared" si="30"/>
        <v>0</v>
      </c>
      <c r="U132" s="1998">
        <f t="shared" si="30"/>
        <v>0</v>
      </c>
      <c r="V132" s="1999">
        <v>1</v>
      </c>
      <c r="W132" s="1999">
        <f t="shared" si="29"/>
        <v>0</v>
      </c>
      <c r="X132" s="1999"/>
      <c r="Y132" s="1999">
        <f t="shared" si="28"/>
        <v>0</v>
      </c>
      <c r="Z132" s="1533"/>
      <c r="AA132" s="1533"/>
      <c r="AB132" s="1533"/>
      <c r="AC132" s="1533"/>
      <c r="AD132" s="1533"/>
      <c r="AE132" s="1533"/>
      <c r="AF132" s="1533"/>
      <c r="AG132" s="1533"/>
    </row>
    <row r="133" spans="1:33" s="1625" customFormat="1" ht="12.2" customHeight="1" x14ac:dyDescent="0.2">
      <c r="A133" s="1622"/>
      <c r="B133" s="1622"/>
      <c r="C133" s="1631" t="s">
        <v>28901</v>
      </c>
      <c r="D133" s="1631" t="s">
        <v>28906</v>
      </c>
      <c r="E133" s="1625" t="s">
        <v>108</v>
      </c>
      <c r="F133" s="1625">
        <v>520</v>
      </c>
      <c r="G133" s="1591">
        <v>1.2500000000000001E-2</v>
      </c>
      <c r="H133" s="1625" t="s">
        <v>860</v>
      </c>
      <c r="I133" s="1625">
        <f>SUM(Liste!$D$104:$D$105,Liste!$D$112:$D$113)*Liste!$D$86</f>
        <v>0</v>
      </c>
      <c r="J133" s="1626">
        <f>VLOOKUP(F133,Kostensätze!A:E,5,FALSE)</f>
        <v>37.619999999999997</v>
      </c>
      <c r="K133" s="1627">
        <f t="shared" si="26"/>
        <v>0</v>
      </c>
      <c r="L133" s="1628">
        <f t="shared" si="25"/>
        <v>0</v>
      </c>
      <c r="M133" s="1629">
        <f t="shared" si="27"/>
        <v>0</v>
      </c>
      <c r="N133" s="1597"/>
      <c r="O133" s="1998">
        <f t="shared" si="30"/>
        <v>0</v>
      </c>
      <c r="P133" s="1998">
        <f t="shared" si="30"/>
        <v>0</v>
      </c>
      <c r="Q133" s="1997">
        <f t="shared" si="30"/>
        <v>0</v>
      </c>
      <c r="R133" s="1998">
        <f t="shared" si="30"/>
        <v>0</v>
      </c>
      <c r="S133" s="1998">
        <f t="shared" si="30"/>
        <v>0</v>
      </c>
      <c r="T133" s="1998">
        <f t="shared" si="30"/>
        <v>0</v>
      </c>
      <c r="U133" s="1998">
        <f t="shared" si="30"/>
        <v>0</v>
      </c>
      <c r="V133" s="1999"/>
      <c r="W133" s="1999">
        <f t="shared" si="29"/>
        <v>0</v>
      </c>
      <c r="X133" s="1999">
        <v>1</v>
      </c>
      <c r="Y133" s="1999">
        <f t="shared" si="28"/>
        <v>0</v>
      </c>
      <c r="Z133" s="1630"/>
      <c r="AA133" s="1630"/>
      <c r="AB133" s="1630"/>
      <c r="AC133" s="1630"/>
      <c r="AD133" s="1630"/>
      <c r="AE133" s="1630"/>
      <c r="AF133" s="1630"/>
      <c r="AG133" s="1630"/>
    </row>
    <row r="134" spans="1:33" s="1691" customFormat="1" ht="12.2" customHeight="1" x14ac:dyDescent="0.2">
      <c r="A134" s="1976"/>
      <c r="B134" s="1976"/>
      <c r="C134" s="1595" t="s">
        <v>28902</v>
      </c>
      <c r="D134" s="1595" t="s">
        <v>28906</v>
      </c>
      <c r="E134" s="1691" t="s">
        <v>108</v>
      </c>
      <c r="F134" s="1691">
        <v>520</v>
      </c>
      <c r="G134" s="1591">
        <v>1.6E-2</v>
      </c>
      <c r="H134" s="1691" t="s">
        <v>860</v>
      </c>
      <c r="I134" s="1691">
        <f>SUM(Liste!$D$104:$D$105,Liste!$D$112:$D$113)*Liste!$D$86</f>
        <v>0</v>
      </c>
      <c r="J134" s="1979">
        <f>VLOOKUP(F134,Kostensätze!A:E,5,FALSE)</f>
        <v>37.619999999999997</v>
      </c>
      <c r="K134" s="1980">
        <f t="shared" si="26"/>
        <v>0</v>
      </c>
      <c r="L134" s="1981">
        <f t="shared" si="25"/>
        <v>0</v>
      </c>
      <c r="M134" s="1982">
        <f t="shared" si="27"/>
        <v>0</v>
      </c>
      <c r="N134" s="1597"/>
      <c r="O134" s="1998">
        <f t="shared" si="30"/>
        <v>0</v>
      </c>
      <c r="P134" s="1998">
        <f t="shared" si="30"/>
        <v>0</v>
      </c>
      <c r="Q134" s="1997">
        <f t="shared" si="30"/>
        <v>0</v>
      </c>
      <c r="R134" s="1998">
        <f t="shared" si="30"/>
        <v>0</v>
      </c>
      <c r="S134" s="1998">
        <f t="shared" si="30"/>
        <v>0</v>
      </c>
      <c r="T134" s="1998">
        <f t="shared" si="30"/>
        <v>0</v>
      </c>
      <c r="U134" s="1998">
        <f t="shared" si="30"/>
        <v>0</v>
      </c>
      <c r="V134" s="1999"/>
      <c r="W134" s="1999">
        <f t="shared" si="29"/>
        <v>0</v>
      </c>
      <c r="X134" s="1999">
        <v>1</v>
      </c>
      <c r="Y134" s="1999">
        <f t="shared" si="28"/>
        <v>0</v>
      </c>
      <c r="Z134" s="1533"/>
      <c r="AA134" s="1533"/>
      <c r="AB134" s="1533"/>
      <c r="AC134" s="1533"/>
      <c r="AD134" s="1533"/>
      <c r="AE134" s="1533"/>
      <c r="AF134" s="1533"/>
      <c r="AG134" s="1533"/>
    </row>
    <row r="135" spans="1:33" s="1625" customFormat="1" ht="12.2" customHeight="1" x14ac:dyDescent="0.2">
      <c r="A135" s="1622"/>
      <c r="B135" s="1622"/>
      <c r="C135" s="1623" t="s">
        <v>28900</v>
      </c>
      <c r="D135" s="1631" t="s">
        <v>28907</v>
      </c>
      <c r="E135" s="1625" t="s">
        <v>108</v>
      </c>
      <c r="F135" s="1625">
        <v>520</v>
      </c>
      <c r="G135" s="1591">
        <v>3.3000000000000002E-2</v>
      </c>
      <c r="H135" s="1625" t="s">
        <v>860</v>
      </c>
      <c r="I135" s="1625">
        <f>SUM(Liste!$D$106:$D$107,Liste!$D$114:$D$115,Liste!$D$124:$D$125)*Liste!$D$86</f>
        <v>0</v>
      </c>
      <c r="J135" s="1626">
        <f>VLOOKUP(F135,Kostensätze!A:E,5,FALSE)</f>
        <v>37.619999999999997</v>
      </c>
      <c r="K135" s="1627">
        <f t="shared" si="26"/>
        <v>0</v>
      </c>
      <c r="L135" s="1628">
        <f t="shared" si="25"/>
        <v>0</v>
      </c>
      <c r="M135" s="1629">
        <f t="shared" si="27"/>
        <v>0</v>
      </c>
      <c r="N135" s="1597"/>
      <c r="O135" s="1998">
        <f t="shared" si="30"/>
        <v>0</v>
      </c>
      <c r="P135" s="1998">
        <f t="shared" si="30"/>
        <v>0</v>
      </c>
      <c r="Q135" s="1997">
        <f t="shared" si="30"/>
        <v>0</v>
      </c>
      <c r="R135" s="1998">
        <f t="shared" si="30"/>
        <v>0</v>
      </c>
      <c r="S135" s="1998">
        <f t="shared" si="30"/>
        <v>0</v>
      </c>
      <c r="T135" s="1998">
        <f t="shared" si="30"/>
        <v>0</v>
      </c>
      <c r="U135" s="1998">
        <f t="shared" si="30"/>
        <v>0</v>
      </c>
      <c r="V135" s="1999">
        <v>1</v>
      </c>
      <c r="W135" s="1999">
        <f t="shared" si="29"/>
        <v>0</v>
      </c>
      <c r="X135" s="1999"/>
      <c r="Y135" s="1999">
        <f t="shared" si="28"/>
        <v>0</v>
      </c>
      <c r="Z135" s="1630"/>
      <c r="AA135" s="1630"/>
      <c r="AB135" s="1630"/>
      <c r="AC135" s="1630"/>
      <c r="AD135" s="1630"/>
      <c r="AE135" s="1630"/>
      <c r="AF135" s="1630"/>
      <c r="AG135" s="1630"/>
    </row>
    <row r="136" spans="1:33" s="1691" customFormat="1" ht="12.2" customHeight="1" x14ac:dyDescent="0.2">
      <c r="A136" s="1976"/>
      <c r="B136" s="1976"/>
      <c r="C136" s="1595" t="s">
        <v>28901</v>
      </c>
      <c r="D136" s="1595" t="s">
        <v>28907</v>
      </c>
      <c r="E136" s="1691" t="s">
        <v>108</v>
      </c>
      <c r="F136" s="1691">
        <v>520</v>
      </c>
      <c r="G136" s="1591">
        <v>1.2500000000000001E-2</v>
      </c>
      <c r="H136" s="1691" t="s">
        <v>860</v>
      </c>
      <c r="I136" s="1691">
        <f>SUM(Liste!$D$106:$D$107,Liste!$D$114:$D$115,Liste!$D$124:$D$125)*Liste!$D$86</f>
        <v>0</v>
      </c>
      <c r="J136" s="1979">
        <f>VLOOKUP(F136,Kostensätze!A:E,5,FALSE)</f>
        <v>37.619999999999997</v>
      </c>
      <c r="K136" s="1980">
        <f t="shared" si="26"/>
        <v>0</v>
      </c>
      <c r="L136" s="1981">
        <f t="shared" si="25"/>
        <v>0</v>
      </c>
      <c r="M136" s="1982">
        <f t="shared" si="27"/>
        <v>0</v>
      </c>
      <c r="N136" s="1597"/>
      <c r="O136" s="1998">
        <f t="shared" si="30"/>
        <v>0</v>
      </c>
      <c r="P136" s="1998">
        <f t="shared" si="30"/>
        <v>0</v>
      </c>
      <c r="Q136" s="1997">
        <f t="shared" si="30"/>
        <v>0</v>
      </c>
      <c r="R136" s="1998">
        <f t="shared" si="30"/>
        <v>0</v>
      </c>
      <c r="S136" s="1998">
        <f t="shared" si="30"/>
        <v>0</v>
      </c>
      <c r="T136" s="1998">
        <f t="shared" si="30"/>
        <v>0</v>
      </c>
      <c r="U136" s="1998">
        <f t="shared" si="30"/>
        <v>0</v>
      </c>
      <c r="V136" s="1999"/>
      <c r="W136" s="1999">
        <f t="shared" si="29"/>
        <v>0</v>
      </c>
      <c r="X136" s="1999">
        <v>1</v>
      </c>
      <c r="Y136" s="1999">
        <f t="shared" si="28"/>
        <v>0</v>
      </c>
      <c r="Z136" s="1533"/>
      <c r="AA136" s="1533"/>
      <c r="AB136" s="1533"/>
      <c r="AC136" s="1533"/>
      <c r="AD136" s="1533"/>
      <c r="AE136" s="1533"/>
      <c r="AF136" s="1533"/>
      <c r="AG136" s="1533"/>
    </row>
    <row r="137" spans="1:33" s="1625" customFormat="1" ht="12.2" customHeight="1" x14ac:dyDescent="0.2">
      <c r="A137" s="1622"/>
      <c r="B137" s="1622"/>
      <c r="C137" s="1631" t="s">
        <v>28902</v>
      </c>
      <c r="D137" s="1631" t="s">
        <v>28907</v>
      </c>
      <c r="E137" s="1625" t="s">
        <v>108</v>
      </c>
      <c r="F137" s="1625">
        <v>520</v>
      </c>
      <c r="G137" s="1591">
        <v>1.6E-2</v>
      </c>
      <c r="H137" s="1625" t="s">
        <v>860</v>
      </c>
      <c r="I137" s="1625">
        <f>SUM(Liste!$D$106:$D$107,Liste!$D$114:$D$115,Liste!$D$124:$D$125)*Liste!$D$86</f>
        <v>0</v>
      </c>
      <c r="J137" s="1626">
        <f>VLOOKUP(F137,Kostensätze!A:E,5,FALSE)</f>
        <v>37.619999999999997</v>
      </c>
      <c r="K137" s="1627">
        <f t="shared" si="26"/>
        <v>0</v>
      </c>
      <c r="L137" s="1628">
        <f t="shared" si="25"/>
        <v>0</v>
      </c>
      <c r="M137" s="1629">
        <f t="shared" si="27"/>
        <v>0</v>
      </c>
      <c r="N137" s="1597"/>
      <c r="O137" s="1998">
        <f t="shared" si="30"/>
        <v>0</v>
      </c>
      <c r="P137" s="1998">
        <f t="shared" si="30"/>
        <v>0</v>
      </c>
      <c r="Q137" s="1997">
        <f t="shared" si="30"/>
        <v>0</v>
      </c>
      <c r="R137" s="1998">
        <f t="shared" si="30"/>
        <v>0</v>
      </c>
      <c r="S137" s="1998">
        <f t="shared" si="30"/>
        <v>0</v>
      </c>
      <c r="T137" s="1998">
        <f t="shared" si="30"/>
        <v>0</v>
      </c>
      <c r="U137" s="1998">
        <f t="shared" si="30"/>
        <v>0</v>
      </c>
      <c r="V137" s="1999"/>
      <c r="W137" s="1999">
        <f t="shared" si="29"/>
        <v>0</v>
      </c>
      <c r="X137" s="1999">
        <v>1</v>
      </c>
      <c r="Y137" s="1999">
        <f t="shared" si="28"/>
        <v>0</v>
      </c>
      <c r="Z137" s="1630"/>
      <c r="AA137" s="1630"/>
      <c r="AB137" s="1630"/>
      <c r="AC137" s="1630"/>
      <c r="AD137" s="1630"/>
      <c r="AE137" s="1630"/>
      <c r="AF137" s="1630"/>
      <c r="AG137" s="1630"/>
    </row>
    <row r="138" spans="1:33" s="1691" customFormat="1" ht="12.2" customHeight="1" x14ac:dyDescent="0.2">
      <c r="A138" s="1976"/>
      <c r="B138" s="1976"/>
      <c r="C138" s="1978" t="s">
        <v>28900</v>
      </c>
      <c r="D138" s="1978" t="s">
        <v>28908</v>
      </c>
      <c r="E138" s="1691" t="s">
        <v>108</v>
      </c>
      <c r="F138" s="1691">
        <v>520</v>
      </c>
      <c r="G138" s="1591">
        <v>3.3000000000000002E-2</v>
      </c>
      <c r="H138" s="1691" t="s">
        <v>860</v>
      </c>
      <c r="I138" s="1691">
        <f>SUM(Liste!$D$108:$D$111,Liste!$D$116:$D$119,Liste!$D$120:$D$123)*Liste!$D$86</f>
        <v>0</v>
      </c>
      <c r="J138" s="1979">
        <f>VLOOKUP(F138,Kostensätze!A:E,5,FALSE)</f>
        <v>37.619999999999997</v>
      </c>
      <c r="K138" s="1980">
        <f t="shared" si="26"/>
        <v>0</v>
      </c>
      <c r="L138" s="1981">
        <f t="shared" si="25"/>
        <v>0</v>
      </c>
      <c r="M138" s="1982">
        <f t="shared" si="27"/>
        <v>0</v>
      </c>
      <c r="N138" s="1597"/>
      <c r="O138" s="1998">
        <f t="shared" si="30"/>
        <v>0</v>
      </c>
      <c r="P138" s="1998">
        <f t="shared" si="30"/>
        <v>0</v>
      </c>
      <c r="Q138" s="1997">
        <f t="shared" si="30"/>
        <v>0</v>
      </c>
      <c r="R138" s="1998">
        <f t="shared" si="30"/>
        <v>0</v>
      </c>
      <c r="S138" s="1998">
        <f t="shared" si="30"/>
        <v>0</v>
      </c>
      <c r="T138" s="1998">
        <f t="shared" si="30"/>
        <v>0</v>
      </c>
      <c r="U138" s="1998">
        <f t="shared" si="30"/>
        <v>0</v>
      </c>
      <c r="V138" s="1999">
        <v>1</v>
      </c>
      <c r="W138" s="1999">
        <f t="shared" si="29"/>
        <v>0</v>
      </c>
      <c r="X138" s="1999"/>
      <c r="Y138" s="1999">
        <f t="shared" si="28"/>
        <v>0</v>
      </c>
      <c r="Z138" s="1533"/>
      <c r="AA138" s="1533"/>
      <c r="AB138" s="1533"/>
      <c r="AC138" s="1533"/>
      <c r="AD138" s="1533"/>
      <c r="AE138" s="1533"/>
      <c r="AF138" s="1533"/>
      <c r="AG138" s="1533"/>
    </row>
    <row r="139" spans="1:33" s="1625" customFormat="1" ht="12.2" customHeight="1" x14ac:dyDescent="0.2">
      <c r="A139" s="1622"/>
      <c r="B139" s="1622"/>
      <c r="C139" s="1631" t="s">
        <v>28901</v>
      </c>
      <c r="D139" s="1631" t="s">
        <v>28908</v>
      </c>
      <c r="E139" s="1625" t="s">
        <v>108</v>
      </c>
      <c r="F139" s="1625">
        <v>520</v>
      </c>
      <c r="G139" s="1591">
        <v>1.2500000000000001E-2</v>
      </c>
      <c r="H139" s="1971" t="s">
        <v>860</v>
      </c>
      <c r="I139" s="1625">
        <f>SUM(Liste!$D$108:$D$111,Liste!$D$116:$D$119,Liste!$D$120:$D$123)*Liste!$D$86</f>
        <v>0</v>
      </c>
      <c r="J139" s="1626">
        <f>VLOOKUP(F139,Kostensätze!A:E,5,FALSE)</f>
        <v>37.619999999999997</v>
      </c>
      <c r="K139" s="1627">
        <f t="shared" si="26"/>
        <v>0</v>
      </c>
      <c r="L139" s="1628">
        <f t="shared" si="25"/>
        <v>0</v>
      </c>
      <c r="M139" s="1629">
        <f t="shared" si="27"/>
        <v>0</v>
      </c>
      <c r="N139" s="1597"/>
      <c r="O139" s="1998">
        <f t="shared" si="30"/>
        <v>0</v>
      </c>
      <c r="P139" s="1998">
        <f t="shared" si="30"/>
        <v>0</v>
      </c>
      <c r="Q139" s="1997">
        <f t="shared" si="30"/>
        <v>0</v>
      </c>
      <c r="R139" s="1998">
        <f t="shared" si="30"/>
        <v>0</v>
      </c>
      <c r="S139" s="1998">
        <f t="shared" si="30"/>
        <v>0</v>
      </c>
      <c r="T139" s="1998">
        <f t="shared" si="30"/>
        <v>0</v>
      </c>
      <c r="U139" s="1998">
        <f t="shared" si="30"/>
        <v>0</v>
      </c>
      <c r="V139" s="1999"/>
      <c r="W139" s="1999">
        <f t="shared" si="29"/>
        <v>0</v>
      </c>
      <c r="X139" s="1999">
        <v>1</v>
      </c>
      <c r="Y139" s="1999">
        <f t="shared" si="28"/>
        <v>0</v>
      </c>
      <c r="Z139" s="1630"/>
      <c r="AA139" s="1630"/>
      <c r="AB139" s="1630"/>
      <c r="AC139" s="1630"/>
      <c r="AD139" s="1630"/>
      <c r="AE139" s="1630"/>
      <c r="AF139" s="1630"/>
      <c r="AG139" s="1630"/>
    </row>
    <row r="140" spans="1:33" s="1691" customFormat="1" ht="12.2" customHeight="1" x14ac:dyDescent="0.2">
      <c r="A140" s="1976"/>
      <c r="B140" s="1976"/>
      <c r="C140" s="1978" t="s">
        <v>28902</v>
      </c>
      <c r="D140" s="1978" t="s">
        <v>28908</v>
      </c>
      <c r="E140" s="1691" t="s">
        <v>108</v>
      </c>
      <c r="F140" s="1691">
        <v>520</v>
      </c>
      <c r="G140" s="1591">
        <v>1.6E-2</v>
      </c>
      <c r="H140" s="1691" t="s">
        <v>860</v>
      </c>
      <c r="I140" s="1691">
        <f>SUM(Liste!$D$108:$D$111,Liste!$D$116:$D$119,Liste!$D$120:$D$123)*Liste!$D$86</f>
        <v>0</v>
      </c>
      <c r="J140" s="1979">
        <f>VLOOKUP(F140,Kostensätze!A:E,5,FALSE)</f>
        <v>37.619999999999997</v>
      </c>
      <c r="K140" s="1980">
        <f t="shared" si="26"/>
        <v>0</v>
      </c>
      <c r="L140" s="1981">
        <f t="shared" si="25"/>
        <v>0</v>
      </c>
      <c r="M140" s="1982">
        <f t="shared" si="27"/>
        <v>0</v>
      </c>
      <c r="N140" s="1597"/>
      <c r="O140" s="1998">
        <f t="shared" si="30"/>
        <v>0</v>
      </c>
      <c r="P140" s="1998">
        <f t="shared" si="30"/>
        <v>0</v>
      </c>
      <c r="Q140" s="1997">
        <f t="shared" si="30"/>
        <v>0</v>
      </c>
      <c r="R140" s="1998">
        <f t="shared" si="30"/>
        <v>0</v>
      </c>
      <c r="S140" s="1998">
        <f t="shared" si="30"/>
        <v>0</v>
      </c>
      <c r="T140" s="1998">
        <f t="shared" si="30"/>
        <v>0</v>
      </c>
      <c r="U140" s="1998">
        <f t="shared" si="30"/>
        <v>0</v>
      </c>
      <c r="V140" s="1999"/>
      <c r="W140" s="1999">
        <f t="shared" si="29"/>
        <v>0</v>
      </c>
      <c r="X140" s="1999">
        <v>1</v>
      </c>
      <c r="Y140" s="1999">
        <f t="shared" si="28"/>
        <v>0</v>
      </c>
      <c r="Z140" s="1533"/>
      <c r="AA140" s="1533"/>
      <c r="AB140" s="1533"/>
      <c r="AC140" s="1533"/>
      <c r="AD140" s="1533"/>
      <c r="AE140" s="1533"/>
      <c r="AF140" s="1533"/>
      <c r="AG140" s="1533"/>
    </row>
    <row r="141" spans="1:33" s="1625" customFormat="1" ht="12.2" customHeight="1" x14ac:dyDescent="0.2">
      <c r="A141" s="1622"/>
      <c r="B141" s="1622"/>
      <c r="C141" s="1623" t="s">
        <v>302</v>
      </c>
      <c r="D141" s="1623" t="s">
        <v>28940</v>
      </c>
      <c r="E141" s="1625" t="s">
        <v>861</v>
      </c>
      <c r="F141" s="1625">
        <v>502</v>
      </c>
      <c r="G141" s="1591">
        <v>1.4999999999999999E-2</v>
      </c>
      <c r="H141" s="1625" t="s">
        <v>860</v>
      </c>
      <c r="I141" s="1625">
        <f>Liste!D89+Liste!D90</f>
        <v>0</v>
      </c>
      <c r="J141" s="1626">
        <f>VLOOKUP(F141,Kostensätze!A:E,5,FALSE)</f>
        <v>53.66</v>
      </c>
      <c r="K141" s="1627">
        <f t="shared" si="26"/>
        <v>0</v>
      </c>
      <c r="L141" s="1628">
        <f t="shared" si="25"/>
        <v>0</v>
      </c>
      <c r="M141" s="1629">
        <f t="shared" si="27"/>
        <v>0</v>
      </c>
      <c r="N141" s="1597"/>
      <c r="O141" s="1998">
        <f t="shared" si="30"/>
        <v>0</v>
      </c>
      <c r="P141" s="1998">
        <f t="shared" si="30"/>
        <v>0</v>
      </c>
      <c r="Q141" s="1997">
        <f t="shared" si="30"/>
        <v>0</v>
      </c>
      <c r="R141" s="1998">
        <f t="shared" si="30"/>
        <v>0</v>
      </c>
      <c r="S141" s="1998">
        <f t="shared" si="30"/>
        <v>0</v>
      </c>
      <c r="T141" s="1998">
        <f t="shared" si="30"/>
        <v>0</v>
      </c>
      <c r="U141" s="1998">
        <f t="shared" si="30"/>
        <v>0</v>
      </c>
      <c r="V141" s="1999"/>
      <c r="W141" s="1999">
        <f t="shared" si="29"/>
        <v>0</v>
      </c>
      <c r="X141" s="1999"/>
      <c r="Y141" s="1999">
        <f t="shared" si="28"/>
        <v>0</v>
      </c>
      <c r="Z141" s="1630"/>
      <c r="AA141" s="1630"/>
      <c r="AB141" s="1630"/>
      <c r="AC141" s="1630"/>
      <c r="AD141" s="1630"/>
      <c r="AE141" s="1630"/>
      <c r="AF141" s="1630"/>
      <c r="AG141" s="1630"/>
    </row>
    <row r="142" spans="1:33" s="1691" customFormat="1" ht="12.2" customHeight="1" x14ac:dyDescent="0.2">
      <c r="A142" s="1976"/>
      <c r="B142" s="1976"/>
      <c r="C142" s="1978" t="s">
        <v>302</v>
      </c>
      <c r="D142" s="1595" t="s">
        <v>28941</v>
      </c>
      <c r="E142" s="1691" t="s">
        <v>861</v>
      </c>
      <c r="F142" s="1691">
        <v>502</v>
      </c>
      <c r="G142" s="1591">
        <v>1.4999999999999999E-2</v>
      </c>
      <c r="H142" s="1691" t="s">
        <v>860</v>
      </c>
      <c r="I142" s="1691">
        <f>Liste!D87+Liste!D88</f>
        <v>0</v>
      </c>
      <c r="J142" s="1979">
        <f>VLOOKUP(F142,Kostensätze!A:E,5,FALSE)</f>
        <v>53.66</v>
      </c>
      <c r="K142" s="1980">
        <f t="shared" si="26"/>
        <v>0</v>
      </c>
      <c r="L142" s="1981">
        <f t="shared" si="25"/>
        <v>0</v>
      </c>
      <c r="M142" s="1982">
        <f t="shared" si="27"/>
        <v>0</v>
      </c>
      <c r="N142" s="1597"/>
      <c r="O142" s="1998">
        <f t="shared" ref="O142:U175" si="31">IF($F142=O$3,$L142,0)</f>
        <v>0</v>
      </c>
      <c r="P142" s="1998">
        <f t="shared" si="31"/>
        <v>0</v>
      </c>
      <c r="Q142" s="1997">
        <f t="shared" si="31"/>
        <v>0</v>
      </c>
      <c r="R142" s="1998">
        <f t="shared" si="31"/>
        <v>0</v>
      </c>
      <c r="S142" s="1998">
        <f t="shared" si="31"/>
        <v>0</v>
      </c>
      <c r="T142" s="1998">
        <f t="shared" si="31"/>
        <v>0</v>
      </c>
      <c r="U142" s="1998">
        <f t="shared" si="31"/>
        <v>0</v>
      </c>
      <c r="V142" s="1999"/>
      <c r="W142" s="1999">
        <f t="shared" si="29"/>
        <v>0</v>
      </c>
      <c r="X142" s="1999"/>
      <c r="Y142" s="1999">
        <f t="shared" si="28"/>
        <v>0</v>
      </c>
      <c r="Z142" s="1533"/>
      <c r="AA142" s="1533"/>
      <c r="AB142" s="1533"/>
      <c r="AC142" s="1533"/>
      <c r="AD142" s="1533"/>
      <c r="AE142" s="1533"/>
      <c r="AF142" s="1533"/>
      <c r="AG142" s="1533"/>
    </row>
    <row r="143" spans="1:33" s="1625" customFormat="1" ht="12.2" customHeight="1" x14ac:dyDescent="0.2">
      <c r="A143" s="1622"/>
      <c r="B143" s="1622"/>
      <c r="C143" s="1631" t="s">
        <v>302</v>
      </c>
      <c r="D143" s="1631" t="s">
        <v>28942</v>
      </c>
      <c r="E143" s="1625" t="s">
        <v>861</v>
      </c>
      <c r="F143" s="1625">
        <v>502</v>
      </c>
      <c r="G143" s="1591">
        <v>1.4999999999999999E-2</v>
      </c>
      <c r="H143" s="1625" t="s">
        <v>860</v>
      </c>
      <c r="I143" s="1625">
        <f>Liste!D91+Liste!D92</f>
        <v>0</v>
      </c>
      <c r="J143" s="1626">
        <f>VLOOKUP(F143,Kostensätze!A:E,5,FALSE)</f>
        <v>53.66</v>
      </c>
      <c r="K143" s="1627">
        <f t="shared" si="26"/>
        <v>0</v>
      </c>
      <c r="L143" s="1628">
        <f t="shared" ref="L143:L206" si="32">K143/60</f>
        <v>0</v>
      </c>
      <c r="M143" s="1629">
        <f t="shared" si="27"/>
        <v>0</v>
      </c>
      <c r="N143" s="1597"/>
      <c r="O143" s="1998">
        <f t="shared" si="31"/>
        <v>0</v>
      </c>
      <c r="P143" s="1998">
        <f t="shared" si="31"/>
        <v>0</v>
      </c>
      <c r="Q143" s="1997">
        <f t="shared" si="31"/>
        <v>0</v>
      </c>
      <c r="R143" s="1998">
        <f t="shared" si="31"/>
        <v>0</v>
      </c>
      <c r="S143" s="1998">
        <f t="shared" si="31"/>
        <v>0</v>
      </c>
      <c r="T143" s="1998">
        <f t="shared" si="31"/>
        <v>0</v>
      </c>
      <c r="U143" s="1998">
        <f t="shared" si="31"/>
        <v>0</v>
      </c>
      <c r="V143" s="1999"/>
      <c r="W143" s="1999">
        <f t="shared" si="29"/>
        <v>0</v>
      </c>
      <c r="X143" s="1999"/>
      <c r="Y143" s="1999">
        <f t="shared" si="28"/>
        <v>0</v>
      </c>
      <c r="Z143" s="1630"/>
      <c r="AA143" s="1630"/>
      <c r="AB143" s="1630"/>
      <c r="AC143" s="1630"/>
      <c r="AD143" s="1630"/>
      <c r="AE143" s="1630"/>
      <c r="AF143" s="1630"/>
      <c r="AG143" s="1630"/>
    </row>
    <row r="144" spans="1:33" s="1691" customFormat="1" ht="12.2" customHeight="1" x14ac:dyDescent="0.2">
      <c r="A144" s="1976"/>
      <c r="B144" s="1976"/>
      <c r="C144" s="1595" t="s">
        <v>302</v>
      </c>
      <c r="D144" s="1595" t="s">
        <v>28943</v>
      </c>
      <c r="E144" s="1691" t="s">
        <v>861</v>
      </c>
      <c r="F144" s="1691">
        <v>502</v>
      </c>
      <c r="G144" s="1591">
        <v>1.4999999999999999E-2</v>
      </c>
      <c r="H144" s="1691" t="s">
        <v>860</v>
      </c>
      <c r="I144" s="1691">
        <f>Liste!D93+Liste!D94</f>
        <v>0</v>
      </c>
      <c r="J144" s="1979">
        <f>VLOOKUP(F144,Kostensätze!A:E,5,FALSE)</f>
        <v>53.66</v>
      </c>
      <c r="K144" s="1980">
        <f t="shared" si="26"/>
        <v>0</v>
      </c>
      <c r="L144" s="1981">
        <f t="shared" si="32"/>
        <v>0</v>
      </c>
      <c r="M144" s="1982">
        <f t="shared" si="27"/>
        <v>0</v>
      </c>
      <c r="N144" s="1597"/>
      <c r="O144" s="1998">
        <f t="shared" si="31"/>
        <v>0</v>
      </c>
      <c r="P144" s="1998">
        <f t="shared" si="31"/>
        <v>0</v>
      </c>
      <c r="Q144" s="1997">
        <f t="shared" si="31"/>
        <v>0</v>
      </c>
      <c r="R144" s="1998">
        <f t="shared" si="31"/>
        <v>0</v>
      </c>
      <c r="S144" s="1998">
        <f t="shared" si="31"/>
        <v>0</v>
      </c>
      <c r="T144" s="1998">
        <f t="shared" si="31"/>
        <v>0</v>
      </c>
      <c r="U144" s="1998">
        <f t="shared" si="31"/>
        <v>0</v>
      </c>
      <c r="V144" s="1999"/>
      <c r="W144" s="1999">
        <f t="shared" si="29"/>
        <v>0</v>
      </c>
      <c r="X144" s="1999"/>
      <c r="Y144" s="1999">
        <f t="shared" si="28"/>
        <v>0</v>
      </c>
      <c r="Z144" s="1533"/>
      <c r="AA144" s="1533"/>
      <c r="AB144" s="1533"/>
      <c r="AC144" s="1533"/>
      <c r="AD144" s="1533"/>
      <c r="AE144" s="1533"/>
      <c r="AF144" s="1533"/>
      <c r="AG144" s="1533"/>
    </row>
    <row r="145" spans="1:33" s="1625" customFormat="1" ht="12.2" customHeight="1" x14ac:dyDescent="0.2">
      <c r="A145" s="1622"/>
      <c r="B145" s="1622"/>
      <c r="C145" s="1623" t="s">
        <v>302</v>
      </c>
      <c r="D145" s="1623" t="s">
        <v>28909</v>
      </c>
      <c r="E145" s="1625" t="s">
        <v>861</v>
      </c>
      <c r="F145" s="1625">
        <v>502</v>
      </c>
      <c r="G145" s="1591">
        <v>1.4999999999999999E-2</v>
      </c>
      <c r="H145" s="1625" t="s">
        <v>860</v>
      </c>
      <c r="I145" s="1625">
        <f>(Liste!D95+Liste!D96)*Liste!D86</f>
        <v>0</v>
      </c>
      <c r="J145" s="1626">
        <f>VLOOKUP(F145,Kostensätze!A:E,5,FALSE)</f>
        <v>53.66</v>
      </c>
      <c r="K145" s="1627">
        <f t="shared" si="26"/>
        <v>0</v>
      </c>
      <c r="L145" s="1628">
        <f t="shared" si="32"/>
        <v>0</v>
      </c>
      <c r="M145" s="1629">
        <f t="shared" ref="M145:M207" si="33">L145*J145</f>
        <v>0</v>
      </c>
      <c r="N145" s="1597"/>
      <c r="O145" s="1998">
        <f t="shared" si="31"/>
        <v>0</v>
      </c>
      <c r="P145" s="1998">
        <f t="shared" si="31"/>
        <v>0</v>
      </c>
      <c r="Q145" s="1997">
        <f t="shared" si="31"/>
        <v>0</v>
      </c>
      <c r="R145" s="1998">
        <f t="shared" si="31"/>
        <v>0</v>
      </c>
      <c r="S145" s="1998">
        <f t="shared" si="31"/>
        <v>0</v>
      </c>
      <c r="T145" s="1998">
        <f t="shared" si="31"/>
        <v>0</v>
      </c>
      <c r="U145" s="1998">
        <f t="shared" si="31"/>
        <v>0</v>
      </c>
      <c r="V145" s="1999"/>
      <c r="W145" s="1999">
        <f t="shared" si="29"/>
        <v>0</v>
      </c>
      <c r="X145" s="1999"/>
      <c r="Y145" s="1999">
        <f t="shared" si="28"/>
        <v>0</v>
      </c>
      <c r="Z145" s="1630"/>
      <c r="AA145" s="1630"/>
      <c r="AB145" s="1630"/>
      <c r="AC145" s="1630"/>
      <c r="AD145" s="1630"/>
      <c r="AE145" s="1630"/>
      <c r="AF145" s="1630"/>
      <c r="AG145" s="1630"/>
    </row>
    <row r="146" spans="1:33" s="1691" customFormat="1" ht="12.2" customHeight="1" x14ac:dyDescent="0.2">
      <c r="A146" s="1976"/>
      <c r="B146" s="1976"/>
      <c r="C146" s="1978" t="s">
        <v>302</v>
      </c>
      <c r="D146" s="1595" t="s">
        <v>28910</v>
      </c>
      <c r="E146" s="1691" t="s">
        <v>861</v>
      </c>
      <c r="F146" s="1691">
        <v>502</v>
      </c>
      <c r="G146" s="1591">
        <v>1.4999999999999999E-2</v>
      </c>
      <c r="H146" s="1691" t="s">
        <v>860</v>
      </c>
      <c r="I146" s="1691">
        <f>(Liste!D99+Liste!D100)*Liste!D86</f>
        <v>0</v>
      </c>
      <c r="J146" s="1979">
        <f>VLOOKUP(F146,Kostensätze!A:E,5,FALSE)</f>
        <v>53.66</v>
      </c>
      <c r="K146" s="1980">
        <f t="shared" si="26"/>
        <v>0</v>
      </c>
      <c r="L146" s="1981">
        <f t="shared" si="32"/>
        <v>0</v>
      </c>
      <c r="M146" s="1982">
        <f t="shared" si="33"/>
        <v>0</v>
      </c>
      <c r="N146" s="1597"/>
      <c r="O146" s="1998">
        <f t="shared" si="31"/>
        <v>0</v>
      </c>
      <c r="P146" s="1998">
        <f t="shared" si="31"/>
        <v>0</v>
      </c>
      <c r="Q146" s="1997">
        <f t="shared" si="31"/>
        <v>0</v>
      </c>
      <c r="R146" s="1998">
        <f t="shared" si="31"/>
        <v>0</v>
      </c>
      <c r="S146" s="1998">
        <f t="shared" si="31"/>
        <v>0</v>
      </c>
      <c r="T146" s="1998">
        <f t="shared" si="31"/>
        <v>0</v>
      </c>
      <c r="U146" s="1998">
        <f t="shared" si="31"/>
        <v>0</v>
      </c>
      <c r="V146" s="1999"/>
      <c r="W146" s="1999">
        <f t="shared" si="29"/>
        <v>0</v>
      </c>
      <c r="X146" s="1999"/>
      <c r="Y146" s="1999">
        <f t="shared" si="28"/>
        <v>0</v>
      </c>
      <c r="Z146" s="1533"/>
      <c r="AA146" s="1533"/>
      <c r="AB146" s="1533"/>
      <c r="AC146" s="1533"/>
      <c r="AD146" s="1533"/>
      <c r="AE146" s="1533"/>
      <c r="AF146" s="1533"/>
      <c r="AG146" s="1533"/>
    </row>
    <row r="147" spans="1:33" s="1625" customFormat="1" ht="12.2" customHeight="1" x14ac:dyDescent="0.2">
      <c r="A147" s="1622"/>
      <c r="B147" s="1622"/>
      <c r="C147" s="1623" t="s">
        <v>302</v>
      </c>
      <c r="D147" s="1623" t="s">
        <v>28911</v>
      </c>
      <c r="E147" s="1625" t="s">
        <v>861</v>
      </c>
      <c r="F147" s="1625">
        <v>502</v>
      </c>
      <c r="G147" s="1591">
        <v>1.4999999999999999E-2</v>
      </c>
      <c r="H147" s="1625" t="s">
        <v>860</v>
      </c>
      <c r="I147" s="1625">
        <f>(Liste!D97+Liste!D98)*Liste!D86</f>
        <v>0</v>
      </c>
      <c r="J147" s="1626">
        <f>VLOOKUP(F147,Kostensätze!A:E,5,FALSE)</f>
        <v>53.66</v>
      </c>
      <c r="K147" s="1627">
        <f t="shared" si="26"/>
        <v>0</v>
      </c>
      <c r="L147" s="1628">
        <f t="shared" si="32"/>
        <v>0</v>
      </c>
      <c r="M147" s="1629">
        <f t="shared" si="33"/>
        <v>0</v>
      </c>
      <c r="N147" s="1597"/>
      <c r="O147" s="1998">
        <f t="shared" si="31"/>
        <v>0</v>
      </c>
      <c r="P147" s="1998">
        <f t="shared" si="31"/>
        <v>0</v>
      </c>
      <c r="Q147" s="1997">
        <f t="shared" si="31"/>
        <v>0</v>
      </c>
      <c r="R147" s="1998">
        <f t="shared" si="31"/>
        <v>0</v>
      </c>
      <c r="S147" s="1998">
        <f t="shared" si="31"/>
        <v>0</v>
      </c>
      <c r="T147" s="1998">
        <f t="shared" si="31"/>
        <v>0</v>
      </c>
      <c r="U147" s="1998">
        <f t="shared" si="31"/>
        <v>0</v>
      </c>
      <c r="V147" s="1999"/>
      <c r="W147" s="1999">
        <f t="shared" si="29"/>
        <v>0</v>
      </c>
      <c r="X147" s="1999"/>
      <c r="Y147" s="1999">
        <f t="shared" si="28"/>
        <v>0</v>
      </c>
      <c r="Z147" s="1630"/>
      <c r="AA147" s="1630"/>
      <c r="AB147" s="1630"/>
      <c r="AC147" s="1630"/>
      <c r="AD147" s="1630"/>
      <c r="AE147" s="1630"/>
      <c r="AF147" s="1630"/>
      <c r="AG147" s="1630"/>
    </row>
    <row r="148" spans="1:33" s="1691" customFormat="1" ht="12.2" customHeight="1" x14ac:dyDescent="0.2">
      <c r="A148" s="1976"/>
      <c r="B148" s="1977" t="s">
        <v>537</v>
      </c>
      <c r="C148" s="1978" t="s">
        <v>27651</v>
      </c>
      <c r="D148" s="1595" t="s">
        <v>28912</v>
      </c>
      <c r="E148" s="1691" t="s">
        <v>28945</v>
      </c>
      <c r="F148" s="1691">
        <v>526</v>
      </c>
      <c r="G148" s="1591">
        <f>1/60*0.5</f>
        <v>8.3333333333333332E-3</v>
      </c>
      <c r="H148" s="1691" t="s">
        <v>860</v>
      </c>
      <c r="I148" s="1691">
        <f>SUM(Liste!D141:D142)*Liste!D86</f>
        <v>0</v>
      </c>
      <c r="J148" s="1979">
        <f>VLOOKUP(F148,Kostensätze!A:E,5,FALSE)</f>
        <v>53.04</v>
      </c>
      <c r="K148" s="1980">
        <f t="shared" si="26"/>
        <v>0</v>
      </c>
      <c r="L148" s="1981">
        <f t="shared" si="32"/>
        <v>0</v>
      </c>
      <c r="M148" s="1982">
        <f t="shared" si="33"/>
        <v>0</v>
      </c>
      <c r="N148" s="1597"/>
      <c r="O148" s="1998">
        <f t="shared" si="31"/>
        <v>0</v>
      </c>
      <c r="P148" s="1998">
        <f t="shared" si="31"/>
        <v>0</v>
      </c>
      <c r="Q148" s="1997">
        <f t="shared" si="31"/>
        <v>0</v>
      </c>
      <c r="R148" s="1998">
        <f t="shared" si="31"/>
        <v>0</v>
      </c>
      <c r="S148" s="1998">
        <f t="shared" si="31"/>
        <v>0</v>
      </c>
      <c r="T148" s="1998">
        <f t="shared" si="31"/>
        <v>0</v>
      </c>
      <c r="U148" s="1998">
        <f t="shared" si="31"/>
        <v>0</v>
      </c>
      <c r="V148" s="1999"/>
      <c r="W148" s="1999">
        <f t="shared" si="29"/>
        <v>0</v>
      </c>
      <c r="X148" s="1999"/>
      <c r="Y148" s="1999">
        <f t="shared" si="28"/>
        <v>0</v>
      </c>
      <c r="Z148" s="1533"/>
      <c r="AA148" s="1533"/>
      <c r="AB148" s="1533"/>
      <c r="AC148" s="1533"/>
      <c r="AD148" s="1533"/>
      <c r="AE148" s="1533"/>
      <c r="AF148" s="1533"/>
      <c r="AG148" s="1533"/>
    </row>
    <row r="149" spans="1:33" s="1625" customFormat="1" ht="12.2" customHeight="1" x14ac:dyDescent="0.2">
      <c r="A149" s="1622"/>
      <c r="B149" s="1975" t="s">
        <v>537</v>
      </c>
      <c r="C149" s="1631" t="s">
        <v>27651</v>
      </c>
      <c r="D149" s="1631" t="s">
        <v>28913</v>
      </c>
      <c r="E149" s="1625" t="s">
        <v>28945</v>
      </c>
      <c r="F149" s="1625">
        <v>526</v>
      </c>
      <c r="G149" s="1591">
        <f>1/60*0.5</f>
        <v>8.3333333333333332E-3</v>
      </c>
      <c r="H149" s="1625" t="s">
        <v>860</v>
      </c>
      <c r="I149" s="1625">
        <f>SUM(Liste!D138:D140)*Liste!D86</f>
        <v>0</v>
      </c>
      <c r="J149" s="1626">
        <f>VLOOKUP(F149,Kostensätze!A:E,5,FALSE)</f>
        <v>53.04</v>
      </c>
      <c r="K149" s="1627">
        <f t="shared" si="26"/>
        <v>0</v>
      </c>
      <c r="L149" s="1628">
        <f t="shared" si="32"/>
        <v>0</v>
      </c>
      <c r="M149" s="1629">
        <f t="shared" si="33"/>
        <v>0</v>
      </c>
      <c r="N149" s="1597"/>
      <c r="O149" s="1998">
        <f t="shared" si="31"/>
        <v>0</v>
      </c>
      <c r="P149" s="1998">
        <f t="shared" si="31"/>
        <v>0</v>
      </c>
      <c r="Q149" s="1997">
        <f t="shared" si="31"/>
        <v>0</v>
      </c>
      <c r="R149" s="1998">
        <f t="shared" si="31"/>
        <v>0</v>
      </c>
      <c r="S149" s="1998">
        <f t="shared" si="31"/>
        <v>0</v>
      </c>
      <c r="T149" s="1998">
        <f t="shared" si="31"/>
        <v>0</v>
      </c>
      <c r="U149" s="1998">
        <f t="shared" si="31"/>
        <v>0</v>
      </c>
      <c r="V149" s="1999"/>
      <c r="W149" s="1999">
        <f t="shared" si="29"/>
        <v>0</v>
      </c>
      <c r="X149" s="1999"/>
      <c r="Y149" s="1999">
        <f t="shared" si="28"/>
        <v>0</v>
      </c>
      <c r="Z149" s="1630"/>
      <c r="AA149" s="1630"/>
      <c r="AB149" s="1630"/>
      <c r="AC149" s="1630"/>
      <c r="AD149" s="1630"/>
      <c r="AE149" s="1630"/>
      <c r="AF149" s="1630"/>
      <c r="AG149" s="1630"/>
    </row>
    <row r="150" spans="1:33" s="1691" customFormat="1" ht="12.2" customHeight="1" x14ac:dyDescent="0.2">
      <c r="A150" s="1976"/>
      <c r="B150" s="1977" t="s">
        <v>537</v>
      </c>
      <c r="C150" s="1595" t="s">
        <v>28914</v>
      </c>
      <c r="D150" s="1595" t="s">
        <v>28944</v>
      </c>
      <c r="E150" s="1691" t="s">
        <v>28945</v>
      </c>
      <c r="F150" s="1691">
        <v>526</v>
      </c>
      <c r="G150" s="1591">
        <f>1/60*1</f>
        <v>1.6666666666666666E-2</v>
      </c>
      <c r="H150" s="1691" t="s">
        <v>860</v>
      </c>
      <c r="I150" s="1691">
        <f>I142+I144</f>
        <v>0</v>
      </c>
      <c r="J150" s="1979">
        <f>VLOOKUP(F150,Kostensätze!A:E,5,FALSE)</f>
        <v>53.04</v>
      </c>
      <c r="K150" s="1980">
        <f t="shared" si="26"/>
        <v>0</v>
      </c>
      <c r="L150" s="1981">
        <f t="shared" si="32"/>
        <v>0</v>
      </c>
      <c r="M150" s="1982">
        <f t="shared" si="33"/>
        <v>0</v>
      </c>
      <c r="N150" s="1597"/>
      <c r="O150" s="1998">
        <f t="shared" si="31"/>
        <v>0</v>
      </c>
      <c r="P150" s="1998">
        <f t="shared" si="31"/>
        <v>0</v>
      </c>
      <c r="Q150" s="1997">
        <f t="shared" si="31"/>
        <v>0</v>
      </c>
      <c r="R150" s="1998">
        <f t="shared" si="31"/>
        <v>0</v>
      </c>
      <c r="S150" s="1998">
        <f t="shared" si="31"/>
        <v>0</v>
      </c>
      <c r="T150" s="1998">
        <f t="shared" si="31"/>
        <v>0</v>
      </c>
      <c r="U150" s="1998">
        <f t="shared" si="31"/>
        <v>0</v>
      </c>
      <c r="V150" s="1999"/>
      <c r="W150" s="1999">
        <f t="shared" si="29"/>
        <v>0</v>
      </c>
      <c r="X150" s="1999"/>
      <c r="Y150" s="1999">
        <f t="shared" si="28"/>
        <v>0</v>
      </c>
      <c r="Z150" s="1533"/>
      <c r="AA150" s="1533"/>
      <c r="AB150" s="1533"/>
      <c r="AC150" s="1533"/>
      <c r="AD150" s="1533"/>
      <c r="AE150" s="1533"/>
      <c r="AF150" s="1533"/>
      <c r="AG150" s="1533"/>
    </row>
    <row r="151" spans="1:33" s="1625" customFormat="1" ht="12.2" customHeight="1" x14ac:dyDescent="0.2">
      <c r="A151" s="1622"/>
      <c r="B151" s="1975" t="s">
        <v>537</v>
      </c>
      <c r="C151" s="1623" t="s">
        <v>28915</v>
      </c>
      <c r="D151" s="1623" t="s">
        <v>28944</v>
      </c>
      <c r="E151" s="1625" t="s">
        <v>28945</v>
      </c>
      <c r="F151" s="1625">
        <v>526</v>
      </c>
      <c r="G151" s="1591">
        <f>1/60*3</f>
        <v>0.05</v>
      </c>
      <c r="H151" s="1625" t="s">
        <v>863</v>
      </c>
      <c r="I151" s="1625">
        <f>(Liste!D87*Liste!E87/1000*Liste!F87/1000+Liste!D88*Liste!E88/1000*Liste!F88/1000)*Liste!D243</f>
        <v>0</v>
      </c>
      <c r="J151" s="1626">
        <f>VLOOKUP(F151,Kostensätze!A:E,5,FALSE)</f>
        <v>53.04</v>
      </c>
      <c r="K151" s="1627">
        <f t="shared" ref="K151:K225" si="34">I151*G151*60+IF(I151&gt;0,N151,0)</f>
        <v>0</v>
      </c>
      <c r="L151" s="1628">
        <f t="shared" si="32"/>
        <v>0</v>
      </c>
      <c r="M151" s="1629">
        <f t="shared" si="33"/>
        <v>0</v>
      </c>
      <c r="N151" s="1597">
        <v>0.5</v>
      </c>
      <c r="O151" s="1998">
        <f t="shared" si="31"/>
        <v>0</v>
      </c>
      <c r="P151" s="1998">
        <f t="shared" si="31"/>
        <v>0</v>
      </c>
      <c r="Q151" s="1997">
        <f t="shared" si="31"/>
        <v>0</v>
      </c>
      <c r="R151" s="1998">
        <f t="shared" si="31"/>
        <v>0</v>
      </c>
      <c r="S151" s="1998">
        <f t="shared" si="31"/>
        <v>0</v>
      </c>
      <c r="T151" s="1998">
        <f t="shared" si="31"/>
        <v>0</v>
      </c>
      <c r="U151" s="1998">
        <f t="shared" si="31"/>
        <v>0</v>
      </c>
      <c r="V151" s="1999"/>
      <c r="W151" s="1999">
        <f t="shared" si="29"/>
        <v>0</v>
      </c>
      <c r="X151" s="1999"/>
      <c r="Y151" s="1999">
        <f t="shared" si="28"/>
        <v>0</v>
      </c>
      <c r="Z151" s="1630"/>
      <c r="AA151" s="1630"/>
      <c r="AB151" s="1630"/>
      <c r="AC151" s="1630"/>
      <c r="AD151" s="1630"/>
      <c r="AE151" s="1630"/>
      <c r="AF151" s="1630"/>
      <c r="AG151" s="1630"/>
    </row>
    <row r="152" spans="1:33" s="1691" customFormat="1" ht="12.2" customHeight="1" x14ac:dyDescent="0.2">
      <c r="A152" s="1976"/>
      <c r="B152" s="1977" t="s">
        <v>537</v>
      </c>
      <c r="C152" s="1595" t="s">
        <v>29087</v>
      </c>
      <c r="D152" s="1595" t="s">
        <v>28944</v>
      </c>
      <c r="E152" s="1691" t="s">
        <v>28945</v>
      </c>
      <c r="F152" s="1691">
        <v>526</v>
      </c>
      <c r="G152" s="1591">
        <f>1/60*1.5</f>
        <v>2.5000000000000001E-2</v>
      </c>
      <c r="H152" s="1983" t="s">
        <v>863</v>
      </c>
      <c r="I152" s="1691">
        <f>(Liste!D87*Liste!E87/1000*Liste!F87/1000+Liste!D88*Liste!E88/1000*Liste!F88/1000)*Liste!D243</f>
        <v>0</v>
      </c>
      <c r="J152" s="1979">
        <f>VLOOKUP(F152,Kostensätze!A:E,5,FALSE)</f>
        <v>53.04</v>
      </c>
      <c r="K152" s="1980">
        <f t="shared" si="34"/>
        <v>0</v>
      </c>
      <c r="L152" s="1981">
        <f t="shared" si="32"/>
        <v>0</v>
      </c>
      <c r="M152" s="1982">
        <f t="shared" si="33"/>
        <v>0</v>
      </c>
      <c r="N152" s="1597">
        <v>0.5</v>
      </c>
      <c r="O152" s="1998">
        <f t="shared" si="31"/>
        <v>0</v>
      </c>
      <c r="P152" s="1998">
        <f t="shared" si="31"/>
        <v>0</v>
      </c>
      <c r="Q152" s="1997">
        <f t="shared" si="31"/>
        <v>0</v>
      </c>
      <c r="R152" s="1998">
        <f t="shared" si="31"/>
        <v>0</v>
      </c>
      <c r="S152" s="1998">
        <f t="shared" si="31"/>
        <v>0</v>
      </c>
      <c r="T152" s="1998">
        <f t="shared" si="31"/>
        <v>0</v>
      </c>
      <c r="U152" s="1998">
        <f t="shared" si="31"/>
        <v>0</v>
      </c>
      <c r="V152" s="1999"/>
      <c r="W152" s="1999">
        <f t="shared" si="29"/>
        <v>0</v>
      </c>
      <c r="X152" s="1999"/>
      <c r="Y152" s="1999">
        <f t="shared" si="28"/>
        <v>0</v>
      </c>
      <c r="Z152" s="1533"/>
      <c r="AA152" s="1533"/>
      <c r="AB152" s="1533"/>
      <c r="AC152" s="1533"/>
      <c r="AD152" s="1533"/>
      <c r="AE152" s="1533"/>
      <c r="AF152" s="1533"/>
      <c r="AG152" s="1533"/>
    </row>
    <row r="153" spans="1:33" s="1625" customFormat="1" ht="12.2" customHeight="1" x14ac:dyDescent="0.2">
      <c r="A153" s="1622"/>
      <c r="B153" s="1975" t="s">
        <v>537</v>
      </c>
      <c r="C153" s="1623" t="s">
        <v>28914</v>
      </c>
      <c r="D153" s="1623" t="s">
        <v>28916</v>
      </c>
      <c r="E153" s="1625" t="s">
        <v>28945</v>
      </c>
      <c r="F153" s="1625">
        <v>526</v>
      </c>
      <c r="G153" s="1591">
        <f>1/60</f>
        <v>1.6666666666666666E-2</v>
      </c>
      <c r="H153" s="1625" t="s">
        <v>860</v>
      </c>
      <c r="I153" s="1625">
        <f>I145</f>
        <v>0</v>
      </c>
      <c r="J153" s="1626">
        <f>VLOOKUP(F153,Kostensätze!A:E,5,FALSE)</f>
        <v>53.04</v>
      </c>
      <c r="K153" s="1627">
        <f t="shared" si="34"/>
        <v>0</v>
      </c>
      <c r="L153" s="1628">
        <f t="shared" si="32"/>
        <v>0</v>
      </c>
      <c r="M153" s="1629">
        <f t="shared" si="33"/>
        <v>0</v>
      </c>
      <c r="N153" s="1597"/>
      <c r="O153" s="1998">
        <f t="shared" si="31"/>
        <v>0</v>
      </c>
      <c r="P153" s="1998">
        <f t="shared" si="31"/>
        <v>0</v>
      </c>
      <c r="Q153" s="1997">
        <f t="shared" si="31"/>
        <v>0</v>
      </c>
      <c r="R153" s="1998">
        <f t="shared" si="31"/>
        <v>0</v>
      </c>
      <c r="S153" s="1998">
        <f t="shared" si="31"/>
        <v>0</v>
      </c>
      <c r="T153" s="1998">
        <f t="shared" si="31"/>
        <v>0</v>
      </c>
      <c r="U153" s="1998">
        <f t="shared" si="31"/>
        <v>0</v>
      </c>
      <c r="V153" s="1999"/>
      <c r="W153" s="1999">
        <f t="shared" si="29"/>
        <v>0</v>
      </c>
      <c r="X153" s="1999"/>
      <c r="Y153" s="1999">
        <f t="shared" ref="Y153:Y231" si="35">IF(X153=1,L153,0)</f>
        <v>0</v>
      </c>
      <c r="Z153" s="1630"/>
      <c r="AA153" s="1630"/>
      <c r="AB153" s="1630"/>
      <c r="AC153" s="1630"/>
      <c r="AD153" s="1630"/>
      <c r="AE153" s="1630"/>
      <c r="AF153" s="1630"/>
      <c r="AG153" s="1630"/>
    </row>
    <row r="154" spans="1:33" s="1691" customFormat="1" ht="12.2" customHeight="1" x14ac:dyDescent="0.2">
      <c r="A154" s="1976"/>
      <c r="B154" s="1977" t="s">
        <v>537</v>
      </c>
      <c r="C154" s="1978" t="s">
        <v>28915</v>
      </c>
      <c r="D154" s="1595" t="s">
        <v>28916</v>
      </c>
      <c r="E154" s="1691" t="s">
        <v>28945</v>
      </c>
      <c r="F154" s="1691">
        <v>526</v>
      </c>
      <c r="G154" s="1591">
        <f>1/60*3</f>
        <v>0.05</v>
      </c>
      <c r="H154" s="1691" t="s">
        <v>863</v>
      </c>
      <c r="I154" s="1691">
        <f>((Liste!D95*(((Liste!E95+67+67)/1000)*80/1000)+(Liste!E95/1000*67/1000))*Liste!D86)*Liste!D243</f>
        <v>0</v>
      </c>
      <c r="J154" s="1979">
        <f>VLOOKUP(F154,Kostensätze!A:E,5,FALSE)</f>
        <v>53.04</v>
      </c>
      <c r="K154" s="1980">
        <f t="shared" si="34"/>
        <v>0</v>
      </c>
      <c r="L154" s="1981">
        <f t="shared" si="32"/>
        <v>0</v>
      </c>
      <c r="M154" s="1982">
        <f t="shared" si="33"/>
        <v>0</v>
      </c>
      <c r="N154" s="1597">
        <v>1</v>
      </c>
      <c r="O154" s="1998">
        <f t="shared" si="31"/>
        <v>0</v>
      </c>
      <c r="P154" s="1998">
        <f t="shared" si="31"/>
        <v>0</v>
      </c>
      <c r="Q154" s="1997">
        <f t="shared" si="31"/>
        <v>0</v>
      </c>
      <c r="R154" s="1998">
        <f t="shared" si="31"/>
        <v>0</v>
      </c>
      <c r="S154" s="1998">
        <f t="shared" si="31"/>
        <v>0</v>
      </c>
      <c r="T154" s="1998">
        <f t="shared" si="31"/>
        <v>0</v>
      </c>
      <c r="U154" s="1998">
        <f t="shared" si="31"/>
        <v>0</v>
      </c>
      <c r="V154" s="1999"/>
      <c r="W154" s="1999">
        <f t="shared" si="29"/>
        <v>0</v>
      </c>
      <c r="X154" s="1999"/>
      <c r="Y154" s="1999">
        <f t="shared" si="35"/>
        <v>0</v>
      </c>
      <c r="Z154" s="1533"/>
      <c r="AA154" s="1533"/>
      <c r="AB154" s="1533"/>
      <c r="AC154" s="1533"/>
      <c r="AD154" s="1533"/>
      <c r="AE154" s="1533"/>
      <c r="AF154" s="1533"/>
      <c r="AG154" s="1533"/>
    </row>
    <row r="155" spans="1:33" s="1625" customFormat="1" ht="12.2" customHeight="1" x14ac:dyDescent="0.2">
      <c r="A155" s="1622"/>
      <c r="B155" s="1975" t="s">
        <v>537</v>
      </c>
      <c r="C155" s="1623" t="s">
        <v>30186</v>
      </c>
      <c r="D155" s="1623" t="s">
        <v>279</v>
      </c>
      <c r="E155" s="1625" t="s">
        <v>28945</v>
      </c>
      <c r="F155" s="1625">
        <v>526</v>
      </c>
      <c r="G155" s="1591">
        <f>1/60*5/9</f>
        <v>9.2592592592592587E-3</v>
      </c>
      <c r="H155" s="1625" t="s">
        <v>860</v>
      </c>
      <c r="I155" s="1625">
        <f>SUM(Liste!D87:D94)+Liste!D126+Liste!D127</f>
        <v>0</v>
      </c>
      <c r="J155" s="1626">
        <f>VLOOKUP(F155,Kostensätze!A:E,5,FALSE)</f>
        <v>53.04</v>
      </c>
      <c r="K155" s="1627">
        <f t="shared" si="34"/>
        <v>0</v>
      </c>
      <c r="L155" s="1628">
        <f t="shared" si="32"/>
        <v>0</v>
      </c>
      <c r="M155" s="1629">
        <f t="shared" si="33"/>
        <v>0</v>
      </c>
      <c r="N155" s="1597"/>
      <c r="O155" s="1998">
        <f t="shared" si="31"/>
        <v>0</v>
      </c>
      <c r="P155" s="1998">
        <f t="shared" si="31"/>
        <v>0</v>
      </c>
      <c r="Q155" s="1997">
        <f t="shared" si="31"/>
        <v>0</v>
      </c>
      <c r="R155" s="1998">
        <f t="shared" si="31"/>
        <v>0</v>
      </c>
      <c r="S155" s="1998">
        <f t="shared" si="31"/>
        <v>0</v>
      </c>
      <c r="T155" s="1998">
        <f t="shared" si="31"/>
        <v>0</v>
      </c>
      <c r="U155" s="1998">
        <f t="shared" si="31"/>
        <v>0</v>
      </c>
      <c r="V155" s="1999"/>
      <c r="W155" s="1999">
        <f t="shared" si="29"/>
        <v>0</v>
      </c>
      <c r="X155" s="1999"/>
      <c r="Y155" s="1999">
        <f t="shared" si="35"/>
        <v>0</v>
      </c>
      <c r="Z155" s="1630"/>
      <c r="AA155" s="1630"/>
      <c r="AB155" s="1630"/>
      <c r="AC155" s="1630"/>
      <c r="AD155" s="1630"/>
      <c r="AE155" s="1630"/>
      <c r="AF155" s="1630"/>
      <c r="AG155" s="1630"/>
    </row>
    <row r="156" spans="1:33" s="1691" customFormat="1" ht="11.25" customHeight="1" x14ac:dyDescent="0.2">
      <c r="A156" s="1976"/>
      <c r="B156" s="1977" t="s">
        <v>537</v>
      </c>
      <c r="C156" s="1595" t="s">
        <v>30182</v>
      </c>
      <c r="D156" s="1595" t="s">
        <v>279</v>
      </c>
      <c r="E156" s="1691" t="s">
        <v>28945</v>
      </c>
      <c r="F156" s="1691">
        <v>526</v>
      </c>
      <c r="G156" s="1591">
        <f>1/60*1</f>
        <v>1.6666666666666666E-2</v>
      </c>
      <c r="H156" s="1983" t="s">
        <v>29088</v>
      </c>
      <c r="I156" s="1691">
        <f>Liste!D86</f>
        <v>0</v>
      </c>
      <c r="J156" s="1979">
        <f>VLOOKUP(F156,Kostensätze!A:E,5,FALSE)</f>
        <v>53.04</v>
      </c>
      <c r="K156" s="1980">
        <f t="shared" si="34"/>
        <v>0</v>
      </c>
      <c r="L156" s="1981">
        <f t="shared" si="32"/>
        <v>0</v>
      </c>
      <c r="M156" s="1982">
        <f t="shared" si="33"/>
        <v>0</v>
      </c>
      <c r="N156" s="1597"/>
      <c r="O156" s="1998">
        <f t="shared" si="31"/>
        <v>0</v>
      </c>
      <c r="P156" s="1998">
        <f t="shared" si="31"/>
        <v>0</v>
      </c>
      <c r="Q156" s="1997">
        <f t="shared" si="31"/>
        <v>0</v>
      </c>
      <c r="R156" s="1998">
        <f t="shared" si="31"/>
        <v>0</v>
      </c>
      <c r="S156" s="1998">
        <f t="shared" si="31"/>
        <v>0</v>
      </c>
      <c r="T156" s="1998">
        <f t="shared" si="31"/>
        <v>0</v>
      </c>
      <c r="U156" s="1998">
        <f t="shared" si="31"/>
        <v>0</v>
      </c>
      <c r="V156" s="1999"/>
      <c r="W156" s="1999">
        <f t="shared" si="29"/>
        <v>0</v>
      </c>
      <c r="X156" s="1999"/>
      <c r="Y156" s="1999">
        <f t="shared" si="35"/>
        <v>0</v>
      </c>
      <c r="Z156" s="1533"/>
      <c r="AA156" s="1533"/>
      <c r="AB156" s="1533"/>
      <c r="AC156" s="1533"/>
      <c r="AD156" s="1533"/>
      <c r="AE156" s="1533"/>
      <c r="AF156" s="1533"/>
      <c r="AG156" s="1533"/>
    </row>
    <row r="157" spans="1:33" s="1625" customFormat="1" ht="12.2" customHeight="1" x14ac:dyDescent="0.2">
      <c r="A157" s="1622"/>
      <c r="B157" s="1975" t="s">
        <v>537</v>
      </c>
      <c r="C157" s="1623" t="s">
        <v>28917</v>
      </c>
      <c r="D157" s="1631" t="s">
        <v>279</v>
      </c>
      <c r="E157" s="1625" t="s">
        <v>28945</v>
      </c>
      <c r="F157" s="1625">
        <v>526</v>
      </c>
      <c r="G157" s="1591">
        <f>1/60*4/30</f>
        <v>2.2222222222222222E-3</v>
      </c>
      <c r="H157" s="1971" t="s">
        <v>30183</v>
      </c>
      <c r="I157" s="1996">
        <f>Liste!D144</f>
        <v>0</v>
      </c>
      <c r="J157" s="1626">
        <f>VLOOKUP(F157,Kostensätze!A:E,5,FALSE)</f>
        <v>53.04</v>
      </c>
      <c r="K157" s="1627">
        <f t="shared" si="34"/>
        <v>0</v>
      </c>
      <c r="L157" s="1628">
        <f t="shared" si="32"/>
        <v>0</v>
      </c>
      <c r="M157" s="1629">
        <f t="shared" si="33"/>
        <v>0</v>
      </c>
      <c r="N157" s="1597">
        <v>2</v>
      </c>
      <c r="O157" s="1998">
        <f t="shared" si="31"/>
        <v>0</v>
      </c>
      <c r="P157" s="1998">
        <f t="shared" si="31"/>
        <v>0</v>
      </c>
      <c r="Q157" s="1997">
        <f t="shared" si="31"/>
        <v>0</v>
      </c>
      <c r="R157" s="1998">
        <f t="shared" si="31"/>
        <v>0</v>
      </c>
      <c r="S157" s="1998">
        <f t="shared" si="31"/>
        <v>0</v>
      </c>
      <c r="T157" s="1998">
        <f t="shared" si="31"/>
        <v>0</v>
      </c>
      <c r="U157" s="1998">
        <f t="shared" si="31"/>
        <v>0</v>
      </c>
      <c r="V157" s="1999"/>
      <c r="W157" s="1999">
        <f t="shared" si="29"/>
        <v>0</v>
      </c>
      <c r="X157" s="1999"/>
      <c r="Y157" s="1999">
        <f t="shared" si="35"/>
        <v>0</v>
      </c>
      <c r="Z157" s="1630"/>
      <c r="AA157" s="1630"/>
      <c r="AB157" s="1630"/>
      <c r="AC157" s="1630"/>
      <c r="AD157" s="1630"/>
      <c r="AE157" s="1630"/>
      <c r="AF157" s="1630"/>
      <c r="AG157" s="1630"/>
    </row>
    <row r="158" spans="1:33" s="1691" customFormat="1" ht="12.2" customHeight="1" x14ac:dyDescent="0.2">
      <c r="A158" s="1976"/>
      <c r="B158" s="1977" t="s">
        <v>537</v>
      </c>
      <c r="C158" s="1978" t="s">
        <v>28931</v>
      </c>
      <c r="D158" s="1978" t="s">
        <v>279</v>
      </c>
      <c r="E158" s="1691" t="s">
        <v>28945</v>
      </c>
      <c r="F158" s="1691">
        <v>526</v>
      </c>
      <c r="G158" s="1591">
        <f>1/60*1</f>
        <v>1.6666666666666666E-2</v>
      </c>
      <c r="H158" s="1691" t="s">
        <v>29088</v>
      </c>
      <c r="I158" s="1691">
        <f>Liste!D86</f>
        <v>0</v>
      </c>
      <c r="J158" s="1979">
        <f>VLOOKUP(F158,Kostensätze!A:E,5,FALSE)</f>
        <v>53.04</v>
      </c>
      <c r="K158" s="1980">
        <f t="shared" si="34"/>
        <v>0</v>
      </c>
      <c r="L158" s="1981">
        <f t="shared" si="32"/>
        <v>0</v>
      </c>
      <c r="M158" s="1982">
        <f t="shared" si="33"/>
        <v>0</v>
      </c>
      <c r="N158" s="1597"/>
      <c r="O158" s="1998">
        <f t="shared" si="31"/>
        <v>0</v>
      </c>
      <c r="P158" s="1998">
        <f t="shared" si="31"/>
        <v>0</v>
      </c>
      <c r="Q158" s="1997">
        <f t="shared" si="31"/>
        <v>0</v>
      </c>
      <c r="R158" s="1998">
        <f t="shared" si="31"/>
        <v>0</v>
      </c>
      <c r="S158" s="1998">
        <f t="shared" si="31"/>
        <v>0</v>
      </c>
      <c r="T158" s="1998">
        <f t="shared" si="31"/>
        <v>0</v>
      </c>
      <c r="U158" s="1998">
        <f t="shared" si="31"/>
        <v>0</v>
      </c>
      <c r="V158" s="1999"/>
      <c r="W158" s="1999">
        <f t="shared" si="29"/>
        <v>0</v>
      </c>
      <c r="X158" s="1999"/>
      <c r="Y158" s="1999">
        <f t="shared" si="35"/>
        <v>0</v>
      </c>
      <c r="Z158" s="1533"/>
      <c r="AA158" s="1533"/>
      <c r="AB158" s="1533"/>
      <c r="AC158" s="1533"/>
      <c r="AD158" s="1533"/>
      <c r="AE158" s="1533"/>
      <c r="AF158" s="1533"/>
      <c r="AG158" s="1533"/>
    </row>
    <row r="159" spans="1:33" s="1625" customFormat="1" ht="12.2" customHeight="1" x14ac:dyDescent="0.2">
      <c r="A159" s="1622"/>
      <c r="B159" s="1975" t="s">
        <v>537</v>
      </c>
      <c r="C159" s="1623" t="s">
        <v>30210</v>
      </c>
      <c r="D159" s="1631" t="s">
        <v>279</v>
      </c>
      <c r="E159" s="1625" t="s">
        <v>28945</v>
      </c>
      <c r="F159" s="1625">
        <v>526</v>
      </c>
      <c r="G159" s="1591">
        <f>1/60*2</f>
        <v>3.3333333333333333E-2</v>
      </c>
      <c r="H159" s="1625" t="s">
        <v>29088</v>
      </c>
      <c r="I159" s="1625">
        <f>Liste!D86</f>
        <v>0</v>
      </c>
      <c r="J159" s="1626">
        <f>VLOOKUP(F159,Kostensätze!A:E,5,FALSE)</f>
        <v>53.04</v>
      </c>
      <c r="K159" s="1627">
        <f t="shared" si="34"/>
        <v>0</v>
      </c>
      <c r="L159" s="1628">
        <f t="shared" si="32"/>
        <v>0</v>
      </c>
      <c r="M159" s="1629">
        <f t="shared" si="33"/>
        <v>0</v>
      </c>
      <c r="N159" s="1597"/>
      <c r="O159" s="1998">
        <f t="shared" si="31"/>
        <v>0</v>
      </c>
      <c r="P159" s="1998">
        <f t="shared" si="31"/>
        <v>0</v>
      </c>
      <c r="Q159" s="1997">
        <f t="shared" si="31"/>
        <v>0</v>
      </c>
      <c r="R159" s="1998">
        <f t="shared" si="31"/>
        <v>0</v>
      </c>
      <c r="S159" s="1998">
        <f t="shared" si="31"/>
        <v>0</v>
      </c>
      <c r="T159" s="1998">
        <f t="shared" si="31"/>
        <v>0</v>
      </c>
      <c r="U159" s="1998">
        <f t="shared" si="31"/>
        <v>0</v>
      </c>
      <c r="V159" s="1999"/>
      <c r="W159" s="1999">
        <f t="shared" si="29"/>
        <v>0</v>
      </c>
      <c r="X159" s="1999"/>
      <c r="Y159" s="1999">
        <f t="shared" si="35"/>
        <v>0</v>
      </c>
      <c r="Z159" s="1630"/>
      <c r="AA159" s="1630"/>
      <c r="AB159" s="1630"/>
      <c r="AC159" s="1630"/>
      <c r="AD159" s="1630"/>
      <c r="AE159" s="1630"/>
      <c r="AF159" s="1630"/>
      <c r="AG159" s="1630"/>
    </row>
    <row r="160" spans="1:33" s="1691" customFormat="1" ht="12.2" customHeight="1" x14ac:dyDescent="0.2">
      <c r="A160" s="1976"/>
      <c r="B160" s="1976" t="s">
        <v>537</v>
      </c>
      <c r="C160" s="1595" t="s">
        <v>28918</v>
      </c>
      <c r="D160" s="1595" t="s">
        <v>279</v>
      </c>
      <c r="E160" s="1691" t="s">
        <v>28945</v>
      </c>
      <c r="F160" s="1691">
        <v>526</v>
      </c>
      <c r="G160" s="1591">
        <f>1/60*4</f>
        <v>6.6666666666666666E-2</v>
      </c>
      <c r="H160" s="1691" t="s">
        <v>860</v>
      </c>
      <c r="I160" s="1691">
        <f>I126</f>
        <v>0</v>
      </c>
      <c r="J160" s="1979">
        <f>VLOOKUP(F160,Kostensätze!A:E,5,FALSE)</f>
        <v>53.04</v>
      </c>
      <c r="K160" s="1980">
        <f t="shared" si="34"/>
        <v>0</v>
      </c>
      <c r="L160" s="1981">
        <f t="shared" si="32"/>
        <v>0</v>
      </c>
      <c r="M160" s="1982">
        <f t="shared" si="33"/>
        <v>0</v>
      </c>
      <c r="N160" s="1597"/>
      <c r="O160" s="1998">
        <f t="shared" si="31"/>
        <v>0</v>
      </c>
      <c r="P160" s="1998">
        <f t="shared" si="31"/>
        <v>0</v>
      </c>
      <c r="Q160" s="1997">
        <f t="shared" si="31"/>
        <v>0</v>
      </c>
      <c r="R160" s="1998">
        <f t="shared" si="31"/>
        <v>0</v>
      </c>
      <c r="S160" s="1998">
        <f t="shared" si="31"/>
        <v>0</v>
      </c>
      <c r="T160" s="1998">
        <f t="shared" si="31"/>
        <v>0</v>
      </c>
      <c r="U160" s="1998">
        <f t="shared" si="31"/>
        <v>0</v>
      </c>
      <c r="V160" s="1999"/>
      <c r="W160" s="1999">
        <f t="shared" si="29"/>
        <v>0</v>
      </c>
      <c r="X160" s="1999"/>
      <c r="Y160" s="1999">
        <f t="shared" si="35"/>
        <v>0</v>
      </c>
      <c r="Z160" s="1533"/>
      <c r="AA160" s="1533"/>
      <c r="AB160" s="1533"/>
      <c r="AC160" s="1533"/>
      <c r="AD160" s="1533"/>
      <c r="AE160" s="1533"/>
      <c r="AF160" s="1533"/>
      <c r="AG160" s="1533"/>
    </row>
    <row r="161" spans="1:33" s="1625" customFormat="1" ht="12.2" customHeight="1" x14ac:dyDescent="0.2">
      <c r="A161" s="1622"/>
      <c r="B161" s="1622" t="s">
        <v>537</v>
      </c>
      <c r="C161" s="1631" t="s">
        <v>28919</v>
      </c>
      <c r="D161" s="1631" t="s">
        <v>279</v>
      </c>
      <c r="E161" s="1625" t="s">
        <v>28945</v>
      </c>
      <c r="F161" s="1625">
        <v>526</v>
      </c>
      <c r="G161" s="1591">
        <f>1/60*4</f>
        <v>6.6666666666666666E-2</v>
      </c>
      <c r="H161" s="1625" t="s">
        <v>860</v>
      </c>
      <c r="I161" s="1625">
        <f>I128</f>
        <v>0</v>
      </c>
      <c r="J161" s="1626">
        <f>VLOOKUP(F161,Kostensätze!A:E,5,FALSE)</f>
        <v>53.04</v>
      </c>
      <c r="K161" s="1627">
        <f t="shared" si="34"/>
        <v>0</v>
      </c>
      <c r="L161" s="1628">
        <f t="shared" si="32"/>
        <v>0</v>
      </c>
      <c r="M161" s="1629">
        <f t="shared" si="33"/>
        <v>0</v>
      </c>
      <c r="N161" s="1597"/>
      <c r="O161" s="1998">
        <f t="shared" si="31"/>
        <v>0</v>
      </c>
      <c r="P161" s="1998">
        <f t="shared" si="31"/>
        <v>0</v>
      </c>
      <c r="Q161" s="1997">
        <f t="shared" si="31"/>
        <v>0</v>
      </c>
      <c r="R161" s="1998">
        <f t="shared" si="31"/>
        <v>0</v>
      </c>
      <c r="S161" s="1998">
        <f t="shared" si="31"/>
        <v>0</v>
      </c>
      <c r="T161" s="1998">
        <f t="shared" si="31"/>
        <v>0</v>
      </c>
      <c r="U161" s="1998">
        <f t="shared" si="31"/>
        <v>0</v>
      </c>
      <c r="V161" s="1999"/>
      <c r="W161" s="1999">
        <f t="shared" si="29"/>
        <v>0</v>
      </c>
      <c r="X161" s="1999"/>
      <c r="Y161" s="1999">
        <f t="shared" si="35"/>
        <v>0</v>
      </c>
      <c r="Z161" s="1630"/>
      <c r="AA161" s="1630"/>
      <c r="AB161" s="1630"/>
      <c r="AC161" s="1630"/>
      <c r="AD161" s="1630"/>
      <c r="AE161" s="1630"/>
      <c r="AF161" s="1630"/>
      <c r="AG161" s="1630"/>
    </row>
    <row r="162" spans="1:33" s="1691" customFormat="1" ht="12.2" customHeight="1" x14ac:dyDescent="0.2">
      <c r="A162" s="1976"/>
      <c r="B162" s="1977" t="s">
        <v>537</v>
      </c>
      <c r="C162" s="1978" t="s">
        <v>28920</v>
      </c>
      <c r="D162" s="1978" t="s">
        <v>279</v>
      </c>
      <c r="E162" s="1691" t="s">
        <v>28945</v>
      </c>
      <c r="F162" s="1691">
        <v>526</v>
      </c>
      <c r="G162" s="1591">
        <f>1/60*0.5</f>
        <v>8.3333333333333332E-3</v>
      </c>
      <c r="H162" s="1691" t="s">
        <v>30227</v>
      </c>
      <c r="I162" s="1691">
        <f>IF(I145&gt;0,ROUNDUP(Liste!G1/250*2,0),0)</f>
        <v>0</v>
      </c>
      <c r="J162" s="1979">
        <f>VLOOKUP(F162,Kostensätze!A:E,5,FALSE)</f>
        <v>53.04</v>
      </c>
      <c r="K162" s="1980">
        <f t="shared" si="34"/>
        <v>0</v>
      </c>
      <c r="L162" s="1981">
        <f t="shared" si="32"/>
        <v>0</v>
      </c>
      <c r="M162" s="1982">
        <f t="shared" si="33"/>
        <v>0</v>
      </c>
      <c r="N162" s="1597">
        <v>6</v>
      </c>
      <c r="O162" s="1998">
        <f t="shared" si="31"/>
        <v>0</v>
      </c>
      <c r="P162" s="1998">
        <f t="shared" si="31"/>
        <v>0</v>
      </c>
      <c r="Q162" s="1997">
        <f t="shared" si="31"/>
        <v>0</v>
      </c>
      <c r="R162" s="1998">
        <f t="shared" si="31"/>
        <v>0</v>
      </c>
      <c r="S162" s="1998">
        <f t="shared" si="31"/>
        <v>0</v>
      </c>
      <c r="T162" s="1998">
        <f t="shared" si="31"/>
        <v>0</v>
      </c>
      <c r="U162" s="1998">
        <f t="shared" si="31"/>
        <v>0</v>
      </c>
      <c r="V162" s="1999"/>
      <c r="W162" s="1999">
        <f t="shared" si="29"/>
        <v>0</v>
      </c>
      <c r="X162" s="1999"/>
      <c r="Y162" s="1999">
        <f t="shared" si="35"/>
        <v>0</v>
      </c>
      <c r="Z162" s="1533"/>
      <c r="AA162" s="1533"/>
      <c r="AB162" s="1533"/>
      <c r="AC162" s="1533"/>
      <c r="AD162" s="1533"/>
      <c r="AE162" s="1533"/>
      <c r="AF162" s="1533"/>
      <c r="AG162" s="1533"/>
    </row>
    <row r="163" spans="1:33" s="1625" customFormat="1" ht="12.2" customHeight="1" x14ac:dyDescent="0.2">
      <c r="A163" s="1622"/>
      <c r="B163" s="1622" t="s">
        <v>537</v>
      </c>
      <c r="C163" s="1623" t="s">
        <v>28921</v>
      </c>
      <c r="D163" s="1631" t="s">
        <v>279</v>
      </c>
      <c r="E163" s="1625" t="s">
        <v>28945</v>
      </c>
      <c r="F163" s="1625">
        <v>526</v>
      </c>
      <c r="G163" s="1591">
        <f>1/60*3</f>
        <v>0.05</v>
      </c>
      <c r="H163" s="1625" t="s">
        <v>860</v>
      </c>
      <c r="I163" s="1625">
        <f>I132</f>
        <v>0</v>
      </c>
      <c r="J163" s="1626">
        <f>VLOOKUP(F163,Kostensätze!A:E,5,FALSE)</f>
        <v>53.04</v>
      </c>
      <c r="K163" s="1627">
        <f t="shared" si="34"/>
        <v>0</v>
      </c>
      <c r="L163" s="1628">
        <f t="shared" si="32"/>
        <v>0</v>
      </c>
      <c r="M163" s="1629">
        <f t="shared" si="33"/>
        <v>0</v>
      </c>
      <c r="N163" s="1597"/>
      <c r="O163" s="1998">
        <f t="shared" si="31"/>
        <v>0</v>
      </c>
      <c r="P163" s="1998">
        <f t="shared" si="31"/>
        <v>0</v>
      </c>
      <c r="Q163" s="1997">
        <f t="shared" si="31"/>
        <v>0</v>
      </c>
      <c r="R163" s="1998">
        <f t="shared" si="31"/>
        <v>0</v>
      </c>
      <c r="S163" s="1998">
        <f t="shared" si="31"/>
        <v>0</v>
      </c>
      <c r="T163" s="1998">
        <f t="shared" si="31"/>
        <v>0</v>
      </c>
      <c r="U163" s="1998">
        <f t="shared" si="31"/>
        <v>0</v>
      </c>
      <c r="V163" s="1999"/>
      <c r="W163" s="1999">
        <f t="shared" si="29"/>
        <v>0</v>
      </c>
      <c r="X163" s="1999"/>
      <c r="Y163" s="1999">
        <f t="shared" si="35"/>
        <v>0</v>
      </c>
      <c r="Z163" s="1630"/>
      <c r="AA163" s="1630"/>
      <c r="AB163" s="1630"/>
      <c r="AC163" s="1630"/>
      <c r="AD163" s="1630"/>
      <c r="AE163" s="1630"/>
      <c r="AF163" s="1630"/>
      <c r="AG163" s="1630"/>
    </row>
    <row r="164" spans="1:33" s="1691" customFormat="1" ht="12.2" customHeight="1" x14ac:dyDescent="0.2">
      <c r="A164" s="1976"/>
      <c r="B164" s="1976" t="s">
        <v>537</v>
      </c>
      <c r="C164" s="1978" t="s">
        <v>28922</v>
      </c>
      <c r="D164" s="1978" t="s">
        <v>279</v>
      </c>
      <c r="E164" s="1691" t="s">
        <v>28945</v>
      </c>
      <c r="F164" s="1691">
        <v>526</v>
      </c>
      <c r="G164" s="1591">
        <f>1/60*4</f>
        <v>6.6666666666666666E-2</v>
      </c>
      <c r="H164" s="1691" t="s">
        <v>860</v>
      </c>
      <c r="I164" s="1691">
        <f>I135</f>
        <v>0</v>
      </c>
      <c r="J164" s="1979">
        <f>VLOOKUP(F164,Kostensätze!A:E,5,FALSE)</f>
        <v>53.04</v>
      </c>
      <c r="K164" s="1980">
        <f t="shared" si="34"/>
        <v>0</v>
      </c>
      <c r="L164" s="1981">
        <f t="shared" si="32"/>
        <v>0</v>
      </c>
      <c r="M164" s="1982">
        <f t="shared" si="33"/>
        <v>0</v>
      </c>
      <c r="N164" s="1597"/>
      <c r="O164" s="1998">
        <f t="shared" si="31"/>
        <v>0</v>
      </c>
      <c r="P164" s="1998">
        <f t="shared" si="31"/>
        <v>0</v>
      </c>
      <c r="Q164" s="1997">
        <f t="shared" si="31"/>
        <v>0</v>
      </c>
      <c r="R164" s="1998">
        <f t="shared" si="31"/>
        <v>0</v>
      </c>
      <c r="S164" s="1998">
        <f t="shared" si="31"/>
        <v>0</v>
      </c>
      <c r="T164" s="1998">
        <f t="shared" si="31"/>
        <v>0</v>
      </c>
      <c r="U164" s="1998">
        <f t="shared" si="31"/>
        <v>0</v>
      </c>
      <c r="V164" s="1999"/>
      <c r="W164" s="1999">
        <f t="shared" si="29"/>
        <v>0</v>
      </c>
      <c r="X164" s="1999"/>
      <c r="Y164" s="1999">
        <f t="shared" si="35"/>
        <v>0</v>
      </c>
      <c r="Z164" s="1533"/>
      <c r="AA164" s="1533"/>
      <c r="AB164" s="1533"/>
      <c r="AC164" s="1533"/>
      <c r="AD164" s="1533"/>
      <c r="AE164" s="1533"/>
      <c r="AF164" s="1533"/>
      <c r="AG164" s="1533"/>
    </row>
    <row r="165" spans="1:33" s="1625" customFormat="1" ht="12.2" customHeight="1" x14ac:dyDescent="0.2">
      <c r="A165" s="1622"/>
      <c r="B165" s="1622" t="s">
        <v>537</v>
      </c>
      <c r="C165" s="1623" t="s">
        <v>28923</v>
      </c>
      <c r="D165" s="1631" t="s">
        <v>279</v>
      </c>
      <c r="E165" s="1625" t="s">
        <v>28945</v>
      </c>
      <c r="F165" s="1625">
        <v>526</v>
      </c>
      <c r="G165" s="1591">
        <f>1/60*3</f>
        <v>0.05</v>
      </c>
      <c r="H165" s="1625" t="s">
        <v>860</v>
      </c>
      <c r="I165" s="1625">
        <f>I138</f>
        <v>0</v>
      </c>
      <c r="J165" s="1626">
        <f>VLOOKUP(F165,Kostensätze!A:E,5,FALSE)</f>
        <v>53.04</v>
      </c>
      <c r="K165" s="1627">
        <f t="shared" si="34"/>
        <v>0</v>
      </c>
      <c r="L165" s="1628">
        <f t="shared" si="32"/>
        <v>0</v>
      </c>
      <c r="M165" s="1629">
        <f t="shared" si="33"/>
        <v>0</v>
      </c>
      <c r="N165" s="1597"/>
      <c r="O165" s="1998">
        <f t="shared" si="31"/>
        <v>0</v>
      </c>
      <c r="P165" s="1998">
        <f t="shared" si="31"/>
        <v>0</v>
      </c>
      <c r="Q165" s="1997">
        <f t="shared" si="31"/>
        <v>0</v>
      </c>
      <c r="R165" s="1998">
        <f t="shared" si="31"/>
        <v>0</v>
      </c>
      <c r="S165" s="1998">
        <f t="shared" si="31"/>
        <v>0</v>
      </c>
      <c r="T165" s="1998">
        <f t="shared" si="31"/>
        <v>0</v>
      </c>
      <c r="U165" s="1998">
        <f t="shared" si="31"/>
        <v>0</v>
      </c>
      <c r="V165" s="1999"/>
      <c r="W165" s="1999">
        <f t="shared" si="29"/>
        <v>0</v>
      </c>
      <c r="X165" s="1999"/>
      <c r="Y165" s="1999">
        <f t="shared" si="35"/>
        <v>0</v>
      </c>
      <c r="Z165" s="1630"/>
      <c r="AA165" s="1630"/>
      <c r="AB165" s="1630"/>
      <c r="AC165" s="1630"/>
      <c r="AD165" s="1630"/>
      <c r="AE165" s="1630"/>
      <c r="AF165" s="1630"/>
      <c r="AG165" s="1630"/>
    </row>
    <row r="166" spans="1:33" s="1691" customFormat="1" ht="12.2" customHeight="1" x14ac:dyDescent="0.2">
      <c r="A166" s="1976"/>
      <c r="B166" s="1977" t="s">
        <v>537</v>
      </c>
      <c r="C166" s="1978" t="s">
        <v>30158</v>
      </c>
      <c r="D166" s="1595" t="s">
        <v>279</v>
      </c>
      <c r="E166" s="1691" t="s">
        <v>28945</v>
      </c>
      <c r="F166" s="1691">
        <v>526</v>
      </c>
      <c r="G166" s="1591">
        <f>1/60*3</f>
        <v>0.05</v>
      </c>
      <c r="H166" s="1691" t="s">
        <v>29088</v>
      </c>
      <c r="I166" s="1691">
        <f>Liste!D86*Liste!D313</f>
        <v>0</v>
      </c>
      <c r="J166" s="1979">
        <f>VLOOKUP(F166,Kostensätze!A:E,5,FALSE)</f>
        <v>53.04</v>
      </c>
      <c r="K166" s="1980">
        <f t="shared" si="34"/>
        <v>0</v>
      </c>
      <c r="L166" s="1981">
        <f t="shared" si="32"/>
        <v>0</v>
      </c>
      <c r="M166" s="1982">
        <f t="shared" si="33"/>
        <v>0</v>
      </c>
      <c r="N166" s="1597">
        <v>1</v>
      </c>
      <c r="O166" s="1998">
        <f t="shared" si="31"/>
        <v>0</v>
      </c>
      <c r="P166" s="1998">
        <f t="shared" si="31"/>
        <v>0</v>
      </c>
      <c r="Q166" s="1997">
        <f t="shared" si="31"/>
        <v>0</v>
      </c>
      <c r="R166" s="1998">
        <f t="shared" si="31"/>
        <v>0</v>
      </c>
      <c r="S166" s="1998">
        <f t="shared" si="31"/>
        <v>0</v>
      </c>
      <c r="T166" s="1998">
        <f t="shared" si="31"/>
        <v>0</v>
      </c>
      <c r="U166" s="1998">
        <f t="shared" si="31"/>
        <v>0</v>
      </c>
      <c r="V166" s="1999"/>
      <c r="W166" s="1999">
        <f>IF(V166=1,L166,0)</f>
        <v>0</v>
      </c>
      <c r="X166" s="1999"/>
      <c r="Y166" s="1999">
        <f t="shared" si="35"/>
        <v>0</v>
      </c>
      <c r="Z166" s="1533"/>
      <c r="AA166" s="1533"/>
      <c r="AB166" s="1533"/>
      <c r="AC166" s="1533"/>
      <c r="AD166" s="1533"/>
      <c r="AE166" s="1533"/>
      <c r="AF166" s="1533"/>
      <c r="AG166" s="1533"/>
    </row>
    <row r="167" spans="1:33" s="1625" customFormat="1" ht="12.2" customHeight="1" x14ac:dyDescent="0.2">
      <c r="A167" s="1622"/>
      <c r="B167" s="1975" t="s">
        <v>537</v>
      </c>
      <c r="C167" s="1631" t="s">
        <v>28896</v>
      </c>
      <c r="D167" s="1631" t="s">
        <v>28912</v>
      </c>
      <c r="E167" s="1625" t="s">
        <v>28945</v>
      </c>
      <c r="F167" s="1625">
        <v>526</v>
      </c>
      <c r="G167" s="1591">
        <f>1/60*1</f>
        <v>1.6666666666666666E-2</v>
      </c>
      <c r="H167" s="1625" t="s">
        <v>29088</v>
      </c>
      <c r="I167" s="1625">
        <f>Liste!D86*(Liste!D141+Liste!D142)</f>
        <v>0</v>
      </c>
      <c r="J167" s="1626">
        <f>VLOOKUP(F167,Kostensätze!A:E,5,FALSE)</f>
        <v>53.04</v>
      </c>
      <c r="K167" s="1627">
        <f t="shared" si="34"/>
        <v>0</v>
      </c>
      <c r="L167" s="1628">
        <f t="shared" si="32"/>
        <v>0</v>
      </c>
      <c r="M167" s="1629">
        <f t="shared" si="33"/>
        <v>0</v>
      </c>
      <c r="N167" s="1597"/>
      <c r="O167" s="1998">
        <f t="shared" si="31"/>
        <v>0</v>
      </c>
      <c r="P167" s="1998">
        <f t="shared" si="31"/>
        <v>0</v>
      </c>
      <c r="Q167" s="1997">
        <f t="shared" si="31"/>
        <v>0</v>
      </c>
      <c r="R167" s="1998">
        <f t="shared" si="31"/>
        <v>0</v>
      </c>
      <c r="S167" s="1998">
        <f t="shared" si="31"/>
        <v>0</v>
      </c>
      <c r="T167" s="1998">
        <f t="shared" si="31"/>
        <v>0</v>
      </c>
      <c r="U167" s="1998">
        <f t="shared" si="31"/>
        <v>0</v>
      </c>
      <c r="V167" s="1999"/>
      <c r="W167" s="1999">
        <f t="shared" ref="W167:W249" si="36">IF(V167=1,L167,0)</f>
        <v>0</v>
      </c>
      <c r="X167" s="1999"/>
      <c r="Y167" s="1999">
        <f t="shared" si="35"/>
        <v>0</v>
      </c>
      <c r="Z167" s="1630"/>
      <c r="AA167" s="1630"/>
      <c r="AB167" s="1630"/>
      <c r="AC167" s="1630"/>
      <c r="AD167" s="1630"/>
      <c r="AE167" s="1630"/>
      <c r="AF167" s="1630"/>
      <c r="AG167" s="1630"/>
    </row>
    <row r="168" spans="1:33" s="1691" customFormat="1" ht="12.2" customHeight="1" x14ac:dyDescent="0.2">
      <c r="A168" s="1976"/>
      <c r="B168" s="1977" t="s">
        <v>537</v>
      </c>
      <c r="C168" s="1595" t="s">
        <v>28897</v>
      </c>
      <c r="D168" s="1595" t="s">
        <v>28912</v>
      </c>
      <c r="E168" s="1691" t="s">
        <v>28945</v>
      </c>
      <c r="F168" s="1691">
        <v>526</v>
      </c>
      <c r="G168" s="1591">
        <f>1/60*1</f>
        <v>1.6666666666666666E-2</v>
      </c>
      <c r="H168" s="1691" t="s">
        <v>29088</v>
      </c>
      <c r="I168" s="1691">
        <f>Liste!D86*(Liste!D141+Liste!D142)</f>
        <v>0</v>
      </c>
      <c r="J168" s="1979">
        <f>VLOOKUP(F168,Kostensätze!A:E,5,FALSE)</f>
        <v>53.04</v>
      </c>
      <c r="K168" s="1980">
        <f t="shared" si="34"/>
        <v>0</v>
      </c>
      <c r="L168" s="1981">
        <f t="shared" si="32"/>
        <v>0</v>
      </c>
      <c r="M168" s="1982">
        <f t="shared" si="33"/>
        <v>0</v>
      </c>
      <c r="N168" s="1597"/>
      <c r="O168" s="1998">
        <f t="shared" si="31"/>
        <v>0</v>
      </c>
      <c r="P168" s="1998">
        <f t="shared" si="31"/>
        <v>0</v>
      </c>
      <c r="Q168" s="1997">
        <f t="shared" si="31"/>
        <v>0</v>
      </c>
      <c r="R168" s="1998">
        <f t="shared" si="31"/>
        <v>0</v>
      </c>
      <c r="S168" s="1998">
        <f t="shared" si="31"/>
        <v>0</v>
      </c>
      <c r="T168" s="1998">
        <f t="shared" si="31"/>
        <v>0</v>
      </c>
      <c r="U168" s="1998">
        <f t="shared" si="31"/>
        <v>0</v>
      </c>
      <c r="V168" s="1999"/>
      <c r="W168" s="1999">
        <f t="shared" si="36"/>
        <v>0</v>
      </c>
      <c r="X168" s="1999"/>
      <c r="Y168" s="1999">
        <f t="shared" si="35"/>
        <v>0</v>
      </c>
      <c r="Z168" s="1533"/>
      <c r="AA168" s="1533"/>
      <c r="AB168" s="1533"/>
      <c r="AC168" s="1533"/>
      <c r="AD168" s="1533"/>
      <c r="AE168" s="1533"/>
      <c r="AF168" s="1533"/>
      <c r="AG168" s="1533"/>
    </row>
    <row r="169" spans="1:33" s="1625" customFormat="1" ht="12.2" customHeight="1" x14ac:dyDescent="0.2">
      <c r="A169" s="1622"/>
      <c r="B169" s="1975" t="s">
        <v>537</v>
      </c>
      <c r="C169" s="1623" t="s">
        <v>28896</v>
      </c>
      <c r="D169" s="1631" t="s">
        <v>28913</v>
      </c>
      <c r="E169" s="1625" t="s">
        <v>28945</v>
      </c>
      <c r="F169" s="1625">
        <v>526</v>
      </c>
      <c r="G169" s="1591">
        <f>1/60*1</f>
        <v>1.6666666666666666E-2</v>
      </c>
      <c r="H169" s="1625" t="s">
        <v>29088</v>
      </c>
      <c r="I169" s="1625">
        <f>Liste!D86*(Liste!D138+Liste!D140)</f>
        <v>0</v>
      </c>
      <c r="J169" s="1626">
        <f>VLOOKUP(F169,Kostensätze!A:E,5,FALSE)</f>
        <v>53.04</v>
      </c>
      <c r="K169" s="1627">
        <f t="shared" si="34"/>
        <v>0</v>
      </c>
      <c r="L169" s="1628">
        <f t="shared" si="32"/>
        <v>0</v>
      </c>
      <c r="M169" s="1629">
        <f t="shared" si="33"/>
        <v>0</v>
      </c>
      <c r="N169" s="1597"/>
      <c r="O169" s="1998">
        <f t="shared" si="31"/>
        <v>0</v>
      </c>
      <c r="P169" s="1998">
        <f t="shared" si="31"/>
        <v>0</v>
      </c>
      <c r="Q169" s="1997">
        <f t="shared" si="31"/>
        <v>0</v>
      </c>
      <c r="R169" s="1998">
        <f t="shared" si="31"/>
        <v>0</v>
      </c>
      <c r="S169" s="1998">
        <f t="shared" si="31"/>
        <v>0</v>
      </c>
      <c r="T169" s="1998">
        <f t="shared" si="31"/>
        <v>0</v>
      </c>
      <c r="U169" s="1998">
        <f t="shared" si="31"/>
        <v>0</v>
      </c>
      <c r="V169" s="1999"/>
      <c r="W169" s="1999">
        <f t="shared" si="36"/>
        <v>0</v>
      </c>
      <c r="X169" s="1999"/>
      <c r="Y169" s="1999">
        <f t="shared" si="35"/>
        <v>0</v>
      </c>
      <c r="Z169" s="1630"/>
      <c r="AA169" s="1630"/>
      <c r="AB169" s="1630"/>
      <c r="AC169" s="1630"/>
      <c r="AD169" s="1630"/>
      <c r="AE169" s="1630"/>
      <c r="AF169" s="1630"/>
      <c r="AG169" s="1630"/>
    </row>
    <row r="170" spans="1:33" s="1691" customFormat="1" ht="12.2" customHeight="1" x14ac:dyDescent="0.2">
      <c r="A170" s="1976"/>
      <c r="B170" s="1977" t="s">
        <v>537</v>
      </c>
      <c r="C170" s="1595" t="s">
        <v>28897</v>
      </c>
      <c r="D170" s="1595" t="s">
        <v>28913</v>
      </c>
      <c r="E170" s="1691" t="s">
        <v>28945</v>
      </c>
      <c r="F170" s="1691">
        <v>526</v>
      </c>
      <c r="G170" s="1591">
        <f>1/60*1</f>
        <v>1.6666666666666666E-2</v>
      </c>
      <c r="H170" s="1983" t="s">
        <v>29088</v>
      </c>
      <c r="I170" s="1691">
        <f>Liste!D86*(Liste!D138+Liste!D140)</f>
        <v>0</v>
      </c>
      <c r="J170" s="1979">
        <f>VLOOKUP(F170,Kostensätze!A:E,5,FALSE)</f>
        <v>53.04</v>
      </c>
      <c r="K170" s="1980">
        <f t="shared" si="34"/>
        <v>0</v>
      </c>
      <c r="L170" s="1981">
        <f t="shared" si="32"/>
        <v>0</v>
      </c>
      <c r="M170" s="1982">
        <f t="shared" si="33"/>
        <v>0</v>
      </c>
      <c r="N170" s="1597"/>
      <c r="O170" s="1998">
        <f t="shared" si="31"/>
        <v>0</v>
      </c>
      <c r="P170" s="1998">
        <f t="shared" si="31"/>
        <v>0</v>
      </c>
      <c r="Q170" s="1997">
        <f t="shared" si="31"/>
        <v>0</v>
      </c>
      <c r="R170" s="1998">
        <f t="shared" si="31"/>
        <v>0</v>
      </c>
      <c r="S170" s="1998">
        <f t="shared" si="31"/>
        <v>0</v>
      </c>
      <c r="T170" s="1998">
        <f t="shared" si="31"/>
        <v>0</v>
      </c>
      <c r="U170" s="1998">
        <f t="shared" si="31"/>
        <v>0</v>
      </c>
      <c r="V170" s="1999"/>
      <c r="W170" s="1999">
        <f t="shared" si="36"/>
        <v>0</v>
      </c>
      <c r="X170" s="1999"/>
      <c r="Y170" s="1999">
        <f t="shared" si="35"/>
        <v>0</v>
      </c>
      <c r="Z170" s="1533"/>
      <c r="AA170" s="1533"/>
      <c r="AB170" s="1533"/>
      <c r="AC170" s="1533"/>
      <c r="AD170" s="1533"/>
      <c r="AE170" s="1533"/>
      <c r="AF170" s="1533"/>
      <c r="AG170" s="1533"/>
    </row>
    <row r="171" spans="1:33" s="1625" customFormat="1" ht="12.2" customHeight="1" x14ac:dyDescent="0.2">
      <c r="A171" s="1622"/>
      <c r="B171" s="1975" t="s">
        <v>537</v>
      </c>
      <c r="C171" s="1623" t="s">
        <v>867</v>
      </c>
      <c r="D171" s="1623" t="s">
        <v>453</v>
      </c>
      <c r="E171" s="1625" t="s">
        <v>28945</v>
      </c>
      <c r="F171" s="1625">
        <v>526</v>
      </c>
      <c r="G171" s="1591">
        <f>1/60*3</f>
        <v>0.05</v>
      </c>
      <c r="H171" s="1625" t="s">
        <v>29088</v>
      </c>
      <c r="I171" s="1625">
        <f>Liste!D86</f>
        <v>0</v>
      </c>
      <c r="J171" s="1626">
        <f>VLOOKUP(F171,Kostensätze!A:E,5,FALSE)</f>
        <v>53.04</v>
      </c>
      <c r="K171" s="1627">
        <f t="shared" si="34"/>
        <v>0</v>
      </c>
      <c r="L171" s="1628">
        <f t="shared" si="32"/>
        <v>0</v>
      </c>
      <c r="M171" s="1629">
        <f t="shared" si="33"/>
        <v>0</v>
      </c>
      <c r="N171" s="1597"/>
      <c r="O171" s="1998">
        <f t="shared" si="31"/>
        <v>0</v>
      </c>
      <c r="P171" s="1998">
        <f t="shared" si="31"/>
        <v>0</v>
      </c>
      <c r="Q171" s="1997">
        <f t="shared" si="31"/>
        <v>0</v>
      </c>
      <c r="R171" s="1998">
        <f t="shared" si="31"/>
        <v>0</v>
      </c>
      <c r="S171" s="1998">
        <f t="shared" si="31"/>
        <v>0</v>
      </c>
      <c r="T171" s="1998">
        <f t="shared" si="31"/>
        <v>0</v>
      </c>
      <c r="U171" s="1998">
        <f t="shared" si="31"/>
        <v>0</v>
      </c>
      <c r="V171" s="1999"/>
      <c r="W171" s="1999">
        <f t="shared" si="36"/>
        <v>0</v>
      </c>
      <c r="X171" s="1999"/>
      <c r="Y171" s="1999">
        <f t="shared" si="35"/>
        <v>0</v>
      </c>
      <c r="Z171" s="1630"/>
      <c r="AA171" s="1630"/>
      <c r="AB171" s="1630"/>
      <c r="AC171" s="1630"/>
      <c r="AD171" s="1630"/>
      <c r="AE171" s="1630"/>
      <c r="AF171" s="1630"/>
      <c r="AG171" s="1630"/>
    </row>
    <row r="172" spans="1:33" s="1691" customFormat="1" x14ac:dyDescent="0.2">
      <c r="A172" s="1976" t="s">
        <v>30342</v>
      </c>
      <c r="B172" s="1976"/>
      <c r="C172" s="1595"/>
      <c r="D172" s="1595"/>
      <c r="F172" s="1691">
        <v>526</v>
      </c>
      <c r="G172" s="1596"/>
      <c r="J172" s="1979"/>
      <c r="K172" s="1980">
        <f t="shared" si="34"/>
        <v>0</v>
      </c>
      <c r="L172" s="1981"/>
      <c r="M172" s="1982">
        <f t="shared" si="33"/>
        <v>0</v>
      </c>
      <c r="N172" s="1597"/>
      <c r="O172" s="1998">
        <f t="shared" si="31"/>
        <v>0</v>
      </c>
      <c r="P172" s="1998">
        <f t="shared" si="31"/>
        <v>0</v>
      </c>
      <c r="Q172" s="1997">
        <f t="shared" si="31"/>
        <v>0</v>
      </c>
      <c r="R172" s="1998">
        <f t="shared" si="31"/>
        <v>0</v>
      </c>
      <c r="S172" s="1998">
        <f t="shared" si="31"/>
        <v>0</v>
      </c>
      <c r="T172" s="1998">
        <f t="shared" si="31"/>
        <v>0</v>
      </c>
      <c r="U172" s="1998">
        <f t="shared" si="31"/>
        <v>0</v>
      </c>
      <c r="V172" s="1998"/>
      <c r="W172" s="1999">
        <f t="shared" si="36"/>
        <v>0</v>
      </c>
      <c r="X172" s="1998"/>
      <c r="Y172" s="1999">
        <f t="shared" si="35"/>
        <v>0</v>
      </c>
    </row>
    <row r="173" spans="1:33" s="1625" customFormat="1" ht="12.2" customHeight="1" x14ac:dyDescent="0.2">
      <c r="A173" s="1622"/>
      <c r="B173" s="1622"/>
      <c r="C173" s="1623" t="s">
        <v>28900</v>
      </c>
      <c r="D173" s="1623" t="s">
        <v>28970</v>
      </c>
      <c r="E173" s="1625" t="s">
        <v>108</v>
      </c>
      <c r="F173" s="1625">
        <v>520</v>
      </c>
      <c r="G173" s="1591">
        <v>3.3000000000000002E-2</v>
      </c>
      <c r="H173" s="1625" t="s">
        <v>860</v>
      </c>
      <c r="I173" s="1625">
        <f>SUM(Liste!D316:D335)*Liste!C1+SUM(Liste!D336:D355)</f>
        <v>0</v>
      </c>
      <c r="J173" s="1626">
        <f>VLOOKUP(F173,Kostensätze!A:E,5,FALSE)</f>
        <v>37.619999999999997</v>
      </c>
      <c r="K173" s="1627">
        <f t="shared" si="34"/>
        <v>0</v>
      </c>
      <c r="L173" s="1628">
        <f t="shared" si="32"/>
        <v>0</v>
      </c>
      <c r="M173" s="1629">
        <f t="shared" si="33"/>
        <v>0</v>
      </c>
      <c r="N173" s="1597"/>
      <c r="O173" s="1998">
        <f t="shared" si="31"/>
        <v>0</v>
      </c>
      <c r="P173" s="1998">
        <f t="shared" si="31"/>
        <v>0</v>
      </c>
      <c r="Q173" s="1997">
        <f t="shared" si="31"/>
        <v>0</v>
      </c>
      <c r="R173" s="1998">
        <f t="shared" si="31"/>
        <v>0</v>
      </c>
      <c r="S173" s="1998">
        <f t="shared" si="31"/>
        <v>0</v>
      </c>
      <c r="T173" s="1998">
        <f t="shared" si="31"/>
        <v>0</v>
      </c>
      <c r="U173" s="1998">
        <f t="shared" si="31"/>
        <v>0</v>
      </c>
      <c r="V173" s="1999">
        <v>1</v>
      </c>
      <c r="W173" s="1999">
        <f t="shared" si="36"/>
        <v>0</v>
      </c>
      <c r="X173" s="1999"/>
      <c r="Y173" s="1999">
        <f t="shared" si="35"/>
        <v>0</v>
      </c>
      <c r="Z173" s="1630"/>
      <c r="AA173" s="1630"/>
      <c r="AB173" s="1630"/>
      <c r="AC173" s="1630"/>
      <c r="AD173" s="1630"/>
      <c r="AE173" s="1630"/>
      <c r="AF173" s="1630"/>
      <c r="AG173" s="1630"/>
    </row>
    <row r="174" spans="1:33" s="1691" customFormat="1" ht="12.2" customHeight="1" x14ac:dyDescent="0.2">
      <c r="A174" s="1976"/>
      <c r="B174" s="1976"/>
      <c r="C174" s="1978" t="s">
        <v>28901</v>
      </c>
      <c r="D174" s="1595" t="s">
        <v>28970</v>
      </c>
      <c r="E174" s="1691" t="s">
        <v>108</v>
      </c>
      <c r="F174" s="1691">
        <v>520</v>
      </c>
      <c r="G174" s="1591">
        <v>1.4999999999999999E-2</v>
      </c>
      <c r="H174" s="1691" t="s">
        <v>860</v>
      </c>
      <c r="I174" s="1691">
        <f>I173</f>
        <v>0</v>
      </c>
      <c r="J174" s="1979">
        <f>VLOOKUP(F174,Kostensätze!A:E,5,FALSE)</f>
        <v>37.619999999999997</v>
      </c>
      <c r="K174" s="1980">
        <f t="shared" si="34"/>
        <v>0</v>
      </c>
      <c r="L174" s="1981">
        <f t="shared" si="32"/>
        <v>0</v>
      </c>
      <c r="M174" s="1982">
        <f t="shared" si="33"/>
        <v>0</v>
      </c>
      <c r="N174" s="1597"/>
      <c r="O174" s="1998">
        <f t="shared" si="31"/>
        <v>0</v>
      </c>
      <c r="P174" s="1998">
        <f t="shared" si="31"/>
        <v>0</v>
      </c>
      <c r="Q174" s="1997">
        <f t="shared" si="31"/>
        <v>0</v>
      </c>
      <c r="R174" s="1998">
        <f t="shared" si="31"/>
        <v>0</v>
      </c>
      <c r="S174" s="1998">
        <f t="shared" si="31"/>
        <v>0</v>
      </c>
      <c r="T174" s="1998">
        <f t="shared" si="31"/>
        <v>0</v>
      </c>
      <c r="U174" s="1998">
        <f t="shared" si="31"/>
        <v>0</v>
      </c>
      <c r="V174" s="1999"/>
      <c r="W174" s="1999">
        <f t="shared" si="36"/>
        <v>0</v>
      </c>
      <c r="X174" s="1999">
        <v>1</v>
      </c>
      <c r="Y174" s="1999">
        <f t="shared" si="35"/>
        <v>0</v>
      </c>
      <c r="Z174" s="1533"/>
      <c r="AA174" s="1533"/>
      <c r="AB174" s="1533"/>
      <c r="AC174" s="1533"/>
      <c r="AD174" s="1533"/>
      <c r="AE174" s="1533"/>
      <c r="AF174" s="1533"/>
      <c r="AG174" s="1533"/>
    </row>
    <row r="175" spans="1:33" s="1625" customFormat="1" ht="12.2" customHeight="1" x14ac:dyDescent="0.2">
      <c r="A175" s="1622"/>
      <c r="B175" s="1622"/>
      <c r="C175" s="1631" t="s">
        <v>28902</v>
      </c>
      <c r="D175" s="1631" t="s">
        <v>28970</v>
      </c>
      <c r="E175" s="1625" t="s">
        <v>108</v>
      </c>
      <c r="F175" s="1625">
        <v>520</v>
      </c>
      <c r="G175" s="1591">
        <v>6.7000000000000004E-2</v>
      </c>
      <c r="H175" s="1625" t="s">
        <v>860</v>
      </c>
      <c r="I175" s="1625">
        <f>I173</f>
        <v>0</v>
      </c>
      <c r="J175" s="1626">
        <f>VLOOKUP(F175,Kostensätze!A:E,5,FALSE)</f>
        <v>37.619999999999997</v>
      </c>
      <c r="K175" s="1627">
        <f t="shared" si="34"/>
        <v>0</v>
      </c>
      <c r="L175" s="1628">
        <f t="shared" si="32"/>
        <v>0</v>
      </c>
      <c r="M175" s="1629">
        <f t="shared" si="33"/>
        <v>0</v>
      </c>
      <c r="N175" s="1597"/>
      <c r="O175" s="1998">
        <f t="shared" si="31"/>
        <v>0</v>
      </c>
      <c r="P175" s="1998">
        <f t="shared" si="31"/>
        <v>0</v>
      </c>
      <c r="Q175" s="1997">
        <f t="shared" si="31"/>
        <v>0</v>
      </c>
      <c r="R175" s="1998">
        <f t="shared" si="31"/>
        <v>0</v>
      </c>
      <c r="S175" s="1998">
        <f t="shared" si="31"/>
        <v>0</v>
      </c>
      <c r="T175" s="1998">
        <f t="shared" si="31"/>
        <v>0</v>
      </c>
      <c r="U175" s="1998">
        <f t="shared" si="31"/>
        <v>0</v>
      </c>
      <c r="V175" s="1999"/>
      <c r="W175" s="1999">
        <f t="shared" si="36"/>
        <v>0</v>
      </c>
      <c r="X175" s="1999">
        <v>1</v>
      </c>
      <c r="Y175" s="1999">
        <f t="shared" si="35"/>
        <v>0</v>
      </c>
      <c r="Z175" s="1630"/>
      <c r="AA175" s="1630"/>
      <c r="AB175" s="1630"/>
      <c r="AC175" s="1630"/>
      <c r="AD175" s="1630"/>
      <c r="AE175" s="1630"/>
      <c r="AF175" s="1630"/>
      <c r="AG175" s="1630"/>
    </row>
    <row r="176" spans="1:33" s="1691" customFormat="1" ht="12.2" customHeight="1" x14ac:dyDescent="0.2">
      <c r="A176" s="1976"/>
      <c r="B176" s="2055"/>
      <c r="C176" s="1978" t="s">
        <v>30343</v>
      </c>
      <c r="D176" s="1978" t="s">
        <v>28972</v>
      </c>
      <c r="E176" s="1691" t="s">
        <v>30344</v>
      </c>
      <c r="F176" s="1691">
        <v>507</v>
      </c>
      <c r="G176" s="1591">
        <v>1.6660000000000001E-2</v>
      </c>
      <c r="H176" s="1691" t="s">
        <v>862</v>
      </c>
      <c r="I176" s="1691">
        <f>IF(Liste!F198&lt;&gt;2000,Liste!A198,0)</f>
        <v>1</v>
      </c>
      <c r="J176" s="1979">
        <f>VLOOKUP(F176,Kostensätze!A:E,5,FALSE)</f>
        <v>42.68</v>
      </c>
      <c r="K176" s="1980">
        <f t="shared" si="34"/>
        <v>0.99960000000000004</v>
      </c>
      <c r="L176" s="1981">
        <f t="shared" si="32"/>
        <v>1.6660000000000001E-2</v>
      </c>
      <c r="M176" s="1982">
        <f t="shared" si="33"/>
        <v>0.71104880000000004</v>
      </c>
      <c r="N176" s="1597"/>
      <c r="O176" s="1998">
        <f t="shared" ref="O176:U202" si="37">IF($F176=O$3,$L176,0)</f>
        <v>0</v>
      </c>
      <c r="P176" s="1998">
        <f t="shared" si="37"/>
        <v>0</v>
      </c>
      <c r="Q176" s="1997">
        <f t="shared" si="37"/>
        <v>1.6660000000000001E-2</v>
      </c>
      <c r="R176" s="1998">
        <f t="shared" si="37"/>
        <v>0</v>
      </c>
      <c r="S176" s="1998">
        <f t="shared" si="37"/>
        <v>0</v>
      </c>
      <c r="T176" s="1998">
        <f t="shared" si="37"/>
        <v>0</v>
      </c>
      <c r="U176" s="1998">
        <f t="shared" si="37"/>
        <v>0</v>
      </c>
      <c r="V176" s="1999"/>
      <c r="W176" s="1999">
        <f t="shared" si="36"/>
        <v>0</v>
      </c>
      <c r="X176" s="1999"/>
      <c r="Y176" s="1999">
        <f t="shared" si="35"/>
        <v>0</v>
      </c>
      <c r="Z176" s="1533"/>
      <c r="AA176" s="1533"/>
      <c r="AB176" s="1533"/>
      <c r="AC176" s="1533"/>
      <c r="AD176" s="1533"/>
      <c r="AE176" s="1533"/>
      <c r="AF176" s="1533"/>
      <c r="AG176" s="1533"/>
    </row>
    <row r="177" spans="1:33" s="1625" customFormat="1" ht="12.2" customHeight="1" x14ac:dyDescent="0.2">
      <c r="A177" s="1622"/>
      <c r="B177" s="1622"/>
      <c r="C177" s="1623" t="s">
        <v>30345</v>
      </c>
      <c r="D177" s="1631" t="s">
        <v>28972</v>
      </c>
      <c r="E177" s="1625" t="s">
        <v>30344</v>
      </c>
      <c r="F177" s="1625">
        <v>507</v>
      </c>
      <c r="G177" s="1591">
        <v>1.6660000000000001E-2</v>
      </c>
      <c r="H177" s="1625" t="s">
        <v>862</v>
      </c>
      <c r="I177" s="1625">
        <f>I176</f>
        <v>1</v>
      </c>
      <c r="J177" s="1626">
        <f>VLOOKUP(F177,Kostensätze!A:E,5,FALSE)</f>
        <v>42.68</v>
      </c>
      <c r="K177" s="1627">
        <f t="shared" si="34"/>
        <v>0.99960000000000004</v>
      </c>
      <c r="L177" s="1628">
        <f t="shared" si="32"/>
        <v>1.6660000000000001E-2</v>
      </c>
      <c r="M177" s="1629">
        <f t="shared" si="33"/>
        <v>0.71104880000000004</v>
      </c>
      <c r="N177" s="1597"/>
      <c r="O177" s="1998">
        <f t="shared" si="37"/>
        <v>0</v>
      </c>
      <c r="P177" s="1998">
        <f t="shared" si="37"/>
        <v>0</v>
      </c>
      <c r="Q177" s="1997">
        <f t="shared" si="37"/>
        <v>1.6660000000000001E-2</v>
      </c>
      <c r="R177" s="1998">
        <f t="shared" si="37"/>
        <v>0</v>
      </c>
      <c r="S177" s="1998">
        <f t="shared" si="37"/>
        <v>0</v>
      </c>
      <c r="T177" s="1998">
        <f t="shared" si="37"/>
        <v>0</v>
      </c>
      <c r="U177" s="1998">
        <f t="shared" si="37"/>
        <v>0</v>
      </c>
      <c r="V177" s="1999"/>
      <c r="W177" s="1999">
        <f t="shared" si="36"/>
        <v>0</v>
      </c>
      <c r="X177" s="1999"/>
      <c r="Y177" s="1999">
        <f t="shared" si="35"/>
        <v>0</v>
      </c>
      <c r="Z177" s="1630"/>
      <c r="AA177" s="1630"/>
      <c r="AB177" s="1630"/>
      <c r="AC177" s="1630"/>
      <c r="AD177" s="1630"/>
      <c r="AE177" s="1630"/>
      <c r="AF177" s="1630"/>
      <c r="AG177" s="1630"/>
    </row>
    <row r="178" spans="1:33" s="1691" customFormat="1" ht="12.2" customHeight="1" x14ac:dyDescent="0.2">
      <c r="A178" s="1976"/>
      <c r="B178" s="1976"/>
      <c r="C178" s="1595"/>
      <c r="D178" s="1595"/>
      <c r="G178" s="1591"/>
      <c r="H178" s="1691" t="s">
        <v>860</v>
      </c>
      <c r="J178" s="1979"/>
      <c r="K178" s="1980">
        <f t="shared" si="34"/>
        <v>0</v>
      </c>
      <c r="L178" s="1981">
        <f t="shared" si="32"/>
        <v>0</v>
      </c>
      <c r="M178" s="1982">
        <f t="shared" si="33"/>
        <v>0</v>
      </c>
      <c r="N178" s="1597"/>
      <c r="O178" s="1998">
        <f t="shared" si="37"/>
        <v>0</v>
      </c>
      <c r="P178" s="1998">
        <f t="shared" si="37"/>
        <v>0</v>
      </c>
      <c r="Q178" s="1997">
        <f t="shared" si="37"/>
        <v>0</v>
      </c>
      <c r="R178" s="1998">
        <f t="shared" si="37"/>
        <v>0</v>
      </c>
      <c r="S178" s="1998">
        <f t="shared" si="37"/>
        <v>0</v>
      </c>
      <c r="T178" s="1998">
        <f t="shared" si="37"/>
        <v>0</v>
      </c>
      <c r="U178" s="1998">
        <f t="shared" si="37"/>
        <v>0</v>
      </c>
      <c r="V178" s="1999"/>
      <c r="W178" s="1999">
        <f t="shared" si="36"/>
        <v>0</v>
      </c>
      <c r="X178" s="1999"/>
      <c r="Y178" s="1999">
        <f t="shared" si="35"/>
        <v>0</v>
      </c>
      <c r="Z178" s="1533"/>
      <c r="AA178" s="1533"/>
      <c r="AB178" s="1533"/>
      <c r="AC178" s="1533"/>
      <c r="AD178" s="1533"/>
      <c r="AE178" s="1533"/>
      <c r="AF178" s="1533"/>
      <c r="AG178" s="1533"/>
    </row>
    <row r="179" spans="1:33" s="1625" customFormat="1" ht="12.2" customHeight="1" x14ac:dyDescent="0.2">
      <c r="A179" s="1622"/>
      <c r="B179" s="1622"/>
      <c r="C179" s="1631" t="s">
        <v>28900</v>
      </c>
      <c r="D179" s="1631" t="s">
        <v>28947</v>
      </c>
      <c r="E179" s="1625" t="s">
        <v>108</v>
      </c>
      <c r="F179" s="1625">
        <v>520</v>
      </c>
      <c r="G179" s="1591">
        <v>3.3000000000000002E-2</v>
      </c>
      <c r="H179" s="1625" t="s">
        <v>860</v>
      </c>
      <c r="I179" s="1625">
        <f>Liste!A182</f>
        <v>0</v>
      </c>
      <c r="J179" s="1626">
        <f>VLOOKUP(F179,Kostensätze!A:E,5,FALSE)</f>
        <v>37.619999999999997</v>
      </c>
      <c r="K179" s="1627">
        <f t="shared" si="34"/>
        <v>0</v>
      </c>
      <c r="L179" s="1628">
        <f t="shared" si="32"/>
        <v>0</v>
      </c>
      <c r="M179" s="1629">
        <f t="shared" si="33"/>
        <v>0</v>
      </c>
      <c r="N179" s="1597"/>
      <c r="O179" s="1998">
        <f t="shared" si="37"/>
        <v>0</v>
      </c>
      <c r="P179" s="1998">
        <f t="shared" si="37"/>
        <v>0</v>
      </c>
      <c r="Q179" s="1997">
        <f t="shared" si="37"/>
        <v>0</v>
      </c>
      <c r="R179" s="1998">
        <f t="shared" si="37"/>
        <v>0</v>
      </c>
      <c r="S179" s="1998">
        <f t="shared" si="37"/>
        <v>0</v>
      </c>
      <c r="T179" s="1998">
        <f t="shared" si="37"/>
        <v>0</v>
      </c>
      <c r="U179" s="1998">
        <f t="shared" si="37"/>
        <v>0</v>
      </c>
      <c r="V179" s="1999">
        <v>1</v>
      </c>
      <c r="W179" s="1999">
        <f t="shared" si="36"/>
        <v>0</v>
      </c>
      <c r="X179" s="1999"/>
      <c r="Y179" s="1999">
        <f t="shared" si="35"/>
        <v>0</v>
      </c>
      <c r="Z179" s="1630"/>
      <c r="AA179" s="1630"/>
      <c r="AB179" s="1630"/>
      <c r="AC179" s="1630"/>
      <c r="AD179" s="1630"/>
      <c r="AE179" s="1630"/>
      <c r="AF179" s="1630"/>
      <c r="AG179" s="1630"/>
    </row>
    <row r="180" spans="1:33" s="1691" customFormat="1" ht="12.2" customHeight="1" x14ac:dyDescent="0.2">
      <c r="A180" s="1976"/>
      <c r="B180" s="1976"/>
      <c r="C180" s="1978" t="s">
        <v>28901</v>
      </c>
      <c r="D180" s="1978" t="s">
        <v>28947</v>
      </c>
      <c r="E180" s="1691" t="s">
        <v>108</v>
      </c>
      <c r="F180" s="1691">
        <v>520</v>
      </c>
      <c r="G180" s="1591">
        <v>1.2500000000000001E-2</v>
      </c>
      <c r="H180" s="1691" t="s">
        <v>860</v>
      </c>
      <c r="I180" s="1691">
        <f>I179</f>
        <v>0</v>
      </c>
      <c r="J180" s="1979">
        <f>VLOOKUP(F180,Kostensätze!A:E,5,FALSE)</f>
        <v>37.619999999999997</v>
      </c>
      <c r="K180" s="1980">
        <f t="shared" si="34"/>
        <v>0</v>
      </c>
      <c r="L180" s="1981">
        <f t="shared" si="32"/>
        <v>0</v>
      </c>
      <c r="M180" s="1982">
        <f t="shared" si="33"/>
        <v>0</v>
      </c>
      <c r="N180" s="1597"/>
      <c r="O180" s="1998">
        <f t="shared" si="37"/>
        <v>0</v>
      </c>
      <c r="P180" s="1998">
        <f t="shared" si="37"/>
        <v>0</v>
      </c>
      <c r="Q180" s="1997">
        <f t="shared" si="37"/>
        <v>0</v>
      </c>
      <c r="R180" s="1998">
        <f t="shared" si="37"/>
        <v>0</v>
      </c>
      <c r="S180" s="1998">
        <f t="shared" si="37"/>
        <v>0</v>
      </c>
      <c r="T180" s="1998">
        <f t="shared" si="37"/>
        <v>0</v>
      </c>
      <c r="U180" s="1998">
        <f t="shared" si="37"/>
        <v>0</v>
      </c>
      <c r="V180" s="1999"/>
      <c r="W180" s="1999">
        <f t="shared" si="36"/>
        <v>0</v>
      </c>
      <c r="X180" s="1999">
        <v>1</v>
      </c>
      <c r="Y180" s="1999">
        <f t="shared" si="35"/>
        <v>0</v>
      </c>
      <c r="Z180" s="1533"/>
      <c r="AA180" s="1533"/>
      <c r="AB180" s="1533"/>
      <c r="AC180" s="1533"/>
      <c r="AD180" s="1533"/>
      <c r="AE180" s="1533"/>
      <c r="AF180" s="1533"/>
      <c r="AG180" s="1533"/>
    </row>
    <row r="181" spans="1:33" s="1625" customFormat="1" ht="12.2" customHeight="1" x14ac:dyDescent="0.2">
      <c r="A181" s="1622"/>
      <c r="B181" s="1975" t="s">
        <v>537</v>
      </c>
      <c r="C181" s="1631" t="s">
        <v>28948</v>
      </c>
      <c r="D181" s="1631" t="s">
        <v>28947</v>
      </c>
      <c r="E181" s="1625" t="s">
        <v>28945</v>
      </c>
      <c r="F181" s="1625">
        <v>526</v>
      </c>
      <c r="G181" s="1591">
        <f>1/60*0.5</f>
        <v>8.3333333333333332E-3</v>
      </c>
      <c r="H181" s="1971" t="s">
        <v>864</v>
      </c>
      <c r="I181" s="1625">
        <f>I179*Liste!E180/1000</f>
        <v>0</v>
      </c>
      <c r="J181" s="1626">
        <f>VLOOKUP(F181,Kostensätze!A:E,5,FALSE)</f>
        <v>53.04</v>
      </c>
      <c r="K181" s="1627">
        <f t="shared" si="34"/>
        <v>0</v>
      </c>
      <c r="L181" s="1628">
        <f t="shared" si="32"/>
        <v>0</v>
      </c>
      <c r="M181" s="1629">
        <f t="shared" si="33"/>
        <v>0</v>
      </c>
      <c r="N181" s="1597">
        <v>1</v>
      </c>
      <c r="O181" s="1998">
        <f t="shared" si="37"/>
        <v>0</v>
      </c>
      <c r="P181" s="1998">
        <f t="shared" si="37"/>
        <v>0</v>
      </c>
      <c r="Q181" s="1997">
        <f t="shared" si="37"/>
        <v>0</v>
      </c>
      <c r="R181" s="1998">
        <f t="shared" si="37"/>
        <v>0</v>
      </c>
      <c r="S181" s="1998">
        <f t="shared" si="37"/>
        <v>0</v>
      </c>
      <c r="T181" s="1998">
        <f t="shared" si="37"/>
        <v>0</v>
      </c>
      <c r="U181" s="1998">
        <f t="shared" si="37"/>
        <v>0</v>
      </c>
      <c r="V181" s="1999"/>
      <c r="W181" s="1999">
        <f t="shared" si="36"/>
        <v>0</v>
      </c>
      <c r="X181" s="1999"/>
      <c r="Y181" s="1999">
        <f t="shared" si="35"/>
        <v>0</v>
      </c>
      <c r="Z181" s="1630"/>
      <c r="AA181" s="1630"/>
      <c r="AB181" s="1630"/>
      <c r="AC181" s="1630"/>
      <c r="AD181" s="1630"/>
      <c r="AE181" s="1630"/>
      <c r="AF181" s="1630"/>
      <c r="AG181" s="1630"/>
    </row>
    <row r="182" spans="1:33" s="1691" customFormat="1" ht="12.2" customHeight="1" x14ac:dyDescent="0.2">
      <c r="A182" s="1976"/>
      <c r="B182" s="1976"/>
      <c r="C182" s="1978" t="s">
        <v>28900</v>
      </c>
      <c r="D182" s="1978" t="s">
        <v>28949</v>
      </c>
      <c r="E182" s="1691" t="s">
        <v>108</v>
      </c>
      <c r="F182" s="1691">
        <v>520</v>
      </c>
      <c r="G182" s="1591">
        <v>3.3000000000000002E-2</v>
      </c>
      <c r="H182" s="1691" t="s">
        <v>860</v>
      </c>
      <c r="I182" s="1691">
        <f>Liste!A185</f>
        <v>0</v>
      </c>
      <c r="J182" s="1979">
        <f>VLOOKUP(F182,Kostensätze!A:E,5,FALSE)</f>
        <v>37.619999999999997</v>
      </c>
      <c r="K182" s="1980">
        <f t="shared" si="34"/>
        <v>0</v>
      </c>
      <c r="L182" s="1981">
        <f t="shared" si="32"/>
        <v>0</v>
      </c>
      <c r="M182" s="1982">
        <f t="shared" si="33"/>
        <v>0</v>
      </c>
      <c r="N182" s="1597"/>
      <c r="O182" s="1998">
        <f t="shared" si="37"/>
        <v>0</v>
      </c>
      <c r="P182" s="1998">
        <f t="shared" si="37"/>
        <v>0</v>
      </c>
      <c r="Q182" s="1997">
        <f t="shared" si="37"/>
        <v>0</v>
      </c>
      <c r="R182" s="1998">
        <f t="shared" si="37"/>
        <v>0</v>
      </c>
      <c r="S182" s="1998">
        <f t="shared" si="37"/>
        <v>0</v>
      </c>
      <c r="T182" s="1998">
        <f t="shared" si="37"/>
        <v>0</v>
      </c>
      <c r="U182" s="1998">
        <f t="shared" si="37"/>
        <v>0</v>
      </c>
      <c r="V182" s="1999">
        <v>1</v>
      </c>
      <c r="W182" s="1999">
        <f t="shared" si="36"/>
        <v>0</v>
      </c>
      <c r="X182" s="1999"/>
      <c r="Y182" s="1999">
        <f t="shared" si="35"/>
        <v>0</v>
      </c>
      <c r="Z182" s="1533"/>
      <c r="AA182" s="1533"/>
      <c r="AB182" s="1533"/>
      <c r="AC182" s="1533"/>
      <c r="AD182" s="1533"/>
      <c r="AE182" s="1533"/>
      <c r="AF182" s="1533"/>
      <c r="AG182" s="1533"/>
    </row>
    <row r="183" spans="1:33" s="1625" customFormat="1" ht="12.2" customHeight="1" x14ac:dyDescent="0.2">
      <c r="A183" s="1622"/>
      <c r="B183" s="1622"/>
      <c r="C183" s="1623" t="s">
        <v>28901</v>
      </c>
      <c r="D183" s="1631" t="s">
        <v>28949</v>
      </c>
      <c r="E183" s="1625" t="s">
        <v>108</v>
      </c>
      <c r="F183" s="1625">
        <v>520</v>
      </c>
      <c r="G183" s="1591">
        <v>1.2500000000000001E-2</v>
      </c>
      <c r="H183" s="1625" t="s">
        <v>860</v>
      </c>
      <c r="I183" s="1625">
        <f>I182</f>
        <v>0</v>
      </c>
      <c r="J183" s="1626">
        <f>VLOOKUP(F183,Kostensätze!A:E,5,FALSE)</f>
        <v>37.619999999999997</v>
      </c>
      <c r="K183" s="1627">
        <f t="shared" si="34"/>
        <v>0</v>
      </c>
      <c r="L183" s="1628">
        <f t="shared" si="32"/>
        <v>0</v>
      </c>
      <c r="M183" s="1629">
        <f t="shared" si="33"/>
        <v>0</v>
      </c>
      <c r="N183" s="1597"/>
      <c r="O183" s="1998">
        <f t="shared" si="37"/>
        <v>0</v>
      </c>
      <c r="P183" s="1998">
        <f t="shared" si="37"/>
        <v>0</v>
      </c>
      <c r="Q183" s="1997">
        <f t="shared" si="37"/>
        <v>0</v>
      </c>
      <c r="R183" s="1998">
        <f t="shared" si="37"/>
        <v>0</v>
      </c>
      <c r="S183" s="1998">
        <f t="shared" si="37"/>
        <v>0</v>
      </c>
      <c r="T183" s="1998">
        <f t="shared" si="37"/>
        <v>0</v>
      </c>
      <c r="U183" s="1998">
        <f t="shared" si="37"/>
        <v>0</v>
      </c>
      <c r="V183" s="1999"/>
      <c r="W183" s="1999">
        <f t="shared" si="36"/>
        <v>0</v>
      </c>
      <c r="X183" s="1999">
        <v>1</v>
      </c>
      <c r="Y183" s="1999">
        <f t="shared" si="35"/>
        <v>0</v>
      </c>
      <c r="Z183" s="1630"/>
      <c r="AA183" s="1630"/>
      <c r="AB183" s="1630"/>
      <c r="AC183" s="1630"/>
      <c r="AD183" s="1630"/>
      <c r="AE183" s="1630"/>
      <c r="AF183" s="1630"/>
      <c r="AG183" s="1630"/>
    </row>
    <row r="184" spans="1:33" s="1691" customFormat="1" ht="12.2" customHeight="1" x14ac:dyDescent="0.2">
      <c r="A184" s="1976"/>
      <c r="B184" s="1977" t="s">
        <v>537</v>
      </c>
      <c r="C184" s="1595" t="s">
        <v>28948</v>
      </c>
      <c r="D184" s="1595" t="s">
        <v>28949</v>
      </c>
      <c r="E184" s="1691" t="s">
        <v>28945</v>
      </c>
      <c r="F184" s="1691">
        <v>526</v>
      </c>
      <c r="G184" s="1591">
        <f>1/60*0.5</f>
        <v>8.3333333333333332E-3</v>
      </c>
      <c r="H184" s="1691" t="s">
        <v>864</v>
      </c>
      <c r="I184" s="1691">
        <f>I182*Liste!E183/1000</f>
        <v>0</v>
      </c>
      <c r="J184" s="1979">
        <f>VLOOKUP(F184,Kostensätze!A:E,5,FALSE)</f>
        <v>53.04</v>
      </c>
      <c r="K184" s="1980">
        <f t="shared" si="34"/>
        <v>0</v>
      </c>
      <c r="L184" s="1981">
        <f t="shared" si="32"/>
        <v>0</v>
      </c>
      <c r="M184" s="1982">
        <f t="shared" si="33"/>
        <v>0</v>
      </c>
      <c r="N184" s="1597">
        <v>1</v>
      </c>
      <c r="O184" s="1998">
        <f t="shared" si="37"/>
        <v>0</v>
      </c>
      <c r="P184" s="1998">
        <f t="shared" si="37"/>
        <v>0</v>
      </c>
      <c r="Q184" s="1997">
        <f t="shared" si="37"/>
        <v>0</v>
      </c>
      <c r="R184" s="1998">
        <f t="shared" si="37"/>
        <v>0</v>
      </c>
      <c r="S184" s="1998">
        <f t="shared" si="37"/>
        <v>0</v>
      </c>
      <c r="T184" s="1998">
        <f t="shared" si="37"/>
        <v>0</v>
      </c>
      <c r="U184" s="1998">
        <f t="shared" si="37"/>
        <v>0</v>
      </c>
      <c r="V184" s="1999"/>
      <c r="W184" s="1999">
        <f t="shared" si="36"/>
        <v>0</v>
      </c>
      <c r="X184" s="1999"/>
      <c r="Y184" s="1999">
        <f t="shared" si="35"/>
        <v>0</v>
      </c>
      <c r="Z184" s="1533"/>
      <c r="AA184" s="1533"/>
      <c r="AB184" s="1533"/>
      <c r="AC184" s="1533"/>
      <c r="AD184" s="1533"/>
      <c r="AE184" s="1533"/>
      <c r="AF184" s="1533"/>
      <c r="AG184" s="1533"/>
    </row>
    <row r="185" spans="1:33" s="1625" customFormat="1" ht="12.2" customHeight="1" x14ac:dyDescent="0.2">
      <c r="A185" s="1622"/>
      <c r="B185" s="1975" t="s">
        <v>537</v>
      </c>
      <c r="C185" s="1631" t="s">
        <v>868</v>
      </c>
      <c r="D185" s="1631" t="s">
        <v>28946</v>
      </c>
      <c r="E185" s="1625" t="s">
        <v>28945</v>
      </c>
      <c r="F185" s="1625">
        <v>526</v>
      </c>
      <c r="G185" s="1591">
        <f>1/60*0</f>
        <v>0</v>
      </c>
      <c r="H185" s="1625" t="s">
        <v>865</v>
      </c>
      <c r="I185" s="1625">
        <v>1</v>
      </c>
      <c r="J185" s="1626">
        <f>VLOOKUP(F185,Kostensätze!A:E,5,FALSE)</f>
        <v>53.04</v>
      </c>
      <c r="K185" s="1627">
        <f t="shared" si="34"/>
        <v>5</v>
      </c>
      <c r="L185" s="1628">
        <f t="shared" si="32"/>
        <v>8.3333333333333329E-2</v>
      </c>
      <c r="M185" s="1629">
        <f t="shared" si="33"/>
        <v>4.42</v>
      </c>
      <c r="N185" s="1597">
        <v>5</v>
      </c>
      <c r="O185" s="1998">
        <f t="shared" si="37"/>
        <v>0</v>
      </c>
      <c r="P185" s="1998">
        <f t="shared" si="37"/>
        <v>0</v>
      </c>
      <c r="Q185" s="1997">
        <f t="shared" si="37"/>
        <v>0</v>
      </c>
      <c r="R185" s="1998">
        <f t="shared" si="37"/>
        <v>0</v>
      </c>
      <c r="S185" s="1998">
        <f t="shared" si="37"/>
        <v>0</v>
      </c>
      <c r="T185" s="1998">
        <f t="shared" si="37"/>
        <v>0</v>
      </c>
      <c r="U185" s="1998">
        <f t="shared" si="37"/>
        <v>8.3333333333333329E-2</v>
      </c>
      <c r="V185" s="1999"/>
      <c r="W185" s="1999">
        <f t="shared" si="36"/>
        <v>0</v>
      </c>
      <c r="X185" s="1999"/>
      <c r="Y185" s="1999">
        <f t="shared" si="35"/>
        <v>0</v>
      </c>
      <c r="Z185" s="1630"/>
      <c r="AA185" s="1630"/>
      <c r="AB185" s="1630"/>
      <c r="AC185" s="1630"/>
      <c r="AD185" s="1630"/>
      <c r="AE185" s="1630"/>
      <c r="AF185" s="1630"/>
      <c r="AG185" s="1630"/>
    </row>
    <row r="186" spans="1:33" s="1691" customFormat="1" ht="12.2" customHeight="1" x14ac:dyDescent="0.2">
      <c r="A186" s="1976" t="s">
        <v>28950</v>
      </c>
      <c r="B186" s="1976"/>
      <c r="C186" s="1978"/>
      <c r="D186" s="1978"/>
      <c r="F186" s="1691">
        <v>526</v>
      </c>
      <c r="G186" s="1591"/>
      <c r="J186" s="1979"/>
      <c r="K186" s="1980">
        <f t="shared" si="34"/>
        <v>0</v>
      </c>
      <c r="L186" s="1981"/>
      <c r="M186" s="1982">
        <f t="shared" si="33"/>
        <v>0</v>
      </c>
      <c r="N186" s="1597"/>
      <c r="O186" s="1998">
        <f t="shared" si="37"/>
        <v>0</v>
      </c>
      <c r="P186" s="1998">
        <f t="shared" si="37"/>
        <v>0</v>
      </c>
      <c r="Q186" s="1997">
        <f t="shared" si="37"/>
        <v>0</v>
      </c>
      <c r="R186" s="1998">
        <f t="shared" si="37"/>
        <v>0</v>
      </c>
      <c r="S186" s="1998">
        <f t="shared" si="37"/>
        <v>0</v>
      </c>
      <c r="T186" s="1998">
        <f t="shared" si="37"/>
        <v>0</v>
      </c>
      <c r="U186" s="1998">
        <f t="shared" si="37"/>
        <v>0</v>
      </c>
      <c r="V186" s="1999"/>
      <c r="W186" s="1999">
        <f t="shared" si="36"/>
        <v>0</v>
      </c>
      <c r="X186" s="1999"/>
      <c r="Y186" s="1999">
        <f t="shared" si="35"/>
        <v>0</v>
      </c>
      <c r="Z186" s="1533"/>
      <c r="AA186" s="1533"/>
      <c r="AB186" s="1533"/>
      <c r="AC186" s="1533"/>
      <c r="AD186" s="1533"/>
      <c r="AE186" s="1533"/>
      <c r="AF186" s="1533"/>
      <c r="AG186" s="1533"/>
    </row>
    <row r="187" spans="1:33" s="1625" customFormat="1" ht="12.2" customHeight="1" x14ac:dyDescent="0.2">
      <c r="A187" s="1622"/>
      <c r="B187" s="1622"/>
      <c r="C187" s="1623" t="s">
        <v>868</v>
      </c>
      <c r="D187" s="1631" t="s">
        <v>692</v>
      </c>
      <c r="E187" s="1625" t="s">
        <v>869</v>
      </c>
      <c r="F187" s="1625">
        <v>460</v>
      </c>
      <c r="G187" s="1591">
        <v>0.28299999999999997</v>
      </c>
      <c r="H187" s="1625" t="s">
        <v>865</v>
      </c>
      <c r="I187" s="1625">
        <v>1</v>
      </c>
      <c r="J187" s="1626">
        <f>VLOOKUP(F187,Kostensätze!A:E,5,FALSE)</f>
        <v>37.83</v>
      </c>
      <c r="K187" s="1627">
        <f t="shared" si="34"/>
        <v>16.979999999999997</v>
      </c>
      <c r="L187" s="1628">
        <f t="shared" si="32"/>
        <v>0.28299999999999997</v>
      </c>
      <c r="M187" s="1629">
        <f t="shared" si="33"/>
        <v>10.705889999999998</v>
      </c>
      <c r="N187" s="1597"/>
      <c r="O187" s="1998">
        <f t="shared" si="37"/>
        <v>0</v>
      </c>
      <c r="P187" s="1998">
        <f t="shared" si="37"/>
        <v>0</v>
      </c>
      <c r="Q187" s="1997">
        <f t="shared" si="37"/>
        <v>0</v>
      </c>
      <c r="R187" s="1998">
        <f t="shared" si="37"/>
        <v>0.28299999999999997</v>
      </c>
      <c r="S187" s="1998">
        <f t="shared" si="37"/>
        <v>0</v>
      </c>
      <c r="T187" s="1998">
        <f t="shared" si="37"/>
        <v>0</v>
      </c>
      <c r="U187" s="1998">
        <f t="shared" si="37"/>
        <v>0</v>
      </c>
      <c r="V187" s="1999"/>
      <c r="W187" s="1999">
        <f t="shared" si="36"/>
        <v>0</v>
      </c>
      <c r="X187" s="1999"/>
      <c r="Y187" s="1999">
        <f t="shared" si="35"/>
        <v>0</v>
      </c>
      <c r="Z187" s="1630"/>
      <c r="AA187" s="1630"/>
      <c r="AB187" s="1630"/>
      <c r="AC187" s="1630"/>
      <c r="AD187" s="1630"/>
      <c r="AE187" s="1630"/>
      <c r="AF187" s="1630"/>
      <c r="AG187" s="1630"/>
    </row>
    <row r="188" spans="1:33" s="1691" customFormat="1" ht="12.2" customHeight="1" x14ac:dyDescent="0.2">
      <c r="A188" s="1976"/>
      <c r="B188" s="1977" t="s">
        <v>537</v>
      </c>
      <c r="C188" s="1595" t="s">
        <v>867</v>
      </c>
      <c r="D188" s="1595" t="s">
        <v>692</v>
      </c>
      <c r="E188" s="1691" t="s">
        <v>28945</v>
      </c>
      <c r="F188" s="1691">
        <v>526</v>
      </c>
      <c r="G188" s="1591">
        <f>1/60*2</f>
        <v>3.3333333333333333E-2</v>
      </c>
      <c r="H188" s="1691" t="s">
        <v>865</v>
      </c>
      <c r="I188" s="1691">
        <v>1</v>
      </c>
      <c r="J188" s="1979">
        <f>VLOOKUP(F188,Kostensätze!A:E,5,FALSE)</f>
        <v>53.04</v>
      </c>
      <c r="K188" s="1980">
        <f t="shared" si="34"/>
        <v>2</v>
      </c>
      <c r="L188" s="1981">
        <f t="shared" si="32"/>
        <v>3.3333333333333333E-2</v>
      </c>
      <c r="M188" s="1982">
        <f t="shared" si="33"/>
        <v>1.768</v>
      </c>
      <c r="N188" s="1597"/>
      <c r="O188" s="1998">
        <f t="shared" si="37"/>
        <v>0</v>
      </c>
      <c r="P188" s="1998">
        <f t="shared" si="37"/>
        <v>0</v>
      </c>
      <c r="Q188" s="1997">
        <f t="shared" si="37"/>
        <v>0</v>
      </c>
      <c r="R188" s="1998">
        <f t="shared" si="37"/>
        <v>0</v>
      </c>
      <c r="S188" s="1998">
        <f t="shared" si="37"/>
        <v>0</v>
      </c>
      <c r="T188" s="1998">
        <f t="shared" si="37"/>
        <v>0</v>
      </c>
      <c r="U188" s="1998">
        <f t="shared" si="37"/>
        <v>3.3333333333333333E-2</v>
      </c>
      <c r="V188" s="1999"/>
      <c r="W188" s="1999">
        <f t="shared" si="36"/>
        <v>0</v>
      </c>
      <c r="X188" s="1999"/>
      <c r="Y188" s="1999">
        <f t="shared" si="35"/>
        <v>0</v>
      </c>
      <c r="Z188" s="1533"/>
      <c r="AA188" s="1533"/>
      <c r="AB188" s="1533"/>
      <c r="AC188" s="1533"/>
      <c r="AD188" s="1533"/>
      <c r="AE188" s="1533"/>
      <c r="AF188" s="1533"/>
      <c r="AG188" s="1533"/>
    </row>
    <row r="189" spans="1:33" s="1625" customFormat="1" ht="12.2" customHeight="1" x14ac:dyDescent="0.2">
      <c r="A189" s="1622" t="s">
        <v>436</v>
      </c>
      <c r="B189" s="1622"/>
      <c r="C189" s="1623"/>
      <c r="D189" s="1623"/>
      <c r="F189" s="1625">
        <v>526</v>
      </c>
      <c r="G189" s="1591"/>
      <c r="J189" s="1626"/>
      <c r="K189" s="1627">
        <f t="shared" si="34"/>
        <v>0</v>
      </c>
      <c r="L189" s="1628"/>
      <c r="M189" s="1629">
        <f t="shared" si="33"/>
        <v>0</v>
      </c>
      <c r="N189" s="1597"/>
      <c r="O189" s="1998">
        <f t="shared" si="37"/>
        <v>0</v>
      </c>
      <c r="P189" s="1998">
        <f t="shared" si="37"/>
        <v>0</v>
      </c>
      <c r="Q189" s="1997">
        <f t="shared" si="37"/>
        <v>0</v>
      </c>
      <c r="R189" s="1998">
        <f t="shared" si="37"/>
        <v>0</v>
      </c>
      <c r="S189" s="1998">
        <f t="shared" si="37"/>
        <v>0</v>
      </c>
      <c r="T189" s="1998">
        <f t="shared" si="37"/>
        <v>0</v>
      </c>
      <c r="U189" s="1998">
        <f t="shared" si="37"/>
        <v>0</v>
      </c>
      <c r="V189" s="1999"/>
      <c r="W189" s="1999">
        <f t="shared" si="36"/>
        <v>0</v>
      </c>
      <c r="X189" s="1999"/>
      <c r="Y189" s="1999">
        <f t="shared" si="35"/>
        <v>0</v>
      </c>
      <c r="Z189" s="1630"/>
      <c r="AA189" s="1630"/>
      <c r="AB189" s="1630"/>
      <c r="AC189" s="1630"/>
      <c r="AD189" s="1630"/>
      <c r="AE189" s="1630"/>
      <c r="AF189" s="1630"/>
      <c r="AG189" s="1630"/>
    </row>
    <row r="190" spans="1:33" s="1691" customFormat="1" ht="12.2" customHeight="1" x14ac:dyDescent="0.2">
      <c r="A190" s="1976"/>
      <c r="B190" s="1976"/>
      <c r="C190" s="1978" t="s">
        <v>302</v>
      </c>
      <c r="D190" s="1595" t="s">
        <v>28951</v>
      </c>
      <c r="E190" s="1691" t="s">
        <v>861</v>
      </c>
      <c r="F190" s="1691">
        <v>502</v>
      </c>
      <c r="G190" s="1591">
        <v>1.4999999999999999E-2</v>
      </c>
      <c r="H190" s="1691" t="s">
        <v>860</v>
      </c>
      <c r="I190" s="1984">
        <f>'Dichtrahmen usw.'!C63</f>
        <v>0</v>
      </c>
      <c r="J190" s="1979">
        <f>VLOOKUP(F190,Kostensätze!A:E,5,FALSE)</f>
        <v>53.66</v>
      </c>
      <c r="K190" s="1980">
        <f t="shared" si="34"/>
        <v>0</v>
      </c>
      <c r="L190" s="1981">
        <f t="shared" si="32"/>
        <v>0</v>
      </c>
      <c r="M190" s="1982">
        <f t="shared" si="33"/>
        <v>0</v>
      </c>
      <c r="N190" s="1597"/>
      <c r="O190" s="1998">
        <f t="shared" si="37"/>
        <v>0</v>
      </c>
      <c r="P190" s="1998">
        <f t="shared" si="37"/>
        <v>0</v>
      </c>
      <c r="Q190" s="1997">
        <f t="shared" si="37"/>
        <v>0</v>
      </c>
      <c r="R190" s="1998">
        <f t="shared" si="37"/>
        <v>0</v>
      </c>
      <c r="S190" s="1998">
        <f t="shared" si="37"/>
        <v>0</v>
      </c>
      <c r="T190" s="1998">
        <f t="shared" si="37"/>
        <v>0</v>
      </c>
      <c r="U190" s="1998">
        <f t="shared" si="37"/>
        <v>0</v>
      </c>
      <c r="V190" s="1999"/>
      <c r="W190" s="1999">
        <f t="shared" si="36"/>
        <v>0</v>
      </c>
      <c r="X190" s="1999"/>
      <c r="Y190" s="1999">
        <f t="shared" si="35"/>
        <v>0</v>
      </c>
      <c r="Z190" s="1533"/>
      <c r="AA190" s="1533"/>
      <c r="AB190" s="1533"/>
      <c r="AC190" s="1533"/>
      <c r="AD190" s="1533"/>
      <c r="AE190" s="1533"/>
      <c r="AF190" s="1533"/>
      <c r="AG190" s="1533"/>
    </row>
    <row r="191" spans="1:33" s="1625" customFormat="1" ht="12.2" customHeight="1" x14ac:dyDescent="0.2">
      <c r="A191" s="1622"/>
      <c r="B191" s="1975" t="s">
        <v>537</v>
      </c>
      <c r="C191" s="1623" t="s">
        <v>868</v>
      </c>
      <c r="D191" s="1623" t="s">
        <v>28952</v>
      </c>
      <c r="E191" s="1625" t="s">
        <v>28945</v>
      </c>
      <c r="F191" s="1625">
        <v>526</v>
      </c>
      <c r="G191" s="1591">
        <f>1/60*2</f>
        <v>3.3333333333333333E-2</v>
      </c>
      <c r="H191" s="1625" t="s">
        <v>865</v>
      </c>
      <c r="I191" s="1625">
        <f>IF(Liste!A412+Liste!A419+Liste!A426&gt;0,1,0)</f>
        <v>1</v>
      </c>
      <c r="J191" s="1626">
        <f>VLOOKUP(F191,Kostensätze!A:E,5,FALSE)</f>
        <v>53.04</v>
      </c>
      <c r="K191" s="1627">
        <f t="shared" si="34"/>
        <v>2</v>
      </c>
      <c r="L191" s="1628">
        <f t="shared" si="32"/>
        <v>3.3333333333333333E-2</v>
      </c>
      <c r="M191" s="1629">
        <f t="shared" si="33"/>
        <v>1.768</v>
      </c>
      <c r="N191" s="1597"/>
      <c r="O191" s="1998">
        <f t="shared" si="37"/>
        <v>0</v>
      </c>
      <c r="P191" s="1998">
        <f t="shared" si="37"/>
        <v>0</v>
      </c>
      <c r="Q191" s="1997">
        <f t="shared" si="37"/>
        <v>0</v>
      </c>
      <c r="R191" s="1998">
        <f t="shared" si="37"/>
        <v>0</v>
      </c>
      <c r="S191" s="1998">
        <f t="shared" si="37"/>
        <v>0</v>
      </c>
      <c r="T191" s="1998">
        <f t="shared" si="37"/>
        <v>0</v>
      </c>
      <c r="U191" s="1998">
        <f t="shared" si="37"/>
        <v>3.3333333333333333E-2</v>
      </c>
      <c r="V191" s="1999"/>
      <c r="W191" s="1999">
        <f t="shared" si="36"/>
        <v>0</v>
      </c>
      <c r="X191" s="1999"/>
      <c r="Y191" s="1999">
        <f t="shared" si="35"/>
        <v>0</v>
      </c>
      <c r="Z191" s="1630"/>
      <c r="AA191" s="1630"/>
      <c r="AB191" s="1630"/>
      <c r="AC191" s="1630"/>
      <c r="AD191" s="1630"/>
      <c r="AE191" s="1630"/>
      <c r="AF191" s="1630"/>
      <c r="AG191" s="1630"/>
    </row>
    <row r="192" spans="1:33" s="1691" customFormat="1" ht="12.2" customHeight="1" x14ac:dyDescent="0.2">
      <c r="A192" s="1976" t="s">
        <v>321</v>
      </c>
      <c r="B192" s="1976"/>
      <c r="C192" s="1978"/>
      <c r="D192" s="1595"/>
      <c r="F192" s="1691">
        <v>526</v>
      </c>
      <c r="G192" s="1591"/>
      <c r="J192" s="1979"/>
      <c r="K192" s="1980">
        <f t="shared" si="34"/>
        <v>0</v>
      </c>
      <c r="L192" s="1981"/>
      <c r="M192" s="1982">
        <f t="shared" si="33"/>
        <v>0</v>
      </c>
      <c r="N192" s="1597"/>
      <c r="O192" s="1998">
        <f t="shared" si="37"/>
        <v>0</v>
      </c>
      <c r="P192" s="1998">
        <f t="shared" si="37"/>
        <v>0</v>
      </c>
      <c r="Q192" s="1997">
        <f t="shared" si="37"/>
        <v>0</v>
      </c>
      <c r="R192" s="1998">
        <f t="shared" si="37"/>
        <v>0</v>
      </c>
      <c r="S192" s="1998">
        <f t="shared" si="37"/>
        <v>0</v>
      </c>
      <c r="T192" s="1998">
        <f t="shared" si="37"/>
        <v>0</v>
      </c>
      <c r="U192" s="1998">
        <f t="shared" si="37"/>
        <v>0</v>
      </c>
      <c r="V192" s="1999"/>
      <c r="W192" s="1999">
        <f t="shared" si="36"/>
        <v>0</v>
      </c>
      <c r="X192" s="1999"/>
      <c r="Y192" s="1999">
        <f t="shared" si="35"/>
        <v>0</v>
      </c>
      <c r="Z192" s="1533"/>
      <c r="AA192" s="1533"/>
      <c r="AB192" s="1533"/>
      <c r="AC192" s="1533"/>
      <c r="AD192" s="1533"/>
      <c r="AE192" s="1533"/>
      <c r="AF192" s="1533"/>
      <c r="AG192" s="1533"/>
    </row>
    <row r="193" spans="1:33" s="1625" customFormat="1" ht="12.2" customHeight="1" x14ac:dyDescent="0.2">
      <c r="A193" s="1622"/>
      <c r="B193" s="1622"/>
      <c r="C193" s="1631" t="s">
        <v>28900</v>
      </c>
      <c r="D193" s="1631" t="s">
        <v>28953</v>
      </c>
      <c r="E193" s="1625" t="s">
        <v>108</v>
      </c>
      <c r="F193" s="1625">
        <v>520</v>
      </c>
      <c r="G193" s="1591">
        <v>3.3000000000000002E-2</v>
      </c>
      <c r="H193" s="1625" t="s">
        <v>860</v>
      </c>
      <c r="I193" s="1625">
        <f>Liste!A391+Liste!A396</f>
        <v>2</v>
      </c>
      <c r="J193" s="1626">
        <f>VLOOKUP(F193,Kostensätze!A:E,5,FALSE)</f>
        <v>37.619999999999997</v>
      </c>
      <c r="K193" s="1627">
        <f t="shared" si="34"/>
        <v>3.96</v>
      </c>
      <c r="L193" s="1628">
        <f t="shared" si="32"/>
        <v>6.6000000000000003E-2</v>
      </c>
      <c r="M193" s="1629">
        <f t="shared" si="33"/>
        <v>2.48292</v>
      </c>
      <c r="N193" s="1597"/>
      <c r="O193" s="1998">
        <f t="shared" si="37"/>
        <v>0</v>
      </c>
      <c r="P193" s="1998">
        <f t="shared" si="37"/>
        <v>0</v>
      </c>
      <c r="Q193" s="1997">
        <f t="shared" si="37"/>
        <v>0</v>
      </c>
      <c r="R193" s="1998">
        <f t="shared" si="37"/>
        <v>0</v>
      </c>
      <c r="S193" s="1998">
        <f t="shared" si="37"/>
        <v>6.6000000000000003E-2</v>
      </c>
      <c r="T193" s="1998">
        <f t="shared" si="37"/>
        <v>0</v>
      </c>
      <c r="U193" s="1998">
        <f t="shared" si="37"/>
        <v>0</v>
      </c>
      <c r="V193" s="1999">
        <v>1</v>
      </c>
      <c r="W193" s="1999">
        <f t="shared" si="36"/>
        <v>6.6000000000000003E-2</v>
      </c>
      <c r="X193" s="1999"/>
      <c r="Y193" s="1999">
        <f t="shared" si="35"/>
        <v>0</v>
      </c>
      <c r="Z193" s="1630"/>
      <c r="AA193" s="1630"/>
      <c r="AB193" s="1630"/>
      <c r="AC193" s="1630"/>
      <c r="AD193" s="1630"/>
      <c r="AE193" s="1630"/>
      <c r="AF193" s="1630"/>
      <c r="AG193" s="1630"/>
    </row>
    <row r="194" spans="1:33" s="1691" customFormat="1" ht="12.2" customHeight="1" x14ac:dyDescent="0.2">
      <c r="A194" s="1976"/>
      <c r="B194" s="1976"/>
      <c r="C194" s="1595" t="s">
        <v>28901</v>
      </c>
      <c r="D194" s="1595" t="s">
        <v>28953</v>
      </c>
      <c r="E194" s="1691" t="s">
        <v>108</v>
      </c>
      <c r="F194" s="1691">
        <v>520</v>
      </c>
      <c r="G194" s="1591">
        <v>1.4999999999999999E-2</v>
      </c>
      <c r="H194" s="1691" t="s">
        <v>860</v>
      </c>
      <c r="I194" s="1691">
        <f>I193</f>
        <v>2</v>
      </c>
      <c r="J194" s="1979">
        <f>VLOOKUP(F194,Kostensätze!A:E,5,FALSE)</f>
        <v>37.619999999999997</v>
      </c>
      <c r="K194" s="1980">
        <f t="shared" si="34"/>
        <v>1.7999999999999998</v>
      </c>
      <c r="L194" s="1981">
        <f t="shared" si="32"/>
        <v>2.9999999999999995E-2</v>
      </c>
      <c r="M194" s="1982">
        <f t="shared" si="33"/>
        <v>1.1285999999999998</v>
      </c>
      <c r="N194" s="1597"/>
      <c r="O194" s="1998">
        <f t="shared" si="37"/>
        <v>0</v>
      </c>
      <c r="P194" s="1998">
        <f t="shared" si="37"/>
        <v>0</v>
      </c>
      <c r="Q194" s="1997">
        <f t="shared" si="37"/>
        <v>0</v>
      </c>
      <c r="R194" s="1998">
        <f t="shared" si="37"/>
        <v>0</v>
      </c>
      <c r="S194" s="1998">
        <f t="shared" si="37"/>
        <v>2.9999999999999995E-2</v>
      </c>
      <c r="T194" s="1998">
        <f t="shared" si="37"/>
        <v>0</v>
      </c>
      <c r="U194" s="1998">
        <f t="shared" si="37"/>
        <v>0</v>
      </c>
      <c r="V194" s="1999"/>
      <c r="W194" s="1999">
        <f t="shared" si="36"/>
        <v>0</v>
      </c>
      <c r="X194" s="1999">
        <v>1</v>
      </c>
      <c r="Y194" s="1999">
        <f t="shared" si="35"/>
        <v>2.9999999999999995E-2</v>
      </c>
      <c r="Z194" s="1533"/>
      <c r="AA194" s="1533"/>
      <c r="AB194" s="1533"/>
      <c r="AC194" s="1533"/>
      <c r="AD194" s="1533"/>
      <c r="AE194" s="1533"/>
      <c r="AF194" s="1533"/>
      <c r="AG194" s="1533"/>
    </row>
    <row r="195" spans="1:33" s="1625" customFormat="1" ht="12.2" customHeight="1" x14ac:dyDescent="0.2">
      <c r="A195" s="1622"/>
      <c r="B195" s="1622"/>
      <c r="C195" s="1623" t="s">
        <v>28902</v>
      </c>
      <c r="D195" s="1623" t="s">
        <v>28953</v>
      </c>
      <c r="E195" s="1625" t="s">
        <v>108</v>
      </c>
      <c r="F195" s="1625">
        <v>520</v>
      </c>
      <c r="G195" s="1591">
        <v>6.7000000000000004E-2</v>
      </c>
      <c r="H195" s="1625" t="s">
        <v>860</v>
      </c>
      <c r="I195" s="1625">
        <f>I193</f>
        <v>2</v>
      </c>
      <c r="J195" s="1626">
        <f>VLOOKUP(F195,Kostensätze!A:E,5,FALSE)</f>
        <v>37.619999999999997</v>
      </c>
      <c r="K195" s="1627">
        <f t="shared" si="34"/>
        <v>8.0400000000000009</v>
      </c>
      <c r="L195" s="1628">
        <f t="shared" si="32"/>
        <v>0.13400000000000001</v>
      </c>
      <c r="M195" s="1629">
        <f t="shared" si="33"/>
        <v>5.04108</v>
      </c>
      <c r="N195" s="1597"/>
      <c r="O195" s="1998">
        <f t="shared" si="37"/>
        <v>0</v>
      </c>
      <c r="P195" s="1998">
        <f t="shared" si="37"/>
        <v>0</v>
      </c>
      <c r="Q195" s="1997">
        <f t="shared" si="37"/>
        <v>0</v>
      </c>
      <c r="R195" s="1998">
        <f t="shared" si="37"/>
        <v>0</v>
      </c>
      <c r="S195" s="1998">
        <f t="shared" si="37"/>
        <v>0.13400000000000001</v>
      </c>
      <c r="T195" s="1998">
        <f t="shared" si="37"/>
        <v>0</v>
      </c>
      <c r="U195" s="1998">
        <f t="shared" si="37"/>
        <v>0</v>
      </c>
      <c r="V195" s="1999"/>
      <c r="W195" s="1999">
        <f t="shared" si="36"/>
        <v>0</v>
      </c>
      <c r="X195" s="1999">
        <v>1</v>
      </c>
      <c r="Y195" s="1999">
        <f t="shared" si="35"/>
        <v>0.13400000000000001</v>
      </c>
      <c r="Z195" s="1630"/>
      <c r="AA195" s="1630"/>
      <c r="AB195" s="1630"/>
      <c r="AC195" s="1630"/>
      <c r="AD195" s="1630"/>
      <c r="AE195" s="1630"/>
      <c r="AF195" s="1630"/>
      <c r="AG195" s="1630"/>
    </row>
    <row r="196" spans="1:33" s="1691" customFormat="1" ht="12.2" customHeight="1" x14ac:dyDescent="0.2">
      <c r="A196" s="1976"/>
      <c r="B196" s="1976"/>
      <c r="C196" s="1595" t="s">
        <v>28900</v>
      </c>
      <c r="D196" s="1595" t="s">
        <v>28954</v>
      </c>
      <c r="E196" s="1691" t="s">
        <v>108</v>
      </c>
      <c r="F196" s="1691">
        <v>520</v>
      </c>
      <c r="G196" s="1591">
        <v>3.3000000000000002E-2</v>
      </c>
      <c r="H196" s="1983" t="s">
        <v>860</v>
      </c>
      <c r="I196" s="1691">
        <f>Liste!D430+Liste!D431+Liste!D432+Liste!D433+Liste!D434+Liste!D435+Liste!D437+Liste!D438+Liste!D439+Liste!D440+Liste!D441+Liste!D442</f>
        <v>0</v>
      </c>
      <c r="J196" s="1979">
        <f>VLOOKUP(F196,Kostensätze!A:E,5,FALSE)</f>
        <v>37.619999999999997</v>
      </c>
      <c r="K196" s="1980">
        <f t="shared" si="34"/>
        <v>0</v>
      </c>
      <c r="L196" s="1981">
        <f t="shared" si="32"/>
        <v>0</v>
      </c>
      <c r="M196" s="1982">
        <f t="shared" si="33"/>
        <v>0</v>
      </c>
      <c r="N196" s="1597"/>
      <c r="O196" s="1998">
        <f t="shared" si="37"/>
        <v>0</v>
      </c>
      <c r="P196" s="1998">
        <f t="shared" si="37"/>
        <v>0</v>
      </c>
      <c r="Q196" s="1997">
        <f t="shared" si="37"/>
        <v>0</v>
      </c>
      <c r="R196" s="1998">
        <f t="shared" si="37"/>
        <v>0</v>
      </c>
      <c r="S196" s="1998">
        <f t="shared" si="37"/>
        <v>0</v>
      </c>
      <c r="T196" s="1998">
        <f t="shared" si="37"/>
        <v>0</v>
      </c>
      <c r="U196" s="1998">
        <f t="shared" si="37"/>
        <v>0</v>
      </c>
      <c r="V196" s="1999">
        <v>1</v>
      </c>
      <c r="W196" s="1999">
        <f t="shared" si="36"/>
        <v>0</v>
      </c>
      <c r="X196" s="1999"/>
      <c r="Y196" s="1999">
        <f t="shared" si="35"/>
        <v>0</v>
      </c>
      <c r="Z196" s="1533"/>
      <c r="AA196" s="1533"/>
      <c r="AB196" s="1533"/>
      <c r="AC196" s="1533"/>
      <c r="AD196" s="1533"/>
      <c r="AE196" s="1533"/>
      <c r="AF196" s="1533"/>
      <c r="AG196" s="1533"/>
    </row>
    <row r="197" spans="1:33" s="1625" customFormat="1" ht="12.2" customHeight="1" x14ac:dyDescent="0.2">
      <c r="A197" s="1622"/>
      <c r="B197" s="1622"/>
      <c r="C197" s="1623" t="s">
        <v>28901</v>
      </c>
      <c r="D197" s="1623" t="s">
        <v>28954</v>
      </c>
      <c r="E197" s="1625" t="s">
        <v>108</v>
      </c>
      <c r="F197" s="1625">
        <v>520</v>
      </c>
      <c r="G197" s="1591">
        <v>1.4999999999999999E-2</v>
      </c>
      <c r="H197" s="1625" t="s">
        <v>860</v>
      </c>
      <c r="I197" s="1625">
        <f>I196</f>
        <v>0</v>
      </c>
      <c r="J197" s="1626">
        <f>VLOOKUP(F197,Kostensätze!A:E,5,FALSE)</f>
        <v>37.619999999999997</v>
      </c>
      <c r="K197" s="1627">
        <f t="shared" si="34"/>
        <v>0</v>
      </c>
      <c r="L197" s="1628">
        <f t="shared" si="32"/>
        <v>0</v>
      </c>
      <c r="M197" s="1629">
        <f t="shared" si="33"/>
        <v>0</v>
      </c>
      <c r="N197" s="1597"/>
      <c r="O197" s="1998">
        <f t="shared" si="37"/>
        <v>0</v>
      </c>
      <c r="P197" s="1998">
        <f t="shared" si="37"/>
        <v>0</v>
      </c>
      <c r="Q197" s="1997">
        <f t="shared" si="37"/>
        <v>0</v>
      </c>
      <c r="R197" s="1998">
        <f t="shared" si="37"/>
        <v>0</v>
      </c>
      <c r="S197" s="1998">
        <f t="shared" si="37"/>
        <v>0</v>
      </c>
      <c r="T197" s="1998">
        <f t="shared" si="37"/>
        <v>0</v>
      </c>
      <c r="U197" s="1998">
        <f t="shared" si="37"/>
        <v>0</v>
      </c>
      <c r="V197" s="1999"/>
      <c r="W197" s="1999">
        <f t="shared" si="36"/>
        <v>0</v>
      </c>
      <c r="X197" s="1999">
        <v>1</v>
      </c>
      <c r="Y197" s="1999">
        <f t="shared" si="35"/>
        <v>0</v>
      </c>
      <c r="Z197" s="1630"/>
      <c r="AA197" s="1630"/>
      <c r="AB197" s="1630"/>
      <c r="AC197" s="1630"/>
      <c r="AD197" s="1630"/>
      <c r="AE197" s="1630"/>
      <c r="AF197" s="1630"/>
      <c r="AG197" s="1630"/>
    </row>
    <row r="198" spans="1:33" s="1691" customFormat="1" ht="12.2" customHeight="1" x14ac:dyDescent="0.2">
      <c r="A198" s="1976"/>
      <c r="B198" s="1976"/>
      <c r="C198" s="1595" t="s">
        <v>28902</v>
      </c>
      <c r="D198" s="1595" t="s">
        <v>28954</v>
      </c>
      <c r="E198" s="1691" t="s">
        <v>108</v>
      </c>
      <c r="F198" s="1691">
        <v>520</v>
      </c>
      <c r="G198" s="1591">
        <v>6.7000000000000004E-2</v>
      </c>
      <c r="H198" s="1983" t="s">
        <v>860</v>
      </c>
      <c r="I198" s="1691">
        <f>I196</f>
        <v>0</v>
      </c>
      <c r="J198" s="1979">
        <f>VLOOKUP(F198,Kostensätze!A:E,5,FALSE)</f>
        <v>37.619999999999997</v>
      </c>
      <c r="K198" s="1980">
        <f t="shared" si="34"/>
        <v>0</v>
      </c>
      <c r="L198" s="1981">
        <f t="shared" si="32"/>
        <v>0</v>
      </c>
      <c r="M198" s="1982">
        <f t="shared" si="33"/>
        <v>0</v>
      </c>
      <c r="N198" s="1597"/>
      <c r="O198" s="1998">
        <f t="shared" si="37"/>
        <v>0</v>
      </c>
      <c r="P198" s="1998">
        <f t="shared" si="37"/>
        <v>0</v>
      </c>
      <c r="Q198" s="1997">
        <f t="shared" si="37"/>
        <v>0</v>
      </c>
      <c r="R198" s="1998">
        <f t="shared" si="37"/>
        <v>0</v>
      </c>
      <c r="S198" s="1998">
        <f t="shared" si="37"/>
        <v>0</v>
      </c>
      <c r="T198" s="1998">
        <f t="shared" si="37"/>
        <v>0</v>
      </c>
      <c r="U198" s="1998">
        <f t="shared" si="37"/>
        <v>0</v>
      </c>
      <c r="V198" s="1999"/>
      <c r="W198" s="1999">
        <f t="shared" si="36"/>
        <v>0</v>
      </c>
      <c r="X198" s="1999">
        <v>1</v>
      </c>
      <c r="Y198" s="1999">
        <f t="shared" si="35"/>
        <v>0</v>
      </c>
      <c r="Z198" s="1533"/>
      <c r="AA198" s="1533"/>
      <c r="AB198" s="1533"/>
      <c r="AC198" s="1533"/>
      <c r="AD198" s="1533"/>
      <c r="AE198" s="1533"/>
      <c r="AF198" s="1533"/>
      <c r="AG198" s="1533"/>
    </row>
    <row r="199" spans="1:33" s="1625" customFormat="1" ht="12.2" customHeight="1" x14ac:dyDescent="0.2">
      <c r="A199" s="1622"/>
      <c r="B199" s="1622"/>
      <c r="C199" s="1623" t="s">
        <v>302</v>
      </c>
      <c r="D199" s="1623" t="s">
        <v>28955</v>
      </c>
      <c r="E199" s="1625" t="s">
        <v>861</v>
      </c>
      <c r="F199" s="1625">
        <v>502</v>
      </c>
      <c r="G199" s="1591">
        <v>1.4999999999999999E-2</v>
      </c>
      <c r="H199" s="1625" t="s">
        <v>860</v>
      </c>
      <c r="I199" s="1625">
        <f>Liste!D427+Liste!D428</f>
        <v>2</v>
      </c>
      <c r="J199" s="1626">
        <f>VLOOKUP(F199,Kostensätze!A:E,5,FALSE)</f>
        <v>53.66</v>
      </c>
      <c r="K199" s="1627">
        <f t="shared" si="34"/>
        <v>1.7999999999999998</v>
      </c>
      <c r="L199" s="1628">
        <f t="shared" si="32"/>
        <v>2.9999999999999995E-2</v>
      </c>
      <c r="M199" s="1629">
        <f t="shared" si="33"/>
        <v>1.6097999999999997</v>
      </c>
      <c r="N199" s="1597"/>
      <c r="O199" s="1998">
        <f t="shared" si="37"/>
        <v>0</v>
      </c>
      <c r="P199" s="1998">
        <f t="shared" si="37"/>
        <v>2.9999999999999995E-2</v>
      </c>
      <c r="Q199" s="1997">
        <f t="shared" si="37"/>
        <v>0</v>
      </c>
      <c r="R199" s="1998">
        <f t="shared" si="37"/>
        <v>0</v>
      </c>
      <c r="S199" s="1998">
        <f t="shared" si="37"/>
        <v>0</v>
      </c>
      <c r="T199" s="1998">
        <f t="shared" si="37"/>
        <v>0</v>
      </c>
      <c r="U199" s="1998">
        <f t="shared" si="37"/>
        <v>0</v>
      </c>
      <c r="V199" s="1999"/>
      <c r="W199" s="1999">
        <f t="shared" si="36"/>
        <v>0</v>
      </c>
      <c r="X199" s="1999"/>
      <c r="Y199" s="1999">
        <f t="shared" si="35"/>
        <v>0</v>
      </c>
      <c r="Z199" s="1630"/>
      <c r="AA199" s="1630"/>
      <c r="AB199" s="1630"/>
      <c r="AC199" s="1630"/>
      <c r="AD199" s="1630"/>
      <c r="AE199" s="1630"/>
      <c r="AF199" s="1630"/>
      <c r="AG199" s="1630"/>
    </row>
    <row r="200" spans="1:33" s="1691" customFormat="1" ht="12.2" customHeight="1" x14ac:dyDescent="0.2">
      <c r="A200" s="1976"/>
      <c r="B200" s="1976"/>
      <c r="C200" s="1978" t="s">
        <v>302</v>
      </c>
      <c r="D200" s="1595" t="s">
        <v>28956</v>
      </c>
      <c r="E200" s="1691" t="s">
        <v>861</v>
      </c>
      <c r="F200" s="1691">
        <v>502</v>
      </c>
      <c r="G200" s="1591">
        <v>1.4999999999999999E-2</v>
      </c>
      <c r="H200" s="1691" t="s">
        <v>860</v>
      </c>
      <c r="I200" s="1985">
        <f>'Zuschnitt Festfeld'!G24+'Zuschnitt Festfeld'!G26+'Zuschnitt Festfeld'!G28+'Zuschnitt Festfeld'!G30</f>
        <v>0</v>
      </c>
      <c r="J200" s="1979">
        <f>VLOOKUP(F200,Kostensätze!A:E,5,FALSE)</f>
        <v>53.66</v>
      </c>
      <c r="K200" s="1980">
        <f t="shared" si="34"/>
        <v>0</v>
      </c>
      <c r="L200" s="1981">
        <f t="shared" si="32"/>
        <v>0</v>
      </c>
      <c r="M200" s="1982">
        <f t="shared" si="33"/>
        <v>0</v>
      </c>
      <c r="N200" s="1597"/>
      <c r="O200" s="1998">
        <f t="shared" si="37"/>
        <v>0</v>
      </c>
      <c r="P200" s="1998">
        <f t="shared" si="37"/>
        <v>0</v>
      </c>
      <c r="Q200" s="1997">
        <f t="shared" si="37"/>
        <v>0</v>
      </c>
      <c r="R200" s="1998">
        <f t="shared" si="37"/>
        <v>0</v>
      </c>
      <c r="S200" s="1998">
        <f t="shared" si="37"/>
        <v>0</v>
      </c>
      <c r="T200" s="1998">
        <f t="shared" si="37"/>
        <v>0</v>
      </c>
      <c r="U200" s="1998">
        <f t="shared" si="37"/>
        <v>0</v>
      </c>
      <c r="V200" s="1999"/>
      <c r="W200" s="1999">
        <f t="shared" si="36"/>
        <v>0</v>
      </c>
      <c r="X200" s="1999"/>
      <c r="Y200" s="1999">
        <f t="shared" si="35"/>
        <v>0</v>
      </c>
      <c r="Z200" s="1533"/>
      <c r="AA200" s="1533"/>
      <c r="AB200" s="1533"/>
      <c r="AC200" s="1533"/>
      <c r="AD200" s="1533"/>
      <c r="AE200" s="1533"/>
      <c r="AF200" s="1533"/>
      <c r="AG200" s="1533"/>
    </row>
    <row r="201" spans="1:33" s="1625" customFormat="1" ht="12.2" customHeight="1" x14ac:dyDescent="0.2">
      <c r="A201" s="1622"/>
      <c r="B201" s="1975" t="s">
        <v>537</v>
      </c>
      <c r="C201" s="1631" t="s">
        <v>28957</v>
      </c>
      <c r="D201" s="1631" t="s">
        <v>12232</v>
      </c>
      <c r="E201" s="1625" t="s">
        <v>28945</v>
      </c>
      <c r="F201" s="1625">
        <v>526</v>
      </c>
      <c r="G201" s="1591">
        <f>1/60*1</f>
        <v>1.6666666666666666E-2</v>
      </c>
      <c r="H201" s="1625" t="s">
        <v>860</v>
      </c>
      <c r="I201" s="1625">
        <f>Liste!A458</f>
        <v>3</v>
      </c>
      <c r="J201" s="1626">
        <f>VLOOKUP(F201,Kostensätze!A:E,5,FALSE)</f>
        <v>53.04</v>
      </c>
      <c r="K201" s="1627">
        <f t="shared" si="34"/>
        <v>5</v>
      </c>
      <c r="L201" s="1628">
        <f t="shared" si="32"/>
        <v>8.3333333333333329E-2</v>
      </c>
      <c r="M201" s="1629">
        <f t="shared" si="33"/>
        <v>4.42</v>
      </c>
      <c r="N201" s="1597">
        <v>2</v>
      </c>
      <c r="O201" s="1998">
        <f t="shared" si="37"/>
        <v>0</v>
      </c>
      <c r="P201" s="1998">
        <f t="shared" si="37"/>
        <v>0</v>
      </c>
      <c r="Q201" s="1997">
        <f t="shared" si="37"/>
        <v>0</v>
      </c>
      <c r="R201" s="1998">
        <f t="shared" si="37"/>
        <v>0</v>
      </c>
      <c r="S201" s="1998">
        <f t="shared" si="37"/>
        <v>0</v>
      </c>
      <c r="T201" s="1998">
        <f t="shared" si="37"/>
        <v>0</v>
      </c>
      <c r="U201" s="1998">
        <f t="shared" si="37"/>
        <v>8.3333333333333329E-2</v>
      </c>
      <c r="V201" s="1999"/>
      <c r="W201" s="1999">
        <f t="shared" si="36"/>
        <v>0</v>
      </c>
      <c r="X201" s="1999"/>
      <c r="Y201" s="1999">
        <f t="shared" si="35"/>
        <v>0</v>
      </c>
      <c r="Z201" s="1630"/>
      <c r="AA201" s="1630"/>
      <c r="AB201" s="1630"/>
      <c r="AC201" s="1630"/>
      <c r="AD201" s="1630"/>
      <c r="AE201" s="1630"/>
      <c r="AF201" s="1630"/>
      <c r="AG201" s="1630"/>
    </row>
    <row r="202" spans="1:33" s="1691" customFormat="1" ht="12.2" customHeight="1" x14ac:dyDescent="0.2">
      <c r="A202" s="1976"/>
      <c r="B202" s="1977" t="s">
        <v>537</v>
      </c>
      <c r="C202" s="1595" t="s">
        <v>28915</v>
      </c>
      <c r="D202" s="1595" t="s">
        <v>28955</v>
      </c>
      <c r="E202" s="1691" t="s">
        <v>28945</v>
      </c>
      <c r="F202" s="1691">
        <v>526</v>
      </c>
      <c r="G202" s="1591">
        <f>1/60*3</f>
        <v>0.05</v>
      </c>
      <c r="H202" s="1691" t="s">
        <v>863</v>
      </c>
      <c r="I202" s="1691">
        <f>(Liste!D427*Liste!E427/1000*Liste!F427/1000+Liste!D428*Liste!E428/1000*Liste!F428/1000)*Liste!D243</f>
        <v>0.80300000000000005</v>
      </c>
      <c r="J202" s="1979">
        <f>VLOOKUP(F202,Kostensätze!A:E,5,FALSE)</f>
        <v>53.04</v>
      </c>
      <c r="K202" s="1980">
        <f t="shared" si="34"/>
        <v>2.4090000000000003</v>
      </c>
      <c r="L202" s="1981">
        <f t="shared" si="32"/>
        <v>4.0150000000000005E-2</v>
      </c>
      <c r="M202" s="1982">
        <f t="shared" si="33"/>
        <v>2.1295560000000004</v>
      </c>
      <c r="N202" s="1597"/>
      <c r="O202" s="1998">
        <f t="shared" si="37"/>
        <v>0</v>
      </c>
      <c r="P202" s="1998">
        <f t="shared" si="37"/>
        <v>0</v>
      </c>
      <c r="Q202" s="1997">
        <f t="shared" si="37"/>
        <v>0</v>
      </c>
      <c r="R202" s="1998">
        <f t="shared" si="37"/>
        <v>0</v>
      </c>
      <c r="S202" s="1998">
        <f t="shared" si="37"/>
        <v>0</v>
      </c>
      <c r="T202" s="1998">
        <f t="shared" si="37"/>
        <v>0</v>
      </c>
      <c r="U202" s="1998">
        <f t="shared" si="37"/>
        <v>4.0150000000000005E-2</v>
      </c>
      <c r="V202" s="1999"/>
      <c r="W202" s="1999">
        <f t="shared" si="36"/>
        <v>0</v>
      </c>
      <c r="X202" s="1999"/>
      <c r="Y202" s="1999">
        <f t="shared" si="35"/>
        <v>0</v>
      </c>
      <c r="Z202" s="1533"/>
      <c r="AA202" s="1533"/>
      <c r="AB202" s="1533"/>
      <c r="AC202" s="1533"/>
      <c r="AD202" s="1533"/>
      <c r="AE202" s="1533"/>
      <c r="AF202" s="1533"/>
      <c r="AG202" s="1533"/>
    </row>
    <row r="203" spans="1:33" s="1625" customFormat="1" ht="12.2" customHeight="1" x14ac:dyDescent="0.2">
      <c r="A203" s="1622"/>
      <c r="B203" s="1975" t="s">
        <v>537</v>
      </c>
      <c r="C203" s="1631" t="s">
        <v>28958</v>
      </c>
      <c r="D203" s="1631" t="s">
        <v>28955</v>
      </c>
      <c r="E203" s="1625" t="s">
        <v>28945</v>
      </c>
      <c r="F203" s="1625">
        <v>526</v>
      </c>
      <c r="G203" s="1591">
        <v>8.3000000000000004E-2</v>
      </c>
      <c r="H203" s="1625" t="s">
        <v>862</v>
      </c>
      <c r="I203" s="1625">
        <f>SUM(Liste!D430:'Liste'!D435)</f>
        <v>0</v>
      </c>
      <c r="J203" s="1626">
        <f>VLOOKUP(F203,Kostensätze!A:E,5,FALSE)</f>
        <v>53.04</v>
      </c>
      <c r="K203" s="1627">
        <f t="shared" si="34"/>
        <v>0</v>
      </c>
      <c r="L203" s="1628">
        <f t="shared" si="32"/>
        <v>0</v>
      </c>
      <c r="M203" s="1629">
        <f t="shared" si="33"/>
        <v>0</v>
      </c>
      <c r="N203" s="1597"/>
      <c r="O203" s="1998">
        <f t="shared" ref="O203:U249" si="38">IF($F203=O$3,$L203,0)</f>
        <v>0</v>
      </c>
      <c r="P203" s="1998">
        <f t="shared" si="38"/>
        <v>0</v>
      </c>
      <c r="Q203" s="1997">
        <f t="shared" ref="Q203:Q249" si="39">IF($F203=Q$3,$L203,0)</f>
        <v>0</v>
      </c>
      <c r="R203" s="1998">
        <f t="shared" si="38"/>
        <v>0</v>
      </c>
      <c r="S203" s="1998">
        <f t="shared" si="38"/>
        <v>0</v>
      </c>
      <c r="T203" s="1998">
        <f t="shared" si="38"/>
        <v>0</v>
      </c>
      <c r="U203" s="1998">
        <f t="shared" si="38"/>
        <v>0</v>
      </c>
      <c r="V203" s="1999"/>
      <c r="W203" s="1999">
        <f t="shared" si="36"/>
        <v>0</v>
      </c>
      <c r="X203" s="1999"/>
      <c r="Y203" s="1999">
        <f t="shared" si="35"/>
        <v>0</v>
      </c>
      <c r="Z203" s="1630"/>
      <c r="AA203" s="1630"/>
      <c r="AB203" s="1630"/>
      <c r="AC203" s="1630"/>
      <c r="AD203" s="1630"/>
      <c r="AE203" s="1630"/>
      <c r="AF203" s="1630"/>
      <c r="AG203" s="1630"/>
    </row>
    <row r="204" spans="1:33" s="1691" customFormat="1" ht="12.2" customHeight="1" x14ac:dyDescent="0.2">
      <c r="A204" s="1976"/>
      <c r="B204" s="1977" t="s">
        <v>537</v>
      </c>
      <c r="C204" s="1978" t="s">
        <v>30159</v>
      </c>
      <c r="D204" s="1595" t="s">
        <v>30161</v>
      </c>
      <c r="E204" s="1691" t="s">
        <v>28945</v>
      </c>
      <c r="F204" s="1691">
        <v>526</v>
      </c>
      <c r="G204" s="1591">
        <f>1/60*6</f>
        <v>0.1</v>
      </c>
      <c r="H204" s="1691" t="s">
        <v>30162</v>
      </c>
      <c r="I204" s="1691">
        <f>Liste!D386*IF(OR(Liste!D306&gt;0,Liste!D458&gt;0)=TRUE,1,0)</f>
        <v>0</v>
      </c>
      <c r="J204" s="1979">
        <f>VLOOKUP(F204,Kostensätze!A:E,5,FALSE)</f>
        <v>53.04</v>
      </c>
      <c r="K204" s="1980">
        <f>I204*G204*60+IF(I204&gt;0,N204,0)</f>
        <v>0</v>
      </c>
      <c r="L204" s="1981">
        <f>K204/60</f>
        <v>0</v>
      </c>
      <c r="M204" s="1982">
        <f>L204*J204</f>
        <v>0</v>
      </c>
      <c r="N204" s="1597"/>
      <c r="O204" s="1998">
        <f t="shared" si="38"/>
        <v>0</v>
      </c>
      <c r="P204" s="1998">
        <f t="shared" si="38"/>
        <v>0</v>
      </c>
      <c r="Q204" s="1997">
        <f t="shared" si="39"/>
        <v>0</v>
      </c>
      <c r="R204" s="1998">
        <f t="shared" si="38"/>
        <v>0</v>
      </c>
      <c r="S204" s="1998">
        <f t="shared" si="38"/>
        <v>0</v>
      </c>
      <c r="T204" s="1998">
        <f t="shared" si="38"/>
        <v>0</v>
      </c>
      <c r="U204" s="1998">
        <f t="shared" si="38"/>
        <v>0</v>
      </c>
      <c r="V204" s="1999"/>
      <c r="W204" s="1999">
        <f>IF(V204=1,L204,0)</f>
        <v>0</v>
      </c>
      <c r="X204" s="1999"/>
      <c r="Y204" s="1999">
        <f>IF(X204=1,L204,0)</f>
        <v>0</v>
      </c>
      <c r="Z204" s="1533"/>
      <c r="AA204" s="1533"/>
      <c r="AB204" s="1533"/>
      <c r="AC204" s="1533"/>
      <c r="AD204" s="1533"/>
      <c r="AE204" s="1533"/>
      <c r="AF204" s="1533"/>
      <c r="AG204" s="1533"/>
    </row>
    <row r="205" spans="1:33" s="1625" customFormat="1" ht="12.2" customHeight="1" x14ac:dyDescent="0.2">
      <c r="A205" s="1622"/>
      <c r="B205" s="1975" t="s">
        <v>537</v>
      </c>
      <c r="C205" s="1623" t="s">
        <v>30160</v>
      </c>
      <c r="D205" s="1631" t="s">
        <v>29839</v>
      </c>
      <c r="E205" s="1625" t="s">
        <v>28945</v>
      </c>
      <c r="F205" s="1625">
        <v>526</v>
      </c>
      <c r="G205" s="1591">
        <f>1/60*10</f>
        <v>0.16666666666666666</v>
      </c>
      <c r="H205" s="1625" t="s">
        <v>30162</v>
      </c>
      <c r="I205" s="1625">
        <f>Liste!D386*IF(OR(Liste!D455&gt;0)=TRUE,1,0)</f>
        <v>0</v>
      </c>
      <c r="J205" s="1626">
        <f>VLOOKUP(F205,Kostensätze!A:E,5,FALSE)</f>
        <v>53.04</v>
      </c>
      <c r="K205" s="1627">
        <f>I205*G205*60+IF(I205&gt;0,N205,0)</f>
        <v>0</v>
      </c>
      <c r="L205" s="1628">
        <f>K205/60</f>
        <v>0</v>
      </c>
      <c r="M205" s="1629">
        <f>L205*J205</f>
        <v>0</v>
      </c>
      <c r="N205" s="1597"/>
      <c r="O205" s="1998">
        <f t="shared" si="38"/>
        <v>0</v>
      </c>
      <c r="P205" s="1998">
        <f t="shared" si="38"/>
        <v>0</v>
      </c>
      <c r="Q205" s="1997">
        <f t="shared" si="39"/>
        <v>0</v>
      </c>
      <c r="R205" s="1998">
        <f t="shared" si="38"/>
        <v>0</v>
      </c>
      <c r="S205" s="1998">
        <f t="shared" si="38"/>
        <v>0</v>
      </c>
      <c r="T205" s="1998">
        <f t="shared" si="38"/>
        <v>0</v>
      </c>
      <c r="U205" s="1998">
        <f t="shared" si="38"/>
        <v>0</v>
      </c>
      <c r="V205" s="1999"/>
      <c r="W205" s="1999">
        <f>IF(V205=1,L205,0)</f>
        <v>0</v>
      </c>
      <c r="X205" s="1999"/>
      <c r="Y205" s="1999">
        <f>IF(X205=1,L205,0)</f>
        <v>0</v>
      </c>
      <c r="Z205" s="1630"/>
      <c r="AA205" s="1630"/>
      <c r="AB205" s="1630"/>
      <c r="AC205" s="1630"/>
      <c r="AD205" s="1630"/>
      <c r="AE205" s="1630"/>
      <c r="AF205" s="1630"/>
      <c r="AG205" s="1630"/>
    </row>
    <row r="206" spans="1:33" s="1691" customFormat="1" ht="12.2" customHeight="1" x14ac:dyDescent="0.2">
      <c r="A206" s="1976"/>
      <c r="B206" s="1977" t="s">
        <v>537</v>
      </c>
      <c r="C206" s="1978" t="s">
        <v>868</v>
      </c>
      <c r="D206" s="1978" t="s">
        <v>28959</v>
      </c>
      <c r="E206" s="1691" t="s">
        <v>28945</v>
      </c>
      <c r="F206" s="1691">
        <v>526</v>
      </c>
      <c r="G206" s="1591">
        <f>1/60*0</f>
        <v>0</v>
      </c>
      <c r="H206" s="1691" t="s">
        <v>865</v>
      </c>
      <c r="I206" s="1691">
        <f>IF(Dateneingabe!F30=Dateneingabe!E101,1,0)</f>
        <v>1</v>
      </c>
      <c r="J206" s="1979">
        <f>VLOOKUP(F206,Kostensätze!A:E,5,FALSE)</f>
        <v>53.04</v>
      </c>
      <c r="K206" s="1980">
        <f t="shared" si="34"/>
        <v>10</v>
      </c>
      <c r="L206" s="1981">
        <f t="shared" si="32"/>
        <v>0.16666666666666666</v>
      </c>
      <c r="M206" s="1982">
        <f t="shared" si="33"/>
        <v>8.84</v>
      </c>
      <c r="N206" s="1597">
        <v>10</v>
      </c>
      <c r="O206" s="1998">
        <f t="shared" si="38"/>
        <v>0</v>
      </c>
      <c r="P206" s="1998">
        <f t="shared" si="38"/>
        <v>0</v>
      </c>
      <c r="Q206" s="1997">
        <f t="shared" si="39"/>
        <v>0</v>
      </c>
      <c r="R206" s="1998">
        <f t="shared" si="38"/>
        <v>0</v>
      </c>
      <c r="S206" s="1998">
        <f t="shared" si="38"/>
        <v>0</v>
      </c>
      <c r="T206" s="1998">
        <f t="shared" si="38"/>
        <v>0</v>
      </c>
      <c r="U206" s="1998">
        <f t="shared" si="38"/>
        <v>0.16666666666666666</v>
      </c>
      <c r="V206" s="1999"/>
      <c r="W206" s="1999">
        <f t="shared" si="36"/>
        <v>0</v>
      </c>
      <c r="X206" s="1999"/>
      <c r="Y206" s="1999">
        <f t="shared" si="35"/>
        <v>0</v>
      </c>
      <c r="Z206" s="1533"/>
      <c r="AA206" s="1533"/>
      <c r="AB206" s="1533"/>
      <c r="AC206" s="1533"/>
      <c r="AD206" s="1533"/>
      <c r="AE206" s="1533"/>
      <c r="AF206" s="1533"/>
      <c r="AG206" s="1533"/>
    </row>
    <row r="207" spans="1:33" s="1625" customFormat="1" ht="12.2" customHeight="1" x14ac:dyDescent="0.2">
      <c r="A207" s="1622" t="s">
        <v>28960</v>
      </c>
      <c r="B207" s="1622"/>
      <c r="C207" s="1623"/>
      <c r="D207" s="1631"/>
      <c r="F207" s="1625">
        <v>526</v>
      </c>
      <c r="G207" s="1591"/>
      <c r="J207" s="1626"/>
      <c r="K207" s="1627">
        <f t="shared" si="34"/>
        <v>0</v>
      </c>
      <c r="L207" s="1628"/>
      <c r="M207" s="1629">
        <f t="shared" si="33"/>
        <v>0</v>
      </c>
      <c r="N207" s="1597"/>
      <c r="O207" s="1998">
        <f t="shared" si="38"/>
        <v>0</v>
      </c>
      <c r="P207" s="1998">
        <f t="shared" si="38"/>
        <v>0</v>
      </c>
      <c r="Q207" s="1997">
        <f t="shared" si="39"/>
        <v>0</v>
      </c>
      <c r="R207" s="1998">
        <f t="shared" si="38"/>
        <v>0</v>
      </c>
      <c r="S207" s="1998">
        <f t="shared" si="38"/>
        <v>0</v>
      </c>
      <c r="T207" s="1998">
        <f t="shared" si="38"/>
        <v>0</v>
      </c>
      <c r="U207" s="1998">
        <f t="shared" si="38"/>
        <v>0</v>
      </c>
      <c r="V207" s="1999"/>
      <c r="W207" s="1999">
        <f t="shared" si="36"/>
        <v>0</v>
      </c>
      <c r="X207" s="1999"/>
      <c r="Y207" s="1999">
        <f t="shared" si="35"/>
        <v>0</v>
      </c>
      <c r="Z207" s="1630"/>
      <c r="AA207" s="1630"/>
      <c r="AB207" s="1630"/>
      <c r="AC207" s="1630"/>
      <c r="AD207" s="1630"/>
      <c r="AE207" s="1630"/>
      <c r="AF207" s="1630"/>
      <c r="AG207" s="1630"/>
    </row>
    <row r="208" spans="1:33" s="1691" customFormat="1" ht="12.2" customHeight="1" x14ac:dyDescent="0.2">
      <c r="A208" s="1976"/>
      <c r="B208" s="1976"/>
      <c r="C208" s="1595" t="s">
        <v>302</v>
      </c>
      <c r="D208" s="1595" t="s">
        <v>28960</v>
      </c>
      <c r="E208" s="1691" t="s">
        <v>861</v>
      </c>
      <c r="F208" s="1691">
        <v>502</v>
      </c>
      <c r="G208" s="1591">
        <v>1.4999999999999999E-2</v>
      </c>
      <c r="H208" s="1691" t="s">
        <v>860</v>
      </c>
      <c r="I208" s="1691">
        <f>SUM('Zuschnitt Schieberblatt'!G59:G83)</f>
        <v>0</v>
      </c>
      <c r="J208" s="1979">
        <f>VLOOKUP(F208,Kostensätze!A:E,5,FALSE)</f>
        <v>53.66</v>
      </c>
      <c r="K208" s="1980">
        <f t="shared" si="34"/>
        <v>0</v>
      </c>
      <c r="L208" s="1981">
        <f>K208/60</f>
        <v>0</v>
      </c>
      <c r="M208" s="1982">
        <f t="shared" ref="M208:M248" si="40">L208*J208</f>
        <v>0</v>
      </c>
      <c r="N208" s="1597"/>
      <c r="O208" s="1998">
        <f t="shared" si="38"/>
        <v>0</v>
      </c>
      <c r="P208" s="1998">
        <f t="shared" si="38"/>
        <v>0</v>
      </c>
      <c r="Q208" s="1997">
        <f t="shared" si="39"/>
        <v>0</v>
      </c>
      <c r="R208" s="1998">
        <f t="shared" si="38"/>
        <v>0</v>
      </c>
      <c r="S208" s="1998">
        <f t="shared" si="38"/>
        <v>0</v>
      </c>
      <c r="T208" s="1998">
        <f t="shared" si="38"/>
        <v>0</v>
      </c>
      <c r="U208" s="1998">
        <f t="shared" si="38"/>
        <v>0</v>
      </c>
      <c r="V208" s="1999"/>
      <c r="W208" s="1999">
        <f t="shared" si="36"/>
        <v>0</v>
      </c>
      <c r="X208" s="1999"/>
      <c r="Y208" s="1999">
        <f t="shared" si="35"/>
        <v>0</v>
      </c>
      <c r="Z208" s="1533"/>
      <c r="AA208" s="1533"/>
      <c r="AB208" s="1533"/>
      <c r="AC208" s="1533"/>
      <c r="AD208" s="1533"/>
      <c r="AE208" s="1533"/>
      <c r="AF208" s="1533"/>
      <c r="AG208" s="1533"/>
    </row>
    <row r="209" spans="1:33" s="1625" customFormat="1" ht="12.2" customHeight="1" x14ac:dyDescent="0.2">
      <c r="A209" s="1622"/>
      <c r="B209" s="1622"/>
      <c r="C209" s="1631" t="s">
        <v>27651</v>
      </c>
      <c r="D209" s="1631" t="s">
        <v>28960</v>
      </c>
      <c r="E209" s="1625" t="s">
        <v>870</v>
      </c>
      <c r="F209" s="1625">
        <v>524</v>
      </c>
      <c r="G209" s="1591">
        <v>1.66E-2</v>
      </c>
      <c r="H209" s="1625" t="s">
        <v>860</v>
      </c>
      <c r="I209" s="1625">
        <f>SUM('Zuschnitt intumestzierendes Mat'!G21:G36)</f>
        <v>5</v>
      </c>
      <c r="J209" s="1626">
        <f>VLOOKUP(F209,Kostensätze!A:E,5,FALSE)</f>
        <v>40</v>
      </c>
      <c r="K209" s="1627">
        <f t="shared" si="34"/>
        <v>4.9800000000000004</v>
      </c>
      <c r="L209" s="1628">
        <f>K209/60</f>
        <v>8.3000000000000004E-2</v>
      </c>
      <c r="M209" s="1629">
        <f t="shared" si="40"/>
        <v>3.3200000000000003</v>
      </c>
      <c r="N209" s="1597"/>
      <c r="O209" s="1998">
        <f t="shared" si="38"/>
        <v>0</v>
      </c>
      <c r="P209" s="1998">
        <f t="shared" si="38"/>
        <v>0</v>
      </c>
      <c r="Q209" s="1997">
        <f t="shared" si="39"/>
        <v>0</v>
      </c>
      <c r="R209" s="1998">
        <f t="shared" si="38"/>
        <v>0</v>
      </c>
      <c r="S209" s="1998">
        <f t="shared" si="38"/>
        <v>0</v>
      </c>
      <c r="T209" s="1998">
        <f t="shared" si="38"/>
        <v>8.3000000000000004E-2</v>
      </c>
      <c r="U209" s="1998">
        <f t="shared" si="38"/>
        <v>0</v>
      </c>
      <c r="V209" s="1999"/>
      <c r="W209" s="1999">
        <f t="shared" si="36"/>
        <v>0</v>
      </c>
      <c r="X209" s="1999"/>
      <c r="Y209" s="1999">
        <f t="shared" si="35"/>
        <v>0</v>
      </c>
      <c r="Z209" s="1630"/>
      <c r="AA209" s="1630"/>
      <c r="AB209" s="1630"/>
      <c r="AC209" s="1630"/>
      <c r="AD209" s="1630"/>
      <c r="AE209" s="1630"/>
      <c r="AF209" s="1630"/>
      <c r="AG209" s="1630"/>
    </row>
    <row r="210" spans="1:33" s="1691" customFormat="1" ht="12.2" customHeight="1" x14ac:dyDescent="0.2">
      <c r="A210" s="1976"/>
      <c r="B210" s="1976" t="s">
        <v>537</v>
      </c>
      <c r="C210" s="1978" t="s">
        <v>868</v>
      </c>
      <c r="D210" s="1978" t="s">
        <v>28961</v>
      </c>
      <c r="E210" s="1691" t="s">
        <v>28945</v>
      </c>
      <c r="F210" s="1691">
        <v>526</v>
      </c>
      <c r="G210" s="1591">
        <f>1/60*3</f>
        <v>0.05</v>
      </c>
      <c r="H210" s="1691" t="s">
        <v>865</v>
      </c>
      <c r="I210" s="1691">
        <f>IF(I208+I209&gt;0,1,0)</f>
        <v>1</v>
      </c>
      <c r="J210" s="1979">
        <f>VLOOKUP(F210,Kostensätze!A:E,5,FALSE)</f>
        <v>53.04</v>
      </c>
      <c r="K210" s="1980">
        <f t="shared" si="34"/>
        <v>3</v>
      </c>
      <c r="L210" s="1981">
        <f>K210/60</f>
        <v>0.05</v>
      </c>
      <c r="M210" s="1982">
        <f t="shared" si="40"/>
        <v>2.6520000000000001</v>
      </c>
      <c r="N210" s="1597"/>
      <c r="O210" s="1998">
        <f t="shared" si="38"/>
        <v>0</v>
      </c>
      <c r="P210" s="1998">
        <f t="shared" si="38"/>
        <v>0</v>
      </c>
      <c r="Q210" s="1997">
        <f t="shared" si="39"/>
        <v>0</v>
      </c>
      <c r="R210" s="1998">
        <f t="shared" si="38"/>
        <v>0</v>
      </c>
      <c r="S210" s="1998">
        <f t="shared" si="38"/>
        <v>0</v>
      </c>
      <c r="T210" s="1998">
        <f t="shared" si="38"/>
        <v>0</v>
      </c>
      <c r="U210" s="1998">
        <f t="shared" si="38"/>
        <v>0.05</v>
      </c>
      <c r="V210" s="1999"/>
      <c r="W210" s="1999">
        <f t="shared" si="36"/>
        <v>0</v>
      </c>
      <c r="X210" s="1999"/>
      <c r="Y210" s="1999">
        <f t="shared" si="35"/>
        <v>0</v>
      </c>
      <c r="Z210" s="1533"/>
      <c r="AA210" s="1533"/>
      <c r="AB210" s="1533"/>
      <c r="AC210" s="1533"/>
      <c r="AD210" s="1533"/>
      <c r="AE210" s="1533"/>
      <c r="AF210" s="1533"/>
      <c r="AG210" s="1533"/>
    </row>
    <row r="211" spans="1:33" s="1625" customFormat="1" ht="12.2" customHeight="1" x14ac:dyDescent="0.2">
      <c r="A211" s="1622" t="s">
        <v>29514</v>
      </c>
      <c r="B211" s="1622"/>
      <c r="C211" s="1623"/>
      <c r="D211" s="1631"/>
      <c r="F211" s="1625">
        <v>526</v>
      </c>
      <c r="G211" s="1591"/>
      <c r="J211" s="1626"/>
      <c r="K211" s="1627">
        <f t="shared" ref="K211:K217" si="41">I211*G211*60+IF(I211&gt;0,N211,0)</f>
        <v>0</v>
      </c>
      <c r="L211" s="1628">
        <f t="shared" ref="L211:L217" si="42">K211/60</f>
        <v>0</v>
      </c>
      <c r="M211" s="1629">
        <f t="shared" ref="M211:M217" si="43">L211*J211</f>
        <v>0</v>
      </c>
      <c r="N211" s="1597"/>
      <c r="O211" s="1998">
        <f t="shared" si="38"/>
        <v>0</v>
      </c>
      <c r="P211" s="1998">
        <f t="shared" si="38"/>
        <v>0</v>
      </c>
      <c r="Q211" s="1997">
        <f t="shared" si="39"/>
        <v>0</v>
      </c>
      <c r="R211" s="1998">
        <f t="shared" si="38"/>
        <v>0</v>
      </c>
      <c r="S211" s="1998">
        <f t="shared" si="38"/>
        <v>0</v>
      </c>
      <c r="T211" s="1998">
        <f t="shared" si="38"/>
        <v>0</v>
      </c>
      <c r="U211" s="1998">
        <f t="shared" si="38"/>
        <v>0</v>
      </c>
      <c r="V211" s="1999"/>
      <c r="W211" s="1999">
        <f t="shared" ref="W211:W217" si="44">IF(V211=1,L211,0)</f>
        <v>0</v>
      </c>
      <c r="X211" s="1999"/>
      <c r="Y211" s="1999">
        <f t="shared" ref="Y211:Y217" si="45">IF(X211=1,L211,0)</f>
        <v>0</v>
      </c>
      <c r="Z211" s="1630"/>
      <c r="AA211" s="1630"/>
      <c r="AB211" s="1630"/>
      <c r="AC211" s="1630"/>
      <c r="AD211" s="1630"/>
      <c r="AE211" s="1630"/>
      <c r="AF211" s="1630"/>
      <c r="AG211" s="1630"/>
    </row>
    <row r="212" spans="1:33" s="1691" customFormat="1" ht="12.2" customHeight="1" x14ac:dyDescent="0.2">
      <c r="A212" s="1976"/>
      <c r="B212" s="1976" t="s">
        <v>537</v>
      </c>
      <c r="C212" s="1978" t="s">
        <v>30173</v>
      </c>
      <c r="D212" s="1978" t="s">
        <v>29514</v>
      </c>
      <c r="E212" s="1691" t="s">
        <v>28945</v>
      </c>
      <c r="F212" s="1691">
        <v>526</v>
      </c>
      <c r="G212" s="1591">
        <f>1/60*0.5</f>
        <v>8.3333333333333332E-3</v>
      </c>
      <c r="H212" s="1691" t="s">
        <v>30227</v>
      </c>
      <c r="I212" s="1691">
        <f>Liste!D145*ROUNDUP(Liste!G1/250,0)</f>
        <v>0</v>
      </c>
      <c r="J212" s="1979">
        <f>VLOOKUP(F212,Kostensätze!A:E,5,FALSE)</f>
        <v>53.04</v>
      </c>
      <c r="K212" s="1980">
        <f t="shared" si="41"/>
        <v>0</v>
      </c>
      <c r="L212" s="1981">
        <f t="shared" si="42"/>
        <v>0</v>
      </c>
      <c r="M212" s="1982">
        <f t="shared" si="43"/>
        <v>0</v>
      </c>
      <c r="N212" s="1597">
        <v>3</v>
      </c>
      <c r="O212" s="1998">
        <f t="shared" si="38"/>
        <v>0</v>
      </c>
      <c r="P212" s="1998">
        <f t="shared" si="38"/>
        <v>0</v>
      </c>
      <c r="Q212" s="1997">
        <f t="shared" si="39"/>
        <v>0</v>
      </c>
      <c r="R212" s="1998">
        <f t="shared" si="38"/>
        <v>0</v>
      </c>
      <c r="S212" s="1998">
        <f t="shared" si="38"/>
        <v>0</v>
      </c>
      <c r="T212" s="1998">
        <f t="shared" si="38"/>
        <v>0</v>
      </c>
      <c r="U212" s="1998">
        <f t="shared" si="38"/>
        <v>0</v>
      </c>
      <c r="V212" s="1999"/>
      <c r="W212" s="1999">
        <f t="shared" si="44"/>
        <v>0</v>
      </c>
      <c r="X212" s="1999"/>
      <c r="Y212" s="1999">
        <f t="shared" si="45"/>
        <v>0</v>
      </c>
      <c r="Z212" s="1533"/>
      <c r="AA212" s="1533"/>
      <c r="AB212" s="1533"/>
      <c r="AC212" s="1533"/>
      <c r="AD212" s="1533"/>
      <c r="AE212" s="1533"/>
      <c r="AF212" s="1533"/>
      <c r="AG212" s="1533"/>
    </row>
    <row r="213" spans="1:33" s="1625" customFormat="1" ht="12.2" customHeight="1" x14ac:dyDescent="0.2">
      <c r="A213" s="1622"/>
      <c r="B213" s="1622" t="s">
        <v>537</v>
      </c>
      <c r="C213" s="1623" t="s">
        <v>30174</v>
      </c>
      <c r="D213" s="1631" t="s">
        <v>29514</v>
      </c>
      <c r="E213" s="1625" t="s">
        <v>28945</v>
      </c>
      <c r="F213" s="1625">
        <v>526</v>
      </c>
      <c r="G213" s="1591">
        <f>1/60*0.5</f>
        <v>8.3333333333333332E-3</v>
      </c>
      <c r="H213" s="1625" t="s">
        <v>30227</v>
      </c>
      <c r="I213" s="1625">
        <f>Liste!D145*ROUNDUP(Liste!G1/250,0)</f>
        <v>0</v>
      </c>
      <c r="J213" s="1626">
        <f>VLOOKUP(F213,Kostensätze!A:E,5,FALSE)</f>
        <v>53.04</v>
      </c>
      <c r="K213" s="1627">
        <f t="shared" si="41"/>
        <v>0</v>
      </c>
      <c r="L213" s="1628">
        <f t="shared" si="42"/>
        <v>0</v>
      </c>
      <c r="M213" s="1629">
        <f t="shared" si="43"/>
        <v>0</v>
      </c>
      <c r="N213" s="1597">
        <v>6</v>
      </c>
      <c r="O213" s="1998">
        <f t="shared" si="38"/>
        <v>0</v>
      </c>
      <c r="P213" s="1998">
        <f t="shared" si="38"/>
        <v>0</v>
      </c>
      <c r="Q213" s="1997">
        <f t="shared" si="39"/>
        <v>0</v>
      </c>
      <c r="R213" s="1998">
        <f t="shared" si="38"/>
        <v>0</v>
      </c>
      <c r="S213" s="1998">
        <f t="shared" si="38"/>
        <v>0</v>
      </c>
      <c r="T213" s="1998">
        <f t="shared" si="38"/>
        <v>0</v>
      </c>
      <c r="U213" s="1998">
        <f t="shared" si="38"/>
        <v>0</v>
      </c>
      <c r="V213" s="1999"/>
      <c r="W213" s="1999">
        <f t="shared" si="44"/>
        <v>0</v>
      </c>
      <c r="X213" s="1999"/>
      <c r="Y213" s="1999">
        <f t="shared" si="45"/>
        <v>0</v>
      </c>
      <c r="Z213" s="1630"/>
      <c r="AA213" s="1630"/>
      <c r="AB213" s="1630"/>
      <c r="AC213" s="1630"/>
      <c r="AD213" s="1630"/>
      <c r="AE213" s="1630"/>
      <c r="AF213" s="1630"/>
      <c r="AG213" s="1630"/>
    </row>
    <row r="214" spans="1:33" s="1691" customFormat="1" ht="12.2" customHeight="1" x14ac:dyDescent="0.2">
      <c r="A214" s="1976"/>
      <c r="B214" s="1976" t="s">
        <v>537</v>
      </c>
      <c r="C214" s="1978" t="s">
        <v>30175</v>
      </c>
      <c r="D214" s="1978" t="s">
        <v>29514</v>
      </c>
      <c r="E214" s="1691" t="s">
        <v>28945</v>
      </c>
      <c r="F214" s="1691">
        <v>526</v>
      </c>
      <c r="G214" s="1591">
        <f>1/60*0.5</f>
        <v>8.3333333333333332E-3</v>
      </c>
      <c r="H214" s="1691" t="s">
        <v>30227</v>
      </c>
      <c r="I214" s="1691">
        <f>Liste!D145*ROUNDUP(Liste!G1/250,0)</f>
        <v>0</v>
      </c>
      <c r="J214" s="1979">
        <f>VLOOKUP(F214,Kostensätze!A:E,5,FALSE)</f>
        <v>53.04</v>
      </c>
      <c r="K214" s="1980">
        <f t="shared" si="41"/>
        <v>0</v>
      </c>
      <c r="L214" s="1981">
        <f t="shared" si="42"/>
        <v>0</v>
      </c>
      <c r="M214" s="1982">
        <f t="shared" si="43"/>
        <v>0</v>
      </c>
      <c r="N214" s="1597">
        <v>3</v>
      </c>
      <c r="O214" s="1998">
        <f t="shared" si="38"/>
        <v>0</v>
      </c>
      <c r="P214" s="1998">
        <f t="shared" si="38"/>
        <v>0</v>
      </c>
      <c r="Q214" s="1997">
        <f t="shared" si="39"/>
        <v>0</v>
      </c>
      <c r="R214" s="1998">
        <f t="shared" si="38"/>
        <v>0</v>
      </c>
      <c r="S214" s="1998">
        <f t="shared" si="38"/>
        <v>0</v>
      </c>
      <c r="T214" s="1998">
        <f t="shared" si="38"/>
        <v>0</v>
      </c>
      <c r="U214" s="1998">
        <f t="shared" si="38"/>
        <v>0</v>
      </c>
      <c r="V214" s="1999"/>
      <c r="W214" s="1999">
        <f t="shared" si="44"/>
        <v>0</v>
      </c>
      <c r="X214" s="1999"/>
      <c r="Y214" s="1999">
        <f t="shared" si="45"/>
        <v>0</v>
      </c>
      <c r="Z214" s="1533"/>
      <c r="AA214" s="1533"/>
      <c r="AB214" s="1533"/>
      <c r="AC214" s="1533"/>
      <c r="AD214" s="1533"/>
      <c r="AE214" s="1533"/>
      <c r="AF214" s="1533"/>
      <c r="AG214" s="1533"/>
    </row>
    <row r="215" spans="1:33" s="1625" customFormat="1" ht="12.2" customHeight="1" x14ac:dyDescent="0.2">
      <c r="A215" s="1622"/>
      <c r="B215" s="1622" t="s">
        <v>537</v>
      </c>
      <c r="C215" s="1623" t="s">
        <v>30176</v>
      </c>
      <c r="D215" s="1631" t="s">
        <v>29514</v>
      </c>
      <c r="E215" s="1625" t="s">
        <v>28945</v>
      </c>
      <c r="F215" s="1625">
        <v>526</v>
      </c>
      <c r="G215" s="1591">
        <f>1/60*0.5</f>
        <v>8.3333333333333332E-3</v>
      </c>
      <c r="H215" s="1625" t="s">
        <v>30227</v>
      </c>
      <c r="I215" s="1625">
        <f>Liste!D145*ROUNDUP(Liste!G1/250,0)</f>
        <v>0</v>
      </c>
      <c r="J215" s="1626">
        <f>VLOOKUP(F215,Kostensätze!A:E,5,FALSE)</f>
        <v>53.04</v>
      </c>
      <c r="K215" s="1627">
        <f t="shared" si="41"/>
        <v>0</v>
      </c>
      <c r="L215" s="1628">
        <f t="shared" si="42"/>
        <v>0</v>
      </c>
      <c r="M215" s="1629">
        <f t="shared" si="43"/>
        <v>0</v>
      </c>
      <c r="N215" s="1597">
        <v>1</v>
      </c>
      <c r="O215" s="1998">
        <f t="shared" si="38"/>
        <v>0</v>
      </c>
      <c r="P215" s="1998">
        <f t="shared" si="38"/>
        <v>0</v>
      </c>
      <c r="Q215" s="1997">
        <f t="shared" si="39"/>
        <v>0</v>
      </c>
      <c r="R215" s="1998">
        <f t="shared" si="38"/>
        <v>0</v>
      </c>
      <c r="S215" s="1998">
        <f t="shared" si="38"/>
        <v>0</v>
      </c>
      <c r="T215" s="1998">
        <f t="shared" si="38"/>
        <v>0</v>
      </c>
      <c r="U215" s="1998">
        <f t="shared" si="38"/>
        <v>0</v>
      </c>
      <c r="V215" s="1999"/>
      <c r="W215" s="1999">
        <f t="shared" si="44"/>
        <v>0</v>
      </c>
      <c r="X215" s="1999"/>
      <c r="Y215" s="1999">
        <f t="shared" si="45"/>
        <v>0</v>
      </c>
      <c r="Z215" s="1630"/>
      <c r="AA215" s="1630"/>
      <c r="AB215" s="1630"/>
      <c r="AC215" s="1630"/>
      <c r="AD215" s="1630"/>
      <c r="AE215" s="1630"/>
      <c r="AF215" s="1630"/>
      <c r="AG215" s="1630"/>
    </row>
    <row r="216" spans="1:33" s="1691" customFormat="1" ht="12.2" customHeight="1" x14ac:dyDescent="0.2">
      <c r="A216" s="1976"/>
      <c r="B216" s="1976" t="s">
        <v>537</v>
      </c>
      <c r="C216" s="1978" t="s">
        <v>30177</v>
      </c>
      <c r="D216" s="1978" t="s">
        <v>29514</v>
      </c>
      <c r="E216" s="1691" t="s">
        <v>28945</v>
      </c>
      <c r="F216" s="1691">
        <v>526</v>
      </c>
      <c r="G216" s="1591">
        <f>1/60*1</f>
        <v>1.6666666666666666E-2</v>
      </c>
      <c r="H216" s="1691" t="s">
        <v>860</v>
      </c>
      <c r="I216" s="1691">
        <f>Liste!D145</f>
        <v>0</v>
      </c>
      <c r="J216" s="1979">
        <f>VLOOKUP(F216,Kostensätze!A:E,5,FALSE)</f>
        <v>53.04</v>
      </c>
      <c r="K216" s="1980">
        <f t="shared" si="41"/>
        <v>0</v>
      </c>
      <c r="L216" s="1981">
        <f t="shared" si="42"/>
        <v>0</v>
      </c>
      <c r="M216" s="1982">
        <f t="shared" si="43"/>
        <v>0</v>
      </c>
      <c r="N216" s="1597">
        <v>1</v>
      </c>
      <c r="O216" s="1998">
        <f t="shared" si="38"/>
        <v>0</v>
      </c>
      <c r="P216" s="1998">
        <f t="shared" si="38"/>
        <v>0</v>
      </c>
      <c r="Q216" s="1997">
        <f t="shared" si="39"/>
        <v>0</v>
      </c>
      <c r="R216" s="1998">
        <f t="shared" si="38"/>
        <v>0</v>
      </c>
      <c r="S216" s="1998">
        <f t="shared" si="38"/>
        <v>0</v>
      </c>
      <c r="T216" s="1998">
        <f t="shared" si="38"/>
        <v>0</v>
      </c>
      <c r="U216" s="1998">
        <f t="shared" si="38"/>
        <v>0</v>
      </c>
      <c r="V216" s="1999"/>
      <c r="W216" s="1999">
        <f t="shared" si="44"/>
        <v>0</v>
      </c>
      <c r="X216" s="1999"/>
      <c r="Y216" s="1999">
        <f t="shared" si="45"/>
        <v>0</v>
      </c>
      <c r="Z216" s="1533"/>
      <c r="AA216" s="1533"/>
      <c r="AB216" s="1533"/>
      <c r="AC216" s="1533"/>
      <c r="AD216" s="1533"/>
      <c r="AE216" s="1533"/>
      <c r="AF216" s="1533"/>
      <c r="AG216" s="1533"/>
    </row>
    <row r="217" spans="1:33" s="1625" customFormat="1" ht="12.2" customHeight="1" x14ac:dyDescent="0.2">
      <c r="A217" s="1622"/>
      <c r="B217" s="1622" t="s">
        <v>537</v>
      </c>
      <c r="C217" s="1623" t="s">
        <v>30178</v>
      </c>
      <c r="D217" s="1623" t="s">
        <v>29514</v>
      </c>
      <c r="E217" s="1625" t="s">
        <v>28945</v>
      </c>
      <c r="F217" s="1625">
        <v>526</v>
      </c>
      <c r="G217" s="1591">
        <f>1/60*1</f>
        <v>1.6666666666666666E-2</v>
      </c>
      <c r="H217" s="1625" t="s">
        <v>30227</v>
      </c>
      <c r="I217" s="1625">
        <f>Liste!D145*ROUNDUP(Liste!G1/250,0)</f>
        <v>0</v>
      </c>
      <c r="J217" s="1626">
        <f>VLOOKUP(F217,Kostensätze!A:E,5,FALSE)</f>
        <v>53.04</v>
      </c>
      <c r="K217" s="1627">
        <f t="shared" si="41"/>
        <v>0</v>
      </c>
      <c r="L217" s="1628">
        <f t="shared" si="42"/>
        <v>0</v>
      </c>
      <c r="M217" s="1629">
        <f t="shared" si="43"/>
        <v>0</v>
      </c>
      <c r="N217" s="1597">
        <v>1</v>
      </c>
      <c r="O217" s="1998">
        <f t="shared" si="38"/>
        <v>0</v>
      </c>
      <c r="P217" s="1998">
        <f t="shared" si="38"/>
        <v>0</v>
      </c>
      <c r="Q217" s="1997">
        <f t="shared" si="39"/>
        <v>0</v>
      </c>
      <c r="R217" s="1998">
        <f t="shared" si="38"/>
        <v>0</v>
      </c>
      <c r="S217" s="1998">
        <f t="shared" si="38"/>
        <v>0</v>
      </c>
      <c r="T217" s="1998">
        <f t="shared" si="38"/>
        <v>0</v>
      </c>
      <c r="U217" s="1998">
        <f t="shared" si="38"/>
        <v>0</v>
      </c>
      <c r="V217" s="1999"/>
      <c r="W217" s="1999">
        <f t="shared" si="44"/>
        <v>0</v>
      </c>
      <c r="X217" s="1999"/>
      <c r="Y217" s="1999">
        <f t="shared" si="45"/>
        <v>0</v>
      </c>
      <c r="Z217" s="1630"/>
      <c r="AA217" s="1630"/>
      <c r="AB217" s="1630"/>
      <c r="AC217" s="1630"/>
      <c r="AD217" s="1630"/>
      <c r="AE217" s="1630"/>
      <c r="AF217" s="1630"/>
      <c r="AG217" s="1630"/>
    </row>
    <row r="218" spans="1:33" s="1691" customFormat="1" ht="12.2" customHeight="1" x14ac:dyDescent="0.2">
      <c r="A218" s="1976" t="s">
        <v>30165</v>
      </c>
      <c r="B218" s="1976"/>
      <c r="C218" s="1595"/>
      <c r="D218" s="1595"/>
      <c r="F218" s="1691">
        <v>526</v>
      </c>
      <c r="G218" s="1591"/>
      <c r="J218" s="1979"/>
      <c r="K218" s="1980">
        <f>I218*G218*60+IF(I218&gt;0,N218,0)</f>
        <v>0</v>
      </c>
      <c r="L218" s="1981">
        <f>K218/60</f>
        <v>0</v>
      </c>
      <c r="M218" s="1982">
        <f>L218*J218</f>
        <v>0</v>
      </c>
      <c r="N218" s="1597"/>
      <c r="O218" s="1998">
        <f t="shared" si="38"/>
        <v>0</v>
      </c>
      <c r="P218" s="1998">
        <f t="shared" si="38"/>
        <v>0</v>
      </c>
      <c r="Q218" s="1997">
        <f t="shared" si="39"/>
        <v>0</v>
      </c>
      <c r="R218" s="1998">
        <f t="shared" si="38"/>
        <v>0</v>
      </c>
      <c r="S218" s="1998">
        <f t="shared" si="38"/>
        <v>0</v>
      </c>
      <c r="T218" s="1998">
        <f t="shared" si="38"/>
        <v>0</v>
      </c>
      <c r="U218" s="1998">
        <f t="shared" si="38"/>
        <v>0</v>
      </c>
      <c r="V218" s="1999"/>
      <c r="W218" s="1999">
        <f>IF(V218=1,L218,0)</f>
        <v>0</v>
      </c>
      <c r="X218" s="1999"/>
      <c r="Y218" s="1999">
        <f>IF(X218=1,L218,0)</f>
        <v>0</v>
      </c>
      <c r="Z218" s="1533"/>
      <c r="AA218" s="1533"/>
      <c r="AB218" s="1533"/>
      <c r="AC218" s="1533"/>
      <c r="AD218" s="1533"/>
      <c r="AE218" s="1533"/>
      <c r="AF218" s="1533"/>
      <c r="AG218" s="1533"/>
    </row>
    <row r="219" spans="1:33" s="1625" customFormat="1" ht="9" customHeight="1" x14ac:dyDescent="0.2">
      <c r="A219" s="1622"/>
      <c r="B219" s="1622"/>
      <c r="C219" s="1623" t="s">
        <v>30166</v>
      </c>
      <c r="D219" s="1623"/>
      <c r="E219" s="1625" t="s">
        <v>28945</v>
      </c>
      <c r="F219" s="1625">
        <v>526</v>
      </c>
      <c r="G219" s="1591">
        <f>1/60*15</f>
        <v>0.25</v>
      </c>
      <c r="H219" s="1625" t="s">
        <v>865</v>
      </c>
      <c r="J219" s="1626">
        <f>VLOOKUP(F219,Kostensätze!A:E,5,FALSE)</f>
        <v>53.04</v>
      </c>
      <c r="K219" s="1627">
        <f>I219*G219*60+IF(I219&gt;0,N219,0)</f>
        <v>0</v>
      </c>
      <c r="L219" s="1628">
        <f>K219/60</f>
        <v>0</v>
      </c>
      <c r="M219" s="1629">
        <f>L219*J219</f>
        <v>0</v>
      </c>
      <c r="N219" s="1597"/>
      <c r="O219" s="1998">
        <f t="shared" si="38"/>
        <v>0</v>
      </c>
      <c r="P219" s="1998">
        <f t="shared" si="38"/>
        <v>0</v>
      </c>
      <c r="Q219" s="1997">
        <f t="shared" si="39"/>
        <v>0</v>
      </c>
      <c r="R219" s="1998">
        <f t="shared" si="38"/>
        <v>0</v>
      </c>
      <c r="S219" s="1998">
        <f t="shared" si="38"/>
        <v>0</v>
      </c>
      <c r="T219" s="1998">
        <f t="shared" si="38"/>
        <v>0</v>
      </c>
      <c r="U219" s="1998">
        <f t="shared" si="38"/>
        <v>0</v>
      </c>
      <c r="V219" s="1999"/>
      <c r="W219" s="1999">
        <f>IF(V219=1,L219,0)</f>
        <v>0</v>
      </c>
      <c r="X219" s="1999"/>
      <c r="Y219" s="1999">
        <f>IF(X219=1,L219,0)</f>
        <v>0</v>
      </c>
      <c r="Z219" s="1630"/>
      <c r="AA219" s="1630"/>
      <c r="AB219" s="1630"/>
      <c r="AC219" s="1630"/>
      <c r="AD219" s="1630"/>
      <c r="AE219" s="1630"/>
      <c r="AF219" s="1630"/>
      <c r="AG219" s="1630"/>
    </row>
    <row r="220" spans="1:33" s="1691" customFormat="1" ht="12.2" customHeight="1" x14ac:dyDescent="0.2">
      <c r="A220" s="1976"/>
      <c r="B220" s="1976"/>
      <c r="C220" s="1595" t="s">
        <v>30167</v>
      </c>
      <c r="D220" s="1595"/>
      <c r="E220" s="1691" t="s">
        <v>28945</v>
      </c>
      <c r="F220" s="1691">
        <v>526</v>
      </c>
      <c r="G220" s="1591">
        <f>1/60*30</f>
        <v>0.5</v>
      </c>
      <c r="H220" s="1691" t="s">
        <v>865</v>
      </c>
      <c r="J220" s="1979">
        <f>VLOOKUP(F220,Kostensätze!A:E,5,FALSE)</f>
        <v>53.04</v>
      </c>
      <c r="K220" s="1980">
        <f>I220*G220*60+IF(I220&gt;0,N220,0)</f>
        <v>0</v>
      </c>
      <c r="L220" s="1981">
        <f>K220/60</f>
        <v>0</v>
      </c>
      <c r="M220" s="1982">
        <f>L220*J220</f>
        <v>0</v>
      </c>
      <c r="N220" s="1597"/>
      <c r="O220" s="1998">
        <f t="shared" si="38"/>
        <v>0</v>
      </c>
      <c r="P220" s="1998">
        <f t="shared" si="38"/>
        <v>0</v>
      </c>
      <c r="Q220" s="1997">
        <f t="shared" si="39"/>
        <v>0</v>
      </c>
      <c r="R220" s="1998">
        <f t="shared" si="38"/>
        <v>0</v>
      </c>
      <c r="S220" s="1998">
        <f t="shared" si="38"/>
        <v>0</v>
      </c>
      <c r="T220" s="1998">
        <f t="shared" si="38"/>
        <v>0</v>
      </c>
      <c r="U220" s="1998">
        <f t="shared" si="38"/>
        <v>0</v>
      </c>
      <c r="V220" s="1999"/>
      <c r="W220" s="1999">
        <f>IF(V220=1,L220,0)</f>
        <v>0</v>
      </c>
      <c r="X220" s="1999"/>
      <c r="Y220" s="1999">
        <f>IF(X220=1,L220,0)</f>
        <v>0</v>
      </c>
      <c r="Z220" s="1533"/>
      <c r="AA220" s="1533"/>
      <c r="AB220" s="1533"/>
      <c r="AC220" s="1533"/>
      <c r="AD220" s="1533"/>
      <c r="AE220" s="1533"/>
      <c r="AF220" s="1533"/>
      <c r="AG220" s="1533"/>
    </row>
    <row r="221" spans="1:33" s="1625" customFormat="1" ht="12.2" customHeight="1" x14ac:dyDescent="0.2">
      <c r="A221" s="1622"/>
      <c r="B221" s="1975" t="s">
        <v>537</v>
      </c>
      <c r="C221" s="1623" t="s">
        <v>30168</v>
      </c>
      <c r="D221" s="1623"/>
      <c r="E221" s="1625" t="s">
        <v>28945</v>
      </c>
      <c r="F221" s="1625">
        <v>526</v>
      </c>
      <c r="G221" s="1591">
        <f>1/60*2</f>
        <v>3.3333333333333333E-2</v>
      </c>
      <c r="H221" s="1625" t="s">
        <v>30227</v>
      </c>
      <c r="I221" s="2000">
        <f>ROUNDUP(Liste!G1/1000,0)*0</f>
        <v>0</v>
      </c>
      <c r="J221" s="1626">
        <f>VLOOKUP(F221,Kostensätze!A:E,5,FALSE)</f>
        <v>53.04</v>
      </c>
      <c r="K221" s="1627">
        <f>I221*G221*60+IF(I221&gt;0,N221,0)</f>
        <v>0</v>
      </c>
      <c r="L221" s="1628">
        <f>K221/60</f>
        <v>0</v>
      </c>
      <c r="M221" s="1629">
        <f>L221*J221</f>
        <v>0</v>
      </c>
      <c r="N221" s="1597">
        <v>8</v>
      </c>
      <c r="O221" s="1998">
        <f t="shared" si="38"/>
        <v>0</v>
      </c>
      <c r="P221" s="1998">
        <f t="shared" si="38"/>
        <v>0</v>
      </c>
      <c r="Q221" s="1997">
        <f t="shared" si="39"/>
        <v>0</v>
      </c>
      <c r="R221" s="1998">
        <f t="shared" si="38"/>
        <v>0</v>
      </c>
      <c r="S221" s="1998">
        <f t="shared" si="38"/>
        <v>0</v>
      </c>
      <c r="T221" s="1998">
        <f t="shared" si="38"/>
        <v>0</v>
      </c>
      <c r="U221" s="1998">
        <f t="shared" si="38"/>
        <v>0</v>
      </c>
      <c r="V221" s="1999"/>
      <c r="W221" s="1999">
        <f>IF(V221=1,L221,0)</f>
        <v>0</v>
      </c>
      <c r="X221" s="1999"/>
      <c r="Y221" s="1999">
        <f>IF(X221=1,L221,0)</f>
        <v>0</v>
      </c>
      <c r="Z221" s="1630"/>
      <c r="AA221" s="1630"/>
      <c r="AB221" s="1630"/>
      <c r="AC221" s="1630"/>
      <c r="AD221" s="1630"/>
      <c r="AE221" s="1630"/>
      <c r="AF221" s="1630"/>
      <c r="AG221" s="1630"/>
    </row>
    <row r="222" spans="1:33" s="1691" customFormat="1" ht="12.2" customHeight="1" x14ac:dyDescent="0.2">
      <c r="A222" s="1976"/>
      <c r="B222" s="1976"/>
      <c r="C222" s="1978" t="s">
        <v>30169</v>
      </c>
      <c r="D222" s="1978"/>
      <c r="E222" s="1691" t="s">
        <v>28945</v>
      </c>
      <c r="F222" s="1691">
        <v>526</v>
      </c>
      <c r="G222" s="1591"/>
      <c r="H222" s="1691" t="s">
        <v>865</v>
      </c>
      <c r="I222" s="1691">
        <v>1</v>
      </c>
      <c r="J222" s="1979">
        <f>VLOOKUP(F222,Kostensätze!A:E,5,FALSE)</f>
        <v>53.04</v>
      </c>
      <c r="K222" s="1980">
        <f>I222*G222*60+IF(I222&gt;0,N222,0)</f>
        <v>30</v>
      </c>
      <c r="L222" s="1981">
        <f>K222/60</f>
        <v>0.5</v>
      </c>
      <c r="M222" s="1982">
        <f>L222*J222</f>
        <v>26.52</v>
      </c>
      <c r="N222" s="1597">
        <v>30</v>
      </c>
      <c r="O222" s="1998">
        <f t="shared" si="38"/>
        <v>0</v>
      </c>
      <c r="P222" s="1998">
        <f t="shared" si="38"/>
        <v>0</v>
      </c>
      <c r="Q222" s="1997">
        <f t="shared" si="39"/>
        <v>0</v>
      </c>
      <c r="R222" s="1998">
        <f t="shared" si="38"/>
        <v>0</v>
      </c>
      <c r="S222" s="1998">
        <f t="shared" si="38"/>
        <v>0</v>
      </c>
      <c r="T222" s="1998">
        <f t="shared" si="38"/>
        <v>0</v>
      </c>
      <c r="U222" s="1998">
        <f t="shared" si="38"/>
        <v>0.5</v>
      </c>
      <c r="V222" s="1999"/>
      <c r="W222" s="1999">
        <f>IF(V222=1,L222,0)</f>
        <v>0</v>
      </c>
      <c r="X222" s="1999"/>
      <c r="Y222" s="1999">
        <f>IF(X222=1,L222,0)</f>
        <v>0</v>
      </c>
      <c r="Z222" s="1533"/>
      <c r="AA222" s="1533"/>
      <c r="AB222" s="1533"/>
      <c r="AC222" s="1533"/>
      <c r="AD222" s="1533"/>
      <c r="AE222" s="1533"/>
      <c r="AF222" s="1533"/>
      <c r="AG222" s="1533"/>
    </row>
    <row r="223" spans="1:33" s="1625" customFormat="1" ht="12.2" customHeight="1" x14ac:dyDescent="0.2">
      <c r="A223" s="1622" t="s">
        <v>28962</v>
      </c>
      <c r="B223" s="1622"/>
      <c r="C223" s="1631"/>
      <c r="D223" s="1631"/>
      <c r="F223" s="1625">
        <v>526</v>
      </c>
      <c r="G223" s="1591"/>
      <c r="H223" s="1971"/>
      <c r="J223" s="1626"/>
      <c r="K223" s="1627">
        <f t="shared" si="34"/>
        <v>0</v>
      </c>
      <c r="L223" s="1628"/>
      <c r="M223" s="1629">
        <f t="shared" si="40"/>
        <v>0</v>
      </c>
      <c r="N223" s="1597"/>
      <c r="O223" s="1998">
        <f t="shared" si="38"/>
        <v>0</v>
      </c>
      <c r="P223" s="1998">
        <f t="shared" si="38"/>
        <v>0</v>
      </c>
      <c r="Q223" s="1997">
        <f t="shared" si="39"/>
        <v>0</v>
      </c>
      <c r="R223" s="1998">
        <f t="shared" si="38"/>
        <v>0</v>
      </c>
      <c r="S223" s="1998">
        <f t="shared" si="38"/>
        <v>0</v>
      </c>
      <c r="T223" s="1998">
        <f t="shared" si="38"/>
        <v>0</v>
      </c>
      <c r="U223" s="1998">
        <f t="shared" si="38"/>
        <v>0</v>
      </c>
      <c r="V223" s="1999"/>
      <c r="W223" s="1999">
        <f t="shared" si="36"/>
        <v>0</v>
      </c>
      <c r="X223" s="1999"/>
      <c r="Y223" s="1999">
        <f t="shared" si="35"/>
        <v>0</v>
      </c>
      <c r="Z223" s="1630"/>
      <c r="AA223" s="1630"/>
      <c r="AB223" s="1630"/>
      <c r="AC223" s="1630"/>
      <c r="AD223" s="1630"/>
      <c r="AE223" s="1630"/>
      <c r="AF223" s="1630"/>
      <c r="AG223" s="1630"/>
    </row>
    <row r="224" spans="1:33" s="1691" customFormat="1" ht="12.2" customHeight="1" x14ac:dyDescent="0.2">
      <c r="A224" s="1976"/>
      <c r="B224" s="1976"/>
      <c r="C224" s="1978"/>
      <c r="D224" s="1978"/>
      <c r="G224" s="1591"/>
      <c r="I224" s="1691" t="s">
        <v>30228</v>
      </c>
      <c r="J224" s="1979"/>
      <c r="K224" s="1980" t="e">
        <f t="shared" si="34"/>
        <v>#VALUE!</v>
      </c>
      <c r="L224" s="1981"/>
      <c r="M224" s="1982">
        <f t="shared" si="40"/>
        <v>0</v>
      </c>
      <c r="N224" s="1597"/>
      <c r="O224" s="1998">
        <f t="shared" si="38"/>
        <v>0</v>
      </c>
      <c r="P224" s="1998">
        <f t="shared" si="38"/>
        <v>0</v>
      </c>
      <c r="Q224" s="1997">
        <f t="shared" si="39"/>
        <v>0</v>
      </c>
      <c r="R224" s="1998">
        <f t="shared" si="38"/>
        <v>0</v>
      </c>
      <c r="S224" s="1998">
        <f t="shared" si="38"/>
        <v>0</v>
      </c>
      <c r="T224" s="1998">
        <f t="shared" si="38"/>
        <v>0</v>
      </c>
      <c r="U224" s="1998">
        <f t="shared" si="38"/>
        <v>0</v>
      </c>
      <c r="V224" s="1999"/>
      <c r="W224" s="1999">
        <f t="shared" si="36"/>
        <v>0</v>
      </c>
      <c r="X224" s="1999"/>
      <c r="Y224" s="1999">
        <f t="shared" si="35"/>
        <v>0</v>
      </c>
      <c r="Z224" s="1533"/>
      <c r="AA224" s="1533"/>
      <c r="AB224" s="1533"/>
      <c r="AC224" s="1533"/>
      <c r="AD224" s="1533"/>
      <c r="AE224" s="1533"/>
      <c r="AF224" s="1533"/>
      <c r="AG224" s="1533"/>
    </row>
    <row r="225" spans="1:33" s="1625" customFormat="1" ht="12.2" customHeight="1" x14ac:dyDescent="0.2">
      <c r="A225" s="1622"/>
      <c r="B225" s="1975" t="s">
        <v>537</v>
      </c>
      <c r="C225" s="1631" t="s">
        <v>868</v>
      </c>
      <c r="D225" s="1631" t="s">
        <v>363</v>
      </c>
      <c r="E225" s="1625" t="s">
        <v>28945</v>
      </c>
      <c r="F225" s="1625">
        <v>526</v>
      </c>
      <c r="G225" s="1591">
        <f t="shared" ref="G225:G232" si="46">1/60*0</f>
        <v>0</v>
      </c>
      <c r="H225" s="1625" t="s">
        <v>865</v>
      </c>
      <c r="I225" s="1625">
        <v>1</v>
      </c>
      <c r="J225" s="1626">
        <f>VLOOKUP(F225,Kostensätze!A:E,5,FALSE)</f>
        <v>53.04</v>
      </c>
      <c r="K225" s="1627">
        <f t="shared" si="34"/>
        <v>7</v>
      </c>
      <c r="L225" s="1628">
        <f t="shared" ref="L225:L232" si="47">K225/60</f>
        <v>0.11666666666666667</v>
      </c>
      <c r="M225" s="1629">
        <f t="shared" si="40"/>
        <v>6.1879999999999997</v>
      </c>
      <c r="N225" s="1597">
        <v>7</v>
      </c>
      <c r="O225" s="1998">
        <f t="shared" si="38"/>
        <v>0</v>
      </c>
      <c r="P225" s="1998">
        <f t="shared" si="38"/>
        <v>0</v>
      </c>
      <c r="Q225" s="1997">
        <f t="shared" si="39"/>
        <v>0</v>
      </c>
      <c r="R225" s="1998">
        <f t="shared" si="38"/>
        <v>0</v>
      </c>
      <c r="S225" s="1998">
        <f t="shared" si="38"/>
        <v>0</v>
      </c>
      <c r="T225" s="1998">
        <f t="shared" si="38"/>
        <v>0</v>
      </c>
      <c r="U225" s="1998">
        <f t="shared" si="38"/>
        <v>0.11666666666666667</v>
      </c>
      <c r="V225" s="1999"/>
      <c r="W225" s="1999">
        <f t="shared" si="36"/>
        <v>0</v>
      </c>
      <c r="X225" s="1999"/>
      <c r="Y225" s="1999">
        <f t="shared" si="35"/>
        <v>0</v>
      </c>
      <c r="Z225" s="1630"/>
      <c r="AA225" s="1630"/>
      <c r="AB225" s="1630"/>
      <c r="AC225" s="1630"/>
      <c r="AD225" s="1630"/>
      <c r="AE225" s="1630"/>
      <c r="AF225" s="1630"/>
      <c r="AG225" s="1630"/>
    </row>
    <row r="226" spans="1:33" s="1691" customFormat="1" ht="12.2" customHeight="1" x14ac:dyDescent="0.2">
      <c r="A226" s="1976"/>
      <c r="B226" s="1977" t="s">
        <v>537</v>
      </c>
      <c r="C226" s="1595" t="s">
        <v>867</v>
      </c>
      <c r="D226" s="1595" t="s">
        <v>28963</v>
      </c>
      <c r="E226" s="1691" t="s">
        <v>28945</v>
      </c>
      <c r="F226" s="1691">
        <v>526</v>
      </c>
      <c r="G226" s="1591">
        <f t="shared" si="46"/>
        <v>0</v>
      </c>
      <c r="H226" s="1691" t="s">
        <v>865</v>
      </c>
      <c r="I226" s="1691">
        <f>Liste!D243</f>
        <v>1</v>
      </c>
      <c r="J226" s="1979">
        <f>VLOOKUP(F226,Kostensätze!A:E,5,FALSE)</f>
        <v>53.04</v>
      </c>
      <c r="K226" s="1980">
        <f t="shared" ref="K226:K248" si="48">I226*G226*60+IF(I226&gt;0,N226,0)</f>
        <v>1</v>
      </c>
      <c r="L226" s="1981">
        <f t="shared" si="47"/>
        <v>1.6666666666666666E-2</v>
      </c>
      <c r="M226" s="1982">
        <f t="shared" si="40"/>
        <v>0.88400000000000001</v>
      </c>
      <c r="N226" s="1597">
        <v>1</v>
      </c>
      <c r="O226" s="1998">
        <f t="shared" si="38"/>
        <v>0</v>
      </c>
      <c r="P226" s="1998">
        <f t="shared" si="38"/>
        <v>0</v>
      </c>
      <c r="Q226" s="1997">
        <f t="shared" si="39"/>
        <v>0</v>
      </c>
      <c r="R226" s="1998">
        <f t="shared" si="38"/>
        <v>0</v>
      </c>
      <c r="S226" s="1998">
        <f t="shared" si="38"/>
        <v>0</v>
      </c>
      <c r="T226" s="1998">
        <f t="shared" si="38"/>
        <v>0</v>
      </c>
      <c r="U226" s="1998">
        <f t="shared" si="38"/>
        <v>1.6666666666666666E-2</v>
      </c>
      <c r="V226" s="1999"/>
      <c r="W226" s="1999">
        <f t="shared" si="36"/>
        <v>0</v>
      </c>
      <c r="X226" s="1999"/>
      <c r="Y226" s="1999">
        <f t="shared" si="35"/>
        <v>0</v>
      </c>
      <c r="Z226" s="1533"/>
      <c r="AA226" s="1533"/>
      <c r="AB226" s="1533"/>
      <c r="AC226" s="1533"/>
      <c r="AD226" s="1533"/>
      <c r="AE226" s="1533"/>
      <c r="AF226" s="1533"/>
      <c r="AG226" s="1533"/>
    </row>
    <row r="227" spans="1:33" s="1625" customFormat="1" ht="12.2" customHeight="1" x14ac:dyDescent="0.2">
      <c r="A227" s="1622"/>
      <c r="B227" s="1975" t="s">
        <v>537</v>
      </c>
      <c r="C227" s="1631" t="s">
        <v>868</v>
      </c>
      <c r="D227" s="1631" t="s">
        <v>29944</v>
      </c>
      <c r="E227" s="1625" t="s">
        <v>28945</v>
      </c>
      <c r="F227" s="1625">
        <v>526</v>
      </c>
      <c r="G227" s="1591">
        <f t="shared" si="46"/>
        <v>0</v>
      </c>
      <c r="H227" s="1625" t="s">
        <v>865</v>
      </c>
      <c r="I227" s="1625">
        <v>1</v>
      </c>
      <c r="J227" s="1626">
        <f>VLOOKUP(F227,Kostensätze!A:E,5,FALSE)</f>
        <v>53.04</v>
      </c>
      <c r="K227" s="1627">
        <f>I227*G227*60+IF(I227&gt;0,N227,0)</f>
        <v>2</v>
      </c>
      <c r="L227" s="1628">
        <f t="shared" si="47"/>
        <v>3.3333333333333333E-2</v>
      </c>
      <c r="M227" s="1629">
        <f>L227*J227</f>
        <v>1.768</v>
      </c>
      <c r="N227" s="1597">
        <v>2</v>
      </c>
      <c r="O227" s="1998">
        <f t="shared" si="38"/>
        <v>0</v>
      </c>
      <c r="P227" s="1998">
        <f t="shared" si="38"/>
        <v>0</v>
      </c>
      <c r="Q227" s="1997">
        <f t="shared" si="39"/>
        <v>0</v>
      </c>
      <c r="R227" s="1998">
        <f t="shared" si="38"/>
        <v>0</v>
      </c>
      <c r="S227" s="1998">
        <f t="shared" si="38"/>
        <v>0</v>
      </c>
      <c r="T227" s="1998">
        <f t="shared" si="38"/>
        <v>0</v>
      </c>
      <c r="U227" s="1998">
        <f t="shared" si="38"/>
        <v>3.3333333333333333E-2</v>
      </c>
      <c r="V227" s="1999"/>
      <c r="W227" s="1999">
        <f>IF(V227=1,L227,0)</f>
        <v>0</v>
      </c>
      <c r="X227" s="1999"/>
      <c r="Y227" s="1999">
        <f>IF(X227=1,L227,0)</f>
        <v>0</v>
      </c>
      <c r="Z227" s="1630"/>
      <c r="AA227" s="1630"/>
      <c r="AB227" s="1630"/>
      <c r="AC227" s="1630"/>
      <c r="AD227" s="1630"/>
      <c r="AE227" s="1630"/>
      <c r="AF227" s="1630"/>
      <c r="AG227" s="1630"/>
    </row>
    <row r="228" spans="1:33" s="1691" customFormat="1" ht="12.2" customHeight="1" x14ac:dyDescent="0.2">
      <c r="A228" s="1976"/>
      <c r="B228" s="1976" t="s">
        <v>537</v>
      </c>
      <c r="C228" s="1595" t="s">
        <v>868</v>
      </c>
      <c r="D228" s="1595" t="s">
        <v>28971</v>
      </c>
      <c r="E228" s="1691" t="s">
        <v>28945</v>
      </c>
      <c r="F228" s="1691">
        <v>526</v>
      </c>
      <c r="G228" s="1591">
        <f>1/60*0</f>
        <v>0</v>
      </c>
      <c r="H228" s="1691" t="s">
        <v>865</v>
      </c>
      <c r="I228" s="1691">
        <v>1</v>
      </c>
      <c r="J228" s="1979">
        <f>VLOOKUP(F228,Kostensätze!A:E,5,FALSE)</f>
        <v>53.04</v>
      </c>
      <c r="K228" s="1980">
        <f t="shared" si="48"/>
        <v>2</v>
      </c>
      <c r="L228" s="1981">
        <f t="shared" si="47"/>
        <v>3.3333333333333333E-2</v>
      </c>
      <c r="M228" s="1982">
        <f t="shared" si="40"/>
        <v>1.768</v>
      </c>
      <c r="N228" s="1597">
        <v>2</v>
      </c>
      <c r="O228" s="1998">
        <f t="shared" si="38"/>
        <v>0</v>
      </c>
      <c r="P228" s="1998">
        <f t="shared" si="38"/>
        <v>0</v>
      </c>
      <c r="Q228" s="1997">
        <f t="shared" si="39"/>
        <v>0</v>
      </c>
      <c r="R228" s="1998">
        <f t="shared" si="38"/>
        <v>0</v>
      </c>
      <c r="S228" s="1998">
        <f t="shared" si="38"/>
        <v>0</v>
      </c>
      <c r="T228" s="1998">
        <f t="shared" si="38"/>
        <v>0</v>
      </c>
      <c r="U228" s="1998">
        <f t="shared" si="38"/>
        <v>3.3333333333333333E-2</v>
      </c>
      <c r="V228" s="1999"/>
      <c r="W228" s="1999">
        <f t="shared" si="36"/>
        <v>0</v>
      </c>
      <c r="X228" s="1999"/>
      <c r="Y228" s="1999">
        <f t="shared" si="35"/>
        <v>0</v>
      </c>
      <c r="Z228" s="1533"/>
      <c r="AA228" s="1533"/>
      <c r="AB228" s="1533"/>
      <c r="AC228" s="1533"/>
      <c r="AD228" s="1533"/>
      <c r="AE228" s="1533"/>
      <c r="AF228" s="1533"/>
      <c r="AG228" s="1533"/>
    </row>
    <row r="229" spans="1:33" s="1625" customFormat="1" ht="12.2" customHeight="1" x14ac:dyDescent="0.2">
      <c r="A229" s="1622"/>
      <c r="B229" s="1975" t="s">
        <v>537</v>
      </c>
      <c r="C229" s="1623" t="s">
        <v>868</v>
      </c>
      <c r="D229" s="1623" t="s">
        <v>28964</v>
      </c>
      <c r="E229" s="1625" t="s">
        <v>28945</v>
      </c>
      <c r="F229" s="1625">
        <v>526</v>
      </c>
      <c r="G229" s="1591">
        <f t="shared" si="46"/>
        <v>0</v>
      </c>
      <c r="H229" s="1625" t="s">
        <v>865</v>
      </c>
      <c r="I229" s="1625">
        <v>1</v>
      </c>
      <c r="J229" s="1626">
        <f>VLOOKUP(F229,Kostensätze!A:E,5,FALSE)</f>
        <v>53.04</v>
      </c>
      <c r="K229" s="1627">
        <f t="shared" si="48"/>
        <v>2</v>
      </c>
      <c r="L229" s="1628">
        <f t="shared" si="47"/>
        <v>3.3333333333333333E-2</v>
      </c>
      <c r="M229" s="1629">
        <f t="shared" si="40"/>
        <v>1.768</v>
      </c>
      <c r="N229" s="1597">
        <v>2</v>
      </c>
      <c r="O229" s="1998">
        <f t="shared" si="38"/>
        <v>0</v>
      </c>
      <c r="P229" s="1998">
        <f t="shared" si="38"/>
        <v>0</v>
      </c>
      <c r="Q229" s="1997">
        <f t="shared" si="39"/>
        <v>0</v>
      </c>
      <c r="R229" s="1998">
        <f t="shared" si="38"/>
        <v>0</v>
      </c>
      <c r="S229" s="1998">
        <f t="shared" si="38"/>
        <v>0</v>
      </c>
      <c r="T229" s="1998">
        <f t="shared" si="38"/>
        <v>0</v>
      </c>
      <c r="U229" s="1998">
        <f t="shared" si="38"/>
        <v>3.3333333333333333E-2</v>
      </c>
      <c r="V229" s="1999"/>
      <c r="W229" s="1999">
        <f t="shared" si="36"/>
        <v>0</v>
      </c>
      <c r="X229" s="1999"/>
      <c r="Y229" s="1999">
        <f t="shared" si="35"/>
        <v>0</v>
      </c>
      <c r="Z229" s="1630"/>
      <c r="AA229" s="1630"/>
      <c r="AB229" s="1630"/>
      <c r="AC229" s="1630"/>
      <c r="AD229" s="1630"/>
      <c r="AE229" s="1630"/>
      <c r="AF229" s="1630"/>
      <c r="AG229" s="1630"/>
    </row>
    <row r="230" spans="1:33" s="1691" customFormat="1" ht="12.2" customHeight="1" x14ac:dyDescent="0.2">
      <c r="A230" s="1976"/>
      <c r="B230" s="1977" t="s">
        <v>537</v>
      </c>
      <c r="C230" s="1978" t="s">
        <v>868</v>
      </c>
      <c r="D230" s="1595" t="s">
        <v>395</v>
      </c>
      <c r="E230" s="1691" t="s">
        <v>28945</v>
      </c>
      <c r="F230" s="1691">
        <v>526</v>
      </c>
      <c r="G230" s="1591">
        <f t="shared" si="46"/>
        <v>0</v>
      </c>
      <c r="H230" s="1691" t="s">
        <v>865</v>
      </c>
      <c r="I230" s="1691">
        <v>1</v>
      </c>
      <c r="J230" s="1979">
        <f>VLOOKUP(F230,Kostensätze!A:E,5,FALSE)</f>
        <v>53.04</v>
      </c>
      <c r="K230" s="1980">
        <f t="shared" si="48"/>
        <v>1</v>
      </c>
      <c r="L230" s="1981">
        <f t="shared" si="47"/>
        <v>1.6666666666666666E-2</v>
      </c>
      <c r="M230" s="1982">
        <f t="shared" si="40"/>
        <v>0.88400000000000001</v>
      </c>
      <c r="N230" s="1597">
        <v>1</v>
      </c>
      <c r="O230" s="1998">
        <f t="shared" si="38"/>
        <v>0</v>
      </c>
      <c r="P230" s="1998">
        <f t="shared" si="38"/>
        <v>0</v>
      </c>
      <c r="Q230" s="1997">
        <f t="shared" si="39"/>
        <v>0</v>
      </c>
      <c r="R230" s="1998">
        <f t="shared" si="38"/>
        <v>0</v>
      </c>
      <c r="S230" s="1998">
        <f t="shared" si="38"/>
        <v>0</v>
      </c>
      <c r="T230" s="1998">
        <f t="shared" si="38"/>
        <v>0</v>
      </c>
      <c r="U230" s="1998">
        <f t="shared" si="38"/>
        <v>1.6666666666666666E-2</v>
      </c>
      <c r="V230" s="1999"/>
      <c r="W230" s="1999">
        <f t="shared" si="36"/>
        <v>0</v>
      </c>
      <c r="X230" s="1999"/>
      <c r="Y230" s="1999">
        <f t="shared" si="35"/>
        <v>0</v>
      </c>
      <c r="Z230" s="1533"/>
      <c r="AA230" s="1533"/>
      <c r="AB230" s="1533"/>
      <c r="AC230" s="1533"/>
      <c r="AD230" s="1533"/>
      <c r="AE230" s="1533"/>
      <c r="AF230" s="1533"/>
      <c r="AG230" s="1533"/>
    </row>
    <row r="231" spans="1:33" s="1625" customFormat="1" ht="12.2" customHeight="1" x14ac:dyDescent="0.2">
      <c r="A231" s="1622"/>
      <c r="B231" s="1975" t="s">
        <v>537</v>
      </c>
      <c r="C231" s="1631" t="s">
        <v>868</v>
      </c>
      <c r="D231" s="1631" t="s">
        <v>28965</v>
      </c>
      <c r="E231" s="1625" t="s">
        <v>28945</v>
      </c>
      <c r="F231" s="1625">
        <v>526</v>
      </c>
      <c r="G231" s="1591">
        <f t="shared" si="46"/>
        <v>0</v>
      </c>
      <c r="H231" s="1625" t="s">
        <v>865</v>
      </c>
      <c r="I231" s="1625">
        <f>IF(Dateneingabe!D101&gt;0,1,0)</f>
        <v>1</v>
      </c>
      <c r="J231" s="1626">
        <f>VLOOKUP(F231,Kostensätze!A:E,5,FALSE)</f>
        <v>53.04</v>
      </c>
      <c r="K231" s="1627">
        <f t="shared" si="48"/>
        <v>3</v>
      </c>
      <c r="L231" s="1628">
        <f t="shared" si="47"/>
        <v>0.05</v>
      </c>
      <c r="M231" s="1629">
        <f t="shared" si="40"/>
        <v>2.6520000000000001</v>
      </c>
      <c r="N231" s="1597">
        <v>3</v>
      </c>
      <c r="O231" s="1998">
        <f t="shared" si="38"/>
        <v>0</v>
      </c>
      <c r="P231" s="1998">
        <f t="shared" si="38"/>
        <v>0</v>
      </c>
      <c r="Q231" s="1997">
        <f t="shared" si="39"/>
        <v>0</v>
      </c>
      <c r="R231" s="1998">
        <f t="shared" si="38"/>
        <v>0</v>
      </c>
      <c r="S231" s="1998">
        <f t="shared" si="38"/>
        <v>0</v>
      </c>
      <c r="T231" s="1998">
        <f t="shared" si="38"/>
        <v>0</v>
      </c>
      <c r="U231" s="1998">
        <f t="shared" si="38"/>
        <v>0.05</v>
      </c>
      <c r="V231" s="1999"/>
      <c r="W231" s="1999">
        <f t="shared" si="36"/>
        <v>0</v>
      </c>
      <c r="X231" s="1999"/>
      <c r="Y231" s="1999">
        <f t="shared" si="35"/>
        <v>0</v>
      </c>
      <c r="Z231" s="1630"/>
      <c r="AA231" s="1630"/>
      <c r="AB231" s="1630"/>
      <c r="AC231" s="1630"/>
      <c r="AD231" s="1630"/>
      <c r="AE231" s="1630"/>
      <c r="AF231" s="1630"/>
      <c r="AG231" s="1630"/>
    </row>
    <row r="232" spans="1:33" s="1691" customFormat="1" ht="12.2" customHeight="1" x14ac:dyDescent="0.2">
      <c r="A232" s="1976"/>
      <c r="B232" s="1977" t="s">
        <v>537</v>
      </c>
      <c r="C232" s="1595" t="s">
        <v>868</v>
      </c>
      <c r="D232" s="1595" t="s">
        <v>28973</v>
      </c>
      <c r="E232" s="1691" t="s">
        <v>28945</v>
      </c>
      <c r="F232" s="1691">
        <v>526</v>
      </c>
      <c r="G232" s="1591">
        <f t="shared" si="46"/>
        <v>0</v>
      </c>
      <c r="H232" s="1691" t="s">
        <v>865</v>
      </c>
      <c r="I232" s="1691">
        <f>IF(Liste!D303+Liste!D304+Liste!D306+Liste!A379+Liste!A384&gt;0,1,0)</f>
        <v>1</v>
      </c>
      <c r="J232" s="1979">
        <f>VLOOKUP(F232,Kostensätze!A:E,5,FALSE)</f>
        <v>53.04</v>
      </c>
      <c r="K232" s="1980">
        <f t="shared" si="48"/>
        <v>2</v>
      </c>
      <c r="L232" s="1981">
        <f t="shared" si="47"/>
        <v>3.3333333333333333E-2</v>
      </c>
      <c r="M232" s="1982">
        <f t="shared" si="40"/>
        <v>1.768</v>
      </c>
      <c r="N232" s="1597">
        <v>2</v>
      </c>
      <c r="O232" s="1998">
        <f t="shared" si="38"/>
        <v>0</v>
      </c>
      <c r="P232" s="1998">
        <f t="shared" si="38"/>
        <v>0</v>
      </c>
      <c r="Q232" s="1997">
        <f t="shared" si="39"/>
        <v>0</v>
      </c>
      <c r="R232" s="1998">
        <f t="shared" si="38"/>
        <v>0</v>
      </c>
      <c r="S232" s="1998">
        <f t="shared" si="38"/>
        <v>0</v>
      </c>
      <c r="T232" s="1998">
        <f t="shared" si="38"/>
        <v>0</v>
      </c>
      <c r="U232" s="1998">
        <f t="shared" si="38"/>
        <v>3.3333333333333333E-2</v>
      </c>
      <c r="V232" s="1999"/>
      <c r="W232" s="1999">
        <f t="shared" si="36"/>
        <v>0</v>
      </c>
      <c r="X232" s="1999"/>
      <c r="Y232" s="1999">
        <f t="shared" ref="Y232:Y249" si="49">IF(X232=1,L232,0)</f>
        <v>0</v>
      </c>
      <c r="Z232" s="1533"/>
      <c r="AA232" s="1533"/>
      <c r="AB232" s="1533"/>
      <c r="AC232" s="1533"/>
      <c r="AD232" s="1533"/>
      <c r="AE232" s="1533"/>
      <c r="AF232" s="1533"/>
      <c r="AG232" s="1533"/>
    </row>
    <row r="233" spans="1:33" s="1691" customFormat="1" ht="12.2" customHeight="1" x14ac:dyDescent="0.2">
      <c r="A233" s="1976"/>
      <c r="B233" s="1977"/>
      <c r="C233" s="1595" t="s">
        <v>868</v>
      </c>
      <c r="D233" s="1595" t="s">
        <v>30594</v>
      </c>
      <c r="E233" s="1691" t="s">
        <v>28945</v>
      </c>
      <c r="F233" s="1691">
        <v>526</v>
      </c>
      <c r="G233" s="1591">
        <f>1/60*1</f>
        <v>1.6666666666666666E-2</v>
      </c>
      <c r="H233" s="1691" t="s">
        <v>860</v>
      </c>
      <c r="I233" s="1691">
        <f>SUM(Liste!D477:D493)</f>
        <v>0</v>
      </c>
      <c r="J233" s="1979">
        <f>VLOOKUP(F233,Kostensätze!A:E,5,FALSE)</f>
        <v>53.04</v>
      </c>
      <c r="K233" s="1980">
        <f t="shared" ref="K233" si="50">I233*G233*60+IF(I233&gt;0,N233,0)</f>
        <v>0</v>
      </c>
      <c r="L233" s="1981">
        <f t="shared" ref="L233" si="51">K233/60</f>
        <v>0</v>
      </c>
      <c r="M233" s="1982">
        <f t="shared" ref="M233" si="52">L233*J233</f>
        <v>0</v>
      </c>
      <c r="N233" s="1597">
        <v>2</v>
      </c>
      <c r="O233" s="1998">
        <f t="shared" ref="O233:U233" si="53">IF($F233=O$3,$L233,0)</f>
        <v>0</v>
      </c>
      <c r="P233" s="1998">
        <f t="shared" si="53"/>
        <v>0</v>
      </c>
      <c r="Q233" s="1997">
        <f t="shared" si="39"/>
        <v>0</v>
      </c>
      <c r="R233" s="1998">
        <f t="shared" si="53"/>
        <v>0</v>
      </c>
      <c r="S233" s="1998">
        <f t="shared" si="53"/>
        <v>0</v>
      </c>
      <c r="T233" s="1998">
        <f t="shared" si="53"/>
        <v>0</v>
      </c>
      <c r="U233" s="1998">
        <f t="shared" si="53"/>
        <v>0</v>
      </c>
      <c r="V233" s="1999"/>
      <c r="W233" s="1999">
        <f t="shared" ref="W233" si="54">IF(V233=1,L233,0)</f>
        <v>0</v>
      </c>
      <c r="X233" s="1999"/>
      <c r="Y233" s="1999">
        <f t="shared" ref="Y233" si="55">IF(X233=1,L233,0)</f>
        <v>0</v>
      </c>
      <c r="Z233" s="1533"/>
      <c r="AA233" s="1533"/>
      <c r="AB233" s="1533"/>
      <c r="AC233" s="1533"/>
      <c r="AD233" s="1533"/>
      <c r="AE233" s="1533"/>
      <c r="AF233" s="1533"/>
      <c r="AG233" s="1533"/>
    </row>
    <row r="234" spans="1:33" s="1625" customFormat="1" ht="12.2" customHeight="1" x14ac:dyDescent="0.2">
      <c r="A234" s="1622" t="s">
        <v>28295</v>
      </c>
      <c r="B234" s="1622"/>
      <c r="C234" s="1623"/>
      <c r="D234" s="1623"/>
      <c r="F234" s="1625">
        <v>526</v>
      </c>
      <c r="G234" s="1591"/>
      <c r="J234" s="1626"/>
      <c r="K234" s="1627">
        <f t="shared" si="48"/>
        <v>0</v>
      </c>
      <c r="L234" s="1628"/>
      <c r="M234" s="1629">
        <f t="shared" si="40"/>
        <v>0</v>
      </c>
      <c r="N234" s="1597"/>
      <c r="O234" s="1998">
        <f t="shared" si="38"/>
        <v>0</v>
      </c>
      <c r="P234" s="1998">
        <f t="shared" si="38"/>
        <v>0</v>
      </c>
      <c r="Q234" s="1997">
        <f t="shared" si="39"/>
        <v>0</v>
      </c>
      <c r="R234" s="1998">
        <f t="shared" si="38"/>
        <v>0</v>
      </c>
      <c r="S234" s="1998">
        <f t="shared" si="38"/>
        <v>0</v>
      </c>
      <c r="T234" s="1998">
        <f t="shared" si="38"/>
        <v>0</v>
      </c>
      <c r="U234" s="1998">
        <f t="shared" si="38"/>
        <v>0</v>
      </c>
      <c r="V234" s="1999"/>
      <c r="W234" s="1999">
        <f t="shared" si="36"/>
        <v>0</v>
      </c>
      <c r="X234" s="1999"/>
      <c r="Y234" s="1999">
        <f t="shared" si="49"/>
        <v>0</v>
      </c>
      <c r="Z234" s="1630"/>
      <c r="AA234" s="1630"/>
      <c r="AB234" s="1630"/>
      <c r="AC234" s="1630"/>
      <c r="AD234" s="1630"/>
      <c r="AE234" s="1630"/>
      <c r="AF234" s="1630"/>
      <c r="AG234" s="1630"/>
    </row>
    <row r="235" spans="1:33" s="1691" customFormat="1" ht="12.2" customHeight="1" x14ac:dyDescent="0.2">
      <c r="A235" s="1976"/>
      <c r="B235" s="1977" t="s">
        <v>537</v>
      </c>
      <c r="C235" s="1978" t="s">
        <v>284</v>
      </c>
      <c r="D235" s="1595"/>
      <c r="E235" s="1691" t="s">
        <v>28945</v>
      </c>
      <c r="F235" s="1691">
        <v>526</v>
      </c>
      <c r="G235" s="1591">
        <f t="shared" ref="G235:G242" si="56">1/60*0</f>
        <v>0</v>
      </c>
      <c r="H235" s="1691" t="s">
        <v>865</v>
      </c>
      <c r="I235" s="1691">
        <v>1</v>
      </c>
      <c r="J235" s="1979">
        <f>VLOOKUP(F235,Kostensätze!A:E,5,FALSE)</f>
        <v>53.04</v>
      </c>
      <c r="K235" s="1980">
        <f t="shared" si="48"/>
        <v>10</v>
      </c>
      <c r="L235" s="1981">
        <f t="shared" ref="L235:L242" si="57">K235/60</f>
        <v>0.16666666666666666</v>
      </c>
      <c r="M235" s="1982">
        <f t="shared" si="40"/>
        <v>8.84</v>
      </c>
      <c r="N235" s="1597">
        <v>10</v>
      </c>
      <c r="O235" s="1998">
        <f t="shared" si="38"/>
        <v>0</v>
      </c>
      <c r="P235" s="1998">
        <f t="shared" si="38"/>
        <v>0</v>
      </c>
      <c r="Q235" s="1997">
        <f t="shared" si="39"/>
        <v>0</v>
      </c>
      <c r="R235" s="1998">
        <f t="shared" si="38"/>
        <v>0</v>
      </c>
      <c r="S235" s="1998">
        <f t="shared" si="38"/>
        <v>0</v>
      </c>
      <c r="T235" s="1998">
        <f t="shared" si="38"/>
        <v>0</v>
      </c>
      <c r="U235" s="1998">
        <f t="shared" si="38"/>
        <v>0.16666666666666666</v>
      </c>
      <c r="V235" s="1999"/>
      <c r="W235" s="1999">
        <f t="shared" si="36"/>
        <v>0</v>
      </c>
      <c r="X235" s="1999"/>
      <c r="Y235" s="1999">
        <f t="shared" si="49"/>
        <v>0</v>
      </c>
      <c r="Z235" s="1533"/>
      <c r="AA235" s="1533"/>
      <c r="AB235" s="1533"/>
      <c r="AC235" s="1533"/>
      <c r="AD235" s="1533"/>
      <c r="AE235" s="1533"/>
      <c r="AF235" s="1533"/>
      <c r="AG235" s="1533"/>
    </row>
    <row r="236" spans="1:33" s="1625" customFormat="1" ht="12.2" customHeight="1" x14ac:dyDescent="0.2">
      <c r="A236" s="1622"/>
      <c r="B236" s="1975" t="s">
        <v>537</v>
      </c>
      <c r="C236" s="1623" t="s">
        <v>30191</v>
      </c>
      <c r="D236" s="1623"/>
      <c r="E236" s="1625" t="s">
        <v>28945</v>
      </c>
      <c r="F236" s="1625">
        <v>526</v>
      </c>
      <c r="G236" s="1591">
        <f t="shared" si="56"/>
        <v>0</v>
      </c>
      <c r="H236" s="1625" t="s">
        <v>865</v>
      </c>
      <c r="I236" s="1625">
        <v>1</v>
      </c>
      <c r="J236" s="1626">
        <f>VLOOKUP(F236,Kostensätze!A:E,5,FALSE)</f>
        <v>53.04</v>
      </c>
      <c r="K236" s="1627">
        <f t="shared" si="48"/>
        <v>5</v>
      </c>
      <c r="L236" s="1628">
        <f t="shared" si="57"/>
        <v>8.3333333333333329E-2</v>
      </c>
      <c r="M236" s="1629">
        <f t="shared" si="40"/>
        <v>4.42</v>
      </c>
      <c r="N236" s="1597">
        <v>5</v>
      </c>
      <c r="O236" s="1998">
        <f>IF($F236=O$3,$L236,0)</f>
        <v>0</v>
      </c>
      <c r="P236" s="1998">
        <f>IF($F236=P$3,$L236,0)</f>
        <v>0</v>
      </c>
      <c r="Q236" s="1997">
        <f t="shared" si="39"/>
        <v>0</v>
      </c>
      <c r="R236" s="1998">
        <f>IF($F236=R$3,$L236,0)</f>
        <v>0</v>
      </c>
      <c r="S236" s="1998">
        <f t="shared" ref="S236:U237" si="58">IF($F236=S$3,$L236,0)</f>
        <v>0</v>
      </c>
      <c r="T236" s="1998">
        <f t="shared" si="58"/>
        <v>0</v>
      </c>
      <c r="U236" s="1998">
        <f t="shared" si="58"/>
        <v>8.3333333333333329E-2</v>
      </c>
      <c r="V236" s="1999"/>
      <c r="W236" s="1999">
        <f t="shared" si="36"/>
        <v>0</v>
      </c>
      <c r="X236" s="1999"/>
      <c r="Y236" s="1999">
        <f t="shared" si="49"/>
        <v>0</v>
      </c>
      <c r="Z236" s="1630"/>
      <c r="AA236" s="1630"/>
      <c r="AB236" s="1630"/>
      <c r="AC236" s="1630"/>
      <c r="AD236" s="1630"/>
      <c r="AE236" s="1630"/>
      <c r="AF236" s="1630"/>
      <c r="AG236" s="1630"/>
    </row>
    <row r="237" spans="1:33" s="1691" customFormat="1" ht="12.2" customHeight="1" x14ac:dyDescent="0.2">
      <c r="A237" s="1976"/>
      <c r="B237" s="1977" t="s">
        <v>537</v>
      </c>
      <c r="C237" s="1978" t="s">
        <v>30190</v>
      </c>
      <c r="D237" s="1595"/>
      <c r="E237" s="1691" t="s">
        <v>28945</v>
      </c>
      <c r="F237" s="1691">
        <v>526</v>
      </c>
      <c r="G237" s="1591">
        <f t="shared" si="56"/>
        <v>0</v>
      </c>
      <c r="H237" s="1691" t="s">
        <v>865</v>
      </c>
      <c r="I237" s="1691">
        <v>1</v>
      </c>
      <c r="J237" s="1979">
        <f>VLOOKUP(F237,Kostensätze!A:E,5,FALSE)</f>
        <v>53.04</v>
      </c>
      <c r="K237" s="1980">
        <f>I237*G237*60+IF(I237&gt;0,N237,0)</f>
        <v>3</v>
      </c>
      <c r="L237" s="1981">
        <f t="shared" si="57"/>
        <v>0.05</v>
      </c>
      <c r="M237" s="1982">
        <f>L237*J237</f>
        <v>2.6520000000000001</v>
      </c>
      <c r="N237" s="1597">
        <v>3</v>
      </c>
      <c r="O237" s="1998">
        <f t="shared" si="38"/>
        <v>0</v>
      </c>
      <c r="P237" s="1998">
        <f t="shared" si="38"/>
        <v>0</v>
      </c>
      <c r="Q237" s="1997">
        <f t="shared" si="39"/>
        <v>0</v>
      </c>
      <c r="R237" s="1998">
        <f t="shared" si="38"/>
        <v>0</v>
      </c>
      <c r="S237" s="1998">
        <f t="shared" si="58"/>
        <v>0</v>
      </c>
      <c r="T237" s="1998">
        <f t="shared" si="58"/>
        <v>0</v>
      </c>
      <c r="U237" s="1998">
        <f t="shared" si="58"/>
        <v>0.05</v>
      </c>
      <c r="V237" s="1999"/>
      <c r="W237" s="1999">
        <f>IF(V237=1,L237,0)</f>
        <v>0</v>
      </c>
      <c r="X237" s="1999"/>
      <c r="Y237" s="1999">
        <f>IF(X237=1,L237,0)</f>
        <v>0</v>
      </c>
      <c r="Z237" s="1533"/>
      <c r="AA237" s="1533"/>
      <c r="AB237" s="1533"/>
      <c r="AC237" s="1533"/>
      <c r="AD237" s="1533"/>
      <c r="AE237" s="1533"/>
      <c r="AF237" s="1533"/>
      <c r="AG237" s="1533"/>
    </row>
    <row r="238" spans="1:33" s="1625" customFormat="1" ht="12.2" customHeight="1" x14ac:dyDescent="0.2">
      <c r="A238" s="1622"/>
      <c r="B238" s="1975" t="s">
        <v>537</v>
      </c>
      <c r="C238" s="1623" t="s">
        <v>30163</v>
      </c>
      <c r="D238" s="1631"/>
      <c r="E238" s="1625" t="s">
        <v>28945</v>
      </c>
      <c r="F238" s="1625">
        <v>526</v>
      </c>
      <c r="G238" s="1591">
        <f t="shared" si="56"/>
        <v>0</v>
      </c>
      <c r="H238" s="1625" t="s">
        <v>865</v>
      </c>
      <c r="I238" s="1625">
        <f>Checkliste!H8+Checkliste!H10</f>
        <v>1</v>
      </c>
      <c r="J238" s="1626">
        <f>VLOOKUP(F238,Kostensätze!A:E,5,FALSE)</f>
        <v>53.04</v>
      </c>
      <c r="K238" s="1627">
        <f>I238*G238*60+IF(I238&gt;0,N238,0)</f>
        <v>15</v>
      </c>
      <c r="L238" s="1628">
        <f t="shared" si="57"/>
        <v>0.25</v>
      </c>
      <c r="M238" s="1629">
        <f>L238*J238</f>
        <v>13.26</v>
      </c>
      <c r="N238" s="1597">
        <v>15</v>
      </c>
      <c r="O238" s="1998">
        <f t="shared" si="38"/>
        <v>0</v>
      </c>
      <c r="P238" s="1998">
        <f t="shared" si="38"/>
        <v>0</v>
      </c>
      <c r="Q238" s="1997">
        <f t="shared" si="39"/>
        <v>0</v>
      </c>
      <c r="R238" s="1998">
        <f t="shared" si="38"/>
        <v>0</v>
      </c>
      <c r="S238" s="1998">
        <f t="shared" si="38"/>
        <v>0</v>
      </c>
      <c r="T238" s="1998">
        <f t="shared" si="38"/>
        <v>0</v>
      </c>
      <c r="U238" s="1998">
        <f t="shared" si="38"/>
        <v>0.25</v>
      </c>
      <c r="V238" s="1999"/>
      <c r="W238" s="1999">
        <f>IF(V238=1,L238,0)</f>
        <v>0</v>
      </c>
      <c r="X238" s="1999"/>
      <c r="Y238" s="1999">
        <f>IF(X238=1,L238,0)</f>
        <v>0</v>
      </c>
      <c r="Z238" s="1630"/>
      <c r="AA238" s="1630"/>
      <c r="AB238" s="1630"/>
      <c r="AC238" s="1630"/>
      <c r="AD238" s="1630"/>
      <c r="AE238" s="1630"/>
      <c r="AF238" s="1630"/>
      <c r="AG238" s="1630"/>
    </row>
    <row r="239" spans="1:33" s="1691" customFormat="1" ht="12.2" customHeight="1" x14ac:dyDescent="0.2">
      <c r="A239" s="1976"/>
      <c r="B239" s="1977" t="s">
        <v>537</v>
      </c>
      <c r="C239" s="1978" t="s">
        <v>30164</v>
      </c>
      <c r="D239" s="1978"/>
      <c r="E239" s="1691" t="s">
        <v>28945</v>
      </c>
      <c r="F239" s="1691">
        <v>526</v>
      </c>
      <c r="G239" s="1591">
        <f t="shared" si="56"/>
        <v>0</v>
      </c>
      <c r="H239" s="1691" t="s">
        <v>865</v>
      </c>
      <c r="I239" s="1691">
        <f>Checkliste!H8+Checkliste!H10</f>
        <v>1</v>
      </c>
      <c r="J239" s="1979">
        <f>VLOOKUP(F239,Kostensätze!A:E,5,FALSE)</f>
        <v>53.04</v>
      </c>
      <c r="K239" s="1980">
        <f t="shared" si="48"/>
        <v>10</v>
      </c>
      <c r="L239" s="1981">
        <f t="shared" si="57"/>
        <v>0.16666666666666666</v>
      </c>
      <c r="M239" s="1982">
        <f t="shared" si="40"/>
        <v>8.84</v>
      </c>
      <c r="N239" s="1597">
        <v>10</v>
      </c>
      <c r="O239" s="1998">
        <f t="shared" si="38"/>
        <v>0</v>
      </c>
      <c r="P239" s="1998">
        <f t="shared" si="38"/>
        <v>0</v>
      </c>
      <c r="Q239" s="1997">
        <f t="shared" si="39"/>
        <v>0</v>
      </c>
      <c r="R239" s="1998">
        <f t="shared" si="38"/>
        <v>0</v>
      </c>
      <c r="S239" s="1998">
        <f t="shared" si="38"/>
        <v>0</v>
      </c>
      <c r="T239" s="1998">
        <f t="shared" si="38"/>
        <v>0</v>
      </c>
      <c r="U239" s="1998">
        <f t="shared" si="38"/>
        <v>0.16666666666666666</v>
      </c>
      <c r="V239" s="1999"/>
      <c r="W239" s="1999">
        <f t="shared" si="36"/>
        <v>0</v>
      </c>
      <c r="X239" s="1999"/>
      <c r="Y239" s="1999">
        <f t="shared" si="49"/>
        <v>0</v>
      </c>
      <c r="Z239" s="1533"/>
      <c r="AA239" s="1533"/>
      <c r="AB239" s="1533"/>
      <c r="AC239" s="1533"/>
      <c r="AD239" s="1533"/>
      <c r="AE239" s="1533"/>
      <c r="AF239" s="1533"/>
      <c r="AG239" s="1533"/>
    </row>
    <row r="240" spans="1:33" s="1625" customFormat="1" ht="12.2" customHeight="1" x14ac:dyDescent="0.2">
      <c r="A240" s="1622"/>
      <c r="B240" s="1975" t="s">
        <v>537</v>
      </c>
      <c r="C240" s="1623" t="s">
        <v>30189</v>
      </c>
      <c r="D240" s="1631"/>
      <c r="E240" s="1625" t="s">
        <v>28945</v>
      </c>
      <c r="F240" s="1625">
        <v>526</v>
      </c>
      <c r="G240" s="1591">
        <f t="shared" si="56"/>
        <v>0</v>
      </c>
      <c r="H240" s="1625" t="s">
        <v>865</v>
      </c>
      <c r="I240" s="1625">
        <v>1</v>
      </c>
      <c r="J240" s="1626">
        <f>VLOOKUP(F240,Kostensätze!A:E,5,FALSE)</f>
        <v>53.04</v>
      </c>
      <c r="K240" s="1627">
        <f>I240*G240*60+IF(I240&gt;0,N240,0)</f>
        <v>3</v>
      </c>
      <c r="L240" s="1628">
        <f t="shared" si="57"/>
        <v>0.05</v>
      </c>
      <c r="M240" s="1629">
        <f>L240*J240</f>
        <v>2.6520000000000001</v>
      </c>
      <c r="N240" s="1597">
        <v>3</v>
      </c>
      <c r="O240" s="1998">
        <f t="shared" si="38"/>
        <v>0</v>
      </c>
      <c r="P240" s="1998">
        <f t="shared" si="38"/>
        <v>0</v>
      </c>
      <c r="Q240" s="1997">
        <f t="shared" si="39"/>
        <v>0</v>
      </c>
      <c r="R240" s="1998">
        <f t="shared" si="38"/>
        <v>0</v>
      </c>
      <c r="S240" s="1998">
        <f t="shared" si="38"/>
        <v>0</v>
      </c>
      <c r="T240" s="1998">
        <f t="shared" si="38"/>
        <v>0</v>
      </c>
      <c r="U240" s="1998">
        <f t="shared" si="38"/>
        <v>0.05</v>
      </c>
      <c r="V240" s="1999"/>
      <c r="W240" s="1999">
        <f>IF(V240=1,L240,0)</f>
        <v>0</v>
      </c>
      <c r="X240" s="1999"/>
      <c r="Y240" s="1999">
        <f>IF(X240=1,L240,0)</f>
        <v>0</v>
      </c>
      <c r="Z240" s="1630"/>
      <c r="AA240" s="1630"/>
      <c r="AB240" s="1630"/>
      <c r="AC240" s="1630"/>
      <c r="AD240" s="1630"/>
      <c r="AE240" s="1630"/>
      <c r="AF240" s="1630"/>
      <c r="AG240" s="1630"/>
    </row>
    <row r="241" spans="1:33" s="1691" customFormat="1" ht="12.2" customHeight="1" x14ac:dyDescent="0.2">
      <c r="A241" s="1976"/>
      <c r="B241" s="1977" t="s">
        <v>537</v>
      </c>
      <c r="C241" s="1978" t="s">
        <v>30192</v>
      </c>
      <c r="D241" s="1595"/>
      <c r="E241" s="1691" t="s">
        <v>28945</v>
      </c>
      <c r="F241" s="1691">
        <v>526</v>
      </c>
      <c r="G241" s="1591">
        <f t="shared" si="56"/>
        <v>0</v>
      </c>
      <c r="H241" s="1691" t="s">
        <v>865</v>
      </c>
      <c r="I241" s="1691">
        <v>1</v>
      </c>
      <c r="J241" s="1979">
        <f>VLOOKUP(F241,Kostensätze!A:E,5,FALSE)</f>
        <v>53.04</v>
      </c>
      <c r="K241" s="1980">
        <f>I241*G241*60+IF(I241&gt;0,N241,0)</f>
        <v>4</v>
      </c>
      <c r="L241" s="1981">
        <f t="shared" si="57"/>
        <v>6.6666666666666666E-2</v>
      </c>
      <c r="M241" s="1982">
        <f>L241*J241</f>
        <v>3.536</v>
      </c>
      <c r="N241" s="1597">
        <v>4</v>
      </c>
      <c r="O241" s="1998">
        <f t="shared" ref="O241:U242" si="59">IF($F241=O$3,$L241,0)</f>
        <v>0</v>
      </c>
      <c r="P241" s="1998">
        <f t="shared" si="59"/>
        <v>0</v>
      </c>
      <c r="Q241" s="1997">
        <f t="shared" si="39"/>
        <v>0</v>
      </c>
      <c r="R241" s="1998">
        <f t="shared" si="59"/>
        <v>0</v>
      </c>
      <c r="S241" s="1998">
        <f t="shared" si="59"/>
        <v>0</v>
      </c>
      <c r="T241" s="1998">
        <f t="shared" si="59"/>
        <v>0</v>
      </c>
      <c r="U241" s="1998">
        <f t="shared" si="59"/>
        <v>6.6666666666666666E-2</v>
      </c>
      <c r="V241" s="1999"/>
      <c r="W241" s="1999">
        <f>IF(V241=1,L241,0)</f>
        <v>0</v>
      </c>
      <c r="X241" s="1999"/>
      <c r="Y241" s="1999">
        <f>IF(X241=1,L241,0)</f>
        <v>0</v>
      </c>
      <c r="Z241" s="1533"/>
      <c r="AA241" s="1533"/>
      <c r="AB241" s="1533"/>
      <c r="AC241" s="1533"/>
      <c r="AD241" s="1533"/>
      <c r="AE241" s="1533"/>
      <c r="AF241" s="1533"/>
      <c r="AG241" s="1533"/>
    </row>
    <row r="242" spans="1:33" s="1625" customFormat="1" ht="12.2" customHeight="1" x14ac:dyDescent="0.2">
      <c r="A242" s="1622"/>
      <c r="B242" s="1975" t="s">
        <v>537</v>
      </c>
      <c r="C242" s="1623" t="s">
        <v>30194</v>
      </c>
      <c r="D242" s="1631"/>
      <c r="E242" s="1625" t="s">
        <v>28945</v>
      </c>
      <c r="F242" s="1625">
        <v>526</v>
      </c>
      <c r="G242" s="1591">
        <f t="shared" si="56"/>
        <v>0</v>
      </c>
      <c r="H242" s="1625" t="s">
        <v>865</v>
      </c>
      <c r="I242" s="1625">
        <v>1</v>
      </c>
      <c r="J242" s="1626">
        <f>VLOOKUP(F242,Kostensätze!A:E,5,FALSE)</f>
        <v>53.04</v>
      </c>
      <c r="K242" s="1627">
        <f>I242*G242*60+IF(I242&gt;0,N242,0)</f>
        <v>3</v>
      </c>
      <c r="L242" s="1628">
        <f t="shared" si="57"/>
        <v>0.05</v>
      </c>
      <c r="M242" s="1629">
        <f>L242*J242</f>
        <v>2.6520000000000001</v>
      </c>
      <c r="N242" s="1597">
        <v>3</v>
      </c>
      <c r="O242" s="1998">
        <f t="shared" si="59"/>
        <v>0</v>
      </c>
      <c r="P242" s="1998">
        <f t="shared" si="59"/>
        <v>0</v>
      </c>
      <c r="Q242" s="1997">
        <f t="shared" si="39"/>
        <v>0</v>
      </c>
      <c r="R242" s="1998">
        <f t="shared" si="59"/>
        <v>0</v>
      </c>
      <c r="S242" s="1998">
        <f t="shared" si="59"/>
        <v>0</v>
      </c>
      <c r="T242" s="1998">
        <f t="shared" si="59"/>
        <v>0</v>
      </c>
      <c r="U242" s="1998">
        <f t="shared" si="59"/>
        <v>0.05</v>
      </c>
      <c r="V242" s="1999"/>
      <c r="W242" s="1999">
        <f>IF(V242=1,L242,0)</f>
        <v>0</v>
      </c>
      <c r="X242" s="1999"/>
      <c r="Y242" s="1999">
        <f>IF(X242=1,L242,0)</f>
        <v>0</v>
      </c>
      <c r="Z242" s="1630"/>
      <c r="AA242" s="1630"/>
      <c r="AB242" s="1630"/>
      <c r="AC242" s="1630"/>
      <c r="AD242" s="1630"/>
      <c r="AE242" s="1630"/>
      <c r="AF242" s="1630"/>
      <c r="AG242" s="1630"/>
    </row>
    <row r="243" spans="1:33" s="1691" customFormat="1" ht="12.2" customHeight="1" x14ac:dyDescent="0.2">
      <c r="A243" s="1976"/>
      <c r="B243" s="1976"/>
      <c r="C243" s="1978"/>
      <c r="D243" s="1595"/>
      <c r="G243" s="1591"/>
      <c r="J243" s="1979"/>
      <c r="K243" s="1980">
        <f t="shared" si="48"/>
        <v>0</v>
      </c>
      <c r="L243" s="1981"/>
      <c r="M243" s="1982">
        <f t="shared" si="40"/>
        <v>0</v>
      </c>
      <c r="N243" s="1597">
        <v>10</v>
      </c>
      <c r="O243" s="1998">
        <f t="shared" si="38"/>
        <v>0</v>
      </c>
      <c r="P243" s="1998">
        <f t="shared" si="38"/>
        <v>0</v>
      </c>
      <c r="Q243" s="1997">
        <f t="shared" si="39"/>
        <v>0</v>
      </c>
      <c r="R243" s="1998">
        <f t="shared" si="38"/>
        <v>0</v>
      </c>
      <c r="S243" s="1998">
        <f t="shared" si="38"/>
        <v>0</v>
      </c>
      <c r="T243" s="1998">
        <f t="shared" si="38"/>
        <v>0</v>
      </c>
      <c r="U243" s="1998">
        <f t="shared" si="38"/>
        <v>0</v>
      </c>
      <c r="V243" s="1999"/>
      <c r="W243" s="1999">
        <f t="shared" si="36"/>
        <v>0</v>
      </c>
      <c r="X243" s="1999"/>
      <c r="Y243" s="1999">
        <f t="shared" si="49"/>
        <v>0</v>
      </c>
      <c r="Z243" s="1533"/>
      <c r="AA243" s="1533"/>
      <c r="AB243" s="1533"/>
      <c r="AC243" s="1533"/>
      <c r="AD243" s="1533"/>
      <c r="AE243" s="1533"/>
      <c r="AF243" s="1533"/>
      <c r="AG243" s="1533"/>
    </row>
    <row r="244" spans="1:33" s="1625" customFormat="1" ht="12.75" customHeight="1" x14ac:dyDescent="0.2">
      <c r="A244" s="1622"/>
      <c r="B244" s="1622"/>
      <c r="C244" s="1631" t="s">
        <v>29089</v>
      </c>
      <c r="D244" s="1631" t="s">
        <v>29089</v>
      </c>
      <c r="E244" s="1625" t="s">
        <v>861</v>
      </c>
      <c r="F244" s="1625">
        <v>502</v>
      </c>
      <c r="G244" s="1596"/>
      <c r="H244" s="1625" t="s">
        <v>865</v>
      </c>
      <c r="I244" s="1625">
        <v>1</v>
      </c>
      <c r="J244" s="1626">
        <f>VLOOKUP(F244,Kostensätze!A:E,5,FALSE)</f>
        <v>53.66</v>
      </c>
      <c r="K244" s="1627">
        <f>I244*G244*60+IF(I244&gt;0,N244,0)</f>
        <v>7.5</v>
      </c>
      <c r="L244" s="1628">
        <f>K244/60</f>
        <v>0.125</v>
      </c>
      <c r="M244" s="1629">
        <f>L244*J244</f>
        <v>6.7074999999999996</v>
      </c>
      <c r="N244" s="1597">
        <v>7.5</v>
      </c>
      <c r="O244" s="1998">
        <f t="shared" si="38"/>
        <v>0</v>
      </c>
      <c r="P244" s="1998">
        <f t="shared" si="38"/>
        <v>0.125</v>
      </c>
      <c r="Q244" s="1997">
        <f t="shared" si="39"/>
        <v>0</v>
      </c>
      <c r="R244" s="1998">
        <f t="shared" si="38"/>
        <v>0</v>
      </c>
      <c r="S244" s="1998">
        <f t="shared" si="38"/>
        <v>0</v>
      </c>
      <c r="T244" s="1998">
        <f t="shared" si="38"/>
        <v>0</v>
      </c>
      <c r="U244" s="1998">
        <f t="shared" si="38"/>
        <v>0</v>
      </c>
      <c r="V244" s="1998"/>
      <c r="W244" s="1999">
        <f t="shared" si="36"/>
        <v>0</v>
      </c>
      <c r="X244" s="1998"/>
      <c r="Y244" s="1999">
        <f t="shared" si="49"/>
        <v>0</v>
      </c>
    </row>
    <row r="245" spans="1:33" s="1691" customFormat="1" ht="12.75" customHeight="1" x14ac:dyDescent="0.2">
      <c r="A245" s="1976"/>
      <c r="B245" s="1976"/>
      <c r="C245" s="1595" t="s">
        <v>29089</v>
      </c>
      <c r="D245" s="1595" t="s">
        <v>29089</v>
      </c>
      <c r="E245" s="1691" t="s">
        <v>861</v>
      </c>
      <c r="F245" s="1691">
        <v>501</v>
      </c>
      <c r="G245" s="1596"/>
      <c r="H245" s="1691" t="s">
        <v>865</v>
      </c>
      <c r="I245" s="1691">
        <v>1</v>
      </c>
      <c r="J245" s="1979">
        <f>VLOOKUP(F245,Kostensätze!A:E,5,FALSE)</f>
        <v>47.08</v>
      </c>
      <c r="K245" s="1980">
        <f t="shared" si="48"/>
        <v>15</v>
      </c>
      <c r="L245" s="1981">
        <f>K245/60</f>
        <v>0.25</v>
      </c>
      <c r="M245" s="1982">
        <f t="shared" si="40"/>
        <v>11.77</v>
      </c>
      <c r="N245" s="1597">
        <v>15</v>
      </c>
      <c r="O245" s="1998">
        <f t="shared" si="38"/>
        <v>0.25</v>
      </c>
      <c r="P245" s="1998">
        <f t="shared" si="38"/>
        <v>0</v>
      </c>
      <c r="Q245" s="1997">
        <f t="shared" si="39"/>
        <v>0</v>
      </c>
      <c r="R245" s="1998">
        <f t="shared" si="38"/>
        <v>0</v>
      </c>
      <c r="S245" s="1998">
        <f t="shared" si="38"/>
        <v>0</v>
      </c>
      <c r="T245" s="1998">
        <f t="shared" si="38"/>
        <v>0</v>
      </c>
      <c r="U245" s="1998">
        <f t="shared" si="38"/>
        <v>0</v>
      </c>
      <c r="V245" s="1998"/>
      <c r="W245" s="1999">
        <f t="shared" si="36"/>
        <v>0</v>
      </c>
      <c r="X245" s="1998"/>
      <c r="Y245" s="1999">
        <f t="shared" si="49"/>
        <v>0</v>
      </c>
    </row>
    <row r="246" spans="1:33" s="1625" customFormat="1" ht="12.2" customHeight="1" x14ac:dyDescent="0.2">
      <c r="A246" s="1622"/>
      <c r="B246" s="1622"/>
      <c r="C246" s="1623" t="s">
        <v>29089</v>
      </c>
      <c r="D246" s="1623" t="s">
        <v>29089</v>
      </c>
      <c r="E246" s="1625" t="s">
        <v>870</v>
      </c>
      <c r="F246" s="1625">
        <v>524</v>
      </c>
      <c r="G246" s="1591"/>
      <c r="H246" s="1625" t="s">
        <v>865</v>
      </c>
      <c r="I246" s="1625">
        <f>IF(SUM('Zuschnitt intumestzierendes Mat'!G21:G36)&gt;0,1,0)</f>
        <v>1</v>
      </c>
      <c r="J246" s="1626">
        <f>VLOOKUP(F246,Kostensätze!A:E,5,FALSE)</f>
        <v>40</v>
      </c>
      <c r="K246" s="1627">
        <f t="shared" si="48"/>
        <v>5</v>
      </c>
      <c r="L246" s="1628">
        <f>K246/60</f>
        <v>8.3333333333333329E-2</v>
      </c>
      <c r="M246" s="1629">
        <f t="shared" si="40"/>
        <v>3.333333333333333</v>
      </c>
      <c r="N246" s="1597">
        <v>5</v>
      </c>
      <c r="O246" s="1998">
        <f t="shared" si="38"/>
        <v>0</v>
      </c>
      <c r="P246" s="1998">
        <f t="shared" si="38"/>
        <v>0</v>
      </c>
      <c r="Q246" s="1997">
        <f t="shared" si="39"/>
        <v>0</v>
      </c>
      <c r="R246" s="1998">
        <f t="shared" si="38"/>
        <v>0</v>
      </c>
      <c r="S246" s="1998">
        <f t="shared" si="38"/>
        <v>0</v>
      </c>
      <c r="T246" s="1998">
        <f t="shared" si="38"/>
        <v>8.3333333333333329E-2</v>
      </c>
      <c r="U246" s="1998">
        <f t="shared" si="38"/>
        <v>0</v>
      </c>
      <c r="V246" s="1999"/>
      <c r="W246" s="1999">
        <f t="shared" si="36"/>
        <v>0</v>
      </c>
      <c r="X246" s="1999"/>
      <c r="Y246" s="1999">
        <f t="shared" si="49"/>
        <v>0</v>
      </c>
      <c r="Z246" s="1630"/>
      <c r="AA246" s="1630"/>
      <c r="AB246" s="1630"/>
      <c r="AC246" s="1630"/>
      <c r="AD246" s="1630"/>
      <c r="AE246" s="1630"/>
      <c r="AF246" s="1630"/>
      <c r="AG246" s="1630"/>
    </row>
    <row r="247" spans="1:33" s="1691" customFormat="1" ht="12.2" customHeight="1" x14ac:dyDescent="0.2">
      <c r="A247" s="1976"/>
      <c r="B247" s="1976"/>
      <c r="C247" s="1595" t="s">
        <v>29089</v>
      </c>
      <c r="D247" s="1595" t="s">
        <v>29089</v>
      </c>
      <c r="E247" s="1691" t="s">
        <v>108</v>
      </c>
      <c r="F247" s="1691">
        <v>520</v>
      </c>
      <c r="G247" s="1591"/>
      <c r="H247" s="1983" t="s">
        <v>865</v>
      </c>
      <c r="I247" s="1691">
        <v>1</v>
      </c>
      <c r="J247" s="1979">
        <f>VLOOKUP(F247,Kostensätze!A:E,5,FALSE)</f>
        <v>37.619999999999997</v>
      </c>
      <c r="K247" s="1980">
        <f t="shared" si="48"/>
        <v>15</v>
      </c>
      <c r="L247" s="1981">
        <f>K247/60</f>
        <v>0.25</v>
      </c>
      <c r="M247" s="1982">
        <f t="shared" si="40"/>
        <v>9.4049999999999994</v>
      </c>
      <c r="N247" s="1597">
        <v>15</v>
      </c>
      <c r="O247" s="1998">
        <f t="shared" si="38"/>
        <v>0</v>
      </c>
      <c r="P247" s="1998">
        <f t="shared" si="38"/>
        <v>0</v>
      </c>
      <c r="Q247" s="1997">
        <f t="shared" si="39"/>
        <v>0</v>
      </c>
      <c r="R247" s="1998">
        <f t="shared" si="38"/>
        <v>0</v>
      </c>
      <c r="S247" s="1998">
        <f t="shared" si="38"/>
        <v>0.25</v>
      </c>
      <c r="T247" s="1998">
        <f t="shared" si="38"/>
        <v>0</v>
      </c>
      <c r="U247" s="1998">
        <f t="shared" si="38"/>
        <v>0</v>
      </c>
      <c r="V247" s="1999">
        <v>1</v>
      </c>
      <c r="W247" s="1999">
        <f t="shared" si="36"/>
        <v>0.25</v>
      </c>
      <c r="X247" s="1999"/>
      <c r="Y247" s="1999">
        <f t="shared" si="49"/>
        <v>0</v>
      </c>
      <c r="Z247" s="1533"/>
      <c r="AA247" s="1533"/>
      <c r="AB247" s="1533"/>
      <c r="AC247" s="1533"/>
      <c r="AD247" s="1533"/>
      <c r="AE247" s="1533"/>
      <c r="AF247" s="1533"/>
      <c r="AG247" s="1533"/>
    </row>
    <row r="248" spans="1:33" s="1625" customFormat="1" ht="12.2" customHeight="1" x14ac:dyDescent="0.2">
      <c r="A248" s="1622"/>
      <c r="B248" s="1975" t="s">
        <v>537</v>
      </c>
      <c r="C248" s="1623" t="s">
        <v>29089</v>
      </c>
      <c r="D248" s="1623" t="s">
        <v>29089</v>
      </c>
      <c r="E248" s="1625" t="s">
        <v>28945</v>
      </c>
      <c r="F248" s="1625">
        <v>526</v>
      </c>
      <c r="G248" s="1591"/>
      <c r="H248" s="1625" t="s">
        <v>865</v>
      </c>
      <c r="I248" s="1625">
        <v>1</v>
      </c>
      <c r="J248" s="1626">
        <f>VLOOKUP(F248,Kostensätze!A:E,5,FALSE)</f>
        <v>53.04</v>
      </c>
      <c r="K248" s="1627">
        <f t="shared" si="48"/>
        <v>30</v>
      </c>
      <c r="L248" s="1628">
        <f>K248/60</f>
        <v>0.5</v>
      </c>
      <c r="M248" s="1629">
        <f t="shared" si="40"/>
        <v>26.52</v>
      </c>
      <c r="N248" s="1597">
        <v>30</v>
      </c>
      <c r="O248" s="1998">
        <f t="shared" si="38"/>
        <v>0</v>
      </c>
      <c r="P248" s="1998">
        <f t="shared" si="38"/>
        <v>0</v>
      </c>
      <c r="Q248" s="1997">
        <f t="shared" si="39"/>
        <v>0</v>
      </c>
      <c r="R248" s="1998">
        <f t="shared" si="38"/>
        <v>0</v>
      </c>
      <c r="S248" s="1998">
        <f t="shared" si="38"/>
        <v>0</v>
      </c>
      <c r="T248" s="1998">
        <f t="shared" si="38"/>
        <v>0</v>
      </c>
      <c r="U248" s="1998">
        <f t="shared" si="38"/>
        <v>0.5</v>
      </c>
      <c r="V248" s="1999"/>
      <c r="W248" s="1999">
        <f t="shared" si="36"/>
        <v>0</v>
      </c>
      <c r="X248" s="1999"/>
      <c r="Y248" s="1999">
        <f t="shared" si="49"/>
        <v>0</v>
      </c>
      <c r="Z248" s="1630"/>
      <c r="AA248" s="1630"/>
      <c r="AB248" s="1630"/>
      <c r="AC248" s="1630"/>
      <c r="AD248" s="1630"/>
      <c r="AE248" s="1630"/>
      <c r="AF248" s="1630"/>
      <c r="AG248" s="1630"/>
    </row>
    <row r="249" spans="1:33" s="1691" customFormat="1" ht="13.5" thickBot="1" x14ac:dyDescent="0.25">
      <c r="A249" s="1976"/>
      <c r="B249" s="1976"/>
      <c r="C249" s="1595"/>
      <c r="D249" s="1986"/>
      <c r="G249" s="1596"/>
      <c r="J249" s="1979"/>
      <c r="K249" s="1980"/>
      <c r="L249" s="1981"/>
      <c r="M249" s="1982"/>
      <c r="N249" s="1597"/>
      <c r="O249" s="1998">
        <f t="shared" si="38"/>
        <v>0</v>
      </c>
      <c r="P249" s="1998">
        <f t="shared" si="38"/>
        <v>0</v>
      </c>
      <c r="Q249" s="1997">
        <f t="shared" si="39"/>
        <v>0</v>
      </c>
      <c r="R249" s="1998">
        <f t="shared" si="38"/>
        <v>0</v>
      </c>
      <c r="S249" s="1998">
        <f t="shared" si="38"/>
        <v>0</v>
      </c>
      <c r="T249" s="1998">
        <f t="shared" si="38"/>
        <v>0</v>
      </c>
      <c r="U249" s="1998">
        <f t="shared" si="38"/>
        <v>0</v>
      </c>
      <c r="V249" s="1998"/>
      <c r="W249" s="1999">
        <f t="shared" si="36"/>
        <v>0</v>
      </c>
      <c r="X249" s="1998"/>
      <c r="Y249" s="1999">
        <f t="shared" si="49"/>
        <v>0</v>
      </c>
    </row>
    <row r="250" spans="1:33" s="1625" customFormat="1" ht="29.25" customHeight="1" thickBot="1" x14ac:dyDescent="0.25">
      <c r="A250" s="1622"/>
      <c r="B250" s="1622"/>
      <c r="C250" s="1623"/>
      <c r="D250" s="1624"/>
      <c r="G250" s="1591"/>
      <c r="J250" s="1626"/>
      <c r="K250" s="1627"/>
      <c r="L250" s="2115">
        <f>SUM(L5:L248)</f>
        <v>5.7693236296296266</v>
      </c>
      <c r="M250" s="1637">
        <f>SUM(M5:M248)</f>
        <v>286.54618344888877</v>
      </c>
      <c r="N250" s="1592"/>
      <c r="O250" s="2115">
        <f t="shared" ref="O250:U250" si="60">SUM(O5:O248)</f>
        <v>0.75</v>
      </c>
      <c r="P250" s="2115">
        <f t="shared" si="60"/>
        <v>0.28999999999999998</v>
      </c>
      <c r="Q250" s="2115">
        <f>SUM(Q5:Q248)</f>
        <v>3.3320000000000002E-2</v>
      </c>
      <c r="R250" s="2115">
        <f t="shared" si="60"/>
        <v>0.28299999999999997</v>
      </c>
      <c r="S250" s="2115">
        <f t="shared" si="60"/>
        <v>0.54149999999999998</v>
      </c>
      <c r="T250" s="2115">
        <f t="shared" si="60"/>
        <v>0.16633333333333333</v>
      </c>
      <c r="U250" s="2115">
        <f t="shared" si="60"/>
        <v>3.7051702962962954</v>
      </c>
      <c r="V250" s="1630"/>
      <c r="W250" s="2110">
        <f>SUM(W5:W248)</f>
        <v>0.34899999999999998</v>
      </c>
      <c r="X250" s="1685"/>
      <c r="Y250" s="2110">
        <f>SUM(Y5:Y248)</f>
        <v>0.1925</v>
      </c>
      <c r="Z250" s="1630"/>
      <c r="AA250" s="1630"/>
      <c r="AB250" s="1630"/>
      <c r="AC250" s="1630"/>
      <c r="AD250" s="1630"/>
      <c r="AE250" s="1630"/>
      <c r="AF250" s="1630"/>
      <c r="AG250" s="1630"/>
    </row>
    <row r="251" spans="1:33" s="1625" customFormat="1" ht="29.25" customHeight="1" x14ac:dyDescent="0.2">
      <c r="A251" s="1622"/>
      <c r="B251" s="1622"/>
      <c r="C251" s="1623"/>
      <c r="D251" s="1624"/>
      <c r="G251" s="1591"/>
      <c r="J251" s="1626"/>
      <c r="K251" s="1627"/>
      <c r="L251" s="2116">
        <f>L250*60</f>
        <v>346.15941777777761</v>
      </c>
      <c r="M251" s="2114"/>
      <c r="N251" s="1592"/>
      <c r="O251" s="2116">
        <f>O250*60</f>
        <v>45</v>
      </c>
      <c r="P251" s="2116">
        <f t="shared" ref="P251:U251" si="61">P250*60</f>
        <v>17.399999999999999</v>
      </c>
      <c r="Q251" s="2116">
        <f t="shared" si="61"/>
        <v>1.9992000000000001</v>
      </c>
      <c r="R251" s="2116">
        <f t="shared" si="61"/>
        <v>16.979999999999997</v>
      </c>
      <c r="S251" s="2116">
        <f t="shared" si="61"/>
        <v>32.49</v>
      </c>
      <c r="T251" s="2116">
        <f t="shared" si="61"/>
        <v>9.98</v>
      </c>
      <c r="U251" s="2116">
        <f t="shared" si="61"/>
        <v>222.31021777777772</v>
      </c>
      <c r="V251" s="2116"/>
      <c r="W251" s="2116">
        <f t="shared" ref="W251" si="62">W250*60</f>
        <v>20.939999999999998</v>
      </c>
      <c r="X251" s="2116"/>
      <c r="Y251" s="2116">
        <f t="shared" ref="Y251" si="63">Y250*60</f>
        <v>11.55</v>
      </c>
      <c r="Z251" s="1630"/>
      <c r="AA251" s="1630"/>
      <c r="AB251" s="1630"/>
      <c r="AC251" s="1630"/>
      <c r="AD251" s="1630"/>
      <c r="AE251" s="1630"/>
      <c r="AF251" s="1630"/>
      <c r="AG251" s="1630"/>
    </row>
    <row r="252" spans="1:33" s="1691" customFormat="1" ht="21.75" customHeight="1" x14ac:dyDescent="0.2">
      <c r="A252" s="1976"/>
      <c r="B252" s="1976"/>
      <c r="C252" s="1978"/>
      <c r="D252" s="1986"/>
      <c r="G252" s="1591"/>
      <c r="J252" s="1979"/>
      <c r="K252" s="1980"/>
      <c r="L252" s="1987" t="s">
        <v>29200</v>
      </c>
      <c r="M252" s="1982"/>
      <c r="N252" s="1594"/>
      <c r="O252" s="1987">
        <f t="shared" ref="O252:U252" si="64">O3</f>
        <v>501</v>
      </c>
      <c r="P252" s="1987">
        <f t="shared" si="64"/>
        <v>502</v>
      </c>
      <c r="Q252" s="1987">
        <f>Q3</f>
        <v>507</v>
      </c>
      <c r="R252" s="1987">
        <f t="shared" si="64"/>
        <v>460</v>
      </c>
      <c r="S252" s="1987">
        <f t="shared" si="64"/>
        <v>520</v>
      </c>
      <c r="T252" s="1987">
        <f t="shared" si="64"/>
        <v>524</v>
      </c>
      <c r="U252" s="1987">
        <f t="shared" si="64"/>
        <v>526</v>
      </c>
      <c r="V252" s="1533"/>
      <c r="W252" s="1988" t="str">
        <f>W3</f>
        <v>Prog Blech Zeit</v>
      </c>
      <c r="X252" s="1533"/>
      <c r="Y252" s="1988" t="str">
        <f>Y3</f>
        <v>Stanzkant Blech Zeit</v>
      </c>
      <c r="Z252" s="1533"/>
      <c r="AA252" s="1533"/>
      <c r="AB252" s="1533"/>
      <c r="AC252" s="1533"/>
      <c r="AD252" s="1533"/>
      <c r="AE252" s="1533"/>
      <c r="AF252" s="1533"/>
      <c r="AG252" s="1533"/>
    </row>
    <row r="253" spans="1:33" s="1990" customFormat="1" ht="27" customHeight="1" x14ac:dyDescent="0.2">
      <c r="A253" s="1976"/>
      <c r="B253" s="1976"/>
      <c r="C253" s="1595"/>
      <c r="D253" s="1595"/>
      <c r="E253" s="1691"/>
      <c r="F253" s="1691"/>
      <c r="G253" s="1583"/>
      <c r="J253" s="1991"/>
      <c r="K253" s="1992"/>
      <c r="L253" s="1989"/>
      <c r="M253" s="1991"/>
      <c r="N253" s="1588"/>
      <c r="O253" s="1990" t="s">
        <v>28893</v>
      </c>
      <c r="P253" s="1990" t="s">
        <v>29350</v>
      </c>
      <c r="Q253" s="2057" t="s">
        <v>30351</v>
      </c>
      <c r="R253" s="1990" t="s">
        <v>28977</v>
      </c>
      <c r="S253" s="1990" t="s">
        <v>29351</v>
      </c>
      <c r="T253" s="1990" t="s">
        <v>29352</v>
      </c>
      <c r="U253" s="1990" t="s">
        <v>689</v>
      </c>
      <c r="V253" s="1526"/>
      <c r="W253" s="1526"/>
      <c r="X253" s="1526"/>
      <c r="Y253" s="1526"/>
      <c r="Z253" s="1526"/>
      <c r="AA253" s="1526"/>
      <c r="AB253" s="1526"/>
      <c r="AC253" s="1526"/>
      <c r="AD253" s="1526"/>
      <c r="AE253" s="1526"/>
      <c r="AF253" s="1526"/>
      <c r="AG253" s="1526"/>
    </row>
    <row r="254" spans="1:33" s="1990" customFormat="1" ht="12.75" hidden="1" customHeight="1" x14ac:dyDescent="0.2">
      <c r="A254" s="1976"/>
      <c r="B254" s="1976"/>
      <c r="C254" s="1595"/>
      <c r="D254" s="1595"/>
      <c r="E254" s="1691"/>
      <c r="F254" s="1691"/>
      <c r="G254" s="1583"/>
      <c r="J254" s="1993" t="s">
        <v>871</v>
      </c>
      <c r="K254" s="1992">
        <f>SUM(K253:K253)</f>
        <v>0</v>
      </c>
      <c r="L254" s="1989">
        <f>SUM(L253:L253)</f>
        <v>0</v>
      </c>
      <c r="M254" s="1991">
        <f>SUM(M253:M253)</f>
        <v>0</v>
      </c>
      <c r="N254" s="1588"/>
      <c r="V254" s="1526"/>
      <c r="W254" s="1526"/>
      <c r="X254" s="1526"/>
      <c r="Y254" s="1526"/>
      <c r="Z254" s="1526"/>
      <c r="AA254" s="1526"/>
      <c r="AB254" s="1526"/>
      <c r="AC254" s="1526"/>
      <c r="AD254" s="1526"/>
      <c r="AE254" s="1526"/>
      <c r="AF254" s="1526"/>
      <c r="AG254" s="1526"/>
    </row>
    <row r="255" spans="1:33" s="1990" customFormat="1" ht="12.75" customHeight="1" x14ac:dyDescent="0.2">
      <c r="A255" s="1976"/>
      <c r="B255" s="1976"/>
      <c r="C255" s="1595"/>
      <c r="D255" s="1595"/>
      <c r="E255" s="1691"/>
      <c r="F255" s="1691"/>
      <c r="G255" s="1583"/>
      <c r="J255" s="1991"/>
      <c r="K255" s="1992"/>
      <c r="L255" s="1989"/>
      <c r="M255" s="1991"/>
      <c r="N255" s="1588"/>
    </row>
    <row r="256" spans="1:33" ht="12.75" customHeight="1" x14ac:dyDescent="0.2">
      <c r="I256" s="1153"/>
      <c r="J256" s="1187"/>
      <c r="K256" s="1524"/>
      <c r="L256" s="1523"/>
      <c r="M256" s="1187"/>
      <c r="N256" s="1588"/>
    </row>
    <row r="257" spans="3:11" x14ac:dyDescent="0.2">
      <c r="C257" s="1595"/>
      <c r="D257" s="1595"/>
    </row>
    <row r="258" spans="3:11" x14ac:dyDescent="0.2">
      <c r="C258" s="1950" t="s">
        <v>31418</v>
      </c>
      <c r="I258" s="2564">
        <f>IF((Dateneingabe!K46+Dateneingabe!K48+Dateneingabe!K50)&gt;0,1,0)</f>
        <v>1</v>
      </c>
      <c r="K258" s="1585">
        <f>K51+K52+K53+K54+K55+K56+K89+K90+K91+K112+K113+K114+K150+K151+K152+K153+K154</f>
        <v>16.901217777777777</v>
      </c>
    </row>
    <row r="259" spans="3:11" x14ac:dyDescent="0.2">
      <c r="C259" s="1950" t="s">
        <v>31419</v>
      </c>
      <c r="I259" s="2564">
        <v>1</v>
      </c>
      <c r="K259" s="1585">
        <f>SUM(K56:K60)+SUM(K92:K98)+SUM(K115:K118)+SUM(K155:K159)</f>
        <v>5.7777777777777777</v>
      </c>
    </row>
    <row r="260" spans="3:11" x14ac:dyDescent="0.2">
      <c r="C260" s="1950" t="s">
        <v>31420</v>
      </c>
      <c r="I260" s="2564">
        <v>1</v>
      </c>
      <c r="K260" s="1585">
        <f>U251-K258-K259-K261-K262-K263-K264-K265</f>
        <v>105.13122222222216</v>
      </c>
    </row>
    <row r="261" spans="3:11" x14ac:dyDescent="0.2">
      <c r="C261" s="1950" t="s">
        <v>31428</v>
      </c>
      <c r="I261" s="2564">
        <v>1</v>
      </c>
      <c r="K261" s="1585">
        <f>SUM(K8:K16)+K20+K21+K22</f>
        <v>6.5</v>
      </c>
    </row>
    <row r="262" spans="3:11" x14ac:dyDescent="0.2">
      <c r="C262" s="1950" t="s">
        <v>31421</v>
      </c>
      <c r="I262" s="2564">
        <v>1</v>
      </c>
      <c r="K262" s="1585">
        <f>SUM(K225:K232)</f>
        <v>20</v>
      </c>
    </row>
    <row r="263" spans="3:11" x14ac:dyDescent="0.2">
      <c r="C263" s="1950" t="s">
        <v>31422</v>
      </c>
      <c r="I263" s="2564">
        <f>Checkliste!H10</f>
        <v>0</v>
      </c>
      <c r="K263" s="1585">
        <v>15</v>
      </c>
    </row>
    <row r="264" spans="3:11" x14ac:dyDescent="0.2">
      <c r="C264" s="1950" t="s">
        <v>31423</v>
      </c>
      <c r="I264" s="2564">
        <v>1</v>
      </c>
      <c r="K264" s="1585">
        <f>SUM(K235:K242)</f>
        <v>53</v>
      </c>
    </row>
    <row r="265" spans="3:11" x14ac:dyDescent="0.2">
      <c r="C265" s="1950" t="s">
        <v>31426</v>
      </c>
      <c r="I265" s="2564">
        <f>IF(I233&gt;0,1,0)</f>
        <v>0</v>
      </c>
      <c r="K265" s="1585">
        <f>K233</f>
        <v>0</v>
      </c>
    </row>
    <row r="266" spans="3:11" x14ac:dyDescent="0.2">
      <c r="C266" s="1950" t="s">
        <v>31427</v>
      </c>
      <c r="I266" s="2564"/>
      <c r="K266" s="1585">
        <v>5</v>
      </c>
    </row>
  </sheetData>
  <autoFilter ref="A3:AG248" xr:uid="{00000000-0009-0000-0000-000007000000}"/>
  <conditionalFormatting sqref="I246:I65539 I158:I165 I132:I154 I167:I202 I228:I235 I219 I221:I226 I212 I214 I216:I217 I204:I210 I240 I243 I99:I102 I104:I114 I120:I129 I1:I16 I34:I91 I18:I31">
    <cfRule type="cellIs" dxfId="1563" priority="56" stopIfTrue="1" operator="equal">
      <formula>0</formula>
    </cfRule>
  </conditionalFormatting>
  <conditionalFormatting sqref="I245">
    <cfRule type="cellIs" dxfId="1562" priority="55" stopIfTrue="1" operator="equal">
      <formula>0</formula>
    </cfRule>
  </conditionalFormatting>
  <conditionalFormatting sqref="I244">
    <cfRule type="cellIs" dxfId="1561" priority="50" stopIfTrue="1" operator="equal">
      <formula>0</formula>
    </cfRule>
  </conditionalFormatting>
  <conditionalFormatting sqref="I32:I33">
    <cfRule type="cellIs" dxfId="1560" priority="49" stopIfTrue="1" operator="equal">
      <formula>0</formula>
    </cfRule>
  </conditionalFormatting>
  <conditionalFormatting sqref="I130:I131">
    <cfRule type="cellIs" dxfId="1559" priority="44" stopIfTrue="1" operator="equal">
      <formula>0</formula>
    </cfRule>
  </conditionalFormatting>
  <conditionalFormatting sqref="I166">
    <cfRule type="cellIs" dxfId="1558" priority="41" stopIfTrue="1" operator="equal">
      <formula>0</formula>
    </cfRule>
  </conditionalFormatting>
  <conditionalFormatting sqref="I227">
    <cfRule type="cellIs" dxfId="1557" priority="40" stopIfTrue="1" operator="equal">
      <formula>0</formula>
    </cfRule>
  </conditionalFormatting>
  <conditionalFormatting sqref="I238">
    <cfRule type="cellIs" dxfId="1556" priority="39" stopIfTrue="1" operator="equal">
      <formula>0</formula>
    </cfRule>
  </conditionalFormatting>
  <conditionalFormatting sqref="I218">
    <cfRule type="cellIs" dxfId="1555" priority="38" stopIfTrue="1" operator="equal">
      <formula>0</formula>
    </cfRule>
  </conditionalFormatting>
  <conditionalFormatting sqref="I220">
    <cfRule type="cellIs" dxfId="1554" priority="37" stopIfTrue="1" operator="equal">
      <formula>0</formula>
    </cfRule>
  </conditionalFormatting>
  <conditionalFormatting sqref="I211">
    <cfRule type="cellIs" dxfId="1553" priority="36" stopIfTrue="1" operator="equal">
      <formula>0</formula>
    </cfRule>
  </conditionalFormatting>
  <conditionalFormatting sqref="I213">
    <cfRule type="cellIs" dxfId="1552" priority="35" stopIfTrue="1" operator="equal">
      <formula>0</formula>
    </cfRule>
  </conditionalFormatting>
  <conditionalFormatting sqref="I215">
    <cfRule type="cellIs" dxfId="1551" priority="34" stopIfTrue="1" operator="equal">
      <formula>0</formula>
    </cfRule>
  </conditionalFormatting>
  <conditionalFormatting sqref="I203">
    <cfRule type="cellIs" dxfId="1550" priority="33" stopIfTrue="1" operator="equal">
      <formula>0</formula>
    </cfRule>
  </conditionalFormatting>
  <conditionalFormatting sqref="I237">
    <cfRule type="cellIs" dxfId="1549" priority="32" stopIfTrue="1" operator="equal">
      <formula>0</formula>
    </cfRule>
  </conditionalFormatting>
  <conditionalFormatting sqref="I236">
    <cfRule type="cellIs" dxfId="1548" priority="30" stopIfTrue="1" operator="equal">
      <formula>0</formula>
    </cfRule>
  </conditionalFormatting>
  <conditionalFormatting sqref="I242">
    <cfRule type="cellIs" dxfId="1547" priority="27" stopIfTrue="1" operator="equal">
      <formula>0</formula>
    </cfRule>
  </conditionalFormatting>
  <conditionalFormatting sqref="I241">
    <cfRule type="cellIs" dxfId="1546" priority="29" stopIfTrue="1" operator="equal">
      <formula>0</formula>
    </cfRule>
  </conditionalFormatting>
  <conditionalFormatting sqref="I239">
    <cfRule type="cellIs" dxfId="1545" priority="26" stopIfTrue="1" operator="equal">
      <formula>0</formula>
    </cfRule>
  </conditionalFormatting>
  <conditionalFormatting sqref="I96">
    <cfRule type="cellIs" dxfId="1544" priority="20" stopIfTrue="1" operator="equal">
      <formula>0</formula>
    </cfRule>
  </conditionalFormatting>
  <conditionalFormatting sqref="I92">
    <cfRule type="cellIs" dxfId="1543" priority="25" stopIfTrue="1" operator="equal">
      <formula>0</formula>
    </cfRule>
  </conditionalFormatting>
  <conditionalFormatting sqref="I93">
    <cfRule type="cellIs" dxfId="1542" priority="24" stopIfTrue="1" operator="equal">
      <formula>0</formula>
    </cfRule>
  </conditionalFormatting>
  <conditionalFormatting sqref="I94">
    <cfRule type="cellIs" dxfId="1541" priority="23" stopIfTrue="1" operator="equal">
      <formula>0</formula>
    </cfRule>
  </conditionalFormatting>
  <conditionalFormatting sqref="I95">
    <cfRule type="cellIs" dxfId="1540" priority="22" stopIfTrue="1" operator="equal">
      <formula>0</formula>
    </cfRule>
  </conditionalFormatting>
  <conditionalFormatting sqref="I103">
    <cfRule type="cellIs" dxfId="1539" priority="18" stopIfTrue="1" operator="equal">
      <formula>0</formula>
    </cfRule>
  </conditionalFormatting>
  <conditionalFormatting sqref="I98">
    <cfRule type="cellIs" dxfId="1538" priority="19" stopIfTrue="1" operator="equal">
      <formula>0</formula>
    </cfRule>
  </conditionalFormatting>
  <conditionalFormatting sqref="I97">
    <cfRule type="cellIs" dxfId="1537" priority="17" stopIfTrue="1" operator="equal">
      <formula>0</formula>
    </cfRule>
  </conditionalFormatting>
  <conditionalFormatting sqref="I116">
    <cfRule type="cellIs" dxfId="1536" priority="15" stopIfTrue="1" operator="equal">
      <formula>0</formula>
    </cfRule>
  </conditionalFormatting>
  <conditionalFormatting sqref="I117">
    <cfRule type="cellIs" dxfId="1535" priority="13" stopIfTrue="1" operator="equal">
      <formula>0</formula>
    </cfRule>
  </conditionalFormatting>
  <conditionalFormatting sqref="I118">
    <cfRule type="cellIs" dxfId="1534" priority="12" stopIfTrue="1" operator="equal">
      <formula>0</formula>
    </cfRule>
  </conditionalFormatting>
  <conditionalFormatting sqref="I115">
    <cfRule type="cellIs" dxfId="1533" priority="9" stopIfTrue="1" operator="equal">
      <formula>0</formula>
    </cfRule>
  </conditionalFormatting>
  <conditionalFormatting sqref="I119">
    <cfRule type="cellIs" dxfId="1532" priority="8" stopIfTrue="1" operator="equal">
      <formula>0</formula>
    </cfRule>
  </conditionalFormatting>
  <conditionalFormatting sqref="I156">
    <cfRule type="cellIs" dxfId="1531" priority="6" stopIfTrue="1" operator="equal">
      <formula>0</formula>
    </cfRule>
  </conditionalFormatting>
  <conditionalFormatting sqref="I157">
    <cfRule type="cellIs" dxfId="1530" priority="4" stopIfTrue="1" operator="equal">
      <formula>0</formula>
    </cfRule>
  </conditionalFormatting>
  <conditionalFormatting sqref="I155">
    <cfRule type="cellIs" dxfId="1529" priority="3" stopIfTrue="1" operator="equal">
      <formula>0</formula>
    </cfRule>
  </conditionalFormatting>
  <conditionalFormatting sqref="I17">
    <cfRule type="cellIs" dxfId="1528" priority="2" stopIfTrue="1" operator="equal">
      <formula>0</formula>
    </cfRule>
  </conditionalFormatting>
  <conditionalFormatting sqref="C258:C266">
    <cfRule type="cellIs" dxfId="1527" priority="1" stopIfTrue="1" operator="equal">
      <formula>0</formula>
    </cfRule>
  </conditionalFormatting>
  <pageMargins left="0.78740157499999996" right="0.78740157499999996" top="0.984251969" bottom="0.984251969" header="0.4921259845" footer="0.4921259845"/>
  <pageSetup paperSize="9" scale="14" orientation="landscape"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28">
    <tabColor indexed="10"/>
  </sheetPr>
  <dimension ref="A1:BH806"/>
  <sheetViews>
    <sheetView zoomScale="85" zoomScaleNormal="85" workbookViewId="0">
      <pane xSplit="6" ySplit="4" topLeftCell="G5" activePane="bottomRight" state="frozen"/>
      <selection pane="topRight" activeCell="G1" sqref="G1"/>
      <selection pane="bottomLeft" activeCell="A5" sqref="A5"/>
      <selection pane="bottomRight" activeCell="A4" sqref="A4"/>
    </sheetView>
  </sheetViews>
  <sheetFormatPr baseColWidth="10" defaultRowHeight="15" x14ac:dyDescent="0.2"/>
  <cols>
    <col min="1" max="1" width="25.7109375" style="20" customWidth="1"/>
    <col min="2" max="2" width="90.7109375" style="36" customWidth="1"/>
    <col min="3" max="3" width="3.7109375" style="2315" customWidth="1"/>
    <col min="4" max="4" width="16.7109375" customWidth="1"/>
    <col min="5" max="5" width="3.7109375" style="2315" customWidth="1"/>
    <col min="6" max="6" width="14.7109375" customWidth="1"/>
    <col min="7" max="7" width="3.7109375" style="2315" customWidth="1"/>
    <col min="8" max="8" width="18.7109375" customWidth="1"/>
    <col min="9" max="9" width="3.7109375" style="2315" customWidth="1"/>
    <col min="10" max="10" width="18.7109375" customWidth="1"/>
    <col min="11" max="11" width="3.7109375" style="2315" customWidth="1"/>
    <col min="12" max="12" width="18.7109375" style="20" customWidth="1"/>
    <col min="13" max="13" width="3.7109375" style="2315" customWidth="1"/>
    <col min="14" max="14" width="18.7109375" style="1" customWidth="1"/>
    <col min="15" max="16" width="16.7109375" customWidth="1"/>
    <col min="17" max="17" width="18.7109375" style="1" customWidth="1"/>
    <col min="18" max="18" width="40.7109375" style="1" customWidth="1"/>
    <col min="19" max="19" width="18.7109375" style="1" customWidth="1"/>
    <col min="20" max="20" width="20.7109375" style="1" customWidth="1"/>
    <col min="21" max="21" width="18.7109375" style="1" customWidth="1"/>
    <col min="22" max="22" width="18.7109375" customWidth="1"/>
    <col min="23" max="26" width="20.7109375" customWidth="1"/>
    <col min="27" max="27" width="80.7109375" customWidth="1"/>
    <col min="28" max="31" width="8.7109375" customWidth="1"/>
    <col min="32" max="40" width="20.7109375" customWidth="1"/>
    <col min="41" max="44" width="12.7109375" style="123" customWidth="1"/>
    <col min="45" max="45" width="12.7109375" style="166" customWidth="1"/>
    <col min="46" max="46" width="12.7109375" style="1" customWidth="1"/>
    <col min="47" max="60" width="12.7109375" customWidth="1"/>
  </cols>
  <sheetData>
    <row r="1" spans="1:60" ht="27.75" customHeight="1" x14ac:dyDescent="0.3">
      <c r="A1" s="33" t="s">
        <v>81</v>
      </c>
      <c r="B1" s="1498" t="str">
        <f>Dateneingabe!F3</f>
        <v>05217112</v>
      </c>
      <c r="C1" s="2312"/>
      <c r="D1" s="730" t="s">
        <v>31523</v>
      </c>
      <c r="E1" s="3536"/>
      <c r="F1" s="731"/>
      <c r="G1" s="3536"/>
      <c r="H1" s="731"/>
      <c r="I1" s="3536"/>
      <c r="J1" s="731"/>
      <c r="K1" s="3536"/>
      <c r="L1" s="731"/>
      <c r="M1" s="3536"/>
      <c r="N1" s="110"/>
      <c r="O1" s="111"/>
      <c r="P1" s="27" t="s">
        <v>53</v>
      </c>
      <c r="Q1" s="27" t="s">
        <v>54</v>
      </c>
      <c r="R1" s="27" t="s">
        <v>10</v>
      </c>
      <c r="S1" s="27"/>
      <c r="T1" s="27"/>
      <c r="U1" s="27"/>
      <c r="V1" s="20"/>
      <c r="W1" s="20"/>
      <c r="X1" s="20"/>
      <c r="Y1" s="20"/>
      <c r="Z1" s="20"/>
      <c r="AA1" s="20"/>
      <c r="AB1" s="20"/>
      <c r="AC1" s="20"/>
      <c r="AD1" s="20"/>
      <c r="AE1" s="20"/>
      <c r="AF1" s="20"/>
      <c r="AG1" s="20"/>
      <c r="AH1" s="20"/>
      <c r="AI1" s="20"/>
      <c r="AJ1" s="20"/>
      <c r="AK1" s="20"/>
      <c r="AL1" s="20"/>
      <c r="AM1" s="20"/>
      <c r="AN1" s="34"/>
      <c r="AO1" s="852"/>
      <c r="AP1" s="852"/>
      <c r="AQ1" s="852"/>
      <c r="AR1" s="852"/>
      <c r="AS1" s="729"/>
    </row>
    <row r="2" spans="1:60" ht="31.7" customHeight="1" x14ac:dyDescent="0.2">
      <c r="A2" s="33" t="s">
        <v>82</v>
      </c>
      <c r="B2" s="1498" t="str">
        <f>Dateneingabe!H3</f>
        <v>200</v>
      </c>
      <c r="C2" s="2312"/>
      <c r="D2" s="112" t="s">
        <v>237</v>
      </c>
      <c r="E2" s="2316"/>
      <c r="F2" s="27"/>
      <c r="G2" s="2316"/>
      <c r="H2" s="27"/>
      <c r="I2" s="2316"/>
      <c r="J2" s="27"/>
      <c r="K2" s="2316"/>
      <c r="L2" s="27"/>
      <c r="M2" s="2316"/>
      <c r="N2" s="27"/>
      <c r="O2" s="27"/>
      <c r="P2" s="27"/>
      <c r="Q2" s="27"/>
      <c r="R2" s="27"/>
      <c r="S2" s="27"/>
      <c r="T2" s="27"/>
      <c r="U2" s="27"/>
      <c r="V2" s="20"/>
      <c r="W2" s="20"/>
      <c r="X2" s="20"/>
      <c r="Y2" s="20"/>
      <c r="Z2" s="20"/>
      <c r="AA2" s="20"/>
      <c r="AB2" s="20"/>
      <c r="AC2" s="20"/>
      <c r="AD2" s="20"/>
      <c r="AE2" s="20"/>
      <c r="AF2" s="20"/>
      <c r="AG2" s="20"/>
      <c r="AH2" s="20"/>
      <c r="AI2" s="20"/>
      <c r="AJ2" s="20"/>
      <c r="AK2" s="20"/>
      <c r="AL2" s="20"/>
      <c r="AM2" s="20"/>
      <c r="AN2" s="34"/>
      <c r="AO2" s="54">
        <v>41</v>
      </c>
      <c r="AP2" s="54">
        <v>42</v>
      </c>
      <c r="AQ2" s="54">
        <v>43</v>
      </c>
      <c r="AR2" s="54">
        <v>44</v>
      </c>
      <c r="AS2" s="54">
        <v>45</v>
      </c>
    </row>
    <row r="3" spans="1:60" ht="24.95" customHeight="1" x14ac:dyDescent="0.25">
      <c r="A3" s="33" t="s">
        <v>83</v>
      </c>
      <c r="B3" s="1498" t="str">
        <f>Dateneingabe!F5</f>
        <v>5101.002095</v>
      </c>
      <c r="C3" s="2312"/>
      <c r="D3" s="1831"/>
      <c r="E3" s="2312"/>
      <c r="F3" s="28">
        <v>6</v>
      </c>
      <c r="G3" s="2312"/>
      <c r="H3" s="28">
        <v>8</v>
      </c>
      <c r="I3" s="2312"/>
      <c r="J3" s="28">
        <v>10</v>
      </c>
      <c r="K3" s="2312"/>
      <c r="L3" s="28">
        <v>12</v>
      </c>
      <c r="M3" s="2312"/>
      <c r="N3" s="28">
        <v>14</v>
      </c>
      <c r="O3" s="20">
        <v>15</v>
      </c>
      <c r="P3" s="28">
        <v>16</v>
      </c>
      <c r="Q3" s="27">
        <v>17</v>
      </c>
      <c r="R3" s="28">
        <v>18</v>
      </c>
      <c r="S3" s="20">
        <v>19</v>
      </c>
      <c r="T3" s="28">
        <v>20</v>
      </c>
      <c r="U3" s="20">
        <v>21</v>
      </c>
      <c r="V3" s="28">
        <v>22</v>
      </c>
      <c r="W3" s="20">
        <v>23</v>
      </c>
      <c r="X3" s="28">
        <v>24</v>
      </c>
      <c r="Y3" s="20">
        <v>25</v>
      </c>
      <c r="Z3" s="28">
        <v>26</v>
      </c>
      <c r="AA3" s="20">
        <v>27</v>
      </c>
      <c r="AB3" s="28">
        <v>28</v>
      </c>
      <c r="AC3" s="20">
        <v>29</v>
      </c>
      <c r="AD3" s="28">
        <v>30</v>
      </c>
      <c r="AE3" s="20">
        <v>31</v>
      </c>
      <c r="AF3" s="28">
        <v>32</v>
      </c>
      <c r="AG3" s="20">
        <v>33</v>
      </c>
      <c r="AH3" s="28">
        <v>34</v>
      </c>
      <c r="AI3" s="20">
        <v>35</v>
      </c>
      <c r="AJ3" s="28">
        <v>36</v>
      </c>
      <c r="AK3" s="20">
        <v>37</v>
      </c>
      <c r="AL3" s="28">
        <v>38</v>
      </c>
      <c r="AM3" s="20">
        <v>39</v>
      </c>
      <c r="AN3" s="28">
        <v>40</v>
      </c>
      <c r="AO3" s="2741" t="s">
        <v>2</v>
      </c>
      <c r="AP3" s="2741"/>
      <c r="AQ3" s="2741"/>
      <c r="AR3" s="2741"/>
      <c r="AS3" s="27"/>
      <c r="AT3" s="28">
        <v>46</v>
      </c>
      <c r="AU3" s="28">
        <v>47</v>
      </c>
      <c r="AV3" s="28">
        <v>48</v>
      </c>
      <c r="AW3" s="28">
        <v>49</v>
      </c>
      <c r="AX3" s="28">
        <v>50</v>
      </c>
      <c r="AY3" s="28">
        <v>51</v>
      </c>
      <c r="AZ3" s="28">
        <v>52</v>
      </c>
      <c r="BA3" s="28">
        <v>53</v>
      </c>
      <c r="BB3" s="28">
        <v>54</v>
      </c>
      <c r="BC3" s="28">
        <v>55</v>
      </c>
      <c r="BD3" s="28">
        <v>56</v>
      </c>
      <c r="BE3" s="28">
        <v>57</v>
      </c>
      <c r="BF3" s="28">
        <v>58</v>
      </c>
      <c r="BG3" s="28">
        <v>59</v>
      </c>
      <c r="BH3" s="28">
        <v>60</v>
      </c>
    </row>
    <row r="4" spans="1:60" s="157" customFormat="1" ht="69.95" customHeight="1" x14ac:dyDescent="0.25">
      <c r="A4" s="2309" t="s">
        <v>1</v>
      </c>
      <c r="B4" s="2310" t="s">
        <v>31012</v>
      </c>
      <c r="C4" s="2313"/>
      <c r="D4" s="2311" t="s">
        <v>31011</v>
      </c>
      <c r="E4" s="2317"/>
      <c r="F4" s="2308" t="s">
        <v>31010</v>
      </c>
      <c r="G4" s="2317"/>
      <c r="H4" s="2308" t="s">
        <v>31009</v>
      </c>
      <c r="I4" s="2317"/>
      <c r="J4" s="2308" t="s">
        <v>31008</v>
      </c>
      <c r="K4" s="2317"/>
      <c r="L4" s="2308" t="s">
        <v>59</v>
      </c>
      <c r="M4" s="2317"/>
      <c r="N4" s="2308" t="s">
        <v>31013</v>
      </c>
      <c r="O4" s="2308" t="s">
        <v>31014</v>
      </c>
      <c r="P4" s="2308" t="s">
        <v>31007</v>
      </c>
      <c r="Q4" s="2308" t="s">
        <v>31006</v>
      </c>
      <c r="R4" s="2308" t="s">
        <v>31005</v>
      </c>
      <c r="S4" s="2308" t="s">
        <v>31004</v>
      </c>
      <c r="T4" s="2308" t="s">
        <v>31003</v>
      </c>
      <c r="U4" s="2308" t="s">
        <v>31002</v>
      </c>
      <c r="V4" s="2308" t="s">
        <v>31001</v>
      </c>
      <c r="W4" s="2308" t="s">
        <v>31000</v>
      </c>
      <c r="X4" s="2308" t="s">
        <v>30999</v>
      </c>
      <c r="Y4" s="2308" t="s">
        <v>31018</v>
      </c>
      <c r="Z4" s="2308" t="s">
        <v>30998</v>
      </c>
      <c r="AA4" s="2308" t="s">
        <v>30997</v>
      </c>
      <c r="AB4" s="2308"/>
      <c r="AC4" s="2308"/>
      <c r="AD4" s="2308"/>
      <c r="AE4" s="2308"/>
      <c r="AF4" s="2308" t="s">
        <v>3</v>
      </c>
      <c r="AG4" s="2308" t="s">
        <v>91</v>
      </c>
      <c r="AH4" s="2308" t="s">
        <v>31019</v>
      </c>
      <c r="AI4" s="2308" t="s">
        <v>55</v>
      </c>
      <c r="AJ4" s="2308" t="s">
        <v>107</v>
      </c>
      <c r="AK4" s="2308" t="s">
        <v>108</v>
      </c>
      <c r="AL4" s="2308" t="s">
        <v>56</v>
      </c>
      <c r="AM4" s="2308" t="s">
        <v>85</v>
      </c>
      <c r="AN4" s="2308" t="s">
        <v>80</v>
      </c>
      <c r="AO4" s="2308" t="s">
        <v>68</v>
      </c>
      <c r="AP4" s="2308" t="s">
        <v>69</v>
      </c>
      <c r="AQ4" s="2308" t="s">
        <v>67</v>
      </c>
      <c r="AR4" s="2308" t="s">
        <v>59</v>
      </c>
      <c r="AS4" s="2308" t="s">
        <v>334</v>
      </c>
      <c r="AT4" s="159"/>
      <c r="BD4" s="157" t="s">
        <v>233</v>
      </c>
      <c r="BE4" s="157">
        <v>1</v>
      </c>
      <c r="BF4" s="157" t="s">
        <v>30527</v>
      </c>
      <c r="BG4" s="157" t="s">
        <v>30528</v>
      </c>
      <c r="BH4" s="157" t="s">
        <v>30529</v>
      </c>
    </row>
    <row r="5" spans="1:60" ht="24.95" customHeight="1" x14ac:dyDescent="0.25">
      <c r="A5" s="29"/>
      <c r="B5" s="46" t="str">
        <f>IF(Liste!O5&gt;0,Liste!O5,Liste!B5)</f>
        <v>Komplettelement</v>
      </c>
      <c r="C5" s="2314"/>
      <c r="D5" s="30">
        <f>Liste!C5</f>
        <v>0</v>
      </c>
      <c r="E5" s="2314"/>
      <c r="F5" s="32">
        <f t="shared" ref="F5:F7" si="0">IF(AS5&gt;0,AO5,0)</f>
        <v>0</v>
      </c>
      <c r="G5" s="2314"/>
      <c r="H5" s="32">
        <f t="shared" ref="H5:H7" si="1">IF(N5=$P$1,0,AP5)</f>
        <v>686</v>
      </c>
      <c r="I5" s="2314"/>
      <c r="J5" s="32">
        <f t="shared" ref="J5:J7" si="2">IF(OR(N5=$P$1,N5=$Q$1),0,AQ5)</f>
        <v>1080</v>
      </c>
      <c r="K5" s="2314"/>
      <c r="L5" s="31">
        <f t="shared" ref="L5:L7" si="3">IF(OR(N5=$P$1,N5=$Q$1,$R$1=N5),0,AR5)</f>
        <v>0</v>
      </c>
      <c r="M5" s="2314"/>
      <c r="N5" s="31">
        <f>Liste!L5</f>
        <v>0</v>
      </c>
      <c r="O5" s="1102"/>
      <c r="P5" s="31"/>
      <c r="Q5" s="31">
        <f>Liste!P5</f>
        <v>0</v>
      </c>
      <c r="R5" s="31">
        <f>Liste!N5</f>
        <v>0</v>
      </c>
      <c r="S5" s="7">
        <v>0</v>
      </c>
      <c r="T5" s="7">
        <v>0</v>
      </c>
      <c r="U5" s="7">
        <v>0</v>
      </c>
      <c r="V5" s="7"/>
      <c r="W5" s="60"/>
      <c r="X5" s="60"/>
      <c r="Y5" s="60"/>
      <c r="Z5" s="7"/>
      <c r="AA5" s="7"/>
      <c r="AB5" s="7"/>
      <c r="AC5" s="7"/>
      <c r="AD5" s="7"/>
      <c r="AE5" s="7"/>
      <c r="AF5" s="7"/>
      <c r="AG5" s="7"/>
      <c r="AH5" s="7"/>
      <c r="AI5" s="7"/>
      <c r="AJ5" s="7">
        <f>Liste!X5</f>
        <v>0</v>
      </c>
      <c r="AK5" s="7">
        <f>Liste!Y5</f>
        <v>0</v>
      </c>
      <c r="AL5" s="7"/>
      <c r="AM5" s="7"/>
      <c r="AN5" s="7"/>
      <c r="AO5" s="1113">
        <f>Liste!D5</f>
        <v>1</v>
      </c>
      <c r="AP5" s="1113">
        <f>Liste!F5</f>
        <v>686</v>
      </c>
      <c r="AQ5" s="1113">
        <f>Liste!E5</f>
        <v>1080</v>
      </c>
      <c r="AR5" s="1113">
        <f>Liste!G5</f>
        <v>0</v>
      </c>
      <c r="AS5" s="1112">
        <f>Liste!V5</f>
        <v>0</v>
      </c>
      <c r="AT5" s="1">
        <f>Liste!M5</f>
        <v>0</v>
      </c>
      <c r="AZ5" s="5" t="s">
        <v>19</v>
      </c>
      <c r="BA5" s="4" t="s">
        <v>101</v>
      </c>
      <c r="BB5" s="4">
        <v>509</v>
      </c>
      <c r="BD5" s="35"/>
      <c r="BE5" s="35"/>
      <c r="BF5" s="2118">
        <f>Liste!R5</f>
        <v>0</v>
      </c>
      <c r="BG5" s="2137">
        <f>IF(AS5&gt;0,Liste!S5,0)</f>
        <v>0</v>
      </c>
      <c r="BH5" s="2118">
        <f>Liste!T5</f>
        <v>0</v>
      </c>
    </row>
    <row r="6" spans="1:60" ht="24.95" customHeight="1" x14ac:dyDescent="0.25">
      <c r="A6" s="29"/>
      <c r="B6" s="46" t="str">
        <f>IF(Liste!O6&gt;0,Liste!O6,Liste!B6)</f>
        <v>5</v>
      </c>
      <c r="C6" s="2314"/>
      <c r="D6" s="30" t="str">
        <f>Liste!C6</f>
        <v>0202003</v>
      </c>
      <c r="E6" s="2314"/>
      <c r="F6" s="32">
        <f t="shared" si="0"/>
        <v>2</v>
      </c>
      <c r="G6" s="2314"/>
      <c r="H6" s="32">
        <f t="shared" si="1"/>
        <v>686</v>
      </c>
      <c r="I6" s="2314"/>
      <c r="J6" s="32">
        <f t="shared" si="2"/>
        <v>1080</v>
      </c>
      <c r="K6" s="2314"/>
      <c r="L6" s="31">
        <f t="shared" si="3"/>
        <v>6</v>
      </c>
      <c r="M6" s="2314"/>
      <c r="N6" s="2117" t="str">
        <f>Liste!L6</f>
        <v>MM2</v>
      </c>
      <c r="O6" s="1102"/>
      <c r="P6" s="31"/>
      <c r="Q6" s="31" t="str">
        <f>Liste!P6</f>
        <v>A</v>
      </c>
      <c r="R6" s="31" t="str">
        <f>Liste!N6</f>
        <v>Komplettelement Aussenlagen</v>
      </c>
      <c r="S6" s="7">
        <v>0</v>
      </c>
      <c r="T6" s="7">
        <v>0</v>
      </c>
      <c r="U6" s="7">
        <v>0</v>
      </c>
      <c r="V6" s="7"/>
      <c r="W6" s="60"/>
      <c r="X6" s="60"/>
      <c r="Y6" s="60"/>
      <c r="Z6" s="7"/>
      <c r="AA6" s="7"/>
      <c r="AB6" s="60"/>
      <c r="AC6" s="60"/>
      <c r="AD6" s="60"/>
      <c r="AE6" s="7"/>
      <c r="AF6" s="7"/>
      <c r="AG6" s="7"/>
      <c r="AH6" s="7"/>
      <c r="AI6" s="7"/>
      <c r="AJ6" s="7">
        <f>Liste!X6</f>
        <v>0</v>
      </c>
      <c r="AK6" s="7">
        <f>Liste!Y6</f>
        <v>0</v>
      </c>
      <c r="AL6" s="7"/>
      <c r="AM6" s="7"/>
      <c r="AN6" s="7"/>
      <c r="AO6" s="1113">
        <f>Liste!D6</f>
        <v>2</v>
      </c>
      <c r="AP6" s="1113">
        <f>Liste!F6</f>
        <v>686</v>
      </c>
      <c r="AQ6" s="1113">
        <f>Liste!E6</f>
        <v>1080</v>
      </c>
      <c r="AR6" s="1113">
        <f>Liste!G6</f>
        <v>6</v>
      </c>
      <c r="AS6" s="1112">
        <f>Liste!V6</f>
        <v>1</v>
      </c>
      <c r="AT6" s="1">
        <f>Liste!M6</f>
        <v>0</v>
      </c>
      <c r="AZ6" s="5" t="s">
        <v>20</v>
      </c>
      <c r="BA6" s="4" t="s">
        <v>101</v>
      </c>
      <c r="BB6" s="4">
        <v>510</v>
      </c>
      <c r="BD6" s="35"/>
      <c r="BE6" s="35"/>
      <c r="BF6" s="2118" t="str">
        <f>Liste!R6</f>
        <v>0202003</v>
      </c>
      <c r="BG6" s="2137">
        <f>IF(AS6&gt;0,Liste!S6,0)</f>
        <v>1.4817600000000002</v>
      </c>
      <c r="BH6" s="2118" t="str">
        <f>Liste!T6</f>
        <v>m²</v>
      </c>
    </row>
    <row r="7" spans="1:60" ht="24.95" customHeight="1" x14ac:dyDescent="0.25">
      <c r="A7" s="29"/>
      <c r="B7" s="46">
        <f>IF(Liste!O7&gt;0,Liste!O7,Liste!B7)</f>
        <v>6</v>
      </c>
      <c r="C7" s="2314"/>
      <c r="D7" s="30" t="str">
        <f>Liste!C7</f>
        <v>0202003</v>
      </c>
      <c r="E7" s="2314"/>
      <c r="F7" s="32">
        <f t="shared" si="0"/>
        <v>0</v>
      </c>
      <c r="G7" s="2314"/>
      <c r="H7" s="32">
        <f t="shared" si="1"/>
        <v>686</v>
      </c>
      <c r="I7" s="2314"/>
      <c r="J7" s="32">
        <f t="shared" si="2"/>
        <v>0</v>
      </c>
      <c r="K7" s="2314"/>
      <c r="L7" s="31">
        <f t="shared" si="3"/>
        <v>6</v>
      </c>
      <c r="M7" s="2314"/>
      <c r="N7" s="31" t="str">
        <f>Liste!L7</f>
        <v>MM2</v>
      </c>
      <c r="O7" s="31"/>
      <c r="P7" s="31"/>
      <c r="Q7" s="31" t="str">
        <f>Liste!P7</f>
        <v>A</v>
      </c>
      <c r="R7" s="31" t="str">
        <f>Liste!N7</f>
        <v>Komplettelement Aussenlagen</v>
      </c>
      <c r="S7" s="7">
        <v>0</v>
      </c>
      <c r="T7" s="7">
        <v>0</v>
      </c>
      <c r="U7" s="7">
        <v>0</v>
      </c>
      <c r="V7" s="7"/>
      <c r="W7" s="60"/>
      <c r="X7" s="60"/>
      <c r="Y7" s="60"/>
      <c r="Z7" s="7"/>
      <c r="AA7" s="7"/>
      <c r="AB7" s="60"/>
      <c r="AC7" s="60"/>
      <c r="AD7" s="60"/>
      <c r="AE7" s="7"/>
      <c r="AF7" s="7"/>
      <c r="AG7" s="7"/>
      <c r="AH7" s="7"/>
      <c r="AI7" s="7"/>
      <c r="AJ7" s="7">
        <f>Liste!X7</f>
        <v>0</v>
      </c>
      <c r="AK7" s="7">
        <f>Liste!Y7</f>
        <v>0</v>
      </c>
      <c r="AL7" s="7"/>
      <c r="AM7" s="7"/>
      <c r="AN7" s="7"/>
      <c r="AO7" s="1113">
        <f>Liste!D7</f>
        <v>0</v>
      </c>
      <c r="AP7" s="1113">
        <f>Liste!F7</f>
        <v>686</v>
      </c>
      <c r="AQ7" s="1113">
        <f>Liste!E7</f>
        <v>0</v>
      </c>
      <c r="AR7" s="1113">
        <f>Liste!G7</f>
        <v>6</v>
      </c>
      <c r="AS7" s="1112">
        <f>Liste!V7</f>
        <v>1</v>
      </c>
      <c r="AT7" s="1">
        <f>Liste!M7</f>
        <v>0</v>
      </c>
      <c r="AZ7" s="5" t="s">
        <v>21</v>
      </c>
      <c r="BA7" s="4" t="s">
        <v>101</v>
      </c>
      <c r="BB7" s="4">
        <v>511</v>
      </c>
      <c r="BD7" s="35"/>
      <c r="BE7" s="35"/>
      <c r="BF7" s="2118" t="str">
        <f>Liste!R7</f>
        <v>0202003</v>
      </c>
      <c r="BG7" s="2137">
        <f>IF(AS7&gt;0,Liste!S7,0)</f>
        <v>0</v>
      </c>
      <c r="BH7" s="2118" t="str">
        <f>Liste!T7</f>
        <v>m²</v>
      </c>
    </row>
    <row r="8" spans="1:60" ht="24.95" customHeight="1" x14ac:dyDescent="0.25">
      <c r="A8" s="29"/>
      <c r="B8" s="46">
        <f>IF(Liste!O8&gt;0,Liste!O8,Liste!B8)</f>
        <v>3</v>
      </c>
      <c r="C8" s="2314"/>
      <c r="D8" s="30" t="str">
        <f>Liste!C8</f>
        <v>0202018</v>
      </c>
      <c r="E8" s="2314"/>
      <c r="F8" s="32">
        <f t="shared" ref="F8:F71" si="4">IF(AS8&gt;0,AO8,0)</f>
        <v>2</v>
      </c>
      <c r="G8" s="2314"/>
      <c r="H8" s="32">
        <f t="shared" ref="H8:H71" si="5">IF(N8=$P$1,0,AP8)</f>
        <v>686</v>
      </c>
      <c r="I8" s="2314"/>
      <c r="J8" s="32">
        <f t="shared" ref="J8:J71" si="6">IF(OR(N8=$P$1,N8=$Q$1),0,AQ8)</f>
        <v>1080</v>
      </c>
      <c r="K8" s="2314"/>
      <c r="L8" s="31">
        <f t="shared" ref="L8:L71" si="7">IF(OR(N8=$P$1,N8=$Q$1,$R$1=N8),0,AR8)</f>
        <v>18</v>
      </c>
      <c r="M8" s="2314"/>
      <c r="N8" s="31" t="str">
        <f>Liste!L8</f>
        <v>MM2</v>
      </c>
      <c r="O8" s="31"/>
      <c r="P8" s="31"/>
      <c r="Q8" s="31" t="str">
        <f>Liste!P8</f>
        <v>A</v>
      </c>
      <c r="R8" s="31" t="str">
        <f>Liste!N8</f>
        <v>Komplettelement Innenlagen</v>
      </c>
      <c r="S8" s="7">
        <v>0</v>
      </c>
      <c r="T8" s="7">
        <v>0</v>
      </c>
      <c r="U8" s="7">
        <v>0</v>
      </c>
      <c r="V8" s="7"/>
      <c r="W8" s="60"/>
      <c r="X8" s="60"/>
      <c r="Y8" s="60"/>
      <c r="Z8" s="7"/>
      <c r="AA8" s="7"/>
      <c r="AB8" s="60"/>
      <c r="AC8" s="60"/>
      <c r="AD8" s="60"/>
      <c r="AE8" s="7"/>
      <c r="AF8" s="7"/>
      <c r="AG8" s="7"/>
      <c r="AH8" s="7"/>
      <c r="AI8" s="7"/>
      <c r="AJ8" s="7">
        <f>Liste!X8</f>
        <v>0</v>
      </c>
      <c r="AK8" s="7">
        <f>Liste!Y8</f>
        <v>0</v>
      </c>
      <c r="AL8" s="7"/>
      <c r="AM8" s="7"/>
      <c r="AN8" s="7"/>
      <c r="AO8" s="1113">
        <f>Liste!D8</f>
        <v>2</v>
      </c>
      <c r="AP8" s="1113">
        <f>Liste!F8</f>
        <v>686</v>
      </c>
      <c r="AQ8" s="1113">
        <f>Liste!E8</f>
        <v>1080</v>
      </c>
      <c r="AR8" s="1113">
        <f>Liste!G8</f>
        <v>18</v>
      </c>
      <c r="AS8" s="1112">
        <f>Liste!V8</f>
        <v>1</v>
      </c>
      <c r="AT8" s="1">
        <f>Liste!M8</f>
        <v>0</v>
      </c>
      <c r="AZ8" s="5" t="s">
        <v>22</v>
      </c>
      <c r="BA8" s="4" t="s">
        <v>101</v>
      </c>
      <c r="BB8" s="4">
        <v>512</v>
      </c>
      <c r="BD8" s="35"/>
      <c r="BE8" s="35"/>
      <c r="BF8" s="2118" t="str">
        <f>Liste!R8</f>
        <v>0202018</v>
      </c>
      <c r="BG8" s="2137">
        <f>IF(AS8&gt;0,Liste!S8,0)</f>
        <v>1.4817600000000002</v>
      </c>
      <c r="BH8" s="2118" t="str">
        <f>Liste!T8</f>
        <v>m²</v>
      </c>
    </row>
    <row r="9" spans="1:60" ht="24.95" customHeight="1" x14ac:dyDescent="0.25">
      <c r="A9" s="29"/>
      <c r="B9" s="46">
        <f>IF(Liste!O9&gt;0,Liste!O9,Liste!B9)</f>
        <v>4</v>
      </c>
      <c r="C9" s="2314"/>
      <c r="D9" s="30" t="str">
        <f>Liste!C9</f>
        <v>0202018</v>
      </c>
      <c r="E9" s="2314"/>
      <c r="F9" s="32">
        <f t="shared" si="4"/>
        <v>0</v>
      </c>
      <c r="G9" s="2314"/>
      <c r="H9" s="32">
        <f t="shared" si="5"/>
        <v>686</v>
      </c>
      <c r="I9" s="2314"/>
      <c r="J9" s="32">
        <f t="shared" si="6"/>
        <v>0</v>
      </c>
      <c r="K9" s="2314"/>
      <c r="L9" s="31">
        <f t="shared" si="7"/>
        <v>18</v>
      </c>
      <c r="M9" s="2314"/>
      <c r="N9" s="31" t="str">
        <f>Liste!L9</f>
        <v>MM2</v>
      </c>
      <c r="O9" s="31"/>
      <c r="P9" s="31"/>
      <c r="Q9" s="31" t="str">
        <f>Liste!P9</f>
        <v>A</v>
      </c>
      <c r="R9" s="31" t="str">
        <f>Liste!N9</f>
        <v>Komplettelement Innenlagen</v>
      </c>
      <c r="S9" s="7">
        <v>0</v>
      </c>
      <c r="T9" s="7">
        <v>0</v>
      </c>
      <c r="U9" s="7">
        <v>0</v>
      </c>
      <c r="V9" s="7"/>
      <c r="W9" s="60"/>
      <c r="X9" s="60"/>
      <c r="Y9" s="60"/>
      <c r="Z9" s="7"/>
      <c r="AA9" s="7"/>
      <c r="AB9" s="60"/>
      <c r="AC9" s="60"/>
      <c r="AD9" s="60"/>
      <c r="AE9" s="7"/>
      <c r="AF9" s="7"/>
      <c r="AG9" s="7"/>
      <c r="AH9" s="7"/>
      <c r="AI9" s="7"/>
      <c r="AJ9" s="7">
        <f>Liste!X9</f>
        <v>0</v>
      </c>
      <c r="AK9" s="7">
        <f>Liste!Y9</f>
        <v>0</v>
      </c>
      <c r="AL9" s="7"/>
      <c r="AM9" s="7"/>
      <c r="AN9" s="7"/>
      <c r="AO9" s="1113">
        <f>Liste!D9</f>
        <v>0</v>
      </c>
      <c r="AP9" s="1113">
        <f>Liste!F9</f>
        <v>686</v>
      </c>
      <c r="AQ9" s="1113">
        <f>Liste!E9</f>
        <v>0</v>
      </c>
      <c r="AR9" s="1113">
        <f>Liste!G9</f>
        <v>18</v>
      </c>
      <c r="AS9" s="1112">
        <f>Liste!V9</f>
        <v>1</v>
      </c>
      <c r="AT9" s="1">
        <f>Liste!M9</f>
        <v>0</v>
      </c>
      <c r="AZ9" s="5" t="s">
        <v>23</v>
      </c>
      <c r="BA9" s="4" t="s">
        <v>101</v>
      </c>
      <c r="BB9" s="4">
        <v>513</v>
      </c>
      <c r="BD9" s="35"/>
      <c r="BE9" s="35"/>
      <c r="BF9" s="2118" t="str">
        <f>Liste!R9</f>
        <v>0202018</v>
      </c>
      <c r="BG9" s="2137">
        <f>IF(AS9&gt;0,Liste!S9,0)</f>
        <v>0</v>
      </c>
      <c r="BH9" s="2118" t="str">
        <f>Liste!T9</f>
        <v>m²</v>
      </c>
    </row>
    <row r="10" spans="1:60" ht="24.95" customHeight="1" x14ac:dyDescent="0.25">
      <c r="A10" s="29"/>
      <c r="B10" s="46" t="str">
        <f>IF(Liste!O10&gt;0,Liste!O10,Liste!B10)</f>
        <v>Schieberelementblechinnenlage oben / Komplett verzinkt</v>
      </c>
      <c r="C10" s="2314"/>
      <c r="D10" s="30" t="str">
        <f>Liste!C10</f>
        <v>0308094</v>
      </c>
      <c r="E10" s="2314"/>
      <c r="F10" s="32">
        <f t="shared" si="4"/>
        <v>1</v>
      </c>
      <c r="G10" s="2314"/>
      <c r="H10" s="32">
        <f t="shared" si="5"/>
        <v>0</v>
      </c>
      <c r="I10" s="2314"/>
      <c r="J10" s="32">
        <f t="shared" si="6"/>
        <v>0</v>
      </c>
      <c r="K10" s="2314"/>
      <c r="L10" s="31">
        <f t="shared" si="7"/>
        <v>0</v>
      </c>
      <c r="M10" s="2314"/>
      <c r="N10" s="31" t="str">
        <f>Liste!L10</f>
        <v>Stk</v>
      </c>
      <c r="O10" s="31"/>
      <c r="P10" s="31"/>
      <c r="Q10" s="31">
        <f>Liste!P10</f>
        <v>0</v>
      </c>
      <c r="R10" s="31">
        <f>Liste!N10</f>
        <v>0</v>
      </c>
      <c r="S10" s="7">
        <v>0</v>
      </c>
      <c r="T10" s="7">
        <v>0</v>
      </c>
      <c r="U10" s="7">
        <v>0</v>
      </c>
      <c r="V10" s="7"/>
      <c r="W10" s="60"/>
      <c r="X10" s="60"/>
      <c r="Y10" s="60"/>
      <c r="Z10" s="7"/>
      <c r="AA10" s="7"/>
      <c r="AB10" s="60"/>
      <c r="AC10" s="60"/>
      <c r="AD10" s="60"/>
      <c r="AE10" s="7"/>
      <c r="AF10" s="7"/>
      <c r="AG10" s="7"/>
      <c r="AH10" s="7"/>
      <c r="AI10" s="7"/>
      <c r="AJ10" s="7">
        <f>Liste!X10</f>
        <v>0</v>
      </c>
      <c r="AK10" s="7">
        <f>Liste!Y10</f>
        <v>1</v>
      </c>
      <c r="AL10" s="7"/>
      <c r="AM10" s="7"/>
      <c r="AN10" s="7"/>
      <c r="AO10" s="1113">
        <f>Liste!D10</f>
        <v>1</v>
      </c>
      <c r="AP10" s="1113">
        <f>Liste!F10</f>
        <v>685</v>
      </c>
      <c r="AQ10" s="1113">
        <f>Liste!E10</f>
        <v>1080</v>
      </c>
      <c r="AR10" s="1113">
        <f>Liste!G10</f>
        <v>1</v>
      </c>
      <c r="AS10" s="1112">
        <f>Liste!V10</f>
        <v>1</v>
      </c>
      <c r="AT10" s="1" t="str">
        <f>Liste!M10</f>
        <v>1.0250(S320GD+Z275MA-C)</v>
      </c>
      <c r="AZ10" s="5" t="s">
        <v>24</v>
      </c>
      <c r="BA10" s="4" t="s">
        <v>101</v>
      </c>
      <c r="BB10" s="4">
        <v>514</v>
      </c>
      <c r="BD10" s="35"/>
      <c r="BE10" s="35"/>
      <c r="BF10" s="2118" t="str">
        <f>Liste!R10</f>
        <v>0701544</v>
      </c>
      <c r="BG10" s="2137">
        <f>IF(AS10&gt;0,Liste!S10,0)</f>
        <v>0.73980000000000012</v>
      </c>
      <c r="BH10" s="2118" t="str">
        <f>Liste!T10</f>
        <v>m²</v>
      </c>
    </row>
    <row r="11" spans="1:60" ht="24.95" customHeight="1" x14ac:dyDescent="0.25">
      <c r="A11" s="29"/>
      <c r="B11" s="46" t="str">
        <f>IF(Liste!O11&gt;0,Liste!O11,Liste!B11)</f>
        <v>Schieberelementblechinnenlage oben / Komplett V2A</v>
      </c>
      <c r="C11" s="2314"/>
      <c r="D11" s="30" t="str">
        <f>Liste!C11</f>
        <v>0338094</v>
      </c>
      <c r="E11" s="2314"/>
      <c r="F11" s="32">
        <f t="shared" si="4"/>
        <v>0</v>
      </c>
      <c r="G11" s="2314"/>
      <c r="H11" s="32">
        <f t="shared" si="5"/>
        <v>0</v>
      </c>
      <c r="I11" s="2314"/>
      <c r="J11" s="32">
        <f t="shared" si="6"/>
        <v>0</v>
      </c>
      <c r="K11" s="2314"/>
      <c r="L11" s="31">
        <f t="shared" si="7"/>
        <v>0</v>
      </c>
      <c r="M11" s="2314"/>
      <c r="N11" s="31" t="str">
        <f>Liste!L11</f>
        <v>Stk</v>
      </c>
      <c r="O11" s="31"/>
      <c r="P11" s="31"/>
      <c r="Q11" s="31">
        <f>Liste!P11</f>
        <v>0</v>
      </c>
      <c r="R11" s="31">
        <f>Liste!N11</f>
        <v>0</v>
      </c>
      <c r="S11" s="7">
        <v>0</v>
      </c>
      <c r="T11" s="7">
        <v>0</v>
      </c>
      <c r="U11" s="7">
        <v>0</v>
      </c>
      <c r="V11" s="7"/>
      <c r="W11" s="60"/>
      <c r="X11" s="60"/>
      <c r="Y11" s="60"/>
      <c r="Z11" s="7"/>
      <c r="AA11" s="7"/>
      <c r="AB11" s="60"/>
      <c r="AC11" s="60"/>
      <c r="AD11" s="60"/>
      <c r="AE11" s="7"/>
      <c r="AF11" s="7"/>
      <c r="AG11" s="7"/>
      <c r="AH11" s="7"/>
      <c r="AI11" s="7"/>
      <c r="AJ11" s="7">
        <f>Liste!X11</f>
        <v>0</v>
      </c>
      <c r="AK11" s="7">
        <f>Liste!Y11</f>
        <v>1</v>
      </c>
      <c r="AL11" s="7"/>
      <c r="AM11" s="7"/>
      <c r="AN11" s="7"/>
      <c r="AO11" s="1113">
        <f>Liste!D11</f>
        <v>0</v>
      </c>
      <c r="AP11" s="1113">
        <f>Liste!F11</f>
        <v>685</v>
      </c>
      <c r="AQ11" s="1113">
        <f>Liste!E11</f>
        <v>1080</v>
      </c>
      <c r="AR11" s="1113">
        <f>Liste!G11</f>
        <v>1</v>
      </c>
      <c r="AS11" s="1112">
        <f>Liste!V11</f>
        <v>1</v>
      </c>
      <c r="AT11" s="1" t="str">
        <f>Liste!M11</f>
        <v>V2A blank</v>
      </c>
      <c r="AZ11" s="5" t="s">
        <v>25</v>
      </c>
      <c r="BA11" s="4" t="s">
        <v>101</v>
      </c>
      <c r="BB11" s="4">
        <v>515</v>
      </c>
      <c r="BD11" s="35"/>
      <c r="BE11" s="35"/>
      <c r="BF11" s="2118" t="str">
        <f>Liste!R11</f>
        <v>0701479</v>
      </c>
      <c r="BG11" s="2137">
        <f>IF(AS11&gt;0,Liste!S11,0)</f>
        <v>0</v>
      </c>
      <c r="BH11" s="2118" t="str">
        <f>Liste!T11</f>
        <v>m²</v>
      </c>
    </row>
    <row r="12" spans="1:60" ht="24.95" customHeight="1" x14ac:dyDescent="0.25">
      <c r="A12" s="29"/>
      <c r="B12" s="46" t="str">
        <f>IF(Liste!O12&gt;0,Liste!O12,Liste!B12)</f>
        <v>Verkleidungsblech Komplettelement Doppelgurtanbindung r0 vorn verzinkt</v>
      </c>
      <c r="C12" s="2314"/>
      <c r="D12" s="30" t="str">
        <f>Liste!C12</f>
        <v>0308297</v>
      </c>
      <c r="E12" s="2314"/>
      <c r="F12" s="32">
        <f t="shared" si="4"/>
        <v>0</v>
      </c>
      <c r="G12" s="2314"/>
      <c r="H12" s="32">
        <f t="shared" si="5"/>
        <v>0</v>
      </c>
      <c r="I12" s="2314"/>
      <c r="J12" s="32">
        <f t="shared" si="6"/>
        <v>0</v>
      </c>
      <c r="K12" s="2314"/>
      <c r="L12" s="31">
        <f t="shared" si="7"/>
        <v>0</v>
      </c>
      <c r="M12" s="2314"/>
      <c r="N12" s="31" t="str">
        <f>Liste!L12</f>
        <v>Stk</v>
      </c>
      <c r="O12" s="31"/>
      <c r="P12" s="31"/>
      <c r="Q12" s="31">
        <f>Liste!P12</f>
        <v>0</v>
      </c>
      <c r="R12" s="31">
        <f>Liste!N12</f>
        <v>0</v>
      </c>
      <c r="S12" s="7">
        <v>0</v>
      </c>
      <c r="T12" s="7">
        <v>0</v>
      </c>
      <c r="U12" s="7">
        <v>0</v>
      </c>
      <c r="V12" s="7"/>
      <c r="W12" s="60"/>
      <c r="X12" s="60"/>
      <c r="Y12" s="60"/>
      <c r="Z12" s="7"/>
      <c r="AA12" s="7"/>
      <c r="AB12" s="60"/>
      <c r="AC12" s="60"/>
      <c r="AD12" s="60"/>
      <c r="AE12" s="7"/>
      <c r="AF12" s="7"/>
      <c r="AG12" s="7"/>
      <c r="AH12" s="7"/>
      <c r="AI12" s="7"/>
      <c r="AJ12" s="7">
        <f>Liste!X12</f>
        <v>0</v>
      </c>
      <c r="AK12" s="7">
        <f>Liste!Y12</f>
        <v>1</v>
      </c>
      <c r="AL12" s="7"/>
      <c r="AM12" s="7"/>
      <c r="AN12" s="7"/>
      <c r="AO12" s="1113">
        <f>Liste!D12</f>
        <v>0</v>
      </c>
      <c r="AP12" s="1113">
        <f>Liste!F12</f>
        <v>709.03</v>
      </c>
      <c r="AQ12" s="1113">
        <f>Liste!E12</f>
        <v>1080</v>
      </c>
      <c r="AR12" s="1113">
        <f>Liste!G12</f>
        <v>0.75</v>
      </c>
      <c r="AS12" s="1112">
        <f>Liste!V12</f>
        <v>1</v>
      </c>
      <c r="AT12" s="1" t="str">
        <f>Liste!M12</f>
        <v>Stahlblech verz.</v>
      </c>
      <c r="AZ12" s="5" t="s">
        <v>102</v>
      </c>
      <c r="BA12" s="4" t="s">
        <v>101</v>
      </c>
      <c r="BB12" s="4">
        <v>516</v>
      </c>
      <c r="BD12" s="35"/>
      <c r="BE12" s="35"/>
      <c r="BF12" s="2118" t="str">
        <f>Liste!R12</f>
        <v>0701446</v>
      </c>
      <c r="BG12" s="2137">
        <f>IF(AS12&gt;0,Liste!S12,0)</f>
        <v>0</v>
      </c>
      <c r="BH12" s="2118" t="str">
        <f>Liste!T12</f>
        <v>m²</v>
      </c>
    </row>
    <row r="13" spans="1:60" ht="24.95" customHeight="1" x14ac:dyDescent="0.25">
      <c r="A13" s="29"/>
      <c r="B13" s="46" t="str">
        <f>IF(Liste!O13&gt;0,Liste!O13,Liste!B13)</f>
        <v>Verkleidungsblech Komplettelement Doppelgurtanbindung r0 vorn V2A</v>
      </c>
      <c r="C13" s="2314"/>
      <c r="D13" s="30" t="str">
        <f>Liste!C13</f>
        <v>0338297</v>
      </c>
      <c r="E13" s="2314"/>
      <c r="F13" s="32">
        <f t="shared" si="4"/>
        <v>0</v>
      </c>
      <c r="G13" s="2314"/>
      <c r="H13" s="32">
        <f t="shared" si="5"/>
        <v>0</v>
      </c>
      <c r="I13" s="2314"/>
      <c r="J13" s="32">
        <f t="shared" si="6"/>
        <v>0</v>
      </c>
      <c r="K13" s="2314"/>
      <c r="L13" s="31">
        <f t="shared" si="7"/>
        <v>0</v>
      </c>
      <c r="M13" s="2314"/>
      <c r="N13" s="31" t="str">
        <f>Liste!L13</f>
        <v>Stk</v>
      </c>
      <c r="O13" s="31"/>
      <c r="P13" s="31"/>
      <c r="Q13" s="31">
        <f>Liste!P13</f>
        <v>0</v>
      </c>
      <c r="R13" s="31">
        <f>Liste!N13</f>
        <v>0</v>
      </c>
      <c r="S13" s="7">
        <v>0</v>
      </c>
      <c r="T13" s="7">
        <v>0</v>
      </c>
      <c r="U13" s="7">
        <v>0</v>
      </c>
      <c r="V13" s="7"/>
      <c r="W13" s="60"/>
      <c r="X13" s="60"/>
      <c r="Y13" s="60"/>
      <c r="Z13" s="7"/>
      <c r="AA13" s="7"/>
      <c r="AB13" s="60"/>
      <c r="AC13" s="60"/>
      <c r="AD13" s="60"/>
      <c r="AE13" s="7"/>
      <c r="AF13" s="7"/>
      <c r="AG13" s="7"/>
      <c r="AH13" s="7"/>
      <c r="AI13" s="7"/>
      <c r="AJ13" s="7">
        <f>Liste!X13</f>
        <v>0</v>
      </c>
      <c r="AK13" s="7">
        <f>Liste!Y13</f>
        <v>1</v>
      </c>
      <c r="AL13" s="7"/>
      <c r="AM13" s="7"/>
      <c r="AN13" s="7"/>
      <c r="AO13" s="1113">
        <f>Liste!D13</f>
        <v>0</v>
      </c>
      <c r="AP13" s="1113">
        <f>Liste!F13</f>
        <v>708.81999999999994</v>
      </c>
      <c r="AQ13" s="1113">
        <f>Liste!E13</f>
        <v>1080</v>
      </c>
      <c r="AR13" s="1113">
        <f>Liste!G13</f>
        <v>0.8</v>
      </c>
      <c r="AS13" s="1112">
        <f>Liste!V13</f>
        <v>1</v>
      </c>
      <c r="AT13" s="1" t="str">
        <f>Liste!M13</f>
        <v>V2A blank</v>
      </c>
      <c r="AZ13" s="5" t="s">
        <v>26</v>
      </c>
      <c r="BA13" s="4" t="s">
        <v>101</v>
      </c>
      <c r="BB13" s="4">
        <v>517</v>
      </c>
      <c r="BD13" s="35"/>
      <c r="BE13" s="35"/>
      <c r="BF13" s="2118" t="str">
        <f>Liste!R13</f>
        <v>0701478</v>
      </c>
      <c r="BG13" s="2137">
        <f>IF(AS13&gt;0,Liste!S13,0)</f>
        <v>0</v>
      </c>
      <c r="BH13" s="2118" t="str">
        <f>Liste!T13</f>
        <v>m²</v>
      </c>
    </row>
    <row r="14" spans="1:60" ht="24.95" customHeight="1" x14ac:dyDescent="0.25">
      <c r="A14" s="29"/>
      <c r="B14" s="46" t="str">
        <f>IF(Liste!O14&gt;0,Liste!O14,Liste!B14)</f>
        <v>Verkleidungsblech Komplettelement Einzelgurtanbindung r0 vorn verzinkt</v>
      </c>
      <c r="C14" s="2314"/>
      <c r="D14" s="30" t="str">
        <f>Liste!C14</f>
        <v>0308298</v>
      </c>
      <c r="E14" s="2314"/>
      <c r="F14" s="32">
        <f t="shared" si="4"/>
        <v>0</v>
      </c>
      <c r="G14" s="2314"/>
      <c r="H14" s="32">
        <f t="shared" si="5"/>
        <v>0</v>
      </c>
      <c r="I14" s="2314"/>
      <c r="J14" s="32">
        <f t="shared" si="6"/>
        <v>0</v>
      </c>
      <c r="K14" s="2314"/>
      <c r="L14" s="31">
        <f t="shared" si="7"/>
        <v>0</v>
      </c>
      <c r="M14" s="2314"/>
      <c r="N14" s="31" t="str">
        <f>Liste!L14</f>
        <v>Stk</v>
      </c>
      <c r="O14" s="31"/>
      <c r="P14" s="31"/>
      <c r="Q14" s="31">
        <f>Liste!P14</f>
        <v>0</v>
      </c>
      <c r="R14" s="31">
        <f>Liste!N14</f>
        <v>0</v>
      </c>
      <c r="S14" s="7">
        <v>0</v>
      </c>
      <c r="T14" s="7">
        <v>0</v>
      </c>
      <c r="U14" s="7">
        <v>0</v>
      </c>
      <c r="V14" s="7"/>
      <c r="W14" s="60"/>
      <c r="X14" s="60"/>
      <c r="Y14" s="60"/>
      <c r="Z14" s="7"/>
      <c r="AA14" s="7"/>
      <c r="AB14" s="60"/>
      <c r="AC14" s="60"/>
      <c r="AD14" s="60"/>
      <c r="AE14" s="7"/>
      <c r="AF14" s="7"/>
      <c r="AG14" s="7"/>
      <c r="AH14" s="7"/>
      <c r="AI14" s="7"/>
      <c r="AJ14" s="7">
        <f>Liste!X14</f>
        <v>0</v>
      </c>
      <c r="AK14" s="7">
        <f>Liste!Y14</f>
        <v>1</v>
      </c>
      <c r="AL14" s="7"/>
      <c r="AM14" s="7"/>
      <c r="AN14" s="7"/>
      <c r="AO14" s="1113">
        <f>Liste!D14</f>
        <v>0</v>
      </c>
      <c r="AP14" s="1113">
        <f>Liste!F14</f>
        <v>709.03</v>
      </c>
      <c r="AQ14" s="1113">
        <f>Liste!E14</f>
        <v>1080</v>
      </c>
      <c r="AR14" s="1113">
        <f>Liste!G14</f>
        <v>0.75</v>
      </c>
      <c r="AS14" s="1112">
        <f>Liste!V14</f>
        <v>1</v>
      </c>
      <c r="AT14" s="1" t="str">
        <f>Liste!M14</f>
        <v>Stahlblech verz.</v>
      </c>
      <c r="AZ14" s="5" t="s">
        <v>27</v>
      </c>
      <c r="BA14" s="4" t="s">
        <v>101</v>
      </c>
      <c r="BB14" s="4">
        <v>518</v>
      </c>
      <c r="BD14" s="35"/>
      <c r="BE14" s="35"/>
      <c r="BF14" s="2118" t="str">
        <f>Liste!R14</f>
        <v>0701446</v>
      </c>
      <c r="BG14" s="2137">
        <f>IF(AS14&gt;0,Liste!S14,0)</f>
        <v>0</v>
      </c>
      <c r="BH14" s="2118" t="str">
        <f>Liste!T14</f>
        <v>m²</v>
      </c>
    </row>
    <row r="15" spans="1:60" ht="24.95" customHeight="1" x14ac:dyDescent="0.25">
      <c r="A15" s="29"/>
      <c r="B15" s="46" t="str">
        <f>IF(Liste!O15&gt;0,Liste!O15,Liste!B15)</f>
        <v>Verkleidungsblech Komplettelement Einzelgurtanbindung r0 vorn V2A</v>
      </c>
      <c r="C15" s="2314"/>
      <c r="D15" s="30" t="str">
        <f>Liste!C15</f>
        <v>0338298</v>
      </c>
      <c r="E15" s="2314"/>
      <c r="F15" s="32">
        <f t="shared" si="4"/>
        <v>0</v>
      </c>
      <c r="G15" s="2314"/>
      <c r="H15" s="32">
        <f t="shared" si="5"/>
        <v>0</v>
      </c>
      <c r="I15" s="2314"/>
      <c r="J15" s="32">
        <f t="shared" si="6"/>
        <v>0</v>
      </c>
      <c r="K15" s="2314"/>
      <c r="L15" s="31">
        <f t="shared" si="7"/>
        <v>0</v>
      </c>
      <c r="M15" s="2314"/>
      <c r="N15" s="31" t="str">
        <f>Liste!L15</f>
        <v>Stk</v>
      </c>
      <c r="O15" s="31"/>
      <c r="P15" s="31"/>
      <c r="Q15" s="31">
        <f>Liste!P15</f>
        <v>0</v>
      </c>
      <c r="R15" s="31">
        <f>Liste!N15</f>
        <v>0</v>
      </c>
      <c r="S15" s="7">
        <v>0</v>
      </c>
      <c r="T15" s="7">
        <v>0</v>
      </c>
      <c r="U15" s="7">
        <v>0</v>
      </c>
      <c r="V15" s="7"/>
      <c r="W15" s="60"/>
      <c r="X15" s="60"/>
      <c r="Y15" s="60"/>
      <c r="Z15" s="7"/>
      <c r="AA15" s="7"/>
      <c r="AB15" s="60"/>
      <c r="AC15" s="60"/>
      <c r="AD15" s="60"/>
      <c r="AE15" s="7"/>
      <c r="AF15" s="7"/>
      <c r="AG15" s="7"/>
      <c r="AH15" s="7"/>
      <c r="AI15" s="7"/>
      <c r="AJ15" s="7">
        <f>Liste!X15</f>
        <v>0</v>
      </c>
      <c r="AK15" s="7">
        <f>Liste!Y15</f>
        <v>1</v>
      </c>
      <c r="AL15" s="7"/>
      <c r="AM15" s="7"/>
      <c r="AN15" s="7"/>
      <c r="AO15" s="1113">
        <f>Liste!D15</f>
        <v>0</v>
      </c>
      <c r="AP15" s="1113">
        <f>Liste!F15</f>
        <v>708.81999999999994</v>
      </c>
      <c r="AQ15" s="1113">
        <f>Liste!E15</f>
        <v>1080</v>
      </c>
      <c r="AR15" s="1113">
        <f>Liste!G15</f>
        <v>0.8</v>
      </c>
      <c r="AS15" s="1112">
        <f>Liste!V15</f>
        <v>1</v>
      </c>
      <c r="AT15" s="1" t="str">
        <f>Liste!M15</f>
        <v>V2A blank</v>
      </c>
      <c r="AZ15" s="5" t="s">
        <v>28</v>
      </c>
      <c r="BA15" s="4" t="s">
        <v>101</v>
      </c>
      <c r="BB15" s="4">
        <v>519</v>
      </c>
      <c r="BD15" s="35"/>
      <c r="BE15" s="35"/>
      <c r="BF15" s="2118" t="str">
        <f>Liste!R15</f>
        <v>0701478</v>
      </c>
      <c r="BG15" s="2137">
        <f>IF(AS15&gt;0,Liste!S15,0)</f>
        <v>0</v>
      </c>
      <c r="BH15" s="2118" t="str">
        <f>Liste!T15</f>
        <v>m²</v>
      </c>
    </row>
    <row r="16" spans="1:60" ht="24.95" customHeight="1" x14ac:dyDescent="0.25">
      <c r="A16" s="29"/>
      <c r="B16" s="46" t="str">
        <f>IF(Liste!O16&gt;0,Liste!O16,Liste!B16)</f>
        <v>Verkleidungsblech Komplettelement Doppelgurtanbindung Aufdop. vorn verzinkt</v>
      </c>
      <c r="C16" s="2314"/>
      <c r="D16" s="30" t="str">
        <f>Liste!C16</f>
        <v>0308299</v>
      </c>
      <c r="E16" s="2314"/>
      <c r="F16" s="32">
        <f t="shared" si="4"/>
        <v>0</v>
      </c>
      <c r="G16" s="2314"/>
      <c r="H16" s="32">
        <f t="shared" si="5"/>
        <v>0</v>
      </c>
      <c r="I16" s="2314"/>
      <c r="J16" s="32">
        <f t="shared" si="6"/>
        <v>0</v>
      </c>
      <c r="K16" s="2314"/>
      <c r="L16" s="31">
        <f t="shared" si="7"/>
        <v>0</v>
      </c>
      <c r="M16" s="2314"/>
      <c r="N16" s="31" t="str">
        <f>Liste!L16</f>
        <v>Stk</v>
      </c>
      <c r="O16" s="31"/>
      <c r="P16" s="31"/>
      <c r="Q16" s="31">
        <f>Liste!P16</f>
        <v>0</v>
      </c>
      <c r="R16" s="31">
        <f>Liste!N16</f>
        <v>0</v>
      </c>
      <c r="S16" s="7">
        <v>0</v>
      </c>
      <c r="T16" s="7">
        <v>0</v>
      </c>
      <c r="U16" s="7">
        <v>0</v>
      </c>
      <c r="V16" s="7"/>
      <c r="W16" s="60"/>
      <c r="X16" s="60"/>
      <c r="Y16" s="60"/>
      <c r="Z16" s="7"/>
      <c r="AA16" s="7"/>
      <c r="AB16" s="60"/>
      <c r="AC16" s="60"/>
      <c r="AD16" s="60"/>
      <c r="AE16" s="7"/>
      <c r="AF16" s="7"/>
      <c r="AG16" s="7"/>
      <c r="AH16" s="7"/>
      <c r="AI16" s="7"/>
      <c r="AJ16" s="7">
        <f>Liste!X16</f>
        <v>0</v>
      </c>
      <c r="AK16" s="7">
        <f>Liste!Y16</f>
        <v>1</v>
      </c>
      <c r="AL16" s="7"/>
      <c r="AM16" s="7"/>
      <c r="AN16" s="7"/>
      <c r="AO16" s="1113">
        <f>Liste!D16</f>
        <v>0</v>
      </c>
      <c r="AP16" s="1113">
        <f>Liste!F16</f>
        <v>709.03</v>
      </c>
      <c r="AQ16" s="1113">
        <f>Liste!E16</f>
        <v>1080</v>
      </c>
      <c r="AR16" s="1113">
        <f>Liste!G16</f>
        <v>0.75</v>
      </c>
      <c r="AS16" s="1112">
        <f>Liste!V16</f>
        <v>1</v>
      </c>
      <c r="AT16" s="1" t="str">
        <f>Liste!M16</f>
        <v>Stahlblech verz.</v>
      </c>
      <c r="AZ16" s="5" t="s">
        <v>29</v>
      </c>
      <c r="BA16" s="4" t="s">
        <v>101</v>
      </c>
      <c r="BB16" s="4">
        <v>520</v>
      </c>
      <c r="BD16" s="35"/>
      <c r="BE16" s="35"/>
      <c r="BF16" s="2118" t="str">
        <f>Liste!R16</f>
        <v>0701446</v>
      </c>
      <c r="BG16" s="2137">
        <f>IF(AS16&gt;0,Liste!S16,0)</f>
        <v>0</v>
      </c>
      <c r="BH16" s="2118" t="str">
        <f>Liste!T16</f>
        <v>m²</v>
      </c>
    </row>
    <row r="17" spans="1:60" ht="24.95" customHeight="1" x14ac:dyDescent="0.25">
      <c r="A17" s="29"/>
      <c r="B17" s="46" t="str">
        <f>IF(Liste!O17&gt;0,Liste!O17,Liste!B17)</f>
        <v>Verkleidungsblech Komplettelement Doppelgurtanbindung Aufdop. vorn V2A</v>
      </c>
      <c r="C17" s="2314"/>
      <c r="D17" s="30" t="str">
        <f>Liste!C17</f>
        <v>0338299</v>
      </c>
      <c r="E17" s="2314"/>
      <c r="F17" s="32">
        <f t="shared" si="4"/>
        <v>0</v>
      </c>
      <c r="G17" s="2314"/>
      <c r="H17" s="32">
        <f t="shared" si="5"/>
        <v>0</v>
      </c>
      <c r="I17" s="2314"/>
      <c r="J17" s="32">
        <f t="shared" si="6"/>
        <v>0</v>
      </c>
      <c r="K17" s="2314"/>
      <c r="L17" s="31">
        <f t="shared" si="7"/>
        <v>0</v>
      </c>
      <c r="M17" s="2314"/>
      <c r="N17" s="31" t="str">
        <f>Liste!L17</f>
        <v>Stk</v>
      </c>
      <c r="O17" s="31"/>
      <c r="P17" s="31"/>
      <c r="Q17" s="31">
        <f>Liste!P17</f>
        <v>0</v>
      </c>
      <c r="R17" s="31">
        <f>Liste!N17</f>
        <v>0</v>
      </c>
      <c r="S17" s="7">
        <v>0</v>
      </c>
      <c r="T17" s="7">
        <v>0</v>
      </c>
      <c r="U17" s="7">
        <v>0</v>
      </c>
      <c r="V17" s="7"/>
      <c r="W17" s="60"/>
      <c r="X17" s="60"/>
      <c r="Y17" s="60"/>
      <c r="Z17" s="7"/>
      <c r="AA17" s="7"/>
      <c r="AB17" s="60"/>
      <c r="AC17" s="60"/>
      <c r="AD17" s="60"/>
      <c r="AE17" s="7"/>
      <c r="AF17" s="7"/>
      <c r="AG17" s="7"/>
      <c r="AH17" s="7"/>
      <c r="AI17" s="7"/>
      <c r="AJ17" s="7">
        <f>Liste!X17</f>
        <v>0</v>
      </c>
      <c r="AK17" s="7">
        <f>Liste!Y17</f>
        <v>1</v>
      </c>
      <c r="AL17" s="7"/>
      <c r="AM17" s="7"/>
      <c r="AN17" s="7"/>
      <c r="AO17" s="1113">
        <f>Liste!D17</f>
        <v>0</v>
      </c>
      <c r="AP17" s="1113">
        <f>Liste!F17</f>
        <v>708.81999999999994</v>
      </c>
      <c r="AQ17" s="1113">
        <f>Liste!E17</f>
        <v>1080</v>
      </c>
      <c r="AR17" s="1113">
        <f>Liste!G17</f>
        <v>0.8</v>
      </c>
      <c r="AS17" s="1112">
        <f>Liste!V17</f>
        <v>1</v>
      </c>
      <c r="AT17" s="1" t="str">
        <f>Liste!M17</f>
        <v>V2A blank</v>
      </c>
      <c r="AZ17" s="5" t="s">
        <v>30</v>
      </c>
      <c r="BA17" s="4" t="s">
        <v>101</v>
      </c>
      <c r="BB17" s="4">
        <v>521</v>
      </c>
      <c r="BD17" s="35"/>
      <c r="BE17" s="35"/>
      <c r="BF17" s="2118" t="str">
        <f>Liste!R17</f>
        <v>0701478</v>
      </c>
      <c r="BG17" s="2137">
        <f>IF(AS17&gt;0,Liste!S17,0)</f>
        <v>0</v>
      </c>
      <c r="BH17" s="2118" t="str">
        <f>Liste!T17</f>
        <v>m²</v>
      </c>
    </row>
    <row r="18" spans="1:60" ht="24.95" customHeight="1" x14ac:dyDescent="0.25">
      <c r="A18" s="29"/>
      <c r="B18" s="46" t="str">
        <f>IF(Liste!O18&gt;0,Liste!O18,Liste!B18)</f>
        <v>Verkleidungsblech Komplettelement Einzelgurtanbindung Aufdop. vorn verzinkt</v>
      </c>
      <c r="C18" s="2314"/>
      <c r="D18" s="30" t="str">
        <f>Liste!C18</f>
        <v>0308300</v>
      </c>
      <c r="E18" s="2314"/>
      <c r="F18" s="32">
        <f t="shared" si="4"/>
        <v>0</v>
      </c>
      <c r="G18" s="2314"/>
      <c r="H18" s="32">
        <f t="shared" si="5"/>
        <v>0</v>
      </c>
      <c r="I18" s="2314"/>
      <c r="J18" s="32">
        <f t="shared" si="6"/>
        <v>0</v>
      </c>
      <c r="K18" s="2314"/>
      <c r="L18" s="31">
        <f t="shared" si="7"/>
        <v>0</v>
      </c>
      <c r="M18" s="2314"/>
      <c r="N18" s="31" t="str">
        <f>Liste!L18</f>
        <v>Stk</v>
      </c>
      <c r="O18" s="31"/>
      <c r="P18" s="31"/>
      <c r="Q18" s="31">
        <f>Liste!P18</f>
        <v>0</v>
      </c>
      <c r="R18" s="31">
        <f>Liste!N18</f>
        <v>0</v>
      </c>
      <c r="S18" s="7">
        <v>0</v>
      </c>
      <c r="T18" s="7">
        <v>0</v>
      </c>
      <c r="U18" s="7">
        <v>0</v>
      </c>
      <c r="V18" s="7"/>
      <c r="W18" s="60"/>
      <c r="X18" s="60"/>
      <c r="Y18" s="60"/>
      <c r="Z18" s="7"/>
      <c r="AA18" s="7"/>
      <c r="AB18" s="60"/>
      <c r="AC18" s="60"/>
      <c r="AD18" s="60"/>
      <c r="AE18" s="7"/>
      <c r="AF18" s="7"/>
      <c r="AG18" s="7"/>
      <c r="AH18" s="7"/>
      <c r="AI18" s="7"/>
      <c r="AJ18" s="7">
        <f>Liste!X18</f>
        <v>0</v>
      </c>
      <c r="AK18" s="7">
        <f>Liste!Y18</f>
        <v>1</v>
      </c>
      <c r="AL18" s="7"/>
      <c r="AM18" s="7"/>
      <c r="AN18" s="7"/>
      <c r="AO18" s="1113">
        <f>Liste!D18</f>
        <v>0</v>
      </c>
      <c r="AP18" s="1113">
        <f>Liste!F18</f>
        <v>709.03</v>
      </c>
      <c r="AQ18" s="1113">
        <f>Liste!E18</f>
        <v>1080</v>
      </c>
      <c r="AR18" s="1113">
        <f>Liste!G18</f>
        <v>0.75</v>
      </c>
      <c r="AS18" s="1112">
        <f>Liste!V18</f>
        <v>1</v>
      </c>
      <c r="AT18" s="1" t="str">
        <f>Liste!M18</f>
        <v>Stahlblech verz.</v>
      </c>
      <c r="AZ18" s="5" t="s">
        <v>31</v>
      </c>
      <c r="BA18" s="4" t="s">
        <v>101</v>
      </c>
      <c r="BB18" s="4">
        <v>522</v>
      </c>
      <c r="BD18" s="35"/>
      <c r="BE18" s="35"/>
      <c r="BF18" s="2118" t="str">
        <f>Liste!R18</f>
        <v>0701446</v>
      </c>
      <c r="BG18" s="2137">
        <f>IF(AS18&gt;0,Liste!S18,0)</f>
        <v>0</v>
      </c>
      <c r="BH18" s="2118" t="str">
        <f>Liste!T18</f>
        <v>m²</v>
      </c>
    </row>
    <row r="19" spans="1:60" ht="24.95" customHeight="1" x14ac:dyDescent="0.25">
      <c r="A19" s="29"/>
      <c r="B19" s="46" t="str">
        <f>IF(Liste!O19&gt;0,Liste!O19,Liste!B19)</f>
        <v>Verkleidungsblech Komplettelement Einzelgurtanbindung Aufdop. vorn V2A</v>
      </c>
      <c r="C19" s="2314"/>
      <c r="D19" s="30" t="str">
        <f>Liste!C19</f>
        <v>0338300</v>
      </c>
      <c r="E19" s="2314"/>
      <c r="F19" s="32">
        <f t="shared" si="4"/>
        <v>0</v>
      </c>
      <c r="G19" s="2314"/>
      <c r="H19" s="32">
        <f t="shared" si="5"/>
        <v>0</v>
      </c>
      <c r="I19" s="2314"/>
      <c r="J19" s="32">
        <f t="shared" si="6"/>
        <v>0</v>
      </c>
      <c r="K19" s="2314"/>
      <c r="L19" s="31">
        <f t="shared" si="7"/>
        <v>0</v>
      </c>
      <c r="M19" s="2314"/>
      <c r="N19" s="31" t="str">
        <f>Liste!L19</f>
        <v>Stk</v>
      </c>
      <c r="O19" s="31"/>
      <c r="P19" s="31"/>
      <c r="Q19" s="31">
        <f>Liste!P19</f>
        <v>0</v>
      </c>
      <c r="R19" s="31">
        <f>Liste!N19</f>
        <v>0</v>
      </c>
      <c r="S19" s="7">
        <v>0</v>
      </c>
      <c r="T19" s="7">
        <v>0</v>
      </c>
      <c r="U19" s="7">
        <v>0</v>
      </c>
      <c r="V19" s="7"/>
      <c r="W19" s="60"/>
      <c r="X19" s="60"/>
      <c r="Y19" s="60"/>
      <c r="Z19" s="7"/>
      <c r="AA19" s="7"/>
      <c r="AB19" s="60"/>
      <c r="AC19" s="60"/>
      <c r="AD19" s="60"/>
      <c r="AE19" s="7"/>
      <c r="AF19" s="7"/>
      <c r="AG19" s="7"/>
      <c r="AH19" s="7"/>
      <c r="AI19" s="7"/>
      <c r="AJ19" s="7">
        <f>Liste!X19</f>
        <v>0</v>
      </c>
      <c r="AK19" s="7">
        <f>Liste!Y19</f>
        <v>1</v>
      </c>
      <c r="AL19" s="7"/>
      <c r="AM19" s="7"/>
      <c r="AN19" s="7"/>
      <c r="AO19" s="1113">
        <f>Liste!D19</f>
        <v>0</v>
      </c>
      <c r="AP19" s="1113">
        <f>Liste!F19</f>
        <v>708.81999999999994</v>
      </c>
      <c r="AQ19" s="1113">
        <f>Liste!E19</f>
        <v>1080</v>
      </c>
      <c r="AR19" s="1113">
        <f>Liste!G19</f>
        <v>0.8</v>
      </c>
      <c r="AS19" s="1112">
        <f>Liste!V19</f>
        <v>1</v>
      </c>
      <c r="AT19" s="1" t="str">
        <f>Liste!M19</f>
        <v>V2A blank</v>
      </c>
      <c r="AZ19" s="5" t="s">
        <v>32</v>
      </c>
      <c r="BA19" s="4" t="s">
        <v>101</v>
      </c>
      <c r="BB19" s="4">
        <v>523</v>
      </c>
      <c r="BD19" s="35"/>
      <c r="BE19" s="35"/>
      <c r="BF19" s="2118" t="str">
        <f>Liste!R19</f>
        <v>0701478</v>
      </c>
      <c r="BG19" s="2137">
        <f>IF(AS19&gt;0,Liste!S19,0)</f>
        <v>0</v>
      </c>
      <c r="BH19" s="2118" t="str">
        <f>Liste!T19</f>
        <v>m²</v>
      </c>
    </row>
    <row r="20" spans="1:60" ht="24.95" customHeight="1" x14ac:dyDescent="0.25">
      <c r="A20" s="29"/>
      <c r="B20" s="46" t="str">
        <f>IF(Liste!O20&gt;0,Liste!O20,Liste!B20)</f>
        <v>Verkleidungsblech Komplettelement Doppelgurtanbindung Aufdop. 150 vorn verzinkt</v>
      </c>
      <c r="C20" s="2314"/>
      <c r="D20" s="30" t="str">
        <f>Liste!C20</f>
        <v>0308368</v>
      </c>
      <c r="E20" s="2314"/>
      <c r="F20" s="32">
        <f t="shared" si="4"/>
        <v>0</v>
      </c>
      <c r="G20" s="2314"/>
      <c r="H20" s="32">
        <f t="shared" si="5"/>
        <v>0</v>
      </c>
      <c r="I20" s="2314"/>
      <c r="J20" s="32">
        <f t="shared" si="6"/>
        <v>0</v>
      </c>
      <c r="K20" s="2314"/>
      <c r="L20" s="31">
        <f t="shared" si="7"/>
        <v>0</v>
      </c>
      <c r="M20" s="2314"/>
      <c r="N20" s="31" t="str">
        <f>Liste!L20</f>
        <v>Stk</v>
      </c>
      <c r="O20" s="31"/>
      <c r="P20" s="31"/>
      <c r="Q20" s="31">
        <f>Liste!P20</f>
        <v>0</v>
      </c>
      <c r="R20" s="31">
        <f>Liste!N20</f>
        <v>0</v>
      </c>
      <c r="S20" s="7">
        <v>0</v>
      </c>
      <c r="T20" s="7">
        <v>0</v>
      </c>
      <c r="U20" s="7">
        <v>0</v>
      </c>
      <c r="V20" s="7"/>
      <c r="W20" s="60"/>
      <c r="X20" s="60"/>
      <c r="Y20" s="60"/>
      <c r="Z20" s="7"/>
      <c r="AA20" s="7"/>
      <c r="AB20" s="60"/>
      <c r="AC20" s="60"/>
      <c r="AD20" s="60"/>
      <c r="AE20" s="7"/>
      <c r="AF20" s="7"/>
      <c r="AG20" s="7"/>
      <c r="AH20" s="7"/>
      <c r="AI20" s="7"/>
      <c r="AJ20" s="7">
        <f>Liste!X20</f>
        <v>0</v>
      </c>
      <c r="AK20" s="7">
        <f>Liste!Y20</f>
        <v>1</v>
      </c>
      <c r="AL20" s="7"/>
      <c r="AM20" s="7"/>
      <c r="AN20" s="7"/>
      <c r="AO20" s="1113">
        <f>Liste!D20</f>
        <v>0</v>
      </c>
      <c r="AP20" s="1113">
        <f>Liste!F20</f>
        <v>709.03</v>
      </c>
      <c r="AQ20" s="1113">
        <f>Liste!E20</f>
        <v>1080</v>
      </c>
      <c r="AR20" s="1113">
        <f>Liste!G20</f>
        <v>0.75</v>
      </c>
      <c r="AS20" s="1112">
        <f>Liste!V20</f>
        <v>1</v>
      </c>
      <c r="AT20" s="1" t="str">
        <f>Liste!M20</f>
        <v>Stahlblech verz.</v>
      </c>
      <c r="AZ20" s="5" t="s">
        <v>33</v>
      </c>
      <c r="BA20" s="4" t="s">
        <v>101</v>
      </c>
      <c r="BB20" s="4">
        <v>524</v>
      </c>
      <c r="BD20" s="35"/>
      <c r="BE20" s="35"/>
      <c r="BF20" s="2118" t="str">
        <f>Liste!R20</f>
        <v>0701446</v>
      </c>
      <c r="BG20" s="2137">
        <f>IF(AS20&gt;0,Liste!S20,0)</f>
        <v>0</v>
      </c>
      <c r="BH20" s="2118" t="str">
        <f>Liste!T20</f>
        <v>m²</v>
      </c>
    </row>
    <row r="21" spans="1:60" ht="24.95" customHeight="1" x14ac:dyDescent="0.25">
      <c r="A21" s="29"/>
      <c r="B21" s="46" t="str">
        <f>IF(Liste!O21&gt;0,Liste!O21,Liste!B21)</f>
        <v>Verkleidungsblech Komplettelement Doppelgurtanbindung Aufdop. 150 vorn V2A</v>
      </c>
      <c r="C21" s="2314"/>
      <c r="D21" s="30" t="str">
        <f>Liste!C21</f>
        <v>0338368</v>
      </c>
      <c r="E21" s="2314"/>
      <c r="F21" s="32">
        <f t="shared" si="4"/>
        <v>0</v>
      </c>
      <c r="G21" s="2314"/>
      <c r="H21" s="32">
        <f t="shared" si="5"/>
        <v>0</v>
      </c>
      <c r="I21" s="2314"/>
      <c r="J21" s="32">
        <f t="shared" si="6"/>
        <v>0</v>
      </c>
      <c r="K21" s="2314"/>
      <c r="L21" s="31">
        <f t="shared" si="7"/>
        <v>0</v>
      </c>
      <c r="M21" s="2314"/>
      <c r="N21" s="31" t="str">
        <f>Liste!L21</f>
        <v>Stk</v>
      </c>
      <c r="O21" s="31"/>
      <c r="P21" s="31"/>
      <c r="Q21" s="31">
        <f>Liste!P21</f>
        <v>0</v>
      </c>
      <c r="R21" s="31">
        <f>Liste!N21</f>
        <v>0</v>
      </c>
      <c r="S21" s="7">
        <v>0</v>
      </c>
      <c r="T21" s="7">
        <v>0</v>
      </c>
      <c r="U21" s="7">
        <v>0</v>
      </c>
      <c r="V21" s="7"/>
      <c r="W21" s="60"/>
      <c r="X21" s="60"/>
      <c r="Y21" s="60"/>
      <c r="Z21" s="7"/>
      <c r="AA21" s="7"/>
      <c r="AB21" s="60"/>
      <c r="AC21" s="60"/>
      <c r="AD21" s="60"/>
      <c r="AE21" s="7"/>
      <c r="AF21" s="7"/>
      <c r="AG21" s="7"/>
      <c r="AH21" s="7"/>
      <c r="AI21" s="7"/>
      <c r="AJ21" s="7">
        <f>Liste!X21</f>
        <v>0</v>
      </c>
      <c r="AK21" s="7">
        <f>Liste!Y21</f>
        <v>1</v>
      </c>
      <c r="AL21" s="7"/>
      <c r="AM21" s="7"/>
      <c r="AN21" s="7"/>
      <c r="AO21" s="1113">
        <f>Liste!D21</f>
        <v>0</v>
      </c>
      <c r="AP21" s="1113">
        <f>Liste!F21</f>
        <v>708.81999999999994</v>
      </c>
      <c r="AQ21" s="1113">
        <f>Liste!E21</f>
        <v>1080</v>
      </c>
      <c r="AR21" s="1113">
        <f>Liste!G21</f>
        <v>0.8</v>
      </c>
      <c r="AS21" s="1112">
        <f>Liste!V21</f>
        <v>1</v>
      </c>
      <c r="AT21" s="1" t="str">
        <f>Liste!M21</f>
        <v>V2A blank</v>
      </c>
      <c r="AZ21" s="5" t="s">
        <v>34</v>
      </c>
      <c r="BA21" s="4" t="s">
        <v>101</v>
      </c>
      <c r="BB21" s="4">
        <v>525</v>
      </c>
      <c r="BD21" s="35"/>
      <c r="BE21" s="35"/>
      <c r="BF21" s="2118" t="str">
        <f>Liste!R21</f>
        <v>0701478</v>
      </c>
      <c r="BG21" s="2137">
        <f>IF(AS21&gt;0,Liste!S21,0)</f>
        <v>0</v>
      </c>
      <c r="BH21" s="2118" t="str">
        <f>Liste!T21</f>
        <v>m²</v>
      </c>
    </row>
    <row r="22" spans="1:60" ht="24.95" customHeight="1" x14ac:dyDescent="0.25">
      <c r="A22" s="29"/>
      <c r="B22" s="46" t="str">
        <f>IF(Liste!O22&gt;0,Liste!O22,Liste!B22)</f>
        <v>Verkleidungsblech Komplettelement Einzelgurtanbindung Aufdop. 150 vorn verzinkt</v>
      </c>
      <c r="C22" s="2314"/>
      <c r="D22" s="30" t="str">
        <f>Liste!C22</f>
        <v>0308369</v>
      </c>
      <c r="E22" s="2314"/>
      <c r="F22" s="32">
        <f t="shared" si="4"/>
        <v>0</v>
      </c>
      <c r="G22" s="2314"/>
      <c r="H22" s="32">
        <f t="shared" si="5"/>
        <v>0</v>
      </c>
      <c r="I22" s="2314"/>
      <c r="J22" s="32">
        <f t="shared" si="6"/>
        <v>0</v>
      </c>
      <c r="K22" s="2314"/>
      <c r="L22" s="31">
        <f t="shared" si="7"/>
        <v>0</v>
      </c>
      <c r="M22" s="2314"/>
      <c r="N22" s="31" t="str">
        <f>Liste!L22</f>
        <v>Stk</v>
      </c>
      <c r="O22" s="31"/>
      <c r="P22" s="31"/>
      <c r="Q22" s="31">
        <f>Liste!P22</f>
        <v>0</v>
      </c>
      <c r="R22" s="31">
        <f>Liste!N22</f>
        <v>0</v>
      </c>
      <c r="S22" s="7">
        <v>0</v>
      </c>
      <c r="T22" s="7">
        <v>0</v>
      </c>
      <c r="U22" s="7">
        <v>0</v>
      </c>
      <c r="V22" s="7"/>
      <c r="W22" s="60"/>
      <c r="X22" s="60"/>
      <c r="Y22" s="60"/>
      <c r="Z22" s="7"/>
      <c r="AA22" s="7"/>
      <c r="AB22" s="60"/>
      <c r="AC22" s="60"/>
      <c r="AD22" s="60"/>
      <c r="AE22" s="7"/>
      <c r="AF22" s="7"/>
      <c r="AG22" s="7"/>
      <c r="AH22" s="7"/>
      <c r="AI22" s="7"/>
      <c r="AJ22" s="7">
        <f>Liste!X22</f>
        <v>0</v>
      </c>
      <c r="AK22" s="7">
        <f>Liste!Y22</f>
        <v>1</v>
      </c>
      <c r="AL22" s="7"/>
      <c r="AM22" s="7"/>
      <c r="AN22" s="7"/>
      <c r="AO22" s="1113">
        <f>Liste!D22</f>
        <v>0</v>
      </c>
      <c r="AP22" s="1113">
        <f>Liste!F22</f>
        <v>709.03</v>
      </c>
      <c r="AQ22" s="1113">
        <f>Liste!E22</f>
        <v>1080</v>
      </c>
      <c r="AR22" s="1113">
        <f>Liste!G22</f>
        <v>0.75</v>
      </c>
      <c r="AS22" s="1112">
        <f>Liste!V22</f>
        <v>1</v>
      </c>
      <c r="AT22" s="1" t="str">
        <f>Liste!M22</f>
        <v>Stahlblech verz.</v>
      </c>
      <c r="AZ22" s="5" t="s">
        <v>35</v>
      </c>
      <c r="BA22" s="4" t="s">
        <v>101</v>
      </c>
      <c r="BB22" s="4">
        <v>526</v>
      </c>
      <c r="BD22" s="35"/>
      <c r="BE22" s="35"/>
      <c r="BF22" s="2118" t="str">
        <f>Liste!R22</f>
        <v>0701446</v>
      </c>
      <c r="BG22" s="2137">
        <f>IF(AS22&gt;0,Liste!S22,0)</f>
        <v>0</v>
      </c>
      <c r="BH22" s="2118" t="str">
        <f>Liste!T22</f>
        <v>m²</v>
      </c>
    </row>
    <row r="23" spans="1:60" ht="24.95" customHeight="1" x14ac:dyDescent="0.25">
      <c r="A23" s="29"/>
      <c r="B23" s="46" t="str">
        <f>IF(Liste!O23&gt;0,Liste!O23,Liste!B23)</f>
        <v>Verkleidungsblech Komplettelement Einzelgurtanbindung Aufdop. 150 vorn V2A</v>
      </c>
      <c r="C23" s="2314"/>
      <c r="D23" s="30" t="str">
        <f>Liste!C23</f>
        <v>0338369</v>
      </c>
      <c r="E23" s="2314"/>
      <c r="F23" s="32">
        <f t="shared" si="4"/>
        <v>0</v>
      </c>
      <c r="G23" s="2314"/>
      <c r="H23" s="32">
        <f t="shared" si="5"/>
        <v>0</v>
      </c>
      <c r="I23" s="2314"/>
      <c r="J23" s="32">
        <f t="shared" si="6"/>
        <v>0</v>
      </c>
      <c r="K23" s="2314"/>
      <c r="L23" s="31">
        <f t="shared" si="7"/>
        <v>0</v>
      </c>
      <c r="M23" s="2314"/>
      <c r="N23" s="31" t="str">
        <f>Liste!L23</f>
        <v>Stk</v>
      </c>
      <c r="O23" s="31"/>
      <c r="P23" s="31"/>
      <c r="Q23" s="31">
        <f>Liste!P23</f>
        <v>0</v>
      </c>
      <c r="R23" s="31">
        <f>Liste!N23</f>
        <v>0</v>
      </c>
      <c r="S23" s="7">
        <v>0</v>
      </c>
      <c r="T23" s="7">
        <v>0</v>
      </c>
      <c r="U23" s="7">
        <v>0</v>
      </c>
      <c r="V23" s="7"/>
      <c r="W23" s="60"/>
      <c r="X23" s="60"/>
      <c r="Y23" s="60"/>
      <c r="Z23" s="7"/>
      <c r="AA23" s="7"/>
      <c r="AB23" s="60"/>
      <c r="AC23" s="60"/>
      <c r="AD23" s="60"/>
      <c r="AE23" s="7"/>
      <c r="AF23" s="7"/>
      <c r="AG23" s="7"/>
      <c r="AH23" s="7"/>
      <c r="AI23" s="7"/>
      <c r="AJ23" s="7">
        <f>Liste!X23</f>
        <v>0</v>
      </c>
      <c r="AK23" s="7">
        <f>Liste!Y23</f>
        <v>1</v>
      </c>
      <c r="AL23" s="7"/>
      <c r="AM23" s="7"/>
      <c r="AN23" s="7"/>
      <c r="AO23" s="1113">
        <f>Liste!D23</f>
        <v>0</v>
      </c>
      <c r="AP23" s="1113">
        <f>Liste!F23</f>
        <v>708.81999999999994</v>
      </c>
      <c r="AQ23" s="1113">
        <f>Liste!E23</f>
        <v>1080</v>
      </c>
      <c r="AR23" s="1113">
        <f>Liste!G23</f>
        <v>0.8</v>
      </c>
      <c r="AS23" s="1112">
        <f>Liste!V23</f>
        <v>1</v>
      </c>
      <c r="AT23" s="1" t="str">
        <f>Liste!M23</f>
        <v>V2A blank</v>
      </c>
      <c r="AZ23" s="5" t="s">
        <v>36</v>
      </c>
      <c r="BA23" s="4" t="s">
        <v>101</v>
      </c>
      <c r="BB23" s="4">
        <v>527</v>
      </c>
      <c r="BD23" s="35"/>
      <c r="BE23" s="35"/>
      <c r="BF23" s="2118" t="str">
        <f>Liste!R23</f>
        <v>0701478</v>
      </c>
      <c r="BG23" s="2137">
        <f>IF(AS23&gt;0,Liste!S23,0)</f>
        <v>0</v>
      </c>
      <c r="BH23" s="2118" t="str">
        <f>Liste!T23</f>
        <v>m²</v>
      </c>
    </row>
    <row r="24" spans="1:60" ht="24.95" customHeight="1" x14ac:dyDescent="0.25">
      <c r="A24" s="29"/>
      <c r="B24" s="46" t="str">
        <f>IF(Liste!O24&gt;0,Liste!O24,Liste!B24)</f>
        <v>Verkleidungsblech verzinkt GCC (Komplettelement hinten)</v>
      </c>
      <c r="C24" s="2314"/>
      <c r="D24" s="30" t="str">
        <f>Liste!C24</f>
        <v>0308338</v>
      </c>
      <c r="E24" s="2314"/>
      <c r="F24" s="32">
        <f t="shared" si="4"/>
        <v>0</v>
      </c>
      <c r="G24" s="2314"/>
      <c r="H24" s="32">
        <f t="shared" si="5"/>
        <v>0</v>
      </c>
      <c r="I24" s="2314"/>
      <c r="J24" s="32">
        <f t="shared" si="6"/>
        <v>0</v>
      </c>
      <c r="K24" s="2314"/>
      <c r="L24" s="31">
        <f t="shared" si="7"/>
        <v>0</v>
      </c>
      <c r="M24" s="2314"/>
      <c r="N24" s="31" t="str">
        <f>Liste!L24</f>
        <v>Stk</v>
      </c>
      <c r="O24" s="31"/>
      <c r="P24" s="31"/>
      <c r="Q24" s="31">
        <f>Liste!P24</f>
        <v>0</v>
      </c>
      <c r="R24" s="31" t="str">
        <f>Liste!N24</f>
        <v>Zuschnitt</v>
      </c>
      <c r="S24" s="7">
        <v>0</v>
      </c>
      <c r="T24" s="7">
        <v>0</v>
      </c>
      <c r="U24" s="7">
        <v>0</v>
      </c>
      <c r="V24" s="7"/>
      <c r="W24" s="60"/>
      <c r="X24" s="60"/>
      <c r="Y24" s="60"/>
      <c r="Z24" s="7"/>
      <c r="AA24" s="7"/>
      <c r="AB24" s="60"/>
      <c r="AC24" s="60"/>
      <c r="AD24" s="60"/>
      <c r="AE24" s="7"/>
      <c r="AF24" s="7"/>
      <c r="AG24" s="7"/>
      <c r="AH24" s="7"/>
      <c r="AI24" s="7"/>
      <c r="AJ24" s="7">
        <f>Liste!X24</f>
        <v>0</v>
      </c>
      <c r="AK24" s="7">
        <f>Liste!Y24</f>
        <v>1</v>
      </c>
      <c r="AL24" s="7"/>
      <c r="AM24" s="7"/>
      <c r="AN24" s="7"/>
      <c r="AO24" s="1113">
        <f>Liste!D24</f>
        <v>0</v>
      </c>
      <c r="AP24" s="1113">
        <f>Liste!F24</f>
        <v>558</v>
      </c>
      <c r="AQ24" s="1113">
        <f>Liste!E24</f>
        <v>920</v>
      </c>
      <c r="AR24" s="1113">
        <f>Liste!G24</f>
        <v>0.75</v>
      </c>
      <c r="AS24" s="1112">
        <f>Liste!V24</f>
        <v>1</v>
      </c>
      <c r="AT24" s="1" t="str">
        <f>Liste!M24</f>
        <v>Stahlblech verz.</v>
      </c>
      <c r="AZ24" s="5" t="s">
        <v>37</v>
      </c>
      <c r="BA24" s="4" t="s">
        <v>101</v>
      </c>
      <c r="BB24" s="4">
        <v>528</v>
      </c>
      <c r="BD24" s="35"/>
      <c r="BE24" s="35"/>
      <c r="BF24" s="2118" t="str">
        <f>Liste!R24</f>
        <v>0701446</v>
      </c>
      <c r="BG24" s="2137">
        <f>IF(AS24&gt;0,Liste!S24,0)</f>
        <v>0</v>
      </c>
      <c r="BH24" s="2118" t="str">
        <f>Liste!T24</f>
        <v>m²</v>
      </c>
    </row>
    <row r="25" spans="1:60" ht="24.95" customHeight="1" x14ac:dyDescent="0.25">
      <c r="A25" s="29"/>
      <c r="B25" s="46" t="str">
        <f>IF(Liste!O25&gt;0,Liste!O25,Liste!B25)</f>
        <v>Verkleidungsblech V2A GCC (Komplettelement hinten)</v>
      </c>
      <c r="C25" s="2314"/>
      <c r="D25" s="30" t="str">
        <f>Liste!C25</f>
        <v>0338338</v>
      </c>
      <c r="E25" s="2314"/>
      <c r="F25" s="32">
        <f t="shared" si="4"/>
        <v>0</v>
      </c>
      <c r="G25" s="2314"/>
      <c r="H25" s="32">
        <f t="shared" si="5"/>
        <v>0</v>
      </c>
      <c r="I25" s="2314"/>
      <c r="J25" s="32">
        <f t="shared" si="6"/>
        <v>0</v>
      </c>
      <c r="K25" s="2314"/>
      <c r="L25" s="31">
        <f t="shared" si="7"/>
        <v>0</v>
      </c>
      <c r="M25" s="2314"/>
      <c r="N25" s="31" t="str">
        <f>Liste!L25</f>
        <v>Stk</v>
      </c>
      <c r="O25" s="31"/>
      <c r="P25" s="31"/>
      <c r="Q25" s="31">
        <f>Liste!P25</f>
        <v>0</v>
      </c>
      <c r="R25" s="31" t="str">
        <f>Liste!N25</f>
        <v>Zuschnitt</v>
      </c>
      <c r="S25" s="7">
        <v>0</v>
      </c>
      <c r="T25" s="7">
        <v>0</v>
      </c>
      <c r="U25" s="7">
        <v>0</v>
      </c>
      <c r="V25" s="7"/>
      <c r="W25" s="60"/>
      <c r="X25" s="60"/>
      <c r="Y25" s="60"/>
      <c r="Z25" s="7"/>
      <c r="AA25" s="7"/>
      <c r="AB25" s="60"/>
      <c r="AC25" s="60"/>
      <c r="AD25" s="60"/>
      <c r="AE25" s="7"/>
      <c r="AF25" s="7"/>
      <c r="AG25" s="7"/>
      <c r="AH25" s="7"/>
      <c r="AI25" s="7"/>
      <c r="AJ25" s="7">
        <f>Liste!X25</f>
        <v>0</v>
      </c>
      <c r="AK25" s="7">
        <f>Liste!Y25</f>
        <v>1</v>
      </c>
      <c r="AL25" s="7"/>
      <c r="AM25" s="7"/>
      <c r="AN25" s="7"/>
      <c r="AO25" s="1113">
        <f>Liste!D25</f>
        <v>0</v>
      </c>
      <c r="AP25" s="1113">
        <f>Liste!F25</f>
        <v>558</v>
      </c>
      <c r="AQ25" s="1113">
        <f>Liste!E25</f>
        <v>920</v>
      </c>
      <c r="AR25" s="1113">
        <f>Liste!G25</f>
        <v>0.8</v>
      </c>
      <c r="AS25" s="1112">
        <f>Liste!V25</f>
        <v>1</v>
      </c>
      <c r="AT25" s="1" t="str">
        <f>Liste!M25</f>
        <v>V2A blank</v>
      </c>
      <c r="AZ25" s="5" t="s">
        <v>38</v>
      </c>
      <c r="BA25" s="4" t="s">
        <v>101</v>
      </c>
      <c r="BB25" s="4">
        <v>529</v>
      </c>
      <c r="BD25" s="35"/>
      <c r="BE25" s="35"/>
      <c r="BF25" s="2118" t="str">
        <f>Liste!R25</f>
        <v>0701478</v>
      </c>
      <c r="BG25" s="2137">
        <f>IF(AS25&gt;0,Liste!S25,0)</f>
        <v>0</v>
      </c>
      <c r="BH25" s="2118" t="str">
        <f>Liste!T25</f>
        <v>m²</v>
      </c>
    </row>
    <row r="26" spans="1:60" ht="24.95" customHeight="1" x14ac:dyDescent="0.25">
      <c r="A26" s="29"/>
      <c r="B26" s="46" t="str">
        <f>IF(Liste!O26&gt;0,Liste!O26,Liste!B26)</f>
        <v>Schnellbauschraube mit Bohrspitze 3,5x35</v>
      </c>
      <c r="C26" s="2314"/>
      <c r="D26" s="30" t="str">
        <f>Liste!C26</f>
        <v>0123025</v>
      </c>
      <c r="E26" s="2314"/>
      <c r="F26" s="32">
        <f t="shared" si="4"/>
        <v>0</v>
      </c>
      <c r="G26" s="2314"/>
      <c r="H26" s="32">
        <f t="shared" si="5"/>
        <v>0</v>
      </c>
      <c r="I26" s="2314"/>
      <c r="J26" s="32">
        <f t="shared" si="6"/>
        <v>0</v>
      </c>
      <c r="K26" s="2314"/>
      <c r="L26" s="31">
        <f t="shared" si="7"/>
        <v>0</v>
      </c>
      <c r="M26" s="2314"/>
      <c r="N26" s="31" t="str">
        <f>Liste!L26</f>
        <v>Stk</v>
      </c>
      <c r="O26" s="31"/>
      <c r="P26" s="31"/>
      <c r="Q26" s="31">
        <f>Liste!P26</f>
        <v>0</v>
      </c>
      <c r="R26" s="31">
        <f>Liste!N26</f>
        <v>0</v>
      </c>
      <c r="S26" s="7">
        <v>0</v>
      </c>
      <c r="T26" s="7">
        <v>0</v>
      </c>
      <c r="U26" s="7">
        <v>0</v>
      </c>
      <c r="V26" s="7"/>
      <c r="W26" s="60"/>
      <c r="X26" s="60"/>
      <c r="Y26" s="60"/>
      <c r="Z26" s="7"/>
      <c r="AA26" s="7"/>
      <c r="AB26" s="60"/>
      <c r="AC26" s="60"/>
      <c r="AD26" s="60"/>
      <c r="AE26" s="7"/>
      <c r="AF26" s="7"/>
      <c r="AG26" s="7"/>
      <c r="AH26" s="7"/>
      <c r="AI26" s="7"/>
      <c r="AJ26" s="7">
        <f>Liste!X26</f>
        <v>0</v>
      </c>
      <c r="AK26" s="7">
        <f>Liste!Y26</f>
        <v>0</v>
      </c>
      <c r="AL26" s="7"/>
      <c r="AM26" s="7"/>
      <c r="AN26" s="7"/>
      <c r="AO26" s="1113">
        <f>Liste!D26</f>
        <v>0</v>
      </c>
      <c r="AP26" s="1113">
        <f>Liste!F26</f>
        <v>0</v>
      </c>
      <c r="AQ26" s="1113">
        <f>Liste!E26</f>
        <v>0</v>
      </c>
      <c r="AR26" s="1113">
        <f>Liste!G26</f>
        <v>0</v>
      </c>
      <c r="AS26" s="1112">
        <f>Liste!V26</f>
        <v>1</v>
      </c>
      <c r="AT26" s="1">
        <f>Liste!M26</f>
        <v>0</v>
      </c>
      <c r="AZ26" s="5" t="s">
        <v>39</v>
      </c>
      <c r="BA26" s="4" t="s">
        <v>101</v>
      </c>
      <c r="BB26" s="4">
        <v>530</v>
      </c>
      <c r="BD26" s="35"/>
      <c r="BE26" s="35"/>
      <c r="BF26" s="2118" t="str">
        <f>Liste!R26</f>
        <v>0123025</v>
      </c>
      <c r="BG26" s="2137">
        <f>IF(AS26&gt;0,Liste!S26,0)</f>
        <v>0</v>
      </c>
      <c r="BH26" s="2118" t="str">
        <f>Liste!T26</f>
        <v>Stk</v>
      </c>
    </row>
    <row r="27" spans="1:60" ht="24.95" customHeight="1" x14ac:dyDescent="0.25">
      <c r="A27" s="29"/>
      <c r="B27" s="46" t="str">
        <f>IF(Liste!O27&gt;0,Liste!O27,Liste!B27)</f>
        <v>Anbauteile oben</v>
      </c>
      <c r="C27" s="2314"/>
      <c r="D27" s="30">
        <f>Liste!C27</f>
        <v>0</v>
      </c>
      <c r="E27" s="2314"/>
      <c r="F27" s="32">
        <f t="shared" si="4"/>
        <v>0</v>
      </c>
      <c r="G27" s="2314"/>
      <c r="H27" s="32">
        <f t="shared" si="5"/>
        <v>0</v>
      </c>
      <c r="I27" s="2314"/>
      <c r="J27" s="32">
        <f t="shared" si="6"/>
        <v>0</v>
      </c>
      <c r="K27" s="2314"/>
      <c r="L27" s="31">
        <f t="shared" si="7"/>
        <v>0</v>
      </c>
      <c r="M27" s="2314"/>
      <c r="N27" s="31">
        <f>Liste!L27</f>
        <v>0</v>
      </c>
      <c r="O27" s="31"/>
      <c r="P27" s="31"/>
      <c r="Q27" s="31">
        <f>Liste!P27</f>
        <v>0</v>
      </c>
      <c r="R27" s="31">
        <f>Liste!N27</f>
        <v>0</v>
      </c>
      <c r="S27" s="7">
        <v>0</v>
      </c>
      <c r="T27" s="7">
        <v>0</v>
      </c>
      <c r="U27" s="7">
        <v>0</v>
      </c>
      <c r="V27" s="7"/>
      <c r="W27" s="60"/>
      <c r="X27" s="60"/>
      <c r="Y27" s="60"/>
      <c r="Z27" s="7"/>
      <c r="AA27" s="7"/>
      <c r="AB27" s="60"/>
      <c r="AC27" s="60"/>
      <c r="AD27" s="60"/>
      <c r="AE27" s="7"/>
      <c r="AF27" s="7"/>
      <c r="AG27" s="7"/>
      <c r="AH27" s="7"/>
      <c r="AI27" s="7"/>
      <c r="AJ27" s="7">
        <f>Liste!X27</f>
        <v>0</v>
      </c>
      <c r="AK27" s="7">
        <f>Liste!Y27</f>
        <v>0</v>
      </c>
      <c r="AL27" s="7"/>
      <c r="AM27" s="7"/>
      <c r="AN27" s="7"/>
      <c r="AO27" s="1113">
        <f>Liste!D27</f>
        <v>0</v>
      </c>
      <c r="AP27" s="1113">
        <f>Liste!F27</f>
        <v>0</v>
      </c>
      <c r="AQ27" s="1113">
        <f>Liste!E27</f>
        <v>0</v>
      </c>
      <c r="AR27" s="1113">
        <f>Liste!G27</f>
        <v>0</v>
      </c>
      <c r="AS27" s="1112">
        <f>Liste!V27</f>
        <v>0</v>
      </c>
      <c r="AT27" s="1">
        <f>Liste!M27</f>
        <v>0</v>
      </c>
      <c r="AZ27" s="5" t="s">
        <v>40</v>
      </c>
      <c r="BA27" s="4" t="s">
        <v>101</v>
      </c>
      <c r="BB27" s="4">
        <v>531</v>
      </c>
      <c r="BD27" s="35"/>
      <c r="BE27" s="35"/>
      <c r="BF27" s="2118">
        <f>Liste!R27</f>
        <v>0</v>
      </c>
      <c r="BG27" s="2137">
        <f>IF(AS27&gt;0,Liste!S27,0)</f>
        <v>0</v>
      </c>
      <c r="BH27" s="2118">
        <f>Liste!T27</f>
        <v>0</v>
      </c>
    </row>
    <row r="28" spans="1:60" ht="24.95" customHeight="1" x14ac:dyDescent="0.25">
      <c r="A28" s="29"/>
      <c r="B28" s="46" t="str">
        <f>IF(Liste!O28&gt;0,Liste!O28,Liste!B28)</f>
        <v>GCC Verstärkungsblech Schieberelement oben verzinkt</v>
      </c>
      <c r="C28" s="2314"/>
      <c r="D28" s="30" t="str">
        <f>Liste!C28</f>
        <v>0308095</v>
      </c>
      <c r="E28" s="2314"/>
      <c r="F28" s="32">
        <f t="shared" si="4"/>
        <v>1</v>
      </c>
      <c r="G28" s="2314"/>
      <c r="H28" s="32">
        <f t="shared" si="5"/>
        <v>0</v>
      </c>
      <c r="I28" s="2314"/>
      <c r="J28" s="32">
        <f t="shared" si="6"/>
        <v>0</v>
      </c>
      <c r="K28" s="2314"/>
      <c r="L28" s="31">
        <f t="shared" si="7"/>
        <v>0</v>
      </c>
      <c r="M28" s="2314"/>
      <c r="N28" s="31" t="str">
        <f>Liste!L28</f>
        <v>Stk</v>
      </c>
      <c r="O28" s="31"/>
      <c r="P28" s="31"/>
      <c r="Q28" s="31">
        <f>Liste!P28</f>
        <v>0</v>
      </c>
      <c r="R28" s="31">
        <f>Liste!N28</f>
        <v>0</v>
      </c>
      <c r="S28" s="7">
        <v>0</v>
      </c>
      <c r="T28" s="7">
        <v>0</v>
      </c>
      <c r="U28" s="7">
        <v>0</v>
      </c>
      <c r="V28" s="7"/>
      <c r="W28" s="60"/>
      <c r="X28" s="60"/>
      <c r="Y28" s="60"/>
      <c r="Z28" s="7"/>
      <c r="AA28" s="7"/>
      <c r="AB28" s="60"/>
      <c r="AC28" s="60"/>
      <c r="AD28" s="60"/>
      <c r="AE28" s="7"/>
      <c r="AF28" s="7"/>
      <c r="AG28" s="7"/>
      <c r="AH28" s="7"/>
      <c r="AI28" s="7"/>
      <c r="AJ28" s="7">
        <f>Liste!X28</f>
        <v>0</v>
      </c>
      <c r="AK28" s="7">
        <f>Liste!Y28</f>
        <v>0</v>
      </c>
      <c r="AL28" s="7"/>
      <c r="AM28" s="7"/>
      <c r="AN28" s="7"/>
      <c r="AO28" s="1113">
        <f>Liste!D28</f>
        <v>1</v>
      </c>
      <c r="AP28" s="1113">
        <f>Liste!F28</f>
        <v>1960</v>
      </c>
      <c r="AQ28" s="1113">
        <f>Liste!E28</f>
        <v>20</v>
      </c>
      <c r="AR28" s="1113">
        <f>Liste!G28</f>
        <v>2</v>
      </c>
      <c r="AS28" s="1112">
        <f>Liste!V28</f>
        <v>1</v>
      </c>
      <c r="AT28" s="1" t="str">
        <f>Liste!M28</f>
        <v>Stahlblech verz.</v>
      </c>
      <c r="AZ28" s="5" t="s">
        <v>41</v>
      </c>
      <c r="BA28" s="4" t="s">
        <v>101</v>
      </c>
      <c r="BB28" s="4">
        <v>532</v>
      </c>
      <c r="BD28" s="35"/>
      <c r="BE28" s="35"/>
      <c r="BF28" s="2118" t="str">
        <f>Liste!R28</f>
        <v>0308095</v>
      </c>
      <c r="BG28" s="2137">
        <f>IF(AS28&gt;0,Liste!S28,0)</f>
        <v>1</v>
      </c>
      <c r="BH28" s="2118" t="str">
        <f>Liste!T28</f>
        <v>Stk</v>
      </c>
    </row>
    <row r="29" spans="1:60" ht="24.95" customHeight="1" x14ac:dyDescent="0.25">
      <c r="A29" s="29"/>
      <c r="B29" s="46" t="str">
        <f>IF(Liste!O29&gt;0,Liste!O29,Liste!B29)</f>
        <v>GCC Verstärkungsblech Schieberelement oben V2A</v>
      </c>
      <c r="C29" s="2314"/>
      <c r="D29" s="30" t="str">
        <f>Liste!C29</f>
        <v>0338095</v>
      </c>
      <c r="E29" s="2314"/>
      <c r="F29" s="32">
        <f t="shared" si="4"/>
        <v>0</v>
      </c>
      <c r="G29" s="2314"/>
      <c r="H29" s="32">
        <f t="shared" si="5"/>
        <v>0</v>
      </c>
      <c r="I29" s="2314"/>
      <c r="J29" s="32">
        <f t="shared" si="6"/>
        <v>0</v>
      </c>
      <c r="K29" s="2314"/>
      <c r="L29" s="31">
        <f t="shared" si="7"/>
        <v>0</v>
      </c>
      <c r="M29" s="2314"/>
      <c r="N29" s="31" t="str">
        <f>Liste!L29</f>
        <v>Stk</v>
      </c>
      <c r="O29" s="31"/>
      <c r="P29" s="31"/>
      <c r="Q29" s="31">
        <f>Liste!P29</f>
        <v>0</v>
      </c>
      <c r="R29" s="31">
        <f>Liste!N29</f>
        <v>0</v>
      </c>
      <c r="S29" s="7">
        <v>0</v>
      </c>
      <c r="T29" s="7">
        <v>0</v>
      </c>
      <c r="U29" s="7">
        <v>0</v>
      </c>
      <c r="V29" s="7"/>
      <c r="W29" s="60"/>
      <c r="X29" s="60"/>
      <c r="Y29" s="60"/>
      <c r="Z29" s="7"/>
      <c r="AA29" s="7"/>
      <c r="AB29" s="60"/>
      <c r="AC29" s="60"/>
      <c r="AD29" s="60"/>
      <c r="AE29" s="7"/>
      <c r="AF29" s="7"/>
      <c r="AG29" s="7"/>
      <c r="AH29" s="7"/>
      <c r="AI29" s="7"/>
      <c r="AJ29" s="7">
        <f>Liste!X29</f>
        <v>0</v>
      </c>
      <c r="AK29" s="7">
        <f>Liste!Y29</f>
        <v>0</v>
      </c>
      <c r="AL29" s="7"/>
      <c r="AM29" s="7"/>
      <c r="AN29" s="7"/>
      <c r="AO29" s="1113">
        <f>Liste!D29</f>
        <v>0</v>
      </c>
      <c r="AP29" s="1113">
        <f>Liste!F29</f>
        <v>537</v>
      </c>
      <c r="AQ29" s="1113">
        <f>Liste!E29</f>
        <v>20</v>
      </c>
      <c r="AR29" s="1113">
        <f>Liste!G29</f>
        <v>2</v>
      </c>
      <c r="AS29" s="1112">
        <f>Liste!V29</f>
        <v>1</v>
      </c>
      <c r="AT29" s="1" t="str">
        <f>Liste!M29</f>
        <v>V2A blank</v>
      </c>
      <c r="AZ29" s="5" t="s">
        <v>42</v>
      </c>
      <c r="BA29" s="4" t="s">
        <v>101</v>
      </c>
      <c r="BB29" s="4">
        <v>533</v>
      </c>
      <c r="BD29" s="35"/>
      <c r="BE29" s="35"/>
      <c r="BF29" s="2118" t="str">
        <f>Liste!R29</f>
        <v>0701481</v>
      </c>
      <c r="BG29" s="2137">
        <f>IF(AS29&gt;0,Liste!S29,0)</f>
        <v>0</v>
      </c>
      <c r="BH29" s="2118" t="str">
        <f>Liste!T29</f>
        <v>m²</v>
      </c>
    </row>
    <row r="30" spans="1:60" ht="24.95" customHeight="1" x14ac:dyDescent="0.25">
      <c r="A30" s="29"/>
      <c r="B30" s="46" t="str">
        <f>IF(Liste!O30&gt;0,Liste!O30,Liste!B30)</f>
        <v>Gurtanbindung Andockprofil GCC vertikal verzinkt</v>
      </c>
      <c r="C30" s="2314"/>
      <c r="D30" s="30" t="str">
        <f>Liste!C30</f>
        <v>0308132</v>
      </c>
      <c r="E30" s="2314"/>
      <c r="F30" s="32">
        <f t="shared" si="4"/>
        <v>1</v>
      </c>
      <c r="G30" s="2314"/>
      <c r="H30" s="32">
        <f t="shared" si="5"/>
        <v>0</v>
      </c>
      <c r="I30" s="2314"/>
      <c r="J30" s="32">
        <f t="shared" si="6"/>
        <v>0</v>
      </c>
      <c r="K30" s="2314"/>
      <c r="L30" s="31">
        <f t="shared" si="7"/>
        <v>0</v>
      </c>
      <c r="M30" s="2314"/>
      <c r="N30" s="31" t="str">
        <f>Liste!L30</f>
        <v>Stk</v>
      </c>
      <c r="O30" s="31"/>
      <c r="P30" s="31"/>
      <c r="Q30" s="31">
        <f>Liste!P30</f>
        <v>0</v>
      </c>
      <c r="R30" s="31">
        <f>Liste!N30</f>
        <v>0</v>
      </c>
      <c r="S30" s="7">
        <v>0</v>
      </c>
      <c r="T30" s="7">
        <v>0</v>
      </c>
      <c r="U30" s="7">
        <v>0</v>
      </c>
      <c r="V30" s="7"/>
      <c r="W30" s="60"/>
      <c r="X30" s="60"/>
      <c r="Y30" s="60"/>
      <c r="Z30" s="7"/>
      <c r="AA30" s="7"/>
      <c r="AB30" s="60"/>
      <c r="AC30" s="60"/>
      <c r="AD30" s="60"/>
      <c r="AE30" s="7"/>
      <c r="AF30" s="7"/>
      <c r="AG30" s="7"/>
      <c r="AH30" s="7"/>
      <c r="AI30" s="7"/>
      <c r="AJ30" s="7">
        <f>Liste!X30</f>
        <v>0</v>
      </c>
      <c r="AK30" s="7">
        <f>Liste!Y30</f>
        <v>0</v>
      </c>
      <c r="AL30" s="7"/>
      <c r="AM30" s="7"/>
      <c r="AN30" s="7"/>
      <c r="AO30" s="1113">
        <f>Liste!D30</f>
        <v>1</v>
      </c>
      <c r="AP30" s="1113">
        <f>Liste!F30</f>
        <v>390</v>
      </c>
      <c r="AQ30" s="1113">
        <f>Liste!E30</f>
        <v>292.5</v>
      </c>
      <c r="AR30" s="1113">
        <f>Liste!G30</f>
        <v>3</v>
      </c>
      <c r="AS30" s="1112">
        <f>Liste!V30</f>
        <v>1</v>
      </c>
      <c r="AT30" s="1" t="str">
        <f>Liste!M30</f>
        <v>Stahlblech verz.</v>
      </c>
      <c r="AZ30" s="5" t="s">
        <v>43</v>
      </c>
      <c r="BA30" s="4" t="s">
        <v>101</v>
      </c>
      <c r="BB30" s="4">
        <v>534</v>
      </c>
      <c r="BD30" s="35"/>
      <c r="BE30" s="35"/>
      <c r="BF30" s="2118" t="str">
        <f>Liste!R30</f>
        <v>0308132</v>
      </c>
      <c r="BG30" s="2137">
        <f>IF(AS30&gt;0,Liste!S30,0)</f>
        <v>1</v>
      </c>
      <c r="BH30" s="2118" t="str">
        <f>Liste!T30</f>
        <v>Stk</v>
      </c>
    </row>
    <row r="31" spans="1:60" ht="24.95" customHeight="1" x14ac:dyDescent="0.25">
      <c r="A31" s="29"/>
      <c r="B31" s="46" t="str">
        <f>IF(Liste!O31&gt;0,Liste!O31,Liste!B31)</f>
        <v>Gurtanbindung Andockprofil GCC vertikal V2A</v>
      </c>
      <c r="C31" s="2314"/>
      <c r="D31" s="30" t="str">
        <f>Liste!C31</f>
        <v>0338132</v>
      </c>
      <c r="E31" s="2314"/>
      <c r="F31" s="32">
        <f t="shared" si="4"/>
        <v>0</v>
      </c>
      <c r="G31" s="2314"/>
      <c r="H31" s="32">
        <f t="shared" si="5"/>
        <v>0</v>
      </c>
      <c r="I31" s="2314"/>
      <c r="J31" s="32">
        <f t="shared" si="6"/>
        <v>0</v>
      </c>
      <c r="K31" s="2314"/>
      <c r="L31" s="31">
        <f t="shared" si="7"/>
        <v>0</v>
      </c>
      <c r="M31" s="2314"/>
      <c r="N31" s="31" t="str">
        <f>Liste!L31</f>
        <v>Stk</v>
      </c>
      <c r="O31" s="31"/>
      <c r="P31" s="31"/>
      <c r="Q31" s="31">
        <f>Liste!P31</f>
        <v>0</v>
      </c>
      <c r="R31" s="31">
        <f>Liste!N31</f>
        <v>0</v>
      </c>
      <c r="S31" s="7">
        <v>0</v>
      </c>
      <c r="T31" s="7">
        <v>0</v>
      </c>
      <c r="U31" s="7">
        <v>0</v>
      </c>
      <c r="V31" s="7"/>
      <c r="W31" s="60"/>
      <c r="X31" s="60"/>
      <c r="Y31" s="60"/>
      <c r="Z31" s="7"/>
      <c r="AA31" s="7"/>
      <c r="AB31" s="60"/>
      <c r="AC31" s="60"/>
      <c r="AD31" s="60"/>
      <c r="AE31" s="7"/>
      <c r="AF31" s="7"/>
      <c r="AG31" s="7"/>
      <c r="AH31" s="7"/>
      <c r="AI31" s="7"/>
      <c r="AJ31" s="7">
        <f>Liste!X31</f>
        <v>0</v>
      </c>
      <c r="AK31" s="7">
        <f>Liste!Y31</f>
        <v>1</v>
      </c>
      <c r="AL31" s="7"/>
      <c r="AM31" s="7"/>
      <c r="AN31" s="7"/>
      <c r="AO31" s="1113">
        <f>Liste!D31</f>
        <v>0</v>
      </c>
      <c r="AP31" s="1113">
        <f>Liste!F31</f>
        <v>390</v>
      </c>
      <c r="AQ31" s="1113">
        <f>Liste!E31</f>
        <v>292.5</v>
      </c>
      <c r="AR31" s="1113">
        <f>Liste!G31</f>
        <v>3</v>
      </c>
      <c r="AS31" s="1112">
        <f>Liste!V31</f>
        <v>1</v>
      </c>
      <c r="AT31" s="1" t="str">
        <f>Liste!M31</f>
        <v>V2A blank</v>
      </c>
      <c r="AZ31" s="5" t="s">
        <v>44</v>
      </c>
      <c r="BA31" s="4" t="s">
        <v>101</v>
      </c>
      <c r="BB31" s="4">
        <v>535</v>
      </c>
      <c r="BD31" s="35"/>
      <c r="BE31" s="35"/>
      <c r="BF31" s="2118" t="str">
        <f>Liste!R31</f>
        <v>0338132</v>
      </c>
      <c r="BG31" s="2137">
        <f>IF(AS31&gt;0,Liste!S31,0)</f>
        <v>0</v>
      </c>
      <c r="BH31" s="2118" t="str">
        <f>Liste!T31</f>
        <v>Stk</v>
      </c>
    </row>
    <row r="32" spans="1:60" ht="24.95" customHeight="1" x14ac:dyDescent="0.25">
      <c r="A32" s="29"/>
      <c r="B32" s="46" t="str">
        <f>IF(Liste!O32&gt;0,Liste!O32,Liste!B32)</f>
        <v>Andockprofil Gurtanbindung 74mm Gurt GCC Übergröße verzinkt</v>
      </c>
      <c r="C32" s="2314"/>
      <c r="D32" s="30" t="str">
        <f>Liste!C32</f>
        <v>0308373</v>
      </c>
      <c r="E32" s="2314"/>
      <c r="F32" s="32">
        <f t="shared" si="4"/>
        <v>0</v>
      </c>
      <c r="G32" s="2314"/>
      <c r="H32" s="32">
        <f t="shared" si="5"/>
        <v>0</v>
      </c>
      <c r="I32" s="2314"/>
      <c r="J32" s="32">
        <f t="shared" si="6"/>
        <v>0</v>
      </c>
      <c r="K32" s="2314"/>
      <c r="L32" s="31">
        <f t="shared" si="7"/>
        <v>0</v>
      </c>
      <c r="M32" s="2314"/>
      <c r="N32" s="31" t="str">
        <f>Liste!L32</f>
        <v>Stk</v>
      </c>
      <c r="O32" s="31"/>
      <c r="P32" s="31"/>
      <c r="Q32" s="31">
        <f>Liste!P32</f>
        <v>0</v>
      </c>
      <c r="R32" s="31">
        <f>Liste!N32</f>
        <v>0</v>
      </c>
      <c r="S32" s="7">
        <v>0</v>
      </c>
      <c r="T32" s="7">
        <v>0</v>
      </c>
      <c r="U32" s="7">
        <v>0</v>
      </c>
      <c r="V32" s="7"/>
      <c r="W32" s="60"/>
      <c r="X32" s="60"/>
      <c r="Y32" s="60"/>
      <c r="Z32" s="7"/>
      <c r="AA32" s="7"/>
      <c r="AB32" s="60"/>
      <c r="AC32" s="60"/>
      <c r="AD32" s="60"/>
      <c r="AE32" s="7"/>
      <c r="AF32" s="7"/>
      <c r="AG32" s="7"/>
      <c r="AH32" s="7"/>
      <c r="AI32" s="7"/>
      <c r="AJ32" s="7">
        <f>Liste!X32</f>
        <v>0</v>
      </c>
      <c r="AK32" s="7">
        <f>Liste!Y32</f>
        <v>1</v>
      </c>
      <c r="AL32" s="7"/>
      <c r="AM32" s="7"/>
      <c r="AN32" s="7"/>
      <c r="AO32" s="1113">
        <f>Liste!D32</f>
        <v>0</v>
      </c>
      <c r="AP32" s="1113">
        <f>Liste!F32</f>
        <v>550</v>
      </c>
      <c r="AQ32" s="1113">
        <f>Liste!E32</f>
        <v>292.5</v>
      </c>
      <c r="AR32" s="1113">
        <f>Liste!G32</f>
        <v>3</v>
      </c>
      <c r="AS32" s="1112">
        <f>Liste!V32</f>
        <v>1</v>
      </c>
      <c r="AT32" s="1" t="str">
        <f>Liste!M32</f>
        <v>Stahlblech verz.</v>
      </c>
      <c r="AZ32" s="5" t="s">
        <v>45</v>
      </c>
      <c r="BA32" s="4" t="s">
        <v>101</v>
      </c>
      <c r="BB32" s="4">
        <v>536</v>
      </c>
      <c r="BD32" s="35"/>
      <c r="BE32" s="35"/>
      <c r="BF32" s="2118" t="str">
        <f>Liste!R32</f>
        <v>0308373</v>
      </c>
      <c r="BG32" s="2137">
        <f>IF(AS32&gt;0,Liste!S32,0)</f>
        <v>0</v>
      </c>
      <c r="BH32" s="2118" t="str">
        <f>Liste!T32</f>
        <v>Stk</v>
      </c>
    </row>
    <row r="33" spans="1:60" ht="24.95" customHeight="1" x14ac:dyDescent="0.25">
      <c r="A33" s="29"/>
      <c r="B33" s="46" t="str">
        <f>IF(Liste!O33&gt;0,Liste!O33,Liste!B33)</f>
        <v>Andockprofil Gurtanbindung 74mm Gurt GCC Übergröße V2A</v>
      </c>
      <c r="C33" s="2314"/>
      <c r="D33" s="30" t="str">
        <f>Liste!C33</f>
        <v>0338373</v>
      </c>
      <c r="E33" s="2314"/>
      <c r="F33" s="32">
        <f t="shared" si="4"/>
        <v>0</v>
      </c>
      <c r="G33" s="2314"/>
      <c r="H33" s="32">
        <f t="shared" si="5"/>
        <v>0</v>
      </c>
      <c r="I33" s="2314"/>
      <c r="J33" s="32">
        <f t="shared" si="6"/>
        <v>0</v>
      </c>
      <c r="K33" s="2314"/>
      <c r="L33" s="31">
        <f t="shared" si="7"/>
        <v>0</v>
      </c>
      <c r="M33" s="2314"/>
      <c r="N33" s="31" t="str">
        <f>Liste!L33</f>
        <v>Stk</v>
      </c>
      <c r="O33" s="31"/>
      <c r="P33" s="31"/>
      <c r="Q33" s="31">
        <f>Liste!P33</f>
        <v>0</v>
      </c>
      <c r="R33" s="31">
        <f>Liste!N33</f>
        <v>0</v>
      </c>
      <c r="S33" s="7">
        <v>0</v>
      </c>
      <c r="T33" s="7">
        <v>0</v>
      </c>
      <c r="U33" s="7">
        <v>0</v>
      </c>
      <c r="V33" s="7"/>
      <c r="W33" s="60"/>
      <c r="X33" s="60"/>
      <c r="Y33" s="60"/>
      <c r="Z33" s="7"/>
      <c r="AA33" s="7"/>
      <c r="AB33" s="60"/>
      <c r="AC33" s="60"/>
      <c r="AD33" s="60"/>
      <c r="AE33" s="7"/>
      <c r="AF33" s="7"/>
      <c r="AG33" s="7"/>
      <c r="AH33" s="7"/>
      <c r="AI33" s="7"/>
      <c r="AJ33" s="7">
        <f>Liste!X33</f>
        <v>0</v>
      </c>
      <c r="AK33" s="7">
        <f>Liste!Y33</f>
        <v>1</v>
      </c>
      <c r="AL33" s="7"/>
      <c r="AM33" s="7"/>
      <c r="AN33" s="7"/>
      <c r="AO33" s="1113">
        <f>Liste!D33</f>
        <v>0</v>
      </c>
      <c r="AP33" s="1113">
        <f>Liste!F33</f>
        <v>550</v>
      </c>
      <c r="AQ33" s="1113">
        <f>Liste!E33</f>
        <v>292.5</v>
      </c>
      <c r="AR33" s="1113">
        <f>Liste!G33</f>
        <v>3</v>
      </c>
      <c r="AS33" s="1112">
        <f>Liste!V33</f>
        <v>1</v>
      </c>
      <c r="AT33" s="1" t="str">
        <f>Liste!M33</f>
        <v>V2A blank</v>
      </c>
      <c r="AZ33" s="5" t="s">
        <v>29957</v>
      </c>
      <c r="BA33" s="4" t="s">
        <v>101</v>
      </c>
      <c r="BB33" s="4">
        <v>537</v>
      </c>
      <c r="BD33" s="35"/>
      <c r="BE33" s="35"/>
      <c r="BF33" s="2118" t="str">
        <f>Liste!R33</f>
        <v>0338373</v>
      </c>
      <c r="BG33" s="2137">
        <f>IF(AS33&gt;0,Liste!S33,0)</f>
        <v>0</v>
      </c>
      <c r="BH33" s="2118" t="str">
        <f>Liste!T33</f>
        <v>Stk</v>
      </c>
    </row>
    <row r="34" spans="1:60" ht="24.95" customHeight="1" x14ac:dyDescent="0.25">
      <c r="A34" s="29"/>
      <c r="B34" s="46" t="str">
        <f>IF(Liste!O34&gt;0,Liste!O34,Liste!B34)</f>
        <v>Gurtanbindung Andockprofil GCC vertikal verzinkt</v>
      </c>
      <c r="C34" s="2314"/>
      <c r="D34" s="30" t="str">
        <f>Liste!C34</f>
        <v>0308132</v>
      </c>
      <c r="E34" s="2314"/>
      <c r="F34" s="32">
        <f t="shared" si="4"/>
        <v>0</v>
      </c>
      <c r="G34" s="2314"/>
      <c r="H34" s="32">
        <f t="shared" si="5"/>
        <v>390</v>
      </c>
      <c r="I34" s="2314"/>
      <c r="J34" s="32">
        <f t="shared" si="6"/>
        <v>292.5</v>
      </c>
      <c r="K34" s="2314"/>
      <c r="L34" s="31">
        <f t="shared" si="7"/>
        <v>0</v>
      </c>
      <c r="M34" s="2314"/>
      <c r="N34" s="31">
        <f>Liste!L34</f>
        <v>0</v>
      </c>
      <c r="O34" s="31"/>
      <c r="P34" s="31"/>
      <c r="Q34" s="31">
        <f>Liste!P34</f>
        <v>0</v>
      </c>
      <c r="R34" s="31">
        <f>Liste!N34</f>
        <v>0</v>
      </c>
      <c r="S34" s="7">
        <v>0</v>
      </c>
      <c r="T34" s="7">
        <v>0</v>
      </c>
      <c r="U34" s="7">
        <v>0</v>
      </c>
      <c r="V34" s="7"/>
      <c r="W34" s="60"/>
      <c r="X34" s="60"/>
      <c r="Y34" s="60"/>
      <c r="Z34" s="7"/>
      <c r="AA34" s="7"/>
      <c r="AB34" s="60"/>
      <c r="AC34" s="60"/>
      <c r="AD34" s="60"/>
      <c r="AE34" s="7"/>
      <c r="AF34" s="7"/>
      <c r="AG34" s="7"/>
      <c r="AH34" s="7"/>
      <c r="AI34" s="7"/>
      <c r="AJ34" s="7">
        <f>Liste!X34</f>
        <v>0</v>
      </c>
      <c r="AK34" s="7">
        <f>Liste!Y34</f>
        <v>0</v>
      </c>
      <c r="AL34" s="7"/>
      <c r="AM34" s="7"/>
      <c r="AN34" s="7"/>
      <c r="AO34" s="1113">
        <f>Liste!D34</f>
        <v>0</v>
      </c>
      <c r="AP34" s="1113">
        <f>Liste!F34</f>
        <v>390</v>
      </c>
      <c r="AQ34" s="1113">
        <f>Liste!E34</f>
        <v>292.5</v>
      </c>
      <c r="AR34" s="1113">
        <f>Liste!G34</f>
        <v>0</v>
      </c>
      <c r="AS34" s="1112">
        <f>Liste!V34</f>
        <v>0</v>
      </c>
      <c r="AT34" s="1">
        <f>Liste!M34</f>
        <v>0</v>
      </c>
      <c r="AZ34" s="5" t="s">
        <v>29958</v>
      </c>
      <c r="BA34" s="4" t="s">
        <v>101</v>
      </c>
      <c r="BB34" s="4">
        <v>538</v>
      </c>
      <c r="BD34" s="35"/>
      <c r="BE34" s="35"/>
      <c r="BF34" s="2118" t="str">
        <f>Liste!R34</f>
        <v>0308132</v>
      </c>
      <c r="BG34" s="2137">
        <f>IF(AS34&gt;0,Liste!S34,0)</f>
        <v>0</v>
      </c>
      <c r="BH34" s="2118">
        <f>Liste!T34</f>
        <v>0</v>
      </c>
    </row>
    <row r="35" spans="1:60" ht="24.95" customHeight="1" x14ac:dyDescent="0.25">
      <c r="A35" s="29"/>
      <c r="B35" s="46" t="str">
        <f>IF(Liste!O35&gt;0,Liste!O35,Liste!B35)</f>
        <v>GCC vertikal Gurtanbindung 2x  35mm Gurt verzinkt</v>
      </c>
      <c r="C35" s="2314"/>
      <c r="D35" s="30" t="str">
        <f>Liste!C35</f>
        <v>0308066</v>
      </c>
      <c r="E35" s="2314"/>
      <c r="F35" s="32">
        <f t="shared" si="4"/>
        <v>1</v>
      </c>
      <c r="G35" s="2314"/>
      <c r="H35" s="32">
        <f t="shared" si="5"/>
        <v>0</v>
      </c>
      <c r="I35" s="2314"/>
      <c r="J35" s="32">
        <f t="shared" si="6"/>
        <v>0</v>
      </c>
      <c r="K35" s="2314"/>
      <c r="L35" s="31">
        <f t="shared" si="7"/>
        <v>0</v>
      </c>
      <c r="M35" s="2314"/>
      <c r="N35" s="31" t="str">
        <f>Liste!L35</f>
        <v>Stk</v>
      </c>
      <c r="O35" s="31"/>
      <c r="P35" s="31"/>
      <c r="Q35" s="31">
        <f>Liste!P35</f>
        <v>0</v>
      </c>
      <c r="R35" s="31">
        <f>Liste!N35</f>
        <v>0</v>
      </c>
      <c r="S35" s="7">
        <v>0</v>
      </c>
      <c r="T35" s="7">
        <v>0</v>
      </c>
      <c r="U35" s="7">
        <v>0</v>
      </c>
      <c r="V35" s="7"/>
      <c r="W35" s="60"/>
      <c r="X35" s="60"/>
      <c r="Y35" s="60"/>
      <c r="Z35" s="7"/>
      <c r="AA35" s="7"/>
      <c r="AB35" s="60"/>
      <c r="AC35" s="60"/>
      <c r="AD35" s="60"/>
      <c r="AE35" s="7"/>
      <c r="AF35" s="7"/>
      <c r="AG35" s="7"/>
      <c r="AH35" s="7"/>
      <c r="AI35" s="7"/>
      <c r="AJ35" s="7">
        <f>Liste!X35</f>
        <v>0</v>
      </c>
      <c r="AK35" s="7">
        <f>Liste!Y35</f>
        <v>0</v>
      </c>
      <c r="AL35" s="7"/>
      <c r="AM35" s="7"/>
      <c r="AN35" s="7"/>
      <c r="AO35" s="1113">
        <f>Liste!D35</f>
        <v>1</v>
      </c>
      <c r="AP35" s="1113">
        <f>Liste!F35</f>
        <v>362</v>
      </c>
      <c r="AQ35" s="1113">
        <f>Liste!E35</f>
        <v>281</v>
      </c>
      <c r="AR35" s="1113">
        <f>Liste!G35</f>
        <v>5</v>
      </c>
      <c r="AS35" s="1112">
        <f>Liste!V35</f>
        <v>1</v>
      </c>
      <c r="AT35" s="1" t="str">
        <f>Liste!M35</f>
        <v>Stahlblech verz.</v>
      </c>
      <c r="AZ35" s="5" t="s">
        <v>46</v>
      </c>
      <c r="BA35" s="4" t="s">
        <v>101</v>
      </c>
      <c r="BB35" s="4">
        <v>539</v>
      </c>
      <c r="BD35" s="35"/>
      <c r="BE35" s="35"/>
      <c r="BF35" s="2118" t="str">
        <f>Liste!R35</f>
        <v>0308066</v>
      </c>
      <c r="BG35" s="2137">
        <f>IF(AS35&gt;0,Liste!S35,0)</f>
        <v>1</v>
      </c>
      <c r="BH35" s="2118" t="str">
        <f>Liste!T35</f>
        <v>Stk</v>
      </c>
    </row>
    <row r="36" spans="1:60" ht="24.95" customHeight="1" x14ac:dyDescent="0.25">
      <c r="A36" s="29"/>
      <c r="B36" s="46" t="str">
        <f>IF(Liste!O36&gt;0,Liste!O36,Liste!B36)</f>
        <v>GCC vertikal Gurtanbindung 2x  35mm Gurt V2A</v>
      </c>
      <c r="C36" s="2314"/>
      <c r="D36" s="30" t="str">
        <f>Liste!C36</f>
        <v>0338066</v>
      </c>
      <c r="E36" s="2314"/>
      <c r="F36" s="32">
        <f t="shared" si="4"/>
        <v>0</v>
      </c>
      <c r="G36" s="2314"/>
      <c r="H36" s="32">
        <f t="shared" si="5"/>
        <v>0</v>
      </c>
      <c r="I36" s="2314"/>
      <c r="J36" s="32">
        <f t="shared" si="6"/>
        <v>0</v>
      </c>
      <c r="K36" s="2314"/>
      <c r="L36" s="31">
        <f t="shared" si="7"/>
        <v>0</v>
      </c>
      <c r="M36" s="2314"/>
      <c r="N36" s="31" t="str">
        <f>Liste!L36</f>
        <v>Stk</v>
      </c>
      <c r="O36" s="31"/>
      <c r="P36" s="31"/>
      <c r="Q36" s="31">
        <f>Liste!P36</f>
        <v>0</v>
      </c>
      <c r="R36" s="31">
        <f>Liste!N36</f>
        <v>0</v>
      </c>
      <c r="S36" s="7">
        <v>0</v>
      </c>
      <c r="T36" s="7">
        <v>0</v>
      </c>
      <c r="U36" s="7">
        <v>0</v>
      </c>
      <c r="V36" s="7"/>
      <c r="W36" s="60"/>
      <c r="X36" s="60"/>
      <c r="Y36" s="60"/>
      <c r="Z36" s="7"/>
      <c r="AA36" s="7"/>
      <c r="AB36" s="60"/>
      <c r="AC36" s="60"/>
      <c r="AD36" s="60"/>
      <c r="AE36" s="7"/>
      <c r="AF36" s="7"/>
      <c r="AG36" s="7"/>
      <c r="AH36" s="7"/>
      <c r="AI36" s="7"/>
      <c r="AJ36" s="7">
        <f>Liste!X36</f>
        <v>0</v>
      </c>
      <c r="AK36" s="7">
        <f>Liste!Y36</f>
        <v>0</v>
      </c>
      <c r="AL36" s="7"/>
      <c r="AM36" s="7"/>
      <c r="AN36" s="7"/>
      <c r="AO36" s="1113">
        <f>Liste!D36</f>
        <v>0</v>
      </c>
      <c r="AP36" s="1113">
        <f>Liste!F36</f>
        <v>362</v>
      </c>
      <c r="AQ36" s="1113">
        <f>Liste!E36</f>
        <v>281</v>
      </c>
      <c r="AR36" s="1113">
        <f>Liste!G36</f>
        <v>5</v>
      </c>
      <c r="AS36" s="1112">
        <f>Liste!V36</f>
        <v>1</v>
      </c>
      <c r="AT36" s="1" t="str">
        <f>Liste!M36</f>
        <v>V2A blank</v>
      </c>
      <c r="AZ36" s="5" t="s">
        <v>47</v>
      </c>
      <c r="BA36" s="4" t="s">
        <v>101</v>
      </c>
      <c r="BB36" s="4">
        <v>540</v>
      </c>
      <c r="BD36" s="35"/>
      <c r="BE36" s="35"/>
      <c r="BF36" s="2118" t="str">
        <f>Liste!R36</f>
        <v>0338066</v>
      </c>
      <c r="BG36" s="2137">
        <f>IF(AS36&gt;0,Liste!S36,0)</f>
        <v>0</v>
      </c>
      <c r="BH36" s="2118" t="str">
        <f>Liste!T36</f>
        <v>Stk</v>
      </c>
    </row>
    <row r="37" spans="1:60" ht="24.95" customHeight="1" x14ac:dyDescent="0.25">
      <c r="A37" s="29"/>
      <c r="B37" s="46" t="str">
        <f>IF(Liste!O37&gt;0,Liste!O37,Liste!B37)</f>
        <v>GCC vertikal Gurtanbindung 1x  35mm Gurt verzinkt</v>
      </c>
      <c r="C37" s="2314"/>
      <c r="D37" s="30" t="str">
        <f>Liste!C37</f>
        <v>0308261</v>
      </c>
      <c r="E37" s="2314"/>
      <c r="F37" s="32">
        <f t="shared" si="4"/>
        <v>0</v>
      </c>
      <c r="G37" s="2314"/>
      <c r="H37" s="32">
        <f t="shared" si="5"/>
        <v>0</v>
      </c>
      <c r="I37" s="2314"/>
      <c r="J37" s="32">
        <f t="shared" si="6"/>
        <v>0</v>
      </c>
      <c r="K37" s="2314"/>
      <c r="L37" s="31">
        <f t="shared" si="7"/>
        <v>0</v>
      </c>
      <c r="M37" s="2314"/>
      <c r="N37" s="31" t="str">
        <f>Liste!L37</f>
        <v>Stk</v>
      </c>
      <c r="O37" s="31"/>
      <c r="P37" s="31"/>
      <c r="Q37" s="31">
        <f>Liste!P37</f>
        <v>0</v>
      </c>
      <c r="R37" s="31">
        <f>Liste!N37</f>
        <v>0</v>
      </c>
      <c r="S37" s="7">
        <v>0</v>
      </c>
      <c r="T37" s="7">
        <v>0</v>
      </c>
      <c r="U37" s="7">
        <v>0</v>
      </c>
      <c r="V37" s="7"/>
      <c r="W37" s="60"/>
      <c r="X37" s="60"/>
      <c r="Y37" s="60"/>
      <c r="Z37" s="7"/>
      <c r="AA37" s="7"/>
      <c r="AB37" s="60"/>
      <c r="AC37" s="60"/>
      <c r="AD37" s="60"/>
      <c r="AE37" s="7"/>
      <c r="AF37" s="7"/>
      <c r="AG37" s="7"/>
      <c r="AH37" s="7"/>
      <c r="AI37" s="7"/>
      <c r="AJ37" s="7">
        <f>Liste!X37</f>
        <v>0</v>
      </c>
      <c r="AK37" s="7">
        <f>Liste!Y37</f>
        <v>0</v>
      </c>
      <c r="AL37" s="7"/>
      <c r="AM37" s="7"/>
      <c r="AN37" s="7"/>
      <c r="AO37" s="1113">
        <f>Liste!D37</f>
        <v>0</v>
      </c>
      <c r="AP37" s="1113">
        <f>Liste!F37</f>
        <v>362</v>
      </c>
      <c r="AQ37" s="1113">
        <f>Liste!E37</f>
        <v>281</v>
      </c>
      <c r="AR37" s="1113">
        <f>Liste!G37</f>
        <v>5</v>
      </c>
      <c r="AS37" s="1112">
        <f>Liste!V37</f>
        <v>1</v>
      </c>
      <c r="AT37" s="1" t="str">
        <f>Liste!M37</f>
        <v>Stahlblech verz.</v>
      </c>
      <c r="AZ37" s="5" t="s">
        <v>48</v>
      </c>
      <c r="BA37" s="4" t="s">
        <v>101</v>
      </c>
      <c r="BB37" s="4">
        <v>541</v>
      </c>
      <c r="BD37" s="35"/>
      <c r="BE37" s="35"/>
      <c r="BF37" s="2118" t="str">
        <f>Liste!R37</f>
        <v>0308261</v>
      </c>
      <c r="BG37" s="2137">
        <f>IF(AS37&gt;0,Liste!S37,0)</f>
        <v>0</v>
      </c>
      <c r="BH37" s="2118" t="str">
        <f>Liste!T37</f>
        <v>Stk</v>
      </c>
    </row>
    <row r="38" spans="1:60" ht="24.95" customHeight="1" x14ac:dyDescent="0.25">
      <c r="A38" s="29"/>
      <c r="B38" s="46" t="str">
        <f>IF(Liste!O38&gt;0,Liste!O38,Liste!B38)</f>
        <v>GCC vertikal Gurtanbindung 1x  35mm Gurt V2A</v>
      </c>
      <c r="C38" s="2314"/>
      <c r="D38" s="30" t="str">
        <f>Liste!C38</f>
        <v>0338261</v>
      </c>
      <c r="E38" s="2314"/>
      <c r="F38" s="32">
        <f t="shared" si="4"/>
        <v>0</v>
      </c>
      <c r="G38" s="2314"/>
      <c r="H38" s="32">
        <f t="shared" si="5"/>
        <v>0</v>
      </c>
      <c r="I38" s="2314"/>
      <c r="J38" s="32">
        <f t="shared" si="6"/>
        <v>0</v>
      </c>
      <c r="K38" s="2314"/>
      <c r="L38" s="31">
        <f t="shared" si="7"/>
        <v>0</v>
      </c>
      <c r="M38" s="2314"/>
      <c r="N38" s="31" t="str">
        <f>Liste!L38</f>
        <v>Stk</v>
      </c>
      <c r="O38" s="31"/>
      <c r="P38" s="31"/>
      <c r="Q38" s="31">
        <f>Liste!P38</f>
        <v>0</v>
      </c>
      <c r="R38" s="31">
        <f>Liste!N38</f>
        <v>0</v>
      </c>
      <c r="S38" s="7">
        <v>0</v>
      </c>
      <c r="T38" s="7">
        <v>0</v>
      </c>
      <c r="U38" s="7">
        <v>0</v>
      </c>
      <c r="V38" s="7"/>
      <c r="W38" s="60"/>
      <c r="X38" s="60"/>
      <c r="Y38" s="60"/>
      <c r="Z38" s="7"/>
      <c r="AA38" s="7"/>
      <c r="AB38" s="60"/>
      <c r="AC38" s="60"/>
      <c r="AD38" s="60"/>
      <c r="AE38" s="7"/>
      <c r="AF38" s="7"/>
      <c r="AG38" s="7"/>
      <c r="AH38" s="7"/>
      <c r="AI38" s="7"/>
      <c r="AJ38" s="7">
        <f>Liste!X38</f>
        <v>0</v>
      </c>
      <c r="AK38" s="7">
        <f>Liste!Y38</f>
        <v>0</v>
      </c>
      <c r="AL38" s="7"/>
      <c r="AM38" s="7"/>
      <c r="AN38" s="7"/>
      <c r="AO38" s="1113">
        <f>Liste!D38</f>
        <v>0</v>
      </c>
      <c r="AP38" s="1113">
        <f>Liste!F38</f>
        <v>362</v>
      </c>
      <c r="AQ38" s="1113">
        <f>Liste!E38</f>
        <v>281</v>
      </c>
      <c r="AR38" s="1113">
        <f>Liste!G38</f>
        <v>5</v>
      </c>
      <c r="AS38" s="1112">
        <f>Liste!V38</f>
        <v>1</v>
      </c>
      <c r="AT38" s="1" t="str">
        <f>Liste!M38</f>
        <v>V2A blank</v>
      </c>
      <c r="AZ38" s="5" t="s">
        <v>49</v>
      </c>
      <c r="BA38" s="4" t="s">
        <v>101</v>
      </c>
      <c r="BB38" s="4">
        <v>542</v>
      </c>
      <c r="BD38" s="35"/>
      <c r="BE38" s="35"/>
      <c r="BF38" s="2118" t="str">
        <f>Liste!R38</f>
        <v>0338261</v>
      </c>
      <c r="BG38" s="2137">
        <f>IF(AS38&gt;0,Liste!S38,0)</f>
        <v>0</v>
      </c>
      <c r="BH38" s="2118" t="str">
        <f>Liste!T38</f>
        <v>Stk</v>
      </c>
    </row>
    <row r="39" spans="1:60" ht="24.95" customHeight="1" x14ac:dyDescent="0.25">
      <c r="A39" s="29"/>
      <c r="B39" s="46" t="str">
        <f>IF(Liste!O39&gt;0,Liste!O39,Liste!B39)</f>
        <v>GCC vertikal Gurtanbindung 1x  76mm Gurt verzinkt</v>
      </c>
      <c r="C39" s="2314"/>
      <c r="D39" s="30" t="str">
        <f>Liste!C39</f>
        <v>0308103</v>
      </c>
      <c r="E39" s="2314"/>
      <c r="F39" s="32">
        <f t="shared" si="4"/>
        <v>0</v>
      </c>
      <c r="G39" s="2314"/>
      <c r="H39" s="32">
        <f t="shared" si="5"/>
        <v>0</v>
      </c>
      <c r="I39" s="2314"/>
      <c r="J39" s="32">
        <f t="shared" si="6"/>
        <v>0</v>
      </c>
      <c r="K39" s="2314"/>
      <c r="L39" s="31">
        <f t="shared" si="7"/>
        <v>0</v>
      </c>
      <c r="M39" s="2314"/>
      <c r="N39" s="31" t="str">
        <f>Liste!L39</f>
        <v>Stk</v>
      </c>
      <c r="O39" s="31"/>
      <c r="P39" s="31"/>
      <c r="Q39" s="31">
        <f>Liste!P39</f>
        <v>0</v>
      </c>
      <c r="R39" s="31">
        <f>Liste!N39</f>
        <v>0</v>
      </c>
      <c r="S39" s="7">
        <v>0</v>
      </c>
      <c r="T39" s="7">
        <v>0</v>
      </c>
      <c r="U39" s="7">
        <v>0</v>
      </c>
      <c r="V39" s="7"/>
      <c r="W39" s="60"/>
      <c r="X39" s="60"/>
      <c r="Y39" s="60"/>
      <c r="Z39" s="7"/>
      <c r="AA39" s="7"/>
      <c r="AB39" s="60"/>
      <c r="AC39" s="60"/>
      <c r="AD39" s="60"/>
      <c r="AE39" s="7"/>
      <c r="AF39" s="7"/>
      <c r="AG39" s="7"/>
      <c r="AH39" s="7"/>
      <c r="AI39" s="7"/>
      <c r="AJ39" s="7">
        <f>Liste!X39</f>
        <v>0</v>
      </c>
      <c r="AK39" s="7">
        <f>Liste!Y39</f>
        <v>0</v>
      </c>
      <c r="AL39" s="7"/>
      <c r="AM39" s="7"/>
      <c r="AN39" s="7"/>
      <c r="AO39" s="1113">
        <f>Liste!D39</f>
        <v>0</v>
      </c>
      <c r="AP39" s="1113">
        <f>Liste!F39</f>
        <v>362</v>
      </c>
      <c r="AQ39" s="1113">
        <f>Liste!E39</f>
        <v>281</v>
      </c>
      <c r="AR39" s="1113">
        <f>Liste!G39</f>
        <v>5</v>
      </c>
      <c r="AS39" s="1112">
        <f>Liste!V39</f>
        <v>1</v>
      </c>
      <c r="AT39" s="1" t="str">
        <f>Liste!M39</f>
        <v>Stahlblech verz.</v>
      </c>
      <c r="AZ39" s="5" t="s">
        <v>50</v>
      </c>
      <c r="BA39" s="4" t="s">
        <v>101</v>
      </c>
      <c r="BB39" s="4">
        <v>543</v>
      </c>
      <c r="BD39" s="35"/>
      <c r="BE39" s="35"/>
      <c r="BF39" s="2118" t="str">
        <f>Liste!R39</f>
        <v>0308103</v>
      </c>
      <c r="BG39" s="2137">
        <f>IF(AS39&gt;0,Liste!S39,0)</f>
        <v>0</v>
      </c>
      <c r="BH39" s="2118" t="str">
        <f>Liste!T39</f>
        <v>Stk</v>
      </c>
    </row>
    <row r="40" spans="1:60" ht="24.95" customHeight="1" x14ac:dyDescent="0.25">
      <c r="A40" s="29"/>
      <c r="B40" s="46" t="str">
        <f>IF(Liste!O40&gt;0,Liste!O40,Liste!B40)</f>
        <v>GCC vertikal Gurtanbindung 1x  76mm Gurt V2A</v>
      </c>
      <c r="C40" s="2314"/>
      <c r="D40" s="30" t="str">
        <f>Liste!C40</f>
        <v>0338103</v>
      </c>
      <c r="E40" s="2314"/>
      <c r="F40" s="32">
        <f t="shared" si="4"/>
        <v>0</v>
      </c>
      <c r="G40" s="2314"/>
      <c r="H40" s="32">
        <f t="shared" si="5"/>
        <v>0</v>
      </c>
      <c r="I40" s="2314"/>
      <c r="J40" s="32">
        <f t="shared" si="6"/>
        <v>0</v>
      </c>
      <c r="K40" s="2314"/>
      <c r="L40" s="31">
        <f t="shared" si="7"/>
        <v>0</v>
      </c>
      <c r="M40" s="2314"/>
      <c r="N40" s="31" t="str">
        <f>Liste!L40</f>
        <v>Stk</v>
      </c>
      <c r="O40" s="31"/>
      <c r="P40" s="31"/>
      <c r="Q40" s="31">
        <f>Liste!P40</f>
        <v>0</v>
      </c>
      <c r="R40" s="31">
        <f>Liste!N40</f>
        <v>0</v>
      </c>
      <c r="S40" s="7">
        <v>0</v>
      </c>
      <c r="T40" s="7">
        <v>0</v>
      </c>
      <c r="U40" s="7">
        <v>0</v>
      </c>
      <c r="V40" s="7"/>
      <c r="W40" s="60"/>
      <c r="X40" s="60"/>
      <c r="Y40" s="60"/>
      <c r="Z40" s="7"/>
      <c r="AA40" s="7"/>
      <c r="AB40" s="60"/>
      <c r="AC40" s="60"/>
      <c r="AD40" s="60"/>
      <c r="AE40" s="7"/>
      <c r="AF40" s="7"/>
      <c r="AG40" s="7"/>
      <c r="AH40" s="7"/>
      <c r="AI40" s="7"/>
      <c r="AJ40" s="7">
        <f>Liste!X40</f>
        <v>0</v>
      </c>
      <c r="AK40" s="7">
        <f>Liste!Y40</f>
        <v>0</v>
      </c>
      <c r="AL40" s="7"/>
      <c r="AM40" s="7"/>
      <c r="AN40" s="7"/>
      <c r="AO40" s="1113">
        <f>Liste!D40</f>
        <v>0</v>
      </c>
      <c r="AP40" s="1113">
        <f>Liste!F40</f>
        <v>362</v>
      </c>
      <c r="AQ40" s="1113">
        <f>Liste!E40</f>
        <v>281</v>
      </c>
      <c r="AR40" s="1113">
        <f>Liste!G40</f>
        <v>5</v>
      </c>
      <c r="AS40" s="1112">
        <f>Liste!V40</f>
        <v>1</v>
      </c>
      <c r="AT40" s="1" t="str">
        <f>Liste!M40</f>
        <v>V2A blank</v>
      </c>
      <c r="AZ40" s="5" t="s">
        <v>51</v>
      </c>
      <c r="BA40" s="4" t="s">
        <v>101</v>
      </c>
      <c r="BB40" s="4">
        <v>544</v>
      </c>
      <c r="BD40" s="35"/>
      <c r="BE40" s="35"/>
      <c r="BF40" s="2118" t="str">
        <f>Liste!R40</f>
        <v>0338103</v>
      </c>
      <c r="BG40" s="2137">
        <f>IF(AS40&gt;0,Liste!S40,0)</f>
        <v>0</v>
      </c>
      <c r="BH40" s="2118" t="str">
        <f>Liste!T40</f>
        <v>Stk</v>
      </c>
    </row>
    <row r="41" spans="1:60" ht="24.95" customHeight="1" x14ac:dyDescent="0.25">
      <c r="A41" s="29"/>
      <c r="B41" s="46" t="str">
        <f>IF(Liste!O41&gt;0,Liste!O41,Liste!B41)</f>
        <v>Gurtanbindung 74mm Gurt GCC Übergröße verzinkt</v>
      </c>
      <c r="C41" s="2314"/>
      <c r="D41" s="30" t="str">
        <f>Liste!C41</f>
        <v>0308378</v>
      </c>
      <c r="E41" s="2314"/>
      <c r="F41" s="32">
        <f t="shared" si="4"/>
        <v>0</v>
      </c>
      <c r="G41" s="2314"/>
      <c r="H41" s="32">
        <f t="shared" si="5"/>
        <v>0</v>
      </c>
      <c r="I41" s="2314"/>
      <c r="J41" s="32">
        <f t="shared" si="6"/>
        <v>0</v>
      </c>
      <c r="K41" s="2314"/>
      <c r="L41" s="31">
        <f t="shared" si="7"/>
        <v>0</v>
      </c>
      <c r="M41" s="2314"/>
      <c r="N41" s="31" t="str">
        <f>Liste!L41</f>
        <v>Stk</v>
      </c>
      <c r="O41" s="31"/>
      <c r="P41" s="31"/>
      <c r="Q41" s="31">
        <f>Liste!P41</f>
        <v>0</v>
      </c>
      <c r="R41" s="31">
        <f>Liste!N41</f>
        <v>0</v>
      </c>
      <c r="S41" s="7">
        <v>0</v>
      </c>
      <c r="T41" s="7">
        <v>0</v>
      </c>
      <c r="U41" s="7">
        <v>0</v>
      </c>
      <c r="V41" s="7"/>
      <c r="W41" s="60"/>
      <c r="X41" s="60"/>
      <c r="Y41" s="60"/>
      <c r="Z41" s="7"/>
      <c r="AA41" s="7"/>
      <c r="AB41" s="60"/>
      <c r="AC41" s="60"/>
      <c r="AD41" s="60"/>
      <c r="AE41" s="7"/>
      <c r="AF41" s="7"/>
      <c r="AG41" s="7"/>
      <c r="AH41" s="7"/>
      <c r="AI41" s="7"/>
      <c r="AJ41" s="7">
        <f>Liste!X41</f>
        <v>0</v>
      </c>
      <c r="AK41" s="7">
        <f>Liste!Y41</f>
        <v>0</v>
      </c>
      <c r="AL41" s="7"/>
      <c r="AM41" s="7"/>
      <c r="AN41" s="7"/>
      <c r="AO41" s="1113">
        <f>Liste!D41</f>
        <v>0</v>
      </c>
      <c r="AP41" s="1113">
        <f>Liste!F41</f>
        <v>362</v>
      </c>
      <c r="AQ41" s="1113">
        <f>Liste!E41</f>
        <v>281</v>
      </c>
      <c r="AR41" s="1113">
        <f>Liste!G41</f>
        <v>5</v>
      </c>
      <c r="AS41" s="1112">
        <f>Liste!V41</f>
        <v>1</v>
      </c>
      <c r="AT41" s="1" t="str">
        <f>Liste!M41</f>
        <v>Stahlblech verz.</v>
      </c>
      <c r="AZ41" s="5" t="s">
        <v>52</v>
      </c>
      <c r="BA41" s="4" t="s">
        <v>101</v>
      </c>
      <c r="BB41" s="4">
        <v>545</v>
      </c>
      <c r="BD41" s="35"/>
      <c r="BE41" s="35"/>
      <c r="BF41" s="2118" t="str">
        <f>Liste!R41</f>
        <v>0308378</v>
      </c>
      <c r="BG41" s="2137">
        <f>IF(AS41&gt;0,Liste!S41,0)</f>
        <v>0</v>
      </c>
      <c r="BH41" s="2118" t="str">
        <f>Liste!T41</f>
        <v>Stk</v>
      </c>
    </row>
    <row r="42" spans="1:60" ht="24.95" customHeight="1" x14ac:dyDescent="0.25">
      <c r="A42" s="29"/>
      <c r="B42" s="46" t="str">
        <f>IF(Liste!O42&gt;0,Liste!O42,Liste!B42)</f>
        <v>Gurtanbindung 74mm Gurt GCC Übergröße V2A</v>
      </c>
      <c r="C42" s="2314"/>
      <c r="D42" s="30" t="str">
        <f>Liste!C42</f>
        <v>0338378</v>
      </c>
      <c r="E42" s="2314"/>
      <c r="F42" s="32">
        <f t="shared" si="4"/>
        <v>0</v>
      </c>
      <c r="G42" s="2314"/>
      <c r="H42" s="32">
        <f t="shared" si="5"/>
        <v>0</v>
      </c>
      <c r="I42" s="2314"/>
      <c r="J42" s="32">
        <f t="shared" si="6"/>
        <v>0</v>
      </c>
      <c r="K42" s="2314"/>
      <c r="L42" s="31">
        <f t="shared" si="7"/>
        <v>0</v>
      </c>
      <c r="M42" s="2314"/>
      <c r="N42" s="31" t="str">
        <f>Liste!L42</f>
        <v>Stk</v>
      </c>
      <c r="O42" s="31"/>
      <c r="P42" s="31"/>
      <c r="Q42" s="31">
        <f>Liste!P42</f>
        <v>0</v>
      </c>
      <c r="R42" s="31">
        <f>Liste!N42</f>
        <v>0</v>
      </c>
      <c r="S42" s="7">
        <v>0</v>
      </c>
      <c r="T42" s="7">
        <v>0</v>
      </c>
      <c r="U42" s="7">
        <v>0</v>
      </c>
      <c r="V42" s="7"/>
      <c r="W42" s="60"/>
      <c r="X42" s="60"/>
      <c r="Y42" s="60"/>
      <c r="Z42" s="7"/>
      <c r="AA42" s="7"/>
      <c r="AB42" s="60"/>
      <c r="AC42" s="60"/>
      <c r="AD42" s="60"/>
      <c r="AE42" s="7"/>
      <c r="AF42" s="7"/>
      <c r="AG42" s="7"/>
      <c r="AH42" s="7"/>
      <c r="AI42" s="7"/>
      <c r="AJ42" s="7">
        <f>Liste!X42</f>
        <v>0</v>
      </c>
      <c r="AK42" s="7">
        <f>Liste!Y42</f>
        <v>0</v>
      </c>
      <c r="AL42" s="7"/>
      <c r="AM42" s="7"/>
      <c r="AN42" s="7"/>
      <c r="AO42" s="1113">
        <f>Liste!D42</f>
        <v>0</v>
      </c>
      <c r="AP42" s="1113">
        <f>Liste!F42</f>
        <v>362</v>
      </c>
      <c r="AQ42" s="1113">
        <f>Liste!E42</f>
        <v>281</v>
      </c>
      <c r="AR42" s="1113">
        <f>Liste!G42</f>
        <v>5</v>
      </c>
      <c r="AS42" s="1112">
        <f>Liste!V42</f>
        <v>1</v>
      </c>
      <c r="AT42" s="1" t="str">
        <f>Liste!M42</f>
        <v>V2A blank</v>
      </c>
      <c r="AZ42" s="5" t="s">
        <v>112</v>
      </c>
      <c r="BA42" s="4" t="s">
        <v>101</v>
      </c>
      <c r="BB42" s="4">
        <v>546</v>
      </c>
      <c r="BD42" s="35"/>
      <c r="BE42" s="35"/>
      <c r="BF42" s="2118" t="str">
        <f>Liste!R42</f>
        <v>0338378</v>
      </c>
      <c r="BG42" s="2137">
        <f>IF(AS42&gt;0,Liste!S42,0)</f>
        <v>0</v>
      </c>
      <c r="BH42" s="2118" t="str">
        <f>Liste!T42</f>
        <v>Stk</v>
      </c>
    </row>
    <row r="43" spans="1:60" ht="24.95" customHeight="1" x14ac:dyDescent="0.25">
      <c r="A43" s="29"/>
      <c r="B43" s="46" t="str">
        <f>IF(Liste!O43&gt;0,Liste!O43,Liste!B43)</f>
        <v>GCC vertikal Gurtanbindung 2x  35mm Gurt verzinkt</v>
      </c>
      <c r="C43" s="2314"/>
      <c r="D43" s="30" t="str">
        <f>Liste!C43</f>
        <v>0308066</v>
      </c>
      <c r="E43" s="2314"/>
      <c r="F43" s="32">
        <f t="shared" si="4"/>
        <v>0</v>
      </c>
      <c r="G43" s="2314"/>
      <c r="H43" s="32">
        <f t="shared" si="5"/>
        <v>0</v>
      </c>
      <c r="I43" s="2314"/>
      <c r="J43" s="32">
        <f t="shared" si="6"/>
        <v>0</v>
      </c>
      <c r="K43" s="2314"/>
      <c r="L43" s="31">
        <f t="shared" si="7"/>
        <v>0</v>
      </c>
      <c r="M43" s="2314"/>
      <c r="N43" s="31">
        <f>Liste!L43</f>
        <v>0</v>
      </c>
      <c r="O43" s="31"/>
      <c r="P43" s="31"/>
      <c r="Q43" s="31">
        <f>Liste!P43</f>
        <v>0</v>
      </c>
      <c r="R43" s="31">
        <f>Liste!N43</f>
        <v>0</v>
      </c>
      <c r="S43" s="7">
        <v>0</v>
      </c>
      <c r="T43" s="7">
        <v>0</v>
      </c>
      <c r="U43" s="7">
        <v>0</v>
      </c>
      <c r="V43" s="7"/>
      <c r="W43" s="60"/>
      <c r="X43" s="60"/>
      <c r="Y43" s="60"/>
      <c r="Z43" s="7"/>
      <c r="AA43" s="7"/>
      <c r="AB43" s="60"/>
      <c r="AC43" s="60"/>
      <c r="AD43" s="60"/>
      <c r="AE43" s="7"/>
      <c r="AF43" s="7"/>
      <c r="AG43" s="7"/>
      <c r="AH43" s="7"/>
      <c r="AI43" s="7"/>
      <c r="AJ43" s="7">
        <f>Liste!X43</f>
        <v>0</v>
      </c>
      <c r="AK43" s="7">
        <f>Liste!Y43</f>
        <v>0</v>
      </c>
      <c r="AL43" s="7"/>
      <c r="AM43" s="7"/>
      <c r="AN43" s="7"/>
      <c r="AO43" s="1113">
        <f>Liste!D43</f>
        <v>0</v>
      </c>
      <c r="AP43" s="1113">
        <f>Liste!F43</f>
        <v>0</v>
      </c>
      <c r="AQ43" s="1113">
        <f>Liste!E43</f>
        <v>0</v>
      </c>
      <c r="AR43" s="1113">
        <f>Liste!G43</f>
        <v>0</v>
      </c>
      <c r="AS43" s="1112">
        <f>Liste!V43</f>
        <v>0</v>
      </c>
      <c r="AT43" s="1">
        <f>Liste!M43</f>
        <v>0</v>
      </c>
      <c r="AZ43" s="5" t="s">
        <v>113</v>
      </c>
      <c r="BA43" s="4" t="s">
        <v>101</v>
      </c>
      <c r="BB43" s="4">
        <v>547</v>
      </c>
      <c r="BD43" s="35"/>
      <c r="BE43" s="35"/>
      <c r="BF43" s="2118" t="str">
        <f>Liste!R43</f>
        <v>0308066</v>
      </c>
      <c r="BG43" s="2137">
        <f>IF(AS43&gt;0,Liste!S43,0)</f>
        <v>0</v>
      </c>
      <c r="BH43" s="2118">
        <f>Liste!T43</f>
        <v>0</v>
      </c>
    </row>
    <row r="44" spans="1:60" ht="24.95" customHeight="1" x14ac:dyDescent="0.25">
      <c r="A44" s="29"/>
      <c r="B44" s="46" t="str">
        <f>IF(Liste!O44&gt;0,Liste!O44,Liste!B44)</f>
        <v>GCC vertikal Verkrallungsprofil Schieber 250mm verzinkt</v>
      </c>
      <c r="C44" s="2314"/>
      <c r="D44" s="30" t="str">
        <f>Liste!C44</f>
        <v>0308136</v>
      </c>
      <c r="E44" s="2314"/>
      <c r="F44" s="32">
        <f t="shared" si="4"/>
        <v>0</v>
      </c>
      <c r="G44" s="2314"/>
      <c r="H44" s="32">
        <f t="shared" si="5"/>
        <v>0</v>
      </c>
      <c r="I44" s="2314"/>
      <c r="J44" s="32">
        <f t="shared" si="6"/>
        <v>0</v>
      </c>
      <c r="K44" s="2314"/>
      <c r="L44" s="31">
        <f t="shared" si="7"/>
        <v>0</v>
      </c>
      <c r="M44" s="2314"/>
      <c r="N44" s="31" t="str">
        <f>Liste!L44</f>
        <v>Stk</v>
      </c>
      <c r="O44" s="31"/>
      <c r="P44" s="31"/>
      <c r="Q44" s="31">
        <f>Liste!P44</f>
        <v>0</v>
      </c>
      <c r="R44" s="31">
        <f>Liste!N44</f>
        <v>0</v>
      </c>
      <c r="S44" s="7">
        <v>0</v>
      </c>
      <c r="T44" s="7">
        <v>0</v>
      </c>
      <c r="U44" s="7">
        <v>0</v>
      </c>
      <c r="V44" s="7"/>
      <c r="W44" s="60"/>
      <c r="X44" s="60"/>
      <c r="Y44" s="60"/>
      <c r="Z44" s="7"/>
      <c r="AA44" s="7"/>
      <c r="AB44" s="60"/>
      <c r="AC44" s="60"/>
      <c r="AD44" s="60"/>
      <c r="AE44" s="7"/>
      <c r="AF44" s="7"/>
      <c r="AG44" s="7"/>
      <c r="AH44" s="7"/>
      <c r="AI44" s="7"/>
      <c r="AJ44" s="7">
        <f>Liste!X44</f>
        <v>0</v>
      </c>
      <c r="AK44" s="7">
        <f>Liste!Y44</f>
        <v>0</v>
      </c>
      <c r="AL44" s="7"/>
      <c r="AM44" s="7"/>
      <c r="AN44" s="7"/>
      <c r="AO44" s="1113">
        <f>Liste!D44</f>
        <v>0</v>
      </c>
      <c r="AP44" s="1113">
        <f>Liste!F44</f>
        <v>250</v>
      </c>
      <c r="AQ44" s="1113">
        <f>Liste!E44</f>
        <v>152.5</v>
      </c>
      <c r="AR44" s="1113">
        <f>Liste!G44</f>
        <v>3</v>
      </c>
      <c r="AS44" s="1112">
        <f>Liste!V44</f>
        <v>1</v>
      </c>
      <c r="AT44" s="1" t="str">
        <f>Liste!M44</f>
        <v>Stahlblech verz.</v>
      </c>
      <c r="AZ44" s="5" t="s">
        <v>31296</v>
      </c>
      <c r="BA44" s="4" t="s">
        <v>101</v>
      </c>
      <c r="BB44" s="4">
        <v>548</v>
      </c>
      <c r="BD44" s="35"/>
      <c r="BE44" s="35"/>
      <c r="BF44" s="2118" t="str">
        <f>Liste!R44</f>
        <v>0308136</v>
      </c>
      <c r="BG44" s="2137">
        <f>IF(AS44&gt;0,Liste!S44,0)</f>
        <v>0</v>
      </c>
      <c r="BH44" s="2118" t="str">
        <f>Liste!T44</f>
        <v>Stk</v>
      </c>
    </row>
    <row r="45" spans="1:60" ht="24.95" customHeight="1" x14ac:dyDescent="0.25">
      <c r="A45" s="29"/>
      <c r="B45" s="46" t="str">
        <f>IF(Liste!O45&gt;0,Liste!O45,Liste!B45)</f>
        <v>GCC vertikal Verkrallungsprofil Schieber 250mm V2A</v>
      </c>
      <c r="C45" s="2314"/>
      <c r="D45" s="30">
        <f>Liste!C45</f>
        <v>0</v>
      </c>
      <c r="E45" s="2314"/>
      <c r="F45" s="32">
        <f t="shared" si="4"/>
        <v>0</v>
      </c>
      <c r="G45" s="2314"/>
      <c r="H45" s="32">
        <f t="shared" si="5"/>
        <v>0</v>
      </c>
      <c r="I45" s="2314"/>
      <c r="J45" s="32">
        <f t="shared" si="6"/>
        <v>0</v>
      </c>
      <c r="K45" s="2314"/>
      <c r="L45" s="31">
        <f t="shared" si="7"/>
        <v>0</v>
      </c>
      <c r="M45" s="2314"/>
      <c r="N45" s="31" t="str">
        <f>Liste!L45</f>
        <v>Stk</v>
      </c>
      <c r="O45" s="31"/>
      <c r="P45" s="31"/>
      <c r="Q45" s="31">
        <f>Liste!P45</f>
        <v>0</v>
      </c>
      <c r="R45" s="31">
        <f>Liste!N45</f>
        <v>0</v>
      </c>
      <c r="S45" s="7">
        <v>0</v>
      </c>
      <c r="T45" s="7">
        <v>0</v>
      </c>
      <c r="U45" s="7">
        <v>0</v>
      </c>
      <c r="V45" s="7"/>
      <c r="W45" s="60"/>
      <c r="X45" s="60"/>
      <c r="Y45" s="60"/>
      <c r="Z45" s="7"/>
      <c r="AA45" s="7"/>
      <c r="AB45" s="60"/>
      <c r="AC45" s="60"/>
      <c r="AD45" s="60"/>
      <c r="AE45" s="7"/>
      <c r="AF45" s="7"/>
      <c r="AG45" s="7"/>
      <c r="AH45" s="7"/>
      <c r="AI45" s="7"/>
      <c r="AJ45" s="7">
        <f>Liste!X45</f>
        <v>0</v>
      </c>
      <c r="AK45" s="7">
        <f>Liste!Y45</f>
        <v>1</v>
      </c>
      <c r="AL45" s="7"/>
      <c r="AM45" s="7"/>
      <c r="AN45" s="7"/>
      <c r="AO45" s="1113">
        <f>Liste!D45</f>
        <v>0</v>
      </c>
      <c r="AP45" s="1113">
        <f>Liste!F45</f>
        <v>250</v>
      </c>
      <c r="AQ45" s="1113">
        <f>Liste!E45</f>
        <v>152.5</v>
      </c>
      <c r="AR45" s="1113">
        <f>Liste!G45</f>
        <v>3</v>
      </c>
      <c r="AS45" s="1112">
        <f>Liste!V45</f>
        <v>1</v>
      </c>
      <c r="AT45" s="1" t="str">
        <f>Liste!M45</f>
        <v>V2A blank</v>
      </c>
      <c r="AZ45" s="5" t="s">
        <v>31297</v>
      </c>
      <c r="BA45" s="4" t="s">
        <v>101</v>
      </c>
      <c r="BB45" s="4">
        <v>549</v>
      </c>
      <c r="BD45" s="35"/>
      <c r="BE45" s="35"/>
      <c r="BF45" s="2118">
        <f>Liste!R45</f>
        <v>0</v>
      </c>
      <c r="BG45" s="2137">
        <f>IF(AS45&gt;0,Liste!S45,0)</f>
        <v>0</v>
      </c>
      <c r="BH45" s="2118" t="str">
        <f>Liste!T45</f>
        <v>Stk</v>
      </c>
    </row>
    <row r="46" spans="1:60" ht="24.95" customHeight="1" x14ac:dyDescent="0.25">
      <c r="A46" s="29"/>
      <c r="B46" s="46">
        <f>IF(Liste!O46&gt;0,Liste!O46,Liste!B46)</f>
        <v>0</v>
      </c>
      <c r="C46" s="2314"/>
      <c r="D46" s="30">
        <f>Liste!C46</f>
        <v>0</v>
      </c>
      <c r="E46" s="2314"/>
      <c r="F46" s="32">
        <f t="shared" si="4"/>
        <v>0</v>
      </c>
      <c r="G46" s="2314"/>
      <c r="H46" s="32">
        <f t="shared" si="5"/>
        <v>0</v>
      </c>
      <c r="I46" s="2314"/>
      <c r="J46" s="32">
        <f t="shared" si="6"/>
        <v>0</v>
      </c>
      <c r="K46" s="2314"/>
      <c r="L46" s="31">
        <f t="shared" si="7"/>
        <v>0</v>
      </c>
      <c r="M46" s="2314"/>
      <c r="N46" s="31">
        <f>Liste!L46</f>
        <v>0</v>
      </c>
      <c r="O46" s="31"/>
      <c r="P46" s="31"/>
      <c r="Q46" s="31">
        <f>Liste!P46</f>
        <v>0</v>
      </c>
      <c r="R46" s="31">
        <f>Liste!N46</f>
        <v>0</v>
      </c>
      <c r="S46" s="7">
        <v>0</v>
      </c>
      <c r="T46" s="7">
        <v>0</v>
      </c>
      <c r="U46" s="7">
        <v>0</v>
      </c>
      <c r="V46" s="7"/>
      <c r="W46" s="60"/>
      <c r="X46" s="60"/>
      <c r="Y46" s="60"/>
      <c r="Z46" s="7"/>
      <c r="AA46" s="7"/>
      <c r="AB46" s="60"/>
      <c r="AC46" s="60"/>
      <c r="AD46" s="60"/>
      <c r="AE46" s="7"/>
      <c r="AF46" s="7"/>
      <c r="AG46" s="7"/>
      <c r="AH46" s="7"/>
      <c r="AI46" s="7"/>
      <c r="AJ46" s="7">
        <f>Liste!X46</f>
        <v>0</v>
      </c>
      <c r="AK46" s="7">
        <f>Liste!Y46</f>
        <v>0</v>
      </c>
      <c r="AL46" s="7"/>
      <c r="AM46" s="7"/>
      <c r="AN46" s="7"/>
      <c r="AO46" s="1113">
        <f>Liste!D46</f>
        <v>0</v>
      </c>
      <c r="AP46" s="1113">
        <f>Liste!F46</f>
        <v>0</v>
      </c>
      <c r="AQ46" s="1113">
        <f>Liste!E46</f>
        <v>0</v>
      </c>
      <c r="AR46" s="1113">
        <f>Liste!G46</f>
        <v>0</v>
      </c>
      <c r="AS46" s="1112">
        <f>Liste!V46</f>
        <v>0</v>
      </c>
      <c r="AT46" s="1">
        <f>Liste!M46</f>
        <v>0</v>
      </c>
      <c r="AZ46" s="5" t="s">
        <v>31298</v>
      </c>
      <c r="BA46" s="4" t="s">
        <v>101</v>
      </c>
      <c r="BB46" s="4">
        <v>550</v>
      </c>
      <c r="BD46" s="35"/>
      <c r="BE46" s="35"/>
      <c r="BF46" s="2118">
        <f>Liste!R46</f>
        <v>0</v>
      </c>
      <c r="BG46" s="2137">
        <f>IF(AS46&gt;0,Liste!S46,0)</f>
        <v>0</v>
      </c>
      <c r="BH46" s="2118">
        <f>Liste!T46</f>
        <v>0</v>
      </c>
    </row>
    <row r="47" spans="1:60" ht="24.95" customHeight="1" x14ac:dyDescent="0.25">
      <c r="A47" s="29"/>
      <c r="B47" s="46" t="str">
        <f>IF(Liste!O47&gt;0,Liste!O47,Liste!B47)</f>
        <v>GCC vertikal Verkrallungsprofil Schieber 150mm verzinkt</v>
      </c>
      <c r="C47" s="2314"/>
      <c r="D47" s="30" t="str">
        <f>Liste!C47</f>
        <v>0308151</v>
      </c>
      <c r="E47" s="2314"/>
      <c r="F47" s="32">
        <f t="shared" si="4"/>
        <v>2</v>
      </c>
      <c r="G47" s="2314"/>
      <c r="H47" s="32">
        <f t="shared" si="5"/>
        <v>0</v>
      </c>
      <c r="I47" s="2314"/>
      <c r="J47" s="32">
        <f t="shared" si="6"/>
        <v>0</v>
      </c>
      <c r="K47" s="2314"/>
      <c r="L47" s="31">
        <f t="shared" si="7"/>
        <v>0</v>
      </c>
      <c r="M47" s="2314"/>
      <c r="N47" s="31" t="str">
        <f>Liste!L47</f>
        <v>Stk</v>
      </c>
      <c r="O47" s="31"/>
      <c r="P47" s="31"/>
      <c r="Q47" s="31">
        <f>Liste!P47</f>
        <v>0</v>
      </c>
      <c r="R47" s="31">
        <f>Liste!N47</f>
        <v>0</v>
      </c>
      <c r="S47" s="7">
        <v>0</v>
      </c>
      <c r="T47" s="7">
        <v>0</v>
      </c>
      <c r="U47" s="7">
        <v>0</v>
      </c>
      <c r="V47" s="7"/>
      <c r="W47" s="60"/>
      <c r="X47" s="60"/>
      <c r="Y47" s="60"/>
      <c r="Z47" s="7"/>
      <c r="AA47" s="7"/>
      <c r="AB47" s="60"/>
      <c r="AC47" s="60"/>
      <c r="AD47" s="60"/>
      <c r="AE47" s="7"/>
      <c r="AF47" s="7"/>
      <c r="AG47" s="7"/>
      <c r="AH47" s="7"/>
      <c r="AI47" s="7"/>
      <c r="AJ47" s="7">
        <f>Liste!X47</f>
        <v>0</v>
      </c>
      <c r="AK47" s="7">
        <f>Liste!Y47</f>
        <v>0</v>
      </c>
      <c r="AL47" s="7"/>
      <c r="AM47" s="7"/>
      <c r="AN47" s="7"/>
      <c r="AO47" s="1113">
        <f>Liste!D47</f>
        <v>2</v>
      </c>
      <c r="AP47" s="1113">
        <f>Liste!F47</f>
        <v>150</v>
      </c>
      <c r="AQ47" s="1113">
        <f>Liste!E47</f>
        <v>152.5</v>
      </c>
      <c r="AR47" s="1113">
        <f>Liste!G47</f>
        <v>3</v>
      </c>
      <c r="AS47" s="1112">
        <f>Liste!V47</f>
        <v>1</v>
      </c>
      <c r="AT47" s="1" t="str">
        <f>Liste!M47</f>
        <v>Stahlblech verz.</v>
      </c>
      <c r="AZ47" s="5" t="s">
        <v>114</v>
      </c>
      <c r="BA47" s="4" t="s">
        <v>101</v>
      </c>
      <c r="BB47" s="4">
        <v>551</v>
      </c>
      <c r="BD47" s="35"/>
      <c r="BE47" s="35"/>
      <c r="BF47" s="2118" t="str">
        <f>Liste!R47</f>
        <v>0308151</v>
      </c>
      <c r="BG47" s="2137">
        <f>IF(AS47&gt;0,Liste!S47,0)</f>
        <v>2</v>
      </c>
      <c r="BH47" s="2118" t="str">
        <f>Liste!T47</f>
        <v>Stk</v>
      </c>
    </row>
    <row r="48" spans="1:60" ht="24.95" customHeight="1" x14ac:dyDescent="0.25">
      <c r="A48" s="29"/>
      <c r="B48" s="46" t="str">
        <f>IF(Liste!O48&gt;0,Liste!O48,Liste!B48)</f>
        <v>GCC vertikal Verkrallungsprofil Schieber 150mm V2A</v>
      </c>
      <c r="C48" s="2314"/>
      <c r="D48" s="30">
        <f>Liste!C48</f>
        <v>0</v>
      </c>
      <c r="E48" s="2314"/>
      <c r="F48" s="32">
        <f t="shared" si="4"/>
        <v>0</v>
      </c>
      <c r="G48" s="2314"/>
      <c r="H48" s="32">
        <f t="shared" si="5"/>
        <v>0</v>
      </c>
      <c r="I48" s="2314"/>
      <c r="J48" s="32">
        <f t="shared" si="6"/>
        <v>0</v>
      </c>
      <c r="K48" s="2314"/>
      <c r="L48" s="31">
        <f t="shared" si="7"/>
        <v>0</v>
      </c>
      <c r="M48" s="2314"/>
      <c r="N48" s="31" t="str">
        <f>Liste!L48</f>
        <v>Stk</v>
      </c>
      <c r="O48" s="31"/>
      <c r="P48" s="31"/>
      <c r="Q48" s="31">
        <f>Liste!P48</f>
        <v>0</v>
      </c>
      <c r="R48" s="31">
        <f>Liste!N48</f>
        <v>0</v>
      </c>
      <c r="S48" s="7">
        <v>0</v>
      </c>
      <c r="T48" s="7">
        <v>0</v>
      </c>
      <c r="U48" s="7">
        <v>0</v>
      </c>
      <c r="V48" s="7"/>
      <c r="W48" s="60"/>
      <c r="X48" s="60"/>
      <c r="Y48" s="60"/>
      <c r="Z48" s="7"/>
      <c r="AA48" s="7"/>
      <c r="AB48" s="60"/>
      <c r="AC48" s="60"/>
      <c r="AD48" s="60"/>
      <c r="AE48" s="7"/>
      <c r="AF48" s="7"/>
      <c r="AG48" s="7"/>
      <c r="AH48" s="7"/>
      <c r="AI48" s="7"/>
      <c r="AJ48" s="7">
        <f>Liste!X48</f>
        <v>0</v>
      </c>
      <c r="AK48" s="7">
        <f>Liste!Y48</f>
        <v>1</v>
      </c>
      <c r="AL48" s="7"/>
      <c r="AM48" s="7"/>
      <c r="AN48" s="7"/>
      <c r="AO48" s="1113">
        <f>Liste!D48</f>
        <v>0</v>
      </c>
      <c r="AP48" s="1113">
        <f>Liste!F48</f>
        <v>150</v>
      </c>
      <c r="AQ48" s="1113">
        <f>Liste!E48</f>
        <v>152.5</v>
      </c>
      <c r="AR48" s="1113">
        <f>Liste!G48</f>
        <v>3</v>
      </c>
      <c r="AS48" s="1112">
        <f>Liste!V48</f>
        <v>1</v>
      </c>
      <c r="AT48" s="1" t="str">
        <f>Liste!M48</f>
        <v>V2A blank</v>
      </c>
      <c r="AZ48" s="5" t="s">
        <v>115</v>
      </c>
      <c r="BA48" s="4" t="s">
        <v>101</v>
      </c>
      <c r="BB48" s="4">
        <v>552</v>
      </c>
      <c r="BD48" s="35"/>
      <c r="BE48" s="35"/>
      <c r="BF48" s="2118">
        <f>Liste!R48</f>
        <v>0</v>
      </c>
      <c r="BG48" s="2137">
        <f>IF(AS48&gt;0,Liste!S48,0)</f>
        <v>0</v>
      </c>
      <c r="BH48" s="2118" t="str">
        <f>Liste!T48</f>
        <v>Stk</v>
      </c>
    </row>
    <row r="49" spans="1:60" ht="24.95" customHeight="1" x14ac:dyDescent="0.25">
      <c r="A49" s="29"/>
      <c r="B49" s="46" t="str">
        <f>IF(Liste!O49&gt;0,Liste!O49,Liste!B49)</f>
        <v>GCC vertikal Verkrallungsprofil Schieber 150mm verzinkt</v>
      </c>
      <c r="C49" s="2314"/>
      <c r="D49" s="30" t="str">
        <f>Liste!C49</f>
        <v>0308151</v>
      </c>
      <c r="E49" s="2314"/>
      <c r="F49" s="32">
        <f t="shared" si="4"/>
        <v>0</v>
      </c>
      <c r="G49" s="2314"/>
      <c r="H49" s="32">
        <f t="shared" si="5"/>
        <v>0</v>
      </c>
      <c r="I49" s="2314"/>
      <c r="J49" s="32">
        <f t="shared" si="6"/>
        <v>0</v>
      </c>
      <c r="K49" s="2314"/>
      <c r="L49" s="31">
        <f t="shared" si="7"/>
        <v>0</v>
      </c>
      <c r="M49" s="2314"/>
      <c r="N49" s="31">
        <f>Liste!L49</f>
        <v>0</v>
      </c>
      <c r="O49" s="31"/>
      <c r="P49" s="31"/>
      <c r="Q49" s="31">
        <f>Liste!P49</f>
        <v>0</v>
      </c>
      <c r="R49" s="31">
        <f>Liste!N49</f>
        <v>0</v>
      </c>
      <c r="S49" s="7">
        <v>0</v>
      </c>
      <c r="T49" s="7">
        <v>0</v>
      </c>
      <c r="U49" s="7">
        <v>0</v>
      </c>
      <c r="V49" s="7"/>
      <c r="W49" s="60"/>
      <c r="X49" s="60"/>
      <c r="Y49" s="60"/>
      <c r="Z49" s="7"/>
      <c r="AA49" s="7"/>
      <c r="AB49" s="60"/>
      <c r="AC49" s="60"/>
      <c r="AD49" s="60"/>
      <c r="AE49" s="7"/>
      <c r="AF49" s="7"/>
      <c r="AG49" s="7"/>
      <c r="AH49" s="7"/>
      <c r="AI49" s="7"/>
      <c r="AJ49" s="7">
        <f>Liste!X49</f>
        <v>0</v>
      </c>
      <c r="AK49" s="7">
        <f>Liste!Y49</f>
        <v>0</v>
      </c>
      <c r="AL49" s="7"/>
      <c r="AM49" s="7"/>
      <c r="AN49" s="7"/>
      <c r="AO49" s="1113">
        <f>Liste!D49</f>
        <v>0</v>
      </c>
      <c r="AP49" s="1113">
        <f>Liste!F49</f>
        <v>0</v>
      </c>
      <c r="AQ49" s="1113">
        <f>Liste!E49</f>
        <v>0</v>
      </c>
      <c r="AR49" s="1113">
        <f>Liste!G49</f>
        <v>0</v>
      </c>
      <c r="AS49" s="1112">
        <f>Liste!V49</f>
        <v>0</v>
      </c>
      <c r="AT49" s="1">
        <f>Liste!M49</f>
        <v>0</v>
      </c>
      <c r="AZ49" s="5" t="s">
        <v>116</v>
      </c>
      <c r="BA49" s="4" t="s">
        <v>101</v>
      </c>
      <c r="BB49" s="4">
        <v>553</v>
      </c>
      <c r="BD49" s="35"/>
      <c r="BE49" s="35"/>
      <c r="BF49" s="2118" t="str">
        <f>Liste!R49</f>
        <v>0308151</v>
      </c>
      <c r="BG49" s="2137">
        <f>IF(AS49&gt;0,Liste!S49,0)</f>
        <v>0</v>
      </c>
      <c r="BH49" s="2118">
        <f>Liste!T49</f>
        <v>0</v>
      </c>
    </row>
    <row r="50" spans="1:60" ht="24.95" customHeight="1" x14ac:dyDescent="0.25">
      <c r="A50" s="29"/>
      <c r="B50" s="46" t="str">
        <f>IF(Liste!O50&gt;0,Liste!O50,Liste!B50)</f>
        <v>Element mitte</v>
      </c>
      <c r="C50" s="2314"/>
      <c r="D50" s="30">
        <f>Liste!C50</f>
        <v>0</v>
      </c>
      <c r="E50" s="2314"/>
      <c r="F50" s="32">
        <f t="shared" si="4"/>
        <v>0</v>
      </c>
      <c r="G50" s="2314"/>
      <c r="H50" s="32">
        <f t="shared" si="5"/>
        <v>500</v>
      </c>
      <c r="I50" s="2314"/>
      <c r="J50" s="32">
        <f t="shared" si="6"/>
        <v>1080</v>
      </c>
      <c r="K50" s="2314"/>
      <c r="L50" s="31">
        <f t="shared" si="7"/>
        <v>0</v>
      </c>
      <c r="M50" s="2314"/>
      <c r="N50" s="31">
        <f>Liste!L50</f>
        <v>0</v>
      </c>
      <c r="O50" s="31"/>
      <c r="P50" s="31"/>
      <c r="Q50" s="31">
        <f>Liste!P50</f>
        <v>0</v>
      </c>
      <c r="R50" s="31">
        <f>Liste!N50</f>
        <v>0</v>
      </c>
      <c r="S50" s="7">
        <v>0</v>
      </c>
      <c r="T50" s="7">
        <v>0</v>
      </c>
      <c r="U50" s="7">
        <v>0</v>
      </c>
      <c r="V50" s="7"/>
      <c r="W50" s="60"/>
      <c r="X50" s="60"/>
      <c r="Y50" s="60"/>
      <c r="Z50" s="7"/>
      <c r="AA50" s="7"/>
      <c r="AB50" s="60"/>
      <c r="AC50" s="60"/>
      <c r="AD50" s="60"/>
      <c r="AE50" s="7"/>
      <c r="AF50" s="7"/>
      <c r="AG50" s="7"/>
      <c r="AH50" s="7"/>
      <c r="AI50" s="7"/>
      <c r="AJ50" s="7">
        <f>Liste!X50</f>
        <v>0</v>
      </c>
      <c r="AK50" s="7">
        <f>Liste!Y50</f>
        <v>0</v>
      </c>
      <c r="AL50" s="7"/>
      <c r="AM50" s="7"/>
      <c r="AN50" s="7"/>
      <c r="AO50" s="1113">
        <f>Liste!D50</f>
        <v>0</v>
      </c>
      <c r="AP50" s="1113">
        <f>Liste!F50</f>
        <v>500</v>
      </c>
      <c r="AQ50" s="1113">
        <f>Liste!E50</f>
        <v>1080</v>
      </c>
      <c r="AR50" s="1113">
        <f>Liste!G50</f>
        <v>0</v>
      </c>
      <c r="AS50" s="1112">
        <f>Liste!V50</f>
        <v>0</v>
      </c>
      <c r="AT50" s="1">
        <f>Liste!M50</f>
        <v>0</v>
      </c>
      <c r="AZ50" s="5" t="s">
        <v>117</v>
      </c>
      <c r="BA50" s="4" t="s">
        <v>101</v>
      </c>
      <c r="BB50" s="4">
        <v>554</v>
      </c>
      <c r="BD50" s="35"/>
      <c r="BE50" s="35"/>
      <c r="BF50" s="2118">
        <f>Liste!R50</f>
        <v>0</v>
      </c>
      <c r="BG50" s="2137">
        <f>IF(AS50&gt;0,Liste!S50,0)</f>
        <v>0</v>
      </c>
      <c r="BH50" s="2118">
        <f>Liste!T50</f>
        <v>0</v>
      </c>
    </row>
    <row r="51" spans="1:60" ht="24.95" customHeight="1" x14ac:dyDescent="0.25">
      <c r="A51" s="29"/>
      <c r="B51" s="46">
        <f>IF(Liste!O51&gt;0,Liste!O51,Liste!B51)</f>
        <v>7</v>
      </c>
      <c r="C51" s="2314"/>
      <c r="D51" s="30" t="str">
        <f>Liste!C51</f>
        <v>0202003</v>
      </c>
      <c r="E51" s="2314"/>
      <c r="F51" s="32">
        <f t="shared" si="4"/>
        <v>0</v>
      </c>
      <c r="G51" s="2314"/>
      <c r="H51" s="32">
        <f t="shared" si="5"/>
        <v>500</v>
      </c>
      <c r="I51" s="2314"/>
      <c r="J51" s="32">
        <f t="shared" si="6"/>
        <v>1080</v>
      </c>
      <c r="K51" s="2314"/>
      <c r="L51" s="31">
        <f t="shared" si="7"/>
        <v>6</v>
      </c>
      <c r="M51" s="2314"/>
      <c r="N51" s="31" t="str">
        <f>Liste!L51</f>
        <v>MM2</v>
      </c>
      <c r="O51" s="31"/>
      <c r="P51" s="31"/>
      <c r="Q51" s="31" t="str">
        <f>Liste!P51</f>
        <v>A</v>
      </c>
      <c r="R51" s="31" t="str">
        <f>Liste!N51</f>
        <v>Element mitte Aussenlagen</v>
      </c>
      <c r="S51" s="7">
        <v>0</v>
      </c>
      <c r="T51" s="7">
        <v>0</v>
      </c>
      <c r="U51" s="7">
        <v>0</v>
      </c>
      <c r="V51" s="7"/>
      <c r="W51" s="60"/>
      <c r="X51" s="60"/>
      <c r="Y51" s="60"/>
      <c r="Z51" s="7"/>
      <c r="AA51" s="7"/>
      <c r="AB51" s="60"/>
      <c r="AC51" s="60"/>
      <c r="AD51" s="60"/>
      <c r="AE51" s="7"/>
      <c r="AF51" s="7"/>
      <c r="AG51" s="7"/>
      <c r="AH51" s="7"/>
      <c r="AI51" s="7"/>
      <c r="AJ51" s="7">
        <f>Liste!X51</f>
        <v>0</v>
      </c>
      <c r="AK51" s="7">
        <f>Liste!Y51</f>
        <v>0</v>
      </c>
      <c r="AL51" s="7"/>
      <c r="AM51" s="7"/>
      <c r="AN51" s="7"/>
      <c r="AO51" s="1113">
        <f>Liste!D51</f>
        <v>0</v>
      </c>
      <c r="AP51" s="1113">
        <f>Liste!F51</f>
        <v>500</v>
      </c>
      <c r="AQ51" s="1113">
        <f>Liste!E51</f>
        <v>1080</v>
      </c>
      <c r="AR51" s="1113">
        <f>Liste!G51</f>
        <v>6</v>
      </c>
      <c r="AS51" s="1112">
        <f>Liste!V51</f>
        <v>1</v>
      </c>
      <c r="AT51" s="1">
        <f>Liste!M51</f>
        <v>0</v>
      </c>
      <c r="AZ51" s="5" t="s">
        <v>118</v>
      </c>
      <c r="BA51" s="4" t="s">
        <v>101</v>
      </c>
      <c r="BB51" s="4">
        <v>555</v>
      </c>
      <c r="BD51" s="35"/>
      <c r="BE51" s="35"/>
      <c r="BF51" s="2118" t="str">
        <f>Liste!R51</f>
        <v>0202003</v>
      </c>
      <c r="BG51" s="2137">
        <f>IF(AS51&gt;0,Liste!S51,0)</f>
        <v>0</v>
      </c>
      <c r="BH51" s="2118" t="str">
        <f>Liste!T51</f>
        <v>m²</v>
      </c>
    </row>
    <row r="52" spans="1:60" ht="24.95" customHeight="1" x14ac:dyDescent="0.25">
      <c r="A52" s="29"/>
      <c r="B52" s="46">
        <f>IF(Liste!O52&gt;0,Liste!O52,Liste!B52)</f>
        <v>8</v>
      </c>
      <c r="C52" s="2314"/>
      <c r="D52" s="30" t="str">
        <f>Liste!C52</f>
        <v>0202003</v>
      </c>
      <c r="E52" s="2314"/>
      <c r="F52" s="32">
        <f t="shared" si="4"/>
        <v>0</v>
      </c>
      <c r="G52" s="2314"/>
      <c r="H52" s="32">
        <f t="shared" si="5"/>
        <v>500</v>
      </c>
      <c r="I52" s="2314"/>
      <c r="J52" s="32">
        <f t="shared" si="6"/>
        <v>0</v>
      </c>
      <c r="K52" s="2314"/>
      <c r="L52" s="31">
        <f t="shared" si="7"/>
        <v>6</v>
      </c>
      <c r="M52" s="2314"/>
      <c r="N52" s="31" t="str">
        <f>Liste!L52</f>
        <v>MM2</v>
      </c>
      <c r="O52" s="31"/>
      <c r="P52" s="31"/>
      <c r="Q52" s="31" t="str">
        <f>Liste!P52</f>
        <v>A</v>
      </c>
      <c r="R52" s="31" t="str">
        <f>Liste!N52</f>
        <v>Element mitte Aussenlagen</v>
      </c>
      <c r="S52" s="7">
        <v>0</v>
      </c>
      <c r="T52" s="7">
        <v>0</v>
      </c>
      <c r="U52" s="7">
        <v>0</v>
      </c>
      <c r="V52" s="7"/>
      <c r="W52" s="60"/>
      <c r="X52" s="60"/>
      <c r="Y52" s="60"/>
      <c r="Z52" s="7"/>
      <c r="AA52" s="7"/>
      <c r="AB52" s="60"/>
      <c r="AC52" s="60"/>
      <c r="AD52" s="60"/>
      <c r="AE52" s="7"/>
      <c r="AF52" s="7"/>
      <c r="AG52" s="7"/>
      <c r="AH52" s="7"/>
      <c r="AI52" s="7"/>
      <c r="AJ52" s="7">
        <f>Liste!X52</f>
        <v>0</v>
      </c>
      <c r="AK52" s="7">
        <f>Liste!Y52</f>
        <v>0</v>
      </c>
      <c r="AL52" s="7"/>
      <c r="AM52" s="7"/>
      <c r="AN52" s="7"/>
      <c r="AO52" s="1113">
        <f>Liste!D52</f>
        <v>0</v>
      </c>
      <c r="AP52" s="1113">
        <f>Liste!F52</f>
        <v>500</v>
      </c>
      <c r="AQ52" s="1113">
        <f>Liste!E52</f>
        <v>0</v>
      </c>
      <c r="AR52" s="1113">
        <f>Liste!G52</f>
        <v>6</v>
      </c>
      <c r="AS52" s="1112">
        <f>Liste!V52</f>
        <v>1</v>
      </c>
      <c r="AT52" s="1">
        <f>Liste!M52</f>
        <v>0</v>
      </c>
      <c r="AZ52" s="5" t="s">
        <v>119</v>
      </c>
      <c r="BA52" s="4" t="s">
        <v>101</v>
      </c>
      <c r="BB52" s="4">
        <v>556</v>
      </c>
      <c r="BD52" s="35"/>
      <c r="BE52" s="35"/>
      <c r="BF52" s="2118" t="str">
        <f>Liste!R52</f>
        <v>0202003</v>
      </c>
      <c r="BG52" s="2137">
        <f>IF(AS52&gt;0,Liste!S52,0)</f>
        <v>0</v>
      </c>
      <c r="BH52" s="2118" t="str">
        <f>Liste!T52</f>
        <v>m²</v>
      </c>
    </row>
    <row r="53" spans="1:60" ht="24.95" customHeight="1" x14ac:dyDescent="0.25">
      <c r="A53" s="29"/>
      <c r="B53" s="46">
        <f>IF(Liste!O53&gt;0,Liste!O53,Liste!B53)</f>
        <v>9</v>
      </c>
      <c r="C53" s="2314"/>
      <c r="D53" s="30" t="str">
        <f>Liste!C53</f>
        <v>0202018</v>
      </c>
      <c r="E53" s="2314"/>
      <c r="F53" s="32">
        <f t="shared" si="4"/>
        <v>0</v>
      </c>
      <c r="G53" s="2314"/>
      <c r="H53" s="32">
        <f t="shared" si="5"/>
        <v>500</v>
      </c>
      <c r="I53" s="2314"/>
      <c r="J53" s="32">
        <f t="shared" si="6"/>
        <v>1080</v>
      </c>
      <c r="K53" s="2314"/>
      <c r="L53" s="31">
        <f t="shared" si="7"/>
        <v>18</v>
      </c>
      <c r="M53" s="2314"/>
      <c r="N53" s="31" t="str">
        <f>Liste!L53</f>
        <v>MM2</v>
      </c>
      <c r="O53" s="31"/>
      <c r="P53" s="31"/>
      <c r="Q53" s="31" t="str">
        <f>Liste!P53</f>
        <v>A</v>
      </c>
      <c r="R53" s="31" t="str">
        <f>Liste!N53</f>
        <v>Element mitte Innenlagen</v>
      </c>
      <c r="S53" s="7">
        <v>0</v>
      </c>
      <c r="T53" s="7">
        <v>0</v>
      </c>
      <c r="U53" s="7">
        <v>0</v>
      </c>
      <c r="V53" s="7"/>
      <c r="W53" s="60"/>
      <c r="X53" s="60"/>
      <c r="Y53" s="60"/>
      <c r="Z53" s="7"/>
      <c r="AA53" s="7"/>
      <c r="AB53" s="60"/>
      <c r="AC53" s="60"/>
      <c r="AD53" s="60"/>
      <c r="AE53" s="7"/>
      <c r="AF53" s="7"/>
      <c r="AG53" s="7"/>
      <c r="AH53" s="7"/>
      <c r="AI53" s="7"/>
      <c r="AJ53" s="7">
        <f>Liste!X53</f>
        <v>0</v>
      </c>
      <c r="AK53" s="7">
        <f>Liste!Y53</f>
        <v>0</v>
      </c>
      <c r="AL53" s="7"/>
      <c r="AM53" s="7"/>
      <c r="AN53" s="7"/>
      <c r="AO53" s="1113">
        <f>Liste!D53</f>
        <v>0</v>
      </c>
      <c r="AP53" s="1113">
        <f>Liste!F53</f>
        <v>500</v>
      </c>
      <c r="AQ53" s="1113">
        <f>Liste!E53</f>
        <v>1080</v>
      </c>
      <c r="AR53" s="1113">
        <f>Liste!G53</f>
        <v>18</v>
      </c>
      <c r="AS53" s="1112">
        <f>Liste!V53</f>
        <v>1</v>
      </c>
      <c r="AT53" s="1">
        <f>Liste!M53</f>
        <v>0</v>
      </c>
      <c r="AZ53" s="5" t="s">
        <v>120</v>
      </c>
      <c r="BA53" s="4" t="s">
        <v>101</v>
      </c>
      <c r="BB53" s="4">
        <v>557</v>
      </c>
      <c r="BD53" s="35"/>
      <c r="BE53" s="35"/>
      <c r="BF53" s="2118" t="str">
        <f>Liste!R53</f>
        <v>0202018</v>
      </c>
      <c r="BG53" s="2137">
        <f>IF(AS53&gt;0,Liste!S53,0)</f>
        <v>0</v>
      </c>
      <c r="BH53" s="2118" t="str">
        <f>Liste!T53</f>
        <v>m²</v>
      </c>
    </row>
    <row r="54" spans="1:60" ht="24.95" customHeight="1" x14ac:dyDescent="0.25">
      <c r="A54" s="29"/>
      <c r="B54" s="46">
        <f>IF(Liste!O54&gt;0,Liste!O54,Liste!B54)</f>
        <v>10</v>
      </c>
      <c r="C54" s="2314"/>
      <c r="D54" s="30" t="str">
        <f>Liste!C54</f>
        <v>0202018</v>
      </c>
      <c r="E54" s="2314"/>
      <c r="F54" s="32">
        <f t="shared" si="4"/>
        <v>0</v>
      </c>
      <c r="G54" s="2314"/>
      <c r="H54" s="32">
        <f t="shared" si="5"/>
        <v>500</v>
      </c>
      <c r="I54" s="2314"/>
      <c r="J54" s="32">
        <f t="shared" si="6"/>
        <v>0</v>
      </c>
      <c r="K54" s="2314"/>
      <c r="L54" s="31">
        <f t="shared" si="7"/>
        <v>18</v>
      </c>
      <c r="M54" s="2314"/>
      <c r="N54" s="31" t="str">
        <f>Liste!L54</f>
        <v>MM2</v>
      </c>
      <c r="O54" s="31"/>
      <c r="P54" s="31"/>
      <c r="Q54" s="31" t="str">
        <f>Liste!P54</f>
        <v>A</v>
      </c>
      <c r="R54" s="31" t="str">
        <f>Liste!N54</f>
        <v>Element mitte Innenlagen</v>
      </c>
      <c r="S54" s="7">
        <v>0</v>
      </c>
      <c r="T54" s="7">
        <v>0</v>
      </c>
      <c r="U54" s="7">
        <v>0</v>
      </c>
      <c r="V54" s="7"/>
      <c r="W54" s="60"/>
      <c r="X54" s="60"/>
      <c r="Y54" s="60"/>
      <c r="Z54" s="7"/>
      <c r="AA54" s="7"/>
      <c r="AB54" s="60"/>
      <c r="AC54" s="60"/>
      <c r="AD54" s="60"/>
      <c r="AE54" s="7"/>
      <c r="AF54" s="7"/>
      <c r="AG54" s="7"/>
      <c r="AH54" s="7"/>
      <c r="AI54" s="7"/>
      <c r="AJ54" s="7">
        <f>Liste!X54</f>
        <v>0</v>
      </c>
      <c r="AK54" s="7">
        <f>Liste!Y54</f>
        <v>0</v>
      </c>
      <c r="AL54" s="7"/>
      <c r="AM54" s="7"/>
      <c r="AN54" s="7"/>
      <c r="AO54" s="1113">
        <f>Liste!D54</f>
        <v>0</v>
      </c>
      <c r="AP54" s="1113">
        <f>Liste!F54</f>
        <v>500</v>
      </c>
      <c r="AQ54" s="1113">
        <f>Liste!E54</f>
        <v>0</v>
      </c>
      <c r="AR54" s="1113">
        <f>Liste!G54</f>
        <v>18</v>
      </c>
      <c r="AS54" s="1112">
        <f>Liste!V54</f>
        <v>1</v>
      </c>
      <c r="AT54" s="1">
        <f>Liste!M54</f>
        <v>0</v>
      </c>
      <c r="AZ54" s="5" t="s">
        <v>121</v>
      </c>
      <c r="BA54" s="4" t="s">
        <v>101</v>
      </c>
      <c r="BB54" s="4">
        <v>558</v>
      </c>
      <c r="BD54" s="35"/>
      <c r="BE54" s="35"/>
      <c r="BF54" s="2118" t="str">
        <f>Liste!R54</f>
        <v>0202018</v>
      </c>
      <c r="BG54" s="2137">
        <f>IF(AS54&gt;0,Liste!S54,0)</f>
        <v>0</v>
      </c>
      <c r="BH54" s="2118" t="str">
        <f>Liste!T54</f>
        <v>m²</v>
      </c>
    </row>
    <row r="55" spans="1:60" ht="24.95" customHeight="1" x14ac:dyDescent="0.25">
      <c r="A55" s="29"/>
      <c r="B55" s="46" t="str">
        <f>IF(Liste!O55&gt;0,Liste!O55,Liste!B55)</f>
        <v>Schieberelementblechinnenlage verzinkt GCC (Element mitte)</v>
      </c>
      <c r="C55" s="2314"/>
      <c r="D55" s="30" t="str">
        <f>Liste!C55</f>
        <v>0308337</v>
      </c>
      <c r="E55" s="2314"/>
      <c r="F55" s="32">
        <f t="shared" si="4"/>
        <v>0</v>
      </c>
      <c r="G55" s="2314"/>
      <c r="H55" s="32">
        <f t="shared" si="5"/>
        <v>0</v>
      </c>
      <c r="I55" s="2314"/>
      <c r="J55" s="32">
        <f t="shared" si="6"/>
        <v>0</v>
      </c>
      <c r="K55" s="2314"/>
      <c r="L55" s="31">
        <f t="shared" si="7"/>
        <v>0</v>
      </c>
      <c r="M55" s="2314"/>
      <c r="N55" s="31" t="str">
        <f>Liste!L55</f>
        <v>Stk</v>
      </c>
      <c r="O55" s="31"/>
      <c r="P55" s="31"/>
      <c r="Q55" s="31">
        <f>Liste!P55</f>
        <v>0</v>
      </c>
      <c r="R55" s="31" t="str">
        <f>Liste!N55</f>
        <v>Zuschnitt</v>
      </c>
      <c r="S55" s="7">
        <v>0</v>
      </c>
      <c r="T55" s="7">
        <v>0</v>
      </c>
      <c r="U55" s="7">
        <v>0</v>
      </c>
      <c r="V55" s="7"/>
      <c r="W55" s="60"/>
      <c r="X55" s="60"/>
      <c r="Y55" s="60"/>
      <c r="Z55" s="7"/>
      <c r="AA55" s="7"/>
      <c r="AB55" s="60"/>
      <c r="AC55" s="60"/>
      <c r="AD55" s="60"/>
      <c r="AE55" s="7"/>
      <c r="AF55" s="7"/>
      <c r="AG55" s="7"/>
      <c r="AH55" s="7"/>
      <c r="AI55" s="7"/>
      <c r="AJ55" s="7">
        <f>Liste!X55</f>
        <v>0</v>
      </c>
      <c r="AK55" s="7">
        <f>Liste!Y55</f>
        <v>1</v>
      </c>
      <c r="AL55" s="7"/>
      <c r="AM55" s="7"/>
      <c r="AN55" s="7"/>
      <c r="AO55" s="1113">
        <f>Liste!D55</f>
        <v>0</v>
      </c>
      <c r="AP55" s="1113">
        <f>Liste!F55</f>
        <v>598</v>
      </c>
      <c r="AQ55" s="1113">
        <f>Liste!E55</f>
        <v>1080</v>
      </c>
      <c r="AR55" s="1113">
        <f>Liste!G55</f>
        <v>1</v>
      </c>
      <c r="AS55" s="1112">
        <f>Liste!V55</f>
        <v>1</v>
      </c>
      <c r="AT55" s="1" t="str">
        <f>Liste!M55</f>
        <v>1.0250(S320GD+Z275MA-C)</v>
      </c>
      <c r="AZ55" s="5" t="s">
        <v>122</v>
      </c>
      <c r="BA55" s="4" t="s">
        <v>101</v>
      </c>
      <c r="BB55" s="4">
        <v>559</v>
      </c>
      <c r="BD55" s="35"/>
      <c r="BE55" s="35"/>
      <c r="BF55" s="2118" t="str">
        <f>Liste!R55</f>
        <v>0701544</v>
      </c>
      <c r="BG55" s="2137">
        <f>IF(AS55&gt;0,Liste!S55,0)</f>
        <v>0</v>
      </c>
      <c r="BH55" s="2118" t="str">
        <f>Liste!T55</f>
        <v>m²</v>
      </c>
    </row>
    <row r="56" spans="1:60" ht="24.95" customHeight="1" x14ac:dyDescent="0.25">
      <c r="A56" s="29"/>
      <c r="B56" s="46" t="str">
        <f>IF(Liste!O56&gt;0,Liste!O56,Liste!B56)</f>
        <v>Schieberelementblechinnenlage V2A GCC (Element mitte)</v>
      </c>
      <c r="C56" s="2314"/>
      <c r="D56" s="30" t="str">
        <f>Liste!C56</f>
        <v>0338337</v>
      </c>
      <c r="E56" s="2314"/>
      <c r="F56" s="32">
        <f t="shared" si="4"/>
        <v>0</v>
      </c>
      <c r="G56" s="2314"/>
      <c r="H56" s="32">
        <f t="shared" si="5"/>
        <v>0</v>
      </c>
      <c r="I56" s="2314"/>
      <c r="J56" s="32">
        <f t="shared" si="6"/>
        <v>0</v>
      </c>
      <c r="K56" s="2314"/>
      <c r="L56" s="31">
        <f t="shared" si="7"/>
        <v>0</v>
      </c>
      <c r="M56" s="2314"/>
      <c r="N56" s="31" t="str">
        <f>Liste!L56</f>
        <v>Stk</v>
      </c>
      <c r="O56" s="31"/>
      <c r="P56" s="31"/>
      <c r="Q56" s="31">
        <f>Liste!P56</f>
        <v>0</v>
      </c>
      <c r="R56" s="31" t="str">
        <f>Liste!N56</f>
        <v>Zuschnitt</v>
      </c>
      <c r="S56" s="7">
        <v>0</v>
      </c>
      <c r="T56" s="7">
        <v>0</v>
      </c>
      <c r="U56" s="7">
        <v>0</v>
      </c>
      <c r="V56" s="7"/>
      <c r="W56" s="60"/>
      <c r="X56" s="60"/>
      <c r="Y56" s="60"/>
      <c r="Z56" s="7"/>
      <c r="AA56" s="7"/>
      <c r="AB56" s="60"/>
      <c r="AC56" s="60"/>
      <c r="AD56" s="60"/>
      <c r="AE56" s="7"/>
      <c r="AF56" s="7"/>
      <c r="AG56" s="7"/>
      <c r="AH56" s="7"/>
      <c r="AI56" s="7"/>
      <c r="AJ56" s="7">
        <f>Liste!X56</f>
        <v>0</v>
      </c>
      <c r="AK56" s="7">
        <f>Liste!Y56</f>
        <v>1</v>
      </c>
      <c r="AL56" s="7"/>
      <c r="AM56" s="7"/>
      <c r="AN56" s="7"/>
      <c r="AO56" s="1113">
        <f>Liste!D56</f>
        <v>0</v>
      </c>
      <c r="AP56" s="1113">
        <f>Liste!F56</f>
        <v>598</v>
      </c>
      <c r="AQ56" s="1113">
        <f>Liste!E56</f>
        <v>1080</v>
      </c>
      <c r="AR56" s="1113">
        <f>Liste!G56</f>
        <v>1</v>
      </c>
      <c r="AS56" s="1112">
        <f>Liste!V56</f>
        <v>1</v>
      </c>
      <c r="AT56" s="1" t="str">
        <f>Liste!M56</f>
        <v>V2A blank</v>
      </c>
      <c r="AZ56" s="5" t="s">
        <v>123</v>
      </c>
      <c r="BA56" s="4" t="s">
        <v>101</v>
      </c>
      <c r="BB56" s="4">
        <v>560</v>
      </c>
      <c r="BD56" s="35"/>
      <c r="BE56" s="35"/>
      <c r="BF56" s="2118" t="str">
        <f>Liste!R56</f>
        <v>0701479</v>
      </c>
      <c r="BG56" s="2137">
        <f>IF(AS56&gt;0,Liste!S56,0)</f>
        <v>0</v>
      </c>
      <c r="BH56" s="2118" t="str">
        <f>Liste!T56</f>
        <v>m²</v>
      </c>
    </row>
    <row r="57" spans="1:60" ht="24.95" customHeight="1" x14ac:dyDescent="0.25">
      <c r="A57" s="29"/>
      <c r="B57" s="46">
        <f>IF(Liste!O57&gt;0,Liste!O57,Liste!B57)</f>
        <v>0</v>
      </c>
      <c r="C57" s="2314"/>
      <c r="D57" s="30">
        <f>Liste!C57</f>
        <v>0</v>
      </c>
      <c r="E57" s="2314"/>
      <c r="F57" s="32">
        <f t="shared" si="4"/>
        <v>0</v>
      </c>
      <c r="G57" s="2314"/>
      <c r="H57" s="32">
        <f t="shared" si="5"/>
        <v>0</v>
      </c>
      <c r="I57" s="2314"/>
      <c r="J57" s="32">
        <f t="shared" si="6"/>
        <v>0</v>
      </c>
      <c r="K57" s="2314"/>
      <c r="L57" s="31">
        <f t="shared" si="7"/>
        <v>0</v>
      </c>
      <c r="M57" s="2314"/>
      <c r="N57" s="31">
        <f>Liste!L57</f>
        <v>0</v>
      </c>
      <c r="O57" s="31"/>
      <c r="P57" s="31"/>
      <c r="Q57" s="31">
        <f>Liste!P57</f>
        <v>0</v>
      </c>
      <c r="R57" s="31">
        <f>Liste!N57</f>
        <v>0</v>
      </c>
      <c r="S57" s="7">
        <v>0</v>
      </c>
      <c r="T57" s="7">
        <v>0</v>
      </c>
      <c r="U57" s="7">
        <v>0</v>
      </c>
      <c r="V57" s="7"/>
      <c r="W57" s="60"/>
      <c r="X57" s="60"/>
      <c r="Y57" s="60"/>
      <c r="Z57" s="7"/>
      <c r="AA57" s="7"/>
      <c r="AB57" s="60"/>
      <c r="AC57" s="60"/>
      <c r="AD57" s="60"/>
      <c r="AE57" s="7"/>
      <c r="AF57" s="7"/>
      <c r="AG57" s="7"/>
      <c r="AH57" s="7"/>
      <c r="AI57" s="7"/>
      <c r="AJ57" s="7">
        <f>Liste!X57</f>
        <v>0</v>
      </c>
      <c r="AK57" s="7">
        <f>Liste!Y57</f>
        <v>0</v>
      </c>
      <c r="AL57" s="7"/>
      <c r="AM57" s="7"/>
      <c r="AN57" s="7"/>
      <c r="AO57" s="1113">
        <f>Liste!D57</f>
        <v>0</v>
      </c>
      <c r="AP57" s="1113">
        <f>Liste!F57</f>
        <v>0</v>
      </c>
      <c r="AQ57" s="1113">
        <f>Liste!E57</f>
        <v>0</v>
      </c>
      <c r="AR57" s="1113">
        <f>Liste!G57</f>
        <v>0</v>
      </c>
      <c r="AS57" s="1112">
        <f>Liste!V57</f>
        <v>0</v>
      </c>
      <c r="AT57" s="1">
        <f>Liste!M57</f>
        <v>0</v>
      </c>
      <c r="AZ57" s="5" t="s">
        <v>124</v>
      </c>
      <c r="BA57" s="4" t="s">
        <v>101</v>
      </c>
      <c r="BB57" s="4">
        <v>561</v>
      </c>
      <c r="BD57" s="35"/>
      <c r="BE57" s="35"/>
      <c r="BF57" s="2118">
        <f>Liste!R57</f>
        <v>0</v>
      </c>
      <c r="BG57" s="2137">
        <f>IF(AS57&gt;0,Liste!S57,0)</f>
        <v>0</v>
      </c>
      <c r="BH57" s="2118">
        <f>Liste!T57</f>
        <v>0</v>
      </c>
    </row>
    <row r="58" spans="1:60" ht="24.95" customHeight="1" x14ac:dyDescent="0.25">
      <c r="A58" s="29"/>
      <c r="B58" s="46" t="str">
        <f>IF(Liste!O58&gt;0,Liste!O58,Liste!B58)</f>
        <v>Verkleidungsblech verzinkt GCC  (Schieberelement mitte vorn)</v>
      </c>
      <c r="C58" s="2314"/>
      <c r="D58" s="30" t="str">
        <f>Liste!C58</f>
        <v>0308338</v>
      </c>
      <c r="E58" s="2314"/>
      <c r="F58" s="32">
        <f t="shared" si="4"/>
        <v>0</v>
      </c>
      <c r="G58" s="2314"/>
      <c r="H58" s="32">
        <f t="shared" si="5"/>
        <v>0</v>
      </c>
      <c r="I58" s="2314"/>
      <c r="J58" s="32">
        <f t="shared" si="6"/>
        <v>0</v>
      </c>
      <c r="K58" s="2314"/>
      <c r="L58" s="31">
        <f t="shared" si="7"/>
        <v>0</v>
      </c>
      <c r="M58" s="2314"/>
      <c r="N58" s="31" t="str">
        <f>Liste!L58</f>
        <v>Stk</v>
      </c>
      <c r="O58" s="31"/>
      <c r="P58" s="31"/>
      <c r="Q58" s="31">
        <f>Liste!P58</f>
        <v>0</v>
      </c>
      <c r="R58" s="31" t="str">
        <f>Liste!N58</f>
        <v>Zuschnitt</v>
      </c>
      <c r="S58" s="7">
        <v>0</v>
      </c>
      <c r="T58" s="7">
        <v>0</v>
      </c>
      <c r="U58" s="7">
        <v>0</v>
      </c>
      <c r="V58" s="7"/>
      <c r="W58" s="60"/>
      <c r="X58" s="60"/>
      <c r="Y58" s="60"/>
      <c r="Z58" s="7"/>
      <c r="AA58" s="7"/>
      <c r="AB58" s="60"/>
      <c r="AC58" s="60"/>
      <c r="AD58" s="60"/>
      <c r="AE58" s="7"/>
      <c r="AF58" s="7"/>
      <c r="AG58" s="7"/>
      <c r="AH58" s="7"/>
      <c r="AI58" s="7"/>
      <c r="AJ58" s="7">
        <f>Liste!X58</f>
        <v>0</v>
      </c>
      <c r="AK58" s="7">
        <f>Liste!Y58</f>
        <v>1</v>
      </c>
      <c r="AL58" s="7"/>
      <c r="AM58" s="7"/>
      <c r="AN58" s="7"/>
      <c r="AO58" s="1113">
        <f>Liste!D58</f>
        <v>0</v>
      </c>
      <c r="AP58" s="1113">
        <f>Liste!F58</f>
        <v>400</v>
      </c>
      <c r="AQ58" s="1113">
        <f>Liste!E58</f>
        <v>1080</v>
      </c>
      <c r="AR58" s="1113">
        <f>Liste!G58</f>
        <v>0.75</v>
      </c>
      <c r="AS58" s="1112">
        <f>Liste!V58</f>
        <v>1</v>
      </c>
      <c r="AT58" s="1" t="str">
        <f>Liste!M58</f>
        <v>Stahlblech verz.</v>
      </c>
      <c r="AZ58" s="5" t="s">
        <v>125</v>
      </c>
      <c r="BA58" s="4" t="s">
        <v>101</v>
      </c>
      <c r="BB58" s="4">
        <v>562</v>
      </c>
      <c r="BD58" s="35"/>
      <c r="BE58" s="35"/>
      <c r="BF58" s="2118" t="str">
        <f>Liste!R58</f>
        <v>0701446</v>
      </c>
      <c r="BG58" s="2137">
        <f>IF(AS58&gt;0,Liste!S58,0)</f>
        <v>0</v>
      </c>
      <c r="BH58" s="2118" t="str">
        <f>Liste!T58</f>
        <v>m²</v>
      </c>
    </row>
    <row r="59" spans="1:60" ht="24.95" customHeight="1" x14ac:dyDescent="0.25">
      <c r="A59" s="29"/>
      <c r="B59" s="46" t="str">
        <f>IF(Liste!O59&gt;0,Liste!O59,Liste!B59)</f>
        <v>Verkleidungsblech V2A GCC  (Schieberelement mitte vorn)</v>
      </c>
      <c r="C59" s="2314"/>
      <c r="D59" s="30" t="str">
        <f>Liste!C59</f>
        <v>0338338</v>
      </c>
      <c r="E59" s="2314"/>
      <c r="F59" s="32">
        <f t="shared" si="4"/>
        <v>0</v>
      </c>
      <c r="G59" s="2314"/>
      <c r="H59" s="32">
        <f t="shared" si="5"/>
        <v>0</v>
      </c>
      <c r="I59" s="2314"/>
      <c r="J59" s="32">
        <f t="shared" si="6"/>
        <v>0</v>
      </c>
      <c r="K59" s="2314"/>
      <c r="L59" s="31">
        <f t="shared" si="7"/>
        <v>0</v>
      </c>
      <c r="M59" s="2314"/>
      <c r="N59" s="31" t="str">
        <f>Liste!L59</f>
        <v>Stk</v>
      </c>
      <c r="O59" s="31"/>
      <c r="P59" s="31"/>
      <c r="Q59" s="31">
        <f>Liste!P59</f>
        <v>0</v>
      </c>
      <c r="R59" s="31" t="str">
        <f>Liste!N59</f>
        <v>Zuschnitt</v>
      </c>
      <c r="S59" s="7">
        <v>0</v>
      </c>
      <c r="T59" s="7">
        <v>0</v>
      </c>
      <c r="U59" s="7">
        <v>0</v>
      </c>
      <c r="V59" s="7"/>
      <c r="W59" s="60"/>
      <c r="X59" s="60"/>
      <c r="Y59" s="60"/>
      <c r="Z59" s="7"/>
      <c r="AA59" s="7"/>
      <c r="AB59" s="60"/>
      <c r="AC59" s="60"/>
      <c r="AD59" s="60"/>
      <c r="AE59" s="7"/>
      <c r="AF59" s="7"/>
      <c r="AG59" s="7"/>
      <c r="AH59" s="7"/>
      <c r="AI59" s="7"/>
      <c r="AJ59" s="7">
        <f>Liste!X59</f>
        <v>0</v>
      </c>
      <c r="AK59" s="7">
        <f>Liste!Y59</f>
        <v>1</v>
      </c>
      <c r="AL59" s="7"/>
      <c r="AM59" s="7"/>
      <c r="AN59" s="7"/>
      <c r="AO59" s="1113">
        <f>Liste!D59</f>
        <v>0</v>
      </c>
      <c r="AP59" s="1113">
        <f>Liste!F59</f>
        <v>400</v>
      </c>
      <c r="AQ59" s="1113">
        <f>Liste!E59</f>
        <v>1080</v>
      </c>
      <c r="AR59" s="1113">
        <f>Liste!G59</f>
        <v>0.8</v>
      </c>
      <c r="AS59" s="1112">
        <f>Liste!V59</f>
        <v>1</v>
      </c>
      <c r="AT59" s="1" t="str">
        <f>Liste!M59</f>
        <v>V2A blank</v>
      </c>
      <c r="AZ59" s="5" t="s">
        <v>126</v>
      </c>
      <c r="BA59" s="4" t="s">
        <v>101</v>
      </c>
      <c r="BB59" s="4">
        <v>563</v>
      </c>
      <c r="BD59" s="35"/>
      <c r="BE59" s="35"/>
      <c r="BF59" s="2118" t="str">
        <f>Liste!R59</f>
        <v>0701478</v>
      </c>
      <c r="BG59" s="2137">
        <f>IF(AS59&gt;0,Liste!S59,0)</f>
        <v>0</v>
      </c>
      <c r="BH59" s="2118" t="str">
        <f>Liste!T59</f>
        <v>m²</v>
      </c>
    </row>
    <row r="60" spans="1:60" ht="24.95" customHeight="1" x14ac:dyDescent="0.25">
      <c r="A60" s="29"/>
      <c r="B60" s="46">
        <f>IF(Liste!O60&gt;0,Liste!O60,Liste!B60)</f>
        <v>0</v>
      </c>
      <c r="C60" s="2314"/>
      <c r="D60" s="30">
        <f>Liste!C60</f>
        <v>0</v>
      </c>
      <c r="E60" s="2314"/>
      <c r="F60" s="32">
        <f t="shared" si="4"/>
        <v>0</v>
      </c>
      <c r="G60" s="2314"/>
      <c r="H60" s="32">
        <f t="shared" si="5"/>
        <v>0</v>
      </c>
      <c r="I60" s="2314"/>
      <c r="J60" s="32">
        <f t="shared" si="6"/>
        <v>0</v>
      </c>
      <c r="K60" s="2314"/>
      <c r="L60" s="31">
        <f t="shared" si="7"/>
        <v>0</v>
      </c>
      <c r="M60" s="2314"/>
      <c r="N60" s="31">
        <f>Liste!L60</f>
        <v>0</v>
      </c>
      <c r="O60" s="31"/>
      <c r="P60" s="31"/>
      <c r="Q60" s="31">
        <f>Liste!P60</f>
        <v>0</v>
      </c>
      <c r="R60" s="31">
        <f>Liste!N60</f>
        <v>0</v>
      </c>
      <c r="S60" s="7">
        <v>0</v>
      </c>
      <c r="T60" s="7">
        <v>0</v>
      </c>
      <c r="U60" s="7">
        <v>0</v>
      </c>
      <c r="V60" s="7"/>
      <c r="W60" s="60"/>
      <c r="X60" s="60"/>
      <c r="Y60" s="60"/>
      <c r="Z60" s="7"/>
      <c r="AA60" s="7"/>
      <c r="AB60" s="60"/>
      <c r="AC60" s="60"/>
      <c r="AD60" s="60"/>
      <c r="AE60" s="7"/>
      <c r="AF60" s="7"/>
      <c r="AG60" s="7"/>
      <c r="AH60" s="7"/>
      <c r="AI60" s="7"/>
      <c r="AJ60" s="7">
        <f>Liste!X60</f>
        <v>0</v>
      </c>
      <c r="AK60" s="7">
        <f>Liste!Y60</f>
        <v>0</v>
      </c>
      <c r="AL60" s="7"/>
      <c r="AM60" s="7"/>
      <c r="AN60" s="7"/>
      <c r="AO60" s="1113">
        <f>Liste!D60</f>
        <v>0</v>
      </c>
      <c r="AP60" s="1113">
        <f>Liste!F60</f>
        <v>0</v>
      </c>
      <c r="AQ60" s="1113">
        <f>Liste!E60</f>
        <v>0</v>
      </c>
      <c r="AR60" s="1113">
        <f>Liste!G60</f>
        <v>0</v>
      </c>
      <c r="AS60" s="1112">
        <f>Liste!V60</f>
        <v>0</v>
      </c>
      <c r="AT60" s="1">
        <f>Liste!M60</f>
        <v>0</v>
      </c>
      <c r="AZ60" s="5" t="s">
        <v>127</v>
      </c>
      <c r="BA60" s="4" t="s">
        <v>101</v>
      </c>
      <c r="BB60" s="4">
        <v>564</v>
      </c>
      <c r="BD60" s="35"/>
      <c r="BE60" s="35"/>
      <c r="BF60" s="2118">
        <f>Liste!R60</f>
        <v>0</v>
      </c>
      <c r="BG60" s="2137">
        <f>IF(AS60&gt;0,Liste!S60,0)</f>
        <v>0</v>
      </c>
      <c r="BH60" s="2118">
        <f>Liste!T60</f>
        <v>0</v>
      </c>
    </row>
    <row r="61" spans="1:60" ht="24.95" customHeight="1" x14ac:dyDescent="0.25">
      <c r="A61" s="29"/>
      <c r="B61" s="46" t="str">
        <f>IF(Liste!O61&gt;0,Liste!O61,Liste!B61)</f>
        <v>Verkleidungsblech verzinkt GCC  (Schieberelement mitte hinten)</v>
      </c>
      <c r="C61" s="2314"/>
      <c r="D61" s="30" t="str">
        <f>Liste!C61</f>
        <v>0308338</v>
      </c>
      <c r="E61" s="2314"/>
      <c r="F61" s="32">
        <f t="shared" si="4"/>
        <v>0</v>
      </c>
      <c r="G61" s="2314"/>
      <c r="H61" s="32">
        <f t="shared" si="5"/>
        <v>0</v>
      </c>
      <c r="I61" s="2314"/>
      <c r="J61" s="32">
        <f t="shared" si="6"/>
        <v>0</v>
      </c>
      <c r="K61" s="2314"/>
      <c r="L61" s="31">
        <f t="shared" si="7"/>
        <v>0</v>
      </c>
      <c r="M61" s="2314"/>
      <c r="N61" s="31" t="str">
        <f>Liste!L61</f>
        <v>Stk</v>
      </c>
      <c r="O61" s="31"/>
      <c r="P61" s="31"/>
      <c r="Q61" s="31">
        <f>Liste!P61</f>
        <v>0</v>
      </c>
      <c r="R61" s="31" t="str">
        <f>Liste!N61</f>
        <v>Zuschnitt</v>
      </c>
      <c r="S61" s="7">
        <v>0</v>
      </c>
      <c r="T61" s="7">
        <v>0</v>
      </c>
      <c r="U61" s="7">
        <v>0</v>
      </c>
      <c r="V61" s="7"/>
      <c r="W61" s="60"/>
      <c r="X61" s="60"/>
      <c r="Y61" s="60"/>
      <c r="Z61" s="7"/>
      <c r="AA61" s="7"/>
      <c r="AB61" s="60"/>
      <c r="AC61" s="60"/>
      <c r="AD61" s="60"/>
      <c r="AE61" s="7"/>
      <c r="AF61" s="7"/>
      <c r="AG61" s="7"/>
      <c r="AH61" s="7"/>
      <c r="AI61" s="7"/>
      <c r="AJ61" s="7">
        <f>Liste!X61</f>
        <v>0</v>
      </c>
      <c r="AK61" s="7">
        <f>Liste!Y61</f>
        <v>1</v>
      </c>
      <c r="AL61" s="7"/>
      <c r="AM61" s="7"/>
      <c r="AN61" s="7"/>
      <c r="AO61" s="1113">
        <f>Liste!D61</f>
        <v>0</v>
      </c>
      <c r="AP61" s="1113">
        <f>Liste!F61</f>
        <v>400</v>
      </c>
      <c r="AQ61" s="1113">
        <f>Liste!E61</f>
        <v>920</v>
      </c>
      <c r="AR61" s="1113">
        <f>Liste!G61</f>
        <v>0.75</v>
      </c>
      <c r="AS61" s="1112">
        <f>Liste!V61</f>
        <v>1</v>
      </c>
      <c r="AT61" s="1" t="str">
        <f>Liste!M61</f>
        <v>Stahlblech verz.</v>
      </c>
      <c r="AZ61" s="5" t="s">
        <v>128</v>
      </c>
      <c r="BA61" s="4" t="s">
        <v>101</v>
      </c>
      <c r="BB61" s="4">
        <v>565</v>
      </c>
      <c r="BD61" s="35"/>
      <c r="BE61" s="35"/>
      <c r="BF61" s="2118" t="str">
        <f>Liste!R61</f>
        <v>0701446</v>
      </c>
      <c r="BG61" s="2137">
        <f>IF(AS61&gt;0,Liste!S61,0)</f>
        <v>0</v>
      </c>
      <c r="BH61" s="2118" t="str">
        <f>Liste!T61</f>
        <v>m²</v>
      </c>
    </row>
    <row r="62" spans="1:60" ht="24.95" customHeight="1" x14ac:dyDescent="0.25">
      <c r="A62" s="29"/>
      <c r="B62" s="46" t="str">
        <f>IF(Liste!O62&gt;0,Liste!O62,Liste!B62)</f>
        <v>Verkleidungsblech V2A GCC  (Schieberelement mitte hinten)</v>
      </c>
      <c r="C62" s="2314"/>
      <c r="D62" s="30" t="str">
        <f>Liste!C62</f>
        <v>0338338</v>
      </c>
      <c r="E62" s="2314"/>
      <c r="F62" s="32">
        <f t="shared" si="4"/>
        <v>0</v>
      </c>
      <c r="G62" s="2314"/>
      <c r="H62" s="32">
        <f t="shared" si="5"/>
        <v>0</v>
      </c>
      <c r="I62" s="2314"/>
      <c r="J62" s="32">
        <f t="shared" si="6"/>
        <v>0</v>
      </c>
      <c r="K62" s="2314"/>
      <c r="L62" s="31">
        <f t="shared" si="7"/>
        <v>0</v>
      </c>
      <c r="M62" s="2314"/>
      <c r="N62" s="31" t="str">
        <f>Liste!L62</f>
        <v>Stk</v>
      </c>
      <c r="O62" s="31"/>
      <c r="P62" s="31"/>
      <c r="Q62" s="31">
        <f>Liste!P62</f>
        <v>0</v>
      </c>
      <c r="R62" s="31" t="str">
        <f>Liste!N62</f>
        <v>Zuschnitt</v>
      </c>
      <c r="S62" s="7">
        <v>0</v>
      </c>
      <c r="T62" s="7">
        <v>0</v>
      </c>
      <c r="U62" s="7">
        <v>0</v>
      </c>
      <c r="V62" s="7"/>
      <c r="W62" s="60"/>
      <c r="X62" s="60"/>
      <c r="Y62" s="60"/>
      <c r="Z62" s="7"/>
      <c r="AA62" s="7"/>
      <c r="AB62" s="60"/>
      <c r="AC62" s="60"/>
      <c r="AD62" s="60"/>
      <c r="AE62" s="7"/>
      <c r="AF62" s="7"/>
      <c r="AG62" s="7"/>
      <c r="AH62" s="7"/>
      <c r="AI62" s="7"/>
      <c r="AJ62" s="7">
        <f>Liste!X62</f>
        <v>0</v>
      </c>
      <c r="AK62" s="7">
        <f>Liste!Y62</f>
        <v>1</v>
      </c>
      <c r="AL62" s="7"/>
      <c r="AM62" s="7"/>
      <c r="AN62" s="7"/>
      <c r="AO62" s="1113">
        <f>Liste!D62</f>
        <v>0</v>
      </c>
      <c r="AP62" s="1113">
        <f>Liste!F62</f>
        <v>400</v>
      </c>
      <c r="AQ62" s="1113">
        <f>Liste!E62</f>
        <v>920</v>
      </c>
      <c r="AR62" s="1113">
        <f>Liste!G62</f>
        <v>0.8</v>
      </c>
      <c r="AS62" s="1112">
        <f>Liste!V62</f>
        <v>1</v>
      </c>
      <c r="AT62" s="1" t="str">
        <f>Liste!M62</f>
        <v>V2A blank</v>
      </c>
      <c r="AZ62" s="5" t="s">
        <v>129</v>
      </c>
      <c r="BA62" s="4" t="s">
        <v>101</v>
      </c>
      <c r="BB62" s="4">
        <v>566</v>
      </c>
      <c r="BD62" s="35"/>
      <c r="BE62" s="35"/>
      <c r="BF62" s="2118" t="str">
        <f>Liste!R62</f>
        <v>0701478</v>
      </c>
      <c r="BG62" s="2137">
        <f>IF(AS62&gt;0,Liste!S62,0)</f>
        <v>0</v>
      </c>
      <c r="BH62" s="2118" t="str">
        <f>Liste!T62</f>
        <v>m²</v>
      </c>
    </row>
    <row r="63" spans="1:60" ht="24.95" customHeight="1" x14ac:dyDescent="0.25">
      <c r="A63" s="29"/>
      <c r="B63" s="46">
        <f>IF(Liste!O63&gt;0,Liste!O63,Liste!B63)</f>
        <v>0</v>
      </c>
      <c r="C63" s="2314"/>
      <c r="D63" s="30">
        <f>Liste!C63</f>
        <v>0</v>
      </c>
      <c r="E63" s="2314"/>
      <c r="F63" s="32">
        <f t="shared" si="4"/>
        <v>0</v>
      </c>
      <c r="G63" s="2314"/>
      <c r="H63" s="32">
        <f t="shared" si="5"/>
        <v>0</v>
      </c>
      <c r="I63" s="2314"/>
      <c r="J63" s="32">
        <f t="shared" si="6"/>
        <v>0</v>
      </c>
      <c r="K63" s="2314"/>
      <c r="L63" s="31">
        <f t="shared" si="7"/>
        <v>0</v>
      </c>
      <c r="M63" s="2314"/>
      <c r="N63" s="31">
        <f>Liste!L63</f>
        <v>0</v>
      </c>
      <c r="O63" s="31"/>
      <c r="P63" s="31"/>
      <c r="Q63" s="31">
        <f>Liste!P63</f>
        <v>0</v>
      </c>
      <c r="R63" s="31">
        <f>Liste!N63</f>
        <v>0</v>
      </c>
      <c r="S63" s="7">
        <v>0</v>
      </c>
      <c r="T63" s="7">
        <v>0</v>
      </c>
      <c r="U63" s="7">
        <v>0</v>
      </c>
      <c r="V63" s="7"/>
      <c r="W63" s="60"/>
      <c r="X63" s="60"/>
      <c r="Y63" s="60"/>
      <c r="Z63" s="7"/>
      <c r="AA63" s="7"/>
      <c r="AB63" s="60"/>
      <c r="AC63" s="60"/>
      <c r="AD63" s="60"/>
      <c r="AE63" s="7"/>
      <c r="AF63" s="7"/>
      <c r="AG63" s="7"/>
      <c r="AH63" s="7"/>
      <c r="AI63" s="7"/>
      <c r="AJ63" s="7">
        <f>Liste!X63</f>
        <v>0</v>
      </c>
      <c r="AK63" s="7">
        <f>Liste!Y63</f>
        <v>0</v>
      </c>
      <c r="AL63" s="7"/>
      <c r="AM63" s="7"/>
      <c r="AN63" s="7"/>
      <c r="AO63" s="1113">
        <f>Liste!D63</f>
        <v>0</v>
      </c>
      <c r="AP63" s="1113">
        <f>Liste!F63</f>
        <v>0</v>
      </c>
      <c r="AQ63" s="1113">
        <f>Liste!E63</f>
        <v>0</v>
      </c>
      <c r="AR63" s="1113">
        <f>Liste!G63</f>
        <v>0</v>
      </c>
      <c r="AS63" s="1112">
        <f>Liste!V63</f>
        <v>0</v>
      </c>
      <c r="AT63" s="1">
        <f>Liste!M63</f>
        <v>0</v>
      </c>
      <c r="AZ63" s="5" t="s">
        <v>130</v>
      </c>
      <c r="BA63" s="4" t="s">
        <v>101</v>
      </c>
      <c r="BB63" s="4">
        <v>567</v>
      </c>
      <c r="BD63" s="35"/>
      <c r="BE63" s="35"/>
      <c r="BF63" s="2118">
        <f>Liste!R63</f>
        <v>0</v>
      </c>
      <c r="BG63" s="2137">
        <f>IF(AS63&gt;0,Liste!S63,0)</f>
        <v>0</v>
      </c>
      <c r="BH63" s="2118">
        <f>Liste!T63</f>
        <v>0</v>
      </c>
    </row>
    <row r="64" spans="1:60" ht="24.95" customHeight="1" x14ac:dyDescent="0.25">
      <c r="A64" s="29"/>
      <c r="B64" s="46" t="str">
        <f>IF(Liste!O64&gt;0,Liste!O64,Liste!B64)</f>
        <v>Schnellbauschraube m. Bohrspitze 3,5X35</v>
      </c>
      <c r="C64" s="2314"/>
      <c r="D64" s="30" t="str">
        <f>Liste!C64</f>
        <v>0123025</v>
      </c>
      <c r="E64" s="2314"/>
      <c r="F64" s="32">
        <f t="shared" si="4"/>
        <v>0</v>
      </c>
      <c r="G64" s="2314"/>
      <c r="H64" s="32">
        <f t="shared" si="5"/>
        <v>0</v>
      </c>
      <c r="I64" s="2314"/>
      <c r="J64" s="32">
        <f t="shared" si="6"/>
        <v>0</v>
      </c>
      <c r="K64" s="2314"/>
      <c r="L64" s="31">
        <f t="shared" si="7"/>
        <v>0</v>
      </c>
      <c r="M64" s="2314"/>
      <c r="N64" s="31" t="str">
        <f>Liste!L64</f>
        <v>Stk</v>
      </c>
      <c r="O64" s="31"/>
      <c r="P64" s="31"/>
      <c r="Q64" s="31">
        <f>Liste!P64</f>
        <v>0</v>
      </c>
      <c r="R64" s="31">
        <f>Liste!N64</f>
        <v>0</v>
      </c>
      <c r="S64" s="7">
        <v>0</v>
      </c>
      <c r="T64" s="7">
        <v>0</v>
      </c>
      <c r="U64" s="7">
        <v>0</v>
      </c>
      <c r="V64" s="7"/>
      <c r="W64" s="60"/>
      <c r="X64" s="60"/>
      <c r="Y64" s="60"/>
      <c r="Z64" s="7"/>
      <c r="AA64" s="7"/>
      <c r="AB64" s="60"/>
      <c r="AC64" s="60"/>
      <c r="AD64" s="60"/>
      <c r="AE64" s="7"/>
      <c r="AF64" s="7"/>
      <c r="AG64" s="7"/>
      <c r="AH64" s="7"/>
      <c r="AI64" s="7"/>
      <c r="AJ64" s="7">
        <f>Liste!X64</f>
        <v>0</v>
      </c>
      <c r="AK64" s="7">
        <f>Liste!Y64</f>
        <v>0</v>
      </c>
      <c r="AL64" s="7"/>
      <c r="AM64" s="7"/>
      <c r="AN64" s="7"/>
      <c r="AO64" s="1113">
        <f>Liste!D64</f>
        <v>0</v>
      </c>
      <c r="AP64" s="1113">
        <f>Liste!F64</f>
        <v>0</v>
      </c>
      <c r="AQ64" s="1113">
        <f>Liste!E64</f>
        <v>0</v>
      </c>
      <c r="AR64" s="1113">
        <f>Liste!G64</f>
        <v>0</v>
      </c>
      <c r="AS64" s="1112">
        <f>Liste!V64</f>
        <v>1</v>
      </c>
      <c r="AT64" s="1">
        <f>Liste!M64</f>
        <v>0</v>
      </c>
      <c r="AZ64" s="5" t="s">
        <v>131</v>
      </c>
      <c r="BA64" s="4" t="s">
        <v>101</v>
      </c>
      <c r="BB64" s="4">
        <v>568</v>
      </c>
      <c r="BD64" s="35"/>
      <c r="BE64" s="35"/>
      <c r="BF64" s="2118" t="str">
        <f>Liste!R64</f>
        <v>0123025</v>
      </c>
      <c r="BG64" s="2137">
        <f>IF(AS64&gt;0,Liste!S64,0)</f>
        <v>0</v>
      </c>
      <c r="BH64" s="2118" t="str">
        <f>Liste!T64</f>
        <v>Stk</v>
      </c>
    </row>
    <row r="65" spans="1:60" ht="24.95" customHeight="1" x14ac:dyDescent="0.25">
      <c r="A65" s="29"/>
      <c r="B65" s="46" t="str">
        <f>IF(Liste!O65&gt;0,Liste!O65,Liste!B65)</f>
        <v>Element oben</v>
      </c>
      <c r="C65" s="2314"/>
      <c r="D65" s="30">
        <f>Liste!C65</f>
        <v>0</v>
      </c>
      <c r="E65" s="2314"/>
      <c r="F65" s="32">
        <f t="shared" si="4"/>
        <v>0</v>
      </c>
      <c r="G65" s="2314"/>
      <c r="H65" s="32">
        <f t="shared" si="5"/>
        <v>500</v>
      </c>
      <c r="I65" s="2314"/>
      <c r="J65" s="32">
        <f t="shared" si="6"/>
        <v>1080</v>
      </c>
      <c r="K65" s="2314"/>
      <c r="L65" s="31">
        <f t="shared" si="7"/>
        <v>0</v>
      </c>
      <c r="M65" s="2314"/>
      <c r="N65" s="31">
        <f>Liste!L65</f>
        <v>0</v>
      </c>
      <c r="O65" s="31"/>
      <c r="P65" s="31"/>
      <c r="Q65" s="31">
        <f>Liste!P65</f>
        <v>0</v>
      </c>
      <c r="R65" s="31">
        <f>Liste!N65</f>
        <v>0</v>
      </c>
      <c r="S65" s="7">
        <v>0</v>
      </c>
      <c r="T65" s="7">
        <v>0</v>
      </c>
      <c r="U65" s="7">
        <v>0</v>
      </c>
      <c r="V65" s="7"/>
      <c r="W65" s="60"/>
      <c r="X65" s="60"/>
      <c r="Y65" s="60"/>
      <c r="Z65" s="7"/>
      <c r="AA65" s="7"/>
      <c r="AB65" s="60"/>
      <c r="AC65" s="60"/>
      <c r="AD65" s="60"/>
      <c r="AE65" s="7"/>
      <c r="AF65" s="7"/>
      <c r="AG65" s="7"/>
      <c r="AH65" s="7"/>
      <c r="AI65" s="7"/>
      <c r="AJ65" s="7">
        <f>Liste!X65</f>
        <v>0</v>
      </c>
      <c r="AK65" s="7">
        <f>Liste!Y65</f>
        <v>0</v>
      </c>
      <c r="AL65" s="7"/>
      <c r="AM65" s="7"/>
      <c r="AN65" s="7"/>
      <c r="AO65" s="1113">
        <f>Liste!D65</f>
        <v>0</v>
      </c>
      <c r="AP65" s="1113">
        <f>Liste!F65</f>
        <v>500</v>
      </c>
      <c r="AQ65" s="1113">
        <f>Liste!E65</f>
        <v>1080</v>
      </c>
      <c r="AR65" s="1113">
        <f>Liste!G65</f>
        <v>0</v>
      </c>
      <c r="AS65" s="1112">
        <f>Liste!V65</f>
        <v>0</v>
      </c>
      <c r="AT65" s="1">
        <f>Liste!M65</f>
        <v>0</v>
      </c>
      <c r="AZ65" s="5" t="s">
        <v>132</v>
      </c>
      <c r="BA65" s="4" t="s">
        <v>101</v>
      </c>
      <c r="BB65" s="4">
        <v>569</v>
      </c>
      <c r="BD65" s="35"/>
      <c r="BE65" s="35"/>
      <c r="BF65" s="2118">
        <f>Liste!R65</f>
        <v>0</v>
      </c>
      <c r="BG65" s="2137">
        <f>IF(AS65&gt;0,Liste!S65,0)</f>
        <v>0</v>
      </c>
      <c r="BH65" s="2118">
        <f>Liste!T65</f>
        <v>0</v>
      </c>
    </row>
    <row r="66" spans="1:60" ht="24.95" customHeight="1" x14ac:dyDescent="0.25">
      <c r="A66" s="29"/>
      <c r="B66" s="46">
        <f>IF(Liste!O66&gt;0,Liste!O66,Liste!B66)</f>
        <v>11</v>
      </c>
      <c r="C66" s="2314"/>
      <c r="D66" s="30" t="str">
        <f>Liste!C66</f>
        <v>0202003</v>
      </c>
      <c r="E66" s="2314"/>
      <c r="F66" s="32">
        <f t="shared" si="4"/>
        <v>0</v>
      </c>
      <c r="G66" s="2314"/>
      <c r="H66" s="32">
        <f t="shared" si="5"/>
        <v>400</v>
      </c>
      <c r="I66" s="2314"/>
      <c r="J66" s="32">
        <f t="shared" si="6"/>
        <v>1080</v>
      </c>
      <c r="K66" s="2314"/>
      <c r="L66" s="31">
        <f t="shared" si="7"/>
        <v>6</v>
      </c>
      <c r="M66" s="2314"/>
      <c r="N66" s="31" t="str">
        <f>Liste!L66</f>
        <v>MM2</v>
      </c>
      <c r="O66" s="31"/>
      <c r="P66" s="31"/>
      <c r="Q66" s="31" t="str">
        <f>Liste!P66</f>
        <v>A</v>
      </c>
      <c r="R66" s="31" t="str">
        <f>Liste!N66</f>
        <v>Element oben Raums. Aussenl.</v>
      </c>
      <c r="S66" s="7">
        <v>0</v>
      </c>
      <c r="T66" s="7">
        <v>0</v>
      </c>
      <c r="U66" s="7">
        <v>0</v>
      </c>
      <c r="V66" s="7"/>
      <c r="W66" s="60"/>
      <c r="X66" s="60"/>
      <c r="Y66" s="60"/>
      <c r="Z66" s="7"/>
      <c r="AA66" s="7"/>
      <c r="AB66" s="60"/>
      <c r="AC66" s="60"/>
      <c r="AD66" s="60"/>
      <c r="AE66" s="7"/>
      <c r="AF66" s="7"/>
      <c r="AG66" s="7"/>
      <c r="AH66" s="7"/>
      <c r="AI66" s="7"/>
      <c r="AJ66" s="7">
        <f>Liste!X66</f>
        <v>0</v>
      </c>
      <c r="AK66" s="7">
        <f>Liste!Y66</f>
        <v>0</v>
      </c>
      <c r="AL66" s="7"/>
      <c r="AM66" s="7"/>
      <c r="AN66" s="7"/>
      <c r="AO66" s="1113">
        <f>Liste!D66</f>
        <v>0</v>
      </c>
      <c r="AP66" s="1113">
        <f>Liste!F66</f>
        <v>400</v>
      </c>
      <c r="AQ66" s="1113">
        <f>Liste!E66</f>
        <v>1080</v>
      </c>
      <c r="AR66" s="1113">
        <f>Liste!G66</f>
        <v>6</v>
      </c>
      <c r="AS66" s="1112">
        <f>Liste!V66</f>
        <v>1</v>
      </c>
      <c r="AT66" s="1">
        <f>Liste!M66</f>
        <v>0</v>
      </c>
      <c r="AZ66" s="5" t="s">
        <v>133</v>
      </c>
      <c r="BA66" s="4" t="s">
        <v>101</v>
      </c>
      <c r="BB66" s="4">
        <v>570</v>
      </c>
      <c r="BD66" s="35"/>
      <c r="BE66" s="35"/>
      <c r="BF66" s="2118" t="str">
        <f>Liste!R66</f>
        <v>0202003</v>
      </c>
      <c r="BG66" s="2137">
        <f>IF(AS66&gt;0,Liste!S66,0)</f>
        <v>0</v>
      </c>
      <c r="BH66" s="2118" t="str">
        <f>Liste!T66</f>
        <v>m²</v>
      </c>
    </row>
    <row r="67" spans="1:60" ht="24.95" customHeight="1" x14ac:dyDescent="0.25">
      <c r="A67" s="29"/>
      <c r="B67" s="46">
        <f>IF(Liste!O67&gt;0,Liste!O67,Liste!B67)</f>
        <v>12</v>
      </c>
      <c r="C67" s="2314"/>
      <c r="D67" s="30" t="str">
        <f>Liste!C67</f>
        <v>0202003</v>
      </c>
      <c r="E67" s="2314"/>
      <c r="F67" s="32">
        <f t="shared" si="4"/>
        <v>0</v>
      </c>
      <c r="G67" s="2314"/>
      <c r="H67" s="32">
        <f t="shared" si="5"/>
        <v>400</v>
      </c>
      <c r="I67" s="2314"/>
      <c r="J67" s="32">
        <f t="shared" si="6"/>
        <v>0</v>
      </c>
      <c r="K67" s="2314"/>
      <c r="L67" s="31">
        <f t="shared" si="7"/>
        <v>6</v>
      </c>
      <c r="M67" s="2314"/>
      <c r="N67" s="31" t="str">
        <f>Liste!L67</f>
        <v>MM2</v>
      </c>
      <c r="O67" s="31"/>
      <c r="P67" s="31"/>
      <c r="Q67" s="31" t="str">
        <f>Liste!P67</f>
        <v>A</v>
      </c>
      <c r="R67" s="31" t="str">
        <f>Liste!N67</f>
        <v>Element oben Raums. Aussenl.</v>
      </c>
      <c r="S67" s="7">
        <v>0</v>
      </c>
      <c r="T67" s="7">
        <v>0</v>
      </c>
      <c r="U67" s="7">
        <v>0</v>
      </c>
      <c r="V67" s="7"/>
      <c r="W67" s="60"/>
      <c r="X67" s="60"/>
      <c r="Y67" s="60"/>
      <c r="Z67" s="7"/>
      <c r="AA67" s="7"/>
      <c r="AB67" s="60"/>
      <c r="AC67" s="60"/>
      <c r="AD67" s="60"/>
      <c r="AE67" s="7"/>
      <c r="AF67" s="7"/>
      <c r="AG67" s="7"/>
      <c r="AH67" s="7"/>
      <c r="AI67" s="7"/>
      <c r="AJ67" s="7">
        <f>Liste!X67</f>
        <v>0</v>
      </c>
      <c r="AK67" s="7">
        <f>Liste!Y67</f>
        <v>0</v>
      </c>
      <c r="AL67" s="7"/>
      <c r="AM67" s="7"/>
      <c r="AN67" s="7"/>
      <c r="AO67" s="1113">
        <f>Liste!D67</f>
        <v>0</v>
      </c>
      <c r="AP67" s="1113">
        <f>Liste!F67</f>
        <v>400</v>
      </c>
      <c r="AQ67" s="1113">
        <f>Liste!E67</f>
        <v>0</v>
      </c>
      <c r="AR67" s="1113">
        <f>Liste!G67</f>
        <v>6</v>
      </c>
      <c r="AS67" s="1112">
        <f>Liste!V67</f>
        <v>1</v>
      </c>
      <c r="AT67" s="1">
        <f>Liste!M67</f>
        <v>0</v>
      </c>
      <c r="AZ67" s="5" t="s">
        <v>134</v>
      </c>
      <c r="BA67" s="4" t="s">
        <v>101</v>
      </c>
      <c r="BB67" s="4">
        <v>571</v>
      </c>
      <c r="BD67" s="35"/>
      <c r="BE67" s="35"/>
      <c r="BF67" s="2118" t="str">
        <f>Liste!R67</f>
        <v>0202003</v>
      </c>
      <c r="BG67" s="2137">
        <f>IF(AS67&gt;0,Liste!S67,0)</f>
        <v>0</v>
      </c>
      <c r="BH67" s="2118" t="str">
        <f>Liste!T67</f>
        <v>m²</v>
      </c>
    </row>
    <row r="68" spans="1:60" ht="24.95" customHeight="1" x14ac:dyDescent="0.25">
      <c r="A68" s="29"/>
      <c r="B68" s="46">
        <f>IF(Liste!O68&gt;0,Liste!O68,Liste!B68)</f>
        <v>13</v>
      </c>
      <c r="C68" s="2314"/>
      <c r="D68" s="30" t="str">
        <f>Liste!C68</f>
        <v>0202018</v>
      </c>
      <c r="E68" s="2314"/>
      <c r="F68" s="32">
        <f t="shared" si="4"/>
        <v>0</v>
      </c>
      <c r="G68" s="2314"/>
      <c r="H68" s="32">
        <f t="shared" si="5"/>
        <v>400</v>
      </c>
      <c r="I68" s="2314"/>
      <c r="J68" s="32">
        <f t="shared" si="6"/>
        <v>1080</v>
      </c>
      <c r="K68" s="2314"/>
      <c r="L68" s="31">
        <f t="shared" si="7"/>
        <v>18</v>
      </c>
      <c r="M68" s="2314"/>
      <c r="N68" s="31" t="str">
        <f>Liste!L68</f>
        <v>MM2</v>
      </c>
      <c r="O68" s="31"/>
      <c r="P68" s="31"/>
      <c r="Q68" s="31" t="str">
        <f>Liste!P68</f>
        <v>A</v>
      </c>
      <c r="R68" s="31" t="str">
        <f>Liste!N68</f>
        <v>Element oben Raums. Innenl.</v>
      </c>
      <c r="S68" s="7">
        <v>0</v>
      </c>
      <c r="T68" s="7">
        <v>0</v>
      </c>
      <c r="U68" s="7">
        <v>0</v>
      </c>
      <c r="V68" s="7"/>
      <c r="W68" s="60"/>
      <c r="X68" s="60"/>
      <c r="Y68" s="60"/>
      <c r="Z68" s="7"/>
      <c r="AA68" s="7"/>
      <c r="AB68" s="60"/>
      <c r="AC68" s="60"/>
      <c r="AD68" s="60"/>
      <c r="AE68" s="7"/>
      <c r="AF68" s="7"/>
      <c r="AG68" s="7"/>
      <c r="AH68" s="7"/>
      <c r="AI68" s="7"/>
      <c r="AJ68" s="7">
        <f>Liste!X68</f>
        <v>0</v>
      </c>
      <c r="AK68" s="7">
        <f>Liste!Y68</f>
        <v>0</v>
      </c>
      <c r="AL68" s="7"/>
      <c r="AM68" s="7"/>
      <c r="AN68" s="7"/>
      <c r="AO68" s="1113">
        <f>Liste!D68</f>
        <v>0</v>
      </c>
      <c r="AP68" s="1113">
        <f>Liste!F68</f>
        <v>400</v>
      </c>
      <c r="AQ68" s="1113">
        <f>Liste!E68</f>
        <v>1080</v>
      </c>
      <c r="AR68" s="1113">
        <f>Liste!G68</f>
        <v>18</v>
      </c>
      <c r="AS68" s="1112">
        <f>Liste!V68</f>
        <v>1</v>
      </c>
      <c r="AT68" s="1">
        <f>Liste!M68</f>
        <v>0</v>
      </c>
      <c r="AZ68" s="5" t="s">
        <v>135</v>
      </c>
      <c r="BA68" s="4" t="s">
        <v>101</v>
      </c>
      <c r="BB68" s="4">
        <v>572</v>
      </c>
      <c r="BD68" s="35"/>
      <c r="BE68" s="35"/>
      <c r="BF68" s="2118" t="str">
        <f>Liste!R68</f>
        <v>0202018</v>
      </c>
      <c r="BG68" s="2137">
        <f>IF(AS68&gt;0,Liste!S68,0)</f>
        <v>0</v>
      </c>
      <c r="BH68" s="2118" t="str">
        <f>Liste!T68</f>
        <v>m²</v>
      </c>
    </row>
    <row r="69" spans="1:60" ht="24.95" customHeight="1" x14ac:dyDescent="0.25">
      <c r="A69" s="29"/>
      <c r="B69" s="46">
        <f>IF(Liste!O69&gt;0,Liste!O69,Liste!B69)</f>
        <v>14</v>
      </c>
      <c r="C69" s="2314"/>
      <c r="D69" s="30" t="str">
        <f>Liste!C69</f>
        <v>0202018</v>
      </c>
      <c r="E69" s="2314"/>
      <c r="F69" s="32">
        <f t="shared" si="4"/>
        <v>0</v>
      </c>
      <c r="G69" s="2314"/>
      <c r="H69" s="32">
        <f t="shared" si="5"/>
        <v>400</v>
      </c>
      <c r="I69" s="2314"/>
      <c r="J69" s="32">
        <f t="shared" si="6"/>
        <v>0</v>
      </c>
      <c r="K69" s="2314"/>
      <c r="L69" s="31">
        <f t="shared" si="7"/>
        <v>18</v>
      </c>
      <c r="M69" s="2314"/>
      <c r="N69" s="31" t="str">
        <f>Liste!L69</f>
        <v>MM2</v>
      </c>
      <c r="O69" s="31"/>
      <c r="P69" s="31"/>
      <c r="Q69" s="31" t="str">
        <f>Liste!P69</f>
        <v>A</v>
      </c>
      <c r="R69" s="31" t="str">
        <f>Liste!N69</f>
        <v>Element oben Raums. Innenl.</v>
      </c>
      <c r="S69" s="7">
        <v>0</v>
      </c>
      <c r="T69" s="7">
        <v>0</v>
      </c>
      <c r="U69" s="7">
        <v>0</v>
      </c>
      <c r="V69" s="7"/>
      <c r="W69" s="60"/>
      <c r="X69" s="60"/>
      <c r="Y69" s="60"/>
      <c r="Z69" s="7"/>
      <c r="AA69" s="7"/>
      <c r="AB69" s="60"/>
      <c r="AC69" s="60"/>
      <c r="AD69" s="60"/>
      <c r="AE69" s="7"/>
      <c r="AF69" s="7"/>
      <c r="AG69" s="7"/>
      <c r="AH69" s="7"/>
      <c r="AI69" s="7"/>
      <c r="AJ69" s="7">
        <f>Liste!X69</f>
        <v>0</v>
      </c>
      <c r="AK69" s="7">
        <f>Liste!Y69</f>
        <v>0</v>
      </c>
      <c r="AL69" s="7"/>
      <c r="AM69" s="7"/>
      <c r="AN69" s="7"/>
      <c r="AO69" s="1113">
        <f>Liste!D69</f>
        <v>0</v>
      </c>
      <c r="AP69" s="1113">
        <f>Liste!F69</f>
        <v>400</v>
      </c>
      <c r="AQ69" s="1113">
        <f>Liste!E69</f>
        <v>0</v>
      </c>
      <c r="AR69" s="1113">
        <f>Liste!G69</f>
        <v>18</v>
      </c>
      <c r="AS69" s="1112">
        <f>Liste!V69</f>
        <v>1</v>
      </c>
      <c r="AT69" s="1">
        <f>Liste!M69</f>
        <v>0</v>
      </c>
      <c r="AZ69" s="5" t="s">
        <v>136</v>
      </c>
      <c r="BA69" s="4" t="s">
        <v>101</v>
      </c>
      <c r="BB69" s="4">
        <v>573</v>
      </c>
      <c r="BD69" s="35"/>
      <c r="BE69" s="35"/>
      <c r="BF69" s="2118" t="str">
        <f>Liste!R69</f>
        <v>0202018</v>
      </c>
      <c r="BG69" s="2137">
        <f>IF(AS69&gt;0,Liste!S69,0)</f>
        <v>0</v>
      </c>
      <c r="BH69" s="2118" t="str">
        <f>Liste!T69</f>
        <v>m²</v>
      </c>
    </row>
    <row r="70" spans="1:60" ht="24.95" customHeight="1" x14ac:dyDescent="0.25">
      <c r="A70" s="29"/>
      <c r="B70" s="46">
        <f>IF(Liste!O70&gt;0,Liste!O70,Liste!B70)</f>
        <v>15</v>
      </c>
      <c r="C70" s="2314"/>
      <c r="D70" s="30" t="str">
        <f>Liste!C70</f>
        <v>0202018</v>
      </c>
      <c r="E70" s="2314"/>
      <c r="F70" s="32">
        <f t="shared" si="4"/>
        <v>0</v>
      </c>
      <c r="G70" s="2314"/>
      <c r="H70" s="32">
        <f t="shared" si="5"/>
        <v>500</v>
      </c>
      <c r="I70" s="2314"/>
      <c r="J70" s="32">
        <f t="shared" si="6"/>
        <v>1080</v>
      </c>
      <c r="K70" s="2314"/>
      <c r="L70" s="31">
        <f t="shared" si="7"/>
        <v>18</v>
      </c>
      <c r="M70" s="2314"/>
      <c r="N70" s="31" t="str">
        <f>Liste!L70</f>
        <v>MM2</v>
      </c>
      <c r="O70" s="31"/>
      <c r="P70" s="31"/>
      <c r="Q70" s="31" t="str">
        <f>Liste!P70</f>
        <v>A</v>
      </c>
      <c r="R70" s="31" t="str">
        <f>Liste!N70</f>
        <v>Element oben Wands. Innenl.</v>
      </c>
      <c r="S70" s="7">
        <v>0</v>
      </c>
      <c r="T70" s="7">
        <v>0</v>
      </c>
      <c r="U70" s="7">
        <v>0</v>
      </c>
      <c r="V70" s="7"/>
      <c r="W70" s="60"/>
      <c r="X70" s="60"/>
      <c r="Y70" s="60"/>
      <c r="Z70" s="7"/>
      <c r="AA70" s="7"/>
      <c r="AB70" s="60"/>
      <c r="AC70" s="60"/>
      <c r="AD70" s="60"/>
      <c r="AE70" s="7"/>
      <c r="AF70" s="7"/>
      <c r="AG70" s="7"/>
      <c r="AH70" s="7"/>
      <c r="AI70" s="7"/>
      <c r="AJ70" s="7">
        <f>Liste!X70</f>
        <v>0</v>
      </c>
      <c r="AK70" s="7">
        <f>Liste!Y70</f>
        <v>0</v>
      </c>
      <c r="AL70" s="7"/>
      <c r="AM70" s="7"/>
      <c r="AN70" s="7"/>
      <c r="AO70" s="1113">
        <f>Liste!D70</f>
        <v>0</v>
      </c>
      <c r="AP70" s="1113">
        <f>Liste!F70</f>
        <v>500</v>
      </c>
      <c r="AQ70" s="1113">
        <f>Liste!E70</f>
        <v>1080</v>
      </c>
      <c r="AR70" s="1113">
        <f>Liste!G70</f>
        <v>18</v>
      </c>
      <c r="AS70" s="1112">
        <f>Liste!V70</f>
        <v>1</v>
      </c>
      <c r="AT70" s="1">
        <f>Liste!M70</f>
        <v>0</v>
      </c>
      <c r="AZ70" s="5" t="s">
        <v>137</v>
      </c>
      <c r="BA70" s="4" t="s">
        <v>101</v>
      </c>
      <c r="BB70" s="4">
        <v>574</v>
      </c>
      <c r="BD70" s="35"/>
      <c r="BE70" s="35"/>
      <c r="BF70" s="2118" t="str">
        <f>Liste!R70</f>
        <v>0202018</v>
      </c>
      <c r="BG70" s="2137">
        <f>IF(AS70&gt;0,Liste!S70,0)</f>
        <v>0</v>
      </c>
      <c r="BH70" s="2118" t="str">
        <f>Liste!T70</f>
        <v>m²</v>
      </c>
    </row>
    <row r="71" spans="1:60" ht="24.95" customHeight="1" x14ac:dyDescent="0.25">
      <c r="A71" s="29"/>
      <c r="B71" s="46">
        <f>IF(Liste!O71&gt;0,Liste!O71,Liste!B71)</f>
        <v>16</v>
      </c>
      <c r="C71" s="2314"/>
      <c r="D71" s="30" t="str">
        <f>Liste!C71</f>
        <v>0202018</v>
      </c>
      <c r="E71" s="2314"/>
      <c r="F71" s="32">
        <f t="shared" si="4"/>
        <v>0</v>
      </c>
      <c r="G71" s="2314"/>
      <c r="H71" s="32">
        <f t="shared" si="5"/>
        <v>500</v>
      </c>
      <c r="I71" s="2314"/>
      <c r="J71" s="32">
        <f t="shared" si="6"/>
        <v>0</v>
      </c>
      <c r="K71" s="2314"/>
      <c r="L71" s="31">
        <f t="shared" si="7"/>
        <v>18</v>
      </c>
      <c r="M71" s="2314"/>
      <c r="N71" s="31" t="str">
        <f>Liste!L71</f>
        <v>MM2</v>
      </c>
      <c r="O71" s="31"/>
      <c r="P71" s="31"/>
      <c r="Q71" s="31" t="str">
        <f>Liste!P71</f>
        <v>A</v>
      </c>
      <c r="R71" s="31" t="str">
        <f>Liste!N71</f>
        <v>Element oben Wands. Innenl.</v>
      </c>
      <c r="S71" s="7">
        <v>0</v>
      </c>
      <c r="T71" s="7">
        <v>0</v>
      </c>
      <c r="U71" s="7">
        <v>0</v>
      </c>
      <c r="V71" s="7"/>
      <c r="W71" s="60"/>
      <c r="X71" s="60"/>
      <c r="Y71" s="60"/>
      <c r="Z71" s="7"/>
      <c r="AA71" s="7"/>
      <c r="AB71" s="60"/>
      <c r="AC71" s="60"/>
      <c r="AD71" s="60"/>
      <c r="AE71" s="7"/>
      <c r="AF71" s="7"/>
      <c r="AG71" s="7"/>
      <c r="AH71" s="7"/>
      <c r="AI71" s="7"/>
      <c r="AJ71" s="7">
        <f>Liste!X71</f>
        <v>0</v>
      </c>
      <c r="AK71" s="7">
        <f>Liste!Y71</f>
        <v>0</v>
      </c>
      <c r="AL71" s="7"/>
      <c r="AM71" s="7"/>
      <c r="AN71" s="7"/>
      <c r="AO71" s="1113">
        <f>Liste!D71</f>
        <v>0</v>
      </c>
      <c r="AP71" s="1113">
        <f>Liste!F71</f>
        <v>500</v>
      </c>
      <c r="AQ71" s="1113">
        <f>Liste!E71</f>
        <v>0</v>
      </c>
      <c r="AR71" s="1113">
        <f>Liste!G71</f>
        <v>18</v>
      </c>
      <c r="AS71" s="1112">
        <f>Liste!V71</f>
        <v>1</v>
      </c>
      <c r="AT71" s="1">
        <f>Liste!M71</f>
        <v>0</v>
      </c>
      <c r="AZ71" s="5" t="s">
        <v>138</v>
      </c>
      <c r="BA71" s="4" t="s">
        <v>101</v>
      </c>
      <c r="BB71" s="4">
        <v>575</v>
      </c>
      <c r="BD71" s="35"/>
      <c r="BE71" s="35"/>
      <c r="BF71" s="2118" t="str">
        <f>Liste!R71</f>
        <v>0202018</v>
      </c>
      <c r="BG71" s="2137">
        <f>IF(AS71&gt;0,Liste!S71,0)</f>
        <v>0</v>
      </c>
      <c r="BH71" s="2118" t="str">
        <f>Liste!T71</f>
        <v>m²</v>
      </c>
    </row>
    <row r="72" spans="1:60" ht="24.95" customHeight="1" x14ac:dyDescent="0.25">
      <c r="A72" s="29"/>
      <c r="B72" s="46">
        <f>IF(Liste!O72&gt;0,Liste!O72,Liste!B72)</f>
        <v>17</v>
      </c>
      <c r="C72" s="2314"/>
      <c r="D72" s="30" t="str">
        <f>Liste!C72</f>
        <v>0202003</v>
      </c>
      <c r="E72" s="2314"/>
      <c r="F72" s="32">
        <f t="shared" ref="F72:F135" si="8">IF(AS72&gt;0,AO72,0)</f>
        <v>0</v>
      </c>
      <c r="G72" s="2314"/>
      <c r="H72" s="32">
        <f t="shared" ref="H72:H135" si="9">IF(N72=$P$1,0,AP72)</f>
        <v>500</v>
      </c>
      <c r="I72" s="2314"/>
      <c r="J72" s="32">
        <f t="shared" ref="J72:J135" si="10">IF(OR(N72=$P$1,N72=$Q$1),0,AQ72)</f>
        <v>1080</v>
      </c>
      <c r="K72" s="2314"/>
      <c r="L72" s="31">
        <f t="shared" ref="L72:L135" si="11">IF(OR(N72=$P$1,N72=$Q$1,$R$1=N72),0,AR72)</f>
        <v>6</v>
      </c>
      <c r="M72" s="2314"/>
      <c r="N72" s="31" t="str">
        <f>Liste!L72</f>
        <v>MM2</v>
      </c>
      <c r="O72" s="31"/>
      <c r="P72" s="31"/>
      <c r="Q72" s="31" t="str">
        <f>Liste!P72</f>
        <v>A</v>
      </c>
      <c r="R72" s="31" t="str">
        <f>Liste!N72</f>
        <v>Element oben Wands. Aussenl.</v>
      </c>
      <c r="S72" s="7">
        <v>0</v>
      </c>
      <c r="T72" s="7">
        <v>0</v>
      </c>
      <c r="U72" s="7">
        <v>0</v>
      </c>
      <c r="V72" s="7"/>
      <c r="W72" s="60"/>
      <c r="X72" s="60"/>
      <c r="Y72" s="60"/>
      <c r="Z72" s="7"/>
      <c r="AA72" s="7"/>
      <c r="AB72" s="60"/>
      <c r="AC72" s="60"/>
      <c r="AD72" s="60"/>
      <c r="AE72" s="7"/>
      <c r="AF72" s="7"/>
      <c r="AG72" s="7"/>
      <c r="AH72" s="7"/>
      <c r="AI72" s="7"/>
      <c r="AJ72" s="7">
        <f>Liste!X72</f>
        <v>0</v>
      </c>
      <c r="AK72" s="7">
        <f>Liste!Y72</f>
        <v>0</v>
      </c>
      <c r="AL72" s="7"/>
      <c r="AM72" s="7"/>
      <c r="AN72" s="7"/>
      <c r="AO72" s="1113">
        <f>Liste!D72</f>
        <v>0</v>
      </c>
      <c r="AP72" s="1113">
        <f>Liste!F72</f>
        <v>500</v>
      </c>
      <c r="AQ72" s="1113">
        <f>Liste!E72</f>
        <v>1080</v>
      </c>
      <c r="AR72" s="1113">
        <f>Liste!G72</f>
        <v>6</v>
      </c>
      <c r="AS72" s="1112">
        <f>Liste!V72</f>
        <v>1</v>
      </c>
      <c r="AT72" s="1">
        <f>Liste!M72</f>
        <v>0</v>
      </c>
      <c r="AZ72" s="5" t="s">
        <v>139</v>
      </c>
      <c r="BA72" s="4" t="s">
        <v>101</v>
      </c>
      <c r="BB72" s="4">
        <v>576</v>
      </c>
      <c r="BD72" s="35"/>
      <c r="BE72" s="35"/>
      <c r="BF72" s="2118" t="str">
        <f>Liste!R72</f>
        <v>0202003</v>
      </c>
      <c r="BG72" s="2137">
        <f>IF(AS72&gt;0,Liste!S72,0)</f>
        <v>0</v>
      </c>
      <c r="BH72" s="2118" t="str">
        <f>Liste!T72</f>
        <v>m²</v>
      </c>
    </row>
    <row r="73" spans="1:60" ht="24.95" customHeight="1" x14ac:dyDescent="0.25">
      <c r="A73" s="29"/>
      <c r="B73" s="46">
        <f>IF(Liste!O73&gt;0,Liste!O73,Liste!B73)</f>
        <v>18</v>
      </c>
      <c r="C73" s="2314"/>
      <c r="D73" s="30" t="str">
        <f>Liste!C73</f>
        <v>0202003</v>
      </c>
      <c r="E73" s="2314"/>
      <c r="F73" s="32">
        <f t="shared" si="8"/>
        <v>0</v>
      </c>
      <c r="G73" s="2314"/>
      <c r="H73" s="32">
        <f t="shared" si="9"/>
        <v>500</v>
      </c>
      <c r="I73" s="2314"/>
      <c r="J73" s="32">
        <f t="shared" si="10"/>
        <v>0</v>
      </c>
      <c r="K73" s="2314"/>
      <c r="L73" s="31">
        <f t="shared" si="11"/>
        <v>6</v>
      </c>
      <c r="M73" s="2314"/>
      <c r="N73" s="31" t="str">
        <f>Liste!L73</f>
        <v>MM2</v>
      </c>
      <c r="O73" s="31"/>
      <c r="P73" s="31"/>
      <c r="Q73" s="31" t="str">
        <f>Liste!P73</f>
        <v>A</v>
      </c>
      <c r="R73" s="31" t="str">
        <f>Liste!N73</f>
        <v>Element oben Wands. Aussenl.</v>
      </c>
      <c r="S73" s="7">
        <v>0</v>
      </c>
      <c r="T73" s="7">
        <v>0</v>
      </c>
      <c r="U73" s="7">
        <v>0</v>
      </c>
      <c r="V73" s="7"/>
      <c r="W73" s="60"/>
      <c r="X73" s="60"/>
      <c r="Y73" s="60"/>
      <c r="Z73" s="7"/>
      <c r="AA73" s="7"/>
      <c r="AB73" s="60"/>
      <c r="AC73" s="60"/>
      <c r="AD73" s="60"/>
      <c r="AE73" s="7"/>
      <c r="AF73" s="7"/>
      <c r="AG73" s="7"/>
      <c r="AH73" s="7"/>
      <c r="AI73" s="7"/>
      <c r="AJ73" s="7">
        <f>Liste!X73</f>
        <v>0</v>
      </c>
      <c r="AK73" s="7">
        <f>Liste!Y73</f>
        <v>0</v>
      </c>
      <c r="AL73" s="7"/>
      <c r="AM73" s="7"/>
      <c r="AN73" s="7"/>
      <c r="AO73" s="1113">
        <f>Liste!D73</f>
        <v>0</v>
      </c>
      <c r="AP73" s="1113">
        <f>Liste!F73</f>
        <v>500</v>
      </c>
      <c r="AQ73" s="1113">
        <f>Liste!E73</f>
        <v>0</v>
      </c>
      <c r="AR73" s="1113">
        <f>Liste!G73</f>
        <v>6</v>
      </c>
      <c r="AS73" s="1112">
        <f>Liste!V73</f>
        <v>1</v>
      </c>
      <c r="AT73" s="1">
        <f>Liste!M73</f>
        <v>0</v>
      </c>
      <c r="AZ73" s="5" t="s">
        <v>140</v>
      </c>
      <c r="BA73" s="4" t="s">
        <v>101</v>
      </c>
      <c r="BB73" s="4">
        <v>577</v>
      </c>
      <c r="BD73" s="35"/>
      <c r="BE73" s="35"/>
      <c r="BF73" s="2118" t="str">
        <f>Liste!R73</f>
        <v>0202003</v>
      </c>
      <c r="BG73" s="2137">
        <f>IF(AS73&gt;0,Liste!S73,0)</f>
        <v>0</v>
      </c>
      <c r="BH73" s="2118" t="str">
        <f>Liste!T73</f>
        <v>m²</v>
      </c>
    </row>
    <row r="74" spans="1:60" ht="24.95" customHeight="1" x14ac:dyDescent="0.25">
      <c r="A74" s="29"/>
      <c r="B74" s="46" t="str">
        <f>IF(Liste!O74&gt;0,Liste!O74,Liste!B74)</f>
        <v>GCC Schieberelementblechinnenlage oben / Komplett verzinkt</v>
      </c>
      <c r="C74" s="2314"/>
      <c r="D74" s="30" t="str">
        <f>Liste!C74</f>
        <v>0308094</v>
      </c>
      <c r="E74" s="2314"/>
      <c r="F74" s="32">
        <f t="shared" si="8"/>
        <v>0</v>
      </c>
      <c r="G74" s="2314"/>
      <c r="H74" s="32">
        <f t="shared" si="9"/>
        <v>0</v>
      </c>
      <c r="I74" s="2314"/>
      <c r="J74" s="32">
        <f t="shared" si="10"/>
        <v>0</v>
      </c>
      <c r="K74" s="2314"/>
      <c r="L74" s="31">
        <f t="shared" si="11"/>
        <v>0</v>
      </c>
      <c r="M74" s="2314"/>
      <c r="N74" s="31" t="str">
        <f>Liste!L74</f>
        <v>Stk</v>
      </c>
      <c r="O74" s="31"/>
      <c r="P74" s="31"/>
      <c r="Q74" s="31">
        <f>Liste!P74</f>
        <v>0</v>
      </c>
      <c r="R74" s="31">
        <f>Liste!N74</f>
        <v>0</v>
      </c>
      <c r="S74" s="7">
        <v>0</v>
      </c>
      <c r="T74" s="7">
        <v>0</v>
      </c>
      <c r="U74" s="7">
        <v>0</v>
      </c>
      <c r="V74" s="7"/>
      <c r="W74" s="60"/>
      <c r="X74" s="60"/>
      <c r="Y74" s="60"/>
      <c r="Z74" s="7"/>
      <c r="AA74" s="7"/>
      <c r="AB74" s="60"/>
      <c r="AC74" s="60"/>
      <c r="AD74" s="60"/>
      <c r="AE74" s="7"/>
      <c r="AF74" s="7"/>
      <c r="AG74" s="7"/>
      <c r="AH74" s="7"/>
      <c r="AI74" s="7"/>
      <c r="AJ74" s="7">
        <f>Liste!X74</f>
        <v>0</v>
      </c>
      <c r="AK74" s="7">
        <f>Liste!Y74</f>
        <v>1</v>
      </c>
      <c r="AL74" s="7"/>
      <c r="AM74" s="7"/>
      <c r="AN74" s="7"/>
      <c r="AO74" s="1113">
        <f>Liste!D74</f>
        <v>0</v>
      </c>
      <c r="AP74" s="1113">
        <f>Liste!F74</f>
        <v>522</v>
      </c>
      <c r="AQ74" s="1113">
        <f>Liste!E74</f>
        <v>1080</v>
      </c>
      <c r="AR74" s="1113">
        <f>Liste!G74</f>
        <v>1</v>
      </c>
      <c r="AS74" s="1112">
        <f>Liste!V74</f>
        <v>1</v>
      </c>
      <c r="AT74" s="1" t="str">
        <f>Liste!M74</f>
        <v>1.0250(S320GD+Z275MA-C)</v>
      </c>
      <c r="AZ74" s="5" t="s">
        <v>141</v>
      </c>
      <c r="BA74" s="4" t="s">
        <v>101</v>
      </c>
      <c r="BB74" s="4">
        <v>578</v>
      </c>
      <c r="BD74" s="35"/>
      <c r="BE74" s="35"/>
      <c r="BF74" s="2118" t="str">
        <f>Liste!R74</f>
        <v>0701544</v>
      </c>
      <c r="BG74" s="2137">
        <f>IF(AS74&gt;0,Liste!S74,0)</f>
        <v>0</v>
      </c>
      <c r="BH74" s="2118" t="str">
        <f>Liste!T74</f>
        <v>m²</v>
      </c>
    </row>
    <row r="75" spans="1:60" ht="24.95" customHeight="1" x14ac:dyDescent="0.25">
      <c r="A75" s="29"/>
      <c r="B75" s="46" t="str">
        <f>IF(Liste!O75&gt;0,Liste!O75,Liste!B75)</f>
        <v>Schieberelementblechinnenlage oben / Komplett V2A</v>
      </c>
      <c r="C75" s="2314"/>
      <c r="D75" s="30" t="str">
        <f>Liste!C75</f>
        <v>0338094</v>
      </c>
      <c r="E75" s="2314"/>
      <c r="F75" s="32">
        <f t="shared" si="8"/>
        <v>0</v>
      </c>
      <c r="G75" s="2314"/>
      <c r="H75" s="32">
        <f t="shared" si="9"/>
        <v>0</v>
      </c>
      <c r="I75" s="2314"/>
      <c r="J75" s="32">
        <f t="shared" si="10"/>
        <v>0</v>
      </c>
      <c r="K75" s="2314"/>
      <c r="L75" s="31">
        <f t="shared" si="11"/>
        <v>0</v>
      </c>
      <c r="M75" s="2314"/>
      <c r="N75" s="31" t="str">
        <f>Liste!L75</f>
        <v>Stk</v>
      </c>
      <c r="O75" s="31"/>
      <c r="P75" s="31"/>
      <c r="Q75" s="31">
        <f>Liste!P75</f>
        <v>0</v>
      </c>
      <c r="R75" s="31">
        <f>Liste!N75</f>
        <v>0</v>
      </c>
      <c r="S75" s="7">
        <v>0</v>
      </c>
      <c r="T75" s="7">
        <v>0</v>
      </c>
      <c r="U75" s="7">
        <v>0</v>
      </c>
      <c r="V75" s="7"/>
      <c r="W75" s="60"/>
      <c r="X75" s="60"/>
      <c r="Y75" s="60"/>
      <c r="Z75" s="7"/>
      <c r="AA75" s="7"/>
      <c r="AB75" s="60"/>
      <c r="AC75" s="60"/>
      <c r="AD75" s="60"/>
      <c r="AE75" s="7"/>
      <c r="AF75" s="7"/>
      <c r="AG75" s="7"/>
      <c r="AH75" s="7"/>
      <c r="AI75" s="7"/>
      <c r="AJ75" s="7">
        <f>Liste!X75</f>
        <v>0</v>
      </c>
      <c r="AK75" s="7">
        <f>Liste!Y75</f>
        <v>1</v>
      </c>
      <c r="AL75" s="7"/>
      <c r="AM75" s="7"/>
      <c r="AN75" s="7"/>
      <c r="AO75" s="1113">
        <f>Liste!D75</f>
        <v>0</v>
      </c>
      <c r="AP75" s="1113">
        <f>Liste!F75</f>
        <v>520</v>
      </c>
      <c r="AQ75" s="1113">
        <f>Liste!E75</f>
        <v>1080</v>
      </c>
      <c r="AR75" s="1113">
        <f>Liste!G75</f>
        <v>1</v>
      </c>
      <c r="AS75" s="1112">
        <f>Liste!V75</f>
        <v>1</v>
      </c>
      <c r="AT75" s="1" t="str">
        <f>Liste!M75</f>
        <v>V2A blank</v>
      </c>
      <c r="AZ75" s="5" t="s">
        <v>142</v>
      </c>
      <c r="BA75" s="4" t="s">
        <v>101</v>
      </c>
      <c r="BB75" s="4">
        <v>579</v>
      </c>
      <c r="BD75" s="35"/>
      <c r="BE75" s="35"/>
      <c r="BF75" s="2118" t="str">
        <f>Liste!R75</f>
        <v>0701479</v>
      </c>
      <c r="BG75" s="2137">
        <f>IF(AS75&gt;0,Liste!S75,0)</f>
        <v>0</v>
      </c>
      <c r="BH75" s="2118" t="str">
        <f>Liste!T75</f>
        <v>m²</v>
      </c>
    </row>
    <row r="76" spans="1:60" ht="24.95" customHeight="1" x14ac:dyDescent="0.25">
      <c r="A76" s="29"/>
      <c r="B76" s="46">
        <f>IF(Liste!O76&gt;0,Liste!O76,Liste!B76)</f>
        <v>0</v>
      </c>
      <c r="C76" s="2314"/>
      <c r="D76" s="30">
        <f>Liste!C76</f>
        <v>0</v>
      </c>
      <c r="E76" s="2314"/>
      <c r="F76" s="32">
        <f t="shared" si="8"/>
        <v>0</v>
      </c>
      <c r="G76" s="2314"/>
      <c r="H76" s="32">
        <f t="shared" si="9"/>
        <v>0</v>
      </c>
      <c r="I76" s="2314"/>
      <c r="J76" s="32">
        <f t="shared" si="10"/>
        <v>0</v>
      </c>
      <c r="K76" s="2314"/>
      <c r="L76" s="31">
        <f t="shared" si="11"/>
        <v>0</v>
      </c>
      <c r="M76" s="2314"/>
      <c r="N76" s="31">
        <f>Liste!L76</f>
        <v>0</v>
      </c>
      <c r="O76" s="31"/>
      <c r="P76" s="31"/>
      <c r="Q76" s="31">
        <f>Liste!P76</f>
        <v>0</v>
      </c>
      <c r="R76" s="31">
        <f>Liste!N76</f>
        <v>0</v>
      </c>
      <c r="S76" s="7">
        <v>0</v>
      </c>
      <c r="T76" s="7">
        <v>0</v>
      </c>
      <c r="U76" s="7">
        <v>0</v>
      </c>
      <c r="V76" s="7"/>
      <c r="W76" s="60"/>
      <c r="X76" s="60"/>
      <c r="Y76" s="60"/>
      <c r="Z76" s="7"/>
      <c r="AA76" s="7"/>
      <c r="AB76" s="60"/>
      <c r="AC76" s="60"/>
      <c r="AD76" s="60"/>
      <c r="AE76" s="7"/>
      <c r="AF76" s="7"/>
      <c r="AG76" s="7"/>
      <c r="AH76" s="7"/>
      <c r="AI76" s="7"/>
      <c r="AJ76" s="7">
        <f>Liste!X76</f>
        <v>0</v>
      </c>
      <c r="AK76" s="7">
        <f>Liste!Y76</f>
        <v>0</v>
      </c>
      <c r="AL76" s="7"/>
      <c r="AM76" s="7"/>
      <c r="AN76" s="7"/>
      <c r="AO76" s="1113">
        <f>Liste!D76</f>
        <v>0</v>
      </c>
      <c r="AP76" s="1113">
        <f>Liste!F76</f>
        <v>0</v>
      </c>
      <c r="AQ76" s="1113">
        <f>Liste!E76</f>
        <v>0</v>
      </c>
      <c r="AR76" s="1113">
        <f>Liste!G76</f>
        <v>0</v>
      </c>
      <c r="AS76" s="1112">
        <f>Liste!V76</f>
        <v>0</v>
      </c>
      <c r="AT76" s="1">
        <f>Liste!M76</f>
        <v>0</v>
      </c>
      <c r="AZ76" s="5" t="s">
        <v>143</v>
      </c>
      <c r="BA76" s="4" t="s">
        <v>101</v>
      </c>
      <c r="BB76" s="4">
        <v>580</v>
      </c>
      <c r="BD76" s="35"/>
      <c r="BE76" s="35"/>
      <c r="BF76" s="2118">
        <f>Liste!R76</f>
        <v>0</v>
      </c>
      <c r="BG76" s="2137">
        <f>IF(AS76&gt;0,Liste!S76,0)</f>
        <v>0</v>
      </c>
      <c r="BH76" s="2118">
        <f>Liste!T76</f>
        <v>0</v>
      </c>
    </row>
    <row r="77" spans="1:60" ht="24.95" customHeight="1" x14ac:dyDescent="0.25">
      <c r="A77" s="29"/>
      <c r="B77" s="46" t="str">
        <f>IF(Liste!O77&gt;0,Liste!O77,Liste!B77)</f>
        <v>Verkleidungsblech Schieberelement oben vorn Doppelgurtanbindung verzinkt</v>
      </c>
      <c r="C77" s="2314"/>
      <c r="D77" s="30" t="str">
        <f>Liste!C77</f>
        <v>0308301</v>
      </c>
      <c r="E77" s="2314"/>
      <c r="F77" s="32">
        <f t="shared" si="8"/>
        <v>0</v>
      </c>
      <c r="G77" s="2314"/>
      <c r="H77" s="32">
        <f t="shared" si="9"/>
        <v>0</v>
      </c>
      <c r="I77" s="2314"/>
      <c r="J77" s="32">
        <f t="shared" si="10"/>
        <v>0</v>
      </c>
      <c r="K77" s="2314"/>
      <c r="L77" s="31">
        <f t="shared" si="11"/>
        <v>0</v>
      </c>
      <c r="M77" s="2314"/>
      <c r="N77" s="31" t="str">
        <f>Liste!L77</f>
        <v>Stk</v>
      </c>
      <c r="O77" s="31"/>
      <c r="P77" s="31"/>
      <c r="Q77" s="31">
        <f>Liste!P77</f>
        <v>0</v>
      </c>
      <c r="R77" s="31">
        <f>Liste!N77</f>
        <v>0</v>
      </c>
      <c r="S77" s="7">
        <v>0</v>
      </c>
      <c r="T77" s="7">
        <v>0</v>
      </c>
      <c r="U77" s="7">
        <v>0</v>
      </c>
      <c r="V77" s="7"/>
      <c r="W77" s="60"/>
      <c r="X77" s="60"/>
      <c r="Y77" s="60"/>
      <c r="Z77" s="7"/>
      <c r="AA77" s="7"/>
      <c r="AB77" s="60"/>
      <c r="AC77" s="60"/>
      <c r="AD77" s="60"/>
      <c r="AE77" s="7"/>
      <c r="AF77" s="7"/>
      <c r="AG77" s="7"/>
      <c r="AH77" s="7"/>
      <c r="AI77" s="7"/>
      <c r="AJ77" s="7">
        <f>Liste!X77</f>
        <v>0</v>
      </c>
      <c r="AK77" s="7">
        <f>Liste!Y77</f>
        <v>1</v>
      </c>
      <c r="AL77" s="7"/>
      <c r="AM77" s="7"/>
      <c r="AN77" s="7"/>
      <c r="AO77" s="1113">
        <f>Liste!D77</f>
        <v>0</v>
      </c>
      <c r="AP77" s="1113">
        <f>Liste!F77</f>
        <v>423.03</v>
      </c>
      <c r="AQ77" s="1113">
        <f>Liste!E77</f>
        <v>1080</v>
      </c>
      <c r="AR77" s="1113">
        <f>Liste!G77</f>
        <v>0.75</v>
      </c>
      <c r="AS77" s="1112">
        <f>Liste!V77</f>
        <v>1</v>
      </c>
      <c r="AT77" s="1" t="str">
        <f>Liste!M77</f>
        <v>Stahlblech verz.</v>
      </c>
      <c r="AZ77" s="5" t="s">
        <v>144</v>
      </c>
      <c r="BA77" s="4" t="s">
        <v>101</v>
      </c>
      <c r="BB77" s="4">
        <v>581</v>
      </c>
      <c r="BD77" s="35"/>
      <c r="BE77" s="35"/>
      <c r="BF77" s="2118" t="str">
        <f>Liste!R77</f>
        <v>0701446</v>
      </c>
      <c r="BG77" s="2137">
        <f>IF(AS77&gt;0,Liste!S77,0)</f>
        <v>0</v>
      </c>
      <c r="BH77" s="2118" t="str">
        <f>Liste!T77</f>
        <v>m²</v>
      </c>
    </row>
    <row r="78" spans="1:60" ht="24.95" customHeight="1" x14ac:dyDescent="0.25">
      <c r="A78" s="29"/>
      <c r="B78" s="46" t="str">
        <f>IF(Liste!O78&gt;0,Liste!O78,Liste!B78)</f>
        <v>Verkleidungsblech Schieberelement oben vorn Doppelgurtanbindung V2A</v>
      </c>
      <c r="C78" s="2314"/>
      <c r="D78" s="30" t="str">
        <f>Liste!C78</f>
        <v>0338301</v>
      </c>
      <c r="E78" s="2314"/>
      <c r="F78" s="32">
        <f t="shared" si="8"/>
        <v>0</v>
      </c>
      <c r="G78" s="2314"/>
      <c r="H78" s="32">
        <f t="shared" si="9"/>
        <v>0</v>
      </c>
      <c r="I78" s="2314"/>
      <c r="J78" s="32">
        <f t="shared" si="10"/>
        <v>0</v>
      </c>
      <c r="K78" s="2314"/>
      <c r="L78" s="31">
        <f t="shared" si="11"/>
        <v>0</v>
      </c>
      <c r="M78" s="2314"/>
      <c r="N78" s="31" t="str">
        <f>Liste!L78</f>
        <v>Stk</v>
      </c>
      <c r="O78" s="31"/>
      <c r="P78" s="31"/>
      <c r="Q78" s="31">
        <f>Liste!P78</f>
        <v>0</v>
      </c>
      <c r="R78" s="31">
        <f>Liste!N78</f>
        <v>0</v>
      </c>
      <c r="S78" s="7">
        <v>0</v>
      </c>
      <c r="T78" s="7">
        <v>0</v>
      </c>
      <c r="U78" s="7">
        <v>0</v>
      </c>
      <c r="V78" s="7"/>
      <c r="W78" s="60"/>
      <c r="X78" s="60"/>
      <c r="Y78" s="60"/>
      <c r="Z78" s="7"/>
      <c r="AA78" s="7"/>
      <c r="AB78" s="60"/>
      <c r="AC78" s="60"/>
      <c r="AD78" s="60"/>
      <c r="AE78" s="7"/>
      <c r="AF78" s="7"/>
      <c r="AG78" s="7"/>
      <c r="AH78" s="7"/>
      <c r="AI78" s="7"/>
      <c r="AJ78" s="7">
        <f>Liste!X78</f>
        <v>0</v>
      </c>
      <c r="AK78" s="7">
        <f>Liste!Y78</f>
        <v>1</v>
      </c>
      <c r="AL78" s="7"/>
      <c r="AM78" s="7"/>
      <c r="AN78" s="7"/>
      <c r="AO78" s="1113">
        <f>Liste!D78</f>
        <v>0</v>
      </c>
      <c r="AP78" s="1113">
        <f>Liste!F78</f>
        <v>422.82</v>
      </c>
      <c r="AQ78" s="1113">
        <f>Liste!E78</f>
        <v>1080</v>
      </c>
      <c r="AR78" s="1113">
        <f>Liste!G78</f>
        <v>0.8</v>
      </c>
      <c r="AS78" s="1112">
        <f>Liste!V78</f>
        <v>1</v>
      </c>
      <c r="AT78" s="1" t="str">
        <f>Liste!M78</f>
        <v>V2A blank</v>
      </c>
      <c r="AZ78" s="5" t="s">
        <v>145</v>
      </c>
      <c r="BA78" s="4" t="s">
        <v>101</v>
      </c>
      <c r="BB78" s="4">
        <v>582</v>
      </c>
      <c r="BD78" s="35"/>
      <c r="BE78" s="35"/>
      <c r="BF78" s="2118" t="str">
        <f>Liste!R78</f>
        <v>0701478</v>
      </c>
      <c r="BG78" s="2137">
        <f>IF(AS78&gt;0,Liste!S78,0)</f>
        <v>0</v>
      </c>
      <c r="BH78" s="2118" t="str">
        <f>Liste!T78</f>
        <v>m²</v>
      </c>
    </row>
    <row r="79" spans="1:60" ht="24.95" customHeight="1" x14ac:dyDescent="0.25">
      <c r="A79" s="29"/>
      <c r="B79" s="46" t="str">
        <f>IF(Liste!O79&gt;0,Liste!O79,Liste!B79)</f>
        <v>Verkleidungsblech Schieberelement oben vorn Einzelgurtanbindung verzinkt</v>
      </c>
      <c r="C79" s="2314"/>
      <c r="D79" s="30" t="str">
        <f>Liste!C79</f>
        <v>0308302</v>
      </c>
      <c r="E79" s="2314"/>
      <c r="F79" s="32">
        <f t="shared" si="8"/>
        <v>0</v>
      </c>
      <c r="G79" s="2314"/>
      <c r="H79" s="32">
        <f t="shared" si="9"/>
        <v>0</v>
      </c>
      <c r="I79" s="2314"/>
      <c r="J79" s="32">
        <f t="shared" si="10"/>
        <v>0</v>
      </c>
      <c r="K79" s="2314"/>
      <c r="L79" s="31">
        <f t="shared" si="11"/>
        <v>0</v>
      </c>
      <c r="M79" s="2314"/>
      <c r="N79" s="31" t="str">
        <f>Liste!L79</f>
        <v>Stk</v>
      </c>
      <c r="O79" s="31"/>
      <c r="P79" s="31"/>
      <c r="Q79" s="31">
        <f>Liste!P79</f>
        <v>0</v>
      </c>
      <c r="R79" s="31">
        <f>Liste!N79</f>
        <v>0</v>
      </c>
      <c r="S79" s="7">
        <v>0</v>
      </c>
      <c r="T79" s="7">
        <v>0</v>
      </c>
      <c r="U79" s="7">
        <v>0</v>
      </c>
      <c r="V79" s="7"/>
      <c r="W79" s="60"/>
      <c r="X79" s="60"/>
      <c r="Y79" s="60"/>
      <c r="Z79" s="7"/>
      <c r="AA79" s="7"/>
      <c r="AB79" s="60"/>
      <c r="AC79" s="60"/>
      <c r="AD79" s="60"/>
      <c r="AE79" s="7"/>
      <c r="AF79" s="7"/>
      <c r="AG79" s="7"/>
      <c r="AH79" s="7"/>
      <c r="AI79" s="7"/>
      <c r="AJ79" s="7">
        <f>Liste!X79</f>
        <v>0</v>
      </c>
      <c r="AK79" s="7">
        <f>Liste!Y79</f>
        <v>1</v>
      </c>
      <c r="AL79" s="7"/>
      <c r="AM79" s="7"/>
      <c r="AN79" s="7"/>
      <c r="AO79" s="1113">
        <f>Liste!D79</f>
        <v>0</v>
      </c>
      <c r="AP79" s="1113">
        <f>Liste!F79</f>
        <v>423.03</v>
      </c>
      <c r="AQ79" s="1113">
        <f>Liste!E79</f>
        <v>1080</v>
      </c>
      <c r="AR79" s="1113">
        <f>Liste!G79</f>
        <v>0.75</v>
      </c>
      <c r="AS79" s="1112">
        <f>Liste!V79</f>
        <v>1</v>
      </c>
      <c r="AT79" s="1" t="str">
        <f>Liste!M79</f>
        <v>Stahlblech verz.</v>
      </c>
      <c r="AZ79" s="5" t="s">
        <v>146</v>
      </c>
      <c r="BA79" s="4" t="s">
        <v>101</v>
      </c>
      <c r="BB79" s="4">
        <v>583</v>
      </c>
      <c r="BD79" s="35"/>
      <c r="BE79" s="35"/>
      <c r="BF79" s="2118" t="str">
        <f>Liste!R79</f>
        <v>0701446</v>
      </c>
      <c r="BG79" s="2137">
        <f>IF(AS79&gt;0,Liste!S79,0)</f>
        <v>0</v>
      </c>
      <c r="BH79" s="2118" t="str">
        <f>Liste!T79</f>
        <v>m²</v>
      </c>
    </row>
    <row r="80" spans="1:60" ht="24.95" customHeight="1" x14ac:dyDescent="0.25">
      <c r="A80" s="29"/>
      <c r="B80" s="46" t="str">
        <f>IF(Liste!O80&gt;0,Liste!O80,Liste!B80)</f>
        <v>Verkleidungsblech Schieberelement oben vorn Einzelgurtanbindung V2A</v>
      </c>
      <c r="C80" s="2314"/>
      <c r="D80" s="30" t="str">
        <f>Liste!C80</f>
        <v>0338302</v>
      </c>
      <c r="E80" s="2314"/>
      <c r="F80" s="32">
        <f t="shared" si="8"/>
        <v>0</v>
      </c>
      <c r="G80" s="2314"/>
      <c r="H80" s="32">
        <f t="shared" si="9"/>
        <v>0</v>
      </c>
      <c r="I80" s="2314"/>
      <c r="J80" s="32">
        <f t="shared" si="10"/>
        <v>0</v>
      </c>
      <c r="K80" s="2314"/>
      <c r="L80" s="31">
        <f t="shared" si="11"/>
        <v>0</v>
      </c>
      <c r="M80" s="2314"/>
      <c r="N80" s="31" t="str">
        <f>Liste!L80</f>
        <v>Stk</v>
      </c>
      <c r="O80" s="31"/>
      <c r="P80" s="31"/>
      <c r="Q80" s="31">
        <f>Liste!P80</f>
        <v>0</v>
      </c>
      <c r="R80" s="31">
        <f>Liste!N80</f>
        <v>0</v>
      </c>
      <c r="S80" s="7">
        <v>0</v>
      </c>
      <c r="T80" s="7">
        <v>0</v>
      </c>
      <c r="U80" s="7">
        <v>0</v>
      </c>
      <c r="V80" s="7"/>
      <c r="W80" s="60"/>
      <c r="X80" s="60"/>
      <c r="Y80" s="60"/>
      <c r="Z80" s="7"/>
      <c r="AA80" s="7"/>
      <c r="AB80" s="60"/>
      <c r="AC80" s="60"/>
      <c r="AD80" s="60"/>
      <c r="AE80" s="7"/>
      <c r="AF80" s="7"/>
      <c r="AG80" s="7"/>
      <c r="AH80" s="7"/>
      <c r="AI80" s="7"/>
      <c r="AJ80" s="7">
        <f>Liste!X80</f>
        <v>0</v>
      </c>
      <c r="AK80" s="7">
        <f>Liste!Y80</f>
        <v>1</v>
      </c>
      <c r="AL80" s="7"/>
      <c r="AM80" s="7"/>
      <c r="AN80" s="7"/>
      <c r="AO80" s="1113">
        <f>Liste!D80</f>
        <v>0</v>
      </c>
      <c r="AP80" s="1113">
        <f>Liste!F80</f>
        <v>422.82</v>
      </c>
      <c r="AQ80" s="1113">
        <f>Liste!E80</f>
        <v>1080</v>
      </c>
      <c r="AR80" s="1113">
        <f>Liste!G80</f>
        <v>0.8</v>
      </c>
      <c r="AS80" s="1112">
        <f>Liste!V80</f>
        <v>1</v>
      </c>
      <c r="AT80" s="1" t="str">
        <f>Liste!M80</f>
        <v>V2A blank</v>
      </c>
      <c r="AZ80" s="5" t="s">
        <v>147</v>
      </c>
      <c r="BA80" s="4" t="s">
        <v>101</v>
      </c>
      <c r="BB80" s="4">
        <v>584</v>
      </c>
      <c r="BD80" s="35"/>
      <c r="BE80" s="35"/>
      <c r="BF80" s="2118" t="str">
        <f>Liste!R80</f>
        <v>0701478</v>
      </c>
      <c r="BG80" s="2137">
        <f>IF(AS80&gt;0,Liste!S80,0)</f>
        <v>0</v>
      </c>
      <c r="BH80" s="2118" t="str">
        <f>Liste!T80</f>
        <v>m²</v>
      </c>
    </row>
    <row r="81" spans="1:60" ht="24.95" customHeight="1" x14ac:dyDescent="0.25">
      <c r="A81" s="29"/>
      <c r="B81" s="46">
        <f>IF(Liste!O81&gt;0,Liste!O81,Liste!B81)</f>
        <v>0</v>
      </c>
      <c r="C81" s="2314"/>
      <c r="D81" s="30">
        <f>Liste!C81</f>
        <v>0</v>
      </c>
      <c r="E81" s="2314"/>
      <c r="F81" s="32">
        <f t="shared" si="8"/>
        <v>0</v>
      </c>
      <c r="G81" s="2314"/>
      <c r="H81" s="32">
        <f t="shared" si="9"/>
        <v>0</v>
      </c>
      <c r="I81" s="2314"/>
      <c r="J81" s="32">
        <f t="shared" si="10"/>
        <v>0</v>
      </c>
      <c r="K81" s="2314"/>
      <c r="L81" s="31">
        <f t="shared" si="11"/>
        <v>0</v>
      </c>
      <c r="M81" s="2314"/>
      <c r="N81" s="31">
        <f>Liste!L81</f>
        <v>0</v>
      </c>
      <c r="O81" s="31"/>
      <c r="P81" s="31"/>
      <c r="Q81" s="31">
        <f>Liste!P81</f>
        <v>0</v>
      </c>
      <c r="R81" s="31">
        <f>Liste!N81</f>
        <v>0</v>
      </c>
      <c r="S81" s="7">
        <v>0</v>
      </c>
      <c r="T81" s="7">
        <v>0</v>
      </c>
      <c r="U81" s="7">
        <v>0</v>
      </c>
      <c r="V81" s="7"/>
      <c r="W81" s="60"/>
      <c r="X81" s="60"/>
      <c r="Y81" s="60"/>
      <c r="Z81" s="7"/>
      <c r="AA81" s="7"/>
      <c r="AB81" s="60"/>
      <c r="AC81" s="60"/>
      <c r="AD81" s="60"/>
      <c r="AE81" s="7"/>
      <c r="AF81" s="7"/>
      <c r="AG81" s="7"/>
      <c r="AH81" s="7"/>
      <c r="AI81" s="7"/>
      <c r="AJ81" s="7">
        <f>Liste!X81</f>
        <v>0</v>
      </c>
      <c r="AK81" s="7">
        <f>Liste!Y81</f>
        <v>0</v>
      </c>
      <c r="AL81" s="7"/>
      <c r="AM81" s="7"/>
      <c r="AN81" s="7"/>
      <c r="AO81" s="1113">
        <f>Liste!D81</f>
        <v>0</v>
      </c>
      <c r="AP81" s="1113">
        <f>Liste!F81</f>
        <v>0</v>
      </c>
      <c r="AQ81" s="1113">
        <f>Liste!E81</f>
        <v>0</v>
      </c>
      <c r="AR81" s="1113">
        <f>Liste!G81</f>
        <v>0</v>
      </c>
      <c r="AS81" s="1112">
        <f>Liste!V81</f>
        <v>0</v>
      </c>
      <c r="AT81" s="1">
        <f>Liste!M81</f>
        <v>0</v>
      </c>
      <c r="AZ81" s="5" t="s">
        <v>148</v>
      </c>
      <c r="BA81" s="4" t="s">
        <v>101</v>
      </c>
      <c r="BB81" s="4">
        <v>585</v>
      </c>
      <c r="BD81" s="35"/>
      <c r="BE81" s="35"/>
      <c r="BF81" s="2118">
        <f>Liste!R81</f>
        <v>0</v>
      </c>
      <c r="BG81" s="2137">
        <f>IF(AS81&gt;0,Liste!S81,0)</f>
        <v>0</v>
      </c>
      <c r="BH81" s="2118">
        <f>Liste!T81</f>
        <v>0</v>
      </c>
    </row>
    <row r="82" spans="1:60" ht="24.95" customHeight="1" x14ac:dyDescent="0.25">
      <c r="A82" s="29"/>
      <c r="B82" s="46" t="str">
        <f>IF(Liste!O82&gt;0,Liste!O82,Liste!B82)</f>
        <v>Verkleidungsblech verzinkt GCC (Schieberelement oben hinten)</v>
      </c>
      <c r="C82" s="2314"/>
      <c r="D82" s="30" t="str">
        <f>Liste!C82</f>
        <v>0308338</v>
      </c>
      <c r="E82" s="2314"/>
      <c r="F82" s="32">
        <f t="shared" si="8"/>
        <v>0</v>
      </c>
      <c r="G82" s="2314"/>
      <c r="H82" s="32">
        <f t="shared" si="9"/>
        <v>0</v>
      </c>
      <c r="I82" s="2314"/>
      <c r="J82" s="32">
        <f t="shared" si="10"/>
        <v>0</v>
      </c>
      <c r="K82" s="2314"/>
      <c r="L82" s="31">
        <f t="shared" si="11"/>
        <v>0</v>
      </c>
      <c r="M82" s="2314"/>
      <c r="N82" s="31" t="str">
        <f>Liste!L82</f>
        <v>Stk</v>
      </c>
      <c r="O82" s="31"/>
      <c r="P82" s="31"/>
      <c r="Q82" s="31">
        <f>Liste!P82</f>
        <v>0</v>
      </c>
      <c r="R82" s="31" t="str">
        <f>Liste!N82</f>
        <v>Zuschnitt</v>
      </c>
      <c r="S82" s="7">
        <v>0</v>
      </c>
      <c r="T82" s="7">
        <v>0</v>
      </c>
      <c r="U82" s="7">
        <v>0</v>
      </c>
      <c r="V82" s="7"/>
      <c r="W82" s="60"/>
      <c r="X82" s="60"/>
      <c r="Y82" s="60"/>
      <c r="Z82" s="7"/>
      <c r="AA82" s="7"/>
      <c r="AB82" s="60"/>
      <c r="AC82" s="60"/>
      <c r="AD82" s="60"/>
      <c r="AE82" s="7"/>
      <c r="AF82" s="7"/>
      <c r="AG82" s="7"/>
      <c r="AH82" s="7"/>
      <c r="AI82" s="7"/>
      <c r="AJ82" s="7">
        <f>Liste!X82</f>
        <v>0</v>
      </c>
      <c r="AK82" s="7">
        <f>Liste!Y82</f>
        <v>1</v>
      </c>
      <c r="AL82" s="7"/>
      <c r="AM82" s="7"/>
      <c r="AN82" s="7"/>
      <c r="AO82" s="1113">
        <f>Liste!D82</f>
        <v>0</v>
      </c>
      <c r="AP82" s="1113">
        <f>Liste!F82</f>
        <v>272</v>
      </c>
      <c r="AQ82" s="1113">
        <f>Liste!E82</f>
        <v>920</v>
      </c>
      <c r="AR82" s="1113">
        <f>Liste!G82</f>
        <v>0.75</v>
      </c>
      <c r="AS82" s="1112">
        <f>Liste!V82</f>
        <v>1</v>
      </c>
      <c r="AT82" s="1" t="str">
        <f>Liste!M82</f>
        <v>Stahlblech verz.</v>
      </c>
      <c r="AZ82" s="5" t="s">
        <v>149</v>
      </c>
      <c r="BA82" s="4" t="s">
        <v>101</v>
      </c>
      <c r="BB82" s="4">
        <v>586</v>
      </c>
      <c r="BD82" s="35"/>
      <c r="BE82" s="35"/>
      <c r="BF82" s="2118" t="str">
        <f>Liste!R82</f>
        <v>0701446</v>
      </c>
      <c r="BG82" s="2137">
        <f>IF(AS82&gt;0,Liste!S82,0)</f>
        <v>0</v>
      </c>
      <c r="BH82" s="2118" t="str">
        <f>Liste!T82</f>
        <v>m²</v>
      </c>
    </row>
    <row r="83" spans="1:60" ht="24.95" customHeight="1" x14ac:dyDescent="0.25">
      <c r="A83" s="29"/>
      <c r="B83" s="46" t="str">
        <f>IF(Liste!O83&gt;0,Liste!O83,Liste!B83)</f>
        <v>Verkleidungsblech V2A GCC (Schieberelement oben hinten)</v>
      </c>
      <c r="C83" s="2314"/>
      <c r="D83" s="30" t="str">
        <f>Liste!C83</f>
        <v>0338338</v>
      </c>
      <c r="E83" s="2314"/>
      <c r="F83" s="32">
        <f t="shared" si="8"/>
        <v>0</v>
      </c>
      <c r="G83" s="2314"/>
      <c r="H83" s="32">
        <f t="shared" si="9"/>
        <v>0</v>
      </c>
      <c r="I83" s="2314"/>
      <c r="J83" s="32">
        <f t="shared" si="10"/>
        <v>0</v>
      </c>
      <c r="K83" s="2314"/>
      <c r="L83" s="31">
        <f t="shared" si="11"/>
        <v>0</v>
      </c>
      <c r="M83" s="2314"/>
      <c r="N83" s="31" t="str">
        <f>Liste!L83</f>
        <v>Stk</v>
      </c>
      <c r="O83" s="31"/>
      <c r="P83" s="31"/>
      <c r="Q83" s="31">
        <f>Liste!P83</f>
        <v>0</v>
      </c>
      <c r="R83" s="31" t="str">
        <f>Liste!N83</f>
        <v>Zuschnitt</v>
      </c>
      <c r="S83" s="7">
        <v>0</v>
      </c>
      <c r="T83" s="7">
        <v>0</v>
      </c>
      <c r="U83" s="7">
        <v>0</v>
      </c>
      <c r="V83" s="7"/>
      <c r="W83" s="60"/>
      <c r="X83" s="60"/>
      <c r="Y83" s="60"/>
      <c r="Z83" s="7"/>
      <c r="AA83" s="7"/>
      <c r="AB83" s="60"/>
      <c r="AC83" s="60"/>
      <c r="AD83" s="60"/>
      <c r="AE83" s="7"/>
      <c r="AF83" s="7"/>
      <c r="AG83" s="7"/>
      <c r="AH83" s="7"/>
      <c r="AI83" s="7"/>
      <c r="AJ83" s="7">
        <f>Liste!X83</f>
        <v>0</v>
      </c>
      <c r="AK83" s="7">
        <f>Liste!Y83</f>
        <v>1</v>
      </c>
      <c r="AL83" s="7"/>
      <c r="AM83" s="7"/>
      <c r="AN83" s="7"/>
      <c r="AO83" s="1113">
        <f>Liste!D83</f>
        <v>0</v>
      </c>
      <c r="AP83" s="1113">
        <f>Liste!F83</f>
        <v>272</v>
      </c>
      <c r="AQ83" s="1113">
        <f>Liste!E83</f>
        <v>920</v>
      </c>
      <c r="AR83" s="1113">
        <f>Liste!G83</f>
        <v>0.8</v>
      </c>
      <c r="AS83" s="1112">
        <f>Liste!V83</f>
        <v>1</v>
      </c>
      <c r="AT83" s="1" t="str">
        <f>Liste!M83</f>
        <v>V2A blank</v>
      </c>
      <c r="AZ83" s="5" t="s">
        <v>150</v>
      </c>
      <c r="BA83" s="4" t="s">
        <v>101</v>
      </c>
      <c r="BB83" s="4">
        <v>587</v>
      </c>
      <c r="BD83" s="35"/>
      <c r="BE83" s="35"/>
      <c r="BF83" s="2118" t="str">
        <f>Liste!R83</f>
        <v>0701478</v>
      </c>
      <c r="BG83" s="2137">
        <f>IF(AS83&gt;0,Liste!S83,0)</f>
        <v>0</v>
      </c>
      <c r="BH83" s="2118" t="str">
        <f>Liste!T83</f>
        <v>m²</v>
      </c>
    </row>
    <row r="84" spans="1:60" ht="24.95" customHeight="1" x14ac:dyDescent="0.25">
      <c r="A84" s="29"/>
      <c r="B84" s="46">
        <f>IF(Liste!O84&gt;0,Liste!O84,Liste!B84)</f>
        <v>0</v>
      </c>
      <c r="C84" s="2314"/>
      <c r="D84" s="30">
        <f>Liste!C84</f>
        <v>0</v>
      </c>
      <c r="E84" s="2314"/>
      <c r="F84" s="32">
        <f t="shared" si="8"/>
        <v>0</v>
      </c>
      <c r="G84" s="2314"/>
      <c r="H84" s="32">
        <f t="shared" si="9"/>
        <v>0</v>
      </c>
      <c r="I84" s="2314"/>
      <c r="J84" s="32">
        <f t="shared" si="10"/>
        <v>0</v>
      </c>
      <c r="K84" s="2314"/>
      <c r="L84" s="31">
        <f t="shared" si="11"/>
        <v>0</v>
      </c>
      <c r="M84" s="2314"/>
      <c r="N84" s="31">
        <f>Liste!L84</f>
        <v>0</v>
      </c>
      <c r="O84" s="31"/>
      <c r="P84" s="31"/>
      <c r="Q84" s="31">
        <f>Liste!P84</f>
        <v>0</v>
      </c>
      <c r="R84" s="31">
        <f>Liste!N84</f>
        <v>0</v>
      </c>
      <c r="S84" s="7">
        <v>0</v>
      </c>
      <c r="T84" s="7">
        <v>0</v>
      </c>
      <c r="U84" s="7">
        <v>0</v>
      </c>
      <c r="V84" s="7"/>
      <c r="W84" s="60"/>
      <c r="X84" s="60"/>
      <c r="Y84" s="60"/>
      <c r="Z84" s="7"/>
      <c r="AA84" s="7"/>
      <c r="AB84" s="60"/>
      <c r="AC84" s="60"/>
      <c r="AD84" s="60"/>
      <c r="AE84" s="7"/>
      <c r="AF84" s="7"/>
      <c r="AG84" s="7"/>
      <c r="AH84" s="7"/>
      <c r="AI84" s="7"/>
      <c r="AJ84" s="7">
        <f>Liste!X84</f>
        <v>0</v>
      </c>
      <c r="AK84" s="7">
        <f>Liste!Y84</f>
        <v>0</v>
      </c>
      <c r="AL84" s="7"/>
      <c r="AM84" s="7"/>
      <c r="AN84" s="7"/>
      <c r="AO84" s="1113">
        <f>Liste!D84</f>
        <v>0</v>
      </c>
      <c r="AP84" s="1113">
        <f>Liste!F84</f>
        <v>0</v>
      </c>
      <c r="AQ84" s="1113">
        <f>Liste!E84</f>
        <v>0</v>
      </c>
      <c r="AR84" s="1113">
        <f>Liste!G84</f>
        <v>0</v>
      </c>
      <c r="AS84" s="1112">
        <f>Liste!V84</f>
        <v>0</v>
      </c>
      <c r="AT84" s="1">
        <f>Liste!M84</f>
        <v>0</v>
      </c>
      <c r="AZ84" s="5" t="s">
        <v>151</v>
      </c>
      <c r="BA84" s="4" t="s">
        <v>101</v>
      </c>
      <c r="BB84" s="4">
        <v>588</v>
      </c>
      <c r="BD84" s="35"/>
      <c r="BE84" s="35"/>
      <c r="BF84" s="2118">
        <f>Liste!R84</f>
        <v>0</v>
      </c>
      <c r="BG84" s="2137">
        <f>IF(AS84&gt;0,Liste!S84,0)</f>
        <v>0</v>
      </c>
      <c r="BH84" s="2118">
        <f>Liste!T84</f>
        <v>0</v>
      </c>
    </row>
    <row r="85" spans="1:60" ht="24.95" customHeight="1" x14ac:dyDescent="0.25">
      <c r="A85" s="29"/>
      <c r="B85" s="46" t="str">
        <f>IF(Liste!O85&gt;0,Liste!O85,Liste!B85)</f>
        <v>Schnellbauschraube m. Bohrspitze 3,5X35</v>
      </c>
      <c r="C85" s="2314"/>
      <c r="D85" s="30" t="str">
        <f>Liste!C85</f>
        <v>0123025</v>
      </c>
      <c r="E85" s="2314"/>
      <c r="F85" s="32">
        <f t="shared" si="8"/>
        <v>0</v>
      </c>
      <c r="G85" s="2314"/>
      <c r="H85" s="32">
        <f t="shared" si="9"/>
        <v>0</v>
      </c>
      <c r="I85" s="2314"/>
      <c r="J85" s="32">
        <f t="shared" si="10"/>
        <v>0</v>
      </c>
      <c r="K85" s="2314"/>
      <c r="L85" s="31">
        <f t="shared" si="11"/>
        <v>0</v>
      </c>
      <c r="M85" s="2314"/>
      <c r="N85" s="31" t="str">
        <f>Liste!L85</f>
        <v>Stk</v>
      </c>
      <c r="O85" s="31"/>
      <c r="P85" s="31"/>
      <c r="Q85" s="31">
        <f>Liste!P85</f>
        <v>0</v>
      </c>
      <c r="R85" s="31">
        <f>Liste!N85</f>
        <v>0</v>
      </c>
      <c r="S85" s="7">
        <v>0</v>
      </c>
      <c r="T85" s="7">
        <v>0</v>
      </c>
      <c r="U85" s="7">
        <v>0</v>
      </c>
      <c r="V85" s="7"/>
      <c r="W85" s="60"/>
      <c r="X85" s="60"/>
      <c r="Y85" s="60"/>
      <c r="Z85" s="7"/>
      <c r="AA85" s="7"/>
      <c r="AB85" s="60"/>
      <c r="AC85" s="60"/>
      <c r="AD85" s="60"/>
      <c r="AE85" s="7"/>
      <c r="AF85" s="7"/>
      <c r="AG85" s="7"/>
      <c r="AH85" s="7"/>
      <c r="AI85" s="7"/>
      <c r="AJ85" s="7">
        <f>Liste!X85</f>
        <v>0</v>
      </c>
      <c r="AK85" s="7">
        <f>Liste!Y85</f>
        <v>0</v>
      </c>
      <c r="AL85" s="7"/>
      <c r="AM85" s="7"/>
      <c r="AN85" s="7"/>
      <c r="AO85" s="1113">
        <f>Liste!D85</f>
        <v>0</v>
      </c>
      <c r="AP85" s="1113">
        <f>Liste!F85</f>
        <v>0</v>
      </c>
      <c r="AQ85" s="1113">
        <f>Liste!E85</f>
        <v>0</v>
      </c>
      <c r="AR85" s="1113">
        <f>Liste!G85</f>
        <v>0</v>
      </c>
      <c r="AS85" s="1112">
        <f>Liste!V85</f>
        <v>1</v>
      </c>
      <c r="AT85" s="1">
        <f>Liste!M85</f>
        <v>0</v>
      </c>
      <c r="AZ85" s="5" t="s">
        <v>152</v>
      </c>
      <c r="BA85" s="4" t="s">
        <v>101</v>
      </c>
      <c r="BB85" s="4">
        <v>589</v>
      </c>
      <c r="BD85" s="35"/>
      <c r="BE85" s="35"/>
      <c r="BF85" s="2118" t="str">
        <f>Liste!R85</f>
        <v>0123025</v>
      </c>
      <c r="BG85" s="2137">
        <f>IF(AS85&gt;0,Liste!S85,0)</f>
        <v>0</v>
      </c>
      <c r="BH85" s="2118" t="str">
        <f>Liste!T85</f>
        <v>Stk</v>
      </c>
    </row>
    <row r="86" spans="1:60" ht="24.95" customHeight="1" x14ac:dyDescent="0.25">
      <c r="A86" s="29"/>
      <c r="B86" s="46" t="str">
        <f>IF(Liste!O86&gt;0,Liste!O86,Liste!B86)</f>
        <v>Element unten</v>
      </c>
      <c r="C86" s="2314"/>
      <c r="D86" s="30">
        <f>Liste!C86</f>
        <v>0</v>
      </c>
      <c r="E86" s="2314"/>
      <c r="F86" s="32">
        <f t="shared" si="8"/>
        <v>0</v>
      </c>
      <c r="G86" s="2314"/>
      <c r="H86" s="32">
        <f t="shared" si="9"/>
        <v>186</v>
      </c>
      <c r="I86" s="2314"/>
      <c r="J86" s="32">
        <f t="shared" si="10"/>
        <v>1080</v>
      </c>
      <c r="K86" s="2314"/>
      <c r="L86" s="31">
        <f t="shared" si="11"/>
        <v>0</v>
      </c>
      <c r="M86" s="2314"/>
      <c r="N86" s="31">
        <f>Liste!L86</f>
        <v>0</v>
      </c>
      <c r="O86" s="31"/>
      <c r="P86" s="31"/>
      <c r="Q86" s="31">
        <f>Liste!P86</f>
        <v>0</v>
      </c>
      <c r="R86" s="31">
        <f>Liste!N86</f>
        <v>0</v>
      </c>
      <c r="S86" s="7">
        <v>0</v>
      </c>
      <c r="T86" s="7">
        <v>0</v>
      </c>
      <c r="U86" s="7">
        <v>0</v>
      </c>
      <c r="V86" s="7"/>
      <c r="W86" s="60"/>
      <c r="X86" s="60"/>
      <c r="Y86" s="60"/>
      <c r="Z86" s="7"/>
      <c r="AA86" s="7"/>
      <c r="AB86" s="60"/>
      <c r="AC86" s="60"/>
      <c r="AD86" s="60"/>
      <c r="AE86" s="7"/>
      <c r="AF86" s="7"/>
      <c r="AG86" s="7"/>
      <c r="AH86" s="7"/>
      <c r="AI86" s="7"/>
      <c r="AJ86" s="7">
        <f>Liste!X86</f>
        <v>0</v>
      </c>
      <c r="AK86" s="7">
        <f>Liste!Y86</f>
        <v>0</v>
      </c>
      <c r="AL86" s="7"/>
      <c r="AM86" s="7"/>
      <c r="AN86" s="7"/>
      <c r="AO86" s="1113">
        <f>Liste!D86</f>
        <v>0</v>
      </c>
      <c r="AP86" s="1113">
        <f>Liste!F86</f>
        <v>186</v>
      </c>
      <c r="AQ86" s="1113">
        <f>Liste!E86</f>
        <v>1080</v>
      </c>
      <c r="AR86" s="1113">
        <f>Liste!G86</f>
        <v>0</v>
      </c>
      <c r="AS86" s="1112">
        <f>Liste!V86</f>
        <v>0</v>
      </c>
      <c r="AT86" s="1">
        <f>Liste!M86</f>
        <v>0</v>
      </c>
      <c r="AZ86" s="5" t="s">
        <v>153</v>
      </c>
      <c r="BA86" s="4" t="s">
        <v>101</v>
      </c>
      <c r="BB86" s="4">
        <v>590</v>
      </c>
      <c r="BD86" s="35"/>
      <c r="BE86" s="35"/>
      <c r="BF86" s="2118">
        <f>Liste!R86</f>
        <v>0</v>
      </c>
      <c r="BG86" s="2137">
        <f>IF(AS86&gt;0,Liste!S86,0)</f>
        <v>0</v>
      </c>
      <c r="BH86" s="2118">
        <f>Liste!T86</f>
        <v>0</v>
      </c>
    </row>
    <row r="87" spans="1:60" ht="24.95" customHeight="1" x14ac:dyDescent="0.25">
      <c r="A87" s="29"/>
      <c r="B87" s="46">
        <f>IF(Liste!O87&gt;0,Liste!O87,Liste!B87)</f>
        <v>19</v>
      </c>
      <c r="C87" s="2314"/>
      <c r="D87" s="30" t="str">
        <f>Liste!C87</f>
        <v>0202003</v>
      </c>
      <c r="E87" s="2314"/>
      <c r="F87" s="32">
        <f t="shared" si="8"/>
        <v>0</v>
      </c>
      <c r="G87" s="2314"/>
      <c r="H87" s="32">
        <f t="shared" si="9"/>
        <v>286</v>
      </c>
      <c r="I87" s="2314"/>
      <c r="J87" s="32">
        <f t="shared" si="10"/>
        <v>1080</v>
      </c>
      <c r="K87" s="2314"/>
      <c r="L87" s="31">
        <f t="shared" si="11"/>
        <v>6</v>
      </c>
      <c r="M87" s="2314"/>
      <c r="N87" s="31" t="str">
        <f>Liste!L87</f>
        <v>MM2</v>
      </c>
      <c r="O87" s="31"/>
      <c r="P87" s="31"/>
      <c r="Q87" s="31" t="str">
        <f>Liste!P87</f>
        <v>A</v>
      </c>
      <c r="R87" s="31" t="str">
        <f>Liste!N87</f>
        <v>Element unten Raums. Aussenl.</v>
      </c>
      <c r="S87" s="7">
        <v>0</v>
      </c>
      <c r="T87" s="7">
        <v>0</v>
      </c>
      <c r="U87" s="7">
        <v>0</v>
      </c>
      <c r="V87" s="7"/>
      <c r="W87" s="60"/>
      <c r="X87" s="60"/>
      <c r="Y87" s="60"/>
      <c r="Z87" s="7"/>
      <c r="AA87" s="7"/>
      <c r="AB87" s="60"/>
      <c r="AC87" s="60"/>
      <c r="AD87" s="60"/>
      <c r="AE87" s="7"/>
      <c r="AF87" s="7"/>
      <c r="AG87" s="7"/>
      <c r="AH87" s="7"/>
      <c r="AI87" s="7"/>
      <c r="AJ87" s="7">
        <f>Liste!X87</f>
        <v>0</v>
      </c>
      <c r="AK87" s="7">
        <f>Liste!Y87</f>
        <v>0</v>
      </c>
      <c r="AL87" s="7"/>
      <c r="AM87" s="7"/>
      <c r="AN87" s="7"/>
      <c r="AO87" s="1113">
        <f>Liste!D87</f>
        <v>0</v>
      </c>
      <c r="AP87" s="1113">
        <f>Liste!F87</f>
        <v>286</v>
      </c>
      <c r="AQ87" s="1113">
        <f>Liste!E87</f>
        <v>1080</v>
      </c>
      <c r="AR87" s="1113">
        <f>Liste!G87</f>
        <v>6</v>
      </c>
      <c r="AS87" s="1112">
        <f>Liste!V87</f>
        <v>1</v>
      </c>
      <c r="AT87" s="1">
        <f>Liste!M87</f>
        <v>0</v>
      </c>
      <c r="AZ87" s="5" t="s">
        <v>154</v>
      </c>
      <c r="BA87" s="4" t="s">
        <v>101</v>
      </c>
      <c r="BB87" s="4">
        <v>591</v>
      </c>
      <c r="BD87" s="35"/>
      <c r="BE87" s="35"/>
      <c r="BF87" s="2118" t="str">
        <f>Liste!R87</f>
        <v>0202003</v>
      </c>
      <c r="BG87" s="2137">
        <f>IF(AS87&gt;0,Liste!S87,0)</f>
        <v>0</v>
      </c>
      <c r="BH87" s="2118" t="str">
        <f>Liste!T87</f>
        <v>m²</v>
      </c>
    </row>
    <row r="88" spans="1:60" ht="24.95" customHeight="1" x14ac:dyDescent="0.25">
      <c r="A88" s="29"/>
      <c r="B88" s="46">
        <f>IF(Liste!O88&gt;0,Liste!O88,Liste!B88)</f>
        <v>20</v>
      </c>
      <c r="C88" s="2314"/>
      <c r="D88" s="30" t="str">
        <f>Liste!C88</f>
        <v>0202003</v>
      </c>
      <c r="E88" s="2314"/>
      <c r="F88" s="32">
        <f t="shared" si="8"/>
        <v>0</v>
      </c>
      <c r="G88" s="2314"/>
      <c r="H88" s="32">
        <f t="shared" si="9"/>
        <v>286</v>
      </c>
      <c r="I88" s="2314"/>
      <c r="J88" s="32">
        <f t="shared" si="10"/>
        <v>0</v>
      </c>
      <c r="K88" s="2314"/>
      <c r="L88" s="31">
        <f t="shared" si="11"/>
        <v>6</v>
      </c>
      <c r="M88" s="2314"/>
      <c r="N88" s="31" t="str">
        <f>Liste!L88</f>
        <v>MM2</v>
      </c>
      <c r="O88" s="31"/>
      <c r="P88" s="31"/>
      <c r="Q88" s="31" t="str">
        <f>Liste!P88</f>
        <v>A</v>
      </c>
      <c r="R88" s="31" t="str">
        <f>Liste!N88</f>
        <v>Element unten Raums. Aussenl.</v>
      </c>
      <c r="S88" s="7">
        <v>0</v>
      </c>
      <c r="T88" s="7">
        <v>0</v>
      </c>
      <c r="U88" s="7">
        <v>0</v>
      </c>
      <c r="V88" s="7"/>
      <c r="W88" s="60"/>
      <c r="X88" s="60"/>
      <c r="Y88" s="60"/>
      <c r="Z88" s="7"/>
      <c r="AA88" s="7"/>
      <c r="AB88" s="60"/>
      <c r="AC88" s="60"/>
      <c r="AD88" s="60"/>
      <c r="AE88" s="7"/>
      <c r="AF88" s="7"/>
      <c r="AG88" s="7"/>
      <c r="AH88" s="7"/>
      <c r="AI88" s="7"/>
      <c r="AJ88" s="7">
        <f>Liste!X88</f>
        <v>0</v>
      </c>
      <c r="AK88" s="7">
        <f>Liste!Y88</f>
        <v>0</v>
      </c>
      <c r="AL88" s="7"/>
      <c r="AM88" s="7"/>
      <c r="AN88" s="7"/>
      <c r="AO88" s="1113">
        <f>Liste!D88</f>
        <v>0</v>
      </c>
      <c r="AP88" s="1113">
        <f>Liste!F88</f>
        <v>286</v>
      </c>
      <c r="AQ88" s="1113">
        <f>Liste!E88</f>
        <v>0</v>
      </c>
      <c r="AR88" s="1113">
        <f>Liste!G88</f>
        <v>6</v>
      </c>
      <c r="AS88" s="1112">
        <f>Liste!V88</f>
        <v>1</v>
      </c>
      <c r="AT88" s="1">
        <f>Liste!M88</f>
        <v>0</v>
      </c>
      <c r="AZ88" s="5" t="s">
        <v>155</v>
      </c>
      <c r="BA88" s="4" t="s">
        <v>101</v>
      </c>
      <c r="BB88" s="4">
        <v>592</v>
      </c>
      <c r="BD88" s="35"/>
      <c r="BE88" s="35"/>
      <c r="BF88" s="2118" t="str">
        <f>Liste!R88</f>
        <v>0202003</v>
      </c>
      <c r="BG88" s="2137">
        <f>IF(AS88&gt;0,Liste!S88,0)</f>
        <v>0</v>
      </c>
      <c r="BH88" s="2118" t="str">
        <f>Liste!T88</f>
        <v>m²</v>
      </c>
    </row>
    <row r="89" spans="1:60" ht="24.95" customHeight="1" x14ac:dyDescent="0.25">
      <c r="A89" s="29"/>
      <c r="B89" s="46">
        <f>IF(Liste!O89&gt;0,Liste!O89,Liste!B89)</f>
        <v>21</v>
      </c>
      <c r="C89" s="2314"/>
      <c r="D89" s="30" t="str">
        <f>Liste!C89</f>
        <v>0202018</v>
      </c>
      <c r="E89" s="2314"/>
      <c r="F89" s="32">
        <f t="shared" si="8"/>
        <v>0</v>
      </c>
      <c r="G89" s="2314"/>
      <c r="H89" s="32">
        <f t="shared" si="9"/>
        <v>286</v>
      </c>
      <c r="I89" s="2314"/>
      <c r="J89" s="32">
        <f t="shared" si="10"/>
        <v>1080</v>
      </c>
      <c r="K89" s="2314"/>
      <c r="L89" s="31">
        <f t="shared" si="11"/>
        <v>18</v>
      </c>
      <c r="M89" s="2314"/>
      <c r="N89" s="31" t="str">
        <f>Liste!L89</f>
        <v>MM2</v>
      </c>
      <c r="O89" s="31"/>
      <c r="P89" s="31"/>
      <c r="Q89" s="31" t="str">
        <f>Liste!P89</f>
        <v>A</v>
      </c>
      <c r="R89" s="31" t="str">
        <f>Liste!N89</f>
        <v>Element unten Raums. Innenl.</v>
      </c>
      <c r="S89" s="7">
        <v>0</v>
      </c>
      <c r="T89" s="7">
        <v>0</v>
      </c>
      <c r="U89" s="7">
        <v>0</v>
      </c>
      <c r="V89" s="7"/>
      <c r="W89" s="60"/>
      <c r="X89" s="60"/>
      <c r="Y89" s="60"/>
      <c r="Z89" s="7"/>
      <c r="AA89" s="7"/>
      <c r="AB89" s="60"/>
      <c r="AC89" s="60"/>
      <c r="AD89" s="60"/>
      <c r="AE89" s="7"/>
      <c r="AF89" s="7"/>
      <c r="AG89" s="7"/>
      <c r="AH89" s="7"/>
      <c r="AI89" s="7"/>
      <c r="AJ89" s="7">
        <f>Liste!X89</f>
        <v>0</v>
      </c>
      <c r="AK89" s="7">
        <f>Liste!Y89</f>
        <v>0</v>
      </c>
      <c r="AL89" s="7"/>
      <c r="AM89" s="7"/>
      <c r="AN89" s="7"/>
      <c r="AO89" s="1113">
        <f>Liste!D89</f>
        <v>0</v>
      </c>
      <c r="AP89" s="1113">
        <f>Liste!F89</f>
        <v>286</v>
      </c>
      <c r="AQ89" s="1113">
        <f>Liste!E89</f>
        <v>1080</v>
      </c>
      <c r="AR89" s="1113">
        <f>Liste!G89</f>
        <v>18</v>
      </c>
      <c r="AS89" s="1112">
        <f>Liste!V89</f>
        <v>1</v>
      </c>
      <c r="AT89" s="1">
        <f>Liste!M89</f>
        <v>0</v>
      </c>
      <c r="AZ89" s="5" t="s">
        <v>156</v>
      </c>
      <c r="BA89" s="4" t="s">
        <v>101</v>
      </c>
      <c r="BB89" s="4">
        <v>593</v>
      </c>
      <c r="BD89" s="35"/>
      <c r="BE89" s="35"/>
      <c r="BF89" s="2118" t="str">
        <f>Liste!R89</f>
        <v>0202018</v>
      </c>
      <c r="BG89" s="2137">
        <f>IF(AS89&gt;0,Liste!S89,0)</f>
        <v>0</v>
      </c>
      <c r="BH89" s="2118" t="str">
        <f>Liste!T89</f>
        <v>m²</v>
      </c>
    </row>
    <row r="90" spans="1:60" ht="24.95" customHeight="1" x14ac:dyDescent="0.25">
      <c r="A90" s="29"/>
      <c r="B90" s="46">
        <f>IF(Liste!O90&gt;0,Liste!O90,Liste!B90)</f>
        <v>22</v>
      </c>
      <c r="C90" s="2314"/>
      <c r="D90" s="30" t="str">
        <f>Liste!C90</f>
        <v>0202018</v>
      </c>
      <c r="E90" s="2314"/>
      <c r="F90" s="32">
        <f t="shared" si="8"/>
        <v>0</v>
      </c>
      <c r="G90" s="2314"/>
      <c r="H90" s="32">
        <f t="shared" si="9"/>
        <v>286</v>
      </c>
      <c r="I90" s="2314"/>
      <c r="J90" s="32">
        <f t="shared" si="10"/>
        <v>0</v>
      </c>
      <c r="K90" s="2314"/>
      <c r="L90" s="31">
        <f t="shared" si="11"/>
        <v>18</v>
      </c>
      <c r="M90" s="2314"/>
      <c r="N90" s="31" t="str">
        <f>Liste!L90</f>
        <v>MM2</v>
      </c>
      <c r="O90" s="31"/>
      <c r="P90" s="31"/>
      <c r="Q90" s="31" t="str">
        <f>Liste!P90</f>
        <v>A</v>
      </c>
      <c r="R90" s="31" t="str">
        <f>Liste!N90</f>
        <v>Element unten Raums. Innenl.</v>
      </c>
      <c r="S90" s="7">
        <v>0</v>
      </c>
      <c r="T90" s="7">
        <v>0</v>
      </c>
      <c r="U90" s="7">
        <v>0</v>
      </c>
      <c r="V90" s="7"/>
      <c r="W90" s="60"/>
      <c r="X90" s="60"/>
      <c r="Y90" s="60"/>
      <c r="Z90" s="7"/>
      <c r="AA90" s="7"/>
      <c r="AB90" s="60"/>
      <c r="AC90" s="60"/>
      <c r="AD90" s="60"/>
      <c r="AE90" s="7"/>
      <c r="AF90" s="7"/>
      <c r="AG90" s="7"/>
      <c r="AH90" s="7"/>
      <c r="AI90" s="7"/>
      <c r="AJ90" s="7">
        <f>Liste!X90</f>
        <v>0</v>
      </c>
      <c r="AK90" s="7">
        <f>Liste!Y90</f>
        <v>0</v>
      </c>
      <c r="AL90" s="7"/>
      <c r="AM90" s="7"/>
      <c r="AN90" s="7"/>
      <c r="AO90" s="1113">
        <f>Liste!D90</f>
        <v>0</v>
      </c>
      <c r="AP90" s="1113">
        <f>Liste!F90</f>
        <v>286</v>
      </c>
      <c r="AQ90" s="1113">
        <f>Liste!E90</f>
        <v>0</v>
      </c>
      <c r="AR90" s="1113">
        <f>Liste!G90</f>
        <v>18</v>
      </c>
      <c r="AS90" s="1112">
        <f>Liste!V90</f>
        <v>1</v>
      </c>
      <c r="AT90" s="1">
        <f>Liste!M90</f>
        <v>0</v>
      </c>
      <c r="AZ90" s="5" t="s">
        <v>157</v>
      </c>
      <c r="BA90" s="4" t="s">
        <v>101</v>
      </c>
      <c r="BB90" s="4">
        <v>594</v>
      </c>
      <c r="BD90" s="35"/>
      <c r="BE90" s="35"/>
      <c r="BF90" s="2118" t="str">
        <f>Liste!R90</f>
        <v>0202018</v>
      </c>
      <c r="BG90" s="2137">
        <f>IF(AS90&gt;0,Liste!S90,0)</f>
        <v>0</v>
      </c>
      <c r="BH90" s="2118" t="str">
        <f>Liste!T90</f>
        <v>m²</v>
      </c>
    </row>
    <row r="91" spans="1:60" ht="24.95" customHeight="1" x14ac:dyDescent="0.25">
      <c r="A91" s="29"/>
      <c r="B91" s="46">
        <f>IF(Liste!O91&gt;0,Liste!O91,Liste!B91)</f>
        <v>23</v>
      </c>
      <c r="C91" s="2314"/>
      <c r="D91" s="30" t="str">
        <f>Liste!C91</f>
        <v>0202018</v>
      </c>
      <c r="E91" s="2314"/>
      <c r="F91" s="32">
        <f t="shared" si="8"/>
        <v>0</v>
      </c>
      <c r="G91" s="2314"/>
      <c r="H91" s="32">
        <f t="shared" si="9"/>
        <v>186</v>
      </c>
      <c r="I91" s="2314"/>
      <c r="J91" s="32">
        <f t="shared" si="10"/>
        <v>1080</v>
      </c>
      <c r="K91" s="2314"/>
      <c r="L91" s="31">
        <f t="shared" si="11"/>
        <v>18</v>
      </c>
      <c r="M91" s="2314"/>
      <c r="N91" s="31" t="str">
        <f>Liste!L91</f>
        <v>MM2</v>
      </c>
      <c r="O91" s="31"/>
      <c r="P91" s="31"/>
      <c r="Q91" s="31" t="str">
        <f>Liste!P91</f>
        <v>A</v>
      </c>
      <c r="R91" s="31" t="str">
        <f>Liste!N91</f>
        <v>Element unten Wands. Innenl.</v>
      </c>
      <c r="S91" s="7">
        <v>0</v>
      </c>
      <c r="T91" s="7">
        <v>0</v>
      </c>
      <c r="U91" s="7">
        <v>0</v>
      </c>
      <c r="V91" s="7"/>
      <c r="W91" s="60"/>
      <c r="X91" s="60"/>
      <c r="Y91" s="60"/>
      <c r="Z91" s="7"/>
      <c r="AA91" s="7"/>
      <c r="AB91" s="60"/>
      <c r="AC91" s="60"/>
      <c r="AD91" s="60"/>
      <c r="AE91" s="7"/>
      <c r="AF91" s="7"/>
      <c r="AG91" s="7"/>
      <c r="AH91" s="7"/>
      <c r="AI91" s="7"/>
      <c r="AJ91" s="7">
        <f>Liste!X91</f>
        <v>0</v>
      </c>
      <c r="AK91" s="7">
        <f>Liste!Y91</f>
        <v>0</v>
      </c>
      <c r="AL91" s="7"/>
      <c r="AM91" s="7"/>
      <c r="AN91" s="7"/>
      <c r="AO91" s="1113">
        <f>Liste!D91</f>
        <v>0</v>
      </c>
      <c r="AP91" s="1113">
        <f>Liste!F91</f>
        <v>186</v>
      </c>
      <c r="AQ91" s="1113">
        <f>Liste!E91</f>
        <v>1080</v>
      </c>
      <c r="AR91" s="1113">
        <f>Liste!G91</f>
        <v>18</v>
      </c>
      <c r="AS91" s="1112">
        <f>Liste!V91</f>
        <v>1</v>
      </c>
      <c r="AT91" s="1">
        <f>Liste!M91</f>
        <v>0</v>
      </c>
      <c r="AZ91" s="5" t="s">
        <v>158</v>
      </c>
      <c r="BA91" s="4" t="s">
        <v>101</v>
      </c>
      <c r="BB91" s="4">
        <v>595</v>
      </c>
      <c r="BD91" s="35"/>
      <c r="BE91" s="35"/>
      <c r="BF91" s="2118" t="str">
        <f>Liste!R91</f>
        <v>0202018</v>
      </c>
      <c r="BG91" s="2137">
        <f>IF(AS91&gt;0,Liste!S91,0)</f>
        <v>0</v>
      </c>
      <c r="BH91" s="2118" t="str">
        <f>Liste!T91</f>
        <v>m²</v>
      </c>
    </row>
    <row r="92" spans="1:60" ht="24.95" customHeight="1" x14ac:dyDescent="0.25">
      <c r="A92" s="29"/>
      <c r="B92" s="46">
        <f>IF(Liste!O92&gt;0,Liste!O92,Liste!B92)</f>
        <v>24</v>
      </c>
      <c r="C92" s="2314"/>
      <c r="D92" s="30" t="str">
        <f>Liste!C92</f>
        <v>0202018</v>
      </c>
      <c r="E92" s="2314"/>
      <c r="F92" s="32">
        <f t="shared" si="8"/>
        <v>0</v>
      </c>
      <c r="G92" s="2314"/>
      <c r="H92" s="32">
        <f t="shared" si="9"/>
        <v>186</v>
      </c>
      <c r="I92" s="2314"/>
      <c r="J92" s="32">
        <f t="shared" si="10"/>
        <v>0</v>
      </c>
      <c r="K92" s="2314"/>
      <c r="L92" s="31">
        <f t="shared" si="11"/>
        <v>18</v>
      </c>
      <c r="M92" s="2314"/>
      <c r="N92" s="31" t="str">
        <f>Liste!L92</f>
        <v>MM2</v>
      </c>
      <c r="O92" s="31"/>
      <c r="P92" s="31"/>
      <c r="Q92" s="31" t="str">
        <f>Liste!P92</f>
        <v>A</v>
      </c>
      <c r="R92" s="31" t="str">
        <f>Liste!N92</f>
        <v>Element unten Wands. Innenl.</v>
      </c>
      <c r="S92" s="7">
        <v>0</v>
      </c>
      <c r="T92" s="7">
        <v>0</v>
      </c>
      <c r="U92" s="7">
        <v>0</v>
      </c>
      <c r="V92" s="7"/>
      <c r="W92" s="60"/>
      <c r="X92" s="60"/>
      <c r="Y92" s="60"/>
      <c r="Z92" s="7"/>
      <c r="AA92" s="7"/>
      <c r="AB92" s="60"/>
      <c r="AC92" s="60"/>
      <c r="AD92" s="60"/>
      <c r="AE92" s="7"/>
      <c r="AF92" s="7"/>
      <c r="AG92" s="7"/>
      <c r="AH92" s="7"/>
      <c r="AI92" s="7"/>
      <c r="AJ92" s="7">
        <f>Liste!X92</f>
        <v>0</v>
      </c>
      <c r="AK92" s="7">
        <f>Liste!Y92</f>
        <v>0</v>
      </c>
      <c r="AL92" s="7"/>
      <c r="AM92" s="7"/>
      <c r="AN92" s="7"/>
      <c r="AO92" s="1113">
        <f>Liste!D92</f>
        <v>0</v>
      </c>
      <c r="AP92" s="1113">
        <f>Liste!F92</f>
        <v>186</v>
      </c>
      <c r="AQ92" s="1113">
        <f>Liste!E92</f>
        <v>0</v>
      </c>
      <c r="AR92" s="1113">
        <f>Liste!G92</f>
        <v>18</v>
      </c>
      <c r="AS92" s="1112">
        <f>Liste!V92</f>
        <v>1</v>
      </c>
      <c r="AT92" s="1">
        <f>Liste!M92</f>
        <v>0</v>
      </c>
      <c r="AZ92" s="5" t="s">
        <v>159</v>
      </c>
      <c r="BA92" s="4" t="s">
        <v>101</v>
      </c>
      <c r="BB92" s="4">
        <v>596</v>
      </c>
      <c r="BD92" s="35"/>
      <c r="BE92" s="35"/>
      <c r="BF92" s="2118" t="str">
        <f>Liste!R92</f>
        <v>0202018</v>
      </c>
      <c r="BG92" s="2137">
        <f>IF(AS92&gt;0,Liste!S92,0)</f>
        <v>0</v>
      </c>
      <c r="BH92" s="2118" t="str">
        <f>Liste!T92</f>
        <v>m²</v>
      </c>
    </row>
    <row r="93" spans="1:60" ht="24.95" customHeight="1" x14ac:dyDescent="0.25">
      <c r="A93" s="29"/>
      <c r="B93" s="46">
        <f>IF(Liste!O93&gt;0,Liste!O93,Liste!B93)</f>
        <v>25</v>
      </c>
      <c r="C93" s="2314"/>
      <c r="D93" s="30" t="str">
        <f>Liste!C93</f>
        <v>0202003</v>
      </c>
      <c r="E93" s="2314"/>
      <c r="F93" s="32">
        <f t="shared" si="8"/>
        <v>0</v>
      </c>
      <c r="G93" s="2314"/>
      <c r="H93" s="32">
        <f t="shared" si="9"/>
        <v>186</v>
      </c>
      <c r="I93" s="2314"/>
      <c r="J93" s="32">
        <f t="shared" si="10"/>
        <v>1080</v>
      </c>
      <c r="K93" s="2314"/>
      <c r="L93" s="31">
        <f t="shared" si="11"/>
        <v>6</v>
      </c>
      <c r="M93" s="2314"/>
      <c r="N93" s="31" t="str">
        <f>Liste!L93</f>
        <v>MM2</v>
      </c>
      <c r="O93" s="31"/>
      <c r="P93" s="31"/>
      <c r="Q93" s="31" t="str">
        <f>Liste!P93</f>
        <v>A</v>
      </c>
      <c r="R93" s="31" t="str">
        <f>Liste!N93</f>
        <v>Element unten Wands. Aussenl.</v>
      </c>
      <c r="S93" s="7">
        <v>0</v>
      </c>
      <c r="T93" s="7">
        <v>0</v>
      </c>
      <c r="U93" s="7">
        <v>0</v>
      </c>
      <c r="V93" s="7"/>
      <c r="W93" s="60"/>
      <c r="X93" s="60"/>
      <c r="Y93" s="60"/>
      <c r="Z93" s="7"/>
      <c r="AA93" s="7"/>
      <c r="AB93" s="60"/>
      <c r="AC93" s="60"/>
      <c r="AD93" s="60"/>
      <c r="AE93" s="7"/>
      <c r="AF93" s="7"/>
      <c r="AG93" s="7"/>
      <c r="AH93" s="7"/>
      <c r="AI93" s="7"/>
      <c r="AJ93" s="7">
        <f>Liste!X93</f>
        <v>0</v>
      </c>
      <c r="AK93" s="7">
        <f>Liste!Y93</f>
        <v>0</v>
      </c>
      <c r="AL93" s="7"/>
      <c r="AM93" s="7"/>
      <c r="AN93" s="7"/>
      <c r="AO93" s="1113">
        <f>Liste!D93</f>
        <v>0</v>
      </c>
      <c r="AP93" s="1113">
        <f>Liste!F93</f>
        <v>186</v>
      </c>
      <c r="AQ93" s="1113">
        <f>Liste!E93</f>
        <v>1080</v>
      </c>
      <c r="AR93" s="1113">
        <f>Liste!G93</f>
        <v>6</v>
      </c>
      <c r="AS93" s="1112">
        <f>Liste!V93</f>
        <v>1</v>
      </c>
      <c r="AT93" s="1">
        <f>Liste!M93</f>
        <v>0</v>
      </c>
      <c r="AZ93" s="5" t="s">
        <v>160</v>
      </c>
      <c r="BA93" s="4" t="s">
        <v>101</v>
      </c>
      <c r="BB93" s="4">
        <v>597</v>
      </c>
      <c r="BD93" s="35"/>
      <c r="BE93" s="35"/>
      <c r="BF93" s="2118" t="str">
        <f>Liste!R93</f>
        <v>0202003</v>
      </c>
      <c r="BG93" s="2137">
        <f>IF(AS93&gt;0,Liste!S93,0)</f>
        <v>0</v>
      </c>
      <c r="BH93" s="2118" t="str">
        <f>Liste!T93</f>
        <v>m²</v>
      </c>
    </row>
    <row r="94" spans="1:60" ht="24.95" customHeight="1" x14ac:dyDescent="0.25">
      <c r="A94" s="29"/>
      <c r="B94" s="46">
        <f>IF(Liste!O94&gt;0,Liste!O94,Liste!B94)</f>
        <v>26</v>
      </c>
      <c r="C94" s="2314"/>
      <c r="D94" s="30" t="str">
        <f>Liste!C94</f>
        <v>0202003</v>
      </c>
      <c r="E94" s="2314"/>
      <c r="F94" s="32">
        <f t="shared" si="8"/>
        <v>0</v>
      </c>
      <c r="G94" s="2314"/>
      <c r="H94" s="32">
        <f t="shared" si="9"/>
        <v>186</v>
      </c>
      <c r="I94" s="2314"/>
      <c r="J94" s="32">
        <f t="shared" si="10"/>
        <v>0</v>
      </c>
      <c r="K94" s="2314"/>
      <c r="L94" s="31">
        <f t="shared" si="11"/>
        <v>6</v>
      </c>
      <c r="M94" s="2314"/>
      <c r="N94" s="31" t="str">
        <f>Liste!L94</f>
        <v>MM2</v>
      </c>
      <c r="O94" s="31"/>
      <c r="P94" s="31"/>
      <c r="Q94" s="31" t="str">
        <f>Liste!P94</f>
        <v>A</v>
      </c>
      <c r="R94" s="31" t="str">
        <f>Liste!N94</f>
        <v>Element unten Wands. Aussenl.</v>
      </c>
      <c r="S94" s="7">
        <v>0</v>
      </c>
      <c r="T94" s="7">
        <v>0</v>
      </c>
      <c r="U94" s="7">
        <v>0</v>
      </c>
      <c r="V94" s="7"/>
      <c r="W94" s="60"/>
      <c r="X94" s="60"/>
      <c r="Y94" s="60"/>
      <c r="Z94" s="7"/>
      <c r="AA94" s="7"/>
      <c r="AB94" s="60"/>
      <c r="AC94" s="60"/>
      <c r="AD94" s="60"/>
      <c r="AE94" s="7"/>
      <c r="AF94" s="7"/>
      <c r="AG94" s="7"/>
      <c r="AH94" s="7"/>
      <c r="AI94" s="7"/>
      <c r="AJ94" s="7">
        <f>Liste!X94</f>
        <v>0</v>
      </c>
      <c r="AK94" s="7">
        <f>Liste!Y94</f>
        <v>0</v>
      </c>
      <c r="AL94" s="7"/>
      <c r="AM94" s="7"/>
      <c r="AN94" s="7"/>
      <c r="AO94" s="1113">
        <f>Liste!D94</f>
        <v>0</v>
      </c>
      <c r="AP94" s="1113">
        <f>Liste!F94</f>
        <v>186</v>
      </c>
      <c r="AQ94" s="1113">
        <f>Liste!E94</f>
        <v>0</v>
      </c>
      <c r="AR94" s="1113">
        <f>Liste!G94</f>
        <v>6</v>
      </c>
      <c r="AS94" s="1112">
        <f>Liste!V94</f>
        <v>1</v>
      </c>
      <c r="AT94" s="1">
        <f>Liste!M94</f>
        <v>0</v>
      </c>
      <c r="AZ94" s="5" t="s">
        <v>161</v>
      </c>
      <c r="BA94" s="4" t="s">
        <v>101</v>
      </c>
      <c r="BB94" s="4">
        <v>598</v>
      </c>
      <c r="BD94" s="35"/>
      <c r="BE94" s="35"/>
      <c r="BF94" s="2118" t="str">
        <f>Liste!R94</f>
        <v>0202003</v>
      </c>
      <c r="BG94" s="2137">
        <f>IF(AS94&gt;0,Liste!S94,0)</f>
        <v>0</v>
      </c>
      <c r="BH94" s="2118" t="str">
        <f>Liste!T94</f>
        <v>m²</v>
      </c>
    </row>
    <row r="95" spans="1:60" ht="24.95" customHeight="1" x14ac:dyDescent="0.25">
      <c r="A95" s="29"/>
      <c r="B95" s="46">
        <f>IF(Liste!O95&gt;0,Liste!O95,Liste!B95)</f>
        <v>27</v>
      </c>
      <c r="C95" s="2314"/>
      <c r="D95" s="30" t="str">
        <f>Liste!C95</f>
        <v>0202003</v>
      </c>
      <c r="E95" s="2314"/>
      <c r="F95" s="32">
        <f t="shared" si="8"/>
        <v>1</v>
      </c>
      <c r="G95" s="2314"/>
      <c r="H95" s="32">
        <f t="shared" si="9"/>
        <v>80</v>
      </c>
      <c r="I95" s="2314"/>
      <c r="J95" s="32">
        <f t="shared" si="10"/>
        <v>960</v>
      </c>
      <c r="K95" s="2314"/>
      <c r="L95" s="31">
        <f t="shared" si="11"/>
        <v>6</v>
      </c>
      <c r="M95" s="2314"/>
      <c r="N95" s="31" t="str">
        <f>Liste!L95</f>
        <v>MM2</v>
      </c>
      <c r="O95" s="31"/>
      <c r="P95" s="31"/>
      <c r="Q95" s="31" t="str">
        <f>Liste!P95</f>
        <v>A</v>
      </c>
      <c r="R95" s="31" t="str">
        <f>Liste!N95</f>
        <v>Aufdopplung</v>
      </c>
      <c r="S95" s="7">
        <v>0</v>
      </c>
      <c r="T95" s="7">
        <v>0</v>
      </c>
      <c r="U95" s="7">
        <v>0</v>
      </c>
      <c r="V95" s="7"/>
      <c r="W95" s="60"/>
      <c r="X95" s="60"/>
      <c r="Y95" s="60"/>
      <c r="Z95" s="7"/>
      <c r="AA95" s="7"/>
      <c r="AB95" s="60"/>
      <c r="AC95" s="60"/>
      <c r="AD95" s="60"/>
      <c r="AE95" s="7"/>
      <c r="AF95" s="7"/>
      <c r="AG95" s="7"/>
      <c r="AH95" s="7"/>
      <c r="AI95" s="7"/>
      <c r="AJ95" s="7">
        <f>Liste!X95</f>
        <v>0</v>
      </c>
      <c r="AK95" s="7">
        <f>Liste!Y95</f>
        <v>0</v>
      </c>
      <c r="AL95" s="7"/>
      <c r="AM95" s="7"/>
      <c r="AN95" s="7"/>
      <c r="AO95" s="1113">
        <f>Liste!D95</f>
        <v>1</v>
      </c>
      <c r="AP95" s="1113">
        <f>Liste!F95</f>
        <v>80</v>
      </c>
      <c r="AQ95" s="1113">
        <f>Liste!E95</f>
        <v>960</v>
      </c>
      <c r="AR95" s="1113">
        <f>Liste!G95</f>
        <v>6</v>
      </c>
      <c r="AS95" s="1112">
        <f>Liste!V95</f>
        <v>1</v>
      </c>
      <c r="AT95" s="1">
        <f>Liste!M95</f>
        <v>0</v>
      </c>
      <c r="AZ95" s="5" t="s">
        <v>162</v>
      </c>
      <c r="BA95" s="4" t="s">
        <v>101</v>
      </c>
      <c r="BB95" s="4">
        <v>599</v>
      </c>
      <c r="BD95" s="35"/>
      <c r="BE95" s="35"/>
      <c r="BF95" s="2118" t="str">
        <f>Liste!R95</f>
        <v>0202003</v>
      </c>
      <c r="BG95" s="2137">
        <f>IF(AS95&gt;0,Liste!S95,0)</f>
        <v>7.6799999999999993E-2</v>
      </c>
      <c r="BH95" s="2118" t="str">
        <f>Liste!T95</f>
        <v>m²</v>
      </c>
    </row>
    <row r="96" spans="1:60" ht="24.95" customHeight="1" x14ac:dyDescent="0.25">
      <c r="A96" s="29"/>
      <c r="B96" s="46">
        <f>IF(Liste!O96&gt;0,Liste!O96,Liste!B96)</f>
        <v>28</v>
      </c>
      <c r="C96" s="2314"/>
      <c r="D96" s="30" t="str">
        <f>Liste!C96</f>
        <v>0202003</v>
      </c>
      <c r="E96" s="2314"/>
      <c r="F96" s="32">
        <f t="shared" si="8"/>
        <v>0</v>
      </c>
      <c r="G96" s="2314"/>
      <c r="H96" s="32">
        <f t="shared" si="9"/>
        <v>80</v>
      </c>
      <c r="I96" s="2314"/>
      <c r="J96" s="32">
        <f t="shared" si="10"/>
        <v>0</v>
      </c>
      <c r="K96" s="2314"/>
      <c r="L96" s="31">
        <f t="shared" si="11"/>
        <v>6</v>
      </c>
      <c r="M96" s="2314"/>
      <c r="N96" s="31" t="str">
        <f>Liste!L96</f>
        <v>MM2</v>
      </c>
      <c r="O96" s="31"/>
      <c r="P96" s="31"/>
      <c r="Q96" s="31" t="str">
        <f>Liste!P96</f>
        <v>A</v>
      </c>
      <c r="R96" s="31" t="str">
        <f>Liste!N96</f>
        <v>Aufdopplung</v>
      </c>
      <c r="S96" s="7">
        <v>0</v>
      </c>
      <c r="T96" s="7">
        <v>0</v>
      </c>
      <c r="U96" s="7">
        <v>0</v>
      </c>
      <c r="V96" s="7"/>
      <c r="W96" s="60"/>
      <c r="X96" s="60"/>
      <c r="Y96" s="60"/>
      <c r="Z96" s="7"/>
      <c r="AA96" s="7"/>
      <c r="AB96" s="60"/>
      <c r="AC96" s="60"/>
      <c r="AD96" s="60"/>
      <c r="AE96" s="7"/>
      <c r="AF96" s="7"/>
      <c r="AG96" s="7"/>
      <c r="AH96" s="7"/>
      <c r="AI96" s="7"/>
      <c r="AJ96" s="7">
        <f>Liste!X96</f>
        <v>0</v>
      </c>
      <c r="AK96" s="7">
        <f>Liste!Y96</f>
        <v>0</v>
      </c>
      <c r="AL96" s="7"/>
      <c r="AM96" s="7"/>
      <c r="AN96" s="7"/>
      <c r="AO96" s="1113">
        <f>Liste!D96</f>
        <v>0</v>
      </c>
      <c r="AP96" s="1113">
        <f>Liste!F96</f>
        <v>80</v>
      </c>
      <c r="AQ96" s="1113">
        <f>Liste!E96</f>
        <v>0</v>
      </c>
      <c r="AR96" s="1113">
        <f>Liste!G96</f>
        <v>6</v>
      </c>
      <c r="AS96" s="1112">
        <f>Liste!V96</f>
        <v>1</v>
      </c>
      <c r="AT96" s="1">
        <f>Liste!M96</f>
        <v>0</v>
      </c>
      <c r="AZ96" s="5" t="s">
        <v>163</v>
      </c>
      <c r="BA96" s="4" t="s">
        <v>101</v>
      </c>
      <c r="BB96" s="4">
        <v>600</v>
      </c>
      <c r="BD96" s="35"/>
      <c r="BE96" s="35"/>
      <c r="BF96" s="2118" t="str">
        <f>Liste!R96</f>
        <v>0202003</v>
      </c>
      <c r="BG96" s="2137">
        <f>IF(AS96&gt;0,Liste!S96,0)</f>
        <v>0</v>
      </c>
      <c r="BH96" s="2118" t="str">
        <f>Liste!T96</f>
        <v>m²</v>
      </c>
    </row>
    <row r="97" spans="1:60" ht="24.95" customHeight="1" x14ac:dyDescent="0.25">
      <c r="A97" s="29"/>
      <c r="B97" s="46">
        <f>IF(Liste!O97&gt;0,Liste!O97,Liste!B97)</f>
        <v>29</v>
      </c>
      <c r="C97" s="2314"/>
      <c r="D97" s="30" t="str">
        <f>Liste!C97</f>
        <v>0202018</v>
      </c>
      <c r="E97" s="2314"/>
      <c r="F97" s="32">
        <f t="shared" si="8"/>
        <v>2</v>
      </c>
      <c r="G97" s="2314"/>
      <c r="H97" s="32">
        <f t="shared" si="9"/>
        <v>80</v>
      </c>
      <c r="I97" s="2314"/>
      <c r="J97" s="32">
        <f t="shared" si="10"/>
        <v>960</v>
      </c>
      <c r="K97" s="2314"/>
      <c r="L97" s="31">
        <f t="shared" si="11"/>
        <v>18</v>
      </c>
      <c r="M97" s="2314"/>
      <c r="N97" s="31" t="str">
        <f>Liste!L97</f>
        <v>MM2</v>
      </c>
      <c r="O97" s="31"/>
      <c r="P97" s="31"/>
      <c r="Q97" s="31" t="str">
        <f>Liste!P97</f>
        <v>A</v>
      </c>
      <c r="R97" s="31" t="str">
        <f>Liste!N97</f>
        <v>Aufdopplung</v>
      </c>
      <c r="S97" s="7">
        <v>0</v>
      </c>
      <c r="T97" s="7">
        <v>0</v>
      </c>
      <c r="U97" s="7">
        <v>0</v>
      </c>
      <c r="V97" s="7"/>
      <c r="W97" s="60"/>
      <c r="X97" s="60"/>
      <c r="Y97" s="60"/>
      <c r="Z97" s="7"/>
      <c r="AA97" s="7"/>
      <c r="AB97" s="60"/>
      <c r="AC97" s="60"/>
      <c r="AD97" s="60"/>
      <c r="AE97" s="7"/>
      <c r="AF97" s="7"/>
      <c r="AG97" s="7"/>
      <c r="AH97" s="7"/>
      <c r="AI97" s="7"/>
      <c r="AJ97" s="7">
        <f>Liste!X97</f>
        <v>0</v>
      </c>
      <c r="AK97" s="7">
        <f>Liste!Y97</f>
        <v>0</v>
      </c>
      <c r="AL97" s="7"/>
      <c r="AM97" s="7"/>
      <c r="AN97" s="7"/>
      <c r="AO97" s="1113">
        <f>Liste!D97</f>
        <v>2</v>
      </c>
      <c r="AP97" s="1113">
        <f>Liste!F97</f>
        <v>80</v>
      </c>
      <c r="AQ97" s="1113">
        <f>Liste!E97</f>
        <v>960</v>
      </c>
      <c r="AR97" s="1113">
        <f>Liste!G97</f>
        <v>18</v>
      </c>
      <c r="AS97" s="1112">
        <f>Liste!V97</f>
        <v>1</v>
      </c>
      <c r="AT97" s="1">
        <f>Liste!M97</f>
        <v>0</v>
      </c>
      <c r="AZ97" s="5" t="s">
        <v>164</v>
      </c>
      <c r="BA97" s="4" t="s">
        <v>101</v>
      </c>
      <c r="BB97" s="4">
        <v>601</v>
      </c>
      <c r="BD97" s="35"/>
      <c r="BE97" s="35"/>
      <c r="BF97" s="2118" t="str">
        <f>Liste!R97</f>
        <v>0202018</v>
      </c>
      <c r="BG97" s="2137">
        <f>IF(AS97&gt;0,Liste!S97,0)</f>
        <v>0.15359999999999999</v>
      </c>
      <c r="BH97" s="2118" t="str">
        <f>Liste!T97</f>
        <v>m²</v>
      </c>
    </row>
    <row r="98" spans="1:60" ht="24.95" customHeight="1" x14ac:dyDescent="0.25">
      <c r="A98" s="29"/>
      <c r="B98" s="46">
        <f>IF(Liste!O98&gt;0,Liste!O98,Liste!B98)</f>
        <v>30</v>
      </c>
      <c r="C98" s="2314"/>
      <c r="D98" s="30" t="str">
        <f>Liste!C98</f>
        <v>0202018</v>
      </c>
      <c r="E98" s="2314"/>
      <c r="F98" s="32">
        <f t="shared" si="8"/>
        <v>0</v>
      </c>
      <c r="G98" s="2314"/>
      <c r="H98" s="32">
        <f t="shared" si="9"/>
        <v>80</v>
      </c>
      <c r="I98" s="2314"/>
      <c r="J98" s="32">
        <f t="shared" si="10"/>
        <v>0</v>
      </c>
      <c r="K98" s="2314"/>
      <c r="L98" s="31">
        <f t="shared" si="11"/>
        <v>18</v>
      </c>
      <c r="M98" s="2314"/>
      <c r="N98" s="31" t="str">
        <f>Liste!L98</f>
        <v>MM2</v>
      </c>
      <c r="O98" s="31"/>
      <c r="P98" s="31"/>
      <c r="Q98" s="31" t="str">
        <f>Liste!P98</f>
        <v>A</v>
      </c>
      <c r="R98" s="31" t="str">
        <f>Liste!N98</f>
        <v>Aufdopplung</v>
      </c>
      <c r="S98" s="7">
        <v>0</v>
      </c>
      <c r="T98" s="7">
        <v>0</v>
      </c>
      <c r="U98" s="7">
        <v>0</v>
      </c>
      <c r="V98" s="7"/>
      <c r="W98" s="60"/>
      <c r="X98" s="60"/>
      <c r="Y98" s="60"/>
      <c r="Z98" s="7"/>
      <c r="AA98" s="7"/>
      <c r="AB98" s="60"/>
      <c r="AC98" s="60"/>
      <c r="AD98" s="60"/>
      <c r="AE98" s="7"/>
      <c r="AF98" s="7"/>
      <c r="AG98" s="7"/>
      <c r="AH98" s="7"/>
      <c r="AI98" s="7"/>
      <c r="AJ98" s="7">
        <f>Liste!X98</f>
        <v>0</v>
      </c>
      <c r="AK98" s="7">
        <f>Liste!Y98</f>
        <v>0</v>
      </c>
      <c r="AL98" s="7"/>
      <c r="AM98" s="7"/>
      <c r="AN98" s="7"/>
      <c r="AO98" s="1113">
        <f>Liste!D98</f>
        <v>0</v>
      </c>
      <c r="AP98" s="1113">
        <f>Liste!F98</f>
        <v>80</v>
      </c>
      <c r="AQ98" s="1113">
        <f>Liste!E98</f>
        <v>0</v>
      </c>
      <c r="AR98" s="1113">
        <f>Liste!G98</f>
        <v>18</v>
      </c>
      <c r="AS98" s="1112">
        <f>Liste!V98</f>
        <v>1</v>
      </c>
      <c r="AT98" s="1">
        <f>Liste!M98</f>
        <v>0</v>
      </c>
      <c r="AZ98" s="5" t="s">
        <v>165</v>
      </c>
      <c r="BA98" s="4" t="s">
        <v>101</v>
      </c>
      <c r="BB98" s="4">
        <v>602</v>
      </c>
      <c r="BD98" s="35"/>
      <c r="BE98" s="35"/>
      <c r="BF98" s="2118" t="str">
        <f>Liste!R98</f>
        <v>0202018</v>
      </c>
      <c r="BG98" s="2137">
        <f>IF(AS98&gt;0,Liste!S98,0)</f>
        <v>0</v>
      </c>
      <c r="BH98" s="2118" t="str">
        <f>Liste!T98</f>
        <v>m²</v>
      </c>
    </row>
    <row r="99" spans="1:60" ht="24.95" customHeight="1" x14ac:dyDescent="0.25">
      <c r="A99" s="29"/>
      <c r="B99" s="46">
        <f>IF(Liste!O99&gt;0,Liste!O99,Liste!B99)</f>
        <v>31</v>
      </c>
      <c r="C99" s="2314"/>
      <c r="D99" s="30" t="str">
        <f>Liste!C99</f>
        <v>0708161</v>
      </c>
      <c r="E99" s="2314"/>
      <c r="F99" s="32">
        <f t="shared" si="8"/>
        <v>2</v>
      </c>
      <c r="G99" s="2314"/>
      <c r="H99" s="32">
        <f t="shared" si="9"/>
        <v>80</v>
      </c>
      <c r="I99" s="2314"/>
      <c r="J99" s="32">
        <f t="shared" si="10"/>
        <v>960</v>
      </c>
      <c r="K99" s="2314"/>
      <c r="L99" s="31">
        <f t="shared" si="11"/>
        <v>12.5</v>
      </c>
      <c r="M99" s="2314"/>
      <c r="N99" s="31" t="str">
        <f>Liste!L99</f>
        <v>MM2</v>
      </c>
      <c r="O99" s="31"/>
      <c r="P99" s="31"/>
      <c r="Q99" s="31" t="str">
        <f>Liste!P99</f>
        <v>A</v>
      </c>
      <c r="R99" s="31" t="str">
        <f>Liste!N99</f>
        <v>Aufdopplung</v>
      </c>
      <c r="S99" s="7">
        <v>0</v>
      </c>
      <c r="T99" s="7">
        <v>0</v>
      </c>
      <c r="U99" s="7">
        <v>0</v>
      </c>
      <c r="V99" s="7"/>
      <c r="W99" s="60"/>
      <c r="X99" s="60"/>
      <c r="Y99" s="60"/>
      <c r="Z99" s="7"/>
      <c r="AA99" s="7"/>
      <c r="AB99" s="60"/>
      <c r="AC99" s="60"/>
      <c r="AD99" s="60"/>
      <c r="AE99" s="7"/>
      <c r="AF99" s="7"/>
      <c r="AG99" s="7"/>
      <c r="AH99" s="7"/>
      <c r="AI99" s="7"/>
      <c r="AJ99" s="7">
        <f>Liste!X99</f>
        <v>0</v>
      </c>
      <c r="AK99" s="7">
        <f>Liste!Y99</f>
        <v>0</v>
      </c>
      <c r="AL99" s="7"/>
      <c r="AM99" s="7"/>
      <c r="AN99" s="7"/>
      <c r="AO99" s="1113">
        <f>Liste!D99</f>
        <v>2</v>
      </c>
      <c r="AP99" s="1113">
        <f>Liste!F99</f>
        <v>80</v>
      </c>
      <c r="AQ99" s="1113">
        <f>Liste!E99</f>
        <v>960</v>
      </c>
      <c r="AR99" s="1113">
        <f>Liste!G99</f>
        <v>12.5</v>
      </c>
      <c r="AS99" s="1112">
        <f>Liste!V99</f>
        <v>1</v>
      </c>
      <c r="AT99" s="1">
        <f>Liste!M99</f>
        <v>0</v>
      </c>
      <c r="AZ99" s="5" t="s">
        <v>166</v>
      </c>
      <c r="BA99" s="4" t="s">
        <v>101</v>
      </c>
      <c r="BB99" s="4">
        <v>603</v>
      </c>
      <c r="BD99" s="35"/>
      <c r="BE99" s="35"/>
      <c r="BF99" s="2118" t="str">
        <f>Liste!R99</f>
        <v>0708161</v>
      </c>
      <c r="BG99" s="2137">
        <f>IF(AS99&gt;0,Liste!S99,0)</f>
        <v>0.15359999999999999</v>
      </c>
      <c r="BH99" s="2118" t="str">
        <f>Liste!T99</f>
        <v>m²</v>
      </c>
    </row>
    <row r="100" spans="1:60" ht="24.95" customHeight="1" x14ac:dyDescent="0.25">
      <c r="A100" s="29"/>
      <c r="B100" s="46">
        <f>IF(Liste!O100&gt;0,Liste!O100,Liste!B100)</f>
        <v>32</v>
      </c>
      <c r="C100" s="2314"/>
      <c r="D100" s="30" t="str">
        <f>Liste!C100</f>
        <v>0708161</v>
      </c>
      <c r="E100" s="2314"/>
      <c r="F100" s="32">
        <f t="shared" si="8"/>
        <v>0</v>
      </c>
      <c r="G100" s="2314"/>
      <c r="H100" s="32">
        <f t="shared" si="9"/>
        <v>80</v>
      </c>
      <c r="I100" s="2314"/>
      <c r="J100" s="32">
        <f t="shared" si="10"/>
        <v>0</v>
      </c>
      <c r="K100" s="2314"/>
      <c r="L100" s="31">
        <f t="shared" si="11"/>
        <v>12.5</v>
      </c>
      <c r="M100" s="2314"/>
      <c r="N100" s="31" t="str">
        <f>Liste!L100</f>
        <v>MM2</v>
      </c>
      <c r="O100" s="31"/>
      <c r="P100" s="31"/>
      <c r="Q100" s="31" t="str">
        <f>Liste!P100</f>
        <v>A</v>
      </c>
      <c r="R100" s="31" t="str">
        <f>Liste!N100</f>
        <v>Aufdopplung</v>
      </c>
      <c r="S100" s="7">
        <v>0</v>
      </c>
      <c r="T100" s="7">
        <v>0</v>
      </c>
      <c r="U100" s="7">
        <v>0</v>
      </c>
      <c r="V100" s="7"/>
      <c r="W100" s="60"/>
      <c r="X100" s="60"/>
      <c r="Y100" s="60"/>
      <c r="Z100" s="7"/>
      <c r="AA100" s="7"/>
      <c r="AB100" s="60"/>
      <c r="AC100" s="60"/>
      <c r="AD100" s="60"/>
      <c r="AE100" s="7"/>
      <c r="AF100" s="7"/>
      <c r="AG100" s="7"/>
      <c r="AH100" s="7"/>
      <c r="AI100" s="7"/>
      <c r="AJ100" s="7">
        <f>Liste!X100</f>
        <v>0</v>
      </c>
      <c r="AK100" s="7">
        <f>Liste!Y100</f>
        <v>0</v>
      </c>
      <c r="AL100" s="7"/>
      <c r="AM100" s="7"/>
      <c r="AN100" s="7"/>
      <c r="AO100" s="1113">
        <f>Liste!D100</f>
        <v>0</v>
      </c>
      <c r="AP100" s="1113">
        <f>Liste!F100</f>
        <v>80</v>
      </c>
      <c r="AQ100" s="1113">
        <f>Liste!E100</f>
        <v>0</v>
      </c>
      <c r="AR100" s="1113">
        <f>Liste!G100</f>
        <v>12.5</v>
      </c>
      <c r="AS100" s="1112">
        <f>Liste!V100</f>
        <v>1</v>
      </c>
      <c r="AT100" s="1">
        <f>Liste!M100</f>
        <v>0</v>
      </c>
      <c r="AZ100" s="5" t="s">
        <v>167</v>
      </c>
      <c r="BA100" s="4" t="s">
        <v>101</v>
      </c>
      <c r="BB100" s="4">
        <v>604</v>
      </c>
      <c r="BD100" s="35"/>
      <c r="BE100" s="35"/>
      <c r="BF100" s="2118" t="str">
        <f>Liste!R100</f>
        <v>0708161</v>
      </c>
      <c r="BG100" s="2137">
        <f>IF(AS100&gt;0,Liste!S100,0)</f>
        <v>0</v>
      </c>
      <c r="BH100" s="2118" t="str">
        <f>Liste!T100</f>
        <v>m²</v>
      </c>
    </row>
    <row r="101" spans="1:60" ht="24.95" customHeight="1" x14ac:dyDescent="0.25">
      <c r="A101" s="29"/>
      <c r="B101" s="46" t="str">
        <f>IF(Liste!O101&gt;0,Liste!O101,Liste!B101)</f>
        <v>Halteband Aufdopplung kurz</v>
      </c>
      <c r="C101" s="2314"/>
      <c r="D101" s="30" t="str">
        <f>Liste!C101</f>
        <v>0338372</v>
      </c>
      <c r="E101" s="2314"/>
      <c r="F101" s="32">
        <f t="shared" si="8"/>
        <v>0</v>
      </c>
      <c r="G101" s="2314"/>
      <c r="H101" s="32">
        <f t="shared" si="9"/>
        <v>0</v>
      </c>
      <c r="I101" s="2314"/>
      <c r="J101" s="32">
        <f t="shared" si="10"/>
        <v>0</v>
      </c>
      <c r="K101" s="2314"/>
      <c r="L101" s="31">
        <f t="shared" si="11"/>
        <v>0</v>
      </c>
      <c r="M101" s="2314"/>
      <c r="N101" s="31" t="str">
        <f>Liste!L101</f>
        <v>Stk</v>
      </c>
      <c r="O101" s="31"/>
      <c r="P101" s="31"/>
      <c r="Q101" s="31">
        <f>Liste!P101</f>
        <v>0</v>
      </c>
      <c r="R101" s="31">
        <f>Liste!N101</f>
        <v>0</v>
      </c>
      <c r="S101" s="7">
        <v>0</v>
      </c>
      <c r="T101" s="7">
        <v>0</v>
      </c>
      <c r="U101" s="7">
        <v>0</v>
      </c>
      <c r="V101" s="7"/>
      <c r="W101" s="60"/>
      <c r="X101" s="60"/>
      <c r="Y101" s="60"/>
      <c r="Z101" s="7"/>
      <c r="AA101" s="7"/>
      <c r="AB101" s="60"/>
      <c r="AC101" s="60"/>
      <c r="AD101" s="60"/>
      <c r="AE101" s="7"/>
      <c r="AF101" s="7"/>
      <c r="AG101" s="7"/>
      <c r="AH101" s="7"/>
      <c r="AI101" s="7"/>
      <c r="AJ101" s="7">
        <f>Liste!X101</f>
        <v>0</v>
      </c>
      <c r="AK101" s="7">
        <f>Liste!Y101</f>
        <v>1</v>
      </c>
      <c r="AL101" s="7"/>
      <c r="AM101" s="7"/>
      <c r="AN101" s="7"/>
      <c r="AO101" s="1113">
        <f>Liste!D101</f>
        <v>0</v>
      </c>
      <c r="AP101" s="1113">
        <f>Liste!F101</f>
        <v>455</v>
      </c>
      <c r="AQ101" s="1113">
        <f>Liste!E101</f>
        <v>20</v>
      </c>
      <c r="AR101" s="1113">
        <f>Liste!G101</f>
        <v>0.8</v>
      </c>
      <c r="AS101" s="1112">
        <f>Liste!V101</f>
        <v>1</v>
      </c>
      <c r="AT101" s="1" t="str">
        <f>Liste!M101</f>
        <v>V2A blank</v>
      </c>
      <c r="AZ101" s="5" t="s">
        <v>168</v>
      </c>
      <c r="BA101" s="4" t="s">
        <v>101</v>
      </c>
      <c r="BB101" s="4">
        <v>605</v>
      </c>
      <c r="BD101" s="35"/>
      <c r="BE101" s="35"/>
      <c r="BF101" s="2118" t="str">
        <f>Liste!R101</f>
        <v>0338372</v>
      </c>
      <c r="BG101" s="2137">
        <f>IF(AS101&gt;0,Liste!S101,0)</f>
        <v>0</v>
      </c>
      <c r="BH101" s="2118" t="str">
        <f>Liste!T101</f>
        <v>Stk</v>
      </c>
    </row>
    <row r="102" spans="1:60" ht="24.95" customHeight="1" x14ac:dyDescent="0.25">
      <c r="A102" s="29"/>
      <c r="B102" s="46" t="str">
        <f>IF(Liste!O102&gt;0,Liste!O102,Liste!B102)</f>
        <v>Halteband Aufdopplung lang</v>
      </c>
      <c r="C102" s="2314"/>
      <c r="D102" s="30" t="str">
        <f>Liste!C102</f>
        <v>0338400</v>
      </c>
      <c r="E102" s="2314"/>
      <c r="F102" s="32">
        <f t="shared" si="8"/>
        <v>0</v>
      </c>
      <c r="G102" s="2314"/>
      <c r="H102" s="32">
        <f t="shared" si="9"/>
        <v>0</v>
      </c>
      <c r="I102" s="2314"/>
      <c r="J102" s="32">
        <f t="shared" si="10"/>
        <v>0</v>
      </c>
      <c r="K102" s="2314"/>
      <c r="L102" s="31">
        <f t="shared" si="11"/>
        <v>0</v>
      </c>
      <c r="M102" s="2314"/>
      <c r="N102" s="31" t="str">
        <f>Liste!L102</f>
        <v>Stk</v>
      </c>
      <c r="O102" s="31"/>
      <c r="P102" s="31"/>
      <c r="Q102" s="31">
        <f>Liste!P102</f>
        <v>0</v>
      </c>
      <c r="R102" s="31">
        <f>Liste!N102</f>
        <v>0</v>
      </c>
      <c r="S102" s="7">
        <v>0</v>
      </c>
      <c r="T102" s="7">
        <v>0</v>
      </c>
      <c r="U102" s="7">
        <v>0</v>
      </c>
      <c r="V102" s="7"/>
      <c r="W102" s="60"/>
      <c r="X102" s="60"/>
      <c r="Y102" s="60"/>
      <c r="Z102" s="7"/>
      <c r="AA102" s="7"/>
      <c r="AB102" s="60"/>
      <c r="AC102" s="60"/>
      <c r="AD102" s="60"/>
      <c r="AE102" s="7"/>
      <c r="AF102" s="7"/>
      <c r="AG102" s="7"/>
      <c r="AH102" s="7"/>
      <c r="AI102" s="7"/>
      <c r="AJ102" s="7">
        <f>Liste!X102</f>
        <v>0</v>
      </c>
      <c r="AK102" s="7">
        <f>Liste!Y102</f>
        <v>1</v>
      </c>
      <c r="AL102" s="7"/>
      <c r="AM102" s="7"/>
      <c r="AN102" s="7"/>
      <c r="AO102" s="1113">
        <f>Liste!D102</f>
        <v>0</v>
      </c>
      <c r="AP102" s="1113">
        <f>Liste!F102</f>
        <v>955</v>
      </c>
      <c r="AQ102" s="1113">
        <f>Liste!E102</f>
        <v>20</v>
      </c>
      <c r="AR102" s="1113">
        <f>Liste!G102</f>
        <v>0.8</v>
      </c>
      <c r="AS102" s="1112">
        <f>Liste!V102</f>
        <v>1</v>
      </c>
      <c r="AT102" s="1" t="str">
        <f>Liste!M102</f>
        <v>V2A blank</v>
      </c>
      <c r="AZ102" s="5" t="s">
        <v>169</v>
      </c>
      <c r="BA102" s="4" t="s">
        <v>101</v>
      </c>
      <c r="BB102" s="4">
        <v>606</v>
      </c>
      <c r="BD102" s="35"/>
      <c r="BE102" s="35"/>
      <c r="BF102" s="2118" t="str">
        <f>Liste!R102</f>
        <v>0338400</v>
      </c>
      <c r="BG102" s="2137">
        <f>IF(AS102&gt;0,Liste!S102,0)</f>
        <v>0</v>
      </c>
      <c r="BH102" s="2118" t="str">
        <f>Liste!T102</f>
        <v>Stk</v>
      </c>
    </row>
    <row r="103" spans="1:60" ht="24.95" customHeight="1" x14ac:dyDescent="0.25">
      <c r="A103" s="29"/>
      <c r="B103" s="46">
        <f>IF(Liste!O103&gt;0,Liste!O103,Liste!B103)</f>
        <v>0</v>
      </c>
      <c r="C103" s="2314"/>
      <c r="D103" s="30">
        <f>Liste!C103</f>
        <v>0</v>
      </c>
      <c r="E103" s="2314"/>
      <c r="F103" s="32">
        <f t="shared" si="8"/>
        <v>0</v>
      </c>
      <c r="G103" s="2314"/>
      <c r="H103" s="32">
        <f t="shared" si="9"/>
        <v>0</v>
      </c>
      <c r="I103" s="2314"/>
      <c r="J103" s="32">
        <f t="shared" si="10"/>
        <v>0</v>
      </c>
      <c r="K103" s="2314"/>
      <c r="L103" s="31">
        <f t="shared" si="11"/>
        <v>0</v>
      </c>
      <c r="M103" s="2314"/>
      <c r="N103" s="31">
        <f>Liste!L103</f>
        <v>0</v>
      </c>
      <c r="O103" s="31"/>
      <c r="P103" s="31"/>
      <c r="Q103" s="31">
        <f>Liste!P103</f>
        <v>0</v>
      </c>
      <c r="R103" s="31">
        <f>Liste!N103</f>
        <v>0</v>
      </c>
      <c r="S103" s="7">
        <v>0</v>
      </c>
      <c r="T103" s="7">
        <v>0</v>
      </c>
      <c r="U103" s="7">
        <v>0</v>
      </c>
      <c r="V103" s="7"/>
      <c r="W103" s="60"/>
      <c r="X103" s="60"/>
      <c r="Y103" s="60"/>
      <c r="Z103" s="7"/>
      <c r="AA103" s="7"/>
      <c r="AB103" s="60"/>
      <c r="AC103" s="60"/>
      <c r="AD103" s="60"/>
      <c r="AE103" s="7"/>
      <c r="AF103" s="7"/>
      <c r="AG103" s="7"/>
      <c r="AH103" s="7"/>
      <c r="AI103" s="7"/>
      <c r="AJ103" s="7">
        <f>Liste!X103</f>
        <v>0</v>
      </c>
      <c r="AK103" s="7">
        <f>Liste!Y103</f>
        <v>0</v>
      </c>
      <c r="AL103" s="7"/>
      <c r="AM103" s="7"/>
      <c r="AN103" s="7"/>
      <c r="AO103" s="1113">
        <f>Liste!D103</f>
        <v>0</v>
      </c>
      <c r="AP103" s="1113">
        <f>Liste!F103</f>
        <v>0</v>
      </c>
      <c r="AQ103" s="1113">
        <f>Liste!E103</f>
        <v>0</v>
      </c>
      <c r="AR103" s="1113">
        <f>Liste!G103</f>
        <v>0</v>
      </c>
      <c r="AS103" s="1112">
        <f>Liste!V103</f>
        <v>0</v>
      </c>
      <c r="AT103" s="1">
        <f>Liste!M103</f>
        <v>0</v>
      </c>
      <c r="AZ103" s="5" t="s">
        <v>170</v>
      </c>
      <c r="BA103" s="4" t="s">
        <v>101</v>
      </c>
      <c r="BB103" s="4">
        <v>607</v>
      </c>
      <c r="BD103" s="35"/>
      <c r="BE103" s="35"/>
      <c r="BF103" s="2118">
        <f>Liste!R103</f>
        <v>0</v>
      </c>
      <c r="BG103" s="2137">
        <f>IF(AS103&gt;0,Liste!S103,0)</f>
        <v>0</v>
      </c>
      <c r="BH103" s="2118">
        <f>Liste!T103</f>
        <v>0</v>
      </c>
    </row>
    <row r="104" spans="1:60" ht="24.95" customHeight="1" x14ac:dyDescent="0.25">
      <c r="A104" s="29"/>
      <c r="B104" s="46" t="str">
        <f>IF(Liste!O104&gt;0,Liste!O104,Liste!B104)</f>
        <v>Abdeckblech Aufdopplung einteilig verzinkt</v>
      </c>
      <c r="C104" s="2314"/>
      <c r="D104" s="30" t="str">
        <f>Liste!C104</f>
        <v>0308321</v>
      </c>
      <c r="E104" s="2314"/>
      <c r="F104" s="32">
        <f t="shared" si="8"/>
        <v>0</v>
      </c>
      <c r="G104" s="2314"/>
      <c r="H104" s="32">
        <f t="shared" si="9"/>
        <v>0</v>
      </c>
      <c r="I104" s="2314"/>
      <c r="J104" s="32">
        <f t="shared" si="10"/>
        <v>0</v>
      </c>
      <c r="K104" s="2314"/>
      <c r="L104" s="31">
        <f t="shared" si="11"/>
        <v>0</v>
      </c>
      <c r="M104" s="2314"/>
      <c r="N104" s="31" t="str">
        <f>Liste!L104</f>
        <v>Stk</v>
      </c>
      <c r="O104" s="31"/>
      <c r="P104" s="31"/>
      <c r="Q104" s="31">
        <f>Liste!P104</f>
        <v>0</v>
      </c>
      <c r="R104" s="31">
        <f>Liste!N104</f>
        <v>0</v>
      </c>
      <c r="S104" s="7">
        <v>0</v>
      </c>
      <c r="T104" s="7">
        <v>0</v>
      </c>
      <c r="U104" s="7">
        <v>0</v>
      </c>
      <c r="V104" s="7"/>
      <c r="W104" s="60"/>
      <c r="X104" s="60"/>
      <c r="Y104" s="60"/>
      <c r="Z104" s="7"/>
      <c r="AA104" s="7"/>
      <c r="AB104" s="60"/>
      <c r="AC104" s="60"/>
      <c r="AD104" s="60"/>
      <c r="AE104" s="7"/>
      <c r="AF104" s="7"/>
      <c r="AG104" s="7"/>
      <c r="AH104" s="7"/>
      <c r="AI104" s="7"/>
      <c r="AJ104" s="7">
        <f>Liste!X104</f>
        <v>0</v>
      </c>
      <c r="AK104" s="7">
        <f>Liste!Y104</f>
        <v>1</v>
      </c>
      <c r="AL104" s="7"/>
      <c r="AM104" s="7"/>
      <c r="AN104" s="7"/>
      <c r="AO104" s="1113">
        <f>Liste!D104</f>
        <v>0</v>
      </c>
      <c r="AP104" s="1113">
        <f>Liste!F104</f>
        <v>164.31</v>
      </c>
      <c r="AQ104" s="1113">
        <f>Liste!E104</f>
        <v>1092.06</v>
      </c>
      <c r="AR104" s="1113">
        <f>Liste!G104</f>
        <v>0.75</v>
      </c>
      <c r="AS104" s="1112">
        <f>Liste!V104</f>
        <v>1</v>
      </c>
      <c r="AT104" s="1" t="str">
        <f>Liste!M104</f>
        <v>Stahlblech verz.</v>
      </c>
      <c r="AZ104" s="5" t="s">
        <v>171</v>
      </c>
      <c r="BA104" s="4" t="s">
        <v>101</v>
      </c>
      <c r="BB104" s="4">
        <v>608</v>
      </c>
      <c r="BD104" s="35"/>
      <c r="BE104" s="35"/>
      <c r="BF104" s="2118" t="str">
        <f>Liste!R104</f>
        <v>0701446</v>
      </c>
      <c r="BG104" s="2137">
        <f>IF(AS104&gt;0,Liste!S104,0)</f>
        <v>0</v>
      </c>
      <c r="BH104" s="2118" t="str">
        <f>Liste!T104</f>
        <v>m²</v>
      </c>
    </row>
    <row r="105" spans="1:60" ht="24.95" customHeight="1" x14ac:dyDescent="0.25">
      <c r="A105" s="29"/>
      <c r="B105" s="46" t="str">
        <f>IF(Liste!O105&gt;0,Liste!O105,Liste!B105)</f>
        <v>Abdeckblech Aufdopplung einteilig V2A</v>
      </c>
      <c r="C105" s="2314"/>
      <c r="D105" s="30" t="str">
        <f>Liste!C105</f>
        <v>0338321</v>
      </c>
      <c r="E105" s="2314"/>
      <c r="F105" s="32">
        <f t="shared" si="8"/>
        <v>0</v>
      </c>
      <c r="G105" s="2314"/>
      <c r="H105" s="32">
        <f t="shared" si="9"/>
        <v>0</v>
      </c>
      <c r="I105" s="2314"/>
      <c r="J105" s="32">
        <f t="shared" si="10"/>
        <v>0</v>
      </c>
      <c r="K105" s="2314"/>
      <c r="L105" s="31">
        <f t="shared" si="11"/>
        <v>0</v>
      </c>
      <c r="M105" s="2314"/>
      <c r="N105" s="31" t="str">
        <f>Liste!L105</f>
        <v>Stk</v>
      </c>
      <c r="O105" s="31"/>
      <c r="P105" s="31"/>
      <c r="Q105" s="31">
        <f>Liste!P105</f>
        <v>0</v>
      </c>
      <c r="R105" s="31">
        <f>Liste!N105</f>
        <v>0</v>
      </c>
      <c r="S105" s="7">
        <v>0</v>
      </c>
      <c r="T105" s="7">
        <v>0</v>
      </c>
      <c r="U105" s="7">
        <v>0</v>
      </c>
      <c r="V105" s="7"/>
      <c r="W105" s="60"/>
      <c r="X105" s="60"/>
      <c r="Y105" s="60"/>
      <c r="Z105" s="7"/>
      <c r="AA105" s="7"/>
      <c r="AB105" s="60"/>
      <c r="AC105" s="60"/>
      <c r="AD105" s="60"/>
      <c r="AE105" s="7"/>
      <c r="AF105" s="7"/>
      <c r="AG105" s="7"/>
      <c r="AH105" s="7"/>
      <c r="AI105" s="7"/>
      <c r="AJ105" s="7">
        <f>Liste!X105</f>
        <v>0</v>
      </c>
      <c r="AK105" s="7">
        <f>Liste!Y105</f>
        <v>1</v>
      </c>
      <c r="AL105" s="7"/>
      <c r="AM105" s="7"/>
      <c r="AN105" s="7"/>
      <c r="AO105" s="1113">
        <f>Liste!D105</f>
        <v>0</v>
      </c>
      <c r="AP105" s="1113">
        <f>Liste!F105</f>
        <v>163.84</v>
      </c>
      <c r="AQ105" s="1113">
        <f>Liste!E105</f>
        <v>1091.6399999999999</v>
      </c>
      <c r="AR105" s="1113">
        <f>Liste!G105</f>
        <v>0.8</v>
      </c>
      <c r="AS105" s="1112">
        <f>Liste!V105</f>
        <v>1</v>
      </c>
      <c r="AT105" s="1" t="str">
        <f>Liste!M105</f>
        <v>V2A blank</v>
      </c>
      <c r="AZ105" s="5" t="s">
        <v>172</v>
      </c>
      <c r="BA105" s="4" t="s">
        <v>101</v>
      </c>
      <c r="BB105" s="4">
        <v>609</v>
      </c>
      <c r="BD105" s="35"/>
      <c r="BE105" s="35"/>
      <c r="BF105" s="2118" t="str">
        <f>Liste!R105</f>
        <v>0701478</v>
      </c>
      <c r="BG105" s="2137">
        <f>IF(AS105&gt;0,Liste!S105,0)</f>
        <v>0</v>
      </c>
      <c r="BH105" s="2118" t="str">
        <f>Liste!T105</f>
        <v>m²</v>
      </c>
    </row>
    <row r="106" spans="1:60" ht="24.95" customHeight="1" x14ac:dyDescent="0.25">
      <c r="A106" s="29"/>
      <c r="B106" s="46" t="str">
        <f>IF(Liste!O106&gt;0,Liste!O106,Liste!B106)</f>
        <v>Abdeckblech Aufdopplung mehrteilig verzinkt</v>
      </c>
      <c r="C106" s="2314"/>
      <c r="D106" s="30" t="str">
        <f>Liste!C106</f>
        <v>0308318</v>
      </c>
      <c r="E106" s="2314"/>
      <c r="F106" s="32">
        <f t="shared" si="8"/>
        <v>0</v>
      </c>
      <c r="G106" s="2314"/>
      <c r="H106" s="32">
        <f t="shared" si="9"/>
        <v>0</v>
      </c>
      <c r="I106" s="2314"/>
      <c r="J106" s="32">
        <f t="shared" si="10"/>
        <v>0</v>
      </c>
      <c r="K106" s="2314"/>
      <c r="L106" s="31">
        <f t="shared" si="11"/>
        <v>0</v>
      </c>
      <c r="M106" s="2314"/>
      <c r="N106" s="31" t="str">
        <f>Liste!L106</f>
        <v>Stk</v>
      </c>
      <c r="O106" s="31"/>
      <c r="P106" s="31"/>
      <c r="Q106" s="31">
        <f>Liste!P106</f>
        <v>0</v>
      </c>
      <c r="R106" s="31">
        <f>Liste!N106</f>
        <v>0</v>
      </c>
      <c r="S106" s="7">
        <v>0</v>
      </c>
      <c r="T106" s="7">
        <v>0</v>
      </c>
      <c r="U106" s="7">
        <v>0</v>
      </c>
      <c r="V106" s="7"/>
      <c r="W106" s="60"/>
      <c r="X106" s="60"/>
      <c r="Y106" s="60"/>
      <c r="Z106" s="7"/>
      <c r="AA106" s="7"/>
      <c r="AB106" s="60"/>
      <c r="AC106" s="60"/>
      <c r="AD106" s="60"/>
      <c r="AE106" s="7"/>
      <c r="AF106" s="7"/>
      <c r="AG106" s="7"/>
      <c r="AH106" s="7"/>
      <c r="AI106" s="7"/>
      <c r="AJ106" s="7">
        <f>Liste!X106</f>
        <v>0</v>
      </c>
      <c r="AK106" s="7">
        <f>Liste!Y106</f>
        <v>1</v>
      </c>
      <c r="AL106" s="7"/>
      <c r="AM106" s="7"/>
      <c r="AN106" s="7"/>
      <c r="AO106" s="1113">
        <f>Liste!D106</f>
        <v>0</v>
      </c>
      <c r="AP106" s="1113">
        <f>Liste!F106</f>
        <v>164.31</v>
      </c>
      <c r="AQ106" s="1113">
        <f>Liste!E106</f>
        <v>810</v>
      </c>
      <c r="AR106" s="1113">
        <f>Liste!G106</f>
        <v>0.75</v>
      </c>
      <c r="AS106" s="1112">
        <f>Liste!V106</f>
        <v>1</v>
      </c>
      <c r="AT106" s="1" t="str">
        <f>Liste!M106</f>
        <v>Stahlblech verz.</v>
      </c>
      <c r="AZ106" s="5" t="s">
        <v>173</v>
      </c>
      <c r="BA106" s="4" t="s">
        <v>101</v>
      </c>
      <c r="BB106" s="4">
        <v>610</v>
      </c>
      <c r="BD106" s="35"/>
      <c r="BE106" s="35"/>
      <c r="BF106" s="2118" t="str">
        <f>Liste!R106</f>
        <v>0701446</v>
      </c>
      <c r="BG106" s="2137">
        <f>IF(AS106&gt;0,Liste!S106,0)</f>
        <v>0</v>
      </c>
      <c r="BH106" s="2118" t="str">
        <f>Liste!T106</f>
        <v>m²</v>
      </c>
    </row>
    <row r="107" spans="1:60" ht="24.95" customHeight="1" x14ac:dyDescent="0.25">
      <c r="A107" s="29"/>
      <c r="B107" s="46" t="str">
        <f>IF(Liste!O107&gt;0,Liste!O107,Liste!B107)</f>
        <v>Abdeckblech Aufdopplung mehrteilig V2A</v>
      </c>
      <c r="C107" s="2314"/>
      <c r="D107" s="30" t="str">
        <f>Liste!C107</f>
        <v>0338318</v>
      </c>
      <c r="E107" s="2314"/>
      <c r="F107" s="32">
        <f t="shared" si="8"/>
        <v>0</v>
      </c>
      <c r="G107" s="2314"/>
      <c r="H107" s="32">
        <f t="shared" si="9"/>
        <v>0</v>
      </c>
      <c r="I107" s="2314"/>
      <c r="J107" s="32">
        <f t="shared" si="10"/>
        <v>0</v>
      </c>
      <c r="K107" s="2314"/>
      <c r="L107" s="31">
        <f t="shared" si="11"/>
        <v>0</v>
      </c>
      <c r="M107" s="2314"/>
      <c r="N107" s="31" t="str">
        <f>Liste!L107</f>
        <v>Stk</v>
      </c>
      <c r="O107" s="31"/>
      <c r="P107" s="31"/>
      <c r="Q107" s="31">
        <f>Liste!P107</f>
        <v>0</v>
      </c>
      <c r="R107" s="31">
        <f>Liste!N107</f>
        <v>0</v>
      </c>
      <c r="S107" s="7">
        <v>0</v>
      </c>
      <c r="T107" s="7">
        <v>0</v>
      </c>
      <c r="U107" s="7">
        <v>0</v>
      </c>
      <c r="V107" s="7"/>
      <c r="W107" s="60"/>
      <c r="X107" s="60"/>
      <c r="Y107" s="60"/>
      <c r="Z107" s="7"/>
      <c r="AA107" s="7"/>
      <c r="AB107" s="60"/>
      <c r="AC107" s="60"/>
      <c r="AD107" s="60"/>
      <c r="AE107" s="7"/>
      <c r="AF107" s="7"/>
      <c r="AG107" s="7"/>
      <c r="AH107" s="7"/>
      <c r="AI107" s="7"/>
      <c r="AJ107" s="7">
        <f>Liste!X107</f>
        <v>0</v>
      </c>
      <c r="AK107" s="7">
        <f>Liste!Y107</f>
        <v>1</v>
      </c>
      <c r="AL107" s="7"/>
      <c r="AM107" s="7"/>
      <c r="AN107" s="7"/>
      <c r="AO107" s="1113">
        <f>Liste!D107</f>
        <v>0</v>
      </c>
      <c r="AP107" s="1113">
        <f>Liste!F107</f>
        <v>163.84</v>
      </c>
      <c r="AQ107" s="1113">
        <f>Liste!E107</f>
        <v>810</v>
      </c>
      <c r="AR107" s="1113">
        <f>Liste!G107</f>
        <v>0.8</v>
      </c>
      <c r="AS107" s="1112">
        <f>Liste!V107</f>
        <v>1</v>
      </c>
      <c r="AT107" s="1" t="str">
        <f>Liste!M107</f>
        <v>V2A blank</v>
      </c>
      <c r="AZ107" s="5" t="s">
        <v>174</v>
      </c>
      <c r="BA107" s="4" t="s">
        <v>101</v>
      </c>
      <c r="BB107" s="4">
        <v>611</v>
      </c>
      <c r="BD107" s="35"/>
      <c r="BE107" s="35"/>
      <c r="BF107" s="2118" t="str">
        <f>Liste!R107</f>
        <v>0701478</v>
      </c>
      <c r="BG107" s="2137">
        <f>IF(AS107&gt;0,Liste!S107,0)</f>
        <v>0</v>
      </c>
      <c r="BH107" s="2118" t="str">
        <f>Liste!T107</f>
        <v>m²</v>
      </c>
    </row>
    <row r="108" spans="1:60" ht="24.95" customHeight="1" x14ac:dyDescent="0.25">
      <c r="A108" s="29"/>
      <c r="B108" s="46" t="str">
        <f>IF(Liste!O108&gt;0,Liste!O108,Liste!B108)</f>
        <v>Abdeckblech Aufdopplung Endstück links verzinkt</v>
      </c>
      <c r="C108" s="2314"/>
      <c r="D108" s="30" t="str">
        <f>Liste!C108</f>
        <v>0308319</v>
      </c>
      <c r="E108" s="2314"/>
      <c r="F108" s="32">
        <f t="shared" si="8"/>
        <v>0</v>
      </c>
      <c r="G108" s="2314"/>
      <c r="H108" s="32">
        <f t="shared" si="9"/>
        <v>0</v>
      </c>
      <c r="I108" s="2314"/>
      <c r="J108" s="32">
        <f t="shared" si="10"/>
        <v>0</v>
      </c>
      <c r="K108" s="2314"/>
      <c r="L108" s="31">
        <f t="shared" si="11"/>
        <v>0</v>
      </c>
      <c r="M108" s="2314"/>
      <c r="N108" s="31" t="str">
        <f>Liste!L108</f>
        <v>Stk</v>
      </c>
      <c r="O108" s="31"/>
      <c r="P108" s="31"/>
      <c r="Q108" s="31">
        <f>Liste!P108</f>
        <v>0</v>
      </c>
      <c r="R108" s="31">
        <f>Liste!N108</f>
        <v>0</v>
      </c>
      <c r="S108" s="7">
        <v>0</v>
      </c>
      <c r="T108" s="7">
        <v>0</v>
      </c>
      <c r="U108" s="7">
        <v>0</v>
      </c>
      <c r="V108" s="7"/>
      <c r="W108" s="60"/>
      <c r="X108" s="60"/>
      <c r="Y108" s="60"/>
      <c r="Z108" s="7"/>
      <c r="AA108" s="7"/>
      <c r="AB108" s="60"/>
      <c r="AC108" s="60"/>
      <c r="AD108" s="60"/>
      <c r="AE108" s="7"/>
      <c r="AF108" s="7"/>
      <c r="AG108" s="7"/>
      <c r="AH108" s="7"/>
      <c r="AI108" s="7"/>
      <c r="AJ108" s="7">
        <f>Liste!X108</f>
        <v>0</v>
      </c>
      <c r="AK108" s="7">
        <f>Liste!Y108</f>
        <v>0</v>
      </c>
      <c r="AL108" s="7"/>
      <c r="AM108" s="7"/>
      <c r="AN108" s="7"/>
      <c r="AO108" s="1113">
        <f>Liste!D108</f>
        <v>0</v>
      </c>
      <c r="AP108" s="1113">
        <f>Liste!F108</f>
        <v>164.31</v>
      </c>
      <c r="AQ108" s="1113">
        <f>Liste!E108</f>
        <v>141.03</v>
      </c>
      <c r="AR108" s="1113">
        <f>Liste!G108</f>
        <v>0.75</v>
      </c>
      <c r="AS108" s="1112">
        <f>Liste!V108</f>
        <v>1</v>
      </c>
      <c r="AT108" s="1" t="str">
        <f>Liste!M108</f>
        <v>Stahlblech verz.</v>
      </c>
      <c r="AZ108" s="5" t="s">
        <v>175</v>
      </c>
      <c r="BA108" s="4" t="s">
        <v>101</v>
      </c>
      <c r="BB108" s="4">
        <v>612</v>
      </c>
      <c r="BD108" s="35"/>
      <c r="BE108" s="35"/>
      <c r="BF108" s="2118" t="str">
        <f>Liste!R108</f>
        <v>0701446</v>
      </c>
      <c r="BG108" s="2137">
        <f>IF(AS108&gt;0,Liste!S108,0)</f>
        <v>0</v>
      </c>
      <c r="BH108" s="2118" t="str">
        <f>Liste!T108</f>
        <v>m²</v>
      </c>
    </row>
    <row r="109" spans="1:60" ht="24.95" customHeight="1" x14ac:dyDescent="0.25">
      <c r="A109" s="29"/>
      <c r="B109" s="46" t="str">
        <f>IF(Liste!O109&gt;0,Liste!O109,Liste!B109)</f>
        <v>Abdeckblech Aufdopplung Endstück links V2A</v>
      </c>
      <c r="C109" s="2314"/>
      <c r="D109" s="30" t="str">
        <f>Liste!C109</f>
        <v>0338319</v>
      </c>
      <c r="E109" s="2314"/>
      <c r="F109" s="32">
        <f t="shared" si="8"/>
        <v>0</v>
      </c>
      <c r="G109" s="2314"/>
      <c r="H109" s="32">
        <f t="shared" si="9"/>
        <v>0</v>
      </c>
      <c r="I109" s="2314"/>
      <c r="J109" s="32">
        <f t="shared" si="10"/>
        <v>0</v>
      </c>
      <c r="K109" s="2314"/>
      <c r="L109" s="31">
        <f t="shared" si="11"/>
        <v>0</v>
      </c>
      <c r="M109" s="2314"/>
      <c r="N109" s="31" t="str">
        <f>Liste!L109</f>
        <v>Stk</v>
      </c>
      <c r="O109" s="31"/>
      <c r="P109" s="31"/>
      <c r="Q109" s="31">
        <f>Liste!P109</f>
        <v>0</v>
      </c>
      <c r="R109" s="31">
        <f>Liste!N109</f>
        <v>0</v>
      </c>
      <c r="S109" s="7">
        <v>0</v>
      </c>
      <c r="T109" s="7">
        <v>0</v>
      </c>
      <c r="U109" s="7">
        <v>0</v>
      </c>
      <c r="V109" s="7"/>
      <c r="W109" s="60"/>
      <c r="X109" s="60"/>
      <c r="Y109" s="60"/>
      <c r="Z109" s="7"/>
      <c r="AA109" s="7"/>
      <c r="AB109" s="60"/>
      <c r="AC109" s="60"/>
      <c r="AD109" s="60"/>
      <c r="AE109" s="7"/>
      <c r="AF109" s="7"/>
      <c r="AG109" s="7"/>
      <c r="AH109" s="7"/>
      <c r="AI109" s="7"/>
      <c r="AJ109" s="7">
        <f>Liste!X109</f>
        <v>0</v>
      </c>
      <c r="AK109" s="7">
        <f>Liste!Y109</f>
        <v>1</v>
      </c>
      <c r="AL109" s="7"/>
      <c r="AM109" s="7"/>
      <c r="AN109" s="7"/>
      <c r="AO109" s="1113">
        <f>Liste!D109</f>
        <v>0</v>
      </c>
      <c r="AP109" s="1113">
        <f>Liste!F109</f>
        <v>163.84</v>
      </c>
      <c r="AQ109" s="1113">
        <f>Liste!E109</f>
        <v>140.82</v>
      </c>
      <c r="AR109" s="1113">
        <f>Liste!G109</f>
        <v>0.8</v>
      </c>
      <c r="AS109" s="1112">
        <f>Liste!V109</f>
        <v>1</v>
      </c>
      <c r="AT109" s="1" t="str">
        <f>Liste!M109</f>
        <v>V2A blank</v>
      </c>
      <c r="AZ109" s="5" t="s">
        <v>176</v>
      </c>
      <c r="BA109" s="4" t="s">
        <v>101</v>
      </c>
      <c r="BB109" s="4">
        <v>613</v>
      </c>
      <c r="BD109" s="35"/>
      <c r="BE109" s="35"/>
      <c r="BF109" s="2118" t="str">
        <f>Liste!R109</f>
        <v>0701478</v>
      </c>
      <c r="BG109" s="2137">
        <f>IF(AS109&gt;0,Liste!S109,0)</f>
        <v>0</v>
      </c>
      <c r="BH109" s="2118" t="str">
        <f>Liste!T109</f>
        <v>m²</v>
      </c>
    </row>
    <row r="110" spans="1:60" ht="24.95" customHeight="1" x14ac:dyDescent="0.25">
      <c r="A110" s="29"/>
      <c r="B110" s="46" t="str">
        <f>IF(Liste!O110&gt;0,Liste!O110,Liste!B110)</f>
        <v>Abdeckblech Aufdopplung Endstück rechts verzinkt</v>
      </c>
      <c r="C110" s="2314"/>
      <c r="D110" s="30" t="str">
        <f>Liste!C110</f>
        <v>0308320</v>
      </c>
      <c r="E110" s="2314"/>
      <c r="F110" s="32">
        <f t="shared" si="8"/>
        <v>0</v>
      </c>
      <c r="G110" s="2314"/>
      <c r="H110" s="32">
        <f t="shared" si="9"/>
        <v>0</v>
      </c>
      <c r="I110" s="2314"/>
      <c r="J110" s="32">
        <f t="shared" si="10"/>
        <v>0</v>
      </c>
      <c r="K110" s="2314"/>
      <c r="L110" s="31">
        <f t="shared" si="11"/>
        <v>0</v>
      </c>
      <c r="M110" s="2314"/>
      <c r="N110" s="31" t="str">
        <f>Liste!L110</f>
        <v>Stk</v>
      </c>
      <c r="O110" s="31"/>
      <c r="P110" s="31"/>
      <c r="Q110" s="31">
        <f>Liste!P110</f>
        <v>0</v>
      </c>
      <c r="R110" s="31">
        <f>Liste!N110</f>
        <v>0</v>
      </c>
      <c r="S110" s="7">
        <v>0</v>
      </c>
      <c r="T110" s="7">
        <v>0</v>
      </c>
      <c r="U110" s="7">
        <v>0</v>
      </c>
      <c r="V110" s="7"/>
      <c r="W110" s="60"/>
      <c r="X110" s="60"/>
      <c r="Y110" s="60"/>
      <c r="Z110" s="7"/>
      <c r="AA110" s="7"/>
      <c r="AB110" s="60"/>
      <c r="AC110" s="60"/>
      <c r="AD110" s="60"/>
      <c r="AE110" s="7"/>
      <c r="AF110" s="7"/>
      <c r="AG110" s="7"/>
      <c r="AH110" s="7"/>
      <c r="AI110" s="7"/>
      <c r="AJ110" s="7">
        <f>Liste!X110</f>
        <v>0</v>
      </c>
      <c r="AK110" s="7">
        <f>Liste!Y110</f>
        <v>0</v>
      </c>
      <c r="AL110" s="7"/>
      <c r="AM110" s="7"/>
      <c r="AN110" s="7"/>
      <c r="AO110" s="1113">
        <f>Liste!D110</f>
        <v>0</v>
      </c>
      <c r="AP110" s="1113">
        <f>Liste!F110</f>
        <v>164.31</v>
      </c>
      <c r="AQ110" s="1113">
        <f>Liste!E110</f>
        <v>141.03</v>
      </c>
      <c r="AR110" s="1113">
        <f>Liste!G110</f>
        <v>0.75</v>
      </c>
      <c r="AS110" s="1112">
        <f>Liste!V110</f>
        <v>1</v>
      </c>
      <c r="AT110" s="1" t="str">
        <f>Liste!M110</f>
        <v>Stahlblech verz.</v>
      </c>
      <c r="AZ110" s="5" t="s">
        <v>177</v>
      </c>
      <c r="BA110" s="4" t="s">
        <v>101</v>
      </c>
      <c r="BB110" s="4">
        <v>614</v>
      </c>
      <c r="BD110" s="35"/>
      <c r="BE110" s="35"/>
      <c r="BF110" s="2118" t="str">
        <f>Liste!R110</f>
        <v>0701446</v>
      </c>
      <c r="BG110" s="2137">
        <f>IF(AS110&gt;0,Liste!S110,0)</f>
        <v>0</v>
      </c>
      <c r="BH110" s="2118" t="str">
        <f>Liste!T110</f>
        <v>m²</v>
      </c>
    </row>
    <row r="111" spans="1:60" ht="24.95" customHeight="1" x14ac:dyDescent="0.25">
      <c r="A111" s="29"/>
      <c r="B111" s="46" t="str">
        <f>IF(Liste!O111&gt;0,Liste!O111,Liste!B111)</f>
        <v>Abdeckblech Aufdopplung Endstück rechts V2A</v>
      </c>
      <c r="C111" s="2314"/>
      <c r="D111" s="30" t="str">
        <f>Liste!C111</f>
        <v>0338320</v>
      </c>
      <c r="E111" s="2314"/>
      <c r="F111" s="32">
        <f t="shared" si="8"/>
        <v>0</v>
      </c>
      <c r="G111" s="2314"/>
      <c r="H111" s="32">
        <f t="shared" si="9"/>
        <v>0</v>
      </c>
      <c r="I111" s="2314"/>
      <c r="J111" s="32">
        <f t="shared" si="10"/>
        <v>0</v>
      </c>
      <c r="K111" s="2314"/>
      <c r="L111" s="31">
        <f t="shared" si="11"/>
        <v>0</v>
      </c>
      <c r="M111" s="2314"/>
      <c r="N111" s="31" t="str">
        <f>Liste!L111</f>
        <v>Stk</v>
      </c>
      <c r="O111" s="31"/>
      <c r="P111" s="31"/>
      <c r="Q111" s="31">
        <f>Liste!P111</f>
        <v>0</v>
      </c>
      <c r="R111" s="31">
        <f>Liste!N111</f>
        <v>0</v>
      </c>
      <c r="S111" s="7">
        <v>0</v>
      </c>
      <c r="T111" s="7">
        <v>0</v>
      </c>
      <c r="U111" s="7">
        <v>0</v>
      </c>
      <c r="V111" s="7"/>
      <c r="W111" s="60"/>
      <c r="X111" s="60"/>
      <c r="Y111" s="60"/>
      <c r="Z111" s="7"/>
      <c r="AA111" s="7"/>
      <c r="AB111" s="60"/>
      <c r="AC111" s="60"/>
      <c r="AD111" s="60"/>
      <c r="AE111" s="7"/>
      <c r="AF111" s="7"/>
      <c r="AG111" s="7"/>
      <c r="AH111" s="7"/>
      <c r="AI111" s="7"/>
      <c r="AJ111" s="7">
        <f>Liste!X111</f>
        <v>0</v>
      </c>
      <c r="AK111" s="7">
        <f>Liste!Y111</f>
        <v>1</v>
      </c>
      <c r="AL111" s="7"/>
      <c r="AM111" s="7"/>
      <c r="AN111" s="7"/>
      <c r="AO111" s="1113">
        <f>Liste!D111</f>
        <v>0</v>
      </c>
      <c r="AP111" s="1113">
        <f>Liste!F111</f>
        <v>163.84</v>
      </c>
      <c r="AQ111" s="1113">
        <f>Liste!E111</f>
        <v>140.82</v>
      </c>
      <c r="AR111" s="1113">
        <f>Liste!G111</f>
        <v>0.8</v>
      </c>
      <c r="AS111" s="1112">
        <f>Liste!V111</f>
        <v>1</v>
      </c>
      <c r="AT111" s="1" t="str">
        <f>Liste!M111</f>
        <v>V2A blank</v>
      </c>
      <c r="AZ111" s="5" t="s">
        <v>178</v>
      </c>
      <c r="BA111" s="4" t="s">
        <v>101</v>
      </c>
      <c r="BB111" s="4">
        <v>615</v>
      </c>
      <c r="BD111" s="35"/>
      <c r="BE111" s="35"/>
      <c r="BF111" s="2118" t="str">
        <f>Liste!R111</f>
        <v>0701478</v>
      </c>
      <c r="BG111" s="2137">
        <f>IF(AS111&gt;0,Liste!S111,0)</f>
        <v>0</v>
      </c>
      <c r="BH111" s="2118" t="str">
        <f>Liste!T111</f>
        <v>m²</v>
      </c>
    </row>
    <row r="112" spans="1:60" ht="24.95" customHeight="1" x14ac:dyDescent="0.25">
      <c r="A112" s="29"/>
      <c r="B112" s="46" t="str">
        <f>IF(Liste!O112&gt;0,Liste!O112,Liste!B112)</f>
        <v>Abdeckblech Aufdopplung 150 einteilig verzinkt</v>
      </c>
      <c r="C112" s="2314"/>
      <c r="D112" s="30" t="str">
        <f>Liste!C112</f>
        <v>0308363</v>
      </c>
      <c r="E112" s="2314"/>
      <c r="F112" s="32">
        <f t="shared" si="8"/>
        <v>0</v>
      </c>
      <c r="G112" s="2314"/>
      <c r="H112" s="32">
        <f t="shared" si="9"/>
        <v>0</v>
      </c>
      <c r="I112" s="2314"/>
      <c r="J112" s="32">
        <f t="shared" si="10"/>
        <v>0</v>
      </c>
      <c r="K112" s="2314"/>
      <c r="L112" s="31">
        <f t="shared" si="11"/>
        <v>0</v>
      </c>
      <c r="M112" s="2314"/>
      <c r="N112" s="31" t="str">
        <f>Liste!L112</f>
        <v>Stk</v>
      </c>
      <c r="O112" s="31"/>
      <c r="P112" s="31"/>
      <c r="Q112" s="31">
        <f>Liste!P112</f>
        <v>0</v>
      </c>
      <c r="R112" s="31">
        <f>Liste!N112</f>
        <v>0</v>
      </c>
      <c r="S112" s="7">
        <v>0</v>
      </c>
      <c r="T112" s="7">
        <v>0</v>
      </c>
      <c r="U112" s="7">
        <v>0</v>
      </c>
      <c r="V112" s="7"/>
      <c r="W112" s="60"/>
      <c r="X112" s="60"/>
      <c r="Y112" s="60"/>
      <c r="Z112" s="7"/>
      <c r="AA112" s="7"/>
      <c r="AB112" s="60"/>
      <c r="AC112" s="60"/>
      <c r="AD112" s="60"/>
      <c r="AE112" s="7"/>
      <c r="AF112" s="7"/>
      <c r="AG112" s="7"/>
      <c r="AH112" s="7"/>
      <c r="AI112" s="7"/>
      <c r="AJ112" s="7">
        <f>Liste!X112</f>
        <v>0</v>
      </c>
      <c r="AK112" s="7">
        <f>Liste!Y112</f>
        <v>1</v>
      </c>
      <c r="AL112" s="7"/>
      <c r="AM112" s="7"/>
      <c r="AN112" s="7"/>
      <c r="AO112" s="1113">
        <f>Liste!D112</f>
        <v>0</v>
      </c>
      <c r="AP112" s="1113">
        <f>Liste!F112</f>
        <v>267.31</v>
      </c>
      <c r="AQ112" s="1113">
        <f>Liste!E112</f>
        <v>1378.06</v>
      </c>
      <c r="AR112" s="1113">
        <f>Liste!G112</f>
        <v>0.75</v>
      </c>
      <c r="AS112" s="1112">
        <f>Liste!V112</f>
        <v>1</v>
      </c>
      <c r="AT112" s="1" t="str">
        <f>Liste!M112</f>
        <v>Stahlblech verz.</v>
      </c>
      <c r="AZ112" s="5" t="s">
        <v>179</v>
      </c>
      <c r="BA112" s="4" t="s">
        <v>101</v>
      </c>
      <c r="BB112" s="4">
        <v>616</v>
      </c>
      <c r="BD112" s="35"/>
      <c r="BE112" s="35"/>
      <c r="BF112" s="2118" t="str">
        <f>Liste!R112</f>
        <v>0701446</v>
      </c>
      <c r="BG112" s="2137">
        <f>IF(AS112&gt;0,Liste!S112,0)</f>
        <v>0</v>
      </c>
      <c r="BH112" s="2118" t="str">
        <f>Liste!T112</f>
        <v>m²</v>
      </c>
    </row>
    <row r="113" spans="1:60" ht="24.95" customHeight="1" x14ac:dyDescent="0.25">
      <c r="A113" s="29"/>
      <c r="B113" s="46" t="str">
        <f>IF(Liste!O113&gt;0,Liste!O113,Liste!B113)</f>
        <v>Abdeckblech Aufdopplung 150 einteilig V2A</v>
      </c>
      <c r="C113" s="2314"/>
      <c r="D113" s="30" t="str">
        <f>Liste!C113</f>
        <v>0338363</v>
      </c>
      <c r="E113" s="2314"/>
      <c r="F113" s="32">
        <f t="shared" si="8"/>
        <v>0</v>
      </c>
      <c r="G113" s="2314"/>
      <c r="H113" s="32">
        <f t="shared" si="9"/>
        <v>0</v>
      </c>
      <c r="I113" s="2314"/>
      <c r="J113" s="32">
        <f t="shared" si="10"/>
        <v>0</v>
      </c>
      <c r="K113" s="2314"/>
      <c r="L113" s="31">
        <f t="shared" si="11"/>
        <v>0</v>
      </c>
      <c r="M113" s="2314"/>
      <c r="N113" s="31" t="str">
        <f>Liste!L113</f>
        <v>Stk</v>
      </c>
      <c r="O113" s="31"/>
      <c r="P113" s="31"/>
      <c r="Q113" s="31">
        <f>Liste!P113</f>
        <v>0</v>
      </c>
      <c r="R113" s="31">
        <f>Liste!N113</f>
        <v>0</v>
      </c>
      <c r="S113" s="7">
        <v>0</v>
      </c>
      <c r="T113" s="7">
        <v>0</v>
      </c>
      <c r="U113" s="7">
        <v>0</v>
      </c>
      <c r="V113" s="7"/>
      <c r="W113" s="60"/>
      <c r="X113" s="60"/>
      <c r="Y113" s="60"/>
      <c r="Z113" s="7"/>
      <c r="AA113" s="7"/>
      <c r="AB113" s="60"/>
      <c r="AC113" s="60"/>
      <c r="AD113" s="60"/>
      <c r="AE113" s="7"/>
      <c r="AF113" s="7"/>
      <c r="AG113" s="7"/>
      <c r="AH113" s="7"/>
      <c r="AI113" s="7"/>
      <c r="AJ113" s="7">
        <f>Liste!X113</f>
        <v>0</v>
      </c>
      <c r="AK113" s="7">
        <f>Liste!Y113</f>
        <v>1</v>
      </c>
      <c r="AL113" s="7"/>
      <c r="AM113" s="7"/>
      <c r="AN113" s="7"/>
      <c r="AO113" s="1113">
        <f>Liste!D113</f>
        <v>0</v>
      </c>
      <c r="AP113" s="1113">
        <f>Liste!F113</f>
        <v>266.83999999999997</v>
      </c>
      <c r="AQ113" s="1113">
        <f>Liste!E113</f>
        <v>1377.6399999999999</v>
      </c>
      <c r="AR113" s="1113">
        <f>Liste!G113</f>
        <v>0.8</v>
      </c>
      <c r="AS113" s="1112">
        <f>Liste!V113</f>
        <v>1</v>
      </c>
      <c r="AT113" s="1" t="str">
        <f>Liste!M113</f>
        <v>V2A blank</v>
      </c>
      <c r="AZ113" s="5" t="s">
        <v>180</v>
      </c>
      <c r="BA113" s="4" t="s">
        <v>101</v>
      </c>
      <c r="BB113" s="4">
        <v>617</v>
      </c>
      <c r="BD113" s="35"/>
      <c r="BE113" s="35"/>
      <c r="BF113" s="2118" t="str">
        <f>Liste!R113</f>
        <v>0701478</v>
      </c>
      <c r="BG113" s="2137">
        <f>IF(AS113&gt;0,Liste!S113,0)</f>
        <v>0</v>
      </c>
      <c r="BH113" s="2118" t="str">
        <f>Liste!T113</f>
        <v>m²</v>
      </c>
    </row>
    <row r="114" spans="1:60" ht="24.95" customHeight="1" x14ac:dyDescent="0.25">
      <c r="A114" s="29"/>
      <c r="B114" s="46" t="str">
        <f>IF(Liste!O114&gt;0,Liste!O114,Liste!B114)</f>
        <v>Abdeckblech Aufdopplung 150 mehrteilig verzinkt</v>
      </c>
      <c r="C114" s="2314"/>
      <c r="D114" s="30" t="str">
        <f>Liste!C114</f>
        <v>0308360</v>
      </c>
      <c r="E114" s="2314"/>
      <c r="F114" s="32">
        <f t="shared" si="8"/>
        <v>0</v>
      </c>
      <c r="G114" s="2314"/>
      <c r="H114" s="32">
        <f t="shared" si="9"/>
        <v>0</v>
      </c>
      <c r="I114" s="2314"/>
      <c r="J114" s="32">
        <f t="shared" si="10"/>
        <v>0</v>
      </c>
      <c r="K114" s="2314"/>
      <c r="L114" s="31">
        <f t="shared" si="11"/>
        <v>0</v>
      </c>
      <c r="M114" s="2314"/>
      <c r="N114" s="31" t="str">
        <f>Liste!L114</f>
        <v>Stk</v>
      </c>
      <c r="O114" s="31"/>
      <c r="P114" s="31"/>
      <c r="Q114" s="31">
        <f>Liste!P114</f>
        <v>0</v>
      </c>
      <c r="R114" s="31">
        <f>Liste!N114</f>
        <v>0</v>
      </c>
      <c r="S114" s="7">
        <v>0</v>
      </c>
      <c r="T114" s="7">
        <v>0</v>
      </c>
      <c r="U114" s="7">
        <v>0</v>
      </c>
      <c r="V114" s="7"/>
      <c r="W114" s="60"/>
      <c r="X114" s="60"/>
      <c r="Y114" s="60"/>
      <c r="Z114" s="7"/>
      <c r="AA114" s="7"/>
      <c r="AB114" s="60"/>
      <c r="AC114" s="60"/>
      <c r="AD114" s="60"/>
      <c r="AE114" s="7"/>
      <c r="AF114" s="7"/>
      <c r="AG114" s="7"/>
      <c r="AH114" s="7"/>
      <c r="AI114" s="7"/>
      <c r="AJ114" s="7">
        <f>Liste!X114</f>
        <v>0</v>
      </c>
      <c r="AK114" s="7">
        <f>Liste!Y114</f>
        <v>1</v>
      </c>
      <c r="AL114" s="7"/>
      <c r="AM114" s="7"/>
      <c r="AN114" s="7"/>
      <c r="AO114" s="1113">
        <f>Liste!D114</f>
        <v>0</v>
      </c>
      <c r="AP114" s="1113">
        <f>Liste!F114</f>
        <v>267.31</v>
      </c>
      <c r="AQ114" s="1113">
        <f>Liste!E114</f>
        <v>810</v>
      </c>
      <c r="AR114" s="1113">
        <f>Liste!G114</f>
        <v>0.75</v>
      </c>
      <c r="AS114" s="1112">
        <f>Liste!V114</f>
        <v>1</v>
      </c>
      <c r="AT114" s="1" t="str">
        <f>Liste!M114</f>
        <v>Stahlblech verz.</v>
      </c>
      <c r="AZ114" s="5" t="s">
        <v>181</v>
      </c>
      <c r="BA114" s="4" t="s">
        <v>101</v>
      </c>
      <c r="BB114" s="4">
        <v>618</v>
      </c>
      <c r="BD114" s="35"/>
      <c r="BE114" s="35"/>
      <c r="BF114" s="2118" t="str">
        <f>Liste!R114</f>
        <v>0701446</v>
      </c>
      <c r="BG114" s="2137">
        <f>IF(AS114&gt;0,Liste!S114,0)</f>
        <v>0</v>
      </c>
      <c r="BH114" s="2118" t="str">
        <f>Liste!T114</f>
        <v>m²</v>
      </c>
    </row>
    <row r="115" spans="1:60" ht="24.95" customHeight="1" x14ac:dyDescent="0.25">
      <c r="A115" s="29"/>
      <c r="B115" s="46" t="str">
        <f>IF(Liste!O115&gt;0,Liste!O115,Liste!B115)</f>
        <v>Abdeckblech Aufdopplung 150 mehrteilig V2A</v>
      </c>
      <c r="C115" s="2314"/>
      <c r="D115" s="30" t="str">
        <f>Liste!C115</f>
        <v>0338360</v>
      </c>
      <c r="E115" s="2314"/>
      <c r="F115" s="32">
        <f t="shared" si="8"/>
        <v>0</v>
      </c>
      <c r="G115" s="2314"/>
      <c r="H115" s="32">
        <f t="shared" si="9"/>
        <v>0</v>
      </c>
      <c r="I115" s="2314"/>
      <c r="J115" s="32">
        <f t="shared" si="10"/>
        <v>0</v>
      </c>
      <c r="K115" s="2314"/>
      <c r="L115" s="31">
        <f t="shared" si="11"/>
        <v>0</v>
      </c>
      <c r="M115" s="2314"/>
      <c r="N115" s="31" t="str">
        <f>Liste!L115</f>
        <v>Stk</v>
      </c>
      <c r="O115" s="31"/>
      <c r="P115" s="31"/>
      <c r="Q115" s="31">
        <f>Liste!P115</f>
        <v>0</v>
      </c>
      <c r="R115" s="31">
        <f>Liste!N115</f>
        <v>0</v>
      </c>
      <c r="S115" s="7">
        <v>0</v>
      </c>
      <c r="T115" s="7">
        <v>0</v>
      </c>
      <c r="U115" s="7">
        <v>0</v>
      </c>
      <c r="V115" s="7"/>
      <c r="W115" s="60"/>
      <c r="X115" s="60"/>
      <c r="Y115" s="60"/>
      <c r="Z115" s="7"/>
      <c r="AA115" s="7"/>
      <c r="AB115" s="60"/>
      <c r="AC115" s="60"/>
      <c r="AD115" s="60"/>
      <c r="AE115" s="7"/>
      <c r="AF115" s="7"/>
      <c r="AG115" s="7"/>
      <c r="AH115" s="7"/>
      <c r="AI115" s="7"/>
      <c r="AJ115" s="7">
        <f>Liste!X115</f>
        <v>0</v>
      </c>
      <c r="AK115" s="7">
        <f>Liste!Y115</f>
        <v>1</v>
      </c>
      <c r="AL115" s="7"/>
      <c r="AM115" s="7"/>
      <c r="AN115" s="7"/>
      <c r="AO115" s="1113">
        <f>Liste!D115</f>
        <v>0</v>
      </c>
      <c r="AP115" s="1113">
        <f>Liste!F115</f>
        <v>266.83999999999997</v>
      </c>
      <c r="AQ115" s="1113">
        <f>Liste!E115</f>
        <v>810</v>
      </c>
      <c r="AR115" s="1113">
        <f>Liste!G115</f>
        <v>0.8</v>
      </c>
      <c r="AS115" s="1112">
        <f>Liste!V115</f>
        <v>1</v>
      </c>
      <c r="AT115" s="1" t="str">
        <f>Liste!M115</f>
        <v>V2A blank</v>
      </c>
      <c r="AZ115" s="5" t="s">
        <v>182</v>
      </c>
      <c r="BA115" s="4" t="s">
        <v>101</v>
      </c>
      <c r="BB115" s="4">
        <v>619</v>
      </c>
      <c r="BD115" s="35"/>
      <c r="BE115" s="35"/>
      <c r="BF115" s="2118" t="str">
        <f>Liste!R115</f>
        <v>0701478</v>
      </c>
      <c r="BG115" s="2137">
        <f>IF(AS115&gt;0,Liste!S115,0)</f>
        <v>0</v>
      </c>
      <c r="BH115" s="2118" t="str">
        <f>Liste!T115</f>
        <v>m²</v>
      </c>
    </row>
    <row r="116" spans="1:60" ht="24.95" customHeight="1" x14ac:dyDescent="0.25">
      <c r="A116" s="29"/>
      <c r="B116" s="46" t="str">
        <f>IF(Liste!O116&gt;0,Liste!O116,Liste!B116)</f>
        <v>Abdeckblech Aufdopplung 150 Endstück links verzinkt</v>
      </c>
      <c r="C116" s="2314"/>
      <c r="D116" s="30" t="str">
        <f>Liste!C116</f>
        <v>0308361</v>
      </c>
      <c r="E116" s="2314"/>
      <c r="F116" s="32">
        <f t="shared" si="8"/>
        <v>0</v>
      </c>
      <c r="G116" s="2314"/>
      <c r="H116" s="32">
        <f t="shared" si="9"/>
        <v>0</v>
      </c>
      <c r="I116" s="2314"/>
      <c r="J116" s="32">
        <f t="shared" si="10"/>
        <v>0</v>
      </c>
      <c r="K116" s="2314"/>
      <c r="L116" s="31">
        <f t="shared" si="11"/>
        <v>0</v>
      </c>
      <c r="M116" s="2314"/>
      <c r="N116" s="31" t="str">
        <f>Liste!L116</f>
        <v>Stk</v>
      </c>
      <c r="O116" s="31"/>
      <c r="P116" s="31"/>
      <c r="Q116" s="31">
        <f>Liste!P116</f>
        <v>0</v>
      </c>
      <c r="R116" s="31">
        <f>Liste!N116</f>
        <v>0</v>
      </c>
      <c r="S116" s="7">
        <v>0</v>
      </c>
      <c r="T116" s="7">
        <v>0</v>
      </c>
      <c r="U116" s="7">
        <v>0</v>
      </c>
      <c r="V116" s="7"/>
      <c r="W116" s="60"/>
      <c r="X116" s="60"/>
      <c r="Y116" s="60"/>
      <c r="Z116" s="7"/>
      <c r="AA116" s="7"/>
      <c r="AB116" s="60"/>
      <c r="AC116" s="60"/>
      <c r="AD116" s="60"/>
      <c r="AE116" s="7"/>
      <c r="AF116" s="7"/>
      <c r="AG116" s="7"/>
      <c r="AH116" s="7"/>
      <c r="AI116" s="7"/>
      <c r="AJ116" s="7">
        <f>Liste!X116</f>
        <v>0</v>
      </c>
      <c r="AK116" s="7">
        <f>Liste!Y116</f>
        <v>0</v>
      </c>
      <c r="AL116" s="7"/>
      <c r="AM116" s="7"/>
      <c r="AN116" s="7"/>
      <c r="AO116" s="1113">
        <f>Liste!D116</f>
        <v>0</v>
      </c>
      <c r="AP116" s="1113">
        <f>Liste!F116</f>
        <v>267.31</v>
      </c>
      <c r="AQ116" s="1113">
        <f>Liste!E116</f>
        <v>224.03</v>
      </c>
      <c r="AR116" s="1113">
        <f>Liste!G116</f>
        <v>0.75</v>
      </c>
      <c r="AS116" s="1112">
        <f>Liste!V116</f>
        <v>1</v>
      </c>
      <c r="AT116" s="1" t="str">
        <f>Liste!M116</f>
        <v>Stahlblech verz.</v>
      </c>
      <c r="AZ116" s="5" t="s">
        <v>183</v>
      </c>
      <c r="BA116" s="4" t="s">
        <v>101</v>
      </c>
      <c r="BB116" s="4">
        <v>620</v>
      </c>
      <c r="BD116" s="35"/>
      <c r="BE116" s="35"/>
      <c r="BF116" s="2118" t="str">
        <f>Liste!R116</f>
        <v>0701446</v>
      </c>
      <c r="BG116" s="2137">
        <f>IF(AS116&gt;0,Liste!S116,0)</f>
        <v>0</v>
      </c>
      <c r="BH116" s="2118" t="str">
        <f>Liste!T116</f>
        <v>m²</v>
      </c>
    </row>
    <row r="117" spans="1:60" ht="24.95" customHeight="1" x14ac:dyDescent="0.25">
      <c r="A117" s="29"/>
      <c r="B117" s="46" t="str">
        <f>IF(Liste!O117&gt;0,Liste!O117,Liste!B117)</f>
        <v>Abdeckblech Aufdopplung 150 Endstück links V2A</v>
      </c>
      <c r="C117" s="2314"/>
      <c r="D117" s="30" t="str">
        <f>Liste!C117</f>
        <v>0338361</v>
      </c>
      <c r="E117" s="2314"/>
      <c r="F117" s="32">
        <f t="shared" si="8"/>
        <v>0</v>
      </c>
      <c r="G117" s="2314"/>
      <c r="H117" s="32">
        <f t="shared" si="9"/>
        <v>0</v>
      </c>
      <c r="I117" s="2314"/>
      <c r="J117" s="32">
        <f t="shared" si="10"/>
        <v>0</v>
      </c>
      <c r="K117" s="2314"/>
      <c r="L117" s="31">
        <f t="shared" si="11"/>
        <v>0</v>
      </c>
      <c r="M117" s="2314"/>
      <c r="N117" s="31" t="str">
        <f>Liste!L117</f>
        <v>Stk</v>
      </c>
      <c r="O117" s="31"/>
      <c r="P117" s="31"/>
      <c r="Q117" s="31">
        <f>Liste!P117</f>
        <v>0</v>
      </c>
      <c r="R117" s="31">
        <f>Liste!N117</f>
        <v>0</v>
      </c>
      <c r="S117" s="7">
        <v>0</v>
      </c>
      <c r="T117" s="7">
        <v>0</v>
      </c>
      <c r="U117" s="7">
        <v>0</v>
      </c>
      <c r="V117" s="7"/>
      <c r="W117" s="60"/>
      <c r="X117" s="60"/>
      <c r="Y117" s="60"/>
      <c r="Z117" s="7"/>
      <c r="AA117" s="7"/>
      <c r="AB117" s="60"/>
      <c r="AC117" s="60"/>
      <c r="AD117" s="60"/>
      <c r="AE117" s="7"/>
      <c r="AF117" s="7"/>
      <c r="AG117" s="7"/>
      <c r="AH117" s="7"/>
      <c r="AI117" s="7"/>
      <c r="AJ117" s="7">
        <f>Liste!X117</f>
        <v>0</v>
      </c>
      <c r="AK117" s="7">
        <f>Liste!Y117</f>
        <v>1</v>
      </c>
      <c r="AL117" s="7"/>
      <c r="AM117" s="7"/>
      <c r="AN117" s="7"/>
      <c r="AO117" s="1113">
        <f>Liste!D117</f>
        <v>0</v>
      </c>
      <c r="AP117" s="1113">
        <f>Liste!F117</f>
        <v>266.83999999999997</v>
      </c>
      <c r="AQ117" s="1113">
        <f>Liste!E117</f>
        <v>223.82</v>
      </c>
      <c r="AR117" s="1113">
        <f>Liste!G117</f>
        <v>0.8</v>
      </c>
      <c r="AS117" s="1112">
        <f>Liste!V117</f>
        <v>1</v>
      </c>
      <c r="AT117" s="1" t="str">
        <f>Liste!M117</f>
        <v>V2A blank</v>
      </c>
      <c r="AZ117" s="5" t="s">
        <v>184</v>
      </c>
      <c r="BA117" s="4" t="s">
        <v>101</v>
      </c>
      <c r="BB117" s="4">
        <v>621</v>
      </c>
      <c r="BD117" s="35"/>
      <c r="BE117" s="35"/>
      <c r="BF117" s="2118" t="str">
        <f>Liste!R117</f>
        <v>0701478</v>
      </c>
      <c r="BG117" s="2137">
        <f>IF(AS117&gt;0,Liste!S117,0)</f>
        <v>0</v>
      </c>
      <c r="BH117" s="2118" t="str">
        <f>Liste!T117</f>
        <v>m²</v>
      </c>
    </row>
    <row r="118" spans="1:60" ht="24.95" customHeight="1" x14ac:dyDescent="0.25">
      <c r="A118" s="29"/>
      <c r="B118" s="46" t="str">
        <f>IF(Liste!O118&gt;0,Liste!O118,Liste!B118)</f>
        <v>Abdeckblech Aufdopplung 150 Endstück rechts verzinkt</v>
      </c>
      <c r="C118" s="2314"/>
      <c r="D118" s="30" t="str">
        <f>Liste!C118</f>
        <v>0308362</v>
      </c>
      <c r="E118" s="2314"/>
      <c r="F118" s="32">
        <f t="shared" si="8"/>
        <v>0</v>
      </c>
      <c r="G118" s="2314"/>
      <c r="H118" s="32">
        <f t="shared" si="9"/>
        <v>0</v>
      </c>
      <c r="I118" s="2314"/>
      <c r="J118" s="32">
        <f t="shared" si="10"/>
        <v>0</v>
      </c>
      <c r="K118" s="2314"/>
      <c r="L118" s="31">
        <f t="shared" si="11"/>
        <v>0</v>
      </c>
      <c r="M118" s="2314"/>
      <c r="N118" s="31" t="str">
        <f>Liste!L118</f>
        <v>Stk</v>
      </c>
      <c r="O118" s="31"/>
      <c r="P118" s="31"/>
      <c r="Q118" s="31">
        <f>Liste!P118</f>
        <v>0</v>
      </c>
      <c r="R118" s="31">
        <f>Liste!N118</f>
        <v>0</v>
      </c>
      <c r="S118" s="7">
        <v>0</v>
      </c>
      <c r="T118" s="7">
        <v>0</v>
      </c>
      <c r="U118" s="7">
        <v>0</v>
      </c>
      <c r="V118" s="7"/>
      <c r="W118" s="60"/>
      <c r="X118" s="60"/>
      <c r="Y118" s="60"/>
      <c r="Z118" s="7"/>
      <c r="AA118" s="7"/>
      <c r="AB118" s="60"/>
      <c r="AC118" s="60"/>
      <c r="AD118" s="60"/>
      <c r="AE118" s="7"/>
      <c r="AF118" s="7"/>
      <c r="AG118" s="7"/>
      <c r="AH118" s="7"/>
      <c r="AI118" s="7"/>
      <c r="AJ118" s="7">
        <f>Liste!X118</f>
        <v>0</v>
      </c>
      <c r="AK118" s="7">
        <f>Liste!Y118</f>
        <v>0</v>
      </c>
      <c r="AL118" s="7"/>
      <c r="AM118" s="7"/>
      <c r="AN118" s="7"/>
      <c r="AO118" s="1113">
        <f>Liste!D118</f>
        <v>0</v>
      </c>
      <c r="AP118" s="1113">
        <f>Liste!F118</f>
        <v>267.31</v>
      </c>
      <c r="AQ118" s="1113">
        <f>Liste!E118</f>
        <v>224.03</v>
      </c>
      <c r="AR118" s="1113">
        <f>Liste!G118</f>
        <v>0.75</v>
      </c>
      <c r="AS118" s="1112">
        <f>Liste!V118</f>
        <v>1</v>
      </c>
      <c r="AT118" s="1" t="str">
        <f>Liste!M118</f>
        <v>Stahlblech verz.</v>
      </c>
      <c r="AZ118" s="5" t="s">
        <v>185</v>
      </c>
      <c r="BA118" s="4" t="s">
        <v>101</v>
      </c>
      <c r="BB118" s="4">
        <v>622</v>
      </c>
      <c r="BD118" s="35"/>
      <c r="BE118" s="35"/>
      <c r="BF118" s="2118" t="str">
        <f>Liste!R118</f>
        <v>0701446</v>
      </c>
      <c r="BG118" s="2137">
        <f>IF(AS118&gt;0,Liste!S118,0)</f>
        <v>0</v>
      </c>
      <c r="BH118" s="2118" t="str">
        <f>Liste!T118</f>
        <v>m²</v>
      </c>
    </row>
    <row r="119" spans="1:60" ht="24.95" customHeight="1" x14ac:dyDescent="0.25">
      <c r="A119" s="29"/>
      <c r="B119" s="46" t="str">
        <f>IF(Liste!O119&gt;0,Liste!O119,Liste!B119)</f>
        <v>Abdeckblech Aufdopplung 150 Endstück rechts V2A</v>
      </c>
      <c r="C119" s="2314"/>
      <c r="D119" s="30" t="str">
        <f>Liste!C119</f>
        <v>0338362</v>
      </c>
      <c r="E119" s="2314"/>
      <c r="F119" s="32">
        <f t="shared" si="8"/>
        <v>0</v>
      </c>
      <c r="G119" s="2314"/>
      <c r="H119" s="32">
        <f t="shared" si="9"/>
        <v>0</v>
      </c>
      <c r="I119" s="2314"/>
      <c r="J119" s="32">
        <f t="shared" si="10"/>
        <v>0</v>
      </c>
      <c r="K119" s="2314"/>
      <c r="L119" s="31">
        <f t="shared" si="11"/>
        <v>0</v>
      </c>
      <c r="M119" s="2314"/>
      <c r="N119" s="31" t="str">
        <f>Liste!L119</f>
        <v>Stk</v>
      </c>
      <c r="O119" s="31"/>
      <c r="P119" s="31"/>
      <c r="Q119" s="31">
        <f>Liste!P119</f>
        <v>0</v>
      </c>
      <c r="R119" s="31">
        <f>Liste!N119</f>
        <v>0</v>
      </c>
      <c r="S119" s="7">
        <v>0</v>
      </c>
      <c r="T119" s="7">
        <v>0</v>
      </c>
      <c r="U119" s="7">
        <v>0</v>
      </c>
      <c r="V119" s="7"/>
      <c r="W119" s="60"/>
      <c r="X119" s="60"/>
      <c r="Y119" s="60"/>
      <c r="Z119" s="7"/>
      <c r="AA119" s="7"/>
      <c r="AB119" s="60"/>
      <c r="AC119" s="60"/>
      <c r="AD119" s="60"/>
      <c r="AE119" s="7"/>
      <c r="AF119" s="7"/>
      <c r="AG119" s="7"/>
      <c r="AH119" s="7"/>
      <c r="AI119" s="7"/>
      <c r="AJ119" s="7">
        <f>Liste!X119</f>
        <v>0</v>
      </c>
      <c r="AK119" s="7">
        <f>Liste!Y119</f>
        <v>1</v>
      </c>
      <c r="AL119" s="7"/>
      <c r="AM119" s="7"/>
      <c r="AN119" s="7"/>
      <c r="AO119" s="1113">
        <f>Liste!D119</f>
        <v>0</v>
      </c>
      <c r="AP119" s="1113">
        <f>Liste!F119</f>
        <v>266.83999999999997</v>
      </c>
      <c r="AQ119" s="1113">
        <f>Liste!E119</f>
        <v>223.82</v>
      </c>
      <c r="AR119" s="1113">
        <f>Liste!G119</f>
        <v>0.8</v>
      </c>
      <c r="AS119" s="1112">
        <f>Liste!V119</f>
        <v>1</v>
      </c>
      <c r="AT119" s="1" t="str">
        <f>Liste!M119</f>
        <v>V2A blank</v>
      </c>
      <c r="AZ119" s="5" t="s">
        <v>186</v>
      </c>
      <c r="BA119" s="4" t="s">
        <v>101</v>
      </c>
      <c r="BB119" s="4">
        <v>623</v>
      </c>
      <c r="BD119" s="35"/>
      <c r="BE119" s="35"/>
      <c r="BF119" s="2118" t="str">
        <f>Liste!R119</f>
        <v>0701478</v>
      </c>
      <c r="BG119" s="2137">
        <f>IF(AS119&gt;0,Liste!S119,0)</f>
        <v>0</v>
      </c>
      <c r="BH119" s="2118" t="str">
        <f>Liste!T119</f>
        <v>m²</v>
      </c>
    </row>
    <row r="120" spans="1:60" ht="24.95" customHeight="1" x14ac:dyDescent="0.25">
      <c r="A120" s="29"/>
      <c r="B120" s="46" t="str">
        <f>IF(Liste!O120&gt;0,Liste!O120,Liste!B120)</f>
        <v>Abdeckblech Siko Endstück links verzinkt</v>
      </c>
      <c r="C120" s="2314"/>
      <c r="D120" s="30" t="str">
        <f>Liste!C120</f>
        <v>0308401</v>
      </c>
      <c r="E120" s="2314"/>
      <c r="F120" s="32">
        <f t="shared" si="8"/>
        <v>0</v>
      </c>
      <c r="G120" s="2314"/>
      <c r="H120" s="32">
        <f t="shared" si="9"/>
        <v>0</v>
      </c>
      <c r="I120" s="2314"/>
      <c r="J120" s="32">
        <f t="shared" si="10"/>
        <v>0</v>
      </c>
      <c r="K120" s="2314"/>
      <c r="L120" s="31">
        <f t="shared" si="11"/>
        <v>0</v>
      </c>
      <c r="M120" s="2314"/>
      <c r="N120" s="31" t="str">
        <f>Liste!L120</f>
        <v>Stk</v>
      </c>
      <c r="O120" s="31"/>
      <c r="P120" s="31"/>
      <c r="Q120" s="31">
        <f>Liste!P120</f>
        <v>0</v>
      </c>
      <c r="R120" s="31">
        <f>Liste!N120</f>
        <v>0</v>
      </c>
      <c r="S120" s="7">
        <v>0</v>
      </c>
      <c r="T120" s="7">
        <v>0</v>
      </c>
      <c r="U120" s="7">
        <v>0</v>
      </c>
      <c r="V120" s="7"/>
      <c r="W120" s="60"/>
      <c r="X120" s="60"/>
      <c r="Y120" s="60"/>
      <c r="Z120" s="7"/>
      <c r="AA120" s="7"/>
      <c r="AB120" s="60"/>
      <c r="AC120" s="60"/>
      <c r="AD120" s="60"/>
      <c r="AE120" s="7"/>
      <c r="AF120" s="7"/>
      <c r="AG120" s="7"/>
      <c r="AH120" s="7"/>
      <c r="AI120" s="7"/>
      <c r="AJ120" s="7">
        <f>Liste!X120</f>
        <v>0</v>
      </c>
      <c r="AK120" s="7">
        <f>Liste!Y120</f>
        <v>1</v>
      </c>
      <c r="AL120" s="7"/>
      <c r="AM120" s="7"/>
      <c r="AN120" s="7"/>
      <c r="AO120" s="1113">
        <f>Liste!D120</f>
        <v>0</v>
      </c>
      <c r="AP120" s="1113">
        <f>Liste!F120</f>
        <v>177.31</v>
      </c>
      <c r="AQ120" s="1113">
        <f>Liste!E120</f>
        <v>154.03</v>
      </c>
      <c r="AR120" s="1113">
        <f>Liste!G120</f>
        <v>0.75</v>
      </c>
      <c r="AS120" s="1112">
        <f>Liste!V120</f>
        <v>1</v>
      </c>
      <c r="AT120" s="1" t="str">
        <f>Liste!M120</f>
        <v>Stahlblech verz.</v>
      </c>
      <c r="AZ120" s="5" t="s">
        <v>187</v>
      </c>
      <c r="BA120" s="4" t="s">
        <v>101</v>
      </c>
      <c r="BB120" s="4">
        <v>624</v>
      </c>
      <c r="BD120" s="35"/>
      <c r="BE120" s="35"/>
      <c r="BF120" s="2118" t="str">
        <f>Liste!R120</f>
        <v>0701446</v>
      </c>
      <c r="BG120" s="2137">
        <f>IF(AS120&gt;0,Liste!S120,0)</f>
        <v>0</v>
      </c>
      <c r="BH120" s="2118" t="str">
        <f>Liste!T120</f>
        <v>m²</v>
      </c>
    </row>
    <row r="121" spans="1:60" ht="24.95" customHeight="1" x14ac:dyDescent="0.25">
      <c r="A121" s="29"/>
      <c r="B121" s="46" t="str">
        <f>IF(Liste!O121&gt;0,Liste!O121,Liste!B121)</f>
        <v>Abdeckblech Siko Endstück links V2A</v>
      </c>
      <c r="C121" s="2314"/>
      <c r="D121" s="30" t="str">
        <f>Liste!C121</f>
        <v>0338401</v>
      </c>
      <c r="E121" s="2314"/>
      <c r="F121" s="32">
        <f t="shared" si="8"/>
        <v>0</v>
      </c>
      <c r="G121" s="2314"/>
      <c r="H121" s="32">
        <f t="shared" si="9"/>
        <v>0</v>
      </c>
      <c r="I121" s="2314"/>
      <c r="J121" s="32">
        <f t="shared" si="10"/>
        <v>0</v>
      </c>
      <c r="K121" s="2314"/>
      <c r="L121" s="31">
        <f t="shared" si="11"/>
        <v>0</v>
      </c>
      <c r="M121" s="2314"/>
      <c r="N121" s="31" t="str">
        <f>Liste!L121</f>
        <v>Stk</v>
      </c>
      <c r="O121" s="31"/>
      <c r="P121" s="31"/>
      <c r="Q121" s="31">
        <f>Liste!P121</f>
        <v>0</v>
      </c>
      <c r="R121" s="31">
        <f>Liste!N121</f>
        <v>0</v>
      </c>
      <c r="S121" s="7">
        <v>0</v>
      </c>
      <c r="T121" s="7">
        <v>0</v>
      </c>
      <c r="U121" s="7">
        <v>0</v>
      </c>
      <c r="V121" s="7"/>
      <c r="W121" s="60"/>
      <c r="X121" s="60"/>
      <c r="Y121" s="60"/>
      <c r="Z121" s="7"/>
      <c r="AA121" s="7"/>
      <c r="AB121" s="60"/>
      <c r="AC121" s="60"/>
      <c r="AD121" s="60"/>
      <c r="AE121" s="7"/>
      <c r="AF121" s="7"/>
      <c r="AG121" s="7"/>
      <c r="AH121" s="7"/>
      <c r="AI121" s="7"/>
      <c r="AJ121" s="7">
        <f>Liste!X121</f>
        <v>0</v>
      </c>
      <c r="AK121" s="7">
        <f>Liste!Y121</f>
        <v>1</v>
      </c>
      <c r="AL121" s="7"/>
      <c r="AM121" s="7"/>
      <c r="AN121" s="7"/>
      <c r="AO121" s="1113">
        <f>Liste!D121</f>
        <v>0</v>
      </c>
      <c r="AP121" s="1113">
        <f>Liste!F121</f>
        <v>176.84</v>
      </c>
      <c r="AQ121" s="1113">
        <f>Liste!E121</f>
        <v>153.82</v>
      </c>
      <c r="AR121" s="1113">
        <f>Liste!G121</f>
        <v>0.8</v>
      </c>
      <c r="AS121" s="1112">
        <f>Liste!V121</f>
        <v>1</v>
      </c>
      <c r="AT121" s="1" t="str">
        <f>Liste!M121</f>
        <v>V2A blank</v>
      </c>
      <c r="AZ121" s="5" t="s">
        <v>188</v>
      </c>
      <c r="BA121" s="4" t="s">
        <v>101</v>
      </c>
      <c r="BB121" s="4">
        <v>625</v>
      </c>
      <c r="BD121" s="35"/>
      <c r="BE121" s="35"/>
      <c r="BF121" s="2118" t="str">
        <f>Liste!R121</f>
        <v>0701478</v>
      </c>
      <c r="BG121" s="2137">
        <f>IF(AS121&gt;0,Liste!S121,0)</f>
        <v>0</v>
      </c>
      <c r="BH121" s="2118" t="str">
        <f>Liste!T121</f>
        <v>m²</v>
      </c>
    </row>
    <row r="122" spans="1:60" ht="24.95" customHeight="1" x14ac:dyDescent="0.25">
      <c r="A122" s="29"/>
      <c r="B122" s="46" t="str">
        <f>IF(Liste!O122&gt;0,Liste!O122,Liste!B122)</f>
        <v>Abdeckblech Siko Endstück rechts verzinkt</v>
      </c>
      <c r="C122" s="2314"/>
      <c r="D122" s="30" t="str">
        <f>Liste!C122</f>
        <v>0308402</v>
      </c>
      <c r="E122" s="2314"/>
      <c r="F122" s="32">
        <f t="shared" si="8"/>
        <v>0</v>
      </c>
      <c r="G122" s="2314"/>
      <c r="H122" s="32">
        <f t="shared" si="9"/>
        <v>0</v>
      </c>
      <c r="I122" s="2314"/>
      <c r="J122" s="32">
        <f t="shared" si="10"/>
        <v>0</v>
      </c>
      <c r="K122" s="2314"/>
      <c r="L122" s="31">
        <f t="shared" si="11"/>
        <v>0</v>
      </c>
      <c r="M122" s="2314"/>
      <c r="N122" s="31" t="str">
        <f>Liste!L122</f>
        <v>Stk</v>
      </c>
      <c r="O122" s="31"/>
      <c r="P122" s="31"/>
      <c r="Q122" s="31">
        <f>Liste!P122</f>
        <v>0</v>
      </c>
      <c r="R122" s="31">
        <f>Liste!N122</f>
        <v>0</v>
      </c>
      <c r="S122" s="7">
        <v>0</v>
      </c>
      <c r="T122" s="7">
        <v>0</v>
      </c>
      <c r="U122" s="7">
        <v>0</v>
      </c>
      <c r="V122" s="7"/>
      <c r="W122" s="60"/>
      <c r="X122" s="60"/>
      <c r="Y122" s="60"/>
      <c r="Z122" s="7"/>
      <c r="AA122" s="7"/>
      <c r="AB122" s="60"/>
      <c r="AC122" s="60"/>
      <c r="AD122" s="60"/>
      <c r="AE122" s="7"/>
      <c r="AF122" s="7"/>
      <c r="AG122" s="7"/>
      <c r="AH122" s="7"/>
      <c r="AI122" s="7"/>
      <c r="AJ122" s="7">
        <f>Liste!X122</f>
        <v>0</v>
      </c>
      <c r="AK122" s="7">
        <f>Liste!Y122</f>
        <v>1</v>
      </c>
      <c r="AL122" s="7"/>
      <c r="AM122" s="7"/>
      <c r="AN122" s="7"/>
      <c r="AO122" s="1113">
        <f>Liste!D122</f>
        <v>0</v>
      </c>
      <c r="AP122" s="1113">
        <f>Liste!F122</f>
        <v>177.31</v>
      </c>
      <c r="AQ122" s="1113">
        <f>Liste!E122</f>
        <v>154.03</v>
      </c>
      <c r="AR122" s="1113">
        <f>Liste!G122</f>
        <v>0.75</v>
      </c>
      <c r="AS122" s="1112">
        <f>Liste!V122</f>
        <v>1</v>
      </c>
      <c r="AT122" s="1" t="str">
        <f>Liste!M122</f>
        <v>Stahlblech verz.</v>
      </c>
      <c r="AZ122" s="5" t="s">
        <v>189</v>
      </c>
      <c r="BA122" s="4" t="s">
        <v>101</v>
      </c>
      <c r="BB122" s="4">
        <v>626</v>
      </c>
      <c r="BD122" s="35"/>
      <c r="BE122" s="35"/>
      <c r="BF122" s="2118" t="str">
        <f>Liste!R122</f>
        <v>0701446</v>
      </c>
      <c r="BG122" s="2137">
        <f>IF(AS122&gt;0,Liste!S122,0)</f>
        <v>0</v>
      </c>
      <c r="BH122" s="2118" t="str">
        <f>Liste!T122</f>
        <v>m²</v>
      </c>
    </row>
    <row r="123" spans="1:60" ht="24.95" customHeight="1" x14ac:dyDescent="0.25">
      <c r="A123" s="29"/>
      <c r="B123" s="46" t="str">
        <f>IF(Liste!O123&gt;0,Liste!O123,Liste!B123)</f>
        <v>Abdeckblech Siko Endstück rechts V2A</v>
      </c>
      <c r="C123" s="2314"/>
      <c r="D123" s="30" t="str">
        <f>Liste!C123</f>
        <v>0338402</v>
      </c>
      <c r="E123" s="2314"/>
      <c r="F123" s="32">
        <f t="shared" si="8"/>
        <v>0</v>
      </c>
      <c r="G123" s="2314"/>
      <c r="H123" s="32">
        <f t="shared" si="9"/>
        <v>0</v>
      </c>
      <c r="I123" s="2314"/>
      <c r="J123" s="32">
        <f t="shared" si="10"/>
        <v>0</v>
      </c>
      <c r="K123" s="2314"/>
      <c r="L123" s="31">
        <f t="shared" si="11"/>
        <v>0</v>
      </c>
      <c r="M123" s="2314"/>
      <c r="N123" s="31" t="str">
        <f>Liste!L123</f>
        <v>Stk</v>
      </c>
      <c r="O123" s="31"/>
      <c r="P123" s="31"/>
      <c r="Q123" s="31">
        <f>Liste!P123</f>
        <v>0</v>
      </c>
      <c r="R123" s="31">
        <f>Liste!N123</f>
        <v>0</v>
      </c>
      <c r="S123" s="7">
        <v>0</v>
      </c>
      <c r="T123" s="7">
        <v>0</v>
      </c>
      <c r="U123" s="7">
        <v>0</v>
      </c>
      <c r="V123" s="7"/>
      <c r="W123" s="60"/>
      <c r="X123" s="60"/>
      <c r="Y123" s="60"/>
      <c r="Z123" s="7"/>
      <c r="AA123" s="7"/>
      <c r="AB123" s="60"/>
      <c r="AC123" s="60"/>
      <c r="AD123" s="60"/>
      <c r="AE123" s="7"/>
      <c r="AF123" s="7"/>
      <c r="AG123" s="7"/>
      <c r="AH123" s="7"/>
      <c r="AI123" s="7"/>
      <c r="AJ123" s="7">
        <f>Liste!X123</f>
        <v>0</v>
      </c>
      <c r="AK123" s="7">
        <f>Liste!Y123</f>
        <v>1</v>
      </c>
      <c r="AL123" s="7"/>
      <c r="AM123" s="7"/>
      <c r="AN123" s="7"/>
      <c r="AO123" s="1113">
        <f>Liste!D123</f>
        <v>0</v>
      </c>
      <c r="AP123" s="1113">
        <f>Liste!F123</f>
        <v>176.84</v>
      </c>
      <c r="AQ123" s="1113">
        <f>Liste!E123</f>
        <v>153.82</v>
      </c>
      <c r="AR123" s="1113">
        <f>Liste!G123</f>
        <v>0.8</v>
      </c>
      <c r="AS123" s="1112">
        <f>Liste!V123</f>
        <v>1</v>
      </c>
      <c r="AT123" s="1" t="str">
        <f>Liste!M123</f>
        <v>V2A blank</v>
      </c>
      <c r="AZ123" s="5" t="s">
        <v>190</v>
      </c>
      <c r="BA123" s="4" t="s">
        <v>101</v>
      </c>
      <c r="BB123" s="4">
        <v>627</v>
      </c>
      <c r="BD123" s="35"/>
      <c r="BE123" s="35"/>
      <c r="BF123" s="2118" t="str">
        <f>Liste!R123</f>
        <v>0701478</v>
      </c>
      <c r="BG123" s="2137">
        <f>IF(AS123&gt;0,Liste!S123,0)</f>
        <v>0</v>
      </c>
      <c r="BH123" s="2118" t="str">
        <f>Liste!T123</f>
        <v>m²</v>
      </c>
    </row>
    <row r="124" spans="1:60" ht="24.95" customHeight="1" x14ac:dyDescent="0.25">
      <c r="A124" s="29"/>
      <c r="B124" s="46" t="str">
        <f>IF(Liste!O124&gt;0,Liste!O124,Liste!B124)</f>
        <v>Abdeckblech Siko mehrteilig verzinkt</v>
      </c>
      <c r="C124" s="2314"/>
      <c r="D124" s="30" t="str">
        <f>Liste!C124</f>
        <v>0308403</v>
      </c>
      <c r="E124" s="2314"/>
      <c r="F124" s="32">
        <f t="shared" si="8"/>
        <v>0</v>
      </c>
      <c r="G124" s="2314"/>
      <c r="H124" s="32">
        <f t="shared" si="9"/>
        <v>0</v>
      </c>
      <c r="I124" s="2314"/>
      <c r="J124" s="32">
        <f t="shared" si="10"/>
        <v>0</v>
      </c>
      <c r="K124" s="2314"/>
      <c r="L124" s="31">
        <f t="shared" si="11"/>
        <v>0</v>
      </c>
      <c r="M124" s="2314"/>
      <c r="N124" s="31" t="str">
        <f>Liste!L124</f>
        <v>Stk</v>
      </c>
      <c r="O124" s="31"/>
      <c r="P124" s="31"/>
      <c r="Q124" s="31">
        <f>Liste!P124</f>
        <v>0</v>
      </c>
      <c r="R124" s="31">
        <f>Liste!N124</f>
        <v>0</v>
      </c>
      <c r="S124" s="7">
        <v>0</v>
      </c>
      <c r="T124" s="7">
        <v>0</v>
      </c>
      <c r="U124" s="7">
        <v>0</v>
      </c>
      <c r="V124" s="7"/>
      <c r="W124" s="60"/>
      <c r="X124" s="60"/>
      <c r="Y124" s="60"/>
      <c r="Z124" s="7"/>
      <c r="AA124" s="7"/>
      <c r="AB124" s="60"/>
      <c r="AC124" s="60"/>
      <c r="AD124" s="60"/>
      <c r="AE124" s="7"/>
      <c r="AF124" s="7"/>
      <c r="AG124" s="7"/>
      <c r="AH124" s="7"/>
      <c r="AI124" s="7"/>
      <c r="AJ124" s="7">
        <f>Liste!X124</f>
        <v>0</v>
      </c>
      <c r="AK124" s="7">
        <f>Liste!Y124</f>
        <v>1</v>
      </c>
      <c r="AL124" s="7"/>
      <c r="AM124" s="7"/>
      <c r="AN124" s="7"/>
      <c r="AO124" s="1113">
        <f>Liste!D124</f>
        <v>0</v>
      </c>
      <c r="AP124" s="1113">
        <f>Liste!F124</f>
        <v>177.31</v>
      </c>
      <c r="AQ124" s="1113">
        <f>Liste!E124</f>
        <v>810</v>
      </c>
      <c r="AR124" s="1113">
        <f>Liste!G124</f>
        <v>0.75</v>
      </c>
      <c r="AS124" s="1112">
        <f>Liste!V124</f>
        <v>1</v>
      </c>
      <c r="AT124" s="1" t="str">
        <f>Liste!M124</f>
        <v>Stahlblech verz.</v>
      </c>
      <c r="AZ124" s="5" t="s">
        <v>191</v>
      </c>
      <c r="BA124" s="4" t="s">
        <v>101</v>
      </c>
      <c r="BB124" s="4">
        <v>628</v>
      </c>
      <c r="BD124" s="35"/>
      <c r="BE124" s="35"/>
      <c r="BF124" s="2118" t="str">
        <f>Liste!R124</f>
        <v>0701446</v>
      </c>
      <c r="BG124" s="2137">
        <f>IF(AS124&gt;0,Liste!S124,0)</f>
        <v>0</v>
      </c>
      <c r="BH124" s="2118" t="str">
        <f>Liste!T124</f>
        <v>m²</v>
      </c>
    </row>
    <row r="125" spans="1:60" ht="24.95" customHeight="1" x14ac:dyDescent="0.25">
      <c r="A125" s="29"/>
      <c r="B125" s="46" t="str">
        <f>IF(Liste!O125&gt;0,Liste!O125,Liste!B125)</f>
        <v>Abdeckblech Siko mehrteilig V2A</v>
      </c>
      <c r="C125" s="2314"/>
      <c r="D125" s="30" t="str">
        <f>Liste!C125</f>
        <v>0338403</v>
      </c>
      <c r="E125" s="2314"/>
      <c r="F125" s="32">
        <f t="shared" si="8"/>
        <v>0</v>
      </c>
      <c r="G125" s="2314"/>
      <c r="H125" s="32">
        <f t="shared" si="9"/>
        <v>0</v>
      </c>
      <c r="I125" s="2314"/>
      <c r="J125" s="32">
        <f t="shared" si="10"/>
        <v>0</v>
      </c>
      <c r="K125" s="2314"/>
      <c r="L125" s="31">
        <f t="shared" si="11"/>
        <v>0</v>
      </c>
      <c r="M125" s="2314"/>
      <c r="N125" s="31" t="str">
        <f>Liste!L125</f>
        <v>Stk</v>
      </c>
      <c r="O125" s="31"/>
      <c r="P125" s="31"/>
      <c r="Q125" s="31">
        <f>Liste!P125</f>
        <v>0</v>
      </c>
      <c r="R125" s="31">
        <f>Liste!N125</f>
        <v>0</v>
      </c>
      <c r="S125" s="7">
        <v>0</v>
      </c>
      <c r="T125" s="7">
        <v>0</v>
      </c>
      <c r="U125" s="7">
        <v>0</v>
      </c>
      <c r="V125" s="7"/>
      <c r="W125" s="60"/>
      <c r="X125" s="60"/>
      <c r="Y125" s="60"/>
      <c r="Z125" s="7"/>
      <c r="AA125" s="7"/>
      <c r="AB125" s="60"/>
      <c r="AC125" s="60"/>
      <c r="AD125" s="60"/>
      <c r="AE125" s="7"/>
      <c r="AF125" s="7"/>
      <c r="AG125" s="7"/>
      <c r="AH125" s="7"/>
      <c r="AI125" s="7"/>
      <c r="AJ125" s="7">
        <f>Liste!X125</f>
        <v>0</v>
      </c>
      <c r="AK125" s="7">
        <f>Liste!Y125</f>
        <v>1</v>
      </c>
      <c r="AL125" s="7"/>
      <c r="AM125" s="7"/>
      <c r="AN125" s="7"/>
      <c r="AO125" s="1113">
        <f>Liste!D125</f>
        <v>0</v>
      </c>
      <c r="AP125" s="1113">
        <f>Liste!F125</f>
        <v>176.84</v>
      </c>
      <c r="AQ125" s="1113">
        <f>Liste!E125</f>
        <v>810</v>
      </c>
      <c r="AR125" s="1113">
        <f>Liste!G125</f>
        <v>0.8</v>
      </c>
      <c r="AS125" s="1112">
        <f>Liste!V125</f>
        <v>1</v>
      </c>
      <c r="AT125" s="1" t="str">
        <f>Liste!M125</f>
        <v>V2A blank</v>
      </c>
      <c r="AZ125" s="5" t="s">
        <v>192</v>
      </c>
      <c r="BA125" s="4" t="s">
        <v>101</v>
      </c>
      <c r="BB125" s="4">
        <v>629</v>
      </c>
      <c r="BD125" s="35"/>
      <c r="BE125" s="35"/>
      <c r="BF125" s="2118" t="str">
        <f>Liste!R125</f>
        <v>0701478</v>
      </c>
      <c r="BG125" s="2137">
        <f>IF(AS125&gt;0,Liste!S125,0)</f>
        <v>0</v>
      </c>
      <c r="BH125" s="2118" t="str">
        <f>Liste!T125</f>
        <v>m²</v>
      </c>
    </row>
    <row r="126" spans="1:60" ht="24.95" customHeight="1" x14ac:dyDescent="0.25">
      <c r="A126" s="29"/>
      <c r="B126" s="46" t="str">
        <f>IF(Liste!O126&gt;0,Liste!O126,Liste!B126)</f>
        <v>Schieberelementblechinnenlage verzinkt GCC (Element unten)</v>
      </c>
      <c r="C126" s="2314"/>
      <c r="D126" s="30" t="str">
        <f>Liste!C126</f>
        <v>0308337</v>
      </c>
      <c r="E126" s="2314"/>
      <c r="F126" s="32">
        <f t="shared" si="8"/>
        <v>0</v>
      </c>
      <c r="G126" s="2314"/>
      <c r="H126" s="32">
        <f t="shared" si="9"/>
        <v>0</v>
      </c>
      <c r="I126" s="2314"/>
      <c r="J126" s="32">
        <f t="shared" si="10"/>
        <v>0</v>
      </c>
      <c r="K126" s="2314"/>
      <c r="L126" s="31">
        <f t="shared" si="11"/>
        <v>0</v>
      </c>
      <c r="M126" s="2314"/>
      <c r="N126" s="31" t="str">
        <f>Liste!L126</f>
        <v>Stk</v>
      </c>
      <c r="O126" s="31"/>
      <c r="P126" s="31"/>
      <c r="Q126" s="31">
        <f>Liste!P126</f>
        <v>0</v>
      </c>
      <c r="R126" s="31" t="str">
        <f>Liste!N126</f>
        <v>Zuschnitt</v>
      </c>
      <c r="S126" s="7">
        <v>0</v>
      </c>
      <c r="T126" s="7">
        <v>0</v>
      </c>
      <c r="U126" s="7">
        <v>0</v>
      </c>
      <c r="V126" s="7"/>
      <c r="W126" s="60"/>
      <c r="X126" s="60"/>
      <c r="Y126" s="60"/>
      <c r="Z126" s="7"/>
      <c r="AA126" s="7"/>
      <c r="AB126" s="60"/>
      <c r="AC126" s="60"/>
      <c r="AD126" s="60"/>
      <c r="AE126" s="7"/>
      <c r="AF126" s="7"/>
      <c r="AG126" s="7"/>
      <c r="AH126" s="7"/>
      <c r="AI126" s="7"/>
      <c r="AJ126" s="7">
        <f>Liste!X126</f>
        <v>0</v>
      </c>
      <c r="AK126" s="7">
        <f>Liste!Y126</f>
        <v>1</v>
      </c>
      <c r="AL126" s="7"/>
      <c r="AM126" s="7"/>
      <c r="AN126" s="7"/>
      <c r="AO126" s="1113">
        <f>Liste!D126</f>
        <v>0</v>
      </c>
      <c r="AP126" s="1113">
        <f>Liste!F126</f>
        <v>261</v>
      </c>
      <c r="AQ126" s="1113">
        <f>Liste!E126</f>
        <v>1080</v>
      </c>
      <c r="AR126" s="1113">
        <f>Liste!G126</f>
        <v>1</v>
      </c>
      <c r="AS126" s="1112">
        <f>Liste!V126</f>
        <v>1</v>
      </c>
      <c r="AT126" s="1" t="str">
        <f>Liste!M126</f>
        <v>1.0250(S320GD+Z275MA-C)</v>
      </c>
      <c r="AZ126" s="5" t="s">
        <v>193</v>
      </c>
      <c r="BA126" s="4" t="s">
        <v>101</v>
      </c>
      <c r="BB126" s="4">
        <v>630</v>
      </c>
      <c r="BD126" s="35"/>
      <c r="BE126" s="35"/>
      <c r="BF126" s="2118" t="str">
        <f>Liste!R126</f>
        <v>0701544</v>
      </c>
      <c r="BG126" s="2137">
        <f>IF(AS126&gt;0,Liste!S126,0)</f>
        <v>0</v>
      </c>
      <c r="BH126" s="2118" t="str">
        <f>Liste!T126</f>
        <v>m²</v>
      </c>
    </row>
    <row r="127" spans="1:60" ht="24.95" customHeight="1" x14ac:dyDescent="0.25">
      <c r="A127" s="29"/>
      <c r="B127" s="46" t="str">
        <f>IF(Liste!O127&gt;0,Liste!O127,Liste!B127)</f>
        <v>Schieberelementblechinnenlage V2A GCC (Element unten)</v>
      </c>
      <c r="C127" s="2314"/>
      <c r="D127" s="30" t="str">
        <f>Liste!C127</f>
        <v>0338337</v>
      </c>
      <c r="E127" s="2314"/>
      <c r="F127" s="32">
        <f t="shared" si="8"/>
        <v>0</v>
      </c>
      <c r="G127" s="2314"/>
      <c r="H127" s="32">
        <f t="shared" si="9"/>
        <v>0</v>
      </c>
      <c r="I127" s="2314"/>
      <c r="J127" s="32">
        <f t="shared" si="10"/>
        <v>0</v>
      </c>
      <c r="K127" s="2314"/>
      <c r="L127" s="31">
        <f t="shared" si="11"/>
        <v>0</v>
      </c>
      <c r="M127" s="2314"/>
      <c r="N127" s="31" t="str">
        <f>Liste!L127</f>
        <v>Stk</v>
      </c>
      <c r="O127" s="31"/>
      <c r="P127" s="31"/>
      <c r="Q127" s="31">
        <f>Liste!P127</f>
        <v>0</v>
      </c>
      <c r="R127" s="31" t="str">
        <f>Liste!N127</f>
        <v>Zuschnitt</v>
      </c>
      <c r="S127" s="7">
        <v>0</v>
      </c>
      <c r="T127" s="7">
        <v>0</v>
      </c>
      <c r="U127" s="7">
        <v>0</v>
      </c>
      <c r="V127" s="7"/>
      <c r="W127" s="60"/>
      <c r="X127" s="60"/>
      <c r="Y127" s="60"/>
      <c r="Z127" s="7"/>
      <c r="AA127" s="7"/>
      <c r="AB127" s="60"/>
      <c r="AC127" s="60"/>
      <c r="AD127" s="60"/>
      <c r="AE127" s="7"/>
      <c r="AF127" s="7"/>
      <c r="AG127" s="7"/>
      <c r="AH127" s="7"/>
      <c r="AI127" s="7"/>
      <c r="AJ127" s="7">
        <f>Liste!X127</f>
        <v>0</v>
      </c>
      <c r="AK127" s="7">
        <f>Liste!Y127</f>
        <v>1</v>
      </c>
      <c r="AL127" s="7"/>
      <c r="AM127" s="7"/>
      <c r="AN127" s="7"/>
      <c r="AO127" s="1113">
        <f>Liste!D127</f>
        <v>0</v>
      </c>
      <c r="AP127" s="1113">
        <f>Liste!F127</f>
        <v>261</v>
      </c>
      <c r="AQ127" s="1113">
        <f>Liste!E127</f>
        <v>1080</v>
      </c>
      <c r="AR127" s="1113">
        <f>Liste!G127</f>
        <v>1</v>
      </c>
      <c r="AS127" s="1112">
        <f>Liste!V127</f>
        <v>1</v>
      </c>
      <c r="AT127" s="1" t="str">
        <f>Liste!M127</f>
        <v>V2A blank</v>
      </c>
      <c r="AZ127" s="5" t="s">
        <v>194</v>
      </c>
      <c r="BA127" s="4" t="s">
        <v>101</v>
      </c>
      <c r="BB127" s="4">
        <v>631</v>
      </c>
      <c r="BD127" s="35"/>
      <c r="BE127" s="35"/>
      <c r="BF127" s="2118" t="str">
        <f>Liste!R127</f>
        <v>0701479</v>
      </c>
      <c r="BG127" s="2137">
        <f>IF(AS127&gt;0,Liste!S127,0)</f>
        <v>0</v>
      </c>
      <c r="BH127" s="2118" t="str">
        <f>Liste!T127</f>
        <v>m²</v>
      </c>
    </row>
    <row r="128" spans="1:60" ht="24.95" customHeight="1" x14ac:dyDescent="0.25">
      <c r="A128" s="29"/>
      <c r="B128" s="46" t="str">
        <f>IF(Liste!O128&gt;0,Liste!O128,Liste!B128)</f>
        <v>Verkleidungsblech verzinkt GCC (Schieberelement unten vorn r0)</v>
      </c>
      <c r="C128" s="2314"/>
      <c r="D128" s="30" t="str">
        <f>Liste!C128</f>
        <v>0308338</v>
      </c>
      <c r="E128" s="2314"/>
      <c r="F128" s="32">
        <f t="shared" si="8"/>
        <v>0</v>
      </c>
      <c r="G128" s="2314"/>
      <c r="H128" s="32">
        <f t="shared" si="9"/>
        <v>0</v>
      </c>
      <c r="I128" s="2314"/>
      <c r="J128" s="32">
        <f t="shared" si="10"/>
        <v>0</v>
      </c>
      <c r="K128" s="2314"/>
      <c r="L128" s="31">
        <f t="shared" si="11"/>
        <v>0</v>
      </c>
      <c r="M128" s="2314"/>
      <c r="N128" s="31" t="str">
        <f>Liste!L128</f>
        <v>Stk</v>
      </c>
      <c r="O128" s="31"/>
      <c r="P128" s="31"/>
      <c r="Q128" s="31">
        <f>Liste!P128</f>
        <v>0</v>
      </c>
      <c r="R128" s="31" t="str">
        <f>Liste!N128</f>
        <v>Zuschnitt</v>
      </c>
      <c r="S128" s="7">
        <v>0</v>
      </c>
      <c r="T128" s="7">
        <v>0</v>
      </c>
      <c r="U128" s="7">
        <v>0</v>
      </c>
      <c r="V128" s="7"/>
      <c r="W128" s="60"/>
      <c r="X128" s="60"/>
      <c r="Y128" s="60"/>
      <c r="Z128" s="7"/>
      <c r="AA128" s="7"/>
      <c r="AB128" s="60"/>
      <c r="AC128" s="60"/>
      <c r="AD128" s="60"/>
      <c r="AE128" s="7"/>
      <c r="AF128" s="7"/>
      <c r="AG128" s="7"/>
      <c r="AH128" s="7"/>
      <c r="AI128" s="7"/>
      <c r="AJ128" s="7">
        <f>Liste!X128</f>
        <v>0</v>
      </c>
      <c r="AK128" s="7">
        <f>Liste!Y128</f>
        <v>1</v>
      </c>
      <c r="AL128" s="7"/>
      <c r="AM128" s="7"/>
      <c r="AN128" s="7"/>
      <c r="AO128" s="1113">
        <f>Liste!D128</f>
        <v>0</v>
      </c>
      <c r="AP128" s="1113">
        <f>Liste!F128</f>
        <v>186</v>
      </c>
      <c r="AQ128" s="1113">
        <f>Liste!E128</f>
        <v>1080</v>
      </c>
      <c r="AR128" s="1113">
        <f>Liste!G128</f>
        <v>0.75</v>
      </c>
      <c r="AS128" s="1112">
        <f>Liste!V128</f>
        <v>1</v>
      </c>
      <c r="AT128" s="1" t="str">
        <f>Liste!M128</f>
        <v>Stahlblech verz.</v>
      </c>
      <c r="AZ128" s="5" t="s">
        <v>195</v>
      </c>
      <c r="BA128" s="4" t="s">
        <v>101</v>
      </c>
      <c r="BB128" s="4">
        <v>632</v>
      </c>
      <c r="BD128" s="35"/>
      <c r="BE128" s="35"/>
      <c r="BF128" s="2118" t="str">
        <f>Liste!R128</f>
        <v>0701446</v>
      </c>
      <c r="BG128" s="2137">
        <f>IF(AS128&gt;0,Liste!S128,0)</f>
        <v>0</v>
      </c>
      <c r="BH128" s="2118" t="str">
        <f>Liste!T128</f>
        <v>m²</v>
      </c>
    </row>
    <row r="129" spans="1:60" ht="24.95" customHeight="1" x14ac:dyDescent="0.25">
      <c r="A129" s="29"/>
      <c r="B129" s="46" t="str">
        <f>IF(Liste!O129&gt;0,Liste!O129,Liste!B129)</f>
        <v>Verkleidungsblech V2A GCC (Schieberelement unten vorn r0)</v>
      </c>
      <c r="C129" s="2314"/>
      <c r="D129" s="30" t="str">
        <f>Liste!C129</f>
        <v>0338338</v>
      </c>
      <c r="E129" s="2314"/>
      <c r="F129" s="32">
        <f t="shared" si="8"/>
        <v>0</v>
      </c>
      <c r="G129" s="2314"/>
      <c r="H129" s="32">
        <f t="shared" si="9"/>
        <v>0</v>
      </c>
      <c r="I129" s="2314"/>
      <c r="J129" s="32">
        <f t="shared" si="10"/>
        <v>0</v>
      </c>
      <c r="K129" s="2314"/>
      <c r="L129" s="31">
        <f t="shared" si="11"/>
        <v>0</v>
      </c>
      <c r="M129" s="2314"/>
      <c r="N129" s="31" t="str">
        <f>Liste!L129</f>
        <v>Stk</v>
      </c>
      <c r="O129" s="31"/>
      <c r="P129" s="31"/>
      <c r="Q129" s="31">
        <f>Liste!P129</f>
        <v>0</v>
      </c>
      <c r="R129" s="31" t="str">
        <f>Liste!N129</f>
        <v>Zuschnitt</v>
      </c>
      <c r="S129" s="7">
        <v>0</v>
      </c>
      <c r="T129" s="7">
        <v>0</v>
      </c>
      <c r="U129" s="7">
        <v>0</v>
      </c>
      <c r="V129" s="7"/>
      <c r="W129" s="60"/>
      <c r="X129" s="60"/>
      <c r="Y129" s="60"/>
      <c r="Z129" s="7"/>
      <c r="AA129" s="7"/>
      <c r="AB129" s="60"/>
      <c r="AC129" s="60"/>
      <c r="AD129" s="60"/>
      <c r="AE129" s="7"/>
      <c r="AF129" s="7"/>
      <c r="AG129" s="7"/>
      <c r="AH129" s="7"/>
      <c r="AI129" s="7"/>
      <c r="AJ129" s="7">
        <f>Liste!X129</f>
        <v>0</v>
      </c>
      <c r="AK129" s="7">
        <f>Liste!Y129</f>
        <v>1</v>
      </c>
      <c r="AL129" s="7"/>
      <c r="AM129" s="7"/>
      <c r="AN129" s="7"/>
      <c r="AO129" s="1113">
        <f>Liste!D129</f>
        <v>0</v>
      </c>
      <c r="AP129" s="1113">
        <f>Liste!F129</f>
        <v>186</v>
      </c>
      <c r="AQ129" s="1113">
        <f>Liste!E129</f>
        <v>1080</v>
      </c>
      <c r="AR129" s="1113">
        <f>Liste!G129</f>
        <v>0.8</v>
      </c>
      <c r="AS129" s="1112">
        <f>Liste!V129</f>
        <v>1</v>
      </c>
      <c r="AT129" s="1" t="str">
        <f>Liste!M129</f>
        <v>V2A blank</v>
      </c>
      <c r="AZ129" s="5" t="s">
        <v>196</v>
      </c>
      <c r="BA129" s="4" t="s">
        <v>101</v>
      </c>
      <c r="BB129" s="4">
        <v>633</v>
      </c>
      <c r="BD129" s="35"/>
      <c r="BE129" s="35"/>
      <c r="BF129" s="2118" t="str">
        <f>Liste!R129</f>
        <v>0701478</v>
      </c>
      <c r="BG129" s="2137">
        <f>IF(AS129&gt;0,Liste!S129,0)</f>
        <v>0</v>
      </c>
      <c r="BH129" s="2118" t="str">
        <f>Liste!T129</f>
        <v>m²</v>
      </c>
    </row>
    <row r="130" spans="1:60" ht="24.95" customHeight="1" x14ac:dyDescent="0.25">
      <c r="A130" s="29"/>
      <c r="B130" s="46" t="str">
        <f>IF(Liste!O130&gt;0,Liste!O130,Liste!B130)</f>
        <v>Verkleidungsblech Schieberelement unten vorn Aufdopplung verzinkt</v>
      </c>
      <c r="C130" s="2314"/>
      <c r="D130" s="30" t="str">
        <f>Liste!C130</f>
        <v>0308303</v>
      </c>
      <c r="E130" s="2314"/>
      <c r="F130" s="32">
        <f t="shared" si="8"/>
        <v>0</v>
      </c>
      <c r="G130" s="2314"/>
      <c r="H130" s="32">
        <f t="shared" si="9"/>
        <v>0</v>
      </c>
      <c r="I130" s="2314"/>
      <c r="J130" s="32">
        <f t="shared" si="10"/>
        <v>0</v>
      </c>
      <c r="K130" s="2314"/>
      <c r="L130" s="31">
        <f t="shared" si="11"/>
        <v>0</v>
      </c>
      <c r="M130" s="2314"/>
      <c r="N130" s="31" t="str">
        <f>Liste!L130</f>
        <v>Stk</v>
      </c>
      <c r="O130" s="31"/>
      <c r="P130" s="31"/>
      <c r="Q130" s="31">
        <f>Liste!P130</f>
        <v>0</v>
      </c>
      <c r="R130" s="31">
        <f>Liste!N130</f>
        <v>0</v>
      </c>
      <c r="S130" s="7">
        <v>0</v>
      </c>
      <c r="T130" s="7">
        <v>0</v>
      </c>
      <c r="U130" s="7">
        <v>0</v>
      </c>
      <c r="V130" s="7"/>
      <c r="W130" s="60"/>
      <c r="X130" s="60"/>
      <c r="Y130" s="60"/>
      <c r="Z130" s="7"/>
      <c r="AA130" s="7"/>
      <c r="AB130" s="60"/>
      <c r="AC130" s="60"/>
      <c r="AD130" s="60"/>
      <c r="AE130" s="7"/>
      <c r="AF130" s="7"/>
      <c r="AG130" s="7"/>
      <c r="AH130" s="7"/>
      <c r="AI130" s="7"/>
      <c r="AJ130" s="7">
        <f>Liste!X130</f>
        <v>0</v>
      </c>
      <c r="AK130" s="7">
        <f>Liste!Y130</f>
        <v>1</v>
      </c>
      <c r="AL130" s="7"/>
      <c r="AM130" s="7"/>
      <c r="AN130" s="7"/>
      <c r="AO130" s="1113">
        <f>Liste!D130</f>
        <v>0</v>
      </c>
      <c r="AP130" s="1113">
        <f>Liste!F130</f>
        <v>186</v>
      </c>
      <c r="AQ130" s="1113">
        <f>Liste!E130</f>
        <v>1080</v>
      </c>
      <c r="AR130" s="1113">
        <f>Liste!G130</f>
        <v>0.75</v>
      </c>
      <c r="AS130" s="1112">
        <f>Liste!V130</f>
        <v>1</v>
      </c>
      <c r="AT130" s="1" t="str">
        <f>Liste!M130</f>
        <v>Stahlblech verz.</v>
      </c>
      <c r="AZ130" s="5" t="s">
        <v>197</v>
      </c>
      <c r="BA130" s="4" t="s">
        <v>101</v>
      </c>
      <c r="BB130" s="4">
        <v>634</v>
      </c>
      <c r="BD130" s="35"/>
      <c r="BE130" s="35"/>
      <c r="BF130" s="2118" t="str">
        <f>Liste!R130</f>
        <v>0701446</v>
      </c>
      <c r="BG130" s="2137">
        <f>IF(AS130&gt;0,Liste!S130,0)</f>
        <v>0</v>
      </c>
      <c r="BH130" s="2118" t="str">
        <f>Liste!T130</f>
        <v>m²</v>
      </c>
    </row>
    <row r="131" spans="1:60" ht="24.95" customHeight="1" x14ac:dyDescent="0.25">
      <c r="A131" s="29"/>
      <c r="B131" s="46" t="str">
        <f>IF(Liste!O131&gt;0,Liste!O131,Liste!B131)</f>
        <v>Verkleidungsblech Schieberelement unten vorn Aufdopplung V2A</v>
      </c>
      <c r="C131" s="2314"/>
      <c r="D131" s="30" t="str">
        <f>Liste!C131</f>
        <v>0338303</v>
      </c>
      <c r="E131" s="2314"/>
      <c r="F131" s="32">
        <f t="shared" si="8"/>
        <v>0</v>
      </c>
      <c r="G131" s="2314"/>
      <c r="H131" s="32">
        <f t="shared" si="9"/>
        <v>0</v>
      </c>
      <c r="I131" s="2314"/>
      <c r="J131" s="32">
        <f t="shared" si="10"/>
        <v>0</v>
      </c>
      <c r="K131" s="2314"/>
      <c r="L131" s="31">
        <f t="shared" si="11"/>
        <v>0</v>
      </c>
      <c r="M131" s="2314"/>
      <c r="N131" s="31" t="str">
        <f>Liste!L131</f>
        <v>Stk</v>
      </c>
      <c r="O131" s="31"/>
      <c r="P131" s="31"/>
      <c r="Q131" s="31">
        <f>Liste!P131</f>
        <v>0</v>
      </c>
      <c r="R131" s="31">
        <f>Liste!N131</f>
        <v>0</v>
      </c>
      <c r="S131" s="7">
        <v>0</v>
      </c>
      <c r="T131" s="7">
        <v>0</v>
      </c>
      <c r="U131" s="7">
        <v>0</v>
      </c>
      <c r="V131" s="7"/>
      <c r="W131" s="60"/>
      <c r="X131" s="60"/>
      <c r="Y131" s="60"/>
      <c r="Z131" s="7"/>
      <c r="AA131" s="7"/>
      <c r="AB131" s="60"/>
      <c r="AC131" s="60"/>
      <c r="AD131" s="60"/>
      <c r="AE131" s="7"/>
      <c r="AF131" s="7"/>
      <c r="AG131" s="7"/>
      <c r="AH131" s="7"/>
      <c r="AI131" s="7"/>
      <c r="AJ131" s="7">
        <f>Liste!X131</f>
        <v>0</v>
      </c>
      <c r="AK131" s="7">
        <f>Liste!Y131</f>
        <v>1</v>
      </c>
      <c r="AL131" s="7"/>
      <c r="AM131" s="7"/>
      <c r="AN131" s="7"/>
      <c r="AO131" s="1113">
        <f>Liste!D131</f>
        <v>0</v>
      </c>
      <c r="AP131" s="1113">
        <f>Liste!F131</f>
        <v>186</v>
      </c>
      <c r="AQ131" s="1113">
        <f>Liste!E131</f>
        <v>1080</v>
      </c>
      <c r="AR131" s="1113">
        <f>Liste!G131</f>
        <v>0.8</v>
      </c>
      <c r="AS131" s="1112">
        <f>Liste!V131</f>
        <v>1</v>
      </c>
      <c r="AT131" s="1" t="str">
        <f>Liste!M131</f>
        <v>V2A blank</v>
      </c>
      <c r="AZ131" s="5" t="s">
        <v>198</v>
      </c>
      <c r="BA131" s="4" t="s">
        <v>101</v>
      </c>
      <c r="BB131" s="4">
        <v>635</v>
      </c>
      <c r="BD131" s="35"/>
      <c r="BE131" s="35"/>
      <c r="BF131" s="2118" t="str">
        <f>Liste!R131</f>
        <v>0701478</v>
      </c>
      <c r="BG131" s="2137">
        <f>IF(AS131&gt;0,Liste!S131,0)</f>
        <v>0</v>
      </c>
      <c r="BH131" s="2118" t="str">
        <f>Liste!T131</f>
        <v>m²</v>
      </c>
    </row>
    <row r="132" spans="1:60" ht="24.95" customHeight="1" x14ac:dyDescent="0.25">
      <c r="A132" s="29"/>
      <c r="B132" s="46" t="str">
        <f>IF(Liste!O132&gt;0,Liste!O132,Liste!B132)</f>
        <v>Verkleidungsblech Schieberelement unten vorn Aufdopplung 150 verzinkt</v>
      </c>
      <c r="C132" s="2314"/>
      <c r="D132" s="30" t="str">
        <f>Liste!C132</f>
        <v>0308370</v>
      </c>
      <c r="E132" s="2314"/>
      <c r="F132" s="32">
        <f t="shared" si="8"/>
        <v>0</v>
      </c>
      <c r="G132" s="2314"/>
      <c r="H132" s="32">
        <f t="shared" si="9"/>
        <v>0</v>
      </c>
      <c r="I132" s="2314"/>
      <c r="J132" s="32">
        <f t="shared" si="10"/>
        <v>0</v>
      </c>
      <c r="K132" s="2314"/>
      <c r="L132" s="31">
        <f t="shared" si="11"/>
        <v>0</v>
      </c>
      <c r="M132" s="2314"/>
      <c r="N132" s="31" t="str">
        <f>Liste!L132</f>
        <v>Stk</v>
      </c>
      <c r="O132" s="31"/>
      <c r="P132" s="31"/>
      <c r="Q132" s="31">
        <f>Liste!P132</f>
        <v>0</v>
      </c>
      <c r="R132" s="31">
        <f>Liste!N132</f>
        <v>0</v>
      </c>
      <c r="S132" s="7">
        <v>0</v>
      </c>
      <c r="T132" s="7">
        <v>0</v>
      </c>
      <c r="U132" s="7">
        <v>0</v>
      </c>
      <c r="V132" s="7"/>
      <c r="W132" s="60"/>
      <c r="X132" s="60"/>
      <c r="Y132" s="60"/>
      <c r="Z132" s="7"/>
      <c r="AA132" s="7"/>
      <c r="AB132" s="60"/>
      <c r="AC132" s="60"/>
      <c r="AD132" s="60"/>
      <c r="AE132" s="7"/>
      <c r="AF132" s="7"/>
      <c r="AG132" s="7"/>
      <c r="AH132" s="7"/>
      <c r="AI132" s="7"/>
      <c r="AJ132" s="7">
        <f>Liste!X132</f>
        <v>0</v>
      </c>
      <c r="AK132" s="7">
        <f>Liste!Y132</f>
        <v>1</v>
      </c>
      <c r="AL132" s="7"/>
      <c r="AM132" s="7"/>
      <c r="AN132" s="7"/>
      <c r="AO132" s="1113">
        <f>Liste!D132</f>
        <v>0</v>
      </c>
      <c r="AP132" s="1113">
        <f>Liste!F132</f>
        <v>186</v>
      </c>
      <c r="AQ132" s="1113">
        <f>Liste!E132</f>
        <v>1080</v>
      </c>
      <c r="AR132" s="1113">
        <f>Liste!G132</f>
        <v>0.75</v>
      </c>
      <c r="AS132" s="1112">
        <f>Liste!V132</f>
        <v>1</v>
      </c>
      <c r="AT132" s="1" t="str">
        <f>Liste!M132</f>
        <v>Stahlblech verz.</v>
      </c>
      <c r="AZ132" s="5" t="s">
        <v>199</v>
      </c>
      <c r="BA132" s="4" t="s">
        <v>101</v>
      </c>
      <c r="BB132" s="4">
        <v>636</v>
      </c>
      <c r="BD132" s="35"/>
      <c r="BE132" s="35"/>
      <c r="BF132" s="2118" t="str">
        <f>Liste!R132</f>
        <v>0701446</v>
      </c>
      <c r="BG132" s="2137">
        <f>IF(AS132&gt;0,Liste!S132,0)</f>
        <v>0</v>
      </c>
      <c r="BH132" s="2118" t="str">
        <f>Liste!T132</f>
        <v>m²</v>
      </c>
    </row>
    <row r="133" spans="1:60" ht="24.95" customHeight="1" x14ac:dyDescent="0.25">
      <c r="A133" s="29"/>
      <c r="B133" s="46" t="str">
        <f>IF(Liste!O133&gt;0,Liste!O133,Liste!B133)</f>
        <v>Verkleidungsblech Schieberelement unten vorn Aufdopplung 150 V2A</v>
      </c>
      <c r="C133" s="2314"/>
      <c r="D133" s="30" t="str">
        <f>Liste!C133</f>
        <v>0338370</v>
      </c>
      <c r="E133" s="2314"/>
      <c r="F133" s="32">
        <f t="shared" si="8"/>
        <v>0</v>
      </c>
      <c r="G133" s="2314"/>
      <c r="H133" s="32">
        <f t="shared" si="9"/>
        <v>0</v>
      </c>
      <c r="I133" s="2314"/>
      <c r="J133" s="32">
        <f t="shared" si="10"/>
        <v>0</v>
      </c>
      <c r="K133" s="2314"/>
      <c r="L133" s="31">
        <f t="shared" si="11"/>
        <v>0</v>
      </c>
      <c r="M133" s="2314"/>
      <c r="N133" s="31" t="str">
        <f>Liste!L133</f>
        <v>Stk</v>
      </c>
      <c r="O133" s="31"/>
      <c r="P133" s="31"/>
      <c r="Q133" s="31">
        <f>Liste!P133</f>
        <v>0</v>
      </c>
      <c r="R133" s="31">
        <f>Liste!N133</f>
        <v>0</v>
      </c>
      <c r="S133" s="7">
        <v>0</v>
      </c>
      <c r="T133" s="7">
        <v>0</v>
      </c>
      <c r="U133" s="7">
        <v>0</v>
      </c>
      <c r="V133" s="7"/>
      <c r="W133" s="60"/>
      <c r="X133" s="60"/>
      <c r="Y133" s="60"/>
      <c r="Z133" s="7"/>
      <c r="AA133" s="7"/>
      <c r="AB133" s="60"/>
      <c r="AC133" s="60"/>
      <c r="AD133" s="60"/>
      <c r="AE133" s="7"/>
      <c r="AF133" s="7"/>
      <c r="AG133" s="7"/>
      <c r="AH133" s="7"/>
      <c r="AI133" s="7"/>
      <c r="AJ133" s="7">
        <f>Liste!X133</f>
        <v>0</v>
      </c>
      <c r="AK133" s="7">
        <f>Liste!Y133</f>
        <v>1</v>
      </c>
      <c r="AL133" s="7"/>
      <c r="AM133" s="7"/>
      <c r="AN133" s="7"/>
      <c r="AO133" s="1113">
        <f>Liste!D133</f>
        <v>0</v>
      </c>
      <c r="AP133" s="1113">
        <f>Liste!F133</f>
        <v>186</v>
      </c>
      <c r="AQ133" s="1113">
        <f>Liste!E133</f>
        <v>1080</v>
      </c>
      <c r="AR133" s="1113">
        <f>Liste!G133</f>
        <v>0.8</v>
      </c>
      <c r="AS133" s="1112">
        <f>Liste!V133</f>
        <v>1</v>
      </c>
      <c r="AT133" s="1" t="str">
        <f>Liste!M133</f>
        <v>V2A blank</v>
      </c>
      <c r="AZ133" s="5" t="s">
        <v>200</v>
      </c>
      <c r="BA133" s="4" t="s">
        <v>101</v>
      </c>
      <c r="BB133" s="4">
        <v>637</v>
      </c>
      <c r="BD133" s="35"/>
      <c r="BE133" s="35"/>
      <c r="BF133" s="2118" t="str">
        <f>Liste!R133</f>
        <v>0701478</v>
      </c>
      <c r="BG133" s="2137">
        <f>IF(AS133&gt;0,Liste!S133,0)</f>
        <v>0</v>
      </c>
      <c r="BH133" s="2118" t="str">
        <f>Liste!T133</f>
        <v>m²</v>
      </c>
    </row>
    <row r="134" spans="1:60" ht="24.95" customHeight="1" x14ac:dyDescent="0.25">
      <c r="A134" s="29"/>
      <c r="B134" s="46">
        <f>IF(Liste!O134&gt;0,Liste!O134,Liste!B134)</f>
        <v>0</v>
      </c>
      <c r="C134" s="2314"/>
      <c r="D134" s="30">
        <f>Liste!C134</f>
        <v>0</v>
      </c>
      <c r="E134" s="2314"/>
      <c r="F134" s="32">
        <f t="shared" si="8"/>
        <v>0</v>
      </c>
      <c r="G134" s="2314"/>
      <c r="H134" s="32">
        <f t="shared" si="9"/>
        <v>0</v>
      </c>
      <c r="I134" s="2314"/>
      <c r="J134" s="32">
        <f t="shared" si="10"/>
        <v>0</v>
      </c>
      <c r="K134" s="2314"/>
      <c r="L134" s="31">
        <f t="shared" si="11"/>
        <v>0</v>
      </c>
      <c r="M134" s="2314"/>
      <c r="N134" s="31">
        <f>Liste!L134</f>
        <v>0</v>
      </c>
      <c r="O134" s="31"/>
      <c r="P134" s="31"/>
      <c r="Q134" s="31">
        <f>Liste!P134</f>
        <v>0</v>
      </c>
      <c r="R134" s="31">
        <f>Liste!N134</f>
        <v>0</v>
      </c>
      <c r="S134" s="7">
        <v>0</v>
      </c>
      <c r="T134" s="7">
        <v>0</v>
      </c>
      <c r="U134" s="7">
        <v>0</v>
      </c>
      <c r="V134" s="7"/>
      <c r="W134" s="60"/>
      <c r="X134" s="60"/>
      <c r="Y134" s="60"/>
      <c r="Z134" s="7"/>
      <c r="AA134" s="7"/>
      <c r="AB134" s="60"/>
      <c r="AC134" s="60"/>
      <c r="AD134" s="60"/>
      <c r="AE134" s="7"/>
      <c r="AF134" s="7"/>
      <c r="AG134" s="7"/>
      <c r="AH134" s="7"/>
      <c r="AI134" s="7"/>
      <c r="AJ134" s="7">
        <f>Liste!X134</f>
        <v>0</v>
      </c>
      <c r="AK134" s="7">
        <f>Liste!Y134</f>
        <v>0</v>
      </c>
      <c r="AL134" s="7"/>
      <c r="AM134" s="7"/>
      <c r="AN134" s="7"/>
      <c r="AO134" s="1113">
        <f>Liste!D134</f>
        <v>0</v>
      </c>
      <c r="AP134" s="1113">
        <f>Liste!F134</f>
        <v>0</v>
      </c>
      <c r="AQ134" s="1113">
        <f>Liste!E134</f>
        <v>0</v>
      </c>
      <c r="AR134" s="1113">
        <f>Liste!G134</f>
        <v>0</v>
      </c>
      <c r="AS134" s="1112">
        <f>Liste!V134</f>
        <v>0</v>
      </c>
      <c r="AT134" s="1">
        <f>Liste!M134</f>
        <v>0</v>
      </c>
      <c r="AZ134" s="5" t="s">
        <v>201</v>
      </c>
      <c r="BA134" s="4" t="s">
        <v>101</v>
      </c>
      <c r="BB134" s="4">
        <v>638</v>
      </c>
      <c r="BD134" s="35"/>
      <c r="BE134" s="35"/>
      <c r="BF134" s="2118">
        <f>Liste!R134</f>
        <v>0</v>
      </c>
      <c r="BG134" s="2137">
        <f>IF(AS134&gt;0,Liste!S134,0)</f>
        <v>0</v>
      </c>
      <c r="BH134" s="2118">
        <f>Liste!T134</f>
        <v>0</v>
      </c>
    </row>
    <row r="135" spans="1:60" ht="24.95" customHeight="1" x14ac:dyDescent="0.25">
      <c r="A135" s="29"/>
      <c r="B135" s="46" t="str">
        <f>IF(Liste!O135&gt;0,Liste!O135,Liste!B135)</f>
        <v>Verkleidungsblech verzinkt GCC (Schieberelement unten hinten)</v>
      </c>
      <c r="C135" s="2314"/>
      <c r="D135" s="30" t="str">
        <f>Liste!C135</f>
        <v>0308338</v>
      </c>
      <c r="E135" s="2314"/>
      <c r="F135" s="32">
        <f t="shared" si="8"/>
        <v>0</v>
      </c>
      <c r="G135" s="2314"/>
      <c r="H135" s="32">
        <f t="shared" si="9"/>
        <v>0</v>
      </c>
      <c r="I135" s="2314"/>
      <c r="J135" s="32">
        <f t="shared" si="10"/>
        <v>0</v>
      </c>
      <c r="K135" s="2314"/>
      <c r="L135" s="31">
        <f t="shared" si="11"/>
        <v>0</v>
      </c>
      <c r="M135" s="2314"/>
      <c r="N135" s="31" t="str">
        <f>Liste!L135</f>
        <v>Stk</v>
      </c>
      <c r="O135" s="31"/>
      <c r="P135" s="31"/>
      <c r="Q135" s="31">
        <f>Liste!P135</f>
        <v>0</v>
      </c>
      <c r="R135" s="31" t="str">
        <f>Liste!N135</f>
        <v>Zuschnitt</v>
      </c>
      <c r="S135" s="7">
        <v>0</v>
      </c>
      <c r="T135" s="7">
        <v>0</v>
      </c>
      <c r="U135" s="7">
        <v>0</v>
      </c>
      <c r="V135" s="7"/>
      <c r="W135" s="60"/>
      <c r="X135" s="60"/>
      <c r="Y135" s="60"/>
      <c r="Z135" s="7"/>
      <c r="AA135" s="7"/>
      <c r="AB135" s="60"/>
      <c r="AC135" s="60"/>
      <c r="AD135" s="60"/>
      <c r="AE135" s="7"/>
      <c r="AF135" s="7"/>
      <c r="AG135" s="7"/>
      <c r="AH135" s="7"/>
      <c r="AI135" s="7"/>
      <c r="AJ135" s="7">
        <f>Liste!X135</f>
        <v>0</v>
      </c>
      <c r="AK135" s="7">
        <f>Liste!Y135</f>
        <v>1</v>
      </c>
      <c r="AL135" s="7"/>
      <c r="AM135" s="7"/>
      <c r="AN135" s="7"/>
      <c r="AO135" s="1113">
        <f>Liste!D135</f>
        <v>0</v>
      </c>
      <c r="AP135" s="1113">
        <f>Liste!F135</f>
        <v>186</v>
      </c>
      <c r="AQ135" s="1113">
        <f>Liste!E135</f>
        <v>920</v>
      </c>
      <c r="AR135" s="1113">
        <f>Liste!G135</f>
        <v>0.75</v>
      </c>
      <c r="AS135" s="1112">
        <f>Liste!V135</f>
        <v>1</v>
      </c>
      <c r="AT135" s="1" t="str">
        <f>Liste!M135</f>
        <v>Stahlblech verz.</v>
      </c>
      <c r="AZ135" s="5" t="s">
        <v>202</v>
      </c>
      <c r="BA135" s="4" t="s">
        <v>101</v>
      </c>
      <c r="BB135" s="4">
        <v>639</v>
      </c>
      <c r="BD135" s="35"/>
      <c r="BE135" s="35"/>
      <c r="BF135" s="2118" t="str">
        <f>Liste!R135</f>
        <v>0701446</v>
      </c>
      <c r="BG135" s="2137">
        <f>IF(AS135&gt;0,Liste!S135,0)</f>
        <v>0</v>
      </c>
      <c r="BH135" s="2118" t="str">
        <f>Liste!T135</f>
        <v>m²</v>
      </c>
    </row>
    <row r="136" spans="1:60" ht="24.95" customHeight="1" x14ac:dyDescent="0.25">
      <c r="A136" s="29"/>
      <c r="B136" s="46" t="str">
        <f>IF(Liste!O136&gt;0,Liste!O136,Liste!B136)</f>
        <v>Verkleidungsblech V2A GCC (Schieberelement unten hinten)</v>
      </c>
      <c r="C136" s="2314"/>
      <c r="D136" s="30" t="str">
        <f>Liste!C136</f>
        <v>0338338</v>
      </c>
      <c r="E136" s="2314"/>
      <c r="F136" s="32">
        <f t="shared" ref="F136:F200" si="12">IF(AS136&gt;0,AO136,0)</f>
        <v>0</v>
      </c>
      <c r="G136" s="2314"/>
      <c r="H136" s="32">
        <f t="shared" ref="H136:H200" si="13">IF(N136=$P$1,0,AP136)</f>
        <v>0</v>
      </c>
      <c r="I136" s="2314"/>
      <c r="J136" s="32">
        <f t="shared" ref="J136:J200" si="14">IF(OR(N136=$P$1,N136=$Q$1),0,AQ136)</f>
        <v>0</v>
      </c>
      <c r="K136" s="2314"/>
      <c r="L136" s="31">
        <f t="shared" ref="L136:L200" si="15">IF(OR(N136=$P$1,N136=$Q$1,$R$1=N136),0,AR136)</f>
        <v>0</v>
      </c>
      <c r="M136" s="2314"/>
      <c r="N136" s="31" t="str">
        <f>Liste!L136</f>
        <v>Stk</v>
      </c>
      <c r="O136" s="31"/>
      <c r="P136" s="31"/>
      <c r="Q136" s="31">
        <f>Liste!P136</f>
        <v>0</v>
      </c>
      <c r="R136" s="31" t="str">
        <f>Liste!N136</f>
        <v>Zuschnitt</v>
      </c>
      <c r="S136" s="7">
        <v>0</v>
      </c>
      <c r="T136" s="7">
        <v>0</v>
      </c>
      <c r="U136" s="7">
        <v>0</v>
      </c>
      <c r="V136" s="7"/>
      <c r="W136" s="60"/>
      <c r="X136" s="60"/>
      <c r="Y136" s="60"/>
      <c r="Z136" s="7"/>
      <c r="AA136" s="7"/>
      <c r="AB136" s="60"/>
      <c r="AC136" s="60"/>
      <c r="AD136" s="60"/>
      <c r="AE136" s="7"/>
      <c r="AF136" s="7"/>
      <c r="AG136" s="7"/>
      <c r="AH136" s="7"/>
      <c r="AI136" s="7"/>
      <c r="AJ136" s="7">
        <f>Liste!X136</f>
        <v>0</v>
      </c>
      <c r="AK136" s="7">
        <f>Liste!Y136</f>
        <v>1</v>
      </c>
      <c r="AL136" s="7"/>
      <c r="AM136" s="7"/>
      <c r="AN136" s="7"/>
      <c r="AO136" s="1113">
        <f>Liste!D136</f>
        <v>0</v>
      </c>
      <c r="AP136" s="1113">
        <f>Liste!F136</f>
        <v>186</v>
      </c>
      <c r="AQ136" s="1113">
        <f>Liste!E136</f>
        <v>920</v>
      </c>
      <c r="AR136" s="1113">
        <f>Liste!G136</f>
        <v>0.8</v>
      </c>
      <c r="AS136" s="1112">
        <f>Liste!V136</f>
        <v>1</v>
      </c>
      <c r="AT136" s="1" t="str">
        <f>Liste!M136</f>
        <v>V2A blank</v>
      </c>
      <c r="AZ136" s="5" t="s">
        <v>203</v>
      </c>
      <c r="BA136" s="4" t="s">
        <v>101</v>
      </c>
      <c r="BB136" s="4">
        <v>640</v>
      </c>
      <c r="BD136" s="35"/>
      <c r="BE136" s="35"/>
      <c r="BF136" s="2118" t="str">
        <f>Liste!R136</f>
        <v>0701478</v>
      </c>
      <c r="BG136" s="2137">
        <f>IF(AS136&gt;0,Liste!S136,0)</f>
        <v>0</v>
      </c>
      <c r="BH136" s="2118" t="str">
        <f>Liste!T136</f>
        <v>m²</v>
      </c>
    </row>
    <row r="137" spans="1:60" ht="24.95" customHeight="1" x14ac:dyDescent="0.25">
      <c r="A137" s="29"/>
      <c r="B137" s="46">
        <f>IF(Liste!O137&gt;0,Liste!O137,Liste!B137)</f>
        <v>0</v>
      </c>
      <c r="C137" s="2314"/>
      <c r="D137" s="30">
        <f>Liste!C137</f>
        <v>0</v>
      </c>
      <c r="E137" s="2314"/>
      <c r="F137" s="32">
        <f t="shared" si="12"/>
        <v>0</v>
      </c>
      <c r="G137" s="2314"/>
      <c r="H137" s="32">
        <f t="shared" si="13"/>
        <v>0</v>
      </c>
      <c r="I137" s="2314"/>
      <c r="J137" s="32">
        <f t="shared" si="14"/>
        <v>0</v>
      </c>
      <c r="K137" s="2314"/>
      <c r="L137" s="31">
        <f t="shared" si="15"/>
        <v>0</v>
      </c>
      <c r="M137" s="2314"/>
      <c r="N137" s="31">
        <f>Liste!L137</f>
        <v>0</v>
      </c>
      <c r="O137" s="31"/>
      <c r="P137" s="31"/>
      <c r="Q137" s="31">
        <f>Liste!P137</f>
        <v>0</v>
      </c>
      <c r="R137" s="31">
        <f>Liste!N137</f>
        <v>0</v>
      </c>
      <c r="S137" s="7">
        <v>0</v>
      </c>
      <c r="T137" s="7">
        <v>0</v>
      </c>
      <c r="U137" s="7">
        <v>0</v>
      </c>
      <c r="V137" s="7"/>
      <c r="W137" s="60"/>
      <c r="X137" s="60"/>
      <c r="Y137" s="60"/>
      <c r="Z137" s="7"/>
      <c r="AA137" s="7"/>
      <c r="AB137" s="60"/>
      <c r="AC137" s="60"/>
      <c r="AD137" s="60"/>
      <c r="AE137" s="7"/>
      <c r="AF137" s="7"/>
      <c r="AG137" s="7"/>
      <c r="AH137" s="7"/>
      <c r="AI137" s="7"/>
      <c r="AJ137" s="7">
        <f>Liste!X137</f>
        <v>0</v>
      </c>
      <c r="AK137" s="7">
        <f>Liste!Y137</f>
        <v>0</v>
      </c>
      <c r="AL137" s="7"/>
      <c r="AM137" s="7"/>
      <c r="AN137" s="7"/>
      <c r="AO137" s="1113">
        <f>Liste!D137</f>
        <v>0</v>
      </c>
      <c r="AP137" s="1113">
        <f>Liste!F137</f>
        <v>0</v>
      </c>
      <c r="AQ137" s="1113">
        <f>Liste!E137</f>
        <v>0</v>
      </c>
      <c r="AR137" s="1113">
        <f>Liste!G137</f>
        <v>0</v>
      </c>
      <c r="AS137" s="1112">
        <f>Liste!V137</f>
        <v>0</v>
      </c>
      <c r="AT137" s="1">
        <f>Liste!M137</f>
        <v>0</v>
      </c>
      <c r="AZ137" s="5" t="s">
        <v>204</v>
      </c>
      <c r="BA137" s="4" t="s">
        <v>101</v>
      </c>
      <c r="BB137" s="4">
        <v>641</v>
      </c>
      <c r="BD137" s="35"/>
      <c r="BE137" s="35"/>
      <c r="BF137" s="2118">
        <f>Liste!R137</f>
        <v>0</v>
      </c>
      <c r="BG137" s="2137">
        <f>IF(AS137&gt;0,Liste!S137,0)</f>
        <v>0</v>
      </c>
      <c r="BH137" s="2118">
        <f>Liste!T137</f>
        <v>0</v>
      </c>
    </row>
    <row r="138" spans="1:60" ht="24.95" customHeight="1" x14ac:dyDescent="0.25">
      <c r="A138" s="29"/>
      <c r="B138" s="46" t="str">
        <f>IF(Liste!O138&gt;0,Liste!O138,Liste!B138)</f>
        <v>Fireflystreifen 2mm selbstklebend 116mm</v>
      </c>
      <c r="C138" s="2314"/>
      <c r="D138" s="30" t="str">
        <f>Liste!C138</f>
        <v>0308339</v>
      </c>
      <c r="E138" s="2314"/>
      <c r="F138" s="32">
        <f t="shared" si="12"/>
        <v>1</v>
      </c>
      <c r="G138" s="2314"/>
      <c r="H138" s="32">
        <f t="shared" si="13"/>
        <v>1080</v>
      </c>
      <c r="I138" s="2314"/>
      <c r="J138" s="32">
        <f t="shared" si="14"/>
        <v>116</v>
      </c>
      <c r="K138" s="2314"/>
      <c r="L138" s="31">
        <f t="shared" si="15"/>
        <v>2</v>
      </c>
      <c r="M138" s="2314"/>
      <c r="N138" s="31" t="str">
        <f>Liste!L138</f>
        <v>MM</v>
      </c>
      <c r="O138" s="31"/>
      <c r="P138" s="31"/>
      <c r="Q138" s="31">
        <f>Liste!P138</f>
        <v>0</v>
      </c>
      <c r="R138" s="31">
        <f>Liste!N138</f>
        <v>0</v>
      </c>
      <c r="S138" s="7">
        <v>0</v>
      </c>
      <c r="T138" s="7">
        <v>0</v>
      </c>
      <c r="U138" s="7">
        <v>0</v>
      </c>
      <c r="V138" s="7"/>
      <c r="W138" s="60"/>
      <c r="X138" s="60"/>
      <c r="Y138" s="60"/>
      <c r="Z138" s="7"/>
      <c r="AA138" s="7"/>
      <c r="AB138" s="60"/>
      <c r="AC138" s="60"/>
      <c r="AD138" s="60"/>
      <c r="AE138" s="7"/>
      <c r="AF138" s="7"/>
      <c r="AG138" s="7"/>
      <c r="AH138" s="7"/>
      <c r="AI138" s="7"/>
      <c r="AJ138" s="7">
        <f>Liste!X138</f>
        <v>0</v>
      </c>
      <c r="AK138" s="7">
        <f>Liste!Y138</f>
        <v>0</v>
      </c>
      <c r="AL138" s="7"/>
      <c r="AM138" s="7"/>
      <c r="AN138" s="7"/>
      <c r="AO138" s="1113">
        <f>Liste!D138</f>
        <v>1</v>
      </c>
      <c r="AP138" s="1113">
        <f>Liste!F138</f>
        <v>1080</v>
      </c>
      <c r="AQ138" s="1113">
        <f>Liste!E138</f>
        <v>116</v>
      </c>
      <c r="AR138" s="1113">
        <f>Liste!G138</f>
        <v>2</v>
      </c>
      <c r="AS138" s="1112">
        <f>Liste!V138</f>
        <v>1</v>
      </c>
      <c r="AT138" s="1">
        <f>Liste!M138</f>
        <v>0</v>
      </c>
      <c r="AZ138" s="5" t="s">
        <v>205</v>
      </c>
      <c r="BA138" s="4" t="s">
        <v>101</v>
      </c>
      <c r="BB138" s="4">
        <v>642</v>
      </c>
      <c r="BD138" s="35"/>
      <c r="BE138" s="35"/>
      <c r="BF138" s="2118" t="str">
        <f>Liste!R138</f>
        <v>0308339</v>
      </c>
      <c r="BG138" s="2137">
        <f>IF(AS138&gt;0,Liste!S138,0)</f>
        <v>1.08</v>
      </c>
      <c r="BH138" s="2118" t="str">
        <f>Liste!T138</f>
        <v>m</v>
      </c>
    </row>
    <row r="139" spans="1:60" ht="24.95" customHeight="1" x14ac:dyDescent="0.25">
      <c r="A139" s="29"/>
      <c r="B139" s="46" t="str">
        <f>IF(Liste!O139&gt;0,Liste!O139,Liste!B139)</f>
        <v>Fireflystreifen 6mm selbstklebend 116mm</v>
      </c>
      <c r="C139" s="2314"/>
      <c r="D139" s="30" t="str">
        <f>Liste!C139</f>
        <v>0308346</v>
      </c>
      <c r="E139" s="2314"/>
      <c r="F139" s="32">
        <f t="shared" ref="F139" si="16">IF(AS139&gt;0,AO139,0)</f>
        <v>0</v>
      </c>
      <c r="G139" s="2314"/>
      <c r="H139" s="32">
        <f t="shared" ref="H139" si="17">IF(N139=$P$1,0,AP139)</f>
        <v>1080</v>
      </c>
      <c r="I139" s="2314"/>
      <c r="J139" s="32">
        <f t="shared" ref="J139" si="18">IF(OR(N139=$P$1,N139=$Q$1),0,AQ139)</f>
        <v>116</v>
      </c>
      <c r="K139" s="2314"/>
      <c r="L139" s="31">
        <f t="shared" ref="L139" si="19">IF(OR(N139=$P$1,N139=$Q$1,$R$1=N139),0,AR139)</f>
        <v>6</v>
      </c>
      <c r="M139" s="2314"/>
      <c r="N139" s="31" t="str">
        <f>Liste!L139</f>
        <v>MM</v>
      </c>
      <c r="O139" s="31"/>
      <c r="P139" s="31"/>
      <c r="Q139" s="31">
        <f>Liste!P139</f>
        <v>0</v>
      </c>
      <c r="R139" s="31">
        <f>Liste!N139</f>
        <v>0</v>
      </c>
      <c r="S139" s="7">
        <v>0</v>
      </c>
      <c r="T139" s="7">
        <v>0</v>
      </c>
      <c r="U139" s="7">
        <v>0</v>
      </c>
      <c r="V139" s="7"/>
      <c r="W139" s="60"/>
      <c r="X139" s="60"/>
      <c r="Y139" s="60"/>
      <c r="Z139" s="7"/>
      <c r="AA139" s="7"/>
      <c r="AB139" s="60"/>
      <c r="AC139" s="60"/>
      <c r="AD139" s="60"/>
      <c r="AE139" s="7"/>
      <c r="AF139" s="7"/>
      <c r="AG139" s="7"/>
      <c r="AH139" s="7"/>
      <c r="AI139" s="7"/>
      <c r="AJ139" s="7">
        <f>Liste!X139</f>
        <v>0</v>
      </c>
      <c r="AK139" s="7">
        <f>Liste!Y139</f>
        <v>0</v>
      </c>
      <c r="AL139" s="7"/>
      <c r="AM139" s="7"/>
      <c r="AN139" s="7"/>
      <c r="AO139" s="1113">
        <f>Liste!D139</f>
        <v>0</v>
      </c>
      <c r="AP139" s="1113">
        <f>Liste!F139</f>
        <v>1080</v>
      </c>
      <c r="AQ139" s="1113">
        <f>Liste!E139</f>
        <v>116</v>
      </c>
      <c r="AR139" s="1113">
        <f>Liste!G139</f>
        <v>6</v>
      </c>
      <c r="AS139" s="1112">
        <f>Liste!V139</f>
        <v>1</v>
      </c>
      <c r="AT139" s="1">
        <f>Liste!M139</f>
        <v>0</v>
      </c>
      <c r="AZ139" s="5" t="s">
        <v>205</v>
      </c>
      <c r="BA139" s="4" t="s">
        <v>101</v>
      </c>
      <c r="BB139" s="4">
        <v>642</v>
      </c>
      <c r="BD139" s="35"/>
      <c r="BE139" s="35"/>
      <c r="BF139" s="2118" t="str">
        <f>Liste!R139</f>
        <v>0308346</v>
      </c>
      <c r="BG139" s="2137">
        <f>IF(AS139&gt;0,Liste!S139,0)</f>
        <v>0</v>
      </c>
      <c r="BH139" s="2118" t="str">
        <f>Liste!T139</f>
        <v>m</v>
      </c>
    </row>
    <row r="140" spans="1:60" ht="24.95" customHeight="1" x14ac:dyDescent="0.25">
      <c r="A140" s="29"/>
      <c r="B140" s="46" t="str">
        <f>IF(Liste!O140&gt;0,Liste!O140,Liste!B140)</f>
        <v>Promasealstreifen selbstklebend 116mm</v>
      </c>
      <c r="C140" s="2314"/>
      <c r="D140" s="30" t="str">
        <f>Liste!C140</f>
        <v>0338339</v>
      </c>
      <c r="E140" s="2314"/>
      <c r="F140" s="32">
        <f t="shared" si="12"/>
        <v>0</v>
      </c>
      <c r="G140" s="2314"/>
      <c r="H140" s="32">
        <f t="shared" si="13"/>
        <v>1080</v>
      </c>
      <c r="I140" s="2314"/>
      <c r="J140" s="32">
        <f t="shared" si="14"/>
        <v>116</v>
      </c>
      <c r="K140" s="2314"/>
      <c r="L140" s="31">
        <f t="shared" si="15"/>
        <v>2.5</v>
      </c>
      <c r="M140" s="2314"/>
      <c r="N140" s="31" t="str">
        <f>Liste!L140</f>
        <v>MM</v>
      </c>
      <c r="O140" s="31"/>
      <c r="P140" s="31"/>
      <c r="Q140" s="31">
        <f>Liste!P140</f>
        <v>0</v>
      </c>
      <c r="R140" s="31">
        <f>Liste!N140</f>
        <v>0</v>
      </c>
      <c r="S140" s="7">
        <v>0</v>
      </c>
      <c r="T140" s="7">
        <v>0</v>
      </c>
      <c r="U140" s="7">
        <v>0</v>
      </c>
      <c r="V140" s="7"/>
      <c r="W140" s="60"/>
      <c r="X140" s="60"/>
      <c r="Y140" s="60"/>
      <c r="Z140" s="7"/>
      <c r="AA140" s="7"/>
      <c r="AB140" s="60"/>
      <c r="AC140" s="60"/>
      <c r="AD140" s="60"/>
      <c r="AE140" s="7"/>
      <c r="AF140" s="7"/>
      <c r="AG140" s="7"/>
      <c r="AH140" s="7"/>
      <c r="AI140" s="7"/>
      <c r="AJ140" s="7">
        <f>Liste!X140</f>
        <v>0</v>
      </c>
      <c r="AK140" s="7">
        <f>Liste!Y140</f>
        <v>0</v>
      </c>
      <c r="AL140" s="7"/>
      <c r="AM140" s="7"/>
      <c r="AN140" s="7"/>
      <c r="AO140" s="1113">
        <f>Liste!D140</f>
        <v>0</v>
      </c>
      <c r="AP140" s="1113">
        <f>Liste!F140</f>
        <v>1080</v>
      </c>
      <c r="AQ140" s="1113">
        <f>Liste!E140</f>
        <v>116</v>
      </c>
      <c r="AR140" s="1113">
        <f>Liste!G140</f>
        <v>2.5</v>
      </c>
      <c r="AS140" s="1112">
        <f>Liste!V140</f>
        <v>1</v>
      </c>
      <c r="AT140" s="1">
        <f>Liste!M140</f>
        <v>0</v>
      </c>
      <c r="AZ140" s="5" t="s">
        <v>206</v>
      </c>
      <c r="BA140" s="4" t="s">
        <v>101</v>
      </c>
      <c r="BB140" s="4">
        <v>643</v>
      </c>
      <c r="BD140" s="35"/>
      <c r="BE140" s="35"/>
      <c r="BF140" s="2118" t="str">
        <f>Liste!R140</f>
        <v>0338339</v>
      </c>
      <c r="BG140" s="2137">
        <f>IF(AS140&gt;0,Liste!S140,0)</f>
        <v>0</v>
      </c>
      <c r="BH140" s="2118" t="str">
        <f>Liste!T140</f>
        <v>m</v>
      </c>
    </row>
    <row r="141" spans="1:60" ht="24.95" customHeight="1" x14ac:dyDescent="0.25">
      <c r="A141" s="29"/>
      <c r="B141" s="46" t="str">
        <f>IF(Liste!O141&gt;0,Liste!O141,Liste!B141)</f>
        <v>Fireflystreifen 2mm selbstklebend 49mm</v>
      </c>
      <c r="C141" s="2314"/>
      <c r="D141" s="30" t="str">
        <f>Liste!C141</f>
        <v>0305036</v>
      </c>
      <c r="E141" s="2314"/>
      <c r="F141" s="32">
        <f t="shared" si="12"/>
        <v>0</v>
      </c>
      <c r="G141" s="2314"/>
      <c r="H141" s="32">
        <f t="shared" si="13"/>
        <v>1080</v>
      </c>
      <c r="I141" s="2314"/>
      <c r="J141" s="32">
        <f t="shared" si="14"/>
        <v>49</v>
      </c>
      <c r="K141" s="2314"/>
      <c r="L141" s="31">
        <f t="shared" si="15"/>
        <v>2</v>
      </c>
      <c r="M141" s="2314"/>
      <c r="N141" s="31" t="str">
        <f>Liste!L141</f>
        <v>MM</v>
      </c>
      <c r="O141" s="31"/>
      <c r="P141" s="31"/>
      <c r="Q141" s="31">
        <f>Liste!P141</f>
        <v>0</v>
      </c>
      <c r="R141" s="31">
        <f>Liste!N141</f>
        <v>0</v>
      </c>
      <c r="S141" s="7">
        <v>0</v>
      </c>
      <c r="T141" s="7">
        <v>0</v>
      </c>
      <c r="U141" s="7">
        <v>0</v>
      </c>
      <c r="V141" s="7"/>
      <c r="W141" s="60"/>
      <c r="X141" s="60"/>
      <c r="Y141" s="60"/>
      <c r="Z141" s="7"/>
      <c r="AA141" s="7"/>
      <c r="AB141" s="60"/>
      <c r="AC141" s="60"/>
      <c r="AD141" s="60"/>
      <c r="AE141" s="7"/>
      <c r="AF141" s="7"/>
      <c r="AG141" s="7"/>
      <c r="AH141" s="7"/>
      <c r="AI141" s="7"/>
      <c r="AJ141" s="7">
        <f>Liste!X141</f>
        <v>0</v>
      </c>
      <c r="AK141" s="7">
        <f>Liste!Y141</f>
        <v>0</v>
      </c>
      <c r="AL141" s="7"/>
      <c r="AM141" s="7"/>
      <c r="AN141" s="7"/>
      <c r="AO141" s="1113">
        <f>Liste!D141</f>
        <v>0</v>
      </c>
      <c r="AP141" s="1113">
        <f>Liste!F141</f>
        <v>1080</v>
      </c>
      <c r="AQ141" s="1113">
        <f>Liste!E141</f>
        <v>49</v>
      </c>
      <c r="AR141" s="1113">
        <f>Liste!G141</f>
        <v>2</v>
      </c>
      <c r="AS141" s="1112">
        <f>Liste!V141</f>
        <v>1</v>
      </c>
      <c r="AT141" s="1">
        <f>Liste!M141</f>
        <v>0</v>
      </c>
      <c r="AZ141" s="5" t="s">
        <v>207</v>
      </c>
      <c r="BA141" s="4" t="s">
        <v>101</v>
      </c>
      <c r="BB141" s="4">
        <v>644</v>
      </c>
      <c r="BD141" s="35"/>
      <c r="BE141" s="35"/>
      <c r="BF141" s="2118" t="str">
        <f>Liste!R141</f>
        <v>0305036</v>
      </c>
      <c r="BG141" s="2137">
        <f>IF(AS141&gt;0,Liste!S141,0)</f>
        <v>0</v>
      </c>
      <c r="BH141" s="2118" t="str">
        <f>Liste!T141</f>
        <v>m</v>
      </c>
    </row>
    <row r="142" spans="1:60" ht="24.95" customHeight="1" x14ac:dyDescent="0.25">
      <c r="A142" s="29"/>
      <c r="B142" s="46" t="str">
        <f>IF(Liste!O142&gt;0,Liste!O142,Liste!B142)</f>
        <v>Promasealstreifen selbstklebend 49mm</v>
      </c>
      <c r="C142" s="2314"/>
      <c r="D142" s="30" t="str">
        <f>Liste!C142</f>
        <v>0338341</v>
      </c>
      <c r="E142" s="2314"/>
      <c r="F142" s="32">
        <f t="shared" si="12"/>
        <v>0</v>
      </c>
      <c r="G142" s="2314"/>
      <c r="H142" s="32">
        <f t="shared" si="13"/>
        <v>1080</v>
      </c>
      <c r="I142" s="2314"/>
      <c r="J142" s="32">
        <f t="shared" si="14"/>
        <v>49</v>
      </c>
      <c r="K142" s="2314"/>
      <c r="L142" s="31">
        <f t="shared" si="15"/>
        <v>2.5</v>
      </c>
      <c r="M142" s="2314"/>
      <c r="N142" s="31" t="str">
        <f>Liste!L142</f>
        <v>MM</v>
      </c>
      <c r="O142" s="31"/>
      <c r="P142" s="31"/>
      <c r="Q142" s="31">
        <f>Liste!P142</f>
        <v>0</v>
      </c>
      <c r="R142" s="31">
        <f>Liste!N142</f>
        <v>0</v>
      </c>
      <c r="S142" s="7">
        <v>0</v>
      </c>
      <c r="T142" s="7">
        <v>0</v>
      </c>
      <c r="U142" s="7">
        <v>0</v>
      </c>
      <c r="V142" s="7"/>
      <c r="W142" s="60"/>
      <c r="X142" s="60"/>
      <c r="Y142" s="60"/>
      <c r="Z142" s="7"/>
      <c r="AA142" s="7"/>
      <c r="AB142" s="60"/>
      <c r="AC142" s="60"/>
      <c r="AD142" s="60"/>
      <c r="AE142" s="7"/>
      <c r="AF142" s="7"/>
      <c r="AG142" s="7"/>
      <c r="AH142" s="7"/>
      <c r="AI142" s="7"/>
      <c r="AJ142" s="7">
        <f>Liste!X142</f>
        <v>0</v>
      </c>
      <c r="AK142" s="7">
        <f>Liste!Y142</f>
        <v>0</v>
      </c>
      <c r="AL142" s="7"/>
      <c r="AM142" s="7"/>
      <c r="AN142" s="7"/>
      <c r="AO142" s="1113">
        <f>Liste!D142</f>
        <v>0</v>
      </c>
      <c r="AP142" s="1113">
        <f>Liste!F142</f>
        <v>1080</v>
      </c>
      <c r="AQ142" s="1113">
        <f>Liste!E142</f>
        <v>49</v>
      </c>
      <c r="AR142" s="1113">
        <f>Liste!G142</f>
        <v>2.5</v>
      </c>
      <c r="AS142" s="1112">
        <f>Liste!V142</f>
        <v>1</v>
      </c>
      <c r="AT142" s="1">
        <f>Liste!M142</f>
        <v>0</v>
      </c>
      <c r="AZ142" s="5" t="s">
        <v>29959</v>
      </c>
      <c r="BA142" s="4" t="s">
        <v>101</v>
      </c>
      <c r="BB142" s="4">
        <v>645</v>
      </c>
      <c r="BD142" s="35"/>
      <c r="BE142" s="35"/>
      <c r="BF142" s="2118" t="str">
        <f>Liste!R142</f>
        <v>0338341</v>
      </c>
      <c r="BG142" s="2137">
        <f>IF(AS142&gt;0,Liste!S142,0)</f>
        <v>0</v>
      </c>
      <c r="BH142" s="2118" t="str">
        <f>Liste!T142</f>
        <v>m</v>
      </c>
    </row>
    <row r="143" spans="1:60" ht="24.95" customHeight="1" x14ac:dyDescent="0.25">
      <c r="A143" s="29"/>
      <c r="B143" s="46" t="str">
        <f>IF(Liste!O143&gt;0,Liste!O143,Liste!B143)</f>
        <v>Fireflystreifen 2mm selbstklebend 116mm</v>
      </c>
      <c r="C143" s="2314"/>
      <c r="D143" s="30" t="str">
        <f>Liste!C143</f>
        <v>0308339</v>
      </c>
      <c r="E143" s="2314"/>
      <c r="F143" s="32">
        <f t="shared" si="12"/>
        <v>0</v>
      </c>
      <c r="G143" s="2314"/>
      <c r="H143" s="32">
        <f t="shared" si="13"/>
        <v>1080</v>
      </c>
      <c r="I143" s="2314"/>
      <c r="J143" s="32">
        <f t="shared" si="14"/>
        <v>0</v>
      </c>
      <c r="K143" s="2314"/>
      <c r="L143" s="31">
        <f t="shared" si="15"/>
        <v>0</v>
      </c>
      <c r="M143" s="2314"/>
      <c r="N143" s="31">
        <f>Liste!L143</f>
        <v>0</v>
      </c>
      <c r="O143" s="31"/>
      <c r="P143" s="31"/>
      <c r="Q143" s="31">
        <f>Liste!P143</f>
        <v>0</v>
      </c>
      <c r="R143" s="31">
        <f>Liste!N143</f>
        <v>0</v>
      </c>
      <c r="S143" s="7">
        <v>0</v>
      </c>
      <c r="T143" s="7">
        <v>0</v>
      </c>
      <c r="U143" s="7">
        <v>0</v>
      </c>
      <c r="V143" s="7"/>
      <c r="W143" s="60"/>
      <c r="X143" s="60"/>
      <c r="Y143" s="60"/>
      <c r="Z143" s="7"/>
      <c r="AA143" s="7"/>
      <c r="AB143" s="60"/>
      <c r="AC143" s="60"/>
      <c r="AD143" s="60"/>
      <c r="AE143" s="7"/>
      <c r="AF143" s="7"/>
      <c r="AG143" s="7"/>
      <c r="AH143" s="7"/>
      <c r="AI143" s="7"/>
      <c r="AJ143" s="7">
        <f>Liste!X143</f>
        <v>0</v>
      </c>
      <c r="AK143" s="7">
        <f>Liste!Y143</f>
        <v>0</v>
      </c>
      <c r="AL143" s="7"/>
      <c r="AM143" s="7"/>
      <c r="AN143" s="7"/>
      <c r="AO143" s="1113">
        <f>Liste!D143</f>
        <v>0</v>
      </c>
      <c r="AP143" s="1113">
        <f>Liste!F143</f>
        <v>1080</v>
      </c>
      <c r="AQ143" s="1113">
        <f>Liste!E143</f>
        <v>0</v>
      </c>
      <c r="AR143" s="1113">
        <f>Liste!G143</f>
        <v>0</v>
      </c>
      <c r="AS143" s="1112">
        <f>Liste!V143</f>
        <v>0</v>
      </c>
      <c r="AT143" s="1">
        <f>Liste!M143</f>
        <v>0</v>
      </c>
      <c r="AZ143" s="5" t="s">
        <v>29960</v>
      </c>
      <c r="BA143" s="4" t="s">
        <v>101</v>
      </c>
      <c r="BB143" s="4">
        <v>646</v>
      </c>
      <c r="BD143" s="35"/>
      <c r="BE143" s="35"/>
      <c r="BF143" s="2118" t="str">
        <f>Liste!R143</f>
        <v>0308339</v>
      </c>
      <c r="BG143" s="2137">
        <f>IF(AS143&gt;0,Liste!S143,0)</f>
        <v>0</v>
      </c>
      <c r="BH143" s="2118">
        <f>Liste!T143</f>
        <v>0</v>
      </c>
    </row>
    <row r="144" spans="1:60" ht="24.95" customHeight="1" x14ac:dyDescent="0.25">
      <c r="A144" s="29"/>
      <c r="B144" s="46" t="str">
        <f>IF(Liste!O144&gt;0,Liste!O144,Liste!B144)</f>
        <v>Schnellbauschraube m. Bohrspitze 3,5X35</v>
      </c>
      <c r="C144" s="2314"/>
      <c r="D144" s="30" t="str">
        <f>Liste!C144</f>
        <v>0123025</v>
      </c>
      <c r="E144" s="2314"/>
      <c r="F144" s="32">
        <f t="shared" si="12"/>
        <v>0</v>
      </c>
      <c r="G144" s="2314"/>
      <c r="H144" s="32">
        <f t="shared" si="13"/>
        <v>0</v>
      </c>
      <c r="I144" s="2314"/>
      <c r="J144" s="32">
        <f t="shared" si="14"/>
        <v>0</v>
      </c>
      <c r="K144" s="2314"/>
      <c r="L144" s="31">
        <f t="shared" si="15"/>
        <v>0</v>
      </c>
      <c r="M144" s="2314"/>
      <c r="N144" s="31" t="str">
        <f>Liste!L144</f>
        <v>Stk</v>
      </c>
      <c r="O144" s="31"/>
      <c r="P144" s="31"/>
      <c r="Q144" s="31">
        <f>Liste!P144</f>
        <v>0</v>
      </c>
      <c r="R144" s="31">
        <f>Liste!N144</f>
        <v>0</v>
      </c>
      <c r="S144" s="7">
        <v>0</v>
      </c>
      <c r="T144" s="7">
        <v>0</v>
      </c>
      <c r="U144" s="7">
        <v>0</v>
      </c>
      <c r="V144" s="7"/>
      <c r="W144" s="60"/>
      <c r="X144" s="60"/>
      <c r="Y144" s="60"/>
      <c r="Z144" s="7"/>
      <c r="AA144" s="7"/>
      <c r="AB144" s="60"/>
      <c r="AC144" s="60"/>
      <c r="AD144" s="60"/>
      <c r="AE144" s="7"/>
      <c r="AF144" s="7"/>
      <c r="AG144" s="7"/>
      <c r="AH144" s="7"/>
      <c r="AI144" s="7"/>
      <c r="AJ144" s="7">
        <f>Liste!X144</f>
        <v>0</v>
      </c>
      <c r="AK144" s="7">
        <f>Liste!Y144</f>
        <v>0</v>
      </c>
      <c r="AL144" s="7"/>
      <c r="AM144" s="7"/>
      <c r="AN144" s="7"/>
      <c r="AO144" s="1113">
        <f>Liste!D144</f>
        <v>0</v>
      </c>
      <c r="AP144" s="1113">
        <f>Liste!F144</f>
        <v>0</v>
      </c>
      <c r="AQ144" s="1113">
        <f>Liste!E144</f>
        <v>0</v>
      </c>
      <c r="AR144" s="1113">
        <f>Liste!G144</f>
        <v>0</v>
      </c>
      <c r="AS144" s="1112">
        <f>Liste!V144</f>
        <v>1</v>
      </c>
      <c r="AT144" s="1">
        <f>Liste!M144</f>
        <v>0</v>
      </c>
      <c r="AZ144" s="5" t="s">
        <v>29961</v>
      </c>
      <c r="BA144" s="4" t="s">
        <v>101</v>
      </c>
      <c r="BB144" s="4">
        <v>647</v>
      </c>
      <c r="BD144" s="35"/>
      <c r="BE144" s="35"/>
      <c r="BF144" s="2118" t="str">
        <f>Liste!R144</f>
        <v>0123025</v>
      </c>
      <c r="BG144" s="2137">
        <f>IF(AS144&gt;0,Liste!S144,0)</f>
        <v>0</v>
      </c>
      <c r="BH144" s="2118" t="str">
        <f>Liste!T144</f>
        <v>Stk</v>
      </c>
    </row>
    <row r="145" spans="1:60" ht="24.95" customHeight="1" x14ac:dyDescent="0.25">
      <c r="A145" s="29"/>
      <c r="B145" s="46" t="str">
        <f>IF(Liste!O145&gt;0,Liste!O145,Liste!B145)</f>
        <v>Sicherheitskontaktleiste</v>
      </c>
      <c r="C145" s="2314"/>
      <c r="D145" s="30">
        <f>Liste!C145</f>
        <v>0</v>
      </c>
      <c r="E145" s="2314"/>
      <c r="F145" s="32">
        <f t="shared" si="12"/>
        <v>0</v>
      </c>
      <c r="G145" s="2314"/>
      <c r="H145" s="32">
        <f t="shared" si="13"/>
        <v>0</v>
      </c>
      <c r="I145" s="2314"/>
      <c r="J145" s="32">
        <f t="shared" si="14"/>
        <v>0</v>
      </c>
      <c r="K145" s="2314"/>
      <c r="L145" s="31">
        <f t="shared" si="15"/>
        <v>0</v>
      </c>
      <c r="M145" s="2314"/>
      <c r="N145" s="31">
        <f>Liste!L145</f>
        <v>0</v>
      </c>
      <c r="O145" s="31"/>
      <c r="P145" s="31"/>
      <c r="Q145" s="31">
        <f>Liste!P145</f>
        <v>0</v>
      </c>
      <c r="R145" s="31">
        <f>Liste!N145</f>
        <v>0</v>
      </c>
      <c r="S145" s="7">
        <v>0</v>
      </c>
      <c r="T145" s="7">
        <v>0</v>
      </c>
      <c r="U145" s="7">
        <v>0</v>
      </c>
      <c r="V145" s="7"/>
      <c r="W145" s="60"/>
      <c r="X145" s="60"/>
      <c r="Y145" s="60"/>
      <c r="Z145" s="7"/>
      <c r="AA145" s="7"/>
      <c r="AB145" s="60"/>
      <c r="AC145" s="60"/>
      <c r="AD145" s="60"/>
      <c r="AE145" s="7"/>
      <c r="AF145" s="7"/>
      <c r="AG145" s="7"/>
      <c r="AH145" s="7"/>
      <c r="AI145" s="7"/>
      <c r="AJ145" s="7">
        <f>Liste!X145</f>
        <v>0</v>
      </c>
      <c r="AK145" s="7">
        <f>Liste!Y145</f>
        <v>0</v>
      </c>
      <c r="AL145" s="7"/>
      <c r="AM145" s="7"/>
      <c r="AN145" s="7"/>
      <c r="AO145" s="1113">
        <f>Liste!D145</f>
        <v>0</v>
      </c>
      <c r="AP145" s="1113">
        <f>Liste!F145</f>
        <v>0</v>
      </c>
      <c r="AQ145" s="1113">
        <f>Liste!E145</f>
        <v>0</v>
      </c>
      <c r="AR145" s="1113">
        <f>Liste!G145</f>
        <v>0</v>
      </c>
      <c r="AS145" s="1112">
        <f>Liste!V145</f>
        <v>0</v>
      </c>
      <c r="AT145" s="1">
        <f>Liste!M145</f>
        <v>0</v>
      </c>
      <c r="AZ145" s="5" t="s">
        <v>29962</v>
      </c>
      <c r="BA145" s="4" t="s">
        <v>101</v>
      </c>
      <c r="BB145" s="4">
        <v>648</v>
      </c>
      <c r="BD145" s="35"/>
      <c r="BE145" s="35"/>
      <c r="BF145" s="2118">
        <f>Liste!R145</f>
        <v>0</v>
      </c>
      <c r="BG145" s="2137">
        <f>IF(AS145&gt;0,Liste!S145,0)</f>
        <v>0</v>
      </c>
      <c r="BH145" s="2118">
        <f>Liste!T145</f>
        <v>0</v>
      </c>
    </row>
    <row r="146" spans="1:60" ht="24.95" customHeight="1" x14ac:dyDescent="0.25">
      <c r="A146" s="29"/>
      <c r="B146" s="46" t="str">
        <f>IF(Liste!O146&gt;0,Liste!O146,Liste!B146)</f>
        <v>Blattfeder Sicherheitskontaktleiste</v>
      </c>
      <c r="C146" s="2314"/>
      <c r="D146" s="30" t="str">
        <f>Liste!C146</f>
        <v>0306133</v>
      </c>
      <c r="E146" s="2314"/>
      <c r="F146" s="32">
        <f t="shared" si="12"/>
        <v>0</v>
      </c>
      <c r="G146" s="2314"/>
      <c r="H146" s="32">
        <f t="shared" si="13"/>
        <v>0</v>
      </c>
      <c r="I146" s="2314"/>
      <c r="J146" s="32">
        <f t="shared" si="14"/>
        <v>0</v>
      </c>
      <c r="K146" s="2314"/>
      <c r="L146" s="31">
        <f t="shared" si="15"/>
        <v>0</v>
      </c>
      <c r="M146" s="2314"/>
      <c r="N146" s="31" t="str">
        <f>Liste!L146</f>
        <v>Stk</v>
      </c>
      <c r="O146" s="31"/>
      <c r="P146" s="31"/>
      <c r="Q146" s="31">
        <f>Liste!P146</f>
        <v>0</v>
      </c>
      <c r="R146" s="31">
        <f>Liste!N146</f>
        <v>0</v>
      </c>
      <c r="S146" s="7">
        <v>0</v>
      </c>
      <c r="T146" s="7">
        <v>0</v>
      </c>
      <c r="U146" s="7">
        <v>0</v>
      </c>
      <c r="V146" s="7"/>
      <c r="W146" s="60"/>
      <c r="X146" s="60"/>
      <c r="Y146" s="60"/>
      <c r="Z146" s="7"/>
      <c r="AA146" s="7"/>
      <c r="AB146" s="60"/>
      <c r="AC146" s="60"/>
      <c r="AD146" s="60"/>
      <c r="AE146" s="7"/>
      <c r="AF146" s="7"/>
      <c r="AG146" s="7"/>
      <c r="AH146" s="7"/>
      <c r="AI146" s="7"/>
      <c r="AJ146" s="7">
        <f>Liste!X146</f>
        <v>0</v>
      </c>
      <c r="AK146" s="7">
        <f>Liste!Y146</f>
        <v>0</v>
      </c>
      <c r="AL146" s="7"/>
      <c r="AM146" s="7"/>
      <c r="AN146" s="7"/>
      <c r="AO146" s="1113">
        <f>Liste!D146</f>
        <v>0</v>
      </c>
      <c r="AP146" s="1113">
        <f>Liste!F146</f>
        <v>0</v>
      </c>
      <c r="AQ146" s="1113">
        <f>Liste!E146</f>
        <v>0</v>
      </c>
      <c r="AR146" s="1113">
        <f>Liste!G146</f>
        <v>0</v>
      </c>
      <c r="AS146" s="1112">
        <f>Liste!V146</f>
        <v>1</v>
      </c>
      <c r="AT146" s="1">
        <f>Liste!M146</f>
        <v>0</v>
      </c>
      <c r="AZ146" s="5" t="s">
        <v>29963</v>
      </c>
      <c r="BA146" s="4" t="s">
        <v>101</v>
      </c>
      <c r="BB146" s="4">
        <v>649</v>
      </c>
      <c r="BD146" s="35"/>
      <c r="BE146" s="35"/>
      <c r="BF146" s="2118" t="str">
        <f>Liste!R146</f>
        <v>0306133</v>
      </c>
      <c r="BG146" s="2137">
        <f>IF(AS146&gt;0,Liste!S146,0)</f>
        <v>0</v>
      </c>
      <c r="BH146" s="2118" t="str">
        <f>Liste!T146</f>
        <v>Stk</v>
      </c>
    </row>
    <row r="147" spans="1:60" ht="24.95" customHeight="1" x14ac:dyDescent="0.25">
      <c r="A147" s="29"/>
      <c r="B147" s="46" t="str">
        <f>IF(Liste!O147&gt;0,Liste!O147,Liste!B147)</f>
        <v>C-Profilschiene 2m Stück verzinkt</v>
      </c>
      <c r="C147" s="2314"/>
      <c r="D147" s="30" t="str">
        <f>Liste!C147</f>
        <v>1410015</v>
      </c>
      <c r="E147" s="2314"/>
      <c r="F147" s="32">
        <f t="shared" si="12"/>
        <v>0</v>
      </c>
      <c r="G147" s="2314"/>
      <c r="H147" s="32">
        <f t="shared" si="13"/>
        <v>0</v>
      </c>
      <c r="I147" s="2314"/>
      <c r="J147" s="32">
        <f t="shared" si="14"/>
        <v>0</v>
      </c>
      <c r="K147" s="2314"/>
      <c r="L147" s="31">
        <f t="shared" si="15"/>
        <v>0</v>
      </c>
      <c r="M147" s="2314"/>
      <c r="N147" s="31" t="str">
        <f>Liste!L147</f>
        <v>Stk</v>
      </c>
      <c r="O147" s="31"/>
      <c r="P147" s="31"/>
      <c r="Q147" s="31">
        <f>Liste!P147</f>
        <v>0</v>
      </c>
      <c r="R147" s="31">
        <f>Liste!N147</f>
        <v>0</v>
      </c>
      <c r="S147" s="7">
        <v>0</v>
      </c>
      <c r="T147" s="7">
        <v>0</v>
      </c>
      <c r="U147" s="7">
        <v>0</v>
      </c>
      <c r="V147" s="7"/>
      <c r="W147" s="60"/>
      <c r="X147" s="60"/>
      <c r="Y147" s="60"/>
      <c r="Z147" s="7"/>
      <c r="AA147" s="7"/>
      <c r="AB147" s="60"/>
      <c r="AC147" s="60"/>
      <c r="AD147" s="60"/>
      <c r="AE147" s="7"/>
      <c r="AF147" s="7"/>
      <c r="AG147" s="7"/>
      <c r="AH147" s="7"/>
      <c r="AI147" s="7"/>
      <c r="AJ147" s="7">
        <f>Liste!X147</f>
        <v>0</v>
      </c>
      <c r="AK147" s="7">
        <f>Liste!Y147</f>
        <v>0</v>
      </c>
      <c r="AL147" s="7"/>
      <c r="AM147" s="7"/>
      <c r="AN147" s="7"/>
      <c r="AO147" s="1113">
        <f>Liste!D147</f>
        <v>0</v>
      </c>
      <c r="AP147" s="1113">
        <f>Liste!F147</f>
        <v>0</v>
      </c>
      <c r="AQ147" s="1113">
        <f>Liste!E147</f>
        <v>0</v>
      </c>
      <c r="AR147" s="1113">
        <f>Liste!G147</f>
        <v>0</v>
      </c>
      <c r="AS147" s="1112">
        <f>Liste!V147</f>
        <v>1</v>
      </c>
      <c r="AT147" s="1">
        <f>Liste!M147</f>
        <v>0</v>
      </c>
      <c r="AZ147" s="5" t="s">
        <v>208</v>
      </c>
      <c r="BA147" s="4" t="s">
        <v>101</v>
      </c>
      <c r="BB147" s="4">
        <v>650</v>
      </c>
      <c r="BD147" s="35"/>
      <c r="BE147" s="35"/>
      <c r="BF147" s="2118" t="str">
        <f>Liste!R147</f>
        <v>1410015</v>
      </c>
      <c r="BG147" s="2137">
        <f>IF(AS147&gt;0,Liste!S147,0)</f>
        <v>0</v>
      </c>
      <c r="BH147" s="2118" t="str">
        <f>Liste!T147</f>
        <v>Stk</v>
      </c>
    </row>
    <row r="148" spans="1:60" ht="24.95" customHeight="1" x14ac:dyDescent="0.25">
      <c r="A148" s="29"/>
      <c r="B148" s="46" t="str">
        <f>IF(Liste!O148&gt;0,Liste!O148,Liste!B148)</f>
        <v>C-Profilschiene 2m Stück V2A</v>
      </c>
      <c r="C148" s="2314"/>
      <c r="D148" s="30" t="str">
        <f>Liste!C148</f>
        <v>1410111</v>
      </c>
      <c r="E148" s="2314"/>
      <c r="F148" s="32">
        <f t="shared" si="12"/>
        <v>0</v>
      </c>
      <c r="G148" s="2314"/>
      <c r="H148" s="32">
        <f t="shared" si="13"/>
        <v>0</v>
      </c>
      <c r="I148" s="2314"/>
      <c r="J148" s="32">
        <f t="shared" si="14"/>
        <v>0</v>
      </c>
      <c r="K148" s="2314"/>
      <c r="L148" s="31">
        <f t="shared" si="15"/>
        <v>0</v>
      </c>
      <c r="M148" s="2314"/>
      <c r="N148" s="31" t="str">
        <f>Liste!L148</f>
        <v>Stk</v>
      </c>
      <c r="O148" s="31"/>
      <c r="P148" s="31"/>
      <c r="Q148" s="31">
        <f>Liste!P148</f>
        <v>0</v>
      </c>
      <c r="R148" s="31">
        <f>Liste!N148</f>
        <v>0</v>
      </c>
      <c r="S148" s="7">
        <v>0</v>
      </c>
      <c r="T148" s="7">
        <v>0</v>
      </c>
      <c r="U148" s="7">
        <v>0</v>
      </c>
      <c r="V148" s="7"/>
      <c r="W148" s="60"/>
      <c r="X148" s="60"/>
      <c r="Y148" s="60"/>
      <c r="Z148" s="7"/>
      <c r="AA148" s="7"/>
      <c r="AB148" s="60"/>
      <c r="AC148" s="60"/>
      <c r="AD148" s="60"/>
      <c r="AE148" s="7"/>
      <c r="AF148" s="7"/>
      <c r="AG148" s="7"/>
      <c r="AH148" s="7"/>
      <c r="AI148" s="7"/>
      <c r="AJ148" s="7">
        <f>Liste!X148</f>
        <v>0</v>
      </c>
      <c r="AK148" s="7">
        <f>Liste!Y148</f>
        <v>0</v>
      </c>
      <c r="AL148" s="7"/>
      <c r="AM148" s="7"/>
      <c r="AN148" s="7"/>
      <c r="AO148" s="1113">
        <f>Liste!D148</f>
        <v>0</v>
      </c>
      <c r="AP148" s="1113">
        <f>Liste!F148</f>
        <v>0</v>
      </c>
      <c r="AQ148" s="1113">
        <f>Liste!E148</f>
        <v>0</v>
      </c>
      <c r="AR148" s="1113">
        <f>Liste!G148</f>
        <v>0</v>
      </c>
      <c r="AS148" s="1112">
        <f>Liste!V148</f>
        <v>1</v>
      </c>
      <c r="AT148" s="1">
        <f>Liste!M148</f>
        <v>0</v>
      </c>
      <c r="AZ148" s="5" t="s">
        <v>209</v>
      </c>
      <c r="BA148" s="4" t="s">
        <v>101</v>
      </c>
      <c r="BB148" s="4">
        <v>651</v>
      </c>
      <c r="BD148" s="35"/>
      <c r="BE148" s="35"/>
      <c r="BF148" s="2118" t="str">
        <f>Liste!R148</f>
        <v>1410111</v>
      </c>
      <c r="BG148" s="2137">
        <f>IF(AS148&gt;0,Liste!S148,0)</f>
        <v>0</v>
      </c>
      <c r="BH148" s="2118" t="str">
        <f>Liste!T148</f>
        <v>Stk</v>
      </c>
    </row>
    <row r="149" spans="1:60" ht="24.95" customHeight="1" x14ac:dyDescent="0.25">
      <c r="A149" s="29"/>
      <c r="B149" s="46">
        <f>IF(Liste!O149&gt;0,Liste!O149,Liste!B149)</f>
        <v>0</v>
      </c>
      <c r="C149" s="2314"/>
      <c r="D149" s="30">
        <f>Liste!C149</f>
        <v>0</v>
      </c>
      <c r="E149" s="2314"/>
      <c r="F149" s="32">
        <f t="shared" si="12"/>
        <v>0</v>
      </c>
      <c r="G149" s="2314"/>
      <c r="H149" s="32">
        <f t="shared" si="13"/>
        <v>0</v>
      </c>
      <c r="I149" s="2314"/>
      <c r="J149" s="32">
        <f t="shared" si="14"/>
        <v>0</v>
      </c>
      <c r="K149" s="2314"/>
      <c r="L149" s="31">
        <f t="shared" si="15"/>
        <v>0</v>
      </c>
      <c r="M149" s="2314"/>
      <c r="N149" s="31">
        <f>Liste!L149</f>
        <v>0</v>
      </c>
      <c r="O149" s="31"/>
      <c r="P149" s="31"/>
      <c r="Q149" s="31">
        <f>Liste!P149</f>
        <v>0</v>
      </c>
      <c r="R149" s="31">
        <f>Liste!N149</f>
        <v>0</v>
      </c>
      <c r="S149" s="7">
        <v>0</v>
      </c>
      <c r="T149" s="7">
        <v>0</v>
      </c>
      <c r="U149" s="7">
        <v>0</v>
      </c>
      <c r="V149" s="7"/>
      <c r="W149" s="60"/>
      <c r="X149" s="60"/>
      <c r="Y149" s="60"/>
      <c r="Z149" s="7"/>
      <c r="AA149" s="7"/>
      <c r="AB149" s="60"/>
      <c r="AC149" s="60"/>
      <c r="AD149" s="60"/>
      <c r="AE149" s="7"/>
      <c r="AF149" s="7"/>
      <c r="AG149" s="7"/>
      <c r="AH149" s="7"/>
      <c r="AI149" s="7"/>
      <c r="AJ149" s="7">
        <f>Liste!X149</f>
        <v>0</v>
      </c>
      <c r="AK149" s="7">
        <f>Liste!Y149</f>
        <v>0</v>
      </c>
      <c r="AL149" s="7"/>
      <c r="AM149" s="7"/>
      <c r="AN149" s="7"/>
      <c r="AO149" s="1113">
        <f>Liste!D149</f>
        <v>0</v>
      </c>
      <c r="AP149" s="1113">
        <f>Liste!F149</f>
        <v>0</v>
      </c>
      <c r="AQ149" s="1113">
        <f>Liste!E149</f>
        <v>0</v>
      </c>
      <c r="AR149" s="1113">
        <f>Liste!G149</f>
        <v>0</v>
      </c>
      <c r="AS149" s="1112">
        <f>Liste!V149</f>
        <v>0</v>
      </c>
      <c r="AT149" s="1">
        <f>Liste!M149</f>
        <v>0</v>
      </c>
      <c r="AZ149" s="5" t="s">
        <v>210</v>
      </c>
      <c r="BA149" s="4" t="s">
        <v>101</v>
      </c>
      <c r="BB149" s="4">
        <v>652</v>
      </c>
      <c r="BD149" s="35"/>
      <c r="BE149" s="35"/>
      <c r="BF149" s="2118">
        <f>Liste!R149</f>
        <v>0</v>
      </c>
      <c r="BG149" s="2137">
        <f>IF(AS149&gt;0,Liste!S149,0)</f>
        <v>0</v>
      </c>
      <c r="BH149" s="2118">
        <f>Liste!T149</f>
        <v>0</v>
      </c>
    </row>
    <row r="150" spans="1:60" ht="24.95" customHeight="1" x14ac:dyDescent="0.25">
      <c r="A150" s="29"/>
      <c r="B150" s="46" t="str">
        <f>IF(Liste!O150&gt;0,Liste!O150,Liste!B150)</f>
        <v>C-Schienenverbindungsstück</v>
      </c>
      <c r="C150" s="2314"/>
      <c r="D150" s="30">
        <f>Liste!C150</f>
        <v>0</v>
      </c>
      <c r="E150" s="2314"/>
      <c r="F150" s="32">
        <f t="shared" si="12"/>
        <v>0</v>
      </c>
      <c r="G150" s="2314"/>
      <c r="H150" s="32">
        <f t="shared" si="13"/>
        <v>0</v>
      </c>
      <c r="I150" s="2314"/>
      <c r="J150" s="32">
        <f t="shared" si="14"/>
        <v>0</v>
      </c>
      <c r="K150" s="2314"/>
      <c r="L150" s="31">
        <f t="shared" si="15"/>
        <v>0</v>
      </c>
      <c r="M150" s="2314"/>
      <c r="N150" s="31" t="str">
        <f>Liste!L150</f>
        <v>Stk</v>
      </c>
      <c r="O150" s="31"/>
      <c r="P150" s="31"/>
      <c r="Q150" s="31">
        <f>Liste!P150</f>
        <v>0</v>
      </c>
      <c r="R150" s="31">
        <f>Liste!N150</f>
        <v>0</v>
      </c>
      <c r="S150" s="7">
        <v>0</v>
      </c>
      <c r="T150" s="7">
        <v>0</v>
      </c>
      <c r="U150" s="7">
        <v>0</v>
      </c>
      <c r="V150" s="7"/>
      <c r="W150" s="60"/>
      <c r="X150" s="60"/>
      <c r="Y150" s="60"/>
      <c r="Z150" s="7"/>
      <c r="AA150" s="7"/>
      <c r="AB150" s="60"/>
      <c r="AC150" s="60"/>
      <c r="AD150" s="60"/>
      <c r="AE150" s="7"/>
      <c r="AF150" s="7"/>
      <c r="AG150" s="7"/>
      <c r="AH150" s="7"/>
      <c r="AI150" s="7"/>
      <c r="AJ150" s="7">
        <f>Liste!X150</f>
        <v>0</v>
      </c>
      <c r="AK150" s="7">
        <f>Liste!Y150</f>
        <v>0</v>
      </c>
      <c r="AL150" s="7"/>
      <c r="AM150" s="7"/>
      <c r="AN150" s="7"/>
      <c r="AO150" s="1113">
        <f>Liste!D150</f>
        <v>0</v>
      </c>
      <c r="AP150" s="1113">
        <f>Liste!F150</f>
        <v>0</v>
      </c>
      <c r="AQ150" s="1113">
        <f>Liste!E150</f>
        <v>0</v>
      </c>
      <c r="AR150" s="1113">
        <f>Liste!G150</f>
        <v>0</v>
      </c>
      <c r="AS150" s="1112">
        <f>Liste!V150</f>
        <v>1</v>
      </c>
      <c r="AT150" s="1">
        <f>Liste!M150</f>
        <v>0</v>
      </c>
      <c r="AZ150" s="5" t="s">
        <v>211</v>
      </c>
      <c r="BA150" s="4" t="s">
        <v>101</v>
      </c>
      <c r="BB150" s="4">
        <v>653</v>
      </c>
      <c r="BD150" s="35"/>
      <c r="BE150" s="35"/>
      <c r="BF150" s="2118">
        <f>Liste!R150</f>
        <v>0</v>
      </c>
      <c r="BG150" s="2137">
        <f>IF(AS150&gt;0,Liste!S150,0)</f>
        <v>0</v>
      </c>
      <c r="BH150" s="2118">
        <f>Liste!T150</f>
        <v>0</v>
      </c>
    </row>
    <row r="151" spans="1:60" ht="24.95" customHeight="1" x14ac:dyDescent="0.25">
      <c r="A151" s="29"/>
      <c r="B151" s="46" t="str">
        <f>IF(Liste!O151&gt;0,Liste!O151,Liste!B151)</f>
        <v>Klebeband für Sicherheitskontaktleiste</v>
      </c>
      <c r="C151" s="2314"/>
      <c r="D151" s="30" t="str">
        <f>Liste!C151</f>
        <v>0907042</v>
      </c>
      <c r="E151" s="2314"/>
      <c r="F151" s="32">
        <f t="shared" si="12"/>
        <v>0</v>
      </c>
      <c r="G151" s="2314"/>
      <c r="H151" s="32">
        <f t="shared" si="13"/>
        <v>0</v>
      </c>
      <c r="I151" s="2314"/>
      <c r="J151" s="32">
        <f t="shared" si="14"/>
        <v>0</v>
      </c>
      <c r="K151" s="2314"/>
      <c r="L151" s="31">
        <f t="shared" si="15"/>
        <v>0</v>
      </c>
      <c r="M151" s="2314"/>
      <c r="N151" s="31" t="str">
        <f>Liste!L151</f>
        <v>M</v>
      </c>
      <c r="O151" s="31"/>
      <c r="P151" s="31"/>
      <c r="Q151" s="31">
        <f>Liste!P151</f>
        <v>0</v>
      </c>
      <c r="R151" s="31">
        <f>Liste!N151</f>
        <v>0</v>
      </c>
      <c r="S151" s="7">
        <v>0</v>
      </c>
      <c r="T151" s="7">
        <v>0</v>
      </c>
      <c r="U151" s="7">
        <v>0</v>
      </c>
      <c r="V151" s="7"/>
      <c r="W151" s="60"/>
      <c r="X151" s="60"/>
      <c r="Y151" s="60"/>
      <c r="Z151" s="7"/>
      <c r="AA151" s="7"/>
      <c r="AB151" s="60"/>
      <c r="AC151" s="60"/>
      <c r="AD151" s="60"/>
      <c r="AE151" s="7"/>
      <c r="AF151" s="7"/>
      <c r="AG151" s="7"/>
      <c r="AH151" s="7"/>
      <c r="AI151" s="7"/>
      <c r="AJ151" s="7">
        <f>Liste!X151</f>
        <v>0</v>
      </c>
      <c r="AK151" s="7">
        <f>Liste!Y151</f>
        <v>0</v>
      </c>
      <c r="AL151" s="7"/>
      <c r="AM151" s="7"/>
      <c r="AN151" s="7"/>
      <c r="AO151" s="1113">
        <f>Liste!D151</f>
        <v>0</v>
      </c>
      <c r="AP151" s="1113">
        <f>Liste!F151</f>
        <v>0</v>
      </c>
      <c r="AQ151" s="1113">
        <f>Liste!E151</f>
        <v>0</v>
      </c>
      <c r="AR151" s="1113">
        <f>Liste!G151</f>
        <v>0</v>
      </c>
      <c r="AS151" s="1112">
        <f>Liste!V151</f>
        <v>1</v>
      </c>
      <c r="AT151" s="1">
        <f>Liste!M151</f>
        <v>0</v>
      </c>
      <c r="AZ151" s="5" t="s">
        <v>29964</v>
      </c>
      <c r="BA151" s="4" t="s">
        <v>101</v>
      </c>
      <c r="BB151" s="4">
        <v>654</v>
      </c>
      <c r="BD151" s="35"/>
      <c r="BE151" s="35"/>
      <c r="BF151" s="2118" t="str">
        <f>Liste!R151</f>
        <v>0907042</v>
      </c>
      <c r="BG151" s="2137">
        <f>IF(AS151&gt;0,Liste!S151,0)</f>
        <v>0</v>
      </c>
      <c r="BH151" s="2118" t="str">
        <f>Liste!T151</f>
        <v>Stk</v>
      </c>
    </row>
    <row r="152" spans="1:60" ht="24.95" customHeight="1" x14ac:dyDescent="0.25">
      <c r="A152" s="29"/>
      <c r="B152" s="46" t="str">
        <f>IF(Liste!O152&gt;0,Liste!O152,Liste!B152)</f>
        <v>Montageanleitung für Sicherheitskontaktleiste</v>
      </c>
      <c r="C152" s="2314"/>
      <c r="D152" s="30" t="str">
        <f>Liste!C152</f>
        <v>0306714</v>
      </c>
      <c r="E152" s="2314"/>
      <c r="F152" s="32">
        <f t="shared" si="12"/>
        <v>0</v>
      </c>
      <c r="G152" s="2314"/>
      <c r="H152" s="32">
        <f t="shared" si="13"/>
        <v>0</v>
      </c>
      <c r="I152" s="2314"/>
      <c r="J152" s="32">
        <f t="shared" si="14"/>
        <v>0</v>
      </c>
      <c r="K152" s="2314"/>
      <c r="L152" s="31">
        <f t="shared" si="15"/>
        <v>0</v>
      </c>
      <c r="M152" s="2314"/>
      <c r="N152" s="31" t="str">
        <f>Liste!L152</f>
        <v>Stk</v>
      </c>
      <c r="O152" s="31"/>
      <c r="P152" s="31"/>
      <c r="Q152" s="31">
        <f>Liste!P152</f>
        <v>0</v>
      </c>
      <c r="R152" s="31">
        <f>Liste!N152</f>
        <v>0</v>
      </c>
      <c r="S152" s="7">
        <v>0</v>
      </c>
      <c r="T152" s="7">
        <v>0</v>
      </c>
      <c r="U152" s="7">
        <v>0</v>
      </c>
      <c r="V152" s="7"/>
      <c r="W152" s="60"/>
      <c r="X152" s="60"/>
      <c r="Y152" s="60"/>
      <c r="Z152" s="7"/>
      <c r="AA152" s="7"/>
      <c r="AB152" s="60"/>
      <c r="AC152" s="60"/>
      <c r="AD152" s="60"/>
      <c r="AE152" s="7"/>
      <c r="AF152" s="7"/>
      <c r="AG152" s="7"/>
      <c r="AH152" s="7"/>
      <c r="AI152" s="7"/>
      <c r="AJ152" s="7">
        <f>Liste!X152</f>
        <v>0</v>
      </c>
      <c r="AK152" s="7">
        <f>Liste!Y152</f>
        <v>0</v>
      </c>
      <c r="AL152" s="7"/>
      <c r="AM152" s="7"/>
      <c r="AN152" s="7"/>
      <c r="AO152" s="1113">
        <f>Liste!D152</f>
        <v>0</v>
      </c>
      <c r="AP152" s="1113">
        <f>Liste!F152</f>
        <v>0</v>
      </c>
      <c r="AQ152" s="1113">
        <f>Liste!E152</f>
        <v>0</v>
      </c>
      <c r="AR152" s="1113">
        <f>Liste!G152</f>
        <v>0</v>
      </c>
      <c r="AS152" s="1112">
        <f>Liste!V152</f>
        <v>1</v>
      </c>
      <c r="AT152" s="1">
        <f>Liste!M152</f>
        <v>0</v>
      </c>
      <c r="AZ152" s="5" t="s">
        <v>212</v>
      </c>
      <c r="BA152" s="4" t="s">
        <v>101</v>
      </c>
      <c r="BB152" s="4">
        <v>655</v>
      </c>
      <c r="BD152" s="35"/>
      <c r="BE152" s="35"/>
      <c r="BF152" s="2118" t="str">
        <f>Liste!R152</f>
        <v>0306714</v>
      </c>
      <c r="BG152" s="2137">
        <f>IF(AS152&gt;0,Liste!S152,0)</f>
        <v>0</v>
      </c>
      <c r="BH152" s="2118" t="str">
        <f>Liste!T152</f>
        <v>M</v>
      </c>
    </row>
    <row r="153" spans="1:60" ht="24.95" customHeight="1" x14ac:dyDescent="0.25">
      <c r="A153" s="29"/>
      <c r="B153" s="46" t="str">
        <f>IF(Liste!O153&gt;0,Liste!O153,Liste!B153)</f>
        <v>Reinigungsset für Sicherheitskontaktleiste</v>
      </c>
      <c r="C153" s="2314"/>
      <c r="D153" s="30" t="str">
        <f>Liste!C153</f>
        <v>0907041</v>
      </c>
      <c r="E153" s="2314"/>
      <c r="F153" s="32">
        <f t="shared" si="12"/>
        <v>0</v>
      </c>
      <c r="G153" s="2314"/>
      <c r="H153" s="32">
        <f t="shared" si="13"/>
        <v>0</v>
      </c>
      <c r="I153" s="2314"/>
      <c r="J153" s="32">
        <f t="shared" si="14"/>
        <v>0</v>
      </c>
      <c r="K153" s="2314"/>
      <c r="L153" s="31">
        <f t="shared" si="15"/>
        <v>0</v>
      </c>
      <c r="M153" s="2314"/>
      <c r="N153" s="31" t="str">
        <f>Liste!L153</f>
        <v>Stk</v>
      </c>
      <c r="O153" s="31"/>
      <c r="P153" s="31"/>
      <c r="Q153" s="31">
        <f>Liste!P153</f>
        <v>0</v>
      </c>
      <c r="R153" s="31">
        <f>Liste!N153</f>
        <v>0</v>
      </c>
      <c r="S153" s="7">
        <v>0</v>
      </c>
      <c r="T153" s="7">
        <v>0</v>
      </c>
      <c r="U153" s="7">
        <v>0</v>
      </c>
      <c r="V153" s="7"/>
      <c r="W153" s="60"/>
      <c r="X153" s="60"/>
      <c r="Y153" s="60"/>
      <c r="Z153" s="7"/>
      <c r="AA153" s="7"/>
      <c r="AB153" s="60"/>
      <c r="AC153" s="60"/>
      <c r="AD153" s="60"/>
      <c r="AE153" s="7"/>
      <c r="AF153" s="7"/>
      <c r="AG153" s="7"/>
      <c r="AH153" s="7"/>
      <c r="AI153" s="7"/>
      <c r="AJ153" s="7">
        <f>Liste!X153</f>
        <v>0</v>
      </c>
      <c r="AK153" s="7">
        <f>Liste!Y153</f>
        <v>0</v>
      </c>
      <c r="AL153" s="7"/>
      <c r="AM153" s="7"/>
      <c r="AN153" s="7"/>
      <c r="AO153" s="1113">
        <f>Liste!D153</f>
        <v>0</v>
      </c>
      <c r="AP153" s="1113">
        <f>Liste!F153</f>
        <v>0</v>
      </c>
      <c r="AQ153" s="1113">
        <f>Liste!E153</f>
        <v>0</v>
      </c>
      <c r="AR153" s="1113">
        <f>Liste!G153</f>
        <v>0</v>
      </c>
      <c r="AS153" s="1112">
        <f>Liste!V153</f>
        <v>1</v>
      </c>
      <c r="AT153" s="1">
        <f>Liste!M153</f>
        <v>0</v>
      </c>
      <c r="AZ153" s="5" t="s">
        <v>213</v>
      </c>
      <c r="BA153" s="4" t="s">
        <v>101</v>
      </c>
      <c r="BB153" s="4">
        <v>656</v>
      </c>
      <c r="BD153" s="35"/>
      <c r="BE153" s="35"/>
      <c r="BF153" s="2118" t="str">
        <f>Liste!R153</f>
        <v>0907041</v>
      </c>
      <c r="BG153" s="2137">
        <f>IF(AS153&gt;0,Liste!S153,0)</f>
        <v>0</v>
      </c>
      <c r="BH153" s="2118" t="str">
        <f>Liste!T153</f>
        <v>Stk</v>
      </c>
    </row>
    <row r="154" spans="1:60" ht="24.95" customHeight="1" x14ac:dyDescent="0.25">
      <c r="A154" s="29"/>
      <c r="B154" s="46" t="str">
        <f>IF(Liste!O154&gt;0,Liste!O154,Liste!B154)</f>
        <v>Anschlusset für Kabelgebundene Kontaktleiste</v>
      </c>
      <c r="C154" s="2314"/>
      <c r="D154" s="30" t="str">
        <f>Liste!C154</f>
        <v>0712154</v>
      </c>
      <c r="E154" s="2314"/>
      <c r="F154" s="32">
        <f t="shared" si="12"/>
        <v>0</v>
      </c>
      <c r="G154" s="2314"/>
      <c r="H154" s="32">
        <f t="shared" si="13"/>
        <v>0</v>
      </c>
      <c r="I154" s="2314"/>
      <c r="J154" s="32">
        <f t="shared" si="14"/>
        <v>0</v>
      </c>
      <c r="K154" s="2314"/>
      <c r="L154" s="31">
        <f t="shared" si="15"/>
        <v>0</v>
      </c>
      <c r="M154" s="2314"/>
      <c r="N154" s="31" t="str">
        <f>Liste!L154</f>
        <v>Stk</v>
      </c>
      <c r="O154" s="31"/>
      <c r="P154" s="31"/>
      <c r="Q154" s="31">
        <f>Liste!P154</f>
        <v>0</v>
      </c>
      <c r="R154" s="31">
        <f>Liste!N154</f>
        <v>0</v>
      </c>
      <c r="S154" s="7">
        <v>0</v>
      </c>
      <c r="T154" s="7">
        <v>0</v>
      </c>
      <c r="U154" s="7">
        <v>0</v>
      </c>
      <c r="V154" s="7"/>
      <c r="W154" s="60"/>
      <c r="X154" s="60"/>
      <c r="Y154" s="60"/>
      <c r="Z154" s="7"/>
      <c r="AA154" s="7"/>
      <c r="AB154" s="60"/>
      <c r="AC154" s="60"/>
      <c r="AD154" s="60"/>
      <c r="AE154" s="7"/>
      <c r="AF154" s="7"/>
      <c r="AG154" s="7"/>
      <c r="AH154" s="7"/>
      <c r="AI154" s="7"/>
      <c r="AJ154" s="7">
        <f>Liste!X154</f>
        <v>0</v>
      </c>
      <c r="AK154" s="7">
        <f>Liste!Y154</f>
        <v>0</v>
      </c>
      <c r="AL154" s="7"/>
      <c r="AM154" s="7"/>
      <c r="AN154" s="7"/>
      <c r="AO154" s="1113">
        <f>Liste!D154</f>
        <v>0</v>
      </c>
      <c r="AP154" s="1113">
        <f>Liste!F154</f>
        <v>0</v>
      </c>
      <c r="AQ154" s="1113">
        <f>Liste!E154</f>
        <v>0</v>
      </c>
      <c r="AR154" s="1113">
        <f>Liste!G154</f>
        <v>0</v>
      </c>
      <c r="AS154" s="1112">
        <f>Liste!V154</f>
        <v>1</v>
      </c>
      <c r="AT154" s="1">
        <f>Liste!M154</f>
        <v>0</v>
      </c>
      <c r="AZ154" s="5" t="s">
        <v>214</v>
      </c>
      <c r="BA154" s="4" t="s">
        <v>101</v>
      </c>
      <c r="BB154" s="4">
        <v>657</v>
      </c>
      <c r="BD154" s="35"/>
      <c r="BE154" s="35"/>
      <c r="BF154" s="2118" t="str">
        <f>Liste!R154</f>
        <v>0712154</v>
      </c>
      <c r="BG154" s="2137">
        <f>IF(AS154&gt;0,Liste!S154,0)</f>
        <v>0</v>
      </c>
      <c r="BH154" s="2118" t="str">
        <f>Liste!T154</f>
        <v>Stk</v>
      </c>
    </row>
    <row r="155" spans="1:60" ht="24.95" customHeight="1" x14ac:dyDescent="0.25">
      <c r="A155" s="29"/>
      <c r="B155" s="46" t="str">
        <f>IF(Liste!O155&gt;0,Liste!O155,Liste!B155)</f>
        <v>Funk-Sender für Sicherheitskontaktleiste</v>
      </c>
      <c r="C155" s="2314"/>
      <c r="D155" s="30" t="str">
        <f>Liste!C155</f>
        <v>1509014</v>
      </c>
      <c r="E155" s="2314"/>
      <c r="F155" s="32">
        <f t="shared" si="12"/>
        <v>0</v>
      </c>
      <c r="G155" s="2314"/>
      <c r="H155" s="32">
        <f t="shared" si="13"/>
        <v>0</v>
      </c>
      <c r="I155" s="2314"/>
      <c r="J155" s="32">
        <f t="shared" si="14"/>
        <v>0</v>
      </c>
      <c r="K155" s="2314"/>
      <c r="L155" s="31">
        <f t="shared" si="15"/>
        <v>0</v>
      </c>
      <c r="M155" s="2314"/>
      <c r="N155" s="31" t="str">
        <f>Liste!L155</f>
        <v>Stk</v>
      </c>
      <c r="O155" s="31"/>
      <c r="P155" s="31"/>
      <c r="Q155" s="31">
        <f>Liste!P155</f>
        <v>0</v>
      </c>
      <c r="R155" s="31">
        <f>Liste!N155</f>
        <v>0</v>
      </c>
      <c r="S155" s="7">
        <v>0</v>
      </c>
      <c r="T155" s="7">
        <v>0</v>
      </c>
      <c r="U155" s="7">
        <v>0</v>
      </c>
      <c r="V155" s="7"/>
      <c r="W155" s="60"/>
      <c r="X155" s="60"/>
      <c r="Y155" s="60"/>
      <c r="Z155" s="7"/>
      <c r="AA155" s="7"/>
      <c r="AB155" s="60"/>
      <c r="AC155" s="60"/>
      <c r="AD155" s="60"/>
      <c r="AE155" s="7"/>
      <c r="AF155" s="7"/>
      <c r="AG155" s="7"/>
      <c r="AH155" s="7"/>
      <c r="AI155" s="7"/>
      <c r="AJ155" s="7">
        <f>Liste!X155</f>
        <v>0</v>
      </c>
      <c r="AK155" s="7">
        <f>Liste!Y155</f>
        <v>0</v>
      </c>
      <c r="AL155" s="7"/>
      <c r="AM155" s="7"/>
      <c r="AN155" s="7"/>
      <c r="AO155" s="1113">
        <f>Liste!D155</f>
        <v>0</v>
      </c>
      <c r="AP155" s="1113">
        <f>Liste!F155</f>
        <v>0</v>
      </c>
      <c r="AQ155" s="1113">
        <f>Liste!E155</f>
        <v>0</v>
      </c>
      <c r="AR155" s="1113">
        <f>Liste!G155</f>
        <v>0</v>
      </c>
      <c r="AS155" s="1112">
        <f>Liste!V155</f>
        <v>1</v>
      </c>
      <c r="AT155" s="1">
        <f>Liste!M155</f>
        <v>0</v>
      </c>
      <c r="AZ155" s="5" t="s">
        <v>215</v>
      </c>
      <c r="BA155" s="4" t="s">
        <v>101</v>
      </c>
      <c r="BB155" s="4">
        <v>658</v>
      </c>
      <c r="BD155" s="35"/>
      <c r="BE155" s="35"/>
      <c r="BF155" s="2118" t="str">
        <f>Liste!R155</f>
        <v>1509014</v>
      </c>
      <c r="BG155" s="2137">
        <f>IF(AS155&gt;0,Liste!S155,0)</f>
        <v>0</v>
      </c>
      <c r="BH155" s="2118" t="str">
        <f>Liste!T155</f>
        <v>Stk</v>
      </c>
    </row>
    <row r="156" spans="1:60" ht="24.95" customHeight="1" x14ac:dyDescent="0.25">
      <c r="A156" s="29"/>
      <c r="B156" s="46" t="str">
        <f>IF(Liste!O156&gt;0,Liste!O156,Liste!B156)</f>
        <v>TapeSwitch 8,2kOhm Hauptteil</v>
      </c>
      <c r="C156" s="2314"/>
      <c r="D156" s="30" t="str">
        <f>Liste!C156</f>
        <v>400259</v>
      </c>
      <c r="E156" s="2314"/>
      <c r="F156" s="32">
        <f t="shared" si="12"/>
        <v>0</v>
      </c>
      <c r="G156" s="2314"/>
      <c r="H156" s="32">
        <f t="shared" si="13"/>
        <v>0</v>
      </c>
      <c r="I156" s="2314"/>
      <c r="J156" s="32">
        <f t="shared" si="14"/>
        <v>0</v>
      </c>
      <c r="K156" s="2314"/>
      <c r="L156" s="31">
        <f t="shared" si="15"/>
        <v>0</v>
      </c>
      <c r="M156" s="2314"/>
      <c r="N156" s="31" t="str">
        <f>Liste!L156</f>
        <v>Stk</v>
      </c>
      <c r="O156" s="31"/>
      <c r="P156" s="31"/>
      <c r="Q156" s="31">
        <f>Liste!P156</f>
        <v>0</v>
      </c>
      <c r="R156" s="31">
        <f>Liste!N156</f>
        <v>0</v>
      </c>
      <c r="S156" s="7">
        <v>0</v>
      </c>
      <c r="T156" s="7">
        <v>0</v>
      </c>
      <c r="U156" s="7">
        <v>0</v>
      </c>
      <c r="V156" s="7"/>
      <c r="W156" s="60"/>
      <c r="X156" s="60"/>
      <c r="Y156" s="60"/>
      <c r="Z156" s="7"/>
      <c r="AA156" s="7"/>
      <c r="AB156" s="60"/>
      <c r="AC156" s="60"/>
      <c r="AD156" s="60"/>
      <c r="AE156" s="7"/>
      <c r="AF156" s="7"/>
      <c r="AG156" s="7"/>
      <c r="AH156" s="7"/>
      <c r="AI156" s="7"/>
      <c r="AJ156" s="7">
        <f>Liste!X156</f>
        <v>0</v>
      </c>
      <c r="AK156" s="7">
        <f>Liste!Y156</f>
        <v>0</v>
      </c>
      <c r="AL156" s="7"/>
      <c r="AM156" s="7"/>
      <c r="AN156" s="7"/>
      <c r="AO156" s="1113">
        <f>Liste!D156</f>
        <v>0</v>
      </c>
      <c r="AP156" s="1113">
        <f>Liste!F156</f>
        <v>0</v>
      </c>
      <c r="AQ156" s="1113">
        <f>Liste!E156</f>
        <v>0</v>
      </c>
      <c r="AR156" s="1113">
        <f>Liste!G156</f>
        <v>0</v>
      </c>
      <c r="AS156" s="1112">
        <f>Liste!V156</f>
        <v>1</v>
      </c>
      <c r="AT156" s="1">
        <f>Liste!M156</f>
        <v>0</v>
      </c>
      <c r="AZ156" s="5" t="s">
        <v>216</v>
      </c>
      <c r="BA156" s="4" t="s">
        <v>101</v>
      </c>
      <c r="BB156" s="4">
        <v>659</v>
      </c>
      <c r="BD156" s="35"/>
      <c r="BE156" s="35"/>
      <c r="BF156" s="2118" t="str">
        <f>Liste!R156</f>
        <v>400259</v>
      </c>
      <c r="BG156" s="2137">
        <f>IF(AS156&gt;0,Liste!S156,0)</f>
        <v>0</v>
      </c>
      <c r="BH156" s="2118" t="str">
        <f>Liste!T156</f>
        <v>Stk</v>
      </c>
    </row>
    <row r="157" spans="1:60" ht="24.95" customHeight="1" x14ac:dyDescent="0.25">
      <c r="A157" s="29"/>
      <c r="B157" s="46" t="str">
        <f>IF(Liste!O157&gt;0,Liste!O157,Liste!B157)</f>
        <v>Befestigungsprofil Sicherheitskontaktlleiste GCC Schließrichtung vertikal verzinkt</v>
      </c>
      <c r="C157" s="2314"/>
      <c r="D157" s="30" t="str">
        <f>Liste!C157</f>
        <v>0308380</v>
      </c>
      <c r="E157" s="2314"/>
      <c r="F157" s="32">
        <f t="shared" si="12"/>
        <v>0</v>
      </c>
      <c r="G157" s="2314"/>
      <c r="H157" s="32">
        <f t="shared" si="13"/>
        <v>0</v>
      </c>
      <c r="I157" s="2314"/>
      <c r="J157" s="32">
        <f t="shared" si="14"/>
        <v>0</v>
      </c>
      <c r="K157" s="2314"/>
      <c r="L157" s="31">
        <f t="shared" si="15"/>
        <v>0</v>
      </c>
      <c r="M157" s="2314"/>
      <c r="N157" s="31" t="str">
        <f>Liste!L157</f>
        <v>Stk</v>
      </c>
      <c r="O157" s="31"/>
      <c r="P157" s="31"/>
      <c r="Q157" s="31">
        <f>Liste!P157</f>
        <v>0</v>
      </c>
      <c r="R157" s="31">
        <f>Liste!N157</f>
        <v>0</v>
      </c>
      <c r="S157" s="7">
        <v>0</v>
      </c>
      <c r="T157" s="7">
        <v>0</v>
      </c>
      <c r="U157" s="7">
        <v>0</v>
      </c>
      <c r="V157" s="7"/>
      <c r="W157" s="60"/>
      <c r="X157" s="60"/>
      <c r="Y157" s="60"/>
      <c r="Z157" s="7"/>
      <c r="AA157" s="7"/>
      <c r="AB157" s="60"/>
      <c r="AC157" s="60"/>
      <c r="AD157" s="60"/>
      <c r="AE157" s="7"/>
      <c r="AF157" s="7"/>
      <c r="AG157" s="7"/>
      <c r="AH157" s="7"/>
      <c r="AI157" s="7"/>
      <c r="AJ157" s="7">
        <f>Liste!X157</f>
        <v>0</v>
      </c>
      <c r="AK157" s="7">
        <f>Liste!Y157</f>
        <v>1</v>
      </c>
      <c r="AL157" s="7"/>
      <c r="AM157" s="7"/>
      <c r="AN157" s="7"/>
      <c r="AO157" s="1113">
        <f>Liste!D157</f>
        <v>0</v>
      </c>
      <c r="AP157" s="1113">
        <f>Liste!F157</f>
        <v>920</v>
      </c>
      <c r="AQ157" s="1113">
        <f>Liste!E157</f>
        <v>78.31</v>
      </c>
      <c r="AR157" s="1113">
        <f>Liste!G157</f>
        <v>1.5</v>
      </c>
      <c r="AS157" s="1112">
        <f>Liste!V157</f>
        <v>1</v>
      </c>
      <c r="AT157" s="1" t="str">
        <f>Liste!M157</f>
        <v>Stahlblech verz.</v>
      </c>
      <c r="AZ157" s="5" t="s">
        <v>217</v>
      </c>
      <c r="BA157" s="4" t="s">
        <v>101</v>
      </c>
      <c r="BB157" s="4">
        <v>660</v>
      </c>
      <c r="BD157" s="35"/>
      <c r="BE157" s="35"/>
      <c r="BF157" s="2118" t="str">
        <f>Liste!R157</f>
        <v>0308380</v>
      </c>
      <c r="BG157" s="2137">
        <f>IF(AS157&gt;0,Liste!S157,0)</f>
        <v>0</v>
      </c>
      <c r="BH157" s="2118" t="str">
        <f>Liste!T157</f>
        <v>Stk</v>
      </c>
    </row>
    <row r="158" spans="1:60" ht="24.95" customHeight="1" x14ac:dyDescent="0.25">
      <c r="A158" s="29"/>
      <c r="B158" s="46" t="str">
        <f>IF(Liste!O158&gt;0,Liste!O158,Liste!B158)</f>
        <v>Befestigungsprofil Sicherheitskontaktlleiste GCC Schließrichtung vertikal V2A</v>
      </c>
      <c r="C158" s="2314"/>
      <c r="D158" s="30" t="str">
        <f>Liste!C158</f>
        <v>0338380</v>
      </c>
      <c r="E158" s="2314"/>
      <c r="F158" s="32">
        <f t="shared" si="12"/>
        <v>0</v>
      </c>
      <c r="G158" s="2314"/>
      <c r="H158" s="32">
        <f t="shared" si="13"/>
        <v>0</v>
      </c>
      <c r="I158" s="2314"/>
      <c r="J158" s="32">
        <f t="shared" si="14"/>
        <v>0</v>
      </c>
      <c r="K158" s="2314"/>
      <c r="L158" s="31">
        <f t="shared" si="15"/>
        <v>0</v>
      </c>
      <c r="M158" s="2314"/>
      <c r="N158" s="31" t="str">
        <f>Liste!L158</f>
        <v>Stk</v>
      </c>
      <c r="O158" s="31"/>
      <c r="P158" s="31"/>
      <c r="Q158" s="31">
        <f>Liste!P158</f>
        <v>0</v>
      </c>
      <c r="R158" s="31">
        <f>Liste!N158</f>
        <v>0</v>
      </c>
      <c r="S158" s="7">
        <v>0</v>
      </c>
      <c r="T158" s="7">
        <v>0</v>
      </c>
      <c r="U158" s="7">
        <v>0</v>
      </c>
      <c r="V158" s="7"/>
      <c r="W158" s="60"/>
      <c r="X158" s="60"/>
      <c r="Y158" s="60"/>
      <c r="Z158" s="7"/>
      <c r="AA158" s="7"/>
      <c r="AB158" s="60"/>
      <c r="AC158" s="60"/>
      <c r="AD158" s="60"/>
      <c r="AE158" s="7"/>
      <c r="AF158" s="7"/>
      <c r="AG158" s="7"/>
      <c r="AH158" s="7"/>
      <c r="AI158" s="7"/>
      <c r="AJ158" s="7">
        <f>Liste!X158</f>
        <v>0</v>
      </c>
      <c r="AK158" s="7">
        <f>Liste!Y158</f>
        <v>1</v>
      </c>
      <c r="AL158" s="7"/>
      <c r="AM158" s="7"/>
      <c r="AN158" s="7"/>
      <c r="AO158" s="1113">
        <f>Liste!D158</f>
        <v>0</v>
      </c>
      <c r="AP158" s="1113">
        <f>Liste!F158</f>
        <v>920</v>
      </c>
      <c r="AQ158" s="1113">
        <f>Liste!E158</f>
        <v>78.38</v>
      </c>
      <c r="AR158" s="1113">
        <f>Liste!G158</f>
        <v>1.5</v>
      </c>
      <c r="AS158" s="1112">
        <f>Liste!V158</f>
        <v>1</v>
      </c>
      <c r="AT158" s="1" t="str">
        <f>Liste!M158</f>
        <v>V2A blank</v>
      </c>
      <c r="AZ158" s="5" t="s">
        <v>218</v>
      </c>
      <c r="BA158" s="4" t="s">
        <v>101</v>
      </c>
      <c r="BB158" s="4">
        <v>661</v>
      </c>
      <c r="BD158" s="35"/>
      <c r="BE158" s="35"/>
      <c r="BF158" s="2118" t="str">
        <f>Liste!R158</f>
        <v>0338380</v>
      </c>
      <c r="BG158" s="2137">
        <f>IF(AS158&gt;0,Liste!S158,0)</f>
        <v>0</v>
      </c>
      <c r="BH158" s="2118" t="str">
        <f>Liste!T158</f>
        <v>Stk</v>
      </c>
    </row>
    <row r="159" spans="1:60" ht="24.95" customHeight="1" x14ac:dyDescent="0.25">
      <c r="A159" s="29"/>
      <c r="B159" s="46">
        <f>IF(Liste!O159&gt;0,Liste!O159,Liste!B159)</f>
        <v>0</v>
      </c>
      <c r="C159" s="2314"/>
      <c r="D159" s="30">
        <f>Liste!C159</f>
        <v>0</v>
      </c>
      <c r="E159" s="2314"/>
      <c r="F159" s="32">
        <f t="shared" si="12"/>
        <v>0</v>
      </c>
      <c r="G159" s="2314"/>
      <c r="H159" s="32">
        <f t="shared" si="13"/>
        <v>0</v>
      </c>
      <c r="I159" s="2314"/>
      <c r="J159" s="32">
        <f t="shared" si="14"/>
        <v>0</v>
      </c>
      <c r="K159" s="2314"/>
      <c r="L159" s="31">
        <f t="shared" si="15"/>
        <v>0</v>
      </c>
      <c r="M159" s="2314"/>
      <c r="N159" s="31">
        <f>Liste!L159</f>
        <v>0</v>
      </c>
      <c r="O159" s="31"/>
      <c r="P159" s="31"/>
      <c r="Q159" s="31">
        <f>Liste!P159</f>
        <v>0</v>
      </c>
      <c r="R159" s="31">
        <f>Liste!N159</f>
        <v>0</v>
      </c>
      <c r="S159" s="7">
        <v>0</v>
      </c>
      <c r="T159" s="7">
        <v>0</v>
      </c>
      <c r="U159" s="7">
        <v>0</v>
      </c>
      <c r="V159" s="7"/>
      <c r="W159" s="60"/>
      <c r="X159" s="60"/>
      <c r="Y159" s="60"/>
      <c r="Z159" s="7"/>
      <c r="AA159" s="7"/>
      <c r="AB159" s="60"/>
      <c r="AC159" s="60"/>
      <c r="AD159" s="60"/>
      <c r="AE159" s="7"/>
      <c r="AF159" s="7"/>
      <c r="AG159" s="7"/>
      <c r="AH159" s="7"/>
      <c r="AI159" s="7"/>
      <c r="AJ159" s="7">
        <f>Liste!X159</f>
        <v>0</v>
      </c>
      <c r="AK159" s="7">
        <f>Liste!Y159</f>
        <v>0</v>
      </c>
      <c r="AL159" s="7"/>
      <c r="AM159" s="7"/>
      <c r="AN159" s="7"/>
      <c r="AO159" s="1113">
        <f>Liste!D159</f>
        <v>0</v>
      </c>
      <c r="AP159" s="1113">
        <f>Liste!F159</f>
        <v>0</v>
      </c>
      <c r="AQ159" s="1113">
        <f>Liste!E159</f>
        <v>0</v>
      </c>
      <c r="AR159" s="1113">
        <f>Liste!G159</f>
        <v>0</v>
      </c>
      <c r="AS159" s="1112">
        <f>Liste!V159</f>
        <v>0</v>
      </c>
      <c r="AT159" s="1">
        <f>Liste!M159</f>
        <v>0</v>
      </c>
      <c r="AZ159" s="5" t="s">
        <v>219</v>
      </c>
      <c r="BA159" s="4" t="s">
        <v>101</v>
      </c>
      <c r="BB159" s="4">
        <v>662</v>
      </c>
      <c r="BD159" s="35"/>
      <c r="BE159" s="35"/>
      <c r="BF159" s="2118">
        <f>Liste!R159</f>
        <v>0</v>
      </c>
      <c r="BG159" s="2137">
        <f>IF(AS159&gt;0,Liste!S159,0)</f>
        <v>0</v>
      </c>
      <c r="BH159" s="2118">
        <f>Liste!T159</f>
        <v>0</v>
      </c>
    </row>
    <row r="160" spans="1:60" ht="24.95" customHeight="1" x14ac:dyDescent="0.25">
      <c r="A160" s="29"/>
      <c r="B160" s="46" t="str">
        <f>IF(Liste!O160&gt;0,Liste!O160,Liste!B160)</f>
        <v>Schieberführungsprofilhalter verzinkt</v>
      </c>
      <c r="C160" s="2314"/>
      <c r="D160" s="30" t="str">
        <f>Liste!C160</f>
        <v>0308021</v>
      </c>
      <c r="E160" s="2314"/>
      <c r="F160" s="32">
        <f t="shared" si="12"/>
        <v>0</v>
      </c>
      <c r="G160" s="2314"/>
      <c r="H160" s="32">
        <f t="shared" si="13"/>
        <v>0</v>
      </c>
      <c r="I160" s="2314"/>
      <c r="J160" s="32">
        <f t="shared" si="14"/>
        <v>0</v>
      </c>
      <c r="K160" s="2314"/>
      <c r="L160" s="31">
        <f t="shared" si="15"/>
        <v>0</v>
      </c>
      <c r="M160" s="2314"/>
      <c r="N160" s="31" t="str">
        <f>Liste!L160</f>
        <v>Stk</v>
      </c>
      <c r="O160" s="31"/>
      <c r="P160" s="31"/>
      <c r="Q160" s="31">
        <f>Liste!P160</f>
        <v>0</v>
      </c>
      <c r="R160" s="31">
        <f>Liste!N160</f>
        <v>0</v>
      </c>
      <c r="S160" s="7">
        <v>0</v>
      </c>
      <c r="T160" s="7">
        <v>0</v>
      </c>
      <c r="U160" s="7">
        <v>0</v>
      </c>
      <c r="V160" s="7"/>
      <c r="W160" s="60"/>
      <c r="X160" s="60"/>
      <c r="Y160" s="60"/>
      <c r="Z160" s="7"/>
      <c r="AA160" s="7"/>
      <c r="AB160" s="60"/>
      <c r="AC160" s="60"/>
      <c r="AD160" s="60"/>
      <c r="AE160" s="7"/>
      <c r="AF160" s="7"/>
      <c r="AG160" s="7"/>
      <c r="AH160" s="7"/>
      <c r="AI160" s="7"/>
      <c r="AJ160" s="7">
        <f>Liste!X160</f>
        <v>0</v>
      </c>
      <c r="AK160" s="7">
        <f>Liste!Y160</f>
        <v>0</v>
      </c>
      <c r="AL160" s="7"/>
      <c r="AM160" s="7"/>
      <c r="AN160" s="7"/>
      <c r="AO160" s="1113">
        <f>Liste!D160</f>
        <v>0</v>
      </c>
      <c r="AP160" s="1113">
        <f>Liste!F160</f>
        <v>0</v>
      </c>
      <c r="AQ160" s="1113">
        <f>Liste!E160</f>
        <v>0</v>
      </c>
      <c r="AR160" s="1113">
        <f>Liste!G160</f>
        <v>3</v>
      </c>
      <c r="AS160" s="1112">
        <f>Liste!V160</f>
        <v>1</v>
      </c>
      <c r="AT160" s="1" t="str">
        <f>Liste!M160</f>
        <v>Stahlblech verz.</v>
      </c>
      <c r="AZ160" s="5" t="s">
        <v>220</v>
      </c>
      <c r="BA160" s="4" t="s">
        <v>101</v>
      </c>
      <c r="BB160" s="4">
        <v>663</v>
      </c>
      <c r="BD160" s="35"/>
      <c r="BE160" s="35"/>
      <c r="BF160" s="2118" t="str">
        <f>Liste!R160</f>
        <v>0308021</v>
      </c>
      <c r="BG160" s="2137">
        <f>IF(AS160&gt;0,Liste!S160,0)</f>
        <v>0</v>
      </c>
      <c r="BH160" s="2118" t="str">
        <f>Liste!T160</f>
        <v>Stk</v>
      </c>
    </row>
    <row r="161" spans="1:60" ht="24.95" customHeight="1" x14ac:dyDescent="0.25">
      <c r="A161" s="29"/>
      <c r="B161" s="46" t="str">
        <f>IF(Liste!O161&gt;0,Liste!O161,Liste!B161)</f>
        <v>Schieberführungsprofilhalter V2A</v>
      </c>
      <c r="C161" s="2314"/>
      <c r="D161" s="30" t="str">
        <f>Liste!C161</f>
        <v>0338021</v>
      </c>
      <c r="E161" s="2314"/>
      <c r="F161" s="32">
        <f t="shared" si="12"/>
        <v>0</v>
      </c>
      <c r="G161" s="2314"/>
      <c r="H161" s="32">
        <f t="shared" si="13"/>
        <v>0</v>
      </c>
      <c r="I161" s="2314"/>
      <c r="J161" s="32">
        <f t="shared" si="14"/>
        <v>0</v>
      </c>
      <c r="K161" s="2314"/>
      <c r="L161" s="31">
        <f t="shared" si="15"/>
        <v>0</v>
      </c>
      <c r="M161" s="2314"/>
      <c r="N161" s="31" t="str">
        <f>Liste!L161</f>
        <v>Stk</v>
      </c>
      <c r="O161" s="31"/>
      <c r="P161" s="31"/>
      <c r="Q161" s="31">
        <f>Liste!P161</f>
        <v>0</v>
      </c>
      <c r="R161" s="31">
        <f>Liste!N161</f>
        <v>0</v>
      </c>
      <c r="S161" s="7">
        <v>0</v>
      </c>
      <c r="T161" s="7">
        <v>0</v>
      </c>
      <c r="U161" s="7">
        <v>0</v>
      </c>
      <c r="V161" s="7"/>
      <c r="W161" s="60"/>
      <c r="X161" s="60"/>
      <c r="Y161" s="60"/>
      <c r="Z161" s="7"/>
      <c r="AA161" s="7"/>
      <c r="AB161" s="60"/>
      <c r="AC161" s="60"/>
      <c r="AD161" s="60"/>
      <c r="AE161" s="7"/>
      <c r="AF161" s="7"/>
      <c r="AG161" s="7"/>
      <c r="AH161" s="7"/>
      <c r="AI161" s="7"/>
      <c r="AJ161" s="7">
        <f>Liste!X161</f>
        <v>0</v>
      </c>
      <c r="AK161" s="7">
        <f>Liste!Y161</f>
        <v>1</v>
      </c>
      <c r="AL161" s="7"/>
      <c r="AM161" s="7"/>
      <c r="AN161" s="7"/>
      <c r="AO161" s="1113">
        <f>Liste!D161</f>
        <v>0</v>
      </c>
      <c r="AP161" s="1113">
        <f>Liste!F161</f>
        <v>0</v>
      </c>
      <c r="AQ161" s="1113">
        <f>Liste!E161</f>
        <v>0</v>
      </c>
      <c r="AR161" s="1113">
        <f>Liste!G161</f>
        <v>3</v>
      </c>
      <c r="AS161" s="1112">
        <f>Liste!V161</f>
        <v>1</v>
      </c>
      <c r="AT161" s="1" t="str">
        <f>Liste!M161</f>
        <v>V2A blank</v>
      </c>
      <c r="AZ161" s="5" t="s">
        <v>221</v>
      </c>
      <c r="BA161" s="4" t="s">
        <v>101</v>
      </c>
      <c r="BB161" s="4">
        <v>664</v>
      </c>
      <c r="BD161" s="35"/>
      <c r="BE161" s="35"/>
      <c r="BF161" s="2118" t="str">
        <f>Liste!R161</f>
        <v>0338021</v>
      </c>
      <c r="BG161" s="2137">
        <f>IF(AS161&gt;0,Liste!S161,0)</f>
        <v>0</v>
      </c>
      <c r="BH161" s="2118" t="str">
        <f>Liste!T161</f>
        <v>Stk</v>
      </c>
    </row>
    <row r="162" spans="1:60" ht="24.95" customHeight="1" x14ac:dyDescent="0.25">
      <c r="A162" s="29"/>
      <c r="B162" s="46">
        <f>IF(Liste!O162&gt;0,Liste!O162,Liste!B162)</f>
        <v>0</v>
      </c>
      <c r="C162" s="2314"/>
      <c r="D162" s="30">
        <f>Liste!C162</f>
        <v>0</v>
      </c>
      <c r="E162" s="2314"/>
      <c r="F162" s="32">
        <f t="shared" si="12"/>
        <v>0</v>
      </c>
      <c r="G162" s="2314"/>
      <c r="H162" s="32">
        <f t="shared" si="13"/>
        <v>0</v>
      </c>
      <c r="I162" s="2314"/>
      <c r="J162" s="32">
        <f t="shared" si="14"/>
        <v>0</v>
      </c>
      <c r="K162" s="2314"/>
      <c r="L162" s="31">
        <f t="shared" si="15"/>
        <v>0</v>
      </c>
      <c r="M162" s="2314"/>
      <c r="N162" s="31">
        <f>Liste!L162</f>
        <v>0</v>
      </c>
      <c r="O162" s="31"/>
      <c r="P162" s="31"/>
      <c r="Q162" s="31">
        <f>Liste!P162</f>
        <v>0</v>
      </c>
      <c r="R162" s="31">
        <f>Liste!N162</f>
        <v>0</v>
      </c>
      <c r="S162" s="7">
        <v>0</v>
      </c>
      <c r="T162" s="7">
        <v>0</v>
      </c>
      <c r="U162" s="7">
        <v>0</v>
      </c>
      <c r="V162" s="7"/>
      <c r="W162" s="60"/>
      <c r="X162" s="60"/>
      <c r="Y162" s="60"/>
      <c r="Z162" s="7"/>
      <c r="AA162" s="7"/>
      <c r="AB162" s="60"/>
      <c r="AC162" s="60"/>
      <c r="AD162" s="60"/>
      <c r="AE162" s="7"/>
      <c r="AF162" s="7"/>
      <c r="AG162" s="7"/>
      <c r="AH162" s="7"/>
      <c r="AI162" s="7"/>
      <c r="AJ162" s="7">
        <f>Liste!X162</f>
        <v>0</v>
      </c>
      <c r="AK162" s="7">
        <f>Liste!Y162</f>
        <v>0</v>
      </c>
      <c r="AL162" s="7"/>
      <c r="AM162" s="7"/>
      <c r="AN162" s="7"/>
      <c r="AO162" s="1113">
        <f>Liste!D162</f>
        <v>0</v>
      </c>
      <c r="AP162" s="1113">
        <f>Liste!F162</f>
        <v>0</v>
      </c>
      <c r="AQ162" s="1113">
        <f>Liste!E162</f>
        <v>0</v>
      </c>
      <c r="AR162" s="1113">
        <f>Liste!G162</f>
        <v>0</v>
      </c>
      <c r="AS162" s="1112">
        <f>Liste!V162</f>
        <v>0</v>
      </c>
      <c r="AT162" s="1">
        <f>Liste!M162</f>
        <v>0</v>
      </c>
      <c r="AZ162" s="5" t="s">
        <v>222</v>
      </c>
      <c r="BA162" s="4" t="s">
        <v>101</v>
      </c>
      <c r="BB162" s="4">
        <v>665</v>
      </c>
      <c r="BD162" s="35"/>
      <c r="BE162" s="35"/>
      <c r="BF162" s="2118">
        <f>Liste!R162</f>
        <v>0</v>
      </c>
      <c r="BG162" s="2137">
        <f>IF(AS162&gt;0,Liste!S162,0)</f>
        <v>0</v>
      </c>
      <c r="BH162" s="2118">
        <f>Liste!T162</f>
        <v>0</v>
      </c>
    </row>
    <row r="163" spans="1:60" ht="24.95" customHeight="1" x14ac:dyDescent="0.25">
      <c r="A163" s="29"/>
      <c r="B163" s="46" t="str">
        <f>IF(Liste!O163&gt;0,Liste!O163,Liste!B163)</f>
        <v>Wandwinkel Klemmdose Sicherheitskontaktleiste verzinkt (bei Spiralk.)</v>
      </c>
      <c r="C163" s="2314"/>
      <c r="D163" s="30" t="str">
        <f>Liste!C163</f>
        <v>0306402</v>
      </c>
      <c r="E163" s="2314"/>
      <c r="F163" s="32">
        <f t="shared" si="12"/>
        <v>0</v>
      </c>
      <c r="G163" s="2314"/>
      <c r="H163" s="32">
        <f t="shared" si="13"/>
        <v>0</v>
      </c>
      <c r="I163" s="2314"/>
      <c r="J163" s="32">
        <f t="shared" si="14"/>
        <v>0</v>
      </c>
      <c r="K163" s="2314"/>
      <c r="L163" s="31">
        <f t="shared" si="15"/>
        <v>0</v>
      </c>
      <c r="M163" s="2314"/>
      <c r="N163" s="31" t="str">
        <f>Liste!L163</f>
        <v>Stk</v>
      </c>
      <c r="O163" s="31"/>
      <c r="P163" s="31"/>
      <c r="Q163" s="31">
        <f>Liste!P163</f>
        <v>0</v>
      </c>
      <c r="R163" s="31">
        <f>Liste!N163</f>
        <v>0</v>
      </c>
      <c r="S163" s="7">
        <v>0</v>
      </c>
      <c r="T163" s="7">
        <v>0</v>
      </c>
      <c r="U163" s="7">
        <v>0</v>
      </c>
      <c r="V163" s="7"/>
      <c r="W163" s="60"/>
      <c r="X163" s="60"/>
      <c r="Y163" s="60"/>
      <c r="Z163" s="7"/>
      <c r="AA163" s="7"/>
      <c r="AB163" s="60"/>
      <c r="AC163" s="60"/>
      <c r="AD163" s="60"/>
      <c r="AE163" s="7"/>
      <c r="AF163" s="7"/>
      <c r="AG163" s="7"/>
      <c r="AH163" s="7"/>
      <c r="AI163" s="7"/>
      <c r="AJ163" s="7">
        <f>Liste!X163</f>
        <v>0</v>
      </c>
      <c r="AK163" s="7">
        <f>Liste!Y163</f>
        <v>1</v>
      </c>
      <c r="AL163" s="7"/>
      <c r="AM163" s="7"/>
      <c r="AN163" s="7"/>
      <c r="AO163" s="1113">
        <f>Liste!D163</f>
        <v>0</v>
      </c>
      <c r="AP163" s="1113">
        <f>Liste!F163</f>
        <v>139</v>
      </c>
      <c r="AQ163" s="1113">
        <f>Liste!E163</f>
        <v>120</v>
      </c>
      <c r="AR163" s="1113">
        <f>Liste!G163</f>
        <v>2</v>
      </c>
      <c r="AS163" s="1112">
        <f>Liste!V163</f>
        <v>1</v>
      </c>
      <c r="AT163" s="1" t="str">
        <f>Liste!M163</f>
        <v>Stahlblech verz.</v>
      </c>
      <c r="AZ163" s="5" t="s">
        <v>223</v>
      </c>
      <c r="BA163" s="4" t="s">
        <v>101</v>
      </c>
      <c r="BB163" s="4">
        <v>666</v>
      </c>
      <c r="BD163" s="35"/>
      <c r="BE163" s="35"/>
      <c r="BF163" s="2118" t="str">
        <f>Liste!R163</f>
        <v>0306402</v>
      </c>
      <c r="BG163" s="2137">
        <f>IF(AS163&gt;0,Liste!S163,0)</f>
        <v>0</v>
      </c>
      <c r="BH163" s="2118" t="str">
        <f>Liste!T163</f>
        <v>Stk</v>
      </c>
    </row>
    <row r="164" spans="1:60" ht="24.95" customHeight="1" x14ac:dyDescent="0.25">
      <c r="A164" s="29"/>
      <c r="B164" s="46" t="str">
        <f>IF(Liste!O164&gt;0,Liste!O164,Liste!B164)</f>
        <v>Wandwinkel Klemmdose Sicherheitskontaktleiste V2A (bei Spiralk.)</v>
      </c>
      <c r="C164" s="2314"/>
      <c r="D164" s="30" t="str">
        <f>Liste!C164</f>
        <v>0336402</v>
      </c>
      <c r="E164" s="2314"/>
      <c r="F164" s="32">
        <f t="shared" si="12"/>
        <v>0</v>
      </c>
      <c r="G164" s="2314"/>
      <c r="H164" s="32">
        <f t="shared" si="13"/>
        <v>0</v>
      </c>
      <c r="I164" s="2314"/>
      <c r="J164" s="32">
        <f t="shared" si="14"/>
        <v>0</v>
      </c>
      <c r="K164" s="2314"/>
      <c r="L164" s="31">
        <f t="shared" si="15"/>
        <v>0</v>
      </c>
      <c r="M164" s="2314"/>
      <c r="N164" s="31" t="str">
        <f>Liste!L164</f>
        <v>Stk</v>
      </c>
      <c r="O164" s="31"/>
      <c r="P164" s="31"/>
      <c r="Q164" s="31">
        <f>Liste!P164</f>
        <v>0</v>
      </c>
      <c r="R164" s="31">
        <f>Liste!N164</f>
        <v>0</v>
      </c>
      <c r="S164" s="7">
        <v>0</v>
      </c>
      <c r="T164" s="7">
        <v>0</v>
      </c>
      <c r="U164" s="7">
        <v>0</v>
      </c>
      <c r="V164" s="7"/>
      <c r="W164" s="60"/>
      <c r="X164" s="60"/>
      <c r="Y164" s="60"/>
      <c r="Z164" s="7"/>
      <c r="AA164" s="7"/>
      <c r="AB164" s="60"/>
      <c r="AC164" s="60"/>
      <c r="AD164" s="60"/>
      <c r="AE164" s="7"/>
      <c r="AF164" s="7"/>
      <c r="AG164" s="7"/>
      <c r="AH164" s="7"/>
      <c r="AI164" s="7"/>
      <c r="AJ164" s="7">
        <f>Liste!X164</f>
        <v>0</v>
      </c>
      <c r="AK164" s="7">
        <f>Liste!Y164</f>
        <v>1</v>
      </c>
      <c r="AL164" s="7"/>
      <c r="AM164" s="7"/>
      <c r="AN164" s="7"/>
      <c r="AO164" s="1113">
        <f>Liste!D164</f>
        <v>0</v>
      </c>
      <c r="AP164" s="1113">
        <f>Liste!F164</f>
        <v>139</v>
      </c>
      <c r="AQ164" s="1113">
        <f>Liste!E164</f>
        <v>120</v>
      </c>
      <c r="AR164" s="1113">
        <f>Liste!G164</f>
        <v>2</v>
      </c>
      <c r="AS164" s="1112">
        <f>Liste!V164</f>
        <v>1</v>
      </c>
      <c r="AT164" s="1" t="str">
        <f>Liste!M164</f>
        <v>V2A blank</v>
      </c>
      <c r="AZ164" s="5" t="s">
        <v>224</v>
      </c>
      <c r="BA164" s="4" t="s">
        <v>101</v>
      </c>
      <c r="BB164" s="4">
        <v>667</v>
      </c>
      <c r="BD164" s="35"/>
      <c r="BE164" s="35"/>
      <c r="BF164" s="2118" t="str">
        <f>Liste!R164</f>
        <v>0336402</v>
      </c>
      <c r="BG164" s="2137">
        <f>IF(AS164&gt;0,Liste!S164,0)</f>
        <v>0</v>
      </c>
      <c r="BH164" s="2118" t="str">
        <f>Liste!T164</f>
        <v>Stk</v>
      </c>
    </row>
    <row r="165" spans="1:60" ht="24.95" customHeight="1" x14ac:dyDescent="0.25">
      <c r="A165" s="29"/>
      <c r="B165" s="46">
        <f>IF(Liste!O165&gt;0,Liste!O165,Liste!B165)</f>
        <v>33</v>
      </c>
      <c r="C165" s="2314"/>
      <c r="D165" s="30" t="str">
        <f>Liste!C165</f>
        <v>0202010</v>
      </c>
      <c r="E165" s="2314"/>
      <c r="F165" s="32">
        <f t="shared" si="12"/>
        <v>0</v>
      </c>
      <c r="G165" s="2314"/>
      <c r="H165" s="32">
        <f t="shared" si="13"/>
        <v>100</v>
      </c>
      <c r="I165" s="2314"/>
      <c r="J165" s="32">
        <f t="shared" si="14"/>
        <v>80</v>
      </c>
      <c r="K165" s="2314"/>
      <c r="L165" s="31">
        <f t="shared" si="15"/>
        <v>10</v>
      </c>
      <c r="M165" s="2314"/>
      <c r="N165" s="31" t="str">
        <f>Liste!L165</f>
        <v>MM2</v>
      </c>
      <c r="O165" s="31"/>
      <c r="P165" s="31"/>
      <c r="Q165" s="31" t="str">
        <f>Liste!P165</f>
        <v>A</v>
      </c>
      <c r="R165" s="31" t="str">
        <f>Liste!N165</f>
        <v>Deckelplatte Siko in Aufdopplung</v>
      </c>
      <c r="S165" s="7">
        <v>0</v>
      </c>
      <c r="T165" s="7">
        <v>0</v>
      </c>
      <c r="U165" s="7">
        <v>0</v>
      </c>
      <c r="V165" s="7"/>
      <c r="W165" s="60"/>
      <c r="X165" s="60"/>
      <c r="Y165" s="60"/>
      <c r="Z165" s="7"/>
      <c r="AA165" s="7"/>
      <c r="AB165" s="60"/>
      <c r="AC165" s="60"/>
      <c r="AD165" s="60"/>
      <c r="AE165" s="7"/>
      <c r="AF165" s="7"/>
      <c r="AG165" s="7"/>
      <c r="AH165" s="7"/>
      <c r="AI165" s="7"/>
      <c r="AJ165" s="7">
        <f>Liste!X165</f>
        <v>0</v>
      </c>
      <c r="AK165" s="7">
        <f>Liste!Y165</f>
        <v>0</v>
      </c>
      <c r="AL165" s="7"/>
      <c r="AM165" s="7"/>
      <c r="AN165" s="7"/>
      <c r="AO165" s="1113">
        <f>Liste!D165</f>
        <v>0</v>
      </c>
      <c r="AP165" s="1113">
        <f>Liste!F165</f>
        <v>100</v>
      </c>
      <c r="AQ165" s="1113">
        <f>Liste!E165</f>
        <v>80</v>
      </c>
      <c r="AR165" s="1113">
        <f>Liste!G165</f>
        <v>10</v>
      </c>
      <c r="AS165" s="1112">
        <f>Liste!V165</f>
        <v>1</v>
      </c>
      <c r="AT165" s="1" t="str">
        <f>Liste!M165</f>
        <v>Stahlblech verz.</v>
      </c>
      <c r="AZ165" s="5" t="s">
        <v>225</v>
      </c>
      <c r="BA165" s="4" t="s">
        <v>101</v>
      </c>
      <c r="BB165" s="4">
        <v>668</v>
      </c>
      <c r="BD165" s="35"/>
      <c r="BE165" s="35"/>
      <c r="BF165" s="2118" t="str">
        <f>Liste!R165</f>
        <v>0202010</v>
      </c>
      <c r="BG165" s="2137">
        <f>IF(AS165&gt;0,Liste!S165,0)</f>
        <v>0</v>
      </c>
      <c r="BH165" s="2118" t="str">
        <f>Liste!T165</f>
        <v>m²</v>
      </c>
    </row>
    <row r="166" spans="1:60" ht="24.95" customHeight="1" x14ac:dyDescent="0.25">
      <c r="A166" s="29"/>
      <c r="B166" s="46">
        <f>IF(Liste!O166&gt;0,Liste!O166,Liste!B166)</f>
        <v>34</v>
      </c>
      <c r="C166" s="2314"/>
      <c r="D166" s="30" t="str">
        <f>Liste!C166</f>
        <v>0202020</v>
      </c>
      <c r="E166" s="2314"/>
      <c r="F166" s="32">
        <f t="shared" si="12"/>
        <v>0</v>
      </c>
      <c r="G166" s="2314"/>
      <c r="H166" s="32">
        <f t="shared" si="13"/>
        <v>950</v>
      </c>
      <c r="I166" s="2314"/>
      <c r="J166" s="32">
        <f t="shared" si="14"/>
        <v>50</v>
      </c>
      <c r="K166" s="2314"/>
      <c r="L166" s="31">
        <f t="shared" si="15"/>
        <v>20</v>
      </c>
      <c r="M166" s="2314"/>
      <c r="N166" s="31" t="str">
        <f>Liste!L166</f>
        <v>MM2</v>
      </c>
      <c r="O166" s="31"/>
      <c r="P166" s="31"/>
      <c r="Q166" s="31" t="str">
        <f>Liste!P166</f>
        <v>A</v>
      </c>
      <c r="R166" s="31" t="str">
        <f>Liste!N166</f>
        <v>Aufdopplung Siko Lage 1</v>
      </c>
      <c r="S166" s="7">
        <v>0</v>
      </c>
      <c r="T166" s="7">
        <v>0</v>
      </c>
      <c r="U166" s="7">
        <v>0</v>
      </c>
      <c r="V166" s="7"/>
      <c r="W166" s="60"/>
      <c r="X166" s="60"/>
      <c r="Y166" s="60"/>
      <c r="Z166" s="7"/>
      <c r="AA166" s="7"/>
      <c r="AB166" s="60"/>
      <c r="AC166" s="60"/>
      <c r="AD166" s="60"/>
      <c r="AE166" s="7"/>
      <c r="AF166" s="7"/>
      <c r="AG166" s="7"/>
      <c r="AH166" s="7"/>
      <c r="AI166" s="7"/>
      <c r="AJ166" s="7">
        <f>Liste!X166</f>
        <v>0</v>
      </c>
      <c r="AK166" s="7">
        <f>Liste!Y166</f>
        <v>0</v>
      </c>
      <c r="AL166" s="7"/>
      <c r="AM166" s="7"/>
      <c r="AN166" s="7"/>
      <c r="AO166" s="1113">
        <f>Liste!D166</f>
        <v>0</v>
      </c>
      <c r="AP166" s="1113">
        <f>Liste!F166</f>
        <v>950</v>
      </c>
      <c r="AQ166" s="1113">
        <f>Liste!E166</f>
        <v>50</v>
      </c>
      <c r="AR166" s="1113">
        <f>Liste!G166</f>
        <v>20</v>
      </c>
      <c r="AS166" s="1112">
        <f>Liste!V166</f>
        <v>1</v>
      </c>
      <c r="AT166" s="1">
        <f>Liste!M166</f>
        <v>0</v>
      </c>
      <c r="AZ166" s="5" t="s">
        <v>226</v>
      </c>
      <c r="BA166" s="4" t="s">
        <v>101</v>
      </c>
      <c r="BB166" s="4">
        <v>669</v>
      </c>
      <c r="BD166" s="35"/>
      <c r="BE166" s="35"/>
      <c r="BF166" s="2118" t="str">
        <f>Liste!R166</f>
        <v>0202020</v>
      </c>
      <c r="BG166" s="2137">
        <f>IF(AS166&gt;0,Liste!S166,0)</f>
        <v>0</v>
      </c>
      <c r="BH166" s="2118" t="str">
        <f>Liste!T166</f>
        <v>m²</v>
      </c>
    </row>
    <row r="167" spans="1:60" ht="24.95" customHeight="1" x14ac:dyDescent="0.25">
      <c r="A167" s="29"/>
      <c r="B167" s="46">
        <f>IF(Liste!O167&gt;0,Liste!O167,Liste!B167)</f>
        <v>35</v>
      </c>
      <c r="C167" s="2314"/>
      <c r="D167" s="30" t="str">
        <f>Liste!C167</f>
        <v>0202020</v>
      </c>
      <c r="E167" s="2314"/>
      <c r="F167" s="32">
        <f t="shared" si="12"/>
        <v>0</v>
      </c>
      <c r="G167" s="2314"/>
      <c r="H167" s="32">
        <f t="shared" si="13"/>
        <v>0</v>
      </c>
      <c r="I167" s="2314"/>
      <c r="J167" s="32">
        <f t="shared" si="14"/>
        <v>50</v>
      </c>
      <c r="K167" s="2314"/>
      <c r="L167" s="31">
        <f t="shared" si="15"/>
        <v>20</v>
      </c>
      <c r="M167" s="2314"/>
      <c r="N167" s="31" t="str">
        <f>Liste!L167</f>
        <v>MM2</v>
      </c>
      <c r="O167" s="31"/>
      <c r="P167" s="31"/>
      <c r="Q167" s="31" t="str">
        <f>Liste!P167</f>
        <v>A</v>
      </c>
      <c r="R167" s="31" t="str">
        <f>Liste!N167</f>
        <v>Aufdopplung Siko Lage 1</v>
      </c>
      <c r="S167" s="7">
        <v>0</v>
      </c>
      <c r="T167" s="7">
        <v>0</v>
      </c>
      <c r="U167" s="7">
        <v>0</v>
      </c>
      <c r="V167" s="7"/>
      <c r="W167" s="60"/>
      <c r="X167" s="60"/>
      <c r="Y167" s="60"/>
      <c r="Z167" s="7"/>
      <c r="AA167" s="7"/>
      <c r="AB167" s="60"/>
      <c r="AC167" s="60"/>
      <c r="AD167" s="60"/>
      <c r="AE167" s="7"/>
      <c r="AF167" s="7"/>
      <c r="AG167" s="7"/>
      <c r="AH167" s="7"/>
      <c r="AI167" s="7"/>
      <c r="AJ167" s="7">
        <f>Liste!X167</f>
        <v>0</v>
      </c>
      <c r="AK167" s="7">
        <f>Liste!Y167</f>
        <v>0</v>
      </c>
      <c r="AL167" s="7"/>
      <c r="AM167" s="7"/>
      <c r="AN167" s="7"/>
      <c r="AO167" s="1113">
        <f>Liste!D167</f>
        <v>0</v>
      </c>
      <c r="AP167" s="1113">
        <f>Liste!F167</f>
        <v>0</v>
      </c>
      <c r="AQ167" s="1113">
        <f>Liste!E167</f>
        <v>50</v>
      </c>
      <c r="AR167" s="1113">
        <f>Liste!G167</f>
        <v>20</v>
      </c>
      <c r="AS167" s="1112">
        <f>Liste!V167</f>
        <v>1</v>
      </c>
      <c r="AT167" s="1">
        <f>Liste!M167</f>
        <v>0</v>
      </c>
      <c r="AZ167" s="5" t="s">
        <v>227</v>
      </c>
      <c r="BA167" s="4" t="s">
        <v>101</v>
      </c>
      <c r="BB167" s="4">
        <v>670</v>
      </c>
      <c r="BD167" s="35"/>
      <c r="BE167" s="35"/>
      <c r="BF167" s="2118" t="str">
        <f>Liste!R167</f>
        <v>0202020</v>
      </c>
      <c r="BG167" s="2137">
        <f>IF(AS167&gt;0,Liste!S167,0)</f>
        <v>0</v>
      </c>
      <c r="BH167" s="2118" t="str">
        <f>Liste!T167</f>
        <v>m²</v>
      </c>
    </row>
    <row r="168" spans="1:60" ht="24.95" customHeight="1" x14ac:dyDescent="0.25">
      <c r="A168" s="29"/>
      <c r="B168" s="46">
        <f>IF(Liste!O168&gt;0,Liste!O168,Liste!B168)</f>
        <v>36</v>
      </c>
      <c r="C168" s="2314"/>
      <c r="D168" s="30" t="str">
        <f>Liste!C168</f>
        <v>0202020</v>
      </c>
      <c r="E168" s="2314"/>
      <c r="F168" s="32">
        <f t="shared" si="12"/>
        <v>0</v>
      </c>
      <c r="G168" s="2314"/>
      <c r="H168" s="32">
        <f t="shared" si="13"/>
        <v>920</v>
      </c>
      <c r="I168" s="2314"/>
      <c r="J168" s="32">
        <f t="shared" si="14"/>
        <v>50</v>
      </c>
      <c r="K168" s="2314"/>
      <c r="L168" s="31">
        <f t="shared" si="15"/>
        <v>20</v>
      </c>
      <c r="M168" s="2314"/>
      <c r="N168" s="31" t="str">
        <f>Liste!L168</f>
        <v>MM2</v>
      </c>
      <c r="O168" s="31"/>
      <c r="P168" s="31"/>
      <c r="Q168" s="31" t="str">
        <f>Liste!P168</f>
        <v>A</v>
      </c>
      <c r="R168" s="31" t="str">
        <f>Liste!N168</f>
        <v>Aufdopplung Siko Lage 2</v>
      </c>
      <c r="S168" s="7">
        <v>0</v>
      </c>
      <c r="T168" s="7">
        <v>0</v>
      </c>
      <c r="U168" s="7">
        <v>0</v>
      </c>
      <c r="V168" s="7"/>
      <c r="W168" s="60"/>
      <c r="X168" s="60"/>
      <c r="Y168" s="60"/>
      <c r="Z168" s="7"/>
      <c r="AA168" s="7"/>
      <c r="AB168" s="60"/>
      <c r="AC168" s="60"/>
      <c r="AD168" s="60"/>
      <c r="AE168" s="7"/>
      <c r="AF168" s="7"/>
      <c r="AG168" s="7"/>
      <c r="AH168" s="7"/>
      <c r="AI168" s="7"/>
      <c r="AJ168" s="7">
        <f>Liste!X168</f>
        <v>0</v>
      </c>
      <c r="AK168" s="7">
        <f>Liste!Y168</f>
        <v>0</v>
      </c>
      <c r="AL168" s="7"/>
      <c r="AM168" s="7"/>
      <c r="AN168" s="7"/>
      <c r="AO168" s="1113">
        <f>Liste!D168</f>
        <v>0</v>
      </c>
      <c r="AP168" s="1113">
        <f>Liste!F168</f>
        <v>920</v>
      </c>
      <c r="AQ168" s="1113">
        <f>Liste!E168</f>
        <v>50</v>
      </c>
      <c r="AR168" s="1113">
        <f>Liste!G168</f>
        <v>20</v>
      </c>
      <c r="AS168" s="1112">
        <f>Liste!V168</f>
        <v>1</v>
      </c>
      <c r="AT168" s="1">
        <f>Liste!M168</f>
        <v>0</v>
      </c>
      <c r="AZ168" s="5" t="s">
        <v>228</v>
      </c>
      <c r="BA168" s="4" t="s">
        <v>101</v>
      </c>
      <c r="BB168" s="4">
        <v>671</v>
      </c>
      <c r="BD168" s="35"/>
      <c r="BE168" s="35"/>
      <c r="BF168" s="2118" t="str">
        <f>Liste!R168</f>
        <v>0202020</v>
      </c>
      <c r="BG168" s="2137">
        <f>IF(AS168&gt;0,Liste!S168,0)</f>
        <v>0</v>
      </c>
      <c r="BH168" s="2118" t="str">
        <f>Liste!T168</f>
        <v>m²</v>
      </c>
    </row>
    <row r="169" spans="1:60" ht="24.95" customHeight="1" x14ac:dyDescent="0.25">
      <c r="A169" s="29"/>
      <c r="B169" s="46">
        <f>IF(Liste!O169&gt;0,Liste!O169,Liste!B169)</f>
        <v>37</v>
      </c>
      <c r="C169" s="2314"/>
      <c r="D169" s="30" t="str">
        <f>Liste!C169</f>
        <v>0202020</v>
      </c>
      <c r="E169" s="2314"/>
      <c r="F169" s="32">
        <f t="shared" si="12"/>
        <v>0</v>
      </c>
      <c r="G169" s="2314"/>
      <c r="H169" s="32">
        <f t="shared" si="13"/>
        <v>0</v>
      </c>
      <c r="I169" s="2314"/>
      <c r="J169" s="32">
        <f t="shared" si="14"/>
        <v>50</v>
      </c>
      <c r="K169" s="2314"/>
      <c r="L169" s="31">
        <f t="shared" si="15"/>
        <v>20</v>
      </c>
      <c r="M169" s="2314"/>
      <c r="N169" s="31" t="str">
        <f>Liste!L169</f>
        <v>MM2</v>
      </c>
      <c r="O169" s="31"/>
      <c r="P169" s="31"/>
      <c r="Q169" s="31" t="str">
        <f>Liste!P169</f>
        <v>A</v>
      </c>
      <c r="R169" s="31" t="str">
        <f>Liste!N169</f>
        <v>Aufdopplung Siko Lage 2</v>
      </c>
      <c r="S169" s="7">
        <v>0</v>
      </c>
      <c r="T169" s="7">
        <v>0</v>
      </c>
      <c r="U169" s="7">
        <v>0</v>
      </c>
      <c r="V169" s="7"/>
      <c r="W169" s="60"/>
      <c r="X169" s="60"/>
      <c r="Y169" s="60"/>
      <c r="Z169" s="7"/>
      <c r="AA169" s="7"/>
      <c r="AB169" s="60"/>
      <c r="AC169" s="60"/>
      <c r="AD169" s="60"/>
      <c r="AE169" s="7"/>
      <c r="AF169" s="7"/>
      <c r="AG169" s="7"/>
      <c r="AH169" s="7"/>
      <c r="AI169" s="7"/>
      <c r="AJ169" s="7">
        <f>Liste!X169</f>
        <v>0</v>
      </c>
      <c r="AK169" s="7">
        <f>Liste!Y169</f>
        <v>0</v>
      </c>
      <c r="AL169" s="7"/>
      <c r="AM169" s="7"/>
      <c r="AN169" s="7"/>
      <c r="AO169" s="1113">
        <f>Liste!D169</f>
        <v>0</v>
      </c>
      <c r="AP169" s="1113">
        <f>Liste!F169</f>
        <v>0</v>
      </c>
      <c r="AQ169" s="1113">
        <f>Liste!E169</f>
        <v>50</v>
      </c>
      <c r="AR169" s="1113">
        <f>Liste!G169</f>
        <v>20</v>
      </c>
      <c r="AS169" s="1112">
        <f>Liste!V169</f>
        <v>1</v>
      </c>
      <c r="AT169" s="1">
        <f>Liste!M169</f>
        <v>0</v>
      </c>
      <c r="AZ169" s="5" t="s">
        <v>229</v>
      </c>
      <c r="BA169" s="4" t="s">
        <v>101</v>
      </c>
      <c r="BB169" s="4">
        <v>672</v>
      </c>
      <c r="BD169" s="35"/>
      <c r="BE169" s="35"/>
      <c r="BF169" s="2118" t="str">
        <f>Liste!R169</f>
        <v>0202020</v>
      </c>
      <c r="BG169" s="2137">
        <f>IF(AS169&gt;0,Liste!S169,0)</f>
        <v>0</v>
      </c>
      <c r="BH169" s="2118" t="str">
        <f>Liste!T169</f>
        <v>m²</v>
      </c>
    </row>
    <row r="170" spans="1:60" ht="24.95" customHeight="1" x14ac:dyDescent="0.25">
      <c r="A170" s="29"/>
      <c r="B170" s="46">
        <f>IF(Liste!O170&gt;0,Liste!O170,Liste!B170)</f>
        <v>38</v>
      </c>
      <c r="C170" s="2314"/>
      <c r="D170" s="30" t="str">
        <f>Liste!C170</f>
        <v>0202020</v>
      </c>
      <c r="E170" s="2314"/>
      <c r="F170" s="32">
        <f t="shared" si="12"/>
        <v>0</v>
      </c>
      <c r="G170" s="2314"/>
      <c r="H170" s="32">
        <f t="shared" si="13"/>
        <v>950</v>
      </c>
      <c r="I170" s="2314"/>
      <c r="J170" s="32">
        <f t="shared" si="14"/>
        <v>100</v>
      </c>
      <c r="K170" s="2314"/>
      <c r="L170" s="31">
        <f t="shared" si="15"/>
        <v>20</v>
      </c>
      <c r="M170" s="2314"/>
      <c r="N170" s="31" t="str">
        <f>Liste!L170</f>
        <v>MM2</v>
      </c>
      <c r="O170" s="31"/>
      <c r="P170" s="31"/>
      <c r="Q170" s="31" t="str">
        <f>Liste!P170</f>
        <v>A</v>
      </c>
      <c r="R170" s="31" t="str">
        <f>Liste!N170</f>
        <v>Aufdopplung Siko Lage 3+4</v>
      </c>
      <c r="S170" s="7">
        <v>0</v>
      </c>
      <c r="T170" s="7">
        <v>0</v>
      </c>
      <c r="U170" s="7">
        <v>0</v>
      </c>
      <c r="V170" s="7"/>
      <c r="W170" s="60"/>
      <c r="X170" s="60"/>
      <c r="Y170" s="60"/>
      <c r="Z170" s="7"/>
      <c r="AA170" s="7"/>
      <c r="AB170" s="60"/>
      <c r="AC170" s="60"/>
      <c r="AD170" s="60"/>
      <c r="AE170" s="7"/>
      <c r="AF170" s="7"/>
      <c r="AG170" s="7"/>
      <c r="AH170" s="7"/>
      <c r="AI170" s="7"/>
      <c r="AJ170" s="7">
        <f>Liste!X170</f>
        <v>0</v>
      </c>
      <c r="AK170" s="7">
        <f>Liste!Y170</f>
        <v>0</v>
      </c>
      <c r="AL170" s="7"/>
      <c r="AM170" s="7"/>
      <c r="AN170" s="7"/>
      <c r="AO170" s="1113">
        <f>Liste!D170</f>
        <v>0</v>
      </c>
      <c r="AP170" s="1113">
        <f>Liste!F170</f>
        <v>950</v>
      </c>
      <c r="AQ170" s="1113">
        <f>Liste!E170</f>
        <v>100</v>
      </c>
      <c r="AR170" s="1113">
        <f>Liste!G170</f>
        <v>20</v>
      </c>
      <c r="AS170" s="1112">
        <f>Liste!V170</f>
        <v>1</v>
      </c>
      <c r="AT170" s="1">
        <f>Liste!M170</f>
        <v>0</v>
      </c>
      <c r="AZ170" s="5" t="s">
        <v>230</v>
      </c>
      <c r="BA170" s="4" t="s">
        <v>101</v>
      </c>
      <c r="BB170" s="4">
        <v>673</v>
      </c>
      <c r="BD170" s="35"/>
      <c r="BE170" s="35"/>
      <c r="BF170" s="2118" t="str">
        <f>Liste!R170</f>
        <v>0202020</v>
      </c>
      <c r="BG170" s="2137">
        <f>IF(AS170&gt;0,Liste!S170,0)</f>
        <v>0</v>
      </c>
      <c r="BH170" s="2118" t="str">
        <f>Liste!T170</f>
        <v>m²</v>
      </c>
    </row>
    <row r="171" spans="1:60" ht="24.95" customHeight="1" x14ac:dyDescent="0.25">
      <c r="A171" s="29"/>
      <c r="B171" s="46">
        <f>IF(Liste!O171&gt;0,Liste!O171,Liste!B171)</f>
        <v>39</v>
      </c>
      <c r="C171" s="2314"/>
      <c r="D171" s="30" t="str">
        <f>Liste!C171</f>
        <v>0202020</v>
      </c>
      <c r="E171" s="2314"/>
      <c r="F171" s="32">
        <f t="shared" si="12"/>
        <v>0</v>
      </c>
      <c r="G171" s="2314"/>
      <c r="H171" s="32">
        <f t="shared" si="13"/>
        <v>0</v>
      </c>
      <c r="I171" s="2314"/>
      <c r="J171" s="32">
        <f t="shared" si="14"/>
        <v>100</v>
      </c>
      <c r="K171" s="2314"/>
      <c r="L171" s="31">
        <f t="shared" si="15"/>
        <v>20</v>
      </c>
      <c r="M171" s="2314"/>
      <c r="N171" s="31" t="str">
        <f>Liste!L171</f>
        <v>MM2</v>
      </c>
      <c r="O171" s="31"/>
      <c r="P171" s="31"/>
      <c r="Q171" s="31" t="str">
        <f>Liste!P171</f>
        <v>A</v>
      </c>
      <c r="R171" s="31" t="str">
        <f>Liste!N171</f>
        <v>Aufdopplung Siko Lage 3+4</v>
      </c>
      <c r="S171" s="7">
        <v>0</v>
      </c>
      <c r="T171" s="7">
        <v>0</v>
      </c>
      <c r="U171" s="7">
        <v>0</v>
      </c>
      <c r="V171" s="7"/>
      <c r="W171" s="60"/>
      <c r="X171" s="60"/>
      <c r="Y171" s="60"/>
      <c r="Z171" s="7"/>
      <c r="AA171" s="7"/>
      <c r="AB171" s="60"/>
      <c r="AC171" s="60"/>
      <c r="AD171" s="60"/>
      <c r="AE171" s="7"/>
      <c r="AF171" s="7"/>
      <c r="AG171" s="7"/>
      <c r="AH171" s="7"/>
      <c r="AI171" s="7"/>
      <c r="AJ171" s="7">
        <f>Liste!X171</f>
        <v>0</v>
      </c>
      <c r="AK171" s="7">
        <f>Liste!Y171</f>
        <v>0</v>
      </c>
      <c r="AL171" s="7"/>
      <c r="AM171" s="7"/>
      <c r="AN171" s="7"/>
      <c r="AO171" s="1113">
        <f>Liste!D171</f>
        <v>0</v>
      </c>
      <c r="AP171" s="1113">
        <f>Liste!F171</f>
        <v>0</v>
      </c>
      <c r="AQ171" s="1113">
        <f>Liste!E171</f>
        <v>100</v>
      </c>
      <c r="AR171" s="1113">
        <f>Liste!G171</f>
        <v>20</v>
      </c>
      <c r="AS171" s="1112">
        <f>Liste!V171</f>
        <v>1</v>
      </c>
      <c r="AT171" s="1">
        <f>Liste!M171</f>
        <v>0</v>
      </c>
      <c r="AZ171" s="5" t="s">
        <v>29965</v>
      </c>
      <c r="BA171" s="4" t="s">
        <v>101</v>
      </c>
      <c r="BB171" s="4">
        <v>674</v>
      </c>
      <c r="BD171" s="35"/>
      <c r="BE171" s="35"/>
      <c r="BF171" s="2118" t="str">
        <f>Liste!R171</f>
        <v>0202020</v>
      </c>
      <c r="BG171" s="2137">
        <f>IF(AS171&gt;0,Liste!S171,0)</f>
        <v>0</v>
      </c>
      <c r="BH171" s="2118" t="str">
        <f>Liste!T171</f>
        <v>m²</v>
      </c>
    </row>
    <row r="172" spans="1:60" ht="24.95" customHeight="1" x14ac:dyDescent="0.25">
      <c r="A172" s="29"/>
      <c r="B172" s="46" t="str">
        <f>IF(Liste!O172&gt;0,Liste!O172,Liste!B172)</f>
        <v>Fireflystreifen 2mm selbstklebend 40mm</v>
      </c>
      <c r="C172" s="2314"/>
      <c r="D172" s="30" t="str">
        <f>Liste!C172</f>
        <v>0204153</v>
      </c>
      <c r="E172" s="2314"/>
      <c r="F172" s="32">
        <f t="shared" si="12"/>
        <v>0</v>
      </c>
      <c r="G172" s="2314"/>
      <c r="H172" s="32">
        <f t="shared" si="13"/>
        <v>950</v>
      </c>
      <c r="I172" s="2314"/>
      <c r="J172" s="32">
        <f t="shared" si="14"/>
        <v>40</v>
      </c>
      <c r="K172" s="2314"/>
      <c r="L172" s="31">
        <f t="shared" si="15"/>
        <v>2</v>
      </c>
      <c r="M172" s="2314"/>
      <c r="N172" s="31" t="str">
        <f>Liste!L172</f>
        <v>MM</v>
      </c>
      <c r="O172" s="31"/>
      <c r="P172" s="31"/>
      <c r="Q172" s="31">
        <f>Liste!P172</f>
        <v>0</v>
      </c>
      <c r="R172" s="31">
        <f>Liste!N172</f>
        <v>0</v>
      </c>
      <c r="S172" s="7">
        <v>0</v>
      </c>
      <c r="T172" s="7">
        <v>0</v>
      </c>
      <c r="U172" s="7">
        <v>0</v>
      </c>
      <c r="V172" s="7"/>
      <c r="W172" s="60"/>
      <c r="X172" s="60"/>
      <c r="Y172" s="60"/>
      <c r="Z172" s="7"/>
      <c r="AA172" s="7"/>
      <c r="AB172" s="60"/>
      <c r="AC172" s="60"/>
      <c r="AD172" s="60"/>
      <c r="AE172" s="7"/>
      <c r="AF172" s="7"/>
      <c r="AG172" s="7"/>
      <c r="AH172" s="7"/>
      <c r="AI172" s="7"/>
      <c r="AJ172" s="7">
        <f>Liste!X172</f>
        <v>0</v>
      </c>
      <c r="AK172" s="7">
        <f>Liste!Y172</f>
        <v>0</v>
      </c>
      <c r="AL172" s="7"/>
      <c r="AM172" s="7"/>
      <c r="AN172" s="7"/>
      <c r="AO172" s="1113">
        <f>Liste!D172</f>
        <v>0</v>
      </c>
      <c r="AP172" s="1113">
        <f>Liste!F172</f>
        <v>950</v>
      </c>
      <c r="AQ172" s="1113">
        <f>Liste!E172</f>
        <v>40</v>
      </c>
      <c r="AR172" s="1113">
        <f>Liste!G172</f>
        <v>2</v>
      </c>
      <c r="AS172" s="1112">
        <f>Liste!V172</f>
        <v>1</v>
      </c>
      <c r="AT172" s="1">
        <f>Liste!M172</f>
        <v>0</v>
      </c>
      <c r="AZ172" s="5" t="s">
        <v>29966</v>
      </c>
      <c r="BA172" s="4" t="s">
        <v>101</v>
      </c>
      <c r="BB172" s="4">
        <v>675</v>
      </c>
      <c r="BD172" s="35"/>
      <c r="BE172" s="35"/>
      <c r="BF172" s="2118" t="str">
        <f>Liste!R172</f>
        <v>0204153</v>
      </c>
      <c r="BG172" s="2137">
        <f>IF(AS172&gt;0,Liste!S172,0)</f>
        <v>0</v>
      </c>
      <c r="BH172" s="2118" t="str">
        <f>Liste!T172</f>
        <v>m</v>
      </c>
    </row>
    <row r="173" spans="1:60" ht="24.95" customHeight="1" x14ac:dyDescent="0.25">
      <c r="A173" s="29"/>
      <c r="B173" s="46" t="str">
        <f>IF(Liste!O173&gt;0,Liste!O173,Liste!B173)</f>
        <v>Promasealstreifen selbstklebend 40mm</v>
      </c>
      <c r="C173" s="2314"/>
      <c r="D173" s="30" t="str">
        <f>Liste!C173</f>
        <v>0204008</v>
      </c>
      <c r="E173" s="2314"/>
      <c r="F173" s="32">
        <f t="shared" si="12"/>
        <v>0</v>
      </c>
      <c r="G173" s="2314"/>
      <c r="H173" s="32">
        <f t="shared" si="13"/>
        <v>950</v>
      </c>
      <c r="I173" s="2314"/>
      <c r="J173" s="32">
        <f t="shared" si="14"/>
        <v>40</v>
      </c>
      <c r="K173" s="2314"/>
      <c r="L173" s="31">
        <f t="shared" si="15"/>
        <v>2.5</v>
      </c>
      <c r="M173" s="2314"/>
      <c r="N173" s="31" t="str">
        <f>Liste!L173</f>
        <v>MM</v>
      </c>
      <c r="O173" s="31"/>
      <c r="P173" s="31"/>
      <c r="Q173" s="31">
        <f>Liste!P173</f>
        <v>0</v>
      </c>
      <c r="R173" s="31">
        <f>Liste!N173</f>
        <v>0</v>
      </c>
      <c r="S173" s="7">
        <v>0</v>
      </c>
      <c r="T173" s="7">
        <v>0</v>
      </c>
      <c r="U173" s="7">
        <v>0</v>
      </c>
      <c r="V173" s="7"/>
      <c r="W173" s="60"/>
      <c r="X173" s="60"/>
      <c r="Y173" s="60"/>
      <c r="Z173" s="7"/>
      <c r="AA173" s="7"/>
      <c r="AB173" s="60"/>
      <c r="AC173" s="60"/>
      <c r="AD173" s="60"/>
      <c r="AE173" s="7"/>
      <c r="AF173" s="7"/>
      <c r="AG173" s="7"/>
      <c r="AH173" s="7"/>
      <c r="AI173" s="7"/>
      <c r="AJ173" s="7">
        <f>Liste!X173</f>
        <v>0</v>
      </c>
      <c r="AK173" s="7">
        <f>Liste!Y173</f>
        <v>0</v>
      </c>
      <c r="AL173" s="7"/>
      <c r="AM173" s="7"/>
      <c r="AN173" s="7"/>
      <c r="AO173" s="1113">
        <f>Liste!D173</f>
        <v>0</v>
      </c>
      <c r="AP173" s="1113">
        <f>Liste!F173</f>
        <v>950</v>
      </c>
      <c r="AQ173" s="1113">
        <f>Liste!E173</f>
        <v>40</v>
      </c>
      <c r="AR173" s="1113">
        <f>Liste!G173</f>
        <v>2.5</v>
      </c>
      <c r="AS173" s="1112">
        <f>Liste!V173</f>
        <v>1</v>
      </c>
      <c r="AT173" s="1">
        <f>Liste!M173</f>
        <v>0</v>
      </c>
      <c r="AZ173" s="5" t="s">
        <v>29967</v>
      </c>
      <c r="BA173" s="4" t="s">
        <v>101</v>
      </c>
      <c r="BB173" s="4">
        <v>676</v>
      </c>
      <c r="BD173" s="35"/>
      <c r="BE173" s="35"/>
      <c r="BF173" s="2118" t="str">
        <f>Liste!R173</f>
        <v>0204008</v>
      </c>
      <c r="BG173" s="2137">
        <f>IF(AS173&gt;0,Liste!S173,0)</f>
        <v>0</v>
      </c>
      <c r="BH173" s="2118" t="str">
        <f>Liste!T173</f>
        <v>m</v>
      </c>
    </row>
    <row r="174" spans="1:60" ht="24.95" customHeight="1" x14ac:dyDescent="0.25">
      <c r="A174" s="29"/>
      <c r="B174" s="46">
        <f>IF(Liste!O174&gt;0,Liste!O174,Liste!B174)</f>
        <v>0</v>
      </c>
      <c r="C174" s="2314"/>
      <c r="D174" s="30">
        <f>Liste!C174</f>
        <v>0</v>
      </c>
      <c r="E174" s="2314"/>
      <c r="F174" s="32">
        <f t="shared" si="12"/>
        <v>0</v>
      </c>
      <c r="G174" s="2314"/>
      <c r="H174" s="32">
        <f t="shared" si="13"/>
        <v>950</v>
      </c>
      <c r="I174" s="2314"/>
      <c r="J174" s="32">
        <f t="shared" si="14"/>
        <v>40</v>
      </c>
      <c r="K174" s="2314"/>
      <c r="L174" s="31">
        <f t="shared" si="15"/>
        <v>0</v>
      </c>
      <c r="M174" s="2314"/>
      <c r="N174" s="31">
        <f>Liste!L174</f>
        <v>0</v>
      </c>
      <c r="O174" s="31"/>
      <c r="P174" s="31"/>
      <c r="Q174" s="31">
        <f>Liste!P174</f>
        <v>0</v>
      </c>
      <c r="R174" s="31">
        <f>Liste!N174</f>
        <v>0</v>
      </c>
      <c r="S174" s="7">
        <v>0</v>
      </c>
      <c r="T174" s="7">
        <v>0</v>
      </c>
      <c r="U174" s="7">
        <v>0</v>
      </c>
      <c r="V174" s="7"/>
      <c r="W174" s="60"/>
      <c r="X174" s="60"/>
      <c r="Y174" s="60"/>
      <c r="Z174" s="7"/>
      <c r="AA174" s="7"/>
      <c r="AB174" s="60"/>
      <c r="AC174" s="60"/>
      <c r="AD174" s="60"/>
      <c r="AE174" s="7"/>
      <c r="AF174" s="7"/>
      <c r="AG174" s="7"/>
      <c r="AH174" s="7"/>
      <c r="AI174" s="7"/>
      <c r="AJ174" s="7">
        <f>Liste!X174</f>
        <v>0</v>
      </c>
      <c r="AK174" s="7">
        <f>Liste!Y174</f>
        <v>0</v>
      </c>
      <c r="AL174" s="7"/>
      <c r="AM174" s="7"/>
      <c r="AN174" s="7"/>
      <c r="AO174" s="1113">
        <f>Liste!D174</f>
        <v>0</v>
      </c>
      <c r="AP174" s="1113">
        <f>Liste!F174</f>
        <v>950</v>
      </c>
      <c r="AQ174" s="1113">
        <f>Liste!E174</f>
        <v>40</v>
      </c>
      <c r="AR174" s="1113">
        <f>Liste!G174</f>
        <v>0</v>
      </c>
      <c r="AS174" s="1112">
        <f>Liste!V174</f>
        <v>0</v>
      </c>
      <c r="AT174" s="1">
        <f>Liste!M174</f>
        <v>0</v>
      </c>
      <c r="AZ174" s="5" t="s">
        <v>29968</v>
      </c>
      <c r="BA174" s="4" t="s">
        <v>101</v>
      </c>
      <c r="BB174" s="4">
        <v>677</v>
      </c>
      <c r="BD174" s="35"/>
      <c r="BE174" s="35"/>
      <c r="BF174" s="2118">
        <f>Liste!R174</f>
        <v>0</v>
      </c>
      <c r="BG174" s="2137">
        <f>IF(AS174&gt;0,Liste!S174,0)</f>
        <v>0</v>
      </c>
      <c r="BH174" s="2118">
        <f>Liste!T174</f>
        <v>0</v>
      </c>
    </row>
    <row r="175" spans="1:60" ht="24.95" customHeight="1" x14ac:dyDescent="0.25">
      <c r="A175" s="29"/>
      <c r="B175" s="46" t="str">
        <f>IF(Liste!O175&gt;0,Liste!O175,Liste!B175)</f>
        <v>GCC vertikal Gleitstück Schieberführung</v>
      </c>
      <c r="C175" s="2314"/>
      <c r="D175" s="30" t="str">
        <f>Liste!C175</f>
        <v>0712382</v>
      </c>
      <c r="E175" s="2314"/>
      <c r="F175" s="32">
        <f t="shared" si="12"/>
        <v>4</v>
      </c>
      <c r="G175" s="2314"/>
      <c r="H175" s="32">
        <f t="shared" si="13"/>
        <v>0</v>
      </c>
      <c r="I175" s="2314"/>
      <c r="J175" s="32">
        <f t="shared" si="14"/>
        <v>0</v>
      </c>
      <c r="K175" s="2314"/>
      <c r="L175" s="31">
        <f t="shared" si="15"/>
        <v>0</v>
      </c>
      <c r="M175" s="2314"/>
      <c r="N175" s="31" t="str">
        <f>Liste!L175</f>
        <v>Stk</v>
      </c>
      <c r="O175" s="31"/>
      <c r="P175" s="31"/>
      <c r="Q175" s="31">
        <f>Liste!P175</f>
        <v>0</v>
      </c>
      <c r="R175" s="31">
        <f>Liste!N175</f>
        <v>0</v>
      </c>
      <c r="S175" s="7">
        <v>0</v>
      </c>
      <c r="T175" s="7">
        <v>0</v>
      </c>
      <c r="U175" s="7">
        <v>0</v>
      </c>
      <c r="V175" s="7"/>
      <c r="W175" s="60"/>
      <c r="X175" s="60"/>
      <c r="Y175" s="60"/>
      <c r="Z175" s="7"/>
      <c r="AA175" s="7"/>
      <c r="AB175" s="60"/>
      <c r="AC175" s="60"/>
      <c r="AD175" s="60"/>
      <c r="AE175" s="7"/>
      <c r="AF175" s="7"/>
      <c r="AG175" s="7"/>
      <c r="AH175" s="7"/>
      <c r="AI175" s="7"/>
      <c r="AJ175" s="7">
        <f>Liste!X175</f>
        <v>0</v>
      </c>
      <c r="AK175" s="7">
        <f>Liste!Y175</f>
        <v>0</v>
      </c>
      <c r="AL175" s="7"/>
      <c r="AM175" s="7"/>
      <c r="AN175" s="7"/>
      <c r="AO175" s="1113">
        <f>Liste!D175</f>
        <v>4</v>
      </c>
      <c r="AP175" s="1113">
        <f>Liste!F175</f>
        <v>0</v>
      </c>
      <c r="AQ175" s="1113">
        <f>Liste!E175</f>
        <v>0</v>
      </c>
      <c r="AR175" s="1113">
        <f>Liste!G175</f>
        <v>0</v>
      </c>
      <c r="AS175" s="1112">
        <f>Liste!V175</f>
        <v>1</v>
      </c>
      <c r="AT175" s="1">
        <f>Liste!M175</f>
        <v>0</v>
      </c>
      <c r="AZ175" s="5" t="s">
        <v>29969</v>
      </c>
      <c r="BA175" s="4" t="s">
        <v>101</v>
      </c>
      <c r="BB175" s="4">
        <v>678</v>
      </c>
      <c r="BD175" s="35"/>
      <c r="BE175" s="35"/>
      <c r="BF175" s="2118" t="str">
        <f>Liste!R175</f>
        <v>0712382</v>
      </c>
      <c r="BG175" s="2137">
        <f>IF(AS175&gt;0,Liste!S175,0)</f>
        <v>4</v>
      </c>
      <c r="BH175" s="2118" t="str">
        <f>Liste!T175</f>
        <v>Stk</v>
      </c>
    </row>
    <row r="176" spans="1:60" ht="24.95" customHeight="1" x14ac:dyDescent="0.25">
      <c r="A176" s="29"/>
      <c r="B176" s="46" t="str">
        <f>IF(Liste!O176&gt;0,Liste!O176,Liste!B176)</f>
        <v>Unterleger für Gleitblock verz.</v>
      </c>
      <c r="C176" s="2314"/>
      <c r="D176" s="30" t="str">
        <f>Liste!C176</f>
        <v>0308513</v>
      </c>
      <c r="E176" s="2314"/>
      <c r="F176" s="32">
        <f t="shared" si="12"/>
        <v>4</v>
      </c>
      <c r="G176" s="2314"/>
      <c r="H176" s="32">
        <f t="shared" si="13"/>
        <v>0</v>
      </c>
      <c r="I176" s="2314"/>
      <c r="J176" s="32">
        <f t="shared" si="14"/>
        <v>0</v>
      </c>
      <c r="K176" s="2314"/>
      <c r="L176" s="31">
        <f t="shared" si="15"/>
        <v>0</v>
      </c>
      <c r="M176" s="2314"/>
      <c r="N176" s="31" t="str">
        <f>Liste!L176</f>
        <v>Stk</v>
      </c>
      <c r="O176" s="31"/>
      <c r="P176" s="31"/>
      <c r="Q176" s="31">
        <f>Liste!P176</f>
        <v>0</v>
      </c>
      <c r="R176" s="31">
        <f>Liste!N176</f>
        <v>0</v>
      </c>
      <c r="S176" s="7">
        <v>0</v>
      </c>
      <c r="T176" s="7">
        <v>0</v>
      </c>
      <c r="U176" s="7">
        <v>0</v>
      </c>
      <c r="V176" s="7"/>
      <c r="W176" s="60"/>
      <c r="X176" s="60"/>
      <c r="Y176" s="60"/>
      <c r="Z176" s="7"/>
      <c r="AA176" s="7"/>
      <c r="AB176" s="60"/>
      <c r="AC176" s="60"/>
      <c r="AD176" s="60"/>
      <c r="AE176" s="7"/>
      <c r="AF176" s="7"/>
      <c r="AG176" s="7"/>
      <c r="AH176" s="7"/>
      <c r="AI176" s="7"/>
      <c r="AJ176" s="7">
        <f>Liste!X176</f>
        <v>0</v>
      </c>
      <c r="AK176" s="7">
        <f>Liste!Y176</f>
        <v>0</v>
      </c>
      <c r="AL176" s="7"/>
      <c r="AM176" s="7"/>
      <c r="AN176" s="7"/>
      <c r="AO176" s="1113">
        <f>Liste!D176</f>
        <v>4</v>
      </c>
      <c r="AP176" s="1113">
        <f>Liste!F176</f>
        <v>50</v>
      </c>
      <c r="AQ176" s="1113">
        <f>Liste!E176</f>
        <v>50</v>
      </c>
      <c r="AR176" s="1113">
        <f>Liste!G176</f>
        <v>2</v>
      </c>
      <c r="AS176" s="1112">
        <f>Liste!V176</f>
        <v>1</v>
      </c>
      <c r="AT176" s="1" t="str">
        <f>Liste!M176</f>
        <v>Stahlblech verz.</v>
      </c>
      <c r="AZ176" s="5" t="s">
        <v>231</v>
      </c>
      <c r="BA176" s="4" t="s">
        <v>101</v>
      </c>
      <c r="BB176" s="4">
        <v>679</v>
      </c>
      <c r="BD176" s="35"/>
      <c r="BE176" s="35"/>
      <c r="BF176" s="2118" t="str">
        <f>Liste!R176</f>
        <v>0308513</v>
      </c>
      <c r="BG176" s="2137">
        <f>IF(AS176&gt;0,Liste!S176,0)</f>
        <v>4</v>
      </c>
      <c r="BH176" s="2118" t="str">
        <f>Liste!T176</f>
        <v>Stk</v>
      </c>
    </row>
    <row r="177" spans="1:60" ht="24.95" customHeight="1" x14ac:dyDescent="0.25">
      <c r="A177" s="29"/>
      <c r="B177" s="46" t="str">
        <f>IF(Liste!O177&gt;0,Liste!O177,Liste!B177)</f>
        <v>Unterleger für Gleitblock V2A</v>
      </c>
      <c r="C177" s="2314"/>
      <c r="D177" s="30" t="str">
        <f>Liste!C177</f>
        <v>0338513</v>
      </c>
      <c r="E177" s="2314"/>
      <c r="F177" s="32">
        <f t="shared" si="12"/>
        <v>0</v>
      </c>
      <c r="G177" s="2314"/>
      <c r="H177" s="32">
        <f t="shared" si="13"/>
        <v>0</v>
      </c>
      <c r="I177" s="2314"/>
      <c r="J177" s="32">
        <f t="shared" si="14"/>
        <v>0</v>
      </c>
      <c r="K177" s="2314"/>
      <c r="L177" s="31">
        <f t="shared" si="15"/>
        <v>0</v>
      </c>
      <c r="M177" s="2314"/>
      <c r="N177" s="31" t="str">
        <f>Liste!L177</f>
        <v>Stk</v>
      </c>
      <c r="O177" s="31"/>
      <c r="P177" s="31"/>
      <c r="Q177" s="31">
        <f>Liste!P177</f>
        <v>0</v>
      </c>
      <c r="R177" s="31">
        <f>Liste!N177</f>
        <v>0</v>
      </c>
      <c r="S177" s="7">
        <v>0</v>
      </c>
      <c r="T177" s="7">
        <v>0</v>
      </c>
      <c r="U177" s="7">
        <v>0</v>
      </c>
      <c r="V177" s="7"/>
      <c r="W177" s="60"/>
      <c r="X177" s="60"/>
      <c r="Y177" s="60"/>
      <c r="Z177" s="7"/>
      <c r="AA177" s="7"/>
      <c r="AB177" s="60"/>
      <c r="AC177" s="60"/>
      <c r="AD177" s="60"/>
      <c r="AE177" s="7"/>
      <c r="AF177" s="7"/>
      <c r="AG177" s="7"/>
      <c r="AH177" s="7"/>
      <c r="AI177" s="7"/>
      <c r="AJ177" s="7">
        <f>Liste!X177</f>
        <v>0</v>
      </c>
      <c r="AK177" s="7">
        <f>Liste!Y177</f>
        <v>0</v>
      </c>
      <c r="AL177" s="7"/>
      <c r="AM177" s="7"/>
      <c r="AN177" s="7"/>
      <c r="AO177" s="1113">
        <f>Liste!D177</f>
        <v>0</v>
      </c>
      <c r="AP177" s="1113">
        <f>Liste!F177</f>
        <v>50</v>
      </c>
      <c r="AQ177" s="1113">
        <f>Liste!E177</f>
        <v>50</v>
      </c>
      <c r="AR177" s="1113">
        <f>Liste!G177</f>
        <v>2</v>
      </c>
      <c r="AS177" s="1112">
        <f>Liste!V177</f>
        <v>1</v>
      </c>
      <c r="AT177" s="1" t="str">
        <f>Liste!M177</f>
        <v>V2A blank</v>
      </c>
      <c r="AZ177" s="5" t="s">
        <v>232</v>
      </c>
      <c r="BA177" s="4" t="s">
        <v>101</v>
      </c>
      <c r="BB177" s="4">
        <v>680</v>
      </c>
      <c r="BD177" s="35"/>
      <c r="BE177" s="35"/>
      <c r="BF177" s="2118" t="str">
        <f>Liste!R177</f>
        <v>0338513</v>
      </c>
      <c r="BG177" s="2137">
        <f>IF(AS177&gt;0,Liste!S177,0)</f>
        <v>0</v>
      </c>
      <c r="BH177" s="2118" t="str">
        <f>Liste!T177</f>
        <v>Stk</v>
      </c>
    </row>
    <row r="178" spans="1:60" ht="24.95" customHeight="1" x14ac:dyDescent="0.25">
      <c r="A178" s="29"/>
      <c r="B178" s="46" t="str">
        <f>IF(Liste!O178&gt;0,Liste!O178,Liste!B178)</f>
        <v>Unterleger für Gleitblock verz.</v>
      </c>
      <c r="C178" s="2314"/>
      <c r="D178" s="30" t="str">
        <f>Liste!C178</f>
        <v>0308513</v>
      </c>
      <c r="E178" s="2314"/>
      <c r="F178" s="32">
        <f t="shared" si="12"/>
        <v>0</v>
      </c>
      <c r="G178" s="2314"/>
      <c r="H178" s="32">
        <f t="shared" si="13"/>
        <v>0</v>
      </c>
      <c r="I178" s="2314"/>
      <c r="J178" s="32">
        <f t="shared" si="14"/>
        <v>0</v>
      </c>
      <c r="K178" s="2314"/>
      <c r="L178" s="31">
        <f t="shared" si="15"/>
        <v>0</v>
      </c>
      <c r="M178" s="2314"/>
      <c r="N178" s="31">
        <f>Liste!L178</f>
        <v>0</v>
      </c>
      <c r="O178" s="31"/>
      <c r="P178" s="31"/>
      <c r="Q178" s="31">
        <f>Liste!P178</f>
        <v>0</v>
      </c>
      <c r="R178" s="31">
        <f>Liste!N178</f>
        <v>0</v>
      </c>
      <c r="S178" s="7">
        <v>0</v>
      </c>
      <c r="T178" s="7">
        <v>0</v>
      </c>
      <c r="U178" s="7">
        <v>0</v>
      </c>
      <c r="V178" s="7"/>
      <c r="W178" s="60"/>
      <c r="X178" s="60"/>
      <c r="Y178" s="60"/>
      <c r="Z178" s="7"/>
      <c r="AA178" s="7"/>
      <c r="AB178" s="60"/>
      <c r="AC178" s="60"/>
      <c r="AD178" s="60"/>
      <c r="AE178" s="7"/>
      <c r="AF178" s="7"/>
      <c r="AG178" s="7"/>
      <c r="AH178" s="7"/>
      <c r="AI178" s="7"/>
      <c r="AJ178" s="7">
        <f>Liste!X178</f>
        <v>0</v>
      </c>
      <c r="AK178" s="7">
        <f>Liste!Y178</f>
        <v>0</v>
      </c>
      <c r="AL178" s="7"/>
      <c r="AM178" s="7"/>
      <c r="AN178" s="7"/>
      <c r="AO178" s="1113">
        <f>Liste!D178</f>
        <v>0</v>
      </c>
      <c r="AP178" s="1113">
        <f>Liste!F178</f>
        <v>0</v>
      </c>
      <c r="AQ178" s="1113">
        <f>Liste!E178</f>
        <v>0</v>
      </c>
      <c r="AR178" s="1113">
        <f>Liste!G178</f>
        <v>0</v>
      </c>
      <c r="AS178" s="1112">
        <f>Liste!V178</f>
        <v>0</v>
      </c>
      <c r="AT178" s="1">
        <f>Liste!M178</f>
        <v>0</v>
      </c>
      <c r="AZ178" s="5" t="s">
        <v>234</v>
      </c>
      <c r="BA178" s="4" t="s">
        <v>101</v>
      </c>
      <c r="BB178" s="4">
        <v>681</v>
      </c>
      <c r="BD178" s="35"/>
      <c r="BE178" s="35"/>
      <c r="BF178" s="2118" t="str">
        <f>Liste!R178</f>
        <v>0308513</v>
      </c>
      <c r="BG178" s="2137">
        <f>IF(AS178&gt;0,Liste!S178,0)</f>
        <v>0</v>
      </c>
      <c r="BH178" s="2118">
        <f>Liste!T178</f>
        <v>0</v>
      </c>
    </row>
    <row r="179" spans="1:60" ht="24.95" customHeight="1" x14ac:dyDescent="0.25">
      <c r="A179" s="29"/>
      <c r="B179" s="46" t="str">
        <f>IF(Liste!O179&gt;0,Liste!O179,Liste!B179)</f>
        <v>Bohrschrauben Linsenkopf 4,8x60 Torx (Befestigung Gleitstücke)</v>
      </c>
      <c r="C179" s="2314"/>
      <c r="D179" s="30" t="str">
        <f>Liste!C179</f>
        <v>0123023</v>
      </c>
      <c r="E179" s="2314"/>
      <c r="F179" s="32">
        <f t="shared" si="12"/>
        <v>8</v>
      </c>
      <c r="G179" s="2314"/>
      <c r="H179" s="32">
        <f t="shared" si="13"/>
        <v>0</v>
      </c>
      <c r="I179" s="2314"/>
      <c r="J179" s="32">
        <f t="shared" si="14"/>
        <v>0</v>
      </c>
      <c r="K179" s="2314"/>
      <c r="L179" s="31">
        <f t="shared" si="15"/>
        <v>0</v>
      </c>
      <c r="M179" s="2314"/>
      <c r="N179" s="31" t="str">
        <f>Liste!L179</f>
        <v>Stk</v>
      </c>
      <c r="O179" s="31"/>
      <c r="P179" s="31"/>
      <c r="Q179" s="31">
        <f>Liste!P179</f>
        <v>0</v>
      </c>
      <c r="R179" s="31">
        <f>Liste!N179</f>
        <v>0</v>
      </c>
      <c r="S179" s="7">
        <v>0</v>
      </c>
      <c r="T179" s="7">
        <v>0</v>
      </c>
      <c r="U179" s="7">
        <v>0</v>
      </c>
      <c r="V179" s="7"/>
      <c r="W179" s="60"/>
      <c r="X179" s="60"/>
      <c r="Y179" s="60"/>
      <c r="Z179" s="7"/>
      <c r="AA179" s="7"/>
      <c r="AB179" s="60"/>
      <c r="AC179" s="60"/>
      <c r="AD179" s="60"/>
      <c r="AE179" s="7"/>
      <c r="AF179" s="7"/>
      <c r="AG179" s="7"/>
      <c r="AH179" s="7"/>
      <c r="AI179" s="7"/>
      <c r="AJ179" s="7">
        <f>Liste!X179</f>
        <v>0</v>
      </c>
      <c r="AK179" s="7">
        <f>Liste!Y179</f>
        <v>0</v>
      </c>
      <c r="AL179" s="7"/>
      <c r="AM179" s="7"/>
      <c r="AN179" s="7"/>
      <c r="AO179" s="1113">
        <f>Liste!D179</f>
        <v>8</v>
      </c>
      <c r="AP179" s="1113">
        <f>Liste!F179</f>
        <v>0</v>
      </c>
      <c r="AQ179" s="1113">
        <f>Liste!E179</f>
        <v>0</v>
      </c>
      <c r="AR179" s="1113">
        <f>Liste!G179</f>
        <v>0</v>
      </c>
      <c r="AS179" s="1112">
        <f>Liste!V179</f>
        <v>1</v>
      </c>
      <c r="AT179" s="1">
        <f>Liste!M179</f>
        <v>0</v>
      </c>
      <c r="AZ179" s="5" t="s">
        <v>235</v>
      </c>
      <c r="BA179" s="4" t="s">
        <v>101</v>
      </c>
      <c r="BB179" s="4">
        <v>682</v>
      </c>
      <c r="BD179" s="35"/>
      <c r="BE179" s="35"/>
      <c r="BF179" s="2118" t="str">
        <f>Liste!R179</f>
        <v>0123023</v>
      </c>
      <c r="BG179" s="2137">
        <f>IF(AS179&gt;0,Liste!S179,0)</f>
        <v>8</v>
      </c>
      <c r="BH179" s="2118" t="str">
        <f>Liste!T179</f>
        <v>Stk</v>
      </c>
    </row>
    <row r="180" spans="1:60" ht="24.95" customHeight="1" x14ac:dyDescent="0.25">
      <c r="A180" s="29"/>
      <c r="B180" s="46" t="str">
        <f>IF(Liste!O180&gt;0,Liste!O180,Liste!B180)</f>
        <v>Verkleidungsblech Stoßabdeckung vorn verzinkt</v>
      </c>
      <c r="C180" s="2314"/>
      <c r="D180" s="30" t="str">
        <f>Liste!C180</f>
        <v>0308304</v>
      </c>
      <c r="E180" s="2314"/>
      <c r="F180" s="32">
        <f t="shared" si="12"/>
        <v>0</v>
      </c>
      <c r="G180" s="2314"/>
      <c r="H180" s="32">
        <f t="shared" si="13"/>
        <v>0</v>
      </c>
      <c r="I180" s="2314"/>
      <c r="J180" s="32">
        <f t="shared" si="14"/>
        <v>0</v>
      </c>
      <c r="K180" s="2314"/>
      <c r="L180" s="31">
        <f t="shared" si="15"/>
        <v>0</v>
      </c>
      <c r="M180" s="2314"/>
      <c r="N180" s="31" t="str">
        <f>Liste!L180</f>
        <v>Stk</v>
      </c>
      <c r="O180" s="31"/>
      <c r="P180" s="31"/>
      <c r="Q180" s="31">
        <f>Liste!P180</f>
        <v>0</v>
      </c>
      <c r="R180" s="31">
        <f>Liste!N180</f>
        <v>0</v>
      </c>
      <c r="S180" s="7">
        <v>0</v>
      </c>
      <c r="T180" s="7">
        <v>0</v>
      </c>
      <c r="U180" s="7">
        <v>0</v>
      </c>
      <c r="V180" s="7"/>
      <c r="W180" s="60"/>
      <c r="X180" s="60"/>
      <c r="Y180" s="60"/>
      <c r="Z180" s="7"/>
      <c r="AA180" s="7"/>
      <c r="AB180" s="60"/>
      <c r="AC180" s="60"/>
      <c r="AD180" s="60"/>
      <c r="AE180" s="7"/>
      <c r="AF180" s="7"/>
      <c r="AG180" s="7"/>
      <c r="AH180" s="7"/>
      <c r="AI180" s="7"/>
      <c r="AJ180" s="7">
        <f>Liste!X180</f>
        <v>0</v>
      </c>
      <c r="AK180" s="7">
        <f>Liste!Y180</f>
        <v>1</v>
      </c>
      <c r="AL180" s="7"/>
      <c r="AM180" s="7"/>
      <c r="AN180" s="7"/>
      <c r="AO180" s="1113">
        <f>Liste!D180</f>
        <v>0</v>
      </c>
      <c r="AP180" s="1113">
        <f>Liste!F180</f>
        <v>125</v>
      </c>
      <c r="AQ180" s="1113">
        <f>Liste!E180</f>
        <v>1080</v>
      </c>
      <c r="AR180" s="1113">
        <f>Liste!G180</f>
        <v>0.75</v>
      </c>
      <c r="AS180" s="1112">
        <f>Liste!V180</f>
        <v>1</v>
      </c>
      <c r="AT180" s="1" t="str">
        <f>Liste!M180</f>
        <v>Stahlblech verz.</v>
      </c>
      <c r="AZ180" s="5" t="s">
        <v>236</v>
      </c>
      <c r="BA180" s="4" t="s">
        <v>101</v>
      </c>
      <c r="BB180" s="4">
        <v>683</v>
      </c>
      <c r="BD180" s="35"/>
      <c r="BE180" s="35"/>
      <c r="BF180" s="2118" t="str">
        <f>Liste!R180</f>
        <v>0701446</v>
      </c>
      <c r="BG180" s="2137">
        <f>IF(AS180&gt;0,Liste!S180,0)</f>
        <v>0</v>
      </c>
      <c r="BH180" s="2118" t="str">
        <f>Liste!T180</f>
        <v>m²</v>
      </c>
    </row>
    <row r="181" spans="1:60" ht="24.95" customHeight="1" x14ac:dyDescent="0.25">
      <c r="A181" s="29"/>
      <c r="B181" s="46" t="str">
        <f>IF(Liste!O181&gt;0,Liste!O181,Liste!B181)</f>
        <v>Verkleidungsblech Stoßabdeckung vorn V2A</v>
      </c>
      <c r="C181" s="2314"/>
      <c r="D181" s="30" t="str">
        <f>Liste!C181</f>
        <v>0338304</v>
      </c>
      <c r="E181" s="2314"/>
      <c r="F181" s="32">
        <f t="shared" si="12"/>
        <v>0</v>
      </c>
      <c r="G181" s="2314"/>
      <c r="H181" s="32">
        <f t="shared" si="13"/>
        <v>0</v>
      </c>
      <c r="I181" s="2314"/>
      <c r="J181" s="32">
        <f t="shared" si="14"/>
        <v>0</v>
      </c>
      <c r="K181" s="2314"/>
      <c r="L181" s="31">
        <f t="shared" si="15"/>
        <v>0</v>
      </c>
      <c r="M181" s="2314"/>
      <c r="N181" s="31" t="str">
        <f>Liste!L181</f>
        <v>Stk</v>
      </c>
      <c r="O181" s="31"/>
      <c r="P181" s="31"/>
      <c r="Q181" s="31">
        <f>Liste!P181</f>
        <v>0</v>
      </c>
      <c r="R181" s="31">
        <f>Liste!N181</f>
        <v>0</v>
      </c>
      <c r="S181" s="7">
        <v>0</v>
      </c>
      <c r="T181" s="7">
        <v>0</v>
      </c>
      <c r="U181" s="7">
        <v>0</v>
      </c>
      <c r="V181" s="7"/>
      <c r="W181" s="60"/>
      <c r="X181" s="60"/>
      <c r="Y181" s="60"/>
      <c r="Z181" s="7"/>
      <c r="AA181" s="7"/>
      <c r="AB181" s="60"/>
      <c r="AC181" s="60"/>
      <c r="AD181" s="60"/>
      <c r="AE181" s="7"/>
      <c r="AF181" s="7"/>
      <c r="AG181" s="7"/>
      <c r="AH181" s="7"/>
      <c r="AI181" s="7"/>
      <c r="AJ181" s="7">
        <f>Liste!X181</f>
        <v>0</v>
      </c>
      <c r="AK181" s="7">
        <f>Liste!Y181</f>
        <v>1</v>
      </c>
      <c r="AL181" s="7"/>
      <c r="AM181" s="7"/>
      <c r="AN181" s="7"/>
      <c r="AO181" s="1113">
        <f>Liste!D181</f>
        <v>0</v>
      </c>
      <c r="AP181" s="1113">
        <f>Liste!F181</f>
        <v>125</v>
      </c>
      <c r="AQ181" s="1113">
        <f>Liste!E181</f>
        <v>1080</v>
      </c>
      <c r="AR181" s="1113">
        <f>Liste!G181</f>
        <v>0.8</v>
      </c>
      <c r="AS181" s="1112">
        <f>Liste!V181</f>
        <v>1</v>
      </c>
      <c r="AT181" s="1" t="str">
        <f>Liste!M181</f>
        <v>V2A blank</v>
      </c>
      <c r="AZ181" s="5" t="s">
        <v>239</v>
      </c>
      <c r="BA181" s="4" t="s">
        <v>101</v>
      </c>
      <c r="BB181" s="4">
        <v>684</v>
      </c>
      <c r="BD181" s="35"/>
      <c r="BE181" s="35"/>
      <c r="BF181" s="2118" t="str">
        <f>Liste!R181</f>
        <v>0701478</v>
      </c>
      <c r="BG181" s="2137">
        <f>IF(AS181&gt;0,Liste!S181,0)</f>
        <v>0</v>
      </c>
      <c r="BH181" s="2118" t="str">
        <f>Liste!T181</f>
        <v>m²</v>
      </c>
    </row>
    <row r="182" spans="1:60" ht="24.95" customHeight="1" x14ac:dyDescent="0.25">
      <c r="A182" s="29"/>
      <c r="B182" s="46">
        <f>IF(Liste!O182&gt;0,Liste!O182,Liste!B182)</f>
        <v>0</v>
      </c>
      <c r="C182" s="2314"/>
      <c r="D182" s="30">
        <f>Liste!C182</f>
        <v>0</v>
      </c>
      <c r="E182" s="2314"/>
      <c r="F182" s="32">
        <f t="shared" si="12"/>
        <v>0</v>
      </c>
      <c r="G182" s="2314"/>
      <c r="H182" s="32">
        <f t="shared" si="13"/>
        <v>0</v>
      </c>
      <c r="I182" s="2314"/>
      <c r="J182" s="32">
        <f t="shared" si="14"/>
        <v>0</v>
      </c>
      <c r="K182" s="2314"/>
      <c r="L182" s="31">
        <f t="shared" si="15"/>
        <v>0</v>
      </c>
      <c r="M182" s="2314"/>
      <c r="N182" s="31">
        <f>Liste!L182</f>
        <v>0</v>
      </c>
      <c r="O182" s="31"/>
      <c r="P182" s="31"/>
      <c r="Q182" s="31">
        <f>Liste!P182</f>
        <v>0</v>
      </c>
      <c r="R182" s="31">
        <f>Liste!N182</f>
        <v>0</v>
      </c>
      <c r="S182" s="7">
        <v>0</v>
      </c>
      <c r="T182" s="7">
        <v>0</v>
      </c>
      <c r="U182" s="7">
        <v>0</v>
      </c>
      <c r="V182" s="7"/>
      <c r="W182" s="60"/>
      <c r="X182" s="60"/>
      <c r="Y182" s="60"/>
      <c r="Z182" s="7"/>
      <c r="AA182" s="7"/>
      <c r="AB182" s="60"/>
      <c r="AC182" s="60"/>
      <c r="AD182" s="60"/>
      <c r="AE182" s="7"/>
      <c r="AF182" s="7"/>
      <c r="AG182" s="7"/>
      <c r="AH182" s="7"/>
      <c r="AI182" s="7"/>
      <c r="AJ182" s="7">
        <f>Liste!X182</f>
        <v>0</v>
      </c>
      <c r="AK182" s="7">
        <f>Liste!Y182</f>
        <v>0</v>
      </c>
      <c r="AL182" s="7"/>
      <c r="AM182" s="7"/>
      <c r="AN182" s="7"/>
      <c r="AO182" s="1113">
        <f>Liste!D182</f>
        <v>0</v>
      </c>
      <c r="AP182" s="1113">
        <f>Liste!F182</f>
        <v>0</v>
      </c>
      <c r="AQ182" s="1113">
        <f>Liste!E182</f>
        <v>0</v>
      </c>
      <c r="AR182" s="1113">
        <f>Liste!G182</f>
        <v>0</v>
      </c>
      <c r="AS182" s="1112">
        <f>Liste!V182</f>
        <v>0</v>
      </c>
      <c r="AT182" s="1">
        <f>Liste!M182</f>
        <v>0</v>
      </c>
      <c r="AZ182" s="5" t="s">
        <v>240</v>
      </c>
      <c r="BA182" s="4" t="s">
        <v>101</v>
      </c>
      <c r="BB182" s="4">
        <v>685</v>
      </c>
      <c r="BD182" s="35"/>
      <c r="BE182" s="35"/>
      <c r="BF182" s="2118">
        <f>Liste!R182</f>
        <v>0</v>
      </c>
      <c r="BG182" s="2137">
        <f>IF(AS182&gt;0,Liste!S182,0)</f>
        <v>0</v>
      </c>
      <c r="BH182" s="2118">
        <f>Liste!T182</f>
        <v>0</v>
      </c>
    </row>
    <row r="183" spans="1:60" ht="24.95" customHeight="1" x14ac:dyDescent="0.25">
      <c r="A183" s="29"/>
      <c r="B183" s="46" t="str">
        <f>IF(Liste!O183&gt;0,Liste!O183,Liste!B183)</f>
        <v>Verkleidungsblech Stoßabdeckung hinten links verz.</v>
      </c>
      <c r="C183" s="2314"/>
      <c r="D183" s="30" t="str">
        <f>Liste!C183</f>
        <v>0308504</v>
      </c>
      <c r="E183" s="2314"/>
      <c r="F183" s="32">
        <f t="shared" si="12"/>
        <v>0</v>
      </c>
      <c r="G183" s="2314"/>
      <c r="H183" s="32">
        <f t="shared" si="13"/>
        <v>0</v>
      </c>
      <c r="I183" s="2314"/>
      <c r="J183" s="32">
        <f t="shared" si="14"/>
        <v>0</v>
      </c>
      <c r="K183" s="2314"/>
      <c r="L183" s="31">
        <f t="shared" si="15"/>
        <v>0</v>
      </c>
      <c r="M183" s="2314"/>
      <c r="N183" s="31" t="str">
        <f>Liste!L183</f>
        <v>Stk</v>
      </c>
      <c r="O183" s="31"/>
      <c r="P183" s="31"/>
      <c r="Q183" s="31">
        <f>Liste!P183</f>
        <v>0</v>
      </c>
      <c r="R183" s="31">
        <f>Liste!N183</f>
        <v>0</v>
      </c>
      <c r="S183" s="7">
        <v>0</v>
      </c>
      <c r="T183" s="7">
        <v>0</v>
      </c>
      <c r="U183" s="7">
        <v>0</v>
      </c>
      <c r="V183" s="7"/>
      <c r="W183" s="60"/>
      <c r="X183" s="60"/>
      <c r="Y183" s="60"/>
      <c r="Z183" s="7"/>
      <c r="AA183" s="7"/>
      <c r="AB183" s="60"/>
      <c r="AC183" s="60"/>
      <c r="AD183" s="60"/>
      <c r="AE183" s="7"/>
      <c r="AF183" s="7"/>
      <c r="AG183" s="7"/>
      <c r="AH183" s="7"/>
      <c r="AI183" s="7"/>
      <c r="AJ183" s="7">
        <f>Liste!X183</f>
        <v>0</v>
      </c>
      <c r="AK183" s="7">
        <f>Liste!Y183</f>
        <v>1</v>
      </c>
      <c r="AL183" s="7"/>
      <c r="AM183" s="7"/>
      <c r="AN183" s="7"/>
      <c r="AO183" s="1113">
        <f>Liste!D183</f>
        <v>0</v>
      </c>
      <c r="AP183" s="1113">
        <f>Liste!F183</f>
        <v>125</v>
      </c>
      <c r="AQ183" s="1113">
        <f>Liste!E183</f>
        <v>460</v>
      </c>
      <c r="AR183" s="1113">
        <f>Liste!G183</f>
        <v>0.75</v>
      </c>
      <c r="AS183" s="1112">
        <f>Liste!V183</f>
        <v>1</v>
      </c>
      <c r="AT183" s="1" t="str">
        <f>Liste!M183</f>
        <v>Stahlblech verz.</v>
      </c>
      <c r="AZ183" s="5" t="s">
        <v>241</v>
      </c>
      <c r="BA183" s="4" t="s">
        <v>101</v>
      </c>
      <c r="BB183" s="4">
        <v>686</v>
      </c>
      <c r="BD183" s="35"/>
      <c r="BE183" s="35"/>
      <c r="BF183" s="2118" t="str">
        <f>Liste!R183</f>
        <v>0701446</v>
      </c>
      <c r="BG183" s="2137">
        <f>IF(AS183&gt;0,Liste!S183,0)</f>
        <v>0</v>
      </c>
      <c r="BH183" s="2118" t="str">
        <f>Liste!T183</f>
        <v>m²</v>
      </c>
    </row>
    <row r="184" spans="1:60" ht="24.95" customHeight="1" x14ac:dyDescent="0.25">
      <c r="A184" s="29"/>
      <c r="B184" s="46" t="str">
        <f>IF(Liste!O184&gt;0,Liste!O184,Liste!B184)</f>
        <v>Verkleidungsblech Stoßabdeckung hinten links V2A</v>
      </c>
      <c r="C184" s="2314"/>
      <c r="D184" s="30" t="str">
        <f>Liste!C184</f>
        <v>0338504</v>
      </c>
      <c r="E184" s="2314"/>
      <c r="F184" s="32">
        <f t="shared" si="12"/>
        <v>0</v>
      </c>
      <c r="G184" s="2314"/>
      <c r="H184" s="32">
        <f t="shared" si="13"/>
        <v>0</v>
      </c>
      <c r="I184" s="2314"/>
      <c r="J184" s="32">
        <f t="shared" si="14"/>
        <v>0</v>
      </c>
      <c r="K184" s="2314"/>
      <c r="L184" s="31">
        <f t="shared" si="15"/>
        <v>0</v>
      </c>
      <c r="M184" s="2314"/>
      <c r="N184" s="31" t="str">
        <f>Liste!L184</f>
        <v>Stk</v>
      </c>
      <c r="O184" s="31"/>
      <c r="P184" s="31"/>
      <c r="Q184" s="31">
        <f>Liste!P184</f>
        <v>0</v>
      </c>
      <c r="R184" s="31">
        <f>Liste!N184</f>
        <v>0</v>
      </c>
      <c r="S184" s="7">
        <v>0</v>
      </c>
      <c r="T184" s="7">
        <v>0</v>
      </c>
      <c r="U184" s="7">
        <v>0</v>
      </c>
      <c r="V184" s="7"/>
      <c r="W184" s="60"/>
      <c r="X184" s="60"/>
      <c r="Y184" s="60"/>
      <c r="Z184" s="7"/>
      <c r="AA184" s="7"/>
      <c r="AB184" s="60"/>
      <c r="AC184" s="60"/>
      <c r="AD184" s="60"/>
      <c r="AE184" s="7"/>
      <c r="AF184" s="7"/>
      <c r="AG184" s="7"/>
      <c r="AH184" s="7"/>
      <c r="AI184" s="7"/>
      <c r="AJ184" s="7">
        <f>Liste!X184</f>
        <v>0</v>
      </c>
      <c r="AK184" s="7">
        <f>Liste!Y184</f>
        <v>1</v>
      </c>
      <c r="AL184" s="7"/>
      <c r="AM184" s="7"/>
      <c r="AN184" s="7"/>
      <c r="AO184" s="1113">
        <f>Liste!D184</f>
        <v>0</v>
      </c>
      <c r="AP184" s="1113">
        <f>Liste!F184</f>
        <v>125</v>
      </c>
      <c r="AQ184" s="1113">
        <f>Liste!E184</f>
        <v>460</v>
      </c>
      <c r="AR184" s="1113">
        <f>Liste!G184</f>
        <v>0.8</v>
      </c>
      <c r="AS184" s="1112">
        <f>Liste!V184</f>
        <v>1</v>
      </c>
      <c r="AT184" s="1" t="str">
        <f>Liste!M184</f>
        <v>V2A blank</v>
      </c>
      <c r="AZ184" s="5" t="s">
        <v>242</v>
      </c>
      <c r="BA184" s="4" t="s">
        <v>101</v>
      </c>
      <c r="BB184" s="4">
        <v>687</v>
      </c>
      <c r="BD184" s="35"/>
      <c r="BE184" s="35"/>
      <c r="BF184" s="2118" t="str">
        <f>Liste!R184</f>
        <v>0701478</v>
      </c>
      <c r="BG184" s="2137">
        <f>IF(AS184&gt;0,Liste!S184,0)</f>
        <v>0</v>
      </c>
      <c r="BH184" s="2118" t="str">
        <f>Liste!T184</f>
        <v>m²</v>
      </c>
    </row>
    <row r="185" spans="1:60" ht="24.95" customHeight="1" x14ac:dyDescent="0.25">
      <c r="A185" s="29"/>
      <c r="B185" s="46">
        <f>IF(Liste!O185&gt;0,Liste!O185,Liste!B185)</f>
        <v>0</v>
      </c>
      <c r="C185" s="2314"/>
      <c r="D185" s="30">
        <f>Liste!C185</f>
        <v>0</v>
      </c>
      <c r="E185" s="2314"/>
      <c r="F185" s="32">
        <f t="shared" si="12"/>
        <v>0</v>
      </c>
      <c r="G185" s="2314"/>
      <c r="H185" s="32">
        <f t="shared" si="13"/>
        <v>0</v>
      </c>
      <c r="I185" s="2314"/>
      <c r="J185" s="32">
        <f t="shared" si="14"/>
        <v>0</v>
      </c>
      <c r="K185" s="2314"/>
      <c r="L185" s="31">
        <f t="shared" si="15"/>
        <v>0</v>
      </c>
      <c r="M185" s="2314"/>
      <c r="N185" s="31">
        <f>Liste!L185</f>
        <v>0</v>
      </c>
      <c r="O185" s="31"/>
      <c r="P185" s="31"/>
      <c r="Q185" s="31">
        <f>Liste!P185</f>
        <v>0</v>
      </c>
      <c r="R185" s="31">
        <f>Liste!N185</f>
        <v>0</v>
      </c>
      <c r="S185" s="7">
        <v>0</v>
      </c>
      <c r="T185" s="7">
        <v>0</v>
      </c>
      <c r="U185" s="7">
        <v>0</v>
      </c>
      <c r="V185" s="7"/>
      <c r="W185" s="60"/>
      <c r="X185" s="60"/>
      <c r="Y185" s="60"/>
      <c r="Z185" s="7"/>
      <c r="AA185" s="7"/>
      <c r="AB185" s="60"/>
      <c r="AC185" s="60"/>
      <c r="AD185" s="60"/>
      <c r="AE185" s="7"/>
      <c r="AF185" s="7"/>
      <c r="AG185" s="7"/>
      <c r="AH185" s="7"/>
      <c r="AI185" s="7"/>
      <c r="AJ185" s="7">
        <f>Liste!X185</f>
        <v>0</v>
      </c>
      <c r="AK185" s="7">
        <f>Liste!Y185</f>
        <v>0</v>
      </c>
      <c r="AL185" s="7"/>
      <c r="AM185" s="7"/>
      <c r="AN185" s="7"/>
      <c r="AO185" s="1113">
        <f>Liste!D185</f>
        <v>0</v>
      </c>
      <c r="AP185" s="1113">
        <f>Liste!F185</f>
        <v>0</v>
      </c>
      <c r="AQ185" s="1113">
        <f>Liste!E185</f>
        <v>0</v>
      </c>
      <c r="AR185" s="1113">
        <f>Liste!G185</f>
        <v>0</v>
      </c>
      <c r="AS185" s="1112">
        <f>Liste!V185</f>
        <v>0</v>
      </c>
      <c r="AT185" s="1">
        <f>Liste!M185</f>
        <v>0</v>
      </c>
      <c r="AZ185" s="5" t="s">
        <v>243</v>
      </c>
      <c r="BA185" s="4" t="s">
        <v>101</v>
      </c>
      <c r="BB185" s="4">
        <v>688</v>
      </c>
      <c r="BD185" s="35"/>
      <c r="BE185" s="35"/>
      <c r="BF185" s="2118">
        <f>Liste!R185</f>
        <v>0</v>
      </c>
      <c r="BG185" s="2137">
        <f>IF(AS185&gt;0,Liste!S185,0)</f>
        <v>0</v>
      </c>
      <c r="BH185" s="2118">
        <f>Liste!T185</f>
        <v>0</v>
      </c>
    </row>
    <row r="186" spans="1:60" ht="24.95" customHeight="1" x14ac:dyDescent="0.25">
      <c r="A186" s="29"/>
      <c r="B186" s="46" t="str">
        <f>IF(Liste!O186&gt;0,Liste!O186,Liste!B186)</f>
        <v>Verkleidungsblech Stoßabdeckung hinten rechts verz.</v>
      </c>
      <c r="C186" s="2314"/>
      <c r="D186" s="30" t="str">
        <f>Liste!C186</f>
        <v>0308505</v>
      </c>
      <c r="E186" s="2314"/>
      <c r="F186" s="32">
        <f t="shared" si="12"/>
        <v>0</v>
      </c>
      <c r="G186" s="2314"/>
      <c r="H186" s="32">
        <f t="shared" si="13"/>
        <v>0</v>
      </c>
      <c r="I186" s="2314"/>
      <c r="J186" s="32">
        <f t="shared" si="14"/>
        <v>0</v>
      </c>
      <c r="K186" s="2314"/>
      <c r="L186" s="31">
        <f t="shared" si="15"/>
        <v>0</v>
      </c>
      <c r="M186" s="2314"/>
      <c r="N186" s="31" t="str">
        <f>Liste!L186</f>
        <v>Stk</v>
      </c>
      <c r="O186" s="31"/>
      <c r="P186" s="31"/>
      <c r="Q186" s="31">
        <f>Liste!P186</f>
        <v>0</v>
      </c>
      <c r="R186" s="31">
        <f>Liste!N186</f>
        <v>0</v>
      </c>
      <c r="S186" s="7">
        <v>0</v>
      </c>
      <c r="T186" s="7">
        <v>0</v>
      </c>
      <c r="U186" s="7">
        <v>0</v>
      </c>
      <c r="V186" s="7"/>
      <c r="W186" s="60"/>
      <c r="X186" s="60"/>
      <c r="Y186" s="60"/>
      <c r="Z186" s="7"/>
      <c r="AA186" s="7"/>
      <c r="AB186" s="60"/>
      <c r="AC186" s="60"/>
      <c r="AD186" s="60"/>
      <c r="AE186" s="7"/>
      <c r="AF186" s="7"/>
      <c r="AG186" s="7"/>
      <c r="AH186" s="7"/>
      <c r="AI186" s="7"/>
      <c r="AJ186" s="7">
        <f>Liste!X186</f>
        <v>0</v>
      </c>
      <c r="AK186" s="7">
        <f>Liste!Y186</f>
        <v>1</v>
      </c>
      <c r="AL186" s="7"/>
      <c r="AM186" s="7"/>
      <c r="AN186" s="7"/>
      <c r="AO186" s="1113">
        <f>Liste!D186</f>
        <v>0</v>
      </c>
      <c r="AP186" s="1113">
        <f>Liste!F186</f>
        <v>125</v>
      </c>
      <c r="AQ186" s="1113">
        <f>Liste!E186</f>
        <v>460</v>
      </c>
      <c r="AR186" s="1113">
        <f>Liste!G186</f>
        <v>0.75</v>
      </c>
      <c r="AS186" s="1112">
        <f>Liste!V186</f>
        <v>1</v>
      </c>
      <c r="AT186" s="1" t="str">
        <f>Liste!M186</f>
        <v>Stahlblech verz.</v>
      </c>
      <c r="AZ186" s="5" t="s">
        <v>244</v>
      </c>
      <c r="BA186" s="4" t="s">
        <v>101</v>
      </c>
      <c r="BB186" s="4">
        <v>689</v>
      </c>
      <c r="BD186" s="35"/>
      <c r="BE186" s="35"/>
      <c r="BF186" s="2118" t="str">
        <f>Liste!R186</f>
        <v>0701446</v>
      </c>
      <c r="BG186" s="2137">
        <f>IF(AS186&gt;0,Liste!S186,0)</f>
        <v>0</v>
      </c>
      <c r="BH186" s="2118" t="str">
        <f>Liste!T186</f>
        <v>m²</v>
      </c>
    </row>
    <row r="187" spans="1:60" ht="24.95" customHeight="1" x14ac:dyDescent="0.25">
      <c r="A187" s="29"/>
      <c r="B187" s="46" t="str">
        <f>IF(Liste!O187&gt;0,Liste!O187,Liste!B187)</f>
        <v>Verkleidungsblech Stoßabdeckung hinten rechts V2A</v>
      </c>
      <c r="C187" s="2314"/>
      <c r="D187" s="30" t="str">
        <f>Liste!C187</f>
        <v>0338505</v>
      </c>
      <c r="E187" s="2314"/>
      <c r="F187" s="32">
        <f t="shared" si="12"/>
        <v>0</v>
      </c>
      <c r="G187" s="2314"/>
      <c r="H187" s="32">
        <f t="shared" si="13"/>
        <v>0</v>
      </c>
      <c r="I187" s="2314"/>
      <c r="J187" s="32">
        <f t="shared" si="14"/>
        <v>0</v>
      </c>
      <c r="K187" s="2314"/>
      <c r="L187" s="31">
        <f t="shared" si="15"/>
        <v>0</v>
      </c>
      <c r="M187" s="2314"/>
      <c r="N187" s="31" t="str">
        <f>Liste!L187</f>
        <v>Stk</v>
      </c>
      <c r="O187" s="31"/>
      <c r="P187" s="31"/>
      <c r="Q187" s="31">
        <f>Liste!P187</f>
        <v>0</v>
      </c>
      <c r="R187" s="31">
        <f>Liste!N187</f>
        <v>0</v>
      </c>
      <c r="S187" s="7">
        <v>0</v>
      </c>
      <c r="T187" s="7">
        <v>0</v>
      </c>
      <c r="U187" s="7">
        <v>0</v>
      </c>
      <c r="V187" s="7"/>
      <c r="W187" s="60"/>
      <c r="X187" s="60"/>
      <c r="Y187" s="60"/>
      <c r="Z187" s="7"/>
      <c r="AA187" s="7"/>
      <c r="AB187" s="60"/>
      <c r="AC187" s="60"/>
      <c r="AD187" s="60"/>
      <c r="AE187" s="7"/>
      <c r="AF187" s="7"/>
      <c r="AG187" s="7"/>
      <c r="AH187" s="7"/>
      <c r="AI187" s="7"/>
      <c r="AJ187" s="7">
        <f>Liste!X187</f>
        <v>0</v>
      </c>
      <c r="AK187" s="7">
        <f>Liste!Y187</f>
        <v>1</v>
      </c>
      <c r="AL187" s="7"/>
      <c r="AM187" s="7"/>
      <c r="AN187" s="7"/>
      <c r="AO187" s="1113">
        <f>Liste!D187</f>
        <v>0</v>
      </c>
      <c r="AP187" s="1113">
        <f>Liste!F187</f>
        <v>125</v>
      </c>
      <c r="AQ187" s="1113">
        <f>Liste!E187</f>
        <v>460</v>
      </c>
      <c r="AR187" s="1113">
        <f>Liste!G187</f>
        <v>0.8</v>
      </c>
      <c r="AS187" s="1112">
        <f>Liste!V187</f>
        <v>1</v>
      </c>
      <c r="AT187" s="1" t="str">
        <f>Liste!M187</f>
        <v>V2A blank</v>
      </c>
      <c r="AZ187" s="5" t="s">
        <v>245</v>
      </c>
      <c r="BA187" s="4" t="s">
        <v>101</v>
      </c>
      <c r="BB187" s="4">
        <v>690</v>
      </c>
      <c r="BD187" s="35"/>
      <c r="BE187" s="35"/>
      <c r="BF187" s="2118" t="str">
        <f>Liste!R187</f>
        <v>0701478</v>
      </c>
      <c r="BG187" s="2137">
        <f>IF(AS187&gt;0,Liste!S187,0)</f>
        <v>0</v>
      </c>
      <c r="BH187" s="2118" t="str">
        <f>Liste!T187</f>
        <v>m²</v>
      </c>
    </row>
    <row r="188" spans="1:60" ht="24.95" customHeight="1" x14ac:dyDescent="0.25">
      <c r="A188" s="29"/>
      <c r="B188" s="46">
        <f>IF(Liste!O188&gt;0,Liste!O188,Liste!B188)</f>
        <v>0</v>
      </c>
      <c r="C188" s="2314"/>
      <c r="D188" s="30">
        <f>Liste!C188</f>
        <v>0</v>
      </c>
      <c r="E188" s="2314"/>
      <c r="F188" s="32">
        <f t="shared" si="12"/>
        <v>0</v>
      </c>
      <c r="G188" s="2314"/>
      <c r="H188" s="32">
        <f t="shared" si="13"/>
        <v>0</v>
      </c>
      <c r="I188" s="2314"/>
      <c r="J188" s="32">
        <f t="shared" si="14"/>
        <v>0</v>
      </c>
      <c r="K188" s="2314"/>
      <c r="L188" s="31">
        <f t="shared" si="15"/>
        <v>0</v>
      </c>
      <c r="M188" s="2314"/>
      <c r="N188" s="31">
        <f>Liste!L188</f>
        <v>0</v>
      </c>
      <c r="O188" s="31"/>
      <c r="P188" s="31"/>
      <c r="Q188" s="31">
        <f>Liste!P188</f>
        <v>0</v>
      </c>
      <c r="R188" s="31">
        <f>Liste!N188</f>
        <v>0</v>
      </c>
      <c r="S188" s="7">
        <v>0</v>
      </c>
      <c r="T188" s="7">
        <v>0</v>
      </c>
      <c r="U188" s="7">
        <v>0</v>
      </c>
      <c r="V188" s="7"/>
      <c r="W188" s="60"/>
      <c r="X188" s="60"/>
      <c r="Y188" s="60"/>
      <c r="Z188" s="7"/>
      <c r="AA188" s="7"/>
      <c r="AB188" s="60"/>
      <c r="AC188" s="60"/>
      <c r="AD188" s="60"/>
      <c r="AE188" s="7"/>
      <c r="AF188" s="7"/>
      <c r="AG188" s="7"/>
      <c r="AH188" s="7"/>
      <c r="AI188" s="7"/>
      <c r="AJ188" s="7">
        <f>Liste!X188</f>
        <v>0</v>
      </c>
      <c r="AK188" s="7">
        <f>Liste!Y188</f>
        <v>0</v>
      </c>
      <c r="AL188" s="7"/>
      <c r="AM188" s="7"/>
      <c r="AN188" s="7"/>
      <c r="AO188" s="1113">
        <f>Liste!D188</f>
        <v>0</v>
      </c>
      <c r="AP188" s="1113">
        <f>Liste!F188</f>
        <v>0</v>
      </c>
      <c r="AQ188" s="1113">
        <f>Liste!E188</f>
        <v>0</v>
      </c>
      <c r="AR188" s="1113">
        <f>Liste!G188</f>
        <v>0</v>
      </c>
      <c r="AS188" s="1112">
        <f>Liste!V188</f>
        <v>0</v>
      </c>
      <c r="AT188" s="1">
        <f>Liste!M188</f>
        <v>0</v>
      </c>
      <c r="AZ188" s="5" t="s">
        <v>29970</v>
      </c>
      <c r="BA188" s="4" t="s">
        <v>101</v>
      </c>
      <c r="BB188" s="4">
        <v>691</v>
      </c>
      <c r="BD188" s="35"/>
      <c r="BE188" s="35"/>
      <c r="BF188" s="2118">
        <f>Liste!R188</f>
        <v>0</v>
      </c>
      <c r="BG188" s="2137">
        <f>IF(AS188&gt;0,Liste!S188,0)</f>
        <v>0</v>
      </c>
      <c r="BH188" s="2118">
        <f>Liste!T188</f>
        <v>0</v>
      </c>
    </row>
    <row r="189" spans="1:60" ht="24.95" customHeight="1" x14ac:dyDescent="0.25">
      <c r="A189" s="29"/>
      <c r="B189" s="46" t="str">
        <f>IF(Liste!O189&gt;0,Liste!O189,Liste!B189)</f>
        <v>Schnellbauschraube m. Bohrspitze 3,5X35</v>
      </c>
      <c r="C189" s="2314"/>
      <c r="D189" s="30" t="str">
        <f>Liste!C189</f>
        <v>0123025</v>
      </c>
      <c r="E189" s="2314"/>
      <c r="F189" s="32">
        <f t="shared" si="12"/>
        <v>0</v>
      </c>
      <c r="G189" s="2314"/>
      <c r="H189" s="32">
        <f t="shared" si="13"/>
        <v>0</v>
      </c>
      <c r="I189" s="2314"/>
      <c r="J189" s="32">
        <f t="shared" si="14"/>
        <v>0</v>
      </c>
      <c r="K189" s="2314"/>
      <c r="L189" s="31">
        <f t="shared" si="15"/>
        <v>0</v>
      </c>
      <c r="M189" s="2314"/>
      <c r="N189" s="31" t="str">
        <f>Liste!L189</f>
        <v>Stk</v>
      </c>
      <c r="O189" s="31"/>
      <c r="P189" s="31"/>
      <c r="Q189" s="31">
        <f>Liste!P189</f>
        <v>0</v>
      </c>
      <c r="R189" s="31">
        <f>Liste!N189</f>
        <v>0</v>
      </c>
      <c r="S189" s="7">
        <v>0</v>
      </c>
      <c r="T189" s="7">
        <v>0</v>
      </c>
      <c r="U189" s="7">
        <v>0</v>
      </c>
      <c r="V189" s="7"/>
      <c r="W189" s="60"/>
      <c r="X189" s="60"/>
      <c r="Y189" s="60"/>
      <c r="Z189" s="7"/>
      <c r="AA189" s="7"/>
      <c r="AB189" s="60"/>
      <c r="AC189" s="60"/>
      <c r="AD189" s="60"/>
      <c r="AE189" s="7"/>
      <c r="AF189" s="7"/>
      <c r="AG189" s="7"/>
      <c r="AH189" s="7"/>
      <c r="AI189" s="7"/>
      <c r="AJ189" s="7">
        <f>Liste!X189</f>
        <v>0</v>
      </c>
      <c r="AK189" s="7">
        <f>Liste!Y189</f>
        <v>0</v>
      </c>
      <c r="AL189" s="7"/>
      <c r="AM189" s="7"/>
      <c r="AN189" s="7"/>
      <c r="AO189" s="1113">
        <f>Liste!D189</f>
        <v>0</v>
      </c>
      <c r="AP189" s="1113">
        <f>Liste!F189</f>
        <v>0</v>
      </c>
      <c r="AQ189" s="1113">
        <f>Liste!E189</f>
        <v>0</v>
      </c>
      <c r="AR189" s="1113">
        <f>Liste!G189</f>
        <v>0</v>
      </c>
      <c r="AS189" s="1112">
        <f>Liste!V189</f>
        <v>0</v>
      </c>
      <c r="AT189" s="1">
        <f>Liste!M189</f>
        <v>0</v>
      </c>
      <c r="AZ189" s="5" t="s">
        <v>29971</v>
      </c>
      <c r="BA189" s="4" t="s">
        <v>101</v>
      </c>
      <c r="BB189" s="4">
        <v>692</v>
      </c>
      <c r="BD189" s="35"/>
      <c r="BE189" s="35"/>
      <c r="BF189" s="2118" t="str">
        <f>Liste!R189</f>
        <v>0123025</v>
      </c>
      <c r="BG189" s="2137">
        <f>IF(AS189&gt;0,Liste!S189,0)</f>
        <v>0</v>
      </c>
      <c r="BH189" s="2118" t="str">
        <f>Liste!T189</f>
        <v>Stk</v>
      </c>
    </row>
    <row r="190" spans="1:60" ht="24.95" customHeight="1" x14ac:dyDescent="0.25">
      <c r="A190" s="29"/>
      <c r="B190" s="46" t="str">
        <f>IF(Liste!O190&gt;0,Liste!O190,Liste!B190)</f>
        <v>Würth Zebra Pias Tellersenkkopf 5,5 x 45 (ohne Flügel)</v>
      </c>
      <c r="C190" s="2314"/>
      <c r="D190" s="30" t="str">
        <f>Liste!C190</f>
        <v>0708767</v>
      </c>
      <c r="E190" s="2314"/>
      <c r="F190" s="32">
        <f t="shared" si="12"/>
        <v>0</v>
      </c>
      <c r="G190" s="2314"/>
      <c r="H190" s="32">
        <f t="shared" si="13"/>
        <v>0</v>
      </c>
      <c r="I190" s="2314"/>
      <c r="J190" s="32">
        <f t="shared" si="14"/>
        <v>0</v>
      </c>
      <c r="K190" s="2314"/>
      <c r="L190" s="31">
        <f t="shared" si="15"/>
        <v>0</v>
      </c>
      <c r="M190" s="2314"/>
      <c r="N190" s="31" t="str">
        <f>Liste!L190</f>
        <v>Stk</v>
      </c>
      <c r="O190" s="31"/>
      <c r="P190" s="31"/>
      <c r="Q190" s="31">
        <f>Liste!P190</f>
        <v>0</v>
      </c>
      <c r="R190" s="31">
        <f>Liste!N190</f>
        <v>0</v>
      </c>
      <c r="S190" s="7">
        <v>0</v>
      </c>
      <c r="T190" s="7">
        <v>0</v>
      </c>
      <c r="U190" s="7">
        <v>0</v>
      </c>
      <c r="V190" s="7"/>
      <c r="W190" s="60"/>
      <c r="X190" s="60"/>
      <c r="Y190" s="60"/>
      <c r="Z190" s="7"/>
      <c r="AA190" s="7"/>
      <c r="AB190" s="60"/>
      <c r="AC190" s="60"/>
      <c r="AD190" s="60"/>
      <c r="AE190" s="7"/>
      <c r="AF190" s="7"/>
      <c r="AG190" s="7"/>
      <c r="AH190" s="7"/>
      <c r="AI190" s="7"/>
      <c r="AJ190" s="7">
        <f>Liste!X190</f>
        <v>0</v>
      </c>
      <c r="AK190" s="7">
        <f>Liste!Y190</f>
        <v>0</v>
      </c>
      <c r="AL190" s="7"/>
      <c r="AM190" s="7"/>
      <c r="AN190" s="7"/>
      <c r="AO190" s="1113">
        <f>Liste!D190</f>
        <v>0</v>
      </c>
      <c r="AP190" s="1113">
        <f>Liste!F190</f>
        <v>0</v>
      </c>
      <c r="AQ190" s="1113">
        <f>Liste!E190</f>
        <v>0</v>
      </c>
      <c r="AR190" s="1113">
        <f>Liste!G190</f>
        <v>0</v>
      </c>
      <c r="AS190" s="1112">
        <f>Liste!V190</f>
        <v>1</v>
      </c>
      <c r="AT190" s="1">
        <f>Liste!M190</f>
        <v>0</v>
      </c>
      <c r="AZ190" s="5" t="s">
        <v>29972</v>
      </c>
      <c r="BA190" s="4" t="s">
        <v>101</v>
      </c>
      <c r="BB190" s="4">
        <v>693</v>
      </c>
      <c r="BD190" s="35"/>
      <c r="BE190" s="35"/>
      <c r="BF190" s="2118" t="str">
        <f>Liste!R190</f>
        <v>0708767</v>
      </c>
      <c r="BG190" s="2137">
        <f>IF(AS190&gt;0,Liste!S190,0)</f>
        <v>0</v>
      </c>
      <c r="BH190" s="2118" t="str">
        <f>Liste!T190</f>
        <v>Stk</v>
      </c>
    </row>
    <row r="191" spans="1:60" ht="24.95" customHeight="1" x14ac:dyDescent="0.25">
      <c r="A191" s="29"/>
      <c r="B191" s="46" t="str">
        <f>IF(Liste!O191&gt;0,Liste!O191,Liste!B191)</f>
        <v>Schnellbauschraube Kreuzschlitz 3,5 x 35</v>
      </c>
      <c r="C191" s="2314"/>
      <c r="D191" s="30" t="str">
        <f>Liste!C191</f>
        <v>0123025</v>
      </c>
      <c r="E191" s="2314"/>
      <c r="F191" s="32">
        <f t="shared" si="12"/>
        <v>0</v>
      </c>
      <c r="G191" s="2314"/>
      <c r="H191" s="32">
        <f t="shared" si="13"/>
        <v>0</v>
      </c>
      <c r="I191" s="2314"/>
      <c r="J191" s="32">
        <f t="shared" si="14"/>
        <v>0</v>
      </c>
      <c r="K191" s="2314"/>
      <c r="L191" s="31">
        <f t="shared" si="15"/>
        <v>0</v>
      </c>
      <c r="M191" s="2314"/>
      <c r="N191" s="31" t="str">
        <f>Liste!L191</f>
        <v>Stk</v>
      </c>
      <c r="O191" s="31"/>
      <c r="P191" s="31"/>
      <c r="Q191" s="31">
        <f>Liste!P191</f>
        <v>0</v>
      </c>
      <c r="R191" s="31">
        <f>Liste!N191</f>
        <v>0</v>
      </c>
      <c r="S191" s="7">
        <v>0</v>
      </c>
      <c r="T191" s="7">
        <v>0</v>
      </c>
      <c r="U191" s="7">
        <v>0</v>
      </c>
      <c r="V191" s="7"/>
      <c r="W191" s="60"/>
      <c r="X191" s="60"/>
      <c r="Y191" s="60"/>
      <c r="Z191" s="7"/>
      <c r="AA191" s="7"/>
      <c r="AB191" s="60"/>
      <c r="AC191" s="60"/>
      <c r="AD191" s="60"/>
      <c r="AE191" s="7"/>
      <c r="AF191" s="7"/>
      <c r="AG191" s="7"/>
      <c r="AH191" s="7"/>
      <c r="AI191" s="7"/>
      <c r="AJ191" s="7">
        <f>Liste!X191</f>
        <v>0</v>
      </c>
      <c r="AK191" s="7">
        <f>Liste!Y191</f>
        <v>0</v>
      </c>
      <c r="AL191" s="7"/>
      <c r="AM191" s="7"/>
      <c r="AN191" s="7"/>
      <c r="AO191" s="1113">
        <f>Liste!D191</f>
        <v>0</v>
      </c>
      <c r="AP191" s="1113">
        <f>Liste!F191</f>
        <v>0</v>
      </c>
      <c r="AQ191" s="1113">
        <f>Liste!E191</f>
        <v>0</v>
      </c>
      <c r="AR191" s="1113">
        <f>Liste!G191</f>
        <v>0</v>
      </c>
      <c r="AS191" s="1112">
        <f>Liste!V191</f>
        <v>0</v>
      </c>
      <c r="AT191" s="1">
        <f>Liste!M191</f>
        <v>0</v>
      </c>
      <c r="AZ191" s="5" t="s">
        <v>29973</v>
      </c>
      <c r="BA191" s="4" t="s">
        <v>101</v>
      </c>
      <c r="BB191" s="4">
        <v>694</v>
      </c>
      <c r="BD191" s="35"/>
      <c r="BE191" s="35"/>
      <c r="BF191" s="2118" t="str">
        <f>Liste!R191</f>
        <v>0123025</v>
      </c>
      <c r="BG191" s="2137">
        <f>IF(AS191&gt;0,Liste!S191,0)</f>
        <v>0</v>
      </c>
      <c r="BH191" s="2118" t="str">
        <f>Liste!T191</f>
        <v>Stk</v>
      </c>
    </row>
    <row r="192" spans="1:60" ht="24.95" customHeight="1" x14ac:dyDescent="0.25">
      <c r="A192" s="29"/>
      <c r="B192" s="46" t="str">
        <f>IF(Liste!O192&gt;0,Liste!O192,Liste!B192)</f>
        <v>Verkrallung oben</v>
      </c>
      <c r="C192" s="2314"/>
      <c r="D192" s="30">
        <f>Liste!C192</f>
        <v>0</v>
      </c>
      <c r="E192" s="2314"/>
      <c r="F192" s="32">
        <f t="shared" si="12"/>
        <v>0</v>
      </c>
      <c r="G192" s="2314"/>
      <c r="H192" s="32">
        <f t="shared" si="13"/>
        <v>0</v>
      </c>
      <c r="I192" s="2314"/>
      <c r="J192" s="32">
        <f t="shared" si="14"/>
        <v>0</v>
      </c>
      <c r="K192" s="2314"/>
      <c r="L192" s="31">
        <f t="shared" si="15"/>
        <v>0</v>
      </c>
      <c r="M192" s="2314"/>
      <c r="N192" s="31">
        <f>Liste!L192</f>
        <v>0</v>
      </c>
      <c r="O192" s="31"/>
      <c r="P192" s="31"/>
      <c r="Q192" s="31">
        <f>Liste!P192</f>
        <v>0</v>
      </c>
      <c r="R192" s="31">
        <f>Liste!N192</f>
        <v>0</v>
      </c>
      <c r="S192" s="7">
        <v>0</v>
      </c>
      <c r="T192" s="7">
        <v>0</v>
      </c>
      <c r="U192" s="7">
        <v>0</v>
      </c>
      <c r="V192" s="7"/>
      <c r="W192" s="60"/>
      <c r="X192" s="60"/>
      <c r="Y192" s="60"/>
      <c r="Z192" s="7"/>
      <c r="AA192" s="7"/>
      <c r="AB192" s="60"/>
      <c r="AC192" s="60"/>
      <c r="AD192" s="60"/>
      <c r="AE192" s="7"/>
      <c r="AF192" s="7"/>
      <c r="AG192" s="7"/>
      <c r="AH192" s="7"/>
      <c r="AI192" s="7"/>
      <c r="AJ192" s="7">
        <f>Liste!X192</f>
        <v>0</v>
      </c>
      <c r="AK192" s="7">
        <f>Liste!Y192</f>
        <v>0</v>
      </c>
      <c r="AL192" s="7"/>
      <c r="AM192" s="7"/>
      <c r="AN192" s="7"/>
      <c r="AO192" s="1113">
        <f>Liste!D192</f>
        <v>0</v>
      </c>
      <c r="AP192" s="1113">
        <f>Liste!F192</f>
        <v>0</v>
      </c>
      <c r="AQ192" s="1113">
        <f>Liste!E192</f>
        <v>0</v>
      </c>
      <c r="AR192" s="1113">
        <f>Liste!G192</f>
        <v>0</v>
      </c>
      <c r="AS192" s="1112">
        <f>Liste!V192</f>
        <v>0</v>
      </c>
      <c r="AT192" s="1">
        <f>Liste!M192</f>
        <v>0</v>
      </c>
      <c r="AZ192" s="5" t="s">
        <v>29974</v>
      </c>
      <c r="BA192" s="4" t="s">
        <v>101</v>
      </c>
      <c r="BB192" s="4">
        <v>695</v>
      </c>
      <c r="BD192" s="35"/>
      <c r="BE192" s="35"/>
      <c r="BF192" s="2118">
        <f>Liste!R192</f>
        <v>0</v>
      </c>
      <c r="BG192" s="2137">
        <f>IF(AS192&gt;0,Liste!S192,0)</f>
        <v>0</v>
      </c>
      <c r="BH192" s="2118">
        <f>Liste!T192</f>
        <v>0</v>
      </c>
    </row>
    <row r="193" spans="1:60" ht="24.95" customHeight="1" x14ac:dyDescent="0.25">
      <c r="A193" s="29"/>
      <c r="B193" s="46" t="str">
        <f>IF(Liste!O193&gt;0,Liste!O193,Liste!B193)</f>
        <v>GCC vertikal Verkrallungsprofil Wand verzinkt</v>
      </c>
      <c r="C193" s="2314"/>
      <c r="D193" s="30" t="str">
        <f>Liste!C193</f>
        <v>0308135</v>
      </c>
      <c r="E193" s="2314"/>
      <c r="F193" s="32">
        <f t="shared" si="12"/>
        <v>0</v>
      </c>
      <c r="G193" s="2314"/>
      <c r="H193" s="32">
        <f t="shared" si="13"/>
        <v>1080</v>
      </c>
      <c r="I193" s="2314"/>
      <c r="J193" s="32">
        <f t="shared" si="14"/>
        <v>0</v>
      </c>
      <c r="K193" s="2314"/>
      <c r="L193" s="31">
        <f t="shared" si="15"/>
        <v>0</v>
      </c>
      <c r="M193" s="2314"/>
      <c r="N193" s="31" t="str">
        <f>Liste!L193</f>
        <v>M</v>
      </c>
      <c r="O193" s="31"/>
      <c r="P193" s="31"/>
      <c r="Q193" s="31">
        <f>Liste!P193</f>
        <v>0</v>
      </c>
      <c r="R193" s="31">
        <f>Liste!N193</f>
        <v>0</v>
      </c>
      <c r="S193" s="7">
        <v>0</v>
      </c>
      <c r="T193" s="7">
        <v>0</v>
      </c>
      <c r="U193" s="7">
        <v>0</v>
      </c>
      <c r="V193" s="7"/>
      <c r="W193" s="60"/>
      <c r="X193" s="60"/>
      <c r="Y193" s="60"/>
      <c r="Z193" s="7"/>
      <c r="AA193" s="7"/>
      <c r="AB193" s="60"/>
      <c r="AC193" s="60"/>
      <c r="AD193" s="60"/>
      <c r="AE193" s="7"/>
      <c r="AF193" s="7"/>
      <c r="AG193" s="7"/>
      <c r="AH193" s="7"/>
      <c r="AI193" s="7"/>
      <c r="AJ193" s="7">
        <f>Liste!X193</f>
        <v>0</v>
      </c>
      <c r="AK193" s="7">
        <f>Liste!Y193</f>
        <v>0</v>
      </c>
      <c r="AL193" s="7"/>
      <c r="AM193" s="7"/>
      <c r="AN193" s="7"/>
      <c r="AO193" s="1113">
        <f>Liste!D193</f>
        <v>1</v>
      </c>
      <c r="AP193" s="1113">
        <f>Liste!F193</f>
        <v>1080</v>
      </c>
      <c r="AQ193" s="1113">
        <f>Liste!E193</f>
        <v>155</v>
      </c>
      <c r="AR193" s="1113">
        <f>Liste!G193</f>
        <v>3</v>
      </c>
      <c r="AS193" s="1112">
        <f>Liste!V193</f>
        <v>0</v>
      </c>
      <c r="AT193" s="1" t="str">
        <f>Liste!M193</f>
        <v>Stahlblech verz.</v>
      </c>
      <c r="AZ193" s="5" t="s">
        <v>246</v>
      </c>
      <c r="BA193" s="4" t="s">
        <v>101</v>
      </c>
      <c r="BB193" s="4">
        <v>696</v>
      </c>
      <c r="BD193" s="35"/>
      <c r="BE193" s="35"/>
      <c r="BF193" s="2118" t="str">
        <f>Liste!R193</f>
        <v>0308135</v>
      </c>
      <c r="BG193" s="2137">
        <f>IF(AS193&gt;0,Liste!S193,0)</f>
        <v>0</v>
      </c>
      <c r="BH193" s="2118">
        <f>Liste!T193</f>
        <v>0</v>
      </c>
    </row>
    <row r="194" spans="1:60" ht="24.95" customHeight="1" x14ac:dyDescent="0.25">
      <c r="A194" s="29"/>
      <c r="B194" s="46" t="str">
        <f>IF(Liste!O194&gt;0,Liste!O194,Liste!B194)</f>
        <v>GCC vertikal Verkrallungsprofil Wand V2A</v>
      </c>
      <c r="C194" s="2314"/>
      <c r="D194" s="30">
        <f>Liste!C194</f>
        <v>0</v>
      </c>
      <c r="E194" s="2314"/>
      <c r="F194" s="32">
        <f t="shared" si="12"/>
        <v>0</v>
      </c>
      <c r="G194" s="2314"/>
      <c r="H194" s="32">
        <f t="shared" si="13"/>
        <v>1080</v>
      </c>
      <c r="I194" s="2314"/>
      <c r="J194" s="32">
        <f t="shared" si="14"/>
        <v>0</v>
      </c>
      <c r="K194" s="2314"/>
      <c r="L194" s="31">
        <f t="shared" si="15"/>
        <v>0</v>
      </c>
      <c r="M194" s="2314"/>
      <c r="N194" s="31" t="str">
        <f>Liste!L194</f>
        <v>M</v>
      </c>
      <c r="O194" s="31"/>
      <c r="P194" s="31"/>
      <c r="Q194" s="31">
        <f>Liste!P194</f>
        <v>0</v>
      </c>
      <c r="R194" s="31">
        <f>Liste!N194</f>
        <v>0</v>
      </c>
      <c r="S194" s="7">
        <v>0</v>
      </c>
      <c r="T194" s="7">
        <v>0</v>
      </c>
      <c r="U194" s="7">
        <v>0</v>
      </c>
      <c r="V194" s="7"/>
      <c r="W194" s="60"/>
      <c r="X194" s="60"/>
      <c r="Y194" s="60"/>
      <c r="Z194" s="7"/>
      <c r="AA194" s="7"/>
      <c r="AB194" s="60"/>
      <c r="AC194" s="60"/>
      <c r="AD194" s="60"/>
      <c r="AE194" s="7"/>
      <c r="AF194" s="7"/>
      <c r="AG194" s="7"/>
      <c r="AH194" s="7"/>
      <c r="AI194" s="7"/>
      <c r="AJ194" s="7">
        <f>Liste!X194</f>
        <v>0</v>
      </c>
      <c r="AK194" s="7">
        <f>Liste!Y194</f>
        <v>0</v>
      </c>
      <c r="AL194" s="7"/>
      <c r="AM194" s="7"/>
      <c r="AN194" s="7"/>
      <c r="AO194" s="1113">
        <f>Liste!D194</f>
        <v>0</v>
      </c>
      <c r="AP194" s="1113">
        <f>Liste!F194</f>
        <v>1080</v>
      </c>
      <c r="AQ194" s="1113">
        <f>Liste!E194</f>
        <v>155</v>
      </c>
      <c r="AR194" s="1113">
        <f>Liste!G194</f>
        <v>3</v>
      </c>
      <c r="AS194" s="1112">
        <f>Liste!V194</f>
        <v>0</v>
      </c>
      <c r="AT194" s="1" t="str">
        <f>Liste!M194</f>
        <v>V2A blank</v>
      </c>
      <c r="AZ194" s="5" t="s">
        <v>247</v>
      </c>
      <c r="BA194" s="4" t="s">
        <v>101</v>
      </c>
      <c r="BB194" s="4">
        <v>697</v>
      </c>
      <c r="BD194" s="35"/>
      <c r="BE194" s="35"/>
      <c r="BF194" s="2118">
        <f>Liste!R194</f>
        <v>0</v>
      </c>
      <c r="BG194" s="2137">
        <f>IF(AS194&gt;0,Liste!S194,0)</f>
        <v>0</v>
      </c>
      <c r="BH194" s="2118">
        <f>Liste!T194</f>
        <v>0</v>
      </c>
    </row>
    <row r="195" spans="1:60" ht="24.95" customHeight="1" x14ac:dyDescent="0.25">
      <c r="A195" s="29"/>
      <c r="B195" s="46" t="str">
        <f>IF(Liste!O195&gt;0,Liste!O195,Liste!B195)</f>
        <v>GCC vertikal Verkrallungsprofil Wand verzinkt</v>
      </c>
      <c r="C195" s="2314"/>
      <c r="D195" s="30" t="str">
        <f>Liste!C195</f>
        <v>0308135</v>
      </c>
      <c r="E195" s="2314"/>
      <c r="F195" s="32">
        <f t="shared" si="12"/>
        <v>0</v>
      </c>
      <c r="G195" s="2314"/>
      <c r="H195" s="32">
        <f t="shared" si="13"/>
        <v>1080</v>
      </c>
      <c r="I195" s="2314"/>
      <c r="J195" s="32">
        <f t="shared" si="14"/>
        <v>0</v>
      </c>
      <c r="K195" s="2314"/>
      <c r="L195" s="31">
        <f t="shared" si="15"/>
        <v>0</v>
      </c>
      <c r="M195" s="2314"/>
      <c r="N195" s="31">
        <f>Liste!L195</f>
        <v>0</v>
      </c>
      <c r="O195" s="31"/>
      <c r="P195" s="31"/>
      <c r="Q195" s="31">
        <f>Liste!P195</f>
        <v>0</v>
      </c>
      <c r="R195" s="31">
        <f>Liste!N195</f>
        <v>0</v>
      </c>
      <c r="S195" s="7">
        <v>0</v>
      </c>
      <c r="T195" s="7">
        <v>0</v>
      </c>
      <c r="U195" s="7">
        <v>0</v>
      </c>
      <c r="V195" s="7"/>
      <c r="W195" s="60"/>
      <c r="X195" s="60"/>
      <c r="Y195" s="60"/>
      <c r="Z195" s="7"/>
      <c r="AA195" s="7"/>
      <c r="AB195" s="60"/>
      <c r="AC195" s="60"/>
      <c r="AD195" s="60"/>
      <c r="AE195" s="7"/>
      <c r="AF195" s="7"/>
      <c r="AG195" s="7"/>
      <c r="AH195" s="7"/>
      <c r="AI195" s="7"/>
      <c r="AJ195" s="7">
        <f>Liste!X195</f>
        <v>0</v>
      </c>
      <c r="AK195" s="7">
        <f>Liste!Y195</f>
        <v>0</v>
      </c>
      <c r="AL195" s="7"/>
      <c r="AM195" s="7"/>
      <c r="AN195" s="7"/>
      <c r="AO195" s="1113">
        <f>Liste!D195</f>
        <v>0</v>
      </c>
      <c r="AP195" s="1113">
        <f>Liste!F195</f>
        <v>1080</v>
      </c>
      <c r="AQ195" s="1113">
        <f>Liste!E195</f>
        <v>0</v>
      </c>
      <c r="AR195" s="1113">
        <f>Liste!G195</f>
        <v>0</v>
      </c>
      <c r="AS195" s="1112">
        <f>Liste!V195</f>
        <v>0</v>
      </c>
      <c r="AT195" s="1">
        <f>Liste!M195</f>
        <v>0</v>
      </c>
      <c r="AZ195" s="5" t="s">
        <v>248</v>
      </c>
      <c r="BA195" s="4" t="s">
        <v>101</v>
      </c>
      <c r="BB195" s="4">
        <v>698</v>
      </c>
      <c r="BD195" s="35"/>
      <c r="BE195" s="35"/>
      <c r="BF195" s="2118" t="str">
        <f>Liste!R195</f>
        <v>0308135</v>
      </c>
      <c r="BG195" s="2137">
        <f>IF(AS195&gt;0,Liste!S195,0)</f>
        <v>0</v>
      </c>
      <c r="BH195" s="2118">
        <f>Liste!T195</f>
        <v>0</v>
      </c>
    </row>
    <row r="196" spans="1:60" ht="24.95" customHeight="1" x14ac:dyDescent="0.25">
      <c r="A196" s="29"/>
      <c r="B196" s="46" t="str">
        <f>IF(Liste!O196&gt;0,Liste!O196,Liste!B196)</f>
        <v>Wandverkrallung GCC W25 vertikal</v>
      </c>
      <c r="C196" s="2314"/>
      <c r="D196" s="30" t="str">
        <f>Liste!C196</f>
        <v>0308458</v>
      </c>
      <c r="E196" s="2314"/>
      <c r="F196" s="32">
        <f t="shared" si="12"/>
        <v>1</v>
      </c>
      <c r="G196" s="2314"/>
      <c r="H196" s="32">
        <f t="shared" si="13"/>
        <v>0</v>
      </c>
      <c r="I196" s="2314"/>
      <c r="J196" s="32">
        <f t="shared" si="14"/>
        <v>0</v>
      </c>
      <c r="K196" s="2314"/>
      <c r="L196" s="31">
        <f t="shared" si="15"/>
        <v>0</v>
      </c>
      <c r="M196" s="2314"/>
      <c r="N196" s="31" t="str">
        <f>Liste!L196</f>
        <v>Stk</v>
      </c>
      <c r="O196" s="31"/>
      <c r="P196" s="31"/>
      <c r="Q196" s="31">
        <f>Liste!P196</f>
        <v>0</v>
      </c>
      <c r="R196" s="31">
        <f>Liste!N196</f>
        <v>0</v>
      </c>
      <c r="S196" s="7">
        <v>0</v>
      </c>
      <c r="T196" s="7">
        <v>0</v>
      </c>
      <c r="U196" s="7">
        <v>0</v>
      </c>
      <c r="V196" s="7"/>
      <c r="W196" s="60"/>
      <c r="X196" s="60"/>
      <c r="Y196" s="60"/>
      <c r="Z196" s="7"/>
      <c r="AA196" s="7"/>
      <c r="AB196" s="60"/>
      <c r="AC196" s="60"/>
      <c r="AD196" s="60"/>
      <c r="AE196" s="7"/>
      <c r="AF196" s="7"/>
      <c r="AG196" s="7"/>
      <c r="AH196" s="7"/>
      <c r="AI196" s="7"/>
      <c r="AJ196" s="7">
        <f>Liste!X196</f>
        <v>1</v>
      </c>
      <c r="AK196" s="7">
        <f>Liste!Y196</f>
        <v>0</v>
      </c>
      <c r="AL196" s="7"/>
      <c r="AM196" s="7"/>
      <c r="AN196" s="7"/>
      <c r="AO196" s="1113">
        <f>Liste!D196</f>
        <v>1</v>
      </c>
      <c r="AP196" s="1113">
        <f>Liste!F196</f>
        <v>1080</v>
      </c>
      <c r="AQ196" s="1113">
        <f>Liste!E196</f>
        <v>155</v>
      </c>
      <c r="AR196" s="1113">
        <f>Liste!G196</f>
        <v>3</v>
      </c>
      <c r="AS196" s="1112">
        <f>Liste!V196</f>
        <v>1</v>
      </c>
      <c r="AT196" s="1" t="str">
        <f>Liste!M196</f>
        <v>Stahlblech verz.</v>
      </c>
      <c r="AZ196" s="5" t="s">
        <v>249</v>
      </c>
      <c r="BA196" s="4" t="s">
        <v>101</v>
      </c>
      <c r="BB196" s="4">
        <v>699</v>
      </c>
      <c r="BD196" s="35"/>
      <c r="BE196" s="35"/>
      <c r="BF196" s="2118" t="str">
        <f>Liste!R196</f>
        <v>0308458</v>
      </c>
      <c r="BG196" s="2137">
        <f>IF(AS196&gt;0,Liste!S196,0)</f>
        <v>1</v>
      </c>
      <c r="BH196" s="2118" t="str">
        <f>Liste!T196</f>
        <v>Stk</v>
      </c>
    </row>
    <row r="197" spans="1:60" ht="24.95" customHeight="1" x14ac:dyDescent="0.25">
      <c r="A197" s="29"/>
      <c r="B197" s="46" t="str">
        <f>IF(Liste!O197&gt;0,Liste!O197,Liste!B197)</f>
        <v>Wandverkrallung GCC W25 vertikal V2A</v>
      </c>
      <c r="C197" s="2314"/>
      <c r="D197" s="30" t="str">
        <f>Liste!C197</f>
        <v>0338458</v>
      </c>
      <c r="E197" s="2314"/>
      <c r="F197" s="32">
        <f t="shared" si="12"/>
        <v>0</v>
      </c>
      <c r="G197" s="2314"/>
      <c r="H197" s="32">
        <f t="shared" si="13"/>
        <v>0</v>
      </c>
      <c r="I197" s="2314"/>
      <c r="J197" s="32">
        <f t="shared" si="14"/>
        <v>0</v>
      </c>
      <c r="K197" s="2314"/>
      <c r="L197" s="31">
        <f t="shared" si="15"/>
        <v>0</v>
      </c>
      <c r="M197" s="2314"/>
      <c r="N197" s="31" t="str">
        <f>Liste!L197</f>
        <v>Stk</v>
      </c>
      <c r="O197" s="31"/>
      <c r="P197" s="31"/>
      <c r="Q197" s="31">
        <f>Liste!P197</f>
        <v>0</v>
      </c>
      <c r="R197" s="31">
        <f>Liste!N197</f>
        <v>0</v>
      </c>
      <c r="S197" s="7">
        <v>0</v>
      </c>
      <c r="T197" s="7">
        <v>0</v>
      </c>
      <c r="U197" s="7">
        <v>0</v>
      </c>
      <c r="V197" s="7"/>
      <c r="W197" s="60"/>
      <c r="X197" s="60"/>
      <c r="Y197" s="60"/>
      <c r="Z197" s="7"/>
      <c r="AA197" s="7"/>
      <c r="AB197" s="60"/>
      <c r="AC197" s="60"/>
      <c r="AD197" s="60"/>
      <c r="AE197" s="7"/>
      <c r="AF197" s="7"/>
      <c r="AG197" s="7"/>
      <c r="AH197" s="7"/>
      <c r="AI197" s="7"/>
      <c r="AJ197" s="7">
        <f>Liste!X197</f>
        <v>1</v>
      </c>
      <c r="AK197" s="7">
        <f>Liste!Y197</f>
        <v>0</v>
      </c>
      <c r="AL197" s="7"/>
      <c r="AM197" s="7"/>
      <c r="AN197" s="7"/>
      <c r="AO197" s="1113">
        <f>Liste!D197</f>
        <v>0</v>
      </c>
      <c r="AP197" s="1113">
        <f>Liste!F197</f>
        <v>1080</v>
      </c>
      <c r="AQ197" s="1113">
        <f>Liste!E197</f>
        <v>155</v>
      </c>
      <c r="AR197" s="1113">
        <f>Liste!G197</f>
        <v>3</v>
      </c>
      <c r="AS197" s="1112">
        <f>Liste!V197</f>
        <v>1</v>
      </c>
      <c r="AT197" s="1" t="str">
        <f>Liste!M197</f>
        <v>V2A blank</v>
      </c>
      <c r="AZ197" s="5" t="s">
        <v>250</v>
      </c>
      <c r="BA197" s="4" t="s">
        <v>101</v>
      </c>
      <c r="BB197" s="4">
        <v>700</v>
      </c>
      <c r="BD197" s="35"/>
      <c r="BE197" s="35"/>
      <c r="BF197" s="2118" t="str">
        <f>Liste!R197</f>
        <v>0338458</v>
      </c>
      <c r="BG197" s="2137">
        <f>IF(AS197&gt;0,Liste!S197,0)</f>
        <v>0</v>
      </c>
      <c r="BH197" s="2118" t="str">
        <f>Liste!T197</f>
        <v>Stk</v>
      </c>
    </row>
    <row r="198" spans="1:60" ht="24.95" customHeight="1" x14ac:dyDescent="0.25">
      <c r="A198" s="29"/>
      <c r="B198" s="46" t="str">
        <f>IF(Liste!O198&gt;0,Liste!O198,Liste!B198)</f>
        <v>Wandverkrallung GCC W25 vertikal</v>
      </c>
      <c r="C198" s="2314"/>
      <c r="D198" s="30" t="str">
        <f>Liste!C198</f>
        <v>0308458</v>
      </c>
      <c r="E198" s="2314"/>
      <c r="F198" s="32">
        <f t="shared" si="12"/>
        <v>0</v>
      </c>
      <c r="G198" s="2314"/>
      <c r="H198" s="32">
        <f t="shared" si="13"/>
        <v>1080</v>
      </c>
      <c r="I198" s="2314"/>
      <c r="J198" s="32">
        <f t="shared" si="14"/>
        <v>155</v>
      </c>
      <c r="K198" s="2314"/>
      <c r="L198" s="31">
        <f t="shared" si="15"/>
        <v>0</v>
      </c>
      <c r="M198" s="2314"/>
      <c r="N198" s="31">
        <f>Liste!L198</f>
        <v>0</v>
      </c>
      <c r="O198" s="31"/>
      <c r="P198" s="31"/>
      <c r="Q198" s="31">
        <f>Liste!P198</f>
        <v>0</v>
      </c>
      <c r="R198" s="31">
        <f>Liste!N198</f>
        <v>0</v>
      </c>
      <c r="S198" s="7">
        <v>0</v>
      </c>
      <c r="T198" s="7">
        <v>0</v>
      </c>
      <c r="U198" s="7">
        <v>0</v>
      </c>
      <c r="V198" s="7"/>
      <c r="W198" s="60"/>
      <c r="X198" s="60"/>
      <c r="Y198" s="60"/>
      <c r="Z198" s="7"/>
      <c r="AA198" s="7"/>
      <c r="AB198" s="60"/>
      <c r="AC198" s="60"/>
      <c r="AD198" s="60"/>
      <c r="AE198" s="7"/>
      <c r="AF198" s="7"/>
      <c r="AG198" s="7"/>
      <c r="AH198" s="7"/>
      <c r="AI198" s="7"/>
      <c r="AJ198" s="7">
        <f>Liste!X198</f>
        <v>0</v>
      </c>
      <c r="AK198" s="7">
        <f>Liste!Y198</f>
        <v>0</v>
      </c>
      <c r="AL198" s="7"/>
      <c r="AM198" s="7"/>
      <c r="AN198" s="7"/>
      <c r="AO198" s="1113">
        <f>Liste!D198</f>
        <v>0</v>
      </c>
      <c r="AP198" s="1113">
        <f>Liste!F198</f>
        <v>1080</v>
      </c>
      <c r="AQ198" s="1113">
        <f>Liste!E198</f>
        <v>155</v>
      </c>
      <c r="AR198" s="1113">
        <f>Liste!G198</f>
        <v>0</v>
      </c>
      <c r="AS198" s="1112">
        <f>Liste!V198</f>
        <v>0</v>
      </c>
      <c r="AT198" s="1">
        <f>Liste!M198</f>
        <v>0</v>
      </c>
      <c r="AZ198" s="5" t="s">
        <v>251</v>
      </c>
      <c r="BA198" s="4" t="s">
        <v>101</v>
      </c>
      <c r="BB198" s="4">
        <v>701</v>
      </c>
      <c r="BD198" s="35"/>
      <c r="BE198" s="35"/>
      <c r="BF198" s="2118" t="str">
        <f>Liste!R198</f>
        <v>0308458</v>
      </c>
      <c r="BG198" s="2137">
        <f>IF(AS198&gt;0,Liste!S198,0)</f>
        <v>0</v>
      </c>
      <c r="BH198" s="2118">
        <f>Liste!T198</f>
        <v>0</v>
      </c>
    </row>
    <row r="199" spans="1:60" ht="24.95" customHeight="1" x14ac:dyDescent="0.25">
      <c r="A199" s="29"/>
      <c r="B199" s="46" t="str">
        <f>IF(Liste!O199&gt;0,Liste!O199,Liste!B199)</f>
        <v>Wandverkrallung GCC W25 vertikal</v>
      </c>
      <c r="C199" s="2314"/>
      <c r="D199" s="30" t="str">
        <f>Liste!C199</f>
        <v>0308458</v>
      </c>
      <c r="E199" s="2314"/>
      <c r="F199" s="32">
        <f t="shared" si="12"/>
        <v>0</v>
      </c>
      <c r="G199" s="2314"/>
      <c r="H199" s="32">
        <f t="shared" si="13"/>
        <v>0</v>
      </c>
      <c r="I199" s="2314"/>
      <c r="J199" s="32">
        <f t="shared" si="14"/>
        <v>0</v>
      </c>
      <c r="K199" s="2314"/>
      <c r="L199" s="31">
        <f t="shared" si="15"/>
        <v>0</v>
      </c>
      <c r="M199" s="2314"/>
      <c r="N199" s="31" t="str">
        <f>Liste!L199</f>
        <v>Stk</v>
      </c>
      <c r="O199" s="31"/>
      <c r="P199" s="31"/>
      <c r="Q199" s="31">
        <f>Liste!P199</f>
        <v>0</v>
      </c>
      <c r="R199" s="31">
        <f>Liste!N199</f>
        <v>0</v>
      </c>
      <c r="S199" s="7">
        <v>0</v>
      </c>
      <c r="T199" s="7">
        <v>0</v>
      </c>
      <c r="U199" s="7">
        <v>0</v>
      </c>
      <c r="V199" s="7"/>
      <c r="W199" s="60"/>
      <c r="X199" s="60"/>
      <c r="Y199" s="60"/>
      <c r="Z199" s="7"/>
      <c r="AA199" s="7"/>
      <c r="AB199" s="60"/>
      <c r="AC199" s="60"/>
      <c r="AD199" s="60"/>
      <c r="AE199" s="7"/>
      <c r="AF199" s="7"/>
      <c r="AG199" s="7"/>
      <c r="AH199" s="7"/>
      <c r="AI199" s="7"/>
      <c r="AJ199" s="7">
        <f>Liste!X199</f>
        <v>1</v>
      </c>
      <c r="AK199" s="7">
        <f>Liste!Y199</f>
        <v>0</v>
      </c>
      <c r="AL199" s="7"/>
      <c r="AM199" s="7"/>
      <c r="AN199" s="7"/>
      <c r="AO199" s="1113">
        <f>Liste!D199</f>
        <v>0</v>
      </c>
      <c r="AP199" s="1113">
        <f>Liste!F199</f>
        <v>0</v>
      </c>
      <c r="AQ199" s="1113">
        <f>Liste!E199</f>
        <v>155</v>
      </c>
      <c r="AR199" s="1113">
        <f>Liste!G199</f>
        <v>3</v>
      </c>
      <c r="AS199" s="1112">
        <f>Liste!V199</f>
        <v>1</v>
      </c>
      <c r="AT199" s="1" t="str">
        <f>Liste!M199</f>
        <v>Stahlblech verz.</v>
      </c>
      <c r="AZ199" s="5" t="s">
        <v>252</v>
      </c>
      <c r="BA199" s="4" t="s">
        <v>101</v>
      </c>
      <c r="BB199" s="4">
        <v>702</v>
      </c>
      <c r="BD199" s="35"/>
      <c r="BE199" s="35"/>
      <c r="BF199" s="2118" t="str">
        <f>Liste!R199</f>
        <v>0308458</v>
      </c>
      <c r="BG199" s="2137">
        <f>IF(AS199&gt;0,Liste!S199,0)</f>
        <v>0</v>
      </c>
      <c r="BH199" s="2118" t="str">
        <f>Liste!T199</f>
        <v>Stk</v>
      </c>
    </row>
    <row r="200" spans="1:60" ht="24.95" customHeight="1" x14ac:dyDescent="0.25">
      <c r="A200" s="29"/>
      <c r="B200" s="46" t="str">
        <f>IF(Liste!O200&gt;0,Liste!O200,Liste!B200)</f>
        <v>Wandverkrallung GCC W25 vertikal V2A</v>
      </c>
      <c r="C200" s="2314"/>
      <c r="D200" s="30" t="str">
        <f>Liste!C200</f>
        <v>0338458</v>
      </c>
      <c r="E200" s="2314"/>
      <c r="F200" s="32">
        <f t="shared" si="12"/>
        <v>0</v>
      </c>
      <c r="G200" s="2314"/>
      <c r="H200" s="32">
        <f t="shared" si="13"/>
        <v>0</v>
      </c>
      <c r="I200" s="2314"/>
      <c r="J200" s="32">
        <f t="shared" si="14"/>
        <v>0</v>
      </c>
      <c r="K200" s="2314"/>
      <c r="L200" s="31">
        <f t="shared" si="15"/>
        <v>0</v>
      </c>
      <c r="M200" s="2314"/>
      <c r="N200" s="31" t="str">
        <f>Liste!L200</f>
        <v>Stk</v>
      </c>
      <c r="O200" s="31"/>
      <c r="P200" s="31"/>
      <c r="Q200" s="31">
        <f>Liste!P200</f>
        <v>0</v>
      </c>
      <c r="R200" s="31">
        <f>Liste!N200</f>
        <v>0</v>
      </c>
      <c r="S200" s="7">
        <v>0</v>
      </c>
      <c r="T200" s="7">
        <v>0</v>
      </c>
      <c r="U200" s="7">
        <v>0</v>
      </c>
      <c r="V200" s="7"/>
      <c r="W200" s="60"/>
      <c r="X200" s="60"/>
      <c r="Y200" s="60"/>
      <c r="Z200" s="7"/>
      <c r="AA200" s="7"/>
      <c r="AB200" s="60"/>
      <c r="AC200" s="60"/>
      <c r="AD200" s="60"/>
      <c r="AE200" s="7"/>
      <c r="AF200" s="7"/>
      <c r="AG200" s="7"/>
      <c r="AH200" s="7"/>
      <c r="AI200" s="7"/>
      <c r="AJ200" s="7">
        <f>Liste!X200</f>
        <v>1</v>
      </c>
      <c r="AK200" s="7">
        <f>Liste!Y200</f>
        <v>0</v>
      </c>
      <c r="AL200" s="7"/>
      <c r="AM200" s="7"/>
      <c r="AN200" s="7"/>
      <c r="AO200" s="1113">
        <f>Liste!D200</f>
        <v>0</v>
      </c>
      <c r="AP200" s="1113">
        <f>Liste!F200</f>
        <v>0</v>
      </c>
      <c r="AQ200" s="1113">
        <f>Liste!E200</f>
        <v>155</v>
      </c>
      <c r="AR200" s="1113">
        <f>Liste!G200</f>
        <v>3</v>
      </c>
      <c r="AS200" s="1112">
        <f>Liste!V200</f>
        <v>1</v>
      </c>
      <c r="AT200" s="1" t="str">
        <f>Liste!M200</f>
        <v>V2A blank</v>
      </c>
      <c r="AZ200" s="5" t="s">
        <v>253</v>
      </c>
      <c r="BA200" s="4" t="s">
        <v>101</v>
      </c>
      <c r="BB200" s="4">
        <v>703</v>
      </c>
      <c r="BD200" s="35"/>
      <c r="BE200" s="35"/>
      <c r="BF200" s="2118" t="str">
        <f>Liste!R200</f>
        <v>0338458</v>
      </c>
      <c r="BG200" s="2137">
        <f>IF(AS200&gt;0,Liste!S200,0)</f>
        <v>0</v>
      </c>
      <c r="BH200" s="2118" t="str">
        <f>Liste!T200</f>
        <v>Stk</v>
      </c>
    </row>
    <row r="201" spans="1:60" ht="24.95" customHeight="1" x14ac:dyDescent="0.25">
      <c r="A201" s="29"/>
      <c r="B201" s="46">
        <f>IF(Liste!O201&gt;0,Liste!O201,Liste!B201)</f>
        <v>0</v>
      </c>
      <c r="C201" s="2314"/>
      <c r="D201" s="30">
        <f>Liste!C201</f>
        <v>0</v>
      </c>
      <c r="E201" s="2314"/>
      <c r="F201" s="32">
        <f t="shared" ref="F201:F265" si="20">IF(AS201&gt;0,AO201,0)</f>
        <v>0</v>
      </c>
      <c r="G201" s="2314"/>
      <c r="H201" s="32">
        <f t="shared" ref="H201:H265" si="21">IF(N201=$P$1,0,AP201)</f>
        <v>0</v>
      </c>
      <c r="I201" s="2314"/>
      <c r="J201" s="32">
        <f t="shared" ref="J201:J265" si="22">IF(OR(N201=$P$1,N201=$Q$1),0,AQ201)</f>
        <v>0</v>
      </c>
      <c r="K201" s="2314"/>
      <c r="L201" s="31">
        <f t="shared" ref="L201:L265" si="23">IF(OR(N201=$P$1,N201=$Q$1,$R$1=N201),0,AR201)</f>
        <v>0</v>
      </c>
      <c r="M201" s="2314"/>
      <c r="N201" s="31">
        <f>Liste!L201</f>
        <v>0</v>
      </c>
      <c r="O201" s="31"/>
      <c r="P201" s="31"/>
      <c r="Q201" s="31">
        <f>Liste!P201</f>
        <v>0</v>
      </c>
      <c r="R201" s="31">
        <f>Liste!N201</f>
        <v>0</v>
      </c>
      <c r="S201" s="7">
        <v>0</v>
      </c>
      <c r="T201" s="7">
        <v>0</v>
      </c>
      <c r="U201" s="7">
        <v>0</v>
      </c>
      <c r="V201" s="7"/>
      <c r="W201" s="60"/>
      <c r="X201" s="60"/>
      <c r="Y201" s="60"/>
      <c r="Z201" s="7"/>
      <c r="AA201" s="7"/>
      <c r="AB201" s="60"/>
      <c r="AC201" s="60"/>
      <c r="AD201" s="60"/>
      <c r="AE201" s="7"/>
      <c r="AF201" s="7"/>
      <c r="AG201" s="7"/>
      <c r="AH201" s="7"/>
      <c r="AI201" s="7"/>
      <c r="AJ201" s="7">
        <f>Liste!X201</f>
        <v>0</v>
      </c>
      <c r="AK201" s="7">
        <f>Liste!Y201</f>
        <v>0</v>
      </c>
      <c r="AL201" s="7"/>
      <c r="AM201" s="7"/>
      <c r="AN201" s="7"/>
      <c r="AO201" s="1113">
        <f>Liste!D201</f>
        <v>0</v>
      </c>
      <c r="AP201" s="1113">
        <f>Liste!F201</f>
        <v>0</v>
      </c>
      <c r="AQ201" s="1113">
        <f>Liste!E201</f>
        <v>0</v>
      </c>
      <c r="AR201" s="1113">
        <f>Liste!G201</f>
        <v>0</v>
      </c>
      <c r="AS201" s="1112">
        <f>Liste!V201</f>
        <v>0</v>
      </c>
      <c r="AT201" s="1">
        <f>Liste!M201</f>
        <v>0</v>
      </c>
      <c r="AZ201" s="5" t="s">
        <v>254</v>
      </c>
      <c r="BA201" s="4" t="s">
        <v>101</v>
      </c>
      <c r="BB201" s="4">
        <v>704</v>
      </c>
      <c r="BD201" s="35"/>
      <c r="BE201" s="35"/>
      <c r="BF201" s="2118">
        <f>Liste!R201</f>
        <v>0</v>
      </c>
      <c r="BG201" s="2137">
        <f>IF(AS201&gt;0,Liste!S201,0)</f>
        <v>0</v>
      </c>
      <c r="BH201" s="2118">
        <f>Liste!T201</f>
        <v>0</v>
      </c>
    </row>
    <row r="202" spans="1:60" ht="24.95" customHeight="1" x14ac:dyDescent="0.25">
      <c r="A202" s="29"/>
      <c r="B202" s="46" t="str">
        <f>IF(Liste!O202&gt;0,Liste!O202,Liste!B202)</f>
        <v>Antrieb</v>
      </c>
      <c r="C202" s="2314"/>
      <c r="D202" s="30">
        <f>Liste!C202</f>
        <v>0</v>
      </c>
      <c r="E202" s="2314"/>
      <c r="F202" s="32">
        <f t="shared" si="20"/>
        <v>0</v>
      </c>
      <c r="G202" s="2314"/>
      <c r="H202" s="32">
        <f t="shared" si="21"/>
        <v>0</v>
      </c>
      <c r="I202" s="2314"/>
      <c r="J202" s="32">
        <f t="shared" si="22"/>
        <v>0</v>
      </c>
      <c r="K202" s="2314"/>
      <c r="L202" s="31">
        <f t="shared" si="23"/>
        <v>0</v>
      </c>
      <c r="M202" s="2314"/>
      <c r="N202" s="31" t="str">
        <f>Liste!L202</f>
        <v>Stk</v>
      </c>
      <c r="O202" s="31"/>
      <c r="P202" s="31"/>
      <c r="Q202" s="31">
        <f>Liste!P202</f>
        <v>0</v>
      </c>
      <c r="R202" s="31">
        <f>Liste!N202</f>
        <v>0</v>
      </c>
      <c r="S202" s="7">
        <v>0</v>
      </c>
      <c r="T202" s="7">
        <v>0</v>
      </c>
      <c r="U202" s="7">
        <v>0</v>
      </c>
      <c r="V202" s="7"/>
      <c r="W202" s="60"/>
      <c r="X202" s="60"/>
      <c r="Y202" s="60"/>
      <c r="Z202" s="7"/>
      <c r="AA202" s="7"/>
      <c r="AB202" s="60"/>
      <c r="AC202" s="60"/>
      <c r="AD202" s="60"/>
      <c r="AE202" s="7"/>
      <c r="AF202" s="7"/>
      <c r="AG202" s="7"/>
      <c r="AH202" s="7"/>
      <c r="AI202" s="7"/>
      <c r="AJ202" s="7">
        <f>Liste!X202</f>
        <v>0</v>
      </c>
      <c r="AK202" s="7">
        <f>Liste!Y202</f>
        <v>0</v>
      </c>
      <c r="AL202" s="7"/>
      <c r="AM202" s="7"/>
      <c r="AN202" s="7"/>
      <c r="AO202" s="1113">
        <f>Liste!D202</f>
        <v>0</v>
      </c>
      <c r="AP202" s="1113">
        <f>Liste!F202</f>
        <v>0</v>
      </c>
      <c r="AQ202" s="1113">
        <f>Liste!E202</f>
        <v>0</v>
      </c>
      <c r="AR202" s="1113">
        <f>Liste!G202</f>
        <v>0</v>
      </c>
      <c r="AS202" s="1112">
        <f>Liste!V202</f>
        <v>0</v>
      </c>
      <c r="AT202" s="1">
        <f>Liste!M202</f>
        <v>0</v>
      </c>
      <c r="AZ202" s="5" t="s">
        <v>255</v>
      </c>
      <c r="BA202" s="4" t="s">
        <v>101</v>
      </c>
      <c r="BB202" s="4">
        <v>705</v>
      </c>
      <c r="BD202" s="35"/>
      <c r="BE202" s="35"/>
      <c r="BF202" s="2118">
        <f>Liste!R202</f>
        <v>0</v>
      </c>
      <c r="BG202" s="2137">
        <f>IF(AS202&gt;0,Liste!S202,0)</f>
        <v>0</v>
      </c>
      <c r="BH202" s="2118">
        <f>Liste!T202</f>
        <v>0</v>
      </c>
    </row>
    <row r="203" spans="1:60" ht="24.95" customHeight="1" x14ac:dyDescent="0.25">
      <c r="A203" s="29"/>
      <c r="B203" s="46" t="str">
        <f>IF(Liste!O203&gt;0,Liste!O203,Liste!B203)</f>
        <v>Antrieb 180W 2 Gurt 35 rechts GCC vertikal</v>
      </c>
      <c r="C203" s="2314"/>
      <c r="D203" s="30" t="str">
        <f>Liste!C203</f>
        <v>0308415</v>
      </c>
      <c r="E203" s="2314"/>
      <c r="F203" s="32">
        <f t="shared" si="20"/>
        <v>1</v>
      </c>
      <c r="G203" s="2314"/>
      <c r="H203" s="32">
        <f t="shared" si="21"/>
        <v>0</v>
      </c>
      <c r="I203" s="2314"/>
      <c r="J203" s="32">
        <f t="shared" si="22"/>
        <v>0</v>
      </c>
      <c r="K203" s="2314"/>
      <c r="L203" s="31">
        <f t="shared" si="23"/>
        <v>0</v>
      </c>
      <c r="M203" s="2314"/>
      <c r="N203" s="31" t="str">
        <f>Liste!L203</f>
        <v>Stk</v>
      </c>
      <c r="O203" s="31"/>
      <c r="P203" s="31"/>
      <c r="Q203" s="31">
        <f>Liste!P203</f>
        <v>0</v>
      </c>
      <c r="R203" s="31">
        <f>Liste!N203</f>
        <v>0</v>
      </c>
      <c r="S203" s="7">
        <v>0</v>
      </c>
      <c r="T203" s="7">
        <v>0</v>
      </c>
      <c r="U203" s="7">
        <v>0</v>
      </c>
      <c r="V203" s="7"/>
      <c r="W203" s="60"/>
      <c r="X203" s="60"/>
      <c r="Y203" s="60"/>
      <c r="Z203" s="7"/>
      <c r="AA203" s="7"/>
      <c r="AB203" s="60"/>
      <c r="AC203" s="60"/>
      <c r="AD203" s="60"/>
      <c r="AE203" s="7"/>
      <c r="AF203" s="7"/>
      <c r="AG203" s="7"/>
      <c r="AH203" s="7"/>
      <c r="AI203" s="7"/>
      <c r="AJ203" s="7">
        <f>Liste!X203</f>
        <v>0</v>
      </c>
      <c r="AK203" s="7">
        <f>Liste!Y203</f>
        <v>0</v>
      </c>
      <c r="AL203" s="7"/>
      <c r="AM203" s="7"/>
      <c r="AN203" s="7"/>
      <c r="AO203" s="1113">
        <f>Liste!D203</f>
        <v>1</v>
      </c>
      <c r="AP203" s="1113">
        <f>Liste!F203</f>
        <v>0</v>
      </c>
      <c r="AQ203" s="1113">
        <f>Liste!E203</f>
        <v>0</v>
      </c>
      <c r="AR203" s="1113">
        <f>Liste!G203</f>
        <v>0</v>
      </c>
      <c r="AS203" s="1112">
        <f>Liste!V203</f>
        <v>1</v>
      </c>
      <c r="AT203" s="1">
        <f>Liste!M203</f>
        <v>0</v>
      </c>
      <c r="AZ203" s="5" t="s">
        <v>256</v>
      </c>
      <c r="BA203" s="4" t="s">
        <v>101</v>
      </c>
      <c r="BB203" s="4">
        <v>706</v>
      </c>
      <c r="BD203" s="35"/>
      <c r="BE203" s="35"/>
      <c r="BF203" s="2118" t="str">
        <f>Liste!R203</f>
        <v>0308415</v>
      </c>
      <c r="BG203" s="2137">
        <f>IF(AS203&gt;0,Liste!S203,0)</f>
        <v>1</v>
      </c>
      <c r="BH203" s="2118" t="str">
        <f>Liste!T203</f>
        <v>Stk</v>
      </c>
    </row>
    <row r="204" spans="1:60" ht="24.95" customHeight="1" x14ac:dyDescent="0.25">
      <c r="A204" s="29"/>
      <c r="B204" s="46" t="str">
        <f>IF(Liste!O204&gt;0,Liste!O204,Liste!B204)</f>
        <v>Antrieb 180W 2 Gurt 35 rechts GCC vertikal V2A</v>
      </c>
      <c r="C204" s="2314"/>
      <c r="D204" s="30" t="str">
        <f>Liste!C204</f>
        <v>0338415</v>
      </c>
      <c r="E204" s="2314"/>
      <c r="F204" s="32">
        <f t="shared" si="20"/>
        <v>0</v>
      </c>
      <c r="G204" s="2314"/>
      <c r="H204" s="32">
        <f t="shared" si="21"/>
        <v>0</v>
      </c>
      <c r="I204" s="2314"/>
      <c r="J204" s="32">
        <f t="shared" si="22"/>
        <v>0</v>
      </c>
      <c r="K204" s="2314"/>
      <c r="L204" s="31">
        <f t="shared" si="23"/>
        <v>0</v>
      </c>
      <c r="M204" s="2314"/>
      <c r="N204" s="31" t="str">
        <f>Liste!L204</f>
        <v>Stk</v>
      </c>
      <c r="O204" s="31"/>
      <c r="P204" s="31"/>
      <c r="Q204" s="31">
        <f>Liste!P204</f>
        <v>0</v>
      </c>
      <c r="R204" s="31">
        <f>Liste!N204</f>
        <v>0</v>
      </c>
      <c r="S204" s="7">
        <v>0</v>
      </c>
      <c r="T204" s="7">
        <v>0</v>
      </c>
      <c r="U204" s="7">
        <v>0</v>
      </c>
      <c r="V204" s="7"/>
      <c r="W204" s="60"/>
      <c r="X204" s="60"/>
      <c r="Y204" s="60"/>
      <c r="Z204" s="7"/>
      <c r="AA204" s="7"/>
      <c r="AB204" s="60"/>
      <c r="AC204" s="60"/>
      <c r="AD204" s="60"/>
      <c r="AE204" s="7"/>
      <c r="AF204" s="7"/>
      <c r="AG204" s="7"/>
      <c r="AH204" s="7"/>
      <c r="AI204" s="7"/>
      <c r="AJ204" s="7">
        <f>Liste!X204</f>
        <v>0</v>
      </c>
      <c r="AK204" s="7">
        <f>Liste!Y204</f>
        <v>0</v>
      </c>
      <c r="AL204" s="7"/>
      <c r="AM204" s="7"/>
      <c r="AN204" s="7"/>
      <c r="AO204" s="1113">
        <f>Liste!D204</f>
        <v>0</v>
      </c>
      <c r="AP204" s="1113">
        <f>Liste!F204</f>
        <v>0</v>
      </c>
      <c r="AQ204" s="1113">
        <f>Liste!E204</f>
        <v>0</v>
      </c>
      <c r="AR204" s="1113">
        <f>Liste!G204</f>
        <v>0</v>
      </c>
      <c r="AS204" s="1112">
        <f>Liste!V204</f>
        <v>1</v>
      </c>
      <c r="AT204" s="1">
        <f>Liste!M204</f>
        <v>0</v>
      </c>
      <c r="AZ204" s="5" t="s">
        <v>257</v>
      </c>
      <c r="BA204" s="4" t="s">
        <v>101</v>
      </c>
      <c r="BB204" s="4">
        <v>707</v>
      </c>
      <c r="BD204" s="35"/>
      <c r="BE204" s="35"/>
      <c r="BF204" s="2118" t="str">
        <f>Liste!R204</f>
        <v>0338415</v>
      </c>
      <c r="BG204" s="2137">
        <f>IF(AS204&gt;0,Liste!S204,0)</f>
        <v>0</v>
      </c>
      <c r="BH204" s="2118" t="str">
        <f>Liste!T204</f>
        <v>Stk</v>
      </c>
    </row>
    <row r="205" spans="1:60" ht="24.95" customHeight="1" x14ac:dyDescent="0.25">
      <c r="A205" s="29"/>
      <c r="B205" s="46" t="str">
        <f>IF(Liste!O205&gt;0,Liste!O205,Liste!B205)</f>
        <v>Antrieb 180W 2 Gurt 35 links GCC vertikal</v>
      </c>
      <c r="C205" s="2314"/>
      <c r="D205" s="30" t="str">
        <f>Liste!C205</f>
        <v>0308416</v>
      </c>
      <c r="E205" s="2314"/>
      <c r="F205" s="32">
        <f t="shared" si="20"/>
        <v>0</v>
      </c>
      <c r="G205" s="2314"/>
      <c r="H205" s="32">
        <f t="shared" si="21"/>
        <v>0</v>
      </c>
      <c r="I205" s="2314"/>
      <c r="J205" s="32">
        <f t="shared" si="22"/>
        <v>0</v>
      </c>
      <c r="K205" s="2314"/>
      <c r="L205" s="31">
        <f t="shared" si="23"/>
        <v>0</v>
      </c>
      <c r="M205" s="2314"/>
      <c r="N205" s="31" t="str">
        <f>Liste!L205</f>
        <v>Stk</v>
      </c>
      <c r="O205" s="31"/>
      <c r="P205" s="31"/>
      <c r="Q205" s="31">
        <f>Liste!P205</f>
        <v>0</v>
      </c>
      <c r="R205" s="31">
        <f>Liste!N205</f>
        <v>0</v>
      </c>
      <c r="S205" s="7">
        <v>0</v>
      </c>
      <c r="T205" s="7">
        <v>0</v>
      </c>
      <c r="U205" s="7">
        <v>0</v>
      </c>
      <c r="V205" s="7"/>
      <c r="W205" s="60"/>
      <c r="X205" s="60"/>
      <c r="Y205" s="60"/>
      <c r="Z205" s="7"/>
      <c r="AA205" s="7"/>
      <c r="AB205" s="60"/>
      <c r="AC205" s="60"/>
      <c r="AD205" s="60"/>
      <c r="AE205" s="7"/>
      <c r="AF205" s="7"/>
      <c r="AG205" s="7"/>
      <c r="AH205" s="7"/>
      <c r="AI205" s="7"/>
      <c r="AJ205" s="7">
        <f>Liste!X205</f>
        <v>0</v>
      </c>
      <c r="AK205" s="7">
        <f>Liste!Y205</f>
        <v>0</v>
      </c>
      <c r="AL205" s="7"/>
      <c r="AM205" s="7"/>
      <c r="AN205" s="7"/>
      <c r="AO205" s="1113">
        <f>Liste!D205</f>
        <v>0</v>
      </c>
      <c r="AP205" s="1113">
        <f>Liste!F205</f>
        <v>0</v>
      </c>
      <c r="AQ205" s="1113">
        <f>Liste!E205</f>
        <v>0</v>
      </c>
      <c r="AR205" s="1113">
        <f>Liste!G205</f>
        <v>0</v>
      </c>
      <c r="AS205" s="1112">
        <f>Liste!V205</f>
        <v>1</v>
      </c>
      <c r="AT205" s="1">
        <f>Liste!M205</f>
        <v>0</v>
      </c>
      <c r="AZ205" s="5" t="s">
        <v>28035</v>
      </c>
      <c r="BA205" s="4" t="s">
        <v>101</v>
      </c>
      <c r="BB205" s="4">
        <v>708</v>
      </c>
      <c r="BD205" s="35"/>
      <c r="BE205" s="35"/>
      <c r="BF205" s="2118" t="str">
        <f>Liste!R205</f>
        <v>0308416</v>
      </c>
      <c r="BG205" s="2137">
        <f>IF(AS205&gt;0,Liste!S205,0)</f>
        <v>0</v>
      </c>
      <c r="BH205" s="2118" t="str">
        <f>Liste!T205</f>
        <v>Stk</v>
      </c>
    </row>
    <row r="206" spans="1:60" ht="24.95" customHeight="1" x14ac:dyDescent="0.25">
      <c r="A206" s="29"/>
      <c r="B206" s="46" t="str">
        <f>IF(Liste!O206&gt;0,Liste!O206,Liste!B206)</f>
        <v>Antrieb 180W 2 Gurt 35 links GCC vertikal V2A</v>
      </c>
      <c r="C206" s="2314"/>
      <c r="D206" s="30" t="str">
        <f>Liste!C206</f>
        <v>0338416</v>
      </c>
      <c r="E206" s="2314"/>
      <c r="F206" s="32">
        <f t="shared" si="20"/>
        <v>0</v>
      </c>
      <c r="G206" s="2314"/>
      <c r="H206" s="32">
        <f t="shared" si="21"/>
        <v>0</v>
      </c>
      <c r="I206" s="2314"/>
      <c r="J206" s="32">
        <f t="shared" si="22"/>
        <v>0</v>
      </c>
      <c r="K206" s="2314"/>
      <c r="L206" s="31">
        <f t="shared" si="23"/>
        <v>0</v>
      </c>
      <c r="M206" s="2314"/>
      <c r="N206" s="31" t="str">
        <f>Liste!L206</f>
        <v>Stk</v>
      </c>
      <c r="O206" s="31"/>
      <c r="P206" s="31"/>
      <c r="Q206" s="31">
        <f>Liste!P206</f>
        <v>0</v>
      </c>
      <c r="R206" s="31">
        <f>Liste!N206</f>
        <v>0</v>
      </c>
      <c r="S206" s="7">
        <v>0</v>
      </c>
      <c r="T206" s="7">
        <v>0</v>
      </c>
      <c r="U206" s="7">
        <v>0</v>
      </c>
      <c r="V206" s="7"/>
      <c r="W206" s="60"/>
      <c r="X206" s="60"/>
      <c r="Y206" s="60"/>
      <c r="Z206" s="7"/>
      <c r="AA206" s="7"/>
      <c r="AB206" s="60"/>
      <c r="AC206" s="60"/>
      <c r="AD206" s="60"/>
      <c r="AE206" s="7"/>
      <c r="AF206" s="7"/>
      <c r="AG206" s="7"/>
      <c r="AH206" s="7"/>
      <c r="AI206" s="7"/>
      <c r="AJ206" s="7">
        <f>Liste!X206</f>
        <v>0</v>
      </c>
      <c r="AK206" s="7">
        <f>Liste!Y206</f>
        <v>0</v>
      </c>
      <c r="AL206" s="7"/>
      <c r="AM206" s="7"/>
      <c r="AN206" s="7"/>
      <c r="AO206" s="1113">
        <f>Liste!D206</f>
        <v>0</v>
      </c>
      <c r="AP206" s="1113">
        <f>Liste!F206</f>
        <v>0</v>
      </c>
      <c r="AQ206" s="1113">
        <f>Liste!E206</f>
        <v>0</v>
      </c>
      <c r="AR206" s="1113">
        <f>Liste!G206</f>
        <v>0</v>
      </c>
      <c r="AS206" s="1112">
        <f>Liste!V206</f>
        <v>1</v>
      </c>
      <c r="AT206" s="1">
        <f>Liste!M206</f>
        <v>0</v>
      </c>
      <c r="AZ206" s="5" t="s">
        <v>31299</v>
      </c>
      <c r="BA206" s="4" t="s">
        <v>101</v>
      </c>
      <c r="BB206" s="4">
        <v>709</v>
      </c>
      <c r="BD206" s="35"/>
      <c r="BE206" s="35"/>
      <c r="BF206" s="2118" t="str">
        <f>Liste!R206</f>
        <v>0338416</v>
      </c>
      <c r="BG206" s="2137">
        <f>IF(AS206&gt;0,Liste!S206,0)</f>
        <v>0</v>
      </c>
      <c r="BH206" s="2118" t="str">
        <f>Liste!T206</f>
        <v>Stk</v>
      </c>
    </row>
    <row r="207" spans="1:60" ht="24.95" customHeight="1" x14ac:dyDescent="0.25">
      <c r="A207" s="29"/>
      <c r="B207" s="46" t="str">
        <f>IF(Liste!O207&gt;0,Liste!O207,Liste!B207)</f>
        <v>Antrieb 180W 1 Gurt 35 rechts GCC vertikal</v>
      </c>
      <c r="C207" s="2314"/>
      <c r="D207" s="30" t="str">
        <f>Liste!C207</f>
        <v>0308418</v>
      </c>
      <c r="E207" s="2314"/>
      <c r="F207" s="32">
        <f t="shared" si="20"/>
        <v>0</v>
      </c>
      <c r="G207" s="2314"/>
      <c r="H207" s="32">
        <f t="shared" si="21"/>
        <v>0</v>
      </c>
      <c r="I207" s="2314"/>
      <c r="J207" s="32">
        <f t="shared" si="22"/>
        <v>0</v>
      </c>
      <c r="K207" s="2314"/>
      <c r="L207" s="31">
        <f t="shared" si="23"/>
        <v>0</v>
      </c>
      <c r="M207" s="2314"/>
      <c r="N207" s="31" t="str">
        <f>Liste!L207</f>
        <v>Stk</v>
      </c>
      <c r="O207" s="31"/>
      <c r="P207" s="31"/>
      <c r="Q207" s="31">
        <f>Liste!P207</f>
        <v>0</v>
      </c>
      <c r="R207" s="31">
        <f>Liste!N207</f>
        <v>0</v>
      </c>
      <c r="S207" s="7">
        <v>0</v>
      </c>
      <c r="T207" s="7">
        <v>0</v>
      </c>
      <c r="U207" s="7">
        <v>0</v>
      </c>
      <c r="V207" s="7"/>
      <c r="W207" s="60"/>
      <c r="X207" s="60"/>
      <c r="Y207" s="60"/>
      <c r="Z207" s="7"/>
      <c r="AA207" s="7"/>
      <c r="AB207" s="60"/>
      <c r="AC207" s="60"/>
      <c r="AD207" s="60"/>
      <c r="AE207" s="7"/>
      <c r="AF207" s="7"/>
      <c r="AG207" s="7"/>
      <c r="AH207" s="7"/>
      <c r="AI207" s="7"/>
      <c r="AJ207" s="7">
        <f>Liste!X207</f>
        <v>0</v>
      </c>
      <c r="AK207" s="7">
        <f>Liste!Y207</f>
        <v>0</v>
      </c>
      <c r="AL207" s="7"/>
      <c r="AM207" s="7"/>
      <c r="AN207" s="7"/>
      <c r="AO207" s="1113">
        <f>Liste!D207</f>
        <v>0</v>
      </c>
      <c r="AP207" s="1113">
        <f>Liste!F207</f>
        <v>0</v>
      </c>
      <c r="AQ207" s="1113">
        <f>Liste!E207</f>
        <v>0</v>
      </c>
      <c r="AR207" s="1113">
        <f>Liste!G207</f>
        <v>0</v>
      </c>
      <c r="AS207" s="1112">
        <f>Liste!V207</f>
        <v>1</v>
      </c>
      <c r="AT207" s="1">
        <f>Liste!M207</f>
        <v>0</v>
      </c>
      <c r="AZ207" s="5" t="s">
        <v>31300</v>
      </c>
      <c r="BA207" s="4" t="s">
        <v>101</v>
      </c>
      <c r="BB207" s="4">
        <v>710</v>
      </c>
      <c r="BD207" s="35"/>
      <c r="BE207" s="35"/>
      <c r="BF207" s="2118" t="str">
        <f>Liste!R207</f>
        <v>0308418</v>
      </c>
      <c r="BG207" s="2137">
        <f>IF(AS207&gt;0,Liste!S207,0)</f>
        <v>0</v>
      </c>
      <c r="BH207" s="2118" t="str">
        <f>Liste!T207</f>
        <v>Stk</v>
      </c>
    </row>
    <row r="208" spans="1:60" ht="24.95" customHeight="1" x14ac:dyDescent="0.25">
      <c r="A208" s="29"/>
      <c r="B208" s="46" t="str">
        <f>IF(Liste!O208&gt;0,Liste!O208,Liste!B208)</f>
        <v>Antrieb 180W 1 Gurt 35 rechts GCC vertikal V2A</v>
      </c>
      <c r="C208" s="2314"/>
      <c r="D208" s="30" t="str">
        <f>Liste!C208</f>
        <v>0338418</v>
      </c>
      <c r="E208" s="2314"/>
      <c r="F208" s="32">
        <f t="shared" si="20"/>
        <v>0</v>
      </c>
      <c r="G208" s="2314"/>
      <c r="H208" s="32">
        <f t="shared" si="21"/>
        <v>0</v>
      </c>
      <c r="I208" s="2314"/>
      <c r="J208" s="32">
        <f t="shared" si="22"/>
        <v>0</v>
      </c>
      <c r="K208" s="2314"/>
      <c r="L208" s="31">
        <f t="shared" si="23"/>
        <v>0</v>
      </c>
      <c r="M208" s="2314"/>
      <c r="N208" s="31" t="str">
        <f>Liste!L208</f>
        <v>Stk</v>
      </c>
      <c r="O208" s="31"/>
      <c r="P208" s="31"/>
      <c r="Q208" s="31">
        <f>Liste!P208</f>
        <v>0</v>
      </c>
      <c r="R208" s="31">
        <f>Liste!N208</f>
        <v>0</v>
      </c>
      <c r="S208" s="7">
        <v>0</v>
      </c>
      <c r="T208" s="7">
        <v>0</v>
      </c>
      <c r="U208" s="7">
        <v>0</v>
      </c>
      <c r="V208" s="7"/>
      <c r="W208" s="60"/>
      <c r="X208" s="60"/>
      <c r="Y208" s="60"/>
      <c r="Z208" s="7"/>
      <c r="AA208" s="7"/>
      <c r="AB208" s="60"/>
      <c r="AC208" s="60"/>
      <c r="AD208" s="60"/>
      <c r="AE208" s="7"/>
      <c r="AF208" s="7"/>
      <c r="AG208" s="7"/>
      <c r="AH208" s="7"/>
      <c r="AI208" s="7"/>
      <c r="AJ208" s="7">
        <f>Liste!X208</f>
        <v>0</v>
      </c>
      <c r="AK208" s="7">
        <f>Liste!Y208</f>
        <v>0</v>
      </c>
      <c r="AL208" s="7"/>
      <c r="AM208" s="7"/>
      <c r="AN208" s="7"/>
      <c r="AO208" s="1113">
        <f>Liste!D208</f>
        <v>0</v>
      </c>
      <c r="AP208" s="1113">
        <f>Liste!F208</f>
        <v>0</v>
      </c>
      <c r="AQ208" s="1113">
        <f>Liste!E208</f>
        <v>0</v>
      </c>
      <c r="AR208" s="1113">
        <f>Liste!G208</f>
        <v>0</v>
      </c>
      <c r="AS208" s="1112">
        <f>Liste!V208</f>
        <v>1</v>
      </c>
      <c r="AT208" s="1">
        <f>Liste!M208</f>
        <v>0</v>
      </c>
      <c r="AZ208" s="5" t="s">
        <v>31301</v>
      </c>
      <c r="BA208" s="4" t="s">
        <v>101</v>
      </c>
      <c r="BB208" s="4">
        <v>711</v>
      </c>
      <c r="BD208" s="35"/>
      <c r="BE208" s="35"/>
      <c r="BF208" s="2118" t="str">
        <f>Liste!R208</f>
        <v>0338418</v>
      </c>
      <c r="BG208" s="2137">
        <f>IF(AS208&gt;0,Liste!S208,0)</f>
        <v>0</v>
      </c>
      <c r="BH208" s="2118" t="str">
        <f>Liste!T208</f>
        <v>Stk</v>
      </c>
    </row>
    <row r="209" spans="1:60" ht="24.95" customHeight="1" x14ac:dyDescent="0.25">
      <c r="A209" s="29"/>
      <c r="B209" s="46" t="str">
        <f>IF(Liste!O209&gt;0,Liste!O209,Liste!B209)</f>
        <v>Antrieb 180W 1 Gurt 35 links GCC vertikal</v>
      </c>
      <c r="C209" s="2314"/>
      <c r="D209" s="30" t="str">
        <f>Liste!C209</f>
        <v>0308419</v>
      </c>
      <c r="E209" s="2314"/>
      <c r="F209" s="32">
        <f t="shared" si="20"/>
        <v>0</v>
      </c>
      <c r="G209" s="2314"/>
      <c r="H209" s="32">
        <f t="shared" si="21"/>
        <v>0</v>
      </c>
      <c r="I209" s="2314"/>
      <c r="J209" s="32">
        <f t="shared" si="22"/>
        <v>0</v>
      </c>
      <c r="K209" s="2314"/>
      <c r="L209" s="31">
        <f t="shared" si="23"/>
        <v>0</v>
      </c>
      <c r="M209" s="2314"/>
      <c r="N209" s="31" t="str">
        <f>Liste!L209</f>
        <v>Stk</v>
      </c>
      <c r="O209" s="31"/>
      <c r="P209" s="31"/>
      <c r="Q209" s="31">
        <f>Liste!P209</f>
        <v>0</v>
      </c>
      <c r="R209" s="31">
        <f>Liste!N209</f>
        <v>0</v>
      </c>
      <c r="S209" s="7">
        <v>0</v>
      </c>
      <c r="T209" s="7">
        <v>0</v>
      </c>
      <c r="U209" s="7">
        <v>0</v>
      </c>
      <c r="V209" s="7"/>
      <c r="W209" s="60"/>
      <c r="X209" s="60"/>
      <c r="Y209" s="60"/>
      <c r="Z209" s="7"/>
      <c r="AA209" s="7"/>
      <c r="AB209" s="60"/>
      <c r="AC209" s="60"/>
      <c r="AD209" s="60"/>
      <c r="AE209" s="7"/>
      <c r="AF209" s="7"/>
      <c r="AG209" s="7"/>
      <c r="AH209" s="7"/>
      <c r="AI209" s="7"/>
      <c r="AJ209" s="7">
        <f>Liste!X209</f>
        <v>0</v>
      </c>
      <c r="AK209" s="7">
        <f>Liste!Y209</f>
        <v>0</v>
      </c>
      <c r="AL209" s="7"/>
      <c r="AM209" s="7"/>
      <c r="AN209" s="7"/>
      <c r="AO209" s="1113">
        <f>Liste!D209</f>
        <v>0</v>
      </c>
      <c r="AP209" s="1113">
        <f>Liste!F209</f>
        <v>0</v>
      </c>
      <c r="AQ209" s="1113">
        <f>Liste!E209</f>
        <v>0</v>
      </c>
      <c r="AR209" s="1113">
        <f>Liste!G209</f>
        <v>0</v>
      </c>
      <c r="AS209" s="1112">
        <f>Liste!V209</f>
        <v>1</v>
      </c>
      <c r="AT209" s="1">
        <f>Liste!M209</f>
        <v>0</v>
      </c>
      <c r="AZ209" s="5" t="s">
        <v>31302</v>
      </c>
      <c r="BA209" s="4" t="s">
        <v>101</v>
      </c>
      <c r="BB209" s="4">
        <v>712</v>
      </c>
      <c r="BD209" s="35"/>
      <c r="BE209" s="35"/>
      <c r="BF209" s="2118" t="str">
        <f>Liste!R209</f>
        <v>0308419</v>
      </c>
      <c r="BG209" s="2137">
        <f>IF(AS209&gt;0,Liste!S209,0)</f>
        <v>0</v>
      </c>
      <c r="BH209" s="2118" t="str">
        <f>Liste!T209</f>
        <v>Stk</v>
      </c>
    </row>
    <row r="210" spans="1:60" ht="24.95" customHeight="1" x14ac:dyDescent="0.25">
      <c r="A210" s="29"/>
      <c r="B210" s="46" t="str">
        <f>IF(Liste!O210&gt;0,Liste!O210,Liste!B210)</f>
        <v>Antrieb 180W 1 Gurt 35 links GCC vertikal V2A</v>
      </c>
      <c r="C210" s="2314"/>
      <c r="D210" s="30" t="str">
        <f>Liste!C210</f>
        <v>0338419</v>
      </c>
      <c r="E210" s="2314"/>
      <c r="F210" s="32">
        <f t="shared" si="20"/>
        <v>0</v>
      </c>
      <c r="G210" s="2314"/>
      <c r="H210" s="32">
        <f t="shared" si="21"/>
        <v>0</v>
      </c>
      <c r="I210" s="2314"/>
      <c r="J210" s="32">
        <f t="shared" si="22"/>
        <v>0</v>
      </c>
      <c r="K210" s="2314"/>
      <c r="L210" s="31">
        <f t="shared" si="23"/>
        <v>0</v>
      </c>
      <c r="M210" s="2314"/>
      <c r="N210" s="31" t="str">
        <f>Liste!L210</f>
        <v>Stk</v>
      </c>
      <c r="O210" s="31"/>
      <c r="P210" s="31"/>
      <c r="Q210" s="31">
        <f>Liste!P210</f>
        <v>0</v>
      </c>
      <c r="R210" s="31">
        <f>Liste!N210</f>
        <v>0</v>
      </c>
      <c r="S210" s="7">
        <v>0</v>
      </c>
      <c r="T210" s="7">
        <v>0</v>
      </c>
      <c r="U210" s="7">
        <v>0</v>
      </c>
      <c r="V210" s="7"/>
      <c r="W210" s="60"/>
      <c r="X210" s="60"/>
      <c r="Y210" s="60"/>
      <c r="Z210" s="7"/>
      <c r="AA210" s="7"/>
      <c r="AB210" s="60"/>
      <c r="AC210" s="60"/>
      <c r="AD210" s="60"/>
      <c r="AE210" s="7"/>
      <c r="AF210" s="7"/>
      <c r="AG210" s="7"/>
      <c r="AH210" s="7"/>
      <c r="AI210" s="7"/>
      <c r="AJ210" s="7">
        <f>Liste!X210</f>
        <v>0</v>
      </c>
      <c r="AK210" s="7">
        <f>Liste!Y210</f>
        <v>0</v>
      </c>
      <c r="AL210" s="7"/>
      <c r="AM210" s="7"/>
      <c r="AN210" s="7"/>
      <c r="AO210" s="1113">
        <f>Liste!D210</f>
        <v>0</v>
      </c>
      <c r="AP210" s="1113">
        <f>Liste!F210</f>
        <v>0</v>
      </c>
      <c r="AQ210" s="1113">
        <f>Liste!E210</f>
        <v>0</v>
      </c>
      <c r="AR210" s="1113">
        <f>Liste!G210</f>
        <v>0</v>
      </c>
      <c r="AS210" s="1112">
        <f>Liste!V210</f>
        <v>1</v>
      </c>
      <c r="AT210" s="1">
        <f>Liste!M210</f>
        <v>0</v>
      </c>
      <c r="AZ210" s="5" t="s">
        <v>28036</v>
      </c>
      <c r="BA210" s="4" t="s">
        <v>101</v>
      </c>
      <c r="BB210" s="4">
        <v>713</v>
      </c>
      <c r="BD210" s="35"/>
      <c r="BE210" s="35"/>
      <c r="BF210" s="2118" t="str">
        <f>Liste!R210</f>
        <v>0338419</v>
      </c>
      <c r="BG210" s="2137">
        <f>IF(AS210&gt;0,Liste!S210,0)</f>
        <v>0</v>
      </c>
      <c r="BH210" s="2118" t="str">
        <f>Liste!T210</f>
        <v>Stk</v>
      </c>
    </row>
    <row r="211" spans="1:60" ht="24.95" customHeight="1" x14ac:dyDescent="0.25">
      <c r="A211" s="29"/>
      <c r="B211" s="46" t="str">
        <f>IF(Liste!O211&gt;0,Liste!O211,Liste!B211)</f>
        <v>Antrieb 750W 2 Gurt 35 rechts GCC vertikal</v>
      </c>
      <c r="C211" s="2314"/>
      <c r="D211" s="30" t="str">
        <f>Liste!C211</f>
        <v>0308448</v>
      </c>
      <c r="E211" s="2314"/>
      <c r="F211" s="32">
        <f t="shared" si="20"/>
        <v>0</v>
      </c>
      <c r="G211" s="2314"/>
      <c r="H211" s="32">
        <f t="shared" si="21"/>
        <v>0</v>
      </c>
      <c r="I211" s="2314"/>
      <c r="J211" s="32">
        <f t="shared" si="22"/>
        <v>0</v>
      </c>
      <c r="K211" s="2314"/>
      <c r="L211" s="31">
        <f t="shared" si="23"/>
        <v>0</v>
      </c>
      <c r="M211" s="2314"/>
      <c r="N211" s="31" t="str">
        <f>Liste!L211</f>
        <v>Stk</v>
      </c>
      <c r="O211" s="31"/>
      <c r="P211" s="31"/>
      <c r="Q211" s="31">
        <f>Liste!P211</f>
        <v>0</v>
      </c>
      <c r="R211" s="31">
        <f>Liste!N211</f>
        <v>0</v>
      </c>
      <c r="S211" s="7">
        <v>0</v>
      </c>
      <c r="T211" s="7">
        <v>0</v>
      </c>
      <c r="U211" s="7">
        <v>0</v>
      </c>
      <c r="V211" s="7"/>
      <c r="W211" s="60"/>
      <c r="X211" s="60"/>
      <c r="Y211" s="60"/>
      <c r="Z211" s="7"/>
      <c r="AA211" s="7"/>
      <c r="AB211" s="60"/>
      <c r="AC211" s="60"/>
      <c r="AD211" s="60"/>
      <c r="AE211" s="7"/>
      <c r="AF211" s="7"/>
      <c r="AG211" s="7"/>
      <c r="AH211" s="7"/>
      <c r="AI211" s="7"/>
      <c r="AJ211" s="7">
        <f>Liste!X211</f>
        <v>0</v>
      </c>
      <c r="AK211" s="7">
        <f>Liste!Y211</f>
        <v>0</v>
      </c>
      <c r="AL211" s="7"/>
      <c r="AM211" s="7"/>
      <c r="AN211" s="7"/>
      <c r="AO211" s="1113">
        <f>Liste!D211</f>
        <v>0</v>
      </c>
      <c r="AP211" s="1113">
        <f>Liste!F211</f>
        <v>0</v>
      </c>
      <c r="AQ211" s="1113">
        <f>Liste!E211</f>
        <v>0</v>
      </c>
      <c r="AR211" s="1113">
        <f>Liste!G211</f>
        <v>0</v>
      </c>
      <c r="AS211" s="1112">
        <f>Liste!V211</f>
        <v>1</v>
      </c>
      <c r="AT211" s="1">
        <f>Liste!M211</f>
        <v>0</v>
      </c>
      <c r="AZ211" s="5" t="s">
        <v>28037</v>
      </c>
      <c r="BA211" s="4" t="s">
        <v>101</v>
      </c>
      <c r="BB211" s="4">
        <v>714</v>
      </c>
      <c r="BD211" s="35"/>
      <c r="BE211" s="35"/>
      <c r="BF211" s="2118" t="str">
        <f>Liste!R211</f>
        <v>0308448</v>
      </c>
      <c r="BG211" s="2137">
        <f>IF(AS211&gt;0,Liste!S211,0)</f>
        <v>0</v>
      </c>
      <c r="BH211" s="2118" t="str">
        <f>Liste!T211</f>
        <v>Stk</v>
      </c>
    </row>
    <row r="212" spans="1:60" ht="24.95" customHeight="1" x14ac:dyDescent="0.25">
      <c r="A212" s="29"/>
      <c r="B212" s="46" t="str">
        <f>IF(Liste!O212&gt;0,Liste!O212,Liste!B212)</f>
        <v>Antrieb 750W 2 Gurt 35 rechts GCC vertikal V2A</v>
      </c>
      <c r="C212" s="2314"/>
      <c r="D212" s="30" t="str">
        <f>Liste!C212</f>
        <v>0338448</v>
      </c>
      <c r="E212" s="2314"/>
      <c r="F212" s="32">
        <f t="shared" si="20"/>
        <v>0</v>
      </c>
      <c r="G212" s="2314"/>
      <c r="H212" s="32">
        <f t="shared" si="21"/>
        <v>0</v>
      </c>
      <c r="I212" s="2314"/>
      <c r="J212" s="32">
        <f t="shared" si="22"/>
        <v>0</v>
      </c>
      <c r="K212" s="2314"/>
      <c r="L212" s="31">
        <f t="shared" si="23"/>
        <v>0</v>
      </c>
      <c r="M212" s="2314"/>
      <c r="N212" s="31" t="str">
        <f>Liste!L212</f>
        <v>Stk</v>
      </c>
      <c r="O212" s="31"/>
      <c r="P212" s="31"/>
      <c r="Q212" s="31">
        <f>Liste!P212</f>
        <v>0</v>
      </c>
      <c r="R212" s="31">
        <f>Liste!N212</f>
        <v>0</v>
      </c>
      <c r="S212" s="7">
        <v>0</v>
      </c>
      <c r="T212" s="7">
        <v>0</v>
      </c>
      <c r="U212" s="7">
        <v>0</v>
      </c>
      <c r="V212" s="7"/>
      <c r="W212" s="60"/>
      <c r="X212" s="60"/>
      <c r="Y212" s="60"/>
      <c r="Z212" s="7"/>
      <c r="AA212" s="7"/>
      <c r="AB212" s="60"/>
      <c r="AC212" s="60"/>
      <c r="AD212" s="60"/>
      <c r="AE212" s="7"/>
      <c r="AF212" s="7"/>
      <c r="AG212" s="7"/>
      <c r="AH212" s="7"/>
      <c r="AI212" s="7"/>
      <c r="AJ212" s="7">
        <f>Liste!X212</f>
        <v>0</v>
      </c>
      <c r="AK212" s="7">
        <f>Liste!Y212</f>
        <v>0</v>
      </c>
      <c r="AL212" s="7"/>
      <c r="AM212" s="7"/>
      <c r="AN212" s="7"/>
      <c r="AO212" s="1113">
        <f>Liste!D212</f>
        <v>0</v>
      </c>
      <c r="AP212" s="1113">
        <f>Liste!F212</f>
        <v>0</v>
      </c>
      <c r="AQ212" s="1113">
        <f>Liste!E212</f>
        <v>0</v>
      </c>
      <c r="AR212" s="1113">
        <f>Liste!G212</f>
        <v>0</v>
      </c>
      <c r="AS212" s="1112">
        <f>Liste!V212</f>
        <v>1</v>
      </c>
      <c r="AT212" s="1">
        <f>Liste!M212</f>
        <v>0</v>
      </c>
      <c r="AZ212" s="5" t="s">
        <v>28038</v>
      </c>
      <c r="BA212" s="4" t="s">
        <v>101</v>
      </c>
      <c r="BB212" s="4">
        <v>715</v>
      </c>
      <c r="BD212" s="35"/>
      <c r="BE212" s="35"/>
      <c r="BF212" s="2118" t="str">
        <f>Liste!R212</f>
        <v>0338448</v>
      </c>
      <c r="BG212" s="2137">
        <f>IF(AS212&gt;0,Liste!S212,0)</f>
        <v>0</v>
      </c>
      <c r="BH212" s="2118" t="str">
        <f>Liste!T212</f>
        <v>Stk</v>
      </c>
    </row>
    <row r="213" spans="1:60" ht="24.95" customHeight="1" x14ac:dyDescent="0.25">
      <c r="A213" s="29"/>
      <c r="B213" s="46" t="str">
        <f>IF(Liste!O213&gt;0,Liste!O213,Liste!B213)</f>
        <v>Antrieb 750W 2 Gurt 35 links GCC vertikal</v>
      </c>
      <c r="C213" s="2314"/>
      <c r="D213" s="30" t="str">
        <f>Liste!C213</f>
        <v>0308449</v>
      </c>
      <c r="E213" s="2314"/>
      <c r="F213" s="32">
        <f t="shared" si="20"/>
        <v>0</v>
      </c>
      <c r="G213" s="2314"/>
      <c r="H213" s="32">
        <f t="shared" si="21"/>
        <v>0</v>
      </c>
      <c r="I213" s="2314"/>
      <c r="J213" s="32">
        <f t="shared" si="22"/>
        <v>0</v>
      </c>
      <c r="K213" s="2314"/>
      <c r="L213" s="31">
        <f t="shared" si="23"/>
        <v>0</v>
      </c>
      <c r="M213" s="2314"/>
      <c r="N213" s="31" t="str">
        <f>Liste!L213</f>
        <v>Stk</v>
      </c>
      <c r="O213" s="31"/>
      <c r="P213" s="31"/>
      <c r="Q213" s="31">
        <f>Liste!P213</f>
        <v>0</v>
      </c>
      <c r="R213" s="31">
        <f>Liste!N213</f>
        <v>0</v>
      </c>
      <c r="S213" s="7">
        <v>0</v>
      </c>
      <c r="T213" s="7">
        <v>0</v>
      </c>
      <c r="U213" s="7">
        <v>0</v>
      </c>
      <c r="V213" s="7"/>
      <c r="W213" s="60"/>
      <c r="X213" s="60"/>
      <c r="Y213" s="60"/>
      <c r="Z213" s="7"/>
      <c r="AA213" s="7"/>
      <c r="AB213" s="60"/>
      <c r="AC213" s="60"/>
      <c r="AD213" s="60"/>
      <c r="AE213" s="7"/>
      <c r="AF213" s="7"/>
      <c r="AG213" s="7"/>
      <c r="AH213" s="7"/>
      <c r="AI213" s="7"/>
      <c r="AJ213" s="7">
        <f>Liste!X213</f>
        <v>0</v>
      </c>
      <c r="AK213" s="7">
        <f>Liste!Y213</f>
        <v>0</v>
      </c>
      <c r="AL213" s="7"/>
      <c r="AM213" s="7"/>
      <c r="AN213" s="7"/>
      <c r="AO213" s="1113">
        <f>Liste!D213</f>
        <v>0</v>
      </c>
      <c r="AP213" s="1113">
        <f>Liste!F213</f>
        <v>0</v>
      </c>
      <c r="AQ213" s="1113">
        <f>Liste!E213</f>
        <v>0</v>
      </c>
      <c r="AR213" s="1113">
        <f>Liste!G213</f>
        <v>0</v>
      </c>
      <c r="AS213" s="1112">
        <f>Liste!V213</f>
        <v>1</v>
      </c>
      <c r="AT213" s="1">
        <f>Liste!M213</f>
        <v>0</v>
      </c>
      <c r="AZ213" s="5" t="s">
        <v>258</v>
      </c>
      <c r="BA213" s="4" t="s">
        <v>101</v>
      </c>
      <c r="BB213" s="4">
        <v>716</v>
      </c>
      <c r="BD213" s="35"/>
      <c r="BE213" s="35"/>
      <c r="BF213" s="2118" t="str">
        <f>Liste!R213</f>
        <v>0308449</v>
      </c>
      <c r="BG213" s="2137">
        <f>IF(AS213&gt;0,Liste!S213,0)</f>
        <v>0</v>
      </c>
      <c r="BH213" s="2118" t="str">
        <f>Liste!T213</f>
        <v>Stk</v>
      </c>
    </row>
    <row r="214" spans="1:60" ht="24.95" customHeight="1" x14ac:dyDescent="0.25">
      <c r="A214" s="29"/>
      <c r="B214" s="46" t="str">
        <f>IF(Liste!O214&gt;0,Liste!O214,Liste!B214)</f>
        <v>Antrieb 750W 2 Gurt 35 links GCC vertikal V2A</v>
      </c>
      <c r="C214" s="2314"/>
      <c r="D214" s="30" t="str">
        <f>Liste!C214</f>
        <v>0338449</v>
      </c>
      <c r="E214" s="2314"/>
      <c r="F214" s="32">
        <f t="shared" si="20"/>
        <v>0</v>
      </c>
      <c r="G214" s="2314"/>
      <c r="H214" s="32">
        <f t="shared" si="21"/>
        <v>0</v>
      </c>
      <c r="I214" s="2314"/>
      <c r="J214" s="32">
        <f t="shared" si="22"/>
        <v>0</v>
      </c>
      <c r="K214" s="2314"/>
      <c r="L214" s="31">
        <f t="shared" si="23"/>
        <v>0</v>
      </c>
      <c r="M214" s="2314"/>
      <c r="N214" s="31" t="str">
        <f>Liste!L214</f>
        <v>Stk</v>
      </c>
      <c r="O214" s="31"/>
      <c r="P214" s="31"/>
      <c r="Q214" s="31">
        <f>Liste!P214</f>
        <v>0</v>
      </c>
      <c r="R214" s="31">
        <f>Liste!N214</f>
        <v>0</v>
      </c>
      <c r="S214" s="7">
        <v>0</v>
      </c>
      <c r="T214" s="7">
        <v>0</v>
      </c>
      <c r="U214" s="7">
        <v>0</v>
      </c>
      <c r="V214" s="7"/>
      <c r="W214" s="60"/>
      <c r="X214" s="60"/>
      <c r="Y214" s="60"/>
      <c r="Z214" s="7"/>
      <c r="AA214" s="7"/>
      <c r="AB214" s="60"/>
      <c r="AC214" s="60"/>
      <c r="AD214" s="60"/>
      <c r="AE214" s="7"/>
      <c r="AF214" s="7"/>
      <c r="AG214" s="7"/>
      <c r="AH214" s="7"/>
      <c r="AI214" s="7"/>
      <c r="AJ214" s="7">
        <f>Liste!X214</f>
        <v>0</v>
      </c>
      <c r="AK214" s="7">
        <f>Liste!Y214</f>
        <v>0</v>
      </c>
      <c r="AL214" s="7"/>
      <c r="AM214" s="7"/>
      <c r="AN214" s="7"/>
      <c r="AO214" s="1113">
        <f>Liste!D214</f>
        <v>0</v>
      </c>
      <c r="AP214" s="1113">
        <f>Liste!F214</f>
        <v>0</v>
      </c>
      <c r="AQ214" s="1113">
        <f>Liste!E214</f>
        <v>0</v>
      </c>
      <c r="AR214" s="1113">
        <f>Liste!G214</f>
        <v>0</v>
      </c>
      <c r="AS214" s="1112">
        <f>Liste!V214</f>
        <v>1</v>
      </c>
      <c r="AT214" s="1">
        <f>Liste!M214</f>
        <v>0</v>
      </c>
      <c r="AZ214" s="5" t="s">
        <v>31303</v>
      </c>
      <c r="BA214" s="4" t="s">
        <v>101</v>
      </c>
      <c r="BB214" s="4">
        <v>717</v>
      </c>
      <c r="BD214" s="35"/>
      <c r="BE214" s="35"/>
      <c r="BF214" s="2118" t="str">
        <f>Liste!R214</f>
        <v>0338449</v>
      </c>
      <c r="BG214" s="2137">
        <f>IF(AS214&gt;0,Liste!S214,0)</f>
        <v>0</v>
      </c>
      <c r="BH214" s="2118" t="str">
        <f>Liste!T214</f>
        <v>Stk</v>
      </c>
    </row>
    <row r="215" spans="1:60" ht="24.95" customHeight="1" x14ac:dyDescent="0.25">
      <c r="A215" s="29"/>
      <c r="B215" s="46" t="str">
        <f>IF(Liste!O215&gt;0,Liste!O215,Liste!B215)</f>
        <v>Antrieb 750W 1 Gurt 35 rechts GCC vertikal</v>
      </c>
      <c r="C215" s="2314"/>
      <c r="D215" s="30" t="str">
        <f>Liste!C215</f>
        <v>0308450</v>
      </c>
      <c r="E215" s="2314"/>
      <c r="F215" s="32">
        <f t="shared" si="20"/>
        <v>0</v>
      </c>
      <c r="G215" s="2314"/>
      <c r="H215" s="32">
        <f t="shared" si="21"/>
        <v>0</v>
      </c>
      <c r="I215" s="2314"/>
      <c r="J215" s="32">
        <f t="shared" si="22"/>
        <v>0</v>
      </c>
      <c r="K215" s="2314"/>
      <c r="L215" s="31">
        <f t="shared" si="23"/>
        <v>0</v>
      </c>
      <c r="M215" s="2314"/>
      <c r="N215" s="31" t="str">
        <f>Liste!L215</f>
        <v>Stk</v>
      </c>
      <c r="O215" s="31"/>
      <c r="P215" s="31"/>
      <c r="Q215" s="31">
        <f>Liste!P215</f>
        <v>0</v>
      </c>
      <c r="R215" s="31">
        <f>Liste!N215</f>
        <v>0</v>
      </c>
      <c r="S215" s="7">
        <v>0</v>
      </c>
      <c r="T215" s="7">
        <v>0</v>
      </c>
      <c r="U215" s="7">
        <v>0</v>
      </c>
      <c r="V215" s="7"/>
      <c r="W215" s="60"/>
      <c r="X215" s="60"/>
      <c r="Y215" s="60"/>
      <c r="Z215" s="7"/>
      <c r="AA215" s="7"/>
      <c r="AB215" s="60"/>
      <c r="AC215" s="60"/>
      <c r="AD215" s="60"/>
      <c r="AE215" s="7"/>
      <c r="AF215" s="7"/>
      <c r="AG215" s="7"/>
      <c r="AH215" s="7"/>
      <c r="AI215" s="7"/>
      <c r="AJ215" s="7">
        <f>Liste!X215</f>
        <v>0</v>
      </c>
      <c r="AK215" s="7">
        <f>Liste!Y215</f>
        <v>0</v>
      </c>
      <c r="AL215" s="7"/>
      <c r="AM215" s="7"/>
      <c r="AN215" s="7"/>
      <c r="AO215" s="1113">
        <f>Liste!D215</f>
        <v>0</v>
      </c>
      <c r="AP215" s="1113">
        <f>Liste!F215</f>
        <v>0</v>
      </c>
      <c r="AQ215" s="1113">
        <f>Liste!E215</f>
        <v>0</v>
      </c>
      <c r="AR215" s="1113">
        <f>Liste!G215</f>
        <v>0</v>
      </c>
      <c r="AS215" s="1112">
        <f>Liste!V215</f>
        <v>1</v>
      </c>
      <c r="AT215" s="1">
        <f>Liste!M215</f>
        <v>0</v>
      </c>
      <c r="AZ215" s="5" t="s">
        <v>31304</v>
      </c>
      <c r="BA215" s="4" t="s">
        <v>101</v>
      </c>
      <c r="BB215" s="4">
        <v>718</v>
      </c>
      <c r="BD215" s="35"/>
      <c r="BE215" s="35"/>
      <c r="BF215" s="2118" t="str">
        <f>Liste!R215</f>
        <v>0308450</v>
      </c>
      <c r="BG215" s="2137">
        <f>IF(AS215&gt;0,Liste!S215,0)</f>
        <v>0</v>
      </c>
      <c r="BH215" s="2118" t="str">
        <f>Liste!T215</f>
        <v>Stk</v>
      </c>
    </row>
    <row r="216" spans="1:60" ht="24.95" customHeight="1" x14ac:dyDescent="0.25">
      <c r="A216" s="29"/>
      <c r="B216" s="46" t="str">
        <f>IF(Liste!O216&gt;0,Liste!O216,Liste!B216)</f>
        <v>Antrieb 750W 1 Gurt 35 rechts GCC vertikal V2A</v>
      </c>
      <c r="C216" s="2314"/>
      <c r="D216" s="30" t="str">
        <f>Liste!C216</f>
        <v>0338450</v>
      </c>
      <c r="E216" s="2314"/>
      <c r="F216" s="32">
        <f t="shared" si="20"/>
        <v>0</v>
      </c>
      <c r="G216" s="2314"/>
      <c r="H216" s="32">
        <f t="shared" si="21"/>
        <v>0</v>
      </c>
      <c r="I216" s="2314"/>
      <c r="J216" s="32">
        <f t="shared" si="22"/>
        <v>0</v>
      </c>
      <c r="K216" s="2314"/>
      <c r="L216" s="31">
        <f t="shared" si="23"/>
        <v>0</v>
      </c>
      <c r="M216" s="2314"/>
      <c r="N216" s="31" t="str">
        <f>Liste!L216</f>
        <v>Stk</v>
      </c>
      <c r="O216" s="31"/>
      <c r="P216" s="31"/>
      <c r="Q216" s="31">
        <f>Liste!P216</f>
        <v>0</v>
      </c>
      <c r="R216" s="31">
        <f>Liste!N216</f>
        <v>0</v>
      </c>
      <c r="S216" s="7">
        <v>0</v>
      </c>
      <c r="T216" s="7">
        <v>0</v>
      </c>
      <c r="U216" s="7">
        <v>0</v>
      </c>
      <c r="V216" s="7"/>
      <c r="W216" s="60"/>
      <c r="X216" s="60"/>
      <c r="Y216" s="60"/>
      <c r="Z216" s="7"/>
      <c r="AA216" s="7"/>
      <c r="AB216" s="60"/>
      <c r="AC216" s="60"/>
      <c r="AD216" s="60"/>
      <c r="AE216" s="7"/>
      <c r="AF216" s="7"/>
      <c r="AG216" s="7"/>
      <c r="AH216" s="7"/>
      <c r="AI216" s="7"/>
      <c r="AJ216" s="7">
        <f>Liste!X216</f>
        <v>0</v>
      </c>
      <c r="AK216" s="7">
        <f>Liste!Y216</f>
        <v>0</v>
      </c>
      <c r="AL216" s="7"/>
      <c r="AM216" s="7"/>
      <c r="AN216" s="7"/>
      <c r="AO216" s="1113">
        <f>Liste!D216</f>
        <v>0</v>
      </c>
      <c r="AP216" s="1113">
        <f>Liste!F216</f>
        <v>0</v>
      </c>
      <c r="AQ216" s="1113">
        <f>Liste!E216</f>
        <v>0</v>
      </c>
      <c r="AR216" s="1113">
        <f>Liste!G216</f>
        <v>0</v>
      </c>
      <c r="AS216" s="1112">
        <f>Liste!V216</f>
        <v>1</v>
      </c>
      <c r="AT216" s="1">
        <f>Liste!M216</f>
        <v>0</v>
      </c>
      <c r="AZ216" s="5" t="s">
        <v>31305</v>
      </c>
      <c r="BA216" s="4" t="s">
        <v>101</v>
      </c>
      <c r="BB216" s="4">
        <v>719</v>
      </c>
      <c r="BD216" s="35"/>
      <c r="BE216" s="35"/>
      <c r="BF216" s="2118" t="str">
        <f>Liste!R216</f>
        <v>0338450</v>
      </c>
      <c r="BG216" s="2137">
        <f>IF(AS216&gt;0,Liste!S216,0)</f>
        <v>0</v>
      </c>
      <c r="BH216" s="2118" t="str">
        <f>Liste!T216</f>
        <v>Stk</v>
      </c>
    </row>
    <row r="217" spans="1:60" ht="24.95" customHeight="1" x14ac:dyDescent="0.25">
      <c r="A217" s="29"/>
      <c r="B217" s="46" t="str">
        <f>IF(Liste!O217&gt;0,Liste!O217,Liste!B217)</f>
        <v>Antrieb 750W 1 Gurt 35 links GCC vertikal</v>
      </c>
      <c r="C217" s="2314"/>
      <c r="D217" s="30" t="str">
        <f>Liste!C217</f>
        <v>0308451</v>
      </c>
      <c r="E217" s="2314"/>
      <c r="F217" s="32">
        <f t="shared" si="20"/>
        <v>0</v>
      </c>
      <c r="G217" s="2314"/>
      <c r="H217" s="32">
        <f t="shared" si="21"/>
        <v>0</v>
      </c>
      <c r="I217" s="2314"/>
      <c r="J217" s="32">
        <f t="shared" si="22"/>
        <v>0</v>
      </c>
      <c r="K217" s="2314"/>
      <c r="L217" s="31">
        <f t="shared" si="23"/>
        <v>0</v>
      </c>
      <c r="M217" s="2314"/>
      <c r="N217" s="31" t="str">
        <f>Liste!L217</f>
        <v>Stk</v>
      </c>
      <c r="O217" s="31"/>
      <c r="P217" s="31"/>
      <c r="Q217" s="31">
        <f>Liste!P217</f>
        <v>0</v>
      </c>
      <c r="R217" s="31">
        <f>Liste!N217</f>
        <v>0</v>
      </c>
      <c r="S217" s="7">
        <v>0</v>
      </c>
      <c r="T217" s="7">
        <v>0</v>
      </c>
      <c r="U217" s="7">
        <v>0</v>
      </c>
      <c r="V217" s="7"/>
      <c r="W217" s="60"/>
      <c r="X217" s="60"/>
      <c r="Y217" s="60"/>
      <c r="Z217" s="7"/>
      <c r="AA217" s="7"/>
      <c r="AB217" s="60"/>
      <c r="AC217" s="60"/>
      <c r="AD217" s="60"/>
      <c r="AE217" s="7"/>
      <c r="AF217" s="7"/>
      <c r="AG217" s="7"/>
      <c r="AH217" s="7"/>
      <c r="AI217" s="7"/>
      <c r="AJ217" s="7">
        <f>Liste!X217</f>
        <v>0</v>
      </c>
      <c r="AK217" s="7">
        <f>Liste!Y217</f>
        <v>0</v>
      </c>
      <c r="AL217" s="7"/>
      <c r="AM217" s="7"/>
      <c r="AN217" s="7"/>
      <c r="AO217" s="1113">
        <f>Liste!D217</f>
        <v>0</v>
      </c>
      <c r="AP217" s="1113">
        <f>Liste!F217</f>
        <v>0</v>
      </c>
      <c r="AQ217" s="1113">
        <f>Liste!E217</f>
        <v>0</v>
      </c>
      <c r="AR217" s="1113">
        <f>Liste!G217</f>
        <v>0</v>
      </c>
      <c r="AS217" s="1112">
        <f>Liste!V217</f>
        <v>1</v>
      </c>
      <c r="AT217" s="1">
        <f>Liste!M217</f>
        <v>0</v>
      </c>
      <c r="AZ217" s="5" t="s">
        <v>31306</v>
      </c>
      <c r="BA217" s="4" t="s">
        <v>101</v>
      </c>
      <c r="BB217" s="4">
        <v>720</v>
      </c>
      <c r="BD217" s="35"/>
      <c r="BE217" s="35"/>
      <c r="BF217" s="2118" t="str">
        <f>Liste!R217</f>
        <v>0308451</v>
      </c>
      <c r="BG217" s="2137">
        <f>IF(AS217&gt;0,Liste!S217,0)</f>
        <v>0</v>
      </c>
      <c r="BH217" s="2118" t="str">
        <f>Liste!T217</f>
        <v>Stk</v>
      </c>
    </row>
    <row r="218" spans="1:60" ht="24.95" customHeight="1" x14ac:dyDescent="0.25">
      <c r="A218" s="29"/>
      <c r="B218" s="46" t="str">
        <f>IF(Liste!O218&gt;0,Liste!O218,Liste!B218)</f>
        <v>Antrieb 750W 1 Gurt 35 links GCC vertikal V2A</v>
      </c>
      <c r="C218" s="2314"/>
      <c r="D218" s="30" t="str">
        <f>Liste!C218</f>
        <v>0338451</v>
      </c>
      <c r="E218" s="2314"/>
      <c r="F218" s="32">
        <f t="shared" si="20"/>
        <v>0</v>
      </c>
      <c r="G218" s="2314"/>
      <c r="H218" s="32">
        <f t="shared" si="21"/>
        <v>0</v>
      </c>
      <c r="I218" s="2314"/>
      <c r="J218" s="32">
        <f t="shared" si="22"/>
        <v>0</v>
      </c>
      <c r="K218" s="2314"/>
      <c r="L218" s="31">
        <f t="shared" si="23"/>
        <v>0</v>
      </c>
      <c r="M218" s="2314"/>
      <c r="N218" s="31" t="str">
        <f>Liste!L218</f>
        <v>Stk</v>
      </c>
      <c r="O218" s="31"/>
      <c r="P218" s="31"/>
      <c r="Q218" s="31">
        <f>Liste!P218</f>
        <v>0</v>
      </c>
      <c r="R218" s="31">
        <f>Liste!N218</f>
        <v>0</v>
      </c>
      <c r="S218" s="7">
        <v>0</v>
      </c>
      <c r="T218" s="7">
        <v>0</v>
      </c>
      <c r="U218" s="7">
        <v>0</v>
      </c>
      <c r="V218" s="7"/>
      <c r="W218" s="60"/>
      <c r="X218" s="60"/>
      <c r="Y218" s="60"/>
      <c r="Z218" s="7"/>
      <c r="AA218" s="7"/>
      <c r="AB218" s="60"/>
      <c r="AC218" s="60"/>
      <c r="AD218" s="60"/>
      <c r="AE218" s="7"/>
      <c r="AF218" s="7"/>
      <c r="AG218" s="7"/>
      <c r="AH218" s="7"/>
      <c r="AI218" s="7"/>
      <c r="AJ218" s="7">
        <f>Liste!X218</f>
        <v>0</v>
      </c>
      <c r="AK218" s="7">
        <f>Liste!Y218</f>
        <v>0</v>
      </c>
      <c r="AL218" s="7"/>
      <c r="AM218" s="7"/>
      <c r="AN218" s="7"/>
      <c r="AO218" s="1113">
        <f>Liste!D218</f>
        <v>0</v>
      </c>
      <c r="AP218" s="1113">
        <f>Liste!F218</f>
        <v>0</v>
      </c>
      <c r="AQ218" s="1113">
        <f>Liste!E218</f>
        <v>0</v>
      </c>
      <c r="AR218" s="1113">
        <f>Liste!G218</f>
        <v>0</v>
      </c>
      <c r="AS218" s="1112">
        <f>Liste!V218</f>
        <v>1</v>
      </c>
      <c r="AT218" s="1">
        <f>Liste!M218</f>
        <v>0</v>
      </c>
      <c r="AZ218" s="5" t="s">
        <v>259</v>
      </c>
      <c r="BA218" s="4" t="s">
        <v>101</v>
      </c>
      <c r="BB218" s="4">
        <v>721</v>
      </c>
      <c r="BD218" s="35"/>
      <c r="BE218" s="35"/>
      <c r="BF218" s="2118" t="str">
        <f>Liste!R218</f>
        <v>0338451</v>
      </c>
      <c r="BG218" s="2137">
        <f>IF(AS218&gt;0,Liste!S218,0)</f>
        <v>0</v>
      </c>
      <c r="BH218" s="2118" t="str">
        <f>Liste!T218</f>
        <v>Stk</v>
      </c>
    </row>
    <row r="219" spans="1:60" ht="24.95" customHeight="1" x14ac:dyDescent="0.25">
      <c r="A219" s="29"/>
      <c r="B219" s="46" t="str">
        <f>IF(Liste!O219&gt;0,Liste!O219,Liste!B219)</f>
        <v>GCC vertikal Antriebssystem 1500W Motor rechts verzinkt</v>
      </c>
      <c r="C219" s="2314"/>
      <c r="D219" s="30" t="str">
        <f>Liste!C219</f>
        <v>0308252</v>
      </c>
      <c r="E219" s="2314"/>
      <c r="F219" s="32">
        <f t="shared" si="20"/>
        <v>0</v>
      </c>
      <c r="G219" s="2314"/>
      <c r="H219" s="32">
        <f t="shared" si="21"/>
        <v>0</v>
      </c>
      <c r="I219" s="2314"/>
      <c r="J219" s="32">
        <f t="shared" si="22"/>
        <v>0</v>
      </c>
      <c r="K219" s="2314"/>
      <c r="L219" s="31">
        <f t="shared" si="23"/>
        <v>0</v>
      </c>
      <c r="M219" s="2314"/>
      <c r="N219" s="31" t="str">
        <f>Liste!L219</f>
        <v>Stk</v>
      </c>
      <c r="O219" s="31"/>
      <c r="P219" s="31"/>
      <c r="Q219" s="31">
        <f>Liste!P219</f>
        <v>0</v>
      </c>
      <c r="R219" s="31">
        <f>Liste!N219</f>
        <v>0</v>
      </c>
      <c r="S219" s="7">
        <v>0</v>
      </c>
      <c r="T219" s="7">
        <v>0</v>
      </c>
      <c r="U219" s="7">
        <v>0</v>
      </c>
      <c r="V219" s="7"/>
      <c r="W219" s="60"/>
      <c r="X219" s="60"/>
      <c r="Y219" s="60"/>
      <c r="Z219" s="7"/>
      <c r="AA219" s="7"/>
      <c r="AB219" s="60"/>
      <c r="AC219" s="60"/>
      <c r="AD219" s="60"/>
      <c r="AE219" s="7"/>
      <c r="AF219" s="7"/>
      <c r="AG219" s="7"/>
      <c r="AH219" s="7"/>
      <c r="AI219" s="7"/>
      <c r="AJ219" s="7">
        <f>Liste!X219</f>
        <v>0</v>
      </c>
      <c r="AK219" s="7">
        <f>Liste!Y219</f>
        <v>0</v>
      </c>
      <c r="AL219" s="7"/>
      <c r="AM219" s="7"/>
      <c r="AN219" s="7"/>
      <c r="AO219" s="1113">
        <f>Liste!D219</f>
        <v>0</v>
      </c>
      <c r="AP219" s="1113">
        <f>Liste!F219</f>
        <v>0</v>
      </c>
      <c r="AQ219" s="1113">
        <f>Liste!E219</f>
        <v>0</v>
      </c>
      <c r="AR219" s="1113">
        <f>Liste!G219</f>
        <v>0</v>
      </c>
      <c r="AS219" s="1112">
        <f>Liste!V219</f>
        <v>1</v>
      </c>
      <c r="AT219" s="1">
        <f>Liste!M219</f>
        <v>0</v>
      </c>
      <c r="AZ219" s="5" t="s">
        <v>260</v>
      </c>
      <c r="BA219" s="4" t="s">
        <v>101</v>
      </c>
      <c r="BB219" s="4">
        <v>722</v>
      </c>
      <c r="BD219" s="35"/>
      <c r="BE219" s="35"/>
      <c r="BF219" s="2118" t="str">
        <f>Liste!R219</f>
        <v>0308252</v>
      </c>
      <c r="BG219" s="2137">
        <f>IF(AS219&gt;0,Liste!S219,0)</f>
        <v>0</v>
      </c>
      <c r="BH219" s="2118" t="str">
        <f>Liste!T219</f>
        <v>Stk</v>
      </c>
    </row>
    <row r="220" spans="1:60" ht="24.95" customHeight="1" x14ac:dyDescent="0.25">
      <c r="A220" s="29"/>
      <c r="B220" s="46" t="str">
        <f>IF(Liste!O220&gt;0,Liste!O220,Liste!B220)</f>
        <v>GCC vertikal Antriebssystem 1500W Motor rechts V2A</v>
      </c>
      <c r="C220" s="2314"/>
      <c r="D220" s="30" t="str">
        <f>Liste!C220</f>
        <v>0338252</v>
      </c>
      <c r="E220" s="2314"/>
      <c r="F220" s="32">
        <f t="shared" si="20"/>
        <v>0</v>
      </c>
      <c r="G220" s="2314"/>
      <c r="H220" s="32">
        <f t="shared" si="21"/>
        <v>0</v>
      </c>
      <c r="I220" s="2314"/>
      <c r="J220" s="32">
        <f t="shared" si="22"/>
        <v>0</v>
      </c>
      <c r="K220" s="2314"/>
      <c r="L220" s="31">
        <f t="shared" si="23"/>
        <v>0</v>
      </c>
      <c r="M220" s="2314"/>
      <c r="N220" s="31" t="str">
        <f>Liste!L220</f>
        <v>Stk</v>
      </c>
      <c r="O220" s="31"/>
      <c r="P220" s="31"/>
      <c r="Q220" s="31">
        <f>Liste!P220</f>
        <v>0</v>
      </c>
      <c r="R220" s="31">
        <f>Liste!N220</f>
        <v>0</v>
      </c>
      <c r="S220" s="7">
        <v>0</v>
      </c>
      <c r="T220" s="7">
        <v>0</v>
      </c>
      <c r="U220" s="7">
        <v>0</v>
      </c>
      <c r="V220" s="7"/>
      <c r="W220" s="60"/>
      <c r="X220" s="60"/>
      <c r="Y220" s="60"/>
      <c r="Z220" s="7"/>
      <c r="AA220" s="7"/>
      <c r="AB220" s="60"/>
      <c r="AC220" s="60"/>
      <c r="AD220" s="60"/>
      <c r="AE220" s="7"/>
      <c r="AF220" s="7"/>
      <c r="AG220" s="7"/>
      <c r="AH220" s="7"/>
      <c r="AI220" s="7"/>
      <c r="AJ220" s="7">
        <f>Liste!X220</f>
        <v>0</v>
      </c>
      <c r="AK220" s="7">
        <f>Liste!Y220</f>
        <v>0</v>
      </c>
      <c r="AL220" s="7"/>
      <c r="AM220" s="7"/>
      <c r="AN220" s="7"/>
      <c r="AO220" s="1113">
        <f>Liste!D220</f>
        <v>0</v>
      </c>
      <c r="AP220" s="1113">
        <f>Liste!F220</f>
        <v>0</v>
      </c>
      <c r="AQ220" s="1113">
        <f>Liste!E220</f>
        <v>0</v>
      </c>
      <c r="AR220" s="1113">
        <f>Liste!G220</f>
        <v>0</v>
      </c>
      <c r="AS220" s="1112">
        <f>Liste!V220</f>
        <v>1</v>
      </c>
      <c r="AT220" s="1">
        <f>Liste!M220</f>
        <v>0</v>
      </c>
      <c r="AZ220" s="5" t="s">
        <v>261</v>
      </c>
      <c r="BA220" s="4" t="s">
        <v>101</v>
      </c>
      <c r="BB220" s="4">
        <v>723</v>
      </c>
      <c r="BD220" s="35"/>
      <c r="BE220" s="35"/>
      <c r="BF220" s="2118" t="str">
        <f>Liste!R220</f>
        <v>0338252</v>
      </c>
      <c r="BG220" s="2137">
        <f>IF(AS220&gt;0,Liste!S220,0)</f>
        <v>0</v>
      </c>
      <c r="BH220" s="2118" t="str">
        <f>Liste!T220</f>
        <v>Stk</v>
      </c>
    </row>
    <row r="221" spans="1:60" ht="24.95" customHeight="1" x14ac:dyDescent="0.25">
      <c r="A221" s="29"/>
      <c r="B221" s="46" t="str">
        <f>IF(Liste!O221&gt;0,Liste!O221,Liste!B221)</f>
        <v>GCC vertikal Antriebssystem 1500W Motor links verzinkt</v>
      </c>
      <c r="C221" s="2314"/>
      <c r="D221" s="30" t="str">
        <f>Liste!C221</f>
        <v>0308253</v>
      </c>
      <c r="E221" s="2314"/>
      <c r="F221" s="32">
        <f t="shared" si="20"/>
        <v>0</v>
      </c>
      <c r="G221" s="2314"/>
      <c r="H221" s="32">
        <f t="shared" si="21"/>
        <v>0</v>
      </c>
      <c r="I221" s="2314"/>
      <c r="J221" s="32">
        <f t="shared" si="22"/>
        <v>0</v>
      </c>
      <c r="K221" s="2314"/>
      <c r="L221" s="31">
        <f t="shared" si="23"/>
        <v>0</v>
      </c>
      <c r="M221" s="2314"/>
      <c r="N221" s="31" t="str">
        <f>Liste!L221</f>
        <v>Stk</v>
      </c>
      <c r="O221" s="31"/>
      <c r="P221" s="31"/>
      <c r="Q221" s="31">
        <f>Liste!P221</f>
        <v>0</v>
      </c>
      <c r="R221" s="31">
        <f>Liste!N221</f>
        <v>0</v>
      </c>
      <c r="S221" s="7">
        <v>0</v>
      </c>
      <c r="T221" s="7">
        <v>0</v>
      </c>
      <c r="U221" s="7">
        <v>0</v>
      </c>
      <c r="V221" s="7"/>
      <c r="W221" s="60"/>
      <c r="X221" s="60"/>
      <c r="Y221" s="60"/>
      <c r="Z221" s="7"/>
      <c r="AA221" s="7"/>
      <c r="AB221" s="60"/>
      <c r="AC221" s="60"/>
      <c r="AD221" s="60"/>
      <c r="AE221" s="7"/>
      <c r="AF221" s="7"/>
      <c r="AG221" s="7"/>
      <c r="AH221" s="7"/>
      <c r="AI221" s="7"/>
      <c r="AJ221" s="7">
        <f>Liste!X221</f>
        <v>0</v>
      </c>
      <c r="AK221" s="7">
        <f>Liste!Y221</f>
        <v>0</v>
      </c>
      <c r="AL221" s="7"/>
      <c r="AM221" s="7"/>
      <c r="AN221" s="7"/>
      <c r="AO221" s="1113">
        <f>Liste!D221</f>
        <v>0</v>
      </c>
      <c r="AP221" s="1113">
        <f>Liste!F221</f>
        <v>0</v>
      </c>
      <c r="AQ221" s="1113">
        <f>Liste!E221</f>
        <v>0</v>
      </c>
      <c r="AR221" s="1113">
        <f>Liste!G221</f>
        <v>0</v>
      </c>
      <c r="AS221" s="1112">
        <f>Liste!V221</f>
        <v>1</v>
      </c>
      <c r="AT221" s="1">
        <f>Liste!M221</f>
        <v>0</v>
      </c>
      <c r="AZ221" s="5" t="s">
        <v>262</v>
      </c>
      <c r="BA221" s="4" t="s">
        <v>101</v>
      </c>
      <c r="BB221" s="4">
        <v>724</v>
      </c>
      <c r="BD221" s="35"/>
      <c r="BE221" s="35"/>
      <c r="BF221" s="2118" t="str">
        <f>Liste!R221</f>
        <v>0308253</v>
      </c>
      <c r="BG221" s="2137">
        <f>IF(AS221&gt;0,Liste!S221,0)</f>
        <v>0</v>
      </c>
      <c r="BH221" s="2118" t="str">
        <f>Liste!T221</f>
        <v>Stk</v>
      </c>
    </row>
    <row r="222" spans="1:60" ht="24.95" customHeight="1" x14ac:dyDescent="0.25">
      <c r="A222" s="29"/>
      <c r="B222" s="46" t="str">
        <f>IF(Liste!O222&gt;0,Liste!O222,Liste!B222)</f>
        <v>GCC vertikal Antriebssystem 1500W Motor links V2A</v>
      </c>
      <c r="C222" s="2314"/>
      <c r="D222" s="30" t="str">
        <f>Liste!C222</f>
        <v>0338253</v>
      </c>
      <c r="E222" s="2314"/>
      <c r="F222" s="32">
        <f t="shared" si="20"/>
        <v>0</v>
      </c>
      <c r="G222" s="2314"/>
      <c r="H222" s="32">
        <f t="shared" si="21"/>
        <v>0</v>
      </c>
      <c r="I222" s="2314"/>
      <c r="J222" s="32">
        <f t="shared" si="22"/>
        <v>0</v>
      </c>
      <c r="K222" s="2314"/>
      <c r="L222" s="31">
        <f t="shared" si="23"/>
        <v>0</v>
      </c>
      <c r="M222" s="2314"/>
      <c r="N222" s="31" t="str">
        <f>Liste!L222</f>
        <v>Stk</v>
      </c>
      <c r="O222" s="31"/>
      <c r="P222" s="31"/>
      <c r="Q222" s="31">
        <f>Liste!P222</f>
        <v>0</v>
      </c>
      <c r="R222" s="31">
        <f>Liste!N222</f>
        <v>0</v>
      </c>
      <c r="S222" s="7">
        <v>0</v>
      </c>
      <c r="T222" s="7">
        <v>0</v>
      </c>
      <c r="U222" s="7">
        <v>0</v>
      </c>
      <c r="V222" s="7"/>
      <c r="W222" s="60"/>
      <c r="X222" s="60"/>
      <c r="Y222" s="60"/>
      <c r="Z222" s="7"/>
      <c r="AA222" s="7"/>
      <c r="AB222" s="60"/>
      <c r="AC222" s="60"/>
      <c r="AD222" s="60"/>
      <c r="AE222" s="7"/>
      <c r="AF222" s="7"/>
      <c r="AG222" s="7"/>
      <c r="AH222" s="7"/>
      <c r="AI222" s="7"/>
      <c r="AJ222" s="7">
        <f>Liste!X222</f>
        <v>0</v>
      </c>
      <c r="AK222" s="7">
        <f>Liste!Y222</f>
        <v>0</v>
      </c>
      <c r="AL222" s="7"/>
      <c r="AM222" s="7"/>
      <c r="AN222" s="7"/>
      <c r="AO222" s="1113">
        <f>Liste!D222</f>
        <v>0</v>
      </c>
      <c r="AP222" s="1113">
        <f>Liste!F222</f>
        <v>0</v>
      </c>
      <c r="AQ222" s="1113">
        <f>Liste!E222</f>
        <v>0</v>
      </c>
      <c r="AR222" s="1113">
        <f>Liste!G222</f>
        <v>0</v>
      </c>
      <c r="AS222" s="1112">
        <f>Liste!V222</f>
        <v>1</v>
      </c>
      <c r="AT222" s="1">
        <f>Liste!M222</f>
        <v>0</v>
      </c>
      <c r="AZ222" s="5" t="s">
        <v>31307</v>
      </c>
      <c r="BA222" s="4" t="s">
        <v>101</v>
      </c>
      <c r="BB222" s="4">
        <v>725</v>
      </c>
      <c r="BD222" s="35"/>
      <c r="BE222" s="35"/>
      <c r="BF222" s="2118" t="str">
        <f>Liste!R222</f>
        <v>0338253</v>
      </c>
      <c r="BG222" s="2137">
        <f>IF(AS222&gt;0,Liste!S222,0)</f>
        <v>0</v>
      </c>
      <c r="BH222" s="2118" t="str">
        <f>Liste!T222</f>
        <v>Stk</v>
      </c>
    </row>
    <row r="223" spans="1:60" ht="24.95" customHeight="1" x14ac:dyDescent="0.25">
      <c r="A223" s="29"/>
      <c r="B223" s="46" t="str">
        <f>IF(Liste!O223&gt;0,Liste!O223,Liste!B223)</f>
        <v>GCC vertikal Antriebssystem 2x 1500W Motor verzinkt (0308379)</v>
      </c>
      <c r="C223" s="2314"/>
      <c r="D223" s="30" t="str">
        <f>Liste!C223</f>
        <v>0308379</v>
      </c>
      <c r="E223" s="2314"/>
      <c r="F223" s="32">
        <f t="shared" si="20"/>
        <v>0</v>
      </c>
      <c r="G223" s="2314"/>
      <c r="H223" s="32">
        <f t="shared" si="21"/>
        <v>0</v>
      </c>
      <c r="I223" s="2314"/>
      <c r="J223" s="32">
        <f t="shared" si="22"/>
        <v>0</v>
      </c>
      <c r="K223" s="2314"/>
      <c r="L223" s="31">
        <f t="shared" si="23"/>
        <v>0</v>
      </c>
      <c r="M223" s="2314"/>
      <c r="N223" s="31" t="str">
        <f>Liste!L223</f>
        <v>Stk</v>
      </c>
      <c r="O223" s="31"/>
      <c r="P223" s="31"/>
      <c r="Q223" s="31">
        <f>Liste!P223</f>
        <v>0</v>
      </c>
      <c r="R223" s="31">
        <f>Liste!N223</f>
        <v>0</v>
      </c>
      <c r="S223" s="7">
        <v>0</v>
      </c>
      <c r="T223" s="7">
        <v>0</v>
      </c>
      <c r="U223" s="7">
        <v>0</v>
      </c>
      <c r="V223" s="7"/>
      <c r="W223" s="60"/>
      <c r="X223" s="60"/>
      <c r="Y223" s="60"/>
      <c r="Z223" s="7"/>
      <c r="AA223" s="7"/>
      <c r="AB223" s="60"/>
      <c r="AC223" s="60"/>
      <c r="AD223" s="60"/>
      <c r="AE223" s="7"/>
      <c r="AF223" s="7"/>
      <c r="AG223" s="7"/>
      <c r="AH223" s="7"/>
      <c r="AI223" s="7"/>
      <c r="AJ223" s="7">
        <f>Liste!X223</f>
        <v>0</v>
      </c>
      <c r="AK223" s="7">
        <f>Liste!Y223</f>
        <v>0</v>
      </c>
      <c r="AL223" s="7"/>
      <c r="AM223" s="7"/>
      <c r="AN223" s="7"/>
      <c r="AO223" s="1113">
        <f>Liste!D223</f>
        <v>0</v>
      </c>
      <c r="AP223" s="1113">
        <f>Liste!F223</f>
        <v>0</v>
      </c>
      <c r="AQ223" s="1113">
        <f>Liste!E223</f>
        <v>0</v>
      </c>
      <c r="AR223" s="1113">
        <f>Liste!G223</f>
        <v>0</v>
      </c>
      <c r="AS223" s="1112">
        <f>Liste!V223</f>
        <v>1</v>
      </c>
      <c r="AT223" s="1">
        <f>Liste!M223</f>
        <v>0</v>
      </c>
      <c r="AZ223" s="5" t="s">
        <v>31308</v>
      </c>
      <c r="BA223" s="4" t="s">
        <v>101</v>
      </c>
      <c r="BB223" s="4">
        <v>726</v>
      </c>
      <c r="BD223" s="35"/>
      <c r="BE223" s="35"/>
      <c r="BF223" s="2118" t="str">
        <f>Liste!R223</f>
        <v>0308379</v>
      </c>
      <c r="BG223" s="2137">
        <f>IF(AS223&gt;0,Liste!S223,0)</f>
        <v>0</v>
      </c>
      <c r="BH223" s="2118" t="str">
        <f>Liste!T223</f>
        <v>Stk</v>
      </c>
    </row>
    <row r="224" spans="1:60" ht="24.95" customHeight="1" x14ac:dyDescent="0.25">
      <c r="A224" s="29"/>
      <c r="B224" s="46" t="str">
        <f>IF(Liste!O224&gt;0,Liste!O224,Liste!B224)</f>
        <v>GCC vertikal Antriebssystem 2x 1500W Motor V2A (0338379)</v>
      </c>
      <c r="C224" s="2314"/>
      <c r="D224" s="30" t="str">
        <f>Liste!C224</f>
        <v>Bauteil nicht vorhanden</v>
      </c>
      <c r="E224" s="2314"/>
      <c r="F224" s="32">
        <f t="shared" si="20"/>
        <v>0</v>
      </c>
      <c r="G224" s="2314"/>
      <c r="H224" s="32">
        <f t="shared" si="21"/>
        <v>0</v>
      </c>
      <c r="I224" s="2314"/>
      <c r="J224" s="32">
        <f t="shared" si="22"/>
        <v>0</v>
      </c>
      <c r="K224" s="2314"/>
      <c r="L224" s="31">
        <f t="shared" si="23"/>
        <v>0</v>
      </c>
      <c r="M224" s="2314"/>
      <c r="N224" s="31" t="str">
        <f>Liste!L224</f>
        <v>Stk</v>
      </c>
      <c r="O224" s="31"/>
      <c r="P224" s="31"/>
      <c r="Q224" s="31">
        <f>Liste!P224</f>
        <v>0</v>
      </c>
      <c r="R224" s="31">
        <f>Liste!N224</f>
        <v>0</v>
      </c>
      <c r="S224" s="7">
        <v>0</v>
      </c>
      <c r="T224" s="7">
        <v>0</v>
      </c>
      <c r="U224" s="7">
        <v>0</v>
      </c>
      <c r="V224" s="7"/>
      <c r="W224" s="60"/>
      <c r="X224" s="60"/>
      <c r="Y224" s="60"/>
      <c r="Z224" s="7"/>
      <c r="AA224" s="7"/>
      <c r="AB224" s="60"/>
      <c r="AC224" s="60"/>
      <c r="AD224" s="60"/>
      <c r="AE224" s="7"/>
      <c r="AF224" s="7"/>
      <c r="AG224" s="7"/>
      <c r="AH224" s="7"/>
      <c r="AI224" s="7"/>
      <c r="AJ224" s="7">
        <f>Liste!X224</f>
        <v>0</v>
      </c>
      <c r="AK224" s="7">
        <f>Liste!Y224</f>
        <v>0</v>
      </c>
      <c r="AL224" s="7"/>
      <c r="AM224" s="7"/>
      <c r="AN224" s="7"/>
      <c r="AO224" s="1113">
        <f>Liste!D224</f>
        <v>0</v>
      </c>
      <c r="AP224" s="1113">
        <f>Liste!F224</f>
        <v>0</v>
      </c>
      <c r="AQ224" s="1113">
        <f>Liste!E224</f>
        <v>0</v>
      </c>
      <c r="AR224" s="1113">
        <f>Liste!G224</f>
        <v>0</v>
      </c>
      <c r="AS224" s="1112">
        <f>Liste!V224</f>
        <v>0</v>
      </c>
      <c r="AT224" s="1">
        <f>Liste!M224</f>
        <v>0</v>
      </c>
      <c r="AZ224" s="5" t="s">
        <v>31309</v>
      </c>
      <c r="BA224" s="4" t="s">
        <v>101</v>
      </c>
      <c r="BB224" s="4">
        <v>727</v>
      </c>
      <c r="BD224" s="35"/>
      <c r="BE224" s="35"/>
      <c r="BF224" s="2118" t="str">
        <f>Liste!R224</f>
        <v>Bauteil nicht vorhanden</v>
      </c>
      <c r="BG224" s="2137">
        <f>IF(AS224&gt;0,Liste!S224,0)</f>
        <v>0</v>
      </c>
      <c r="BH224" s="2118">
        <f>Liste!T224</f>
        <v>0</v>
      </c>
    </row>
    <row r="225" spans="1:60" ht="24.95" customHeight="1" x14ac:dyDescent="0.25">
      <c r="A225" s="29"/>
      <c r="B225" s="46" t="str">
        <f>IF(Liste!O225&gt;0,Liste!O225,Liste!B225)</f>
        <v>Hauptschalter Set Siemens ABM Antrieb</v>
      </c>
      <c r="C225" s="2314"/>
      <c r="D225" s="30" t="str">
        <f>Liste!C225</f>
        <v>0308477</v>
      </c>
      <c r="E225" s="2314"/>
      <c r="F225" s="32">
        <f t="shared" ref="F225" si="24">IF(AS225&gt;0,AO225,0)</f>
        <v>1</v>
      </c>
      <c r="G225" s="2314"/>
      <c r="H225" s="32">
        <f t="shared" ref="H225" si="25">IF(N225=$P$1,0,AP225)</f>
        <v>0</v>
      </c>
      <c r="I225" s="2314"/>
      <c r="J225" s="32">
        <f t="shared" ref="J225" si="26">IF(OR(N225=$P$1,N225=$Q$1),0,AQ225)</f>
        <v>0</v>
      </c>
      <c r="K225" s="2314"/>
      <c r="L225" s="31">
        <f t="shared" ref="L225" si="27">IF(OR(N225=$P$1,N225=$Q$1,$R$1=N225),0,AR225)</f>
        <v>0</v>
      </c>
      <c r="M225" s="2314"/>
      <c r="N225" s="31" t="str">
        <f>Liste!L225</f>
        <v>Stk</v>
      </c>
      <c r="O225" s="31"/>
      <c r="P225" s="31"/>
      <c r="Q225" s="31">
        <f>Liste!P225</f>
        <v>0</v>
      </c>
      <c r="R225" s="31">
        <f>Liste!N225</f>
        <v>0</v>
      </c>
      <c r="S225" s="7">
        <v>0</v>
      </c>
      <c r="T225" s="7">
        <v>0</v>
      </c>
      <c r="U225" s="7">
        <v>0</v>
      </c>
      <c r="V225" s="7"/>
      <c r="W225" s="60"/>
      <c r="X225" s="60"/>
      <c r="Y225" s="60"/>
      <c r="Z225" s="7"/>
      <c r="AA225" s="7"/>
      <c r="AB225" s="60"/>
      <c r="AC225" s="60"/>
      <c r="AD225" s="60"/>
      <c r="AE225" s="7"/>
      <c r="AF225" s="7"/>
      <c r="AG225" s="7"/>
      <c r="AH225" s="7"/>
      <c r="AI225" s="7"/>
      <c r="AJ225" s="7">
        <f>Liste!X225</f>
        <v>0</v>
      </c>
      <c r="AK225" s="7">
        <f>Liste!Y225</f>
        <v>0</v>
      </c>
      <c r="AL225" s="7"/>
      <c r="AM225" s="7"/>
      <c r="AN225" s="7"/>
      <c r="AO225" s="1113">
        <f>Liste!D225</f>
        <v>1</v>
      </c>
      <c r="AP225" s="1113">
        <f>Liste!F225</f>
        <v>0</v>
      </c>
      <c r="AQ225" s="1113">
        <f>Liste!E225</f>
        <v>0</v>
      </c>
      <c r="AR225" s="1113">
        <f>Liste!G225</f>
        <v>0</v>
      </c>
      <c r="AS225" s="1112">
        <f>Liste!V225</f>
        <v>1</v>
      </c>
      <c r="AT225" s="1">
        <f>Liste!M225</f>
        <v>0</v>
      </c>
      <c r="AZ225" s="5" t="s">
        <v>31310</v>
      </c>
      <c r="BA225" s="4" t="s">
        <v>101</v>
      </c>
      <c r="BB225" s="4">
        <v>728</v>
      </c>
      <c r="BD225" s="35"/>
      <c r="BE225" s="35"/>
      <c r="BF225" s="2118" t="str">
        <f>Liste!R225</f>
        <v>0308477</v>
      </c>
      <c r="BG225" s="2137">
        <f>IF(AS225&gt;0,Liste!S225,0)</f>
        <v>1</v>
      </c>
      <c r="BH225" s="2118" t="str">
        <f>Liste!T225</f>
        <v>Stk</v>
      </c>
    </row>
    <row r="226" spans="1:60" ht="24.95" customHeight="1" x14ac:dyDescent="0.25">
      <c r="A226" s="29"/>
      <c r="B226" s="46" t="str">
        <f>IF(Liste!O226&gt;0,Liste!O226,Liste!B226)</f>
        <v>Antrieb GCC vertikal Variante</v>
      </c>
      <c r="C226" s="2314"/>
      <c r="D226" s="30" t="str">
        <f>Liste!C226</f>
        <v>0308200</v>
      </c>
      <c r="E226" s="2314"/>
      <c r="F226" s="32">
        <f t="shared" si="20"/>
        <v>0</v>
      </c>
      <c r="G226" s="2314"/>
      <c r="H226" s="32">
        <f t="shared" si="21"/>
        <v>0</v>
      </c>
      <c r="I226" s="2314"/>
      <c r="J226" s="32">
        <f t="shared" si="22"/>
        <v>0</v>
      </c>
      <c r="K226" s="2314"/>
      <c r="L226" s="31">
        <f t="shared" si="23"/>
        <v>0</v>
      </c>
      <c r="M226" s="2314"/>
      <c r="N226" s="31" t="str">
        <f>Liste!L226</f>
        <v>Stk</v>
      </c>
      <c r="O226" s="31"/>
      <c r="P226" s="31"/>
      <c r="Q226" s="31">
        <f>Liste!P226</f>
        <v>0</v>
      </c>
      <c r="R226" s="31">
        <f>Liste!N226</f>
        <v>0</v>
      </c>
      <c r="S226" s="7">
        <v>0</v>
      </c>
      <c r="T226" s="7">
        <v>0</v>
      </c>
      <c r="U226" s="7">
        <v>0</v>
      </c>
      <c r="V226" s="7"/>
      <c r="W226" s="60"/>
      <c r="X226" s="60"/>
      <c r="Y226" s="60"/>
      <c r="Z226" s="7"/>
      <c r="AA226" s="7"/>
      <c r="AB226" s="60"/>
      <c r="AC226" s="60"/>
      <c r="AD226" s="60"/>
      <c r="AE226" s="7"/>
      <c r="AF226" s="7"/>
      <c r="AG226" s="7"/>
      <c r="AH226" s="7"/>
      <c r="AI226" s="7"/>
      <c r="AJ226" s="7">
        <f>Liste!X226</f>
        <v>0</v>
      </c>
      <c r="AK226" s="7">
        <f>Liste!Y226</f>
        <v>0</v>
      </c>
      <c r="AL226" s="7"/>
      <c r="AM226" s="7"/>
      <c r="AN226" s="7"/>
      <c r="AO226" s="1113">
        <f>Liste!D226</f>
        <v>0</v>
      </c>
      <c r="AP226" s="1113">
        <f>Liste!F226</f>
        <v>0</v>
      </c>
      <c r="AQ226" s="1113">
        <f>Liste!E226</f>
        <v>0</v>
      </c>
      <c r="AR226" s="1113">
        <f>Liste!G226</f>
        <v>0</v>
      </c>
      <c r="AS226" s="1112">
        <f>Liste!V226</f>
        <v>1</v>
      </c>
      <c r="AT226" s="1">
        <f>Liste!M226</f>
        <v>0</v>
      </c>
      <c r="AZ226" s="5" t="s">
        <v>31310</v>
      </c>
      <c r="BA226" s="4" t="s">
        <v>101</v>
      </c>
      <c r="BB226" s="4">
        <v>728</v>
      </c>
      <c r="BD226" s="35"/>
      <c r="BE226" s="35"/>
      <c r="BF226" s="2118" t="str">
        <f>Liste!R226</f>
        <v>0308200</v>
      </c>
      <c r="BG226" s="2137">
        <f>IF(AS226&gt;0,Liste!S226,0)</f>
        <v>0</v>
      </c>
      <c r="BH226" s="2118">
        <f>Liste!T226</f>
        <v>0</v>
      </c>
    </row>
    <row r="227" spans="1:60" ht="24.95" customHeight="1" x14ac:dyDescent="0.25">
      <c r="A227" s="29"/>
      <c r="B227" s="46" t="str">
        <f>IF(Liste!O227&gt;0,Liste!O227,Liste!B227)</f>
        <v>Gurt 35</v>
      </c>
      <c r="C227" s="2314"/>
      <c r="D227" s="30" t="str">
        <f>Liste!C227</f>
        <v>0308479</v>
      </c>
      <c r="E227" s="2314"/>
      <c r="F227" s="32">
        <f t="shared" si="20"/>
        <v>2</v>
      </c>
      <c r="G227" s="2314"/>
      <c r="H227" s="32">
        <f t="shared" si="21"/>
        <v>0</v>
      </c>
      <c r="I227" s="2314"/>
      <c r="J227" s="32">
        <f t="shared" si="22"/>
        <v>0</v>
      </c>
      <c r="K227" s="2314"/>
      <c r="L227" s="31">
        <f t="shared" si="23"/>
        <v>0</v>
      </c>
      <c r="M227" s="2314"/>
      <c r="N227" s="31" t="str">
        <f>Liste!L227</f>
        <v>Stk</v>
      </c>
      <c r="O227" s="31"/>
      <c r="P227" s="31"/>
      <c r="Q227" s="31">
        <f>Liste!P227</f>
        <v>0</v>
      </c>
      <c r="R227" s="31">
        <f>Liste!N227</f>
        <v>0</v>
      </c>
      <c r="S227" s="7">
        <v>0</v>
      </c>
      <c r="T227" s="7">
        <v>0</v>
      </c>
      <c r="U227" s="7">
        <v>0</v>
      </c>
      <c r="V227" s="7"/>
      <c r="W227" s="60"/>
      <c r="X227" s="60"/>
      <c r="Y227" s="60"/>
      <c r="Z227" s="7"/>
      <c r="AA227" s="7"/>
      <c r="AB227" s="60"/>
      <c r="AC227" s="60"/>
      <c r="AD227" s="60"/>
      <c r="AE227" s="7"/>
      <c r="AF227" s="7"/>
      <c r="AG227" s="7"/>
      <c r="AH227" s="7"/>
      <c r="AI227" s="7"/>
      <c r="AJ227" s="7">
        <f>Liste!X227</f>
        <v>0</v>
      </c>
      <c r="AK227" s="7">
        <f>Liste!Y227</f>
        <v>0</v>
      </c>
      <c r="AL227" s="7"/>
      <c r="AM227" s="7"/>
      <c r="AN227" s="7"/>
      <c r="AO227" s="1113">
        <f>Liste!D227</f>
        <v>2</v>
      </c>
      <c r="AP227" s="1113">
        <f>Liste!F227</f>
        <v>0</v>
      </c>
      <c r="AQ227" s="1113">
        <f>Liste!E227</f>
        <v>35</v>
      </c>
      <c r="AR227" s="1113">
        <f>Liste!G227</f>
        <v>0</v>
      </c>
      <c r="AS227" s="1112">
        <f>Liste!V227</f>
        <v>1</v>
      </c>
      <c r="AT227" s="1">
        <f>Liste!M227</f>
        <v>0</v>
      </c>
      <c r="AZ227" s="5" t="s">
        <v>263</v>
      </c>
      <c r="BA227" s="4" t="s">
        <v>101</v>
      </c>
      <c r="BB227" s="4">
        <v>729</v>
      </c>
      <c r="BD227" s="35"/>
      <c r="BE227" s="35"/>
      <c r="BF227" s="2118" t="str">
        <f>Liste!R227</f>
        <v>0308479</v>
      </c>
      <c r="BG227" s="2137">
        <f>IF(AS227&gt;0,Liste!S227,0)</f>
        <v>1.75</v>
      </c>
      <c r="BH227" s="2118" t="str">
        <f>Liste!T227</f>
        <v>m</v>
      </c>
    </row>
    <row r="228" spans="1:60" ht="24.95" customHeight="1" x14ac:dyDescent="0.25">
      <c r="A228" s="29"/>
      <c r="B228" s="46" t="str">
        <f>IF(Liste!O228&gt;0,Liste!O228,Liste!B228)</f>
        <v>Gurt 74</v>
      </c>
      <c r="C228" s="2314"/>
      <c r="D228" s="30" t="str">
        <f>Liste!C228</f>
        <v>0308480</v>
      </c>
      <c r="E228" s="2314"/>
      <c r="F228" s="32">
        <f t="shared" si="20"/>
        <v>0</v>
      </c>
      <c r="G228" s="2314"/>
      <c r="H228" s="32">
        <f t="shared" si="21"/>
        <v>0</v>
      </c>
      <c r="I228" s="2314"/>
      <c r="J228" s="32">
        <f t="shared" si="22"/>
        <v>0</v>
      </c>
      <c r="K228" s="2314"/>
      <c r="L228" s="31">
        <f t="shared" si="23"/>
        <v>0</v>
      </c>
      <c r="M228" s="2314"/>
      <c r="N228" s="31" t="str">
        <f>Liste!L228</f>
        <v>Stk</v>
      </c>
      <c r="O228" s="31"/>
      <c r="P228" s="31"/>
      <c r="Q228" s="31">
        <f>Liste!P228</f>
        <v>0</v>
      </c>
      <c r="R228" s="31">
        <f>Liste!N228</f>
        <v>0</v>
      </c>
      <c r="S228" s="7">
        <v>0</v>
      </c>
      <c r="T228" s="7">
        <v>0</v>
      </c>
      <c r="U228" s="7">
        <v>0</v>
      </c>
      <c r="V228" s="7"/>
      <c r="W228" s="60"/>
      <c r="X228" s="60"/>
      <c r="Y228" s="60"/>
      <c r="Z228" s="7"/>
      <c r="AA228" s="7"/>
      <c r="AB228" s="60"/>
      <c r="AC228" s="60"/>
      <c r="AD228" s="60"/>
      <c r="AE228" s="7"/>
      <c r="AF228" s="7"/>
      <c r="AG228" s="7"/>
      <c r="AH228" s="7"/>
      <c r="AI228" s="7"/>
      <c r="AJ228" s="7">
        <f>Liste!X228</f>
        <v>0</v>
      </c>
      <c r="AK228" s="7">
        <f>Liste!Y228</f>
        <v>0</v>
      </c>
      <c r="AL228" s="7"/>
      <c r="AM228" s="7"/>
      <c r="AN228" s="7"/>
      <c r="AO228" s="1113">
        <f>Liste!D228</f>
        <v>0</v>
      </c>
      <c r="AP228" s="1113">
        <f>Liste!F228</f>
        <v>0</v>
      </c>
      <c r="AQ228" s="1113">
        <f>Liste!E228</f>
        <v>74</v>
      </c>
      <c r="AR228" s="1113">
        <f>Liste!G228</f>
        <v>0</v>
      </c>
      <c r="AS228" s="1112">
        <f>Liste!V228</f>
        <v>1</v>
      </c>
      <c r="AT228" s="1">
        <f>Liste!M228</f>
        <v>0</v>
      </c>
      <c r="AZ228" s="5" t="s">
        <v>264</v>
      </c>
      <c r="BA228" s="4" t="s">
        <v>101</v>
      </c>
      <c r="BB228" s="4">
        <v>730</v>
      </c>
      <c r="BD228" s="35"/>
      <c r="BE228" s="35"/>
      <c r="BF228" s="2118" t="str">
        <f>Liste!R228</f>
        <v>0308480</v>
      </c>
      <c r="BG228" s="2137">
        <f>IF(AS228&gt;0,Liste!S228,0)</f>
        <v>1.75</v>
      </c>
      <c r="BH228" s="2118" t="str">
        <f>Liste!T228</f>
        <v>m</v>
      </c>
    </row>
    <row r="229" spans="1:60" ht="24.95" customHeight="1" x14ac:dyDescent="0.25">
      <c r="A229" s="29"/>
      <c r="B229" s="46" t="str">
        <f>IF(Liste!O229&gt;0,Liste!O229,Liste!B229)</f>
        <v>Gurt 35</v>
      </c>
      <c r="C229" s="2314"/>
      <c r="D229" s="30" t="str">
        <f>Liste!C229</f>
        <v>0308479</v>
      </c>
      <c r="E229" s="2314"/>
      <c r="F229" s="32">
        <f t="shared" si="20"/>
        <v>0</v>
      </c>
      <c r="G229" s="2314"/>
      <c r="H229" s="32">
        <f t="shared" si="21"/>
        <v>0</v>
      </c>
      <c r="I229" s="2314"/>
      <c r="J229" s="32">
        <f t="shared" si="22"/>
        <v>0</v>
      </c>
      <c r="K229" s="2314"/>
      <c r="L229" s="31">
        <f t="shared" si="23"/>
        <v>0</v>
      </c>
      <c r="M229" s="2314"/>
      <c r="N229" s="31">
        <f>Liste!L229</f>
        <v>0</v>
      </c>
      <c r="O229" s="31"/>
      <c r="P229" s="31"/>
      <c r="Q229" s="31">
        <f>Liste!P229</f>
        <v>0</v>
      </c>
      <c r="R229" s="31">
        <f>Liste!N229</f>
        <v>0</v>
      </c>
      <c r="S229" s="7">
        <v>0</v>
      </c>
      <c r="T229" s="7">
        <v>0</v>
      </c>
      <c r="U229" s="7">
        <v>0</v>
      </c>
      <c r="V229" s="7"/>
      <c r="W229" s="60"/>
      <c r="X229" s="60"/>
      <c r="Y229" s="60"/>
      <c r="Z229" s="7"/>
      <c r="AA229" s="7"/>
      <c r="AB229" s="60"/>
      <c r="AC229" s="60"/>
      <c r="AD229" s="60"/>
      <c r="AE229" s="7"/>
      <c r="AF229" s="7"/>
      <c r="AG229" s="7"/>
      <c r="AH229" s="7"/>
      <c r="AI229" s="7"/>
      <c r="AJ229" s="7">
        <f>Liste!X229</f>
        <v>0</v>
      </c>
      <c r="AK229" s="7">
        <f>Liste!Y229</f>
        <v>0</v>
      </c>
      <c r="AL229" s="7"/>
      <c r="AM229" s="7"/>
      <c r="AN229" s="7"/>
      <c r="AO229" s="1113">
        <f>Liste!D229</f>
        <v>0</v>
      </c>
      <c r="AP229" s="1113">
        <f>Liste!F229</f>
        <v>0</v>
      </c>
      <c r="AQ229" s="1113">
        <f>Liste!E229</f>
        <v>0</v>
      </c>
      <c r="AR229" s="1113">
        <f>Liste!G229</f>
        <v>0</v>
      </c>
      <c r="AS229" s="1112">
        <f>Liste!V229</f>
        <v>0</v>
      </c>
      <c r="AT229" s="1">
        <f>Liste!M229</f>
        <v>0</v>
      </c>
      <c r="AZ229" s="5" t="s">
        <v>265</v>
      </c>
      <c r="BA229" s="4" t="s">
        <v>101</v>
      </c>
      <c r="BB229" s="4">
        <v>731</v>
      </c>
      <c r="BD229" s="35"/>
      <c r="BE229" s="35"/>
      <c r="BF229" s="2118" t="str">
        <f>Liste!R229</f>
        <v>0308479</v>
      </c>
      <c r="BG229" s="2137">
        <f>IF(AS229&gt;0,Liste!S229,0)</f>
        <v>0</v>
      </c>
      <c r="BH229" s="2118">
        <f>Liste!T229</f>
        <v>0</v>
      </c>
    </row>
    <row r="230" spans="1:60" ht="24.95" customHeight="1" x14ac:dyDescent="0.25">
      <c r="A230" s="29"/>
      <c r="B230" s="46" t="str">
        <f>IF(Liste!O230&gt;0,Liste!O230,Liste!B230)</f>
        <v>Kit Anschraubwinkel Griffschutz Antrieb verz.</v>
      </c>
      <c r="C230" s="2314"/>
      <c r="D230" s="30" t="str">
        <f>Liste!C230</f>
        <v>0308528</v>
      </c>
      <c r="E230" s="2314"/>
      <c r="F230" s="32">
        <f t="shared" si="20"/>
        <v>0</v>
      </c>
      <c r="G230" s="2314"/>
      <c r="H230" s="32">
        <f t="shared" si="21"/>
        <v>0</v>
      </c>
      <c r="I230" s="2314"/>
      <c r="J230" s="32">
        <f t="shared" si="22"/>
        <v>0</v>
      </c>
      <c r="K230" s="2314"/>
      <c r="L230" s="31">
        <f t="shared" si="23"/>
        <v>0</v>
      </c>
      <c r="M230" s="2314"/>
      <c r="N230" s="31" t="str">
        <f>Liste!L230</f>
        <v>Stk</v>
      </c>
      <c r="O230" s="31"/>
      <c r="P230" s="31"/>
      <c r="Q230" s="31">
        <f>Liste!P230</f>
        <v>0</v>
      </c>
      <c r="R230" s="31">
        <f>Liste!N230</f>
        <v>0</v>
      </c>
      <c r="S230" s="7">
        <v>0</v>
      </c>
      <c r="T230" s="7">
        <v>0</v>
      </c>
      <c r="U230" s="7">
        <v>0</v>
      </c>
      <c r="V230" s="7"/>
      <c r="W230" s="60"/>
      <c r="X230" s="60"/>
      <c r="Y230" s="60"/>
      <c r="Z230" s="7"/>
      <c r="AA230" s="7"/>
      <c r="AB230" s="60"/>
      <c r="AC230" s="60"/>
      <c r="AD230" s="60"/>
      <c r="AE230" s="7"/>
      <c r="AF230" s="7"/>
      <c r="AG230" s="7"/>
      <c r="AH230" s="7"/>
      <c r="AI230" s="7"/>
      <c r="AJ230" s="7">
        <f>Liste!X230</f>
        <v>0</v>
      </c>
      <c r="AK230" s="7">
        <f>Liste!Y230</f>
        <v>0</v>
      </c>
      <c r="AL230" s="7"/>
      <c r="AM230" s="7"/>
      <c r="AN230" s="7"/>
      <c r="AO230" s="1113">
        <f>Liste!D230</f>
        <v>0</v>
      </c>
      <c r="AP230" s="1113">
        <f>Liste!F230</f>
        <v>170</v>
      </c>
      <c r="AQ230" s="1113">
        <f>Liste!E230</f>
        <v>120</v>
      </c>
      <c r="AR230" s="1113">
        <f>Liste!G230</f>
        <v>30</v>
      </c>
      <c r="AS230" s="1112">
        <f>Liste!V230</f>
        <v>1</v>
      </c>
      <c r="AT230" s="1">
        <f>Liste!M230</f>
        <v>0</v>
      </c>
      <c r="AZ230" s="5" t="s">
        <v>266</v>
      </c>
      <c r="BA230" s="4" t="s">
        <v>101</v>
      </c>
      <c r="BB230" s="4">
        <v>732</v>
      </c>
      <c r="BD230" s="35"/>
      <c r="BE230" s="35"/>
      <c r="BF230" s="2118" t="str">
        <f>Liste!R230</f>
        <v>0308528</v>
      </c>
      <c r="BG230" s="2137">
        <f>IF(AS230&gt;0,Liste!S230,0)</f>
        <v>0</v>
      </c>
      <c r="BH230" s="2118" t="str">
        <f>Liste!T230</f>
        <v>Stk</v>
      </c>
    </row>
    <row r="231" spans="1:60" ht="24.95" customHeight="1" x14ac:dyDescent="0.25">
      <c r="A231" s="29"/>
      <c r="B231" s="46" t="str">
        <f>IF(Liste!O231&gt;0,Liste!O231,Liste!B231)</f>
        <v>Kit Anschraubwinkel Griffschutz Antrieb V2A</v>
      </c>
      <c r="C231" s="2314"/>
      <c r="D231" s="30" t="str">
        <f>Liste!C231</f>
        <v>0338528</v>
      </c>
      <c r="E231" s="2314"/>
      <c r="F231" s="32">
        <f t="shared" si="20"/>
        <v>0</v>
      </c>
      <c r="G231" s="2314"/>
      <c r="H231" s="32">
        <f t="shared" si="21"/>
        <v>0</v>
      </c>
      <c r="I231" s="2314"/>
      <c r="J231" s="32">
        <f t="shared" si="22"/>
        <v>0</v>
      </c>
      <c r="K231" s="2314"/>
      <c r="L231" s="31">
        <f t="shared" si="23"/>
        <v>0</v>
      </c>
      <c r="M231" s="2314"/>
      <c r="N231" s="31" t="str">
        <f>Liste!L231</f>
        <v>Stk</v>
      </c>
      <c r="O231" s="31"/>
      <c r="P231" s="31"/>
      <c r="Q231" s="31">
        <f>Liste!P231</f>
        <v>0</v>
      </c>
      <c r="R231" s="31">
        <f>Liste!N231</f>
        <v>0</v>
      </c>
      <c r="S231" s="7">
        <v>0</v>
      </c>
      <c r="T231" s="7">
        <v>0</v>
      </c>
      <c r="U231" s="7">
        <v>0</v>
      </c>
      <c r="V231" s="7"/>
      <c r="W231" s="60"/>
      <c r="X231" s="60"/>
      <c r="Y231" s="60"/>
      <c r="Z231" s="7"/>
      <c r="AA231" s="7"/>
      <c r="AB231" s="60"/>
      <c r="AC231" s="60"/>
      <c r="AD231" s="60"/>
      <c r="AE231" s="7"/>
      <c r="AF231" s="7"/>
      <c r="AG231" s="7"/>
      <c r="AH231" s="7"/>
      <c r="AI231" s="7"/>
      <c r="AJ231" s="7">
        <f>Liste!X231</f>
        <v>0</v>
      </c>
      <c r="AK231" s="7">
        <f>Liste!Y231</f>
        <v>0</v>
      </c>
      <c r="AL231" s="7"/>
      <c r="AM231" s="7"/>
      <c r="AN231" s="7"/>
      <c r="AO231" s="1113">
        <f>Liste!D231</f>
        <v>0</v>
      </c>
      <c r="AP231" s="1113">
        <f>Liste!F231</f>
        <v>170</v>
      </c>
      <c r="AQ231" s="1113">
        <f>Liste!E231</f>
        <v>120</v>
      </c>
      <c r="AR231" s="1113">
        <f>Liste!G231</f>
        <v>30</v>
      </c>
      <c r="AS231" s="1112">
        <f>Liste!V231</f>
        <v>1</v>
      </c>
      <c r="AT231" s="1">
        <f>Liste!M231</f>
        <v>0</v>
      </c>
      <c r="AZ231" s="5" t="s">
        <v>267</v>
      </c>
      <c r="BA231" s="4" t="s">
        <v>101</v>
      </c>
      <c r="BB231" s="4">
        <v>733</v>
      </c>
      <c r="BD231" s="35"/>
      <c r="BE231" s="35"/>
      <c r="BF231" s="2118" t="str">
        <f>Liste!R231</f>
        <v>0338528</v>
      </c>
      <c r="BG231" s="2137">
        <f>IF(AS231&gt;0,Liste!S231,0)</f>
        <v>0</v>
      </c>
      <c r="BH231" s="2118" t="str">
        <f>Liste!T231</f>
        <v>Stk</v>
      </c>
    </row>
    <row r="232" spans="1:60" ht="24.95" customHeight="1" x14ac:dyDescent="0.25">
      <c r="A232" s="29"/>
      <c r="B232" s="46">
        <f>IF(Liste!O232&gt;0,Liste!O232,Liste!B232)</f>
        <v>0</v>
      </c>
      <c r="C232" s="2314"/>
      <c r="D232" s="30">
        <f>Liste!C232</f>
        <v>0</v>
      </c>
      <c r="E232" s="2314"/>
      <c r="F232" s="32">
        <f t="shared" si="20"/>
        <v>0</v>
      </c>
      <c r="G232" s="2314"/>
      <c r="H232" s="32">
        <f t="shared" si="21"/>
        <v>0</v>
      </c>
      <c r="I232" s="2314"/>
      <c r="J232" s="32">
        <f t="shared" si="22"/>
        <v>0</v>
      </c>
      <c r="K232" s="2314"/>
      <c r="L232" s="31">
        <f t="shared" si="23"/>
        <v>0</v>
      </c>
      <c r="M232" s="2314"/>
      <c r="N232" s="31">
        <f>Liste!L232</f>
        <v>0</v>
      </c>
      <c r="O232" s="31"/>
      <c r="P232" s="31"/>
      <c r="Q232" s="31">
        <f>Liste!P232</f>
        <v>0</v>
      </c>
      <c r="R232" s="31">
        <f>Liste!N232</f>
        <v>0</v>
      </c>
      <c r="S232" s="7">
        <v>0</v>
      </c>
      <c r="T232" s="7">
        <v>0</v>
      </c>
      <c r="U232" s="7">
        <v>0</v>
      </c>
      <c r="V232" s="7"/>
      <c r="W232" s="60"/>
      <c r="X232" s="60"/>
      <c r="Y232" s="60"/>
      <c r="Z232" s="7"/>
      <c r="AA232" s="7"/>
      <c r="AB232" s="60"/>
      <c r="AC232" s="60"/>
      <c r="AD232" s="60"/>
      <c r="AE232" s="7"/>
      <c r="AF232" s="7"/>
      <c r="AG232" s="7"/>
      <c r="AH232" s="7"/>
      <c r="AI232" s="7"/>
      <c r="AJ232" s="7">
        <f>Liste!X232</f>
        <v>0</v>
      </c>
      <c r="AK232" s="7">
        <f>Liste!Y232</f>
        <v>0</v>
      </c>
      <c r="AL232" s="7"/>
      <c r="AM232" s="7"/>
      <c r="AN232" s="7"/>
      <c r="AO232" s="1113">
        <f>Liste!D232</f>
        <v>0</v>
      </c>
      <c r="AP232" s="1113">
        <f>Liste!F232</f>
        <v>0</v>
      </c>
      <c r="AQ232" s="1113">
        <f>Liste!E232</f>
        <v>0</v>
      </c>
      <c r="AR232" s="1113">
        <f>Liste!G232</f>
        <v>0</v>
      </c>
      <c r="AS232" s="1112">
        <f>Liste!V232</f>
        <v>0</v>
      </c>
      <c r="AT232" s="1">
        <f>Liste!M232</f>
        <v>0</v>
      </c>
      <c r="AZ232" s="5" t="s">
        <v>268</v>
      </c>
      <c r="BA232" s="4" t="s">
        <v>101</v>
      </c>
      <c r="BB232" s="4">
        <v>734</v>
      </c>
      <c r="BD232" s="35"/>
      <c r="BE232" s="35"/>
      <c r="BF232" s="2118">
        <f>Liste!R232</f>
        <v>0</v>
      </c>
      <c r="BG232" s="2137">
        <f>IF(AS232&gt;0,Liste!S232,0)</f>
        <v>0</v>
      </c>
      <c r="BH232" s="2118">
        <f>Liste!T232</f>
        <v>0</v>
      </c>
    </row>
    <row r="233" spans="1:60" ht="24.95" customHeight="1" x14ac:dyDescent="0.25">
      <c r="A233" s="29"/>
      <c r="B233" s="46" t="str">
        <f>IF(Liste!O233&gt;0,Liste!O233,Liste!B233)</f>
        <v>Abdeckblech Antrieb Doppelgurt GCC vertikal verzinkt</v>
      </c>
      <c r="C233" s="2314"/>
      <c r="D233" s="30" t="str">
        <f>Liste!C233</f>
        <v>0308381</v>
      </c>
      <c r="E233" s="2314"/>
      <c r="F233" s="32">
        <f t="shared" si="20"/>
        <v>0</v>
      </c>
      <c r="G233" s="2314"/>
      <c r="H233" s="32">
        <f t="shared" si="21"/>
        <v>0</v>
      </c>
      <c r="I233" s="2314"/>
      <c r="J233" s="32">
        <f t="shared" si="22"/>
        <v>0</v>
      </c>
      <c r="K233" s="2314"/>
      <c r="L233" s="31">
        <f t="shared" si="23"/>
        <v>0</v>
      </c>
      <c r="M233" s="2314"/>
      <c r="N233" s="31" t="str">
        <f>Liste!L233</f>
        <v>Stk</v>
      </c>
      <c r="O233" s="31"/>
      <c r="P233" s="31"/>
      <c r="Q233" s="31">
        <f>Liste!P233</f>
        <v>0</v>
      </c>
      <c r="R233" s="31">
        <f>Liste!N233</f>
        <v>0</v>
      </c>
      <c r="S233" s="7">
        <v>0</v>
      </c>
      <c r="T233" s="7">
        <v>0</v>
      </c>
      <c r="U233" s="7">
        <v>0</v>
      </c>
      <c r="V233" s="7"/>
      <c r="W233" s="60"/>
      <c r="X233" s="60"/>
      <c r="Y233" s="60"/>
      <c r="Z233" s="7"/>
      <c r="AA233" s="7"/>
      <c r="AB233" s="60"/>
      <c r="AC233" s="60"/>
      <c r="AD233" s="60"/>
      <c r="AE233" s="7"/>
      <c r="AF233" s="7"/>
      <c r="AG233" s="7"/>
      <c r="AH233" s="7"/>
      <c r="AI233" s="7"/>
      <c r="AJ233" s="7">
        <f>Liste!X233</f>
        <v>0</v>
      </c>
      <c r="AK233" s="7">
        <f>Liste!Y233</f>
        <v>0</v>
      </c>
      <c r="AL233" s="7"/>
      <c r="AM233" s="7"/>
      <c r="AN233" s="7"/>
      <c r="AO233" s="1113">
        <f>Liste!D233</f>
        <v>0</v>
      </c>
      <c r="AP233" s="1113">
        <f>Liste!F233</f>
        <v>432</v>
      </c>
      <c r="AQ233" s="1113">
        <f>Liste!E233</f>
        <v>532.97</v>
      </c>
      <c r="AR233" s="1113">
        <f>Liste!G233</f>
        <v>0.75</v>
      </c>
      <c r="AS233" s="1112">
        <f>Liste!V233</f>
        <v>1</v>
      </c>
      <c r="AT233" s="1" t="str">
        <f>Liste!M233</f>
        <v>Stahlblech verz.</v>
      </c>
      <c r="AZ233" s="5" t="s">
        <v>269</v>
      </c>
      <c r="BA233" s="4" t="s">
        <v>101</v>
      </c>
      <c r="BB233" s="4">
        <v>735</v>
      </c>
      <c r="BD233" s="35"/>
      <c r="BE233" s="35"/>
      <c r="BF233" s="2118" t="str">
        <f>Liste!R233</f>
        <v>0308381</v>
      </c>
      <c r="BG233" s="2137">
        <f>IF(AS233&gt;0,Liste!S233,0)</f>
        <v>0</v>
      </c>
      <c r="BH233" s="2118" t="str">
        <f>Liste!T233</f>
        <v>Stk</v>
      </c>
    </row>
    <row r="234" spans="1:60" ht="24.95" customHeight="1" x14ac:dyDescent="0.25">
      <c r="A234" s="29"/>
      <c r="B234" s="46" t="str">
        <f>IF(Liste!O234&gt;0,Liste!O234,Liste!B234)</f>
        <v>Abdeckblech Antrieb Doppelgurt GCC vertikal V2A</v>
      </c>
      <c r="C234" s="2314"/>
      <c r="D234" s="30" t="str">
        <f>Liste!C234</f>
        <v>0338381</v>
      </c>
      <c r="E234" s="2314"/>
      <c r="F234" s="32">
        <f t="shared" si="20"/>
        <v>0</v>
      </c>
      <c r="G234" s="2314"/>
      <c r="H234" s="32">
        <f t="shared" si="21"/>
        <v>0</v>
      </c>
      <c r="I234" s="2314"/>
      <c r="J234" s="32">
        <f t="shared" si="22"/>
        <v>0</v>
      </c>
      <c r="K234" s="2314"/>
      <c r="L234" s="31">
        <f t="shared" si="23"/>
        <v>0</v>
      </c>
      <c r="M234" s="2314"/>
      <c r="N234" s="31" t="str">
        <f>Liste!L234</f>
        <v>Stk</v>
      </c>
      <c r="O234" s="31"/>
      <c r="P234" s="31"/>
      <c r="Q234" s="31">
        <f>Liste!P234</f>
        <v>0</v>
      </c>
      <c r="R234" s="31">
        <f>Liste!N234</f>
        <v>0</v>
      </c>
      <c r="S234" s="7">
        <v>0</v>
      </c>
      <c r="T234" s="7">
        <v>0</v>
      </c>
      <c r="U234" s="7">
        <v>0</v>
      </c>
      <c r="V234" s="7"/>
      <c r="W234" s="60"/>
      <c r="X234" s="60"/>
      <c r="Y234" s="60"/>
      <c r="Z234" s="7"/>
      <c r="AA234" s="7"/>
      <c r="AB234" s="60"/>
      <c r="AC234" s="60"/>
      <c r="AD234" s="60"/>
      <c r="AE234" s="7"/>
      <c r="AF234" s="7"/>
      <c r="AG234" s="7"/>
      <c r="AH234" s="7"/>
      <c r="AI234" s="7"/>
      <c r="AJ234" s="7">
        <f>Liste!X234</f>
        <v>0</v>
      </c>
      <c r="AK234" s="7">
        <f>Liste!Y234</f>
        <v>1</v>
      </c>
      <c r="AL234" s="7"/>
      <c r="AM234" s="7"/>
      <c r="AN234" s="7"/>
      <c r="AO234" s="1113">
        <f>Liste!D234</f>
        <v>0</v>
      </c>
      <c r="AP234" s="1113">
        <f>Liste!F234</f>
        <v>432</v>
      </c>
      <c r="AQ234" s="1113">
        <f>Liste!E234</f>
        <v>532.74</v>
      </c>
      <c r="AR234" s="1113">
        <f>Liste!G234</f>
        <v>0.8</v>
      </c>
      <c r="AS234" s="1112">
        <f>Liste!V234</f>
        <v>1</v>
      </c>
      <c r="AT234" s="1" t="str">
        <f>Liste!M234</f>
        <v>V2A blank</v>
      </c>
      <c r="AZ234" s="5" t="s">
        <v>270</v>
      </c>
      <c r="BA234" s="4" t="s">
        <v>101</v>
      </c>
      <c r="BB234" s="4">
        <v>736</v>
      </c>
      <c r="BD234" s="35"/>
      <c r="BE234" s="35"/>
      <c r="BF234" s="2118" t="str">
        <f>Liste!R234</f>
        <v>0338381</v>
      </c>
      <c r="BG234" s="2137">
        <f>IF(AS234&gt;0,Liste!S234,0)</f>
        <v>0</v>
      </c>
      <c r="BH234" s="2118" t="str">
        <f>Liste!T234</f>
        <v>Stk</v>
      </c>
    </row>
    <row r="235" spans="1:60" ht="24.95" customHeight="1" x14ac:dyDescent="0.25">
      <c r="A235" s="29"/>
      <c r="B235" s="46" t="str">
        <f>IF(Liste!O235&gt;0,Liste!O235,Liste!B235)</f>
        <v>Abdeckblech Antrieb Einzelgurt 35 GCC vertikal verzinkt</v>
      </c>
      <c r="C235" s="2314"/>
      <c r="D235" s="30" t="str">
        <f>Liste!C235</f>
        <v>0308396</v>
      </c>
      <c r="E235" s="2314"/>
      <c r="F235" s="32">
        <f t="shared" si="20"/>
        <v>0</v>
      </c>
      <c r="G235" s="2314"/>
      <c r="H235" s="32">
        <f t="shared" si="21"/>
        <v>0</v>
      </c>
      <c r="I235" s="2314"/>
      <c r="J235" s="32">
        <f t="shared" si="22"/>
        <v>0</v>
      </c>
      <c r="K235" s="2314"/>
      <c r="L235" s="31">
        <f t="shared" si="23"/>
        <v>0</v>
      </c>
      <c r="M235" s="2314"/>
      <c r="N235" s="31" t="str">
        <f>Liste!L235</f>
        <v>Stk</v>
      </c>
      <c r="O235" s="31"/>
      <c r="P235" s="31"/>
      <c r="Q235" s="31">
        <f>Liste!P235</f>
        <v>0</v>
      </c>
      <c r="R235" s="31">
        <f>Liste!N235</f>
        <v>0</v>
      </c>
      <c r="S235" s="7">
        <v>0</v>
      </c>
      <c r="T235" s="7">
        <v>0</v>
      </c>
      <c r="U235" s="7">
        <v>0</v>
      </c>
      <c r="V235" s="7"/>
      <c r="W235" s="60"/>
      <c r="X235" s="60"/>
      <c r="Y235" s="60"/>
      <c r="Z235" s="7"/>
      <c r="AA235" s="7"/>
      <c r="AB235" s="60"/>
      <c r="AC235" s="60"/>
      <c r="AD235" s="60"/>
      <c r="AE235" s="7"/>
      <c r="AF235" s="7"/>
      <c r="AG235" s="7"/>
      <c r="AH235" s="7"/>
      <c r="AI235" s="7"/>
      <c r="AJ235" s="7">
        <f>Liste!X235</f>
        <v>0</v>
      </c>
      <c r="AK235" s="7">
        <f>Liste!Y235</f>
        <v>1</v>
      </c>
      <c r="AL235" s="7"/>
      <c r="AM235" s="7"/>
      <c r="AN235" s="7"/>
      <c r="AO235" s="1113">
        <f>Liste!D235</f>
        <v>0</v>
      </c>
      <c r="AP235" s="1113">
        <f>Liste!F235</f>
        <v>1542</v>
      </c>
      <c r="AQ235" s="1113">
        <f>Liste!E235</f>
        <v>532.97</v>
      </c>
      <c r="AR235" s="1113">
        <f>Liste!G235</f>
        <v>0.75</v>
      </c>
      <c r="AS235" s="1112">
        <f>Liste!V235</f>
        <v>1</v>
      </c>
      <c r="AT235" s="1" t="str">
        <f>Liste!M235</f>
        <v>Stahlblech verz.</v>
      </c>
      <c r="AZ235" s="5" t="s">
        <v>271</v>
      </c>
      <c r="BA235" s="4" t="s">
        <v>101</v>
      </c>
      <c r="BB235" s="4">
        <v>737</v>
      </c>
      <c r="BD235" s="35"/>
      <c r="BE235" s="35"/>
      <c r="BF235" s="2118" t="str">
        <f>Liste!R235</f>
        <v>0308396</v>
      </c>
      <c r="BG235" s="2137">
        <f>IF(AS235&gt;0,Liste!S235,0)</f>
        <v>0</v>
      </c>
      <c r="BH235" s="2118" t="str">
        <f>Liste!T235</f>
        <v>Stk</v>
      </c>
    </row>
    <row r="236" spans="1:60" ht="24.95" customHeight="1" x14ac:dyDescent="0.25">
      <c r="A236" s="29"/>
      <c r="B236" s="46" t="str">
        <f>IF(Liste!O236&gt;0,Liste!O236,Liste!B236)</f>
        <v>Abdeckblech Antrieb Einzelgurt 35 GCC vertikal V2A</v>
      </c>
      <c r="C236" s="2314"/>
      <c r="D236" s="30" t="str">
        <f>Liste!C236</f>
        <v>0338396</v>
      </c>
      <c r="E236" s="2314"/>
      <c r="F236" s="32">
        <f t="shared" si="20"/>
        <v>0</v>
      </c>
      <c r="G236" s="2314"/>
      <c r="H236" s="32">
        <f t="shared" si="21"/>
        <v>0</v>
      </c>
      <c r="I236" s="2314"/>
      <c r="J236" s="32">
        <f t="shared" si="22"/>
        <v>0</v>
      </c>
      <c r="K236" s="2314"/>
      <c r="L236" s="31">
        <f t="shared" si="23"/>
        <v>0</v>
      </c>
      <c r="M236" s="2314"/>
      <c r="N236" s="31" t="str">
        <f>Liste!L236</f>
        <v>Stk</v>
      </c>
      <c r="O236" s="31"/>
      <c r="P236" s="31"/>
      <c r="Q236" s="31">
        <f>Liste!P236</f>
        <v>0</v>
      </c>
      <c r="R236" s="31">
        <f>Liste!N236</f>
        <v>0</v>
      </c>
      <c r="S236" s="7">
        <v>0</v>
      </c>
      <c r="T236" s="7">
        <v>0</v>
      </c>
      <c r="U236" s="7">
        <v>0</v>
      </c>
      <c r="V236" s="7"/>
      <c r="W236" s="60"/>
      <c r="X236" s="60"/>
      <c r="Y236" s="60"/>
      <c r="Z236" s="7"/>
      <c r="AA236" s="7"/>
      <c r="AB236" s="60"/>
      <c r="AC236" s="60"/>
      <c r="AD236" s="60"/>
      <c r="AE236" s="7"/>
      <c r="AF236" s="7"/>
      <c r="AG236" s="7"/>
      <c r="AH236" s="7"/>
      <c r="AI236" s="7"/>
      <c r="AJ236" s="7">
        <f>Liste!X236</f>
        <v>0</v>
      </c>
      <c r="AK236" s="7">
        <f>Liste!Y236</f>
        <v>1</v>
      </c>
      <c r="AL236" s="7"/>
      <c r="AM236" s="7"/>
      <c r="AN236" s="7"/>
      <c r="AO236" s="1113">
        <f>Liste!D236</f>
        <v>0</v>
      </c>
      <c r="AP236" s="1113">
        <f>Liste!F236</f>
        <v>1542</v>
      </c>
      <c r="AQ236" s="1113">
        <f>Liste!E236</f>
        <v>532.74</v>
      </c>
      <c r="AR236" s="1113">
        <f>Liste!G236</f>
        <v>0.8</v>
      </c>
      <c r="AS236" s="1112">
        <f>Liste!V236</f>
        <v>1</v>
      </c>
      <c r="AT236" s="1" t="str">
        <f>Liste!M236</f>
        <v>V2A blank</v>
      </c>
      <c r="AZ236" s="5" t="s">
        <v>272</v>
      </c>
      <c r="BA236" s="4" t="s">
        <v>101</v>
      </c>
      <c r="BB236" s="4">
        <v>738</v>
      </c>
      <c r="BD236" s="35"/>
      <c r="BE236" s="35"/>
      <c r="BF236" s="2118" t="str">
        <f>Liste!R236</f>
        <v>0338396</v>
      </c>
      <c r="BG236" s="2137">
        <f>IF(AS236&gt;0,Liste!S236,0)</f>
        <v>0</v>
      </c>
      <c r="BH236" s="2118" t="str">
        <f>Liste!T236</f>
        <v>Stk</v>
      </c>
    </row>
    <row r="237" spans="1:60" ht="24.95" customHeight="1" x14ac:dyDescent="0.25">
      <c r="A237" s="29"/>
      <c r="B237" s="46">
        <f>IF(Liste!O237&gt;0,Liste!O237,Liste!B237)</f>
        <v>0</v>
      </c>
      <c r="C237" s="2314"/>
      <c r="D237" s="30">
        <f>Liste!C237</f>
        <v>0</v>
      </c>
      <c r="E237" s="2314"/>
      <c r="F237" s="32">
        <f t="shared" si="20"/>
        <v>0</v>
      </c>
      <c r="G237" s="2314"/>
      <c r="H237" s="32">
        <f t="shared" si="21"/>
        <v>0</v>
      </c>
      <c r="I237" s="2314"/>
      <c r="J237" s="32">
        <f t="shared" si="22"/>
        <v>0</v>
      </c>
      <c r="K237" s="2314"/>
      <c r="L237" s="31">
        <f t="shared" si="23"/>
        <v>0</v>
      </c>
      <c r="M237" s="2314"/>
      <c r="N237" s="31">
        <f>Liste!L237</f>
        <v>0</v>
      </c>
      <c r="O237" s="31"/>
      <c r="P237" s="31"/>
      <c r="Q237" s="31">
        <f>Liste!P237</f>
        <v>0</v>
      </c>
      <c r="R237" s="31">
        <f>Liste!N237</f>
        <v>0</v>
      </c>
      <c r="S237" s="7">
        <v>0</v>
      </c>
      <c r="T237" s="7">
        <v>0</v>
      </c>
      <c r="U237" s="7">
        <v>0</v>
      </c>
      <c r="V237" s="7"/>
      <c r="W237" s="60"/>
      <c r="X237" s="60"/>
      <c r="Y237" s="60"/>
      <c r="Z237" s="7"/>
      <c r="AA237" s="7"/>
      <c r="AB237" s="60"/>
      <c r="AC237" s="60"/>
      <c r="AD237" s="60"/>
      <c r="AE237" s="7"/>
      <c r="AF237" s="7"/>
      <c r="AG237" s="7"/>
      <c r="AH237" s="7"/>
      <c r="AI237" s="7"/>
      <c r="AJ237" s="7">
        <f>Liste!X237</f>
        <v>0</v>
      </c>
      <c r="AK237" s="7">
        <f>Liste!Y237</f>
        <v>0</v>
      </c>
      <c r="AL237" s="7"/>
      <c r="AM237" s="7"/>
      <c r="AN237" s="7"/>
      <c r="AO237" s="1113">
        <f>Liste!D237</f>
        <v>0</v>
      </c>
      <c r="AP237" s="1113">
        <f>Liste!F237</f>
        <v>0</v>
      </c>
      <c r="AQ237" s="1113">
        <f>Liste!E237</f>
        <v>0</v>
      </c>
      <c r="AR237" s="1113">
        <f>Liste!G237</f>
        <v>0</v>
      </c>
      <c r="AS237" s="1112">
        <f>Liste!V237</f>
        <v>0</v>
      </c>
      <c r="AT237" s="1">
        <f>Liste!M237</f>
        <v>0</v>
      </c>
      <c r="AZ237" s="5" t="s">
        <v>273</v>
      </c>
      <c r="BA237" s="4" t="s">
        <v>101</v>
      </c>
      <c r="BB237" s="4">
        <v>739</v>
      </c>
      <c r="BD237" s="35"/>
      <c r="BE237" s="35"/>
      <c r="BF237" s="2118">
        <f>Liste!R237</f>
        <v>0</v>
      </c>
      <c r="BG237" s="2137">
        <f>IF(AS237&gt;0,Liste!S237,0)</f>
        <v>0</v>
      </c>
      <c r="BH237" s="2118">
        <f>Liste!T237</f>
        <v>0</v>
      </c>
    </row>
    <row r="238" spans="1:60" ht="24.95" customHeight="1" x14ac:dyDescent="0.25">
      <c r="A238" s="29"/>
      <c r="B238" s="46" t="str">
        <f>IF(Liste!O238&gt;0,Liste!O238,Liste!B238)</f>
        <v>Fassadenfarbe RAL 7016 (Standardfarbgebung)</v>
      </c>
      <c r="C238" s="2314"/>
      <c r="D238" s="30">
        <f>Liste!C238</f>
        <v>0</v>
      </c>
      <c r="E238" s="2314"/>
      <c r="F238" s="32">
        <f t="shared" si="20"/>
        <v>0</v>
      </c>
      <c r="G238" s="2314"/>
      <c r="H238" s="32">
        <f t="shared" si="21"/>
        <v>0</v>
      </c>
      <c r="I238" s="2314"/>
      <c r="J238" s="32">
        <f t="shared" si="22"/>
        <v>0</v>
      </c>
      <c r="K238" s="2314"/>
      <c r="L238" s="31">
        <f t="shared" si="23"/>
        <v>0</v>
      </c>
      <c r="M238" s="2314"/>
      <c r="N238" s="31">
        <f>Liste!L238</f>
        <v>0</v>
      </c>
      <c r="O238" s="31"/>
      <c r="P238" s="31"/>
      <c r="Q238" s="31">
        <f>Liste!P238</f>
        <v>0</v>
      </c>
      <c r="R238" s="31">
        <f>Liste!N238</f>
        <v>0</v>
      </c>
      <c r="S238" s="7">
        <v>0</v>
      </c>
      <c r="T238" s="7">
        <v>0</v>
      </c>
      <c r="U238" s="7">
        <v>0</v>
      </c>
      <c r="V238" s="7"/>
      <c r="W238" s="60"/>
      <c r="X238" s="60"/>
      <c r="Y238" s="60"/>
      <c r="Z238" s="7"/>
      <c r="AA238" s="7"/>
      <c r="AB238" s="60"/>
      <c r="AC238" s="60"/>
      <c r="AD238" s="60"/>
      <c r="AE238" s="7"/>
      <c r="AF238" s="7"/>
      <c r="AG238" s="7"/>
      <c r="AH238" s="7"/>
      <c r="AI238" s="7"/>
      <c r="AJ238" s="7">
        <f>Liste!X238</f>
        <v>0</v>
      </c>
      <c r="AK238" s="7">
        <f>Liste!Y238</f>
        <v>0</v>
      </c>
      <c r="AL238" s="7"/>
      <c r="AM238" s="7"/>
      <c r="AN238" s="7"/>
      <c r="AO238" s="1113">
        <f>Liste!D238</f>
        <v>0</v>
      </c>
      <c r="AP238" s="1113">
        <f>Liste!F238</f>
        <v>0</v>
      </c>
      <c r="AQ238" s="1113">
        <f>Liste!E238</f>
        <v>0</v>
      </c>
      <c r="AR238" s="1113">
        <f>Liste!G238</f>
        <v>0</v>
      </c>
      <c r="AS238" s="1112">
        <f>Liste!V238</f>
        <v>0</v>
      </c>
      <c r="AT238" s="1">
        <f>Liste!M238</f>
        <v>0</v>
      </c>
      <c r="AZ238" s="5" t="s">
        <v>31311</v>
      </c>
      <c r="BA238" s="4" t="s">
        <v>101</v>
      </c>
      <c r="BB238" s="4">
        <v>740</v>
      </c>
      <c r="BD238" s="35"/>
      <c r="BE238" s="35"/>
      <c r="BF238" s="2118">
        <f>Liste!R238</f>
        <v>0</v>
      </c>
      <c r="BG238" s="2137">
        <f>IF(AS238&gt;0,Liste!S238,0)</f>
        <v>0</v>
      </c>
      <c r="BH238" s="2118">
        <f>Liste!T238</f>
        <v>0</v>
      </c>
    </row>
    <row r="239" spans="1:60" ht="24.95" customHeight="1" x14ac:dyDescent="0.25">
      <c r="A239" s="29"/>
      <c r="B239" s="46" t="str">
        <f>IF(Liste!O239&gt;0,Liste!O239,Liste!B239)</f>
        <v>Dispersionsfarbe RAL 7016 12,5L Gebinde</v>
      </c>
      <c r="C239" s="2314"/>
      <c r="D239" s="30" t="str">
        <f>Liste!C239</f>
        <v>0902071</v>
      </c>
      <c r="E239" s="2314"/>
      <c r="F239" s="32">
        <f t="shared" si="20"/>
        <v>1</v>
      </c>
      <c r="G239" s="2314"/>
      <c r="H239" s="32">
        <f t="shared" si="21"/>
        <v>0</v>
      </c>
      <c r="I239" s="2314"/>
      <c r="J239" s="32">
        <f t="shared" si="22"/>
        <v>0</v>
      </c>
      <c r="K239" s="2314"/>
      <c r="L239" s="31">
        <f t="shared" si="23"/>
        <v>0</v>
      </c>
      <c r="M239" s="2314"/>
      <c r="N239" s="31" t="str">
        <f>Liste!L239</f>
        <v>L</v>
      </c>
      <c r="O239" s="31"/>
      <c r="P239" s="31"/>
      <c r="Q239" s="31">
        <f>Liste!P239</f>
        <v>0</v>
      </c>
      <c r="R239" s="31">
        <f>Liste!N239</f>
        <v>0</v>
      </c>
      <c r="S239" s="7">
        <v>0</v>
      </c>
      <c r="T239" s="7">
        <v>0</v>
      </c>
      <c r="U239" s="7">
        <v>0</v>
      </c>
      <c r="V239" s="7"/>
      <c r="W239" s="60"/>
      <c r="X239" s="60"/>
      <c r="Y239" s="60"/>
      <c r="Z239" s="7"/>
      <c r="AA239" s="7"/>
      <c r="AB239" s="60"/>
      <c r="AC239" s="60"/>
      <c r="AD239" s="60"/>
      <c r="AE239" s="7"/>
      <c r="AF239" s="7"/>
      <c r="AG239" s="7"/>
      <c r="AH239" s="7"/>
      <c r="AI239" s="7"/>
      <c r="AJ239" s="7">
        <f>Liste!X239</f>
        <v>0</v>
      </c>
      <c r="AK239" s="7">
        <f>Liste!Y239</f>
        <v>0</v>
      </c>
      <c r="AL239" s="7"/>
      <c r="AM239" s="7"/>
      <c r="AN239" s="7"/>
      <c r="AO239" s="1113">
        <f>Liste!D239</f>
        <v>1</v>
      </c>
      <c r="AP239" s="1113">
        <f>Liste!F239</f>
        <v>0</v>
      </c>
      <c r="AQ239" s="1113">
        <f>Liste!E239</f>
        <v>0</v>
      </c>
      <c r="AR239" s="1113">
        <f>Liste!G239</f>
        <v>0</v>
      </c>
      <c r="AS239" s="1112">
        <f>Liste!V239</f>
        <v>1</v>
      </c>
      <c r="AT239" s="1">
        <f>Liste!M239</f>
        <v>0</v>
      </c>
      <c r="AZ239" s="5" t="s">
        <v>31312</v>
      </c>
      <c r="BA239" s="4" t="s">
        <v>101</v>
      </c>
      <c r="BB239" s="4">
        <v>741</v>
      </c>
      <c r="BD239" s="35"/>
      <c r="BE239" s="35"/>
      <c r="BF239" s="2118" t="str">
        <f>Liste!R239</f>
        <v>0902071</v>
      </c>
      <c r="BG239" s="2137">
        <f>IF(AS239&gt;0,Liste!S239,0)</f>
        <v>1</v>
      </c>
      <c r="BH239" s="2118" t="str">
        <f>Liste!T239</f>
        <v>L</v>
      </c>
    </row>
    <row r="240" spans="1:60" ht="24.95" customHeight="1" x14ac:dyDescent="0.25">
      <c r="A240" s="29"/>
      <c r="B240" s="46" t="str">
        <f>IF(Liste!O240&gt;0,Liste!O240,Liste!B240)</f>
        <v>Dispersionsfarbe RAL 7016 5L Gebinde</v>
      </c>
      <c r="C240" s="2314"/>
      <c r="D240" s="30" t="str">
        <f>Liste!C240</f>
        <v>0902072</v>
      </c>
      <c r="E240" s="2314"/>
      <c r="F240" s="32">
        <f t="shared" si="20"/>
        <v>0</v>
      </c>
      <c r="G240" s="2314"/>
      <c r="H240" s="32">
        <f t="shared" si="21"/>
        <v>0</v>
      </c>
      <c r="I240" s="2314"/>
      <c r="J240" s="32">
        <f t="shared" si="22"/>
        <v>0</v>
      </c>
      <c r="K240" s="2314"/>
      <c r="L240" s="31">
        <f t="shared" si="23"/>
        <v>0</v>
      </c>
      <c r="M240" s="2314"/>
      <c r="N240" s="31" t="str">
        <f>Liste!L240</f>
        <v>Stk</v>
      </c>
      <c r="O240" s="31"/>
      <c r="P240" s="31"/>
      <c r="Q240" s="31">
        <f>Liste!P240</f>
        <v>0</v>
      </c>
      <c r="R240" s="31">
        <f>Liste!N240</f>
        <v>0</v>
      </c>
      <c r="S240" s="7">
        <v>0</v>
      </c>
      <c r="T240" s="7">
        <v>0</v>
      </c>
      <c r="U240" s="7">
        <v>0</v>
      </c>
      <c r="V240" s="7"/>
      <c r="W240" s="60"/>
      <c r="X240" s="60"/>
      <c r="Y240" s="60"/>
      <c r="Z240" s="7"/>
      <c r="AA240" s="7"/>
      <c r="AB240" s="60"/>
      <c r="AC240" s="60"/>
      <c r="AD240" s="60"/>
      <c r="AE240" s="7"/>
      <c r="AF240" s="7"/>
      <c r="AG240" s="7"/>
      <c r="AH240" s="7"/>
      <c r="AI240" s="7"/>
      <c r="AJ240" s="7">
        <f>Liste!X240</f>
        <v>0</v>
      </c>
      <c r="AK240" s="7">
        <f>Liste!Y240</f>
        <v>0</v>
      </c>
      <c r="AL240" s="7"/>
      <c r="AM240" s="7"/>
      <c r="AN240" s="7"/>
      <c r="AO240" s="1113">
        <f>Liste!D240</f>
        <v>0</v>
      </c>
      <c r="AP240" s="1113">
        <f>Liste!F240</f>
        <v>0</v>
      </c>
      <c r="AQ240" s="1113">
        <f>Liste!E240</f>
        <v>0</v>
      </c>
      <c r="AR240" s="1113">
        <f>Liste!G240</f>
        <v>0</v>
      </c>
      <c r="AS240" s="1112">
        <f>Liste!V240</f>
        <v>1</v>
      </c>
      <c r="AT240" s="1">
        <f>Liste!M240</f>
        <v>0</v>
      </c>
      <c r="AZ240" s="5" t="s">
        <v>31313</v>
      </c>
      <c r="BA240" s="4" t="s">
        <v>101</v>
      </c>
      <c r="BB240" s="4">
        <v>742</v>
      </c>
      <c r="BD240" s="35"/>
      <c r="BE240" s="35"/>
      <c r="BF240" s="2118" t="str">
        <f>Liste!R240</f>
        <v>0902072</v>
      </c>
      <c r="BG240" s="2137">
        <f>IF(AS240&gt;0,Liste!S240,0)</f>
        <v>0</v>
      </c>
      <c r="BH240" s="2118" t="str">
        <f>Liste!T240</f>
        <v>Stk</v>
      </c>
    </row>
    <row r="241" spans="1:60" ht="24.95" customHeight="1" x14ac:dyDescent="0.25">
      <c r="A241" s="29"/>
      <c r="B241" s="46" t="str">
        <f>IF(Liste!O241&gt;0,Liste!O241,Liste!B241)</f>
        <v>Dispersionsfarbe RAL 7016 2,5L Gebinde</v>
      </c>
      <c r="C241" s="2314"/>
      <c r="D241" s="30" t="str">
        <f>Liste!C241</f>
        <v>0902073</v>
      </c>
      <c r="E241" s="2314"/>
      <c r="F241" s="32">
        <f t="shared" si="20"/>
        <v>0</v>
      </c>
      <c r="G241" s="2314"/>
      <c r="H241" s="32">
        <f t="shared" si="21"/>
        <v>0</v>
      </c>
      <c r="I241" s="2314"/>
      <c r="J241" s="32">
        <f t="shared" si="22"/>
        <v>0</v>
      </c>
      <c r="K241" s="2314"/>
      <c r="L241" s="31">
        <f t="shared" si="23"/>
        <v>0</v>
      </c>
      <c r="M241" s="2314"/>
      <c r="N241" s="31" t="str">
        <f>Liste!L241</f>
        <v>Stk</v>
      </c>
      <c r="O241" s="31"/>
      <c r="P241" s="31"/>
      <c r="Q241" s="31">
        <f>Liste!P241</f>
        <v>0</v>
      </c>
      <c r="R241" s="31">
        <f>Liste!N241</f>
        <v>0</v>
      </c>
      <c r="S241" s="7">
        <v>0</v>
      </c>
      <c r="T241" s="7">
        <v>0</v>
      </c>
      <c r="U241" s="7">
        <v>0</v>
      </c>
      <c r="V241" s="7"/>
      <c r="W241" s="60"/>
      <c r="X241" s="60"/>
      <c r="Y241" s="60"/>
      <c r="Z241" s="7"/>
      <c r="AA241" s="7"/>
      <c r="AB241" s="60"/>
      <c r="AC241" s="60"/>
      <c r="AD241" s="60"/>
      <c r="AE241" s="7"/>
      <c r="AF241" s="7"/>
      <c r="AG241" s="7"/>
      <c r="AH241" s="7"/>
      <c r="AI241" s="7"/>
      <c r="AJ241" s="7">
        <f>Liste!X241</f>
        <v>0</v>
      </c>
      <c r="AK241" s="7">
        <f>Liste!Y241</f>
        <v>0</v>
      </c>
      <c r="AL241" s="7"/>
      <c r="AM241" s="7"/>
      <c r="AN241" s="7"/>
      <c r="AO241" s="1113">
        <f>Liste!D241</f>
        <v>0</v>
      </c>
      <c r="AP241" s="1113">
        <f>Liste!F241</f>
        <v>0</v>
      </c>
      <c r="AQ241" s="1113">
        <f>Liste!E241</f>
        <v>0</v>
      </c>
      <c r="AR241" s="1113">
        <f>Liste!G241</f>
        <v>0</v>
      </c>
      <c r="AS241" s="1112">
        <f>Liste!V241</f>
        <v>1</v>
      </c>
      <c r="AT241" s="1">
        <f>Liste!M241</f>
        <v>0</v>
      </c>
      <c r="AZ241" s="5" t="s">
        <v>31314</v>
      </c>
      <c r="BA241" s="4" t="s">
        <v>101</v>
      </c>
      <c r="BB241" s="4">
        <v>743</v>
      </c>
      <c r="BD241" s="35"/>
      <c r="BE241" s="35"/>
      <c r="BF241" s="2118" t="str">
        <f>Liste!R241</f>
        <v>0902073</v>
      </c>
      <c r="BG241" s="2137">
        <f>IF(AS241&gt;0,Liste!S241,0)</f>
        <v>0</v>
      </c>
      <c r="BH241" s="2118" t="str">
        <f>Liste!T241</f>
        <v>Stk</v>
      </c>
    </row>
    <row r="242" spans="1:60" ht="24.95" customHeight="1" x14ac:dyDescent="0.25">
      <c r="A242" s="29"/>
      <c r="B242" s="46" t="str">
        <f>IF(Liste!O242&gt;0,Liste!O242,Liste!B242)</f>
        <v>Dispersionsfarbe RAL 7016 1L Gebinde</v>
      </c>
      <c r="C242" s="2314"/>
      <c r="D242" s="30" t="str">
        <f>Liste!C242</f>
        <v>0902074</v>
      </c>
      <c r="E242" s="2314"/>
      <c r="F242" s="32">
        <f t="shared" si="20"/>
        <v>1</v>
      </c>
      <c r="G242" s="2314"/>
      <c r="H242" s="32">
        <f t="shared" si="21"/>
        <v>0</v>
      </c>
      <c r="I242" s="2314"/>
      <c r="J242" s="32">
        <f t="shared" si="22"/>
        <v>0</v>
      </c>
      <c r="K242" s="2314"/>
      <c r="L242" s="31">
        <f t="shared" si="23"/>
        <v>0</v>
      </c>
      <c r="M242" s="2314"/>
      <c r="N242" s="31" t="str">
        <f>Liste!L242</f>
        <v>Stk</v>
      </c>
      <c r="O242" s="31"/>
      <c r="P242" s="31"/>
      <c r="Q242" s="31">
        <f>Liste!P242</f>
        <v>0</v>
      </c>
      <c r="R242" s="31">
        <f>Liste!N242</f>
        <v>0</v>
      </c>
      <c r="S242" s="7">
        <v>0</v>
      </c>
      <c r="T242" s="7">
        <v>0</v>
      </c>
      <c r="U242" s="7">
        <v>0</v>
      </c>
      <c r="V242" s="7"/>
      <c r="W242" s="60"/>
      <c r="X242" s="60"/>
      <c r="Y242" s="60"/>
      <c r="Z242" s="7"/>
      <c r="AA242" s="7"/>
      <c r="AB242" s="60"/>
      <c r="AC242" s="60"/>
      <c r="AD242" s="60"/>
      <c r="AE242" s="7"/>
      <c r="AF242" s="7"/>
      <c r="AG242" s="7"/>
      <c r="AH242" s="7"/>
      <c r="AI242" s="7"/>
      <c r="AJ242" s="7">
        <f>Liste!X242</f>
        <v>0</v>
      </c>
      <c r="AK242" s="7">
        <f>Liste!Y242</f>
        <v>0</v>
      </c>
      <c r="AL242" s="7"/>
      <c r="AM242" s="7"/>
      <c r="AN242" s="7"/>
      <c r="AO242" s="1113">
        <f>Liste!D242</f>
        <v>1</v>
      </c>
      <c r="AP242" s="1113">
        <f>Liste!F242</f>
        <v>0</v>
      </c>
      <c r="AQ242" s="1113">
        <f>Liste!E242</f>
        <v>0</v>
      </c>
      <c r="AR242" s="1113">
        <f>Liste!G242</f>
        <v>0</v>
      </c>
      <c r="AS242" s="1112">
        <f>Liste!V242</f>
        <v>1</v>
      </c>
      <c r="AT242" s="1">
        <f>Liste!M242</f>
        <v>0</v>
      </c>
      <c r="AZ242" s="5" t="s">
        <v>31315</v>
      </c>
      <c r="BA242" s="4" t="s">
        <v>101</v>
      </c>
      <c r="BB242" s="4">
        <v>744</v>
      </c>
      <c r="BD242" s="35"/>
      <c r="BE242" s="35"/>
      <c r="BF242" s="2118" t="str">
        <f>Liste!R242</f>
        <v>0902074</v>
      </c>
      <c r="BG242" s="2137">
        <f>IF(AS242&gt;0,Liste!S242,0)</f>
        <v>1</v>
      </c>
      <c r="BH242" s="2118" t="str">
        <f>Liste!T242</f>
        <v>Stk</v>
      </c>
    </row>
    <row r="243" spans="1:60" ht="24.95" customHeight="1" x14ac:dyDescent="0.25">
      <c r="A243" s="29"/>
      <c r="B243" s="46" t="str">
        <f>IF(Liste!O243&gt;0,Liste!O243,Liste!B243)</f>
        <v>Auftragswalze für Dispersionsfarbe</v>
      </c>
      <c r="C243" s="2314"/>
      <c r="D243" s="30" t="str">
        <f>Liste!C243</f>
        <v>0902010</v>
      </c>
      <c r="E243" s="2314"/>
      <c r="F243" s="32">
        <f t="shared" si="20"/>
        <v>0</v>
      </c>
      <c r="G243" s="2314"/>
      <c r="H243" s="32">
        <f t="shared" si="21"/>
        <v>0</v>
      </c>
      <c r="I243" s="2314"/>
      <c r="J243" s="32">
        <f t="shared" si="22"/>
        <v>0</v>
      </c>
      <c r="K243" s="2314"/>
      <c r="L243" s="31">
        <f t="shared" si="23"/>
        <v>0</v>
      </c>
      <c r="M243" s="2314"/>
      <c r="N243" s="31" t="str">
        <f>Liste!L243</f>
        <v>Stk</v>
      </c>
      <c r="O243" s="31"/>
      <c r="P243" s="31"/>
      <c r="Q243" s="31">
        <f>Liste!P243</f>
        <v>0</v>
      </c>
      <c r="R243" s="31">
        <f>Liste!N243</f>
        <v>0</v>
      </c>
      <c r="S243" s="7">
        <v>0</v>
      </c>
      <c r="T243" s="7">
        <v>0</v>
      </c>
      <c r="U243" s="7">
        <v>0</v>
      </c>
      <c r="V243" s="7"/>
      <c r="W243" s="60"/>
      <c r="X243" s="60"/>
      <c r="Y243" s="60"/>
      <c r="Z243" s="7"/>
      <c r="AA243" s="7"/>
      <c r="AB243" s="60"/>
      <c r="AC243" s="60"/>
      <c r="AD243" s="60"/>
      <c r="AE243" s="7"/>
      <c r="AF243" s="7"/>
      <c r="AG243" s="7"/>
      <c r="AH243" s="7"/>
      <c r="AI243" s="7"/>
      <c r="AJ243" s="7">
        <f>Liste!X243</f>
        <v>0</v>
      </c>
      <c r="AK243" s="7">
        <f>Liste!Y243</f>
        <v>0</v>
      </c>
      <c r="AL243" s="7"/>
      <c r="AM243" s="7"/>
      <c r="AN243" s="7"/>
      <c r="AO243" s="1113">
        <f>Liste!D243</f>
        <v>1</v>
      </c>
      <c r="AP243" s="1113">
        <f>Liste!F243</f>
        <v>0</v>
      </c>
      <c r="AQ243" s="1113">
        <f>Liste!E243</f>
        <v>0</v>
      </c>
      <c r="AR243" s="1113">
        <f>Liste!G243</f>
        <v>0</v>
      </c>
      <c r="AS243" s="1112">
        <f>Liste!V243</f>
        <v>0</v>
      </c>
      <c r="AT243" s="1">
        <f>Liste!M243</f>
        <v>0</v>
      </c>
      <c r="AZ243" s="5" t="s">
        <v>31316</v>
      </c>
      <c r="BA243" s="4" t="s">
        <v>101</v>
      </c>
      <c r="BB243" s="4">
        <v>745</v>
      </c>
      <c r="BD243" s="35"/>
      <c r="BE243" s="35"/>
      <c r="BF243" s="2118" t="str">
        <f>Liste!R243</f>
        <v>0902010</v>
      </c>
      <c r="BG243" s="2137">
        <f>IF(AS243&gt;0,Liste!S243,0)</f>
        <v>0</v>
      </c>
      <c r="BH243" s="2118" t="str">
        <f>Liste!T243</f>
        <v>Stk</v>
      </c>
    </row>
    <row r="244" spans="1:60" ht="24.95" customHeight="1" x14ac:dyDescent="0.25">
      <c r="A244" s="29"/>
      <c r="B244" s="46" t="str">
        <f>IF(Liste!O244&gt;0,Liste!O244,Liste!B244)</f>
        <v>Select Tiefengrund 10 L Gebinde</v>
      </c>
      <c r="C244" s="2314"/>
      <c r="D244" s="30" t="str">
        <f>Liste!C244</f>
        <v>0720141</v>
      </c>
      <c r="E244" s="2314"/>
      <c r="F244" s="32">
        <f t="shared" si="20"/>
        <v>0</v>
      </c>
      <c r="G244" s="2314"/>
      <c r="H244" s="32">
        <f t="shared" si="21"/>
        <v>0</v>
      </c>
      <c r="I244" s="2314"/>
      <c r="J244" s="32">
        <f t="shared" si="22"/>
        <v>0</v>
      </c>
      <c r="K244" s="2314"/>
      <c r="L244" s="31">
        <f t="shared" si="23"/>
        <v>0</v>
      </c>
      <c r="M244" s="2314"/>
      <c r="N244" s="31" t="str">
        <f>Liste!L244</f>
        <v>L</v>
      </c>
      <c r="O244" s="31"/>
      <c r="P244" s="31"/>
      <c r="Q244" s="31">
        <f>Liste!P244</f>
        <v>0</v>
      </c>
      <c r="R244" s="31">
        <f>Liste!N244</f>
        <v>0</v>
      </c>
      <c r="S244" s="7">
        <v>0</v>
      </c>
      <c r="T244" s="7">
        <v>0</v>
      </c>
      <c r="U244" s="7">
        <v>0</v>
      </c>
      <c r="V244" s="7"/>
      <c r="W244" s="60"/>
      <c r="X244" s="60"/>
      <c r="Y244" s="60"/>
      <c r="Z244" s="7"/>
      <c r="AA244" s="7"/>
      <c r="AB244" s="60"/>
      <c r="AC244" s="60"/>
      <c r="AD244" s="60"/>
      <c r="AE244" s="7"/>
      <c r="AF244" s="7"/>
      <c r="AG244" s="7"/>
      <c r="AH244" s="7"/>
      <c r="AI244" s="7"/>
      <c r="AJ244" s="7">
        <f>Liste!X244</f>
        <v>0</v>
      </c>
      <c r="AK244" s="7">
        <f>Liste!Y244</f>
        <v>0</v>
      </c>
      <c r="AL244" s="7"/>
      <c r="AM244" s="7"/>
      <c r="AN244" s="7"/>
      <c r="AO244" s="1113">
        <f>Liste!D244</f>
        <v>0</v>
      </c>
      <c r="AP244" s="1113">
        <f>Liste!F244</f>
        <v>0</v>
      </c>
      <c r="AQ244" s="1113">
        <f>Liste!E244</f>
        <v>0</v>
      </c>
      <c r="AR244" s="1113">
        <f>Liste!G244</f>
        <v>0</v>
      </c>
      <c r="AS244" s="1112">
        <f>Liste!V244</f>
        <v>1</v>
      </c>
      <c r="AT244" s="1">
        <f>Liste!M244</f>
        <v>0</v>
      </c>
      <c r="AZ244" s="5" t="s">
        <v>31317</v>
      </c>
      <c r="BA244" s="4" t="s">
        <v>101</v>
      </c>
      <c r="BB244" s="4">
        <v>746</v>
      </c>
      <c r="BD244" s="35"/>
      <c r="BE244" s="35"/>
      <c r="BF244" s="2118" t="str">
        <f>Liste!R244</f>
        <v>0720141</v>
      </c>
      <c r="BG244" s="2137">
        <f>IF(AS244&gt;0,Liste!S244,0)</f>
        <v>0</v>
      </c>
      <c r="BH244" s="2118" t="str">
        <f>Liste!T244</f>
        <v>L</v>
      </c>
    </row>
    <row r="245" spans="1:60" ht="24.95" customHeight="1" x14ac:dyDescent="0.25">
      <c r="A245" s="29"/>
      <c r="B245" s="46" t="str">
        <f>IF(Liste!O245&gt;0,Liste!O245,Liste!B245)</f>
        <v>Motorwandplatte GCC Antrieb schmal verzinkt</v>
      </c>
      <c r="C245" s="2314"/>
      <c r="D245" s="30" t="str">
        <f>Liste!C245</f>
        <v>0308062</v>
      </c>
      <c r="E245" s="2314"/>
      <c r="F245" s="32">
        <f t="shared" si="20"/>
        <v>1</v>
      </c>
      <c r="G245" s="2314"/>
      <c r="H245" s="32">
        <f t="shared" si="21"/>
        <v>0</v>
      </c>
      <c r="I245" s="2314"/>
      <c r="J245" s="32">
        <f t="shared" si="22"/>
        <v>0</v>
      </c>
      <c r="K245" s="2314"/>
      <c r="L245" s="31">
        <f t="shared" si="23"/>
        <v>0</v>
      </c>
      <c r="M245" s="2314"/>
      <c r="N245" s="31" t="str">
        <f>Liste!L245</f>
        <v>Stk</v>
      </c>
      <c r="O245" s="31"/>
      <c r="P245" s="31"/>
      <c r="Q245" s="31">
        <f>Liste!P245</f>
        <v>0</v>
      </c>
      <c r="R245" s="31">
        <f>Liste!N245</f>
        <v>0</v>
      </c>
      <c r="S245" s="7">
        <v>0</v>
      </c>
      <c r="T245" s="7">
        <v>0</v>
      </c>
      <c r="U245" s="7">
        <v>0</v>
      </c>
      <c r="V245" s="7"/>
      <c r="W245" s="60"/>
      <c r="X245" s="60"/>
      <c r="Y245" s="60"/>
      <c r="Z245" s="7"/>
      <c r="AA245" s="7"/>
      <c r="AB245" s="60"/>
      <c r="AC245" s="60"/>
      <c r="AD245" s="60"/>
      <c r="AE245" s="7"/>
      <c r="AF245" s="7"/>
      <c r="AG245" s="7"/>
      <c r="AH245" s="7"/>
      <c r="AI245" s="7"/>
      <c r="AJ245" s="7">
        <f>Liste!X245</f>
        <v>0</v>
      </c>
      <c r="AK245" s="7">
        <f>Liste!Y245</f>
        <v>0</v>
      </c>
      <c r="AL245" s="7"/>
      <c r="AM245" s="7"/>
      <c r="AN245" s="7"/>
      <c r="AO245" s="1113">
        <f>Liste!D245</f>
        <v>1</v>
      </c>
      <c r="AP245" s="1113">
        <f>Liste!F245</f>
        <v>382</v>
      </c>
      <c r="AQ245" s="1113">
        <f>Liste!E245</f>
        <v>750</v>
      </c>
      <c r="AR245" s="1113">
        <f>Liste!G245</f>
        <v>3</v>
      </c>
      <c r="AS245" s="1112">
        <f>Liste!V245</f>
        <v>1</v>
      </c>
      <c r="AT245" s="1" t="str">
        <f>Liste!M245</f>
        <v>Stahlblech verz.</v>
      </c>
      <c r="AZ245" s="5" t="s">
        <v>31318</v>
      </c>
      <c r="BA245" s="4" t="s">
        <v>101</v>
      </c>
      <c r="BB245" s="4">
        <v>747</v>
      </c>
      <c r="BD245" s="35"/>
      <c r="BE245" s="35"/>
      <c r="BF245" s="2118" t="str">
        <f>Liste!R245</f>
        <v>0308062</v>
      </c>
      <c r="BG245" s="2137">
        <f>IF(AS245&gt;0,Liste!S245,0)</f>
        <v>1</v>
      </c>
      <c r="BH245" s="2118" t="str">
        <f>Liste!T245</f>
        <v>Stk</v>
      </c>
    </row>
    <row r="246" spans="1:60" ht="24.95" customHeight="1" x14ac:dyDescent="0.25">
      <c r="A246" s="29"/>
      <c r="B246" s="46" t="str">
        <f>IF(Liste!O246&gt;0,Liste!O246,Liste!B246)</f>
        <v>Motorwandplatte GCC Antrieb schmal V2A</v>
      </c>
      <c r="C246" s="2314"/>
      <c r="D246" s="30" t="str">
        <f>Liste!C246</f>
        <v>0338062</v>
      </c>
      <c r="E246" s="2314"/>
      <c r="F246" s="32">
        <f t="shared" si="20"/>
        <v>0</v>
      </c>
      <c r="G246" s="2314"/>
      <c r="H246" s="32">
        <f t="shared" si="21"/>
        <v>0</v>
      </c>
      <c r="I246" s="2314"/>
      <c r="J246" s="32">
        <f t="shared" si="22"/>
        <v>0</v>
      </c>
      <c r="K246" s="2314"/>
      <c r="L246" s="31">
        <f t="shared" si="23"/>
        <v>0</v>
      </c>
      <c r="M246" s="2314"/>
      <c r="N246" s="31" t="str">
        <f>Liste!L246</f>
        <v>Stk</v>
      </c>
      <c r="O246" s="31"/>
      <c r="P246" s="31"/>
      <c r="Q246" s="31">
        <f>Liste!P246</f>
        <v>0</v>
      </c>
      <c r="R246" s="31">
        <f>Liste!N246</f>
        <v>0</v>
      </c>
      <c r="S246" s="7">
        <v>0</v>
      </c>
      <c r="T246" s="7">
        <v>0</v>
      </c>
      <c r="U246" s="7">
        <v>0</v>
      </c>
      <c r="V246" s="7"/>
      <c r="W246" s="60"/>
      <c r="X246" s="60"/>
      <c r="Y246" s="60"/>
      <c r="Z246" s="7"/>
      <c r="AA246" s="7"/>
      <c r="AB246" s="60"/>
      <c r="AC246" s="60"/>
      <c r="AD246" s="60"/>
      <c r="AE246" s="7"/>
      <c r="AF246" s="7"/>
      <c r="AG246" s="7"/>
      <c r="AH246" s="7"/>
      <c r="AI246" s="7"/>
      <c r="AJ246" s="7">
        <f>Liste!X246</f>
        <v>0</v>
      </c>
      <c r="AK246" s="7">
        <f>Liste!Y246</f>
        <v>1</v>
      </c>
      <c r="AL246" s="7"/>
      <c r="AM246" s="7"/>
      <c r="AN246" s="7"/>
      <c r="AO246" s="1113">
        <f>Liste!D246</f>
        <v>0</v>
      </c>
      <c r="AP246" s="1113">
        <f>Liste!F246</f>
        <v>382</v>
      </c>
      <c r="AQ246" s="1113">
        <f>Liste!E246</f>
        <v>750</v>
      </c>
      <c r="AR246" s="1113">
        <f>Liste!G246</f>
        <v>3</v>
      </c>
      <c r="AS246" s="1112">
        <f>Liste!V246</f>
        <v>1</v>
      </c>
      <c r="AT246" s="1" t="str">
        <f>Liste!M246</f>
        <v>V2A blank</v>
      </c>
      <c r="AZ246" s="5" t="s">
        <v>31319</v>
      </c>
      <c r="BA246" s="4" t="s">
        <v>101</v>
      </c>
      <c r="BB246" s="4">
        <v>748</v>
      </c>
      <c r="BD246" s="35"/>
      <c r="BE246" s="35"/>
      <c r="BF246" s="2118" t="str">
        <f>Liste!R246</f>
        <v>0338062</v>
      </c>
      <c r="BG246" s="2137">
        <f>IF(AS246&gt;0,Liste!S246,0)</f>
        <v>0</v>
      </c>
      <c r="BH246" s="2118" t="str">
        <f>Liste!T246</f>
        <v>Stk</v>
      </c>
    </row>
    <row r="247" spans="1:60" ht="24.95" customHeight="1" x14ac:dyDescent="0.25">
      <c r="A247" s="29"/>
      <c r="B247" s="46" t="str">
        <f>IF(Liste!O247&gt;0,Liste!O247,Liste!B247)</f>
        <v>Motorwandplatte GCC Antrieb breit verzinkt</v>
      </c>
      <c r="C247" s="2314"/>
      <c r="D247" s="30" t="str">
        <f>Liste!C247</f>
        <v>0308146</v>
      </c>
      <c r="E247" s="2314"/>
      <c r="F247" s="32">
        <f t="shared" si="20"/>
        <v>0</v>
      </c>
      <c r="G247" s="2314"/>
      <c r="H247" s="32">
        <f t="shared" si="21"/>
        <v>0</v>
      </c>
      <c r="I247" s="2314"/>
      <c r="J247" s="32">
        <f t="shared" si="22"/>
        <v>0</v>
      </c>
      <c r="K247" s="2314"/>
      <c r="L247" s="31">
        <f t="shared" si="23"/>
        <v>0</v>
      </c>
      <c r="M247" s="2314"/>
      <c r="N247" s="31" t="str">
        <f>Liste!L247</f>
        <v>Stk</v>
      </c>
      <c r="O247" s="31"/>
      <c r="P247" s="31"/>
      <c r="Q247" s="31">
        <f>Liste!P247</f>
        <v>0</v>
      </c>
      <c r="R247" s="31">
        <f>Liste!N247</f>
        <v>0</v>
      </c>
      <c r="S247" s="7">
        <v>0</v>
      </c>
      <c r="T247" s="7">
        <v>0</v>
      </c>
      <c r="U247" s="7">
        <v>0</v>
      </c>
      <c r="V247" s="7"/>
      <c r="W247" s="60"/>
      <c r="X247" s="60"/>
      <c r="Y247" s="60"/>
      <c r="Z247" s="7"/>
      <c r="AA247" s="7"/>
      <c r="AB247" s="60"/>
      <c r="AC247" s="60"/>
      <c r="AD247" s="60"/>
      <c r="AE247" s="7"/>
      <c r="AF247" s="7"/>
      <c r="AG247" s="7"/>
      <c r="AH247" s="7"/>
      <c r="AI247" s="7"/>
      <c r="AJ247" s="7">
        <f>Liste!X247</f>
        <v>0</v>
      </c>
      <c r="AK247" s="7">
        <f>Liste!Y247</f>
        <v>1</v>
      </c>
      <c r="AL247" s="7"/>
      <c r="AM247" s="7"/>
      <c r="AN247" s="7"/>
      <c r="AO247" s="1113">
        <f>Liste!D247</f>
        <v>0</v>
      </c>
      <c r="AP247" s="1113">
        <f>Liste!F247</f>
        <v>382</v>
      </c>
      <c r="AQ247" s="1113">
        <f>Liste!E247</f>
        <v>2000</v>
      </c>
      <c r="AR247" s="1113">
        <f>Liste!G247</f>
        <v>3</v>
      </c>
      <c r="AS247" s="1112">
        <f>Liste!V247</f>
        <v>1</v>
      </c>
      <c r="AT247" s="1" t="str">
        <f>Liste!M247</f>
        <v>Stahlblech verz.</v>
      </c>
      <c r="AZ247" s="5" t="s">
        <v>31320</v>
      </c>
      <c r="BA247" s="4" t="s">
        <v>101</v>
      </c>
      <c r="BB247" s="4">
        <v>749</v>
      </c>
      <c r="BD247" s="35"/>
      <c r="BE247" s="35"/>
      <c r="BF247" s="2118" t="str">
        <f>Liste!R247</f>
        <v>0308146</v>
      </c>
      <c r="BG247" s="2137">
        <f>IF(AS247&gt;0,Liste!S247,0)</f>
        <v>0</v>
      </c>
      <c r="BH247" s="2118" t="str">
        <f>Liste!T247</f>
        <v>Stk</v>
      </c>
    </row>
    <row r="248" spans="1:60" ht="24.95" customHeight="1" x14ac:dyDescent="0.25">
      <c r="A248" s="29"/>
      <c r="B248" s="46" t="str">
        <f>IF(Liste!O248&gt;0,Liste!O248,Liste!B248)</f>
        <v>Motorwandplatte GCC Antrieb breit V2A</v>
      </c>
      <c r="C248" s="2314"/>
      <c r="D248" s="30" t="str">
        <f>Liste!C248</f>
        <v>0338146</v>
      </c>
      <c r="E248" s="2314"/>
      <c r="F248" s="32">
        <f t="shared" si="20"/>
        <v>0</v>
      </c>
      <c r="G248" s="2314"/>
      <c r="H248" s="32">
        <f t="shared" si="21"/>
        <v>0</v>
      </c>
      <c r="I248" s="2314"/>
      <c r="J248" s="32">
        <f t="shared" si="22"/>
        <v>0</v>
      </c>
      <c r="K248" s="2314"/>
      <c r="L248" s="31">
        <f t="shared" si="23"/>
        <v>0</v>
      </c>
      <c r="M248" s="2314"/>
      <c r="N248" s="31" t="str">
        <f>Liste!L248</f>
        <v>Stk</v>
      </c>
      <c r="O248" s="31"/>
      <c r="P248" s="31"/>
      <c r="Q248" s="31">
        <f>Liste!P248</f>
        <v>0</v>
      </c>
      <c r="R248" s="31">
        <f>Liste!N248</f>
        <v>0</v>
      </c>
      <c r="S248" s="7">
        <v>0</v>
      </c>
      <c r="T248" s="7">
        <v>0</v>
      </c>
      <c r="U248" s="7">
        <v>0</v>
      </c>
      <c r="V248" s="7"/>
      <c r="W248" s="60"/>
      <c r="X248" s="60"/>
      <c r="Y248" s="60"/>
      <c r="Z248" s="7"/>
      <c r="AA248" s="7"/>
      <c r="AB248" s="60"/>
      <c r="AC248" s="60"/>
      <c r="AD248" s="60"/>
      <c r="AE248" s="7"/>
      <c r="AF248" s="7"/>
      <c r="AG248" s="7"/>
      <c r="AH248" s="7"/>
      <c r="AI248" s="7"/>
      <c r="AJ248" s="7">
        <f>Liste!X248</f>
        <v>0</v>
      </c>
      <c r="AK248" s="7">
        <f>Liste!Y248</f>
        <v>1</v>
      </c>
      <c r="AL248" s="7"/>
      <c r="AM248" s="7"/>
      <c r="AN248" s="7"/>
      <c r="AO248" s="1113">
        <f>Liste!D248</f>
        <v>0</v>
      </c>
      <c r="AP248" s="1113">
        <f>Liste!F248</f>
        <v>382</v>
      </c>
      <c r="AQ248" s="1113">
        <f>Liste!E248</f>
        <v>2000</v>
      </c>
      <c r="AR248" s="1113">
        <f>Liste!G248</f>
        <v>3</v>
      </c>
      <c r="AS248" s="1112">
        <f>Liste!V248</f>
        <v>1</v>
      </c>
      <c r="AT248" s="1" t="str">
        <f>Liste!M248</f>
        <v>V2A blank</v>
      </c>
      <c r="AZ248" s="5" t="s">
        <v>31321</v>
      </c>
      <c r="BA248" s="4" t="s">
        <v>101</v>
      </c>
      <c r="BB248" s="4">
        <v>750</v>
      </c>
      <c r="BD248" s="35"/>
      <c r="BE248" s="35"/>
      <c r="BF248" s="2118" t="str">
        <f>Liste!R248</f>
        <v>0338146</v>
      </c>
      <c r="BG248" s="2137">
        <f>IF(AS248&gt;0,Liste!S248,0)</f>
        <v>0</v>
      </c>
      <c r="BH248" s="2118" t="str">
        <f>Liste!T248</f>
        <v>Stk</v>
      </c>
    </row>
    <row r="249" spans="1:60" ht="24.95" customHeight="1" x14ac:dyDescent="0.25">
      <c r="A249" s="29"/>
      <c r="B249" s="46" t="str">
        <f>IF(Liste!O249&gt;0,Liste!O249,Liste!B249)</f>
        <v>Motorwandplatte GCC Antrieb schmal verzinkt</v>
      </c>
      <c r="C249" s="2314"/>
      <c r="D249" s="30" t="str">
        <f>Liste!C249</f>
        <v>0308062</v>
      </c>
      <c r="E249" s="2314"/>
      <c r="F249" s="32">
        <f t="shared" si="20"/>
        <v>0</v>
      </c>
      <c r="G249" s="2314"/>
      <c r="H249" s="32">
        <f t="shared" si="21"/>
        <v>382</v>
      </c>
      <c r="I249" s="2314"/>
      <c r="J249" s="32">
        <f t="shared" si="22"/>
        <v>750</v>
      </c>
      <c r="K249" s="2314"/>
      <c r="L249" s="31">
        <f t="shared" si="23"/>
        <v>0</v>
      </c>
      <c r="M249" s="2314"/>
      <c r="N249" s="31">
        <f>Liste!L249</f>
        <v>0</v>
      </c>
      <c r="O249" s="31"/>
      <c r="P249" s="31"/>
      <c r="Q249" s="31">
        <f>Liste!P249</f>
        <v>0</v>
      </c>
      <c r="R249" s="31">
        <f>Liste!N249</f>
        <v>0</v>
      </c>
      <c r="S249" s="7">
        <v>0</v>
      </c>
      <c r="T249" s="7">
        <v>0</v>
      </c>
      <c r="U249" s="7">
        <v>0</v>
      </c>
      <c r="V249" s="7"/>
      <c r="W249" s="60"/>
      <c r="X249" s="60"/>
      <c r="Y249" s="60"/>
      <c r="Z249" s="7"/>
      <c r="AA249" s="7"/>
      <c r="AB249" s="60"/>
      <c r="AC249" s="60"/>
      <c r="AD249" s="60"/>
      <c r="AE249" s="7"/>
      <c r="AF249" s="7"/>
      <c r="AG249" s="7"/>
      <c r="AH249" s="7"/>
      <c r="AI249" s="7"/>
      <c r="AJ249" s="7">
        <f>Liste!X249</f>
        <v>0</v>
      </c>
      <c r="AK249" s="7">
        <f>Liste!Y249</f>
        <v>0</v>
      </c>
      <c r="AL249" s="7"/>
      <c r="AM249" s="7"/>
      <c r="AN249" s="7"/>
      <c r="AO249" s="1113">
        <f>Liste!D249</f>
        <v>0</v>
      </c>
      <c r="AP249" s="1113">
        <f>Liste!F249</f>
        <v>382</v>
      </c>
      <c r="AQ249" s="1113">
        <f>Liste!E249</f>
        <v>750</v>
      </c>
      <c r="AR249" s="1113">
        <f>Liste!G249</f>
        <v>0</v>
      </c>
      <c r="AS249" s="1112">
        <f>Liste!V249</f>
        <v>0</v>
      </c>
      <c r="AT249" s="1">
        <f>Liste!M249</f>
        <v>0</v>
      </c>
      <c r="AZ249" s="5" t="s">
        <v>31322</v>
      </c>
      <c r="BA249" s="4" t="s">
        <v>101</v>
      </c>
      <c r="BB249" s="4">
        <v>751</v>
      </c>
      <c r="BD249" s="35"/>
      <c r="BE249" s="35"/>
      <c r="BF249" s="2118" t="str">
        <f>Liste!R249</f>
        <v>0308062</v>
      </c>
      <c r="BG249" s="2137">
        <f>IF(AS249&gt;0,Liste!S249,0)</f>
        <v>0</v>
      </c>
      <c r="BH249" s="2118">
        <f>Liste!T249</f>
        <v>0</v>
      </c>
    </row>
    <row r="250" spans="1:60" ht="24.95" customHeight="1" x14ac:dyDescent="0.25">
      <c r="A250" s="29"/>
      <c r="B250" s="46" t="str">
        <f>IF(Liste!O250&gt;0,Liste!O250,Liste!B250)</f>
        <v>GCC vertikal Doppelgurtumlenkung 35mm verz.</v>
      </c>
      <c r="C250" s="2314"/>
      <c r="D250" s="30" t="str">
        <f>Liste!C250</f>
        <v>0308070</v>
      </c>
      <c r="E250" s="2314"/>
      <c r="F250" s="32">
        <f t="shared" si="20"/>
        <v>0</v>
      </c>
      <c r="G250" s="2314"/>
      <c r="H250" s="32">
        <f t="shared" si="21"/>
        <v>0</v>
      </c>
      <c r="I250" s="2314"/>
      <c r="J250" s="32">
        <f t="shared" si="22"/>
        <v>0</v>
      </c>
      <c r="K250" s="2314"/>
      <c r="L250" s="31">
        <f t="shared" si="23"/>
        <v>0</v>
      </c>
      <c r="M250" s="2314"/>
      <c r="N250" s="31" t="str">
        <f>Liste!L250</f>
        <v>Stk</v>
      </c>
      <c r="O250" s="31"/>
      <c r="P250" s="31"/>
      <c r="Q250" s="31">
        <f>Liste!P250</f>
        <v>0</v>
      </c>
      <c r="R250" s="31">
        <f>Liste!N250</f>
        <v>0</v>
      </c>
      <c r="S250" s="7">
        <v>0</v>
      </c>
      <c r="T250" s="7">
        <v>0</v>
      </c>
      <c r="U250" s="7">
        <v>0</v>
      </c>
      <c r="V250" s="7"/>
      <c r="W250" s="60"/>
      <c r="X250" s="60"/>
      <c r="Y250" s="60"/>
      <c r="Z250" s="7"/>
      <c r="AA250" s="7"/>
      <c r="AB250" s="60"/>
      <c r="AC250" s="60"/>
      <c r="AD250" s="60"/>
      <c r="AE250" s="7"/>
      <c r="AF250" s="7"/>
      <c r="AG250" s="7"/>
      <c r="AH250" s="7"/>
      <c r="AI250" s="7"/>
      <c r="AJ250" s="7">
        <f>Liste!X250</f>
        <v>0</v>
      </c>
      <c r="AK250" s="7">
        <f>Liste!Y250</f>
        <v>0</v>
      </c>
      <c r="AL250" s="7"/>
      <c r="AM250" s="7"/>
      <c r="AN250" s="7"/>
      <c r="AO250" s="1113">
        <f>Liste!D250</f>
        <v>0</v>
      </c>
      <c r="AP250" s="1113">
        <f>Liste!F250</f>
        <v>0</v>
      </c>
      <c r="AQ250" s="1113">
        <f>Liste!E250</f>
        <v>0</v>
      </c>
      <c r="AR250" s="1113">
        <f>Liste!G250</f>
        <v>0</v>
      </c>
      <c r="AS250" s="1112">
        <f>Liste!V250</f>
        <v>1</v>
      </c>
      <c r="AT250" s="1">
        <f>Liste!M250</f>
        <v>0</v>
      </c>
      <c r="AZ250" s="5" t="s">
        <v>31323</v>
      </c>
      <c r="BA250" s="4" t="s">
        <v>101</v>
      </c>
      <c r="BB250" s="4">
        <v>752</v>
      </c>
      <c r="BD250" s="35"/>
      <c r="BE250" s="35"/>
      <c r="BF250" s="2118" t="str">
        <f>Liste!R250</f>
        <v>0308070</v>
      </c>
      <c r="BG250" s="2137">
        <f>IF(AS250&gt;0,Liste!S250,0)</f>
        <v>0</v>
      </c>
      <c r="BH250" s="2118" t="str">
        <f>Liste!T250</f>
        <v>Stk</v>
      </c>
    </row>
    <row r="251" spans="1:60" ht="24.95" customHeight="1" x14ac:dyDescent="0.25">
      <c r="A251" s="29"/>
      <c r="B251" s="46" t="str">
        <f>IF(Liste!O251&gt;0,Liste!O251,Liste!B251)</f>
        <v>GCC vertikal Doppelgurtumlenkung 35mm V2A</v>
      </c>
      <c r="C251" s="2314"/>
      <c r="D251" s="30" t="str">
        <f>Liste!C251</f>
        <v>0338070</v>
      </c>
      <c r="E251" s="2314"/>
      <c r="F251" s="32">
        <f t="shared" si="20"/>
        <v>0</v>
      </c>
      <c r="G251" s="2314"/>
      <c r="H251" s="32">
        <f t="shared" si="21"/>
        <v>0</v>
      </c>
      <c r="I251" s="2314"/>
      <c r="J251" s="32">
        <f t="shared" si="22"/>
        <v>0</v>
      </c>
      <c r="K251" s="2314"/>
      <c r="L251" s="31">
        <f t="shared" si="23"/>
        <v>0</v>
      </c>
      <c r="M251" s="2314"/>
      <c r="N251" s="31" t="str">
        <f>Liste!L251</f>
        <v>Stk</v>
      </c>
      <c r="O251" s="31"/>
      <c r="P251" s="31"/>
      <c r="Q251" s="31">
        <f>Liste!P251</f>
        <v>0</v>
      </c>
      <c r="R251" s="31">
        <f>Liste!N251</f>
        <v>0</v>
      </c>
      <c r="S251" s="7">
        <v>0</v>
      </c>
      <c r="T251" s="7">
        <v>0</v>
      </c>
      <c r="U251" s="7">
        <v>0</v>
      </c>
      <c r="V251" s="7"/>
      <c r="W251" s="60"/>
      <c r="X251" s="60"/>
      <c r="Y251" s="60"/>
      <c r="Z251" s="7"/>
      <c r="AA251" s="7"/>
      <c r="AB251" s="60"/>
      <c r="AC251" s="60"/>
      <c r="AD251" s="60"/>
      <c r="AE251" s="7"/>
      <c r="AF251" s="7"/>
      <c r="AG251" s="7"/>
      <c r="AH251" s="7"/>
      <c r="AI251" s="7"/>
      <c r="AJ251" s="7">
        <f>Liste!X251</f>
        <v>0</v>
      </c>
      <c r="AK251" s="7">
        <f>Liste!Y251</f>
        <v>0</v>
      </c>
      <c r="AL251" s="7"/>
      <c r="AM251" s="7"/>
      <c r="AN251" s="7"/>
      <c r="AO251" s="1113">
        <f>Liste!D251</f>
        <v>0</v>
      </c>
      <c r="AP251" s="1113">
        <f>Liste!F251</f>
        <v>0</v>
      </c>
      <c r="AQ251" s="1113">
        <f>Liste!E251</f>
        <v>0</v>
      </c>
      <c r="AR251" s="1113">
        <f>Liste!G251</f>
        <v>0</v>
      </c>
      <c r="AS251" s="1112">
        <f>Liste!V251</f>
        <v>1</v>
      </c>
      <c r="AT251" s="1">
        <f>Liste!M251</f>
        <v>0</v>
      </c>
      <c r="AZ251" s="5" t="s">
        <v>31324</v>
      </c>
      <c r="BA251" s="4" t="s">
        <v>101</v>
      </c>
      <c r="BB251" s="4">
        <v>753</v>
      </c>
      <c r="BD251" s="35"/>
      <c r="BE251" s="35"/>
      <c r="BF251" s="2118" t="str">
        <f>Liste!R251</f>
        <v>0338070</v>
      </c>
      <c r="BG251" s="2137">
        <f>IF(AS251&gt;0,Liste!S251,0)</f>
        <v>0</v>
      </c>
      <c r="BH251" s="2118" t="str">
        <f>Liste!T251</f>
        <v>Stk</v>
      </c>
    </row>
    <row r="252" spans="1:60" ht="24.95" customHeight="1" x14ac:dyDescent="0.25">
      <c r="A252" s="29"/>
      <c r="B252" s="46">
        <f>IF(Liste!O252&gt;0,Liste!O252,Liste!B252)</f>
        <v>0</v>
      </c>
      <c r="C252" s="2314"/>
      <c r="D252" s="30">
        <f>Liste!C252</f>
        <v>0</v>
      </c>
      <c r="E252" s="2314"/>
      <c r="F252" s="32">
        <f t="shared" si="20"/>
        <v>0</v>
      </c>
      <c r="G252" s="2314"/>
      <c r="H252" s="32">
        <f t="shared" si="21"/>
        <v>0</v>
      </c>
      <c r="I252" s="2314"/>
      <c r="J252" s="32">
        <f t="shared" si="22"/>
        <v>0</v>
      </c>
      <c r="K252" s="2314"/>
      <c r="L252" s="31">
        <f t="shared" si="23"/>
        <v>0</v>
      </c>
      <c r="M252" s="2314"/>
      <c r="N252" s="31">
        <f>Liste!L252</f>
        <v>0</v>
      </c>
      <c r="O252" s="31"/>
      <c r="P252" s="31"/>
      <c r="Q252" s="31">
        <f>Liste!P252</f>
        <v>0</v>
      </c>
      <c r="R252" s="31">
        <f>Liste!N252</f>
        <v>0</v>
      </c>
      <c r="S252" s="7">
        <v>0</v>
      </c>
      <c r="T252" s="7">
        <v>0</v>
      </c>
      <c r="U252" s="7">
        <v>0</v>
      </c>
      <c r="V252" s="7"/>
      <c r="W252" s="60"/>
      <c r="X252" s="60"/>
      <c r="Y252" s="60"/>
      <c r="Z252" s="7"/>
      <c r="AA252" s="7"/>
      <c r="AB252" s="60"/>
      <c r="AC252" s="60"/>
      <c r="AD252" s="60"/>
      <c r="AE252" s="7"/>
      <c r="AF252" s="7"/>
      <c r="AG252" s="7"/>
      <c r="AH252" s="7"/>
      <c r="AI252" s="7"/>
      <c r="AJ252" s="7">
        <f>Liste!X252</f>
        <v>0</v>
      </c>
      <c r="AK252" s="7">
        <f>Liste!Y252</f>
        <v>0</v>
      </c>
      <c r="AL252" s="7"/>
      <c r="AM252" s="7"/>
      <c r="AN252" s="7"/>
      <c r="AO252" s="1113">
        <f>Liste!D252</f>
        <v>0</v>
      </c>
      <c r="AP252" s="1113">
        <f>Liste!F252</f>
        <v>0</v>
      </c>
      <c r="AQ252" s="1113">
        <f>Liste!E252</f>
        <v>0</v>
      </c>
      <c r="AR252" s="1113">
        <f>Liste!G252</f>
        <v>0</v>
      </c>
      <c r="AS252" s="1112">
        <f>Liste!V252</f>
        <v>0</v>
      </c>
      <c r="AT252" s="1">
        <f>Liste!M252</f>
        <v>0</v>
      </c>
      <c r="AZ252" s="5" t="s">
        <v>31325</v>
      </c>
      <c r="BA252" s="4" t="s">
        <v>101</v>
      </c>
      <c r="BB252" s="4">
        <v>754</v>
      </c>
      <c r="BD252" s="35"/>
      <c r="BE252" s="35"/>
      <c r="BF252" s="2118">
        <f>Liste!R252</f>
        <v>0</v>
      </c>
      <c r="BG252" s="2137">
        <f>IF(AS252&gt;0,Liste!S252,0)</f>
        <v>0</v>
      </c>
      <c r="BH252" s="2118">
        <f>Liste!T252</f>
        <v>0</v>
      </c>
    </row>
    <row r="253" spans="1:60" ht="24.95" customHeight="1" x14ac:dyDescent="0.25">
      <c r="A253" s="29"/>
      <c r="B253" s="46" t="str">
        <f>IF(Liste!O253&gt;0,Liste!O253,Liste!B253)</f>
        <v>Auflaufkonsolen</v>
      </c>
      <c r="C253" s="2314"/>
      <c r="D253" s="30">
        <f>Liste!C253</f>
        <v>0</v>
      </c>
      <c r="E253" s="2314"/>
      <c r="F253" s="32">
        <f t="shared" si="20"/>
        <v>0</v>
      </c>
      <c r="G253" s="2314"/>
      <c r="H253" s="32">
        <f t="shared" si="21"/>
        <v>0</v>
      </c>
      <c r="I253" s="2314"/>
      <c r="J253" s="32">
        <f t="shared" si="22"/>
        <v>0</v>
      </c>
      <c r="K253" s="2314"/>
      <c r="L253" s="31">
        <f t="shared" si="23"/>
        <v>0</v>
      </c>
      <c r="M253" s="2314"/>
      <c r="N253" s="31">
        <f>Liste!L253</f>
        <v>0</v>
      </c>
      <c r="O253" s="31"/>
      <c r="P253" s="31"/>
      <c r="Q253" s="31">
        <f>Liste!P253</f>
        <v>0</v>
      </c>
      <c r="R253" s="31">
        <f>Liste!N253</f>
        <v>0</v>
      </c>
      <c r="S253" s="7">
        <v>0</v>
      </c>
      <c r="T253" s="7">
        <v>0</v>
      </c>
      <c r="U253" s="7">
        <v>0</v>
      </c>
      <c r="V253" s="7"/>
      <c r="W253" s="60"/>
      <c r="X253" s="60"/>
      <c r="Y253" s="60"/>
      <c r="Z253" s="7"/>
      <c r="AA253" s="7"/>
      <c r="AB253" s="60"/>
      <c r="AC253" s="60"/>
      <c r="AD253" s="60"/>
      <c r="AE253" s="7"/>
      <c r="AF253" s="7"/>
      <c r="AG253" s="7"/>
      <c r="AH253" s="7"/>
      <c r="AI253" s="7"/>
      <c r="AJ253" s="7">
        <f>Liste!X253</f>
        <v>0</v>
      </c>
      <c r="AK253" s="7">
        <f>Liste!Y253</f>
        <v>0</v>
      </c>
      <c r="AL253" s="7"/>
      <c r="AM253" s="7"/>
      <c r="AN253" s="7"/>
      <c r="AO253" s="1113">
        <f>Liste!D253</f>
        <v>0</v>
      </c>
      <c r="AP253" s="1113">
        <f>Liste!F253</f>
        <v>0</v>
      </c>
      <c r="AQ253" s="1113">
        <f>Liste!E253</f>
        <v>0</v>
      </c>
      <c r="AR253" s="1113">
        <f>Liste!G253</f>
        <v>0</v>
      </c>
      <c r="AS253" s="1112">
        <f>Liste!V253</f>
        <v>0</v>
      </c>
      <c r="AT253" s="1">
        <f>Liste!M253</f>
        <v>0</v>
      </c>
      <c r="AZ253" s="5" t="s">
        <v>31326</v>
      </c>
      <c r="BA253" s="4" t="s">
        <v>101</v>
      </c>
      <c r="BB253" s="4">
        <v>755</v>
      </c>
      <c r="BD253" s="35"/>
      <c r="BE253" s="35"/>
      <c r="BF253" s="2118">
        <f>Liste!R253</f>
        <v>0</v>
      </c>
      <c r="BG253" s="2137">
        <f>IF(AS253&gt;0,Liste!S253,0)</f>
        <v>0</v>
      </c>
      <c r="BH253" s="2118">
        <f>Liste!T253</f>
        <v>0</v>
      </c>
    </row>
    <row r="254" spans="1:60" ht="24.95" customHeight="1" x14ac:dyDescent="0.25">
      <c r="A254" s="29"/>
      <c r="B254" s="46" t="str">
        <f>IF(Liste!O254&gt;0,Liste!O254,Liste!B254)</f>
        <v>GCC horizontal Konsole r0 500mm verzinkt</v>
      </c>
      <c r="C254" s="2314"/>
      <c r="D254" s="30" t="str">
        <f>Liste!C254</f>
        <v>0308026</v>
      </c>
      <c r="E254" s="2314"/>
      <c r="F254" s="32">
        <f t="shared" si="20"/>
        <v>0</v>
      </c>
      <c r="G254" s="2314"/>
      <c r="H254" s="32">
        <f t="shared" si="21"/>
        <v>0</v>
      </c>
      <c r="I254" s="2314"/>
      <c r="J254" s="32">
        <f t="shared" si="22"/>
        <v>0</v>
      </c>
      <c r="K254" s="2314"/>
      <c r="L254" s="31">
        <f t="shared" si="23"/>
        <v>0</v>
      </c>
      <c r="M254" s="2314"/>
      <c r="N254" s="31" t="str">
        <f>Liste!L254</f>
        <v>Stk</v>
      </c>
      <c r="O254" s="31"/>
      <c r="P254" s="31"/>
      <c r="Q254" s="31">
        <f>Liste!P254</f>
        <v>0</v>
      </c>
      <c r="R254" s="31">
        <f>Liste!N254</f>
        <v>0</v>
      </c>
      <c r="S254" s="7">
        <v>0</v>
      </c>
      <c r="T254" s="7">
        <v>0</v>
      </c>
      <c r="U254" s="7">
        <v>0</v>
      </c>
      <c r="V254" s="7"/>
      <c r="W254" s="60"/>
      <c r="X254" s="60"/>
      <c r="Y254" s="60"/>
      <c r="Z254" s="7"/>
      <c r="AA254" s="7"/>
      <c r="AB254" s="60"/>
      <c r="AC254" s="60"/>
      <c r="AD254" s="60"/>
      <c r="AE254" s="7"/>
      <c r="AF254" s="7"/>
      <c r="AG254" s="7"/>
      <c r="AH254" s="7"/>
      <c r="AI254" s="7"/>
      <c r="AJ254" s="7">
        <f>Liste!X254</f>
        <v>0</v>
      </c>
      <c r="AK254" s="7">
        <f>Liste!Y254</f>
        <v>0</v>
      </c>
      <c r="AL254" s="7"/>
      <c r="AM254" s="7"/>
      <c r="AN254" s="7"/>
      <c r="AO254" s="1113">
        <f>Liste!D254</f>
        <v>0</v>
      </c>
      <c r="AP254" s="1113">
        <f>Liste!F254</f>
        <v>211</v>
      </c>
      <c r="AQ254" s="1113">
        <f>Liste!E254</f>
        <v>682</v>
      </c>
      <c r="AR254" s="1113">
        <f>Liste!G254</f>
        <v>5</v>
      </c>
      <c r="AS254" s="1112">
        <f>Liste!V254</f>
        <v>1</v>
      </c>
      <c r="AT254" s="1">
        <f>Liste!M254</f>
        <v>0</v>
      </c>
      <c r="AZ254" s="5" t="s">
        <v>31327</v>
      </c>
      <c r="BA254" s="4" t="s">
        <v>101</v>
      </c>
      <c r="BB254" s="4">
        <v>756</v>
      </c>
      <c r="BD254" s="35"/>
      <c r="BE254" s="35"/>
      <c r="BF254" s="2118" t="str">
        <f>Liste!R254</f>
        <v>0308026</v>
      </c>
      <c r="BG254" s="2137">
        <f>IF(AS254&gt;0,Liste!S254,0)</f>
        <v>0</v>
      </c>
      <c r="BH254" s="2118">
        <f>Liste!T254</f>
        <v>0</v>
      </c>
    </row>
    <row r="255" spans="1:60" ht="24.95" customHeight="1" x14ac:dyDescent="0.25">
      <c r="A255" s="29"/>
      <c r="B255" s="46" t="str">
        <f>IF(Liste!O255&gt;0,Liste!O255,Liste!B255)</f>
        <v>GCC horizontal Konsole r0 500mm V2A</v>
      </c>
      <c r="C255" s="2314"/>
      <c r="D255" s="30" t="str">
        <f>Liste!C255</f>
        <v>0338026</v>
      </c>
      <c r="E255" s="2314"/>
      <c r="F255" s="32">
        <f t="shared" si="20"/>
        <v>0</v>
      </c>
      <c r="G255" s="2314"/>
      <c r="H255" s="32">
        <f t="shared" si="21"/>
        <v>0</v>
      </c>
      <c r="I255" s="2314"/>
      <c r="J255" s="32">
        <f t="shared" si="22"/>
        <v>0</v>
      </c>
      <c r="K255" s="2314"/>
      <c r="L255" s="31">
        <f t="shared" si="23"/>
        <v>0</v>
      </c>
      <c r="M255" s="2314"/>
      <c r="N255" s="31" t="str">
        <f>Liste!L255</f>
        <v>Stk</v>
      </c>
      <c r="O255" s="31"/>
      <c r="P255" s="31"/>
      <c r="Q255" s="31">
        <f>Liste!P255</f>
        <v>0</v>
      </c>
      <c r="R255" s="31">
        <f>Liste!N255</f>
        <v>0</v>
      </c>
      <c r="S255" s="7">
        <v>0</v>
      </c>
      <c r="T255" s="7">
        <v>0</v>
      </c>
      <c r="U255" s="7">
        <v>0</v>
      </c>
      <c r="V255" s="7"/>
      <c r="W255" s="60"/>
      <c r="X255" s="60"/>
      <c r="Y255" s="60"/>
      <c r="Z255" s="7"/>
      <c r="AA255" s="7"/>
      <c r="AB255" s="60"/>
      <c r="AC255" s="60"/>
      <c r="AD255" s="60"/>
      <c r="AE255" s="7"/>
      <c r="AF255" s="7"/>
      <c r="AG255" s="7"/>
      <c r="AH255" s="7"/>
      <c r="AI255" s="7"/>
      <c r="AJ255" s="7">
        <f>Liste!X255</f>
        <v>0</v>
      </c>
      <c r="AK255" s="7">
        <f>Liste!Y255</f>
        <v>0</v>
      </c>
      <c r="AL255" s="7"/>
      <c r="AM255" s="7"/>
      <c r="AN255" s="7"/>
      <c r="AO255" s="1113">
        <f>Liste!D255</f>
        <v>0</v>
      </c>
      <c r="AP255" s="1113">
        <f>Liste!F255</f>
        <v>211</v>
      </c>
      <c r="AQ255" s="1113">
        <f>Liste!E255</f>
        <v>682</v>
      </c>
      <c r="AR255" s="1113">
        <f>Liste!G255</f>
        <v>5</v>
      </c>
      <c r="AS255" s="1112">
        <f>Liste!V255</f>
        <v>1</v>
      </c>
      <c r="AT255" s="1">
        <f>Liste!M255</f>
        <v>0</v>
      </c>
      <c r="AZ255" s="5" t="s">
        <v>31328</v>
      </c>
      <c r="BA255" s="4" t="s">
        <v>101</v>
      </c>
      <c r="BB255" s="4">
        <v>757</v>
      </c>
      <c r="BD255" s="35"/>
      <c r="BE255" s="35"/>
      <c r="BF255" s="2118" t="str">
        <f>Liste!R255</f>
        <v>0338026</v>
      </c>
      <c r="BG255" s="2137">
        <f>IF(AS255&gt;0,Liste!S255,0)</f>
        <v>0</v>
      </c>
      <c r="BH255" s="2118">
        <f>Liste!T255</f>
        <v>0</v>
      </c>
    </row>
    <row r="256" spans="1:60" ht="24.95" customHeight="1" x14ac:dyDescent="0.25">
      <c r="A256" s="29"/>
      <c r="B256" s="46" t="str">
        <f>IF(Liste!O256&gt;0,Liste!O256,Liste!B256)</f>
        <v>GCC horizontal Konsole r0 400mm verzinkt</v>
      </c>
      <c r="C256" s="2314"/>
      <c r="D256" s="30" t="str">
        <f>Liste!C256</f>
        <v>0308025</v>
      </c>
      <c r="E256" s="2314"/>
      <c r="F256" s="32">
        <f t="shared" si="20"/>
        <v>0</v>
      </c>
      <c r="G256" s="2314"/>
      <c r="H256" s="32">
        <f t="shared" si="21"/>
        <v>0</v>
      </c>
      <c r="I256" s="2314"/>
      <c r="J256" s="32">
        <f t="shared" si="22"/>
        <v>0</v>
      </c>
      <c r="K256" s="2314"/>
      <c r="L256" s="31">
        <f t="shared" si="23"/>
        <v>0</v>
      </c>
      <c r="M256" s="2314"/>
      <c r="N256" s="31" t="str">
        <f>Liste!L256</f>
        <v>Stk</v>
      </c>
      <c r="O256" s="31"/>
      <c r="P256" s="31"/>
      <c r="Q256" s="31">
        <f>Liste!P256</f>
        <v>0</v>
      </c>
      <c r="R256" s="31">
        <f>Liste!N256</f>
        <v>0</v>
      </c>
      <c r="S256" s="7">
        <v>0</v>
      </c>
      <c r="T256" s="7">
        <v>0</v>
      </c>
      <c r="U256" s="7">
        <v>0</v>
      </c>
      <c r="V256" s="7"/>
      <c r="W256" s="60"/>
      <c r="X256" s="60"/>
      <c r="Y256" s="60"/>
      <c r="Z256" s="7"/>
      <c r="AA256" s="7"/>
      <c r="AB256" s="60"/>
      <c r="AC256" s="60"/>
      <c r="AD256" s="60"/>
      <c r="AE256" s="7"/>
      <c r="AF256" s="7"/>
      <c r="AG256" s="7"/>
      <c r="AH256" s="7"/>
      <c r="AI256" s="7"/>
      <c r="AJ256" s="7">
        <f>Liste!X256</f>
        <v>0</v>
      </c>
      <c r="AK256" s="7">
        <f>Liste!Y256</f>
        <v>0</v>
      </c>
      <c r="AL256" s="7"/>
      <c r="AM256" s="7"/>
      <c r="AN256" s="7"/>
      <c r="AO256" s="1113">
        <f>Liste!D256</f>
        <v>0</v>
      </c>
      <c r="AP256" s="1113">
        <f>Liste!F256</f>
        <v>211</v>
      </c>
      <c r="AQ256" s="1113">
        <f>Liste!E256</f>
        <v>582</v>
      </c>
      <c r="AR256" s="1113">
        <f>Liste!G256</f>
        <v>5</v>
      </c>
      <c r="AS256" s="1112">
        <f>Liste!V256</f>
        <v>1</v>
      </c>
      <c r="AT256" s="1">
        <f>Liste!M256</f>
        <v>0</v>
      </c>
      <c r="AZ256" s="5" t="s">
        <v>31329</v>
      </c>
      <c r="BA256" s="4" t="s">
        <v>101</v>
      </c>
      <c r="BB256" s="4">
        <v>758</v>
      </c>
      <c r="BD256" s="35"/>
      <c r="BE256" s="35"/>
      <c r="BF256" s="2118" t="str">
        <f>Liste!R256</f>
        <v>0308025</v>
      </c>
      <c r="BG256" s="2137">
        <f>IF(AS256&gt;0,Liste!S256,0)</f>
        <v>0</v>
      </c>
      <c r="BH256" s="2118">
        <f>Liste!T256</f>
        <v>0</v>
      </c>
    </row>
    <row r="257" spans="1:60" ht="24.95" customHeight="1" x14ac:dyDescent="0.25">
      <c r="A257" s="29"/>
      <c r="B257" s="46" t="str">
        <f>IF(Liste!O257&gt;0,Liste!O257,Liste!B257)</f>
        <v>GCC horizontal Konsole r0 400mm V2A</v>
      </c>
      <c r="C257" s="2314"/>
      <c r="D257" s="30" t="str">
        <f>Liste!C257</f>
        <v>0338025</v>
      </c>
      <c r="E257" s="2314"/>
      <c r="F257" s="32">
        <f t="shared" si="20"/>
        <v>0</v>
      </c>
      <c r="G257" s="2314"/>
      <c r="H257" s="32">
        <f t="shared" si="21"/>
        <v>0</v>
      </c>
      <c r="I257" s="2314"/>
      <c r="J257" s="32">
        <f t="shared" si="22"/>
        <v>0</v>
      </c>
      <c r="K257" s="2314"/>
      <c r="L257" s="31">
        <f t="shared" si="23"/>
        <v>0</v>
      </c>
      <c r="M257" s="2314"/>
      <c r="N257" s="31" t="str">
        <f>Liste!L257</f>
        <v>Stk</v>
      </c>
      <c r="O257" s="31"/>
      <c r="P257" s="31"/>
      <c r="Q257" s="31">
        <f>Liste!P257</f>
        <v>0</v>
      </c>
      <c r="R257" s="31">
        <f>Liste!N257</f>
        <v>0</v>
      </c>
      <c r="S257" s="7">
        <v>0</v>
      </c>
      <c r="T257" s="7">
        <v>0</v>
      </c>
      <c r="U257" s="7">
        <v>0</v>
      </c>
      <c r="V257" s="7"/>
      <c r="W257" s="60"/>
      <c r="X257" s="60"/>
      <c r="Y257" s="60"/>
      <c r="Z257" s="7"/>
      <c r="AA257" s="7"/>
      <c r="AB257" s="60"/>
      <c r="AC257" s="60"/>
      <c r="AD257" s="60"/>
      <c r="AE257" s="7"/>
      <c r="AF257" s="7"/>
      <c r="AG257" s="7"/>
      <c r="AH257" s="7"/>
      <c r="AI257" s="7"/>
      <c r="AJ257" s="7">
        <f>Liste!X257</f>
        <v>0</v>
      </c>
      <c r="AK257" s="7">
        <f>Liste!Y257</f>
        <v>0</v>
      </c>
      <c r="AL257" s="7"/>
      <c r="AM257" s="7"/>
      <c r="AN257" s="7"/>
      <c r="AO257" s="1113">
        <f>Liste!D257</f>
        <v>0</v>
      </c>
      <c r="AP257" s="1113">
        <f>Liste!F257</f>
        <v>211</v>
      </c>
      <c r="AQ257" s="1113">
        <f>Liste!E257</f>
        <v>582</v>
      </c>
      <c r="AR257" s="1113">
        <f>Liste!G257</f>
        <v>5</v>
      </c>
      <c r="AS257" s="1112">
        <f>Liste!V257</f>
        <v>1</v>
      </c>
      <c r="AT257" s="1">
        <f>Liste!M257</f>
        <v>0</v>
      </c>
      <c r="AZ257" s="5" t="s">
        <v>31330</v>
      </c>
      <c r="BA257" s="4" t="s">
        <v>101</v>
      </c>
      <c r="BB257" s="4">
        <v>759</v>
      </c>
      <c r="BD257" s="35"/>
      <c r="BE257" s="35"/>
      <c r="BF257" s="2118" t="str">
        <f>Liste!R257</f>
        <v>0338025</v>
      </c>
      <c r="BG257" s="2137">
        <f>IF(AS257&gt;0,Liste!S257,0)</f>
        <v>0</v>
      </c>
      <c r="BH257" s="2118">
        <f>Liste!T257</f>
        <v>0</v>
      </c>
    </row>
    <row r="258" spans="1:60" ht="24.95" customHeight="1" x14ac:dyDescent="0.25">
      <c r="A258" s="29"/>
      <c r="B258" s="46" t="str">
        <f>IF(Liste!O258&gt;0,Liste!O258,Liste!B258)</f>
        <v>GCC horizontal Konsole r0 300mm verzinkt</v>
      </c>
      <c r="C258" s="2314"/>
      <c r="D258" s="30" t="str">
        <f>Liste!C258</f>
        <v>0308018</v>
      </c>
      <c r="E258" s="2314"/>
      <c r="F258" s="32">
        <f t="shared" si="20"/>
        <v>0</v>
      </c>
      <c r="G258" s="2314"/>
      <c r="H258" s="32">
        <f t="shared" si="21"/>
        <v>0</v>
      </c>
      <c r="I258" s="2314"/>
      <c r="J258" s="32">
        <f t="shared" si="22"/>
        <v>0</v>
      </c>
      <c r="K258" s="2314"/>
      <c r="L258" s="31">
        <f t="shared" si="23"/>
        <v>0</v>
      </c>
      <c r="M258" s="2314"/>
      <c r="N258" s="31" t="str">
        <f>Liste!L258</f>
        <v>Stk</v>
      </c>
      <c r="O258" s="31"/>
      <c r="P258" s="31"/>
      <c r="Q258" s="31">
        <f>Liste!P258</f>
        <v>0</v>
      </c>
      <c r="R258" s="31">
        <f>Liste!N258</f>
        <v>0</v>
      </c>
      <c r="S258" s="7">
        <v>0</v>
      </c>
      <c r="T258" s="7">
        <v>0</v>
      </c>
      <c r="U258" s="7">
        <v>0</v>
      </c>
      <c r="V258" s="7"/>
      <c r="W258" s="60"/>
      <c r="X258" s="60"/>
      <c r="Y258" s="60"/>
      <c r="Z258" s="7"/>
      <c r="AA258" s="7"/>
      <c r="AB258" s="60"/>
      <c r="AC258" s="60"/>
      <c r="AD258" s="60"/>
      <c r="AE258" s="7"/>
      <c r="AF258" s="7"/>
      <c r="AG258" s="7"/>
      <c r="AH258" s="7"/>
      <c r="AI258" s="7"/>
      <c r="AJ258" s="7">
        <f>Liste!X258</f>
        <v>0</v>
      </c>
      <c r="AK258" s="7">
        <f>Liste!Y258</f>
        <v>0</v>
      </c>
      <c r="AL258" s="7"/>
      <c r="AM258" s="7"/>
      <c r="AN258" s="7"/>
      <c r="AO258" s="1113">
        <f>Liste!D258</f>
        <v>0</v>
      </c>
      <c r="AP258" s="1113">
        <f>Liste!F258</f>
        <v>211</v>
      </c>
      <c r="AQ258" s="1113">
        <f>Liste!E258</f>
        <v>482</v>
      </c>
      <c r="AR258" s="1113">
        <f>Liste!G258</f>
        <v>5</v>
      </c>
      <c r="AS258" s="1112">
        <f>Liste!V258</f>
        <v>1</v>
      </c>
      <c r="AT258" s="1">
        <f>Liste!M258</f>
        <v>0</v>
      </c>
      <c r="AZ258" s="5" t="s">
        <v>31331</v>
      </c>
      <c r="BA258" s="4" t="s">
        <v>101</v>
      </c>
      <c r="BB258" s="4">
        <v>760</v>
      </c>
      <c r="BD258" s="35"/>
      <c r="BE258" s="35"/>
      <c r="BF258" s="2118" t="str">
        <f>Liste!R258</f>
        <v>0308018</v>
      </c>
      <c r="BG258" s="2137">
        <f>IF(AS258&gt;0,Liste!S258,0)</f>
        <v>0</v>
      </c>
      <c r="BH258" s="2118">
        <f>Liste!T258</f>
        <v>0</v>
      </c>
    </row>
    <row r="259" spans="1:60" ht="24.95" customHeight="1" x14ac:dyDescent="0.25">
      <c r="A259" s="29"/>
      <c r="B259" s="46" t="str">
        <f>IF(Liste!O259&gt;0,Liste!O259,Liste!B259)</f>
        <v>GCC horizontal Konsole r0 300mm V2A</v>
      </c>
      <c r="C259" s="2314"/>
      <c r="D259" s="30" t="str">
        <f>Liste!C259</f>
        <v>0338018</v>
      </c>
      <c r="E259" s="2314"/>
      <c r="F259" s="32">
        <f t="shared" si="20"/>
        <v>0</v>
      </c>
      <c r="G259" s="2314"/>
      <c r="H259" s="32">
        <f t="shared" si="21"/>
        <v>0</v>
      </c>
      <c r="I259" s="2314"/>
      <c r="J259" s="32">
        <f t="shared" si="22"/>
        <v>0</v>
      </c>
      <c r="K259" s="2314"/>
      <c r="L259" s="31">
        <f t="shared" si="23"/>
        <v>0</v>
      </c>
      <c r="M259" s="2314"/>
      <c r="N259" s="31" t="str">
        <f>Liste!L259</f>
        <v>Stk</v>
      </c>
      <c r="O259" s="31"/>
      <c r="P259" s="31"/>
      <c r="Q259" s="31">
        <f>Liste!P259</f>
        <v>0</v>
      </c>
      <c r="R259" s="31">
        <f>Liste!N259</f>
        <v>0</v>
      </c>
      <c r="S259" s="7">
        <v>0</v>
      </c>
      <c r="T259" s="7">
        <v>0</v>
      </c>
      <c r="U259" s="7">
        <v>0</v>
      </c>
      <c r="V259" s="7"/>
      <c r="W259" s="60"/>
      <c r="X259" s="60"/>
      <c r="Y259" s="60"/>
      <c r="Z259" s="7"/>
      <c r="AA259" s="7"/>
      <c r="AB259" s="60"/>
      <c r="AC259" s="60"/>
      <c r="AD259" s="60"/>
      <c r="AE259" s="7"/>
      <c r="AF259" s="7"/>
      <c r="AG259" s="7"/>
      <c r="AH259" s="7"/>
      <c r="AI259" s="7"/>
      <c r="AJ259" s="7">
        <f>Liste!X259</f>
        <v>0</v>
      </c>
      <c r="AK259" s="7">
        <f>Liste!Y259</f>
        <v>0</v>
      </c>
      <c r="AL259" s="7"/>
      <c r="AM259" s="7"/>
      <c r="AN259" s="7"/>
      <c r="AO259" s="1113">
        <f>Liste!D259</f>
        <v>0</v>
      </c>
      <c r="AP259" s="1113">
        <f>Liste!F259</f>
        <v>211</v>
      </c>
      <c r="AQ259" s="1113">
        <f>Liste!E259</f>
        <v>482</v>
      </c>
      <c r="AR259" s="1113">
        <f>Liste!G259</f>
        <v>5</v>
      </c>
      <c r="AS259" s="1112">
        <f>Liste!V259</f>
        <v>1</v>
      </c>
      <c r="AT259" s="1">
        <f>Liste!M259</f>
        <v>0</v>
      </c>
      <c r="AZ259" s="5" t="s">
        <v>28039</v>
      </c>
      <c r="BA259" s="4" t="s">
        <v>101</v>
      </c>
      <c r="BB259" s="4">
        <v>761</v>
      </c>
      <c r="BD259" s="35"/>
      <c r="BE259" s="35"/>
      <c r="BF259" s="2118" t="str">
        <f>Liste!R259</f>
        <v>0338018</v>
      </c>
      <c r="BG259" s="2137">
        <f>IF(AS259&gt;0,Liste!S259,0)</f>
        <v>0</v>
      </c>
      <c r="BH259" s="2118">
        <f>Liste!T259</f>
        <v>0</v>
      </c>
    </row>
    <row r="260" spans="1:60" ht="24.95" customHeight="1" x14ac:dyDescent="0.25">
      <c r="A260" s="29"/>
      <c r="B260" s="46">
        <f>IF(Liste!O260&gt;0,Liste!O260,Liste!B260)</f>
        <v>40</v>
      </c>
      <c r="C260" s="2314"/>
      <c r="D260" s="30" t="str">
        <f>Liste!C260</f>
        <v>0202024</v>
      </c>
      <c r="E260" s="2314"/>
      <c r="F260" s="32">
        <f t="shared" si="20"/>
        <v>0</v>
      </c>
      <c r="G260" s="2314"/>
      <c r="H260" s="32">
        <f t="shared" si="21"/>
        <v>1100</v>
      </c>
      <c r="I260" s="2314"/>
      <c r="J260" s="32">
        <f t="shared" si="22"/>
        <v>120</v>
      </c>
      <c r="K260" s="2314"/>
      <c r="L260" s="31">
        <f t="shared" si="23"/>
        <v>0</v>
      </c>
      <c r="M260" s="2314"/>
      <c r="N260" s="31" t="str">
        <f>Liste!L260</f>
        <v>MM2</v>
      </c>
      <c r="O260" s="31"/>
      <c r="P260" s="31"/>
      <c r="Q260" s="31" t="str">
        <f>Liste!P260</f>
        <v>A</v>
      </c>
      <c r="R260" s="31" t="str">
        <f>Liste!N260</f>
        <v>Platten für Auflaufkonsolen</v>
      </c>
      <c r="S260" s="7">
        <v>0</v>
      </c>
      <c r="T260" s="7">
        <v>0</v>
      </c>
      <c r="U260" s="7">
        <v>0</v>
      </c>
      <c r="V260" s="7"/>
      <c r="W260" s="60"/>
      <c r="X260" s="60"/>
      <c r="Y260" s="60"/>
      <c r="Z260" s="7"/>
      <c r="AA260" s="7"/>
      <c r="AB260" s="60"/>
      <c r="AC260" s="60"/>
      <c r="AD260" s="60"/>
      <c r="AE260" s="7"/>
      <c r="AF260" s="7"/>
      <c r="AG260" s="7"/>
      <c r="AH260" s="7"/>
      <c r="AI260" s="7"/>
      <c r="AJ260" s="7">
        <f>Liste!X260</f>
        <v>0</v>
      </c>
      <c r="AK260" s="7">
        <f>Liste!Y260</f>
        <v>0</v>
      </c>
      <c r="AL260" s="7"/>
      <c r="AM260" s="7"/>
      <c r="AN260" s="7"/>
      <c r="AO260" s="1113">
        <f>Liste!D260</f>
        <v>0</v>
      </c>
      <c r="AP260" s="1113">
        <f>Liste!F260</f>
        <v>1100</v>
      </c>
      <c r="AQ260" s="1113">
        <f>Liste!E260</f>
        <v>120</v>
      </c>
      <c r="AR260" s="1113">
        <f>Liste!G260</f>
        <v>0</v>
      </c>
      <c r="AS260" s="1112">
        <f>Liste!V260</f>
        <v>1</v>
      </c>
      <c r="AT260" s="1">
        <f>Liste!M260</f>
        <v>0</v>
      </c>
      <c r="AZ260" s="5" t="s">
        <v>28040</v>
      </c>
      <c r="BA260" s="4" t="s">
        <v>101</v>
      </c>
      <c r="BB260" s="4">
        <v>762</v>
      </c>
      <c r="BD260" s="35"/>
      <c r="BE260" s="35"/>
      <c r="BF260" s="2118" t="str">
        <f>Liste!R260</f>
        <v>0202024</v>
      </c>
      <c r="BG260" s="2137">
        <f>IF(AS260&gt;0,Liste!S260,0)</f>
        <v>0</v>
      </c>
      <c r="BH260" s="2118" t="str">
        <f>Liste!T260</f>
        <v>m²</v>
      </c>
    </row>
    <row r="261" spans="1:60" ht="24.95" customHeight="1" x14ac:dyDescent="0.25">
      <c r="A261" s="29"/>
      <c r="B261" s="46">
        <f>IF(Liste!O261&gt;0,Liste!O261,Liste!B261)</f>
        <v>41</v>
      </c>
      <c r="C261" s="2314"/>
      <c r="D261" s="30" t="str">
        <f>Liste!C261</f>
        <v>0202024</v>
      </c>
      <c r="E261" s="2314"/>
      <c r="F261" s="32">
        <f t="shared" si="20"/>
        <v>0</v>
      </c>
      <c r="G261" s="2314"/>
      <c r="H261" s="32">
        <f t="shared" si="21"/>
        <v>0</v>
      </c>
      <c r="I261" s="2314"/>
      <c r="J261" s="32">
        <f t="shared" si="22"/>
        <v>120</v>
      </c>
      <c r="K261" s="2314"/>
      <c r="L261" s="31">
        <f t="shared" si="23"/>
        <v>0</v>
      </c>
      <c r="M261" s="2314"/>
      <c r="N261" s="31" t="str">
        <f>Liste!L261</f>
        <v>MM2</v>
      </c>
      <c r="O261" s="31"/>
      <c r="P261" s="31"/>
      <c r="Q261" s="31" t="str">
        <f>Liste!P261</f>
        <v>A</v>
      </c>
      <c r="R261" s="31" t="str">
        <f>Liste!N261</f>
        <v>Platten für Auflaufkonsolen</v>
      </c>
      <c r="S261" s="7">
        <v>0</v>
      </c>
      <c r="T261" s="7">
        <v>0</v>
      </c>
      <c r="U261" s="7">
        <v>0</v>
      </c>
      <c r="V261" s="7"/>
      <c r="W261" s="60"/>
      <c r="X261" s="60"/>
      <c r="Y261" s="60"/>
      <c r="Z261" s="7"/>
      <c r="AA261" s="7"/>
      <c r="AB261" s="60"/>
      <c r="AC261" s="60"/>
      <c r="AD261" s="60"/>
      <c r="AE261" s="7"/>
      <c r="AF261" s="7"/>
      <c r="AG261" s="7"/>
      <c r="AH261" s="7"/>
      <c r="AI261" s="7"/>
      <c r="AJ261" s="7">
        <f>Liste!X261</f>
        <v>0</v>
      </c>
      <c r="AK261" s="7">
        <f>Liste!Y261</f>
        <v>0</v>
      </c>
      <c r="AL261" s="7"/>
      <c r="AM261" s="7"/>
      <c r="AN261" s="7"/>
      <c r="AO261" s="1113">
        <f>Liste!D261</f>
        <v>0</v>
      </c>
      <c r="AP261" s="1113">
        <f>Liste!F261</f>
        <v>0</v>
      </c>
      <c r="AQ261" s="1113">
        <f>Liste!E261</f>
        <v>120</v>
      </c>
      <c r="AR261" s="1113">
        <f>Liste!G261</f>
        <v>0</v>
      </c>
      <c r="AS261" s="1112">
        <f>Liste!V261</f>
        <v>1</v>
      </c>
      <c r="AT261" s="1">
        <f>Liste!M261</f>
        <v>0</v>
      </c>
      <c r="AZ261" s="5" t="s">
        <v>28041</v>
      </c>
      <c r="BA261" s="4" t="s">
        <v>101</v>
      </c>
      <c r="BB261" s="4">
        <v>763</v>
      </c>
      <c r="BD261" s="35"/>
      <c r="BE261" s="35"/>
      <c r="BF261" s="2118" t="str">
        <f>Liste!R261</f>
        <v>0202024</v>
      </c>
      <c r="BG261" s="2137">
        <f>IF(AS261&gt;0,Liste!S261,0)</f>
        <v>0</v>
      </c>
      <c r="BH261" s="2118" t="str">
        <f>Liste!T261</f>
        <v>m²</v>
      </c>
    </row>
    <row r="262" spans="1:60" ht="24.95" customHeight="1" x14ac:dyDescent="0.25">
      <c r="A262" s="29"/>
      <c r="B262" s="46" t="str">
        <f>IF(Liste!O262&gt;0,Liste!O262,Liste!B262)</f>
        <v>Dichtrahmen</v>
      </c>
      <c r="C262" s="2314"/>
      <c r="D262" s="30">
        <f>Liste!C262</f>
        <v>0</v>
      </c>
      <c r="E262" s="2314"/>
      <c r="F262" s="32">
        <f t="shared" si="20"/>
        <v>0</v>
      </c>
      <c r="G262" s="2314"/>
      <c r="H262" s="32">
        <f t="shared" si="21"/>
        <v>0</v>
      </c>
      <c r="I262" s="2314"/>
      <c r="J262" s="32">
        <f t="shared" si="22"/>
        <v>0</v>
      </c>
      <c r="K262" s="2314"/>
      <c r="L262" s="31">
        <f t="shared" si="23"/>
        <v>0</v>
      </c>
      <c r="M262" s="2314"/>
      <c r="N262" s="31" t="str">
        <f>Liste!L262</f>
        <v>MM</v>
      </c>
      <c r="O262" s="31"/>
      <c r="P262" s="31"/>
      <c r="Q262" s="31">
        <f>Liste!P262</f>
        <v>0</v>
      </c>
      <c r="R262" s="31">
        <f>Liste!N262</f>
        <v>0</v>
      </c>
      <c r="S262" s="7">
        <v>0</v>
      </c>
      <c r="T262" s="7">
        <v>0</v>
      </c>
      <c r="U262" s="7">
        <v>0</v>
      </c>
      <c r="V262" s="7"/>
      <c r="W262" s="60"/>
      <c r="X262" s="60"/>
      <c r="Y262" s="60"/>
      <c r="Z262" s="7"/>
      <c r="AA262" s="7"/>
      <c r="AB262" s="60"/>
      <c r="AC262" s="60"/>
      <c r="AD262" s="60"/>
      <c r="AE262" s="7"/>
      <c r="AF262" s="7"/>
      <c r="AG262" s="7"/>
      <c r="AH262" s="7"/>
      <c r="AI262" s="7"/>
      <c r="AJ262" s="7">
        <f>Liste!X262</f>
        <v>0</v>
      </c>
      <c r="AK262" s="7">
        <f>Liste!Y262</f>
        <v>0</v>
      </c>
      <c r="AL262" s="7"/>
      <c r="AM262" s="7"/>
      <c r="AN262" s="7"/>
      <c r="AO262" s="1113">
        <f>Liste!D262</f>
        <v>0</v>
      </c>
      <c r="AP262" s="1113">
        <f>Liste!F262</f>
        <v>0</v>
      </c>
      <c r="AQ262" s="1113">
        <f>Liste!E262</f>
        <v>0</v>
      </c>
      <c r="AR262" s="1113">
        <f>Liste!G262</f>
        <v>0</v>
      </c>
      <c r="AS262" s="1112">
        <f>Liste!V262</f>
        <v>0</v>
      </c>
      <c r="AT262" s="1">
        <f>Liste!M262</f>
        <v>0</v>
      </c>
      <c r="AZ262" s="5" t="s">
        <v>28042</v>
      </c>
      <c r="BA262" s="4" t="s">
        <v>101</v>
      </c>
      <c r="BB262" s="4">
        <v>764</v>
      </c>
      <c r="BD262" s="35"/>
      <c r="BE262" s="35"/>
      <c r="BF262" s="2118">
        <f>Liste!R262</f>
        <v>0</v>
      </c>
      <c r="BG262" s="2137">
        <f>IF(AS262&gt;0,Liste!S262,0)</f>
        <v>0</v>
      </c>
      <c r="BH262" s="2118">
        <f>Liste!T262</f>
        <v>0</v>
      </c>
    </row>
    <row r="263" spans="1:60" ht="24.95" customHeight="1" x14ac:dyDescent="0.25">
      <c r="A263" s="29"/>
      <c r="B263" s="46" t="str">
        <f>IF(Liste!O263&gt;0,Liste!O263,Liste!B263)</f>
        <v>Fireflystreifen 2100 x 100 mm Dichtrahmen OS hor / GCC</v>
      </c>
      <c r="C263" s="2314"/>
      <c r="D263" s="30" t="str">
        <f>Liste!C263</f>
        <v>0305029</v>
      </c>
      <c r="E263" s="2314"/>
      <c r="F263" s="32">
        <f t="shared" si="20"/>
        <v>1</v>
      </c>
      <c r="G263" s="2314"/>
      <c r="H263" s="32">
        <f t="shared" si="21"/>
        <v>1100</v>
      </c>
      <c r="I263" s="2314"/>
      <c r="J263" s="32">
        <f t="shared" si="22"/>
        <v>100</v>
      </c>
      <c r="K263" s="2314"/>
      <c r="L263" s="31">
        <f t="shared" si="23"/>
        <v>0</v>
      </c>
      <c r="M263" s="2314"/>
      <c r="N263" s="31" t="str">
        <f>Liste!L263</f>
        <v>MM</v>
      </c>
      <c r="O263" s="31"/>
      <c r="P263" s="31"/>
      <c r="Q263" s="31">
        <f>Liste!P263</f>
        <v>0</v>
      </c>
      <c r="R263" s="31">
        <f>Liste!N263</f>
        <v>0</v>
      </c>
      <c r="S263" s="7">
        <v>0</v>
      </c>
      <c r="T263" s="7">
        <v>0</v>
      </c>
      <c r="U263" s="7">
        <v>0</v>
      </c>
      <c r="V263" s="7"/>
      <c r="W263" s="60"/>
      <c r="X263" s="60"/>
      <c r="Y263" s="60"/>
      <c r="Z263" s="7"/>
      <c r="AA263" s="7"/>
      <c r="AB263" s="60"/>
      <c r="AC263" s="60"/>
      <c r="AD263" s="60"/>
      <c r="AE263" s="7"/>
      <c r="AF263" s="7"/>
      <c r="AG263" s="7"/>
      <c r="AH263" s="7"/>
      <c r="AI263" s="7"/>
      <c r="AJ263" s="7">
        <f>Liste!X263</f>
        <v>0</v>
      </c>
      <c r="AK263" s="7">
        <f>Liste!Y263</f>
        <v>0</v>
      </c>
      <c r="AL263" s="7"/>
      <c r="AM263" s="7"/>
      <c r="AN263" s="7"/>
      <c r="AO263" s="1113">
        <f>Liste!D263</f>
        <v>1</v>
      </c>
      <c r="AP263" s="1113">
        <f>Liste!F263</f>
        <v>1100</v>
      </c>
      <c r="AQ263" s="1113">
        <f>Liste!E263</f>
        <v>100</v>
      </c>
      <c r="AR263" s="1113">
        <f>Liste!G263</f>
        <v>0</v>
      </c>
      <c r="AS263" s="1112">
        <f>Liste!V263</f>
        <v>1</v>
      </c>
      <c r="AT263" s="1">
        <f>Liste!M263</f>
        <v>0</v>
      </c>
      <c r="AZ263" s="5" t="s">
        <v>28043</v>
      </c>
      <c r="BA263" s="4" t="s">
        <v>101</v>
      </c>
      <c r="BB263" s="4">
        <v>765</v>
      </c>
      <c r="BD263" s="35"/>
      <c r="BE263" s="35"/>
      <c r="BF263" s="2118" t="str">
        <f>Liste!R263</f>
        <v>0305029</v>
      </c>
      <c r="BG263" s="2137">
        <f>IF(AS263&gt;0,Liste!S263,0)</f>
        <v>1.1000000000000001</v>
      </c>
      <c r="BH263" s="2118" t="str">
        <f>Liste!T263</f>
        <v>m</v>
      </c>
    </row>
    <row r="264" spans="1:60" ht="24.95" customHeight="1" x14ac:dyDescent="0.25">
      <c r="A264" s="29"/>
      <c r="B264" s="46" t="str">
        <f>IF(Liste!O264&gt;0,Liste!O264,Liste!B264)</f>
        <v>Promasealstreifen 2150 x 100 mm Dichtrahmen OS hor / GCC</v>
      </c>
      <c r="C264" s="2314"/>
      <c r="D264" s="30" t="str">
        <f>Liste!C264</f>
        <v>0305039</v>
      </c>
      <c r="E264" s="2314"/>
      <c r="F264" s="32">
        <f t="shared" si="20"/>
        <v>0</v>
      </c>
      <c r="G264" s="2314"/>
      <c r="H264" s="32">
        <f t="shared" si="21"/>
        <v>1100</v>
      </c>
      <c r="I264" s="2314"/>
      <c r="J264" s="32">
        <f t="shared" si="22"/>
        <v>100</v>
      </c>
      <c r="K264" s="2314"/>
      <c r="L264" s="31">
        <f t="shared" si="23"/>
        <v>0</v>
      </c>
      <c r="M264" s="2314"/>
      <c r="N264" s="31" t="str">
        <f>Liste!L264</f>
        <v>MM</v>
      </c>
      <c r="O264" s="31"/>
      <c r="P264" s="31"/>
      <c r="Q264" s="31">
        <f>Liste!P264</f>
        <v>0</v>
      </c>
      <c r="R264" s="31">
        <f>Liste!N264</f>
        <v>0</v>
      </c>
      <c r="S264" s="7">
        <v>0</v>
      </c>
      <c r="T264" s="7">
        <v>0</v>
      </c>
      <c r="U264" s="7">
        <v>0</v>
      </c>
      <c r="V264" s="7"/>
      <c r="W264" s="60"/>
      <c r="X264" s="60"/>
      <c r="Y264" s="60"/>
      <c r="Z264" s="7"/>
      <c r="AA264" s="7"/>
      <c r="AB264" s="60"/>
      <c r="AC264" s="60"/>
      <c r="AD264" s="60"/>
      <c r="AE264" s="7"/>
      <c r="AF264" s="7"/>
      <c r="AG264" s="7"/>
      <c r="AH264" s="7"/>
      <c r="AI264" s="7"/>
      <c r="AJ264" s="7">
        <f>Liste!X264</f>
        <v>0</v>
      </c>
      <c r="AK264" s="7">
        <f>Liste!Y264</f>
        <v>0</v>
      </c>
      <c r="AL264" s="7"/>
      <c r="AM264" s="7"/>
      <c r="AN264" s="7"/>
      <c r="AO264" s="1113">
        <f>Liste!D264</f>
        <v>0</v>
      </c>
      <c r="AP264" s="1113">
        <f>Liste!F264</f>
        <v>1100</v>
      </c>
      <c r="AQ264" s="1113">
        <f>Liste!E264</f>
        <v>100</v>
      </c>
      <c r="AR264" s="1113">
        <f>Liste!G264</f>
        <v>0</v>
      </c>
      <c r="AS264" s="1112">
        <f>Liste!V264</f>
        <v>1</v>
      </c>
      <c r="AT264" s="1">
        <f>Liste!M264</f>
        <v>0</v>
      </c>
      <c r="AZ264" s="5" t="s">
        <v>28044</v>
      </c>
      <c r="BA264" s="4" t="s">
        <v>101</v>
      </c>
      <c r="BB264" s="4">
        <v>766</v>
      </c>
      <c r="BD264" s="35"/>
      <c r="BE264" s="35"/>
      <c r="BF264" s="2118" t="str">
        <f>Liste!R264</f>
        <v>0305039</v>
      </c>
      <c r="BG264" s="2137">
        <f>IF(AS264&gt;0,Liste!S264,0)</f>
        <v>0</v>
      </c>
      <c r="BH264" s="2118" t="str">
        <f>Liste!T264</f>
        <v>m</v>
      </c>
    </row>
    <row r="265" spans="1:60" ht="24.95" customHeight="1" x14ac:dyDescent="0.25">
      <c r="A265" s="29"/>
      <c r="B265" s="46" t="str">
        <f>IF(Liste!O265&gt;0,Liste!O265,Liste!B265)</f>
        <v>Fireflystreifen 2100 x 100 mm Dichtrahmen OS hor / GCC</v>
      </c>
      <c r="C265" s="2314"/>
      <c r="D265" s="30" t="str">
        <f>Liste!C265</f>
        <v>0305029</v>
      </c>
      <c r="E265" s="2314"/>
      <c r="F265" s="32">
        <f t="shared" si="20"/>
        <v>0</v>
      </c>
      <c r="G265" s="2314"/>
      <c r="H265" s="32">
        <f t="shared" si="21"/>
        <v>1100</v>
      </c>
      <c r="I265" s="2314"/>
      <c r="J265" s="32">
        <f t="shared" si="22"/>
        <v>0</v>
      </c>
      <c r="K265" s="2314"/>
      <c r="L265" s="31">
        <f t="shared" si="23"/>
        <v>0</v>
      </c>
      <c r="M265" s="2314"/>
      <c r="N265" s="31">
        <f>Liste!L265</f>
        <v>0</v>
      </c>
      <c r="O265" s="31"/>
      <c r="P265" s="31"/>
      <c r="Q265" s="31">
        <f>Liste!P265</f>
        <v>0</v>
      </c>
      <c r="R265" s="31">
        <f>Liste!N265</f>
        <v>0</v>
      </c>
      <c r="S265" s="7">
        <v>0</v>
      </c>
      <c r="T265" s="7">
        <v>0</v>
      </c>
      <c r="U265" s="7">
        <v>0</v>
      </c>
      <c r="V265" s="7"/>
      <c r="W265" s="60"/>
      <c r="X265" s="60"/>
      <c r="Y265" s="60"/>
      <c r="Z265" s="7"/>
      <c r="AA265" s="7"/>
      <c r="AB265" s="60"/>
      <c r="AC265" s="60"/>
      <c r="AD265" s="60"/>
      <c r="AE265" s="7"/>
      <c r="AF265" s="7"/>
      <c r="AG265" s="7"/>
      <c r="AH265" s="7"/>
      <c r="AI265" s="7"/>
      <c r="AJ265" s="7">
        <f>Liste!X265</f>
        <v>0</v>
      </c>
      <c r="AK265" s="7">
        <f>Liste!Y265</f>
        <v>0</v>
      </c>
      <c r="AL265" s="7"/>
      <c r="AM265" s="7"/>
      <c r="AN265" s="7"/>
      <c r="AO265" s="1113">
        <f>Liste!D265</f>
        <v>0</v>
      </c>
      <c r="AP265" s="1113">
        <f>Liste!F265</f>
        <v>1100</v>
      </c>
      <c r="AQ265" s="1113">
        <f>Liste!E265</f>
        <v>0</v>
      </c>
      <c r="AR265" s="1113">
        <f>Liste!G265</f>
        <v>0</v>
      </c>
      <c r="AS265" s="1112">
        <f>Liste!V265</f>
        <v>0</v>
      </c>
      <c r="AT265" s="1">
        <f>Liste!M265</f>
        <v>0</v>
      </c>
      <c r="AZ265" s="5" t="s">
        <v>31332</v>
      </c>
      <c r="BA265" s="4" t="s">
        <v>101</v>
      </c>
      <c r="BB265" s="4">
        <v>767</v>
      </c>
      <c r="BD265" s="35"/>
      <c r="BE265" s="35"/>
      <c r="BF265" s="2118" t="str">
        <f>Liste!R265</f>
        <v>0305029</v>
      </c>
      <c r="BG265" s="2137">
        <f>IF(AS265&gt;0,Liste!S265,0)</f>
        <v>0</v>
      </c>
      <c r="BH265" s="2118">
        <f>Liste!T265</f>
        <v>0</v>
      </c>
    </row>
    <row r="266" spans="1:60" ht="24.95" customHeight="1" x14ac:dyDescent="0.25">
      <c r="A266" s="29"/>
      <c r="B266" s="46" t="str">
        <f>IF(Liste!O266&gt;0,Liste!O266,Liste!B266)</f>
        <v>Fireflystreifen 2100 x 100 mm Dichtrahmen OS hor / GCC</v>
      </c>
      <c r="C266" s="2314"/>
      <c r="D266" s="30" t="str">
        <f>Liste!C266</f>
        <v>0305029</v>
      </c>
      <c r="E266" s="2314"/>
      <c r="F266" s="32">
        <f t="shared" ref="F266:F329" si="28">IF(AS266&gt;0,AO266,0)</f>
        <v>2</v>
      </c>
      <c r="G266" s="2314"/>
      <c r="H266" s="32">
        <f t="shared" ref="H266:H329" si="29">IF(N266=$P$1,0,AP266)</f>
        <v>550</v>
      </c>
      <c r="I266" s="2314"/>
      <c r="J266" s="32">
        <f t="shared" ref="J266:J329" si="30">IF(OR(N266=$P$1,N266=$Q$1),0,AQ266)</f>
        <v>100</v>
      </c>
      <c r="K266" s="2314"/>
      <c r="L266" s="31">
        <f t="shared" ref="L266:L329" si="31">IF(OR(N266=$P$1,N266=$Q$1,$R$1=N266),0,AR266)</f>
        <v>0</v>
      </c>
      <c r="M266" s="2314"/>
      <c r="N266" s="31" t="str">
        <f>Liste!L266</f>
        <v>MM</v>
      </c>
      <c r="O266" s="31"/>
      <c r="P266" s="31"/>
      <c r="Q266" s="31">
        <f>Liste!P266</f>
        <v>0</v>
      </c>
      <c r="R266" s="31">
        <f>Liste!N266</f>
        <v>0</v>
      </c>
      <c r="S266" s="7">
        <v>0</v>
      </c>
      <c r="T266" s="7">
        <v>0</v>
      </c>
      <c r="U266" s="7">
        <v>0</v>
      </c>
      <c r="V266" s="7"/>
      <c r="W266" s="60"/>
      <c r="X266" s="60"/>
      <c r="Y266" s="60"/>
      <c r="Z266" s="7"/>
      <c r="AA266" s="7"/>
      <c r="AB266" s="60"/>
      <c r="AC266" s="60"/>
      <c r="AD266" s="60"/>
      <c r="AE266" s="7"/>
      <c r="AF266" s="7"/>
      <c r="AG266" s="7"/>
      <c r="AH266" s="7"/>
      <c r="AI266" s="7"/>
      <c r="AJ266" s="7">
        <f>Liste!X266</f>
        <v>0</v>
      </c>
      <c r="AK266" s="7">
        <f>Liste!Y266</f>
        <v>0</v>
      </c>
      <c r="AL266" s="7"/>
      <c r="AM266" s="7"/>
      <c r="AN266" s="7"/>
      <c r="AO266" s="1113">
        <f>Liste!D266</f>
        <v>2</v>
      </c>
      <c r="AP266" s="1113">
        <f>Liste!F266</f>
        <v>550</v>
      </c>
      <c r="AQ266" s="1113">
        <f>Liste!E266</f>
        <v>100</v>
      </c>
      <c r="AR266" s="1113">
        <f>Liste!G266</f>
        <v>0</v>
      </c>
      <c r="AS266" s="1112">
        <f>Liste!V266</f>
        <v>1</v>
      </c>
      <c r="AT266" s="1">
        <f>Liste!M266</f>
        <v>0</v>
      </c>
      <c r="AZ266" s="5" t="s">
        <v>31333</v>
      </c>
      <c r="BA266" s="4" t="s">
        <v>101</v>
      </c>
      <c r="BB266" s="4">
        <v>768</v>
      </c>
      <c r="BD266" s="35"/>
      <c r="BE266" s="35"/>
      <c r="BF266" s="2118" t="str">
        <f>Liste!R266</f>
        <v>0305029</v>
      </c>
      <c r="BG266" s="2137">
        <f>IF(AS266&gt;0,Liste!S266,0)</f>
        <v>1.1000000000000001</v>
      </c>
      <c r="BH266" s="2118" t="str">
        <f>Liste!T266</f>
        <v>m</v>
      </c>
    </row>
    <row r="267" spans="1:60" ht="24.95" customHeight="1" x14ac:dyDescent="0.25">
      <c r="A267" s="29"/>
      <c r="B267" s="46" t="str">
        <f>IF(Liste!O267&gt;0,Liste!O267,Liste!B267)</f>
        <v>Promasealstreifen 2150 x 100 mm Dichtrahmen OS hor / GCC</v>
      </c>
      <c r="C267" s="2314"/>
      <c r="D267" s="30" t="str">
        <f>Liste!C267</f>
        <v>0305039</v>
      </c>
      <c r="E267" s="2314"/>
      <c r="F267" s="32">
        <f t="shared" si="28"/>
        <v>0</v>
      </c>
      <c r="G267" s="2314"/>
      <c r="H267" s="32">
        <f t="shared" si="29"/>
        <v>550</v>
      </c>
      <c r="I267" s="2314"/>
      <c r="J267" s="32">
        <f t="shared" si="30"/>
        <v>100</v>
      </c>
      <c r="K267" s="2314"/>
      <c r="L267" s="31">
        <f t="shared" si="31"/>
        <v>0</v>
      </c>
      <c r="M267" s="2314"/>
      <c r="N267" s="31" t="str">
        <f>Liste!L267</f>
        <v>MM</v>
      </c>
      <c r="O267" s="31"/>
      <c r="P267" s="31"/>
      <c r="Q267" s="31">
        <f>Liste!P267</f>
        <v>0</v>
      </c>
      <c r="R267" s="31">
        <f>Liste!N267</f>
        <v>0</v>
      </c>
      <c r="S267" s="7">
        <v>0</v>
      </c>
      <c r="T267" s="7">
        <v>0</v>
      </c>
      <c r="U267" s="7">
        <v>0</v>
      </c>
      <c r="V267" s="7"/>
      <c r="W267" s="60"/>
      <c r="X267" s="60"/>
      <c r="Y267" s="60"/>
      <c r="Z267" s="7"/>
      <c r="AA267" s="7"/>
      <c r="AB267" s="60"/>
      <c r="AC267" s="60"/>
      <c r="AD267" s="60"/>
      <c r="AE267" s="7"/>
      <c r="AF267" s="7"/>
      <c r="AG267" s="7"/>
      <c r="AH267" s="7"/>
      <c r="AI267" s="7"/>
      <c r="AJ267" s="7">
        <f>Liste!X267</f>
        <v>0</v>
      </c>
      <c r="AK267" s="7">
        <f>Liste!Y267</f>
        <v>0</v>
      </c>
      <c r="AL267" s="7"/>
      <c r="AM267" s="7"/>
      <c r="AN267" s="7"/>
      <c r="AO267" s="1113">
        <f>Liste!D267</f>
        <v>0</v>
      </c>
      <c r="AP267" s="1113">
        <f>Liste!F267</f>
        <v>550</v>
      </c>
      <c r="AQ267" s="1113">
        <f>Liste!E267</f>
        <v>100</v>
      </c>
      <c r="AR267" s="1113">
        <f>Liste!G267</f>
        <v>0</v>
      </c>
      <c r="AS267" s="1112">
        <f>Liste!V267</f>
        <v>1</v>
      </c>
      <c r="AT267" s="1">
        <f>Liste!M267</f>
        <v>0</v>
      </c>
      <c r="AZ267" s="5" t="s">
        <v>31334</v>
      </c>
      <c r="BA267" s="4" t="s">
        <v>101</v>
      </c>
      <c r="BB267" s="4">
        <v>769</v>
      </c>
      <c r="BD267" s="35"/>
      <c r="BE267" s="35"/>
      <c r="BF267" s="2118" t="str">
        <f>Liste!R267</f>
        <v>0305039</v>
      </c>
      <c r="BG267" s="2137">
        <f>IF(AS267&gt;0,Liste!S267,0)</f>
        <v>0</v>
      </c>
      <c r="BH267" s="2118" t="str">
        <f>Liste!T267</f>
        <v>m</v>
      </c>
    </row>
    <row r="268" spans="1:60" ht="24.95" customHeight="1" x14ac:dyDescent="0.25">
      <c r="A268" s="29"/>
      <c r="B268" s="46" t="str">
        <f>IF(Liste!O268&gt;0,Liste!O268,Liste!B268)</f>
        <v>Fireflystreifen 2100 x 100 mm Dichtrahmen OS hor / GCC</v>
      </c>
      <c r="C268" s="2314"/>
      <c r="D268" s="30" t="str">
        <f>Liste!C268</f>
        <v>0305029</v>
      </c>
      <c r="E268" s="2314"/>
      <c r="F268" s="32">
        <f t="shared" si="28"/>
        <v>0</v>
      </c>
      <c r="G268" s="2314"/>
      <c r="H268" s="32">
        <f t="shared" si="29"/>
        <v>550</v>
      </c>
      <c r="I268" s="2314"/>
      <c r="J268" s="32">
        <f t="shared" si="30"/>
        <v>0</v>
      </c>
      <c r="K268" s="2314"/>
      <c r="L268" s="31">
        <f t="shared" si="31"/>
        <v>0</v>
      </c>
      <c r="M268" s="2314"/>
      <c r="N268" s="31">
        <f>Liste!L268</f>
        <v>0</v>
      </c>
      <c r="O268" s="31"/>
      <c r="P268" s="31"/>
      <c r="Q268" s="31">
        <f>Liste!P268</f>
        <v>0</v>
      </c>
      <c r="R268" s="31">
        <f>Liste!N268</f>
        <v>0</v>
      </c>
      <c r="S268" s="7">
        <v>0</v>
      </c>
      <c r="T268" s="7">
        <v>0</v>
      </c>
      <c r="U268" s="7">
        <v>0</v>
      </c>
      <c r="V268" s="7"/>
      <c r="W268" s="60"/>
      <c r="X268" s="60"/>
      <c r="Y268" s="60"/>
      <c r="Z268" s="7"/>
      <c r="AA268" s="7"/>
      <c r="AB268" s="60"/>
      <c r="AC268" s="60"/>
      <c r="AD268" s="60"/>
      <c r="AE268" s="7"/>
      <c r="AF268" s="7"/>
      <c r="AG268" s="7"/>
      <c r="AH268" s="7"/>
      <c r="AI268" s="7"/>
      <c r="AJ268" s="7">
        <f>Liste!X268</f>
        <v>0</v>
      </c>
      <c r="AK268" s="7">
        <f>Liste!Y268</f>
        <v>0</v>
      </c>
      <c r="AL268" s="7"/>
      <c r="AM268" s="7"/>
      <c r="AN268" s="7"/>
      <c r="AO268" s="1113">
        <f>Liste!D268</f>
        <v>0</v>
      </c>
      <c r="AP268" s="1113">
        <f>Liste!F268</f>
        <v>550</v>
      </c>
      <c r="AQ268" s="1113">
        <f>Liste!E268</f>
        <v>0</v>
      </c>
      <c r="AR268" s="1113">
        <f>Liste!G268</f>
        <v>0</v>
      </c>
      <c r="AS268" s="1112">
        <f>Liste!V268</f>
        <v>0</v>
      </c>
      <c r="AT268" s="1">
        <f>Liste!M268</f>
        <v>0</v>
      </c>
      <c r="AZ268" s="5" t="s">
        <v>31335</v>
      </c>
      <c r="BA268" s="4" t="s">
        <v>101</v>
      </c>
      <c r="BB268" s="4">
        <v>770</v>
      </c>
      <c r="BD268" s="35"/>
      <c r="BE268" s="35"/>
      <c r="BF268" s="2118" t="str">
        <f>Liste!R268</f>
        <v>0305029</v>
      </c>
      <c r="BG268" s="2137">
        <f>IF(AS268&gt;0,Liste!S268,0)</f>
        <v>0</v>
      </c>
      <c r="BH268" s="2118">
        <f>Liste!T268</f>
        <v>0</v>
      </c>
    </row>
    <row r="269" spans="1:60" ht="24.95" customHeight="1" x14ac:dyDescent="0.25">
      <c r="A269" s="29"/>
      <c r="B269" s="46" t="str">
        <f>IF(Liste!O269&gt;0,Liste!O269,Liste!B269)</f>
        <v>Promatect H-25 Streifen 100mm breit</v>
      </c>
      <c r="C269" s="2314"/>
      <c r="D269" s="30" t="str">
        <f>Liste!C269</f>
        <v>0202024</v>
      </c>
      <c r="E269" s="2314"/>
      <c r="F269" s="32">
        <f t="shared" si="28"/>
        <v>1</v>
      </c>
      <c r="G269" s="2314"/>
      <c r="H269" s="32">
        <f t="shared" si="29"/>
        <v>1100</v>
      </c>
      <c r="I269" s="2314"/>
      <c r="J269" s="32">
        <f t="shared" si="30"/>
        <v>100</v>
      </c>
      <c r="K269" s="2314"/>
      <c r="L269" s="31">
        <f t="shared" si="31"/>
        <v>0</v>
      </c>
      <c r="M269" s="2314"/>
      <c r="N269" s="31" t="str">
        <f>Liste!L269</f>
        <v>MM2</v>
      </c>
      <c r="O269" s="31"/>
      <c r="P269" s="31"/>
      <c r="Q269" s="31">
        <f>Liste!P269</f>
        <v>0</v>
      </c>
      <c r="R269" s="31" t="str">
        <f>Liste!N269</f>
        <v>Dichtrahmen horizontal</v>
      </c>
      <c r="S269" s="7">
        <v>0</v>
      </c>
      <c r="T269" s="7">
        <v>0</v>
      </c>
      <c r="U269" s="7">
        <v>0</v>
      </c>
      <c r="V269" s="7"/>
      <c r="W269" s="60"/>
      <c r="X269" s="60"/>
      <c r="Y269" s="60"/>
      <c r="Z269" s="7"/>
      <c r="AA269" s="7"/>
      <c r="AB269" s="60"/>
      <c r="AC269" s="60"/>
      <c r="AD269" s="60"/>
      <c r="AE269" s="7"/>
      <c r="AF269" s="7"/>
      <c r="AG269" s="7"/>
      <c r="AH269" s="7"/>
      <c r="AI269" s="7"/>
      <c r="AJ269" s="7">
        <f>Liste!X269</f>
        <v>0</v>
      </c>
      <c r="AK269" s="7">
        <f>Liste!Y269</f>
        <v>0</v>
      </c>
      <c r="AL269" s="7"/>
      <c r="AM269" s="7"/>
      <c r="AN269" s="7"/>
      <c r="AO269" s="1113">
        <f>Liste!D269</f>
        <v>1</v>
      </c>
      <c r="AP269" s="1113">
        <f>Liste!F269</f>
        <v>1100</v>
      </c>
      <c r="AQ269" s="1113">
        <f>Liste!E269</f>
        <v>100</v>
      </c>
      <c r="AR269" s="1113">
        <f>Liste!G269</f>
        <v>0</v>
      </c>
      <c r="AS269" s="1112">
        <f>Liste!V269</f>
        <v>1</v>
      </c>
      <c r="AT269" s="1">
        <f>Liste!M269</f>
        <v>0</v>
      </c>
      <c r="AZ269" s="5" t="s">
        <v>31336</v>
      </c>
      <c r="BA269" s="4" t="s">
        <v>101</v>
      </c>
      <c r="BB269" s="4">
        <v>771</v>
      </c>
      <c r="BD269" s="35"/>
      <c r="BE269" s="35"/>
      <c r="BF269" s="2118" t="str">
        <f>Liste!R269</f>
        <v>0202024</v>
      </c>
      <c r="BG269" s="2137">
        <f>IF(AS269&gt;0,Liste!S269,0)</f>
        <v>1.1000000000000001</v>
      </c>
      <c r="BH269" s="2118" t="str">
        <f>Liste!T269</f>
        <v>m2</v>
      </c>
    </row>
    <row r="270" spans="1:60" ht="24.95" customHeight="1" x14ac:dyDescent="0.25">
      <c r="A270" s="29"/>
      <c r="B270" s="46" t="str">
        <f>IF(Liste!O270&gt;0,Liste!O270,Liste!B270)</f>
        <v>Promatect H-25 Streifen 100mm breit</v>
      </c>
      <c r="C270" s="2314"/>
      <c r="D270" s="30" t="str">
        <f>Liste!C270</f>
        <v>0202024</v>
      </c>
      <c r="E270" s="2314"/>
      <c r="F270" s="32">
        <f t="shared" si="28"/>
        <v>0</v>
      </c>
      <c r="G270" s="2314"/>
      <c r="H270" s="32">
        <f t="shared" si="29"/>
        <v>0</v>
      </c>
      <c r="I270" s="2314"/>
      <c r="J270" s="32">
        <f t="shared" si="30"/>
        <v>100</v>
      </c>
      <c r="K270" s="2314"/>
      <c r="L270" s="31">
        <f t="shared" si="31"/>
        <v>0</v>
      </c>
      <c r="M270" s="2314"/>
      <c r="N270" s="31" t="str">
        <f>Liste!L270</f>
        <v>MM2</v>
      </c>
      <c r="O270" s="31"/>
      <c r="P270" s="31"/>
      <c r="Q270" s="31">
        <f>Liste!P270</f>
        <v>0</v>
      </c>
      <c r="R270" s="31" t="str">
        <f>Liste!N270</f>
        <v>Dichtrahmen horizontal</v>
      </c>
      <c r="S270" s="7">
        <v>0</v>
      </c>
      <c r="T270" s="7">
        <v>0</v>
      </c>
      <c r="U270" s="7">
        <v>0</v>
      </c>
      <c r="V270" s="7"/>
      <c r="W270" s="60"/>
      <c r="X270" s="60"/>
      <c r="Y270" s="60"/>
      <c r="Z270" s="7"/>
      <c r="AA270" s="7"/>
      <c r="AB270" s="60"/>
      <c r="AC270" s="60"/>
      <c r="AD270" s="60"/>
      <c r="AE270" s="7"/>
      <c r="AF270" s="7"/>
      <c r="AG270" s="7"/>
      <c r="AH270" s="7"/>
      <c r="AI270" s="7"/>
      <c r="AJ270" s="7">
        <f>Liste!X270</f>
        <v>0</v>
      </c>
      <c r="AK270" s="7">
        <f>Liste!Y270</f>
        <v>0</v>
      </c>
      <c r="AL270" s="7"/>
      <c r="AM270" s="7"/>
      <c r="AN270" s="7"/>
      <c r="AO270" s="1113">
        <f>Liste!D270</f>
        <v>0</v>
      </c>
      <c r="AP270" s="1113">
        <f>Liste!F270</f>
        <v>0</v>
      </c>
      <c r="AQ270" s="1113">
        <f>Liste!E270</f>
        <v>100</v>
      </c>
      <c r="AR270" s="1113">
        <f>Liste!G270</f>
        <v>0</v>
      </c>
      <c r="AS270" s="1112">
        <f>Liste!V270</f>
        <v>1</v>
      </c>
      <c r="AT270" s="1">
        <f>Liste!M270</f>
        <v>0</v>
      </c>
      <c r="AZ270" s="5" t="s">
        <v>28045</v>
      </c>
      <c r="BA270" s="4" t="s">
        <v>101</v>
      </c>
      <c r="BB270" s="4">
        <v>772</v>
      </c>
      <c r="BD270" s="35"/>
      <c r="BE270" s="35"/>
      <c r="BF270" s="2118" t="str">
        <f>Liste!R270</f>
        <v>0202024</v>
      </c>
      <c r="BG270" s="2137">
        <f>IF(AS270&gt;0,Liste!S270,0)</f>
        <v>0</v>
      </c>
      <c r="BH270" s="2118" t="str">
        <f>Liste!T270</f>
        <v>m2</v>
      </c>
    </row>
    <row r="271" spans="1:60" ht="24.95" customHeight="1" x14ac:dyDescent="0.25">
      <c r="A271" s="29"/>
      <c r="B271" s="46" t="str">
        <f>IF(Liste!O271&gt;0,Liste!O271,Liste!B271)</f>
        <v>Promatect H-25 Streifen 100mm breit</v>
      </c>
      <c r="C271" s="2314"/>
      <c r="D271" s="30" t="str">
        <f>Liste!C271</f>
        <v>0202024</v>
      </c>
      <c r="E271" s="2314"/>
      <c r="F271" s="32">
        <f t="shared" si="28"/>
        <v>1</v>
      </c>
      <c r="G271" s="2314"/>
      <c r="H271" s="32">
        <f t="shared" si="29"/>
        <v>550</v>
      </c>
      <c r="I271" s="2314"/>
      <c r="J271" s="32">
        <f t="shared" si="30"/>
        <v>100</v>
      </c>
      <c r="K271" s="2314"/>
      <c r="L271" s="31">
        <f t="shared" si="31"/>
        <v>0</v>
      </c>
      <c r="M271" s="2314"/>
      <c r="N271" s="31" t="str">
        <f>Liste!L271</f>
        <v>MM2</v>
      </c>
      <c r="O271" s="31"/>
      <c r="P271" s="31"/>
      <c r="Q271" s="31">
        <f>Liste!P271</f>
        <v>0</v>
      </c>
      <c r="R271" s="31" t="str">
        <f>Liste!N271</f>
        <v>Dichtrahmen vertikal links</v>
      </c>
      <c r="S271" s="7">
        <v>0</v>
      </c>
      <c r="T271" s="7">
        <v>0</v>
      </c>
      <c r="U271" s="7">
        <v>0</v>
      </c>
      <c r="V271" s="7"/>
      <c r="W271" s="60"/>
      <c r="X271" s="60"/>
      <c r="Y271" s="60"/>
      <c r="Z271" s="7"/>
      <c r="AA271" s="7"/>
      <c r="AB271" s="60"/>
      <c r="AC271" s="60"/>
      <c r="AD271" s="60"/>
      <c r="AE271" s="7"/>
      <c r="AF271" s="7"/>
      <c r="AG271" s="7"/>
      <c r="AH271" s="7"/>
      <c r="AI271" s="7"/>
      <c r="AJ271" s="7">
        <f>Liste!X271</f>
        <v>0</v>
      </c>
      <c r="AK271" s="7">
        <f>Liste!Y271</f>
        <v>0</v>
      </c>
      <c r="AL271" s="7"/>
      <c r="AM271" s="7"/>
      <c r="AN271" s="7"/>
      <c r="AO271" s="1113">
        <f>Liste!D271</f>
        <v>1</v>
      </c>
      <c r="AP271" s="1113">
        <f>Liste!F271</f>
        <v>550</v>
      </c>
      <c r="AQ271" s="1113">
        <f>Liste!E271</f>
        <v>100</v>
      </c>
      <c r="AR271" s="1113">
        <f>Liste!G271</f>
        <v>0</v>
      </c>
      <c r="AS271" s="1112">
        <f>Liste!V271</f>
        <v>1</v>
      </c>
      <c r="AT271" s="1">
        <f>Liste!M271</f>
        <v>0</v>
      </c>
      <c r="AZ271" s="5" t="s">
        <v>28046</v>
      </c>
      <c r="BA271" s="4" t="s">
        <v>101</v>
      </c>
      <c r="BB271" s="4">
        <v>773</v>
      </c>
      <c r="BD271" s="35"/>
      <c r="BE271" s="35"/>
      <c r="BF271" s="2118" t="str">
        <f>Liste!R271</f>
        <v>0202024</v>
      </c>
      <c r="BG271" s="2137">
        <f>IF(AS271&gt;0,Liste!S271,0)</f>
        <v>0.55000000000000004</v>
      </c>
      <c r="BH271" s="2118" t="str">
        <f>Liste!T271</f>
        <v>m2</v>
      </c>
    </row>
    <row r="272" spans="1:60" ht="24.95" customHeight="1" x14ac:dyDescent="0.25">
      <c r="A272" s="29"/>
      <c r="B272" s="46" t="str">
        <f>IF(Liste!O272&gt;0,Liste!O272,Liste!B272)</f>
        <v>Promatect H-25 Streifen 100mm breit</v>
      </c>
      <c r="C272" s="2314"/>
      <c r="D272" s="30" t="str">
        <f>Liste!C272</f>
        <v>0202024</v>
      </c>
      <c r="E272" s="2314"/>
      <c r="F272" s="32">
        <f t="shared" si="28"/>
        <v>0</v>
      </c>
      <c r="G272" s="2314"/>
      <c r="H272" s="32">
        <f t="shared" si="29"/>
        <v>0</v>
      </c>
      <c r="I272" s="2314"/>
      <c r="J272" s="32">
        <f t="shared" si="30"/>
        <v>100</v>
      </c>
      <c r="K272" s="2314"/>
      <c r="L272" s="31">
        <f t="shared" si="31"/>
        <v>0</v>
      </c>
      <c r="M272" s="2314"/>
      <c r="N272" s="31" t="str">
        <f>Liste!L272</f>
        <v>MM2</v>
      </c>
      <c r="O272" s="31"/>
      <c r="P272" s="31"/>
      <c r="Q272" s="31">
        <f>Liste!P272</f>
        <v>0</v>
      </c>
      <c r="R272" s="31" t="str">
        <f>Liste!N272</f>
        <v>Dichtrahmen vertikal links</v>
      </c>
      <c r="S272" s="7">
        <v>0</v>
      </c>
      <c r="T272" s="7">
        <v>0</v>
      </c>
      <c r="U272" s="7">
        <v>0</v>
      </c>
      <c r="V272" s="7"/>
      <c r="W272" s="60"/>
      <c r="X272" s="60"/>
      <c r="Y272" s="60"/>
      <c r="Z272" s="7"/>
      <c r="AA272" s="7"/>
      <c r="AB272" s="60"/>
      <c r="AC272" s="60"/>
      <c r="AD272" s="60"/>
      <c r="AE272" s="7"/>
      <c r="AF272" s="7"/>
      <c r="AG272" s="7"/>
      <c r="AH272" s="7"/>
      <c r="AI272" s="7"/>
      <c r="AJ272" s="7">
        <f>Liste!X272</f>
        <v>0</v>
      </c>
      <c r="AK272" s="7">
        <f>Liste!Y272</f>
        <v>0</v>
      </c>
      <c r="AL272" s="7"/>
      <c r="AM272" s="7"/>
      <c r="AN272" s="7"/>
      <c r="AO272" s="1113">
        <f>Liste!D272</f>
        <v>0</v>
      </c>
      <c r="AP272" s="1113">
        <f>Liste!F272</f>
        <v>0</v>
      </c>
      <c r="AQ272" s="1113">
        <f>Liste!E272</f>
        <v>100</v>
      </c>
      <c r="AR272" s="1113">
        <f>Liste!G272</f>
        <v>0</v>
      </c>
      <c r="AS272" s="1112">
        <f>Liste!V272</f>
        <v>1</v>
      </c>
      <c r="AT272" s="1">
        <f>Liste!M272</f>
        <v>0</v>
      </c>
      <c r="AZ272" s="5" t="s">
        <v>29975</v>
      </c>
      <c r="BA272" s="4" t="s">
        <v>101</v>
      </c>
      <c r="BB272" s="4">
        <v>774</v>
      </c>
      <c r="BD272" s="35"/>
      <c r="BE272" s="35"/>
      <c r="BF272" s="2118" t="str">
        <f>Liste!R272</f>
        <v>0202024</v>
      </c>
      <c r="BG272" s="2137">
        <f>IF(AS272&gt;0,Liste!S272,0)</f>
        <v>0</v>
      </c>
      <c r="BH272" s="2118" t="str">
        <f>Liste!T272</f>
        <v>m2</v>
      </c>
    </row>
    <row r="273" spans="1:60" ht="24.95" customHeight="1" x14ac:dyDescent="0.25">
      <c r="A273" s="29"/>
      <c r="B273" s="46" t="str">
        <f>IF(Liste!O273&gt;0,Liste!O273,Liste!B273)</f>
        <v>Promatect H-25 Streifen 100mm breit</v>
      </c>
      <c r="C273" s="2314"/>
      <c r="D273" s="30" t="str">
        <f>Liste!C273</f>
        <v>0202024</v>
      </c>
      <c r="E273" s="2314"/>
      <c r="F273" s="32">
        <f t="shared" si="28"/>
        <v>1</v>
      </c>
      <c r="G273" s="2314"/>
      <c r="H273" s="32">
        <f t="shared" si="29"/>
        <v>550</v>
      </c>
      <c r="I273" s="2314"/>
      <c r="J273" s="32">
        <f t="shared" si="30"/>
        <v>100</v>
      </c>
      <c r="K273" s="2314"/>
      <c r="L273" s="31">
        <f t="shared" si="31"/>
        <v>0</v>
      </c>
      <c r="M273" s="2314"/>
      <c r="N273" s="31" t="str">
        <f>Liste!L273</f>
        <v>MM2</v>
      </c>
      <c r="O273" s="31"/>
      <c r="P273" s="31"/>
      <c r="Q273" s="31">
        <f>Liste!P273</f>
        <v>0</v>
      </c>
      <c r="R273" s="31" t="str">
        <f>Liste!N273</f>
        <v>Dichtrahmen vertikal rechts</v>
      </c>
      <c r="S273" s="7">
        <v>0</v>
      </c>
      <c r="T273" s="7">
        <v>0</v>
      </c>
      <c r="U273" s="7">
        <v>0</v>
      </c>
      <c r="V273" s="7"/>
      <c r="W273" s="60"/>
      <c r="X273" s="60"/>
      <c r="Y273" s="60"/>
      <c r="Z273" s="7"/>
      <c r="AA273" s="7"/>
      <c r="AB273" s="60"/>
      <c r="AC273" s="60"/>
      <c r="AD273" s="60"/>
      <c r="AE273" s="7"/>
      <c r="AF273" s="7"/>
      <c r="AG273" s="7"/>
      <c r="AH273" s="7"/>
      <c r="AI273" s="7"/>
      <c r="AJ273" s="7">
        <f>Liste!X273</f>
        <v>0</v>
      </c>
      <c r="AK273" s="7">
        <f>Liste!Y273</f>
        <v>0</v>
      </c>
      <c r="AL273" s="7"/>
      <c r="AM273" s="7"/>
      <c r="AN273" s="7"/>
      <c r="AO273" s="1113">
        <f>Liste!D273</f>
        <v>1</v>
      </c>
      <c r="AP273" s="1113">
        <f>Liste!F273</f>
        <v>550</v>
      </c>
      <c r="AQ273" s="1113">
        <f>Liste!E273</f>
        <v>100</v>
      </c>
      <c r="AR273" s="1113">
        <f>Liste!G273</f>
        <v>0</v>
      </c>
      <c r="AS273" s="1112">
        <f>Liste!V273</f>
        <v>1</v>
      </c>
      <c r="AT273" s="1">
        <f>Liste!M273</f>
        <v>0</v>
      </c>
      <c r="AZ273" s="5" t="s">
        <v>28047</v>
      </c>
      <c r="BA273" s="4" t="s">
        <v>101</v>
      </c>
      <c r="BB273" s="4">
        <v>775</v>
      </c>
      <c r="BD273" s="35"/>
      <c r="BE273" s="35"/>
      <c r="BF273" s="2118" t="str">
        <f>Liste!R273</f>
        <v>0202024</v>
      </c>
      <c r="BG273" s="2137">
        <f>IF(AS273&gt;0,Liste!S273,0)</f>
        <v>0.55000000000000004</v>
      </c>
      <c r="BH273" s="2118" t="str">
        <f>Liste!T273</f>
        <v>m2</v>
      </c>
    </row>
    <row r="274" spans="1:60" ht="24.95" customHeight="1" x14ac:dyDescent="0.25">
      <c r="A274" s="29"/>
      <c r="B274" s="46" t="str">
        <f>IF(Liste!O274&gt;0,Liste!O274,Liste!B274)</f>
        <v>Promatect H-25 Streifen 100mm breit</v>
      </c>
      <c r="C274" s="2314"/>
      <c r="D274" s="30" t="str">
        <f>Liste!C274</f>
        <v>0202024</v>
      </c>
      <c r="E274" s="2314"/>
      <c r="F274" s="32">
        <f t="shared" si="28"/>
        <v>0</v>
      </c>
      <c r="G274" s="2314"/>
      <c r="H274" s="32">
        <f t="shared" si="29"/>
        <v>0</v>
      </c>
      <c r="I274" s="2314"/>
      <c r="J274" s="32">
        <f t="shared" si="30"/>
        <v>100</v>
      </c>
      <c r="K274" s="2314"/>
      <c r="L274" s="31">
        <f t="shared" si="31"/>
        <v>0</v>
      </c>
      <c r="M274" s="2314"/>
      <c r="N274" s="31" t="str">
        <f>Liste!L274</f>
        <v>MM2</v>
      </c>
      <c r="O274" s="31"/>
      <c r="P274" s="31"/>
      <c r="Q274" s="31">
        <f>Liste!P274</f>
        <v>0</v>
      </c>
      <c r="R274" s="31" t="str">
        <f>Liste!N274</f>
        <v>Dichtrahmen vertikal rechts</v>
      </c>
      <c r="S274" s="7">
        <v>0</v>
      </c>
      <c r="T274" s="7">
        <v>0</v>
      </c>
      <c r="U274" s="7">
        <v>0</v>
      </c>
      <c r="V274" s="7"/>
      <c r="W274" s="60"/>
      <c r="X274" s="60"/>
      <c r="Y274" s="60"/>
      <c r="Z274" s="7"/>
      <c r="AA274" s="7"/>
      <c r="AB274" s="60"/>
      <c r="AC274" s="60"/>
      <c r="AD274" s="60"/>
      <c r="AE274" s="7"/>
      <c r="AF274" s="7"/>
      <c r="AG274" s="7"/>
      <c r="AH274" s="7"/>
      <c r="AI274" s="7"/>
      <c r="AJ274" s="7">
        <f>Liste!X274</f>
        <v>0</v>
      </c>
      <c r="AK274" s="7">
        <f>Liste!Y274</f>
        <v>0</v>
      </c>
      <c r="AL274" s="7"/>
      <c r="AM274" s="7"/>
      <c r="AN274" s="7"/>
      <c r="AO274" s="1113">
        <f>Liste!D274</f>
        <v>0</v>
      </c>
      <c r="AP274" s="1113">
        <f>Liste!F274</f>
        <v>0</v>
      </c>
      <c r="AQ274" s="1113">
        <f>Liste!E274</f>
        <v>100</v>
      </c>
      <c r="AR274" s="1113">
        <f>Liste!G274</f>
        <v>0</v>
      </c>
      <c r="AS274" s="1112">
        <f>Liste!V274</f>
        <v>1</v>
      </c>
      <c r="AT274" s="1">
        <f>Liste!M274</f>
        <v>0</v>
      </c>
      <c r="AZ274" s="5" t="s">
        <v>28048</v>
      </c>
      <c r="BA274" s="4" t="s">
        <v>101</v>
      </c>
      <c r="BB274" s="4">
        <v>776</v>
      </c>
      <c r="BD274" s="35"/>
      <c r="BE274" s="35"/>
      <c r="BF274" s="2118" t="str">
        <f>Liste!R274</f>
        <v>0202024</v>
      </c>
      <c r="BG274" s="2137">
        <f>IF(AS274&gt;0,Liste!S274,0)</f>
        <v>0</v>
      </c>
      <c r="BH274" s="2118" t="str">
        <f>Liste!T274</f>
        <v>m2</v>
      </c>
    </row>
    <row r="275" spans="1:60" ht="24.95" customHeight="1" x14ac:dyDescent="0.25">
      <c r="A275" s="29"/>
      <c r="B275" s="46" t="str">
        <f>IF(Liste!O275&gt;0,Liste!O275,Liste!B275)</f>
        <v>Dichtrahmenabdeckung</v>
      </c>
      <c r="C275" s="2314"/>
      <c r="D275" s="30">
        <f>Liste!C275</f>
        <v>0</v>
      </c>
      <c r="E275" s="2314"/>
      <c r="F275" s="32">
        <f t="shared" si="28"/>
        <v>0</v>
      </c>
      <c r="G275" s="2314"/>
      <c r="H275" s="32">
        <f t="shared" si="29"/>
        <v>0</v>
      </c>
      <c r="I275" s="2314"/>
      <c r="J275" s="32">
        <f t="shared" si="30"/>
        <v>0</v>
      </c>
      <c r="K275" s="2314"/>
      <c r="L275" s="31">
        <f t="shared" si="31"/>
        <v>0</v>
      </c>
      <c r="M275" s="2314"/>
      <c r="N275" s="31">
        <f>Liste!L275</f>
        <v>0</v>
      </c>
      <c r="O275" s="31"/>
      <c r="P275" s="31"/>
      <c r="Q275" s="31">
        <f>Liste!P275</f>
        <v>0</v>
      </c>
      <c r="R275" s="31">
        <f>Liste!N275</f>
        <v>0</v>
      </c>
      <c r="S275" s="7">
        <v>0</v>
      </c>
      <c r="T275" s="7">
        <v>0</v>
      </c>
      <c r="U275" s="7">
        <v>0</v>
      </c>
      <c r="V275" s="7"/>
      <c r="W275" s="60"/>
      <c r="X275" s="60"/>
      <c r="Y275" s="60"/>
      <c r="Z275" s="7"/>
      <c r="AA275" s="7"/>
      <c r="AB275" s="60"/>
      <c r="AC275" s="60"/>
      <c r="AD275" s="60"/>
      <c r="AE275" s="7"/>
      <c r="AF275" s="7"/>
      <c r="AG275" s="7"/>
      <c r="AH275" s="7"/>
      <c r="AI275" s="7"/>
      <c r="AJ275" s="7">
        <f>Liste!X275</f>
        <v>0</v>
      </c>
      <c r="AK275" s="7">
        <f>Liste!Y275</f>
        <v>0</v>
      </c>
      <c r="AL275" s="7"/>
      <c r="AM275" s="7"/>
      <c r="AN275" s="7"/>
      <c r="AO275" s="1113">
        <f>Liste!D275</f>
        <v>0</v>
      </c>
      <c r="AP275" s="1113">
        <f>Liste!F275</f>
        <v>0</v>
      </c>
      <c r="AQ275" s="1113">
        <f>Liste!E275</f>
        <v>0</v>
      </c>
      <c r="AR275" s="1113">
        <f>Liste!G275</f>
        <v>0</v>
      </c>
      <c r="AS275" s="1112">
        <f>Liste!V275</f>
        <v>0</v>
      </c>
      <c r="AT275" s="1">
        <f>Liste!M275</f>
        <v>0</v>
      </c>
      <c r="AZ275" s="5" t="s">
        <v>31337</v>
      </c>
      <c r="BA275" s="4" t="s">
        <v>101</v>
      </c>
      <c r="BB275" s="4">
        <v>777</v>
      </c>
      <c r="BD275" s="35"/>
      <c r="BE275" s="35"/>
      <c r="BF275" s="2118">
        <f>Liste!R275</f>
        <v>0</v>
      </c>
      <c r="BG275" s="2137">
        <f>IF(AS275&gt;0,Liste!S275,0)</f>
        <v>0</v>
      </c>
      <c r="BH275" s="2118">
        <f>Liste!T275</f>
        <v>0</v>
      </c>
    </row>
    <row r="276" spans="1:60" ht="24.95" customHeight="1" x14ac:dyDescent="0.25">
      <c r="A276" s="29"/>
      <c r="B276" s="46" t="str">
        <f>IF(Liste!O276&gt;0,Liste!O276,Liste!B276)</f>
        <v>Dichtrahmenabdeckung 25 GCC V2A (Teillänge 1)</v>
      </c>
      <c r="C276" s="2314"/>
      <c r="D276" s="30" t="str">
        <f>Liste!C276</f>
        <v>0338440</v>
      </c>
      <c r="E276" s="2314"/>
      <c r="F276" s="32">
        <f t="shared" si="28"/>
        <v>0</v>
      </c>
      <c r="G276" s="2314"/>
      <c r="H276" s="32">
        <f t="shared" si="29"/>
        <v>0</v>
      </c>
      <c r="I276" s="2314"/>
      <c r="J276" s="32">
        <f t="shared" si="30"/>
        <v>0</v>
      </c>
      <c r="K276" s="2314"/>
      <c r="L276" s="31">
        <f t="shared" si="31"/>
        <v>0</v>
      </c>
      <c r="M276" s="2314"/>
      <c r="N276" s="31" t="str">
        <f>Liste!L276</f>
        <v>Stk</v>
      </c>
      <c r="O276" s="31"/>
      <c r="P276" s="31"/>
      <c r="Q276" s="31">
        <f>Liste!P276</f>
        <v>0</v>
      </c>
      <c r="R276" s="31">
        <f>Liste!N276</f>
        <v>0</v>
      </c>
      <c r="S276" s="7">
        <v>0</v>
      </c>
      <c r="T276" s="7">
        <v>0</v>
      </c>
      <c r="U276" s="7">
        <v>0</v>
      </c>
      <c r="V276" s="7"/>
      <c r="W276" s="60"/>
      <c r="X276" s="60"/>
      <c r="Y276" s="60"/>
      <c r="Z276" s="7"/>
      <c r="AA276" s="7"/>
      <c r="AB276" s="60"/>
      <c r="AC276" s="60"/>
      <c r="AD276" s="60"/>
      <c r="AE276" s="7"/>
      <c r="AF276" s="7"/>
      <c r="AG276" s="7"/>
      <c r="AH276" s="7"/>
      <c r="AI276" s="7"/>
      <c r="AJ276" s="7">
        <f>Liste!X276</f>
        <v>0</v>
      </c>
      <c r="AK276" s="7">
        <f>Liste!Y276</f>
        <v>1</v>
      </c>
      <c r="AL276" s="7"/>
      <c r="AM276" s="7"/>
      <c r="AN276" s="7"/>
      <c r="AO276" s="1113">
        <f>Liste!D276</f>
        <v>0</v>
      </c>
      <c r="AP276" s="1113">
        <f>Liste!F276</f>
        <v>550</v>
      </c>
      <c r="AQ276" s="1113">
        <f>Liste!E276</f>
        <v>44.22</v>
      </c>
      <c r="AR276" s="1113">
        <f>Liste!G276</f>
        <v>0.8</v>
      </c>
      <c r="AS276" s="1112">
        <f>Liste!V276</f>
        <v>1</v>
      </c>
      <c r="AT276" s="1" t="str">
        <f>Liste!M276</f>
        <v>V2A blank</v>
      </c>
      <c r="AZ276" s="5" t="s">
        <v>31338</v>
      </c>
      <c r="BA276" s="4" t="s">
        <v>101</v>
      </c>
      <c r="BB276" s="4">
        <v>778</v>
      </c>
      <c r="BD276" s="35"/>
      <c r="BE276" s="35"/>
      <c r="BF276" s="2118" t="str">
        <f>Liste!R276</f>
        <v>0701478</v>
      </c>
      <c r="BG276" s="2137">
        <f>IF(AS276&gt;0,Liste!S276,0)</f>
        <v>0</v>
      </c>
      <c r="BH276" s="2118" t="str">
        <f>Liste!T276</f>
        <v>m²</v>
      </c>
    </row>
    <row r="277" spans="1:60" ht="24.95" customHeight="1" x14ac:dyDescent="0.25">
      <c r="A277" s="29"/>
      <c r="B277" s="46" t="str">
        <f>IF(Liste!O277&gt;0,Liste!O277,Liste!B277)</f>
        <v>Dichtrahmenabdeckung 25 GCC V2A (Teillänge 2)</v>
      </c>
      <c r="C277" s="2314"/>
      <c r="D277" s="30" t="str">
        <f>Liste!C277</f>
        <v>0338440</v>
      </c>
      <c r="E277" s="2314"/>
      <c r="F277" s="32">
        <f t="shared" si="28"/>
        <v>0</v>
      </c>
      <c r="G277" s="2314"/>
      <c r="H277" s="32">
        <f t="shared" si="29"/>
        <v>0</v>
      </c>
      <c r="I277" s="2314"/>
      <c r="J277" s="32">
        <f t="shared" si="30"/>
        <v>0</v>
      </c>
      <c r="K277" s="2314"/>
      <c r="L277" s="31">
        <f t="shared" si="31"/>
        <v>0</v>
      </c>
      <c r="M277" s="2314"/>
      <c r="N277" s="31" t="str">
        <f>Liste!L277</f>
        <v>Stk</v>
      </c>
      <c r="O277" s="31"/>
      <c r="P277" s="31"/>
      <c r="Q277" s="31">
        <f>Liste!P277</f>
        <v>0</v>
      </c>
      <c r="R277" s="31">
        <f>Liste!N277</f>
        <v>0</v>
      </c>
      <c r="S277" s="7">
        <v>0</v>
      </c>
      <c r="T277" s="7">
        <v>0</v>
      </c>
      <c r="U277" s="7">
        <v>0</v>
      </c>
      <c r="V277" s="7"/>
      <c r="W277" s="60"/>
      <c r="X277" s="60"/>
      <c r="Y277" s="60"/>
      <c r="Z277" s="7"/>
      <c r="AA277" s="7"/>
      <c r="AB277" s="60"/>
      <c r="AC277" s="60"/>
      <c r="AD277" s="60"/>
      <c r="AE277" s="7"/>
      <c r="AF277" s="7"/>
      <c r="AG277" s="7"/>
      <c r="AH277" s="7"/>
      <c r="AI277" s="7"/>
      <c r="AJ277" s="7">
        <f>Liste!X277</f>
        <v>0</v>
      </c>
      <c r="AK277" s="7">
        <f>Liste!Y277</f>
        <v>1</v>
      </c>
      <c r="AL277" s="7"/>
      <c r="AM277" s="7"/>
      <c r="AN277" s="7"/>
      <c r="AO277" s="1113">
        <f>Liste!D277</f>
        <v>0</v>
      </c>
      <c r="AP277" s="1113">
        <f>Liste!F277</f>
        <v>0</v>
      </c>
      <c r="AQ277" s="1113">
        <f>Liste!E277</f>
        <v>44.22</v>
      </c>
      <c r="AR277" s="1113">
        <f>Liste!G277</f>
        <v>0.8</v>
      </c>
      <c r="AS277" s="1112">
        <f>Liste!V277</f>
        <v>1</v>
      </c>
      <c r="AT277" s="1" t="str">
        <f>Liste!M277</f>
        <v>V2A blank</v>
      </c>
      <c r="AZ277" s="5" t="s">
        <v>31339</v>
      </c>
      <c r="BA277" s="4" t="s">
        <v>101</v>
      </c>
      <c r="BB277" s="4">
        <v>779</v>
      </c>
      <c r="BD277" s="35"/>
      <c r="BE277" s="35"/>
      <c r="BF277" s="2118" t="str">
        <f>Liste!R277</f>
        <v>0701478</v>
      </c>
      <c r="BG277" s="2137">
        <f>IF(AS277&gt;0,Liste!S277,0)</f>
        <v>0</v>
      </c>
      <c r="BH277" s="2118" t="str">
        <f>Liste!T277</f>
        <v>m²</v>
      </c>
    </row>
    <row r="278" spans="1:60" ht="24.95" customHeight="1" x14ac:dyDescent="0.25">
      <c r="A278" s="29"/>
      <c r="B278" s="46" t="str">
        <f>IF(Liste!O278&gt;0,Liste!O278,Liste!B278)</f>
        <v>Dichtrahmenabdeckung 25 GCC V2A (Teillänge 3)</v>
      </c>
      <c r="C278" s="2314"/>
      <c r="D278" s="30" t="str">
        <f>Liste!C278</f>
        <v>0338440</v>
      </c>
      <c r="E278" s="2314"/>
      <c r="F278" s="32">
        <f t="shared" si="28"/>
        <v>0</v>
      </c>
      <c r="G278" s="2314"/>
      <c r="H278" s="32">
        <f t="shared" si="29"/>
        <v>0</v>
      </c>
      <c r="I278" s="2314"/>
      <c r="J278" s="32">
        <f t="shared" si="30"/>
        <v>0</v>
      </c>
      <c r="K278" s="2314"/>
      <c r="L278" s="31">
        <f t="shared" si="31"/>
        <v>0</v>
      </c>
      <c r="M278" s="2314"/>
      <c r="N278" s="31" t="str">
        <f>Liste!L278</f>
        <v>Stk</v>
      </c>
      <c r="O278" s="31"/>
      <c r="P278" s="31"/>
      <c r="Q278" s="31">
        <f>Liste!P278</f>
        <v>0</v>
      </c>
      <c r="R278" s="31">
        <f>Liste!N278</f>
        <v>0</v>
      </c>
      <c r="S278" s="7">
        <v>0</v>
      </c>
      <c r="T278" s="7">
        <v>0</v>
      </c>
      <c r="U278" s="7">
        <v>0</v>
      </c>
      <c r="V278" s="7"/>
      <c r="W278" s="60"/>
      <c r="X278" s="60"/>
      <c r="Y278" s="60"/>
      <c r="Z278" s="7"/>
      <c r="AA278" s="7"/>
      <c r="AB278" s="60"/>
      <c r="AC278" s="60"/>
      <c r="AD278" s="60"/>
      <c r="AE278" s="7"/>
      <c r="AF278" s="7"/>
      <c r="AG278" s="7"/>
      <c r="AH278" s="7"/>
      <c r="AI278" s="7"/>
      <c r="AJ278" s="7">
        <f>Liste!X278</f>
        <v>0</v>
      </c>
      <c r="AK278" s="7">
        <f>Liste!Y278</f>
        <v>1</v>
      </c>
      <c r="AL278" s="7"/>
      <c r="AM278" s="7"/>
      <c r="AN278" s="7"/>
      <c r="AO278" s="1113">
        <f>Liste!D278</f>
        <v>0</v>
      </c>
      <c r="AP278" s="1113">
        <f>Liste!F278</f>
        <v>0</v>
      </c>
      <c r="AQ278" s="1113">
        <f>Liste!E278</f>
        <v>44.22</v>
      </c>
      <c r="AR278" s="1113">
        <f>Liste!G278</f>
        <v>0.8</v>
      </c>
      <c r="AS278" s="1112">
        <f>Liste!V278</f>
        <v>1</v>
      </c>
      <c r="AT278" s="1" t="str">
        <f>Liste!M278</f>
        <v>V2A blank</v>
      </c>
      <c r="AZ278" s="5" t="s">
        <v>31340</v>
      </c>
      <c r="BA278" s="4" t="s">
        <v>101</v>
      </c>
      <c r="BB278" s="4">
        <v>780</v>
      </c>
      <c r="BD278" s="35"/>
      <c r="BE278" s="35"/>
      <c r="BF278" s="2118" t="str">
        <f>Liste!R278</f>
        <v>0701478</v>
      </c>
      <c r="BG278" s="2137">
        <f>IF(AS278&gt;0,Liste!S278,0)</f>
        <v>0</v>
      </c>
      <c r="BH278" s="2118" t="str">
        <f>Liste!T278</f>
        <v>m²</v>
      </c>
    </row>
    <row r="279" spans="1:60" ht="24.95" customHeight="1" x14ac:dyDescent="0.25">
      <c r="A279" s="29"/>
      <c r="B279" s="46" t="str">
        <f>IF(Liste!O279&gt;0,Liste!O279,Liste!B279)</f>
        <v>Dichtrahmenabdeckung 25 GCC V2A (Teillänge 4)</v>
      </c>
      <c r="C279" s="2314"/>
      <c r="D279" s="30" t="str">
        <f>Liste!C279</f>
        <v>0338440</v>
      </c>
      <c r="E279" s="2314"/>
      <c r="F279" s="32">
        <f t="shared" si="28"/>
        <v>0</v>
      </c>
      <c r="G279" s="2314"/>
      <c r="H279" s="32">
        <f t="shared" si="29"/>
        <v>0</v>
      </c>
      <c r="I279" s="2314"/>
      <c r="J279" s="32">
        <f t="shared" si="30"/>
        <v>0</v>
      </c>
      <c r="K279" s="2314"/>
      <c r="L279" s="31">
        <f t="shared" si="31"/>
        <v>0</v>
      </c>
      <c r="M279" s="2314"/>
      <c r="N279" s="31" t="str">
        <f>Liste!L279</f>
        <v>Stk</v>
      </c>
      <c r="O279" s="31"/>
      <c r="P279" s="31"/>
      <c r="Q279" s="31">
        <f>Liste!P279</f>
        <v>0</v>
      </c>
      <c r="R279" s="31">
        <f>Liste!N279</f>
        <v>0</v>
      </c>
      <c r="S279" s="7">
        <v>0</v>
      </c>
      <c r="T279" s="7">
        <v>0</v>
      </c>
      <c r="U279" s="7">
        <v>0</v>
      </c>
      <c r="V279" s="7"/>
      <c r="W279" s="60"/>
      <c r="X279" s="60"/>
      <c r="Y279" s="60"/>
      <c r="Z279" s="7"/>
      <c r="AA279" s="7"/>
      <c r="AB279" s="60"/>
      <c r="AC279" s="60"/>
      <c r="AD279" s="60"/>
      <c r="AE279" s="7"/>
      <c r="AF279" s="7"/>
      <c r="AG279" s="7"/>
      <c r="AH279" s="7"/>
      <c r="AI279" s="7"/>
      <c r="AJ279" s="7">
        <f>Liste!X279</f>
        <v>0</v>
      </c>
      <c r="AK279" s="7">
        <f>Liste!Y279</f>
        <v>1</v>
      </c>
      <c r="AL279" s="7"/>
      <c r="AM279" s="7"/>
      <c r="AN279" s="7"/>
      <c r="AO279" s="1113">
        <f>Liste!D279</f>
        <v>0</v>
      </c>
      <c r="AP279" s="1113">
        <f>Liste!F279</f>
        <v>0</v>
      </c>
      <c r="AQ279" s="1113">
        <f>Liste!E279</f>
        <v>44.22</v>
      </c>
      <c r="AR279" s="1113">
        <f>Liste!G279</f>
        <v>0.8</v>
      </c>
      <c r="AS279" s="1112">
        <f>Liste!V279</f>
        <v>1</v>
      </c>
      <c r="AT279" s="1" t="str">
        <f>Liste!M279</f>
        <v>V2A blank</v>
      </c>
      <c r="AZ279" s="5" t="s">
        <v>31341</v>
      </c>
      <c r="BA279" s="4" t="s">
        <v>101</v>
      </c>
      <c r="BB279" s="4">
        <v>781</v>
      </c>
      <c r="BD279" s="35"/>
      <c r="BE279" s="35"/>
      <c r="BF279" s="2118" t="str">
        <f>Liste!R279</f>
        <v>0701478</v>
      </c>
      <c r="BG279" s="2137">
        <f>IF(AS279&gt;0,Liste!S279,0)</f>
        <v>0</v>
      </c>
      <c r="BH279" s="2118" t="str">
        <f>Liste!T279</f>
        <v>m²</v>
      </c>
    </row>
    <row r="280" spans="1:60" ht="24.95" customHeight="1" x14ac:dyDescent="0.25">
      <c r="A280" s="29"/>
      <c r="B280" s="46" t="str">
        <f>IF(Liste!O280&gt;0,Liste!O280,Liste!B280)</f>
        <v>Dichtrahmenabdeckung 25 GCC V2A (Teillänge 5)</v>
      </c>
      <c r="C280" s="2314"/>
      <c r="D280" s="30" t="str">
        <f>Liste!C280</f>
        <v>0338440</v>
      </c>
      <c r="E280" s="2314"/>
      <c r="F280" s="32">
        <f t="shared" si="28"/>
        <v>0</v>
      </c>
      <c r="G280" s="2314"/>
      <c r="H280" s="32">
        <f t="shared" si="29"/>
        <v>0</v>
      </c>
      <c r="I280" s="2314"/>
      <c r="J280" s="32">
        <f t="shared" si="30"/>
        <v>0</v>
      </c>
      <c r="K280" s="2314"/>
      <c r="L280" s="31">
        <f t="shared" si="31"/>
        <v>0</v>
      </c>
      <c r="M280" s="2314"/>
      <c r="N280" s="31" t="str">
        <f>Liste!L280</f>
        <v>Stk</v>
      </c>
      <c r="O280" s="31"/>
      <c r="P280" s="31"/>
      <c r="Q280" s="31">
        <f>Liste!P280</f>
        <v>0</v>
      </c>
      <c r="R280" s="31">
        <f>Liste!N280</f>
        <v>0</v>
      </c>
      <c r="S280" s="7">
        <v>0</v>
      </c>
      <c r="T280" s="7">
        <v>0</v>
      </c>
      <c r="U280" s="7">
        <v>0</v>
      </c>
      <c r="V280" s="7"/>
      <c r="W280" s="60"/>
      <c r="X280" s="60"/>
      <c r="Y280" s="60"/>
      <c r="Z280" s="7"/>
      <c r="AA280" s="7"/>
      <c r="AB280" s="60"/>
      <c r="AC280" s="60"/>
      <c r="AD280" s="60"/>
      <c r="AE280" s="7"/>
      <c r="AF280" s="7"/>
      <c r="AG280" s="7"/>
      <c r="AH280" s="7"/>
      <c r="AI280" s="7"/>
      <c r="AJ280" s="7">
        <f>Liste!X280</f>
        <v>0</v>
      </c>
      <c r="AK280" s="7">
        <f>Liste!Y280</f>
        <v>1</v>
      </c>
      <c r="AL280" s="7"/>
      <c r="AM280" s="7"/>
      <c r="AN280" s="7"/>
      <c r="AO280" s="1113">
        <f>Liste!D280</f>
        <v>0</v>
      </c>
      <c r="AP280" s="1113">
        <f>Liste!F280</f>
        <v>0</v>
      </c>
      <c r="AQ280" s="1113">
        <f>Liste!E280</f>
        <v>44.22</v>
      </c>
      <c r="AR280" s="1113">
        <f>Liste!G280</f>
        <v>0.8</v>
      </c>
      <c r="AS280" s="1112">
        <f>Liste!V280</f>
        <v>1</v>
      </c>
      <c r="AT280" s="1" t="str">
        <f>Liste!M280</f>
        <v>V2A blank</v>
      </c>
      <c r="AZ280" s="5" t="s">
        <v>31342</v>
      </c>
      <c r="BA280" s="4" t="s">
        <v>101</v>
      </c>
      <c r="BB280" s="4">
        <v>782</v>
      </c>
      <c r="BD280" s="35"/>
      <c r="BE280" s="35"/>
      <c r="BF280" s="2118" t="str">
        <f>Liste!R280</f>
        <v>0701478</v>
      </c>
      <c r="BG280" s="2137">
        <f>IF(AS280&gt;0,Liste!S280,0)</f>
        <v>0</v>
      </c>
      <c r="BH280" s="2118" t="str">
        <f>Liste!T280</f>
        <v>m²</v>
      </c>
    </row>
    <row r="281" spans="1:60" ht="24.95" customHeight="1" x14ac:dyDescent="0.25">
      <c r="A281" s="29"/>
      <c r="B281" s="46" t="str">
        <f>IF(Liste!O281&gt;0,Liste!O281,Liste!B281)</f>
        <v>Dichtrahmenabdeckung 25 GCC V2A (Teillänge 6)</v>
      </c>
      <c r="C281" s="2314"/>
      <c r="D281" s="30" t="str">
        <f>Liste!C281</f>
        <v>0338440</v>
      </c>
      <c r="E281" s="2314"/>
      <c r="F281" s="32">
        <f t="shared" si="28"/>
        <v>0</v>
      </c>
      <c r="G281" s="2314"/>
      <c r="H281" s="32">
        <f t="shared" si="29"/>
        <v>0</v>
      </c>
      <c r="I281" s="2314"/>
      <c r="J281" s="32">
        <f t="shared" si="30"/>
        <v>0</v>
      </c>
      <c r="K281" s="2314"/>
      <c r="L281" s="31">
        <f t="shared" si="31"/>
        <v>0</v>
      </c>
      <c r="M281" s="2314"/>
      <c r="N281" s="31" t="str">
        <f>Liste!L281</f>
        <v>Stk</v>
      </c>
      <c r="O281" s="31"/>
      <c r="P281" s="31"/>
      <c r="Q281" s="31">
        <f>Liste!P281</f>
        <v>0</v>
      </c>
      <c r="R281" s="31">
        <f>Liste!N281</f>
        <v>0</v>
      </c>
      <c r="S281" s="7">
        <v>0</v>
      </c>
      <c r="T281" s="7">
        <v>0</v>
      </c>
      <c r="U281" s="7">
        <v>0</v>
      </c>
      <c r="V281" s="7"/>
      <c r="W281" s="60"/>
      <c r="X281" s="60"/>
      <c r="Y281" s="60"/>
      <c r="Z281" s="7"/>
      <c r="AA281" s="7"/>
      <c r="AB281" s="60"/>
      <c r="AC281" s="60"/>
      <c r="AD281" s="60"/>
      <c r="AE281" s="7"/>
      <c r="AF281" s="7"/>
      <c r="AG281" s="7"/>
      <c r="AH281" s="7"/>
      <c r="AI281" s="7"/>
      <c r="AJ281" s="7">
        <f>Liste!X281</f>
        <v>0</v>
      </c>
      <c r="AK281" s="7">
        <f>Liste!Y281</f>
        <v>1</v>
      </c>
      <c r="AL281" s="7"/>
      <c r="AM281" s="7"/>
      <c r="AN281" s="7"/>
      <c r="AO281" s="1113">
        <f>Liste!D281</f>
        <v>0</v>
      </c>
      <c r="AP281" s="1113">
        <f>Liste!F281</f>
        <v>900</v>
      </c>
      <c r="AQ281" s="1113">
        <f>Liste!E281</f>
        <v>44.22</v>
      </c>
      <c r="AR281" s="1113">
        <f>Liste!G281</f>
        <v>0.8</v>
      </c>
      <c r="AS281" s="1112">
        <f>Liste!V281</f>
        <v>1</v>
      </c>
      <c r="AT281" s="1" t="str">
        <f>Liste!M281</f>
        <v>V2A blank</v>
      </c>
      <c r="AZ281" s="5" t="s">
        <v>31343</v>
      </c>
      <c r="BA281" s="4" t="s">
        <v>101</v>
      </c>
      <c r="BB281" s="4">
        <v>783</v>
      </c>
      <c r="BD281" s="35"/>
      <c r="BE281" s="35"/>
      <c r="BF281" s="2118" t="str">
        <f>Liste!R281</f>
        <v>0701478</v>
      </c>
      <c r="BG281" s="2137">
        <f>IF(AS281&gt;0,Liste!S281,0)</f>
        <v>0</v>
      </c>
      <c r="BH281" s="2118" t="str">
        <f>Liste!T281</f>
        <v>m²</v>
      </c>
    </row>
    <row r="282" spans="1:60" ht="24.95" customHeight="1" x14ac:dyDescent="0.25">
      <c r="A282" s="29"/>
      <c r="B282" s="46" t="str">
        <f>IF(Liste!O282&gt;0,Liste!O282,Liste!B282)</f>
        <v>Dichtrahmenabdeckung 25 GCC V2A (Teillänge 7)</v>
      </c>
      <c r="C282" s="2314"/>
      <c r="D282" s="30" t="str">
        <f>Liste!C282</f>
        <v>0338440</v>
      </c>
      <c r="E282" s="2314"/>
      <c r="F282" s="32">
        <f t="shared" si="28"/>
        <v>0</v>
      </c>
      <c r="G282" s="2314"/>
      <c r="H282" s="32">
        <f t="shared" si="29"/>
        <v>0</v>
      </c>
      <c r="I282" s="2314"/>
      <c r="J282" s="32">
        <f t="shared" si="30"/>
        <v>0</v>
      </c>
      <c r="K282" s="2314"/>
      <c r="L282" s="31">
        <f t="shared" si="31"/>
        <v>0</v>
      </c>
      <c r="M282" s="2314"/>
      <c r="N282" s="31" t="str">
        <f>Liste!L282</f>
        <v>Stk</v>
      </c>
      <c r="O282" s="31"/>
      <c r="P282" s="31"/>
      <c r="Q282" s="31">
        <f>Liste!P282</f>
        <v>0</v>
      </c>
      <c r="R282" s="31">
        <f>Liste!N282</f>
        <v>0</v>
      </c>
      <c r="S282" s="7">
        <v>0</v>
      </c>
      <c r="T282" s="7">
        <v>0</v>
      </c>
      <c r="U282" s="7">
        <v>0</v>
      </c>
      <c r="V282" s="7"/>
      <c r="W282" s="60"/>
      <c r="X282" s="60"/>
      <c r="Y282" s="60"/>
      <c r="Z282" s="7"/>
      <c r="AA282" s="7"/>
      <c r="AB282" s="60"/>
      <c r="AC282" s="60"/>
      <c r="AD282" s="60"/>
      <c r="AE282" s="7"/>
      <c r="AF282" s="7"/>
      <c r="AG282" s="7"/>
      <c r="AH282" s="7"/>
      <c r="AI282" s="7"/>
      <c r="AJ282" s="7">
        <f>Liste!X282</f>
        <v>0</v>
      </c>
      <c r="AK282" s="7">
        <f>Liste!Y282</f>
        <v>1</v>
      </c>
      <c r="AL282" s="7"/>
      <c r="AM282" s="7"/>
      <c r="AN282" s="7"/>
      <c r="AO282" s="1113">
        <f>Liste!D282</f>
        <v>0</v>
      </c>
      <c r="AP282" s="1113">
        <f>Liste!F282</f>
        <v>0</v>
      </c>
      <c r="AQ282" s="1113">
        <f>Liste!E282</f>
        <v>44.22</v>
      </c>
      <c r="AR282" s="1113">
        <f>Liste!G282</f>
        <v>0.8</v>
      </c>
      <c r="AS282" s="1112">
        <f>Liste!V282</f>
        <v>1</v>
      </c>
      <c r="AT282" s="1" t="str">
        <f>Liste!M282</f>
        <v>V2A blank</v>
      </c>
      <c r="AZ282" s="5" t="s">
        <v>31344</v>
      </c>
      <c r="BA282" s="4" t="s">
        <v>101</v>
      </c>
      <c r="BB282" s="4">
        <v>784</v>
      </c>
      <c r="BD282" s="35"/>
      <c r="BE282" s="35"/>
      <c r="BF282" s="2118" t="str">
        <f>Liste!R282</f>
        <v>0701478</v>
      </c>
      <c r="BG282" s="2137">
        <f>IF(AS282&gt;0,Liste!S282,0)</f>
        <v>0</v>
      </c>
      <c r="BH282" s="2118" t="str">
        <f>Liste!T282</f>
        <v>m²</v>
      </c>
    </row>
    <row r="283" spans="1:60" ht="24.95" customHeight="1" x14ac:dyDescent="0.25">
      <c r="A283" s="29"/>
      <c r="B283" s="46" t="str">
        <f>IF(Liste!O283&gt;0,Liste!O283,Liste!B283)</f>
        <v>Dichtrahmenabdeckung 25 GCC V2A (Teillänge 8)</v>
      </c>
      <c r="C283" s="2314"/>
      <c r="D283" s="30" t="str">
        <f>Liste!C283</f>
        <v>0338440</v>
      </c>
      <c r="E283" s="2314"/>
      <c r="F283" s="32">
        <f t="shared" si="28"/>
        <v>0</v>
      </c>
      <c r="G283" s="2314"/>
      <c r="H283" s="32">
        <f t="shared" si="29"/>
        <v>0</v>
      </c>
      <c r="I283" s="2314"/>
      <c r="J283" s="32">
        <f t="shared" si="30"/>
        <v>0</v>
      </c>
      <c r="K283" s="2314"/>
      <c r="L283" s="31">
        <f t="shared" si="31"/>
        <v>0</v>
      </c>
      <c r="M283" s="2314"/>
      <c r="N283" s="31" t="str">
        <f>Liste!L283</f>
        <v>Stk</v>
      </c>
      <c r="O283" s="31"/>
      <c r="P283" s="31"/>
      <c r="Q283" s="31">
        <f>Liste!P283</f>
        <v>0</v>
      </c>
      <c r="R283" s="31">
        <f>Liste!N283</f>
        <v>0</v>
      </c>
      <c r="S283" s="7">
        <v>0</v>
      </c>
      <c r="T283" s="7">
        <v>0</v>
      </c>
      <c r="U283" s="7">
        <v>0</v>
      </c>
      <c r="V283" s="7"/>
      <c r="W283" s="60"/>
      <c r="X283" s="60"/>
      <c r="Y283" s="60"/>
      <c r="Z283" s="7"/>
      <c r="AA283" s="7"/>
      <c r="AB283" s="60"/>
      <c r="AC283" s="60"/>
      <c r="AD283" s="60"/>
      <c r="AE283" s="7"/>
      <c r="AF283" s="7"/>
      <c r="AG283" s="7"/>
      <c r="AH283" s="7"/>
      <c r="AI283" s="7"/>
      <c r="AJ283" s="7">
        <f>Liste!X283</f>
        <v>0</v>
      </c>
      <c r="AK283" s="7">
        <f>Liste!Y283</f>
        <v>1</v>
      </c>
      <c r="AL283" s="7"/>
      <c r="AM283" s="7"/>
      <c r="AN283" s="7"/>
      <c r="AO283" s="1113">
        <f>Liste!D283</f>
        <v>0</v>
      </c>
      <c r="AP283" s="1113">
        <f>Liste!F283</f>
        <v>0</v>
      </c>
      <c r="AQ283" s="1113">
        <f>Liste!E283</f>
        <v>44.22</v>
      </c>
      <c r="AR283" s="1113">
        <f>Liste!G283</f>
        <v>0.8</v>
      </c>
      <c r="AS283" s="1112">
        <f>Liste!V283</f>
        <v>1</v>
      </c>
      <c r="AT283" s="1" t="str">
        <f>Liste!M283</f>
        <v>V2A blank</v>
      </c>
      <c r="AZ283" s="5" t="s">
        <v>31345</v>
      </c>
      <c r="BA283" s="4" t="s">
        <v>101</v>
      </c>
      <c r="BB283" s="4">
        <v>785</v>
      </c>
      <c r="BD283" s="35"/>
      <c r="BE283" s="35"/>
      <c r="BF283" s="2118" t="str">
        <f>Liste!R283</f>
        <v>0701478</v>
      </c>
      <c r="BG283" s="2137">
        <f>IF(AS283&gt;0,Liste!S283,0)</f>
        <v>0</v>
      </c>
      <c r="BH283" s="2118" t="str">
        <f>Liste!T283</f>
        <v>m²</v>
      </c>
    </row>
    <row r="284" spans="1:60" ht="24.95" customHeight="1" x14ac:dyDescent="0.25">
      <c r="A284" s="29"/>
      <c r="B284" s="46" t="str">
        <f>IF(Liste!O284&gt;0,Liste!O284,Liste!B284)</f>
        <v>Dichtrahmenabdeckung 25 GCC V2A (Teillänge 9)</v>
      </c>
      <c r="C284" s="2314"/>
      <c r="D284" s="30" t="str">
        <f>Liste!C284</f>
        <v>0338440</v>
      </c>
      <c r="E284" s="2314"/>
      <c r="F284" s="32">
        <f t="shared" si="28"/>
        <v>0</v>
      </c>
      <c r="G284" s="2314"/>
      <c r="H284" s="32">
        <f t="shared" si="29"/>
        <v>0</v>
      </c>
      <c r="I284" s="2314"/>
      <c r="J284" s="32">
        <f t="shared" si="30"/>
        <v>0</v>
      </c>
      <c r="K284" s="2314"/>
      <c r="L284" s="31">
        <f t="shared" si="31"/>
        <v>0</v>
      </c>
      <c r="M284" s="2314"/>
      <c r="N284" s="31" t="str">
        <f>Liste!L284</f>
        <v>Stk</v>
      </c>
      <c r="O284" s="31"/>
      <c r="P284" s="31"/>
      <c r="Q284" s="31">
        <f>Liste!P284</f>
        <v>0</v>
      </c>
      <c r="R284" s="31">
        <f>Liste!N284</f>
        <v>0</v>
      </c>
      <c r="S284" s="7">
        <v>0</v>
      </c>
      <c r="T284" s="7">
        <v>0</v>
      </c>
      <c r="U284" s="7">
        <v>0</v>
      </c>
      <c r="V284" s="7"/>
      <c r="W284" s="60"/>
      <c r="X284" s="60"/>
      <c r="Y284" s="60"/>
      <c r="Z284" s="7"/>
      <c r="AA284" s="7"/>
      <c r="AB284" s="60"/>
      <c r="AC284" s="60"/>
      <c r="AD284" s="60"/>
      <c r="AE284" s="7"/>
      <c r="AF284" s="7"/>
      <c r="AG284" s="7"/>
      <c r="AH284" s="7"/>
      <c r="AI284" s="7"/>
      <c r="AJ284" s="7">
        <f>Liste!X284</f>
        <v>0</v>
      </c>
      <c r="AK284" s="7">
        <f>Liste!Y284</f>
        <v>1</v>
      </c>
      <c r="AL284" s="7"/>
      <c r="AM284" s="7"/>
      <c r="AN284" s="7"/>
      <c r="AO284" s="1113">
        <f>Liste!D284</f>
        <v>0</v>
      </c>
      <c r="AP284" s="1113">
        <f>Liste!F284</f>
        <v>0</v>
      </c>
      <c r="AQ284" s="1113">
        <f>Liste!E284</f>
        <v>44.22</v>
      </c>
      <c r="AR284" s="1113">
        <f>Liste!G284</f>
        <v>0.8</v>
      </c>
      <c r="AS284" s="1112">
        <f>Liste!V284</f>
        <v>1</v>
      </c>
      <c r="AT284" s="1" t="str">
        <f>Liste!M284</f>
        <v>V2A blank</v>
      </c>
      <c r="AZ284" s="5" t="s">
        <v>31346</v>
      </c>
      <c r="BA284" s="4" t="s">
        <v>101</v>
      </c>
      <c r="BB284" s="4">
        <v>786</v>
      </c>
      <c r="BD284" s="35"/>
      <c r="BE284" s="35"/>
      <c r="BF284" s="2118" t="str">
        <f>Liste!R284</f>
        <v>0701478</v>
      </c>
      <c r="BG284" s="2137">
        <f>IF(AS284&gt;0,Liste!S284,0)</f>
        <v>0</v>
      </c>
      <c r="BH284" s="2118" t="str">
        <f>Liste!T284</f>
        <v>m²</v>
      </c>
    </row>
    <row r="285" spans="1:60" ht="24.95" customHeight="1" x14ac:dyDescent="0.25">
      <c r="A285" s="29"/>
      <c r="B285" s="46" t="str">
        <f>IF(Liste!O285&gt;0,Liste!O285,Liste!B285)</f>
        <v>Dichtrahmenabdeckung 25 GCC V2A (Teillänge 10)</v>
      </c>
      <c r="C285" s="2314"/>
      <c r="D285" s="30" t="str">
        <f>Liste!C285</f>
        <v>0338440</v>
      </c>
      <c r="E285" s="2314"/>
      <c r="F285" s="32">
        <f t="shared" si="28"/>
        <v>0</v>
      </c>
      <c r="G285" s="2314"/>
      <c r="H285" s="32">
        <f t="shared" si="29"/>
        <v>0</v>
      </c>
      <c r="I285" s="2314"/>
      <c r="J285" s="32">
        <f t="shared" si="30"/>
        <v>0</v>
      </c>
      <c r="K285" s="2314"/>
      <c r="L285" s="31">
        <f t="shared" si="31"/>
        <v>0</v>
      </c>
      <c r="M285" s="2314"/>
      <c r="N285" s="31" t="str">
        <f>Liste!L285</f>
        <v>Stk</v>
      </c>
      <c r="O285" s="31"/>
      <c r="P285" s="31"/>
      <c r="Q285" s="31">
        <f>Liste!P285</f>
        <v>0</v>
      </c>
      <c r="R285" s="31">
        <f>Liste!N285</f>
        <v>0</v>
      </c>
      <c r="S285" s="7">
        <v>0</v>
      </c>
      <c r="T285" s="7">
        <v>0</v>
      </c>
      <c r="U285" s="7">
        <v>0</v>
      </c>
      <c r="V285" s="7"/>
      <c r="W285" s="60"/>
      <c r="X285" s="60"/>
      <c r="Y285" s="60"/>
      <c r="Z285" s="7"/>
      <c r="AA285" s="7"/>
      <c r="AB285" s="60"/>
      <c r="AC285" s="60"/>
      <c r="AD285" s="60"/>
      <c r="AE285" s="7"/>
      <c r="AF285" s="7"/>
      <c r="AG285" s="7"/>
      <c r="AH285" s="7"/>
      <c r="AI285" s="7"/>
      <c r="AJ285" s="7">
        <f>Liste!X285</f>
        <v>0</v>
      </c>
      <c r="AK285" s="7">
        <f>Liste!Y285</f>
        <v>1</v>
      </c>
      <c r="AL285" s="7"/>
      <c r="AM285" s="7"/>
      <c r="AN285" s="7"/>
      <c r="AO285" s="1113">
        <f>Liste!D285</f>
        <v>0</v>
      </c>
      <c r="AP285" s="1113">
        <f>Liste!F285</f>
        <v>0</v>
      </c>
      <c r="AQ285" s="1113">
        <f>Liste!E285</f>
        <v>44.22</v>
      </c>
      <c r="AR285" s="1113">
        <f>Liste!G285</f>
        <v>0.8</v>
      </c>
      <c r="AS285" s="1112">
        <f>Liste!V285</f>
        <v>1</v>
      </c>
      <c r="AT285" s="1" t="str">
        <f>Liste!M285</f>
        <v>V2A blank</v>
      </c>
      <c r="AZ285" s="5" t="s">
        <v>31347</v>
      </c>
      <c r="BA285" s="4" t="s">
        <v>101</v>
      </c>
      <c r="BB285" s="4">
        <v>787</v>
      </c>
      <c r="BD285" s="35"/>
      <c r="BE285" s="35"/>
      <c r="BF285" s="2118" t="str">
        <f>Liste!R285</f>
        <v>0701478</v>
      </c>
      <c r="BG285" s="2137">
        <f>IF(AS285&gt;0,Liste!S285,0)</f>
        <v>0</v>
      </c>
      <c r="BH285" s="2118" t="str">
        <f>Liste!T285</f>
        <v>m²</v>
      </c>
    </row>
    <row r="286" spans="1:60" ht="24.95" customHeight="1" x14ac:dyDescent="0.25">
      <c r="A286" s="29"/>
      <c r="B286" s="46" t="str">
        <f>IF(Liste!O286&gt;0,Liste!O286,Liste!B286)</f>
        <v>Dichtrahmenabdeckung 25 GCC V2A (Teillänge 11)</v>
      </c>
      <c r="C286" s="2314"/>
      <c r="D286" s="30" t="str">
        <f>Liste!C286</f>
        <v>0338440</v>
      </c>
      <c r="E286" s="2314"/>
      <c r="F286" s="32">
        <f t="shared" si="28"/>
        <v>0</v>
      </c>
      <c r="G286" s="2314"/>
      <c r="H286" s="32">
        <f t="shared" si="29"/>
        <v>0</v>
      </c>
      <c r="I286" s="2314"/>
      <c r="J286" s="32">
        <f t="shared" si="30"/>
        <v>0</v>
      </c>
      <c r="K286" s="2314"/>
      <c r="L286" s="31">
        <f t="shared" si="31"/>
        <v>0</v>
      </c>
      <c r="M286" s="2314"/>
      <c r="N286" s="31" t="str">
        <f>Liste!L286</f>
        <v>Stk</v>
      </c>
      <c r="O286" s="31"/>
      <c r="P286" s="31"/>
      <c r="Q286" s="31">
        <f>Liste!P286</f>
        <v>0</v>
      </c>
      <c r="R286" s="31">
        <f>Liste!N286</f>
        <v>0</v>
      </c>
      <c r="S286" s="7">
        <v>0</v>
      </c>
      <c r="T286" s="7">
        <v>0</v>
      </c>
      <c r="U286" s="7">
        <v>0</v>
      </c>
      <c r="V286" s="7"/>
      <c r="W286" s="60"/>
      <c r="X286" s="60"/>
      <c r="Y286" s="60"/>
      <c r="Z286" s="7"/>
      <c r="AA286" s="7"/>
      <c r="AB286" s="60"/>
      <c r="AC286" s="60"/>
      <c r="AD286" s="60"/>
      <c r="AE286" s="7"/>
      <c r="AF286" s="7"/>
      <c r="AG286" s="7"/>
      <c r="AH286" s="7"/>
      <c r="AI286" s="7"/>
      <c r="AJ286" s="7">
        <f>Liste!X286</f>
        <v>0</v>
      </c>
      <c r="AK286" s="7">
        <f>Liste!Y286</f>
        <v>1</v>
      </c>
      <c r="AL286" s="7"/>
      <c r="AM286" s="7"/>
      <c r="AN286" s="7"/>
      <c r="AO286" s="1113">
        <f>Liste!D286</f>
        <v>0</v>
      </c>
      <c r="AP286" s="1113">
        <f>Liste!F286</f>
        <v>300</v>
      </c>
      <c r="AQ286" s="1113">
        <f>Liste!E286</f>
        <v>44.22</v>
      </c>
      <c r="AR286" s="1113">
        <f>Liste!G286</f>
        <v>0.8</v>
      </c>
      <c r="AS286" s="1112">
        <f>Liste!V286</f>
        <v>1</v>
      </c>
      <c r="AT286" s="1" t="str">
        <f>Liste!M286</f>
        <v>V2A blank</v>
      </c>
      <c r="AZ286" s="5" t="s">
        <v>28049</v>
      </c>
      <c r="BA286" s="4" t="s">
        <v>101</v>
      </c>
      <c r="BB286" s="4">
        <v>788</v>
      </c>
      <c r="BD286" s="35"/>
      <c r="BE286" s="35"/>
      <c r="BF286" s="2118" t="str">
        <f>Liste!R286</f>
        <v>0701478</v>
      </c>
      <c r="BG286" s="2137">
        <f>IF(AS286&gt;0,Liste!S286,0)</f>
        <v>0</v>
      </c>
      <c r="BH286" s="2118" t="str">
        <f>Liste!T286</f>
        <v>m²</v>
      </c>
    </row>
    <row r="287" spans="1:60" ht="24.95" customHeight="1" x14ac:dyDescent="0.25">
      <c r="A287" s="29"/>
      <c r="B287" s="46" t="str">
        <f>IF(Liste!O287&gt;0,Liste!O287,Liste!B287)</f>
        <v>Dichtrahmenabdeckung 25 GCC V2A (Teillänge 12)</v>
      </c>
      <c r="C287" s="2314"/>
      <c r="D287" s="30" t="str">
        <f>Liste!C287</f>
        <v>0338440</v>
      </c>
      <c r="E287" s="2314"/>
      <c r="F287" s="32">
        <f t="shared" si="28"/>
        <v>0</v>
      </c>
      <c r="G287" s="2314"/>
      <c r="H287" s="32">
        <f t="shared" si="29"/>
        <v>0</v>
      </c>
      <c r="I287" s="2314"/>
      <c r="J287" s="32">
        <f t="shared" si="30"/>
        <v>0</v>
      </c>
      <c r="K287" s="2314"/>
      <c r="L287" s="31">
        <f t="shared" si="31"/>
        <v>0</v>
      </c>
      <c r="M287" s="2314"/>
      <c r="N287" s="31" t="str">
        <f>Liste!L287</f>
        <v>Stk</v>
      </c>
      <c r="O287" s="31"/>
      <c r="P287" s="31"/>
      <c r="Q287" s="31">
        <f>Liste!P287</f>
        <v>0</v>
      </c>
      <c r="R287" s="31">
        <f>Liste!N287</f>
        <v>0</v>
      </c>
      <c r="S287" s="7">
        <v>0</v>
      </c>
      <c r="T287" s="7">
        <v>0</v>
      </c>
      <c r="U287" s="7">
        <v>0</v>
      </c>
      <c r="V287" s="7"/>
      <c r="W287" s="60"/>
      <c r="X287" s="60"/>
      <c r="Y287" s="60"/>
      <c r="Z287" s="7"/>
      <c r="AA287" s="7"/>
      <c r="AB287" s="60"/>
      <c r="AC287" s="60"/>
      <c r="AD287" s="60"/>
      <c r="AE287" s="7"/>
      <c r="AF287" s="7"/>
      <c r="AG287" s="7"/>
      <c r="AH287" s="7"/>
      <c r="AI287" s="7"/>
      <c r="AJ287" s="7">
        <f>Liste!X287</f>
        <v>0</v>
      </c>
      <c r="AK287" s="7">
        <f>Liste!Y287</f>
        <v>1</v>
      </c>
      <c r="AL287" s="7"/>
      <c r="AM287" s="7"/>
      <c r="AN287" s="7"/>
      <c r="AO287" s="1113">
        <f>Liste!D287</f>
        <v>0</v>
      </c>
      <c r="AP287" s="1113">
        <f>Liste!F287</f>
        <v>800</v>
      </c>
      <c r="AQ287" s="1113">
        <f>Liste!E287</f>
        <v>44.22</v>
      </c>
      <c r="AR287" s="1113">
        <f>Liste!G287</f>
        <v>0.8</v>
      </c>
      <c r="AS287" s="1112">
        <f>Liste!V287</f>
        <v>1</v>
      </c>
      <c r="AT287" s="1" t="str">
        <f>Liste!M287</f>
        <v>V2A blank</v>
      </c>
      <c r="AZ287" s="5" t="s">
        <v>28050</v>
      </c>
      <c r="BA287" s="4" t="s">
        <v>101</v>
      </c>
      <c r="BB287" s="4">
        <v>789</v>
      </c>
      <c r="BD287" s="35"/>
      <c r="BE287" s="35"/>
      <c r="BF287" s="2118" t="str">
        <f>Liste!R287</f>
        <v>0701478</v>
      </c>
      <c r="BG287" s="2137">
        <f>IF(AS287&gt;0,Liste!S287,0)</f>
        <v>0</v>
      </c>
      <c r="BH287" s="2118" t="str">
        <f>Liste!T287</f>
        <v>m²</v>
      </c>
    </row>
    <row r="288" spans="1:60" ht="24.95" customHeight="1" x14ac:dyDescent="0.25">
      <c r="A288" s="29"/>
      <c r="B288" s="46" t="str">
        <f>IF(Liste!O288&gt;0,Liste!O288,Liste!B288)</f>
        <v>Dichtrahmenabdeckung 25 GCC V2A (Teillänge 13)</v>
      </c>
      <c r="C288" s="2314"/>
      <c r="D288" s="30" t="str">
        <f>Liste!C288</f>
        <v>0338440</v>
      </c>
      <c r="E288" s="2314"/>
      <c r="F288" s="32">
        <f t="shared" si="28"/>
        <v>0</v>
      </c>
      <c r="G288" s="2314"/>
      <c r="H288" s="32">
        <f t="shared" si="29"/>
        <v>0</v>
      </c>
      <c r="I288" s="2314"/>
      <c r="J288" s="32">
        <f t="shared" si="30"/>
        <v>0</v>
      </c>
      <c r="K288" s="2314"/>
      <c r="L288" s="31">
        <f t="shared" si="31"/>
        <v>0</v>
      </c>
      <c r="M288" s="2314"/>
      <c r="N288" s="31" t="str">
        <f>Liste!L288</f>
        <v>Stk</v>
      </c>
      <c r="O288" s="31"/>
      <c r="P288" s="31"/>
      <c r="Q288" s="31">
        <f>Liste!P288</f>
        <v>0</v>
      </c>
      <c r="R288" s="31">
        <f>Liste!N288</f>
        <v>0</v>
      </c>
      <c r="S288" s="7">
        <v>0</v>
      </c>
      <c r="T288" s="7">
        <v>0</v>
      </c>
      <c r="U288" s="7">
        <v>0</v>
      </c>
      <c r="V288" s="7"/>
      <c r="W288" s="60"/>
      <c r="X288" s="60"/>
      <c r="Y288" s="60"/>
      <c r="Z288" s="7"/>
      <c r="AA288" s="7"/>
      <c r="AB288" s="60"/>
      <c r="AC288" s="60"/>
      <c r="AD288" s="60"/>
      <c r="AE288" s="7"/>
      <c r="AF288" s="7"/>
      <c r="AG288" s="7"/>
      <c r="AH288" s="7"/>
      <c r="AI288" s="7"/>
      <c r="AJ288" s="7">
        <f>Liste!X288</f>
        <v>0</v>
      </c>
      <c r="AK288" s="7">
        <f>Liste!Y288</f>
        <v>1</v>
      </c>
      <c r="AL288" s="7"/>
      <c r="AM288" s="7"/>
      <c r="AN288" s="7"/>
      <c r="AO288" s="1113">
        <f>Liste!D288</f>
        <v>0</v>
      </c>
      <c r="AP288" s="1113">
        <f>Liste!F288</f>
        <v>0</v>
      </c>
      <c r="AQ288" s="1113">
        <f>Liste!E288</f>
        <v>44.22</v>
      </c>
      <c r="AR288" s="1113">
        <f>Liste!G288</f>
        <v>0.8</v>
      </c>
      <c r="AS288" s="1112">
        <f>Liste!V288</f>
        <v>1</v>
      </c>
      <c r="AT288" s="1" t="str">
        <f>Liste!M288</f>
        <v>V2A blank</v>
      </c>
      <c r="AZ288" s="5" t="s">
        <v>28051</v>
      </c>
      <c r="BA288" s="4" t="s">
        <v>101</v>
      </c>
      <c r="BB288" s="4">
        <v>790</v>
      </c>
      <c r="BD288" s="35"/>
      <c r="BE288" s="35"/>
      <c r="BF288" s="2118" t="str">
        <f>Liste!R288</f>
        <v>0701478</v>
      </c>
      <c r="BG288" s="2137">
        <f>IF(AS288&gt;0,Liste!S288,0)</f>
        <v>0</v>
      </c>
      <c r="BH288" s="2118" t="str">
        <f>Liste!T288</f>
        <v>m²</v>
      </c>
    </row>
    <row r="289" spans="1:60" ht="24.95" customHeight="1" x14ac:dyDescent="0.25">
      <c r="A289" s="29"/>
      <c r="B289" s="46" t="str">
        <f>IF(Liste!O289&gt;0,Liste!O289,Liste!B289)</f>
        <v>Dichtrahmenabdeckung 25 GCC V2A (Teillänge 14)</v>
      </c>
      <c r="C289" s="2314"/>
      <c r="D289" s="30" t="str">
        <f>Liste!C289</f>
        <v>0338440</v>
      </c>
      <c r="E289" s="2314"/>
      <c r="F289" s="32">
        <f t="shared" si="28"/>
        <v>0</v>
      </c>
      <c r="G289" s="2314"/>
      <c r="H289" s="32">
        <f t="shared" si="29"/>
        <v>0</v>
      </c>
      <c r="I289" s="2314"/>
      <c r="J289" s="32">
        <f t="shared" si="30"/>
        <v>0</v>
      </c>
      <c r="K289" s="2314"/>
      <c r="L289" s="31">
        <f t="shared" si="31"/>
        <v>0</v>
      </c>
      <c r="M289" s="2314"/>
      <c r="N289" s="31" t="str">
        <f>Liste!L289</f>
        <v>Stk</v>
      </c>
      <c r="O289" s="31"/>
      <c r="P289" s="31"/>
      <c r="Q289" s="31">
        <f>Liste!P289</f>
        <v>0</v>
      </c>
      <c r="R289" s="31">
        <f>Liste!N289</f>
        <v>0</v>
      </c>
      <c r="S289" s="7">
        <v>0</v>
      </c>
      <c r="T289" s="7">
        <v>0</v>
      </c>
      <c r="U289" s="7">
        <v>0</v>
      </c>
      <c r="V289" s="7"/>
      <c r="W289" s="60"/>
      <c r="X289" s="60"/>
      <c r="Y289" s="60"/>
      <c r="Z289" s="7"/>
      <c r="AA289" s="7"/>
      <c r="AB289" s="60"/>
      <c r="AC289" s="60"/>
      <c r="AD289" s="60"/>
      <c r="AE289" s="7"/>
      <c r="AF289" s="7"/>
      <c r="AG289" s="7"/>
      <c r="AH289" s="7"/>
      <c r="AI289" s="7"/>
      <c r="AJ289" s="7">
        <f>Liste!X289</f>
        <v>0</v>
      </c>
      <c r="AK289" s="7">
        <f>Liste!Y289</f>
        <v>1</v>
      </c>
      <c r="AL289" s="7"/>
      <c r="AM289" s="7"/>
      <c r="AN289" s="7"/>
      <c r="AO289" s="1113">
        <f>Liste!D289</f>
        <v>0</v>
      </c>
      <c r="AP289" s="1113">
        <f>Liste!F289</f>
        <v>0</v>
      </c>
      <c r="AQ289" s="1113">
        <f>Liste!E289</f>
        <v>44.22</v>
      </c>
      <c r="AR289" s="1113">
        <f>Liste!G289</f>
        <v>0.8</v>
      </c>
      <c r="AS289" s="1112">
        <f>Liste!V289</f>
        <v>1</v>
      </c>
      <c r="AT289" s="1" t="str">
        <f>Liste!M289</f>
        <v>V2A blank</v>
      </c>
      <c r="AZ289" s="5" t="s">
        <v>28052</v>
      </c>
      <c r="BA289" s="4" t="s">
        <v>101</v>
      </c>
      <c r="BB289" s="4">
        <v>791</v>
      </c>
      <c r="BD289" s="35"/>
      <c r="BE289" s="35"/>
      <c r="BF289" s="2118" t="str">
        <f>Liste!R289</f>
        <v>0701478</v>
      </c>
      <c r="BG289" s="2137">
        <f>IF(AS289&gt;0,Liste!S289,0)</f>
        <v>0</v>
      </c>
      <c r="BH289" s="2118" t="str">
        <f>Liste!T289</f>
        <v>m²</v>
      </c>
    </row>
    <row r="290" spans="1:60" ht="24.95" customHeight="1" x14ac:dyDescent="0.25">
      <c r="A290" s="29"/>
      <c r="B290" s="46" t="str">
        <f>IF(Liste!O290&gt;0,Liste!O290,Liste!B290)</f>
        <v>Dichtrahmenabdeckung 25 GCC V2A (Teillänge 15)</v>
      </c>
      <c r="C290" s="2314"/>
      <c r="D290" s="30" t="str">
        <f>Liste!C290</f>
        <v>0338440</v>
      </c>
      <c r="E290" s="2314"/>
      <c r="F290" s="32">
        <f t="shared" si="28"/>
        <v>0</v>
      </c>
      <c r="G290" s="2314"/>
      <c r="H290" s="32">
        <f t="shared" si="29"/>
        <v>0</v>
      </c>
      <c r="I290" s="2314"/>
      <c r="J290" s="32">
        <f t="shared" si="30"/>
        <v>0</v>
      </c>
      <c r="K290" s="2314"/>
      <c r="L290" s="31">
        <f t="shared" si="31"/>
        <v>0</v>
      </c>
      <c r="M290" s="2314"/>
      <c r="N290" s="31" t="str">
        <f>Liste!L290</f>
        <v>Stk</v>
      </c>
      <c r="O290" s="31"/>
      <c r="P290" s="31"/>
      <c r="Q290" s="31">
        <f>Liste!P290</f>
        <v>0</v>
      </c>
      <c r="R290" s="31">
        <f>Liste!N290</f>
        <v>0</v>
      </c>
      <c r="S290" s="7">
        <v>0</v>
      </c>
      <c r="T290" s="7">
        <v>0</v>
      </c>
      <c r="U290" s="7">
        <v>0</v>
      </c>
      <c r="V290" s="7"/>
      <c r="W290" s="60"/>
      <c r="X290" s="60"/>
      <c r="Y290" s="60"/>
      <c r="Z290" s="7"/>
      <c r="AA290" s="7"/>
      <c r="AB290" s="60"/>
      <c r="AC290" s="60"/>
      <c r="AD290" s="60"/>
      <c r="AE290" s="7"/>
      <c r="AF290" s="7"/>
      <c r="AG290" s="7"/>
      <c r="AH290" s="7"/>
      <c r="AI290" s="7"/>
      <c r="AJ290" s="7">
        <f>Liste!X290</f>
        <v>0</v>
      </c>
      <c r="AK290" s="7">
        <f>Liste!Y290</f>
        <v>1</v>
      </c>
      <c r="AL290" s="7"/>
      <c r="AM290" s="7"/>
      <c r="AN290" s="7"/>
      <c r="AO290" s="1113">
        <f>Liste!D290</f>
        <v>0</v>
      </c>
      <c r="AP290" s="1113">
        <f>Liste!F290</f>
        <v>0</v>
      </c>
      <c r="AQ290" s="1113">
        <f>Liste!E290</f>
        <v>44.22</v>
      </c>
      <c r="AR290" s="1113">
        <f>Liste!G290</f>
        <v>0.8</v>
      </c>
      <c r="AS290" s="1112">
        <f>Liste!V290</f>
        <v>1</v>
      </c>
      <c r="AT290" s="1" t="str">
        <f>Liste!M290</f>
        <v>V2A blank</v>
      </c>
      <c r="AZ290" s="5" t="s">
        <v>28053</v>
      </c>
      <c r="BA290" s="4" t="s">
        <v>101</v>
      </c>
      <c r="BB290" s="4">
        <v>792</v>
      </c>
      <c r="BD290" s="35"/>
      <c r="BE290" s="35"/>
      <c r="BF290" s="2118" t="str">
        <f>Liste!R290</f>
        <v>0701478</v>
      </c>
      <c r="BG290" s="2137">
        <f>IF(AS290&gt;0,Liste!S290,0)</f>
        <v>0</v>
      </c>
      <c r="BH290" s="2118" t="str">
        <f>Liste!T290</f>
        <v>m²</v>
      </c>
    </row>
    <row r="291" spans="1:60" ht="24.95" customHeight="1" x14ac:dyDescent="0.25">
      <c r="A291" s="29"/>
      <c r="B291" s="46" t="str">
        <f>IF(Liste!O291&gt;0,Liste!O291,Liste!B291)</f>
        <v>Dichtrahmenabdeckung 25 GCC V2A (Teillänge 16)</v>
      </c>
      <c r="C291" s="2314"/>
      <c r="D291" s="30" t="str">
        <f>Liste!C291</f>
        <v>0338440</v>
      </c>
      <c r="E291" s="2314"/>
      <c r="F291" s="32">
        <f t="shared" si="28"/>
        <v>0</v>
      </c>
      <c r="G291" s="2314"/>
      <c r="H291" s="32">
        <f t="shared" si="29"/>
        <v>0</v>
      </c>
      <c r="I291" s="2314"/>
      <c r="J291" s="32">
        <f t="shared" si="30"/>
        <v>0</v>
      </c>
      <c r="K291" s="2314"/>
      <c r="L291" s="31">
        <f t="shared" si="31"/>
        <v>0</v>
      </c>
      <c r="M291" s="2314"/>
      <c r="N291" s="31" t="str">
        <f>Liste!L291</f>
        <v>Stk</v>
      </c>
      <c r="O291" s="31"/>
      <c r="P291" s="31"/>
      <c r="Q291" s="31">
        <f>Liste!P291</f>
        <v>0</v>
      </c>
      <c r="R291" s="31">
        <f>Liste!N291</f>
        <v>0</v>
      </c>
      <c r="S291" s="7">
        <v>0</v>
      </c>
      <c r="T291" s="7">
        <v>0</v>
      </c>
      <c r="U291" s="7">
        <v>0</v>
      </c>
      <c r="V291" s="7"/>
      <c r="W291" s="60"/>
      <c r="X291" s="60"/>
      <c r="Y291" s="60"/>
      <c r="Z291" s="7"/>
      <c r="AA291" s="7"/>
      <c r="AB291" s="60"/>
      <c r="AC291" s="60"/>
      <c r="AD291" s="60"/>
      <c r="AE291" s="7"/>
      <c r="AF291" s="7"/>
      <c r="AG291" s="7"/>
      <c r="AH291" s="7"/>
      <c r="AI291" s="7"/>
      <c r="AJ291" s="7">
        <f>Liste!X291</f>
        <v>0</v>
      </c>
      <c r="AK291" s="7">
        <f>Liste!Y291</f>
        <v>1</v>
      </c>
      <c r="AL291" s="7"/>
      <c r="AM291" s="7"/>
      <c r="AN291" s="7"/>
      <c r="AO291" s="1113">
        <f>Liste!D291</f>
        <v>0</v>
      </c>
      <c r="AP291" s="1113">
        <f>Liste!F291</f>
        <v>550</v>
      </c>
      <c r="AQ291" s="1113">
        <f>Liste!E291</f>
        <v>44.22</v>
      </c>
      <c r="AR291" s="1113">
        <f>Liste!G291</f>
        <v>0.8</v>
      </c>
      <c r="AS291" s="1112">
        <f>Liste!V291</f>
        <v>1</v>
      </c>
      <c r="AT291" s="1" t="str">
        <f>Liste!M291</f>
        <v>V2A blank</v>
      </c>
      <c r="AZ291" s="5" t="s">
        <v>28054</v>
      </c>
      <c r="BA291" s="4" t="s">
        <v>101</v>
      </c>
      <c r="BB291" s="4">
        <v>793</v>
      </c>
      <c r="BD291" s="35"/>
      <c r="BE291" s="35"/>
      <c r="BF291" s="2118" t="str">
        <f>Liste!R291</f>
        <v>0701478</v>
      </c>
      <c r="BG291" s="2137">
        <f>IF(AS291&gt;0,Liste!S291,0)</f>
        <v>0</v>
      </c>
      <c r="BH291" s="2118" t="str">
        <f>Liste!T291</f>
        <v>m²</v>
      </c>
    </row>
    <row r="292" spans="1:60" ht="24.95" customHeight="1" x14ac:dyDescent="0.25">
      <c r="A292" s="29"/>
      <c r="B292" s="46" t="str">
        <f>IF(Liste!O292&gt;0,Liste!O292,Liste!B292)</f>
        <v>Dichtrahmenabdeckung 25 GCC V2A (Teillänge 17)</v>
      </c>
      <c r="C292" s="2314"/>
      <c r="D292" s="30" t="str">
        <f>Liste!C292</f>
        <v>0338440</v>
      </c>
      <c r="E292" s="2314"/>
      <c r="F292" s="32">
        <f t="shared" si="28"/>
        <v>0</v>
      </c>
      <c r="G292" s="2314"/>
      <c r="H292" s="32">
        <f t="shared" si="29"/>
        <v>0</v>
      </c>
      <c r="I292" s="2314"/>
      <c r="J292" s="32">
        <f t="shared" si="30"/>
        <v>0</v>
      </c>
      <c r="K292" s="2314"/>
      <c r="L292" s="31">
        <f t="shared" si="31"/>
        <v>0</v>
      </c>
      <c r="M292" s="2314"/>
      <c r="N292" s="31" t="str">
        <f>Liste!L292</f>
        <v>Stk</v>
      </c>
      <c r="O292" s="31"/>
      <c r="P292" s="31"/>
      <c r="Q292" s="31">
        <f>Liste!P292</f>
        <v>0</v>
      </c>
      <c r="R292" s="31">
        <f>Liste!N292</f>
        <v>0</v>
      </c>
      <c r="S292" s="7">
        <v>0</v>
      </c>
      <c r="T292" s="7">
        <v>0</v>
      </c>
      <c r="U292" s="7">
        <v>0</v>
      </c>
      <c r="V292" s="7"/>
      <c r="W292" s="60"/>
      <c r="X292" s="60"/>
      <c r="Y292" s="60"/>
      <c r="Z292" s="7"/>
      <c r="AA292" s="7"/>
      <c r="AB292" s="60"/>
      <c r="AC292" s="60"/>
      <c r="AD292" s="60"/>
      <c r="AE292" s="7"/>
      <c r="AF292" s="7"/>
      <c r="AG292" s="7"/>
      <c r="AH292" s="7"/>
      <c r="AI292" s="7"/>
      <c r="AJ292" s="7">
        <f>Liste!X292</f>
        <v>0</v>
      </c>
      <c r="AK292" s="7">
        <f>Liste!Y292</f>
        <v>1</v>
      </c>
      <c r="AL292" s="7"/>
      <c r="AM292" s="7"/>
      <c r="AN292" s="7"/>
      <c r="AO292" s="1113">
        <f>Liste!D292</f>
        <v>0</v>
      </c>
      <c r="AP292" s="1113">
        <f>Liste!F292</f>
        <v>0</v>
      </c>
      <c r="AQ292" s="1113">
        <f>Liste!E292</f>
        <v>44.22</v>
      </c>
      <c r="AR292" s="1113">
        <f>Liste!G292</f>
        <v>0.8</v>
      </c>
      <c r="AS292" s="1112">
        <f>Liste!V292</f>
        <v>1</v>
      </c>
      <c r="AT292" s="1" t="str">
        <f>Liste!M292</f>
        <v>V2A blank</v>
      </c>
      <c r="AZ292" s="5" t="s">
        <v>28055</v>
      </c>
      <c r="BA292" s="4" t="s">
        <v>101</v>
      </c>
      <c r="BB292" s="4">
        <v>794</v>
      </c>
      <c r="BD292" s="35"/>
      <c r="BE292" s="35"/>
      <c r="BF292" s="2118" t="str">
        <f>Liste!R292</f>
        <v>0701478</v>
      </c>
      <c r="BG292" s="2137">
        <f>IF(AS292&gt;0,Liste!S292,0)</f>
        <v>0</v>
      </c>
      <c r="BH292" s="2118" t="str">
        <f>Liste!T292</f>
        <v>m²</v>
      </c>
    </row>
    <row r="293" spans="1:60" ht="24.95" customHeight="1" x14ac:dyDescent="0.25">
      <c r="A293" s="29"/>
      <c r="B293" s="46" t="str">
        <f>IF(Liste!O293&gt;0,Liste!O293,Liste!B293)</f>
        <v>Dichtrahmenabdeckung 25 GCC V2A (Teillänge 18)</v>
      </c>
      <c r="C293" s="2314"/>
      <c r="D293" s="30" t="str">
        <f>Liste!C293</f>
        <v>0338440</v>
      </c>
      <c r="E293" s="2314"/>
      <c r="F293" s="32">
        <f t="shared" si="28"/>
        <v>0</v>
      </c>
      <c r="G293" s="2314"/>
      <c r="H293" s="32">
        <f t="shared" si="29"/>
        <v>0</v>
      </c>
      <c r="I293" s="2314"/>
      <c r="J293" s="32">
        <f t="shared" si="30"/>
        <v>0</v>
      </c>
      <c r="K293" s="2314"/>
      <c r="L293" s="31">
        <f t="shared" si="31"/>
        <v>0</v>
      </c>
      <c r="M293" s="2314"/>
      <c r="N293" s="31" t="str">
        <f>Liste!L293</f>
        <v>Stk</v>
      </c>
      <c r="O293" s="31"/>
      <c r="P293" s="31"/>
      <c r="Q293" s="31">
        <f>Liste!P293</f>
        <v>0</v>
      </c>
      <c r="R293" s="31">
        <f>Liste!N293</f>
        <v>0</v>
      </c>
      <c r="S293" s="7">
        <v>0</v>
      </c>
      <c r="T293" s="7">
        <v>0</v>
      </c>
      <c r="U293" s="7">
        <v>0</v>
      </c>
      <c r="V293" s="7"/>
      <c r="W293" s="60"/>
      <c r="X293" s="60"/>
      <c r="Y293" s="60"/>
      <c r="Z293" s="7"/>
      <c r="AA293" s="7"/>
      <c r="AB293" s="60"/>
      <c r="AC293" s="60"/>
      <c r="AD293" s="60"/>
      <c r="AE293" s="7"/>
      <c r="AF293" s="7"/>
      <c r="AG293" s="7"/>
      <c r="AH293" s="7"/>
      <c r="AI293" s="7"/>
      <c r="AJ293" s="7">
        <f>Liste!X293</f>
        <v>0</v>
      </c>
      <c r="AK293" s="7">
        <f>Liste!Y293</f>
        <v>1</v>
      </c>
      <c r="AL293" s="7"/>
      <c r="AM293" s="7"/>
      <c r="AN293" s="7"/>
      <c r="AO293" s="1113">
        <f>Liste!D293</f>
        <v>0</v>
      </c>
      <c r="AP293" s="1113">
        <f>Liste!F293</f>
        <v>0</v>
      </c>
      <c r="AQ293" s="1113">
        <f>Liste!E293</f>
        <v>44.22</v>
      </c>
      <c r="AR293" s="1113">
        <f>Liste!G293</f>
        <v>0.8</v>
      </c>
      <c r="AS293" s="1112">
        <f>Liste!V293</f>
        <v>1</v>
      </c>
      <c r="AT293" s="1" t="str">
        <f>Liste!M293</f>
        <v>V2A blank</v>
      </c>
      <c r="AZ293" s="5" t="s">
        <v>28056</v>
      </c>
      <c r="BA293" s="4" t="s">
        <v>101</v>
      </c>
      <c r="BB293" s="4">
        <v>795</v>
      </c>
      <c r="BD293" s="35"/>
      <c r="BE293" s="35"/>
      <c r="BF293" s="2118" t="str">
        <f>Liste!R293</f>
        <v>0701478</v>
      </c>
      <c r="BG293" s="2137">
        <f>IF(AS293&gt;0,Liste!S293,0)</f>
        <v>0</v>
      </c>
      <c r="BH293" s="2118" t="str">
        <f>Liste!T293</f>
        <v>m²</v>
      </c>
    </row>
    <row r="294" spans="1:60" ht="24.95" customHeight="1" x14ac:dyDescent="0.25">
      <c r="A294" s="29"/>
      <c r="B294" s="46" t="str">
        <f>IF(Liste!O294&gt;0,Liste!O294,Liste!B294)</f>
        <v>Dichtrahmenabdeckung 25 GCC V2A (Teillänge 19)</v>
      </c>
      <c r="C294" s="2314"/>
      <c r="D294" s="30" t="str">
        <f>Liste!C294</f>
        <v>0338440</v>
      </c>
      <c r="E294" s="2314"/>
      <c r="F294" s="32">
        <f t="shared" si="28"/>
        <v>0</v>
      </c>
      <c r="G294" s="2314"/>
      <c r="H294" s="32">
        <f t="shared" si="29"/>
        <v>0</v>
      </c>
      <c r="I294" s="2314"/>
      <c r="J294" s="32">
        <f t="shared" si="30"/>
        <v>0</v>
      </c>
      <c r="K294" s="2314"/>
      <c r="L294" s="31">
        <f t="shared" si="31"/>
        <v>0</v>
      </c>
      <c r="M294" s="2314"/>
      <c r="N294" s="31" t="str">
        <f>Liste!L294</f>
        <v>Stk</v>
      </c>
      <c r="O294" s="31"/>
      <c r="P294" s="31"/>
      <c r="Q294" s="31">
        <f>Liste!P294</f>
        <v>0</v>
      </c>
      <c r="R294" s="31">
        <f>Liste!N294</f>
        <v>0</v>
      </c>
      <c r="S294" s="7">
        <v>0</v>
      </c>
      <c r="T294" s="7">
        <v>0</v>
      </c>
      <c r="U294" s="7">
        <v>0</v>
      </c>
      <c r="V294" s="7"/>
      <c r="W294" s="60"/>
      <c r="X294" s="60"/>
      <c r="Y294" s="60"/>
      <c r="Z294" s="7"/>
      <c r="AA294" s="7"/>
      <c r="AB294" s="60"/>
      <c r="AC294" s="60"/>
      <c r="AD294" s="60"/>
      <c r="AE294" s="7"/>
      <c r="AF294" s="7"/>
      <c r="AG294" s="7"/>
      <c r="AH294" s="7"/>
      <c r="AI294" s="7"/>
      <c r="AJ294" s="7">
        <f>Liste!X294</f>
        <v>0</v>
      </c>
      <c r="AK294" s="7">
        <f>Liste!Y294</f>
        <v>1</v>
      </c>
      <c r="AL294" s="7"/>
      <c r="AM294" s="7"/>
      <c r="AN294" s="7"/>
      <c r="AO294" s="1113">
        <f>Liste!D294</f>
        <v>0</v>
      </c>
      <c r="AP294" s="1113">
        <f>Liste!F294</f>
        <v>0</v>
      </c>
      <c r="AQ294" s="1113">
        <f>Liste!E294</f>
        <v>44.22</v>
      </c>
      <c r="AR294" s="1113">
        <f>Liste!G294</f>
        <v>0.8</v>
      </c>
      <c r="AS294" s="1112">
        <f>Liste!V294</f>
        <v>1</v>
      </c>
      <c r="AT294" s="1" t="str">
        <f>Liste!M294</f>
        <v>V2A blank</v>
      </c>
      <c r="AZ294" s="5" t="s">
        <v>28057</v>
      </c>
      <c r="BA294" s="4" t="s">
        <v>101</v>
      </c>
      <c r="BB294" s="4">
        <v>796</v>
      </c>
      <c r="BD294" s="35"/>
      <c r="BE294" s="35"/>
      <c r="BF294" s="2118" t="str">
        <f>Liste!R294</f>
        <v>0701478</v>
      </c>
      <c r="BG294" s="2137">
        <f>IF(AS294&gt;0,Liste!S294,0)</f>
        <v>0</v>
      </c>
      <c r="BH294" s="2118" t="str">
        <f>Liste!T294</f>
        <v>m²</v>
      </c>
    </row>
    <row r="295" spans="1:60" ht="24.95" customHeight="1" x14ac:dyDescent="0.25">
      <c r="A295" s="29"/>
      <c r="B295" s="46" t="str">
        <f>IF(Liste!O295&gt;0,Liste!O295,Liste!B295)</f>
        <v>Dichtrahmenabdeckung 25 GCC V2A (Teillänge 20)</v>
      </c>
      <c r="C295" s="2314"/>
      <c r="D295" s="30" t="str">
        <f>Liste!C295</f>
        <v>0338440</v>
      </c>
      <c r="E295" s="2314"/>
      <c r="F295" s="32">
        <f t="shared" si="28"/>
        <v>0</v>
      </c>
      <c r="G295" s="2314"/>
      <c r="H295" s="32">
        <f t="shared" si="29"/>
        <v>0</v>
      </c>
      <c r="I295" s="2314"/>
      <c r="J295" s="32">
        <f t="shared" si="30"/>
        <v>0</v>
      </c>
      <c r="K295" s="2314"/>
      <c r="L295" s="31">
        <f t="shared" si="31"/>
        <v>0</v>
      </c>
      <c r="M295" s="2314"/>
      <c r="N295" s="31" t="str">
        <f>Liste!L295</f>
        <v>Stk</v>
      </c>
      <c r="O295" s="31"/>
      <c r="P295" s="31"/>
      <c r="Q295" s="31">
        <f>Liste!P295</f>
        <v>0</v>
      </c>
      <c r="R295" s="31">
        <f>Liste!N295</f>
        <v>0</v>
      </c>
      <c r="S295" s="7">
        <v>0</v>
      </c>
      <c r="T295" s="7">
        <v>0</v>
      </c>
      <c r="U295" s="7">
        <v>0</v>
      </c>
      <c r="V295" s="7"/>
      <c r="W295" s="60"/>
      <c r="X295" s="60"/>
      <c r="Y295" s="60"/>
      <c r="Z295" s="7"/>
      <c r="AA295" s="7"/>
      <c r="AB295" s="60"/>
      <c r="AC295" s="60"/>
      <c r="AD295" s="60"/>
      <c r="AE295" s="7"/>
      <c r="AF295" s="7"/>
      <c r="AG295" s="7"/>
      <c r="AH295" s="7"/>
      <c r="AI295" s="7"/>
      <c r="AJ295" s="7">
        <f>Liste!X295</f>
        <v>0</v>
      </c>
      <c r="AK295" s="7">
        <f>Liste!Y295</f>
        <v>1</v>
      </c>
      <c r="AL295" s="7"/>
      <c r="AM295" s="7"/>
      <c r="AN295" s="7"/>
      <c r="AO295" s="1113">
        <f>Liste!D295</f>
        <v>0</v>
      </c>
      <c r="AP295" s="1113">
        <f>Liste!F295</f>
        <v>0</v>
      </c>
      <c r="AQ295" s="1113">
        <f>Liste!E295</f>
        <v>44.22</v>
      </c>
      <c r="AR295" s="1113">
        <f>Liste!G295</f>
        <v>0.8</v>
      </c>
      <c r="AS295" s="1112">
        <f>Liste!V295</f>
        <v>1</v>
      </c>
      <c r="AT295" s="1" t="str">
        <f>Liste!M295</f>
        <v>V2A blank</v>
      </c>
      <c r="AZ295" s="5" t="s">
        <v>28058</v>
      </c>
      <c r="BA295" s="4" t="s">
        <v>101</v>
      </c>
      <c r="BB295" s="4">
        <v>797</v>
      </c>
      <c r="BD295" s="35"/>
      <c r="BE295" s="35"/>
      <c r="BF295" s="2118" t="str">
        <f>Liste!R295</f>
        <v>0701478</v>
      </c>
      <c r="BG295" s="2137">
        <f>IF(AS295&gt;0,Liste!S295,0)</f>
        <v>0</v>
      </c>
      <c r="BH295" s="2118" t="str">
        <f>Liste!T295</f>
        <v>m²</v>
      </c>
    </row>
    <row r="296" spans="1:60" ht="24.95" customHeight="1" x14ac:dyDescent="0.25">
      <c r="A296" s="29"/>
      <c r="B296" s="46" t="str">
        <f>IF(Liste!O296&gt;0,Liste!O296,Liste!B296)</f>
        <v>Gesamtsumme Dichtrahmenabdeckstreifen</v>
      </c>
      <c r="C296" s="2314"/>
      <c r="D296" s="30">
        <f>Liste!C296</f>
        <v>0</v>
      </c>
      <c r="E296" s="2314"/>
      <c r="F296" s="32">
        <f t="shared" si="28"/>
        <v>0</v>
      </c>
      <c r="G296" s="2314"/>
      <c r="H296" s="32">
        <f t="shared" si="29"/>
        <v>0</v>
      </c>
      <c r="I296" s="2314"/>
      <c r="J296" s="32">
        <f t="shared" si="30"/>
        <v>0</v>
      </c>
      <c r="K296" s="2314"/>
      <c r="L296" s="31">
        <f t="shared" si="31"/>
        <v>0</v>
      </c>
      <c r="M296" s="2314"/>
      <c r="N296" s="31">
        <f>Liste!L296</f>
        <v>0</v>
      </c>
      <c r="O296" s="31"/>
      <c r="P296" s="31"/>
      <c r="Q296" s="31">
        <f>Liste!P296</f>
        <v>0</v>
      </c>
      <c r="R296" s="31">
        <f>Liste!N296</f>
        <v>0</v>
      </c>
      <c r="S296" s="7">
        <v>0</v>
      </c>
      <c r="T296" s="7">
        <v>0</v>
      </c>
      <c r="U296" s="7">
        <v>0</v>
      </c>
      <c r="V296" s="7"/>
      <c r="W296" s="60"/>
      <c r="X296" s="60"/>
      <c r="Y296" s="60"/>
      <c r="Z296" s="7"/>
      <c r="AA296" s="7"/>
      <c r="AB296" s="60"/>
      <c r="AC296" s="60"/>
      <c r="AD296" s="60"/>
      <c r="AE296" s="7"/>
      <c r="AF296" s="7"/>
      <c r="AG296" s="7"/>
      <c r="AH296" s="7"/>
      <c r="AI296" s="7"/>
      <c r="AJ296" s="7">
        <f>Liste!X296</f>
        <v>0</v>
      </c>
      <c r="AK296" s="7">
        <f>Liste!Y296</f>
        <v>0</v>
      </c>
      <c r="AL296" s="7"/>
      <c r="AM296" s="7"/>
      <c r="AN296" s="7"/>
      <c r="AO296" s="1113">
        <f>Liste!D296</f>
        <v>0</v>
      </c>
      <c r="AP296" s="1113">
        <f>Liste!F296</f>
        <v>0</v>
      </c>
      <c r="AQ296" s="1113">
        <f>Liste!E296</f>
        <v>0</v>
      </c>
      <c r="AR296" s="1113">
        <f>Liste!G296</f>
        <v>0</v>
      </c>
      <c r="AS296" s="1112">
        <f>Liste!V296</f>
        <v>0</v>
      </c>
      <c r="AT296" s="1">
        <f>Liste!M296</f>
        <v>0</v>
      </c>
      <c r="AZ296" s="5" t="s">
        <v>28059</v>
      </c>
      <c r="BA296" s="4" t="s">
        <v>101</v>
      </c>
      <c r="BB296" s="4">
        <v>798</v>
      </c>
      <c r="BD296" s="35"/>
      <c r="BE296" s="35"/>
      <c r="BF296" s="2118">
        <f>Liste!R296</f>
        <v>0</v>
      </c>
      <c r="BG296" s="2137">
        <f>IF(AS296&gt;0,Liste!S296,0)</f>
        <v>0</v>
      </c>
      <c r="BH296" s="2118">
        <f>Liste!T296</f>
        <v>0</v>
      </c>
    </row>
    <row r="297" spans="1:60" ht="24.95" customHeight="1" x14ac:dyDescent="0.25">
      <c r="A297" s="29"/>
      <c r="B297" s="46" t="str">
        <f>IF(Liste!O297&gt;0,Liste!O297,Liste!B297)</f>
        <v>Hinterfütterung Dichtrahmen bei Führungsschienen U-Form</v>
      </c>
      <c r="C297" s="2314"/>
      <c r="D297" s="30">
        <f>Liste!C297</f>
        <v>0</v>
      </c>
      <c r="E297" s="2314"/>
      <c r="F297" s="32">
        <f t="shared" si="28"/>
        <v>0</v>
      </c>
      <c r="G297" s="2314"/>
      <c r="H297" s="32">
        <f t="shared" si="29"/>
        <v>0</v>
      </c>
      <c r="I297" s="2314"/>
      <c r="J297" s="32">
        <f t="shared" si="30"/>
        <v>0</v>
      </c>
      <c r="K297" s="2314"/>
      <c r="L297" s="31">
        <f t="shared" si="31"/>
        <v>0</v>
      </c>
      <c r="M297" s="2314"/>
      <c r="N297" s="31">
        <f>Liste!L297</f>
        <v>0</v>
      </c>
      <c r="O297" s="31"/>
      <c r="P297" s="31"/>
      <c r="Q297" s="31">
        <f>Liste!P297</f>
        <v>0</v>
      </c>
      <c r="R297" s="31">
        <f>Liste!N297</f>
        <v>0</v>
      </c>
      <c r="S297" s="7">
        <v>0</v>
      </c>
      <c r="T297" s="7">
        <v>0</v>
      </c>
      <c r="U297" s="7">
        <v>0</v>
      </c>
      <c r="V297" s="7"/>
      <c r="W297" s="60"/>
      <c r="X297" s="60"/>
      <c r="Y297" s="60"/>
      <c r="Z297" s="7"/>
      <c r="AA297" s="7"/>
      <c r="AB297" s="60"/>
      <c r="AC297" s="60"/>
      <c r="AD297" s="60"/>
      <c r="AE297" s="7"/>
      <c r="AF297" s="7"/>
      <c r="AG297" s="7"/>
      <c r="AH297" s="7"/>
      <c r="AI297" s="7"/>
      <c r="AJ297" s="7">
        <f>Liste!X297</f>
        <v>0</v>
      </c>
      <c r="AK297" s="7">
        <f>Liste!Y297</f>
        <v>0</v>
      </c>
      <c r="AL297" s="7"/>
      <c r="AM297" s="7"/>
      <c r="AN297" s="7"/>
      <c r="AO297" s="1113">
        <f>Liste!D297</f>
        <v>0</v>
      </c>
      <c r="AP297" s="1113">
        <f>Liste!F297</f>
        <v>0</v>
      </c>
      <c r="AQ297" s="1113">
        <f>Liste!E297</f>
        <v>0</v>
      </c>
      <c r="AR297" s="1113">
        <f>Liste!G297</f>
        <v>0</v>
      </c>
      <c r="AS297" s="1112">
        <f>Liste!V297</f>
        <v>0</v>
      </c>
      <c r="AT297" s="1">
        <f>Liste!M297</f>
        <v>0</v>
      </c>
      <c r="AZ297" s="5" t="s">
        <v>31348</v>
      </c>
      <c r="BA297" s="4" t="s">
        <v>101</v>
      </c>
      <c r="BB297" s="4">
        <v>799</v>
      </c>
      <c r="BD297" s="35"/>
      <c r="BE297" s="35"/>
      <c r="BF297" s="2118">
        <f>Liste!R297</f>
        <v>0</v>
      </c>
      <c r="BG297" s="2137">
        <f>IF(AS297&gt;0,Liste!S297,0)</f>
        <v>0</v>
      </c>
      <c r="BH297" s="2118">
        <f>Liste!T297</f>
        <v>0</v>
      </c>
    </row>
    <row r="298" spans="1:60" ht="24.95" customHeight="1" x14ac:dyDescent="0.25">
      <c r="A298" s="29"/>
      <c r="B298" s="46">
        <f>IF(Liste!O298&gt;0,Liste!O298,Liste!B298)</f>
        <v>67</v>
      </c>
      <c r="C298" s="2314"/>
      <c r="D298" s="30" t="str">
        <f>Liste!C298</f>
        <v>0202024</v>
      </c>
      <c r="E298" s="2314"/>
      <c r="F298" s="32">
        <f t="shared" si="28"/>
        <v>0</v>
      </c>
      <c r="G298" s="2314"/>
      <c r="H298" s="32">
        <f t="shared" si="29"/>
        <v>550</v>
      </c>
      <c r="I298" s="2314"/>
      <c r="J298" s="32">
        <f t="shared" si="30"/>
        <v>150</v>
      </c>
      <c r="K298" s="2314"/>
      <c r="L298" s="31">
        <f t="shared" si="31"/>
        <v>0</v>
      </c>
      <c r="M298" s="2314"/>
      <c r="N298" s="31" t="str">
        <f>Liste!L298</f>
        <v>MM2</v>
      </c>
      <c r="O298" s="31"/>
      <c r="P298" s="31"/>
      <c r="Q298" s="31" t="str">
        <f>Liste!P298</f>
        <v>B</v>
      </c>
      <c r="R298" s="31" t="str">
        <f>Liste!N298</f>
        <v>Hinterf. Dichtrahmen</v>
      </c>
      <c r="S298" s="7">
        <v>0</v>
      </c>
      <c r="T298" s="7">
        <v>0</v>
      </c>
      <c r="U298" s="7">
        <v>0</v>
      </c>
      <c r="V298" s="7"/>
      <c r="W298" s="60"/>
      <c r="X298" s="60"/>
      <c r="Y298" s="60"/>
      <c r="Z298" s="7"/>
      <c r="AA298" s="7"/>
      <c r="AB298" s="60"/>
      <c r="AC298" s="60"/>
      <c r="AD298" s="60"/>
      <c r="AE298" s="7"/>
      <c r="AF298" s="7"/>
      <c r="AG298" s="7"/>
      <c r="AH298" s="7"/>
      <c r="AI298" s="7"/>
      <c r="AJ298" s="7">
        <f>Liste!X298</f>
        <v>0</v>
      </c>
      <c r="AK298" s="7">
        <f>Liste!Y298</f>
        <v>0</v>
      </c>
      <c r="AL298" s="7"/>
      <c r="AM298" s="7"/>
      <c r="AN298" s="7"/>
      <c r="AO298" s="1113">
        <f>Liste!D298</f>
        <v>0</v>
      </c>
      <c r="AP298" s="1113">
        <f>Liste!F298</f>
        <v>550</v>
      </c>
      <c r="AQ298" s="1113">
        <f>Liste!E298</f>
        <v>150</v>
      </c>
      <c r="AR298" s="1113">
        <f>Liste!G298</f>
        <v>0</v>
      </c>
      <c r="AS298" s="1112">
        <f>Liste!V298</f>
        <v>1</v>
      </c>
      <c r="AT298" s="1">
        <f>Liste!M298</f>
        <v>0</v>
      </c>
      <c r="AZ298" s="5" t="s">
        <v>31349</v>
      </c>
      <c r="BA298" s="4" t="s">
        <v>101</v>
      </c>
      <c r="BB298" s="4">
        <v>800</v>
      </c>
      <c r="BD298" s="35"/>
      <c r="BE298" s="35"/>
      <c r="BF298" s="2118" t="str">
        <f>Liste!R298</f>
        <v>0202024</v>
      </c>
      <c r="BG298" s="2137">
        <f>IF(AS298&gt;0,Liste!S298,0)</f>
        <v>0</v>
      </c>
      <c r="BH298" s="2118" t="str">
        <f>Liste!T298</f>
        <v>m²</v>
      </c>
    </row>
    <row r="299" spans="1:60" ht="24.95" customHeight="1" x14ac:dyDescent="0.25">
      <c r="A299" s="29"/>
      <c r="B299" s="46">
        <f>IF(Liste!O299&gt;0,Liste!O299,Liste!B299)</f>
        <v>68</v>
      </c>
      <c r="C299" s="2314"/>
      <c r="D299" s="30" t="str">
        <f>Liste!C299</f>
        <v>0202024</v>
      </c>
      <c r="E299" s="2314"/>
      <c r="F299" s="32">
        <f t="shared" si="28"/>
        <v>0</v>
      </c>
      <c r="G299" s="2314"/>
      <c r="H299" s="32">
        <f t="shared" si="29"/>
        <v>550</v>
      </c>
      <c r="I299" s="2314"/>
      <c r="J299" s="32">
        <f t="shared" si="30"/>
        <v>150</v>
      </c>
      <c r="K299" s="2314"/>
      <c r="L299" s="31">
        <f t="shared" si="31"/>
        <v>0</v>
      </c>
      <c r="M299" s="2314"/>
      <c r="N299" s="31" t="str">
        <f>Liste!L299</f>
        <v>MM2</v>
      </c>
      <c r="O299" s="31"/>
      <c r="P299" s="31"/>
      <c r="Q299" s="31" t="str">
        <f>Liste!P299</f>
        <v>B</v>
      </c>
      <c r="R299" s="31" t="str">
        <f>Liste!N299</f>
        <v>Hinterf. Dichtrahmen</v>
      </c>
      <c r="S299" s="7">
        <v>0</v>
      </c>
      <c r="T299" s="7">
        <v>0</v>
      </c>
      <c r="U299" s="7">
        <v>0</v>
      </c>
      <c r="V299" s="7"/>
      <c r="W299" s="60"/>
      <c r="X299" s="60"/>
      <c r="Y299" s="60"/>
      <c r="Z299" s="7"/>
      <c r="AA299" s="7"/>
      <c r="AB299" s="60"/>
      <c r="AC299" s="60"/>
      <c r="AD299" s="60"/>
      <c r="AE299" s="7"/>
      <c r="AF299" s="7"/>
      <c r="AG299" s="7"/>
      <c r="AH299" s="7"/>
      <c r="AI299" s="7"/>
      <c r="AJ299" s="7">
        <f>Liste!X299</f>
        <v>0</v>
      </c>
      <c r="AK299" s="7">
        <f>Liste!Y299</f>
        <v>0</v>
      </c>
      <c r="AL299" s="7"/>
      <c r="AM299" s="7"/>
      <c r="AN299" s="7"/>
      <c r="AO299" s="1113">
        <f>Liste!D299</f>
        <v>0</v>
      </c>
      <c r="AP299" s="1113">
        <f>Liste!F299</f>
        <v>550</v>
      </c>
      <c r="AQ299" s="1113">
        <f>Liste!E299</f>
        <v>150</v>
      </c>
      <c r="AR299" s="1113">
        <f>Liste!G299</f>
        <v>0</v>
      </c>
      <c r="AS299" s="1112">
        <f>Liste!V299</f>
        <v>1</v>
      </c>
      <c r="AT299" s="1">
        <f>Liste!M299</f>
        <v>0</v>
      </c>
      <c r="AZ299" s="5" t="s">
        <v>31350</v>
      </c>
      <c r="BA299" s="4" t="s">
        <v>101</v>
      </c>
      <c r="BB299" s="4">
        <v>801</v>
      </c>
      <c r="BD299" s="35"/>
      <c r="BE299" s="35"/>
      <c r="BF299" s="2118" t="str">
        <f>Liste!R299</f>
        <v>0202024</v>
      </c>
      <c r="BG299" s="2137">
        <f>IF(AS299&gt;0,Liste!S299,0)</f>
        <v>0</v>
      </c>
      <c r="BH299" s="2118" t="str">
        <f>Liste!T299</f>
        <v>m²</v>
      </c>
    </row>
    <row r="300" spans="1:60" ht="24.95" customHeight="1" x14ac:dyDescent="0.25">
      <c r="A300" s="29"/>
      <c r="B300" s="46">
        <f>IF(Liste!O300&gt;0,Liste!O300,Liste!B300)</f>
        <v>69</v>
      </c>
      <c r="C300" s="2314"/>
      <c r="D300" s="30" t="str">
        <f>Liste!C300</f>
        <v>0202024</v>
      </c>
      <c r="E300" s="2314"/>
      <c r="F300" s="32">
        <f t="shared" si="28"/>
        <v>0</v>
      </c>
      <c r="G300" s="2314"/>
      <c r="H300" s="32">
        <f t="shared" si="29"/>
        <v>1100</v>
      </c>
      <c r="I300" s="2314"/>
      <c r="J300" s="32">
        <f t="shared" si="30"/>
        <v>185</v>
      </c>
      <c r="K300" s="2314"/>
      <c r="L300" s="31">
        <f t="shared" si="31"/>
        <v>0</v>
      </c>
      <c r="M300" s="2314"/>
      <c r="N300" s="31" t="str">
        <f>Liste!L300</f>
        <v>MM2</v>
      </c>
      <c r="O300" s="31"/>
      <c r="P300" s="31"/>
      <c r="Q300" s="31" t="str">
        <f>Liste!P300</f>
        <v>B</v>
      </c>
      <c r="R300" s="31" t="str">
        <f>Liste!N300</f>
        <v>Hinterf. Dichtrahmen</v>
      </c>
      <c r="S300" s="7">
        <v>0</v>
      </c>
      <c r="T300" s="7">
        <v>0</v>
      </c>
      <c r="U300" s="7">
        <v>0</v>
      </c>
      <c r="V300" s="7"/>
      <c r="W300" s="60"/>
      <c r="X300" s="60"/>
      <c r="Y300" s="60"/>
      <c r="Z300" s="7"/>
      <c r="AA300" s="7"/>
      <c r="AB300" s="60"/>
      <c r="AC300" s="60"/>
      <c r="AD300" s="60"/>
      <c r="AE300" s="7"/>
      <c r="AF300" s="7"/>
      <c r="AG300" s="7"/>
      <c r="AH300" s="7"/>
      <c r="AI300" s="7"/>
      <c r="AJ300" s="7">
        <f>Liste!X300</f>
        <v>0</v>
      </c>
      <c r="AK300" s="7">
        <f>Liste!Y300</f>
        <v>0</v>
      </c>
      <c r="AL300" s="7"/>
      <c r="AM300" s="7"/>
      <c r="AN300" s="7"/>
      <c r="AO300" s="1113">
        <f>Liste!D300</f>
        <v>0</v>
      </c>
      <c r="AP300" s="1113">
        <f>Liste!F300</f>
        <v>1100</v>
      </c>
      <c r="AQ300" s="1113">
        <f>Liste!E300</f>
        <v>185</v>
      </c>
      <c r="AR300" s="1113">
        <f>Liste!G300</f>
        <v>0</v>
      </c>
      <c r="AS300" s="1112">
        <f>Liste!V300</f>
        <v>1</v>
      </c>
      <c r="AT300" s="1">
        <f>Liste!M300</f>
        <v>0</v>
      </c>
      <c r="AZ300" s="5" t="s">
        <v>28060</v>
      </c>
      <c r="BA300" s="4" t="s">
        <v>101</v>
      </c>
      <c r="BB300" s="4">
        <v>802</v>
      </c>
      <c r="BD300" s="35"/>
      <c r="BE300" s="35"/>
      <c r="BF300" s="2118" t="str">
        <f>Liste!R300</f>
        <v>0202024</v>
      </c>
      <c r="BG300" s="2137">
        <f>IF(AS300&gt;0,Liste!S300,0)</f>
        <v>0</v>
      </c>
      <c r="BH300" s="2118" t="str">
        <f>Liste!T300</f>
        <v>m²</v>
      </c>
    </row>
    <row r="301" spans="1:60" ht="24.95" customHeight="1" x14ac:dyDescent="0.25">
      <c r="A301" s="29"/>
      <c r="B301" s="46">
        <f>IF(Liste!O301&gt;0,Liste!O301,Liste!B301)</f>
        <v>70</v>
      </c>
      <c r="C301" s="2314"/>
      <c r="D301" s="30" t="str">
        <f>Liste!C301</f>
        <v>0202024</v>
      </c>
      <c r="E301" s="2314"/>
      <c r="F301" s="32">
        <f t="shared" si="28"/>
        <v>0</v>
      </c>
      <c r="G301" s="2314"/>
      <c r="H301" s="32">
        <f t="shared" si="29"/>
        <v>515</v>
      </c>
      <c r="I301" s="2314"/>
      <c r="J301" s="32">
        <f t="shared" si="30"/>
        <v>50</v>
      </c>
      <c r="K301" s="2314"/>
      <c r="L301" s="31">
        <f t="shared" si="31"/>
        <v>0</v>
      </c>
      <c r="M301" s="2314"/>
      <c r="N301" s="31" t="str">
        <f>Liste!L301</f>
        <v>MM2</v>
      </c>
      <c r="O301" s="31"/>
      <c r="P301" s="31"/>
      <c r="Q301" s="31" t="str">
        <f>Liste!P301</f>
        <v>B</v>
      </c>
      <c r="R301" s="31" t="str">
        <f>Liste!N301</f>
        <v>Hinterf. Dichtrahmen</v>
      </c>
      <c r="S301" s="7">
        <v>0</v>
      </c>
      <c r="T301" s="7">
        <v>0</v>
      </c>
      <c r="U301" s="7">
        <v>0</v>
      </c>
      <c r="V301" s="7"/>
      <c r="W301" s="60"/>
      <c r="X301" s="60"/>
      <c r="Y301" s="60"/>
      <c r="Z301" s="7"/>
      <c r="AA301" s="7"/>
      <c r="AB301" s="60"/>
      <c r="AC301" s="60"/>
      <c r="AD301" s="60"/>
      <c r="AE301" s="7"/>
      <c r="AF301" s="7"/>
      <c r="AG301" s="7"/>
      <c r="AH301" s="7"/>
      <c r="AI301" s="7"/>
      <c r="AJ301" s="7">
        <f>Liste!X301</f>
        <v>0</v>
      </c>
      <c r="AK301" s="7">
        <f>Liste!Y301</f>
        <v>0</v>
      </c>
      <c r="AL301" s="7"/>
      <c r="AM301" s="7"/>
      <c r="AN301" s="7"/>
      <c r="AO301" s="1113">
        <f>Liste!D301</f>
        <v>0</v>
      </c>
      <c r="AP301" s="1113">
        <f>Liste!F301</f>
        <v>515</v>
      </c>
      <c r="AQ301" s="1113">
        <f>Liste!E301</f>
        <v>50</v>
      </c>
      <c r="AR301" s="1113">
        <f>Liste!G301</f>
        <v>0</v>
      </c>
      <c r="AS301" s="1112">
        <f>Liste!V301</f>
        <v>1</v>
      </c>
      <c r="AT301" s="1">
        <f>Liste!M301</f>
        <v>0</v>
      </c>
      <c r="AZ301" s="5" t="s">
        <v>28061</v>
      </c>
      <c r="BA301" s="4" t="s">
        <v>101</v>
      </c>
      <c r="BB301" s="4">
        <v>803</v>
      </c>
      <c r="BD301" s="35"/>
      <c r="BE301" s="35"/>
      <c r="BF301" s="2118" t="str">
        <f>Liste!R301</f>
        <v>0202024</v>
      </c>
      <c r="BG301" s="2137">
        <f>IF(AS301&gt;0,Liste!S301,0)</f>
        <v>0</v>
      </c>
      <c r="BH301" s="2118" t="str">
        <f>Liste!T301</f>
        <v>m²</v>
      </c>
    </row>
    <row r="302" spans="1:60" ht="24.95" customHeight="1" x14ac:dyDescent="0.25">
      <c r="A302" s="29"/>
      <c r="B302" s="46">
        <f>IF(Liste!O302&gt;0,Liste!O302,Liste!B302)</f>
        <v>0</v>
      </c>
      <c r="C302" s="2314"/>
      <c r="D302" s="30">
        <f>Liste!C302</f>
        <v>0</v>
      </c>
      <c r="E302" s="2314"/>
      <c r="F302" s="32">
        <f t="shared" si="28"/>
        <v>0</v>
      </c>
      <c r="G302" s="2314"/>
      <c r="H302" s="32">
        <f t="shared" si="29"/>
        <v>0</v>
      </c>
      <c r="I302" s="2314"/>
      <c r="J302" s="32">
        <f t="shared" si="30"/>
        <v>0</v>
      </c>
      <c r="K302" s="2314"/>
      <c r="L302" s="31">
        <f t="shared" si="31"/>
        <v>0</v>
      </c>
      <c r="M302" s="2314"/>
      <c r="N302" s="31" t="str">
        <f>Liste!L302</f>
        <v>Stk</v>
      </c>
      <c r="O302" s="31"/>
      <c r="P302" s="31"/>
      <c r="Q302" s="31">
        <f>Liste!P302</f>
        <v>0</v>
      </c>
      <c r="R302" s="31">
        <f>Liste!N302</f>
        <v>0</v>
      </c>
      <c r="S302" s="7">
        <v>0</v>
      </c>
      <c r="T302" s="7">
        <v>0</v>
      </c>
      <c r="U302" s="7">
        <v>0</v>
      </c>
      <c r="V302" s="7"/>
      <c r="W302" s="60"/>
      <c r="X302" s="60"/>
      <c r="Y302" s="60"/>
      <c r="Z302" s="7"/>
      <c r="AA302" s="7"/>
      <c r="AB302" s="60"/>
      <c r="AC302" s="60"/>
      <c r="AD302" s="60"/>
      <c r="AE302" s="7"/>
      <c r="AF302" s="7"/>
      <c r="AG302" s="7"/>
      <c r="AH302" s="7"/>
      <c r="AI302" s="7"/>
      <c r="AJ302" s="7">
        <f>Liste!X302</f>
        <v>0</v>
      </c>
      <c r="AK302" s="7">
        <f>Liste!Y302</f>
        <v>0</v>
      </c>
      <c r="AL302" s="7"/>
      <c r="AM302" s="7"/>
      <c r="AN302" s="7"/>
      <c r="AO302" s="1113">
        <f>Liste!D302</f>
        <v>0</v>
      </c>
      <c r="AP302" s="1113">
        <f>Liste!F302</f>
        <v>202</v>
      </c>
      <c r="AQ302" s="1113">
        <f>Liste!E302</f>
        <v>80</v>
      </c>
      <c r="AR302" s="1113">
        <f>Liste!G302</f>
        <v>4</v>
      </c>
      <c r="AS302" s="1112">
        <f>Liste!V302</f>
        <v>0</v>
      </c>
      <c r="AT302" s="1">
        <f>Liste!M302</f>
        <v>0</v>
      </c>
      <c r="AZ302" s="5" t="s">
        <v>28062</v>
      </c>
      <c r="BA302" s="4" t="s">
        <v>101</v>
      </c>
      <c r="BB302" s="4">
        <v>804</v>
      </c>
      <c r="BD302" s="35"/>
      <c r="BE302" s="35"/>
      <c r="BF302" s="2118">
        <f>Liste!R302</f>
        <v>0</v>
      </c>
      <c r="BG302" s="2137">
        <f>IF(AS302&gt;0,Liste!S302,0)</f>
        <v>0</v>
      </c>
      <c r="BH302" s="2118">
        <f>Liste!T302</f>
        <v>0</v>
      </c>
    </row>
    <row r="303" spans="1:60" ht="24.95" customHeight="1" x14ac:dyDescent="0.25">
      <c r="A303" s="29"/>
      <c r="B303" s="46" t="str">
        <f>IF(Liste!O303&gt;0,Liste!O303,Liste!B303)</f>
        <v>Baugruppe Endschalter geöffnet verzinkt</v>
      </c>
      <c r="C303" s="2314"/>
      <c r="D303" s="30" t="str">
        <f>Liste!C303</f>
        <v>0306277</v>
      </c>
      <c r="E303" s="2314"/>
      <c r="F303" s="32">
        <f t="shared" si="28"/>
        <v>0</v>
      </c>
      <c r="G303" s="2314"/>
      <c r="H303" s="32">
        <f t="shared" si="29"/>
        <v>0</v>
      </c>
      <c r="I303" s="2314"/>
      <c r="J303" s="32">
        <f t="shared" si="30"/>
        <v>0</v>
      </c>
      <c r="K303" s="2314"/>
      <c r="L303" s="31">
        <f t="shared" si="31"/>
        <v>0</v>
      </c>
      <c r="M303" s="2314"/>
      <c r="N303" s="31" t="str">
        <f>Liste!L303</f>
        <v>Stk</v>
      </c>
      <c r="O303" s="31"/>
      <c r="P303" s="31"/>
      <c r="Q303" s="31">
        <f>Liste!P303</f>
        <v>0</v>
      </c>
      <c r="R303" s="31">
        <f>Liste!N303</f>
        <v>0</v>
      </c>
      <c r="S303" s="7">
        <v>0</v>
      </c>
      <c r="T303" s="7">
        <v>0</v>
      </c>
      <c r="U303" s="7">
        <v>0</v>
      </c>
      <c r="V303" s="7"/>
      <c r="W303" s="60"/>
      <c r="X303" s="60"/>
      <c r="Y303" s="60"/>
      <c r="Z303" s="7"/>
      <c r="AA303" s="7"/>
      <c r="AB303" s="60"/>
      <c r="AC303" s="60"/>
      <c r="AD303" s="60"/>
      <c r="AE303" s="7"/>
      <c r="AF303" s="7"/>
      <c r="AG303" s="7"/>
      <c r="AH303" s="7"/>
      <c r="AI303" s="7"/>
      <c r="AJ303" s="7">
        <f>Liste!X303</f>
        <v>0</v>
      </c>
      <c r="AK303" s="7">
        <f>Liste!Y303</f>
        <v>0</v>
      </c>
      <c r="AL303" s="7"/>
      <c r="AM303" s="7"/>
      <c r="AN303" s="7"/>
      <c r="AO303" s="1113">
        <f>Liste!D303</f>
        <v>0</v>
      </c>
      <c r="AP303" s="1113">
        <f>Liste!F303</f>
        <v>0</v>
      </c>
      <c r="AQ303" s="1113">
        <f>Liste!E303</f>
        <v>0</v>
      </c>
      <c r="AR303" s="1113">
        <f>Liste!G303</f>
        <v>0</v>
      </c>
      <c r="AS303" s="1112">
        <f>Liste!V303</f>
        <v>1</v>
      </c>
      <c r="AT303" s="1">
        <f>Liste!M303</f>
        <v>0</v>
      </c>
      <c r="AZ303" s="5" t="s">
        <v>28063</v>
      </c>
      <c r="BA303" s="4" t="s">
        <v>101</v>
      </c>
      <c r="BB303" s="4">
        <v>805</v>
      </c>
      <c r="BD303" s="35"/>
      <c r="BE303" s="35"/>
      <c r="BF303" s="2118" t="str">
        <f>Liste!R303</f>
        <v>0306277</v>
      </c>
      <c r="BG303" s="2137">
        <f>IF(AS303&gt;0,Liste!S303,0)</f>
        <v>0</v>
      </c>
      <c r="BH303" s="2118" t="str">
        <f>Liste!T303</f>
        <v>Stk</v>
      </c>
    </row>
    <row r="304" spans="1:60" ht="24.95" customHeight="1" x14ac:dyDescent="0.25">
      <c r="A304" s="29"/>
      <c r="B304" s="46" t="str">
        <f>IF(Liste!O304&gt;0,Liste!O304,Liste!B304)</f>
        <v>Baugruppe Endschalter geöffnet V2A</v>
      </c>
      <c r="C304" s="2314"/>
      <c r="D304" s="30" t="str">
        <f>Liste!C304</f>
        <v>0336277</v>
      </c>
      <c r="E304" s="2314"/>
      <c r="F304" s="32">
        <f t="shared" si="28"/>
        <v>0</v>
      </c>
      <c r="G304" s="2314"/>
      <c r="H304" s="32">
        <f t="shared" si="29"/>
        <v>0</v>
      </c>
      <c r="I304" s="2314"/>
      <c r="J304" s="32">
        <f t="shared" si="30"/>
        <v>0</v>
      </c>
      <c r="K304" s="2314"/>
      <c r="L304" s="31">
        <f t="shared" si="31"/>
        <v>0</v>
      </c>
      <c r="M304" s="2314"/>
      <c r="N304" s="31" t="str">
        <f>Liste!L304</f>
        <v>Stk</v>
      </c>
      <c r="O304" s="31"/>
      <c r="P304" s="31"/>
      <c r="Q304" s="31">
        <f>Liste!P304</f>
        <v>0</v>
      </c>
      <c r="R304" s="31">
        <f>Liste!N304</f>
        <v>0</v>
      </c>
      <c r="S304" s="7">
        <v>0</v>
      </c>
      <c r="T304" s="7">
        <v>0</v>
      </c>
      <c r="U304" s="7">
        <v>0</v>
      </c>
      <c r="V304" s="7"/>
      <c r="W304" s="60"/>
      <c r="X304" s="60"/>
      <c r="Y304" s="60"/>
      <c r="Z304" s="7"/>
      <c r="AA304" s="7"/>
      <c r="AB304" s="60"/>
      <c r="AC304" s="60"/>
      <c r="AD304" s="60"/>
      <c r="AE304" s="7"/>
      <c r="AF304" s="7"/>
      <c r="AG304" s="7"/>
      <c r="AH304" s="7"/>
      <c r="AI304" s="7"/>
      <c r="AJ304" s="7">
        <f>Liste!X304</f>
        <v>0</v>
      </c>
      <c r="AK304" s="7">
        <f>Liste!Y304</f>
        <v>0</v>
      </c>
      <c r="AL304" s="7"/>
      <c r="AM304" s="7"/>
      <c r="AN304" s="7"/>
      <c r="AO304" s="1113">
        <f>Liste!D304</f>
        <v>0</v>
      </c>
      <c r="AP304" s="1113">
        <f>Liste!F304</f>
        <v>0</v>
      </c>
      <c r="AQ304" s="1113">
        <f>Liste!E304</f>
        <v>0</v>
      </c>
      <c r="AR304" s="1113">
        <f>Liste!G304</f>
        <v>0</v>
      </c>
      <c r="AS304" s="1112">
        <f>Liste!V304</f>
        <v>1</v>
      </c>
      <c r="AT304" s="1">
        <f>Liste!M304</f>
        <v>0</v>
      </c>
      <c r="AZ304" s="5" t="s">
        <v>28064</v>
      </c>
      <c r="BA304" s="4" t="s">
        <v>101</v>
      </c>
      <c r="BB304" s="4">
        <v>806</v>
      </c>
      <c r="BD304" s="35"/>
      <c r="BE304" s="35"/>
      <c r="BF304" s="2118" t="str">
        <f>Liste!R304</f>
        <v>0336277</v>
      </c>
      <c r="BG304" s="2137">
        <f>IF(AS304&gt;0,Liste!S304,0)</f>
        <v>0</v>
      </c>
      <c r="BH304" s="2118" t="str">
        <f>Liste!T304</f>
        <v>Stk</v>
      </c>
    </row>
    <row r="305" spans="1:60" ht="24.95" customHeight="1" x14ac:dyDescent="0.25">
      <c r="A305" s="29"/>
      <c r="B305" s="46">
        <f>IF(Liste!O305&gt;0,Liste!O305,Liste!B305)</f>
        <v>0</v>
      </c>
      <c r="C305" s="2314"/>
      <c r="D305" s="30">
        <f>Liste!C305</f>
        <v>0</v>
      </c>
      <c r="E305" s="2314"/>
      <c r="F305" s="32">
        <f t="shared" si="28"/>
        <v>0</v>
      </c>
      <c r="G305" s="2314"/>
      <c r="H305" s="32">
        <f t="shared" si="29"/>
        <v>0</v>
      </c>
      <c r="I305" s="2314"/>
      <c r="J305" s="32">
        <f t="shared" si="30"/>
        <v>0</v>
      </c>
      <c r="K305" s="2314"/>
      <c r="L305" s="31">
        <f t="shared" si="31"/>
        <v>0</v>
      </c>
      <c r="M305" s="2314"/>
      <c r="N305" s="31">
        <f>Liste!L305</f>
        <v>0</v>
      </c>
      <c r="O305" s="31"/>
      <c r="P305" s="31"/>
      <c r="Q305" s="31">
        <f>Liste!P305</f>
        <v>0</v>
      </c>
      <c r="R305" s="31">
        <f>Liste!N305</f>
        <v>0</v>
      </c>
      <c r="S305" s="7">
        <v>0</v>
      </c>
      <c r="T305" s="7">
        <v>0</v>
      </c>
      <c r="U305" s="7">
        <v>0</v>
      </c>
      <c r="V305" s="7"/>
      <c r="W305" s="60"/>
      <c r="X305" s="60"/>
      <c r="Y305" s="60"/>
      <c r="Z305" s="7"/>
      <c r="AA305" s="7"/>
      <c r="AB305" s="60"/>
      <c r="AC305" s="60"/>
      <c r="AD305" s="60"/>
      <c r="AE305" s="7"/>
      <c r="AF305" s="7"/>
      <c r="AG305" s="7"/>
      <c r="AH305" s="7"/>
      <c r="AI305" s="7"/>
      <c r="AJ305" s="7">
        <f>Liste!X305</f>
        <v>0</v>
      </c>
      <c r="AK305" s="7">
        <f>Liste!Y305</f>
        <v>0</v>
      </c>
      <c r="AL305" s="7"/>
      <c r="AM305" s="7"/>
      <c r="AN305" s="7"/>
      <c r="AO305" s="1113">
        <f>Liste!D305</f>
        <v>0</v>
      </c>
      <c r="AP305" s="1113">
        <f>Liste!F305</f>
        <v>0</v>
      </c>
      <c r="AQ305" s="1113">
        <f>Liste!E305</f>
        <v>0</v>
      </c>
      <c r="AR305" s="1113">
        <f>Liste!G305</f>
        <v>0</v>
      </c>
      <c r="AS305" s="1112">
        <f>Liste!V305</f>
        <v>0</v>
      </c>
      <c r="AT305" s="1">
        <f>Liste!M305</f>
        <v>0</v>
      </c>
      <c r="AZ305" s="5" t="s">
        <v>28065</v>
      </c>
      <c r="BA305" s="4" t="s">
        <v>101</v>
      </c>
      <c r="BB305" s="4">
        <v>807</v>
      </c>
      <c r="BD305" s="35"/>
      <c r="BE305" s="35"/>
      <c r="BF305" s="2118">
        <f>Liste!R305</f>
        <v>0</v>
      </c>
      <c r="BG305" s="2137">
        <f>IF(AS305&gt;0,Liste!S305,0)</f>
        <v>0</v>
      </c>
      <c r="BH305" s="2118">
        <f>Liste!T305</f>
        <v>0</v>
      </c>
    </row>
    <row r="306" spans="1:60" ht="24.95" customHeight="1" x14ac:dyDescent="0.25">
      <c r="A306" s="29"/>
      <c r="B306" s="46" t="str">
        <f>IF(Liste!O306&gt;0,Liste!O306,Liste!B306)</f>
        <v>Endschalter Siemenspositionsschalter</v>
      </c>
      <c r="C306" s="2314"/>
      <c r="D306" s="30" t="str">
        <f>Liste!C306</f>
        <v>0812002</v>
      </c>
      <c r="E306" s="2314"/>
      <c r="F306" s="32">
        <f t="shared" si="28"/>
        <v>0</v>
      </c>
      <c r="G306" s="2314"/>
      <c r="H306" s="32">
        <f t="shared" si="29"/>
        <v>0</v>
      </c>
      <c r="I306" s="2314"/>
      <c r="J306" s="32">
        <f t="shared" si="30"/>
        <v>0</v>
      </c>
      <c r="K306" s="2314"/>
      <c r="L306" s="31">
        <f t="shared" si="31"/>
        <v>0</v>
      </c>
      <c r="M306" s="2314"/>
      <c r="N306" s="31" t="str">
        <f>Liste!L306</f>
        <v>Stk</v>
      </c>
      <c r="O306" s="31"/>
      <c r="P306" s="31"/>
      <c r="Q306" s="31">
        <f>Liste!P306</f>
        <v>0</v>
      </c>
      <c r="R306" s="31">
        <f>Liste!N306</f>
        <v>0</v>
      </c>
      <c r="S306" s="7">
        <v>0</v>
      </c>
      <c r="T306" s="7">
        <v>0</v>
      </c>
      <c r="U306" s="7">
        <v>0</v>
      </c>
      <c r="V306" s="7"/>
      <c r="W306" s="60"/>
      <c r="X306" s="60"/>
      <c r="Y306" s="60"/>
      <c r="Z306" s="7"/>
      <c r="AA306" s="7"/>
      <c r="AB306" s="60"/>
      <c r="AC306" s="60"/>
      <c r="AD306" s="60"/>
      <c r="AE306" s="7"/>
      <c r="AF306" s="7"/>
      <c r="AG306" s="7"/>
      <c r="AH306" s="7"/>
      <c r="AI306" s="7"/>
      <c r="AJ306" s="7">
        <f>Liste!X306</f>
        <v>0</v>
      </c>
      <c r="AK306" s="7">
        <f>Liste!Y306</f>
        <v>0</v>
      </c>
      <c r="AL306" s="7"/>
      <c r="AM306" s="7"/>
      <c r="AN306" s="7"/>
      <c r="AO306" s="1113">
        <f>Liste!D306</f>
        <v>0</v>
      </c>
      <c r="AP306" s="1113">
        <f>Liste!F306</f>
        <v>0</v>
      </c>
      <c r="AQ306" s="1113">
        <f>Liste!E306</f>
        <v>0</v>
      </c>
      <c r="AR306" s="1113">
        <f>Liste!G306</f>
        <v>0</v>
      </c>
      <c r="AS306" s="1112">
        <f>Liste!V306</f>
        <v>1</v>
      </c>
      <c r="AT306" s="1">
        <f>Liste!M306</f>
        <v>0</v>
      </c>
      <c r="AZ306" s="5" t="s">
        <v>28066</v>
      </c>
      <c r="BA306" s="4" t="s">
        <v>101</v>
      </c>
      <c r="BB306" s="4">
        <v>808</v>
      </c>
      <c r="BD306" s="35"/>
      <c r="BE306" s="35"/>
      <c r="BF306" s="2118" t="str">
        <f>Liste!R306</f>
        <v>0812002</v>
      </c>
      <c r="BG306" s="2137">
        <f>IF(AS306&gt;0,Liste!S306,0)</f>
        <v>0</v>
      </c>
      <c r="BH306" s="2118" t="str">
        <f>Liste!T306</f>
        <v>Stk</v>
      </c>
    </row>
    <row r="307" spans="1:60" ht="24.95" customHeight="1" x14ac:dyDescent="0.25">
      <c r="A307" s="29"/>
      <c r="B307" s="46" t="str">
        <f>IF(Liste!O307&gt;0,Liste!O307,Liste!B307)</f>
        <v>Befestigungsbausatz Endschalter</v>
      </c>
      <c r="C307" s="2314"/>
      <c r="D307" s="30" t="str">
        <f>Liste!C307</f>
        <v>0308582</v>
      </c>
      <c r="E307" s="2314"/>
      <c r="F307" s="32">
        <f t="shared" si="28"/>
        <v>0</v>
      </c>
      <c r="G307" s="2314"/>
      <c r="H307" s="32">
        <f t="shared" si="29"/>
        <v>0</v>
      </c>
      <c r="I307" s="2314"/>
      <c r="J307" s="32">
        <f t="shared" si="30"/>
        <v>0</v>
      </c>
      <c r="K307" s="2314"/>
      <c r="L307" s="31">
        <f t="shared" si="31"/>
        <v>0</v>
      </c>
      <c r="M307" s="2314"/>
      <c r="N307" s="31" t="str">
        <f>Liste!L307</f>
        <v>Stk</v>
      </c>
      <c r="O307" s="31"/>
      <c r="P307" s="31"/>
      <c r="Q307" s="31">
        <f>Liste!P307</f>
        <v>0</v>
      </c>
      <c r="R307" s="31">
        <f>Liste!N307</f>
        <v>0</v>
      </c>
      <c r="S307" s="7">
        <v>0</v>
      </c>
      <c r="T307" s="7">
        <v>0</v>
      </c>
      <c r="U307" s="7">
        <v>0</v>
      </c>
      <c r="V307" s="7"/>
      <c r="W307" s="60"/>
      <c r="X307" s="60"/>
      <c r="Y307" s="60"/>
      <c r="Z307" s="7"/>
      <c r="AA307" s="7"/>
      <c r="AB307" s="60"/>
      <c r="AC307" s="60"/>
      <c r="AD307" s="60"/>
      <c r="AE307" s="7"/>
      <c r="AF307" s="7"/>
      <c r="AG307" s="7"/>
      <c r="AH307" s="7"/>
      <c r="AI307" s="7"/>
      <c r="AJ307" s="7">
        <f>Liste!X307</f>
        <v>0</v>
      </c>
      <c r="AK307" s="7">
        <f>Liste!Y307</f>
        <v>0</v>
      </c>
      <c r="AL307" s="7"/>
      <c r="AM307" s="7"/>
      <c r="AN307" s="7"/>
      <c r="AO307" s="1113">
        <f>Liste!D307</f>
        <v>0</v>
      </c>
      <c r="AP307" s="1113">
        <f>Liste!F307</f>
        <v>0</v>
      </c>
      <c r="AQ307" s="1113">
        <f>Liste!E307</f>
        <v>0</v>
      </c>
      <c r="AR307" s="1113">
        <f>Liste!G307</f>
        <v>0</v>
      </c>
      <c r="AS307" s="1112">
        <f>Liste!V307</f>
        <v>1</v>
      </c>
      <c r="AT307" s="1">
        <f>Liste!M307</f>
        <v>0</v>
      </c>
      <c r="AZ307" s="5" t="s">
        <v>29976</v>
      </c>
      <c r="BA307" s="4" t="s">
        <v>101</v>
      </c>
      <c r="BB307" s="4">
        <v>809</v>
      </c>
      <c r="BD307" s="35"/>
      <c r="BE307" s="35"/>
      <c r="BF307" s="2118">
        <f>Liste!R307</f>
        <v>0</v>
      </c>
      <c r="BG307" s="2137">
        <f>IF(AS307&gt;0,Liste!S307,0)</f>
        <v>0</v>
      </c>
      <c r="BH307" s="2118">
        <f>Liste!T307</f>
        <v>0</v>
      </c>
    </row>
    <row r="308" spans="1:60" ht="24.95" customHeight="1" x14ac:dyDescent="0.25">
      <c r="A308" s="29"/>
      <c r="B308" s="46" t="str">
        <f>IF(Liste!O308&gt;0,Liste!O308,Liste!B308)</f>
        <v>Befestigungsbausatz Endschalter</v>
      </c>
      <c r="C308" s="2314"/>
      <c r="D308" s="30" t="str">
        <f>Liste!C308</f>
        <v>0338582</v>
      </c>
      <c r="E308" s="2314"/>
      <c r="F308" s="32">
        <f t="shared" si="28"/>
        <v>0</v>
      </c>
      <c r="G308" s="2314"/>
      <c r="H308" s="32">
        <f t="shared" si="29"/>
        <v>0</v>
      </c>
      <c r="I308" s="2314"/>
      <c r="J308" s="32">
        <f t="shared" si="30"/>
        <v>0</v>
      </c>
      <c r="K308" s="2314"/>
      <c r="L308" s="31">
        <f t="shared" si="31"/>
        <v>0</v>
      </c>
      <c r="M308" s="2314"/>
      <c r="N308" s="31" t="str">
        <f>Liste!L308</f>
        <v>Stk</v>
      </c>
      <c r="O308" s="31"/>
      <c r="P308" s="31"/>
      <c r="Q308" s="31">
        <f>Liste!P308</f>
        <v>0</v>
      </c>
      <c r="R308" s="31">
        <f>Liste!N308</f>
        <v>0</v>
      </c>
      <c r="S308" s="7">
        <v>0</v>
      </c>
      <c r="T308" s="7">
        <v>0</v>
      </c>
      <c r="U308" s="7">
        <v>0</v>
      </c>
      <c r="V308" s="7"/>
      <c r="W308" s="60"/>
      <c r="X308" s="60"/>
      <c r="Y308" s="60"/>
      <c r="Z308" s="7"/>
      <c r="AA308" s="7"/>
      <c r="AB308" s="60"/>
      <c r="AC308" s="60"/>
      <c r="AD308" s="60"/>
      <c r="AE308" s="7"/>
      <c r="AF308" s="7"/>
      <c r="AG308" s="7"/>
      <c r="AH308" s="7"/>
      <c r="AI308" s="7"/>
      <c r="AJ308" s="7">
        <f>Liste!X308</f>
        <v>0</v>
      </c>
      <c r="AK308" s="7">
        <f>Liste!Y308</f>
        <v>0</v>
      </c>
      <c r="AL308" s="7"/>
      <c r="AM308" s="7"/>
      <c r="AN308" s="7"/>
      <c r="AO308" s="1113">
        <f>Liste!D308</f>
        <v>0</v>
      </c>
      <c r="AP308" s="1113">
        <f>Liste!F308</f>
        <v>0</v>
      </c>
      <c r="AQ308" s="1113">
        <f>Liste!E308</f>
        <v>0</v>
      </c>
      <c r="AR308" s="1113">
        <f>Liste!G308</f>
        <v>0</v>
      </c>
      <c r="AS308" s="1112">
        <f>Liste!V308</f>
        <v>1</v>
      </c>
      <c r="AT308" s="1">
        <f>Liste!M308</f>
        <v>0</v>
      </c>
      <c r="AZ308" s="5" t="s">
        <v>29977</v>
      </c>
      <c r="BA308" s="4" t="s">
        <v>101</v>
      </c>
      <c r="BB308" s="4">
        <v>810</v>
      </c>
      <c r="BD308" s="35"/>
      <c r="BE308" s="35"/>
      <c r="BF308" s="2118">
        <f>Liste!R308</f>
        <v>0</v>
      </c>
      <c r="BG308" s="2137">
        <f>IF(AS308&gt;0,Liste!S308,0)</f>
        <v>0</v>
      </c>
      <c r="BH308" s="2118">
        <f>Liste!T308</f>
        <v>0</v>
      </c>
    </row>
    <row r="309" spans="1:60" ht="24.95" customHeight="1" x14ac:dyDescent="0.25">
      <c r="A309" s="29"/>
      <c r="B309" s="46">
        <f>IF(Liste!O309&gt;0,Liste!O309,Liste!B309)</f>
        <v>0</v>
      </c>
      <c r="C309" s="2314"/>
      <c r="D309" s="30">
        <f>Liste!C309</f>
        <v>0</v>
      </c>
      <c r="E309" s="2314"/>
      <c r="F309" s="32">
        <f t="shared" si="28"/>
        <v>0</v>
      </c>
      <c r="G309" s="2314"/>
      <c r="H309" s="32">
        <f t="shared" si="29"/>
        <v>0</v>
      </c>
      <c r="I309" s="2314"/>
      <c r="J309" s="32">
        <f t="shared" si="30"/>
        <v>0</v>
      </c>
      <c r="K309" s="2314"/>
      <c r="L309" s="31">
        <f t="shared" si="31"/>
        <v>0</v>
      </c>
      <c r="M309" s="2314"/>
      <c r="N309" s="31">
        <f>Liste!L309</f>
        <v>0</v>
      </c>
      <c r="O309" s="31"/>
      <c r="P309" s="31"/>
      <c r="Q309" s="31">
        <f>Liste!P309</f>
        <v>0</v>
      </c>
      <c r="R309" s="31">
        <f>Liste!N309</f>
        <v>0</v>
      </c>
      <c r="S309" s="7">
        <v>0</v>
      </c>
      <c r="T309" s="7">
        <v>0</v>
      </c>
      <c r="U309" s="7">
        <v>0</v>
      </c>
      <c r="V309" s="7"/>
      <c r="W309" s="60"/>
      <c r="X309" s="60"/>
      <c r="Y309" s="60"/>
      <c r="Z309" s="7"/>
      <c r="AA309" s="7"/>
      <c r="AB309" s="60"/>
      <c r="AC309" s="60"/>
      <c r="AD309" s="60"/>
      <c r="AE309" s="7"/>
      <c r="AF309" s="7"/>
      <c r="AG309" s="7"/>
      <c r="AH309" s="7"/>
      <c r="AI309" s="7"/>
      <c r="AJ309" s="7">
        <f>Liste!X309</f>
        <v>0</v>
      </c>
      <c r="AK309" s="7">
        <f>Liste!Y309</f>
        <v>0</v>
      </c>
      <c r="AL309" s="7"/>
      <c r="AM309" s="7"/>
      <c r="AN309" s="7"/>
      <c r="AO309" s="1113">
        <f>Liste!D309</f>
        <v>0</v>
      </c>
      <c r="AP309" s="1113">
        <f>Liste!F309</f>
        <v>0</v>
      </c>
      <c r="AQ309" s="1113">
        <f>Liste!E309</f>
        <v>0</v>
      </c>
      <c r="AR309" s="1113">
        <f>Liste!G309</f>
        <v>0</v>
      </c>
      <c r="AS309" s="1112">
        <f>Liste!V309</f>
        <v>0</v>
      </c>
      <c r="AT309" s="1">
        <f>Liste!M309</f>
        <v>0</v>
      </c>
      <c r="AZ309" s="5" t="s">
        <v>29978</v>
      </c>
      <c r="BA309" s="4" t="s">
        <v>101</v>
      </c>
      <c r="BB309" s="4">
        <v>811</v>
      </c>
      <c r="BD309" s="35"/>
      <c r="BE309" s="35"/>
      <c r="BF309" s="2118">
        <f>Liste!R309</f>
        <v>0</v>
      </c>
      <c r="BG309" s="2137">
        <f>IF(AS309&gt;0,Liste!S309,0)</f>
        <v>0</v>
      </c>
      <c r="BH309" s="2118">
        <f>Liste!T309</f>
        <v>0</v>
      </c>
    </row>
    <row r="310" spans="1:60" ht="24.95" customHeight="1" x14ac:dyDescent="0.25">
      <c r="A310" s="29"/>
      <c r="B310" s="46" t="str">
        <f>IF(Liste!O310&gt;0,Liste!O310,Liste!B310)</f>
        <v>Befestigungswinkel Endschalter</v>
      </c>
      <c r="C310" s="2314"/>
      <c r="D310" s="30" t="str">
        <f>Liste!C310</f>
        <v>0308583</v>
      </c>
      <c r="E310" s="2314"/>
      <c r="F310" s="32">
        <f t="shared" si="28"/>
        <v>0</v>
      </c>
      <c r="G310" s="2314"/>
      <c r="H310" s="32">
        <f t="shared" si="29"/>
        <v>0</v>
      </c>
      <c r="I310" s="2314"/>
      <c r="J310" s="32">
        <f t="shared" si="30"/>
        <v>0</v>
      </c>
      <c r="K310" s="2314"/>
      <c r="L310" s="31">
        <f t="shared" si="31"/>
        <v>0</v>
      </c>
      <c r="M310" s="2314"/>
      <c r="N310" s="31" t="str">
        <f>Liste!L310</f>
        <v>Stk</v>
      </c>
      <c r="O310" s="31"/>
      <c r="P310" s="31"/>
      <c r="Q310" s="31">
        <f>Liste!P310</f>
        <v>0</v>
      </c>
      <c r="R310" s="31">
        <f>Liste!N310</f>
        <v>0</v>
      </c>
      <c r="S310" s="7">
        <v>0</v>
      </c>
      <c r="T310" s="7">
        <v>0</v>
      </c>
      <c r="U310" s="7">
        <v>0</v>
      </c>
      <c r="V310" s="7"/>
      <c r="W310" s="60"/>
      <c r="X310" s="60"/>
      <c r="Y310" s="60"/>
      <c r="Z310" s="7"/>
      <c r="AA310" s="7"/>
      <c r="AB310" s="60"/>
      <c r="AC310" s="60"/>
      <c r="AD310" s="60"/>
      <c r="AE310" s="7"/>
      <c r="AF310" s="7"/>
      <c r="AG310" s="7"/>
      <c r="AH310" s="7"/>
      <c r="AI310" s="7"/>
      <c r="AJ310" s="7">
        <f>Liste!X310</f>
        <v>0</v>
      </c>
      <c r="AK310" s="7">
        <f>Liste!Y310</f>
        <v>0</v>
      </c>
      <c r="AL310" s="7"/>
      <c r="AM310" s="7"/>
      <c r="AN310" s="7"/>
      <c r="AO310" s="1113">
        <f>Liste!D310</f>
        <v>0</v>
      </c>
      <c r="AP310" s="1113">
        <f>Liste!F310</f>
        <v>0</v>
      </c>
      <c r="AQ310" s="1113">
        <f>Liste!E310</f>
        <v>0</v>
      </c>
      <c r="AR310" s="1113">
        <f>Liste!G310</f>
        <v>0</v>
      </c>
      <c r="AS310" s="1112">
        <f>Liste!V310</f>
        <v>1</v>
      </c>
      <c r="AT310" s="1">
        <f>Liste!M310</f>
        <v>0</v>
      </c>
      <c r="AZ310" s="5" t="s">
        <v>29979</v>
      </c>
      <c r="BA310" s="4" t="s">
        <v>101</v>
      </c>
      <c r="BB310" s="4">
        <v>812</v>
      </c>
      <c r="BD310" s="35"/>
      <c r="BE310" s="35"/>
      <c r="BF310" s="2118">
        <f>Liste!R310</f>
        <v>0</v>
      </c>
      <c r="BG310" s="2137">
        <f>IF(AS310&gt;0,Liste!S310,0)</f>
        <v>0</v>
      </c>
      <c r="BH310" s="2118">
        <f>Liste!T310</f>
        <v>0</v>
      </c>
    </row>
    <row r="311" spans="1:60" ht="24.95" customHeight="1" x14ac:dyDescent="0.25">
      <c r="A311" s="29"/>
      <c r="B311" s="46" t="str">
        <f>IF(Liste!O311&gt;0,Liste!O311,Liste!B311)</f>
        <v>Befestigungswinkel Endschalter</v>
      </c>
      <c r="C311" s="2314"/>
      <c r="D311" s="30" t="str">
        <f>Liste!C311</f>
        <v>0338583</v>
      </c>
      <c r="E311" s="2314"/>
      <c r="F311" s="32">
        <f t="shared" si="28"/>
        <v>0</v>
      </c>
      <c r="G311" s="2314"/>
      <c r="H311" s="32">
        <f t="shared" si="29"/>
        <v>0</v>
      </c>
      <c r="I311" s="2314"/>
      <c r="J311" s="32">
        <f t="shared" si="30"/>
        <v>0</v>
      </c>
      <c r="K311" s="2314"/>
      <c r="L311" s="31">
        <f t="shared" si="31"/>
        <v>0</v>
      </c>
      <c r="M311" s="2314"/>
      <c r="N311" s="31" t="str">
        <f>Liste!L311</f>
        <v>Stk</v>
      </c>
      <c r="O311" s="31"/>
      <c r="P311" s="31"/>
      <c r="Q311" s="31">
        <f>Liste!P311</f>
        <v>0</v>
      </c>
      <c r="R311" s="31">
        <f>Liste!N311</f>
        <v>0</v>
      </c>
      <c r="S311" s="7">
        <v>0</v>
      </c>
      <c r="T311" s="7">
        <v>0</v>
      </c>
      <c r="U311" s="7">
        <v>0</v>
      </c>
      <c r="V311" s="7"/>
      <c r="W311" s="60"/>
      <c r="X311" s="60"/>
      <c r="Y311" s="60"/>
      <c r="Z311" s="7"/>
      <c r="AA311" s="7"/>
      <c r="AB311" s="60"/>
      <c r="AC311" s="60"/>
      <c r="AD311" s="60"/>
      <c r="AE311" s="7"/>
      <c r="AF311" s="7"/>
      <c r="AG311" s="7"/>
      <c r="AH311" s="7"/>
      <c r="AI311" s="7"/>
      <c r="AJ311" s="7">
        <f>Liste!X311</f>
        <v>0</v>
      </c>
      <c r="AK311" s="7">
        <f>Liste!Y311</f>
        <v>0</v>
      </c>
      <c r="AL311" s="7"/>
      <c r="AM311" s="7"/>
      <c r="AN311" s="7"/>
      <c r="AO311" s="1113">
        <f>Liste!D311</f>
        <v>0</v>
      </c>
      <c r="AP311" s="1113">
        <f>Liste!F311</f>
        <v>0</v>
      </c>
      <c r="AQ311" s="1113">
        <f>Liste!E311</f>
        <v>0</v>
      </c>
      <c r="AR311" s="1113">
        <f>Liste!G311</f>
        <v>0</v>
      </c>
      <c r="AS311" s="1112">
        <f>Liste!V311</f>
        <v>1</v>
      </c>
      <c r="AT311" s="1">
        <f>Liste!M311</f>
        <v>0</v>
      </c>
      <c r="AZ311" s="5" t="s">
        <v>29980</v>
      </c>
      <c r="BA311" s="4" t="s">
        <v>101</v>
      </c>
      <c r="BB311" s="4">
        <v>813</v>
      </c>
      <c r="BD311" s="35"/>
      <c r="BE311" s="35"/>
      <c r="BF311" s="2118">
        <f>Liste!R311</f>
        <v>0</v>
      </c>
      <c r="BG311" s="2137">
        <f>IF(AS311&gt;0,Liste!S311,0)</f>
        <v>0</v>
      </c>
      <c r="BH311" s="2118">
        <f>Liste!T311</f>
        <v>0</v>
      </c>
    </row>
    <row r="312" spans="1:60" ht="24.95" customHeight="1" x14ac:dyDescent="0.25">
      <c r="A312" s="29"/>
      <c r="B312" s="46">
        <f>IF(Liste!O312&gt;0,Liste!O312,Liste!B312)</f>
        <v>0</v>
      </c>
      <c r="C312" s="2314"/>
      <c r="D312" s="30">
        <f>Liste!C312</f>
        <v>0</v>
      </c>
      <c r="E312" s="2314"/>
      <c r="F312" s="32">
        <f t="shared" si="28"/>
        <v>0</v>
      </c>
      <c r="G312" s="2314"/>
      <c r="H312" s="32">
        <f t="shared" si="29"/>
        <v>0</v>
      </c>
      <c r="I312" s="2314"/>
      <c r="J312" s="32">
        <f t="shared" si="30"/>
        <v>0</v>
      </c>
      <c r="K312" s="2314"/>
      <c r="L312" s="31">
        <f t="shared" si="31"/>
        <v>0</v>
      </c>
      <c r="M312" s="2314"/>
      <c r="N312" s="31">
        <f>Liste!L312</f>
        <v>0</v>
      </c>
      <c r="O312" s="31"/>
      <c r="P312" s="31"/>
      <c r="Q312" s="31">
        <f>Liste!P312</f>
        <v>0</v>
      </c>
      <c r="R312" s="31">
        <f>Liste!N312</f>
        <v>0</v>
      </c>
      <c r="S312" s="7">
        <v>0</v>
      </c>
      <c r="T312" s="7">
        <v>0</v>
      </c>
      <c r="U312" s="7">
        <v>0</v>
      </c>
      <c r="V312" s="7"/>
      <c r="W312" s="60"/>
      <c r="X312" s="60"/>
      <c r="Y312" s="60"/>
      <c r="Z312" s="7"/>
      <c r="AA312" s="7"/>
      <c r="AB312" s="60"/>
      <c r="AC312" s="60"/>
      <c r="AD312" s="60"/>
      <c r="AE312" s="7"/>
      <c r="AF312" s="7"/>
      <c r="AG312" s="7"/>
      <c r="AH312" s="7"/>
      <c r="AI312" s="7"/>
      <c r="AJ312" s="7">
        <f>Liste!X312</f>
        <v>0</v>
      </c>
      <c r="AK312" s="7">
        <f>Liste!Y312</f>
        <v>0</v>
      </c>
      <c r="AL312" s="7"/>
      <c r="AM312" s="7"/>
      <c r="AN312" s="7"/>
      <c r="AO312" s="1113">
        <f>Liste!D312</f>
        <v>0</v>
      </c>
      <c r="AP312" s="1113">
        <f>Liste!F312</f>
        <v>0</v>
      </c>
      <c r="AQ312" s="1113">
        <f>Liste!E312</f>
        <v>0</v>
      </c>
      <c r="AR312" s="1113">
        <f>Liste!G312</f>
        <v>0</v>
      </c>
      <c r="AS312" s="1112">
        <f>Liste!V312</f>
        <v>0</v>
      </c>
      <c r="AT312" s="1">
        <f>Liste!M312</f>
        <v>0</v>
      </c>
      <c r="AZ312" s="5" t="s">
        <v>29981</v>
      </c>
      <c r="BA312" s="4" t="s">
        <v>101</v>
      </c>
      <c r="BB312" s="4">
        <v>814</v>
      </c>
      <c r="BD312" s="35"/>
      <c r="BE312" s="35"/>
      <c r="BF312" s="2118">
        <f>Liste!R312</f>
        <v>0</v>
      </c>
      <c r="BG312" s="2137">
        <f>IF(AS312&gt;0,Liste!S312,0)</f>
        <v>0</v>
      </c>
      <c r="BH312" s="2118">
        <f>Liste!T312</f>
        <v>0</v>
      </c>
    </row>
    <row r="313" spans="1:60" ht="24.95" customHeight="1" x14ac:dyDescent="0.25">
      <c r="A313" s="29"/>
      <c r="B313" s="46" t="str">
        <f>IF(Liste!O313&gt;0,Liste!O313,Liste!B313)</f>
        <v>Kennzeichnungsschild CE GCC</v>
      </c>
      <c r="C313" s="2314"/>
      <c r="D313" s="30" t="str">
        <f>Liste!C313</f>
        <v>0901087</v>
      </c>
      <c r="E313" s="2314"/>
      <c r="F313" s="32">
        <f t="shared" si="28"/>
        <v>1</v>
      </c>
      <c r="G313" s="2314"/>
      <c r="H313" s="32">
        <f t="shared" si="29"/>
        <v>0</v>
      </c>
      <c r="I313" s="2314"/>
      <c r="J313" s="32">
        <f t="shared" si="30"/>
        <v>0</v>
      </c>
      <c r="K313" s="2314"/>
      <c r="L313" s="31">
        <f t="shared" si="31"/>
        <v>0</v>
      </c>
      <c r="M313" s="2314"/>
      <c r="N313" s="31" t="str">
        <f>Liste!L313</f>
        <v>Stk</v>
      </c>
      <c r="O313" s="31"/>
      <c r="P313" s="31"/>
      <c r="Q313" s="31">
        <f>Liste!P313</f>
        <v>0</v>
      </c>
      <c r="R313" s="31">
        <f>Liste!N313</f>
        <v>0</v>
      </c>
      <c r="S313" s="7">
        <v>0</v>
      </c>
      <c r="T313" s="7">
        <v>0</v>
      </c>
      <c r="U313" s="7">
        <v>0</v>
      </c>
      <c r="V313" s="7"/>
      <c r="W313" s="60"/>
      <c r="X313" s="60"/>
      <c r="Y313" s="60"/>
      <c r="Z313" s="7"/>
      <c r="AA313" s="7"/>
      <c r="AB313" s="60"/>
      <c r="AC313" s="60"/>
      <c r="AD313" s="60"/>
      <c r="AE313" s="7"/>
      <c r="AF313" s="7"/>
      <c r="AG313" s="7"/>
      <c r="AH313" s="7"/>
      <c r="AI313" s="7"/>
      <c r="AJ313" s="7">
        <f>Liste!X313</f>
        <v>0</v>
      </c>
      <c r="AK313" s="7">
        <f>Liste!Y313</f>
        <v>0</v>
      </c>
      <c r="AL313" s="7"/>
      <c r="AM313" s="7"/>
      <c r="AN313" s="7"/>
      <c r="AO313" s="1113">
        <f>Liste!D313</f>
        <v>1</v>
      </c>
      <c r="AP313" s="1113">
        <f>Liste!F313</f>
        <v>0</v>
      </c>
      <c r="AQ313" s="1113">
        <f>Liste!E313</f>
        <v>0</v>
      </c>
      <c r="AR313" s="1113">
        <f>Liste!G313</f>
        <v>0</v>
      </c>
      <c r="AS313" s="1112">
        <f>Liste!V313</f>
        <v>1</v>
      </c>
      <c r="AT313" s="1">
        <f>Liste!M313</f>
        <v>0</v>
      </c>
      <c r="AZ313" s="5" t="s">
        <v>29982</v>
      </c>
      <c r="BA313" s="4" t="s">
        <v>101</v>
      </c>
      <c r="BB313" s="4">
        <v>815</v>
      </c>
      <c r="BD313" s="35"/>
      <c r="BE313" s="35"/>
      <c r="BF313" s="2118" t="str">
        <f>Liste!R313</f>
        <v>0901087</v>
      </c>
      <c r="BG313" s="2137">
        <f>IF(AS313&gt;0,Liste!S313,0)</f>
        <v>1</v>
      </c>
      <c r="BH313" s="2118" t="str">
        <f>Liste!T313</f>
        <v>Stk</v>
      </c>
    </row>
    <row r="314" spans="1:60" ht="24.95" customHeight="1" x14ac:dyDescent="0.25">
      <c r="A314" s="29"/>
      <c r="B314" s="46" t="str">
        <f>IF(Liste!O314&gt;0,Liste!O314,Liste!B314)</f>
        <v>Wellpapp-Faltkartons 380 x 285 x 280 mm (für Kleinkram auf Palette)</v>
      </c>
      <c r="C314" s="2314"/>
      <c r="D314" s="30" t="str">
        <f>Liste!C314</f>
        <v>0709356</v>
      </c>
      <c r="E314" s="2314"/>
      <c r="F314" s="32">
        <f t="shared" si="28"/>
        <v>1</v>
      </c>
      <c r="G314" s="2314"/>
      <c r="H314" s="32">
        <f t="shared" si="29"/>
        <v>0</v>
      </c>
      <c r="I314" s="2314"/>
      <c r="J314" s="32">
        <f t="shared" si="30"/>
        <v>0</v>
      </c>
      <c r="K314" s="2314"/>
      <c r="L314" s="31">
        <f t="shared" si="31"/>
        <v>0</v>
      </c>
      <c r="M314" s="2314"/>
      <c r="N314" s="31" t="str">
        <f>Liste!L314</f>
        <v>Stk</v>
      </c>
      <c r="O314" s="31"/>
      <c r="P314" s="31"/>
      <c r="Q314" s="31">
        <f>Liste!P314</f>
        <v>0</v>
      </c>
      <c r="R314" s="31">
        <f>Liste!N314</f>
        <v>0</v>
      </c>
      <c r="S314" s="7">
        <v>0</v>
      </c>
      <c r="T314" s="7">
        <v>0</v>
      </c>
      <c r="U314" s="7">
        <v>0</v>
      </c>
      <c r="V314" s="7"/>
      <c r="W314" s="60"/>
      <c r="X314" s="60"/>
      <c r="Y314" s="60"/>
      <c r="Z314" s="7"/>
      <c r="AA314" s="7"/>
      <c r="AB314" s="60"/>
      <c r="AC314" s="60"/>
      <c r="AD314" s="60"/>
      <c r="AE314" s="7"/>
      <c r="AF314" s="7"/>
      <c r="AG314" s="7"/>
      <c r="AH314" s="7"/>
      <c r="AI314" s="7"/>
      <c r="AJ314" s="7">
        <f>Liste!X314</f>
        <v>0</v>
      </c>
      <c r="AK314" s="7">
        <f>Liste!Y314</f>
        <v>0</v>
      </c>
      <c r="AL314" s="7"/>
      <c r="AM314" s="7"/>
      <c r="AN314" s="7"/>
      <c r="AO314" s="1113">
        <f>Liste!D314</f>
        <v>1</v>
      </c>
      <c r="AP314" s="1113">
        <f>Liste!F314</f>
        <v>380</v>
      </c>
      <c r="AQ314" s="1113">
        <f>Liste!E314</f>
        <v>290</v>
      </c>
      <c r="AR314" s="1113">
        <f>Liste!G314</f>
        <v>0</v>
      </c>
      <c r="AS314" s="1112">
        <f>Liste!V314</f>
        <v>1</v>
      </c>
      <c r="AT314" s="1">
        <f>Liste!M314</f>
        <v>0</v>
      </c>
      <c r="AZ314" s="5" t="s">
        <v>29983</v>
      </c>
      <c r="BA314" s="4" t="s">
        <v>101</v>
      </c>
      <c r="BB314" s="4">
        <v>816</v>
      </c>
      <c r="BD314" s="35"/>
      <c r="BE314" s="35"/>
      <c r="BF314" s="2118" t="str">
        <f>Liste!R314</f>
        <v>0709356</v>
      </c>
      <c r="BG314" s="2137">
        <f>IF(AS314&gt;0,Liste!S314,0)</f>
        <v>1</v>
      </c>
      <c r="BH314" s="2118" t="str">
        <f>Liste!T314</f>
        <v>Stk</v>
      </c>
    </row>
    <row r="315" spans="1:60" ht="24.95" customHeight="1" x14ac:dyDescent="0.25">
      <c r="A315" s="29"/>
      <c r="B315" s="46" t="str">
        <f>IF(Liste!O315&gt;0,Liste!O315,Liste!B315)</f>
        <v>Führungsschienen:</v>
      </c>
      <c r="C315" s="2314"/>
      <c r="D315" s="30">
        <f>Liste!C315</f>
        <v>0</v>
      </c>
      <c r="E315" s="2314"/>
      <c r="F315" s="32">
        <f t="shared" si="28"/>
        <v>0</v>
      </c>
      <c r="G315" s="2314"/>
      <c r="H315" s="32">
        <f t="shared" si="29"/>
        <v>0</v>
      </c>
      <c r="I315" s="2314"/>
      <c r="J315" s="32">
        <f t="shared" si="30"/>
        <v>0</v>
      </c>
      <c r="K315" s="2314"/>
      <c r="L315" s="31">
        <f t="shared" si="31"/>
        <v>0</v>
      </c>
      <c r="M315" s="2314"/>
      <c r="N315" s="31">
        <f>Liste!L315</f>
        <v>0</v>
      </c>
      <c r="O315" s="31"/>
      <c r="P315" s="31"/>
      <c r="Q315" s="31">
        <f>Liste!P315</f>
        <v>0</v>
      </c>
      <c r="R315" s="31">
        <f>Liste!N315</f>
        <v>0</v>
      </c>
      <c r="S315" s="7">
        <v>0</v>
      </c>
      <c r="T315" s="7">
        <v>0</v>
      </c>
      <c r="U315" s="7">
        <v>0</v>
      </c>
      <c r="V315" s="7"/>
      <c r="W315" s="60"/>
      <c r="X315" s="60"/>
      <c r="Y315" s="60"/>
      <c r="Z315" s="7"/>
      <c r="AA315" s="7"/>
      <c r="AB315" s="60"/>
      <c r="AC315" s="60"/>
      <c r="AD315" s="60"/>
      <c r="AE315" s="7"/>
      <c r="AF315" s="7"/>
      <c r="AG315" s="7"/>
      <c r="AH315" s="7"/>
      <c r="AI315" s="7"/>
      <c r="AJ315" s="7">
        <f>Liste!X315</f>
        <v>0</v>
      </c>
      <c r="AK315" s="7">
        <f>Liste!Y315</f>
        <v>0</v>
      </c>
      <c r="AL315" s="7"/>
      <c r="AM315" s="7"/>
      <c r="AN315" s="7"/>
      <c r="AO315" s="1113">
        <f>Liste!D315</f>
        <v>0</v>
      </c>
      <c r="AP315" s="1113">
        <f>Liste!F315</f>
        <v>0</v>
      </c>
      <c r="AQ315" s="1113">
        <f>Liste!E315</f>
        <v>0</v>
      </c>
      <c r="AR315" s="1113">
        <f>Liste!G315</f>
        <v>0</v>
      </c>
      <c r="AS315" s="1112">
        <f>Liste!V315</f>
        <v>0</v>
      </c>
      <c r="AT315" s="1">
        <f>Liste!M315</f>
        <v>0</v>
      </c>
      <c r="AZ315" s="5" t="s">
        <v>29984</v>
      </c>
      <c r="BA315" s="4" t="s">
        <v>101</v>
      </c>
      <c r="BB315" s="4">
        <v>817</v>
      </c>
      <c r="BD315" s="35"/>
      <c r="BE315" s="35"/>
      <c r="BF315" s="2118">
        <f>Liste!R315</f>
        <v>0</v>
      </c>
      <c r="BG315" s="2137">
        <f>IF(AS315&gt;0,Liste!S315,0)</f>
        <v>0</v>
      </c>
      <c r="BH315" s="2118">
        <f>Liste!T315</f>
        <v>0</v>
      </c>
    </row>
    <row r="316" spans="1:60" ht="24.95" customHeight="1" x14ac:dyDescent="0.25">
      <c r="A316" s="29"/>
      <c r="B316" s="46" t="str">
        <f>IF(Liste!O316&gt;0,Liste!O316,Liste!B316)</f>
        <v>Führungsschiene 750mm GCC W25 vertikal verzinkt</v>
      </c>
      <c r="C316" s="2314"/>
      <c r="D316" s="30" t="str">
        <f>Liste!C316</f>
        <v>0308112</v>
      </c>
      <c r="E316" s="2314"/>
      <c r="F316" s="32">
        <f t="shared" si="28"/>
        <v>0</v>
      </c>
      <c r="G316" s="2314"/>
      <c r="H316" s="32">
        <f t="shared" si="29"/>
        <v>0</v>
      </c>
      <c r="I316" s="2314"/>
      <c r="J316" s="32">
        <f t="shared" si="30"/>
        <v>0</v>
      </c>
      <c r="K316" s="2314"/>
      <c r="L316" s="31">
        <f t="shared" si="31"/>
        <v>0</v>
      </c>
      <c r="M316" s="2314"/>
      <c r="N316" s="31" t="str">
        <f>Liste!L316</f>
        <v>Stk</v>
      </c>
      <c r="O316" s="31"/>
      <c r="P316" s="31"/>
      <c r="Q316" s="31">
        <f>Liste!P316</f>
        <v>0</v>
      </c>
      <c r="R316" s="31">
        <f>Liste!N316</f>
        <v>0</v>
      </c>
      <c r="S316" s="7">
        <v>0</v>
      </c>
      <c r="T316" s="7">
        <v>0</v>
      </c>
      <c r="U316" s="7">
        <v>0</v>
      </c>
      <c r="V316" s="7"/>
      <c r="W316" s="60"/>
      <c r="X316" s="60"/>
      <c r="Y316" s="60"/>
      <c r="Z316" s="7"/>
      <c r="AA316" s="7"/>
      <c r="AB316" s="60"/>
      <c r="AC316" s="60"/>
      <c r="AD316" s="60"/>
      <c r="AE316" s="7"/>
      <c r="AF316" s="7"/>
      <c r="AG316" s="7"/>
      <c r="AH316" s="7"/>
      <c r="AI316" s="7"/>
      <c r="AJ316" s="7">
        <f>Liste!X316</f>
        <v>0</v>
      </c>
      <c r="AK316" s="7">
        <f>Liste!Y316</f>
        <v>0</v>
      </c>
      <c r="AL316" s="7"/>
      <c r="AM316" s="7"/>
      <c r="AN316" s="7"/>
      <c r="AO316" s="1113">
        <f>Liste!D316</f>
        <v>0</v>
      </c>
      <c r="AP316" s="1113">
        <f>Liste!F316</f>
        <v>750</v>
      </c>
      <c r="AQ316" s="1113">
        <f>Liste!E316</f>
        <v>190.96</v>
      </c>
      <c r="AR316" s="1113">
        <f>Liste!G316</f>
        <v>2</v>
      </c>
      <c r="AS316" s="1112">
        <f>Liste!V316</f>
        <v>1</v>
      </c>
      <c r="AT316" s="1" t="str">
        <f>Liste!M316</f>
        <v>Stahlblech verz.</v>
      </c>
      <c r="AZ316" s="5" t="s">
        <v>29985</v>
      </c>
      <c r="BA316" s="4" t="s">
        <v>101</v>
      </c>
      <c r="BB316" s="4">
        <v>818</v>
      </c>
      <c r="BD316" s="35"/>
      <c r="BE316" s="35"/>
      <c r="BF316" s="2118" t="str">
        <f>Liste!R316</f>
        <v>0308112</v>
      </c>
      <c r="BG316" s="2137">
        <f>IF(AS316&gt;0,Liste!S316,0)</f>
        <v>0</v>
      </c>
      <c r="BH316" s="2118" t="str">
        <f>Liste!T316</f>
        <v>Stk</v>
      </c>
    </row>
    <row r="317" spans="1:60" ht="24.95" customHeight="1" x14ac:dyDescent="0.25">
      <c r="A317" s="29"/>
      <c r="B317" s="46" t="str">
        <f>IF(Liste!O317&gt;0,Liste!O317,Liste!B317)</f>
        <v>Führungsschiene 750mm GCC W25 vertikal V2A</v>
      </c>
      <c r="C317" s="2314"/>
      <c r="D317" s="30" t="str">
        <f>Liste!C317</f>
        <v>0338112</v>
      </c>
      <c r="E317" s="2314"/>
      <c r="F317" s="32">
        <f t="shared" si="28"/>
        <v>0</v>
      </c>
      <c r="G317" s="2314"/>
      <c r="H317" s="32">
        <f t="shared" si="29"/>
        <v>0</v>
      </c>
      <c r="I317" s="2314"/>
      <c r="J317" s="32">
        <f t="shared" si="30"/>
        <v>0</v>
      </c>
      <c r="K317" s="2314"/>
      <c r="L317" s="31">
        <f t="shared" si="31"/>
        <v>0</v>
      </c>
      <c r="M317" s="2314"/>
      <c r="N317" s="31" t="str">
        <f>Liste!L317</f>
        <v>Stk</v>
      </c>
      <c r="O317" s="31"/>
      <c r="P317" s="31"/>
      <c r="Q317" s="31">
        <f>Liste!P317</f>
        <v>0</v>
      </c>
      <c r="R317" s="31">
        <f>Liste!N317</f>
        <v>0</v>
      </c>
      <c r="S317" s="7">
        <v>0</v>
      </c>
      <c r="T317" s="7">
        <v>0</v>
      </c>
      <c r="U317" s="7">
        <v>0</v>
      </c>
      <c r="V317" s="7"/>
      <c r="W317" s="60"/>
      <c r="X317" s="60"/>
      <c r="Y317" s="60"/>
      <c r="Z317" s="7"/>
      <c r="AA317" s="7"/>
      <c r="AB317" s="60"/>
      <c r="AC317" s="60"/>
      <c r="AD317" s="60"/>
      <c r="AE317" s="7"/>
      <c r="AF317" s="7"/>
      <c r="AG317" s="7"/>
      <c r="AH317" s="7"/>
      <c r="AI317" s="7"/>
      <c r="AJ317" s="7">
        <f>Liste!X317</f>
        <v>0</v>
      </c>
      <c r="AK317" s="7">
        <f>Liste!Y317</f>
        <v>1</v>
      </c>
      <c r="AL317" s="7"/>
      <c r="AM317" s="7"/>
      <c r="AN317" s="7"/>
      <c r="AO317" s="1113">
        <f>Liste!D317</f>
        <v>0</v>
      </c>
      <c r="AP317" s="1113">
        <f>Liste!F317</f>
        <v>750</v>
      </c>
      <c r="AQ317" s="1113">
        <f>Liste!E317</f>
        <v>189.9</v>
      </c>
      <c r="AR317" s="1113">
        <f>Liste!G317</f>
        <v>2</v>
      </c>
      <c r="AS317" s="1112">
        <f>Liste!V317</f>
        <v>1</v>
      </c>
      <c r="AT317" s="1" t="str">
        <f>Liste!M317</f>
        <v>V2A blank</v>
      </c>
      <c r="AZ317" s="5" t="s">
        <v>29986</v>
      </c>
      <c r="BA317" s="4" t="s">
        <v>101</v>
      </c>
      <c r="BB317" s="4">
        <v>819</v>
      </c>
      <c r="BD317" s="35"/>
      <c r="BE317" s="35"/>
      <c r="BF317" s="2118" t="str">
        <f>Liste!R317</f>
        <v>0701481</v>
      </c>
      <c r="BG317" s="2137">
        <f>IF(AS317&gt;0,Liste!S317,0)</f>
        <v>0</v>
      </c>
      <c r="BH317" s="2118" t="str">
        <f>Liste!T317</f>
        <v>m²</v>
      </c>
    </row>
    <row r="318" spans="1:60" ht="24.95" customHeight="1" x14ac:dyDescent="0.25">
      <c r="A318" s="29"/>
      <c r="B318" s="46" t="str">
        <f>IF(Liste!O318&gt;0,Liste!O318,Liste!B318)</f>
        <v>Führungsschiene 1000mm GCC W25 vertikal verzinkt</v>
      </c>
      <c r="C318" s="2314"/>
      <c r="D318" s="30" t="str">
        <f>Liste!C318</f>
        <v>0308113</v>
      </c>
      <c r="E318" s="2314"/>
      <c r="F318" s="32">
        <f t="shared" si="28"/>
        <v>0</v>
      </c>
      <c r="G318" s="2314"/>
      <c r="H318" s="32">
        <f t="shared" si="29"/>
        <v>0</v>
      </c>
      <c r="I318" s="2314"/>
      <c r="J318" s="32">
        <f t="shared" si="30"/>
        <v>0</v>
      </c>
      <c r="K318" s="2314"/>
      <c r="L318" s="31">
        <f t="shared" si="31"/>
        <v>0</v>
      </c>
      <c r="M318" s="2314"/>
      <c r="N318" s="31" t="str">
        <f>Liste!L318</f>
        <v>Stk</v>
      </c>
      <c r="O318" s="31"/>
      <c r="P318" s="31"/>
      <c r="Q318" s="31">
        <f>Liste!P318</f>
        <v>0</v>
      </c>
      <c r="R318" s="31">
        <f>Liste!N318</f>
        <v>0</v>
      </c>
      <c r="S318" s="7">
        <v>0</v>
      </c>
      <c r="T318" s="7">
        <v>0</v>
      </c>
      <c r="U318" s="7">
        <v>0</v>
      </c>
      <c r="V318" s="7"/>
      <c r="W318" s="60"/>
      <c r="X318" s="60"/>
      <c r="Y318" s="60"/>
      <c r="Z318" s="7"/>
      <c r="AA318" s="7"/>
      <c r="AB318" s="60"/>
      <c r="AC318" s="60"/>
      <c r="AD318" s="60"/>
      <c r="AE318" s="7"/>
      <c r="AF318" s="7"/>
      <c r="AG318" s="7"/>
      <c r="AH318" s="7"/>
      <c r="AI318" s="7"/>
      <c r="AJ318" s="7">
        <f>Liste!X318</f>
        <v>0</v>
      </c>
      <c r="AK318" s="7">
        <f>Liste!Y318</f>
        <v>0</v>
      </c>
      <c r="AL318" s="7"/>
      <c r="AM318" s="7"/>
      <c r="AN318" s="7"/>
      <c r="AO318" s="1113">
        <f>Liste!D318</f>
        <v>0</v>
      </c>
      <c r="AP318" s="1113">
        <f>Liste!F318</f>
        <v>1000</v>
      </c>
      <c r="AQ318" s="1113">
        <f>Liste!E318</f>
        <v>190.96</v>
      </c>
      <c r="AR318" s="1113">
        <f>Liste!G318</f>
        <v>2</v>
      </c>
      <c r="AS318" s="1112">
        <f>Liste!V318</f>
        <v>1</v>
      </c>
      <c r="AT318" s="1" t="str">
        <f>Liste!M318</f>
        <v>Stahlblech verz.</v>
      </c>
      <c r="AZ318" s="5" t="s">
        <v>29987</v>
      </c>
      <c r="BA318" s="4" t="s">
        <v>101</v>
      </c>
      <c r="BB318" s="4">
        <v>820</v>
      </c>
      <c r="BD318" s="35"/>
      <c r="BE318" s="35"/>
      <c r="BF318" s="2118" t="str">
        <f>Liste!R318</f>
        <v>0308113</v>
      </c>
      <c r="BG318" s="2137">
        <f>IF(AS318&gt;0,Liste!S318,0)</f>
        <v>0</v>
      </c>
      <c r="BH318" s="2118" t="str">
        <f>Liste!T318</f>
        <v>Stk</v>
      </c>
    </row>
    <row r="319" spans="1:60" ht="24.95" customHeight="1" x14ac:dyDescent="0.25">
      <c r="A319" s="29"/>
      <c r="B319" s="46" t="str">
        <f>IF(Liste!O319&gt;0,Liste!O319,Liste!B319)</f>
        <v>Führungsschiene 1000mm GCC W25 vertikal V2A</v>
      </c>
      <c r="C319" s="2314"/>
      <c r="D319" s="30" t="str">
        <f>Liste!C319</f>
        <v>0338113</v>
      </c>
      <c r="E319" s="2314"/>
      <c r="F319" s="32">
        <f t="shared" si="28"/>
        <v>0</v>
      </c>
      <c r="G319" s="2314"/>
      <c r="H319" s="32">
        <f t="shared" si="29"/>
        <v>0</v>
      </c>
      <c r="I319" s="2314"/>
      <c r="J319" s="32">
        <f t="shared" si="30"/>
        <v>0</v>
      </c>
      <c r="K319" s="2314"/>
      <c r="L319" s="31">
        <f t="shared" si="31"/>
        <v>0</v>
      </c>
      <c r="M319" s="2314"/>
      <c r="N319" s="31" t="str">
        <f>Liste!L319</f>
        <v>Stk</v>
      </c>
      <c r="O319" s="31"/>
      <c r="P319" s="31"/>
      <c r="Q319" s="31">
        <f>Liste!P319</f>
        <v>0</v>
      </c>
      <c r="R319" s="31">
        <f>Liste!N319</f>
        <v>0</v>
      </c>
      <c r="S319" s="7">
        <v>0</v>
      </c>
      <c r="T319" s="7">
        <v>0</v>
      </c>
      <c r="U319" s="7">
        <v>0</v>
      </c>
      <c r="V319" s="7"/>
      <c r="W319" s="60"/>
      <c r="X319" s="60"/>
      <c r="Y319" s="60"/>
      <c r="Z319" s="7"/>
      <c r="AA319" s="7"/>
      <c r="AB319" s="60"/>
      <c r="AC319" s="60"/>
      <c r="AD319" s="60"/>
      <c r="AE319" s="7"/>
      <c r="AF319" s="7"/>
      <c r="AG319" s="7"/>
      <c r="AH319" s="7"/>
      <c r="AI319" s="7"/>
      <c r="AJ319" s="7">
        <f>Liste!X319</f>
        <v>0</v>
      </c>
      <c r="AK319" s="7">
        <f>Liste!Y319</f>
        <v>1</v>
      </c>
      <c r="AL319" s="7"/>
      <c r="AM319" s="7"/>
      <c r="AN319" s="7"/>
      <c r="AO319" s="1113">
        <f>Liste!D319</f>
        <v>0</v>
      </c>
      <c r="AP319" s="1113">
        <f>Liste!F319</f>
        <v>1000</v>
      </c>
      <c r="AQ319" s="1113">
        <f>Liste!E319</f>
        <v>189.9</v>
      </c>
      <c r="AR319" s="1113">
        <f>Liste!G319</f>
        <v>2</v>
      </c>
      <c r="AS319" s="1112">
        <f>Liste!V319</f>
        <v>1</v>
      </c>
      <c r="AT319" s="1" t="str">
        <f>Liste!M319</f>
        <v>V2A blank</v>
      </c>
      <c r="AZ319" s="5" t="s">
        <v>29988</v>
      </c>
      <c r="BA319" s="4" t="s">
        <v>101</v>
      </c>
      <c r="BB319" s="4">
        <v>821</v>
      </c>
      <c r="BD319" s="35"/>
      <c r="BE319" s="35"/>
      <c r="BF319" s="2118" t="str">
        <f>Liste!R319</f>
        <v>0701481</v>
      </c>
      <c r="BG319" s="2137">
        <f>IF(AS319&gt;0,Liste!S319,0)</f>
        <v>0</v>
      </c>
      <c r="BH319" s="2118" t="str">
        <f>Liste!T319</f>
        <v>m²</v>
      </c>
    </row>
    <row r="320" spans="1:60" ht="24.95" customHeight="1" x14ac:dyDescent="0.25">
      <c r="A320" s="29"/>
      <c r="B320" s="46" t="str">
        <f>IF(Liste!O320&gt;0,Liste!O320,Liste!B320)</f>
        <v>Führungsschiene 1250mm GCC W25 vertikal verzinkt</v>
      </c>
      <c r="C320" s="2314"/>
      <c r="D320" s="30" t="str">
        <f>Liste!C320</f>
        <v>0308114</v>
      </c>
      <c r="E320" s="2314"/>
      <c r="F320" s="32">
        <f t="shared" si="28"/>
        <v>2</v>
      </c>
      <c r="G320" s="2314"/>
      <c r="H320" s="32">
        <f t="shared" si="29"/>
        <v>0</v>
      </c>
      <c r="I320" s="2314"/>
      <c r="J320" s="32">
        <f t="shared" si="30"/>
        <v>0</v>
      </c>
      <c r="K320" s="2314"/>
      <c r="L320" s="31">
        <f t="shared" si="31"/>
        <v>0</v>
      </c>
      <c r="M320" s="2314"/>
      <c r="N320" s="31" t="str">
        <f>Liste!L320</f>
        <v>Stk</v>
      </c>
      <c r="O320" s="31"/>
      <c r="P320" s="31"/>
      <c r="Q320" s="31">
        <f>Liste!P320</f>
        <v>0</v>
      </c>
      <c r="R320" s="31">
        <f>Liste!N320</f>
        <v>0</v>
      </c>
      <c r="S320" s="7">
        <v>0</v>
      </c>
      <c r="T320" s="7">
        <v>0</v>
      </c>
      <c r="U320" s="7">
        <v>0</v>
      </c>
      <c r="V320" s="7"/>
      <c r="W320" s="60"/>
      <c r="X320" s="60"/>
      <c r="Y320" s="60"/>
      <c r="Z320" s="7"/>
      <c r="AA320" s="7"/>
      <c r="AB320" s="60"/>
      <c r="AC320" s="60"/>
      <c r="AD320" s="60"/>
      <c r="AE320" s="7"/>
      <c r="AF320" s="7"/>
      <c r="AG320" s="7"/>
      <c r="AH320" s="7"/>
      <c r="AI320" s="7"/>
      <c r="AJ320" s="7">
        <f>Liste!X320</f>
        <v>0</v>
      </c>
      <c r="AK320" s="7">
        <f>Liste!Y320</f>
        <v>0</v>
      </c>
      <c r="AL320" s="7"/>
      <c r="AM320" s="7"/>
      <c r="AN320" s="7"/>
      <c r="AO320" s="1113">
        <f>Liste!D320</f>
        <v>2</v>
      </c>
      <c r="AP320" s="1113">
        <f>Liste!F320</f>
        <v>1250</v>
      </c>
      <c r="AQ320" s="1113">
        <f>Liste!E320</f>
        <v>190.96</v>
      </c>
      <c r="AR320" s="1113">
        <f>Liste!G320</f>
        <v>2</v>
      </c>
      <c r="AS320" s="1112">
        <f>Liste!V320</f>
        <v>1</v>
      </c>
      <c r="AT320" s="1" t="str">
        <f>Liste!M320</f>
        <v>Stahlblech verz.</v>
      </c>
      <c r="AZ320" s="5" t="s">
        <v>29989</v>
      </c>
      <c r="BA320" s="4" t="s">
        <v>101</v>
      </c>
      <c r="BB320" s="4">
        <v>822</v>
      </c>
      <c r="BD320" s="35"/>
      <c r="BE320" s="35"/>
      <c r="BF320" s="2118" t="str">
        <f>Liste!R320</f>
        <v>0308114</v>
      </c>
      <c r="BG320" s="2137">
        <f>IF(AS320&gt;0,Liste!S320,0)</f>
        <v>2</v>
      </c>
      <c r="BH320" s="2118" t="str">
        <f>Liste!T320</f>
        <v>Stk</v>
      </c>
    </row>
    <row r="321" spans="1:60" ht="24.95" customHeight="1" x14ac:dyDescent="0.25">
      <c r="A321" s="29"/>
      <c r="B321" s="46" t="str">
        <f>IF(Liste!O321&gt;0,Liste!O321,Liste!B321)</f>
        <v>Führungsschiene 1250mm GCC W25 vertikal V2A</v>
      </c>
      <c r="C321" s="2314"/>
      <c r="D321" s="30" t="str">
        <f>Liste!C321</f>
        <v>0338114</v>
      </c>
      <c r="E321" s="2314"/>
      <c r="F321" s="32">
        <f t="shared" si="28"/>
        <v>0</v>
      </c>
      <c r="G321" s="2314"/>
      <c r="H321" s="32">
        <f t="shared" si="29"/>
        <v>0</v>
      </c>
      <c r="I321" s="2314"/>
      <c r="J321" s="32">
        <f t="shared" si="30"/>
        <v>0</v>
      </c>
      <c r="K321" s="2314"/>
      <c r="L321" s="31">
        <f t="shared" si="31"/>
        <v>0</v>
      </c>
      <c r="M321" s="2314"/>
      <c r="N321" s="31" t="str">
        <f>Liste!L321</f>
        <v>Stk</v>
      </c>
      <c r="O321" s="31"/>
      <c r="P321" s="31"/>
      <c r="Q321" s="31">
        <f>Liste!P321</f>
        <v>0</v>
      </c>
      <c r="R321" s="31">
        <f>Liste!N321</f>
        <v>0</v>
      </c>
      <c r="S321" s="7">
        <v>0</v>
      </c>
      <c r="T321" s="7">
        <v>0</v>
      </c>
      <c r="U321" s="7">
        <v>0</v>
      </c>
      <c r="V321" s="7"/>
      <c r="W321" s="60"/>
      <c r="X321" s="60"/>
      <c r="Y321" s="60"/>
      <c r="Z321" s="7"/>
      <c r="AA321" s="7"/>
      <c r="AB321" s="60"/>
      <c r="AC321" s="60"/>
      <c r="AD321" s="60"/>
      <c r="AE321" s="7"/>
      <c r="AF321" s="7"/>
      <c r="AG321" s="7"/>
      <c r="AH321" s="7"/>
      <c r="AI321" s="7"/>
      <c r="AJ321" s="7">
        <f>Liste!X321</f>
        <v>0</v>
      </c>
      <c r="AK321" s="7">
        <f>Liste!Y321</f>
        <v>1</v>
      </c>
      <c r="AL321" s="7"/>
      <c r="AM321" s="7"/>
      <c r="AN321" s="7"/>
      <c r="AO321" s="1113">
        <f>Liste!D321</f>
        <v>0</v>
      </c>
      <c r="AP321" s="1113">
        <f>Liste!F321</f>
        <v>1250</v>
      </c>
      <c r="AQ321" s="1113">
        <f>Liste!E321</f>
        <v>189.9</v>
      </c>
      <c r="AR321" s="1113">
        <f>Liste!G321</f>
        <v>2</v>
      </c>
      <c r="AS321" s="1112">
        <f>Liste!V321</f>
        <v>1</v>
      </c>
      <c r="AT321" s="1" t="str">
        <f>Liste!M321</f>
        <v>V2A blank</v>
      </c>
      <c r="AZ321" s="5" t="s">
        <v>31351</v>
      </c>
      <c r="BA321" s="4" t="s">
        <v>101</v>
      </c>
      <c r="BB321" s="4">
        <v>823</v>
      </c>
      <c r="BD321" s="35"/>
      <c r="BE321" s="35"/>
      <c r="BF321" s="2118" t="str">
        <f>Liste!R321</f>
        <v>0701481</v>
      </c>
      <c r="BG321" s="2137">
        <f>IF(AS321&gt;0,Liste!S321,0)</f>
        <v>0</v>
      </c>
      <c r="BH321" s="2118" t="str">
        <f>Liste!T321</f>
        <v>m²</v>
      </c>
    </row>
    <row r="322" spans="1:60" ht="24.95" customHeight="1" x14ac:dyDescent="0.25">
      <c r="A322" s="29"/>
      <c r="B322" s="46" t="str">
        <f>IF(Liste!O322&gt;0,Liste!O322,Liste!B322)</f>
        <v>Führungsschiene 1500mm GCC W25 vertikal verzinkt</v>
      </c>
      <c r="C322" s="2314"/>
      <c r="D322" s="30" t="str">
        <f>Liste!C322</f>
        <v>0308115</v>
      </c>
      <c r="E322" s="2314"/>
      <c r="F322" s="32">
        <f t="shared" si="28"/>
        <v>0</v>
      </c>
      <c r="G322" s="2314"/>
      <c r="H322" s="32">
        <f t="shared" si="29"/>
        <v>0</v>
      </c>
      <c r="I322" s="2314"/>
      <c r="J322" s="32">
        <f t="shared" si="30"/>
        <v>0</v>
      </c>
      <c r="K322" s="2314"/>
      <c r="L322" s="31">
        <f t="shared" si="31"/>
        <v>0</v>
      </c>
      <c r="M322" s="2314"/>
      <c r="N322" s="31" t="str">
        <f>Liste!L322</f>
        <v>Stk</v>
      </c>
      <c r="O322" s="31"/>
      <c r="P322" s="31"/>
      <c r="Q322" s="31">
        <f>Liste!P322</f>
        <v>0</v>
      </c>
      <c r="R322" s="31">
        <f>Liste!N322</f>
        <v>0</v>
      </c>
      <c r="S322" s="7">
        <v>0</v>
      </c>
      <c r="T322" s="7">
        <v>0</v>
      </c>
      <c r="U322" s="7">
        <v>0</v>
      </c>
      <c r="V322" s="7"/>
      <c r="W322" s="60"/>
      <c r="X322" s="60"/>
      <c r="Y322" s="60"/>
      <c r="Z322" s="7"/>
      <c r="AA322" s="7"/>
      <c r="AB322" s="60"/>
      <c r="AC322" s="60"/>
      <c r="AD322" s="60"/>
      <c r="AE322" s="7"/>
      <c r="AF322" s="7"/>
      <c r="AG322" s="7"/>
      <c r="AH322" s="7"/>
      <c r="AI322" s="7"/>
      <c r="AJ322" s="7">
        <f>Liste!X322</f>
        <v>0</v>
      </c>
      <c r="AK322" s="7">
        <f>Liste!Y322</f>
        <v>0</v>
      </c>
      <c r="AL322" s="7"/>
      <c r="AM322" s="7"/>
      <c r="AN322" s="7"/>
      <c r="AO322" s="1113">
        <f>Liste!D322</f>
        <v>0</v>
      </c>
      <c r="AP322" s="1113">
        <f>Liste!F322</f>
        <v>1500</v>
      </c>
      <c r="AQ322" s="1113">
        <f>Liste!E322</f>
        <v>190.96</v>
      </c>
      <c r="AR322" s="1113">
        <f>Liste!G322</f>
        <v>2</v>
      </c>
      <c r="AS322" s="1112">
        <f>Liste!V322</f>
        <v>1</v>
      </c>
      <c r="AT322" s="1" t="str">
        <f>Liste!M322</f>
        <v>Stahlblech verz.</v>
      </c>
      <c r="AZ322" s="5" t="s">
        <v>31352</v>
      </c>
      <c r="BA322" s="4" t="s">
        <v>101</v>
      </c>
      <c r="BB322" s="4">
        <v>824</v>
      </c>
      <c r="BD322" s="35"/>
      <c r="BE322" s="35"/>
      <c r="BF322" s="2118" t="str">
        <f>Liste!R322</f>
        <v>0308115</v>
      </c>
      <c r="BG322" s="2137">
        <f>IF(AS322&gt;0,Liste!S322,0)</f>
        <v>0</v>
      </c>
      <c r="BH322" s="2118" t="str">
        <f>Liste!T322</f>
        <v>Stk</v>
      </c>
    </row>
    <row r="323" spans="1:60" ht="24.95" customHeight="1" x14ac:dyDescent="0.25">
      <c r="A323" s="29"/>
      <c r="B323" s="46" t="str">
        <f>IF(Liste!O323&gt;0,Liste!O323,Liste!B323)</f>
        <v>Führungsschiene 1500mm GCC W25 vertikal V2A</v>
      </c>
      <c r="C323" s="2314"/>
      <c r="D323" s="30" t="str">
        <f>Liste!C323</f>
        <v>0338115</v>
      </c>
      <c r="E323" s="2314"/>
      <c r="F323" s="32">
        <f t="shared" si="28"/>
        <v>0</v>
      </c>
      <c r="G323" s="2314"/>
      <c r="H323" s="32">
        <f t="shared" si="29"/>
        <v>0</v>
      </c>
      <c r="I323" s="2314"/>
      <c r="J323" s="32">
        <f t="shared" si="30"/>
        <v>0</v>
      </c>
      <c r="K323" s="2314"/>
      <c r="L323" s="31">
        <f t="shared" si="31"/>
        <v>0</v>
      </c>
      <c r="M323" s="2314"/>
      <c r="N323" s="31" t="str">
        <f>Liste!L323</f>
        <v>Stk</v>
      </c>
      <c r="O323" s="31"/>
      <c r="P323" s="31"/>
      <c r="Q323" s="31">
        <f>Liste!P323</f>
        <v>0</v>
      </c>
      <c r="R323" s="31">
        <f>Liste!N323</f>
        <v>0</v>
      </c>
      <c r="S323" s="7">
        <v>0</v>
      </c>
      <c r="T323" s="7">
        <v>0</v>
      </c>
      <c r="U323" s="7">
        <v>0</v>
      </c>
      <c r="V323" s="7"/>
      <c r="W323" s="60"/>
      <c r="X323" s="60"/>
      <c r="Y323" s="60"/>
      <c r="Z323" s="7"/>
      <c r="AA323" s="7"/>
      <c r="AB323" s="60"/>
      <c r="AC323" s="60"/>
      <c r="AD323" s="60"/>
      <c r="AE323" s="7"/>
      <c r="AF323" s="7"/>
      <c r="AG323" s="7"/>
      <c r="AH323" s="7"/>
      <c r="AI323" s="7"/>
      <c r="AJ323" s="7">
        <f>Liste!X323</f>
        <v>0</v>
      </c>
      <c r="AK323" s="7">
        <f>Liste!Y323</f>
        <v>1</v>
      </c>
      <c r="AL323" s="7"/>
      <c r="AM323" s="7"/>
      <c r="AN323" s="7"/>
      <c r="AO323" s="1113">
        <f>Liste!D323</f>
        <v>0</v>
      </c>
      <c r="AP323" s="1113">
        <f>Liste!F323</f>
        <v>1500</v>
      </c>
      <c r="AQ323" s="1113">
        <f>Liste!E323</f>
        <v>189.9</v>
      </c>
      <c r="AR323" s="1113">
        <f>Liste!G323</f>
        <v>2</v>
      </c>
      <c r="AS323" s="1112">
        <f>Liste!V323</f>
        <v>1</v>
      </c>
      <c r="AT323" s="1" t="str">
        <f>Liste!M323</f>
        <v>V2A blank</v>
      </c>
      <c r="AZ323" s="5" t="s">
        <v>31353</v>
      </c>
      <c r="BA323" s="4" t="s">
        <v>101</v>
      </c>
      <c r="BB323" s="4">
        <v>825</v>
      </c>
      <c r="BD323" s="35"/>
      <c r="BE323" s="35"/>
      <c r="BF323" s="2118" t="str">
        <f>Liste!R323</f>
        <v>0701481</v>
      </c>
      <c r="BG323" s="2137">
        <f>IF(AS323&gt;0,Liste!S323,0)</f>
        <v>0</v>
      </c>
      <c r="BH323" s="2118" t="str">
        <f>Liste!T323</f>
        <v>m²</v>
      </c>
    </row>
    <row r="324" spans="1:60" ht="24.95" customHeight="1" x14ac:dyDescent="0.25">
      <c r="A324" s="29"/>
      <c r="B324" s="46" t="str">
        <f>IF(Liste!O324&gt;0,Liste!O324,Liste!B324)</f>
        <v>Führungsschiene 1750mm GCC W25 vertikal verzinkt</v>
      </c>
      <c r="C324" s="2314"/>
      <c r="D324" s="30" t="str">
        <f>Liste!C324</f>
        <v>0308116</v>
      </c>
      <c r="E324" s="2314"/>
      <c r="F324" s="32">
        <f t="shared" si="28"/>
        <v>0</v>
      </c>
      <c r="G324" s="2314"/>
      <c r="H324" s="32">
        <f t="shared" si="29"/>
        <v>0</v>
      </c>
      <c r="I324" s="2314"/>
      <c r="J324" s="32">
        <f t="shared" si="30"/>
        <v>0</v>
      </c>
      <c r="K324" s="2314"/>
      <c r="L324" s="31">
        <f t="shared" si="31"/>
        <v>0</v>
      </c>
      <c r="M324" s="2314"/>
      <c r="N324" s="31" t="str">
        <f>Liste!L324</f>
        <v>Stk</v>
      </c>
      <c r="O324" s="31"/>
      <c r="P324" s="31"/>
      <c r="Q324" s="31">
        <f>Liste!P324</f>
        <v>0</v>
      </c>
      <c r="R324" s="31">
        <f>Liste!N324</f>
        <v>0</v>
      </c>
      <c r="S324" s="7">
        <v>0</v>
      </c>
      <c r="T324" s="7">
        <v>0</v>
      </c>
      <c r="U324" s="7">
        <v>0</v>
      </c>
      <c r="V324" s="7"/>
      <c r="W324" s="60"/>
      <c r="X324" s="60"/>
      <c r="Y324" s="60"/>
      <c r="Z324" s="7"/>
      <c r="AA324" s="7"/>
      <c r="AB324" s="60"/>
      <c r="AC324" s="60"/>
      <c r="AD324" s="60"/>
      <c r="AE324" s="7"/>
      <c r="AF324" s="7"/>
      <c r="AG324" s="7"/>
      <c r="AH324" s="7"/>
      <c r="AI324" s="7"/>
      <c r="AJ324" s="7">
        <f>Liste!X324</f>
        <v>0</v>
      </c>
      <c r="AK324" s="7">
        <f>Liste!Y324</f>
        <v>0</v>
      </c>
      <c r="AL324" s="7"/>
      <c r="AM324" s="7"/>
      <c r="AN324" s="7"/>
      <c r="AO324" s="1113">
        <f>Liste!D324</f>
        <v>0</v>
      </c>
      <c r="AP324" s="1113">
        <f>Liste!F324</f>
        <v>1750</v>
      </c>
      <c r="AQ324" s="1113">
        <f>Liste!E324</f>
        <v>190.96</v>
      </c>
      <c r="AR324" s="1113">
        <f>Liste!G324</f>
        <v>2</v>
      </c>
      <c r="AS324" s="1112">
        <f>Liste!V324</f>
        <v>1</v>
      </c>
      <c r="AT324" s="1" t="str">
        <f>Liste!M324</f>
        <v>Stahlblech verz.</v>
      </c>
      <c r="AZ324" s="5" t="s">
        <v>31354</v>
      </c>
      <c r="BA324" s="4" t="s">
        <v>101</v>
      </c>
      <c r="BB324" s="4">
        <v>826</v>
      </c>
      <c r="BD324" s="35"/>
      <c r="BE324" s="35"/>
      <c r="BF324" s="2118" t="str">
        <f>Liste!R324</f>
        <v>0308116</v>
      </c>
      <c r="BG324" s="2137">
        <f>IF(AS324&gt;0,Liste!S324,0)</f>
        <v>0</v>
      </c>
      <c r="BH324" s="2118" t="str">
        <f>Liste!T324</f>
        <v>Stk</v>
      </c>
    </row>
    <row r="325" spans="1:60" ht="24.95" customHeight="1" x14ac:dyDescent="0.25">
      <c r="A325" s="29"/>
      <c r="B325" s="46" t="str">
        <f>IF(Liste!O325&gt;0,Liste!O325,Liste!B325)</f>
        <v>Führungsschiene 1750mm GCC W25 vertikal V2A</v>
      </c>
      <c r="C325" s="2314"/>
      <c r="D325" s="30" t="str">
        <f>Liste!C325</f>
        <v>0338116</v>
      </c>
      <c r="E325" s="2314"/>
      <c r="F325" s="32">
        <f t="shared" si="28"/>
        <v>0</v>
      </c>
      <c r="G325" s="2314"/>
      <c r="H325" s="32">
        <f t="shared" si="29"/>
        <v>0</v>
      </c>
      <c r="I325" s="2314"/>
      <c r="J325" s="32">
        <f t="shared" si="30"/>
        <v>0</v>
      </c>
      <c r="K325" s="2314"/>
      <c r="L325" s="31">
        <f t="shared" si="31"/>
        <v>0</v>
      </c>
      <c r="M325" s="2314"/>
      <c r="N325" s="31" t="str">
        <f>Liste!L325</f>
        <v>Stk</v>
      </c>
      <c r="O325" s="31"/>
      <c r="P325" s="31"/>
      <c r="Q325" s="31">
        <f>Liste!P325</f>
        <v>0</v>
      </c>
      <c r="R325" s="31">
        <f>Liste!N325</f>
        <v>0</v>
      </c>
      <c r="S325" s="7">
        <v>0</v>
      </c>
      <c r="T325" s="7">
        <v>0</v>
      </c>
      <c r="U325" s="7">
        <v>0</v>
      </c>
      <c r="V325" s="7"/>
      <c r="W325" s="60"/>
      <c r="X325" s="60"/>
      <c r="Y325" s="60"/>
      <c r="Z325" s="7"/>
      <c r="AA325" s="7"/>
      <c r="AB325" s="60"/>
      <c r="AC325" s="60"/>
      <c r="AD325" s="60"/>
      <c r="AE325" s="7"/>
      <c r="AF325" s="7"/>
      <c r="AG325" s="7"/>
      <c r="AH325" s="7"/>
      <c r="AI325" s="7"/>
      <c r="AJ325" s="7">
        <f>Liste!X325</f>
        <v>0</v>
      </c>
      <c r="AK325" s="7">
        <f>Liste!Y325</f>
        <v>1</v>
      </c>
      <c r="AL325" s="7"/>
      <c r="AM325" s="7"/>
      <c r="AN325" s="7"/>
      <c r="AO325" s="1113">
        <f>Liste!D325</f>
        <v>0</v>
      </c>
      <c r="AP325" s="1113">
        <f>Liste!F325</f>
        <v>1750</v>
      </c>
      <c r="AQ325" s="1113">
        <f>Liste!E325</f>
        <v>189.9</v>
      </c>
      <c r="AR325" s="1113">
        <f>Liste!G325</f>
        <v>2</v>
      </c>
      <c r="AS325" s="1112">
        <f>Liste!V325</f>
        <v>1</v>
      </c>
      <c r="AT325" s="1" t="str">
        <f>Liste!M325</f>
        <v>V2A blank</v>
      </c>
      <c r="AZ325" s="5" t="s">
        <v>31355</v>
      </c>
      <c r="BA325" s="4" t="s">
        <v>101</v>
      </c>
      <c r="BB325" s="4">
        <v>827</v>
      </c>
      <c r="BD325" s="35"/>
      <c r="BE325" s="35"/>
      <c r="BF325" s="2118" t="str">
        <f>Liste!R325</f>
        <v>0701481</v>
      </c>
      <c r="BG325" s="2137">
        <f>IF(AS325&gt;0,Liste!S325,0)</f>
        <v>0</v>
      </c>
      <c r="BH325" s="2118" t="str">
        <f>Liste!T325</f>
        <v>m²</v>
      </c>
    </row>
    <row r="326" spans="1:60" ht="24.95" customHeight="1" x14ac:dyDescent="0.25">
      <c r="A326" s="29"/>
      <c r="B326" s="46" t="str">
        <f>IF(Liste!O326&gt;0,Liste!O326,Liste!B326)</f>
        <v>Führungsschiene 2000mm GCC W25 vertikal verzinkt</v>
      </c>
      <c r="C326" s="2314"/>
      <c r="D326" s="30" t="str">
        <f>Liste!C326</f>
        <v>0308117</v>
      </c>
      <c r="E326" s="2314"/>
      <c r="F326" s="32">
        <f t="shared" si="28"/>
        <v>0</v>
      </c>
      <c r="G326" s="2314"/>
      <c r="H326" s="32">
        <f t="shared" si="29"/>
        <v>0</v>
      </c>
      <c r="I326" s="2314"/>
      <c r="J326" s="32">
        <f t="shared" si="30"/>
        <v>0</v>
      </c>
      <c r="K326" s="2314"/>
      <c r="L326" s="31">
        <f t="shared" si="31"/>
        <v>0</v>
      </c>
      <c r="M326" s="2314"/>
      <c r="N326" s="31" t="str">
        <f>Liste!L326</f>
        <v>Stk</v>
      </c>
      <c r="O326" s="31"/>
      <c r="P326" s="31"/>
      <c r="Q326" s="31">
        <f>Liste!P326</f>
        <v>0</v>
      </c>
      <c r="R326" s="31">
        <f>Liste!N326</f>
        <v>0</v>
      </c>
      <c r="S326" s="7">
        <v>0</v>
      </c>
      <c r="T326" s="7">
        <v>0</v>
      </c>
      <c r="U326" s="7">
        <v>0</v>
      </c>
      <c r="V326" s="7"/>
      <c r="W326" s="60"/>
      <c r="X326" s="60"/>
      <c r="Y326" s="60"/>
      <c r="Z326" s="7"/>
      <c r="AA326" s="7"/>
      <c r="AB326" s="60"/>
      <c r="AC326" s="60"/>
      <c r="AD326" s="60"/>
      <c r="AE326" s="7"/>
      <c r="AF326" s="7"/>
      <c r="AG326" s="7"/>
      <c r="AH326" s="7"/>
      <c r="AI326" s="7"/>
      <c r="AJ326" s="7">
        <f>Liste!X326</f>
        <v>0</v>
      </c>
      <c r="AK326" s="7">
        <f>Liste!Y326</f>
        <v>0</v>
      </c>
      <c r="AL326" s="7"/>
      <c r="AM326" s="7"/>
      <c r="AN326" s="7"/>
      <c r="AO326" s="1113">
        <f>Liste!D326</f>
        <v>0</v>
      </c>
      <c r="AP326" s="1113">
        <f>Liste!F326</f>
        <v>2000</v>
      </c>
      <c r="AQ326" s="1113">
        <f>Liste!E326</f>
        <v>190.96</v>
      </c>
      <c r="AR326" s="1113">
        <f>Liste!G326</f>
        <v>2</v>
      </c>
      <c r="AS326" s="1112">
        <f>Liste!V326</f>
        <v>1</v>
      </c>
      <c r="AT326" s="1" t="str">
        <f>Liste!M326</f>
        <v>Stahlblech verz.</v>
      </c>
      <c r="AZ326" s="5" t="s">
        <v>31356</v>
      </c>
      <c r="BA326" s="4" t="s">
        <v>101</v>
      </c>
      <c r="BB326" s="4">
        <v>828</v>
      </c>
      <c r="BD326" s="35"/>
      <c r="BE326" s="35"/>
      <c r="BF326" s="2118" t="str">
        <f>Liste!R326</f>
        <v>0308117</v>
      </c>
      <c r="BG326" s="2137">
        <f>IF(AS326&gt;0,Liste!S326,0)</f>
        <v>0</v>
      </c>
      <c r="BH326" s="2118" t="str">
        <f>Liste!T326</f>
        <v>Stk</v>
      </c>
    </row>
    <row r="327" spans="1:60" ht="24.95" customHeight="1" x14ac:dyDescent="0.25">
      <c r="A327" s="29"/>
      <c r="B327" s="46" t="str">
        <f>IF(Liste!O327&gt;0,Liste!O327,Liste!B327)</f>
        <v>Führungsschiene 2000mm GCC W25 vertikal V2A</v>
      </c>
      <c r="C327" s="2314"/>
      <c r="D327" s="30" t="str">
        <f>Liste!C327</f>
        <v>0338117</v>
      </c>
      <c r="E327" s="2314"/>
      <c r="F327" s="32">
        <f t="shared" si="28"/>
        <v>0</v>
      </c>
      <c r="G327" s="2314"/>
      <c r="H327" s="32">
        <f t="shared" si="29"/>
        <v>0</v>
      </c>
      <c r="I327" s="2314"/>
      <c r="J327" s="32">
        <f t="shared" si="30"/>
        <v>0</v>
      </c>
      <c r="K327" s="2314"/>
      <c r="L327" s="31">
        <f t="shared" si="31"/>
        <v>0</v>
      </c>
      <c r="M327" s="2314"/>
      <c r="N327" s="31" t="str">
        <f>Liste!L327</f>
        <v>Stk</v>
      </c>
      <c r="O327" s="31"/>
      <c r="P327" s="31"/>
      <c r="Q327" s="31">
        <f>Liste!P327</f>
        <v>0</v>
      </c>
      <c r="R327" s="31">
        <f>Liste!N327</f>
        <v>0</v>
      </c>
      <c r="S327" s="7">
        <v>0</v>
      </c>
      <c r="T327" s="7">
        <v>0</v>
      </c>
      <c r="U327" s="7">
        <v>0</v>
      </c>
      <c r="V327" s="7"/>
      <c r="W327" s="60"/>
      <c r="X327" s="60"/>
      <c r="Y327" s="60"/>
      <c r="Z327" s="7"/>
      <c r="AA327" s="7"/>
      <c r="AB327" s="60"/>
      <c r="AC327" s="60"/>
      <c r="AD327" s="60"/>
      <c r="AE327" s="7"/>
      <c r="AF327" s="7"/>
      <c r="AG327" s="7"/>
      <c r="AH327" s="7"/>
      <c r="AI327" s="7"/>
      <c r="AJ327" s="7">
        <f>Liste!X327</f>
        <v>0</v>
      </c>
      <c r="AK327" s="7">
        <f>Liste!Y327</f>
        <v>1</v>
      </c>
      <c r="AL327" s="7"/>
      <c r="AM327" s="7"/>
      <c r="AN327" s="7"/>
      <c r="AO327" s="1113">
        <f>Liste!D327</f>
        <v>0</v>
      </c>
      <c r="AP327" s="1113">
        <f>Liste!F327</f>
        <v>2000</v>
      </c>
      <c r="AQ327" s="1113">
        <f>Liste!E327</f>
        <v>189.9</v>
      </c>
      <c r="AR327" s="1113">
        <f>Liste!G327</f>
        <v>2</v>
      </c>
      <c r="AS327" s="1112">
        <f>Liste!V327</f>
        <v>1</v>
      </c>
      <c r="AT327" s="1" t="str">
        <f>Liste!M327</f>
        <v>V2A blank</v>
      </c>
      <c r="AZ327" s="5" t="s">
        <v>31357</v>
      </c>
      <c r="BA327" s="4" t="s">
        <v>101</v>
      </c>
      <c r="BB327" s="4">
        <v>829</v>
      </c>
      <c r="BD327" s="35"/>
      <c r="BE327" s="35"/>
      <c r="BF327" s="2118" t="str">
        <f>Liste!R327</f>
        <v>0701481</v>
      </c>
      <c r="BG327" s="2137">
        <f>IF(AS327&gt;0,Liste!S327,0)</f>
        <v>0</v>
      </c>
      <c r="BH327" s="2118" t="str">
        <f>Liste!T327</f>
        <v>m²</v>
      </c>
    </row>
    <row r="328" spans="1:60" ht="24.95" customHeight="1" x14ac:dyDescent="0.25">
      <c r="A328" s="29"/>
      <c r="B328" s="46" t="str">
        <f>IF(Liste!O328&gt;0,Liste!O328,Liste!B328)</f>
        <v>Führungsschiene 2250mm GCC W25 vertikal verzinkt</v>
      </c>
      <c r="C328" s="2314"/>
      <c r="D328" s="30" t="str">
        <f>Liste!C328</f>
        <v>0308118</v>
      </c>
      <c r="E328" s="2314"/>
      <c r="F328" s="32">
        <f t="shared" si="28"/>
        <v>0</v>
      </c>
      <c r="G328" s="2314"/>
      <c r="H328" s="32">
        <f t="shared" si="29"/>
        <v>0</v>
      </c>
      <c r="I328" s="2314"/>
      <c r="J328" s="32">
        <f t="shared" si="30"/>
        <v>0</v>
      </c>
      <c r="K328" s="2314"/>
      <c r="L328" s="31">
        <f t="shared" si="31"/>
        <v>0</v>
      </c>
      <c r="M328" s="2314"/>
      <c r="N328" s="31" t="str">
        <f>Liste!L328</f>
        <v>Stk</v>
      </c>
      <c r="O328" s="31"/>
      <c r="P328" s="31"/>
      <c r="Q328" s="31">
        <f>Liste!P328</f>
        <v>0</v>
      </c>
      <c r="R328" s="31">
        <f>Liste!N328</f>
        <v>0</v>
      </c>
      <c r="S328" s="7">
        <v>0</v>
      </c>
      <c r="T328" s="7">
        <v>0</v>
      </c>
      <c r="U328" s="7">
        <v>0</v>
      </c>
      <c r="V328" s="7"/>
      <c r="W328" s="60"/>
      <c r="X328" s="60"/>
      <c r="Y328" s="60"/>
      <c r="Z328" s="7"/>
      <c r="AA328" s="7"/>
      <c r="AB328" s="60"/>
      <c r="AC328" s="60"/>
      <c r="AD328" s="60"/>
      <c r="AE328" s="7"/>
      <c r="AF328" s="7"/>
      <c r="AG328" s="7"/>
      <c r="AH328" s="7"/>
      <c r="AI328" s="7"/>
      <c r="AJ328" s="7">
        <f>Liste!X328</f>
        <v>0</v>
      </c>
      <c r="AK328" s="7">
        <f>Liste!Y328</f>
        <v>0</v>
      </c>
      <c r="AL328" s="7"/>
      <c r="AM328" s="7"/>
      <c r="AN328" s="7"/>
      <c r="AO328" s="1113">
        <f>Liste!D328</f>
        <v>0</v>
      </c>
      <c r="AP328" s="1113">
        <f>Liste!F328</f>
        <v>2250</v>
      </c>
      <c r="AQ328" s="1113">
        <f>Liste!E328</f>
        <v>190.96</v>
      </c>
      <c r="AR328" s="1113">
        <f>Liste!G328</f>
        <v>2</v>
      </c>
      <c r="AS328" s="1112">
        <f>Liste!V328</f>
        <v>1</v>
      </c>
      <c r="AT328" s="1" t="str">
        <f>Liste!M328</f>
        <v>Stahlblech verz.</v>
      </c>
      <c r="AZ328" s="5" t="s">
        <v>29990</v>
      </c>
      <c r="BA328" s="4" t="s">
        <v>101</v>
      </c>
      <c r="BB328" s="4">
        <v>830</v>
      </c>
      <c r="BD328" s="35"/>
      <c r="BE328" s="35"/>
      <c r="BF328" s="2118" t="str">
        <f>Liste!R328</f>
        <v>0308118</v>
      </c>
      <c r="BG328" s="2137">
        <f>IF(AS328&gt;0,Liste!S328,0)</f>
        <v>0</v>
      </c>
      <c r="BH328" s="2118" t="str">
        <f>Liste!T328</f>
        <v>Stk</v>
      </c>
    </row>
    <row r="329" spans="1:60" ht="24.95" customHeight="1" x14ac:dyDescent="0.25">
      <c r="A329" s="29"/>
      <c r="B329" s="46" t="str">
        <f>IF(Liste!O329&gt;0,Liste!O329,Liste!B329)</f>
        <v>Führungsschiene 2250mm GCC W25 vertikal V2A</v>
      </c>
      <c r="C329" s="2314"/>
      <c r="D329" s="30" t="str">
        <f>Liste!C329</f>
        <v>0338118</v>
      </c>
      <c r="E329" s="2314"/>
      <c r="F329" s="32">
        <f t="shared" si="28"/>
        <v>0</v>
      </c>
      <c r="G329" s="2314"/>
      <c r="H329" s="32">
        <f t="shared" si="29"/>
        <v>0</v>
      </c>
      <c r="I329" s="2314"/>
      <c r="J329" s="32">
        <f t="shared" si="30"/>
        <v>0</v>
      </c>
      <c r="K329" s="2314"/>
      <c r="L329" s="31">
        <f t="shared" si="31"/>
        <v>0</v>
      </c>
      <c r="M329" s="2314"/>
      <c r="N329" s="31" t="str">
        <f>Liste!L329</f>
        <v>Stk</v>
      </c>
      <c r="O329" s="31"/>
      <c r="P329" s="31"/>
      <c r="Q329" s="31">
        <f>Liste!P329</f>
        <v>0</v>
      </c>
      <c r="R329" s="31">
        <f>Liste!N329</f>
        <v>0</v>
      </c>
      <c r="S329" s="7">
        <v>0</v>
      </c>
      <c r="T329" s="7">
        <v>0</v>
      </c>
      <c r="U329" s="7">
        <v>0</v>
      </c>
      <c r="V329" s="7"/>
      <c r="W329" s="60"/>
      <c r="X329" s="60"/>
      <c r="Y329" s="60"/>
      <c r="Z329" s="7"/>
      <c r="AA329" s="7"/>
      <c r="AB329" s="60"/>
      <c r="AC329" s="60"/>
      <c r="AD329" s="60"/>
      <c r="AE329" s="7"/>
      <c r="AF329" s="7"/>
      <c r="AG329" s="7"/>
      <c r="AH329" s="7"/>
      <c r="AI329" s="7"/>
      <c r="AJ329" s="7">
        <f>Liste!X329</f>
        <v>0</v>
      </c>
      <c r="AK329" s="7">
        <f>Liste!Y329</f>
        <v>1</v>
      </c>
      <c r="AL329" s="7"/>
      <c r="AM329" s="7"/>
      <c r="AN329" s="7"/>
      <c r="AO329" s="1113">
        <f>Liste!D329</f>
        <v>0</v>
      </c>
      <c r="AP329" s="1113">
        <f>Liste!F329</f>
        <v>2250</v>
      </c>
      <c r="AQ329" s="1113">
        <f>Liste!E329</f>
        <v>189.9</v>
      </c>
      <c r="AR329" s="1113">
        <f>Liste!G329</f>
        <v>2</v>
      </c>
      <c r="AS329" s="1112">
        <f>Liste!V329</f>
        <v>1</v>
      </c>
      <c r="AT329" s="1" t="str">
        <f>Liste!M329</f>
        <v>V2A blank</v>
      </c>
      <c r="AZ329" s="5" t="s">
        <v>29991</v>
      </c>
      <c r="BA329" s="4" t="s">
        <v>101</v>
      </c>
      <c r="BB329" s="4">
        <v>831</v>
      </c>
      <c r="BD329" s="35"/>
      <c r="BE329" s="35"/>
      <c r="BF329" s="2118" t="str">
        <f>Liste!R329</f>
        <v>0701481</v>
      </c>
      <c r="BG329" s="2137">
        <f>IF(AS329&gt;0,Liste!S329,0)</f>
        <v>0</v>
      </c>
      <c r="BH329" s="2118" t="str">
        <f>Liste!T329</f>
        <v>m²</v>
      </c>
    </row>
    <row r="330" spans="1:60" ht="24.95" customHeight="1" x14ac:dyDescent="0.25">
      <c r="A330" s="29"/>
      <c r="B330" s="46" t="str">
        <f>IF(Liste!O330&gt;0,Liste!O330,Liste!B330)</f>
        <v>Führungsschiene 2500mm GCC W25 vertikal verzinkt</v>
      </c>
      <c r="C330" s="2314"/>
      <c r="D330" s="30" t="str">
        <f>Liste!C330</f>
        <v>0308119</v>
      </c>
      <c r="E330" s="2314"/>
      <c r="F330" s="32">
        <f t="shared" ref="F330:F393" si="32">IF(AS330&gt;0,AO330,0)</f>
        <v>0</v>
      </c>
      <c r="G330" s="2314"/>
      <c r="H330" s="32">
        <f t="shared" ref="H330:H393" si="33">IF(N330=$P$1,0,AP330)</f>
        <v>0</v>
      </c>
      <c r="I330" s="2314"/>
      <c r="J330" s="32">
        <f t="shared" ref="J330:J393" si="34">IF(OR(N330=$P$1,N330=$Q$1),0,AQ330)</f>
        <v>0</v>
      </c>
      <c r="K330" s="2314"/>
      <c r="L330" s="31">
        <f t="shared" ref="L330:L393" si="35">IF(OR(N330=$P$1,N330=$Q$1,$R$1=N330),0,AR330)</f>
        <v>0</v>
      </c>
      <c r="M330" s="2314"/>
      <c r="N330" s="31" t="str">
        <f>Liste!L330</f>
        <v>Stk</v>
      </c>
      <c r="O330" s="31"/>
      <c r="P330" s="31"/>
      <c r="Q330" s="31">
        <f>Liste!P330</f>
        <v>0</v>
      </c>
      <c r="R330" s="31">
        <f>Liste!N330</f>
        <v>0</v>
      </c>
      <c r="S330" s="7">
        <v>0</v>
      </c>
      <c r="T330" s="7">
        <v>0</v>
      </c>
      <c r="U330" s="7">
        <v>0</v>
      </c>
      <c r="V330" s="7"/>
      <c r="W330" s="60"/>
      <c r="X330" s="60"/>
      <c r="Y330" s="60"/>
      <c r="Z330" s="7"/>
      <c r="AA330" s="7"/>
      <c r="AB330" s="60"/>
      <c r="AC330" s="60"/>
      <c r="AD330" s="60"/>
      <c r="AE330" s="7"/>
      <c r="AF330" s="7"/>
      <c r="AG330" s="7"/>
      <c r="AH330" s="7"/>
      <c r="AI330" s="7"/>
      <c r="AJ330" s="7">
        <f>Liste!X330</f>
        <v>0</v>
      </c>
      <c r="AK330" s="7">
        <f>Liste!Y330</f>
        <v>0</v>
      </c>
      <c r="AL330" s="7"/>
      <c r="AM330" s="7"/>
      <c r="AN330" s="7"/>
      <c r="AO330" s="1113">
        <f>Liste!D330</f>
        <v>0</v>
      </c>
      <c r="AP330" s="1113">
        <f>Liste!F330</f>
        <v>2500</v>
      </c>
      <c r="AQ330" s="1113">
        <f>Liste!E330</f>
        <v>190.96</v>
      </c>
      <c r="AR330" s="1113">
        <f>Liste!G330</f>
        <v>2</v>
      </c>
      <c r="AS330" s="1112">
        <f>Liste!V330</f>
        <v>1</v>
      </c>
      <c r="AT330" s="1" t="str">
        <f>Liste!M330</f>
        <v>Stahlblech verz.</v>
      </c>
      <c r="AZ330" s="5" t="s">
        <v>29992</v>
      </c>
      <c r="BA330" s="4" t="s">
        <v>101</v>
      </c>
      <c r="BB330" s="4">
        <v>832</v>
      </c>
      <c r="BD330" s="35"/>
      <c r="BE330" s="35"/>
      <c r="BF330" s="2118" t="str">
        <f>Liste!R330</f>
        <v>0308119</v>
      </c>
      <c r="BG330" s="2137">
        <f>IF(AS330&gt;0,Liste!S330,0)</f>
        <v>0</v>
      </c>
      <c r="BH330" s="2118" t="str">
        <f>Liste!T330</f>
        <v>Stk</v>
      </c>
    </row>
    <row r="331" spans="1:60" ht="24.95" customHeight="1" x14ac:dyDescent="0.25">
      <c r="A331" s="29"/>
      <c r="B331" s="46" t="str">
        <f>IF(Liste!O331&gt;0,Liste!O331,Liste!B331)</f>
        <v>Führungsschiene 2500mm GCC W25 vertikal V2A</v>
      </c>
      <c r="C331" s="2314"/>
      <c r="D331" s="30" t="str">
        <f>Liste!C331</f>
        <v>0338119</v>
      </c>
      <c r="E331" s="2314"/>
      <c r="F331" s="32">
        <f t="shared" si="32"/>
        <v>0</v>
      </c>
      <c r="G331" s="2314"/>
      <c r="H331" s="32">
        <f t="shared" si="33"/>
        <v>0</v>
      </c>
      <c r="I331" s="2314"/>
      <c r="J331" s="32">
        <f t="shared" si="34"/>
        <v>0</v>
      </c>
      <c r="K331" s="2314"/>
      <c r="L331" s="31">
        <f t="shared" si="35"/>
        <v>0</v>
      </c>
      <c r="M331" s="2314"/>
      <c r="N331" s="31" t="str">
        <f>Liste!L331</f>
        <v>Stk</v>
      </c>
      <c r="O331" s="31"/>
      <c r="P331" s="31"/>
      <c r="Q331" s="31">
        <f>Liste!P331</f>
        <v>0</v>
      </c>
      <c r="R331" s="31">
        <f>Liste!N331</f>
        <v>0</v>
      </c>
      <c r="S331" s="7">
        <v>0</v>
      </c>
      <c r="T331" s="7">
        <v>0</v>
      </c>
      <c r="U331" s="7">
        <v>0</v>
      </c>
      <c r="V331" s="7"/>
      <c r="W331" s="60"/>
      <c r="X331" s="60"/>
      <c r="Y331" s="60"/>
      <c r="Z331" s="7"/>
      <c r="AA331" s="7"/>
      <c r="AB331" s="60"/>
      <c r="AC331" s="60"/>
      <c r="AD331" s="60"/>
      <c r="AE331" s="7"/>
      <c r="AF331" s="7"/>
      <c r="AG331" s="7"/>
      <c r="AH331" s="7"/>
      <c r="AI331" s="7"/>
      <c r="AJ331" s="7">
        <f>Liste!X331</f>
        <v>0</v>
      </c>
      <c r="AK331" s="7">
        <f>Liste!Y331</f>
        <v>1</v>
      </c>
      <c r="AL331" s="7"/>
      <c r="AM331" s="7"/>
      <c r="AN331" s="7"/>
      <c r="AO331" s="1113">
        <f>Liste!D331</f>
        <v>0</v>
      </c>
      <c r="AP331" s="1113">
        <f>Liste!F331</f>
        <v>2500</v>
      </c>
      <c r="AQ331" s="1113">
        <f>Liste!E331</f>
        <v>189.9</v>
      </c>
      <c r="AR331" s="1113">
        <f>Liste!G331</f>
        <v>2</v>
      </c>
      <c r="AS331" s="1112">
        <f>Liste!V331</f>
        <v>1</v>
      </c>
      <c r="AT331" s="1" t="str">
        <f>Liste!M331</f>
        <v>V2A blank</v>
      </c>
      <c r="AZ331" s="5" t="s">
        <v>29993</v>
      </c>
      <c r="BA331" s="4" t="s">
        <v>101</v>
      </c>
      <c r="BB331" s="4">
        <v>833</v>
      </c>
      <c r="BD331" s="35"/>
      <c r="BE331" s="35"/>
      <c r="BF331" s="2118" t="str">
        <f>Liste!R331</f>
        <v>0701481</v>
      </c>
      <c r="BG331" s="2137">
        <f>IF(AS331&gt;0,Liste!S331,0)</f>
        <v>0</v>
      </c>
      <c r="BH331" s="2118" t="str">
        <f>Liste!T331</f>
        <v>m²</v>
      </c>
    </row>
    <row r="332" spans="1:60" ht="24.95" customHeight="1" x14ac:dyDescent="0.25">
      <c r="A332" s="29"/>
      <c r="B332" s="46" t="str">
        <f>IF(Liste!O332&gt;0,Liste!O332,Liste!B332)</f>
        <v>Führungsschiene 2750mm GCC W25 vertikal verzinkt</v>
      </c>
      <c r="C332" s="2314"/>
      <c r="D332" s="30" t="str">
        <f>Liste!C332</f>
        <v>0308120</v>
      </c>
      <c r="E332" s="2314"/>
      <c r="F332" s="32">
        <f t="shared" si="32"/>
        <v>0</v>
      </c>
      <c r="G332" s="2314"/>
      <c r="H332" s="32">
        <f t="shared" si="33"/>
        <v>0</v>
      </c>
      <c r="I332" s="2314"/>
      <c r="J332" s="32">
        <f t="shared" si="34"/>
        <v>0</v>
      </c>
      <c r="K332" s="2314"/>
      <c r="L332" s="31">
        <f t="shared" si="35"/>
        <v>0</v>
      </c>
      <c r="M332" s="2314"/>
      <c r="N332" s="31" t="str">
        <f>Liste!L332</f>
        <v>Stk</v>
      </c>
      <c r="O332" s="31"/>
      <c r="P332" s="31"/>
      <c r="Q332" s="31">
        <f>Liste!P332</f>
        <v>0</v>
      </c>
      <c r="R332" s="31">
        <f>Liste!N332</f>
        <v>0</v>
      </c>
      <c r="S332" s="7">
        <v>0</v>
      </c>
      <c r="T332" s="7">
        <v>0</v>
      </c>
      <c r="U332" s="7">
        <v>0</v>
      </c>
      <c r="V332" s="7"/>
      <c r="W332" s="60"/>
      <c r="X332" s="60"/>
      <c r="Y332" s="60"/>
      <c r="Z332" s="7"/>
      <c r="AA332" s="7"/>
      <c r="AB332" s="60"/>
      <c r="AC332" s="60"/>
      <c r="AD332" s="60"/>
      <c r="AE332" s="7"/>
      <c r="AF332" s="7"/>
      <c r="AG332" s="7"/>
      <c r="AH332" s="7"/>
      <c r="AI332" s="7"/>
      <c r="AJ332" s="7">
        <f>Liste!X332</f>
        <v>0</v>
      </c>
      <c r="AK332" s="7">
        <f>Liste!Y332</f>
        <v>0</v>
      </c>
      <c r="AL332" s="7"/>
      <c r="AM332" s="7"/>
      <c r="AN332" s="7"/>
      <c r="AO332" s="1113">
        <f>Liste!D332</f>
        <v>0</v>
      </c>
      <c r="AP332" s="1113">
        <f>Liste!F332</f>
        <v>2750</v>
      </c>
      <c r="AQ332" s="1113">
        <f>Liste!E332</f>
        <v>190.96</v>
      </c>
      <c r="AR332" s="1113">
        <f>Liste!G332</f>
        <v>2</v>
      </c>
      <c r="AS332" s="1112">
        <f>Liste!V332</f>
        <v>1</v>
      </c>
      <c r="AT332" s="1" t="str">
        <f>Liste!M332</f>
        <v>Stahlblech verz.</v>
      </c>
      <c r="AZ332" s="5" t="s">
        <v>29994</v>
      </c>
      <c r="BA332" s="4" t="s">
        <v>101</v>
      </c>
      <c r="BB332" s="4">
        <v>834</v>
      </c>
      <c r="BD332" s="35"/>
      <c r="BE332" s="35"/>
      <c r="BF332" s="2118" t="str">
        <f>Liste!R332</f>
        <v>0308120</v>
      </c>
      <c r="BG332" s="2137">
        <f>IF(AS332&gt;0,Liste!S332,0)</f>
        <v>0</v>
      </c>
      <c r="BH332" s="2118" t="str">
        <f>Liste!T332</f>
        <v>Stk</v>
      </c>
    </row>
    <row r="333" spans="1:60" ht="24.95" customHeight="1" x14ac:dyDescent="0.25">
      <c r="A333" s="29"/>
      <c r="B333" s="46" t="str">
        <f>IF(Liste!O333&gt;0,Liste!O333,Liste!B333)</f>
        <v>Führungsschiene 2750mm GCC W25 vertikal V2A</v>
      </c>
      <c r="C333" s="2314"/>
      <c r="D333" s="30" t="str">
        <f>Liste!C333</f>
        <v>0338120</v>
      </c>
      <c r="E333" s="2314"/>
      <c r="F333" s="32">
        <f t="shared" si="32"/>
        <v>0</v>
      </c>
      <c r="G333" s="2314"/>
      <c r="H333" s="32">
        <f t="shared" si="33"/>
        <v>0</v>
      </c>
      <c r="I333" s="2314"/>
      <c r="J333" s="32">
        <f t="shared" si="34"/>
        <v>0</v>
      </c>
      <c r="K333" s="2314"/>
      <c r="L333" s="31">
        <f t="shared" si="35"/>
        <v>0</v>
      </c>
      <c r="M333" s="2314"/>
      <c r="N333" s="31" t="str">
        <f>Liste!L333</f>
        <v>Stk</v>
      </c>
      <c r="O333" s="31"/>
      <c r="P333" s="31"/>
      <c r="Q333" s="31">
        <f>Liste!P333</f>
        <v>0</v>
      </c>
      <c r="R333" s="31">
        <f>Liste!N333</f>
        <v>0</v>
      </c>
      <c r="S333" s="7">
        <v>0</v>
      </c>
      <c r="T333" s="7">
        <v>0</v>
      </c>
      <c r="U333" s="7">
        <v>0</v>
      </c>
      <c r="V333" s="7"/>
      <c r="W333" s="60"/>
      <c r="X333" s="60"/>
      <c r="Y333" s="60"/>
      <c r="Z333" s="7"/>
      <c r="AA333" s="7"/>
      <c r="AB333" s="60"/>
      <c r="AC333" s="60"/>
      <c r="AD333" s="60"/>
      <c r="AE333" s="7"/>
      <c r="AF333" s="7"/>
      <c r="AG333" s="7"/>
      <c r="AH333" s="7"/>
      <c r="AI333" s="7"/>
      <c r="AJ333" s="7">
        <f>Liste!X333</f>
        <v>0</v>
      </c>
      <c r="AK333" s="7">
        <f>Liste!Y333</f>
        <v>1</v>
      </c>
      <c r="AL333" s="7"/>
      <c r="AM333" s="7"/>
      <c r="AN333" s="7"/>
      <c r="AO333" s="1113">
        <f>Liste!D333</f>
        <v>0</v>
      </c>
      <c r="AP333" s="1113">
        <f>Liste!F333</f>
        <v>2750</v>
      </c>
      <c r="AQ333" s="1113">
        <f>Liste!E333</f>
        <v>189.9</v>
      </c>
      <c r="AR333" s="1113">
        <f>Liste!G333</f>
        <v>2</v>
      </c>
      <c r="AS333" s="1112">
        <f>Liste!V333</f>
        <v>1</v>
      </c>
      <c r="AT333" s="1" t="str">
        <f>Liste!M333</f>
        <v>V2A blank</v>
      </c>
      <c r="AZ333" s="5" t="s">
        <v>29995</v>
      </c>
      <c r="BA333" s="4" t="s">
        <v>101</v>
      </c>
      <c r="BB333" s="4">
        <v>835</v>
      </c>
      <c r="BD333" s="35"/>
      <c r="BE333" s="35"/>
      <c r="BF333" s="2118" t="str">
        <f>Liste!R333</f>
        <v>0701481</v>
      </c>
      <c r="BG333" s="2137">
        <f>IF(AS333&gt;0,Liste!S333,0)</f>
        <v>0</v>
      </c>
      <c r="BH333" s="2118" t="str">
        <f>Liste!T333</f>
        <v>m²</v>
      </c>
    </row>
    <row r="334" spans="1:60" ht="24.95" customHeight="1" x14ac:dyDescent="0.25">
      <c r="A334" s="29"/>
      <c r="B334" s="46" t="str">
        <f>IF(Liste!O334&gt;0,Liste!O334,Liste!B334)</f>
        <v>Führungsschiene 3000mm GCC W25 vertikal verzinkt</v>
      </c>
      <c r="C334" s="2314"/>
      <c r="D334" s="30" t="str">
        <f>Liste!C334</f>
        <v>0308121</v>
      </c>
      <c r="E334" s="2314"/>
      <c r="F334" s="32">
        <f t="shared" si="32"/>
        <v>0</v>
      </c>
      <c r="G334" s="2314"/>
      <c r="H334" s="32">
        <f t="shared" si="33"/>
        <v>0</v>
      </c>
      <c r="I334" s="2314"/>
      <c r="J334" s="32">
        <f t="shared" si="34"/>
        <v>0</v>
      </c>
      <c r="K334" s="2314"/>
      <c r="L334" s="31">
        <f t="shared" si="35"/>
        <v>0</v>
      </c>
      <c r="M334" s="2314"/>
      <c r="N334" s="31" t="str">
        <f>Liste!L334</f>
        <v>Stk</v>
      </c>
      <c r="O334" s="31"/>
      <c r="P334" s="31"/>
      <c r="Q334" s="31">
        <f>Liste!P334</f>
        <v>0</v>
      </c>
      <c r="R334" s="31">
        <f>Liste!N334</f>
        <v>0</v>
      </c>
      <c r="S334" s="7">
        <v>0</v>
      </c>
      <c r="T334" s="7">
        <v>0</v>
      </c>
      <c r="U334" s="7">
        <v>0</v>
      </c>
      <c r="V334" s="7"/>
      <c r="W334" s="60"/>
      <c r="X334" s="60"/>
      <c r="Y334" s="60"/>
      <c r="Z334" s="7"/>
      <c r="AA334" s="7"/>
      <c r="AB334" s="60"/>
      <c r="AC334" s="60"/>
      <c r="AD334" s="60"/>
      <c r="AE334" s="7"/>
      <c r="AF334" s="7"/>
      <c r="AG334" s="7"/>
      <c r="AH334" s="7"/>
      <c r="AI334" s="7"/>
      <c r="AJ334" s="7">
        <f>Liste!X334</f>
        <v>0</v>
      </c>
      <c r="AK334" s="7">
        <f>Liste!Y334</f>
        <v>0</v>
      </c>
      <c r="AL334" s="7"/>
      <c r="AM334" s="7"/>
      <c r="AN334" s="7"/>
      <c r="AO334" s="1113">
        <f>Liste!D334</f>
        <v>0</v>
      </c>
      <c r="AP334" s="1113">
        <f>Liste!F334</f>
        <v>3000</v>
      </c>
      <c r="AQ334" s="1113">
        <f>Liste!E334</f>
        <v>190.96</v>
      </c>
      <c r="AR334" s="1113">
        <f>Liste!G334</f>
        <v>2</v>
      </c>
      <c r="AS334" s="1112">
        <f>Liste!V334</f>
        <v>1</v>
      </c>
      <c r="AT334" s="1" t="str">
        <f>Liste!M334</f>
        <v>Stahlblech verz.</v>
      </c>
      <c r="AZ334" s="5" t="s">
        <v>29996</v>
      </c>
      <c r="BA334" s="4" t="s">
        <v>101</v>
      </c>
      <c r="BB334" s="4">
        <v>836</v>
      </c>
      <c r="BD334" s="35"/>
      <c r="BE334" s="35"/>
      <c r="BF334" s="2118" t="str">
        <f>Liste!R334</f>
        <v>0308121</v>
      </c>
      <c r="BG334" s="2137">
        <f>IF(AS334&gt;0,Liste!S334,0)</f>
        <v>0</v>
      </c>
      <c r="BH334" s="2118" t="str">
        <f>Liste!T334</f>
        <v>Stk</v>
      </c>
    </row>
    <row r="335" spans="1:60" ht="24.95" customHeight="1" x14ac:dyDescent="0.25">
      <c r="A335" s="29"/>
      <c r="B335" s="46" t="str">
        <f>IF(Liste!O335&gt;0,Liste!O335,Liste!B335)</f>
        <v>Führungsschiene 3000mm GCC W25 vertikal V2A</v>
      </c>
      <c r="C335" s="2314"/>
      <c r="D335" s="30" t="str">
        <f>Liste!C335</f>
        <v>0338121</v>
      </c>
      <c r="E335" s="2314"/>
      <c r="F335" s="32">
        <f t="shared" si="32"/>
        <v>0</v>
      </c>
      <c r="G335" s="2314"/>
      <c r="H335" s="32">
        <f t="shared" si="33"/>
        <v>0</v>
      </c>
      <c r="I335" s="2314"/>
      <c r="J335" s="32">
        <f t="shared" si="34"/>
        <v>0</v>
      </c>
      <c r="K335" s="2314"/>
      <c r="L335" s="31">
        <f t="shared" si="35"/>
        <v>0</v>
      </c>
      <c r="M335" s="2314"/>
      <c r="N335" s="31" t="str">
        <f>Liste!L335</f>
        <v>Stk</v>
      </c>
      <c r="O335" s="31"/>
      <c r="P335" s="31"/>
      <c r="Q335" s="31">
        <f>Liste!P335</f>
        <v>0</v>
      </c>
      <c r="R335" s="31">
        <f>Liste!N335</f>
        <v>0</v>
      </c>
      <c r="S335" s="7">
        <v>0</v>
      </c>
      <c r="T335" s="7">
        <v>0</v>
      </c>
      <c r="U335" s="7">
        <v>0</v>
      </c>
      <c r="V335" s="7"/>
      <c r="W335" s="60"/>
      <c r="X335" s="60"/>
      <c r="Y335" s="60"/>
      <c r="Z335" s="7"/>
      <c r="AA335" s="7"/>
      <c r="AB335" s="60"/>
      <c r="AC335" s="60"/>
      <c r="AD335" s="60"/>
      <c r="AE335" s="7"/>
      <c r="AF335" s="7"/>
      <c r="AG335" s="7"/>
      <c r="AH335" s="7"/>
      <c r="AI335" s="7"/>
      <c r="AJ335" s="7">
        <f>Liste!X335</f>
        <v>0</v>
      </c>
      <c r="AK335" s="7">
        <f>Liste!Y335</f>
        <v>1</v>
      </c>
      <c r="AL335" s="7"/>
      <c r="AM335" s="7"/>
      <c r="AN335" s="7"/>
      <c r="AO335" s="1113">
        <f>Liste!D335</f>
        <v>0</v>
      </c>
      <c r="AP335" s="1113">
        <f>Liste!F335</f>
        <v>3000</v>
      </c>
      <c r="AQ335" s="1113">
        <f>Liste!E335</f>
        <v>189.9</v>
      </c>
      <c r="AR335" s="1113">
        <f>Liste!G335</f>
        <v>2</v>
      </c>
      <c r="AS335" s="1112">
        <f>Liste!V335</f>
        <v>1</v>
      </c>
      <c r="AT335" s="1" t="str">
        <f>Liste!M335</f>
        <v>V2A blank</v>
      </c>
      <c r="AZ335" s="5" t="s">
        <v>29997</v>
      </c>
      <c r="BA335" s="4" t="s">
        <v>101</v>
      </c>
      <c r="BB335" s="4">
        <v>837</v>
      </c>
      <c r="BD335" s="35"/>
      <c r="BE335" s="35"/>
      <c r="BF335" s="2118" t="str">
        <f>Liste!R335</f>
        <v>0701481</v>
      </c>
      <c r="BG335" s="2137">
        <f>IF(AS335&gt;0,Liste!S335,0)</f>
        <v>0</v>
      </c>
      <c r="BH335" s="2118" t="str">
        <f>Liste!T335</f>
        <v>m²</v>
      </c>
    </row>
    <row r="336" spans="1:60" ht="24.95" customHeight="1" x14ac:dyDescent="0.25">
      <c r="A336" s="29"/>
      <c r="B336" s="46" t="str">
        <f>IF(Liste!O336&gt;0,Liste!O336,Liste!B336)</f>
        <v>Führungsschiene U-Form 750mm GCC W25 vertikal verzinkt</v>
      </c>
      <c r="C336" s="2314"/>
      <c r="D336" s="30" t="str">
        <f>Liste!C336</f>
        <v>0308122</v>
      </c>
      <c r="E336" s="2314"/>
      <c r="F336" s="32">
        <f t="shared" si="32"/>
        <v>0</v>
      </c>
      <c r="G336" s="2314"/>
      <c r="H336" s="32">
        <f t="shared" si="33"/>
        <v>0</v>
      </c>
      <c r="I336" s="2314"/>
      <c r="J336" s="32">
        <f t="shared" si="34"/>
        <v>0</v>
      </c>
      <c r="K336" s="2314"/>
      <c r="L336" s="31">
        <f t="shared" si="35"/>
        <v>0</v>
      </c>
      <c r="M336" s="2314"/>
      <c r="N336" s="31" t="str">
        <f>Liste!L336</f>
        <v>Stk</v>
      </c>
      <c r="O336" s="31"/>
      <c r="P336" s="31"/>
      <c r="Q336" s="31">
        <f>Liste!P336</f>
        <v>0</v>
      </c>
      <c r="R336" s="31">
        <f>Liste!N336</f>
        <v>0</v>
      </c>
      <c r="S336" s="7">
        <v>0</v>
      </c>
      <c r="T336" s="7">
        <v>0</v>
      </c>
      <c r="U336" s="7">
        <v>0</v>
      </c>
      <c r="V336" s="7"/>
      <c r="W336" s="60"/>
      <c r="X336" s="60"/>
      <c r="Y336" s="60"/>
      <c r="Z336" s="7"/>
      <c r="AA336" s="7"/>
      <c r="AB336" s="60"/>
      <c r="AC336" s="60"/>
      <c r="AD336" s="60"/>
      <c r="AE336" s="7"/>
      <c r="AF336" s="7"/>
      <c r="AG336" s="7"/>
      <c r="AH336" s="7"/>
      <c r="AI336" s="7"/>
      <c r="AJ336" s="7">
        <f>Liste!X336</f>
        <v>0</v>
      </c>
      <c r="AK336" s="7">
        <f>Liste!Y336</f>
        <v>1</v>
      </c>
      <c r="AL336" s="7"/>
      <c r="AM336" s="7"/>
      <c r="AN336" s="7"/>
      <c r="AO336" s="1113">
        <f>Liste!D336</f>
        <v>0</v>
      </c>
      <c r="AP336" s="1113">
        <f>Liste!F336</f>
        <v>750</v>
      </c>
      <c r="AQ336" s="1113">
        <f>Liste!E336</f>
        <v>207.96</v>
      </c>
      <c r="AR336" s="1113">
        <f>Liste!G336</f>
        <v>2</v>
      </c>
      <c r="AS336" s="1112">
        <f>Liste!V336</f>
        <v>1</v>
      </c>
      <c r="AT336" s="1" t="str">
        <f>Liste!M336</f>
        <v>Stahlblech verz.</v>
      </c>
      <c r="AZ336" s="5" t="s">
        <v>29998</v>
      </c>
      <c r="BA336" s="4" t="s">
        <v>101</v>
      </c>
      <c r="BB336" s="4">
        <v>838</v>
      </c>
      <c r="BD336" s="35"/>
      <c r="BE336" s="35"/>
      <c r="BF336" s="2118" t="str">
        <f>Liste!R336</f>
        <v>0701449</v>
      </c>
      <c r="BG336" s="2137">
        <f>IF(AS336&gt;0,Liste!S336,0)</f>
        <v>0</v>
      </c>
      <c r="BH336" s="2118" t="str">
        <f>Liste!T336</f>
        <v>m²</v>
      </c>
    </row>
    <row r="337" spans="1:60" ht="24.95" customHeight="1" x14ac:dyDescent="0.25">
      <c r="A337" s="29"/>
      <c r="B337" s="46" t="str">
        <f>IF(Liste!O337&gt;0,Liste!O337,Liste!B337)</f>
        <v>Führungsschiene U-Form 750mm GCC W25 vertikal V2A</v>
      </c>
      <c r="C337" s="2314"/>
      <c r="D337" s="30" t="str">
        <f>Liste!C337</f>
        <v>0338122</v>
      </c>
      <c r="E337" s="2314"/>
      <c r="F337" s="32">
        <f t="shared" si="32"/>
        <v>0</v>
      </c>
      <c r="G337" s="2314"/>
      <c r="H337" s="32">
        <f t="shared" si="33"/>
        <v>0</v>
      </c>
      <c r="I337" s="2314"/>
      <c r="J337" s="32">
        <f t="shared" si="34"/>
        <v>0</v>
      </c>
      <c r="K337" s="2314"/>
      <c r="L337" s="31">
        <f t="shared" si="35"/>
        <v>0</v>
      </c>
      <c r="M337" s="2314"/>
      <c r="N337" s="31" t="str">
        <f>Liste!L337</f>
        <v>Stk</v>
      </c>
      <c r="O337" s="31"/>
      <c r="P337" s="31"/>
      <c r="Q337" s="31">
        <f>Liste!P337</f>
        <v>0</v>
      </c>
      <c r="R337" s="31">
        <f>Liste!N337</f>
        <v>0</v>
      </c>
      <c r="S337" s="7">
        <v>0</v>
      </c>
      <c r="T337" s="7">
        <v>0</v>
      </c>
      <c r="U337" s="7">
        <v>0</v>
      </c>
      <c r="V337" s="7"/>
      <c r="W337" s="60"/>
      <c r="X337" s="60"/>
      <c r="Y337" s="60"/>
      <c r="Z337" s="7"/>
      <c r="AA337" s="7"/>
      <c r="AB337" s="60"/>
      <c r="AC337" s="60"/>
      <c r="AD337" s="60"/>
      <c r="AE337" s="7"/>
      <c r="AF337" s="7"/>
      <c r="AG337" s="7"/>
      <c r="AH337" s="7"/>
      <c r="AI337" s="7"/>
      <c r="AJ337" s="7">
        <f>Liste!X337</f>
        <v>0</v>
      </c>
      <c r="AK337" s="7">
        <f>Liste!Y337</f>
        <v>1</v>
      </c>
      <c r="AL337" s="7"/>
      <c r="AM337" s="7"/>
      <c r="AN337" s="7"/>
      <c r="AO337" s="1113">
        <f>Liste!D337</f>
        <v>0</v>
      </c>
      <c r="AP337" s="1113">
        <f>Liste!F337</f>
        <v>750</v>
      </c>
      <c r="AQ337" s="1113">
        <f>Liste!E337</f>
        <v>206.9</v>
      </c>
      <c r="AR337" s="1113">
        <f>Liste!G337</f>
        <v>2</v>
      </c>
      <c r="AS337" s="1112">
        <f>Liste!V337</f>
        <v>1</v>
      </c>
      <c r="AT337" s="1" t="str">
        <f>Liste!M337</f>
        <v>V2A blank</v>
      </c>
      <c r="AZ337" s="5" t="s">
        <v>29999</v>
      </c>
      <c r="BA337" s="4" t="s">
        <v>101</v>
      </c>
      <c r="BB337" s="4">
        <v>839</v>
      </c>
      <c r="BD337" s="35"/>
      <c r="BE337" s="35"/>
      <c r="BF337" s="2118" t="str">
        <f>Liste!R337</f>
        <v>0701481</v>
      </c>
      <c r="BG337" s="2137">
        <f>IF(AS337&gt;0,Liste!S337,0)</f>
        <v>0</v>
      </c>
      <c r="BH337" s="2118" t="str">
        <f>Liste!T337</f>
        <v>m²</v>
      </c>
    </row>
    <row r="338" spans="1:60" ht="24.95" customHeight="1" x14ac:dyDescent="0.25">
      <c r="A338" s="29"/>
      <c r="B338" s="46" t="str">
        <f>IF(Liste!O338&gt;0,Liste!O338,Liste!B338)</f>
        <v>Führungsschiene U-Form 1000mm GCC W25 vertikal verzinkt</v>
      </c>
      <c r="C338" s="2314"/>
      <c r="D338" s="30" t="str">
        <f>Liste!C338</f>
        <v>0308123</v>
      </c>
      <c r="E338" s="2314"/>
      <c r="F338" s="32">
        <f t="shared" si="32"/>
        <v>0</v>
      </c>
      <c r="G338" s="2314"/>
      <c r="H338" s="32">
        <f t="shared" si="33"/>
        <v>0</v>
      </c>
      <c r="I338" s="2314"/>
      <c r="J338" s="32">
        <f t="shared" si="34"/>
        <v>0</v>
      </c>
      <c r="K338" s="2314"/>
      <c r="L338" s="31">
        <f t="shared" si="35"/>
        <v>0</v>
      </c>
      <c r="M338" s="2314"/>
      <c r="N338" s="31" t="str">
        <f>Liste!L338</f>
        <v>Stk</v>
      </c>
      <c r="O338" s="31"/>
      <c r="P338" s="31"/>
      <c r="Q338" s="31">
        <f>Liste!P338</f>
        <v>0</v>
      </c>
      <c r="R338" s="31">
        <f>Liste!N338</f>
        <v>0</v>
      </c>
      <c r="S338" s="7">
        <v>0</v>
      </c>
      <c r="T338" s="7">
        <v>0</v>
      </c>
      <c r="U338" s="7">
        <v>0</v>
      </c>
      <c r="V338" s="7"/>
      <c r="W338" s="60"/>
      <c r="X338" s="60"/>
      <c r="Y338" s="60"/>
      <c r="Z338" s="7"/>
      <c r="AA338" s="7"/>
      <c r="AB338" s="60"/>
      <c r="AC338" s="60"/>
      <c r="AD338" s="60"/>
      <c r="AE338" s="7"/>
      <c r="AF338" s="7"/>
      <c r="AG338" s="7"/>
      <c r="AH338" s="7"/>
      <c r="AI338" s="7"/>
      <c r="AJ338" s="7">
        <f>Liste!X338</f>
        <v>0</v>
      </c>
      <c r="AK338" s="7">
        <f>Liste!Y338</f>
        <v>1</v>
      </c>
      <c r="AL338" s="7"/>
      <c r="AM338" s="7"/>
      <c r="AN338" s="7"/>
      <c r="AO338" s="1113">
        <f>Liste!D338</f>
        <v>0</v>
      </c>
      <c r="AP338" s="1113">
        <f>Liste!F338</f>
        <v>1000</v>
      </c>
      <c r="AQ338" s="1113">
        <f>Liste!E338</f>
        <v>207.96</v>
      </c>
      <c r="AR338" s="1113">
        <f>Liste!G338</f>
        <v>2</v>
      </c>
      <c r="AS338" s="1112">
        <f>Liste!V338</f>
        <v>1</v>
      </c>
      <c r="AT338" s="1" t="str">
        <f>Liste!M338</f>
        <v>Stahlblech verz.</v>
      </c>
      <c r="AZ338" s="5" t="s">
        <v>30000</v>
      </c>
      <c r="BA338" s="4" t="s">
        <v>101</v>
      </c>
      <c r="BB338" s="4">
        <v>840</v>
      </c>
      <c r="BD338" s="35"/>
      <c r="BE338" s="35"/>
      <c r="BF338" s="2118" t="str">
        <f>Liste!R338</f>
        <v>0701449</v>
      </c>
      <c r="BG338" s="2137">
        <f>IF(AS338&gt;0,Liste!S338,0)</f>
        <v>0</v>
      </c>
      <c r="BH338" s="2118" t="str">
        <f>Liste!T338</f>
        <v>m²</v>
      </c>
    </row>
    <row r="339" spans="1:60" ht="24.95" customHeight="1" x14ac:dyDescent="0.25">
      <c r="A339" s="29"/>
      <c r="B339" s="46" t="str">
        <f>IF(Liste!O339&gt;0,Liste!O339,Liste!B339)</f>
        <v>Führungsschiene U-Form 1000mm GCC W25 vertikal V2A</v>
      </c>
      <c r="C339" s="2314"/>
      <c r="D339" s="30" t="str">
        <f>Liste!C339</f>
        <v>0338123</v>
      </c>
      <c r="E339" s="2314"/>
      <c r="F339" s="32">
        <f t="shared" si="32"/>
        <v>0</v>
      </c>
      <c r="G339" s="2314"/>
      <c r="H339" s="32">
        <f t="shared" si="33"/>
        <v>0</v>
      </c>
      <c r="I339" s="2314"/>
      <c r="J339" s="32">
        <f t="shared" si="34"/>
        <v>0</v>
      </c>
      <c r="K339" s="2314"/>
      <c r="L339" s="31">
        <f t="shared" si="35"/>
        <v>0</v>
      </c>
      <c r="M339" s="2314"/>
      <c r="N339" s="31" t="str">
        <f>Liste!L339</f>
        <v>Stk</v>
      </c>
      <c r="O339" s="31"/>
      <c r="P339" s="31"/>
      <c r="Q339" s="31">
        <f>Liste!P339</f>
        <v>0</v>
      </c>
      <c r="R339" s="31">
        <f>Liste!N339</f>
        <v>0</v>
      </c>
      <c r="S339" s="7">
        <v>0</v>
      </c>
      <c r="T339" s="7">
        <v>0</v>
      </c>
      <c r="U339" s="7">
        <v>0</v>
      </c>
      <c r="V339" s="7"/>
      <c r="W339" s="60"/>
      <c r="X339" s="60"/>
      <c r="Y339" s="60"/>
      <c r="Z339" s="7"/>
      <c r="AA339" s="7"/>
      <c r="AB339" s="60"/>
      <c r="AC339" s="60"/>
      <c r="AD339" s="60"/>
      <c r="AE339" s="7"/>
      <c r="AF339" s="7"/>
      <c r="AG339" s="7"/>
      <c r="AH339" s="7"/>
      <c r="AI339" s="7"/>
      <c r="AJ339" s="7">
        <f>Liste!X339</f>
        <v>0</v>
      </c>
      <c r="AK339" s="7">
        <f>Liste!Y339</f>
        <v>1</v>
      </c>
      <c r="AL339" s="7"/>
      <c r="AM339" s="7"/>
      <c r="AN339" s="7"/>
      <c r="AO339" s="1113">
        <f>Liste!D339</f>
        <v>0</v>
      </c>
      <c r="AP339" s="1113">
        <f>Liste!F339</f>
        <v>1000</v>
      </c>
      <c r="AQ339" s="1113">
        <f>Liste!E339</f>
        <v>206.9</v>
      </c>
      <c r="AR339" s="1113">
        <f>Liste!G339</f>
        <v>2</v>
      </c>
      <c r="AS339" s="1112">
        <f>Liste!V339</f>
        <v>1</v>
      </c>
      <c r="AT339" s="1" t="str">
        <f>Liste!M339</f>
        <v>V2A blank</v>
      </c>
      <c r="AZ339" s="5" t="s">
        <v>30001</v>
      </c>
      <c r="BA339" s="4" t="s">
        <v>101</v>
      </c>
      <c r="BB339" s="4">
        <v>841</v>
      </c>
      <c r="BD339" s="35"/>
      <c r="BE339" s="35"/>
      <c r="BF339" s="2118" t="str">
        <f>Liste!R339</f>
        <v>0701481</v>
      </c>
      <c r="BG339" s="2137">
        <f>IF(AS339&gt;0,Liste!S339,0)</f>
        <v>0</v>
      </c>
      <c r="BH339" s="2118" t="str">
        <f>Liste!T339</f>
        <v>m²</v>
      </c>
    </row>
    <row r="340" spans="1:60" ht="24.95" customHeight="1" x14ac:dyDescent="0.25">
      <c r="A340" s="29"/>
      <c r="B340" s="46" t="str">
        <f>IF(Liste!O340&gt;0,Liste!O340,Liste!B340)</f>
        <v>Führungsschiene U-Form 1250mm GCC W25 vertikal verzinkt</v>
      </c>
      <c r="C340" s="2314"/>
      <c r="D340" s="30" t="str">
        <f>Liste!C340</f>
        <v>0308124</v>
      </c>
      <c r="E340" s="2314"/>
      <c r="F340" s="32">
        <f t="shared" si="32"/>
        <v>0</v>
      </c>
      <c r="G340" s="2314"/>
      <c r="H340" s="32">
        <f t="shared" si="33"/>
        <v>0</v>
      </c>
      <c r="I340" s="2314"/>
      <c r="J340" s="32">
        <f t="shared" si="34"/>
        <v>0</v>
      </c>
      <c r="K340" s="2314"/>
      <c r="L340" s="31">
        <f t="shared" si="35"/>
        <v>0</v>
      </c>
      <c r="M340" s="2314"/>
      <c r="N340" s="31" t="str">
        <f>Liste!L340</f>
        <v>Stk</v>
      </c>
      <c r="O340" s="31"/>
      <c r="P340" s="31"/>
      <c r="Q340" s="31">
        <f>Liste!P340</f>
        <v>0</v>
      </c>
      <c r="R340" s="31">
        <f>Liste!N340</f>
        <v>0</v>
      </c>
      <c r="S340" s="7">
        <v>0</v>
      </c>
      <c r="T340" s="7">
        <v>0</v>
      </c>
      <c r="U340" s="7">
        <v>0</v>
      </c>
      <c r="V340" s="7"/>
      <c r="W340" s="60"/>
      <c r="X340" s="60"/>
      <c r="Y340" s="60"/>
      <c r="Z340" s="7"/>
      <c r="AA340" s="7"/>
      <c r="AB340" s="60"/>
      <c r="AC340" s="60"/>
      <c r="AD340" s="60"/>
      <c r="AE340" s="7"/>
      <c r="AF340" s="7"/>
      <c r="AG340" s="7"/>
      <c r="AH340" s="7"/>
      <c r="AI340" s="7"/>
      <c r="AJ340" s="7">
        <f>Liste!X340</f>
        <v>0</v>
      </c>
      <c r="AK340" s="7">
        <f>Liste!Y340</f>
        <v>1</v>
      </c>
      <c r="AL340" s="7"/>
      <c r="AM340" s="7"/>
      <c r="AN340" s="7"/>
      <c r="AO340" s="1113">
        <f>Liste!D340</f>
        <v>0</v>
      </c>
      <c r="AP340" s="1113">
        <f>Liste!F340</f>
        <v>1250</v>
      </c>
      <c r="AQ340" s="1113">
        <f>Liste!E340</f>
        <v>207.96</v>
      </c>
      <c r="AR340" s="1113">
        <f>Liste!G340</f>
        <v>2</v>
      </c>
      <c r="AS340" s="1112">
        <f>Liste!V340</f>
        <v>1</v>
      </c>
      <c r="AT340" s="1" t="str">
        <f>Liste!M340</f>
        <v>Stahlblech verz.</v>
      </c>
      <c r="AZ340" s="5" t="s">
        <v>30002</v>
      </c>
      <c r="BA340" s="4" t="s">
        <v>101</v>
      </c>
      <c r="BB340" s="4">
        <v>842</v>
      </c>
      <c r="BD340" s="35"/>
      <c r="BE340" s="35"/>
      <c r="BF340" s="2118" t="str">
        <f>Liste!R340</f>
        <v>0701449</v>
      </c>
      <c r="BG340" s="2137">
        <f>IF(AS340&gt;0,Liste!S340,0)</f>
        <v>0</v>
      </c>
      <c r="BH340" s="2118" t="str">
        <f>Liste!T340</f>
        <v>m²</v>
      </c>
    </row>
    <row r="341" spans="1:60" ht="24.95" customHeight="1" x14ac:dyDescent="0.25">
      <c r="A341" s="29"/>
      <c r="B341" s="46" t="str">
        <f>IF(Liste!O341&gt;0,Liste!O341,Liste!B341)</f>
        <v>Führungsschiene U-Form 1250mm GCC W25 vertikal V2A</v>
      </c>
      <c r="C341" s="2314"/>
      <c r="D341" s="30" t="str">
        <f>Liste!C341</f>
        <v>0338124</v>
      </c>
      <c r="E341" s="2314"/>
      <c r="F341" s="32">
        <f t="shared" si="32"/>
        <v>0</v>
      </c>
      <c r="G341" s="2314"/>
      <c r="H341" s="32">
        <f t="shared" si="33"/>
        <v>0</v>
      </c>
      <c r="I341" s="2314"/>
      <c r="J341" s="32">
        <f t="shared" si="34"/>
        <v>0</v>
      </c>
      <c r="K341" s="2314"/>
      <c r="L341" s="31">
        <f t="shared" si="35"/>
        <v>0</v>
      </c>
      <c r="M341" s="2314"/>
      <c r="N341" s="31" t="str">
        <f>Liste!L341</f>
        <v>Stk</v>
      </c>
      <c r="O341" s="31"/>
      <c r="P341" s="31"/>
      <c r="Q341" s="31">
        <f>Liste!P341</f>
        <v>0</v>
      </c>
      <c r="R341" s="31">
        <f>Liste!N341</f>
        <v>0</v>
      </c>
      <c r="S341" s="7">
        <v>0</v>
      </c>
      <c r="T341" s="7">
        <v>0</v>
      </c>
      <c r="U341" s="7">
        <v>0</v>
      </c>
      <c r="V341" s="7"/>
      <c r="W341" s="60"/>
      <c r="X341" s="60"/>
      <c r="Y341" s="60"/>
      <c r="Z341" s="7"/>
      <c r="AA341" s="7"/>
      <c r="AB341" s="60"/>
      <c r="AC341" s="60"/>
      <c r="AD341" s="60"/>
      <c r="AE341" s="7"/>
      <c r="AF341" s="7"/>
      <c r="AG341" s="7"/>
      <c r="AH341" s="7"/>
      <c r="AI341" s="7"/>
      <c r="AJ341" s="7">
        <f>Liste!X341</f>
        <v>0</v>
      </c>
      <c r="AK341" s="7">
        <f>Liste!Y341</f>
        <v>1</v>
      </c>
      <c r="AL341" s="7"/>
      <c r="AM341" s="7"/>
      <c r="AN341" s="7"/>
      <c r="AO341" s="1113">
        <f>Liste!D341</f>
        <v>0</v>
      </c>
      <c r="AP341" s="1113">
        <f>Liste!F341</f>
        <v>1250</v>
      </c>
      <c r="AQ341" s="1113">
        <f>Liste!E341</f>
        <v>206.9</v>
      </c>
      <c r="AR341" s="1113">
        <f>Liste!G341</f>
        <v>2</v>
      </c>
      <c r="AS341" s="1112">
        <f>Liste!V341</f>
        <v>1</v>
      </c>
      <c r="AT341" s="1" t="str">
        <f>Liste!M341</f>
        <v>V2A blank</v>
      </c>
      <c r="AZ341" s="5" t="s">
        <v>30003</v>
      </c>
      <c r="BA341" s="4" t="s">
        <v>101</v>
      </c>
      <c r="BB341" s="4">
        <v>843</v>
      </c>
      <c r="BD341" s="35"/>
      <c r="BE341" s="35"/>
      <c r="BF341" s="2118" t="str">
        <f>Liste!R341</f>
        <v>0701481</v>
      </c>
      <c r="BG341" s="2137">
        <f>IF(AS341&gt;0,Liste!S341,0)</f>
        <v>0</v>
      </c>
      <c r="BH341" s="2118" t="str">
        <f>Liste!T341</f>
        <v>m²</v>
      </c>
    </row>
    <row r="342" spans="1:60" ht="24.95" customHeight="1" x14ac:dyDescent="0.25">
      <c r="A342" s="29"/>
      <c r="B342" s="46" t="str">
        <f>IF(Liste!O342&gt;0,Liste!O342,Liste!B342)</f>
        <v>Führungsschiene U-Form 1500mm GCC W25 vertikal verzinkt</v>
      </c>
      <c r="C342" s="2314"/>
      <c r="D342" s="30" t="str">
        <f>Liste!C342</f>
        <v>0308125</v>
      </c>
      <c r="E342" s="2314"/>
      <c r="F342" s="32">
        <f t="shared" si="32"/>
        <v>0</v>
      </c>
      <c r="G342" s="2314"/>
      <c r="H342" s="32">
        <f t="shared" si="33"/>
        <v>0</v>
      </c>
      <c r="I342" s="2314"/>
      <c r="J342" s="32">
        <f t="shared" si="34"/>
        <v>0</v>
      </c>
      <c r="K342" s="2314"/>
      <c r="L342" s="31">
        <f t="shared" si="35"/>
        <v>0</v>
      </c>
      <c r="M342" s="2314"/>
      <c r="N342" s="31" t="str">
        <f>Liste!L342</f>
        <v>Stk</v>
      </c>
      <c r="O342" s="31"/>
      <c r="P342" s="31"/>
      <c r="Q342" s="31">
        <f>Liste!P342</f>
        <v>0</v>
      </c>
      <c r="R342" s="31">
        <f>Liste!N342</f>
        <v>0</v>
      </c>
      <c r="S342" s="7">
        <v>0</v>
      </c>
      <c r="T342" s="7">
        <v>0</v>
      </c>
      <c r="U342" s="7">
        <v>0</v>
      </c>
      <c r="V342" s="7"/>
      <c r="W342" s="60"/>
      <c r="X342" s="60"/>
      <c r="Y342" s="60"/>
      <c r="Z342" s="7"/>
      <c r="AA342" s="7"/>
      <c r="AB342" s="60"/>
      <c r="AC342" s="60"/>
      <c r="AD342" s="60"/>
      <c r="AE342" s="7"/>
      <c r="AF342" s="7"/>
      <c r="AG342" s="7"/>
      <c r="AH342" s="7"/>
      <c r="AI342" s="7"/>
      <c r="AJ342" s="7">
        <f>Liste!X342</f>
        <v>0</v>
      </c>
      <c r="AK342" s="7">
        <f>Liste!Y342</f>
        <v>1</v>
      </c>
      <c r="AL342" s="7"/>
      <c r="AM342" s="7"/>
      <c r="AN342" s="7"/>
      <c r="AO342" s="1113">
        <f>Liste!D342</f>
        <v>0</v>
      </c>
      <c r="AP342" s="1113">
        <f>Liste!F342</f>
        <v>1500</v>
      </c>
      <c r="AQ342" s="1113">
        <f>Liste!E342</f>
        <v>207.96</v>
      </c>
      <c r="AR342" s="1113">
        <f>Liste!G342</f>
        <v>2</v>
      </c>
      <c r="AS342" s="1112">
        <f>Liste!V342</f>
        <v>1</v>
      </c>
      <c r="AT342" s="1" t="str">
        <f>Liste!M342</f>
        <v>Stahlblech verz.</v>
      </c>
      <c r="AZ342" s="5" t="s">
        <v>30004</v>
      </c>
      <c r="BA342" s="4" t="s">
        <v>101</v>
      </c>
      <c r="BB342" s="4">
        <v>844</v>
      </c>
      <c r="BD342" s="35"/>
      <c r="BE342" s="35"/>
      <c r="BF342" s="2118" t="str">
        <f>Liste!R342</f>
        <v>0701449</v>
      </c>
      <c r="BG342" s="2137">
        <f>IF(AS342&gt;0,Liste!S342,0)</f>
        <v>0</v>
      </c>
      <c r="BH342" s="2118" t="str">
        <f>Liste!T342</f>
        <v>m²</v>
      </c>
    </row>
    <row r="343" spans="1:60" ht="24.95" customHeight="1" x14ac:dyDescent="0.25">
      <c r="A343" s="29"/>
      <c r="B343" s="46" t="str">
        <f>IF(Liste!O343&gt;0,Liste!O343,Liste!B343)</f>
        <v>Führungsschiene U-Form 1500mm GCC W25 vertikal V2A</v>
      </c>
      <c r="C343" s="2314"/>
      <c r="D343" s="30" t="str">
        <f>Liste!C343</f>
        <v>0338125</v>
      </c>
      <c r="E343" s="2314"/>
      <c r="F343" s="32">
        <f t="shared" si="32"/>
        <v>0</v>
      </c>
      <c r="G343" s="2314"/>
      <c r="H343" s="32">
        <f t="shared" si="33"/>
        <v>0</v>
      </c>
      <c r="I343" s="2314"/>
      <c r="J343" s="32">
        <f t="shared" si="34"/>
        <v>0</v>
      </c>
      <c r="K343" s="2314"/>
      <c r="L343" s="31">
        <f t="shared" si="35"/>
        <v>0</v>
      </c>
      <c r="M343" s="2314"/>
      <c r="N343" s="31" t="str">
        <f>Liste!L343</f>
        <v>Stk</v>
      </c>
      <c r="O343" s="31"/>
      <c r="P343" s="31"/>
      <c r="Q343" s="31">
        <f>Liste!P343</f>
        <v>0</v>
      </c>
      <c r="R343" s="31">
        <f>Liste!N343</f>
        <v>0</v>
      </c>
      <c r="S343" s="7">
        <v>0</v>
      </c>
      <c r="T343" s="7">
        <v>0</v>
      </c>
      <c r="U343" s="7">
        <v>0</v>
      </c>
      <c r="V343" s="7"/>
      <c r="W343" s="60"/>
      <c r="X343" s="60"/>
      <c r="Y343" s="60"/>
      <c r="Z343" s="7"/>
      <c r="AA343" s="7"/>
      <c r="AB343" s="60"/>
      <c r="AC343" s="60"/>
      <c r="AD343" s="60"/>
      <c r="AE343" s="7"/>
      <c r="AF343" s="7"/>
      <c r="AG343" s="7"/>
      <c r="AH343" s="7"/>
      <c r="AI343" s="7"/>
      <c r="AJ343" s="7">
        <f>Liste!X343</f>
        <v>0</v>
      </c>
      <c r="AK343" s="7">
        <f>Liste!Y343</f>
        <v>1</v>
      </c>
      <c r="AL343" s="7"/>
      <c r="AM343" s="7"/>
      <c r="AN343" s="7"/>
      <c r="AO343" s="1113">
        <f>Liste!D343</f>
        <v>0</v>
      </c>
      <c r="AP343" s="1113">
        <f>Liste!F343</f>
        <v>1500</v>
      </c>
      <c r="AQ343" s="1113">
        <f>Liste!E343</f>
        <v>206.9</v>
      </c>
      <c r="AR343" s="1113">
        <f>Liste!G343</f>
        <v>2</v>
      </c>
      <c r="AS343" s="1112">
        <f>Liste!V343</f>
        <v>1</v>
      </c>
      <c r="AT343" s="1" t="str">
        <f>Liste!M343</f>
        <v>V2A blank</v>
      </c>
      <c r="AZ343" s="5" t="s">
        <v>30005</v>
      </c>
      <c r="BA343" s="4" t="s">
        <v>101</v>
      </c>
      <c r="BB343" s="4">
        <v>845</v>
      </c>
      <c r="BD343" s="35"/>
      <c r="BE343" s="35"/>
      <c r="BF343" s="2118" t="str">
        <f>Liste!R343</f>
        <v>0701481</v>
      </c>
      <c r="BG343" s="2137">
        <f>IF(AS343&gt;0,Liste!S343,0)</f>
        <v>0</v>
      </c>
      <c r="BH343" s="2118" t="str">
        <f>Liste!T343</f>
        <v>m²</v>
      </c>
    </row>
    <row r="344" spans="1:60" ht="24.95" customHeight="1" x14ac:dyDescent="0.25">
      <c r="A344" s="29"/>
      <c r="B344" s="46" t="str">
        <f>IF(Liste!O344&gt;0,Liste!O344,Liste!B344)</f>
        <v>Führungsschiene U-Form 1750mm GCC W25 vertikal verzinkt</v>
      </c>
      <c r="C344" s="2314"/>
      <c r="D344" s="30" t="str">
        <f>Liste!C344</f>
        <v>0308126</v>
      </c>
      <c r="E344" s="2314"/>
      <c r="F344" s="32">
        <f t="shared" si="32"/>
        <v>0</v>
      </c>
      <c r="G344" s="2314"/>
      <c r="H344" s="32">
        <f t="shared" si="33"/>
        <v>0</v>
      </c>
      <c r="I344" s="2314"/>
      <c r="J344" s="32">
        <f t="shared" si="34"/>
        <v>0</v>
      </c>
      <c r="K344" s="2314"/>
      <c r="L344" s="31">
        <f t="shared" si="35"/>
        <v>0</v>
      </c>
      <c r="M344" s="2314"/>
      <c r="N344" s="31" t="str">
        <f>Liste!L344</f>
        <v>Stk</v>
      </c>
      <c r="O344" s="31"/>
      <c r="P344" s="31"/>
      <c r="Q344" s="31">
        <f>Liste!P344</f>
        <v>0</v>
      </c>
      <c r="R344" s="31">
        <f>Liste!N344</f>
        <v>0</v>
      </c>
      <c r="S344" s="7">
        <v>0</v>
      </c>
      <c r="T344" s="7">
        <v>0</v>
      </c>
      <c r="U344" s="7">
        <v>0</v>
      </c>
      <c r="V344" s="7"/>
      <c r="W344" s="60"/>
      <c r="X344" s="60"/>
      <c r="Y344" s="60"/>
      <c r="Z344" s="7"/>
      <c r="AA344" s="7"/>
      <c r="AB344" s="60"/>
      <c r="AC344" s="60"/>
      <c r="AD344" s="60"/>
      <c r="AE344" s="7"/>
      <c r="AF344" s="7"/>
      <c r="AG344" s="7"/>
      <c r="AH344" s="7"/>
      <c r="AI344" s="7"/>
      <c r="AJ344" s="7">
        <f>Liste!X344</f>
        <v>0</v>
      </c>
      <c r="AK344" s="7">
        <f>Liste!Y344</f>
        <v>1</v>
      </c>
      <c r="AL344" s="7"/>
      <c r="AM344" s="7"/>
      <c r="AN344" s="7"/>
      <c r="AO344" s="1113">
        <f>Liste!D344</f>
        <v>0</v>
      </c>
      <c r="AP344" s="1113">
        <f>Liste!F344</f>
        <v>1750</v>
      </c>
      <c r="AQ344" s="1113">
        <f>Liste!E344</f>
        <v>207.96</v>
      </c>
      <c r="AR344" s="1113">
        <f>Liste!G344</f>
        <v>2</v>
      </c>
      <c r="AS344" s="1112">
        <f>Liste!V344</f>
        <v>1</v>
      </c>
      <c r="AT344" s="1" t="str">
        <f>Liste!M344</f>
        <v>Stahlblech verz.</v>
      </c>
      <c r="AZ344" s="5" t="s">
        <v>30006</v>
      </c>
      <c r="BA344" s="4" t="s">
        <v>101</v>
      </c>
      <c r="BB344" s="4">
        <v>846</v>
      </c>
      <c r="BD344" s="35"/>
      <c r="BE344" s="35"/>
      <c r="BF344" s="2118" t="str">
        <f>Liste!R344</f>
        <v>0701449</v>
      </c>
      <c r="BG344" s="2137">
        <f>IF(AS344&gt;0,Liste!S344,0)</f>
        <v>0</v>
      </c>
      <c r="BH344" s="2118" t="str">
        <f>Liste!T344</f>
        <v>m²</v>
      </c>
    </row>
    <row r="345" spans="1:60" ht="24.95" customHeight="1" x14ac:dyDescent="0.25">
      <c r="A345" s="29"/>
      <c r="B345" s="46" t="str">
        <f>IF(Liste!O345&gt;0,Liste!O345,Liste!B345)</f>
        <v>Führungsschiene U-Form 1750mm GCC W25 vertikal V2A</v>
      </c>
      <c r="C345" s="2314"/>
      <c r="D345" s="30" t="str">
        <f>Liste!C345</f>
        <v>0338126</v>
      </c>
      <c r="E345" s="2314"/>
      <c r="F345" s="32">
        <f t="shared" si="32"/>
        <v>0</v>
      </c>
      <c r="G345" s="2314"/>
      <c r="H345" s="32">
        <f t="shared" si="33"/>
        <v>0</v>
      </c>
      <c r="I345" s="2314"/>
      <c r="J345" s="32">
        <f t="shared" si="34"/>
        <v>0</v>
      </c>
      <c r="K345" s="2314"/>
      <c r="L345" s="31">
        <f t="shared" si="35"/>
        <v>0</v>
      </c>
      <c r="M345" s="2314"/>
      <c r="N345" s="31" t="str">
        <f>Liste!L345</f>
        <v>Stk</v>
      </c>
      <c r="O345" s="31"/>
      <c r="P345" s="31"/>
      <c r="Q345" s="31">
        <f>Liste!P345</f>
        <v>0</v>
      </c>
      <c r="R345" s="31">
        <f>Liste!N345</f>
        <v>0</v>
      </c>
      <c r="S345" s="7">
        <v>0</v>
      </c>
      <c r="T345" s="7">
        <v>0</v>
      </c>
      <c r="U345" s="7">
        <v>0</v>
      </c>
      <c r="V345" s="7"/>
      <c r="W345" s="60"/>
      <c r="X345" s="60"/>
      <c r="Y345" s="60"/>
      <c r="Z345" s="7"/>
      <c r="AA345" s="7"/>
      <c r="AB345" s="60"/>
      <c r="AC345" s="60"/>
      <c r="AD345" s="60"/>
      <c r="AE345" s="7"/>
      <c r="AF345" s="7"/>
      <c r="AG345" s="7"/>
      <c r="AH345" s="7"/>
      <c r="AI345" s="7"/>
      <c r="AJ345" s="7">
        <f>Liste!X345</f>
        <v>0</v>
      </c>
      <c r="AK345" s="7">
        <f>Liste!Y345</f>
        <v>1</v>
      </c>
      <c r="AL345" s="7"/>
      <c r="AM345" s="7"/>
      <c r="AN345" s="7"/>
      <c r="AO345" s="1113">
        <f>Liste!D345</f>
        <v>0</v>
      </c>
      <c r="AP345" s="1113">
        <f>Liste!F345</f>
        <v>1750</v>
      </c>
      <c r="AQ345" s="1113">
        <f>Liste!E345</f>
        <v>206.9</v>
      </c>
      <c r="AR345" s="1113">
        <f>Liste!G345</f>
        <v>2</v>
      </c>
      <c r="AS345" s="1112">
        <f>Liste!V345</f>
        <v>1</v>
      </c>
      <c r="AT345" s="1" t="str">
        <f>Liste!M345</f>
        <v>V2A blank</v>
      </c>
      <c r="AZ345" s="5" t="s">
        <v>30007</v>
      </c>
      <c r="BA345" s="4" t="s">
        <v>101</v>
      </c>
      <c r="BB345" s="4">
        <v>847</v>
      </c>
      <c r="BD345" s="35"/>
      <c r="BE345" s="35"/>
      <c r="BF345" s="2118" t="str">
        <f>Liste!R345</f>
        <v>0701481</v>
      </c>
      <c r="BG345" s="2137">
        <f>IF(AS345&gt;0,Liste!S345,0)</f>
        <v>0</v>
      </c>
      <c r="BH345" s="2118" t="str">
        <f>Liste!T345</f>
        <v>m²</v>
      </c>
    </row>
    <row r="346" spans="1:60" ht="24.95" customHeight="1" x14ac:dyDescent="0.25">
      <c r="A346" s="29"/>
      <c r="B346" s="46" t="str">
        <f>IF(Liste!O346&gt;0,Liste!O346,Liste!B346)</f>
        <v>Führungsschiene U-Form 2000mm GCC W25 vertikal verzinkt</v>
      </c>
      <c r="C346" s="2314"/>
      <c r="D346" s="30" t="str">
        <f>Liste!C346</f>
        <v>0308127</v>
      </c>
      <c r="E346" s="2314"/>
      <c r="F346" s="32">
        <f t="shared" si="32"/>
        <v>0</v>
      </c>
      <c r="G346" s="2314"/>
      <c r="H346" s="32">
        <f t="shared" si="33"/>
        <v>0</v>
      </c>
      <c r="I346" s="2314"/>
      <c r="J346" s="32">
        <f t="shared" si="34"/>
        <v>0</v>
      </c>
      <c r="K346" s="2314"/>
      <c r="L346" s="31">
        <f t="shared" si="35"/>
        <v>0</v>
      </c>
      <c r="M346" s="2314"/>
      <c r="N346" s="31" t="str">
        <f>Liste!L346</f>
        <v>Stk</v>
      </c>
      <c r="O346" s="31"/>
      <c r="P346" s="31"/>
      <c r="Q346" s="31">
        <f>Liste!P346</f>
        <v>0</v>
      </c>
      <c r="R346" s="31">
        <f>Liste!N346</f>
        <v>0</v>
      </c>
      <c r="S346" s="7">
        <v>0</v>
      </c>
      <c r="T346" s="7">
        <v>0</v>
      </c>
      <c r="U346" s="7">
        <v>0</v>
      </c>
      <c r="V346" s="7"/>
      <c r="W346" s="60"/>
      <c r="X346" s="60"/>
      <c r="Y346" s="60"/>
      <c r="Z346" s="7"/>
      <c r="AA346" s="7"/>
      <c r="AB346" s="60"/>
      <c r="AC346" s="60"/>
      <c r="AD346" s="60"/>
      <c r="AE346" s="7"/>
      <c r="AF346" s="7"/>
      <c r="AG346" s="7"/>
      <c r="AH346" s="7"/>
      <c r="AI346" s="7"/>
      <c r="AJ346" s="7">
        <f>Liste!X346</f>
        <v>0</v>
      </c>
      <c r="AK346" s="7">
        <f>Liste!Y346</f>
        <v>1</v>
      </c>
      <c r="AL346" s="7"/>
      <c r="AM346" s="7"/>
      <c r="AN346" s="7"/>
      <c r="AO346" s="1113">
        <f>Liste!D346</f>
        <v>0</v>
      </c>
      <c r="AP346" s="1113">
        <f>Liste!F346</f>
        <v>2000</v>
      </c>
      <c r="AQ346" s="1113">
        <f>Liste!E346</f>
        <v>207.96</v>
      </c>
      <c r="AR346" s="1113">
        <f>Liste!G346</f>
        <v>2</v>
      </c>
      <c r="AS346" s="1112">
        <f>Liste!V346</f>
        <v>1</v>
      </c>
      <c r="AT346" s="1" t="str">
        <f>Liste!M346</f>
        <v>Stahlblech verz.</v>
      </c>
      <c r="AZ346" s="5" t="s">
        <v>30008</v>
      </c>
      <c r="BA346" s="4" t="s">
        <v>101</v>
      </c>
      <c r="BB346" s="4">
        <v>848</v>
      </c>
      <c r="BD346" s="35"/>
      <c r="BE346" s="35"/>
      <c r="BF346" s="2118" t="str">
        <f>Liste!R346</f>
        <v>0701449</v>
      </c>
      <c r="BG346" s="2137">
        <f>IF(AS346&gt;0,Liste!S346,0)</f>
        <v>0</v>
      </c>
      <c r="BH346" s="2118" t="str">
        <f>Liste!T346</f>
        <v>m²</v>
      </c>
    </row>
    <row r="347" spans="1:60" ht="24.95" customHeight="1" x14ac:dyDescent="0.25">
      <c r="A347" s="29"/>
      <c r="B347" s="46" t="str">
        <f>IF(Liste!O347&gt;0,Liste!O347,Liste!B347)</f>
        <v>Führungsschiene U-Form 2000mm GCC W25 vertikal V2A</v>
      </c>
      <c r="C347" s="2314"/>
      <c r="D347" s="30" t="str">
        <f>Liste!C347</f>
        <v>0338127</v>
      </c>
      <c r="E347" s="2314"/>
      <c r="F347" s="32">
        <f t="shared" si="32"/>
        <v>0</v>
      </c>
      <c r="G347" s="2314"/>
      <c r="H347" s="32">
        <f t="shared" si="33"/>
        <v>0</v>
      </c>
      <c r="I347" s="2314"/>
      <c r="J347" s="32">
        <f t="shared" si="34"/>
        <v>0</v>
      </c>
      <c r="K347" s="2314"/>
      <c r="L347" s="31">
        <f t="shared" si="35"/>
        <v>0</v>
      </c>
      <c r="M347" s="2314"/>
      <c r="N347" s="31" t="str">
        <f>Liste!L347</f>
        <v>Stk</v>
      </c>
      <c r="O347" s="31"/>
      <c r="P347" s="31"/>
      <c r="Q347" s="31">
        <f>Liste!P347</f>
        <v>0</v>
      </c>
      <c r="R347" s="31">
        <f>Liste!N347</f>
        <v>0</v>
      </c>
      <c r="S347" s="7">
        <v>0</v>
      </c>
      <c r="T347" s="7">
        <v>0</v>
      </c>
      <c r="U347" s="7">
        <v>0</v>
      </c>
      <c r="V347" s="7"/>
      <c r="W347" s="60"/>
      <c r="X347" s="60"/>
      <c r="Y347" s="60"/>
      <c r="Z347" s="7"/>
      <c r="AA347" s="7"/>
      <c r="AB347" s="60"/>
      <c r="AC347" s="60"/>
      <c r="AD347" s="60"/>
      <c r="AE347" s="7"/>
      <c r="AF347" s="7"/>
      <c r="AG347" s="7"/>
      <c r="AH347" s="7"/>
      <c r="AI347" s="7"/>
      <c r="AJ347" s="7">
        <f>Liste!X347</f>
        <v>0</v>
      </c>
      <c r="AK347" s="7">
        <f>Liste!Y347</f>
        <v>1</v>
      </c>
      <c r="AL347" s="7"/>
      <c r="AM347" s="7"/>
      <c r="AN347" s="7"/>
      <c r="AO347" s="1113">
        <f>Liste!D347</f>
        <v>0</v>
      </c>
      <c r="AP347" s="1113">
        <f>Liste!F347</f>
        <v>2000</v>
      </c>
      <c r="AQ347" s="1113">
        <f>Liste!E347</f>
        <v>206.9</v>
      </c>
      <c r="AR347" s="1113">
        <f>Liste!G347</f>
        <v>2</v>
      </c>
      <c r="AS347" s="1112">
        <f>Liste!V347</f>
        <v>1</v>
      </c>
      <c r="AT347" s="1" t="str">
        <f>Liste!M347</f>
        <v>V2A blank</v>
      </c>
      <c r="AZ347" s="5" t="s">
        <v>30009</v>
      </c>
      <c r="BA347" s="4" t="s">
        <v>101</v>
      </c>
      <c r="BB347" s="4">
        <v>849</v>
      </c>
      <c r="BD347" s="35"/>
      <c r="BE347" s="35"/>
      <c r="BF347" s="2118" t="str">
        <f>Liste!R347</f>
        <v>0701481</v>
      </c>
      <c r="BG347" s="2137">
        <f>IF(AS347&gt;0,Liste!S347,0)</f>
        <v>0</v>
      </c>
      <c r="BH347" s="2118" t="str">
        <f>Liste!T347</f>
        <v>m²</v>
      </c>
    </row>
    <row r="348" spans="1:60" ht="24.95" customHeight="1" x14ac:dyDescent="0.25">
      <c r="A348" s="29"/>
      <c r="B348" s="46" t="str">
        <f>IF(Liste!O348&gt;0,Liste!O348,Liste!B348)</f>
        <v>Führungsschiene U-Form 2250mm GCC W25 vertikal verzinkt</v>
      </c>
      <c r="C348" s="2314"/>
      <c r="D348" s="30" t="str">
        <f>Liste!C348</f>
        <v>0308128</v>
      </c>
      <c r="E348" s="2314"/>
      <c r="F348" s="32">
        <f t="shared" si="32"/>
        <v>0</v>
      </c>
      <c r="G348" s="2314"/>
      <c r="H348" s="32">
        <f t="shared" si="33"/>
        <v>0</v>
      </c>
      <c r="I348" s="2314"/>
      <c r="J348" s="32">
        <f t="shared" si="34"/>
        <v>0</v>
      </c>
      <c r="K348" s="2314"/>
      <c r="L348" s="31">
        <f t="shared" si="35"/>
        <v>0</v>
      </c>
      <c r="M348" s="2314"/>
      <c r="N348" s="31" t="str">
        <f>Liste!L348</f>
        <v>Stk</v>
      </c>
      <c r="O348" s="31"/>
      <c r="P348" s="31"/>
      <c r="Q348" s="31">
        <f>Liste!P348</f>
        <v>0</v>
      </c>
      <c r="R348" s="31">
        <f>Liste!N348</f>
        <v>0</v>
      </c>
      <c r="S348" s="7">
        <v>0</v>
      </c>
      <c r="T348" s="7">
        <v>0</v>
      </c>
      <c r="U348" s="7">
        <v>0</v>
      </c>
      <c r="V348" s="7"/>
      <c r="W348" s="60"/>
      <c r="X348" s="60"/>
      <c r="Y348" s="60"/>
      <c r="Z348" s="7"/>
      <c r="AA348" s="7"/>
      <c r="AB348" s="60"/>
      <c r="AC348" s="60"/>
      <c r="AD348" s="60"/>
      <c r="AE348" s="7"/>
      <c r="AF348" s="7"/>
      <c r="AG348" s="7"/>
      <c r="AH348" s="7"/>
      <c r="AI348" s="7"/>
      <c r="AJ348" s="7">
        <f>Liste!X348</f>
        <v>0</v>
      </c>
      <c r="AK348" s="7">
        <f>Liste!Y348</f>
        <v>1</v>
      </c>
      <c r="AL348" s="7"/>
      <c r="AM348" s="7"/>
      <c r="AN348" s="7"/>
      <c r="AO348" s="1113">
        <f>Liste!D348</f>
        <v>0</v>
      </c>
      <c r="AP348" s="1113">
        <f>Liste!F348</f>
        <v>2250</v>
      </c>
      <c r="AQ348" s="1113">
        <f>Liste!E348</f>
        <v>207.96</v>
      </c>
      <c r="AR348" s="1113">
        <f>Liste!G348</f>
        <v>2</v>
      </c>
      <c r="AS348" s="1112">
        <f>Liste!V348</f>
        <v>1</v>
      </c>
      <c r="AT348" s="1" t="str">
        <f>Liste!M348</f>
        <v>Stahlblech verz.</v>
      </c>
      <c r="AZ348" s="5" t="s">
        <v>30010</v>
      </c>
      <c r="BA348" s="4" t="s">
        <v>101</v>
      </c>
      <c r="BB348" s="4">
        <v>850</v>
      </c>
      <c r="BD348" s="35"/>
      <c r="BE348" s="35"/>
      <c r="BF348" s="2118" t="str">
        <f>Liste!R348</f>
        <v>0701449</v>
      </c>
      <c r="BG348" s="2137">
        <f>IF(AS348&gt;0,Liste!S348,0)</f>
        <v>0</v>
      </c>
      <c r="BH348" s="2118" t="str">
        <f>Liste!T348</f>
        <v>m²</v>
      </c>
    </row>
    <row r="349" spans="1:60" ht="24.95" customHeight="1" x14ac:dyDescent="0.25">
      <c r="A349" s="29"/>
      <c r="B349" s="46" t="str">
        <f>IF(Liste!O349&gt;0,Liste!O349,Liste!B349)</f>
        <v>Führungsschiene U-Form 2250mm GCC W25 vertikal V2A</v>
      </c>
      <c r="C349" s="2314"/>
      <c r="D349" s="30" t="str">
        <f>Liste!C349</f>
        <v>0338128</v>
      </c>
      <c r="E349" s="2314"/>
      <c r="F349" s="32">
        <f t="shared" si="32"/>
        <v>0</v>
      </c>
      <c r="G349" s="2314"/>
      <c r="H349" s="32">
        <f t="shared" si="33"/>
        <v>0</v>
      </c>
      <c r="I349" s="2314"/>
      <c r="J349" s="32">
        <f t="shared" si="34"/>
        <v>0</v>
      </c>
      <c r="K349" s="2314"/>
      <c r="L349" s="31">
        <f t="shared" si="35"/>
        <v>0</v>
      </c>
      <c r="M349" s="2314"/>
      <c r="N349" s="31" t="str">
        <f>Liste!L349</f>
        <v>Stk</v>
      </c>
      <c r="O349" s="31"/>
      <c r="P349" s="31"/>
      <c r="Q349" s="31">
        <f>Liste!P349</f>
        <v>0</v>
      </c>
      <c r="R349" s="31">
        <f>Liste!N349</f>
        <v>0</v>
      </c>
      <c r="S349" s="7">
        <v>0</v>
      </c>
      <c r="T349" s="7">
        <v>0</v>
      </c>
      <c r="U349" s="7">
        <v>0</v>
      </c>
      <c r="V349" s="7"/>
      <c r="W349" s="60"/>
      <c r="X349" s="60"/>
      <c r="Y349" s="60"/>
      <c r="Z349" s="7"/>
      <c r="AA349" s="7"/>
      <c r="AB349" s="60"/>
      <c r="AC349" s="60"/>
      <c r="AD349" s="60"/>
      <c r="AE349" s="7"/>
      <c r="AF349" s="7"/>
      <c r="AG349" s="7"/>
      <c r="AH349" s="7"/>
      <c r="AI349" s="7"/>
      <c r="AJ349" s="7">
        <f>Liste!X349</f>
        <v>0</v>
      </c>
      <c r="AK349" s="7">
        <f>Liste!Y349</f>
        <v>1</v>
      </c>
      <c r="AL349" s="7"/>
      <c r="AM349" s="7"/>
      <c r="AN349" s="7"/>
      <c r="AO349" s="1113">
        <f>Liste!D349</f>
        <v>0</v>
      </c>
      <c r="AP349" s="1113">
        <f>Liste!F349</f>
        <v>2250</v>
      </c>
      <c r="AQ349" s="1113">
        <f>Liste!E349</f>
        <v>206.9</v>
      </c>
      <c r="AR349" s="1113">
        <f>Liste!G349</f>
        <v>2</v>
      </c>
      <c r="AS349" s="1112">
        <f>Liste!V349</f>
        <v>1</v>
      </c>
      <c r="AT349" s="1" t="str">
        <f>Liste!M349</f>
        <v>V2A blank</v>
      </c>
      <c r="AZ349" s="5" t="s">
        <v>30011</v>
      </c>
      <c r="BA349" s="4" t="s">
        <v>101</v>
      </c>
      <c r="BB349" s="4">
        <v>851</v>
      </c>
      <c r="BD349" s="35"/>
      <c r="BE349" s="35"/>
      <c r="BF349" s="2118" t="str">
        <f>Liste!R349</f>
        <v>0701481</v>
      </c>
      <c r="BG349" s="2137">
        <f>IF(AS349&gt;0,Liste!S349,0)</f>
        <v>0</v>
      </c>
      <c r="BH349" s="2118" t="str">
        <f>Liste!T349</f>
        <v>m²</v>
      </c>
    </row>
    <row r="350" spans="1:60" ht="24.95" customHeight="1" x14ac:dyDescent="0.25">
      <c r="A350" s="29"/>
      <c r="B350" s="46" t="str">
        <f>IF(Liste!O350&gt;0,Liste!O350,Liste!B350)</f>
        <v>Führungsschiene U-Form 2500mm GCC W25 vertikal verzinkt</v>
      </c>
      <c r="C350" s="2314"/>
      <c r="D350" s="30" t="str">
        <f>Liste!C350</f>
        <v>0308129</v>
      </c>
      <c r="E350" s="2314"/>
      <c r="F350" s="32">
        <f t="shared" si="32"/>
        <v>0</v>
      </c>
      <c r="G350" s="2314"/>
      <c r="H350" s="32">
        <f t="shared" si="33"/>
        <v>0</v>
      </c>
      <c r="I350" s="2314"/>
      <c r="J350" s="32">
        <f t="shared" si="34"/>
        <v>0</v>
      </c>
      <c r="K350" s="2314"/>
      <c r="L350" s="31">
        <f t="shared" si="35"/>
        <v>0</v>
      </c>
      <c r="M350" s="2314"/>
      <c r="N350" s="31" t="str">
        <f>Liste!L350</f>
        <v>Stk</v>
      </c>
      <c r="O350" s="31"/>
      <c r="P350" s="31"/>
      <c r="Q350" s="31">
        <f>Liste!P350</f>
        <v>0</v>
      </c>
      <c r="R350" s="31">
        <f>Liste!N350</f>
        <v>0</v>
      </c>
      <c r="S350" s="7">
        <v>0</v>
      </c>
      <c r="T350" s="7">
        <v>0</v>
      </c>
      <c r="U350" s="7">
        <v>0</v>
      </c>
      <c r="V350" s="7"/>
      <c r="W350" s="60"/>
      <c r="X350" s="60"/>
      <c r="Y350" s="60"/>
      <c r="Z350" s="7"/>
      <c r="AA350" s="7"/>
      <c r="AB350" s="60"/>
      <c r="AC350" s="60"/>
      <c r="AD350" s="60"/>
      <c r="AE350" s="7"/>
      <c r="AF350" s="7"/>
      <c r="AG350" s="7"/>
      <c r="AH350" s="7"/>
      <c r="AI350" s="7"/>
      <c r="AJ350" s="7">
        <f>Liste!X350</f>
        <v>0</v>
      </c>
      <c r="AK350" s="7">
        <f>Liste!Y350</f>
        <v>1</v>
      </c>
      <c r="AL350" s="7"/>
      <c r="AM350" s="7"/>
      <c r="AN350" s="7"/>
      <c r="AO350" s="1113">
        <f>Liste!D350</f>
        <v>0</v>
      </c>
      <c r="AP350" s="1113">
        <f>Liste!F350</f>
        <v>2500</v>
      </c>
      <c r="AQ350" s="1113">
        <f>Liste!E350</f>
        <v>207.96</v>
      </c>
      <c r="AR350" s="1113">
        <f>Liste!G350</f>
        <v>2</v>
      </c>
      <c r="AS350" s="1112">
        <f>Liste!V350</f>
        <v>1</v>
      </c>
      <c r="AT350" s="1" t="str">
        <f>Liste!M350</f>
        <v>Stahlblech verz.</v>
      </c>
      <c r="AZ350" s="5" t="s">
        <v>30012</v>
      </c>
      <c r="BA350" s="4" t="s">
        <v>101</v>
      </c>
      <c r="BB350" s="4">
        <v>852</v>
      </c>
      <c r="BD350" s="35"/>
      <c r="BE350" s="35"/>
      <c r="BF350" s="2118" t="str">
        <f>Liste!R350</f>
        <v>0701449</v>
      </c>
      <c r="BG350" s="2137">
        <f>IF(AS350&gt;0,Liste!S350,0)</f>
        <v>0</v>
      </c>
      <c r="BH350" s="2118" t="str">
        <f>Liste!T350</f>
        <v>m²</v>
      </c>
    </row>
    <row r="351" spans="1:60" ht="24.95" customHeight="1" x14ac:dyDescent="0.25">
      <c r="A351" s="29"/>
      <c r="B351" s="46" t="str">
        <f>IF(Liste!O351&gt;0,Liste!O351,Liste!B351)</f>
        <v>Führungsschiene U-Form 2500mm GCC W25 vertikal V2A</v>
      </c>
      <c r="C351" s="2314"/>
      <c r="D351" s="30" t="str">
        <f>Liste!C351</f>
        <v>0338129</v>
      </c>
      <c r="E351" s="2314"/>
      <c r="F351" s="32">
        <f t="shared" si="32"/>
        <v>0</v>
      </c>
      <c r="G351" s="2314"/>
      <c r="H351" s="32">
        <f t="shared" si="33"/>
        <v>0</v>
      </c>
      <c r="I351" s="2314"/>
      <c r="J351" s="32">
        <f t="shared" si="34"/>
        <v>0</v>
      </c>
      <c r="K351" s="2314"/>
      <c r="L351" s="31">
        <f t="shared" si="35"/>
        <v>0</v>
      </c>
      <c r="M351" s="2314"/>
      <c r="N351" s="31" t="str">
        <f>Liste!L351</f>
        <v>Stk</v>
      </c>
      <c r="O351" s="31"/>
      <c r="P351" s="31"/>
      <c r="Q351" s="31">
        <f>Liste!P351</f>
        <v>0</v>
      </c>
      <c r="R351" s="31">
        <f>Liste!N351</f>
        <v>0</v>
      </c>
      <c r="S351" s="7">
        <v>0</v>
      </c>
      <c r="T351" s="7">
        <v>0</v>
      </c>
      <c r="U351" s="7">
        <v>0</v>
      </c>
      <c r="V351" s="7"/>
      <c r="W351" s="60"/>
      <c r="X351" s="60"/>
      <c r="Y351" s="60"/>
      <c r="Z351" s="7"/>
      <c r="AA351" s="7"/>
      <c r="AB351" s="60"/>
      <c r="AC351" s="60"/>
      <c r="AD351" s="60"/>
      <c r="AE351" s="7"/>
      <c r="AF351" s="7"/>
      <c r="AG351" s="7"/>
      <c r="AH351" s="7"/>
      <c r="AI351" s="7"/>
      <c r="AJ351" s="7">
        <f>Liste!X351</f>
        <v>0</v>
      </c>
      <c r="AK351" s="7">
        <f>Liste!Y351</f>
        <v>1</v>
      </c>
      <c r="AL351" s="7"/>
      <c r="AM351" s="7"/>
      <c r="AN351" s="7"/>
      <c r="AO351" s="1113">
        <f>Liste!D351</f>
        <v>0</v>
      </c>
      <c r="AP351" s="1113">
        <f>Liste!F351</f>
        <v>2500</v>
      </c>
      <c r="AQ351" s="1113">
        <f>Liste!E351</f>
        <v>206.9</v>
      </c>
      <c r="AR351" s="1113">
        <f>Liste!G351</f>
        <v>2</v>
      </c>
      <c r="AS351" s="1112">
        <f>Liste!V351</f>
        <v>1</v>
      </c>
      <c r="AT351" s="1" t="str">
        <f>Liste!M351</f>
        <v>V2A blank</v>
      </c>
      <c r="AZ351" s="5" t="s">
        <v>30013</v>
      </c>
      <c r="BA351" s="4" t="s">
        <v>101</v>
      </c>
      <c r="BB351" s="4">
        <v>853</v>
      </c>
      <c r="BD351" s="35"/>
      <c r="BE351" s="35"/>
      <c r="BF351" s="2118" t="str">
        <f>Liste!R351</f>
        <v>0701481</v>
      </c>
      <c r="BG351" s="2137">
        <f>IF(AS351&gt;0,Liste!S351,0)</f>
        <v>0</v>
      </c>
      <c r="BH351" s="2118" t="str">
        <f>Liste!T351</f>
        <v>m²</v>
      </c>
    </row>
    <row r="352" spans="1:60" ht="24.95" customHeight="1" x14ac:dyDescent="0.25">
      <c r="A352" s="29"/>
      <c r="B352" s="46" t="str">
        <f>IF(Liste!O352&gt;0,Liste!O352,Liste!B352)</f>
        <v>Führungsschiene U-Form 2750mm GCC W25 vertikal verzinkt</v>
      </c>
      <c r="C352" s="2314"/>
      <c r="D352" s="30" t="str">
        <f>Liste!C352</f>
        <v>0308130</v>
      </c>
      <c r="E352" s="2314"/>
      <c r="F352" s="32">
        <f t="shared" si="32"/>
        <v>0</v>
      </c>
      <c r="G352" s="2314"/>
      <c r="H352" s="32">
        <f t="shared" si="33"/>
        <v>0</v>
      </c>
      <c r="I352" s="2314"/>
      <c r="J352" s="32">
        <f t="shared" si="34"/>
        <v>0</v>
      </c>
      <c r="K352" s="2314"/>
      <c r="L352" s="31">
        <f t="shared" si="35"/>
        <v>0</v>
      </c>
      <c r="M352" s="2314"/>
      <c r="N352" s="31" t="str">
        <f>Liste!L352</f>
        <v>Stk</v>
      </c>
      <c r="O352" s="31"/>
      <c r="P352" s="31"/>
      <c r="Q352" s="31">
        <f>Liste!P352</f>
        <v>0</v>
      </c>
      <c r="R352" s="31">
        <f>Liste!N352</f>
        <v>0</v>
      </c>
      <c r="S352" s="7">
        <v>0</v>
      </c>
      <c r="T352" s="7">
        <v>0</v>
      </c>
      <c r="U352" s="7">
        <v>0</v>
      </c>
      <c r="V352" s="7"/>
      <c r="W352" s="60"/>
      <c r="X352" s="60"/>
      <c r="Y352" s="60"/>
      <c r="Z352" s="7"/>
      <c r="AA352" s="7"/>
      <c r="AB352" s="60"/>
      <c r="AC352" s="60"/>
      <c r="AD352" s="60"/>
      <c r="AE352" s="7"/>
      <c r="AF352" s="7"/>
      <c r="AG352" s="7"/>
      <c r="AH352" s="7"/>
      <c r="AI352" s="7"/>
      <c r="AJ352" s="7">
        <f>Liste!X352</f>
        <v>0</v>
      </c>
      <c r="AK352" s="7">
        <f>Liste!Y352</f>
        <v>1</v>
      </c>
      <c r="AL352" s="7"/>
      <c r="AM352" s="7"/>
      <c r="AN352" s="7"/>
      <c r="AO352" s="1113">
        <f>Liste!D352</f>
        <v>0</v>
      </c>
      <c r="AP352" s="1113">
        <f>Liste!F352</f>
        <v>2750</v>
      </c>
      <c r="AQ352" s="1113">
        <f>Liste!E352</f>
        <v>207.96</v>
      </c>
      <c r="AR352" s="1113">
        <f>Liste!G352</f>
        <v>2</v>
      </c>
      <c r="AS352" s="1112">
        <f>Liste!V352</f>
        <v>1</v>
      </c>
      <c r="AT352" s="1" t="str">
        <f>Liste!M352</f>
        <v>Stahlblech verz.</v>
      </c>
      <c r="AZ352" s="5" t="s">
        <v>30014</v>
      </c>
      <c r="BA352" s="4" t="s">
        <v>101</v>
      </c>
      <c r="BB352" s="4">
        <v>854</v>
      </c>
      <c r="BD352" s="35"/>
      <c r="BE352" s="35"/>
      <c r="BF352" s="2118" t="str">
        <f>Liste!R352</f>
        <v>0701449</v>
      </c>
      <c r="BG352" s="2137">
        <f>IF(AS352&gt;0,Liste!S352,0)</f>
        <v>0</v>
      </c>
      <c r="BH352" s="2118" t="str">
        <f>Liste!T352</f>
        <v>m²</v>
      </c>
    </row>
    <row r="353" spans="1:60" ht="24.95" customHeight="1" x14ac:dyDescent="0.25">
      <c r="A353" s="29"/>
      <c r="B353" s="46" t="str">
        <f>IF(Liste!O353&gt;0,Liste!O353,Liste!B353)</f>
        <v>Führungsschiene U-Form 2750mm GCC W25 vertikal V2A</v>
      </c>
      <c r="C353" s="2314"/>
      <c r="D353" s="30" t="str">
        <f>Liste!C353</f>
        <v>0338130</v>
      </c>
      <c r="E353" s="2314"/>
      <c r="F353" s="32">
        <f t="shared" si="32"/>
        <v>0</v>
      </c>
      <c r="G353" s="2314"/>
      <c r="H353" s="32">
        <f t="shared" si="33"/>
        <v>0</v>
      </c>
      <c r="I353" s="2314"/>
      <c r="J353" s="32">
        <f t="shared" si="34"/>
        <v>0</v>
      </c>
      <c r="K353" s="2314"/>
      <c r="L353" s="31">
        <f t="shared" si="35"/>
        <v>0</v>
      </c>
      <c r="M353" s="2314"/>
      <c r="N353" s="31" t="str">
        <f>Liste!L353</f>
        <v>Stk</v>
      </c>
      <c r="O353" s="31"/>
      <c r="P353" s="31"/>
      <c r="Q353" s="31">
        <f>Liste!P353</f>
        <v>0</v>
      </c>
      <c r="R353" s="31">
        <f>Liste!N353</f>
        <v>0</v>
      </c>
      <c r="S353" s="7">
        <v>0</v>
      </c>
      <c r="T353" s="7">
        <v>0</v>
      </c>
      <c r="U353" s="7">
        <v>0</v>
      </c>
      <c r="V353" s="7"/>
      <c r="W353" s="60"/>
      <c r="X353" s="60"/>
      <c r="Y353" s="60"/>
      <c r="Z353" s="7"/>
      <c r="AA353" s="7"/>
      <c r="AB353" s="60"/>
      <c r="AC353" s="60"/>
      <c r="AD353" s="60"/>
      <c r="AE353" s="7"/>
      <c r="AF353" s="7"/>
      <c r="AG353" s="7"/>
      <c r="AH353" s="7"/>
      <c r="AI353" s="7"/>
      <c r="AJ353" s="7">
        <f>Liste!X353</f>
        <v>0</v>
      </c>
      <c r="AK353" s="7">
        <f>Liste!Y353</f>
        <v>1</v>
      </c>
      <c r="AL353" s="7"/>
      <c r="AM353" s="7"/>
      <c r="AN353" s="7"/>
      <c r="AO353" s="1113">
        <f>Liste!D353</f>
        <v>0</v>
      </c>
      <c r="AP353" s="1113">
        <f>Liste!F353</f>
        <v>2750</v>
      </c>
      <c r="AQ353" s="1113">
        <f>Liste!E353</f>
        <v>206.9</v>
      </c>
      <c r="AR353" s="1113">
        <f>Liste!G353</f>
        <v>2</v>
      </c>
      <c r="AS353" s="1112">
        <f>Liste!V353</f>
        <v>1</v>
      </c>
      <c r="AT353" s="1" t="str">
        <f>Liste!M353</f>
        <v>V2A blank</v>
      </c>
      <c r="AZ353" s="5" t="s">
        <v>30015</v>
      </c>
      <c r="BA353" s="4" t="s">
        <v>101</v>
      </c>
      <c r="BB353" s="4">
        <v>855</v>
      </c>
      <c r="BD353" s="35"/>
      <c r="BE353" s="35"/>
      <c r="BF353" s="2118" t="str">
        <f>Liste!R353</f>
        <v>0701481</v>
      </c>
      <c r="BG353" s="2137">
        <f>IF(AS353&gt;0,Liste!S353,0)</f>
        <v>0</v>
      </c>
      <c r="BH353" s="2118" t="str">
        <f>Liste!T353</f>
        <v>m²</v>
      </c>
    </row>
    <row r="354" spans="1:60" ht="24.95" customHeight="1" x14ac:dyDescent="0.25">
      <c r="A354" s="29"/>
      <c r="B354" s="46" t="str">
        <f>IF(Liste!O354&gt;0,Liste!O354,Liste!B354)</f>
        <v>Führungsschiene U-Form 3000mm GCC W25 vertikal verzinkt</v>
      </c>
      <c r="C354" s="2314"/>
      <c r="D354" s="30" t="str">
        <f>Liste!C354</f>
        <v>0308131</v>
      </c>
      <c r="E354" s="2314"/>
      <c r="F354" s="32">
        <f t="shared" si="32"/>
        <v>0</v>
      </c>
      <c r="G354" s="2314"/>
      <c r="H354" s="32">
        <f t="shared" si="33"/>
        <v>0</v>
      </c>
      <c r="I354" s="2314"/>
      <c r="J354" s="32">
        <f t="shared" si="34"/>
        <v>0</v>
      </c>
      <c r="K354" s="2314"/>
      <c r="L354" s="31">
        <f t="shared" si="35"/>
        <v>0</v>
      </c>
      <c r="M354" s="2314"/>
      <c r="N354" s="31" t="str">
        <f>Liste!L354</f>
        <v>Stk</v>
      </c>
      <c r="O354" s="31"/>
      <c r="P354" s="31"/>
      <c r="Q354" s="31">
        <f>Liste!P354</f>
        <v>0</v>
      </c>
      <c r="R354" s="31">
        <f>Liste!N354</f>
        <v>0</v>
      </c>
      <c r="S354" s="7">
        <v>0</v>
      </c>
      <c r="T354" s="7">
        <v>0</v>
      </c>
      <c r="U354" s="7">
        <v>0</v>
      </c>
      <c r="V354" s="7"/>
      <c r="W354" s="60"/>
      <c r="X354" s="60"/>
      <c r="Y354" s="60"/>
      <c r="Z354" s="7"/>
      <c r="AA354" s="7"/>
      <c r="AB354" s="60"/>
      <c r="AC354" s="60"/>
      <c r="AD354" s="60"/>
      <c r="AE354" s="7"/>
      <c r="AF354" s="7"/>
      <c r="AG354" s="7"/>
      <c r="AH354" s="7"/>
      <c r="AI354" s="7"/>
      <c r="AJ354" s="7">
        <f>Liste!X354</f>
        <v>0</v>
      </c>
      <c r="AK354" s="7">
        <f>Liste!Y354</f>
        <v>1</v>
      </c>
      <c r="AL354" s="7"/>
      <c r="AM354" s="7"/>
      <c r="AN354" s="7"/>
      <c r="AO354" s="1113">
        <f>Liste!D354</f>
        <v>0</v>
      </c>
      <c r="AP354" s="1113">
        <f>Liste!F354</f>
        <v>3000</v>
      </c>
      <c r="AQ354" s="1113">
        <f>Liste!E354</f>
        <v>207.96</v>
      </c>
      <c r="AR354" s="1113">
        <f>Liste!G354</f>
        <v>2</v>
      </c>
      <c r="AS354" s="1112">
        <f>Liste!V354</f>
        <v>1</v>
      </c>
      <c r="AT354" s="1" t="str">
        <f>Liste!M354</f>
        <v>Stahlblech verz.</v>
      </c>
      <c r="AZ354" s="5" t="s">
        <v>30016</v>
      </c>
      <c r="BA354" s="4" t="s">
        <v>101</v>
      </c>
      <c r="BB354" s="4">
        <v>856</v>
      </c>
      <c r="BD354" s="35"/>
      <c r="BE354" s="35"/>
      <c r="BF354" s="2118" t="str">
        <f>Liste!R354</f>
        <v>0701449</v>
      </c>
      <c r="BG354" s="2137">
        <f>IF(AS354&gt;0,Liste!S354,0)</f>
        <v>0</v>
      </c>
      <c r="BH354" s="2118" t="str">
        <f>Liste!T354</f>
        <v>m²</v>
      </c>
    </row>
    <row r="355" spans="1:60" ht="24.95" customHeight="1" x14ac:dyDescent="0.25">
      <c r="A355" s="29"/>
      <c r="B355" s="46" t="str">
        <f>IF(Liste!O355&gt;0,Liste!O355,Liste!B355)</f>
        <v>Führungsschiene U-Form 3000mm GCC W25 vertikal V2A</v>
      </c>
      <c r="C355" s="2314"/>
      <c r="D355" s="30" t="str">
        <f>Liste!C355</f>
        <v>0338131</v>
      </c>
      <c r="E355" s="2314"/>
      <c r="F355" s="32">
        <f t="shared" si="32"/>
        <v>0</v>
      </c>
      <c r="G355" s="2314"/>
      <c r="H355" s="32">
        <f t="shared" si="33"/>
        <v>0</v>
      </c>
      <c r="I355" s="2314"/>
      <c r="J355" s="32">
        <f t="shared" si="34"/>
        <v>0</v>
      </c>
      <c r="K355" s="2314"/>
      <c r="L355" s="31">
        <f t="shared" si="35"/>
        <v>0</v>
      </c>
      <c r="M355" s="2314"/>
      <c r="N355" s="31" t="str">
        <f>Liste!L355</f>
        <v>Stk</v>
      </c>
      <c r="O355" s="31"/>
      <c r="P355" s="31"/>
      <c r="Q355" s="31">
        <f>Liste!P355</f>
        <v>0</v>
      </c>
      <c r="R355" s="31">
        <f>Liste!N355</f>
        <v>0</v>
      </c>
      <c r="S355" s="7">
        <v>0</v>
      </c>
      <c r="T355" s="7">
        <v>0</v>
      </c>
      <c r="U355" s="7">
        <v>0</v>
      </c>
      <c r="V355" s="7"/>
      <c r="W355" s="60"/>
      <c r="X355" s="60"/>
      <c r="Y355" s="60"/>
      <c r="Z355" s="7"/>
      <c r="AA355" s="7"/>
      <c r="AB355" s="60"/>
      <c r="AC355" s="60"/>
      <c r="AD355" s="60"/>
      <c r="AE355" s="7"/>
      <c r="AF355" s="7"/>
      <c r="AG355" s="7"/>
      <c r="AH355" s="7"/>
      <c r="AI355" s="7"/>
      <c r="AJ355" s="7">
        <f>Liste!X355</f>
        <v>0</v>
      </c>
      <c r="AK355" s="7">
        <f>Liste!Y355</f>
        <v>1</v>
      </c>
      <c r="AL355" s="7"/>
      <c r="AM355" s="7"/>
      <c r="AN355" s="7"/>
      <c r="AO355" s="1113">
        <f>Liste!D355</f>
        <v>0</v>
      </c>
      <c r="AP355" s="1113">
        <f>Liste!F355</f>
        <v>3000</v>
      </c>
      <c r="AQ355" s="1113">
        <f>Liste!E355</f>
        <v>206.9</v>
      </c>
      <c r="AR355" s="1113">
        <f>Liste!G355</f>
        <v>2</v>
      </c>
      <c r="AS355" s="1112">
        <f>Liste!V355</f>
        <v>1</v>
      </c>
      <c r="AT355" s="1" t="str">
        <f>Liste!M355</f>
        <v>V2A blank</v>
      </c>
      <c r="AZ355" s="5" t="s">
        <v>30017</v>
      </c>
      <c r="BA355" s="4" t="s">
        <v>101</v>
      </c>
      <c r="BB355" s="4">
        <v>857</v>
      </c>
      <c r="BD355" s="35"/>
      <c r="BE355" s="35"/>
      <c r="BF355" s="2118" t="str">
        <f>Liste!R355</f>
        <v>0701481</v>
      </c>
      <c r="BG355" s="2137">
        <f>IF(AS355&gt;0,Liste!S355,0)</f>
        <v>0</v>
      </c>
      <c r="BH355" s="2118" t="str">
        <f>Liste!T355</f>
        <v>m²</v>
      </c>
    </row>
    <row r="356" spans="1:60" ht="24.95" customHeight="1" x14ac:dyDescent="0.25">
      <c r="A356" s="29"/>
      <c r="B356" s="46" t="str">
        <f>IF(Liste!O356&gt;0,Liste!O356,Liste!B356)</f>
        <v>Führungsschiene 1250mm GCC W25 vertikal verzinkt</v>
      </c>
      <c r="C356" s="2314"/>
      <c r="D356" s="30" t="str">
        <f>Liste!C356</f>
        <v>0308114</v>
      </c>
      <c r="E356" s="2314"/>
      <c r="F356" s="32">
        <f t="shared" si="32"/>
        <v>0</v>
      </c>
      <c r="G356" s="2314"/>
      <c r="H356" s="32">
        <f t="shared" si="33"/>
        <v>1250</v>
      </c>
      <c r="I356" s="2314"/>
      <c r="J356" s="32">
        <f t="shared" si="34"/>
        <v>190.96</v>
      </c>
      <c r="K356" s="2314"/>
      <c r="L356" s="31">
        <f t="shared" si="35"/>
        <v>2</v>
      </c>
      <c r="M356" s="2314"/>
      <c r="N356" s="31">
        <f>Liste!L356</f>
        <v>0</v>
      </c>
      <c r="O356" s="31"/>
      <c r="P356" s="31"/>
      <c r="Q356" s="31">
        <f>Liste!P356</f>
        <v>0</v>
      </c>
      <c r="R356" s="31">
        <f>Liste!N356</f>
        <v>0</v>
      </c>
      <c r="S356" s="7">
        <v>0</v>
      </c>
      <c r="T356" s="7">
        <v>0</v>
      </c>
      <c r="U356" s="7">
        <v>0</v>
      </c>
      <c r="V356" s="7"/>
      <c r="W356" s="60"/>
      <c r="X356" s="60"/>
      <c r="Y356" s="60"/>
      <c r="Z356" s="7"/>
      <c r="AA356" s="7"/>
      <c r="AB356" s="60"/>
      <c r="AC356" s="60"/>
      <c r="AD356" s="60"/>
      <c r="AE356" s="7"/>
      <c r="AF356" s="7"/>
      <c r="AG356" s="7"/>
      <c r="AH356" s="7"/>
      <c r="AI356" s="7"/>
      <c r="AJ356" s="7">
        <f>Liste!X356</f>
        <v>0</v>
      </c>
      <c r="AK356" s="7">
        <f>Liste!Y356</f>
        <v>0</v>
      </c>
      <c r="AL356" s="7"/>
      <c r="AM356" s="7"/>
      <c r="AN356" s="7"/>
      <c r="AO356" s="1113">
        <f>Liste!D356</f>
        <v>0</v>
      </c>
      <c r="AP356" s="1113">
        <f>Liste!F356</f>
        <v>1250</v>
      </c>
      <c r="AQ356" s="1113">
        <f>Liste!E356</f>
        <v>190.96</v>
      </c>
      <c r="AR356" s="1113">
        <f>Liste!G356</f>
        <v>2</v>
      </c>
      <c r="AS356" s="1112">
        <f>Liste!V356</f>
        <v>0</v>
      </c>
      <c r="AT356" s="1" t="str">
        <f>Liste!M356</f>
        <v>Stk</v>
      </c>
      <c r="AZ356" s="5" t="s">
        <v>30018</v>
      </c>
      <c r="BA356" s="4" t="s">
        <v>101</v>
      </c>
      <c r="BB356" s="4">
        <v>858</v>
      </c>
      <c r="BD356" s="35"/>
      <c r="BE356" s="35"/>
      <c r="BF356" s="2118" t="str">
        <f>Liste!R356</f>
        <v>0308114</v>
      </c>
      <c r="BG356" s="2137">
        <f>IF(AS356&gt;0,Liste!S356,0)</f>
        <v>0</v>
      </c>
      <c r="BH356" s="2118">
        <f>Liste!T356</f>
        <v>0</v>
      </c>
    </row>
    <row r="357" spans="1:60" ht="24.95" customHeight="1" x14ac:dyDescent="0.25">
      <c r="A357" s="29"/>
      <c r="B357" s="46" t="str">
        <f>IF(Liste!O357&gt;0,Liste!O357,Liste!B357)</f>
        <v>0</v>
      </c>
      <c r="C357" s="2314"/>
      <c r="D357" s="30" t="str">
        <f>Liste!C357</f>
        <v>0</v>
      </c>
      <c r="E357" s="2314"/>
      <c r="F357" s="32">
        <f t="shared" si="32"/>
        <v>0</v>
      </c>
      <c r="G357" s="2314"/>
      <c r="H357" s="32">
        <f t="shared" si="33"/>
        <v>0</v>
      </c>
      <c r="I357" s="2314"/>
      <c r="J357" s="32">
        <f t="shared" si="34"/>
        <v>0</v>
      </c>
      <c r="K357" s="2314"/>
      <c r="L357" s="31" t="str">
        <f t="shared" si="35"/>
        <v xml:space="preserve"> </v>
      </c>
      <c r="M357" s="2314"/>
      <c r="N357" s="31">
        <f>Liste!L357</f>
        <v>0</v>
      </c>
      <c r="O357" s="31"/>
      <c r="P357" s="31"/>
      <c r="Q357" s="31">
        <f>Liste!P357</f>
        <v>0</v>
      </c>
      <c r="R357" s="31">
        <f>Liste!N357</f>
        <v>0</v>
      </c>
      <c r="S357" s="7">
        <v>0</v>
      </c>
      <c r="T357" s="7">
        <v>0</v>
      </c>
      <c r="U357" s="7">
        <v>0</v>
      </c>
      <c r="V357" s="7"/>
      <c r="W357" s="60"/>
      <c r="X357" s="60"/>
      <c r="Y357" s="60"/>
      <c r="Z357" s="7"/>
      <c r="AA357" s="7"/>
      <c r="AB357" s="60"/>
      <c r="AC357" s="60"/>
      <c r="AD357" s="60"/>
      <c r="AE357" s="7"/>
      <c r="AF357" s="7"/>
      <c r="AG357" s="7"/>
      <c r="AH357" s="7"/>
      <c r="AI357" s="7"/>
      <c r="AJ357" s="7">
        <f>Liste!X357</f>
        <v>0</v>
      </c>
      <c r="AK357" s="7">
        <f>Liste!Y357</f>
        <v>0</v>
      </c>
      <c r="AL357" s="7"/>
      <c r="AM357" s="7"/>
      <c r="AN357" s="7"/>
      <c r="AO357" s="1113">
        <f>Liste!D357</f>
        <v>0</v>
      </c>
      <c r="AP357" s="1113">
        <f>Liste!F357</f>
        <v>0</v>
      </c>
      <c r="AQ357" s="1113">
        <f>Liste!E357</f>
        <v>0</v>
      </c>
      <c r="AR357" s="1113" t="str">
        <f>Liste!G357</f>
        <v xml:space="preserve"> </v>
      </c>
      <c r="AS357" s="1112">
        <f>Liste!V357</f>
        <v>0</v>
      </c>
      <c r="AT357" s="1" t="str">
        <f>Liste!M357</f>
        <v xml:space="preserve"> </v>
      </c>
      <c r="AZ357" s="5" t="s">
        <v>30019</v>
      </c>
      <c r="BA357" s="4" t="s">
        <v>101</v>
      </c>
      <c r="BB357" s="4">
        <v>859</v>
      </c>
      <c r="BD357" s="35"/>
      <c r="BE357" s="35"/>
      <c r="BF357" s="2118" t="str">
        <f>Liste!R357</f>
        <v>0</v>
      </c>
      <c r="BG357" s="2137">
        <f>IF(AS357&gt;0,Liste!S357,0)</f>
        <v>0</v>
      </c>
      <c r="BH357" s="2118">
        <f>Liste!T357</f>
        <v>0</v>
      </c>
    </row>
    <row r="358" spans="1:60" ht="24.95" customHeight="1" x14ac:dyDescent="0.25">
      <c r="A358" s="29"/>
      <c r="B358" s="46" t="str">
        <f>IF(Liste!O358&gt;0,Liste!O358,Liste!B358)</f>
        <v>0</v>
      </c>
      <c r="C358" s="2314"/>
      <c r="D358" s="30" t="str">
        <f>Liste!C358</f>
        <v>0</v>
      </c>
      <c r="E358" s="2314"/>
      <c r="F358" s="32">
        <f t="shared" si="32"/>
        <v>0</v>
      </c>
      <c r="G358" s="2314"/>
      <c r="H358" s="32">
        <f t="shared" si="33"/>
        <v>0</v>
      </c>
      <c r="I358" s="2314"/>
      <c r="J358" s="32">
        <f t="shared" si="34"/>
        <v>0</v>
      </c>
      <c r="K358" s="2314"/>
      <c r="L358" s="31" t="str">
        <f t="shared" si="35"/>
        <v xml:space="preserve"> </v>
      </c>
      <c r="M358" s="2314"/>
      <c r="N358" s="31">
        <f>Liste!L358</f>
        <v>0</v>
      </c>
      <c r="O358" s="31"/>
      <c r="P358" s="31"/>
      <c r="Q358" s="31">
        <f>Liste!P358</f>
        <v>0</v>
      </c>
      <c r="R358" s="31">
        <f>Liste!N358</f>
        <v>0</v>
      </c>
      <c r="S358" s="7">
        <v>0</v>
      </c>
      <c r="T358" s="7">
        <v>0</v>
      </c>
      <c r="U358" s="7">
        <v>0</v>
      </c>
      <c r="V358" s="7"/>
      <c r="W358" s="60"/>
      <c r="X358" s="60"/>
      <c r="Y358" s="60"/>
      <c r="Z358" s="7"/>
      <c r="AA358" s="7"/>
      <c r="AB358" s="60"/>
      <c r="AC358" s="60"/>
      <c r="AD358" s="60"/>
      <c r="AE358" s="7"/>
      <c r="AF358" s="7"/>
      <c r="AG358" s="7"/>
      <c r="AH358" s="7"/>
      <c r="AI358" s="7"/>
      <c r="AJ358" s="7">
        <f>Liste!X358</f>
        <v>0</v>
      </c>
      <c r="AK358" s="7">
        <f>Liste!Y358</f>
        <v>0</v>
      </c>
      <c r="AL358" s="7"/>
      <c r="AM358" s="7"/>
      <c r="AN358" s="7"/>
      <c r="AO358" s="1113">
        <f>Liste!D358</f>
        <v>0</v>
      </c>
      <c r="AP358" s="1113">
        <f>Liste!F358</f>
        <v>0</v>
      </c>
      <c r="AQ358" s="1113">
        <f>Liste!E358</f>
        <v>0</v>
      </c>
      <c r="AR358" s="1113" t="str">
        <f>Liste!G358</f>
        <v xml:space="preserve"> </v>
      </c>
      <c r="AS358" s="1112">
        <f>Liste!V358</f>
        <v>0</v>
      </c>
      <c r="AT358" s="1" t="str">
        <f>Liste!M358</f>
        <v xml:space="preserve"> </v>
      </c>
      <c r="AZ358" s="5" t="s">
        <v>30020</v>
      </c>
      <c r="BA358" s="4" t="s">
        <v>101</v>
      </c>
      <c r="BB358" s="4">
        <v>860</v>
      </c>
      <c r="BD358" s="35"/>
      <c r="BE358" s="35"/>
      <c r="BF358" s="2118" t="str">
        <f>Liste!R358</f>
        <v>0</v>
      </c>
      <c r="BG358" s="2137">
        <f>IF(AS358&gt;0,Liste!S358,0)</f>
        <v>0</v>
      </c>
      <c r="BH358" s="2118">
        <f>Liste!T358</f>
        <v>0</v>
      </c>
    </row>
    <row r="359" spans="1:60" ht="24.95" customHeight="1" x14ac:dyDescent="0.25">
      <c r="A359" s="29"/>
      <c r="B359" s="46" t="str">
        <f>IF(Liste!O359&gt;0,Liste!O359,Liste!B359)</f>
        <v>0</v>
      </c>
      <c r="C359" s="2314"/>
      <c r="D359" s="30" t="str">
        <f>Liste!C359</f>
        <v>0</v>
      </c>
      <c r="E359" s="2314"/>
      <c r="F359" s="32">
        <f t="shared" si="32"/>
        <v>0</v>
      </c>
      <c r="G359" s="2314"/>
      <c r="H359" s="32">
        <f t="shared" si="33"/>
        <v>0</v>
      </c>
      <c r="I359" s="2314"/>
      <c r="J359" s="32">
        <f t="shared" si="34"/>
        <v>0</v>
      </c>
      <c r="K359" s="2314"/>
      <c r="L359" s="31" t="str">
        <f t="shared" si="35"/>
        <v xml:space="preserve"> </v>
      </c>
      <c r="M359" s="2314"/>
      <c r="N359" s="31">
        <f>Liste!L359</f>
        <v>0</v>
      </c>
      <c r="O359" s="31"/>
      <c r="P359" s="31"/>
      <c r="Q359" s="31">
        <f>Liste!P359</f>
        <v>0</v>
      </c>
      <c r="R359" s="31">
        <f>Liste!N359</f>
        <v>0</v>
      </c>
      <c r="S359" s="7">
        <v>0</v>
      </c>
      <c r="T359" s="7">
        <v>0</v>
      </c>
      <c r="U359" s="7">
        <v>0</v>
      </c>
      <c r="V359" s="7"/>
      <c r="W359" s="60"/>
      <c r="X359" s="60"/>
      <c r="Y359" s="60"/>
      <c r="Z359" s="7"/>
      <c r="AA359" s="7"/>
      <c r="AB359" s="60"/>
      <c r="AC359" s="60"/>
      <c r="AD359" s="60"/>
      <c r="AE359" s="7"/>
      <c r="AF359" s="7"/>
      <c r="AG359" s="7"/>
      <c r="AH359" s="7"/>
      <c r="AI359" s="7"/>
      <c r="AJ359" s="7">
        <f>Liste!X359</f>
        <v>0</v>
      </c>
      <c r="AK359" s="7">
        <f>Liste!Y359</f>
        <v>0</v>
      </c>
      <c r="AL359" s="7"/>
      <c r="AM359" s="7"/>
      <c r="AN359" s="7"/>
      <c r="AO359" s="1113">
        <f>Liste!D359</f>
        <v>0</v>
      </c>
      <c r="AP359" s="1113">
        <f>Liste!F359</f>
        <v>0</v>
      </c>
      <c r="AQ359" s="1113">
        <f>Liste!E359</f>
        <v>0</v>
      </c>
      <c r="AR359" s="1113" t="str">
        <f>Liste!G359</f>
        <v xml:space="preserve"> </v>
      </c>
      <c r="AS359" s="1112">
        <f>Liste!V359</f>
        <v>0</v>
      </c>
      <c r="AT359" s="1" t="str">
        <f>Liste!M359</f>
        <v xml:space="preserve"> </v>
      </c>
      <c r="AZ359" s="5" t="s">
        <v>30021</v>
      </c>
      <c r="BA359" s="4" t="s">
        <v>101</v>
      </c>
      <c r="BB359" s="4">
        <v>861</v>
      </c>
      <c r="BD359" s="35"/>
      <c r="BE359" s="35"/>
      <c r="BF359" s="2118" t="str">
        <f>Liste!R359</f>
        <v>0</v>
      </c>
      <c r="BG359" s="2137">
        <f>IF(AS359&gt;0,Liste!S359,0)</f>
        <v>0</v>
      </c>
      <c r="BH359" s="2118">
        <f>Liste!T359</f>
        <v>0</v>
      </c>
    </row>
    <row r="360" spans="1:60" ht="24.95" customHeight="1" x14ac:dyDescent="0.25">
      <c r="A360" s="29"/>
      <c r="B360" s="46" t="str">
        <f>IF(Liste!O360&gt;0,Liste!O360,Liste!B360)</f>
        <v>0</v>
      </c>
      <c r="C360" s="2314"/>
      <c r="D360" s="30" t="str">
        <f>Liste!C360</f>
        <v>0</v>
      </c>
      <c r="E360" s="2314"/>
      <c r="F360" s="32">
        <f t="shared" si="32"/>
        <v>0</v>
      </c>
      <c r="G360" s="2314"/>
      <c r="H360" s="32">
        <f t="shared" si="33"/>
        <v>0</v>
      </c>
      <c r="I360" s="2314"/>
      <c r="J360" s="32">
        <f t="shared" si="34"/>
        <v>0</v>
      </c>
      <c r="K360" s="2314"/>
      <c r="L360" s="31" t="str">
        <f t="shared" si="35"/>
        <v xml:space="preserve"> </v>
      </c>
      <c r="M360" s="2314"/>
      <c r="N360" s="31">
        <f>Liste!L360</f>
        <v>0</v>
      </c>
      <c r="O360" s="31"/>
      <c r="P360" s="31"/>
      <c r="Q360" s="31">
        <f>Liste!P360</f>
        <v>0</v>
      </c>
      <c r="R360" s="31">
        <f>Liste!N360</f>
        <v>0</v>
      </c>
      <c r="S360" s="7">
        <v>0</v>
      </c>
      <c r="T360" s="7">
        <v>0</v>
      </c>
      <c r="U360" s="7">
        <v>0</v>
      </c>
      <c r="V360" s="7"/>
      <c r="W360" s="60"/>
      <c r="X360" s="60"/>
      <c r="Y360" s="60"/>
      <c r="Z360" s="7"/>
      <c r="AA360" s="7"/>
      <c r="AB360" s="60"/>
      <c r="AC360" s="60"/>
      <c r="AD360" s="60"/>
      <c r="AE360" s="7"/>
      <c r="AF360" s="7"/>
      <c r="AG360" s="7"/>
      <c r="AH360" s="7"/>
      <c r="AI360" s="7"/>
      <c r="AJ360" s="7">
        <f>Liste!X360</f>
        <v>0</v>
      </c>
      <c r="AK360" s="7">
        <f>Liste!Y360</f>
        <v>0</v>
      </c>
      <c r="AL360" s="7"/>
      <c r="AM360" s="7"/>
      <c r="AN360" s="7"/>
      <c r="AO360" s="1113">
        <f>Liste!D360</f>
        <v>0</v>
      </c>
      <c r="AP360" s="1113">
        <f>Liste!F360</f>
        <v>0</v>
      </c>
      <c r="AQ360" s="1113">
        <f>Liste!E360</f>
        <v>0</v>
      </c>
      <c r="AR360" s="1113" t="str">
        <f>Liste!G360</f>
        <v xml:space="preserve"> </v>
      </c>
      <c r="AS360" s="1112">
        <f>Liste!V360</f>
        <v>0</v>
      </c>
      <c r="AT360" s="1" t="str">
        <f>Liste!M360</f>
        <v xml:space="preserve"> </v>
      </c>
      <c r="AZ360" s="5" t="s">
        <v>30022</v>
      </c>
      <c r="BA360" s="4" t="s">
        <v>101</v>
      </c>
      <c r="BB360" s="4">
        <v>862</v>
      </c>
      <c r="BD360" s="35"/>
      <c r="BE360" s="35"/>
      <c r="BF360" s="2118" t="str">
        <f>Liste!R360</f>
        <v>0</v>
      </c>
      <c r="BG360" s="2137">
        <f>IF(AS360&gt;0,Liste!S360,0)</f>
        <v>0</v>
      </c>
      <c r="BH360" s="2118">
        <f>Liste!T360</f>
        <v>0</v>
      </c>
    </row>
    <row r="361" spans="1:60" ht="24.95" customHeight="1" x14ac:dyDescent="0.25">
      <c r="A361" s="29"/>
      <c r="B361" s="46" t="str">
        <f>IF(Liste!O361&gt;0,Liste!O361,Liste!B361)</f>
        <v>0</v>
      </c>
      <c r="C361" s="2314"/>
      <c r="D361" s="30" t="str">
        <f>Liste!C361</f>
        <v>0</v>
      </c>
      <c r="E361" s="2314"/>
      <c r="F361" s="32">
        <f t="shared" si="32"/>
        <v>0</v>
      </c>
      <c r="G361" s="2314"/>
      <c r="H361" s="32">
        <f t="shared" si="33"/>
        <v>0</v>
      </c>
      <c r="I361" s="2314"/>
      <c r="J361" s="32">
        <f t="shared" si="34"/>
        <v>0</v>
      </c>
      <c r="K361" s="2314"/>
      <c r="L361" s="31" t="str">
        <f t="shared" si="35"/>
        <v xml:space="preserve"> </v>
      </c>
      <c r="M361" s="2314"/>
      <c r="N361" s="31">
        <f>Liste!L361</f>
        <v>0</v>
      </c>
      <c r="O361" s="31"/>
      <c r="P361" s="31"/>
      <c r="Q361" s="31">
        <f>Liste!P361</f>
        <v>0</v>
      </c>
      <c r="R361" s="31">
        <f>Liste!N361</f>
        <v>0</v>
      </c>
      <c r="S361" s="7">
        <v>0</v>
      </c>
      <c r="T361" s="7">
        <v>0</v>
      </c>
      <c r="U361" s="7">
        <v>0</v>
      </c>
      <c r="V361" s="7"/>
      <c r="W361" s="60"/>
      <c r="X361" s="60"/>
      <c r="Y361" s="60"/>
      <c r="Z361" s="7"/>
      <c r="AA361" s="7"/>
      <c r="AB361" s="60"/>
      <c r="AC361" s="60"/>
      <c r="AD361" s="60"/>
      <c r="AE361" s="7"/>
      <c r="AF361" s="7"/>
      <c r="AG361" s="7"/>
      <c r="AH361" s="7"/>
      <c r="AI361" s="7"/>
      <c r="AJ361" s="7">
        <f>Liste!X361</f>
        <v>0</v>
      </c>
      <c r="AK361" s="7">
        <f>Liste!Y361</f>
        <v>0</v>
      </c>
      <c r="AL361" s="7"/>
      <c r="AM361" s="7"/>
      <c r="AN361" s="7"/>
      <c r="AO361" s="1113">
        <f>Liste!D361</f>
        <v>0</v>
      </c>
      <c r="AP361" s="1113">
        <f>Liste!F361</f>
        <v>0</v>
      </c>
      <c r="AQ361" s="1113">
        <f>Liste!E361</f>
        <v>0</v>
      </c>
      <c r="AR361" s="1113" t="str">
        <f>Liste!G361</f>
        <v xml:space="preserve"> </v>
      </c>
      <c r="AS361" s="1112">
        <f>Liste!V361</f>
        <v>0</v>
      </c>
      <c r="AT361" s="1" t="str">
        <f>Liste!M361</f>
        <v xml:space="preserve"> </v>
      </c>
      <c r="AZ361" s="5" t="s">
        <v>30023</v>
      </c>
      <c r="BA361" s="4" t="s">
        <v>101</v>
      </c>
      <c r="BB361" s="4">
        <v>863</v>
      </c>
      <c r="BD361" s="35"/>
      <c r="BE361" s="35"/>
      <c r="BF361" s="2118" t="str">
        <f>Liste!R361</f>
        <v>0</v>
      </c>
      <c r="BG361" s="2137">
        <f>IF(AS361&gt;0,Liste!S361,0)</f>
        <v>0</v>
      </c>
      <c r="BH361" s="2118">
        <f>Liste!T361</f>
        <v>0</v>
      </c>
    </row>
    <row r="362" spans="1:60" ht="24.95" customHeight="1" x14ac:dyDescent="0.25">
      <c r="A362" s="29"/>
      <c r="B362" s="46" t="str">
        <f>IF(Liste!O362&gt;0,Liste!O362,Liste!B362)</f>
        <v>Führungsschienenbefestigungsspangen Standard verzinkt</v>
      </c>
      <c r="C362" s="2314"/>
      <c r="D362" s="30" t="str">
        <f>Liste!C362</f>
        <v>0308133</v>
      </c>
      <c r="E362" s="2314"/>
      <c r="F362" s="32">
        <f t="shared" si="32"/>
        <v>6</v>
      </c>
      <c r="G362" s="2314"/>
      <c r="H362" s="32">
        <f t="shared" si="33"/>
        <v>0</v>
      </c>
      <c r="I362" s="2314"/>
      <c r="J362" s="32">
        <f t="shared" si="34"/>
        <v>0</v>
      </c>
      <c r="K362" s="2314"/>
      <c r="L362" s="31">
        <f t="shared" si="35"/>
        <v>0</v>
      </c>
      <c r="M362" s="2314"/>
      <c r="N362" s="31" t="str">
        <f>Liste!L362</f>
        <v>Stk</v>
      </c>
      <c r="O362" s="31"/>
      <c r="P362" s="31"/>
      <c r="Q362" s="31">
        <f>Liste!P362</f>
        <v>0</v>
      </c>
      <c r="R362" s="31">
        <f>Liste!N362</f>
        <v>0</v>
      </c>
      <c r="S362" s="7">
        <v>0</v>
      </c>
      <c r="T362" s="7">
        <v>0</v>
      </c>
      <c r="U362" s="7">
        <v>0</v>
      </c>
      <c r="V362" s="7"/>
      <c r="W362" s="60"/>
      <c r="X362" s="60"/>
      <c r="Y362" s="60"/>
      <c r="Z362" s="7"/>
      <c r="AA362" s="7"/>
      <c r="AB362" s="60"/>
      <c r="AC362" s="60"/>
      <c r="AD362" s="60"/>
      <c r="AE362" s="7"/>
      <c r="AF362" s="7"/>
      <c r="AG362" s="7"/>
      <c r="AH362" s="7"/>
      <c r="AI362" s="7"/>
      <c r="AJ362" s="7">
        <f>Liste!X362</f>
        <v>0</v>
      </c>
      <c r="AK362" s="7">
        <f>Liste!Y362</f>
        <v>0</v>
      </c>
      <c r="AL362" s="7"/>
      <c r="AM362" s="7"/>
      <c r="AN362" s="7"/>
      <c r="AO362" s="1113">
        <f>Liste!D362</f>
        <v>6</v>
      </c>
      <c r="AP362" s="1113">
        <f>Liste!F362</f>
        <v>161.19999999999999</v>
      </c>
      <c r="AQ362" s="1113">
        <f>Liste!E362</f>
        <v>60</v>
      </c>
      <c r="AR362" s="1113">
        <f>Liste!G362</f>
        <v>5</v>
      </c>
      <c r="AS362" s="1112">
        <f>Liste!V362</f>
        <v>1</v>
      </c>
      <c r="AT362" s="1" t="str">
        <f>Liste!M362</f>
        <v>Stahlblech verz.</v>
      </c>
      <c r="AZ362" s="5" t="s">
        <v>30024</v>
      </c>
      <c r="BA362" s="4" t="s">
        <v>101</v>
      </c>
      <c r="BB362" s="4">
        <v>864</v>
      </c>
      <c r="BD362" s="35"/>
      <c r="BE362" s="35"/>
      <c r="BF362" s="2118" t="str">
        <f>Liste!R362</f>
        <v>0308133</v>
      </c>
      <c r="BG362" s="2137">
        <f>IF(AS362&gt;0,Liste!S362,0)</f>
        <v>6</v>
      </c>
      <c r="BH362" s="2118" t="str">
        <f>Liste!T362</f>
        <v>Stk</v>
      </c>
    </row>
    <row r="363" spans="1:60" ht="24.95" customHeight="1" x14ac:dyDescent="0.25">
      <c r="A363" s="29"/>
      <c r="B363" s="46" t="str">
        <f>IF(Liste!O363&gt;0,Liste!O363,Liste!B363)</f>
        <v>Führungsschienenbefestigungsspangen Standard V2A</v>
      </c>
      <c r="C363" s="2314"/>
      <c r="D363" s="30" t="str">
        <f>Liste!C363</f>
        <v>0338133</v>
      </c>
      <c r="E363" s="2314"/>
      <c r="F363" s="32">
        <f t="shared" si="32"/>
        <v>0</v>
      </c>
      <c r="G363" s="2314"/>
      <c r="H363" s="32">
        <f t="shared" si="33"/>
        <v>0</v>
      </c>
      <c r="I363" s="2314"/>
      <c r="J363" s="32">
        <f t="shared" si="34"/>
        <v>0</v>
      </c>
      <c r="K363" s="2314"/>
      <c r="L363" s="31">
        <f t="shared" si="35"/>
        <v>0</v>
      </c>
      <c r="M363" s="2314"/>
      <c r="N363" s="31" t="str">
        <f>Liste!L363</f>
        <v>Stk</v>
      </c>
      <c r="O363" s="31"/>
      <c r="P363" s="31"/>
      <c r="Q363" s="31">
        <f>Liste!P363</f>
        <v>0</v>
      </c>
      <c r="R363" s="31">
        <f>Liste!N363</f>
        <v>0</v>
      </c>
      <c r="S363" s="7">
        <v>0</v>
      </c>
      <c r="T363" s="7">
        <v>0</v>
      </c>
      <c r="U363" s="7">
        <v>0</v>
      </c>
      <c r="V363" s="7"/>
      <c r="W363" s="60"/>
      <c r="X363" s="60"/>
      <c r="Y363" s="60"/>
      <c r="Z363" s="7"/>
      <c r="AA363" s="7"/>
      <c r="AB363" s="60"/>
      <c r="AC363" s="60"/>
      <c r="AD363" s="60"/>
      <c r="AE363" s="7"/>
      <c r="AF363" s="7"/>
      <c r="AG363" s="7"/>
      <c r="AH363" s="7"/>
      <c r="AI363" s="7"/>
      <c r="AJ363" s="7">
        <f>Liste!X363</f>
        <v>0</v>
      </c>
      <c r="AK363" s="7">
        <f>Liste!Y363</f>
        <v>0</v>
      </c>
      <c r="AL363" s="7"/>
      <c r="AM363" s="7"/>
      <c r="AN363" s="7"/>
      <c r="AO363" s="1113">
        <f>Liste!D363</f>
        <v>0</v>
      </c>
      <c r="AP363" s="1113">
        <f>Liste!F363</f>
        <v>161.19999999999999</v>
      </c>
      <c r="AQ363" s="1113">
        <f>Liste!E363</f>
        <v>60</v>
      </c>
      <c r="AR363" s="1113">
        <f>Liste!G363</f>
        <v>5</v>
      </c>
      <c r="AS363" s="1112">
        <f>Liste!V363</f>
        <v>1</v>
      </c>
      <c r="AT363" s="1" t="str">
        <f>Liste!M363</f>
        <v>V2A blank</v>
      </c>
      <c r="AZ363" s="5" t="s">
        <v>30025</v>
      </c>
      <c r="BA363" s="4" t="s">
        <v>101</v>
      </c>
      <c r="BB363" s="4">
        <v>865</v>
      </c>
      <c r="BD363" s="35"/>
      <c r="BE363" s="35"/>
      <c r="BF363" s="2118" t="str">
        <f>Liste!R363</f>
        <v>0338133</v>
      </c>
      <c r="BG363" s="2137">
        <f>IF(AS363&gt;0,Liste!S363,0)</f>
        <v>0</v>
      </c>
      <c r="BH363" s="2118" t="str">
        <f>Liste!T363</f>
        <v>Stk</v>
      </c>
    </row>
    <row r="364" spans="1:60" ht="24.95" customHeight="1" x14ac:dyDescent="0.25">
      <c r="A364" s="29"/>
      <c r="B364" s="46" t="str">
        <f>IF(Liste!O364&gt;0,Liste!O364,Liste!B364)</f>
        <v>Führungsschienenbefestigungsspangen Standard verzinkt</v>
      </c>
      <c r="C364" s="2314"/>
      <c r="D364" s="30" t="str">
        <f>Liste!C364</f>
        <v>0308133</v>
      </c>
      <c r="E364" s="2314"/>
      <c r="F364" s="32">
        <f t="shared" si="32"/>
        <v>0</v>
      </c>
      <c r="G364" s="2314"/>
      <c r="H364" s="32">
        <f t="shared" si="33"/>
        <v>161.19999999999999</v>
      </c>
      <c r="I364" s="2314"/>
      <c r="J364" s="32">
        <f t="shared" si="34"/>
        <v>60</v>
      </c>
      <c r="K364" s="2314"/>
      <c r="L364" s="31">
        <f t="shared" si="35"/>
        <v>0</v>
      </c>
      <c r="M364" s="2314"/>
      <c r="N364" s="31">
        <f>Liste!L364</f>
        <v>0</v>
      </c>
      <c r="O364" s="31"/>
      <c r="P364" s="31"/>
      <c r="Q364" s="31">
        <f>Liste!P364</f>
        <v>0</v>
      </c>
      <c r="R364" s="31">
        <f>Liste!N364</f>
        <v>0</v>
      </c>
      <c r="S364" s="7">
        <v>0</v>
      </c>
      <c r="T364" s="7">
        <v>0</v>
      </c>
      <c r="U364" s="7">
        <v>0</v>
      </c>
      <c r="V364" s="7"/>
      <c r="W364" s="60"/>
      <c r="X364" s="60"/>
      <c r="Y364" s="60"/>
      <c r="Z364" s="7"/>
      <c r="AA364" s="7"/>
      <c r="AB364" s="60"/>
      <c r="AC364" s="60"/>
      <c r="AD364" s="60"/>
      <c r="AE364" s="7"/>
      <c r="AF364" s="7"/>
      <c r="AG364" s="7"/>
      <c r="AH364" s="7"/>
      <c r="AI364" s="7"/>
      <c r="AJ364" s="7">
        <f>Liste!X364</f>
        <v>0</v>
      </c>
      <c r="AK364" s="7">
        <f>Liste!Y364</f>
        <v>0</v>
      </c>
      <c r="AL364" s="7"/>
      <c r="AM364" s="7"/>
      <c r="AN364" s="7"/>
      <c r="AO364" s="1113">
        <f>Liste!D364</f>
        <v>0</v>
      </c>
      <c r="AP364" s="1113">
        <f>Liste!F364</f>
        <v>161.19999999999999</v>
      </c>
      <c r="AQ364" s="1113">
        <f>Liste!E364</f>
        <v>60</v>
      </c>
      <c r="AR364" s="1113">
        <f>Liste!G364</f>
        <v>0</v>
      </c>
      <c r="AS364" s="1112">
        <f>Liste!V364</f>
        <v>0</v>
      </c>
      <c r="AT364" s="1">
        <f>Liste!M364</f>
        <v>0</v>
      </c>
      <c r="AZ364" s="5" t="s">
        <v>30026</v>
      </c>
      <c r="BA364" s="4" t="s">
        <v>101</v>
      </c>
      <c r="BB364" s="4">
        <v>866</v>
      </c>
      <c r="BD364" s="35"/>
      <c r="BE364" s="35"/>
      <c r="BF364" s="2118" t="str">
        <f>Liste!R364</f>
        <v>0308133</v>
      </c>
      <c r="BG364" s="2137">
        <f>IF(AS364&gt;0,Liste!S364,0)</f>
        <v>0</v>
      </c>
      <c r="BH364" s="2118">
        <f>Liste!T364</f>
        <v>0</v>
      </c>
    </row>
    <row r="365" spans="1:60" ht="24.95" customHeight="1" x14ac:dyDescent="0.25">
      <c r="A365" s="29"/>
      <c r="B365" s="46" t="str">
        <f>IF(Liste!O365&gt;0,Liste!O365,Liste!B365)</f>
        <v>Führungsschienenbefestigungsspangen U-Form verzinkt</v>
      </c>
      <c r="C365" s="2314"/>
      <c r="D365" s="30" t="str">
        <f>Liste!C365</f>
        <v>0308134</v>
      </c>
      <c r="E365" s="2314"/>
      <c r="F365" s="32">
        <f t="shared" si="32"/>
        <v>0</v>
      </c>
      <c r="G365" s="2314"/>
      <c r="H365" s="32">
        <f t="shared" si="33"/>
        <v>0</v>
      </c>
      <c r="I365" s="2314"/>
      <c r="J365" s="32">
        <f t="shared" si="34"/>
        <v>0</v>
      </c>
      <c r="K365" s="2314"/>
      <c r="L365" s="31">
        <f t="shared" si="35"/>
        <v>0</v>
      </c>
      <c r="M365" s="2314"/>
      <c r="N365" s="31" t="str">
        <f>Liste!L365</f>
        <v>Stk</v>
      </c>
      <c r="O365" s="31"/>
      <c r="P365" s="31"/>
      <c r="Q365" s="31">
        <f>Liste!P365</f>
        <v>0</v>
      </c>
      <c r="R365" s="31">
        <f>Liste!N365</f>
        <v>0</v>
      </c>
      <c r="S365" s="7">
        <v>0</v>
      </c>
      <c r="T365" s="7">
        <v>0</v>
      </c>
      <c r="U365" s="7">
        <v>0</v>
      </c>
      <c r="V365" s="7"/>
      <c r="W365" s="60"/>
      <c r="X365" s="60"/>
      <c r="Y365" s="60"/>
      <c r="Z365" s="7"/>
      <c r="AA365" s="7"/>
      <c r="AB365" s="60"/>
      <c r="AC365" s="60"/>
      <c r="AD365" s="60"/>
      <c r="AE365" s="7"/>
      <c r="AF365" s="7"/>
      <c r="AG365" s="7"/>
      <c r="AH365" s="7"/>
      <c r="AI365" s="7"/>
      <c r="AJ365" s="7">
        <f>Liste!X365</f>
        <v>0</v>
      </c>
      <c r="AK365" s="7">
        <f>Liste!Y365</f>
        <v>1</v>
      </c>
      <c r="AL365" s="7"/>
      <c r="AM365" s="7"/>
      <c r="AN365" s="7"/>
      <c r="AO365" s="1113">
        <f>Liste!D365</f>
        <v>0</v>
      </c>
      <c r="AP365" s="1113">
        <f>Liste!F365</f>
        <v>185</v>
      </c>
      <c r="AQ365" s="1113">
        <f>Liste!E365</f>
        <v>60</v>
      </c>
      <c r="AR365" s="1113">
        <f>Liste!G365</f>
        <v>5</v>
      </c>
      <c r="AS365" s="1112">
        <f>Liste!V365</f>
        <v>1</v>
      </c>
      <c r="AT365" s="1" t="str">
        <f>Liste!M365</f>
        <v>Stahlblech verz.</v>
      </c>
      <c r="AZ365" s="5" t="s">
        <v>30027</v>
      </c>
      <c r="BA365" s="4" t="s">
        <v>101</v>
      </c>
      <c r="BB365" s="4">
        <v>867</v>
      </c>
      <c r="BD365" s="35"/>
      <c r="BE365" s="35"/>
      <c r="BF365" s="2118" t="str">
        <f>Liste!R365</f>
        <v>0308134</v>
      </c>
      <c r="BG365" s="2137">
        <f>IF(AS365&gt;0,Liste!S365,0)</f>
        <v>0</v>
      </c>
      <c r="BH365" s="2118" t="str">
        <f>Liste!T365</f>
        <v>Stk</v>
      </c>
    </row>
    <row r="366" spans="1:60" ht="24.95" customHeight="1" x14ac:dyDescent="0.25">
      <c r="A366" s="29"/>
      <c r="B366" s="46" t="str">
        <f>IF(Liste!O366&gt;0,Liste!O366,Liste!B366)</f>
        <v>Führungsschienenbefestigungsspangen U-Form V2A</v>
      </c>
      <c r="C366" s="2314"/>
      <c r="D366" s="30" t="str">
        <f>Liste!C366</f>
        <v>0338134</v>
      </c>
      <c r="E366" s="2314"/>
      <c r="F366" s="32">
        <f t="shared" si="32"/>
        <v>0</v>
      </c>
      <c r="G366" s="2314"/>
      <c r="H366" s="32">
        <f t="shared" si="33"/>
        <v>0</v>
      </c>
      <c r="I366" s="2314"/>
      <c r="J366" s="32">
        <f t="shared" si="34"/>
        <v>0</v>
      </c>
      <c r="K366" s="2314"/>
      <c r="L366" s="31">
        <f t="shared" si="35"/>
        <v>0</v>
      </c>
      <c r="M366" s="2314"/>
      <c r="N366" s="31" t="str">
        <f>Liste!L366</f>
        <v>Stk</v>
      </c>
      <c r="O366" s="31"/>
      <c r="P366" s="31"/>
      <c r="Q366" s="31">
        <f>Liste!P366</f>
        <v>0</v>
      </c>
      <c r="R366" s="31">
        <f>Liste!N366</f>
        <v>0</v>
      </c>
      <c r="S366" s="7">
        <v>0</v>
      </c>
      <c r="T366" s="7">
        <v>0</v>
      </c>
      <c r="U366" s="7">
        <v>0</v>
      </c>
      <c r="V366" s="7"/>
      <c r="W366" s="60"/>
      <c r="X366" s="60"/>
      <c r="Y366" s="60"/>
      <c r="Z366" s="7"/>
      <c r="AA366" s="7"/>
      <c r="AB366" s="60"/>
      <c r="AC366" s="60"/>
      <c r="AD366" s="60"/>
      <c r="AE366" s="7"/>
      <c r="AF366" s="7"/>
      <c r="AG366" s="7"/>
      <c r="AH366" s="7"/>
      <c r="AI366" s="7"/>
      <c r="AJ366" s="7">
        <f>Liste!X366</f>
        <v>0</v>
      </c>
      <c r="AK366" s="7">
        <f>Liste!Y366</f>
        <v>0</v>
      </c>
      <c r="AL366" s="7"/>
      <c r="AM366" s="7"/>
      <c r="AN366" s="7"/>
      <c r="AO366" s="1113">
        <f>Liste!D366</f>
        <v>0</v>
      </c>
      <c r="AP366" s="1113">
        <f>Liste!F366</f>
        <v>185</v>
      </c>
      <c r="AQ366" s="1113">
        <f>Liste!E366</f>
        <v>60</v>
      </c>
      <c r="AR366" s="1113">
        <f>Liste!G366</f>
        <v>5</v>
      </c>
      <c r="AS366" s="1112">
        <f>Liste!V366</f>
        <v>1</v>
      </c>
      <c r="AT366" s="1" t="str">
        <f>Liste!M366</f>
        <v>V2A blank</v>
      </c>
      <c r="AZ366" s="5" t="s">
        <v>30028</v>
      </c>
      <c r="BA366" s="4" t="s">
        <v>101</v>
      </c>
      <c r="BB366" s="4">
        <v>868</v>
      </c>
      <c r="BD366" s="35"/>
      <c r="BE366" s="35"/>
      <c r="BF366" s="2118" t="str">
        <f>Liste!R366</f>
        <v>0338134</v>
      </c>
      <c r="BG366" s="2137">
        <f>IF(AS366&gt;0,Liste!S366,0)</f>
        <v>0</v>
      </c>
      <c r="BH366" s="2118" t="str">
        <f>Liste!T366</f>
        <v>Stk</v>
      </c>
    </row>
    <row r="367" spans="1:60" ht="24.95" customHeight="1" x14ac:dyDescent="0.25">
      <c r="A367" s="29"/>
      <c r="B367" s="46">
        <f>IF(Liste!O367&gt;0,Liste!O367,Liste!B367)</f>
        <v>0</v>
      </c>
      <c r="C367" s="2314"/>
      <c r="D367" s="30">
        <f>Liste!C367</f>
        <v>0</v>
      </c>
      <c r="E367" s="2314"/>
      <c r="F367" s="32">
        <f t="shared" si="32"/>
        <v>0</v>
      </c>
      <c r="G367" s="2314"/>
      <c r="H367" s="32">
        <f t="shared" si="33"/>
        <v>0</v>
      </c>
      <c r="I367" s="2314"/>
      <c r="J367" s="32">
        <f t="shared" si="34"/>
        <v>0</v>
      </c>
      <c r="K367" s="2314"/>
      <c r="L367" s="31">
        <f t="shared" si="35"/>
        <v>0</v>
      </c>
      <c r="M367" s="2314"/>
      <c r="N367" s="31">
        <f>Liste!L367</f>
        <v>0</v>
      </c>
      <c r="O367" s="31"/>
      <c r="P367" s="31"/>
      <c r="Q367" s="31">
        <f>Liste!P367</f>
        <v>0</v>
      </c>
      <c r="R367" s="31">
        <f>Liste!N367</f>
        <v>0</v>
      </c>
      <c r="S367" s="7">
        <v>0</v>
      </c>
      <c r="T367" s="7">
        <v>0</v>
      </c>
      <c r="U367" s="7">
        <v>0</v>
      </c>
      <c r="V367" s="7"/>
      <c r="W367" s="60"/>
      <c r="X367" s="60"/>
      <c r="Y367" s="60"/>
      <c r="Z367" s="7"/>
      <c r="AA367" s="7"/>
      <c r="AB367" s="60"/>
      <c r="AC367" s="60"/>
      <c r="AD367" s="60"/>
      <c r="AE367" s="7"/>
      <c r="AF367" s="7"/>
      <c r="AG367" s="7"/>
      <c r="AH367" s="7"/>
      <c r="AI367" s="7"/>
      <c r="AJ367" s="7">
        <f>Liste!X367</f>
        <v>0</v>
      </c>
      <c r="AK367" s="7">
        <f>Liste!Y367</f>
        <v>0</v>
      </c>
      <c r="AL367" s="7"/>
      <c r="AM367" s="7"/>
      <c r="AN367" s="7"/>
      <c r="AO367" s="1113">
        <f>Liste!D367</f>
        <v>0</v>
      </c>
      <c r="AP367" s="1113">
        <f>Liste!F367</f>
        <v>0</v>
      </c>
      <c r="AQ367" s="1113">
        <f>Liste!E367</f>
        <v>0</v>
      </c>
      <c r="AR367" s="1113">
        <f>Liste!G367</f>
        <v>0</v>
      </c>
      <c r="AS367" s="1112">
        <f>Liste!V367</f>
        <v>0</v>
      </c>
      <c r="AT367" s="1">
        <f>Liste!M367</f>
        <v>0</v>
      </c>
      <c r="AZ367" s="5" t="s">
        <v>30029</v>
      </c>
      <c r="BA367" s="4" t="s">
        <v>101</v>
      </c>
      <c r="BB367" s="4">
        <v>869</v>
      </c>
      <c r="BD367" s="35"/>
      <c r="BE367" s="35"/>
      <c r="BF367" s="2118">
        <f>Liste!R367</f>
        <v>0</v>
      </c>
      <c r="BG367" s="2137">
        <f>IF(AS367&gt;0,Liste!S367,0)</f>
        <v>0</v>
      </c>
      <c r="BH367" s="2118">
        <f>Liste!T367</f>
        <v>0</v>
      </c>
    </row>
    <row r="368" spans="1:60" ht="24.95" customHeight="1" x14ac:dyDescent="0.25">
      <c r="A368" s="29"/>
      <c r="B368" s="46" t="str">
        <f>IF(Liste!O368&gt;0,Liste!O368,Liste!B368)</f>
        <v>Zusammenstellen und Verpacken Kompetenzgruppe</v>
      </c>
      <c r="C368" s="2314"/>
      <c r="D368" s="30">
        <f>Liste!C368</f>
        <v>0</v>
      </c>
      <c r="E368" s="2314"/>
      <c r="F368" s="32">
        <f t="shared" si="32"/>
        <v>0</v>
      </c>
      <c r="G368" s="2314"/>
      <c r="H368" s="32">
        <f t="shared" si="33"/>
        <v>0</v>
      </c>
      <c r="I368" s="2314"/>
      <c r="J368" s="32">
        <f t="shared" si="34"/>
        <v>0</v>
      </c>
      <c r="K368" s="2314"/>
      <c r="L368" s="31">
        <f t="shared" si="35"/>
        <v>0</v>
      </c>
      <c r="M368" s="2314"/>
      <c r="N368" s="31" t="str">
        <f>Liste!L368</f>
        <v>MM</v>
      </c>
      <c r="O368" s="31"/>
      <c r="P368" s="31"/>
      <c r="Q368" s="31">
        <f>Liste!P368</f>
        <v>0</v>
      </c>
      <c r="R368" s="31">
        <f>Liste!N368</f>
        <v>0</v>
      </c>
      <c r="S368" s="7">
        <v>0</v>
      </c>
      <c r="T368" s="7">
        <v>0</v>
      </c>
      <c r="U368" s="7">
        <v>0</v>
      </c>
      <c r="V368" s="7"/>
      <c r="W368" s="60"/>
      <c r="X368" s="60"/>
      <c r="Y368" s="60"/>
      <c r="Z368" s="7"/>
      <c r="AA368" s="7"/>
      <c r="AB368" s="60"/>
      <c r="AC368" s="60"/>
      <c r="AD368" s="60"/>
      <c r="AE368" s="7"/>
      <c r="AF368" s="7"/>
      <c r="AG368" s="7"/>
      <c r="AH368" s="7"/>
      <c r="AI368" s="7"/>
      <c r="AJ368" s="7">
        <f>Liste!X368</f>
        <v>0</v>
      </c>
      <c r="AK368" s="7">
        <f>Liste!Y368</f>
        <v>0</v>
      </c>
      <c r="AL368" s="7"/>
      <c r="AM368" s="7"/>
      <c r="AN368" s="7"/>
      <c r="AO368" s="1113">
        <f>Liste!D368</f>
        <v>1</v>
      </c>
      <c r="AP368" s="1113">
        <f>Liste!F368</f>
        <v>0</v>
      </c>
      <c r="AQ368" s="1113">
        <f>Liste!E368</f>
        <v>0</v>
      </c>
      <c r="AR368" s="1113">
        <f>Liste!G368</f>
        <v>0</v>
      </c>
      <c r="AS368" s="1112">
        <f>Liste!V368</f>
        <v>0</v>
      </c>
      <c r="AT368" s="1">
        <f>Liste!M368</f>
        <v>0</v>
      </c>
      <c r="AZ368" s="5" t="s">
        <v>30030</v>
      </c>
      <c r="BA368" s="4" t="s">
        <v>101</v>
      </c>
      <c r="BB368" s="4">
        <v>870</v>
      </c>
      <c r="BD368" s="35"/>
      <c r="BE368" s="35"/>
      <c r="BF368" s="2118">
        <f>Liste!R368</f>
        <v>0</v>
      </c>
      <c r="BG368" s="2137">
        <f>IF(AS368&gt;0,Liste!S368,0)</f>
        <v>0</v>
      </c>
      <c r="BH368" s="2118">
        <f>Liste!T368</f>
        <v>0</v>
      </c>
    </row>
    <row r="369" spans="1:60" ht="24.95" customHeight="1" x14ac:dyDescent="0.25">
      <c r="A369" s="29"/>
      <c r="B369" s="46" t="str">
        <f>IF(Liste!O369&gt;0,Liste!O369,Liste!B369)</f>
        <v>Arbeitsvorbereitung</v>
      </c>
      <c r="C369" s="2314"/>
      <c r="D369" s="30">
        <f>Liste!C369</f>
        <v>0</v>
      </c>
      <c r="E369" s="2314"/>
      <c r="F369" s="32">
        <f t="shared" si="32"/>
        <v>0</v>
      </c>
      <c r="G369" s="2314"/>
      <c r="H369" s="32">
        <f t="shared" si="33"/>
        <v>0</v>
      </c>
      <c r="I369" s="2314"/>
      <c r="J369" s="32">
        <f t="shared" si="34"/>
        <v>0</v>
      </c>
      <c r="K369" s="2314"/>
      <c r="L369" s="31">
        <f t="shared" si="35"/>
        <v>0</v>
      </c>
      <c r="M369" s="2314"/>
      <c r="N369" s="31" t="str">
        <f>Liste!L369</f>
        <v>MM</v>
      </c>
      <c r="O369" s="31"/>
      <c r="P369" s="31"/>
      <c r="Q369" s="31">
        <f>Liste!P369</f>
        <v>0</v>
      </c>
      <c r="R369" s="31">
        <f>Liste!N369</f>
        <v>0</v>
      </c>
      <c r="S369" s="7">
        <v>0</v>
      </c>
      <c r="T369" s="7">
        <v>0</v>
      </c>
      <c r="U369" s="7">
        <v>0</v>
      </c>
      <c r="V369" s="7"/>
      <c r="W369" s="60"/>
      <c r="X369" s="60"/>
      <c r="Y369" s="60"/>
      <c r="Z369" s="7"/>
      <c r="AA369" s="7"/>
      <c r="AB369" s="60"/>
      <c r="AC369" s="60"/>
      <c r="AD369" s="60"/>
      <c r="AE369" s="7"/>
      <c r="AF369" s="7"/>
      <c r="AG369" s="7"/>
      <c r="AH369" s="7"/>
      <c r="AI369" s="7"/>
      <c r="AJ369" s="7">
        <f>Liste!X369</f>
        <v>0</v>
      </c>
      <c r="AK369" s="7">
        <f>Liste!Y369</f>
        <v>0</v>
      </c>
      <c r="AL369" s="7"/>
      <c r="AM369" s="7"/>
      <c r="AN369" s="7"/>
      <c r="AO369" s="1113">
        <f>Liste!D369</f>
        <v>1</v>
      </c>
      <c r="AP369" s="1113">
        <f>Liste!F369</f>
        <v>0</v>
      </c>
      <c r="AQ369" s="1113">
        <f>Liste!E369</f>
        <v>0</v>
      </c>
      <c r="AR369" s="1113">
        <f>Liste!G369</f>
        <v>0</v>
      </c>
      <c r="AS369" s="1112">
        <f>Liste!V369</f>
        <v>0</v>
      </c>
      <c r="AT369" s="1">
        <f>Liste!M369</f>
        <v>0</v>
      </c>
      <c r="AZ369" s="5" t="s">
        <v>30031</v>
      </c>
      <c r="BA369" s="4" t="s">
        <v>101</v>
      </c>
      <c r="BB369" s="4">
        <v>871</v>
      </c>
      <c r="BD369" s="35"/>
      <c r="BE369" s="35"/>
      <c r="BF369" s="2118">
        <f>Liste!R369</f>
        <v>0</v>
      </c>
      <c r="BG369" s="2137">
        <f>IF(AS369&gt;0,Liste!S369,0)</f>
        <v>0</v>
      </c>
      <c r="BH369" s="2118">
        <f>Liste!T369</f>
        <v>0</v>
      </c>
    </row>
    <row r="370" spans="1:60" ht="24.95" customHeight="1" x14ac:dyDescent="0.25">
      <c r="A370" s="29"/>
      <c r="B370" s="46" t="str">
        <f>IF(Liste!O370&gt;0,Liste!O370,Liste!B370)</f>
        <v>Produktionskontrolle</v>
      </c>
      <c r="C370" s="2314"/>
      <c r="D370" s="30">
        <f>Liste!C370</f>
        <v>0</v>
      </c>
      <c r="E370" s="2314"/>
      <c r="F370" s="32">
        <f t="shared" si="32"/>
        <v>0</v>
      </c>
      <c r="G370" s="2314"/>
      <c r="H370" s="32">
        <f t="shared" si="33"/>
        <v>0</v>
      </c>
      <c r="I370" s="2314"/>
      <c r="J370" s="32">
        <f t="shared" si="34"/>
        <v>0</v>
      </c>
      <c r="K370" s="2314"/>
      <c r="L370" s="31">
        <f t="shared" si="35"/>
        <v>0</v>
      </c>
      <c r="M370" s="2314"/>
      <c r="N370" s="31" t="str">
        <f>Liste!L370</f>
        <v>MM</v>
      </c>
      <c r="O370" s="31"/>
      <c r="P370" s="31"/>
      <c r="Q370" s="31">
        <f>Liste!P370</f>
        <v>0</v>
      </c>
      <c r="R370" s="31">
        <f>Liste!N370</f>
        <v>0</v>
      </c>
      <c r="S370" s="7">
        <v>0</v>
      </c>
      <c r="T370" s="7">
        <v>0</v>
      </c>
      <c r="U370" s="7">
        <v>0</v>
      </c>
      <c r="V370" s="7"/>
      <c r="W370" s="60"/>
      <c r="X370" s="60"/>
      <c r="Y370" s="60"/>
      <c r="Z370" s="7"/>
      <c r="AA370" s="7"/>
      <c r="AB370" s="60"/>
      <c r="AC370" s="60"/>
      <c r="AD370" s="60"/>
      <c r="AE370" s="7"/>
      <c r="AF370" s="7"/>
      <c r="AG370" s="7"/>
      <c r="AH370" s="7"/>
      <c r="AI370" s="7"/>
      <c r="AJ370" s="7">
        <f>Liste!X370</f>
        <v>0</v>
      </c>
      <c r="AK370" s="7">
        <f>Liste!Y370</f>
        <v>0</v>
      </c>
      <c r="AL370" s="7"/>
      <c r="AM370" s="7"/>
      <c r="AN370" s="7"/>
      <c r="AO370" s="1113">
        <f>Liste!D370</f>
        <v>1</v>
      </c>
      <c r="AP370" s="1113">
        <f>Liste!F370</f>
        <v>0</v>
      </c>
      <c r="AQ370" s="1113">
        <f>Liste!E370</f>
        <v>0</v>
      </c>
      <c r="AR370" s="1113">
        <f>Liste!G370</f>
        <v>0</v>
      </c>
      <c r="AS370" s="1112">
        <f>Liste!V370</f>
        <v>0</v>
      </c>
      <c r="AT370" s="1">
        <f>Liste!M370</f>
        <v>0</v>
      </c>
      <c r="AZ370" s="5" t="s">
        <v>30032</v>
      </c>
      <c r="BA370" s="4" t="s">
        <v>101</v>
      </c>
      <c r="BB370" s="4">
        <v>872</v>
      </c>
      <c r="BD370" s="35"/>
      <c r="BE370" s="35"/>
      <c r="BF370" s="2118">
        <f>Liste!R370</f>
        <v>0</v>
      </c>
      <c r="BG370" s="2137">
        <f>IF(AS370&gt;0,Liste!S370,0)</f>
        <v>0</v>
      </c>
      <c r="BH370" s="2118">
        <f>Liste!T370</f>
        <v>0</v>
      </c>
    </row>
    <row r="371" spans="1:60" ht="24.95" customHeight="1" x14ac:dyDescent="0.25">
      <c r="A371" s="29"/>
      <c r="B371" s="46" t="str">
        <f>IF(Liste!O371&gt;0,Liste!O371,Liste!B371)</f>
        <v>Verladen</v>
      </c>
      <c r="C371" s="2314"/>
      <c r="D371" s="30">
        <f>Liste!C371</f>
        <v>0</v>
      </c>
      <c r="E371" s="2314"/>
      <c r="F371" s="32">
        <f t="shared" si="32"/>
        <v>0</v>
      </c>
      <c r="G371" s="2314"/>
      <c r="H371" s="32">
        <f t="shared" si="33"/>
        <v>0</v>
      </c>
      <c r="I371" s="2314"/>
      <c r="J371" s="32">
        <f t="shared" si="34"/>
        <v>0</v>
      </c>
      <c r="K371" s="2314"/>
      <c r="L371" s="31">
        <f t="shared" si="35"/>
        <v>0</v>
      </c>
      <c r="M371" s="2314"/>
      <c r="N371" s="31" t="str">
        <f>Liste!L371</f>
        <v>MM</v>
      </c>
      <c r="O371" s="31"/>
      <c r="P371" s="31"/>
      <c r="Q371" s="31">
        <f>Liste!P371</f>
        <v>0</v>
      </c>
      <c r="R371" s="31">
        <f>Liste!N371</f>
        <v>0</v>
      </c>
      <c r="S371" s="7">
        <v>0</v>
      </c>
      <c r="T371" s="7">
        <v>0</v>
      </c>
      <c r="U371" s="7">
        <v>0</v>
      </c>
      <c r="V371" s="7"/>
      <c r="W371" s="60"/>
      <c r="X371" s="60"/>
      <c r="Y371" s="60"/>
      <c r="Z371" s="7"/>
      <c r="AA371" s="7"/>
      <c r="AB371" s="60"/>
      <c r="AC371" s="60"/>
      <c r="AD371" s="60"/>
      <c r="AE371" s="7"/>
      <c r="AF371" s="7"/>
      <c r="AG371" s="7"/>
      <c r="AH371" s="7"/>
      <c r="AI371" s="7"/>
      <c r="AJ371" s="7">
        <f>Liste!X371</f>
        <v>0</v>
      </c>
      <c r="AK371" s="7">
        <f>Liste!Y371</f>
        <v>0</v>
      </c>
      <c r="AL371" s="7"/>
      <c r="AM371" s="7"/>
      <c r="AN371" s="7"/>
      <c r="AO371" s="1113">
        <f>Liste!D371</f>
        <v>1</v>
      </c>
      <c r="AP371" s="1113">
        <f>Liste!F371</f>
        <v>0</v>
      </c>
      <c r="AQ371" s="1113">
        <f>Liste!E371</f>
        <v>0</v>
      </c>
      <c r="AR371" s="1113">
        <f>Liste!G371</f>
        <v>0</v>
      </c>
      <c r="AS371" s="1112">
        <f>Liste!V371</f>
        <v>0</v>
      </c>
      <c r="AT371" s="1">
        <f>Liste!M371</f>
        <v>0</v>
      </c>
      <c r="AZ371" s="5" t="s">
        <v>30033</v>
      </c>
      <c r="BA371" s="4" t="s">
        <v>101</v>
      </c>
      <c r="BB371" s="4">
        <v>873</v>
      </c>
      <c r="BD371" s="35"/>
      <c r="BE371" s="35"/>
      <c r="BF371" s="2118">
        <f>Liste!R371</f>
        <v>0</v>
      </c>
      <c r="BG371" s="2137">
        <f>IF(AS371&gt;0,Liste!S371,0)</f>
        <v>0</v>
      </c>
      <c r="BH371" s="2118">
        <f>Liste!T371</f>
        <v>0</v>
      </c>
    </row>
    <row r="372" spans="1:60" ht="24.95" customHeight="1" x14ac:dyDescent="0.25">
      <c r="A372" s="29"/>
      <c r="B372" s="46">
        <f>IF(Liste!O372&gt;0,Liste!O372,Liste!B372)</f>
        <v>0</v>
      </c>
      <c r="C372" s="2314"/>
      <c r="D372" s="30">
        <f>Liste!C372</f>
        <v>0</v>
      </c>
      <c r="E372" s="2314"/>
      <c r="F372" s="32">
        <f t="shared" si="32"/>
        <v>0</v>
      </c>
      <c r="G372" s="2314"/>
      <c r="H372" s="32">
        <f t="shared" si="33"/>
        <v>0</v>
      </c>
      <c r="I372" s="2314"/>
      <c r="J372" s="32">
        <f t="shared" si="34"/>
        <v>0</v>
      </c>
      <c r="K372" s="2314"/>
      <c r="L372" s="31">
        <f t="shared" si="35"/>
        <v>0</v>
      </c>
      <c r="M372" s="2314"/>
      <c r="N372" s="31">
        <f>Liste!L372</f>
        <v>0</v>
      </c>
      <c r="O372" s="31"/>
      <c r="P372" s="31"/>
      <c r="Q372" s="31">
        <f>Liste!P372</f>
        <v>0</v>
      </c>
      <c r="R372" s="31">
        <f>Liste!N372</f>
        <v>0</v>
      </c>
      <c r="S372" s="7">
        <v>0</v>
      </c>
      <c r="T372" s="7">
        <v>0</v>
      </c>
      <c r="U372" s="7">
        <v>0</v>
      </c>
      <c r="V372" s="7"/>
      <c r="W372" s="60"/>
      <c r="X372" s="60"/>
      <c r="Y372" s="60"/>
      <c r="Z372" s="7"/>
      <c r="AA372" s="7"/>
      <c r="AB372" s="60"/>
      <c r="AC372" s="60"/>
      <c r="AD372" s="60"/>
      <c r="AE372" s="7"/>
      <c r="AF372" s="7"/>
      <c r="AG372" s="7"/>
      <c r="AH372" s="7"/>
      <c r="AI372" s="7"/>
      <c r="AJ372" s="7">
        <f>Liste!X372</f>
        <v>0</v>
      </c>
      <c r="AK372" s="7">
        <f>Liste!Y372</f>
        <v>0</v>
      </c>
      <c r="AL372" s="7"/>
      <c r="AM372" s="7"/>
      <c r="AN372" s="7"/>
      <c r="AO372" s="1113">
        <f>Liste!D372</f>
        <v>0</v>
      </c>
      <c r="AP372" s="1113">
        <f>Liste!F372</f>
        <v>0</v>
      </c>
      <c r="AQ372" s="1113">
        <f>Liste!E372</f>
        <v>0</v>
      </c>
      <c r="AR372" s="1113">
        <f>Liste!G372</f>
        <v>0</v>
      </c>
      <c r="AS372" s="1112">
        <f>Liste!V372</f>
        <v>0</v>
      </c>
      <c r="AT372" s="1">
        <f>Liste!M372</f>
        <v>0</v>
      </c>
      <c r="AZ372" s="5" t="s">
        <v>30034</v>
      </c>
      <c r="BA372" s="4" t="s">
        <v>101</v>
      </c>
      <c r="BB372" s="4">
        <v>874</v>
      </c>
      <c r="BD372" s="35"/>
      <c r="BE372" s="35"/>
      <c r="BF372" s="2118">
        <f>Liste!R372</f>
        <v>0</v>
      </c>
      <c r="BG372" s="2137">
        <f>IF(AS372&gt;0,Liste!S372,0)</f>
        <v>0</v>
      </c>
      <c r="BH372" s="2118">
        <f>Liste!T372</f>
        <v>0</v>
      </c>
    </row>
    <row r="373" spans="1:60" ht="24.95" customHeight="1" x14ac:dyDescent="0.25">
      <c r="A373" s="29"/>
      <c r="B373" s="46" t="str">
        <f>IF(Liste!O373&gt;0,Liste!O373,Liste!B373)</f>
        <v>Initiator Pepperl+Fuchs NBN 12</v>
      </c>
      <c r="C373" s="2314"/>
      <c r="D373" s="30" t="str">
        <f>Liste!C373</f>
        <v>0708251</v>
      </c>
      <c r="E373" s="2314"/>
      <c r="F373" s="32">
        <f t="shared" si="32"/>
        <v>1</v>
      </c>
      <c r="G373" s="2314"/>
      <c r="H373" s="32">
        <f t="shared" si="33"/>
        <v>0</v>
      </c>
      <c r="I373" s="2314"/>
      <c r="J373" s="32">
        <f t="shared" si="34"/>
        <v>0</v>
      </c>
      <c r="K373" s="2314"/>
      <c r="L373" s="31">
        <f t="shared" si="35"/>
        <v>0</v>
      </c>
      <c r="M373" s="2314"/>
      <c r="N373" s="31" t="str">
        <f>Liste!L373</f>
        <v>Stk</v>
      </c>
      <c r="O373" s="31"/>
      <c r="P373" s="31"/>
      <c r="Q373" s="31">
        <f>Liste!P373</f>
        <v>0</v>
      </c>
      <c r="R373" s="31">
        <f>Liste!N373</f>
        <v>0</v>
      </c>
      <c r="S373" s="7">
        <v>0</v>
      </c>
      <c r="T373" s="7">
        <v>0</v>
      </c>
      <c r="U373" s="7">
        <v>0</v>
      </c>
      <c r="V373" s="7"/>
      <c r="W373" s="60"/>
      <c r="X373" s="60"/>
      <c r="Y373" s="60"/>
      <c r="Z373" s="7"/>
      <c r="AA373" s="7"/>
      <c r="AB373" s="60"/>
      <c r="AC373" s="60"/>
      <c r="AD373" s="60"/>
      <c r="AE373" s="7"/>
      <c r="AF373" s="7"/>
      <c r="AG373" s="7"/>
      <c r="AH373" s="7"/>
      <c r="AI373" s="7"/>
      <c r="AJ373" s="7">
        <f>Liste!X373</f>
        <v>0</v>
      </c>
      <c r="AK373" s="7">
        <f>Liste!Y373</f>
        <v>0</v>
      </c>
      <c r="AL373" s="7"/>
      <c r="AM373" s="7"/>
      <c r="AN373" s="7"/>
      <c r="AO373" s="1113">
        <f>Liste!D373</f>
        <v>1</v>
      </c>
      <c r="AP373" s="1113">
        <f>Liste!F373</f>
        <v>0</v>
      </c>
      <c r="AQ373" s="1113">
        <f>Liste!E373</f>
        <v>0</v>
      </c>
      <c r="AR373" s="1113">
        <f>Liste!G373</f>
        <v>0</v>
      </c>
      <c r="AS373" s="1112">
        <f>Liste!V373</f>
        <v>1</v>
      </c>
      <c r="AT373" s="1">
        <f>Liste!M373</f>
        <v>0</v>
      </c>
      <c r="AZ373" s="5" t="s">
        <v>30035</v>
      </c>
      <c r="BA373" s="4" t="s">
        <v>101</v>
      </c>
      <c r="BB373" s="4">
        <v>875</v>
      </c>
      <c r="BD373" s="35"/>
      <c r="BE373" s="35"/>
      <c r="BF373" s="2118" t="str">
        <f>Liste!R373</f>
        <v>0708251</v>
      </c>
      <c r="BG373" s="2137">
        <f>IF(AS373&gt;0,Liste!S373,0)</f>
        <v>1</v>
      </c>
      <c r="BH373" s="2118" t="str">
        <f>Liste!T373</f>
        <v>Stk</v>
      </c>
    </row>
    <row r="374" spans="1:60" ht="24.95" customHeight="1" x14ac:dyDescent="0.25">
      <c r="A374" s="29"/>
      <c r="B374" s="46" t="str">
        <f>IF(Liste!O374&gt;0,Liste!O374,Liste!B374)</f>
        <v>Pepperl+Fuchs Kabeldose V11-W-5M-PUR</v>
      </c>
      <c r="C374" s="2314"/>
      <c r="D374" s="30" t="str">
        <f>Liste!C374</f>
        <v>1520075</v>
      </c>
      <c r="E374" s="2314"/>
      <c r="F374" s="32">
        <f t="shared" si="32"/>
        <v>1</v>
      </c>
      <c r="G374" s="2314"/>
      <c r="H374" s="32">
        <f t="shared" si="33"/>
        <v>0</v>
      </c>
      <c r="I374" s="2314"/>
      <c r="J374" s="32">
        <f t="shared" si="34"/>
        <v>0</v>
      </c>
      <c r="K374" s="2314"/>
      <c r="L374" s="31">
        <f t="shared" si="35"/>
        <v>0</v>
      </c>
      <c r="M374" s="2314"/>
      <c r="N374" s="31" t="str">
        <f>Liste!L374</f>
        <v>Stk</v>
      </c>
      <c r="O374" s="31"/>
      <c r="P374" s="31"/>
      <c r="Q374" s="31">
        <f>Liste!P374</f>
        <v>0</v>
      </c>
      <c r="R374" s="31">
        <f>Liste!N374</f>
        <v>0</v>
      </c>
      <c r="S374" s="7">
        <v>0</v>
      </c>
      <c r="T374" s="7">
        <v>0</v>
      </c>
      <c r="U374" s="7">
        <v>0</v>
      </c>
      <c r="V374" s="7"/>
      <c r="W374" s="60"/>
      <c r="X374" s="60"/>
      <c r="Y374" s="60"/>
      <c r="Z374" s="7"/>
      <c r="AA374" s="7"/>
      <c r="AB374" s="60"/>
      <c r="AC374" s="60"/>
      <c r="AD374" s="60"/>
      <c r="AE374" s="7"/>
      <c r="AF374" s="7"/>
      <c r="AG374" s="7"/>
      <c r="AH374" s="7"/>
      <c r="AI374" s="7"/>
      <c r="AJ374" s="7">
        <f>Liste!X374</f>
        <v>0</v>
      </c>
      <c r="AK374" s="7">
        <f>Liste!Y374</f>
        <v>0</v>
      </c>
      <c r="AL374" s="7"/>
      <c r="AM374" s="7"/>
      <c r="AN374" s="7"/>
      <c r="AO374" s="1113">
        <f>Liste!D374</f>
        <v>1</v>
      </c>
      <c r="AP374" s="1113">
        <f>Liste!F374</f>
        <v>0</v>
      </c>
      <c r="AQ374" s="1113">
        <f>Liste!E374</f>
        <v>0</v>
      </c>
      <c r="AR374" s="1113">
        <f>Liste!G374</f>
        <v>0</v>
      </c>
      <c r="AS374" s="1112">
        <f>Liste!V374</f>
        <v>1</v>
      </c>
      <c r="AT374" s="1">
        <f>Liste!M374</f>
        <v>0</v>
      </c>
      <c r="AZ374" s="5" t="s">
        <v>30036</v>
      </c>
      <c r="BA374" s="4" t="s">
        <v>101</v>
      </c>
      <c r="BB374" s="4">
        <v>876</v>
      </c>
      <c r="BD374" s="35"/>
      <c r="BE374" s="35"/>
      <c r="BF374" s="2118" t="str">
        <f>Liste!R374</f>
        <v>1520075</v>
      </c>
      <c r="BG374" s="2137">
        <f>IF(AS374&gt;0,Liste!S374,0)</f>
        <v>1</v>
      </c>
      <c r="BH374" s="2118" t="str">
        <f>Liste!T374</f>
        <v>Stk</v>
      </c>
    </row>
    <row r="375" spans="1:60" ht="24.95" customHeight="1" x14ac:dyDescent="0.25">
      <c r="A375" s="29"/>
      <c r="B375" s="46" t="str">
        <f>IF(Liste!O375&gt;0,Liste!O375,Liste!B375)</f>
        <v>Halterung Initiator Pepperl+Fuchs NBN 12 verzinkt</v>
      </c>
      <c r="C375" s="2314"/>
      <c r="D375" s="30" t="str">
        <f>Liste!C375</f>
        <v>0308233</v>
      </c>
      <c r="E375" s="2314"/>
      <c r="F375" s="32">
        <f t="shared" si="32"/>
        <v>1</v>
      </c>
      <c r="G375" s="2314"/>
      <c r="H375" s="32">
        <f t="shared" si="33"/>
        <v>0</v>
      </c>
      <c r="I375" s="2314"/>
      <c r="J375" s="32">
        <f t="shared" si="34"/>
        <v>0</v>
      </c>
      <c r="K375" s="2314"/>
      <c r="L375" s="31">
        <f t="shared" si="35"/>
        <v>0</v>
      </c>
      <c r="M375" s="2314"/>
      <c r="N375" s="31" t="str">
        <f>Liste!L375</f>
        <v>Stk</v>
      </c>
      <c r="O375" s="31"/>
      <c r="P375" s="31"/>
      <c r="Q375" s="31">
        <f>Liste!P375</f>
        <v>0</v>
      </c>
      <c r="R375" s="31">
        <f>Liste!N375</f>
        <v>0</v>
      </c>
      <c r="S375" s="7">
        <v>0</v>
      </c>
      <c r="T375" s="7">
        <v>0</v>
      </c>
      <c r="U375" s="7">
        <v>0</v>
      </c>
      <c r="V375" s="7"/>
      <c r="W375" s="60"/>
      <c r="X375" s="60"/>
      <c r="Y375" s="60"/>
      <c r="Z375" s="7"/>
      <c r="AA375" s="7"/>
      <c r="AB375" s="60"/>
      <c r="AC375" s="60"/>
      <c r="AD375" s="60"/>
      <c r="AE375" s="7"/>
      <c r="AF375" s="7"/>
      <c r="AG375" s="7"/>
      <c r="AH375" s="7"/>
      <c r="AI375" s="7"/>
      <c r="AJ375" s="7">
        <f>Liste!X375</f>
        <v>0</v>
      </c>
      <c r="AK375" s="7">
        <f>Liste!Y375</f>
        <v>0</v>
      </c>
      <c r="AL375" s="7"/>
      <c r="AM375" s="7"/>
      <c r="AN375" s="7"/>
      <c r="AO375" s="1113">
        <f>Liste!D375</f>
        <v>1</v>
      </c>
      <c r="AP375" s="1113">
        <f>Liste!F375</f>
        <v>173</v>
      </c>
      <c r="AQ375" s="1113">
        <f>Liste!E375</f>
        <v>80</v>
      </c>
      <c r="AR375" s="1113">
        <f>Liste!G375</f>
        <v>3</v>
      </c>
      <c r="AS375" s="1112">
        <f>Liste!V375</f>
        <v>1</v>
      </c>
      <c r="AT375" s="1" t="str">
        <f>Liste!M375</f>
        <v>Stahlblech verz.</v>
      </c>
      <c r="AZ375" s="5" t="s">
        <v>30037</v>
      </c>
      <c r="BA375" s="4" t="s">
        <v>101</v>
      </c>
      <c r="BB375" s="4">
        <v>877</v>
      </c>
      <c r="BD375" s="35"/>
      <c r="BE375" s="35"/>
      <c r="BF375" s="2118" t="str">
        <f>Liste!R375</f>
        <v>0308233</v>
      </c>
      <c r="BG375" s="2137">
        <f>IF(AS375&gt;0,Liste!S375,0)</f>
        <v>1</v>
      </c>
      <c r="BH375" s="2118" t="str">
        <f>Liste!T375</f>
        <v>Stk</v>
      </c>
    </row>
    <row r="376" spans="1:60" ht="24.95" customHeight="1" x14ac:dyDescent="0.25">
      <c r="A376" s="29"/>
      <c r="B376" s="46" t="str">
        <f>IF(Liste!O376&gt;0,Liste!O376,Liste!B376)</f>
        <v>Halterung Initiator Pepperl+Fuchs NBN 12 V2A</v>
      </c>
      <c r="C376" s="2314"/>
      <c r="D376" s="30" t="str">
        <f>Liste!C376</f>
        <v>0338233</v>
      </c>
      <c r="E376" s="2314"/>
      <c r="F376" s="32">
        <f t="shared" si="32"/>
        <v>0</v>
      </c>
      <c r="G376" s="2314"/>
      <c r="H376" s="32">
        <f t="shared" si="33"/>
        <v>0</v>
      </c>
      <c r="I376" s="2314"/>
      <c r="J376" s="32">
        <f t="shared" si="34"/>
        <v>0</v>
      </c>
      <c r="K376" s="2314"/>
      <c r="L376" s="31">
        <f t="shared" si="35"/>
        <v>0</v>
      </c>
      <c r="M376" s="2314"/>
      <c r="N376" s="31" t="str">
        <f>Liste!L376</f>
        <v>Stk</v>
      </c>
      <c r="O376" s="31"/>
      <c r="P376" s="31"/>
      <c r="Q376" s="31">
        <f>Liste!P376</f>
        <v>0</v>
      </c>
      <c r="R376" s="31">
        <f>Liste!N376</f>
        <v>0</v>
      </c>
      <c r="S376" s="7">
        <v>0</v>
      </c>
      <c r="T376" s="7">
        <v>0</v>
      </c>
      <c r="U376" s="7">
        <v>0</v>
      </c>
      <c r="V376" s="7"/>
      <c r="W376" s="60"/>
      <c r="X376" s="60"/>
      <c r="Y376" s="60"/>
      <c r="Z376" s="7"/>
      <c r="AA376" s="7"/>
      <c r="AB376" s="60"/>
      <c r="AC376" s="60"/>
      <c r="AD376" s="60"/>
      <c r="AE376" s="7"/>
      <c r="AF376" s="7"/>
      <c r="AG376" s="7"/>
      <c r="AH376" s="7"/>
      <c r="AI376" s="7"/>
      <c r="AJ376" s="7">
        <f>Liste!X376</f>
        <v>0</v>
      </c>
      <c r="AK376" s="7">
        <f>Liste!Y376</f>
        <v>1</v>
      </c>
      <c r="AL376" s="7"/>
      <c r="AM376" s="7"/>
      <c r="AN376" s="7"/>
      <c r="AO376" s="1113">
        <f>Liste!D376</f>
        <v>0</v>
      </c>
      <c r="AP376" s="1113">
        <f>Liste!F376</f>
        <v>173</v>
      </c>
      <c r="AQ376" s="1113">
        <f>Liste!E376</f>
        <v>80</v>
      </c>
      <c r="AR376" s="1113">
        <f>Liste!G376</f>
        <v>3</v>
      </c>
      <c r="AS376" s="1112">
        <f>Liste!V376</f>
        <v>1</v>
      </c>
      <c r="AT376" s="1" t="str">
        <f>Liste!M376</f>
        <v>V2A blank</v>
      </c>
      <c r="AZ376" s="5" t="s">
        <v>30038</v>
      </c>
      <c r="BA376" s="4" t="s">
        <v>101</v>
      </c>
      <c r="BB376" s="4">
        <v>878</v>
      </c>
      <c r="BD376" s="35"/>
      <c r="BE376" s="35"/>
      <c r="BF376" s="2118" t="str">
        <f>Liste!R376</f>
        <v>0338233</v>
      </c>
      <c r="BG376" s="2137">
        <f>IF(AS376&gt;0,Liste!S376,0)</f>
        <v>0</v>
      </c>
      <c r="BH376" s="2118" t="str">
        <f>Liste!T376</f>
        <v>Stk</v>
      </c>
    </row>
    <row r="377" spans="1:60" ht="24.95" customHeight="1" x14ac:dyDescent="0.25">
      <c r="A377" s="29"/>
      <c r="B377" s="46" t="str">
        <f>IF(Liste!O377&gt;0,Liste!O377,Liste!B377)</f>
        <v>Endschalterkonsole Führungsschiene GCC vertikal verz.</v>
      </c>
      <c r="C377" s="2314"/>
      <c r="D377" s="30" t="str">
        <f>Liste!C377</f>
        <v>0308335</v>
      </c>
      <c r="E377" s="2314"/>
      <c r="F377" s="32">
        <f t="shared" si="32"/>
        <v>0</v>
      </c>
      <c r="G377" s="2314"/>
      <c r="H377" s="32">
        <f t="shared" si="33"/>
        <v>0</v>
      </c>
      <c r="I377" s="2314"/>
      <c r="J377" s="32">
        <f t="shared" si="34"/>
        <v>0</v>
      </c>
      <c r="K377" s="2314"/>
      <c r="L377" s="31">
        <f t="shared" si="35"/>
        <v>0</v>
      </c>
      <c r="M377" s="2314"/>
      <c r="N377" s="31" t="str">
        <f>Liste!L377</f>
        <v>Stk</v>
      </c>
      <c r="O377" s="31"/>
      <c r="P377" s="31"/>
      <c r="Q377" s="31">
        <f>Liste!P377</f>
        <v>0</v>
      </c>
      <c r="R377" s="31">
        <f>Liste!N377</f>
        <v>0</v>
      </c>
      <c r="S377" s="7">
        <v>0</v>
      </c>
      <c r="T377" s="7">
        <v>0</v>
      </c>
      <c r="U377" s="7">
        <v>0</v>
      </c>
      <c r="V377" s="7"/>
      <c r="W377" s="60"/>
      <c r="X377" s="60"/>
      <c r="Y377" s="60"/>
      <c r="Z377" s="7"/>
      <c r="AA377" s="7"/>
      <c r="AB377" s="60"/>
      <c r="AC377" s="60"/>
      <c r="AD377" s="60"/>
      <c r="AE377" s="7"/>
      <c r="AF377" s="7"/>
      <c r="AG377" s="7"/>
      <c r="AH377" s="7"/>
      <c r="AI377" s="7"/>
      <c r="AJ377" s="7">
        <f>Liste!X377</f>
        <v>0</v>
      </c>
      <c r="AK377" s="7">
        <f>Liste!Y377</f>
        <v>0</v>
      </c>
      <c r="AL377" s="7"/>
      <c r="AM377" s="7"/>
      <c r="AN377" s="7"/>
      <c r="AO377" s="1113">
        <f>Liste!D377</f>
        <v>0</v>
      </c>
      <c r="AP377" s="1113">
        <f>Liste!F377</f>
        <v>173</v>
      </c>
      <c r="AQ377" s="1113">
        <f>Liste!E377</f>
        <v>80</v>
      </c>
      <c r="AR377" s="1113">
        <f>Liste!G377</f>
        <v>3</v>
      </c>
      <c r="AS377" s="1112">
        <f>Liste!V377</f>
        <v>1</v>
      </c>
      <c r="AT377" s="1" t="str">
        <f>Liste!M377</f>
        <v>Stahlblech verz.</v>
      </c>
      <c r="AZ377" s="5" t="s">
        <v>30039</v>
      </c>
      <c r="BA377" s="4" t="s">
        <v>101</v>
      </c>
      <c r="BB377" s="4">
        <v>879</v>
      </c>
      <c r="BD377" s="35"/>
      <c r="BE377" s="35"/>
      <c r="BF377" s="2118" t="str">
        <f>Liste!R377</f>
        <v>0308335</v>
      </c>
      <c r="BG377" s="2137">
        <f>IF(AS377&gt;0,Liste!S377,0)</f>
        <v>0</v>
      </c>
      <c r="BH377" s="2118" t="str">
        <f>Liste!T377</f>
        <v>Stk</v>
      </c>
    </row>
    <row r="378" spans="1:60" ht="24.95" customHeight="1" x14ac:dyDescent="0.25">
      <c r="A378" s="29"/>
      <c r="B378" s="46" t="str">
        <f>IF(Liste!O378&gt;0,Liste!O378,Liste!B378)</f>
        <v>Endschalterkonsole Führungsschiene GCC vertikal V2A</v>
      </c>
      <c r="C378" s="2314"/>
      <c r="D378" s="30" t="str">
        <f>Liste!C378</f>
        <v>0338335</v>
      </c>
      <c r="E378" s="2314"/>
      <c r="F378" s="32">
        <f t="shared" si="32"/>
        <v>0</v>
      </c>
      <c r="G378" s="2314"/>
      <c r="H378" s="32">
        <f t="shared" si="33"/>
        <v>0</v>
      </c>
      <c r="I378" s="2314"/>
      <c r="J378" s="32">
        <f t="shared" si="34"/>
        <v>0</v>
      </c>
      <c r="K378" s="2314"/>
      <c r="L378" s="31">
        <f t="shared" si="35"/>
        <v>0</v>
      </c>
      <c r="M378" s="2314"/>
      <c r="N378" s="31" t="str">
        <f>Liste!L378</f>
        <v>Stk</v>
      </c>
      <c r="O378" s="31"/>
      <c r="P378" s="31"/>
      <c r="Q378" s="31">
        <f>Liste!P378</f>
        <v>0</v>
      </c>
      <c r="R378" s="31">
        <f>Liste!N378</f>
        <v>0</v>
      </c>
      <c r="S378" s="7">
        <v>0</v>
      </c>
      <c r="T378" s="7">
        <v>0</v>
      </c>
      <c r="U378" s="7">
        <v>0</v>
      </c>
      <c r="V378" s="7"/>
      <c r="W378" s="60"/>
      <c r="X378" s="60"/>
      <c r="Y378" s="60"/>
      <c r="Z378" s="7"/>
      <c r="AA378" s="7"/>
      <c r="AB378" s="60"/>
      <c r="AC378" s="60"/>
      <c r="AD378" s="60"/>
      <c r="AE378" s="7"/>
      <c r="AF378" s="7"/>
      <c r="AG378" s="7"/>
      <c r="AH378" s="7"/>
      <c r="AI378" s="7"/>
      <c r="AJ378" s="7">
        <f>Liste!X378</f>
        <v>0</v>
      </c>
      <c r="AK378" s="7">
        <f>Liste!Y378</f>
        <v>0</v>
      </c>
      <c r="AL378" s="7"/>
      <c r="AM378" s="7"/>
      <c r="AN378" s="7"/>
      <c r="AO378" s="1113">
        <f>Liste!D378</f>
        <v>0</v>
      </c>
      <c r="AP378" s="1113">
        <f>Liste!F378</f>
        <v>173</v>
      </c>
      <c r="AQ378" s="1113">
        <f>Liste!E378</f>
        <v>80</v>
      </c>
      <c r="AR378" s="1113">
        <f>Liste!G378</f>
        <v>3</v>
      </c>
      <c r="AS378" s="1112">
        <f>Liste!V378</f>
        <v>0</v>
      </c>
      <c r="AT378" s="1" t="str">
        <f>Liste!M378</f>
        <v>V2A blank</v>
      </c>
      <c r="AZ378" s="5" t="s">
        <v>30040</v>
      </c>
      <c r="BA378" s="4" t="s">
        <v>101</v>
      </c>
      <c r="BB378" s="4">
        <v>880</v>
      </c>
      <c r="BD378" s="35"/>
      <c r="BE378" s="35"/>
      <c r="BF378" s="2118" t="str">
        <f>Liste!R378</f>
        <v>0338335</v>
      </c>
      <c r="BG378" s="2137">
        <f>IF(AS378&gt;0,Liste!S378,0)</f>
        <v>0</v>
      </c>
      <c r="BH378" s="2118" t="str">
        <f>Liste!T378</f>
        <v>Stk</v>
      </c>
    </row>
    <row r="379" spans="1:60" ht="24.95" customHeight="1" x14ac:dyDescent="0.25">
      <c r="A379" s="29"/>
      <c r="B379" s="46" t="str">
        <f>IF(Liste!O379&gt;0,Liste!O379,Liste!B379)</f>
        <v>Halterung Initiator Pepperl+Fuchs NBN 12 verzinkt</v>
      </c>
      <c r="C379" s="2314"/>
      <c r="D379" s="30" t="str">
        <f>Liste!C379</f>
        <v>0308233</v>
      </c>
      <c r="E379" s="2314"/>
      <c r="F379" s="32">
        <f t="shared" si="32"/>
        <v>0</v>
      </c>
      <c r="G379" s="2314"/>
      <c r="H379" s="32">
        <f t="shared" si="33"/>
        <v>0</v>
      </c>
      <c r="I379" s="2314"/>
      <c r="J379" s="32">
        <f t="shared" si="34"/>
        <v>0</v>
      </c>
      <c r="K379" s="2314"/>
      <c r="L379" s="31">
        <f t="shared" si="35"/>
        <v>0</v>
      </c>
      <c r="M379" s="2314"/>
      <c r="N379" s="31">
        <f>Liste!L379</f>
        <v>0</v>
      </c>
      <c r="O379" s="31"/>
      <c r="P379" s="31"/>
      <c r="Q379" s="31">
        <f>Liste!P379</f>
        <v>0</v>
      </c>
      <c r="R379" s="31">
        <f>Liste!N379</f>
        <v>0</v>
      </c>
      <c r="S379" s="7">
        <v>0</v>
      </c>
      <c r="T379" s="7">
        <v>0</v>
      </c>
      <c r="U379" s="7">
        <v>0</v>
      </c>
      <c r="V379" s="7"/>
      <c r="W379" s="60"/>
      <c r="X379" s="60"/>
      <c r="Y379" s="60"/>
      <c r="Z379" s="7"/>
      <c r="AA379" s="7"/>
      <c r="AB379" s="60"/>
      <c r="AC379" s="60"/>
      <c r="AD379" s="60"/>
      <c r="AE379" s="7"/>
      <c r="AF379" s="7"/>
      <c r="AG379" s="7"/>
      <c r="AH379" s="7"/>
      <c r="AI379" s="7"/>
      <c r="AJ379" s="7">
        <f>Liste!X379</f>
        <v>0</v>
      </c>
      <c r="AK379" s="7">
        <f>Liste!Y379</f>
        <v>0</v>
      </c>
      <c r="AL379" s="7"/>
      <c r="AM379" s="7"/>
      <c r="AN379" s="7"/>
      <c r="AO379" s="1113">
        <f>Liste!D379</f>
        <v>0</v>
      </c>
      <c r="AP379" s="1113">
        <f>Liste!F379</f>
        <v>0</v>
      </c>
      <c r="AQ379" s="1113">
        <f>Liste!E379</f>
        <v>0</v>
      </c>
      <c r="AR379" s="1113">
        <f>Liste!G379</f>
        <v>0</v>
      </c>
      <c r="AS379" s="1112">
        <f>Liste!V379</f>
        <v>0</v>
      </c>
      <c r="AT379" s="1">
        <f>Liste!M379</f>
        <v>0</v>
      </c>
      <c r="AZ379" s="5" t="s">
        <v>30041</v>
      </c>
      <c r="BA379" s="4" t="s">
        <v>101</v>
      </c>
      <c r="BB379" s="4">
        <v>881</v>
      </c>
      <c r="BD379" s="35"/>
      <c r="BE379" s="35"/>
      <c r="BF379" s="2118" t="str">
        <f>Liste!R379</f>
        <v>0308233</v>
      </c>
      <c r="BG379" s="2137">
        <f>IF(AS379&gt;0,Liste!S379,0)</f>
        <v>0</v>
      </c>
      <c r="BH379" s="2118">
        <f>Liste!T379</f>
        <v>0</v>
      </c>
    </row>
    <row r="380" spans="1:60" ht="24.95" customHeight="1" x14ac:dyDescent="0.25">
      <c r="A380" s="29"/>
      <c r="B380" s="46" t="str">
        <f>IF(Liste!O380&gt;0,Liste!O380,Liste!B380)</f>
        <v>Schaltfahne Initiator Pepperl+Fuchs NBN 12 verzinkt</v>
      </c>
      <c r="C380" s="2314"/>
      <c r="D380" s="30" t="str">
        <f>Liste!C380</f>
        <v>0308234</v>
      </c>
      <c r="E380" s="2314"/>
      <c r="F380" s="32">
        <f t="shared" si="32"/>
        <v>1</v>
      </c>
      <c r="G380" s="2314"/>
      <c r="H380" s="32">
        <f t="shared" si="33"/>
        <v>0</v>
      </c>
      <c r="I380" s="2314"/>
      <c r="J380" s="32">
        <f t="shared" si="34"/>
        <v>0</v>
      </c>
      <c r="K380" s="2314"/>
      <c r="L380" s="31">
        <f t="shared" si="35"/>
        <v>0</v>
      </c>
      <c r="M380" s="2314"/>
      <c r="N380" s="31" t="str">
        <f>Liste!L380</f>
        <v>Stk</v>
      </c>
      <c r="O380" s="31"/>
      <c r="P380" s="31"/>
      <c r="Q380" s="31">
        <f>Liste!P380</f>
        <v>0</v>
      </c>
      <c r="R380" s="31">
        <f>Liste!N380</f>
        <v>0</v>
      </c>
      <c r="S380" s="7">
        <v>0</v>
      </c>
      <c r="T380" s="7">
        <v>0</v>
      </c>
      <c r="U380" s="7">
        <v>0</v>
      </c>
      <c r="V380" s="7"/>
      <c r="W380" s="60"/>
      <c r="X380" s="60"/>
      <c r="Y380" s="60"/>
      <c r="Z380" s="7"/>
      <c r="AA380" s="7"/>
      <c r="AB380" s="60"/>
      <c r="AC380" s="60"/>
      <c r="AD380" s="60"/>
      <c r="AE380" s="7"/>
      <c r="AF380" s="7"/>
      <c r="AG380" s="7"/>
      <c r="AH380" s="7"/>
      <c r="AI380" s="7"/>
      <c r="AJ380" s="7">
        <f>Liste!X380</f>
        <v>0</v>
      </c>
      <c r="AK380" s="7">
        <f>Liste!Y380</f>
        <v>0</v>
      </c>
      <c r="AL380" s="7"/>
      <c r="AM380" s="7"/>
      <c r="AN380" s="7"/>
      <c r="AO380" s="1113">
        <f>Liste!D380</f>
        <v>1</v>
      </c>
      <c r="AP380" s="1113">
        <f>Liste!F380</f>
        <v>125</v>
      </c>
      <c r="AQ380" s="1113">
        <f>Liste!E380</f>
        <v>160</v>
      </c>
      <c r="AR380" s="1113">
        <f>Liste!G380</f>
        <v>3</v>
      </c>
      <c r="AS380" s="1112">
        <f>Liste!V380</f>
        <v>1</v>
      </c>
      <c r="AT380" s="1" t="str">
        <f>Liste!M380</f>
        <v>Stahlblech verz.</v>
      </c>
      <c r="AZ380" s="5" t="s">
        <v>30042</v>
      </c>
      <c r="BA380" s="4" t="s">
        <v>101</v>
      </c>
      <c r="BB380" s="4">
        <v>882</v>
      </c>
      <c r="BD380" s="35"/>
      <c r="BE380" s="35"/>
      <c r="BF380" s="2118" t="str">
        <f>Liste!R380</f>
        <v>0308234</v>
      </c>
      <c r="BG380" s="2137">
        <f>IF(AS380&gt;0,Liste!S380,0)</f>
        <v>1</v>
      </c>
      <c r="BH380" s="2118" t="str">
        <f>Liste!T380</f>
        <v>Stk</v>
      </c>
    </row>
    <row r="381" spans="1:60" ht="24.95" customHeight="1" x14ac:dyDescent="0.25">
      <c r="A381" s="29"/>
      <c r="B381" s="46" t="str">
        <f>IF(Liste!O381&gt;0,Liste!O381,Liste!B381)</f>
        <v>Schaltfahne Initiator Pepperl+Fuchs NBN 12 V2A</v>
      </c>
      <c r="C381" s="2314"/>
      <c r="D381" s="30" t="str">
        <f>Liste!C381</f>
        <v>0338234</v>
      </c>
      <c r="E381" s="2314"/>
      <c r="F381" s="32">
        <f t="shared" si="32"/>
        <v>0</v>
      </c>
      <c r="G381" s="2314"/>
      <c r="H381" s="32">
        <f t="shared" si="33"/>
        <v>0</v>
      </c>
      <c r="I381" s="2314"/>
      <c r="J381" s="32">
        <f t="shared" si="34"/>
        <v>0</v>
      </c>
      <c r="K381" s="2314"/>
      <c r="L381" s="31">
        <f t="shared" si="35"/>
        <v>0</v>
      </c>
      <c r="M381" s="2314"/>
      <c r="N381" s="31" t="str">
        <f>Liste!L381</f>
        <v>Stk</v>
      </c>
      <c r="O381" s="31"/>
      <c r="P381" s="31"/>
      <c r="Q381" s="31">
        <f>Liste!P381</f>
        <v>0</v>
      </c>
      <c r="R381" s="31">
        <f>Liste!N381</f>
        <v>0</v>
      </c>
      <c r="S381" s="7">
        <v>0</v>
      </c>
      <c r="T381" s="7">
        <v>0</v>
      </c>
      <c r="U381" s="7">
        <v>0</v>
      </c>
      <c r="V381" s="7"/>
      <c r="W381" s="60"/>
      <c r="X381" s="60"/>
      <c r="Y381" s="60"/>
      <c r="Z381" s="7"/>
      <c r="AA381" s="7"/>
      <c r="AB381" s="60"/>
      <c r="AC381" s="60"/>
      <c r="AD381" s="60"/>
      <c r="AE381" s="7"/>
      <c r="AF381" s="7"/>
      <c r="AG381" s="7"/>
      <c r="AH381" s="7"/>
      <c r="AI381" s="7"/>
      <c r="AJ381" s="7">
        <f>Liste!X381</f>
        <v>0</v>
      </c>
      <c r="AK381" s="7">
        <f>Liste!Y381</f>
        <v>1</v>
      </c>
      <c r="AL381" s="7"/>
      <c r="AM381" s="7"/>
      <c r="AN381" s="7"/>
      <c r="AO381" s="1113">
        <f>Liste!D381</f>
        <v>0</v>
      </c>
      <c r="AP381" s="1113">
        <f>Liste!F381</f>
        <v>125</v>
      </c>
      <c r="AQ381" s="1113">
        <f>Liste!E381</f>
        <v>160</v>
      </c>
      <c r="AR381" s="1113">
        <f>Liste!G381</f>
        <v>3</v>
      </c>
      <c r="AS381" s="1112">
        <f>Liste!V381</f>
        <v>1</v>
      </c>
      <c r="AT381" s="1" t="str">
        <f>Liste!M381</f>
        <v>V2A blank</v>
      </c>
      <c r="AZ381" s="5" t="s">
        <v>30043</v>
      </c>
      <c r="BA381" s="4" t="s">
        <v>101</v>
      </c>
      <c r="BB381" s="4">
        <v>883</v>
      </c>
      <c r="BD381" s="35"/>
      <c r="BE381" s="35"/>
      <c r="BF381" s="2118" t="str">
        <f>Liste!R381</f>
        <v>0338234</v>
      </c>
      <c r="BG381" s="2137">
        <f>IF(AS381&gt;0,Liste!S381,0)</f>
        <v>0</v>
      </c>
      <c r="BH381" s="2118" t="str">
        <f>Liste!T381</f>
        <v>Stk</v>
      </c>
    </row>
    <row r="382" spans="1:60" ht="24.95" customHeight="1" x14ac:dyDescent="0.25">
      <c r="A382" s="29"/>
      <c r="B382" s="46" t="str">
        <f>IF(Liste!O382&gt;0,Liste!O382,Liste!B382)</f>
        <v>Schaltfahne Rollenendschalter GCC vertikal verz.</v>
      </c>
      <c r="C382" s="2314"/>
      <c r="D382" s="30" t="str">
        <f>Liste!C382</f>
        <v>0308336</v>
      </c>
      <c r="E382" s="2314"/>
      <c r="F382" s="32">
        <f t="shared" si="32"/>
        <v>0</v>
      </c>
      <c r="G382" s="2314"/>
      <c r="H382" s="32">
        <f t="shared" si="33"/>
        <v>0</v>
      </c>
      <c r="I382" s="2314"/>
      <c r="J382" s="32">
        <f t="shared" si="34"/>
        <v>0</v>
      </c>
      <c r="K382" s="2314"/>
      <c r="L382" s="31">
        <f t="shared" si="35"/>
        <v>0</v>
      </c>
      <c r="M382" s="2314"/>
      <c r="N382" s="31" t="str">
        <f>Liste!L382</f>
        <v>Stk</v>
      </c>
      <c r="O382" s="31"/>
      <c r="P382" s="31"/>
      <c r="Q382" s="31">
        <f>Liste!P382</f>
        <v>0</v>
      </c>
      <c r="R382" s="31">
        <f>Liste!N382</f>
        <v>0</v>
      </c>
      <c r="S382" s="7">
        <v>0</v>
      </c>
      <c r="T382" s="7">
        <v>0</v>
      </c>
      <c r="U382" s="7">
        <v>0</v>
      </c>
      <c r="V382" s="7"/>
      <c r="W382" s="60"/>
      <c r="X382" s="60"/>
      <c r="Y382" s="60"/>
      <c r="Z382" s="7"/>
      <c r="AA382" s="7"/>
      <c r="AB382" s="60"/>
      <c r="AC382" s="60"/>
      <c r="AD382" s="60"/>
      <c r="AE382" s="7"/>
      <c r="AF382" s="7"/>
      <c r="AG382" s="7"/>
      <c r="AH382" s="7"/>
      <c r="AI382" s="7"/>
      <c r="AJ382" s="7">
        <f>Liste!X382</f>
        <v>0</v>
      </c>
      <c r="AK382" s="7">
        <f>Liste!Y382</f>
        <v>0</v>
      </c>
      <c r="AL382" s="7"/>
      <c r="AM382" s="7"/>
      <c r="AN382" s="7"/>
      <c r="AO382" s="1113">
        <f>Liste!D382</f>
        <v>0</v>
      </c>
      <c r="AP382" s="1113">
        <f>Liste!F382</f>
        <v>160</v>
      </c>
      <c r="AQ382" s="1113">
        <f>Liste!E382</f>
        <v>163</v>
      </c>
      <c r="AR382" s="1113">
        <f>Liste!G382</f>
        <v>3</v>
      </c>
      <c r="AS382" s="1112">
        <f>Liste!V382</f>
        <v>1</v>
      </c>
      <c r="AT382" s="1" t="str">
        <f>Liste!M382</f>
        <v>Stahlblech verz.</v>
      </c>
      <c r="AZ382" s="5" t="s">
        <v>30044</v>
      </c>
      <c r="BA382" s="4" t="s">
        <v>101</v>
      </c>
      <c r="BB382" s="4">
        <v>884</v>
      </c>
      <c r="BD382" s="35"/>
      <c r="BE382" s="35"/>
      <c r="BF382" s="2118" t="str">
        <f>Liste!R382</f>
        <v>0308336</v>
      </c>
      <c r="BG382" s="2137">
        <f>IF(AS382&gt;0,Liste!S382,0)</f>
        <v>0</v>
      </c>
      <c r="BH382" s="2118" t="str">
        <f>Liste!T382</f>
        <v>Stk</v>
      </c>
    </row>
    <row r="383" spans="1:60" ht="24.95" customHeight="1" x14ac:dyDescent="0.25">
      <c r="A383" s="29"/>
      <c r="B383" s="46" t="str">
        <f>IF(Liste!O383&gt;0,Liste!O383,Liste!B383)</f>
        <v>Schaltfahne Rollenendschalter GCC vertikal V2A</v>
      </c>
      <c r="C383" s="2314"/>
      <c r="D383" s="30" t="str">
        <f>Liste!C383</f>
        <v>0338336</v>
      </c>
      <c r="E383" s="2314"/>
      <c r="F383" s="32">
        <f t="shared" si="32"/>
        <v>0</v>
      </c>
      <c r="G383" s="2314"/>
      <c r="H383" s="32">
        <f t="shared" si="33"/>
        <v>0</v>
      </c>
      <c r="I383" s="2314"/>
      <c r="J383" s="32">
        <f t="shared" si="34"/>
        <v>0</v>
      </c>
      <c r="K383" s="2314"/>
      <c r="L383" s="31">
        <f t="shared" si="35"/>
        <v>0</v>
      </c>
      <c r="M383" s="2314"/>
      <c r="N383" s="31" t="str">
        <f>Liste!L383</f>
        <v>Stk</v>
      </c>
      <c r="O383" s="31"/>
      <c r="P383" s="31"/>
      <c r="Q383" s="31">
        <f>Liste!P383</f>
        <v>0</v>
      </c>
      <c r="R383" s="31">
        <f>Liste!N383</f>
        <v>0</v>
      </c>
      <c r="S383" s="7">
        <v>0</v>
      </c>
      <c r="T383" s="7">
        <v>0</v>
      </c>
      <c r="U383" s="7">
        <v>0</v>
      </c>
      <c r="V383" s="7"/>
      <c r="W383" s="60"/>
      <c r="X383" s="60"/>
      <c r="Y383" s="60"/>
      <c r="Z383" s="7"/>
      <c r="AA383" s="7"/>
      <c r="AB383" s="60"/>
      <c r="AC383" s="60"/>
      <c r="AD383" s="60"/>
      <c r="AE383" s="7"/>
      <c r="AF383" s="7"/>
      <c r="AG383" s="7"/>
      <c r="AH383" s="7"/>
      <c r="AI383" s="7"/>
      <c r="AJ383" s="7">
        <f>Liste!X383</f>
        <v>0</v>
      </c>
      <c r="AK383" s="7">
        <f>Liste!Y383</f>
        <v>0</v>
      </c>
      <c r="AL383" s="7"/>
      <c r="AM383" s="7"/>
      <c r="AN383" s="7"/>
      <c r="AO383" s="1113">
        <f>Liste!D383</f>
        <v>0</v>
      </c>
      <c r="AP383" s="1113">
        <f>Liste!F383</f>
        <v>173</v>
      </c>
      <c r="AQ383" s="1113">
        <f>Liste!E383</f>
        <v>80</v>
      </c>
      <c r="AR383" s="1113">
        <f>Liste!G383</f>
        <v>3</v>
      </c>
      <c r="AS383" s="1112">
        <f>Liste!V383</f>
        <v>0</v>
      </c>
      <c r="AT383" s="1" t="str">
        <f>Liste!M383</f>
        <v>V2A blank</v>
      </c>
      <c r="AZ383" s="5" t="s">
        <v>30045</v>
      </c>
      <c r="BA383" s="4" t="s">
        <v>101</v>
      </c>
      <c r="BB383" s="4">
        <v>885</v>
      </c>
      <c r="BD383" s="35"/>
      <c r="BE383" s="35"/>
      <c r="BF383" s="2118" t="str">
        <f>Liste!R383</f>
        <v>0338336</v>
      </c>
      <c r="BG383" s="2137">
        <f>IF(AS383&gt;0,Liste!S383,0)</f>
        <v>0</v>
      </c>
      <c r="BH383" s="2118" t="str">
        <f>Liste!T383</f>
        <v>Stk</v>
      </c>
    </row>
    <row r="384" spans="1:60" ht="24.95" customHeight="1" x14ac:dyDescent="0.25">
      <c r="A384" s="29"/>
      <c r="B384" s="46" t="str">
        <f>IF(Liste!O384&gt;0,Liste!O384,Liste!B384)</f>
        <v>Schaltfahne Initiator Pepperl+Fuchs NBN 12 verzinkt</v>
      </c>
      <c r="C384" s="2314"/>
      <c r="D384" s="30" t="str">
        <f>Liste!C384</f>
        <v>0308234</v>
      </c>
      <c r="E384" s="2314"/>
      <c r="F384" s="32">
        <f t="shared" si="32"/>
        <v>0</v>
      </c>
      <c r="G384" s="2314"/>
      <c r="H384" s="32">
        <f t="shared" si="33"/>
        <v>0</v>
      </c>
      <c r="I384" s="2314"/>
      <c r="J384" s="32">
        <f t="shared" si="34"/>
        <v>0</v>
      </c>
      <c r="K384" s="2314"/>
      <c r="L384" s="31">
        <f t="shared" si="35"/>
        <v>0</v>
      </c>
      <c r="M384" s="2314"/>
      <c r="N384" s="31">
        <f>Liste!L384</f>
        <v>0</v>
      </c>
      <c r="O384" s="31"/>
      <c r="P384" s="31"/>
      <c r="Q384" s="31">
        <f>Liste!P384</f>
        <v>0</v>
      </c>
      <c r="R384" s="31">
        <f>Liste!N384</f>
        <v>0</v>
      </c>
      <c r="S384" s="7">
        <v>0</v>
      </c>
      <c r="T384" s="7">
        <v>0</v>
      </c>
      <c r="U384" s="7">
        <v>0</v>
      </c>
      <c r="V384" s="7"/>
      <c r="W384" s="60"/>
      <c r="X384" s="60"/>
      <c r="Y384" s="60"/>
      <c r="Z384" s="7"/>
      <c r="AA384" s="7"/>
      <c r="AB384" s="60"/>
      <c r="AC384" s="60"/>
      <c r="AD384" s="60"/>
      <c r="AE384" s="7"/>
      <c r="AF384" s="7"/>
      <c r="AG384" s="7"/>
      <c r="AH384" s="7"/>
      <c r="AI384" s="7"/>
      <c r="AJ384" s="7">
        <f>Liste!X384</f>
        <v>0</v>
      </c>
      <c r="AK384" s="7">
        <f>Liste!Y384</f>
        <v>0</v>
      </c>
      <c r="AL384" s="7"/>
      <c r="AM384" s="7"/>
      <c r="AN384" s="7"/>
      <c r="AO384" s="1113">
        <f>Liste!D384</f>
        <v>0</v>
      </c>
      <c r="AP384" s="1113">
        <f>Liste!F384</f>
        <v>0</v>
      </c>
      <c r="AQ384" s="1113">
        <f>Liste!E384</f>
        <v>0</v>
      </c>
      <c r="AR384" s="1113">
        <f>Liste!G384</f>
        <v>0</v>
      </c>
      <c r="AS384" s="1112">
        <f>Liste!V384</f>
        <v>0</v>
      </c>
      <c r="AT384" s="1">
        <f>Liste!M384</f>
        <v>0</v>
      </c>
      <c r="AZ384" s="5" t="s">
        <v>30046</v>
      </c>
      <c r="BA384" s="4" t="s">
        <v>101</v>
      </c>
      <c r="BB384" s="4">
        <v>886</v>
      </c>
      <c r="BD384" s="35"/>
      <c r="BE384" s="35"/>
      <c r="BF384" s="2118" t="str">
        <f>Liste!R384</f>
        <v>0308234</v>
      </c>
      <c r="BG384" s="2137">
        <f>IF(AS384&gt;0,Liste!S384,0)</f>
        <v>0</v>
      </c>
      <c r="BH384" s="2118">
        <f>Liste!T384</f>
        <v>0</v>
      </c>
    </row>
    <row r="385" spans="1:60" ht="24.95" customHeight="1" x14ac:dyDescent="0.25">
      <c r="A385" s="29"/>
      <c r="B385" s="46" t="str">
        <f>IF(Liste!O385&gt;0,Liste!O385,Liste!B385)</f>
        <v>GCC horizontal Schieberführung Ausrückhalter</v>
      </c>
      <c r="C385" s="2314"/>
      <c r="D385" s="30">
        <f>Liste!C385</f>
        <v>0</v>
      </c>
      <c r="E385" s="2314"/>
      <c r="F385" s="32">
        <f t="shared" si="32"/>
        <v>0</v>
      </c>
      <c r="G385" s="2314"/>
      <c r="H385" s="32">
        <f t="shared" si="33"/>
        <v>0</v>
      </c>
      <c r="I385" s="2314"/>
      <c r="J385" s="32">
        <f t="shared" si="34"/>
        <v>0</v>
      </c>
      <c r="K385" s="2314"/>
      <c r="L385" s="31">
        <f t="shared" si="35"/>
        <v>0</v>
      </c>
      <c r="M385" s="2314"/>
      <c r="N385" s="31" t="str">
        <f>Liste!L385</f>
        <v>Stk</v>
      </c>
      <c r="O385" s="31"/>
      <c r="P385" s="31"/>
      <c r="Q385" s="31">
        <f>Liste!P385</f>
        <v>0</v>
      </c>
      <c r="R385" s="31">
        <f>Liste!N385</f>
        <v>0</v>
      </c>
      <c r="S385" s="7">
        <v>0</v>
      </c>
      <c r="T385" s="7">
        <v>0</v>
      </c>
      <c r="U385" s="7">
        <v>0</v>
      </c>
      <c r="V385" s="7"/>
      <c r="W385" s="60"/>
      <c r="X385" s="60"/>
      <c r="Y385" s="60"/>
      <c r="Z385" s="7"/>
      <c r="AA385" s="7"/>
      <c r="AB385" s="60"/>
      <c r="AC385" s="60"/>
      <c r="AD385" s="60"/>
      <c r="AE385" s="7"/>
      <c r="AF385" s="7"/>
      <c r="AG385" s="7"/>
      <c r="AH385" s="7"/>
      <c r="AI385" s="7"/>
      <c r="AJ385" s="7">
        <f>Liste!X385</f>
        <v>0</v>
      </c>
      <c r="AK385" s="7">
        <f>Liste!Y385</f>
        <v>1</v>
      </c>
      <c r="AL385" s="7"/>
      <c r="AM385" s="7"/>
      <c r="AN385" s="7"/>
      <c r="AO385" s="1113">
        <f>Liste!D385</f>
        <v>0</v>
      </c>
      <c r="AP385" s="1113">
        <f>Liste!F385</f>
        <v>260</v>
      </c>
      <c r="AQ385" s="1113">
        <f>Liste!E385</f>
        <v>99</v>
      </c>
      <c r="AR385" s="1113">
        <f>Liste!G385</f>
        <v>2</v>
      </c>
      <c r="AS385" s="1112">
        <f>Liste!V385</f>
        <v>1</v>
      </c>
      <c r="AT385" s="1">
        <f>Liste!M385</f>
        <v>0</v>
      </c>
      <c r="AZ385" s="5" t="s">
        <v>30047</v>
      </c>
      <c r="BA385" s="4" t="s">
        <v>101</v>
      </c>
      <c r="BB385" s="4">
        <v>887</v>
      </c>
      <c r="BD385" s="35"/>
      <c r="BE385" s="35"/>
      <c r="BF385" s="2118">
        <f>Liste!R385</f>
        <v>0</v>
      </c>
      <c r="BG385" s="2137">
        <f>IF(AS385&gt;0,Liste!S385,0)</f>
        <v>0</v>
      </c>
      <c r="BH385" s="2118">
        <f>Liste!T385</f>
        <v>0</v>
      </c>
    </row>
    <row r="386" spans="1:60" ht="24.95" customHeight="1" x14ac:dyDescent="0.25">
      <c r="A386" s="29"/>
      <c r="B386" s="46" t="str">
        <f>IF(Liste!O386&gt;0,Liste!O386,Liste!B386)</f>
        <v>Festfeld</v>
      </c>
      <c r="C386" s="2314"/>
      <c r="D386" s="30">
        <f>Liste!C386</f>
        <v>0</v>
      </c>
      <c r="E386" s="2314"/>
      <c r="F386" s="32">
        <f t="shared" si="32"/>
        <v>0</v>
      </c>
      <c r="G386" s="2314"/>
      <c r="H386" s="32">
        <f t="shared" si="33"/>
        <v>0</v>
      </c>
      <c r="I386" s="2314"/>
      <c r="J386" s="32">
        <f t="shared" si="34"/>
        <v>0</v>
      </c>
      <c r="K386" s="2314"/>
      <c r="L386" s="31">
        <f t="shared" si="35"/>
        <v>0</v>
      </c>
      <c r="M386" s="2314"/>
      <c r="N386" s="31">
        <f>Liste!L386</f>
        <v>0</v>
      </c>
      <c r="O386" s="31"/>
      <c r="P386" s="31"/>
      <c r="Q386" s="31">
        <f>Liste!P386</f>
        <v>0</v>
      </c>
      <c r="R386" s="31">
        <f>Liste!N386</f>
        <v>0</v>
      </c>
      <c r="S386" s="7">
        <v>0</v>
      </c>
      <c r="T386" s="7">
        <v>0</v>
      </c>
      <c r="U386" s="7">
        <v>0</v>
      </c>
      <c r="V386" s="7"/>
      <c r="W386" s="60"/>
      <c r="X386" s="60"/>
      <c r="Y386" s="60"/>
      <c r="Z386" s="7"/>
      <c r="AA386" s="7"/>
      <c r="AB386" s="60"/>
      <c r="AC386" s="60"/>
      <c r="AD386" s="60"/>
      <c r="AE386" s="7"/>
      <c r="AF386" s="7"/>
      <c r="AG386" s="7"/>
      <c r="AH386" s="7"/>
      <c r="AI386" s="7"/>
      <c r="AJ386" s="7">
        <f>Liste!X386</f>
        <v>0</v>
      </c>
      <c r="AK386" s="7">
        <f>Liste!Y386</f>
        <v>0</v>
      </c>
      <c r="AL386" s="7"/>
      <c r="AM386" s="7"/>
      <c r="AN386" s="7"/>
      <c r="AO386" s="1113">
        <f>Liste!D386</f>
        <v>1</v>
      </c>
      <c r="AP386" s="1113">
        <f>Liste!F386</f>
        <v>0</v>
      </c>
      <c r="AQ386" s="1113">
        <f>Liste!E386</f>
        <v>0</v>
      </c>
      <c r="AR386" s="1113">
        <f>Liste!G386</f>
        <v>0</v>
      </c>
      <c r="AS386" s="1112">
        <f>Liste!V386</f>
        <v>0</v>
      </c>
      <c r="AT386" s="1">
        <f>Liste!M386</f>
        <v>0</v>
      </c>
      <c r="AZ386" s="5" t="s">
        <v>30048</v>
      </c>
      <c r="BA386" s="4" t="s">
        <v>101</v>
      </c>
      <c r="BB386" s="4">
        <v>888</v>
      </c>
      <c r="BD386" s="35"/>
      <c r="BE386" s="35"/>
      <c r="BF386" s="2118">
        <f>Liste!R386</f>
        <v>0</v>
      </c>
      <c r="BG386" s="2137">
        <f>IF(AS386&gt;0,Liste!S386,0)</f>
        <v>0</v>
      </c>
      <c r="BH386" s="2118">
        <f>Liste!T386</f>
        <v>0</v>
      </c>
    </row>
    <row r="387" spans="1:60" ht="24.95" customHeight="1" x14ac:dyDescent="0.25">
      <c r="A387" s="29"/>
      <c r="B387" s="46" t="str">
        <f>IF(Liste!O387&gt;0,Liste!O387,Liste!B387)</f>
        <v>GCC Festfeldhalter 250 seitlich rechts verz</v>
      </c>
      <c r="C387" s="2314"/>
      <c r="D387" s="30" t="str">
        <f>Liste!C387</f>
        <v>0308214</v>
      </c>
      <c r="E387" s="2314"/>
      <c r="F387" s="32">
        <f t="shared" si="32"/>
        <v>0</v>
      </c>
      <c r="G387" s="2314"/>
      <c r="H387" s="32">
        <f t="shared" si="33"/>
        <v>0</v>
      </c>
      <c r="I387" s="2314"/>
      <c r="J387" s="32">
        <f t="shared" si="34"/>
        <v>0</v>
      </c>
      <c r="K387" s="2314"/>
      <c r="L387" s="31">
        <f t="shared" si="35"/>
        <v>0</v>
      </c>
      <c r="M387" s="2314"/>
      <c r="N387" s="31" t="str">
        <f>Liste!L387</f>
        <v>Stk</v>
      </c>
      <c r="O387" s="31"/>
      <c r="P387" s="31"/>
      <c r="Q387" s="31">
        <f>Liste!P387</f>
        <v>0</v>
      </c>
      <c r="R387" s="31">
        <f>Liste!N387</f>
        <v>0</v>
      </c>
      <c r="S387" s="7">
        <v>0</v>
      </c>
      <c r="T387" s="7">
        <v>0</v>
      </c>
      <c r="U387" s="7">
        <v>0</v>
      </c>
      <c r="V387" s="7"/>
      <c r="W387" s="60"/>
      <c r="X387" s="60"/>
      <c r="Y387" s="60"/>
      <c r="Z387" s="7"/>
      <c r="AA387" s="7"/>
      <c r="AB387" s="60"/>
      <c r="AC387" s="60"/>
      <c r="AD387" s="60"/>
      <c r="AE387" s="7"/>
      <c r="AF387" s="7"/>
      <c r="AG387" s="7"/>
      <c r="AH387" s="7"/>
      <c r="AI387" s="7"/>
      <c r="AJ387" s="7">
        <f>Liste!X387</f>
        <v>0</v>
      </c>
      <c r="AK387" s="7">
        <f>Liste!Y387</f>
        <v>1</v>
      </c>
      <c r="AL387" s="7"/>
      <c r="AM387" s="7"/>
      <c r="AN387" s="7"/>
      <c r="AO387" s="1113">
        <f>Liste!D387</f>
        <v>0</v>
      </c>
      <c r="AP387" s="1113">
        <f>Liste!F387</f>
        <v>365</v>
      </c>
      <c r="AQ387" s="1113">
        <f>Liste!E387</f>
        <v>268</v>
      </c>
      <c r="AR387" s="1113">
        <f>Liste!G387</f>
        <v>3</v>
      </c>
      <c r="AS387" s="1112">
        <f>Liste!V387</f>
        <v>1</v>
      </c>
      <c r="AT387" s="1" t="str">
        <f>Liste!M387</f>
        <v>Stahlblech verz.</v>
      </c>
      <c r="AZ387" s="5" t="s">
        <v>30049</v>
      </c>
      <c r="BA387" s="4" t="s">
        <v>101</v>
      </c>
      <c r="BB387" s="4">
        <v>889</v>
      </c>
      <c r="BD387" s="35"/>
      <c r="BE387" s="35"/>
      <c r="BF387" s="2118" t="str">
        <f>Liste!R387</f>
        <v>0701450</v>
      </c>
      <c r="BG387" s="2137">
        <f>IF(AS387&gt;0,Liste!S387,0)</f>
        <v>0</v>
      </c>
      <c r="BH387" s="2118" t="str">
        <f>Liste!T387</f>
        <v>m²</v>
      </c>
    </row>
    <row r="388" spans="1:60" ht="24.95" customHeight="1" x14ac:dyDescent="0.25">
      <c r="A388" s="29"/>
      <c r="B388" s="46" t="str">
        <f>IF(Liste!O388&gt;0,Liste!O388,Liste!B388)</f>
        <v>GCC Festfeldhalter 175 seitlich rechts verz</v>
      </c>
      <c r="C388" s="2314"/>
      <c r="D388" s="30" t="str">
        <f>Liste!C388</f>
        <v>0308044</v>
      </c>
      <c r="E388" s="2314"/>
      <c r="F388" s="32">
        <f t="shared" si="32"/>
        <v>1</v>
      </c>
      <c r="G388" s="2314"/>
      <c r="H388" s="32">
        <f t="shared" si="33"/>
        <v>0</v>
      </c>
      <c r="I388" s="2314"/>
      <c r="J388" s="32">
        <f t="shared" si="34"/>
        <v>0</v>
      </c>
      <c r="K388" s="2314"/>
      <c r="L388" s="31">
        <f t="shared" si="35"/>
        <v>0</v>
      </c>
      <c r="M388" s="2314"/>
      <c r="N388" s="31" t="str">
        <f>Liste!L388</f>
        <v>Stk</v>
      </c>
      <c r="O388" s="31"/>
      <c r="P388" s="31"/>
      <c r="Q388" s="31">
        <f>Liste!P388</f>
        <v>0</v>
      </c>
      <c r="R388" s="31">
        <f>Liste!N388</f>
        <v>0</v>
      </c>
      <c r="S388" s="7">
        <v>0</v>
      </c>
      <c r="T388" s="7">
        <v>0</v>
      </c>
      <c r="U388" s="7">
        <v>0</v>
      </c>
      <c r="V388" s="7"/>
      <c r="W388" s="60"/>
      <c r="X388" s="60"/>
      <c r="Y388" s="60"/>
      <c r="Z388" s="7"/>
      <c r="AA388" s="7"/>
      <c r="AB388" s="60"/>
      <c r="AC388" s="60"/>
      <c r="AD388" s="60"/>
      <c r="AE388" s="7"/>
      <c r="AF388" s="7"/>
      <c r="AG388" s="7"/>
      <c r="AH388" s="7"/>
      <c r="AI388" s="7"/>
      <c r="AJ388" s="7">
        <f>Liste!X388</f>
        <v>0</v>
      </c>
      <c r="AK388" s="7">
        <f>Liste!Y388</f>
        <v>1</v>
      </c>
      <c r="AL388" s="7"/>
      <c r="AM388" s="7"/>
      <c r="AN388" s="7"/>
      <c r="AO388" s="1113">
        <f>Liste!D388</f>
        <v>1</v>
      </c>
      <c r="AP388" s="1113">
        <f>Liste!F388</f>
        <v>365</v>
      </c>
      <c r="AQ388" s="1113">
        <f>Liste!E388</f>
        <v>193</v>
      </c>
      <c r="AR388" s="1113">
        <f>Liste!G388</f>
        <v>3</v>
      </c>
      <c r="AS388" s="1112">
        <f>Liste!V388</f>
        <v>1</v>
      </c>
      <c r="AT388" s="1" t="str">
        <f>Liste!M388</f>
        <v>Stahlblech verz.</v>
      </c>
      <c r="AZ388" s="5" t="s">
        <v>30050</v>
      </c>
      <c r="BA388" s="4" t="s">
        <v>101</v>
      </c>
      <c r="BB388" s="4">
        <v>890</v>
      </c>
      <c r="BD388" s="35"/>
      <c r="BE388" s="35"/>
      <c r="BF388" s="2118" t="str">
        <f>Liste!R388</f>
        <v>0701450</v>
      </c>
      <c r="BG388" s="2137">
        <f>IF(AS388&gt;0,Liste!S388,0)</f>
        <v>7.0444999999999994E-2</v>
      </c>
      <c r="BH388" s="2118" t="str">
        <f>Liste!T388</f>
        <v>m²</v>
      </c>
    </row>
    <row r="389" spans="1:60" ht="24.95" customHeight="1" x14ac:dyDescent="0.25">
      <c r="A389" s="29"/>
      <c r="B389" s="46" t="str">
        <f>IF(Liste!O389&gt;0,Liste!O389,Liste!B389)</f>
        <v>GCC Festfeldhalter 250 seitlich rechts V2A</v>
      </c>
      <c r="C389" s="2314"/>
      <c r="D389" s="30" t="str">
        <f>Liste!C389</f>
        <v>0338214</v>
      </c>
      <c r="E389" s="2314"/>
      <c r="F389" s="32">
        <f t="shared" si="32"/>
        <v>0</v>
      </c>
      <c r="G389" s="2314"/>
      <c r="H389" s="32">
        <f t="shared" si="33"/>
        <v>0</v>
      </c>
      <c r="I389" s="2314"/>
      <c r="J389" s="32">
        <f t="shared" si="34"/>
        <v>0</v>
      </c>
      <c r="K389" s="2314"/>
      <c r="L389" s="31">
        <f t="shared" si="35"/>
        <v>0</v>
      </c>
      <c r="M389" s="2314"/>
      <c r="N389" s="31" t="str">
        <f>Liste!L389</f>
        <v>Stk</v>
      </c>
      <c r="O389" s="31"/>
      <c r="P389" s="31"/>
      <c r="Q389" s="31">
        <f>Liste!P389</f>
        <v>0</v>
      </c>
      <c r="R389" s="31">
        <f>Liste!N389</f>
        <v>0</v>
      </c>
      <c r="S389" s="7">
        <v>0</v>
      </c>
      <c r="T389" s="7">
        <v>0</v>
      </c>
      <c r="U389" s="7">
        <v>0</v>
      </c>
      <c r="V389" s="7"/>
      <c r="W389" s="60"/>
      <c r="X389" s="60"/>
      <c r="Y389" s="60"/>
      <c r="Z389" s="7"/>
      <c r="AA389" s="7"/>
      <c r="AB389" s="60"/>
      <c r="AC389" s="60"/>
      <c r="AD389" s="60"/>
      <c r="AE389" s="7"/>
      <c r="AF389" s="7"/>
      <c r="AG389" s="7"/>
      <c r="AH389" s="7"/>
      <c r="AI389" s="7"/>
      <c r="AJ389" s="7">
        <f>Liste!X389</f>
        <v>0</v>
      </c>
      <c r="AK389" s="7">
        <f>Liste!Y389</f>
        <v>1</v>
      </c>
      <c r="AL389" s="7"/>
      <c r="AM389" s="7"/>
      <c r="AN389" s="7"/>
      <c r="AO389" s="1113">
        <f>Liste!D389</f>
        <v>0</v>
      </c>
      <c r="AP389" s="1113">
        <f>Liste!F389</f>
        <v>365</v>
      </c>
      <c r="AQ389" s="1113">
        <f>Liste!E389</f>
        <v>268</v>
      </c>
      <c r="AR389" s="1113">
        <f>Liste!G389</f>
        <v>3</v>
      </c>
      <c r="AS389" s="1112">
        <f>Liste!V389</f>
        <v>1</v>
      </c>
      <c r="AT389" s="1" t="str">
        <f>Liste!M389</f>
        <v>V2A blank</v>
      </c>
      <c r="AZ389" s="5" t="s">
        <v>30051</v>
      </c>
      <c r="BA389" s="4" t="s">
        <v>101</v>
      </c>
      <c r="BB389" s="4">
        <v>891</v>
      </c>
      <c r="BD389" s="35"/>
      <c r="BE389" s="35"/>
      <c r="BF389" s="2118" t="str">
        <f>Liste!R389</f>
        <v>0709886</v>
      </c>
      <c r="BG389" s="2137">
        <f>IF(AS389&gt;0,Liste!S389,0)</f>
        <v>0</v>
      </c>
      <c r="BH389" s="2118" t="str">
        <f>Liste!T389</f>
        <v>m²</v>
      </c>
    </row>
    <row r="390" spans="1:60" ht="24.95" customHeight="1" x14ac:dyDescent="0.25">
      <c r="A390" s="29"/>
      <c r="B390" s="46" t="str">
        <f>IF(Liste!O390&gt;0,Liste!O390,Liste!B390)</f>
        <v>GCC Festfeldhalter 175 seitlich rechts V2A</v>
      </c>
      <c r="C390" s="2314"/>
      <c r="D390" s="30" t="str">
        <f>Liste!C390</f>
        <v>0338044</v>
      </c>
      <c r="E390" s="2314"/>
      <c r="F390" s="32">
        <f t="shared" si="32"/>
        <v>0</v>
      </c>
      <c r="G390" s="2314"/>
      <c r="H390" s="32">
        <f t="shared" si="33"/>
        <v>0</v>
      </c>
      <c r="I390" s="2314"/>
      <c r="J390" s="32">
        <f t="shared" si="34"/>
        <v>0</v>
      </c>
      <c r="K390" s="2314"/>
      <c r="L390" s="31">
        <f t="shared" si="35"/>
        <v>0</v>
      </c>
      <c r="M390" s="2314"/>
      <c r="N390" s="31" t="str">
        <f>Liste!L390</f>
        <v>Stk</v>
      </c>
      <c r="O390" s="31"/>
      <c r="P390" s="31"/>
      <c r="Q390" s="31">
        <f>Liste!P390</f>
        <v>0</v>
      </c>
      <c r="R390" s="31">
        <f>Liste!N390</f>
        <v>0</v>
      </c>
      <c r="S390" s="7">
        <v>0</v>
      </c>
      <c r="T390" s="7">
        <v>0</v>
      </c>
      <c r="U390" s="7">
        <v>0</v>
      </c>
      <c r="V390" s="7"/>
      <c r="W390" s="60"/>
      <c r="X390" s="60"/>
      <c r="Y390" s="60"/>
      <c r="Z390" s="7"/>
      <c r="AA390" s="7"/>
      <c r="AB390" s="60"/>
      <c r="AC390" s="60"/>
      <c r="AD390" s="60"/>
      <c r="AE390" s="7"/>
      <c r="AF390" s="7"/>
      <c r="AG390" s="7"/>
      <c r="AH390" s="7"/>
      <c r="AI390" s="7"/>
      <c r="AJ390" s="7">
        <f>Liste!X390</f>
        <v>0</v>
      </c>
      <c r="AK390" s="7">
        <f>Liste!Y390</f>
        <v>1</v>
      </c>
      <c r="AL390" s="7"/>
      <c r="AM390" s="7"/>
      <c r="AN390" s="7"/>
      <c r="AO390" s="1113">
        <f>Liste!D390</f>
        <v>0</v>
      </c>
      <c r="AP390" s="1113">
        <f>Liste!F390</f>
        <v>365</v>
      </c>
      <c r="AQ390" s="1113">
        <f>Liste!E390</f>
        <v>193</v>
      </c>
      <c r="AR390" s="1113">
        <f>Liste!G390</f>
        <v>3</v>
      </c>
      <c r="AS390" s="1112">
        <f>Liste!V390</f>
        <v>1</v>
      </c>
      <c r="AT390" s="1" t="str">
        <f>Liste!M390</f>
        <v>V2A blank</v>
      </c>
      <c r="AZ390" s="5" t="s">
        <v>30052</v>
      </c>
      <c r="BA390" s="4" t="s">
        <v>101</v>
      </c>
      <c r="BB390" s="4">
        <v>892</v>
      </c>
      <c r="BD390" s="35"/>
      <c r="BE390" s="35"/>
      <c r="BF390" s="2118" t="str">
        <f>Liste!R390</f>
        <v>0709886</v>
      </c>
      <c r="BG390" s="2137">
        <f>IF(AS390&gt;0,Liste!S390,0)</f>
        <v>0</v>
      </c>
      <c r="BH390" s="2118" t="str">
        <f>Liste!T390</f>
        <v>m²</v>
      </c>
    </row>
    <row r="391" spans="1:60" ht="24.95" customHeight="1" x14ac:dyDescent="0.25">
      <c r="A391" s="29"/>
      <c r="B391" s="46" t="str">
        <f>IF(Liste!O391&gt;0,Liste!O391,Liste!B391)</f>
        <v>GCC Festfeldhalter 175 seitlich rechts verz</v>
      </c>
      <c r="C391" s="2314"/>
      <c r="D391" s="30" t="str">
        <f>Liste!C391</f>
        <v>0308044</v>
      </c>
      <c r="E391" s="2314"/>
      <c r="F391" s="32">
        <f t="shared" si="32"/>
        <v>0</v>
      </c>
      <c r="G391" s="2314"/>
      <c r="H391" s="32">
        <f t="shared" si="33"/>
        <v>0</v>
      </c>
      <c r="I391" s="2314"/>
      <c r="J391" s="32">
        <f t="shared" si="34"/>
        <v>0</v>
      </c>
      <c r="K391" s="2314"/>
      <c r="L391" s="31">
        <f t="shared" si="35"/>
        <v>0</v>
      </c>
      <c r="M391" s="2314"/>
      <c r="N391" s="31">
        <f>Liste!L391</f>
        <v>0</v>
      </c>
      <c r="O391" s="31"/>
      <c r="P391" s="31"/>
      <c r="Q391" s="31">
        <f>Liste!P391</f>
        <v>0</v>
      </c>
      <c r="R391" s="31">
        <f>Liste!N391</f>
        <v>0</v>
      </c>
      <c r="S391" s="7">
        <v>0</v>
      </c>
      <c r="T391" s="7">
        <v>0</v>
      </c>
      <c r="U391" s="7">
        <v>0</v>
      </c>
      <c r="V391" s="7"/>
      <c r="W391" s="60"/>
      <c r="X391" s="60"/>
      <c r="Y391" s="60"/>
      <c r="Z391" s="7"/>
      <c r="AA391" s="7"/>
      <c r="AB391" s="60"/>
      <c r="AC391" s="60"/>
      <c r="AD391" s="60"/>
      <c r="AE391" s="7"/>
      <c r="AF391" s="7"/>
      <c r="AG391" s="7"/>
      <c r="AH391" s="7"/>
      <c r="AI391" s="7"/>
      <c r="AJ391" s="7">
        <f>Liste!X391</f>
        <v>0</v>
      </c>
      <c r="AK391" s="7">
        <f>Liste!Y391</f>
        <v>0</v>
      </c>
      <c r="AL391" s="7"/>
      <c r="AM391" s="7"/>
      <c r="AN391" s="7"/>
      <c r="AO391" s="1113">
        <f>Liste!D391</f>
        <v>0</v>
      </c>
      <c r="AP391" s="1113">
        <f>Liste!F391</f>
        <v>0</v>
      </c>
      <c r="AQ391" s="1113">
        <f>Liste!E391</f>
        <v>0</v>
      </c>
      <c r="AR391" s="1113">
        <f>Liste!G391</f>
        <v>0</v>
      </c>
      <c r="AS391" s="1112">
        <f>Liste!V391</f>
        <v>0</v>
      </c>
      <c r="AT391" s="1">
        <f>Liste!M391</f>
        <v>0</v>
      </c>
      <c r="AZ391" s="5" t="s">
        <v>30053</v>
      </c>
      <c r="BA391" s="4" t="s">
        <v>101</v>
      </c>
      <c r="BB391" s="4">
        <v>893</v>
      </c>
      <c r="BD391" s="35"/>
      <c r="BE391" s="35"/>
      <c r="BF391" s="2118" t="str">
        <f>Liste!R391</f>
        <v>0308044</v>
      </c>
      <c r="BG391" s="2137">
        <f>IF(AS391&gt;0,Liste!S391,0)</f>
        <v>0</v>
      </c>
      <c r="BH391" s="2118">
        <f>Liste!T391</f>
        <v>0</v>
      </c>
    </row>
    <row r="392" spans="1:60" ht="24.95" customHeight="1" x14ac:dyDescent="0.25">
      <c r="A392" s="29"/>
      <c r="B392" s="46" t="str">
        <f>IF(Liste!O392&gt;0,Liste!O392,Liste!B392)</f>
        <v>GCC Festfeldhalter 250 seitlich links verz</v>
      </c>
      <c r="C392" s="2314"/>
      <c r="D392" s="30" t="str">
        <f>Liste!C392</f>
        <v>0308215</v>
      </c>
      <c r="E392" s="2314"/>
      <c r="F392" s="32">
        <f t="shared" si="32"/>
        <v>0</v>
      </c>
      <c r="G392" s="2314"/>
      <c r="H392" s="32">
        <f t="shared" si="33"/>
        <v>0</v>
      </c>
      <c r="I392" s="2314"/>
      <c r="J392" s="32">
        <f t="shared" si="34"/>
        <v>0</v>
      </c>
      <c r="K392" s="2314"/>
      <c r="L392" s="31">
        <f t="shared" si="35"/>
        <v>0</v>
      </c>
      <c r="M392" s="2314"/>
      <c r="N392" s="31" t="str">
        <f>Liste!L392</f>
        <v>Stk</v>
      </c>
      <c r="O392" s="31"/>
      <c r="P392" s="31"/>
      <c r="Q392" s="31">
        <f>Liste!P392</f>
        <v>0</v>
      </c>
      <c r="R392" s="31">
        <f>Liste!N392</f>
        <v>0</v>
      </c>
      <c r="S392" s="7">
        <v>0</v>
      </c>
      <c r="T392" s="7">
        <v>0</v>
      </c>
      <c r="U392" s="7">
        <v>0</v>
      </c>
      <c r="V392" s="7"/>
      <c r="W392" s="60"/>
      <c r="X392" s="60"/>
      <c r="Y392" s="60"/>
      <c r="Z392" s="7"/>
      <c r="AA392" s="7"/>
      <c r="AB392" s="60"/>
      <c r="AC392" s="60"/>
      <c r="AD392" s="60"/>
      <c r="AE392" s="7"/>
      <c r="AF392" s="7"/>
      <c r="AG392" s="7"/>
      <c r="AH392" s="7"/>
      <c r="AI392" s="7"/>
      <c r="AJ392" s="7">
        <f>Liste!X392</f>
        <v>0</v>
      </c>
      <c r="AK392" s="7">
        <f>Liste!Y392</f>
        <v>1</v>
      </c>
      <c r="AL392" s="7"/>
      <c r="AM392" s="7"/>
      <c r="AN392" s="7"/>
      <c r="AO392" s="1113">
        <f>Liste!D392</f>
        <v>0</v>
      </c>
      <c r="AP392" s="1113">
        <f>Liste!F392</f>
        <v>365</v>
      </c>
      <c r="AQ392" s="1113">
        <f>Liste!E392</f>
        <v>268</v>
      </c>
      <c r="AR392" s="1113">
        <f>Liste!G392</f>
        <v>3</v>
      </c>
      <c r="AS392" s="1112">
        <f>Liste!V392</f>
        <v>1</v>
      </c>
      <c r="AT392" s="1" t="str">
        <f>Liste!M392</f>
        <v>Stahlblech verz.</v>
      </c>
      <c r="AZ392" s="5" t="s">
        <v>30054</v>
      </c>
      <c r="BA392" s="4" t="s">
        <v>101</v>
      </c>
      <c r="BB392" s="4">
        <v>894</v>
      </c>
      <c r="BD392" s="35"/>
      <c r="BE392" s="35"/>
      <c r="BF392" s="2118" t="str">
        <f>Liste!R392</f>
        <v>0701450</v>
      </c>
      <c r="BG392" s="2137">
        <f>IF(AS392&gt;0,Liste!S392,0)</f>
        <v>0</v>
      </c>
      <c r="BH392" s="2118" t="str">
        <f>Liste!T392</f>
        <v>m²</v>
      </c>
    </row>
    <row r="393" spans="1:60" ht="24.95" customHeight="1" x14ac:dyDescent="0.25">
      <c r="A393" s="29"/>
      <c r="B393" s="46" t="str">
        <f>IF(Liste!O393&gt;0,Liste!O393,Liste!B393)</f>
        <v>GCC Festfeldhalter 175 seitlich links verz</v>
      </c>
      <c r="C393" s="2314"/>
      <c r="D393" s="30" t="str">
        <f>Liste!C393</f>
        <v>0308045</v>
      </c>
      <c r="E393" s="2314"/>
      <c r="F393" s="32">
        <f t="shared" si="32"/>
        <v>1</v>
      </c>
      <c r="G393" s="2314"/>
      <c r="H393" s="32">
        <f t="shared" si="33"/>
        <v>0</v>
      </c>
      <c r="I393" s="2314"/>
      <c r="J393" s="32">
        <f t="shared" si="34"/>
        <v>0</v>
      </c>
      <c r="K393" s="2314"/>
      <c r="L393" s="31">
        <f t="shared" si="35"/>
        <v>0</v>
      </c>
      <c r="M393" s="2314"/>
      <c r="N393" s="31" t="str">
        <f>Liste!L393</f>
        <v>Stk</v>
      </c>
      <c r="O393" s="31"/>
      <c r="P393" s="31"/>
      <c r="Q393" s="31">
        <f>Liste!P393</f>
        <v>0</v>
      </c>
      <c r="R393" s="31">
        <f>Liste!N393</f>
        <v>0</v>
      </c>
      <c r="S393" s="7">
        <v>0</v>
      </c>
      <c r="T393" s="7">
        <v>0</v>
      </c>
      <c r="U393" s="7">
        <v>0</v>
      </c>
      <c r="V393" s="7"/>
      <c r="W393" s="60"/>
      <c r="X393" s="60"/>
      <c r="Y393" s="60"/>
      <c r="Z393" s="7"/>
      <c r="AA393" s="7"/>
      <c r="AB393" s="60"/>
      <c r="AC393" s="60"/>
      <c r="AD393" s="60"/>
      <c r="AE393" s="7"/>
      <c r="AF393" s="7"/>
      <c r="AG393" s="7"/>
      <c r="AH393" s="7"/>
      <c r="AI393" s="7"/>
      <c r="AJ393" s="7">
        <f>Liste!X393</f>
        <v>0</v>
      </c>
      <c r="AK393" s="7">
        <f>Liste!Y393</f>
        <v>1</v>
      </c>
      <c r="AL393" s="7"/>
      <c r="AM393" s="7"/>
      <c r="AN393" s="7"/>
      <c r="AO393" s="1113">
        <f>Liste!D393</f>
        <v>1</v>
      </c>
      <c r="AP393" s="1113">
        <f>Liste!F393</f>
        <v>365</v>
      </c>
      <c r="AQ393" s="1113">
        <f>Liste!E393</f>
        <v>193</v>
      </c>
      <c r="AR393" s="1113">
        <f>Liste!G393</f>
        <v>3</v>
      </c>
      <c r="AS393" s="1112">
        <f>Liste!V393</f>
        <v>1</v>
      </c>
      <c r="AT393" s="1" t="str">
        <f>Liste!M393</f>
        <v>Stahlblech verz.</v>
      </c>
      <c r="AZ393" s="5" t="s">
        <v>30055</v>
      </c>
      <c r="BA393" s="4" t="s">
        <v>101</v>
      </c>
      <c r="BB393" s="4">
        <v>895</v>
      </c>
      <c r="BD393" s="35"/>
      <c r="BE393" s="35"/>
      <c r="BF393" s="2118" t="str">
        <f>Liste!R393</f>
        <v>0701450</v>
      </c>
      <c r="BG393" s="2137">
        <f>IF(AS393&gt;0,Liste!S393,0)</f>
        <v>7.0444999999999994E-2</v>
      </c>
      <c r="BH393" s="2118" t="str">
        <f>Liste!T393</f>
        <v>m²</v>
      </c>
    </row>
    <row r="394" spans="1:60" ht="24.95" customHeight="1" x14ac:dyDescent="0.25">
      <c r="A394" s="29"/>
      <c r="B394" s="46" t="str">
        <f>IF(Liste!O394&gt;0,Liste!O394,Liste!B394)</f>
        <v>GCC Festfeldhalter 250 seitlich links V2A</v>
      </c>
      <c r="C394" s="2314"/>
      <c r="D394" s="30" t="str">
        <f>Liste!C394</f>
        <v>0338215</v>
      </c>
      <c r="E394" s="2314"/>
      <c r="F394" s="32">
        <f t="shared" ref="F394:F457" si="36">IF(AS394&gt;0,AO394,0)</f>
        <v>0</v>
      </c>
      <c r="G394" s="2314"/>
      <c r="H394" s="32">
        <f t="shared" ref="H394:H457" si="37">IF(N394=$P$1,0,AP394)</f>
        <v>0</v>
      </c>
      <c r="I394" s="2314"/>
      <c r="J394" s="32">
        <f t="shared" ref="J394:J457" si="38">IF(OR(N394=$P$1,N394=$Q$1),0,AQ394)</f>
        <v>0</v>
      </c>
      <c r="K394" s="2314"/>
      <c r="L394" s="31">
        <f t="shared" ref="L394:L457" si="39">IF(OR(N394=$P$1,N394=$Q$1,$R$1=N394),0,AR394)</f>
        <v>0</v>
      </c>
      <c r="M394" s="2314"/>
      <c r="N394" s="31" t="str">
        <f>Liste!L394</f>
        <v>Stk</v>
      </c>
      <c r="O394" s="31"/>
      <c r="P394" s="31"/>
      <c r="Q394" s="31">
        <f>Liste!P394</f>
        <v>0</v>
      </c>
      <c r="R394" s="31">
        <f>Liste!N394</f>
        <v>0</v>
      </c>
      <c r="S394" s="7">
        <v>0</v>
      </c>
      <c r="T394" s="7">
        <v>0</v>
      </c>
      <c r="U394" s="7">
        <v>0</v>
      </c>
      <c r="V394" s="7"/>
      <c r="W394" s="60"/>
      <c r="X394" s="60"/>
      <c r="Y394" s="60"/>
      <c r="Z394" s="7"/>
      <c r="AA394" s="7"/>
      <c r="AB394" s="60"/>
      <c r="AC394" s="60"/>
      <c r="AD394" s="60"/>
      <c r="AE394" s="7"/>
      <c r="AF394" s="7"/>
      <c r="AG394" s="7"/>
      <c r="AH394" s="7"/>
      <c r="AI394" s="7"/>
      <c r="AJ394" s="7">
        <f>Liste!X394</f>
        <v>0</v>
      </c>
      <c r="AK394" s="7">
        <f>Liste!Y394</f>
        <v>1</v>
      </c>
      <c r="AL394" s="7"/>
      <c r="AM394" s="7"/>
      <c r="AN394" s="7"/>
      <c r="AO394" s="1113">
        <f>Liste!D394</f>
        <v>0</v>
      </c>
      <c r="AP394" s="1113">
        <f>Liste!F394</f>
        <v>365</v>
      </c>
      <c r="AQ394" s="1113">
        <f>Liste!E394</f>
        <v>268</v>
      </c>
      <c r="AR394" s="1113">
        <f>Liste!G394</f>
        <v>3</v>
      </c>
      <c r="AS394" s="1112">
        <f>Liste!V394</f>
        <v>1</v>
      </c>
      <c r="AT394" s="1" t="str">
        <f>Liste!M394</f>
        <v>V2A blank</v>
      </c>
      <c r="AZ394" s="5" t="s">
        <v>30056</v>
      </c>
      <c r="BA394" s="4" t="s">
        <v>101</v>
      </c>
      <c r="BB394" s="4">
        <v>896</v>
      </c>
      <c r="BD394" s="35"/>
      <c r="BE394" s="35"/>
      <c r="BF394" s="2118" t="str">
        <f>Liste!R394</f>
        <v>0709886</v>
      </c>
      <c r="BG394" s="2137">
        <f>IF(AS394&gt;0,Liste!S394,0)</f>
        <v>0</v>
      </c>
      <c r="BH394" s="2118" t="str">
        <f>Liste!T394</f>
        <v>m²</v>
      </c>
    </row>
    <row r="395" spans="1:60" ht="24.95" customHeight="1" x14ac:dyDescent="0.25">
      <c r="A395" s="29"/>
      <c r="B395" s="46" t="str">
        <f>IF(Liste!O395&gt;0,Liste!O395,Liste!B395)</f>
        <v>GCC Festfeldhalter 175 seitlich links V2A</v>
      </c>
      <c r="C395" s="2314"/>
      <c r="D395" s="30" t="str">
        <f>Liste!C395</f>
        <v>0338045</v>
      </c>
      <c r="E395" s="2314"/>
      <c r="F395" s="32">
        <f t="shared" si="36"/>
        <v>0</v>
      </c>
      <c r="G395" s="2314"/>
      <c r="H395" s="32">
        <f t="shared" si="37"/>
        <v>0</v>
      </c>
      <c r="I395" s="2314"/>
      <c r="J395" s="32">
        <f t="shared" si="38"/>
        <v>0</v>
      </c>
      <c r="K395" s="2314"/>
      <c r="L395" s="31">
        <f t="shared" si="39"/>
        <v>0</v>
      </c>
      <c r="M395" s="2314"/>
      <c r="N395" s="31" t="str">
        <f>Liste!L395</f>
        <v>Stk</v>
      </c>
      <c r="O395" s="31"/>
      <c r="P395" s="31"/>
      <c r="Q395" s="31">
        <f>Liste!P395</f>
        <v>0</v>
      </c>
      <c r="R395" s="31">
        <f>Liste!N395</f>
        <v>0</v>
      </c>
      <c r="S395" s="7">
        <v>0</v>
      </c>
      <c r="T395" s="7">
        <v>0</v>
      </c>
      <c r="U395" s="7">
        <v>0</v>
      </c>
      <c r="V395" s="7"/>
      <c r="W395" s="60"/>
      <c r="X395" s="60"/>
      <c r="Y395" s="60"/>
      <c r="Z395" s="7"/>
      <c r="AA395" s="7"/>
      <c r="AB395" s="60"/>
      <c r="AC395" s="60"/>
      <c r="AD395" s="60"/>
      <c r="AE395" s="7"/>
      <c r="AF395" s="7"/>
      <c r="AG395" s="7"/>
      <c r="AH395" s="7"/>
      <c r="AI395" s="7"/>
      <c r="AJ395" s="7">
        <f>Liste!X395</f>
        <v>0</v>
      </c>
      <c r="AK395" s="7">
        <f>Liste!Y395</f>
        <v>1</v>
      </c>
      <c r="AL395" s="7"/>
      <c r="AM395" s="7"/>
      <c r="AN395" s="7"/>
      <c r="AO395" s="1113">
        <f>Liste!D395</f>
        <v>0</v>
      </c>
      <c r="AP395" s="1113">
        <f>Liste!F395</f>
        <v>365</v>
      </c>
      <c r="AQ395" s="1113">
        <f>Liste!E395</f>
        <v>193</v>
      </c>
      <c r="AR395" s="1113">
        <f>Liste!G395</f>
        <v>3</v>
      </c>
      <c r="AS395" s="1112">
        <f>Liste!V395</f>
        <v>1</v>
      </c>
      <c r="AT395" s="1" t="str">
        <f>Liste!M395</f>
        <v>V2A blank</v>
      </c>
      <c r="AZ395" s="5" t="s">
        <v>30057</v>
      </c>
      <c r="BA395" s="4" t="s">
        <v>101</v>
      </c>
      <c r="BB395" s="4">
        <v>897</v>
      </c>
      <c r="BD395" s="35"/>
      <c r="BE395" s="35"/>
      <c r="BF395" s="2118" t="str">
        <f>Liste!R395</f>
        <v>0709886</v>
      </c>
      <c r="BG395" s="2137">
        <f>IF(AS395&gt;0,Liste!S395,0)</f>
        <v>0</v>
      </c>
      <c r="BH395" s="2118" t="str">
        <f>Liste!T395</f>
        <v>m²</v>
      </c>
    </row>
    <row r="396" spans="1:60" ht="24.95" customHeight="1" x14ac:dyDescent="0.25">
      <c r="A396" s="29"/>
      <c r="B396" s="46" t="str">
        <f>IF(Liste!O396&gt;0,Liste!O396,Liste!B396)</f>
        <v>GCC Festfeldhalter 175 seitlich links verz</v>
      </c>
      <c r="C396" s="2314"/>
      <c r="D396" s="30" t="str">
        <f>Liste!C396</f>
        <v>0308045</v>
      </c>
      <c r="E396" s="2314"/>
      <c r="F396" s="32">
        <f t="shared" si="36"/>
        <v>0</v>
      </c>
      <c r="G396" s="2314"/>
      <c r="H396" s="32">
        <f t="shared" si="37"/>
        <v>0</v>
      </c>
      <c r="I396" s="2314"/>
      <c r="J396" s="32">
        <f t="shared" si="38"/>
        <v>0</v>
      </c>
      <c r="K396" s="2314"/>
      <c r="L396" s="31">
        <f t="shared" si="39"/>
        <v>0</v>
      </c>
      <c r="M396" s="2314"/>
      <c r="N396" s="31">
        <f>Liste!L396</f>
        <v>0</v>
      </c>
      <c r="O396" s="31"/>
      <c r="P396" s="31"/>
      <c r="Q396" s="31">
        <f>Liste!P396</f>
        <v>0</v>
      </c>
      <c r="R396" s="31">
        <f>Liste!N396</f>
        <v>0</v>
      </c>
      <c r="S396" s="7">
        <v>0</v>
      </c>
      <c r="T396" s="7">
        <v>0</v>
      </c>
      <c r="U396" s="7">
        <v>0</v>
      </c>
      <c r="V396" s="7"/>
      <c r="W396" s="60"/>
      <c r="X396" s="60"/>
      <c r="Y396" s="60"/>
      <c r="Z396" s="7"/>
      <c r="AA396" s="7"/>
      <c r="AB396" s="60"/>
      <c r="AC396" s="60"/>
      <c r="AD396" s="60"/>
      <c r="AE396" s="7"/>
      <c r="AF396" s="7"/>
      <c r="AG396" s="7"/>
      <c r="AH396" s="7"/>
      <c r="AI396" s="7"/>
      <c r="AJ396" s="7">
        <f>Liste!X396</f>
        <v>0</v>
      </c>
      <c r="AK396" s="7">
        <f>Liste!Y396</f>
        <v>0</v>
      </c>
      <c r="AL396" s="7"/>
      <c r="AM396" s="7"/>
      <c r="AN396" s="7"/>
      <c r="AO396" s="1113">
        <f>Liste!D396</f>
        <v>0</v>
      </c>
      <c r="AP396" s="1113">
        <f>Liste!F396</f>
        <v>0</v>
      </c>
      <c r="AQ396" s="1113">
        <f>Liste!E396</f>
        <v>0</v>
      </c>
      <c r="AR396" s="1113">
        <f>Liste!G396</f>
        <v>0</v>
      </c>
      <c r="AS396" s="1112">
        <f>Liste!V396</f>
        <v>0</v>
      </c>
      <c r="AT396" s="1">
        <f>Liste!M396</f>
        <v>0</v>
      </c>
      <c r="AZ396" s="5" t="s">
        <v>30058</v>
      </c>
      <c r="BA396" s="4" t="s">
        <v>101</v>
      </c>
      <c r="BB396" s="4">
        <v>898</v>
      </c>
      <c r="BD396" s="35"/>
      <c r="BE396" s="35"/>
      <c r="BF396" s="2118" t="str">
        <f>Liste!R396</f>
        <v>0308045</v>
      </c>
      <c r="BG396" s="2137">
        <f>IF(AS396&gt;0,Liste!S396,0)</f>
        <v>0</v>
      </c>
      <c r="BH396" s="2118">
        <f>Liste!T396</f>
        <v>0</v>
      </c>
    </row>
    <row r="397" spans="1:60" ht="24.95" customHeight="1" x14ac:dyDescent="0.25">
      <c r="A397" s="29"/>
      <c r="B397" s="46" t="str">
        <f>IF(Liste!O397&gt;0,Liste!O397,Liste!B397)</f>
        <v>GCC Festfeldbefestigung seitlich rechts verz</v>
      </c>
      <c r="C397" s="2314"/>
      <c r="D397" s="30" t="str">
        <f>Liste!C397</f>
        <v>0308046</v>
      </c>
      <c r="E397" s="2314"/>
      <c r="F397" s="32">
        <f t="shared" si="36"/>
        <v>2</v>
      </c>
      <c r="G397" s="2314"/>
      <c r="H397" s="32">
        <f t="shared" si="37"/>
        <v>0</v>
      </c>
      <c r="I397" s="2314"/>
      <c r="J397" s="32">
        <f t="shared" si="38"/>
        <v>0</v>
      </c>
      <c r="K397" s="2314"/>
      <c r="L397" s="31">
        <f t="shared" si="39"/>
        <v>0</v>
      </c>
      <c r="M397" s="2314"/>
      <c r="N397" s="31" t="str">
        <f>Liste!L397</f>
        <v>Stk</v>
      </c>
      <c r="O397" s="31"/>
      <c r="P397" s="31"/>
      <c r="Q397" s="31">
        <f>Liste!P397</f>
        <v>0</v>
      </c>
      <c r="R397" s="31">
        <f>Liste!N397</f>
        <v>0</v>
      </c>
      <c r="S397" s="7">
        <v>0</v>
      </c>
      <c r="T397" s="7">
        <v>0</v>
      </c>
      <c r="U397" s="7">
        <v>0</v>
      </c>
      <c r="V397" s="7"/>
      <c r="W397" s="60"/>
      <c r="X397" s="60"/>
      <c r="Y397" s="60"/>
      <c r="Z397" s="7"/>
      <c r="AA397" s="7"/>
      <c r="AB397" s="60"/>
      <c r="AC397" s="60"/>
      <c r="AD397" s="60"/>
      <c r="AE397" s="7"/>
      <c r="AF397" s="7"/>
      <c r="AG397" s="7"/>
      <c r="AH397" s="7"/>
      <c r="AI397" s="7"/>
      <c r="AJ397" s="7">
        <f>Liste!X397</f>
        <v>0</v>
      </c>
      <c r="AK397" s="7">
        <f>Liste!Y397</f>
        <v>0</v>
      </c>
      <c r="AL397" s="7"/>
      <c r="AM397" s="7"/>
      <c r="AN397" s="7"/>
      <c r="AO397" s="1113">
        <f>Liste!D397</f>
        <v>2</v>
      </c>
      <c r="AP397" s="1113">
        <f>Liste!F397</f>
        <v>211</v>
      </c>
      <c r="AQ397" s="1113">
        <f>Liste!E397</f>
        <v>91</v>
      </c>
      <c r="AR397" s="1113">
        <f>Liste!G397</f>
        <v>5</v>
      </c>
      <c r="AS397" s="1112">
        <f>Liste!V397</f>
        <v>1</v>
      </c>
      <c r="AT397" s="1" t="str">
        <f>Liste!M397</f>
        <v>Stahlblech verz.</v>
      </c>
      <c r="AZ397" s="5" t="s">
        <v>30059</v>
      </c>
      <c r="BA397" s="4" t="s">
        <v>101</v>
      </c>
      <c r="BB397" s="4">
        <v>899</v>
      </c>
      <c r="BD397" s="35"/>
      <c r="BE397" s="35"/>
      <c r="BF397" s="2118" t="str">
        <f>Liste!R397</f>
        <v>0308046</v>
      </c>
      <c r="BG397" s="2137">
        <f>IF(AS397&gt;0,Liste!S397,0)</f>
        <v>2</v>
      </c>
      <c r="BH397" s="2118" t="str">
        <f>Liste!T397</f>
        <v>Stk</v>
      </c>
    </row>
    <row r="398" spans="1:60" ht="24.95" customHeight="1" x14ac:dyDescent="0.25">
      <c r="A398" s="29"/>
      <c r="B398" s="46" t="str">
        <f>IF(Liste!O398&gt;0,Liste!O398,Liste!B398)</f>
        <v>GCC Festfeldbefestigung seitlich rechts V2A</v>
      </c>
      <c r="C398" s="2314"/>
      <c r="D398" s="30" t="str">
        <f>Liste!C398</f>
        <v>0338046</v>
      </c>
      <c r="E398" s="2314"/>
      <c r="F398" s="32">
        <f t="shared" si="36"/>
        <v>0</v>
      </c>
      <c r="G398" s="2314"/>
      <c r="H398" s="32">
        <f t="shared" si="37"/>
        <v>0</v>
      </c>
      <c r="I398" s="2314"/>
      <c r="J398" s="32">
        <f t="shared" si="38"/>
        <v>0</v>
      </c>
      <c r="K398" s="2314"/>
      <c r="L398" s="31">
        <f t="shared" si="39"/>
        <v>0</v>
      </c>
      <c r="M398" s="2314"/>
      <c r="N398" s="31" t="str">
        <f>Liste!L398</f>
        <v>Stk</v>
      </c>
      <c r="O398" s="31"/>
      <c r="P398" s="31"/>
      <c r="Q398" s="31">
        <f>Liste!P398</f>
        <v>0</v>
      </c>
      <c r="R398" s="31">
        <f>Liste!N398</f>
        <v>0</v>
      </c>
      <c r="S398" s="7">
        <v>0</v>
      </c>
      <c r="T398" s="7">
        <v>0</v>
      </c>
      <c r="U398" s="7">
        <v>0</v>
      </c>
      <c r="V398" s="7"/>
      <c r="W398" s="60"/>
      <c r="X398" s="60"/>
      <c r="Y398" s="60"/>
      <c r="Z398" s="7"/>
      <c r="AA398" s="7"/>
      <c r="AB398" s="60"/>
      <c r="AC398" s="60"/>
      <c r="AD398" s="60"/>
      <c r="AE398" s="7"/>
      <c r="AF398" s="7"/>
      <c r="AG398" s="7"/>
      <c r="AH398" s="7"/>
      <c r="AI398" s="7"/>
      <c r="AJ398" s="7">
        <f>Liste!X398</f>
        <v>0</v>
      </c>
      <c r="AK398" s="7">
        <f>Liste!Y398</f>
        <v>0</v>
      </c>
      <c r="AL398" s="7"/>
      <c r="AM398" s="7"/>
      <c r="AN398" s="7"/>
      <c r="AO398" s="1113">
        <f>Liste!D398</f>
        <v>0</v>
      </c>
      <c r="AP398" s="1113">
        <f>Liste!F398</f>
        <v>211</v>
      </c>
      <c r="AQ398" s="1113">
        <f>Liste!E398</f>
        <v>91</v>
      </c>
      <c r="AR398" s="1113">
        <f>Liste!G398</f>
        <v>5</v>
      </c>
      <c r="AS398" s="1112">
        <f>Liste!V398</f>
        <v>1</v>
      </c>
      <c r="AT398" s="1" t="str">
        <f>Liste!M398</f>
        <v>V2A blank</v>
      </c>
      <c r="AZ398" s="5" t="s">
        <v>30060</v>
      </c>
      <c r="BA398" s="4" t="s">
        <v>101</v>
      </c>
      <c r="BB398" s="4">
        <v>900</v>
      </c>
      <c r="BD398" s="35"/>
      <c r="BE398" s="35"/>
      <c r="BF398" s="2118" t="str">
        <f>Liste!R398</f>
        <v>0338046</v>
      </c>
      <c r="BG398" s="2137">
        <f>IF(AS398&gt;0,Liste!S398,0)</f>
        <v>0</v>
      </c>
      <c r="BH398" s="2118" t="str">
        <f>Liste!T398</f>
        <v>Stk</v>
      </c>
    </row>
    <row r="399" spans="1:60" ht="24.95" customHeight="1" x14ac:dyDescent="0.25">
      <c r="A399" s="29"/>
      <c r="B399" s="46" t="str">
        <f>IF(Liste!O399&gt;0,Liste!O399,Liste!B399)</f>
        <v>GCC Festfeldbefestigung seitlich rechts verz</v>
      </c>
      <c r="C399" s="2314"/>
      <c r="D399" s="30" t="str">
        <f>Liste!C399</f>
        <v>0308046</v>
      </c>
      <c r="E399" s="2314"/>
      <c r="F399" s="32">
        <f t="shared" si="36"/>
        <v>0</v>
      </c>
      <c r="G399" s="2314"/>
      <c r="H399" s="32">
        <f t="shared" si="37"/>
        <v>0</v>
      </c>
      <c r="I399" s="2314"/>
      <c r="J399" s="32">
        <f t="shared" si="38"/>
        <v>0</v>
      </c>
      <c r="K399" s="2314"/>
      <c r="L399" s="31">
        <f t="shared" si="39"/>
        <v>0</v>
      </c>
      <c r="M399" s="2314"/>
      <c r="N399" s="31">
        <f>Liste!L399</f>
        <v>0</v>
      </c>
      <c r="O399" s="31"/>
      <c r="P399" s="31"/>
      <c r="Q399" s="31">
        <f>Liste!P399</f>
        <v>0</v>
      </c>
      <c r="R399" s="31">
        <f>Liste!N399</f>
        <v>0</v>
      </c>
      <c r="S399" s="7">
        <v>0</v>
      </c>
      <c r="T399" s="7">
        <v>0</v>
      </c>
      <c r="U399" s="7">
        <v>0</v>
      </c>
      <c r="V399" s="7"/>
      <c r="W399" s="60"/>
      <c r="X399" s="60"/>
      <c r="Y399" s="60"/>
      <c r="Z399" s="7"/>
      <c r="AA399" s="7"/>
      <c r="AB399" s="60"/>
      <c r="AC399" s="60"/>
      <c r="AD399" s="60"/>
      <c r="AE399" s="7"/>
      <c r="AF399" s="7"/>
      <c r="AG399" s="7"/>
      <c r="AH399" s="7"/>
      <c r="AI399" s="7"/>
      <c r="AJ399" s="7">
        <f>Liste!X399</f>
        <v>0</v>
      </c>
      <c r="AK399" s="7">
        <f>Liste!Y399</f>
        <v>0</v>
      </c>
      <c r="AL399" s="7"/>
      <c r="AM399" s="7"/>
      <c r="AN399" s="7"/>
      <c r="AO399" s="1113">
        <f>Liste!D399</f>
        <v>0</v>
      </c>
      <c r="AP399" s="1113">
        <f>Liste!F399</f>
        <v>0</v>
      </c>
      <c r="AQ399" s="1113">
        <f>Liste!E399</f>
        <v>0</v>
      </c>
      <c r="AR399" s="1113">
        <f>Liste!G399</f>
        <v>0</v>
      </c>
      <c r="AS399" s="1112">
        <f>Liste!V399</f>
        <v>0</v>
      </c>
      <c r="AT399" s="1">
        <f>Liste!M399</f>
        <v>0</v>
      </c>
      <c r="AZ399" s="5" t="s">
        <v>30061</v>
      </c>
      <c r="BA399" s="4" t="s">
        <v>101</v>
      </c>
      <c r="BB399" s="4">
        <v>901</v>
      </c>
      <c r="BD399" s="35"/>
      <c r="BE399" s="35"/>
      <c r="BF399" s="2118" t="str">
        <f>Liste!R399</f>
        <v>0308046</v>
      </c>
      <c r="BG399" s="2137">
        <f>IF(AS399&gt;0,Liste!S399,0)</f>
        <v>0</v>
      </c>
      <c r="BH399" s="2118">
        <f>Liste!T399</f>
        <v>0</v>
      </c>
    </row>
    <row r="400" spans="1:60" ht="24.95" customHeight="1" x14ac:dyDescent="0.25">
      <c r="A400" s="29"/>
      <c r="B400" s="46" t="str">
        <f>IF(Liste!O400&gt;0,Liste!O400,Liste!B400)</f>
        <v>GCC Festfeldbefestigung seitlich links verz</v>
      </c>
      <c r="C400" s="2314"/>
      <c r="D400" s="30" t="str">
        <f>Liste!C400</f>
        <v>0308047</v>
      </c>
      <c r="E400" s="2314"/>
      <c r="F400" s="32">
        <f t="shared" si="36"/>
        <v>2</v>
      </c>
      <c r="G400" s="2314"/>
      <c r="H400" s="32">
        <f t="shared" si="37"/>
        <v>0</v>
      </c>
      <c r="I400" s="2314"/>
      <c r="J400" s="32">
        <f t="shared" si="38"/>
        <v>0</v>
      </c>
      <c r="K400" s="2314"/>
      <c r="L400" s="31">
        <f t="shared" si="39"/>
        <v>0</v>
      </c>
      <c r="M400" s="2314"/>
      <c r="N400" s="31" t="str">
        <f>Liste!L400</f>
        <v>Stk</v>
      </c>
      <c r="O400" s="31"/>
      <c r="P400" s="31"/>
      <c r="Q400" s="31">
        <f>Liste!P400</f>
        <v>0</v>
      </c>
      <c r="R400" s="31">
        <f>Liste!N400</f>
        <v>0</v>
      </c>
      <c r="S400" s="7">
        <v>0</v>
      </c>
      <c r="T400" s="7">
        <v>0</v>
      </c>
      <c r="U400" s="7">
        <v>0</v>
      </c>
      <c r="V400" s="7"/>
      <c r="W400" s="60"/>
      <c r="X400" s="60"/>
      <c r="Y400" s="60"/>
      <c r="Z400" s="7"/>
      <c r="AA400" s="7"/>
      <c r="AB400" s="60"/>
      <c r="AC400" s="60"/>
      <c r="AD400" s="60"/>
      <c r="AE400" s="7"/>
      <c r="AF400" s="7"/>
      <c r="AG400" s="7"/>
      <c r="AH400" s="7"/>
      <c r="AI400" s="7"/>
      <c r="AJ400" s="7">
        <f>Liste!X400</f>
        <v>0</v>
      </c>
      <c r="AK400" s="7">
        <f>Liste!Y400</f>
        <v>0</v>
      </c>
      <c r="AL400" s="7"/>
      <c r="AM400" s="7"/>
      <c r="AN400" s="7"/>
      <c r="AO400" s="1113">
        <f>Liste!D400</f>
        <v>2</v>
      </c>
      <c r="AP400" s="1113">
        <f>Liste!F400</f>
        <v>211</v>
      </c>
      <c r="AQ400" s="1113">
        <f>Liste!E400</f>
        <v>91</v>
      </c>
      <c r="AR400" s="1113">
        <f>Liste!G400</f>
        <v>5</v>
      </c>
      <c r="AS400" s="1112">
        <f>Liste!V400</f>
        <v>1</v>
      </c>
      <c r="AT400" s="1" t="str">
        <f>Liste!M400</f>
        <v>Stahlblech verz.</v>
      </c>
      <c r="AZ400" s="5" t="s">
        <v>30062</v>
      </c>
      <c r="BA400" s="4" t="s">
        <v>101</v>
      </c>
      <c r="BB400" s="4">
        <v>902</v>
      </c>
      <c r="BD400" s="35"/>
      <c r="BE400" s="35"/>
      <c r="BF400" s="2118" t="str">
        <f>Liste!R400</f>
        <v>0308047</v>
      </c>
      <c r="BG400" s="2137">
        <f>IF(AS400&gt;0,Liste!S400,0)</f>
        <v>2</v>
      </c>
      <c r="BH400" s="2118" t="str">
        <f>Liste!T400</f>
        <v>Stk</v>
      </c>
    </row>
    <row r="401" spans="1:60" ht="24.95" customHeight="1" x14ac:dyDescent="0.25">
      <c r="A401" s="29"/>
      <c r="B401" s="46" t="str">
        <f>IF(Liste!O401&gt;0,Liste!O401,Liste!B401)</f>
        <v>GCC Festfeldbefestigung seitlich links V2A</v>
      </c>
      <c r="C401" s="2314"/>
      <c r="D401" s="30" t="str">
        <f>Liste!C401</f>
        <v>0338047</v>
      </c>
      <c r="E401" s="2314"/>
      <c r="F401" s="32">
        <f t="shared" si="36"/>
        <v>0</v>
      </c>
      <c r="G401" s="2314"/>
      <c r="H401" s="32">
        <f t="shared" si="37"/>
        <v>0</v>
      </c>
      <c r="I401" s="2314"/>
      <c r="J401" s="32">
        <f t="shared" si="38"/>
        <v>0</v>
      </c>
      <c r="K401" s="2314"/>
      <c r="L401" s="31">
        <f t="shared" si="39"/>
        <v>0</v>
      </c>
      <c r="M401" s="2314"/>
      <c r="N401" s="31" t="str">
        <f>Liste!L401</f>
        <v>Stk</v>
      </c>
      <c r="O401" s="31"/>
      <c r="P401" s="31"/>
      <c r="Q401" s="31">
        <f>Liste!P401</f>
        <v>0</v>
      </c>
      <c r="R401" s="31">
        <f>Liste!N401</f>
        <v>0</v>
      </c>
      <c r="S401" s="7">
        <v>0</v>
      </c>
      <c r="T401" s="7">
        <v>0</v>
      </c>
      <c r="U401" s="7">
        <v>0</v>
      </c>
      <c r="V401" s="7"/>
      <c r="W401" s="60"/>
      <c r="X401" s="60"/>
      <c r="Y401" s="60"/>
      <c r="Z401" s="7"/>
      <c r="AA401" s="7"/>
      <c r="AB401" s="60"/>
      <c r="AC401" s="60"/>
      <c r="AD401" s="60"/>
      <c r="AE401" s="7"/>
      <c r="AF401" s="7"/>
      <c r="AG401" s="7"/>
      <c r="AH401" s="7"/>
      <c r="AI401" s="7"/>
      <c r="AJ401" s="7">
        <f>Liste!X401</f>
        <v>0</v>
      </c>
      <c r="AK401" s="7">
        <f>Liste!Y401</f>
        <v>0</v>
      </c>
      <c r="AL401" s="7"/>
      <c r="AM401" s="7"/>
      <c r="AN401" s="7"/>
      <c r="AO401" s="1113">
        <f>Liste!D401</f>
        <v>0</v>
      </c>
      <c r="AP401" s="1113">
        <f>Liste!F401</f>
        <v>211</v>
      </c>
      <c r="AQ401" s="1113">
        <f>Liste!E401</f>
        <v>91</v>
      </c>
      <c r="AR401" s="1113">
        <f>Liste!G401</f>
        <v>5</v>
      </c>
      <c r="AS401" s="1112">
        <f>Liste!V401</f>
        <v>1</v>
      </c>
      <c r="AT401" s="1" t="str">
        <f>Liste!M401</f>
        <v>V2A blank</v>
      </c>
      <c r="AZ401" s="5" t="s">
        <v>30063</v>
      </c>
      <c r="BA401" s="4" t="s">
        <v>101</v>
      </c>
      <c r="BB401" s="4">
        <v>903</v>
      </c>
      <c r="BD401" s="35"/>
      <c r="BE401" s="35"/>
      <c r="BF401" s="2118" t="str">
        <f>Liste!R401</f>
        <v>0338047</v>
      </c>
      <c r="BG401" s="2137">
        <f>IF(AS401&gt;0,Liste!S401,0)</f>
        <v>0</v>
      </c>
      <c r="BH401" s="2118" t="str">
        <f>Liste!T401</f>
        <v>Stk</v>
      </c>
    </row>
    <row r="402" spans="1:60" ht="24.95" customHeight="1" x14ac:dyDescent="0.25">
      <c r="A402" s="29"/>
      <c r="B402" s="46" t="str">
        <f>IF(Liste!O402&gt;0,Liste!O402,Liste!B402)</f>
        <v>GCC Festfeldbefestigung seitlich links verz</v>
      </c>
      <c r="C402" s="2314"/>
      <c r="D402" s="30" t="str">
        <f>Liste!C402</f>
        <v>0308047</v>
      </c>
      <c r="E402" s="2314"/>
      <c r="F402" s="32">
        <f t="shared" si="36"/>
        <v>0</v>
      </c>
      <c r="G402" s="2314"/>
      <c r="H402" s="32">
        <f t="shared" si="37"/>
        <v>0</v>
      </c>
      <c r="I402" s="2314"/>
      <c r="J402" s="32">
        <f t="shared" si="38"/>
        <v>0</v>
      </c>
      <c r="K402" s="2314"/>
      <c r="L402" s="31">
        <f t="shared" si="39"/>
        <v>0</v>
      </c>
      <c r="M402" s="2314"/>
      <c r="N402" s="31">
        <f>Liste!L402</f>
        <v>0</v>
      </c>
      <c r="O402" s="31"/>
      <c r="P402" s="31"/>
      <c r="Q402" s="31">
        <f>Liste!P402</f>
        <v>0</v>
      </c>
      <c r="R402" s="31">
        <f>Liste!N402</f>
        <v>0</v>
      </c>
      <c r="S402" s="7">
        <v>0</v>
      </c>
      <c r="T402" s="7">
        <v>0</v>
      </c>
      <c r="U402" s="7">
        <v>0</v>
      </c>
      <c r="V402" s="7"/>
      <c r="W402" s="60"/>
      <c r="X402" s="60"/>
      <c r="Y402" s="60"/>
      <c r="Z402" s="7"/>
      <c r="AA402" s="7"/>
      <c r="AB402" s="60"/>
      <c r="AC402" s="60"/>
      <c r="AD402" s="60"/>
      <c r="AE402" s="7"/>
      <c r="AF402" s="7"/>
      <c r="AG402" s="7"/>
      <c r="AH402" s="7"/>
      <c r="AI402" s="7"/>
      <c r="AJ402" s="7">
        <f>Liste!X402</f>
        <v>0</v>
      </c>
      <c r="AK402" s="7">
        <f>Liste!Y402</f>
        <v>0</v>
      </c>
      <c r="AL402" s="7"/>
      <c r="AM402" s="7"/>
      <c r="AN402" s="7"/>
      <c r="AO402" s="1113">
        <f>Liste!D402</f>
        <v>0</v>
      </c>
      <c r="AP402" s="1113">
        <f>Liste!F402</f>
        <v>0</v>
      </c>
      <c r="AQ402" s="1113">
        <f>Liste!E402</f>
        <v>0</v>
      </c>
      <c r="AR402" s="1113">
        <f>Liste!G402</f>
        <v>0</v>
      </c>
      <c r="AS402" s="1112">
        <f>Liste!V402</f>
        <v>0</v>
      </c>
      <c r="AT402" s="1">
        <f>Liste!M402</f>
        <v>0</v>
      </c>
      <c r="AZ402" s="5" t="s">
        <v>30064</v>
      </c>
      <c r="BA402" s="4" t="s">
        <v>101</v>
      </c>
      <c r="BB402" s="4">
        <v>904</v>
      </c>
      <c r="BD402" s="35"/>
      <c r="BE402" s="35"/>
      <c r="BF402" s="2118" t="str">
        <f>Liste!R402</f>
        <v>0308047</v>
      </c>
      <c r="BG402" s="2137">
        <f>IF(AS402&gt;0,Liste!S402,0)</f>
        <v>0</v>
      </c>
      <c r="BH402" s="2118">
        <f>Liste!T402</f>
        <v>0</v>
      </c>
    </row>
    <row r="403" spans="1:60" ht="24.95" customHeight="1" x14ac:dyDescent="0.25">
      <c r="A403" s="29"/>
      <c r="B403" s="46" t="str">
        <f>IF(Liste!O403&gt;0,Liste!O403,Liste!B403)</f>
        <v>GCC Festfeldbefestigung Seitenwandmontage verz</v>
      </c>
      <c r="C403" s="2314"/>
      <c r="D403" s="30" t="str">
        <f>Liste!C403</f>
        <v>0308442</v>
      </c>
      <c r="E403" s="2314"/>
      <c r="F403" s="32">
        <f t="shared" si="36"/>
        <v>0</v>
      </c>
      <c r="G403" s="2314"/>
      <c r="H403" s="32">
        <f t="shared" si="37"/>
        <v>0</v>
      </c>
      <c r="I403" s="2314"/>
      <c r="J403" s="32">
        <f t="shared" si="38"/>
        <v>0</v>
      </c>
      <c r="K403" s="2314"/>
      <c r="L403" s="31">
        <f t="shared" si="39"/>
        <v>0</v>
      </c>
      <c r="M403" s="2314"/>
      <c r="N403" s="31" t="str">
        <f>Liste!L403</f>
        <v>Stk</v>
      </c>
      <c r="O403" s="31"/>
      <c r="P403" s="31"/>
      <c r="Q403" s="31">
        <f>Liste!P403</f>
        <v>0</v>
      </c>
      <c r="R403" s="31">
        <f>Liste!N403</f>
        <v>0</v>
      </c>
      <c r="S403" s="7">
        <v>0</v>
      </c>
      <c r="T403" s="7">
        <v>0</v>
      </c>
      <c r="U403" s="7">
        <v>0</v>
      </c>
      <c r="V403" s="7"/>
      <c r="W403" s="60"/>
      <c r="X403" s="60"/>
      <c r="Y403" s="60"/>
      <c r="Z403" s="7"/>
      <c r="AA403" s="7"/>
      <c r="AB403" s="60"/>
      <c r="AC403" s="60"/>
      <c r="AD403" s="60"/>
      <c r="AE403" s="7"/>
      <c r="AF403" s="7"/>
      <c r="AG403" s="7"/>
      <c r="AH403" s="7"/>
      <c r="AI403" s="7"/>
      <c r="AJ403" s="7">
        <f>Liste!X403</f>
        <v>0</v>
      </c>
      <c r="AK403" s="7">
        <f>Liste!Y403</f>
        <v>1</v>
      </c>
      <c r="AL403" s="7"/>
      <c r="AM403" s="7"/>
      <c r="AN403" s="7"/>
      <c r="AO403" s="1113">
        <f>Liste!D403</f>
        <v>0</v>
      </c>
      <c r="AP403" s="1113">
        <f>Liste!F403</f>
        <v>365</v>
      </c>
      <c r="AQ403" s="1113">
        <f>Liste!E403</f>
        <v>76.48</v>
      </c>
      <c r="AR403" s="1113">
        <f>Liste!G403</f>
        <v>2</v>
      </c>
      <c r="AS403" s="1112">
        <f>Liste!V403</f>
        <v>1</v>
      </c>
      <c r="AT403" s="1" t="str">
        <f>Liste!M403</f>
        <v>Stahlblech verz.</v>
      </c>
      <c r="AZ403" s="5" t="s">
        <v>30065</v>
      </c>
      <c r="BA403" s="4" t="s">
        <v>101</v>
      </c>
      <c r="BB403" s="4">
        <v>905</v>
      </c>
      <c r="BD403" s="35"/>
      <c r="BE403" s="35"/>
      <c r="BF403" s="2118" t="str">
        <f>Liste!R403</f>
        <v>0308442</v>
      </c>
      <c r="BG403" s="2137">
        <f>IF(AS403&gt;0,Liste!S403,0)</f>
        <v>0</v>
      </c>
      <c r="BH403" s="2118" t="str">
        <f>Liste!T403</f>
        <v>Stk</v>
      </c>
    </row>
    <row r="404" spans="1:60" ht="24.95" customHeight="1" x14ac:dyDescent="0.25">
      <c r="A404" s="29"/>
      <c r="B404" s="46" t="str">
        <f>IF(Liste!O404&gt;0,Liste!O404,Liste!B404)</f>
        <v>GCC Festfeldbefestigung Seitenwandmontage V2A</v>
      </c>
      <c r="C404" s="2314"/>
      <c r="D404" s="30" t="str">
        <f>Liste!C404</f>
        <v>0338442</v>
      </c>
      <c r="E404" s="2314"/>
      <c r="F404" s="32">
        <f t="shared" si="36"/>
        <v>0</v>
      </c>
      <c r="G404" s="2314"/>
      <c r="H404" s="32">
        <f t="shared" si="37"/>
        <v>0</v>
      </c>
      <c r="I404" s="2314"/>
      <c r="J404" s="32">
        <f t="shared" si="38"/>
        <v>0</v>
      </c>
      <c r="K404" s="2314"/>
      <c r="L404" s="31">
        <f t="shared" si="39"/>
        <v>0</v>
      </c>
      <c r="M404" s="2314"/>
      <c r="N404" s="31" t="str">
        <f>Liste!L404</f>
        <v>Stk</v>
      </c>
      <c r="O404" s="31"/>
      <c r="P404" s="31"/>
      <c r="Q404" s="31">
        <f>Liste!P404</f>
        <v>0</v>
      </c>
      <c r="R404" s="31">
        <f>Liste!N404</f>
        <v>0</v>
      </c>
      <c r="S404" s="7">
        <v>0</v>
      </c>
      <c r="T404" s="7">
        <v>0</v>
      </c>
      <c r="U404" s="7">
        <v>0</v>
      </c>
      <c r="V404" s="7"/>
      <c r="W404" s="60"/>
      <c r="X404" s="60"/>
      <c r="Y404" s="60"/>
      <c r="Z404" s="7"/>
      <c r="AA404" s="7"/>
      <c r="AB404" s="60"/>
      <c r="AC404" s="60"/>
      <c r="AD404" s="60"/>
      <c r="AE404" s="7"/>
      <c r="AF404" s="7"/>
      <c r="AG404" s="7"/>
      <c r="AH404" s="7"/>
      <c r="AI404" s="7"/>
      <c r="AJ404" s="7">
        <f>Liste!X404</f>
        <v>0</v>
      </c>
      <c r="AK404" s="7">
        <f>Liste!Y404</f>
        <v>1</v>
      </c>
      <c r="AL404" s="7"/>
      <c r="AM404" s="7"/>
      <c r="AN404" s="7"/>
      <c r="AO404" s="1113">
        <f>Liste!D404</f>
        <v>0</v>
      </c>
      <c r="AP404" s="1113">
        <f>Liste!F404</f>
        <v>365</v>
      </c>
      <c r="AQ404" s="1113">
        <f>Liste!E404</f>
        <v>75.95</v>
      </c>
      <c r="AR404" s="1113">
        <f>Liste!G404</f>
        <v>2</v>
      </c>
      <c r="AS404" s="1112">
        <f>Liste!V404</f>
        <v>1</v>
      </c>
      <c r="AT404" s="1" t="str">
        <f>Liste!M404</f>
        <v>V2A blank</v>
      </c>
      <c r="AZ404" s="5" t="s">
        <v>30066</v>
      </c>
      <c r="BA404" s="4" t="s">
        <v>101</v>
      </c>
      <c r="BB404" s="4">
        <v>906</v>
      </c>
      <c r="BD404" s="35"/>
      <c r="BE404" s="35"/>
      <c r="BF404" s="2118" t="str">
        <f>Liste!R404</f>
        <v>0338442</v>
      </c>
      <c r="BG404" s="2137">
        <f>IF(AS404&gt;0,Liste!S404,0)</f>
        <v>0</v>
      </c>
      <c r="BH404" s="2118" t="str">
        <f>Liste!T404</f>
        <v>Stk</v>
      </c>
    </row>
    <row r="405" spans="1:60" ht="24.95" customHeight="1" x14ac:dyDescent="0.25">
      <c r="A405" s="29"/>
      <c r="B405" s="46">
        <f>IF(Liste!O405&gt;0,Liste!O405,Liste!B405)</f>
        <v>0</v>
      </c>
      <c r="C405" s="2314"/>
      <c r="D405" s="30">
        <f>Liste!C405</f>
        <v>0</v>
      </c>
      <c r="E405" s="2314"/>
      <c r="F405" s="32">
        <f t="shared" si="36"/>
        <v>0</v>
      </c>
      <c r="G405" s="2314"/>
      <c r="H405" s="32">
        <f t="shared" si="37"/>
        <v>0</v>
      </c>
      <c r="I405" s="2314"/>
      <c r="J405" s="32">
        <f t="shared" si="38"/>
        <v>0</v>
      </c>
      <c r="K405" s="2314"/>
      <c r="L405" s="31">
        <f t="shared" si="39"/>
        <v>0</v>
      </c>
      <c r="M405" s="2314"/>
      <c r="N405" s="31">
        <f>Liste!L405</f>
        <v>0</v>
      </c>
      <c r="O405" s="31"/>
      <c r="P405" s="31"/>
      <c r="Q405" s="31">
        <f>Liste!P405</f>
        <v>0</v>
      </c>
      <c r="R405" s="31">
        <f>Liste!N405</f>
        <v>0</v>
      </c>
      <c r="S405" s="7">
        <v>0</v>
      </c>
      <c r="T405" s="7">
        <v>0</v>
      </c>
      <c r="U405" s="7">
        <v>0</v>
      </c>
      <c r="V405" s="7"/>
      <c r="W405" s="60"/>
      <c r="X405" s="60"/>
      <c r="Y405" s="60"/>
      <c r="Z405" s="7"/>
      <c r="AA405" s="7"/>
      <c r="AB405" s="60"/>
      <c r="AC405" s="60"/>
      <c r="AD405" s="60"/>
      <c r="AE405" s="7"/>
      <c r="AF405" s="7"/>
      <c r="AG405" s="7"/>
      <c r="AH405" s="7"/>
      <c r="AI405" s="7"/>
      <c r="AJ405" s="7">
        <f>Liste!X405</f>
        <v>0</v>
      </c>
      <c r="AK405" s="7">
        <f>Liste!Y405</f>
        <v>0</v>
      </c>
      <c r="AL405" s="7"/>
      <c r="AM405" s="7"/>
      <c r="AN405" s="7"/>
      <c r="AO405" s="1113">
        <f>Liste!D405</f>
        <v>0</v>
      </c>
      <c r="AP405" s="1113">
        <f>Liste!F405</f>
        <v>0</v>
      </c>
      <c r="AQ405" s="1113">
        <f>Liste!E405</f>
        <v>0</v>
      </c>
      <c r="AR405" s="1113">
        <f>Liste!G405</f>
        <v>0</v>
      </c>
      <c r="AS405" s="1112">
        <f>Liste!V405</f>
        <v>0</v>
      </c>
      <c r="AT405" s="1">
        <f>Liste!M405</f>
        <v>0</v>
      </c>
      <c r="AZ405" s="5" t="s">
        <v>30067</v>
      </c>
      <c r="BA405" s="4" t="s">
        <v>101</v>
      </c>
      <c r="BB405" s="4">
        <v>907</v>
      </c>
      <c r="BD405" s="35"/>
      <c r="BE405" s="35"/>
      <c r="BF405" s="2118">
        <f>Liste!R405</f>
        <v>0</v>
      </c>
      <c r="BG405" s="2137">
        <f>IF(AS405&gt;0,Liste!S405,0)</f>
        <v>0</v>
      </c>
      <c r="BH405" s="2118">
        <f>Liste!T405</f>
        <v>0</v>
      </c>
    </row>
    <row r="406" spans="1:60" ht="24.95" customHeight="1" x14ac:dyDescent="0.25">
      <c r="A406" s="29"/>
      <c r="B406" s="46" t="str">
        <f>IF(Liste!O406&gt;0,Liste!O406,Liste!B406)</f>
        <v>Konsole r0 GCC 500mm verzinkt</v>
      </c>
      <c r="C406" s="2314"/>
      <c r="D406" s="30" t="str">
        <f>Liste!C406</f>
        <v>0308026</v>
      </c>
      <c r="E406" s="2314"/>
      <c r="F406" s="32">
        <f t="shared" si="36"/>
        <v>0</v>
      </c>
      <c r="G406" s="2314"/>
      <c r="H406" s="32">
        <f t="shared" si="37"/>
        <v>0</v>
      </c>
      <c r="I406" s="2314"/>
      <c r="J406" s="32">
        <f t="shared" si="38"/>
        <v>0</v>
      </c>
      <c r="K406" s="2314"/>
      <c r="L406" s="31">
        <f t="shared" si="39"/>
        <v>0</v>
      </c>
      <c r="M406" s="2314"/>
      <c r="N406" s="31" t="str">
        <f>Liste!L406</f>
        <v>Stk</v>
      </c>
      <c r="O406" s="31"/>
      <c r="P406" s="31"/>
      <c r="Q406" s="31">
        <f>Liste!P406</f>
        <v>0</v>
      </c>
      <c r="R406" s="31">
        <f>Liste!N406</f>
        <v>0</v>
      </c>
      <c r="S406" s="7">
        <v>0</v>
      </c>
      <c r="T406" s="7">
        <v>0</v>
      </c>
      <c r="U406" s="7">
        <v>0</v>
      </c>
      <c r="V406" s="7"/>
      <c r="W406" s="60"/>
      <c r="X406" s="60"/>
      <c r="Y406" s="60"/>
      <c r="Z406" s="7"/>
      <c r="AA406" s="7"/>
      <c r="AB406" s="60"/>
      <c r="AC406" s="60"/>
      <c r="AD406" s="60"/>
      <c r="AE406" s="7"/>
      <c r="AF406" s="7"/>
      <c r="AG406" s="7"/>
      <c r="AH406" s="7"/>
      <c r="AI406" s="7"/>
      <c r="AJ406" s="7">
        <f>Liste!X406</f>
        <v>0</v>
      </c>
      <c r="AK406" s="7">
        <f>Liste!Y406</f>
        <v>0</v>
      </c>
      <c r="AL406" s="7"/>
      <c r="AM406" s="7"/>
      <c r="AN406" s="7"/>
      <c r="AO406" s="1113">
        <f>Liste!D406</f>
        <v>0</v>
      </c>
      <c r="AP406" s="1113">
        <f>Liste!F406</f>
        <v>211</v>
      </c>
      <c r="AQ406" s="1113">
        <f>Liste!E406</f>
        <v>682</v>
      </c>
      <c r="AR406" s="1113">
        <f>Liste!G406</f>
        <v>5</v>
      </c>
      <c r="AS406" s="1112">
        <f>Liste!V406</f>
        <v>1</v>
      </c>
      <c r="AT406" s="1" t="str">
        <f>Liste!M406</f>
        <v>Stahlblech verz.</v>
      </c>
      <c r="AZ406" s="5" t="s">
        <v>30068</v>
      </c>
      <c r="BA406" s="4" t="s">
        <v>101</v>
      </c>
      <c r="BB406" s="4">
        <v>908</v>
      </c>
      <c r="BD406" s="35"/>
      <c r="BE406" s="35"/>
      <c r="BF406" s="2118" t="str">
        <f>Liste!R406</f>
        <v>0308026</v>
      </c>
      <c r="BG406" s="2137">
        <f>IF(AS406&gt;0,Liste!S406,0)</f>
        <v>0</v>
      </c>
      <c r="BH406" s="2118" t="str">
        <f>Liste!T406</f>
        <v>Stk</v>
      </c>
    </row>
    <row r="407" spans="1:60" ht="24.95" customHeight="1" x14ac:dyDescent="0.25">
      <c r="A407" s="29"/>
      <c r="B407" s="46" t="str">
        <f>IF(Liste!O407&gt;0,Liste!O407,Liste!B407)</f>
        <v>Konsole r0 GCC 500mm V2A</v>
      </c>
      <c r="C407" s="2314"/>
      <c r="D407" s="30" t="str">
        <f>Liste!C407</f>
        <v>0338026</v>
      </c>
      <c r="E407" s="2314"/>
      <c r="F407" s="32">
        <f t="shared" si="36"/>
        <v>0</v>
      </c>
      <c r="G407" s="2314"/>
      <c r="H407" s="32">
        <f t="shared" si="37"/>
        <v>0</v>
      </c>
      <c r="I407" s="2314"/>
      <c r="J407" s="32">
        <f t="shared" si="38"/>
        <v>0</v>
      </c>
      <c r="K407" s="2314"/>
      <c r="L407" s="31">
        <f t="shared" si="39"/>
        <v>0</v>
      </c>
      <c r="M407" s="2314"/>
      <c r="N407" s="31" t="str">
        <f>Liste!L407</f>
        <v>Stk</v>
      </c>
      <c r="O407" s="31"/>
      <c r="P407" s="31"/>
      <c r="Q407" s="31">
        <f>Liste!P407</f>
        <v>0</v>
      </c>
      <c r="R407" s="31">
        <f>Liste!N407</f>
        <v>0</v>
      </c>
      <c r="S407" s="7">
        <v>0</v>
      </c>
      <c r="T407" s="7">
        <v>0</v>
      </c>
      <c r="U407" s="7">
        <v>0</v>
      </c>
      <c r="V407" s="7"/>
      <c r="W407" s="60"/>
      <c r="X407" s="60"/>
      <c r="Y407" s="60"/>
      <c r="Z407" s="7"/>
      <c r="AA407" s="7"/>
      <c r="AB407" s="60"/>
      <c r="AC407" s="60"/>
      <c r="AD407" s="60"/>
      <c r="AE407" s="7"/>
      <c r="AF407" s="7"/>
      <c r="AG407" s="7"/>
      <c r="AH407" s="7"/>
      <c r="AI407" s="7"/>
      <c r="AJ407" s="7">
        <f>Liste!X407</f>
        <v>0</v>
      </c>
      <c r="AK407" s="7">
        <f>Liste!Y407</f>
        <v>0</v>
      </c>
      <c r="AL407" s="7"/>
      <c r="AM407" s="7"/>
      <c r="AN407" s="7"/>
      <c r="AO407" s="1113">
        <f>Liste!D407</f>
        <v>0</v>
      </c>
      <c r="AP407" s="1113">
        <f>Liste!F407</f>
        <v>211</v>
      </c>
      <c r="AQ407" s="1113">
        <f>Liste!E407</f>
        <v>682</v>
      </c>
      <c r="AR407" s="1113">
        <f>Liste!G407</f>
        <v>5</v>
      </c>
      <c r="AS407" s="1112">
        <f>Liste!V407</f>
        <v>1</v>
      </c>
      <c r="AT407" s="1" t="str">
        <f>Liste!M407</f>
        <v>V2A blank</v>
      </c>
      <c r="AZ407" s="5" t="s">
        <v>30069</v>
      </c>
      <c r="BA407" s="4" t="s">
        <v>101</v>
      </c>
      <c r="BB407" s="4">
        <v>909</v>
      </c>
      <c r="BD407" s="35"/>
      <c r="BE407" s="35"/>
      <c r="BF407" s="2118" t="str">
        <f>Liste!R407</f>
        <v>0338026</v>
      </c>
      <c r="BG407" s="2137">
        <f>IF(AS407&gt;0,Liste!S407,0)</f>
        <v>0</v>
      </c>
      <c r="BH407" s="2118" t="str">
        <f>Liste!T407</f>
        <v>Stk</v>
      </c>
    </row>
    <row r="408" spans="1:60" ht="24.95" customHeight="1" x14ac:dyDescent="0.25">
      <c r="A408" s="29"/>
      <c r="B408" s="46" t="str">
        <f>IF(Liste!O408&gt;0,Liste!O408,Liste!B408)</f>
        <v>Festfeldkonsole GCC 175mm 500 lang verzinkt</v>
      </c>
      <c r="C408" s="2314"/>
      <c r="D408" s="30" t="str">
        <f>Liste!C408</f>
        <v>0308041</v>
      </c>
      <c r="E408" s="2314"/>
      <c r="F408" s="32">
        <f t="shared" si="36"/>
        <v>2</v>
      </c>
      <c r="G408" s="2314"/>
      <c r="H408" s="32">
        <f t="shared" si="37"/>
        <v>0</v>
      </c>
      <c r="I408" s="2314"/>
      <c r="J408" s="32">
        <f t="shared" si="38"/>
        <v>0</v>
      </c>
      <c r="K408" s="2314"/>
      <c r="L408" s="31">
        <f t="shared" si="39"/>
        <v>0</v>
      </c>
      <c r="M408" s="2314"/>
      <c r="N408" s="31" t="str">
        <f>Liste!L408</f>
        <v>Stk</v>
      </c>
      <c r="O408" s="31"/>
      <c r="P408" s="31"/>
      <c r="Q408" s="31">
        <f>Liste!P408</f>
        <v>0</v>
      </c>
      <c r="R408" s="31">
        <f>Liste!N408</f>
        <v>0</v>
      </c>
      <c r="S408" s="7">
        <v>0</v>
      </c>
      <c r="T408" s="7">
        <v>0</v>
      </c>
      <c r="U408" s="7">
        <v>0</v>
      </c>
      <c r="V408" s="7"/>
      <c r="W408" s="60"/>
      <c r="X408" s="60"/>
      <c r="Y408" s="60"/>
      <c r="Z408" s="7"/>
      <c r="AA408" s="7"/>
      <c r="AB408" s="60"/>
      <c r="AC408" s="60"/>
      <c r="AD408" s="60"/>
      <c r="AE408" s="7"/>
      <c r="AF408" s="7"/>
      <c r="AG408" s="7"/>
      <c r="AH408" s="7"/>
      <c r="AI408" s="7"/>
      <c r="AJ408" s="7">
        <f>Liste!X408</f>
        <v>0</v>
      </c>
      <c r="AK408" s="7">
        <f>Liste!Y408</f>
        <v>0</v>
      </c>
      <c r="AL408" s="7"/>
      <c r="AM408" s="7"/>
      <c r="AN408" s="7"/>
      <c r="AO408" s="1113">
        <f>Liste!D408</f>
        <v>2</v>
      </c>
      <c r="AP408" s="1113">
        <f>Liste!F408</f>
        <v>722</v>
      </c>
      <c r="AQ408" s="1113">
        <f>Liste!E408</f>
        <v>286</v>
      </c>
      <c r="AR408" s="1113">
        <f>Liste!G408</f>
        <v>5</v>
      </c>
      <c r="AS408" s="1112">
        <f>Liste!V408</f>
        <v>1</v>
      </c>
      <c r="AT408" s="1" t="str">
        <f>Liste!M408</f>
        <v>Stahlblech verz.</v>
      </c>
      <c r="AZ408" s="5" t="s">
        <v>30070</v>
      </c>
      <c r="BA408" s="4" t="s">
        <v>101</v>
      </c>
      <c r="BB408" s="4">
        <v>910</v>
      </c>
      <c r="BD408" s="35"/>
      <c r="BE408" s="35"/>
      <c r="BF408" s="2118" t="str">
        <f>Liste!R408</f>
        <v>0308041</v>
      </c>
      <c r="BG408" s="2137">
        <f>IF(AS408&gt;0,Liste!S408,0)</f>
        <v>2</v>
      </c>
      <c r="BH408" s="2118" t="str">
        <f>Liste!T408</f>
        <v>Stk</v>
      </c>
    </row>
    <row r="409" spans="1:60" ht="24.95" customHeight="1" x14ac:dyDescent="0.25">
      <c r="A409" s="29"/>
      <c r="B409" s="46" t="str">
        <f>IF(Liste!O409&gt;0,Liste!O409,Liste!B409)</f>
        <v>Festfeldkonsole GCC 175mm 500 lang V2A</v>
      </c>
      <c r="C409" s="2314"/>
      <c r="D409" s="30" t="str">
        <f>Liste!C409</f>
        <v>0338041</v>
      </c>
      <c r="E409" s="2314"/>
      <c r="F409" s="32">
        <f t="shared" si="36"/>
        <v>0</v>
      </c>
      <c r="G409" s="2314"/>
      <c r="H409" s="32">
        <f t="shared" si="37"/>
        <v>0</v>
      </c>
      <c r="I409" s="2314"/>
      <c r="J409" s="32">
        <f t="shared" si="38"/>
        <v>0</v>
      </c>
      <c r="K409" s="2314"/>
      <c r="L409" s="31">
        <f t="shared" si="39"/>
        <v>0</v>
      </c>
      <c r="M409" s="2314"/>
      <c r="N409" s="31" t="str">
        <f>Liste!L409</f>
        <v>Stk</v>
      </c>
      <c r="O409" s="31"/>
      <c r="P409" s="31"/>
      <c r="Q409" s="31">
        <f>Liste!P409</f>
        <v>0</v>
      </c>
      <c r="R409" s="31">
        <f>Liste!N409</f>
        <v>0</v>
      </c>
      <c r="S409" s="7">
        <v>0</v>
      </c>
      <c r="T409" s="7">
        <v>0</v>
      </c>
      <c r="U409" s="7">
        <v>0</v>
      </c>
      <c r="V409" s="7"/>
      <c r="W409" s="60"/>
      <c r="X409" s="60"/>
      <c r="Y409" s="60"/>
      <c r="Z409" s="7"/>
      <c r="AA409" s="7"/>
      <c r="AB409" s="60"/>
      <c r="AC409" s="60"/>
      <c r="AD409" s="60"/>
      <c r="AE409" s="7"/>
      <c r="AF409" s="7"/>
      <c r="AG409" s="7"/>
      <c r="AH409" s="7"/>
      <c r="AI409" s="7"/>
      <c r="AJ409" s="7">
        <f>Liste!X409</f>
        <v>0</v>
      </c>
      <c r="AK409" s="7">
        <f>Liste!Y409</f>
        <v>0</v>
      </c>
      <c r="AL409" s="7"/>
      <c r="AM409" s="7"/>
      <c r="AN409" s="7"/>
      <c r="AO409" s="1113">
        <f>Liste!D409</f>
        <v>0</v>
      </c>
      <c r="AP409" s="1113">
        <f>Liste!F409</f>
        <v>722</v>
      </c>
      <c r="AQ409" s="1113">
        <f>Liste!E409</f>
        <v>286</v>
      </c>
      <c r="AR409" s="1113">
        <f>Liste!G409</f>
        <v>5</v>
      </c>
      <c r="AS409" s="1112">
        <f>Liste!V409</f>
        <v>1</v>
      </c>
      <c r="AT409" s="1" t="str">
        <f>Liste!M409</f>
        <v>V2A blank</v>
      </c>
      <c r="AZ409" s="5" t="s">
        <v>30071</v>
      </c>
      <c r="BA409" s="4" t="s">
        <v>101</v>
      </c>
      <c r="BB409" s="4">
        <v>911</v>
      </c>
      <c r="BD409" s="35"/>
      <c r="BE409" s="35"/>
      <c r="BF409" s="2118" t="str">
        <f>Liste!R409</f>
        <v>0338041</v>
      </c>
      <c r="BG409" s="2137">
        <f>IF(AS409&gt;0,Liste!S409,0)</f>
        <v>0</v>
      </c>
      <c r="BH409" s="2118" t="str">
        <f>Liste!T409</f>
        <v>Stk</v>
      </c>
    </row>
    <row r="410" spans="1:60" ht="24.95" customHeight="1" x14ac:dyDescent="0.25">
      <c r="A410" s="29"/>
      <c r="B410" s="46" t="str">
        <f>IF(Liste!O410&gt;0,Liste!O410,Liste!B410)</f>
        <v>Festfeldkonsole GCC 250mm 500 lang verzinkt</v>
      </c>
      <c r="C410" s="2314"/>
      <c r="D410" s="30" t="str">
        <f>Liste!C410</f>
        <v>0308293</v>
      </c>
      <c r="E410" s="2314"/>
      <c r="F410" s="32">
        <f t="shared" si="36"/>
        <v>0</v>
      </c>
      <c r="G410" s="2314"/>
      <c r="H410" s="32">
        <f t="shared" si="37"/>
        <v>0</v>
      </c>
      <c r="I410" s="2314"/>
      <c r="J410" s="32">
        <f t="shared" si="38"/>
        <v>0</v>
      </c>
      <c r="K410" s="2314"/>
      <c r="L410" s="31">
        <f t="shared" si="39"/>
        <v>0</v>
      </c>
      <c r="M410" s="2314"/>
      <c r="N410" s="31" t="str">
        <f>Liste!L410</f>
        <v>Stk</v>
      </c>
      <c r="O410" s="31"/>
      <c r="P410" s="31"/>
      <c r="Q410" s="31">
        <f>Liste!P410</f>
        <v>0</v>
      </c>
      <c r="R410" s="31">
        <f>Liste!N410</f>
        <v>0</v>
      </c>
      <c r="S410" s="7">
        <v>0</v>
      </c>
      <c r="T410" s="7">
        <v>0</v>
      </c>
      <c r="U410" s="7">
        <v>0</v>
      </c>
      <c r="V410" s="7"/>
      <c r="W410" s="60"/>
      <c r="X410" s="60"/>
      <c r="Y410" s="60"/>
      <c r="Z410" s="7"/>
      <c r="AA410" s="7"/>
      <c r="AB410" s="60"/>
      <c r="AC410" s="60"/>
      <c r="AD410" s="60"/>
      <c r="AE410" s="7"/>
      <c r="AF410" s="7"/>
      <c r="AG410" s="7"/>
      <c r="AH410" s="7"/>
      <c r="AI410" s="7"/>
      <c r="AJ410" s="7">
        <f>Liste!X410</f>
        <v>0</v>
      </c>
      <c r="AK410" s="7">
        <f>Liste!Y410</f>
        <v>0</v>
      </c>
      <c r="AL410" s="7"/>
      <c r="AM410" s="7"/>
      <c r="AN410" s="7"/>
      <c r="AO410" s="1113">
        <f>Liste!D410</f>
        <v>0</v>
      </c>
      <c r="AP410" s="1113">
        <f>Liste!F410</f>
        <v>782</v>
      </c>
      <c r="AQ410" s="1113">
        <f>Liste!E410</f>
        <v>391</v>
      </c>
      <c r="AR410" s="1113">
        <f>Liste!G410</f>
        <v>5</v>
      </c>
      <c r="AS410" s="1112">
        <f>Liste!V410</f>
        <v>1</v>
      </c>
      <c r="AT410" s="1" t="str">
        <f>Liste!M410</f>
        <v>Stahlblech verz.</v>
      </c>
      <c r="AZ410" s="5" t="s">
        <v>30072</v>
      </c>
      <c r="BA410" s="4" t="s">
        <v>101</v>
      </c>
      <c r="BB410" s="4">
        <v>912</v>
      </c>
      <c r="BD410" s="35"/>
      <c r="BE410" s="35"/>
      <c r="BF410" s="2118" t="str">
        <f>Liste!R410</f>
        <v>0308293</v>
      </c>
      <c r="BG410" s="2137">
        <f>IF(AS410&gt;0,Liste!S410,0)</f>
        <v>0</v>
      </c>
      <c r="BH410" s="2118" t="str">
        <f>Liste!T410</f>
        <v>Stk</v>
      </c>
    </row>
    <row r="411" spans="1:60" ht="24.95" customHeight="1" x14ac:dyDescent="0.25">
      <c r="A411" s="29"/>
      <c r="B411" s="46" t="str">
        <f>IF(Liste!O411&gt;0,Liste!O411,Liste!B411)</f>
        <v>Festfeldkonsole GCC 250mm 500 lang V2A</v>
      </c>
      <c r="C411" s="2314"/>
      <c r="D411" s="30" t="str">
        <f>Liste!C411</f>
        <v>0338293</v>
      </c>
      <c r="E411" s="2314"/>
      <c r="F411" s="32">
        <f t="shared" si="36"/>
        <v>0</v>
      </c>
      <c r="G411" s="2314"/>
      <c r="H411" s="32">
        <f t="shared" si="37"/>
        <v>0</v>
      </c>
      <c r="I411" s="2314"/>
      <c r="J411" s="32">
        <f t="shared" si="38"/>
        <v>0</v>
      </c>
      <c r="K411" s="2314"/>
      <c r="L411" s="31">
        <f t="shared" si="39"/>
        <v>0</v>
      </c>
      <c r="M411" s="2314"/>
      <c r="N411" s="31" t="str">
        <f>Liste!L411</f>
        <v>Stk</v>
      </c>
      <c r="O411" s="31"/>
      <c r="P411" s="31"/>
      <c r="Q411" s="31">
        <f>Liste!P411</f>
        <v>0</v>
      </c>
      <c r="R411" s="31">
        <f>Liste!N411</f>
        <v>0</v>
      </c>
      <c r="S411" s="7">
        <v>0</v>
      </c>
      <c r="T411" s="7">
        <v>0</v>
      </c>
      <c r="U411" s="7">
        <v>0</v>
      </c>
      <c r="V411" s="7"/>
      <c r="W411" s="60"/>
      <c r="X411" s="60"/>
      <c r="Y411" s="60"/>
      <c r="Z411" s="7"/>
      <c r="AA411" s="7"/>
      <c r="AB411" s="60"/>
      <c r="AC411" s="60"/>
      <c r="AD411" s="60"/>
      <c r="AE411" s="7"/>
      <c r="AF411" s="7"/>
      <c r="AG411" s="7"/>
      <c r="AH411" s="7"/>
      <c r="AI411" s="7"/>
      <c r="AJ411" s="7">
        <f>Liste!X411</f>
        <v>0</v>
      </c>
      <c r="AK411" s="7">
        <f>Liste!Y411</f>
        <v>0</v>
      </c>
      <c r="AL411" s="7"/>
      <c r="AM411" s="7"/>
      <c r="AN411" s="7"/>
      <c r="AO411" s="1113">
        <f>Liste!D411</f>
        <v>0</v>
      </c>
      <c r="AP411" s="1113">
        <f>Liste!F411</f>
        <v>782</v>
      </c>
      <c r="AQ411" s="1113">
        <f>Liste!E411</f>
        <v>391</v>
      </c>
      <c r="AR411" s="1113">
        <f>Liste!G411</f>
        <v>5</v>
      </c>
      <c r="AS411" s="1112">
        <f>Liste!V411</f>
        <v>1</v>
      </c>
      <c r="AT411" s="1" t="str">
        <f>Liste!M411</f>
        <v>V2A blank</v>
      </c>
      <c r="AZ411" s="5" t="s">
        <v>30073</v>
      </c>
      <c r="BA411" s="4" t="s">
        <v>101</v>
      </c>
      <c r="BB411" s="4">
        <v>913</v>
      </c>
      <c r="BD411" s="35"/>
      <c r="BE411" s="35"/>
      <c r="BF411" s="2118" t="str">
        <f>Liste!R411</f>
        <v>0338293</v>
      </c>
      <c r="BG411" s="2137">
        <f>IF(AS411&gt;0,Liste!S411,0)</f>
        <v>0</v>
      </c>
      <c r="BH411" s="2118" t="str">
        <f>Liste!T411</f>
        <v>Stk</v>
      </c>
    </row>
    <row r="412" spans="1:60" ht="24.95" customHeight="1" x14ac:dyDescent="0.25">
      <c r="A412" s="29"/>
      <c r="B412" s="46" t="str">
        <f>IF(Liste!O412&gt;0,Liste!O412,Liste!B412)</f>
        <v>Festfeldkonsole GCC 175mm 500 lang verzinkt</v>
      </c>
      <c r="C412" s="2314"/>
      <c r="D412" s="30" t="str">
        <f>Liste!C412</f>
        <v>0308041</v>
      </c>
      <c r="E412" s="2314"/>
      <c r="F412" s="32">
        <f t="shared" si="36"/>
        <v>0</v>
      </c>
      <c r="G412" s="2314"/>
      <c r="H412" s="32">
        <f t="shared" si="37"/>
        <v>722</v>
      </c>
      <c r="I412" s="2314"/>
      <c r="J412" s="32">
        <f t="shared" si="38"/>
        <v>286</v>
      </c>
      <c r="K412" s="2314"/>
      <c r="L412" s="31">
        <f t="shared" si="39"/>
        <v>0</v>
      </c>
      <c r="M412" s="2314"/>
      <c r="N412" s="31">
        <f>Liste!L412</f>
        <v>0</v>
      </c>
      <c r="O412" s="31"/>
      <c r="P412" s="31"/>
      <c r="Q412" s="31">
        <f>Liste!P412</f>
        <v>0</v>
      </c>
      <c r="R412" s="31">
        <f>Liste!N412</f>
        <v>0</v>
      </c>
      <c r="S412" s="7">
        <v>0</v>
      </c>
      <c r="T412" s="7">
        <v>0</v>
      </c>
      <c r="U412" s="7">
        <v>0</v>
      </c>
      <c r="V412" s="7"/>
      <c r="W412" s="60"/>
      <c r="X412" s="60"/>
      <c r="Y412" s="60"/>
      <c r="Z412" s="7"/>
      <c r="AA412" s="7"/>
      <c r="AB412" s="60"/>
      <c r="AC412" s="60"/>
      <c r="AD412" s="60"/>
      <c r="AE412" s="7"/>
      <c r="AF412" s="7"/>
      <c r="AG412" s="7"/>
      <c r="AH412" s="7"/>
      <c r="AI412" s="7"/>
      <c r="AJ412" s="7">
        <f>Liste!X412</f>
        <v>0</v>
      </c>
      <c r="AK412" s="7">
        <f>Liste!Y412</f>
        <v>0</v>
      </c>
      <c r="AL412" s="7"/>
      <c r="AM412" s="7"/>
      <c r="AN412" s="7"/>
      <c r="AO412" s="1113">
        <f>Liste!D412</f>
        <v>0</v>
      </c>
      <c r="AP412" s="1113">
        <f>Liste!F412</f>
        <v>722</v>
      </c>
      <c r="AQ412" s="1113">
        <f>Liste!E412</f>
        <v>286</v>
      </c>
      <c r="AR412" s="1113">
        <f>Liste!G412</f>
        <v>0</v>
      </c>
      <c r="AS412" s="1112">
        <f>Liste!V412</f>
        <v>0</v>
      </c>
      <c r="AT412" s="1">
        <f>Liste!M412</f>
        <v>0</v>
      </c>
      <c r="AZ412" s="5" t="s">
        <v>30074</v>
      </c>
      <c r="BA412" s="4" t="s">
        <v>101</v>
      </c>
      <c r="BB412" s="4">
        <v>914</v>
      </c>
      <c r="BD412" s="35"/>
      <c r="BE412" s="35"/>
      <c r="BF412" s="2118" t="str">
        <f>Liste!R412</f>
        <v>0308041</v>
      </c>
      <c r="BG412" s="2137">
        <f>IF(AS412&gt;0,Liste!S412,0)</f>
        <v>0</v>
      </c>
      <c r="BH412" s="2118">
        <f>Liste!T412</f>
        <v>0</v>
      </c>
    </row>
    <row r="413" spans="1:60" ht="24.95" customHeight="1" x14ac:dyDescent="0.25">
      <c r="A413" s="29"/>
      <c r="B413" s="46" t="str">
        <f>IF(Liste!O413&gt;0,Liste!O413,Liste!B413)</f>
        <v>Konsole r0 GCC 400mm verzinkt</v>
      </c>
      <c r="C413" s="2314"/>
      <c r="D413" s="30" t="str">
        <f>Liste!C413</f>
        <v>0308025</v>
      </c>
      <c r="E413" s="2314"/>
      <c r="F413" s="32">
        <f t="shared" si="36"/>
        <v>0</v>
      </c>
      <c r="G413" s="2314"/>
      <c r="H413" s="32">
        <f t="shared" si="37"/>
        <v>0</v>
      </c>
      <c r="I413" s="2314"/>
      <c r="J413" s="32">
        <f t="shared" si="38"/>
        <v>0</v>
      </c>
      <c r="K413" s="2314"/>
      <c r="L413" s="31">
        <f t="shared" si="39"/>
        <v>0</v>
      </c>
      <c r="M413" s="2314"/>
      <c r="N413" s="31" t="str">
        <f>Liste!L413</f>
        <v>Stk</v>
      </c>
      <c r="O413" s="31"/>
      <c r="P413" s="31"/>
      <c r="Q413" s="31">
        <f>Liste!P413</f>
        <v>0</v>
      </c>
      <c r="R413" s="31">
        <f>Liste!N413</f>
        <v>0</v>
      </c>
      <c r="S413" s="7">
        <v>0</v>
      </c>
      <c r="T413" s="7">
        <v>0</v>
      </c>
      <c r="U413" s="7">
        <v>0</v>
      </c>
      <c r="V413" s="7"/>
      <c r="W413" s="60"/>
      <c r="X413" s="60"/>
      <c r="Y413" s="60"/>
      <c r="Z413" s="7"/>
      <c r="AA413" s="7"/>
      <c r="AB413" s="60"/>
      <c r="AC413" s="60"/>
      <c r="AD413" s="60"/>
      <c r="AE413" s="7"/>
      <c r="AF413" s="7"/>
      <c r="AG413" s="7"/>
      <c r="AH413" s="7"/>
      <c r="AI413" s="7"/>
      <c r="AJ413" s="7">
        <f>Liste!X413</f>
        <v>0</v>
      </c>
      <c r="AK413" s="7">
        <f>Liste!Y413</f>
        <v>0</v>
      </c>
      <c r="AL413" s="7"/>
      <c r="AM413" s="7"/>
      <c r="AN413" s="7"/>
      <c r="AO413" s="1113">
        <f>Liste!D413</f>
        <v>0</v>
      </c>
      <c r="AP413" s="1113">
        <f>Liste!F413</f>
        <v>211</v>
      </c>
      <c r="AQ413" s="1113">
        <f>Liste!E413</f>
        <v>582</v>
      </c>
      <c r="AR413" s="1113">
        <f>Liste!G413</f>
        <v>5</v>
      </c>
      <c r="AS413" s="1112">
        <f>Liste!V413</f>
        <v>1</v>
      </c>
      <c r="AT413" s="1" t="str">
        <f>Liste!M413</f>
        <v>Stahlblech verz.</v>
      </c>
      <c r="AZ413" s="5" t="s">
        <v>30075</v>
      </c>
      <c r="BA413" s="4" t="s">
        <v>101</v>
      </c>
      <c r="BB413" s="4">
        <v>915</v>
      </c>
      <c r="BD413" s="35"/>
      <c r="BE413" s="35"/>
      <c r="BF413" s="2118" t="str">
        <f>Liste!R413</f>
        <v>0308025</v>
      </c>
      <c r="BG413" s="2137">
        <f>IF(AS413&gt;0,Liste!S413,0)</f>
        <v>0</v>
      </c>
      <c r="BH413" s="2118" t="str">
        <f>Liste!T413</f>
        <v>Stk</v>
      </c>
    </row>
    <row r="414" spans="1:60" ht="24.95" customHeight="1" x14ac:dyDescent="0.25">
      <c r="A414" s="29"/>
      <c r="B414" s="46" t="str">
        <f>IF(Liste!O414&gt;0,Liste!O414,Liste!B414)</f>
        <v>Konsole r0 GCC 400mm V2A</v>
      </c>
      <c r="C414" s="2314"/>
      <c r="D414" s="30" t="str">
        <f>Liste!C414</f>
        <v>0338025</v>
      </c>
      <c r="E414" s="2314"/>
      <c r="F414" s="32">
        <f t="shared" si="36"/>
        <v>0</v>
      </c>
      <c r="G414" s="2314"/>
      <c r="H414" s="32">
        <f t="shared" si="37"/>
        <v>0</v>
      </c>
      <c r="I414" s="2314"/>
      <c r="J414" s="32">
        <f t="shared" si="38"/>
        <v>0</v>
      </c>
      <c r="K414" s="2314"/>
      <c r="L414" s="31">
        <f t="shared" si="39"/>
        <v>0</v>
      </c>
      <c r="M414" s="2314"/>
      <c r="N414" s="31" t="str">
        <f>Liste!L414</f>
        <v>Stk</v>
      </c>
      <c r="O414" s="31"/>
      <c r="P414" s="31"/>
      <c r="Q414" s="31">
        <f>Liste!P414</f>
        <v>0</v>
      </c>
      <c r="R414" s="31">
        <f>Liste!N414</f>
        <v>0</v>
      </c>
      <c r="S414" s="7">
        <v>0</v>
      </c>
      <c r="T414" s="7">
        <v>0</v>
      </c>
      <c r="U414" s="7">
        <v>0</v>
      </c>
      <c r="V414" s="7"/>
      <c r="W414" s="60"/>
      <c r="X414" s="60"/>
      <c r="Y414" s="60"/>
      <c r="Z414" s="7"/>
      <c r="AA414" s="7"/>
      <c r="AB414" s="60"/>
      <c r="AC414" s="60"/>
      <c r="AD414" s="60"/>
      <c r="AE414" s="7"/>
      <c r="AF414" s="7"/>
      <c r="AG414" s="7"/>
      <c r="AH414" s="7"/>
      <c r="AI414" s="7"/>
      <c r="AJ414" s="7">
        <f>Liste!X414</f>
        <v>0</v>
      </c>
      <c r="AK414" s="7">
        <f>Liste!Y414</f>
        <v>0</v>
      </c>
      <c r="AL414" s="7"/>
      <c r="AM414" s="7"/>
      <c r="AN414" s="7"/>
      <c r="AO414" s="1113">
        <f>Liste!D414</f>
        <v>0</v>
      </c>
      <c r="AP414" s="1113">
        <f>Liste!F414</f>
        <v>211</v>
      </c>
      <c r="AQ414" s="1113">
        <f>Liste!E414</f>
        <v>582</v>
      </c>
      <c r="AR414" s="1113">
        <f>Liste!G414</f>
        <v>5</v>
      </c>
      <c r="AS414" s="1112">
        <f>Liste!V414</f>
        <v>1</v>
      </c>
      <c r="AT414" s="1" t="str">
        <f>Liste!M414</f>
        <v>V2A blank</v>
      </c>
      <c r="AZ414" s="5" t="s">
        <v>30076</v>
      </c>
      <c r="BA414" s="4" t="s">
        <v>101</v>
      </c>
      <c r="BB414" s="4">
        <v>916</v>
      </c>
      <c r="BD414" s="35"/>
      <c r="BE414" s="35"/>
      <c r="BF414" s="2118" t="str">
        <f>Liste!R414</f>
        <v>0338025</v>
      </c>
      <c r="BG414" s="2137">
        <f>IF(AS414&gt;0,Liste!S414,0)</f>
        <v>0</v>
      </c>
      <c r="BH414" s="2118" t="str">
        <f>Liste!T414</f>
        <v>Stk</v>
      </c>
    </row>
    <row r="415" spans="1:60" ht="24.95" customHeight="1" x14ac:dyDescent="0.25">
      <c r="A415" s="29"/>
      <c r="B415" s="46" t="str">
        <f>IF(Liste!O415&gt;0,Liste!O415,Liste!B415)</f>
        <v>Festfeldkonsole GCC 175mm 400 lang verzinkt</v>
      </c>
      <c r="C415" s="2314"/>
      <c r="D415" s="30" t="str">
        <f>Liste!C415</f>
        <v>0308042</v>
      </c>
      <c r="E415" s="2314"/>
      <c r="F415" s="32">
        <f t="shared" si="36"/>
        <v>0</v>
      </c>
      <c r="G415" s="2314"/>
      <c r="H415" s="32">
        <f t="shared" si="37"/>
        <v>0</v>
      </c>
      <c r="I415" s="2314"/>
      <c r="J415" s="32">
        <f t="shared" si="38"/>
        <v>0</v>
      </c>
      <c r="K415" s="2314"/>
      <c r="L415" s="31">
        <f t="shared" si="39"/>
        <v>0</v>
      </c>
      <c r="M415" s="2314"/>
      <c r="N415" s="31" t="str">
        <f>Liste!L415</f>
        <v>Stk</v>
      </c>
      <c r="O415" s="31"/>
      <c r="P415" s="31"/>
      <c r="Q415" s="31">
        <f>Liste!P415</f>
        <v>0</v>
      </c>
      <c r="R415" s="31">
        <f>Liste!N415</f>
        <v>0</v>
      </c>
      <c r="S415" s="7">
        <v>0</v>
      </c>
      <c r="T415" s="7">
        <v>0</v>
      </c>
      <c r="U415" s="7">
        <v>0</v>
      </c>
      <c r="V415" s="7"/>
      <c r="W415" s="60"/>
      <c r="X415" s="60"/>
      <c r="Y415" s="60"/>
      <c r="Z415" s="7"/>
      <c r="AA415" s="7"/>
      <c r="AB415" s="60"/>
      <c r="AC415" s="60"/>
      <c r="AD415" s="60"/>
      <c r="AE415" s="7"/>
      <c r="AF415" s="7"/>
      <c r="AG415" s="7"/>
      <c r="AH415" s="7"/>
      <c r="AI415" s="7"/>
      <c r="AJ415" s="7">
        <f>Liste!X415</f>
        <v>0</v>
      </c>
      <c r="AK415" s="7">
        <f>Liste!Y415</f>
        <v>0</v>
      </c>
      <c r="AL415" s="7"/>
      <c r="AM415" s="7"/>
      <c r="AN415" s="7"/>
      <c r="AO415" s="1113">
        <f>Liste!D415</f>
        <v>0</v>
      </c>
      <c r="AP415" s="1113">
        <f>Liste!F415</f>
        <v>622</v>
      </c>
      <c r="AQ415" s="1113">
        <f>Liste!E415</f>
        <v>286</v>
      </c>
      <c r="AR415" s="1113">
        <f>Liste!G415</f>
        <v>5</v>
      </c>
      <c r="AS415" s="1112">
        <f>Liste!V415</f>
        <v>1</v>
      </c>
      <c r="AT415" s="1" t="str">
        <f>Liste!M415</f>
        <v>Stahlblech verz.</v>
      </c>
      <c r="AZ415" s="5" t="s">
        <v>30077</v>
      </c>
      <c r="BA415" s="4" t="s">
        <v>101</v>
      </c>
      <c r="BB415" s="4">
        <v>917</v>
      </c>
      <c r="BD415" s="35"/>
      <c r="BE415" s="35"/>
      <c r="BF415" s="2118" t="str">
        <f>Liste!R415</f>
        <v>0308042</v>
      </c>
      <c r="BG415" s="2137">
        <f>IF(AS415&gt;0,Liste!S415,0)</f>
        <v>0</v>
      </c>
      <c r="BH415" s="2118" t="str">
        <f>Liste!T415</f>
        <v>Stk</v>
      </c>
    </row>
    <row r="416" spans="1:60" ht="24.95" customHeight="1" x14ac:dyDescent="0.25">
      <c r="A416" s="29"/>
      <c r="B416" s="46" t="str">
        <f>IF(Liste!O416&gt;0,Liste!O416,Liste!B416)</f>
        <v>Festfeldkonsole GCC 175mm 400 lang V2A</v>
      </c>
      <c r="C416" s="2314"/>
      <c r="D416" s="30" t="str">
        <f>Liste!C416</f>
        <v>0338042</v>
      </c>
      <c r="E416" s="2314"/>
      <c r="F416" s="32">
        <f t="shared" si="36"/>
        <v>0</v>
      </c>
      <c r="G416" s="2314"/>
      <c r="H416" s="32">
        <f t="shared" si="37"/>
        <v>0</v>
      </c>
      <c r="I416" s="2314"/>
      <c r="J416" s="32">
        <f t="shared" si="38"/>
        <v>0</v>
      </c>
      <c r="K416" s="2314"/>
      <c r="L416" s="31">
        <f t="shared" si="39"/>
        <v>0</v>
      </c>
      <c r="M416" s="2314"/>
      <c r="N416" s="31" t="str">
        <f>Liste!L416</f>
        <v>Stk</v>
      </c>
      <c r="O416" s="31"/>
      <c r="P416" s="31"/>
      <c r="Q416" s="31">
        <f>Liste!P416</f>
        <v>0</v>
      </c>
      <c r="R416" s="31">
        <f>Liste!N416</f>
        <v>0</v>
      </c>
      <c r="S416" s="7">
        <v>0</v>
      </c>
      <c r="T416" s="7">
        <v>0</v>
      </c>
      <c r="U416" s="7">
        <v>0</v>
      </c>
      <c r="V416" s="7"/>
      <c r="W416" s="60"/>
      <c r="X416" s="60"/>
      <c r="Y416" s="60"/>
      <c r="Z416" s="7"/>
      <c r="AA416" s="7"/>
      <c r="AB416" s="60"/>
      <c r="AC416" s="60"/>
      <c r="AD416" s="60"/>
      <c r="AE416" s="7"/>
      <c r="AF416" s="7"/>
      <c r="AG416" s="7"/>
      <c r="AH416" s="7"/>
      <c r="AI416" s="7"/>
      <c r="AJ416" s="7">
        <f>Liste!X416</f>
        <v>0</v>
      </c>
      <c r="AK416" s="7">
        <f>Liste!Y416</f>
        <v>0</v>
      </c>
      <c r="AL416" s="7"/>
      <c r="AM416" s="7"/>
      <c r="AN416" s="7"/>
      <c r="AO416" s="1113">
        <f>Liste!D416</f>
        <v>0</v>
      </c>
      <c r="AP416" s="1113">
        <f>Liste!F416</f>
        <v>622</v>
      </c>
      <c r="AQ416" s="1113">
        <f>Liste!E416</f>
        <v>286</v>
      </c>
      <c r="AR416" s="1113">
        <f>Liste!G416</f>
        <v>5</v>
      </c>
      <c r="AS416" s="1112">
        <f>Liste!V416</f>
        <v>1</v>
      </c>
      <c r="AT416" s="1" t="str">
        <f>Liste!M416</f>
        <v>V2A blank</v>
      </c>
      <c r="AZ416" s="5" t="s">
        <v>30078</v>
      </c>
      <c r="BA416" s="4" t="s">
        <v>101</v>
      </c>
      <c r="BB416" s="4">
        <v>918</v>
      </c>
      <c r="BD416" s="35"/>
      <c r="BE416" s="35"/>
      <c r="BF416" s="2118" t="str">
        <f>Liste!R416</f>
        <v>0338042</v>
      </c>
      <c r="BG416" s="2137">
        <f>IF(AS416&gt;0,Liste!S416,0)</f>
        <v>0</v>
      </c>
      <c r="BH416" s="2118" t="str">
        <f>Liste!T416</f>
        <v>Stk</v>
      </c>
    </row>
    <row r="417" spans="1:60" ht="24.95" customHeight="1" x14ac:dyDescent="0.25">
      <c r="A417" s="29"/>
      <c r="B417" s="46" t="str">
        <f>IF(Liste!O417&gt;0,Liste!O417,Liste!B417)</f>
        <v>Festfeldkonsole GCC 250mm 400 lang verzinkt</v>
      </c>
      <c r="C417" s="2314"/>
      <c r="D417" s="30" t="str">
        <f>Liste!C417</f>
        <v>0308294</v>
      </c>
      <c r="E417" s="2314"/>
      <c r="F417" s="32">
        <f t="shared" si="36"/>
        <v>0</v>
      </c>
      <c r="G417" s="2314"/>
      <c r="H417" s="32">
        <f t="shared" si="37"/>
        <v>0</v>
      </c>
      <c r="I417" s="2314"/>
      <c r="J417" s="32">
        <f t="shared" si="38"/>
        <v>0</v>
      </c>
      <c r="K417" s="2314"/>
      <c r="L417" s="31">
        <f t="shared" si="39"/>
        <v>0</v>
      </c>
      <c r="M417" s="2314"/>
      <c r="N417" s="31" t="str">
        <f>Liste!L417</f>
        <v>Stk</v>
      </c>
      <c r="O417" s="31"/>
      <c r="P417" s="31"/>
      <c r="Q417" s="31">
        <f>Liste!P417</f>
        <v>0</v>
      </c>
      <c r="R417" s="31">
        <f>Liste!N417</f>
        <v>0</v>
      </c>
      <c r="S417" s="7">
        <v>0</v>
      </c>
      <c r="T417" s="7">
        <v>0</v>
      </c>
      <c r="U417" s="7">
        <v>0</v>
      </c>
      <c r="V417" s="7"/>
      <c r="W417" s="60"/>
      <c r="X417" s="60"/>
      <c r="Y417" s="60"/>
      <c r="Z417" s="7"/>
      <c r="AA417" s="7"/>
      <c r="AB417" s="60"/>
      <c r="AC417" s="60"/>
      <c r="AD417" s="60"/>
      <c r="AE417" s="7"/>
      <c r="AF417" s="7"/>
      <c r="AG417" s="7"/>
      <c r="AH417" s="7"/>
      <c r="AI417" s="7"/>
      <c r="AJ417" s="7">
        <f>Liste!X417</f>
        <v>0</v>
      </c>
      <c r="AK417" s="7">
        <f>Liste!Y417</f>
        <v>0</v>
      </c>
      <c r="AL417" s="7"/>
      <c r="AM417" s="7"/>
      <c r="AN417" s="7"/>
      <c r="AO417" s="1113">
        <f>Liste!D417</f>
        <v>0</v>
      </c>
      <c r="AP417" s="1113">
        <f>Liste!F417</f>
        <v>682</v>
      </c>
      <c r="AQ417" s="1113">
        <f>Liste!E417</f>
        <v>391</v>
      </c>
      <c r="AR417" s="1113">
        <f>Liste!G417</f>
        <v>5</v>
      </c>
      <c r="AS417" s="1112">
        <f>Liste!V417</f>
        <v>1</v>
      </c>
      <c r="AT417" s="1" t="str">
        <f>Liste!M417</f>
        <v>Stahlblech verz.</v>
      </c>
      <c r="AZ417" s="5" t="s">
        <v>30079</v>
      </c>
      <c r="BA417" s="4" t="s">
        <v>101</v>
      </c>
      <c r="BB417" s="4">
        <v>919</v>
      </c>
      <c r="BD417" s="35"/>
      <c r="BE417" s="35"/>
      <c r="BF417" s="2118" t="str">
        <f>Liste!R417</f>
        <v>0308294</v>
      </c>
      <c r="BG417" s="2137">
        <f>IF(AS417&gt;0,Liste!S417,0)</f>
        <v>0</v>
      </c>
      <c r="BH417" s="2118" t="str">
        <f>Liste!T417</f>
        <v>Stk</v>
      </c>
    </row>
    <row r="418" spans="1:60" ht="24.95" customHeight="1" x14ac:dyDescent="0.25">
      <c r="A418" s="29"/>
      <c r="B418" s="46" t="str">
        <f>IF(Liste!O418&gt;0,Liste!O418,Liste!B418)</f>
        <v>Festfeldkonsole GCC 250mm 400 lang V2A</v>
      </c>
      <c r="C418" s="2314"/>
      <c r="D418" s="30" t="str">
        <f>Liste!C418</f>
        <v>0338294</v>
      </c>
      <c r="E418" s="2314"/>
      <c r="F418" s="32">
        <f t="shared" si="36"/>
        <v>0</v>
      </c>
      <c r="G418" s="2314"/>
      <c r="H418" s="32">
        <f t="shared" si="37"/>
        <v>0</v>
      </c>
      <c r="I418" s="2314"/>
      <c r="J418" s="32">
        <f t="shared" si="38"/>
        <v>0</v>
      </c>
      <c r="K418" s="2314"/>
      <c r="L418" s="31">
        <f t="shared" si="39"/>
        <v>0</v>
      </c>
      <c r="M418" s="2314"/>
      <c r="N418" s="31" t="str">
        <f>Liste!L418</f>
        <v>Stk</v>
      </c>
      <c r="O418" s="31"/>
      <c r="P418" s="31"/>
      <c r="Q418" s="31">
        <f>Liste!P418</f>
        <v>0</v>
      </c>
      <c r="R418" s="31">
        <f>Liste!N418</f>
        <v>0</v>
      </c>
      <c r="S418" s="7">
        <v>0</v>
      </c>
      <c r="T418" s="7">
        <v>0</v>
      </c>
      <c r="U418" s="7">
        <v>0</v>
      </c>
      <c r="V418" s="7"/>
      <c r="W418" s="60"/>
      <c r="X418" s="60"/>
      <c r="Y418" s="60"/>
      <c r="Z418" s="7"/>
      <c r="AA418" s="7"/>
      <c r="AB418" s="60"/>
      <c r="AC418" s="60"/>
      <c r="AD418" s="60"/>
      <c r="AE418" s="7"/>
      <c r="AF418" s="7"/>
      <c r="AG418" s="7"/>
      <c r="AH418" s="7"/>
      <c r="AI418" s="7"/>
      <c r="AJ418" s="7">
        <f>Liste!X418</f>
        <v>0</v>
      </c>
      <c r="AK418" s="7">
        <f>Liste!Y418</f>
        <v>0</v>
      </c>
      <c r="AL418" s="7"/>
      <c r="AM418" s="7"/>
      <c r="AN418" s="7"/>
      <c r="AO418" s="1113">
        <f>Liste!D418</f>
        <v>0</v>
      </c>
      <c r="AP418" s="1113">
        <f>Liste!F418</f>
        <v>682</v>
      </c>
      <c r="AQ418" s="1113">
        <f>Liste!E418</f>
        <v>391</v>
      </c>
      <c r="AR418" s="1113">
        <f>Liste!G418</f>
        <v>5</v>
      </c>
      <c r="AS418" s="1112">
        <f>Liste!V418</f>
        <v>1</v>
      </c>
      <c r="AT418" s="1" t="str">
        <f>Liste!M418</f>
        <v>V2A blank</v>
      </c>
      <c r="AZ418" s="5" t="s">
        <v>30080</v>
      </c>
      <c r="BA418" s="4" t="s">
        <v>101</v>
      </c>
      <c r="BB418" s="4">
        <v>920</v>
      </c>
      <c r="BD418" s="35"/>
      <c r="BE418" s="35"/>
      <c r="BF418" s="2118" t="str">
        <f>Liste!R418</f>
        <v>0338294</v>
      </c>
      <c r="BG418" s="2137">
        <f>IF(AS418&gt;0,Liste!S418,0)</f>
        <v>0</v>
      </c>
      <c r="BH418" s="2118" t="str">
        <f>Liste!T418</f>
        <v>Stk</v>
      </c>
    </row>
    <row r="419" spans="1:60" ht="24.95" customHeight="1" x14ac:dyDescent="0.25">
      <c r="A419" s="29"/>
      <c r="B419" s="46">
        <f>IF(Liste!O419&gt;0,Liste!O419,Liste!B419)</f>
        <v>0</v>
      </c>
      <c r="C419" s="2314"/>
      <c r="D419" s="30">
        <f>Liste!C419</f>
        <v>0</v>
      </c>
      <c r="E419" s="2314"/>
      <c r="F419" s="32">
        <f t="shared" si="36"/>
        <v>0</v>
      </c>
      <c r="G419" s="2314"/>
      <c r="H419" s="32">
        <f t="shared" si="37"/>
        <v>0</v>
      </c>
      <c r="I419" s="2314"/>
      <c r="J419" s="32">
        <f t="shared" si="38"/>
        <v>0</v>
      </c>
      <c r="K419" s="2314"/>
      <c r="L419" s="31">
        <f t="shared" si="39"/>
        <v>0</v>
      </c>
      <c r="M419" s="2314"/>
      <c r="N419" s="31">
        <f>Liste!L419</f>
        <v>0</v>
      </c>
      <c r="O419" s="31"/>
      <c r="P419" s="31"/>
      <c r="Q419" s="31">
        <f>Liste!P419</f>
        <v>0</v>
      </c>
      <c r="R419" s="31">
        <f>Liste!N419</f>
        <v>0</v>
      </c>
      <c r="S419" s="7">
        <v>0</v>
      </c>
      <c r="T419" s="7">
        <v>0</v>
      </c>
      <c r="U419" s="7">
        <v>0</v>
      </c>
      <c r="V419" s="7"/>
      <c r="W419" s="60"/>
      <c r="X419" s="60"/>
      <c r="Y419" s="60"/>
      <c r="Z419" s="7"/>
      <c r="AA419" s="7"/>
      <c r="AB419" s="60"/>
      <c r="AC419" s="60"/>
      <c r="AD419" s="60"/>
      <c r="AE419" s="7"/>
      <c r="AF419" s="7"/>
      <c r="AG419" s="7"/>
      <c r="AH419" s="7"/>
      <c r="AI419" s="7"/>
      <c r="AJ419" s="7">
        <f>Liste!X419</f>
        <v>0</v>
      </c>
      <c r="AK419" s="7">
        <f>Liste!Y419</f>
        <v>0</v>
      </c>
      <c r="AL419" s="7"/>
      <c r="AM419" s="7"/>
      <c r="AN419" s="7"/>
      <c r="AO419" s="1113">
        <f>Liste!D419</f>
        <v>0</v>
      </c>
      <c r="AP419" s="1113">
        <f>Liste!F419</f>
        <v>0</v>
      </c>
      <c r="AQ419" s="1113">
        <f>Liste!E419</f>
        <v>0</v>
      </c>
      <c r="AR419" s="1113">
        <f>Liste!G419</f>
        <v>0</v>
      </c>
      <c r="AS419" s="1112">
        <f>Liste!V419</f>
        <v>0</v>
      </c>
      <c r="AT419" s="1">
        <f>Liste!M419</f>
        <v>0</v>
      </c>
      <c r="AZ419" s="5" t="s">
        <v>30081</v>
      </c>
      <c r="BA419" s="4" t="s">
        <v>101</v>
      </c>
      <c r="BB419" s="4">
        <v>921</v>
      </c>
      <c r="BD419" s="35"/>
      <c r="BE419" s="35"/>
      <c r="BF419" s="2118">
        <f>Liste!R419</f>
        <v>0</v>
      </c>
      <c r="BG419" s="2137">
        <f>IF(AS419&gt;0,Liste!S419,0)</f>
        <v>0</v>
      </c>
      <c r="BH419" s="2118">
        <f>Liste!T419</f>
        <v>0</v>
      </c>
    </row>
    <row r="420" spans="1:60" ht="24.95" customHeight="1" x14ac:dyDescent="0.25">
      <c r="A420" s="29"/>
      <c r="B420" s="46" t="str">
        <f>IF(Liste!O420&gt;0,Liste!O420,Liste!B420)</f>
        <v>Konsole r0 GCC 300mm verzinkt</v>
      </c>
      <c r="C420" s="2314"/>
      <c r="D420" s="30" t="str">
        <f>Liste!C420</f>
        <v>0308018</v>
      </c>
      <c r="E420" s="2314"/>
      <c r="F420" s="32">
        <f t="shared" si="36"/>
        <v>0</v>
      </c>
      <c r="G420" s="2314"/>
      <c r="H420" s="32">
        <f t="shared" si="37"/>
        <v>0</v>
      </c>
      <c r="I420" s="2314"/>
      <c r="J420" s="32">
        <f t="shared" si="38"/>
        <v>0</v>
      </c>
      <c r="K420" s="2314"/>
      <c r="L420" s="31">
        <f t="shared" si="39"/>
        <v>0</v>
      </c>
      <c r="M420" s="2314"/>
      <c r="N420" s="31" t="str">
        <f>Liste!L420</f>
        <v>Stk</v>
      </c>
      <c r="O420" s="31"/>
      <c r="P420" s="31"/>
      <c r="Q420" s="31">
        <f>Liste!P420</f>
        <v>0</v>
      </c>
      <c r="R420" s="31">
        <f>Liste!N420</f>
        <v>0</v>
      </c>
      <c r="S420" s="7">
        <v>0</v>
      </c>
      <c r="T420" s="7">
        <v>0</v>
      </c>
      <c r="U420" s="7">
        <v>0</v>
      </c>
      <c r="V420" s="7"/>
      <c r="W420" s="60"/>
      <c r="X420" s="60"/>
      <c r="Y420" s="60"/>
      <c r="Z420" s="7"/>
      <c r="AA420" s="7"/>
      <c r="AB420" s="60"/>
      <c r="AC420" s="60"/>
      <c r="AD420" s="60"/>
      <c r="AE420" s="7"/>
      <c r="AF420" s="7"/>
      <c r="AG420" s="7"/>
      <c r="AH420" s="7"/>
      <c r="AI420" s="7"/>
      <c r="AJ420" s="7">
        <f>Liste!X420</f>
        <v>0</v>
      </c>
      <c r="AK420" s="7">
        <f>Liste!Y420</f>
        <v>0</v>
      </c>
      <c r="AL420" s="7"/>
      <c r="AM420" s="7"/>
      <c r="AN420" s="7"/>
      <c r="AO420" s="1113">
        <f>Liste!D420</f>
        <v>0</v>
      </c>
      <c r="AP420" s="1113">
        <f>Liste!F420</f>
        <v>211</v>
      </c>
      <c r="AQ420" s="1113">
        <f>Liste!E420</f>
        <v>482</v>
      </c>
      <c r="AR420" s="1113">
        <f>Liste!G420</f>
        <v>5</v>
      </c>
      <c r="AS420" s="1112">
        <f>Liste!V420</f>
        <v>1</v>
      </c>
      <c r="AT420" s="1" t="str">
        <f>Liste!M420</f>
        <v>Stahlblech verz.</v>
      </c>
      <c r="AZ420" s="5" t="s">
        <v>30082</v>
      </c>
      <c r="BA420" s="4" t="s">
        <v>101</v>
      </c>
      <c r="BB420" s="4">
        <v>922</v>
      </c>
      <c r="BD420" s="35"/>
      <c r="BE420" s="35"/>
      <c r="BF420" s="2118" t="str">
        <f>Liste!R420</f>
        <v>0308018</v>
      </c>
      <c r="BG420" s="2137">
        <f>IF(AS420&gt;0,Liste!S420,0)</f>
        <v>0</v>
      </c>
      <c r="BH420" s="2118" t="str">
        <f>Liste!T420</f>
        <v>Stk</v>
      </c>
    </row>
    <row r="421" spans="1:60" ht="24.95" customHeight="1" x14ac:dyDescent="0.25">
      <c r="A421" s="29"/>
      <c r="B421" s="46" t="str">
        <f>IF(Liste!O421&gt;0,Liste!O421,Liste!B421)</f>
        <v>Konsole r0 GCC 300mm V2A</v>
      </c>
      <c r="C421" s="2314"/>
      <c r="D421" s="30" t="str">
        <f>Liste!C421</f>
        <v>0338018</v>
      </c>
      <c r="E421" s="2314"/>
      <c r="F421" s="32">
        <f t="shared" si="36"/>
        <v>0</v>
      </c>
      <c r="G421" s="2314"/>
      <c r="H421" s="32">
        <f t="shared" si="37"/>
        <v>0</v>
      </c>
      <c r="I421" s="2314"/>
      <c r="J421" s="32">
        <f t="shared" si="38"/>
        <v>0</v>
      </c>
      <c r="K421" s="2314"/>
      <c r="L421" s="31">
        <f t="shared" si="39"/>
        <v>0</v>
      </c>
      <c r="M421" s="2314"/>
      <c r="N421" s="31" t="str">
        <f>Liste!L421</f>
        <v>Stk</v>
      </c>
      <c r="O421" s="31"/>
      <c r="P421" s="31"/>
      <c r="Q421" s="31">
        <f>Liste!P421</f>
        <v>0</v>
      </c>
      <c r="R421" s="31">
        <f>Liste!N421</f>
        <v>0</v>
      </c>
      <c r="S421" s="7">
        <v>0</v>
      </c>
      <c r="T421" s="7">
        <v>0</v>
      </c>
      <c r="U421" s="7">
        <v>0</v>
      </c>
      <c r="V421" s="7"/>
      <c r="W421" s="60"/>
      <c r="X421" s="60"/>
      <c r="Y421" s="60"/>
      <c r="Z421" s="7"/>
      <c r="AA421" s="7"/>
      <c r="AB421" s="60"/>
      <c r="AC421" s="60"/>
      <c r="AD421" s="60"/>
      <c r="AE421" s="7"/>
      <c r="AF421" s="7"/>
      <c r="AG421" s="7"/>
      <c r="AH421" s="7"/>
      <c r="AI421" s="7"/>
      <c r="AJ421" s="7">
        <f>Liste!X421</f>
        <v>0</v>
      </c>
      <c r="AK421" s="7">
        <f>Liste!Y421</f>
        <v>0</v>
      </c>
      <c r="AL421" s="7"/>
      <c r="AM421" s="7"/>
      <c r="AN421" s="7"/>
      <c r="AO421" s="1113">
        <f>Liste!D421</f>
        <v>0</v>
      </c>
      <c r="AP421" s="1113">
        <f>Liste!F421</f>
        <v>211</v>
      </c>
      <c r="AQ421" s="1113">
        <f>Liste!E421</f>
        <v>482</v>
      </c>
      <c r="AR421" s="1113">
        <f>Liste!G421</f>
        <v>5</v>
      </c>
      <c r="AS421" s="1112">
        <f>Liste!V421</f>
        <v>1</v>
      </c>
      <c r="AT421" s="1" t="str">
        <f>Liste!M421</f>
        <v>V2A blank</v>
      </c>
      <c r="AZ421" s="5" t="s">
        <v>30083</v>
      </c>
      <c r="BA421" s="4" t="s">
        <v>101</v>
      </c>
      <c r="BB421" s="4">
        <v>923</v>
      </c>
      <c r="BD421" s="35"/>
      <c r="BE421" s="35"/>
      <c r="BF421" s="2118" t="str">
        <f>Liste!R421</f>
        <v>0338018</v>
      </c>
      <c r="BG421" s="2137">
        <f>IF(AS421&gt;0,Liste!S421,0)</f>
        <v>0</v>
      </c>
      <c r="BH421" s="2118" t="str">
        <f>Liste!T421</f>
        <v>Stk</v>
      </c>
    </row>
    <row r="422" spans="1:60" ht="24.95" customHeight="1" x14ac:dyDescent="0.25">
      <c r="A422" s="29"/>
      <c r="B422" s="46" t="str">
        <f>IF(Liste!O422&gt;0,Liste!O422,Liste!B422)</f>
        <v>Festfeldkonsole GCC 175mm 300 lang verzinkt</v>
      </c>
      <c r="C422" s="2314"/>
      <c r="D422" s="30" t="str">
        <f>Liste!C422</f>
        <v>0308043</v>
      </c>
      <c r="E422" s="2314"/>
      <c r="F422" s="32">
        <f t="shared" si="36"/>
        <v>0</v>
      </c>
      <c r="G422" s="2314"/>
      <c r="H422" s="32">
        <f t="shared" si="37"/>
        <v>0</v>
      </c>
      <c r="I422" s="2314"/>
      <c r="J422" s="32">
        <f t="shared" si="38"/>
        <v>0</v>
      </c>
      <c r="K422" s="2314"/>
      <c r="L422" s="31">
        <f t="shared" si="39"/>
        <v>0</v>
      </c>
      <c r="M422" s="2314"/>
      <c r="N422" s="31" t="str">
        <f>Liste!L422</f>
        <v>Stk</v>
      </c>
      <c r="O422" s="31"/>
      <c r="P422" s="31"/>
      <c r="Q422" s="31">
        <f>Liste!P422</f>
        <v>0</v>
      </c>
      <c r="R422" s="31">
        <f>Liste!N422</f>
        <v>0</v>
      </c>
      <c r="S422" s="7">
        <v>0</v>
      </c>
      <c r="T422" s="7">
        <v>0</v>
      </c>
      <c r="U422" s="7">
        <v>0</v>
      </c>
      <c r="V422" s="7"/>
      <c r="W422" s="60"/>
      <c r="X422" s="60"/>
      <c r="Y422" s="60"/>
      <c r="Z422" s="7"/>
      <c r="AA422" s="7"/>
      <c r="AB422" s="60"/>
      <c r="AC422" s="60"/>
      <c r="AD422" s="60"/>
      <c r="AE422" s="7"/>
      <c r="AF422" s="7"/>
      <c r="AG422" s="7"/>
      <c r="AH422" s="7"/>
      <c r="AI422" s="7"/>
      <c r="AJ422" s="7">
        <f>Liste!X422</f>
        <v>0</v>
      </c>
      <c r="AK422" s="7">
        <f>Liste!Y422</f>
        <v>0</v>
      </c>
      <c r="AL422" s="7"/>
      <c r="AM422" s="7"/>
      <c r="AN422" s="7"/>
      <c r="AO422" s="1113">
        <f>Liste!D422</f>
        <v>0</v>
      </c>
      <c r="AP422" s="1113">
        <f>Liste!F422</f>
        <v>522</v>
      </c>
      <c r="AQ422" s="1113">
        <f>Liste!E422</f>
        <v>286</v>
      </c>
      <c r="AR422" s="1113">
        <f>Liste!G422</f>
        <v>5</v>
      </c>
      <c r="AS422" s="1112">
        <f>Liste!V422</f>
        <v>1</v>
      </c>
      <c r="AT422" s="1" t="str">
        <f>Liste!M422</f>
        <v>Stahlblech verz.</v>
      </c>
      <c r="AZ422" s="5" t="s">
        <v>30084</v>
      </c>
      <c r="BA422" s="4" t="s">
        <v>101</v>
      </c>
      <c r="BB422" s="4">
        <v>924</v>
      </c>
      <c r="BD422" s="35"/>
      <c r="BE422" s="35"/>
      <c r="BF422" s="2118" t="str">
        <f>Liste!R422</f>
        <v>0308043</v>
      </c>
      <c r="BG422" s="2137">
        <f>IF(AS422&gt;0,Liste!S422,0)</f>
        <v>0</v>
      </c>
      <c r="BH422" s="2118" t="str">
        <f>Liste!T422</f>
        <v>Stk</v>
      </c>
    </row>
    <row r="423" spans="1:60" ht="24.95" customHeight="1" x14ac:dyDescent="0.25">
      <c r="A423" s="29"/>
      <c r="B423" s="46" t="str">
        <f>IF(Liste!O423&gt;0,Liste!O423,Liste!B423)</f>
        <v>Festfeldkonsole GCC 175mm 300 lang V2A</v>
      </c>
      <c r="C423" s="2314"/>
      <c r="D423" s="30" t="str">
        <f>Liste!C423</f>
        <v>0338043</v>
      </c>
      <c r="E423" s="2314"/>
      <c r="F423" s="32">
        <f t="shared" si="36"/>
        <v>0</v>
      </c>
      <c r="G423" s="2314"/>
      <c r="H423" s="32">
        <f t="shared" si="37"/>
        <v>0</v>
      </c>
      <c r="I423" s="2314"/>
      <c r="J423" s="32">
        <f t="shared" si="38"/>
        <v>0</v>
      </c>
      <c r="K423" s="2314"/>
      <c r="L423" s="31">
        <f t="shared" si="39"/>
        <v>0</v>
      </c>
      <c r="M423" s="2314"/>
      <c r="N423" s="31" t="str">
        <f>Liste!L423</f>
        <v>Stk</v>
      </c>
      <c r="O423" s="31"/>
      <c r="P423" s="31"/>
      <c r="Q423" s="31">
        <f>Liste!P423</f>
        <v>0</v>
      </c>
      <c r="R423" s="31">
        <f>Liste!N423</f>
        <v>0</v>
      </c>
      <c r="S423" s="7">
        <v>0</v>
      </c>
      <c r="T423" s="7">
        <v>0</v>
      </c>
      <c r="U423" s="7">
        <v>0</v>
      </c>
      <c r="V423" s="7"/>
      <c r="W423" s="60"/>
      <c r="X423" s="60"/>
      <c r="Y423" s="60"/>
      <c r="Z423" s="7"/>
      <c r="AA423" s="7"/>
      <c r="AB423" s="60"/>
      <c r="AC423" s="60"/>
      <c r="AD423" s="60"/>
      <c r="AE423" s="7"/>
      <c r="AF423" s="7"/>
      <c r="AG423" s="7"/>
      <c r="AH423" s="7"/>
      <c r="AI423" s="7"/>
      <c r="AJ423" s="7">
        <f>Liste!X423</f>
        <v>0</v>
      </c>
      <c r="AK423" s="7">
        <f>Liste!Y423</f>
        <v>0</v>
      </c>
      <c r="AL423" s="7"/>
      <c r="AM423" s="7"/>
      <c r="AN423" s="7"/>
      <c r="AO423" s="1113">
        <f>Liste!D423</f>
        <v>0</v>
      </c>
      <c r="AP423" s="1113">
        <f>Liste!F423</f>
        <v>522</v>
      </c>
      <c r="AQ423" s="1113">
        <f>Liste!E423</f>
        <v>286</v>
      </c>
      <c r="AR423" s="1113">
        <f>Liste!G423</f>
        <v>5</v>
      </c>
      <c r="AS423" s="1112">
        <f>Liste!V423</f>
        <v>1</v>
      </c>
      <c r="AT423" s="1" t="str">
        <f>Liste!M423</f>
        <v>V2A blank</v>
      </c>
      <c r="AZ423" s="5" t="s">
        <v>30085</v>
      </c>
      <c r="BA423" s="4" t="s">
        <v>101</v>
      </c>
      <c r="BB423" s="4">
        <v>925</v>
      </c>
      <c r="BD423" s="35"/>
      <c r="BE423" s="35"/>
      <c r="BF423" s="2118" t="str">
        <f>Liste!R423</f>
        <v>0338043</v>
      </c>
      <c r="BG423" s="2137">
        <f>IF(AS423&gt;0,Liste!S423,0)</f>
        <v>0</v>
      </c>
      <c r="BH423" s="2118" t="str">
        <f>Liste!T423</f>
        <v>Stk</v>
      </c>
    </row>
    <row r="424" spans="1:60" ht="24.95" customHeight="1" x14ac:dyDescent="0.25">
      <c r="A424" s="29"/>
      <c r="B424" s="46" t="str">
        <f>IF(Liste!O424&gt;0,Liste!O424,Liste!B424)</f>
        <v>Festfeldkonsole GCC 250mm 300 lang verzinkt</v>
      </c>
      <c r="C424" s="2314"/>
      <c r="D424" s="30" t="str">
        <f>Liste!C424</f>
        <v>0308295</v>
      </c>
      <c r="E424" s="2314"/>
      <c r="F424" s="32">
        <f t="shared" si="36"/>
        <v>0</v>
      </c>
      <c r="G424" s="2314"/>
      <c r="H424" s="32">
        <f t="shared" si="37"/>
        <v>0</v>
      </c>
      <c r="I424" s="2314"/>
      <c r="J424" s="32">
        <f t="shared" si="38"/>
        <v>0</v>
      </c>
      <c r="K424" s="2314"/>
      <c r="L424" s="31">
        <f t="shared" si="39"/>
        <v>0</v>
      </c>
      <c r="M424" s="2314"/>
      <c r="N424" s="31" t="str">
        <f>Liste!L424</f>
        <v>Stk</v>
      </c>
      <c r="O424" s="31"/>
      <c r="P424" s="31"/>
      <c r="Q424" s="31">
        <f>Liste!P424</f>
        <v>0</v>
      </c>
      <c r="R424" s="31">
        <f>Liste!N424</f>
        <v>0</v>
      </c>
      <c r="S424" s="7">
        <v>0</v>
      </c>
      <c r="T424" s="7">
        <v>0</v>
      </c>
      <c r="U424" s="7">
        <v>0</v>
      </c>
      <c r="V424" s="7"/>
      <c r="W424" s="60"/>
      <c r="X424" s="60"/>
      <c r="Y424" s="60"/>
      <c r="Z424" s="7"/>
      <c r="AA424" s="7"/>
      <c r="AB424" s="60"/>
      <c r="AC424" s="60"/>
      <c r="AD424" s="60"/>
      <c r="AE424" s="7"/>
      <c r="AF424" s="7"/>
      <c r="AG424" s="7"/>
      <c r="AH424" s="7"/>
      <c r="AI424" s="7"/>
      <c r="AJ424" s="7">
        <f>Liste!X424</f>
        <v>0</v>
      </c>
      <c r="AK424" s="7">
        <f>Liste!Y424</f>
        <v>0</v>
      </c>
      <c r="AL424" s="7"/>
      <c r="AM424" s="7"/>
      <c r="AN424" s="7"/>
      <c r="AO424" s="1113">
        <f>Liste!D424</f>
        <v>0</v>
      </c>
      <c r="AP424" s="1113">
        <f>Liste!F424</f>
        <v>582</v>
      </c>
      <c r="AQ424" s="1113">
        <f>Liste!E424</f>
        <v>391</v>
      </c>
      <c r="AR424" s="1113">
        <f>Liste!G424</f>
        <v>5</v>
      </c>
      <c r="AS424" s="1112">
        <f>Liste!V424</f>
        <v>1</v>
      </c>
      <c r="AT424" s="1" t="str">
        <f>Liste!M424</f>
        <v>Stahlblech verz.</v>
      </c>
      <c r="AZ424" s="5" t="s">
        <v>30086</v>
      </c>
      <c r="BA424" s="4" t="s">
        <v>101</v>
      </c>
      <c r="BB424" s="4">
        <v>926</v>
      </c>
      <c r="BD424" s="35"/>
      <c r="BE424" s="35"/>
      <c r="BF424" s="2118" t="str">
        <f>Liste!R424</f>
        <v>0308295</v>
      </c>
      <c r="BG424" s="2137">
        <f>IF(AS424&gt;0,Liste!S424,0)</f>
        <v>0</v>
      </c>
      <c r="BH424" s="2118" t="str">
        <f>Liste!T424</f>
        <v>Stk</v>
      </c>
    </row>
    <row r="425" spans="1:60" ht="24.95" customHeight="1" x14ac:dyDescent="0.25">
      <c r="A425" s="29"/>
      <c r="B425" s="46" t="str">
        <f>IF(Liste!O425&gt;0,Liste!O425,Liste!B425)</f>
        <v>Festfeldkonsole GCC 250mm 300 lang V2A</v>
      </c>
      <c r="C425" s="2314"/>
      <c r="D425" s="30" t="str">
        <f>Liste!C425</f>
        <v>0338295</v>
      </c>
      <c r="E425" s="2314"/>
      <c r="F425" s="32">
        <f t="shared" si="36"/>
        <v>0</v>
      </c>
      <c r="G425" s="2314"/>
      <c r="H425" s="32">
        <f t="shared" si="37"/>
        <v>0</v>
      </c>
      <c r="I425" s="2314"/>
      <c r="J425" s="32">
        <f t="shared" si="38"/>
        <v>0</v>
      </c>
      <c r="K425" s="2314"/>
      <c r="L425" s="31">
        <f t="shared" si="39"/>
        <v>0</v>
      </c>
      <c r="M425" s="2314"/>
      <c r="N425" s="31" t="str">
        <f>Liste!L425</f>
        <v>Stk</v>
      </c>
      <c r="O425" s="31"/>
      <c r="P425" s="31"/>
      <c r="Q425" s="31">
        <f>Liste!P425</f>
        <v>0</v>
      </c>
      <c r="R425" s="31">
        <f>Liste!N425</f>
        <v>0</v>
      </c>
      <c r="S425" s="7">
        <v>0</v>
      </c>
      <c r="T425" s="7">
        <v>0</v>
      </c>
      <c r="U425" s="7">
        <v>0</v>
      </c>
      <c r="V425" s="7"/>
      <c r="W425" s="60"/>
      <c r="X425" s="60"/>
      <c r="Y425" s="60"/>
      <c r="Z425" s="7"/>
      <c r="AA425" s="7"/>
      <c r="AB425" s="60"/>
      <c r="AC425" s="60"/>
      <c r="AD425" s="60"/>
      <c r="AE425" s="7"/>
      <c r="AF425" s="7"/>
      <c r="AG425" s="7"/>
      <c r="AH425" s="7"/>
      <c r="AI425" s="7"/>
      <c r="AJ425" s="7">
        <f>Liste!X425</f>
        <v>0</v>
      </c>
      <c r="AK425" s="7">
        <f>Liste!Y425</f>
        <v>0</v>
      </c>
      <c r="AL425" s="7"/>
      <c r="AM425" s="7"/>
      <c r="AN425" s="7"/>
      <c r="AO425" s="1113">
        <f>Liste!D425</f>
        <v>0</v>
      </c>
      <c r="AP425" s="1113">
        <f>Liste!F425</f>
        <v>582</v>
      </c>
      <c r="AQ425" s="1113">
        <f>Liste!E425</f>
        <v>391</v>
      </c>
      <c r="AR425" s="1113">
        <f>Liste!G425</f>
        <v>5</v>
      </c>
      <c r="AS425" s="1112">
        <f>Liste!V425</f>
        <v>1</v>
      </c>
      <c r="AT425" s="1" t="str">
        <f>Liste!M425</f>
        <v>V2A blank</v>
      </c>
      <c r="AZ425" s="5" t="s">
        <v>30087</v>
      </c>
      <c r="BA425" s="4" t="s">
        <v>101</v>
      </c>
      <c r="BB425" s="4">
        <v>927</v>
      </c>
      <c r="BD425" s="35"/>
      <c r="BE425" s="35"/>
      <c r="BF425" s="2118" t="str">
        <f>Liste!R425</f>
        <v>0338295</v>
      </c>
      <c r="BG425" s="2137">
        <f>IF(AS425&gt;0,Liste!S425,0)</f>
        <v>0</v>
      </c>
      <c r="BH425" s="2118" t="str">
        <f>Liste!T425</f>
        <v>Stk</v>
      </c>
    </row>
    <row r="426" spans="1:60" ht="24.95" customHeight="1" x14ac:dyDescent="0.25">
      <c r="A426" s="29"/>
      <c r="B426" s="46">
        <f>IF(Liste!O426&gt;0,Liste!O426,Liste!B426)</f>
        <v>0</v>
      </c>
      <c r="C426" s="2314"/>
      <c r="D426" s="30">
        <f>Liste!C426</f>
        <v>0</v>
      </c>
      <c r="E426" s="2314"/>
      <c r="F426" s="32">
        <f t="shared" si="36"/>
        <v>0</v>
      </c>
      <c r="G426" s="2314"/>
      <c r="H426" s="32">
        <f t="shared" si="37"/>
        <v>0</v>
      </c>
      <c r="I426" s="2314"/>
      <c r="J426" s="32">
        <f t="shared" si="38"/>
        <v>0</v>
      </c>
      <c r="K426" s="2314"/>
      <c r="L426" s="31">
        <f t="shared" si="39"/>
        <v>0</v>
      </c>
      <c r="M426" s="2314"/>
      <c r="N426" s="31">
        <f>Liste!L426</f>
        <v>0</v>
      </c>
      <c r="O426" s="31"/>
      <c r="P426" s="31"/>
      <c r="Q426" s="31">
        <f>Liste!P426</f>
        <v>0</v>
      </c>
      <c r="R426" s="31">
        <f>Liste!N426</f>
        <v>0</v>
      </c>
      <c r="S426" s="7">
        <v>0</v>
      </c>
      <c r="T426" s="7">
        <v>0</v>
      </c>
      <c r="U426" s="7">
        <v>0</v>
      </c>
      <c r="V426" s="7"/>
      <c r="W426" s="60"/>
      <c r="X426" s="60"/>
      <c r="Y426" s="60"/>
      <c r="Z426" s="7"/>
      <c r="AA426" s="7"/>
      <c r="AB426" s="60"/>
      <c r="AC426" s="60"/>
      <c r="AD426" s="60"/>
      <c r="AE426" s="7"/>
      <c r="AF426" s="7"/>
      <c r="AG426" s="7"/>
      <c r="AH426" s="7"/>
      <c r="AI426" s="7"/>
      <c r="AJ426" s="7">
        <f>Liste!X426</f>
        <v>0</v>
      </c>
      <c r="AK426" s="7">
        <f>Liste!Y426</f>
        <v>0</v>
      </c>
      <c r="AL426" s="7"/>
      <c r="AM426" s="7"/>
      <c r="AN426" s="7"/>
      <c r="AO426" s="1113">
        <f>Liste!D426</f>
        <v>0</v>
      </c>
      <c r="AP426" s="1113">
        <f>Liste!F426</f>
        <v>0</v>
      </c>
      <c r="AQ426" s="1113">
        <f>Liste!E426</f>
        <v>0</v>
      </c>
      <c r="AR426" s="1113">
        <f>Liste!G426</f>
        <v>0</v>
      </c>
      <c r="AS426" s="1112">
        <f>Liste!V426</f>
        <v>0</v>
      </c>
      <c r="AT426" s="1">
        <f>Liste!M426</f>
        <v>0</v>
      </c>
      <c r="AZ426" s="5" t="s">
        <v>30088</v>
      </c>
      <c r="BA426" s="4" t="s">
        <v>101</v>
      </c>
      <c r="BB426" s="4">
        <v>928</v>
      </c>
      <c r="BD426" s="35"/>
      <c r="BE426" s="35"/>
      <c r="BF426" s="2118">
        <f>Liste!R426</f>
        <v>0</v>
      </c>
      <c r="BG426" s="2137">
        <f>IF(AS426&gt;0,Liste!S426,0)</f>
        <v>0</v>
      </c>
      <c r="BH426" s="2118">
        <f>Liste!T426</f>
        <v>0</v>
      </c>
    </row>
    <row r="427" spans="1:60" ht="24.95" customHeight="1" x14ac:dyDescent="0.25">
      <c r="A427" s="29"/>
      <c r="B427" s="46">
        <f>IF(Liste!O427&gt;0,Liste!O427,Liste!B427)</f>
        <v>57</v>
      </c>
      <c r="C427" s="2314"/>
      <c r="D427" s="30" t="str">
        <f>Liste!C427</f>
        <v>0708161</v>
      </c>
      <c r="E427" s="2314"/>
      <c r="F427" s="32">
        <f t="shared" si="36"/>
        <v>2</v>
      </c>
      <c r="G427" s="2314"/>
      <c r="H427" s="32">
        <f t="shared" si="37"/>
        <v>1100</v>
      </c>
      <c r="I427" s="2314"/>
      <c r="J427" s="32">
        <f t="shared" si="38"/>
        <v>365</v>
      </c>
      <c r="K427" s="2314"/>
      <c r="L427" s="31">
        <f t="shared" si="39"/>
        <v>12.5</v>
      </c>
      <c r="M427" s="2314"/>
      <c r="N427" s="31" t="str">
        <f>Liste!L427</f>
        <v>MM2</v>
      </c>
      <c r="O427" s="31"/>
      <c r="P427" s="31"/>
      <c r="Q427" s="31" t="str">
        <f>Liste!P427</f>
        <v>B</v>
      </c>
      <c r="R427" s="31" t="str">
        <f>Liste!N427</f>
        <v>Festfelddeckplatte</v>
      </c>
      <c r="S427" s="7">
        <v>0</v>
      </c>
      <c r="T427" s="7">
        <v>0</v>
      </c>
      <c r="U427" s="7">
        <v>0</v>
      </c>
      <c r="V427" s="7"/>
      <c r="W427" s="60"/>
      <c r="X427" s="60"/>
      <c r="Y427" s="60"/>
      <c r="Z427" s="7"/>
      <c r="AA427" s="7"/>
      <c r="AB427" s="60"/>
      <c r="AC427" s="60"/>
      <c r="AD427" s="60"/>
      <c r="AE427" s="7"/>
      <c r="AF427" s="7"/>
      <c r="AG427" s="7"/>
      <c r="AH427" s="7"/>
      <c r="AI427" s="7"/>
      <c r="AJ427" s="7">
        <f>Liste!X427</f>
        <v>0</v>
      </c>
      <c r="AK427" s="7">
        <f>Liste!Y427</f>
        <v>0</v>
      </c>
      <c r="AL427" s="7"/>
      <c r="AM427" s="7"/>
      <c r="AN427" s="7"/>
      <c r="AO427" s="1113">
        <f>Liste!D427</f>
        <v>2</v>
      </c>
      <c r="AP427" s="1113">
        <f>Liste!F427</f>
        <v>1100</v>
      </c>
      <c r="AQ427" s="1113">
        <f>Liste!E427</f>
        <v>365</v>
      </c>
      <c r="AR427" s="1113">
        <f>Liste!G427</f>
        <v>12.5</v>
      </c>
      <c r="AS427" s="1112">
        <f>Liste!V427</f>
        <v>1</v>
      </c>
      <c r="AT427" s="1">
        <f>Liste!M427</f>
        <v>0</v>
      </c>
      <c r="AZ427" s="5" t="s">
        <v>30089</v>
      </c>
      <c r="BA427" s="4" t="s">
        <v>101</v>
      </c>
      <c r="BB427" s="4">
        <v>929</v>
      </c>
      <c r="BD427" s="35"/>
      <c r="BE427" s="35"/>
      <c r="BF427" s="2118" t="str">
        <f>Liste!R427</f>
        <v>0708161</v>
      </c>
      <c r="BG427" s="2137">
        <f>IF(AS427&gt;0,Liste!S427,0)</f>
        <v>0.80300000000000005</v>
      </c>
      <c r="BH427" s="2118" t="str">
        <f>Liste!T427</f>
        <v>m²</v>
      </c>
    </row>
    <row r="428" spans="1:60" ht="24.95" customHeight="1" x14ac:dyDescent="0.25">
      <c r="A428" s="29"/>
      <c r="B428" s="46">
        <f>IF(Liste!O428&gt;0,Liste!O428,Liste!B428)</f>
        <v>58</v>
      </c>
      <c r="C428" s="2314"/>
      <c r="D428" s="30" t="str">
        <f>Liste!C428</f>
        <v>0708161</v>
      </c>
      <c r="E428" s="2314"/>
      <c r="F428" s="32">
        <f t="shared" si="36"/>
        <v>0</v>
      </c>
      <c r="G428" s="2314"/>
      <c r="H428" s="32">
        <f t="shared" si="37"/>
        <v>0</v>
      </c>
      <c r="I428" s="2314"/>
      <c r="J428" s="32">
        <f t="shared" si="38"/>
        <v>365</v>
      </c>
      <c r="K428" s="2314"/>
      <c r="L428" s="31">
        <f t="shared" si="39"/>
        <v>12.5</v>
      </c>
      <c r="M428" s="2314"/>
      <c r="N428" s="31" t="str">
        <f>Liste!L428</f>
        <v>MM2</v>
      </c>
      <c r="O428" s="31"/>
      <c r="P428" s="31"/>
      <c r="Q428" s="31" t="str">
        <f>Liste!P428</f>
        <v>B</v>
      </c>
      <c r="R428" s="31" t="str">
        <f>Liste!N428</f>
        <v>Festfelddeckplatte</v>
      </c>
      <c r="S428" s="7">
        <v>0</v>
      </c>
      <c r="T428" s="7">
        <v>0</v>
      </c>
      <c r="U428" s="7">
        <v>0</v>
      </c>
      <c r="V428" s="7"/>
      <c r="W428" s="60"/>
      <c r="X428" s="60"/>
      <c r="Y428" s="60"/>
      <c r="Z428" s="7"/>
      <c r="AA428" s="7"/>
      <c r="AB428" s="60"/>
      <c r="AC428" s="60"/>
      <c r="AD428" s="60"/>
      <c r="AE428" s="7"/>
      <c r="AF428" s="7"/>
      <c r="AG428" s="7"/>
      <c r="AH428" s="7"/>
      <c r="AI428" s="7"/>
      <c r="AJ428" s="7">
        <f>Liste!X428</f>
        <v>0</v>
      </c>
      <c r="AK428" s="7">
        <f>Liste!Y428</f>
        <v>0</v>
      </c>
      <c r="AL428" s="7"/>
      <c r="AM428" s="7"/>
      <c r="AN428" s="7"/>
      <c r="AO428" s="1113">
        <f>Liste!D428</f>
        <v>0</v>
      </c>
      <c r="AP428" s="1113">
        <f>Liste!F428</f>
        <v>0</v>
      </c>
      <c r="AQ428" s="1113">
        <f>Liste!E428</f>
        <v>365</v>
      </c>
      <c r="AR428" s="1113">
        <f>Liste!G428</f>
        <v>12.5</v>
      </c>
      <c r="AS428" s="1112">
        <f>Liste!V428</f>
        <v>1</v>
      </c>
      <c r="AT428" s="1">
        <f>Liste!M428</f>
        <v>0</v>
      </c>
      <c r="AZ428" s="5" t="s">
        <v>30090</v>
      </c>
      <c r="BA428" s="4" t="s">
        <v>101</v>
      </c>
      <c r="BB428" s="4">
        <v>930</v>
      </c>
      <c r="BD428" s="35"/>
      <c r="BE428" s="35"/>
      <c r="BF428" s="2118" t="str">
        <f>Liste!R428</f>
        <v>0708161</v>
      </c>
      <c r="BG428" s="2137">
        <f>IF(AS428&gt;0,Liste!S428,0)</f>
        <v>0</v>
      </c>
      <c r="BH428" s="2118" t="str">
        <f>Liste!T428</f>
        <v>m²</v>
      </c>
    </row>
    <row r="429" spans="1:60" ht="24.95" customHeight="1" x14ac:dyDescent="0.25">
      <c r="A429" s="29"/>
      <c r="B429" s="46" t="str">
        <f>IF(Liste!O429&gt;0,Liste!O429,Liste!B429)</f>
        <v>Festfeld Verkleidungsblech vorne/hinten</v>
      </c>
      <c r="C429" s="2314"/>
      <c r="D429" s="30">
        <f>Liste!C429</f>
        <v>0</v>
      </c>
      <c r="E429" s="2314"/>
      <c r="F429" s="32">
        <f t="shared" si="36"/>
        <v>0</v>
      </c>
      <c r="G429" s="2314"/>
      <c r="H429" s="32">
        <f t="shared" si="37"/>
        <v>0</v>
      </c>
      <c r="I429" s="2314"/>
      <c r="J429" s="32">
        <f t="shared" si="38"/>
        <v>0</v>
      </c>
      <c r="K429" s="2314"/>
      <c r="L429" s="31">
        <f t="shared" si="39"/>
        <v>0</v>
      </c>
      <c r="M429" s="2314"/>
      <c r="N429" s="31">
        <f>Liste!L429</f>
        <v>0</v>
      </c>
      <c r="O429" s="31"/>
      <c r="P429" s="31"/>
      <c r="Q429" s="31">
        <f>Liste!P429</f>
        <v>0</v>
      </c>
      <c r="R429" s="31">
        <f>Liste!N429</f>
        <v>0</v>
      </c>
      <c r="S429" s="7">
        <v>0</v>
      </c>
      <c r="T429" s="7">
        <v>0</v>
      </c>
      <c r="U429" s="7">
        <v>0</v>
      </c>
      <c r="V429" s="7"/>
      <c r="W429" s="60"/>
      <c r="X429" s="60"/>
      <c r="Y429" s="60"/>
      <c r="Z429" s="7"/>
      <c r="AA429" s="7"/>
      <c r="AB429" s="60"/>
      <c r="AC429" s="60"/>
      <c r="AD429" s="60"/>
      <c r="AE429" s="7"/>
      <c r="AF429" s="7"/>
      <c r="AG429" s="7"/>
      <c r="AH429" s="7"/>
      <c r="AI429" s="7"/>
      <c r="AJ429" s="7">
        <f>Liste!X429</f>
        <v>0</v>
      </c>
      <c r="AK429" s="7">
        <f>Liste!Y429</f>
        <v>0</v>
      </c>
      <c r="AL429" s="7"/>
      <c r="AM429" s="7"/>
      <c r="AN429" s="7"/>
      <c r="AO429" s="1113">
        <f>Liste!D429</f>
        <v>0</v>
      </c>
      <c r="AP429" s="1113">
        <f>Liste!F429</f>
        <v>0</v>
      </c>
      <c r="AQ429" s="1113">
        <f>Liste!E429</f>
        <v>0</v>
      </c>
      <c r="AR429" s="1113">
        <f>Liste!G429</f>
        <v>0</v>
      </c>
      <c r="AS429" s="1112">
        <f>Liste!V429</f>
        <v>0</v>
      </c>
      <c r="AT429" s="1">
        <f>Liste!M429</f>
        <v>0</v>
      </c>
      <c r="AZ429" s="5" t="s">
        <v>30091</v>
      </c>
      <c r="BA429" s="4" t="s">
        <v>101</v>
      </c>
      <c r="BB429" s="4">
        <v>931</v>
      </c>
      <c r="BD429" s="35"/>
      <c r="BE429" s="35"/>
      <c r="BF429" s="2118">
        <f>Liste!R429</f>
        <v>0</v>
      </c>
      <c r="BG429" s="2137">
        <f>IF(AS429&gt;0,Liste!S429,0)</f>
        <v>0</v>
      </c>
      <c r="BH429" s="2118">
        <f>Liste!T429</f>
        <v>0</v>
      </c>
    </row>
    <row r="430" spans="1:60" ht="24.95" customHeight="1" x14ac:dyDescent="0.25">
      <c r="A430" s="29"/>
      <c r="B430" s="46" t="str">
        <f>IF(Liste!O430&gt;0,Liste!O430,Liste!B430)</f>
        <v>Verkleidungsblech Festfeld einteilig verzinkt</v>
      </c>
      <c r="C430" s="2314"/>
      <c r="D430" s="30" t="str">
        <f>Liste!C430</f>
        <v>0308323</v>
      </c>
      <c r="E430" s="2314"/>
      <c r="F430" s="32">
        <f t="shared" si="36"/>
        <v>0</v>
      </c>
      <c r="G430" s="2314"/>
      <c r="H430" s="32">
        <f t="shared" si="37"/>
        <v>0</v>
      </c>
      <c r="I430" s="2314"/>
      <c r="J430" s="32">
        <f t="shared" si="38"/>
        <v>0</v>
      </c>
      <c r="K430" s="2314"/>
      <c r="L430" s="31">
        <f t="shared" si="39"/>
        <v>0</v>
      </c>
      <c r="M430" s="2314"/>
      <c r="N430" s="31" t="str">
        <f>Liste!L430</f>
        <v>Stk</v>
      </c>
      <c r="O430" s="31"/>
      <c r="P430" s="31"/>
      <c r="Q430" s="31">
        <f>Liste!P430</f>
        <v>0</v>
      </c>
      <c r="R430" s="31">
        <f>Liste!N430</f>
        <v>0</v>
      </c>
      <c r="S430" s="7">
        <v>0</v>
      </c>
      <c r="T430" s="7">
        <v>0</v>
      </c>
      <c r="U430" s="7">
        <v>0</v>
      </c>
      <c r="V430" s="7"/>
      <c r="W430" s="60"/>
      <c r="X430" s="60"/>
      <c r="Y430" s="60"/>
      <c r="Z430" s="7"/>
      <c r="AA430" s="7"/>
      <c r="AB430" s="60"/>
      <c r="AC430" s="60"/>
      <c r="AD430" s="60"/>
      <c r="AE430" s="7"/>
      <c r="AF430" s="7"/>
      <c r="AG430" s="7"/>
      <c r="AH430" s="7"/>
      <c r="AI430" s="7"/>
      <c r="AJ430" s="7">
        <f>Liste!X430</f>
        <v>0</v>
      </c>
      <c r="AK430" s="7">
        <f>Liste!Y430</f>
        <v>1</v>
      </c>
      <c r="AL430" s="7"/>
      <c r="AM430" s="7"/>
      <c r="AN430" s="7"/>
      <c r="AO430" s="1113">
        <f>Liste!D430</f>
        <v>0</v>
      </c>
      <c r="AP430" s="1113">
        <f>Liste!F430</f>
        <v>1100</v>
      </c>
      <c r="AQ430" s="1113">
        <f>Liste!E430</f>
        <v>379.03</v>
      </c>
      <c r="AR430" s="1113">
        <f>Liste!G430</f>
        <v>0.75</v>
      </c>
      <c r="AS430" s="1112">
        <f>Liste!V430</f>
        <v>1</v>
      </c>
      <c r="AT430" s="1" t="str">
        <f>Liste!M430</f>
        <v>Stahlblech verz.</v>
      </c>
      <c r="AZ430" s="5" t="s">
        <v>30092</v>
      </c>
      <c r="BA430" s="4" t="s">
        <v>101</v>
      </c>
      <c r="BB430" s="4">
        <v>932</v>
      </c>
      <c r="BD430" s="35"/>
      <c r="BE430" s="35"/>
      <c r="BF430" s="2118" t="str">
        <f>Liste!R430</f>
        <v>0701446</v>
      </c>
      <c r="BG430" s="2137">
        <f>IF(AS430&gt;0,Liste!S430,0)</f>
        <v>0</v>
      </c>
      <c r="BH430" s="2118" t="str">
        <f>Liste!T430</f>
        <v>m²</v>
      </c>
    </row>
    <row r="431" spans="1:60" ht="24.95" customHeight="1" x14ac:dyDescent="0.25">
      <c r="A431" s="29"/>
      <c r="B431" s="46" t="str">
        <f>IF(Liste!O431&gt;0,Liste!O431,Liste!B431)</f>
        <v>Verkleidungsblech Festfeld einteilig V2A</v>
      </c>
      <c r="C431" s="2314"/>
      <c r="D431" s="30" t="str">
        <f>Liste!C431</f>
        <v>0338323</v>
      </c>
      <c r="E431" s="2314"/>
      <c r="F431" s="32">
        <f t="shared" si="36"/>
        <v>0</v>
      </c>
      <c r="G431" s="2314"/>
      <c r="H431" s="32">
        <f t="shared" si="37"/>
        <v>0</v>
      </c>
      <c r="I431" s="2314"/>
      <c r="J431" s="32">
        <f t="shared" si="38"/>
        <v>0</v>
      </c>
      <c r="K431" s="2314"/>
      <c r="L431" s="31">
        <f t="shared" si="39"/>
        <v>0</v>
      </c>
      <c r="M431" s="2314"/>
      <c r="N431" s="31" t="str">
        <f>Liste!L431</f>
        <v>Stk</v>
      </c>
      <c r="O431" s="31"/>
      <c r="P431" s="31"/>
      <c r="Q431" s="31">
        <f>Liste!P431</f>
        <v>0</v>
      </c>
      <c r="R431" s="31">
        <f>Liste!N431</f>
        <v>0</v>
      </c>
      <c r="S431" s="7">
        <v>0</v>
      </c>
      <c r="T431" s="7">
        <v>0</v>
      </c>
      <c r="U431" s="7">
        <v>0</v>
      </c>
      <c r="V431" s="7"/>
      <c r="W431" s="60"/>
      <c r="X431" s="60"/>
      <c r="Y431" s="60"/>
      <c r="Z431" s="7"/>
      <c r="AA431" s="7"/>
      <c r="AB431" s="60"/>
      <c r="AC431" s="60"/>
      <c r="AD431" s="60"/>
      <c r="AE431" s="7"/>
      <c r="AF431" s="7"/>
      <c r="AG431" s="7"/>
      <c r="AH431" s="7"/>
      <c r="AI431" s="7"/>
      <c r="AJ431" s="7">
        <f>Liste!X431</f>
        <v>0</v>
      </c>
      <c r="AK431" s="7">
        <f>Liste!Y431</f>
        <v>1</v>
      </c>
      <c r="AL431" s="7"/>
      <c r="AM431" s="7"/>
      <c r="AN431" s="7"/>
      <c r="AO431" s="1113">
        <f>Liste!D431</f>
        <v>0</v>
      </c>
      <c r="AP431" s="1113">
        <f>Liste!F431</f>
        <v>1100</v>
      </c>
      <c r="AQ431" s="1113">
        <f>Liste!E431</f>
        <v>378.82</v>
      </c>
      <c r="AR431" s="1113">
        <f>Liste!G431</f>
        <v>0.8</v>
      </c>
      <c r="AS431" s="1112">
        <f>Liste!V431</f>
        <v>1</v>
      </c>
      <c r="AT431" s="1" t="str">
        <f>Liste!M431</f>
        <v>V2A</v>
      </c>
      <c r="AZ431" s="5" t="s">
        <v>30093</v>
      </c>
      <c r="BA431" s="4" t="s">
        <v>101</v>
      </c>
      <c r="BB431" s="4">
        <v>933</v>
      </c>
      <c r="BD431" s="35"/>
      <c r="BE431" s="35"/>
      <c r="BF431" s="2118" t="str">
        <f>Liste!R431</f>
        <v>0701478</v>
      </c>
      <c r="BG431" s="2137">
        <f>IF(AS431&gt;0,Liste!S431,0)</f>
        <v>0</v>
      </c>
      <c r="BH431" s="2118" t="str">
        <f>Liste!T431</f>
        <v>m²</v>
      </c>
    </row>
    <row r="432" spans="1:60" ht="24.95" customHeight="1" x14ac:dyDescent="0.25">
      <c r="A432" s="29"/>
      <c r="B432" s="46" t="str">
        <f>IF(Liste!O432&gt;0,Liste!O432,Liste!B432)</f>
        <v>Verkleidungsblech Festfeld mehrteilig links verzinkt</v>
      </c>
      <c r="C432" s="2314"/>
      <c r="D432" s="30" t="str">
        <f>Liste!C432</f>
        <v>0308324</v>
      </c>
      <c r="E432" s="2314"/>
      <c r="F432" s="32">
        <f t="shared" si="36"/>
        <v>0</v>
      </c>
      <c r="G432" s="2314"/>
      <c r="H432" s="32">
        <f t="shared" si="37"/>
        <v>0</v>
      </c>
      <c r="I432" s="2314"/>
      <c r="J432" s="32">
        <f t="shared" si="38"/>
        <v>0</v>
      </c>
      <c r="K432" s="2314"/>
      <c r="L432" s="31">
        <f t="shared" si="39"/>
        <v>0</v>
      </c>
      <c r="M432" s="2314"/>
      <c r="N432" s="31" t="str">
        <f>Liste!L432</f>
        <v>Stk</v>
      </c>
      <c r="O432" s="31"/>
      <c r="P432" s="31"/>
      <c r="Q432" s="31">
        <f>Liste!P432</f>
        <v>0</v>
      </c>
      <c r="R432" s="31">
        <f>Liste!N432</f>
        <v>0</v>
      </c>
      <c r="S432" s="7">
        <v>0</v>
      </c>
      <c r="T432" s="7">
        <v>0</v>
      </c>
      <c r="U432" s="7">
        <v>0</v>
      </c>
      <c r="V432" s="7"/>
      <c r="W432" s="60"/>
      <c r="X432" s="60"/>
      <c r="Y432" s="60"/>
      <c r="Z432" s="7"/>
      <c r="AA432" s="7"/>
      <c r="AB432" s="60"/>
      <c r="AC432" s="60"/>
      <c r="AD432" s="60"/>
      <c r="AE432" s="7"/>
      <c r="AF432" s="7"/>
      <c r="AG432" s="7"/>
      <c r="AH432" s="7"/>
      <c r="AI432" s="7"/>
      <c r="AJ432" s="7">
        <f>Liste!X432</f>
        <v>0</v>
      </c>
      <c r="AK432" s="7">
        <f>Liste!Y432</f>
        <v>1</v>
      </c>
      <c r="AL432" s="7"/>
      <c r="AM432" s="7"/>
      <c r="AN432" s="7"/>
      <c r="AO432" s="1113">
        <f>Liste!D432</f>
        <v>0</v>
      </c>
      <c r="AP432" s="1113">
        <f>Liste!F432</f>
        <v>1100</v>
      </c>
      <c r="AQ432" s="1113">
        <f>Liste!E432</f>
        <v>379.03</v>
      </c>
      <c r="AR432" s="1113">
        <f>Liste!G432</f>
        <v>0.75</v>
      </c>
      <c r="AS432" s="1112">
        <f>Liste!V432</f>
        <v>1</v>
      </c>
      <c r="AT432" s="1" t="str">
        <f>Liste!M432</f>
        <v>Stahlblech verz.</v>
      </c>
      <c r="AZ432" s="5" t="s">
        <v>30094</v>
      </c>
      <c r="BA432" s="4" t="s">
        <v>101</v>
      </c>
      <c r="BB432" s="4">
        <v>934</v>
      </c>
      <c r="BD432" s="35"/>
      <c r="BE432" s="35"/>
      <c r="BF432" s="2118" t="str">
        <f>Liste!R432</f>
        <v>0701446</v>
      </c>
      <c r="BG432" s="2137">
        <f>IF(AS432&gt;0,Liste!S432,0)</f>
        <v>0</v>
      </c>
      <c r="BH432" s="2118" t="str">
        <f>Liste!T432</f>
        <v>m²</v>
      </c>
    </row>
    <row r="433" spans="1:60" ht="24.95" customHeight="1" x14ac:dyDescent="0.25">
      <c r="A433" s="29"/>
      <c r="B433" s="46" t="str">
        <f>IF(Liste!O433&gt;0,Liste!O433,Liste!B433)</f>
        <v>Verkleidungsblech Festfeld mehrteilig links V2A</v>
      </c>
      <c r="C433" s="2314"/>
      <c r="D433" s="30" t="str">
        <f>Liste!C433</f>
        <v>0338324</v>
      </c>
      <c r="E433" s="2314"/>
      <c r="F433" s="32">
        <f t="shared" si="36"/>
        <v>0</v>
      </c>
      <c r="G433" s="2314"/>
      <c r="H433" s="32">
        <f t="shared" si="37"/>
        <v>0</v>
      </c>
      <c r="I433" s="2314"/>
      <c r="J433" s="32">
        <f t="shared" si="38"/>
        <v>0</v>
      </c>
      <c r="K433" s="2314"/>
      <c r="L433" s="31">
        <f t="shared" si="39"/>
        <v>0</v>
      </c>
      <c r="M433" s="2314"/>
      <c r="N433" s="31" t="str">
        <f>Liste!L433</f>
        <v>Stk</v>
      </c>
      <c r="O433" s="31"/>
      <c r="P433" s="31"/>
      <c r="Q433" s="31">
        <f>Liste!P433</f>
        <v>0</v>
      </c>
      <c r="R433" s="31">
        <f>Liste!N433</f>
        <v>0</v>
      </c>
      <c r="S433" s="7">
        <v>0</v>
      </c>
      <c r="T433" s="7">
        <v>0</v>
      </c>
      <c r="U433" s="7">
        <v>0</v>
      </c>
      <c r="V433" s="7"/>
      <c r="W433" s="60"/>
      <c r="X433" s="60"/>
      <c r="Y433" s="60"/>
      <c r="Z433" s="7"/>
      <c r="AA433" s="7"/>
      <c r="AB433" s="60"/>
      <c r="AC433" s="60"/>
      <c r="AD433" s="60"/>
      <c r="AE433" s="7"/>
      <c r="AF433" s="7"/>
      <c r="AG433" s="7"/>
      <c r="AH433" s="7"/>
      <c r="AI433" s="7"/>
      <c r="AJ433" s="7">
        <f>Liste!X433</f>
        <v>0</v>
      </c>
      <c r="AK433" s="7">
        <f>Liste!Y433</f>
        <v>1</v>
      </c>
      <c r="AL433" s="7"/>
      <c r="AM433" s="7"/>
      <c r="AN433" s="7"/>
      <c r="AO433" s="1113">
        <f>Liste!D433</f>
        <v>0</v>
      </c>
      <c r="AP433" s="1113">
        <f>Liste!F433</f>
        <v>1100</v>
      </c>
      <c r="AQ433" s="1113">
        <f>Liste!E433</f>
        <v>378.82</v>
      </c>
      <c r="AR433" s="1113">
        <f>Liste!G433</f>
        <v>0.8</v>
      </c>
      <c r="AS433" s="1112">
        <f>Liste!V433</f>
        <v>1</v>
      </c>
      <c r="AT433" s="1" t="str">
        <f>Liste!M433</f>
        <v>V2A</v>
      </c>
      <c r="AZ433" s="5" t="s">
        <v>30095</v>
      </c>
      <c r="BA433" s="4" t="s">
        <v>101</v>
      </c>
      <c r="BB433" s="4">
        <v>935</v>
      </c>
      <c r="BD433" s="35"/>
      <c r="BE433" s="35"/>
      <c r="BF433" s="2118" t="str">
        <f>Liste!R433</f>
        <v>0701478</v>
      </c>
      <c r="BG433" s="2137">
        <f>IF(AS433&gt;0,Liste!S433,0)</f>
        <v>0</v>
      </c>
      <c r="BH433" s="2118" t="str">
        <f>Liste!T433</f>
        <v>m²</v>
      </c>
    </row>
    <row r="434" spans="1:60" ht="24.95" customHeight="1" x14ac:dyDescent="0.25">
      <c r="A434" s="29"/>
      <c r="B434" s="46" t="str">
        <f>IF(Liste!O434&gt;0,Liste!O434,Liste!B434)</f>
        <v>Verkleidungsblech Festfeld mehrteilig rechts verzinkt</v>
      </c>
      <c r="C434" s="2314"/>
      <c r="D434" s="30" t="str">
        <f>Liste!C434</f>
        <v>0308325</v>
      </c>
      <c r="E434" s="2314"/>
      <c r="F434" s="32">
        <f t="shared" si="36"/>
        <v>0</v>
      </c>
      <c r="G434" s="2314"/>
      <c r="H434" s="32">
        <f t="shared" si="37"/>
        <v>0</v>
      </c>
      <c r="I434" s="2314"/>
      <c r="J434" s="32">
        <f t="shared" si="38"/>
        <v>0</v>
      </c>
      <c r="K434" s="2314"/>
      <c r="L434" s="31">
        <f t="shared" si="39"/>
        <v>0</v>
      </c>
      <c r="M434" s="2314"/>
      <c r="N434" s="31" t="str">
        <f>Liste!L434</f>
        <v>Stk</v>
      </c>
      <c r="O434" s="31"/>
      <c r="P434" s="31"/>
      <c r="Q434" s="31">
        <f>Liste!P434</f>
        <v>0</v>
      </c>
      <c r="R434" s="31">
        <f>Liste!N434</f>
        <v>0</v>
      </c>
      <c r="S434" s="7">
        <v>0</v>
      </c>
      <c r="T434" s="7">
        <v>0</v>
      </c>
      <c r="U434" s="7">
        <v>0</v>
      </c>
      <c r="V434" s="7"/>
      <c r="W434" s="60"/>
      <c r="X434" s="60"/>
      <c r="Y434" s="60"/>
      <c r="Z434" s="7"/>
      <c r="AA434" s="7"/>
      <c r="AB434" s="60"/>
      <c r="AC434" s="60"/>
      <c r="AD434" s="60"/>
      <c r="AE434" s="7"/>
      <c r="AF434" s="7"/>
      <c r="AG434" s="7"/>
      <c r="AH434" s="7"/>
      <c r="AI434" s="7"/>
      <c r="AJ434" s="7">
        <f>Liste!X434</f>
        <v>0</v>
      </c>
      <c r="AK434" s="7">
        <f>Liste!Y434</f>
        <v>1</v>
      </c>
      <c r="AL434" s="7"/>
      <c r="AM434" s="7"/>
      <c r="AN434" s="7"/>
      <c r="AO434" s="1113">
        <f>Liste!D434</f>
        <v>0</v>
      </c>
      <c r="AP434" s="1113">
        <f>Liste!F434</f>
        <v>0</v>
      </c>
      <c r="AQ434" s="1113">
        <f>Liste!E434</f>
        <v>379.03</v>
      </c>
      <c r="AR434" s="1113">
        <f>Liste!G434</f>
        <v>0.75</v>
      </c>
      <c r="AS434" s="1112">
        <f>Liste!V434</f>
        <v>1</v>
      </c>
      <c r="AT434" s="1" t="str">
        <f>Liste!M434</f>
        <v>Stahlblech verz.</v>
      </c>
      <c r="AZ434" s="5" t="s">
        <v>30096</v>
      </c>
      <c r="BA434" s="4" t="s">
        <v>101</v>
      </c>
      <c r="BB434" s="4">
        <v>936</v>
      </c>
      <c r="BD434" s="35"/>
      <c r="BE434" s="35"/>
      <c r="BF434" s="2118" t="str">
        <f>Liste!R434</f>
        <v>0701446</v>
      </c>
      <c r="BG434" s="2137">
        <f>IF(AS434&gt;0,Liste!S434,0)</f>
        <v>0</v>
      </c>
      <c r="BH434" s="2118" t="str">
        <f>Liste!T434</f>
        <v>m²</v>
      </c>
    </row>
    <row r="435" spans="1:60" ht="24.95" customHeight="1" x14ac:dyDescent="0.25">
      <c r="A435" s="29"/>
      <c r="B435" s="46" t="str">
        <f>IF(Liste!O435&gt;0,Liste!O435,Liste!B435)</f>
        <v>Verkleidungsblech Festfeld mehrteilig rechts V2A</v>
      </c>
      <c r="C435" s="2314"/>
      <c r="D435" s="30" t="str">
        <f>Liste!C435</f>
        <v>0338325</v>
      </c>
      <c r="E435" s="2314"/>
      <c r="F435" s="32">
        <f t="shared" si="36"/>
        <v>0</v>
      </c>
      <c r="G435" s="2314"/>
      <c r="H435" s="32">
        <f t="shared" si="37"/>
        <v>0</v>
      </c>
      <c r="I435" s="2314"/>
      <c r="J435" s="32">
        <f t="shared" si="38"/>
        <v>0</v>
      </c>
      <c r="K435" s="2314"/>
      <c r="L435" s="31">
        <f t="shared" si="39"/>
        <v>0</v>
      </c>
      <c r="M435" s="2314"/>
      <c r="N435" s="31" t="str">
        <f>Liste!L435</f>
        <v>Stk</v>
      </c>
      <c r="O435" s="31"/>
      <c r="P435" s="31"/>
      <c r="Q435" s="31">
        <f>Liste!P435</f>
        <v>0</v>
      </c>
      <c r="R435" s="31">
        <f>Liste!N435</f>
        <v>0</v>
      </c>
      <c r="S435" s="7">
        <v>0</v>
      </c>
      <c r="T435" s="7">
        <v>0</v>
      </c>
      <c r="U435" s="7">
        <v>0</v>
      </c>
      <c r="V435" s="7"/>
      <c r="W435" s="60"/>
      <c r="X435" s="60"/>
      <c r="Y435" s="60"/>
      <c r="Z435" s="7"/>
      <c r="AA435" s="7"/>
      <c r="AB435" s="60"/>
      <c r="AC435" s="60"/>
      <c r="AD435" s="60"/>
      <c r="AE435" s="7"/>
      <c r="AF435" s="7"/>
      <c r="AG435" s="7"/>
      <c r="AH435" s="7"/>
      <c r="AI435" s="7"/>
      <c r="AJ435" s="7">
        <f>Liste!X435</f>
        <v>0</v>
      </c>
      <c r="AK435" s="7">
        <f>Liste!Y435</f>
        <v>1</v>
      </c>
      <c r="AL435" s="7"/>
      <c r="AM435" s="7"/>
      <c r="AN435" s="7"/>
      <c r="AO435" s="1113">
        <f>Liste!D435</f>
        <v>0</v>
      </c>
      <c r="AP435" s="1113">
        <f>Liste!F435</f>
        <v>0</v>
      </c>
      <c r="AQ435" s="1113">
        <f>Liste!E435</f>
        <v>378.82</v>
      </c>
      <c r="AR435" s="1113">
        <f>Liste!G435</f>
        <v>0.8</v>
      </c>
      <c r="AS435" s="1112">
        <f>Liste!V435</f>
        <v>1</v>
      </c>
      <c r="AT435" s="1" t="str">
        <f>Liste!M435</f>
        <v>V2A</v>
      </c>
      <c r="AZ435" s="5" t="s">
        <v>30097</v>
      </c>
      <c r="BA435" s="4" t="s">
        <v>101</v>
      </c>
      <c r="BB435" s="4">
        <v>937</v>
      </c>
      <c r="BD435" s="35"/>
      <c r="BE435" s="35"/>
      <c r="BF435" s="2118" t="str">
        <f>Liste!R435</f>
        <v>0701478</v>
      </c>
      <c r="BG435" s="2137">
        <f>IF(AS435&gt;0,Liste!S435,0)</f>
        <v>0</v>
      </c>
      <c r="BH435" s="2118" t="str">
        <f>Liste!T435</f>
        <v>m²</v>
      </c>
    </row>
    <row r="436" spans="1:60" ht="24.95" customHeight="1" x14ac:dyDescent="0.25">
      <c r="A436" s="29"/>
      <c r="B436" s="46" t="str">
        <f>IF(Liste!O436&gt;0,Liste!O436,Liste!B436)</f>
        <v>Festfeld Verkleidungsblech unten</v>
      </c>
      <c r="C436" s="2314"/>
      <c r="D436" s="30">
        <f>Liste!C436</f>
        <v>0</v>
      </c>
      <c r="E436" s="2314"/>
      <c r="F436" s="32">
        <f t="shared" si="36"/>
        <v>0</v>
      </c>
      <c r="G436" s="2314"/>
      <c r="H436" s="32">
        <f t="shared" si="37"/>
        <v>0</v>
      </c>
      <c r="I436" s="2314"/>
      <c r="J436" s="32">
        <f t="shared" si="38"/>
        <v>0</v>
      </c>
      <c r="K436" s="2314"/>
      <c r="L436" s="31">
        <f t="shared" si="39"/>
        <v>0</v>
      </c>
      <c r="M436" s="2314"/>
      <c r="N436" s="31">
        <f>Liste!L436</f>
        <v>0</v>
      </c>
      <c r="O436" s="31"/>
      <c r="P436" s="31"/>
      <c r="Q436" s="31">
        <f>Liste!P436</f>
        <v>0</v>
      </c>
      <c r="R436" s="31">
        <f>Liste!N436</f>
        <v>0</v>
      </c>
      <c r="S436" s="7">
        <v>0</v>
      </c>
      <c r="T436" s="7">
        <v>0</v>
      </c>
      <c r="U436" s="7">
        <v>0</v>
      </c>
      <c r="V436" s="7"/>
      <c r="W436" s="60"/>
      <c r="X436" s="60"/>
      <c r="Y436" s="60"/>
      <c r="Z436" s="7"/>
      <c r="AA436" s="7"/>
      <c r="AB436" s="60"/>
      <c r="AC436" s="60"/>
      <c r="AD436" s="60"/>
      <c r="AE436" s="7"/>
      <c r="AF436" s="7"/>
      <c r="AG436" s="7"/>
      <c r="AH436" s="7"/>
      <c r="AI436" s="7"/>
      <c r="AJ436" s="7">
        <f>Liste!X436</f>
        <v>0</v>
      </c>
      <c r="AK436" s="7">
        <f>Liste!Y436</f>
        <v>0</v>
      </c>
      <c r="AL436" s="7"/>
      <c r="AM436" s="7"/>
      <c r="AN436" s="7"/>
      <c r="AO436" s="1113">
        <f>Liste!D436</f>
        <v>0</v>
      </c>
      <c r="AP436" s="1113">
        <f>Liste!F436</f>
        <v>0</v>
      </c>
      <c r="AQ436" s="1113">
        <f>Liste!E436</f>
        <v>0</v>
      </c>
      <c r="AR436" s="1113">
        <f>Liste!G436</f>
        <v>0</v>
      </c>
      <c r="AS436" s="1112">
        <f>Liste!V436</f>
        <v>0</v>
      </c>
      <c r="AT436" s="1">
        <f>Liste!M436</f>
        <v>0</v>
      </c>
      <c r="AZ436" s="5" t="s">
        <v>30098</v>
      </c>
      <c r="BA436" s="4" t="s">
        <v>101</v>
      </c>
      <c r="BB436" s="4">
        <v>938</v>
      </c>
      <c r="BD436" s="35"/>
      <c r="BE436" s="35"/>
      <c r="BF436" s="2118">
        <f>Liste!R436</f>
        <v>0</v>
      </c>
      <c r="BG436" s="2137">
        <f>IF(AS436&gt;0,Liste!S436,0)</f>
        <v>0</v>
      </c>
      <c r="BH436" s="2118">
        <f>Liste!T436</f>
        <v>0</v>
      </c>
    </row>
    <row r="437" spans="1:60" ht="24.95" customHeight="1" x14ac:dyDescent="0.25">
      <c r="A437" s="29"/>
      <c r="B437" s="46" t="str">
        <f>IF(Liste!O437&gt;0,Liste!O437,Liste!B437)</f>
        <v>Verkleidungsblech Festfeld einteilig verzinkt</v>
      </c>
      <c r="C437" s="2314"/>
      <c r="D437" s="30" t="str">
        <f>Liste!C437</f>
        <v>0308323</v>
      </c>
      <c r="E437" s="2314"/>
      <c r="F437" s="32">
        <f t="shared" si="36"/>
        <v>0</v>
      </c>
      <c r="G437" s="2314"/>
      <c r="H437" s="32">
        <f t="shared" si="37"/>
        <v>0</v>
      </c>
      <c r="I437" s="2314"/>
      <c r="J437" s="32">
        <f t="shared" si="38"/>
        <v>0</v>
      </c>
      <c r="K437" s="2314"/>
      <c r="L437" s="31">
        <f t="shared" si="39"/>
        <v>0</v>
      </c>
      <c r="M437" s="2314"/>
      <c r="N437" s="31" t="str">
        <f>Liste!L437</f>
        <v>Stk</v>
      </c>
      <c r="O437" s="31"/>
      <c r="P437" s="31"/>
      <c r="Q437" s="31">
        <f>Liste!P437</f>
        <v>0</v>
      </c>
      <c r="R437" s="31">
        <f>Liste!N437</f>
        <v>0</v>
      </c>
      <c r="S437" s="7">
        <v>0</v>
      </c>
      <c r="T437" s="7">
        <v>0</v>
      </c>
      <c r="U437" s="7">
        <v>0</v>
      </c>
      <c r="V437" s="7"/>
      <c r="W437" s="60"/>
      <c r="X437" s="60"/>
      <c r="Y437" s="60"/>
      <c r="Z437" s="7"/>
      <c r="AA437" s="7"/>
      <c r="AB437" s="60"/>
      <c r="AC437" s="60"/>
      <c r="AD437" s="60"/>
      <c r="AE437" s="7"/>
      <c r="AF437" s="7"/>
      <c r="AG437" s="7"/>
      <c r="AH437" s="7"/>
      <c r="AI437" s="7"/>
      <c r="AJ437" s="7">
        <f>Liste!X437</f>
        <v>0</v>
      </c>
      <c r="AK437" s="7">
        <f>Liste!Y437</f>
        <v>1</v>
      </c>
      <c r="AL437" s="7"/>
      <c r="AM437" s="7"/>
      <c r="AN437" s="7"/>
      <c r="AO437" s="1113">
        <f>Liste!D437</f>
        <v>0</v>
      </c>
      <c r="AP437" s="1113">
        <f>Liste!F437</f>
        <v>1100</v>
      </c>
      <c r="AQ437" s="1113">
        <f>Liste!E437</f>
        <v>209.03</v>
      </c>
      <c r="AR437" s="1113">
        <f>Liste!G437</f>
        <v>0.75</v>
      </c>
      <c r="AS437" s="1112">
        <f>Liste!V437</f>
        <v>1</v>
      </c>
      <c r="AT437" s="1" t="str">
        <f>Liste!M437</f>
        <v>Stahlblech verz.</v>
      </c>
      <c r="AZ437" s="5" t="s">
        <v>30099</v>
      </c>
      <c r="BA437" s="4" t="s">
        <v>101</v>
      </c>
      <c r="BB437" s="4">
        <v>939</v>
      </c>
      <c r="BD437" s="35"/>
      <c r="BE437" s="35"/>
      <c r="BF437" s="2118" t="str">
        <f>Liste!R437</f>
        <v>0701446</v>
      </c>
      <c r="BG437" s="2137">
        <f>IF(AS437&gt;0,Liste!S437,0)</f>
        <v>0</v>
      </c>
      <c r="BH437" s="2118" t="str">
        <f>Liste!T437</f>
        <v>m²</v>
      </c>
    </row>
    <row r="438" spans="1:60" ht="24.95" customHeight="1" x14ac:dyDescent="0.25">
      <c r="A438" s="29"/>
      <c r="B438" s="46" t="str">
        <f>IF(Liste!O438&gt;0,Liste!O438,Liste!B438)</f>
        <v>Verkleidungsblech Festfeld einteilig V2A</v>
      </c>
      <c r="C438" s="2314"/>
      <c r="D438" s="30" t="str">
        <f>Liste!C438</f>
        <v>0338323</v>
      </c>
      <c r="E438" s="2314"/>
      <c r="F438" s="32">
        <f t="shared" si="36"/>
        <v>0</v>
      </c>
      <c r="G438" s="2314"/>
      <c r="H438" s="32">
        <f t="shared" si="37"/>
        <v>0</v>
      </c>
      <c r="I438" s="2314"/>
      <c r="J438" s="32">
        <f t="shared" si="38"/>
        <v>0</v>
      </c>
      <c r="K438" s="2314"/>
      <c r="L438" s="31">
        <f t="shared" si="39"/>
        <v>0</v>
      </c>
      <c r="M438" s="2314"/>
      <c r="N438" s="31" t="str">
        <f>Liste!L438</f>
        <v>Stk</v>
      </c>
      <c r="O438" s="31"/>
      <c r="P438" s="31"/>
      <c r="Q438" s="31">
        <f>Liste!P438</f>
        <v>0</v>
      </c>
      <c r="R438" s="31">
        <f>Liste!N438</f>
        <v>0</v>
      </c>
      <c r="S438" s="7">
        <v>0</v>
      </c>
      <c r="T438" s="7">
        <v>0</v>
      </c>
      <c r="U438" s="7">
        <v>0</v>
      </c>
      <c r="V438" s="7"/>
      <c r="W438" s="60"/>
      <c r="X438" s="60"/>
      <c r="Y438" s="60"/>
      <c r="Z438" s="7"/>
      <c r="AA438" s="7"/>
      <c r="AB438" s="60"/>
      <c r="AC438" s="60"/>
      <c r="AD438" s="60"/>
      <c r="AE438" s="7"/>
      <c r="AF438" s="7"/>
      <c r="AG438" s="7"/>
      <c r="AH438" s="7"/>
      <c r="AI438" s="7"/>
      <c r="AJ438" s="7">
        <f>Liste!X438</f>
        <v>0</v>
      </c>
      <c r="AK438" s="7">
        <f>Liste!Y438</f>
        <v>1</v>
      </c>
      <c r="AL438" s="7"/>
      <c r="AM438" s="7"/>
      <c r="AN438" s="7"/>
      <c r="AO438" s="1113">
        <f>Liste!D438</f>
        <v>0</v>
      </c>
      <c r="AP438" s="1113">
        <f>Liste!F438</f>
        <v>1100</v>
      </c>
      <c r="AQ438" s="1113">
        <f>Liste!E438</f>
        <v>208.82000000000002</v>
      </c>
      <c r="AR438" s="1113">
        <f>Liste!G438</f>
        <v>0.8</v>
      </c>
      <c r="AS438" s="1112">
        <f>Liste!V438</f>
        <v>1</v>
      </c>
      <c r="AT438" s="1" t="str">
        <f>Liste!M438</f>
        <v>V2A</v>
      </c>
      <c r="AZ438" s="5" t="s">
        <v>30100</v>
      </c>
      <c r="BA438" s="4" t="s">
        <v>101</v>
      </c>
      <c r="BB438" s="4">
        <v>940</v>
      </c>
      <c r="BD438" s="35"/>
      <c r="BE438" s="35"/>
      <c r="BF438" s="2118" t="str">
        <f>Liste!R438</f>
        <v>0701478</v>
      </c>
      <c r="BG438" s="2137">
        <f>IF(AS438&gt;0,Liste!S438,0)</f>
        <v>0</v>
      </c>
      <c r="BH438" s="2118" t="str">
        <f>Liste!T438</f>
        <v>m²</v>
      </c>
    </row>
    <row r="439" spans="1:60" ht="24.95" customHeight="1" x14ac:dyDescent="0.25">
      <c r="A439" s="29"/>
      <c r="B439" s="46" t="str">
        <f>IF(Liste!O439&gt;0,Liste!O439,Liste!B439)</f>
        <v>Verkleidungsblech Festfeld mehrteilig links verzinkt</v>
      </c>
      <c r="C439" s="2314"/>
      <c r="D439" s="30" t="str">
        <f>Liste!C439</f>
        <v>0308324</v>
      </c>
      <c r="E439" s="2314"/>
      <c r="F439" s="32">
        <f t="shared" si="36"/>
        <v>0</v>
      </c>
      <c r="G439" s="2314"/>
      <c r="H439" s="32">
        <f t="shared" si="37"/>
        <v>0</v>
      </c>
      <c r="I439" s="2314"/>
      <c r="J439" s="32">
        <f t="shared" si="38"/>
        <v>0</v>
      </c>
      <c r="K439" s="2314"/>
      <c r="L439" s="31">
        <f t="shared" si="39"/>
        <v>0</v>
      </c>
      <c r="M439" s="2314"/>
      <c r="N439" s="31" t="str">
        <f>Liste!L439</f>
        <v>Stk</v>
      </c>
      <c r="O439" s="31"/>
      <c r="P439" s="31"/>
      <c r="Q439" s="31">
        <f>Liste!P439</f>
        <v>0</v>
      </c>
      <c r="R439" s="31">
        <f>Liste!N439</f>
        <v>0</v>
      </c>
      <c r="S439" s="7">
        <v>0</v>
      </c>
      <c r="T439" s="7">
        <v>0</v>
      </c>
      <c r="U439" s="7">
        <v>0</v>
      </c>
      <c r="V439" s="7"/>
      <c r="W439" s="60"/>
      <c r="X439" s="60"/>
      <c r="Y439" s="60"/>
      <c r="Z439" s="7"/>
      <c r="AA439" s="7"/>
      <c r="AB439" s="60"/>
      <c r="AC439" s="60"/>
      <c r="AD439" s="60"/>
      <c r="AE439" s="7"/>
      <c r="AF439" s="7"/>
      <c r="AG439" s="7"/>
      <c r="AH439" s="7"/>
      <c r="AI439" s="7"/>
      <c r="AJ439" s="7">
        <f>Liste!X439</f>
        <v>0</v>
      </c>
      <c r="AK439" s="7">
        <f>Liste!Y439</f>
        <v>1</v>
      </c>
      <c r="AL439" s="7"/>
      <c r="AM439" s="7"/>
      <c r="AN439" s="7"/>
      <c r="AO439" s="1113">
        <f>Liste!D439</f>
        <v>0</v>
      </c>
      <c r="AP439" s="1113">
        <f>Liste!F439</f>
        <v>1100</v>
      </c>
      <c r="AQ439" s="1113">
        <f>Liste!E439</f>
        <v>209.03</v>
      </c>
      <c r="AR439" s="1113">
        <f>Liste!G439</f>
        <v>0.75</v>
      </c>
      <c r="AS439" s="1112">
        <f>Liste!V439</f>
        <v>1</v>
      </c>
      <c r="AT439" s="1" t="str">
        <f>Liste!M439</f>
        <v>Stahlblech verz.</v>
      </c>
      <c r="AZ439" s="5" t="s">
        <v>30101</v>
      </c>
      <c r="BA439" s="4" t="s">
        <v>101</v>
      </c>
      <c r="BB439" s="4">
        <v>941</v>
      </c>
      <c r="BD439" s="35"/>
      <c r="BE439" s="35"/>
      <c r="BF439" s="2118" t="str">
        <f>Liste!R439</f>
        <v>0701446</v>
      </c>
      <c r="BG439" s="2137">
        <f>IF(AS439&gt;0,Liste!S439,0)</f>
        <v>0</v>
      </c>
      <c r="BH439" s="2118" t="str">
        <f>Liste!T439</f>
        <v>m²</v>
      </c>
    </row>
    <row r="440" spans="1:60" ht="24.95" customHeight="1" x14ac:dyDescent="0.25">
      <c r="A440" s="29"/>
      <c r="B440" s="46" t="str">
        <f>IF(Liste!O440&gt;0,Liste!O440,Liste!B440)</f>
        <v>Verkleidungsblech Festfeld mehrteilig links V2A</v>
      </c>
      <c r="C440" s="2314"/>
      <c r="D440" s="30" t="str">
        <f>Liste!C440</f>
        <v>0338324</v>
      </c>
      <c r="E440" s="2314"/>
      <c r="F440" s="32">
        <f t="shared" si="36"/>
        <v>0</v>
      </c>
      <c r="G440" s="2314"/>
      <c r="H440" s="32">
        <f t="shared" si="37"/>
        <v>0</v>
      </c>
      <c r="I440" s="2314"/>
      <c r="J440" s="32">
        <f t="shared" si="38"/>
        <v>0</v>
      </c>
      <c r="K440" s="2314"/>
      <c r="L440" s="31">
        <f t="shared" si="39"/>
        <v>0</v>
      </c>
      <c r="M440" s="2314"/>
      <c r="N440" s="31" t="str">
        <f>Liste!L440</f>
        <v>Stk</v>
      </c>
      <c r="O440" s="31"/>
      <c r="P440" s="31"/>
      <c r="Q440" s="31">
        <f>Liste!P440</f>
        <v>0</v>
      </c>
      <c r="R440" s="31">
        <f>Liste!N440</f>
        <v>0</v>
      </c>
      <c r="S440" s="7">
        <v>0</v>
      </c>
      <c r="T440" s="7">
        <v>0</v>
      </c>
      <c r="U440" s="7">
        <v>0</v>
      </c>
      <c r="V440" s="7"/>
      <c r="W440" s="60"/>
      <c r="X440" s="60"/>
      <c r="Y440" s="60"/>
      <c r="Z440" s="7"/>
      <c r="AA440" s="7"/>
      <c r="AB440" s="60"/>
      <c r="AC440" s="60"/>
      <c r="AD440" s="60"/>
      <c r="AE440" s="7"/>
      <c r="AF440" s="7"/>
      <c r="AG440" s="7"/>
      <c r="AH440" s="7"/>
      <c r="AI440" s="7"/>
      <c r="AJ440" s="7">
        <f>Liste!X440</f>
        <v>0</v>
      </c>
      <c r="AK440" s="7">
        <f>Liste!Y440</f>
        <v>1</v>
      </c>
      <c r="AL440" s="7"/>
      <c r="AM440" s="7"/>
      <c r="AN440" s="7"/>
      <c r="AO440" s="1113">
        <f>Liste!D440</f>
        <v>0</v>
      </c>
      <c r="AP440" s="1113">
        <f>Liste!F440</f>
        <v>1100</v>
      </c>
      <c r="AQ440" s="1113">
        <f>Liste!E440</f>
        <v>208.82000000000002</v>
      </c>
      <c r="AR440" s="1113">
        <f>Liste!G440</f>
        <v>0.8</v>
      </c>
      <c r="AS440" s="1112">
        <f>Liste!V440</f>
        <v>1</v>
      </c>
      <c r="AT440" s="1" t="str">
        <f>Liste!M440</f>
        <v>V2A</v>
      </c>
      <c r="AZ440" s="5" t="s">
        <v>30102</v>
      </c>
      <c r="BA440" s="4" t="s">
        <v>101</v>
      </c>
      <c r="BB440" s="4">
        <v>942</v>
      </c>
      <c r="BD440" s="35"/>
      <c r="BE440" s="35"/>
      <c r="BF440" s="2118" t="str">
        <f>Liste!R440</f>
        <v>0701478</v>
      </c>
      <c r="BG440" s="2137">
        <f>IF(AS440&gt;0,Liste!S440,0)</f>
        <v>0</v>
      </c>
      <c r="BH440" s="2118" t="str">
        <f>Liste!T440</f>
        <v>m²</v>
      </c>
    </row>
    <row r="441" spans="1:60" ht="24.95" customHeight="1" x14ac:dyDescent="0.25">
      <c r="A441" s="29"/>
      <c r="B441" s="46" t="str">
        <f>IF(Liste!O441&gt;0,Liste!O441,Liste!B441)</f>
        <v>Verkleidungsblech Festfeld mehrteilig rechts verzinkt</v>
      </c>
      <c r="C441" s="2314"/>
      <c r="D441" s="30" t="str">
        <f>Liste!C441</f>
        <v>0308325</v>
      </c>
      <c r="E441" s="2314"/>
      <c r="F441" s="32">
        <f t="shared" si="36"/>
        <v>0</v>
      </c>
      <c r="G441" s="2314"/>
      <c r="H441" s="32">
        <f t="shared" si="37"/>
        <v>0</v>
      </c>
      <c r="I441" s="2314"/>
      <c r="J441" s="32">
        <f t="shared" si="38"/>
        <v>0</v>
      </c>
      <c r="K441" s="2314"/>
      <c r="L441" s="31">
        <f t="shared" si="39"/>
        <v>0</v>
      </c>
      <c r="M441" s="2314"/>
      <c r="N441" s="31" t="str">
        <f>Liste!L441</f>
        <v>Stk</v>
      </c>
      <c r="O441" s="31"/>
      <c r="P441" s="31"/>
      <c r="Q441" s="31">
        <f>Liste!P441</f>
        <v>0</v>
      </c>
      <c r="R441" s="31">
        <f>Liste!N441</f>
        <v>0</v>
      </c>
      <c r="S441" s="7">
        <v>0</v>
      </c>
      <c r="T441" s="7">
        <v>0</v>
      </c>
      <c r="U441" s="7">
        <v>0</v>
      </c>
      <c r="V441" s="7"/>
      <c r="W441" s="60"/>
      <c r="X441" s="60"/>
      <c r="Y441" s="60"/>
      <c r="Z441" s="7"/>
      <c r="AA441" s="7"/>
      <c r="AB441" s="60"/>
      <c r="AC441" s="60"/>
      <c r="AD441" s="60"/>
      <c r="AE441" s="7"/>
      <c r="AF441" s="7"/>
      <c r="AG441" s="7"/>
      <c r="AH441" s="7"/>
      <c r="AI441" s="7"/>
      <c r="AJ441" s="7">
        <f>Liste!X441</f>
        <v>0</v>
      </c>
      <c r="AK441" s="7">
        <f>Liste!Y441</f>
        <v>1</v>
      </c>
      <c r="AL441" s="7"/>
      <c r="AM441" s="7"/>
      <c r="AN441" s="7"/>
      <c r="AO441" s="1113">
        <f>Liste!D441</f>
        <v>0</v>
      </c>
      <c r="AP441" s="1113">
        <f>Liste!F441</f>
        <v>0</v>
      </c>
      <c r="AQ441" s="1113">
        <f>Liste!E441</f>
        <v>209.03</v>
      </c>
      <c r="AR441" s="1113">
        <f>Liste!G441</f>
        <v>0.75</v>
      </c>
      <c r="AS441" s="1112">
        <f>Liste!V441</f>
        <v>1</v>
      </c>
      <c r="AT441" s="1" t="str">
        <f>Liste!M441</f>
        <v>Stahlblech verz.</v>
      </c>
      <c r="AZ441" s="5" t="s">
        <v>30103</v>
      </c>
      <c r="BA441" s="4" t="s">
        <v>101</v>
      </c>
      <c r="BB441" s="4">
        <v>943</v>
      </c>
      <c r="BD441" s="35"/>
      <c r="BE441" s="35"/>
      <c r="BF441" s="2118" t="str">
        <f>Liste!R441</f>
        <v>0701446</v>
      </c>
      <c r="BG441" s="2137">
        <f>IF(AS441&gt;0,Liste!S441,0)</f>
        <v>0</v>
      </c>
      <c r="BH441" s="2118" t="str">
        <f>Liste!T441</f>
        <v>m²</v>
      </c>
    </row>
    <row r="442" spans="1:60" ht="24.95" customHeight="1" x14ac:dyDescent="0.25">
      <c r="A442" s="29"/>
      <c r="B442" s="46" t="str">
        <f>IF(Liste!O442&gt;0,Liste!O442,Liste!B442)</f>
        <v>Verkleidungsblech Festfeld mehrteilig rechts V2A</v>
      </c>
      <c r="C442" s="2314"/>
      <c r="D442" s="30" t="str">
        <f>Liste!C442</f>
        <v>0338325</v>
      </c>
      <c r="E442" s="2314"/>
      <c r="F442" s="32">
        <f t="shared" si="36"/>
        <v>0</v>
      </c>
      <c r="G442" s="2314"/>
      <c r="H442" s="32">
        <f t="shared" si="37"/>
        <v>0</v>
      </c>
      <c r="I442" s="2314"/>
      <c r="J442" s="32">
        <f t="shared" si="38"/>
        <v>0</v>
      </c>
      <c r="K442" s="2314"/>
      <c r="L442" s="31">
        <f t="shared" si="39"/>
        <v>0</v>
      </c>
      <c r="M442" s="2314"/>
      <c r="N442" s="31" t="str">
        <f>Liste!L442</f>
        <v>Stk</v>
      </c>
      <c r="O442" s="31"/>
      <c r="P442" s="31"/>
      <c r="Q442" s="31">
        <f>Liste!P442</f>
        <v>0</v>
      </c>
      <c r="R442" s="31">
        <f>Liste!N442</f>
        <v>0</v>
      </c>
      <c r="S442" s="7">
        <v>0</v>
      </c>
      <c r="T442" s="7">
        <v>0</v>
      </c>
      <c r="U442" s="7">
        <v>0</v>
      </c>
      <c r="V442" s="7"/>
      <c r="W442" s="60"/>
      <c r="X442" s="60"/>
      <c r="Y442" s="60"/>
      <c r="Z442" s="7"/>
      <c r="AA442" s="7"/>
      <c r="AB442" s="60"/>
      <c r="AC442" s="60"/>
      <c r="AD442" s="60"/>
      <c r="AE442" s="7"/>
      <c r="AF442" s="7"/>
      <c r="AG442" s="7"/>
      <c r="AH442" s="7"/>
      <c r="AI442" s="7"/>
      <c r="AJ442" s="7">
        <f>Liste!X442</f>
        <v>0</v>
      </c>
      <c r="AK442" s="7">
        <f>Liste!Y442</f>
        <v>1</v>
      </c>
      <c r="AL442" s="7"/>
      <c r="AM442" s="7"/>
      <c r="AN442" s="7"/>
      <c r="AO442" s="1113">
        <f>Liste!D442</f>
        <v>0</v>
      </c>
      <c r="AP442" s="1113">
        <f>Liste!F442</f>
        <v>0</v>
      </c>
      <c r="AQ442" s="1113">
        <f>Liste!E442</f>
        <v>208.82000000000002</v>
      </c>
      <c r="AR442" s="1113">
        <f>Liste!G442</f>
        <v>0.8</v>
      </c>
      <c r="AS442" s="1112">
        <f>Liste!V442</f>
        <v>1</v>
      </c>
      <c r="AT442" s="1" t="str">
        <f>Liste!M442</f>
        <v>V2A</v>
      </c>
      <c r="AZ442" s="5" t="s">
        <v>30104</v>
      </c>
      <c r="BA442" s="4" t="s">
        <v>101</v>
      </c>
      <c r="BB442" s="4">
        <v>944</v>
      </c>
      <c r="BD442" s="35"/>
      <c r="BE442" s="35"/>
      <c r="BF442" s="2118" t="str">
        <f>Liste!R442</f>
        <v>0701478</v>
      </c>
      <c r="BG442" s="2137">
        <f>IF(AS442&gt;0,Liste!S442,0)</f>
        <v>0</v>
      </c>
      <c r="BH442" s="2118" t="str">
        <f>Liste!T442</f>
        <v>m²</v>
      </c>
    </row>
    <row r="443" spans="1:60" ht="24.95" customHeight="1" x14ac:dyDescent="0.25">
      <c r="A443" s="29"/>
      <c r="B443" s="46">
        <f>IF(Liste!O443&gt;0,Liste!O443,Liste!B443)</f>
        <v>59</v>
      </c>
      <c r="C443" s="2314"/>
      <c r="D443" s="30" t="str">
        <f>Liste!C443</f>
        <v>0308332</v>
      </c>
      <c r="E443" s="2314"/>
      <c r="F443" s="32">
        <f t="shared" si="36"/>
        <v>0</v>
      </c>
      <c r="G443" s="2314"/>
      <c r="H443" s="32">
        <f t="shared" si="37"/>
        <v>0</v>
      </c>
      <c r="I443" s="2314"/>
      <c r="J443" s="32">
        <f t="shared" si="38"/>
        <v>0</v>
      </c>
      <c r="K443" s="2314"/>
      <c r="L443" s="31">
        <f t="shared" si="39"/>
        <v>0</v>
      </c>
      <c r="M443" s="2314"/>
      <c r="N443" s="31" t="str">
        <f>Liste!L443</f>
        <v>Stk</v>
      </c>
      <c r="O443" s="31"/>
      <c r="P443" s="31"/>
      <c r="Q443" s="31" t="str">
        <f>Liste!P443</f>
        <v>B</v>
      </c>
      <c r="R443" s="31" t="str">
        <f>Liste!N443</f>
        <v>Festfeldfüllplatte</v>
      </c>
      <c r="S443" s="7">
        <v>0</v>
      </c>
      <c r="T443" s="7">
        <v>0</v>
      </c>
      <c r="U443" s="7">
        <v>0</v>
      </c>
      <c r="V443" s="7"/>
      <c r="W443" s="60"/>
      <c r="X443" s="60"/>
      <c r="Y443" s="60"/>
      <c r="Z443" s="7"/>
      <c r="AA443" s="7"/>
      <c r="AB443" s="60"/>
      <c r="AC443" s="60"/>
      <c r="AD443" s="60"/>
      <c r="AE443" s="7"/>
      <c r="AF443" s="7"/>
      <c r="AG443" s="7"/>
      <c r="AH443" s="7"/>
      <c r="AI443" s="7"/>
      <c r="AJ443" s="7">
        <f>Liste!X443</f>
        <v>0</v>
      </c>
      <c r="AK443" s="7">
        <f>Liste!Y443</f>
        <v>0</v>
      </c>
      <c r="AL443" s="7"/>
      <c r="AM443" s="7"/>
      <c r="AN443" s="7"/>
      <c r="AO443" s="1113">
        <f>Liste!D443</f>
        <v>0</v>
      </c>
      <c r="AP443" s="1113">
        <f>Liste!F443</f>
        <v>1250</v>
      </c>
      <c r="AQ443" s="1113">
        <f>Liste!E443</f>
        <v>150</v>
      </c>
      <c r="AR443" s="1113">
        <f>Liste!G443</f>
        <v>18</v>
      </c>
      <c r="AS443" s="1112">
        <f>Liste!V443</f>
        <v>1</v>
      </c>
      <c r="AT443" s="1" t="str">
        <f>Liste!M443</f>
        <v>0308332</v>
      </c>
      <c r="AZ443" s="5" t="s">
        <v>30105</v>
      </c>
      <c r="BA443" s="4" t="s">
        <v>101</v>
      </c>
      <c r="BB443" s="4">
        <v>945</v>
      </c>
      <c r="BD443" s="35"/>
      <c r="BE443" s="35"/>
      <c r="BF443" s="2118" t="str">
        <f>Liste!R443</f>
        <v>0308332</v>
      </c>
      <c r="BG443" s="2137">
        <f>IF(AS443&gt;0,Liste!S443,0)</f>
        <v>0</v>
      </c>
      <c r="BH443" s="2118" t="str">
        <f>Liste!T443</f>
        <v>Stk</v>
      </c>
    </row>
    <row r="444" spans="1:60" ht="24.95" customHeight="1" x14ac:dyDescent="0.25">
      <c r="A444" s="29"/>
      <c r="B444" s="46">
        <f>IF(Liste!O444&gt;0,Liste!O444,Liste!B444)</f>
        <v>60</v>
      </c>
      <c r="C444" s="2314"/>
      <c r="D444" s="30" t="str">
        <f>Liste!C444</f>
        <v>0202018</v>
      </c>
      <c r="E444" s="2314"/>
      <c r="F444" s="32">
        <f t="shared" si="36"/>
        <v>0</v>
      </c>
      <c r="G444" s="2314"/>
      <c r="H444" s="32">
        <f t="shared" si="37"/>
        <v>1225</v>
      </c>
      <c r="I444" s="2314"/>
      <c r="J444" s="32">
        <f t="shared" si="38"/>
        <v>225</v>
      </c>
      <c r="K444" s="2314"/>
      <c r="L444" s="31">
        <f t="shared" si="39"/>
        <v>18</v>
      </c>
      <c r="M444" s="2314"/>
      <c r="N444" s="31" t="str">
        <f>Liste!L444</f>
        <v>MM2</v>
      </c>
      <c r="O444" s="31"/>
      <c r="P444" s="31"/>
      <c r="Q444" s="31" t="str">
        <f>Liste!P444</f>
        <v>B</v>
      </c>
      <c r="R444" s="31" t="str">
        <f>Liste!N444</f>
        <v>Festfeldfüllplatte</v>
      </c>
      <c r="S444" s="7">
        <v>0</v>
      </c>
      <c r="T444" s="7">
        <v>0</v>
      </c>
      <c r="U444" s="7">
        <v>0</v>
      </c>
      <c r="V444" s="7"/>
      <c r="W444" s="60"/>
      <c r="X444" s="60"/>
      <c r="Y444" s="60"/>
      <c r="Z444" s="7"/>
      <c r="AA444" s="7"/>
      <c r="AB444" s="60"/>
      <c r="AC444" s="60"/>
      <c r="AD444" s="60"/>
      <c r="AE444" s="7"/>
      <c r="AF444" s="7"/>
      <c r="AG444" s="7"/>
      <c r="AH444" s="7"/>
      <c r="AI444" s="7"/>
      <c r="AJ444" s="7">
        <f>Liste!X444</f>
        <v>0</v>
      </c>
      <c r="AK444" s="7">
        <f>Liste!Y444</f>
        <v>0</v>
      </c>
      <c r="AL444" s="7"/>
      <c r="AM444" s="7"/>
      <c r="AN444" s="7"/>
      <c r="AO444" s="1113">
        <f>Liste!D444</f>
        <v>0</v>
      </c>
      <c r="AP444" s="1113">
        <f>Liste!F444</f>
        <v>1225</v>
      </c>
      <c r="AQ444" s="1113">
        <f>Liste!E444</f>
        <v>225</v>
      </c>
      <c r="AR444" s="1113">
        <f>Liste!G444</f>
        <v>18</v>
      </c>
      <c r="AS444" s="1112">
        <f>Liste!V444</f>
        <v>1</v>
      </c>
      <c r="AT444" s="1" t="str">
        <f>Liste!M444</f>
        <v>Zuschnitt</v>
      </c>
      <c r="AZ444" s="5" t="s">
        <v>30106</v>
      </c>
      <c r="BA444" s="4" t="s">
        <v>101</v>
      </c>
      <c r="BB444" s="4">
        <v>946</v>
      </c>
      <c r="BD444" s="35"/>
      <c r="BE444" s="35"/>
      <c r="BF444" s="2118" t="str">
        <f>Liste!R444</f>
        <v>0202018</v>
      </c>
      <c r="BG444" s="2137">
        <f>IF(AS444&gt;0,Liste!S444,0)</f>
        <v>0</v>
      </c>
      <c r="BH444" s="2118" t="str">
        <f>Liste!T444</f>
        <v>m²</v>
      </c>
    </row>
    <row r="445" spans="1:60" ht="24.95" customHeight="1" x14ac:dyDescent="0.25">
      <c r="A445" s="29"/>
      <c r="B445" s="46">
        <f>IF(Liste!O445&gt;0,Liste!O445,Liste!B445)</f>
        <v>0</v>
      </c>
      <c r="C445" s="2314"/>
      <c r="D445" s="30">
        <f>Liste!C445</f>
        <v>0</v>
      </c>
      <c r="E445" s="2314"/>
      <c r="F445" s="32">
        <f t="shared" si="36"/>
        <v>0</v>
      </c>
      <c r="G445" s="2314"/>
      <c r="H445" s="32">
        <f t="shared" si="37"/>
        <v>0</v>
      </c>
      <c r="I445" s="2314"/>
      <c r="J445" s="32">
        <f t="shared" si="38"/>
        <v>0</v>
      </c>
      <c r="K445" s="2314"/>
      <c r="L445" s="31">
        <f t="shared" si="39"/>
        <v>0</v>
      </c>
      <c r="M445" s="2314"/>
      <c r="N445" s="31">
        <f>Liste!L445</f>
        <v>0</v>
      </c>
      <c r="O445" s="31"/>
      <c r="P445" s="31"/>
      <c r="Q445" s="31">
        <f>Liste!P445</f>
        <v>0</v>
      </c>
      <c r="R445" s="31">
        <f>Liste!N445</f>
        <v>0</v>
      </c>
      <c r="S445" s="7">
        <v>0</v>
      </c>
      <c r="T445" s="7">
        <v>0</v>
      </c>
      <c r="U445" s="7">
        <v>0</v>
      </c>
      <c r="V445" s="7"/>
      <c r="W445" s="60"/>
      <c r="X445" s="60"/>
      <c r="Y445" s="60"/>
      <c r="Z445" s="7"/>
      <c r="AA445" s="7"/>
      <c r="AB445" s="60"/>
      <c r="AC445" s="60"/>
      <c r="AD445" s="60"/>
      <c r="AE445" s="7"/>
      <c r="AF445" s="7"/>
      <c r="AG445" s="7"/>
      <c r="AH445" s="7"/>
      <c r="AI445" s="7"/>
      <c r="AJ445" s="7">
        <f>Liste!X445</f>
        <v>0</v>
      </c>
      <c r="AK445" s="7">
        <f>Liste!Y445</f>
        <v>0</v>
      </c>
      <c r="AL445" s="7"/>
      <c r="AM445" s="7"/>
      <c r="AN445" s="7"/>
      <c r="AO445" s="1113">
        <f>Liste!D445</f>
        <v>0</v>
      </c>
      <c r="AP445" s="1113">
        <f>Liste!F445</f>
        <v>0</v>
      </c>
      <c r="AQ445" s="1113">
        <f>Liste!E445</f>
        <v>0</v>
      </c>
      <c r="AR445" s="1113">
        <f>Liste!G445</f>
        <v>0</v>
      </c>
      <c r="AS445" s="1112">
        <f>Liste!V445</f>
        <v>0</v>
      </c>
      <c r="AT445" s="1">
        <f>Liste!M445</f>
        <v>0</v>
      </c>
      <c r="AZ445" s="5" t="s">
        <v>30107</v>
      </c>
      <c r="BA445" s="4" t="s">
        <v>101</v>
      </c>
      <c r="BB445" s="4">
        <v>947</v>
      </c>
      <c r="BD445" s="35"/>
      <c r="BE445" s="35"/>
      <c r="BF445" s="2118">
        <f>Liste!R445</f>
        <v>0</v>
      </c>
      <c r="BG445" s="2137">
        <f>IF(AS445&gt;0,Liste!S445,0)</f>
        <v>0</v>
      </c>
      <c r="BH445" s="2118">
        <f>Liste!T445</f>
        <v>0</v>
      </c>
    </row>
    <row r="446" spans="1:60" ht="24.95" customHeight="1" x14ac:dyDescent="0.25">
      <c r="A446" s="29"/>
      <c r="B446" s="46">
        <f>IF(Liste!O446&gt;0,Liste!O446,Liste!B446)</f>
        <v>61</v>
      </c>
      <c r="C446" s="2314"/>
      <c r="D446" s="30" t="str">
        <f>Liste!C446</f>
        <v>0308331</v>
      </c>
      <c r="E446" s="2314"/>
      <c r="F446" s="32">
        <f t="shared" si="36"/>
        <v>25</v>
      </c>
      <c r="G446" s="2314"/>
      <c r="H446" s="32">
        <f t="shared" si="37"/>
        <v>0</v>
      </c>
      <c r="I446" s="2314"/>
      <c r="J446" s="32">
        <f t="shared" si="38"/>
        <v>0</v>
      </c>
      <c r="K446" s="2314"/>
      <c r="L446" s="31">
        <f t="shared" si="39"/>
        <v>0</v>
      </c>
      <c r="M446" s="2314"/>
      <c r="N446" s="31" t="str">
        <f>Liste!L446</f>
        <v>Stk</v>
      </c>
      <c r="O446" s="31"/>
      <c r="P446" s="31"/>
      <c r="Q446" s="31" t="str">
        <f>Liste!P446</f>
        <v>B</v>
      </c>
      <c r="R446" s="31" t="str">
        <f>Liste!N446</f>
        <v>Festfeldfüllplatte</v>
      </c>
      <c r="S446" s="7">
        <v>0</v>
      </c>
      <c r="T446" s="7">
        <v>0</v>
      </c>
      <c r="U446" s="7">
        <v>0</v>
      </c>
      <c r="V446" s="7"/>
      <c r="W446" s="60"/>
      <c r="X446" s="60"/>
      <c r="Y446" s="60"/>
      <c r="Z446" s="7"/>
      <c r="AA446" s="7"/>
      <c r="AB446" s="60"/>
      <c r="AC446" s="60"/>
      <c r="AD446" s="60"/>
      <c r="AE446" s="7"/>
      <c r="AF446" s="7"/>
      <c r="AG446" s="7"/>
      <c r="AH446" s="7"/>
      <c r="AI446" s="7"/>
      <c r="AJ446" s="7">
        <f>Liste!X446</f>
        <v>0</v>
      </c>
      <c r="AK446" s="7">
        <f>Liste!Y446</f>
        <v>0</v>
      </c>
      <c r="AL446" s="7"/>
      <c r="AM446" s="7"/>
      <c r="AN446" s="7"/>
      <c r="AO446" s="1113">
        <f>Liste!D446</f>
        <v>25</v>
      </c>
      <c r="AP446" s="1113">
        <f>Liste!F446</f>
        <v>1250</v>
      </c>
      <c r="AQ446" s="1113">
        <f>Liste!E446</f>
        <v>170</v>
      </c>
      <c r="AR446" s="1113">
        <f>Liste!G446</f>
        <v>12.5</v>
      </c>
      <c r="AS446" s="1112">
        <f>Liste!V446</f>
        <v>1</v>
      </c>
      <c r="AT446" s="1" t="str">
        <f>Liste!M446</f>
        <v>0308331</v>
      </c>
      <c r="AZ446" s="5" t="s">
        <v>30108</v>
      </c>
      <c r="BA446" s="4" t="s">
        <v>101</v>
      </c>
      <c r="BB446" s="4">
        <v>948</v>
      </c>
      <c r="BD446" s="35"/>
      <c r="BE446" s="35"/>
      <c r="BF446" s="2118" t="str">
        <f>Liste!R446</f>
        <v>0308331</v>
      </c>
      <c r="BG446" s="2137">
        <f>IF(AS446&gt;0,Liste!S446,0)</f>
        <v>25</v>
      </c>
      <c r="BH446" s="2118" t="str">
        <f>Liste!T446</f>
        <v>Stk</v>
      </c>
    </row>
    <row r="447" spans="1:60" ht="24.95" customHeight="1" x14ac:dyDescent="0.25">
      <c r="A447" s="29"/>
      <c r="B447" s="46">
        <f>IF(Liste!O447&gt;0,Liste!O447,Liste!B447)</f>
        <v>62</v>
      </c>
      <c r="C447" s="2314"/>
      <c r="D447" s="30" t="str">
        <f>Liste!C447</f>
        <v>0708161</v>
      </c>
      <c r="E447" s="2314"/>
      <c r="F447" s="32">
        <f t="shared" si="36"/>
        <v>0</v>
      </c>
      <c r="G447" s="2314"/>
      <c r="H447" s="32">
        <f t="shared" si="37"/>
        <v>1225</v>
      </c>
      <c r="I447" s="2314"/>
      <c r="J447" s="32">
        <f t="shared" si="38"/>
        <v>225</v>
      </c>
      <c r="K447" s="2314"/>
      <c r="L447" s="31">
        <f t="shared" si="39"/>
        <v>12.5</v>
      </c>
      <c r="M447" s="2314"/>
      <c r="N447" s="31" t="str">
        <f>Liste!L447</f>
        <v>MM2</v>
      </c>
      <c r="O447" s="31"/>
      <c r="P447" s="31"/>
      <c r="Q447" s="31" t="str">
        <f>Liste!P447</f>
        <v>B</v>
      </c>
      <c r="R447" s="31" t="str">
        <f>Liste!N447</f>
        <v>Festfeldfüllplatte</v>
      </c>
      <c r="S447" s="7">
        <v>0</v>
      </c>
      <c r="T447" s="7">
        <v>0</v>
      </c>
      <c r="U447" s="7">
        <v>0</v>
      </c>
      <c r="V447" s="7"/>
      <c r="W447" s="60"/>
      <c r="X447" s="60"/>
      <c r="Y447" s="60"/>
      <c r="Z447" s="7"/>
      <c r="AA447" s="7"/>
      <c r="AB447" s="60"/>
      <c r="AC447" s="60"/>
      <c r="AD447" s="60"/>
      <c r="AE447" s="7"/>
      <c r="AF447" s="7"/>
      <c r="AG447" s="7"/>
      <c r="AH447" s="7"/>
      <c r="AI447" s="7"/>
      <c r="AJ447" s="7">
        <f>Liste!X447</f>
        <v>0</v>
      </c>
      <c r="AK447" s="7">
        <f>Liste!Y447</f>
        <v>0</v>
      </c>
      <c r="AL447" s="7"/>
      <c r="AM447" s="7"/>
      <c r="AN447" s="7"/>
      <c r="AO447" s="1113">
        <f>Liste!D447</f>
        <v>0</v>
      </c>
      <c r="AP447" s="1113">
        <f>Liste!F447</f>
        <v>1225</v>
      </c>
      <c r="AQ447" s="1113">
        <f>Liste!E447</f>
        <v>225</v>
      </c>
      <c r="AR447" s="1113">
        <f>Liste!G447</f>
        <v>12.5</v>
      </c>
      <c r="AS447" s="1112">
        <f>Liste!V447</f>
        <v>1</v>
      </c>
      <c r="AT447" s="1" t="str">
        <f>Liste!M447</f>
        <v>Zuschnitt</v>
      </c>
      <c r="AZ447" s="5" t="s">
        <v>30109</v>
      </c>
      <c r="BA447" s="4" t="s">
        <v>101</v>
      </c>
      <c r="BB447" s="4">
        <v>949</v>
      </c>
      <c r="BD447" s="35"/>
      <c r="BE447" s="35"/>
      <c r="BF447" s="2118" t="str">
        <f>Liste!R447</f>
        <v>0708161</v>
      </c>
      <c r="BG447" s="2137">
        <f>IF(AS447&gt;0,Liste!S447,0)</f>
        <v>0</v>
      </c>
      <c r="BH447" s="2118" t="str">
        <f>Liste!T447</f>
        <v>m²</v>
      </c>
    </row>
    <row r="448" spans="1:60" ht="24.95" customHeight="1" x14ac:dyDescent="0.25">
      <c r="A448" s="29"/>
      <c r="B448" s="46" t="str">
        <f>IF(Liste!O448&gt;0,Liste!O448,Liste!B448)</f>
        <v>Festfeldfüllplatten 12,5mm GKF</v>
      </c>
      <c r="C448" s="2314"/>
      <c r="D448" s="30" t="str">
        <f>Liste!C448</f>
        <v>0308331</v>
      </c>
      <c r="E448" s="2314"/>
      <c r="F448" s="32">
        <f t="shared" si="36"/>
        <v>0</v>
      </c>
      <c r="G448" s="2314"/>
      <c r="H448" s="32">
        <f t="shared" si="37"/>
        <v>0</v>
      </c>
      <c r="I448" s="2314"/>
      <c r="J448" s="32">
        <f t="shared" si="38"/>
        <v>0</v>
      </c>
      <c r="K448" s="2314"/>
      <c r="L448" s="31">
        <f t="shared" si="39"/>
        <v>0</v>
      </c>
      <c r="M448" s="2314"/>
      <c r="N448" s="31">
        <f>Liste!L448</f>
        <v>0</v>
      </c>
      <c r="O448" s="31"/>
      <c r="P448" s="31"/>
      <c r="Q448" s="31">
        <f>Liste!P448</f>
        <v>0</v>
      </c>
      <c r="R448" s="31">
        <f>Liste!N448</f>
        <v>0</v>
      </c>
      <c r="S448" s="7">
        <v>0</v>
      </c>
      <c r="T448" s="7">
        <v>0</v>
      </c>
      <c r="U448" s="7">
        <v>0</v>
      </c>
      <c r="V448" s="7"/>
      <c r="W448" s="60"/>
      <c r="X448" s="60"/>
      <c r="Y448" s="60"/>
      <c r="Z448" s="7"/>
      <c r="AA448" s="7"/>
      <c r="AB448" s="60"/>
      <c r="AC448" s="60"/>
      <c r="AD448" s="60"/>
      <c r="AE448" s="7"/>
      <c r="AF448" s="7"/>
      <c r="AG448" s="7"/>
      <c r="AH448" s="7"/>
      <c r="AI448" s="7"/>
      <c r="AJ448" s="7">
        <f>Liste!X448</f>
        <v>0</v>
      </c>
      <c r="AK448" s="7">
        <f>Liste!Y448</f>
        <v>0</v>
      </c>
      <c r="AL448" s="7"/>
      <c r="AM448" s="7"/>
      <c r="AN448" s="7"/>
      <c r="AO448" s="1113">
        <f>Liste!D448</f>
        <v>0</v>
      </c>
      <c r="AP448" s="1113">
        <f>Liste!F448</f>
        <v>0</v>
      </c>
      <c r="AQ448" s="1113">
        <f>Liste!E448</f>
        <v>0</v>
      </c>
      <c r="AR448" s="1113">
        <f>Liste!G448</f>
        <v>0</v>
      </c>
      <c r="AS448" s="1112">
        <f>Liste!V448</f>
        <v>0</v>
      </c>
      <c r="AT448" s="1">
        <f>Liste!M448</f>
        <v>0</v>
      </c>
      <c r="AZ448" s="5" t="s">
        <v>30110</v>
      </c>
      <c r="BA448" s="4" t="s">
        <v>101</v>
      </c>
      <c r="BB448" s="4">
        <v>950</v>
      </c>
      <c r="BD448" s="35"/>
      <c r="BE448" s="35"/>
      <c r="BF448" s="2118" t="str">
        <f>Liste!R448</f>
        <v>0308331</v>
      </c>
      <c r="BG448" s="2137">
        <f>IF(AS448&gt;0,Liste!S448,0)</f>
        <v>0</v>
      </c>
      <c r="BH448" s="2118">
        <f>Liste!T448</f>
        <v>0</v>
      </c>
    </row>
    <row r="449" spans="1:60" ht="24.95" customHeight="1" x14ac:dyDescent="0.25">
      <c r="A449" s="29"/>
      <c r="B449" s="46">
        <f>IF(Liste!O449&gt;0,Liste!O449,Liste!B449)</f>
        <v>63</v>
      </c>
      <c r="C449" s="2314"/>
      <c r="D449" s="30" t="str">
        <f>Liste!C449</f>
        <v>0308333</v>
      </c>
      <c r="E449" s="2314"/>
      <c r="F449" s="32">
        <f t="shared" si="36"/>
        <v>1</v>
      </c>
      <c r="G449" s="2314"/>
      <c r="H449" s="32">
        <f t="shared" si="37"/>
        <v>0</v>
      </c>
      <c r="I449" s="2314"/>
      <c r="J449" s="32">
        <f t="shared" si="38"/>
        <v>0</v>
      </c>
      <c r="K449" s="2314"/>
      <c r="L449" s="31">
        <f t="shared" si="39"/>
        <v>0</v>
      </c>
      <c r="M449" s="2314"/>
      <c r="N449" s="31" t="str">
        <f>Liste!L449</f>
        <v>Stk</v>
      </c>
      <c r="O449" s="31"/>
      <c r="P449" s="31"/>
      <c r="Q449" s="31" t="str">
        <f>Liste!P449</f>
        <v>B</v>
      </c>
      <c r="R449" s="31" t="str">
        <f>Liste!N449</f>
        <v>Festfeldfüllplatte</v>
      </c>
      <c r="S449" s="7">
        <v>0</v>
      </c>
      <c r="T449" s="7">
        <v>0</v>
      </c>
      <c r="U449" s="7">
        <v>0</v>
      </c>
      <c r="V449" s="7"/>
      <c r="W449" s="60"/>
      <c r="X449" s="60"/>
      <c r="Y449" s="60"/>
      <c r="Z449" s="7"/>
      <c r="AA449" s="7"/>
      <c r="AB449" s="60"/>
      <c r="AC449" s="60"/>
      <c r="AD449" s="60"/>
      <c r="AE449" s="7"/>
      <c r="AF449" s="7"/>
      <c r="AG449" s="7"/>
      <c r="AH449" s="7"/>
      <c r="AI449" s="7"/>
      <c r="AJ449" s="7">
        <f>Liste!X449</f>
        <v>0</v>
      </c>
      <c r="AK449" s="7">
        <f>Liste!Y449</f>
        <v>0</v>
      </c>
      <c r="AL449" s="7"/>
      <c r="AM449" s="7"/>
      <c r="AN449" s="7"/>
      <c r="AO449" s="1113">
        <f>Liste!D449</f>
        <v>1</v>
      </c>
      <c r="AP449" s="1113">
        <f>Liste!F449</f>
        <v>1250</v>
      </c>
      <c r="AQ449" s="1113">
        <f>Liste!E449</f>
        <v>170</v>
      </c>
      <c r="AR449" s="1113">
        <f>Liste!G449</f>
        <v>15</v>
      </c>
      <c r="AS449" s="1112">
        <f>Liste!V449</f>
        <v>1</v>
      </c>
      <c r="AT449" s="1" t="str">
        <f>Liste!M449</f>
        <v>0308333</v>
      </c>
      <c r="AZ449" s="5" t="s">
        <v>31358</v>
      </c>
      <c r="BA449" s="4" t="s">
        <v>101</v>
      </c>
      <c r="BB449" s="4">
        <v>951</v>
      </c>
      <c r="BD449" s="35"/>
      <c r="BE449" s="35"/>
      <c r="BF449" s="2118" t="str">
        <f>Liste!R449</f>
        <v>0308333</v>
      </c>
      <c r="BG449" s="2137">
        <f>IF(AS449&gt;0,Liste!S449,0)</f>
        <v>1</v>
      </c>
      <c r="BH449" s="2118" t="str">
        <f>Liste!T449</f>
        <v>Stk</v>
      </c>
    </row>
    <row r="450" spans="1:60" ht="24.95" customHeight="1" x14ac:dyDescent="0.25">
      <c r="A450" s="29"/>
      <c r="B450" s="46">
        <f>IF(Liste!O450&gt;0,Liste!O450,Liste!B450)</f>
        <v>64</v>
      </c>
      <c r="C450" s="2314"/>
      <c r="D450" s="30" t="str">
        <f>Liste!C450</f>
        <v>0202015</v>
      </c>
      <c r="E450" s="2314"/>
      <c r="F450" s="32">
        <f t="shared" si="36"/>
        <v>0</v>
      </c>
      <c r="G450" s="2314"/>
      <c r="H450" s="32">
        <f t="shared" si="37"/>
        <v>1225</v>
      </c>
      <c r="I450" s="2314"/>
      <c r="J450" s="32">
        <f t="shared" si="38"/>
        <v>225</v>
      </c>
      <c r="K450" s="2314"/>
      <c r="L450" s="31">
        <f t="shared" si="39"/>
        <v>15</v>
      </c>
      <c r="M450" s="2314"/>
      <c r="N450" s="31" t="str">
        <f>Liste!L450</f>
        <v>MM2</v>
      </c>
      <c r="O450" s="31"/>
      <c r="P450" s="31"/>
      <c r="Q450" s="31" t="str">
        <f>Liste!P450</f>
        <v>B</v>
      </c>
      <c r="R450" s="31" t="str">
        <f>Liste!N450</f>
        <v>Festfeldfüllplatte</v>
      </c>
      <c r="S450" s="7">
        <v>0</v>
      </c>
      <c r="T450" s="7">
        <v>0</v>
      </c>
      <c r="U450" s="7">
        <v>0</v>
      </c>
      <c r="V450" s="7"/>
      <c r="W450" s="60"/>
      <c r="X450" s="60"/>
      <c r="Y450" s="60"/>
      <c r="Z450" s="7"/>
      <c r="AA450" s="7"/>
      <c r="AB450" s="60"/>
      <c r="AC450" s="60"/>
      <c r="AD450" s="60"/>
      <c r="AE450" s="7"/>
      <c r="AF450" s="7"/>
      <c r="AG450" s="7"/>
      <c r="AH450" s="7"/>
      <c r="AI450" s="7"/>
      <c r="AJ450" s="7">
        <f>Liste!X450</f>
        <v>0</v>
      </c>
      <c r="AK450" s="7">
        <f>Liste!Y450</f>
        <v>0</v>
      </c>
      <c r="AL450" s="7"/>
      <c r="AM450" s="7"/>
      <c r="AN450" s="7"/>
      <c r="AO450" s="1113">
        <f>Liste!D450</f>
        <v>0</v>
      </c>
      <c r="AP450" s="1113">
        <f>Liste!F450</f>
        <v>1225</v>
      </c>
      <c r="AQ450" s="1113">
        <f>Liste!E450</f>
        <v>225</v>
      </c>
      <c r="AR450" s="1113">
        <f>Liste!G450</f>
        <v>15</v>
      </c>
      <c r="AS450" s="1112">
        <f>Liste!V450</f>
        <v>1</v>
      </c>
      <c r="AT450" s="1" t="str">
        <f>Liste!M450</f>
        <v>Zuschnitt</v>
      </c>
      <c r="AZ450" s="5" t="s">
        <v>30111</v>
      </c>
      <c r="BA450" s="4" t="s">
        <v>101</v>
      </c>
      <c r="BB450" s="4">
        <v>952</v>
      </c>
      <c r="BD450" s="35"/>
      <c r="BE450" s="35"/>
      <c r="BF450" s="2118" t="str">
        <f>Liste!R450</f>
        <v>0202015</v>
      </c>
      <c r="BG450" s="2137">
        <f>IF(AS450&gt;0,Liste!S450,0)</f>
        <v>0</v>
      </c>
      <c r="BH450" s="2118" t="str">
        <f>Liste!T450</f>
        <v>m²</v>
      </c>
    </row>
    <row r="451" spans="1:60" ht="24.95" customHeight="1" x14ac:dyDescent="0.25">
      <c r="A451" s="29"/>
      <c r="B451" s="46" t="str">
        <f>IF(Liste!O451&gt;0,Liste!O451,Liste!B451)</f>
        <v>Festfeldfüllplatten 15mm Promatect</v>
      </c>
      <c r="C451" s="2314"/>
      <c r="D451" s="30" t="str">
        <f>Liste!C451</f>
        <v>0308333</v>
      </c>
      <c r="E451" s="2314"/>
      <c r="F451" s="32">
        <f t="shared" si="36"/>
        <v>0</v>
      </c>
      <c r="G451" s="2314"/>
      <c r="H451" s="32">
        <f t="shared" si="37"/>
        <v>0</v>
      </c>
      <c r="I451" s="2314"/>
      <c r="J451" s="32">
        <f t="shared" si="38"/>
        <v>0</v>
      </c>
      <c r="K451" s="2314"/>
      <c r="L451" s="31">
        <f t="shared" si="39"/>
        <v>0</v>
      </c>
      <c r="M451" s="2314"/>
      <c r="N451" s="31">
        <f>Liste!L451</f>
        <v>0</v>
      </c>
      <c r="O451" s="31"/>
      <c r="P451" s="31"/>
      <c r="Q451" s="31">
        <f>Liste!P451</f>
        <v>0</v>
      </c>
      <c r="R451" s="31">
        <f>Liste!N451</f>
        <v>0</v>
      </c>
      <c r="S451" s="7">
        <v>0</v>
      </c>
      <c r="T451" s="7">
        <v>0</v>
      </c>
      <c r="U451" s="7">
        <v>0</v>
      </c>
      <c r="V451" s="7"/>
      <c r="W451" s="60"/>
      <c r="X451" s="60"/>
      <c r="Y451" s="60"/>
      <c r="Z451" s="7"/>
      <c r="AA451" s="7"/>
      <c r="AB451" s="60"/>
      <c r="AC451" s="60"/>
      <c r="AD451" s="60"/>
      <c r="AE451" s="7"/>
      <c r="AF451" s="7"/>
      <c r="AG451" s="7"/>
      <c r="AH451" s="7"/>
      <c r="AI451" s="7"/>
      <c r="AJ451" s="7">
        <f>Liste!X451</f>
        <v>0</v>
      </c>
      <c r="AK451" s="7">
        <f>Liste!Y451</f>
        <v>0</v>
      </c>
      <c r="AL451" s="7"/>
      <c r="AM451" s="7"/>
      <c r="AN451" s="7"/>
      <c r="AO451" s="1113">
        <f>Liste!D451</f>
        <v>0</v>
      </c>
      <c r="AP451" s="1113">
        <f>Liste!F451</f>
        <v>0</v>
      </c>
      <c r="AQ451" s="1113">
        <f>Liste!E451</f>
        <v>0</v>
      </c>
      <c r="AR451" s="1113">
        <f>Liste!G451</f>
        <v>0</v>
      </c>
      <c r="AS451" s="1112">
        <f>Liste!V451</f>
        <v>0</v>
      </c>
      <c r="AT451" s="1">
        <f>Liste!M451</f>
        <v>0</v>
      </c>
      <c r="AZ451" s="5" t="s">
        <v>30112</v>
      </c>
      <c r="BA451" s="4" t="s">
        <v>101</v>
      </c>
      <c r="BB451" s="4">
        <v>953</v>
      </c>
      <c r="BD451" s="35"/>
      <c r="BE451" s="35"/>
      <c r="BF451" s="2118" t="str">
        <f>Liste!R451</f>
        <v>0308333</v>
      </c>
      <c r="BG451" s="2137">
        <f>IF(AS451&gt;0,Liste!S451,0)</f>
        <v>0</v>
      </c>
      <c r="BH451" s="2118">
        <f>Liste!T451</f>
        <v>0</v>
      </c>
    </row>
    <row r="452" spans="1:60" ht="24.95" customHeight="1" x14ac:dyDescent="0.25">
      <c r="A452" s="29"/>
      <c r="B452" s="46">
        <f>IF(Liste!O452&gt;0,Liste!O452,Liste!B452)</f>
        <v>65</v>
      </c>
      <c r="C452" s="2314"/>
      <c r="D452" s="30" t="str">
        <f>Liste!C452</f>
        <v>0308334</v>
      </c>
      <c r="E452" s="2314"/>
      <c r="F452" s="32">
        <f t="shared" si="36"/>
        <v>1</v>
      </c>
      <c r="G452" s="2314"/>
      <c r="H452" s="32">
        <f t="shared" si="37"/>
        <v>0</v>
      </c>
      <c r="I452" s="2314"/>
      <c r="J452" s="32">
        <f t="shared" si="38"/>
        <v>0</v>
      </c>
      <c r="K452" s="2314"/>
      <c r="L452" s="31">
        <f t="shared" si="39"/>
        <v>0</v>
      </c>
      <c r="M452" s="2314"/>
      <c r="N452" s="31" t="str">
        <f>Liste!L452</f>
        <v>Stk</v>
      </c>
      <c r="O452" s="31"/>
      <c r="P452" s="31"/>
      <c r="Q452" s="31" t="str">
        <f>Liste!P452</f>
        <v>B</v>
      </c>
      <c r="R452" s="31" t="str">
        <f>Liste!N452</f>
        <v>Festfeldfüllplatte</v>
      </c>
      <c r="S452" s="7">
        <v>0</v>
      </c>
      <c r="T452" s="7">
        <v>0</v>
      </c>
      <c r="U452" s="7">
        <v>0</v>
      </c>
      <c r="V452" s="7"/>
      <c r="W452" s="60"/>
      <c r="X452" s="60"/>
      <c r="Y452" s="60"/>
      <c r="Z452" s="7"/>
      <c r="AA452" s="7"/>
      <c r="AB452" s="60"/>
      <c r="AC452" s="60"/>
      <c r="AD452" s="60"/>
      <c r="AE452" s="7"/>
      <c r="AF452" s="7"/>
      <c r="AG452" s="7"/>
      <c r="AH452" s="7"/>
      <c r="AI452" s="7"/>
      <c r="AJ452" s="7">
        <f>Liste!X452</f>
        <v>0</v>
      </c>
      <c r="AK452" s="7">
        <f>Liste!Y452</f>
        <v>0</v>
      </c>
      <c r="AL452" s="7"/>
      <c r="AM452" s="7"/>
      <c r="AN452" s="7"/>
      <c r="AO452" s="1113">
        <f>Liste!D452</f>
        <v>1</v>
      </c>
      <c r="AP452" s="1113">
        <f>Liste!F452</f>
        <v>1250</v>
      </c>
      <c r="AQ452" s="1113">
        <f>Liste!E452</f>
        <v>170</v>
      </c>
      <c r="AR452" s="1113">
        <f>Liste!G452</f>
        <v>6</v>
      </c>
      <c r="AS452" s="1112">
        <f>Liste!V452</f>
        <v>1</v>
      </c>
      <c r="AT452" s="1" t="str">
        <f>Liste!M452</f>
        <v>0308334</v>
      </c>
      <c r="AZ452" s="5" t="s">
        <v>30113</v>
      </c>
      <c r="BA452" s="4" t="s">
        <v>101</v>
      </c>
      <c r="BB452" s="4">
        <v>954</v>
      </c>
      <c r="BD452" s="35"/>
      <c r="BE452" s="35"/>
      <c r="BF452" s="2118" t="str">
        <f>Liste!R452</f>
        <v>0308334</v>
      </c>
      <c r="BG452" s="2137">
        <f>IF(AS452&gt;0,Liste!S452,0)</f>
        <v>1</v>
      </c>
      <c r="BH452" s="2118" t="str">
        <f>Liste!T452</f>
        <v>Stk</v>
      </c>
    </row>
    <row r="453" spans="1:60" ht="24.95" customHeight="1" x14ac:dyDescent="0.25">
      <c r="A453" s="29"/>
      <c r="B453" s="46">
        <f>IF(Liste!O453&gt;0,Liste!O453,Liste!B453)</f>
        <v>66</v>
      </c>
      <c r="C453" s="2314"/>
      <c r="D453" s="30" t="str">
        <f>Liste!C453</f>
        <v>0202003</v>
      </c>
      <c r="E453" s="2314"/>
      <c r="F453" s="32">
        <f t="shared" si="36"/>
        <v>0</v>
      </c>
      <c r="G453" s="2314"/>
      <c r="H453" s="32">
        <f t="shared" si="37"/>
        <v>1225</v>
      </c>
      <c r="I453" s="2314"/>
      <c r="J453" s="32">
        <f t="shared" si="38"/>
        <v>225</v>
      </c>
      <c r="K453" s="2314"/>
      <c r="L453" s="31">
        <f t="shared" si="39"/>
        <v>6</v>
      </c>
      <c r="M453" s="2314"/>
      <c r="N453" s="31" t="str">
        <f>Liste!L453</f>
        <v>MM2</v>
      </c>
      <c r="O453" s="31"/>
      <c r="P453" s="31"/>
      <c r="Q453" s="31" t="str">
        <f>Liste!P453</f>
        <v>B</v>
      </c>
      <c r="R453" s="31" t="str">
        <f>Liste!N453</f>
        <v>Festfeldfüllplatte</v>
      </c>
      <c r="S453" s="7">
        <v>0</v>
      </c>
      <c r="T453" s="7">
        <v>0</v>
      </c>
      <c r="U453" s="7">
        <v>0</v>
      </c>
      <c r="V453" s="7"/>
      <c r="W453" s="60"/>
      <c r="X453" s="60"/>
      <c r="Y453" s="60"/>
      <c r="Z453" s="7"/>
      <c r="AA453" s="7"/>
      <c r="AB453" s="60"/>
      <c r="AC453" s="60"/>
      <c r="AD453" s="60"/>
      <c r="AE453" s="7"/>
      <c r="AF453" s="7"/>
      <c r="AG453" s="7"/>
      <c r="AH453" s="7"/>
      <c r="AI453" s="7"/>
      <c r="AJ453" s="7">
        <f>Liste!X453</f>
        <v>0</v>
      </c>
      <c r="AK453" s="7">
        <f>Liste!Y453</f>
        <v>0</v>
      </c>
      <c r="AL453" s="7"/>
      <c r="AM453" s="7"/>
      <c r="AN453" s="7"/>
      <c r="AO453" s="1113">
        <f>Liste!D453</f>
        <v>0</v>
      </c>
      <c r="AP453" s="1113">
        <f>Liste!F453</f>
        <v>1225</v>
      </c>
      <c r="AQ453" s="1113">
        <f>Liste!E453</f>
        <v>225</v>
      </c>
      <c r="AR453" s="1113">
        <f>Liste!G453</f>
        <v>6</v>
      </c>
      <c r="AS453" s="1112">
        <f>Liste!V453</f>
        <v>1</v>
      </c>
      <c r="AT453" s="1" t="str">
        <f>Liste!M453</f>
        <v>Zuschnitt</v>
      </c>
      <c r="AZ453" s="5" t="s">
        <v>31359</v>
      </c>
      <c r="BA453" s="4" t="s">
        <v>101</v>
      </c>
      <c r="BB453" s="4">
        <v>955</v>
      </c>
      <c r="BD453" s="35"/>
      <c r="BE453" s="35"/>
      <c r="BF453" s="2118" t="str">
        <f>Liste!R453</f>
        <v>0202003</v>
      </c>
      <c r="BG453" s="2137">
        <f>IF(AS453&gt;0,Liste!S453,0)</f>
        <v>0</v>
      </c>
      <c r="BH453" s="2118" t="str">
        <f>Liste!T453</f>
        <v>m²</v>
      </c>
    </row>
    <row r="454" spans="1:60" ht="24.95" customHeight="1" x14ac:dyDescent="0.25">
      <c r="A454" s="29"/>
      <c r="B454" s="46" t="str">
        <f>IF(Liste!O454&gt;0,Liste!O454,Liste!B454)</f>
        <v>Festfeldfüllplatten 6mm Promatect</v>
      </c>
      <c r="C454" s="2314"/>
      <c r="D454" s="30" t="str">
        <f>Liste!C454</f>
        <v>0308334</v>
      </c>
      <c r="E454" s="2314"/>
      <c r="F454" s="32">
        <f t="shared" si="36"/>
        <v>0</v>
      </c>
      <c r="G454" s="2314"/>
      <c r="H454" s="32">
        <f t="shared" si="37"/>
        <v>0</v>
      </c>
      <c r="I454" s="2314"/>
      <c r="J454" s="32">
        <f t="shared" si="38"/>
        <v>0</v>
      </c>
      <c r="K454" s="2314"/>
      <c r="L454" s="31">
        <f t="shared" si="39"/>
        <v>0</v>
      </c>
      <c r="M454" s="2314"/>
      <c r="N454" s="31">
        <f>Liste!L454</f>
        <v>0</v>
      </c>
      <c r="O454" s="31"/>
      <c r="P454" s="31"/>
      <c r="Q454" s="31">
        <f>Liste!P454</f>
        <v>0</v>
      </c>
      <c r="R454" s="31">
        <f>Liste!N454</f>
        <v>0</v>
      </c>
      <c r="S454" s="7">
        <v>0</v>
      </c>
      <c r="T454" s="7">
        <v>0</v>
      </c>
      <c r="U454" s="7">
        <v>0</v>
      </c>
      <c r="V454" s="7"/>
      <c r="W454" s="60"/>
      <c r="X454" s="60"/>
      <c r="Y454" s="60"/>
      <c r="Z454" s="7"/>
      <c r="AA454" s="7"/>
      <c r="AB454" s="60"/>
      <c r="AC454" s="60"/>
      <c r="AD454" s="60"/>
      <c r="AE454" s="7"/>
      <c r="AF454" s="7"/>
      <c r="AG454" s="7"/>
      <c r="AH454" s="7"/>
      <c r="AI454" s="7"/>
      <c r="AJ454" s="7">
        <f>Liste!X454</f>
        <v>0</v>
      </c>
      <c r="AK454" s="7">
        <f>Liste!Y454</f>
        <v>0</v>
      </c>
      <c r="AL454" s="7"/>
      <c r="AM454" s="7"/>
      <c r="AN454" s="7"/>
      <c r="AO454" s="1113">
        <f>Liste!D454</f>
        <v>0</v>
      </c>
      <c r="AP454" s="1113">
        <f>Liste!F454</f>
        <v>0</v>
      </c>
      <c r="AQ454" s="1113">
        <f>Liste!E454</f>
        <v>0</v>
      </c>
      <c r="AR454" s="1113">
        <f>Liste!G454</f>
        <v>0</v>
      </c>
      <c r="AS454" s="1112">
        <f>Liste!V454</f>
        <v>0</v>
      </c>
      <c r="AT454" s="1">
        <f>Liste!M454</f>
        <v>0</v>
      </c>
      <c r="AZ454" s="5" t="s">
        <v>31360</v>
      </c>
      <c r="BA454" s="4" t="s">
        <v>101</v>
      </c>
      <c r="BB454" s="4">
        <v>956</v>
      </c>
      <c r="BD454" s="35"/>
      <c r="BE454" s="35"/>
      <c r="BF454" s="2118" t="str">
        <f>Liste!R454</f>
        <v>0308334</v>
      </c>
      <c r="BG454" s="2137">
        <f>IF(AS454&gt;0,Liste!S454,0)</f>
        <v>0</v>
      </c>
      <c r="BH454" s="2118">
        <f>Liste!T454</f>
        <v>0</v>
      </c>
    </row>
    <row r="455" spans="1:60" ht="24.95" customHeight="1" x14ac:dyDescent="0.25">
      <c r="A455" s="29"/>
      <c r="B455" s="46" t="str">
        <f>IF(Liste!O455&gt;0,Liste!O455,Liste!B455)</f>
        <v>Ytong Planblock PPW4 600x250x150</v>
      </c>
      <c r="C455" s="2314"/>
      <c r="D455" s="30" t="str">
        <f>Liste!C455</f>
        <v>0220002</v>
      </c>
      <c r="E455" s="2314"/>
      <c r="F455" s="32">
        <f t="shared" si="36"/>
        <v>0</v>
      </c>
      <c r="G455" s="2314"/>
      <c r="H455" s="32">
        <f t="shared" si="37"/>
        <v>0</v>
      </c>
      <c r="I455" s="2314"/>
      <c r="J455" s="32">
        <f t="shared" si="38"/>
        <v>0</v>
      </c>
      <c r="K455" s="2314"/>
      <c r="L455" s="31">
        <f t="shared" si="39"/>
        <v>0</v>
      </c>
      <c r="M455" s="2314"/>
      <c r="N455" s="31" t="str">
        <f>Liste!L455</f>
        <v>Stk</v>
      </c>
      <c r="O455" s="31"/>
      <c r="P455" s="31"/>
      <c r="Q455" s="31">
        <f>Liste!P455</f>
        <v>0</v>
      </c>
      <c r="R455" s="31">
        <f>Liste!N455</f>
        <v>0</v>
      </c>
      <c r="S455" s="7">
        <v>0</v>
      </c>
      <c r="T455" s="7">
        <v>0</v>
      </c>
      <c r="U455" s="7">
        <v>0</v>
      </c>
      <c r="V455" s="7"/>
      <c r="W455" s="60"/>
      <c r="X455" s="60"/>
      <c r="Y455" s="60"/>
      <c r="Z455" s="7"/>
      <c r="AA455" s="7"/>
      <c r="AB455" s="60"/>
      <c r="AC455" s="60"/>
      <c r="AD455" s="60"/>
      <c r="AE455" s="7"/>
      <c r="AF455" s="7"/>
      <c r="AG455" s="7"/>
      <c r="AH455" s="7"/>
      <c r="AI455" s="7"/>
      <c r="AJ455" s="7">
        <f>Liste!X455</f>
        <v>0</v>
      </c>
      <c r="AK455" s="7">
        <f>Liste!Y455</f>
        <v>0</v>
      </c>
      <c r="AL455" s="7"/>
      <c r="AM455" s="7"/>
      <c r="AN455" s="7"/>
      <c r="AO455" s="1113">
        <f>Liste!D455</f>
        <v>0</v>
      </c>
      <c r="AP455" s="1113">
        <f>Liste!F455</f>
        <v>600</v>
      </c>
      <c r="AQ455" s="1113">
        <f>Liste!E455</f>
        <v>250</v>
      </c>
      <c r="AR455" s="1113">
        <f>Liste!G455</f>
        <v>150</v>
      </c>
      <c r="AS455" s="1112">
        <f>Liste!V455</f>
        <v>1</v>
      </c>
      <c r="AT455" s="1">
        <f>Liste!M455</f>
        <v>0</v>
      </c>
      <c r="AZ455" s="5" t="s">
        <v>31361</v>
      </c>
      <c r="BA455" s="4" t="s">
        <v>101</v>
      </c>
      <c r="BB455" s="4">
        <v>957</v>
      </c>
      <c r="BD455" s="35"/>
      <c r="BE455" s="35"/>
      <c r="BF455" s="2118" t="str">
        <f>Liste!R455</f>
        <v>0220002</v>
      </c>
      <c r="BG455" s="2137">
        <f>IF(AS455&gt;0,Liste!S455,0)</f>
        <v>0</v>
      </c>
      <c r="BH455" s="2118" t="str">
        <f>Liste!T455</f>
        <v>Stk</v>
      </c>
    </row>
    <row r="456" spans="1:60" ht="24.95" customHeight="1" x14ac:dyDescent="0.25">
      <c r="A456" s="29"/>
      <c r="B456" s="46" t="str">
        <f>IF(Liste!O456&gt;0,Liste!O456,Liste!B456)</f>
        <v>Kantenschutzwinkel 40 x 20 gelocht</v>
      </c>
      <c r="C456" s="2314"/>
      <c r="D456" s="30" t="str">
        <f>Liste!C456</f>
        <v>0308282</v>
      </c>
      <c r="E456" s="2314"/>
      <c r="F456" s="32">
        <f t="shared" si="36"/>
        <v>3</v>
      </c>
      <c r="G456" s="2314"/>
      <c r="H456" s="32">
        <f t="shared" si="37"/>
        <v>1100</v>
      </c>
      <c r="I456" s="2314"/>
      <c r="J456" s="32">
        <f t="shared" si="38"/>
        <v>58.04</v>
      </c>
      <c r="K456" s="2314"/>
      <c r="L456" s="31">
        <f t="shared" si="39"/>
        <v>0</v>
      </c>
      <c r="M456" s="2314"/>
      <c r="N456" s="31" t="str">
        <f>Liste!L456</f>
        <v>MM</v>
      </c>
      <c r="O456" s="31"/>
      <c r="P456" s="31"/>
      <c r="Q456" s="31">
        <f>Liste!P456</f>
        <v>0</v>
      </c>
      <c r="R456" s="31">
        <f>Liste!N456</f>
        <v>0</v>
      </c>
      <c r="S456" s="7">
        <v>0</v>
      </c>
      <c r="T456" s="7">
        <v>0</v>
      </c>
      <c r="U456" s="7">
        <v>0</v>
      </c>
      <c r="V456" s="7"/>
      <c r="W456" s="60"/>
      <c r="X456" s="60"/>
      <c r="Y456" s="60"/>
      <c r="Z456" s="7"/>
      <c r="AA456" s="7"/>
      <c r="AB456" s="60"/>
      <c r="AC456" s="60"/>
      <c r="AD456" s="60"/>
      <c r="AE456" s="7"/>
      <c r="AF456" s="7"/>
      <c r="AG456" s="7"/>
      <c r="AH456" s="7"/>
      <c r="AI456" s="7"/>
      <c r="AJ456" s="7">
        <f>Liste!X456</f>
        <v>0</v>
      </c>
      <c r="AK456" s="7">
        <f>Liste!Y456</f>
        <v>0</v>
      </c>
      <c r="AL456" s="7"/>
      <c r="AM456" s="7"/>
      <c r="AN456" s="7"/>
      <c r="AO456" s="1113">
        <f>Liste!D456</f>
        <v>3</v>
      </c>
      <c r="AP456" s="1113">
        <f>Liste!F456</f>
        <v>1100</v>
      </c>
      <c r="AQ456" s="1113">
        <f>Liste!E456</f>
        <v>58.04</v>
      </c>
      <c r="AR456" s="1113">
        <f>Liste!G456</f>
        <v>0</v>
      </c>
      <c r="AS456" s="1112">
        <f>Liste!V456</f>
        <v>1</v>
      </c>
      <c r="AT456" s="1">
        <f>Liste!M456</f>
        <v>0</v>
      </c>
      <c r="AZ456" s="5" t="s">
        <v>31362</v>
      </c>
      <c r="BA456" s="4" t="s">
        <v>101</v>
      </c>
      <c r="BB456" s="4">
        <v>958</v>
      </c>
      <c r="BD456" s="35"/>
      <c r="BE456" s="35"/>
      <c r="BF456" s="2118" t="str">
        <f>Liste!R456</f>
        <v>0308282</v>
      </c>
      <c r="BG456" s="2137">
        <f>IF(AS456&gt;0,Liste!S456,0)</f>
        <v>3</v>
      </c>
      <c r="BH456" s="2118" t="str">
        <f>Liste!T456</f>
        <v>Stk</v>
      </c>
    </row>
    <row r="457" spans="1:60" ht="24.95" customHeight="1" x14ac:dyDescent="0.25">
      <c r="A457" s="29"/>
      <c r="B457" s="46" t="str">
        <f>IF(Liste!O457&gt;0,Liste!O457,Liste!B457)</f>
        <v>Kantenschutzwinkel 40 x 20 x 1 V2A</v>
      </c>
      <c r="C457" s="2314"/>
      <c r="D457" s="30" t="str">
        <f>Liste!C457</f>
        <v>0713964</v>
      </c>
      <c r="E457" s="2314"/>
      <c r="F457" s="32">
        <f t="shared" si="36"/>
        <v>0</v>
      </c>
      <c r="G457" s="2314"/>
      <c r="H457" s="32">
        <f t="shared" si="37"/>
        <v>1100</v>
      </c>
      <c r="I457" s="2314"/>
      <c r="J457" s="32">
        <f t="shared" si="38"/>
        <v>0</v>
      </c>
      <c r="K457" s="2314"/>
      <c r="L457" s="31">
        <f t="shared" si="39"/>
        <v>0</v>
      </c>
      <c r="M457" s="2314"/>
      <c r="N457" s="31" t="str">
        <f>Liste!L457</f>
        <v>MM</v>
      </c>
      <c r="O457" s="31"/>
      <c r="P457" s="31"/>
      <c r="Q457" s="31">
        <f>Liste!P457</f>
        <v>0</v>
      </c>
      <c r="R457" s="31">
        <f>Liste!N457</f>
        <v>0</v>
      </c>
      <c r="S457" s="7">
        <v>0</v>
      </c>
      <c r="T457" s="7">
        <v>0</v>
      </c>
      <c r="U457" s="7">
        <v>0</v>
      </c>
      <c r="V457" s="7"/>
      <c r="W457" s="60"/>
      <c r="X457" s="60"/>
      <c r="Y457" s="60"/>
      <c r="Z457" s="7"/>
      <c r="AA457" s="7"/>
      <c r="AB457" s="60"/>
      <c r="AC457" s="60"/>
      <c r="AD457" s="60"/>
      <c r="AE457" s="7"/>
      <c r="AF457" s="7"/>
      <c r="AG457" s="7"/>
      <c r="AH457" s="7"/>
      <c r="AI457" s="7"/>
      <c r="AJ457" s="7">
        <f>Liste!X457</f>
        <v>0</v>
      </c>
      <c r="AK457" s="7">
        <f>Liste!Y457</f>
        <v>0</v>
      </c>
      <c r="AL457" s="7"/>
      <c r="AM457" s="7"/>
      <c r="AN457" s="7"/>
      <c r="AO457" s="1113">
        <f>Liste!D457</f>
        <v>0</v>
      </c>
      <c r="AP457" s="1113">
        <f>Liste!F457</f>
        <v>1100</v>
      </c>
      <c r="AQ457" s="1113">
        <f>Liste!E457</f>
        <v>0</v>
      </c>
      <c r="AR457" s="1113">
        <f>Liste!G457</f>
        <v>0</v>
      </c>
      <c r="AS457" s="1112">
        <f>Liste!V457</f>
        <v>1</v>
      </c>
      <c r="AT457" s="1">
        <f>Liste!M457</f>
        <v>0</v>
      </c>
      <c r="AZ457" s="5" t="s">
        <v>31363</v>
      </c>
      <c r="BA457" s="4" t="s">
        <v>101</v>
      </c>
      <c r="BB457" s="4">
        <v>959</v>
      </c>
      <c r="BD457" s="35"/>
      <c r="BE457" s="35"/>
      <c r="BF457" s="2118" t="str">
        <f>Liste!R457</f>
        <v>0713964</v>
      </c>
      <c r="BG457" s="2137">
        <f>IF(AS457&gt;0,Liste!S457,0)</f>
        <v>0</v>
      </c>
      <c r="BH457" s="2118" t="str">
        <f>Liste!T457</f>
        <v>Stk</v>
      </c>
    </row>
    <row r="458" spans="1:60" ht="24.95" customHeight="1" x14ac:dyDescent="0.25">
      <c r="A458" s="29"/>
      <c r="B458" s="46" t="str">
        <f>IF(Liste!O458&gt;0,Liste!O458,Liste!B458)</f>
        <v>Kantenschutzwinkel 40 x 20 gelocht</v>
      </c>
      <c r="C458" s="2314"/>
      <c r="D458" s="30" t="str">
        <f>Liste!C458</f>
        <v>0308282</v>
      </c>
      <c r="E458" s="2314"/>
      <c r="F458" s="32">
        <f t="shared" ref="F458:F522" si="40">IF(AS458&gt;0,AO458,0)</f>
        <v>0</v>
      </c>
      <c r="G458" s="2314"/>
      <c r="H458" s="32">
        <f t="shared" ref="H458:H522" si="41">IF(N458=$P$1,0,AP458)</f>
        <v>1100</v>
      </c>
      <c r="I458" s="2314"/>
      <c r="J458" s="32">
        <f t="shared" ref="J458:J522" si="42">IF(OR(N458=$P$1,N458=$Q$1),0,AQ458)</f>
        <v>58.04</v>
      </c>
      <c r="K458" s="2314"/>
      <c r="L458" s="31">
        <f t="shared" ref="L458:L522" si="43">IF(OR(N458=$P$1,N458=$Q$1,$R$1=N458),0,AR458)</f>
        <v>0</v>
      </c>
      <c r="M458" s="2314"/>
      <c r="N458" s="31">
        <f>Liste!L458</f>
        <v>0</v>
      </c>
      <c r="O458" s="31"/>
      <c r="P458" s="31"/>
      <c r="Q458" s="31">
        <f>Liste!P458</f>
        <v>0</v>
      </c>
      <c r="R458" s="31">
        <f>Liste!N458</f>
        <v>0</v>
      </c>
      <c r="S458" s="7">
        <v>0</v>
      </c>
      <c r="T458" s="7">
        <v>0</v>
      </c>
      <c r="U458" s="7">
        <v>0</v>
      </c>
      <c r="V458" s="7"/>
      <c r="W458" s="60"/>
      <c r="X458" s="60"/>
      <c r="Y458" s="60"/>
      <c r="Z458" s="7"/>
      <c r="AA458" s="7"/>
      <c r="AB458" s="60"/>
      <c r="AC458" s="60"/>
      <c r="AD458" s="60"/>
      <c r="AE458" s="7"/>
      <c r="AF458" s="7"/>
      <c r="AG458" s="7"/>
      <c r="AH458" s="7"/>
      <c r="AI458" s="7"/>
      <c r="AJ458" s="7">
        <f>Liste!X458</f>
        <v>0</v>
      </c>
      <c r="AK458" s="7">
        <f>Liste!Y458</f>
        <v>0</v>
      </c>
      <c r="AL458" s="7"/>
      <c r="AM458" s="7"/>
      <c r="AN458" s="7"/>
      <c r="AO458" s="1113">
        <f>Liste!D458</f>
        <v>0</v>
      </c>
      <c r="AP458" s="1113">
        <f>Liste!F458</f>
        <v>1100</v>
      </c>
      <c r="AQ458" s="1113">
        <f>Liste!E458</f>
        <v>58.04</v>
      </c>
      <c r="AR458" s="1113">
        <f>Liste!G458</f>
        <v>0</v>
      </c>
      <c r="AS458" s="1112">
        <f>Liste!V458</f>
        <v>0</v>
      </c>
      <c r="AT458" s="1">
        <f>Liste!M458</f>
        <v>0</v>
      </c>
      <c r="AZ458" s="5" t="s">
        <v>31364</v>
      </c>
      <c r="BA458" s="4" t="s">
        <v>101</v>
      </c>
      <c r="BB458" s="4">
        <v>960</v>
      </c>
      <c r="BD458" s="35"/>
      <c r="BE458" s="35"/>
      <c r="BF458" s="2118" t="str">
        <f>Liste!R458</f>
        <v>0308282</v>
      </c>
      <c r="BG458" s="2137">
        <f>IF(AS458&gt;0,Liste!S458,0)</f>
        <v>0</v>
      </c>
      <c r="BH458" s="2118">
        <f>Liste!T458</f>
        <v>0</v>
      </c>
    </row>
    <row r="459" spans="1:60" ht="24.95" customHeight="1" x14ac:dyDescent="0.25">
      <c r="A459" s="29"/>
      <c r="B459" s="46" t="str">
        <f>IF(Liste!O459&gt;0,Liste!O459,Liste!B459)</f>
        <v>Empekleber 1kg Gebinde</v>
      </c>
      <c r="C459" s="2314"/>
      <c r="D459" s="30" t="str">
        <f>Liste!C459</f>
        <v>0308292</v>
      </c>
      <c r="E459" s="2314"/>
      <c r="F459" s="32">
        <f t="shared" si="40"/>
        <v>1</v>
      </c>
      <c r="G459" s="2314"/>
      <c r="H459" s="32">
        <f t="shared" si="41"/>
        <v>0</v>
      </c>
      <c r="I459" s="2314"/>
      <c r="J459" s="32">
        <f t="shared" si="42"/>
        <v>0</v>
      </c>
      <c r="K459" s="2314"/>
      <c r="L459" s="31">
        <f t="shared" si="43"/>
        <v>0</v>
      </c>
      <c r="M459" s="2314"/>
      <c r="N459" s="31" t="str">
        <f>Liste!L459</f>
        <v>Stk</v>
      </c>
      <c r="O459" s="31"/>
      <c r="P459" s="31"/>
      <c r="Q459" s="31">
        <f>Liste!P459</f>
        <v>0</v>
      </c>
      <c r="R459" s="31">
        <f>Liste!N459</f>
        <v>0</v>
      </c>
      <c r="S459" s="7">
        <v>0</v>
      </c>
      <c r="T459" s="7">
        <v>0</v>
      </c>
      <c r="U459" s="7">
        <v>0</v>
      </c>
      <c r="V459" s="7"/>
      <c r="W459" s="60"/>
      <c r="X459" s="60"/>
      <c r="Y459" s="60"/>
      <c r="Z459" s="7"/>
      <c r="AA459" s="7"/>
      <c r="AB459" s="60"/>
      <c r="AC459" s="60"/>
      <c r="AD459" s="60"/>
      <c r="AE459" s="7"/>
      <c r="AF459" s="7"/>
      <c r="AG459" s="7"/>
      <c r="AH459" s="7"/>
      <c r="AI459" s="7"/>
      <c r="AJ459" s="7">
        <f>Liste!X459</f>
        <v>0</v>
      </c>
      <c r="AK459" s="7">
        <f>Liste!Y459</f>
        <v>0</v>
      </c>
      <c r="AL459" s="7"/>
      <c r="AM459" s="7"/>
      <c r="AN459" s="7"/>
      <c r="AO459" s="1113">
        <f>Liste!D459</f>
        <v>1</v>
      </c>
      <c r="AP459" s="1113">
        <f>Liste!F459</f>
        <v>0</v>
      </c>
      <c r="AQ459" s="1113">
        <f>Liste!E459</f>
        <v>0</v>
      </c>
      <c r="AR459" s="1113">
        <f>Liste!G459</f>
        <v>0</v>
      </c>
      <c r="AS459" s="1112">
        <f>Liste!V459</f>
        <v>1</v>
      </c>
      <c r="AT459" s="1">
        <f>Liste!M459</f>
        <v>0</v>
      </c>
      <c r="AZ459" s="5" t="s">
        <v>30114</v>
      </c>
      <c r="BA459" s="4" t="s">
        <v>101</v>
      </c>
      <c r="BB459" s="4">
        <v>961</v>
      </c>
      <c r="BD459" s="35"/>
      <c r="BE459" s="35"/>
      <c r="BF459" s="2118" t="str">
        <f>Liste!R459</f>
        <v>0308292</v>
      </c>
      <c r="BG459" s="2137">
        <f>IF(AS459&gt;0,Liste!S459,0)</f>
        <v>1</v>
      </c>
      <c r="BH459" s="2118" t="str">
        <f>Liste!T459</f>
        <v>Stk</v>
      </c>
    </row>
    <row r="460" spans="1:60" ht="24.95" customHeight="1" x14ac:dyDescent="0.25">
      <c r="A460" s="29"/>
      <c r="B460" s="46" t="str">
        <f>IF(Liste!O460&gt;0,Liste!O460,Liste!B460)</f>
        <v>Mineralwollstreifen 175mm (500mm lang)</v>
      </c>
      <c r="C460" s="2314"/>
      <c r="D460" s="30" t="str">
        <f>Liste!C460</f>
        <v>0205038</v>
      </c>
      <c r="E460" s="2314"/>
      <c r="F460" s="32">
        <f t="shared" si="40"/>
        <v>1</v>
      </c>
      <c r="G460" s="2314"/>
      <c r="H460" s="32">
        <f t="shared" si="41"/>
        <v>0</v>
      </c>
      <c r="I460" s="2314"/>
      <c r="J460" s="32">
        <f t="shared" si="42"/>
        <v>0</v>
      </c>
      <c r="K460" s="2314"/>
      <c r="L460" s="31">
        <f t="shared" si="43"/>
        <v>0</v>
      </c>
      <c r="M460" s="2314"/>
      <c r="N460" s="31" t="str">
        <f>Liste!L460</f>
        <v>Stk</v>
      </c>
      <c r="O460" s="31"/>
      <c r="P460" s="31"/>
      <c r="Q460" s="31">
        <f>Liste!P460</f>
        <v>0</v>
      </c>
      <c r="R460" s="31">
        <f>Liste!N460</f>
        <v>0</v>
      </c>
      <c r="S460" s="7">
        <v>0</v>
      </c>
      <c r="T460" s="7">
        <v>0</v>
      </c>
      <c r="U460" s="7">
        <v>0</v>
      </c>
      <c r="V460" s="7"/>
      <c r="W460" s="60"/>
      <c r="X460" s="60"/>
      <c r="Y460" s="60"/>
      <c r="Z460" s="7"/>
      <c r="AA460" s="7"/>
      <c r="AB460" s="60"/>
      <c r="AC460" s="60"/>
      <c r="AD460" s="60"/>
      <c r="AE460" s="7"/>
      <c r="AF460" s="7"/>
      <c r="AG460" s="7"/>
      <c r="AH460" s="7"/>
      <c r="AI460" s="7"/>
      <c r="AJ460" s="7">
        <f>Liste!X460</f>
        <v>0</v>
      </c>
      <c r="AK460" s="7">
        <f>Liste!Y460</f>
        <v>0</v>
      </c>
      <c r="AL460" s="7"/>
      <c r="AM460" s="7"/>
      <c r="AN460" s="7"/>
      <c r="AO460" s="1113">
        <f>Liste!D460</f>
        <v>1</v>
      </c>
      <c r="AP460" s="1113">
        <f>Liste!F460</f>
        <v>500</v>
      </c>
      <c r="AQ460" s="1113">
        <f>Liste!E460</f>
        <v>175</v>
      </c>
      <c r="AR460" s="1113">
        <f>Liste!G460</f>
        <v>25</v>
      </c>
      <c r="AS460" s="1112">
        <f>Liste!V460</f>
        <v>1</v>
      </c>
      <c r="AT460" s="1">
        <f>Liste!M460</f>
        <v>0</v>
      </c>
      <c r="AZ460" s="5" t="s">
        <v>30115</v>
      </c>
      <c r="BA460" s="4" t="s">
        <v>101</v>
      </c>
      <c r="BB460" s="4">
        <v>962</v>
      </c>
      <c r="BD460" s="35"/>
      <c r="BE460" s="35"/>
      <c r="BF460" s="2118" t="str">
        <f>Liste!R460</f>
        <v>0205038</v>
      </c>
      <c r="BG460" s="2137">
        <f>IF(AS460&gt;0,Liste!S460,0)</f>
        <v>1</v>
      </c>
      <c r="BH460" s="2118" t="str">
        <f>Liste!T460</f>
        <v>Stk</v>
      </c>
    </row>
    <row r="461" spans="1:60" ht="24.95" customHeight="1" x14ac:dyDescent="0.25">
      <c r="A461" s="29"/>
      <c r="B461" s="46" t="str">
        <f>IF(Liste!O461&gt;0,Liste!O461,Liste!B461)</f>
        <v>Befestigungswinkel Abschottung 50x30x175</v>
      </c>
      <c r="C461" s="2314"/>
      <c r="D461" s="30" t="str">
        <f>Liste!C461</f>
        <v>0308581</v>
      </c>
      <c r="E461" s="2314"/>
      <c r="F461" s="32">
        <f t="shared" si="40"/>
        <v>0</v>
      </c>
      <c r="G461" s="2314"/>
      <c r="H461" s="32">
        <f t="shared" si="41"/>
        <v>0</v>
      </c>
      <c r="I461" s="2314"/>
      <c r="J461" s="32">
        <f t="shared" si="42"/>
        <v>0</v>
      </c>
      <c r="K461" s="2314"/>
      <c r="L461" s="31">
        <f t="shared" si="43"/>
        <v>0</v>
      </c>
      <c r="M461" s="2314"/>
      <c r="N461" s="31" t="str">
        <f>Liste!L461</f>
        <v>Stk</v>
      </c>
      <c r="O461" s="31"/>
      <c r="P461" s="31"/>
      <c r="Q461" s="31">
        <f>Liste!P461</f>
        <v>0</v>
      </c>
      <c r="R461" s="31">
        <f>Liste!N461</f>
        <v>0</v>
      </c>
      <c r="S461" s="7">
        <v>0</v>
      </c>
      <c r="T461" s="7">
        <v>0</v>
      </c>
      <c r="U461" s="7">
        <v>0</v>
      </c>
      <c r="V461" s="7"/>
      <c r="W461" s="60"/>
      <c r="X461" s="60"/>
      <c r="Y461" s="60"/>
      <c r="Z461" s="7"/>
      <c r="AA461" s="7"/>
      <c r="AB461" s="60"/>
      <c r="AC461" s="60"/>
      <c r="AD461" s="60"/>
      <c r="AE461" s="7"/>
      <c r="AF461" s="7"/>
      <c r="AG461" s="7"/>
      <c r="AH461" s="7"/>
      <c r="AI461" s="7"/>
      <c r="AJ461" s="7">
        <f>Liste!X461</f>
        <v>0</v>
      </c>
      <c r="AK461" s="7">
        <f>Liste!Y461</f>
        <v>0</v>
      </c>
      <c r="AL461" s="7"/>
      <c r="AM461" s="7"/>
      <c r="AN461" s="7"/>
      <c r="AO461" s="1113">
        <f>Liste!D461</f>
        <v>0</v>
      </c>
      <c r="AP461" s="1113">
        <f>Liste!F461</f>
        <v>0</v>
      </c>
      <c r="AQ461" s="1113">
        <f>Liste!E461</f>
        <v>0</v>
      </c>
      <c r="AR461" s="1113">
        <f>Liste!G461</f>
        <v>0</v>
      </c>
      <c r="AS461" s="1112">
        <f>Liste!V461</f>
        <v>1</v>
      </c>
      <c r="AT461" s="1">
        <f>Liste!M461</f>
        <v>0</v>
      </c>
      <c r="AZ461" s="5" t="s">
        <v>30116</v>
      </c>
      <c r="BA461" s="4" t="s">
        <v>101</v>
      </c>
      <c r="BB461" s="4">
        <v>963</v>
      </c>
      <c r="BD461" s="35"/>
      <c r="BE461" s="35"/>
      <c r="BF461" s="2118">
        <f>Liste!R461</f>
        <v>0</v>
      </c>
      <c r="BG461" s="2137">
        <f>IF(AS461&gt;0,Liste!S461,0)</f>
        <v>0</v>
      </c>
      <c r="BH461" s="2118">
        <f>Liste!T461</f>
        <v>0</v>
      </c>
    </row>
    <row r="462" spans="1:60" ht="24.95" customHeight="1" x14ac:dyDescent="0.25">
      <c r="A462" s="29"/>
      <c r="B462" s="46" t="str">
        <f>IF(Liste!O462&gt;0,Liste!O462,Liste!B462)</f>
        <v>Befestigungswinkel Abschottung 50x30x175</v>
      </c>
      <c r="C462" s="2314"/>
      <c r="D462" s="30" t="str">
        <f>Liste!C462</f>
        <v>0338581</v>
      </c>
      <c r="E462" s="2314"/>
      <c r="F462" s="32">
        <f t="shared" si="40"/>
        <v>0</v>
      </c>
      <c r="G462" s="2314"/>
      <c r="H462" s="32">
        <f t="shared" si="41"/>
        <v>0</v>
      </c>
      <c r="I462" s="2314"/>
      <c r="J462" s="32">
        <f t="shared" si="42"/>
        <v>0</v>
      </c>
      <c r="K462" s="2314"/>
      <c r="L462" s="31">
        <f t="shared" si="43"/>
        <v>0</v>
      </c>
      <c r="M462" s="2314"/>
      <c r="N462" s="31" t="str">
        <f>Liste!L462</f>
        <v>Stk</v>
      </c>
      <c r="O462" s="31"/>
      <c r="P462" s="31"/>
      <c r="Q462" s="31">
        <f>Liste!P462</f>
        <v>0</v>
      </c>
      <c r="R462" s="31">
        <f>Liste!N462</f>
        <v>0</v>
      </c>
      <c r="S462" s="7">
        <v>0</v>
      </c>
      <c r="T462" s="7">
        <v>0</v>
      </c>
      <c r="U462" s="7">
        <v>0</v>
      </c>
      <c r="V462" s="7"/>
      <c r="W462" s="60"/>
      <c r="X462" s="60"/>
      <c r="Y462" s="60"/>
      <c r="Z462" s="7"/>
      <c r="AA462" s="7"/>
      <c r="AB462" s="60"/>
      <c r="AC462" s="60"/>
      <c r="AD462" s="60"/>
      <c r="AE462" s="7"/>
      <c r="AF462" s="7"/>
      <c r="AG462" s="7"/>
      <c r="AH462" s="7"/>
      <c r="AI462" s="7"/>
      <c r="AJ462" s="7">
        <f>Liste!X462</f>
        <v>0</v>
      </c>
      <c r="AK462" s="7">
        <f>Liste!Y462</f>
        <v>0</v>
      </c>
      <c r="AL462" s="7"/>
      <c r="AM462" s="7"/>
      <c r="AN462" s="7"/>
      <c r="AO462" s="1113">
        <f>Liste!D462</f>
        <v>0</v>
      </c>
      <c r="AP462" s="1113">
        <f>Liste!F462</f>
        <v>0</v>
      </c>
      <c r="AQ462" s="1113">
        <f>Liste!E462</f>
        <v>0</v>
      </c>
      <c r="AR462" s="1113">
        <f>Liste!G462</f>
        <v>0</v>
      </c>
      <c r="AS462" s="1112">
        <f>Liste!V462</f>
        <v>1</v>
      </c>
      <c r="AT462" s="1">
        <f>Liste!M462</f>
        <v>0</v>
      </c>
      <c r="AZ462" s="5" t="s">
        <v>30117</v>
      </c>
      <c r="BA462" s="4" t="s">
        <v>101</v>
      </c>
      <c r="BB462" s="4">
        <v>964</v>
      </c>
      <c r="BD462" s="35"/>
      <c r="BE462" s="35"/>
      <c r="BF462" s="2118">
        <f>Liste!R462</f>
        <v>0</v>
      </c>
      <c r="BG462" s="2137">
        <f>IF(AS462&gt;0,Liste!S462,0)</f>
        <v>0</v>
      </c>
      <c r="BH462" s="2118">
        <f>Liste!T462</f>
        <v>0</v>
      </c>
    </row>
    <row r="463" spans="1:60" ht="24.95" customHeight="1" x14ac:dyDescent="0.25">
      <c r="A463" s="29"/>
      <c r="B463" s="46">
        <f>IF(Liste!O463&gt;0,Liste!O463,Liste!B463)</f>
        <v>0</v>
      </c>
      <c r="C463" s="2314"/>
      <c r="D463" s="30">
        <f>Liste!C463</f>
        <v>0</v>
      </c>
      <c r="E463" s="2314"/>
      <c r="F463" s="32">
        <f t="shared" si="40"/>
        <v>0</v>
      </c>
      <c r="G463" s="2314"/>
      <c r="H463" s="32">
        <f t="shared" si="41"/>
        <v>0</v>
      </c>
      <c r="I463" s="2314"/>
      <c r="J463" s="32">
        <f t="shared" si="42"/>
        <v>0</v>
      </c>
      <c r="K463" s="2314"/>
      <c r="L463" s="31">
        <f t="shared" si="43"/>
        <v>0</v>
      </c>
      <c r="M463" s="2314"/>
      <c r="N463" s="31">
        <f>Liste!L463</f>
        <v>0</v>
      </c>
      <c r="O463" s="31"/>
      <c r="P463" s="31"/>
      <c r="Q463" s="31">
        <f>Liste!P463</f>
        <v>0</v>
      </c>
      <c r="R463" s="31">
        <f>Liste!N463</f>
        <v>0</v>
      </c>
      <c r="S463" s="7">
        <v>0</v>
      </c>
      <c r="T463" s="7">
        <v>0</v>
      </c>
      <c r="U463" s="7">
        <v>0</v>
      </c>
      <c r="V463" s="7"/>
      <c r="W463" s="60"/>
      <c r="X463" s="60"/>
      <c r="Y463" s="60"/>
      <c r="Z463" s="7"/>
      <c r="AA463" s="7"/>
      <c r="AB463" s="60"/>
      <c r="AC463" s="60"/>
      <c r="AD463" s="60"/>
      <c r="AE463" s="7"/>
      <c r="AF463" s="7"/>
      <c r="AG463" s="7"/>
      <c r="AH463" s="7"/>
      <c r="AI463" s="7"/>
      <c r="AJ463" s="7">
        <f>Liste!X463</f>
        <v>0</v>
      </c>
      <c r="AK463" s="7">
        <f>Liste!Y463</f>
        <v>0</v>
      </c>
      <c r="AL463" s="7"/>
      <c r="AM463" s="7"/>
      <c r="AN463" s="7"/>
      <c r="AO463" s="1113">
        <f>Liste!D463</f>
        <v>0</v>
      </c>
      <c r="AP463" s="1113">
        <f>Liste!F463</f>
        <v>0</v>
      </c>
      <c r="AQ463" s="1113">
        <f>Liste!E463</f>
        <v>0</v>
      </c>
      <c r="AR463" s="1113">
        <f>Liste!G463</f>
        <v>0</v>
      </c>
      <c r="AS463" s="1112">
        <f>Liste!V463</f>
        <v>0</v>
      </c>
      <c r="AT463" s="1">
        <f>Liste!M463</f>
        <v>0</v>
      </c>
      <c r="AZ463" s="5" t="s">
        <v>30118</v>
      </c>
      <c r="BA463" s="4" t="s">
        <v>101</v>
      </c>
      <c r="BB463" s="4">
        <v>965</v>
      </c>
      <c r="BD463" s="35"/>
      <c r="BE463" s="35"/>
      <c r="BF463" s="2118">
        <f>Liste!R463</f>
        <v>0</v>
      </c>
      <c r="BG463" s="2137">
        <f>IF(AS463&gt;0,Liste!S463,0)</f>
        <v>0</v>
      </c>
      <c r="BH463" s="2118">
        <f>Liste!T463</f>
        <v>0</v>
      </c>
    </row>
    <row r="464" spans="1:60" ht="24.95" customHeight="1" x14ac:dyDescent="0.25">
      <c r="A464" s="29"/>
      <c r="B464" s="46" t="str">
        <f>IF(Liste!O464&gt;0,Liste!O464,Liste!B464)</f>
        <v>Ausgleichsblech 2mm verz.</v>
      </c>
      <c r="C464" s="2314"/>
      <c r="D464" s="30" t="str">
        <f>Liste!C464</f>
        <v>0308153</v>
      </c>
      <c r="E464" s="2314"/>
      <c r="F464" s="32">
        <f t="shared" si="40"/>
        <v>0</v>
      </c>
      <c r="G464" s="2314"/>
      <c r="H464" s="32">
        <f t="shared" si="41"/>
        <v>0</v>
      </c>
      <c r="I464" s="2314"/>
      <c r="J464" s="32">
        <f t="shared" si="42"/>
        <v>0</v>
      </c>
      <c r="K464" s="2314"/>
      <c r="L464" s="31">
        <f t="shared" si="43"/>
        <v>0</v>
      </c>
      <c r="M464" s="2314"/>
      <c r="N464" s="31" t="str">
        <f>Liste!L464</f>
        <v>Stk</v>
      </c>
      <c r="O464" s="31"/>
      <c r="P464" s="31"/>
      <c r="Q464" s="31">
        <f>Liste!P464</f>
        <v>0</v>
      </c>
      <c r="R464" s="31">
        <f>Liste!N464</f>
        <v>0</v>
      </c>
      <c r="S464" s="7">
        <v>0</v>
      </c>
      <c r="T464" s="7">
        <v>0</v>
      </c>
      <c r="U464" s="7">
        <v>0</v>
      </c>
      <c r="V464" s="7"/>
      <c r="W464" s="60"/>
      <c r="X464" s="60"/>
      <c r="Y464" s="60"/>
      <c r="Z464" s="7"/>
      <c r="AA464" s="7"/>
      <c r="AB464" s="60"/>
      <c r="AC464" s="60"/>
      <c r="AD464" s="60"/>
      <c r="AE464" s="7"/>
      <c r="AF464" s="7"/>
      <c r="AG464" s="7"/>
      <c r="AH464" s="7"/>
      <c r="AI464" s="7"/>
      <c r="AJ464" s="7">
        <f>Liste!X464</f>
        <v>0</v>
      </c>
      <c r="AK464" s="7">
        <f>Liste!Y464</f>
        <v>0</v>
      </c>
      <c r="AL464" s="7"/>
      <c r="AM464" s="7"/>
      <c r="AN464" s="7"/>
      <c r="AO464" s="1113">
        <f>Liste!D464</f>
        <v>0</v>
      </c>
      <c r="AP464" s="1113">
        <f>Liste!F464</f>
        <v>50</v>
      </c>
      <c r="AQ464" s="1113">
        <f>Liste!E464</f>
        <v>60</v>
      </c>
      <c r="AR464" s="1113">
        <f>Liste!G464</f>
        <v>2</v>
      </c>
      <c r="AS464" s="1112">
        <f>Liste!V464</f>
        <v>1</v>
      </c>
      <c r="AT464" s="1">
        <f>Liste!M464</f>
        <v>0</v>
      </c>
      <c r="AZ464" s="5" t="s">
        <v>30119</v>
      </c>
      <c r="BA464" s="4" t="s">
        <v>101</v>
      </c>
      <c r="BB464" s="4">
        <v>966</v>
      </c>
      <c r="BD464" s="35"/>
      <c r="BE464" s="35"/>
      <c r="BF464" s="2118" t="str">
        <f>Liste!R464</f>
        <v>0308153</v>
      </c>
      <c r="BG464" s="2137">
        <f>IF(AS464&gt;0,Liste!S464,0)</f>
        <v>0</v>
      </c>
      <c r="BH464" s="2118" t="str">
        <f>Liste!T464</f>
        <v>Stk</v>
      </c>
    </row>
    <row r="465" spans="1:60" ht="24.95" customHeight="1" x14ac:dyDescent="0.25">
      <c r="A465" s="29"/>
      <c r="B465" s="46" t="str">
        <f>IF(Liste!O465&gt;0,Liste!O465,Liste!B465)</f>
        <v>Ausgleichsblech 2mm V2A</v>
      </c>
      <c r="C465" s="2314"/>
      <c r="D465" s="30" t="str">
        <f>Liste!C465</f>
        <v>0338153</v>
      </c>
      <c r="E465" s="2314"/>
      <c r="F465" s="32">
        <f t="shared" si="40"/>
        <v>0</v>
      </c>
      <c r="G465" s="2314"/>
      <c r="H465" s="32">
        <f t="shared" si="41"/>
        <v>0</v>
      </c>
      <c r="I465" s="2314"/>
      <c r="J465" s="32">
        <f t="shared" si="42"/>
        <v>0</v>
      </c>
      <c r="K465" s="2314"/>
      <c r="L465" s="31">
        <f t="shared" si="43"/>
        <v>0</v>
      </c>
      <c r="M465" s="2314"/>
      <c r="N465" s="31" t="str">
        <f>Liste!L465</f>
        <v>Stk</v>
      </c>
      <c r="O465" s="31"/>
      <c r="P465" s="31"/>
      <c r="Q465" s="31">
        <f>Liste!P465</f>
        <v>0</v>
      </c>
      <c r="R465" s="31">
        <f>Liste!N465</f>
        <v>0</v>
      </c>
      <c r="S465" s="7">
        <v>0</v>
      </c>
      <c r="T465" s="7">
        <v>0</v>
      </c>
      <c r="U465" s="7">
        <v>0</v>
      </c>
      <c r="V465" s="7"/>
      <c r="W465" s="60"/>
      <c r="X465" s="60"/>
      <c r="Y465" s="60"/>
      <c r="Z465" s="7"/>
      <c r="AA465" s="7"/>
      <c r="AB465" s="60"/>
      <c r="AC465" s="60"/>
      <c r="AD465" s="60"/>
      <c r="AE465" s="7"/>
      <c r="AF465" s="7"/>
      <c r="AG465" s="7"/>
      <c r="AH465" s="7"/>
      <c r="AI465" s="7"/>
      <c r="AJ465" s="7">
        <f>Liste!X465</f>
        <v>0</v>
      </c>
      <c r="AK465" s="7">
        <f>Liste!Y465</f>
        <v>0</v>
      </c>
      <c r="AL465" s="7"/>
      <c r="AM465" s="7"/>
      <c r="AN465" s="7"/>
      <c r="AO465" s="1113">
        <f>Liste!D465</f>
        <v>0</v>
      </c>
      <c r="AP465" s="1113">
        <f>Liste!F465</f>
        <v>50</v>
      </c>
      <c r="AQ465" s="1113">
        <f>Liste!E465</f>
        <v>60</v>
      </c>
      <c r="AR465" s="1113">
        <f>Liste!G465</f>
        <v>2</v>
      </c>
      <c r="AS465" s="1112">
        <f>Liste!V465</f>
        <v>1</v>
      </c>
      <c r="AT465" s="1">
        <f>Liste!M465</f>
        <v>0</v>
      </c>
      <c r="AZ465" s="5" t="s">
        <v>30120</v>
      </c>
      <c r="BA465" s="4" t="s">
        <v>101</v>
      </c>
      <c r="BB465" s="4">
        <v>967</v>
      </c>
      <c r="BD465" s="35"/>
      <c r="BE465" s="35"/>
      <c r="BF465" s="2118" t="str">
        <f>Liste!R465</f>
        <v>0338153</v>
      </c>
      <c r="BG465" s="2137">
        <f>IF(AS465&gt;0,Liste!S465,0)</f>
        <v>0</v>
      </c>
      <c r="BH465" s="2118" t="str">
        <f>Liste!T465</f>
        <v>Stk</v>
      </c>
    </row>
    <row r="466" spans="1:60" ht="24.95" customHeight="1" x14ac:dyDescent="0.25">
      <c r="A466" s="29"/>
      <c r="B466" s="46">
        <f>IF(Liste!O466&gt;0,Liste!O466,Liste!B466)</f>
        <v>0</v>
      </c>
      <c r="C466" s="2314"/>
      <c r="D466" s="30">
        <f>Liste!C466</f>
        <v>0</v>
      </c>
      <c r="E466" s="2314"/>
      <c r="F466" s="32">
        <f t="shared" si="40"/>
        <v>0</v>
      </c>
      <c r="G466" s="2314"/>
      <c r="H466" s="32">
        <f t="shared" si="41"/>
        <v>0</v>
      </c>
      <c r="I466" s="2314"/>
      <c r="J466" s="32">
        <f t="shared" si="42"/>
        <v>0</v>
      </c>
      <c r="K466" s="2314"/>
      <c r="L466" s="31">
        <f t="shared" si="43"/>
        <v>0</v>
      </c>
      <c r="M466" s="2314"/>
      <c r="N466" s="31">
        <f>Liste!L466</f>
        <v>0</v>
      </c>
      <c r="O466" s="31"/>
      <c r="P466" s="31"/>
      <c r="Q466" s="31">
        <f>Liste!P466</f>
        <v>0</v>
      </c>
      <c r="R466" s="31">
        <f>Liste!N466</f>
        <v>0</v>
      </c>
      <c r="S466" s="7">
        <v>0</v>
      </c>
      <c r="T466" s="7">
        <v>0</v>
      </c>
      <c r="U466" s="7">
        <v>0</v>
      </c>
      <c r="V466" s="7"/>
      <c r="W466" s="60"/>
      <c r="X466" s="60"/>
      <c r="Y466" s="60"/>
      <c r="Z466" s="7"/>
      <c r="AA466" s="7"/>
      <c r="AB466" s="60"/>
      <c r="AC466" s="60"/>
      <c r="AD466" s="60"/>
      <c r="AE466" s="7"/>
      <c r="AF466" s="7"/>
      <c r="AG466" s="7"/>
      <c r="AH466" s="7"/>
      <c r="AI466" s="7"/>
      <c r="AJ466" s="7">
        <f>Liste!X466</f>
        <v>0</v>
      </c>
      <c r="AK466" s="7">
        <f>Liste!Y466</f>
        <v>0</v>
      </c>
      <c r="AL466" s="7"/>
      <c r="AM466" s="7"/>
      <c r="AN466" s="7"/>
      <c r="AO466" s="1113">
        <f>Liste!D466</f>
        <v>0</v>
      </c>
      <c r="AP466" s="1113">
        <f>Liste!F466</f>
        <v>0</v>
      </c>
      <c r="AQ466" s="1113">
        <f>Liste!E466</f>
        <v>0</v>
      </c>
      <c r="AR466" s="1113">
        <f>Liste!G466</f>
        <v>0</v>
      </c>
      <c r="AS466" s="1112">
        <f>Liste!V466</f>
        <v>0</v>
      </c>
      <c r="AT466" s="1">
        <f>Liste!M466</f>
        <v>0</v>
      </c>
      <c r="AZ466" s="5" t="s">
        <v>30121</v>
      </c>
      <c r="BA466" s="4" t="s">
        <v>101</v>
      </c>
      <c r="BB466" s="4">
        <v>968</v>
      </c>
      <c r="BD466" s="35"/>
      <c r="BE466" s="35"/>
      <c r="BF466" s="2118">
        <f>Liste!R466</f>
        <v>0</v>
      </c>
      <c r="BG466" s="2137">
        <f>IF(AS466&gt;0,Liste!S466,0)</f>
        <v>0</v>
      </c>
      <c r="BH466" s="2118">
        <f>Liste!T466</f>
        <v>0</v>
      </c>
    </row>
    <row r="467" spans="1:60" ht="24.95" customHeight="1" x14ac:dyDescent="0.25">
      <c r="A467" s="29"/>
      <c r="B467" s="46" t="str">
        <f>IF(Liste!O467&gt;0,Liste!O467,Liste!B467)</f>
        <v>Ausgleichsblech 1mm verz.</v>
      </c>
      <c r="C467" s="2314"/>
      <c r="D467" s="30" t="str">
        <f>Liste!C467</f>
        <v>0308152</v>
      </c>
      <c r="E467" s="2314"/>
      <c r="F467" s="32">
        <f t="shared" si="40"/>
        <v>0</v>
      </c>
      <c r="G467" s="2314"/>
      <c r="H467" s="32">
        <f t="shared" si="41"/>
        <v>0</v>
      </c>
      <c r="I467" s="2314"/>
      <c r="J467" s="32">
        <f t="shared" si="42"/>
        <v>0</v>
      </c>
      <c r="K467" s="2314"/>
      <c r="L467" s="31">
        <f t="shared" si="43"/>
        <v>0</v>
      </c>
      <c r="M467" s="2314"/>
      <c r="N467" s="31" t="str">
        <f>Liste!L467</f>
        <v>Stk</v>
      </c>
      <c r="O467" s="31"/>
      <c r="P467" s="31"/>
      <c r="Q467" s="31">
        <f>Liste!P467</f>
        <v>0</v>
      </c>
      <c r="R467" s="31">
        <f>Liste!N467</f>
        <v>0</v>
      </c>
      <c r="S467" s="7">
        <v>0</v>
      </c>
      <c r="T467" s="7">
        <v>0</v>
      </c>
      <c r="U467" s="7">
        <v>0</v>
      </c>
      <c r="V467" s="7"/>
      <c r="W467" s="60"/>
      <c r="X467" s="60"/>
      <c r="Y467" s="60"/>
      <c r="Z467" s="7"/>
      <c r="AA467" s="7"/>
      <c r="AB467" s="60"/>
      <c r="AC467" s="60"/>
      <c r="AD467" s="60"/>
      <c r="AE467" s="7"/>
      <c r="AF467" s="7"/>
      <c r="AG467" s="7"/>
      <c r="AH467" s="7"/>
      <c r="AI467" s="7"/>
      <c r="AJ467" s="7">
        <f>Liste!X467</f>
        <v>0</v>
      </c>
      <c r="AK467" s="7">
        <f>Liste!Y467</f>
        <v>0</v>
      </c>
      <c r="AL467" s="7"/>
      <c r="AM467" s="7"/>
      <c r="AN467" s="7"/>
      <c r="AO467" s="1113">
        <f>Liste!D467</f>
        <v>0</v>
      </c>
      <c r="AP467" s="1113">
        <f>Liste!F467</f>
        <v>50</v>
      </c>
      <c r="AQ467" s="1113">
        <f>Liste!E467</f>
        <v>60</v>
      </c>
      <c r="AR467" s="1113">
        <f>Liste!G467</f>
        <v>1</v>
      </c>
      <c r="AS467" s="1112">
        <f>Liste!V467</f>
        <v>1</v>
      </c>
      <c r="AT467" s="1">
        <f>Liste!M467</f>
        <v>0</v>
      </c>
      <c r="AZ467" s="5" t="s">
        <v>30122</v>
      </c>
      <c r="BA467" s="4" t="s">
        <v>101</v>
      </c>
      <c r="BB467" s="4">
        <v>969</v>
      </c>
      <c r="BD467" s="35"/>
      <c r="BE467" s="35"/>
      <c r="BF467" s="2118" t="str">
        <f>Liste!R467</f>
        <v>0308152</v>
      </c>
      <c r="BG467" s="2137">
        <f>IF(AS467&gt;0,Liste!S467,0)</f>
        <v>0</v>
      </c>
      <c r="BH467" s="2118" t="str">
        <f>Liste!T467</f>
        <v>Stk</v>
      </c>
    </row>
    <row r="468" spans="1:60" ht="24.95" customHeight="1" x14ac:dyDescent="0.25">
      <c r="A468" s="29"/>
      <c r="B468" s="46" t="str">
        <f>IF(Liste!O468&gt;0,Liste!O468,Liste!B468)</f>
        <v>Ausgleichsblech 1mm V2A</v>
      </c>
      <c r="C468" s="2314"/>
      <c r="D468" s="30" t="str">
        <f>Liste!C468</f>
        <v>0338152</v>
      </c>
      <c r="E468" s="2314"/>
      <c r="F468" s="32">
        <f t="shared" si="40"/>
        <v>0</v>
      </c>
      <c r="G468" s="2314"/>
      <c r="H468" s="32">
        <f t="shared" si="41"/>
        <v>0</v>
      </c>
      <c r="I468" s="2314"/>
      <c r="J468" s="32">
        <f t="shared" si="42"/>
        <v>0</v>
      </c>
      <c r="K468" s="2314"/>
      <c r="L468" s="31">
        <f t="shared" si="43"/>
        <v>0</v>
      </c>
      <c r="M468" s="2314"/>
      <c r="N468" s="31" t="str">
        <f>Liste!L468</f>
        <v>Stk</v>
      </c>
      <c r="O468" s="31"/>
      <c r="P468" s="31"/>
      <c r="Q468" s="31">
        <f>Liste!P468</f>
        <v>0</v>
      </c>
      <c r="R468" s="31">
        <f>Liste!N468</f>
        <v>0</v>
      </c>
      <c r="S468" s="7">
        <v>0</v>
      </c>
      <c r="T468" s="7">
        <v>0</v>
      </c>
      <c r="U468" s="7">
        <v>0</v>
      </c>
      <c r="V468" s="7"/>
      <c r="W468" s="60"/>
      <c r="X468" s="60"/>
      <c r="Y468" s="60"/>
      <c r="Z468" s="7"/>
      <c r="AA468" s="7"/>
      <c r="AB468" s="60"/>
      <c r="AC468" s="60"/>
      <c r="AD468" s="60"/>
      <c r="AE468" s="7"/>
      <c r="AF468" s="7"/>
      <c r="AG468" s="7"/>
      <c r="AH468" s="7"/>
      <c r="AI468" s="7"/>
      <c r="AJ468" s="7">
        <f>Liste!X468</f>
        <v>0</v>
      </c>
      <c r="AK468" s="7">
        <f>Liste!Y468</f>
        <v>0</v>
      </c>
      <c r="AL468" s="7"/>
      <c r="AM468" s="7"/>
      <c r="AN468" s="7"/>
      <c r="AO468" s="1113">
        <f>Liste!D468</f>
        <v>0</v>
      </c>
      <c r="AP468" s="1113">
        <f>Liste!F468</f>
        <v>50</v>
      </c>
      <c r="AQ468" s="1113">
        <f>Liste!E468</f>
        <v>60</v>
      </c>
      <c r="AR468" s="1113">
        <f>Liste!G468</f>
        <v>1</v>
      </c>
      <c r="AS468" s="1112">
        <f>Liste!V468</f>
        <v>1</v>
      </c>
      <c r="AT468" s="1">
        <f>Liste!M468</f>
        <v>0</v>
      </c>
      <c r="AZ468" s="5" t="s">
        <v>30123</v>
      </c>
      <c r="BA468" s="4" t="s">
        <v>101</v>
      </c>
      <c r="BB468" s="4">
        <v>970</v>
      </c>
      <c r="BD468" s="35"/>
      <c r="BE468" s="35"/>
      <c r="BF468" s="2118" t="str">
        <f>Liste!R468</f>
        <v>0338152</v>
      </c>
      <c r="BG468" s="2137">
        <f>IF(AS468&gt;0,Liste!S468,0)</f>
        <v>0</v>
      </c>
      <c r="BH468" s="2118" t="str">
        <f>Liste!T468</f>
        <v>Stk</v>
      </c>
    </row>
    <row r="469" spans="1:60" ht="24.95" customHeight="1" x14ac:dyDescent="0.25">
      <c r="A469" s="29"/>
      <c r="B469" s="46">
        <f>IF(Liste!O469&gt;0,Liste!O469,Liste!B469)</f>
        <v>0</v>
      </c>
      <c r="C469" s="2314"/>
      <c r="D469" s="30">
        <f>Liste!C469</f>
        <v>0</v>
      </c>
      <c r="E469" s="2314"/>
      <c r="F469" s="32">
        <f t="shared" si="40"/>
        <v>0</v>
      </c>
      <c r="G469" s="2314"/>
      <c r="H469" s="32">
        <f t="shared" si="41"/>
        <v>0</v>
      </c>
      <c r="I469" s="2314"/>
      <c r="J469" s="32">
        <f t="shared" si="42"/>
        <v>0</v>
      </c>
      <c r="K469" s="2314"/>
      <c r="L469" s="31">
        <f t="shared" si="43"/>
        <v>0</v>
      </c>
      <c r="M469" s="2314"/>
      <c r="N469" s="31">
        <f>Liste!L469</f>
        <v>0</v>
      </c>
      <c r="O469" s="31"/>
      <c r="P469" s="31"/>
      <c r="Q469" s="31">
        <f>Liste!P469</f>
        <v>0</v>
      </c>
      <c r="R469" s="31">
        <f>Liste!N469</f>
        <v>0</v>
      </c>
      <c r="S469" s="7">
        <v>0</v>
      </c>
      <c r="T469" s="7">
        <v>0</v>
      </c>
      <c r="U469" s="7">
        <v>0</v>
      </c>
      <c r="V469" s="7"/>
      <c r="W469" s="60"/>
      <c r="X469" s="60"/>
      <c r="Y469" s="60"/>
      <c r="Z469" s="7"/>
      <c r="AA469" s="7"/>
      <c r="AB469" s="60"/>
      <c r="AC469" s="60"/>
      <c r="AD469" s="60"/>
      <c r="AE469" s="7"/>
      <c r="AF469" s="7"/>
      <c r="AG469" s="7"/>
      <c r="AH469" s="7"/>
      <c r="AI469" s="7"/>
      <c r="AJ469" s="7">
        <f>Liste!X469</f>
        <v>0</v>
      </c>
      <c r="AK469" s="7">
        <f>Liste!Y469</f>
        <v>0</v>
      </c>
      <c r="AL469" s="7"/>
      <c r="AM469" s="7"/>
      <c r="AN469" s="7"/>
      <c r="AO469" s="1113">
        <f>Liste!D469</f>
        <v>0</v>
      </c>
      <c r="AP469" s="1113">
        <f>Liste!F469</f>
        <v>0</v>
      </c>
      <c r="AQ469" s="1113">
        <f>Liste!E469</f>
        <v>0</v>
      </c>
      <c r="AR469" s="1113">
        <f>Liste!G469</f>
        <v>0</v>
      </c>
      <c r="AS469" s="1112">
        <f>Liste!V469</f>
        <v>0</v>
      </c>
      <c r="AT469" s="1">
        <f>Liste!M469</f>
        <v>0</v>
      </c>
      <c r="AZ469" s="5" t="s">
        <v>30124</v>
      </c>
      <c r="BA469" s="4" t="s">
        <v>101</v>
      </c>
      <c r="BB469" s="4">
        <v>971</v>
      </c>
      <c r="BD469" s="35"/>
      <c r="BE469" s="35"/>
      <c r="BF469" s="2118">
        <f>Liste!R469</f>
        <v>0</v>
      </c>
      <c r="BG469" s="2137">
        <f>IF(AS469&gt;0,Liste!S469,0)</f>
        <v>0</v>
      </c>
      <c r="BH469" s="2118">
        <f>Liste!T469</f>
        <v>0</v>
      </c>
    </row>
    <row r="470" spans="1:60" ht="24.95" customHeight="1" x14ac:dyDescent="0.25">
      <c r="A470" s="29"/>
      <c r="B470" s="46" t="str">
        <f>IF(Liste!O470&gt;0,Liste!O470,Liste!B470)</f>
        <v>Verstärkte Flachpalette mit Aufbau</v>
      </c>
      <c r="C470" s="2314"/>
      <c r="D470" s="30" t="str">
        <f>Liste!C470</f>
        <v>0308531</v>
      </c>
      <c r="E470" s="2314"/>
      <c r="F470" s="32">
        <f t="shared" si="40"/>
        <v>1</v>
      </c>
      <c r="G470" s="2314"/>
      <c r="H470" s="32">
        <f t="shared" si="41"/>
        <v>0</v>
      </c>
      <c r="I470" s="2314"/>
      <c r="J470" s="32">
        <f t="shared" si="42"/>
        <v>0</v>
      </c>
      <c r="K470" s="2314"/>
      <c r="L470" s="31">
        <f t="shared" si="43"/>
        <v>0</v>
      </c>
      <c r="M470" s="2314"/>
      <c r="N470" s="31" t="str">
        <f>Liste!L470</f>
        <v>Stk</v>
      </c>
      <c r="O470" s="31"/>
      <c r="P470" s="31"/>
      <c r="Q470" s="31">
        <f>Liste!P470</f>
        <v>0</v>
      </c>
      <c r="R470" s="31">
        <f>Liste!N470</f>
        <v>0</v>
      </c>
      <c r="S470" s="7">
        <v>0</v>
      </c>
      <c r="T470" s="7">
        <v>0</v>
      </c>
      <c r="U470" s="7">
        <v>0</v>
      </c>
      <c r="V470" s="7"/>
      <c r="W470" s="60"/>
      <c r="X470" s="60"/>
      <c r="Y470" s="60"/>
      <c r="Z470" s="7"/>
      <c r="AA470" s="7"/>
      <c r="AB470" s="60"/>
      <c r="AC470" s="60"/>
      <c r="AD470" s="60"/>
      <c r="AE470" s="7"/>
      <c r="AF470" s="7"/>
      <c r="AG470" s="7"/>
      <c r="AH470" s="7"/>
      <c r="AI470" s="7"/>
      <c r="AJ470" s="7">
        <f>Liste!X470</f>
        <v>0</v>
      </c>
      <c r="AK470" s="7">
        <f>Liste!Y470</f>
        <v>0</v>
      </c>
      <c r="AL470" s="7"/>
      <c r="AM470" s="7"/>
      <c r="AN470" s="7"/>
      <c r="AO470" s="1113">
        <f>Liste!D470</f>
        <v>1</v>
      </c>
      <c r="AP470" s="1113">
        <f>Liste!F470</f>
        <v>1500</v>
      </c>
      <c r="AQ470" s="1113">
        <f>Liste!E470</f>
        <v>1000</v>
      </c>
      <c r="AR470" s="1113">
        <f>Liste!G470</f>
        <v>0</v>
      </c>
      <c r="AS470" s="1112">
        <f>Liste!V470</f>
        <v>1</v>
      </c>
      <c r="AT470" s="1">
        <f>Liste!M470</f>
        <v>0</v>
      </c>
      <c r="AZ470" s="5" t="s">
        <v>30125</v>
      </c>
      <c r="BA470" s="4" t="s">
        <v>101</v>
      </c>
      <c r="BB470" s="4">
        <v>972</v>
      </c>
      <c r="BD470" s="35"/>
      <c r="BE470" s="35"/>
      <c r="BF470" s="2118" t="str">
        <f>Liste!R470</f>
        <v>0308531</v>
      </c>
      <c r="BG470" s="2137">
        <f>IF(AS470&gt;0,Liste!S470,0)</f>
        <v>0</v>
      </c>
      <c r="BH470" s="2118">
        <f>Liste!T470</f>
        <v>0</v>
      </c>
    </row>
    <row r="471" spans="1:60" ht="24.95" customHeight="1" x14ac:dyDescent="0.25">
      <c r="A471" s="29"/>
      <c r="B471" s="46" t="str">
        <f>IF(Liste!O471&gt;0,Liste!O471,Liste!B471)</f>
        <v>Etiketten DIN A5 weiß auf Bogen DIN A4</v>
      </c>
      <c r="C471" s="2314"/>
      <c r="D471" s="30" t="str">
        <f>Liste!C471</f>
        <v>0708918</v>
      </c>
      <c r="E471" s="2314"/>
      <c r="F471" s="32">
        <f t="shared" si="40"/>
        <v>4</v>
      </c>
      <c r="G471" s="2314"/>
      <c r="H471" s="32">
        <f t="shared" si="41"/>
        <v>0</v>
      </c>
      <c r="I471" s="2314"/>
      <c r="J471" s="32">
        <f t="shared" si="42"/>
        <v>0</v>
      </c>
      <c r="K471" s="2314"/>
      <c r="L471" s="31">
        <f t="shared" si="43"/>
        <v>0</v>
      </c>
      <c r="M471" s="2314"/>
      <c r="N471" s="31" t="str">
        <f>Liste!L471</f>
        <v>Stk</v>
      </c>
      <c r="O471" s="31"/>
      <c r="P471" s="31"/>
      <c r="Q471" s="31">
        <f>Liste!P471</f>
        <v>0</v>
      </c>
      <c r="R471" s="31">
        <f>Liste!N471</f>
        <v>0</v>
      </c>
      <c r="S471" s="7">
        <v>0</v>
      </c>
      <c r="T471" s="7">
        <v>0</v>
      </c>
      <c r="U471" s="7">
        <v>0</v>
      </c>
      <c r="V471" s="7"/>
      <c r="W471" s="60"/>
      <c r="X471" s="60"/>
      <c r="Y471" s="60"/>
      <c r="Z471" s="7"/>
      <c r="AA471" s="7"/>
      <c r="AB471" s="60"/>
      <c r="AC471" s="60"/>
      <c r="AD471" s="60"/>
      <c r="AE471" s="7"/>
      <c r="AF471" s="7"/>
      <c r="AG471" s="7"/>
      <c r="AH471" s="7"/>
      <c r="AI471" s="7"/>
      <c r="AJ471" s="7">
        <f>Liste!X471</f>
        <v>0</v>
      </c>
      <c r="AK471" s="7">
        <f>Liste!Y471</f>
        <v>0</v>
      </c>
      <c r="AL471" s="7"/>
      <c r="AM471" s="7"/>
      <c r="AN471" s="7"/>
      <c r="AO471" s="1113">
        <f>Liste!D471</f>
        <v>4</v>
      </c>
      <c r="AP471" s="1113">
        <f>Liste!F471</f>
        <v>0</v>
      </c>
      <c r="AQ471" s="1113">
        <f>Liste!E471</f>
        <v>0</v>
      </c>
      <c r="AR471" s="1113">
        <f>Liste!G471</f>
        <v>0</v>
      </c>
      <c r="AS471" s="1112">
        <f>Liste!V471</f>
        <v>1</v>
      </c>
      <c r="AT471" s="1">
        <f>Liste!M471</f>
        <v>0</v>
      </c>
      <c r="AZ471" s="5" t="s">
        <v>30126</v>
      </c>
      <c r="BA471" s="4" t="s">
        <v>101</v>
      </c>
      <c r="BB471" s="4">
        <v>973</v>
      </c>
      <c r="BD471" s="35"/>
      <c r="BE471" s="35"/>
      <c r="BF471" s="2118" t="str">
        <f>Liste!R471</f>
        <v>0708918</v>
      </c>
      <c r="BG471" s="2137">
        <f>IF(AS471&gt;0,Liste!S471,0)</f>
        <v>4</v>
      </c>
      <c r="BH471" s="2118" t="str">
        <f>Liste!T471</f>
        <v>Stk</v>
      </c>
    </row>
    <row r="472" spans="1:60" ht="24.95" customHeight="1" x14ac:dyDescent="0.25">
      <c r="A472" s="29"/>
      <c r="B472" s="46" t="str">
        <f>IF(Liste!O472&gt;0,Liste!O472,Liste!B472)</f>
        <v>Festfeldpalette GCC</v>
      </c>
      <c r="C472" s="2314"/>
      <c r="D472" s="30" t="str">
        <f>Liste!C472</f>
        <v>0715214</v>
      </c>
      <c r="E472" s="2314"/>
      <c r="F472" s="32">
        <f t="shared" si="40"/>
        <v>0</v>
      </c>
      <c r="G472" s="2314"/>
      <c r="H472" s="32">
        <f t="shared" si="41"/>
        <v>0</v>
      </c>
      <c r="I472" s="2314"/>
      <c r="J472" s="32">
        <f t="shared" si="42"/>
        <v>0</v>
      </c>
      <c r="K472" s="2314"/>
      <c r="L472" s="31">
        <f t="shared" si="43"/>
        <v>0</v>
      </c>
      <c r="M472" s="2314"/>
      <c r="N472" s="31" t="str">
        <f>Liste!L472</f>
        <v>Stk</v>
      </c>
      <c r="O472" s="31"/>
      <c r="P472" s="31"/>
      <c r="Q472" s="31">
        <f>Liste!P472</f>
        <v>0</v>
      </c>
      <c r="R472" s="31">
        <f>Liste!N472</f>
        <v>0</v>
      </c>
      <c r="S472" s="7">
        <v>0</v>
      </c>
      <c r="T472" s="7">
        <v>0</v>
      </c>
      <c r="U472" s="7">
        <v>0</v>
      </c>
      <c r="V472" s="7"/>
      <c r="W472" s="60"/>
      <c r="X472" s="60"/>
      <c r="Y472" s="60"/>
      <c r="Z472" s="7"/>
      <c r="AA472" s="7"/>
      <c r="AB472" s="60"/>
      <c r="AC472" s="60"/>
      <c r="AD472" s="60"/>
      <c r="AE472" s="7"/>
      <c r="AF472" s="7"/>
      <c r="AG472" s="7"/>
      <c r="AH472" s="7"/>
      <c r="AI472" s="7"/>
      <c r="AJ472" s="7">
        <f>Liste!X472</f>
        <v>0</v>
      </c>
      <c r="AK472" s="7">
        <f>Liste!Y472</f>
        <v>0</v>
      </c>
      <c r="AL472" s="7"/>
      <c r="AM472" s="7"/>
      <c r="AN472" s="7"/>
      <c r="AO472" s="1113">
        <f>Liste!D472</f>
        <v>0</v>
      </c>
      <c r="AP472" s="1113">
        <f>Liste!F472</f>
        <v>1300</v>
      </c>
      <c r="AQ472" s="1113">
        <f>Liste!E472</f>
        <v>800</v>
      </c>
      <c r="AR472" s="1113">
        <f>Liste!G472</f>
        <v>0</v>
      </c>
      <c r="AS472" s="1112">
        <f>Liste!V472</f>
        <v>1</v>
      </c>
      <c r="AT472" s="1">
        <f>Liste!M472</f>
        <v>0</v>
      </c>
      <c r="AZ472" s="5" t="s">
        <v>30127</v>
      </c>
      <c r="BA472" s="4" t="s">
        <v>101</v>
      </c>
      <c r="BB472" s="4">
        <v>974</v>
      </c>
      <c r="BD472" s="35"/>
      <c r="BE472" s="35"/>
      <c r="BF472" s="2118" t="str">
        <f>Liste!R472</f>
        <v>0715214</v>
      </c>
      <c r="BG472" s="2137">
        <f>IF(AS472&gt;0,Liste!S472,0)</f>
        <v>0</v>
      </c>
      <c r="BH472" s="2118">
        <f>Liste!T472</f>
        <v>0</v>
      </c>
    </row>
    <row r="473" spans="1:60" ht="24.95" customHeight="1" x14ac:dyDescent="0.25">
      <c r="A473" s="29"/>
      <c r="B473" s="46">
        <f>IF(Liste!O473&gt;0,Liste!O473,Liste!B473)</f>
        <v>0</v>
      </c>
      <c r="C473" s="2314"/>
      <c r="D473" s="30">
        <f>Liste!C473</f>
        <v>0</v>
      </c>
      <c r="E473" s="2314"/>
      <c r="F473" s="32">
        <f t="shared" si="40"/>
        <v>0</v>
      </c>
      <c r="G473" s="2314"/>
      <c r="H473" s="32">
        <f t="shared" si="41"/>
        <v>0</v>
      </c>
      <c r="I473" s="2314"/>
      <c r="J473" s="32">
        <f t="shared" si="42"/>
        <v>0</v>
      </c>
      <c r="K473" s="2314"/>
      <c r="L473" s="31">
        <f t="shared" si="43"/>
        <v>0</v>
      </c>
      <c r="M473" s="2314"/>
      <c r="N473" s="31" t="str">
        <f>Liste!L473</f>
        <v>Stk</v>
      </c>
      <c r="O473" s="31"/>
      <c r="P473" s="31"/>
      <c r="Q473" s="31">
        <f>Liste!P473</f>
        <v>0</v>
      </c>
      <c r="R473" s="31">
        <f>Liste!N473</f>
        <v>0</v>
      </c>
      <c r="S473" s="7">
        <v>0</v>
      </c>
      <c r="T473" s="7">
        <v>0</v>
      </c>
      <c r="U473" s="7">
        <v>0</v>
      </c>
      <c r="V473" s="7"/>
      <c r="W473" s="60"/>
      <c r="X473" s="60"/>
      <c r="Y473" s="60"/>
      <c r="Z473" s="7"/>
      <c r="AA473" s="7"/>
      <c r="AB473" s="60"/>
      <c r="AC473" s="60"/>
      <c r="AD473" s="60"/>
      <c r="AE473" s="7"/>
      <c r="AF473" s="7"/>
      <c r="AG473" s="7"/>
      <c r="AH473" s="7"/>
      <c r="AI473" s="7"/>
      <c r="AJ473" s="7">
        <f>Liste!X473</f>
        <v>0</v>
      </c>
      <c r="AK473" s="7">
        <f>Liste!Y473</f>
        <v>0</v>
      </c>
      <c r="AL473" s="7"/>
      <c r="AM473" s="7"/>
      <c r="AN473" s="7"/>
      <c r="AO473" s="1113">
        <f>Liste!D473</f>
        <v>0</v>
      </c>
      <c r="AP473" s="1113">
        <f>Liste!F473</f>
        <v>0</v>
      </c>
      <c r="AQ473" s="1113">
        <f>Liste!E473</f>
        <v>0</v>
      </c>
      <c r="AR473" s="1113">
        <f>Liste!G473</f>
        <v>0</v>
      </c>
      <c r="AS473" s="1112">
        <f>Liste!V473</f>
        <v>1</v>
      </c>
      <c r="AT473" s="1">
        <f>Liste!M473</f>
        <v>0</v>
      </c>
      <c r="AZ473" s="5" t="s">
        <v>30128</v>
      </c>
      <c r="BA473" s="4" t="s">
        <v>101</v>
      </c>
      <c r="BB473" s="4">
        <v>975</v>
      </c>
      <c r="BD473" s="35"/>
      <c r="BE473" s="35"/>
      <c r="BF473" s="2118">
        <f>Liste!R473</f>
        <v>0</v>
      </c>
      <c r="BG473" s="2137">
        <f>IF(AS473&gt;0,Liste!S473,0)</f>
        <v>0</v>
      </c>
      <c r="BH473" s="2118">
        <f>Liste!T473</f>
        <v>0</v>
      </c>
    </row>
    <row r="474" spans="1:60" ht="24.95" customHeight="1" x14ac:dyDescent="0.25">
      <c r="A474" s="29"/>
      <c r="B474" s="46" t="str">
        <f>IF(Liste!O474&gt;0,Liste!O474,Liste!B474)</f>
        <v>L-Winkel für Palette</v>
      </c>
      <c r="C474" s="2314"/>
      <c r="D474" s="30" t="str">
        <f>Liste!C474</f>
        <v>0308503</v>
      </c>
      <c r="E474" s="2314"/>
      <c r="F474" s="32">
        <f t="shared" si="40"/>
        <v>6</v>
      </c>
      <c r="G474" s="2314"/>
      <c r="H474" s="32">
        <f t="shared" si="41"/>
        <v>0</v>
      </c>
      <c r="I474" s="2314"/>
      <c r="J474" s="32">
        <f t="shared" si="42"/>
        <v>0</v>
      </c>
      <c r="K474" s="2314"/>
      <c r="L474" s="31">
        <f t="shared" si="43"/>
        <v>0</v>
      </c>
      <c r="M474" s="2314"/>
      <c r="N474" s="31" t="str">
        <f>Liste!L474</f>
        <v>Stk</v>
      </c>
      <c r="O474" s="31"/>
      <c r="P474" s="31"/>
      <c r="Q474" s="31">
        <f>Liste!P474</f>
        <v>0</v>
      </c>
      <c r="R474" s="31">
        <f>Liste!N474</f>
        <v>0</v>
      </c>
      <c r="S474" s="7">
        <v>0</v>
      </c>
      <c r="T474" s="7">
        <v>0</v>
      </c>
      <c r="U474" s="7">
        <v>0</v>
      </c>
      <c r="V474" s="7"/>
      <c r="W474" s="60"/>
      <c r="X474" s="60"/>
      <c r="Y474" s="60"/>
      <c r="Z474" s="7"/>
      <c r="AA474" s="7"/>
      <c r="AB474" s="60"/>
      <c r="AC474" s="60"/>
      <c r="AD474" s="60"/>
      <c r="AE474" s="7"/>
      <c r="AF474" s="7"/>
      <c r="AG474" s="7"/>
      <c r="AH474" s="7"/>
      <c r="AI474" s="7"/>
      <c r="AJ474" s="7">
        <f>Liste!X474</f>
        <v>0</v>
      </c>
      <c r="AK474" s="7">
        <f>Liste!Y474</f>
        <v>0</v>
      </c>
      <c r="AL474" s="7"/>
      <c r="AM474" s="7"/>
      <c r="AN474" s="7"/>
      <c r="AO474" s="1113">
        <f>Liste!D474</f>
        <v>6</v>
      </c>
      <c r="AP474" s="1113">
        <f>Liste!F474</f>
        <v>0</v>
      </c>
      <c r="AQ474" s="1113">
        <f>Liste!E474</f>
        <v>0</v>
      </c>
      <c r="AR474" s="1113">
        <f>Liste!G474</f>
        <v>0</v>
      </c>
      <c r="AS474" s="1112">
        <f>Liste!V474</f>
        <v>1</v>
      </c>
      <c r="AT474" s="1">
        <f>Liste!M474</f>
        <v>0</v>
      </c>
      <c r="AZ474" s="5" t="s">
        <v>30129</v>
      </c>
      <c r="BA474" s="4" t="s">
        <v>101</v>
      </c>
      <c r="BB474" s="4">
        <v>976</v>
      </c>
      <c r="BD474" s="35"/>
      <c r="BE474" s="35"/>
      <c r="BF474" s="2118" t="str">
        <f>Liste!R474</f>
        <v>0308503</v>
      </c>
      <c r="BG474" s="2137">
        <f>IF(AS474&gt;0,Liste!S474,0)</f>
        <v>6</v>
      </c>
      <c r="BH474" s="2118" t="str">
        <f>Liste!T474</f>
        <v>Stk</v>
      </c>
    </row>
    <row r="475" spans="1:60" ht="24.95" customHeight="1" x14ac:dyDescent="0.25">
      <c r="A475" s="29"/>
      <c r="B475" s="46" t="str">
        <f>IF(Liste!O475&gt;0,Liste!O475,Liste!B475)</f>
        <v>Spax Senkkopf TX verz. 6X130</v>
      </c>
      <c r="C475" s="2314"/>
      <c r="D475" s="30" t="str">
        <f>Liste!C475</f>
        <v>0714359</v>
      </c>
      <c r="E475" s="2314"/>
      <c r="F475" s="32">
        <f t="shared" si="40"/>
        <v>18</v>
      </c>
      <c r="G475" s="2314"/>
      <c r="H475" s="32">
        <f t="shared" si="41"/>
        <v>0</v>
      </c>
      <c r="I475" s="2314"/>
      <c r="J475" s="32">
        <f t="shared" si="42"/>
        <v>0</v>
      </c>
      <c r="K475" s="2314"/>
      <c r="L475" s="31">
        <f t="shared" si="43"/>
        <v>0</v>
      </c>
      <c r="M475" s="2314"/>
      <c r="N475" s="31" t="str">
        <f>Liste!L475</f>
        <v>Stk</v>
      </c>
      <c r="O475" s="31"/>
      <c r="P475" s="31"/>
      <c r="Q475" s="31">
        <f>Liste!P475</f>
        <v>0</v>
      </c>
      <c r="R475" s="31">
        <f>Liste!N475</f>
        <v>0</v>
      </c>
      <c r="S475" s="7">
        <v>0</v>
      </c>
      <c r="T475" s="7">
        <v>0</v>
      </c>
      <c r="U475" s="7">
        <v>0</v>
      </c>
      <c r="V475" s="7"/>
      <c r="W475" s="60"/>
      <c r="X475" s="60"/>
      <c r="Y475" s="60"/>
      <c r="Z475" s="7"/>
      <c r="AA475" s="7"/>
      <c r="AB475" s="60"/>
      <c r="AC475" s="60"/>
      <c r="AD475" s="60"/>
      <c r="AE475" s="7"/>
      <c r="AF475" s="7"/>
      <c r="AG475" s="7"/>
      <c r="AH475" s="7"/>
      <c r="AI475" s="7"/>
      <c r="AJ475" s="7">
        <f>Liste!X475</f>
        <v>0</v>
      </c>
      <c r="AK475" s="7">
        <f>Liste!Y475</f>
        <v>0</v>
      </c>
      <c r="AL475" s="7"/>
      <c r="AM475" s="7"/>
      <c r="AN475" s="7"/>
      <c r="AO475" s="1113">
        <f>Liste!D475</f>
        <v>18</v>
      </c>
      <c r="AP475" s="1113">
        <f>Liste!F475</f>
        <v>0</v>
      </c>
      <c r="AQ475" s="1113">
        <f>Liste!E475</f>
        <v>0</v>
      </c>
      <c r="AR475" s="1113">
        <f>Liste!G475</f>
        <v>0</v>
      </c>
      <c r="AS475" s="1112">
        <f>Liste!V475</f>
        <v>1</v>
      </c>
      <c r="AT475" s="1">
        <f>Liste!M475</f>
        <v>0</v>
      </c>
      <c r="AZ475" s="5" t="s">
        <v>30130</v>
      </c>
      <c r="BA475" s="4" t="s">
        <v>101</v>
      </c>
      <c r="BB475" s="4">
        <v>977</v>
      </c>
      <c r="BD475" s="35"/>
      <c r="BE475" s="35"/>
      <c r="BF475" s="2118" t="str">
        <f>Liste!R475</f>
        <v>0714359</v>
      </c>
      <c r="BG475" s="2137">
        <f>IF(AS475&gt;0,Liste!S475,0)</f>
        <v>18</v>
      </c>
      <c r="BH475" s="2118" t="str">
        <f>Liste!T475</f>
        <v>Stk</v>
      </c>
    </row>
    <row r="476" spans="1:60" ht="24.95" customHeight="1" x14ac:dyDescent="0.25">
      <c r="A476" s="29"/>
      <c r="B476" s="46" t="str">
        <f>IF(Liste!O476&gt;0,Liste!O476,Liste!B476)</f>
        <v>Sonderbauteile</v>
      </c>
      <c r="C476" s="2314"/>
      <c r="D476" s="30">
        <f>Liste!C476</f>
        <v>0</v>
      </c>
      <c r="E476" s="2314"/>
      <c r="F476" s="32">
        <f t="shared" si="40"/>
        <v>0</v>
      </c>
      <c r="G476" s="2314"/>
      <c r="H476" s="32">
        <f t="shared" si="41"/>
        <v>0</v>
      </c>
      <c r="I476" s="2314"/>
      <c r="J476" s="32">
        <f t="shared" si="42"/>
        <v>0</v>
      </c>
      <c r="K476" s="2314"/>
      <c r="L476" s="31">
        <f t="shared" si="43"/>
        <v>0</v>
      </c>
      <c r="M476" s="2314"/>
      <c r="N476" s="31">
        <f>Liste!L476</f>
        <v>0</v>
      </c>
      <c r="O476" s="31"/>
      <c r="P476" s="31"/>
      <c r="Q476" s="31">
        <f>Liste!P476</f>
        <v>0</v>
      </c>
      <c r="R476" s="31">
        <f>Liste!N476</f>
        <v>0</v>
      </c>
      <c r="S476" s="7">
        <v>0</v>
      </c>
      <c r="T476" s="7">
        <v>0</v>
      </c>
      <c r="U476" s="7">
        <v>0</v>
      </c>
      <c r="V476" s="7"/>
      <c r="W476" s="60"/>
      <c r="X476" s="60"/>
      <c r="Y476" s="60"/>
      <c r="Z476" s="7"/>
      <c r="AA476" s="7"/>
      <c r="AB476" s="60"/>
      <c r="AC476" s="60"/>
      <c r="AD476" s="60"/>
      <c r="AE476" s="7"/>
      <c r="AF476" s="7"/>
      <c r="AG476" s="7"/>
      <c r="AH476" s="7"/>
      <c r="AI476" s="7"/>
      <c r="AJ476" s="7">
        <f>Liste!X476</f>
        <v>0</v>
      </c>
      <c r="AK476" s="7">
        <f>Liste!Y476</f>
        <v>0</v>
      </c>
      <c r="AL476" s="7"/>
      <c r="AM476" s="7"/>
      <c r="AN476" s="7"/>
      <c r="AO476" s="1113">
        <f>Liste!D476</f>
        <v>0</v>
      </c>
      <c r="AP476" s="1113">
        <f>Liste!F476</f>
        <v>0</v>
      </c>
      <c r="AQ476" s="1113">
        <f>Liste!E476</f>
        <v>0</v>
      </c>
      <c r="AR476" s="1113">
        <f>Liste!G476</f>
        <v>0</v>
      </c>
      <c r="AS476" s="1112">
        <f>Liste!V476</f>
        <v>0</v>
      </c>
      <c r="AT476" s="1">
        <f>Liste!M476</f>
        <v>0</v>
      </c>
      <c r="AZ476" s="5" t="s">
        <v>30131</v>
      </c>
      <c r="BA476" s="4" t="s">
        <v>101</v>
      </c>
      <c r="BB476" s="4">
        <v>978</v>
      </c>
      <c r="BD476" s="35"/>
      <c r="BE476" s="35"/>
      <c r="BF476" s="2118">
        <f>Liste!R476</f>
        <v>0</v>
      </c>
      <c r="BG476" s="2137">
        <f>IF(AS476&gt;0,Liste!S476,0)</f>
        <v>0</v>
      </c>
      <c r="BH476" s="2118">
        <f>Liste!T476</f>
        <v>0</v>
      </c>
    </row>
    <row r="477" spans="1:60" ht="24.95" customHeight="1" x14ac:dyDescent="0.25">
      <c r="A477" s="29"/>
      <c r="B477" s="46">
        <f>IF(Liste!O477&gt;0,Liste!O477,Liste!B477)</f>
        <v>0</v>
      </c>
      <c r="C477" s="2314"/>
      <c r="D477" s="30">
        <f>Liste!C477</f>
        <v>0</v>
      </c>
      <c r="E477" s="2314"/>
      <c r="F477" s="32">
        <f t="shared" si="40"/>
        <v>0</v>
      </c>
      <c r="G477" s="2314"/>
      <c r="H477" s="32">
        <f t="shared" si="41"/>
        <v>0</v>
      </c>
      <c r="I477" s="2314"/>
      <c r="J477" s="32">
        <f t="shared" si="42"/>
        <v>0</v>
      </c>
      <c r="K477" s="2314"/>
      <c r="L477" s="31">
        <f t="shared" si="43"/>
        <v>0</v>
      </c>
      <c r="M477" s="2314"/>
      <c r="N477" s="31" t="str">
        <f>Liste!L477</f>
        <v/>
      </c>
      <c r="O477" s="31"/>
      <c r="P477" s="31"/>
      <c r="Q477" s="31">
        <f>Liste!P477</f>
        <v>0</v>
      </c>
      <c r="R477" s="31">
        <f>Liste!N477</f>
        <v>0</v>
      </c>
      <c r="S477" s="7">
        <v>0</v>
      </c>
      <c r="T477" s="7">
        <v>0</v>
      </c>
      <c r="U477" s="7">
        <v>0</v>
      </c>
      <c r="V477" s="7"/>
      <c r="W477" s="60"/>
      <c r="X477" s="60"/>
      <c r="Y477" s="60"/>
      <c r="Z477" s="7"/>
      <c r="AA477" s="7"/>
      <c r="AB477" s="60"/>
      <c r="AC477" s="60"/>
      <c r="AD477" s="60"/>
      <c r="AE477" s="7"/>
      <c r="AF477" s="7"/>
      <c r="AG477" s="7"/>
      <c r="AH477" s="7"/>
      <c r="AI477" s="7"/>
      <c r="AJ477" s="7">
        <f>Liste!X477</f>
        <v>0</v>
      </c>
      <c r="AK477" s="7">
        <f>Liste!Y477</f>
        <v>0</v>
      </c>
      <c r="AL477" s="7"/>
      <c r="AM477" s="7"/>
      <c r="AN477" s="7"/>
      <c r="AO477" s="1113">
        <f>Liste!D477</f>
        <v>0</v>
      </c>
      <c r="AP477" s="1113">
        <f>Liste!F477</f>
        <v>0</v>
      </c>
      <c r="AQ477" s="1113">
        <f>Liste!E477</f>
        <v>0</v>
      </c>
      <c r="AR477" s="1113">
        <f>Liste!G477</f>
        <v>0</v>
      </c>
      <c r="AS477" s="1112">
        <f>Liste!V477</f>
        <v>1</v>
      </c>
      <c r="AT477" s="1">
        <f>Liste!M477</f>
        <v>0</v>
      </c>
      <c r="AZ477" s="5" t="s">
        <v>30132</v>
      </c>
      <c r="BA477" s="4" t="s">
        <v>101</v>
      </c>
      <c r="BB477" s="4">
        <v>979</v>
      </c>
      <c r="BD477" s="35"/>
      <c r="BE477" s="35"/>
      <c r="BF477" s="2118">
        <f>Liste!R477</f>
        <v>0</v>
      </c>
      <c r="BG477" s="2137">
        <f>IF(AS477&gt;0,Liste!S477,0)</f>
        <v>0</v>
      </c>
      <c r="BH477" s="2118" t="str">
        <f>Liste!T477</f>
        <v>Stk</v>
      </c>
    </row>
    <row r="478" spans="1:60" ht="24.95" customHeight="1" x14ac:dyDescent="0.25">
      <c r="A478" s="29"/>
      <c r="B478" s="46">
        <f>IF(Liste!O478&gt;0,Liste!O478,Liste!B478)</f>
        <v>0</v>
      </c>
      <c r="C478" s="2314"/>
      <c r="D478" s="30">
        <f>Liste!C478</f>
        <v>0</v>
      </c>
      <c r="E478" s="2314"/>
      <c r="F478" s="32">
        <f t="shared" si="40"/>
        <v>0</v>
      </c>
      <c r="G478" s="2314"/>
      <c r="H478" s="32">
        <f t="shared" si="41"/>
        <v>0</v>
      </c>
      <c r="I478" s="2314"/>
      <c r="J478" s="32">
        <f t="shared" si="42"/>
        <v>0</v>
      </c>
      <c r="K478" s="2314"/>
      <c r="L478" s="31">
        <f t="shared" si="43"/>
        <v>0</v>
      </c>
      <c r="M478" s="2314"/>
      <c r="N478" s="31" t="str">
        <f>Liste!L478</f>
        <v/>
      </c>
      <c r="O478" s="31"/>
      <c r="P478" s="31"/>
      <c r="Q478" s="31">
        <f>Liste!P478</f>
        <v>0</v>
      </c>
      <c r="R478" s="31">
        <f>Liste!N478</f>
        <v>0</v>
      </c>
      <c r="S478" s="7">
        <v>0</v>
      </c>
      <c r="T478" s="7">
        <v>0</v>
      </c>
      <c r="U478" s="7">
        <v>0</v>
      </c>
      <c r="V478" s="7"/>
      <c r="W478" s="60"/>
      <c r="X478" s="60"/>
      <c r="Y478" s="60"/>
      <c r="Z478" s="7"/>
      <c r="AA478" s="7"/>
      <c r="AB478" s="60"/>
      <c r="AC478" s="60"/>
      <c r="AD478" s="60"/>
      <c r="AE478" s="7"/>
      <c r="AF478" s="7"/>
      <c r="AG478" s="7"/>
      <c r="AH478" s="7"/>
      <c r="AI478" s="7"/>
      <c r="AJ478" s="7">
        <f>Liste!X478</f>
        <v>0</v>
      </c>
      <c r="AK478" s="7">
        <f>Liste!Y478</f>
        <v>0</v>
      </c>
      <c r="AL478" s="7"/>
      <c r="AM478" s="7"/>
      <c r="AN478" s="7"/>
      <c r="AO478" s="1113">
        <f>Liste!D478</f>
        <v>0</v>
      </c>
      <c r="AP478" s="1113">
        <f>Liste!F478</f>
        <v>0</v>
      </c>
      <c r="AQ478" s="1113">
        <f>Liste!E478</f>
        <v>0</v>
      </c>
      <c r="AR478" s="1113">
        <f>Liste!G478</f>
        <v>0</v>
      </c>
      <c r="AS478" s="1112">
        <f>Liste!V478</f>
        <v>1</v>
      </c>
      <c r="AT478" s="1">
        <f>Liste!M478</f>
        <v>0</v>
      </c>
      <c r="AZ478" s="5" t="s">
        <v>30133</v>
      </c>
      <c r="BA478" s="4" t="s">
        <v>101</v>
      </c>
      <c r="BB478" s="4">
        <v>980</v>
      </c>
      <c r="BD478" s="35"/>
      <c r="BE478" s="35"/>
      <c r="BF478" s="2118">
        <f>Liste!R478</f>
        <v>0</v>
      </c>
      <c r="BG478" s="2137">
        <f>IF(AS478&gt;0,Liste!S478,0)</f>
        <v>0</v>
      </c>
      <c r="BH478" s="2118" t="str">
        <f>Liste!T478</f>
        <v>Stk</v>
      </c>
    </row>
    <row r="479" spans="1:60" ht="24.95" customHeight="1" x14ac:dyDescent="0.25">
      <c r="A479" s="29"/>
      <c r="B479" s="46">
        <f>IF(Liste!O479&gt;0,Liste!O479,Liste!B479)</f>
        <v>0</v>
      </c>
      <c r="C479" s="2314"/>
      <c r="D479" s="30">
        <f>Liste!C479</f>
        <v>0</v>
      </c>
      <c r="E479" s="2314"/>
      <c r="F479" s="32">
        <f t="shared" si="40"/>
        <v>0</v>
      </c>
      <c r="G479" s="2314"/>
      <c r="H479" s="32">
        <f t="shared" si="41"/>
        <v>0</v>
      </c>
      <c r="I479" s="2314"/>
      <c r="J479" s="32">
        <f t="shared" si="42"/>
        <v>0</v>
      </c>
      <c r="K479" s="2314"/>
      <c r="L479" s="31">
        <f t="shared" si="43"/>
        <v>0</v>
      </c>
      <c r="M479" s="2314"/>
      <c r="N479" s="31" t="str">
        <f>Liste!L479</f>
        <v/>
      </c>
      <c r="O479" s="31"/>
      <c r="P479" s="31"/>
      <c r="Q479" s="31">
        <f>Liste!P479</f>
        <v>0</v>
      </c>
      <c r="R479" s="31">
        <f>Liste!N479</f>
        <v>0</v>
      </c>
      <c r="S479" s="7">
        <v>0</v>
      </c>
      <c r="T479" s="7">
        <v>0</v>
      </c>
      <c r="U479" s="7">
        <v>0</v>
      </c>
      <c r="V479" s="7"/>
      <c r="W479" s="60"/>
      <c r="X479" s="60"/>
      <c r="Y479" s="60"/>
      <c r="Z479" s="7"/>
      <c r="AA479" s="7"/>
      <c r="AB479" s="60"/>
      <c r="AC479" s="60"/>
      <c r="AD479" s="60"/>
      <c r="AE479" s="7"/>
      <c r="AF479" s="7"/>
      <c r="AG479" s="7"/>
      <c r="AH479" s="7"/>
      <c r="AI479" s="7"/>
      <c r="AJ479" s="7">
        <f>Liste!X479</f>
        <v>0</v>
      </c>
      <c r="AK479" s="7">
        <f>Liste!Y479</f>
        <v>0</v>
      </c>
      <c r="AL479" s="7"/>
      <c r="AM479" s="7"/>
      <c r="AN479" s="7"/>
      <c r="AO479" s="1113">
        <f>Liste!D479</f>
        <v>0</v>
      </c>
      <c r="AP479" s="1113">
        <f>Liste!F479</f>
        <v>0</v>
      </c>
      <c r="AQ479" s="1113">
        <f>Liste!E479</f>
        <v>0</v>
      </c>
      <c r="AR479" s="1113">
        <f>Liste!G479</f>
        <v>0</v>
      </c>
      <c r="AS479" s="1112">
        <f>Liste!V479</f>
        <v>1</v>
      </c>
      <c r="AT479" s="1">
        <f>Liste!M479</f>
        <v>0</v>
      </c>
      <c r="AZ479" s="5" t="s">
        <v>30134</v>
      </c>
      <c r="BA479" s="4" t="s">
        <v>101</v>
      </c>
      <c r="BB479" s="4">
        <v>981</v>
      </c>
      <c r="BD479" s="35"/>
      <c r="BE479" s="35"/>
      <c r="BF479" s="2118">
        <f>Liste!R479</f>
        <v>0</v>
      </c>
      <c r="BG479" s="2137">
        <f>IF(AS479&gt;0,Liste!S479,0)</f>
        <v>0</v>
      </c>
      <c r="BH479" s="2118" t="str">
        <f>Liste!T479</f>
        <v>Stk</v>
      </c>
    </row>
    <row r="480" spans="1:60" ht="24.95" customHeight="1" x14ac:dyDescent="0.25">
      <c r="A480" s="29"/>
      <c r="B480" s="46">
        <f>IF(Liste!O480&gt;0,Liste!O480,Liste!B480)</f>
        <v>0</v>
      </c>
      <c r="C480" s="2314"/>
      <c r="D480" s="30">
        <f>Liste!C480</f>
        <v>0</v>
      </c>
      <c r="E480" s="2314"/>
      <c r="F480" s="32">
        <f t="shared" si="40"/>
        <v>0</v>
      </c>
      <c r="G480" s="2314"/>
      <c r="H480" s="32">
        <f t="shared" si="41"/>
        <v>0</v>
      </c>
      <c r="I480" s="2314"/>
      <c r="J480" s="32">
        <f t="shared" si="42"/>
        <v>0</v>
      </c>
      <c r="K480" s="2314"/>
      <c r="L480" s="31">
        <f t="shared" si="43"/>
        <v>0</v>
      </c>
      <c r="M480" s="2314"/>
      <c r="N480" s="31" t="str">
        <f>Liste!L480</f>
        <v/>
      </c>
      <c r="O480" s="31"/>
      <c r="P480" s="31"/>
      <c r="Q480" s="31">
        <f>Liste!P480</f>
        <v>0</v>
      </c>
      <c r="R480" s="31">
        <f>Liste!N480</f>
        <v>0</v>
      </c>
      <c r="S480" s="7">
        <v>0</v>
      </c>
      <c r="T480" s="7">
        <v>0</v>
      </c>
      <c r="U480" s="7">
        <v>0</v>
      </c>
      <c r="V480" s="7"/>
      <c r="W480" s="60"/>
      <c r="X480" s="60"/>
      <c r="Y480" s="60"/>
      <c r="Z480" s="7"/>
      <c r="AA480" s="7"/>
      <c r="AB480" s="60"/>
      <c r="AC480" s="60"/>
      <c r="AD480" s="60"/>
      <c r="AE480" s="7"/>
      <c r="AF480" s="7"/>
      <c r="AG480" s="7"/>
      <c r="AH480" s="7"/>
      <c r="AI480" s="7"/>
      <c r="AJ480" s="7">
        <f>Liste!X480</f>
        <v>0</v>
      </c>
      <c r="AK480" s="7">
        <f>Liste!Y480</f>
        <v>0</v>
      </c>
      <c r="AL480" s="7"/>
      <c r="AM480" s="7"/>
      <c r="AN480" s="7"/>
      <c r="AO480" s="1113">
        <f>Liste!D480</f>
        <v>0</v>
      </c>
      <c r="AP480" s="1113">
        <f>Liste!F480</f>
        <v>0</v>
      </c>
      <c r="AQ480" s="1113">
        <f>Liste!E480</f>
        <v>0</v>
      </c>
      <c r="AR480" s="1113">
        <f>Liste!G480</f>
        <v>0</v>
      </c>
      <c r="AS480" s="1112">
        <f>Liste!V480</f>
        <v>1</v>
      </c>
      <c r="AT480" s="1">
        <f>Liste!M480</f>
        <v>0</v>
      </c>
      <c r="AZ480" s="5" t="s">
        <v>30135</v>
      </c>
      <c r="BA480" s="4" t="s">
        <v>101</v>
      </c>
      <c r="BB480" s="4">
        <v>982</v>
      </c>
      <c r="BD480" s="35"/>
      <c r="BE480" s="35"/>
      <c r="BF480" s="2118">
        <f>Liste!R480</f>
        <v>0</v>
      </c>
      <c r="BG480" s="2137">
        <f>IF(AS480&gt;0,Liste!S480,0)</f>
        <v>0</v>
      </c>
      <c r="BH480" s="2118" t="str">
        <f>Liste!T480</f>
        <v>Stk</v>
      </c>
    </row>
    <row r="481" spans="1:60" ht="24.95" customHeight="1" x14ac:dyDescent="0.25">
      <c r="A481" s="29"/>
      <c r="B481" s="46">
        <f>IF(Liste!O481&gt;0,Liste!O481,Liste!B481)</f>
        <v>0</v>
      </c>
      <c r="C481" s="2314"/>
      <c r="D481" s="30">
        <f>Liste!C481</f>
        <v>0</v>
      </c>
      <c r="E481" s="2314"/>
      <c r="F481" s="32">
        <f t="shared" si="40"/>
        <v>0</v>
      </c>
      <c r="G481" s="2314"/>
      <c r="H481" s="32">
        <f t="shared" si="41"/>
        <v>0</v>
      </c>
      <c r="I481" s="2314"/>
      <c r="J481" s="32">
        <f t="shared" si="42"/>
        <v>0</v>
      </c>
      <c r="K481" s="2314"/>
      <c r="L481" s="31">
        <f t="shared" si="43"/>
        <v>0</v>
      </c>
      <c r="M481" s="2314"/>
      <c r="N481" s="31" t="str">
        <f>Liste!L481</f>
        <v/>
      </c>
      <c r="O481" s="31"/>
      <c r="P481" s="31"/>
      <c r="Q481" s="31">
        <f>Liste!P481</f>
        <v>0</v>
      </c>
      <c r="R481" s="31">
        <f>Liste!N481</f>
        <v>0</v>
      </c>
      <c r="S481" s="7">
        <v>0</v>
      </c>
      <c r="T481" s="7">
        <v>0</v>
      </c>
      <c r="U481" s="7">
        <v>0</v>
      </c>
      <c r="V481" s="7"/>
      <c r="W481" s="60"/>
      <c r="X481" s="60"/>
      <c r="Y481" s="60"/>
      <c r="Z481" s="7"/>
      <c r="AA481" s="7"/>
      <c r="AB481" s="60"/>
      <c r="AC481" s="60"/>
      <c r="AD481" s="60"/>
      <c r="AE481" s="7"/>
      <c r="AF481" s="7"/>
      <c r="AG481" s="7"/>
      <c r="AH481" s="7"/>
      <c r="AI481" s="7"/>
      <c r="AJ481" s="7">
        <f>Liste!X481</f>
        <v>0</v>
      </c>
      <c r="AK481" s="7">
        <f>Liste!Y481</f>
        <v>0</v>
      </c>
      <c r="AL481" s="7"/>
      <c r="AM481" s="7"/>
      <c r="AN481" s="7"/>
      <c r="AO481" s="1113">
        <f>Liste!D481</f>
        <v>0</v>
      </c>
      <c r="AP481" s="1113">
        <f>Liste!F481</f>
        <v>0</v>
      </c>
      <c r="AQ481" s="1113">
        <f>Liste!E481</f>
        <v>0</v>
      </c>
      <c r="AR481" s="1113">
        <f>Liste!G481</f>
        <v>0</v>
      </c>
      <c r="AS481" s="1112">
        <f>Liste!V481</f>
        <v>1</v>
      </c>
      <c r="AT481" s="1">
        <f>Liste!M481</f>
        <v>0</v>
      </c>
      <c r="AZ481" s="5" t="s">
        <v>30136</v>
      </c>
      <c r="BA481" s="4" t="s">
        <v>101</v>
      </c>
      <c r="BB481" s="4">
        <v>983</v>
      </c>
      <c r="BD481" s="35"/>
      <c r="BE481" s="35"/>
      <c r="BF481" s="2118">
        <f>Liste!R481</f>
        <v>0</v>
      </c>
      <c r="BG481" s="2137">
        <f>IF(AS481&gt;0,Liste!S481,0)</f>
        <v>0</v>
      </c>
      <c r="BH481" s="2118" t="str">
        <f>Liste!T481</f>
        <v>Stk</v>
      </c>
    </row>
    <row r="482" spans="1:60" ht="24.95" customHeight="1" x14ac:dyDescent="0.25">
      <c r="A482" s="29"/>
      <c r="B482" s="46">
        <f>IF(Liste!O482&gt;0,Liste!O482,Liste!B482)</f>
        <v>0</v>
      </c>
      <c r="C482" s="2314"/>
      <c r="D482" s="30">
        <f>Liste!C482</f>
        <v>0</v>
      </c>
      <c r="E482" s="2314"/>
      <c r="F482" s="32">
        <f t="shared" si="40"/>
        <v>0</v>
      </c>
      <c r="G482" s="2314"/>
      <c r="H482" s="32">
        <f t="shared" si="41"/>
        <v>0</v>
      </c>
      <c r="I482" s="2314"/>
      <c r="J482" s="32">
        <f t="shared" si="42"/>
        <v>0</v>
      </c>
      <c r="K482" s="2314"/>
      <c r="L482" s="31">
        <f t="shared" si="43"/>
        <v>0</v>
      </c>
      <c r="M482" s="2314"/>
      <c r="N482" s="31" t="str">
        <f>Liste!L482</f>
        <v/>
      </c>
      <c r="O482" s="31"/>
      <c r="P482" s="31"/>
      <c r="Q482" s="31">
        <f>Liste!P482</f>
        <v>0</v>
      </c>
      <c r="R482" s="31">
        <f>Liste!N482</f>
        <v>0</v>
      </c>
      <c r="S482" s="7">
        <v>0</v>
      </c>
      <c r="T482" s="7">
        <v>0</v>
      </c>
      <c r="U482" s="7">
        <v>0</v>
      </c>
      <c r="V482" s="7"/>
      <c r="W482" s="60"/>
      <c r="X482" s="60"/>
      <c r="Y482" s="60"/>
      <c r="Z482" s="7"/>
      <c r="AA482" s="7"/>
      <c r="AB482" s="60"/>
      <c r="AC482" s="60"/>
      <c r="AD482" s="60"/>
      <c r="AE482" s="7"/>
      <c r="AF482" s="7"/>
      <c r="AG482" s="7"/>
      <c r="AH482" s="7"/>
      <c r="AI482" s="7"/>
      <c r="AJ482" s="7">
        <f>Liste!X482</f>
        <v>0</v>
      </c>
      <c r="AK482" s="7">
        <f>Liste!Y482</f>
        <v>0</v>
      </c>
      <c r="AL482" s="7"/>
      <c r="AM482" s="7"/>
      <c r="AN482" s="7"/>
      <c r="AO482" s="1113">
        <f>Liste!D482</f>
        <v>0</v>
      </c>
      <c r="AP482" s="1113">
        <f>Liste!F482</f>
        <v>0</v>
      </c>
      <c r="AQ482" s="1113">
        <f>Liste!E482</f>
        <v>0</v>
      </c>
      <c r="AR482" s="1113">
        <f>Liste!G482</f>
        <v>0</v>
      </c>
      <c r="AS482" s="1112">
        <f>Liste!V482</f>
        <v>1</v>
      </c>
      <c r="AT482" s="1">
        <f>Liste!M482</f>
        <v>0</v>
      </c>
      <c r="AZ482" s="5" t="s">
        <v>30137</v>
      </c>
      <c r="BA482" s="4" t="s">
        <v>101</v>
      </c>
      <c r="BB482" s="4">
        <v>984</v>
      </c>
      <c r="BD482" s="35"/>
      <c r="BE482" s="35"/>
      <c r="BF482" s="2118">
        <f>Liste!R482</f>
        <v>0</v>
      </c>
      <c r="BG482" s="2137">
        <f>IF(AS482&gt;0,Liste!S482,0)</f>
        <v>0</v>
      </c>
      <c r="BH482" s="2118" t="str">
        <f>Liste!T482</f>
        <v>Stk</v>
      </c>
    </row>
    <row r="483" spans="1:60" ht="24.95" customHeight="1" x14ac:dyDescent="0.25">
      <c r="A483" s="29"/>
      <c r="B483" s="46">
        <f>IF(Liste!O483&gt;0,Liste!O483,Liste!B483)</f>
        <v>0</v>
      </c>
      <c r="C483" s="2314"/>
      <c r="D483" s="30">
        <f>Liste!C483</f>
        <v>0</v>
      </c>
      <c r="E483" s="2314"/>
      <c r="F483" s="32">
        <f t="shared" si="40"/>
        <v>0</v>
      </c>
      <c r="G483" s="2314"/>
      <c r="H483" s="32">
        <f t="shared" si="41"/>
        <v>0</v>
      </c>
      <c r="I483" s="2314"/>
      <c r="J483" s="32">
        <f t="shared" si="42"/>
        <v>0</v>
      </c>
      <c r="K483" s="2314"/>
      <c r="L483" s="31">
        <f t="shared" si="43"/>
        <v>0</v>
      </c>
      <c r="M483" s="2314"/>
      <c r="N483" s="31" t="str">
        <f>Liste!L483</f>
        <v/>
      </c>
      <c r="O483" s="31"/>
      <c r="P483" s="31"/>
      <c r="Q483" s="31">
        <f>Liste!P483</f>
        <v>0</v>
      </c>
      <c r="R483" s="31">
        <f>Liste!N483</f>
        <v>0</v>
      </c>
      <c r="S483" s="7">
        <v>0</v>
      </c>
      <c r="T483" s="7">
        <v>0</v>
      </c>
      <c r="U483" s="7">
        <v>0</v>
      </c>
      <c r="V483" s="7"/>
      <c r="W483" s="60"/>
      <c r="X483" s="60"/>
      <c r="Y483" s="60"/>
      <c r="Z483" s="7"/>
      <c r="AA483" s="7"/>
      <c r="AB483" s="60"/>
      <c r="AC483" s="60"/>
      <c r="AD483" s="60"/>
      <c r="AE483" s="7"/>
      <c r="AF483" s="7"/>
      <c r="AG483" s="7"/>
      <c r="AH483" s="7"/>
      <c r="AI483" s="7"/>
      <c r="AJ483" s="7">
        <f>Liste!X483</f>
        <v>0</v>
      </c>
      <c r="AK483" s="7">
        <f>Liste!Y483</f>
        <v>0</v>
      </c>
      <c r="AL483" s="7"/>
      <c r="AM483" s="7"/>
      <c r="AN483" s="7"/>
      <c r="AO483" s="1113">
        <f>Liste!D483</f>
        <v>0</v>
      </c>
      <c r="AP483" s="1113">
        <f>Liste!F483</f>
        <v>0</v>
      </c>
      <c r="AQ483" s="1113">
        <f>Liste!E483</f>
        <v>0</v>
      </c>
      <c r="AR483" s="1113">
        <f>Liste!G483</f>
        <v>0</v>
      </c>
      <c r="AS483" s="1112">
        <f>Liste!V483</f>
        <v>1</v>
      </c>
      <c r="AT483" s="1">
        <f>Liste!M483</f>
        <v>0</v>
      </c>
      <c r="AZ483" s="5" t="s">
        <v>30138</v>
      </c>
      <c r="BA483" s="4" t="s">
        <v>101</v>
      </c>
      <c r="BB483" s="4">
        <v>985</v>
      </c>
      <c r="BD483" s="35"/>
      <c r="BE483" s="35"/>
      <c r="BF483" s="2118">
        <f>Liste!R483</f>
        <v>0</v>
      </c>
      <c r="BG483" s="2137">
        <f>IF(AS483&gt;0,Liste!S483,0)</f>
        <v>0</v>
      </c>
      <c r="BH483" s="2118" t="str">
        <f>Liste!T483</f>
        <v>Stk</v>
      </c>
    </row>
    <row r="484" spans="1:60" ht="24.95" customHeight="1" x14ac:dyDescent="0.25">
      <c r="A484" s="29"/>
      <c r="B484" s="46">
        <f>IF(Liste!O484&gt;0,Liste!O484,Liste!B484)</f>
        <v>0</v>
      </c>
      <c r="C484" s="2314"/>
      <c r="D484" s="30">
        <f>Liste!C484</f>
        <v>0</v>
      </c>
      <c r="E484" s="2314"/>
      <c r="F484" s="32">
        <f t="shared" si="40"/>
        <v>0</v>
      </c>
      <c r="G484" s="2314"/>
      <c r="H484" s="32">
        <f t="shared" si="41"/>
        <v>0</v>
      </c>
      <c r="I484" s="2314"/>
      <c r="J484" s="32">
        <f t="shared" si="42"/>
        <v>0</v>
      </c>
      <c r="K484" s="2314"/>
      <c r="L484" s="31">
        <f t="shared" si="43"/>
        <v>0</v>
      </c>
      <c r="M484" s="2314"/>
      <c r="N484" s="31" t="str">
        <f>Liste!L484</f>
        <v/>
      </c>
      <c r="O484" s="31"/>
      <c r="P484" s="31"/>
      <c r="Q484" s="31">
        <f>Liste!P484</f>
        <v>0</v>
      </c>
      <c r="R484" s="31">
        <f>Liste!N484</f>
        <v>0</v>
      </c>
      <c r="S484" s="7">
        <v>0</v>
      </c>
      <c r="T484" s="7">
        <v>0</v>
      </c>
      <c r="U484" s="7">
        <v>0</v>
      </c>
      <c r="V484" s="7"/>
      <c r="W484" s="60"/>
      <c r="X484" s="60"/>
      <c r="Y484" s="60"/>
      <c r="Z484" s="7"/>
      <c r="AA484" s="7"/>
      <c r="AB484" s="60"/>
      <c r="AC484" s="60"/>
      <c r="AD484" s="60"/>
      <c r="AE484" s="7"/>
      <c r="AF484" s="7"/>
      <c r="AG484" s="7"/>
      <c r="AH484" s="7"/>
      <c r="AI484" s="7"/>
      <c r="AJ484" s="7">
        <f>Liste!X484</f>
        <v>0</v>
      </c>
      <c r="AK484" s="7">
        <f>Liste!Y484</f>
        <v>0</v>
      </c>
      <c r="AL484" s="7"/>
      <c r="AM484" s="7"/>
      <c r="AN484" s="7"/>
      <c r="AO484" s="1113">
        <f>Liste!D484</f>
        <v>0</v>
      </c>
      <c r="AP484" s="1113">
        <f>Liste!F484</f>
        <v>0</v>
      </c>
      <c r="AQ484" s="1113">
        <f>Liste!E484</f>
        <v>0</v>
      </c>
      <c r="AR484" s="1113">
        <f>Liste!G484</f>
        <v>0</v>
      </c>
      <c r="AS484" s="1112">
        <f>Liste!V484</f>
        <v>1</v>
      </c>
      <c r="AT484" s="1">
        <f>Liste!M484</f>
        <v>0</v>
      </c>
      <c r="AZ484" s="5" t="s">
        <v>30139</v>
      </c>
      <c r="BA484" s="4" t="s">
        <v>101</v>
      </c>
      <c r="BB484" s="4">
        <v>986</v>
      </c>
      <c r="BD484" s="35"/>
      <c r="BE484" s="35"/>
      <c r="BF484" s="2118">
        <f>Liste!R484</f>
        <v>0</v>
      </c>
      <c r="BG484" s="2137">
        <f>IF(AS484&gt;0,Liste!S484,0)</f>
        <v>0</v>
      </c>
      <c r="BH484" s="2118" t="str">
        <f>Liste!T484</f>
        <v>Stk</v>
      </c>
    </row>
    <row r="485" spans="1:60" ht="24.95" customHeight="1" x14ac:dyDescent="0.25">
      <c r="A485" s="29"/>
      <c r="B485" s="46">
        <f>IF(Liste!O485&gt;0,Liste!O485,Liste!B485)</f>
        <v>0</v>
      </c>
      <c r="C485" s="2314"/>
      <c r="D485" s="30">
        <f>Liste!C485</f>
        <v>0</v>
      </c>
      <c r="E485" s="2314"/>
      <c r="F485" s="32">
        <f t="shared" si="40"/>
        <v>0</v>
      </c>
      <c r="G485" s="2314"/>
      <c r="H485" s="32">
        <f t="shared" si="41"/>
        <v>0</v>
      </c>
      <c r="I485" s="2314"/>
      <c r="J485" s="32">
        <f t="shared" si="42"/>
        <v>0</v>
      </c>
      <c r="K485" s="2314"/>
      <c r="L485" s="31">
        <f t="shared" si="43"/>
        <v>0</v>
      </c>
      <c r="M485" s="2314"/>
      <c r="N485" s="31" t="str">
        <f>Liste!L485</f>
        <v/>
      </c>
      <c r="O485" s="31"/>
      <c r="P485" s="31"/>
      <c r="Q485" s="31">
        <f>Liste!P485</f>
        <v>0</v>
      </c>
      <c r="R485" s="31">
        <f>Liste!N485</f>
        <v>0</v>
      </c>
      <c r="S485" s="7">
        <v>0</v>
      </c>
      <c r="T485" s="7">
        <v>0</v>
      </c>
      <c r="U485" s="7">
        <v>0</v>
      </c>
      <c r="V485" s="7"/>
      <c r="W485" s="60"/>
      <c r="X485" s="60"/>
      <c r="Y485" s="60"/>
      <c r="Z485" s="7"/>
      <c r="AA485" s="7"/>
      <c r="AB485" s="60"/>
      <c r="AC485" s="60"/>
      <c r="AD485" s="60"/>
      <c r="AE485" s="7"/>
      <c r="AF485" s="7"/>
      <c r="AG485" s="7"/>
      <c r="AH485" s="7"/>
      <c r="AI485" s="7"/>
      <c r="AJ485" s="7">
        <f>Liste!X485</f>
        <v>0</v>
      </c>
      <c r="AK485" s="7">
        <f>Liste!Y485</f>
        <v>0</v>
      </c>
      <c r="AL485" s="7"/>
      <c r="AM485" s="7"/>
      <c r="AN485" s="7"/>
      <c r="AO485" s="1113">
        <f>Liste!D485</f>
        <v>0</v>
      </c>
      <c r="AP485" s="1113">
        <f>Liste!F485</f>
        <v>0</v>
      </c>
      <c r="AQ485" s="1113">
        <f>Liste!E485</f>
        <v>0</v>
      </c>
      <c r="AR485" s="1113">
        <f>Liste!G485</f>
        <v>0</v>
      </c>
      <c r="AS485" s="1112">
        <f>Liste!V485</f>
        <v>1</v>
      </c>
      <c r="AT485" s="1">
        <f>Liste!M485</f>
        <v>0</v>
      </c>
      <c r="AZ485" s="5" t="s">
        <v>30140</v>
      </c>
      <c r="BA485" s="4" t="s">
        <v>101</v>
      </c>
      <c r="BB485" s="4">
        <v>987</v>
      </c>
      <c r="BD485" s="35"/>
      <c r="BE485" s="35"/>
      <c r="BF485" s="2118">
        <f>Liste!R485</f>
        <v>0</v>
      </c>
      <c r="BG485" s="2137">
        <f>IF(AS485&gt;0,Liste!S485,0)</f>
        <v>0</v>
      </c>
      <c r="BH485" s="2118" t="str">
        <f>Liste!T485</f>
        <v>Stk</v>
      </c>
    </row>
    <row r="486" spans="1:60" ht="24.95" customHeight="1" x14ac:dyDescent="0.25">
      <c r="A486" s="29"/>
      <c r="B486" s="46">
        <f>IF(Liste!O486&gt;0,Liste!O486,Liste!B486)</f>
        <v>0</v>
      </c>
      <c r="C486" s="2314"/>
      <c r="D486" s="30">
        <f>Liste!C486</f>
        <v>0</v>
      </c>
      <c r="E486" s="2314"/>
      <c r="F486" s="32">
        <f t="shared" si="40"/>
        <v>0</v>
      </c>
      <c r="G486" s="2314"/>
      <c r="H486" s="32">
        <f t="shared" si="41"/>
        <v>0</v>
      </c>
      <c r="I486" s="2314"/>
      <c r="J486" s="32">
        <f t="shared" si="42"/>
        <v>0</v>
      </c>
      <c r="K486" s="2314"/>
      <c r="L486" s="31">
        <f t="shared" si="43"/>
        <v>0</v>
      </c>
      <c r="M486" s="2314"/>
      <c r="N486" s="31" t="str">
        <f>Liste!L486</f>
        <v/>
      </c>
      <c r="O486" s="31"/>
      <c r="P486" s="31"/>
      <c r="Q486" s="31">
        <f>Liste!P486</f>
        <v>0</v>
      </c>
      <c r="R486" s="31">
        <f>Liste!N486</f>
        <v>0</v>
      </c>
      <c r="S486" s="7">
        <v>0</v>
      </c>
      <c r="T486" s="7">
        <v>0</v>
      </c>
      <c r="U486" s="7">
        <v>0</v>
      </c>
      <c r="V486" s="7"/>
      <c r="W486" s="60"/>
      <c r="X486" s="60"/>
      <c r="Y486" s="60"/>
      <c r="Z486" s="7"/>
      <c r="AA486" s="7"/>
      <c r="AB486" s="60"/>
      <c r="AC486" s="60"/>
      <c r="AD486" s="60"/>
      <c r="AE486" s="7"/>
      <c r="AF486" s="7"/>
      <c r="AG486" s="7"/>
      <c r="AH486" s="7"/>
      <c r="AI486" s="7"/>
      <c r="AJ486" s="7">
        <f>Liste!X486</f>
        <v>0</v>
      </c>
      <c r="AK486" s="7">
        <f>Liste!Y486</f>
        <v>0</v>
      </c>
      <c r="AL486" s="7"/>
      <c r="AM486" s="7"/>
      <c r="AN486" s="7"/>
      <c r="AO486" s="1113">
        <f>Liste!D486</f>
        <v>0</v>
      </c>
      <c r="AP486" s="1113">
        <f>Liste!F486</f>
        <v>0</v>
      </c>
      <c r="AQ486" s="1113">
        <f>Liste!E486</f>
        <v>0</v>
      </c>
      <c r="AR486" s="1113">
        <f>Liste!G486</f>
        <v>0</v>
      </c>
      <c r="AS486" s="1112">
        <f>Liste!V486</f>
        <v>1</v>
      </c>
      <c r="AT486" s="1">
        <f>Liste!M486</f>
        <v>0</v>
      </c>
      <c r="AZ486" s="5" t="s">
        <v>30141</v>
      </c>
      <c r="BA486" s="4" t="s">
        <v>101</v>
      </c>
      <c r="BB486" s="4">
        <v>988</v>
      </c>
      <c r="BD486" s="35"/>
      <c r="BE486" s="35"/>
      <c r="BF486" s="2118">
        <f>Liste!R486</f>
        <v>0</v>
      </c>
      <c r="BG486" s="2137">
        <f>IF(AS486&gt;0,Liste!S486,0)</f>
        <v>0</v>
      </c>
      <c r="BH486" s="2118" t="str">
        <f>Liste!T486</f>
        <v>Stk</v>
      </c>
    </row>
    <row r="487" spans="1:60" ht="24.95" customHeight="1" x14ac:dyDescent="0.25">
      <c r="A487" s="29"/>
      <c r="B487" s="46">
        <f>IF(Liste!O487&gt;0,Liste!O487,Liste!B487)</f>
        <v>0</v>
      </c>
      <c r="C487" s="2314"/>
      <c r="D487" s="30">
        <f>Liste!C487</f>
        <v>0</v>
      </c>
      <c r="E487" s="2314"/>
      <c r="F487" s="32">
        <f t="shared" si="40"/>
        <v>0</v>
      </c>
      <c r="G487" s="2314"/>
      <c r="H487" s="32">
        <f t="shared" si="41"/>
        <v>0</v>
      </c>
      <c r="I487" s="2314"/>
      <c r="J487" s="32">
        <f t="shared" si="42"/>
        <v>0</v>
      </c>
      <c r="K487" s="2314"/>
      <c r="L487" s="31">
        <f t="shared" si="43"/>
        <v>0</v>
      </c>
      <c r="M487" s="2314"/>
      <c r="N487" s="31" t="str">
        <f>Liste!L487</f>
        <v/>
      </c>
      <c r="O487" s="31"/>
      <c r="P487" s="31"/>
      <c r="Q487" s="31">
        <f>Liste!P487</f>
        <v>0</v>
      </c>
      <c r="R487" s="31">
        <f>Liste!N487</f>
        <v>0</v>
      </c>
      <c r="S487" s="7">
        <v>0</v>
      </c>
      <c r="T487" s="7">
        <v>0</v>
      </c>
      <c r="U487" s="7">
        <v>0</v>
      </c>
      <c r="V487" s="7"/>
      <c r="W487" s="60"/>
      <c r="X487" s="60"/>
      <c r="Y487" s="60"/>
      <c r="Z487" s="7"/>
      <c r="AA487" s="7"/>
      <c r="AB487" s="60"/>
      <c r="AC487" s="60"/>
      <c r="AD487" s="60"/>
      <c r="AE487" s="7"/>
      <c r="AF487" s="7"/>
      <c r="AG487" s="7"/>
      <c r="AH487" s="7"/>
      <c r="AI487" s="7"/>
      <c r="AJ487" s="7">
        <f>Liste!X487</f>
        <v>0</v>
      </c>
      <c r="AK487" s="7">
        <f>Liste!Y487</f>
        <v>0</v>
      </c>
      <c r="AL487" s="7"/>
      <c r="AM487" s="7"/>
      <c r="AN487" s="7"/>
      <c r="AO487" s="1113">
        <f>Liste!D487</f>
        <v>0</v>
      </c>
      <c r="AP487" s="1113">
        <f>Liste!F487</f>
        <v>0</v>
      </c>
      <c r="AQ487" s="1113">
        <f>Liste!E487</f>
        <v>0</v>
      </c>
      <c r="AR487" s="1113">
        <f>Liste!G487</f>
        <v>0</v>
      </c>
      <c r="AS487" s="1112">
        <f>Liste!V487</f>
        <v>1</v>
      </c>
      <c r="AT487" s="1">
        <f>Liste!M487</f>
        <v>0</v>
      </c>
      <c r="AZ487" s="5" t="s">
        <v>30142</v>
      </c>
      <c r="BA487" s="4" t="s">
        <v>101</v>
      </c>
      <c r="BB487" s="4">
        <v>989</v>
      </c>
      <c r="BD487" s="35"/>
      <c r="BE487" s="35"/>
      <c r="BF487" s="2118">
        <f>Liste!R487</f>
        <v>0</v>
      </c>
      <c r="BG487" s="2137">
        <f>IF(AS487&gt;0,Liste!S487,0)</f>
        <v>0</v>
      </c>
      <c r="BH487" s="2118" t="str">
        <f>Liste!T487</f>
        <v>Stk</v>
      </c>
    </row>
    <row r="488" spans="1:60" ht="24.95" customHeight="1" x14ac:dyDescent="0.25">
      <c r="A488" s="29"/>
      <c r="B488" s="46">
        <f>IF(Liste!O488&gt;0,Liste!O488,Liste!B488)</f>
        <v>0</v>
      </c>
      <c r="C488" s="2314"/>
      <c r="D488" s="30">
        <f>Liste!C488</f>
        <v>0</v>
      </c>
      <c r="E488" s="2314"/>
      <c r="F488" s="32">
        <f t="shared" si="40"/>
        <v>0</v>
      </c>
      <c r="G488" s="2314"/>
      <c r="H488" s="32">
        <f t="shared" si="41"/>
        <v>0</v>
      </c>
      <c r="I488" s="2314"/>
      <c r="J488" s="32">
        <f t="shared" si="42"/>
        <v>0</v>
      </c>
      <c r="K488" s="2314"/>
      <c r="L488" s="31">
        <f t="shared" si="43"/>
        <v>0</v>
      </c>
      <c r="M488" s="2314"/>
      <c r="N488" s="31" t="str">
        <f>Liste!L488</f>
        <v/>
      </c>
      <c r="O488" s="31"/>
      <c r="P488" s="31"/>
      <c r="Q488" s="31">
        <f>Liste!P488</f>
        <v>0</v>
      </c>
      <c r="R488" s="31">
        <f>Liste!N488</f>
        <v>0</v>
      </c>
      <c r="S488" s="7">
        <v>0</v>
      </c>
      <c r="T488" s="7">
        <v>0</v>
      </c>
      <c r="U488" s="7">
        <v>0</v>
      </c>
      <c r="V488" s="7"/>
      <c r="W488" s="60"/>
      <c r="X488" s="60"/>
      <c r="Y488" s="60"/>
      <c r="Z488" s="7"/>
      <c r="AA488" s="7"/>
      <c r="AB488" s="60"/>
      <c r="AC488" s="60"/>
      <c r="AD488" s="60"/>
      <c r="AE488" s="7"/>
      <c r="AF488" s="7"/>
      <c r="AG488" s="7"/>
      <c r="AH488" s="7"/>
      <c r="AI488" s="7"/>
      <c r="AJ488" s="7">
        <f>Liste!X488</f>
        <v>0</v>
      </c>
      <c r="AK488" s="7">
        <f>Liste!Y488</f>
        <v>0</v>
      </c>
      <c r="AL488" s="7"/>
      <c r="AM488" s="7"/>
      <c r="AN488" s="7"/>
      <c r="AO488" s="1113">
        <f>Liste!D488</f>
        <v>0</v>
      </c>
      <c r="AP488" s="1113">
        <f>Liste!F488</f>
        <v>0</v>
      </c>
      <c r="AQ488" s="1113">
        <f>Liste!E488</f>
        <v>0</v>
      </c>
      <c r="AR488" s="1113">
        <f>Liste!G488</f>
        <v>0</v>
      </c>
      <c r="AS488" s="1112">
        <f>Liste!V488</f>
        <v>1</v>
      </c>
      <c r="AT488" s="1">
        <f>Liste!M488</f>
        <v>0</v>
      </c>
      <c r="AZ488" s="5" t="s">
        <v>30143</v>
      </c>
      <c r="BA488" s="4" t="s">
        <v>101</v>
      </c>
      <c r="BB488" s="4">
        <v>990</v>
      </c>
      <c r="BD488" s="35"/>
      <c r="BE488" s="35"/>
      <c r="BF488" s="2118">
        <f>Liste!R488</f>
        <v>0</v>
      </c>
      <c r="BG488" s="2137">
        <f>IF(AS488&gt;0,Liste!S488,0)</f>
        <v>0</v>
      </c>
      <c r="BH488" s="2118" t="str">
        <f>Liste!T488</f>
        <v>Stk</v>
      </c>
    </row>
    <row r="489" spans="1:60" ht="24.95" customHeight="1" x14ac:dyDescent="0.25">
      <c r="A489" s="29"/>
      <c r="B489" s="46">
        <f>IF(Liste!O489&gt;0,Liste!O489,Liste!B489)</f>
        <v>0</v>
      </c>
      <c r="C489" s="2314"/>
      <c r="D489" s="30">
        <f>Liste!C489</f>
        <v>0</v>
      </c>
      <c r="E489" s="2314"/>
      <c r="F489" s="32">
        <f t="shared" si="40"/>
        <v>0</v>
      </c>
      <c r="G489" s="2314"/>
      <c r="H489" s="32">
        <f t="shared" si="41"/>
        <v>0</v>
      </c>
      <c r="I489" s="2314"/>
      <c r="J489" s="32">
        <f t="shared" si="42"/>
        <v>0</v>
      </c>
      <c r="K489" s="2314"/>
      <c r="L489" s="31">
        <f t="shared" si="43"/>
        <v>0</v>
      </c>
      <c r="M489" s="2314"/>
      <c r="N489" s="31" t="str">
        <f>Liste!L489</f>
        <v/>
      </c>
      <c r="O489" s="31"/>
      <c r="P489" s="31"/>
      <c r="Q489" s="31">
        <f>Liste!P489</f>
        <v>0</v>
      </c>
      <c r="R489" s="31">
        <f>Liste!N489</f>
        <v>0</v>
      </c>
      <c r="S489" s="7">
        <v>0</v>
      </c>
      <c r="T489" s="7">
        <v>0</v>
      </c>
      <c r="U489" s="7">
        <v>0</v>
      </c>
      <c r="V489" s="7"/>
      <c r="W489" s="60"/>
      <c r="X489" s="60"/>
      <c r="Y489" s="60"/>
      <c r="Z489" s="7"/>
      <c r="AA489" s="7"/>
      <c r="AB489" s="60"/>
      <c r="AC489" s="60"/>
      <c r="AD489" s="60"/>
      <c r="AE489" s="7"/>
      <c r="AF489" s="7"/>
      <c r="AG489" s="7"/>
      <c r="AH489" s="7"/>
      <c r="AI489" s="7"/>
      <c r="AJ489" s="7">
        <f>Liste!X489</f>
        <v>0</v>
      </c>
      <c r="AK489" s="7">
        <f>Liste!Y489</f>
        <v>0</v>
      </c>
      <c r="AL489" s="7"/>
      <c r="AM489" s="7"/>
      <c r="AN489" s="7"/>
      <c r="AO489" s="1113">
        <f>Liste!D489</f>
        <v>0</v>
      </c>
      <c r="AP489" s="1113">
        <f>Liste!F489</f>
        <v>0</v>
      </c>
      <c r="AQ489" s="1113">
        <f>Liste!E489</f>
        <v>0</v>
      </c>
      <c r="AR489" s="1113">
        <f>Liste!G489</f>
        <v>0</v>
      </c>
      <c r="AS489" s="1112">
        <f>Liste!V489</f>
        <v>1</v>
      </c>
      <c r="AT489" s="1">
        <f>Liste!M489</f>
        <v>0</v>
      </c>
      <c r="AZ489" s="5" t="s">
        <v>30144</v>
      </c>
      <c r="BA489" s="4" t="s">
        <v>101</v>
      </c>
      <c r="BB489" s="4">
        <v>991</v>
      </c>
      <c r="BD489" s="35"/>
      <c r="BE489" s="35"/>
      <c r="BF489" s="2118">
        <f>Liste!R489</f>
        <v>0</v>
      </c>
      <c r="BG489" s="2137">
        <f>IF(AS489&gt;0,Liste!S489,0)</f>
        <v>0</v>
      </c>
      <c r="BH489" s="2118" t="str">
        <f>Liste!T489</f>
        <v>Stk</v>
      </c>
    </row>
    <row r="490" spans="1:60" ht="24.95" customHeight="1" x14ac:dyDescent="0.25">
      <c r="A490" s="29"/>
      <c r="B490" s="46">
        <f>IF(Liste!O490&gt;0,Liste!O490,Liste!B490)</f>
        <v>0</v>
      </c>
      <c r="C490" s="2314"/>
      <c r="D490" s="30">
        <f>Liste!C490</f>
        <v>0</v>
      </c>
      <c r="E490" s="2314"/>
      <c r="F490" s="32">
        <f t="shared" si="40"/>
        <v>0</v>
      </c>
      <c r="G490" s="2314"/>
      <c r="H490" s="32">
        <f t="shared" si="41"/>
        <v>0</v>
      </c>
      <c r="I490" s="2314"/>
      <c r="J490" s="32">
        <f t="shared" si="42"/>
        <v>0</v>
      </c>
      <c r="K490" s="2314"/>
      <c r="L490" s="31">
        <f t="shared" si="43"/>
        <v>0</v>
      </c>
      <c r="M490" s="2314"/>
      <c r="N490" s="31" t="str">
        <f>Liste!L490</f>
        <v/>
      </c>
      <c r="O490" s="31"/>
      <c r="P490" s="31"/>
      <c r="Q490" s="31">
        <f>Liste!P490</f>
        <v>0</v>
      </c>
      <c r="R490" s="31">
        <f>Liste!N490</f>
        <v>0</v>
      </c>
      <c r="S490" s="7">
        <v>0</v>
      </c>
      <c r="T490" s="7">
        <v>0</v>
      </c>
      <c r="U490" s="7">
        <v>0</v>
      </c>
      <c r="V490" s="7"/>
      <c r="W490" s="60"/>
      <c r="X490" s="60"/>
      <c r="Y490" s="60"/>
      <c r="Z490" s="7"/>
      <c r="AA490" s="7"/>
      <c r="AB490" s="60"/>
      <c r="AC490" s="60"/>
      <c r="AD490" s="60"/>
      <c r="AE490" s="7"/>
      <c r="AF490" s="7"/>
      <c r="AG490" s="7"/>
      <c r="AH490" s="7"/>
      <c r="AI490" s="7"/>
      <c r="AJ490" s="7">
        <f>Liste!X490</f>
        <v>0</v>
      </c>
      <c r="AK490" s="7">
        <f>Liste!Y490</f>
        <v>0</v>
      </c>
      <c r="AL490" s="7"/>
      <c r="AM490" s="7"/>
      <c r="AN490" s="7"/>
      <c r="AO490" s="1113">
        <f>Liste!D490</f>
        <v>0</v>
      </c>
      <c r="AP490" s="1113">
        <f>Liste!F490</f>
        <v>0</v>
      </c>
      <c r="AQ490" s="1113">
        <f>Liste!E490</f>
        <v>0</v>
      </c>
      <c r="AR490" s="1113">
        <f>Liste!G490</f>
        <v>0</v>
      </c>
      <c r="AS490" s="1112">
        <f>Liste!V490</f>
        <v>1</v>
      </c>
      <c r="AT490" s="1">
        <f>Liste!M490</f>
        <v>0</v>
      </c>
      <c r="AZ490" s="5" t="s">
        <v>30145</v>
      </c>
      <c r="BA490" s="4" t="s">
        <v>101</v>
      </c>
      <c r="BB490" s="4">
        <v>992</v>
      </c>
      <c r="BD490" s="35"/>
      <c r="BE490" s="35"/>
      <c r="BF490" s="2118">
        <f>Liste!R490</f>
        <v>0</v>
      </c>
      <c r="BG490" s="2137">
        <f>IF(AS490&gt;0,Liste!S490,0)</f>
        <v>0</v>
      </c>
      <c r="BH490" s="2118" t="str">
        <f>Liste!T490</f>
        <v>Stk</v>
      </c>
    </row>
    <row r="491" spans="1:60" ht="24.95" customHeight="1" x14ac:dyDescent="0.25">
      <c r="A491" s="29"/>
      <c r="B491" s="46">
        <f>IF(Liste!O491&gt;0,Liste!O491,Liste!B491)</f>
        <v>0</v>
      </c>
      <c r="C491" s="2314"/>
      <c r="D491" s="30">
        <f>Liste!C491</f>
        <v>0</v>
      </c>
      <c r="E491" s="2314"/>
      <c r="F491" s="32">
        <f t="shared" si="40"/>
        <v>0</v>
      </c>
      <c r="G491" s="2314"/>
      <c r="H491" s="32">
        <f t="shared" si="41"/>
        <v>0</v>
      </c>
      <c r="I491" s="2314"/>
      <c r="J491" s="32">
        <f t="shared" si="42"/>
        <v>0</v>
      </c>
      <c r="K491" s="2314"/>
      <c r="L491" s="31">
        <f t="shared" si="43"/>
        <v>0</v>
      </c>
      <c r="M491" s="2314"/>
      <c r="N491" s="31" t="str">
        <f>Liste!L491</f>
        <v/>
      </c>
      <c r="O491" s="31"/>
      <c r="P491" s="31"/>
      <c r="Q491" s="31">
        <f>Liste!P491</f>
        <v>0</v>
      </c>
      <c r="R491" s="31">
        <f>Liste!N491</f>
        <v>0</v>
      </c>
      <c r="S491" s="7">
        <v>0</v>
      </c>
      <c r="T491" s="7">
        <v>0</v>
      </c>
      <c r="U491" s="7">
        <v>0</v>
      </c>
      <c r="V491" s="7"/>
      <c r="W491" s="60"/>
      <c r="X491" s="60"/>
      <c r="Y491" s="60"/>
      <c r="Z491" s="7"/>
      <c r="AA491" s="7"/>
      <c r="AB491" s="60"/>
      <c r="AC491" s="60"/>
      <c r="AD491" s="60"/>
      <c r="AE491" s="7"/>
      <c r="AF491" s="7"/>
      <c r="AG491" s="7"/>
      <c r="AH491" s="7"/>
      <c r="AI491" s="7"/>
      <c r="AJ491" s="7">
        <f>Liste!X491</f>
        <v>0</v>
      </c>
      <c r="AK491" s="7">
        <f>Liste!Y491</f>
        <v>0</v>
      </c>
      <c r="AL491" s="7"/>
      <c r="AM491" s="7"/>
      <c r="AN491" s="7"/>
      <c r="AO491" s="1113">
        <f>Liste!D491</f>
        <v>0</v>
      </c>
      <c r="AP491" s="1113">
        <f>Liste!F491</f>
        <v>0</v>
      </c>
      <c r="AQ491" s="1113">
        <f>Liste!E491</f>
        <v>0</v>
      </c>
      <c r="AR491" s="1113">
        <f>Liste!G491</f>
        <v>0</v>
      </c>
      <c r="AS491" s="1112">
        <f>Liste!V491</f>
        <v>1</v>
      </c>
      <c r="AT491" s="1">
        <f>Liste!M491</f>
        <v>0</v>
      </c>
      <c r="AZ491" s="5" t="s">
        <v>30146</v>
      </c>
      <c r="BA491" s="4" t="s">
        <v>101</v>
      </c>
      <c r="BB491" s="4">
        <v>993</v>
      </c>
      <c r="BD491" s="35"/>
      <c r="BE491" s="35"/>
      <c r="BF491" s="2118">
        <f>Liste!R491</f>
        <v>0</v>
      </c>
      <c r="BG491" s="2137">
        <f>IF(AS491&gt;0,Liste!S491,0)</f>
        <v>0</v>
      </c>
      <c r="BH491" s="2118" t="str">
        <f>Liste!T491</f>
        <v>Stk</v>
      </c>
    </row>
    <row r="492" spans="1:60" ht="24.95" customHeight="1" x14ac:dyDescent="0.25">
      <c r="A492" s="29"/>
      <c r="B492" s="46">
        <f>IF(Liste!O492&gt;0,Liste!O492,Liste!B492)</f>
        <v>0</v>
      </c>
      <c r="C492" s="2314"/>
      <c r="D492" s="30">
        <f>Liste!C492</f>
        <v>0</v>
      </c>
      <c r="E492" s="2314"/>
      <c r="F492" s="32">
        <f t="shared" si="40"/>
        <v>0</v>
      </c>
      <c r="G492" s="2314"/>
      <c r="H492" s="32">
        <f t="shared" si="41"/>
        <v>0</v>
      </c>
      <c r="I492" s="2314"/>
      <c r="J492" s="32">
        <f t="shared" si="42"/>
        <v>0</v>
      </c>
      <c r="K492" s="2314"/>
      <c r="L492" s="31">
        <f t="shared" si="43"/>
        <v>0</v>
      </c>
      <c r="M492" s="2314"/>
      <c r="N492" s="31" t="str">
        <f>Liste!L492</f>
        <v/>
      </c>
      <c r="O492" s="31"/>
      <c r="P492" s="31"/>
      <c r="Q492" s="31">
        <f>Liste!P492</f>
        <v>0</v>
      </c>
      <c r="R492" s="31">
        <f>Liste!N492</f>
        <v>0</v>
      </c>
      <c r="S492" s="7">
        <v>0</v>
      </c>
      <c r="T492" s="7">
        <v>0</v>
      </c>
      <c r="U492" s="7">
        <v>0</v>
      </c>
      <c r="V492" s="7"/>
      <c r="W492" s="60"/>
      <c r="X492" s="60"/>
      <c r="Y492" s="60"/>
      <c r="Z492" s="7"/>
      <c r="AA492" s="7"/>
      <c r="AB492" s="60"/>
      <c r="AC492" s="60"/>
      <c r="AD492" s="60"/>
      <c r="AE492" s="7"/>
      <c r="AF492" s="7"/>
      <c r="AG492" s="7"/>
      <c r="AH492" s="7"/>
      <c r="AI492" s="7"/>
      <c r="AJ492" s="7">
        <f>Liste!X492</f>
        <v>0</v>
      </c>
      <c r="AK492" s="7">
        <f>Liste!Y492</f>
        <v>0</v>
      </c>
      <c r="AL492" s="7"/>
      <c r="AM492" s="7"/>
      <c r="AN492" s="7"/>
      <c r="AO492" s="1113">
        <f>Liste!D492</f>
        <v>0</v>
      </c>
      <c r="AP492" s="1113">
        <f>Liste!F492</f>
        <v>0</v>
      </c>
      <c r="AQ492" s="1113">
        <f>Liste!E492</f>
        <v>0</v>
      </c>
      <c r="AR492" s="1113">
        <f>Liste!G492</f>
        <v>0</v>
      </c>
      <c r="AS492" s="1112">
        <f>Liste!V492</f>
        <v>1</v>
      </c>
      <c r="AT492" s="1">
        <f>Liste!M492</f>
        <v>0</v>
      </c>
      <c r="AZ492" s="5" t="s">
        <v>30147</v>
      </c>
      <c r="BA492" s="4" t="s">
        <v>101</v>
      </c>
      <c r="BB492" s="4">
        <v>994</v>
      </c>
      <c r="BD492" s="35"/>
      <c r="BE492" s="35"/>
      <c r="BF492" s="2118">
        <f>Liste!R492</f>
        <v>0</v>
      </c>
      <c r="BG492" s="2137">
        <f>IF(AS492&gt;0,Liste!S492,0)</f>
        <v>0</v>
      </c>
      <c r="BH492" s="2118" t="str">
        <f>Liste!T492</f>
        <v>Stk</v>
      </c>
    </row>
    <row r="493" spans="1:60" ht="24.95" customHeight="1" x14ac:dyDescent="0.25">
      <c r="A493" s="29"/>
      <c r="B493" s="46">
        <f>IF(Liste!O493&gt;0,Liste!O493,Liste!B493)</f>
        <v>0</v>
      </c>
      <c r="C493" s="2314"/>
      <c r="D493" s="30">
        <f>Liste!C493</f>
        <v>0</v>
      </c>
      <c r="E493" s="2314"/>
      <c r="F493" s="32">
        <f t="shared" si="40"/>
        <v>0</v>
      </c>
      <c r="G493" s="2314"/>
      <c r="H493" s="32">
        <f t="shared" si="41"/>
        <v>0</v>
      </c>
      <c r="I493" s="2314"/>
      <c r="J493" s="32">
        <f t="shared" si="42"/>
        <v>0</v>
      </c>
      <c r="K493" s="2314"/>
      <c r="L493" s="31">
        <f t="shared" si="43"/>
        <v>0</v>
      </c>
      <c r="M493" s="2314"/>
      <c r="N493" s="31" t="str">
        <f>Liste!L493</f>
        <v/>
      </c>
      <c r="O493" s="31"/>
      <c r="P493" s="31"/>
      <c r="Q493" s="31">
        <f>Liste!P493</f>
        <v>0</v>
      </c>
      <c r="R493" s="31">
        <f>Liste!N493</f>
        <v>0</v>
      </c>
      <c r="S493" s="7">
        <v>0</v>
      </c>
      <c r="T493" s="7">
        <v>0</v>
      </c>
      <c r="U493" s="7">
        <v>0</v>
      </c>
      <c r="V493" s="7"/>
      <c r="W493" s="60"/>
      <c r="X493" s="60"/>
      <c r="Y493" s="60"/>
      <c r="Z493" s="7"/>
      <c r="AA493" s="7"/>
      <c r="AB493" s="60"/>
      <c r="AC493" s="60"/>
      <c r="AD493" s="60"/>
      <c r="AE493" s="7"/>
      <c r="AF493" s="7"/>
      <c r="AG493" s="7"/>
      <c r="AH493" s="7"/>
      <c r="AI493" s="7"/>
      <c r="AJ493" s="7">
        <f>Liste!X493</f>
        <v>0</v>
      </c>
      <c r="AK493" s="7">
        <f>Liste!Y493</f>
        <v>0</v>
      </c>
      <c r="AL493" s="7"/>
      <c r="AM493" s="7"/>
      <c r="AN493" s="7"/>
      <c r="AO493" s="1113">
        <f>Liste!D493</f>
        <v>0</v>
      </c>
      <c r="AP493" s="1113">
        <f>Liste!F493</f>
        <v>0</v>
      </c>
      <c r="AQ493" s="1113">
        <f>Liste!E493</f>
        <v>0</v>
      </c>
      <c r="AR493" s="1113">
        <f>Liste!G493</f>
        <v>0</v>
      </c>
      <c r="AS493" s="1112">
        <f>Liste!V493</f>
        <v>1</v>
      </c>
      <c r="AT493" s="1">
        <f>Liste!M493</f>
        <v>0</v>
      </c>
      <c r="AZ493" s="5" t="s">
        <v>30148</v>
      </c>
      <c r="BA493" s="4" t="s">
        <v>101</v>
      </c>
      <c r="BB493" s="4">
        <v>995</v>
      </c>
      <c r="BD493" s="35"/>
      <c r="BE493" s="35"/>
      <c r="BF493" s="2118">
        <f>Liste!R493</f>
        <v>0</v>
      </c>
      <c r="BG493" s="2137">
        <f>IF(AS493&gt;0,Liste!S493,0)</f>
        <v>0</v>
      </c>
      <c r="BH493" s="2118" t="str">
        <f>Liste!T493</f>
        <v>Stk</v>
      </c>
    </row>
    <row r="494" spans="1:60" ht="24.95" customHeight="1" x14ac:dyDescent="0.25">
      <c r="A494" s="29"/>
      <c r="B494" s="46" t="str">
        <f>IF(Liste!O494&gt;0,Liste!O494,Liste!B494)</f>
        <v>Sicherheitszuhaltung Schmersal</v>
      </c>
      <c r="C494" s="2314"/>
      <c r="D494" s="30">
        <f>Liste!C494</f>
        <v>1164061</v>
      </c>
      <c r="E494" s="2314"/>
      <c r="F494" s="32">
        <f t="shared" si="40"/>
        <v>0</v>
      </c>
      <c r="G494" s="2314"/>
      <c r="H494" s="32">
        <f t="shared" si="41"/>
        <v>0</v>
      </c>
      <c r="I494" s="2314"/>
      <c r="J494" s="32">
        <f t="shared" si="42"/>
        <v>0</v>
      </c>
      <c r="K494" s="2314"/>
      <c r="L494" s="31">
        <f t="shared" si="43"/>
        <v>0</v>
      </c>
      <c r="M494" s="2314"/>
      <c r="N494" s="31" t="str">
        <f>Liste!L494</f>
        <v>Stk</v>
      </c>
      <c r="O494" s="31"/>
      <c r="P494" s="31"/>
      <c r="Q494" s="31">
        <f>Liste!P494</f>
        <v>0</v>
      </c>
      <c r="R494" s="31">
        <f>Liste!N494</f>
        <v>0</v>
      </c>
      <c r="S494" s="7">
        <v>0</v>
      </c>
      <c r="T494" s="7">
        <v>0</v>
      </c>
      <c r="U494" s="7">
        <v>0</v>
      </c>
      <c r="V494" s="7"/>
      <c r="W494" s="60"/>
      <c r="X494" s="60"/>
      <c r="Y494" s="60"/>
      <c r="Z494" s="7"/>
      <c r="AA494" s="7"/>
      <c r="AB494" s="60"/>
      <c r="AC494" s="60"/>
      <c r="AD494" s="60"/>
      <c r="AE494" s="7"/>
      <c r="AF494" s="7"/>
      <c r="AG494" s="7"/>
      <c r="AH494" s="7"/>
      <c r="AI494" s="7"/>
      <c r="AJ494" s="7">
        <f>Liste!X494</f>
        <v>0</v>
      </c>
      <c r="AK494" s="7">
        <f>Liste!Y494</f>
        <v>0</v>
      </c>
      <c r="AL494" s="7"/>
      <c r="AM494" s="7"/>
      <c r="AN494" s="7"/>
      <c r="AO494" s="1113">
        <f>Liste!D494</f>
        <v>0</v>
      </c>
      <c r="AP494" s="1113">
        <f>Liste!F494</f>
        <v>0</v>
      </c>
      <c r="AQ494" s="1113">
        <f>Liste!E494</f>
        <v>0</v>
      </c>
      <c r="AR494" s="1113">
        <f>Liste!G494</f>
        <v>0</v>
      </c>
      <c r="AS494" s="1112">
        <f>Liste!V494</f>
        <v>1</v>
      </c>
      <c r="AT494" s="1">
        <f>Liste!M494</f>
        <v>0</v>
      </c>
      <c r="AZ494" s="5" t="s">
        <v>30149</v>
      </c>
      <c r="BA494" s="4" t="s">
        <v>101</v>
      </c>
      <c r="BB494" s="4">
        <v>996</v>
      </c>
      <c r="BD494" s="35"/>
      <c r="BE494" s="35"/>
      <c r="BF494" s="2118">
        <f>Liste!R494</f>
        <v>1164061</v>
      </c>
      <c r="BG494" s="2137">
        <f>IF(AS494&gt;0,Liste!S494,0)</f>
        <v>0</v>
      </c>
      <c r="BH494" s="2118" t="str">
        <f>Liste!T494</f>
        <v>Stk</v>
      </c>
    </row>
    <row r="495" spans="1:60" ht="24.95" customHeight="1" x14ac:dyDescent="0.25">
      <c r="A495" s="29"/>
      <c r="B495" s="46" t="str">
        <f>IF(Liste!O495&gt;0,Liste!O495,Liste!B495)</f>
        <v>Betätiger für Sicherheitszuhaltung</v>
      </c>
      <c r="C495" s="2314"/>
      <c r="D495" s="30">
        <f>Liste!C495</f>
        <v>1164062</v>
      </c>
      <c r="E495" s="2314"/>
      <c r="F495" s="32">
        <f t="shared" si="40"/>
        <v>0</v>
      </c>
      <c r="G495" s="2314"/>
      <c r="H495" s="32">
        <f t="shared" si="41"/>
        <v>0</v>
      </c>
      <c r="I495" s="2314"/>
      <c r="J495" s="32">
        <f t="shared" si="42"/>
        <v>0</v>
      </c>
      <c r="K495" s="2314"/>
      <c r="L495" s="31">
        <f t="shared" si="43"/>
        <v>0</v>
      </c>
      <c r="M495" s="2314"/>
      <c r="N495" s="31" t="str">
        <f>Liste!L495</f>
        <v>Stk</v>
      </c>
      <c r="O495" s="31"/>
      <c r="P495" s="31"/>
      <c r="Q495" s="31">
        <f>Liste!P495</f>
        <v>0</v>
      </c>
      <c r="R495" s="31">
        <f>Liste!N495</f>
        <v>0</v>
      </c>
      <c r="S495" s="7">
        <v>0</v>
      </c>
      <c r="T495" s="7">
        <v>0</v>
      </c>
      <c r="U495" s="7">
        <v>0</v>
      </c>
      <c r="V495" s="7"/>
      <c r="W495" s="60"/>
      <c r="X495" s="60"/>
      <c r="Y495" s="60"/>
      <c r="Z495" s="7"/>
      <c r="AA495" s="7"/>
      <c r="AB495" s="60"/>
      <c r="AC495" s="60"/>
      <c r="AD495" s="60"/>
      <c r="AE495" s="7"/>
      <c r="AF495" s="7"/>
      <c r="AG495" s="7"/>
      <c r="AH495" s="7"/>
      <c r="AI495" s="7"/>
      <c r="AJ495" s="7">
        <f>Liste!X495</f>
        <v>0</v>
      </c>
      <c r="AK495" s="7">
        <f>Liste!Y495</f>
        <v>0</v>
      </c>
      <c r="AL495" s="7"/>
      <c r="AM495" s="7"/>
      <c r="AN495" s="7"/>
      <c r="AO495" s="1113">
        <f>Liste!D495</f>
        <v>0</v>
      </c>
      <c r="AP495" s="1113">
        <f>Liste!F495</f>
        <v>0</v>
      </c>
      <c r="AQ495" s="1113">
        <f>Liste!E495</f>
        <v>0</v>
      </c>
      <c r="AR495" s="1113">
        <f>Liste!G495</f>
        <v>0</v>
      </c>
      <c r="AS495" s="1112">
        <f>Liste!V495</f>
        <v>1</v>
      </c>
      <c r="AT495" s="1">
        <f>Liste!M495</f>
        <v>0</v>
      </c>
      <c r="AZ495" s="5" t="s">
        <v>30150</v>
      </c>
      <c r="BA495" s="4" t="s">
        <v>101</v>
      </c>
      <c r="BB495" s="4">
        <v>997</v>
      </c>
      <c r="BD495" s="35"/>
      <c r="BE495" s="35"/>
      <c r="BF495" s="2118">
        <f>Liste!R495</f>
        <v>1164062</v>
      </c>
      <c r="BG495" s="2137">
        <f>IF(AS495&gt;0,Liste!S495,0)</f>
        <v>0</v>
      </c>
      <c r="BH495" s="2118" t="str">
        <f>Liste!T495</f>
        <v>Stk</v>
      </c>
    </row>
    <row r="496" spans="1:60" ht="24.95" customHeight="1" x14ac:dyDescent="0.25">
      <c r="A496" s="29"/>
      <c r="B496" s="46" t="str">
        <f>IF(Liste!O496&gt;0,Liste!O496,Liste!B496)</f>
        <v>Aufkleber Produkt deutsch</v>
      </c>
      <c r="C496" s="2314"/>
      <c r="D496" s="30" t="str">
        <f>Liste!C496</f>
        <v>4002007</v>
      </c>
      <c r="E496" s="2314"/>
      <c r="F496" s="32">
        <f t="shared" si="40"/>
        <v>1</v>
      </c>
      <c r="G496" s="2314"/>
      <c r="H496" s="32">
        <f t="shared" si="41"/>
        <v>0</v>
      </c>
      <c r="I496" s="2314"/>
      <c r="J496" s="32">
        <f t="shared" si="42"/>
        <v>0</v>
      </c>
      <c r="K496" s="2314"/>
      <c r="L496" s="31">
        <f t="shared" si="43"/>
        <v>0</v>
      </c>
      <c r="M496" s="2314"/>
      <c r="N496" s="31" t="str">
        <f>Liste!L496</f>
        <v>Stk</v>
      </c>
      <c r="O496" s="31"/>
      <c r="P496" s="31"/>
      <c r="Q496" s="31">
        <f>Liste!P496</f>
        <v>0</v>
      </c>
      <c r="R496" s="31">
        <f>Liste!N496</f>
        <v>0</v>
      </c>
      <c r="S496" s="7">
        <v>0</v>
      </c>
      <c r="T496" s="7">
        <v>0</v>
      </c>
      <c r="U496" s="7">
        <v>0</v>
      </c>
      <c r="V496" s="7"/>
      <c r="W496" s="60"/>
      <c r="X496" s="60"/>
      <c r="Y496" s="60"/>
      <c r="Z496" s="7"/>
      <c r="AA496" s="7"/>
      <c r="AB496" s="60"/>
      <c r="AC496" s="60"/>
      <c r="AD496" s="60"/>
      <c r="AE496" s="7"/>
      <c r="AF496" s="7"/>
      <c r="AG496" s="7"/>
      <c r="AH496" s="7"/>
      <c r="AI496" s="7"/>
      <c r="AJ496" s="7">
        <f>Liste!X496</f>
        <v>0</v>
      </c>
      <c r="AK496" s="7">
        <f>Liste!Y496</f>
        <v>0</v>
      </c>
      <c r="AL496" s="7"/>
      <c r="AM496" s="7"/>
      <c r="AN496" s="7"/>
      <c r="AO496" s="1113">
        <f>Liste!D496</f>
        <v>1</v>
      </c>
      <c r="AP496" s="1113">
        <f>Liste!F496</f>
        <v>0</v>
      </c>
      <c r="AQ496" s="1113">
        <f>Liste!E496</f>
        <v>0</v>
      </c>
      <c r="AR496" s="1113">
        <f>Liste!G496</f>
        <v>3</v>
      </c>
      <c r="AS496" s="1112">
        <f>Liste!V496</f>
        <v>1</v>
      </c>
      <c r="AT496" s="1">
        <f>Liste!M496</f>
        <v>0</v>
      </c>
      <c r="AZ496" s="5" t="s">
        <v>30151</v>
      </c>
      <c r="BA496" s="4" t="s">
        <v>101</v>
      </c>
      <c r="BB496" s="4">
        <v>998</v>
      </c>
      <c r="BD496" s="35"/>
      <c r="BE496" s="35"/>
      <c r="BF496" s="2118" t="str">
        <f>Liste!R496</f>
        <v>4002007</v>
      </c>
      <c r="BG496" s="2137">
        <f>IF(AS496&gt;0,Liste!S496,0)</f>
        <v>1</v>
      </c>
      <c r="BH496" s="2118" t="str">
        <f>Liste!T496</f>
        <v>Stk</v>
      </c>
    </row>
    <row r="497" spans="1:60" ht="24.95" customHeight="1" x14ac:dyDescent="0.25">
      <c r="A497" s="29"/>
      <c r="B497" s="46" t="str">
        <f>IF(Liste!O497&gt;0,Liste!O497,Liste!B497)</f>
        <v>Aufkleber Produkt englisch</v>
      </c>
      <c r="C497" s="2314"/>
      <c r="D497" s="30" t="str">
        <f>Liste!C497</f>
        <v>4002008</v>
      </c>
      <c r="E497" s="2314"/>
      <c r="F497" s="32">
        <f t="shared" si="40"/>
        <v>0</v>
      </c>
      <c r="G497" s="2314"/>
      <c r="H497" s="32">
        <f t="shared" si="41"/>
        <v>0</v>
      </c>
      <c r="I497" s="2314"/>
      <c r="J497" s="32">
        <f t="shared" si="42"/>
        <v>0</v>
      </c>
      <c r="K497" s="2314"/>
      <c r="L497" s="31">
        <f t="shared" si="43"/>
        <v>0</v>
      </c>
      <c r="M497" s="2314"/>
      <c r="N497" s="31" t="str">
        <f>Liste!L497</f>
        <v>Stk</v>
      </c>
      <c r="O497" s="31"/>
      <c r="P497" s="31"/>
      <c r="Q497" s="31">
        <f>Liste!P497</f>
        <v>0</v>
      </c>
      <c r="R497" s="31">
        <f>Liste!N497</f>
        <v>0</v>
      </c>
      <c r="S497" s="7">
        <v>0</v>
      </c>
      <c r="T497" s="7">
        <v>0</v>
      </c>
      <c r="U497" s="7">
        <v>0</v>
      </c>
      <c r="V497" s="7"/>
      <c r="W497" s="60"/>
      <c r="X497" s="60"/>
      <c r="Y497" s="60"/>
      <c r="Z497" s="7"/>
      <c r="AA497" s="7"/>
      <c r="AB497" s="60"/>
      <c r="AC497" s="60"/>
      <c r="AD497" s="60"/>
      <c r="AE497" s="7"/>
      <c r="AF497" s="7"/>
      <c r="AG497" s="7"/>
      <c r="AH497" s="7"/>
      <c r="AI497" s="7"/>
      <c r="AJ497" s="7">
        <f>Liste!X497</f>
        <v>0</v>
      </c>
      <c r="AK497" s="7">
        <f>Liste!Y497</f>
        <v>0</v>
      </c>
      <c r="AL497" s="7"/>
      <c r="AM497" s="7"/>
      <c r="AN497" s="7"/>
      <c r="AO497" s="1113">
        <f>Liste!D497</f>
        <v>0</v>
      </c>
      <c r="AP497" s="1113">
        <f>Liste!F497</f>
        <v>0</v>
      </c>
      <c r="AQ497" s="1113">
        <f>Liste!E497</f>
        <v>0</v>
      </c>
      <c r="AR497" s="1113">
        <f>Liste!G497</f>
        <v>0</v>
      </c>
      <c r="AS497" s="1112">
        <f>Liste!V497</f>
        <v>1</v>
      </c>
      <c r="AT497" s="1">
        <f>Liste!M497</f>
        <v>0</v>
      </c>
      <c r="AZ497" s="5" t="s">
        <v>31365</v>
      </c>
      <c r="BA497" s="4" t="s">
        <v>101</v>
      </c>
      <c r="BB497" s="4">
        <v>999</v>
      </c>
      <c r="BD497" s="35"/>
      <c r="BE497" s="35"/>
      <c r="BF497" s="2118" t="str">
        <f>Liste!R497</f>
        <v>4002008</v>
      </c>
      <c r="BG497" s="2137">
        <f>IF(AS497&gt;0,Liste!S497,0)</f>
        <v>0</v>
      </c>
      <c r="BH497" s="2118" t="str">
        <f>Liste!T497</f>
        <v>Stk</v>
      </c>
    </row>
    <row r="498" spans="1:60" ht="24.95" customHeight="1" x14ac:dyDescent="0.25">
      <c r="A498" s="29"/>
      <c r="B498" s="46" t="str">
        <f>IF(Liste!O498&gt;0,Liste!O498,Liste!B498)</f>
        <v>Aufkleber Produkt französisch</v>
      </c>
      <c r="C498" s="2314"/>
      <c r="D498" s="30" t="str">
        <f>Liste!C498</f>
        <v>4002009</v>
      </c>
      <c r="E498" s="2314"/>
      <c r="F498" s="32">
        <f t="shared" si="40"/>
        <v>0</v>
      </c>
      <c r="G498" s="2314"/>
      <c r="H498" s="32">
        <f t="shared" si="41"/>
        <v>0</v>
      </c>
      <c r="I498" s="2314"/>
      <c r="J498" s="32">
        <f t="shared" si="42"/>
        <v>0</v>
      </c>
      <c r="K498" s="2314"/>
      <c r="L498" s="31">
        <f t="shared" si="43"/>
        <v>0</v>
      </c>
      <c r="M498" s="2314"/>
      <c r="N498" s="31" t="str">
        <f>Liste!L498</f>
        <v>Stk</v>
      </c>
      <c r="O498" s="31"/>
      <c r="P498" s="31"/>
      <c r="Q498" s="31">
        <f>Liste!P498</f>
        <v>0</v>
      </c>
      <c r="R498" s="31">
        <f>Liste!N498</f>
        <v>0</v>
      </c>
      <c r="S498" s="7">
        <v>0</v>
      </c>
      <c r="T498" s="7">
        <v>0</v>
      </c>
      <c r="U498" s="7">
        <v>0</v>
      </c>
      <c r="V498" s="7"/>
      <c r="W498" s="60"/>
      <c r="X498" s="60"/>
      <c r="Y498" s="60"/>
      <c r="Z498" s="7"/>
      <c r="AA498" s="7"/>
      <c r="AB498" s="60"/>
      <c r="AC498" s="60"/>
      <c r="AD498" s="60"/>
      <c r="AE498" s="7"/>
      <c r="AF498" s="7"/>
      <c r="AG498" s="7"/>
      <c r="AH498" s="7"/>
      <c r="AI498" s="7"/>
      <c r="AJ498" s="7">
        <f>Liste!X498</f>
        <v>0</v>
      </c>
      <c r="AK498" s="7">
        <f>Liste!Y498</f>
        <v>0</v>
      </c>
      <c r="AL498" s="7"/>
      <c r="AM498" s="7"/>
      <c r="AN498" s="7"/>
      <c r="AO498" s="1113">
        <f>Liste!D498</f>
        <v>0</v>
      </c>
      <c r="AP498" s="1113">
        <f>Liste!F498</f>
        <v>0</v>
      </c>
      <c r="AQ498" s="1113">
        <f>Liste!E498</f>
        <v>0</v>
      </c>
      <c r="AR498" s="1113">
        <f>Liste!G498</f>
        <v>0</v>
      </c>
      <c r="AS498" s="1112">
        <f>Liste!V498</f>
        <v>1</v>
      </c>
      <c r="AT498" s="1">
        <f>Liste!M498</f>
        <v>0</v>
      </c>
      <c r="AZ498" s="5" t="s">
        <v>31366</v>
      </c>
      <c r="BA498" s="4" t="s">
        <v>101</v>
      </c>
      <c r="BB498" s="4">
        <v>1000</v>
      </c>
      <c r="BD498" s="35"/>
      <c r="BE498" s="35"/>
      <c r="BF498" s="2118" t="str">
        <f>Liste!R498</f>
        <v>4002009</v>
      </c>
      <c r="BG498" s="2137">
        <f>IF(AS498&gt;0,Liste!S498,0)</f>
        <v>0</v>
      </c>
      <c r="BH498" s="2118" t="str">
        <f>Liste!T498</f>
        <v>Stk</v>
      </c>
    </row>
    <row r="499" spans="1:60" ht="24.95" customHeight="1" x14ac:dyDescent="0.25">
      <c r="A499" s="29"/>
      <c r="B499" s="46" t="str">
        <f>IF(Liste!O499&gt;0,Liste!O499,Liste!B499)</f>
        <v>Aufkleber Produkt spanisch</v>
      </c>
      <c r="C499" s="2314"/>
      <c r="D499" s="30" t="str">
        <f>Liste!C499</f>
        <v>4002013</v>
      </c>
      <c r="E499" s="2314"/>
      <c r="F499" s="32">
        <f t="shared" si="40"/>
        <v>0</v>
      </c>
      <c r="G499" s="2314"/>
      <c r="H499" s="32">
        <f t="shared" si="41"/>
        <v>0</v>
      </c>
      <c r="I499" s="2314"/>
      <c r="J499" s="32">
        <f t="shared" si="42"/>
        <v>0</v>
      </c>
      <c r="K499" s="2314"/>
      <c r="L499" s="31">
        <f t="shared" si="43"/>
        <v>0</v>
      </c>
      <c r="M499" s="2314"/>
      <c r="N499" s="31" t="str">
        <f>Liste!L499</f>
        <v>Stk</v>
      </c>
      <c r="O499" s="31"/>
      <c r="P499" s="31"/>
      <c r="Q499" s="31">
        <f>Liste!P499</f>
        <v>0</v>
      </c>
      <c r="R499" s="31">
        <f>Liste!N499</f>
        <v>0</v>
      </c>
      <c r="S499" s="7">
        <v>0</v>
      </c>
      <c r="T499" s="7">
        <v>0</v>
      </c>
      <c r="U499" s="7">
        <v>0</v>
      </c>
      <c r="V499" s="7"/>
      <c r="W499" s="60"/>
      <c r="X499" s="60"/>
      <c r="Y499" s="60"/>
      <c r="Z499" s="7"/>
      <c r="AA499" s="7"/>
      <c r="AB499" s="60"/>
      <c r="AC499" s="60"/>
      <c r="AD499" s="60"/>
      <c r="AE499" s="7"/>
      <c r="AF499" s="7"/>
      <c r="AG499" s="7"/>
      <c r="AH499" s="7"/>
      <c r="AI499" s="7"/>
      <c r="AJ499" s="7">
        <f>Liste!X499</f>
        <v>0</v>
      </c>
      <c r="AK499" s="7">
        <f>Liste!Y499</f>
        <v>0</v>
      </c>
      <c r="AL499" s="7"/>
      <c r="AM499" s="7"/>
      <c r="AN499" s="7"/>
      <c r="AO499" s="1113">
        <f>Liste!D499</f>
        <v>0</v>
      </c>
      <c r="AP499" s="1113">
        <f>Liste!F499</f>
        <v>0</v>
      </c>
      <c r="AQ499" s="1113">
        <f>Liste!E499</f>
        <v>0</v>
      </c>
      <c r="AR499" s="1113">
        <f>Liste!G499</f>
        <v>0</v>
      </c>
      <c r="AS499" s="1112">
        <f>Liste!V499</f>
        <v>1</v>
      </c>
      <c r="AT499" s="1">
        <f>Liste!M499</f>
        <v>0</v>
      </c>
      <c r="AZ499" s="5" t="s">
        <v>31367</v>
      </c>
      <c r="BA499" s="4" t="s">
        <v>101</v>
      </c>
      <c r="BB499" s="4">
        <v>1001</v>
      </c>
      <c r="BD499" s="35"/>
      <c r="BE499" s="35"/>
      <c r="BF499" s="2118" t="str">
        <f>Liste!R499</f>
        <v>4002013</v>
      </c>
      <c r="BG499" s="2137">
        <f>IF(AS499&gt;0,Liste!S499,0)</f>
        <v>0</v>
      </c>
      <c r="BH499" s="2118" t="str">
        <f>Liste!T499</f>
        <v>Stk</v>
      </c>
    </row>
    <row r="500" spans="1:60" ht="24.95" customHeight="1" x14ac:dyDescent="0.25">
      <c r="A500" s="29"/>
      <c r="B500" s="46" t="str">
        <f>IF(Liste!O500&gt;0,Liste!O500,Liste!B500)</f>
        <v>Aufkleber Produkt Stöbich B.V. (Niederlande)</v>
      </c>
      <c r="C500" s="2314"/>
      <c r="D500" s="30" t="str">
        <f>Liste!C500</f>
        <v>4002018</v>
      </c>
      <c r="E500" s="2314"/>
      <c r="F500" s="32">
        <f t="shared" si="40"/>
        <v>0</v>
      </c>
      <c r="G500" s="2314"/>
      <c r="H500" s="32">
        <f t="shared" si="41"/>
        <v>0</v>
      </c>
      <c r="I500" s="2314"/>
      <c r="J500" s="32">
        <f t="shared" si="42"/>
        <v>0</v>
      </c>
      <c r="K500" s="2314"/>
      <c r="L500" s="31">
        <f t="shared" si="43"/>
        <v>0</v>
      </c>
      <c r="M500" s="2314"/>
      <c r="N500" s="31" t="str">
        <f>Liste!L500</f>
        <v>Stk</v>
      </c>
      <c r="O500" s="31"/>
      <c r="P500" s="31"/>
      <c r="Q500" s="31">
        <f>Liste!P500</f>
        <v>0</v>
      </c>
      <c r="R500" s="31">
        <f>Liste!N500</f>
        <v>0</v>
      </c>
      <c r="S500" s="7">
        <v>0</v>
      </c>
      <c r="T500" s="7">
        <v>0</v>
      </c>
      <c r="U500" s="7">
        <v>0</v>
      </c>
      <c r="V500" s="7"/>
      <c r="W500" s="60"/>
      <c r="X500" s="60"/>
      <c r="Y500" s="60"/>
      <c r="Z500" s="7"/>
      <c r="AA500" s="7"/>
      <c r="AB500" s="60"/>
      <c r="AC500" s="60"/>
      <c r="AD500" s="60"/>
      <c r="AE500" s="7"/>
      <c r="AF500" s="7"/>
      <c r="AG500" s="7"/>
      <c r="AH500" s="7"/>
      <c r="AI500" s="7"/>
      <c r="AJ500" s="7">
        <f>Liste!X500</f>
        <v>0</v>
      </c>
      <c r="AK500" s="7">
        <f>Liste!Y500</f>
        <v>0</v>
      </c>
      <c r="AL500" s="7"/>
      <c r="AM500" s="7"/>
      <c r="AN500" s="7"/>
      <c r="AO500" s="1113">
        <f>Liste!D500</f>
        <v>0</v>
      </c>
      <c r="AP500" s="1113">
        <f>Liste!F500</f>
        <v>0</v>
      </c>
      <c r="AQ500" s="1113">
        <f>Liste!E500</f>
        <v>0</v>
      </c>
      <c r="AR500" s="1113">
        <f>Liste!G500</f>
        <v>0</v>
      </c>
      <c r="AS500" s="1112">
        <f>Liste!V500</f>
        <v>2</v>
      </c>
      <c r="AT500" s="1">
        <f>Liste!M500</f>
        <v>0</v>
      </c>
      <c r="AZ500" s="5" t="s">
        <v>31368</v>
      </c>
      <c r="BA500" s="4" t="s">
        <v>101</v>
      </c>
      <c r="BB500" s="4">
        <v>1002</v>
      </c>
      <c r="BD500" s="35"/>
      <c r="BE500" s="35"/>
      <c r="BF500" s="2118" t="str">
        <f>Liste!R500</f>
        <v>4002018</v>
      </c>
      <c r="BG500" s="2137">
        <f>IF(AS500&gt;0,Liste!S500,0)</f>
        <v>0</v>
      </c>
      <c r="BH500" s="2118" t="str">
        <f>Liste!T500</f>
        <v>Stk</v>
      </c>
    </row>
    <row r="501" spans="1:60" ht="24.95" customHeight="1" x14ac:dyDescent="0.25">
      <c r="A501" s="29"/>
      <c r="B501" s="46" t="str">
        <f>IF(Liste!O501&gt;0,Liste!O501,Liste!B501)</f>
        <v>Aufkleber Produkt deutsch</v>
      </c>
      <c r="C501" s="2314"/>
      <c r="D501" s="30" t="str">
        <f>Liste!C501</f>
        <v>4002007</v>
      </c>
      <c r="E501" s="2314"/>
      <c r="F501" s="32">
        <f t="shared" si="40"/>
        <v>0</v>
      </c>
      <c r="G501" s="2314"/>
      <c r="H501" s="32">
        <f t="shared" si="41"/>
        <v>0</v>
      </c>
      <c r="I501" s="2314"/>
      <c r="J501" s="32">
        <f t="shared" si="42"/>
        <v>0</v>
      </c>
      <c r="K501" s="2314"/>
      <c r="L501" s="31">
        <f t="shared" si="43"/>
        <v>0</v>
      </c>
      <c r="M501" s="2314"/>
      <c r="N501" s="31">
        <f>Liste!L501</f>
        <v>0</v>
      </c>
      <c r="O501" s="31"/>
      <c r="P501" s="31"/>
      <c r="Q501" s="31">
        <f>Liste!P501</f>
        <v>0</v>
      </c>
      <c r="R501" s="31">
        <f>Liste!N501</f>
        <v>0</v>
      </c>
      <c r="S501" s="7">
        <v>0</v>
      </c>
      <c r="T501" s="7">
        <v>0</v>
      </c>
      <c r="U501" s="7">
        <v>0</v>
      </c>
      <c r="V501" s="7"/>
      <c r="W501" s="60"/>
      <c r="X501" s="60"/>
      <c r="Y501" s="60"/>
      <c r="Z501" s="7"/>
      <c r="AA501" s="7"/>
      <c r="AB501" s="60"/>
      <c r="AC501" s="60"/>
      <c r="AD501" s="60"/>
      <c r="AE501" s="7"/>
      <c r="AF501" s="7"/>
      <c r="AG501" s="7"/>
      <c r="AH501" s="7"/>
      <c r="AI501" s="7"/>
      <c r="AJ501" s="7">
        <f>Liste!X501</f>
        <v>0</v>
      </c>
      <c r="AK501" s="7">
        <f>Liste!Y501</f>
        <v>0</v>
      </c>
      <c r="AL501" s="7"/>
      <c r="AM501" s="7"/>
      <c r="AN501" s="7"/>
      <c r="AO501" s="1113">
        <f>Liste!D501</f>
        <v>0</v>
      </c>
      <c r="AP501" s="1113">
        <f>Liste!F501</f>
        <v>0</v>
      </c>
      <c r="AQ501" s="1113">
        <f>Liste!E501</f>
        <v>0</v>
      </c>
      <c r="AR501" s="1113">
        <f>Liste!G501</f>
        <v>0</v>
      </c>
      <c r="AS501" s="1112">
        <f>Liste!V501</f>
        <v>0</v>
      </c>
      <c r="AT501" s="1">
        <f>Liste!M501</f>
        <v>0</v>
      </c>
      <c r="AZ501" s="5" t="s">
        <v>31369</v>
      </c>
      <c r="BA501" s="4" t="s">
        <v>101</v>
      </c>
      <c r="BB501" s="4">
        <v>1003</v>
      </c>
      <c r="BD501" s="35"/>
      <c r="BE501" s="35"/>
      <c r="BF501" s="2118" t="str">
        <f>Liste!R501</f>
        <v>4002007</v>
      </c>
      <c r="BG501" s="2137">
        <f>IF(AS501&gt;0,Liste!S501,0)</f>
        <v>0</v>
      </c>
      <c r="BH501" s="2118">
        <f>Liste!T501</f>
        <v>0</v>
      </c>
    </row>
    <row r="502" spans="1:60" ht="24.95" customHeight="1" x14ac:dyDescent="0.25">
      <c r="A502" s="29"/>
      <c r="B502" s="46" t="str">
        <f>IF(Liste!O502&gt;0,Liste!O502,Liste!B502)</f>
        <v>Aufkleber FAA Schließbereich freihalten deutsch</v>
      </c>
      <c r="C502" s="2314"/>
      <c r="D502" s="30" t="str">
        <f>Liste!C502</f>
        <v>4002052</v>
      </c>
      <c r="E502" s="2314"/>
      <c r="F502" s="32">
        <f t="shared" si="40"/>
        <v>2</v>
      </c>
      <c r="G502" s="2314"/>
      <c r="H502" s="32">
        <f t="shared" si="41"/>
        <v>0</v>
      </c>
      <c r="I502" s="2314"/>
      <c r="J502" s="32">
        <f t="shared" si="42"/>
        <v>0</v>
      </c>
      <c r="K502" s="2314"/>
      <c r="L502" s="31">
        <f t="shared" si="43"/>
        <v>0</v>
      </c>
      <c r="M502" s="2314"/>
      <c r="N502" s="31" t="str">
        <f>Liste!L502</f>
        <v>Stk</v>
      </c>
      <c r="O502" s="31"/>
      <c r="P502" s="31"/>
      <c r="Q502" s="31">
        <f>Liste!P502</f>
        <v>0</v>
      </c>
      <c r="R502" s="31">
        <f>Liste!N502</f>
        <v>0</v>
      </c>
      <c r="S502" s="7">
        <v>0</v>
      </c>
      <c r="T502" s="7">
        <v>0</v>
      </c>
      <c r="U502" s="7">
        <v>0</v>
      </c>
      <c r="V502" s="7"/>
      <c r="W502" s="60"/>
      <c r="X502" s="60"/>
      <c r="Y502" s="60"/>
      <c r="Z502" s="7"/>
      <c r="AA502" s="7"/>
      <c r="AB502" s="60"/>
      <c r="AC502" s="60"/>
      <c r="AD502" s="60"/>
      <c r="AE502" s="7"/>
      <c r="AF502" s="7"/>
      <c r="AG502" s="7"/>
      <c r="AH502" s="7"/>
      <c r="AI502" s="7"/>
      <c r="AJ502" s="7">
        <f>Liste!X502</f>
        <v>0</v>
      </c>
      <c r="AK502" s="7">
        <f>Liste!Y502</f>
        <v>0</v>
      </c>
      <c r="AL502" s="7"/>
      <c r="AM502" s="7"/>
      <c r="AN502" s="7"/>
      <c r="AO502" s="1113">
        <f>Liste!D502</f>
        <v>2</v>
      </c>
      <c r="AP502" s="1113">
        <f>Liste!F502</f>
        <v>150</v>
      </c>
      <c r="AQ502" s="1113">
        <f>Liste!E502</f>
        <v>210</v>
      </c>
      <c r="AR502" s="1113">
        <f>Liste!G502</f>
        <v>0</v>
      </c>
      <c r="AS502" s="1112">
        <f>Liste!V502</f>
        <v>1</v>
      </c>
      <c r="AT502" s="1">
        <f>Liste!M502</f>
        <v>0</v>
      </c>
      <c r="AZ502" s="5" t="s">
        <v>31370</v>
      </c>
      <c r="BA502" s="4" t="s">
        <v>101</v>
      </c>
      <c r="BB502" s="4">
        <v>1004</v>
      </c>
      <c r="BD502" s="35"/>
      <c r="BE502" s="35"/>
      <c r="BF502" s="2118" t="str">
        <f>Liste!R502</f>
        <v>4002052</v>
      </c>
      <c r="BG502" s="2137">
        <f>IF(AS502&gt;0,Liste!S502,0)</f>
        <v>2</v>
      </c>
      <c r="BH502" s="2118" t="str">
        <f>Liste!T502</f>
        <v>Stk</v>
      </c>
    </row>
    <row r="503" spans="1:60" ht="24.95" customHeight="1" x14ac:dyDescent="0.25">
      <c r="A503" s="29"/>
      <c r="B503" s="46" t="str">
        <f>IF(Liste!O503&gt;0,Liste!O503,Liste!B503)</f>
        <v>Aufkleber FAA Schließbereich freihalten englisch</v>
      </c>
      <c r="C503" s="2314"/>
      <c r="D503" s="30">
        <f>Liste!C503</f>
        <v>0</v>
      </c>
      <c r="E503" s="2314"/>
      <c r="F503" s="32">
        <f t="shared" si="40"/>
        <v>0</v>
      </c>
      <c r="G503" s="2314"/>
      <c r="H503" s="32">
        <f t="shared" si="41"/>
        <v>0</v>
      </c>
      <c r="I503" s="2314"/>
      <c r="J503" s="32">
        <f t="shared" si="42"/>
        <v>0</v>
      </c>
      <c r="K503" s="2314"/>
      <c r="L503" s="31">
        <f t="shared" si="43"/>
        <v>0</v>
      </c>
      <c r="M503" s="2314"/>
      <c r="N503" s="31" t="str">
        <f>Liste!L503</f>
        <v>Stk</v>
      </c>
      <c r="O503" s="31"/>
      <c r="P503" s="31"/>
      <c r="Q503" s="31">
        <f>Liste!P503</f>
        <v>0</v>
      </c>
      <c r="R503" s="31">
        <f>Liste!N503</f>
        <v>0</v>
      </c>
      <c r="S503" s="7">
        <v>0</v>
      </c>
      <c r="T503" s="7">
        <v>0</v>
      </c>
      <c r="U503" s="7">
        <v>0</v>
      </c>
      <c r="V503" s="7"/>
      <c r="W503" s="60"/>
      <c r="X503" s="60"/>
      <c r="Y503" s="60"/>
      <c r="Z503" s="7"/>
      <c r="AA503" s="7"/>
      <c r="AB503" s="60"/>
      <c r="AC503" s="60"/>
      <c r="AD503" s="60"/>
      <c r="AE503" s="7"/>
      <c r="AF503" s="7"/>
      <c r="AG503" s="7"/>
      <c r="AH503" s="7"/>
      <c r="AI503" s="7"/>
      <c r="AJ503" s="7">
        <f>Liste!X503</f>
        <v>0</v>
      </c>
      <c r="AK503" s="7">
        <f>Liste!Y503</f>
        <v>0</v>
      </c>
      <c r="AL503" s="7"/>
      <c r="AM503" s="7"/>
      <c r="AN503" s="7"/>
      <c r="AO503" s="1113">
        <f>Liste!D503</f>
        <v>0</v>
      </c>
      <c r="AP503" s="1113">
        <f>Liste!F503</f>
        <v>150</v>
      </c>
      <c r="AQ503" s="1113">
        <f>Liste!E503</f>
        <v>210</v>
      </c>
      <c r="AR503" s="1113">
        <f>Liste!G503</f>
        <v>0</v>
      </c>
      <c r="AS503" s="1112">
        <f>Liste!V503</f>
        <v>1</v>
      </c>
      <c r="AT503" s="1">
        <f>Liste!M503</f>
        <v>0</v>
      </c>
      <c r="AZ503" s="5" t="s">
        <v>31371</v>
      </c>
      <c r="BA503" s="4" t="s">
        <v>101</v>
      </c>
      <c r="BB503" s="4">
        <v>1005</v>
      </c>
      <c r="BD503" s="35"/>
      <c r="BE503" s="35"/>
      <c r="BF503" s="2118">
        <f>Liste!R503</f>
        <v>0</v>
      </c>
      <c r="BG503" s="2137">
        <f>IF(AS503&gt;0,Liste!S503,0)</f>
        <v>0</v>
      </c>
      <c r="BH503" s="2118" t="str">
        <f>Liste!T503</f>
        <v>Stk</v>
      </c>
    </row>
    <row r="504" spans="1:60" ht="24.95" customHeight="1" x14ac:dyDescent="0.25">
      <c r="A504" s="29"/>
      <c r="B504" s="46" t="str">
        <f>IF(Liste!O504&gt;0,Liste!O504,Liste!B504)</f>
        <v>Aufkleber FAA Schließbereich freihalten französisch</v>
      </c>
      <c r="C504" s="2314"/>
      <c r="D504" s="30">
        <f>Liste!C504</f>
        <v>0</v>
      </c>
      <c r="E504" s="2314"/>
      <c r="F504" s="32">
        <f t="shared" si="40"/>
        <v>0</v>
      </c>
      <c r="G504" s="2314"/>
      <c r="H504" s="32">
        <f t="shared" si="41"/>
        <v>0</v>
      </c>
      <c r="I504" s="2314"/>
      <c r="J504" s="32">
        <f t="shared" si="42"/>
        <v>0</v>
      </c>
      <c r="K504" s="2314"/>
      <c r="L504" s="31">
        <f t="shared" si="43"/>
        <v>0</v>
      </c>
      <c r="M504" s="2314"/>
      <c r="N504" s="31" t="str">
        <f>Liste!L504</f>
        <v>Stk</v>
      </c>
      <c r="O504" s="31"/>
      <c r="P504" s="31"/>
      <c r="Q504" s="31">
        <f>Liste!P504</f>
        <v>0</v>
      </c>
      <c r="R504" s="31">
        <f>Liste!N504</f>
        <v>0</v>
      </c>
      <c r="S504" s="7">
        <v>0</v>
      </c>
      <c r="T504" s="7">
        <v>0</v>
      </c>
      <c r="U504" s="7">
        <v>0</v>
      </c>
      <c r="V504" s="7"/>
      <c r="W504" s="60"/>
      <c r="X504" s="60"/>
      <c r="Y504" s="60"/>
      <c r="Z504" s="7"/>
      <c r="AA504" s="7"/>
      <c r="AB504" s="60"/>
      <c r="AC504" s="60"/>
      <c r="AD504" s="60"/>
      <c r="AE504" s="7"/>
      <c r="AF504" s="7"/>
      <c r="AG504" s="7"/>
      <c r="AH504" s="7"/>
      <c r="AI504" s="7"/>
      <c r="AJ504" s="7">
        <f>Liste!X504</f>
        <v>0</v>
      </c>
      <c r="AK504" s="7">
        <f>Liste!Y504</f>
        <v>0</v>
      </c>
      <c r="AL504" s="7"/>
      <c r="AM504" s="7"/>
      <c r="AN504" s="7"/>
      <c r="AO504" s="1113">
        <f>Liste!D504</f>
        <v>0</v>
      </c>
      <c r="AP504" s="1113">
        <f>Liste!F504</f>
        <v>150</v>
      </c>
      <c r="AQ504" s="1113">
        <f>Liste!E504</f>
        <v>210</v>
      </c>
      <c r="AR504" s="1113">
        <f>Liste!G504</f>
        <v>0</v>
      </c>
      <c r="AS504" s="1112">
        <f>Liste!V504</f>
        <v>1</v>
      </c>
      <c r="AT504" s="1">
        <f>Liste!M504</f>
        <v>0</v>
      </c>
      <c r="AZ504" s="5" t="s">
        <v>31372</v>
      </c>
      <c r="BA504" s="4" t="s">
        <v>101</v>
      </c>
      <c r="BB504" s="4">
        <v>1006</v>
      </c>
      <c r="BD504" s="35"/>
      <c r="BE504" s="35"/>
      <c r="BF504" s="2118">
        <f>Liste!R504</f>
        <v>0</v>
      </c>
      <c r="BG504" s="2137">
        <f>IF(AS504&gt;0,Liste!S504,0)</f>
        <v>0</v>
      </c>
      <c r="BH504" s="2118" t="str">
        <f>Liste!T504</f>
        <v>Stk</v>
      </c>
    </row>
    <row r="505" spans="1:60" ht="24.95" customHeight="1" x14ac:dyDescent="0.25">
      <c r="A505" s="29"/>
      <c r="B505" s="46" t="str">
        <f>IF(Liste!O505&gt;0,Liste!O505,Liste!B505)</f>
        <v>Aufkleber FAA Schließbereich freihalten spanisch</v>
      </c>
      <c r="C505" s="2314"/>
      <c r="D505" s="30">
        <f>Liste!C505</f>
        <v>0</v>
      </c>
      <c r="E505" s="2314"/>
      <c r="F505" s="32">
        <f t="shared" si="40"/>
        <v>0</v>
      </c>
      <c r="G505" s="2314"/>
      <c r="H505" s="32">
        <f t="shared" si="41"/>
        <v>0</v>
      </c>
      <c r="I505" s="2314"/>
      <c r="J505" s="32">
        <f t="shared" si="42"/>
        <v>0</v>
      </c>
      <c r="K505" s="2314"/>
      <c r="L505" s="31">
        <f t="shared" si="43"/>
        <v>0</v>
      </c>
      <c r="M505" s="2314"/>
      <c r="N505" s="31" t="str">
        <f>Liste!L505</f>
        <v>Stk</v>
      </c>
      <c r="O505" s="31"/>
      <c r="P505" s="31"/>
      <c r="Q505" s="31">
        <f>Liste!P505</f>
        <v>0</v>
      </c>
      <c r="R505" s="31">
        <f>Liste!N505</f>
        <v>0</v>
      </c>
      <c r="S505" s="7">
        <v>0</v>
      </c>
      <c r="T505" s="7">
        <v>0</v>
      </c>
      <c r="U505" s="7">
        <v>0</v>
      </c>
      <c r="V505" s="7"/>
      <c r="W505" s="60"/>
      <c r="X505" s="60"/>
      <c r="Y505" s="60"/>
      <c r="Z505" s="7"/>
      <c r="AA505" s="7"/>
      <c r="AB505" s="60"/>
      <c r="AC505" s="60"/>
      <c r="AD505" s="60"/>
      <c r="AE505" s="7"/>
      <c r="AF505" s="7"/>
      <c r="AG505" s="7"/>
      <c r="AH505" s="7"/>
      <c r="AI505" s="7"/>
      <c r="AJ505" s="7">
        <f>Liste!X505</f>
        <v>0</v>
      </c>
      <c r="AK505" s="7">
        <f>Liste!Y505</f>
        <v>0</v>
      </c>
      <c r="AL505" s="7"/>
      <c r="AM505" s="7"/>
      <c r="AN505" s="7"/>
      <c r="AO505" s="1113">
        <f>Liste!D505</f>
        <v>0</v>
      </c>
      <c r="AP505" s="1113">
        <f>Liste!F505</f>
        <v>150</v>
      </c>
      <c r="AQ505" s="1113">
        <f>Liste!E505</f>
        <v>210</v>
      </c>
      <c r="AR505" s="1113">
        <f>Liste!G505</f>
        <v>0</v>
      </c>
      <c r="AS505" s="1112">
        <f>Liste!V505</f>
        <v>1</v>
      </c>
      <c r="AT505" s="1">
        <f>Liste!M505</f>
        <v>0</v>
      </c>
      <c r="AZ505" s="5" t="s">
        <v>31373</v>
      </c>
      <c r="BA505" s="4" t="s">
        <v>101</v>
      </c>
      <c r="BB505" s="4">
        <v>1007</v>
      </c>
      <c r="BD505" s="35"/>
      <c r="BE505" s="35"/>
      <c r="BF505" s="2118">
        <f>Liste!R505</f>
        <v>0</v>
      </c>
      <c r="BG505" s="2137">
        <f>IF(AS505&gt;0,Liste!S505,0)</f>
        <v>0</v>
      </c>
      <c r="BH505" s="2118" t="str">
        <f>Liste!T505</f>
        <v>Stk</v>
      </c>
    </row>
    <row r="506" spans="1:60" ht="24.95" customHeight="1" x14ac:dyDescent="0.25">
      <c r="A506" s="29"/>
      <c r="B506" s="46" t="str">
        <f>IF(Liste!O506&gt;0,Liste!O506,Liste!B506)</f>
        <v>Aufkleber FAA Schließbereich freihalten deutsch</v>
      </c>
      <c r="C506" s="2314"/>
      <c r="D506" s="30" t="str">
        <f>Liste!C506</f>
        <v>4002052</v>
      </c>
      <c r="E506" s="2314"/>
      <c r="F506" s="32">
        <f t="shared" si="40"/>
        <v>0</v>
      </c>
      <c r="G506" s="2314"/>
      <c r="H506" s="32">
        <f t="shared" si="41"/>
        <v>0</v>
      </c>
      <c r="I506" s="2314"/>
      <c r="J506" s="32">
        <f t="shared" si="42"/>
        <v>0</v>
      </c>
      <c r="K506" s="2314"/>
      <c r="L506" s="31">
        <f t="shared" si="43"/>
        <v>0</v>
      </c>
      <c r="M506" s="2314"/>
      <c r="N506" s="31">
        <f>Liste!L506</f>
        <v>0</v>
      </c>
      <c r="O506" s="31"/>
      <c r="P506" s="31"/>
      <c r="Q506" s="31">
        <f>Liste!P506</f>
        <v>0</v>
      </c>
      <c r="R506" s="31">
        <f>Liste!N506</f>
        <v>0</v>
      </c>
      <c r="S506" s="7">
        <v>0</v>
      </c>
      <c r="T506" s="7">
        <v>0</v>
      </c>
      <c r="U506" s="7">
        <v>0</v>
      </c>
      <c r="V506" s="7"/>
      <c r="W506" s="60"/>
      <c r="X506" s="60"/>
      <c r="Y506" s="60"/>
      <c r="Z506" s="7"/>
      <c r="AA506" s="7"/>
      <c r="AB506" s="60"/>
      <c r="AC506" s="60"/>
      <c r="AD506" s="60"/>
      <c r="AE506" s="7"/>
      <c r="AF506" s="7"/>
      <c r="AG506" s="7"/>
      <c r="AH506" s="7"/>
      <c r="AI506" s="7"/>
      <c r="AJ506" s="7">
        <f>Liste!X506</f>
        <v>0</v>
      </c>
      <c r="AK506" s="7">
        <f>Liste!Y506</f>
        <v>0</v>
      </c>
      <c r="AL506" s="7"/>
      <c r="AM506" s="7"/>
      <c r="AN506" s="7"/>
      <c r="AO506" s="1113">
        <f>Liste!D506</f>
        <v>0</v>
      </c>
      <c r="AP506" s="1113">
        <f>Liste!F506</f>
        <v>0</v>
      </c>
      <c r="AQ506" s="1113">
        <f>Liste!E506</f>
        <v>0</v>
      </c>
      <c r="AR506" s="1113">
        <f>Liste!G506</f>
        <v>0</v>
      </c>
      <c r="AS506" s="1112">
        <f>Liste!V506</f>
        <v>0</v>
      </c>
      <c r="AT506" s="1">
        <f>Liste!M506</f>
        <v>0</v>
      </c>
      <c r="AZ506" s="5" t="s">
        <v>31374</v>
      </c>
      <c r="BA506" s="4" t="s">
        <v>101</v>
      </c>
      <c r="BB506" s="4">
        <v>1008</v>
      </c>
      <c r="BD506" s="35"/>
      <c r="BE506" s="35"/>
      <c r="BF506" s="2118" t="str">
        <f>Liste!R506</f>
        <v>4002052</v>
      </c>
      <c r="BG506" s="2137">
        <f>IF(AS506&gt;0,Liste!S506,0)</f>
        <v>0</v>
      </c>
      <c r="BH506" s="2118">
        <f>Liste!T506</f>
        <v>0</v>
      </c>
    </row>
    <row r="507" spans="1:60" ht="24.95" customHeight="1" x14ac:dyDescent="0.25">
      <c r="A507" s="29"/>
      <c r="B507" s="46" t="str">
        <f>IF(Liste!O507&gt;0,Liste!O507,Liste!B507)</f>
        <v>Aufkleber FAA Brandlastfreie Zone deutsch</v>
      </c>
      <c r="C507" s="2314"/>
      <c r="D507" s="30" t="str">
        <f>Liste!C507</f>
        <v>4002049</v>
      </c>
      <c r="E507" s="2314"/>
      <c r="F507" s="32">
        <f t="shared" si="40"/>
        <v>0</v>
      </c>
      <c r="G507" s="2314"/>
      <c r="H507" s="32">
        <f t="shared" si="41"/>
        <v>0</v>
      </c>
      <c r="I507" s="2314"/>
      <c r="J507" s="32">
        <f t="shared" si="42"/>
        <v>0</v>
      </c>
      <c r="K507" s="2314"/>
      <c r="L507" s="31">
        <f t="shared" si="43"/>
        <v>0</v>
      </c>
      <c r="M507" s="2314"/>
      <c r="N507" s="31" t="str">
        <f>Liste!L507</f>
        <v>Stk</v>
      </c>
      <c r="O507" s="31"/>
      <c r="P507" s="31"/>
      <c r="Q507" s="31">
        <f>Liste!P507</f>
        <v>0</v>
      </c>
      <c r="R507" s="31">
        <f>Liste!N507</f>
        <v>0</v>
      </c>
      <c r="S507" s="7">
        <v>0</v>
      </c>
      <c r="T507" s="7">
        <v>0</v>
      </c>
      <c r="U507" s="7">
        <v>0</v>
      </c>
      <c r="V507" s="7"/>
      <c r="W507" s="60"/>
      <c r="X507" s="60"/>
      <c r="Y507" s="60"/>
      <c r="Z507" s="7"/>
      <c r="AA507" s="7"/>
      <c r="AB507" s="60"/>
      <c r="AC507" s="60"/>
      <c r="AD507" s="60"/>
      <c r="AE507" s="7"/>
      <c r="AF507" s="7"/>
      <c r="AG507" s="7"/>
      <c r="AH507" s="7"/>
      <c r="AI507" s="7"/>
      <c r="AJ507" s="7">
        <f>Liste!X507</f>
        <v>0</v>
      </c>
      <c r="AK507" s="7">
        <f>Liste!Y507</f>
        <v>0</v>
      </c>
      <c r="AL507" s="7"/>
      <c r="AM507" s="7"/>
      <c r="AN507" s="7"/>
      <c r="AO507" s="1113">
        <f>Liste!D507</f>
        <v>0</v>
      </c>
      <c r="AP507" s="1113">
        <f>Liste!F507</f>
        <v>150</v>
      </c>
      <c r="AQ507" s="1113">
        <f>Liste!E507</f>
        <v>210</v>
      </c>
      <c r="AR507" s="1113">
        <f>Liste!G507</f>
        <v>0</v>
      </c>
      <c r="AS507" s="1112">
        <f>Liste!V507</f>
        <v>1</v>
      </c>
      <c r="AT507" s="1">
        <f>Liste!M507</f>
        <v>0</v>
      </c>
      <c r="AZ507" s="5" t="s">
        <v>31375</v>
      </c>
      <c r="BA507" s="4" t="s">
        <v>101</v>
      </c>
      <c r="BB507" s="4">
        <v>1009</v>
      </c>
      <c r="BD507" s="35"/>
      <c r="BE507" s="35"/>
      <c r="BF507" s="2118" t="str">
        <f>Liste!R507</f>
        <v>4002049</v>
      </c>
      <c r="BG507" s="2137">
        <f>IF(AS507&gt;0,Liste!S507,0)</f>
        <v>0</v>
      </c>
      <c r="BH507" s="2118" t="str">
        <f>Liste!T507</f>
        <v>Stk</v>
      </c>
    </row>
    <row r="508" spans="1:60" ht="24.95" customHeight="1" x14ac:dyDescent="0.25">
      <c r="A508" s="29"/>
      <c r="B508" s="46" t="str">
        <f>IF(Liste!O508&gt;0,Liste!O508,Liste!B508)</f>
        <v>Aufkleber FAA Brandlastfreie Zone englisch</v>
      </c>
      <c r="C508" s="2314"/>
      <c r="D508" s="30">
        <f>Liste!C508</f>
        <v>0</v>
      </c>
      <c r="E508" s="2314"/>
      <c r="F508" s="32">
        <f t="shared" si="40"/>
        <v>0</v>
      </c>
      <c r="G508" s="2314"/>
      <c r="H508" s="32">
        <f t="shared" si="41"/>
        <v>0</v>
      </c>
      <c r="I508" s="2314"/>
      <c r="J508" s="32">
        <f t="shared" si="42"/>
        <v>0</v>
      </c>
      <c r="K508" s="2314"/>
      <c r="L508" s="31">
        <f t="shared" si="43"/>
        <v>0</v>
      </c>
      <c r="M508" s="2314"/>
      <c r="N508" s="31" t="str">
        <f>Liste!L508</f>
        <v>Stk</v>
      </c>
      <c r="O508" s="31"/>
      <c r="P508" s="31"/>
      <c r="Q508" s="31">
        <f>Liste!P508</f>
        <v>0</v>
      </c>
      <c r="R508" s="31">
        <f>Liste!N508</f>
        <v>0</v>
      </c>
      <c r="S508" s="7">
        <v>0</v>
      </c>
      <c r="T508" s="7">
        <v>0</v>
      </c>
      <c r="U508" s="7">
        <v>0</v>
      </c>
      <c r="V508" s="7"/>
      <c r="W508" s="60"/>
      <c r="X508" s="60"/>
      <c r="Y508" s="60"/>
      <c r="Z508" s="7"/>
      <c r="AA508" s="7"/>
      <c r="AB508" s="60"/>
      <c r="AC508" s="60"/>
      <c r="AD508" s="60"/>
      <c r="AE508" s="7"/>
      <c r="AF508" s="7"/>
      <c r="AG508" s="7"/>
      <c r="AH508" s="7"/>
      <c r="AI508" s="7"/>
      <c r="AJ508" s="7">
        <f>Liste!X508</f>
        <v>0</v>
      </c>
      <c r="AK508" s="7">
        <f>Liste!Y508</f>
        <v>0</v>
      </c>
      <c r="AL508" s="7"/>
      <c r="AM508" s="7"/>
      <c r="AN508" s="7"/>
      <c r="AO508" s="1113">
        <f>Liste!D508</f>
        <v>0</v>
      </c>
      <c r="AP508" s="1113">
        <f>Liste!F508</f>
        <v>150</v>
      </c>
      <c r="AQ508" s="1113">
        <f>Liste!E508</f>
        <v>210</v>
      </c>
      <c r="AR508" s="1113">
        <f>Liste!G508</f>
        <v>0</v>
      </c>
      <c r="AS508" s="1112">
        <f>Liste!V508</f>
        <v>1</v>
      </c>
      <c r="AT508" s="1">
        <f>Liste!M508</f>
        <v>0</v>
      </c>
      <c r="AZ508" s="5" t="s">
        <v>31376</v>
      </c>
      <c r="BA508" s="4" t="s">
        <v>101</v>
      </c>
      <c r="BB508" s="4">
        <v>1010</v>
      </c>
      <c r="BD508" s="35"/>
      <c r="BE508" s="35"/>
      <c r="BF508" s="2118">
        <f>Liste!R508</f>
        <v>0</v>
      </c>
      <c r="BG508" s="2137">
        <f>IF(AS508&gt;0,Liste!S508,0)</f>
        <v>0</v>
      </c>
      <c r="BH508" s="2118" t="str">
        <f>Liste!T508</f>
        <v>Stk</v>
      </c>
    </row>
    <row r="509" spans="1:60" ht="24.95" customHeight="1" x14ac:dyDescent="0.25">
      <c r="A509" s="29"/>
      <c r="B509" s="46" t="str">
        <f>IF(Liste!O509&gt;0,Liste!O509,Liste!B509)</f>
        <v>Aufkleber FAA Brandlastfreie Zone französisch</v>
      </c>
      <c r="C509" s="2314"/>
      <c r="D509" s="30">
        <f>Liste!C509</f>
        <v>0</v>
      </c>
      <c r="E509" s="2314"/>
      <c r="F509" s="32">
        <f t="shared" si="40"/>
        <v>0</v>
      </c>
      <c r="G509" s="2314"/>
      <c r="H509" s="32">
        <f t="shared" si="41"/>
        <v>0</v>
      </c>
      <c r="I509" s="2314"/>
      <c r="J509" s="32">
        <f t="shared" si="42"/>
        <v>0</v>
      </c>
      <c r="K509" s="2314"/>
      <c r="L509" s="31">
        <f t="shared" si="43"/>
        <v>0</v>
      </c>
      <c r="M509" s="2314"/>
      <c r="N509" s="31" t="str">
        <f>Liste!L509</f>
        <v>Stk</v>
      </c>
      <c r="O509" s="31"/>
      <c r="P509" s="31"/>
      <c r="Q509" s="31">
        <f>Liste!P509</f>
        <v>0</v>
      </c>
      <c r="R509" s="31">
        <f>Liste!N509</f>
        <v>0</v>
      </c>
      <c r="S509" s="7">
        <v>0</v>
      </c>
      <c r="T509" s="7">
        <v>0</v>
      </c>
      <c r="U509" s="7">
        <v>0</v>
      </c>
      <c r="V509" s="7"/>
      <c r="W509" s="60"/>
      <c r="X509" s="60"/>
      <c r="Y509" s="60"/>
      <c r="Z509" s="7"/>
      <c r="AA509" s="7"/>
      <c r="AB509" s="60"/>
      <c r="AC509" s="60"/>
      <c r="AD509" s="60"/>
      <c r="AE509" s="7"/>
      <c r="AF509" s="7"/>
      <c r="AG509" s="7"/>
      <c r="AH509" s="7"/>
      <c r="AI509" s="7"/>
      <c r="AJ509" s="7">
        <f>Liste!X509</f>
        <v>0</v>
      </c>
      <c r="AK509" s="7">
        <f>Liste!Y509</f>
        <v>0</v>
      </c>
      <c r="AL509" s="7"/>
      <c r="AM509" s="7"/>
      <c r="AN509" s="7"/>
      <c r="AO509" s="1113">
        <f>Liste!D509</f>
        <v>0</v>
      </c>
      <c r="AP509" s="1113">
        <f>Liste!F509</f>
        <v>150</v>
      </c>
      <c r="AQ509" s="1113">
        <f>Liste!E509</f>
        <v>210</v>
      </c>
      <c r="AR509" s="1113">
        <f>Liste!G509</f>
        <v>0</v>
      </c>
      <c r="AS509" s="1112">
        <f>Liste!V509</f>
        <v>1</v>
      </c>
      <c r="AT509" s="1">
        <f>Liste!M509</f>
        <v>0</v>
      </c>
      <c r="AZ509" s="5" t="s">
        <v>31377</v>
      </c>
      <c r="BA509" s="4" t="s">
        <v>101</v>
      </c>
      <c r="BB509" s="4">
        <v>1011</v>
      </c>
      <c r="BD509" s="35"/>
      <c r="BE509" s="35"/>
      <c r="BF509" s="2118">
        <f>Liste!R509</f>
        <v>0</v>
      </c>
      <c r="BG509" s="2137">
        <f>IF(AS509&gt;0,Liste!S509,0)</f>
        <v>0</v>
      </c>
      <c r="BH509" s="2118" t="str">
        <f>Liste!T509</f>
        <v>Stk</v>
      </c>
    </row>
    <row r="510" spans="1:60" ht="24.95" customHeight="1" x14ac:dyDescent="0.25">
      <c r="A510" s="29"/>
      <c r="B510" s="46" t="str">
        <f>IF(Liste!O510&gt;0,Liste!O510,Liste!B510)</f>
        <v>Aufkleber FAA Brandlastfreie Zone spanisch</v>
      </c>
      <c r="C510" s="2314"/>
      <c r="D510" s="30">
        <f>Liste!C510</f>
        <v>0</v>
      </c>
      <c r="E510" s="2314"/>
      <c r="F510" s="32">
        <f t="shared" si="40"/>
        <v>0</v>
      </c>
      <c r="G510" s="2314"/>
      <c r="H510" s="32">
        <f t="shared" si="41"/>
        <v>0</v>
      </c>
      <c r="I510" s="2314"/>
      <c r="J510" s="32">
        <f t="shared" si="42"/>
        <v>0</v>
      </c>
      <c r="K510" s="2314"/>
      <c r="L510" s="31">
        <f t="shared" si="43"/>
        <v>0</v>
      </c>
      <c r="M510" s="2314"/>
      <c r="N510" s="31" t="str">
        <f>Liste!L510</f>
        <v>Stk</v>
      </c>
      <c r="O510" s="31"/>
      <c r="P510" s="31"/>
      <c r="Q510" s="31">
        <f>Liste!P510</f>
        <v>0</v>
      </c>
      <c r="R510" s="31">
        <f>Liste!N510</f>
        <v>0</v>
      </c>
      <c r="S510" s="7">
        <v>0</v>
      </c>
      <c r="T510" s="7">
        <v>0</v>
      </c>
      <c r="U510" s="7">
        <v>0</v>
      </c>
      <c r="V510" s="7"/>
      <c r="W510" s="60"/>
      <c r="X510" s="60"/>
      <c r="Y510" s="60"/>
      <c r="Z510" s="7"/>
      <c r="AA510" s="7"/>
      <c r="AB510" s="60"/>
      <c r="AC510" s="60"/>
      <c r="AD510" s="60"/>
      <c r="AE510" s="7"/>
      <c r="AF510" s="7"/>
      <c r="AG510" s="7"/>
      <c r="AH510" s="7"/>
      <c r="AI510" s="7"/>
      <c r="AJ510" s="7">
        <f>Liste!X510</f>
        <v>0</v>
      </c>
      <c r="AK510" s="7">
        <f>Liste!Y510</f>
        <v>0</v>
      </c>
      <c r="AL510" s="7"/>
      <c r="AM510" s="7"/>
      <c r="AN510" s="7"/>
      <c r="AO510" s="1113">
        <f>Liste!D510</f>
        <v>0</v>
      </c>
      <c r="AP510" s="1113">
        <f>Liste!F510</f>
        <v>150</v>
      </c>
      <c r="AQ510" s="1113">
        <f>Liste!E510</f>
        <v>210</v>
      </c>
      <c r="AR510" s="1113">
        <f>Liste!G510</f>
        <v>0</v>
      </c>
      <c r="AS510" s="1112">
        <f>Liste!V510</f>
        <v>1</v>
      </c>
      <c r="AT510" s="1">
        <f>Liste!M510</f>
        <v>0</v>
      </c>
      <c r="AZ510" s="5" t="s">
        <v>31378</v>
      </c>
      <c r="BA510" s="4" t="s">
        <v>101</v>
      </c>
      <c r="BB510" s="4">
        <v>1012</v>
      </c>
      <c r="BD510" s="35"/>
      <c r="BE510" s="35"/>
      <c r="BF510" s="2118">
        <f>Liste!R510</f>
        <v>0</v>
      </c>
      <c r="BG510" s="2137">
        <f>IF(AS510&gt;0,Liste!S510,0)</f>
        <v>0</v>
      </c>
      <c r="BH510" s="2118" t="str">
        <f>Liste!T510</f>
        <v>Stk</v>
      </c>
    </row>
    <row r="511" spans="1:60" ht="24.95" customHeight="1" x14ac:dyDescent="0.25">
      <c r="A511" s="29"/>
      <c r="B511" s="46">
        <f>IF(Liste!O511&gt;0,Liste!O511,Liste!B511)</f>
        <v>0</v>
      </c>
      <c r="C511" s="2314"/>
      <c r="D511" s="30">
        <f>Liste!C511</f>
        <v>0</v>
      </c>
      <c r="E511" s="2314"/>
      <c r="F511" s="32">
        <f t="shared" si="40"/>
        <v>0</v>
      </c>
      <c r="G511" s="2314"/>
      <c r="H511" s="32">
        <f t="shared" si="41"/>
        <v>0</v>
      </c>
      <c r="I511" s="2314"/>
      <c r="J511" s="32">
        <f t="shared" si="42"/>
        <v>0</v>
      </c>
      <c r="K511" s="2314"/>
      <c r="L511" s="31">
        <f t="shared" si="43"/>
        <v>0</v>
      </c>
      <c r="M511" s="2314"/>
      <c r="N511" s="31">
        <f>Liste!L511</f>
        <v>0</v>
      </c>
      <c r="O511" s="31"/>
      <c r="P511" s="31"/>
      <c r="Q511" s="31">
        <f>Liste!P511</f>
        <v>0</v>
      </c>
      <c r="R511" s="31">
        <f>Liste!N511</f>
        <v>0</v>
      </c>
      <c r="S511" s="7">
        <v>0</v>
      </c>
      <c r="T511" s="7">
        <v>0</v>
      </c>
      <c r="U511" s="7">
        <v>0</v>
      </c>
      <c r="V511" s="7"/>
      <c r="W511" s="60"/>
      <c r="X511" s="60"/>
      <c r="Y511" s="60"/>
      <c r="Z511" s="7"/>
      <c r="AA511" s="7"/>
      <c r="AB511" s="60"/>
      <c r="AC511" s="60"/>
      <c r="AD511" s="60"/>
      <c r="AE511" s="7"/>
      <c r="AF511" s="7"/>
      <c r="AG511" s="7"/>
      <c r="AH511" s="7"/>
      <c r="AI511" s="7"/>
      <c r="AJ511" s="7">
        <f>Liste!X511</f>
        <v>0</v>
      </c>
      <c r="AK511" s="7">
        <f>Liste!Y511</f>
        <v>0</v>
      </c>
      <c r="AL511" s="7"/>
      <c r="AM511" s="7"/>
      <c r="AN511" s="7"/>
      <c r="AO511" s="1113">
        <f>Liste!D511</f>
        <v>0</v>
      </c>
      <c r="AP511" s="1113">
        <f>Liste!F511</f>
        <v>0</v>
      </c>
      <c r="AQ511" s="1113">
        <f>Liste!E511</f>
        <v>0</v>
      </c>
      <c r="AR511" s="1113">
        <f>Liste!G511</f>
        <v>0</v>
      </c>
      <c r="AS511" s="1112">
        <f>Liste!V511</f>
        <v>0</v>
      </c>
      <c r="AT511" s="1">
        <f>Liste!M511</f>
        <v>0</v>
      </c>
      <c r="AZ511" s="5" t="s">
        <v>31379</v>
      </c>
      <c r="BA511" s="4" t="s">
        <v>101</v>
      </c>
      <c r="BB511" s="4">
        <v>1013</v>
      </c>
      <c r="BD511" s="35"/>
      <c r="BE511" s="35"/>
      <c r="BF511" s="2118">
        <f>Liste!R511</f>
        <v>0</v>
      </c>
      <c r="BG511" s="2137">
        <f>IF(AS511&gt;0,Liste!S511,0)</f>
        <v>0</v>
      </c>
      <c r="BH511" s="2118">
        <f>Liste!T511</f>
        <v>0</v>
      </c>
    </row>
    <row r="512" spans="1:60" ht="24.95" customHeight="1" x14ac:dyDescent="0.25">
      <c r="A512" s="29"/>
      <c r="B512" s="46" t="str">
        <f>IF(Liste!O512&gt;0,Liste!O512,Liste!B512)</f>
        <v>Trägerblech Produktaufkleber verz.</v>
      </c>
      <c r="C512" s="2314"/>
      <c r="D512" s="30" t="str">
        <f>Liste!C512</f>
        <v>0308475</v>
      </c>
      <c r="E512" s="2314"/>
      <c r="F512" s="32">
        <f t="shared" si="40"/>
        <v>1</v>
      </c>
      <c r="G512" s="2314"/>
      <c r="H512" s="32">
        <f t="shared" si="41"/>
        <v>0</v>
      </c>
      <c r="I512" s="2314"/>
      <c r="J512" s="32">
        <f t="shared" si="42"/>
        <v>0</v>
      </c>
      <c r="K512" s="2314"/>
      <c r="L512" s="31">
        <f t="shared" si="43"/>
        <v>0</v>
      </c>
      <c r="M512" s="2314"/>
      <c r="N512" s="31" t="str">
        <f>Liste!L512</f>
        <v>Stk</v>
      </c>
      <c r="O512" s="31"/>
      <c r="P512" s="31"/>
      <c r="Q512" s="31">
        <f>Liste!P512</f>
        <v>0</v>
      </c>
      <c r="R512" s="31">
        <f>Liste!N512</f>
        <v>0</v>
      </c>
      <c r="S512" s="7">
        <v>0</v>
      </c>
      <c r="T512" s="7">
        <v>0</v>
      </c>
      <c r="U512" s="7">
        <v>0</v>
      </c>
      <c r="V512" s="7"/>
      <c r="W512" s="60"/>
      <c r="X512" s="60"/>
      <c r="Y512" s="60"/>
      <c r="Z512" s="7"/>
      <c r="AA512" s="7"/>
      <c r="AB512" s="60"/>
      <c r="AC512" s="60"/>
      <c r="AD512" s="60"/>
      <c r="AE512" s="7"/>
      <c r="AF512" s="7"/>
      <c r="AG512" s="7"/>
      <c r="AH512" s="7"/>
      <c r="AI512" s="7"/>
      <c r="AJ512" s="7">
        <f>Liste!X512</f>
        <v>0</v>
      </c>
      <c r="AK512" s="7">
        <f>Liste!Y512</f>
        <v>0</v>
      </c>
      <c r="AL512" s="7"/>
      <c r="AM512" s="7"/>
      <c r="AN512" s="7"/>
      <c r="AO512" s="1113">
        <f>Liste!D512</f>
        <v>1</v>
      </c>
      <c r="AP512" s="1113">
        <f>Liste!F512</f>
        <v>160</v>
      </c>
      <c r="AQ512" s="1113">
        <f>Liste!E512</f>
        <v>80</v>
      </c>
      <c r="AR512" s="1113">
        <f>Liste!G512</f>
        <v>0.75</v>
      </c>
      <c r="AS512" s="1112">
        <f>Liste!V512</f>
        <v>1</v>
      </c>
      <c r="AT512" s="1">
        <f>Liste!M512</f>
        <v>0</v>
      </c>
      <c r="AZ512" s="5" t="s">
        <v>31380</v>
      </c>
      <c r="BA512" s="4" t="s">
        <v>101</v>
      </c>
      <c r="BB512" s="4">
        <v>1014</v>
      </c>
      <c r="BD512" s="35"/>
      <c r="BE512" s="35"/>
      <c r="BF512" s="2118" t="str">
        <f>Liste!R512</f>
        <v>0308475</v>
      </c>
      <c r="BG512" s="2137">
        <f>IF(AS512&gt;0,Liste!S512,0)</f>
        <v>1</v>
      </c>
      <c r="BH512" s="2118" t="str">
        <f>Liste!T512</f>
        <v>Stk</v>
      </c>
    </row>
    <row r="513" spans="1:60" ht="24.95" customHeight="1" x14ac:dyDescent="0.25">
      <c r="A513" s="29"/>
      <c r="B513" s="46" t="str">
        <f>IF(Liste!O513&gt;0,Liste!O513,Liste!B513)</f>
        <v>Trägerblech Produktaufkleber V2A</v>
      </c>
      <c r="C513" s="2314"/>
      <c r="D513" s="30" t="str">
        <f>Liste!C513</f>
        <v>0338475</v>
      </c>
      <c r="E513" s="2314"/>
      <c r="F513" s="32">
        <f t="shared" si="40"/>
        <v>0</v>
      </c>
      <c r="G513" s="2314"/>
      <c r="H513" s="32">
        <f t="shared" si="41"/>
        <v>0</v>
      </c>
      <c r="I513" s="2314"/>
      <c r="J513" s="32">
        <f t="shared" si="42"/>
        <v>0</v>
      </c>
      <c r="K513" s="2314"/>
      <c r="L513" s="31">
        <f t="shared" si="43"/>
        <v>0</v>
      </c>
      <c r="M513" s="2314"/>
      <c r="N513" s="31" t="str">
        <f>Liste!L513</f>
        <v>Stk</v>
      </c>
      <c r="O513" s="31"/>
      <c r="P513" s="31"/>
      <c r="Q513" s="31">
        <f>Liste!P513</f>
        <v>0</v>
      </c>
      <c r="R513" s="31">
        <f>Liste!N513</f>
        <v>0</v>
      </c>
      <c r="S513" s="7">
        <v>0</v>
      </c>
      <c r="T513" s="7">
        <v>0</v>
      </c>
      <c r="U513" s="7">
        <v>0</v>
      </c>
      <c r="V513" s="7"/>
      <c r="W513" s="60"/>
      <c r="X513" s="60"/>
      <c r="Y513" s="60"/>
      <c r="Z513" s="7"/>
      <c r="AA513" s="7"/>
      <c r="AB513" s="60"/>
      <c r="AC513" s="60"/>
      <c r="AD513" s="60"/>
      <c r="AE513" s="7"/>
      <c r="AF513" s="7"/>
      <c r="AG513" s="7"/>
      <c r="AH513" s="7"/>
      <c r="AI513" s="7"/>
      <c r="AJ513" s="7">
        <f>Liste!X513</f>
        <v>0</v>
      </c>
      <c r="AK513" s="7">
        <f>Liste!Y513</f>
        <v>0</v>
      </c>
      <c r="AL513" s="7"/>
      <c r="AM513" s="7"/>
      <c r="AN513" s="7"/>
      <c r="AO513" s="1113">
        <f>Liste!D513</f>
        <v>0</v>
      </c>
      <c r="AP513" s="1113">
        <f>Liste!F513</f>
        <v>160</v>
      </c>
      <c r="AQ513" s="1113">
        <f>Liste!E513</f>
        <v>80</v>
      </c>
      <c r="AR513" s="1113">
        <f>Liste!G513</f>
        <v>0.75</v>
      </c>
      <c r="AS513" s="1112">
        <f>Liste!V513</f>
        <v>1</v>
      </c>
      <c r="AT513" s="1">
        <f>Liste!M513</f>
        <v>0</v>
      </c>
      <c r="AZ513" s="5" t="s">
        <v>31381</v>
      </c>
      <c r="BA513" s="4" t="s">
        <v>101</v>
      </c>
      <c r="BB513" s="4">
        <v>1015</v>
      </c>
      <c r="BD513" s="35"/>
      <c r="BE513" s="35"/>
      <c r="BF513" s="2118" t="str">
        <f>Liste!R513</f>
        <v>0338475</v>
      </c>
      <c r="BG513" s="2137">
        <f>IF(AS513&gt;0,Liste!S513,0)</f>
        <v>0</v>
      </c>
      <c r="BH513" s="2118" t="str">
        <f>Liste!T513</f>
        <v>Stk</v>
      </c>
    </row>
    <row r="514" spans="1:60" ht="24.95" customHeight="1" x14ac:dyDescent="0.25">
      <c r="A514" s="29"/>
      <c r="B514" s="46" t="str">
        <f>IF(Liste!O514&gt;0,Liste!O514,Liste!B514)</f>
        <v>hugO Montagestrebe GCC</v>
      </c>
      <c r="C514" s="2314"/>
      <c r="D514" s="30" t="str">
        <f>Liste!C514</f>
        <v>0308598</v>
      </c>
      <c r="E514" s="2314"/>
      <c r="F514" s="32">
        <f t="shared" ref="F514" si="44">IF(AS514&gt;0,AO514,0)</f>
        <v>0</v>
      </c>
      <c r="G514" s="2314"/>
      <c r="H514" s="32">
        <f t="shared" ref="H514" si="45">IF(N514=$P$1,0,AP514)</f>
        <v>0</v>
      </c>
      <c r="I514" s="2314"/>
      <c r="J514" s="32">
        <f t="shared" ref="J514" si="46">IF(OR(N514=$P$1,N514=$Q$1),0,AQ514)</f>
        <v>0</v>
      </c>
      <c r="K514" s="2314"/>
      <c r="L514" s="31">
        <f t="shared" ref="L514" si="47">IF(OR(N514=$P$1,N514=$Q$1,$R$1=N514),0,AR514)</f>
        <v>0</v>
      </c>
      <c r="M514" s="2314"/>
      <c r="N514" s="31" t="str">
        <f>Liste!L514</f>
        <v>Stk</v>
      </c>
      <c r="O514" s="31"/>
      <c r="P514" s="31"/>
      <c r="Q514" s="31">
        <f>Liste!P514</f>
        <v>0</v>
      </c>
      <c r="R514" s="31">
        <f>Liste!N514</f>
        <v>0</v>
      </c>
      <c r="S514" s="7">
        <v>0</v>
      </c>
      <c r="T514" s="7">
        <v>0</v>
      </c>
      <c r="U514" s="7">
        <v>0</v>
      </c>
      <c r="V514" s="7"/>
      <c r="W514" s="60"/>
      <c r="X514" s="60"/>
      <c r="Y514" s="60"/>
      <c r="Z514" s="7"/>
      <c r="AA514" s="7"/>
      <c r="AB514" s="60"/>
      <c r="AC514" s="60"/>
      <c r="AD514" s="60"/>
      <c r="AE514" s="7"/>
      <c r="AF514" s="7"/>
      <c r="AG514" s="7"/>
      <c r="AH514" s="7"/>
      <c r="AI514" s="7"/>
      <c r="AJ514" s="7">
        <f>Liste!X514</f>
        <v>0</v>
      </c>
      <c r="AK514" s="7">
        <f>Liste!Y514</f>
        <v>1</v>
      </c>
      <c r="AL514" s="7"/>
      <c r="AM514" s="7"/>
      <c r="AN514" s="7"/>
      <c r="AO514" s="1113">
        <f>Liste!D514</f>
        <v>0</v>
      </c>
      <c r="AP514" s="1113">
        <f>Liste!F514</f>
        <v>281.05</v>
      </c>
      <c r="AQ514" s="1113">
        <f>Liste!E514</f>
        <v>1040</v>
      </c>
      <c r="AR514" s="1113">
        <f>Liste!G514</f>
        <v>1.5</v>
      </c>
      <c r="AS514" s="1112">
        <f>Liste!V514</f>
        <v>1</v>
      </c>
      <c r="AT514" s="1">
        <f>Liste!M514</f>
        <v>0</v>
      </c>
      <c r="AZ514" s="5" t="s">
        <v>31381</v>
      </c>
      <c r="BA514" s="4" t="s">
        <v>101</v>
      </c>
      <c r="BB514" s="4">
        <v>1015</v>
      </c>
      <c r="BD514" s="35"/>
      <c r="BE514" s="35"/>
      <c r="BF514" s="2118" t="str">
        <f>Liste!R514</f>
        <v>?</v>
      </c>
      <c r="BG514" s="2137">
        <f>IF(AS514&gt;0,Liste!S514,0)</f>
        <v>0</v>
      </c>
      <c r="BH514" s="2118" t="str">
        <f>Liste!T514</f>
        <v>m²</v>
      </c>
    </row>
    <row r="515" spans="1:60" ht="24.95" customHeight="1" x14ac:dyDescent="0.25">
      <c r="A515" s="29"/>
      <c r="B515" s="46" t="str">
        <f>IF(Liste!O515&gt;0,Liste!O515,Liste!B515)</f>
        <v>Intumatversiegelung</v>
      </c>
      <c r="C515" s="2314"/>
      <c r="D515" s="30">
        <f>Liste!C515</f>
        <v>0</v>
      </c>
      <c r="E515" s="2314"/>
      <c r="F515" s="32">
        <f t="shared" si="40"/>
        <v>0</v>
      </c>
      <c r="G515" s="2314"/>
      <c r="H515" s="32">
        <f t="shared" si="41"/>
        <v>0</v>
      </c>
      <c r="I515" s="2314"/>
      <c r="J515" s="32">
        <f t="shared" si="42"/>
        <v>0</v>
      </c>
      <c r="K515" s="2314"/>
      <c r="L515" s="31">
        <f t="shared" si="43"/>
        <v>0</v>
      </c>
      <c r="M515" s="2314"/>
      <c r="N515" s="31">
        <f>Liste!L515</f>
        <v>0</v>
      </c>
      <c r="O515" s="31"/>
      <c r="P515" s="31"/>
      <c r="Q515" s="31">
        <f>Liste!P515</f>
        <v>0</v>
      </c>
      <c r="R515" s="31">
        <f>Liste!N515</f>
        <v>0</v>
      </c>
      <c r="S515" s="7">
        <v>0</v>
      </c>
      <c r="T515" s="7">
        <v>0</v>
      </c>
      <c r="U515" s="7">
        <v>0</v>
      </c>
      <c r="V515" s="7"/>
      <c r="W515" s="60"/>
      <c r="X515" s="60"/>
      <c r="Y515" s="60"/>
      <c r="Z515" s="7"/>
      <c r="AA515" s="7"/>
      <c r="AB515" s="60"/>
      <c r="AC515" s="60"/>
      <c r="AD515" s="60"/>
      <c r="AE515" s="7"/>
      <c r="AF515" s="7"/>
      <c r="AG515" s="7"/>
      <c r="AH515" s="7"/>
      <c r="AI515" s="7"/>
      <c r="AJ515" s="7">
        <f>Liste!X515</f>
        <v>0</v>
      </c>
      <c r="AK515" s="7">
        <f>Liste!Y515</f>
        <v>0</v>
      </c>
      <c r="AL515" s="7"/>
      <c r="AM515" s="7"/>
      <c r="AN515" s="7"/>
      <c r="AO515" s="1113">
        <f>Liste!D515</f>
        <v>0</v>
      </c>
      <c r="AP515" s="1113">
        <f>Liste!F515</f>
        <v>0</v>
      </c>
      <c r="AQ515" s="1113">
        <f>Liste!E515</f>
        <v>0</v>
      </c>
      <c r="AR515" s="1113">
        <f>Liste!G515</f>
        <v>0</v>
      </c>
      <c r="AS515" s="1112">
        <f>Liste!V515</f>
        <v>0</v>
      </c>
      <c r="AT515" s="1">
        <f>Liste!M515</f>
        <v>0</v>
      </c>
      <c r="AZ515" s="5" t="s">
        <v>31382</v>
      </c>
      <c r="BA515" s="4" t="s">
        <v>101</v>
      </c>
      <c r="BB515" s="4">
        <v>1016</v>
      </c>
      <c r="BD515" s="35"/>
      <c r="BE515" s="35"/>
      <c r="BF515" s="2118">
        <f>Liste!R515</f>
        <v>0</v>
      </c>
      <c r="BG515" s="2137">
        <f>IF(AS515&gt;0,Liste!S515,0)</f>
        <v>0</v>
      </c>
      <c r="BH515" s="2118">
        <f>Liste!T515</f>
        <v>0</v>
      </c>
    </row>
    <row r="516" spans="1:60" ht="24.95" customHeight="1" x14ac:dyDescent="0.25">
      <c r="A516" s="29"/>
      <c r="B516" s="46" t="str">
        <f>IF(Liste!O516&gt;0,Liste!O516,Liste!B516)</f>
        <v>PUR-Härter 5770 Farblos</v>
      </c>
      <c r="C516" s="2314"/>
      <c r="D516" s="30" t="str">
        <f>Liste!C516</f>
        <v>0902023</v>
      </c>
      <c r="E516" s="2314"/>
      <c r="F516" s="32">
        <f t="shared" si="40"/>
        <v>0</v>
      </c>
      <c r="G516" s="2314"/>
      <c r="H516" s="32">
        <f t="shared" si="41"/>
        <v>0</v>
      </c>
      <c r="I516" s="2314"/>
      <c r="J516" s="32">
        <f t="shared" si="42"/>
        <v>0</v>
      </c>
      <c r="K516" s="2314"/>
      <c r="L516" s="31">
        <f t="shared" si="43"/>
        <v>0</v>
      </c>
      <c r="M516" s="2314"/>
      <c r="N516" s="31" t="str">
        <f>Liste!L516</f>
        <v>KG</v>
      </c>
      <c r="O516" s="31"/>
      <c r="P516" s="31"/>
      <c r="Q516" s="31">
        <f>Liste!P516</f>
        <v>0</v>
      </c>
      <c r="R516" s="31">
        <f>Liste!N516</f>
        <v>0</v>
      </c>
      <c r="S516" s="7">
        <v>0</v>
      </c>
      <c r="T516" s="7">
        <v>0</v>
      </c>
      <c r="U516" s="7">
        <v>0</v>
      </c>
      <c r="V516" s="7"/>
      <c r="W516" s="60"/>
      <c r="X516" s="60"/>
      <c r="Y516" s="60"/>
      <c r="Z516" s="7"/>
      <c r="AA516" s="7"/>
      <c r="AB516" s="60"/>
      <c r="AC516" s="60"/>
      <c r="AD516" s="60"/>
      <c r="AE516" s="7"/>
      <c r="AF516" s="7"/>
      <c r="AG516" s="7"/>
      <c r="AH516" s="7"/>
      <c r="AI516" s="7"/>
      <c r="AJ516" s="7">
        <f>Liste!X516</f>
        <v>0</v>
      </c>
      <c r="AK516" s="7">
        <f>Liste!Y516</f>
        <v>0</v>
      </c>
      <c r="AL516" s="7"/>
      <c r="AM516" s="7"/>
      <c r="AN516" s="7"/>
      <c r="AO516" s="1113">
        <f>Liste!D516</f>
        <v>0</v>
      </c>
      <c r="AP516" s="1113">
        <f>Liste!F516</f>
        <v>0</v>
      </c>
      <c r="AQ516" s="1113">
        <f>Liste!E516</f>
        <v>0</v>
      </c>
      <c r="AR516" s="1113">
        <f>Liste!G516</f>
        <v>0</v>
      </c>
      <c r="AS516" s="1112">
        <f>Liste!V516</f>
        <v>1</v>
      </c>
      <c r="AT516" s="1">
        <f>Liste!M516</f>
        <v>0</v>
      </c>
      <c r="AZ516" s="5" t="s">
        <v>31383</v>
      </c>
      <c r="BA516" s="4" t="s">
        <v>101</v>
      </c>
      <c r="BB516" s="4">
        <v>1017</v>
      </c>
      <c r="BD516" s="35"/>
      <c r="BE516" s="35"/>
      <c r="BF516" s="2118" t="str">
        <f>Liste!R516</f>
        <v>0902023</v>
      </c>
      <c r="BG516" s="2137">
        <f>IF(AS516&gt;0,Liste!S516,0)</f>
        <v>0</v>
      </c>
      <c r="BH516" s="2118" t="str">
        <f>Liste!T516</f>
        <v>KG</v>
      </c>
    </row>
    <row r="517" spans="1:60" ht="24.95" customHeight="1" x14ac:dyDescent="0.25">
      <c r="A517" s="29"/>
      <c r="B517" s="46" t="str">
        <f>IF(Liste!O517&gt;0,Liste!O517,Liste!B517)</f>
        <v>2K-PUR-AC-Lack 5741</v>
      </c>
      <c r="C517" s="2314"/>
      <c r="D517" s="30" t="str">
        <f>Liste!C517</f>
        <v>0902024</v>
      </c>
      <c r="E517" s="2314"/>
      <c r="F517" s="32">
        <f t="shared" si="40"/>
        <v>0</v>
      </c>
      <c r="G517" s="2314"/>
      <c r="H517" s="32">
        <f t="shared" si="41"/>
        <v>0</v>
      </c>
      <c r="I517" s="2314"/>
      <c r="J517" s="32">
        <f t="shared" si="42"/>
        <v>0</v>
      </c>
      <c r="K517" s="2314"/>
      <c r="L517" s="31">
        <f t="shared" si="43"/>
        <v>0</v>
      </c>
      <c r="M517" s="2314"/>
      <c r="N517" s="31" t="str">
        <f>Liste!L517</f>
        <v>KG</v>
      </c>
      <c r="O517" s="31"/>
      <c r="P517" s="31"/>
      <c r="Q517" s="31">
        <f>Liste!P517</f>
        <v>0</v>
      </c>
      <c r="R517" s="31">
        <f>Liste!N517</f>
        <v>0</v>
      </c>
      <c r="S517" s="7">
        <v>0</v>
      </c>
      <c r="T517" s="7">
        <v>0</v>
      </c>
      <c r="U517" s="7">
        <v>0</v>
      </c>
      <c r="V517" s="7"/>
      <c r="W517" s="60"/>
      <c r="X517" s="60"/>
      <c r="Y517" s="60"/>
      <c r="Z517" s="7"/>
      <c r="AA517" s="7"/>
      <c r="AB517" s="60"/>
      <c r="AC517" s="60"/>
      <c r="AD517" s="60"/>
      <c r="AE517" s="7"/>
      <c r="AF517" s="7"/>
      <c r="AG517" s="7"/>
      <c r="AH517" s="7"/>
      <c r="AI517" s="7"/>
      <c r="AJ517" s="7">
        <f>Liste!X517</f>
        <v>0</v>
      </c>
      <c r="AK517" s="7">
        <f>Liste!Y517</f>
        <v>0</v>
      </c>
      <c r="AL517" s="7"/>
      <c r="AM517" s="7"/>
      <c r="AN517" s="7"/>
      <c r="AO517" s="1113">
        <f>Liste!D517</f>
        <v>0</v>
      </c>
      <c r="AP517" s="1113">
        <f>Liste!F517</f>
        <v>0</v>
      </c>
      <c r="AQ517" s="1113">
        <f>Liste!E517</f>
        <v>0</v>
      </c>
      <c r="AR517" s="1113">
        <f>Liste!G517</f>
        <v>0</v>
      </c>
      <c r="AS517" s="1112">
        <f>Liste!V517</f>
        <v>1</v>
      </c>
      <c r="AT517" s="1">
        <f>Liste!M517</f>
        <v>0</v>
      </c>
      <c r="AZ517" s="5" t="s">
        <v>31384</v>
      </c>
      <c r="BA517" s="4" t="s">
        <v>101</v>
      </c>
      <c r="BB517" s="4">
        <v>1018</v>
      </c>
      <c r="BD517" s="35"/>
      <c r="BE517" s="35"/>
      <c r="BF517" s="2118" t="str">
        <f>Liste!R517</f>
        <v>0902024</v>
      </c>
      <c r="BG517" s="2137">
        <f>IF(AS517&gt;0,Liste!S517,0)</f>
        <v>0</v>
      </c>
      <c r="BH517" s="2118" t="str">
        <f>Liste!T517</f>
        <v>KG</v>
      </c>
    </row>
    <row r="518" spans="1:60" ht="24.95" customHeight="1" x14ac:dyDescent="0.25">
      <c r="A518" s="29"/>
      <c r="B518" s="46" t="str">
        <f>IF(Liste!O518&gt;0,Liste!O518,Liste!B518)</f>
        <v>Versiegelung für intum. Material für Feuchträume, Montageset für 0,5 m²</v>
      </c>
      <c r="C518" s="2314"/>
      <c r="D518" s="30" t="str">
        <f>Liste!C518</f>
        <v>0902030</v>
      </c>
      <c r="E518" s="2314"/>
      <c r="F518" s="32">
        <f t="shared" si="40"/>
        <v>0</v>
      </c>
      <c r="G518" s="2314"/>
      <c r="H518" s="32">
        <f t="shared" si="41"/>
        <v>0</v>
      </c>
      <c r="I518" s="2314"/>
      <c r="J518" s="32">
        <f t="shared" si="42"/>
        <v>0</v>
      </c>
      <c r="K518" s="2314"/>
      <c r="L518" s="31">
        <f t="shared" si="43"/>
        <v>0</v>
      </c>
      <c r="M518" s="2314"/>
      <c r="N518" s="31" t="str">
        <f>Liste!L518</f>
        <v>Stk</v>
      </c>
      <c r="O518" s="31"/>
      <c r="P518" s="31"/>
      <c r="Q518" s="31">
        <f>Liste!P518</f>
        <v>0</v>
      </c>
      <c r="R518" s="31">
        <f>Liste!N518</f>
        <v>0</v>
      </c>
      <c r="S518" s="7">
        <v>0</v>
      </c>
      <c r="T518" s="7">
        <v>0</v>
      </c>
      <c r="U518" s="7">
        <v>0</v>
      </c>
      <c r="V518" s="7"/>
      <c r="W518" s="60"/>
      <c r="X518" s="60"/>
      <c r="Y518" s="60"/>
      <c r="Z518" s="7"/>
      <c r="AA518" s="7"/>
      <c r="AB518" s="60"/>
      <c r="AC518" s="60"/>
      <c r="AD518" s="60"/>
      <c r="AE518" s="7"/>
      <c r="AF518" s="7"/>
      <c r="AG518" s="7"/>
      <c r="AH518" s="7"/>
      <c r="AI518" s="7"/>
      <c r="AJ518" s="7">
        <f>Liste!X518</f>
        <v>0</v>
      </c>
      <c r="AK518" s="7">
        <f>Liste!Y518</f>
        <v>0</v>
      </c>
      <c r="AL518" s="7"/>
      <c r="AM518" s="7"/>
      <c r="AN518" s="7"/>
      <c r="AO518" s="1113">
        <f>Liste!D518</f>
        <v>0</v>
      </c>
      <c r="AP518" s="1113">
        <f>Liste!F518</f>
        <v>0</v>
      </c>
      <c r="AQ518" s="1113">
        <f>Liste!E518</f>
        <v>0</v>
      </c>
      <c r="AR518" s="1113">
        <f>Liste!G518</f>
        <v>0</v>
      </c>
      <c r="AS518" s="1112">
        <f>Liste!V518</f>
        <v>0</v>
      </c>
      <c r="AT518" s="1">
        <f>Liste!M518</f>
        <v>0</v>
      </c>
      <c r="AZ518" s="5" t="s">
        <v>31385</v>
      </c>
      <c r="BA518" s="4" t="s">
        <v>101</v>
      </c>
      <c r="BB518" s="4">
        <v>1019</v>
      </c>
      <c r="BD518" s="35"/>
      <c r="BE518" s="35"/>
      <c r="BF518" s="2118" t="str">
        <f>Liste!R518</f>
        <v>0902030</v>
      </c>
      <c r="BG518" s="2137">
        <f>IF(AS518&gt;0,Liste!S518,0)</f>
        <v>0</v>
      </c>
      <c r="BH518" s="2118" t="str">
        <f>Liste!T518</f>
        <v>Stk</v>
      </c>
    </row>
    <row r="519" spans="1:60" ht="24.95" customHeight="1" x14ac:dyDescent="0.25">
      <c r="A519" s="29"/>
      <c r="B519" s="46" t="str">
        <f>IF(Liste!O519&gt;0,Liste!O519,Liste!B519)</f>
        <v>Reparaturset für versiegelte intumeszierende Materialien</v>
      </c>
      <c r="C519" s="2314"/>
      <c r="D519" s="30" t="str">
        <f>Liste!C519</f>
        <v>0306392</v>
      </c>
      <c r="E519" s="2314"/>
      <c r="F519" s="32">
        <f t="shared" si="40"/>
        <v>0</v>
      </c>
      <c r="G519" s="2314"/>
      <c r="H519" s="32">
        <f t="shared" si="41"/>
        <v>0</v>
      </c>
      <c r="I519" s="2314"/>
      <c r="J519" s="32">
        <f t="shared" si="42"/>
        <v>0</v>
      </c>
      <c r="K519" s="2314"/>
      <c r="L519" s="31">
        <f t="shared" si="43"/>
        <v>0</v>
      </c>
      <c r="M519" s="2314"/>
      <c r="N519" s="31" t="str">
        <f>Liste!L519</f>
        <v>Stk</v>
      </c>
      <c r="O519" s="31"/>
      <c r="P519" s="31"/>
      <c r="Q519" s="31">
        <f>Liste!P519</f>
        <v>0</v>
      </c>
      <c r="R519" s="31">
        <f>Liste!N519</f>
        <v>0</v>
      </c>
      <c r="S519" s="7">
        <v>0</v>
      </c>
      <c r="T519" s="7">
        <v>0</v>
      </c>
      <c r="U519" s="7">
        <v>0</v>
      </c>
      <c r="V519" s="7"/>
      <c r="W519" s="60"/>
      <c r="X519" s="60"/>
      <c r="Y519" s="60"/>
      <c r="Z519" s="7"/>
      <c r="AA519" s="7"/>
      <c r="AB519" s="60"/>
      <c r="AC519" s="60"/>
      <c r="AD519" s="60"/>
      <c r="AE519" s="7"/>
      <c r="AF519" s="7"/>
      <c r="AG519" s="7"/>
      <c r="AH519" s="7"/>
      <c r="AI519" s="7"/>
      <c r="AJ519" s="7">
        <f>Liste!X519</f>
        <v>0</v>
      </c>
      <c r="AK519" s="7">
        <f>Liste!Y519</f>
        <v>0</v>
      </c>
      <c r="AL519" s="7"/>
      <c r="AM519" s="7"/>
      <c r="AN519" s="7"/>
      <c r="AO519" s="1113">
        <f>Liste!D519</f>
        <v>0</v>
      </c>
      <c r="AP519" s="1113">
        <f>Liste!F519</f>
        <v>0</v>
      </c>
      <c r="AQ519" s="1113">
        <f>Liste!E519</f>
        <v>0</v>
      </c>
      <c r="AR519" s="1113">
        <f>Liste!G519</f>
        <v>0</v>
      </c>
      <c r="AS519" s="1112">
        <f>Liste!V519</f>
        <v>0</v>
      </c>
      <c r="AT519" s="1">
        <f>Liste!M519</f>
        <v>0</v>
      </c>
      <c r="AZ519" s="5" t="s">
        <v>31386</v>
      </c>
      <c r="BA519" s="4" t="s">
        <v>101</v>
      </c>
      <c r="BB519" s="4">
        <v>1020</v>
      </c>
      <c r="BD519" s="35"/>
      <c r="BE519" s="35"/>
      <c r="BF519" s="2118" t="str">
        <f>Liste!R519</f>
        <v>0306392</v>
      </c>
      <c r="BG519" s="2137">
        <f>IF(AS519&gt;0,Liste!S519,0)</f>
        <v>0</v>
      </c>
      <c r="BH519" s="2118" t="str">
        <f>Liste!T519</f>
        <v>Stk</v>
      </c>
    </row>
    <row r="520" spans="1:60" ht="24.95" customHeight="1" x14ac:dyDescent="0.25">
      <c r="A520" s="29"/>
      <c r="B520" s="46" t="str">
        <f>IF(Liste!O520&gt;0,Liste!O520,Liste!B520)</f>
        <v>Brandschutzdichtung Acryl, BSDI-Acryl-B2</v>
      </c>
      <c r="C520" s="2314"/>
      <c r="D520" s="30" t="str">
        <f>Liste!C520</f>
        <v>0212010</v>
      </c>
      <c r="E520" s="2314"/>
      <c r="F520" s="32">
        <f t="shared" si="40"/>
        <v>0</v>
      </c>
      <c r="G520" s="2314"/>
      <c r="H520" s="32">
        <f t="shared" si="41"/>
        <v>0</v>
      </c>
      <c r="I520" s="2314"/>
      <c r="J520" s="32">
        <f t="shared" si="42"/>
        <v>0</v>
      </c>
      <c r="K520" s="2314"/>
      <c r="L520" s="31">
        <f t="shared" si="43"/>
        <v>0</v>
      </c>
      <c r="M520" s="2314"/>
      <c r="N520" s="31" t="str">
        <f>Liste!L520</f>
        <v>Stk</v>
      </c>
      <c r="O520" s="31"/>
      <c r="P520" s="31"/>
      <c r="Q520" s="31">
        <f>Liste!P520</f>
        <v>0</v>
      </c>
      <c r="R520" s="31">
        <f>Liste!N520</f>
        <v>0</v>
      </c>
      <c r="S520" s="7">
        <v>0</v>
      </c>
      <c r="T520" s="7">
        <v>0</v>
      </c>
      <c r="U520" s="7">
        <v>0</v>
      </c>
      <c r="V520" s="7"/>
      <c r="W520" s="60"/>
      <c r="X520" s="60"/>
      <c r="Y520" s="60"/>
      <c r="Z520" s="7"/>
      <c r="AA520" s="7"/>
      <c r="AB520" s="60"/>
      <c r="AC520" s="60"/>
      <c r="AD520" s="60"/>
      <c r="AE520" s="7"/>
      <c r="AF520" s="7"/>
      <c r="AG520" s="7"/>
      <c r="AH520" s="7"/>
      <c r="AI520" s="7"/>
      <c r="AJ520" s="7">
        <f>Liste!X520</f>
        <v>0</v>
      </c>
      <c r="AK520" s="7">
        <f>Liste!Y520</f>
        <v>0</v>
      </c>
      <c r="AL520" s="7"/>
      <c r="AM520" s="7"/>
      <c r="AN520" s="7"/>
      <c r="AO520" s="1113">
        <f>Liste!D520</f>
        <v>0</v>
      </c>
      <c r="AP520" s="1113">
        <f>Liste!F520</f>
        <v>0</v>
      </c>
      <c r="AQ520" s="1113">
        <f>Liste!E520</f>
        <v>0</v>
      </c>
      <c r="AR520" s="1113">
        <f>Liste!G520</f>
        <v>0</v>
      </c>
      <c r="AS520" s="1112">
        <f>Liste!V520</f>
        <v>0</v>
      </c>
      <c r="AT520" s="1">
        <f>Liste!M520</f>
        <v>0</v>
      </c>
      <c r="AZ520" s="5" t="s">
        <v>31387</v>
      </c>
      <c r="BA520" s="4" t="s">
        <v>101</v>
      </c>
      <c r="BB520" s="4">
        <v>1021</v>
      </c>
      <c r="BD520" s="35"/>
      <c r="BE520" s="35"/>
      <c r="BF520" s="2118" t="str">
        <f>Liste!R520</f>
        <v>0212010</v>
      </c>
      <c r="BG520" s="2137">
        <f>IF(AS520&gt;0,Liste!S520,0)</f>
        <v>0</v>
      </c>
      <c r="BH520" s="2118" t="str">
        <f>Liste!T520</f>
        <v>Stk</v>
      </c>
    </row>
    <row r="521" spans="1:60" ht="24.95" customHeight="1" x14ac:dyDescent="0.25">
      <c r="A521" s="29"/>
      <c r="B521" s="46" t="str">
        <f>IF(Liste!O521&gt;0,Liste!O521,Liste!B521)</f>
        <v>Edelstahlreiniger 400ml Gebinde</v>
      </c>
      <c r="C521" s="2314"/>
      <c r="D521" s="30" t="str">
        <f>Liste!C521</f>
        <v>0140076</v>
      </c>
      <c r="E521" s="2314"/>
      <c r="F521" s="32">
        <f t="shared" si="40"/>
        <v>0</v>
      </c>
      <c r="G521" s="2314"/>
      <c r="H521" s="32">
        <f t="shared" si="41"/>
        <v>0</v>
      </c>
      <c r="I521" s="2314"/>
      <c r="J521" s="32">
        <f t="shared" si="42"/>
        <v>0</v>
      </c>
      <c r="K521" s="2314"/>
      <c r="L521" s="31">
        <f t="shared" si="43"/>
        <v>0</v>
      </c>
      <c r="M521" s="2314"/>
      <c r="N521" s="31" t="str">
        <f>Liste!L521</f>
        <v>Stk</v>
      </c>
      <c r="O521" s="31"/>
      <c r="P521" s="31"/>
      <c r="Q521" s="31">
        <f>Liste!P521</f>
        <v>0</v>
      </c>
      <c r="R521" s="31">
        <f>Liste!N521</f>
        <v>0</v>
      </c>
      <c r="S521" s="7">
        <v>0</v>
      </c>
      <c r="T521" s="7">
        <v>0</v>
      </c>
      <c r="U521" s="7">
        <v>0</v>
      </c>
      <c r="V521" s="7"/>
      <c r="W521" s="60"/>
      <c r="X521" s="60"/>
      <c r="Y521" s="60"/>
      <c r="Z521" s="7"/>
      <c r="AA521" s="7"/>
      <c r="AB521" s="60"/>
      <c r="AC521" s="60"/>
      <c r="AD521" s="60"/>
      <c r="AE521" s="7"/>
      <c r="AF521" s="7"/>
      <c r="AG521" s="7"/>
      <c r="AH521" s="7"/>
      <c r="AI521" s="7"/>
      <c r="AJ521" s="7">
        <f>Liste!X521</f>
        <v>0</v>
      </c>
      <c r="AK521" s="7">
        <f>Liste!Y521</f>
        <v>0</v>
      </c>
      <c r="AL521" s="7"/>
      <c r="AM521" s="7"/>
      <c r="AN521" s="7"/>
      <c r="AO521" s="1113">
        <f>Liste!D521</f>
        <v>0</v>
      </c>
      <c r="AP521" s="1113">
        <f>Liste!F521</f>
        <v>0</v>
      </c>
      <c r="AQ521" s="1113">
        <f>Liste!E521</f>
        <v>0</v>
      </c>
      <c r="AR521" s="1113">
        <f>Liste!G521</f>
        <v>0</v>
      </c>
      <c r="AS521" s="1112">
        <f>Liste!V521</f>
        <v>0</v>
      </c>
      <c r="AT521" s="1">
        <f>Liste!M521</f>
        <v>0</v>
      </c>
      <c r="AZ521" s="5" t="s">
        <v>31388</v>
      </c>
      <c r="BA521" s="4" t="s">
        <v>101</v>
      </c>
      <c r="BB521" s="4">
        <v>1022</v>
      </c>
      <c r="BD521" s="35"/>
      <c r="BE521" s="35"/>
      <c r="BF521" s="2118" t="str">
        <f>Liste!R521</f>
        <v>0140076</v>
      </c>
      <c r="BG521" s="2137">
        <f>IF(AS521&gt;0,Liste!S521,0)</f>
        <v>0</v>
      </c>
      <c r="BH521" s="2118" t="str">
        <f>Liste!T521</f>
        <v>Stk</v>
      </c>
    </row>
    <row r="522" spans="1:60" ht="24.95" customHeight="1" x14ac:dyDescent="0.25">
      <c r="A522" s="29"/>
      <c r="B522" s="46" t="str">
        <f>IF(Liste!O522&gt;0,Liste!O522,Liste!B522)</f>
        <v>Tork 520371 Vliesstofftuch</v>
      </c>
      <c r="C522" s="2314"/>
      <c r="D522" s="30" t="str">
        <f>Liste!C522</f>
        <v>7402006</v>
      </c>
      <c r="E522" s="2314"/>
      <c r="F522" s="32">
        <f t="shared" si="40"/>
        <v>0</v>
      </c>
      <c r="G522" s="2314"/>
      <c r="H522" s="32">
        <f t="shared" si="41"/>
        <v>0</v>
      </c>
      <c r="I522" s="2314"/>
      <c r="J522" s="32">
        <f t="shared" si="42"/>
        <v>0</v>
      </c>
      <c r="K522" s="2314"/>
      <c r="L522" s="31">
        <f t="shared" si="43"/>
        <v>0</v>
      </c>
      <c r="M522" s="2314"/>
      <c r="N522" s="31" t="str">
        <f>Liste!L522</f>
        <v>Stk</v>
      </c>
      <c r="O522" s="31"/>
      <c r="P522" s="31"/>
      <c r="Q522" s="31">
        <f>Liste!P522</f>
        <v>0</v>
      </c>
      <c r="R522" s="31">
        <f>Liste!N522</f>
        <v>0</v>
      </c>
      <c r="S522" s="7">
        <v>0</v>
      </c>
      <c r="T522" s="7">
        <v>0</v>
      </c>
      <c r="U522" s="7">
        <v>0</v>
      </c>
      <c r="V522" s="7"/>
      <c r="W522" s="60"/>
      <c r="X522" s="60"/>
      <c r="Y522" s="60"/>
      <c r="Z522" s="7"/>
      <c r="AA522" s="7"/>
      <c r="AB522" s="60"/>
      <c r="AC522" s="60"/>
      <c r="AD522" s="60"/>
      <c r="AE522" s="7"/>
      <c r="AF522" s="7"/>
      <c r="AG522" s="7"/>
      <c r="AH522" s="7"/>
      <c r="AI522" s="7"/>
      <c r="AJ522" s="7">
        <f>Liste!X522</f>
        <v>0</v>
      </c>
      <c r="AK522" s="7">
        <f>Liste!Y522</f>
        <v>0</v>
      </c>
      <c r="AL522" s="7"/>
      <c r="AM522" s="7"/>
      <c r="AN522" s="7"/>
      <c r="AO522" s="1113">
        <f>Liste!D522</f>
        <v>0</v>
      </c>
      <c r="AP522" s="1113">
        <f>Liste!F522</f>
        <v>0</v>
      </c>
      <c r="AQ522" s="1113">
        <f>Liste!E522</f>
        <v>0</v>
      </c>
      <c r="AR522" s="1113">
        <f>Liste!G522</f>
        <v>0</v>
      </c>
      <c r="AS522" s="1112">
        <f>Liste!V522</f>
        <v>0</v>
      </c>
      <c r="AT522" s="1">
        <f>Liste!M522</f>
        <v>0</v>
      </c>
      <c r="AZ522" s="5" t="s">
        <v>31389</v>
      </c>
      <c r="BA522" s="4" t="s">
        <v>101</v>
      </c>
      <c r="BB522" s="4">
        <v>1023</v>
      </c>
      <c r="BD522" s="35"/>
      <c r="BE522" s="35"/>
      <c r="BF522" s="2118" t="str">
        <f>Liste!R522</f>
        <v>7402006</v>
      </c>
      <c r="BG522" s="2137">
        <f>IF(AS522&gt;0,Liste!S522,0)</f>
        <v>0</v>
      </c>
      <c r="BH522" s="2118" t="str">
        <f>Liste!T522</f>
        <v>Stk</v>
      </c>
    </row>
    <row r="523" spans="1:60" ht="24.95" customHeight="1" x14ac:dyDescent="0.25">
      <c r="A523" s="29"/>
      <c r="B523" s="46" t="str">
        <f>IF(Liste!O523&gt;0,Liste!O523,Liste!B523)</f>
        <v>UHU POLY MAX EXPRESS klar Montagekleber</v>
      </c>
      <c r="C523" s="2314"/>
      <c r="D523" s="30" t="str">
        <f>Liste!C523</f>
        <v>0140077</v>
      </c>
      <c r="E523" s="2314"/>
      <c r="F523" s="32">
        <f t="shared" ref="F523:F529" si="48">IF(AS523&gt;0,AO523,0)</f>
        <v>0</v>
      </c>
      <c r="G523" s="2314"/>
      <c r="H523" s="32">
        <f t="shared" ref="H523:H529" si="49">IF(N523=$P$1,0,AP523)</f>
        <v>0</v>
      </c>
      <c r="I523" s="2314"/>
      <c r="J523" s="32">
        <f t="shared" ref="J523:J529" si="50">IF(OR(N523=$P$1,N523=$Q$1),0,AQ523)</f>
        <v>0</v>
      </c>
      <c r="K523" s="2314"/>
      <c r="L523" s="31">
        <f t="shared" ref="L523:L529" si="51">IF(OR(N523=$P$1,N523=$Q$1,$R$1=N523),0,AR523)</f>
        <v>0</v>
      </c>
      <c r="M523" s="2314"/>
      <c r="N523" s="31" t="str">
        <f>Liste!L523</f>
        <v>Stk</v>
      </c>
      <c r="O523" s="31"/>
      <c r="P523" s="31"/>
      <c r="Q523" s="31">
        <f>Liste!P523</f>
        <v>0</v>
      </c>
      <c r="R523" s="31">
        <f>Liste!N523</f>
        <v>0</v>
      </c>
      <c r="S523" s="7">
        <v>0</v>
      </c>
      <c r="T523" s="7">
        <v>0</v>
      </c>
      <c r="U523" s="7">
        <v>0</v>
      </c>
      <c r="V523" s="7"/>
      <c r="W523" s="60"/>
      <c r="X523" s="60"/>
      <c r="Y523" s="60"/>
      <c r="Z523" s="7"/>
      <c r="AA523" s="7"/>
      <c r="AB523" s="60"/>
      <c r="AC523" s="60"/>
      <c r="AD523" s="60"/>
      <c r="AE523" s="7"/>
      <c r="AF523" s="7"/>
      <c r="AG523" s="7"/>
      <c r="AH523" s="7"/>
      <c r="AI523" s="7"/>
      <c r="AJ523" s="7">
        <f>Liste!X523</f>
        <v>0</v>
      </c>
      <c r="AK523" s="7">
        <f>Liste!Y523</f>
        <v>0</v>
      </c>
      <c r="AL523" s="7"/>
      <c r="AM523" s="7"/>
      <c r="AN523" s="7"/>
      <c r="AO523" s="1113">
        <f>Liste!D523</f>
        <v>0</v>
      </c>
      <c r="AP523" s="1113">
        <f>Liste!F523</f>
        <v>0</v>
      </c>
      <c r="AQ523" s="1113">
        <f>Liste!E523</f>
        <v>0</v>
      </c>
      <c r="AR523" s="1113">
        <f>Liste!G523</f>
        <v>0</v>
      </c>
      <c r="AS523" s="1112">
        <f>Liste!V523</f>
        <v>0</v>
      </c>
      <c r="AT523" s="1">
        <f>Liste!M523</f>
        <v>0</v>
      </c>
      <c r="AZ523" s="5" t="s">
        <v>31390</v>
      </c>
      <c r="BA523" s="4" t="s">
        <v>101</v>
      </c>
      <c r="BB523" s="4">
        <v>1024</v>
      </c>
      <c r="BD523" s="35"/>
      <c r="BE523" s="35"/>
      <c r="BF523" s="2118" t="str">
        <f>Liste!R523</f>
        <v>0140077</v>
      </c>
      <c r="BG523" s="2137">
        <f>IF(AS523&gt;0,Liste!S523,0)</f>
        <v>0</v>
      </c>
      <c r="BH523" s="2118" t="str">
        <f>Liste!T523</f>
        <v>Stk</v>
      </c>
    </row>
    <row r="524" spans="1:60" ht="24.95" customHeight="1" x14ac:dyDescent="0.25">
      <c r="A524" s="29"/>
      <c r="B524" s="46" t="str">
        <f>IF(Liste!O524&gt;0,Liste!O524,Liste!B524)</f>
        <v>Bremsenreiniger</v>
      </c>
      <c r="C524" s="2314"/>
      <c r="D524" s="30" t="str">
        <f>Liste!C524</f>
        <v>7301008</v>
      </c>
      <c r="E524" s="2314"/>
      <c r="F524" s="32">
        <f t="shared" si="48"/>
        <v>0</v>
      </c>
      <c r="G524" s="2314"/>
      <c r="H524" s="32">
        <f t="shared" si="49"/>
        <v>0</v>
      </c>
      <c r="I524" s="2314"/>
      <c r="J524" s="32">
        <f t="shared" si="50"/>
        <v>0</v>
      </c>
      <c r="K524" s="2314"/>
      <c r="L524" s="31">
        <f t="shared" si="51"/>
        <v>0</v>
      </c>
      <c r="M524" s="2314"/>
      <c r="N524" s="31" t="str">
        <f>Liste!L524</f>
        <v>Stk</v>
      </c>
      <c r="O524" s="31"/>
      <c r="P524" s="31"/>
      <c r="Q524" s="31">
        <f>Liste!P524</f>
        <v>0</v>
      </c>
      <c r="R524" s="31">
        <f>Liste!N524</f>
        <v>0</v>
      </c>
      <c r="S524" s="7">
        <v>0</v>
      </c>
      <c r="T524" s="7">
        <v>0</v>
      </c>
      <c r="U524" s="7">
        <v>0</v>
      </c>
      <c r="V524" s="7"/>
      <c r="W524" s="60"/>
      <c r="X524" s="60"/>
      <c r="Y524" s="60"/>
      <c r="Z524" s="7"/>
      <c r="AA524" s="7"/>
      <c r="AB524" s="60"/>
      <c r="AC524" s="60"/>
      <c r="AD524" s="60"/>
      <c r="AE524" s="7"/>
      <c r="AF524" s="7"/>
      <c r="AG524" s="7"/>
      <c r="AH524" s="7"/>
      <c r="AI524" s="7"/>
      <c r="AJ524" s="7">
        <f>Liste!X524</f>
        <v>0</v>
      </c>
      <c r="AK524" s="7">
        <f>Liste!Y524</f>
        <v>0</v>
      </c>
      <c r="AL524" s="7"/>
      <c r="AM524" s="7"/>
      <c r="AN524" s="7"/>
      <c r="AO524" s="1113">
        <f>Liste!D524</f>
        <v>0</v>
      </c>
      <c r="AP524" s="1113">
        <f>Liste!F524</f>
        <v>0</v>
      </c>
      <c r="AQ524" s="1113">
        <f>Liste!E524</f>
        <v>0</v>
      </c>
      <c r="AR524" s="1113">
        <f>Liste!G524</f>
        <v>0</v>
      </c>
      <c r="AS524" s="1112">
        <f>Liste!V524</f>
        <v>0</v>
      </c>
      <c r="AT524" s="1">
        <f>Liste!M524</f>
        <v>0</v>
      </c>
      <c r="AZ524" s="5" t="s">
        <v>31391</v>
      </c>
      <c r="BA524" s="4" t="s">
        <v>101</v>
      </c>
      <c r="BB524" s="4">
        <v>1025</v>
      </c>
      <c r="BD524" s="35"/>
      <c r="BE524" s="35"/>
      <c r="BF524" s="2118" t="str">
        <f>Liste!R524</f>
        <v>7301008</v>
      </c>
      <c r="BG524" s="2137">
        <f>IF(AS524&gt;0,Liste!S524,0)</f>
        <v>0</v>
      </c>
      <c r="BH524" s="2118" t="str">
        <f>Liste!T524</f>
        <v>Stk</v>
      </c>
    </row>
    <row r="525" spans="1:60" ht="24.95" customHeight="1" x14ac:dyDescent="0.25">
      <c r="A525" s="29"/>
      <c r="B525" s="46" t="str">
        <f>IF(Liste!O525&gt;0,Liste!O525,Liste!B525)</f>
        <v>Zahnspachtel Zahnung A2</v>
      </c>
      <c r="C525" s="2314"/>
      <c r="D525" s="30" t="str">
        <f>Liste!C525</f>
        <v>7001300</v>
      </c>
      <c r="E525" s="2314"/>
      <c r="F525" s="32">
        <f t="shared" si="48"/>
        <v>0</v>
      </c>
      <c r="G525" s="2314"/>
      <c r="H525" s="32">
        <f t="shared" si="49"/>
        <v>0</v>
      </c>
      <c r="I525" s="2314"/>
      <c r="J525" s="32">
        <f t="shared" si="50"/>
        <v>0</v>
      </c>
      <c r="K525" s="2314"/>
      <c r="L525" s="31">
        <f t="shared" si="51"/>
        <v>0</v>
      </c>
      <c r="M525" s="2314"/>
      <c r="N525" s="31" t="str">
        <f>Liste!L525</f>
        <v>Stk</v>
      </c>
      <c r="O525" s="31"/>
      <c r="P525" s="31"/>
      <c r="Q525" s="31">
        <f>Liste!P525</f>
        <v>0</v>
      </c>
      <c r="R525" s="31">
        <f>Liste!N525</f>
        <v>0</v>
      </c>
      <c r="S525" s="7">
        <v>0</v>
      </c>
      <c r="T525" s="7">
        <v>0</v>
      </c>
      <c r="U525" s="7">
        <v>0</v>
      </c>
      <c r="V525" s="7"/>
      <c r="W525" s="60"/>
      <c r="X525" s="60"/>
      <c r="Y525" s="60"/>
      <c r="Z525" s="7"/>
      <c r="AA525" s="7"/>
      <c r="AB525" s="60"/>
      <c r="AC525" s="60"/>
      <c r="AD525" s="60"/>
      <c r="AE525" s="7"/>
      <c r="AF525" s="7"/>
      <c r="AG525" s="7"/>
      <c r="AH525" s="7"/>
      <c r="AI525" s="7"/>
      <c r="AJ525" s="7">
        <f>Liste!X525</f>
        <v>0</v>
      </c>
      <c r="AK525" s="7">
        <f>Liste!Y525</f>
        <v>0</v>
      </c>
      <c r="AL525" s="7"/>
      <c r="AM525" s="7"/>
      <c r="AN525" s="7"/>
      <c r="AO525" s="1113">
        <f>Liste!D525</f>
        <v>0</v>
      </c>
      <c r="AP525" s="1113">
        <f>Liste!F525</f>
        <v>0</v>
      </c>
      <c r="AQ525" s="1113">
        <f>Liste!E525</f>
        <v>0</v>
      </c>
      <c r="AR525" s="1113">
        <f>Liste!G525</f>
        <v>0</v>
      </c>
      <c r="AS525" s="1112">
        <f>Liste!V525</f>
        <v>0</v>
      </c>
      <c r="AT525" s="1">
        <f>Liste!M525</f>
        <v>0</v>
      </c>
      <c r="AZ525" s="5" t="s">
        <v>31392</v>
      </c>
      <c r="BA525" s="4" t="s">
        <v>101</v>
      </c>
      <c r="BB525" s="4">
        <v>1026</v>
      </c>
      <c r="BD525" s="35"/>
      <c r="BE525" s="35"/>
      <c r="BF525" s="2118" t="str">
        <f>Liste!R525</f>
        <v>7001300</v>
      </c>
      <c r="BG525" s="2137">
        <f>IF(AS525&gt;0,Liste!S525,0)</f>
        <v>0</v>
      </c>
      <c r="BH525" s="2118" t="str">
        <f>Liste!T525</f>
        <v>Stk</v>
      </c>
    </row>
    <row r="526" spans="1:60" ht="24.95" customHeight="1" x14ac:dyDescent="0.25">
      <c r="A526" s="29"/>
      <c r="B526" s="46" t="str">
        <f>IF(Liste!O526&gt;0,Liste!O526,Liste!B526)</f>
        <v>Hilfsartikel für AV</v>
      </c>
      <c r="C526" s="2314"/>
      <c r="D526" s="30">
        <f>Liste!C526</f>
        <v>0</v>
      </c>
      <c r="E526" s="2314"/>
      <c r="F526" s="32">
        <f t="shared" si="48"/>
        <v>0</v>
      </c>
      <c r="G526" s="2314"/>
      <c r="H526" s="32">
        <f t="shared" si="49"/>
        <v>0</v>
      </c>
      <c r="I526" s="2314"/>
      <c r="J526" s="32">
        <f t="shared" si="50"/>
        <v>0</v>
      </c>
      <c r="K526" s="2314"/>
      <c r="L526" s="31">
        <f t="shared" si="51"/>
        <v>0</v>
      </c>
      <c r="M526" s="2314"/>
      <c r="N526" s="31">
        <f>Liste!L526</f>
        <v>0</v>
      </c>
      <c r="O526" s="31"/>
      <c r="P526" s="31"/>
      <c r="Q526" s="31">
        <f>Liste!P526</f>
        <v>0</v>
      </c>
      <c r="R526" s="31">
        <f>Liste!N526</f>
        <v>0</v>
      </c>
      <c r="S526" s="7">
        <v>0</v>
      </c>
      <c r="T526" s="7">
        <v>0</v>
      </c>
      <c r="U526" s="7">
        <v>0</v>
      </c>
      <c r="V526" s="7"/>
      <c r="W526" s="60"/>
      <c r="X526" s="60"/>
      <c r="Y526" s="60"/>
      <c r="Z526" s="7"/>
      <c r="AA526" s="7"/>
      <c r="AB526" s="60"/>
      <c r="AC526" s="60"/>
      <c r="AD526" s="60"/>
      <c r="AE526" s="7"/>
      <c r="AF526" s="7"/>
      <c r="AG526" s="7"/>
      <c r="AH526" s="7"/>
      <c r="AI526" s="7"/>
      <c r="AJ526" s="7">
        <f>Liste!X526</f>
        <v>0</v>
      </c>
      <c r="AK526" s="7">
        <f>Liste!Y526</f>
        <v>0</v>
      </c>
      <c r="AL526" s="7"/>
      <c r="AM526" s="7"/>
      <c r="AN526" s="7"/>
      <c r="AO526" s="1113">
        <f>Liste!D526</f>
        <v>0</v>
      </c>
      <c r="AP526" s="1113">
        <f>Liste!F526</f>
        <v>0</v>
      </c>
      <c r="AQ526" s="1113">
        <f>Liste!E526</f>
        <v>0</v>
      </c>
      <c r="AR526" s="1113">
        <f>Liste!G526</f>
        <v>0</v>
      </c>
      <c r="AS526" s="1112">
        <f>Liste!V526</f>
        <v>0</v>
      </c>
      <c r="AT526" s="1">
        <f>Liste!M526</f>
        <v>0</v>
      </c>
      <c r="AZ526" s="5" t="s">
        <v>31393</v>
      </c>
      <c r="BA526" s="4" t="s">
        <v>101</v>
      </c>
      <c r="BB526" s="4">
        <v>1027</v>
      </c>
      <c r="BD526" s="35"/>
      <c r="BE526" s="35"/>
      <c r="BF526" s="2118">
        <f>Liste!R526</f>
        <v>0</v>
      </c>
      <c r="BG526" s="2137">
        <f>IF(AS526&gt;0,Liste!S526,0)</f>
        <v>0</v>
      </c>
      <c r="BH526" s="2118">
        <f>Liste!T526</f>
        <v>0</v>
      </c>
    </row>
    <row r="527" spans="1:60" ht="24.95" customHeight="1" x14ac:dyDescent="0.25">
      <c r="A527" s="29"/>
      <c r="B527" s="46" t="str">
        <f>IF(Liste!O527&gt;0,Liste!O527,Liste!B527)</f>
        <v>Teilesatz Blech GCC</v>
      </c>
      <c r="C527" s="2314"/>
      <c r="D527" s="30" t="str">
        <f>Liste!C527</f>
        <v>520GCC</v>
      </c>
      <c r="E527" s="2314"/>
      <c r="F527" s="32">
        <f t="shared" ref="F527" si="52">IF(AS527&gt;0,AO527,0)</f>
        <v>1</v>
      </c>
      <c r="G527" s="2314"/>
      <c r="H527" s="32">
        <f t="shared" ref="H527" si="53">IF(N527=$P$1,0,AP527)</f>
        <v>0</v>
      </c>
      <c r="I527" s="2314"/>
      <c r="J527" s="32">
        <f t="shared" ref="J527" si="54">IF(OR(N527=$P$1,N527=$Q$1),0,AQ527)</f>
        <v>0</v>
      </c>
      <c r="K527" s="2314"/>
      <c r="L527" s="31">
        <f t="shared" ref="L527" si="55">IF(OR(N527=$P$1,N527=$Q$1,$R$1=N527),0,AR527)</f>
        <v>0</v>
      </c>
      <c r="M527" s="2314"/>
      <c r="N527" s="31" t="str">
        <f>Liste!L527</f>
        <v>Stk</v>
      </c>
      <c r="O527" s="31"/>
      <c r="P527" s="31"/>
      <c r="Q527" s="31">
        <f>Liste!P527</f>
        <v>0</v>
      </c>
      <c r="R527" s="31">
        <f>Liste!N527</f>
        <v>0</v>
      </c>
      <c r="S527" s="7">
        <v>0</v>
      </c>
      <c r="T527" s="7">
        <v>0</v>
      </c>
      <c r="U527" s="7">
        <v>0</v>
      </c>
      <c r="V527" s="7"/>
      <c r="W527" s="60"/>
      <c r="X527" s="60"/>
      <c r="Y527" s="60"/>
      <c r="Z527" s="7"/>
      <c r="AA527" s="7"/>
      <c r="AB527" s="60"/>
      <c r="AC527" s="60"/>
      <c r="AD527" s="60"/>
      <c r="AE527" s="7"/>
      <c r="AF527" s="7"/>
      <c r="AG527" s="7"/>
      <c r="AH527" s="7"/>
      <c r="AI527" s="7"/>
      <c r="AJ527" s="7">
        <f>Liste!X527</f>
        <v>0</v>
      </c>
      <c r="AK527" s="7">
        <f>Liste!Y527</f>
        <v>0</v>
      </c>
      <c r="AL527" s="7"/>
      <c r="AM527" s="7"/>
      <c r="AN527" s="7"/>
      <c r="AO527" s="1113">
        <f>Liste!D527</f>
        <v>1</v>
      </c>
      <c r="AP527" s="1113">
        <f>Liste!F527</f>
        <v>0</v>
      </c>
      <c r="AQ527" s="1113">
        <f>Liste!E527</f>
        <v>0</v>
      </c>
      <c r="AR527" s="1113">
        <f>Liste!G527</f>
        <v>0</v>
      </c>
      <c r="AS527" s="1112">
        <f>Liste!V527</f>
        <v>1</v>
      </c>
      <c r="AT527" s="1">
        <f>Liste!M527</f>
        <v>0</v>
      </c>
      <c r="AZ527" s="5" t="s">
        <v>31394</v>
      </c>
      <c r="BA527" s="4" t="s">
        <v>101</v>
      </c>
      <c r="BB527" s="4">
        <v>1028</v>
      </c>
      <c r="BD527" s="35"/>
      <c r="BE527" s="35"/>
      <c r="BF527" s="2118" t="str">
        <f>Liste!R527</f>
        <v>520GCC</v>
      </c>
      <c r="BG527" s="2137">
        <f>IF(AS527&gt;0,Liste!S527,0)</f>
        <v>1</v>
      </c>
      <c r="BH527" s="2118" t="str">
        <f>Liste!T527</f>
        <v>Stk</v>
      </c>
    </row>
    <row r="528" spans="1:60" ht="24.95" customHeight="1" x14ac:dyDescent="0.25">
      <c r="A528" s="29"/>
      <c r="B528" s="46" t="str">
        <f>IF(Liste!O528&gt;0,Liste!O528,Liste!B528)</f>
        <v>Pulverbeschichtung RAL Standard &lt; 10 m²</v>
      </c>
      <c r="C528" s="2314"/>
      <c r="D528" s="30" t="str">
        <f>Liste!C528</f>
        <v>7777000</v>
      </c>
      <c r="E528" s="2314"/>
      <c r="F528" s="32">
        <f t="shared" si="48"/>
        <v>0</v>
      </c>
      <c r="G528" s="2314"/>
      <c r="H528" s="32">
        <f t="shared" si="49"/>
        <v>0</v>
      </c>
      <c r="I528" s="2314"/>
      <c r="J528" s="32">
        <f t="shared" si="50"/>
        <v>0</v>
      </c>
      <c r="K528" s="2314"/>
      <c r="L528" s="31">
        <f t="shared" si="51"/>
        <v>0</v>
      </c>
      <c r="M528" s="2314"/>
      <c r="N528" s="31" t="str">
        <f>Liste!L528</f>
        <v>M2</v>
      </c>
      <c r="O528" s="31"/>
      <c r="P528" s="31"/>
      <c r="Q528" s="31">
        <f>Liste!P528</f>
        <v>0</v>
      </c>
      <c r="R528" s="31">
        <f>Liste!N528</f>
        <v>0</v>
      </c>
      <c r="S528" s="7">
        <v>0</v>
      </c>
      <c r="T528" s="7">
        <v>0</v>
      </c>
      <c r="U528" s="7">
        <v>0</v>
      </c>
      <c r="V528" s="7"/>
      <c r="W528" s="60"/>
      <c r="X528" s="60"/>
      <c r="Y528" s="60"/>
      <c r="Z528" s="7"/>
      <c r="AA528" s="7"/>
      <c r="AB528" s="60"/>
      <c r="AC528" s="60"/>
      <c r="AD528" s="60"/>
      <c r="AE528" s="7"/>
      <c r="AF528" s="7"/>
      <c r="AG528" s="7"/>
      <c r="AH528" s="7"/>
      <c r="AI528" s="7"/>
      <c r="AJ528" s="7">
        <f>Liste!X528</f>
        <v>0</v>
      </c>
      <c r="AK528" s="7">
        <f>Liste!Y528</f>
        <v>0</v>
      </c>
      <c r="AL528" s="7"/>
      <c r="AM528" s="7"/>
      <c r="AN528" s="7"/>
      <c r="AO528" s="1113">
        <f>Liste!D528</f>
        <v>0</v>
      </c>
      <c r="AP528" s="1113">
        <f>Liste!F528</f>
        <v>0</v>
      </c>
      <c r="AQ528" s="1113">
        <f>Liste!E528</f>
        <v>0</v>
      </c>
      <c r="AR528" s="1113">
        <f>Liste!G528</f>
        <v>0</v>
      </c>
      <c r="AS528" s="1112">
        <f>Liste!V528</f>
        <v>0</v>
      </c>
      <c r="AT528" s="1">
        <f>Liste!M528</f>
        <v>0</v>
      </c>
      <c r="AZ528" s="5" t="s">
        <v>31394</v>
      </c>
      <c r="BA528" s="4" t="s">
        <v>101</v>
      </c>
      <c r="BB528" s="4">
        <v>1028</v>
      </c>
      <c r="BD528" s="35"/>
      <c r="BE528" s="35"/>
      <c r="BF528" s="2118" t="str">
        <f>Liste!R528</f>
        <v>7777000</v>
      </c>
      <c r="BG528" s="2137">
        <f>IF(AS528&gt;0,Liste!S528,0)</f>
        <v>0</v>
      </c>
      <c r="BH528" s="2118" t="str">
        <f>Liste!T528</f>
        <v>M2</v>
      </c>
    </row>
    <row r="529" spans="1:60" ht="24.95" customHeight="1" x14ac:dyDescent="0.25">
      <c r="A529" s="29"/>
      <c r="B529" s="46" t="str">
        <f>IF(Liste!O529&gt;0,Liste!O529,Liste!B529)</f>
        <v>Pulverbeschichtung RAL Standard &gt;=10 m²</v>
      </c>
      <c r="C529" s="2314"/>
      <c r="D529" s="30" t="str">
        <f>Liste!C529</f>
        <v>7777001</v>
      </c>
      <c r="E529" s="2314"/>
      <c r="F529" s="32">
        <f t="shared" si="48"/>
        <v>0</v>
      </c>
      <c r="G529" s="2314"/>
      <c r="H529" s="32">
        <f t="shared" si="49"/>
        <v>0</v>
      </c>
      <c r="I529" s="2314"/>
      <c r="J529" s="32">
        <f t="shared" si="50"/>
        <v>0</v>
      </c>
      <c r="K529" s="2314"/>
      <c r="L529" s="31">
        <f t="shared" si="51"/>
        <v>0</v>
      </c>
      <c r="M529" s="2314"/>
      <c r="N529" s="31" t="str">
        <f>Liste!L529</f>
        <v>M2</v>
      </c>
      <c r="O529" s="31"/>
      <c r="P529" s="31"/>
      <c r="Q529" s="31">
        <f>Liste!P529</f>
        <v>0</v>
      </c>
      <c r="R529" s="31">
        <f>Liste!N529</f>
        <v>0</v>
      </c>
      <c r="S529" s="7">
        <v>0</v>
      </c>
      <c r="T529" s="7">
        <v>0</v>
      </c>
      <c r="U529" s="7">
        <v>0</v>
      </c>
      <c r="V529" s="7"/>
      <c r="W529" s="60"/>
      <c r="X529" s="60"/>
      <c r="Y529" s="60"/>
      <c r="Z529" s="7"/>
      <c r="AA529" s="7"/>
      <c r="AB529" s="60"/>
      <c r="AC529" s="60"/>
      <c r="AD529" s="60"/>
      <c r="AE529" s="7"/>
      <c r="AF529" s="7"/>
      <c r="AG529" s="7"/>
      <c r="AH529" s="7"/>
      <c r="AI529" s="7"/>
      <c r="AJ529" s="7">
        <f>Liste!X529</f>
        <v>0</v>
      </c>
      <c r="AK529" s="7">
        <f>Liste!Y529</f>
        <v>0</v>
      </c>
      <c r="AL529" s="7"/>
      <c r="AM529" s="7"/>
      <c r="AN529" s="7"/>
      <c r="AO529" s="1113">
        <f>Liste!D529</f>
        <v>0</v>
      </c>
      <c r="AP529" s="1113">
        <f>Liste!F529</f>
        <v>0</v>
      </c>
      <c r="AQ529" s="1113">
        <f>Liste!E529</f>
        <v>0</v>
      </c>
      <c r="AR529" s="1113">
        <f>Liste!G529</f>
        <v>0</v>
      </c>
      <c r="AS529" s="1112">
        <f>Liste!V529</f>
        <v>0</v>
      </c>
      <c r="AT529" s="1">
        <f>Liste!M529</f>
        <v>0</v>
      </c>
      <c r="AZ529" s="5" t="s">
        <v>31395</v>
      </c>
      <c r="BA529" s="4" t="s">
        <v>101</v>
      </c>
      <c r="BB529" s="4">
        <v>1029</v>
      </c>
      <c r="BD529" s="35"/>
      <c r="BE529" s="35"/>
      <c r="BF529" s="2118" t="str">
        <f>Liste!R529</f>
        <v>7777001</v>
      </c>
      <c r="BG529" s="2137">
        <f>IF(AS529&gt;0,Liste!S529,0)</f>
        <v>0</v>
      </c>
      <c r="BH529" s="2118" t="str">
        <f>Liste!T529</f>
        <v>M2</v>
      </c>
    </row>
    <row r="530" spans="1:60" ht="24.95" customHeight="1" x14ac:dyDescent="0.25">
      <c r="A530" s="1076" t="s">
        <v>5</v>
      </c>
      <c r="B530" s="1973" t="str">
        <f>'Zuschnitt intumestzierendes Mat'!C22</f>
        <v xml:space="preserve">0204153 / Firefly 102, 2mm  selbstklebend  </v>
      </c>
      <c r="C530" s="2314"/>
      <c r="D530" s="202" t="str">
        <f>'Zuschnitt intumestzierendes Mat'!F22</f>
        <v>0204153</v>
      </c>
      <c r="E530" s="2314"/>
      <c r="F530" s="32">
        <f t="shared" ref="F530:F548" si="56">IF(AS530&gt;0,AO530,0)</f>
        <v>0</v>
      </c>
      <c r="G530" s="2314"/>
      <c r="H530" s="32">
        <f t="shared" ref="H530:H548" si="57">IF(N530=$P$1,0,AP530)</f>
        <v>1080</v>
      </c>
      <c r="I530" s="2314"/>
      <c r="J530" s="32">
        <f t="shared" ref="J530:J548" si="58">IF(OR(N530=$P$1,N530=$Q$1),0,AQ530)</f>
        <v>199</v>
      </c>
      <c r="K530" s="2314"/>
      <c r="L530" s="1974"/>
      <c r="M530" s="2314"/>
      <c r="N530" s="1249" t="s">
        <v>28399</v>
      </c>
      <c r="O530" s="1974"/>
      <c r="P530" s="1249"/>
      <c r="Q530" s="1249"/>
      <c r="R530" s="2631">
        <f>'Zuschnitt intumestzierendes Mat'!E22</f>
        <v>0</v>
      </c>
      <c r="S530" s="1249"/>
      <c r="T530" s="1249"/>
      <c r="U530" s="1249"/>
      <c r="V530" s="1974"/>
      <c r="W530" s="2092"/>
      <c r="X530" s="2092"/>
      <c r="Y530" s="2092"/>
      <c r="Z530" s="1974"/>
      <c r="AA530" s="1974"/>
      <c r="AB530" s="2092"/>
      <c r="AC530" s="2092"/>
      <c r="AD530" s="2092"/>
      <c r="AE530" s="1974"/>
      <c r="AF530" s="1974"/>
      <c r="AG530" s="1974"/>
      <c r="AH530" s="1974"/>
      <c r="AI530" s="1974"/>
      <c r="AJ530" s="1974"/>
      <c r="AK530" s="1974"/>
      <c r="AL530" s="1974"/>
      <c r="AM530" s="1974"/>
      <c r="AN530" s="1974"/>
      <c r="AO530" s="1114">
        <f>'Zuschnitt intumestzierendes Mat'!G22</f>
        <v>0</v>
      </c>
      <c r="AP530" s="1114">
        <f>'Zuschnitt intumestzierendes Mat'!H22</f>
        <v>1080</v>
      </c>
      <c r="AQ530" s="1114">
        <f>'Zuschnitt intumestzierendes Mat'!I22</f>
        <v>199</v>
      </c>
      <c r="AR530" s="1114">
        <f>'Zuschnitt intumestzierendes Mat'!J22</f>
        <v>2</v>
      </c>
      <c r="AS530" s="1188">
        <v>1</v>
      </c>
      <c r="BD530" s="13"/>
      <c r="BF530" s="2135" t="str">
        <f>D530</f>
        <v>0204153</v>
      </c>
      <c r="BG530" s="2135">
        <f>F530*H530/1000*J530/1000</f>
        <v>0</v>
      </c>
      <c r="BH530" s="2136" t="s">
        <v>10</v>
      </c>
    </row>
    <row r="531" spans="1:60" ht="24.95" customHeight="1" x14ac:dyDescent="0.25">
      <c r="A531" s="1076" t="s">
        <v>5</v>
      </c>
      <c r="B531" s="1973" t="str">
        <f>'Zuschnitt intumestzierendes Mat'!C23</f>
        <v xml:space="preserve">0204154 / Firefly 102, 6mm  selbstklebend </v>
      </c>
      <c r="C531" s="2314"/>
      <c r="D531" s="202" t="str">
        <f>'Zuschnitt intumestzierendes Mat'!F23</f>
        <v>0204154</v>
      </c>
      <c r="E531" s="2314"/>
      <c r="F531" s="32">
        <f t="shared" si="56"/>
        <v>0</v>
      </c>
      <c r="G531" s="2314"/>
      <c r="H531" s="32">
        <f t="shared" si="57"/>
        <v>1080</v>
      </c>
      <c r="I531" s="2314"/>
      <c r="J531" s="32">
        <f t="shared" si="58"/>
        <v>199</v>
      </c>
      <c r="K531" s="2314"/>
      <c r="L531" s="1974"/>
      <c r="M531" s="2314"/>
      <c r="N531" s="1249" t="s">
        <v>28399</v>
      </c>
      <c r="O531" s="1974"/>
      <c r="P531" s="1249"/>
      <c r="Q531" s="1249"/>
      <c r="R531" s="2631">
        <f>'Zuschnitt intumestzierendes Mat'!E23</f>
        <v>0</v>
      </c>
      <c r="S531" s="1249"/>
      <c r="T531" s="1249"/>
      <c r="U531" s="1249"/>
      <c r="V531" s="1974"/>
      <c r="W531" s="2092"/>
      <c r="X531" s="2092"/>
      <c r="Y531" s="2092"/>
      <c r="Z531" s="1974"/>
      <c r="AA531" s="1974"/>
      <c r="AB531" s="2092"/>
      <c r="AC531" s="2092"/>
      <c r="AD531" s="2092"/>
      <c r="AE531" s="1974"/>
      <c r="AF531" s="1974"/>
      <c r="AG531" s="1974"/>
      <c r="AH531" s="1974"/>
      <c r="AI531" s="1974"/>
      <c r="AJ531" s="1974"/>
      <c r="AK531" s="1974"/>
      <c r="AL531" s="1974"/>
      <c r="AM531" s="1974"/>
      <c r="AN531" s="1974"/>
      <c r="AO531" s="1114">
        <f>'Zuschnitt intumestzierendes Mat'!G23</f>
        <v>0</v>
      </c>
      <c r="AP531" s="1114">
        <f>'Zuschnitt intumestzierendes Mat'!H23</f>
        <v>1080</v>
      </c>
      <c r="AQ531" s="1114">
        <f>'Zuschnitt intumestzierendes Mat'!I23</f>
        <v>199</v>
      </c>
      <c r="AR531" s="1114">
        <f>'Zuschnitt intumestzierendes Mat'!J23</f>
        <v>6</v>
      </c>
      <c r="AS531" s="1188">
        <v>1</v>
      </c>
      <c r="BD531" s="13"/>
      <c r="BF531" s="2135" t="str">
        <f t="shared" ref="BF531:BF548" si="59">D531</f>
        <v>0204154</v>
      </c>
      <c r="BG531" s="2135">
        <f t="shared" ref="BG531:BG548" si="60">F531*H531/1000*J531/1000</f>
        <v>0</v>
      </c>
      <c r="BH531" s="2136" t="s">
        <v>10</v>
      </c>
    </row>
    <row r="532" spans="1:60" ht="24.95" customHeight="1" x14ac:dyDescent="0.25">
      <c r="A532" s="1076" t="s">
        <v>5</v>
      </c>
      <c r="B532" s="1973" t="str">
        <f>'Zuschnitt intumestzierendes Mat'!C24</f>
        <v>0204008 / Promaseal - PL ,selbstklebend</v>
      </c>
      <c r="C532" s="2314"/>
      <c r="D532" s="202" t="str">
        <f>'Zuschnitt intumestzierendes Mat'!F24</f>
        <v>0204008</v>
      </c>
      <c r="E532" s="2314"/>
      <c r="F532" s="32">
        <f t="shared" si="56"/>
        <v>0</v>
      </c>
      <c r="G532" s="2314"/>
      <c r="H532" s="32">
        <f t="shared" si="57"/>
        <v>1080</v>
      </c>
      <c r="I532" s="2314"/>
      <c r="J532" s="32">
        <f t="shared" si="58"/>
        <v>199</v>
      </c>
      <c r="K532" s="2314"/>
      <c r="L532" s="1974"/>
      <c r="M532" s="2314"/>
      <c r="N532" s="1249" t="s">
        <v>28399</v>
      </c>
      <c r="O532" s="1974"/>
      <c r="P532" s="1249"/>
      <c r="Q532" s="1249"/>
      <c r="R532" s="2631">
        <f>'Zuschnitt intumestzierendes Mat'!E24</f>
        <v>0</v>
      </c>
      <c r="S532" s="1249"/>
      <c r="T532" s="1249"/>
      <c r="U532" s="1249"/>
      <c r="V532" s="1974"/>
      <c r="W532" s="2092"/>
      <c r="X532" s="2092"/>
      <c r="Y532" s="2092"/>
      <c r="Z532" s="1974"/>
      <c r="AA532" s="1974"/>
      <c r="AB532" s="2092"/>
      <c r="AC532" s="2092"/>
      <c r="AD532" s="2092"/>
      <c r="AE532" s="1974"/>
      <c r="AF532" s="1974"/>
      <c r="AG532" s="1974"/>
      <c r="AH532" s="1974"/>
      <c r="AI532" s="1974"/>
      <c r="AJ532" s="1974"/>
      <c r="AK532" s="1974"/>
      <c r="AL532" s="1974"/>
      <c r="AM532" s="1974"/>
      <c r="AN532" s="1974"/>
      <c r="AO532" s="1114">
        <f>'Zuschnitt intumestzierendes Mat'!G24</f>
        <v>0</v>
      </c>
      <c r="AP532" s="1114">
        <f>'Zuschnitt intumestzierendes Mat'!H24</f>
        <v>1080</v>
      </c>
      <c r="AQ532" s="1114">
        <f>'Zuschnitt intumestzierendes Mat'!I24</f>
        <v>199</v>
      </c>
      <c r="AR532" s="1114">
        <f>'Zuschnitt intumestzierendes Mat'!J24</f>
        <v>2.5</v>
      </c>
      <c r="AS532" s="1188">
        <v>1</v>
      </c>
      <c r="BD532" s="13"/>
      <c r="BF532" s="2135" t="str">
        <f t="shared" si="59"/>
        <v>0204008</v>
      </c>
      <c r="BG532" s="2135">
        <f t="shared" si="60"/>
        <v>0</v>
      </c>
      <c r="BH532" s="2136" t="s">
        <v>10</v>
      </c>
    </row>
    <row r="533" spans="1:60" ht="24.95" customHeight="1" x14ac:dyDescent="0.25">
      <c r="A533" s="1076" t="s">
        <v>5</v>
      </c>
      <c r="B533" s="1973">
        <f>'Zuschnitt intumestzierendes Mat'!C25</f>
        <v>0</v>
      </c>
      <c r="C533" s="2314"/>
      <c r="D533" s="202" t="str">
        <f>'Zuschnitt intumestzierendes Mat'!F25</f>
        <v/>
      </c>
      <c r="E533" s="2314"/>
      <c r="F533" s="32">
        <f t="shared" si="56"/>
        <v>0</v>
      </c>
      <c r="G533" s="2314"/>
      <c r="H533" s="32">
        <f t="shared" si="57"/>
        <v>0</v>
      </c>
      <c r="I533" s="2314"/>
      <c r="J533" s="32">
        <f t="shared" si="58"/>
        <v>0</v>
      </c>
      <c r="K533" s="2314"/>
      <c r="L533" s="1974"/>
      <c r="M533" s="2314"/>
      <c r="N533" s="1249" t="s">
        <v>28399</v>
      </c>
      <c r="O533" s="1974"/>
      <c r="P533" s="1249"/>
      <c r="Q533" s="1249"/>
      <c r="R533" s="2631">
        <f>'Zuschnitt intumestzierendes Mat'!E25</f>
        <v>0</v>
      </c>
      <c r="S533" s="1249"/>
      <c r="T533" s="1249"/>
      <c r="U533" s="1249"/>
      <c r="V533" s="1974"/>
      <c r="W533" s="2092"/>
      <c r="X533" s="2092"/>
      <c r="Y533" s="2092"/>
      <c r="Z533" s="1974"/>
      <c r="AA533" s="1974"/>
      <c r="AB533" s="2092"/>
      <c r="AC533" s="2092"/>
      <c r="AD533" s="2092"/>
      <c r="AE533" s="1974"/>
      <c r="AF533" s="1974"/>
      <c r="AG533" s="1974"/>
      <c r="AH533" s="1974"/>
      <c r="AI533" s="1974"/>
      <c r="AJ533" s="1974"/>
      <c r="AK533" s="1974"/>
      <c r="AL533" s="1974"/>
      <c r="AM533" s="1974"/>
      <c r="AN533" s="1974"/>
      <c r="AO533" s="1114">
        <f>'Zuschnitt intumestzierendes Mat'!G25</f>
        <v>0</v>
      </c>
      <c r="AP533" s="1114">
        <f>'Zuschnitt intumestzierendes Mat'!H25</f>
        <v>0</v>
      </c>
      <c r="AQ533" s="1114">
        <f>'Zuschnitt intumestzierendes Mat'!I25</f>
        <v>0</v>
      </c>
      <c r="AR533" s="1114">
        <f>'Zuschnitt intumestzierendes Mat'!J25</f>
        <v>0</v>
      </c>
      <c r="AS533" s="1188">
        <v>1</v>
      </c>
      <c r="BD533" s="13"/>
      <c r="BF533" s="2135" t="str">
        <f t="shared" si="59"/>
        <v/>
      </c>
      <c r="BG533" s="2135">
        <f t="shared" si="60"/>
        <v>0</v>
      </c>
      <c r="BH533" s="2136" t="s">
        <v>10</v>
      </c>
    </row>
    <row r="534" spans="1:60" ht="24.95" customHeight="1" x14ac:dyDescent="0.25">
      <c r="A534" s="1076" t="s">
        <v>5</v>
      </c>
      <c r="B534" s="1973" t="str">
        <f>'Zuschnitt intumestzierendes Mat'!C26</f>
        <v xml:space="preserve">0204153 / Firefly 102, 2mm  selbstklebend  </v>
      </c>
      <c r="C534" s="2314"/>
      <c r="D534" s="202" t="str">
        <f>'Zuschnitt intumestzierendes Mat'!F26</f>
        <v>0204153</v>
      </c>
      <c r="E534" s="2314"/>
      <c r="F534" s="32">
        <f t="shared" si="56"/>
        <v>3</v>
      </c>
      <c r="G534" s="2314"/>
      <c r="H534" s="32">
        <f t="shared" si="57"/>
        <v>1200</v>
      </c>
      <c r="I534" s="2314"/>
      <c r="J534" s="32">
        <f t="shared" si="58"/>
        <v>175</v>
      </c>
      <c r="K534" s="2314"/>
      <c r="L534" s="1974"/>
      <c r="M534" s="2314"/>
      <c r="N534" s="1249" t="s">
        <v>28399</v>
      </c>
      <c r="O534" s="1974"/>
      <c r="P534" s="1249"/>
      <c r="Q534" s="1249"/>
      <c r="R534" s="2631">
        <f>'Zuschnitt intumestzierendes Mat'!E26</f>
        <v>0</v>
      </c>
      <c r="S534" s="1249"/>
      <c r="T534" s="1249"/>
      <c r="U534" s="1249"/>
      <c r="V534" s="1974"/>
      <c r="W534" s="2092"/>
      <c r="X534" s="2092"/>
      <c r="Y534" s="2092"/>
      <c r="Z534" s="1974"/>
      <c r="AA534" s="1974"/>
      <c r="AB534" s="2092"/>
      <c r="AC534" s="2092"/>
      <c r="AD534" s="2092"/>
      <c r="AE534" s="1974"/>
      <c r="AF534" s="1974"/>
      <c r="AG534" s="1974"/>
      <c r="AH534" s="1974"/>
      <c r="AI534" s="1974"/>
      <c r="AJ534" s="1974"/>
      <c r="AK534" s="1974"/>
      <c r="AL534" s="1974"/>
      <c r="AM534" s="1974"/>
      <c r="AN534" s="1974"/>
      <c r="AO534" s="1114">
        <f>'Zuschnitt intumestzierendes Mat'!G26</f>
        <v>3</v>
      </c>
      <c r="AP534" s="1114">
        <f>'Zuschnitt intumestzierendes Mat'!H26</f>
        <v>1200</v>
      </c>
      <c r="AQ534" s="1114">
        <f>'Zuschnitt intumestzierendes Mat'!I26</f>
        <v>175</v>
      </c>
      <c r="AR534" s="1114">
        <f>'Zuschnitt intumestzierendes Mat'!J26</f>
        <v>2</v>
      </c>
      <c r="AS534" s="1188">
        <v>1</v>
      </c>
      <c r="BD534" s="13"/>
      <c r="BF534" s="2135" t="str">
        <f t="shared" si="59"/>
        <v>0204153</v>
      </c>
      <c r="BG534" s="2135">
        <f t="shared" si="60"/>
        <v>0.63</v>
      </c>
      <c r="BH534" s="2136" t="s">
        <v>10</v>
      </c>
    </row>
    <row r="535" spans="1:60" ht="24.95" customHeight="1" x14ac:dyDescent="0.25">
      <c r="A535" s="1076" t="s">
        <v>5</v>
      </c>
      <c r="B535" s="1973" t="str">
        <f>'Zuschnitt intumestzierendes Mat'!C27</f>
        <v>0204113 / Fireseal 3mm (max. 170mm breit)</v>
      </c>
      <c r="C535" s="2314"/>
      <c r="D535" s="202" t="str">
        <f>'Zuschnitt intumestzierendes Mat'!F27</f>
        <v>0204113</v>
      </c>
      <c r="E535" s="2314"/>
      <c r="F535" s="32">
        <f t="shared" si="56"/>
        <v>2</v>
      </c>
      <c r="G535" s="2314"/>
      <c r="H535" s="32">
        <f t="shared" si="57"/>
        <v>900</v>
      </c>
      <c r="I535" s="2314"/>
      <c r="J535" s="32">
        <f t="shared" si="58"/>
        <v>170</v>
      </c>
      <c r="K535" s="2314"/>
      <c r="L535" s="1974"/>
      <c r="M535" s="2314"/>
      <c r="N535" s="1249" t="s">
        <v>28399</v>
      </c>
      <c r="O535" s="1974"/>
      <c r="P535" s="1249"/>
      <c r="Q535" s="1249"/>
      <c r="R535" s="2631">
        <f>'Zuschnitt intumestzierendes Mat'!E27</f>
        <v>0</v>
      </c>
      <c r="S535" s="1249"/>
      <c r="T535" s="1249"/>
      <c r="U535" s="1249"/>
      <c r="V535" s="1974"/>
      <c r="W535" s="2092"/>
      <c r="X535" s="2092"/>
      <c r="Y535" s="2092"/>
      <c r="Z535" s="1974"/>
      <c r="AA535" s="1974"/>
      <c r="AB535" s="2092"/>
      <c r="AC535" s="2092"/>
      <c r="AD535" s="2092"/>
      <c r="AE535" s="1974"/>
      <c r="AF535" s="1974"/>
      <c r="AG535" s="1974"/>
      <c r="AH535" s="1974"/>
      <c r="AI535" s="1974"/>
      <c r="AJ535" s="1974"/>
      <c r="AK535" s="1974"/>
      <c r="AL535" s="1974"/>
      <c r="AM535" s="1974"/>
      <c r="AN535" s="1974"/>
      <c r="AO535" s="1114">
        <f>'Zuschnitt intumestzierendes Mat'!G27</f>
        <v>2</v>
      </c>
      <c r="AP535" s="1114">
        <f>'Zuschnitt intumestzierendes Mat'!H27</f>
        <v>900</v>
      </c>
      <c r="AQ535" s="1114">
        <f>'Zuschnitt intumestzierendes Mat'!I27</f>
        <v>170</v>
      </c>
      <c r="AR535" s="1114">
        <f>'Zuschnitt intumestzierendes Mat'!J27</f>
        <v>3</v>
      </c>
      <c r="AS535" s="1188">
        <v>1</v>
      </c>
      <c r="BD535" s="13"/>
      <c r="BF535" s="2135" t="str">
        <f t="shared" si="59"/>
        <v>0204113</v>
      </c>
      <c r="BG535" s="2135">
        <f t="shared" si="60"/>
        <v>0.30599999999999999</v>
      </c>
      <c r="BH535" s="2136" t="s">
        <v>10</v>
      </c>
    </row>
    <row r="536" spans="1:60" ht="24.95" customHeight="1" x14ac:dyDescent="0.25">
      <c r="A536" s="1076" t="s">
        <v>5</v>
      </c>
      <c r="B536" s="1973">
        <f>'Zuschnitt intumestzierendes Mat'!C28</f>
        <v>0</v>
      </c>
      <c r="C536" s="2314"/>
      <c r="D536" s="202" t="str">
        <f>'Zuschnitt intumestzierendes Mat'!F28</f>
        <v/>
      </c>
      <c r="E536" s="2314"/>
      <c r="F536" s="32">
        <f t="shared" si="56"/>
        <v>0</v>
      </c>
      <c r="G536" s="2314"/>
      <c r="H536" s="32">
        <f t="shared" si="57"/>
        <v>0</v>
      </c>
      <c r="I536" s="2314"/>
      <c r="J536" s="32">
        <f t="shared" si="58"/>
        <v>0</v>
      </c>
      <c r="K536" s="2314"/>
      <c r="L536" s="1974"/>
      <c r="M536" s="2314"/>
      <c r="N536" s="1249" t="s">
        <v>28399</v>
      </c>
      <c r="O536" s="1974"/>
      <c r="P536" s="1249"/>
      <c r="Q536" s="1249"/>
      <c r="R536" s="2631">
        <f>'Zuschnitt intumestzierendes Mat'!E28</f>
        <v>0</v>
      </c>
      <c r="S536" s="1249"/>
      <c r="T536" s="1249"/>
      <c r="U536" s="1249"/>
      <c r="V536" s="1974"/>
      <c r="W536" s="2092"/>
      <c r="X536" s="2092"/>
      <c r="Y536" s="2092"/>
      <c r="Z536" s="1974"/>
      <c r="AA536" s="1974"/>
      <c r="AB536" s="2092"/>
      <c r="AC536" s="2092"/>
      <c r="AD536" s="2092"/>
      <c r="AE536" s="1974"/>
      <c r="AF536" s="1974"/>
      <c r="AG536" s="1974"/>
      <c r="AH536" s="1974"/>
      <c r="AI536" s="1974"/>
      <c r="AJ536" s="1974"/>
      <c r="AK536" s="1974"/>
      <c r="AL536" s="1974"/>
      <c r="AM536" s="1974"/>
      <c r="AN536" s="1974"/>
      <c r="AO536" s="1114">
        <f>'Zuschnitt intumestzierendes Mat'!G28</f>
        <v>0</v>
      </c>
      <c r="AP536" s="1114">
        <f>'Zuschnitt intumestzierendes Mat'!H28</f>
        <v>0</v>
      </c>
      <c r="AQ536" s="1114">
        <f>'Zuschnitt intumestzierendes Mat'!I28</f>
        <v>0</v>
      </c>
      <c r="AR536" s="1114">
        <f>'Zuschnitt intumestzierendes Mat'!J28</f>
        <v>0</v>
      </c>
      <c r="AS536" s="1188">
        <v>1</v>
      </c>
      <c r="BD536" s="13"/>
      <c r="BF536" s="2135" t="str">
        <f t="shared" si="59"/>
        <v/>
      </c>
      <c r="BG536" s="2135">
        <f t="shared" si="60"/>
        <v>0</v>
      </c>
      <c r="BH536" s="2136" t="s">
        <v>10</v>
      </c>
    </row>
    <row r="537" spans="1:60" ht="24.95" customHeight="1" x14ac:dyDescent="0.25">
      <c r="A537" s="1076" t="s">
        <v>5</v>
      </c>
      <c r="B537" s="1973">
        <f>'Zuschnitt intumestzierendes Mat'!C29</f>
        <v>0</v>
      </c>
      <c r="C537" s="2314"/>
      <c r="D537" s="202" t="str">
        <f>'Zuschnitt intumestzierendes Mat'!F29</f>
        <v/>
      </c>
      <c r="E537" s="2314"/>
      <c r="F537" s="32">
        <f t="shared" si="56"/>
        <v>0</v>
      </c>
      <c r="G537" s="2314"/>
      <c r="H537" s="32">
        <f t="shared" si="57"/>
        <v>0</v>
      </c>
      <c r="I537" s="2314"/>
      <c r="J537" s="32">
        <f t="shared" si="58"/>
        <v>0</v>
      </c>
      <c r="K537" s="2314"/>
      <c r="L537" s="1974"/>
      <c r="M537" s="2314"/>
      <c r="N537" s="1249" t="s">
        <v>28399</v>
      </c>
      <c r="O537" s="1974"/>
      <c r="P537" s="1249"/>
      <c r="Q537" s="1249"/>
      <c r="R537" s="2631">
        <f>'Zuschnitt intumestzierendes Mat'!E29</f>
        <v>0</v>
      </c>
      <c r="S537" s="1249"/>
      <c r="T537" s="1249"/>
      <c r="U537" s="1249"/>
      <c r="V537" s="1974"/>
      <c r="W537" s="2092"/>
      <c r="X537" s="2092"/>
      <c r="Y537" s="2092"/>
      <c r="Z537" s="1974"/>
      <c r="AA537" s="1974"/>
      <c r="AB537" s="2092"/>
      <c r="AC537" s="2092"/>
      <c r="AD537" s="2092"/>
      <c r="AE537" s="1974"/>
      <c r="AF537" s="1974"/>
      <c r="AG537" s="1974"/>
      <c r="AH537" s="1974"/>
      <c r="AI537" s="1974"/>
      <c r="AJ537" s="1974"/>
      <c r="AK537" s="1974"/>
      <c r="AL537" s="1974"/>
      <c r="AM537" s="1974"/>
      <c r="AN537" s="1974"/>
      <c r="AO537" s="1114">
        <f>'Zuschnitt intumestzierendes Mat'!G29</f>
        <v>0</v>
      </c>
      <c r="AP537" s="1114">
        <f>'Zuschnitt intumestzierendes Mat'!H29</f>
        <v>0</v>
      </c>
      <c r="AQ537" s="1114">
        <f>'Zuschnitt intumestzierendes Mat'!I29</f>
        <v>0</v>
      </c>
      <c r="AR537" s="1114">
        <f>'Zuschnitt intumestzierendes Mat'!J29</f>
        <v>0</v>
      </c>
      <c r="AS537" s="1188">
        <v>1</v>
      </c>
      <c r="BD537" s="13"/>
      <c r="BF537" s="2135" t="str">
        <f t="shared" si="59"/>
        <v/>
      </c>
      <c r="BG537" s="2135">
        <f t="shared" si="60"/>
        <v>0</v>
      </c>
      <c r="BH537" s="2136" t="s">
        <v>10</v>
      </c>
    </row>
    <row r="538" spans="1:60" ht="24.95" customHeight="1" x14ac:dyDescent="0.25">
      <c r="A538" s="1076" t="s">
        <v>5</v>
      </c>
      <c r="B538" s="1973">
        <f>'Zuschnitt intumestzierendes Mat'!C30</f>
        <v>0</v>
      </c>
      <c r="C538" s="2314"/>
      <c r="D538" s="202" t="str">
        <f>'Zuschnitt intumestzierendes Mat'!F30</f>
        <v/>
      </c>
      <c r="E538" s="2314"/>
      <c r="F538" s="32">
        <f t="shared" si="56"/>
        <v>0</v>
      </c>
      <c r="G538" s="2314"/>
      <c r="H538" s="32">
        <f t="shared" si="57"/>
        <v>0</v>
      </c>
      <c r="I538" s="2314"/>
      <c r="J538" s="32">
        <f t="shared" si="58"/>
        <v>0</v>
      </c>
      <c r="K538" s="2314"/>
      <c r="L538" s="1974"/>
      <c r="M538" s="2314"/>
      <c r="N538" s="1249" t="s">
        <v>28399</v>
      </c>
      <c r="O538" s="1974"/>
      <c r="P538" s="1249"/>
      <c r="Q538" s="1249"/>
      <c r="R538" s="2631">
        <f>'Zuschnitt intumestzierendes Mat'!E30</f>
        <v>0</v>
      </c>
      <c r="S538" s="1249"/>
      <c r="T538" s="1249"/>
      <c r="U538" s="1249"/>
      <c r="V538" s="1974"/>
      <c r="W538" s="2092"/>
      <c r="X538" s="2092"/>
      <c r="Y538" s="2092"/>
      <c r="Z538" s="1974"/>
      <c r="AA538" s="1974"/>
      <c r="AB538" s="2092"/>
      <c r="AC538" s="2092"/>
      <c r="AD538" s="2092"/>
      <c r="AE538" s="1974"/>
      <c r="AF538" s="1974"/>
      <c r="AG538" s="1974"/>
      <c r="AH538" s="1974"/>
      <c r="AI538" s="1974"/>
      <c r="AJ538" s="1974"/>
      <c r="AK538" s="1974"/>
      <c r="AL538" s="1974"/>
      <c r="AM538" s="1974"/>
      <c r="AN538" s="1974"/>
      <c r="AO538" s="1114">
        <f>'Zuschnitt intumestzierendes Mat'!G30</f>
        <v>0</v>
      </c>
      <c r="AP538" s="1114">
        <f>'Zuschnitt intumestzierendes Mat'!H30</f>
        <v>0</v>
      </c>
      <c r="AQ538" s="1114">
        <f>'Zuschnitt intumestzierendes Mat'!I30</f>
        <v>0</v>
      </c>
      <c r="AR538" s="1114">
        <f>'Zuschnitt intumestzierendes Mat'!J30</f>
        <v>0</v>
      </c>
      <c r="AS538" s="1188">
        <v>1</v>
      </c>
      <c r="BD538" s="13"/>
      <c r="BF538" s="2135" t="str">
        <f t="shared" si="59"/>
        <v/>
      </c>
      <c r="BG538" s="2135">
        <f t="shared" si="60"/>
        <v>0</v>
      </c>
      <c r="BH538" s="2136" t="s">
        <v>10</v>
      </c>
    </row>
    <row r="539" spans="1:60" ht="24.95" customHeight="1" x14ac:dyDescent="0.25">
      <c r="A539" s="1076" t="s">
        <v>5</v>
      </c>
      <c r="B539" s="1973">
        <f>'Zuschnitt intumestzierendes Mat'!C31</f>
        <v>0</v>
      </c>
      <c r="C539" s="2314"/>
      <c r="D539" s="202" t="str">
        <f>'Zuschnitt intumestzierendes Mat'!F31</f>
        <v/>
      </c>
      <c r="E539" s="2314"/>
      <c r="F539" s="32">
        <f t="shared" si="56"/>
        <v>0</v>
      </c>
      <c r="G539" s="2314"/>
      <c r="H539" s="32">
        <f t="shared" si="57"/>
        <v>0</v>
      </c>
      <c r="I539" s="2314"/>
      <c r="J539" s="32">
        <f t="shared" si="58"/>
        <v>0</v>
      </c>
      <c r="K539" s="2314"/>
      <c r="L539" s="1974"/>
      <c r="M539" s="2314"/>
      <c r="N539" s="1249" t="s">
        <v>28399</v>
      </c>
      <c r="O539" s="1974"/>
      <c r="P539" s="1249"/>
      <c r="Q539" s="1249"/>
      <c r="R539" s="2631">
        <f>'Zuschnitt intumestzierendes Mat'!E31</f>
        <v>0</v>
      </c>
      <c r="S539" s="1249"/>
      <c r="T539" s="1249"/>
      <c r="U539" s="1249"/>
      <c r="V539" s="1974"/>
      <c r="W539" s="2092"/>
      <c r="X539" s="2092"/>
      <c r="Y539" s="2092"/>
      <c r="Z539" s="1974"/>
      <c r="AA539" s="1974"/>
      <c r="AB539" s="2092"/>
      <c r="AC539" s="2092"/>
      <c r="AD539" s="2092"/>
      <c r="AE539" s="1974"/>
      <c r="AF539" s="1974"/>
      <c r="AG539" s="1974"/>
      <c r="AH539" s="1974"/>
      <c r="AI539" s="1974"/>
      <c r="AJ539" s="1974"/>
      <c r="AK539" s="1974"/>
      <c r="AL539" s="1974"/>
      <c r="AM539" s="1974"/>
      <c r="AN539" s="1974"/>
      <c r="AO539" s="1114">
        <f>'Zuschnitt intumestzierendes Mat'!G31</f>
        <v>0</v>
      </c>
      <c r="AP539" s="1114">
        <f>'Zuschnitt intumestzierendes Mat'!H31</f>
        <v>0</v>
      </c>
      <c r="AQ539" s="1114">
        <f>'Zuschnitt intumestzierendes Mat'!I31</f>
        <v>0</v>
      </c>
      <c r="AR539" s="1114">
        <f>'Zuschnitt intumestzierendes Mat'!J31</f>
        <v>0</v>
      </c>
      <c r="AS539" s="1188">
        <v>1</v>
      </c>
      <c r="BD539" s="13"/>
      <c r="BF539" s="2135" t="str">
        <f t="shared" si="59"/>
        <v/>
      </c>
      <c r="BG539" s="2135">
        <f t="shared" si="60"/>
        <v>0</v>
      </c>
      <c r="BH539" s="2136" t="s">
        <v>10</v>
      </c>
    </row>
    <row r="540" spans="1:60" ht="24.95" customHeight="1" x14ac:dyDescent="0.25">
      <c r="A540" s="1076" t="s">
        <v>5</v>
      </c>
      <c r="B540" s="1973">
        <f>'Zuschnitt intumestzierendes Mat'!C32</f>
        <v>0</v>
      </c>
      <c r="C540" s="2314"/>
      <c r="D540" s="202">
        <f>'Zuschnitt intumestzierendes Mat'!F32</f>
        <v>0</v>
      </c>
      <c r="E540" s="2314"/>
      <c r="F540" s="32">
        <f t="shared" ref="F540:F542" si="61">IF(AS540&gt;0,AO540,0)</f>
        <v>0</v>
      </c>
      <c r="G540" s="2314"/>
      <c r="H540" s="32">
        <f t="shared" ref="H540:H542" si="62">IF(N540=$P$1,0,AP540)</f>
        <v>0</v>
      </c>
      <c r="I540" s="2314"/>
      <c r="J540" s="32">
        <f t="shared" ref="J540:J542" si="63">IF(OR(N540=$P$1,N540=$Q$1),0,AQ540)</f>
        <v>0</v>
      </c>
      <c r="K540" s="2314"/>
      <c r="L540" s="1974"/>
      <c r="M540" s="2314"/>
      <c r="N540" s="1249" t="s">
        <v>28399</v>
      </c>
      <c r="O540" s="1974"/>
      <c r="P540" s="1249"/>
      <c r="Q540" s="1249"/>
      <c r="R540" s="2631">
        <f>'Zuschnitt intumestzierendes Mat'!E32</f>
        <v>0</v>
      </c>
      <c r="S540" s="1249"/>
      <c r="T540" s="1249"/>
      <c r="U540" s="1249"/>
      <c r="V540" s="1974"/>
      <c r="W540" s="2092"/>
      <c r="X540" s="2092"/>
      <c r="Y540" s="2092"/>
      <c r="Z540" s="1974"/>
      <c r="AA540" s="1974"/>
      <c r="AB540" s="2092"/>
      <c r="AC540" s="2092"/>
      <c r="AD540" s="2092"/>
      <c r="AE540" s="1974"/>
      <c r="AF540" s="1974"/>
      <c r="AG540" s="1974"/>
      <c r="AH540" s="1974"/>
      <c r="AI540" s="1974"/>
      <c r="AJ540" s="1974"/>
      <c r="AK540" s="1974"/>
      <c r="AL540" s="1974"/>
      <c r="AM540" s="1974"/>
      <c r="AN540" s="1974"/>
      <c r="AO540" s="1114">
        <f>'Zuschnitt intumestzierendes Mat'!G32</f>
        <v>0</v>
      </c>
      <c r="AP540" s="1114">
        <f>'Zuschnitt intumestzierendes Mat'!H32</f>
        <v>0</v>
      </c>
      <c r="AQ540" s="1114">
        <f>'Zuschnitt intumestzierendes Mat'!I32</f>
        <v>0</v>
      </c>
      <c r="AR540" s="1114">
        <f>'Zuschnitt intumestzierendes Mat'!J32</f>
        <v>0</v>
      </c>
      <c r="AS540" s="1188">
        <v>1</v>
      </c>
      <c r="BD540" s="13"/>
      <c r="BF540" s="2135">
        <f t="shared" ref="BF540:BF542" si="64">D540</f>
        <v>0</v>
      </c>
      <c r="BG540" s="2135">
        <f t="shared" ref="BG540:BG542" si="65">F540*H540/1000*J540/1000</f>
        <v>0</v>
      </c>
      <c r="BH540" s="2136" t="s">
        <v>10</v>
      </c>
    </row>
    <row r="541" spans="1:60" ht="24.95" customHeight="1" x14ac:dyDescent="0.25">
      <c r="A541" s="1076" t="s">
        <v>5</v>
      </c>
      <c r="B541" s="1973">
        <f>'Zuschnitt intumestzierendes Mat'!C33</f>
        <v>0</v>
      </c>
      <c r="C541" s="2314"/>
      <c r="D541" s="202">
        <f>'Zuschnitt intumestzierendes Mat'!F33</f>
        <v>0</v>
      </c>
      <c r="E541" s="2314"/>
      <c r="F541" s="32">
        <f t="shared" si="61"/>
        <v>0</v>
      </c>
      <c r="G541" s="2314"/>
      <c r="H541" s="32">
        <f t="shared" si="62"/>
        <v>0</v>
      </c>
      <c r="I541" s="2314"/>
      <c r="J541" s="32">
        <f t="shared" si="63"/>
        <v>0</v>
      </c>
      <c r="K541" s="2314"/>
      <c r="L541" s="1974"/>
      <c r="M541" s="2314"/>
      <c r="N541" s="1249" t="s">
        <v>28399</v>
      </c>
      <c r="O541" s="1974"/>
      <c r="P541" s="1249"/>
      <c r="Q541" s="1249"/>
      <c r="R541" s="2631">
        <f>'Zuschnitt intumestzierendes Mat'!E33</f>
        <v>0</v>
      </c>
      <c r="S541" s="1249"/>
      <c r="T541" s="1249"/>
      <c r="U541" s="1249"/>
      <c r="V541" s="1974"/>
      <c r="W541" s="2092"/>
      <c r="X541" s="2092"/>
      <c r="Y541" s="2092"/>
      <c r="Z541" s="1974"/>
      <c r="AA541" s="1974"/>
      <c r="AB541" s="2092"/>
      <c r="AC541" s="2092"/>
      <c r="AD541" s="2092"/>
      <c r="AE541" s="1974"/>
      <c r="AF541" s="1974"/>
      <c r="AG541" s="1974"/>
      <c r="AH541" s="1974"/>
      <c r="AI541" s="1974"/>
      <c r="AJ541" s="1974"/>
      <c r="AK541" s="1974"/>
      <c r="AL541" s="1974"/>
      <c r="AM541" s="1974"/>
      <c r="AN541" s="1974"/>
      <c r="AO541" s="1114">
        <f>'Zuschnitt intumestzierendes Mat'!G33</f>
        <v>0</v>
      </c>
      <c r="AP541" s="1114">
        <f>'Zuschnitt intumestzierendes Mat'!H33</f>
        <v>0</v>
      </c>
      <c r="AQ541" s="1114">
        <f>'Zuschnitt intumestzierendes Mat'!I33</f>
        <v>0</v>
      </c>
      <c r="AR541" s="1114">
        <f>'Zuschnitt intumestzierendes Mat'!J33</f>
        <v>0</v>
      </c>
      <c r="AS541" s="1188">
        <v>1</v>
      </c>
      <c r="BD541" s="13"/>
      <c r="BF541" s="2135">
        <f t="shared" si="64"/>
        <v>0</v>
      </c>
      <c r="BG541" s="2135">
        <f t="shared" si="65"/>
        <v>0</v>
      </c>
      <c r="BH541" s="2136" t="s">
        <v>10</v>
      </c>
    </row>
    <row r="542" spans="1:60" ht="24.95" customHeight="1" x14ac:dyDescent="0.25">
      <c r="A542" s="1076" t="s">
        <v>5</v>
      </c>
      <c r="B542" s="1973">
        <f>'Zuschnitt intumestzierendes Mat'!C34</f>
        <v>0</v>
      </c>
      <c r="C542" s="2314"/>
      <c r="D542" s="202">
        <f>'Zuschnitt intumestzierendes Mat'!F34</f>
        <v>0</v>
      </c>
      <c r="E542" s="2314"/>
      <c r="F542" s="32">
        <f t="shared" si="61"/>
        <v>0</v>
      </c>
      <c r="G542" s="2314"/>
      <c r="H542" s="32">
        <f t="shared" si="62"/>
        <v>0</v>
      </c>
      <c r="I542" s="2314"/>
      <c r="J542" s="32">
        <f t="shared" si="63"/>
        <v>0</v>
      </c>
      <c r="K542" s="2314"/>
      <c r="L542" s="1974"/>
      <c r="M542" s="2314"/>
      <c r="N542" s="1249" t="s">
        <v>28399</v>
      </c>
      <c r="O542" s="1974"/>
      <c r="P542" s="1249"/>
      <c r="Q542" s="1249"/>
      <c r="R542" s="2631">
        <f>'Zuschnitt intumestzierendes Mat'!E34</f>
        <v>0</v>
      </c>
      <c r="S542" s="1249"/>
      <c r="T542" s="1249"/>
      <c r="U542" s="1249"/>
      <c r="V542" s="1974"/>
      <c r="W542" s="2092"/>
      <c r="X542" s="2092"/>
      <c r="Y542" s="2092"/>
      <c r="Z542" s="1974"/>
      <c r="AA542" s="1974"/>
      <c r="AB542" s="2092"/>
      <c r="AC542" s="2092"/>
      <c r="AD542" s="2092"/>
      <c r="AE542" s="1974"/>
      <c r="AF542" s="1974"/>
      <c r="AG542" s="1974"/>
      <c r="AH542" s="1974"/>
      <c r="AI542" s="1974"/>
      <c r="AJ542" s="1974"/>
      <c r="AK542" s="1974"/>
      <c r="AL542" s="1974"/>
      <c r="AM542" s="1974"/>
      <c r="AN542" s="1974"/>
      <c r="AO542" s="1114">
        <f>'Zuschnitt intumestzierendes Mat'!G34</f>
        <v>0</v>
      </c>
      <c r="AP542" s="1114">
        <f>'Zuschnitt intumestzierendes Mat'!H34</f>
        <v>0</v>
      </c>
      <c r="AQ542" s="1114">
        <f>'Zuschnitt intumestzierendes Mat'!I34</f>
        <v>0</v>
      </c>
      <c r="AR542" s="1114">
        <f>'Zuschnitt intumestzierendes Mat'!J34</f>
        <v>0</v>
      </c>
      <c r="AS542" s="1188">
        <v>1</v>
      </c>
      <c r="BD542" s="13"/>
      <c r="BF542" s="2135">
        <f t="shared" si="64"/>
        <v>0</v>
      </c>
      <c r="BG542" s="2135">
        <f t="shared" si="65"/>
        <v>0</v>
      </c>
      <c r="BH542" s="2136" t="s">
        <v>10</v>
      </c>
    </row>
    <row r="543" spans="1:60" ht="24.95" customHeight="1" x14ac:dyDescent="0.25">
      <c r="A543" s="1076" t="s">
        <v>5</v>
      </c>
      <c r="B543" s="1973">
        <f>'Zuschnitt intumestzierendes Mat'!C35</f>
        <v>0</v>
      </c>
      <c r="C543" s="2314"/>
      <c r="D543" s="202" t="str">
        <f>'Zuschnitt intumestzierendes Mat'!F35</f>
        <v/>
      </c>
      <c r="E543" s="2314"/>
      <c r="F543" s="32">
        <f t="shared" si="56"/>
        <v>0</v>
      </c>
      <c r="G543" s="2314"/>
      <c r="H543" s="32">
        <f t="shared" si="57"/>
        <v>0</v>
      </c>
      <c r="I543" s="2314"/>
      <c r="J543" s="32">
        <f t="shared" si="58"/>
        <v>0</v>
      </c>
      <c r="K543" s="2314"/>
      <c r="L543" s="1974"/>
      <c r="M543" s="2314"/>
      <c r="N543" s="1249" t="s">
        <v>28399</v>
      </c>
      <c r="O543" s="1974"/>
      <c r="P543" s="1249"/>
      <c r="Q543" s="1249"/>
      <c r="R543" s="2631">
        <f>'Zuschnitt intumestzierendes Mat'!E35</f>
        <v>0</v>
      </c>
      <c r="S543" s="1249"/>
      <c r="T543" s="1249"/>
      <c r="U543" s="1249"/>
      <c r="V543" s="1974"/>
      <c r="W543" s="2092"/>
      <c r="X543" s="2092"/>
      <c r="Y543" s="2092"/>
      <c r="Z543" s="1974"/>
      <c r="AA543" s="1974"/>
      <c r="AB543" s="2092"/>
      <c r="AC543" s="2092"/>
      <c r="AD543" s="2092"/>
      <c r="AE543" s="1974"/>
      <c r="AF543" s="1974"/>
      <c r="AG543" s="1974"/>
      <c r="AH543" s="1974"/>
      <c r="AI543" s="1974"/>
      <c r="AJ543" s="1974"/>
      <c r="AK543" s="1974"/>
      <c r="AL543" s="1974"/>
      <c r="AM543" s="1974"/>
      <c r="AN543" s="1974"/>
      <c r="AO543" s="1114">
        <f>'Zuschnitt intumestzierendes Mat'!G35</f>
        <v>0</v>
      </c>
      <c r="AP543" s="1114">
        <f>'Zuschnitt intumestzierendes Mat'!H35</f>
        <v>0</v>
      </c>
      <c r="AQ543" s="1114">
        <f>'Zuschnitt intumestzierendes Mat'!I35</f>
        <v>0</v>
      </c>
      <c r="AR543" s="1114">
        <f>'Zuschnitt intumestzierendes Mat'!J35</f>
        <v>0</v>
      </c>
      <c r="AS543" s="1188">
        <v>1</v>
      </c>
      <c r="BD543" s="13"/>
      <c r="BF543" s="2135" t="str">
        <f t="shared" si="59"/>
        <v/>
      </c>
      <c r="BG543" s="2135">
        <f t="shared" si="60"/>
        <v>0</v>
      </c>
      <c r="BH543" s="2136" t="s">
        <v>10</v>
      </c>
    </row>
    <row r="544" spans="1:60" ht="24.95" customHeight="1" x14ac:dyDescent="0.25">
      <c r="A544" s="1076" t="s">
        <v>5</v>
      </c>
      <c r="B544" s="1973">
        <f>'Zuschnitt intumestzierendes Mat'!C36</f>
        <v>0</v>
      </c>
      <c r="C544" s="2314"/>
      <c r="D544" s="202" t="str">
        <f>'Zuschnitt intumestzierendes Mat'!F36</f>
        <v/>
      </c>
      <c r="E544" s="2314"/>
      <c r="F544" s="32">
        <f t="shared" si="56"/>
        <v>0</v>
      </c>
      <c r="G544" s="2314"/>
      <c r="H544" s="32">
        <f t="shared" si="57"/>
        <v>0</v>
      </c>
      <c r="I544" s="2314"/>
      <c r="J544" s="32">
        <f t="shared" si="58"/>
        <v>0</v>
      </c>
      <c r="K544" s="2314"/>
      <c r="L544" s="1974"/>
      <c r="M544" s="2314"/>
      <c r="N544" s="1249" t="s">
        <v>28399</v>
      </c>
      <c r="O544" s="1974"/>
      <c r="P544" s="1249"/>
      <c r="Q544" s="1249"/>
      <c r="R544" s="2631">
        <f>'Zuschnitt intumestzierendes Mat'!E36</f>
        <v>0</v>
      </c>
      <c r="S544" s="1249"/>
      <c r="T544" s="1249"/>
      <c r="U544" s="1249"/>
      <c r="V544" s="1974"/>
      <c r="W544" s="2092"/>
      <c r="X544" s="2092"/>
      <c r="Y544" s="2092"/>
      <c r="Z544" s="1974"/>
      <c r="AA544" s="1974"/>
      <c r="AB544" s="2092"/>
      <c r="AC544" s="2092"/>
      <c r="AD544" s="2092"/>
      <c r="AE544" s="1974"/>
      <c r="AF544" s="1974"/>
      <c r="AG544" s="1974"/>
      <c r="AH544" s="1974"/>
      <c r="AI544" s="1974"/>
      <c r="AJ544" s="1974"/>
      <c r="AK544" s="1974"/>
      <c r="AL544" s="1974"/>
      <c r="AM544" s="1974"/>
      <c r="AN544" s="1974"/>
      <c r="AO544" s="1114">
        <f>'Zuschnitt intumestzierendes Mat'!G36</f>
        <v>0</v>
      </c>
      <c r="AP544" s="1114">
        <f>'Zuschnitt intumestzierendes Mat'!H36</f>
        <v>0</v>
      </c>
      <c r="AQ544" s="1114">
        <f>'Zuschnitt intumestzierendes Mat'!I36</f>
        <v>0</v>
      </c>
      <c r="AR544" s="1114">
        <f>'Zuschnitt intumestzierendes Mat'!J36</f>
        <v>0</v>
      </c>
      <c r="AS544" s="1188">
        <v>1</v>
      </c>
      <c r="BD544" s="13"/>
      <c r="BF544" s="2135" t="str">
        <f t="shared" si="59"/>
        <v/>
      </c>
      <c r="BG544" s="2135">
        <f t="shared" si="60"/>
        <v>0</v>
      </c>
      <c r="BH544" s="2136" t="s">
        <v>10</v>
      </c>
    </row>
    <row r="545" spans="1:60" ht="24.95" customHeight="1" x14ac:dyDescent="0.25">
      <c r="A545" s="1076" t="s">
        <v>27949</v>
      </c>
      <c r="B545" s="1510" t="str">
        <f>'Zuschnitt Intumest Blöcke'!AD17</f>
        <v xml:space="preserve">0204004/Promaseal - PL , schwarz </v>
      </c>
      <c r="C545" s="2314"/>
      <c r="D545" s="30" t="str">
        <f>'Zuschnitt Intumest Blöcke'!AB17</f>
        <v>0204004</v>
      </c>
      <c r="E545" s="2314"/>
      <c r="F545" s="32">
        <f t="shared" si="56"/>
        <v>0</v>
      </c>
      <c r="G545" s="2314"/>
      <c r="H545" s="32">
        <f t="shared" si="57"/>
        <v>0</v>
      </c>
      <c r="I545" s="2314"/>
      <c r="J545" s="32">
        <f t="shared" si="58"/>
        <v>1000</v>
      </c>
      <c r="K545" s="2314"/>
      <c r="L545" s="41"/>
      <c r="M545" s="2314"/>
      <c r="N545" s="1249" t="s">
        <v>28399</v>
      </c>
      <c r="O545" s="41"/>
      <c r="P545" s="42"/>
      <c r="Q545" s="42"/>
      <c r="R545" s="42"/>
      <c r="S545" s="42"/>
      <c r="T545" s="42"/>
      <c r="U545" s="42"/>
      <c r="V545" s="41"/>
      <c r="W545" s="60"/>
      <c r="X545" s="60"/>
      <c r="Y545" s="60"/>
      <c r="Z545" s="41"/>
      <c r="AA545" s="41"/>
      <c r="AB545" s="60"/>
      <c r="AC545" s="60"/>
      <c r="AD545" s="60"/>
      <c r="AE545" s="41"/>
      <c r="AF545" s="1974"/>
      <c r="AG545" s="41"/>
      <c r="AH545" s="41"/>
      <c r="AI545" s="41"/>
      <c r="AJ545" s="41"/>
      <c r="AK545" s="41"/>
      <c r="AL545" s="41"/>
      <c r="AM545" s="41"/>
      <c r="AN545" s="41"/>
      <c r="AO545" s="1114">
        <f>IF(AP545&gt;0,1,0)</f>
        <v>0</v>
      </c>
      <c r="AP545" s="1114">
        <f>'Zuschnitt Intumest Blöcke'!AC17*1000</f>
        <v>0</v>
      </c>
      <c r="AQ545" s="1114">
        <v>1000</v>
      </c>
      <c r="AR545" s="1114">
        <v>0</v>
      </c>
      <c r="AS545" s="1188">
        <v>1</v>
      </c>
      <c r="BD545" s="35"/>
      <c r="BF545" s="2135" t="str">
        <f t="shared" si="59"/>
        <v>0204004</v>
      </c>
      <c r="BG545" s="2135">
        <f t="shared" si="60"/>
        <v>0</v>
      </c>
      <c r="BH545" s="2136" t="s">
        <v>10</v>
      </c>
    </row>
    <row r="546" spans="1:60" ht="24.95" customHeight="1" x14ac:dyDescent="0.25">
      <c r="A546" s="1076" t="s">
        <v>27949</v>
      </c>
      <c r="B546" s="1510" t="str">
        <f>'Zuschnitt Intumest Blöcke'!AD18</f>
        <v xml:space="preserve">0204005/Promaseal - PL , rot ,  </v>
      </c>
      <c r="C546" s="2314"/>
      <c r="D546" s="30" t="str">
        <f>'Zuschnitt Intumest Blöcke'!AB18</f>
        <v>0204005</v>
      </c>
      <c r="E546" s="2314"/>
      <c r="F546" s="32">
        <f t="shared" si="56"/>
        <v>0</v>
      </c>
      <c r="G546" s="2314"/>
      <c r="H546" s="32">
        <f t="shared" si="57"/>
        <v>0</v>
      </c>
      <c r="I546" s="2314"/>
      <c r="J546" s="32">
        <f t="shared" si="58"/>
        <v>1000</v>
      </c>
      <c r="K546" s="2314"/>
      <c r="L546" s="41"/>
      <c r="M546" s="2314"/>
      <c r="N546" s="1249" t="s">
        <v>28399</v>
      </c>
      <c r="O546" s="41"/>
      <c r="P546" s="42"/>
      <c r="Q546" s="42"/>
      <c r="R546" s="42"/>
      <c r="S546" s="42"/>
      <c r="T546" s="42"/>
      <c r="U546" s="42"/>
      <c r="V546" s="41"/>
      <c r="W546" s="60"/>
      <c r="X546" s="60"/>
      <c r="Y546" s="60"/>
      <c r="Z546" s="41"/>
      <c r="AA546" s="41"/>
      <c r="AB546" s="60"/>
      <c r="AC546" s="60"/>
      <c r="AD546" s="60"/>
      <c r="AE546" s="41"/>
      <c r="AF546" s="1974"/>
      <c r="AG546" s="41"/>
      <c r="AH546" s="41"/>
      <c r="AI546" s="41"/>
      <c r="AJ546" s="41"/>
      <c r="AK546" s="41"/>
      <c r="AL546" s="41"/>
      <c r="AM546" s="41"/>
      <c r="AN546" s="41"/>
      <c r="AO546" s="1114">
        <f>IF(AP546&gt;0,1,0)</f>
        <v>0</v>
      </c>
      <c r="AP546" s="1114">
        <f>'Zuschnitt Intumest Blöcke'!AC18*1000</f>
        <v>0</v>
      </c>
      <c r="AQ546" s="1114">
        <v>1000</v>
      </c>
      <c r="AR546" s="1114">
        <v>0</v>
      </c>
      <c r="AS546" s="1188">
        <v>1</v>
      </c>
      <c r="BD546" s="35"/>
      <c r="BF546" s="2135" t="str">
        <f t="shared" si="59"/>
        <v>0204005</v>
      </c>
      <c r="BG546" s="2135">
        <f t="shared" si="60"/>
        <v>0</v>
      </c>
      <c r="BH546" s="2136" t="s">
        <v>10</v>
      </c>
    </row>
    <row r="547" spans="1:60" ht="24.95" customHeight="1" x14ac:dyDescent="0.25">
      <c r="A547" s="1076" t="s">
        <v>27949</v>
      </c>
      <c r="B547" s="1510" t="str">
        <f>'Zuschnitt Intumest Blöcke'!AD23</f>
        <v>0204150/Firefly 102    2 mm</v>
      </c>
      <c r="C547" s="2314"/>
      <c r="D547" s="949" t="str">
        <f>'Zuschnitt Intumest Blöcke'!AB23</f>
        <v>0204150</v>
      </c>
      <c r="E547" s="2314"/>
      <c r="F547" s="32">
        <f t="shared" si="56"/>
        <v>0</v>
      </c>
      <c r="G547" s="2314"/>
      <c r="H547" s="32">
        <f t="shared" si="57"/>
        <v>0</v>
      </c>
      <c r="I547" s="2314"/>
      <c r="J547" s="32">
        <f t="shared" si="58"/>
        <v>1000</v>
      </c>
      <c r="K547" s="2314"/>
      <c r="L547" s="41"/>
      <c r="M547" s="2314"/>
      <c r="N547" s="1249" t="s">
        <v>28399</v>
      </c>
      <c r="O547" s="41"/>
      <c r="P547" s="42"/>
      <c r="Q547" s="42"/>
      <c r="R547" s="42"/>
      <c r="S547" s="42"/>
      <c r="T547" s="42"/>
      <c r="U547" s="42"/>
      <c r="V547" s="41"/>
      <c r="W547" s="60"/>
      <c r="X547" s="60"/>
      <c r="Y547" s="60"/>
      <c r="Z547" s="41"/>
      <c r="AA547" s="41"/>
      <c r="AB547" s="60"/>
      <c r="AC547" s="60"/>
      <c r="AD547" s="60"/>
      <c r="AE547" s="41"/>
      <c r="AF547" s="1974"/>
      <c r="AG547" s="41"/>
      <c r="AH547" s="41"/>
      <c r="AI547" s="41"/>
      <c r="AJ547" s="41"/>
      <c r="AK547" s="41"/>
      <c r="AL547" s="41"/>
      <c r="AM547" s="41"/>
      <c r="AN547" s="41"/>
      <c r="AO547" s="1114">
        <f>IF(AP547&gt;0,1,0)</f>
        <v>0</v>
      </c>
      <c r="AP547" s="1114">
        <f>'Zuschnitt Intumest Blöcke'!AC23*1000</f>
        <v>0</v>
      </c>
      <c r="AQ547" s="1114">
        <v>1000</v>
      </c>
      <c r="AR547" s="1114">
        <v>0</v>
      </c>
      <c r="AS547" s="1188">
        <v>1</v>
      </c>
      <c r="BD547" s="35"/>
      <c r="BF547" s="2135" t="str">
        <f t="shared" si="59"/>
        <v>0204150</v>
      </c>
      <c r="BG547" s="2135">
        <f t="shared" si="60"/>
        <v>0</v>
      </c>
      <c r="BH547" s="2136" t="s">
        <v>10</v>
      </c>
    </row>
    <row r="548" spans="1:60" ht="24.95" customHeight="1" x14ac:dyDescent="0.25">
      <c r="A548" s="1076" t="s">
        <v>27949</v>
      </c>
      <c r="B548" s="1510" t="str">
        <f>'Zuschnitt Intumest Blöcke'!AD24</f>
        <v>0204152/Firefly 102    6 mm</v>
      </c>
      <c r="C548" s="2314"/>
      <c r="D548" s="949" t="str">
        <f>'Zuschnitt Intumest Blöcke'!AB24</f>
        <v>0204152</v>
      </c>
      <c r="E548" s="2314"/>
      <c r="F548" s="32">
        <f t="shared" si="56"/>
        <v>0</v>
      </c>
      <c r="G548" s="2314"/>
      <c r="H548" s="32">
        <f t="shared" si="57"/>
        <v>0</v>
      </c>
      <c r="I548" s="2314"/>
      <c r="J548" s="32">
        <f t="shared" si="58"/>
        <v>1000</v>
      </c>
      <c r="K548" s="2314"/>
      <c r="L548" s="41"/>
      <c r="M548" s="2314"/>
      <c r="N548" s="1249" t="s">
        <v>28399</v>
      </c>
      <c r="O548" s="41"/>
      <c r="P548" s="42"/>
      <c r="Q548" s="42"/>
      <c r="R548" s="42"/>
      <c r="S548" s="42"/>
      <c r="T548" s="42"/>
      <c r="U548" s="42"/>
      <c r="V548" s="41"/>
      <c r="W548" s="60"/>
      <c r="X548" s="60"/>
      <c r="Y548" s="60"/>
      <c r="Z548" s="41"/>
      <c r="AA548" s="41"/>
      <c r="AB548" s="60"/>
      <c r="AC548" s="60"/>
      <c r="AD548" s="60"/>
      <c r="AE548" s="41"/>
      <c r="AF548" s="1974"/>
      <c r="AG548" s="41"/>
      <c r="AH548" s="41"/>
      <c r="AI548" s="41"/>
      <c r="AJ548" s="41"/>
      <c r="AK548" s="41"/>
      <c r="AL548" s="41"/>
      <c r="AM548" s="41"/>
      <c r="AN548" s="41"/>
      <c r="AO548" s="1114">
        <f>IF(AP548&gt;0,1,0)</f>
        <v>0</v>
      </c>
      <c r="AP548" s="1114">
        <f>'Zuschnitt Intumest Blöcke'!AC24*1000</f>
        <v>0</v>
      </c>
      <c r="AQ548" s="1114">
        <v>1000</v>
      </c>
      <c r="AR548" s="1114">
        <v>0</v>
      </c>
      <c r="AS548" s="1188">
        <v>1</v>
      </c>
      <c r="BD548" s="35"/>
      <c r="BF548" s="2135" t="str">
        <f t="shared" si="59"/>
        <v>0204152</v>
      </c>
      <c r="BG548" s="2135">
        <f t="shared" si="60"/>
        <v>0</v>
      </c>
      <c r="BH548" s="2136" t="s">
        <v>10</v>
      </c>
    </row>
    <row r="549" spans="1:60" ht="24.95" customHeight="1" x14ac:dyDescent="0.25">
      <c r="A549" s="337" t="s">
        <v>27849</v>
      </c>
      <c r="B549" s="1511" t="str">
        <f>'Zuschnitt Schieberblatt'!B69</f>
        <v>42</v>
      </c>
      <c r="C549" s="2314"/>
      <c r="D549" s="32" t="str">
        <f>'Zuschnitt Schieberblatt'!F69</f>
        <v/>
      </c>
      <c r="E549" s="2314"/>
      <c r="F549" s="32">
        <f t="shared" ref="F549:F555" si="66">IF(AS549&gt;0,AO549,0)</f>
        <v>0</v>
      </c>
      <c r="G549" s="2314"/>
      <c r="H549" s="32">
        <f t="shared" ref="H549:H592" si="67">IF(N549=$P$1,0,AP549)</f>
        <v>0</v>
      </c>
      <c r="I549" s="2314"/>
      <c r="J549" s="32">
        <f t="shared" ref="J549:J592" si="68">IF(OR(N549=$P$1,N549=$Q$1),0,AQ549)</f>
        <v>0</v>
      </c>
      <c r="K549" s="2314"/>
      <c r="L549" s="43"/>
      <c r="M549" s="2314"/>
      <c r="N549" s="1250" t="s">
        <v>28399</v>
      </c>
      <c r="O549" s="43"/>
      <c r="P549" s="44"/>
      <c r="Q549" s="1250" t="s">
        <v>28877</v>
      </c>
      <c r="R549" s="1518">
        <f>'Zuschnitt Schieberblatt'!E69</f>
        <v>0</v>
      </c>
      <c r="S549" s="44"/>
      <c r="T549" s="44"/>
      <c r="U549" s="44"/>
      <c r="V549" s="43"/>
      <c r="W549" s="60"/>
      <c r="X549" s="60"/>
      <c r="Y549" s="60"/>
      <c r="Z549" s="43"/>
      <c r="AA549" s="43"/>
      <c r="AB549" s="60"/>
      <c r="AC549" s="60"/>
      <c r="AD549" s="60"/>
      <c r="AE549" s="43"/>
      <c r="AF549" s="43"/>
      <c r="AG549" s="43"/>
      <c r="AH549" s="43"/>
      <c r="AI549" s="43"/>
      <c r="AJ549" s="43"/>
      <c r="AK549" s="43"/>
      <c r="AL549" s="43"/>
      <c r="AM549" s="43"/>
      <c r="AN549" s="43"/>
      <c r="AO549" s="1115">
        <f>'Zuschnitt Schieberblatt'!G69</f>
        <v>0</v>
      </c>
      <c r="AP549" s="1115">
        <f>'Zuschnitt Schieberblatt'!H69</f>
        <v>0</v>
      </c>
      <c r="AQ549" s="1115">
        <f>'Zuschnitt Schieberblatt'!I69</f>
        <v>0</v>
      </c>
      <c r="AR549" s="1115"/>
      <c r="AS549" s="1188">
        <v>1</v>
      </c>
      <c r="BD549" s="35"/>
      <c r="BF549" s="2135" t="str">
        <f t="shared" ref="BF549:BF612" si="69">D549</f>
        <v/>
      </c>
      <c r="BG549" s="2135">
        <f t="shared" ref="BG549:BG612" si="70">F549*H549/1000*J549/1000</f>
        <v>0</v>
      </c>
      <c r="BH549" s="2136" t="s">
        <v>10</v>
      </c>
    </row>
    <row r="550" spans="1:60" ht="24.95" customHeight="1" x14ac:dyDescent="0.25">
      <c r="A550" s="337" t="s">
        <v>27849</v>
      </c>
      <c r="B550" s="1511" t="str">
        <f>'Zuschnitt Schieberblatt'!B70</f>
        <v>43</v>
      </c>
      <c r="C550" s="2314"/>
      <c r="D550" s="32" t="str">
        <f>'Zuschnitt Schieberblatt'!F70</f>
        <v/>
      </c>
      <c r="E550" s="2314"/>
      <c r="F550" s="32">
        <f t="shared" si="66"/>
        <v>0</v>
      </c>
      <c r="G550" s="2314"/>
      <c r="H550" s="32">
        <f t="shared" si="67"/>
        <v>0</v>
      </c>
      <c r="I550" s="2314"/>
      <c r="J550" s="32">
        <f t="shared" si="68"/>
        <v>0</v>
      </c>
      <c r="K550" s="2314"/>
      <c r="L550" s="43"/>
      <c r="M550" s="2314"/>
      <c r="N550" s="1250" t="s">
        <v>28399</v>
      </c>
      <c r="O550" s="43"/>
      <c r="P550" s="44"/>
      <c r="Q550" s="1250" t="s">
        <v>28877</v>
      </c>
      <c r="R550" s="1518">
        <f>'Zuschnitt Schieberblatt'!E70</f>
        <v>0</v>
      </c>
      <c r="S550" s="44"/>
      <c r="T550" s="44"/>
      <c r="U550" s="44"/>
      <c r="V550" s="43"/>
      <c r="W550" s="60"/>
      <c r="X550" s="60"/>
      <c r="Y550" s="60"/>
      <c r="Z550" s="43"/>
      <c r="AA550" s="43"/>
      <c r="AB550" s="60"/>
      <c r="AC550" s="60"/>
      <c r="AD550" s="60"/>
      <c r="AE550" s="43"/>
      <c r="AF550" s="43"/>
      <c r="AG550" s="43"/>
      <c r="AH550" s="43"/>
      <c r="AI550" s="43"/>
      <c r="AJ550" s="43"/>
      <c r="AK550" s="43"/>
      <c r="AL550" s="43"/>
      <c r="AM550" s="43"/>
      <c r="AN550" s="43"/>
      <c r="AO550" s="1115">
        <f>'Zuschnitt Schieberblatt'!G70</f>
        <v>0</v>
      </c>
      <c r="AP550" s="1115">
        <f>'Zuschnitt Schieberblatt'!H70</f>
        <v>0</v>
      </c>
      <c r="AQ550" s="1115">
        <f>'Zuschnitt Schieberblatt'!I70</f>
        <v>0</v>
      </c>
      <c r="AR550" s="1115"/>
      <c r="AS550" s="1188">
        <v>1</v>
      </c>
      <c r="BD550" s="35"/>
      <c r="BF550" s="2135" t="str">
        <f t="shared" si="69"/>
        <v/>
      </c>
      <c r="BG550" s="2135">
        <f t="shared" si="70"/>
        <v>0</v>
      </c>
      <c r="BH550" s="2136" t="s">
        <v>10</v>
      </c>
    </row>
    <row r="551" spans="1:60" ht="24.95" customHeight="1" x14ac:dyDescent="0.25">
      <c r="A551" s="337" t="s">
        <v>27849</v>
      </c>
      <c r="B551" s="1511" t="str">
        <f>'Zuschnitt Schieberblatt'!B71</f>
        <v>44</v>
      </c>
      <c r="C551" s="2314"/>
      <c r="D551" s="32" t="str">
        <f>'Zuschnitt Schieberblatt'!F71</f>
        <v/>
      </c>
      <c r="E551" s="2314"/>
      <c r="F551" s="32">
        <f t="shared" si="66"/>
        <v>0</v>
      </c>
      <c r="G551" s="2314"/>
      <c r="H551" s="32">
        <f t="shared" si="67"/>
        <v>0</v>
      </c>
      <c r="I551" s="2314"/>
      <c r="J551" s="32">
        <f t="shared" si="68"/>
        <v>0</v>
      </c>
      <c r="K551" s="2314"/>
      <c r="L551" s="43"/>
      <c r="M551" s="2314"/>
      <c r="N551" s="1250" t="s">
        <v>28399</v>
      </c>
      <c r="O551" s="43"/>
      <c r="P551" s="44"/>
      <c r="Q551" s="1250" t="s">
        <v>28877</v>
      </c>
      <c r="R551" s="1518">
        <f>'Zuschnitt Schieberblatt'!E71</f>
        <v>0</v>
      </c>
      <c r="S551" s="44"/>
      <c r="T551" s="44"/>
      <c r="U551" s="44"/>
      <c r="V551" s="43"/>
      <c r="W551" s="60"/>
      <c r="X551" s="60"/>
      <c r="Y551" s="60"/>
      <c r="Z551" s="43"/>
      <c r="AA551" s="43"/>
      <c r="AB551" s="60"/>
      <c r="AC551" s="60"/>
      <c r="AD551" s="60"/>
      <c r="AE551" s="43"/>
      <c r="AF551" s="43"/>
      <c r="AG551" s="43"/>
      <c r="AH551" s="43"/>
      <c r="AI551" s="43"/>
      <c r="AJ551" s="43"/>
      <c r="AK551" s="43"/>
      <c r="AL551" s="43"/>
      <c r="AM551" s="43"/>
      <c r="AN551" s="43"/>
      <c r="AO551" s="1115">
        <f>'Zuschnitt Schieberblatt'!G71</f>
        <v>0</v>
      </c>
      <c r="AP551" s="1115">
        <f>'Zuschnitt Schieberblatt'!H71</f>
        <v>0</v>
      </c>
      <c r="AQ551" s="1115">
        <f>'Zuschnitt Schieberblatt'!I71</f>
        <v>0</v>
      </c>
      <c r="AR551" s="1115"/>
      <c r="AS551" s="1188">
        <v>1</v>
      </c>
      <c r="BD551" s="35"/>
      <c r="BF551" s="2135" t="str">
        <f t="shared" si="69"/>
        <v/>
      </c>
      <c r="BG551" s="2135">
        <f t="shared" si="70"/>
        <v>0</v>
      </c>
      <c r="BH551" s="2136" t="s">
        <v>10</v>
      </c>
    </row>
    <row r="552" spans="1:60" ht="24.95" customHeight="1" x14ac:dyDescent="0.25">
      <c r="A552" s="337" t="s">
        <v>27849</v>
      </c>
      <c r="B552" s="1511" t="str">
        <f>'Zuschnitt Schieberblatt'!B72</f>
        <v>45</v>
      </c>
      <c r="C552" s="2314"/>
      <c r="D552" s="32" t="str">
        <f>'Zuschnitt Schieberblatt'!F72</f>
        <v/>
      </c>
      <c r="E552" s="2314"/>
      <c r="F552" s="32">
        <f t="shared" si="66"/>
        <v>0</v>
      </c>
      <c r="G552" s="2314"/>
      <c r="H552" s="32">
        <f t="shared" si="67"/>
        <v>0</v>
      </c>
      <c r="I552" s="2314"/>
      <c r="J552" s="32">
        <f t="shared" si="68"/>
        <v>0</v>
      </c>
      <c r="K552" s="2314"/>
      <c r="L552" s="43"/>
      <c r="M552" s="2314"/>
      <c r="N552" s="1250" t="s">
        <v>28399</v>
      </c>
      <c r="O552" s="43"/>
      <c r="P552" s="44"/>
      <c r="Q552" s="1250" t="s">
        <v>28877</v>
      </c>
      <c r="R552" s="1518">
        <f>'Zuschnitt Schieberblatt'!E72</f>
        <v>0</v>
      </c>
      <c r="S552" s="44"/>
      <c r="T552" s="44"/>
      <c r="U552" s="44"/>
      <c r="V552" s="43"/>
      <c r="W552" s="60"/>
      <c r="X552" s="60"/>
      <c r="Y552" s="60"/>
      <c r="Z552" s="43"/>
      <c r="AA552" s="43"/>
      <c r="AB552" s="60"/>
      <c r="AC552" s="60"/>
      <c r="AD552" s="60"/>
      <c r="AE552" s="43"/>
      <c r="AF552" s="43"/>
      <c r="AG552" s="43"/>
      <c r="AH552" s="43"/>
      <c r="AI552" s="43"/>
      <c r="AJ552" s="43"/>
      <c r="AK552" s="43"/>
      <c r="AL552" s="43"/>
      <c r="AM552" s="43"/>
      <c r="AN552" s="43"/>
      <c r="AO552" s="1115">
        <f>'Zuschnitt Schieberblatt'!G72</f>
        <v>0</v>
      </c>
      <c r="AP552" s="1115">
        <f>'Zuschnitt Schieberblatt'!H72</f>
        <v>0</v>
      </c>
      <c r="AQ552" s="1115">
        <f>'Zuschnitt Schieberblatt'!I72</f>
        <v>0</v>
      </c>
      <c r="AR552" s="1115"/>
      <c r="AS552" s="1188">
        <v>1</v>
      </c>
      <c r="BD552" s="35"/>
      <c r="BF552" s="2135" t="str">
        <f t="shared" si="69"/>
        <v/>
      </c>
      <c r="BG552" s="2135">
        <f t="shared" si="70"/>
        <v>0</v>
      </c>
      <c r="BH552" s="2136" t="s">
        <v>10</v>
      </c>
    </row>
    <row r="553" spans="1:60" ht="24.95" customHeight="1" x14ac:dyDescent="0.25">
      <c r="A553" s="337" t="s">
        <v>27849</v>
      </c>
      <c r="B553" s="1511" t="str">
        <f>'Zuschnitt Schieberblatt'!B73</f>
        <v>46</v>
      </c>
      <c r="C553" s="2314"/>
      <c r="D553" s="32" t="str">
        <f>'Zuschnitt Schieberblatt'!F73</f>
        <v/>
      </c>
      <c r="E553" s="2314"/>
      <c r="F553" s="32">
        <f t="shared" si="66"/>
        <v>0</v>
      </c>
      <c r="G553" s="2314"/>
      <c r="H553" s="32">
        <f t="shared" si="67"/>
        <v>0</v>
      </c>
      <c r="I553" s="2314"/>
      <c r="J553" s="32">
        <f t="shared" si="68"/>
        <v>0</v>
      </c>
      <c r="K553" s="2314"/>
      <c r="L553" s="43"/>
      <c r="M553" s="2314"/>
      <c r="N553" s="1250" t="s">
        <v>28399</v>
      </c>
      <c r="O553" s="43"/>
      <c r="P553" s="44"/>
      <c r="Q553" s="1250" t="s">
        <v>28877</v>
      </c>
      <c r="R553" s="1518">
        <f>'Zuschnitt Schieberblatt'!E73</f>
        <v>0</v>
      </c>
      <c r="S553" s="44"/>
      <c r="T553" s="44"/>
      <c r="U553" s="44"/>
      <c r="V553" s="43"/>
      <c r="W553" s="60"/>
      <c r="X553" s="60"/>
      <c r="Y553" s="60"/>
      <c r="Z553" s="43"/>
      <c r="AA553" s="43"/>
      <c r="AB553" s="60"/>
      <c r="AC553" s="60"/>
      <c r="AD553" s="60"/>
      <c r="AE553" s="43"/>
      <c r="AF553" s="43"/>
      <c r="AG553" s="43"/>
      <c r="AH553" s="43"/>
      <c r="AI553" s="43"/>
      <c r="AJ553" s="43"/>
      <c r="AK553" s="43"/>
      <c r="AL553" s="43"/>
      <c r="AM553" s="43"/>
      <c r="AN553" s="43"/>
      <c r="AO553" s="1115">
        <f>'Zuschnitt Schieberblatt'!G73</f>
        <v>0</v>
      </c>
      <c r="AP553" s="1115">
        <f>'Zuschnitt Schieberblatt'!H73</f>
        <v>0</v>
      </c>
      <c r="AQ553" s="1115">
        <f>'Zuschnitt Schieberblatt'!I73</f>
        <v>0</v>
      </c>
      <c r="AR553" s="1115"/>
      <c r="AS553" s="1188">
        <v>1</v>
      </c>
      <c r="BD553" s="35"/>
      <c r="BF553" s="2135" t="str">
        <f t="shared" si="69"/>
        <v/>
      </c>
      <c r="BG553" s="2135">
        <f t="shared" si="70"/>
        <v>0</v>
      </c>
      <c r="BH553" s="2136" t="s">
        <v>10</v>
      </c>
    </row>
    <row r="554" spans="1:60" ht="24.95" customHeight="1" x14ac:dyDescent="0.25">
      <c r="A554" s="337" t="s">
        <v>27849</v>
      </c>
      <c r="B554" s="1511" t="str">
        <f>'Zuschnitt Schieberblatt'!B74</f>
        <v>47</v>
      </c>
      <c r="C554" s="2314"/>
      <c r="D554" s="32" t="str">
        <f>'Zuschnitt Schieberblatt'!F74</f>
        <v/>
      </c>
      <c r="E554" s="2314"/>
      <c r="F554" s="32">
        <f t="shared" si="66"/>
        <v>0</v>
      </c>
      <c r="G554" s="2314"/>
      <c r="H554" s="32">
        <f t="shared" si="67"/>
        <v>0</v>
      </c>
      <c r="I554" s="2314"/>
      <c r="J554" s="32">
        <f t="shared" si="68"/>
        <v>0</v>
      </c>
      <c r="K554" s="2314"/>
      <c r="L554" s="43"/>
      <c r="M554" s="2314"/>
      <c r="N554" s="1250" t="s">
        <v>28399</v>
      </c>
      <c r="O554" s="43"/>
      <c r="P554" s="44"/>
      <c r="Q554" s="1250" t="s">
        <v>28877</v>
      </c>
      <c r="R554" s="1518">
        <f>'Zuschnitt Schieberblatt'!E74</f>
        <v>0</v>
      </c>
      <c r="S554" s="44"/>
      <c r="T554" s="44"/>
      <c r="U554" s="44"/>
      <c r="V554" s="43"/>
      <c r="W554" s="60"/>
      <c r="X554" s="60"/>
      <c r="Y554" s="60"/>
      <c r="Z554" s="43"/>
      <c r="AA554" s="43"/>
      <c r="AB554" s="60"/>
      <c r="AC554" s="60"/>
      <c r="AD554" s="60"/>
      <c r="AE554" s="43"/>
      <c r="AF554" s="43"/>
      <c r="AG554" s="43"/>
      <c r="AH554" s="43"/>
      <c r="AI554" s="43"/>
      <c r="AJ554" s="43"/>
      <c r="AK554" s="43"/>
      <c r="AL554" s="43"/>
      <c r="AM554" s="43"/>
      <c r="AN554" s="43"/>
      <c r="AO554" s="1115">
        <f>'Zuschnitt Schieberblatt'!G74</f>
        <v>0</v>
      </c>
      <c r="AP554" s="1115">
        <f>'Zuschnitt Schieberblatt'!H74</f>
        <v>0</v>
      </c>
      <c r="AQ554" s="1115">
        <f>'Zuschnitt Schieberblatt'!I74</f>
        <v>0</v>
      </c>
      <c r="AR554" s="1115"/>
      <c r="AS554" s="1188">
        <v>1</v>
      </c>
      <c r="BD554" s="35"/>
      <c r="BF554" s="2135" t="str">
        <f t="shared" si="69"/>
        <v/>
      </c>
      <c r="BG554" s="2135">
        <f t="shared" si="70"/>
        <v>0</v>
      </c>
      <c r="BH554" s="2136" t="s">
        <v>10</v>
      </c>
    </row>
    <row r="555" spans="1:60" ht="24.95" customHeight="1" x14ac:dyDescent="0.25">
      <c r="A555" s="337" t="s">
        <v>27849</v>
      </c>
      <c r="B555" s="1511" t="str">
        <f>'Zuschnitt Schieberblatt'!B75</f>
        <v>48</v>
      </c>
      <c r="C555" s="2314"/>
      <c r="D555" s="32" t="str">
        <f>'Zuschnitt Schieberblatt'!F75</f>
        <v/>
      </c>
      <c r="E555" s="2314"/>
      <c r="F555" s="32">
        <f t="shared" si="66"/>
        <v>0</v>
      </c>
      <c r="G555" s="2314"/>
      <c r="H555" s="32">
        <f t="shared" si="67"/>
        <v>0</v>
      </c>
      <c r="I555" s="2314"/>
      <c r="J555" s="32">
        <f t="shared" si="68"/>
        <v>0</v>
      </c>
      <c r="K555" s="2314"/>
      <c r="L555" s="43"/>
      <c r="M555" s="2314"/>
      <c r="N555" s="1250" t="s">
        <v>28399</v>
      </c>
      <c r="O555" s="43"/>
      <c r="P555" s="44"/>
      <c r="Q555" s="1250" t="s">
        <v>28877</v>
      </c>
      <c r="R555" s="1518">
        <f>'Zuschnitt Schieberblatt'!E75</f>
        <v>0</v>
      </c>
      <c r="S555" s="44"/>
      <c r="T555" s="44"/>
      <c r="U555" s="44"/>
      <c r="V555" s="43"/>
      <c r="W555" s="60"/>
      <c r="X555" s="60"/>
      <c r="Y555" s="60"/>
      <c r="Z555" s="43"/>
      <c r="AA555" s="43"/>
      <c r="AB555" s="60"/>
      <c r="AC555" s="60"/>
      <c r="AD555" s="60"/>
      <c r="AE555" s="43"/>
      <c r="AF555" s="43"/>
      <c r="AG555" s="43"/>
      <c r="AH555" s="43"/>
      <c r="AI555" s="43"/>
      <c r="AJ555" s="43"/>
      <c r="AK555" s="43"/>
      <c r="AL555" s="43"/>
      <c r="AM555" s="43"/>
      <c r="AN555" s="43"/>
      <c r="AO555" s="1115">
        <f>'Zuschnitt Schieberblatt'!G75</f>
        <v>0</v>
      </c>
      <c r="AP555" s="1115">
        <f>'Zuschnitt Schieberblatt'!H75</f>
        <v>0</v>
      </c>
      <c r="AQ555" s="1115">
        <f>'Zuschnitt Schieberblatt'!I75</f>
        <v>0</v>
      </c>
      <c r="AR555" s="1115"/>
      <c r="AS555" s="1188">
        <v>1</v>
      </c>
      <c r="BD555" s="35"/>
      <c r="BF555" s="2135" t="str">
        <f t="shared" si="69"/>
        <v/>
      </c>
      <c r="BG555" s="2135">
        <f t="shared" si="70"/>
        <v>0</v>
      </c>
      <c r="BH555" s="2136" t="s">
        <v>10</v>
      </c>
    </row>
    <row r="556" spans="1:60" ht="24.95" customHeight="1" x14ac:dyDescent="0.25">
      <c r="A556" s="337" t="s">
        <v>27849</v>
      </c>
      <c r="B556" s="1511" t="str">
        <f>'Zuschnitt Schieberblatt'!B76</f>
        <v>49</v>
      </c>
      <c r="C556" s="2314"/>
      <c r="D556" s="32" t="str">
        <f>'Zuschnitt Schieberblatt'!F76</f>
        <v/>
      </c>
      <c r="E556" s="2314"/>
      <c r="F556" s="32">
        <f t="shared" ref="F556:F563" si="71">IF(AS556&gt;0,AO556,0)</f>
        <v>0</v>
      </c>
      <c r="G556" s="2314"/>
      <c r="H556" s="32">
        <f t="shared" si="67"/>
        <v>0</v>
      </c>
      <c r="I556" s="2314"/>
      <c r="J556" s="32">
        <f t="shared" si="68"/>
        <v>0</v>
      </c>
      <c r="K556" s="2314"/>
      <c r="L556" s="43"/>
      <c r="M556" s="2314"/>
      <c r="N556" s="1250" t="s">
        <v>28399</v>
      </c>
      <c r="O556" s="43"/>
      <c r="P556" s="44"/>
      <c r="Q556" s="1250" t="s">
        <v>28877</v>
      </c>
      <c r="R556" s="1518">
        <f>'Zuschnitt Schieberblatt'!E76</f>
        <v>0</v>
      </c>
      <c r="S556" s="44"/>
      <c r="T556" s="44"/>
      <c r="U556" s="44"/>
      <c r="V556" s="43"/>
      <c r="W556" s="60"/>
      <c r="X556" s="60"/>
      <c r="Y556" s="60"/>
      <c r="Z556" s="43"/>
      <c r="AA556" s="43"/>
      <c r="AB556" s="60"/>
      <c r="AC556" s="60"/>
      <c r="AD556" s="60"/>
      <c r="AE556" s="43"/>
      <c r="AF556" s="43"/>
      <c r="AG556" s="43"/>
      <c r="AH556" s="43"/>
      <c r="AI556" s="43"/>
      <c r="AJ556" s="43"/>
      <c r="AK556" s="43"/>
      <c r="AL556" s="43"/>
      <c r="AM556" s="43"/>
      <c r="AN556" s="43"/>
      <c r="AO556" s="1115">
        <f>'Zuschnitt Schieberblatt'!G76</f>
        <v>0</v>
      </c>
      <c r="AP556" s="1115">
        <f>'Zuschnitt Schieberblatt'!H76</f>
        <v>0</v>
      </c>
      <c r="AQ556" s="1115">
        <f>'Zuschnitt Schieberblatt'!I76</f>
        <v>0</v>
      </c>
      <c r="AR556" s="1115"/>
      <c r="AS556" s="1188">
        <v>1</v>
      </c>
      <c r="BD556" s="35"/>
      <c r="BF556" s="2135" t="str">
        <f t="shared" si="69"/>
        <v/>
      </c>
      <c r="BG556" s="2135">
        <f t="shared" si="70"/>
        <v>0</v>
      </c>
      <c r="BH556" s="2136" t="s">
        <v>10</v>
      </c>
    </row>
    <row r="557" spans="1:60" ht="24.95" customHeight="1" x14ac:dyDescent="0.25">
      <c r="A557" s="337" t="s">
        <v>27849</v>
      </c>
      <c r="B557" s="1511" t="str">
        <f>'Zuschnitt Schieberblatt'!B77</f>
        <v>50</v>
      </c>
      <c r="C557" s="2314"/>
      <c r="D557" s="32" t="str">
        <f>'Zuschnitt Schieberblatt'!F77</f>
        <v/>
      </c>
      <c r="E557" s="2314"/>
      <c r="F557" s="32">
        <f t="shared" si="71"/>
        <v>0</v>
      </c>
      <c r="G557" s="2314"/>
      <c r="H557" s="32">
        <f t="shared" si="67"/>
        <v>0</v>
      </c>
      <c r="I557" s="2314"/>
      <c r="J557" s="32">
        <f t="shared" si="68"/>
        <v>0</v>
      </c>
      <c r="K557" s="2314"/>
      <c r="L557" s="43"/>
      <c r="M557" s="2314"/>
      <c r="N557" s="1250" t="s">
        <v>28399</v>
      </c>
      <c r="O557" s="43"/>
      <c r="P557" s="44"/>
      <c r="Q557" s="1250" t="s">
        <v>28877</v>
      </c>
      <c r="R557" s="1518">
        <f>'Zuschnitt Schieberblatt'!E77</f>
        <v>0</v>
      </c>
      <c r="S557" s="44"/>
      <c r="T557" s="44"/>
      <c r="U557" s="44"/>
      <c r="V557" s="43"/>
      <c r="W557" s="60"/>
      <c r="X557" s="60"/>
      <c r="Y557" s="60"/>
      <c r="Z557" s="43"/>
      <c r="AA557" s="43"/>
      <c r="AB557" s="60"/>
      <c r="AC557" s="60"/>
      <c r="AD557" s="60"/>
      <c r="AE557" s="43"/>
      <c r="AF557" s="43"/>
      <c r="AG557" s="43"/>
      <c r="AH557" s="43"/>
      <c r="AI557" s="43"/>
      <c r="AJ557" s="43"/>
      <c r="AK557" s="43"/>
      <c r="AL557" s="43"/>
      <c r="AM557" s="43"/>
      <c r="AN557" s="43"/>
      <c r="AO557" s="1115">
        <f>'Zuschnitt Schieberblatt'!G77</f>
        <v>0</v>
      </c>
      <c r="AP557" s="1115">
        <f>'Zuschnitt Schieberblatt'!H77</f>
        <v>0</v>
      </c>
      <c r="AQ557" s="1115">
        <f>'Zuschnitt Schieberblatt'!I77</f>
        <v>0</v>
      </c>
      <c r="AR557" s="1115"/>
      <c r="AS557" s="1188">
        <v>1</v>
      </c>
      <c r="BD557" s="35"/>
      <c r="BF557" s="2135" t="str">
        <f t="shared" si="69"/>
        <v/>
      </c>
      <c r="BG557" s="2135">
        <f t="shared" si="70"/>
        <v>0</v>
      </c>
      <c r="BH557" s="2136" t="s">
        <v>10</v>
      </c>
    </row>
    <row r="558" spans="1:60" ht="24.95" customHeight="1" x14ac:dyDescent="0.25">
      <c r="A558" s="337" t="s">
        <v>27849</v>
      </c>
      <c r="B558" s="1511" t="str">
        <f>'Zuschnitt Schieberblatt'!B78</f>
        <v>51</v>
      </c>
      <c r="C558" s="2314"/>
      <c r="D558" s="32" t="str">
        <f>'Zuschnitt Schieberblatt'!F78</f>
        <v/>
      </c>
      <c r="E558" s="2314"/>
      <c r="F558" s="32">
        <f t="shared" si="71"/>
        <v>0</v>
      </c>
      <c r="G558" s="2314"/>
      <c r="H558" s="32">
        <f t="shared" si="67"/>
        <v>0</v>
      </c>
      <c r="I558" s="2314"/>
      <c r="J558" s="32">
        <f t="shared" si="68"/>
        <v>0</v>
      </c>
      <c r="K558" s="2314"/>
      <c r="L558" s="43"/>
      <c r="M558" s="2314"/>
      <c r="N558" s="1250" t="s">
        <v>28399</v>
      </c>
      <c r="O558" s="43"/>
      <c r="P558" s="44"/>
      <c r="Q558" s="1250" t="s">
        <v>28877</v>
      </c>
      <c r="R558" s="1518">
        <f>'Zuschnitt Schieberblatt'!E78</f>
        <v>0</v>
      </c>
      <c r="S558" s="44"/>
      <c r="T558" s="44"/>
      <c r="U558" s="44"/>
      <c r="V558" s="43"/>
      <c r="W558" s="60"/>
      <c r="X558" s="60"/>
      <c r="Y558" s="60"/>
      <c r="Z558" s="43"/>
      <c r="AA558" s="43"/>
      <c r="AB558" s="60"/>
      <c r="AC558" s="60"/>
      <c r="AD558" s="60"/>
      <c r="AE558" s="43"/>
      <c r="AF558" s="43"/>
      <c r="AG558" s="43"/>
      <c r="AH558" s="43"/>
      <c r="AI558" s="43"/>
      <c r="AJ558" s="43"/>
      <c r="AK558" s="43"/>
      <c r="AL558" s="43"/>
      <c r="AM558" s="43"/>
      <c r="AN558" s="43"/>
      <c r="AO558" s="1115">
        <f>'Zuschnitt Schieberblatt'!G78</f>
        <v>0</v>
      </c>
      <c r="AP558" s="1115">
        <f>'Zuschnitt Schieberblatt'!H78</f>
        <v>0</v>
      </c>
      <c r="AQ558" s="1115">
        <f>'Zuschnitt Schieberblatt'!I78</f>
        <v>0</v>
      </c>
      <c r="AR558" s="1115"/>
      <c r="AS558" s="1188">
        <v>1</v>
      </c>
      <c r="BD558" s="35"/>
      <c r="BF558" s="2135" t="str">
        <f t="shared" si="69"/>
        <v/>
      </c>
      <c r="BG558" s="2135">
        <f t="shared" si="70"/>
        <v>0</v>
      </c>
      <c r="BH558" s="2136" t="s">
        <v>10</v>
      </c>
    </row>
    <row r="559" spans="1:60" ht="24.95" customHeight="1" x14ac:dyDescent="0.25">
      <c r="A559" s="337" t="s">
        <v>27849</v>
      </c>
      <c r="B559" s="1511" t="str">
        <f>'Zuschnitt Schieberblatt'!B79</f>
        <v>52</v>
      </c>
      <c r="C559" s="2314"/>
      <c r="D559" s="32" t="str">
        <f>'Zuschnitt Schieberblatt'!F79</f>
        <v/>
      </c>
      <c r="E559" s="2314"/>
      <c r="F559" s="32">
        <f t="shared" si="71"/>
        <v>0</v>
      </c>
      <c r="G559" s="2314"/>
      <c r="H559" s="32">
        <f t="shared" si="67"/>
        <v>0</v>
      </c>
      <c r="I559" s="2314"/>
      <c r="J559" s="32">
        <f t="shared" si="68"/>
        <v>0</v>
      </c>
      <c r="K559" s="2314"/>
      <c r="L559" s="43"/>
      <c r="M559" s="2314"/>
      <c r="N559" s="1250" t="s">
        <v>28399</v>
      </c>
      <c r="O559" s="43"/>
      <c r="P559" s="44"/>
      <c r="Q559" s="1250" t="s">
        <v>28877</v>
      </c>
      <c r="R559" s="1518">
        <f>'Zuschnitt Schieberblatt'!E79</f>
        <v>0</v>
      </c>
      <c r="S559" s="44"/>
      <c r="T559" s="44"/>
      <c r="U559" s="44"/>
      <c r="V559" s="43"/>
      <c r="W559" s="60"/>
      <c r="X559" s="60"/>
      <c r="Y559" s="60"/>
      <c r="Z559" s="43"/>
      <c r="AA559" s="43"/>
      <c r="AB559" s="60"/>
      <c r="AC559" s="60"/>
      <c r="AD559" s="60"/>
      <c r="AE559" s="43"/>
      <c r="AF559" s="43"/>
      <c r="AG559" s="43"/>
      <c r="AH559" s="43"/>
      <c r="AI559" s="43"/>
      <c r="AJ559" s="43"/>
      <c r="AK559" s="43"/>
      <c r="AL559" s="43"/>
      <c r="AM559" s="43"/>
      <c r="AN559" s="43"/>
      <c r="AO559" s="1115">
        <f>'Zuschnitt Schieberblatt'!G79</f>
        <v>0</v>
      </c>
      <c r="AP559" s="1115">
        <f>'Zuschnitt Schieberblatt'!H79</f>
        <v>0</v>
      </c>
      <c r="AQ559" s="1115">
        <f>'Zuschnitt Schieberblatt'!I79</f>
        <v>0</v>
      </c>
      <c r="AR559" s="1115"/>
      <c r="AS559" s="1188">
        <v>1</v>
      </c>
      <c r="BD559" s="35"/>
      <c r="BF559" s="2135" t="str">
        <f t="shared" si="69"/>
        <v/>
      </c>
      <c r="BG559" s="2135">
        <f t="shared" si="70"/>
        <v>0</v>
      </c>
      <c r="BH559" s="2136" t="s">
        <v>10</v>
      </c>
    </row>
    <row r="560" spans="1:60" ht="24.95" customHeight="1" x14ac:dyDescent="0.25">
      <c r="A560" s="337" t="s">
        <v>27849</v>
      </c>
      <c r="B560" s="1511" t="str">
        <f>'Zuschnitt Schieberblatt'!B80</f>
        <v>53</v>
      </c>
      <c r="C560" s="2314"/>
      <c r="D560" s="32" t="str">
        <f>'Zuschnitt Schieberblatt'!F80</f>
        <v/>
      </c>
      <c r="E560" s="2314"/>
      <c r="F560" s="32">
        <f t="shared" si="71"/>
        <v>0</v>
      </c>
      <c r="G560" s="2314"/>
      <c r="H560" s="32">
        <f t="shared" si="67"/>
        <v>0</v>
      </c>
      <c r="I560" s="2314"/>
      <c r="J560" s="32">
        <f t="shared" si="68"/>
        <v>0</v>
      </c>
      <c r="K560" s="2314"/>
      <c r="L560" s="43"/>
      <c r="M560" s="2314"/>
      <c r="N560" s="1250" t="s">
        <v>28399</v>
      </c>
      <c r="O560" s="43"/>
      <c r="P560" s="44"/>
      <c r="Q560" s="1250" t="s">
        <v>28877</v>
      </c>
      <c r="R560" s="1518">
        <f>'Zuschnitt Schieberblatt'!E80</f>
        <v>0</v>
      </c>
      <c r="S560" s="44"/>
      <c r="T560" s="44"/>
      <c r="U560" s="44"/>
      <c r="V560" s="43"/>
      <c r="W560" s="60"/>
      <c r="X560" s="60"/>
      <c r="Y560" s="60"/>
      <c r="Z560" s="43"/>
      <c r="AA560" s="43"/>
      <c r="AB560" s="60"/>
      <c r="AC560" s="60"/>
      <c r="AD560" s="60"/>
      <c r="AE560" s="43"/>
      <c r="AF560" s="43"/>
      <c r="AG560" s="43"/>
      <c r="AH560" s="43"/>
      <c r="AI560" s="43"/>
      <c r="AJ560" s="43"/>
      <c r="AK560" s="43"/>
      <c r="AL560" s="43"/>
      <c r="AM560" s="43"/>
      <c r="AN560" s="43"/>
      <c r="AO560" s="1115">
        <f>'Zuschnitt Schieberblatt'!G80</f>
        <v>0</v>
      </c>
      <c r="AP560" s="1115">
        <f>'Zuschnitt Schieberblatt'!H80</f>
        <v>0</v>
      </c>
      <c r="AQ560" s="1115">
        <f>'Zuschnitt Schieberblatt'!I80</f>
        <v>0</v>
      </c>
      <c r="AR560" s="1115"/>
      <c r="AS560" s="1188">
        <v>1</v>
      </c>
      <c r="BD560" s="35"/>
      <c r="BF560" s="2135" t="str">
        <f t="shared" si="69"/>
        <v/>
      </c>
      <c r="BG560" s="2135">
        <f t="shared" si="70"/>
        <v>0</v>
      </c>
      <c r="BH560" s="2136" t="s">
        <v>10</v>
      </c>
    </row>
    <row r="561" spans="1:60" ht="24.95" customHeight="1" x14ac:dyDescent="0.25">
      <c r="A561" s="337" t="s">
        <v>27849</v>
      </c>
      <c r="B561" s="1511" t="str">
        <f>'Zuschnitt Schieberblatt'!B81</f>
        <v>54</v>
      </c>
      <c r="C561" s="2314"/>
      <c r="D561" s="32" t="str">
        <f>'Zuschnitt Schieberblatt'!F81</f>
        <v/>
      </c>
      <c r="E561" s="2314"/>
      <c r="F561" s="32">
        <f t="shared" si="71"/>
        <v>0</v>
      </c>
      <c r="G561" s="2314"/>
      <c r="H561" s="32">
        <f t="shared" si="67"/>
        <v>0</v>
      </c>
      <c r="I561" s="2314"/>
      <c r="J561" s="32">
        <f t="shared" si="68"/>
        <v>0</v>
      </c>
      <c r="K561" s="2314"/>
      <c r="L561" s="43"/>
      <c r="M561" s="2314"/>
      <c r="N561" s="1250" t="s">
        <v>28399</v>
      </c>
      <c r="O561" s="43"/>
      <c r="P561" s="44"/>
      <c r="Q561" s="1250" t="s">
        <v>28877</v>
      </c>
      <c r="R561" s="1518">
        <f>'Zuschnitt Schieberblatt'!E81</f>
        <v>0</v>
      </c>
      <c r="S561" s="44"/>
      <c r="T561" s="44"/>
      <c r="U561" s="44"/>
      <c r="V561" s="43"/>
      <c r="W561" s="60"/>
      <c r="X561" s="60"/>
      <c r="Y561" s="60"/>
      <c r="Z561" s="43"/>
      <c r="AA561" s="43"/>
      <c r="AB561" s="60"/>
      <c r="AC561" s="60"/>
      <c r="AD561" s="60"/>
      <c r="AE561" s="43"/>
      <c r="AF561" s="43"/>
      <c r="AG561" s="43"/>
      <c r="AH561" s="43"/>
      <c r="AI561" s="43"/>
      <c r="AJ561" s="43"/>
      <c r="AK561" s="43"/>
      <c r="AL561" s="43"/>
      <c r="AM561" s="43"/>
      <c r="AN561" s="43"/>
      <c r="AO561" s="1115">
        <f>'Zuschnitt Schieberblatt'!G81</f>
        <v>0</v>
      </c>
      <c r="AP561" s="1115">
        <f>'Zuschnitt Schieberblatt'!H81</f>
        <v>0</v>
      </c>
      <c r="AQ561" s="1115">
        <f>'Zuschnitt Schieberblatt'!I81</f>
        <v>0</v>
      </c>
      <c r="AR561" s="1115"/>
      <c r="AS561" s="1188">
        <v>1</v>
      </c>
      <c r="BD561" s="35"/>
      <c r="BF561" s="2135" t="str">
        <f t="shared" si="69"/>
        <v/>
      </c>
      <c r="BG561" s="2135">
        <f t="shared" si="70"/>
        <v>0</v>
      </c>
      <c r="BH561" s="2136" t="s">
        <v>10</v>
      </c>
    </row>
    <row r="562" spans="1:60" ht="24.95" customHeight="1" x14ac:dyDescent="0.25">
      <c r="A562" s="337" t="s">
        <v>27849</v>
      </c>
      <c r="B562" s="1511" t="str">
        <f>'Zuschnitt Schieberblatt'!B82</f>
        <v>55</v>
      </c>
      <c r="C562" s="2314"/>
      <c r="D562" s="32" t="str">
        <f>'Zuschnitt Schieberblatt'!F82</f>
        <v/>
      </c>
      <c r="E562" s="2314"/>
      <c r="F562" s="32">
        <f t="shared" si="71"/>
        <v>0</v>
      </c>
      <c r="G562" s="2314"/>
      <c r="H562" s="32">
        <f t="shared" si="67"/>
        <v>0</v>
      </c>
      <c r="I562" s="2314"/>
      <c r="J562" s="32">
        <f t="shared" si="68"/>
        <v>0</v>
      </c>
      <c r="K562" s="2314"/>
      <c r="L562" s="43"/>
      <c r="M562" s="2314"/>
      <c r="N562" s="1250" t="s">
        <v>28399</v>
      </c>
      <c r="O562" s="43"/>
      <c r="P562" s="44"/>
      <c r="Q562" s="1250" t="s">
        <v>28877</v>
      </c>
      <c r="R562" s="1518">
        <f>'Zuschnitt Schieberblatt'!E82</f>
        <v>0</v>
      </c>
      <c r="S562" s="44"/>
      <c r="T562" s="44"/>
      <c r="U562" s="44"/>
      <c r="V562" s="43"/>
      <c r="W562" s="60"/>
      <c r="X562" s="60"/>
      <c r="Y562" s="60"/>
      <c r="Z562" s="43"/>
      <c r="AA562" s="43"/>
      <c r="AB562" s="60"/>
      <c r="AC562" s="60"/>
      <c r="AD562" s="60"/>
      <c r="AE562" s="43"/>
      <c r="AF562" s="43"/>
      <c r="AG562" s="43"/>
      <c r="AH562" s="43"/>
      <c r="AI562" s="43"/>
      <c r="AJ562" s="43"/>
      <c r="AK562" s="43"/>
      <c r="AL562" s="43"/>
      <c r="AM562" s="43"/>
      <c r="AN562" s="43"/>
      <c r="AO562" s="1115">
        <f>'Zuschnitt Schieberblatt'!G82</f>
        <v>0</v>
      </c>
      <c r="AP562" s="1115">
        <f>'Zuschnitt Schieberblatt'!H82</f>
        <v>0</v>
      </c>
      <c r="AQ562" s="1115">
        <f>'Zuschnitt Schieberblatt'!I82</f>
        <v>0</v>
      </c>
      <c r="AR562" s="1115"/>
      <c r="AS562" s="1188">
        <v>1</v>
      </c>
      <c r="BD562" s="35"/>
      <c r="BF562" s="2135" t="str">
        <f t="shared" si="69"/>
        <v/>
      </c>
      <c r="BG562" s="2135">
        <f t="shared" si="70"/>
        <v>0</v>
      </c>
      <c r="BH562" s="2136" t="s">
        <v>10</v>
      </c>
    </row>
    <row r="563" spans="1:60" ht="24.95" customHeight="1" x14ac:dyDescent="0.25">
      <c r="A563" s="337" t="s">
        <v>27849</v>
      </c>
      <c r="B563" s="1511" t="str">
        <f>'Zuschnitt Schieberblatt'!B83</f>
        <v>56</v>
      </c>
      <c r="C563" s="2314"/>
      <c r="D563" s="32" t="str">
        <f>'Zuschnitt Schieberblatt'!F83</f>
        <v/>
      </c>
      <c r="E563" s="2314"/>
      <c r="F563" s="32">
        <f t="shared" si="71"/>
        <v>0</v>
      </c>
      <c r="G563" s="2314"/>
      <c r="H563" s="32">
        <f t="shared" si="67"/>
        <v>0</v>
      </c>
      <c r="I563" s="2314"/>
      <c r="J563" s="32">
        <f t="shared" si="68"/>
        <v>0</v>
      </c>
      <c r="K563" s="2314"/>
      <c r="L563" s="43"/>
      <c r="M563" s="2314"/>
      <c r="N563" s="1250" t="s">
        <v>28399</v>
      </c>
      <c r="O563" s="43"/>
      <c r="P563" s="44"/>
      <c r="Q563" s="1250" t="s">
        <v>28877</v>
      </c>
      <c r="R563" s="1518">
        <f>'Zuschnitt Schieberblatt'!E83</f>
        <v>0</v>
      </c>
      <c r="S563" s="44"/>
      <c r="T563" s="44"/>
      <c r="U563" s="44"/>
      <c r="V563" s="43"/>
      <c r="W563" s="60"/>
      <c r="X563" s="60"/>
      <c r="Y563" s="60"/>
      <c r="Z563" s="43"/>
      <c r="AA563" s="43"/>
      <c r="AB563" s="60"/>
      <c r="AC563" s="60"/>
      <c r="AD563" s="60"/>
      <c r="AE563" s="43"/>
      <c r="AF563" s="43"/>
      <c r="AG563" s="43"/>
      <c r="AH563" s="43"/>
      <c r="AI563" s="43"/>
      <c r="AJ563" s="43"/>
      <c r="AK563" s="43"/>
      <c r="AL563" s="43"/>
      <c r="AM563" s="43"/>
      <c r="AN563" s="43"/>
      <c r="AO563" s="1115">
        <f>'Zuschnitt Schieberblatt'!G83</f>
        <v>0</v>
      </c>
      <c r="AP563" s="1115">
        <f>'Zuschnitt Schieberblatt'!H83</f>
        <v>0</v>
      </c>
      <c r="AQ563" s="1115">
        <f>'Zuschnitt Schieberblatt'!I83</f>
        <v>0</v>
      </c>
      <c r="AR563" s="1115"/>
      <c r="AS563" s="1188">
        <v>1</v>
      </c>
      <c r="BD563" s="35"/>
      <c r="BF563" s="2135" t="str">
        <f t="shared" si="69"/>
        <v/>
      </c>
      <c r="BG563" s="2135">
        <f t="shared" si="70"/>
        <v>0</v>
      </c>
      <c r="BH563" s="2136" t="s">
        <v>10</v>
      </c>
    </row>
    <row r="564" spans="1:60" ht="24.95" customHeight="1" x14ac:dyDescent="0.25">
      <c r="A564" s="337" t="s">
        <v>27848</v>
      </c>
      <c r="B564" s="1511" t="str">
        <f>'Zuschnitt Festfeld'!B35</f>
        <v>71</v>
      </c>
      <c r="C564" s="2314"/>
      <c r="D564" s="32" t="str">
        <f>'Zuschnitt Festfeld'!F35</f>
        <v/>
      </c>
      <c r="E564" s="2314"/>
      <c r="F564" s="32">
        <f t="shared" ref="F564:F591" si="72">IF(AS564&gt;0,AO564,0)</f>
        <v>0</v>
      </c>
      <c r="G564" s="2314"/>
      <c r="H564" s="32">
        <f t="shared" si="67"/>
        <v>0</v>
      </c>
      <c r="I564" s="2314"/>
      <c r="J564" s="32">
        <f t="shared" si="68"/>
        <v>0</v>
      </c>
      <c r="K564" s="2314"/>
      <c r="L564" s="43"/>
      <c r="M564" s="2314"/>
      <c r="N564" s="1250" t="s">
        <v>28399</v>
      </c>
      <c r="O564" s="43"/>
      <c r="P564" s="44"/>
      <c r="Q564" s="1250" t="s">
        <v>73</v>
      </c>
      <c r="R564" s="1518">
        <f>'Zuschnitt Festfeld'!E35</f>
        <v>0</v>
      </c>
      <c r="S564" s="44"/>
      <c r="T564" s="44"/>
      <c r="U564" s="44"/>
      <c r="V564" s="43"/>
      <c r="W564" s="60"/>
      <c r="X564" s="60"/>
      <c r="Y564" s="60"/>
      <c r="Z564" s="43"/>
      <c r="AA564" s="43"/>
      <c r="AB564" s="60"/>
      <c r="AC564" s="60"/>
      <c r="AD564" s="60"/>
      <c r="AE564" s="43"/>
      <c r="AF564" s="43"/>
      <c r="AG564" s="43"/>
      <c r="AH564" s="43"/>
      <c r="AI564" s="43"/>
      <c r="AJ564" s="43"/>
      <c r="AK564" s="43"/>
      <c r="AL564" s="43"/>
      <c r="AM564" s="43"/>
      <c r="AN564" s="43"/>
      <c r="AO564" s="1115">
        <f>'Zuschnitt Festfeld'!G35</f>
        <v>0</v>
      </c>
      <c r="AP564" s="1115">
        <f>'Zuschnitt Festfeld'!H35</f>
        <v>0</v>
      </c>
      <c r="AQ564" s="1115">
        <f>'Zuschnitt Festfeld'!I35</f>
        <v>0</v>
      </c>
      <c r="AR564" s="1115"/>
      <c r="AS564" s="1188">
        <v>1</v>
      </c>
      <c r="BD564" s="35"/>
      <c r="BF564" s="2135" t="str">
        <f t="shared" si="69"/>
        <v/>
      </c>
      <c r="BG564" s="2135">
        <f t="shared" si="70"/>
        <v>0</v>
      </c>
      <c r="BH564" s="2136" t="s">
        <v>10</v>
      </c>
    </row>
    <row r="565" spans="1:60" ht="24.95" customHeight="1" x14ac:dyDescent="0.25">
      <c r="A565" s="337" t="s">
        <v>27848</v>
      </c>
      <c r="B565" s="1511" t="str">
        <f>'Zuschnitt Festfeld'!B36</f>
        <v>72</v>
      </c>
      <c r="C565" s="2314"/>
      <c r="D565" s="32" t="str">
        <f>'Zuschnitt Festfeld'!F36</f>
        <v>0202003</v>
      </c>
      <c r="E565" s="2314"/>
      <c r="F565" s="32">
        <f t="shared" si="72"/>
        <v>1</v>
      </c>
      <c r="G565" s="2314"/>
      <c r="H565" s="32">
        <f t="shared" si="67"/>
        <v>600</v>
      </c>
      <c r="I565" s="2314"/>
      <c r="J565" s="32">
        <f t="shared" si="68"/>
        <v>175</v>
      </c>
      <c r="K565" s="2314"/>
      <c r="L565" s="43"/>
      <c r="M565" s="2314"/>
      <c r="N565" s="1250" t="s">
        <v>28399</v>
      </c>
      <c r="O565" s="43"/>
      <c r="P565" s="44"/>
      <c r="Q565" s="1250" t="s">
        <v>73</v>
      </c>
      <c r="R565" s="1518" t="str">
        <f>'Zuschnitt Festfeld'!E36</f>
        <v>Manschette</v>
      </c>
      <c r="S565" s="44"/>
      <c r="T565" s="44"/>
      <c r="U565" s="44"/>
      <c r="V565" s="43"/>
      <c r="W565" s="60"/>
      <c r="X565" s="60"/>
      <c r="Y565" s="60"/>
      <c r="Z565" s="43"/>
      <c r="AA565" s="43"/>
      <c r="AB565" s="60"/>
      <c r="AC565" s="60"/>
      <c r="AD565" s="60"/>
      <c r="AE565" s="43"/>
      <c r="AF565" s="43"/>
      <c r="AG565" s="43"/>
      <c r="AH565" s="43"/>
      <c r="AI565" s="43"/>
      <c r="AJ565" s="43"/>
      <c r="AK565" s="43"/>
      <c r="AL565" s="43"/>
      <c r="AM565" s="43"/>
      <c r="AN565" s="43"/>
      <c r="AO565" s="1115">
        <f>'Zuschnitt Festfeld'!G36</f>
        <v>1</v>
      </c>
      <c r="AP565" s="1115">
        <f>'Zuschnitt Festfeld'!H36</f>
        <v>600</v>
      </c>
      <c r="AQ565" s="1115">
        <f>'Zuschnitt Festfeld'!I36</f>
        <v>175</v>
      </c>
      <c r="AR565" s="1115"/>
      <c r="AS565" s="1188">
        <v>1</v>
      </c>
      <c r="BD565" s="35"/>
      <c r="BF565" s="2135" t="str">
        <f t="shared" si="69"/>
        <v>0202003</v>
      </c>
      <c r="BG565" s="2135">
        <f t="shared" si="70"/>
        <v>0.105</v>
      </c>
      <c r="BH565" s="2136" t="s">
        <v>10</v>
      </c>
    </row>
    <row r="566" spans="1:60" ht="24.95" customHeight="1" x14ac:dyDescent="0.25">
      <c r="A566" s="337" t="s">
        <v>27848</v>
      </c>
      <c r="B566" s="1511" t="str">
        <f>'Zuschnitt Festfeld'!B37</f>
        <v>73</v>
      </c>
      <c r="C566" s="2314"/>
      <c r="D566" s="32" t="str">
        <f>'Zuschnitt Festfeld'!F37</f>
        <v>0202010</v>
      </c>
      <c r="E566" s="2314"/>
      <c r="F566" s="32">
        <f t="shared" si="72"/>
        <v>2</v>
      </c>
      <c r="G566" s="2314"/>
      <c r="H566" s="32">
        <f t="shared" si="67"/>
        <v>600</v>
      </c>
      <c r="I566" s="2314"/>
      <c r="J566" s="32">
        <f t="shared" si="68"/>
        <v>175</v>
      </c>
      <c r="K566" s="2314"/>
      <c r="L566" s="43"/>
      <c r="M566" s="2314"/>
      <c r="N566" s="1250" t="s">
        <v>28399</v>
      </c>
      <c r="O566" s="43"/>
      <c r="P566" s="44"/>
      <c r="Q566" s="1250" t="s">
        <v>73</v>
      </c>
      <c r="R566" s="1518" t="str">
        <f>'Zuschnitt Festfeld'!E37</f>
        <v>Manschette</v>
      </c>
      <c r="S566" s="44"/>
      <c r="T566" s="44"/>
      <c r="U566" s="44"/>
      <c r="V566" s="43"/>
      <c r="W566" s="60"/>
      <c r="X566" s="60"/>
      <c r="Y566" s="60"/>
      <c r="Z566" s="43"/>
      <c r="AA566" s="43"/>
      <c r="AB566" s="60"/>
      <c r="AC566" s="60"/>
      <c r="AD566" s="60"/>
      <c r="AE566" s="43"/>
      <c r="AF566" s="43"/>
      <c r="AG566" s="43"/>
      <c r="AH566" s="43"/>
      <c r="AI566" s="43"/>
      <c r="AJ566" s="43"/>
      <c r="AK566" s="43"/>
      <c r="AL566" s="43"/>
      <c r="AM566" s="43"/>
      <c r="AN566" s="43"/>
      <c r="AO566" s="1115">
        <f>'Zuschnitt Festfeld'!G37</f>
        <v>2</v>
      </c>
      <c r="AP566" s="1115">
        <f>'Zuschnitt Festfeld'!H37</f>
        <v>600</v>
      </c>
      <c r="AQ566" s="1115">
        <f>'Zuschnitt Festfeld'!I37</f>
        <v>175</v>
      </c>
      <c r="AR566" s="1115"/>
      <c r="AS566" s="1188">
        <v>1</v>
      </c>
      <c r="BD566" s="35"/>
      <c r="BF566" s="2135" t="str">
        <f t="shared" si="69"/>
        <v>0202010</v>
      </c>
      <c r="BG566" s="2135">
        <f t="shared" si="70"/>
        <v>0.21</v>
      </c>
      <c r="BH566" s="2136" t="s">
        <v>10</v>
      </c>
    </row>
    <row r="567" spans="1:60" ht="24.95" customHeight="1" x14ac:dyDescent="0.25">
      <c r="A567" s="337" t="s">
        <v>27848</v>
      </c>
      <c r="B567" s="1511" t="str">
        <f>'Zuschnitt Festfeld'!B38</f>
        <v>74</v>
      </c>
      <c r="C567" s="2314"/>
      <c r="D567" s="32" t="str">
        <f>'Zuschnitt Festfeld'!F38</f>
        <v>0202015</v>
      </c>
      <c r="E567" s="2314"/>
      <c r="F567" s="32">
        <f t="shared" si="72"/>
        <v>1</v>
      </c>
      <c r="G567" s="2314"/>
      <c r="H567" s="32">
        <f t="shared" si="67"/>
        <v>600</v>
      </c>
      <c r="I567" s="2314"/>
      <c r="J567" s="32">
        <f t="shared" si="68"/>
        <v>175</v>
      </c>
      <c r="K567" s="2314"/>
      <c r="L567" s="43"/>
      <c r="M567" s="2314"/>
      <c r="N567" s="1250" t="s">
        <v>28399</v>
      </c>
      <c r="O567" s="43"/>
      <c r="P567" s="44"/>
      <c r="Q567" s="1250" t="s">
        <v>73</v>
      </c>
      <c r="R567" s="1518" t="str">
        <f>'Zuschnitt Festfeld'!E38</f>
        <v>Manschette</v>
      </c>
      <c r="S567" s="44"/>
      <c r="T567" s="44"/>
      <c r="U567" s="44"/>
      <c r="V567" s="43"/>
      <c r="W567" s="60"/>
      <c r="X567" s="60"/>
      <c r="Y567" s="60"/>
      <c r="Z567" s="43"/>
      <c r="AA567" s="43"/>
      <c r="AB567" s="60"/>
      <c r="AC567" s="60"/>
      <c r="AD567" s="60"/>
      <c r="AE567" s="43"/>
      <c r="AF567" s="43"/>
      <c r="AG567" s="43"/>
      <c r="AH567" s="43"/>
      <c r="AI567" s="43"/>
      <c r="AJ567" s="43"/>
      <c r="AK567" s="43"/>
      <c r="AL567" s="43"/>
      <c r="AM567" s="43"/>
      <c r="AN567" s="43"/>
      <c r="AO567" s="1115">
        <f>'Zuschnitt Festfeld'!G38</f>
        <v>1</v>
      </c>
      <c r="AP567" s="1115">
        <f>'Zuschnitt Festfeld'!H38</f>
        <v>600</v>
      </c>
      <c r="AQ567" s="1115">
        <f>'Zuschnitt Festfeld'!I38</f>
        <v>175</v>
      </c>
      <c r="AR567" s="1115"/>
      <c r="AS567" s="1188">
        <v>1</v>
      </c>
      <c r="BD567" s="35"/>
      <c r="BF567" s="2135" t="str">
        <f t="shared" si="69"/>
        <v>0202015</v>
      </c>
      <c r="BG567" s="2135">
        <f t="shared" si="70"/>
        <v>0.105</v>
      </c>
      <c r="BH567" s="2136" t="s">
        <v>10</v>
      </c>
    </row>
    <row r="568" spans="1:60" ht="24.95" customHeight="1" x14ac:dyDescent="0.25">
      <c r="A568" s="337" t="s">
        <v>27848</v>
      </c>
      <c r="B568" s="1511" t="str">
        <f>'Zuschnitt Festfeld'!B39</f>
        <v>75</v>
      </c>
      <c r="C568" s="2314"/>
      <c r="D568" s="32" t="str">
        <f>'Zuschnitt Festfeld'!F39</f>
        <v>0202020</v>
      </c>
      <c r="E568" s="2314"/>
      <c r="F568" s="32">
        <f t="shared" si="72"/>
        <v>3</v>
      </c>
      <c r="G568" s="2314"/>
      <c r="H568" s="32">
        <f t="shared" si="67"/>
        <v>600</v>
      </c>
      <c r="I568" s="2314"/>
      <c r="J568" s="32">
        <f t="shared" si="68"/>
        <v>175</v>
      </c>
      <c r="K568" s="2314"/>
      <c r="L568" s="43"/>
      <c r="M568" s="2314"/>
      <c r="N568" s="1250" t="s">
        <v>28399</v>
      </c>
      <c r="O568" s="43"/>
      <c r="P568" s="44"/>
      <c r="Q568" s="1250" t="s">
        <v>73</v>
      </c>
      <c r="R568" s="1518" t="str">
        <f>'Zuschnitt Festfeld'!E39</f>
        <v>Manschette</v>
      </c>
      <c r="S568" s="44"/>
      <c r="T568" s="44"/>
      <c r="U568" s="44"/>
      <c r="V568" s="43"/>
      <c r="W568" s="60"/>
      <c r="X568" s="60"/>
      <c r="Y568" s="60"/>
      <c r="Z568" s="43"/>
      <c r="AA568" s="43"/>
      <c r="AB568" s="60"/>
      <c r="AC568" s="60"/>
      <c r="AD568" s="60"/>
      <c r="AE568" s="43"/>
      <c r="AF568" s="43"/>
      <c r="AG568" s="43"/>
      <c r="AH568" s="43"/>
      <c r="AI568" s="43"/>
      <c r="AJ568" s="43"/>
      <c r="AK568" s="43"/>
      <c r="AL568" s="43"/>
      <c r="AM568" s="43"/>
      <c r="AN568" s="43"/>
      <c r="AO568" s="1115">
        <f>'Zuschnitt Festfeld'!G39</f>
        <v>3</v>
      </c>
      <c r="AP568" s="1115">
        <f>'Zuschnitt Festfeld'!H39</f>
        <v>600</v>
      </c>
      <c r="AQ568" s="1115">
        <f>'Zuschnitt Festfeld'!I39</f>
        <v>175</v>
      </c>
      <c r="AR568" s="1115"/>
      <c r="AS568" s="1188">
        <v>1</v>
      </c>
      <c r="BD568" s="35"/>
      <c r="BF568" s="2135" t="str">
        <f t="shared" si="69"/>
        <v>0202020</v>
      </c>
      <c r="BG568" s="2135">
        <f t="shared" si="70"/>
        <v>0.315</v>
      </c>
      <c r="BH568" s="2136" t="s">
        <v>10</v>
      </c>
    </row>
    <row r="569" spans="1:60" ht="24.95" customHeight="1" x14ac:dyDescent="0.25">
      <c r="A569" s="337" t="s">
        <v>27848</v>
      </c>
      <c r="B569" s="1511" t="str">
        <f>'Zuschnitt Festfeld'!B40</f>
        <v>76</v>
      </c>
      <c r="C569" s="2314"/>
      <c r="D569" s="32" t="str">
        <f>'Zuschnitt Festfeld'!F40</f>
        <v>0202020</v>
      </c>
      <c r="E569" s="2314"/>
      <c r="F569" s="32">
        <f t="shared" si="72"/>
        <v>1</v>
      </c>
      <c r="G569" s="2314"/>
      <c r="H569" s="32">
        <f t="shared" si="67"/>
        <v>780</v>
      </c>
      <c r="I569" s="2314"/>
      <c r="J569" s="32">
        <f t="shared" si="68"/>
        <v>175</v>
      </c>
      <c r="K569" s="2314"/>
      <c r="L569" s="43"/>
      <c r="M569" s="2314"/>
      <c r="N569" s="1250" t="s">
        <v>28399</v>
      </c>
      <c r="O569" s="43"/>
      <c r="P569" s="44"/>
      <c r="Q569" s="1250" t="s">
        <v>73</v>
      </c>
      <c r="R569" s="1518" t="str">
        <f>'Zuschnitt Festfeld'!E40</f>
        <v>Manschette</v>
      </c>
      <c r="S569" s="44"/>
      <c r="T569" s="44"/>
      <c r="U569" s="44"/>
      <c r="V569" s="43"/>
      <c r="W569" s="60"/>
      <c r="X569" s="60"/>
      <c r="Y569" s="60"/>
      <c r="Z569" s="43"/>
      <c r="AA569" s="43"/>
      <c r="AB569" s="60"/>
      <c r="AC569" s="60"/>
      <c r="AD569" s="60"/>
      <c r="AE569" s="43"/>
      <c r="AF569" s="43"/>
      <c r="AG569" s="43"/>
      <c r="AH569" s="43"/>
      <c r="AI569" s="43"/>
      <c r="AJ569" s="43"/>
      <c r="AK569" s="43"/>
      <c r="AL569" s="43"/>
      <c r="AM569" s="43"/>
      <c r="AN569" s="43"/>
      <c r="AO569" s="1115">
        <f>'Zuschnitt Festfeld'!G40</f>
        <v>1</v>
      </c>
      <c r="AP569" s="1115">
        <f>'Zuschnitt Festfeld'!H40</f>
        <v>780</v>
      </c>
      <c r="AQ569" s="1115">
        <f>'Zuschnitt Festfeld'!I40</f>
        <v>175</v>
      </c>
      <c r="AR569" s="1115"/>
      <c r="AS569" s="1188">
        <v>1</v>
      </c>
      <c r="BD569" s="35"/>
      <c r="BF569" s="2135" t="str">
        <f t="shared" si="69"/>
        <v>0202020</v>
      </c>
      <c r="BG569" s="2135">
        <f t="shared" si="70"/>
        <v>0.13650000000000001</v>
      </c>
      <c r="BH569" s="2136" t="s">
        <v>10</v>
      </c>
    </row>
    <row r="570" spans="1:60" ht="24.95" customHeight="1" x14ac:dyDescent="0.25">
      <c r="A570" s="337" t="s">
        <v>27848</v>
      </c>
      <c r="B570" s="1511" t="str">
        <f>'Zuschnitt Festfeld'!B41</f>
        <v>77</v>
      </c>
      <c r="C570" s="2314"/>
      <c r="D570" s="32" t="str">
        <f>'Zuschnitt Festfeld'!F41</f>
        <v>0202020</v>
      </c>
      <c r="E570" s="2314"/>
      <c r="F570" s="32">
        <f t="shared" si="72"/>
        <v>2</v>
      </c>
      <c r="G570" s="2314"/>
      <c r="H570" s="32">
        <f t="shared" si="67"/>
        <v>118</v>
      </c>
      <c r="I570" s="2314"/>
      <c r="J570" s="32">
        <f t="shared" si="68"/>
        <v>175</v>
      </c>
      <c r="K570" s="2314"/>
      <c r="L570" s="43"/>
      <c r="M570" s="2314"/>
      <c r="N570" s="1250" t="s">
        <v>28399</v>
      </c>
      <c r="O570" s="43"/>
      <c r="P570" s="44"/>
      <c r="Q570" s="1250" t="s">
        <v>73</v>
      </c>
      <c r="R570" s="1518" t="str">
        <f>'Zuschnitt Festfeld'!E41</f>
        <v>Manschette</v>
      </c>
      <c r="S570" s="44"/>
      <c r="T570" s="44"/>
      <c r="U570" s="44"/>
      <c r="V570" s="43"/>
      <c r="W570" s="60"/>
      <c r="X570" s="60"/>
      <c r="Y570" s="60"/>
      <c r="Z570" s="43"/>
      <c r="AA570" s="43"/>
      <c r="AB570" s="60"/>
      <c r="AC570" s="60"/>
      <c r="AD570" s="60"/>
      <c r="AE570" s="43"/>
      <c r="AF570" s="43"/>
      <c r="AG570" s="43"/>
      <c r="AH570" s="43"/>
      <c r="AI570" s="43"/>
      <c r="AJ570" s="43"/>
      <c r="AK570" s="43"/>
      <c r="AL570" s="43"/>
      <c r="AM570" s="43"/>
      <c r="AN570" s="43"/>
      <c r="AO570" s="1115">
        <f>'Zuschnitt Festfeld'!G41</f>
        <v>2</v>
      </c>
      <c r="AP570" s="1115">
        <f>'Zuschnitt Festfeld'!H41</f>
        <v>118</v>
      </c>
      <c r="AQ570" s="1115">
        <f>'Zuschnitt Festfeld'!I41</f>
        <v>175</v>
      </c>
      <c r="AR570" s="1115"/>
      <c r="AS570" s="1188">
        <v>1</v>
      </c>
      <c r="BD570" s="35"/>
      <c r="BF570" s="2135" t="str">
        <f t="shared" si="69"/>
        <v>0202020</v>
      </c>
      <c r="BG570" s="2135">
        <f t="shared" si="70"/>
        <v>4.1299999999999996E-2</v>
      </c>
      <c r="BH570" s="2136" t="s">
        <v>10</v>
      </c>
    </row>
    <row r="571" spans="1:60" ht="24.95" customHeight="1" x14ac:dyDescent="0.25">
      <c r="A571" s="337" t="s">
        <v>27848</v>
      </c>
      <c r="B571" s="1511" t="str">
        <f>'Zuschnitt Festfeld'!B42</f>
        <v>78</v>
      </c>
      <c r="C571" s="2314"/>
      <c r="D571" s="32" t="str">
        <f>'Zuschnitt Festfeld'!F42</f>
        <v>0202003</v>
      </c>
      <c r="E571" s="2314"/>
      <c r="F571" s="32">
        <f t="shared" si="72"/>
        <v>4</v>
      </c>
      <c r="G571" s="2314"/>
      <c r="H571" s="32">
        <f t="shared" si="67"/>
        <v>175</v>
      </c>
      <c r="I571" s="2314"/>
      <c r="J571" s="32">
        <f t="shared" si="68"/>
        <v>65</v>
      </c>
      <c r="K571" s="2314"/>
      <c r="L571" s="43"/>
      <c r="M571" s="2314"/>
      <c r="N571" s="1250" t="s">
        <v>28399</v>
      </c>
      <c r="O571" s="43"/>
      <c r="P571" s="44"/>
      <c r="Q571" s="1250" t="s">
        <v>73</v>
      </c>
      <c r="R571" s="1518" t="str">
        <f>'Zuschnitt Festfeld'!E42</f>
        <v>Manschette</v>
      </c>
      <c r="S571" s="44"/>
      <c r="T571" s="44"/>
      <c r="U571" s="44"/>
      <c r="V571" s="43"/>
      <c r="W571" s="60"/>
      <c r="X571" s="60"/>
      <c r="Y571" s="60"/>
      <c r="Z571" s="43"/>
      <c r="AA571" s="43"/>
      <c r="AB571" s="60"/>
      <c r="AC571" s="60"/>
      <c r="AD571" s="60"/>
      <c r="AE571" s="43"/>
      <c r="AF571" s="43"/>
      <c r="AG571" s="43"/>
      <c r="AH571" s="43"/>
      <c r="AI571" s="43"/>
      <c r="AJ571" s="43"/>
      <c r="AK571" s="43"/>
      <c r="AL571" s="43"/>
      <c r="AM571" s="43"/>
      <c r="AN571" s="43"/>
      <c r="AO571" s="1115">
        <f>'Zuschnitt Festfeld'!G42</f>
        <v>4</v>
      </c>
      <c r="AP571" s="1115">
        <f>'Zuschnitt Festfeld'!H42</f>
        <v>175</v>
      </c>
      <c r="AQ571" s="1115">
        <f>'Zuschnitt Festfeld'!I42</f>
        <v>65</v>
      </c>
      <c r="AR571" s="1115"/>
      <c r="AS571" s="1188">
        <v>1</v>
      </c>
      <c r="BD571" s="35"/>
      <c r="BF571" s="2135" t="str">
        <f t="shared" si="69"/>
        <v>0202003</v>
      </c>
      <c r="BG571" s="2135">
        <f t="shared" si="70"/>
        <v>4.5499999999999999E-2</v>
      </c>
      <c r="BH571" s="2136" t="s">
        <v>10</v>
      </c>
    </row>
    <row r="572" spans="1:60" ht="24.95" customHeight="1" x14ac:dyDescent="0.25">
      <c r="A572" s="337" t="s">
        <v>27848</v>
      </c>
      <c r="B572" s="1511" t="str">
        <f>'Zuschnitt Festfeld'!B43</f>
        <v>79</v>
      </c>
      <c r="C572" s="2314"/>
      <c r="D572" s="32" t="str">
        <f>'Zuschnitt Festfeld'!F43</f>
        <v>0202010</v>
      </c>
      <c r="E572" s="2314"/>
      <c r="F572" s="32">
        <f t="shared" si="72"/>
        <v>8</v>
      </c>
      <c r="G572" s="2314"/>
      <c r="H572" s="32">
        <f t="shared" si="67"/>
        <v>175</v>
      </c>
      <c r="I572" s="2314"/>
      <c r="J572" s="32">
        <f t="shared" si="68"/>
        <v>65</v>
      </c>
      <c r="K572" s="2314"/>
      <c r="L572" s="43"/>
      <c r="M572" s="2314"/>
      <c r="N572" s="1250" t="s">
        <v>28399</v>
      </c>
      <c r="O572" s="43"/>
      <c r="P572" s="44"/>
      <c r="Q572" s="1250" t="s">
        <v>73</v>
      </c>
      <c r="R572" s="1518" t="str">
        <f>'Zuschnitt Festfeld'!E43</f>
        <v>Manschette</v>
      </c>
      <c r="S572" s="44"/>
      <c r="T572" s="44"/>
      <c r="U572" s="44"/>
      <c r="V572" s="43"/>
      <c r="W572" s="60"/>
      <c r="X572" s="60"/>
      <c r="Y572" s="60"/>
      <c r="Z572" s="43"/>
      <c r="AA572" s="43"/>
      <c r="AB572" s="60"/>
      <c r="AC572" s="60"/>
      <c r="AD572" s="60"/>
      <c r="AE572" s="43"/>
      <c r="AF572" s="43"/>
      <c r="AG572" s="43"/>
      <c r="AH572" s="43"/>
      <c r="AI572" s="43"/>
      <c r="AJ572" s="43"/>
      <c r="AK572" s="43"/>
      <c r="AL572" s="43"/>
      <c r="AM572" s="43"/>
      <c r="AN572" s="43"/>
      <c r="AO572" s="1115">
        <f>'Zuschnitt Festfeld'!G43</f>
        <v>8</v>
      </c>
      <c r="AP572" s="1115">
        <f>'Zuschnitt Festfeld'!H43</f>
        <v>175</v>
      </c>
      <c r="AQ572" s="1115">
        <f>'Zuschnitt Festfeld'!I43</f>
        <v>65</v>
      </c>
      <c r="AR572" s="1115"/>
      <c r="AS572" s="1188">
        <v>1</v>
      </c>
      <c r="BD572" s="35"/>
      <c r="BF572" s="2135" t="str">
        <f t="shared" si="69"/>
        <v>0202010</v>
      </c>
      <c r="BG572" s="2135">
        <f t="shared" si="70"/>
        <v>9.0999999999999998E-2</v>
      </c>
      <c r="BH572" s="2136" t="s">
        <v>10</v>
      </c>
    </row>
    <row r="573" spans="1:60" ht="24.95" customHeight="1" x14ac:dyDescent="0.25">
      <c r="A573" s="337" t="s">
        <v>27848</v>
      </c>
      <c r="B573" s="1511" t="str">
        <f>'Zuschnitt Festfeld'!B44</f>
        <v>80</v>
      </c>
      <c r="C573" s="2314"/>
      <c r="D573" s="32" t="str">
        <f>'Zuschnitt Festfeld'!F44</f>
        <v>0202020</v>
      </c>
      <c r="E573" s="2314"/>
      <c r="F573" s="32">
        <f t="shared" si="72"/>
        <v>2</v>
      </c>
      <c r="G573" s="2314"/>
      <c r="H573" s="32">
        <f t="shared" si="67"/>
        <v>600</v>
      </c>
      <c r="I573" s="2314"/>
      <c r="J573" s="32">
        <f t="shared" si="68"/>
        <v>110</v>
      </c>
      <c r="K573" s="2314"/>
      <c r="L573" s="43"/>
      <c r="M573" s="2314"/>
      <c r="N573" s="1250" t="s">
        <v>28399</v>
      </c>
      <c r="O573" s="43"/>
      <c r="P573" s="44"/>
      <c r="Q573" s="1250" t="s">
        <v>73</v>
      </c>
      <c r="R573" s="1518" t="str">
        <f>'Zuschnitt Festfeld'!E44</f>
        <v>Manschette Stege</v>
      </c>
      <c r="S573" s="44"/>
      <c r="T573" s="44"/>
      <c r="U573" s="44"/>
      <c r="V573" s="43"/>
      <c r="W573" s="60"/>
      <c r="X573" s="60"/>
      <c r="Y573" s="60"/>
      <c r="Z573" s="43"/>
      <c r="AA573" s="43"/>
      <c r="AB573" s="60"/>
      <c r="AC573" s="60"/>
      <c r="AD573" s="60"/>
      <c r="AE573" s="43"/>
      <c r="AF573" s="43"/>
      <c r="AG573" s="43"/>
      <c r="AH573" s="43"/>
      <c r="AI573" s="43"/>
      <c r="AJ573" s="43"/>
      <c r="AK573" s="43"/>
      <c r="AL573" s="43"/>
      <c r="AM573" s="43"/>
      <c r="AN573" s="43"/>
      <c r="AO573" s="1115">
        <f>'Zuschnitt Festfeld'!G44</f>
        <v>2</v>
      </c>
      <c r="AP573" s="1115">
        <f>'Zuschnitt Festfeld'!H44</f>
        <v>600</v>
      </c>
      <c r="AQ573" s="1115">
        <f>'Zuschnitt Festfeld'!I44</f>
        <v>110</v>
      </c>
      <c r="AR573" s="1115"/>
      <c r="AS573" s="1188">
        <v>1</v>
      </c>
      <c r="BD573" s="35"/>
      <c r="BF573" s="2135" t="str">
        <f t="shared" si="69"/>
        <v>0202020</v>
      </c>
      <c r="BG573" s="2135">
        <f t="shared" si="70"/>
        <v>0.13200000000000001</v>
      </c>
      <c r="BH573" s="2136" t="s">
        <v>10</v>
      </c>
    </row>
    <row r="574" spans="1:60" ht="24.95" customHeight="1" x14ac:dyDescent="0.25">
      <c r="A574" s="337" t="s">
        <v>27848</v>
      </c>
      <c r="B574" s="1511" t="str">
        <f>'Zuschnitt Festfeld'!B45</f>
        <v>81</v>
      </c>
      <c r="C574" s="2314"/>
      <c r="D574" s="32" t="str">
        <f>'Zuschnitt Festfeld'!F45</f>
        <v/>
      </c>
      <c r="E574" s="2314"/>
      <c r="F574" s="32">
        <f t="shared" si="72"/>
        <v>0</v>
      </c>
      <c r="G574" s="2314"/>
      <c r="H574" s="32">
        <f t="shared" si="67"/>
        <v>0</v>
      </c>
      <c r="I574" s="2314"/>
      <c r="J574" s="32">
        <f t="shared" si="68"/>
        <v>0</v>
      </c>
      <c r="K574" s="2314"/>
      <c r="L574" s="43"/>
      <c r="M574" s="2314"/>
      <c r="N574" s="1250" t="s">
        <v>28399</v>
      </c>
      <c r="O574" s="43"/>
      <c r="P574" s="44"/>
      <c r="Q574" s="1250" t="s">
        <v>73</v>
      </c>
      <c r="R574" s="1518">
        <f>'Zuschnitt Festfeld'!E45</f>
        <v>0</v>
      </c>
      <c r="S574" s="44"/>
      <c r="T574" s="44"/>
      <c r="U574" s="44"/>
      <c r="V574" s="43"/>
      <c r="W574" s="60"/>
      <c r="X574" s="60"/>
      <c r="Y574" s="60"/>
      <c r="Z574" s="43"/>
      <c r="AA574" s="43"/>
      <c r="AB574" s="60"/>
      <c r="AC574" s="60"/>
      <c r="AD574" s="60"/>
      <c r="AE574" s="43"/>
      <c r="AF574" s="43"/>
      <c r="AG574" s="43"/>
      <c r="AH574" s="43"/>
      <c r="AI574" s="43"/>
      <c r="AJ574" s="43"/>
      <c r="AK574" s="43"/>
      <c r="AL574" s="43"/>
      <c r="AM574" s="43"/>
      <c r="AN574" s="43"/>
      <c r="AO574" s="1115">
        <f>'Zuschnitt Festfeld'!G45</f>
        <v>0</v>
      </c>
      <c r="AP574" s="1115">
        <f>'Zuschnitt Festfeld'!H45</f>
        <v>0</v>
      </c>
      <c r="AQ574" s="1115">
        <f>'Zuschnitt Festfeld'!I45</f>
        <v>0</v>
      </c>
      <c r="AR574" s="1115"/>
      <c r="AS574" s="1188">
        <v>1</v>
      </c>
      <c r="BD574" s="35"/>
      <c r="BF574" s="2135" t="str">
        <f t="shared" si="69"/>
        <v/>
      </c>
      <c r="BG574" s="2135">
        <f t="shared" si="70"/>
        <v>0</v>
      </c>
      <c r="BH574" s="2136" t="s">
        <v>10</v>
      </c>
    </row>
    <row r="575" spans="1:60" ht="24.95" customHeight="1" x14ac:dyDescent="0.25">
      <c r="A575" s="337" t="s">
        <v>27848</v>
      </c>
      <c r="B575" s="1511" t="str">
        <f>'Zuschnitt Festfeld'!B46</f>
        <v>82</v>
      </c>
      <c r="C575" s="2314"/>
      <c r="D575" s="32" t="str">
        <f>'Zuschnitt Festfeld'!F46</f>
        <v/>
      </c>
      <c r="E575" s="2314"/>
      <c r="F575" s="32">
        <f t="shared" si="72"/>
        <v>0</v>
      </c>
      <c r="G575" s="2314"/>
      <c r="H575" s="32">
        <f t="shared" si="67"/>
        <v>0</v>
      </c>
      <c r="I575" s="2314"/>
      <c r="J575" s="32">
        <f t="shared" si="68"/>
        <v>0</v>
      </c>
      <c r="K575" s="2314"/>
      <c r="L575" s="43"/>
      <c r="M575" s="2314"/>
      <c r="N575" s="1250" t="s">
        <v>28399</v>
      </c>
      <c r="O575" s="43"/>
      <c r="P575" s="44"/>
      <c r="Q575" s="1250" t="s">
        <v>73</v>
      </c>
      <c r="R575" s="1518">
        <f>'Zuschnitt Festfeld'!E46</f>
        <v>0</v>
      </c>
      <c r="S575" s="44"/>
      <c r="T575" s="44"/>
      <c r="U575" s="44"/>
      <c r="V575" s="43"/>
      <c r="W575" s="60"/>
      <c r="X575" s="60"/>
      <c r="Y575" s="60"/>
      <c r="Z575" s="43"/>
      <c r="AA575" s="43"/>
      <c r="AB575" s="60"/>
      <c r="AC575" s="60"/>
      <c r="AD575" s="60"/>
      <c r="AE575" s="43"/>
      <c r="AF575" s="43"/>
      <c r="AG575" s="43"/>
      <c r="AH575" s="43"/>
      <c r="AI575" s="43"/>
      <c r="AJ575" s="43"/>
      <c r="AK575" s="43"/>
      <c r="AL575" s="43"/>
      <c r="AM575" s="43"/>
      <c r="AN575" s="43"/>
      <c r="AO575" s="1115">
        <f>'Zuschnitt Festfeld'!G46</f>
        <v>0</v>
      </c>
      <c r="AP575" s="1115">
        <f>'Zuschnitt Festfeld'!H46</f>
        <v>0</v>
      </c>
      <c r="AQ575" s="1115">
        <f>'Zuschnitt Festfeld'!I46</f>
        <v>0</v>
      </c>
      <c r="AR575" s="1115"/>
      <c r="AS575" s="1188">
        <v>1</v>
      </c>
      <c r="BD575" s="35"/>
      <c r="BF575" s="2135" t="str">
        <f t="shared" si="69"/>
        <v/>
      </c>
      <c r="BG575" s="2135">
        <f t="shared" si="70"/>
        <v>0</v>
      </c>
      <c r="BH575" s="2136" t="s">
        <v>10</v>
      </c>
    </row>
    <row r="576" spans="1:60" ht="24.95" customHeight="1" x14ac:dyDescent="0.25">
      <c r="A576" s="337" t="s">
        <v>27848</v>
      </c>
      <c r="B576" s="1511" t="str">
        <f>'Zuschnitt Festfeld'!B47</f>
        <v>83</v>
      </c>
      <c r="C576" s="2314"/>
      <c r="D576" s="32" t="str">
        <f>'Zuschnitt Festfeld'!F47</f>
        <v/>
      </c>
      <c r="E576" s="2314"/>
      <c r="F576" s="32">
        <f t="shared" si="72"/>
        <v>0</v>
      </c>
      <c r="G576" s="2314"/>
      <c r="H576" s="32">
        <f t="shared" si="67"/>
        <v>0</v>
      </c>
      <c r="I576" s="2314"/>
      <c r="J576" s="32">
        <f t="shared" si="68"/>
        <v>0</v>
      </c>
      <c r="K576" s="2314"/>
      <c r="L576" s="43"/>
      <c r="M576" s="2314"/>
      <c r="N576" s="1250" t="s">
        <v>28399</v>
      </c>
      <c r="O576" s="43"/>
      <c r="P576" s="44"/>
      <c r="Q576" s="1250" t="s">
        <v>73</v>
      </c>
      <c r="R576" s="1518">
        <f>'Zuschnitt Festfeld'!E47</f>
        <v>0</v>
      </c>
      <c r="S576" s="44"/>
      <c r="T576" s="44"/>
      <c r="U576" s="44"/>
      <c r="V576" s="43"/>
      <c r="W576" s="60"/>
      <c r="X576" s="60"/>
      <c r="Y576" s="60"/>
      <c r="Z576" s="43"/>
      <c r="AA576" s="43"/>
      <c r="AB576" s="60"/>
      <c r="AC576" s="60"/>
      <c r="AD576" s="60"/>
      <c r="AE576" s="43"/>
      <c r="AF576" s="43"/>
      <c r="AG576" s="43"/>
      <c r="AH576" s="43"/>
      <c r="AI576" s="43"/>
      <c r="AJ576" s="43"/>
      <c r="AK576" s="43"/>
      <c r="AL576" s="43"/>
      <c r="AM576" s="43"/>
      <c r="AN576" s="43"/>
      <c r="AO576" s="1115">
        <f>'Zuschnitt Festfeld'!G47</f>
        <v>0</v>
      </c>
      <c r="AP576" s="1115">
        <f>'Zuschnitt Festfeld'!H47</f>
        <v>0</v>
      </c>
      <c r="AQ576" s="1115">
        <f>'Zuschnitt Festfeld'!I47</f>
        <v>0</v>
      </c>
      <c r="AR576" s="1115"/>
      <c r="AS576" s="1188">
        <v>1</v>
      </c>
      <c r="BD576" s="35"/>
      <c r="BF576" s="2135" t="str">
        <f t="shared" si="69"/>
        <v/>
      </c>
      <c r="BG576" s="2135">
        <f t="shared" si="70"/>
        <v>0</v>
      </c>
      <c r="BH576" s="2136" t="s">
        <v>10</v>
      </c>
    </row>
    <row r="577" spans="1:60" ht="24.95" customHeight="1" x14ac:dyDescent="0.25">
      <c r="A577" s="337" t="s">
        <v>27848</v>
      </c>
      <c r="B577" s="1511" t="str">
        <f>'Zuschnitt Festfeld'!B48</f>
        <v>84</v>
      </c>
      <c r="C577" s="2314"/>
      <c r="D577" s="32" t="str">
        <f>'Zuschnitt Festfeld'!F48</f>
        <v/>
      </c>
      <c r="E577" s="2314"/>
      <c r="F577" s="32">
        <f t="shared" si="72"/>
        <v>0</v>
      </c>
      <c r="G577" s="2314"/>
      <c r="H577" s="32">
        <f t="shared" si="67"/>
        <v>0</v>
      </c>
      <c r="I577" s="2314"/>
      <c r="J577" s="32">
        <f t="shared" si="68"/>
        <v>0</v>
      </c>
      <c r="K577" s="2314"/>
      <c r="L577" s="43"/>
      <c r="M577" s="2314"/>
      <c r="N577" s="1250" t="s">
        <v>28399</v>
      </c>
      <c r="O577" s="43"/>
      <c r="P577" s="44"/>
      <c r="Q577" s="1250" t="s">
        <v>73</v>
      </c>
      <c r="R577" s="1518">
        <f>'Zuschnitt Festfeld'!E48</f>
        <v>0</v>
      </c>
      <c r="S577" s="44"/>
      <c r="T577" s="44"/>
      <c r="U577" s="44"/>
      <c r="V577" s="43"/>
      <c r="W577" s="60"/>
      <c r="X577" s="60"/>
      <c r="Y577" s="60"/>
      <c r="Z577" s="43"/>
      <c r="AA577" s="43"/>
      <c r="AB577" s="60"/>
      <c r="AC577" s="60"/>
      <c r="AD577" s="60"/>
      <c r="AE577" s="43"/>
      <c r="AF577" s="43"/>
      <c r="AG577" s="43"/>
      <c r="AH577" s="43"/>
      <c r="AI577" s="43"/>
      <c r="AJ577" s="43"/>
      <c r="AK577" s="43"/>
      <c r="AL577" s="43"/>
      <c r="AM577" s="43"/>
      <c r="AN577" s="43"/>
      <c r="AO577" s="1115">
        <f>'Zuschnitt Festfeld'!G48</f>
        <v>0</v>
      </c>
      <c r="AP577" s="1115">
        <f>'Zuschnitt Festfeld'!H48</f>
        <v>0</v>
      </c>
      <c r="AQ577" s="1115">
        <f>'Zuschnitt Festfeld'!I48</f>
        <v>0</v>
      </c>
      <c r="AR577" s="1115"/>
      <c r="AS577" s="1188">
        <v>1</v>
      </c>
      <c r="BD577" s="35"/>
      <c r="BF577" s="2135" t="str">
        <f t="shared" si="69"/>
        <v/>
      </c>
      <c r="BG577" s="2135">
        <f t="shared" si="70"/>
        <v>0</v>
      </c>
      <c r="BH577" s="2136" t="s">
        <v>10</v>
      </c>
    </row>
    <row r="578" spans="1:60" ht="24.95" customHeight="1" x14ac:dyDescent="0.25">
      <c r="A578" s="337" t="s">
        <v>27848</v>
      </c>
      <c r="B578" s="1511" t="str">
        <f>'Zuschnitt Festfeld'!B49</f>
        <v>85</v>
      </c>
      <c r="C578" s="2314"/>
      <c r="D578" s="32" t="str">
        <f>'Zuschnitt Festfeld'!F49</f>
        <v/>
      </c>
      <c r="E578" s="2314"/>
      <c r="F578" s="32">
        <f t="shared" si="72"/>
        <v>0</v>
      </c>
      <c r="G578" s="2314"/>
      <c r="H578" s="32">
        <f t="shared" si="67"/>
        <v>0</v>
      </c>
      <c r="I578" s="2314"/>
      <c r="J578" s="32">
        <f t="shared" si="68"/>
        <v>0</v>
      </c>
      <c r="K578" s="2314"/>
      <c r="L578" s="43"/>
      <c r="M578" s="2314"/>
      <c r="N578" s="1250" t="s">
        <v>28399</v>
      </c>
      <c r="O578" s="43"/>
      <c r="P578" s="44"/>
      <c r="Q578" s="1250" t="s">
        <v>73</v>
      </c>
      <c r="R578" s="1518">
        <f>'Zuschnitt Festfeld'!E49</f>
        <v>0</v>
      </c>
      <c r="S578" s="44"/>
      <c r="T578" s="44"/>
      <c r="U578" s="44"/>
      <c r="V578" s="43"/>
      <c r="W578" s="60"/>
      <c r="X578" s="60"/>
      <c r="Y578" s="60"/>
      <c r="Z578" s="43"/>
      <c r="AA578" s="43"/>
      <c r="AB578" s="60"/>
      <c r="AC578" s="60"/>
      <c r="AD578" s="60"/>
      <c r="AE578" s="43"/>
      <c r="AF578" s="43"/>
      <c r="AG578" s="43"/>
      <c r="AH578" s="43"/>
      <c r="AI578" s="43"/>
      <c r="AJ578" s="43"/>
      <c r="AK578" s="43"/>
      <c r="AL578" s="43"/>
      <c r="AM578" s="43"/>
      <c r="AN578" s="43"/>
      <c r="AO578" s="1115">
        <f>'Zuschnitt Festfeld'!G49</f>
        <v>0</v>
      </c>
      <c r="AP578" s="1115">
        <f>'Zuschnitt Festfeld'!H49</f>
        <v>0</v>
      </c>
      <c r="AQ578" s="1115">
        <f>'Zuschnitt Festfeld'!I49</f>
        <v>0</v>
      </c>
      <c r="AR578" s="1115"/>
      <c r="AS578" s="1188">
        <v>1</v>
      </c>
      <c r="BD578" s="35"/>
      <c r="BF578" s="2135" t="str">
        <f t="shared" si="69"/>
        <v/>
      </c>
      <c r="BG578" s="2135">
        <f t="shared" si="70"/>
        <v>0</v>
      </c>
      <c r="BH578" s="2136" t="s">
        <v>10</v>
      </c>
    </row>
    <row r="579" spans="1:60" ht="24.95" customHeight="1" x14ac:dyDescent="0.25">
      <c r="A579" s="337" t="s">
        <v>27848</v>
      </c>
      <c r="B579" s="1511" t="str">
        <f>'Zuschnitt Festfeld'!B50</f>
        <v>86</v>
      </c>
      <c r="C579" s="2314"/>
      <c r="D579" s="32" t="str">
        <f>'Zuschnitt Festfeld'!F50</f>
        <v/>
      </c>
      <c r="E579" s="2314"/>
      <c r="F579" s="32">
        <f t="shared" si="72"/>
        <v>0</v>
      </c>
      <c r="G579" s="2314"/>
      <c r="H579" s="32">
        <f t="shared" si="67"/>
        <v>0</v>
      </c>
      <c r="I579" s="2314"/>
      <c r="J579" s="32">
        <f t="shared" si="68"/>
        <v>0</v>
      </c>
      <c r="K579" s="2314"/>
      <c r="L579" s="43"/>
      <c r="M579" s="2314"/>
      <c r="N579" s="1250" t="s">
        <v>28399</v>
      </c>
      <c r="O579" s="43"/>
      <c r="P579" s="44"/>
      <c r="Q579" s="1250" t="s">
        <v>73</v>
      </c>
      <c r="R579" s="1518">
        <f>'Zuschnitt Festfeld'!E50</f>
        <v>0</v>
      </c>
      <c r="S579" s="44"/>
      <c r="T579" s="44"/>
      <c r="U579" s="44"/>
      <c r="V579" s="43"/>
      <c r="W579" s="60"/>
      <c r="X579" s="60"/>
      <c r="Y579" s="60"/>
      <c r="Z579" s="43"/>
      <c r="AA579" s="43"/>
      <c r="AB579" s="60"/>
      <c r="AC579" s="60"/>
      <c r="AD579" s="60"/>
      <c r="AE579" s="43"/>
      <c r="AF579" s="43"/>
      <c r="AG579" s="43"/>
      <c r="AH579" s="43"/>
      <c r="AI579" s="43"/>
      <c r="AJ579" s="43"/>
      <c r="AK579" s="43"/>
      <c r="AL579" s="43"/>
      <c r="AM579" s="43"/>
      <c r="AN579" s="43"/>
      <c r="AO579" s="1115">
        <f>'Zuschnitt Festfeld'!G50</f>
        <v>0</v>
      </c>
      <c r="AP579" s="1115">
        <f>'Zuschnitt Festfeld'!H50</f>
        <v>0</v>
      </c>
      <c r="AQ579" s="1115">
        <f>'Zuschnitt Festfeld'!I50</f>
        <v>0</v>
      </c>
      <c r="AR579" s="1115"/>
      <c r="AS579" s="1188">
        <v>1</v>
      </c>
      <c r="BD579" s="35"/>
      <c r="BF579" s="2135" t="str">
        <f t="shared" si="69"/>
        <v/>
      </c>
      <c r="BG579" s="2135">
        <f t="shared" si="70"/>
        <v>0</v>
      </c>
      <c r="BH579" s="2136" t="s">
        <v>10</v>
      </c>
    </row>
    <row r="580" spans="1:60" ht="24.95" customHeight="1" x14ac:dyDescent="0.25">
      <c r="A580" s="337" t="s">
        <v>27848</v>
      </c>
      <c r="B580" s="1511" t="str">
        <f>'Zuschnitt Festfeld'!B51</f>
        <v>87</v>
      </c>
      <c r="C580" s="2314"/>
      <c r="D580" s="32" t="str">
        <f>'Zuschnitt Festfeld'!F51</f>
        <v/>
      </c>
      <c r="E580" s="2314"/>
      <c r="F580" s="32">
        <f t="shared" si="72"/>
        <v>0</v>
      </c>
      <c r="G580" s="2314"/>
      <c r="H580" s="32">
        <f t="shared" si="67"/>
        <v>0</v>
      </c>
      <c r="I580" s="2314"/>
      <c r="J580" s="32">
        <f t="shared" si="68"/>
        <v>0</v>
      </c>
      <c r="K580" s="2314"/>
      <c r="L580" s="43"/>
      <c r="M580" s="2314"/>
      <c r="N580" s="1250" t="s">
        <v>28399</v>
      </c>
      <c r="O580" s="43"/>
      <c r="P580" s="44"/>
      <c r="Q580" s="1250" t="s">
        <v>73</v>
      </c>
      <c r="R580" s="1518">
        <f>'Zuschnitt Festfeld'!E51</f>
        <v>0</v>
      </c>
      <c r="S580" s="44"/>
      <c r="T580" s="44"/>
      <c r="U580" s="44"/>
      <c r="V580" s="43"/>
      <c r="W580" s="60"/>
      <c r="X580" s="60"/>
      <c r="Y580" s="60"/>
      <c r="Z580" s="43"/>
      <c r="AA580" s="43"/>
      <c r="AB580" s="60"/>
      <c r="AC580" s="60"/>
      <c r="AD580" s="60"/>
      <c r="AE580" s="43"/>
      <c r="AF580" s="43"/>
      <c r="AG580" s="43"/>
      <c r="AH580" s="43"/>
      <c r="AI580" s="43"/>
      <c r="AJ580" s="43"/>
      <c r="AK580" s="43"/>
      <c r="AL580" s="43"/>
      <c r="AM580" s="43"/>
      <c r="AN580" s="43"/>
      <c r="AO580" s="1115">
        <f>'Zuschnitt Festfeld'!G51</f>
        <v>0</v>
      </c>
      <c r="AP580" s="1115">
        <f>'Zuschnitt Festfeld'!H51</f>
        <v>0</v>
      </c>
      <c r="AQ580" s="1115">
        <f>'Zuschnitt Festfeld'!I51</f>
        <v>0</v>
      </c>
      <c r="AR580" s="1115"/>
      <c r="AS580" s="1188">
        <v>1</v>
      </c>
      <c r="BD580" s="35"/>
      <c r="BF580" s="2135" t="str">
        <f t="shared" si="69"/>
        <v/>
      </c>
      <c r="BG580" s="2135">
        <f t="shared" si="70"/>
        <v>0</v>
      </c>
      <c r="BH580" s="2136" t="s">
        <v>10</v>
      </c>
    </row>
    <row r="581" spans="1:60" ht="24.95" customHeight="1" x14ac:dyDescent="0.25">
      <c r="A581" s="337" t="s">
        <v>27848</v>
      </c>
      <c r="B581" s="1511" t="str">
        <f>'Zuschnitt Festfeld'!B52</f>
        <v>88</v>
      </c>
      <c r="C581" s="2314"/>
      <c r="D581" s="32" t="str">
        <f>'Zuschnitt Festfeld'!F52</f>
        <v/>
      </c>
      <c r="E581" s="2314"/>
      <c r="F581" s="32">
        <f t="shared" si="72"/>
        <v>0</v>
      </c>
      <c r="G581" s="2314"/>
      <c r="H581" s="32">
        <f t="shared" si="67"/>
        <v>0</v>
      </c>
      <c r="I581" s="2314"/>
      <c r="J581" s="32">
        <f t="shared" si="68"/>
        <v>0</v>
      </c>
      <c r="K581" s="2314"/>
      <c r="L581" s="43"/>
      <c r="M581" s="2314"/>
      <c r="N581" s="1250" t="s">
        <v>28399</v>
      </c>
      <c r="O581" s="43"/>
      <c r="P581" s="44"/>
      <c r="Q581" s="1250" t="s">
        <v>73</v>
      </c>
      <c r="R581" s="1518">
        <f>'Zuschnitt Festfeld'!E52</f>
        <v>0</v>
      </c>
      <c r="S581" s="44"/>
      <c r="T581" s="44"/>
      <c r="U581" s="44"/>
      <c r="V581" s="43"/>
      <c r="W581" s="60"/>
      <c r="X581" s="60"/>
      <c r="Y581" s="60"/>
      <c r="Z581" s="43"/>
      <c r="AA581" s="43"/>
      <c r="AB581" s="60"/>
      <c r="AC581" s="60"/>
      <c r="AD581" s="60"/>
      <c r="AE581" s="43"/>
      <c r="AF581" s="43"/>
      <c r="AG581" s="43"/>
      <c r="AH581" s="43"/>
      <c r="AI581" s="43"/>
      <c r="AJ581" s="43"/>
      <c r="AK581" s="43"/>
      <c r="AL581" s="43"/>
      <c r="AM581" s="43"/>
      <c r="AN581" s="43"/>
      <c r="AO581" s="1115">
        <f>'Zuschnitt Festfeld'!G52</f>
        <v>0</v>
      </c>
      <c r="AP581" s="1115">
        <f>'Zuschnitt Festfeld'!H52</f>
        <v>0</v>
      </c>
      <c r="AQ581" s="1115">
        <f>'Zuschnitt Festfeld'!I52</f>
        <v>0</v>
      </c>
      <c r="AR581" s="1115"/>
      <c r="AS581" s="1188">
        <v>1</v>
      </c>
      <c r="BD581" s="35"/>
      <c r="BF581" s="2135" t="str">
        <f t="shared" si="69"/>
        <v/>
      </c>
      <c r="BG581" s="2135">
        <f t="shared" si="70"/>
        <v>0</v>
      </c>
      <c r="BH581" s="2136" t="s">
        <v>10</v>
      </c>
    </row>
    <row r="582" spans="1:60" ht="24.95" customHeight="1" x14ac:dyDescent="0.25">
      <c r="A582" s="337" t="s">
        <v>27848</v>
      </c>
      <c r="B582" s="1511" t="str">
        <f>'Zuschnitt Festfeld'!B53</f>
        <v>89</v>
      </c>
      <c r="C582" s="2314"/>
      <c r="D582" s="32" t="str">
        <f>'Zuschnitt Festfeld'!F53</f>
        <v/>
      </c>
      <c r="E582" s="2314"/>
      <c r="F582" s="32">
        <f t="shared" si="72"/>
        <v>0</v>
      </c>
      <c r="G582" s="2314"/>
      <c r="H582" s="32">
        <f t="shared" si="67"/>
        <v>0</v>
      </c>
      <c r="I582" s="2314"/>
      <c r="J582" s="32">
        <f t="shared" si="68"/>
        <v>0</v>
      </c>
      <c r="K582" s="2314"/>
      <c r="L582" s="43"/>
      <c r="M582" s="2314"/>
      <c r="N582" s="1250" t="s">
        <v>28399</v>
      </c>
      <c r="O582" s="43"/>
      <c r="P582" s="44"/>
      <c r="Q582" s="1250" t="s">
        <v>73</v>
      </c>
      <c r="R582" s="1518">
        <f>'Zuschnitt Festfeld'!E53</f>
        <v>0</v>
      </c>
      <c r="S582" s="44"/>
      <c r="T582" s="44"/>
      <c r="U582" s="44"/>
      <c r="V582" s="43"/>
      <c r="W582" s="60"/>
      <c r="X582" s="60"/>
      <c r="Y582" s="60"/>
      <c r="Z582" s="43"/>
      <c r="AA582" s="43"/>
      <c r="AB582" s="60"/>
      <c r="AC582" s="60"/>
      <c r="AD582" s="60"/>
      <c r="AE582" s="43"/>
      <c r="AF582" s="43"/>
      <c r="AG582" s="43"/>
      <c r="AH582" s="43"/>
      <c r="AI582" s="43"/>
      <c r="AJ582" s="43"/>
      <c r="AK582" s="43"/>
      <c r="AL582" s="43"/>
      <c r="AM582" s="43"/>
      <c r="AN582" s="43"/>
      <c r="AO582" s="1115">
        <f>'Zuschnitt Festfeld'!G53</f>
        <v>0</v>
      </c>
      <c r="AP582" s="1115">
        <f>'Zuschnitt Festfeld'!H53</f>
        <v>0</v>
      </c>
      <c r="AQ582" s="1115">
        <f>'Zuschnitt Festfeld'!I53</f>
        <v>0</v>
      </c>
      <c r="AR582" s="1115"/>
      <c r="AS582" s="1188">
        <v>1</v>
      </c>
      <c r="BD582" s="35"/>
      <c r="BF582" s="2135" t="str">
        <f t="shared" si="69"/>
        <v/>
      </c>
      <c r="BG582" s="2135">
        <f t="shared" si="70"/>
        <v>0</v>
      </c>
      <c r="BH582" s="2136" t="s">
        <v>10</v>
      </c>
    </row>
    <row r="583" spans="1:60" ht="24.95" customHeight="1" x14ac:dyDescent="0.25">
      <c r="A583" s="337" t="s">
        <v>27848</v>
      </c>
      <c r="B583" s="1511" t="str">
        <f>'Zuschnitt Festfeld'!B54</f>
        <v>90</v>
      </c>
      <c r="C583" s="2314"/>
      <c r="D583" s="32" t="str">
        <f>'Zuschnitt Festfeld'!F54</f>
        <v/>
      </c>
      <c r="E583" s="2314"/>
      <c r="F583" s="32">
        <f t="shared" si="72"/>
        <v>0</v>
      </c>
      <c r="G583" s="2314"/>
      <c r="H583" s="32">
        <f t="shared" si="67"/>
        <v>0</v>
      </c>
      <c r="I583" s="2314"/>
      <c r="J583" s="32">
        <f t="shared" si="68"/>
        <v>0</v>
      </c>
      <c r="K583" s="2314"/>
      <c r="L583" s="43"/>
      <c r="M583" s="2314"/>
      <c r="N583" s="1250" t="s">
        <v>28399</v>
      </c>
      <c r="O583" s="43"/>
      <c r="P583" s="44"/>
      <c r="Q583" s="1250" t="s">
        <v>73</v>
      </c>
      <c r="R583" s="1518">
        <f>'Zuschnitt Festfeld'!E54</f>
        <v>0</v>
      </c>
      <c r="S583" s="44"/>
      <c r="T583" s="44"/>
      <c r="U583" s="44"/>
      <c r="V583" s="43"/>
      <c r="W583" s="60"/>
      <c r="X583" s="60"/>
      <c r="Y583" s="60"/>
      <c r="Z583" s="43"/>
      <c r="AA583" s="43"/>
      <c r="AB583" s="60"/>
      <c r="AC583" s="60"/>
      <c r="AD583" s="60"/>
      <c r="AE583" s="43"/>
      <c r="AF583" s="43"/>
      <c r="AG583" s="43"/>
      <c r="AH583" s="43"/>
      <c r="AI583" s="43"/>
      <c r="AJ583" s="43"/>
      <c r="AK583" s="43"/>
      <c r="AL583" s="43"/>
      <c r="AM583" s="43"/>
      <c r="AN583" s="43"/>
      <c r="AO583" s="1115">
        <f>'Zuschnitt Festfeld'!G54</f>
        <v>0</v>
      </c>
      <c r="AP583" s="1115">
        <f>'Zuschnitt Festfeld'!H54</f>
        <v>0</v>
      </c>
      <c r="AQ583" s="1115">
        <f>'Zuschnitt Festfeld'!I54</f>
        <v>0</v>
      </c>
      <c r="AR583" s="1115"/>
      <c r="AS583" s="1188">
        <v>1</v>
      </c>
      <c r="BD583" s="35"/>
      <c r="BF583" s="2135" t="str">
        <f t="shared" si="69"/>
        <v/>
      </c>
      <c r="BG583" s="2135">
        <f t="shared" si="70"/>
        <v>0</v>
      </c>
      <c r="BH583" s="2136" t="s">
        <v>10</v>
      </c>
    </row>
    <row r="584" spans="1:60" ht="24.95" customHeight="1" x14ac:dyDescent="0.25">
      <c r="A584" s="337" t="s">
        <v>27848</v>
      </c>
      <c r="B584" s="1511" t="str">
        <f>'Zuschnitt Festfeld'!B55</f>
        <v>91</v>
      </c>
      <c r="C584" s="2314"/>
      <c r="D584" s="32" t="str">
        <f>'Zuschnitt Festfeld'!F55</f>
        <v/>
      </c>
      <c r="E584" s="2314"/>
      <c r="F584" s="32">
        <f t="shared" si="72"/>
        <v>0</v>
      </c>
      <c r="G584" s="2314"/>
      <c r="H584" s="32">
        <f t="shared" si="67"/>
        <v>0</v>
      </c>
      <c r="I584" s="2314"/>
      <c r="J584" s="32">
        <f t="shared" si="68"/>
        <v>0</v>
      </c>
      <c r="K584" s="2314"/>
      <c r="L584" s="43"/>
      <c r="M584" s="2314"/>
      <c r="N584" s="1250" t="s">
        <v>28399</v>
      </c>
      <c r="O584" s="43"/>
      <c r="P584" s="44"/>
      <c r="Q584" s="1250" t="s">
        <v>73</v>
      </c>
      <c r="R584" s="1518">
        <f>'Zuschnitt Festfeld'!E55</f>
        <v>0</v>
      </c>
      <c r="S584" s="44"/>
      <c r="T584" s="44"/>
      <c r="U584" s="44"/>
      <c r="V584" s="43"/>
      <c r="W584" s="60"/>
      <c r="X584" s="60"/>
      <c r="Y584" s="60"/>
      <c r="Z584" s="43"/>
      <c r="AA584" s="43"/>
      <c r="AB584" s="60"/>
      <c r="AC584" s="60"/>
      <c r="AD584" s="60"/>
      <c r="AE584" s="43"/>
      <c r="AF584" s="43"/>
      <c r="AG584" s="43"/>
      <c r="AH584" s="43"/>
      <c r="AI584" s="43"/>
      <c r="AJ584" s="43"/>
      <c r="AK584" s="43"/>
      <c r="AL584" s="43"/>
      <c r="AM584" s="43"/>
      <c r="AN584" s="43"/>
      <c r="AO584" s="1115">
        <f>'Zuschnitt Festfeld'!G55</f>
        <v>0</v>
      </c>
      <c r="AP584" s="1115">
        <f>'Zuschnitt Festfeld'!H55</f>
        <v>0</v>
      </c>
      <c r="AQ584" s="1115">
        <f>'Zuschnitt Festfeld'!I55</f>
        <v>0</v>
      </c>
      <c r="AR584" s="1115"/>
      <c r="AS584" s="1188">
        <v>1</v>
      </c>
      <c r="BD584" s="35"/>
      <c r="BF584" s="2135" t="str">
        <f t="shared" si="69"/>
        <v/>
      </c>
      <c r="BG584" s="2135">
        <f t="shared" si="70"/>
        <v>0</v>
      </c>
      <c r="BH584" s="2136" t="s">
        <v>10</v>
      </c>
    </row>
    <row r="585" spans="1:60" ht="24.95" customHeight="1" x14ac:dyDescent="0.25">
      <c r="A585" s="337" t="s">
        <v>27848</v>
      </c>
      <c r="B585" s="1511" t="str">
        <f>'Zuschnitt Festfeld'!B56</f>
        <v>92</v>
      </c>
      <c r="C585" s="2314"/>
      <c r="D585" s="32" t="str">
        <f>'Zuschnitt Festfeld'!F56</f>
        <v/>
      </c>
      <c r="E585" s="2314"/>
      <c r="F585" s="32">
        <f t="shared" si="72"/>
        <v>0</v>
      </c>
      <c r="G585" s="2314"/>
      <c r="H585" s="32">
        <f t="shared" si="67"/>
        <v>0</v>
      </c>
      <c r="I585" s="2314"/>
      <c r="J585" s="32">
        <f t="shared" si="68"/>
        <v>0</v>
      </c>
      <c r="K585" s="2314"/>
      <c r="L585" s="43"/>
      <c r="M585" s="2314"/>
      <c r="N585" s="1250" t="s">
        <v>28399</v>
      </c>
      <c r="O585" s="43"/>
      <c r="P585" s="44"/>
      <c r="Q585" s="1250" t="s">
        <v>73</v>
      </c>
      <c r="R585" s="1518">
        <f>'Zuschnitt Festfeld'!E56</f>
        <v>0</v>
      </c>
      <c r="S585" s="44"/>
      <c r="T585" s="44"/>
      <c r="U585" s="44"/>
      <c r="V585" s="43"/>
      <c r="W585" s="60"/>
      <c r="X585" s="60"/>
      <c r="Y585" s="60"/>
      <c r="Z585" s="43"/>
      <c r="AA585" s="43"/>
      <c r="AB585" s="60"/>
      <c r="AC585" s="60"/>
      <c r="AD585" s="60"/>
      <c r="AE585" s="43"/>
      <c r="AF585" s="43"/>
      <c r="AG585" s="43"/>
      <c r="AH585" s="43"/>
      <c r="AI585" s="43"/>
      <c r="AJ585" s="43"/>
      <c r="AK585" s="43"/>
      <c r="AL585" s="43"/>
      <c r="AM585" s="43"/>
      <c r="AN585" s="43"/>
      <c r="AO585" s="1115">
        <f>'Zuschnitt Festfeld'!G56</f>
        <v>0</v>
      </c>
      <c r="AP585" s="1115">
        <f>'Zuschnitt Festfeld'!H56</f>
        <v>0</v>
      </c>
      <c r="AQ585" s="1115">
        <f>'Zuschnitt Festfeld'!I56</f>
        <v>0</v>
      </c>
      <c r="AR585" s="1115"/>
      <c r="AS585" s="1188">
        <v>1</v>
      </c>
      <c r="BD585" s="35"/>
      <c r="BF585" s="2135" t="str">
        <f t="shared" si="69"/>
        <v/>
      </c>
      <c r="BG585" s="2135">
        <f t="shared" si="70"/>
        <v>0</v>
      </c>
      <c r="BH585" s="2136" t="s">
        <v>10</v>
      </c>
    </row>
    <row r="586" spans="1:60" ht="24.95" customHeight="1" x14ac:dyDescent="0.25">
      <c r="A586" s="337" t="s">
        <v>27848</v>
      </c>
      <c r="B586" s="1511" t="str">
        <f>'Zuschnitt Festfeld'!B57</f>
        <v>93</v>
      </c>
      <c r="C586" s="2314"/>
      <c r="D586" s="32" t="str">
        <f>'Zuschnitt Festfeld'!F57</f>
        <v/>
      </c>
      <c r="E586" s="2314"/>
      <c r="F586" s="32">
        <f t="shared" si="72"/>
        <v>0</v>
      </c>
      <c r="G586" s="2314"/>
      <c r="H586" s="32">
        <f t="shared" si="67"/>
        <v>0</v>
      </c>
      <c r="I586" s="2314"/>
      <c r="J586" s="32">
        <f t="shared" si="68"/>
        <v>0</v>
      </c>
      <c r="K586" s="2314"/>
      <c r="L586" s="43"/>
      <c r="M586" s="2314"/>
      <c r="N586" s="1250" t="s">
        <v>28399</v>
      </c>
      <c r="O586" s="43"/>
      <c r="P586" s="44"/>
      <c r="Q586" s="1250" t="s">
        <v>73</v>
      </c>
      <c r="R586" s="1518">
        <f>'Zuschnitt Festfeld'!E57</f>
        <v>0</v>
      </c>
      <c r="S586" s="44"/>
      <c r="T586" s="44"/>
      <c r="U586" s="44"/>
      <c r="V586" s="43"/>
      <c r="W586" s="60"/>
      <c r="X586" s="60"/>
      <c r="Y586" s="60"/>
      <c r="Z586" s="43"/>
      <c r="AA586" s="43"/>
      <c r="AB586" s="60"/>
      <c r="AC586" s="60"/>
      <c r="AD586" s="60"/>
      <c r="AE586" s="43"/>
      <c r="AF586" s="43"/>
      <c r="AG586" s="43"/>
      <c r="AH586" s="43"/>
      <c r="AI586" s="43"/>
      <c r="AJ586" s="43"/>
      <c r="AK586" s="43"/>
      <c r="AL586" s="43"/>
      <c r="AM586" s="43"/>
      <c r="AN586" s="43"/>
      <c r="AO586" s="1115">
        <f>'Zuschnitt Festfeld'!G57</f>
        <v>0</v>
      </c>
      <c r="AP586" s="1115">
        <f>'Zuschnitt Festfeld'!H57</f>
        <v>0</v>
      </c>
      <c r="AQ586" s="1115">
        <f>'Zuschnitt Festfeld'!I57</f>
        <v>0</v>
      </c>
      <c r="AR586" s="1115"/>
      <c r="AS586" s="1188">
        <v>1</v>
      </c>
      <c r="BD586" s="35"/>
      <c r="BF586" s="2135" t="str">
        <f t="shared" si="69"/>
        <v/>
      </c>
      <c r="BG586" s="2135">
        <f t="shared" si="70"/>
        <v>0</v>
      </c>
      <c r="BH586" s="2136" t="s">
        <v>10</v>
      </c>
    </row>
    <row r="587" spans="1:60" ht="24.95" customHeight="1" x14ac:dyDescent="0.25">
      <c r="A587" s="337" t="s">
        <v>27848</v>
      </c>
      <c r="B587" s="1511" t="str">
        <f>'Zuschnitt Festfeld'!B58</f>
        <v>94</v>
      </c>
      <c r="C587" s="2314"/>
      <c r="D587" s="32" t="str">
        <f>'Zuschnitt Festfeld'!F58</f>
        <v/>
      </c>
      <c r="E587" s="2314"/>
      <c r="F587" s="32">
        <f t="shared" si="72"/>
        <v>0</v>
      </c>
      <c r="G587" s="2314"/>
      <c r="H587" s="32">
        <f t="shared" si="67"/>
        <v>0</v>
      </c>
      <c r="I587" s="2314"/>
      <c r="J587" s="32">
        <f t="shared" si="68"/>
        <v>0</v>
      </c>
      <c r="K587" s="2314"/>
      <c r="L587" s="43"/>
      <c r="M587" s="2314"/>
      <c r="N587" s="1250" t="s">
        <v>28399</v>
      </c>
      <c r="O587" s="43"/>
      <c r="P587" s="44"/>
      <c r="Q587" s="1250" t="s">
        <v>73</v>
      </c>
      <c r="R587" s="1518">
        <f>'Zuschnitt Festfeld'!E58</f>
        <v>0</v>
      </c>
      <c r="S587" s="44"/>
      <c r="T587" s="44"/>
      <c r="U587" s="44"/>
      <c r="V587" s="43"/>
      <c r="W587" s="60"/>
      <c r="X587" s="60"/>
      <c r="Y587" s="60"/>
      <c r="Z587" s="43"/>
      <c r="AA587" s="43"/>
      <c r="AB587" s="60"/>
      <c r="AC587" s="60"/>
      <c r="AD587" s="60"/>
      <c r="AE587" s="43"/>
      <c r="AF587" s="43"/>
      <c r="AG587" s="43"/>
      <c r="AH587" s="43"/>
      <c r="AI587" s="43"/>
      <c r="AJ587" s="43"/>
      <c r="AK587" s="43"/>
      <c r="AL587" s="43"/>
      <c r="AM587" s="43"/>
      <c r="AN587" s="43"/>
      <c r="AO587" s="1115">
        <f>'Zuschnitt Festfeld'!G58</f>
        <v>0</v>
      </c>
      <c r="AP587" s="1115">
        <f>'Zuschnitt Festfeld'!H58</f>
        <v>0</v>
      </c>
      <c r="AQ587" s="1115">
        <f>'Zuschnitt Festfeld'!I58</f>
        <v>0</v>
      </c>
      <c r="AR587" s="1115"/>
      <c r="AS587" s="1188">
        <v>1</v>
      </c>
      <c r="BD587" s="35"/>
      <c r="BF587" s="2135" t="str">
        <f t="shared" si="69"/>
        <v/>
      </c>
      <c r="BG587" s="2135">
        <f t="shared" si="70"/>
        <v>0</v>
      </c>
      <c r="BH587" s="2136" t="s">
        <v>10</v>
      </c>
    </row>
    <row r="588" spans="1:60" ht="24.95" customHeight="1" x14ac:dyDescent="0.25">
      <c r="A588" s="337" t="s">
        <v>27848</v>
      </c>
      <c r="B588" s="1511" t="str">
        <f>'Zuschnitt Festfeld'!B59</f>
        <v>95</v>
      </c>
      <c r="C588" s="2314"/>
      <c r="D588" s="32" t="str">
        <f>'Zuschnitt Festfeld'!F59</f>
        <v/>
      </c>
      <c r="E588" s="2314"/>
      <c r="F588" s="32">
        <f t="shared" si="72"/>
        <v>0</v>
      </c>
      <c r="G588" s="2314"/>
      <c r="H588" s="32">
        <f t="shared" si="67"/>
        <v>0</v>
      </c>
      <c r="I588" s="2314"/>
      <c r="J588" s="32">
        <f t="shared" si="68"/>
        <v>0</v>
      </c>
      <c r="K588" s="2314"/>
      <c r="L588" s="43"/>
      <c r="M588" s="2314"/>
      <c r="N588" s="1250" t="s">
        <v>28399</v>
      </c>
      <c r="O588" s="43"/>
      <c r="P588" s="44"/>
      <c r="Q588" s="1250" t="s">
        <v>73</v>
      </c>
      <c r="R588" s="1518">
        <f>'Zuschnitt Festfeld'!E59</f>
        <v>0</v>
      </c>
      <c r="S588" s="44"/>
      <c r="T588" s="44"/>
      <c r="U588" s="44"/>
      <c r="V588" s="43"/>
      <c r="W588" s="60"/>
      <c r="X588" s="60"/>
      <c r="Y588" s="60"/>
      <c r="Z588" s="43"/>
      <c r="AA588" s="43"/>
      <c r="AB588" s="60"/>
      <c r="AC588" s="60"/>
      <c r="AD588" s="60"/>
      <c r="AE588" s="43"/>
      <c r="AF588" s="43"/>
      <c r="AG588" s="43"/>
      <c r="AH588" s="43"/>
      <c r="AI588" s="43"/>
      <c r="AJ588" s="43"/>
      <c r="AK588" s="43"/>
      <c r="AL588" s="43"/>
      <c r="AM588" s="43"/>
      <c r="AN588" s="43"/>
      <c r="AO588" s="1115">
        <f>'Zuschnitt Festfeld'!G59</f>
        <v>0</v>
      </c>
      <c r="AP588" s="1115">
        <f>'Zuschnitt Festfeld'!H59</f>
        <v>0</v>
      </c>
      <c r="AQ588" s="1115">
        <f>'Zuschnitt Festfeld'!I59</f>
        <v>0</v>
      </c>
      <c r="AR588" s="1115"/>
      <c r="AS588" s="1188">
        <v>1</v>
      </c>
      <c r="BD588" s="35"/>
      <c r="BF588" s="2135" t="str">
        <f t="shared" si="69"/>
        <v/>
      </c>
      <c r="BG588" s="2135">
        <f t="shared" si="70"/>
        <v>0</v>
      </c>
      <c r="BH588" s="2136" t="s">
        <v>10</v>
      </c>
    </row>
    <row r="589" spans="1:60" ht="24.95" customHeight="1" x14ac:dyDescent="0.25">
      <c r="A589" s="337" t="s">
        <v>27848</v>
      </c>
      <c r="B589" s="1511" t="str">
        <f>'Zuschnitt Festfeld'!B60</f>
        <v>96</v>
      </c>
      <c r="C589" s="2314"/>
      <c r="D589" s="32" t="str">
        <f>'Zuschnitt Festfeld'!F60</f>
        <v/>
      </c>
      <c r="E589" s="2314"/>
      <c r="F589" s="32">
        <f t="shared" si="72"/>
        <v>0</v>
      </c>
      <c r="G589" s="2314"/>
      <c r="H589" s="32">
        <f t="shared" si="67"/>
        <v>0</v>
      </c>
      <c r="I589" s="2314"/>
      <c r="J589" s="32">
        <f t="shared" si="68"/>
        <v>0</v>
      </c>
      <c r="K589" s="2314"/>
      <c r="L589" s="43"/>
      <c r="M589" s="2314"/>
      <c r="N589" s="1250" t="s">
        <v>28399</v>
      </c>
      <c r="O589" s="43"/>
      <c r="P589" s="44"/>
      <c r="Q589" s="1250" t="s">
        <v>73</v>
      </c>
      <c r="R589" s="1518">
        <f>'Zuschnitt Festfeld'!E60</f>
        <v>0</v>
      </c>
      <c r="S589" s="44"/>
      <c r="T589" s="44"/>
      <c r="U589" s="44"/>
      <c r="V589" s="43"/>
      <c r="W589" s="60"/>
      <c r="X589" s="60"/>
      <c r="Y589" s="60"/>
      <c r="Z589" s="43"/>
      <c r="AA589" s="43"/>
      <c r="AB589" s="60"/>
      <c r="AC589" s="60"/>
      <c r="AD589" s="60"/>
      <c r="AE589" s="43"/>
      <c r="AF589" s="43"/>
      <c r="AG589" s="43"/>
      <c r="AH589" s="43"/>
      <c r="AI589" s="43"/>
      <c r="AJ589" s="43"/>
      <c r="AK589" s="43"/>
      <c r="AL589" s="43"/>
      <c r="AM589" s="43"/>
      <c r="AN589" s="43"/>
      <c r="AO589" s="1115">
        <f>'Zuschnitt Festfeld'!G60</f>
        <v>0</v>
      </c>
      <c r="AP589" s="1115">
        <f>'Zuschnitt Festfeld'!H60</f>
        <v>0</v>
      </c>
      <c r="AQ589" s="1115">
        <f>'Zuschnitt Festfeld'!I60</f>
        <v>0</v>
      </c>
      <c r="AR589" s="1115"/>
      <c r="AS589" s="1188">
        <v>1</v>
      </c>
      <c r="BD589" s="35"/>
      <c r="BF589" s="2135" t="str">
        <f t="shared" si="69"/>
        <v/>
      </c>
      <c r="BG589" s="2135">
        <f t="shared" si="70"/>
        <v>0</v>
      </c>
      <c r="BH589" s="2136" t="s">
        <v>10</v>
      </c>
    </row>
    <row r="590" spans="1:60" ht="24.95" customHeight="1" x14ac:dyDescent="0.25">
      <c r="A590" s="337" t="s">
        <v>27848</v>
      </c>
      <c r="B590" s="1511" t="str">
        <f>'Zuschnitt Festfeld'!B61</f>
        <v>97</v>
      </c>
      <c r="C590" s="2314"/>
      <c r="D590" s="32" t="str">
        <f>'Zuschnitt Festfeld'!F61</f>
        <v/>
      </c>
      <c r="E590" s="2314"/>
      <c r="F590" s="32">
        <f t="shared" si="72"/>
        <v>0</v>
      </c>
      <c r="G590" s="2314"/>
      <c r="H590" s="32">
        <f t="shared" si="67"/>
        <v>0</v>
      </c>
      <c r="I590" s="2314"/>
      <c r="J590" s="32">
        <f t="shared" si="68"/>
        <v>0</v>
      </c>
      <c r="K590" s="2314"/>
      <c r="L590" s="43"/>
      <c r="M590" s="2314"/>
      <c r="N590" s="1250" t="s">
        <v>28399</v>
      </c>
      <c r="O590" s="43"/>
      <c r="P590" s="44"/>
      <c r="Q590" s="1250" t="s">
        <v>73</v>
      </c>
      <c r="R590" s="1518">
        <f>'Zuschnitt Festfeld'!E61</f>
        <v>0</v>
      </c>
      <c r="S590" s="44"/>
      <c r="T590" s="44"/>
      <c r="U590" s="44"/>
      <c r="V590" s="43"/>
      <c r="W590" s="60"/>
      <c r="X590" s="60"/>
      <c r="Y590" s="60"/>
      <c r="Z590" s="43"/>
      <c r="AA590" s="43"/>
      <c r="AB590" s="60"/>
      <c r="AC590" s="60"/>
      <c r="AD590" s="60"/>
      <c r="AE590" s="43"/>
      <c r="AF590" s="43"/>
      <c r="AG590" s="43"/>
      <c r="AH590" s="43"/>
      <c r="AI590" s="43"/>
      <c r="AJ590" s="43"/>
      <c r="AK590" s="43"/>
      <c r="AL590" s="43"/>
      <c r="AM590" s="43"/>
      <c r="AN590" s="43"/>
      <c r="AO590" s="1115">
        <f>'Zuschnitt Festfeld'!G61</f>
        <v>0</v>
      </c>
      <c r="AP590" s="1115">
        <f>'Zuschnitt Festfeld'!H61</f>
        <v>0</v>
      </c>
      <c r="AQ590" s="1115">
        <f>'Zuschnitt Festfeld'!I61</f>
        <v>0</v>
      </c>
      <c r="AR590" s="1115"/>
      <c r="AS590" s="1188">
        <v>1</v>
      </c>
      <c r="BD590" s="35"/>
      <c r="BF590" s="2135" t="str">
        <f t="shared" si="69"/>
        <v/>
      </c>
      <c r="BG590" s="2135">
        <f t="shared" si="70"/>
        <v>0</v>
      </c>
      <c r="BH590" s="2136" t="s">
        <v>10</v>
      </c>
    </row>
    <row r="591" spans="1:60" ht="24.95" customHeight="1" x14ac:dyDescent="0.25">
      <c r="A591" s="337" t="s">
        <v>27848</v>
      </c>
      <c r="B591" s="1511" t="str">
        <f>'Zuschnitt Festfeld'!B62</f>
        <v>98</v>
      </c>
      <c r="C591" s="2314"/>
      <c r="D591" s="32" t="str">
        <f>'Zuschnitt Festfeld'!F62</f>
        <v/>
      </c>
      <c r="E591" s="2314"/>
      <c r="F591" s="32">
        <f t="shared" si="72"/>
        <v>0</v>
      </c>
      <c r="G591" s="2314"/>
      <c r="H591" s="32">
        <f t="shared" si="67"/>
        <v>0</v>
      </c>
      <c r="I591" s="2314"/>
      <c r="J591" s="32">
        <f t="shared" si="68"/>
        <v>0</v>
      </c>
      <c r="K591" s="2314"/>
      <c r="L591" s="43"/>
      <c r="M591" s="2314"/>
      <c r="N591" s="1250" t="s">
        <v>28399</v>
      </c>
      <c r="O591" s="43"/>
      <c r="P591" s="44"/>
      <c r="Q591" s="1250" t="s">
        <v>73</v>
      </c>
      <c r="R591" s="1518">
        <f>'Zuschnitt Festfeld'!E62</f>
        <v>0</v>
      </c>
      <c r="S591" s="44"/>
      <c r="T591" s="44"/>
      <c r="U591" s="44"/>
      <c r="V591" s="43"/>
      <c r="W591" s="60"/>
      <c r="X591" s="60"/>
      <c r="Y591" s="60"/>
      <c r="Z591" s="43"/>
      <c r="AA591" s="43"/>
      <c r="AB591" s="60"/>
      <c r="AC591" s="60"/>
      <c r="AD591" s="60"/>
      <c r="AE591" s="43"/>
      <c r="AF591" s="43"/>
      <c r="AG591" s="43"/>
      <c r="AH591" s="43"/>
      <c r="AI591" s="43"/>
      <c r="AJ591" s="43"/>
      <c r="AK591" s="43"/>
      <c r="AL591" s="43"/>
      <c r="AM591" s="43"/>
      <c r="AN591" s="43"/>
      <c r="AO591" s="1115">
        <f>'Zuschnitt Festfeld'!G62</f>
        <v>0</v>
      </c>
      <c r="AP591" s="1115">
        <f>'Zuschnitt Festfeld'!H62</f>
        <v>0</v>
      </c>
      <c r="AQ591" s="1115">
        <f>'Zuschnitt Festfeld'!I62</f>
        <v>0</v>
      </c>
      <c r="AR591" s="1115"/>
      <c r="AS591" s="1188">
        <v>1</v>
      </c>
      <c r="BD591" s="35"/>
      <c r="BF591" s="2135" t="str">
        <f t="shared" si="69"/>
        <v/>
      </c>
      <c r="BG591" s="2135">
        <f t="shared" si="70"/>
        <v>0</v>
      </c>
      <c r="BH591" s="2136" t="s">
        <v>10</v>
      </c>
    </row>
    <row r="592" spans="1:60" ht="24.75" customHeight="1" x14ac:dyDescent="0.25">
      <c r="A592" s="337" t="s">
        <v>27848</v>
      </c>
      <c r="B592" s="1511" t="str">
        <f>'Zuschnitt Festfeld'!B63</f>
        <v>99</v>
      </c>
      <c r="C592" s="2314"/>
      <c r="D592" s="32" t="str">
        <f>'Zuschnitt Festfeld'!F63</f>
        <v/>
      </c>
      <c r="E592" s="2314"/>
      <c r="F592" s="32">
        <f>IF(AS592&gt;0,AO592,0)</f>
        <v>0</v>
      </c>
      <c r="G592" s="2314"/>
      <c r="H592" s="32">
        <f t="shared" si="67"/>
        <v>0</v>
      </c>
      <c r="I592" s="2314"/>
      <c r="J592" s="32">
        <f t="shared" si="68"/>
        <v>0</v>
      </c>
      <c r="K592" s="2314"/>
      <c r="L592" s="43"/>
      <c r="M592" s="2314"/>
      <c r="N592" s="1250" t="s">
        <v>28399</v>
      </c>
      <c r="O592" s="43"/>
      <c r="P592" s="44"/>
      <c r="Q592" s="1250" t="s">
        <v>73</v>
      </c>
      <c r="R592" s="1518">
        <f>'Zuschnitt Festfeld'!E63</f>
        <v>0</v>
      </c>
      <c r="S592" s="44"/>
      <c r="T592" s="44"/>
      <c r="U592" s="44"/>
      <c r="V592" s="43"/>
      <c r="W592" s="60"/>
      <c r="X592" s="60"/>
      <c r="Y592" s="60"/>
      <c r="Z592" s="43"/>
      <c r="AA592" s="43"/>
      <c r="AB592" s="60"/>
      <c r="AC592" s="60"/>
      <c r="AD592" s="60"/>
      <c r="AE592" s="43"/>
      <c r="AF592" s="43"/>
      <c r="AG592" s="43"/>
      <c r="AH592" s="43"/>
      <c r="AI592" s="43"/>
      <c r="AJ592" s="43"/>
      <c r="AK592" s="43"/>
      <c r="AL592" s="43"/>
      <c r="AM592" s="43"/>
      <c r="AN592" s="43"/>
      <c r="AO592" s="1115">
        <f>'Zuschnitt Festfeld'!G63</f>
        <v>0</v>
      </c>
      <c r="AP592" s="1115">
        <f>'Zuschnitt Festfeld'!H63</f>
        <v>0</v>
      </c>
      <c r="AQ592" s="1115">
        <f>'Zuschnitt Festfeld'!I63</f>
        <v>0</v>
      </c>
      <c r="AR592" s="1115"/>
      <c r="AS592" s="1188">
        <v>1</v>
      </c>
      <c r="BD592" s="35"/>
      <c r="BF592" s="2135" t="str">
        <f t="shared" si="69"/>
        <v/>
      </c>
      <c r="BG592" s="2135">
        <f t="shared" si="70"/>
        <v>0</v>
      </c>
      <c r="BH592" s="2136" t="s">
        <v>10</v>
      </c>
    </row>
    <row r="593" spans="1:60" ht="24.95" customHeight="1" x14ac:dyDescent="0.25">
      <c r="A593" s="337" t="s">
        <v>27849</v>
      </c>
      <c r="B593" s="1511" t="str">
        <f>'Zuschnitt Schieberblatt'!B84</f>
        <v>100</v>
      </c>
      <c r="C593" s="2314"/>
      <c r="D593" s="32" t="str">
        <f>'Zuschnitt Schieberblatt'!F84</f>
        <v/>
      </c>
      <c r="E593" s="2314"/>
      <c r="F593" s="32">
        <f t="shared" ref="F593" si="73">IF(AS593&gt;0,AO593,0)</f>
        <v>0</v>
      </c>
      <c r="G593" s="2314"/>
      <c r="H593" s="32">
        <f t="shared" ref="H593" si="74">IF(N593=$P$1,0,AP593)</f>
        <v>0</v>
      </c>
      <c r="I593" s="2314"/>
      <c r="J593" s="32">
        <f t="shared" ref="J593" si="75">IF(OR(N593=$P$1,N593=$Q$1),0,AQ593)</f>
        <v>0</v>
      </c>
      <c r="K593" s="2314"/>
      <c r="L593" s="43"/>
      <c r="M593" s="2314"/>
      <c r="N593" s="1250" t="s">
        <v>28399</v>
      </c>
      <c r="O593" s="43"/>
      <c r="P593" s="44"/>
      <c r="Q593" s="1250" t="s">
        <v>28877</v>
      </c>
      <c r="R593" s="2113">
        <f>'Zuschnitt Schieberblatt'!E84</f>
        <v>0</v>
      </c>
      <c r="S593" s="44"/>
      <c r="T593" s="44"/>
      <c r="U593" s="44"/>
      <c r="V593" s="43"/>
      <c r="W593" s="60"/>
      <c r="X593" s="60"/>
      <c r="Y593" s="60"/>
      <c r="Z593" s="43"/>
      <c r="AA593" s="43"/>
      <c r="AB593" s="60"/>
      <c r="AC593" s="60"/>
      <c r="AD593" s="60"/>
      <c r="AE593" s="43"/>
      <c r="AF593" s="43"/>
      <c r="AG593" s="43"/>
      <c r="AH593" s="43"/>
      <c r="AI593" s="43"/>
      <c r="AJ593" s="43"/>
      <c r="AK593" s="43"/>
      <c r="AL593" s="43"/>
      <c r="AM593" s="43"/>
      <c r="AN593" s="43"/>
      <c r="AO593" s="1115">
        <f>'Zuschnitt Schieberblatt'!G84</f>
        <v>0</v>
      </c>
      <c r="AP593" s="1115">
        <f>'Zuschnitt Schieberblatt'!H84</f>
        <v>0</v>
      </c>
      <c r="AQ593" s="1115">
        <f>'Zuschnitt Schieberblatt'!I84</f>
        <v>0</v>
      </c>
      <c r="AR593" s="1115"/>
      <c r="AS593" s="1188">
        <v>1</v>
      </c>
      <c r="BD593" s="35"/>
      <c r="BF593" s="2135" t="str">
        <f t="shared" si="69"/>
        <v/>
      </c>
      <c r="BG593" s="2135">
        <f t="shared" si="70"/>
        <v>0</v>
      </c>
      <c r="BH593" s="2136" t="s">
        <v>10</v>
      </c>
    </row>
    <row r="594" spans="1:60" ht="24.95" customHeight="1" x14ac:dyDescent="0.25">
      <c r="A594" s="337" t="s">
        <v>27849</v>
      </c>
      <c r="B594" s="1511" t="str">
        <f>'Zuschnitt Schieberblatt'!B85</f>
        <v>101</v>
      </c>
      <c r="C594" s="2314"/>
      <c r="D594" s="32" t="str">
        <f>'Zuschnitt Schieberblatt'!F85</f>
        <v/>
      </c>
      <c r="E594" s="2314"/>
      <c r="F594" s="32">
        <f t="shared" ref="F594:F624" si="76">IF(AS594&gt;0,AO594,0)</f>
        <v>0</v>
      </c>
      <c r="G594" s="2314"/>
      <c r="H594" s="32">
        <f t="shared" ref="H594:H624" si="77">IF(N594=$P$1,0,AP594)</f>
        <v>0</v>
      </c>
      <c r="I594" s="2314"/>
      <c r="J594" s="32">
        <f t="shared" ref="J594:J624" si="78">IF(OR(N594=$P$1,N594=$Q$1),0,AQ594)</f>
        <v>0</v>
      </c>
      <c r="K594" s="2314"/>
      <c r="L594" s="43"/>
      <c r="M594" s="2314"/>
      <c r="N594" s="1250" t="s">
        <v>28399</v>
      </c>
      <c r="O594" s="43"/>
      <c r="P594" s="44"/>
      <c r="Q594" s="1250" t="s">
        <v>28877</v>
      </c>
      <c r="R594" s="2113">
        <f>'Zuschnitt Schieberblatt'!E85</f>
        <v>0</v>
      </c>
      <c r="S594" s="44"/>
      <c r="T594" s="44"/>
      <c r="U594" s="44"/>
      <c r="V594" s="43"/>
      <c r="W594" s="60"/>
      <c r="X594" s="60"/>
      <c r="Y594" s="60"/>
      <c r="Z594" s="43"/>
      <c r="AA594" s="43"/>
      <c r="AB594" s="60"/>
      <c r="AC594" s="60"/>
      <c r="AD594" s="60"/>
      <c r="AE594" s="43"/>
      <c r="AF594" s="43"/>
      <c r="AG594" s="43"/>
      <c r="AH594" s="43"/>
      <c r="AI594" s="43"/>
      <c r="AJ594" s="43"/>
      <c r="AK594" s="43"/>
      <c r="AL594" s="43"/>
      <c r="AM594" s="43"/>
      <c r="AN594" s="43"/>
      <c r="AO594" s="1115">
        <f>'Zuschnitt Schieberblatt'!G85</f>
        <v>0</v>
      </c>
      <c r="AP594" s="1115">
        <f>'Zuschnitt Schieberblatt'!H85</f>
        <v>0</v>
      </c>
      <c r="AQ594" s="1115">
        <f>'Zuschnitt Schieberblatt'!I85</f>
        <v>0</v>
      </c>
      <c r="AR594" s="1115"/>
      <c r="AS594" s="1188">
        <v>1</v>
      </c>
      <c r="BD594" s="35"/>
      <c r="BF594" s="2135" t="str">
        <f t="shared" si="69"/>
        <v/>
      </c>
      <c r="BG594" s="2135">
        <f t="shared" si="70"/>
        <v>0</v>
      </c>
      <c r="BH594" s="2136" t="s">
        <v>10</v>
      </c>
    </row>
    <row r="595" spans="1:60" ht="24.95" customHeight="1" x14ac:dyDescent="0.25">
      <c r="A595" s="337" t="s">
        <v>27849</v>
      </c>
      <c r="B595" s="1511" t="str">
        <f>'Zuschnitt Schieberblatt'!B86</f>
        <v>102</v>
      </c>
      <c r="C595" s="2314"/>
      <c r="D595" s="32" t="str">
        <f>'Zuschnitt Schieberblatt'!F86</f>
        <v/>
      </c>
      <c r="E595" s="2314"/>
      <c r="F595" s="32">
        <f t="shared" si="76"/>
        <v>0</v>
      </c>
      <c r="G595" s="2314"/>
      <c r="H595" s="32">
        <f t="shared" si="77"/>
        <v>0</v>
      </c>
      <c r="I595" s="2314"/>
      <c r="J595" s="32">
        <f t="shared" si="78"/>
        <v>0</v>
      </c>
      <c r="K595" s="2314"/>
      <c r="L595" s="43"/>
      <c r="M595" s="2314"/>
      <c r="N595" s="1250" t="s">
        <v>28399</v>
      </c>
      <c r="O595" s="43"/>
      <c r="P595" s="44"/>
      <c r="Q595" s="1250" t="s">
        <v>28877</v>
      </c>
      <c r="R595" s="2113">
        <f>'Zuschnitt Schieberblatt'!E86</f>
        <v>0</v>
      </c>
      <c r="S595" s="44"/>
      <c r="T595" s="44"/>
      <c r="U595" s="44"/>
      <c r="V595" s="43"/>
      <c r="W595" s="60"/>
      <c r="X595" s="60"/>
      <c r="Y595" s="60"/>
      <c r="Z595" s="43"/>
      <c r="AA595" s="43"/>
      <c r="AB595" s="60"/>
      <c r="AC595" s="60"/>
      <c r="AD595" s="60"/>
      <c r="AE595" s="43"/>
      <c r="AF595" s="43"/>
      <c r="AG595" s="43"/>
      <c r="AH595" s="43"/>
      <c r="AI595" s="43"/>
      <c r="AJ595" s="43"/>
      <c r="AK595" s="43"/>
      <c r="AL595" s="43"/>
      <c r="AM595" s="43"/>
      <c r="AN595" s="43"/>
      <c r="AO595" s="1115">
        <f>'Zuschnitt Schieberblatt'!G86</f>
        <v>0</v>
      </c>
      <c r="AP595" s="1115">
        <f>'Zuschnitt Schieberblatt'!H86</f>
        <v>0</v>
      </c>
      <c r="AQ595" s="1115">
        <f>'Zuschnitt Schieberblatt'!I86</f>
        <v>0</v>
      </c>
      <c r="AR595" s="1115"/>
      <c r="AS595" s="1188">
        <v>1</v>
      </c>
      <c r="BD595" s="35"/>
      <c r="BF595" s="2135" t="str">
        <f t="shared" si="69"/>
        <v/>
      </c>
      <c r="BG595" s="2135">
        <f t="shared" si="70"/>
        <v>0</v>
      </c>
      <c r="BH595" s="2136" t="s">
        <v>10</v>
      </c>
    </row>
    <row r="596" spans="1:60" ht="24.95" customHeight="1" x14ac:dyDescent="0.25">
      <c r="A596" s="337" t="s">
        <v>27849</v>
      </c>
      <c r="B596" s="1511" t="str">
        <f>'Zuschnitt Schieberblatt'!B87</f>
        <v>103</v>
      </c>
      <c r="C596" s="2314"/>
      <c r="D596" s="32" t="str">
        <f>'Zuschnitt Schieberblatt'!F87</f>
        <v/>
      </c>
      <c r="E596" s="2314"/>
      <c r="F596" s="32">
        <f t="shared" si="76"/>
        <v>0</v>
      </c>
      <c r="G596" s="2314"/>
      <c r="H596" s="32">
        <f t="shared" si="77"/>
        <v>0</v>
      </c>
      <c r="I596" s="2314"/>
      <c r="J596" s="32">
        <f t="shared" si="78"/>
        <v>0</v>
      </c>
      <c r="K596" s="2314"/>
      <c r="L596" s="43"/>
      <c r="M596" s="2314"/>
      <c r="N596" s="1250" t="s">
        <v>28399</v>
      </c>
      <c r="O596" s="43"/>
      <c r="P596" s="44"/>
      <c r="Q596" s="1250" t="s">
        <v>28877</v>
      </c>
      <c r="R596" s="2113">
        <f>'Zuschnitt Schieberblatt'!E87</f>
        <v>0</v>
      </c>
      <c r="S596" s="44"/>
      <c r="T596" s="44"/>
      <c r="U596" s="44"/>
      <c r="V596" s="43"/>
      <c r="W596" s="60"/>
      <c r="X596" s="60"/>
      <c r="Y596" s="60"/>
      <c r="Z596" s="43"/>
      <c r="AA596" s="43"/>
      <c r="AB596" s="60"/>
      <c r="AC596" s="60"/>
      <c r="AD596" s="60"/>
      <c r="AE596" s="43"/>
      <c r="AF596" s="43"/>
      <c r="AG596" s="43"/>
      <c r="AH596" s="43"/>
      <c r="AI596" s="43"/>
      <c r="AJ596" s="43"/>
      <c r="AK596" s="43"/>
      <c r="AL596" s="43"/>
      <c r="AM596" s="43"/>
      <c r="AN596" s="43"/>
      <c r="AO596" s="1115">
        <f>'Zuschnitt Schieberblatt'!G87</f>
        <v>0</v>
      </c>
      <c r="AP596" s="1115">
        <f>'Zuschnitt Schieberblatt'!H87</f>
        <v>0</v>
      </c>
      <c r="AQ596" s="1115">
        <f>'Zuschnitt Schieberblatt'!I87</f>
        <v>0</v>
      </c>
      <c r="AR596" s="1115"/>
      <c r="AS596" s="1188">
        <v>1</v>
      </c>
      <c r="BD596" s="35"/>
      <c r="BF596" s="2135" t="str">
        <f t="shared" si="69"/>
        <v/>
      </c>
      <c r="BG596" s="2135">
        <f t="shared" si="70"/>
        <v>0</v>
      </c>
      <c r="BH596" s="2136" t="s">
        <v>10</v>
      </c>
    </row>
    <row r="597" spans="1:60" ht="24.95" customHeight="1" x14ac:dyDescent="0.25">
      <c r="A597" s="337" t="s">
        <v>27849</v>
      </c>
      <c r="B597" s="1511" t="str">
        <f>'Zuschnitt Schieberblatt'!B88</f>
        <v>104</v>
      </c>
      <c r="C597" s="2314"/>
      <c r="D597" s="32" t="str">
        <f>'Zuschnitt Schieberblatt'!F88</f>
        <v/>
      </c>
      <c r="E597" s="2314"/>
      <c r="F597" s="32">
        <f t="shared" si="76"/>
        <v>0</v>
      </c>
      <c r="G597" s="2314"/>
      <c r="H597" s="32">
        <f t="shared" si="77"/>
        <v>0</v>
      </c>
      <c r="I597" s="2314"/>
      <c r="J597" s="32">
        <f t="shared" si="78"/>
        <v>0</v>
      </c>
      <c r="K597" s="2314"/>
      <c r="L597" s="43"/>
      <c r="M597" s="2314"/>
      <c r="N597" s="1250" t="s">
        <v>28399</v>
      </c>
      <c r="O597" s="43"/>
      <c r="P597" s="44"/>
      <c r="Q597" s="1250" t="s">
        <v>28877</v>
      </c>
      <c r="R597" s="2113">
        <f>'Zuschnitt Schieberblatt'!E88</f>
        <v>0</v>
      </c>
      <c r="S597" s="44"/>
      <c r="T597" s="44"/>
      <c r="U597" s="44"/>
      <c r="V597" s="43"/>
      <c r="W597" s="60"/>
      <c r="X597" s="60"/>
      <c r="Y597" s="60"/>
      <c r="Z597" s="43"/>
      <c r="AA597" s="43"/>
      <c r="AB597" s="60"/>
      <c r="AC597" s="60"/>
      <c r="AD597" s="60"/>
      <c r="AE597" s="43"/>
      <c r="AF597" s="43"/>
      <c r="AG597" s="43"/>
      <c r="AH597" s="43"/>
      <c r="AI597" s="43"/>
      <c r="AJ597" s="43"/>
      <c r="AK597" s="43"/>
      <c r="AL597" s="43"/>
      <c r="AM597" s="43"/>
      <c r="AN597" s="43"/>
      <c r="AO597" s="1115">
        <f>'Zuschnitt Schieberblatt'!G88</f>
        <v>0</v>
      </c>
      <c r="AP597" s="1115">
        <f>'Zuschnitt Schieberblatt'!H88</f>
        <v>0</v>
      </c>
      <c r="AQ597" s="1115">
        <f>'Zuschnitt Schieberblatt'!I88</f>
        <v>0</v>
      </c>
      <c r="AR597" s="1115"/>
      <c r="AS597" s="1188">
        <v>1</v>
      </c>
      <c r="BD597" s="35"/>
      <c r="BF597" s="2135" t="str">
        <f t="shared" si="69"/>
        <v/>
      </c>
      <c r="BG597" s="2135">
        <f t="shared" si="70"/>
        <v>0</v>
      </c>
      <c r="BH597" s="2136" t="s">
        <v>10</v>
      </c>
    </row>
    <row r="598" spans="1:60" ht="24.95" customHeight="1" x14ac:dyDescent="0.25">
      <c r="A598" s="337" t="s">
        <v>27849</v>
      </c>
      <c r="B598" s="1511" t="str">
        <f>'Zuschnitt Schieberblatt'!B89</f>
        <v>105</v>
      </c>
      <c r="C598" s="2314"/>
      <c r="D598" s="32" t="str">
        <f>'Zuschnitt Schieberblatt'!F89</f>
        <v/>
      </c>
      <c r="E598" s="2314"/>
      <c r="F598" s="32">
        <f t="shared" si="76"/>
        <v>0</v>
      </c>
      <c r="G598" s="2314"/>
      <c r="H598" s="32">
        <f t="shared" si="77"/>
        <v>0</v>
      </c>
      <c r="I598" s="2314"/>
      <c r="J598" s="32">
        <f t="shared" si="78"/>
        <v>0</v>
      </c>
      <c r="K598" s="2314"/>
      <c r="L598" s="43"/>
      <c r="M598" s="2314"/>
      <c r="N598" s="1250" t="s">
        <v>28399</v>
      </c>
      <c r="O598" s="43"/>
      <c r="P598" s="44"/>
      <c r="Q598" s="1250" t="s">
        <v>28877</v>
      </c>
      <c r="R598" s="2113">
        <f>'Zuschnitt Schieberblatt'!E89</f>
        <v>0</v>
      </c>
      <c r="S598" s="44"/>
      <c r="T598" s="44"/>
      <c r="U598" s="44"/>
      <c r="V598" s="43"/>
      <c r="W598" s="60"/>
      <c r="X598" s="60"/>
      <c r="Y598" s="60"/>
      <c r="Z598" s="43"/>
      <c r="AA598" s="43"/>
      <c r="AB598" s="60"/>
      <c r="AC598" s="60"/>
      <c r="AD598" s="60"/>
      <c r="AE598" s="43"/>
      <c r="AF598" s="43"/>
      <c r="AG598" s="43"/>
      <c r="AH598" s="43"/>
      <c r="AI598" s="43"/>
      <c r="AJ598" s="43"/>
      <c r="AK598" s="43"/>
      <c r="AL598" s="43"/>
      <c r="AM598" s="43"/>
      <c r="AN598" s="43"/>
      <c r="AO598" s="1115">
        <f>'Zuschnitt Schieberblatt'!G89</f>
        <v>0</v>
      </c>
      <c r="AP598" s="1115">
        <f>'Zuschnitt Schieberblatt'!H89</f>
        <v>0</v>
      </c>
      <c r="AQ598" s="1115">
        <f>'Zuschnitt Schieberblatt'!I89</f>
        <v>0</v>
      </c>
      <c r="AR598" s="1115"/>
      <c r="AS598" s="1188">
        <v>1</v>
      </c>
      <c r="BD598" s="35"/>
      <c r="BF598" s="2135" t="str">
        <f t="shared" si="69"/>
        <v/>
      </c>
      <c r="BG598" s="2135">
        <f t="shared" si="70"/>
        <v>0</v>
      </c>
      <c r="BH598" s="2136" t="s">
        <v>10</v>
      </c>
    </row>
    <row r="599" spans="1:60" ht="24.95" customHeight="1" x14ac:dyDescent="0.25">
      <c r="A599" s="337" t="s">
        <v>27849</v>
      </c>
      <c r="B599" s="1511" t="str">
        <f>'Zuschnitt Schieberblatt'!B90</f>
        <v>106</v>
      </c>
      <c r="C599" s="2314"/>
      <c r="D599" s="32" t="str">
        <f>'Zuschnitt Schieberblatt'!F90</f>
        <v/>
      </c>
      <c r="E599" s="2314"/>
      <c r="F599" s="32">
        <f t="shared" si="76"/>
        <v>0</v>
      </c>
      <c r="G599" s="2314"/>
      <c r="H599" s="32">
        <f t="shared" si="77"/>
        <v>0</v>
      </c>
      <c r="I599" s="2314"/>
      <c r="J599" s="32">
        <f t="shared" si="78"/>
        <v>0</v>
      </c>
      <c r="K599" s="2314"/>
      <c r="L599" s="43"/>
      <c r="M599" s="2314"/>
      <c r="N599" s="1250" t="s">
        <v>28399</v>
      </c>
      <c r="O599" s="43"/>
      <c r="P599" s="44"/>
      <c r="Q599" s="1250" t="s">
        <v>28877</v>
      </c>
      <c r="R599" s="2113">
        <f>'Zuschnitt Schieberblatt'!E90</f>
        <v>0</v>
      </c>
      <c r="S599" s="44"/>
      <c r="T599" s="44"/>
      <c r="U599" s="44"/>
      <c r="V599" s="43"/>
      <c r="W599" s="60"/>
      <c r="X599" s="60"/>
      <c r="Y599" s="60"/>
      <c r="Z599" s="43"/>
      <c r="AA599" s="43"/>
      <c r="AB599" s="60"/>
      <c r="AC599" s="60"/>
      <c r="AD599" s="60"/>
      <c r="AE599" s="43"/>
      <c r="AF599" s="43"/>
      <c r="AG599" s="43"/>
      <c r="AH599" s="43"/>
      <c r="AI599" s="43"/>
      <c r="AJ599" s="43"/>
      <c r="AK599" s="43"/>
      <c r="AL599" s="43"/>
      <c r="AM599" s="43"/>
      <c r="AN599" s="43"/>
      <c r="AO599" s="1115">
        <f>'Zuschnitt Schieberblatt'!G90</f>
        <v>0</v>
      </c>
      <c r="AP599" s="1115">
        <f>'Zuschnitt Schieberblatt'!H90</f>
        <v>0</v>
      </c>
      <c r="AQ599" s="1115">
        <f>'Zuschnitt Schieberblatt'!I90</f>
        <v>0</v>
      </c>
      <c r="AR599" s="1115"/>
      <c r="AS599" s="1188">
        <v>1</v>
      </c>
      <c r="BD599" s="35"/>
      <c r="BF599" s="2135" t="str">
        <f t="shared" si="69"/>
        <v/>
      </c>
      <c r="BG599" s="2135">
        <f t="shared" si="70"/>
        <v>0</v>
      </c>
      <c r="BH599" s="2136" t="s">
        <v>10</v>
      </c>
    </row>
    <row r="600" spans="1:60" ht="24.95" customHeight="1" x14ac:dyDescent="0.25">
      <c r="A600" s="337" t="s">
        <v>27849</v>
      </c>
      <c r="B600" s="1511" t="str">
        <f>'Zuschnitt Schieberblatt'!B91</f>
        <v>107</v>
      </c>
      <c r="C600" s="2314"/>
      <c r="D600" s="32" t="str">
        <f>'Zuschnitt Schieberblatt'!F91</f>
        <v/>
      </c>
      <c r="E600" s="2314"/>
      <c r="F600" s="32">
        <f t="shared" si="76"/>
        <v>0</v>
      </c>
      <c r="G600" s="2314"/>
      <c r="H600" s="32">
        <f t="shared" si="77"/>
        <v>0</v>
      </c>
      <c r="I600" s="2314"/>
      <c r="J600" s="32">
        <f t="shared" si="78"/>
        <v>0</v>
      </c>
      <c r="K600" s="2314"/>
      <c r="L600" s="43"/>
      <c r="M600" s="2314"/>
      <c r="N600" s="1250" t="s">
        <v>28399</v>
      </c>
      <c r="O600" s="43"/>
      <c r="P600" s="44"/>
      <c r="Q600" s="1250" t="s">
        <v>28877</v>
      </c>
      <c r="R600" s="2113">
        <f>'Zuschnitt Schieberblatt'!E91</f>
        <v>0</v>
      </c>
      <c r="S600" s="44"/>
      <c r="T600" s="44"/>
      <c r="U600" s="44"/>
      <c r="V600" s="43"/>
      <c r="W600" s="60"/>
      <c r="X600" s="60"/>
      <c r="Y600" s="60"/>
      <c r="Z600" s="43"/>
      <c r="AA600" s="43"/>
      <c r="AB600" s="60"/>
      <c r="AC600" s="60"/>
      <c r="AD600" s="60"/>
      <c r="AE600" s="43"/>
      <c r="AF600" s="43"/>
      <c r="AG600" s="43"/>
      <c r="AH600" s="43"/>
      <c r="AI600" s="43"/>
      <c r="AJ600" s="43"/>
      <c r="AK600" s="43"/>
      <c r="AL600" s="43"/>
      <c r="AM600" s="43"/>
      <c r="AN600" s="43"/>
      <c r="AO600" s="1115">
        <f>'Zuschnitt Schieberblatt'!G91</f>
        <v>0</v>
      </c>
      <c r="AP600" s="1115">
        <f>'Zuschnitt Schieberblatt'!H91</f>
        <v>0</v>
      </c>
      <c r="AQ600" s="1115">
        <f>'Zuschnitt Schieberblatt'!I91</f>
        <v>0</v>
      </c>
      <c r="AR600" s="1115"/>
      <c r="AS600" s="1188">
        <v>1</v>
      </c>
      <c r="BD600" s="35"/>
      <c r="BF600" s="2135" t="str">
        <f t="shared" si="69"/>
        <v/>
      </c>
      <c r="BG600" s="2135">
        <f t="shared" si="70"/>
        <v>0</v>
      </c>
      <c r="BH600" s="2136" t="s">
        <v>10</v>
      </c>
    </row>
    <row r="601" spans="1:60" ht="24.95" customHeight="1" x14ac:dyDescent="0.25">
      <c r="A601" s="337" t="s">
        <v>27849</v>
      </c>
      <c r="B601" s="1511" t="str">
        <f>'Zuschnitt Schieberblatt'!B92</f>
        <v>108</v>
      </c>
      <c r="C601" s="2314"/>
      <c r="D601" s="32" t="str">
        <f>'Zuschnitt Schieberblatt'!F92</f>
        <v/>
      </c>
      <c r="E601" s="2314"/>
      <c r="F601" s="32">
        <f t="shared" si="76"/>
        <v>0</v>
      </c>
      <c r="G601" s="2314"/>
      <c r="H601" s="32">
        <f t="shared" si="77"/>
        <v>0</v>
      </c>
      <c r="I601" s="2314"/>
      <c r="J601" s="32">
        <f t="shared" si="78"/>
        <v>0</v>
      </c>
      <c r="K601" s="2314"/>
      <c r="L601" s="43"/>
      <c r="M601" s="2314"/>
      <c r="N601" s="1250" t="s">
        <v>28399</v>
      </c>
      <c r="O601" s="43"/>
      <c r="P601" s="44"/>
      <c r="Q601" s="1250" t="s">
        <v>28877</v>
      </c>
      <c r="R601" s="2113">
        <f>'Zuschnitt Schieberblatt'!E92</f>
        <v>0</v>
      </c>
      <c r="S601" s="44"/>
      <c r="T601" s="44"/>
      <c r="U601" s="44"/>
      <c r="V601" s="43"/>
      <c r="W601" s="60"/>
      <c r="X601" s="60"/>
      <c r="Y601" s="60"/>
      <c r="Z601" s="43"/>
      <c r="AA601" s="43"/>
      <c r="AB601" s="60"/>
      <c r="AC601" s="60"/>
      <c r="AD601" s="60"/>
      <c r="AE601" s="43"/>
      <c r="AF601" s="43"/>
      <c r="AG601" s="43"/>
      <c r="AH601" s="43"/>
      <c r="AI601" s="43"/>
      <c r="AJ601" s="43"/>
      <c r="AK601" s="43"/>
      <c r="AL601" s="43"/>
      <c r="AM601" s="43"/>
      <c r="AN601" s="43"/>
      <c r="AO601" s="1115">
        <f>'Zuschnitt Schieberblatt'!G92</f>
        <v>0</v>
      </c>
      <c r="AP601" s="1115">
        <f>'Zuschnitt Schieberblatt'!H92</f>
        <v>0</v>
      </c>
      <c r="AQ601" s="1115">
        <f>'Zuschnitt Schieberblatt'!I92</f>
        <v>0</v>
      </c>
      <c r="AR601" s="1115"/>
      <c r="AS601" s="1188">
        <v>1</v>
      </c>
      <c r="BD601" s="35"/>
      <c r="BF601" s="2135" t="str">
        <f t="shared" si="69"/>
        <v/>
      </c>
      <c r="BG601" s="2135">
        <f t="shared" si="70"/>
        <v>0</v>
      </c>
      <c r="BH601" s="2136" t="s">
        <v>10</v>
      </c>
    </row>
    <row r="602" spans="1:60" ht="24.95" customHeight="1" x14ac:dyDescent="0.25">
      <c r="A602" s="337" t="s">
        <v>27849</v>
      </c>
      <c r="B602" s="1511" t="str">
        <f>'Zuschnitt Schieberblatt'!B93</f>
        <v>109</v>
      </c>
      <c r="C602" s="2314"/>
      <c r="D602" s="32" t="str">
        <f>'Zuschnitt Schieberblatt'!F93</f>
        <v/>
      </c>
      <c r="E602" s="2314"/>
      <c r="F602" s="32">
        <f t="shared" si="76"/>
        <v>0</v>
      </c>
      <c r="G602" s="2314"/>
      <c r="H602" s="32">
        <f t="shared" si="77"/>
        <v>0</v>
      </c>
      <c r="I602" s="2314"/>
      <c r="J602" s="32">
        <f t="shared" si="78"/>
        <v>0</v>
      </c>
      <c r="K602" s="2314"/>
      <c r="L602" s="43"/>
      <c r="M602" s="2314"/>
      <c r="N602" s="1250" t="s">
        <v>28399</v>
      </c>
      <c r="O602" s="43"/>
      <c r="P602" s="44"/>
      <c r="Q602" s="1250" t="s">
        <v>28877</v>
      </c>
      <c r="R602" s="2113">
        <f>'Zuschnitt Schieberblatt'!E93</f>
        <v>0</v>
      </c>
      <c r="S602" s="44"/>
      <c r="T602" s="44"/>
      <c r="U602" s="44"/>
      <c r="V602" s="43"/>
      <c r="W602" s="60"/>
      <c r="X602" s="60"/>
      <c r="Y602" s="60"/>
      <c r="Z602" s="43"/>
      <c r="AA602" s="43"/>
      <c r="AB602" s="60"/>
      <c r="AC602" s="60"/>
      <c r="AD602" s="60"/>
      <c r="AE602" s="43"/>
      <c r="AF602" s="43"/>
      <c r="AG602" s="43"/>
      <c r="AH602" s="43"/>
      <c r="AI602" s="43"/>
      <c r="AJ602" s="43"/>
      <c r="AK602" s="43"/>
      <c r="AL602" s="43"/>
      <c r="AM602" s="43"/>
      <c r="AN602" s="43"/>
      <c r="AO602" s="1115">
        <f>'Zuschnitt Schieberblatt'!G93</f>
        <v>0</v>
      </c>
      <c r="AP602" s="1115">
        <f>'Zuschnitt Schieberblatt'!H93</f>
        <v>0</v>
      </c>
      <c r="AQ602" s="1115">
        <f>'Zuschnitt Schieberblatt'!I93</f>
        <v>0</v>
      </c>
      <c r="AR602" s="1115"/>
      <c r="AS602" s="1188">
        <v>1</v>
      </c>
      <c r="BD602" s="35"/>
      <c r="BF602" s="2135" t="str">
        <f t="shared" si="69"/>
        <v/>
      </c>
      <c r="BG602" s="2135">
        <f t="shared" si="70"/>
        <v>0</v>
      </c>
      <c r="BH602" s="2136" t="s">
        <v>10</v>
      </c>
    </row>
    <row r="603" spans="1:60" ht="24.95" customHeight="1" x14ac:dyDescent="0.25">
      <c r="A603" s="337" t="s">
        <v>27849</v>
      </c>
      <c r="B603" s="1511" t="str">
        <f>'Zuschnitt Schieberblatt'!B94</f>
        <v>110</v>
      </c>
      <c r="C603" s="2314"/>
      <c r="D603" s="32" t="str">
        <f>'Zuschnitt Schieberblatt'!F94</f>
        <v/>
      </c>
      <c r="E603" s="2314"/>
      <c r="F603" s="32">
        <f t="shared" si="76"/>
        <v>0</v>
      </c>
      <c r="G603" s="2314"/>
      <c r="H603" s="32">
        <f t="shared" si="77"/>
        <v>0</v>
      </c>
      <c r="I603" s="2314"/>
      <c r="J603" s="32">
        <f t="shared" si="78"/>
        <v>0</v>
      </c>
      <c r="K603" s="2314"/>
      <c r="L603" s="43"/>
      <c r="M603" s="2314"/>
      <c r="N603" s="1250" t="s">
        <v>28399</v>
      </c>
      <c r="O603" s="43"/>
      <c r="P603" s="44"/>
      <c r="Q603" s="1250" t="s">
        <v>28877</v>
      </c>
      <c r="R603" s="2113">
        <f>'Zuschnitt Schieberblatt'!E94</f>
        <v>0</v>
      </c>
      <c r="S603" s="44"/>
      <c r="T603" s="44"/>
      <c r="U603" s="44"/>
      <c r="V603" s="43"/>
      <c r="W603" s="60"/>
      <c r="X603" s="60"/>
      <c r="Y603" s="60"/>
      <c r="Z603" s="43"/>
      <c r="AA603" s="43"/>
      <c r="AB603" s="60"/>
      <c r="AC603" s="60"/>
      <c r="AD603" s="60"/>
      <c r="AE603" s="43"/>
      <c r="AF603" s="43"/>
      <c r="AG603" s="43"/>
      <c r="AH603" s="43"/>
      <c r="AI603" s="43"/>
      <c r="AJ603" s="43"/>
      <c r="AK603" s="43"/>
      <c r="AL603" s="43"/>
      <c r="AM603" s="43"/>
      <c r="AN603" s="43"/>
      <c r="AO603" s="1115">
        <f>'Zuschnitt Schieberblatt'!G94</f>
        <v>0</v>
      </c>
      <c r="AP603" s="1115">
        <f>'Zuschnitt Schieberblatt'!H94</f>
        <v>0</v>
      </c>
      <c r="AQ603" s="1115">
        <f>'Zuschnitt Schieberblatt'!I94</f>
        <v>0</v>
      </c>
      <c r="AR603" s="1115"/>
      <c r="AS603" s="1188">
        <v>1</v>
      </c>
      <c r="BD603" s="35"/>
      <c r="BF603" s="2135" t="str">
        <f t="shared" si="69"/>
        <v/>
      </c>
      <c r="BG603" s="2135">
        <f t="shared" si="70"/>
        <v>0</v>
      </c>
      <c r="BH603" s="2136" t="s">
        <v>10</v>
      </c>
    </row>
    <row r="604" spans="1:60" ht="24.95" customHeight="1" x14ac:dyDescent="0.25">
      <c r="A604" s="337" t="s">
        <v>27849</v>
      </c>
      <c r="B604" s="1511" t="str">
        <f>'Zuschnitt Schieberblatt'!B95</f>
        <v>111</v>
      </c>
      <c r="C604" s="2314"/>
      <c r="D604" s="32" t="str">
        <f>'Zuschnitt Schieberblatt'!F95</f>
        <v/>
      </c>
      <c r="E604" s="2314"/>
      <c r="F604" s="32">
        <f t="shared" si="76"/>
        <v>0</v>
      </c>
      <c r="G604" s="2314"/>
      <c r="H604" s="32">
        <f t="shared" si="77"/>
        <v>0</v>
      </c>
      <c r="I604" s="2314"/>
      <c r="J604" s="32">
        <f t="shared" si="78"/>
        <v>0</v>
      </c>
      <c r="K604" s="2314"/>
      <c r="L604" s="43"/>
      <c r="M604" s="2314"/>
      <c r="N604" s="1250" t="s">
        <v>28399</v>
      </c>
      <c r="O604" s="43"/>
      <c r="P604" s="44"/>
      <c r="Q604" s="1250" t="s">
        <v>28877</v>
      </c>
      <c r="R604" s="2113">
        <f>'Zuschnitt Schieberblatt'!E95</f>
        <v>0</v>
      </c>
      <c r="S604" s="44"/>
      <c r="T604" s="44"/>
      <c r="U604" s="44"/>
      <c r="V604" s="43"/>
      <c r="W604" s="60"/>
      <c r="X604" s="60"/>
      <c r="Y604" s="60"/>
      <c r="Z604" s="43"/>
      <c r="AA604" s="43"/>
      <c r="AB604" s="60"/>
      <c r="AC604" s="60"/>
      <c r="AD604" s="60"/>
      <c r="AE604" s="43"/>
      <c r="AF604" s="43"/>
      <c r="AG604" s="43"/>
      <c r="AH604" s="43"/>
      <c r="AI604" s="43"/>
      <c r="AJ604" s="43"/>
      <c r="AK604" s="43"/>
      <c r="AL604" s="43"/>
      <c r="AM604" s="43"/>
      <c r="AN604" s="43"/>
      <c r="AO604" s="1115">
        <f>'Zuschnitt Schieberblatt'!G95</f>
        <v>0</v>
      </c>
      <c r="AP604" s="1115">
        <f>'Zuschnitt Schieberblatt'!H95</f>
        <v>0</v>
      </c>
      <c r="AQ604" s="1115">
        <f>'Zuschnitt Schieberblatt'!I95</f>
        <v>0</v>
      </c>
      <c r="AR604" s="1115"/>
      <c r="AS604" s="1188">
        <v>1</v>
      </c>
      <c r="BD604" s="35"/>
      <c r="BF604" s="2135" t="str">
        <f t="shared" si="69"/>
        <v/>
      </c>
      <c r="BG604" s="2135">
        <f t="shared" si="70"/>
        <v>0</v>
      </c>
      <c r="BH604" s="2136" t="s">
        <v>10</v>
      </c>
    </row>
    <row r="605" spans="1:60" ht="24.95" customHeight="1" x14ac:dyDescent="0.25">
      <c r="A605" s="337" t="s">
        <v>27849</v>
      </c>
      <c r="B605" s="1511" t="str">
        <f>'Zuschnitt Schieberblatt'!B96</f>
        <v>112</v>
      </c>
      <c r="C605" s="2314"/>
      <c r="D605" s="32" t="str">
        <f>'Zuschnitt Schieberblatt'!F96</f>
        <v/>
      </c>
      <c r="E605" s="2314"/>
      <c r="F605" s="32">
        <f t="shared" si="76"/>
        <v>0</v>
      </c>
      <c r="G605" s="2314"/>
      <c r="H605" s="32">
        <f t="shared" si="77"/>
        <v>0</v>
      </c>
      <c r="I605" s="2314"/>
      <c r="J605" s="32">
        <f t="shared" si="78"/>
        <v>0</v>
      </c>
      <c r="K605" s="2314"/>
      <c r="L605" s="43"/>
      <c r="M605" s="2314"/>
      <c r="N605" s="1250" t="s">
        <v>28399</v>
      </c>
      <c r="O605" s="43"/>
      <c r="P605" s="44"/>
      <c r="Q605" s="1250" t="s">
        <v>28877</v>
      </c>
      <c r="R605" s="2113">
        <f>'Zuschnitt Schieberblatt'!E96</f>
        <v>0</v>
      </c>
      <c r="S605" s="44"/>
      <c r="T605" s="44"/>
      <c r="U605" s="44"/>
      <c r="V605" s="43"/>
      <c r="W605" s="60"/>
      <c r="X605" s="60"/>
      <c r="Y605" s="60"/>
      <c r="Z605" s="43"/>
      <c r="AA605" s="43"/>
      <c r="AB605" s="60"/>
      <c r="AC605" s="60"/>
      <c r="AD605" s="60"/>
      <c r="AE605" s="43"/>
      <c r="AF605" s="43"/>
      <c r="AG605" s="43"/>
      <c r="AH605" s="43"/>
      <c r="AI605" s="43"/>
      <c r="AJ605" s="43"/>
      <c r="AK605" s="43"/>
      <c r="AL605" s="43"/>
      <c r="AM605" s="43"/>
      <c r="AN605" s="43"/>
      <c r="AO605" s="1115">
        <f>'Zuschnitt Schieberblatt'!G96</f>
        <v>0</v>
      </c>
      <c r="AP605" s="1115">
        <f>'Zuschnitt Schieberblatt'!H96</f>
        <v>0</v>
      </c>
      <c r="AQ605" s="1115">
        <f>'Zuschnitt Schieberblatt'!I96</f>
        <v>0</v>
      </c>
      <c r="AR605" s="1115"/>
      <c r="AS605" s="1188">
        <v>1</v>
      </c>
      <c r="BD605" s="35"/>
      <c r="BF605" s="2135" t="str">
        <f t="shared" si="69"/>
        <v/>
      </c>
      <c r="BG605" s="2135">
        <f t="shared" si="70"/>
        <v>0</v>
      </c>
      <c r="BH605" s="2136" t="s">
        <v>10</v>
      </c>
    </row>
    <row r="606" spans="1:60" ht="24.95" customHeight="1" x14ac:dyDescent="0.25">
      <c r="A606" s="337" t="s">
        <v>27849</v>
      </c>
      <c r="B606" s="1511" t="str">
        <f>'Zuschnitt Schieberblatt'!B97</f>
        <v>113</v>
      </c>
      <c r="C606" s="2314"/>
      <c r="D606" s="32" t="str">
        <f>'Zuschnitt Schieberblatt'!F97</f>
        <v/>
      </c>
      <c r="E606" s="2314"/>
      <c r="F606" s="32">
        <f t="shared" si="76"/>
        <v>0</v>
      </c>
      <c r="G606" s="2314"/>
      <c r="H606" s="32">
        <f t="shared" si="77"/>
        <v>0</v>
      </c>
      <c r="I606" s="2314"/>
      <c r="J606" s="32">
        <f t="shared" si="78"/>
        <v>0</v>
      </c>
      <c r="K606" s="2314"/>
      <c r="L606" s="43"/>
      <c r="M606" s="2314"/>
      <c r="N606" s="1250" t="s">
        <v>28399</v>
      </c>
      <c r="O606" s="43"/>
      <c r="P606" s="44"/>
      <c r="Q606" s="1250" t="s">
        <v>28877</v>
      </c>
      <c r="R606" s="2113">
        <f>'Zuschnitt Schieberblatt'!E97</f>
        <v>0</v>
      </c>
      <c r="S606" s="44"/>
      <c r="T606" s="44"/>
      <c r="U606" s="44"/>
      <c r="V606" s="43"/>
      <c r="W606" s="60"/>
      <c r="X606" s="60"/>
      <c r="Y606" s="60"/>
      <c r="Z606" s="43"/>
      <c r="AA606" s="43"/>
      <c r="AB606" s="60"/>
      <c r="AC606" s="60"/>
      <c r="AD606" s="60"/>
      <c r="AE606" s="43"/>
      <c r="AF606" s="43"/>
      <c r="AG606" s="43"/>
      <c r="AH606" s="43"/>
      <c r="AI606" s="43"/>
      <c r="AJ606" s="43"/>
      <c r="AK606" s="43"/>
      <c r="AL606" s="43"/>
      <c r="AM606" s="43"/>
      <c r="AN606" s="43"/>
      <c r="AO606" s="1115">
        <f>'Zuschnitt Schieberblatt'!G97</f>
        <v>0</v>
      </c>
      <c r="AP606" s="1115">
        <f>'Zuschnitt Schieberblatt'!H97</f>
        <v>0</v>
      </c>
      <c r="AQ606" s="1115">
        <f>'Zuschnitt Schieberblatt'!I97</f>
        <v>0</v>
      </c>
      <c r="AR606" s="1115"/>
      <c r="AS606" s="1188">
        <v>1</v>
      </c>
      <c r="BD606" s="35"/>
      <c r="BF606" s="2135" t="str">
        <f t="shared" si="69"/>
        <v/>
      </c>
      <c r="BG606" s="2135">
        <f t="shared" si="70"/>
        <v>0</v>
      </c>
      <c r="BH606" s="2136" t="s">
        <v>10</v>
      </c>
    </row>
    <row r="607" spans="1:60" ht="24.95" customHeight="1" x14ac:dyDescent="0.25">
      <c r="A607" s="337" t="s">
        <v>27849</v>
      </c>
      <c r="B607" s="1511" t="str">
        <f>'Zuschnitt Schieberblatt'!B98</f>
        <v>114</v>
      </c>
      <c r="C607" s="2314"/>
      <c r="D607" s="32" t="str">
        <f>'Zuschnitt Schieberblatt'!F98</f>
        <v/>
      </c>
      <c r="E607" s="2314"/>
      <c r="F607" s="32">
        <f t="shared" si="76"/>
        <v>0</v>
      </c>
      <c r="G607" s="2314"/>
      <c r="H607" s="32">
        <f t="shared" si="77"/>
        <v>0</v>
      </c>
      <c r="I607" s="2314"/>
      <c r="J607" s="32">
        <f t="shared" si="78"/>
        <v>0</v>
      </c>
      <c r="K607" s="2314"/>
      <c r="L607" s="43"/>
      <c r="M607" s="2314"/>
      <c r="N607" s="1250" t="s">
        <v>28399</v>
      </c>
      <c r="O607" s="43"/>
      <c r="P607" s="44"/>
      <c r="Q607" s="1250" t="s">
        <v>28877</v>
      </c>
      <c r="R607" s="2113">
        <f>'Zuschnitt Schieberblatt'!E98</f>
        <v>0</v>
      </c>
      <c r="S607" s="44"/>
      <c r="T607" s="44"/>
      <c r="U607" s="44"/>
      <c r="V607" s="43"/>
      <c r="W607" s="60"/>
      <c r="X607" s="60"/>
      <c r="Y607" s="60"/>
      <c r="Z607" s="43"/>
      <c r="AA607" s="43"/>
      <c r="AB607" s="60"/>
      <c r="AC607" s="60"/>
      <c r="AD607" s="60"/>
      <c r="AE607" s="43"/>
      <c r="AF607" s="43"/>
      <c r="AG607" s="43"/>
      <c r="AH607" s="43"/>
      <c r="AI607" s="43"/>
      <c r="AJ607" s="43"/>
      <c r="AK607" s="43"/>
      <c r="AL607" s="43"/>
      <c r="AM607" s="43"/>
      <c r="AN607" s="43"/>
      <c r="AO607" s="1115">
        <f>'Zuschnitt Schieberblatt'!G98</f>
        <v>0</v>
      </c>
      <c r="AP607" s="1115">
        <f>'Zuschnitt Schieberblatt'!H98</f>
        <v>0</v>
      </c>
      <c r="AQ607" s="1115">
        <f>'Zuschnitt Schieberblatt'!I98</f>
        <v>0</v>
      </c>
      <c r="AR607" s="1115"/>
      <c r="AS607" s="1188">
        <v>1</v>
      </c>
      <c r="BD607" s="35"/>
      <c r="BF607" s="2135" t="str">
        <f t="shared" si="69"/>
        <v/>
      </c>
      <c r="BG607" s="2135">
        <f t="shared" si="70"/>
        <v>0</v>
      </c>
      <c r="BH607" s="2136" t="s">
        <v>10</v>
      </c>
    </row>
    <row r="608" spans="1:60" ht="24.95" customHeight="1" x14ac:dyDescent="0.25">
      <c r="A608" s="337" t="s">
        <v>27849</v>
      </c>
      <c r="B608" s="1511" t="str">
        <f>'Zuschnitt Schieberblatt'!B99</f>
        <v>115</v>
      </c>
      <c r="C608" s="2314"/>
      <c r="D608" s="32" t="str">
        <f>'Zuschnitt Schieberblatt'!F99</f>
        <v/>
      </c>
      <c r="E608" s="2314"/>
      <c r="F608" s="32">
        <f t="shared" si="76"/>
        <v>0</v>
      </c>
      <c r="G608" s="2314"/>
      <c r="H608" s="32">
        <f t="shared" si="77"/>
        <v>0</v>
      </c>
      <c r="I608" s="2314"/>
      <c r="J608" s="32">
        <f t="shared" si="78"/>
        <v>0</v>
      </c>
      <c r="K608" s="2314"/>
      <c r="L608" s="43"/>
      <c r="M608" s="2314"/>
      <c r="N608" s="1250" t="s">
        <v>28399</v>
      </c>
      <c r="O608" s="43"/>
      <c r="P608" s="44"/>
      <c r="Q608" s="1250" t="s">
        <v>28877</v>
      </c>
      <c r="R608" s="2113">
        <f>'Zuschnitt Schieberblatt'!E99</f>
        <v>0</v>
      </c>
      <c r="S608" s="44"/>
      <c r="T608" s="44"/>
      <c r="U608" s="44"/>
      <c r="V608" s="43"/>
      <c r="W608" s="60"/>
      <c r="X608" s="60"/>
      <c r="Y608" s="60"/>
      <c r="Z608" s="43"/>
      <c r="AA608" s="43"/>
      <c r="AB608" s="60"/>
      <c r="AC608" s="60"/>
      <c r="AD608" s="60"/>
      <c r="AE608" s="43"/>
      <c r="AF608" s="43"/>
      <c r="AG608" s="43"/>
      <c r="AH608" s="43"/>
      <c r="AI608" s="43"/>
      <c r="AJ608" s="43"/>
      <c r="AK608" s="43"/>
      <c r="AL608" s="43"/>
      <c r="AM608" s="43"/>
      <c r="AN608" s="43"/>
      <c r="AO608" s="1115">
        <f>'Zuschnitt Schieberblatt'!G99</f>
        <v>0</v>
      </c>
      <c r="AP608" s="1115">
        <f>'Zuschnitt Schieberblatt'!H99</f>
        <v>0</v>
      </c>
      <c r="AQ608" s="1115">
        <f>'Zuschnitt Schieberblatt'!I99</f>
        <v>0</v>
      </c>
      <c r="AR608" s="1115"/>
      <c r="AS608" s="1188">
        <v>1</v>
      </c>
      <c r="BD608" s="35"/>
      <c r="BF608" s="2135" t="str">
        <f t="shared" si="69"/>
        <v/>
      </c>
      <c r="BG608" s="2135">
        <f t="shared" si="70"/>
        <v>0</v>
      </c>
      <c r="BH608" s="2136" t="s">
        <v>10</v>
      </c>
    </row>
    <row r="609" spans="1:60" ht="24.95" customHeight="1" x14ac:dyDescent="0.25">
      <c r="A609" s="337" t="s">
        <v>27849</v>
      </c>
      <c r="B609" s="1511" t="str">
        <f>'Zuschnitt Schieberblatt'!B100</f>
        <v>116</v>
      </c>
      <c r="C609" s="2314"/>
      <c r="D609" s="32" t="str">
        <f>'Zuschnitt Schieberblatt'!F100</f>
        <v/>
      </c>
      <c r="E609" s="2314"/>
      <c r="F609" s="32">
        <f t="shared" si="76"/>
        <v>0</v>
      </c>
      <c r="G609" s="2314"/>
      <c r="H609" s="32">
        <f t="shared" si="77"/>
        <v>0</v>
      </c>
      <c r="I609" s="2314"/>
      <c r="J609" s="32">
        <f t="shared" si="78"/>
        <v>0</v>
      </c>
      <c r="K609" s="2314"/>
      <c r="L609" s="43"/>
      <c r="M609" s="2314"/>
      <c r="N609" s="1250" t="s">
        <v>28399</v>
      </c>
      <c r="O609" s="43"/>
      <c r="P609" s="44"/>
      <c r="Q609" s="1250" t="s">
        <v>28877</v>
      </c>
      <c r="R609" s="2113">
        <f>'Zuschnitt Schieberblatt'!E100</f>
        <v>0</v>
      </c>
      <c r="S609" s="44"/>
      <c r="T609" s="44"/>
      <c r="U609" s="44"/>
      <c r="V609" s="43"/>
      <c r="W609" s="60"/>
      <c r="X609" s="60"/>
      <c r="Y609" s="60"/>
      <c r="Z609" s="43"/>
      <c r="AA609" s="43"/>
      <c r="AB609" s="60"/>
      <c r="AC609" s="60"/>
      <c r="AD609" s="60"/>
      <c r="AE609" s="43"/>
      <c r="AF609" s="43"/>
      <c r="AG609" s="43"/>
      <c r="AH609" s="43"/>
      <c r="AI609" s="43"/>
      <c r="AJ609" s="43"/>
      <c r="AK609" s="43"/>
      <c r="AL609" s="43"/>
      <c r="AM609" s="43"/>
      <c r="AN609" s="43"/>
      <c r="AO609" s="1115">
        <f>'Zuschnitt Schieberblatt'!G100</f>
        <v>0</v>
      </c>
      <c r="AP609" s="1115">
        <f>'Zuschnitt Schieberblatt'!H100</f>
        <v>0</v>
      </c>
      <c r="AQ609" s="1115">
        <f>'Zuschnitt Schieberblatt'!I100</f>
        <v>0</v>
      </c>
      <c r="AR609" s="1115"/>
      <c r="AS609" s="1188">
        <v>1</v>
      </c>
      <c r="BD609" s="35"/>
      <c r="BF609" s="2135" t="str">
        <f t="shared" si="69"/>
        <v/>
      </c>
      <c r="BG609" s="2135">
        <f t="shared" si="70"/>
        <v>0</v>
      </c>
      <c r="BH609" s="2136" t="s">
        <v>10</v>
      </c>
    </row>
    <row r="610" spans="1:60" ht="24.95" customHeight="1" x14ac:dyDescent="0.25">
      <c r="A610" s="337" t="s">
        <v>27849</v>
      </c>
      <c r="B610" s="1511" t="str">
        <f>'Zuschnitt Schieberblatt'!B101</f>
        <v>117</v>
      </c>
      <c r="C610" s="2314"/>
      <c r="D610" s="32" t="str">
        <f>'Zuschnitt Schieberblatt'!F101</f>
        <v/>
      </c>
      <c r="E610" s="2314"/>
      <c r="F610" s="32">
        <f t="shared" si="76"/>
        <v>0</v>
      </c>
      <c r="G610" s="2314"/>
      <c r="H610" s="32">
        <f t="shared" si="77"/>
        <v>0</v>
      </c>
      <c r="I610" s="2314"/>
      <c r="J610" s="32">
        <f t="shared" si="78"/>
        <v>0</v>
      </c>
      <c r="K610" s="2314"/>
      <c r="L610" s="43"/>
      <c r="M610" s="2314"/>
      <c r="N610" s="1250" t="s">
        <v>28399</v>
      </c>
      <c r="O610" s="43"/>
      <c r="P610" s="44"/>
      <c r="Q610" s="1250" t="s">
        <v>28877</v>
      </c>
      <c r="R610" s="2113">
        <f>'Zuschnitt Schieberblatt'!E101</f>
        <v>0</v>
      </c>
      <c r="S610" s="44"/>
      <c r="T610" s="44"/>
      <c r="U610" s="44"/>
      <c r="V610" s="43"/>
      <c r="W610" s="60"/>
      <c r="X610" s="60"/>
      <c r="Y610" s="60"/>
      <c r="Z610" s="43"/>
      <c r="AA610" s="43"/>
      <c r="AB610" s="60"/>
      <c r="AC610" s="60"/>
      <c r="AD610" s="60"/>
      <c r="AE610" s="43"/>
      <c r="AF610" s="43"/>
      <c r="AG610" s="43"/>
      <c r="AH610" s="43"/>
      <c r="AI610" s="43"/>
      <c r="AJ610" s="43"/>
      <c r="AK610" s="43"/>
      <c r="AL610" s="43"/>
      <c r="AM610" s="43"/>
      <c r="AN610" s="43"/>
      <c r="AO610" s="1115">
        <f>'Zuschnitt Schieberblatt'!G101</f>
        <v>0</v>
      </c>
      <c r="AP610" s="1115">
        <f>'Zuschnitt Schieberblatt'!H101</f>
        <v>0</v>
      </c>
      <c r="AQ610" s="1115">
        <f>'Zuschnitt Schieberblatt'!I101</f>
        <v>0</v>
      </c>
      <c r="AR610" s="1115"/>
      <c r="AS610" s="1188">
        <v>1</v>
      </c>
      <c r="BD610" s="35"/>
      <c r="BF610" s="2135" t="str">
        <f t="shared" si="69"/>
        <v/>
      </c>
      <c r="BG610" s="2135">
        <f t="shared" si="70"/>
        <v>0</v>
      </c>
      <c r="BH610" s="2136" t="s">
        <v>10</v>
      </c>
    </row>
    <row r="611" spans="1:60" ht="24.95" customHeight="1" x14ac:dyDescent="0.25">
      <c r="A611" s="337" t="s">
        <v>27849</v>
      </c>
      <c r="B611" s="1511" t="str">
        <f>'Zuschnitt Schieberblatt'!B102</f>
        <v>118</v>
      </c>
      <c r="C611" s="2314"/>
      <c r="D611" s="32" t="str">
        <f>'Zuschnitt Schieberblatt'!F102</f>
        <v/>
      </c>
      <c r="E611" s="2314"/>
      <c r="F611" s="32">
        <f t="shared" si="76"/>
        <v>0</v>
      </c>
      <c r="G611" s="2314"/>
      <c r="H611" s="32">
        <f t="shared" si="77"/>
        <v>0</v>
      </c>
      <c r="I611" s="2314"/>
      <c r="J611" s="32">
        <f t="shared" si="78"/>
        <v>0</v>
      </c>
      <c r="K611" s="2314"/>
      <c r="L611" s="43"/>
      <c r="M611" s="2314"/>
      <c r="N611" s="1250" t="s">
        <v>28399</v>
      </c>
      <c r="O611" s="43"/>
      <c r="P611" s="44"/>
      <c r="Q611" s="1250" t="s">
        <v>28877</v>
      </c>
      <c r="R611" s="2113">
        <f>'Zuschnitt Schieberblatt'!E102</f>
        <v>0</v>
      </c>
      <c r="S611" s="44"/>
      <c r="T611" s="44"/>
      <c r="U611" s="44"/>
      <c r="V611" s="43"/>
      <c r="W611" s="60"/>
      <c r="X611" s="60"/>
      <c r="Y611" s="60"/>
      <c r="Z611" s="43"/>
      <c r="AA611" s="43"/>
      <c r="AB611" s="60"/>
      <c r="AC611" s="60"/>
      <c r="AD611" s="60"/>
      <c r="AE611" s="43"/>
      <c r="AF611" s="43"/>
      <c r="AG611" s="43"/>
      <c r="AH611" s="43"/>
      <c r="AI611" s="43"/>
      <c r="AJ611" s="43"/>
      <c r="AK611" s="43"/>
      <c r="AL611" s="43"/>
      <c r="AM611" s="43"/>
      <c r="AN611" s="43"/>
      <c r="AO611" s="1115">
        <f>'Zuschnitt Schieberblatt'!G102</f>
        <v>0</v>
      </c>
      <c r="AP611" s="1115">
        <f>'Zuschnitt Schieberblatt'!H102</f>
        <v>0</v>
      </c>
      <c r="AQ611" s="1115">
        <f>'Zuschnitt Schieberblatt'!I102</f>
        <v>0</v>
      </c>
      <c r="AR611" s="1115"/>
      <c r="AS611" s="1188">
        <v>1</v>
      </c>
      <c r="BD611" s="35"/>
      <c r="BF611" s="2135" t="str">
        <f t="shared" si="69"/>
        <v/>
      </c>
      <c r="BG611" s="2135">
        <f t="shared" si="70"/>
        <v>0</v>
      </c>
      <c r="BH611" s="2136" t="s">
        <v>10</v>
      </c>
    </row>
    <row r="612" spans="1:60" ht="24.95" customHeight="1" x14ac:dyDescent="0.25">
      <c r="A612" s="337" t="s">
        <v>27849</v>
      </c>
      <c r="B612" s="1511" t="str">
        <f>'Zuschnitt Schieberblatt'!B103</f>
        <v>119</v>
      </c>
      <c r="C612" s="2314"/>
      <c r="D612" s="32" t="str">
        <f>'Zuschnitt Schieberblatt'!F103</f>
        <v/>
      </c>
      <c r="E612" s="2314"/>
      <c r="F612" s="32">
        <f t="shared" si="76"/>
        <v>0</v>
      </c>
      <c r="G612" s="2314"/>
      <c r="H612" s="32">
        <f t="shared" si="77"/>
        <v>0</v>
      </c>
      <c r="I612" s="2314"/>
      <c r="J612" s="32">
        <f t="shared" si="78"/>
        <v>0</v>
      </c>
      <c r="K612" s="2314"/>
      <c r="L612" s="43"/>
      <c r="M612" s="2314"/>
      <c r="N612" s="1250" t="s">
        <v>28399</v>
      </c>
      <c r="O612" s="43"/>
      <c r="P612" s="44"/>
      <c r="Q612" s="1250" t="s">
        <v>28877</v>
      </c>
      <c r="R612" s="2113">
        <f>'Zuschnitt Schieberblatt'!E103</f>
        <v>0</v>
      </c>
      <c r="S612" s="44"/>
      <c r="T612" s="44"/>
      <c r="U612" s="44"/>
      <c r="V612" s="43"/>
      <c r="W612" s="60"/>
      <c r="X612" s="60"/>
      <c r="Y612" s="60"/>
      <c r="Z612" s="43"/>
      <c r="AA612" s="43"/>
      <c r="AB612" s="60"/>
      <c r="AC612" s="60"/>
      <c r="AD612" s="60"/>
      <c r="AE612" s="43"/>
      <c r="AF612" s="43"/>
      <c r="AG612" s="43"/>
      <c r="AH612" s="43"/>
      <c r="AI612" s="43"/>
      <c r="AJ612" s="43"/>
      <c r="AK612" s="43"/>
      <c r="AL612" s="43"/>
      <c r="AM612" s="43"/>
      <c r="AN612" s="43"/>
      <c r="AO612" s="1115">
        <f>'Zuschnitt Schieberblatt'!G103</f>
        <v>0</v>
      </c>
      <c r="AP612" s="1115">
        <f>'Zuschnitt Schieberblatt'!H103</f>
        <v>0</v>
      </c>
      <c r="AQ612" s="1115">
        <f>'Zuschnitt Schieberblatt'!I103</f>
        <v>0</v>
      </c>
      <c r="AR612" s="1115"/>
      <c r="AS612" s="1188">
        <v>1</v>
      </c>
      <c r="BD612" s="35"/>
      <c r="BF612" s="2135" t="str">
        <f t="shared" si="69"/>
        <v/>
      </c>
      <c r="BG612" s="2135">
        <f t="shared" si="70"/>
        <v>0</v>
      </c>
      <c r="BH612" s="2136" t="s">
        <v>10</v>
      </c>
    </row>
    <row r="613" spans="1:60" ht="24.95" customHeight="1" x14ac:dyDescent="0.25">
      <c r="A613" s="337" t="s">
        <v>27849</v>
      </c>
      <c r="B613" s="1511" t="str">
        <f>'Zuschnitt Schieberblatt'!B104</f>
        <v>120</v>
      </c>
      <c r="C613" s="2314"/>
      <c r="D613" s="32" t="str">
        <f>'Zuschnitt Schieberblatt'!F104</f>
        <v/>
      </c>
      <c r="E613" s="2314"/>
      <c r="F613" s="32">
        <f t="shared" si="76"/>
        <v>0</v>
      </c>
      <c r="G613" s="2314"/>
      <c r="H613" s="32">
        <f t="shared" si="77"/>
        <v>0</v>
      </c>
      <c r="I613" s="2314"/>
      <c r="J613" s="32">
        <f t="shared" si="78"/>
        <v>0</v>
      </c>
      <c r="K613" s="2314"/>
      <c r="L613" s="43"/>
      <c r="M613" s="2314"/>
      <c r="N613" s="1250" t="s">
        <v>28399</v>
      </c>
      <c r="O613" s="43"/>
      <c r="P613" s="44"/>
      <c r="Q613" s="1250" t="s">
        <v>28877</v>
      </c>
      <c r="R613" s="2113">
        <f>'Zuschnitt Schieberblatt'!E104</f>
        <v>0</v>
      </c>
      <c r="S613" s="44"/>
      <c r="T613" s="44"/>
      <c r="U613" s="44"/>
      <c r="V613" s="43"/>
      <c r="W613" s="60"/>
      <c r="X613" s="60"/>
      <c r="Y613" s="60"/>
      <c r="Z613" s="43"/>
      <c r="AA613" s="43"/>
      <c r="AB613" s="60"/>
      <c r="AC613" s="60"/>
      <c r="AD613" s="60"/>
      <c r="AE613" s="43"/>
      <c r="AF613" s="43"/>
      <c r="AG613" s="43"/>
      <c r="AH613" s="43"/>
      <c r="AI613" s="43"/>
      <c r="AJ613" s="43"/>
      <c r="AK613" s="43"/>
      <c r="AL613" s="43"/>
      <c r="AM613" s="43"/>
      <c r="AN613" s="43"/>
      <c r="AO613" s="1115">
        <f>'Zuschnitt Schieberblatt'!G104</f>
        <v>0</v>
      </c>
      <c r="AP613" s="1115">
        <f>'Zuschnitt Schieberblatt'!H104</f>
        <v>0</v>
      </c>
      <c r="AQ613" s="1115">
        <f>'Zuschnitt Schieberblatt'!I104</f>
        <v>0</v>
      </c>
      <c r="AR613" s="1115"/>
      <c r="AS613" s="1188">
        <v>1</v>
      </c>
      <c r="BD613" s="35"/>
      <c r="BF613" s="2135" t="str">
        <f t="shared" ref="BF613:BF628" si="79">D613</f>
        <v/>
      </c>
      <c r="BG613" s="2135">
        <f t="shared" ref="BG613:BG624" si="80">F613*H613/1000*J613/1000</f>
        <v>0</v>
      </c>
      <c r="BH613" s="2136" t="s">
        <v>10</v>
      </c>
    </row>
    <row r="614" spans="1:60" ht="24.95" customHeight="1" x14ac:dyDescent="0.25">
      <c r="A614" s="337" t="s">
        <v>27849</v>
      </c>
      <c r="B614" s="1511" t="str">
        <f>'Zuschnitt Schieberblatt'!B105</f>
        <v>121</v>
      </c>
      <c r="C614" s="2314"/>
      <c r="D614" s="32" t="str">
        <f>'Zuschnitt Schieberblatt'!F105</f>
        <v/>
      </c>
      <c r="E614" s="2314"/>
      <c r="F614" s="32">
        <f t="shared" si="76"/>
        <v>0</v>
      </c>
      <c r="G614" s="2314"/>
      <c r="H614" s="32">
        <f t="shared" si="77"/>
        <v>0</v>
      </c>
      <c r="I614" s="2314"/>
      <c r="J614" s="32">
        <f t="shared" si="78"/>
        <v>0</v>
      </c>
      <c r="K614" s="2314"/>
      <c r="L614" s="43"/>
      <c r="M614" s="2314"/>
      <c r="N614" s="1250" t="s">
        <v>28399</v>
      </c>
      <c r="O614" s="43"/>
      <c r="P614" s="44"/>
      <c r="Q614" s="1250" t="s">
        <v>28877</v>
      </c>
      <c r="R614" s="2113">
        <f>'Zuschnitt Schieberblatt'!E105</f>
        <v>0</v>
      </c>
      <c r="S614" s="44"/>
      <c r="T614" s="44"/>
      <c r="U614" s="44"/>
      <c r="V614" s="43"/>
      <c r="W614" s="60"/>
      <c r="X614" s="60"/>
      <c r="Y614" s="60"/>
      <c r="Z614" s="43"/>
      <c r="AA614" s="43"/>
      <c r="AB614" s="60"/>
      <c r="AC614" s="60"/>
      <c r="AD614" s="60"/>
      <c r="AE614" s="43"/>
      <c r="AF614" s="43"/>
      <c r="AG614" s="43"/>
      <c r="AH614" s="43"/>
      <c r="AI614" s="43"/>
      <c r="AJ614" s="43"/>
      <c r="AK614" s="43"/>
      <c r="AL614" s="43"/>
      <c r="AM614" s="43"/>
      <c r="AN614" s="43"/>
      <c r="AO614" s="1115">
        <f>'Zuschnitt Schieberblatt'!G105</f>
        <v>0</v>
      </c>
      <c r="AP614" s="1115">
        <f>'Zuschnitt Schieberblatt'!H105</f>
        <v>0</v>
      </c>
      <c r="AQ614" s="1115">
        <f>'Zuschnitt Schieberblatt'!I105</f>
        <v>0</v>
      </c>
      <c r="AR614" s="1115"/>
      <c r="AS614" s="1188">
        <v>1</v>
      </c>
      <c r="BD614" s="35"/>
      <c r="BF614" s="2135" t="str">
        <f t="shared" si="79"/>
        <v/>
      </c>
      <c r="BG614" s="2135">
        <f t="shared" si="80"/>
        <v>0</v>
      </c>
      <c r="BH614" s="2136" t="s">
        <v>10</v>
      </c>
    </row>
    <row r="615" spans="1:60" ht="24.95" customHeight="1" x14ac:dyDescent="0.25">
      <c r="A615" s="337" t="s">
        <v>27849</v>
      </c>
      <c r="B615" s="1511" t="str">
        <f>'Zuschnitt Schieberblatt'!B106</f>
        <v>122</v>
      </c>
      <c r="C615" s="2314"/>
      <c r="D615" s="32" t="str">
        <f>'Zuschnitt Schieberblatt'!F106</f>
        <v/>
      </c>
      <c r="E615" s="2314"/>
      <c r="F615" s="32">
        <f t="shared" si="76"/>
        <v>0</v>
      </c>
      <c r="G615" s="2314"/>
      <c r="H615" s="32">
        <f t="shared" si="77"/>
        <v>0</v>
      </c>
      <c r="I615" s="2314"/>
      <c r="J615" s="32">
        <f t="shared" si="78"/>
        <v>0</v>
      </c>
      <c r="K615" s="2314"/>
      <c r="L615" s="43"/>
      <c r="M615" s="2314"/>
      <c r="N615" s="1250" t="s">
        <v>28399</v>
      </c>
      <c r="O615" s="43"/>
      <c r="P615" s="44"/>
      <c r="Q615" s="1250" t="s">
        <v>28877</v>
      </c>
      <c r="R615" s="2113">
        <f>'Zuschnitt Schieberblatt'!E106</f>
        <v>0</v>
      </c>
      <c r="S615" s="44"/>
      <c r="T615" s="44"/>
      <c r="U615" s="44"/>
      <c r="V615" s="43"/>
      <c r="W615" s="60"/>
      <c r="X615" s="60"/>
      <c r="Y615" s="60"/>
      <c r="Z615" s="43"/>
      <c r="AA615" s="43"/>
      <c r="AB615" s="60"/>
      <c r="AC615" s="60"/>
      <c r="AD615" s="60"/>
      <c r="AE615" s="43"/>
      <c r="AF615" s="43"/>
      <c r="AG615" s="43"/>
      <c r="AH615" s="43"/>
      <c r="AI615" s="43"/>
      <c r="AJ615" s="43"/>
      <c r="AK615" s="43"/>
      <c r="AL615" s="43"/>
      <c r="AM615" s="43"/>
      <c r="AN615" s="43"/>
      <c r="AO615" s="1115">
        <f>'Zuschnitt Schieberblatt'!G106</f>
        <v>0</v>
      </c>
      <c r="AP615" s="1115">
        <f>'Zuschnitt Schieberblatt'!H106</f>
        <v>0</v>
      </c>
      <c r="AQ615" s="1115">
        <f>'Zuschnitt Schieberblatt'!I106</f>
        <v>0</v>
      </c>
      <c r="AR615" s="1115"/>
      <c r="AS615" s="1188">
        <v>1</v>
      </c>
      <c r="BD615" s="35"/>
      <c r="BF615" s="2135" t="str">
        <f t="shared" si="79"/>
        <v/>
      </c>
      <c r="BG615" s="2135">
        <f t="shared" si="80"/>
        <v>0</v>
      </c>
      <c r="BH615" s="2136" t="s">
        <v>10</v>
      </c>
    </row>
    <row r="616" spans="1:60" ht="24.95" customHeight="1" x14ac:dyDescent="0.25">
      <c r="A616" s="337" t="s">
        <v>27849</v>
      </c>
      <c r="B616" s="1511" t="str">
        <f>'Zuschnitt Schieberblatt'!B107</f>
        <v>123</v>
      </c>
      <c r="C616" s="2314"/>
      <c r="D616" s="32" t="str">
        <f>'Zuschnitt Schieberblatt'!F107</f>
        <v/>
      </c>
      <c r="E616" s="2314"/>
      <c r="F616" s="32">
        <f t="shared" si="76"/>
        <v>0</v>
      </c>
      <c r="G616" s="2314"/>
      <c r="H616" s="32">
        <f t="shared" si="77"/>
        <v>0</v>
      </c>
      <c r="I616" s="2314"/>
      <c r="J616" s="32">
        <f t="shared" si="78"/>
        <v>0</v>
      </c>
      <c r="K616" s="2314"/>
      <c r="L616" s="43"/>
      <c r="M616" s="2314"/>
      <c r="N616" s="1250" t="s">
        <v>28399</v>
      </c>
      <c r="O616" s="43"/>
      <c r="P616" s="44"/>
      <c r="Q616" s="1250" t="s">
        <v>28877</v>
      </c>
      <c r="R616" s="2113">
        <f>'Zuschnitt Schieberblatt'!E107</f>
        <v>0</v>
      </c>
      <c r="S616" s="44"/>
      <c r="T616" s="44"/>
      <c r="U616" s="44"/>
      <c r="V616" s="43"/>
      <c r="W616" s="60"/>
      <c r="X616" s="60"/>
      <c r="Y616" s="60"/>
      <c r="Z616" s="43"/>
      <c r="AA616" s="43"/>
      <c r="AB616" s="60"/>
      <c r="AC616" s="60"/>
      <c r="AD616" s="60"/>
      <c r="AE616" s="43"/>
      <c r="AF616" s="43"/>
      <c r="AG616" s="43"/>
      <c r="AH616" s="43"/>
      <c r="AI616" s="43"/>
      <c r="AJ616" s="43"/>
      <c r="AK616" s="43"/>
      <c r="AL616" s="43"/>
      <c r="AM616" s="43"/>
      <c r="AN616" s="43"/>
      <c r="AO616" s="1115">
        <f>'Zuschnitt Schieberblatt'!G107</f>
        <v>0</v>
      </c>
      <c r="AP616" s="1115">
        <f>'Zuschnitt Schieberblatt'!H107</f>
        <v>0</v>
      </c>
      <c r="AQ616" s="1115">
        <f>'Zuschnitt Schieberblatt'!I107</f>
        <v>0</v>
      </c>
      <c r="AR616" s="1115"/>
      <c r="AS616" s="1188">
        <v>1</v>
      </c>
      <c r="BD616" s="35"/>
      <c r="BF616" s="2135" t="str">
        <f t="shared" si="79"/>
        <v/>
      </c>
      <c r="BG616" s="2135">
        <f t="shared" si="80"/>
        <v>0</v>
      </c>
      <c r="BH616" s="2136" t="s">
        <v>10</v>
      </c>
    </row>
    <row r="617" spans="1:60" ht="24.95" customHeight="1" x14ac:dyDescent="0.25">
      <c r="A617" s="337" t="s">
        <v>27849</v>
      </c>
      <c r="B617" s="1511" t="str">
        <f>'Zuschnitt Schieberblatt'!B108</f>
        <v>124</v>
      </c>
      <c r="C617" s="2314"/>
      <c r="D617" s="32" t="str">
        <f>'Zuschnitt Schieberblatt'!F108</f>
        <v/>
      </c>
      <c r="E617" s="2314"/>
      <c r="F617" s="32">
        <f t="shared" si="76"/>
        <v>0</v>
      </c>
      <c r="G617" s="2314"/>
      <c r="H617" s="32">
        <f t="shared" si="77"/>
        <v>0</v>
      </c>
      <c r="I617" s="2314"/>
      <c r="J617" s="32">
        <f t="shared" si="78"/>
        <v>0</v>
      </c>
      <c r="K617" s="2314"/>
      <c r="L617" s="43"/>
      <c r="M617" s="2314"/>
      <c r="N617" s="1250" t="s">
        <v>28399</v>
      </c>
      <c r="O617" s="43"/>
      <c r="P617" s="44"/>
      <c r="Q617" s="1250" t="s">
        <v>28877</v>
      </c>
      <c r="R617" s="2113">
        <f>'Zuschnitt Schieberblatt'!E108</f>
        <v>0</v>
      </c>
      <c r="S617" s="44"/>
      <c r="T617" s="44"/>
      <c r="U617" s="44"/>
      <c r="V617" s="43"/>
      <c r="W617" s="60"/>
      <c r="X617" s="60"/>
      <c r="Y617" s="60"/>
      <c r="Z617" s="43"/>
      <c r="AA617" s="43"/>
      <c r="AB617" s="60"/>
      <c r="AC617" s="60"/>
      <c r="AD617" s="60"/>
      <c r="AE617" s="43"/>
      <c r="AF617" s="43"/>
      <c r="AG617" s="43"/>
      <c r="AH617" s="43"/>
      <c r="AI617" s="43"/>
      <c r="AJ617" s="43"/>
      <c r="AK617" s="43"/>
      <c r="AL617" s="43"/>
      <c r="AM617" s="43"/>
      <c r="AN617" s="43"/>
      <c r="AO617" s="1115">
        <f>'Zuschnitt Schieberblatt'!G108</f>
        <v>0</v>
      </c>
      <c r="AP617" s="1115">
        <f>'Zuschnitt Schieberblatt'!H108</f>
        <v>0</v>
      </c>
      <c r="AQ617" s="1115">
        <f>'Zuschnitt Schieberblatt'!I108</f>
        <v>0</v>
      </c>
      <c r="AR617" s="1115"/>
      <c r="AS617" s="1188">
        <v>1</v>
      </c>
      <c r="BD617" s="35"/>
      <c r="BF617" s="2135" t="str">
        <f t="shared" si="79"/>
        <v/>
      </c>
      <c r="BG617" s="2135">
        <f t="shared" si="80"/>
        <v>0</v>
      </c>
      <c r="BH617" s="2136" t="s">
        <v>10</v>
      </c>
    </row>
    <row r="618" spans="1:60" ht="24.95" customHeight="1" x14ac:dyDescent="0.25">
      <c r="A618" s="337" t="s">
        <v>27849</v>
      </c>
      <c r="B618" s="1511" t="str">
        <f>'Zuschnitt Schieberblatt'!B109</f>
        <v>125</v>
      </c>
      <c r="C618" s="2314"/>
      <c r="D618" s="32" t="str">
        <f>'Zuschnitt Schieberblatt'!F109</f>
        <v/>
      </c>
      <c r="E618" s="2314"/>
      <c r="F618" s="32">
        <f t="shared" si="76"/>
        <v>0</v>
      </c>
      <c r="G618" s="2314"/>
      <c r="H618" s="32">
        <f t="shared" si="77"/>
        <v>0</v>
      </c>
      <c r="I618" s="2314"/>
      <c r="J618" s="32">
        <f t="shared" si="78"/>
        <v>0</v>
      </c>
      <c r="K618" s="2314"/>
      <c r="L618" s="43"/>
      <c r="M618" s="2314"/>
      <c r="N618" s="1250" t="s">
        <v>28399</v>
      </c>
      <c r="O618" s="43"/>
      <c r="P618" s="44"/>
      <c r="Q618" s="1250" t="s">
        <v>28877</v>
      </c>
      <c r="R618" s="2113">
        <f>'Zuschnitt Schieberblatt'!E109</f>
        <v>0</v>
      </c>
      <c r="S618" s="44"/>
      <c r="T618" s="44"/>
      <c r="U618" s="44"/>
      <c r="V618" s="43"/>
      <c r="W618" s="60"/>
      <c r="X618" s="60"/>
      <c r="Y618" s="60"/>
      <c r="Z618" s="43"/>
      <c r="AA618" s="43"/>
      <c r="AB618" s="60"/>
      <c r="AC618" s="60"/>
      <c r="AD618" s="60"/>
      <c r="AE618" s="43"/>
      <c r="AF618" s="43"/>
      <c r="AG618" s="43"/>
      <c r="AH618" s="43"/>
      <c r="AI618" s="43"/>
      <c r="AJ618" s="43"/>
      <c r="AK618" s="43"/>
      <c r="AL618" s="43"/>
      <c r="AM618" s="43"/>
      <c r="AN618" s="43"/>
      <c r="AO618" s="1115">
        <f>'Zuschnitt Schieberblatt'!G109</f>
        <v>0</v>
      </c>
      <c r="AP618" s="1115">
        <f>'Zuschnitt Schieberblatt'!H109</f>
        <v>0</v>
      </c>
      <c r="AQ618" s="1115">
        <f>'Zuschnitt Schieberblatt'!I109</f>
        <v>0</v>
      </c>
      <c r="AR618" s="1115"/>
      <c r="AS618" s="1188">
        <v>1</v>
      </c>
      <c r="BD618" s="35"/>
      <c r="BF618" s="2135" t="str">
        <f t="shared" si="79"/>
        <v/>
      </c>
      <c r="BG618" s="2135">
        <f t="shared" si="80"/>
        <v>0</v>
      </c>
      <c r="BH618" s="2136" t="s">
        <v>10</v>
      </c>
    </row>
    <row r="619" spans="1:60" ht="24.95" customHeight="1" x14ac:dyDescent="0.25">
      <c r="A619" s="337" t="s">
        <v>27849</v>
      </c>
      <c r="B619" s="1511" t="str">
        <f>'Zuschnitt Schieberblatt'!B110</f>
        <v>126</v>
      </c>
      <c r="C619" s="2314"/>
      <c r="D619" s="32" t="str">
        <f>'Zuschnitt Schieberblatt'!F110</f>
        <v/>
      </c>
      <c r="E619" s="2314"/>
      <c r="F619" s="32">
        <f t="shared" si="76"/>
        <v>0</v>
      </c>
      <c r="G619" s="2314"/>
      <c r="H619" s="32">
        <f t="shared" si="77"/>
        <v>0</v>
      </c>
      <c r="I619" s="2314"/>
      <c r="J619" s="32">
        <f t="shared" si="78"/>
        <v>0</v>
      </c>
      <c r="K619" s="2314"/>
      <c r="L619" s="43"/>
      <c r="M619" s="2314"/>
      <c r="N619" s="1250" t="s">
        <v>28399</v>
      </c>
      <c r="O619" s="43"/>
      <c r="P619" s="44"/>
      <c r="Q619" s="1250" t="s">
        <v>28877</v>
      </c>
      <c r="R619" s="2113">
        <f>'Zuschnitt Schieberblatt'!E110</f>
        <v>0</v>
      </c>
      <c r="S619" s="44"/>
      <c r="T619" s="44"/>
      <c r="U619" s="44"/>
      <c r="V619" s="43"/>
      <c r="W619" s="60"/>
      <c r="X619" s="60"/>
      <c r="Y619" s="60"/>
      <c r="Z619" s="43"/>
      <c r="AA619" s="43"/>
      <c r="AB619" s="60"/>
      <c r="AC619" s="60"/>
      <c r="AD619" s="60"/>
      <c r="AE619" s="43"/>
      <c r="AF619" s="43"/>
      <c r="AG619" s="43"/>
      <c r="AH619" s="43"/>
      <c r="AI619" s="43"/>
      <c r="AJ619" s="43"/>
      <c r="AK619" s="43"/>
      <c r="AL619" s="43"/>
      <c r="AM619" s="43"/>
      <c r="AN619" s="43"/>
      <c r="AO619" s="1115">
        <f>'Zuschnitt Schieberblatt'!G110</f>
        <v>0</v>
      </c>
      <c r="AP619" s="1115">
        <f>'Zuschnitt Schieberblatt'!H110</f>
        <v>0</v>
      </c>
      <c r="AQ619" s="1115">
        <f>'Zuschnitt Schieberblatt'!I110</f>
        <v>0</v>
      </c>
      <c r="AR619" s="1115"/>
      <c r="AS619" s="1188">
        <v>1</v>
      </c>
      <c r="BD619" s="35"/>
      <c r="BF619" s="2135" t="str">
        <f t="shared" si="79"/>
        <v/>
      </c>
      <c r="BG619" s="2135">
        <f t="shared" si="80"/>
        <v>0</v>
      </c>
      <c r="BH619" s="2136" t="s">
        <v>10</v>
      </c>
    </row>
    <row r="620" spans="1:60" ht="24.95" customHeight="1" x14ac:dyDescent="0.25">
      <c r="A620" s="337" t="s">
        <v>27849</v>
      </c>
      <c r="B620" s="1511" t="str">
        <f>'Zuschnitt Schieberblatt'!B111</f>
        <v>127</v>
      </c>
      <c r="C620" s="2314"/>
      <c r="D620" s="32" t="str">
        <f>'Zuschnitt Schieberblatt'!F111</f>
        <v/>
      </c>
      <c r="E620" s="2314"/>
      <c r="F620" s="32">
        <f t="shared" si="76"/>
        <v>0</v>
      </c>
      <c r="G620" s="2314"/>
      <c r="H620" s="32">
        <f t="shared" si="77"/>
        <v>0</v>
      </c>
      <c r="I620" s="2314"/>
      <c r="J620" s="32">
        <f t="shared" si="78"/>
        <v>0</v>
      </c>
      <c r="K620" s="2314"/>
      <c r="L620" s="43"/>
      <c r="M620" s="2314"/>
      <c r="N620" s="1250" t="s">
        <v>28399</v>
      </c>
      <c r="O620" s="43"/>
      <c r="P620" s="44"/>
      <c r="Q620" s="1250" t="s">
        <v>28877</v>
      </c>
      <c r="R620" s="2113">
        <f>'Zuschnitt Schieberblatt'!E111</f>
        <v>0</v>
      </c>
      <c r="S620" s="44"/>
      <c r="T620" s="44"/>
      <c r="U620" s="44"/>
      <c r="V620" s="43"/>
      <c r="W620" s="60"/>
      <c r="X620" s="60"/>
      <c r="Y620" s="60"/>
      <c r="Z620" s="43"/>
      <c r="AA620" s="43"/>
      <c r="AB620" s="60"/>
      <c r="AC620" s="60"/>
      <c r="AD620" s="60"/>
      <c r="AE620" s="43"/>
      <c r="AF620" s="43"/>
      <c r="AG620" s="43"/>
      <c r="AH620" s="43"/>
      <c r="AI620" s="43"/>
      <c r="AJ620" s="43"/>
      <c r="AK620" s="43"/>
      <c r="AL620" s="43"/>
      <c r="AM620" s="43"/>
      <c r="AN620" s="43"/>
      <c r="AO620" s="1115">
        <f>'Zuschnitt Schieberblatt'!G111</f>
        <v>0</v>
      </c>
      <c r="AP620" s="1115">
        <f>'Zuschnitt Schieberblatt'!H111</f>
        <v>0</v>
      </c>
      <c r="AQ620" s="1115">
        <f>'Zuschnitt Schieberblatt'!I111</f>
        <v>0</v>
      </c>
      <c r="AR620" s="1115"/>
      <c r="AS620" s="1188">
        <v>1</v>
      </c>
      <c r="BD620" s="35"/>
      <c r="BF620" s="2135" t="str">
        <f t="shared" si="79"/>
        <v/>
      </c>
      <c r="BG620" s="2135">
        <f t="shared" si="80"/>
        <v>0</v>
      </c>
      <c r="BH620" s="2136" t="s">
        <v>10</v>
      </c>
    </row>
    <row r="621" spans="1:60" ht="24.95" customHeight="1" x14ac:dyDescent="0.25">
      <c r="A621" s="337" t="s">
        <v>27849</v>
      </c>
      <c r="B621" s="1511" t="str">
        <f>'Zuschnitt Schieberblatt'!B112</f>
        <v>128</v>
      </c>
      <c r="C621" s="2314"/>
      <c r="D621" s="32" t="str">
        <f>'Zuschnitt Schieberblatt'!F112</f>
        <v/>
      </c>
      <c r="E621" s="2314"/>
      <c r="F621" s="32">
        <f t="shared" si="76"/>
        <v>0</v>
      </c>
      <c r="G621" s="2314"/>
      <c r="H621" s="32">
        <f t="shared" si="77"/>
        <v>0</v>
      </c>
      <c r="I621" s="2314"/>
      <c r="J621" s="32">
        <f t="shared" si="78"/>
        <v>0</v>
      </c>
      <c r="K621" s="2314"/>
      <c r="L621" s="43"/>
      <c r="M621" s="2314"/>
      <c r="N621" s="1250" t="s">
        <v>28399</v>
      </c>
      <c r="O621" s="43"/>
      <c r="P621" s="44"/>
      <c r="Q621" s="1250" t="s">
        <v>28877</v>
      </c>
      <c r="R621" s="2113">
        <f>'Zuschnitt Schieberblatt'!E112</f>
        <v>0</v>
      </c>
      <c r="S621" s="44"/>
      <c r="T621" s="44"/>
      <c r="U621" s="44"/>
      <c r="V621" s="43"/>
      <c r="W621" s="60"/>
      <c r="X621" s="60"/>
      <c r="Y621" s="60"/>
      <c r="Z621" s="43"/>
      <c r="AA621" s="43"/>
      <c r="AB621" s="60"/>
      <c r="AC621" s="60"/>
      <c r="AD621" s="60"/>
      <c r="AE621" s="43"/>
      <c r="AF621" s="43"/>
      <c r="AG621" s="43"/>
      <c r="AH621" s="43"/>
      <c r="AI621" s="43"/>
      <c r="AJ621" s="43"/>
      <c r="AK621" s="43"/>
      <c r="AL621" s="43"/>
      <c r="AM621" s="43"/>
      <c r="AN621" s="43"/>
      <c r="AO621" s="1115">
        <f>'Zuschnitt Schieberblatt'!G112</f>
        <v>0</v>
      </c>
      <c r="AP621" s="1115">
        <f>'Zuschnitt Schieberblatt'!H112</f>
        <v>0</v>
      </c>
      <c r="AQ621" s="1115">
        <f>'Zuschnitt Schieberblatt'!I112</f>
        <v>0</v>
      </c>
      <c r="AR621" s="1115"/>
      <c r="AS621" s="1188">
        <v>1</v>
      </c>
      <c r="BD621" s="35"/>
      <c r="BF621" s="2135" t="str">
        <f t="shared" si="79"/>
        <v/>
      </c>
      <c r="BG621" s="2135">
        <f t="shared" si="80"/>
        <v>0</v>
      </c>
      <c r="BH621" s="2136" t="s">
        <v>10</v>
      </c>
    </row>
    <row r="622" spans="1:60" ht="24.95" customHeight="1" x14ac:dyDescent="0.25">
      <c r="A622" s="337" t="s">
        <v>27849</v>
      </c>
      <c r="B622" s="1511" t="str">
        <f>'Zuschnitt Schieberblatt'!B113</f>
        <v>129</v>
      </c>
      <c r="C622" s="2314"/>
      <c r="D622" s="32" t="str">
        <f>'Zuschnitt Schieberblatt'!F113</f>
        <v/>
      </c>
      <c r="E622" s="2314"/>
      <c r="F622" s="32">
        <f t="shared" si="76"/>
        <v>0</v>
      </c>
      <c r="G622" s="2314"/>
      <c r="H622" s="32">
        <f t="shared" si="77"/>
        <v>0</v>
      </c>
      <c r="I622" s="2314"/>
      <c r="J622" s="32">
        <f t="shared" si="78"/>
        <v>0</v>
      </c>
      <c r="K622" s="2314"/>
      <c r="L622" s="43"/>
      <c r="M622" s="2314"/>
      <c r="N622" s="1250" t="s">
        <v>28399</v>
      </c>
      <c r="O622" s="43"/>
      <c r="P622" s="44"/>
      <c r="Q622" s="1250" t="s">
        <v>28877</v>
      </c>
      <c r="R622" s="2113">
        <f>'Zuschnitt Schieberblatt'!E113</f>
        <v>0</v>
      </c>
      <c r="S622" s="44"/>
      <c r="T622" s="44"/>
      <c r="U622" s="44"/>
      <c r="V622" s="43"/>
      <c r="W622" s="60"/>
      <c r="X622" s="60"/>
      <c r="Y622" s="60"/>
      <c r="Z622" s="43"/>
      <c r="AA622" s="43"/>
      <c r="AB622" s="60"/>
      <c r="AC622" s="60"/>
      <c r="AD622" s="60"/>
      <c r="AE622" s="43"/>
      <c r="AF622" s="43"/>
      <c r="AG622" s="43"/>
      <c r="AH622" s="43"/>
      <c r="AI622" s="43"/>
      <c r="AJ622" s="43"/>
      <c r="AK622" s="43"/>
      <c r="AL622" s="43"/>
      <c r="AM622" s="43"/>
      <c r="AN622" s="43"/>
      <c r="AO622" s="1115">
        <f>'Zuschnitt Schieberblatt'!G113</f>
        <v>0</v>
      </c>
      <c r="AP622" s="1115">
        <f>'Zuschnitt Schieberblatt'!H113</f>
        <v>0</v>
      </c>
      <c r="AQ622" s="1115">
        <f>'Zuschnitt Schieberblatt'!I113</f>
        <v>0</v>
      </c>
      <c r="AR622" s="1115"/>
      <c r="AS622" s="1188">
        <v>1</v>
      </c>
      <c r="BD622" s="35"/>
      <c r="BF622" s="2135" t="str">
        <f t="shared" si="79"/>
        <v/>
      </c>
      <c r="BG622" s="2135">
        <f t="shared" si="80"/>
        <v>0</v>
      </c>
      <c r="BH622" s="2136" t="s">
        <v>10</v>
      </c>
    </row>
    <row r="623" spans="1:60" ht="24.95" customHeight="1" x14ac:dyDescent="0.25">
      <c r="A623" s="337" t="s">
        <v>27849</v>
      </c>
      <c r="B623" s="1511" t="str">
        <f>'Zuschnitt Schieberblatt'!B114</f>
        <v>130</v>
      </c>
      <c r="C623" s="2314"/>
      <c r="D623" s="32" t="str">
        <f>'Zuschnitt Schieberblatt'!F114</f>
        <v/>
      </c>
      <c r="E623" s="2314"/>
      <c r="F623" s="32">
        <f t="shared" si="76"/>
        <v>0</v>
      </c>
      <c r="G623" s="2314"/>
      <c r="H623" s="32">
        <f t="shared" si="77"/>
        <v>0</v>
      </c>
      <c r="I623" s="2314"/>
      <c r="J623" s="32">
        <f t="shared" si="78"/>
        <v>0</v>
      </c>
      <c r="K623" s="2314"/>
      <c r="L623" s="43"/>
      <c r="M623" s="2314"/>
      <c r="N623" s="1250" t="s">
        <v>28399</v>
      </c>
      <c r="O623" s="43"/>
      <c r="P623" s="44"/>
      <c r="Q623" s="1250" t="s">
        <v>28877</v>
      </c>
      <c r="R623" s="2113">
        <f>'Zuschnitt Schieberblatt'!E114</f>
        <v>0</v>
      </c>
      <c r="S623" s="44"/>
      <c r="T623" s="44"/>
      <c r="U623" s="44"/>
      <c r="V623" s="43"/>
      <c r="W623" s="60"/>
      <c r="X623" s="60"/>
      <c r="Y623" s="60"/>
      <c r="Z623" s="43"/>
      <c r="AA623" s="43"/>
      <c r="AB623" s="60"/>
      <c r="AC623" s="60"/>
      <c r="AD623" s="60"/>
      <c r="AE623" s="43"/>
      <c r="AF623" s="43"/>
      <c r="AG623" s="43"/>
      <c r="AH623" s="43"/>
      <c r="AI623" s="43"/>
      <c r="AJ623" s="43"/>
      <c r="AK623" s="43"/>
      <c r="AL623" s="43"/>
      <c r="AM623" s="43"/>
      <c r="AN623" s="43"/>
      <c r="AO623" s="1115">
        <f>'Zuschnitt Schieberblatt'!G114</f>
        <v>0</v>
      </c>
      <c r="AP623" s="1115">
        <f>'Zuschnitt Schieberblatt'!H114</f>
        <v>0</v>
      </c>
      <c r="AQ623" s="1115">
        <f>'Zuschnitt Schieberblatt'!I114</f>
        <v>0</v>
      </c>
      <c r="AR623" s="1115"/>
      <c r="AS623" s="1188">
        <v>1</v>
      </c>
      <c r="BD623" s="35"/>
      <c r="BF623" s="2135" t="str">
        <f t="shared" si="79"/>
        <v/>
      </c>
      <c r="BG623" s="2135">
        <f t="shared" si="80"/>
        <v>0</v>
      </c>
      <c r="BH623" s="2136" t="s">
        <v>10</v>
      </c>
    </row>
    <row r="624" spans="1:60" ht="24.95" customHeight="1" x14ac:dyDescent="0.25">
      <c r="A624" s="337" t="s">
        <v>27849</v>
      </c>
      <c r="B624" s="1511" t="str">
        <f>'Zuschnitt Schieberblatt'!B115</f>
        <v>131</v>
      </c>
      <c r="C624" s="2314"/>
      <c r="D624" s="32" t="str">
        <f>'Zuschnitt Schieberblatt'!F115</f>
        <v/>
      </c>
      <c r="E624" s="2314"/>
      <c r="F624" s="32">
        <f t="shared" si="76"/>
        <v>0</v>
      </c>
      <c r="G624" s="2314"/>
      <c r="H624" s="32">
        <f t="shared" si="77"/>
        <v>0</v>
      </c>
      <c r="I624" s="2314"/>
      <c r="J624" s="32">
        <f t="shared" si="78"/>
        <v>0</v>
      </c>
      <c r="K624" s="2314"/>
      <c r="L624" s="43"/>
      <c r="M624" s="2314"/>
      <c r="N624" s="1250" t="s">
        <v>28399</v>
      </c>
      <c r="O624" s="43"/>
      <c r="P624" s="44"/>
      <c r="Q624" s="1250" t="s">
        <v>28877</v>
      </c>
      <c r="R624" s="2113">
        <f>'Zuschnitt Schieberblatt'!E115</f>
        <v>0</v>
      </c>
      <c r="S624" s="44"/>
      <c r="T624" s="44"/>
      <c r="U624" s="44"/>
      <c r="V624" s="43"/>
      <c r="W624" s="60"/>
      <c r="X624" s="60"/>
      <c r="Y624" s="60"/>
      <c r="Z624" s="43"/>
      <c r="AA624" s="43"/>
      <c r="AB624" s="60"/>
      <c r="AC624" s="60"/>
      <c r="AD624" s="60"/>
      <c r="AE624" s="43"/>
      <c r="AF624" s="43"/>
      <c r="AG624" s="43"/>
      <c r="AH624" s="43"/>
      <c r="AI624" s="43"/>
      <c r="AJ624" s="43"/>
      <c r="AK624" s="43"/>
      <c r="AL624" s="43"/>
      <c r="AM624" s="43"/>
      <c r="AN624" s="43"/>
      <c r="AO624" s="1115">
        <f>'Zuschnitt Schieberblatt'!G115</f>
        <v>0</v>
      </c>
      <c r="AP624" s="1115">
        <f>'Zuschnitt Schieberblatt'!H115</f>
        <v>0</v>
      </c>
      <c r="AQ624" s="1115">
        <f>'Zuschnitt Schieberblatt'!I115</f>
        <v>0</v>
      </c>
      <c r="AR624" s="1115"/>
      <c r="AS624" s="1188">
        <v>1</v>
      </c>
      <c r="BD624" s="35"/>
      <c r="BF624" s="2135" t="str">
        <f t="shared" si="79"/>
        <v/>
      </c>
      <c r="BG624" s="2135">
        <f t="shared" si="80"/>
        <v>0</v>
      </c>
      <c r="BH624" s="2136" t="s">
        <v>10</v>
      </c>
    </row>
    <row r="625" spans="1:60" ht="24.95" customHeight="1" x14ac:dyDescent="0.25">
      <c r="A625" s="337" t="s">
        <v>27849</v>
      </c>
      <c r="B625" s="1511" t="str">
        <f>'Zuschnitt Schieberblatt'!B116</f>
        <v>132</v>
      </c>
      <c r="C625" s="2314"/>
      <c r="D625" s="32" t="str">
        <f>'Zuschnitt Schieberblatt'!F116</f>
        <v/>
      </c>
      <c r="E625" s="2314"/>
      <c r="F625" s="32">
        <f t="shared" ref="F625:F627" si="81">IF(AS625&gt;0,AO625,0)</f>
        <v>0</v>
      </c>
      <c r="G625" s="2314"/>
      <c r="H625" s="32">
        <f t="shared" ref="H625:H627" si="82">IF(N625=$P$1,0,AP625)</f>
        <v>0</v>
      </c>
      <c r="I625" s="2314"/>
      <c r="J625" s="32">
        <f t="shared" ref="J625:J627" si="83">IF(OR(N625=$P$1,N625=$Q$1),0,AQ625)</f>
        <v>0</v>
      </c>
      <c r="K625" s="2314"/>
      <c r="L625" s="43"/>
      <c r="M625" s="2314"/>
      <c r="N625" s="1250" t="s">
        <v>28399</v>
      </c>
      <c r="O625" s="43"/>
      <c r="P625" s="44"/>
      <c r="Q625" s="1250" t="s">
        <v>28877</v>
      </c>
      <c r="R625" s="2113">
        <f>'Zuschnitt Schieberblatt'!E116</f>
        <v>0</v>
      </c>
      <c r="S625" s="44"/>
      <c r="T625" s="44"/>
      <c r="U625" s="44"/>
      <c r="V625" s="43"/>
      <c r="W625" s="60"/>
      <c r="X625" s="60"/>
      <c r="Y625" s="60"/>
      <c r="Z625" s="43"/>
      <c r="AA625" s="43"/>
      <c r="AB625" s="60"/>
      <c r="AC625" s="60"/>
      <c r="AD625" s="60"/>
      <c r="AE625" s="43"/>
      <c r="AF625" s="43"/>
      <c r="AG625" s="43"/>
      <c r="AH625" s="43"/>
      <c r="AI625" s="43"/>
      <c r="AJ625" s="43"/>
      <c r="AK625" s="43"/>
      <c r="AL625" s="43"/>
      <c r="AM625" s="43"/>
      <c r="AN625" s="43"/>
      <c r="AO625" s="1115">
        <f>'Zuschnitt Schieberblatt'!G116</f>
        <v>0</v>
      </c>
      <c r="AP625" s="1115">
        <f>'Zuschnitt Schieberblatt'!H116</f>
        <v>0</v>
      </c>
      <c r="AQ625" s="1115">
        <f>'Zuschnitt Schieberblatt'!I116</f>
        <v>0</v>
      </c>
      <c r="AR625" s="1115"/>
      <c r="AS625" s="1188">
        <v>1</v>
      </c>
      <c r="BD625" s="35"/>
      <c r="BF625" s="2135" t="str">
        <f t="shared" ref="BF625:BF627" si="84">D625</f>
        <v/>
      </c>
      <c r="BG625" s="2135">
        <f t="shared" ref="BG625:BG627" si="85">F625*H625/1000*J625/1000</f>
        <v>0</v>
      </c>
      <c r="BH625" s="2136" t="s">
        <v>10</v>
      </c>
    </row>
    <row r="626" spans="1:60" ht="24.95" customHeight="1" x14ac:dyDescent="0.25">
      <c r="A626" s="337" t="s">
        <v>27849</v>
      </c>
      <c r="B626" s="1511" t="str">
        <f>'Zuschnitt Schieberblatt'!B117</f>
        <v>133</v>
      </c>
      <c r="C626" s="2314"/>
      <c r="D626" s="32" t="str">
        <f>'Zuschnitt Schieberblatt'!F117</f>
        <v/>
      </c>
      <c r="E626" s="2314"/>
      <c r="F626" s="32">
        <f t="shared" si="81"/>
        <v>0</v>
      </c>
      <c r="G626" s="2314"/>
      <c r="H626" s="32">
        <f t="shared" si="82"/>
        <v>0</v>
      </c>
      <c r="I626" s="2314"/>
      <c r="J626" s="32">
        <f t="shared" si="83"/>
        <v>0</v>
      </c>
      <c r="K626" s="2314"/>
      <c r="L626" s="43"/>
      <c r="M626" s="2314"/>
      <c r="N626" s="1250" t="s">
        <v>28399</v>
      </c>
      <c r="O626" s="43"/>
      <c r="P626" s="44"/>
      <c r="Q626" s="1250" t="s">
        <v>28877</v>
      </c>
      <c r="R626" s="2113">
        <f>'Zuschnitt Schieberblatt'!E117</f>
        <v>0</v>
      </c>
      <c r="S626" s="44"/>
      <c r="T626" s="44"/>
      <c r="U626" s="44"/>
      <c r="V626" s="43"/>
      <c r="W626" s="60"/>
      <c r="X626" s="60"/>
      <c r="Y626" s="60"/>
      <c r="Z626" s="43"/>
      <c r="AA626" s="43"/>
      <c r="AB626" s="60"/>
      <c r="AC626" s="60"/>
      <c r="AD626" s="60"/>
      <c r="AE626" s="43"/>
      <c r="AF626" s="43"/>
      <c r="AG626" s="43"/>
      <c r="AH626" s="43"/>
      <c r="AI626" s="43"/>
      <c r="AJ626" s="43"/>
      <c r="AK626" s="43"/>
      <c r="AL626" s="43"/>
      <c r="AM626" s="43"/>
      <c r="AN626" s="43"/>
      <c r="AO626" s="1115">
        <f>'Zuschnitt Schieberblatt'!G117</f>
        <v>0</v>
      </c>
      <c r="AP626" s="1115">
        <f>'Zuschnitt Schieberblatt'!H117</f>
        <v>0</v>
      </c>
      <c r="AQ626" s="1115">
        <f>'Zuschnitt Schieberblatt'!I117</f>
        <v>0</v>
      </c>
      <c r="AR626" s="1115"/>
      <c r="AS626" s="1188">
        <v>1</v>
      </c>
      <c r="BD626" s="35"/>
      <c r="BF626" s="2135" t="str">
        <f t="shared" si="84"/>
        <v/>
      </c>
      <c r="BG626" s="2135">
        <f t="shared" si="85"/>
        <v>0</v>
      </c>
      <c r="BH626" s="2136" t="s">
        <v>10</v>
      </c>
    </row>
    <row r="627" spans="1:60" ht="24.95" customHeight="1" x14ac:dyDescent="0.25">
      <c r="A627" s="337" t="s">
        <v>27849</v>
      </c>
      <c r="B627" s="1511" t="str">
        <f>'Zuschnitt Schieberblatt'!B118</f>
        <v>134</v>
      </c>
      <c r="C627" s="2314"/>
      <c r="D627" s="32" t="str">
        <f>'Zuschnitt Schieberblatt'!F118</f>
        <v/>
      </c>
      <c r="E627" s="2314"/>
      <c r="F627" s="32">
        <f t="shared" si="81"/>
        <v>0</v>
      </c>
      <c r="G627" s="2314"/>
      <c r="H627" s="32">
        <f t="shared" si="82"/>
        <v>0</v>
      </c>
      <c r="I627" s="2314"/>
      <c r="J627" s="32">
        <f t="shared" si="83"/>
        <v>0</v>
      </c>
      <c r="K627" s="2314"/>
      <c r="L627" s="43"/>
      <c r="M627" s="2314"/>
      <c r="N627" s="1250" t="s">
        <v>28399</v>
      </c>
      <c r="O627" s="43"/>
      <c r="P627" s="44"/>
      <c r="Q627" s="1250" t="s">
        <v>28877</v>
      </c>
      <c r="R627" s="2113">
        <f>'Zuschnitt Schieberblatt'!E118</f>
        <v>0</v>
      </c>
      <c r="S627" s="44"/>
      <c r="T627" s="44"/>
      <c r="U627" s="44"/>
      <c r="V627" s="43"/>
      <c r="W627" s="60"/>
      <c r="X627" s="60"/>
      <c r="Y627" s="60"/>
      <c r="Z627" s="43"/>
      <c r="AA627" s="43"/>
      <c r="AB627" s="60"/>
      <c r="AC627" s="60"/>
      <c r="AD627" s="60"/>
      <c r="AE627" s="43"/>
      <c r="AF627" s="43"/>
      <c r="AG627" s="43"/>
      <c r="AH627" s="43"/>
      <c r="AI627" s="43"/>
      <c r="AJ627" s="43"/>
      <c r="AK627" s="43"/>
      <c r="AL627" s="43"/>
      <c r="AM627" s="43"/>
      <c r="AN627" s="43"/>
      <c r="AO627" s="1115">
        <f>'Zuschnitt Schieberblatt'!G118</f>
        <v>0</v>
      </c>
      <c r="AP627" s="1115">
        <f>'Zuschnitt Schieberblatt'!H118</f>
        <v>0</v>
      </c>
      <c r="AQ627" s="1115">
        <f>'Zuschnitt Schieberblatt'!I118</f>
        <v>0</v>
      </c>
      <c r="AR627" s="1115"/>
      <c r="AS627" s="1188">
        <v>1</v>
      </c>
      <c r="BD627" s="35"/>
      <c r="BF627" s="2135" t="str">
        <f t="shared" si="84"/>
        <v/>
      </c>
      <c r="BG627" s="2135">
        <f t="shared" si="85"/>
        <v>0</v>
      </c>
      <c r="BH627" s="2136" t="s">
        <v>10</v>
      </c>
    </row>
    <row r="628" spans="1:60" ht="24.95" customHeight="1" x14ac:dyDescent="0.2">
      <c r="A628" s="662" t="s">
        <v>692</v>
      </c>
      <c r="B628" s="1512" t="str">
        <f>'Lager_&amp;_Montagematerial'!D15</f>
        <v>Fischer Ankerbolzen FAZ II  10/20</v>
      </c>
      <c r="C628" s="2314"/>
      <c r="D628" s="729" t="str">
        <f>'Lager_&amp;_Montagematerial'!G15</f>
        <v>0126038</v>
      </c>
      <c r="E628" s="2314"/>
      <c r="F628" s="728">
        <f>'Lager_&amp;_Montagematerial'!H15</f>
        <v>25</v>
      </c>
      <c r="G628" s="2314"/>
      <c r="H628" s="729">
        <v>0</v>
      </c>
      <c r="I628" s="2314"/>
      <c r="J628" s="729">
        <v>0</v>
      </c>
      <c r="K628" s="2314"/>
      <c r="L628" s="664"/>
      <c r="M628" s="2314"/>
      <c r="N628" s="663" t="s">
        <v>53</v>
      </c>
      <c r="W628" s="3"/>
      <c r="X628" s="3"/>
      <c r="Y628" s="3"/>
      <c r="AB628" s="3"/>
      <c r="AC628" s="3"/>
      <c r="AD628" s="3"/>
      <c r="BE628" s="107"/>
      <c r="BF628" s="2135" t="str">
        <f t="shared" si="79"/>
        <v>0126038</v>
      </c>
      <c r="BG628" s="2135">
        <f>F628</f>
        <v>25</v>
      </c>
      <c r="BH628" s="2136" t="s">
        <v>53</v>
      </c>
    </row>
    <row r="629" spans="1:60" ht="24.95" customHeight="1" x14ac:dyDescent="0.2">
      <c r="A629" s="662" t="s">
        <v>692</v>
      </c>
      <c r="B629" s="1512" t="str">
        <f>'Lager_&amp;_Montagematerial'!D16</f>
        <v>Scheibe DIN 9021 - d 10,5mm</v>
      </c>
      <c r="C629" s="2314"/>
      <c r="D629" s="729" t="str">
        <f>'Lager_&amp;_Montagematerial'!G16</f>
        <v>0125106</v>
      </c>
      <c r="E629" s="2314"/>
      <c r="F629" s="728">
        <f>'Lager_&amp;_Montagematerial'!H16</f>
        <v>25</v>
      </c>
      <c r="G629" s="2314"/>
      <c r="H629" s="729">
        <v>0</v>
      </c>
      <c r="I629" s="2314"/>
      <c r="J629" s="729">
        <v>0</v>
      </c>
      <c r="K629" s="2314"/>
      <c r="L629" s="664"/>
      <c r="M629" s="2314"/>
      <c r="N629" s="663" t="s">
        <v>53</v>
      </c>
      <c r="W629" s="3"/>
      <c r="X629" s="3"/>
      <c r="Y629" s="3"/>
      <c r="AB629" s="3"/>
      <c r="AC629" s="3"/>
      <c r="AD629" s="3"/>
      <c r="BF629" s="2135" t="str">
        <f t="shared" ref="BF629:BF630" si="86">D629</f>
        <v>0125106</v>
      </c>
      <c r="BG629" s="2135">
        <f>F629</f>
        <v>25</v>
      </c>
      <c r="BH629" s="2136" t="s">
        <v>53</v>
      </c>
    </row>
    <row r="630" spans="1:60" ht="24.95" customHeight="1" x14ac:dyDescent="0.2">
      <c r="A630" s="662" t="s">
        <v>692</v>
      </c>
      <c r="B630" s="1512">
        <f>'Lager_&amp;_Montagematerial'!D17</f>
        <v>0</v>
      </c>
      <c r="C630" s="2314"/>
      <c r="D630" s="729">
        <f>'Lager_&amp;_Montagematerial'!G17</f>
        <v>0</v>
      </c>
      <c r="E630" s="2314"/>
      <c r="F630" s="728">
        <f>'Lager_&amp;_Montagematerial'!H17</f>
        <v>0</v>
      </c>
      <c r="G630" s="2314"/>
      <c r="H630" s="729">
        <v>0</v>
      </c>
      <c r="I630" s="2314"/>
      <c r="J630" s="729">
        <v>0</v>
      </c>
      <c r="K630" s="2314"/>
      <c r="L630" s="664"/>
      <c r="M630" s="2314"/>
      <c r="N630" s="663" t="s">
        <v>53</v>
      </c>
      <c r="W630" s="3"/>
      <c r="X630" s="3"/>
      <c r="Y630" s="3"/>
      <c r="AB630" s="3"/>
      <c r="AC630" s="3"/>
      <c r="AD630" s="3"/>
      <c r="BF630" s="2135">
        <f t="shared" si="86"/>
        <v>0</v>
      </c>
      <c r="BG630" s="2135">
        <f t="shared" ref="BG630:BG694" si="87">F630</f>
        <v>0</v>
      </c>
      <c r="BH630" s="2136" t="s">
        <v>53</v>
      </c>
    </row>
    <row r="631" spans="1:60" ht="24.75" customHeight="1" x14ac:dyDescent="0.2">
      <c r="A631" s="662" t="s">
        <v>692</v>
      </c>
      <c r="B631" s="1512" t="str">
        <f>'Lager_&amp;_Montagematerial'!D18</f>
        <v>Sechskantschraube M10 x 60</v>
      </c>
      <c r="C631" s="2314"/>
      <c r="D631" s="729" t="str">
        <f>'Lager_&amp;_Montagematerial'!G18</f>
        <v>0101017</v>
      </c>
      <c r="E631" s="2314"/>
      <c r="F631" s="728">
        <f>'Lager_&amp;_Montagematerial'!H18</f>
        <v>0</v>
      </c>
      <c r="G631" s="2314"/>
      <c r="H631" s="729">
        <v>0</v>
      </c>
      <c r="I631" s="2314"/>
      <c r="J631" s="729">
        <v>0</v>
      </c>
      <c r="K631" s="2314"/>
      <c r="L631" s="664"/>
      <c r="M631" s="2314"/>
      <c r="N631" s="663" t="s">
        <v>53</v>
      </c>
      <c r="W631" s="3"/>
      <c r="X631" s="3"/>
      <c r="Y631" s="3"/>
      <c r="AB631" s="3"/>
      <c r="AC631" s="3"/>
      <c r="AD631" s="3"/>
      <c r="BF631" s="2135" t="str">
        <f t="shared" ref="BF631:BF695" si="88">D631</f>
        <v>0101017</v>
      </c>
      <c r="BG631" s="2135">
        <f t="shared" si="87"/>
        <v>0</v>
      </c>
      <c r="BH631" s="2136" t="s">
        <v>53</v>
      </c>
    </row>
    <row r="632" spans="1:60" ht="24.75" customHeight="1" x14ac:dyDescent="0.2">
      <c r="A632" s="662" t="s">
        <v>692</v>
      </c>
      <c r="B632" s="1512" t="str">
        <f>'Lager_&amp;_Montagematerial'!D19</f>
        <v>Scheibe DIN 9021 - d 10,5mm</v>
      </c>
      <c r="C632" s="2314"/>
      <c r="D632" s="729" t="str">
        <f>'Lager_&amp;_Montagematerial'!G19</f>
        <v>0125106</v>
      </c>
      <c r="E632" s="2314"/>
      <c r="F632" s="728">
        <f>'Lager_&amp;_Montagematerial'!H19</f>
        <v>0</v>
      </c>
      <c r="G632" s="2314"/>
      <c r="H632" s="729">
        <v>0</v>
      </c>
      <c r="I632" s="2314"/>
      <c r="J632" s="729">
        <v>0</v>
      </c>
      <c r="K632" s="2314"/>
      <c r="L632" s="664"/>
      <c r="M632" s="2314"/>
      <c r="N632" s="663" t="s">
        <v>53</v>
      </c>
      <c r="W632" s="3"/>
      <c r="X632" s="3"/>
      <c r="Y632" s="3"/>
      <c r="AB632" s="3"/>
      <c r="AC632" s="3"/>
      <c r="AD632" s="3"/>
      <c r="BF632" s="2135" t="str">
        <f t="shared" si="88"/>
        <v>0125106</v>
      </c>
      <c r="BG632" s="2135">
        <f t="shared" si="87"/>
        <v>0</v>
      </c>
      <c r="BH632" s="2136" t="s">
        <v>53</v>
      </c>
    </row>
    <row r="633" spans="1:60" ht="24.75" customHeight="1" x14ac:dyDescent="0.2">
      <c r="A633" s="662" t="s">
        <v>692</v>
      </c>
      <c r="B633" s="1512" t="str">
        <f>'Lager_&amp;_Montagematerial'!D20</f>
        <v>Federring DIN 127 - A10 - FSt</v>
      </c>
      <c r="C633" s="2314"/>
      <c r="D633" s="729" t="str">
        <f>'Lager_&amp;_Montagematerial'!G20</f>
        <v>0129001</v>
      </c>
      <c r="E633" s="2314"/>
      <c r="F633" s="728">
        <f>'Lager_&amp;_Montagematerial'!H20</f>
        <v>0</v>
      </c>
      <c r="G633" s="2314"/>
      <c r="H633" s="729">
        <v>0</v>
      </c>
      <c r="I633" s="2314"/>
      <c r="J633" s="729">
        <v>0</v>
      </c>
      <c r="K633" s="2314"/>
      <c r="L633" s="664"/>
      <c r="M633" s="2314"/>
      <c r="N633" s="663" t="s">
        <v>53</v>
      </c>
      <c r="W633" s="3"/>
      <c r="X633" s="3"/>
      <c r="Y633" s="3"/>
      <c r="AB633" s="3"/>
      <c r="AC633" s="3"/>
      <c r="AD633" s="3"/>
      <c r="BF633" s="2135" t="str">
        <f t="shared" si="88"/>
        <v>0129001</v>
      </c>
      <c r="BG633" s="2135">
        <f t="shared" si="87"/>
        <v>0</v>
      </c>
      <c r="BH633" s="2136" t="s">
        <v>53</v>
      </c>
    </row>
    <row r="634" spans="1:60" ht="24.95" customHeight="1" x14ac:dyDescent="0.2">
      <c r="A634" s="662" t="s">
        <v>692</v>
      </c>
      <c r="B634" s="1512">
        <f>'Lager_&amp;_Montagematerial'!D21</f>
        <v>0</v>
      </c>
      <c r="C634" s="2314"/>
      <c r="D634" s="729">
        <f>'Lager_&amp;_Montagematerial'!G21</f>
        <v>0</v>
      </c>
      <c r="E634" s="2314"/>
      <c r="F634" s="728">
        <f>'Lager_&amp;_Montagematerial'!H21</f>
        <v>0</v>
      </c>
      <c r="G634" s="2314"/>
      <c r="H634" s="729">
        <v>0</v>
      </c>
      <c r="I634" s="2314"/>
      <c r="J634" s="729">
        <v>0</v>
      </c>
      <c r="K634" s="2314"/>
      <c r="L634" s="664"/>
      <c r="M634" s="2314"/>
      <c r="N634" s="663" t="s">
        <v>53</v>
      </c>
      <c r="W634" s="3"/>
      <c r="X634" s="3"/>
      <c r="Y634" s="3"/>
      <c r="AB634" s="3"/>
      <c r="AC634" s="3"/>
      <c r="AD634" s="3"/>
      <c r="BF634" s="2135">
        <f t="shared" si="88"/>
        <v>0</v>
      </c>
      <c r="BG634" s="2135">
        <f t="shared" si="87"/>
        <v>0</v>
      </c>
      <c r="BH634" s="2136" t="s">
        <v>53</v>
      </c>
    </row>
    <row r="635" spans="1:60" ht="24.95" customHeight="1" x14ac:dyDescent="0.2">
      <c r="A635" s="662" t="s">
        <v>692</v>
      </c>
      <c r="B635" s="1512" t="str">
        <f>'Lager_&amp;_Montagematerial'!D22</f>
        <v>Gewindestange M10 246mm verzinkt</v>
      </c>
      <c r="C635" s="2314"/>
      <c r="D635" s="729" t="str">
        <f>'Lager_&amp;_Montagematerial'!G22</f>
        <v>0708420</v>
      </c>
      <c r="E635" s="2314"/>
      <c r="F635" s="728">
        <f>'Lager_&amp;_Montagematerial'!H22</f>
        <v>0</v>
      </c>
      <c r="G635" s="2314"/>
      <c r="H635" s="729">
        <v>0</v>
      </c>
      <c r="I635" s="2314"/>
      <c r="J635" s="729">
        <v>0</v>
      </c>
      <c r="K635" s="2314"/>
      <c r="L635" s="664"/>
      <c r="M635" s="2314"/>
      <c r="N635" s="663" t="s">
        <v>53</v>
      </c>
      <c r="W635" s="3"/>
      <c r="X635" s="3"/>
      <c r="Y635" s="3"/>
      <c r="AB635" s="3"/>
      <c r="AC635" s="3"/>
      <c r="AD635" s="3"/>
      <c r="BF635" s="2135" t="str">
        <f t="shared" si="88"/>
        <v>0708420</v>
      </c>
      <c r="BG635" s="2135">
        <f t="shared" si="87"/>
        <v>0</v>
      </c>
      <c r="BH635" s="2136" t="s">
        <v>53</v>
      </c>
    </row>
    <row r="636" spans="1:60" ht="24.95" customHeight="1" x14ac:dyDescent="0.2">
      <c r="A636" s="662" t="s">
        <v>692</v>
      </c>
      <c r="B636" s="1512" t="str">
        <f>'Lager_&amp;_Montagematerial'!D23</f>
        <v>Gewindestange M10 330mm verzinkt</v>
      </c>
      <c r="C636" s="2314"/>
      <c r="D636" s="729" t="str">
        <f>'Lager_&amp;_Montagematerial'!G23</f>
        <v>0708421</v>
      </c>
      <c r="E636" s="2314"/>
      <c r="F636" s="728">
        <f>'Lager_&amp;_Montagematerial'!H23</f>
        <v>0</v>
      </c>
      <c r="G636" s="2314"/>
      <c r="H636" s="729">
        <v>0</v>
      </c>
      <c r="I636" s="2314"/>
      <c r="J636" s="729">
        <v>0</v>
      </c>
      <c r="K636" s="2314"/>
      <c r="L636" s="664"/>
      <c r="M636" s="2314"/>
      <c r="N636" s="663" t="s">
        <v>53</v>
      </c>
      <c r="W636" s="3"/>
      <c r="X636" s="3"/>
      <c r="Y636" s="3"/>
      <c r="AB636" s="3"/>
      <c r="AC636" s="3"/>
      <c r="AD636" s="3"/>
      <c r="BF636" s="2135" t="str">
        <f t="shared" si="88"/>
        <v>0708421</v>
      </c>
      <c r="BG636" s="2135">
        <f t="shared" si="87"/>
        <v>0</v>
      </c>
      <c r="BH636" s="2136" t="s">
        <v>53</v>
      </c>
    </row>
    <row r="637" spans="1:60" ht="24.95" customHeight="1" x14ac:dyDescent="0.2">
      <c r="A637" s="662" t="s">
        <v>692</v>
      </c>
      <c r="B637" s="1512" t="str">
        <f>'Lager_&amp;_Montagematerial'!D24</f>
        <v>Gewindestange M10 495mm verzinkt</v>
      </c>
      <c r="C637" s="2314"/>
      <c r="D637" s="729" t="str">
        <f>'Lager_&amp;_Montagematerial'!G24</f>
        <v>0708424</v>
      </c>
      <c r="E637" s="2314"/>
      <c r="F637" s="728">
        <f>'Lager_&amp;_Montagematerial'!H24</f>
        <v>0</v>
      </c>
      <c r="G637" s="2314"/>
      <c r="H637" s="729">
        <v>0</v>
      </c>
      <c r="I637" s="2314"/>
      <c r="J637" s="729">
        <v>0</v>
      </c>
      <c r="K637" s="2314"/>
      <c r="L637" s="664"/>
      <c r="M637" s="2314"/>
      <c r="N637" s="663" t="s">
        <v>53</v>
      </c>
      <c r="W637" s="3"/>
      <c r="X637" s="3"/>
      <c r="Y637" s="3"/>
      <c r="AB637" s="3"/>
      <c r="AC637" s="3"/>
      <c r="AD637" s="3"/>
      <c r="BF637" s="2135" t="str">
        <f t="shared" si="88"/>
        <v>0708424</v>
      </c>
      <c r="BG637" s="2135">
        <f t="shared" si="87"/>
        <v>0</v>
      </c>
      <c r="BH637" s="2136" t="s">
        <v>53</v>
      </c>
    </row>
    <row r="638" spans="1:60" ht="24.95" customHeight="1" x14ac:dyDescent="0.2">
      <c r="A638" s="662" t="s">
        <v>692</v>
      </c>
      <c r="B638" s="1512" t="str">
        <f>'Lager_&amp;_Montagematerial'!D25</f>
        <v>Gewindestange M10 1000mm verzinkt</v>
      </c>
      <c r="C638" s="2314"/>
      <c r="D638" s="729" t="str">
        <f>'Lager_&amp;_Montagematerial'!G25</f>
        <v>0112005</v>
      </c>
      <c r="E638" s="2314"/>
      <c r="F638" s="728">
        <f>'Lager_&amp;_Montagematerial'!H25</f>
        <v>0</v>
      </c>
      <c r="G638" s="2314"/>
      <c r="H638" s="729">
        <v>0</v>
      </c>
      <c r="I638" s="2314"/>
      <c r="J638" s="729">
        <v>0</v>
      </c>
      <c r="K638" s="2314"/>
      <c r="L638" s="664"/>
      <c r="M638" s="2314"/>
      <c r="N638" s="663" t="s">
        <v>53</v>
      </c>
      <c r="Q638"/>
      <c r="R638"/>
      <c r="S638"/>
      <c r="T638"/>
      <c r="U638"/>
      <c r="W638" s="3"/>
      <c r="X638" s="3"/>
      <c r="Y638" s="3"/>
      <c r="AB638" s="3"/>
      <c r="AC638" s="3"/>
      <c r="AD638" s="3"/>
      <c r="AO638"/>
      <c r="AP638"/>
      <c r="AQ638"/>
      <c r="AR638"/>
      <c r="AS638"/>
      <c r="AT638"/>
      <c r="BF638" s="2135" t="str">
        <f t="shared" si="88"/>
        <v>0112005</v>
      </c>
      <c r="BG638" s="2135">
        <f t="shared" si="87"/>
        <v>0</v>
      </c>
      <c r="BH638" s="2136" t="s">
        <v>53</v>
      </c>
    </row>
    <row r="639" spans="1:60" ht="24.95" customHeight="1" x14ac:dyDescent="0.2">
      <c r="A639" s="662" t="s">
        <v>692</v>
      </c>
      <c r="B639" s="1512" t="str">
        <f>'Lager_&amp;_Montagematerial'!D26</f>
        <v>Gewindestange M10 1000mm V2A</v>
      </c>
      <c r="C639" s="2314"/>
      <c r="D639" s="729">
        <f>'Lager_&amp;_Montagematerial'!G26</f>
        <v>0</v>
      </c>
      <c r="E639" s="2314"/>
      <c r="F639" s="728">
        <f>'Lager_&amp;_Montagematerial'!H26</f>
        <v>0</v>
      </c>
      <c r="G639" s="2314"/>
      <c r="H639" s="729">
        <v>0</v>
      </c>
      <c r="I639" s="2314"/>
      <c r="J639" s="729">
        <v>0</v>
      </c>
      <c r="K639" s="2314"/>
      <c r="L639" s="664"/>
      <c r="M639" s="2314"/>
      <c r="N639" s="663" t="s">
        <v>53</v>
      </c>
      <c r="Q639"/>
      <c r="R639"/>
      <c r="S639"/>
      <c r="T639"/>
      <c r="U639"/>
      <c r="W639" s="3"/>
      <c r="X639" s="3"/>
      <c r="Y639" s="3"/>
      <c r="AB639" s="3"/>
      <c r="AC639" s="3"/>
      <c r="AD639" s="3"/>
      <c r="AO639"/>
      <c r="AP639"/>
      <c r="AQ639"/>
      <c r="AR639"/>
      <c r="AS639"/>
      <c r="AT639"/>
      <c r="BF639" s="2135">
        <f t="shared" si="88"/>
        <v>0</v>
      </c>
      <c r="BG639" s="2135">
        <f t="shared" si="87"/>
        <v>0</v>
      </c>
      <c r="BH639" s="2136" t="s">
        <v>53</v>
      </c>
    </row>
    <row r="640" spans="1:60" ht="24.95" customHeight="1" x14ac:dyDescent="0.2">
      <c r="A640" s="662" t="s">
        <v>692</v>
      </c>
      <c r="B640" s="1512" t="str">
        <f>'Lager_&amp;_Montagematerial'!D27</f>
        <v>Sechskantmutter DIN EN 24 032 - M10 - St</v>
      </c>
      <c r="C640" s="2314"/>
      <c r="D640" s="729" t="str">
        <f>'Lager_&amp;_Montagematerial'!G27</f>
        <v>0114011</v>
      </c>
      <c r="E640" s="2314"/>
      <c r="F640" s="728">
        <f>'Lager_&amp;_Montagematerial'!H27</f>
        <v>0</v>
      </c>
      <c r="G640" s="2314"/>
      <c r="H640" s="729">
        <v>0</v>
      </c>
      <c r="I640" s="2314"/>
      <c r="J640" s="729">
        <v>0</v>
      </c>
      <c r="K640" s="2314"/>
      <c r="L640" s="664"/>
      <c r="M640" s="2314"/>
      <c r="N640" s="663" t="s">
        <v>53</v>
      </c>
      <c r="Q640"/>
      <c r="R640"/>
      <c r="S640"/>
      <c r="T640"/>
      <c r="U640"/>
      <c r="W640" s="3"/>
      <c r="X640" s="3"/>
      <c r="Y640" s="3"/>
      <c r="AB640" s="3"/>
      <c r="AC640" s="3"/>
      <c r="AD640" s="3"/>
      <c r="AO640"/>
      <c r="AP640"/>
      <c r="AQ640"/>
      <c r="AR640"/>
      <c r="AS640"/>
      <c r="AT640"/>
      <c r="BF640" s="2135" t="str">
        <f t="shared" si="88"/>
        <v>0114011</v>
      </c>
      <c r="BG640" s="2135">
        <f t="shared" si="87"/>
        <v>0</v>
      </c>
      <c r="BH640" s="2136" t="s">
        <v>53</v>
      </c>
    </row>
    <row r="641" spans="1:60" ht="24.95" customHeight="1" x14ac:dyDescent="0.2">
      <c r="A641" s="662" t="s">
        <v>692</v>
      </c>
      <c r="B641" s="1512" t="str">
        <f>'Lager_&amp;_Montagematerial'!D28</f>
        <v>Federring DIN 127 - A10 - FSt</v>
      </c>
      <c r="C641" s="2314"/>
      <c r="D641" s="729" t="str">
        <f>'Lager_&amp;_Montagematerial'!G28</f>
        <v>0129001</v>
      </c>
      <c r="E641" s="2314"/>
      <c r="F641" s="728">
        <f>'Lager_&amp;_Montagematerial'!H28</f>
        <v>0</v>
      </c>
      <c r="G641" s="2314"/>
      <c r="H641" s="729">
        <v>0</v>
      </c>
      <c r="I641" s="2314"/>
      <c r="J641" s="729">
        <v>0</v>
      </c>
      <c r="K641" s="2314"/>
      <c r="L641" s="664"/>
      <c r="M641" s="2314"/>
      <c r="N641" s="663" t="s">
        <v>53</v>
      </c>
      <c r="Q641"/>
      <c r="R641"/>
      <c r="S641"/>
      <c r="T641"/>
      <c r="U641"/>
      <c r="W641" s="3"/>
      <c r="X641" s="3"/>
      <c r="Y641" s="3"/>
      <c r="AB641" s="3"/>
      <c r="AC641" s="3"/>
      <c r="AD641" s="3"/>
      <c r="AO641"/>
      <c r="AP641"/>
      <c r="AQ641"/>
      <c r="AR641"/>
      <c r="AS641"/>
      <c r="AT641"/>
      <c r="BF641" s="2135" t="str">
        <f t="shared" si="88"/>
        <v>0129001</v>
      </c>
      <c r="BG641" s="2135">
        <f t="shared" si="87"/>
        <v>0</v>
      </c>
      <c r="BH641" s="2136" t="s">
        <v>53</v>
      </c>
    </row>
    <row r="642" spans="1:60" ht="24.95" customHeight="1" x14ac:dyDescent="0.2">
      <c r="A642" s="662" t="s">
        <v>692</v>
      </c>
      <c r="B642" s="1512" t="str">
        <f>'Lager_&amp;_Montagematerial'!D29</f>
        <v>Scheibe DIN 9021 - d 10,5mm</v>
      </c>
      <c r="C642" s="2314"/>
      <c r="D642" s="729" t="str">
        <f>'Lager_&amp;_Montagematerial'!G29</f>
        <v>0125106</v>
      </c>
      <c r="E642" s="2314"/>
      <c r="F642" s="728">
        <f>'Lager_&amp;_Montagematerial'!H29</f>
        <v>0</v>
      </c>
      <c r="G642" s="2314"/>
      <c r="H642" s="729">
        <v>0</v>
      </c>
      <c r="I642" s="2314"/>
      <c r="J642" s="729">
        <v>0</v>
      </c>
      <c r="K642" s="2314"/>
      <c r="L642" s="664"/>
      <c r="M642" s="2314"/>
      <c r="N642" s="663" t="s">
        <v>53</v>
      </c>
      <c r="Q642"/>
      <c r="R642"/>
      <c r="S642"/>
      <c r="T642"/>
      <c r="U642"/>
      <c r="W642" s="3"/>
      <c r="X642" s="3"/>
      <c r="Y642" s="3"/>
      <c r="AB642" s="3"/>
      <c r="AC642" s="3"/>
      <c r="AD642" s="3"/>
      <c r="AO642"/>
      <c r="AP642"/>
      <c r="AQ642"/>
      <c r="AR642"/>
      <c r="AS642"/>
      <c r="AT642"/>
      <c r="BF642" s="2135" t="str">
        <f t="shared" si="88"/>
        <v>0125106</v>
      </c>
      <c r="BG642" s="2135">
        <f t="shared" si="87"/>
        <v>0</v>
      </c>
      <c r="BH642" s="2136" t="s">
        <v>53</v>
      </c>
    </row>
    <row r="643" spans="1:60" ht="24.95" customHeight="1" x14ac:dyDescent="0.2">
      <c r="A643" s="662" t="s">
        <v>692</v>
      </c>
      <c r="B643" s="1512" t="str">
        <f>'Lager_&amp;_Montagematerial'!D30</f>
        <v>Ankerplatten d=13</v>
      </c>
      <c r="C643" s="2314"/>
      <c r="D643" s="729" t="str">
        <f>'Lager_&amp;_Montagematerial'!G30</f>
        <v>0150065</v>
      </c>
      <c r="E643" s="2314"/>
      <c r="F643" s="728">
        <f>'Lager_&amp;_Montagematerial'!H30</f>
        <v>0</v>
      </c>
      <c r="G643" s="2314"/>
      <c r="H643" s="729">
        <v>0</v>
      </c>
      <c r="I643" s="2314"/>
      <c r="J643" s="729">
        <v>0</v>
      </c>
      <c r="K643" s="2314"/>
      <c r="L643" s="664"/>
      <c r="M643" s="2314"/>
      <c r="N643" s="663" t="s">
        <v>53</v>
      </c>
      <c r="Q643"/>
      <c r="R643"/>
      <c r="S643"/>
      <c r="T643"/>
      <c r="U643"/>
      <c r="W643" s="3"/>
      <c r="X643" s="3"/>
      <c r="Y643" s="3"/>
      <c r="AB643" s="3"/>
      <c r="AC643" s="3"/>
      <c r="AD643" s="3"/>
      <c r="AO643"/>
      <c r="AP643"/>
      <c r="AQ643"/>
      <c r="AR643"/>
      <c r="AS643"/>
      <c r="AT643"/>
      <c r="BF643" s="2135" t="str">
        <f t="shared" si="88"/>
        <v>0150065</v>
      </c>
      <c r="BG643" s="2135">
        <f t="shared" si="87"/>
        <v>0</v>
      </c>
      <c r="BH643" s="2136" t="s">
        <v>53</v>
      </c>
    </row>
    <row r="644" spans="1:60" ht="24.95" customHeight="1" x14ac:dyDescent="0.2">
      <c r="A644" s="662" t="s">
        <v>692</v>
      </c>
      <c r="B644" s="1512">
        <f>'Lager_&amp;_Montagematerial'!D31</f>
        <v>0</v>
      </c>
      <c r="C644" s="2314"/>
      <c r="D644" s="729">
        <f>'Lager_&amp;_Montagematerial'!G31</f>
        <v>0</v>
      </c>
      <c r="E644" s="2314"/>
      <c r="F644" s="728">
        <f>'Lager_&amp;_Montagematerial'!H31</f>
        <v>0</v>
      </c>
      <c r="G644" s="2314"/>
      <c r="H644" s="729">
        <v>0</v>
      </c>
      <c r="I644" s="2314"/>
      <c r="J644" s="729">
        <v>0</v>
      </c>
      <c r="K644" s="2314"/>
      <c r="L644" s="664"/>
      <c r="M644" s="2314"/>
      <c r="N644" s="663" t="s">
        <v>53</v>
      </c>
      <c r="Q644"/>
      <c r="R644"/>
      <c r="S644"/>
      <c r="T644"/>
      <c r="U644"/>
      <c r="W644" s="3"/>
      <c r="X644" s="3"/>
      <c r="Y644" s="3"/>
      <c r="AB644" s="3"/>
      <c r="AC644" s="3"/>
      <c r="AD644" s="3"/>
      <c r="AO644"/>
      <c r="AP644"/>
      <c r="AQ644"/>
      <c r="AR644"/>
      <c r="AS644"/>
      <c r="AT644"/>
      <c r="BF644" s="2135">
        <f t="shared" si="88"/>
        <v>0</v>
      </c>
      <c r="BG644" s="2135">
        <f t="shared" si="87"/>
        <v>0</v>
      </c>
      <c r="BH644" s="2136" t="s">
        <v>53</v>
      </c>
    </row>
    <row r="645" spans="1:60" ht="24.95" customHeight="1" x14ac:dyDescent="0.2">
      <c r="A645" s="662" t="s">
        <v>692</v>
      </c>
      <c r="B645" s="1512">
        <f>'Lager_&amp;_Montagematerial'!D32</f>
        <v>0</v>
      </c>
      <c r="C645" s="2314"/>
      <c r="D645" s="729">
        <f>'Lager_&amp;_Montagematerial'!G32</f>
        <v>0</v>
      </c>
      <c r="E645" s="2314"/>
      <c r="F645" s="728">
        <f>'Lager_&amp;_Montagematerial'!H32</f>
        <v>0</v>
      </c>
      <c r="G645" s="2314"/>
      <c r="H645" s="729">
        <v>0</v>
      </c>
      <c r="I645" s="2314"/>
      <c r="J645" s="729">
        <v>0</v>
      </c>
      <c r="K645" s="2314"/>
      <c r="L645" s="664"/>
      <c r="M645" s="2314"/>
      <c r="N645" s="663" t="s">
        <v>53</v>
      </c>
      <c r="Q645"/>
      <c r="R645"/>
      <c r="S645"/>
      <c r="T645"/>
      <c r="U645"/>
      <c r="W645" s="3"/>
      <c r="X645" s="3"/>
      <c r="Y645" s="3"/>
      <c r="AB645" s="3"/>
      <c r="AC645" s="3"/>
      <c r="AD645" s="3"/>
      <c r="AO645"/>
      <c r="AP645"/>
      <c r="AQ645"/>
      <c r="AR645"/>
      <c r="AS645"/>
      <c r="AT645"/>
      <c r="BF645" s="2135">
        <f t="shared" si="88"/>
        <v>0</v>
      </c>
      <c r="BG645" s="2135">
        <f t="shared" si="87"/>
        <v>0</v>
      </c>
      <c r="BH645" s="2136" t="s">
        <v>53</v>
      </c>
    </row>
    <row r="646" spans="1:60" ht="24.95" customHeight="1" x14ac:dyDescent="0.2">
      <c r="A646" s="662" t="s">
        <v>692</v>
      </c>
      <c r="B646" s="1512">
        <f>'Lager_&amp;_Montagematerial'!D33</f>
        <v>0</v>
      </c>
      <c r="C646" s="2314"/>
      <c r="D646" s="729">
        <f>'Lager_&amp;_Montagematerial'!G33</f>
        <v>0</v>
      </c>
      <c r="E646" s="2314"/>
      <c r="F646" s="728">
        <f>'Lager_&amp;_Montagematerial'!H33</f>
        <v>0</v>
      </c>
      <c r="G646" s="2314"/>
      <c r="H646" s="729">
        <v>0</v>
      </c>
      <c r="I646" s="2314"/>
      <c r="J646" s="729">
        <v>0</v>
      </c>
      <c r="K646" s="2314"/>
      <c r="L646" s="664"/>
      <c r="M646" s="2314"/>
      <c r="N646" s="663" t="s">
        <v>53</v>
      </c>
      <c r="Q646"/>
      <c r="R646"/>
      <c r="S646"/>
      <c r="T646"/>
      <c r="U646"/>
      <c r="W646" s="3"/>
      <c r="X646" s="3"/>
      <c r="Y646" s="3"/>
      <c r="AB646" s="3"/>
      <c r="AC646" s="3"/>
      <c r="AD646" s="3"/>
      <c r="AO646"/>
      <c r="AP646"/>
      <c r="AQ646"/>
      <c r="AR646"/>
      <c r="AS646"/>
      <c r="AT646"/>
      <c r="BF646" s="2135">
        <f t="shared" si="88"/>
        <v>0</v>
      </c>
      <c r="BG646" s="2135">
        <f t="shared" si="87"/>
        <v>0</v>
      </c>
      <c r="BH646" s="2136" t="s">
        <v>53</v>
      </c>
    </row>
    <row r="647" spans="1:60" ht="24.95" customHeight="1" x14ac:dyDescent="0.2">
      <c r="A647" s="662" t="s">
        <v>692</v>
      </c>
      <c r="B647" s="1512">
        <f>'Lager_&amp;_Montagematerial'!D34</f>
        <v>0</v>
      </c>
      <c r="C647" s="2314"/>
      <c r="D647" s="729">
        <f>'Lager_&amp;_Montagematerial'!G34</f>
        <v>0</v>
      </c>
      <c r="E647" s="2314"/>
      <c r="F647" s="728">
        <f>'Lager_&amp;_Montagematerial'!H34</f>
        <v>0</v>
      </c>
      <c r="G647" s="2314"/>
      <c r="H647" s="729">
        <v>0</v>
      </c>
      <c r="I647" s="2314"/>
      <c r="J647" s="729">
        <v>0</v>
      </c>
      <c r="K647" s="2314"/>
      <c r="L647" s="664"/>
      <c r="M647" s="2314"/>
      <c r="N647" s="663" t="s">
        <v>53</v>
      </c>
      <c r="Q647"/>
      <c r="R647"/>
      <c r="S647"/>
      <c r="T647"/>
      <c r="U647"/>
      <c r="W647" s="3"/>
      <c r="X647" s="3"/>
      <c r="Y647" s="3"/>
      <c r="AB647" s="3"/>
      <c r="AC647" s="3"/>
      <c r="AD647" s="3"/>
      <c r="AO647"/>
      <c r="AP647"/>
      <c r="AQ647"/>
      <c r="AR647"/>
      <c r="AS647"/>
      <c r="AT647"/>
      <c r="BF647" s="2135">
        <f t="shared" si="88"/>
        <v>0</v>
      </c>
      <c r="BG647" s="2135">
        <f t="shared" si="87"/>
        <v>0</v>
      </c>
      <c r="BH647" s="2136" t="s">
        <v>53</v>
      </c>
    </row>
    <row r="648" spans="1:60" ht="24.95" customHeight="1" x14ac:dyDescent="0.2">
      <c r="A648" s="662" t="s">
        <v>692</v>
      </c>
      <c r="B648" s="1512" t="str">
        <f>'Lager_&amp;_Montagematerial'!D35</f>
        <v>Fischer FAZ II 10/50</v>
      </c>
      <c r="C648" s="2314"/>
      <c r="D648" s="729" t="str">
        <f>'Lager_&amp;_Montagematerial'!G35</f>
        <v>0126058</v>
      </c>
      <c r="E648" s="2314"/>
      <c r="F648" s="728">
        <f>'Lager_&amp;_Montagematerial'!H35</f>
        <v>0</v>
      </c>
      <c r="G648" s="2314"/>
      <c r="H648" s="729">
        <v>0</v>
      </c>
      <c r="I648" s="2314"/>
      <c r="J648" s="729">
        <v>0</v>
      </c>
      <c r="K648" s="2314"/>
      <c r="L648" s="664"/>
      <c r="M648" s="2314"/>
      <c r="N648" s="663" t="s">
        <v>53</v>
      </c>
      <c r="Q648"/>
      <c r="R648"/>
      <c r="S648"/>
      <c r="T648"/>
      <c r="U648"/>
      <c r="W648" s="3"/>
      <c r="X648" s="3"/>
      <c r="Y648" s="3"/>
      <c r="AB648" s="3"/>
      <c r="AC648" s="3"/>
      <c r="AD648" s="3"/>
      <c r="AO648"/>
      <c r="AP648"/>
      <c r="AQ648"/>
      <c r="AR648"/>
      <c r="AS648"/>
      <c r="AT648"/>
      <c r="BF648" s="2135" t="str">
        <f t="shared" si="88"/>
        <v>0126058</v>
      </c>
      <c r="BG648" s="2135">
        <f t="shared" si="87"/>
        <v>0</v>
      </c>
      <c r="BH648" s="2136" t="s">
        <v>53</v>
      </c>
    </row>
    <row r="649" spans="1:60" ht="24.95" customHeight="1" x14ac:dyDescent="0.2">
      <c r="A649" s="662" t="s">
        <v>692</v>
      </c>
      <c r="B649" s="1512" t="str">
        <f>'Lager_&amp;_Montagematerial'!D36</f>
        <v>Scheibe DIN 9021 - d 10,5mm</v>
      </c>
      <c r="C649" s="2314"/>
      <c r="D649" s="729" t="str">
        <f>'Lager_&amp;_Montagematerial'!G36</f>
        <v>0125106</v>
      </c>
      <c r="E649" s="2314"/>
      <c r="F649" s="728">
        <f>'Lager_&amp;_Montagematerial'!H36</f>
        <v>0</v>
      </c>
      <c r="G649" s="2314"/>
      <c r="H649" s="729">
        <v>0</v>
      </c>
      <c r="I649" s="2314"/>
      <c r="J649" s="729">
        <v>0</v>
      </c>
      <c r="K649" s="2314"/>
      <c r="L649" s="664"/>
      <c r="M649" s="2314"/>
      <c r="N649" s="663" t="s">
        <v>53</v>
      </c>
      <c r="Q649"/>
      <c r="R649"/>
      <c r="S649"/>
      <c r="T649"/>
      <c r="U649"/>
      <c r="W649" s="3"/>
      <c r="X649" s="3"/>
      <c r="Y649" s="3"/>
      <c r="AB649" s="3"/>
      <c r="AC649" s="3"/>
      <c r="AD649" s="3"/>
      <c r="AO649"/>
      <c r="AP649"/>
      <c r="AQ649"/>
      <c r="AR649"/>
      <c r="AS649"/>
      <c r="AT649"/>
      <c r="BF649" s="2135" t="str">
        <f t="shared" si="88"/>
        <v>0125106</v>
      </c>
      <c r="BG649" s="2135">
        <f t="shared" si="87"/>
        <v>0</v>
      </c>
      <c r="BH649" s="2136" t="s">
        <v>53</v>
      </c>
    </row>
    <row r="650" spans="1:60" ht="24.95" customHeight="1" x14ac:dyDescent="0.2">
      <c r="A650" s="662" t="s">
        <v>692</v>
      </c>
      <c r="B650" s="1512">
        <f>'Lager_&amp;_Montagematerial'!D37</f>
        <v>0</v>
      </c>
      <c r="C650" s="2314"/>
      <c r="D650" s="729">
        <f>'Lager_&amp;_Montagematerial'!G37</f>
        <v>0</v>
      </c>
      <c r="E650" s="2314"/>
      <c r="F650" s="728">
        <f>'Lager_&amp;_Montagematerial'!H37</f>
        <v>0</v>
      </c>
      <c r="G650" s="2314"/>
      <c r="H650" s="729">
        <v>0</v>
      </c>
      <c r="I650" s="2314"/>
      <c r="J650" s="729">
        <v>0</v>
      </c>
      <c r="K650" s="2314"/>
      <c r="L650" s="664"/>
      <c r="M650" s="2314"/>
      <c r="N650" s="663" t="s">
        <v>53</v>
      </c>
      <c r="Q650"/>
      <c r="R650"/>
      <c r="S650"/>
      <c r="T650"/>
      <c r="U650"/>
      <c r="W650" s="3"/>
      <c r="X650" s="3"/>
      <c r="Y650" s="3"/>
      <c r="AB650" s="3"/>
      <c r="AC650" s="3"/>
      <c r="AD650" s="3"/>
      <c r="AO650"/>
      <c r="AP650"/>
      <c r="AQ650"/>
      <c r="AR650"/>
      <c r="AS650"/>
      <c r="AT650"/>
      <c r="BF650" s="2135">
        <f t="shared" si="88"/>
        <v>0</v>
      </c>
      <c r="BG650" s="2135">
        <f t="shared" si="87"/>
        <v>0</v>
      </c>
      <c r="BH650" s="2136" t="s">
        <v>53</v>
      </c>
    </row>
    <row r="651" spans="1:60" x14ac:dyDescent="0.2">
      <c r="A651" s="662" t="s">
        <v>692</v>
      </c>
      <c r="B651" s="1512">
        <f>'Lager_&amp;_Montagematerial'!D38</f>
        <v>0</v>
      </c>
      <c r="C651" s="2314"/>
      <c r="D651" s="729">
        <f>'Lager_&amp;_Montagematerial'!G38</f>
        <v>0</v>
      </c>
      <c r="E651" s="2314"/>
      <c r="F651" s="728">
        <f>'Lager_&amp;_Montagematerial'!H38</f>
        <v>0</v>
      </c>
      <c r="G651" s="2314"/>
      <c r="H651" s="729">
        <v>0</v>
      </c>
      <c r="I651" s="2314"/>
      <c r="J651" s="729">
        <v>0</v>
      </c>
      <c r="K651" s="2314"/>
      <c r="L651" s="664"/>
      <c r="M651" s="2314"/>
      <c r="N651" s="663" t="s">
        <v>53</v>
      </c>
      <c r="Q651"/>
      <c r="R651"/>
      <c r="S651"/>
      <c r="T651"/>
      <c r="U651"/>
      <c r="W651" s="3"/>
      <c r="X651" s="3"/>
      <c r="Y651" s="3"/>
      <c r="AB651" s="3"/>
      <c r="AC651" s="3"/>
      <c r="AD651" s="3"/>
      <c r="AO651"/>
      <c r="AP651"/>
      <c r="AQ651"/>
      <c r="AR651"/>
      <c r="AS651"/>
      <c r="AT651"/>
      <c r="BF651" s="2135">
        <f t="shared" si="88"/>
        <v>0</v>
      </c>
      <c r="BG651" s="2135">
        <f t="shared" si="87"/>
        <v>0</v>
      </c>
      <c r="BH651" s="2136" t="s">
        <v>53</v>
      </c>
    </row>
    <row r="652" spans="1:60" x14ac:dyDescent="0.2">
      <c r="A652" s="662" t="s">
        <v>692</v>
      </c>
      <c r="B652" s="1512" t="str">
        <f>'Lager_&amp;_Montagematerial'!D39</f>
        <v>Sechskantmutter DIN EN 24 032 - M10 - St</v>
      </c>
      <c r="C652" s="2314"/>
      <c r="D652" s="729" t="str">
        <f>'Lager_&amp;_Montagematerial'!G39</f>
        <v>0114011</v>
      </c>
      <c r="E652" s="2314"/>
      <c r="F652" s="728">
        <f>'Lager_&amp;_Montagematerial'!H39</f>
        <v>0</v>
      </c>
      <c r="G652" s="2314"/>
      <c r="H652" s="729">
        <v>0</v>
      </c>
      <c r="I652" s="2314"/>
      <c r="J652" s="729">
        <v>0</v>
      </c>
      <c r="K652" s="2314"/>
      <c r="L652" s="664"/>
      <c r="M652" s="2314"/>
      <c r="N652" s="663" t="s">
        <v>53</v>
      </c>
      <c r="Q652"/>
      <c r="R652"/>
      <c r="S652"/>
      <c r="T652"/>
      <c r="U652"/>
      <c r="W652" s="3"/>
      <c r="X652" s="3"/>
      <c r="Y652" s="3"/>
      <c r="AB652" s="3"/>
      <c r="AC652" s="3"/>
      <c r="AD652" s="3"/>
      <c r="AO652"/>
      <c r="AP652"/>
      <c r="AQ652"/>
      <c r="AR652"/>
      <c r="AS652"/>
      <c r="AT652"/>
      <c r="BF652" s="2135" t="str">
        <f t="shared" si="88"/>
        <v>0114011</v>
      </c>
      <c r="BG652" s="2135">
        <f t="shared" si="87"/>
        <v>0</v>
      </c>
      <c r="BH652" s="2136" t="s">
        <v>53</v>
      </c>
    </row>
    <row r="653" spans="1:60" x14ac:dyDescent="0.2">
      <c r="A653" s="662" t="s">
        <v>692</v>
      </c>
      <c r="B653" s="1512" t="str">
        <f>'Lager_&amp;_Montagematerial'!D40</f>
        <v>Scheibe DIN 9021 - d 10,5mm</v>
      </c>
      <c r="C653" s="2314"/>
      <c r="D653" s="729" t="str">
        <f>'Lager_&amp;_Montagematerial'!G40</f>
        <v>0125106</v>
      </c>
      <c r="E653" s="2314"/>
      <c r="F653" s="728">
        <f>'Lager_&amp;_Montagematerial'!H40</f>
        <v>0</v>
      </c>
      <c r="G653" s="2314"/>
      <c r="H653" s="729">
        <v>0</v>
      </c>
      <c r="I653" s="2314"/>
      <c r="J653" s="729">
        <v>0</v>
      </c>
      <c r="K653" s="2314"/>
      <c r="L653" s="664"/>
      <c r="M653" s="2314"/>
      <c r="N653" s="663" t="s">
        <v>53</v>
      </c>
      <c r="Q653"/>
      <c r="R653"/>
      <c r="S653"/>
      <c r="T653"/>
      <c r="U653"/>
      <c r="W653" s="3"/>
      <c r="X653" s="3"/>
      <c r="Y653" s="3"/>
      <c r="AB653" s="3"/>
      <c r="AC653" s="3"/>
      <c r="AD653" s="3"/>
      <c r="AO653"/>
      <c r="AP653"/>
      <c r="AQ653"/>
      <c r="AR653"/>
      <c r="AS653"/>
      <c r="AT653"/>
      <c r="BF653" s="2135" t="str">
        <f t="shared" si="88"/>
        <v>0125106</v>
      </c>
      <c r="BG653" s="2135">
        <f t="shared" si="87"/>
        <v>0</v>
      </c>
      <c r="BH653" s="2136" t="s">
        <v>53</v>
      </c>
    </row>
    <row r="654" spans="1:60" x14ac:dyDescent="0.2">
      <c r="A654" s="662" t="s">
        <v>692</v>
      </c>
      <c r="B654" s="1512" t="str">
        <f>'Lager_&amp;_Montagematerial'!D41</f>
        <v>Federring DIN 127 - A10 - FSt</v>
      </c>
      <c r="C654" s="2314"/>
      <c r="D654" s="729" t="str">
        <f>'Lager_&amp;_Montagematerial'!G41</f>
        <v>0129001</v>
      </c>
      <c r="E654" s="2314"/>
      <c r="F654" s="728">
        <f>'Lager_&amp;_Montagematerial'!H41</f>
        <v>0</v>
      </c>
      <c r="G654" s="2314"/>
      <c r="H654" s="729">
        <v>0</v>
      </c>
      <c r="I654" s="2314"/>
      <c r="J654" s="729">
        <v>0</v>
      </c>
      <c r="K654" s="2314"/>
      <c r="L654" s="664"/>
      <c r="M654" s="2314"/>
      <c r="N654" s="663" t="s">
        <v>53</v>
      </c>
      <c r="Q654"/>
      <c r="R654"/>
      <c r="S654"/>
      <c r="T654"/>
      <c r="U654"/>
      <c r="W654" s="3"/>
      <c r="X654" s="3"/>
      <c r="Y654" s="3"/>
      <c r="AB654" s="3"/>
      <c r="AC654" s="3"/>
      <c r="AD654" s="3"/>
      <c r="AO654"/>
      <c r="AP654"/>
      <c r="AQ654"/>
      <c r="AR654"/>
      <c r="AS654"/>
      <c r="AT654"/>
      <c r="BF654" s="2135" t="str">
        <f t="shared" si="88"/>
        <v>0129001</v>
      </c>
      <c r="BG654" s="2135">
        <f t="shared" si="87"/>
        <v>0</v>
      </c>
      <c r="BH654" s="2136" t="s">
        <v>53</v>
      </c>
    </row>
    <row r="655" spans="1:60" x14ac:dyDescent="0.2">
      <c r="A655" s="662" t="s">
        <v>692</v>
      </c>
      <c r="B655" s="1512" t="str">
        <f>'Lager_&amp;_Montagematerial'!D42</f>
        <v>Ankerplatten d=13</v>
      </c>
      <c r="C655" s="2314"/>
      <c r="D655" s="729" t="str">
        <f>'Lager_&amp;_Montagematerial'!G42</f>
        <v>0150065</v>
      </c>
      <c r="E655" s="2314"/>
      <c r="F655" s="728">
        <f>'Lager_&amp;_Montagematerial'!H42</f>
        <v>0</v>
      </c>
      <c r="G655" s="2314"/>
      <c r="H655" s="729">
        <v>0</v>
      </c>
      <c r="I655" s="2314"/>
      <c r="J655" s="729">
        <v>0</v>
      </c>
      <c r="K655" s="2314"/>
      <c r="L655" s="664"/>
      <c r="M655" s="2314"/>
      <c r="N655" s="663" t="s">
        <v>53</v>
      </c>
      <c r="Q655"/>
      <c r="R655"/>
      <c r="S655"/>
      <c r="T655"/>
      <c r="U655"/>
      <c r="W655" s="3"/>
      <c r="X655" s="3"/>
      <c r="Y655" s="3"/>
      <c r="AB655" s="3"/>
      <c r="AC655" s="3"/>
      <c r="AD655" s="3"/>
      <c r="AO655"/>
      <c r="AP655"/>
      <c r="AQ655"/>
      <c r="AR655"/>
      <c r="AS655"/>
      <c r="AT655"/>
      <c r="BF655" s="2135" t="str">
        <f t="shared" si="88"/>
        <v>0150065</v>
      </c>
      <c r="BG655" s="2135">
        <f t="shared" si="87"/>
        <v>0</v>
      </c>
      <c r="BH655" s="2136" t="s">
        <v>53</v>
      </c>
    </row>
    <row r="656" spans="1:60" x14ac:dyDescent="0.2">
      <c r="A656" s="662" t="s">
        <v>692</v>
      </c>
      <c r="B656" s="1512">
        <f>'Lager_&amp;_Montagematerial'!D43</f>
        <v>0</v>
      </c>
      <c r="C656" s="2314"/>
      <c r="D656" s="729">
        <f>'Lager_&amp;_Montagematerial'!G43</f>
        <v>0</v>
      </c>
      <c r="E656" s="2314"/>
      <c r="F656" s="728">
        <f>'Lager_&amp;_Montagematerial'!H43</f>
        <v>0</v>
      </c>
      <c r="G656" s="2314"/>
      <c r="H656" s="729">
        <v>0</v>
      </c>
      <c r="I656" s="2314"/>
      <c r="J656" s="729">
        <v>0</v>
      </c>
      <c r="K656" s="2314"/>
      <c r="L656" s="664"/>
      <c r="M656" s="2314"/>
      <c r="N656" s="663" t="s">
        <v>53</v>
      </c>
      <c r="Q656"/>
      <c r="R656"/>
      <c r="S656"/>
      <c r="T656"/>
      <c r="U656"/>
      <c r="W656" s="3"/>
      <c r="X656" s="3"/>
      <c r="Y656" s="3"/>
      <c r="AB656" s="3"/>
      <c r="AC656" s="3"/>
      <c r="AD656" s="3"/>
      <c r="AO656"/>
      <c r="AP656"/>
      <c r="AQ656"/>
      <c r="AR656"/>
      <c r="AS656"/>
      <c r="AT656"/>
      <c r="BF656" s="2135">
        <f t="shared" si="88"/>
        <v>0</v>
      </c>
      <c r="BG656" s="2135">
        <f t="shared" si="87"/>
        <v>0</v>
      </c>
      <c r="BH656" s="2136" t="s">
        <v>53</v>
      </c>
    </row>
    <row r="657" spans="1:60" x14ac:dyDescent="0.2">
      <c r="A657" s="662" t="s">
        <v>692</v>
      </c>
      <c r="B657" s="1512" t="str">
        <f>'Lager_&amp;_Montagematerial'!D44</f>
        <v>Fischer Siebhülse FIS H 16 x 85 K</v>
      </c>
      <c r="C657" s="2314"/>
      <c r="D657" s="729" t="str">
        <f>'Lager_&amp;_Montagematerial'!G44</f>
        <v>0126138</v>
      </c>
      <c r="E657" s="2314"/>
      <c r="F657" s="728">
        <f>'Lager_&amp;_Montagematerial'!H44</f>
        <v>0</v>
      </c>
      <c r="G657" s="2314"/>
      <c r="H657" s="729">
        <v>0</v>
      </c>
      <c r="I657" s="2314"/>
      <c r="J657" s="729">
        <v>0</v>
      </c>
      <c r="K657" s="2314"/>
      <c r="L657" s="664"/>
      <c r="M657" s="2314"/>
      <c r="N657" s="663" t="s">
        <v>53</v>
      </c>
      <c r="Q657"/>
      <c r="R657"/>
      <c r="S657"/>
      <c r="T657"/>
      <c r="U657"/>
      <c r="W657" s="3"/>
      <c r="X657" s="3"/>
      <c r="Y657" s="3"/>
      <c r="AB657" s="3"/>
      <c r="AC657" s="3"/>
      <c r="AD657" s="3"/>
      <c r="AO657"/>
      <c r="AP657"/>
      <c r="AQ657"/>
      <c r="AR657"/>
      <c r="AS657"/>
      <c r="AT657"/>
      <c r="BF657" s="2135" t="str">
        <f t="shared" si="88"/>
        <v>0126138</v>
      </c>
      <c r="BG657" s="2135">
        <f t="shared" si="87"/>
        <v>0</v>
      </c>
      <c r="BH657" s="2136" t="s">
        <v>53</v>
      </c>
    </row>
    <row r="658" spans="1:60" x14ac:dyDescent="0.2">
      <c r="A658" s="662" t="s">
        <v>692</v>
      </c>
      <c r="B658" s="1512" t="str">
        <f>'Lager_&amp;_Montagematerial'!D45</f>
        <v>Gewindestange FIS A M10 x 110</v>
      </c>
      <c r="C658" s="2314"/>
      <c r="D658" s="729" t="str">
        <f>'Lager_&amp;_Montagematerial'!G45</f>
        <v>0126050</v>
      </c>
      <c r="E658" s="2314"/>
      <c r="F658" s="728">
        <f>'Lager_&amp;_Montagematerial'!H45</f>
        <v>0</v>
      </c>
      <c r="G658" s="2314"/>
      <c r="H658" s="729">
        <v>0</v>
      </c>
      <c r="I658" s="2314"/>
      <c r="J658" s="729">
        <v>0</v>
      </c>
      <c r="K658" s="2314"/>
      <c r="L658" s="664"/>
      <c r="M658" s="2314"/>
      <c r="N658" s="663" t="s">
        <v>53</v>
      </c>
      <c r="Q658"/>
      <c r="R658"/>
      <c r="S658"/>
      <c r="T658"/>
      <c r="U658"/>
      <c r="W658" s="3"/>
      <c r="X658" s="3"/>
      <c r="Y658" s="3"/>
      <c r="AB658" s="3"/>
      <c r="AC658" s="3"/>
      <c r="AD658" s="3"/>
      <c r="AO658"/>
      <c r="AP658"/>
      <c r="AQ658"/>
      <c r="AR658"/>
      <c r="AS658"/>
      <c r="AT658"/>
      <c r="BF658" s="2135" t="str">
        <f t="shared" si="88"/>
        <v>0126050</v>
      </c>
      <c r="BG658" s="2135">
        <f t="shared" si="87"/>
        <v>0</v>
      </c>
      <c r="BH658" s="2136" t="s">
        <v>53</v>
      </c>
    </row>
    <row r="659" spans="1:60" x14ac:dyDescent="0.2">
      <c r="A659" s="662" t="s">
        <v>692</v>
      </c>
      <c r="B659" s="1512" t="str">
        <f>'Lager_&amp;_Montagematerial'!D46</f>
        <v>Scheibe DIN 9021 - d 10,5mm</v>
      </c>
      <c r="C659" s="2314"/>
      <c r="D659" s="729" t="str">
        <f>'Lager_&amp;_Montagematerial'!G46</f>
        <v>0125106</v>
      </c>
      <c r="E659" s="2314"/>
      <c r="F659" s="728">
        <f>'Lager_&amp;_Montagematerial'!H46</f>
        <v>0</v>
      </c>
      <c r="G659" s="2314"/>
      <c r="H659" s="729">
        <v>0</v>
      </c>
      <c r="I659" s="2314"/>
      <c r="J659" s="729">
        <v>0</v>
      </c>
      <c r="K659" s="2314"/>
      <c r="L659" s="664"/>
      <c r="M659" s="2314"/>
      <c r="N659" s="663" t="s">
        <v>53</v>
      </c>
      <c r="Q659"/>
      <c r="R659"/>
      <c r="S659"/>
      <c r="T659"/>
      <c r="U659"/>
      <c r="W659" s="3"/>
      <c r="X659" s="3"/>
      <c r="Y659" s="3"/>
      <c r="AB659" s="3"/>
      <c r="AC659" s="3"/>
      <c r="AD659" s="3"/>
      <c r="AO659"/>
      <c r="AP659"/>
      <c r="AQ659"/>
      <c r="AR659"/>
      <c r="AS659"/>
      <c r="AT659"/>
      <c r="BF659" s="2135" t="str">
        <f t="shared" si="88"/>
        <v>0125106</v>
      </c>
      <c r="BG659" s="2135">
        <f t="shared" si="87"/>
        <v>0</v>
      </c>
      <c r="BH659" s="2136" t="s">
        <v>53</v>
      </c>
    </row>
    <row r="660" spans="1:60" x14ac:dyDescent="0.2">
      <c r="A660" s="662" t="s">
        <v>692</v>
      </c>
      <c r="B660" s="1512" t="str">
        <f>'Lager_&amp;_Montagematerial'!D47</f>
        <v>Injektionsmörtel FIS V 360 S</v>
      </c>
      <c r="C660" s="2314"/>
      <c r="D660" s="729" t="str">
        <f>'Lager_&amp;_Montagematerial'!G47</f>
        <v>0126134</v>
      </c>
      <c r="E660" s="2314"/>
      <c r="F660" s="728">
        <f>'Lager_&amp;_Montagematerial'!H47</f>
        <v>0</v>
      </c>
      <c r="G660" s="2314"/>
      <c r="H660" s="729">
        <v>0</v>
      </c>
      <c r="I660" s="2314"/>
      <c r="J660" s="729">
        <v>0</v>
      </c>
      <c r="K660" s="2314"/>
      <c r="L660" s="664"/>
      <c r="M660" s="2314"/>
      <c r="N660" s="663" t="s">
        <v>53</v>
      </c>
      <c r="Q660"/>
      <c r="R660"/>
      <c r="S660"/>
      <c r="T660"/>
      <c r="U660"/>
      <c r="W660" s="3"/>
      <c r="X660" s="3"/>
      <c r="Y660" s="3"/>
      <c r="AB660" s="3"/>
      <c r="AC660" s="3"/>
      <c r="AD660" s="3"/>
      <c r="AO660"/>
      <c r="AP660"/>
      <c r="AQ660"/>
      <c r="AR660"/>
      <c r="AS660"/>
      <c r="AT660"/>
      <c r="BF660" s="2135" t="str">
        <f t="shared" si="88"/>
        <v>0126134</v>
      </c>
      <c r="BG660" s="2135">
        <f t="shared" si="87"/>
        <v>0</v>
      </c>
      <c r="BH660" s="2136" t="s">
        <v>53</v>
      </c>
    </row>
    <row r="661" spans="1:60" x14ac:dyDescent="0.2">
      <c r="A661" s="662" t="s">
        <v>692</v>
      </c>
      <c r="B661" s="1512">
        <f>'Lager_&amp;_Montagematerial'!D48</f>
        <v>0</v>
      </c>
      <c r="C661" s="2314"/>
      <c r="D661" s="729">
        <f>'Lager_&amp;_Montagematerial'!G48</f>
        <v>0</v>
      </c>
      <c r="E661" s="2314"/>
      <c r="F661" s="728">
        <f>'Lager_&amp;_Montagematerial'!H48</f>
        <v>0</v>
      </c>
      <c r="G661" s="2314"/>
      <c r="H661" s="729">
        <v>0</v>
      </c>
      <c r="I661" s="2314"/>
      <c r="J661" s="729">
        <v>0</v>
      </c>
      <c r="K661" s="2314"/>
      <c r="L661" s="664"/>
      <c r="M661" s="2314"/>
      <c r="N661" s="663" t="s">
        <v>53</v>
      </c>
      <c r="Q661"/>
      <c r="R661"/>
      <c r="S661"/>
      <c r="T661"/>
      <c r="U661"/>
      <c r="W661" s="3"/>
      <c r="X661" s="3"/>
      <c r="Y661" s="3"/>
      <c r="AB661" s="3"/>
      <c r="AC661" s="3"/>
      <c r="AD661" s="3"/>
      <c r="AO661"/>
      <c r="AP661"/>
      <c r="AQ661"/>
      <c r="AR661"/>
      <c r="AS661"/>
      <c r="AT661"/>
      <c r="BF661" s="2135">
        <f t="shared" si="88"/>
        <v>0</v>
      </c>
      <c r="BG661" s="2135">
        <f t="shared" si="87"/>
        <v>0</v>
      </c>
      <c r="BH661" s="2136" t="s">
        <v>53</v>
      </c>
    </row>
    <row r="662" spans="1:60" x14ac:dyDescent="0.2">
      <c r="A662" s="662" t="s">
        <v>692</v>
      </c>
      <c r="B662" s="1512" t="str">
        <f>'Lager_&amp;_Montagematerial'!D49</f>
        <v>Dübel Porenbetonanker W-PA A  M10-20</v>
      </c>
      <c r="C662" s="2314"/>
      <c r="D662" s="729" t="str">
        <f>'Lager_&amp;_Montagematerial'!G49</f>
        <v>0126007</v>
      </c>
      <c r="E662" s="2314"/>
      <c r="F662" s="728">
        <f>'Lager_&amp;_Montagematerial'!H49</f>
        <v>0</v>
      </c>
      <c r="G662" s="2314"/>
      <c r="H662" s="729">
        <v>0</v>
      </c>
      <c r="I662" s="2314"/>
      <c r="J662" s="729">
        <v>0</v>
      </c>
      <c r="K662" s="2314"/>
      <c r="L662" s="664"/>
      <c r="M662" s="2314"/>
      <c r="N662" s="663" t="s">
        <v>53</v>
      </c>
      <c r="Q662"/>
      <c r="R662"/>
      <c r="S662"/>
      <c r="T662"/>
      <c r="U662"/>
      <c r="W662" s="3"/>
      <c r="X662" s="3"/>
      <c r="Y662" s="3"/>
      <c r="AB662" s="3"/>
      <c r="AC662" s="3"/>
      <c r="AD662" s="3"/>
      <c r="AO662"/>
      <c r="AP662"/>
      <c r="AQ662"/>
      <c r="AR662"/>
      <c r="AS662"/>
      <c r="AT662"/>
      <c r="BF662" s="2135" t="str">
        <f t="shared" si="88"/>
        <v>0126007</v>
      </c>
      <c r="BG662" s="2135">
        <f t="shared" si="87"/>
        <v>0</v>
      </c>
      <c r="BH662" s="2136" t="s">
        <v>53</v>
      </c>
    </row>
    <row r="663" spans="1:60" x14ac:dyDescent="0.2">
      <c r="A663" s="662" t="s">
        <v>692</v>
      </c>
      <c r="B663" s="1512" t="str">
        <f>'Lager_&amp;_Montagematerial'!D50</f>
        <v>Porenbetonanker FPX M10-I</v>
      </c>
      <c r="C663" s="2314"/>
      <c r="D663" s="729" t="str">
        <f>'Lager_&amp;_Montagematerial'!G50</f>
        <v>0126077</v>
      </c>
      <c r="E663" s="2314"/>
      <c r="F663" s="728">
        <f>'Lager_&amp;_Montagematerial'!H50</f>
        <v>0</v>
      </c>
      <c r="G663" s="2314"/>
      <c r="H663" s="729">
        <v>0</v>
      </c>
      <c r="I663" s="2314"/>
      <c r="J663" s="729">
        <v>0</v>
      </c>
      <c r="K663" s="2314"/>
      <c r="L663" s="664"/>
      <c r="M663" s="2314"/>
      <c r="N663" s="663" t="s">
        <v>53</v>
      </c>
      <c r="Q663"/>
      <c r="R663"/>
      <c r="S663"/>
      <c r="T663"/>
      <c r="U663"/>
      <c r="W663" s="3"/>
      <c r="X663" s="3"/>
      <c r="Y663" s="3"/>
      <c r="AB663" s="3"/>
      <c r="AC663" s="3"/>
      <c r="AD663" s="3"/>
      <c r="AO663"/>
      <c r="AP663"/>
      <c r="AQ663"/>
      <c r="AR663"/>
      <c r="AS663"/>
      <c r="AT663"/>
      <c r="BF663" s="2135" t="str">
        <f t="shared" ref="BF663" si="89">D663</f>
        <v>0126077</v>
      </c>
      <c r="BG663" s="2135">
        <f t="shared" ref="BG663" si="90">F663</f>
        <v>0</v>
      </c>
      <c r="BH663" s="2136" t="s">
        <v>53</v>
      </c>
    </row>
    <row r="664" spans="1:60" x14ac:dyDescent="0.2">
      <c r="A664" s="662" t="s">
        <v>692</v>
      </c>
      <c r="B664" s="1512">
        <f>'Lager_&amp;_Montagematerial'!D51</f>
        <v>0</v>
      </c>
      <c r="C664" s="2314"/>
      <c r="D664" s="729">
        <f>'Lager_&amp;_Montagematerial'!G51</f>
        <v>0</v>
      </c>
      <c r="E664" s="2314"/>
      <c r="F664" s="728">
        <f>'Lager_&amp;_Montagematerial'!H51</f>
        <v>0</v>
      </c>
      <c r="G664" s="2314"/>
      <c r="H664" s="729">
        <v>0</v>
      </c>
      <c r="I664" s="2314"/>
      <c r="J664" s="729">
        <v>0</v>
      </c>
      <c r="K664" s="2314"/>
      <c r="L664" s="664"/>
      <c r="M664" s="2314"/>
      <c r="N664" s="663" t="s">
        <v>53</v>
      </c>
      <c r="Q664"/>
      <c r="R664"/>
      <c r="S664"/>
      <c r="T664"/>
      <c r="U664"/>
      <c r="W664" s="3"/>
      <c r="X664" s="3"/>
      <c r="Y664" s="3"/>
      <c r="AB664" s="3"/>
      <c r="AC664" s="3"/>
      <c r="AD664" s="3"/>
      <c r="AO664"/>
      <c r="AP664"/>
      <c r="AQ664"/>
      <c r="AR664"/>
      <c r="AS664"/>
      <c r="AT664"/>
      <c r="BF664" s="2135">
        <f t="shared" si="88"/>
        <v>0</v>
      </c>
      <c r="BG664" s="2135">
        <f t="shared" si="87"/>
        <v>0</v>
      </c>
      <c r="BH664" s="2136" t="s">
        <v>53</v>
      </c>
    </row>
    <row r="665" spans="1:60" x14ac:dyDescent="0.2">
      <c r="A665" s="662" t="s">
        <v>692</v>
      </c>
      <c r="B665" s="1512">
        <f>'Lager_&amp;_Montagematerial'!D52</f>
        <v>0</v>
      </c>
      <c r="C665" s="2314"/>
      <c r="D665" s="729">
        <f>'Lager_&amp;_Montagematerial'!G52</f>
        <v>0</v>
      </c>
      <c r="E665" s="2314"/>
      <c r="F665" s="728">
        <f>'Lager_&amp;_Montagematerial'!H52</f>
        <v>0</v>
      </c>
      <c r="G665" s="2314"/>
      <c r="H665" s="729">
        <v>0</v>
      </c>
      <c r="I665" s="2314"/>
      <c r="J665" s="729">
        <v>0</v>
      </c>
      <c r="K665" s="2314"/>
      <c r="L665" s="664"/>
      <c r="M665" s="2314"/>
      <c r="N665" s="663" t="s">
        <v>53</v>
      </c>
      <c r="Q665"/>
      <c r="R665"/>
      <c r="S665"/>
      <c r="T665"/>
      <c r="U665"/>
      <c r="W665" s="3"/>
      <c r="X665" s="3"/>
      <c r="Y665" s="3"/>
      <c r="AB665" s="3"/>
      <c r="AC665" s="3"/>
      <c r="AD665" s="3"/>
      <c r="AO665"/>
      <c r="AP665"/>
      <c r="AQ665"/>
      <c r="AR665"/>
      <c r="AS665"/>
      <c r="AT665"/>
      <c r="BF665" s="2135">
        <f t="shared" si="88"/>
        <v>0</v>
      </c>
      <c r="BG665" s="2135">
        <f t="shared" si="87"/>
        <v>0</v>
      </c>
      <c r="BH665" s="2136" t="s">
        <v>53</v>
      </c>
    </row>
    <row r="666" spans="1:60" x14ac:dyDescent="0.2">
      <c r="A666" s="662" t="s">
        <v>692</v>
      </c>
      <c r="B666" s="1512" t="str">
        <f>'Lager_&amp;_Montagematerial'!D53</f>
        <v>Sechskantmutter DIN EN 24 032 - M10 - St</v>
      </c>
      <c r="C666" s="2314"/>
      <c r="D666" s="729" t="str">
        <f>'Lager_&amp;_Montagematerial'!G53</f>
        <v>0114011</v>
      </c>
      <c r="E666" s="2314"/>
      <c r="F666" s="728">
        <f>'Lager_&amp;_Montagematerial'!H53</f>
        <v>0</v>
      </c>
      <c r="G666" s="2314"/>
      <c r="H666" s="729">
        <v>0</v>
      </c>
      <c r="I666" s="2314"/>
      <c r="J666" s="729">
        <v>0</v>
      </c>
      <c r="K666" s="2314"/>
      <c r="L666" s="664"/>
      <c r="M666" s="2314"/>
      <c r="N666" s="663" t="s">
        <v>53</v>
      </c>
      <c r="Q666"/>
      <c r="R666"/>
      <c r="S666"/>
      <c r="T666"/>
      <c r="U666"/>
      <c r="W666" s="3"/>
      <c r="X666" s="3"/>
      <c r="Y666" s="3"/>
      <c r="AB666" s="3"/>
      <c r="AC666" s="3"/>
      <c r="AD666" s="3"/>
      <c r="AO666"/>
      <c r="AP666"/>
      <c r="AQ666"/>
      <c r="AR666"/>
      <c r="AS666"/>
      <c r="AT666"/>
      <c r="BF666" s="2135" t="str">
        <f t="shared" si="88"/>
        <v>0114011</v>
      </c>
      <c r="BG666" s="2135">
        <f t="shared" si="87"/>
        <v>0</v>
      </c>
      <c r="BH666" s="2136" t="s">
        <v>53</v>
      </c>
    </row>
    <row r="667" spans="1:60" x14ac:dyDescent="0.2">
      <c r="A667" s="662" t="s">
        <v>692</v>
      </c>
      <c r="B667" s="1512" t="str">
        <f>'Lager_&amp;_Montagematerial'!D54</f>
        <v>Scheibe DIN 9021 - d 10,5mm</v>
      </c>
      <c r="C667" s="2314"/>
      <c r="D667" s="729" t="str">
        <f>'Lager_&amp;_Montagematerial'!G54</f>
        <v>0125106</v>
      </c>
      <c r="E667" s="2314"/>
      <c r="F667" s="728">
        <f>'Lager_&amp;_Montagematerial'!H54</f>
        <v>0</v>
      </c>
      <c r="G667" s="2314"/>
      <c r="H667" s="729">
        <v>0</v>
      </c>
      <c r="I667" s="2314"/>
      <c r="J667" s="729">
        <v>0</v>
      </c>
      <c r="K667" s="2314"/>
      <c r="L667" s="664"/>
      <c r="M667" s="2314"/>
      <c r="N667" s="663" t="s">
        <v>53</v>
      </c>
      <c r="Q667"/>
      <c r="R667"/>
      <c r="S667"/>
      <c r="T667"/>
      <c r="U667"/>
      <c r="W667" s="3"/>
      <c r="X667" s="3"/>
      <c r="Y667" s="3"/>
      <c r="AB667" s="3"/>
      <c r="AC667" s="3"/>
      <c r="AD667" s="3"/>
      <c r="AO667"/>
      <c r="AP667"/>
      <c r="AQ667"/>
      <c r="AR667"/>
      <c r="AS667"/>
      <c r="AT667"/>
      <c r="BF667" s="2135" t="str">
        <f t="shared" si="88"/>
        <v>0125106</v>
      </c>
      <c r="BG667" s="2135">
        <f t="shared" si="87"/>
        <v>0</v>
      </c>
      <c r="BH667" s="2136" t="s">
        <v>53</v>
      </c>
    </row>
    <row r="668" spans="1:60" x14ac:dyDescent="0.2">
      <c r="A668" s="662" t="s">
        <v>692</v>
      </c>
      <c r="B668" s="1512" t="str">
        <f>'Lager_&amp;_Montagematerial'!D55</f>
        <v>Federring DIN 127 - A10 - FSt</v>
      </c>
      <c r="C668" s="2314"/>
      <c r="D668" s="729" t="str">
        <f>'Lager_&amp;_Montagematerial'!G55</f>
        <v>0129001</v>
      </c>
      <c r="E668" s="2314"/>
      <c r="F668" s="728">
        <f>'Lager_&amp;_Montagematerial'!H55</f>
        <v>0</v>
      </c>
      <c r="G668" s="2314"/>
      <c r="H668" s="729">
        <v>0</v>
      </c>
      <c r="I668" s="2314"/>
      <c r="J668" s="729">
        <v>0</v>
      </c>
      <c r="K668" s="2314"/>
      <c r="L668" s="664"/>
      <c r="M668" s="2314"/>
      <c r="N668" s="663" t="s">
        <v>53</v>
      </c>
      <c r="Q668"/>
      <c r="R668"/>
      <c r="S668"/>
      <c r="T668"/>
      <c r="U668"/>
      <c r="W668" s="3"/>
      <c r="X668" s="3"/>
      <c r="Y668" s="3"/>
      <c r="AB668" s="3"/>
      <c r="AC668" s="3"/>
      <c r="AD668" s="3"/>
      <c r="AO668"/>
      <c r="AP668"/>
      <c r="AQ668"/>
      <c r="AR668"/>
      <c r="AS668"/>
      <c r="AT668"/>
      <c r="BF668" s="2135" t="str">
        <f t="shared" si="88"/>
        <v>0129001</v>
      </c>
      <c r="BG668" s="2135">
        <f t="shared" si="87"/>
        <v>0</v>
      </c>
      <c r="BH668" s="2136" t="s">
        <v>53</v>
      </c>
    </row>
    <row r="669" spans="1:60" x14ac:dyDescent="0.2">
      <c r="A669" s="662" t="s">
        <v>692</v>
      </c>
      <c r="B669" s="1512" t="str">
        <f>'Lager_&amp;_Montagematerial'!D56</f>
        <v>Ankerplatten d=13</v>
      </c>
      <c r="C669" s="2314"/>
      <c r="D669" s="729" t="str">
        <f>'Lager_&amp;_Montagematerial'!G56</f>
        <v>0150065</v>
      </c>
      <c r="E669" s="2314"/>
      <c r="F669" s="728">
        <f>'Lager_&amp;_Montagematerial'!H56</f>
        <v>0</v>
      </c>
      <c r="G669" s="2314"/>
      <c r="H669" s="729">
        <v>0</v>
      </c>
      <c r="I669" s="2314"/>
      <c r="J669" s="729">
        <v>0</v>
      </c>
      <c r="K669" s="2314"/>
      <c r="L669" s="664"/>
      <c r="M669" s="2314"/>
      <c r="N669" s="663" t="s">
        <v>53</v>
      </c>
      <c r="Q669"/>
      <c r="R669"/>
      <c r="S669"/>
      <c r="T669"/>
      <c r="U669"/>
      <c r="W669" s="3"/>
      <c r="X669" s="3"/>
      <c r="Y669" s="3"/>
      <c r="AB669" s="3"/>
      <c r="AC669" s="3"/>
      <c r="AD669" s="3"/>
      <c r="AO669"/>
      <c r="AP669"/>
      <c r="AQ669"/>
      <c r="AR669"/>
      <c r="AS669"/>
      <c r="AT669"/>
      <c r="BF669" s="2135" t="str">
        <f t="shared" si="88"/>
        <v>0150065</v>
      </c>
      <c r="BG669" s="2135">
        <f t="shared" si="87"/>
        <v>0</v>
      </c>
      <c r="BH669" s="2136" t="s">
        <v>53</v>
      </c>
    </row>
    <row r="670" spans="1:60" x14ac:dyDescent="0.2">
      <c r="A670" s="662" t="s">
        <v>692</v>
      </c>
      <c r="B670" s="1512">
        <f>'Lager_&amp;_Montagematerial'!D57</f>
        <v>0</v>
      </c>
      <c r="C670" s="2314"/>
      <c r="D670" s="729">
        <f>'Lager_&amp;_Montagematerial'!G57</f>
        <v>0</v>
      </c>
      <c r="E670" s="2314"/>
      <c r="F670" s="728">
        <f>'Lager_&amp;_Montagematerial'!H57</f>
        <v>0</v>
      </c>
      <c r="G670" s="2314"/>
      <c r="H670" s="729">
        <v>0</v>
      </c>
      <c r="I670" s="2314"/>
      <c r="J670" s="729">
        <v>0</v>
      </c>
      <c r="K670" s="2314"/>
      <c r="L670" s="664"/>
      <c r="M670" s="2314"/>
      <c r="N670" s="663" t="s">
        <v>53</v>
      </c>
      <c r="Q670"/>
      <c r="R670"/>
      <c r="S670"/>
      <c r="T670"/>
      <c r="U670"/>
      <c r="W670" s="3"/>
      <c r="X670" s="3"/>
      <c r="Y670" s="3"/>
      <c r="AB670" s="3"/>
      <c r="AC670" s="3"/>
      <c r="AD670" s="3"/>
      <c r="AO670"/>
      <c r="AP670"/>
      <c r="AQ670"/>
      <c r="AR670"/>
      <c r="AS670"/>
      <c r="AT670"/>
      <c r="BF670" s="2135">
        <f t="shared" si="88"/>
        <v>0</v>
      </c>
      <c r="BG670" s="2135">
        <f t="shared" si="87"/>
        <v>0</v>
      </c>
      <c r="BH670" s="2136" t="s">
        <v>53</v>
      </c>
    </row>
    <row r="671" spans="1:60" x14ac:dyDescent="0.2">
      <c r="A671" s="662" t="s">
        <v>692</v>
      </c>
      <c r="B671" s="1512" t="str">
        <f>'Lager_&amp;_Montagematerial'!D58</f>
        <v>Fischer FAZ II 10/160</v>
      </c>
      <c r="C671" s="2314"/>
      <c r="D671" s="729" t="str">
        <f>'Lager_&amp;_Montagematerial'!G58</f>
        <v>0126048</v>
      </c>
      <c r="E671" s="2314"/>
      <c r="F671" s="728">
        <f>'Lager_&amp;_Montagematerial'!H58</f>
        <v>0</v>
      </c>
      <c r="G671" s="2314"/>
      <c r="H671" s="729">
        <v>0</v>
      </c>
      <c r="I671" s="2314"/>
      <c r="J671" s="729">
        <v>0</v>
      </c>
      <c r="K671" s="2314"/>
      <c r="L671" s="664"/>
      <c r="M671" s="2314"/>
      <c r="N671" s="663" t="s">
        <v>53</v>
      </c>
      <c r="Q671"/>
      <c r="R671"/>
      <c r="S671"/>
      <c r="T671"/>
      <c r="U671"/>
      <c r="W671" s="3"/>
      <c r="X671" s="3"/>
      <c r="Y671" s="3"/>
      <c r="AB671" s="3"/>
      <c r="AC671" s="3"/>
      <c r="AD671" s="3"/>
      <c r="AO671"/>
      <c r="AP671"/>
      <c r="AQ671"/>
      <c r="AR671"/>
      <c r="AS671"/>
      <c r="AT671"/>
      <c r="BF671" s="2135" t="str">
        <f t="shared" si="88"/>
        <v>0126048</v>
      </c>
      <c r="BG671" s="2135">
        <f t="shared" si="87"/>
        <v>0</v>
      </c>
      <c r="BH671" s="2136" t="s">
        <v>53</v>
      </c>
    </row>
    <row r="672" spans="1:60" x14ac:dyDescent="0.2">
      <c r="A672" s="662" t="s">
        <v>692</v>
      </c>
      <c r="B672" s="1512" t="str">
        <f>'Lager_&amp;_Montagematerial'!D59</f>
        <v>Sechskantmutter DIN EN 24 032 - M10 - St</v>
      </c>
      <c r="C672" s="2314"/>
      <c r="D672" s="729" t="str">
        <f>'Lager_&amp;_Montagematerial'!G59</f>
        <v>0114011</v>
      </c>
      <c r="E672" s="2314"/>
      <c r="F672" s="728">
        <f>'Lager_&amp;_Montagematerial'!H59</f>
        <v>0</v>
      </c>
      <c r="G672" s="2314"/>
      <c r="H672" s="729">
        <v>0</v>
      </c>
      <c r="I672" s="2314"/>
      <c r="J672" s="729">
        <v>0</v>
      </c>
      <c r="K672" s="2314"/>
      <c r="L672" s="664"/>
      <c r="M672" s="2314"/>
      <c r="N672" s="663" t="s">
        <v>53</v>
      </c>
      <c r="Q672"/>
      <c r="R672"/>
      <c r="S672"/>
      <c r="T672"/>
      <c r="U672"/>
      <c r="W672" s="3"/>
      <c r="X672" s="3"/>
      <c r="Y672" s="3"/>
      <c r="AB672" s="3"/>
      <c r="AC672" s="3"/>
      <c r="AD672" s="3"/>
      <c r="AO672"/>
      <c r="AP672"/>
      <c r="AQ672"/>
      <c r="AR672"/>
      <c r="AS672"/>
      <c r="AT672"/>
      <c r="BF672" s="2135" t="str">
        <f t="shared" si="88"/>
        <v>0114011</v>
      </c>
      <c r="BG672" s="2135">
        <f t="shared" si="87"/>
        <v>0</v>
      </c>
      <c r="BH672" s="2136" t="s">
        <v>53</v>
      </c>
    </row>
    <row r="673" spans="1:60" x14ac:dyDescent="0.2">
      <c r="A673" s="662" t="s">
        <v>692</v>
      </c>
      <c r="B673" s="1512" t="str">
        <f>'Lager_&amp;_Montagematerial'!D60</f>
        <v>Scheibe DIN 9021 - d 10,5mm</v>
      </c>
      <c r="C673" s="2314"/>
      <c r="D673" s="729" t="str">
        <f>'Lager_&amp;_Montagematerial'!G60</f>
        <v>0125106</v>
      </c>
      <c r="E673" s="2314"/>
      <c r="F673" s="728">
        <f>'Lager_&amp;_Montagematerial'!H60</f>
        <v>0</v>
      </c>
      <c r="G673" s="2314"/>
      <c r="H673" s="729">
        <v>0</v>
      </c>
      <c r="I673" s="2314"/>
      <c r="J673" s="729">
        <v>0</v>
      </c>
      <c r="K673" s="2314"/>
      <c r="L673" s="664"/>
      <c r="M673" s="2314"/>
      <c r="N673" s="663" t="s">
        <v>53</v>
      </c>
      <c r="Q673"/>
      <c r="R673"/>
      <c r="S673"/>
      <c r="T673"/>
      <c r="U673"/>
      <c r="W673" s="3"/>
      <c r="X673" s="3"/>
      <c r="Y673" s="3"/>
      <c r="AB673" s="3"/>
      <c r="AC673" s="3"/>
      <c r="AD673" s="3"/>
      <c r="AO673"/>
      <c r="AP673"/>
      <c r="AQ673"/>
      <c r="AR673"/>
      <c r="AS673"/>
      <c r="AT673"/>
      <c r="BF673" s="2135" t="str">
        <f t="shared" si="88"/>
        <v>0125106</v>
      </c>
      <c r="BG673" s="2135">
        <f t="shared" si="87"/>
        <v>0</v>
      </c>
      <c r="BH673" s="2136" t="s">
        <v>53</v>
      </c>
    </row>
    <row r="674" spans="1:60" x14ac:dyDescent="0.2">
      <c r="A674" s="662" t="s">
        <v>692</v>
      </c>
      <c r="B674" s="1512">
        <f>'Lager_&amp;_Montagematerial'!D61</f>
        <v>0</v>
      </c>
      <c r="C674" s="2314"/>
      <c r="D674" s="729">
        <f>'Lager_&amp;_Montagematerial'!G61</f>
        <v>0</v>
      </c>
      <c r="E674" s="2314"/>
      <c r="F674" s="728">
        <f>'Lager_&amp;_Montagematerial'!H61</f>
        <v>0</v>
      </c>
      <c r="G674" s="2314"/>
      <c r="H674" s="729">
        <v>0</v>
      </c>
      <c r="I674" s="2314"/>
      <c r="J674" s="729">
        <v>0</v>
      </c>
      <c r="K674" s="2314"/>
      <c r="L674" s="664"/>
      <c r="M674" s="2314"/>
      <c r="N674" s="663" t="s">
        <v>53</v>
      </c>
      <c r="Q674"/>
      <c r="R674"/>
      <c r="S674"/>
      <c r="T674"/>
      <c r="U674"/>
      <c r="W674" s="3"/>
      <c r="X674" s="3"/>
      <c r="Y674" s="3"/>
      <c r="AB674" s="3"/>
      <c r="AC674" s="3"/>
      <c r="AD674" s="3"/>
      <c r="AO674"/>
      <c r="AP674"/>
      <c r="AQ674"/>
      <c r="AR674"/>
      <c r="AS674"/>
      <c r="AT674"/>
      <c r="BF674" s="2135">
        <f t="shared" si="88"/>
        <v>0</v>
      </c>
      <c r="BG674" s="2135">
        <f t="shared" si="87"/>
        <v>0</v>
      </c>
      <c r="BH674" s="2136" t="s">
        <v>53</v>
      </c>
    </row>
    <row r="675" spans="1:60" x14ac:dyDescent="0.2">
      <c r="A675" s="662" t="s">
        <v>692</v>
      </c>
      <c r="B675" s="1512" t="str">
        <f>'Lager_&amp;_Montagematerial'!D62</f>
        <v>Fischer Siebhülse FIS H 16 x 85 K</v>
      </c>
      <c r="C675" s="2314"/>
      <c r="D675" s="729" t="str">
        <f>'Lager_&amp;_Montagematerial'!G62</f>
        <v>0126138</v>
      </c>
      <c r="E675" s="2314"/>
      <c r="F675" s="728">
        <f>'Lager_&amp;_Montagematerial'!H62</f>
        <v>0</v>
      </c>
      <c r="G675" s="2314"/>
      <c r="H675" s="729">
        <v>0</v>
      </c>
      <c r="I675" s="2314"/>
      <c r="J675" s="729">
        <v>0</v>
      </c>
      <c r="K675" s="2314"/>
      <c r="L675" s="664"/>
      <c r="M675" s="2314"/>
      <c r="N675" s="663" t="s">
        <v>53</v>
      </c>
      <c r="Q675"/>
      <c r="R675"/>
      <c r="S675"/>
      <c r="T675"/>
      <c r="U675"/>
      <c r="W675" s="3"/>
      <c r="X675" s="3"/>
      <c r="Y675" s="3"/>
      <c r="AB675" s="3"/>
      <c r="AC675" s="3"/>
      <c r="AD675" s="3"/>
      <c r="AO675"/>
      <c r="AP675"/>
      <c r="AQ675"/>
      <c r="AR675"/>
      <c r="AS675"/>
      <c r="AT675"/>
      <c r="BF675" s="2135" t="str">
        <f t="shared" si="88"/>
        <v>0126138</v>
      </c>
      <c r="BG675" s="2135">
        <f t="shared" si="87"/>
        <v>0</v>
      </c>
      <c r="BH675" s="2136" t="s">
        <v>53</v>
      </c>
    </row>
    <row r="676" spans="1:60" x14ac:dyDescent="0.2">
      <c r="A676" s="662" t="s">
        <v>692</v>
      </c>
      <c r="B676" s="1512" t="str">
        <f>'Lager_&amp;_Montagematerial'!D63</f>
        <v>Injektionsinnengewindeanker FIS E 15x 85 M10</v>
      </c>
      <c r="C676" s="2314"/>
      <c r="D676" s="729" t="str">
        <f>'Lager_&amp;_Montagematerial'!G63</f>
        <v>0126067</v>
      </c>
      <c r="E676" s="2314"/>
      <c r="F676" s="728">
        <f>'Lager_&amp;_Montagematerial'!H63</f>
        <v>0</v>
      </c>
      <c r="G676" s="2314"/>
      <c r="H676" s="729">
        <v>0</v>
      </c>
      <c r="I676" s="2314"/>
      <c r="J676" s="729">
        <v>0</v>
      </c>
      <c r="K676" s="2314"/>
      <c r="L676" s="664"/>
      <c r="M676" s="2314"/>
      <c r="N676" s="663" t="s">
        <v>53</v>
      </c>
      <c r="Q676"/>
      <c r="R676"/>
      <c r="S676"/>
      <c r="T676"/>
      <c r="U676"/>
      <c r="W676" s="3"/>
      <c r="X676" s="3"/>
      <c r="Y676" s="3"/>
      <c r="AB676" s="3"/>
      <c r="AC676" s="3"/>
      <c r="AD676" s="3"/>
      <c r="AO676"/>
      <c r="AP676"/>
      <c r="AQ676"/>
      <c r="AR676"/>
      <c r="AS676"/>
      <c r="AT676"/>
      <c r="BF676" s="2135" t="str">
        <f t="shared" si="88"/>
        <v>0126067</v>
      </c>
      <c r="BG676" s="2135">
        <f t="shared" si="87"/>
        <v>0</v>
      </c>
      <c r="BH676" s="2136" t="s">
        <v>53</v>
      </c>
    </row>
    <row r="677" spans="1:60" x14ac:dyDescent="0.2">
      <c r="A677" s="662" t="s">
        <v>692</v>
      </c>
      <c r="B677" s="1512">
        <f>'Lager_&amp;_Montagematerial'!D64</f>
        <v>0</v>
      </c>
      <c r="C677" s="2314"/>
      <c r="D677" s="729">
        <f>'Lager_&amp;_Montagematerial'!G64</f>
        <v>0</v>
      </c>
      <c r="E677" s="2314"/>
      <c r="F677" s="728">
        <f>'Lager_&amp;_Montagematerial'!H64</f>
        <v>0</v>
      </c>
      <c r="G677" s="2314"/>
      <c r="H677" s="729">
        <v>0</v>
      </c>
      <c r="I677" s="2314"/>
      <c r="J677" s="729">
        <v>0</v>
      </c>
      <c r="K677" s="2314"/>
      <c r="L677" s="664"/>
      <c r="M677" s="2314"/>
      <c r="N677" s="663" t="s">
        <v>53</v>
      </c>
      <c r="Q677"/>
      <c r="R677"/>
      <c r="S677"/>
      <c r="T677"/>
      <c r="U677"/>
      <c r="W677" s="3"/>
      <c r="X677" s="3"/>
      <c r="Y677" s="3"/>
      <c r="AB677" s="3"/>
      <c r="AC677" s="3"/>
      <c r="AD677" s="3"/>
      <c r="AO677"/>
      <c r="AP677"/>
      <c r="AQ677"/>
      <c r="AR677"/>
      <c r="AS677"/>
      <c r="AT677"/>
      <c r="BF677" s="2135">
        <f t="shared" si="88"/>
        <v>0</v>
      </c>
      <c r="BG677" s="2135">
        <f t="shared" si="87"/>
        <v>0</v>
      </c>
      <c r="BH677" s="2136" t="s">
        <v>53</v>
      </c>
    </row>
    <row r="678" spans="1:60" x14ac:dyDescent="0.2">
      <c r="A678" s="662" t="s">
        <v>692</v>
      </c>
      <c r="B678" s="1512" t="str">
        <f>'Lager_&amp;_Montagematerial'!D65</f>
        <v>Sechskantmutter DIN EN 24 032 - M10</v>
      </c>
      <c r="C678" s="2314"/>
      <c r="D678" s="729" t="str">
        <f>'Lager_&amp;_Montagematerial'!G65</f>
        <v>0114011</v>
      </c>
      <c r="E678" s="2314"/>
      <c r="F678" s="728">
        <f>'Lager_&amp;_Montagematerial'!H65</f>
        <v>0</v>
      </c>
      <c r="G678" s="2314"/>
      <c r="H678" s="729">
        <v>0</v>
      </c>
      <c r="I678" s="2314"/>
      <c r="J678" s="729">
        <v>0</v>
      </c>
      <c r="K678" s="2314"/>
      <c r="L678" s="664"/>
      <c r="M678" s="2314"/>
      <c r="N678" s="663" t="s">
        <v>53</v>
      </c>
      <c r="Q678"/>
      <c r="R678"/>
      <c r="S678"/>
      <c r="T678"/>
      <c r="U678"/>
      <c r="W678" s="3"/>
      <c r="X678" s="3"/>
      <c r="Y678" s="3"/>
      <c r="AB678" s="3"/>
      <c r="AC678" s="3"/>
      <c r="AD678" s="3"/>
      <c r="AO678"/>
      <c r="AP678"/>
      <c r="AQ678"/>
      <c r="AR678"/>
      <c r="AS678"/>
      <c r="AT678"/>
      <c r="BF678" s="2135" t="str">
        <f t="shared" si="88"/>
        <v>0114011</v>
      </c>
      <c r="BG678" s="2135">
        <f t="shared" si="87"/>
        <v>0</v>
      </c>
      <c r="BH678" s="2136" t="s">
        <v>53</v>
      </c>
    </row>
    <row r="679" spans="1:60" x14ac:dyDescent="0.2">
      <c r="A679" s="662" t="s">
        <v>692</v>
      </c>
      <c r="B679" s="1512" t="str">
        <f>'Lager_&amp;_Montagematerial'!D66</f>
        <v>Injektionsmörtel FIS V 360 S</v>
      </c>
      <c r="C679" s="2314"/>
      <c r="D679" s="729" t="str">
        <f>'Lager_&amp;_Montagematerial'!G66</f>
        <v>0126134</v>
      </c>
      <c r="E679" s="2314"/>
      <c r="F679" s="728">
        <f>'Lager_&amp;_Montagematerial'!H66</f>
        <v>0</v>
      </c>
      <c r="G679" s="2314"/>
      <c r="H679" s="729">
        <v>0</v>
      </c>
      <c r="I679" s="2314"/>
      <c r="J679" s="729">
        <v>0</v>
      </c>
      <c r="K679" s="2314"/>
      <c r="L679" s="664"/>
      <c r="M679" s="2314"/>
      <c r="N679" s="663" t="s">
        <v>53</v>
      </c>
      <c r="Q679"/>
      <c r="R679"/>
      <c r="S679"/>
      <c r="T679"/>
      <c r="U679"/>
      <c r="W679" s="3"/>
      <c r="X679" s="3"/>
      <c r="Y679" s="3"/>
      <c r="AB679" s="3"/>
      <c r="AC679" s="3"/>
      <c r="AD679" s="3"/>
      <c r="AO679"/>
      <c r="AP679"/>
      <c r="AQ679"/>
      <c r="AR679"/>
      <c r="AS679"/>
      <c r="AT679"/>
      <c r="BF679" s="2135" t="str">
        <f t="shared" si="88"/>
        <v>0126134</v>
      </c>
      <c r="BG679" s="2135">
        <f t="shared" si="87"/>
        <v>0</v>
      </c>
      <c r="BH679" s="2136" t="s">
        <v>53</v>
      </c>
    </row>
    <row r="680" spans="1:60" x14ac:dyDescent="0.2">
      <c r="A680" s="662" t="s">
        <v>692</v>
      </c>
      <c r="B680" s="1512" t="str">
        <f>'Lager_&amp;_Montagematerial'!D67</f>
        <v>Scheibe DIN 9021 - d 10,5mm</v>
      </c>
      <c r="C680" s="2314"/>
      <c r="D680" s="729" t="str">
        <f>'Lager_&amp;_Montagematerial'!G67</f>
        <v>0125106</v>
      </c>
      <c r="E680" s="2314"/>
      <c r="F680" s="728">
        <f>'Lager_&amp;_Montagematerial'!H67</f>
        <v>0</v>
      </c>
      <c r="G680" s="2314"/>
      <c r="H680" s="729">
        <v>0</v>
      </c>
      <c r="I680" s="2314"/>
      <c r="J680" s="729">
        <v>0</v>
      </c>
      <c r="K680" s="2314"/>
      <c r="L680" s="664"/>
      <c r="M680" s="2314"/>
      <c r="N680" s="663" t="s">
        <v>53</v>
      </c>
      <c r="Q680"/>
      <c r="R680"/>
      <c r="S680"/>
      <c r="T680"/>
      <c r="U680"/>
      <c r="W680" s="3"/>
      <c r="X680" s="3"/>
      <c r="Y680" s="3"/>
      <c r="AB680" s="3"/>
      <c r="AC680" s="3"/>
      <c r="AD680" s="3"/>
      <c r="AO680"/>
      <c r="AP680"/>
      <c r="AQ680"/>
      <c r="AR680"/>
      <c r="AS680"/>
      <c r="AT680"/>
      <c r="BF680" s="2135" t="str">
        <f t="shared" si="88"/>
        <v>0125106</v>
      </c>
      <c r="BG680" s="2135">
        <f t="shared" si="87"/>
        <v>0</v>
      </c>
      <c r="BH680" s="2136" t="s">
        <v>53</v>
      </c>
    </row>
    <row r="681" spans="1:60" x14ac:dyDescent="0.2">
      <c r="A681" s="662" t="s">
        <v>692</v>
      </c>
      <c r="B681" s="1512">
        <f>'Lager_&amp;_Montagematerial'!D68</f>
        <v>0</v>
      </c>
      <c r="C681" s="2314"/>
      <c r="D681" s="729">
        <f>'Lager_&amp;_Montagematerial'!G68</f>
        <v>0</v>
      </c>
      <c r="E681" s="2314"/>
      <c r="F681" s="728">
        <f>'Lager_&amp;_Montagematerial'!H68</f>
        <v>0</v>
      </c>
      <c r="G681" s="2314"/>
      <c r="H681" s="729">
        <v>0</v>
      </c>
      <c r="I681" s="2314"/>
      <c r="J681" s="729">
        <v>0</v>
      </c>
      <c r="K681" s="2314"/>
      <c r="L681" s="664"/>
      <c r="M681" s="2314"/>
      <c r="N681" s="663" t="s">
        <v>53</v>
      </c>
      <c r="Q681"/>
      <c r="R681"/>
      <c r="S681"/>
      <c r="T681"/>
      <c r="U681"/>
      <c r="W681" s="3"/>
      <c r="X681" s="3"/>
      <c r="Y681" s="3"/>
      <c r="AB681" s="3"/>
      <c r="AC681" s="3"/>
      <c r="AD681" s="3"/>
      <c r="AO681"/>
      <c r="AP681"/>
      <c r="AQ681"/>
      <c r="AR681"/>
      <c r="AS681"/>
      <c r="AT681"/>
      <c r="BF681" s="2135">
        <f t="shared" si="88"/>
        <v>0</v>
      </c>
      <c r="BG681" s="2135">
        <f t="shared" si="87"/>
        <v>0</v>
      </c>
      <c r="BH681" s="2136" t="s">
        <v>53</v>
      </c>
    </row>
    <row r="682" spans="1:60" x14ac:dyDescent="0.2">
      <c r="A682" s="662" t="s">
        <v>692</v>
      </c>
      <c r="B682" s="1512">
        <f>'Lager_&amp;_Montagematerial'!D69</f>
        <v>0</v>
      </c>
      <c r="C682" s="2314"/>
      <c r="D682" s="729">
        <f>'Lager_&amp;_Montagematerial'!G69</f>
        <v>0</v>
      </c>
      <c r="E682" s="2314"/>
      <c r="F682" s="728">
        <f>'Lager_&amp;_Montagematerial'!H69</f>
        <v>0</v>
      </c>
      <c r="G682" s="2314"/>
      <c r="H682" s="729">
        <v>0</v>
      </c>
      <c r="I682" s="2314"/>
      <c r="J682" s="729">
        <v>0</v>
      </c>
      <c r="K682" s="2314"/>
      <c r="L682" s="664"/>
      <c r="M682" s="2314"/>
      <c r="N682" s="663" t="s">
        <v>53</v>
      </c>
      <c r="Q682"/>
      <c r="R682"/>
      <c r="S682"/>
      <c r="T682"/>
      <c r="U682"/>
      <c r="W682" s="3"/>
      <c r="X682" s="3"/>
      <c r="Y682" s="3"/>
      <c r="AB682" s="3"/>
      <c r="AC682" s="3"/>
      <c r="AD682" s="3"/>
      <c r="AO682"/>
      <c r="AP682"/>
      <c r="AQ682"/>
      <c r="AR682"/>
      <c r="AS682"/>
      <c r="AT682"/>
      <c r="BF682" s="2135">
        <f t="shared" si="88"/>
        <v>0</v>
      </c>
      <c r="BG682" s="2135">
        <f t="shared" si="87"/>
        <v>0</v>
      </c>
      <c r="BH682" s="2136" t="s">
        <v>53</v>
      </c>
    </row>
    <row r="683" spans="1:60" x14ac:dyDescent="0.2">
      <c r="A683" s="662" t="s">
        <v>692</v>
      </c>
      <c r="B683" s="1512">
        <f>'Lager_&amp;_Montagematerial'!D70</f>
        <v>0</v>
      </c>
      <c r="C683" s="2314"/>
      <c r="D683" s="729">
        <f>'Lager_&amp;_Montagematerial'!G70</f>
        <v>0</v>
      </c>
      <c r="E683" s="2314"/>
      <c r="F683" s="728">
        <f>'Lager_&amp;_Montagematerial'!H70</f>
        <v>0</v>
      </c>
      <c r="G683" s="2314"/>
      <c r="H683" s="729">
        <v>0</v>
      </c>
      <c r="I683" s="2314"/>
      <c r="J683" s="729">
        <v>0</v>
      </c>
      <c r="K683" s="2314"/>
      <c r="L683" s="664"/>
      <c r="M683" s="2314"/>
      <c r="N683" s="663" t="s">
        <v>53</v>
      </c>
      <c r="Q683"/>
      <c r="R683"/>
      <c r="S683"/>
      <c r="T683"/>
      <c r="U683"/>
      <c r="W683" s="3"/>
      <c r="X683" s="3"/>
      <c r="Y683" s="3"/>
      <c r="AB683" s="3"/>
      <c r="AC683" s="3"/>
      <c r="AD683" s="3"/>
      <c r="AO683"/>
      <c r="AP683"/>
      <c r="AQ683"/>
      <c r="AR683"/>
      <c r="AS683"/>
      <c r="AT683"/>
      <c r="BF683" s="2135">
        <f t="shared" si="88"/>
        <v>0</v>
      </c>
      <c r="BG683" s="2135">
        <f t="shared" si="87"/>
        <v>0</v>
      </c>
      <c r="BH683" s="2136" t="s">
        <v>53</v>
      </c>
    </row>
    <row r="684" spans="1:60" x14ac:dyDescent="0.2">
      <c r="A684" s="662" t="s">
        <v>692</v>
      </c>
      <c r="B684" s="1512" t="str">
        <f>'Lager_&amp;_Montagematerial'!D71</f>
        <v>x-k1-e      Innenmaße 82x64      Außenmaße 120x100</v>
      </c>
      <c r="C684" s="2314"/>
      <c r="D684" s="729" t="str">
        <f>'Lager_&amp;_Montagematerial'!G71</f>
        <v>0906002</v>
      </c>
      <c r="E684" s="2314"/>
      <c r="F684" s="728">
        <f>'Lager_&amp;_Montagematerial'!H71</f>
        <v>0</v>
      </c>
      <c r="G684" s="2314"/>
      <c r="H684" s="729">
        <v>0</v>
      </c>
      <c r="I684" s="2314"/>
      <c r="J684" s="729">
        <v>0</v>
      </c>
      <c r="K684" s="2314"/>
      <c r="L684" s="664"/>
      <c r="M684" s="2314"/>
      <c r="N684" s="663" t="s">
        <v>53</v>
      </c>
      <c r="Q684"/>
      <c r="R684"/>
      <c r="S684"/>
      <c r="T684"/>
      <c r="U684"/>
      <c r="W684" s="3"/>
      <c r="X684" s="3"/>
      <c r="Y684" s="3"/>
      <c r="AB684" s="3"/>
      <c r="AC684" s="3"/>
      <c r="AD684" s="3"/>
      <c r="AO684"/>
      <c r="AP684"/>
      <c r="AQ684"/>
      <c r="AR684"/>
      <c r="AS684"/>
      <c r="AT684"/>
      <c r="BF684" s="2135" t="str">
        <f t="shared" si="88"/>
        <v>0906002</v>
      </c>
      <c r="BG684" s="2135">
        <f t="shared" si="87"/>
        <v>0</v>
      </c>
      <c r="BH684" s="2136" t="s">
        <v>53</v>
      </c>
    </row>
    <row r="685" spans="1:60" x14ac:dyDescent="0.2">
      <c r="A685" s="662" t="s">
        <v>692</v>
      </c>
      <c r="B685" s="1512" t="str">
        <f>'Lager_&amp;_Montagematerial'!D72</f>
        <v>x-k2-e     Innenmaße 122x64     Außenmaße 160x100</v>
      </c>
      <c r="C685" s="2314"/>
      <c r="D685" s="729" t="str">
        <f>'Lager_&amp;_Montagematerial'!G72</f>
        <v>0906003</v>
      </c>
      <c r="E685" s="2314"/>
      <c r="F685" s="728">
        <f>'Lager_&amp;_Montagematerial'!H72</f>
        <v>0</v>
      </c>
      <c r="G685" s="2314"/>
      <c r="H685" s="729">
        <v>0</v>
      </c>
      <c r="I685" s="2314"/>
      <c r="J685" s="729">
        <v>0</v>
      </c>
      <c r="K685" s="2314"/>
      <c r="L685" s="664"/>
      <c r="M685" s="2314"/>
      <c r="N685" s="663" t="s">
        <v>53</v>
      </c>
      <c r="Q685"/>
      <c r="R685"/>
      <c r="S685"/>
      <c r="T685"/>
      <c r="U685"/>
      <c r="W685" s="3"/>
      <c r="X685" s="3"/>
      <c r="Y685" s="3"/>
      <c r="AB685" s="3"/>
      <c r="AC685" s="3"/>
      <c r="AD685" s="3"/>
      <c r="AO685"/>
      <c r="AP685"/>
      <c r="AQ685"/>
      <c r="AR685"/>
      <c r="AS685"/>
      <c r="AT685"/>
      <c r="BF685" s="2135" t="str">
        <f t="shared" si="88"/>
        <v>0906003</v>
      </c>
      <c r="BG685" s="2135">
        <f t="shared" si="87"/>
        <v>0</v>
      </c>
      <c r="BH685" s="2136" t="s">
        <v>53</v>
      </c>
    </row>
    <row r="686" spans="1:60" x14ac:dyDescent="0.2">
      <c r="A686" s="662" t="s">
        <v>692</v>
      </c>
      <c r="B686" s="1512" t="str">
        <f>'Lager_&amp;_Montagematerial'!D73</f>
        <v>x-k3-e     Innenmaße 162x64     Außenmaße 200x100</v>
      </c>
      <c r="C686" s="2314"/>
      <c r="D686" s="729" t="str">
        <f>'Lager_&amp;_Montagematerial'!G73</f>
        <v>0906004</v>
      </c>
      <c r="E686" s="2314"/>
      <c r="F686" s="728">
        <f>'Lager_&amp;_Montagematerial'!H73</f>
        <v>0</v>
      </c>
      <c r="G686" s="2314"/>
      <c r="H686" s="729">
        <v>0</v>
      </c>
      <c r="I686" s="2314"/>
      <c r="J686" s="729">
        <v>0</v>
      </c>
      <c r="K686" s="2314"/>
      <c r="L686" s="664"/>
      <c r="M686" s="2314"/>
      <c r="N686" s="663" t="s">
        <v>53</v>
      </c>
      <c r="Q686"/>
      <c r="R686"/>
      <c r="S686"/>
      <c r="T686"/>
      <c r="U686"/>
      <c r="W686" s="3"/>
      <c r="X686" s="3"/>
      <c r="Y686" s="3"/>
      <c r="AB686" s="3"/>
      <c r="AC686" s="3"/>
      <c r="AD686" s="3"/>
      <c r="AO686"/>
      <c r="AP686"/>
      <c r="AQ686"/>
      <c r="AR686"/>
      <c r="AS686"/>
      <c r="AT686"/>
      <c r="BF686" s="2135" t="str">
        <f t="shared" si="88"/>
        <v>0906004</v>
      </c>
      <c r="BG686" s="2135">
        <f t="shared" si="87"/>
        <v>0</v>
      </c>
      <c r="BH686" s="2136" t="s">
        <v>53</v>
      </c>
    </row>
    <row r="687" spans="1:60" x14ac:dyDescent="0.2">
      <c r="A687" s="662" t="s">
        <v>692</v>
      </c>
      <c r="B687" s="1512" t="str">
        <f>'Lager_&amp;_Montagematerial'!D74</f>
        <v>x-k4-e     Innenmaße 202x64    Außenmaße 240x100</v>
      </c>
      <c r="C687" s="2314"/>
      <c r="D687" s="729" t="str">
        <f>'Lager_&amp;_Montagematerial'!G74</f>
        <v>0906005</v>
      </c>
      <c r="E687" s="2314"/>
      <c r="F687" s="728">
        <f>'Lager_&amp;_Montagematerial'!H74</f>
        <v>1</v>
      </c>
      <c r="G687" s="2314"/>
      <c r="H687" s="729">
        <v>0</v>
      </c>
      <c r="I687" s="2314"/>
      <c r="J687" s="729">
        <v>0</v>
      </c>
      <c r="K687" s="2314"/>
      <c r="L687" s="664"/>
      <c r="M687" s="2314"/>
      <c r="N687" s="663" t="s">
        <v>53</v>
      </c>
      <c r="Q687"/>
      <c r="R687"/>
      <c r="S687"/>
      <c r="T687"/>
      <c r="U687"/>
      <c r="W687" s="3"/>
      <c r="X687" s="3"/>
      <c r="Y687" s="3"/>
      <c r="AB687" s="3"/>
      <c r="AC687" s="3"/>
      <c r="AD687" s="3"/>
      <c r="AO687"/>
      <c r="AP687"/>
      <c r="AQ687"/>
      <c r="AR687"/>
      <c r="AS687"/>
      <c r="AT687"/>
      <c r="BF687" s="2135" t="str">
        <f t="shared" si="88"/>
        <v>0906005</v>
      </c>
      <c r="BG687" s="2135">
        <f t="shared" si="87"/>
        <v>1</v>
      </c>
      <c r="BH687" s="2136" t="s">
        <v>53</v>
      </c>
    </row>
    <row r="688" spans="1:60" x14ac:dyDescent="0.2">
      <c r="A688" s="662" t="s">
        <v>692</v>
      </c>
      <c r="B688" s="1512" t="str">
        <f>'Lager_&amp;_Montagematerial'!D75</f>
        <v>x-k5-e     Innenmaße 242x70    Außenmaße 280x110</v>
      </c>
      <c r="C688" s="2314"/>
      <c r="D688" s="729" t="str">
        <f>'Lager_&amp;_Montagematerial'!G75</f>
        <v>0906001</v>
      </c>
      <c r="E688" s="2314"/>
      <c r="F688" s="728">
        <f>'Lager_&amp;_Montagematerial'!H75</f>
        <v>0</v>
      </c>
      <c r="G688" s="2314"/>
      <c r="H688" s="729">
        <v>0</v>
      </c>
      <c r="I688" s="2314"/>
      <c r="J688" s="729">
        <v>0</v>
      </c>
      <c r="K688" s="2314"/>
      <c r="L688" s="664"/>
      <c r="M688" s="2314"/>
      <c r="N688" s="663" t="s">
        <v>53</v>
      </c>
      <c r="Q688"/>
      <c r="R688"/>
      <c r="S688"/>
      <c r="T688"/>
      <c r="U688"/>
      <c r="W688" s="3"/>
      <c r="X688" s="3"/>
      <c r="Y688" s="3"/>
      <c r="AB688" s="3"/>
      <c r="AC688" s="3"/>
      <c r="AD688" s="3"/>
      <c r="AO688"/>
      <c r="AP688"/>
      <c r="AQ688"/>
      <c r="AR688"/>
      <c r="AS688"/>
      <c r="AT688"/>
      <c r="BF688" s="2135" t="str">
        <f t="shared" si="88"/>
        <v>0906001</v>
      </c>
      <c r="BG688" s="2135">
        <f t="shared" si="87"/>
        <v>0</v>
      </c>
      <c r="BH688" s="2136" t="s">
        <v>53</v>
      </c>
    </row>
    <row r="689" spans="1:60" x14ac:dyDescent="0.2">
      <c r="A689" s="1600">
        <v>0</v>
      </c>
      <c r="B689" s="1601">
        <v>0</v>
      </c>
      <c r="C689" s="2314"/>
      <c r="D689" s="729">
        <v>0</v>
      </c>
      <c r="E689" s="2314"/>
      <c r="F689" s="728">
        <v>0</v>
      </c>
      <c r="G689" s="2314"/>
      <c r="H689" s="729">
        <v>0</v>
      </c>
      <c r="I689" s="2314"/>
      <c r="J689" s="729">
        <v>0</v>
      </c>
      <c r="K689" s="2314"/>
      <c r="L689" s="1603">
        <v>0</v>
      </c>
      <c r="M689" s="2314"/>
      <c r="N689" s="1602">
        <v>0</v>
      </c>
      <c r="O689" s="1602"/>
      <c r="P689" s="1602"/>
      <c r="Q689" s="1602"/>
      <c r="R689" s="1602"/>
      <c r="S689" s="1602"/>
      <c r="T689" s="1602"/>
      <c r="U689" s="1602"/>
      <c r="V689" s="1602"/>
      <c r="W689" s="729"/>
      <c r="X689" s="729"/>
      <c r="Y689" s="729"/>
      <c r="Z689" s="1602"/>
      <c r="AA689" s="1602"/>
      <c r="AB689" s="729"/>
      <c r="AC689" s="729"/>
      <c r="AD689" s="729"/>
      <c r="AE689" s="1602"/>
      <c r="AF689" s="1602"/>
      <c r="AG689" s="1602"/>
      <c r="AH689" s="1602"/>
      <c r="AI689" s="1602"/>
      <c r="AJ689" s="1602"/>
      <c r="AK689" s="1602"/>
      <c r="AL689" s="1602"/>
      <c r="AM689" s="1602"/>
      <c r="AN689" s="1602"/>
      <c r="AO689" s="1602"/>
      <c r="AP689" s="1602"/>
      <c r="AQ689" s="1602"/>
      <c r="AR689" s="1602"/>
      <c r="AS689" s="1602"/>
      <c r="AT689" s="1602"/>
      <c r="AU689" s="1602"/>
      <c r="AV689" s="1602"/>
      <c r="AW689" s="1602"/>
      <c r="AX689" s="1602"/>
      <c r="AY689" s="1602"/>
      <c r="AZ689" s="1602"/>
      <c r="BA689" s="1602"/>
      <c r="BB689" s="1602"/>
      <c r="BC689" s="1602"/>
      <c r="BD689" s="1602"/>
      <c r="BE689" s="1602"/>
      <c r="BF689" s="1602">
        <v>0</v>
      </c>
      <c r="BG689" s="1602">
        <v>0</v>
      </c>
      <c r="BH689" s="1602">
        <v>0</v>
      </c>
    </row>
    <row r="690" spans="1:60" x14ac:dyDescent="0.2">
      <c r="A690" s="662" t="s">
        <v>692</v>
      </c>
      <c r="B690" s="1512" t="str">
        <f>'Lager_&amp;_Montagematerial'!D77</f>
        <v>Flamro - Spachtelmasse 1kg</v>
      </c>
      <c r="C690" s="2314"/>
      <c r="D690" s="729" t="str">
        <f>'Lager_&amp;_Montagematerial'!G77</f>
        <v>0215001</v>
      </c>
      <c r="E690" s="2314"/>
      <c r="F690" s="728">
        <f>'Lager_&amp;_Montagematerial'!H77</f>
        <v>0</v>
      </c>
      <c r="G690" s="2314"/>
      <c r="H690" s="729">
        <v>0</v>
      </c>
      <c r="I690" s="2314"/>
      <c r="J690" s="729">
        <v>0</v>
      </c>
      <c r="K690" s="2314"/>
      <c r="L690" s="664"/>
      <c r="M690" s="2314"/>
      <c r="N690" s="663" t="s">
        <v>29215</v>
      </c>
      <c r="Q690"/>
      <c r="R690"/>
      <c r="S690"/>
      <c r="T690"/>
      <c r="U690"/>
      <c r="W690" s="3"/>
      <c r="X690" s="3"/>
      <c r="Y690" s="3"/>
      <c r="AB690" s="3"/>
      <c r="AC690" s="3"/>
      <c r="AD690" s="3"/>
      <c r="AO690"/>
      <c r="AP690"/>
      <c r="AQ690"/>
      <c r="AR690"/>
      <c r="AS690"/>
      <c r="AT690"/>
      <c r="BF690" s="2135" t="str">
        <f t="shared" si="88"/>
        <v>0215001</v>
      </c>
      <c r="BG690" s="2135">
        <f t="shared" si="87"/>
        <v>0</v>
      </c>
      <c r="BH690" s="2136" t="s">
        <v>53</v>
      </c>
    </row>
    <row r="691" spans="1:60" x14ac:dyDescent="0.2">
      <c r="A691" s="662" t="s">
        <v>692</v>
      </c>
      <c r="B691" s="1512" t="str">
        <f>'Lager_&amp;_Montagematerial'!D78</f>
        <v>Flamro - Matten , beschichtet 1 Stück 1000mm x 625mm</v>
      </c>
      <c r="C691" s="2314"/>
      <c r="D691" s="729" t="str">
        <f>'Lager_&amp;_Montagematerial'!G78</f>
        <v>0215005</v>
      </c>
      <c r="E691" s="2314"/>
      <c r="F691" s="728">
        <f>'Lager_&amp;_Montagematerial'!H78</f>
        <v>0</v>
      </c>
      <c r="G691" s="2314"/>
      <c r="H691" s="729">
        <v>0</v>
      </c>
      <c r="I691" s="2314"/>
      <c r="J691" s="729">
        <v>0</v>
      </c>
      <c r="K691" s="2314"/>
      <c r="L691" s="664"/>
      <c r="M691" s="2314"/>
      <c r="N691" s="663" t="s">
        <v>53</v>
      </c>
      <c r="Q691"/>
      <c r="R691"/>
      <c r="S691"/>
      <c r="T691"/>
      <c r="U691"/>
      <c r="W691" s="3"/>
      <c r="X691" s="3"/>
      <c r="Y691" s="3"/>
      <c r="AB691" s="3"/>
      <c r="AC691" s="3"/>
      <c r="AD691" s="3"/>
      <c r="AO691"/>
      <c r="AP691"/>
      <c r="AQ691"/>
      <c r="AR691"/>
      <c r="AS691"/>
      <c r="AT691"/>
      <c r="BF691" s="2135" t="str">
        <f t="shared" si="88"/>
        <v>0215005</v>
      </c>
      <c r="BG691" s="2135">
        <f t="shared" si="87"/>
        <v>0</v>
      </c>
      <c r="BH691" s="2136" t="s">
        <v>53</v>
      </c>
    </row>
    <row r="692" spans="1:60" x14ac:dyDescent="0.2">
      <c r="A692" s="662" t="s">
        <v>692</v>
      </c>
      <c r="B692" s="1512" t="str">
        <f>'Lager_&amp;_Montagematerial'!D79</f>
        <v>Flamro - Schottaufkleber</v>
      </c>
      <c r="C692" s="2314"/>
      <c r="D692" s="729" t="str">
        <f>'Lager_&amp;_Montagematerial'!G79</f>
        <v>0215006</v>
      </c>
      <c r="E692" s="2314"/>
      <c r="F692" s="728">
        <f>'Lager_&amp;_Montagematerial'!H79</f>
        <v>0</v>
      </c>
      <c r="G692" s="2314"/>
      <c r="H692" s="729">
        <v>0</v>
      </c>
      <c r="I692" s="2314"/>
      <c r="J692" s="729">
        <v>0</v>
      </c>
      <c r="K692" s="2314"/>
      <c r="L692" s="664"/>
      <c r="M692" s="2314"/>
      <c r="N692" s="663" t="s">
        <v>53</v>
      </c>
      <c r="Q692"/>
      <c r="R692"/>
      <c r="S692"/>
      <c r="T692"/>
      <c r="U692"/>
      <c r="W692" s="3"/>
      <c r="X692" s="3"/>
      <c r="Y692" s="3"/>
      <c r="AB692" s="3"/>
      <c r="AC692" s="3"/>
      <c r="AD692" s="3"/>
      <c r="AO692"/>
      <c r="AP692"/>
      <c r="AQ692"/>
      <c r="AR692"/>
      <c r="AS692"/>
      <c r="AT692"/>
      <c r="BF692" s="2135" t="str">
        <f t="shared" si="88"/>
        <v>0215006</v>
      </c>
      <c r="BG692" s="2135">
        <f t="shared" si="87"/>
        <v>0</v>
      </c>
      <c r="BH692" s="2136" t="s">
        <v>53</v>
      </c>
    </row>
    <row r="693" spans="1:60" x14ac:dyDescent="0.2">
      <c r="A693" s="662" t="s">
        <v>692</v>
      </c>
      <c r="B693" s="1512" t="str">
        <f>'Lager_&amp;_Montagematerial'!D80</f>
        <v>Kite Firefly</v>
      </c>
      <c r="C693" s="2314"/>
      <c r="D693" s="729" t="str">
        <f>'Lager_&amp;_Montagematerial'!G80</f>
        <v>0308586</v>
      </c>
      <c r="E693" s="2314"/>
      <c r="F693" s="728">
        <f>'Lager_&amp;_Montagematerial'!H80</f>
        <v>1</v>
      </c>
      <c r="G693" s="2314"/>
      <c r="H693" s="729">
        <v>0</v>
      </c>
      <c r="I693" s="2314"/>
      <c r="J693" s="729">
        <v>0</v>
      </c>
      <c r="K693" s="2314"/>
      <c r="L693" s="664"/>
      <c r="M693" s="2314"/>
      <c r="N693" s="663" t="s">
        <v>53</v>
      </c>
      <c r="Q693"/>
      <c r="R693"/>
      <c r="S693"/>
      <c r="T693"/>
      <c r="U693"/>
      <c r="W693" s="3"/>
      <c r="X693" s="3"/>
      <c r="Y693" s="3"/>
      <c r="AB693" s="3"/>
      <c r="AC693" s="3"/>
      <c r="AD693" s="3"/>
      <c r="AO693"/>
      <c r="AP693"/>
      <c r="AQ693"/>
      <c r="AR693"/>
      <c r="AS693"/>
      <c r="AT693"/>
      <c r="BF693" s="2135" t="str">
        <f t="shared" si="88"/>
        <v>0308586</v>
      </c>
      <c r="BG693" s="2135">
        <f t="shared" si="87"/>
        <v>1</v>
      </c>
      <c r="BH693" s="2136" t="s">
        <v>53</v>
      </c>
    </row>
    <row r="694" spans="1:60" x14ac:dyDescent="0.2">
      <c r="A694" s="662" t="s">
        <v>692</v>
      </c>
      <c r="B694" s="1512">
        <f>'Lager_&amp;_Montagematerial'!D81</f>
        <v>0</v>
      </c>
      <c r="C694" s="2314"/>
      <c r="D694" s="729">
        <f>'Lager_&amp;_Montagematerial'!G81</f>
        <v>0</v>
      </c>
      <c r="E694" s="2314"/>
      <c r="F694" s="728">
        <f>'Lager_&amp;_Montagematerial'!H81</f>
        <v>0</v>
      </c>
      <c r="G694" s="2314"/>
      <c r="H694" s="729">
        <v>0</v>
      </c>
      <c r="I694" s="2314"/>
      <c r="J694" s="729">
        <v>0</v>
      </c>
      <c r="K694" s="2314"/>
      <c r="L694" s="664"/>
      <c r="M694" s="2314"/>
      <c r="N694" s="663" t="s">
        <v>53</v>
      </c>
      <c r="Q694"/>
      <c r="R694"/>
      <c r="S694"/>
      <c r="T694"/>
      <c r="U694"/>
      <c r="W694" s="3"/>
      <c r="X694" s="3"/>
      <c r="Y694" s="3"/>
      <c r="AB694" s="3"/>
      <c r="AC694" s="3"/>
      <c r="AD694" s="3"/>
      <c r="AO694"/>
      <c r="AP694"/>
      <c r="AQ694"/>
      <c r="AR694"/>
      <c r="AS694"/>
      <c r="AT694"/>
      <c r="BF694" s="2135">
        <f t="shared" si="88"/>
        <v>0</v>
      </c>
      <c r="BG694" s="2135">
        <f t="shared" si="87"/>
        <v>0</v>
      </c>
      <c r="BH694" s="2136" t="s">
        <v>53</v>
      </c>
    </row>
    <row r="695" spans="1:60" x14ac:dyDescent="0.2">
      <c r="A695" s="662" t="s">
        <v>692</v>
      </c>
      <c r="B695" s="1512">
        <f>'Lager_&amp;_Montagematerial'!D82</f>
        <v>0</v>
      </c>
      <c r="C695" s="2314"/>
      <c r="D695" s="729">
        <f>'Lager_&amp;_Montagematerial'!G82</f>
        <v>0</v>
      </c>
      <c r="E695" s="2314"/>
      <c r="F695" s="728">
        <f>'Lager_&amp;_Montagematerial'!H82</f>
        <v>0</v>
      </c>
      <c r="G695" s="2314"/>
      <c r="H695" s="729">
        <v>0</v>
      </c>
      <c r="I695" s="2314"/>
      <c r="J695" s="729">
        <v>0</v>
      </c>
      <c r="K695" s="2314"/>
      <c r="L695" s="664"/>
      <c r="M695" s="2314"/>
      <c r="N695" s="663" t="s">
        <v>53</v>
      </c>
      <c r="Q695"/>
      <c r="R695"/>
      <c r="S695"/>
      <c r="T695"/>
      <c r="U695"/>
      <c r="W695" s="3"/>
      <c r="X695" s="3"/>
      <c r="Y695" s="3"/>
      <c r="AB695" s="3"/>
      <c r="AC695" s="3"/>
      <c r="AD695" s="3"/>
      <c r="AO695"/>
      <c r="AP695"/>
      <c r="AQ695"/>
      <c r="AR695"/>
      <c r="AS695"/>
      <c r="AT695"/>
      <c r="BF695" s="2135">
        <f t="shared" si="88"/>
        <v>0</v>
      </c>
      <c r="BG695" s="2135">
        <f t="shared" ref="BG695:BG752" si="91">F695</f>
        <v>0</v>
      </c>
      <c r="BH695" s="2136" t="s">
        <v>53</v>
      </c>
    </row>
    <row r="696" spans="1:60" x14ac:dyDescent="0.2">
      <c r="A696" s="662" t="s">
        <v>692</v>
      </c>
      <c r="B696" s="1512">
        <f>'Lager_&amp;_Montagematerial'!D83</f>
        <v>0</v>
      </c>
      <c r="C696" s="2314"/>
      <c r="D696" s="729"/>
      <c r="E696" s="2314"/>
      <c r="F696" s="728"/>
      <c r="G696" s="2314"/>
      <c r="H696" s="729">
        <v>0</v>
      </c>
      <c r="I696" s="2314"/>
      <c r="J696" s="729">
        <v>0</v>
      </c>
      <c r="K696" s="2314"/>
      <c r="L696" s="664"/>
      <c r="M696" s="2314"/>
      <c r="N696" s="663" t="s">
        <v>53</v>
      </c>
      <c r="Q696"/>
      <c r="R696"/>
      <c r="S696"/>
      <c r="T696"/>
      <c r="U696"/>
      <c r="W696" s="3"/>
      <c r="X696" s="3"/>
      <c r="Y696" s="3"/>
      <c r="AB696" s="3"/>
      <c r="AC696" s="3"/>
      <c r="AD696" s="3"/>
      <c r="AO696"/>
      <c r="AP696"/>
      <c r="AQ696"/>
      <c r="AR696"/>
      <c r="AS696"/>
      <c r="AT696"/>
      <c r="BF696" s="2135">
        <f t="shared" ref="BF696:BF753" si="92">D696</f>
        <v>0</v>
      </c>
      <c r="BG696" s="2135">
        <f t="shared" si="91"/>
        <v>0</v>
      </c>
      <c r="BH696" s="2136" t="s">
        <v>53</v>
      </c>
    </row>
    <row r="697" spans="1:60" x14ac:dyDescent="0.2">
      <c r="A697" s="662" t="s">
        <v>692</v>
      </c>
      <c r="B697" s="1512">
        <f>'Lager_&amp;_Montagematerial'!D84</f>
        <v>0</v>
      </c>
      <c r="C697" s="2314"/>
      <c r="D697" s="729">
        <f>'Lager_&amp;_Montagematerial'!G84</f>
        <v>0</v>
      </c>
      <c r="E697" s="2314"/>
      <c r="F697" s="728">
        <f>'Lager_&amp;_Montagematerial'!H84</f>
        <v>0</v>
      </c>
      <c r="G697" s="2314"/>
      <c r="H697" s="729">
        <v>0</v>
      </c>
      <c r="I697" s="2314"/>
      <c r="J697" s="729">
        <v>0</v>
      </c>
      <c r="K697" s="2314"/>
      <c r="L697" s="664"/>
      <c r="M697" s="2314"/>
      <c r="N697" s="663" t="s">
        <v>53</v>
      </c>
      <c r="Q697"/>
      <c r="R697"/>
      <c r="S697"/>
      <c r="T697"/>
      <c r="U697"/>
      <c r="W697" s="3"/>
      <c r="X697" s="3"/>
      <c r="Y697" s="3"/>
      <c r="AB697" s="3"/>
      <c r="AC697" s="3"/>
      <c r="AD697" s="3"/>
      <c r="AO697"/>
      <c r="AP697"/>
      <c r="AQ697"/>
      <c r="AR697"/>
      <c r="AS697"/>
      <c r="AT697"/>
      <c r="BF697" s="2135">
        <f t="shared" si="92"/>
        <v>0</v>
      </c>
      <c r="BG697" s="2135">
        <f t="shared" si="91"/>
        <v>0</v>
      </c>
      <c r="BH697" s="2136" t="s">
        <v>53</v>
      </c>
    </row>
    <row r="698" spans="1:60" x14ac:dyDescent="0.2">
      <c r="A698" s="662" t="s">
        <v>692</v>
      </c>
      <c r="B698" s="1512">
        <f>'Lager_&amp;_Montagematerial'!E85</f>
        <v>0</v>
      </c>
      <c r="C698" s="2314"/>
      <c r="D698" s="729">
        <f>'Lager_&amp;_Montagematerial'!G85</f>
        <v>0</v>
      </c>
      <c r="E698" s="2314"/>
      <c r="F698" s="728">
        <f>'Lager_&amp;_Montagematerial'!H85</f>
        <v>0</v>
      </c>
      <c r="G698" s="2314"/>
      <c r="H698" s="729">
        <v>0</v>
      </c>
      <c r="I698" s="2314"/>
      <c r="J698" s="729">
        <v>0</v>
      </c>
      <c r="K698" s="2314"/>
      <c r="L698" s="664"/>
      <c r="M698" s="2314"/>
      <c r="N698" s="663" t="s">
        <v>53</v>
      </c>
      <c r="Q698"/>
      <c r="R698">
        <f>'Lager_&amp;_Montagematerial'!C85</f>
        <v>0</v>
      </c>
      <c r="S698"/>
      <c r="T698"/>
      <c r="U698"/>
      <c r="W698" s="3"/>
      <c r="X698" s="3"/>
      <c r="Y698" s="3"/>
      <c r="AB698" s="3"/>
      <c r="AC698" s="3"/>
      <c r="AD698" s="3"/>
      <c r="AO698"/>
      <c r="AP698"/>
      <c r="AQ698"/>
      <c r="AR698"/>
      <c r="AS698"/>
      <c r="AT698"/>
      <c r="BF698" s="2135">
        <f t="shared" si="92"/>
        <v>0</v>
      </c>
      <c r="BG698" s="2135">
        <f t="shared" si="91"/>
        <v>0</v>
      </c>
      <c r="BH698" s="2136" t="s">
        <v>53</v>
      </c>
    </row>
    <row r="699" spans="1:60" x14ac:dyDescent="0.2">
      <c r="A699" s="662" t="s">
        <v>692</v>
      </c>
      <c r="B699" s="1512" t="str">
        <f>'Lager_&amp;_Montagematerial'!E86</f>
        <v>Montageanleitung (Deutsch)</v>
      </c>
      <c r="C699" s="2314"/>
      <c r="D699" s="729">
        <f>'Lager_&amp;_Montagematerial'!G86</f>
        <v>4000152</v>
      </c>
      <c r="E699" s="2314"/>
      <c r="F699" s="728">
        <f>'Lager_&amp;_Montagematerial'!H86</f>
        <v>0</v>
      </c>
      <c r="G699" s="2314"/>
      <c r="H699" s="729">
        <v>0</v>
      </c>
      <c r="I699" s="2314"/>
      <c r="J699" s="729">
        <v>0</v>
      </c>
      <c r="K699" s="2314"/>
      <c r="L699" s="664"/>
      <c r="M699" s="2314"/>
      <c r="N699" s="663" t="s">
        <v>53</v>
      </c>
      <c r="Q699"/>
      <c r="R699">
        <f>'Lager_&amp;_Montagematerial'!C86</f>
        <v>0</v>
      </c>
      <c r="S699"/>
      <c r="T699"/>
      <c r="U699"/>
      <c r="W699" s="3"/>
      <c r="X699" s="3"/>
      <c r="Y699" s="3"/>
      <c r="AB699" s="3"/>
      <c r="AC699" s="3"/>
      <c r="AD699" s="3"/>
      <c r="AO699"/>
      <c r="AP699"/>
      <c r="AQ699"/>
      <c r="AR699"/>
      <c r="AS699"/>
      <c r="AT699"/>
      <c r="BF699" s="2135">
        <f t="shared" si="92"/>
        <v>4000152</v>
      </c>
      <c r="BG699" s="2135">
        <f t="shared" si="91"/>
        <v>0</v>
      </c>
      <c r="BH699" s="2136" t="s">
        <v>53</v>
      </c>
    </row>
    <row r="700" spans="1:60" x14ac:dyDescent="0.2">
      <c r="A700" s="662" t="s">
        <v>692</v>
      </c>
      <c r="B700" s="1512" t="str">
        <f>'Lager_&amp;_Montagematerial'!E87</f>
        <v>Montageanleitung (Englisch)</v>
      </c>
      <c r="C700" s="2314"/>
      <c r="D700" s="729">
        <f>'Lager_&amp;_Montagematerial'!G87</f>
        <v>4000153</v>
      </c>
      <c r="E700" s="2314"/>
      <c r="F700" s="728">
        <f>'Lager_&amp;_Montagematerial'!H87</f>
        <v>0</v>
      </c>
      <c r="G700" s="2314"/>
      <c r="H700" s="729">
        <v>0</v>
      </c>
      <c r="I700" s="2314"/>
      <c r="J700" s="729">
        <v>0</v>
      </c>
      <c r="K700" s="2314"/>
      <c r="L700" s="664"/>
      <c r="M700" s="2314"/>
      <c r="N700" s="663" t="s">
        <v>53</v>
      </c>
      <c r="Q700"/>
      <c r="R700">
        <f>'Lager_&amp;_Montagematerial'!C87</f>
        <v>0</v>
      </c>
      <c r="S700"/>
      <c r="T700"/>
      <c r="U700"/>
      <c r="W700" s="3"/>
      <c r="X700" s="3"/>
      <c r="Y700" s="3"/>
      <c r="AB700" s="3"/>
      <c r="AC700" s="3"/>
      <c r="AD700" s="3"/>
      <c r="AO700"/>
      <c r="AP700"/>
      <c r="AQ700"/>
      <c r="AR700"/>
      <c r="AS700"/>
      <c r="AT700"/>
      <c r="BF700" s="2135">
        <f t="shared" si="92"/>
        <v>4000153</v>
      </c>
      <c r="BG700" s="2135">
        <f t="shared" si="91"/>
        <v>0</v>
      </c>
      <c r="BH700" s="2136" t="s">
        <v>53</v>
      </c>
    </row>
    <row r="701" spans="1:60" x14ac:dyDescent="0.2">
      <c r="A701" s="662" t="s">
        <v>692</v>
      </c>
      <c r="B701" s="1512" t="str">
        <f>'Lager_&amp;_Montagematerial'!E88</f>
        <v>Montageanleitung (Spanisch)</v>
      </c>
      <c r="C701" s="2314"/>
      <c r="D701" s="729">
        <f>'Lager_&amp;_Montagematerial'!G88</f>
        <v>4000095</v>
      </c>
      <c r="E701" s="2314"/>
      <c r="F701" s="728">
        <f>'Lager_&amp;_Montagematerial'!H88</f>
        <v>0</v>
      </c>
      <c r="G701" s="2314"/>
      <c r="H701" s="729">
        <v>0</v>
      </c>
      <c r="I701" s="2314"/>
      <c r="J701" s="729">
        <v>0</v>
      </c>
      <c r="K701" s="2314"/>
      <c r="L701" s="664"/>
      <c r="M701" s="2314"/>
      <c r="N701" s="663" t="s">
        <v>53</v>
      </c>
      <c r="Q701"/>
      <c r="R701">
        <f>'Lager_&amp;_Montagematerial'!C88</f>
        <v>0</v>
      </c>
      <c r="S701"/>
      <c r="T701"/>
      <c r="U701"/>
      <c r="W701" s="3"/>
      <c r="X701" s="3"/>
      <c r="Y701" s="3"/>
      <c r="AB701" s="3"/>
      <c r="AC701" s="3"/>
      <c r="AD701" s="3"/>
      <c r="AO701"/>
      <c r="AP701"/>
      <c r="AQ701"/>
      <c r="AR701"/>
      <c r="AS701"/>
      <c r="AT701"/>
      <c r="BF701" s="2135">
        <f t="shared" si="92"/>
        <v>4000095</v>
      </c>
      <c r="BG701" s="2135">
        <f t="shared" si="91"/>
        <v>0</v>
      </c>
      <c r="BH701" s="2136" t="s">
        <v>53</v>
      </c>
    </row>
    <row r="702" spans="1:60" x14ac:dyDescent="0.2">
      <c r="A702" s="662" t="s">
        <v>692</v>
      </c>
      <c r="B702" s="1512" t="str">
        <f>'Lager_&amp;_Montagematerial'!E89</f>
        <v>Aufkleber stapelbar de/en</v>
      </c>
      <c r="C702" s="2314"/>
      <c r="D702" s="729">
        <f>'Lager_&amp;_Montagematerial'!G89</f>
        <v>4002003</v>
      </c>
      <c r="E702" s="2314"/>
      <c r="F702" s="728">
        <f>'Lager_&amp;_Montagematerial'!H89</f>
        <v>2</v>
      </c>
      <c r="G702" s="2314"/>
      <c r="H702" s="729">
        <v>0</v>
      </c>
      <c r="I702" s="2314"/>
      <c r="J702" s="729">
        <v>0</v>
      </c>
      <c r="K702" s="2314"/>
      <c r="L702" s="664"/>
      <c r="M702" s="2314"/>
      <c r="N702" s="663" t="s">
        <v>53</v>
      </c>
      <c r="Q702"/>
      <c r="R702" t="str">
        <f>'Lager_&amp;_Montagematerial'!C89</f>
        <v>Aufkleber für Palette</v>
      </c>
      <c r="S702"/>
      <c r="T702"/>
      <c r="U702"/>
      <c r="W702" s="3"/>
      <c r="X702" s="3"/>
      <c r="Y702" s="3"/>
      <c r="AB702" s="3"/>
      <c r="AC702" s="3"/>
      <c r="AD702" s="3"/>
      <c r="AO702"/>
      <c r="AP702"/>
      <c r="AQ702"/>
      <c r="AR702"/>
      <c r="AS702"/>
      <c r="AT702"/>
      <c r="BF702" s="2135">
        <f t="shared" si="92"/>
        <v>4002003</v>
      </c>
      <c r="BG702" s="2135">
        <f t="shared" si="91"/>
        <v>2</v>
      </c>
      <c r="BH702" s="2136" t="s">
        <v>53</v>
      </c>
    </row>
    <row r="703" spans="1:60" x14ac:dyDescent="0.2">
      <c r="A703" s="662" t="s">
        <v>692</v>
      </c>
      <c r="B703" s="1512" t="str">
        <f>'Lager_&amp;_Montagematerial'!E90</f>
        <v>Aufkleber Werbung Stöbich de/en</v>
      </c>
      <c r="C703" s="2314"/>
      <c r="D703" s="729" t="str">
        <f>'Lager_&amp;_Montagematerial'!G90</f>
        <v>4002001</v>
      </c>
      <c r="E703" s="2314"/>
      <c r="F703" s="728">
        <f>'Lager_&amp;_Montagematerial'!H90</f>
        <v>2</v>
      </c>
      <c r="G703" s="2314"/>
      <c r="H703" s="729">
        <v>0</v>
      </c>
      <c r="I703" s="2314"/>
      <c r="J703" s="729">
        <v>0</v>
      </c>
      <c r="K703" s="2314"/>
      <c r="L703" s="664"/>
      <c r="M703" s="2314"/>
      <c r="N703" s="663" t="s">
        <v>53</v>
      </c>
      <c r="Q703"/>
      <c r="R703" t="str">
        <f>'Lager_&amp;_Montagematerial'!C90</f>
        <v>Aufkleber für Palette</v>
      </c>
      <c r="S703"/>
      <c r="T703"/>
      <c r="U703"/>
      <c r="W703" s="3"/>
      <c r="X703" s="3"/>
      <c r="Y703" s="3"/>
      <c r="AB703" s="3"/>
      <c r="AC703" s="3"/>
      <c r="AD703" s="3"/>
      <c r="AO703"/>
      <c r="AP703"/>
      <c r="AQ703"/>
      <c r="AR703"/>
      <c r="AS703"/>
      <c r="AT703"/>
      <c r="BF703" s="2135" t="str">
        <f t="shared" si="92"/>
        <v>4002001</v>
      </c>
      <c r="BG703" s="2135">
        <f t="shared" si="91"/>
        <v>2</v>
      </c>
      <c r="BH703" s="2136" t="s">
        <v>53</v>
      </c>
    </row>
    <row r="704" spans="1:60" x14ac:dyDescent="0.2">
      <c r="A704" s="662" t="s">
        <v>692</v>
      </c>
      <c r="B704" s="1512" t="str">
        <f>'Lager_&amp;_Montagematerial'!E91</f>
        <v>"Kein Hochdruckreiniger"</v>
      </c>
      <c r="C704" s="2314"/>
      <c r="D704" s="729" t="str">
        <f>'Lager_&amp;_Montagematerial'!G91</f>
        <v>0708177</v>
      </c>
      <c r="E704" s="2314"/>
      <c r="F704" s="728">
        <f>'Lager_&amp;_Montagematerial'!H91</f>
        <v>2</v>
      </c>
      <c r="G704" s="2314"/>
      <c r="H704" s="729">
        <v>0</v>
      </c>
      <c r="I704" s="2314"/>
      <c r="J704" s="729">
        <v>0</v>
      </c>
      <c r="K704" s="2314"/>
      <c r="L704" s="664"/>
      <c r="M704" s="2314"/>
      <c r="N704" s="663" t="s">
        <v>53</v>
      </c>
      <c r="Q704"/>
      <c r="R704">
        <f>'Lager_&amp;_Montagematerial'!C91</f>
        <v>0</v>
      </c>
      <c r="S704"/>
      <c r="T704"/>
      <c r="U704"/>
      <c r="W704" s="3"/>
      <c r="X704" s="3"/>
      <c r="Y704" s="3"/>
      <c r="AB704" s="3"/>
      <c r="AC704" s="3"/>
      <c r="AD704" s="3"/>
      <c r="AO704"/>
      <c r="AP704"/>
      <c r="AQ704"/>
      <c r="AR704"/>
      <c r="AS704"/>
      <c r="AT704"/>
      <c r="BF704" s="2135" t="str">
        <f t="shared" si="92"/>
        <v>0708177</v>
      </c>
      <c r="BG704" s="2135">
        <f t="shared" si="91"/>
        <v>2</v>
      </c>
      <c r="BH704" s="2136" t="s">
        <v>53</v>
      </c>
    </row>
    <row r="705" spans="1:60" x14ac:dyDescent="0.2">
      <c r="A705" s="662" t="s">
        <v>692</v>
      </c>
      <c r="B705" s="1512" t="str">
        <f>'Lager_&amp;_Montagematerial'!E92</f>
        <v>Aufkleber FAA Schließbereich freihalten deutsch</v>
      </c>
      <c r="C705" s="2314"/>
      <c r="D705" s="729" t="str">
        <f>'Lager_&amp;_Montagematerial'!G92</f>
        <v>4002052</v>
      </c>
      <c r="E705" s="2314"/>
      <c r="F705" s="728">
        <f>'Lager_&amp;_Montagematerial'!H92</f>
        <v>2</v>
      </c>
      <c r="G705" s="2314"/>
      <c r="H705" s="729">
        <v>0</v>
      </c>
      <c r="I705" s="2314"/>
      <c r="J705" s="729">
        <v>0</v>
      </c>
      <c r="K705" s="2314"/>
      <c r="L705" s="664"/>
      <c r="M705" s="2314"/>
      <c r="N705" s="663" t="s">
        <v>53</v>
      </c>
      <c r="Q705"/>
      <c r="R705">
        <f>'Lager_&amp;_Montagematerial'!C92</f>
        <v>0</v>
      </c>
      <c r="S705"/>
      <c r="T705"/>
      <c r="U705"/>
      <c r="W705" s="3"/>
      <c r="X705" s="3"/>
      <c r="Y705" s="3"/>
      <c r="AB705" s="3"/>
      <c r="AC705" s="3"/>
      <c r="AD705" s="3"/>
      <c r="AO705"/>
      <c r="AP705"/>
      <c r="AQ705"/>
      <c r="AR705"/>
      <c r="AS705"/>
      <c r="AT705"/>
      <c r="BF705" s="2135" t="str">
        <f t="shared" si="92"/>
        <v>4002052</v>
      </c>
      <c r="BG705" s="2135">
        <f t="shared" si="91"/>
        <v>2</v>
      </c>
      <c r="BH705" s="2136" t="s">
        <v>53</v>
      </c>
    </row>
    <row r="706" spans="1:60" x14ac:dyDescent="0.2">
      <c r="A706" s="662" t="s">
        <v>692</v>
      </c>
      <c r="B706" s="1512" t="str">
        <f>'Lager_&amp;_Montagematerial'!E93</f>
        <v>Spanplattenschraube Halbrundkopf 5x45</v>
      </c>
      <c r="C706" s="2314"/>
      <c r="D706" s="729" t="str">
        <f>'Lager_&amp;_Montagematerial'!G93</f>
        <v>0115023</v>
      </c>
      <c r="E706" s="2314"/>
      <c r="F706" s="728">
        <f>'Lager_&amp;_Montagematerial'!H93</f>
        <v>6</v>
      </c>
      <c r="G706" s="2314"/>
      <c r="H706" s="729">
        <v>0</v>
      </c>
      <c r="I706" s="2314"/>
      <c r="J706" s="729">
        <v>0</v>
      </c>
      <c r="K706" s="2314"/>
      <c r="L706" s="664"/>
      <c r="M706" s="2314"/>
      <c r="N706" s="663" t="s">
        <v>53</v>
      </c>
      <c r="Q706"/>
      <c r="R706" t="str">
        <f>'Lager_&amp;_Montagematerial'!C93</f>
        <v>Verbindung Konsolen / Auflaufplatten</v>
      </c>
      <c r="S706"/>
      <c r="T706"/>
      <c r="U706"/>
      <c r="W706" s="3"/>
      <c r="X706" s="3"/>
      <c r="Y706" s="3"/>
      <c r="AB706" s="3"/>
      <c r="AC706" s="3"/>
      <c r="AD706" s="3"/>
      <c r="AO706"/>
      <c r="AP706"/>
      <c r="AQ706"/>
      <c r="AR706"/>
      <c r="AS706"/>
      <c r="AT706"/>
      <c r="BF706" s="2135" t="str">
        <f t="shared" si="92"/>
        <v>0115023</v>
      </c>
      <c r="BG706" s="2135">
        <f t="shared" si="91"/>
        <v>6</v>
      </c>
      <c r="BH706" s="2136" t="s">
        <v>53</v>
      </c>
    </row>
    <row r="707" spans="1:60" x14ac:dyDescent="0.2">
      <c r="A707" s="662" t="s">
        <v>692</v>
      </c>
      <c r="B707" s="1512" t="str">
        <f>'Lager_&amp;_Montagematerial'!E94</f>
        <v>Blindniet Flachkopf 5x16</v>
      </c>
      <c r="C707" s="2314"/>
      <c r="D707" s="729" t="str">
        <f>'Lager_&amp;_Montagematerial'!G94</f>
        <v>0107051</v>
      </c>
      <c r="E707" s="2314"/>
      <c r="F707" s="728">
        <f>'Lager_&amp;_Montagematerial'!H94</f>
        <v>10</v>
      </c>
      <c r="G707" s="2314"/>
      <c r="H707" s="729">
        <v>0</v>
      </c>
      <c r="I707" s="2314"/>
      <c r="J707" s="729">
        <v>0</v>
      </c>
      <c r="K707" s="2314"/>
      <c r="L707" s="664"/>
      <c r="M707" s="2314"/>
      <c r="N707" s="663" t="s">
        <v>53</v>
      </c>
      <c r="Q707"/>
      <c r="R707" t="str">
        <f>'Lager_&amp;_Montagematerial'!C94</f>
        <v>Verbindung Festfeldbefw./Festfeldhalter</v>
      </c>
      <c r="S707"/>
      <c r="T707"/>
      <c r="U707"/>
      <c r="W707" s="3"/>
      <c r="X707" s="3"/>
      <c r="Y707" s="3"/>
      <c r="AB707" s="3"/>
      <c r="AC707" s="3"/>
      <c r="AD707" s="3"/>
      <c r="AO707"/>
      <c r="AP707"/>
      <c r="AQ707"/>
      <c r="AR707"/>
      <c r="AS707"/>
      <c r="AT707"/>
      <c r="BF707" s="2135" t="str">
        <f t="shared" ref="BF707" si="93">D707</f>
        <v>0107051</v>
      </c>
      <c r="BG707" s="2135">
        <f t="shared" ref="BG707" si="94">F707</f>
        <v>10</v>
      </c>
      <c r="BH707" s="2136" t="s">
        <v>53</v>
      </c>
    </row>
    <row r="708" spans="1:60" x14ac:dyDescent="0.2">
      <c r="A708" s="662" t="s">
        <v>692</v>
      </c>
      <c r="B708" s="1512" t="str">
        <f>'Lager_&amp;_Montagematerial'!E95</f>
        <v>Auftragswalze für Dispersionsfarbe</v>
      </c>
      <c r="C708" s="2314"/>
      <c r="D708" s="729" t="str">
        <f>'Lager_&amp;_Montagematerial'!G95</f>
        <v>0902010</v>
      </c>
      <c r="E708" s="2314"/>
      <c r="F708" s="728">
        <f>'Lager_&amp;_Montagematerial'!H95</f>
        <v>1</v>
      </c>
      <c r="G708" s="2314"/>
      <c r="H708" s="729">
        <v>0</v>
      </c>
      <c r="I708" s="2314"/>
      <c r="J708" s="729">
        <v>0</v>
      </c>
      <c r="K708" s="2314"/>
      <c r="L708" s="664"/>
      <c r="M708" s="2314"/>
      <c r="N708" s="663" t="s">
        <v>53</v>
      </c>
      <c r="Q708"/>
      <c r="R708" t="str">
        <f>'Lager_&amp;_Montagematerial'!C95</f>
        <v>Auftragswalze für Dispersionsfarbe</v>
      </c>
      <c r="S708"/>
      <c r="T708"/>
      <c r="U708"/>
      <c r="W708" s="3"/>
      <c r="X708" s="3"/>
      <c r="Y708" s="3"/>
      <c r="AB708" s="3"/>
      <c r="AC708" s="3"/>
      <c r="AD708" s="3"/>
      <c r="AO708"/>
      <c r="AP708"/>
      <c r="AQ708"/>
      <c r="AR708"/>
      <c r="AS708"/>
      <c r="AT708"/>
      <c r="BF708" s="2135" t="str">
        <f t="shared" si="92"/>
        <v>0902010</v>
      </c>
      <c r="BG708" s="2135">
        <f t="shared" si="91"/>
        <v>1</v>
      </c>
      <c r="BH708" s="2136" t="s">
        <v>53</v>
      </c>
    </row>
    <row r="709" spans="1:60" x14ac:dyDescent="0.2">
      <c r="A709" s="662" t="s">
        <v>692</v>
      </c>
      <c r="B709" s="1512" t="str">
        <f>'Lager_&amp;_Montagematerial'!E96</f>
        <v>Sechskantholzschraube 6 x 40</v>
      </c>
      <c r="C709" s="2314"/>
      <c r="D709" s="729" t="str">
        <f>'Lager_&amp;_Montagematerial'!G96</f>
        <v>0120002</v>
      </c>
      <c r="E709" s="2314"/>
      <c r="F709" s="728">
        <f>'Lager_&amp;_Montagematerial'!H96</f>
        <v>0</v>
      </c>
      <c r="G709" s="2314"/>
      <c r="H709" s="729">
        <v>0</v>
      </c>
      <c r="I709" s="2314"/>
      <c r="J709" s="729">
        <v>0</v>
      </c>
      <c r="K709" s="2314"/>
      <c r="L709" s="664"/>
      <c r="M709" s="2314"/>
      <c r="N709" s="663" t="s">
        <v>53</v>
      </c>
      <c r="Q709"/>
      <c r="R709" t="str">
        <f>'Lager_&amp;_Montagematerial'!C96</f>
        <v>Befestigung Gewichtskasten</v>
      </c>
      <c r="S709"/>
      <c r="T709"/>
      <c r="U709"/>
      <c r="W709" s="3"/>
      <c r="X709" s="3"/>
      <c r="Y709" s="3"/>
      <c r="AB709" s="3"/>
      <c r="AC709" s="3"/>
      <c r="AD709" s="3"/>
      <c r="AO709"/>
      <c r="AP709"/>
      <c r="AQ709"/>
      <c r="AR709"/>
      <c r="AS709"/>
      <c r="AT709"/>
      <c r="BF709" s="2135" t="str">
        <f t="shared" si="92"/>
        <v>0120002</v>
      </c>
      <c r="BG709" s="2135">
        <f t="shared" si="91"/>
        <v>0</v>
      </c>
      <c r="BH709" s="2136" t="s">
        <v>53</v>
      </c>
    </row>
    <row r="710" spans="1:60" x14ac:dyDescent="0.2">
      <c r="A710" s="662" t="s">
        <v>692</v>
      </c>
      <c r="B710" s="1512" t="str">
        <f>'Lager_&amp;_Montagematerial'!E97</f>
        <v>Fischerdübel S8</v>
      </c>
      <c r="C710" s="2314"/>
      <c r="D710" s="729" t="str">
        <f>'Lager_&amp;_Montagematerial'!G97</f>
        <v>0126110</v>
      </c>
      <c r="E710" s="2314"/>
      <c r="F710" s="728">
        <f>'Lager_&amp;_Montagematerial'!H97</f>
        <v>0</v>
      </c>
      <c r="G710" s="2314"/>
      <c r="H710" s="729">
        <v>0</v>
      </c>
      <c r="I710" s="2314"/>
      <c r="J710" s="729">
        <v>0</v>
      </c>
      <c r="K710" s="2314"/>
      <c r="L710" s="664"/>
      <c r="M710" s="2314"/>
      <c r="N710" s="663" t="s">
        <v>53</v>
      </c>
      <c r="Q710"/>
      <c r="R710" t="str">
        <f>'Lager_&amp;_Montagematerial'!C97</f>
        <v>Befestigung Gewichtskasten</v>
      </c>
      <c r="S710"/>
      <c r="T710"/>
      <c r="U710"/>
      <c r="W710" s="3"/>
      <c r="X710" s="3"/>
      <c r="Y710" s="3"/>
      <c r="AB710" s="3"/>
      <c r="AC710" s="3"/>
      <c r="AD710" s="3"/>
      <c r="AO710"/>
      <c r="AP710"/>
      <c r="AQ710"/>
      <c r="AR710"/>
      <c r="AS710"/>
      <c r="AT710"/>
      <c r="BF710" s="2135" t="str">
        <f t="shared" si="92"/>
        <v>0126110</v>
      </c>
      <c r="BG710" s="2135">
        <f t="shared" si="91"/>
        <v>0</v>
      </c>
      <c r="BH710" s="2136" t="s">
        <v>53</v>
      </c>
    </row>
    <row r="711" spans="1:60" x14ac:dyDescent="0.2">
      <c r="A711" s="662" t="s">
        <v>692</v>
      </c>
      <c r="B711" s="1512" t="str">
        <f>'Lager_&amp;_Montagematerial'!E98</f>
        <v>Karrosseriescheibe d 6,4mm   DIN 9021</v>
      </c>
      <c r="C711" s="2314"/>
      <c r="D711" s="729" t="str">
        <f>'Lager_&amp;_Montagematerial'!G98</f>
        <v>0125020</v>
      </c>
      <c r="E711" s="2314"/>
      <c r="F711" s="728">
        <f>'Lager_&amp;_Montagematerial'!H98</f>
        <v>0</v>
      </c>
      <c r="G711" s="2314"/>
      <c r="H711" s="729">
        <v>0</v>
      </c>
      <c r="I711" s="2314"/>
      <c r="J711" s="729">
        <v>0</v>
      </c>
      <c r="K711" s="2314"/>
      <c r="L711" s="664"/>
      <c r="M711" s="2314"/>
      <c r="N711" s="663" t="s">
        <v>53</v>
      </c>
      <c r="Q711"/>
      <c r="R711" t="str">
        <f>'Lager_&amp;_Montagematerial'!C98</f>
        <v>Befestigung Gewichtskasten</v>
      </c>
      <c r="S711"/>
      <c r="T711"/>
      <c r="U711"/>
      <c r="W711" s="3"/>
      <c r="X711" s="3"/>
      <c r="Y711" s="3"/>
      <c r="AB711" s="3"/>
      <c r="AC711" s="3"/>
      <c r="AD711" s="3"/>
      <c r="AO711"/>
      <c r="AP711"/>
      <c r="AQ711"/>
      <c r="AR711"/>
      <c r="AS711"/>
      <c r="AT711"/>
      <c r="BF711" s="2135" t="str">
        <f t="shared" si="92"/>
        <v>0125020</v>
      </c>
      <c r="BG711" s="2135">
        <f t="shared" si="91"/>
        <v>0</v>
      </c>
      <c r="BH711" s="2136" t="s">
        <v>53</v>
      </c>
    </row>
    <row r="712" spans="1:60" x14ac:dyDescent="0.2">
      <c r="A712" s="662" t="s">
        <v>692</v>
      </c>
      <c r="B712" s="1512" t="str">
        <f>'Lager_&amp;_Montagematerial'!E99</f>
        <v>Schnellbauschraube mit Bohrspitze 3,5 x 35</v>
      </c>
      <c r="C712" s="2314"/>
      <c r="D712" s="729" t="str">
        <f>'Lager_&amp;_Montagematerial'!G99</f>
        <v>0123025</v>
      </c>
      <c r="E712" s="2314"/>
      <c r="F712" s="728">
        <f>'Lager_&amp;_Montagematerial'!H99</f>
        <v>100</v>
      </c>
      <c r="G712" s="2314"/>
      <c r="H712" s="729">
        <v>0</v>
      </c>
      <c r="I712" s="2314"/>
      <c r="J712" s="729">
        <v>0</v>
      </c>
      <c r="K712" s="2314"/>
      <c r="L712" s="664"/>
      <c r="M712" s="2314"/>
      <c r="N712" s="663" t="s">
        <v>53</v>
      </c>
      <c r="Q712"/>
      <c r="R712" t="str">
        <f>'Lager_&amp;_Montagematerial'!C99</f>
        <v>Verbindung Schieberblattelemente</v>
      </c>
      <c r="S712"/>
      <c r="T712"/>
      <c r="U712"/>
      <c r="W712" s="3"/>
      <c r="X712" s="3"/>
      <c r="Y712" s="3"/>
      <c r="AB712" s="3"/>
      <c r="AC712" s="3"/>
      <c r="AD712" s="3"/>
      <c r="AO712"/>
      <c r="AP712"/>
      <c r="AQ712"/>
      <c r="AR712"/>
      <c r="AS712"/>
      <c r="AT712"/>
      <c r="BF712" s="2135" t="str">
        <f t="shared" si="92"/>
        <v>0123025</v>
      </c>
      <c r="BG712" s="2135">
        <f t="shared" si="91"/>
        <v>100</v>
      </c>
      <c r="BH712" s="2136" t="s">
        <v>53</v>
      </c>
    </row>
    <row r="713" spans="1:60" x14ac:dyDescent="0.2">
      <c r="A713" s="662" t="s">
        <v>692</v>
      </c>
      <c r="B713" s="1512">
        <f>'Lager_&amp;_Montagematerial'!E100</f>
        <v>0</v>
      </c>
      <c r="C713" s="2314"/>
      <c r="D713" s="729">
        <f>'Lager_&amp;_Montagematerial'!G100</f>
        <v>0</v>
      </c>
      <c r="E713" s="2314"/>
      <c r="F713" s="728">
        <f>'Lager_&amp;_Montagematerial'!H100</f>
        <v>0</v>
      </c>
      <c r="G713" s="2314"/>
      <c r="H713" s="729">
        <v>0</v>
      </c>
      <c r="I713" s="2314"/>
      <c r="J713" s="729">
        <v>0</v>
      </c>
      <c r="K713" s="2314"/>
      <c r="L713" s="664"/>
      <c r="M713" s="2314"/>
      <c r="N713" s="663" t="s">
        <v>53</v>
      </c>
      <c r="Q713"/>
      <c r="R713">
        <f>'Lager_&amp;_Montagematerial'!C100</f>
        <v>0</v>
      </c>
      <c r="S713"/>
      <c r="T713"/>
      <c r="U713"/>
      <c r="W713" s="3"/>
      <c r="X713" s="3"/>
      <c r="Y713" s="3"/>
      <c r="AB713" s="3"/>
      <c r="AC713" s="3"/>
      <c r="AD713" s="3"/>
      <c r="AO713"/>
      <c r="AP713"/>
      <c r="AQ713"/>
      <c r="AR713"/>
      <c r="AS713"/>
      <c r="AT713"/>
      <c r="BF713" s="2135">
        <f t="shared" si="92"/>
        <v>0</v>
      </c>
      <c r="BG713" s="2135">
        <f t="shared" si="91"/>
        <v>0</v>
      </c>
      <c r="BH713" s="2136" t="s">
        <v>53</v>
      </c>
    </row>
    <row r="714" spans="1:60" x14ac:dyDescent="0.2">
      <c r="A714" s="662" t="s">
        <v>692</v>
      </c>
      <c r="B714" s="1512">
        <f>'Lager_&amp;_Montagematerial'!E101</f>
        <v>0</v>
      </c>
      <c r="C714" s="2314"/>
      <c r="D714" s="729">
        <f>'Lager_&amp;_Montagematerial'!G101</f>
        <v>0</v>
      </c>
      <c r="E714" s="2314"/>
      <c r="F714" s="728">
        <f>'Lager_&amp;_Montagematerial'!H101</f>
        <v>0</v>
      </c>
      <c r="G714" s="2314"/>
      <c r="H714" s="729">
        <v>0</v>
      </c>
      <c r="I714" s="2314"/>
      <c r="J714" s="729">
        <v>0</v>
      </c>
      <c r="K714" s="2314"/>
      <c r="L714" s="664"/>
      <c r="M714" s="2314"/>
      <c r="N714" s="663" t="s">
        <v>53</v>
      </c>
      <c r="Q714"/>
      <c r="R714">
        <f>'Lager_&amp;_Montagematerial'!C101</f>
        <v>0</v>
      </c>
      <c r="S714"/>
      <c r="T714"/>
      <c r="U714"/>
      <c r="W714" s="3"/>
      <c r="X714" s="3"/>
      <c r="Y714" s="3"/>
      <c r="AB714" s="3"/>
      <c r="AC714" s="3"/>
      <c r="AD714" s="3"/>
      <c r="AO714"/>
      <c r="AP714"/>
      <c r="AQ714"/>
      <c r="AR714"/>
      <c r="AS714"/>
      <c r="AT714"/>
      <c r="BF714" s="2135">
        <f t="shared" si="92"/>
        <v>0</v>
      </c>
      <c r="BG714" s="2135">
        <f t="shared" si="91"/>
        <v>0</v>
      </c>
      <c r="BH714" s="2136" t="s">
        <v>53</v>
      </c>
    </row>
    <row r="715" spans="1:60" x14ac:dyDescent="0.2">
      <c r="A715" s="662" t="s">
        <v>692</v>
      </c>
      <c r="B715" s="1512" t="str">
        <f>'Lager_&amp;_Montagematerial'!E102</f>
        <v>Selbstbohrschraube 4,8 x60 TX25</v>
      </c>
      <c r="C715" s="2314"/>
      <c r="D715" s="729" t="str">
        <f>'Lager_&amp;_Montagematerial'!G102</f>
        <v>0123023</v>
      </c>
      <c r="E715" s="2314"/>
      <c r="F715" s="728">
        <f>'Lager_&amp;_Montagematerial'!H102</f>
        <v>10</v>
      </c>
      <c r="G715" s="2314"/>
      <c r="H715" s="729">
        <v>0</v>
      </c>
      <c r="I715" s="2314"/>
      <c r="J715" s="729">
        <v>0</v>
      </c>
      <c r="K715" s="2314"/>
      <c r="L715" s="664"/>
      <c r="M715" s="2314"/>
      <c r="N715" s="663" t="s">
        <v>53</v>
      </c>
      <c r="Q715"/>
      <c r="R715" t="str">
        <f>'Lager_&amp;_Montagematerial'!C102</f>
        <v>Befestigung Gleitstücke</v>
      </c>
      <c r="S715"/>
      <c r="T715"/>
      <c r="U715"/>
      <c r="W715" s="3"/>
      <c r="X715" s="3"/>
      <c r="Y715" s="3"/>
      <c r="AB715" s="3"/>
      <c r="AC715" s="3"/>
      <c r="AD715" s="3"/>
      <c r="AO715"/>
      <c r="AP715"/>
      <c r="AQ715"/>
      <c r="AR715"/>
      <c r="AS715"/>
      <c r="AT715"/>
      <c r="BF715" s="2135" t="str">
        <f t="shared" si="92"/>
        <v>0123023</v>
      </c>
      <c r="BG715" s="2135">
        <f t="shared" si="91"/>
        <v>10</v>
      </c>
      <c r="BH715" s="2136" t="s">
        <v>53</v>
      </c>
    </row>
    <row r="716" spans="1:60" x14ac:dyDescent="0.2">
      <c r="A716" s="662" t="s">
        <v>692</v>
      </c>
      <c r="B716" s="1512" t="str">
        <f>'Lager_&amp;_Montagematerial'!E103</f>
        <v>Nageldübel 6 x 80</v>
      </c>
      <c r="C716" s="2314"/>
      <c r="D716" s="729" t="str">
        <f>'Lager_&amp;_Montagematerial'!G103</f>
        <v>1402000</v>
      </c>
      <c r="E716" s="2314"/>
      <c r="F716" s="728">
        <f>'Lager_&amp;_Montagematerial'!H103</f>
        <v>9</v>
      </c>
      <c r="G716" s="2314"/>
      <c r="H716" s="729">
        <v>0</v>
      </c>
      <c r="I716" s="2314"/>
      <c r="J716" s="729">
        <v>0</v>
      </c>
      <c r="K716" s="2314"/>
      <c r="L716" s="664"/>
      <c r="M716" s="2314"/>
      <c r="N716" s="663" t="s">
        <v>53</v>
      </c>
      <c r="Q716"/>
      <c r="R716" t="str">
        <f>'Lager_&amp;_Montagematerial'!C103</f>
        <v>Befestigung Dichtrahmen Beton/Mauerw./Gasb.</v>
      </c>
      <c r="S716"/>
      <c r="T716"/>
      <c r="U716"/>
      <c r="W716" s="3"/>
      <c r="X716" s="3"/>
      <c r="Y716" s="3"/>
      <c r="AB716" s="3"/>
      <c r="AC716" s="3"/>
      <c r="AD716" s="3"/>
      <c r="AO716"/>
      <c r="AP716"/>
      <c r="AQ716"/>
      <c r="AR716"/>
      <c r="AS716"/>
      <c r="AT716"/>
      <c r="BF716" s="2135" t="str">
        <f t="shared" si="92"/>
        <v>1402000</v>
      </c>
      <c r="BG716" s="2135">
        <f t="shared" si="91"/>
        <v>9</v>
      </c>
      <c r="BH716" s="2136" t="s">
        <v>53</v>
      </c>
    </row>
    <row r="717" spans="1:60" x14ac:dyDescent="0.2">
      <c r="A717" s="662" t="s">
        <v>692</v>
      </c>
      <c r="B717" s="1512" t="str">
        <f>'Lager_&amp;_Montagematerial'!E104</f>
        <v>Senkschraube M5 x 70</v>
      </c>
      <c r="C717" s="2314"/>
      <c r="D717" s="729" t="str">
        <f>'Lager_&amp;_Montagematerial'!G104</f>
        <v>0106032</v>
      </c>
      <c r="E717" s="2314"/>
      <c r="F717" s="728">
        <f>'Lager_&amp;_Montagematerial'!H104</f>
        <v>0</v>
      </c>
      <c r="G717" s="2314"/>
      <c r="H717" s="729">
        <v>0</v>
      </c>
      <c r="I717" s="2314"/>
      <c r="J717" s="729">
        <v>0</v>
      </c>
      <c r="K717" s="2314"/>
      <c r="L717" s="664"/>
      <c r="M717" s="2314"/>
      <c r="N717" s="663" t="s">
        <v>53</v>
      </c>
      <c r="Q717"/>
      <c r="R717" t="str">
        <f>'Lager_&amp;_Montagematerial'!C104</f>
        <v>Befestigung Dichtrahmen Stahlbau</v>
      </c>
      <c r="S717"/>
      <c r="T717"/>
      <c r="U717"/>
      <c r="W717" s="3"/>
      <c r="X717" s="3"/>
      <c r="Y717" s="3"/>
      <c r="AB717" s="3"/>
      <c r="AC717" s="3"/>
      <c r="AD717" s="3"/>
      <c r="AO717"/>
      <c r="AP717"/>
      <c r="AQ717"/>
      <c r="AR717"/>
      <c r="AS717"/>
      <c r="AT717"/>
      <c r="BF717" s="2135" t="str">
        <f t="shared" si="92"/>
        <v>0106032</v>
      </c>
      <c r="BG717" s="2135">
        <f t="shared" si="91"/>
        <v>0</v>
      </c>
      <c r="BH717" s="2136" t="s">
        <v>53</v>
      </c>
    </row>
    <row r="718" spans="1:60" x14ac:dyDescent="0.2">
      <c r="A718" s="662" t="s">
        <v>692</v>
      </c>
      <c r="B718" s="1512" t="str">
        <f>'Lager_&amp;_Montagematerial'!E105</f>
        <v>Spanplattenschrauben Senkkopf 4,0 x 60</v>
      </c>
      <c r="C718" s="2314"/>
      <c r="D718" s="729" t="str">
        <f>'Lager_&amp;_Montagematerial'!G105</f>
        <v>0115009</v>
      </c>
      <c r="E718" s="2314"/>
      <c r="F718" s="728">
        <f>'Lager_&amp;_Montagematerial'!H105</f>
        <v>0</v>
      </c>
      <c r="G718" s="2314"/>
      <c r="H718" s="729">
        <v>0</v>
      </c>
      <c r="I718" s="2314"/>
      <c r="J718" s="729">
        <v>0</v>
      </c>
      <c r="K718" s="2314"/>
      <c r="L718" s="664"/>
      <c r="M718" s="2314"/>
      <c r="N718" s="663" t="s">
        <v>53</v>
      </c>
      <c r="Q718"/>
      <c r="R718" t="str">
        <f>'Lager_&amp;_Montagematerial'!C105</f>
        <v>Befestigung Dichtrahmen Ständerwand</v>
      </c>
      <c r="S718"/>
      <c r="T718"/>
      <c r="U718"/>
      <c r="W718" s="3"/>
      <c r="X718" s="3"/>
      <c r="Y718" s="3"/>
      <c r="AB718" s="3"/>
      <c r="AC718" s="3"/>
      <c r="AD718" s="3"/>
      <c r="AO718"/>
      <c r="AP718"/>
      <c r="AQ718"/>
      <c r="AR718"/>
      <c r="AS718"/>
      <c r="AT718"/>
      <c r="BF718" s="2135" t="str">
        <f t="shared" si="92"/>
        <v>0115009</v>
      </c>
      <c r="BG718" s="2135">
        <f t="shared" si="91"/>
        <v>0</v>
      </c>
      <c r="BH718" s="2136" t="s">
        <v>53</v>
      </c>
    </row>
    <row r="719" spans="1:60" x14ac:dyDescent="0.2">
      <c r="A719" s="662" t="s">
        <v>692</v>
      </c>
      <c r="B719" s="1512" t="str">
        <f>'Lager_&amp;_Montagematerial'!E106</f>
        <v>Schnellbauschraube 3,9X55 Grobgewinde</v>
      </c>
      <c r="C719" s="2314"/>
      <c r="D719" s="729" t="str">
        <f>'Lager_&amp;_Montagematerial'!G106</f>
        <v>0123018</v>
      </c>
      <c r="E719" s="2314"/>
      <c r="F719" s="728">
        <f>'Lager_&amp;_Montagematerial'!H106</f>
        <v>135</v>
      </c>
      <c r="G719" s="2314"/>
      <c r="H719" s="729">
        <v>0</v>
      </c>
      <c r="I719" s="2314"/>
      <c r="J719" s="729">
        <v>0</v>
      </c>
      <c r="K719" s="2314"/>
      <c r="L719" s="664"/>
      <c r="M719" s="2314"/>
      <c r="N719" s="663" t="s">
        <v>53</v>
      </c>
      <c r="Q719"/>
      <c r="R719" t="str">
        <f>'Lager_&amp;_Montagematerial'!C106</f>
        <v>Aufdopplung / Festfeldmanschette</v>
      </c>
      <c r="S719"/>
      <c r="T719"/>
      <c r="U719"/>
      <c r="W719" s="3"/>
      <c r="X719" s="3"/>
      <c r="Y719" s="3"/>
      <c r="AB719" s="3"/>
      <c r="AC719" s="3"/>
      <c r="AD719" s="3"/>
      <c r="AO719"/>
      <c r="AP719"/>
      <c r="AQ719"/>
      <c r="AR719"/>
      <c r="AS719"/>
      <c r="AT719"/>
      <c r="BF719" s="2135" t="str">
        <f t="shared" si="92"/>
        <v>0123018</v>
      </c>
      <c r="BG719" s="2135">
        <f t="shared" si="91"/>
        <v>135</v>
      </c>
      <c r="BH719" s="2136" t="s">
        <v>53</v>
      </c>
    </row>
    <row r="720" spans="1:60" x14ac:dyDescent="0.2">
      <c r="A720" s="662" t="s">
        <v>692</v>
      </c>
      <c r="B720" s="1512" t="str">
        <f>'Lager_&amp;_Montagematerial'!E107</f>
        <v>Schnellbauschraube 3,9X35 Grobgewinde</v>
      </c>
      <c r="C720" s="2314"/>
      <c r="D720" s="729" t="str">
        <f>'Lager_&amp;_Montagematerial'!G107</f>
        <v>0123013</v>
      </c>
      <c r="E720" s="2314"/>
      <c r="F720" s="728">
        <f>'Lager_&amp;_Montagematerial'!H107</f>
        <v>108</v>
      </c>
      <c r="G720" s="2314"/>
      <c r="H720" s="729">
        <v>0</v>
      </c>
      <c r="I720" s="2314"/>
      <c r="J720" s="729">
        <v>0</v>
      </c>
      <c r="K720" s="2314"/>
      <c r="L720" s="664"/>
      <c r="M720" s="2314"/>
      <c r="N720" s="663" t="s">
        <v>53</v>
      </c>
      <c r="Q720"/>
      <c r="R720" t="str">
        <f>'Lager_&amp;_Montagematerial'!C107</f>
        <v>Aufdopplung / Festfeldmanschette</v>
      </c>
      <c r="S720"/>
      <c r="T720"/>
      <c r="U720"/>
      <c r="W720" s="3"/>
      <c r="X720" s="3"/>
      <c r="Y720" s="3"/>
      <c r="AB720" s="3"/>
      <c r="AC720" s="3"/>
      <c r="AD720" s="3"/>
      <c r="AO720"/>
      <c r="AP720"/>
      <c r="AQ720"/>
      <c r="AR720"/>
      <c r="AS720"/>
      <c r="AT720"/>
      <c r="BF720" s="2135" t="str">
        <f t="shared" si="92"/>
        <v>0123013</v>
      </c>
      <c r="BG720" s="2135">
        <f t="shared" si="91"/>
        <v>108</v>
      </c>
      <c r="BH720" s="2136" t="s">
        <v>53</v>
      </c>
    </row>
    <row r="721" spans="1:60" x14ac:dyDescent="0.2">
      <c r="A721" s="662" t="s">
        <v>692</v>
      </c>
      <c r="B721" s="1512" t="str">
        <f>'Lager_&amp;_Montagematerial'!E108</f>
        <v>Schnellbauschraube 3,9X70 Grobgewinde</v>
      </c>
      <c r="C721" s="2314"/>
      <c r="D721" s="729" t="str">
        <f>'Lager_&amp;_Montagematerial'!G108</f>
        <v>0123024</v>
      </c>
      <c r="E721" s="2314"/>
      <c r="F721" s="728">
        <f>'Lager_&amp;_Montagematerial'!H108</f>
        <v>20</v>
      </c>
      <c r="G721" s="2314"/>
      <c r="H721" s="729">
        <v>0</v>
      </c>
      <c r="I721" s="2314"/>
      <c r="J721" s="729">
        <v>0</v>
      </c>
      <c r="K721" s="2314"/>
      <c r="L721" s="664"/>
      <c r="M721" s="2314"/>
      <c r="N721" s="663" t="s">
        <v>53</v>
      </c>
      <c r="Q721"/>
      <c r="R721" t="str">
        <f>'Lager_&amp;_Montagematerial'!C108</f>
        <v>Aufdopplung / Festfeldmanschette</v>
      </c>
      <c r="S721"/>
      <c r="T721"/>
      <c r="U721"/>
      <c r="W721" s="3"/>
      <c r="X721" s="3"/>
      <c r="Y721" s="3"/>
      <c r="AB721" s="3"/>
      <c r="AC721" s="3"/>
      <c r="AD721" s="3"/>
      <c r="AO721"/>
      <c r="AP721"/>
      <c r="AQ721"/>
      <c r="AR721"/>
      <c r="AS721"/>
      <c r="AT721"/>
      <c r="BF721" s="2135" t="str">
        <f t="shared" si="92"/>
        <v>0123024</v>
      </c>
      <c r="BG721" s="2135">
        <f t="shared" si="91"/>
        <v>20</v>
      </c>
      <c r="BH721" s="2136" t="s">
        <v>53</v>
      </c>
    </row>
    <row r="722" spans="1:60" x14ac:dyDescent="0.2">
      <c r="A722" s="662" t="s">
        <v>692</v>
      </c>
      <c r="B722" s="1512" t="str">
        <f>'Lager_&amp;_Montagematerial'!E109</f>
        <v>Spanplattenschrauben Flachrundkopf 4,0 x 40</v>
      </c>
      <c r="C722" s="2314"/>
      <c r="D722" s="729" t="str">
        <f>'Lager_&amp;_Montagematerial'!G109</f>
        <v>0115084</v>
      </c>
      <c r="E722" s="2314"/>
      <c r="F722" s="728">
        <f>'Lager_&amp;_Montagematerial'!H109</f>
        <v>18</v>
      </c>
      <c r="G722" s="2314"/>
      <c r="H722" s="729">
        <v>0</v>
      </c>
      <c r="I722" s="2314"/>
      <c r="J722" s="729">
        <v>0</v>
      </c>
      <c r="K722" s="2314"/>
      <c r="L722" s="664"/>
      <c r="M722" s="2314"/>
      <c r="N722" s="663" t="s">
        <v>53</v>
      </c>
      <c r="Q722"/>
      <c r="R722" t="str">
        <f>'Lager_&amp;_Montagematerial'!C109</f>
        <v>Befestigung Kantenschutz Festfeld</v>
      </c>
      <c r="S722"/>
      <c r="T722"/>
      <c r="U722"/>
      <c r="W722" s="3"/>
      <c r="X722" s="3"/>
      <c r="Y722" s="3"/>
      <c r="AB722" s="3"/>
      <c r="AC722" s="3"/>
      <c r="AD722" s="3"/>
      <c r="AO722"/>
      <c r="AP722"/>
      <c r="AQ722"/>
      <c r="AR722"/>
      <c r="AS722"/>
      <c r="AT722"/>
      <c r="BF722" s="2135" t="str">
        <f t="shared" si="92"/>
        <v>0115084</v>
      </c>
      <c r="BG722" s="2135">
        <f t="shared" si="91"/>
        <v>18</v>
      </c>
      <c r="BH722" s="2136" t="s">
        <v>53</v>
      </c>
    </row>
    <row r="723" spans="1:60" x14ac:dyDescent="0.2">
      <c r="A723" s="662" t="s">
        <v>692</v>
      </c>
      <c r="B723" s="1512" t="str">
        <f>'Lager_&amp;_Montagematerial'!E110</f>
        <v>Pattex - Tube 125 ml</v>
      </c>
      <c r="C723" s="2314"/>
      <c r="D723" s="729" t="str">
        <f>'Lager_&amp;_Montagematerial'!G110</f>
        <v>0140062</v>
      </c>
      <c r="E723" s="2314"/>
      <c r="F723" s="728">
        <f>'Lager_&amp;_Montagematerial'!H110</f>
        <v>1</v>
      </c>
      <c r="G723" s="2314"/>
      <c r="H723" s="729">
        <v>0</v>
      </c>
      <c r="I723" s="2314"/>
      <c r="J723" s="729">
        <v>0</v>
      </c>
      <c r="K723" s="2314"/>
      <c r="L723" s="664"/>
      <c r="M723" s="2314"/>
      <c r="N723" s="663" t="s">
        <v>53</v>
      </c>
      <c r="Q723"/>
      <c r="R723" t="str">
        <f>'Lager_&amp;_Montagematerial'!C110</f>
        <v>Befestigung Intum. Material</v>
      </c>
      <c r="S723"/>
      <c r="T723"/>
      <c r="U723"/>
      <c r="W723" s="3"/>
      <c r="X723" s="3"/>
      <c r="Y723" s="3"/>
      <c r="AB723" s="3"/>
      <c r="AC723" s="3"/>
      <c r="AD723" s="3"/>
      <c r="AO723"/>
      <c r="AP723"/>
      <c r="AQ723"/>
      <c r="AR723"/>
      <c r="AS723"/>
      <c r="AT723"/>
      <c r="BF723" s="2135" t="str">
        <f t="shared" si="92"/>
        <v>0140062</v>
      </c>
      <c r="BG723" s="2135">
        <f t="shared" si="91"/>
        <v>1</v>
      </c>
      <c r="BH723" s="2136" t="s">
        <v>53</v>
      </c>
    </row>
    <row r="724" spans="1:60" x14ac:dyDescent="0.2">
      <c r="A724" s="662" t="s">
        <v>692</v>
      </c>
      <c r="B724" s="1512" t="str">
        <f>'Lager_&amp;_Montagematerial'!E111</f>
        <v xml:space="preserve">Pattex - Tube 50ml </v>
      </c>
      <c r="C724" s="2314"/>
      <c r="D724" s="729" t="str">
        <f>'Lager_&amp;_Montagematerial'!G111</f>
        <v>0140061</v>
      </c>
      <c r="E724" s="2314"/>
      <c r="F724" s="728">
        <f>'Lager_&amp;_Montagematerial'!H111</f>
        <v>0</v>
      </c>
      <c r="G724" s="2314"/>
      <c r="H724" s="729">
        <v>0</v>
      </c>
      <c r="I724" s="2314"/>
      <c r="J724" s="729">
        <v>0</v>
      </c>
      <c r="K724" s="2314"/>
      <c r="L724" s="664"/>
      <c r="M724" s="2314"/>
      <c r="N724" s="663" t="s">
        <v>53</v>
      </c>
      <c r="Q724"/>
      <c r="R724" t="str">
        <f>'Lager_&amp;_Montagematerial'!C111</f>
        <v>Befestigung Intum. Material</v>
      </c>
      <c r="S724"/>
      <c r="T724"/>
      <c r="U724"/>
      <c r="W724" s="3"/>
      <c r="X724" s="3"/>
      <c r="Y724" s="3"/>
      <c r="AB724" s="3"/>
      <c r="AC724" s="3"/>
      <c r="AD724" s="3"/>
      <c r="AO724"/>
      <c r="AP724"/>
      <c r="AQ724"/>
      <c r="AR724"/>
      <c r="AS724"/>
      <c r="AT724"/>
      <c r="BF724" s="2135" t="str">
        <f t="shared" si="92"/>
        <v>0140061</v>
      </c>
      <c r="BG724" s="2135">
        <f t="shared" si="91"/>
        <v>0</v>
      </c>
      <c r="BH724" s="2136" t="s">
        <v>53</v>
      </c>
    </row>
    <row r="725" spans="1:60" x14ac:dyDescent="0.2">
      <c r="A725" s="662" t="s">
        <v>692</v>
      </c>
      <c r="B725" s="1512" t="str">
        <f>'Lager_&amp;_Montagematerial'!E112</f>
        <v>Pattex - Dose 0,625l</v>
      </c>
      <c r="C725" s="2314"/>
      <c r="D725" s="729" t="str">
        <f>'Lager_&amp;_Montagematerial'!G112</f>
        <v>0140004</v>
      </c>
      <c r="E725" s="2314"/>
      <c r="F725" s="728">
        <f>'Lager_&amp;_Montagematerial'!H112</f>
        <v>0</v>
      </c>
      <c r="G725" s="2314"/>
      <c r="H725" s="729">
        <v>0</v>
      </c>
      <c r="I725" s="2314"/>
      <c r="J725" s="729">
        <v>0</v>
      </c>
      <c r="K725" s="2314"/>
      <c r="L725" s="664"/>
      <c r="M725" s="2314"/>
      <c r="N725" s="663" t="s">
        <v>53</v>
      </c>
      <c r="Q725"/>
      <c r="R725" t="str">
        <f>'Lager_&amp;_Montagematerial'!C112</f>
        <v>Befestigung Intum. Material</v>
      </c>
      <c r="S725"/>
      <c r="T725"/>
      <c r="U725"/>
      <c r="W725" s="3"/>
      <c r="X725" s="3"/>
      <c r="Y725" s="3"/>
      <c r="AB725" s="3"/>
      <c r="AC725" s="3"/>
      <c r="AD725" s="3"/>
      <c r="AO725"/>
      <c r="AP725"/>
      <c r="AQ725"/>
      <c r="AR725"/>
      <c r="AS725"/>
      <c r="AT725"/>
      <c r="BF725" s="2135" t="str">
        <f t="shared" si="92"/>
        <v>0140004</v>
      </c>
      <c r="BG725" s="2135">
        <f t="shared" si="91"/>
        <v>0</v>
      </c>
      <c r="BH725" s="2136" t="s">
        <v>53</v>
      </c>
    </row>
    <row r="726" spans="1:60" x14ac:dyDescent="0.2">
      <c r="A726" s="662" t="s">
        <v>692</v>
      </c>
      <c r="B726" s="1512" t="str">
        <f>'Lager_&amp;_Montagematerial'!E113</f>
        <v>Blindniete mit Flachrundkopf  4x 10  St / St</v>
      </c>
      <c r="C726" s="2314"/>
      <c r="D726" s="729" t="str">
        <f>'Lager_&amp;_Montagematerial'!G113</f>
        <v>0107098</v>
      </c>
      <c r="E726" s="2314"/>
      <c r="F726" s="728">
        <f>'Lager_&amp;_Montagematerial'!H113</f>
        <v>0</v>
      </c>
      <c r="G726" s="2314"/>
      <c r="H726" s="729">
        <v>0</v>
      </c>
      <c r="I726" s="2314"/>
      <c r="J726" s="729">
        <v>0</v>
      </c>
      <c r="K726" s="2314"/>
      <c r="L726" s="664"/>
      <c r="M726" s="2314"/>
      <c r="N726" s="663" t="s">
        <v>53</v>
      </c>
      <c r="Q726"/>
      <c r="R726" t="str">
        <f>'Lager_&amp;_Montagematerial'!C113</f>
        <v>Verbindung Schieberelemente</v>
      </c>
      <c r="S726"/>
      <c r="T726"/>
      <c r="U726"/>
      <c r="W726" s="3"/>
      <c r="X726" s="3"/>
      <c r="Y726" s="3"/>
      <c r="AB726" s="3"/>
      <c r="AC726" s="3"/>
      <c r="AD726" s="3"/>
      <c r="AO726"/>
      <c r="AP726"/>
      <c r="AQ726"/>
      <c r="AR726"/>
      <c r="AS726"/>
      <c r="AT726"/>
      <c r="BF726" s="2135" t="str">
        <f t="shared" si="92"/>
        <v>0107098</v>
      </c>
      <c r="BG726" s="2135">
        <f t="shared" si="91"/>
        <v>0</v>
      </c>
      <c r="BH726" s="2136" t="s">
        <v>53</v>
      </c>
    </row>
    <row r="727" spans="1:60" x14ac:dyDescent="0.2">
      <c r="A727" s="662" t="s">
        <v>692</v>
      </c>
      <c r="B727" s="1512" t="str">
        <f>'Lager_&amp;_Montagematerial'!E114</f>
        <v>SPAX Senkschraube TX verz. 5,0X100</v>
      </c>
      <c r="C727" s="2314"/>
      <c r="D727" s="729" t="str">
        <f>'Lager_&amp;_Montagematerial'!G114</f>
        <v>0115019</v>
      </c>
      <c r="E727" s="2314"/>
      <c r="F727" s="728">
        <f>'Lager_&amp;_Montagematerial'!H114</f>
        <v>0</v>
      </c>
      <c r="G727" s="2314"/>
      <c r="H727" s="729">
        <v>0</v>
      </c>
      <c r="I727" s="2314"/>
      <c r="J727" s="729">
        <v>0</v>
      </c>
      <c r="K727" s="2314"/>
      <c r="L727" s="664"/>
      <c r="M727" s="2314"/>
      <c r="N727" s="663" t="s">
        <v>53</v>
      </c>
      <c r="Q727"/>
      <c r="R727" t="str">
        <f>'Lager_&amp;_Montagematerial'!C114</f>
        <v>Verbindung Schieberelemente</v>
      </c>
      <c r="S727"/>
      <c r="T727"/>
      <c r="U727"/>
      <c r="W727" s="3"/>
      <c r="X727" s="3"/>
      <c r="Y727" s="3"/>
      <c r="AB727" s="3"/>
      <c r="AC727" s="3"/>
      <c r="AD727" s="3"/>
      <c r="AO727"/>
      <c r="AP727"/>
      <c r="AQ727"/>
      <c r="AR727"/>
      <c r="AS727"/>
      <c r="AT727"/>
      <c r="BF727" s="2135" t="str">
        <f t="shared" si="92"/>
        <v>0115019</v>
      </c>
      <c r="BG727" s="2135">
        <f t="shared" si="91"/>
        <v>0</v>
      </c>
      <c r="BH727" s="2136" t="s">
        <v>53</v>
      </c>
    </row>
    <row r="728" spans="1:60" x14ac:dyDescent="0.2">
      <c r="A728" s="662" t="s">
        <v>692</v>
      </c>
      <c r="B728" s="1512" t="str">
        <f>'Lager_&amp;_Montagematerial'!E115</f>
        <v>Füllspachtel (5kg)</v>
      </c>
      <c r="C728" s="2314"/>
      <c r="D728" s="729" t="str">
        <f>'Lager_&amp;_Montagematerial'!G115</f>
        <v>0203015</v>
      </c>
      <c r="E728" s="2314"/>
      <c r="F728" s="728">
        <f>'Lager_&amp;_Montagematerial'!H115</f>
        <v>1</v>
      </c>
      <c r="G728" s="2314"/>
      <c r="H728" s="729">
        <v>0</v>
      </c>
      <c r="I728" s="2314"/>
      <c r="J728" s="729">
        <v>0</v>
      </c>
      <c r="K728" s="2314"/>
      <c r="L728" s="664"/>
      <c r="M728" s="2314"/>
      <c r="N728" s="663" t="s">
        <v>53</v>
      </c>
      <c r="Q728"/>
      <c r="R728" t="str">
        <f>'Lager_&amp;_Montagematerial'!C115</f>
        <v>Aufdopplungs und Festfeldmaterial</v>
      </c>
      <c r="S728"/>
      <c r="T728"/>
      <c r="U728"/>
      <c r="W728" s="3"/>
      <c r="X728" s="3"/>
      <c r="Y728" s="3"/>
      <c r="AB728" s="3"/>
      <c r="AC728" s="3"/>
      <c r="AD728" s="3"/>
      <c r="AO728"/>
      <c r="AP728"/>
      <c r="AQ728"/>
      <c r="AR728"/>
      <c r="AS728"/>
      <c r="AT728"/>
      <c r="BF728" s="2135" t="str">
        <f t="shared" si="92"/>
        <v>0203015</v>
      </c>
      <c r="BG728" s="2135">
        <f t="shared" si="91"/>
        <v>1</v>
      </c>
      <c r="BH728" s="2136" t="s">
        <v>53</v>
      </c>
    </row>
    <row r="729" spans="1:60" x14ac:dyDescent="0.2">
      <c r="A729" s="662" t="s">
        <v>692</v>
      </c>
      <c r="B729" s="1512" t="str">
        <f>'Lager_&amp;_Montagematerial'!E116</f>
        <v>Zylinderschraube Inbus  M6x12</v>
      </c>
      <c r="C729" s="2314"/>
      <c r="D729" s="729" t="str">
        <f>'Lager_&amp;_Montagematerial'!G116</f>
        <v>0105011</v>
      </c>
      <c r="E729" s="2314"/>
      <c r="F729" s="728">
        <f>'Lager_&amp;_Montagematerial'!H116</f>
        <v>0</v>
      </c>
      <c r="G729" s="2314"/>
      <c r="H729" s="729">
        <v>0</v>
      </c>
      <c r="I729" s="2314"/>
      <c r="J729" s="729">
        <v>0</v>
      </c>
      <c r="K729" s="2314"/>
      <c r="L729" s="664"/>
      <c r="M729" s="2314"/>
      <c r="N729" s="663" t="s">
        <v>53</v>
      </c>
      <c r="Q729"/>
      <c r="R729" t="str">
        <f>'Lager_&amp;_Montagematerial'!C116</f>
        <v>Verbindung Führungsschienen</v>
      </c>
      <c r="S729"/>
      <c r="T729"/>
      <c r="U729"/>
      <c r="W729" s="3"/>
      <c r="X729" s="3"/>
      <c r="Y729" s="3"/>
      <c r="AB729" s="3"/>
      <c r="AC729" s="3"/>
      <c r="AD729" s="3"/>
      <c r="AO729"/>
      <c r="AP729"/>
      <c r="AQ729"/>
      <c r="AR729"/>
      <c r="AS729"/>
      <c r="AT729"/>
      <c r="BF729" s="2135" t="str">
        <f t="shared" si="92"/>
        <v>0105011</v>
      </c>
      <c r="BG729" s="2135">
        <f t="shared" si="91"/>
        <v>0</v>
      </c>
      <c r="BH729" s="2136" t="s">
        <v>53</v>
      </c>
    </row>
    <row r="730" spans="1:60" x14ac:dyDescent="0.2">
      <c r="A730" s="662" t="s">
        <v>692</v>
      </c>
      <c r="B730" s="1512" t="str">
        <f>'Lager_&amp;_Montagematerial'!E117</f>
        <v>Sechskantmutter M6</v>
      </c>
      <c r="C730" s="2314"/>
      <c r="D730" s="729" t="str">
        <f>'Lager_&amp;_Montagematerial'!G117</f>
        <v>0114006</v>
      </c>
      <c r="E730" s="2314"/>
      <c r="F730" s="728">
        <f>'Lager_&amp;_Montagematerial'!H117</f>
        <v>0</v>
      </c>
      <c r="G730" s="2314"/>
      <c r="H730" s="729">
        <v>0</v>
      </c>
      <c r="I730" s="2314"/>
      <c r="J730" s="729">
        <v>0</v>
      </c>
      <c r="K730" s="2314"/>
      <c r="L730" s="664"/>
      <c r="M730" s="2314"/>
      <c r="N730" s="663" t="s">
        <v>53</v>
      </c>
      <c r="R730" t="str">
        <f>'Lager_&amp;_Montagematerial'!C117</f>
        <v>Verbindung Führungsschienen</v>
      </c>
      <c r="W730" s="3"/>
      <c r="X730" s="3"/>
      <c r="Y730" s="3"/>
      <c r="AB730" s="3"/>
      <c r="AC730" s="3"/>
      <c r="AD730" s="3"/>
      <c r="BF730" s="2135" t="str">
        <f t="shared" si="92"/>
        <v>0114006</v>
      </c>
      <c r="BG730" s="2135">
        <f t="shared" si="91"/>
        <v>0</v>
      </c>
      <c r="BH730" s="2136" t="s">
        <v>53</v>
      </c>
    </row>
    <row r="731" spans="1:60" x14ac:dyDescent="0.2">
      <c r="A731" s="662" t="s">
        <v>692</v>
      </c>
      <c r="B731" s="1512" t="str">
        <f>'Lager_&amp;_Montagematerial'!E118</f>
        <v>Federring M6</v>
      </c>
      <c r="C731" s="2314"/>
      <c r="D731" s="729" t="str">
        <f>'Lager_&amp;_Montagematerial'!G118</f>
        <v>0129005</v>
      </c>
      <c r="E731" s="2314"/>
      <c r="F731" s="728">
        <f>'Lager_&amp;_Montagematerial'!H118</f>
        <v>0</v>
      </c>
      <c r="G731" s="2314"/>
      <c r="H731" s="729">
        <v>0</v>
      </c>
      <c r="I731" s="2314"/>
      <c r="J731" s="729">
        <v>0</v>
      </c>
      <c r="K731" s="2314"/>
      <c r="L731" s="664"/>
      <c r="M731" s="2314"/>
      <c r="N731" s="663" t="s">
        <v>53</v>
      </c>
      <c r="R731" t="str">
        <f>'Lager_&amp;_Montagematerial'!C118</f>
        <v>Verbindung Führungsschienen</v>
      </c>
      <c r="W731" s="3"/>
      <c r="X731" s="3"/>
      <c r="Y731" s="3"/>
      <c r="AB731" s="3"/>
      <c r="AC731" s="3"/>
      <c r="AD731" s="3"/>
      <c r="BF731" s="2135" t="str">
        <f t="shared" si="92"/>
        <v>0129005</v>
      </c>
      <c r="BG731" s="2135">
        <f t="shared" si="91"/>
        <v>0</v>
      </c>
      <c r="BH731" s="2136" t="s">
        <v>53</v>
      </c>
    </row>
    <row r="732" spans="1:60" x14ac:dyDescent="0.2">
      <c r="A732" s="662" t="s">
        <v>692</v>
      </c>
      <c r="B732" s="1512" t="str">
        <f>'Lager_&amp;_Montagematerial'!E119</f>
        <v>Zylinderschraube Inbus verz. M5x35</v>
      </c>
      <c r="C732" s="2314"/>
      <c r="D732" s="729" t="str">
        <f>'Lager_&amp;_Montagematerial'!G119</f>
        <v>0105056</v>
      </c>
      <c r="E732" s="2314"/>
      <c r="F732" s="728">
        <f>'Lager_&amp;_Montagematerial'!H119</f>
        <v>0</v>
      </c>
      <c r="G732" s="2314"/>
      <c r="H732" s="729">
        <v>0</v>
      </c>
      <c r="I732" s="2314"/>
      <c r="J732" s="729">
        <v>0</v>
      </c>
      <c r="K732" s="2314"/>
      <c r="L732" s="664"/>
      <c r="M732" s="2314"/>
      <c r="N732" s="663" t="s">
        <v>53</v>
      </c>
      <c r="R732" t="str">
        <f>'Lager_&amp;_Montagematerial'!C119</f>
        <v>Befestigung Endschalter</v>
      </c>
      <c r="W732" s="3"/>
      <c r="X732" s="3"/>
      <c r="Y732" s="3"/>
      <c r="AB732" s="3"/>
      <c r="AC732" s="3"/>
      <c r="AD732" s="3"/>
      <c r="BF732" s="2135" t="str">
        <f t="shared" si="92"/>
        <v>0105056</v>
      </c>
      <c r="BG732" s="2135">
        <f t="shared" si="91"/>
        <v>0</v>
      </c>
      <c r="BH732" s="2136" t="s">
        <v>53</v>
      </c>
    </row>
    <row r="733" spans="1:60" x14ac:dyDescent="0.2">
      <c r="A733" s="662" t="s">
        <v>692</v>
      </c>
      <c r="B733" s="1512" t="str">
        <f>'Lager_&amp;_Montagematerial'!E120</f>
        <v>Unterlegscheibe M5</v>
      </c>
      <c r="C733" s="2314"/>
      <c r="D733" s="729" t="str">
        <f>'Lager_&amp;_Montagematerial'!G120</f>
        <v>0125002</v>
      </c>
      <c r="E733" s="2314"/>
      <c r="F733" s="728">
        <f>'Lager_&amp;_Montagematerial'!H120</f>
        <v>0</v>
      </c>
      <c r="G733" s="2314"/>
      <c r="H733" s="729">
        <v>0</v>
      </c>
      <c r="I733" s="2314"/>
      <c r="J733" s="729">
        <v>0</v>
      </c>
      <c r="K733" s="2314"/>
      <c r="L733" s="664"/>
      <c r="M733" s="2314"/>
      <c r="N733" s="663" t="s">
        <v>53</v>
      </c>
      <c r="R733" t="str">
        <f>'Lager_&amp;_Montagematerial'!C120</f>
        <v>Befestigung Endschalter</v>
      </c>
      <c r="W733" s="3"/>
      <c r="X733" s="3"/>
      <c r="Y733" s="3"/>
      <c r="AB733" s="3"/>
      <c r="AC733" s="3"/>
      <c r="AD733" s="3"/>
      <c r="BF733" s="2135" t="str">
        <f t="shared" si="92"/>
        <v>0125002</v>
      </c>
      <c r="BG733" s="2135">
        <f t="shared" si="91"/>
        <v>0</v>
      </c>
      <c r="BH733" s="2136" t="s">
        <v>53</v>
      </c>
    </row>
    <row r="734" spans="1:60" x14ac:dyDescent="0.2">
      <c r="A734" s="662" t="s">
        <v>692</v>
      </c>
      <c r="B734" s="1512" t="str">
        <f>'Lager_&amp;_Montagematerial'!E121</f>
        <v>Federring M5</v>
      </c>
      <c r="C734" s="2314"/>
      <c r="D734" s="729" t="str">
        <f>'Lager_&amp;_Montagematerial'!G121</f>
        <v>0129003</v>
      </c>
      <c r="E734" s="2314"/>
      <c r="F734" s="728">
        <f>'Lager_&amp;_Montagematerial'!H121</f>
        <v>0</v>
      </c>
      <c r="G734" s="2314"/>
      <c r="H734" s="729">
        <v>0</v>
      </c>
      <c r="I734" s="2314"/>
      <c r="J734" s="729">
        <v>0</v>
      </c>
      <c r="K734" s="2314"/>
      <c r="L734" s="664"/>
      <c r="M734" s="2314"/>
      <c r="N734" s="663" t="s">
        <v>53</v>
      </c>
      <c r="Q734"/>
      <c r="R734" t="str">
        <f>'Lager_&amp;_Montagematerial'!C121</f>
        <v>Befestigung Endschalter</v>
      </c>
      <c r="S734"/>
      <c r="T734"/>
      <c r="U734"/>
      <c r="W734" s="3"/>
      <c r="X734" s="3"/>
      <c r="Y734" s="3"/>
      <c r="AB734" s="3"/>
      <c r="AC734" s="3"/>
      <c r="AD734" s="3"/>
      <c r="AO734"/>
      <c r="AP734"/>
      <c r="AQ734"/>
      <c r="AR734"/>
      <c r="AS734"/>
      <c r="AT734"/>
      <c r="BF734" s="2135" t="str">
        <f t="shared" si="92"/>
        <v>0129003</v>
      </c>
      <c r="BG734" s="2135">
        <f t="shared" si="91"/>
        <v>0</v>
      </c>
      <c r="BH734" s="2136" t="s">
        <v>53</v>
      </c>
    </row>
    <row r="735" spans="1:60" x14ac:dyDescent="0.2">
      <c r="A735" s="662" t="s">
        <v>692</v>
      </c>
      <c r="B735" s="1512" t="str">
        <f>'Lager_&amp;_Montagematerial'!E122</f>
        <v>Linsen-Bohrschraube TX 4,8x45 verz.</v>
      </c>
      <c r="C735" s="2314"/>
      <c r="D735" s="729" t="str">
        <f>'Lager_&amp;_Montagematerial'!G122</f>
        <v>0123022</v>
      </c>
      <c r="E735" s="2314"/>
      <c r="F735" s="728">
        <f>'Lager_&amp;_Montagematerial'!H122</f>
        <v>0</v>
      </c>
      <c r="G735" s="2314"/>
      <c r="H735" s="729">
        <v>0</v>
      </c>
      <c r="I735" s="2314"/>
      <c r="J735" s="729">
        <v>0</v>
      </c>
      <c r="K735" s="2314"/>
      <c r="L735" s="664"/>
      <c r="M735" s="2314"/>
      <c r="N735" s="663" t="s">
        <v>53</v>
      </c>
      <c r="Q735"/>
      <c r="R735" t="str">
        <f>'Lager_&amp;_Montagematerial'!C122</f>
        <v>Halteband V2A</v>
      </c>
      <c r="S735"/>
      <c r="T735"/>
      <c r="U735"/>
      <c r="W735" s="3"/>
      <c r="X735" s="3"/>
      <c r="Y735" s="3"/>
      <c r="AB735" s="3"/>
      <c r="AC735" s="3"/>
      <c r="AD735" s="3"/>
      <c r="AO735"/>
      <c r="AP735"/>
      <c r="AQ735"/>
      <c r="AR735"/>
      <c r="AS735"/>
      <c r="AT735"/>
      <c r="BF735" s="2135" t="str">
        <f t="shared" si="92"/>
        <v>0123022</v>
      </c>
      <c r="BG735" s="2135">
        <f t="shared" si="91"/>
        <v>0</v>
      </c>
      <c r="BH735" s="2136" t="s">
        <v>53</v>
      </c>
    </row>
    <row r="736" spans="1:60" x14ac:dyDescent="0.2">
      <c r="A736" s="662" t="s">
        <v>692</v>
      </c>
      <c r="B736" s="1512" t="str">
        <f>'Lager_&amp;_Montagematerial'!E123</f>
        <v>Spax Halbrundschraube verz. 5,0x45</v>
      </c>
      <c r="C736" s="2314"/>
      <c r="D736" s="729" t="str">
        <f>'Lager_&amp;_Montagematerial'!G123</f>
        <v>0115023</v>
      </c>
      <c r="E736" s="2314"/>
      <c r="F736" s="728">
        <f>'Lager_&amp;_Montagematerial'!H123</f>
        <v>0</v>
      </c>
      <c r="G736" s="2314"/>
      <c r="H736" s="729">
        <v>0</v>
      </c>
      <c r="I736" s="2314"/>
      <c r="J736" s="729">
        <v>0</v>
      </c>
      <c r="K736" s="2314"/>
      <c r="L736" s="664"/>
      <c r="M736" s="2314"/>
      <c r="N736" s="663" t="s">
        <v>53</v>
      </c>
      <c r="Q736"/>
      <c r="R736" t="str">
        <f>'Lager_&amp;_Montagematerial'!C123</f>
        <v>Halteband V2A</v>
      </c>
      <c r="S736"/>
      <c r="T736"/>
      <c r="U736"/>
      <c r="W736" s="3"/>
      <c r="X736" s="3"/>
      <c r="Y736" s="3"/>
      <c r="AB736" s="3"/>
      <c r="AC736" s="3"/>
      <c r="AD736" s="3"/>
      <c r="AO736"/>
      <c r="AP736"/>
      <c r="AQ736"/>
      <c r="AR736"/>
      <c r="AS736"/>
      <c r="AT736"/>
      <c r="BF736" s="2135" t="str">
        <f t="shared" si="92"/>
        <v>0115023</v>
      </c>
      <c r="BG736" s="2135">
        <f t="shared" si="91"/>
        <v>0</v>
      </c>
      <c r="BH736" s="2136" t="s">
        <v>53</v>
      </c>
    </row>
    <row r="737" spans="1:60" x14ac:dyDescent="0.2">
      <c r="A737" s="662" t="s">
        <v>692</v>
      </c>
      <c r="B737" s="1512" t="str">
        <f>'Lager_&amp;_Montagematerial'!E124</f>
        <v>Brandschutzkitt Kartusche weiß</v>
      </c>
      <c r="C737" s="2314"/>
      <c r="D737" s="729" t="str">
        <f>'Lager_&amp;_Montagematerial'!G124</f>
        <v>0212012</v>
      </c>
      <c r="E737" s="2314"/>
      <c r="F737" s="728">
        <f>'Lager_&amp;_Montagematerial'!H124</f>
        <v>0</v>
      </c>
      <c r="G737" s="2314"/>
      <c r="H737" s="729">
        <v>0</v>
      </c>
      <c r="I737" s="2314"/>
      <c r="J737" s="729">
        <v>0</v>
      </c>
      <c r="K737" s="2314"/>
      <c r="L737" s="664"/>
      <c r="M737" s="2314"/>
      <c r="N737" s="663" t="s">
        <v>53</v>
      </c>
      <c r="Q737"/>
      <c r="R737">
        <f>'Lager_&amp;_Montagematerial'!C124</f>
        <v>0</v>
      </c>
      <c r="S737"/>
      <c r="T737"/>
      <c r="U737"/>
      <c r="W737" s="3"/>
      <c r="X737" s="3"/>
      <c r="Y737" s="3"/>
      <c r="AB737" s="3"/>
      <c r="AC737" s="3"/>
      <c r="AD737" s="3"/>
      <c r="AO737"/>
      <c r="AP737"/>
      <c r="AQ737"/>
      <c r="AR737"/>
      <c r="AS737"/>
      <c r="AT737"/>
      <c r="BF737" s="2135" t="str">
        <f t="shared" si="92"/>
        <v>0212012</v>
      </c>
      <c r="BG737" s="2135">
        <f t="shared" si="91"/>
        <v>0</v>
      </c>
      <c r="BH737" s="2136" t="s">
        <v>53</v>
      </c>
    </row>
    <row r="738" spans="1:60" x14ac:dyDescent="0.2">
      <c r="A738" s="662" t="s">
        <v>692</v>
      </c>
      <c r="B738" s="1512" t="str">
        <f>'Lager_&amp;_Montagematerial'!E125</f>
        <v>Senkschraube M8 x 80</v>
      </c>
      <c r="C738" s="2314"/>
      <c r="D738" s="729" t="str">
        <f>'Lager_&amp;_Montagematerial'!G125</f>
        <v>0106029</v>
      </c>
      <c r="E738" s="2314"/>
      <c r="F738" s="728">
        <f>'Lager_&amp;_Montagematerial'!H125</f>
        <v>0</v>
      </c>
      <c r="G738" s="2314"/>
      <c r="H738" s="729">
        <v>0</v>
      </c>
      <c r="I738" s="2314"/>
      <c r="J738" s="729">
        <v>0</v>
      </c>
      <c r="K738" s="2314"/>
      <c r="L738" s="664"/>
      <c r="M738" s="2314"/>
      <c r="N738" s="663" t="s">
        <v>53</v>
      </c>
      <c r="Q738"/>
      <c r="R738" t="str">
        <f>'Lager_&amp;_Montagematerial'!C125</f>
        <v>Befestigung Dichtrahmen</v>
      </c>
      <c r="S738"/>
      <c r="T738"/>
      <c r="U738"/>
      <c r="W738" s="3"/>
      <c r="X738" s="3"/>
      <c r="Y738" s="3"/>
      <c r="AB738" s="3"/>
      <c r="AC738" s="3"/>
      <c r="AD738" s="3"/>
      <c r="AO738"/>
      <c r="AP738"/>
      <c r="AQ738"/>
      <c r="AR738"/>
      <c r="AS738"/>
      <c r="AT738"/>
      <c r="BF738" s="2135" t="str">
        <f t="shared" si="92"/>
        <v>0106029</v>
      </c>
      <c r="BG738" s="2135">
        <f t="shared" si="91"/>
        <v>0</v>
      </c>
      <c r="BH738" s="2136" t="s">
        <v>53</v>
      </c>
    </row>
    <row r="739" spans="1:60" x14ac:dyDescent="0.2">
      <c r="A739" s="662" t="s">
        <v>692</v>
      </c>
      <c r="B739" s="1512" t="str">
        <f>'Lager_&amp;_Montagematerial'!E126</f>
        <v>U-Scheibe ø 5,3mm</v>
      </c>
      <c r="C739" s="2314"/>
      <c r="D739" s="729" t="str">
        <f>'Lager_&amp;_Montagematerial'!G126</f>
        <v>0125104</v>
      </c>
      <c r="E739" s="2314"/>
      <c r="F739" s="728">
        <f>'Lager_&amp;_Montagematerial'!H126</f>
        <v>3</v>
      </c>
      <c r="G739" s="2314"/>
      <c r="H739" s="729">
        <v>0</v>
      </c>
      <c r="I739" s="2314"/>
      <c r="J739" s="729">
        <v>0</v>
      </c>
      <c r="K739" s="2314"/>
      <c r="L739" s="664"/>
      <c r="M739" s="2314"/>
      <c r="N739" s="663" t="s">
        <v>53</v>
      </c>
      <c r="Q739"/>
      <c r="R739" t="str">
        <f>'Lager_&amp;_Montagematerial'!C126</f>
        <v>Befestigung Schaltfahne</v>
      </c>
      <c r="S739"/>
      <c r="T739"/>
      <c r="U739"/>
      <c r="W739" s="3"/>
      <c r="X739" s="3"/>
      <c r="Y739" s="3"/>
      <c r="AB739" s="3"/>
      <c r="AC739" s="3"/>
      <c r="AD739" s="3"/>
      <c r="AO739"/>
      <c r="AP739"/>
      <c r="AQ739"/>
      <c r="AR739"/>
      <c r="AS739"/>
      <c r="AT739"/>
      <c r="BF739" s="2135" t="str">
        <f t="shared" si="92"/>
        <v>0125104</v>
      </c>
      <c r="BG739" s="2135">
        <f t="shared" si="91"/>
        <v>3</v>
      </c>
      <c r="BH739" s="2136" t="s">
        <v>53</v>
      </c>
    </row>
    <row r="740" spans="1:60" x14ac:dyDescent="0.2">
      <c r="A740" s="662" t="s">
        <v>692</v>
      </c>
      <c r="B740" s="1512" t="str">
        <f>'Lager_&amp;_Montagematerial'!E127</f>
        <v>Linsen-Bohrschraube TX 4,8x45 verz.</v>
      </c>
      <c r="C740" s="2314"/>
      <c r="D740" s="729" t="str">
        <f>'Lager_&amp;_Montagematerial'!G127</f>
        <v>0123022</v>
      </c>
      <c r="E740" s="2314"/>
      <c r="F740" s="728">
        <f>'Lager_&amp;_Montagematerial'!H127</f>
        <v>3</v>
      </c>
      <c r="G740" s="2314"/>
      <c r="H740" s="729">
        <v>0</v>
      </c>
      <c r="I740" s="2314"/>
      <c r="J740" s="729">
        <v>0</v>
      </c>
      <c r="K740" s="2314"/>
      <c r="L740" s="664"/>
      <c r="M740" s="2314"/>
      <c r="N740" s="663" t="s">
        <v>53</v>
      </c>
      <c r="Q740"/>
      <c r="R740" t="str">
        <f>'Lager_&amp;_Montagematerial'!C127</f>
        <v>Befestigung Schaltfahne</v>
      </c>
      <c r="S740"/>
      <c r="T740"/>
      <c r="U740"/>
      <c r="W740" s="3"/>
      <c r="X740" s="3"/>
      <c r="Y740" s="3"/>
      <c r="AB740" s="3"/>
      <c r="AC740" s="3"/>
      <c r="AD740" s="3"/>
      <c r="AO740"/>
      <c r="AP740"/>
      <c r="AQ740"/>
      <c r="AR740"/>
      <c r="AS740"/>
      <c r="AT740"/>
      <c r="BF740" s="2135" t="str">
        <f t="shared" si="92"/>
        <v>0123022</v>
      </c>
      <c r="BG740" s="2135">
        <f t="shared" si="91"/>
        <v>3</v>
      </c>
      <c r="BH740" s="2136" t="s">
        <v>53</v>
      </c>
    </row>
    <row r="741" spans="1:60" x14ac:dyDescent="0.2">
      <c r="A741" s="662" t="s">
        <v>692</v>
      </c>
      <c r="B741" s="1512" t="str">
        <f>'Lager_&amp;_Montagematerial'!E128</f>
        <v>Twilltex 200 Klebeband 5m</v>
      </c>
      <c r="C741" s="2314"/>
      <c r="D741" s="729" t="str">
        <f>'Lager_&amp;_Montagematerial'!G128</f>
        <v>0140058</v>
      </c>
      <c r="E741" s="2314"/>
      <c r="F741" s="728">
        <f>'Lager_&amp;_Montagematerial'!H128</f>
        <v>1</v>
      </c>
      <c r="G741" s="2314"/>
      <c r="H741" s="729">
        <v>0</v>
      </c>
      <c r="I741" s="2314"/>
      <c r="J741" s="729">
        <v>0</v>
      </c>
      <c r="K741" s="2314"/>
      <c r="L741" s="664"/>
      <c r="M741" s="2314"/>
      <c r="N741" s="663" t="s">
        <v>53</v>
      </c>
      <c r="Q741"/>
      <c r="R741" t="str">
        <f>'Lager_&amp;_Montagematerial'!C128</f>
        <v>Kaschierung Festfeld Wolle</v>
      </c>
      <c r="S741"/>
      <c r="T741"/>
      <c r="U741"/>
      <c r="W741" s="3"/>
      <c r="X741" s="3"/>
      <c r="Y741" s="3"/>
      <c r="AB741" s="3"/>
      <c r="AC741" s="3"/>
      <c r="AD741" s="3"/>
      <c r="AO741"/>
      <c r="AP741"/>
      <c r="AQ741"/>
      <c r="AR741"/>
      <c r="AS741"/>
      <c r="AT741"/>
      <c r="BF741" s="2135" t="str">
        <f t="shared" si="92"/>
        <v>0140058</v>
      </c>
      <c r="BG741" s="2135">
        <f t="shared" si="91"/>
        <v>1</v>
      </c>
      <c r="BH741" s="2136" t="s">
        <v>53</v>
      </c>
    </row>
    <row r="742" spans="1:60" x14ac:dyDescent="0.2">
      <c r="A742" s="662" t="s">
        <v>692</v>
      </c>
      <c r="B742" s="1512" t="str">
        <f>'Lager_&amp;_Montagematerial'!E129</f>
        <v>Versiegelung für intum. Material für Feuchträume, Montageset für 0,5 m²</v>
      </c>
      <c r="C742" s="2314"/>
      <c r="D742" s="729" t="str">
        <f>'Lager_&amp;_Montagematerial'!G129</f>
        <v>0902030</v>
      </c>
      <c r="E742" s="2314"/>
      <c r="F742" s="728">
        <f>'Lager_&amp;_Montagematerial'!H129</f>
        <v>0</v>
      </c>
      <c r="G742" s="2314"/>
      <c r="H742" s="729">
        <v>0</v>
      </c>
      <c r="I742" s="2314"/>
      <c r="J742" s="729">
        <v>0</v>
      </c>
      <c r="K742" s="2314"/>
      <c r="L742" s="664"/>
      <c r="M742" s="2314"/>
      <c r="N742" s="663" t="s">
        <v>53</v>
      </c>
      <c r="Q742"/>
      <c r="R742" t="str">
        <f>'Lager_&amp;_Montagematerial'!C129</f>
        <v>Intumatversiegelung (Promaseal)</v>
      </c>
      <c r="S742"/>
      <c r="T742"/>
      <c r="U742"/>
      <c r="W742" s="3"/>
      <c r="X742" s="3"/>
      <c r="Y742" s="3"/>
      <c r="AB742" s="3"/>
      <c r="AC742" s="3"/>
      <c r="AD742" s="3"/>
      <c r="AO742"/>
      <c r="AP742"/>
      <c r="AQ742"/>
      <c r="AR742"/>
      <c r="AS742"/>
      <c r="AT742"/>
      <c r="BF742" s="2135" t="str">
        <f t="shared" si="92"/>
        <v>0902030</v>
      </c>
      <c r="BG742" s="2135">
        <f t="shared" si="91"/>
        <v>0</v>
      </c>
      <c r="BH742" s="2136" t="s">
        <v>53</v>
      </c>
    </row>
    <row r="743" spans="1:60" x14ac:dyDescent="0.2">
      <c r="A743" s="662" t="s">
        <v>692</v>
      </c>
      <c r="B743" s="1512" t="str">
        <f>'Lager_&amp;_Montagematerial'!E130</f>
        <v>Reparaturset für versiegelte intumeszierende Materialien</v>
      </c>
      <c r="C743" s="2314"/>
      <c r="D743" s="729" t="str">
        <f>'Lager_&amp;_Montagematerial'!G130</f>
        <v>0306392</v>
      </c>
      <c r="E743" s="2314"/>
      <c r="F743" s="728">
        <f>'Lager_&amp;_Montagematerial'!H130</f>
        <v>0</v>
      </c>
      <c r="G743" s="2314"/>
      <c r="H743" s="729">
        <v>0</v>
      </c>
      <c r="I743" s="2314"/>
      <c r="J743" s="729">
        <v>0</v>
      </c>
      <c r="K743" s="2314"/>
      <c r="L743" s="664"/>
      <c r="M743" s="2314"/>
      <c r="N743" s="663" t="s">
        <v>53</v>
      </c>
      <c r="Q743"/>
      <c r="R743" t="str">
        <f>'Lager_&amp;_Montagematerial'!C130</f>
        <v>Intumatversiegelung (Promaseal)</v>
      </c>
      <c r="S743"/>
      <c r="T743"/>
      <c r="U743"/>
      <c r="W743" s="3"/>
      <c r="X743" s="3"/>
      <c r="Y743" s="3"/>
      <c r="AB743" s="3"/>
      <c r="AC743" s="3"/>
      <c r="AD743" s="3"/>
      <c r="AO743"/>
      <c r="AP743"/>
      <c r="AQ743"/>
      <c r="AR743"/>
      <c r="AS743"/>
      <c r="AT743"/>
      <c r="BF743" s="2135" t="str">
        <f t="shared" si="92"/>
        <v>0306392</v>
      </c>
      <c r="BG743" s="2135">
        <f t="shared" si="91"/>
        <v>0</v>
      </c>
      <c r="BH743" s="2136" t="s">
        <v>53</v>
      </c>
    </row>
    <row r="744" spans="1:60" x14ac:dyDescent="0.2">
      <c r="A744" s="662" t="s">
        <v>692</v>
      </c>
      <c r="B744" s="1512" t="str">
        <f>'Lager_&amp;_Montagematerial'!E131</f>
        <v>Edelstahlreiniger 400ml Gebinde</v>
      </c>
      <c r="C744" s="2314"/>
      <c r="D744" s="729" t="str">
        <f>'Lager_&amp;_Montagematerial'!G131</f>
        <v>0140076</v>
      </c>
      <c r="E744" s="2314"/>
      <c r="F744" s="728">
        <f>'Lager_&amp;_Montagematerial'!H131</f>
        <v>0</v>
      </c>
      <c r="G744" s="2314"/>
      <c r="H744" s="729">
        <v>0</v>
      </c>
      <c r="I744" s="2314"/>
      <c r="J744" s="729">
        <v>0</v>
      </c>
      <c r="K744" s="2314"/>
      <c r="L744" s="664"/>
      <c r="M744" s="2314"/>
      <c r="N744" s="663" t="s">
        <v>53</v>
      </c>
      <c r="Q744"/>
      <c r="R744" t="str">
        <f>'Lager_&amp;_Montagematerial'!C131</f>
        <v>Reinigung Edelstahloberflächen</v>
      </c>
      <c r="S744"/>
      <c r="T744"/>
      <c r="U744"/>
      <c r="W744" s="3"/>
      <c r="X744" s="3"/>
      <c r="Y744" s="3"/>
      <c r="AB744" s="3"/>
      <c r="AC744" s="3"/>
      <c r="AD744" s="3"/>
      <c r="AO744"/>
      <c r="AP744"/>
      <c r="AQ744"/>
      <c r="AR744"/>
      <c r="AS744"/>
      <c r="AT744"/>
      <c r="BF744" s="2135" t="str">
        <f t="shared" si="92"/>
        <v>0140076</v>
      </c>
      <c r="BG744" s="2135">
        <f t="shared" si="91"/>
        <v>0</v>
      </c>
      <c r="BH744" s="2136" t="s">
        <v>53</v>
      </c>
    </row>
    <row r="745" spans="1:60" x14ac:dyDescent="0.2">
      <c r="A745" s="662" t="s">
        <v>692</v>
      </c>
      <c r="B745" s="1512" t="str">
        <f>'Lager_&amp;_Montagematerial'!E132</f>
        <v>Tork 520371 Vliesstofftuch</v>
      </c>
      <c r="C745" s="2314"/>
      <c r="D745" s="729" t="str">
        <f>'Lager_&amp;_Montagematerial'!G132</f>
        <v>7402006</v>
      </c>
      <c r="E745" s="2314"/>
      <c r="F745" s="728">
        <f>'Lager_&amp;_Montagematerial'!H132</f>
        <v>0</v>
      </c>
      <c r="G745" s="2314"/>
      <c r="H745" s="729">
        <v>0</v>
      </c>
      <c r="I745" s="2314"/>
      <c r="J745" s="729">
        <v>0</v>
      </c>
      <c r="K745" s="2314"/>
      <c r="L745" s="664"/>
      <c r="M745" s="2314"/>
      <c r="N745" s="663" t="s">
        <v>53</v>
      </c>
      <c r="Q745"/>
      <c r="R745" t="str">
        <f>'Lager_&amp;_Montagematerial'!C132</f>
        <v>Reinigung Edelstahloberflächen</v>
      </c>
      <c r="S745"/>
      <c r="T745"/>
      <c r="U745"/>
      <c r="W745" s="3"/>
      <c r="X745" s="3"/>
      <c r="Y745" s="3"/>
      <c r="AB745" s="3"/>
      <c r="AC745" s="3"/>
      <c r="AD745" s="3"/>
      <c r="AO745"/>
      <c r="AP745"/>
      <c r="AQ745"/>
      <c r="AR745"/>
      <c r="AS745"/>
      <c r="AT745"/>
      <c r="BF745" s="2135" t="str">
        <f t="shared" si="92"/>
        <v>7402006</v>
      </c>
      <c r="BG745" s="2135">
        <f t="shared" si="91"/>
        <v>0</v>
      </c>
      <c r="BH745" s="2136" t="s">
        <v>53</v>
      </c>
    </row>
    <row r="746" spans="1:60" x14ac:dyDescent="0.2">
      <c r="A746" s="662" t="s">
        <v>692</v>
      </c>
      <c r="B746" s="1512" t="str">
        <f>'Lager_&amp;_Montagematerial'!E133</f>
        <v>UHU POLY MAX EXPRESS klar Montagekleber</v>
      </c>
      <c r="C746" s="2314"/>
      <c r="D746" s="729" t="str">
        <f>'Lager_&amp;_Montagematerial'!G133</f>
        <v>0140077</v>
      </c>
      <c r="E746" s="2314"/>
      <c r="F746" s="728">
        <f>'Lager_&amp;_Montagematerial'!H133</f>
        <v>0</v>
      </c>
      <c r="G746" s="2314"/>
      <c r="H746" s="729">
        <v>0</v>
      </c>
      <c r="I746" s="2314"/>
      <c r="J746" s="729">
        <v>0</v>
      </c>
      <c r="K746" s="2314"/>
      <c r="L746" s="664"/>
      <c r="M746" s="2314"/>
      <c r="N746" s="663" t="s">
        <v>53</v>
      </c>
      <c r="Q746"/>
      <c r="R746" t="str">
        <f>'Lager_&amp;_Montagematerial'!C133</f>
        <v>Befestigung Stoßkantenabdeckblech(e)</v>
      </c>
      <c r="S746"/>
      <c r="T746"/>
      <c r="U746"/>
      <c r="W746" s="3"/>
      <c r="X746" s="3"/>
      <c r="Y746" s="3"/>
      <c r="AB746" s="3"/>
      <c r="AC746" s="3"/>
      <c r="AD746" s="3"/>
      <c r="AO746"/>
      <c r="AP746"/>
      <c r="AQ746"/>
      <c r="AR746"/>
      <c r="AS746"/>
      <c r="AT746"/>
      <c r="BF746" s="2135" t="str">
        <f t="shared" ref="BF746:BF748" si="95">D746</f>
        <v>0140077</v>
      </c>
      <c r="BG746" s="2135">
        <f t="shared" ref="BG746:BG748" si="96">F746</f>
        <v>0</v>
      </c>
      <c r="BH746" s="2136" t="s">
        <v>53</v>
      </c>
    </row>
    <row r="747" spans="1:60" x14ac:dyDescent="0.2">
      <c r="A747" s="662" t="s">
        <v>692</v>
      </c>
      <c r="B747" s="1512" t="str">
        <f>'Lager_&amp;_Montagematerial'!E134</f>
        <v>Bremsenreiniger</v>
      </c>
      <c r="C747" s="2314"/>
      <c r="D747" s="729" t="str">
        <f>'Lager_&amp;_Montagematerial'!G134</f>
        <v>7301008</v>
      </c>
      <c r="E747" s="2314"/>
      <c r="F747" s="728">
        <f>'Lager_&amp;_Montagematerial'!H134</f>
        <v>0</v>
      </c>
      <c r="G747" s="2314"/>
      <c r="H747" s="729">
        <v>0</v>
      </c>
      <c r="I747" s="2314"/>
      <c r="J747" s="729">
        <v>0</v>
      </c>
      <c r="K747" s="2314"/>
      <c r="L747" s="664"/>
      <c r="M747" s="2314"/>
      <c r="N747" s="663" t="s">
        <v>53</v>
      </c>
      <c r="Q747"/>
      <c r="R747" t="str">
        <f>'Lager_&amp;_Montagematerial'!C134</f>
        <v>Befestigung Stoßkantenabdeckblech(e)</v>
      </c>
      <c r="S747"/>
      <c r="T747"/>
      <c r="U747"/>
      <c r="W747" s="3"/>
      <c r="X747" s="3"/>
      <c r="Y747" s="3"/>
      <c r="AB747" s="3"/>
      <c r="AC747" s="3"/>
      <c r="AD747" s="3"/>
      <c r="AO747"/>
      <c r="AP747"/>
      <c r="AQ747"/>
      <c r="AR747"/>
      <c r="AS747"/>
      <c r="AT747"/>
      <c r="BF747" s="2135" t="str">
        <f t="shared" si="95"/>
        <v>7301008</v>
      </c>
      <c r="BG747" s="2135">
        <f t="shared" si="96"/>
        <v>0</v>
      </c>
      <c r="BH747" s="2136" t="s">
        <v>53</v>
      </c>
    </row>
    <row r="748" spans="1:60" x14ac:dyDescent="0.2">
      <c r="A748" s="662" t="s">
        <v>692</v>
      </c>
      <c r="B748" s="1512" t="str">
        <f>'Lager_&amp;_Montagematerial'!E135</f>
        <v>Zahnspachtel Zahnung A2</v>
      </c>
      <c r="C748" s="2314"/>
      <c r="D748" s="729" t="str">
        <f>'Lager_&amp;_Montagematerial'!G135</f>
        <v>7001300</v>
      </c>
      <c r="E748" s="2314"/>
      <c r="F748" s="728">
        <f>'Lager_&amp;_Montagematerial'!H135</f>
        <v>0</v>
      </c>
      <c r="G748" s="2314"/>
      <c r="H748" s="729">
        <v>0</v>
      </c>
      <c r="I748" s="2314"/>
      <c r="J748" s="729">
        <v>0</v>
      </c>
      <c r="K748" s="2314"/>
      <c r="L748" s="664"/>
      <c r="M748" s="2314"/>
      <c r="N748" s="663" t="s">
        <v>53</v>
      </c>
      <c r="Q748"/>
      <c r="R748" t="str">
        <f>'Lager_&amp;_Montagematerial'!C135</f>
        <v>Befestigung Stoßkantenabdeckblech(e)</v>
      </c>
      <c r="S748"/>
      <c r="T748"/>
      <c r="U748"/>
      <c r="W748" s="3"/>
      <c r="X748" s="3"/>
      <c r="Y748" s="3"/>
      <c r="AB748" s="3"/>
      <c r="AC748" s="3"/>
      <c r="AD748" s="3"/>
      <c r="AO748"/>
      <c r="AP748"/>
      <c r="AQ748"/>
      <c r="AR748"/>
      <c r="AS748"/>
      <c r="AT748"/>
      <c r="BF748" s="2135" t="str">
        <f t="shared" si="95"/>
        <v>7001300</v>
      </c>
      <c r="BG748" s="2135">
        <f t="shared" si="96"/>
        <v>0</v>
      </c>
      <c r="BH748" s="2136" t="s">
        <v>53</v>
      </c>
    </row>
    <row r="749" spans="1:60" x14ac:dyDescent="0.2">
      <c r="A749" s="662" t="s">
        <v>692</v>
      </c>
      <c r="B749" s="1512" t="str">
        <f>'Lager_&amp;_Montagematerial'!E136</f>
        <v>Brandschutzdichtung Acryl, BSDI-Acryl-B2</v>
      </c>
      <c r="C749" s="2314"/>
      <c r="D749" s="729" t="str">
        <f>'Lager_&amp;_Montagematerial'!G136</f>
        <v>0212010</v>
      </c>
      <c r="E749" s="2314"/>
      <c r="F749" s="728">
        <f>'Lager_&amp;_Montagematerial'!H136</f>
        <v>0</v>
      </c>
      <c r="G749" s="2314"/>
      <c r="H749" s="729">
        <v>0</v>
      </c>
      <c r="I749" s="2314"/>
      <c r="J749" s="729">
        <v>0</v>
      </c>
      <c r="K749" s="2314"/>
      <c r="L749" s="664"/>
      <c r="M749" s="2314"/>
      <c r="N749" s="663" t="s">
        <v>53</v>
      </c>
      <c r="Q749"/>
      <c r="R749" t="str">
        <f>'Lager_&amp;_Montagematerial'!C136</f>
        <v>Versiegelung</v>
      </c>
      <c r="S749"/>
      <c r="T749"/>
      <c r="U749"/>
      <c r="W749" s="3"/>
      <c r="X749" s="3"/>
      <c r="Y749" s="3"/>
      <c r="AB749" s="3"/>
      <c r="AC749" s="3"/>
      <c r="AD749" s="3"/>
      <c r="AO749"/>
      <c r="AP749"/>
      <c r="AQ749"/>
      <c r="AR749"/>
      <c r="AS749"/>
      <c r="AT749"/>
      <c r="BF749" s="2135" t="str">
        <f t="shared" si="92"/>
        <v>0212010</v>
      </c>
      <c r="BG749" s="2135">
        <f t="shared" si="91"/>
        <v>0</v>
      </c>
      <c r="BH749" s="2136" t="s">
        <v>53</v>
      </c>
    </row>
    <row r="750" spans="1:60" x14ac:dyDescent="0.2">
      <c r="A750" s="662" t="s">
        <v>692</v>
      </c>
      <c r="B750" s="1512">
        <f>'Lager_&amp;_Montagematerial'!E137</f>
        <v>0</v>
      </c>
      <c r="C750" s="2314"/>
      <c r="D750" s="729">
        <f>'Lager_&amp;_Montagematerial'!G137</f>
        <v>0</v>
      </c>
      <c r="E750" s="2314"/>
      <c r="F750" s="728">
        <f>'Lager_&amp;_Montagematerial'!H137</f>
        <v>0</v>
      </c>
      <c r="G750" s="2314"/>
      <c r="H750" s="729">
        <v>0</v>
      </c>
      <c r="I750" s="2314"/>
      <c r="J750" s="729">
        <v>0</v>
      </c>
      <c r="K750" s="2314"/>
      <c r="L750" s="664"/>
      <c r="M750" s="2314"/>
      <c r="N750" s="663" t="s">
        <v>53</v>
      </c>
      <c r="Q750"/>
      <c r="R750">
        <f>'Lager_&amp;_Montagematerial'!C137</f>
        <v>0</v>
      </c>
      <c r="S750"/>
      <c r="T750"/>
      <c r="U750"/>
      <c r="W750" s="3"/>
      <c r="X750" s="3"/>
      <c r="Y750" s="3"/>
      <c r="AB750" s="3"/>
      <c r="AC750" s="3"/>
      <c r="AD750" s="3"/>
      <c r="AO750"/>
      <c r="AP750"/>
      <c r="AQ750"/>
      <c r="AR750"/>
      <c r="AS750"/>
      <c r="AT750"/>
      <c r="BF750" s="2135">
        <f t="shared" si="92"/>
        <v>0</v>
      </c>
      <c r="BG750" s="2135">
        <f t="shared" si="91"/>
        <v>0</v>
      </c>
      <c r="BH750" s="2136" t="s">
        <v>53</v>
      </c>
    </row>
    <row r="751" spans="1:60" x14ac:dyDescent="0.2">
      <c r="A751" s="662" t="s">
        <v>692</v>
      </c>
      <c r="B751" s="1512">
        <f>'Lager_&amp;_Montagematerial'!E138</f>
        <v>0</v>
      </c>
      <c r="C751" s="2314"/>
      <c r="D751" s="729">
        <f>'Lager_&amp;_Montagematerial'!G138</f>
        <v>0</v>
      </c>
      <c r="E751" s="2314"/>
      <c r="F751" s="728">
        <f>'Lager_&amp;_Montagematerial'!H138</f>
        <v>0</v>
      </c>
      <c r="G751" s="2314"/>
      <c r="H751" s="729">
        <v>0</v>
      </c>
      <c r="I751" s="2314"/>
      <c r="J751" s="729">
        <v>0</v>
      </c>
      <c r="K751" s="2314"/>
      <c r="L751" s="664"/>
      <c r="M751" s="2314"/>
      <c r="N751" s="663" t="s">
        <v>53</v>
      </c>
      <c r="Q751"/>
      <c r="R751">
        <f>'Lager_&amp;_Montagematerial'!C138</f>
        <v>0</v>
      </c>
      <c r="S751"/>
      <c r="T751"/>
      <c r="U751"/>
      <c r="W751" s="3"/>
      <c r="X751" s="3"/>
      <c r="Y751" s="3"/>
      <c r="AB751" s="3"/>
      <c r="AC751" s="3"/>
      <c r="AD751" s="3"/>
      <c r="AO751"/>
      <c r="AP751"/>
      <c r="AQ751"/>
      <c r="AR751"/>
      <c r="AS751"/>
      <c r="AT751"/>
      <c r="BF751" s="2135">
        <f t="shared" si="92"/>
        <v>0</v>
      </c>
      <c r="BG751" s="2135">
        <f t="shared" si="91"/>
        <v>0</v>
      </c>
      <c r="BH751" s="2136" t="s">
        <v>53</v>
      </c>
    </row>
    <row r="752" spans="1:60" x14ac:dyDescent="0.2">
      <c r="A752" s="662" t="s">
        <v>692</v>
      </c>
      <c r="B752" s="1512">
        <f>'Lager_&amp;_Montagematerial'!E139</f>
        <v>0</v>
      </c>
      <c r="C752" s="2314"/>
      <c r="D752" s="729">
        <f>'Lager_&amp;_Montagematerial'!G139</f>
        <v>0</v>
      </c>
      <c r="E752" s="2314"/>
      <c r="F752" s="728">
        <f>'Lager_&amp;_Montagematerial'!H139</f>
        <v>0</v>
      </c>
      <c r="G752" s="2314"/>
      <c r="H752" s="729">
        <v>0</v>
      </c>
      <c r="I752" s="2314"/>
      <c r="J752" s="729">
        <v>0</v>
      </c>
      <c r="K752" s="2314"/>
      <c r="L752" s="664"/>
      <c r="M752" s="2314"/>
      <c r="N752" s="663" t="s">
        <v>53</v>
      </c>
      <c r="Q752"/>
      <c r="R752">
        <f>'Lager_&amp;_Montagematerial'!C139</f>
        <v>0</v>
      </c>
      <c r="S752"/>
      <c r="T752"/>
      <c r="U752"/>
      <c r="W752" s="3"/>
      <c r="X752" s="3"/>
      <c r="Y752" s="3"/>
      <c r="AB752" s="3"/>
      <c r="AC752" s="3"/>
      <c r="AD752" s="3"/>
      <c r="AO752"/>
      <c r="AP752"/>
      <c r="AQ752"/>
      <c r="AR752"/>
      <c r="AS752"/>
      <c r="AT752"/>
      <c r="BF752" s="2135">
        <f t="shared" si="92"/>
        <v>0</v>
      </c>
      <c r="BG752" s="2135">
        <f t="shared" si="91"/>
        <v>0</v>
      </c>
      <c r="BH752" s="2136" t="s">
        <v>53</v>
      </c>
    </row>
    <row r="753" spans="1:60" x14ac:dyDescent="0.2">
      <c r="A753" s="662" t="s">
        <v>692</v>
      </c>
      <c r="B753" s="1512">
        <f>'Lager_&amp;_Montagematerial'!E140</f>
        <v>0</v>
      </c>
      <c r="C753" s="2314"/>
      <c r="D753" s="729">
        <f>'Lager_&amp;_Montagematerial'!G140</f>
        <v>0</v>
      </c>
      <c r="E753" s="2314"/>
      <c r="F753" s="728">
        <f>'Lager_&amp;_Montagematerial'!H140</f>
        <v>0</v>
      </c>
      <c r="G753" s="2314"/>
      <c r="H753" s="729">
        <v>0</v>
      </c>
      <c r="I753" s="2314"/>
      <c r="J753" s="729">
        <v>0</v>
      </c>
      <c r="K753" s="2314"/>
      <c r="L753" s="664"/>
      <c r="M753" s="2314"/>
      <c r="N753" s="663" t="s">
        <v>53</v>
      </c>
      <c r="Q753"/>
      <c r="R753">
        <f>'Lager_&amp;_Montagematerial'!C140</f>
        <v>0</v>
      </c>
      <c r="S753"/>
      <c r="T753"/>
      <c r="U753"/>
      <c r="W753" s="3"/>
      <c r="X753" s="3"/>
      <c r="Y753" s="3"/>
      <c r="AB753" s="3"/>
      <c r="AC753" s="3"/>
      <c r="AD753" s="3"/>
      <c r="AO753"/>
      <c r="AP753"/>
      <c r="AQ753"/>
      <c r="AR753"/>
      <c r="AS753"/>
      <c r="AT753"/>
      <c r="BF753" s="2135">
        <f t="shared" si="92"/>
        <v>0</v>
      </c>
      <c r="BG753" s="2135">
        <f t="shared" ref="BG753:BG806" si="97">F753</f>
        <v>0</v>
      </c>
      <c r="BH753" s="2136" t="s">
        <v>53</v>
      </c>
    </row>
    <row r="754" spans="1:60" x14ac:dyDescent="0.2">
      <c r="A754" s="662" t="s">
        <v>692</v>
      </c>
      <c r="B754" s="1512">
        <f>'Lager_&amp;_Montagematerial'!E141</f>
        <v>0</v>
      </c>
      <c r="C754" s="2314"/>
      <c r="D754" s="729">
        <f>'Lager_&amp;_Montagematerial'!G141</f>
        <v>0</v>
      </c>
      <c r="E754" s="2314"/>
      <c r="F754" s="728">
        <f>'Lager_&amp;_Montagematerial'!H141</f>
        <v>0</v>
      </c>
      <c r="G754" s="2314"/>
      <c r="H754" s="729">
        <v>0</v>
      </c>
      <c r="I754" s="2314"/>
      <c r="J754" s="729">
        <v>0</v>
      </c>
      <c r="K754" s="2314"/>
      <c r="L754" s="664"/>
      <c r="M754" s="2314"/>
      <c r="N754" s="663" t="s">
        <v>53</v>
      </c>
      <c r="Q754"/>
      <c r="R754">
        <f>'Lager_&amp;_Montagematerial'!C141</f>
        <v>0</v>
      </c>
      <c r="S754"/>
      <c r="T754"/>
      <c r="U754"/>
      <c r="W754" s="3"/>
      <c r="X754" s="3"/>
      <c r="Y754" s="3"/>
      <c r="AB754" s="3"/>
      <c r="AC754" s="3"/>
      <c r="AD754" s="3"/>
      <c r="AO754"/>
      <c r="AP754"/>
      <c r="AQ754"/>
      <c r="AR754"/>
      <c r="AS754"/>
      <c r="AT754"/>
      <c r="BF754" s="2135">
        <f t="shared" ref="BF754:BF806" si="98">D754</f>
        <v>0</v>
      </c>
      <c r="BG754" s="2135">
        <f t="shared" si="97"/>
        <v>0</v>
      </c>
      <c r="BH754" s="2136" t="s">
        <v>53</v>
      </c>
    </row>
    <row r="755" spans="1:60" x14ac:dyDescent="0.2">
      <c r="A755" s="662" t="s">
        <v>692</v>
      </c>
      <c r="B755" s="1512">
        <f>'Lager_&amp;_Montagematerial'!E142</f>
        <v>0</v>
      </c>
      <c r="C755" s="2314"/>
      <c r="D755" s="729">
        <f>'Lager_&amp;_Montagematerial'!G142</f>
        <v>0</v>
      </c>
      <c r="E755" s="2314"/>
      <c r="F755" s="728">
        <f>'Lager_&amp;_Montagematerial'!H142</f>
        <v>0</v>
      </c>
      <c r="G755" s="2314"/>
      <c r="H755" s="729">
        <v>0</v>
      </c>
      <c r="I755" s="2314"/>
      <c r="J755" s="729">
        <v>0</v>
      </c>
      <c r="K755" s="2314"/>
      <c r="L755" s="664"/>
      <c r="M755" s="2314"/>
      <c r="N755" s="663" t="s">
        <v>53</v>
      </c>
      <c r="Q755"/>
      <c r="R755">
        <f>'Lager_&amp;_Montagematerial'!C142</f>
        <v>0</v>
      </c>
      <c r="S755"/>
      <c r="T755"/>
      <c r="U755"/>
      <c r="W755" s="3"/>
      <c r="X755" s="3"/>
      <c r="Y755" s="3"/>
      <c r="AB755" s="3"/>
      <c r="AC755" s="3"/>
      <c r="AD755" s="3"/>
      <c r="AO755"/>
      <c r="AP755"/>
      <c r="AQ755"/>
      <c r="AR755"/>
      <c r="AS755"/>
      <c r="AT755"/>
      <c r="BF755" s="2135">
        <f t="shared" si="98"/>
        <v>0</v>
      </c>
      <c r="BG755" s="2135">
        <f t="shared" si="97"/>
        <v>0</v>
      </c>
      <c r="BH755" s="2136" t="s">
        <v>53</v>
      </c>
    </row>
    <row r="756" spans="1:60" x14ac:dyDescent="0.2">
      <c r="A756" s="662" t="s">
        <v>692</v>
      </c>
      <c r="B756" s="1512">
        <f>'Lager_&amp;_Montagematerial'!E143</f>
        <v>0</v>
      </c>
      <c r="C756" s="2314"/>
      <c r="D756" s="729">
        <f>'Lager_&amp;_Montagematerial'!G143</f>
        <v>0</v>
      </c>
      <c r="E756" s="2314"/>
      <c r="F756" s="728">
        <f>'Lager_&amp;_Montagematerial'!H143</f>
        <v>0</v>
      </c>
      <c r="G756" s="2314"/>
      <c r="H756" s="729">
        <v>0</v>
      </c>
      <c r="I756" s="2314"/>
      <c r="J756" s="729">
        <v>0</v>
      </c>
      <c r="K756" s="2314"/>
      <c r="L756" s="664"/>
      <c r="M756" s="2314"/>
      <c r="N756" s="663" t="s">
        <v>53</v>
      </c>
      <c r="Q756"/>
      <c r="R756">
        <f>'Lager_&amp;_Montagematerial'!C143</f>
        <v>0</v>
      </c>
      <c r="S756"/>
      <c r="T756"/>
      <c r="U756"/>
      <c r="W756" s="3"/>
      <c r="X756" s="3"/>
      <c r="Y756" s="3"/>
      <c r="AB756" s="3"/>
      <c r="AC756" s="3"/>
      <c r="AD756" s="3"/>
      <c r="AO756"/>
      <c r="AP756"/>
      <c r="AQ756"/>
      <c r="AR756"/>
      <c r="AS756"/>
      <c r="AT756"/>
      <c r="BF756" s="2135">
        <f t="shared" si="98"/>
        <v>0</v>
      </c>
      <c r="BG756" s="2135">
        <f t="shared" si="97"/>
        <v>0</v>
      </c>
      <c r="BH756" s="2136" t="s">
        <v>53</v>
      </c>
    </row>
    <row r="757" spans="1:60" x14ac:dyDescent="0.2">
      <c r="A757" s="662" t="s">
        <v>692</v>
      </c>
      <c r="B757" s="1512">
        <f>'Lager_&amp;_Montagematerial'!E144</f>
        <v>0</v>
      </c>
      <c r="C757" s="2314"/>
      <c r="D757" s="729">
        <f>'Lager_&amp;_Montagematerial'!G144</f>
        <v>0</v>
      </c>
      <c r="E757" s="2314"/>
      <c r="F757" s="728">
        <f>'Lager_&amp;_Montagematerial'!H144</f>
        <v>0</v>
      </c>
      <c r="G757" s="2314"/>
      <c r="H757" s="729">
        <v>0</v>
      </c>
      <c r="I757" s="2314"/>
      <c r="J757" s="729">
        <v>0</v>
      </c>
      <c r="K757" s="2314"/>
      <c r="L757" s="664"/>
      <c r="M757" s="2314"/>
      <c r="N757" s="663" t="s">
        <v>53</v>
      </c>
      <c r="Q757"/>
      <c r="R757">
        <f>'Lager_&amp;_Montagematerial'!C144</f>
        <v>0</v>
      </c>
      <c r="S757"/>
      <c r="T757"/>
      <c r="U757"/>
      <c r="W757" s="3"/>
      <c r="X757" s="3"/>
      <c r="Y757" s="3"/>
      <c r="AB757" s="3"/>
      <c r="AC757" s="3"/>
      <c r="AD757" s="3"/>
      <c r="AO757"/>
      <c r="AP757"/>
      <c r="AQ757"/>
      <c r="AR757"/>
      <c r="AS757"/>
      <c r="AT757"/>
      <c r="BF757" s="2135">
        <f t="shared" si="98"/>
        <v>0</v>
      </c>
      <c r="BG757" s="2135">
        <f t="shared" si="97"/>
        <v>0</v>
      </c>
      <c r="BH757" s="2136" t="s">
        <v>53</v>
      </c>
    </row>
    <row r="758" spans="1:60" x14ac:dyDescent="0.2">
      <c r="A758" s="662" t="s">
        <v>692</v>
      </c>
      <c r="B758" s="1512">
        <f>'Lager_&amp;_Montagematerial'!E145</f>
        <v>0</v>
      </c>
      <c r="C758" s="2314"/>
      <c r="D758" s="729">
        <f>'Lager_&amp;_Montagematerial'!G145</f>
        <v>0</v>
      </c>
      <c r="E758" s="2314"/>
      <c r="F758" s="728">
        <f>'Lager_&amp;_Montagematerial'!H145</f>
        <v>0</v>
      </c>
      <c r="G758" s="2314"/>
      <c r="H758" s="729">
        <v>0</v>
      </c>
      <c r="I758" s="2314"/>
      <c r="J758" s="729">
        <v>0</v>
      </c>
      <c r="K758" s="2314"/>
      <c r="L758" s="664"/>
      <c r="M758" s="2314"/>
      <c r="N758" s="663" t="s">
        <v>53</v>
      </c>
      <c r="Q758"/>
      <c r="R758">
        <f>'Lager_&amp;_Montagematerial'!C145</f>
        <v>0</v>
      </c>
      <c r="S758"/>
      <c r="T758"/>
      <c r="U758"/>
      <c r="W758" s="3"/>
      <c r="X758" s="3"/>
      <c r="Y758" s="3"/>
      <c r="AB758" s="3"/>
      <c r="AC758" s="3"/>
      <c r="AD758" s="3"/>
      <c r="AO758"/>
      <c r="AP758"/>
      <c r="AQ758"/>
      <c r="AR758"/>
      <c r="AS758"/>
      <c r="AT758"/>
      <c r="BF758" s="2135">
        <f t="shared" si="98"/>
        <v>0</v>
      </c>
      <c r="BG758" s="2135">
        <f t="shared" si="97"/>
        <v>0</v>
      </c>
      <c r="BH758" s="2136" t="s">
        <v>53</v>
      </c>
    </row>
    <row r="759" spans="1:60" x14ac:dyDescent="0.2">
      <c r="A759" s="662" t="s">
        <v>692</v>
      </c>
      <c r="B759" s="1512">
        <f>'Lager_&amp;_Montagematerial'!E146</f>
        <v>0</v>
      </c>
      <c r="C759" s="2314"/>
      <c r="D759" s="729">
        <f>'Lager_&amp;_Montagematerial'!G146</f>
        <v>0</v>
      </c>
      <c r="E759" s="2314"/>
      <c r="F759" s="728">
        <f>'Lager_&amp;_Montagematerial'!H146</f>
        <v>0</v>
      </c>
      <c r="G759" s="2314"/>
      <c r="H759" s="729">
        <v>0</v>
      </c>
      <c r="I759" s="2314"/>
      <c r="J759" s="729">
        <v>0</v>
      </c>
      <c r="K759" s="2314"/>
      <c r="L759" s="664"/>
      <c r="M759" s="2314"/>
      <c r="N759" s="663" t="s">
        <v>53</v>
      </c>
      <c r="Q759"/>
      <c r="R759">
        <f>'Lager_&amp;_Montagematerial'!C146</f>
        <v>0</v>
      </c>
      <c r="S759"/>
      <c r="T759"/>
      <c r="U759"/>
      <c r="W759" s="3"/>
      <c r="X759" s="3"/>
      <c r="Y759" s="3"/>
      <c r="AB759" s="3"/>
      <c r="AC759" s="3"/>
      <c r="AD759" s="3"/>
      <c r="AO759"/>
      <c r="AP759"/>
      <c r="AQ759"/>
      <c r="AR759"/>
      <c r="AS759"/>
      <c r="AT759"/>
      <c r="BF759" s="2135">
        <f t="shared" si="98"/>
        <v>0</v>
      </c>
      <c r="BG759" s="2135">
        <f t="shared" si="97"/>
        <v>0</v>
      </c>
      <c r="BH759" s="2136" t="s">
        <v>53</v>
      </c>
    </row>
    <row r="760" spans="1:60" x14ac:dyDescent="0.2">
      <c r="A760" s="662" t="s">
        <v>692</v>
      </c>
      <c r="B760" s="1512">
        <f>'Lager_&amp;_Montagematerial'!E147</f>
        <v>0</v>
      </c>
      <c r="C760" s="2314"/>
      <c r="D760" s="729">
        <f>'Lager_&amp;_Montagematerial'!G147</f>
        <v>0</v>
      </c>
      <c r="E760" s="2314"/>
      <c r="F760" s="728">
        <f>'Lager_&amp;_Montagematerial'!H147</f>
        <v>0</v>
      </c>
      <c r="G760" s="2314"/>
      <c r="H760" s="729">
        <v>0</v>
      </c>
      <c r="I760" s="2314"/>
      <c r="J760" s="729">
        <v>0</v>
      </c>
      <c r="K760" s="2314"/>
      <c r="L760" s="664"/>
      <c r="M760" s="2314"/>
      <c r="N760" s="663" t="s">
        <v>53</v>
      </c>
      <c r="Q760"/>
      <c r="R760">
        <f>'Lager_&amp;_Montagematerial'!C147</f>
        <v>0</v>
      </c>
      <c r="S760"/>
      <c r="T760"/>
      <c r="U760"/>
      <c r="W760" s="3"/>
      <c r="X760" s="3"/>
      <c r="Y760" s="3"/>
      <c r="AB760" s="3"/>
      <c r="AC760" s="3"/>
      <c r="AD760" s="3"/>
      <c r="AO760"/>
      <c r="AP760"/>
      <c r="AQ760"/>
      <c r="AR760"/>
      <c r="AS760"/>
      <c r="AT760"/>
      <c r="BF760" s="2135">
        <f t="shared" si="98"/>
        <v>0</v>
      </c>
      <c r="BG760" s="2135">
        <f t="shared" si="97"/>
        <v>0</v>
      </c>
      <c r="BH760" s="2136" t="s">
        <v>53</v>
      </c>
    </row>
    <row r="761" spans="1:60" x14ac:dyDescent="0.2">
      <c r="A761" s="662" t="s">
        <v>692</v>
      </c>
      <c r="B761" s="1512">
        <f>'Lager_&amp;_Montagematerial'!E148</f>
        <v>0</v>
      </c>
      <c r="C761" s="2314"/>
      <c r="D761" s="729">
        <f>'Lager_&amp;_Montagematerial'!G148</f>
        <v>0</v>
      </c>
      <c r="E761" s="2314"/>
      <c r="F761" s="728">
        <f>'Lager_&amp;_Montagematerial'!H148</f>
        <v>0</v>
      </c>
      <c r="G761" s="2314"/>
      <c r="H761" s="729">
        <v>0</v>
      </c>
      <c r="I761" s="2314"/>
      <c r="J761" s="729">
        <v>0</v>
      </c>
      <c r="K761" s="2314"/>
      <c r="L761" s="664"/>
      <c r="M761" s="2314"/>
      <c r="N761" s="663" t="s">
        <v>53</v>
      </c>
      <c r="Q761"/>
      <c r="R761">
        <f>'Lager_&amp;_Montagematerial'!C148</f>
        <v>0</v>
      </c>
      <c r="S761"/>
      <c r="T761"/>
      <c r="U761"/>
      <c r="W761" s="3"/>
      <c r="X761" s="3"/>
      <c r="Y761" s="3"/>
      <c r="AB761" s="3"/>
      <c r="AC761" s="3"/>
      <c r="AD761" s="3"/>
      <c r="AO761"/>
      <c r="AP761"/>
      <c r="AQ761"/>
      <c r="AR761"/>
      <c r="AS761"/>
      <c r="AT761"/>
      <c r="BF761" s="2135">
        <f t="shared" si="98"/>
        <v>0</v>
      </c>
      <c r="BG761" s="2135">
        <f t="shared" si="97"/>
        <v>0</v>
      </c>
      <c r="BH761" s="2136" t="s">
        <v>53</v>
      </c>
    </row>
    <row r="762" spans="1:60" x14ac:dyDescent="0.2">
      <c r="A762" s="662" t="s">
        <v>692</v>
      </c>
      <c r="B762" s="1512">
        <f>'Lager_&amp;_Montagematerial'!E149</f>
        <v>0</v>
      </c>
      <c r="C762" s="2314"/>
      <c r="D762" s="729">
        <f>'Lager_&amp;_Montagematerial'!G149</f>
        <v>0</v>
      </c>
      <c r="E762" s="2314"/>
      <c r="F762" s="728">
        <f>'Lager_&amp;_Montagematerial'!H149</f>
        <v>0</v>
      </c>
      <c r="G762" s="2314"/>
      <c r="H762" s="729">
        <v>0</v>
      </c>
      <c r="I762" s="2314"/>
      <c r="J762" s="729">
        <v>0</v>
      </c>
      <c r="K762" s="2314"/>
      <c r="L762" s="664"/>
      <c r="M762" s="2314"/>
      <c r="N762" s="663" t="s">
        <v>53</v>
      </c>
      <c r="Q762"/>
      <c r="R762">
        <f>'Lager_&amp;_Montagematerial'!C149</f>
        <v>0</v>
      </c>
      <c r="S762"/>
      <c r="T762"/>
      <c r="U762"/>
      <c r="W762" s="3"/>
      <c r="X762" s="3"/>
      <c r="Y762" s="3"/>
      <c r="AB762" s="3"/>
      <c r="AC762" s="3"/>
      <c r="AD762" s="3"/>
      <c r="AO762"/>
      <c r="AP762"/>
      <c r="AQ762"/>
      <c r="AR762"/>
      <c r="AS762"/>
      <c r="AT762"/>
      <c r="BF762" s="2135">
        <f t="shared" si="98"/>
        <v>0</v>
      </c>
      <c r="BG762" s="2135">
        <f t="shared" si="97"/>
        <v>0</v>
      </c>
      <c r="BH762" s="2136" t="s">
        <v>53</v>
      </c>
    </row>
    <row r="763" spans="1:60" x14ac:dyDescent="0.2">
      <c r="A763" s="662" t="s">
        <v>692</v>
      </c>
      <c r="B763" s="1512">
        <f>'Lager_&amp;_Montagematerial'!E150</f>
        <v>0</v>
      </c>
      <c r="C763" s="2314"/>
      <c r="D763" s="729">
        <f>'Lager_&amp;_Montagematerial'!G150</f>
        <v>0</v>
      </c>
      <c r="E763" s="2314"/>
      <c r="F763" s="728">
        <f>'Lager_&amp;_Montagematerial'!H150</f>
        <v>0</v>
      </c>
      <c r="G763" s="2314"/>
      <c r="H763" s="729">
        <v>0</v>
      </c>
      <c r="I763" s="2314"/>
      <c r="J763" s="729">
        <v>0</v>
      </c>
      <c r="K763" s="2314"/>
      <c r="L763" s="664"/>
      <c r="M763" s="2314"/>
      <c r="N763" s="663" t="s">
        <v>53</v>
      </c>
      <c r="Q763"/>
      <c r="R763">
        <f>'Lager_&amp;_Montagematerial'!C150</f>
        <v>0</v>
      </c>
      <c r="S763"/>
      <c r="T763"/>
      <c r="U763"/>
      <c r="W763" s="3"/>
      <c r="X763" s="3"/>
      <c r="Y763" s="3"/>
      <c r="AB763" s="3"/>
      <c r="AC763" s="3"/>
      <c r="AD763" s="3"/>
      <c r="AO763"/>
      <c r="AP763"/>
      <c r="AQ763"/>
      <c r="AR763"/>
      <c r="AS763"/>
      <c r="AT763"/>
      <c r="BF763" s="2135">
        <f t="shared" si="98"/>
        <v>0</v>
      </c>
      <c r="BG763" s="2135">
        <f t="shared" si="97"/>
        <v>0</v>
      </c>
      <c r="BH763" s="2136" t="s">
        <v>53</v>
      </c>
    </row>
    <row r="764" spans="1:60" x14ac:dyDescent="0.2">
      <c r="A764" s="662" t="s">
        <v>692</v>
      </c>
      <c r="B764" s="1512">
        <f>'Lager_&amp;_Montagematerial'!E151</f>
        <v>0</v>
      </c>
      <c r="C764" s="2314"/>
      <c r="D764" s="729">
        <f>'Lager_&amp;_Montagematerial'!G151</f>
        <v>0</v>
      </c>
      <c r="E764" s="2314"/>
      <c r="F764" s="728">
        <f>'Lager_&amp;_Montagematerial'!H151</f>
        <v>0</v>
      </c>
      <c r="G764" s="2314"/>
      <c r="H764" s="729">
        <v>0</v>
      </c>
      <c r="I764" s="2314"/>
      <c r="J764" s="729">
        <v>0</v>
      </c>
      <c r="K764" s="2314"/>
      <c r="L764" s="664"/>
      <c r="M764" s="2314"/>
      <c r="N764" s="663" t="s">
        <v>53</v>
      </c>
      <c r="Q764"/>
      <c r="R764">
        <f>'Lager_&amp;_Montagematerial'!C151</f>
        <v>0</v>
      </c>
      <c r="S764"/>
      <c r="T764"/>
      <c r="U764"/>
      <c r="W764" s="3"/>
      <c r="X764" s="3"/>
      <c r="Y764" s="3"/>
      <c r="AB764" s="3"/>
      <c r="AC764" s="3"/>
      <c r="AD764" s="3"/>
      <c r="AO764"/>
      <c r="AP764"/>
      <c r="AQ764"/>
      <c r="AR764"/>
      <c r="AS764"/>
      <c r="AT764"/>
      <c r="BF764" s="2135">
        <f t="shared" si="98"/>
        <v>0</v>
      </c>
      <c r="BG764" s="2135">
        <f t="shared" si="97"/>
        <v>0</v>
      </c>
      <c r="BH764" s="2136" t="s">
        <v>53</v>
      </c>
    </row>
    <row r="765" spans="1:60" x14ac:dyDescent="0.2">
      <c r="A765" s="662" t="s">
        <v>692</v>
      </c>
      <c r="B765" s="1512">
        <f>'Lager_&amp;_Montagematerial'!E152</f>
        <v>0</v>
      </c>
      <c r="C765" s="2314"/>
      <c r="D765" s="729">
        <f>'Lager_&amp;_Montagematerial'!G152</f>
        <v>0</v>
      </c>
      <c r="E765" s="2314"/>
      <c r="F765" s="728">
        <f>'Lager_&amp;_Montagematerial'!H152</f>
        <v>0</v>
      </c>
      <c r="G765" s="2314"/>
      <c r="H765" s="729">
        <v>0</v>
      </c>
      <c r="I765" s="2314"/>
      <c r="J765" s="729">
        <v>0</v>
      </c>
      <c r="K765" s="2314"/>
      <c r="L765" s="664"/>
      <c r="M765" s="2314"/>
      <c r="N765" s="663" t="s">
        <v>53</v>
      </c>
      <c r="Q765"/>
      <c r="R765">
        <f>'Lager_&amp;_Montagematerial'!C152</f>
        <v>0</v>
      </c>
      <c r="S765"/>
      <c r="T765"/>
      <c r="U765"/>
      <c r="W765" s="3"/>
      <c r="X765" s="3"/>
      <c r="Y765" s="3"/>
      <c r="AB765" s="3"/>
      <c r="AC765" s="3"/>
      <c r="AD765" s="3"/>
      <c r="AO765"/>
      <c r="AP765"/>
      <c r="AQ765"/>
      <c r="AR765"/>
      <c r="AS765"/>
      <c r="AT765"/>
      <c r="BF765" s="2135">
        <f t="shared" si="98"/>
        <v>0</v>
      </c>
      <c r="BG765" s="2135">
        <f t="shared" si="97"/>
        <v>0</v>
      </c>
      <c r="BH765" s="2136" t="s">
        <v>53</v>
      </c>
    </row>
    <row r="766" spans="1:60" x14ac:dyDescent="0.2">
      <c r="A766" s="662" t="s">
        <v>692</v>
      </c>
      <c r="B766" s="1512">
        <f>'Lager_&amp;_Montagematerial'!E153</f>
        <v>0</v>
      </c>
      <c r="C766" s="2314"/>
      <c r="D766" s="729">
        <f>'Lager_&amp;_Montagematerial'!G153</f>
        <v>0</v>
      </c>
      <c r="E766" s="2314"/>
      <c r="F766" s="728">
        <f>'Lager_&amp;_Montagematerial'!H153</f>
        <v>0</v>
      </c>
      <c r="G766" s="2314"/>
      <c r="H766" s="729">
        <v>0</v>
      </c>
      <c r="I766" s="2314"/>
      <c r="J766" s="729">
        <v>0</v>
      </c>
      <c r="K766" s="2314"/>
      <c r="L766" s="664"/>
      <c r="M766" s="2314"/>
      <c r="N766" s="663" t="s">
        <v>53</v>
      </c>
      <c r="Q766"/>
      <c r="R766">
        <f>'Lager_&amp;_Montagematerial'!C153</f>
        <v>0</v>
      </c>
      <c r="S766"/>
      <c r="T766"/>
      <c r="U766"/>
      <c r="W766" s="3"/>
      <c r="X766" s="3"/>
      <c r="Y766" s="3"/>
      <c r="AB766" s="3"/>
      <c r="AC766" s="3"/>
      <c r="AD766" s="3"/>
      <c r="AO766"/>
      <c r="AP766"/>
      <c r="AQ766"/>
      <c r="AR766"/>
      <c r="AS766"/>
      <c r="AT766"/>
      <c r="BF766" s="2135">
        <f t="shared" si="98"/>
        <v>0</v>
      </c>
      <c r="BG766" s="2135">
        <f t="shared" si="97"/>
        <v>0</v>
      </c>
      <c r="BH766" s="2136" t="s">
        <v>53</v>
      </c>
    </row>
    <row r="767" spans="1:60" x14ac:dyDescent="0.2">
      <c r="A767" s="662" t="s">
        <v>692</v>
      </c>
      <c r="B767" s="1512">
        <f>'Lager_&amp;_Montagematerial'!E154</f>
        <v>0</v>
      </c>
      <c r="C767" s="2314"/>
      <c r="D767" s="729">
        <f>'Lager_&amp;_Montagematerial'!G154</f>
        <v>0</v>
      </c>
      <c r="E767" s="2314"/>
      <c r="F767" s="728">
        <f>'Lager_&amp;_Montagematerial'!H154</f>
        <v>0</v>
      </c>
      <c r="G767" s="2314"/>
      <c r="H767" s="729">
        <v>0</v>
      </c>
      <c r="I767" s="2314"/>
      <c r="J767" s="729">
        <v>0</v>
      </c>
      <c r="K767" s="2314"/>
      <c r="L767" s="664"/>
      <c r="M767" s="2314"/>
      <c r="N767" s="663" t="s">
        <v>53</v>
      </c>
      <c r="Q767"/>
      <c r="R767">
        <f>'Lager_&amp;_Montagematerial'!C154</f>
        <v>0</v>
      </c>
      <c r="S767"/>
      <c r="T767"/>
      <c r="U767"/>
      <c r="W767" s="3"/>
      <c r="X767" s="3"/>
      <c r="Y767" s="3"/>
      <c r="AB767" s="3"/>
      <c r="AC767" s="3"/>
      <c r="AD767" s="3"/>
      <c r="AO767"/>
      <c r="AP767"/>
      <c r="AQ767"/>
      <c r="AR767"/>
      <c r="AS767"/>
      <c r="AT767"/>
      <c r="BF767" s="2135">
        <f t="shared" si="98"/>
        <v>0</v>
      </c>
      <c r="BG767" s="2135">
        <f t="shared" si="97"/>
        <v>0</v>
      </c>
      <c r="BH767" s="2136" t="s">
        <v>53</v>
      </c>
    </row>
    <row r="768" spans="1:60" x14ac:dyDescent="0.2">
      <c r="A768" s="662" t="s">
        <v>692</v>
      </c>
      <c r="B768" s="1512">
        <f>'Lager_&amp;_Montagematerial'!E155</f>
        <v>0</v>
      </c>
      <c r="C768" s="2314"/>
      <c r="D768" s="729">
        <f>'Lager_&amp;_Montagematerial'!G155</f>
        <v>0</v>
      </c>
      <c r="E768" s="2314"/>
      <c r="F768" s="728">
        <f>'Lager_&amp;_Montagematerial'!H155</f>
        <v>0</v>
      </c>
      <c r="G768" s="2314"/>
      <c r="H768" s="729">
        <v>0</v>
      </c>
      <c r="I768" s="2314"/>
      <c r="J768" s="729">
        <v>0</v>
      </c>
      <c r="K768" s="2314"/>
      <c r="L768" s="664"/>
      <c r="M768" s="2314"/>
      <c r="N768" s="663" t="s">
        <v>53</v>
      </c>
      <c r="Q768"/>
      <c r="R768">
        <f>'Lager_&amp;_Montagematerial'!C155</f>
        <v>0</v>
      </c>
      <c r="S768"/>
      <c r="T768"/>
      <c r="U768"/>
      <c r="W768" s="3"/>
      <c r="X768" s="3"/>
      <c r="Y768" s="3"/>
      <c r="AB768" s="3"/>
      <c r="AC768" s="3"/>
      <c r="AD768" s="3"/>
      <c r="AO768"/>
      <c r="AP768"/>
      <c r="AQ768"/>
      <c r="AR768"/>
      <c r="AS768"/>
      <c r="AT768"/>
      <c r="BF768" s="2135">
        <f t="shared" si="98"/>
        <v>0</v>
      </c>
      <c r="BG768" s="2135">
        <f t="shared" si="97"/>
        <v>0</v>
      </c>
      <c r="BH768" s="2136" t="s">
        <v>53</v>
      </c>
    </row>
    <row r="769" spans="1:60" x14ac:dyDescent="0.2">
      <c r="A769" s="662" t="s">
        <v>692</v>
      </c>
      <c r="B769" s="1512">
        <f>'Lager_&amp;_Montagematerial'!E156</f>
        <v>0</v>
      </c>
      <c r="C769" s="2314"/>
      <c r="D769" s="729">
        <f>'Lager_&amp;_Montagematerial'!G156</f>
        <v>0</v>
      </c>
      <c r="E769" s="2314"/>
      <c r="F769" s="728">
        <f>'Lager_&amp;_Montagematerial'!H156</f>
        <v>0</v>
      </c>
      <c r="G769" s="2314"/>
      <c r="H769" s="729">
        <v>0</v>
      </c>
      <c r="I769" s="2314"/>
      <c r="J769" s="729">
        <v>0</v>
      </c>
      <c r="K769" s="2314"/>
      <c r="L769" s="664"/>
      <c r="M769" s="2314"/>
      <c r="N769" s="663" t="s">
        <v>53</v>
      </c>
      <c r="Q769"/>
      <c r="R769">
        <f>'Lager_&amp;_Montagematerial'!C156</f>
        <v>0</v>
      </c>
      <c r="S769"/>
      <c r="T769"/>
      <c r="U769"/>
      <c r="W769" s="3"/>
      <c r="X769" s="3"/>
      <c r="Y769" s="3"/>
      <c r="AB769" s="3"/>
      <c r="AC769" s="3"/>
      <c r="AD769" s="3"/>
      <c r="AO769"/>
      <c r="AP769"/>
      <c r="AQ769"/>
      <c r="AR769"/>
      <c r="AS769"/>
      <c r="AT769"/>
      <c r="BF769" s="2135">
        <f t="shared" si="98"/>
        <v>0</v>
      </c>
      <c r="BG769" s="2135">
        <f t="shared" si="97"/>
        <v>0</v>
      </c>
      <c r="BH769" s="2136" t="s">
        <v>53</v>
      </c>
    </row>
    <row r="770" spans="1:60" x14ac:dyDescent="0.2">
      <c r="A770" s="662" t="s">
        <v>692</v>
      </c>
      <c r="B770" s="1512">
        <f>'Lager_&amp;_Montagematerial'!E157</f>
        <v>0</v>
      </c>
      <c r="C770" s="2314"/>
      <c r="D770" s="729">
        <f>'Lager_&amp;_Montagematerial'!G157</f>
        <v>0</v>
      </c>
      <c r="E770" s="2314"/>
      <c r="F770" s="728">
        <f>'Lager_&amp;_Montagematerial'!H157</f>
        <v>0</v>
      </c>
      <c r="G770" s="2314"/>
      <c r="H770" s="729">
        <v>0</v>
      </c>
      <c r="I770" s="2314"/>
      <c r="J770" s="729">
        <v>0</v>
      </c>
      <c r="K770" s="2314"/>
      <c r="L770" s="664"/>
      <c r="M770" s="2314"/>
      <c r="N770" s="663" t="s">
        <v>53</v>
      </c>
      <c r="Q770"/>
      <c r="R770">
        <f>'Lager_&amp;_Montagematerial'!C157</f>
        <v>0</v>
      </c>
      <c r="S770"/>
      <c r="T770"/>
      <c r="U770"/>
      <c r="W770" s="3"/>
      <c r="X770" s="3"/>
      <c r="Y770" s="3"/>
      <c r="AB770" s="3"/>
      <c r="AC770" s="3"/>
      <c r="AD770" s="3"/>
      <c r="AO770"/>
      <c r="AP770"/>
      <c r="AQ770"/>
      <c r="AR770"/>
      <c r="AS770"/>
      <c r="AT770"/>
      <c r="BF770" s="2135">
        <f t="shared" si="98"/>
        <v>0</v>
      </c>
      <c r="BG770" s="2135">
        <f t="shared" si="97"/>
        <v>0</v>
      </c>
      <c r="BH770" s="2136" t="s">
        <v>53</v>
      </c>
    </row>
    <row r="771" spans="1:60" x14ac:dyDescent="0.2">
      <c r="A771" s="662" t="s">
        <v>692</v>
      </c>
      <c r="B771" s="1512">
        <f>'Lager_&amp;_Montagematerial'!E158</f>
        <v>0</v>
      </c>
      <c r="C771" s="2314"/>
      <c r="D771" s="729">
        <f>'Lager_&amp;_Montagematerial'!G158</f>
        <v>0</v>
      </c>
      <c r="E771" s="2314"/>
      <c r="F771" s="728">
        <f>'Lager_&amp;_Montagematerial'!H158</f>
        <v>0</v>
      </c>
      <c r="G771" s="2314"/>
      <c r="H771" s="729">
        <v>0</v>
      </c>
      <c r="I771" s="2314"/>
      <c r="J771" s="729">
        <v>0</v>
      </c>
      <c r="K771" s="2314"/>
      <c r="L771" s="664"/>
      <c r="M771" s="2314"/>
      <c r="N771" s="663" t="s">
        <v>53</v>
      </c>
      <c r="Q771"/>
      <c r="R771">
        <f>'Lager_&amp;_Montagematerial'!C158</f>
        <v>0</v>
      </c>
      <c r="S771"/>
      <c r="T771"/>
      <c r="U771"/>
      <c r="W771" s="3"/>
      <c r="X771" s="3"/>
      <c r="Y771" s="3"/>
      <c r="AB771" s="3"/>
      <c r="AC771" s="3"/>
      <c r="AD771" s="3"/>
      <c r="AO771"/>
      <c r="AP771"/>
      <c r="AQ771"/>
      <c r="AR771"/>
      <c r="AS771"/>
      <c r="AT771"/>
      <c r="BF771" s="2135">
        <f t="shared" si="98"/>
        <v>0</v>
      </c>
      <c r="BG771" s="2135">
        <f t="shared" si="97"/>
        <v>0</v>
      </c>
      <c r="BH771" s="2136" t="s">
        <v>53</v>
      </c>
    </row>
    <row r="772" spans="1:60" x14ac:dyDescent="0.2">
      <c r="A772" s="662" t="s">
        <v>692</v>
      </c>
      <c r="B772" s="1512">
        <f>'Lager_&amp;_Montagematerial'!E159</f>
        <v>0</v>
      </c>
      <c r="C772" s="2314"/>
      <c r="D772" s="729">
        <f>'Lager_&amp;_Montagematerial'!G159</f>
        <v>0</v>
      </c>
      <c r="E772" s="2314"/>
      <c r="F772" s="728">
        <f>'Lager_&amp;_Montagematerial'!H159</f>
        <v>0</v>
      </c>
      <c r="G772" s="2314"/>
      <c r="H772" s="729">
        <v>0</v>
      </c>
      <c r="I772" s="2314"/>
      <c r="J772" s="729">
        <v>0</v>
      </c>
      <c r="K772" s="2314"/>
      <c r="L772" s="664"/>
      <c r="M772" s="2314"/>
      <c r="N772" s="663" t="s">
        <v>53</v>
      </c>
      <c r="Q772"/>
      <c r="R772">
        <f>'Lager_&amp;_Montagematerial'!C159</f>
        <v>0</v>
      </c>
      <c r="S772"/>
      <c r="T772"/>
      <c r="U772"/>
      <c r="W772" s="3"/>
      <c r="X772" s="3"/>
      <c r="Y772" s="3"/>
      <c r="AB772" s="3"/>
      <c r="AC772" s="3"/>
      <c r="AD772" s="3"/>
      <c r="AO772"/>
      <c r="AP772"/>
      <c r="AQ772"/>
      <c r="AR772"/>
      <c r="AS772"/>
      <c r="AT772"/>
      <c r="BF772" s="2135">
        <f t="shared" si="98"/>
        <v>0</v>
      </c>
      <c r="BG772" s="2135">
        <f t="shared" si="97"/>
        <v>0</v>
      </c>
      <c r="BH772" s="2136" t="s">
        <v>53</v>
      </c>
    </row>
    <row r="773" spans="1:60" x14ac:dyDescent="0.2">
      <c r="A773" s="662" t="s">
        <v>692</v>
      </c>
      <c r="B773" s="1512">
        <f>'Lager_&amp;_Montagematerial'!E160</f>
        <v>0</v>
      </c>
      <c r="C773" s="2314"/>
      <c r="D773" s="729">
        <f>'Lager_&amp;_Montagematerial'!G160</f>
        <v>0</v>
      </c>
      <c r="E773" s="2314"/>
      <c r="F773" s="728">
        <f>'Lager_&amp;_Montagematerial'!H160</f>
        <v>0</v>
      </c>
      <c r="G773" s="2314"/>
      <c r="H773" s="729">
        <v>0</v>
      </c>
      <c r="I773" s="2314"/>
      <c r="J773" s="729">
        <v>0</v>
      </c>
      <c r="K773" s="2314"/>
      <c r="L773" s="664"/>
      <c r="M773" s="2314"/>
      <c r="N773" s="663" t="s">
        <v>53</v>
      </c>
      <c r="Q773"/>
      <c r="R773">
        <f>'Lager_&amp;_Montagematerial'!C160</f>
        <v>0</v>
      </c>
      <c r="S773"/>
      <c r="T773"/>
      <c r="U773"/>
      <c r="W773" s="3"/>
      <c r="X773" s="3"/>
      <c r="Y773" s="3"/>
      <c r="AB773" s="3"/>
      <c r="AC773" s="3"/>
      <c r="AD773" s="3"/>
      <c r="AO773"/>
      <c r="AP773"/>
      <c r="AQ773"/>
      <c r="AR773"/>
      <c r="AS773"/>
      <c r="AT773"/>
      <c r="BF773" s="2135">
        <f t="shared" si="98"/>
        <v>0</v>
      </c>
      <c r="BG773" s="2135">
        <f t="shared" si="97"/>
        <v>0</v>
      </c>
      <c r="BH773" s="2136" t="s">
        <v>53</v>
      </c>
    </row>
    <row r="774" spans="1:60" x14ac:dyDescent="0.2">
      <c r="A774" s="662" t="s">
        <v>692</v>
      </c>
      <c r="B774" s="1512">
        <f>'Lager_&amp;_Montagematerial'!E161</f>
        <v>0</v>
      </c>
      <c r="C774" s="2314"/>
      <c r="D774" s="729">
        <f>'Lager_&amp;_Montagematerial'!G161</f>
        <v>0</v>
      </c>
      <c r="E774" s="2314"/>
      <c r="F774" s="728">
        <f>'Lager_&amp;_Montagematerial'!H161</f>
        <v>0</v>
      </c>
      <c r="G774" s="2314"/>
      <c r="H774" s="729">
        <v>0</v>
      </c>
      <c r="I774" s="2314"/>
      <c r="J774" s="729">
        <v>0</v>
      </c>
      <c r="K774" s="2314"/>
      <c r="L774" s="664"/>
      <c r="M774" s="2314"/>
      <c r="N774" s="663" t="s">
        <v>53</v>
      </c>
      <c r="Q774"/>
      <c r="R774">
        <f>'Lager_&amp;_Montagematerial'!C161</f>
        <v>0</v>
      </c>
      <c r="S774"/>
      <c r="T774"/>
      <c r="U774"/>
      <c r="W774" s="3"/>
      <c r="X774" s="3"/>
      <c r="Y774" s="3"/>
      <c r="AB774" s="3"/>
      <c r="AC774" s="3"/>
      <c r="AD774" s="3"/>
      <c r="AO774"/>
      <c r="AP774"/>
      <c r="AQ774"/>
      <c r="AR774"/>
      <c r="AS774"/>
      <c r="AT774"/>
      <c r="BF774" s="2135">
        <f t="shared" si="98"/>
        <v>0</v>
      </c>
      <c r="BG774" s="2135">
        <f t="shared" si="97"/>
        <v>0</v>
      </c>
      <c r="BH774" s="2136" t="s">
        <v>53</v>
      </c>
    </row>
    <row r="775" spans="1:60" x14ac:dyDescent="0.2">
      <c r="A775" s="662" t="s">
        <v>692</v>
      </c>
      <c r="B775" s="1512">
        <f>'Lager_&amp;_Montagematerial'!E162</f>
        <v>0</v>
      </c>
      <c r="C775" s="2314"/>
      <c r="D775" s="729">
        <f>'Lager_&amp;_Montagematerial'!G162</f>
        <v>0</v>
      </c>
      <c r="E775" s="2314"/>
      <c r="F775" s="728">
        <f>'Lager_&amp;_Montagematerial'!H162</f>
        <v>0</v>
      </c>
      <c r="G775" s="2314"/>
      <c r="H775" s="729">
        <v>0</v>
      </c>
      <c r="I775" s="2314"/>
      <c r="J775" s="729">
        <v>0</v>
      </c>
      <c r="K775" s="2314"/>
      <c r="L775" s="664"/>
      <c r="M775" s="2314"/>
      <c r="N775" s="663" t="s">
        <v>53</v>
      </c>
      <c r="Q775"/>
      <c r="R775">
        <f>'Lager_&amp;_Montagematerial'!C162</f>
        <v>0</v>
      </c>
      <c r="S775"/>
      <c r="T775"/>
      <c r="U775"/>
      <c r="W775" s="3"/>
      <c r="X775" s="3"/>
      <c r="Y775" s="3"/>
      <c r="AB775" s="3"/>
      <c r="AC775" s="3"/>
      <c r="AD775" s="3"/>
      <c r="AO775"/>
      <c r="AP775"/>
      <c r="AQ775"/>
      <c r="AR775"/>
      <c r="AS775"/>
      <c r="AT775"/>
      <c r="BF775" s="2135">
        <f t="shared" si="98"/>
        <v>0</v>
      </c>
      <c r="BG775" s="2135">
        <f t="shared" si="97"/>
        <v>0</v>
      </c>
      <c r="BH775" s="2136" t="s">
        <v>53</v>
      </c>
    </row>
    <row r="776" spans="1:60" x14ac:dyDescent="0.2">
      <c r="A776" s="662" t="s">
        <v>692</v>
      </c>
      <c r="B776" s="1512">
        <f>'Lager_&amp;_Montagematerial'!E163</f>
        <v>0</v>
      </c>
      <c r="C776" s="2314"/>
      <c r="D776" s="729">
        <f>'Lager_&amp;_Montagematerial'!G163</f>
        <v>0</v>
      </c>
      <c r="E776" s="2314"/>
      <c r="F776" s="728">
        <f>'Lager_&amp;_Montagematerial'!H163</f>
        <v>0</v>
      </c>
      <c r="G776" s="2314"/>
      <c r="H776" s="729">
        <v>0</v>
      </c>
      <c r="I776" s="2314"/>
      <c r="J776" s="729">
        <v>0</v>
      </c>
      <c r="K776" s="2314"/>
      <c r="L776" s="664"/>
      <c r="M776" s="2314"/>
      <c r="N776" s="663" t="s">
        <v>53</v>
      </c>
      <c r="Q776"/>
      <c r="R776">
        <f>'Lager_&amp;_Montagematerial'!C163</f>
        <v>0</v>
      </c>
      <c r="S776"/>
      <c r="T776"/>
      <c r="U776"/>
      <c r="W776" s="3"/>
      <c r="X776" s="3"/>
      <c r="Y776" s="3"/>
      <c r="AB776" s="3"/>
      <c r="AC776" s="3"/>
      <c r="AD776" s="3"/>
      <c r="AO776"/>
      <c r="AP776"/>
      <c r="AQ776"/>
      <c r="AR776"/>
      <c r="AS776"/>
      <c r="AT776"/>
      <c r="BF776" s="2135">
        <f t="shared" si="98"/>
        <v>0</v>
      </c>
      <c r="BG776" s="2135">
        <f t="shared" si="97"/>
        <v>0</v>
      </c>
      <c r="BH776" s="2136" t="s">
        <v>53</v>
      </c>
    </row>
    <row r="777" spans="1:60" x14ac:dyDescent="0.2">
      <c r="A777" s="662" t="s">
        <v>692</v>
      </c>
      <c r="B777" s="1512">
        <f>'Lager_&amp;_Montagematerial'!E164</f>
        <v>0</v>
      </c>
      <c r="C777" s="2314"/>
      <c r="D777" s="729">
        <f>'Lager_&amp;_Montagematerial'!G164</f>
        <v>0</v>
      </c>
      <c r="E777" s="2314"/>
      <c r="F777" s="728">
        <f>'Lager_&amp;_Montagematerial'!H164</f>
        <v>0</v>
      </c>
      <c r="G777" s="2314"/>
      <c r="H777" s="729">
        <v>0</v>
      </c>
      <c r="I777" s="2314"/>
      <c r="J777" s="729">
        <v>0</v>
      </c>
      <c r="K777" s="2314"/>
      <c r="L777" s="664"/>
      <c r="M777" s="2314"/>
      <c r="N777" s="663" t="s">
        <v>53</v>
      </c>
      <c r="Q777"/>
      <c r="R777">
        <f>'Lager_&amp;_Montagematerial'!C164</f>
        <v>0</v>
      </c>
      <c r="S777"/>
      <c r="T777"/>
      <c r="U777"/>
      <c r="W777" s="3"/>
      <c r="X777" s="3"/>
      <c r="Y777" s="3"/>
      <c r="AB777" s="3"/>
      <c r="AC777" s="3"/>
      <c r="AD777" s="3"/>
      <c r="AO777"/>
      <c r="AP777"/>
      <c r="AQ777"/>
      <c r="AR777"/>
      <c r="AS777"/>
      <c r="AT777"/>
      <c r="BF777" s="2135">
        <f t="shared" si="98"/>
        <v>0</v>
      </c>
      <c r="BG777" s="2135">
        <f t="shared" si="97"/>
        <v>0</v>
      </c>
      <c r="BH777" s="2136" t="s">
        <v>53</v>
      </c>
    </row>
    <row r="778" spans="1:60" x14ac:dyDescent="0.2">
      <c r="A778" s="662" t="s">
        <v>692</v>
      </c>
      <c r="B778" s="1512">
        <f>'Lager_&amp;_Montagematerial'!E165</f>
        <v>0</v>
      </c>
      <c r="C778" s="2314"/>
      <c r="D778" s="729">
        <f>'Lager_&amp;_Montagematerial'!G165</f>
        <v>0</v>
      </c>
      <c r="E778" s="2314"/>
      <c r="F778" s="728">
        <f>'Lager_&amp;_Montagematerial'!H165</f>
        <v>0</v>
      </c>
      <c r="G778" s="2314"/>
      <c r="H778" s="729">
        <v>0</v>
      </c>
      <c r="I778" s="2314"/>
      <c r="J778" s="729">
        <v>0</v>
      </c>
      <c r="K778" s="2314"/>
      <c r="L778" s="664"/>
      <c r="M778" s="2314"/>
      <c r="N778" s="663" t="s">
        <v>53</v>
      </c>
      <c r="Q778"/>
      <c r="R778">
        <f>'Lager_&amp;_Montagematerial'!C165</f>
        <v>0</v>
      </c>
      <c r="S778"/>
      <c r="T778"/>
      <c r="U778"/>
      <c r="W778" s="3"/>
      <c r="X778" s="3"/>
      <c r="Y778" s="3"/>
      <c r="AB778" s="3"/>
      <c r="AC778" s="3"/>
      <c r="AD778" s="3"/>
      <c r="AO778"/>
      <c r="AP778"/>
      <c r="AQ778"/>
      <c r="AR778"/>
      <c r="AS778"/>
      <c r="AT778"/>
      <c r="BF778" s="2135">
        <f t="shared" si="98"/>
        <v>0</v>
      </c>
      <c r="BG778" s="2135">
        <f t="shared" si="97"/>
        <v>0</v>
      </c>
      <c r="BH778" s="2136" t="s">
        <v>53</v>
      </c>
    </row>
    <row r="779" spans="1:60" x14ac:dyDescent="0.2">
      <c r="A779" s="662" t="s">
        <v>692</v>
      </c>
      <c r="B779" s="1512">
        <f>'Lager_&amp;_Montagematerial'!E166</f>
        <v>0</v>
      </c>
      <c r="C779" s="2314"/>
      <c r="D779" s="729">
        <f>'Lager_&amp;_Montagematerial'!G166</f>
        <v>0</v>
      </c>
      <c r="E779" s="2314"/>
      <c r="F779" s="728">
        <f>'Lager_&amp;_Montagematerial'!H166</f>
        <v>0</v>
      </c>
      <c r="G779" s="2314"/>
      <c r="H779" s="729">
        <v>0</v>
      </c>
      <c r="I779" s="2314"/>
      <c r="J779" s="729">
        <v>0</v>
      </c>
      <c r="K779" s="2314"/>
      <c r="L779" s="664"/>
      <c r="M779" s="2314"/>
      <c r="N779" s="663" t="s">
        <v>53</v>
      </c>
      <c r="Q779"/>
      <c r="R779">
        <f>'Lager_&amp;_Montagematerial'!C166</f>
        <v>0</v>
      </c>
      <c r="S779"/>
      <c r="T779"/>
      <c r="U779"/>
      <c r="W779" s="3"/>
      <c r="X779" s="3"/>
      <c r="Y779" s="3"/>
      <c r="AB779" s="3"/>
      <c r="AC779" s="3"/>
      <c r="AD779" s="3"/>
      <c r="AO779"/>
      <c r="AP779"/>
      <c r="AQ779"/>
      <c r="AR779"/>
      <c r="AS779"/>
      <c r="AT779"/>
      <c r="BF779" s="2135">
        <f t="shared" si="98"/>
        <v>0</v>
      </c>
      <c r="BG779" s="2135">
        <f t="shared" si="97"/>
        <v>0</v>
      </c>
      <c r="BH779" s="2136" t="s">
        <v>53</v>
      </c>
    </row>
    <row r="780" spans="1:60" x14ac:dyDescent="0.2">
      <c r="A780" s="662" t="s">
        <v>692</v>
      </c>
      <c r="B780" s="1512">
        <f>'Lager_&amp;_Montagematerial'!E167</f>
        <v>0</v>
      </c>
      <c r="C780" s="2314"/>
      <c r="D780" s="729">
        <f>'Lager_&amp;_Montagematerial'!G167</f>
        <v>0</v>
      </c>
      <c r="E780" s="2314"/>
      <c r="F780" s="728">
        <f>'Lager_&amp;_Montagematerial'!H167</f>
        <v>0</v>
      </c>
      <c r="G780" s="2314"/>
      <c r="H780" s="729">
        <v>0</v>
      </c>
      <c r="I780" s="2314"/>
      <c r="J780" s="729">
        <v>0</v>
      </c>
      <c r="K780" s="2314"/>
      <c r="L780" s="664"/>
      <c r="M780" s="2314"/>
      <c r="N780" s="663" t="s">
        <v>53</v>
      </c>
      <c r="Q780"/>
      <c r="R780">
        <f>'Lager_&amp;_Montagematerial'!C167</f>
        <v>0</v>
      </c>
      <c r="S780"/>
      <c r="T780"/>
      <c r="U780"/>
      <c r="W780" s="3"/>
      <c r="X780" s="3"/>
      <c r="Y780" s="3"/>
      <c r="AB780" s="3"/>
      <c r="AC780" s="3"/>
      <c r="AD780" s="3"/>
      <c r="AO780"/>
      <c r="AP780"/>
      <c r="AQ780"/>
      <c r="AR780"/>
      <c r="AS780"/>
      <c r="AT780"/>
      <c r="BF780" s="2135">
        <f t="shared" si="98"/>
        <v>0</v>
      </c>
      <c r="BG780" s="2135">
        <f t="shared" si="97"/>
        <v>0</v>
      </c>
      <c r="BH780" s="2136" t="s">
        <v>53</v>
      </c>
    </row>
    <row r="781" spans="1:60" x14ac:dyDescent="0.2">
      <c r="A781" s="662" t="s">
        <v>692</v>
      </c>
      <c r="B781" s="1512">
        <f>'Lager_&amp;_Montagematerial'!E168</f>
        <v>0</v>
      </c>
      <c r="C781" s="2314"/>
      <c r="D781" s="729">
        <f>'Lager_&amp;_Montagematerial'!G168</f>
        <v>0</v>
      </c>
      <c r="E781" s="2314"/>
      <c r="F781" s="728">
        <f>'Lager_&amp;_Montagematerial'!H168</f>
        <v>0</v>
      </c>
      <c r="G781" s="2314"/>
      <c r="H781" s="729">
        <v>0</v>
      </c>
      <c r="I781" s="2314"/>
      <c r="J781" s="729">
        <v>0</v>
      </c>
      <c r="K781" s="2314"/>
      <c r="L781" s="664"/>
      <c r="M781" s="2314"/>
      <c r="N781" s="663" t="s">
        <v>53</v>
      </c>
      <c r="Q781"/>
      <c r="R781">
        <f>'Lager_&amp;_Montagematerial'!C168</f>
        <v>0</v>
      </c>
      <c r="S781"/>
      <c r="T781"/>
      <c r="U781"/>
      <c r="W781" s="3"/>
      <c r="X781" s="3"/>
      <c r="Y781" s="3"/>
      <c r="AB781" s="3"/>
      <c r="AC781" s="3"/>
      <c r="AD781" s="3"/>
      <c r="AO781"/>
      <c r="AP781"/>
      <c r="AQ781"/>
      <c r="AR781"/>
      <c r="AS781"/>
      <c r="AT781"/>
      <c r="BF781" s="2135">
        <f t="shared" si="98"/>
        <v>0</v>
      </c>
      <c r="BG781" s="2135">
        <f t="shared" si="97"/>
        <v>0</v>
      </c>
      <c r="BH781" s="2136" t="s">
        <v>53</v>
      </c>
    </row>
    <row r="782" spans="1:60" x14ac:dyDescent="0.2">
      <c r="A782" s="662" t="s">
        <v>692</v>
      </c>
      <c r="B782" s="1512">
        <f>'Lager_&amp;_Montagematerial'!E169</f>
        <v>0</v>
      </c>
      <c r="C782" s="2314"/>
      <c r="D782" s="729">
        <f>'Lager_&amp;_Montagematerial'!G169</f>
        <v>0</v>
      </c>
      <c r="E782" s="2314"/>
      <c r="F782" s="728">
        <f>'Lager_&amp;_Montagematerial'!H169</f>
        <v>0</v>
      </c>
      <c r="G782" s="2314"/>
      <c r="H782" s="729">
        <v>0</v>
      </c>
      <c r="I782" s="2314"/>
      <c r="J782" s="729">
        <v>0</v>
      </c>
      <c r="K782" s="2314"/>
      <c r="L782" s="664"/>
      <c r="M782" s="2314"/>
      <c r="N782" s="663" t="s">
        <v>53</v>
      </c>
      <c r="Q782"/>
      <c r="R782">
        <f>'Lager_&amp;_Montagematerial'!C169</f>
        <v>0</v>
      </c>
      <c r="S782"/>
      <c r="T782"/>
      <c r="U782"/>
      <c r="W782" s="3"/>
      <c r="X782" s="3"/>
      <c r="Y782" s="3"/>
      <c r="AB782" s="3"/>
      <c r="AC782" s="3"/>
      <c r="AD782" s="3"/>
      <c r="AO782"/>
      <c r="AP782"/>
      <c r="AQ782"/>
      <c r="AR782"/>
      <c r="AS782"/>
      <c r="AT782"/>
      <c r="BF782" s="2135">
        <f t="shared" si="98"/>
        <v>0</v>
      </c>
      <c r="BG782" s="2135">
        <f t="shared" si="97"/>
        <v>0</v>
      </c>
      <c r="BH782" s="2136" t="s">
        <v>53</v>
      </c>
    </row>
    <row r="783" spans="1:60" x14ac:dyDescent="0.2">
      <c r="A783" s="662" t="s">
        <v>692</v>
      </c>
      <c r="B783" s="1512">
        <f>'Lager_&amp;_Montagematerial'!E170</f>
        <v>0</v>
      </c>
      <c r="C783" s="2314"/>
      <c r="D783" s="729">
        <f>'Lager_&amp;_Montagematerial'!G170</f>
        <v>0</v>
      </c>
      <c r="E783" s="2314"/>
      <c r="F783" s="728">
        <f>'Lager_&amp;_Montagematerial'!H170</f>
        <v>0</v>
      </c>
      <c r="G783" s="2314"/>
      <c r="H783" s="729">
        <v>0</v>
      </c>
      <c r="I783" s="2314"/>
      <c r="J783" s="729">
        <v>0</v>
      </c>
      <c r="K783" s="2314"/>
      <c r="L783" s="664"/>
      <c r="M783" s="2314"/>
      <c r="N783" s="663" t="s">
        <v>53</v>
      </c>
      <c r="Q783"/>
      <c r="R783">
        <f>'Lager_&amp;_Montagematerial'!C170</f>
        <v>0</v>
      </c>
      <c r="S783"/>
      <c r="T783"/>
      <c r="U783"/>
      <c r="W783" s="3"/>
      <c r="X783" s="3"/>
      <c r="Y783" s="3"/>
      <c r="AB783" s="3"/>
      <c r="AC783" s="3"/>
      <c r="AD783" s="3"/>
      <c r="AO783"/>
      <c r="AP783"/>
      <c r="AQ783"/>
      <c r="AR783"/>
      <c r="AS783"/>
      <c r="AT783"/>
      <c r="BF783" s="2135">
        <f t="shared" si="98"/>
        <v>0</v>
      </c>
      <c r="BG783" s="2135">
        <f t="shared" si="97"/>
        <v>0</v>
      </c>
      <c r="BH783" s="2136" t="s">
        <v>53</v>
      </c>
    </row>
    <row r="784" spans="1:60" x14ac:dyDescent="0.2">
      <c r="A784" s="662" t="s">
        <v>692</v>
      </c>
      <c r="B784" s="1512">
        <f>'Lager_&amp;_Montagematerial'!E171</f>
        <v>0</v>
      </c>
      <c r="C784" s="2314"/>
      <c r="D784" s="729">
        <f>'Lager_&amp;_Montagematerial'!G171</f>
        <v>0</v>
      </c>
      <c r="E784" s="2314"/>
      <c r="F784" s="728">
        <f>'Lager_&amp;_Montagematerial'!H171</f>
        <v>0</v>
      </c>
      <c r="G784" s="2314"/>
      <c r="H784" s="729">
        <v>0</v>
      </c>
      <c r="I784" s="2314"/>
      <c r="J784" s="729">
        <v>0</v>
      </c>
      <c r="K784" s="2314"/>
      <c r="L784" s="664"/>
      <c r="M784" s="2314"/>
      <c r="N784" s="663" t="s">
        <v>53</v>
      </c>
      <c r="Q784"/>
      <c r="R784">
        <f>'Lager_&amp;_Montagematerial'!C171</f>
        <v>0</v>
      </c>
      <c r="S784"/>
      <c r="T784"/>
      <c r="U784"/>
      <c r="W784" s="3"/>
      <c r="X784" s="3"/>
      <c r="Y784" s="3"/>
      <c r="AB784" s="3"/>
      <c r="AC784" s="3"/>
      <c r="AD784" s="3"/>
      <c r="AO784"/>
      <c r="AP784"/>
      <c r="AQ784"/>
      <c r="AR784"/>
      <c r="AS784"/>
      <c r="AT784"/>
      <c r="BF784" s="2135">
        <f t="shared" si="98"/>
        <v>0</v>
      </c>
      <c r="BG784" s="2135">
        <f t="shared" si="97"/>
        <v>0</v>
      </c>
      <c r="BH784" s="2136" t="s">
        <v>53</v>
      </c>
    </row>
    <row r="785" spans="1:60" x14ac:dyDescent="0.2">
      <c r="A785" s="662" t="s">
        <v>692</v>
      </c>
      <c r="B785" s="1512">
        <f>'Lager_&amp;_Montagematerial'!E172</f>
        <v>0</v>
      </c>
      <c r="C785" s="2314"/>
      <c r="D785" s="729">
        <f>'Lager_&amp;_Montagematerial'!G172</f>
        <v>0</v>
      </c>
      <c r="E785" s="2314"/>
      <c r="F785" s="728">
        <f>'Lager_&amp;_Montagematerial'!H172</f>
        <v>0</v>
      </c>
      <c r="G785" s="2314"/>
      <c r="H785" s="729">
        <v>0</v>
      </c>
      <c r="I785" s="2314"/>
      <c r="J785" s="729">
        <v>0</v>
      </c>
      <c r="K785" s="2314"/>
      <c r="L785" s="664"/>
      <c r="M785" s="2314"/>
      <c r="N785" s="663" t="s">
        <v>53</v>
      </c>
      <c r="Q785"/>
      <c r="R785">
        <f>'Lager_&amp;_Montagematerial'!C172</f>
        <v>0</v>
      </c>
      <c r="S785"/>
      <c r="T785"/>
      <c r="U785"/>
      <c r="W785" s="3"/>
      <c r="X785" s="3"/>
      <c r="Y785" s="3"/>
      <c r="AB785" s="3"/>
      <c r="AC785" s="3"/>
      <c r="AD785" s="3"/>
      <c r="AO785"/>
      <c r="AP785"/>
      <c r="AQ785"/>
      <c r="AR785"/>
      <c r="AS785"/>
      <c r="AT785"/>
      <c r="BF785" s="2135">
        <f t="shared" si="98"/>
        <v>0</v>
      </c>
      <c r="BG785" s="2135">
        <f t="shared" si="97"/>
        <v>0</v>
      </c>
      <c r="BH785" s="2136" t="s">
        <v>53</v>
      </c>
    </row>
    <row r="786" spans="1:60" x14ac:dyDescent="0.2">
      <c r="A786" s="662" t="s">
        <v>692</v>
      </c>
      <c r="B786" s="1512">
        <f>'Lager_&amp;_Montagematerial'!E173</f>
        <v>0</v>
      </c>
      <c r="C786" s="2314"/>
      <c r="D786" s="729">
        <f>'Lager_&amp;_Montagematerial'!G173</f>
        <v>0</v>
      </c>
      <c r="E786" s="2314"/>
      <c r="F786" s="728">
        <f>'Lager_&amp;_Montagematerial'!H173</f>
        <v>0</v>
      </c>
      <c r="G786" s="2314"/>
      <c r="H786" s="729">
        <v>0</v>
      </c>
      <c r="I786" s="2314"/>
      <c r="J786" s="729">
        <v>0</v>
      </c>
      <c r="K786" s="2314"/>
      <c r="L786" s="664"/>
      <c r="M786" s="2314"/>
      <c r="N786" s="663" t="s">
        <v>53</v>
      </c>
      <c r="Q786"/>
      <c r="R786">
        <f>'Lager_&amp;_Montagematerial'!C173</f>
        <v>0</v>
      </c>
      <c r="S786"/>
      <c r="T786"/>
      <c r="U786"/>
      <c r="W786" s="3"/>
      <c r="X786" s="3"/>
      <c r="Y786" s="3"/>
      <c r="AB786" s="3"/>
      <c r="AC786" s="3"/>
      <c r="AD786" s="3"/>
      <c r="AO786"/>
      <c r="AP786"/>
      <c r="AQ786"/>
      <c r="AR786"/>
      <c r="AS786"/>
      <c r="AT786"/>
      <c r="BF786" s="2135">
        <f t="shared" si="98"/>
        <v>0</v>
      </c>
      <c r="BG786" s="2135">
        <f t="shared" si="97"/>
        <v>0</v>
      </c>
      <c r="BH786" s="2136" t="s">
        <v>53</v>
      </c>
    </row>
    <row r="787" spans="1:60" x14ac:dyDescent="0.2">
      <c r="A787" s="662" t="s">
        <v>692</v>
      </c>
      <c r="B787" s="1512">
        <f>'Lager_&amp;_Montagematerial'!E174</f>
        <v>0</v>
      </c>
      <c r="C787" s="2314"/>
      <c r="D787" s="729">
        <f>'Lager_&amp;_Montagematerial'!G174</f>
        <v>0</v>
      </c>
      <c r="E787" s="2314"/>
      <c r="F787" s="728">
        <f>'Lager_&amp;_Montagematerial'!H174</f>
        <v>0</v>
      </c>
      <c r="G787" s="2314"/>
      <c r="H787" s="729">
        <v>0</v>
      </c>
      <c r="I787" s="2314"/>
      <c r="J787" s="729">
        <v>0</v>
      </c>
      <c r="K787" s="2314"/>
      <c r="L787" s="664"/>
      <c r="M787" s="2314"/>
      <c r="N787" s="663" t="s">
        <v>53</v>
      </c>
      <c r="Q787"/>
      <c r="R787">
        <f>'Lager_&amp;_Montagematerial'!C174</f>
        <v>0</v>
      </c>
      <c r="S787"/>
      <c r="T787"/>
      <c r="U787"/>
      <c r="W787" s="3"/>
      <c r="X787" s="3"/>
      <c r="Y787" s="3"/>
      <c r="AB787" s="3"/>
      <c r="AC787" s="3"/>
      <c r="AD787" s="3"/>
      <c r="AO787"/>
      <c r="AP787"/>
      <c r="AQ787"/>
      <c r="AR787"/>
      <c r="AS787"/>
      <c r="AT787"/>
      <c r="BF787" s="2135">
        <f t="shared" si="98"/>
        <v>0</v>
      </c>
      <c r="BG787" s="2135">
        <f t="shared" si="97"/>
        <v>0</v>
      </c>
      <c r="BH787" s="2136" t="s">
        <v>53</v>
      </c>
    </row>
    <row r="788" spans="1:60" x14ac:dyDescent="0.2">
      <c r="A788" s="662" t="s">
        <v>692</v>
      </c>
      <c r="B788" s="1512">
        <f>'Lager_&amp;_Montagematerial'!E175</f>
        <v>0</v>
      </c>
      <c r="C788" s="2314"/>
      <c r="D788" s="729">
        <f>'Lager_&amp;_Montagematerial'!G175</f>
        <v>0</v>
      </c>
      <c r="E788" s="2314"/>
      <c r="F788" s="728">
        <f>'Lager_&amp;_Montagematerial'!H175</f>
        <v>0</v>
      </c>
      <c r="G788" s="2314"/>
      <c r="H788" s="729">
        <v>0</v>
      </c>
      <c r="I788" s="2314"/>
      <c r="J788" s="729">
        <v>0</v>
      </c>
      <c r="K788" s="2314"/>
      <c r="L788" s="664"/>
      <c r="M788" s="2314"/>
      <c r="N788" s="663" t="s">
        <v>53</v>
      </c>
      <c r="Q788"/>
      <c r="R788">
        <f>'Lager_&amp;_Montagematerial'!C175</f>
        <v>0</v>
      </c>
      <c r="S788"/>
      <c r="T788"/>
      <c r="U788"/>
      <c r="W788" s="3"/>
      <c r="X788" s="3"/>
      <c r="Y788" s="3"/>
      <c r="AB788" s="3"/>
      <c r="AC788" s="3"/>
      <c r="AD788" s="3"/>
      <c r="AO788"/>
      <c r="AP788"/>
      <c r="AQ788"/>
      <c r="AR788"/>
      <c r="AS788"/>
      <c r="AT788"/>
      <c r="BF788" s="2135">
        <f t="shared" si="98"/>
        <v>0</v>
      </c>
      <c r="BG788" s="2135">
        <f t="shared" si="97"/>
        <v>0</v>
      </c>
      <c r="BH788" s="2136" t="s">
        <v>53</v>
      </c>
    </row>
    <row r="789" spans="1:60" x14ac:dyDescent="0.2">
      <c r="A789" s="662" t="s">
        <v>692</v>
      </c>
      <c r="B789" s="1512">
        <f>'Lager_&amp;_Montagematerial'!E176</f>
        <v>0</v>
      </c>
      <c r="C789" s="2314"/>
      <c r="D789" s="729">
        <f>'Lager_&amp;_Montagematerial'!G176</f>
        <v>0</v>
      </c>
      <c r="E789" s="2314"/>
      <c r="F789" s="728">
        <f>'Lager_&amp;_Montagematerial'!H176</f>
        <v>0</v>
      </c>
      <c r="G789" s="2314"/>
      <c r="H789" s="729">
        <v>0</v>
      </c>
      <c r="I789" s="2314"/>
      <c r="J789" s="729">
        <v>0</v>
      </c>
      <c r="K789" s="2314"/>
      <c r="L789" s="664"/>
      <c r="M789" s="2314"/>
      <c r="N789" s="663" t="s">
        <v>53</v>
      </c>
      <c r="Q789"/>
      <c r="R789">
        <f>'Lager_&amp;_Montagematerial'!C176</f>
        <v>0</v>
      </c>
      <c r="S789"/>
      <c r="T789"/>
      <c r="U789"/>
      <c r="W789" s="3"/>
      <c r="X789" s="3"/>
      <c r="Y789" s="3"/>
      <c r="AB789" s="3"/>
      <c r="AC789" s="3"/>
      <c r="AD789" s="3"/>
      <c r="AO789"/>
      <c r="AP789"/>
      <c r="AQ789"/>
      <c r="AR789"/>
      <c r="AS789"/>
      <c r="AT789"/>
      <c r="BF789" s="2135">
        <f t="shared" si="98"/>
        <v>0</v>
      </c>
      <c r="BG789" s="2135">
        <f t="shared" si="97"/>
        <v>0</v>
      </c>
      <c r="BH789" s="2136" t="s">
        <v>53</v>
      </c>
    </row>
    <row r="790" spans="1:60" x14ac:dyDescent="0.2">
      <c r="A790" s="662" t="s">
        <v>692</v>
      </c>
      <c r="B790" s="1512">
        <f>'Lager_&amp;_Montagematerial'!E177</f>
        <v>0</v>
      </c>
      <c r="C790" s="2314"/>
      <c r="D790" s="729">
        <f>'Lager_&amp;_Montagematerial'!G177</f>
        <v>0</v>
      </c>
      <c r="E790" s="2314"/>
      <c r="F790" s="728">
        <f>'Lager_&amp;_Montagematerial'!H177</f>
        <v>0</v>
      </c>
      <c r="G790" s="2314"/>
      <c r="H790" s="729">
        <v>0</v>
      </c>
      <c r="I790" s="2314"/>
      <c r="J790" s="729">
        <v>0</v>
      </c>
      <c r="K790" s="2314"/>
      <c r="L790" s="664"/>
      <c r="M790" s="2314"/>
      <c r="N790" s="663" t="s">
        <v>53</v>
      </c>
      <c r="Q790"/>
      <c r="R790">
        <f>'Lager_&amp;_Montagematerial'!C177</f>
        <v>0</v>
      </c>
      <c r="S790"/>
      <c r="T790"/>
      <c r="U790"/>
      <c r="W790" s="3"/>
      <c r="X790" s="3"/>
      <c r="Y790" s="3"/>
      <c r="AB790" s="3"/>
      <c r="AC790" s="3"/>
      <c r="AD790" s="3"/>
      <c r="AO790"/>
      <c r="AP790"/>
      <c r="AQ790"/>
      <c r="AR790"/>
      <c r="AS790"/>
      <c r="AT790"/>
      <c r="BF790" s="2135">
        <f t="shared" si="98"/>
        <v>0</v>
      </c>
      <c r="BG790" s="2135">
        <f t="shared" si="97"/>
        <v>0</v>
      </c>
      <c r="BH790" s="2136" t="s">
        <v>53</v>
      </c>
    </row>
    <row r="791" spans="1:60" x14ac:dyDescent="0.2">
      <c r="A791" s="662" t="s">
        <v>692</v>
      </c>
      <c r="B791" s="1512">
        <f>'Lager_&amp;_Montagematerial'!E178</f>
        <v>0</v>
      </c>
      <c r="C791" s="2314"/>
      <c r="D791" s="729">
        <f>'Lager_&amp;_Montagematerial'!G178</f>
        <v>0</v>
      </c>
      <c r="E791" s="2314"/>
      <c r="F791" s="728">
        <f>'Lager_&amp;_Montagematerial'!H178</f>
        <v>0</v>
      </c>
      <c r="G791" s="2314"/>
      <c r="H791" s="729">
        <v>0</v>
      </c>
      <c r="I791" s="2314"/>
      <c r="J791" s="729">
        <v>0</v>
      </c>
      <c r="K791" s="2314"/>
      <c r="L791" s="664"/>
      <c r="M791" s="2314"/>
      <c r="N791" s="663" t="s">
        <v>53</v>
      </c>
      <c r="Q791"/>
      <c r="R791">
        <f>'Lager_&amp;_Montagematerial'!C178</f>
        <v>0</v>
      </c>
      <c r="S791"/>
      <c r="T791"/>
      <c r="U791"/>
      <c r="W791" s="3"/>
      <c r="X791" s="3"/>
      <c r="Y791" s="3"/>
      <c r="AB791" s="3"/>
      <c r="AC791" s="3"/>
      <c r="AD791" s="3"/>
      <c r="AO791"/>
      <c r="AP791"/>
      <c r="AQ791"/>
      <c r="AR791"/>
      <c r="AS791"/>
      <c r="AT791"/>
      <c r="BF791" s="2135">
        <f t="shared" si="98"/>
        <v>0</v>
      </c>
      <c r="BG791" s="2135">
        <f t="shared" si="97"/>
        <v>0</v>
      </c>
      <c r="BH791" s="2136" t="s">
        <v>53</v>
      </c>
    </row>
    <row r="792" spans="1:60" x14ac:dyDescent="0.2">
      <c r="A792" s="662" t="s">
        <v>692</v>
      </c>
      <c r="B792" s="1512">
        <f>'Lager_&amp;_Montagematerial'!E179</f>
        <v>0</v>
      </c>
      <c r="C792" s="2314"/>
      <c r="D792" s="729">
        <f>'Lager_&amp;_Montagematerial'!G179</f>
        <v>0</v>
      </c>
      <c r="E792" s="2314"/>
      <c r="F792" s="728">
        <f>'Lager_&amp;_Montagematerial'!H179</f>
        <v>0</v>
      </c>
      <c r="G792" s="2314"/>
      <c r="H792" s="729">
        <v>0</v>
      </c>
      <c r="I792" s="2314"/>
      <c r="J792" s="729">
        <v>0</v>
      </c>
      <c r="K792" s="2314"/>
      <c r="L792" s="664"/>
      <c r="M792" s="2314"/>
      <c r="N792" s="663" t="s">
        <v>53</v>
      </c>
      <c r="Q792"/>
      <c r="R792">
        <f>'Lager_&amp;_Montagematerial'!C179</f>
        <v>0</v>
      </c>
      <c r="S792"/>
      <c r="T792"/>
      <c r="U792"/>
      <c r="W792" s="3"/>
      <c r="X792" s="3"/>
      <c r="Y792" s="3"/>
      <c r="AB792" s="3"/>
      <c r="AC792" s="3"/>
      <c r="AD792" s="3"/>
      <c r="AO792"/>
      <c r="AP792"/>
      <c r="AQ792"/>
      <c r="AR792"/>
      <c r="AS792"/>
      <c r="AT792"/>
      <c r="BF792" s="2135">
        <f t="shared" si="98"/>
        <v>0</v>
      </c>
      <c r="BG792" s="2135">
        <f t="shared" si="97"/>
        <v>0</v>
      </c>
      <c r="BH792" s="2136" t="s">
        <v>53</v>
      </c>
    </row>
    <row r="793" spans="1:60" x14ac:dyDescent="0.2">
      <c r="A793" s="662" t="s">
        <v>692</v>
      </c>
      <c r="B793" s="1512">
        <f>'Lager_&amp;_Montagematerial'!E180</f>
        <v>0</v>
      </c>
      <c r="C793" s="2314"/>
      <c r="D793" s="729">
        <f>'Lager_&amp;_Montagematerial'!G180</f>
        <v>0</v>
      </c>
      <c r="E793" s="2314"/>
      <c r="F793" s="728">
        <f>'Lager_&amp;_Montagematerial'!H180</f>
        <v>0</v>
      </c>
      <c r="G793" s="2314"/>
      <c r="H793" s="729">
        <v>0</v>
      </c>
      <c r="I793" s="2314"/>
      <c r="J793" s="729">
        <v>0</v>
      </c>
      <c r="K793" s="2314"/>
      <c r="L793" s="664"/>
      <c r="M793" s="2314"/>
      <c r="N793" s="663" t="s">
        <v>53</v>
      </c>
      <c r="Q793"/>
      <c r="R793">
        <f>'Lager_&amp;_Montagematerial'!C180</f>
        <v>0</v>
      </c>
      <c r="S793"/>
      <c r="T793"/>
      <c r="U793"/>
      <c r="W793" s="3"/>
      <c r="X793" s="3"/>
      <c r="Y793" s="3"/>
      <c r="AB793" s="3"/>
      <c r="AC793" s="3"/>
      <c r="AD793" s="3"/>
      <c r="AO793"/>
      <c r="AP793"/>
      <c r="AQ793"/>
      <c r="AR793"/>
      <c r="AS793"/>
      <c r="AT793"/>
      <c r="BF793" s="2135">
        <f t="shared" si="98"/>
        <v>0</v>
      </c>
      <c r="BG793" s="2135">
        <f t="shared" si="97"/>
        <v>0</v>
      </c>
      <c r="BH793" s="2136" t="s">
        <v>53</v>
      </c>
    </row>
    <row r="794" spans="1:60" x14ac:dyDescent="0.2">
      <c r="A794" s="662" t="s">
        <v>692</v>
      </c>
      <c r="B794" s="1512">
        <f>'Lager_&amp;_Montagematerial'!E181</f>
        <v>0</v>
      </c>
      <c r="C794" s="2314"/>
      <c r="D794" s="729">
        <f>'Lager_&amp;_Montagematerial'!G181</f>
        <v>0</v>
      </c>
      <c r="E794" s="2314"/>
      <c r="F794" s="728">
        <f>'Lager_&amp;_Montagematerial'!H181</f>
        <v>0</v>
      </c>
      <c r="G794" s="2314"/>
      <c r="H794" s="729">
        <v>0</v>
      </c>
      <c r="I794" s="2314"/>
      <c r="J794" s="729">
        <v>0</v>
      </c>
      <c r="K794" s="2314"/>
      <c r="L794" s="664"/>
      <c r="M794" s="2314"/>
      <c r="N794" s="663" t="s">
        <v>53</v>
      </c>
      <c r="Q794"/>
      <c r="R794">
        <f>'Lager_&amp;_Montagematerial'!C181</f>
        <v>0</v>
      </c>
      <c r="S794"/>
      <c r="T794"/>
      <c r="U794"/>
      <c r="W794" s="3"/>
      <c r="X794" s="3"/>
      <c r="Y794" s="3"/>
      <c r="AB794" s="3"/>
      <c r="AC794" s="3"/>
      <c r="AD794" s="3"/>
      <c r="AO794"/>
      <c r="AP794"/>
      <c r="AQ794"/>
      <c r="AR794"/>
      <c r="AS794"/>
      <c r="AT794"/>
      <c r="BF794" s="2135">
        <f t="shared" si="98"/>
        <v>0</v>
      </c>
      <c r="BG794" s="2135">
        <f t="shared" si="97"/>
        <v>0</v>
      </c>
      <c r="BH794" s="2136" t="s">
        <v>53</v>
      </c>
    </row>
    <row r="795" spans="1:60" x14ac:dyDescent="0.2">
      <c r="A795" s="662" t="s">
        <v>692</v>
      </c>
      <c r="B795" s="1512">
        <f>'Lager_&amp;_Montagematerial'!E182</f>
        <v>0</v>
      </c>
      <c r="C795" s="2314"/>
      <c r="D795" s="729">
        <f>'Lager_&amp;_Montagematerial'!G182</f>
        <v>0</v>
      </c>
      <c r="E795" s="2314"/>
      <c r="F795" s="728">
        <f>'Lager_&amp;_Montagematerial'!H182</f>
        <v>0</v>
      </c>
      <c r="G795" s="2314"/>
      <c r="H795" s="729">
        <v>0</v>
      </c>
      <c r="I795" s="2314"/>
      <c r="J795" s="729">
        <v>0</v>
      </c>
      <c r="K795" s="2314"/>
      <c r="L795" s="664"/>
      <c r="M795" s="2314"/>
      <c r="N795" s="663" t="s">
        <v>53</v>
      </c>
      <c r="Q795"/>
      <c r="R795">
        <f>'Lager_&amp;_Montagematerial'!C182</f>
        <v>0</v>
      </c>
      <c r="S795"/>
      <c r="T795"/>
      <c r="U795"/>
      <c r="W795" s="3"/>
      <c r="X795" s="3"/>
      <c r="Y795" s="3"/>
      <c r="AB795" s="3"/>
      <c r="AC795" s="3"/>
      <c r="AD795" s="3"/>
      <c r="AO795"/>
      <c r="AP795"/>
      <c r="AQ795"/>
      <c r="AR795"/>
      <c r="AS795"/>
      <c r="AT795"/>
      <c r="BF795" s="2135">
        <f t="shared" si="98"/>
        <v>0</v>
      </c>
      <c r="BG795" s="2135">
        <f t="shared" si="97"/>
        <v>0</v>
      </c>
      <c r="BH795" s="2136" t="s">
        <v>53</v>
      </c>
    </row>
    <row r="796" spans="1:60" x14ac:dyDescent="0.2">
      <c r="A796" s="662" t="s">
        <v>692</v>
      </c>
      <c r="B796" s="1512">
        <f>'Lager_&amp;_Montagematerial'!E183</f>
        <v>0</v>
      </c>
      <c r="C796" s="2314"/>
      <c r="D796" s="729">
        <f>'Lager_&amp;_Montagematerial'!G183</f>
        <v>0</v>
      </c>
      <c r="E796" s="2314"/>
      <c r="F796" s="728">
        <f>'Lager_&amp;_Montagematerial'!H183</f>
        <v>0</v>
      </c>
      <c r="G796" s="2314"/>
      <c r="H796" s="729">
        <v>0</v>
      </c>
      <c r="I796" s="2314"/>
      <c r="J796" s="729">
        <v>0</v>
      </c>
      <c r="K796" s="2314"/>
      <c r="L796" s="664"/>
      <c r="M796" s="2314"/>
      <c r="N796" s="663" t="s">
        <v>53</v>
      </c>
      <c r="Q796"/>
      <c r="R796">
        <f>'Lager_&amp;_Montagematerial'!C183</f>
        <v>0</v>
      </c>
      <c r="S796"/>
      <c r="T796"/>
      <c r="U796"/>
      <c r="W796" s="3"/>
      <c r="X796" s="3"/>
      <c r="Y796" s="3"/>
      <c r="AB796" s="3"/>
      <c r="AC796" s="3"/>
      <c r="AD796" s="3"/>
      <c r="AO796"/>
      <c r="AP796"/>
      <c r="AQ796"/>
      <c r="AR796"/>
      <c r="AS796"/>
      <c r="AT796"/>
      <c r="BF796" s="2135">
        <f t="shared" si="98"/>
        <v>0</v>
      </c>
      <c r="BG796" s="2135">
        <f t="shared" si="97"/>
        <v>0</v>
      </c>
      <c r="BH796" s="2136" t="s">
        <v>53</v>
      </c>
    </row>
    <row r="797" spans="1:60" x14ac:dyDescent="0.2">
      <c r="A797" s="662" t="s">
        <v>692</v>
      </c>
      <c r="B797" s="1512">
        <f>'Lager_&amp;_Montagematerial'!E184</f>
        <v>0</v>
      </c>
      <c r="C797" s="2314"/>
      <c r="D797" s="729">
        <f>'Lager_&amp;_Montagematerial'!G184</f>
        <v>0</v>
      </c>
      <c r="E797" s="2314"/>
      <c r="F797" s="728">
        <f>'Lager_&amp;_Montagematerial'!H184</f>
        <v>0</v>
      </c>
      <c r="G797" s="2314"/>
      <c r="H797" s="729">
        <v>0</v>
      </c>
      <c r="I797" s="2314"/>
      <c r="J797" s="729">
        <v>0</v>
      </c>
      <c r="K797" s="2314"/>
      <c r="L797" s="664"/>
      <c r="M797" s="2314"/>
      <c r="N797" s="663" t="s">
        <v>53</v>
      </c>
      <c r="Q797"/>
      <c r="R797">
        <f>'Lager_&amp;_Montagematerial'!C184</f>
        <v>0</v>
      </c>
      <c r="S797"/>
      <c r="T797"/>
      <c r="U797"/>
      <c r="W797" s="3"/>
      <c r="X797" s="3"/>
      <c r="Y797" s="3"/>
      <c r="AB797" s="3"/>
      <c r="AC797" s="3"/>
      <c r="AD797" s="3"/>
      <c r="AO797"/>
      <c r="AP797"/>
      <c r="AQ797"/>
      <c r="AR797"/>
      <c r="AS797"/>
      <c r="AT797"/>
      <c r="BF797" s="2135">
        <f t="shared" si="98"/>
        <v>0</v>
      </c>
      <c r="BG797" s="2135">
        <f t="shared" si="97"/>
        <v>0</v>
      </c>
      <c r="BH797" s="2136" t="s">
        <v>53</v>
      </c>
    </row>
    <row r="798" spans="1:60" x14ac:dyDescent="0.2">
      <c r="A798" s="662" t="s">
        <v>692</v>
      </c>
      <c r="B798" s="1512">
        <f>'Lager_&amp;_Montagematerial'!E185</f>
        <v>0</v>
      </c>
      <c r="C798" s="2314"/>
      <c r="D798" s="729">
        <f>'Lager_&amp;_Montagematerial'!G185</f>
        <v>0</v>
      </c>
      <c r="E798" s="2314"/>
      <c r="F798" s="728">
        <f>'Lager_&amp;_Montagematerial'!H185</f>
        <v>0</v>
      </c>
      <c r="G798" s="2314"/>
      <c r="H798" s="729">
        <v>0</v>
      </c>
      <c r="I798" s="2314"/>
      <c r="J798" s="729">
        <v>0</v>
      </c>
      <c r="K798" s="2314"/>
      <c r="L798" s="664"/>
      <c r="M798" s="2314"/>
      <c r="N798" s="663" t="s">
        <v>53</v>
      </c>
      <c r="Q798"/>
      <c r="R798">
        <f>'Lager_&amp;_Montagematerial'!C185</f>
        <v>0</v>
      </c>
      <c r="S798"/>
      <c r="T798"/>
      <c r="U798"/>
      <c r="W798" s="3"/>
      <c r="X798" s="3"/>
      <c r="Y798" s="3"/>
      <c r="AB798" s="3"/>
      <c r="AC798" s="3"/>
      <c r="AD798" s="3"/>
      <c r="AO798"/>
      <c r="AP798"/>
      <c r="AQ798"/>
      <c r="AR798"/>
      <c r="AS798"/>
      <c r="AT798"/>
      <c r="BF798" s="2135">
        <f t="shared" si="98"/>
        <v>0</v>
      </c>
      <c r="BG798" s="2135">
        <f t="shared" si="97"/>
        <v>0</v>
      </c>
      <c r="BH798" s="2136" t="s">
        <v>53</v>
      </c>
    </row>
    <row r="799" spans="1:60" x14ac:dyDescent="0.2">
      <c r="A799" s="662" t="s">
        <v>692</v>
      </c>
      <c r="B799" s="1512">
        <f>'Lager_&amp;_Montagematerial'!E186</f>
        <v>0</v>
      </c>
      <c r="C799" s="2314"/>
      <c r="D799" s="729">
        <f>'Lager_&amp;_Montagematerial'!G186</f>
        <v>0</v>
      </c>
      <c r="E799" s="2314"/>
      <c r="F799" s="728">
        <f>'Lager_&amp;_Montagematerial'!H186</f>
        <v>0</v>
      </c>
      <c r="G799" s="2314"/>
      <c r="H799" s="729">
        <v>0</v>
      </c>
      <c r="I799" s="2314"/>
      <c r="J799" s="729">
        <v>0</v>
      </c>
      <c r="K799" s="2314"/>
      <c r="L799" s="664"/>
      <c r="M799" s="2314"/>
      <c r="N799" s="663" t="s">
        <v>53</v>
      </c>
      <c r="Q799"/>
      <c r="R799">
        <f>'Lager_&amp;_Montagematerial'!C186</f>
        <v>0</v>
      </c>
      <c r="S799"/>
      <c r="T799"/>
      <c r="U799"/>
      <c r="W799" s="3"/>
      <c r="X799" s="3"/>
      <c r="Y799" s="3"/>
      <c r="AB799" s="3"/>
      <c r="AC799" s="3"/>
      <c r="AD799" s="3"/>
      <c r="AO799"/>
      <c r="AP799"/>
      <c r="AQ799"/>
      <c r="AR799"/>
      <c r="AS799"/>
      <c r="AT799"/>
      <c r="BF799" s="2135">
        <f t="shared" si="98"/>
        <v>0</v>
      </c>
      <c r="BG799" s="2135">
        <f t="shared" si="97"/>
        <v>0</v>
      </c>
      <c r="BH799" s="2136" t="s">
        <v>53</v>
      </c>
    </row>
    <row r="800" spans="1:60" x14ac:dyDescent="0.2">
      <c r="A800" s="662" t="s">
        <v>692</v>
      </c>
      <c r="B800" s="1512">
        <f>'Lager_&amp;_Montagematerial'!E187</f>
        <v>0</v>
      </c>
      <c r="C800" s="2314"/>
      <c r="D800" s="729">
        <f>'Lager_&amp;_Montagematerial'!G187</f>
        <v>0</v>
      </c>
      <c r="E800" s="2314"/>
      <c r="F800" s="728">
        <f>'Lager_&amp;_Montagematerial'!H187</f>
        <v>0</v>
      </c>
      <c r="G800" s="2314"/>
      <c r="H800" s="729">
        <v>0</v>
      </c>
      <c r="I800" s="2314"/>
      <c r="J800" s="729">
        <v>0</v>
      </c>
      <c r="K800" s="2314"/>
      <c r="L800" s="664"/>
      <c r="M800" s="2314"/>
      <c r="N800" s="663" t="s">
        <v>53</v>
      </c>
      <c r="Q800"/>
      <c r="R800">
        <f>'Lager_&amp;_Montagematerial'!C187</f>
        <v>0</v>
      </c>
      <c r="S800"/>
      <c r="T800"/>
      <c r="U800"/>
      <c r="W800" s="3"/>
      <c r="X800" s="3"/>
      <c r="Y800" s="3"/>
      <c r="AB800" s="3"/>
      <c r="AC800" s="3"/>
      <c r="AD800" s="3"/>
      <c r="AO800"/>
      <c r="AP800"/>
      <c r="AQ800"/>
      <c r="AR800"/>
      <c r="AS800"/>
      <c r="AT800"/>
      <c r="BF800" s="2135">
        <f t="shared" si="98"/>
        <v>0</v>
      </c>
      <c r="BG800" s="2135">
        <f t="shared" si="97"/>
        <v>0</v>
      </c>
      <c r="BH800" s="2136" t="s">
        <v>53</v>
      </c>
    </row>
    <row r="801" spans="1:60" x14ac:dyDescent="0.2">
      <c r="A801" s="662" t="s">
        <v>692</v>
      </c>
      <c r="B801" s="1512">
        <f>'Lager_&amp;_Montagematerial'!E188</f>
        <v>0</v>
      </c>
      <c r="C801" s="2314"/>
      <c r="D801" s="729">
        <f>'Lager_&amp;_Montagematerial'!G188</f>
        <v>0</v>
      </c>
      <c r="E801" s="2314"/>
      <c r="F801" s="728">
        <f>'Lager_&amp;_Montagematerial'!H188</f>
        <v>0</v>
      </c>
      <c r="G801" s="2314"/>
      <c r="H801" s="729">
        <v>0</v>
      </c>
      <c r="I801" s="2314"/>
      <c r="J801" s="729">
        <v>0</v>
      </c>
      <c r="K801" s="2314"/>
      <c r="L801" s="664"/>
      <c r="M801" s="2314"/>
      <c r="N801" s="663" t="s">
        <v>53</v>
      </c>
      <c r="Q801"/>
      <c r="R801">
        <f>'Lager_&amp;_Montagematerial'!C188</f>
        <v>0</v>
      </c>
      <c r="S801"/>
      <c r="T801"/>
      <c r="U801"/>
      <c r="W801" s="3"/>
      <c r="X801" s="3"/>
      <c r="Y801" s="3"/>
      <c r="AB801" s="3"/>
      <c r="AC801" s="3"/>
      <c r="AD801" s="3"/>
      <c r="AO801"/>
      <c r="AP801"/>
      <c r="AQ801"/>
      <c r="AR801"/>
      <c r="AS801"/>
      <c r="AT801"/>
      <c r="BF801" s="2135">
        <f t="shared" si="98"/>
        <v>0</v>
      </c>
      <c r="BG801" s="2135">
        <f t="shared" si="97"/>
        <v>0</v>
      </c>
      <c r="BH801" s="2136" t="s">
        <v>53</v>
      </c>
    </row>
    <row r="802" spans="1:60" x14ac:dyDescent="0.2">
      <c r="A802" s="662" t="s">
        <v>692</v>
      </c>
      <c r="B802" s="1512">
        <f>'Lager_&amp;_Montagematerial'!E189</f>
        <v>0</v>
      </c>
      <c r="C802" s="2314"/>
      <c r="D802" s="729">
        <f>'Lager_&amp;_Montagematerial'!G189</f>
        <v>0</v>
      </c>
      <c r="E802" s="2314"/>
      <c r="F802" s="728">
        <f>'Lager_&amp;_Montagematerial'!H189</f>
        <v>0</v>
      </c>
      <c r="G802" s="2314"/>
      <c r="H802" s="729">
        <v>0</v>
      </c>
      <c r="I802" s="2314"/>
      <c r="J802" s="729">
        <v>0</v>
      </c>
      <c r="K802" s="2314"/>
      <c r="L802" s="664"/>
      <c r="M802" s="2314"/>
      <c r="N802" s="663" t="s">
        <v>53</v>
      </c>
      <c r="Q802"/>
      <c r="R802">
        <f>'Lager_&amp;_Montagematerial'!C189</f>
        <v>0</v>
      </c>
      <c r="S802"/>
      <c r="T802"/>
      <c r="U802"/>
      <c r="W802" s="3"/>
      <c r="X802" s="3"/>
      <c r="Y802" s="3"/>
      <c r="AB802" s="3"/>
      <c r="AC802" s="3"/>
      <c r="AD802" s="3"/>
      <c r="AO802"/>
      <c r="AP802"/>
      <c r="AQ802"/>
      <c r="AR802"/>
      <c r="AS802"/>
      <c r="AT802"/>
      <c r="BF802" s="2135">
        <f t="shared" si="98"/>
        <v>0</v>
      </c>
      <c r="BG802" s="2135">
        <f t="shared" si="97"/>
        <v>0</v>
      </c>
      <c r="BH802" s="2136" t="s">
        <v>53</v>
      </c>
    </row>
    <row r="803" spans="1:60" x14ac:dyDescent="0.2">
      <c r="A803" s="662" t="s">
        <v>692</v>
      </c>
      <c r="B803" s="1512">
        <f>'Lager_&amp;_Montagematerial'!E190</f>
        <v>0</v>
      </c>
      <c r="C803" s="2314"/>
      <c r="D803" s="729">
        <f>'Lager_&amp;_Montagematerial'!G190</f>
        <v>0</v>
      </c>
      <c r="E803" s="2314"/>
      <c r="F803" s="728">
        <f>'Lager_&amp;_Montagematerial'!H190</f>
        <v>0</v>
      </c>
      <c r="G803" s="2314"/>
      <c r="H803" s="729">
        <v>0</v>
      </c>
      <c r="I803" s="2314"/>
      <c r="J803" s="729">
        <v>0</v>
      </c>
      <c r="K803" s="2314"/>
      <c r="L803" s="664"/>
      <c r="M803" s="2314"/>
      <c r="N803" s="663" t="s">
        <v>53</v>
      </c>
      <c r="Q803"/>
      <c r="R803">
        <f>'Lager_&amp;_Montagematerial'!C190</f>
        <v>0</v>
      </c>
      <c r="S803"/>
      <c r="T803"/>
      <c r="U803"/>
      <c r="W803" s="3"/>
      <c r="X803" s="3"/>
      <c r="Y803" s="3"/>
      <c r="AB803" s="3"/>
      <c r="AC803" s="3"/>
      <c r="AD803" s="3"/>
      <c r="AO803"/>
      <c r="AP803"/>
      <c r="AQ803"/>
      <c r="AR803"/>
      <c r="AS803"/>
      <c r="AT803"/>
      <c r="BF803" s="2135">
        <f t="shared" si="98"/>
        <v>0</v>
      </c>
      <c r="BG803" s="2135">
        <f t="shared" si="97"/>
        <v>0</v>
      </c>
      <c r="BH803" s="2136" t="s">
        <v>53</v>
      </c>
    </row>
    <row r="804" spans="1:60" x14ac:dyDescent="0.2">
      <c r="A804" s="662" t="s">
        <v>692</v>
      </c>
      <c r="B804" s="1512">
        <f>'Lager_&amp;_Montagematerial'!E191</f>
        <v>0</v>
      </c>
      <c r="C804" s="2314"/>
      <c r="D804" s="729">
        <f>'Lager_&amp;_Montagematerial'!G191</f>
        <v>0</v>
      </c>
      <c r="E804" s="2314"/>
      <c r="F804" s="728">
        <f>'Lager_&amp;_Montagematerial'!H191</f>
        <v>0</v>
      </c>
      <c r="G804" s="2314"/>
      <c r="H804" s="729">
        <v>0</v>
      </c>
      <c r="I804" s="2314"/>
      <c r="J804" s="729">
        <v>0</v>
      </c>
      <c r="K804" s="2314"/>
      <c r="L804" s="664"/>
      <c r="M804" s="2314"/>
      <c r="N804" s="663" t="s">
        <v>53</v>
      </c>
      <c r="Q804"/>
      <c r="R804">
        <f>'Lager_&amp;_Montagematerial'!C191</f>
        <v>0</v>
      </c>
      <c r="S804"/>
      <c r="T804"/>
      <c r="U804"/>
      <c r="W804" s="3"/>
      <c r="X804" s="3"/>
      <c r="Y804" s="3"/>
      <c r="AB804" s="3"/>
      <c r="AC804" s="3"/>
      <c r="AD804" s="3"/>
      <c r="AO804"/>
      <c r="AP804"/>
      <c r="AQ804"/>
      <c r="AR804"/>
      <c r="AS804"/>
      <c r="AT804"/>
      <c r="BF804" s="2135">
        <f t="shared" si="98"/>
        <v>0</v>
      </c>
      <c r="BG804" s="2135">
        <f t="shared" si="97"/>
        <v>0</v>
      </c>
      <c r="BH804" s="2136" t="s">
        <v>53</v>
      </c>
    </row>
    <row r="805" spans="1:60" x14ac:dyDescent="0.2">
      <c r="A805" s="662" t="s">
        <v>692</v>
      </c>
      <c r="B805" s="1512">
        <f>'Lager_&amp;_Montagematerial'!E192</f>
        <v>0</v>
      </c>
      <c r="C805" s="2314"/>
      <c r="D805" s="729">
        <f>'Lager_&amp;_Montagematerial'!G192</f>
        <v>0</v>
      </c>
      <c r="E805" s="2314"/>
      <c r="F805" s="728">
        <f>'Lager_&amp;_Montagematerial'!H192</f>
        <v>0</v>
      </c>
      <c r="G805" s="2314"/>
      <c r="H805" s="729">
        <v>0</v>
      </c>
      <c r="I805" s="2314"/>
      <c r="J805" s="729">
        <v>0</v>
      </c>
      <c r="K805" s="2314"/>
      <c r="L805" s="664"/>
      <c r="M805" s="2314"/>
      <c r="N805" s="663" t="s">
        <v>53</v>
      </c>
      <c r="Q805"/>
      <c r="R805">
        <f>'Lager_&amp;_Montagematerial'!C192</f>
        <v>0</v>
      </c>
      <c r="S805"/>
      <c r="T805"/>
      <c r="U805"/>
      <c r="W805" s="3"/>
      <c r="X805" s="3"/>
      <c r="Y805" s="3"/>
      <c r="AB805" s="3"/>
      <c r="AC805" s="3"/>
      <c r="AD805" s="3"/>
      <c r="AO805"/>
      <c r="AP805"/>
      <c r="AQ805"/>
      <c r="AR805"/>
      <c r="AS805"/>
      <c r="AT805"/>
      <c r="BF805" s="2135">
        <f t="shared" si="98"/>
        <v>0</v>
      </c>
      <c r="BG805" s="2135">
        <f t="shared" si="97"/>
        <v>0</v>
      </c>
      <c r="BH805" s="2136" t="s">
        <v>53</v>
      </c>
    </row>
    <row r="806" spans="1:60" x14ac:dyDescent="0.2">
      <c r="A806" s="662" t="s">
        <v>692</v>
      </c>
      <c r="B806" s="1512">
        <f>'Lager_&amp;_Montagematerial'!E193</f>
        <v>0</v>
      </c>
      <c r="C806" s="2314"/>
      <c r="D806" s="729">
        <f>'Lager_&amp;_Montagematerial'!G193</f>
        <v>0</v>
      </c>
      <c r="E806" s="2314"/>
      <c r="F806" s="728">
        <f>'Lager_&amp;_Montagematerial'!H193</f>
        <v>0</v>
      </c>
      <c r="G806" s="2314"/>
      <c r="H806" s="729">
        <v>0</v>
      </c>
      <c r="I806" s="2314"/>
      <c r="J806" s="729">
        <v>0</v>
      </c>
      <c r="K806" s="2314"/>
      <c r="L806" s="664"/>
      <c r="M806" s="2314"/>
      <c r="N806" s="663" t="s">
        <v>53</v>
      </c>
      <c r="Q806"/>
      <c r="R806">
        <f>'Lager_&amp;_Montagematerial'!C193</f>
        <v>0</v>
      </c>
      <c r="S806"/>
      <c r="T806"/>
      <c r="U806"/>
      <c r="W806" s="3"/>
      <c r="X806" s="3"/>
      <c r="Y806" s="3"/>
      <c r="AB806" s="3"/>
      <c r="AC806" s="3"/>
      <c r="AD806" s="3"/>
      <c r="AO806"/>
      <c r="AP806"/>
      <c r="AQ806"/>
      <c r="AR806"/>
      <c r="AS806"/>
      <c r="AT806"/>
      <c r="BF806" s="2135">
        <f t="shared" si="98"/>
        <v>0</v>
      </c>
      <c r="BG806" s="2135">
        <f t="shared" si="97"/>
        <v>0</v>
      </c>
      <c r="BH806" s="2136" t="s">
        <v>53</v>
      </c>
    </row>
  </sheetData>
  <autoFilter ref="A4:BH806" xr:uid="{00000000-0009-0000-0000-000008000000}"/>
  <mergeCells count="1">
    <mergeCell ref="AO3:AR3"/>
  </mergeCells>
  <phoneticPr fontId="20" type="noConversion"/>
  <conditionalFormatting sqref="H4:AM4 H1:L2">
    <cfRule type="cellIs" dxfId="1526" priority="232" stopIfTrue="1" operator="equal">
      <formula>0</formula>
    </cfRule>
  </conditionalFormatting>
  <conditionalFormatting sqref="F737:F741 F749:F65596 F628:F662 F702:F706 F664:F700 F1:F138 F543:F592 F140:F513 F708:F734 F515:F539">
    <cfRule type="cellIs" dxfId="1525" priority="231" stopIfTrue="1" operator="equal">
      <formula>0</formula>
    </cfRule>
  </conditionalFormatting>
  <conditionalFormatting sqref="F701">
    <cfRule type="cellIs" dxfId="1524" priority="215" stopIfTrue="1" operator="equal">
      <formula>0</formula>
    </cfRule>
  </conditionalFormatting>
  <conditionalFormatting sqref="F735">
    <cfRule type="cellIs" dxfId="1523" priority="199" stopIfTrue="1" operator="equal">
      <formula>0</formula>
    </cfRule>
  </conditionalFormatting>
  <conditionalFormatting sqref="F736">
    <cfRule type="cellIs" dxfId="1522" priority="198" stopIfTrue="1" operator="equal">
      <formula>0</formula>
    </cfRule>
  </conditionalFormatting>
  <conditionalFormatting sqref="F742">
    <cfRule type="cellIs" dxfId="1521" priority="169" stopIfTrue="1" operator="equal">
      <formula>0</formula>
    </cfRule>
  </conditionalFormatting>
  <conditionalFormatting sqref="F743">
    <cfRule type="cellIs" dxfId="1520" priority="168" stopIfTrue="1" operator="equal">
      <formula>0</formula>
    </cfRule>
  </conditionalFormatting>
  <conditionalFormatting sqref="F593">
    <cfRule type="cellIs" dxfId="1519" priority="128" stopIfTrue="1" operator="equal">
      <formula>0</formula>
    </cfRule>
  </conditionalFormatting>
  <conditionalFormatting sqref="F594">
    <cfRule type="cellIs" dxfId="1518" priority="93" stopIfTrue="1" operator="equal">
      <formula>0</formula>
    </cfRule>
  </conditionalFormatting>
  <conditionalFormatting sqref="F595">
    <cfRule type="cellIs" dxfId="1517" priority="92" stopIfTrue="1" operator="equal">
      <formula>0</formula>
    </cfRule>
  </conditionalFormatting>
  <conditionalFormatting sqref="F597">
    <cfRule type="cellIs" dxfId="1516" priority="90" stopIfTrue="1" operator="equal">
      <formula>0</formula>
    </cfRule>
  </conditionalFormatting>
  <conditionalFormatting sqref="F596">
    <cfRule type="cellIs" dxfId="1515" priority="91" stopIfTrue="1" operator="equal">
      <formula>0</formula>
    </cfRule>
  </conditionalFormatting>
  <conditionalFormatting sqref="F624">
    <cfRule type="cellIs" dxfId="1514" priority="60" stopIfTrue="1" operator="equal">
      <formula>0</formula>
    </cfRule>
  </conditionalFormatting>
  <conditionalFormatting sqref="F598">
    <cfRule type="cellIs" dxfId="1513" priority="89" stopIfTrue="1" operator="equal">
      <formula>0</formula>
    </cfRule>
  </conditionalFormatting>
  <conditionalFormatting sqref="F599">
    <cfRule type="cellIs" dxfId="1512" priority="88" stopIfTrue="1" operator="equal">
      <formula>0</formula>
    </cfRule>
  </conditionalFormatting>
  <conditionalFormatting sqref="F600">
    <cfRule type="cellIs" dxfId="1511" priority="87" stopIfTrue="1" operator="equal">
      <formula>0</formula>
    </cfRule>
  </conditionalFormatting>
  <conditionalFormatting sqref="F601">
    <cfRule type="cellIs" dxfId="1510" priority="85" stopIfTrue="1" operator="equal">
      <formula>0</formula>
    </cfRule>
  </conditionalFormatting>
  <conditionalFormatting sqref="F602">
    <cfRule type="cellIs" dxfId="1509" priority="84" stopIfTrue="1" operator="equal">
      <formula>0</formula>
    </cfRule>
  </conditionalFormatting>
  <conditionalFormatting sqref="F603">
    <cfRule type="cellIs" dxfId="1508" priority="83" stopIfTrue="1" operator="equal">
      <formula>0</formula>
    </cfRule>
  </conditionalFormatting>
  <conditionalFormatting sqref="F604">
    <cfRule type="cellIs" dxfId="1507" priority="82" stopIfTrue="1" operator="equal">
      <formula>0</formula>
    </cfRule>
  </conditionalFormatting>
  <conditionalFormatting sqref="F605">
    <cfRule type="cellIs" dxfId="1506" priority="81" stopIfTrue="1" operator="equal">
      <formula>0</formula>
    </cfRule>
  </conditionalFormatting>
  <conditionalFormatting sqref="F606">
    <cfRule type="cellIs" dxfId="1505" priority="80" stopIfTrue="1" operator="equal">
      <formula>0</formula>
    </cfRule>
  </conditionalFormatting>
  <conditionalFormatting sqref="F607">
    <cfRule type="cellIs" dxfId="1504" priority="79" stopIfTrue="1" operator="equal">
      <formula>0</formula>
    </cfRule>
  </conditionalFormatting>
  <conditionalFormatting sqref="F608">
    <cfRule type="cellIs" dxfId="1503" priority="78" stopIfTrue="1" operator="equal">
      <formula>0</formula>
    </cfRule>
  </conditionalFormatting>
  <conditionalFormatting sqref="F609">
    <cfRule type="cellIs" dxfId="1502" priority="76" stopIfTrue="1" operator="equal">
      <formula>0</formula>
    </cfRule>
  </conditionalFormatting>
  <conditionalFormatting sqref="F610">
    <cfRule type="cellIs" dxfId="1501" priority="75" stopIfTrue="1" operator="equal">
      <formula>0</formula>
    </cfRule>
  </conditionalFormatting>
  <conditionalFormatting sqref="F611">
    <cfRule type="cellIs" dxfId="1500" priority="74" stopIfTrue="1" operator="equal">
      <formula>0</formula>
    </cfRule>
  </conditionalFormatting>
  <conditionalFormatting sqref="F612">
    <cfRule type="cellIs" dxfId="1499" priority="73" stopIfTrue="1" operator="equal">
      <formula>0</formula>
    </cfRule>
  </conditionalFormatting>
  <conditionalFormatting sqref="F613">
    <cfRule type="cellIs" dxfId="1498" priority="72" stopIfTrue="1" operator="equal">
      <formula>0</formula>
    </cfRule>
  </conditionalFormatting>
  <conditionalFormatting sqref="F614">
    <cfRule type="cellIs" dxfId="1497" priority="71" stopIfTrue="1" operator="equal">
      <formula>0</formula>
    </cfRule>
  </conditionalFormatting>
  <conditionalFormatting sqref="F615">
    <cfRule type="cellIs" dxfId="1496" priority="70" stopIfTrue="1" operator="equal">
      <formula>0</formula>
    </cfRule>
  </conditionalFormatting>
  <conditionalFormatting sqref="F616">
    <cfRule type="cellIs" dxfId="1495" priority="69" stopIfTrue="1" operator="equal">
      <formula>0</formula>
    </cfRule>
  </conditionalFormatting>
  <conditionalFormatting sqref="F617">
    <cfRule type="cellIs" dxfId="1494" priority="67" stopIfTrue="1" operator="equal">
      <formula>0</formula>
    </cfRule>
  </conditionalFormatting>
  <conditionalFormatting sqref="F618">
    <cfRule type="cellIs" dxfId="1493" priority="66" stopIfTrue="1" operator="equal">
      <formula>0</formula>
    </cfRule>
  </conditionalFormatting>
  <conditionalFormatting sqref="F619">
    <cfRule type="cellIs" dxfId="1492" priority="65" stopIfTrue="1" operator="equal">
      <formula>0</formula>
    </cfRule>
  </conditionalFormatting>
  <conditionalFormatting sqref="F620">
    <cfRule type="cellIs" dxfId="1491" priority="64" stopIfTrue="1" operator="equal">
      <formula>0</formula>
    </cfRule>
  </conditionalFormatting>
  <conditionalFormatting sqref="F621">
    <cfRule type="cellIs" dxfId="1490" priority="63" stopIfTrue="1" operator="equal">
      <formula>0</formula>
    </cfRule>
  </conditionalFormatting>
  <conditionalFormatting sqref="F622">
    <cfRule type="cellIs" dxfId="1489" priority="62" stopIfTrue="1" operator="equal">
      <formula>0</formula>
    </cfRule>
  </conditionalFormatting>
  <conditionalFormatting sqref="F623">
    <cfRule type="cellIs" dxfId="1488" priority="61" stopIfTrue="1" operator="equal">
      <formula>0</formula>
    </cfRule>
  </conditionalFormatting>
  <conditionalFormatting sqref="F744">
    <cfRule type="cellIs" dxfId="1487" priority="59" stopIfTrue="1" operator="equal">
      <formula>0</formula>
    </cfRule>
  </conditionalFormatting>
  <conditionalFormatting sqref="F745">
    <cfRule type="cellIs" dxfId="1486" priority="58" stopIfTrue="1" operator="equal">
      <formula>0</formula>
    </cfRule>
  </conditionalFormatting>
  <conditionalFormatting sqref="F746">
    <cfRule type="cellIs" dxfId="1485" priority="48" stopIfTrue="1" operator="equal">
      <formula>0</formula>
    </cfRule>
  </conditionalFormatting>
  <conditionalFormatting sqref="F747">
    <cfRule type="cellIs" dxfId="1484" priority="47" stopIfTrue="1" operator="equal">
      <formula>0</formula>
    </cfRule>
  </conditionalFormatting>
  <conditionalFormatting sqref="F748">
    <cfRule type="cellIs" dxfId="1483" priority="46" stopIfTrue="1" operator="equal">
      <formula>0</formula>
    </cfRule>
  </conditionalFormatting>
  <conditionalFormatting sqref="F625">
    <cfRule type="cellIs" dxfId="1482" priority="45" stopIfTrue="1" operator="equal">
      <formula>0</formula>
    </cfRule>
  </conditionalFormatting>
  <conditionalFormatting sqref="F626">
    <cfRule type="cellIs" dxfId="1481" priority="44" stopIfTrue="1" operator="equal">
      <formula>0</formula>
    </cfRule>
  </conditionalFormatting>
  <conditionalFormatting sqref="F627">
    <cfRule type="cellIs" dxfId="1480" priority="43" stopIfTrue="1" operator="equal">
      <formula>0</formula>
    </cfRule>
  </conditionalFormatting>
  <conditionalFormatting sqref="F707">
    <cfRule type="cellIs" dxfId="1479" priority="22" stopIfTrue="1" operator="equal">
      <formula>0</formula>
    </cfRule>
  </conditionalFormatting>
  <conditionalFormatting sqref="F663">
    <cfRule type="cellIs" dxfId="1478" priority="21" stopIfTrue="1" operator="equal">
      <formula>0</formula>
    </cfRule>
  </conditionalFormatting>
  <conditionalFormatting sqref="F540">
    <cfRule type="cellIs" dxfId="1477" priority="5" stopIfTrue="1" operator="equal">
      <formula>0</formula>
    </cfRule>
  </conditionalFormatting>
  <conditionalFormatting sqref="F541">
    <cfRule type="cellIs" dxfId="1476" priority="4" stopIfTrue="1" operator="equal">
      <formula>0</formula>
    </cfRule>
  </conditionalFormatting>
  <conditionalFormatting sqref="F542">
    <cfRule type="cellIs" dxfId="1475" priority="3" stopIfTrue="1" operator="equal">
      <formula>0</formula>
    </cfRule>
  </conditionalFormatting>
  <conditionalFormatting sqref="F139">
    <cfRule type="cellIs" dxfId="1474" priority="2" stopIfTrue="1" operator="equal">
      <formula>0</formula>
    </cfRule>
  </conditionalFormatting>
  <conditionalFormatting sqref="F514">
    <cfRule type="cellIs" dxfId="1473" priority="1" stopIfTrue="1" operator="equal">
      <formula>0</formula>
    </cfRule>
  </conditionalFormatting>
  <pageMargins left="0.78740157499999996" right="0.78740157499999996" top="0.984251969" bottom="0.984251969" header="0.4921259845" footer="0.4921259845"/>
  <pageSetup paperSize="8" scale="7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036" r:id="rId4" name="Button 4">
              <controlPr defaultSize="0" print="0" autoFill="0" autoPict="0" macro="[1]!abschr_test">
                <anchor moveWithCells="1" sizeWithCells="1">
                  <from>
                    <xdr:col>9</xdr:col>
                    <xdr:colOff>466725</xdr:colOff>
                    <xdr:row>0</xdr:row>
                    <xdr:rowOff>228600</xdr:rowOff>
                  </from>
                  <to>
                    <xdr:col>14</xdr:col>
                    <xdr:colOff>0</xdr:colOff>
                    <xdr:row>2</xdr:row>
                    <xdr:rowOff>38100</xdr:rowOff>
                  </to>
                </anchor>
              </controlPr>
            </control>
          </mc:Choice>
        </mc:AlternateContent>
        <mc:AlternateContent xmlns:mc="http://schemas.openxmlformats.org/markup-compatibility/2006">
          <mc:Choice Requires="x14">
            <control shapeId="44037" r:id="rId5" name="Button 5">
              <controlPr defaultSize="0" print="0" autoFill="0" autoPict="0" macro="[1]!abschr">
                <anchor moveWithCells="1" sizeWithCells="1">
                  <from>
                    <xdr:col>5</xdr:col>
                    <xdr:colOff>200025</xdr:colOff>
                    <xdr:row>0</xdr:row>
                    <xdr:rowOff>257175</xdr:rowOff>
                  </from>
                  <to>
                    <xdr:col>8</xdr:col>
                    <xdr:colOff>57150</xdr:colOff>
                    <xdr:row>2</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
  <dimension ref="B2:AJ1758"/>
  <sheetViews>
    <sheetView topLeftCell="A253" zoomScale="85" zoomScaleNormal="85" workbookViewId="0">
      <selection activeCell="A302" sqref="A302:XFD302"/>
    </sheetView>
  </sheetViews>
  <sheetFormatPr baseColWidth="10" defaultColWidth="11.42578125" defaultRowHeight="12.75" x14ac:dyDescent="0.2"/>
  <cols>
    <col min="1" max="1" width="2" style="9" customWidth="1"/>
    <col min="2" max="2" width="46.42578125" style="190" customWidth="1"/>
    <col min="3" max="3" width="28.85546875" style="193" customWidth="1"/>
    <col min="4" max="4" width="13.140625" style="193" customWidth="1"/>
    <col min="5" max="5" width="18.28515625" style="193" customWidth="1"/>
    <col min="6" max="6" width="11.42578125" style="193"/>
    <col min="7" max="7" width="26.85546875" style="193" customWidth="1"/>
    <col min="8" max="8" width="21.42578125" style="193" customWidth="1"/>
    <col min="9" max="9" width="16.42578125" style="193" customWidth="1"/>
    <col min="10" max="10" width="15" style="193" customWidth="1"/>
    <col min="11" max="11" width="14.28515625" style="193" customWidth="1"/>
    <col min="12" max="12" width="13.140625" style="193" customWidth="1"/>
    <col min="13" max="13" width="45.5703125" style="193" customWidth="1"/>
    <col min="14" max="14" width="11.42578125" style="193" customWidth="1"/>
    <col min="15" max="15" width="11.42578125" style="193"/>
    <col min="16" max="16" width="13.140625" style="193" customWidth="1"/>
    <col min="17" max="17" width="13.42578125" style="9" customWidth="1"/>
    <col min="18" max="18" width="61.5703125" style="9" customWidth="1"/>
    <col min="19" max="19" width="11.42578125" style="193"/>
    <col min="20" max="20" width="15.140625" style="193" customWidth="1"/>
    <col min="21" max="21" width="14.7109375" style="193" customWidth="1"/>
    <col min="22" max="22" width="13.42578125" style="193" bestFit="1" customWidth="1"/>
    <col min="23" max="23" width="15.5703125" style="193" customWidth="1"/>
    <col min="24" max="24" width="11.42578125" style="193"/>
    <col min="25" max="25" width="13" style="193" bestFit="1" customWidth="1"/>
    <col min="26" max="16384" width="11.42578125" style="9"/>
  </cols>
  <sheetData>
    <row r="2" spans="2:29" x14ac:dyDescent="0.2">
      <c r="B2" s="422" t="s">
        <v>339</v>
      </c>
    </row>
    <row r="3" spans="2:29" ht="13.5" thickBot="1" x14ac:dyDescent="0.25">
      <c r="E3" s="190" t="s">
        <v>28027</v>
      </c>
      <c r="F3" s="192">
        <v>-30</v>
      </c>
      <c r="J3" s="193" t="s">
        <v>796</v>
      </c>
    </row>
    <row r="4" spans="2:29" x14ac:dyDescent="0.2">
      <c r="B4" s="190" t="s">
        <v>418</v>
      </c>
      <c r="C4" s="191">
        <f>Dateneingabe!F22</f>
        <v>900</v>
      </c>
      <c r="E4" s="190" t="s">
        <v>421</v>
      </c>
      <c r="F4" s="192">
        <f>IF(D43=1,129,129+15)</f>
        <v>144</v>
      </c>
      <c r="J4" s="193" t="s">
        <v>545</v>
      </c>
      <c r="M4" s="1198" t="s">
        <v>28233</v>
      </c>
      <c r="N4" s="1205" t="s">
        <v>28228</v>
      </c>
      <c r="O4" s="1205" t="s">
        <v>874</v>
      </c>
      <c r="P4" s="1206" t="s">
        <v>61</v>
      </c>
    </row>
    <row r="5" spans="2:29" ht="13.5" thickBot="1" x14ac:dyDescent="0.25">
      <c r="B5" s="190" t="s">
        <v>419</v>
      </c>
      <c r="C5" s="191">
        <f>Dateneingabe!F24</f>
        <v>835</v>
      </c>
      <c r="E5" s="190" t="s">
        <v>423</v>
      </c>
      <c r="F5" s="195">
        <f>IF(Dateneingabe!F46=Dateneingabe!H110,2.5,2)</f>
        <v>2</v>
      </c>
      <c r="I5" s="741"/>
      <c r="M5" s="1199" t="s">
        <v>28226</v>
      </c>
      <c r="N5" s="745">
        <f>Dateneingabe!K46</f>
        <v>1</v>
      </c>
      <c r="O5" s="1213">
        <f>Dateneingabe!H46</f>
        <v>7016</v>
      </c>
      <c r="P5" s="1200">
        <f>CEILING(Liste!$G$1/1000*Liste!$G$2/1000,1)*0.16</f>
        <v>0.16</v>
      </c>
      <c r="Q5" s="193">
        <f>Dateneingabe!L46</f>
        <v>0</v>
      </c>
      <c r="S5" s="657" t="s">
        <v>28260</v>
      </c>
    </row>
    <row r="6" spans="2:29" x14ac:dyDescent="0.2">
      <c r="B6" s="190" t="s">
        <v>317</v>
      </c>
      <c r="C6" s="191">
        <f>Dateneingabe!F26</f>
        <v>2515</v>
      </c>
      <c r="D6" s="9"/>
      <c r="E6" s="9"/>
      <c r="I6" s="742"/>
      <c r="M6" s="1199" t="s">
        <v>28227</v>
      </c>
      <c r="N6" s="745">
        <f>Dateneingabe!K48</f>
        <v>1</v>
      </c>
      <c r="O6" s="1214">
        <f>Dateneingabe!H48</f>
        <v>7016</v>
      </c>
      <c r="P6" s="1200">
        <f>CEILING(Liste!$G$1/1000*Liste!$G$2/1000,1)*0.16</f>
        <v>0.16</v>
      </c>
      <c r="Q6" s="193">
        <f>Dateneingabe!L48</f>
        <v>0</v>
      </c>
      <c r="S6" s="1209"/>
      <c r="T6" s="1210"/>
      <c r="U6" s="2742" t="s">
        <v>28258</v>
      </c>
      <c r="V6" s="2743"/>
      <c r="W6" s="2743"/>
      <c r="X6" s="2748"/>
      <c r="Y6" s="2742" t="s">
        <v>417</v>
      </c>
      <c r="Z6" s="2743"/>
      <c r="AA6" s="2743"/>
      <c r="AB6" s="2744"/>
      <c r="AC6" s="2146"/>
    </row>
    <row r="7" spans="2:29" x14ac:dyDescent="0.2">
      <c r="B7" s="190" t="str">
        <f>Dateneingabe!E36</f>
        <v>Förderniveau:</v>
      </c>
      <c r="C7" s="2529">
        <f>Dateneingabe!F36</f>
        <v>2800</v>
      </c>
      <c r="D7" s="421"/>
      <c r="E7" s="413"/>
      <c r="I7" s="742"/>
      <c r="M7" s="1199"/>
      <c r="N7" s="2528"/>
      <c r="O7" s="1214"/>
      <c r="P7" s="1200"/>
      <c r="Q7" s="193"/>
      <c r="S7" s="1201"/>
      <c r="T7" s="2528"/>
      <c r="U7" s="840"/>
      <c r="V7" s="834"/>
      <c r="W7" s="834"/>
      <c r="X7" s="841"/>
      <c r="Y7" s="840"/>
      <c r="Z7" s="834"/>
      <c r="AA7" s="834"/>
      <c r="AB7" s="1225"/>
      <c r="AC7" s="2528"/>
    </row>
    <row r="8" spans="2:29" x14ac:dyDescent="0.2">
      <c r="B8" s="190" t="str">
        <f>Dateneingabe!E38</f>
        <v>Förderniveau Überstand</v>
      </c>
      <c r="C8" s="2530">
        <f>Dateneingabe!F38</f>
        <v>0</v>
      </c>
      <c r="D8" s="421" t="s">
        <v>522</v>
      </c>
      <c r="E8" s="413" t="s">
        <v>523</v>
      </c>
      <c r="I8" s="742"/>
      <c r="M8" s="1199"/>
      <c r="N8" s="2528"/>
      <c r="O8" s="1214"/>
      <c r="P8" s="1200"/>
      <c r="Q8" s="193"/>
      <c r="S8" s="1201"/>
      <c r="T8" s="2528"/>
      <c r="U8" s="840"/>
      <c r="V8" s="834"/>
      <c r="W8" s="834"/>
      <c r="X8" s="841"/>
      <c r="Y8" s="840"/>
      <c r="Z8" s="834"/>
      <c r="AA8" s="834"/>
      <c r="AB8" s="1225"/>
      <c r="AC8" s="2528"/>
    </row>
    <row r="9" spans="2:29" x14ac:dyDescent="0.2">
      <c r="B9" s="190" t="s">
        <v>320</v>
      </c>
      <c r="C9" s="191" t="str">
        <f>Dateneingabe!F28</f>
        <v>r2</v>
      </c>
      <c r="D9" s="195">
        <f>IF(C9="r0",0,1)</f>
        <v>1</v>
      </c>
      <c r="E9" s="195">
        <f>IF(C9="r0",1,0)</f>
        <v>0</v>
      </c>
      <c r="M9" s="1199" t="s">
        <v>321</v>
      </c>
      <c r="N9" s="745">
        <f>Dateneingabe!K50</f>
        <v>1</v>
      </c>
      <c r="O9" s="1214">
        <f>Dateneingabe!H50</f>
        <v>7016</v>
      </c>
      <c r="P9" s="1200">
        <f>CEILING(Liste!E427/1000*Liste!F427/1000,1)*2*0.16</f>
        <v>0.32</v>
      </c>
      <c r="Q9" s="193">
        <f>Dateneingabe!L50</f>
        <v>0</v>
      </c>
      <c r="S9" s="1199" t="s">
        <v>28256</v>
      </c>
      <c r="T9" s="1223" t="s">
        <v>28257</v>
      </c>
      <c r="U9" s="1220">
        <v>1</v>
      </c>
      <c r="V9" s="1221">
        <v>2.5</v>
      </c>
      <c r="W9" s="1221">
        <v>5</v>
      </c>
      <c r="X9" s="1222">
        <v>12.5</v>
      </c>
      <c r="Y9" s="1220">
        <v>1</v>
      </c>
      <c r="Z9" s="1221">
        <v>2.5</v>
      </c>
      <c r="AA9" s="1221">
        <v>5</v>
      </c>
      <c r="AB9" s="1224">
        <v>12.5</v>
      </c>
      <c r="AC9" s="2148"/>
    </row>
    <row r="10" spans="2:29" ht="13.5" thickBot="1" x14ac:dyDescent="0.25">
      <c r="B10" s="190" t="s">
        <v>321</v>
      </c>
      <c r="C10" s="191" t="str">
        <f>Dateneingabe!F30</f>
        <v>mit</v>
      </c>
      <c r="D10" s="195">
        <f>IF(C10="mit",1,0)</f>
        <v>1</v>
      </c>
      <c r="M10" s="1201"/>
      <c r="N10" s="745"/>
      <c r="O10" s="745"/>
      <c r="P10" s="1202"/>
      <c r="Q10" s="193">
        <f>SUM(Q5:Q9)</f>
        <v>0</v>
      </c>
      <c r="S10" s="1201">
        <v>1</v>
      </c>
      <c r="T10" s="745">
        <f>IF(AND($P$11&lt;=S10,$P$11&gt;0),1,0)</f>
        <v>1</v>
      </c>
      <c r="U10" s="835">
        <v>1</v>
      </c>
      <c r="V10" s="745"/>
      <c r="W10" s="2053"/>
      <c r="X10" s="838"/>
      <c r="Y10" s="835">
        <f t="shared" ref="Y10:Y23" si="0">T10*U10</f>
        <v>1</v>
      </c>
      <c r="Z10" s="745">
        <f t="shared" ref="Z10:Z23" si="1">T10*V10</f>
        <v>0</v>
      </c>
      <c r="AA10" s="745">
        <f t="shared" ref="AA10:AA23" si="2">T10*W10</f>
        <v>0</v>
      </c>
      <c r="AB10" s="1202">
        <f t="shared" ref="AB10:AB23" si="3">T10*X10</f>
        <v>0</v>
      </c>
      <c r="AC10" s="2146"/>
    </row>
    <row r="11" spans="2:29" x14ac:dyDescent="0.2">
      <c r="B11" s="190" t="s">
        <v>425</v>
      </c>
      <c r="C11" s="191">
        <f>Dateneingabe!F34</f>
        <v>365</v>
      </c>
      <c r="E11" s="2753" t="s">
        <v>321</v>
      </c>
      <c r="F11" s="2754"/>
      <c r="G11" s="2755"/>
      <c r="M11" s="1199" t="s">
        <v>28229</v>
      </c>
      <c r="O11" s="745">
        <v>7016</v>
      </c>
      <c r="P11" s="1200">
        <f>IF($O$5=O11,$N$5*$P$5,0)+IF($O$6=O11,$N$6*$P$6,0)+IF($O$9=O11,$N$9*$P$9,0)</f>
        <v>0.64</v>
      </c>
      <c r="Q11" s="947"/>
      <c r="S11" s="1201">
        <v>2</v>
      </c>
      <c r="T11" s="745">
        <f>IF(AND($P$11&gt;S10,$P$11&lt;=S11),1,0)</f>
        <v>0</v>
      </c>
      <c r="U11" s="835">
        <v>2</v>
      </c>
      <c r="V11" s="745"/>
      <c r="W11" s="2053"/>
      <c r="X11" s="838"/>
      <c r="Y11" s="835">
        <f t="shared" si="0"/>
        <v>0</v>
      </c>
      <c r="Z11" s="745">
        <f t="shared" si="1"/>
        <v>0</v>
      </c>
      <c r="AA11" s="745">
        <f t="shared" si="2"/>
        <v>0</v>
      </c>
      <c r="AB11" s="1202">
        <f t="shared" si="3"/>
        <v>0</v>
      </c>
      <c r="AC11" s="2146"/>
    </row>
    <row r="12" spans="2:29" x14ac:dyDescent="0.2">
      <c r="B12" s="667" t="s">
        <v>818</v>
      </c>
      <c r="C12" s="195">
        <f>C4+100+100</f>
        <v>1100</v>
      </c>
      <c r="E12" s="1083" t="s">
        <v>331</v>
      </c>
      <c r="F12" s="1084">
        <v>175</v>
      </c>
      <c r="G12" s="1085">
        <v>250</v>
      </c>
      <c r="M12" s="1199" t="s">
        <v>28230</v>
      </c>
      <c r="O12" s="745" t="str">
        <f>IF(OR(Q10=1,Q10=3,Q10=5,Q10=7),O5,"")&amp;IF(OR(Q10=2,Q10=6),O6,"")&amp;IF(Q10=4,O9,"")</f>
        <v/>
      </c>
      <c r="P12" s="1200">
        <f>IF($O$5=O12,$N$5*$P$5,0)+IF($O$6=O12,$N$6*$P$6,0)+IF($O$9=O12,$N$9*$P$9,0)</f>
        <v>0</v>
      </c>
      <c r="Q12" s="740">
        <f>IF(P12&gt;0,1,0)</f>
        <v>0</v>
      </c>
      <c r="S12" s="1201">
        <v>2.5</v>
      </c>
      <c r="T12" s="745">
        <f t="shared" ref="T12:T23" si="4">IF(AND($P$11&gt;S11,$P$11&lt;=S12),1,0)</f>
        <v>0</v>
      </c>
      <c r="U12" s="835"/>
      <c r="V12" s="745">
        <v>1</v>
      </c>
      <c r="W12" s="2053"/>
      <c r="X12" s="838"/>
      <c r="Y12" s="835">
        <f t="shared" si="0"/>
        <v>0</v>
      </c>
      <c r="Z12" s="745">
        <f t="shared" si="1"/>
        <v>0</v>
      </c>
      <c r="AA12" s="745">
        <f t="shared" si="2"/>
        <v>0</v>
      </c>
      <c r="AB12" s="1202">
        <f t="shared" si="3"/>
        <v>0</v>
      </c>
      <c r="AC12" s="2146"/>
    </row>
    <row r="13" spans="2:29" ht="13.5" thickBot="1" x14ac:dyDescent="0.25">
      <c r="B13" s="667" t="s">
        <v>27890</v>
      </c>
      <c r="C13" s="2639">
        <f>Dateneingabe!H30+20</f>
        <v>195</v>
      </c>
      <c r="E13" s="1080">
        <f>IF(C10="mit",1,0)</f>
        <v>1</v>
      </c>
      <c r="F13" s="1081">
        <f>IF(Dateneingabe!H30=175,1,0)</f>
        <v>1</v>
      </c>
      <c r="G13" s="1082">
        <f>IF(Dateneingabe!H30=250,1,0)</f>
        <v>0</v>
      </c>
      <c r="M13" s="1199" t="s">
        <v>28231</v>
      </c>
      <c r="O13" s="745" t="str">
        <f>IF(AND(Q10=3,O5&lt;&gt;O6),O6,"")&amp;IF(AND(Q10=5,O5&lt;&gt;O9),O9,"")&amp;IF(AND(Q10=6,O6&lt;&gt;O9),O9,"")&amp;IF(AND(Q10=7,O5&lt;&gt;O6),O6,"")&amp;IF(AND(Q10=7,O5=O6,O6&lt;&gt;O9),O9,"")</f>
        <v/>
      </c>
      <c r="P13" s="1200">
        <f>IF($O$5=O13,$N$5*$P$5,0)+IF($O$6=O13,$N$6*$P$6,0)+IF($O$9=O13,$N$9*$P$9,0)</f>
        <v>0</v>
      </c>
      <c r="Q13" s="740">
        <f>IF(P13&gt;0,1,0)</f>
        <v>0</v>
      </c>
      <c r="S13" s="1201">
        <v>3.5</v>
      </c>
      <c r="T13" s="745">
        <f t="shared" si="4"/>
        <v>0</v>
      </c>
      <c r="U13" s="835">
        <v>1</v>
      </c>
      <c r="V13" s="745">
        <v>1</v>
      </c>
      <c r="W13" s="2053"/>
      <c r="X13" s="838"/>
      <c r="Y13" s="835">
        <f t="shared" si="0"/>
        <v>0</v>
      </c>
      <c r="Z13" s="745">
        <f t="shared" si="1"/>
        <v>0</v>
      </c>
      <c r="AA13" s="745">
        <f t="shared" si="2"/>
        <v>0</v>
      </c>
      <c r="AB13" s="1202">
        <f t="shared" si="3"/>
        <v>0</v>
      </c>
      <c r="AC13" s="2146"/>
    </row>
    <row r="14" spans="2:29" ht="13.5" thickBot="1" x14ac:dyDescent="0.25">
      <c r="B14" s="190" t="s">
        <v>428</v>
      </c>
      <c r="C14" s="1128">
        <f>IF(C15=Dateneingabe!F115,C6,80)</f>
        <v>80</v>
      </c>
      <c r="D14" s="193" t="s">
        <v>28330</v>
      </c>
      <c r="M14" s="1203" t="s">
        <v>28232</v>
      </c>
      <c r="N14" s="1204"/>
      <c r="O14" s="1204" t="str">
        <f>IF(AND(Q10=7,O5&lt;&gt;O6,O6&lt;&gt;O9,O5&lt;&gt;O9),O9,"")</f>
        <v/>
      </c>
      <c r="P14" s="1212">
        <f>IF($O$5=O14,$N$5*$P$5,0)+IF($O$6=O14,$N$6*$P$6,0)+IF($O$9=O14,$N$9*$P$9,0)</f>
        <v>0</v>
      </c>
      <c r="Q14" s="740">
        <f>IF(P14&gt;0,1,0)</f>
        <v>0</v>
      </c>
      <c r="S14" s="1201">
        <v>5</v>
      </c>
      <c r="T14" s="745">
        <f t="shared" si="4"/>
        <v>0</v>
      </c>
      <c r="U14" s="835"/>
      <c r="V14" s="745">
        <v>2</v>
      </c>
      <c r="W14" s="2053"/>
      <c r="X14" s="838"/>
      <c r="Y14" s="835">
        <f t="shared" si="0"/>
        <v>0</v>
      </c>
      <c r="Z14" s="745">
        <f t="shared" si="1"/>
        <v>0</v>
      </c>
      <c r="AA14" s="745">
        <f t="shared" si="2"/>
        <v>0</v>
      </c>
      <c r="AB14" s="1202">
        <f t="shared" si="3"/>
        <v>0</v>
      </c>
      <c r="AC14" s="2146"/>
    </row>
    <row r="15" spans="2:29" ht="15" customHeight="1" x14ac:dyDescent="0.2">
      <c r="B15" s="194" t="s">
        <v>426</v>
      </c>
      <c r="C15" s="191" t="str">
        <f>Dateneingabe!F32</f>
        <v>wandhängend (auf Konsolen)</v>
      </c>
      <c r="D15" s="195">
        <f>IF(C15=Dateneingabe!F114,1,0)</f>
        <v>1</v>
      </c>
      <c r="S15" s="1201">
        <v>6</v>
      </c>
      <c r="T15" s="745">
        <f t="shared" si="4"/>
        <v>0</v>
      </c>
      <c r="U15" s="835">
        <v>1</v>
      </c>
      <c r="V15" s="745">
        <v>2</v>
      </c>
      <c r="W15" s="2053"/>
      <c r="X15" s="838"/>
      <c r="Y15" s="835">
        <f t="shared" si="0"/>
        <v>0</v>
      </c>
      <c r="Z15" s="745">
        <f t="shared" si="1"/>
        <v>0</v>
      </c>
      <c r="AA15" s="745">
        <f t="shared" si="2"/>
        <v>0</v>
      </c>
      <c r="AB15" s="1202">
        <f t="shared" si="3"/>
        <v>0</v>
      </c>
      <c r="AC15" s="2146"/>
    </row>
    <row r="16" spans="2:29" ht="15" customHeight="1" x14ac:dyDescent="0.2">
      <c r="B16" s="193"/>
      <c r="S16" s="1201">
        <v>7.5</v>
      </c>
      <c r="T16" s="745">
        <f t="shared" si="4"/>
        <v>0</v>
      </c>
      <c r="U16" s="835"/>
      <c r="V16" s="745">
        <v>3</v>
      </c>
      <c r="W16" s="2053"/>
      <c r="X16" s="838"/>
      <c r="Y16" s="835">
        <f t="shared" si="0"/>
        <v>0</v>
      </c>
      <c r="Z16" s="745">
        <f t="shared" si="1"/>
        <v>0</v>
      </c>
      <c r="AA16" s="745">
        <f t="shared" si="2"/>
        <v>0</v>
      </c>
      <c r="AB16" s="1202">
        <f t="shared" si="3"/>
        <v>0</v>
      </c>
      <c r="AC16" s="2146"/>
    </row>
    <row r="17" spans="2:29" ht="15" customHeight="1" x14ac:dyDescent="0.2">
      <c r="B17" s="193"/>
      <c r="C17" s="745"/>
      <c r="S17" s="1201">
        <v>8.5</v>
      </c>
      <c r="T17" s="745">
        <f t="shared" si="4"/>
        <v>0</v>
      </c>
      <c r="U17" s="835">
        <v>1</v>
      </c>
      <c r="V17" s="745">
        <v>3</v>
      </c>
      <c r="W17" s="2053"/>
      <c r="X17" s="838"/>
      <c r="Y17" s="835">
        <f t="shared" si="0"/>
        <v>0</v>
      </c>
      <c r="Z17" s="745">
        <f t="shared" si="1"/>
        <v>0</v>
      </c>
      <c r="AA17" s="745">
        <f t="shared" si="2"/>
        <v>0</v>
      </c>
      <c r="AB17" s="1202">
        <f t="shared" si="3"/>
        <v>0</v>
      </c>
      <c r="AC17" s="2146"/>
    </row>
    <row r="18" spans="2:29" x14ac:dyDescent="0.2">
      <c r="C18" s="2056"/>
      <c r="D18" s="421" t="s">
        <v>524</v>
      </c>
      <c r="S18" s="1201">
        <v>10</v>
      </c>
      <c r="T18" s="745">
        <f t="shared" si="4"/>
        <v>0</v>
      </c>
      <c r="U18" s="835"/>
      <c r="V18" s="745">
        <v>4</v>
      </c>
      <c r="W18" s="2053"/>
      <c r="X18" s="838"/>
      <c r="Y18" s="835">
        <f t="shared" si="0"/>
        <v>0</v>
      </c>
      <c r="Z18" s="745">
        <f t="shared" si="1"/>
        <v>0</v>
      </c>
      <c r="AA18" s="745">
        <f t="shared" si="2"/>
        <v>0</v>
      </c>
      <c r="AB18" s="1202">
        <f t="shared" si="3"/>
        <v>0</v>
      </c>
      <c r="AC18" s="2146"/>
    </row>
    <row r="19" spans="2:29" ht="25.5" x14ac:dyDescent="0.2">
      <c r="B19" s="196" t="s">
        <v>422</v>
      </c>
      <c r="C19" s="195">
        <f>F5</f>
        <v>2</v>
      </c>
      <c r="D19" s="195">
        <f>C19/F5</f>
        <v>1</v>
      </c>
      <c r="H19" s="2756" t="s">
        <v>27772</v>
      </c>
      <c r="I19" s="2756"/>
      <c r="J19" s="2756"/>
      <c r="K19" s="2756"/>
      <c r="S19" s="1201">
        <v>11</v>
      </c>
      <c r="T19" s="745">
        <f t="shared" si="4"/>
        <v>0</v>
      </c>
      <c r="U19" s="835">
        <v>1</v>
      </c>
      <c r="V19" s="745">
        <v>4</v>
      </c>
      <c r="W19" s="2053"/>
      <c r="X19" s="838"/>
      <c r="Y19" s="835">
        <f t="shared" si="0"/>
        <v>0</v>
      </c>
      <c r="Z19" s="745">
        <f t="shared" si="1"/>
        <v>0</v>
      </c>
      <c r="AA19" s="745">
        <f t="shared" si="2"/>
        <v>0</v>
      </c>
      <c r="AB19" s="1202">
        <f t="shared" si="3"/>
        <v>0</v>
      </c>
      <c r="AC19" s="2146"/>
    </row>
    <row r="20" spans="2:29" ht="25.5" x14ac:dyDescent="0.2">
      <c r="B20" s="196" t="s">
        <v>424</v>
      </c>
      <c r="C20" s="195">
        <f>IF(AND(C9="r0",C10="ohne"),IF(C15=Dateneingabe!F115,-'Berechnung &amp; Tabellen'!C6,F3),C11-C14)</f>
        <v>285</v>
      </c>
      <c r="G20" s="193" t="s">
        <v>27779</v>
      </c>
      <c r="H20" s="193" t="s">
        <v>27774</v>
      </c>
      <c r="I20" s="193" t="s">
        <v>27773</v>
      </c>
      <c r="J20" s="193" t="s">
        <v>27775</v>
      </c>
      <c r="K20" s="193" t="s">
        <v>27776</v>
      </c>
      <c r="S20" s="1201">
        <v>12.5</v>
      </c>
      <c r="T20" s="745">
        <f t="shared" si="4"/>
        <v>0</v>
      </c>
      <c r="U20" s="835"/>
      <c r="V20" s="745"/>
      <c r="W20" s="2053"/>
      <c r="X20" s="838">
        <v>1</v>
      </c>
      <c r="Y20" s="835">
        <f t="shared" si="0"/>
        <v>0</v>
      </c>
      <c r="Z20" s="745">
        <f t="shared" si="1"/>
        <v>0</v>
      </c>
      <c r="AA20" s="745">
        <f t="shared" si="2"/>
        <v>0</v>
      </c>
      <c r="AB20" s="1202">
        <f t="shared" si="3"/>
        <v>0</v>
      </c>
      <c r="AC20" s="2146"/>
    </row>
    <row r="21" spans="2:29" x14ac:dyDescent="0.2">
      <c r="B21" s="190" t="s">
        <v>420</v>
      </c>
      <c r="C21" s="195">
        <f>C4+90+90</f>
        <v>1080</v>
      </c>
      <c r="G21" s="193" t="s">
        <v>27777</v>
      </c>
      <c r="S21" s="1201">
        <v>13.5</v>
      </c>
      <c r="T21" s="745">
        <f t="shared" si="4"/>
        <v>0</v>
      </c>
      <c r="U21" s="835">
        <v>1</v>
      </c>
      <c r="V21" s="745"/>
      <c r="W21" s="2053"/>
      <c r="X21" s="838">
        <v>1</v>
      </c>
      <c r="Y21" s="835">
        <f t="shared" si="0"/>
        <v>0</v>
      </c>
      <c r="Z21" s="745">
        <f t="shared" si="1"/>
        <v>0</v>
      </c>
      <c r="AA21" s="745">
        <f t="shared" si="2"/>
        <v>0</v>
      </c>
      <c r="AB21" s="1202">
        <f t="shared" si="3"/>
        <v>0</v>
      </c>
      <c r="AC21" s="2146"/>
    </row>
    <row r="22" spans="2:29" x14ac:dyDescent="0.2">
      <c r="B22" s="197" t="s">
        <v>429</v>
      </c>
      <c r="C22" s="195">
        <f>C5-C20+F4</f>
        <v>694</v>
      </c>
      <c r="G22" s="736">
        <v>750</v>
      </c>
      <c r="H22" s="1682" t="s">
        <v>747</v>
      </c>
      <c r="I22" s="2332" t="s">
        <v>27780</v>
      </c>
      <c r="J22" s="1683" t="s">
        <v>758</v>
      </c>
      <c r="K22" s="2332" t="s">
        <v>27790</v>
      </c>
      <c r="N22" s="2756" t="s">
        <v>27824</v>
      </c>
      <c r="O22" s="2756"/>
      <c r="P22" s="2756"/>
      <c r="Q22" s="2756"/>
      <c r="S22" s="1201">
        <v>15</v>
      </c>
      <c r="T22" s="745">
        <f t="shared" si="4"/>
        <v>0</v>
      </c>
      <c r="U22" s="835"/>
      <c r="V22" s="745">
        <v>1</v>
      </c>
      <c r="W22" s="2053"/>
      <c r="X22" s="838">
        <v>1</v>
      </c>
      <c r="Y22" s="835">
        <f t="shared" si="0"/>
        <v>0</v>
      </c>
      <c r="Z22" s="745">
        <f t="shared" si="1"/>
        <v>0</v>
      </c>
      <c r="AA22" s="745">
        <f t="shared" si="2"/>
        <v>0</v>
      </c>
      <c r="AB22" s="1202">
        <f t="shared" si="3"/>
        <v>0</v>
      </c>
      <c r="AC22" s="2146"/>
    </row>
    <row r="23" spans="2:29" x14ac:dyDescent="0.2">
      <c r="B23" s="197" t="s">
        <v>430</v>
      </c>
      <c r="C23" s="195">
        <f>C22-C19</f>
        <v>692</v>
      </c>
      <c r="G23" s="736">
        <v>1000</v>
      </c>
      <c r="H23" s="1682" t="s">
        <v>748</v>
      </c>
      <c r="I23" s="2332" t="s">
        <v>27781</v>
      </c>
      <c r="J23" s="1683" t="s">
        <v>759</v>
      </c>
      <c r="K23" s="2332" t="s">
        <v>27791</v>
      </c>
      <c r="O23" s="740" t="s">
        <v>553</v>
      </c>
      <c r="P23" s="740" t="s">
        <v>464</v>
      </c>
      <c r="Q23" s="193"/>
      <c r="S23" s="1201">
        <v>17.5</v>
      </c>
      <c r="T23" s="745">
        <f t="shared" si="4"/>
        <v>0</v>
      </c>
      <c r="U23" s="837"/>
      <c r="V23" s="834">
        <v>2</v>
      </c>
      <c r="W23" s="2054"/>
      <c r="X23" s="841">
        <v>1</v>
      </c>
      <c r="Y23" s="837">
        <f t="shared" si="0"/>
        <v>0</v>
      </c>
      <c r="Z23" s="834">
        <f t="shared" si="1"/>
        <v>0</v>
      </c>
      <c r="AA23" s="834">
        <f t="shared" si="2"/>
        <v>0</v>
      </c>
      <c r="AB23" s="1225">
        <f t="shared" si="3"/>
        <v>0</v>
      </c>
      <c r="AC23" s="2146"/>
    </row>
    <row r="24" spans="2:29" ht="13.5" thickBot="1" x14ac:dyDescent="0.25">
      <c r="B24" s="197" t="s">
        <v>431</v>
      </c>
      <c r="C24" s="195">
        <f>C23-6</f>
        <v>686</v>
      </c>
      <c r="G24" s="736">
        <v>1250</v>
      </c>
      <c r="H24" s="1682" t="s">
        <v>749</v>
      </c>
      <c r="I24" s="2332" t="s">
        <v>27782</v>
      </c>
      <c r="J24" s="1683" t="s">
        <v>760</v>
      </c>
      <c r="K24" s="2332" t="s">
        <v>27792</v>
      </c>
      <c r="M24" s="193" t="s">
        <v>27825</v>
      </c>
      <c r="N24" s="193" t="s">
        <v>27770</v>
      </c>
      <c r="O24" s="665" t="s">
        <v>802</v>
      </c>
      <c r="P24" s="665" t="s">
        <v>27820</v>
      </c>
      <c r="Q24" s="193"/>
      <c r="S24" s="1226"/>
      <c r="T24" s="1204"/>
      <c r="U24" s="1204"/>
      <c r="V24" s="1204"/>
      <c r="W24" s="1204"/>
      <c r="X24" s="1255" t="s">
        <v>746</v>
      </c>
      <c r="Y24" s="1227">
        <f>SUM(Y10:Y23)</f>
        <v>1</v>
      </c>
      <c r="Z24" s="1227">
        <f>SUM(Z10:Z23)</f>
        <v>0</v>
      </c>
      <c r="AA24" s="1227">
        <f>SUM(AA10:AA23)</f>
        <v>0</v>
      </c>
      <c r="AB24" s="1228">
        <f>SUM(AB10:AB23)</f>
        <v>0</v>
      </c>
      <c r="AC24" s="2146"/>
    </row>
    <row r="25" spans="2:29" x14ac:dyDescent="0.2">
      <c r="B25" s="197" t="s">
        <v>432</v>
      </c>
      <c r="C25" s="195">
        <f>C21</f>
        <v>1080</v>
      </c>
      <c r="G25" s="736">
        <v>1500</v>
      </c>
      <c r="H25" s="1682" t="s">
        <v>750</v>
      </c>
      <c r="I25" s="2332" t="s">
        <v>27783</v>
      </c>
      <c r="J25" s="1683" t="s">
        <v>761</v>
      </c>
      <c r="K25" s="2332" t="s">
        <v>27793</v>
      </c>
      <c r="M25" s="193" t="s">
        <v>27825</v>
      </c>
      <c r="N25" s="193" t="s">
        <v>27771</v>
      </c>
      <c r="O25" s="665" t="s">
        <v>27834</v>
      </c>
      <c r="P25" s="665" t="s">
        <v>27835</v>
      </c>
      <c r="Q25" s="193"/>
      <c r="S25" s="15" t="s">
        <v>30325</v>
      </c>
    </row>
    <row r="26" spans="2:29" x14ac:dyDescent="0.2">
      <c r="B26" s="667" t="s">
        <v>794</v>
      </c>
      <c r="C26" s="333" t="s">
        <v>796</v>
      </c>
      <c r="D26" s="195">
        <f>IF(C26=$J$4,1,0)</f>
        <v>0</v>
      </c>
      <c r="G26" s="736">
        <v>1750</v>
      </c>
      <c r="H26" s="1682" t="s">
        <v>751</v>
      </c>
      <c r="I26" s="2332" t="s">
        <v>27784</v>
      </c>
      <c r="J26" s="1683" t="s">
        <v>762</v>
      </c>
      <c r="K26" s="2332" t="s">
        <v>27794</v>
      </c>
      <c r="O26" s="944"/>
      <c r="P26" s="944"/>
      <c r="Q26" s="193"/>
    </row>
    <row r="27" spans="2:29" x14ac:dyDescent="0.2">
      <c r="B27" s="667" t="s">
        <v>795</v>
      </c>
      <c r="C27" s="333" t="s">
        <v>796</v>
      </c>
      <c r="D27" s="195">
        <f>IF(C27=$J$4,1,0)</f>
        <v>0</v>
      </c>
      <c r="G27" s="736">
        <v>2000</v>
      </c>
      <c r="H27" s="1682" t="s">
        <v>752</v>
      </c>
      <c r="I27" s="2332" t="s">
        <v>27785</v>
      </c>
      <c r="J27" s="1683" t="s">
        <v>763</v>
      </c>
      <c r="K27" s="2332" t="s">
        <v>27795</v>
      </c>
      <c r="M27" s="740" t="s">
        <v>27827</v>
      </c>
      <c r="N27" s="193" t="s">
        <v>27770</v>
      </c>
      <c r="O27" s="665" t="s">
        <v>800</v>
      </c>
      <c r="P27" s="665" t="s">
        <v>27846</v>
      </c>
      <c r="Q27" s="193"/>
    </row>
    <row r="28" spans="2:29" x14ac:dyDescent="0.2">
      <c r="B28" s="667" t="s">
        <v>742</v>
      </c>
      <c r="C28" s="733">
        <f>C22+C5-C20</f>
        <v>1244</v>
      </c>
      <c r="G28" s="736">
        <v>2250</v>
      </c>
      <c r="H28" s="1682" t="s">
        <v>753</v>
      </c>
      <c r="I28" s="2332" t="s">
        <v>27786</v>
      </c>
      <c r="J28" s="1683" t="s">
        <v>764</v>
      </c>
      <c r="K28" s="2332" t="s">
        <v>27796</v>
      </c>
      <c r="M28" s="740" t="s">
        <v>27827</v>
      </c>
      <c r="N28" s="193" t="s">
        <v>27771</v>
      </c>
      <c r="O28" s="665" t="s">
        <v>27836</v>
      </c>
      <c r="P28" s="665" t="s">
        <v>27837</v>
      </c>
      <c r="Q28" s="193"/>
    </row>
    <row r="29" spans="2:29" x14ac:dyDescent="0.2">
      <c r="B29" s="667" t="s">
        <v>743</v>
      </c>
      <c r="C29" s="733">
        <f>CEILING(C28,250)</f>
        <v>1250</v>
      </c>
      <c r="G29" s="736">
        <v>2500</v>
      </c>
      <c r="H29" s="1682" t="s">
        <v>754</v>
      </c>
      <c r="I29" s="2332" t="s">
        <v>27787</v>
      </c>
      <c r="J29" s="1683" t="s">
        <v>765</v>
      </c>
      <c r="K29" s="2332" t="s">
        <v>27797</v>
      </c>
      <c r="O29" s="944"/>
      <c r="P29" s="944"/>
      <c r="Q29" s="193"/>
    </row>
    <row r="30" spans="2:29" x14ac:dyDescent="0.2">
      <c r="B30" s="667" t="s">
        <v>771</v>
      </c>
      <c r="C30" s="744" t="str">
        <f>IF(U102&gt;1,"ja","nein")</f>
        <v>nein</v>
      </c>
      <c r="G30" s="736">
        <v>2750</v>
      </c>
      <c r="H30" s="1682" t="s">
        <v>755</v>
      </c>
      <c r="I30" s="2332" t="s">
        <v>27788</v>
      </c>
      <c r="J30" s="1683" t="s">
        <v>766</v>
      </c>
      <c r="K30" s="2332" t="s">
        <v>27798</v>
      </c>
      <c r="M30" s="740" t="s">
        <v>27828</v>
      </c>
      <c r="N30" s="193" t="s">
        <v>27770</v>
      </c>
      <c r="O30" s="944"/>
      <c r="P30" s="944"/>
      <c r="Q30" s="193"/>
    </row>
    <row r="31" spans="2:29" x14ac:dyDescent="0.2">
      <c r="G31" s="736">
        <v>3000</v>
      </c>
      <c r="H31" s="1682" t="s">
        <v>756</v>
      </c>
      <c r="I31" s="2332" t="s">
        <v>27789</v>
      </c>
      <c r="J31" s="1683" t="s">
        <v>767</v>
      </c>
      <c r="K31" s="2332" t="s">
        <v>27799</v>
      </c>
      <c r="M31" s="740" t="s">
        <v>27828</v>
      </c>
      <c r="N31" s="193" t="s">
        <v>27771</v>
      </c>
      <c r="O31" s="665" t="s">
        <v>27826</v>
      </c>
      <c r="P31" s="665" t="s">
        <v>27833</v>
      </c>
      <c r="Q31" s="193"/>
    </row>
    <row r="32" spans="2:29" x14ac:dyDescent="0.2">
      <c r="G32" s="193" t="s">
        <v>27778</v>
      </c>
      <c r="H32" s="1682"/>
      <c r="I32" s="2333"/>
      <c r="J32" s="1682"/>
      <c r="K32" s="2333"/>
      <c r="O32" s="944"/>
      <c r="P32" s="944"/>
      <c r="Q32" s="193"/>
    </row>
    <row r="33" spans="2:32" x14ac:dyDescent="0.2">
      <c r="G33" s="736">
        <v>750</v>
      </c>
      <c r="H33" s="1682" t="s">
        <v>774</v>
      </c>
      <c r="I33" s="2332" t="s">
        <v>27800</v>
      </c>
      <c r="J33" s="1683" t="s">
        <v>776</v>
      </c>
      <c r="K33" s="2332" t="s">
        <v>27810</v>
      </c>
      <c r="M33" s="740" t="s">
        <v>27829</v>
      </c>
      <c r="N33" s="193" t="s">
        <v>27770</v>
      </c>
      <c r="O33" s="665" t="s">
        <v>7145</v>
      </c>
      <c r="P33" s="665" t="s">
        <v>27838</v>
      </c>
      <c r="Q33" s="193"/>
    </row>
    <row r="34" spans="2:32" x14ac:dyDescent="0.2">
      <c r="G34" s="736">
        <v>1000</v>
      </c>
      <c r="H34" s="1682" t="s">
        <v>775</v>
      </c>
      <c r="I34" s="2332" t="s">
        <v>27801</v>
      </c>
      <c r="J34" s="1683" t="s">
        <v>777</v>
      </c>
      <c r="K34" s="2332" t="s">
        <v>27811</v>
      </c>
      <c r="M34" s="740" t="s">
        <v>27829</v>
      </c>
      <c r="N34" s="193" t="s">
        <v>27771</v>
      </c>
      <c r="O34" s="665" t="s">
        <v>27832</v>
      </c>
      <c r="P34" s="665" t="s">
        <v>27839</v>
      </c>
      <c r="Q34" s="193"/>
    </row>
    <row r="35" spans="2:32" x14ac:dyDescent="0.2">
      <c r="G35" s="736">
        <v>1250</v>
      </c>
      <c r="H35" s="1682" t="s">
        <v>779</v>
      </c>
      <c r="I35" s="2332" t="s">
        <v>27802</v>
      </c>
      <c r="J35" s="1683" t="s">
        <v>778</v>
      </c>
      <c r="K35" s="2332" t="s">
        <v>27812</v>
      </c>
      <c r="O35" s="944"/>
      <c r="P35" s="944"/>
      <c r="Q35" s="193"/>
    </row>
    <row r="36" spans="2:32" ht="15" x14ac:dyDescent="0.25">
      <c r="B36" s="667" t="s">
        <v>31076</v>
      </c>
      <c r="C36" s="195">
        <f>IF((SUM(Liste!A356:A361)-2)&gt;0,(SUM(Liste!A356:A361)-2),0)</f>
        <v>0</v>
      </c>
      <c r="G36" s="736">
        <v>1500</v>
      </c>
      <c r="H36" s="1682" t="s">
        <v>781</v>
      </c>
      <c r="I36" s="2332" t="s">
        <v>27803</v>
      </c>
      <c r="J36" s="1683" t="s">
        <v>780</v>
      </c>
      <c r="K36" s="2332" t="s">
        <v>27813</v>
      </c>
      <c r="M36" s="740" t="s">
        <v>27830</v>
      </c>
      <c r="N36" s="193" t="s">
        <v>27770</v>
      </c>
      <c r="O36" s="944" t="s">
        <v>7096</v>
      </c>
      <c r="P36" s="665" t="s">
        <v>7728</v>
      </c>
      <c r="Q36" s="193"/>
      <c r="W36" s="2242"/>
      <c r="X36" s="2243"/>
      <c r="Y36" s="2243"/>
      <c r="Z36" s="2243"/>
      <c r="AA36" s="2243"/>
      <c r="AB36" s="2243"/>
      <c r="AC36" s="2243"/>
      <c r="AD36" s="2243"/>
      <c r="AE36" s="2243"/>
      <c r="AF36" s="2244"/>
    </row>
    <row r="37" spans="2:32" ht="15.75" x14ac:dyDescent="0.25">
      <c r="B37" s="667" t="s">
        <v>797</v>
      </c>
      <c r="C37" s="195">
        <f>ROUNDUP($C$29/1000+C36/2+1,0)*(2-D26-D27)</f>
        <v>6</v>
      </c>
      <c r="D37" s="2331"/>
      <c r="E37" s="2331"/>
      <c r="G37" s="736">
        <v>1750</v>
      </c>
      <c r="H37" s="1682" t="s">
        <v>783</v>
      </c>
      <c r="I37" s="2332" t="s">
        <v>27804</v>
      </c>
      <c r="J37" s="1683" t="s">
        <v>782</v>
      </c>
      <c r="K37" s="2332" t="s">
        <v>27814</v>
      </c>
      <c r="M37" s="740" t="s">
        <v>27830</v>
      </c>
      <c r="N37" s="193" t="s">
        <v>27771</v>
      </c>
      <c r="O37" s="665" t="s">
        <v>27840</v>
      </c>
      <c r="P37" s="665" t="s">
        <v>27842</v>
      </c>
      <c r="W37" s="2241"/>
      <c r="X37" s="2257" t="s">
        <v>30912</v>
      </c>
      <c r="Z37" s="2240"/>
      <c r="AA37" s="2240"/>
      <c r="AB37" s="2240"/>
      <c r="AC37" s="2240"/>
      <c r="AD37" s="2240"/>
      <c r="AE37" s="2240"/>
      <c r="AF37" s="2245"/>
    </row>
    <row r="38" spans="2:32" ht="15" x14ac:dyDescent="0.25">
      <c r="B38" s="667" t="s">
        <v>798</v>
      </c>
      <c r="C38" s="195">
        <f>ROUNDUP($C$29/1000+2,0)*(D26+D27)</f>
        <v>0</v>
      </c>
      <c r="D38" s="745"/>
      <c r="E38" s="745"/>
      <c r="G38" s="736">
        <v>2000</v>
      </c>
      <c r="H38" s="1682" t="s">
        <v>785</v>
      </c>
      <c r="I38" s="2332" t="s">
        <v>27805</v>
      </c>
      <c r="J38" s="1683" t="s">
        <v>784</v>
      </c>
      <c r="K38" s="2332" t="s">
        <v>27815</v>
      </c>
      <c r="O38" s="944"/>
      <c r="P38" s="944"/>
      <c r="W38" s="2241"/>
      <c r="X38" s="2240"/>
      <c r="Y38" s="2258"/>
      <c r="Z38" s="2240"/>
      <c r="AA38" s="2240"/>
      <c r="AB38" s="2246"/>
      <c r="AC38" s="2247"/>
      <c r="AD38" s="2240"/>
      <c r="AE38" s="2240"/>
      <c r="AF38" s="2245"/>
    </row>
    <row r="39" spans="2:32" ht="15" x14ac:dyDescent="0.25">
      <c r="B39" s="667" t="s">
        <v>815</v>
      </c>
      <c r="C39" s="1079">
        <f>IF(C11=0,0,IF(C11&lt;240,1,0)+IF(C11&gt;239,CEILING((C11-200)/400,1)+1))</f>
        <v>2</v>
      </c>
      <c r="D39" s="745"/>
      <c r="E39" s="745"/>
      <c r="G39" s="736">
        <v>2250</v>
      </c>
      <c r="H39" s="1682" t="s">
        <v>787</v>
      </c>
      <c r="I39" s="2332" t="s">
        <v>27806</v>
      </c>
      <c r="J39" s="1683" t="s">
        <v>786</v>
      </c>
      <c r="K39" s="2332" t="s">
        <v>27816</v>
      </c>
      <c r="M39" s="740" t="s">
        <v>27831</v>
      </c>
      <c r="N39" s="193" t="s">
        <v>27770</v>
      </c>
      <c r="O39" s="665" t="s">
        <v>7098</v>
      </c>
      <c r="P39" s="665" t="s">
        <v>7732</v>
      </c>
      <c r="W39" s="2241"/>
      <c r="X39" s="2240"/>
      <c r="Y39" s="2240" t="s">
        <v>30910</v>
      </c>
      <c r="Z39" s="2240"/>
      <c r="AA39" s="2240" t="s">
        <v>30909</v>
      </c>
      <c r="AB39" s="2240"/>
      <c r="AC39" s="2240"/>
      <c r="AD39" s="2240"/>
      <c r="AE39" s="2240"/>
      <c r="AF39" s="2245"/>
    </row>
    <row r="40" spans="2:32" ht="15" x14ac:dyDescent="0.25">
      <c r="B40" s="667" t="s">
        <v>816</v>
      </c>
      <c r="C40" s="1079">
        <f>IF(C11=0,0,IF(C11&lt;240,1,0)+IF(C11&gt;239,CEILING((C11-200)/400,1)+1))</f>
        <v>2</v>
      </c>
      <c r="D40" s="745"/>
      <c r="E40" s="745"/>
      <c r="G40" s="736">
        <v>2500</v>
      </c>
      <c r="H40" s="1682" t="s">
        <v>789</v>
      </c>
      <c r="I40" s="2332" t="s">
        <v>27807</v>
      </c>
      <c r="J40" s="1683" t="s">
        <v>788</v>
      </c>
      <c r="K40" s="2332" t="s">
        <v>27817</v>
      </c>
      <c r="M40" s="740" t="s">
        <v>27831</v>
      </c>
      <c r="N40" s="193" t="s">
        <v>27771</v>
      </c>
      <c r="O40" s="665" t="s">
        <v>27841</v>
      </c>
      <c r="P40" s="665" t="s">
        <v>28565</v>
      </c>
      <c r="W40" s="2241"/>
      <c r="X40" s="2240"/>
      <c r="Y40" s="2248">
        <v>35</v>
      </c>
      <c r="Z40" s="2249"/>
      <c r="AA40" s="2248">
        <v>1.61</v>
      </c>
      <c r="AB40" s="2249"/>
      <c r="AC40" s="2271"/>
      <c r="AD40" s="2271" t="s">
        <v>30904</v>
      </c>
      <c r="AE40" s="2293">
        <f>AA40*1000</f>
        <v>1610</v>
      </c>
      <c r="AF40" s="2238" t="s">
        <v>30905</v>
      </c>
    </row>
    <row r="41" spans="2:32" ht="15" x14ac:dyDescent="0.25">
      <c r="B41" s="667" t="s">
        <v>827</v>
      </c>
      <c r="C41" s="195">
        <f>(ROUNDUP(C21/200,0)+3)*3*(Liste!D50+Liste!D86)</f>
        <v>0</v>
      </c>
      <c r="D41" s="745"/>
      <c r="E41" s="745"/>
      <c r="G41" s="736">
        <v>2750</v>
      </c>
      <c r="H41" s="1682" t="s">
        <v>791</v>
      </c>
      <c r="I41" s="2332" t="s">
        <v>27808</v>
      </c>
      <c r="J41" s="1683" t="s">
        <v>790</v>
      </c>
      <c r="K41" s="2332" t="s">
        <v>27818</v>
      </c>
      <c r="W41" s="2241"/>
      <c r="X41" s="2240"/>
      <c r="Y41" s="2272">
        <v>74</v>
      </c>
      <c r="Z41" s="2273"/>
      <c r="AA41" s="2272">
        <v>2.41</v>
      </c>
      <c r="AB41" s="2273"/>
      <c r="AC41" s="2273"/>
      <c r="AD41" s="2274" t="s">
        <v>30904</v>
      </c>
      <c r="AE41" s="2294">
        <f>AA41*1000</f>
        <v>2410</v>
      </c>
      <c r="AF41" s="2275" t="s">
        <v>30905</v>
      </c>
    </row>
    <row r="42" spans="2:32" ht="15" x14ac:dyDescent="0.25">
      <c r="B42" s="667" t="s">
        <v>27862</v>
      </c>
      <c r="C42" s="195" t="str">
        <f>IF(D26+D27&gt;0,"ja","nein")</f>
        <v>nein</v>
      </c>
      <c r="D42" s="195">
        <f>IF(C42="ja",1,0)</f>
        <v>0</v>
      </c>
      <c r="E42" s="745"/>
      <c r="G42" s="736">
        <v>3000</v>
      </c>
      <c r="H42" s="1682" t="s">
        <v>793</v>
      </c>
      <c r="I42" s="2332" t="s">
        <v>27809</v>
      </c>
      <c r="J42" s="1683" t="s">
        <v>792</v>
      </c>
      <c r="K42" s="2332" t="s">
        <v>27819</v>
      </c>
      <c r="W42" s="2241"/>
      <c r="X42" s="2240"/>
      <c r="Y42" s="2240"/>
      <c r="Z42" s="2240"/>
      <c r="AA42" s="2240"/>
      <c r="AB42" s="2240"/>
      <c r="AC42" s="2240"/>
      <c r="AD42" s="2240"/>
      <c r="AE42" s="2240"/>
      <c r="AF42" s="2245"/>
    </row>
    <row r="43" spans="2:32" ht="15" x14ac:dyDescent="0.25">
      <c r="B43" s="667" t="s">
        <v>27769</v>
      </c>
      <c r="C43" s="192" t="s">
        <v>27770</v>
      </c>
      <c r="D43" s="943"/>
      <c r="M43" s="2756" t="s">
        <v>27843</v>
      </c>
      <c r="N43" s="2756"/>
      <c r="W43" s="2241"/>
      <c r="X43" s="2240"/>
      <c r="Y43" s="2240"/>
      <c r="Z43" s="2240"/>
      <c r="AA43" s="2240"/>
      <c r="AB43" s="2240"/>
      <c r="AC43" s="2240"/>
      <c r="AD43" s="2240"/>
      <c r="AE43" s="2240"/>
      <c r="AF43" s="2245"/>
    </row>
    <row r="44" spans="2:32" ht="15" x14ac:dyDescent="0.25">
      <c r="B44" s="667" t="s">
        <v>27769</v>
      </c>
      <c r="C44" s="192" t="s">
        <v>27771</v>
      </c>
      <c r="D44" s="945">
        <f>IF(D43=1,0,1)</f>
        <v>1</v>
      </c>
      <c r="H44" s="2334"/>
      <c r="I44" s="657" t="s">
        <v>29301</v>
      </c>
      <c r="M44" s="193" t="s">
        <v>27825</v>
      </c>
      <c r="N44" s="946" t="str">
        <f>IF($D$43=1,IF($D$46=1,O24,P24),IF($D$46=1,O25,P25))</f>
        <v>0308135</v>
      </c>
      <c r="W44" s="2241"/>
      <c r="X44" s="2240"/>
      <c r="Y44" s="2240"/>
      <c r="Z44" s="2240"/>
      <c r="AA44" s="2246"/>
      <c r="AB44" s="2240"/>
      <c r="AC44" s="2240"/>
      <c r="AD44" s="2240"/>
      <c r="AE44" s="2240"/>
      <c r="AF44" s="2245"/>
    </row>
    <row r="45" spans="2:32" ht="15" x14ac:dyDescent="0.25">
      <c r="B45" s="667" t="s">
        <v>31227</v>
      </c>
      <c r="C45" s="2531">
        <f>IF(E9=1,C5-C20,C5+C6-C7)</f>
        <v>550</v>
      </c>
      <c r="D45" s="739" t="s">
        <v>27844</v>
      </c>
      <c r="E45" s="739" t="s">
        <v>464</v>
      </c>
      <c r="H45" s="1078"/>
      <c r="I45" s="657" t="s">
        <v>29300</v>
      </c>
      <c r="J45" s="740"/>
      <c r="M45" s="193" t="s">
        <v>27827</v>
      </c>
      <c r="N45" s="946" t="str">
        <f>IF($D$43=1,IF($D$46=1,O27,P27),IF($D$46=1,O28,P28))</f>
        <v>0308136</v>
      </c>
      <c r="W45" s="2241"/>
      <c r="X45" s="2240"/>
      <c r="Y45" s="2240"/>
      <c r="Z45" s="2240"/>
      <c r="AA45" s="2240"/>
      <c r="AB45" s="2240"/>
      <c r="AC45" s="2240"/>
      <c r="AD45" s="2240"/>
      <c r="AE45" s="2240"/>
      <c r="AF45" s="2245"/>
    </row>
    <row r="46" spans="2:32" ht="15" x14ac:dyDescent="0.25">
      <c r="B46" s="667" t="s">
        <v>27845</v>
      </c>
      <c r="C46" s="195" t="str">
        <f>Dateneingabe!F42</f>
        <v>Stahlblech verzinkt</v>
      </c>
      <c r="D46" s="195">
        <f>Liste!C2</f>
        <v>1</v>
      </c>
      <c r="E46" s="195">
        <f>Liste!C1</f>
        <v>0</v>
      </c>
      <c r="I46" s="665"/>
      <c r="M46" s="193" t="s">
        <v>27828</v>
      </c>
      <c r="N46" s="946" t="str">
        <f>IF($D$43=1,IF($D$46=1,O30,P30),IF($D$46=1,O31,P31))</f>
        <v>0308151</v>
      </c>
      <c r="W46" s="2241"/>
      <c r="X46" s="2240"/>
      <c r="Y46" s="2240"/>
      <c r="Z46" s="2240"/>
      <c r="AA46" s="2240"/>
      <c r="AB46" s="2240"/>
      <c r="AC46" s="2240"/>
      <c r="AD46" s="2240"/>
      <c r="AE46" s="2240"/>
      <c r="AF46" s="2245"/>
    </row>
    <row r="47" spans="2:32" ht="15" x14ac:dyDescent="0.25">
      <c r="B47" s="197"/>
      <c r="C47" s="195"/>
      <c r="I47" s="665"/>
      <c r="M47" s="193" t="s">
        <v>27829</v>
      </c>
      <c r="N47" s="946" t="str">
        <f>IF($D$43=1,IF($D$46=1,O33,P33),IF($D$46=1,O34,P34))</f>
        <v>0308132</v>
      </c>
      <c r="W47" s="2241"/>
      <c r="X47" s="2240"/>
      <c r="Y47" s="2240" t="s">
        <v>30906</v>
      </c>
      <c r="Z47" s="2240"/>
      <c r="AA47" s="2240"/>
      <c r="AB47" s="2240"/>
      <c r="AC47" s="2240"/>
      <c r="AD47" s="2240"/>
      <c r="AE47" s="2240"/>
      <c r="AF47" s="2245"/>
    </row>
    <row r="48" spans="2:32" ht="15.75" thickBot="1" x14ac:dyDescent="0.3">
      <c r="B48" s="667" t="s">
        <v>30346</v>
      </c>
      <c r="C48" s="195">
        <f>C21</f>
        <v>1080</v>
      </c>
      <c r="D48" s="195"/>
      <c r="W48" s="2241"/>
      <c r="X48" s="2240"/>
      <c r="Y48" s="2240"/>
      <c r="Z48" s="2240"/>
      <c r="AA48" s="2240"/>
      <c r="AB48" s="2240"/>
      <c r="AC48" s="2240"/>
      <c r="AD48" s="2240"/>
      <c r="AE48" s="2240"/>
      <c r="AF48" s="2245"/>
    </row>
    <row r="49" spans="2:32" ht="15.75" thickBot="1" x14ac:dyDescent="0.3">
      <c r="B49" s="197" t="s">
        <v>516</v>
      </c>
      <c r="C49" s="195">
        <f>C4+100+100</f>
        <v>1100</v>
      </c>
      <c r="G49" s="740"/>
      <c r="W49" s="2241"/>
      <c r="X49" s="2240"/>
      <c r="Y49" s="2269">
        <f>C61</f>
        <v>1125</v>
      </c>
      <c r="Z49" s="2240"/>
      <c r="AA49" s="2240"/>
      <c r="AB49" s="2240"/>
      <c r="AC49" s="2240"/>
      <c r="AD49" s="2240"/>
      <c r="AE49" s="2240"/>
      <c r="AF49" s="2245"/>
    </row>
    <row r="50" spans="2:32" ht="15" x14ac:dyDescent="0.25">
      <c r="B50" s="197" t="s">
        <v>520</v>
      </c>
      <c r="C50" s="195">
        <f>C4+100+100</f>
        <v>1100</v>
      </c>
      <c r="G50" s="740"/>
      <c r="W50" s="2241"/>
      <c r="X50" s="2240"/>
      <c r="Y50" s="2240"/>
      <c r="Z50" s="2240"/>
      <c r="AA50" s="2240"/>
      <c r="AB50" s="2240"/>
      <c r="AC50" s="2240"/>
      <c r="AD50" s="2240"/>
      <c r="AE50" s="2240"/>
      <c r="AF50" s="2245"/>
    </row>
    <row r="51" spans="2:32" ht="15" x14ac:dyDescent="0.25">
      <c r="B51" s="190" t="s">
        <v>521</v>
      </c>
      <c r="C51" s="195">
        <f>C5-C20</f>
        <v>550</v>
      </c>
      <c r="W51" s="2241"/>
      <c r="X51" s="2240"/>
      <c r="Y51" s="2281">
        <f>Y49/1000</f>
        <v>1.125</v>
      </c>
      <c r="Z51" s="2250"/>
      <c r="AA51" s="2240"/>
      <c r="AB51" s="2240"/>
      <c r="AC51" s="2240"/>
      <c r="AD51" s="2240"/>
      <c r="AE51" s="2240"/>
      <c r="AF51" s="2245"/>
    </row>
    <row r="52" spans="2:32" ht="15" x14ac:dyDescent="0.25">
      <c r="B52" s="197"/>
      <c r="C52" s="416"/>
      <c r="D52" s="195"/>
      <c r="G52" s="740"/>
      <c r="W52" s="2241"/>
      <c r="X52" s="2240"/>
      <c r="Y52" s="2240"/>
      <c r="Z52" s="2240"/>
      <c r="AA52" s="2240"/>
      <c r="AB52" s="2240"/>
      <c r="AC52" s="2240"/>
      <c r="AD52" s="2240"/>
      <c r="AE52" s="2240"/>
      <c r="AF52" s="2245"/>
    </row>
    <row r="53" spans="2:32" ht="15" x14ac:dyDescent="0.25">
      <c r="B53" s="667" t="s">
        <v>29049</v>
      </c>
      <c r="C53" s="1546" t="str">
        <f>Dateneingabe!F60</f>
        <v>mit Initiator geöffnet (an Führung)</v>
      </c>
      <c r="D53" s="195">
        <f>IF(C53=Dateneingabe!H132,1,0)</f>
        <v>1</v>
      </c>
      <c r="G53" s="740"/>
      <c r="W53" s="2241"/>
      <c r="X53" s="2240"/>
      <c r="Y53" s="2240"/>
      <c r="Z53" s="2240"/>
      <c r="AA53" s="2240"/>
      <c r="AB53" s="2240"/>
      <c r="AC53" s="2240"/>
      <c r="AD53" s="2240"/>
      <c r="AE53" s="2240"/>
      <c r="AF53" s="2245"/>
    </row>
    <row r="54" spans="2:32" ht="15" x14ac:dyDescent="0.25">
      <c r="B54" s="667" t="s">
        <v>27864</v>
      </c>
      <c r="C54" s="195" t="str">
        <f>Dateneingabe!F54</f>
        <v>nein</v>
      </c>
      <c r="D54" s="195">
        <f>IF(AND(C54="ja",F187=1),1,0)</f>
        <v>0</v>
      </c>
      <c r="W54" s="2241"/>
      <c r="X54" s="2240"/>
      <c r="Y54" s="2240"/>
      <c r="Z54" s="2240"/>
      <c r="AA54" s="2240"/>
      <c r="AB54" s="2240"/>
      <c r="AC54" s="2240"/>
      <c r="AD54" s="2240"/>
      <c r="AE54" s="2270" t="s">
        <v>30964</v>
      </c>
      <c r="AF54" s="2244"/>
    </row>
    <row r="55" spans="2:32" ht="15" x14ac:dyDescent="0.25">
      <c r="B55" s="667" t="s">
        <v>27865</v>
      </c>
      <c r="C55" s="195">
        <f>Dateneingabe!I54</f>
        <v>0</v>
      </c>
      <c r="G55" s="740"/>
      <c r="W55" s="2241"/>
      <c r="X55" s="2240"/>
      <c r="Y55" s="2240"/>
      <c r="Z55" s="2240"/>
      <c r="AA55" s="2240"/>
      <c r="AB55" s="2240"/>
      <c r="AC55" s="2240"/>
      <c r="AD55" s="2240"/>
      <c r="AE55" s="2284">
        <f>Y51*AE40</f>
        <v>1811.25</v>
      </c>
      <c r="AF55" s="2283" t="s">
        <v>30905</v>
      </c>
    </row>
    <row r="56" spans="2:32" ht="15" x14ac:dyDescent="0.25">
      <c r="B56" s="667" t="s">
        <v>28824</v>
      </c>
      <c r="C56" s="1476">
        <f>ROUNDUP(Liste!AD1/100,1)</f>
        <v>0.5</v>
      </c>
      <c r="G56" s="740"/>
      <c r="W56" s="2241"/>
      <c r="X56" s="2240"/>
      <c r="Y56" s="2242" t="str">
        <f>"Gesamtfläche (d="&amp;IF(Z40=Y37,"175","160")&amp;")"</f>
        <v>Gesamtfläche (d=175)</v>
      </c>
      <c r="Z56" s="2244"/>
      <c r="AA56" s="2242" t="s">
        <v>30907</v>
      </c>
      <c r="AB56" s="2244"/>
      <c r="AC56" s="2242" t="s">
        <v>30908</v>
      </c>
      <c r="AD56" s="2244"/>
      <c r="AE56" s="2270" t="s">
        <v>30965</v>
      </c>
      <c r="AF56" s="2244"/>
    </row>
    <row r="57" spans="2:32" ht="15" x14ac:dyDescent="0.25">
      <c r="B57" s="667" t="s">
        <v>30615</v>
      </c>
      <c r="C57" s="733" t="str">
        <f>IF(Dateneingabe!H184=1,"ja","nein")</f>
        <v>nein</v>
      </c>
      <c r="D57" s="733">
        <f>IF(C57="nein",0,1)</f>
        <v>0</v>
      </c>
      <c r="W57" s="2241"/>
      <c r="X57" s="2240"/>
      <c r="Y57" s="2282">
        <f>3.14*((175/2)*(175/2))</f>
        <v>24040.625</v>
      </c>
      <c r="Z57" s="2283" t="s">
        <v>30905</v>
      </c>
      <c r="AA57" s="2282">
        <f>3.14*((80/2)*(80/2))</f>
        <v>5024</v>
      </c>
      <c r="AB57" s="2283" t="s">
        <v>30905</v>
      </c>
      <c r="AC57" s="2282">
        <f>Y57-AA57</f>
        <v>19016.625</v>
      </c>
      <c r="AD57" s="2283" t="s">
        <v>30905</v>
      </c>
      <c r="AE57" s="2284">
        <f>Y51*AE41</f>
        <v>2711.25</v>
      </c>
      <c r="AF57" s="2283" t="s">
        <v>30905</v>
      </c>
    </row>
    <row r="58" spans="2:32" ht="15" x14ac:dyDescent="0.25">
      <c r="B58" s="667" t="s">
        <v>30295</v>
      </c>
      <c r="C58" s="2023" t="str">
        <f>IF(D57=1,"ja","nein")</f>
        <v>nein</v>
      </c>
      <c r="D58" s="733">
        <f>IF(C58="nein",0,1)</f>
        <v>0</v>
      </c>
      <c r="W58" s="2241"/>
      <c r="X58" s="2240"/>
      <c r="Y58" s="2240"/>
      <c r="Z58" s="2240"/>
      <c r="AA58" s="2240"/>
      <c r="AB58" s="2240"/>
      <c r="AC58" s="2240"/>
      <c r="AD58" s="2240"/>
      <c r="AE58" s="2240"/>
      <c r="AF58" s="2245"/>
    </row>
    <row r="59" spans="2:32" ht="15" x14ac:dyDescent="0.25">
      <c r="B59" s="667" t="s">
        <v>30268</v>
      </c>
      <c r="C59" s="2023" t="str">
        <f>IF(D57=1,"ja","nein")</f>
        <v>nein</v>
      </c>
      <c r="D59" s="733">
        <f>IF(C59="nein",0,1)</f>
        <v>0</v>
      </c>
      <c r="W59" s="2241"/>
      <c r="X59" s="2240"/>
      <c r="Y59" s="2240"/>
      <c r="Z59" s="2240"/>
      <c r="AA59" s="2240"/>
      <c r="AB59" s="2240"/>
      <c r="AC59" s="2240"/>
      <c r="AD59" s="2240"/>
      <c r="AE59" s="2240"/>
      <c r="AF59" s="2245"/>
    </row>
    <row r="60" spans="2:32" ht="15" x14ac:dyDescent="0.25">
      <c r="B60" s="667" t="s">
        <v>30548</v>
      </c>
      <c r="C60" s="195">
        <f>IF(AND(SUM(Liste!D207:D210)&gt;0,SUM(Liste!D215:D218)&gt;0)=1,740,IF(SUM(Liste!D219:D224)=1,825,0))</f>
        <v>0</v>
      </c>
      <c r="W60" s="2241"/>
      <c r="X60" s="2240"/>
      <c r="Y60" s="2240"/>
      <c r="Z60" s="2240"/>
      <c r="AA60" s="2240"/>
      <c r="AB60" s="2240"/>
      <c r="AC60" s="2240"/>
      <c r="AD60" s="2240"/>
      <c r="AE60" s="2240"/>
      <c r="AF60" s="2245"/>
    </row>
    <row r="61" spans="2:32" ht="15" x14ac:dyDescent="0.25">
      <c r="B61" s="667" t="s">
        <v>31020</v>
      </c>
      <c r="C61" s="195">
        <f>C29/2+500</f>
        <v>1125</v>
      </c>
      <c r="D61" s="2318">
        <f>CEILING(C61/1000,0.5)</f>
        <v>1.5</v>
      </c>
      <c r="W61" s="2241"/>
      <c r="X61" s="2240"/>
      <c r="Y61" s="2240"/>
      <c r="Z61" s="2240"/>
      <c r="AA61" s="2240"/>
      <c r="AB61" s="2240"/>
      <c r="AC61" s="2240"/>
      <c r="AD61" s="2240"/>
      <c r="AE61" s="2240"/>
      <c r="AF61" s="2245"/>
    </row>
    <row r="62" spans="2:32" ht="15" x14ac:dyDescent="0.25">
      <c r="B62" s="667" t="s">
        <v>31021</v>
      </c>
      <c r="C62" s="2318">
        <f>CEILING((C29+750+C55)/1000+Dateneingabe!F58,0.5)</f>
        <v>2</v>
      </c>
      <c r="W62" s="2241"/>
      <c r="X62" s="2240"/>
      <c r="Y62" s="2240"/>
      <c r="Z62" s="2240"/>
      <c r="AA62" s="2240"/>
      <c r="AB62" s="2240"/>
      <c r="AC62" s="2240"/>
      <c r="AD62" s="2240"/>
      <c r="AE62" s="2240"/>
      <c r="AF62" s="2245"/>
    </row>
    <row r="63" spans="2:32" ht="15" x14ac:dyDescent="0.25">
      <c r="J63" s="741" t="s">
        <v>773</v>
      </c>
      <c r="W63" s="2241"/>
      <c r="X63" s="2240"/>
      <c r="Y63" s="2240"/>
      <c r="Z63" s="2240"/>
      <c r="AA63" s="2240"/>
      <c r="AB63" s="2240"/>
      <c r="AC63" s="2240"/>
      <c r="AD63" s="2240"/>
      <c r="AE63" s="2240"/>
      <c r="AF63" s="2245"/>
    </row>
    <row r="64" spans="2:32" ht="15" x14ac:dyDescent="0.25">
      <c r="W64" s="2241"/>
      <c r="X64" s="2240"/>
      <c r="Y64" s="2240"/>
      <c r="Z64" s="2240"/>
      <c r="AA64" s="2240"/>
      <c r="AB64" s="2240"/>
      <c r="AC64" s="2240"/>
      <c r="AD64" s="2240"/>
      <c r="AE64" s="2240"/>
      <c r="AF64" s="2245"/>
    </row>
    <row r="65" spans="2:32" ht="15" x14ac:dyDescent="0.25">
      <c r="J65" s="740"/>
      <c r="K65" s="665"/>
      <c r="L65" s="665"/>
      <c r="M65" s="665"/>
      <c r="N65" s="665"/>
      <c r="O65" s="665"/>
      <c r="P65" s="665"/>
      <c r="Q65" s="665"/>
      <c r="R65" s="665"/>
      <c r="S65" s="665"/>
      <c r="T65" s="665"/>
      <c r="W65" s="2241"/>
      <c r="X65" s="2240"/>
      <c r="Y65" s="2240"/>
      <c r="Z65" s="2240"/>
      <c r="AA65" s="2240"/>
      <c r="AB65" s="2240"/>
      <c r="AC65" s="2240"/>
      <c r="AD65" s="2240"/>
      <c r="AE65" s="2240"/>
      <c r="AF65" s="2245"/>
    </row>
    <row r="66" spans="2:32" ht="15" x14ac:dyDescent="0.25">
      <c r="C66" s="2762" t="s">
        <v>29302</v>
      </c>
      <c r="D66" s="2763"/>
      <c r="E66" s="2764"/>
      <c r="J66" s="740"/>
      <c r="K66" s="665"/>
      <c r="L66" s="665"/>
      <c r="M66" s="665"/>
      <c r="N66" s="665"/>
      <c r="O66" s="665"/>
      <c r="P66" s="665"/>
      <c r="Q66" s="665"/>
      <c r="R66" s="665"/>
      <c r="S66" s="665"/>
      <c r="T66" s="665"/>
      <c r="W66" s="2241"/>
      <c r="X66" s="2240"/>
      <c r="Y66" s="2757" t="s">
        <v>30913</v>
      </c>
      <c r="Z66" s="2757"/>
      <c r="AA66" s="2240"/>
      <c r="AB66" s="2240"/>
      <c r="AC66" s="2240"/>
      <c r="AD66" s="2240"/>
      <c r="AE66" s="2240"/>
      <c r="AF66" s="2245"/>
    </row>
    <row r="67" spans="2:32" ht="15" x14ac:dyDescent="0.25">
      <c r="C67" s="739" t="s">
        <v>29303</v>
      </c>
      <c r="D67" s="1668"/>
      <c r="E67" s="739" t="s">
        <v>29304</v>
      </c>
      <c r="J67" s="737">
        <f>IF(D26+D27=2,0,$C$29)</f>
        <v>1250</v>
      </c>
      <c r="K67" s="736">
        <v>750</v>
      </c>
      <c r="L67" s="736">
        <v>1000</v>
      </c>
      <c r="M67" s="736">
        <v>1250</v>
      </c>
      <c r="N67" s="736">
        <v>1500</v>
      </c>
      <c r="O67" s="736">
        <v>1750</v>
      </c>
      <c r="P67" s="736">
        <v>2000</v>
      </c>
      <c r="Q67" s="736">
        <v>2250</v>
      </c>
      <c r="R67" s="736">
        <v>2500</v>
      </c>
      <c r="S67" s="736">
        <v>2750</v>
      </c>
      <c r="T67" s="736">
        <v>3000</v>
      </c>
      <c r="U67" s="740" t="s">
        <v>31071</v>
      </c>
      <c r="W67" s="2241"/>
      <c r="X67" s="2240"/>
      <c r="Y67" s="2757"/>
      <c r="Z67" s="2757"/>
      <c r="AA67" s="2240"/>
      <c r="AB67" s="2240"/>
      <c r="AC67" s="2240"/>
      <c r="AD67" s="2240"/>
      <c r="AE67" s="2240"/>
      <c r="AF67" s="2245"/>
    </row>
    <row r="68" spans="2:32" ht="15" x14ac:dyDescent="0.25">
      <c r="B68" s="653" t="s">
        <v>29242</v>
      </c>
      <c r="C68" s="1669">
        <f>IF(Liste!$C$2=1,SUM(K$68:K$101),0)</f>
        <v>0</v>
      </c>
      <c r="D68" s="2745" t="s">
        <v>27777</v>
      </c>
      <c r="E68" s="945">
        <f>IF($D$26+$D$27=0,2*C68,(2-$D$26-$D$27)*C68)</f>
        <v>0</v>
      </c>
      <c r="J68" s="736">
        <v>750</v>
      </c>
      <c r="K68" s="738">
        <f>IF($J68=$J$67,1,0)</f>
        <v>0</v>
      </c>
      <c r="L68" s="736"/>
      <c r="M68" s="736"/>
      <c r="N68" s="736"/>
      <c r="O68" s="736"/>
      <c r="P68" s="736"/>
      <c r="Q68" s="736"/>
      <c r="R68" s="736"/>
      <c r="S68" s="736"/>
      <c r="T68" s="736"/>
      <c r="U68" s="193">
        <f>IF(($K$67*K68+$L$67*L68+$M$67*M68+$N$67*N68+$O$67*O68+$P$67*P68+$Q$67*Q68+$R$67*R68+$S$67*S68+$T$67*T68)=J68,1,0)</f>
        <v>0</v>
      </c>
      <c r="W68" s="2241"/>
      <c r="X68" s="2240"/>
      <c r="Y68" s="2757"/>
      <c r="Z68" s="2757"/>
      <c r="AA68" s="2240"/>
      <c r="AB68" s="2240"/>
      <c r="AC68" s="2240"/>
      <c r="AD68" s="2240"/>
      <c r="AE68" s="2240"/>
      <c r="AF68" s="2245"/>
    </row>
    <row r="69" spans="2:32" ht="15.75" x14ac:dyDescent="0.25">
      <c r="B69" s="653" t="s">
        <v>29252</v>
      </c>
      <c r="C69" s="1670">
        <f>IF(Liste!$C$1=1,SUM(K$68:K$101),0)</f>
        <v>0</v>
      </c>
      <c r="D69" s="2746"/>
      <c r="E69" s="1672">
        <f>IF($D$26+$D$27=0,2*C69,(2-$D$26-$D$27)*C69)</f>
        <v>0</v>
      </c>
      <c r="J69" s="736">
        <v>1000</v>
      </c>
      <c r="K69" s="736"/>
      <c r="L69" s="738">
        <f>IF($J69=$J$67,1,0)</f>
        <v>0</v>
      </c>
      <c r="M69" s="736"/>
      <c r="N69" s="736"/>
      <c r="O69" s="736"/>
      <c r="P69" s="736"/>
      <c r="Q69" s="736"/>
      <c r="R69" s="736"/>
      <c r="S69" s="736"/>
      <c r="T69" s="736"/>
      <c r="U69" s="193">
        <f t="shared" ref="U69:U100" si="5">IF(($K$67*K69+$L$67*L69+$M$67*M69+$N$67*N69+$O$67*O69+$P$67*P69+$Q$67*Q69+$R$67*R69+$S$67*S69+$T$67*T69)=J69,1,0)</f>
        <v>0</v>
      </c>
      <c r="W69" s="2241"/>
      <c r="X69" s="2240"/>
      <c r="Y69" s="2259" t="s">
        <v>30961</v>
      </c>
      <c r="Z69" s="2259"/>
      <c r="AA69" s="2259"/>
      <c r="AB69" s="2259" t="s">
        <v>30963</v>
      </c>
      <c r="AC69" s="2259"/>
      <c r="AD69" s="2240"/>
      <c r="AE69" s="2240"/>
      <c r="AF69" s="2245"/>
    </row>
    <row r="70" spans="2:32" ht="16.5" thickBot="1" x14ac:dyDescent="0.3">
      <c r="B70" s="653" t="s">
        <v>29243</v>
      </c>
      <c r="C70" s="1669">
        <f>IF(Liste!$C$2=1,SUM(L$68:L$101),0)</f>
        <v>0</v>
      </c>
      <c r="D70" s="2746"/>
      <c r="E70" s="1671">
        <f>IF($D$26+$D$27=0,2*C70,(2-$D$26-$D$27)*C70)</f>
        <v>0</v>
      </c>
      <c r="J70" s="736">
        <v>1250</v>
      </c>
      <c r="K70" s="736"/>
      <c r="L70" s="736"/>
      <c r="M70" s="738">
        <f>IF($J70=$J$67,1,0)</f>
        <v>1</v>
      </c>
      <c r="N70" s="736"/>
      <c r="O70" s="736"/>
      <c r="P70" s="736"/>
      <c r="Q70" s="736"/>
      <c r="R70" s="736"/>
      <c r="S70" s="736"/>
      <c r="T70" s="736"/>
      <c r="U70" s="193">
        <f t="shared" si="5"/>
        <v>1</v>
      </c>
      <c r="W70" s="2241"/>
      <c r="X70" s="2240"/>
      <c r="Y70" s="2259"/>
      <c r="Z70" s="2259"/>
      <c r="AA70" s="2259"/>
      <c r="AB70" s="2259"/>
      <c r="AC70" s="2259"/>
      <c r="AD70" s="2240"/>
      <c r="AE70" s="2240"/>
      <c r="AF70" s="2245"/>
    </row>
    <row r="71" spans="2:32" ht="16.5" thickBot="1" x14ac:dyDescent="0.3">
      <c r="B71" s="653" t="s">
        <v>29272</v>
      </c>
      <c r="C71" s="1670">
        <f>IF(Liste!$C$1=1,SUM(L$68:L$101),0)</f>
        <v>0</v>
      </c>
      <c r="D71" s="2746"/>
      <c r="E71" s="1672">
        <f t="shared" ref="E71:E87" si="6">IF($D$26+$D$27=0,2*C71,(2-$D$26-$D$27)*C71)</f>
        <v>0</v>
      </c>
      <c r="J71" s="736">
        <v>1500</v>
      </c>
      <c r="K71" s="736"/>
      <c r="L71" s="736"/>
      <c r="M71" s="736"/>
      <c r="N71" s="738">
        <f>IF($J71=$J$67,1,0)</f>
        <v>0</v>
      </c>
      <c r="O71" s="736"/>
      <c r="P71" s="736"/>
      <c r="Q71" s="736"/>
      <c r="R71" s="736"/>
      <c r="S71" s="736"/>
      <c r="T71" s="736"/>
      <c r="U71" s="193">
        <f t="shared" si="5"/>
        <v>0</v>
      </c>
      <c r="W71" s="2241"/>
      <c r="X71" s="2240"/>
      <c r="Y71" s="2260">
        <f>AC57/AE40</f>
        <v>11.811568322981367</v>
      </c>
      <c r="Z71" s="2261" t="s">
        <v>30531</v>
      </c>
      <c r="AA71" s="2259"/>
      <c r="AB71" s="2260">
        <f>AC57/AE41</f>
        <v>7.8907157676348545</v>
      </c>
      <c r="AC71" s="2261" t="s">
        <v>30531</v>
      </c>
      <c r="AD71" s="2240"/>
      <c r="AE71" s="2240"/>
      <c r="AF71" s="2245"/>
    </row>
    <row r="72" spans="2:32" ht="15.75" x14ac:dyDescent="0.25">
      <c r="B72" s="653" t="s">
        <v>29244</v>
      </c>
      <c r="C72" s="1669">
        <f>IF(Liste!$C$2=1,SUM(M$68:M$101),0)</f>
        <v>1</v>
      </c>
      <c r="D72" s="2746"/>
      <c r="E72" s="1671">
        <f t="shared" si="6"/>
        <v>2</v>
      </c>
      <c r="J72" s="736">
        <v>1750</v>
      </c>
      <c r="K72" s="736"/>
      <c r="L72" s="736"/>
      <c r="M72" s="736"/>
      <c r="N72" s="736"/>
      <c r="O72" s="738">
        <f>IF($J72=$J$67,1,0)</f>
        <v>0</v>
      </c>
      <c r="P72" s="736"/>
      <c r="Q72" s="736"/>
      <c r="R72" s="736"/>
      <c r="S72" s="736"/>
      <c r="T72" s="736"/>
      <c r="U72" s="193">
        <f t="shared" si="5"/>
        <v>0</v>
      </c>
      <c r="W72" s="2241"/>
      <c r="X72" s="2240"/>
      <c r="Y72" s="2259"/>
      <c r="Z72" s="2259"/>
      <c r="AA72" s="2259"/>
      <c r="AB72" s="2259"/>
      <c r="AC72" s="2259"/>
      <c r="AD72" s="2240"/>
      <c r="AE72" s="2240"/>
      <c r="AF72" s="2245"/>
    </row>
    <row r="73" spans="2:32" ht="15.75" x14ac:dyDescent="0.25">
      <c r="B73" s="653" t="s">
        <v>29253</v>
      </c>
      <c r="C73" s="1670">
        <f>IF(Liste!$C$1=1,SUM(M$68:M$101),0)</f>
        <v>0</v>
      </c>
      <c r="D73" s="2746"/>
      <c r="E73" s="1672">
        <f t="shared" si="6"/>
        <v>0</v>
      </c>
      <c r="J73" s="736">
        <v>2000</v>
      </c>
      <c r="K73" s="736"/>
      <c r="L73" s="736"/>
      <c r="M73" s="736"/>
      <c r="N73" s="736"/>
      <c r="O73" s="736"/>
      <c r="P73" s="738">
        <f>IF($J73=$J$67,1,0)</f>
        <v>0</v>
      </c>
      <c r="Q73" s="736"/>
      <c r="R73" s="736"/>
      <c r="S73" s="736"/>
      <c r="T73" s="736"/>
      <c r="U73" s="193">
        <f t="shared" si="5"/>
        <v>0</v>
      </c>
      <c r="W73" s="2241"/>
      <c r="X73" s="2240"/>
      <c r="Y73" s="2259" t="s">
        <v>30962</v>
      </c>
      <c r="Z73" s="2259"/>
      <c r="AA73" s="2259"/>
      <c r="AB73" s="2259" t="s">
        <v>30966</v>
      </c>
      <c r="AC73" s="2259"/>
      <c r="AD73" s="2240"/>
      <c r="AE73" s="2240"/>
      <c r="AF73" s="2245"/>
    </row>
    <row r="74" spans="2:32" ht="16.5" thickBot="1" x14ac:dyDescent="0.3">
      <c r="B74" s="653" t="s">
        <v>29245</v>
      </c>
      <c r="C74" s="1669">
        <f>IF(Liste!$C$2=1,SUM(N$68:N$101),0)</f>
        <v>0</v>
      </c>
      <c r="D74" s="2746"/>
      <c r="E74" s="1671">
        <f t="shared" si="6"/>
        <v>0</v>
      </c>
      <c r="J74" s="736">
        <v>2250</v>
      </c>
      <c r="K74" s="736"/>
      <c r="L74" s="736"/>
      <c r="M74" s="736"/>
      <c r="N74" s="736"/>
      <c r="O74" s="736"/>
      <c r="P74" s="736"/>
      <c r="Q74" s="738">
        <f>IF($J74=$J$67,1,0)</f>
        <v>0</v>
      </c>
      <c r="R74" s="736"/>
      <c r="S74" s="736"/>
      <c r="T74" s="736"/>
      <c r="U74" s="193">
        <f t="shared" si="5"/>
        <v>0</v>
      </c>
      <c r="W74" s="2241"/>
      <c r="X74" s="2240"/>
      <c r="Y74" s="2259"/>
      <c r="Z74" s="2259"/>
      <c r="AA74" s="2259"/>
      <c r="AB74" s="2259"/>
      <c r="AC74" s="2259"/>
      <c r="AD74" s="2240"/>
      <c r="AE74" s="2240"/>
      <c r="AF74" s="2245"/>
    </row>
    <row r="75" spans="2:32" ht="16.5" thickBot="1" x14ac:dyDescent="0.3">
      <c r="B75" s="653" t="s">
        <v>29254</v>
      </c>
      <c r="C75" s="1670">
        <f>IF(Liste!$C$1=1,SUM(N$68:N$101),0)</f>
        <v>0</v>
      </c>
      <c r="D75" s="2746"/>
      <c r="E75" s="1672">
        <f t="shared" si="6"/>
        <v>0</v>
      </c>
      <c r="J75" s="736">
        <v>2500</v>
      </c>
      <c r="K75" s="736"/>
      <c r="L75" s="736"/>
      <c r="M75" s="736"/>
      <c r="N75" s="736"/>
      <c r="O75" s="736"/>
      <c r="P75" s="736"/>
      <c r="Q75" s="736"/>
      <c r="R75" s="738">
        <f>IF($J75=$J$67,1,0)</f>
        <v>0</v>
      </c>
      <c r="S75" s="736"/>
      <c r="T75" s="736"/>
      <c r="U75" s="193">
        <f t="shared" si="5"/>
        <v>0</v>
      </c>
      <c r="W75" s="2241"/>
      <c r="X75" s="2240"/>
      <c r="Y75" s="2262">
        <f>2*(SQRT((AE55+AA57)/3.14))</f>
        <v>93.313047537653233</v>
      </c>
      <c r="Z75" s="2261" t="s">
        <v>29483</v>
      </c>
      <c r="AA75" s="2259"/>
      <c r="AB75" s="2262">
        <f>2*(SQRT((AE57+AA57)/3.14))</f>
        <v>99.266417564304973</v>
      </c>
      <c r="AC75" s="2261" t="s">
        <v>29483</v>
      </c>
      <c r="AD75" s="2240"/>
      <c r="AE75" s="2240"/>
      <c r="AF75" s="2245"/>
    </row>
    <row r="76" spans="2:32" ht="15" x14ac:dyDescent="0.25">
      <c r="B76" s="653" t="s">
        <v>29246</v>
      </c>
      <c r="C76" s="1669">
        <f>IF(Liste!$C$2=1,SUM(O$68:O$101),0)</f>
        <v>0</v>
      </c>
      <c r="D76" s="2746"/>
      <c r="E76" s="1671">
        <f t="shared" si="6"/>
        <v>0</v>
      </c>
      <c r="J76" s="736">
        <v>2750</v>
      </c>
      <c r="K76" s="736"/>
      <c r="L76" s="736"/>
      <c r="M76" s="736"/>
      <c r="N76" s="736"/>
      <c r="O76" s="736"/>
      <c r="P76" s="736"/>
      <c r="Q76" s="736"/>
      <c r="R76" s="736"/>
      <c r="S76" s="738">
        <f>IF($J76=$J$67,1,0)</f>
        <v>0</v>
      </c>
      <c r="T76" s="736"/>
      <c r="U76" s="193">
        <f t="shared" si="5"/>
        <v>0</v>
      </c>
      <c r="W76" s="2241"/>
      <c r="X76" s="2240"/>
      <c r="Y76" s="2240"/>
      <c r="Z76" s="2240"/>
      <c r="AA76" s="2240"/>
      <c r="AB76" s="2240"/>
      <c r="AC76" s="2240"/>
      <c r="AD76" s="2240"/>
      <c r="AE76" s="2240"/>
      <c r="AF76" s="2245"/>
    </row>
    <row r="77" spans="2:32" ht="15" x14ac:dyDescent="0.25">
      <c r="B77" s="653" t="s">
        <v>29273</v>
      </c>
      <c r="C77" s="1670">
        <f>IF(Liste!$C$1=1,SUM(O$68:O$101),0)</f>
        <v>0</v>
      </c>
      <c r="D77" s="2746"/>
      <c r="E77" s="1672">
        <f t="shared" si="6"/>
        <v>0</v>
      </c>
      <c r="J77" s="736">
        <v>3000</v>
      </c>
      <c r="K77" s="736"/>
      <c r="L77" s="736"/>
      <c r="M77" s="736"/>
      <c r="N77" s="736"/>
      <c r="O77" s="736"/>
      <c r="P77" s="736"/>
      <c r="Q77" s="736"/>
      <c r="R77" s="736"/>
      <c r="S77" s="736"/>
      <c r="T77" s="738">
        <f>IF($J77=$J$67,1,0)</f>
        <v>0</v>
      </c>
      <c r="U77" s="193">
        <f t="shared" si="5"/>
        <v>0</v>
      </c>
      <c r="W77" s="2241"/>
      <c r="X77" s="2240"/>
      <c r="Y77" s="2240"/>
      <c r="Z77" s="2240"/>
      <c r="AA77" s="2240"/>
      <c r="AB77" s="2240"/>
      <c r="AC77" s="2240"/>
      <c r="AD77" s="2240"/>
      <c r="AE77" s="2240"/>
      <c r="AF77" s="2245"/>
    </row>
    <row r="78" spans="2:32" ht="15.75" thickBot="1" x14ac:dyDescent="0.3">
      <c r="B78" s="653" t="s">
        <v>29247</v>
      </c>
      <c r="C78" s="1669">
        <f>IF(Liste!$C$2=1,SUM(P$68:P$101),0)</f>
        <v>0</v>
      </c>
      <c r="D78" s="2746"/>
      <c r="E78" s="1671">
        <f t="shared" si="6"/>
        <v>0</v>
      </c>
      <c r="J78" s="736">
        <v>3250</v>
      </c>
      <c r="K78" s="738">
        <f>IF($J78=$J$67,1,0)</f>
        <v>0</v>
      </c>
      <c r="L78" s="736"/>
      <c r="M78" s="736"/>
      <c r="N78" s="736"/>
      <c r="O78" s="736"/>
      <c r="P78" s="736"/>
      <c r="Q78" s="736"/>
      <c r="R78" s="738">
        <f t="shared" ref="R78:R83" si="7">IF($J78=$J$67,1,0)</f>
        <v>0</v>
      </c>
      <c r="S78" s="736"/>
      <c r="T78" s="736"/>
      <c r="U78" s="193">
        <f t="shared" si="5"/>
        <v>0</v>
      </c>
      <c r="W78" s="2251"/>
      <c r="X78" s="2239"/>
      <c r="Y78" s="2239"/>
      <c r="Z78" s="2239"/>
      <c r="AA78" s="2239"/>
      <c r="AB78" s="2239"/>
      <c r="AC78" s="2239"/>
      <c r="AD78" s="2239"/>
      <c r="AE78" s="2239"/>
      <c r="AF78" s="2252"/>
    </row>
    <row r="79" spans="2:32" ht="15" x14ac:dyDescent="0.25">
      <c r="B79" s="653" t="s">
        <v>29274</v>
      </c>
      <c r="C79" s="1670">
        <f>IF(Liste!$C$1=1,SUM(P$68:P$101),0)</f>
        <v>0</v>
      </c>
      <c r="D79" s="2746"/>
      <c r="E79" s="1672">
        <f t="shared" si="6"/>
        <v>0</v>
      </c>
      <c r="J79" s="736">
        <v>3500</v>
      </c>
      <c r="K79" s="736"/>
      <c r="L79" s="738">
        <f>IF($J79=$J$67,1,0)</f>
        <v>0</v>
      </c>
      <c r="M79" s="736"/>
      <c r="N79" s="736"/>
      <c r="O79" s="736"/>
      <c r="P79" s="736"/>
      <c r="Q79" s="736"/>
      <c r="R79" s="738">
        <f t="shared" si="7"/>
        <v>0</v>
      </c>
      <c r="S79" s="736"/>
      <c r="T79" s="736"/>
      <c r="U79" s="193">
        <f t="shared" si="5"/>
        <v>0</v>
      </c>
      <c r="W79" s="2241"/>
      <c r="X79" s="2240"/>
      <c r="Y79" s="2240"/>
      <c r="Z79" s="2240"/>
      <c r="AA79" s="2240"/>
      <c r="AB79" s="2240"/>
      <c r="AC79" s="2240"/>
      <c r="AD79" s="2240"/>
      <c r="AE79" s="2240"/>
      <c r="AF79" s="2245"/>
    </row>
    <row r="80" spans="2:32" ht="15" x14ac:dyDescent="0.25">
      <c r="B80" s="653" t="s">
        <v>29248</v>
      </c>
      <c r="C80" s="1669">
        <f>IF(Liste!$C$2=1,SUM(Q$68:Q$101),0)</f>
        <v>0</v>
      </c>
      <c r="D80" s="2746"/>
      <c r="E80" s="1671">
        <f t="shared" si="6"/>
        <v>0</v>
      </c>
      <c r="J80" s="736">
        <v>3750</v>
      </c>
      <c r="K80" s="736"/>
      <c r="L80" s="736"/>
      <c r="M80" s="738">
        <f>IF($J80=$J$67,1,0)</f>
        <v>0</v>
      </c>
      <c r="N80" s="736"/>
      <c r="O80" s="736"/>
      <c r="P80" s="736"/>
      <c r="Q80" s="736"/>
      <c r="R80" s="738">
        <f t="shared" si="7"/>
        <v>0</v>
      </c>
      <c r="S80" s="736"/>
      <c r="T80" s="736"/>
      <c r="U80" s="193">
        <f t="shared" si="5"/>
        <v>0</v>
      </c>
      <c r="W80" s="2241"/>
      <c r="X80" s="2240"/>
      <c r="Y80" s="2240"/>
      <c r="Z80" s="2240"/>
      <c r="AA80" s="2240"/>
      <c r="AB80" s="2240"/>
      <c r="AC80" s="2240"/>
      <c r="AD80" s="2240"/>
      <c r="AE80" s="2240"/>
      <c r="AF80" s="2245"/>
    </row>
    <row r="81" spans="2:32" ht="15.75" customHeight="1" x14ac:dyDescent="0.25">
      <c r="B81" s="653" t="s">
        <v>29275</v>
      </c>
      <c r="C81" s="1670">
        <f>IF(Liste!$C$1=1,SUM(Q$68:Q$101),0)</f>
        <v>0</v>
      </c>
      <c r="D81" s="2746"/>
      <c r="E81" s="1672">
        <f t="shared" si="6"/>
        <v>0</v>
      </c>
      <c r="J81" s="736">
        <v>4000</v>
      </c>
      <c r="K81" s="736"/>
      <c r="L81" s="736"/>
      <c r="M81" s="736"/>
      <c r="N81" s="738">
        <f>IF($J81=$J$67,1,0)</f>
        <v>0</v>
      </c>
      <c r="O81" s="736"/>
      <c r="P81" s="736"/>
      <c r="Q81" s="736"/>
      <c r="R81" s="738">
        <f t="shared" si="7"/>
        <v>0</v>
      </c>
      <c r="S81" s="736"/>
      <c r="T81" s="736"/>
      <c r="U81" s="193">
        <f t="shared" si="5"/>
        <v>0</v>
      </c>
      <c r="W81" s="2241"/>
      <c r="X81" s="2240"/>
      <c r="Y81" s="2240"/>
      <c r="Z81" s="2240"/>
      <c r="AA81" s="2240"/>
      <c r="AB81" s="2240"/>
      <c r="AC81" s="2240"/>
      <c r="AD81" s="2240"/>
      <c r="AE81" s="2240"/>
      <c r="AF81" s="2245"/>
    </row>
    <row r="82" spans="2:32" ht="15.75" x14ac:dyDescent="0.25">
      <c r="B82" s="653" t="s">
        <v>29249</v>
      </c>
      <c r="C82" s="1669">
        <f>IF(Liste!$C$2=1,SUM(R$68:R$101),0)</f>
        <v>0</v>
      </c>
      <c r="D82" s="2746"/>
      <c r="E82" s="1671">
        <f t="shared" si="6"/>
        <v>0</v>
      </c>
      <c r="J82" s="736">
        <v>4250</v>
      </c>
      <c r="K82" s="736"/>
      <c r="L82" s="736"/>
      <c r="M82" s="736"/>
      <c r="N82" s="736"/>
      <c r="O82" s="738">
        <f>IF($J82=$J$67,1,0)</f>
        <v>0</v>
      </c>
      <c r="P82" s="736"/>
      <c r="Q82" s="736"/>
      <c r="R82" s="738">
        <f t="shared" si="7"/>
        <v>0</v>
      </c>
      <c r="S82" s="736"/>
      <c r="T82" s="736"/>
      <c r="U82" s="193">
        <f t="shared" si="5"/>
        <v>0</v>
      </c>
      <c r="W82" s="2241"/>
      <c r="X82" s="2240"/>
      <c r="Y82" s="2240"/>
      <c r="Z82" s="2758" t="s">
        <v>30800</v>
      </c>
      <c r="AA82" s="2758"/>
      <c r="AB82" s="2759" t="s">
        <v>30801</v>
      </c>
      <c r="AC82" s="2758"/>
      <c r="AD82" s="2240"/>
      <c r="AE82" s="2240"/>
      <c r="AF82" s="2245"/>
    </row>
    <row r="83" spans="2:32" ht="15" x14ac:dyDescent="0.25">
      <c r="B83" s="653" t="s">
        <v>29255</v>
      </c>
      <c r="C83" s="1670">
        <f>IF(Liste!$C$1=1,SUM(R$68:R$101),0)</f>
        <v>0</v>
      </c>
      <c r="D83" s="2746"/>
      <c r="E83" s="1672">
        <f t="shared" si="6"/>
        <v>0</v>
      </c>
      <c r="J83" s="736">
        <v>4500</v>
      </c>
      <c r="K83" s="736"/>
      <c r="L83" s="736"/>
      <c r="M83" s="736"/>
      <c r="N83" s="736"/>
      <c r="O83" s="736"/>
      <c r="P83" s="738">
        <f>IF($J83=$J$67,1,0)</f>
        <v>0</v>
      </c>
      <c r="Q83" s="736"/>
      <c r="R83" s="738">
        <f t="shared" si="7"/>
        <v>0</v>
      </c>
      <c r="S83" s="736"/>
      <c r="T83" s="736"/>
      <c r="U83" s="193">
        <f t="shared" si="5"/>
        <v>0</v>
      </c>
      <c r="W83" s="2241"/>
      <c r="X83" s="2240"/>
      <c r="Y83" s="2240"/>
      <c r="Z83" s="2240"/>
      <c r="AA83" s="2240"/>
      <c r="AB83" s="2277"/>
      <c r="AC83" s="2240"/>
      <c r="AD83" s="2240"/>
      <c r="AE83" s="2240"/>
      <c r="AF83" s="2245"/>
    </row>
    <row r="84" spans="2:32" ht="15" x14ac:dyDescent="0.25">
      <c r="B84" s="653" t="s">
        <v>29250</v>
      </c>
      <c r="C84" s="1669">
        <f>IF(Liste!$C$2=1,SUM(S$68:S$101),0)</f>
        <v>0</v>
      </c>
      <c r="D84" s="2746"/>
      <c r="E84" s="1671">
        <f t="shared" si="6"/>
        <v>0</v>
      </c>
      <c r="J84" s="736">
        <v>4750</v>
      </c>
      <c r="K84" s="802"/>
      <c r="L84" s="802"/>
      <c r="M84" s="802"/>
      <c r="N84" s="802"/>
      <c r="O84" s="802"/>
      <c r="P84" s="2330">
        <f>IF(J84=$J$67,1,0)</f>
        <v>0</v>
      </c>
      <c r="Q84" s="802"/>
      <c r="R84" s="802"/>
      <c r="S84" s="2330">
        <f>IF(J84=$J$67,1,0)</f>
        <v>0</v>
      </c>
      <c r="T84" s="802"/>
      <c r="U84" s="193">
        <f t="shared" si="5"/>
        <v>0</v>
      </c>
      <c r="W84" s="2241"/>
      <c r="X84" s="2240"/>
      <c r="Y84" s="2263" t="s">
        <v>30916</v>
      </c>
      <c r="Z84" s="2285">
        <f>Y75/2</f>
        <v>46.656523768826617</v>
      </c>
      <c r="AA84" s="2240"/>
      <c r="AB84" s="2286">
        <f>AB75/2</f>
        <v>49.633208782152487</v>
      </c>
      <c r="AC84" s="2240"/>
      <c r="AD84" s="2240"/>
      <c r="AE84" s="2240"/>
      <c r="AF84" s="2245"/>
    </row>
    <row r="85" spans="2:32" ht="15" x14ac:dyDescent="0.25">
      <c r="B85" s="653" t="s">
        <v>29276</v>
      </c>
      <c r="C85" s="1670">
        <f>IF(Liste!$C$1=1,SUM(S$68:S$101),0)</f>
        <v>0</v>
      </c>
      <c r="D85" s="2746"/>
      <c r="E85" s="1672">
        <f t="shared" si="6"/>
        <v>0</v>
      </c>
      <c r="J85" s="736">
        <v>5000</v>
      </c>
      <c r="K85" s="802"/>
      <c r="L85" s="802"/>
      <c r="M85" s="802"/>
      <c r="N85" s="802"/>
      <c r="O85" s="802"/>
      <c r="P85" s="802"/>
      <c r="Q85" s="2330">
        <f>IF(J85=$J$67,1,0)</f>
        <v>0</v>
      </c>
      <c r="R85" s="802"/>
      <c r="S85" s="2330">
        <f>IF(J85=$J$67,1,0)</f>
        <v>0</v>
      </c>
      <c r="T85" s="802"/>
      <c r="U85" s="193">
        <f t="shared" si="5"/>
        <v>0</v>
      </c>
      <c r="W85" s="2241"/>
      <c r="X85" s="2240"/>
      <c r="Y85" s="2240"/>
      <c r="Z85" s="2240"/>
      <c r="AA85" s="2240"/>
      <c r="AB85" s="2277"/>
      <c r="AC85" s="2240"/>
      <c r="AD85" s="2240"/>
      <c r="AE85" s="2240"/>
      <c r="AF85" s="2245"/>
    </row>
    <row r="86" spans="2:32" ht="15" x14ac:dyDescent="0.25">
      <c r="B86" s="653" t="s">
        <v>29251</v>
      </c>
      <c r="C86" s="1669">
        <f>IF(Liste!$C$2=1,SUM(T$68:T$101),0)</f>
        <v>0</v>
      </c>
      <c r="D86" s="2746"/>
      <c r="E86" s="1671">
        <f t="shared" si="6"/>
        <v>0</v>
      </c>
      <c r="J86" s="736">
        <v>5250</v>
      </c>
      <c r="K86" s="802"/>
      <c r="L86" s="802"/>
      <c r="M86" s="802"/>
      <c r="N86" s="802"/>
      <c r="O86" s="802"/>
      <c r="P86" s="802"/>
      <c r="Q86" s="802"/>
      <c r="R86" s="2330">
        <f>IF(J86=$J$67,1,0)</f>
        <v>0</v>
      </c>
      <c r="S86" s="2330">
        <f>IF(J86=$J$67,1,0)</f>
        <v>0</v>
      </c>
      <c r="T86" s="802"/>
      <c r="U86" s="193">
        <f t="shared" si="5"/>
        <v>0</v>
      </c>
      <c r="W86" s="2241"/>
      <c r="X86" s="2240"/>
      <c r="Y86" s="2263" t="s">
        <v>30915</v>
      </c>
      <c r="Z86" s="2288">
        <f>$G$157+12</f>
        <v>53.300000000000004</v>
      </c>
      <c r="AA86" s="2240"/>
      <c r="AB86" s="2287">
        <f>$G$157+15</f>
        <v>56.300000000000004</v>
      </c>
      <c r="AC86" s="2240"/>
      <c r="AD86" s="2240"/>
      <c r="AE86" s="2240"/>
      <c r="AF86" s="2245"/>
    </row>
    <row r="87" spans="2:32" ht="15" x14ac:dyDescent="0.25">
      <c r="B87" s="653" t="s">
        <v>29277</v>
      </c>
      <c r="C87" s="1673">
        <f>IF(Liste!$C$1=1,SUM(T$68:T$101),0)</f>
        <v>0</v>
      </c>
      <c r="D87" s="2747"/>
      <c r="E87" s="1674">
        <f t="shared" si="6"/>
        <v>0</v>
      </c>
      <c r="J87" s="736">
        <v>5500</v>
      </c>
      <c r="K87" s="802"/>
      <c r="L87" s="802"/>
      <c r="M87" s="802"/>
      <c r="N87" s="802"/>
      <c r="O87" s="802"/>
      <c r="P87" s="802"/>
      <c r="Q87" s="802"/>
      <c r="R87" s="802"/>
      <c r="S87" s="2330">
        <f>IF(J87=$J$67,2,0)</f>
        <v>0</v>
      </c>
      <c r="T87" s="802"/>
      <c r="U87" s="193">
        <f t="shared" si="5"/>
        <v>0</v>
      </c>
      <c r="W87" s="2241"/>
      <c r="X87" s="2240"/>
      <c r="Y87" s="2240"/>
      <c r="Z87" s="2240"/>
      <c r="AA87" s="2240"/>
      <c r="AB87" s="2277"/>
      <c r="AC87" s="2240"/>
      <c r="AD87" s="2240"/>
      <c r="AE87" s="2240"/>
      <c r="AF87" s="2245"/>
    </row>
    <row r="88" spans="2:32" ht="15" x14ac:dyDescent="0.25">
      <c r="B88" s="653" t="s">
        <v>29256</v>
      </c>
      <c r="C88" s="1675">
        <f>IF(Liste!$C$2=1,SUM(K$112:K$145),0)</f>
        <v>0</v>
      </c>
      <c r="D88" s="2765" t="s">
        <v>27778</v>
      </c>
      <c r="E88" s="945">
        <f>C88*($D$26+$D$27)</f>
        <v>0</v>
      </c>
      <c r="J88" s="736">
        <v>5750</v>
      </c>
      <c r="K88" s="2330">
        <f>IF(J88=$J$67,1,0)</f>
        <v>0</v>
      </c>
      <c r="L88" s="802"/>
      <c r="M88" s="802"/>
      <c r="N88" s="802"/>
      <c r="O88" s="802"/>
      <c r="P88" s="802"/>
      <c r="Q88" s="802"/>
      <c r="R88" s="2330">
        <f>IF(J88=$J$67,2,0)</f>
        <v>0</v>
      </c>
      <c r="S88" s="802"/>
      <c r="T88" s="802"/>
      <c r="U88" s="193">
        <f t="shared" si="5"/>
        <v>0</v>
      </c>
      <c r="W88" s="2241"/>
      <c r="X88" s="2240"/>
      <c r="Y88" s="2263" t="s">
        <v>30914</v>
      </c>
      <c r="Z88" s="2289">
        <f>Z86*9.81</f>
        <v>522.87300000000005</v>
      </c>
      <c r="AA88" s="2240"/>
      <c r="AB88" s="2290">
        <f>AB86*9.81</f>
        <v>552.30300000000011</v>
      </c>
      <c r="AC88" s="2240"/>
      <c r="AD88" s="2240"/>
      <c r="AE88" s="2240"/>
      <c r="AF88" s="2245"/>
    </row>
    <row r="89" spans="2:32" ht="15" x14ac:dyDescent="0.25">
      <c r="B89" s="653" t="s">
        <v>29278</v>
      </c>
      <c r="C89" s="1670">
        <f>IF(Liste!$C$1=1,SUM(K$112:K$145),0)</f>
        <v>0</v>
      </c>
      <c r="D89" s="2766"/>
      <c r="E89" s="1672">
        <f>C89*($D$26+$D$27)</f>
        <v>0</v>
      </c>
      <c r="J89" s="736">
        <v>6000</v>
      </c>
      <c r="K89" s="736"/>
      <c r="L89" s="736"/>
      <c r="M89" s="736"/>
      <c r="N89" s="736"/>
      <c r="O89" s="736"/>
      <c r="P89" s="736"/>
      <c r="Q89" s="736"/>
      <c r="R89" s="736"/>
      <c r="S89" s="736"/>
      <c r="T89" s="738">
        <f>IF($J89=$J$67,2,0)</f>
        <v>0</v>
      </c>
      <c r="U89" s="193">
        <f t="shared" si="5"/>
        <v>0</v>
      </c>
      <c r="W89" s="2241"/>
      <c r="X89" s="2240"/>
      <c r="Y89" s="2323" t="s">
        <v>31026</v>
      </c>
      <c r="Z89" s="2324">
        <v>1.25</v>
      </c>
      <c r="AA89" s="2240"/>
      <c r="AB89" s="2325">
        <v>1.25</v>
      </c>
      <c r="AC89" s="2240"/>
      <c r="AD89" s="2240"/>
      <c r="AE89" s="2240"/>
      <c r="AF89" s="2245"/>
    </row>
    <row r="90" spans="2:32" ht="15" x14ac:dyDescent="0.25">
      <c r="B90" s="653" t="s">
        <v>29257</v>
      </c>
      <c r="C90" s="1669">
        <f>IF(Liste!$C$2=1,SUM(L$112:L$145),0)</f>
        <v>0</v>
      </c>
      <c r="D90" s="2745"/>
      <c r="E90" s="1671">
        <f>C90*($D$26+$D$27)</f>
        <v>0</v>
      </c>
      <c r="J90" s="736">
        <v>6250</v>
      </c>
      <c r="K90" s="2330">
        <f>IF(J90=$J$67,1,0)</f>
        <v>0</v>
      </c>
      <c r="L90" s="802"/>
      <c r="M90" s="802"/>
      <c r="N90" s="802"/>
      <c r="O90" s="802"/>
      <c r="P90" s="802"/>
      <c r="Q90" s="802"/>
      <c r="R90" s="802"/>
      <c r="S90" s="2330">
        <f t="shared" ref="S90:S97" si="8">IF(J90=$J$67,2,0)</f>
        <v>0</v>
      </c>
      <c r="T90" s="802"/>
      <c r="U90" s="193">
        <f t="shared" si="5"/>
        <v>0</v>
      </c>
      <c r="W90" s="2241"/>
      <c r="X90" s="2256"/>
      <c r="Y90" s="2280" t="s">
        <v>30968</v>
      </c>
      <c r="Z90" s="2292">
        <f>Z88*(Z84/1000)*Z89</f>
        <v>30.494295690722101</v>
      </c>
      <c r="AA90" s="2240"/>
      <c r="AB90" s="2291">
        <f>AB88*(AB84/1000)*AB89</f>
        <v>34.265712637511463</v>
      </c>
      <c r="AC90" s="2240"/>
      <c r="AD90" s="2240"/>
      <c r="AE90" s="2240"/>
      <c r="AF90" s="2245"/>
    </row>
    <row r="91" spans="2:32" ht="15.75" thickBot="1" x14ac:dyDescent="0.3">
      <c r="B91" s="653" t="s">
        <v>29279</v>
      </c>
      <c r="C91" s="1670">
        <f>IF(Liste!$C$1=1,SUM(L$112:L$145),0)</f>
        <v>0</v>
      </c>
      <c r="D91" s="2745"/>
      <c r="E91" s="1672">
        <f t="shared" ref="E91:E107" si="9">C91*($D$26+$D$27)</f>
        <v>0</v>
      </c>
      <c r="J91" s="736">
        <v>6500</v>
      </c>
      <c r="K91" s="802"/>
      <c r="L91" s="2330">
        <f>IF(J91=$J$67,1,0)</f>
        <v>0</v>
      </c>
      <c r="M91" s="802"/>
      <c r="N91" s="802"/>
      <c r="O91" s="802"/>
      <c r="P91" s="802"/>
      <c r="Q91" s="802"/>
      <c r="R91" s="802"/>
      <c r="S91" s="2330">
        <f t="shared" si="8"/>
        <v>0</v>
      </c>
      <c r="T91" s="802"/>
      <c r="U91" s="193">
        <f t="shared" si="5"/>
        <v>0</v>
      </c>
      <c r="W91" s="2241"/>
      <c r="X91" s="2240"/>
      <c r="Y91" s="2240"/>
      <c r="Z91" s="2240"/>
      <c r="AA91" s="2240"/>
      <c r="AB91" s="2277"/>
      <c r="AC91" s="2240"/>
      <c r="AD91" s="2240"/>
      <c r="AE91" s="2240"/>
      <c r="AF91" s="2245"/>
    </row>
    <row r="92" spans="2:32" ht="15.75" thickBot="1" x14ac:dyDescent="0.3">
      <c r="B92" s="653" t="s">
        <v>29258</v>
      </c>
      <c r="C92" s="1669">
        <f>IF(Liste!$C$2=1,SUM(M$112:M$145),0)</f>
        <v>0</v>
      </c>
      <c r="D92" s="2745"/>
      <c r="E92" s="1671">
        <f t="shared" si="9"/>
        <v>0</v>
      </c>
      <c r="J92" s="736">
        <v>6750</v>
      </c>
      <c r="K92" s="802"/>
      <c r="L92" s="802"/>
      <c r="M92" s="2330">
        <f>IF(J92=$J$67,1,0)</f>
        <v>0</v>
      </c>
      <c r="N92" s="802"/>
      <c r="O92" s="802"/>
      <c r="P92" s="802"/>
      <c r="Q92" s="802"/>
      <c r="R92" s="802"/>
      <c r="S92" s="2330">
        <f t="shared" si="8"/>
        <v>0</v>
      </c>
      <c r="T92" s="802"/>
      <c r="U92" s="193">
        <f t="shared" si="5"/>
        <v>0</v>
      </c>
      <c r="W92" s="2241"/>
      <c r="X92" s="2276"/>
      <c r="Y92" s="2263"/>
      <c r="Z92" s="2279" t="s">
        <v>30967</v>
      </c>
      <c r="AA92" s="2760">
        <f>IF(Z90&lt;235,Z90,AB90)</f>
        <v>30.494295690722101</v>
      </c>
      <c r="AB92" s="2761"/>
      <c r="AC92" s="2240"/>
      <c r="AD92" s="2240"/>
      <c r="AE92" s="2240"/>
      <c r="AF92" s="2245"/>
    </row>
    <row r="93" spans="2:32" ht="15.75" thickBot="1" x14ac:dyDescent="0.3">
      <c r="B93" s="653" t="s">
        <v>29280</v>
      </c>
      <c r="C93" s="1670">
        <f>IF(Liste!$C$1=1,SUM(M$112:M$145),0)</f>
        <v>0</v>
      </c>
      <c r="D93" s="2745"/>
      <c r="E93" s="1672">
        <f t="shared" si="9"/>
        <v>0</v>
      </c>
      <c r="J93" s="736">
        <v>7000</v>
      </c>
      <c r="K93" s="802"/>
      <c r="L93" s="802"/>
      <c r="M93" s="802"/>
      <c r="N93" s="2330">
        <f>IF(J93=$J$67,1,0)</f>
        <v>0</v>
      </c>
      <c r="O93" s="802"/>
      <c r="P93" s="802"/>
      <c r="Q93" s="802"/>
      <c r="R93" s="802"/>
      <c r="S93" s="2330">
        <f t="shared" si="8"/>
        <v>0</v>
      </c>
      <c r="T93" s="802"/>
      <c r="U93" s="193">
        <f t="shared" si="5"/>
        <v>0</v>
      </c>
      <c r="W93" s="2241"/>
      <c r="X93" s="2240"/>
      <c r="Y93" s="2240"/>
      <c r="Z93" s="2240"/>
      <c r="AA93" s="2240"/>
      <c r="AB93" s="2277"/>
      <c r="AC93" s="2240"/>
      <c r="AD93" s="2240"/>
      <c r="AE93" s="2240"/>
      <c r="AF93" s="2245"/>
    </row>
    <row r="94" spans="2:32" ht="15" x14ac:dyDescent="0.25">
      <c r="B94" s="653" t="s">
        <v>29259</v>
      </c>
      <c r="C94" s="1669">
        <f>IF(Liste!$C$2=1,SUM(N$112:N$145),0)</f>
        <v>0</v>
      </c>
      <c r="D94" s="2745"/>
      <c r="E94" s="1671">
        <f t="shared" si="9"/>
        <v>0</v>
      </c>
      <c r="J94" s="736">
        <v>7250</v>
      </c>
      <c r="K94" s="802"/>
      <c r="L94" s="802"/>
      <c r="M94" s="802"/>
      <c r="N94" s="802"/>
      <c r="O94" s="2330">
        <f>IF(J94=$J$67,1,0)</f>
        <v>0</v>
      </c>
      <c r="P94" s="802"/>
      <c r="Q94" s="802"/>
      <c r="R94" s="802"/>
      <c r="S94" s="2330">
        <f t="shared" si="8"/>
        <v>0</v>
      </c>
      <c r="T94" s="802"/>
      <c r="U94" s="193">
        <f t="shared" si="5"/>
        <v>0</v>
      </c>
      <c r="W94" s="2298"/>
      <c r="X94" s="2299"/>
      <c r="Y94" s="2300" t="s">
        <v>30981</v>
      </c>
      <c r="Z94" s="2302" t="str">
        <f>IF(F180=1,E180,E181)</f>
        <v>180W</v>
      </c>
      <c r="AA94" s="2299"/>
      <c r="AB94" s="2305" t="str">
        <f>IF(F182=1,E182,E183)</f>
        <v>2x 1500W</v>
      </c>
      <c r="AC94" s="2299"/>
      <c r="AD94" s="2299"/>
      <c r="AE94" s="2299"/>
      <c r="AF94" s="2301"/>
    </row>
    <row r="95" spans="2:32" x14ac:dyDescent="0.2">
      <c r="B95" s="653" t="s">
        <v>29281</v>
      </c>
      <c r="C95" s="1670">
        <f>IF(Liste!$C$1=1,SUM(N$112:N$145),0)</f>
        <v>0</v>
      </c>
      <c r="D95" s="2745"/>
      <c r="E95" s="1672">
        <f t="shared" si="9"/>
        <v>0</v>
      </c>
      <c r="J95" s="736">
        <v>7500</v>
      </c>
      <c r="K95" s="802"/>
      <c r="L95" s="802"/>
      <c r="M95" s="802"/>
      <c r="N95" s="802"/>
      <c r="O95" s="802"/>
      <c r="P95" s="2330">
        <f>IF(J95=$J$67,1,0)</f>
        <v>0</v>
      </c>
      <c r="Q95" s="802"/>
      <c r="R95" s="802"/>
      <c r="S95" s="2330">
        <f t="shared" si="8"/>
        <v>0</v>
      </c>
      <c r="T95" s="802"/>
      <c r="U95" s="193">
        <f t="shared" si="5"/>
        <v>0</v>
      </c>
      <c r="W95" s="835"/>
      <c r="X95" s="2295"/>
      <c r="Y95" s="2295"/>
      <c r="Z95" s="113"/>
      <c r="AA95" s="113"/>
      <c r="AB95" s="2297"/>
      <c r="AC95" s="113"/>
      <c r="AD95" s="113"/>
      <c r="AE95" s="113"/>
      <c r="AF95" s="2022"/>
    </row>
    <row r="96" spans="2:32" ht="15" x14ac:dyDescent="0.25">
      <c r="B96" s="653" t="s">
        <v>29260</v>
      </c>
      <c r="C96" s="1669">
        <f>IF(Liste!$C$2=1,SUM(O$112:O$145),0)</f>
        <v>0</v>
      </c>
      <c r="D96" s="2745"/>
      <c r="E96" s="1671">
        <f t="shared" si="9"/>
        <v>0</v>
      </c>
      <c r="J96" s="736">
        <v>7750</v>
      </c>
      <c r="K96" s="802"/>
      <c r="L96" s="802"/>
      <c r="M96" s="802"/>
      <c r="N96" s="802"/>
      <c r="O96" s="802"/>
      <c r="P96" s="802"/>
      <c r="Q96" s="2330">
        <f>IF(J96=$J$67,1,0)</f>
        <v>0</v>
      </c>
      <c r="R96" s="802"/>
      <c r="S96" s="2330">
        <f t="shared" si="8"/>
        <v>0</v>
      </c>
      <c r="T96" s="802"/>
      <c r="U96" s="193">
        <f t="shared" si="5"/>
        <v>0</v>
      </c>
      <c r="W96" s="2241"/>
      <c r="X96" s="2240"/>
      <c r="Y96" s="2296" t="s">
        <v>30980</v>
      </c>
      <c r="Z96" s="2303">
        <f>(F180*C180+F181*C181)*Z84*2*3.14/1000/60</f>
        <v>0.17873181125362106</v>
      </c>
      <c r="AA96" s="2240"/>
      <c r="AB96" s="2304">
        <f>(F182*C182+F183*C183)*AB84*2*3.14/1000/60</f>
        <v>0</v>
      </c>
      <c r="AC96" s="2240"/>
      <c r="AD96" s="2240"/>
      <c r="AE96" s="2240"/>
      <c r="AF96" s="2245"/>
    </row>
    <row r="97" spans="2:32" ht="13.5" thickBot="1" x14ac:dyDescent="0.25">
      <c r="B97" s="653" t="s">
        <v>29282</v>
      </c>
      <c r="C97" s="1670">
        <f>IF(Liste!$C$1=1,SUM(O$112:O$145),0)</f>
        <v>0</v>
      </c>
      <c r="D97" s="2745"/>
      <c r="E97" s="1672">
        <f t="shared" si="9"/>
        <v>0</v>
      </c>
      <c r="J97" s="736">
        <v>8000</v>
      </c>
      <c r="K97" s="802"/>
      <c r="L97" s="802"/>
      <c r="M97" s="802"/>
      <c r="N97" s="802"/>
      <c r="O97" s="802"/>
      <c r="P97" s="802"/>
      <c r="Q97" s="802"/>
      <c r="R97" s="2330">
        <f>IF(J97=$J$67,1,0)</f>
        <v>0</v>
      </c>
      <c r="S97" s="2330">
        <f t="shared" si="8"/>
        <v>0</v>
      </c>
      <c r="T97" s="802"/>
      <c r="U97" s="193">
        <f t="shared" si="5"/>
        <v>0</v>
      </c>
      <c r="W97" s="835"/>
      <c r="X97" s="2295"/>
      <c r="Y97" s="2295"/>
      <c r="Z97" s="113"/>
      <c r="AA97" s="113"/>
      <c r="AB97" s="2297"/>
      <c r="AC97" s="113"/>
      <c r="AD97" s="113"/>
      <c r="AE97" s="113"/>
      <c r="AF97" s="2022"/>
    </row>
    <row r="98" spans="2:32" ht="15.75" thickBot="1" x14ac:dyDescent="0.3">
      <c r="B98" s="653" t="s">
        <v>29261</v>
      </c>
      <c r="C98" s="1669">
        <f>IF(Liste!$C$2=1,SUM(P$112:P$145),0)</f>
        <v>0</v>
      </c>
      <c r="D98" s="2745"/>
      <c r="E98" s="1671">
        <f t="shared" si="9"/>
        <v>0</v>
      </c>
      <c r="J98" s="736">
        <v>8250</v>
      </c>
      <c r="K98" s="802"/>
      <c r="L98" s="802"/>
      <c r="M98" s="802"/>
      <c r="N98" s="802"/>
      <c r="O98" s="802"/>
      <c r="P98" s="802"/>
      <c r="Q98" s="802"/>
      <c r="R98" s="802"/>
      <c r="S98" s="2330">
        <f>IF(J98=$J$67,3,0)</f>
        <v>0</v>
      </c>
      <c r="T98" s="802"/>
      <c r="U98" s="193">
        <f t="shared" si="5"/>
        <v>0</v>
      </c>
      <c r="V98" s="740"/>
      <c r="W98" s="835"/>
      <c r="X98" s="2295"/>
      <c r="Y98" s="2295"/>
      <c r="Z98" s="2279" t="s">
        <v>30982</v>
      </c>
      <c r="AA98" s="2768">
        <f>Z96+AB96</f>
        <v>0.17873181125362106</v>
      </c>
      <c r="AB98" s="2769"/>
      <c r="AC98" s="113"/>
      <c r="AD98" s="113"/>
      <c r="AE98" s="113"/>
      <c r="AF98" s="2022"/>
    </row>
    <row r="99" spans="2:32" x14ac:dyDescent="0.2">
      <c r="B99" s="653" t="s">
        <v>29283</v>
      </c>
      <c r="C99" s="1670">
        <f>IF(Liste!$C$1=1,SUM(P$112:P$145),0)</f>
        <v>0</v>
      </c>
      <c r="D99" s="2745"/>
      <c r="E99" s="1672">
        <f t="shared" si="9"/>
        <v>0</v>
      </c>
      <c r="J99" s="736">
        <v>8500</v>
      </c>
      <c r="K99" s="2330">
        <f>IF(J99=$J$67,1,0)</f>
        <v>0</v>
      </c>
      <c r="L99" s="802"/>
      <c r="M99" s="802"/>
      <c r="N99" s="802"/>
      <c r="O99" s="802"/>
      <c r="P99" s="802"/>
      <c r="Q99" s="2330">
        <f>IF(J99=$J$67,1,0)</f>
        <v>0</v>
      </c>
      <c r="R99" s="802"/>
      <c r="S99" s="2330">
        <f>IF(J99=$J$67,2,0)</f>
        <v>0</v>
      </c>
      <c r="T99" s="802"/>
      <c r="U99" s="193">
        <f t="shared" si="5"/>
        <v>0</v>
      </c>
      <c r="V99" s="740"/>
      <c r="W99" s="835"/>
      <c r="X99" s="2295"/>
      <c r="Y99" s="2295"/>
      <c r="Z99" s="113"/>
      <c r="AA99" s="113"/>
      <c r="AB99" s="2297"/>
      <c r="AC99" s="113"/>
      <c r="AD99" s="113"/>
      <c r="AE99" s="113"/>
      <c r="AF99" s="2022"/>
    </row>
    <row r="100" spans="2:32" ht="15" x14ac:dyDescent="0.25">
      <c r="B100" s="653" t="s">
        <v>29263</v>
      </c>
      <c r="C100" s="1669">
        <f>IF(Liste!$C$2=1,SUM(Q$112:Q$145),0)</f>
        <v>0</v>
      </c>
      <c r="D100" s="2745"/>
      <c r="E100" s="1671">
        <f t="shared" si="9"/>
        <v>0</v>
      </c>
      <c r="J100" s="736">
        <v>8750</v>
      </c>
      <c r="K100" s="2330">
        <f>IF(J100=$J$67,1,0)</f>
        <v>0</v>
      </c>
      <c r="L100" s="802"/>
      <c r="M100" s="802"/>
      <c r="N100" s="802"/>
      <c r="O100" s="802"/>
      <c r="P100" s="802"/>
      <c r="Q100" s="802"/>
      <c r="R100" s="2330">
        <f>IF(J100=$J$67,1,0)</f>
        <v>0</v>
      </c>
      <c r="S100" s="2330">
        <f>IF(J100=$J$67,2,0)</f>
        <v>0</v>
      </c>
      <c r="T100" s="802"/>
      <c r="U100" s="193">
        <f t="shared" si="5"/>
        <v>0</v>
      </c>
      <c r="V100" s="740"/>
      <c r="W100" s="835"/>
      <c r="X100" s="2295"/>
      <c r="Y100" s="2296" t="s">
        <v>30983</v>
      </c>
      <c r="Z100" s="2303">
        <f>(F180*C180+F181*C181)*(40+2*1.61)*2*3.14/1000/60</f>
        <v>0.16556717600000004</v>
      </c>
      <c r="AA100" s="113"/>
      <c r="AB100" s="2304">
        <f>(F182*C182+F183*C183)*(40+2*2.41)*2*3.14/1000/60</f>
        <v>0</v>
      </c>
      <c r="AC100" s="113"/>
      <c r="AD100" s="113"/>
      <c r="AE100" s="113"/>
      <c r="AF100" s="2022"/>
    </row>
    <row r="101" spans="2:32" ht="13.5" thickBot="1" x14ac:dyDescent="0.25">
      <c r="B101" s="653" t="s">
        <v>29284</v>
      </c>
      <c r="C101" s="1670">
        <f>IF(Liste!$C$1=1,SUM(Q$112:Q$145),0)</f>
        <v>0</v>
      </c>
      <c r="D101" s="2745"/>
      <c r="E101" s="1672">
        <f t="shared" si="9"/>
        <v>0</v>
      </c>
      <c r="J101" s="736">
        <v>9000</v>
      </c>
      <c r="K101" s="736"/>
      <c r="L101" s="736"/>
      <c r="M101" s="736"/>
      <c r="N101" s="736"/>
      <c r="O101" s="736"/>
      <c r="P101" s="736"/>
      <c r="Q101" s="736"/>
      <c r="R101" s="736"/>
      <c r="S101" s="736"/>
      <c r="T101" s="738">
        <f>IF($J101=$J$67,3,0)</f>
        <v>0</v>
      </c>
      <c r="U101" s="740" t="s">
        <v>772</v>
      </c>
      <c r="V101" s="740" t="s">
        <v>757</v>
      </c>
      <c r="W101" s="835"/>
      <c r="X101" s="2295"/>
      <c r="Y101" s="2295"/>
      <c r="Z101" s="113"/>
      <c r="AA101" s="113"/>
      <c r="AB101" s="2297"/>
      <c r="AC101" s="113"/>
      <c r="AD101" s="113"/>
      <c r="AE101" s="113"/>
      <c r="AF101" s="2022"/>
    </row>
    <row r="102" spans="2:32" ht="15.75" thickBot="1" x14ac:dyDescent="0.3">
      <c r="B102" s="653" t="s">
        <v>29264</v>
      </c>
      <c r="C102" s="1669">
        <f>IF(Liste!$C$2=1,SUM(R$112:R$145),0)</f>
        <v>0</v>
      </c>
      <c r="D102" s="2745"/>
      <c r="E102" s="1671">
        <f t="shared" si="9"/>
        <v>0</v>
      </c>
      <c r="J102" s="739" t="s">
        <v>746</v>
      </c>
      <c r="K102" s="736">
        <f t="shared" ref="K102:T102" si="10">SUM(K68:K101)</f>
        <v>0</v>
      </c>
      <c r="L102" s="736">
        <f t="shared" si="10"/>
        <v>0</v>
      </c>
      <c r="M102" s="736">
        <f t="shared" si="10"/>
        <v>1</v>
      </c>
      <c r="N102" s="736">
        <f t="shared" si="10"/>
        <v>0</v>
      </c>
      <c r="O102" s="736">
        <f t="shared" si="10"/>
        <v>0</v>
      </c>
      <c r="P102" s="736">
        <f t="shared" si="10"/>
        <v>0</v>
      </c>
      <c r="Q102" s="736">
        <f t="shared" si="10"/>
        <v>0</v>
      </c>
      <c r="R102" s="736">
        <f t="shared" si="10"/>
        <v>0</v>
      </c>
      <c r="S102" s="736">
        <f t="shared" si="10"/>
        <v>0</v>
      </c>
      <c r="T102" s="736">
        <f t="shared" si="10"/>
        <v>0</v>
      </c>
      <c r="U102" s="736">
        <f>SUM(K102:T102)</f>
        <v>1</v>
      </c>
      <c r="V102" s="736">
        <f>K102*K67+L102*L67+M102*M67+N102*N67+O102*O67+P102*P67+Q102*Q67+R102*R67+S102*S67+T102*T67</f>
        <v>1250</v>
      </c>
      <c r="W102" s="835"/>
      <c r="X102" s="2295"/>
      <c r="Y102" s="2295"/>
      <c r="Z102" s="2279" t="s">
        <v>30984</v>
      </c>
      <c r="AA102" s="2768">
        <f>Z100+AB100</f>
        <v>0.16556717600000004</v>
      </c>
      <c r="AB102" s="2769"/>
      <c r="AC102" s="113"/>
      <c r="AD102" s="113"/>
      <c r="AE102" s="113"/>
      <c r="AF102" s="2022"/>
    </row>
    <row r="103" spans="2:32" x14ac:dyDescent="0.2">
      <c r="B103" s="653" t="s">
        <v>29285</v>
      </c>
      <c r="C103" s="1670">
        <f>IF(Liste!$C$1=1,SUM(R$112:R$145),0)</f>
        <v>0</v>
      </c>
      <c r="D103" s="2745"/>
      <c r="E103" s="1672">
        <f t="shared" si="9"/>
        <v>0</v>
      </c>
      <c r="I103" s="740" t="s">
        <v>768</v>
      </c>
      <c r="J103" s="736">
        <f>SUM(K103:T103)</f>
        <v>1250</v>
      </c>
      <c r="K103" s="743">
        <f>IF(AND(K102&gt;0,SUM(L103:T103)=0),K67,0)</f>
        <v>0</v>
      </c>
      <c r="L103" s="743">
        <f>IF(AND(L102&gt;0,SUM(M103:T103)=0),L67,0)</f>
        <v>0</v>
      </c>
      <c r="M103" s="743">
        <f>IF(AND(M102&gt;0,SUM(N103:T103)=0),M67,0)</f>
        <v>1250</v>
      </c>
      <c r="N103" s="743">
        <f>IF(AND(N102&gt;0,SUM(O103:T103)=0),N67,0)</f>
        <v>0</v>
      </c>
      <c r="O103" s="743">
        <f>IF(AND(O102&gt;0,SUM(P103:T103)=0),O67,0)</f>
        <v>0</v>
      </c>
      <c r="P103" s="743">
        <f>IF(AND(P102&gt;0,SUM(Q103:T103)=0),P67,0)</f>
        <v>0</v>
      </c>
      <c r="Q103" s="743">
        <f>IF(AND(Q102&gt;0,SUM(R103:T103)=0),Q67,0)</f>
        <v>0</v>
      </c>
      <c r="R103" s="743">
        <f>IF(AND(R102&gt;0,SUM(S103:T103)=0),R67,0)</f>
        <v>0</v>
      </c>
      <c r="S103" s="743">
        <f>IF(AND(S102&gt;0,SUM(T103)=0),S67,0)</f>
        <v>0</v>
      </c>
      <c r="T103" s="743">
        <f>IF(T102&gt;0,T67,0)</f>
        <v>0</v>
      </c>
      <c r="W103" s="837"/>
      <c r="X103" s="2253"/>
      <c r="Y103" s="2253"/>
      <c r="Z103" s="2254"/>
      <c r="AA103" s="2254"/>
      <c r="AB103" s="2306"/>
      <c r="AC103" s="2254"/>
      <c r="AD103" s="2254"/>
      <c r="AE103" s="2254"/>
      <c r="AF103" s="2255"/>
    </row>
    <row r="104" spans="2:32" x14ac:dyDescent="0.2">
      <c r="B104" s="653" t="s">
        <v>29265</v>
      </c>
      <c r="C104" s="1669">
        <f>IF(Liste!$C$2=1,SUM(S$112:S$145),0)</f>
        <v>0</v>
      </c>
      <c r="D104" s="2745"/>
      <c r="E104" s="1671">
        <f t="shared" si="9"/>
        <v>0</v>
      </c>
      <c r="I104" s="740" t="s">
        <v>769</v>
      </c>
      <c r="J104" s="736">
        <f>SUM(K104:T104)</f>
        <v>0</v>
      </c>
      <c r="K104" s="743">
        <f>IF(AND(K102&gt;0,SUM(L103:T103)&gt;0,SUM(L104:T104)=0),K67,0)</f>
        <v>0</v>
      </c>
      <c r="L104" s="743">
        <f>IF(AND(L102&gt;0,SUM(M103:T103)&gt;0,SUM(M104:T104)=0),L67,0)</f>
        <v>0</v>
      </c>
      <c r="M104" s="743">
        <f>IF(AND(M102&gt;0,SUM(N103:T103)&gt;0,SUM(N104:T104)=0),M67,0)</f>
        <v>0</v>
      </c>
      <c r="N104" s="743">
        <f>IF(AND(N102&gt;0,SUM(O103:T103)&gt;0,SUM(O104:T104)=0),N67,0)</f>
        <v>0</v>
      </c>
      <c r="O104" s="743">
        <f>IF(AND(O102&gt;0,SUM(P103:T103)&gt;0,SUM(P104:T104)=0),O67,0)</f>
        <v>0</v>
      </c>
      <c r="P104" s="743">
        <f>IF(AND(P102&gt;0,SUM(Q103:T103)&gt;0,SUM(Q104:T104)=0),P67,0)</f>
        <v>0</v>
      </c>
      <c r="Q104" s="743">
        <f>IF(AND(Q102&gt;0,SUM(R103:T103)&gt;0,SUM(R104:T104)=0),Q67,0)</f>
        <v>0</v>
      </c>
      <c r="R104" s="743">
        <f>IF(AND(R102&gt;0,SUM(S103:T103)&gt;0,SUM(S104:T104)=0),R67,0)</f>
        <v>0</v>
      </c>
      <c r="S104" s="743">
        <f>IF(AND(S102&gt;0,SUM(T103:T103)&gt;0,SUM(T104:T104)=0),S67,0)</f>
        <v>0</v>
      </c>
      <c r="T104" s="743">
        <v>0</v>
      </c>
    </row>
    <row r="105" spans="2:32" x14ac:dyDescent="0.2">
      <c r="B105" s="653" t="s">
        <v>29286</v>
      </c>
      <c r="C105" s="1670">
        <f>IF(Liste!$C$1=1,SUM(S$112:S$145),0)</f>
        <v>0</v>
      </c>
      <c r="D105" s="2745"/>
      <c r="E105" s="1672">
        <f t="shared" si="9"/>
        <v>0</v>
      </c>
      <c r="I105" s="740" t="s">
        <v>770</v>
      </c>
      <c r="J105" s="736">
        <f>SUM(K105:T105)</f>
        <v>0</v>
      </c>
      <c r="K105" s="743">
        <f>IF(AND(K102&gt;0,SUM(L104:T104)&gt;0,SUM(L105:T105)=0),K67,0)</f>
        <v>0</v>
      </c>
      <c r="L105" s="743">
        <f>IF(AND(L102&gt;0,SUM(M$104:$T104)&gt;0,SUM(M$105:$T105)=0),L67,0)</f>
        <v>0</v>
      </c>
      <c r="M105" s="743">
        <f>IF(AND(M102&gt;0,SUM(N104:T104)&gt;0,SUM(N105:T105)=0),M67,0)</f>
        <v>0</v>
      </c>
      <c r="N105" s="743">
        <f>IF(AND(N102&gt;0,SUM(O104:T104)&gt;0,SUM(O105:T105)=0),N67,0)</f>
        <v>0</v>
      </c>
      <c r="O105" s="743">
        <f>IF(AND(O102&gt;0,SUM(P104:T104)&gt;0,SUM(P105:T105)=0),O67,0)</f>
        <v>0</v>
      </c>
      <c r="P105" s="743">
        <f>IF(AND(P102&gt;0,SUM(Q104:T104)&gt;0,SUM(Q105:T105)=0),P67,0)</f>
        <v>0</v>
      </c>
      <c r="Q105" s="743">
        <f>IF(AND(Q102&gt;0,SUM(R104:T104)&gt;0,SUM(R105:T105)=0),Q67,0)</f>
        <v>0</v>
      </c>
      <c r="R105" s="743">
        <f>IF(AND(R102&gt;0,SUM(S104:T104)&gt;0,SUM(S105:T105)=0),R67,0)</f>
        <v>0</v>
      </c>
      <c r="S105" s="736">
        <v>0</v>
      </c>
      <c r="T105" s="736">
        <v>0</v>
      </c>
    </row>
    <row r="106" spans="2:32" x14ac:dyDescent="0.2">
      <c r="B106" s="653" t="s">
        <v>29266</v>
      </c>
      <c r="C106" s="1669">
        <f>IF(Liste!$C$2=1,SUM(T$112:T$145),0)</f>
        <v>0</v>
      </c>
      <c r="D106" s="2745"/>
      <c r="E106" s="1671">
        <f t="shared" si="9"/>
        <v>0</v>
      </c>
    </row>
    <row r="107" spans="2:32" x14ac:dyDescent="0.2">
      <c r="B107" s="653" t="s">
        <v>29287</v>
      </c>
      <c r="C107" s="1673">
        <f>IF(Liste!$C$1=1,SUM(T$112:T$145),0)</f>
        <v>0</v>
      </c>
      <c r="D107" s="2767"/>
      <c r="E107" s="1674">
        <f t="shared" si="9"/>
        <v>0</v>
      </c>
      <c r="J107" s="741" t="s">
        <v>829</v>
      </c>
    </row>
    <row r="109" spans="2:32" x14ac:dyDescent="0.2">
      <c r="J109" s="740"/>
      <c r="K109" s="665"/>
      <c r="L109" s="665"/>
      <c r="M109" s="665"/>
      <c r="N109" s="665"/>
      <c r="O109" s="665"/>
      <c r="P109" s="665"/>
      <c r="Q109" s="665"/>
      <c r="R109" s="665"/>
      <c r="S109" s="665"/>
      <c r="T109" s="665"/>
    </row>
    <row r="110" spans="2:32" x14ac:dyDescent="0.2">
      <c r="J110" s="740"/>
      <c r="K110" s="665"/>
      <c r="L110" s="665"/>
      <c r="M110" s="665"/>
      <c r="N110" s="665"/>
      <c r="O110" s="665"/>
      <c r="P110" s="665"/>
      <c r="Q110" s="665"/>
      <c r="R110" s="665"/>
      <c r="S110" s="665"/>
      <c r="T110" s="665"/>
    </row>
    <row r="111" spans="2:32" x14ac:dyDescent="0.2">
      <c r="J111" s="737">
        <f>IF(D26+D27&gt;0,$C$29,0)</f>
        <v>0</v>
      </c>
      <c r="K111" s="736">
        <v>750</v>
      </c>
      <c r="L111" s="736">
        <v>1000</v>
      </c>
      <c r="M111" s="736">
        <v>1250</v>
      </c>
      <c r="N111" s="736">
        <v>1500</v>
      </c>
      <c r="O111" s="736">
        <v>1750</v>
      </c>
      <c r="P111" s="736">
        <v>2000</v>
      </c>
      <c r="Q111" s="736">
        <v>2250</v>
      </c>
      <c r="R111" s="736">
        <v>2500</v>
      </c>
      <c r="S111" s="736">
        <v>2750</v>
      </c>
      <c r="T111" s="736">
        <v>3000</v>
      </c>
    </row>
    <row r="112" spans="2:32" x14ac:dyDescent="0.2">
      <c r="B112" s="2762" t="s">
        <v>30406</v>
      </c>
      <c r="C112" s="2764"/>
      <c r="J112" s="736">
        <v>750</v>
      </c>
      <c r="K112" s="738">
        <f>IF($J112=$J$111,1,0)</f>
        <v>0</v>
      </c>
      <c r="L112" s="736"/>
      <c r="M112" s="736"/>
      <c r="N112" s="736"/>
      <c r="O112" s="736"/>
      <c r="P112" s="736"/>
      <c r="Q112" s="736"/>
      <c r="R112" s="736"/>
      <c r="S112" s="736"/>
      <c r="T112" s="736"/>
    </row>
    <row r="113" spans="2:20" x14ac:dyDescent="0.2">
      <c r="B113" s="190" t="s">
        <v>30407</v>
      </c>
      <c r="C113" s="193">
        <v>1</v>
      </c>
      <c r="J113" s="736">
        <v>1000</v>
      </c>
      <c r="K113" s="736"/>
      <c r="L113" s="738">
        <f>IF($J113=$J$111,1,0)</f>
        <v>0</v>
      </c>
      <c r="M113" s="736"/>
      <c r="N113" s="736"/>
      <c r="O113" s="736"/>
      <c r="P113" s="736"/>
      <c r="Q113" s="736"/>
      <c r="R113" s="736"/>
      <c r="S113" s="736"/>
      <c r="T113" s="736"/>
    </row>
    <row r="114" spans="2:20" x14ac:dyDescent="0.2">
      <c r="B114" s="190" t="s">
        <v>30408</v>
      </c>
      <c r="C114" s="193">
        <v>2</v>
      </c>
      <c r="J114" s="736">
        <v>1250</v>
      </c>
      <c r="K114" s="736"/>
      <c r="L114" s="736"/>
      <c r="M114" s="738">
        <f>IF($J114=$J$111,1,0)</f>
        <v>0</v>
      </c>
      <c r="N114" s="736"/>
      <c r="O114" s="736"/>
      <c r="P114" s="736"/>
      <c r="Q114" s="736"/>
      <c r="R114" s="736"/>
      <c r="S114" s="736"/>
      <c r="T114" s="736"/>
    </row>
    <row r="115" spans="2:20" x14ac:dyDescent="0.2">
      <c r="J115" s="736">
        <v>1500</v>
      </c>
      <c r="K115" s="736"/>
      <c r="L115" s="736"/>
      <c r="M115" s="736"/>
      <c r="N115" s="738">
        <f>IF($J115=$J$111,1,0)</f>
        <v>0</v>
      </c>
      <c r="O115" s="736"/>
      <c r="P115" s="736"/>
      <c r="Q115" s="736"/>
      <c r="R115" s="736"/>
      <c r="S115" s="736"/>
      <c r="T115" s="736"/>
    </row>
    <row r="116" spans="2:20" x14ac:dyDescent="0.2">
      <c r="J116" s="736">
        <v>1750</v>
      </c>
      <c r="K116" s="736"/>
      <c r="L116" s="736"/>
      <c r="M116" s="736"/>
      <c r="N116" s="736"/>
      <c r="O116" s="738">
        <f>IF($J116=$J$111,1,0)</f>
        <v>0</v>
      </c>
      <c r="P116" s="736"/>
      <c r="Q116" s="736"/>
      <c r="R116" s="736"/>
      <c r="S116" s="736"/>
      <c r="T116" s="736"/>
    </row>
    <row r="117" spans="2:20" x14ac:dyDescent="0.2">
      <c r="J117" s="736">
        <v>2000</v>
      </c>
      <c r="K117" s="736"/>
      <c r="L117" s="736"/>
      <c r="M117" s="736"/>
      <c r="N117" s="736"/>
      <c r="O117" s="736"/>
      <c r="P117" s="738">
        <f>IF($J117=$J$111,1,0)</f>
        <v>0</v>
      </c>
      <c r="Q117" s="736"/>
      <c r="R117" s="736"/>
      <c r="S117" s="736"/>
      <c r="T117" s="736"/>
    </row>
    <row r="118" spans="2:20" x14ac:dyDescent="0.2">
      <c r="J118" s="736">
        <v>2250</v>
      </c>
      <c r="K118" s="736"/>
      <c r="L118" s="736"/>
      <c r="M118" s="736"/>
      <c r="N118" s="736"/>
      <c r="O118" s="736"/>
      <c r="P118" s="736"/>
      <c r="Q118" s="738">
        <f>IF($J118=$J$111,1,0)</f>
        <v>0</v>
      </c>
      <c r="R118" s="736"/>
      <c r="S118" s="736"/>
      <c r="T118" s="736"/>
    </row>
    <row r="119" spans="2:20" x14ac:dyDescent="0.2">
      <c r="J119" s="736">
        <v>2500</v>
      </c>
      <c r="K119" s="736"/>
      <c r="L119" s="736"/>
      <c r="M119" s="736"/>
      <c r="N119" s="736"/>
      <c r="O119" s="736"/>
      <c r="P119" s="736"/>
      <c r="Q119" s="736"/>
      <c r="R119" s="738">
        <f>IF($J119=$J$111,1,0)</f>
        <v>0</v>
      </c>
      <c r="S119" s="736"/>
      <c r="T119" s="736"/>
    </row>
    <row r="120" spans="2:20" x14ac:dyDescent="0.2">
      <c r="J120" s="736">
        <v>2750</v>
      </c>
      <c r="K120" s="736"/>
      <c r="L120" s="736"/>
      <c r="M120" s="736"/>
      <c r="N120" s="736"/>
      <c r="O120" s="736"/>
      <c r="P120" s="736"/>
      <c r="Q120" s="736"/>
      <c r="R120" s="736"/>
      <c r="S120" s="738">
        <f>IF($J120=$J$111,1,0)</f>
        <v>0</v>
      </c>
      <c r="T120" s="736"/>
    </row>
    <row r="121" spans="2:20" x14ac:dyDescent="0.2">
      <c r="J121" s="736">
        <v>3000</v>
      </c>
      <c r="K121" s="736"/>
      <c r="L121" s="736"/>
      <c r="M121" s="736"/>
      <c r="N121" s="736"/>
      <c r="O121" s="736"/>
      <c r="P121" s="736"/>
      <c r="Q121" s="736"/>
      <c r="R121" s="736"/>
      <c r="S121" s="736"/>
      <c r="T121" s="738">
        <f>IF($J121=$J$111,1,0)</f>
        <v>0</v>
      </c>
    </row>
    <row r="122" spans="2:20" x14ac:dyDescent="0.2">
      <c r="J122" s="736">
        <v>3250</v>
      </c>
      <c r="K122" s="738">
        <f>IF($J122=$J$111,1,0)</f>
        <v>0</v>
      </c>
      <c r="L122" s="736"/>
      <c r="M122" s="736"/>
      <c r="N122" s="736"/>
      <c r="O122" s="736"/>
      <c r="P122" s="736"/>
      <c r="Q122" s="736"/>
      <c r="R122" s="738">
        <f t="shared" ref="R122:R127" si="11">IF($J122=$J$111,1,0)</f>
        <v>0</v>
      </c>
      <c r="S122" s="736"/>
      <c r="T122" s="736"/>
    </row>
    <row r="123" spans="2:20" x14ac:dyDescent="0.2">
      <c r="J123" s="736">
        <v>3500</v>
      </c>
      <c r="K123" s="736"/>
      <c r="L123" s="738">
        <f>IF($J123=$J$111,1,0)</f>
        <v>0</v>
      </c>
      <c r="M123" s="736"/>
      <c r="N123" s="736"/>
      <c r="O123" s="736"/>
      <c r="P123" s="736"/>
      <c r="Q123" s="736"/>
      <c r="R123" s="738">
        <f t="shared" si="11"/>
        <v>0</v>
      </c>
      <c r="S123" s="736"/>
      <c r="T123" s="736"/>
    </row>
    <row r="124" spans="2:20" x14ac:dyDescent="0.2">
      <c r="J124" s="736">
        <v>3750</v>
      </c>
      <c r="K124" s="736"/>
      <c r="L124" s="736"/>
      <c r="M124" s="738">
        <f>IF($J124=$J$111,1,0)</f>
        <v>0</v>
      </c>
      <c r="N124" s="736"/>
      <c r="O124" s="736"/>
      <c r="P124" s="736"/>
      <c r="Q124" s="736"/>
      <c r="R124" s="738">
        <f t="shared" si="11"/>
        <v>0</v>
      </c>
      <c r="S124" s="736"/>
      <c r="T124" s="736"/>
    </row>
    <row r="125" spans="2:20" x14ac:dyDescent="0.2">
      <c r="J125" s="736">
        <v>4000</v>
      </c>
      <c r="K125" s="736"/>
      <c r="L125" s="736"/>
      <c r="M125" s="736"/>
      <c r="N125" s="738">
        <f>IF($J125=$J$111,1,0)</f>
        <v>0</v>
      </c>
      <c r="O125" s="736"/>
      <c r="P125" s="736"/>
      <c r="Q125" s="736"/>
      <c r="R125" s="738">
        <f t="shared" si="11"/>
        <v>0</v>
      </c>
      <c r="S125" s="736"/>
      <c r="T125" s="736"/>
    </row>
    <row r="126" spans="2:20" x14ac:dyDescent="0.2">
      <c r="J126" s="736">
        <v>4250</v>
      </c>
      <c r="K126" s="736"/>
      <c r="L126" s="736"/>
      <c r="M126" s="736"/>
      <c r="N126" s="736"/>
      <c r="O126" s="738">
        <f>IF($J126=$J$111,1,0)</f>
        <v>0</v>
      </c>
      <c r="P126" s="736"/>
      <c r="Q126" s="736"/>
      <c r="R126" s="738">
        <f t="shared" si="11"/>
        <v>0</v>
      </c>
      <c r="S126" s="736"/>
      <c r="T126" s="736"/>
    </row>
    <row r="127" spans="2:20" x14ac:dyDescent="0.2">
      <c r="J127" s="736">
        <v>4500</v>
      </c>
      <c r="K127" s="736"/>
      <c r="L127" s="736"/>
      <c r="M127" s="736"/>
      <c r="N127" s="736"/>
      <c r="O127" s="736"/>
      <c r="P127" s="738">
        <f>IF($J127=$J$111,1,0)</f>
        <v>0</v>
      </c>
      <c r="Q127" s="736"/>
      <c r="R127" s="738">
        <f t="shared" si="11"/>
        <v>0</v>
      </c>
      <c r="S127" s="736"/>
      <c r="T127" s="736"/>
    </row>
    <row r="128" spans="2:20" x14ac:dyDescent="0.2">
      <c r="J128" s="736">
        <v>4750</v>
      </c>
      <c r="K128" s="736"/>
      <c r="L128" s="736"/>
      <c r="M128" s="736"/>
      <c r="N128" s="736"/>
      <c r="O128" s="738">
        <f>IF($J128=$J$111,1,0)</f>
        <v>0</v>
      </c>
      <c r="P128" s="736"/>
      <c r="Q128" s="736"/>
      <c r="R128" s="736"/>
      <c r="S128" s="736"/>
      <c r="T128" s="738">
        <f>IF($J128=$J$111,1,0)</f>
        <v>0</v>
      </c>
    </row>
    <row r="129" spans="6:22" x14ac:dyDescent="0.2">
      <c r="J129" s="736">
        <v>5000</v>
      </c>
      <c r="K129" s="736"/>
      <c r="L129" s="736"/>
      <c r="M129" s="736"/>
      <c r="N129" s="736"/>
      <c r="O129" s="736"/>
      <c r="P129" s="738">
        <f>IF($J129=$J$111,1,0)</f>
        <v>0</v>
      </c>
      <c r="Q129" s="736"/>
      <c r="R129" s="736"/>
      <c r="S129" s="736"/>
      <c r="T129" s="738">
        <f>IF($J129=$J$111,1,0)</f>
        <v>0</v>
      </c>
    </row>
    <row r="130" spans="6:22" ht="15.75" x14ac:dyDescent="0.2">
      <c r="F130" s="130" t="s">
        <v>30371</v>
      </c>
      <c r="G130" s="9"/>
      <c r="J130" s="736">
        <v>5250</v>
      </c>
      <c r="K130" s="736"/>
      <c r="L130" s="736"/>
      <c r="M130" s="736"/>
      <c r="N130" s="736"/>
      <c r="O130" s="736"/>
      <c r="P130" s="736"/>
      <c r="Q130" s="738">
        <f>IF($J130=$J$111,1,0)</f>
        <v>0</v>
      </c>
      <c r="R130" s="736"/>
      <c r="S130" s="736"/>
      <c r="T130" s="738">
        <f>IF($J130=$J$111,1,0)</f>
        <v>0</v>
      </c>
    </row>
    <row r="131" spans="6:22" x14ac:dyDescent="0.2">
      <c r="F131" s="9"/>
      <c r="G131" s="9"/>
      <c r="J131" s="736">
        <v>5500</v>
      </c>
      <c r="K131" s="736"/>
      <c r="L131" s="736"/>
      <c r="M131" s="736"/>
      <c r="N131" s="736"/>
      <c r="O131" s="736"/>
      <c r="P131" s="736"/>
      <c r="Q131" s="736"/>
      <c r="R131" s="738">
        <f>IF($J131=$J$111,1,0)</f>
        <v>0</v>
      </c>
      <c r="S131" s="736"/>
      <c r="T131" s="738">
        <f>IF($J131=$J$111,1,0)</f>
        <v>0</v>
      </c>
    </row>
    <row r="132" spans="6:22" x14ac:dyDescent="0.2">
      <c r="F132" s="193">
        <f>IF((Dateneingabe!G187+Dateneingabe!G188)&gt;0,1,0)</f>
        <v>1</v>
      </c>
      <c r="G132" s="947" t="s">
        <v>30372</v>
      </c>
      <c r="J132" s="736">
        <v>5750</v>
      </c>
      <c r="K132" s="736"/>
      <c r="L132" s="736"/>
      <c r="M132" s="736"/>
      <c r="N132" s="736"/>
      <c r="O132" s="736"/>
      <c r="P132" s="736"/>
      <c r="Q132" s="736"/>
      <c r="R132" s="736"/>
      <c r="S132" s="738">
        <f>IF($J132=$J$111,1,0)</f>
        <v>0</v>
      </c>
      <c r="T132" s="738">
        <f>IF($J132=$J$111,1,0)</f>
        <v>0</v>
      </c>
    </row>
    <row r="133" spans="6:22" x14ac:dyDescent="0.2">
      <c r="F133" s="193">
        <f>IF((Dateneingabe!G187+Dateneingabe!G189)&gt;0,1,0)</f>
        <v>1</v>
      </c>
      <c r="G133" s="947" t="s">
        <v>30373</v>
      </c>
      <c r="J133" s="736">
        <v>6000</v>
      </c>
      <c r="K133" s="736"/>
      <c r="L133" s="736"/>
      <c r="M133" s="736"/>
      <c r="N133" s="736"/>
      <c r="O133" s="736"/>
      <c r="P133" s="736"/>
      <c r="Q133" s="736"/>
      <c r="R133" s="736"/>
      <c r="S133" s="736"/>
      <c r="T133" s="738">
        <f>IF($J133=$J$111,2,0)</f>
        <v>0</v>
      </c>
    </row>
    <row r="134" spans="6:22" x14ac:dyDescent="0.2">
      <c r="F134" s="193">
        <f>IF((Dateneingabe!G189+Dateneingabe!G188)&gt;0,1,0)+IF(Dateneingabe!G190&gt;0,2,0)</f>
        <v>0</v>
      </c>
      <c r="G134" s="947" t="s">
        <v>30374</v>
      </c>
      <c r="J134" s="736">
        <v>6250</v>
      </c>
      <c r="K134" s="738">
        <f>IF($J134=$J$111,1,0)</f>
        <v>0</v>
      </c>
      <c r="L134" s="736"/>
      <c r="M134" s="736"/>
      <c r="N134" s="736"/>
      <c r="O134" s="736"/>
      <c r="P134" s="736"/>
      <c r="Q134" s="736"/>
      <c r="R134" s="738">
        <f>IF($J134=$J$111,1,0)</f>
        <v>0</v>
      </c>
      <c r="S134" s="736"/>
      <c r="T134" s="738">
        <f>IF($J134=$J$111,1,0)</f>
        <v>0</v>
      </c>
    </row>
    <row r="135" spans="6:22" x14ac:dyDescent="0.2">
      <c r="J135" s="736">
        <v>6500</v>
      </c>
      <c r="K135" s="736"/>
      <c r="L135" s="738">
        <f>IF($J135=$J$111,1,0)</f>
        <v>0</v>
      </c>
      <c r="M135" s="736"/>
      <c r="N135" s="736"/>
      <c r="O135" s="736"/>
      <c r="P135" s="736"/>
      <c r="Q135" s="736"/>
      <c r="R135" s="738">
        <f>IF($J135=$J$111,1,0)</f>
        <v>0</v>
      </c>
      <c r="S135" s="736"/>
      <c r="T135" s="738">
        <f>IF($J135=$J$111,1,0)</f>
        <v>0</v>
      </c>
    </row>
    <row r="136" spans="6:22" x14ac:dyDescent="0.2">
      <c r="J136" s="736">
        <v>6750</v>
      </c>
      <c r="K136" s="738">
        <f>IF($J136=$J$111,1,0)</f>
        <v>0</v>
      </c>
      <c r="L136" s="736"/>
      <c r="M136" s="736"/>
      <c r="N136" s="736"/>
      <c r="O136" s="736"/>
      <c r="P136" s="736"/>
      <c r="Q136" s="736"/>
      <c r="R136" s="736"/>
      <c r="S136" s="736"/>
      <c r="T136" s="738">
        <f t="shared" ref="T136:T144" si="12">IF($J136=$J$111,2,0)</f>
        <v>0</v>
      </c>
    </row>
    <row r="137" spans="6:22" x14ac:dyDescent="0.2">
      <c r="J137" s="736">
        <v>7000</v>
      </c>
      <c r="K137" s="736"/>
      <c r="L137" s="738">
        <f>IF($J137=$J$111,1,0)</f>
        <v>0</v>
      </c>
      <c r="M137" s="736"/>
      <c r="N137" s="736"/>
      <c r="O137" s="736"/>
      <c r="P137" s="736"/>
      <c r="Q137" s="736"/>
      <c r="R137" s="736"/>
      <c r="S137" s="736"/>
      <c r="T137" s="738">
        <f t="shared" si="12"/>
        <v>0</v>
      </c>
    </row>
    <row r="138" spans="6:22" x14ac:dyDescent="0.2">
      <c r="J138" s="736">
        <v>7250</v>
      </c>
      <c r="K138" s="736"/>
      <c r="L138" s="736"/>
      <c r="M138" s="738">
        <f>IF($J138=$J$111,1,0)</f>
        <v>0</v>
      </c>
      <c r="N138" s="736"/>
      <c r="O138" s="736"/>
      <c r="P138" s="736"/>
      <c r="Q138" s="736"/>
      <c r="R138" s="736"/>
      <c r="S138" s="736"/>
      <c r="T138" s="738">
        <f t="shared" si="12"/>
        <v>0</v>
      </c>
    </row>
    <row r="139" spans="6:22" x14ac:dyDescent="0.2">
      <c r="J139" s="736">
        <v>7500</v>
      </c>
      <c r="K139" s="736"/>
      <c r="L139" s="736"/>
      <c r="M139" s="736"/>
      <c r="N139" s="738">
        <f>IF($J139=$J$111,1,0)</f>
        <v>0</v>
      </c>
      <c r="O139" s="736"/>
      <c r="P139" s="736"/>
      <c r="Q139" s="736"/>
      <c r="R139" s="736"/>
      <c r="S139" s="736"/>
      <c r="T139" s="738">
        <f t="shared" si="12"/>
        <v>0</v>
      </c>
    </row>
    <row r="140" spans="6:22" x14ac:dyDescent="0.2">
      <c r="J140" s="736">
        <v>7750</v>
      </c>
      <c r="K140" s="736"/>
      <c r="L140" s="736"/>
      <c r="M140" s="736"/>
      <c r="N140" s="736"/>
      <c r="O140" s="738">
        <f>IF($J140=$J$111,1,0)</f>
        <v>0</v>
      </c>
      <c r="P140" s="736"/>
      <c r="Q140" s="736"/>
      <c r="R140" s="736"/>
      <c r="S140" s="736"/>
      <c r="T140" s="738">
        <f t="shared" si="12"/>
        <v>0</v>
      </c>
    </row>
    <row r="141" spans="6:22" x14ac:dyDescent="0.2">
      <c r="J141" s="736">
        <v>8000</v>
      </c>
      <c r="K141" s="736"/>
      <c r="L141" s="736"/>
      <c r="M141" s="736"/>
      <c r="N141" s="736"/>
      <c r="O141" s="736"/>
      <c r="P141" s="738">
        <f>IF($J141=$J$111,1,0)</f>
        <v>0</v>
      </c>
      <c r="Q141" s="736"/>
      <c r="R141" s="736"/>
      <c r="S141" s="736"/>
      <c r="T141" s="738">
        <f t="shared" si="12"/>
        <v>0</v>
      </c>
    </row>
    <row r="142" spans="6:22" x14ac:dyDescent="0.2">
      <c r="J142" s="736">
        <v>8250</v>
      </c>
      <c r="K142" s="736"/>
      <c r="L142" s="736"/>
      <c r="M142" s="736"/>
      <c r="N142" s="736"/>
      <c r="O142" s="736"/>
      <c r="P142" s="736"/>
      <c r="Q142" s="738">
        <f>IF($J142=$J$111,1,0)</f>
        <v>0</v>
      </c>
      <c r="R142" s="736"/>
      <c r="S142" s="736"/>
      <c r="T142" s="738">
        <f t="shared" si="12"/>
        <v>0</v>
      </c>
      <c r="U142" s="740"/>
      <c r="V142" s="740"/>
    </row>
    <row r="143" spans="6:22" x14ac:dyDescent="0.2">
      <c r="J143" s="736">
        <v>8500</v>
      </c>
      <c r="K143" s="736"/>
      <c r="L143" s="736"/>
      <c r="M143" s="736"/>
      <c r="N143" s="736"/>
      <c r="O143" s="736"/>
      <c r="P143" s="736"/>
      <c r="Q143" s="736"/>
      <c r="R143" s="738">
        <f>IF($J143=$J$111,1,0)</f>
        <v>0</v>
      </c>
      <c r="S143" s="736"/>
      <c r="T143" s="738">
        <f t="shared" si="12"/>
        <v>0</v>
      </c>
      <c r="U143" s="740"/>
      <c r="V143" s="740"/>
    </row>
    <row r="144" spans="6:22" x14ac:dyDescent="0.2">
      <c r="J144" s="736">
        <v>8750</v>
      </c>
      <c r="K144" s="736"/>
      <c r="L144" s="736"/>
      <c r="M144" s="736"/>
      <c r="N144" s="736"/>
      <c r="O144" s="736"/>
      <c r="P144" s="736"/>
      <c r="Q144" s="736"/>
      <c r="R144" s="736"/>
      <c r="S144" s="738">
        <f>IF($J144=$J$111,1,0)</f>
        <v>0</v>
      </c>
      <c r="T144" s="738">
        <f t="shared" si="12"/>
        <v>0</v>
      </c>
      <c r="U144" s="740"/>
      <c r="V144" s="740"/>
    </row>
    <row r="145" spans="5:24" x14ac:dyDescent="0.2">
      <c r="J145" s="736">
        <v>9000</v>
      </c>
      <c r="K145" s="736"/>
      <c r="L145" s="736"/>
      <c r="M145" s="736"/>
      <c r="N145" s="736"/>
      <c r="O145" s="736"/>
      <c r="P145" s="736"/>
      <c r="Q145" s="736"/>
      <c r="R145" s="736"/>
      <c r="S145" s="736"/>
      <c r="T145" s="738">
        <f>IF($J145=$J$111,3,0)</f>
        <v>0</v>
      </c>
      <c r="U145" s="740" t="s">
        <v>772</v>
      </c>
      <c r="V145" s="740" t="s">
        <v>757</v>
      </c>
    </row>
    <row r="146" spans="5:24" x14ac:dyDescent="0.2">
      <c r="J146" s="739" t="s">
        <v>746</v>
      </c>
      <c r="K146" s="736">
        <f t="shared" ref="K146:T146" si="13">SUM(K112:K145)</f>
        <v>0</v>
      </c>
      <c r="L146" s="736">
        <f t="shared" si="13"/>
        <v>0</v>
      </c>
      <c r="M146" s="736">
        <f t="shared" si="13"/>
        <v>0</v>
      </c>
      <c r="N146" s="736">
        <f t="shared" si="13"/>
        <v>0</v>
      </c>
      <c r="O146" s="736">
        <f t="shared" si="13"/>
        <v>0</v>
      </c>
      <c r="P146" s="736">
        <f t="shared" si="13"/>
        <v>0</v>
      </c>
      <c r="Q146" s="736">
        <f t="shared" si="13"/>
        <v>0</v>
      </c>
      <c r="R146" s="736">
        <f t="shared" si="13"/>
        <v>0</v>
      </c>
      <c r="S146" s="736">
        <f t="shared" si="13"/>
        <v>0</v>
      </c>
      <c r="T146" s="736">
        <f t="shared" si="13"/>
        <v>0</v>
      </c>
      <c r="U146" s="736">
        <f>SUM(K146:T146)</f>
        <v>0</v>
      </c>
      <c r="V146" s="736">
        <f>K146*K111+L146*L111+M146*M111+N146*N111+O146*O111+P146*P111+Q146*Q111+R146*R111+S146*S111+T146*T111</f>
        <v>0</v>
      </c>
    </row>
    <row r="147" spans="5:24" x14ac:dyDescent="0.2">
      <c r="I147" s="740" t="s">
        <v>768</v>
      </c>
      <c r="J147" s="736">
        <f>SUM(K147:T147)</f>
        <v>0</v>
      </c>
      <c r="K147" s="743">
        <f>IF(AND(K146&gt;0,SUM(L147:T147)=0),K111,0)</f>
        <v>0</v>
      </c>
      <c r="L147" s="743">
        <f>IF(AND(L146&gt;0,SUM(M147:T147)=0),L111,0)</f>
        <v>0</v>
      </c>
      <c r="M147" s="743">
        <f>IF(AND(M146&gt;0,SUM(N147:T147)=0),M111,0)</f>
        <v>0</v>
      </c>
      <c r="N147" s="743">
        <f>IF(AND(N146&gt;0,SUM(O147:T147)=0),N111,0)</f>
        <v>0</v>
      </c>
      <c r="O147" s="743">
        <f>IF(AND(O146&gt;0,SUM(P147:T147)=0),O111,0)</f>
        <v>0</v>
      </c>
      <c r="P147" s="743">
        <f>IF(AND(P146&gt;0,SUM(Q147:T147)=0),P111,0)</f>
        <v>0</v>
      </c>
      <c r="Q147" s="743">
        <f>IF(AND(Q146&gt;0,SUM(R147:T147)=0),Q111,0)</f>
        <v>0</v>
      </c>
      <c r="R147" s="743">
        <f>IF(AND(R146&gt;0,SUM(S147:T147)=0),R111,0)</f>
        <v>0</v>
      </c>
      <c r="S147" s="743">
        <f>IF(AND(S146&gt;0,SUM(T147)=0),S111,0)</f>
        <v>0</v>
      </c>
      <c r="T147" s="743">
        <f>IF(T146&gt;0,T111,0)</f>
        <v>0</v>
      </c>
    </row>
    <row r="148" spans="5:24" x14ac:dyDescent="0.2">
      <c r="I148" s="740" t="s">
        <v>769</v>
      </c>
      <c r="J148" s="736">
        <f>SUM(K148:T148)</f>
        <v>0</v>
      </c>
      <c r="K148" s="743">
        <f>IF(AND(K146&gt;0,SUM(L147:T147)&gt;0,SUM(L148:T148)=0),K111,0)</f>
        <v>0</v>
      </c>
      <c r="L148" s="743">
        <f>IF(AND(L146&gt;0,SUM(M147:T147)&gt;0,SUM(M148:T148)=0),L111,0)</f>
        <v>0</v>
      </c>
      <c r="M148" s="743">
        <f>IF(AND(M146&gt;0,SUM(N147:T147)&gt;0,SUM(N148:T148)=0),M111,0)</f>
        <v>0</v>
      </c>
      <c r="N148" s="743">
        <f>IF(AND(N146&gt;0,SUM(O147:T147)&gt;0,SUM(O148:T148)=0),N111,0)</f>
        <v>0</v>
      </c>
      <c r="O148" s="743">
        <f>IF(AND(O146&gt;0,SUM(P147:T147)&gt;0,SUM(P148:T148)=0),O111,0)</f>
        <v>0</v>
      </c>
      <c r="P148" s="743">
        <f>IF(AND(P146&gt;0,SUM(Q147:T147)&gt;0,SUM(Q148:T148)=0),P111,0)</f>
        <v>0</v>
      </c>
      <c r="Q148" s="743">
        <f>IF(AND(Q146&gt;0,SUM(R147:T147)&gt;0,SUM(R148:T148)=0),Q111,0)</f>
        <v>0</v>
      </c>
      <c r="R148" s="743">
        <f>IF(AND(R146&gt;0,SUM(S147:T147)&gt;0,SUM(S148:T148)=0),R111,0)</f>
        <v>0</v>
      </c>
      <c r="S148" s="743">
        <f>IF(AND(S146&gt;0,SUM(T147:T147)&gt;0,SUM(T148:T148)=0),S111,0)</f>
        <v>0</v>
      </c>
      <c r="T148" s="743">
        <v>0</v>
      </c>
    </row>
    <row r="149" spans="5:24" x14ac:dyDescent="0.2">
      <c r="I149" s="740" t="s">
        <v>770</v>
      </c>
      <c r="J149" s="736">
        <f>SUM(K149:T149)</f>
        <v>0</v>
      </c>
      <c r="K149" s="743">
        <f>IF(AND(K146&gt;0,SUM(L148:T148)&gt;0,SUM(L149:T149)=0),K111,0)</f>
        <v>0</v>
      </c>
      <c r="L149" s="743">
        <f>IF(AND(L146&gt;0,SUM(M$104:$T148)&gt;0,SUM(M$105:$T149)=0),L111,0)</f>
        <v>0</v>
      </c>
      <c r="M149" s="743">
        <f>IF(AND(M146&gt;0,SUM(N148:T148)&gt;0,SUM(N149:T149)=0),M111,0)</f>
        <v>0</v>
      </c>
      <c r="N149" s="743">
        <f>IF(AND(N146&gt;0,SUM(O148:T148)&gt;0,SUM(O149:T149)=0),N111,0)</f>
        <v>0</v>
      </c>
      <c r="O149" s="743">
        <f>IF(AND(O146&gt;0,SUM(P148:T148)&gt;0,SUM(P149:T149)=0),O111,0)</f>
        <v>0</v>
      </c>
      <c r="P149" s="743">
        <f>IF(AND(P146&gt;0,SUM(Q148:T148)&gt;0,SUM(Q149:T149)=0),P111,0)</f>
        <v>0</v>
      </c>
      <c r="Q149" s="743">
        <f>IF(AND(Q146&gt;0,SUM(R148:T148)&gt;0,SUM(R149:T149)=0),Q111,0)</f>
        <v>0</v>
      </c>
      <c r="R149" s="743">
        <f>IF(AND(R146&gt;0,SUM(S148:T148)&gt;0,SUM(S149:T149)=0),R111,0)</f>
        <v>0</v>
      </c>
      <c r="S149" s="736">
        <v>0</v>
      </c>
      <c r="T149" s="736">
        <v>0</v>
      </c>
    </row>
    <row r="153" spans="5:24" x14ac:dyDescent="0.2">
      <c r="E153" s="746"/>
      <c r="F153" s="825"/>
      <c r="G153" s="825"/>
      <c r="H153" s="825"/>
      <c r="I153" s="825"/>
      <c r="J153" s="825"/>
      <c r="K153" s="825"/>
      <c r="L153" s="825"/>
      <c r="M153" s="825"/>
      <c r="N153" s="825"/>
      <c r="O153" s="825"/>
      <c r="P153" s="825"/>
      <c r="Q153" s="826"/>
      <c r="R153" s="826"/>
      <c r="S153" s="825"/>
      <c r="T153" s="1219"/>
    </row>
    <row r="154" spans="5:24" x14ac:dyDescent="0.2">
      <c r="E154" s="835"/>
      <c r="F154" s="745"/>
      <c r="G154" s="745"/>
      <c r="H154" s="745"/>
      <c r="I154" s="745"/>
      <c r="J154" s="827" t="s">
        <v>27688</v>
      </c>
      <c r="K154" s="745"/>
      <c r="L154" s="745"/>
      <c r="M154" s="745"/>
      <c r="N154" s="745"/>
      <c r="O154" s="745"/>
      <c r="P154" s="745"/>
      <c r="Q154" s="113"/>
      <c r="R154" s="113"/>
      <c r="S154" s="745"/>
      <c r="T154" s="838"/>
    </row>
    <row r="155" spans="5:24" x14ac:dyDescent="0.2">
      <c r="E155" s="836"/>
      <c r="F155" s="745"/>
      <c r="G155" s="745"/>
      <c r="H155" s="745"/>
      <c r="I155" s="745"/>
      <c r="J155" s="745"/>
      <c r="K155" s="745"/>
      <c r="L155" s="745"/>
      <c r="M155" s="745"/>
      <c r="N155" s="745"/>
      <c r="O155" s="745"/>
      <c r="P155" s="745"/>
      <c r="Q155" s="113"/>
      <c r="R155" s="113"/>
      <c r="S155" s="745"/>
      <c r="T155" s="838"/>
    </row>
    <row r="156" spans="5:24" ht="38.25" x14ac:dyDescent="0.2">
      <c r="E156" s="828" t="s">
        <v>27694</v>
      </c>
      <c r="F156" s="829" t="s">
        <v>27695</v>
      </c>
      <c r="G156" s="829" t="s">
        <v>27701</v>
      </c>
      <c r="H156" s="745" t="s">
        <v>420</v>
      </c>
      <c r="I156" s="2772" t="s">
        <v>27693</v>
      </c>
      <c r="J156" s="2772"/>
      <c r="K156" s="745"/>
      <c r="L156" s="745"/>
      <c r="M156" s="745"/>
      <c r="N156" s="745"/>
      <c r="O156" s="2772" t="s">
        <v>27693</v>
      </c>
      <c r="P156" s="2772"/>
      <c r="Q156" s="113"/>
      <c r="R156" s="2777" t="s">
        <v>28872</v>
      </c>
      <c r="S156" s="2778"/>
      <c r="T156" s="1263" t="s">
        <v>28873</v>
      </c>
    </row>
    <row r="157" spans="5:24" ht="25.5" x14ac:dyDescent="0.2">
      <c r="E157" s="818">
        <f>IF(F182+F183&gt;0,0,IF(AND(H157&lt;2581,G157&lt;351),1,0))</f>
        <v>1</v>
      </c>
      <c r="F157" s="737">
        <f>IF(E157=0,1,0)</f>
        <v>0</v>
      </c>
      <c r="G157" s="737">
        <f>ROUNDUP(SUM(Liste!AD5:AD29,Liste!AD49:AD690),1)</f>
        <v>41.300000000000004</v>
      </c>
      <c r="H157" s="737">
        <f>C21</f>
        <v>1080</v>
      </c>
      <c r="I157" s="745" t="s">
        <v>27689</v>
      </c>
      <c r="J157" s="745" t="s">
        <v>27690</v>
      </c>
      <c r="K157" s="829" t="s">
        <v>27694</v>
      </c>
      <c r="L157" s="830" t="s">
        <v>27691</v>
      </c>
      <c r="M157" s="830" t="s">
        <v>27692</v>
      </c>
      <c r="N157" s="745"/>
      <c r="O157" s="745" t="s">
        <v>27689</v>
      </c>
      <c r="P157" s="745" t="s">
        <v>27690</v>
      </c>
      <c r="Q157" s="829" t="s">
        <v>27695</v>
      </c>
      <c r="R157" s="830" t="s">
        <v>27691</v>
      </c>
      <c r="S157" s="1499" t="s">
        <v>27692</v>
      </c>
      <c r="T157" s="1500" t="s">
        <v>27692</v>
      </c>
    </row>
    <row r="158" spans="5:24" ht="89.45" customHeight="1" x14ac:dyDescent="0.2">
      <c r="E158" s="835"/>
      <c r="F158" s="1693" t="s">
        <v>29468</v>
      </c>
      <c r="G158" s="829" t="s">
        <v>29642</v>
      </c>
      <c r="H158" s="745"/>
      <c r="I158" s="745">
        <v>0</v>
      </c>
      <c r="J158" s="745">
        <v>859</v>
      </c>
      <c r="K158" s="399">
        <f>IF(AND($H$157&gt;I158,$H$157&lt;I159,$E$157=1),1,0)</f>
        <v>0</v>
      </c>
      <c r="L158" s="833">
        <v>0</v>
      </c>
      <c r="M158" s="833">
        <v>0</v>
      </c>
      <c r="N158" s="745"/>
      <c r="O158" s="745">
        <v>0</v>
      </c>
      <c r="P158" s="745">
        <v>1679</v>
      </c>
      <c r="Q158" s="831">
        <f>IF(AND($H$157&gt;O158,$H$157&lt;O159,$F$157=1),"Error!",0)</f>
        <v>0</v>
      </c>
      <c r="R158" s="832"/>
      <c r="S158" s="1501"/>
      <c r="T158" s="1502"/>
      <c r="V158" s="2793" t="s">
        <v>31473</v>
      </c>
      <c r="W158" s="2794"/>
      <c r="X158" s="2795"/>
    </row>
    <row r="159" spans="5:24" x14ac:dyDescent="0.2">
      <c r="E159" s="836"/>
      <c r="F159" s="818">
        <f>F183</f>
        <v>0</v>
      </c>
      <c r="G159" s="818">
        <f>IF(F159&gt;0,(C25-1180-550)/2,(C25-1180-390)/2)</f>
        <v>-245</v>
      </c>
      <c r="H159" s="745"/>
      <c r="I159" s="745">
        <f t="shared" ref="I159:I164" si="14">J158+1</f>
        <v>860</v>
      </c>
      <c r="J159" s="745">
        <v>1159</v>
      </c>
      <c r="K159" s="745">
        <f t="shared" ref="K159:K165" si="15">IF(AND($H$157&gt;J158,$H$157&lt;I160,$E$157=1),1,0)</f>
        <v>1</v>
      </c>
      <c r="L159" s="399">
        <v>2</v>
      </c>
      <c r="M159" s="399">
        <v>0</v>
      </c>
      <c r="N159" s="745"/>
      <c r="O159" s="745">
        <f t="shared" ref="O159:O168" si="16">P158+1</f>
        <v>1680</v>
      </c>
      <c r="P159" s="745">
        <v>2039</v>
      </c>
      <c r="Q159" s="399">
        <f t="shared" ref="Q159:Q168" si="17">IF(AND($H$157&gt;P158,$H$157&lt;O160,$F$157=1),1,0)</f>
        <v>0</v>
      </c>
      <c r="R159" s="833">
        <v>0</v>
      </c>
      <c r="S159" s="1503">
        <v>0</v>
      </c>
      <c r="T159" s="1504">
        <v>2</v>
      </c>
      <c r="V159" s="835"/>
      <c r="W159" s="2627"/>
      <c r="X159" s="838"/>
    </row>
    <row r="160" spans="5:24" x14ac:dyDescent="0.2">
      <c r="E160" s="836"/>
      <c r="F160" s="745"/>
      <c r="G160" s="745"/>
      <c r="H160" s="745"/>
      <c r="I160" s="745">
        <f t="shared" si="14"/>
        <v>1160</v>
      </c>
      <c r="J160" s="745">
        <v>1359</v>
      </c>
      <c r="K160" s="745">
        <f t="shared" si="15"/>
        <v>0</v>
      </c>
      <c r="L160" s="399">
        <v>0</v>
      </c>
      <c r="M160" s="399">
        <v>2</v>
      </c>
      <c r="N160" s="745"/>
      <c r="O160" s="745">
        <f t="shared" si="16"/>
        <v>2040</v>
      </c>
      <c r="P160" s="745">
        <v>2339</v>
      </c>
      <c r="Q160" s="399">
        <f t="shared" si="17"/>
        <v>0</v>
      </c>
      <c r="R160" s="833">
        <v>2</v>
      </c>
      <c r="S160" s="1503">
        <v>0</v>
      </c>
      <c r="T160" s="1504">
        <v>2</v>
      </c>
      <c r="V160" s="835">
        <f>IF(K167&gt;0,1,IF(Q170&gt;0,2,0))</f>
        <v>1</v>
      </c>
      <c r="W160" s="794" t="s">
        <v>31472</v>
      </c>
      <c r="X160" s="838"/>
    </row>
    <row r="161" spans="5:24" x14ac:dyDescent="0.2">
      <c r="E161" s="836"/>
      <c r="F161" s="745"/>
      <c r="G161" s="745"/>
      <c r="H161" s="745"/>
      <c r="I161" s="745">
        <f t="shared" si="14"/>
        <v>1360</v>
      </c>
      <c r="J161" s="745">
        <v>1559</v>
      </c>
      <c r="K161" s="745">
        <f t="shared" si="15"/>
        <v>0</v>
      </c>
      <c r="L161" s="399">
        <v>4</v>
      </c>
      <c r="M161" s="399">
        <v>0</v>
      </c>
      <c r="N161" s="745"/>
      <c r="O161" s="745">
        <f t="shared" si="16"/>
        <v>2340</v>
      </c>
      <c r="P161" s="745">
        <v>2539</v>
      </c>
      <c r="Q161" s="399">
        <f t="shared" si="17"/>
        <v>0</v>
      </c>
      <c r="R161" s="833">
        <v>0</v>
      </c>
      <c r="S161" s="1503">
        <v>2</v>
      </c>
      <c r="T161" s="1504">
        <v>2</v>
      </c>
      <c r="V161" s="835">
        <f>IF(V160=1,L168,IF(V160=2,R171,"FEHLER"))</f>
        <v>85</v>
      </c>
      <c r="W161" s="1223" t="s">
        <v>28866</v>
      </c>
      <c r="X161" s="838"/>
    </row>
    <row r="162" spans="5:24" x14ac:dyDescent="0.2">
      <c r="E162" s="836"/>
      <c r="F162" s="745"/>
      <c r="G162" s="745"/>
      <c r="H162" s="745"/>
      <c r="I162" s="745">
        <f t="shared" si="14"/>
        <v>1560</v>
      </c>
      <c r="J162" s="745">
        <v>1759</v>
      </c>
      <c r="K162" s="745">
        <f t="shared" si="15"/>
        <v>0</v>
      </c>
      <c r="L162" s="399">
        <v>2</v>
      </c>
      <c r="M162" s="399">
        <v>2</v>
      </c>
      <c r="N162" s="745"/>
      <c r="O162" s="745">
        <f t="shared" si="16"/>
        <v>2540</v>
      </c>
      <c r="P162" s="745">
        <v>2739</v>
      </c>
      <c r="Q162" s="399">
        <f t="shared" si="17"/>
        <v>0</v>
      </c>
      <c r="R162" s="833">
        <v>4</v>
      </c>
      <c r="S162" s="1503">
        <v>0</v>
      </c>
      <c r="T162" s="1504">
        <v>2</v>
      </c>
      <c r="V162" s="2629">
        <f>IF(V160=1,L169,IF(V160=2,R172,"FEHLER"))</f>
        <v>110</v>
      </c>
      <c r="W162" s="1223" t="s">
        <v>28865</v>
      </c>
      <c r="X162" s="838"/>
    </row>
    <row r="163" spans="5:24" x14ac:dyDescent="0.2">
      <c r="E163" s="836"/>
      <c r="F163" s="745"/>
      <c r="G163" s="745"/>
      <c r="H163" s="745"/>
      <c r="I163" s="745">
        <f t="shared" si="14"/>
        <v>1760</v>
      </c>
      <c r="J163" s="745">
        <v>2159</v>
      </c>
      <c r="K163" s="745">
        <f t="shared" si="15"/>
        <v>0</v>
      </c>
      <c r="L163" s="399">
        <v>0</v>
      </c>
      <c r="M163" s="399">
        <v>4</v>
      </c>
      <c r="N163" s="745"/>
      <c r="O163" s="745">
        <f t="shared" si="16"/>
        <v>2740</v>
      </c>
      <c r="P163" s="745">
        <v>3039</v>
      </c>
      <c r="Q163" s="399">
        <f t="shared" si="17"/>
        <v>0</v>
      </c>
      <c r="R163" s="833">
        <v>2</v>
      </c>
      <c r="S163" s="1503">
        <v>2</v>
      </c>
      <c r="T163" s="1504">
        <v>2</v>
      </c>
      <c r="V163" s="835">
        <f>IF(V160=1,L167,IF(V160=2,R170,0))</f>
        <v>2</v>
      </c>
      <c r="W163" s="794" t="str">
        <f>IF(V163&gt;1,"Verkrallungen","Verkrallung ")&amp;" 150mm"</f>
        <v>Verkrallungen 150mm</v>
      </c>
      <c r="X163" s="838"/>
    </row>
    <row r="164" spans="5:24" x14ac:dyDescent="0.2">
      <c r="E164" s="828"/>
      <c r="F164" s="745"/>
      <c r="G164" s="745"/>
      <c r="H164" s="745"/>
      <c r="I164" s="745">
        <f t="shared" si="14"/>
        <v>2160</v>
      </c>
      <c r="J164" s="745">
        <v>2559</v>
      </c>
      <c r="K164" s="745">
        <f t="shared" si="15"/>
        <v>0</v>
      </c>
      <c r="L164" s="399">
        <v>4</v>
      </c>
      <c r="M164" s="399">
        <v>2</v>
      </c>
      <c r="N164" s="745"/>
      <c r="O164" s="745">
        <f t="shared" si="16"/>
        <v>3040</v>
      </c>
      <c r="P164" s="745">
        <v>3339</v>
      </c>
      <c r="Q164" s="399">
        <f t="shared" si="17"/>
        <v>0</v>
      </c>
      <c r="R164" s="833">
        <v>0</v>
      </c>
      <c r="S164" s="1503">
        <v>4</v>
      </c>
      <c r="T164" s="1504">
        <v>2</v>
      </c>
      <c r="V164" s="837">
        <f>IF(V160=1,M167,IF(V160=2,S170,0))</f>
        <v>0</v>
      </c>
      <c r="W164" s="2630" t="str">
        <f>IF(V164&gt;1,"Verkrallungen","Verkrallung ")&amp;" 250mm"</f>
        <v>Verkrallung  250mm</v>
      </c>
      <c r="X164" s="841"/>
    </row>
    <row r="165" spans="5:24" x14ac:dyDescent="0.2">
      <c r="E165" s="835"/>
      <c r="F165" s="745"/>
      <c r="G165" s="745"/>
      <c r="H165" s="745"/>
      <c r="I165" s="745">
        <f>J164+1</f>
        <v>2560</v>
      </c>
      <c r="J165" s="193">
        <v>2580</v>
      </c>
      <c r="K165" s="745">
        <f t="shared" si="15"/>
        <v>0</v>
      </c>
      <c r="L165" s="193">
        <v>2</v>
      </c>
      <c r="M165" s="193">
        <v>4</v>
      </c>
      <c r="N165" s="745"/>
      <c r="O165" s="745">
        <f t="shared" si="16"/>
        <v>3340</v>
      </c>
      <c r="P165" s="745">
        <v>3539</v>
      </c>
      <c r="Q165" s="399">
        <f t="shared" si="17"/>
        <v>0</v>
      </c>
      <c r="R165" s="833">
        <v>6</v>
      </c>
      <c r="S165" s="1503">
        <v>0</v>
      </c>
      <c r="T165" s="1504">
        <v>2</v>
      </c>
    </row>
    <row r="166" spans="5:24" x14ac:dyDescent="0.2">
      <c r="E166" s="835"/>
      <c r="F166" s="745"/>
      <c r="G166" s="745"/>
      <c r="H166" s="745"/>
      <c r="I166" s="193">
        <v>2581</v>
      </c>
      <c r="J166" s="745"/>
      <c r="K166" s="745">
        <f>IF(AND($H$157&gt;J165,$E$157=1),"Error!",0)</f>
        <v>0</v>
      </c>
      <c r="L166" s="399">
        <v>0</v>
      </c>
      <c r="M166" s="399">
        <v>0</v>
      </c>
      <c r="N166" s="745"/>
      <c r="O166" s="745">
        <f t="shared" si="16"/>
        <v>3540</v>
      </c>
      <c r="P166" s="745">
        <v>3739</v>
      </c>
      <c r="Q166" s="399">
        <f t="shared" si="17"/>
        <v>0</v>
      </c>
      <c r="R166" s="833">
        <v>4</v>
      </c>
      <c r="S166" s="1503">
        <v>2</v>
      </c>
      <c r="T166" s="1504">
        <v>2</v>
      </c>
    </row>
    <row r="167" spans="5:24" x14ac:dyDescent="0.2">
      <c r="E167" s="835"/>
      <c r="F167" s="745"/>
      <c r="G167" s="745"/>
      <c r="H167" s="745"/>
      <c r="I167" s="827" t="s">
        <v>27658</v>
      </c>
      <c r="J167" s="745"/>
      <c r="K167" s="736">
        <f>SUM(K158:K166)</f>
        <v>1</v>
      </c>
      <c r="L167" s="736">
        <f>IF($K$167&gt;0,VLOOKUP(1,$K$158:$M$166,2,FALSE),0)</f>
        <v>2</v>
      </c>
      <c r="M167" s="736">
        <f>IF($K$167&gt;0,VLOOKUP(1,$K$158:$M$166,3,FALSE),0)</f>
        <v>0</v>
      </c>
      <c r="N167" s="745"/>
      <c r="O167" s="745">
        <f t="shared" si="16"/>
        <v>3740</v>
      </c>
      <c r="P167" s="745">
        <v>3939</v>
      </c>
      <c r="Q167" s="399">
        <f t="shared" si="17"/>
        <v>0</v>
      </c>
      <c r="R167" s="833">
        <v>2</v>
      </c>
      <c r="S167" s="1503">
        <v>4</v>
      </c>
      <c r="T167" s="1504">
        <v>2</v>
      </c>
    </row>
    <row r="168" spans="5:24" x14ac:dyDescent="0.2">
      <c r="E168" s="835"/>
      <c r="F168" s="745"/>
      <c r="G168" s="745"/>
      <c r="H168" s="745"/>
      <c r="I168" s="745"/>
      <c r="J168" s="745"/>
      <c r="K168" s="739" t="s">
        <v>28866</v>
      </c>
      <c r="L168" s="736">
        <v>85</v>
      </c>
      <c r="M168" s="745"/>
      <c r="N168" s="745"/>
      <c r="O168" s="745">
        <f t="shared" si="16"/>
        <v>3940</v>
      </c>
      <c r="P168" s="745">
        <v>3980</v>
      </c>
      <c r="Q168" s="2106">
        <f t="shared" si="17"/>
        <v>0</v>
      </c>
      <c r="R168" s="2107">
        <v>0</v>
      </c>
      <c r="S168" s="1505">
        <v>6</v>
      </c>
      <c r="T168" s="1506">
        <v>2</v>
      </c>
    </row>
    <row r="169" spans="5:24" x14ac:dyDescent="0.2">
      <c r="E169" s="835"/>
      <c r="F169" s="745"/>
      <c r="G169" s="745"/>
      <c r="H169" s="745"/>
      <c r="I169" s="745"/>
      <c r="J169" s="745"/>
      <c r="K169" s="739" t="s">
        <v>28865</v>
      </c>
      <c r="L169" s="736">
        <f>IF(K158&lt;&gt;1,IF(K167=1,(H157-L168-L168-390-(L167*150)-(M167*250))/(L167+M167),0),0)</f>
        <v>110</v>
      </c>
      <c r="M169" s="745"/>
      <c r="N169" s="745"/>
      <c r="O169" s="745">
        <v>3981</v>
      </c>
      <c r="P169" s="745"/>
      <c r="Q169" s="832">
        <f>IF(AND($H$157&gt;P168,$F$157=1),"Error!",0)</f>
        <v>0</v>
      </c>
    </row>
    <row r="170" spans="5:24" x14ac:dyDescent="0.2">
      <c r="E170" s="835"/>
      <c r="F170" s="745"/>
      <c r="G170" s="745"/>
      <c r="H170" s="745"/>
      <c r="I170" s="745"/>
      <c r="J170" s="745"/>
      <c r="K170" s="745"/>
      <c r="L170" s="745"/>
      <c r="M170" s="745"/>
      <c r="N170" s="745"/>
      <c r="O170" s="745"/>
      <c r="P170" s="745"/>
      <c r="Q170" s="802">
        <f>SUM(Q158:Q169)</f>
        <v>0</v>
      </c>
      <c r="R170" s="802">
        <f>IF($Q$170&gt;0,VLOOKUP(1,$Q$158:$S$169,2,FALSE),0)</f>
        <v>0</v>
      </c>
      <c r="S170" s="1507">
        <f>IF($Q$170&gt;0,VLOOKUP(1,$Q$158:$S$169,3,FALSE),0)</f>
        <v>0</v>
      </c>
      <c r="T170" s="1508">
        <f>IF($Q$170&gt;0,VLOOKUP(1,$Q$158:$T$169,4,FALSE),0)</f>
        <v>0</v>
      </c>
    </row>
    <row r="171" spans="5:24" x14ac:dyDescent="0.2">
      <c r="E171" s="835"/>
      <c r="F171" s="745"/>
      <c r="G171" s="745"/>
      <c r="H171" s="745"/>
      <c r="I171" s="745"/>
      <c r="J171" s="745"/>
      <c r="K171" s="745"/>
      <c r="L171" s="745"/>
      <c r="M171" s="745"/>
      <c r="N171" s="745"/>
      <c r="O171" s="745"/>
      <c r="P171" s="745"/>
      <c r="Q171" s="739" t="s">
        <v>28866</v>
      </c>
      <c r="R171" s="802">
        <v>85</v>
      </c>
      <c r="S171" s="399"/>
      <c r="T171" s="1077"/>
    </row>
    <row r="172" spans="5:24" ht="25.5" x14ac:dyDescent="0.2">
      <c r="E172" s="835"/>
      <c r="F172" s="745"/>
      <c r="G172" s="745"/>
      <c r="H172" s="830" t="s">
        <v>27700</v>
      </c>
      <c r="I172" s="830" t="s">
        <v>27691</v>
      </c>
      <c r="J172" s="830" t="s">
        <v>27692</v>
      </c>
      <c r="K172" s="745"/>
      <c r="L172" s="745"/>
      <c r="M172" s="745"/>
      <c r="N172" s="745"/>
      <c r="O172" s="745"/>
      <c r="P172" s="745"/>
      <c r="Q172" s="739" t="s">
        <v>28865</v>
      </c>
      <c r="R172" s="2628">
        <f>ROUND(IF(Q158&lt;&gt;1,IF(Q170=1,(H157-R171-R171-1570-(R170*150)-(S170*250))/(R170+S170),0),0),2)</f>
        <v>0</v>
      </c>
      <c r="S172" s="399"/>
      <c r="T172" s="1077"/>
    </row>
    <row r="173" spans="5:24" x14ac:dyDescent="0.2">
      <c r="E173" s="835"/>
      <c r="F173" s="745"/>
      <c r="G173" s="745"/>
      <c r="H173" s="745"/>
      <c r="I173" s="737">
        <f>L167+R170</f>
        <v>2</v>
      </c>
      <c r="J173" s="737">
        <f>M167+S170+T170</f>
        <v>0</v>
      </c>
      <c r="K173" s="745"/>
      <c r="L173" s="745"/>
      <c r="M173" s="745"/>
      <c r="N173" s="745"/>
      <c r="O173" s="745"/>
      <c r="P173" s="745"/>
      <c r="Q173" s="745"/>
      <c r="R173" s="745"/>
      <c r="S173" s="745"/>
      <c r="T173" s="838"/>
    </row>
    <row r="174" spans="5:24" x14ac:dyDescent="0.2">
      <c r="E174" s="837"/>
      <c r="F174" s="834"/>
      <c r="G174" s="834"/>
      <c r="H174" s="834"/>
      <c r="I174" s="834"/>
      <c r="J174" s="834"/>
      <c r="K174" s="834"/>
      <c r="L174" s="834"/>
      <c r="M174" s="834"/>
      <c r="N174" s="834"/>
      <c r="O174" s="834"/>
      <c r="P174" s="834"/>
      <c r="Q174" s="834"/>
      <c r="R174" s="834"/>
      <c r="S174" s="834"/>
      <c r="T174" s="841"/>
    </row>
    <row r="175" spans="5:24" x14ac:dyDescent="0.2">
      <c r="Q175" s="193"/>
      <c r="R175" s="193"/>
    </row>
    <row r="176" spans="5:24" x14ac:dyDescent="0.2">
      <c r="Q176" s="193"/>
      <c r="R176" s="193"/>
    </row>
    <row r="177" spans="3:18" ht="25.5" customHeight="1" x14ac:dyDescent="0.2">
      <c r="E177" s="2775" t="s">
        <v>27703</v>
      </c>
      <c r="F177" s="2776"/>
      <c r="P177" s="2751" t="s">
        <v>27850</v>
      </c>
      <c r="Q177" s="2752"/>
      <c r="R177" s="2752"/>
    </row>
    <row r="178" spans="3:18" x14ac:dyDescent="0.2">
      <c r="E178" s="835"/>
      <c r="F178" s="838"/>
      <c r="P178" s="736">
        <f>Liste!D203</f>
        <v>1</v>
      </c>
      <c r="Q178" s="950" t="str">
        <f>Liste!C203</f>
        <v>0308415</v>
      </c>
      <c r="R178" s="951" t="str">
        <f>Liste!B203</f>
        <v>Antrieb 180W 2 Gurt 35 rechts GCC vertikal</v>
      </c>
    </row>
    <row r="179" spans="3:18" x14ac:dyDescent="0.2">
      <c r="E179" s="836" t="s">
        <v>27704</v>
      </c>
      <c r="F179" s="839" t="s">
        <v>27659</v>
      </c>
      <c r="P179" s="736">
        <f>Liste!D204</f>
        <v>0</v>
      </c>
      <c r="Q179" s="950" t="str">
        <f>Liste!C204</f>
        <v>0338415</v>
      </c>
      <c r="R179" s="951" t="str">
        <f>Liste!B204</f>
        <v>Antrieb 180W 2 Gurt 35 rechts GCC vertikal V2A</v>
      </c>
    </row>
    <row r="180" spans="3:18" x14ac:dyDescent="0.2">
      <c r="C180" s="193">
        <v>36.6</v>
      </c>
      <c r="D180" s="2278">
        <v>47</v>
      </c>
      <c r="E180" s="836" t="s">
        <v>27705</v>
      </c>
      <c r="F180" s="838">
        <f>IF($AA$92&lt;=47,1,0)</f>
        <v>1</v>
      </c>
      <c r="P180" s="736">
        <f>Liste!D205</f>
        <v>0</v>
      </c>
      <c r="Q180" s="950" t="str">
        <f>Liste!C205</f>
        <v>0308416</v>
      </c>
      <c r="R180" s="951" t="str">
        <f>Liste!B205</f>
        <v>Antrieb 180W 2 Gurt 35 links GCC vertikal</v>
      </c>
    </row>
    <row r="181" spans="3:18" x14ac:dyDescent="0.2">
      <c r="C181" s="193">
        <v>30.5</v>
      </c>
      <c r="D181" s="2278">
        <v>235</v>
      </c>
      <c r="E181" s="836" t="s">
        <v>27706</v>
      </c>
      <c r="F181" s="1077">
        <f>IF(AND($AA$92&gt;47,$AA$92&lt;=235),1,0)</f>
        <v>0</v>
      </c>
      <c r="P181" s="736">
        <f>Liste!D206</f>
        <v>0</v>
      </c>
      <c r="Q181" s="950" t="str">
        <f>Liste!C206</f>
        <v>0338416</v>
      </c>
      <c r="R181" s="951" t="str">
        <f>Liste!B206</f>
        <v>Antrieb 180W 2 Gurt 35 links GCC vertikal V2A</v>
      </c>
    </row>
    <row r="182" spans="3:18" x14ac:dyDescent="0.2">
      <c r="C182" s="193">
        <v>30.5</v>
      </c>
      <c r="D182" s="2278">
        <v>470</v>
      </c>
      <c r="E182" s="836" t="s">
        <v>27707</v>
      </c>
      <c r="F182" s="838">
        <f>IF(AND($AA$92&gt;235,$AA$92&lt;=470),1,0)</f>
        <v>0</v>
      </c>
      <c r="H182" s="740"/>
      <c r="P182" s="736">
        <f>Liste!D207</f>
        <v>0</v>
      </c>
      <c r="Q182" s="950" t="str">
        <f>Liste!C207</f>
        <v>0308418</v>
      </c>
      <c r="R182" s="951" t="str">
        <f>Liste!B207</f>
        <v>Antrieb 180W 1 Gurt 35 rechts GCC vertikal</v>
      </c>
    </row>
    <row r="183" spans="3:18" x14ac:dyDescent="0.2">
      <c r="C183" s="193">
        <v>30.5</v>
      </c>
      <c r="D183" s="2278">
        <f>470*2</f>
        <v>940</v>
      </c>
      <c r="E183" s="836" t="s">
        <v>29469</v>
      </c>
      <c r="F183" s="838">
        <f>IF($AA$92&gt;470,1,0)</f>
        <v>0</v>
      </c>
      <c r="H183" s="2264"/>
      <c r="I183" s="2265"/>
      <c r="P183" s="736">
        <f>Liste!D208</f>
        <v>0</v>
      </c>
      <c r="Q183" s="950" t="str">
        <f>Liste!C208</f>
        <v>0338418</v>
      </c>
      <c r="R183" s="951" t="str">
        <f>Liste!B208</f>
        <v>Antrieb 180W 1 Gurt 35 rechts GCC vertikal V2A</v>
      </c>
    </row>
    <row r="184" spans="3:18" x14ac:dyDescent="0.2">
      <c r="E184" s="836" t="s">
        <v>27708</v>
      </c>
      <c r="F184" s="838">
        <f>IF(Dateneingabe!F42&lt;&gt;Dateneingabe!H100,1,0)</f>
        <v>1</v>
      </c>
      <c r="P184" s="736">
        <f>Liste!D209</f>
        <v>0</v>
      </c>
      <c r="Q184" s="950" t="str">
        <f>Liste!C209</f>
        <v>0308419</v>
      </c>
      <c r="R184" s="951" t="str">
        <f>Liste!B209</f>
        <v>Antrieb 180W 1 Gurt 35 links GCC vertikal</v>
      </c>
    </row>
    <row r="185" spans="3:18" x14ac:dyDescent="0.2">
      <c r="E185" s="836" t="s">
        <v>464</v>
      </c>
      <c r="F185" s="838">
        <f>IF(Dateneingabe!F42=Dateneingabe!H100,1,0)</f>
        <v>0</v>
      </c>
      <c r="P185" s="736">
        <f>Liste!D210</f>
        <v>0</v>
      </c>
      <c r="Q185" s="950" t="str">
        <f>Liste!C210</f>
        <v>0338419</v>
      </c>
      <c r="R185" s="951" t="str">
        <f>Liste!B210</f>
        <v>Antrieb 180W 1 Gurt 35 links GCC vertikal V2A</v>
      </c>
    </row>
    <row r="186" spans="3:18" x14ac:dyDescent="0.2">
      <c r="E186" s="836" t="s">
        <v>27709</v>
      </c>
      <c r="F186" s="838">
        <f>F157</f>
        <v>0</v>
      </c>
      <c r="P186" s="736">
        <f>Liste!D211</f>
        <v>0</v>
      </c>
      <c r="Q186" s="950" t="str">
        <f>Liste!C211</f>
        <v>0308448</v>
      </c>
      <c r="R186" s="951" t="str">
        <f>Liste!B211</f>
        <v>Antrieb 750W 2 Gurt 35 rechts GCC vertikal</v>
      </c>
    </row>
    <row r="187" spans="3:18" x14ac:dyDescent="0.2">
      <c r="E187" s="836" t="s">
        <v>27710</v>
      </c>
      <c r="F187" s="838">
        <f>E157</f>
        <v>1</v>
      </c>
      <c r="P187" s="736">
        <f>Liste!D212</f>
        <v>0</v>
      </c>
      <c r="Q187" s="950" t="str">
        <f>Liste!C212</f>
        <v>0338448</v>
      </c>
      <c r="R187" s="951" t="str">
        <f>Liste!B212</f>
        <v>Antrieb 750W 2 Gurt 35 rechts GCC vertikal V2A</v>
      </c>
    </row>
    <row r="188" spans="3:18" x14ac:dyDescent="0.2">
      <c r="E188" s="836" t="s">
        <v>27711</v>
      </c>
      <c r="F188" s="838">
        <f>IF(Dateneingabe!$F$56=Dateneingabe!$H$122,1,0)</f>
        <v>0</v>
      </c>
      <c r="P188" s="736">
        <f>Liste!D213</f>
        <v>0</v>
      </c>
      <c r="Q188" s="950" t="str">
        <f>Liste!C213</f>
        <v>0308449</v>
      </c>
      <c r="R188" s="951" t="str">
        <f>Liste!B213</f>
        <v>Antrieb 750W 2 Gurt 35 links GCC vertikal</v>
      </c>
    </row>
    <row r="189" spans="3:18" x14ac:dyDescent="0.2">
      <c r="E189" s="836" t="s">
        <v>27712</v>
      </c>
      <c r="F189" s="838">
        <f>IF(Dateneingabe!$F$56=Dateneingabe!$H$123,1,0)</f>
        <v>1</v>
      </c>
      <c r="P189" s="736">
        <f>Liste!D214</f>
        <v>0</v>
      </c>
      <c r="Q189" s="950" t="str">
        <f>Liste!C214</f>
        <v>0338449</v>
      </c>
      <c r="R189" s="951" t="str">
        <f>Liste!B214</f>
        <v>Antrieb 750W 2 Gurt 35 links GCC vertikal V2A</v>
      </c>
    </row>
    <row r="190" spans="3:18" x14ac:dyDescent="0.2">
      <c r="E190" s="836" t="s">
        <v>27713</v>
      </c>
      <c r="F190" s="838">
        <v>0</v>
      </c>
      <c r="P190" s="736">
        <f>Liste!D215</f>
        <v>0</v>
      </c>
      <c r="Q190" s="950" t="str">
        <f>Liste!C215</f>
        <v>0308450</v>
      </c>
      <c r="R190" s="951" t="str">
        <f>Liste!B215</f>
        <v>Antrieb 750W 1 Gurt 35 rechts GCC vertikal</v>
      </c>
    </row>
    <row r="191" spans="3:18" x14ac:dyDescent="0.2">
      <c r="E191" s="840" t="s">
        <v>27714</v>
      </c>
      <c r="F191" s="841">
        <f>IF(F190=0,1,0)</f>
        <v>1</v>
      </c>
      <c r="P191" s="736">
        <f>Liste!D216</f>
        <v>0</v>
      </c>
      <c r="Q191" s="950" t="str">
        <f>Liste!C216</f>
        <v>0338450</v>
      </c>
      <c r="R191" s="951" t="str">
        <f>Liste!B216</f>
        <v>Antrieb 750W 1 Gurt 35 rechts GCC vertikal V2A</v>
      </c>
    </row>
    <row r="192" spans="3:18" x14ac:dyDescent="0.2">
      <c r="P192" s="736">
        <f>Liste!D217</f>
        <v>0</v>
      </c>
      <c r="Q192" s="950" t="str">
        <f>Liste!C217</f>
        <v>0308451</v>
      </c>
      <c r="R192" s="951" t="str">
        <f>Liste!B217</f>
        <v>Antrieb 750W 1 Gurt 35 links GCC vertikal</v>
      </c>
    </row>
    <row r="193" spans="2:36" x14ac:dyDescent="0.2">
      <c r="E193" s="2773" t="s">
        <v>27719</v>
      </c>
      <c r="F193" s="2774"/>
      <c r="G193" s="1679"/>
      <c r="H193" s="1"/>
      <c r="I193" s="1"/>
      <c r="J193" s="116"/>
      <c r="K193" s="1"/>
      <c r="L193" s="1"/>
      <c r="P193" s="736">
        <f>Liste!D218</f>
        <v>0</v>
      </c>
      <c r="Q193" s="950" t="str">
        <f>Liste!C218</f>
        <v>0338451</v>
      </c>
      <c r="R193" s="951" t="str">
        <f>Liste!B218</f>
        <v>Antrieb 750W 1 Gurt 35 links GCC vertikal V2A</v>
      </c>
    </row>
    <row r="194" spans="2:36" x14ac:dyDescent="0.2">
      <c r="E194" s="819"/>
      <c r="F194" s="2749" t="s">
        <v>27720</v>
      </c>
      <c r="G194" s="2750"/>
      <c r="H194" s="820"/>
      <c r="I194" s="820"/>
      <c r="J194" s="842"/>
      <c r="K194" s="842"/>
      <c r="L194" s="820"/>
      <c r="M194" s="820"/>
      <c r="N194" s="821"/>
      <c r="P194" s="736">
        <f>Liste!D219</f>
        <v>0</v>
      </c>
      <c r="Q194" s="950" t="str">
        <f>Liste!C219</f>
        <v>0308252</v>
      </c>
      <c r="R194" s="951" t="str">
        <f>Liste!B219</f>
        <v>GCC vertikal Antriebssystem 1500W Motor rechts verzinkt</v>
      </c>
    </row>
    <row r="195" spans="2:36" x14ac:dyDescent="0.2">
      <c r="E195" s="822" t="s">
        <v>27723</v>
      </c>
      <c r="F195" s="10" t="s">
        <v>27689</v>
      </c>
      <c r="G195" s="10" t="s">
        <v>27690</v>
      </c>
      <c r="H195" s="843" t="s">
        <v>27721</v>
      </c>
      <c r="I195" s="10" t="s">
        <v>27715</v>
      </c>
      <c r="J195" s="843" t="s">
        <v>27722</v>
      </c>
      <c r="K195" s="843" t="s">
        <v>27716</v>
      </c>
      <c r="L195" s="10" t="s">
        <v>27717</v>
      </c>
      <c r="M195" s="10" t="s">
        <v>27724</v>
      </c>
      <c r="N195" s="823" t="s">
        <v>27718</v>
      </c>
      <c r="P195" s="736">
        <f>Liste!D220</f>
        <v>0</v>
      </c>
      <c r="Q195" s="950" t="str">
        <f>Liste!C220</f>
        <v>0338252</v>
      </c>
      <c r="R195" s="951" t="str">
        <f>Liste!B220</f>
        <v>GCC vertikal Antriebssystem 1500W Motor rechts V2A</v>
      </c>
    </row>
    <row r="196" spans="2:36" x14ac:dyDescent="0.2">
      <c r="B196" s="190" t="s">
        <v>28332</v>
      </c>
      <c r="C196" s="736">
        <f>D10*D15</f>
        <v>1</v>
      </c>
      <c r="E196" s="817">
        <f t="shared" ref="E196:E230" si="18">$C$49</f>
        <v>1100</v>
      </c>
      <c r="F196" s="817">
        <v>500</v>
      </c>
      <c r="G196" s="817">
        <v>600</v>
      </c>
      <c r="H196" s="817">
        <f>IF(AND(E196&gt;=F196,E196&lt;F197),1,0)</f>
        <v>0</v>
      </c>
      <c r="I196" s="817">
        <v>1</v>
      </c>
      <c r="J196" s="760">
        <v>0</v>
      </c>
      <c r="K196" s="760">
        <v>0</v>
      </c>
      <c r="L196" s="817">
        <f t="shared" ref="L196:L229" si="19">H196*I196</f>
        <v>0</v>
      </c>
      <c r="M196" s="817">
        <f>H196*J196</f>
        <v>0</v>
      </c>
      <c r="N196" s="817">
        <f t="shared" ref="N196:N230" si="20">H196*K196</f>
        <v>0</v>
      </c>
      <c r="P196" s="736">
        <f>Liste!D221</f>
        <v>0</v>
      </c>
      <c r="Q196" s="950" t="str">
        <f>Liste!C221</f>
        <v>0308253</v>
      </c>
      <c r="R196" s="951" t="str">
        <f>Liste!B221</f>
        <v>GCC vertikal Antriebssystem 1500W Motor links verzinkt</v>
      </c>
    </row>
    <row r="197" spans="2:36" x14ac:dyDescent="0.2">
      <c r="B197" s="190" t="s">
        <v>28331</v>
      </c>
      <c r="C197" s="736">
        <f>IF(D10=0,E9*D15,0)</f>
        <v>0</v>
      </c>
      <c r="E197" s="817">
        <f t="shared" si="18"/>
        <v>1100</v>
      </c>
      <c r="F197" s="817">
        <f>G196+1</f>
        <v>601</v>
      </c>
      <c r="G197" s="817">
        <v>700</v>
      </c>
      <c r="H197" s="817">
        <f>IF(AND(E197&gt;=F197,E197&lt;F198),1,0)</f>
        <v>0</v>
      </c>
      <c r="I197" s="817">
        <v>0</v>
      </c>
      <c r="J197" s="760">
        <v>0</v>
      </c>
      <c r="K197" s="760">
        <v>2</v>
      </c>
      <c r="L197" s="817">
        <f>H197*I197</f>
        <v>0</v>
      </c>
      <c r="M197" s="817">
        <f t="shared" ref="M197:M230" si="21">H197*J197</f>
        <v>0</v>
      </c>
      <c r="N197" s="817">
        <f t="shared" si="20"/>
        <v>0</v>
      </c>
      <c r="P197" s="736">
        <f>Liste!D222</f>
        <v>0</v>
      </c>
      <c r="Q197" s="950" t="str">
        <f>Liste!C222</f>
        <v>0338253</v>
      </c>
      <c r="R197" s="951" t="str">
        <f>Liste!B222</f>
        <v>GCC vertikal Antriebssystem 1500W Motor links V2A</v>
      </c>
    </row>
    <row r="198" spans="2:36" x14ac:dyDescent="0.2">
      <c r="B198" s="190" t="s">
        <v>553</v>
      </c>
      <c r="C198" s="736">
        <f>D46</f>
        <v>1</v>
      </c>
      <c r="E198" s="817">
        <f t="shared" si="18"/>
        <v>1100</v>
      </c>
      <c r="F198" s="817">
        <f t="shared" ref="F198:F230" si="22">G197+1</f>
        <v>701</v>
      </c>
      <c r="G198" s="817">
        <v>800</v>
      </c>
      <c r="H198" s="817">
        <f t="shared" ref="H198:H228" si="23">IF(AND(E198&gt;=F198,E198&lt;F199),1,0)</f>
        <v>0</v>
      </c>
      <c r="I198" s="817">
        <v>0</v>
      </c>
      <c r="J198" s="760">
        <v>1</v>
      </c>
      <c r="K198" s="760">
        <v>1</v>
      </c>
      <c r="L198" s="817">
        <f t="shared" si="19"/>
        <v>0</v>
      </c>
      <c r="M198" s="817">
        <f t="shared" si="21"/>
        <v>0</v>
      </c>
      <c r="N198" s="817">
        <f t="shared" si="20"/>
        <v>0</v>
      </c>
      <c r="P198" s="736">
        <f>Liste!D223</f>
        <v>0</v>
      </c>
      <c r="Q198" s="950" t="str">
        <f>Liste!C223</f>
        <v>0308379</v>
      </c>
      <c r="R198" s="951" t="str">
        <f>Liste!B223</f>
        <v>GCC vertikal Antriebssystem 2x 1500W Motor verzinkt (0308379)</v>
      </c>
    </row>
    <row r="199" spans="2:36" x14ac:dyDescent="0.2">
      <c r="B199" s="190" t="s">
        <v>464</v>
      </c>
      <c r="C199" s="736">
        <f>E46</f>
        <v>0</v>
      </c>
      <c r="E199" s="817">
        <f t="shared" si="18"/>
        <v>1100</v>
      </c>
      <c r="F199" s="817">
        <f t="shared" si="22"/>
        <v>801</v>
      </c>
      <c r="G199" s="817">
        <v>900</v>
      </c>
      <c r="H199" s="817">
        <f t="shared" si="23"/>
        <v>0</v>
      </c>
      <c r="I199" s="817"/>
      <c r="J199" s="760">
        <v>2</v>
      </c>
      <c r="K199" s="760"/>
      <c r="L199" s="817">
        <f t="shared" si="19"/>
        <v>0</v>
      </c>
      <c r="M199" s="817">
        <f t="shared" si="21"/>
        <v>0</v>
      </c>
      <c r="N199" s="817">
        <f t="shared" si="20"/>
        <v>0</v>
      </c>
      <c r="P199" s="736">
        <f>Liste!D224</f>
        <v>0</v>
      </c>
      <c r="Q199" s="950" t="str">
        <f>Liste!C224</f>
        <v>Bauteil nicht vorhanden</v>
      </c>
      <c r="R199" s="951" t="str">
        <f>Liste!B224</f>
        <v>GCC vertikal Antriebssystem 2x 1500W Motor V2A (0338379)</v>
      </c>
    </row>
    <row r="200" spans="2:36" x14ac:dyDescent="0.2">
      <c r="B200" s="190" t="s">
        <v>28333</v>
      </c>
      <c r="C200" s="736">
        <f>F13</f>
        <v>1</v>
      </c>
      <c r="E200" s="817">
        <f t="shared" si="18"/>
        <v>1100</v>
      </c>
      <c r="F200" s="817">
        <f t="shared" si="22"/>
        <v>901</v>
      </c>
      <c r="G200" s="817">
        <v>1000</v>
      </c>
      <c r="H200" s="817">
        <f t="shared" si="23"/>
        <v>0</v>
      </c>
      <c r="I200" s="844">
        <v>1</v>
      </c>
      <c r="J200" s="845">
        <v>1</v>
      </c>
      <c r="K200" s="845">
        <v>0</v>
      </c>
      <c r="L200" s="817">
        <f t="shared" si="19"/>
        <v>0</v>
      </c>
      <c r="M200" s="817">
        <f t="shared" si="21"/>
        <v>0</v>
      </c>
      <c r="N200" s="817">
        <f t="shared" si="20"/>
        <v>0</v>
      </c>
      <c r="P200" s="739" t="s">
        <v>27851</v>
      </c>
      <c r="Q200" s="736"/>
      <c r="R200" s="736"/>
    </row>
    <row r="201" spans="2:36" x14ac:dyDescent="0.2">
      <c r="B201" s="190" t="s">
        <v>28334</v>
      </c>
      <c r="C201" s="736">
        <f>G13</f>
        <v>0</v>
      </c>
      <c r="E201" s="817">
        <f t="shared" si="18"/>
        <v>1100</v>
      </c>
      <c r="F201" s="817">
        <f t="shared" si="22"/>
        <v>1001</v>
      </c>
      <c r="G201" s="817">
        <v>1100</v>
      </c>
      <c r="H201" s="817">
        <f t="shared" si="23"/>
        <v>1</v>
      </c>
      <c r="I201" s="844">
        <v>2</v>
      </c>
      <c r="J201" s="845">
        <v>0</v>
      </c>
      <c r="K201" s="845">
        <v>0</v>
      </c>
      <c r="L201" s="817">
        <f t="shared" si="19"/>
        <v>2</v>
      </c>
      <c r="M201" s="817">
        <f t="shared" si="21"/>
        <v>0</v>
      </c>
      <c r="N201" s="817">
        <f t="shared" si="20"/>
        <v>0</v>
      </c>
      <c r="P201" s="739" t="s">
        <v>27852</v>
      </c>
      <c r="Q201" s="743" t="str">
        <f>VLOOKUP(1,$P$178:$R$212,2,FALSE)</f>
        <v>0308415</v>
      </c>
      <c r="R201" s="743" t="str">
        <f>VLOOKUP(1,$P$178:$R$212,3,FALSE)</f>
        <v>Antrieb 180W 2 Gurt 35 rechts GCC vertikal</v>
      </c>
    </row>
    <row r="202" spans="2:36" x14ac:dyDescent="0.2">
      <c r="E202" s="817">
        <f t="shared" si="18"/>
        <v>1100</v>
      </c>
      <c r="F202" s="817">
        <f t="shared" si="22"/>
        <v>1101</v>
      </c>
      <c r="G202" s="817">
        <v>1200</v>
      </c>
      <c r="H202" s="817">
        <f t="shared" si="23"/>
        <v>0</v>
      </c>
      <c r="I202" s="844"/>
      <c r="J202" s="845">
        <v>1</v>
      </c>
      <c r="K202" s="845">
        <v>2</v>
      </c>
      <c r="L202" s="817">
        <f t="shared" si="19"/>
        <v>0</v>
      </c>
      <c r="M202" s="817">
        <f t="shared" si="21"/>
        <v>0</v>
      </c>
      <c r="N202" s="817">
        <f t="shared" si="20"/>
        <v>0</v>
      </c>
    </row>
    <row r="203" spans="2:36" x14ac:dyDescent="0.2">
      <c r="E203" s="817">
        <f t="shared" si="18"/>
        <v>1100</v>
      </c>
      <c r="F203" s="817">
        <f t="shared" si="22"/>
        <v>1201</v>
      </c>
      <c r="G203" s="817">
        <v>1300</v>
      </c>
      <c r="H203" s="817">
        <f t="shared" si="23"/>
        <v>0</v>
      </c>
      <c r="I203" s="844"/>
      <c r="J203" s="845">
        <v>2</v>
      </c>
      <c r="K203" s="845">
        <v>1</v>
      </c>
      <c r="L203" s="817">
        <f t="shared" si="19"/>
        <v>0</v>
      </c>
      <c r="M203" s="817">
        <f t="shared" si="21"/>
        <v>0</v>
      </c>
      <c r="N203" s="817">
        <f t="shared" si="20"/>
        <v>0</v>
      </c>
    </row>
    <row r="204" spans="2:36" x14ac:dyDescent="0.2">
      <c r="E204" s="817">
        <f t="shared" si="18"/>
        <v>1100</v>
      </c>
      <c r="F204" s="817">
        <f t="shared" si="22"/>
        <v>1301</v>
      </c>
      <c r="G204" s="817">
        <v>1400</v>
      </c>
      <c r="H204" s="817">
        <f t="shared" si="23"/>
        <v>0</v>
      </c>
      <c r="I204" s="844"/>
      <c r="J204" s="845">
        <v>3</v>
      </c>
      <c r="K204" s="845"/>
      <c r="L204" s="817">
        <f t="shared" si="19"/>
        <v>0</v>
      </c>
      <c r="M204" s="817">
        <f t="shared" si="21"/>
        <v>0</v>
      </c>
      <c r="N204" s="817">
        <f t="shared" si="20"/>
        <v>0</v>
      </c>
    </row>
    <row r="205" spans="2:36" x14ac:dyDescent="0.2">
      <c r="E205" s="817">
        <f t="shared" si="18"/>
        <v>1100</v>
      </c>
      <c r="F205" s="817">
        <f>G204+1</f>
        <v>1401</v>
      </c>
      <c r="G205" s="817">
        <v>1500</v>
      </c>
      <c r="H205" s="817">
        <f t="shared" si="23"/>
        <v>0</v>
      </c>
      <c r="I205" s="844">
        <v>2</v>
      </c>
      <c r="J205" s="845"/>
      <c r="K205" s="845">
        <v>1</v>
      </c>
      <c r="L205" s="817">
        <f t="shared" si="19"/>
        <v>0</v>
      </c>
      <c r="M205" s="817">
        <f t="shared" si="21"/>
        <v>0</v>
      </c>
      <c r="N205" s="817">
        <f t="shared" si="20"/>
        <v>0</v>
      </c>
    </row>
    <row r="206" spans="2:36" x14ac:dyDescent="0.2">
      <c r="E206" s="817">
        <f t="shared" si="18"/>
        <v>1100</v>
      </c>
      <c r="F206" s="817">
        <f t="shared" si="22"/>
        <v>1501</v>
      </c>
      <c r="G206" s="817">
        <v>1600</v>
      </c>
      <c r="H206" s="817">
        <f t="shared" si="23"/>
        <v>0</v>
      </c>
      <c r="I206" s="844">
        <v>2</v>
      </c>
      <c r="J206" s="845">
        <v>1</v>
      </c>
      <c r="K206" s="845"/>
      <c r="L206" s="817">
        <f t="shared" si="19"/>
        <v>0</v>
      </c>
      <c r="M206" s="817">
        <f t="shared" si="21"/>
        <v>0</v>
      </c>
      <c r="N206" s="817">
        <f t="shared" si="20"/>
        <v>0</v>
      </c>
    </row>
    <row r="207" spans="2:36" x14ac:dyDescent="0.2">
      <c r="E207" s="817">
        <f t="shared" si="18"/>
        <v>1100</v>
      </c>
      <c r="F207" s="817">
        <f t="shared" si="22"/>
        <v>1601</v>
      </c>
      <c r="G207" s="817">
        <v>1700</v>
      </c>
      <c r="H207" s="817">
        <f t="shared" si="23"/>
        <v>0</v>
      </c>
      <c r="I207" s="844">
        <v>3</v>
      </c>
      <c r="J207" s="845"/>
      <c r="K207" s="845"/>
      <c r="L207" s="817">
        <f t="shared" si="19"/>
        <v>0</v>
      </c>
      <c r="M207" s="817">
        <f t="shared" si="21"/>
        <v>0</v>
      </c>
      <c r="N207" s="817">
        <f t="shared" si="20"/>
        <v>0</v>
      </c>
    </row>
    <row r="208" spans="2:36" ht="15.75" x14ac:dyDescent="0.2">
      <c r="E208" s="817">
        <f t="shared" si="18"/>
        <v>1100</v>
      </c>
      <c r="F208" s="817">
        <f t="shared" si="22"/>
        <v>1701</v>
      </c>
      <c r="G208" s="817">
        <v>1800</v>
      </c>
      <c r="H208" s="817">
        <f t="shared" si="23"/>
        <v>0</v>
      </c>
      <c r="I208" s="844"/>
      <c r="J208" s="845">
        <v>3</v>
      </c>
      <c r="K208" s="845">
        <v>1</v>
      </c>
      <c r="L208" s="817">
        <f t="shared" si="19"/>
        <v>0</v>
      </c>
      <c r="M208" s="817">
        <f t="shared" si="21"/>
        <v>0</v>
      </c>
      <c r="N208" s="817">
        <f t="shared" si="20"/>
        <v>0</v>
      </c>
      <c r="R208" s="2779" t="s">
        <v>30295</v>
      </c>
      <c r="S208" s="2780"/>
      <c r="T208" s="2780"/>
      <c r="U208" s="2780"/>
      <c r="V208" s="2780"/>
      <c r="W208" s="2780"/>
      <c r="X208" s="2780"/>
      <c r="Y208" s="2780"/>
      <c r="Z208" s="2780"/>
      <c r="AA208" s="2780"/>
      <c r="AB208" s="2780"/>
      <c r="AC208" s="2780"/>
      <c r="AD208" s="2780"/>
      <c r="AE208" s="2780"/>
      <c r="AF208" s="2780"/>
      <c r="AG208" s="2780"/>
      <c r="AH208" s="2780"/>
      <c r="AI208" s="2780"/>
      <c r="AJ208" s="2781"/>
    </row>
    <row r="209" spans="5:36" ht="15" x14ac:dyDescent="0.2">
      <c r="E209" s="817">
        <f t="shared" si="18"/>
        <v>1100</v>
      </c>
      <c r="F209" s="817">
        <f t="shared" si="22"/>
        <v>1801</v>
      </c>
      <c r="G209" s="817">
        <v>1900</v>
      </c>
      <c r="H209" s="817">
        <f t="shared" si="23"/>
        <v>0</v>
      </c>
      <c r="I209" s="844"/>
      <c r="J209" s="845">
        <v>4</v>
      </c>
      <c r="K209" s="845"/>
      <c r="L209" s="817">
        <f t="shared" si="19"/>
        <v>0</v>
      </c>
      <c r="M209" s="817">
        <f t="shared" si="21"/>
        <v>0</v>
      </c>
      <c r="N209" s="817">
        <f t="shared" si="20"/>
        <v>0</v>
      </c>
      <c r="R209" s="2011"/>
      <c r="S209" s="2007" t="s">
        <v>30296</v>
      </c>
      <c r="T209" s="2007" t="s">
        <v>69</v>
      </c>
      <c r="U209" s="2007" t="s">
        <v>30297</v>
      </c>
      <c r="V209" s="2782" t="s">
        <v>30587</v>
      </c>
      <c r="W209" s="2782"/>
      <c r="X209" s="2782"/>
      <c r="Y209" s="2782"/>
      <c r="Z209" s="2782"/>
      <c r="AA209" s="2782"/>
      <c r="AB209" s="2782"/>
      <c r="AC209" s="2782"/>
      <c r="AD209" s="2782"/>
      <c r="AE209" s="2782"/>
      <c r="AF209" s="2782"/>
      <c r="AG209" s="2782"/>
      <c r="AH209" s="2782"/>
      <c r="AI209" s="2782"/>
      <c r="AJ209" s="2783"/>
    </row>
    <row r="210" spans="5:36" x14ac:dyDescent="0.2">
      <c r="E210" s="817">
        <f t="shared" si="18"/>
        <v>1100</v>
      </c>
      <c r="F210" s="817">
        <f t="shared" si="22"/>
        <v>1901</v>
      </c>
      <c r="G210" s="817">
        <v>2000</v>
      </c>
      <c r="H210" s="817">
        <f t="shared" si="23"/>
        <v>0</v>
      </c>
      <c r="I210" s="844">
        <v>1</v>
      </c>
      <c r="J210" s="845">
        <v>3</v>
      </c>
      <c r="K210" s="845"/>
      <c r="L210" s="817">
        <f t="shared" si="19"/>
        <v>0</v>
      </c>
      <c r="M210" s="817">
        <f t="shared" si="21"/>
        <v>0</v>
      </c>
      <c r="N210" s="817">
        <f t="shared" si="20"/>
        <v>0</v>
      </c>
      <c r="R210" s="2012" t="s">
        <v>30298</v>
      </c>
      <c r="S210" s="1671">
        <v>1</v>
      </c>
      <c r="T210" s="1671">
        <f>VLOOKUP(1,$X$211:$AH$219,7,FALSE)</f>
        <v>550</v>
      </c>
      <c r="U210" s="1671">
        <f>IF(AI211&gt;0,VLOOKUP(1,$X$211:$AH$219,2,FALSE)*1,0)</f>
        <v>1</v>
      </c>
      <c r="V210" s="1676"/>
      <c r="W210" s="736"/>
      <c r="X210" s="2013" t="s">
        <v>27659</v>
      </c>
      <c r="Y210" s="1494">
        <f>S210</f>
        <v>1</v>
      </c>
      <c r="Z210" s="1494">
        <f>S211</f>
        <v>2</v>
      </c>
      <c r="AA210" s="1494">
        <f>S212</f>
        <v>3</v>
      </c>
      <c r="AB210" s="1494">
        <f>S213</f>
        <v>4</v>
      </c>
      <c r="AC210" s="1494">
        <f>S214</f>
        <v>5</v>
      </c>
      <c r="AD210" s="1494">
        <f>S210</f>
        <v>1</v>
      </c>
      <c r="AE210" s="1494">
        <f>S211</f>
        <v>2</v>
      </c>
      <c r="AF210" s="1494">
        <f>S212</f>
        <v>3</v>
      </c>
      <c r="AG210" s="1494">
        <f>S213</f>
        <v>4</v>
      </c>
      <c r="AH210" s="1494">
        <f>S214</f>
        <v>5</v>
      </c>
      <c r="AI210" s="772" t="s">
        <v>30203</v>
      </c>
      <c r="AJ210" s="2008" t="s">
        <v>30299</v>
      </c>
    </row>
    <row r="211" spans="5:36" x14ac:dyDescent="0.2">
      <c r="E211" s="817">
        <f t="shared" si="18"/>
        <v>1100</v>
      </c>
      <c r="F211" s="817">
        <f t="shared" si="22"/>
        <v>2001</v>
      </c>
      <c r="G211" s="817">
        <v>2100</v>
      </c>
      <c r="H211" s="817">
        <f t="shared" si="23"/>
        <v>0</v>
      </c>
      <c r="I211" s="844">
        <v>2</v>
      </c>
      <c r="J211" s="845">
        <v>2</v>
      </c>
      <c r="K211" s="845"/>
      <c r="L211" s="817">
        <f t="shared" si="19"/>
        <v>0</v>
      </c>
      <c r="M211" s="817">
        <f t="shared" si="21"/>
        <v>0</v>
      </c>
      <c r="N211" s="817">
        <f t="shared" si="20"/>
        <v>0</v>
      </c>
      <c r="R211" s="2012" t="s">
        <v>30298</v>
      </c>
      <c r="S211" s="1671">
        <v>2</v>
      </c>
      <c r="T211" s="2138">
        <f>VLOOKUP(1,$X$211:$AH$219,8,FALSE)</f>
        <v>0</v>
      </c>
      <c r="U211" s="1671">
        <f>VLOOKUP(1,$X$211:$AH$219,3,FALSE)*1</f>
        <v>0</v>
      </c>
      <c r="V211" s="2012">
        <v>0</v>
      </c>
      <c r="W211" s="1671">
        <v>1000</v>
      </c>
      <c r="X211" s="827">
        <f>IF($C$51&lt;=1000,1,0)</f>
        <v>1</v>
      </c>
      <c r="Y211" s="1671">
        <v>1</v>
      </c>
      <c r="Z211" s="2014"/>
      <c r="AA211" s="2014"/>
      <c r="AB211" s="2014"/>
      <c r="AC211" s="2014"/>
      <c r="AD211" s="2015">
        <f>$C$51</f>
        <v>550</v>
      </c>
      <c r="AE211" s="2016"/>
      <c r="AF211" s="2016"/>
      <c r="AG211" s="2016"/>
      <c r="AH211" s="2016"/>
      <c r="AI211" s="2017">
        <f t="shared" ref="AI211:AI219" si="24">IF(X211=1,SUM(AD211:AH211)," ")</f>
        <v>550</v>
      </c>
      <c r="AJ211" s="2018" t="str">
        <f t="shared" ref="AJ211:AJ217" si="25">IF(X211=1,IF($C$51=AI211,"check","failed")," ")</f>
        <v>check</v>
      </c>
    </row>
    <row r="212" spans="5:36" x14ac:dyDescent="0.2">
      <c r="E212" s="817">
        <f t="shared" si="18"/>
        <v>1100</v>
      </c>
      <c r="F212" s="817">
        <f t="shared" si="22"/>
        <v>2101</v>
      </c>
      <c r="G212" s="817">
        <v>2200</v>
      </c>
      <c r="H212" s="817">
        <f t="shared" si="23"/>
        <v>0</v>
      </c>
      <c r="I212" s="844">
        <v>3</v>
      </c>
      <c r="J212" s="845">
        <v>1</v>
      </c>
      <c r="K212" s="845"/>
      <c r="L212" s="817">
        <f t="shared" si="19"/>
        <v>0</v>
      </c>
      <c r="M212" s="817">
        <f t="shared" si="21"/>
        <v>0</v>
      </c>
      <c r="N212" s="817">
        <f t="shared" si="20"/>
        <v>0</v>
      </c>
      <c r="Q212" s="944"/>
      <c r="R212" s="2012" t="s">
        <v>30298</v>
      </c>
      <c r="S212" s="1671">
        <v>3</v>
      </c>
      <c r="T212" s="2138">
        <f>VLOOKUP(1,$X$211:$AH$219,9,FALSE)</f>
        <v>0</v>
      </c>
      <c r="U212" s="1671">
        <f>VLOOKUP(1,$X$211:$AH$219,4,FALSE)*1</f>
        <v>0</v>
      </c>
      <c r="V212" s="2012">
        <v>1001</v>
      </c>
      <c r="W212" s="1671">
        <v>1300</v>
      </c>
      <c r="X212" s="827">
        <f>IF(AND($C$51&gt;1000,$C$51&lt;=1300),1,0)</f>
        <v>0</v>
      </c>
      <c r="Y212" s="1671">
        <v>1</v>
      </c>
      <c r="Z212" s="1671">
        <v>1</v>
      </c>
      <c r="AA212" s="2014"/>
      <c r="AB212" s="2014"/>
      <c r="AC212" s="2014"/>
      <c r="AD212" s="2015">
        <v>300</v>
      </c>
      <c r="AE212" s="2015">
        <f>$C$51-AD212</f>
        <v>250</v>
      </c>
      <c r="AF212" s="2016"/>
      <c r="AG212" s="2016"/>
      <c r="AH212" s="2016"/>
      <c r="AI212" s="2017" t="str">
        <f t="shared" si="24"/>
        <v xml:space="preserve"> </v>
      </c>
      <c r="AJ212" s="2018" t="str">
        <f t="shared" si="25"/>
        <v xml:space="preserve"> </v>
      </c>
    </row>
    <row r="213" spans="5:36" x14ac:dyDescent="0.2">
      <c r="E213" s="817">
        <f t="shared" si="18"/>
        <v>1100</v>
      </c>
      <c r="F213" s="817">
        <f t="shared" si="22"/>
        <v>2201</v>
      </c>
      <c r="G213" s="817">
        <v>2300</v>
      </c>
      <c r="H213" s="817">
        <f t="shared" si="23"/>
        <v>0</v>
      </c>
      <c r="I213" s="844">
        <v>4</v>
      </c>
      <c r="J213" s="845"/>
      <c r="K213" s="845"/>
      <c r="L213" s="817">
        <f t="shared" si="19"/>
        <v>0</v>
      </c>
      <c r="M213" s="817">
        <f t="shared" si="21"/>
        <v>0</v>
      </c>
      <c r="N213" s="817">
        <f t="shared" si="20"/>
        <v>0</v>
      </c>
      <c r="R213" s="2012" t="s">
        <v>30298</v>
      </c>
      <c r="S213" s="1671">
        <v>4</v>
      </c>
      <c r="T213" s="2138">
        <f>VLOOKUP(1,$X$211:$AH$219,10,FALSE)</f>
        <v>0</v>
      </c>
      <c r="U213" s="1671">
        <f>VLOOKUP(1,$X$211:$AH$219,5,FALSE)*1</f>
        <v>0</v>
      </c>
      <c r="V213" s="2012">
        <v>1301</v>
      </c>
      <c r="W213" s="1671">
        <v>2000</v>
      </c>
      <c r="X213" s="827">
        <f>IF(AND($C$51&gt;1300,$C$51&lt;=2000),1,0)</f>
        <v>0</v>
      </c>
      <c r="Y213" s="1671">
        <v>1</v>
      </c>
      <c r="Z213" s="1671">
        <v>1</v>
      </c>
      <c r="AA213" s="2014"/>
      <c r="AB213" s="2014"/>
      <c r="AC213" s="2014"/>
      <c r="AD213" s="2015">
        <f>$C$51-AE213</f>
        <v>-450</v>
      </c>
      <c r="AE213" s="2015">
        <v>1000</v>
      </c>
      <c r="AF213" s="2016"/>
      <c r="AG213" s="2016"/>
      <c r="AH213" s="2016"/>
      <c r="AI213" s="2017" t="str">
        <f t="shared" si="24"/>
        <v xml:space="preserve"> </v>
      </c>
      <c r="AJ213" s="2018" t="str">
        <f t="shared" si="25"/>
        <v xml:space="preserve"> </v>
      </c>
    </row>
    <row r="214" spans="5:36" x14ac:dyDescent="0.2">
      <c r="E214" s="817">
        <f t="shared" si="18"/>
        <v>1100</v>
      </c>
      <c r="F214" s="817">
        <f t="shared" si="22"/>
        <v>2301</v>
      </c>
      <c r="G214" s="817">
        <v>2400</v>
      </c>
      <c r="H214" s="817">
        <f t="shared" si="23"/>
        <v>0</v>
      </c>
      <c r="I214" s="844"/>
      <c r="J214" s="845">
        <v>5</v>
      </c>
      <c r="K214" s="845"/>
      <c r="L214" s="817">
        <f t="shared" si="19"/>
        <v>0</v>
      </c>
      <c r="M214" s="817">
        <f t="shared" si="21"/>
        <v>0</v>
      </c>
      <c r="N214" s="817">
        <f t="shared" si="20"/>
        <v>0</v>
      </c>
      <c r="R214" s="2012" t="s">
        <v>30298</v>
      </c>
      <c r="S214" s="1671">
        <v>5</v>
      </c>
      <c r="T214" s="2138">
        <f>VLOOKUP(1,$X$211:$AH$219,11,FALSE)</f>
        <v>0</v>
      </c>
      <c r="U214" s="2138">
        <f>VLOOKUP(1,$X$211:$AH$219,6,FALSE)*1</f>
        <v>0</v>
      </c>
      <c r="V214" s="2012">
        <v>2001</v>
      </c>
      <c r="W214" s="1671">
        <v>2300</v>
      </c>
      <c r="X214" s="827">
        <f>IF(AND($C$51&gt;2000,$C$51&lt;=2300),1,0)</f>
        <v>0</v>
      </c>
      <c r="Y214" s="1671">
        <v>1</v>
      </c>
      <c r="Z214" s="1671">
        <v>1</v>
      </c>
      <c r="AA214" s="1671">
        <v>1</v>
      </c>
      <c r="AB214" s="2014"/>
      <c r="AC214" s="2014"/>
      <c r="AD214" s="2015">
        <v>300</v>
      </c>
      <c r="AE214" s="2015">
        <f>$C$51-AD214-AF214</f>
        <v>-750</v>
      </c>
      <c r="AF214" s="2015">
        <v>1000</v>
      </c>
      <c r="AG214" s="2016"/>
      <c r="AH214" s="2016"/>
      <c r="AI214" s="2017" t="str">
        <f t="shared" si="24"/>
        <v xml:space="preserve"> </v>
      </c>
      <c r="AJ214" s="2018" t="str">
        <f t="shared" si="25"/>
        <v xml:space="preserve"> </v>
      </c>
    </row>
    <row r="215" spans="5:36" x14ac:dyDescent="0.2">
      <c r="E215" s="817">
        <f t="shared" si="18"/>
        <v>1100</v>
      </c>
      <c r="F215" s="817">
        <f t="shared" si="22"/>
        <v>2401</v>
      </c>
      <c r="G215" s="817">
        <v>2500</v>
      </c>
      <c r="H215" s="817">
        <f t="shared" si="23"/>
        <v>0</v>
      </c>
      <c r="I215" s="844">
        <v>1</v>
      </c>
      <c r="J215" s="845">
        <v>4</v>
      </c>
      <c r="K215" s="845"/>
      <c r="L215" s="817">
        <f t="shared" si="19"/>
        <v>0</v>
      </c>
      <c r="M215" s="817">
        <f t="shared" si="21"/>
        <v>0</v>
      </c>
      <c r="N215" s="817">
        <f t="shared" si="20"/>
        <v>0</v>
      </c>
      <c r="Q215" s="944"/>
      <c r="R215" s="2012" t="s">
        <v>30298</v>
      </c>
      <c r="S215" s="1671">
        <v>6</v>
      </c>
      <c r="T215" s="1671">
        <f>VLOOKUP(1,$X$222:$AH$230,7,FALSE)</f>
        <v>900</v>
      </c>
      <c r="U215" s="1671">
        <f>IF(AI222&gt;0,VLOOKUP(1,$X$222:$AH$230,2,FALSE)*1,0)</f>
        <v>1</v>
      </c>
      <c r="V215" s="2012">
        <v>2301</v>
      </c>
      <c r="W215" s="1671">
        <v>3000</v>
      </c>
      <c r="X215" s="827">
        <f>IF(AND($C$51&gt;2300,$C$51&lt;=3000),1,0)</f>
        <v>0</v>
      </c>
      <c r="Y215" s="1671">
        <v>1</v>
      </c>
      <c r="Z215" s="1671">
        <v>1</v>
      </c>
      <c r="AA215" s="1671">
        <v>1</v>
      </c>
      <c r="AB215" s="2014"/>
      <c r="AC215" s="2014"/>
      <c r="AD215" s="2015">
        <f>$C$51-AE215-AF215</f>
        <v>-1450</v>
      </c>
      <c r="AE215" s="2015">
        <v>1000</v>
      </c>
      <c r="AF215" s="2015">
        <v>1000</v>
      </c>
      <c r="AG215" s="2016"/>
      <c r="AH215" s="2016"/>
      <c r="AI215" s="2017" t="str">
        <f t="shared" si="24"/>
        <v xml:space="preserve"> </v>
      </c>
      <c r="AJ215" s="2018" t="str">
        <f t="shared" si="25"/>
        <v xml:space="preserve"> </v>
      </c>
    </row>
    <row r="216" spans="5:36" x14ac:dyDescent="0.2">
      <c r="E216" s="817">
        <f t="shared" si="18"/>
        <v>1100</v>
      </c>
      <c r="F216" s="817">
        <f t="shared" si="22"/>
        <v>2501</v>
      </c>
      <c r="G216" s="817">
        <v>2600</v>
      </c>
      <c r="H216" s="817">
        <f t="shared" si="23"/>
        <v>0</v>
      </c>
      <c r="I216" s="844">
        <v>2</v>
      </c>
      <c r="J216" s="844">
        <v>3</v>
      </c>
      <c r="K216" s="844"/>
      <c r="L216" s="817">
        <f t="shared" si="19"/>
        <v>0</v>
      </c>
      <c r="M216" s="817">
        <f t="shared" si="21"/>
        <v>0</v>
      </c>
      <c r="N216" s="817">
        <f t="shared" si="20"/>
        <v>0</v>
      </c>
      <c r="Q216" s="944"/>
      <c r="R216" s="2012" t="s">
        <v>30298</v>
      </c>
      <c r="S216" s="1671">
        <v>7</v>
      </c>
      <c r="T216" s="2138">
        <f>VLOOKUP(1,$X$222:$AH$230,8,FALSE)</f>
        <v>0</v>
      </c>
      <c r="U216" s="2138">
        <f>VLOOKUP(1,$X$222:$AH$230,3,FALSE)*1</f>
        <v>0</v>
      </c>
      <c r="V216" s="2012">
        <v>3001</v>
      </c>
      <c r="W216" s="1671">
        <v>3300</v>
      </c>
      <c r="X216" s="827">
        <f>IF(AND($C$51&gt;3000,$C$51&lt;=3300),1,0)</f>
        <v>0</v>
      </c>
      <c r="Y216" s="1671">
        <v>1</v>
      </c>
      <c r="Z216" s="1671">
        <v>1</v>
      </c>
      <c r="AA216" s="1671">
        <v>1</v>
      </c>
      <c r="AB216" s="1671">
        <v>1</v>
      </c>
      <c r="AC216" s="2014"/>
      <c r="AD216" s="2015">
        <v>300</v>
      </c>
      <c r="AE216" s="2015">
        <f>$C$51-AD216-AF216-AG216</f>
        <v>-1750</v>
      </c>
      <c r="AF216" s="2015">
        <v>1000</v>
      </c>
      <c r="AG216" s="2015">
        <v>1000</v>
      </c>
      <c r="AH216" s="2014"/>
      <c r="AI216" s="2017" t="str">
        <f t="shared" si="24"/>
        <v xml:space="preserve"> </v>
      </c>
      <c r="AJ216" s="2018" t="str">
        <f t="shared" si="25"/>
        <v xml:space="preserve"> </v>
      </c>
    </row>
    <row r="217" spans="5:36" x14ac:dyDescent="0.2">
      <c r="E217" s="817">
        <f t="shared" si="18"/>
        <v>1100</v>
      </c>
      <c r="F217" s="817">
        <f t="shared" si="22"/>
        <v>2601</v>
      </c>
      <c r="G217" s="817">
        <v>2700</v>
      </c>
      <c r="H217" s="817">
        <f t="shared" si="23"/>
        <v>0</v>
      </c>
      <c r="I217" s="844">
        <v>4</v>
      </c>
      <c r="J217" s="845"/>
      <c r="K217" s="845">
        <v>1</v>
      </c>
      <c r="L217" s="817">
        <f t="shared" si="19"/>
        <v>0</v>
      </c>
      <c r="M217" s="817">
        <f t="shared" si="21"/>
        <v>0</v>
      </c>
      <c r="N217" s="817">
        <f t="shared" si="20"/>
        <v>0</v>
      </c>
      <c r="Q217" s="944"/>
      <c r="R217" s="2012" t="s">
        <v>30298</v>
      </c>
      <c r="S217" s="1671">
        <v>8</v>
      </c>
      <c r="T217" s="2138">
        <f>VLOOKUP(1,$X$222:$AH$230,9,FALSE)</f>
        <v>0</v>
      </c>
      <c r="U217" s="2138">
        <f>VLOOKUP(1,$X$222:$AH$230,4,FALSE)*1</f>
        <v>0</v>
      </c>
      <c r="V217" s="2012">
        <v>3301</v>
      </c>
      <c r="W217" s="2138">
        <v>4000</v>
      </c>
      <c r="X217" s="2142">
        <f>IF(AND($C$51&gt;3300,$C$51&lt;=4000),1,0)</f>
        <v>0</v>
      </c>
      <c r="Y217" s="2138">
        <v>1</v>
      </c>
      <c r="Z217" s="2138">
        <v>1</v>
      </c>
      <c r="AA217" s="2138">
        <v>1</v>
      </c>
      <c r="AB217" s="2138">
        <v>1</v>
      </c>
      <c r="AC217" s="2014"/>
      <c r="AD217" s="2015">
        <f>$C$51-AE217-AF217-AG217</f>
        <v>-2450</v>
      </c>
      <c r="AE217" s="2015">
        <v>1000</v>
      </c>
      <c r="AF217" s="2015">
        <v>1000</v>
      </c>
      <c r="AG217" s="2015">
        <v>1000</v>
      </c>
      <c r="AH217" s="2014"/>
      <c r="AI217" s="2017" t="str">
        <f t="shared" si="24"/>
        <v xml:space="preserve"> </v>
      </c>
      <c r="AJ217" s="2143" t="str">
        <f t="shared" si="25"/>
        <v xml:space="preserve"> </v>
      </c>
    </row>
    <row r="218" spans="5:36" x14ac:dyDescent="0.2">
      <c r="E218" s="817">
        <f t="shared" si="18"/>
        <v>1100</v>
      </c>
      <c r="F218" s="817">
        <f t="shared" si="22"/>
        <v>2701</v>
      </c>
      <c r="G218" s="817">
        <v>2800</v>
      </c>
      <c r="H218" s="817">
        <f t="shared" si="23"/>
        <v>0</v>
      </c>
      <c r="I218" s="844">
        <v>4</v>
      </c>
      <c r="J218" s="845">
        <v>1</v>
      </c>
      <c r="K218" s="845"/>
      <c r="L218" s="817">
        <f t="shared" si="19"/>
        <v>0</v>
      </c>
      <c r="M218" s="817">
        <f t="shared" si="21"/>
        <v>0</v>
      </c>
      <c r="N218" s="817">
        <f t="shared" si="20"/>
        <v>0</v>
      </c>
      <c r="Q218" s="944"/>
      <c r="R218" s="2012" t="s">
        <v>30298</v>
      </c>
      <c r="S218" s="1671">
        <v>9</v>
      </c>
      <c r="T218" s="2138">
        <f>VLOOKUP(1,$X$222:$AH$230,10,FALSE)</f>
        <v>0</v>
      </c>
      <c r="U218" s="2138">
        <f>VLOOKUP(1,$X$222:$AH$230,5,FALSE)*1</f>
        <v>0</v>
      </c>
      <c r="V218" s="2012">
        <v>4001</v>
      </c>
      <c r="W218" s="2138">
        <v>4300</v>
      </c>
      <c r="X218" s="2142">
        <f>IF(AND($C$51&gt;4000,$C$51&lt;=4300),1,0)</f>
        <v>0</v>
      </c>
      <c r="Y218" s="2138">
        <v>1</v>
      </c>
      <c r="Z218" s="2138">
        <v>1</v>
      </c>
      <c r="AA218" s="2138">
        <v>1</v>
      </c>
      <c r="AB218" s="2138">
        <v>1</v>
      </c>
      <c r="AC218" s="2138">
        <v>1</v>
      </c>
      <c r="AD218" s="2015">
        <v>300</v>
      </c>
      <c r="AE218" s="2015">
        <f>$C$51-AD218-AF218-AG218-AH218</f>
        <v>-2750</v>
      </c>
      <c r="AF218" s="2015">
        <v>1000</v>
      </c>
      <c r="AG218" s="2015">
        <v>1000</v>
      </c>
      <c r="AH218" s="2015">
        <v>1000</v>
      </c>
      <c r="AI218" s="2017" t="str">
        <f t="shared" si="24"/>
        <v xml:space="preserve"> </v>
      </c>
      <c r="AJ218" s="2143" t="str">
        <f t="shared" ref="AJ218" si="26">IF(X218=1,IF($C$51=AI218,"check","failed")," ")</f>
        <v xml:space="preserve"> </v>
      </c>
    </row>
    <row r="219" spans="5:36" x14ac:dyDescent="0.2">
      <c r="E219" s="817">
        <f t="shared" si="18"/>
        <v>1100</v>
      </c>
      <c r="F219" s="817">
        <f t="shared" si="22"/>
        <v>2801</v>
      </c>
      <c r="G219" s="817">
        <v>2900</v>
      </c>
      <c r="H219" s="817">
        <f t="shared" si="23"/>
        <v>0</v>
      </c>
      <c r="I219" s="844">
        <v>5</v>
      </c>
      <c r="J219" s="845"/>
      <c r="K219" s="845"/>
      <c r="L219" s="817">
        <f t="shared" si="19"/>
        <v>0</v>
      </c>
      <c r="M219" s="817">
        <f t="shared" si="21"/>
        <v>0</v>
      </c>
      <c r="N219" s="817">
        <f t="shared" si="20"/>
        <v>0</v>
      </c>
      <c r="Q219" s="944"/>
      <c r="R219" s="2012" t="s">
        <v>30298</v>
      </c>
      <c r="S219" s="1671">
        <v>10</v>
      </c>
      <c r="T219" s="2138">
        <f>VLOOKUP(1,$X$222:$AH$230,11,FALSE)</f>
        <v>0</v>
      </c>
      <c r="U219" s="2138">
        <f>VLOOKUP(1,$X$222:$AH$230,6,FALSE)*1</f>
        <v>0</v>
      </c>
      <c r="V219" s="2019">
        <v>4301</v>
      </c>
      <c r="W219" s="2139">
        <v>5000</v>
      </c>
      <c r="X219" s="2144">
        <f>IF(AND($C$51&gt;4300,$C$51&lt;=5000),1,0)</f>
        <v>0</v>
      </c>
      <c r="Y219" s="2139">
        <v>1</v>
      </c>
      <c r="Z219" s="2139">
        <v>1</v>
      </c>
      <c r="AA219" s="2139">
        <v>1</v>
      </c>
      <c r="AB219" s="2139">
        <v>1</v>
      </c>
      <c r="AC219" s="2139">
        <v>1</v>
      </c>
      <c r="AD219" s="2020">
        <f>$C$51-AE219-AF219-AG219-AH219</f>
        <v>-3450</v>
      </c>
      <c r="AE219" s="2020">
        <v>1000</v>
      </c>
      <c r="AF219" s="2020">
        <v>1000</v>
      </c>
      <c r="AG219" s="2020">
        <v>1000</v>
      </c>
      <c r="AH219" s="2020">
        <v>1000</v>
      </c>
      <c r="AI219" s="2021" t="str">
        <f t="shared" si="24"/>
        <v xml:space="preserve"> </v>
      </c>
      <c r="AJ219" s="2145" t="str">
        <f t="shared" ref="AJ219" si="27">IF(X219=1,IF($C$51=AI219,"check","failed")," ")</f>
        <v xml:space="preserve"> </v>
      </c>
    </row>
    <row r="220" spans="5:36" ht="15" x14ac:dyDescent="0.2">
      <c r="E220" s="817">
        <f t="shared" si="18"/>
        <v>1100</v>
      </c>
      <c r="F220" s="817">
        <f t="shared" si="22"/>
        <v>2901</v>
      </c>
      <c r="G220" s="817">
        <v>3000</v>
      </c>
      <c r="H220" s="817">
        <f t="shared" si="23"/>
        <v>0</v>
      </c>
      <c r="I220" s="844">
        <v>3</v>
      </c>
      <c r="J220" s="845">
        <v>1</v>
      </c>
      <c r="K220" s="845">
        <v>2</v>
      </c>
      <c r="L220" s="817">
        <f t="shared" si="19"/>
        <v>0</v>
      </c>
      <c r="M220" s="817">
        <f t="shared" si="21"/>
        <v>0</v>
      </c>
      <c r="N220" s="817">
        <f t="shared" si="20"/>
        <v>0</v>
      </c>
      <c r="Q220" s="944"/>
      <c r="R220" s="2012" t="s">
        <v>30298</v>
      </c>
      <c r="S220" s="1671">
        <v>11</v>
      </c>
      <c r="T220" s="1671">
        <f>VLOOKUP(1,$X$233:$AH$241,7,FALSE)</f>
        <v>300</v>
      </c>
      <c r="U220" s="1671">
        <f>IF(AI233&gt;0,VLOOKUP(1,$X$233:$AH$241,2,FALSE)*1,0)</f>
        <v>1</v>
      </c>
      <c r="V220" s="2782" t="s">
        <v>30588</v>
      </c>
      <c r="W220" s="2782"/>
      <c r="X220" s="2782"/>
      <c r="Y220" s="2782"/>
      <c r="Z220" s="2782"/>
      <c r="AA220" s="2782"/>
      <c r="AB220" s="2782"/>
      <c r="AC220" s="2782"/>
      <c r="AD220" s="2782"/>
      <c r="AE220" s="2782"/>
      <c r="AF220" s="2782"/>
      <c r="AG220" s="2782"/>
      <c r="AH220" s="2782"/>
      <c r="AI220" s="2782"/>
      <c r="AJ220" s="2783"/>
    </row>
    <row r="221" spans="5:36" x14ac:dyDescent="0.2">
      <c r="E221" s="817">
        <f t="shared" si="18"/>
        <v>1100</v>
      </c>
      <c r="F221" s="817">
        <f t="shared" si="22"/>
        <v>3001</v>
      </c>
      <c r="G221" s="817">
        <v>3100</v>
      </c>
      <c r="H221" s="817">
        <f t="shared" si="23"/>
        <v>0</v>
      </c>
      <c r="I221" s="844">
        <v>4</v>
      </c>
      <c r="J221" s="845"/>
      <c r="K221" s="845">
        <v>2</v>
      </c>
      <c r="L221" s="817">
        <f t="shared" si="19"/>
        <v>0</v>
      </c>
      <c r="M221" s="817">
        <f t="shared" si="21"/>
        <v>0</v>
      </c>
      <c r="N221" s="817">
        <f t="shared" si="20"/>
        <v>0</v>
      </c>
      <c r="Q221" s="944"/>
      <c r="R221" s="2012" t="s">
        <v>30298</v>
      </c>
      <c r="S221" s="1671">
        <v>12</v>
      </c>
      <c r="T221" s="2138">
        <f>VLOOKUP(1,$X$233:$AH$241,8,FALSE)</f>
        <v>800</v>
      </c>
      <c r="U221" s="2138">
        <f>VLOOKUP(1,$X$233:$AH$241,3,FALSE)*1</f>
        <v>1</v>
      </c>
      <c r="V221" s="1676"/>
      <c r="W221" s="2140"/>
      <c r="X221" s="2013" t="s">
        <v>27659</v>
      </c>
      <c r="Y221" s="1494">
        <f>S215</f>
        <v>6</v>
      </c>
      <c r="Z221" s="1494">
        <f>S216</f>
        <v>7</v>
      </c>
      <c r="AA221" s="1494">
        <f>S217</f>
        <v>8</v>
      </c>
      <c r="AB221" s="1494">
        <f>S218</f>
        <v>9</v>
      </c>
      <c r="AC221" s="1494">
        <f>S219</f>
        <v>10</v>
      </c>
      <c r="AD221" s="1494">
        <f>S215</f>
        <v>6</v>
      </c>
      <c r="AE221" s="1494">
        <f>S216</f>
        <v>7</v>
      </c>
      <c r="AF221" s="1494">
        <f>S217</f>
        <v>8</v>
      </c>
      <c r="AG221" s="1494">
        <f>S218</f>
        <v>9</v>
      </c>
      <c r="AH221" s="1494">
        <f>S219</f>
        <v>10</v>
      </c>
      <c r="AI221" s="772" t="s">
        <v>30203</v>
      </c>
      <c r="AJ221" s="2141" t="s">
        <v>30299</v>
      </c>
    </row>
    <row r="222" spans="5:36" x14ac:dyDescent="0.2">
      <c r="E222" s="817">
        <f t="shared" si="18"/>
        <v>1100</v>
      </c>
      <c r="F222" s="817">
        <f t="shared" si="22"/>
        <v>3101</v>
      </c>
      <c r="G222" s="817">
        <v>3200</v>
      </c>
      <c r="H222" s="817">
        <f t="shared" si="23"/>
        <v>0</v>
      </c>
      <c r="I222" s="844">
        <v>4</v>
      </c>
      <c r="J222" s="845">
        <v>1</v>
      </c>
      <c r="K222" s="845">
        <v>1</v>
      </c>
      <c r="L222" s="817">
        <f t="shared" si="19"/>
        <v>0</v>
      </c>
      <c r="M222" s="817">
        <f t="shared" si="21"/>
        <v>0</v>
      </c>
      <c r="N222" s="817">
        <f t="shared" si="20"/>
        <v>0</v>
      </c>
      <c r="Q222" s="944"/>
      <c r="R222" s="2012" t="s">
        <v>30298</v>
      </c>
      <c r="S222" s="1671">
        <v>13</v>
      </c>
      <c r="T222" s="2138">
        <f>VLOOKUP(1,$X$233:$AH$241,9,FALSE)</f>
        <v>0</v>
      </c>
      <c r="U222" s="2138">
        <f>VLOOKUP(1,$X$233:$AH$241,4,FALSE)*1</f>
        <v>0</v>
      </c>
      <c r="V222" s="2012">
        <v>0</v>
      </c>
      <c r="W222" s="2138">
        <v>1000</v>
      </c>
      <c r="X222" s="2142">
        <f>IF(($C$50-200)&lt;=1000,1,0)</f>
        <v>1</v>
      </c>
      <c r="Y222" s="2138">
        <v>1</v>
      </c>
      <c r="Z222" s="2014"/>
      <c r="AA222" s="2014"/>
      <c r="AB222" s="2014"/>
      <c r="AC222" s="2014"/>
      <c r="AD222" s="2015">
        <f>$C$50-200</f>
        <v>900</v>
      </c>
      <c r="AE222" s="2016"/>
      <c r="AF222" s="2016"/>
      <c r="AG222" s="2016"/>
      <c r="AH222" s="2016"/>
      <c r="AI222" s="2017">
        <f t="shared" ref="AI222:AI230" si="28">IF(X222=1,SUM(AD222:AH222)," ")</f>
        <v>900</v>
      </c>
      <c r="AJ222" s="2143" t="str">
        <f t="shared" ref="AJ222:AJ228" si="29">IF(X222=1,IF(($C$50-200)=AI222,"check","failed")," ")</f>
        <v>check</v>
      </c>
    </row>
    <row r="223" spans="5:36" x14ac:dyDescent="0.2">
      <c r="E223" s="817">
        <f t="shared" si="18"/>
        <v>1100</v>
      </c>
      <c r="F223" s="817">
        <f t="shared" si="22"/>
        <v>3201</v>
      </c>
      <c r="G223" s="817">
        <v>3300</v>
      </c>
      <c r="H223" s="817">
        <f t="shared" si="23"/>
        <v>0</v>
      </c>
      <c r="I223" s="846">
        <v>4</v>
      </c>
      <c r="J223" s="847">
        <v>2</v>
      </c>
      <c r="K223" s="847"/>
      <c r="L223" s="817">
        <f t="shared" si="19"/>
        <v>0</v>
      </c>
      <c r="M223" s="817">
        <f t="shared" si="21"/>
        <v>0</v>
      </c>
      <c r="N223" s="817">
        <f t="shared" si="20"/>
        <v>0</v>
      </c>
      <c r="R223" s="2012" t="s">
        <v>30298</v>
      </c>
      <c r="S223" s="1671">
        <v>14</v>
      </c>
      <c r="T223" s="2138">
        <f>VLOOKUP(1,$X$233:$AH$241,10,FALSE)</f>
        <v>0</v>
      </c>
      <c r="U223" s="2138">
        <f>VLOOKUP(1,$X$233:$AH$241,5,FALSE)*1</f>
        <v>0</v>
      </c>
      <c r="V223" s="2012">
        <v>1001</v>
      </c>
      <c r="W223" s="2138">
        <v>1300</v>
      </c>
      <c r="X223" s="2142">
        <f>IF(AND(($C$50-200)&gt;1000,($C$50-200)&lt;=1300),1,0)</f>
        <v>0</v>
      </c>
      <c r="Y223" s="2138">
        <v>1</v>
      </c>
      <c r="Z223" s="2138">
        <v>1</v>
      </c>
      <c r="AA223" s="2014"/>
      <c r="AB223" s="2014"/>
      <c r="AC223" s="2014"/>
      <c r="AD223" s="2015">
        <v>300</v>
      </c>
      <c r="AE223" s="2015">
        <f>$C$50-200-AD223</f>
        <v>600</v>
      </c>
      <c r="AF223" s="2016"/>
      <c r="AG223" s="2016"/>
      <c r="AH223" s="2016"/>
      <c r="AI223" s="2017" t="str">
        <f t="shared" si="28"/>
        <v xml:space="preserve"> </v>
      </c>
      <c r="AJ223" s="2143" t="str">
        <f t="shared" si="29"/>
        <v xml:space="preserve"> </v>
      </c>
    </row>
    <row r="224" spans="5:36" x14ac:dyDescent="0.2">
      <c r="E224" s="817">
        <f t="shared" si="18"/>
        <v>1100</v>
      </c>
      <c r="F224" s="817">
        <f t="shared" si="22"/>
        <v>3301</v>
      </c>
      <c r="G224" s="817">
        <v>3400</v>
      </c>
      <c r="H224" s="817">
        <f t="shared" si="23"/>
        <v>0</v>
      </c>
      <c r="I224" s="846">
        <v>5</v>
      </c>
      <c r="J224" s="847">
        <v>1</v>
      </c>
      <c r="K224" s="847">
        <v>0</v>
      </c>
      <c r="L224" s="817">
        <f t="shared" si="19"/>
        <v>0</v>
      </c>
      <c r="M224" s="817">
        <f t="shared" si="21"/>
        <v>0</v>
      </c>
      <c r="N224" s="817">
        <f t="shared" si="20"/>
        <v>0</v>
      </c>
      <c r="R224" s="2012" t="s">
        <v>30298</v>
      </c>
      <c r="S224" s="1671">
        <v>15</v>
      </c>
      <c r="T224" s="2138">
        <f>VLOOKUP(1,$X$233:$AH$241,11,FALSE)</f>
        <v>0</v>
      </c>
      <c r="U224" s="2138">
        <f>VLOOKUP(1,$X$233:$AH$241,6,FALSE)*1</f>
        <v>0</v>
      </c>
      <c r="V224" s="2022">
        <v>1301</v>
      </c>
      <c r="W224" s="2138">
        <v>2000</v>
      </c>
      <c r="X224" s="2142">
        <f>IF(AND(($C$50-200)&gt;1300,($C$50-200)&lt;=2000),1,0)</f>
        <v>0</v>
      </c>
      <c r="Y224" s="2138">
        <v>1</v>
      </c>
      <c r="Z224" s="2138">
        <v>1</v>
      </c>
      <c r="AA224" s="2014"/>
      <c r="AB224" s="2014"/>
      <c r="AC224" s="2014"/>
      <c r="AD224" s="2015">
        <f>$C$50-200-AE224</f>
        <v>-100</v>
      </c>
      <c r="AE224" s="2015">
        <v>1000</v>
      </c>
      <c r="AF224" s="2016"/>
      <c r="AG224" s="2016"/>
      <c r="AH224" s="2016"/>
      <c r="AI224" s="2017" t="str">
        <f t="shared" si="28"/>
        <v xml:space="preserve"> </v>
      </c>
      <c r="AJ224" s="2143" t="str">
        <f t="shared" si="29"/>
        <v xml:space="preserve"> </v>
      </c>
    </row>
    <row r="225" spans="4:36" x14ac:dyDescent="0.2">
      <c r="E225" s="817">
        <f t="shared" si="18"/>
        <v>1100</v>
      </c>
      <c r="F225" s="817">
        <f t="shared" si="22"/>
        <v>3401</v>
      </c>
      <c r="G225" s="817">
        <v>3500</v>
      </c>
      <c r="H225" s="817">
        <f t="shared" si="23"/>
        <v>0</v>
      </c>
      <c r="I225" s="846">
        <v>6</v>
      </c>
      <c r="J225" s="847"/>
      <c r="K225" s="847"/>
      <c r="L225" s="817">
        <f t="shared" si="19"/>
        <v>0</v>
      </c>
      <c r="M225" s="817">
        <f t="shared" si="21"/>
        <v>0</v>
      </c>
      <c r="N225" s="817">
        <f t="shared" si="20"/>
        <v>0</v>
      </c>
      <c r="R225" s="2012" t="s">
        <v>30298</v>
      </c>
      <c r="S225" s="1671">
        <v>16</v>
      </c>
      <c r="T225" s="1671">
        <f>VLOOKUP(1,$X$244:$AH$252,7,FALSE)</f>
        <v>550</v>
      </c>
      <c r="U225" s="1671">
        <f>IF(AI244&gt;0,VLOOKUP(1,$X$244:$AH$252,2,FALSE)*1,0)</f>
        <v>1</v>
      </c>
      <c r="V225" s="2022">
        <v>2001</v>
      </c>
      <c r="W225" s="2138">
        <v>2300</v>
      </c>
      <c r="X225" s="2142">
        <f>IF(AND(($C$50-200)&gt;2000,($C$50-200)&lt;=2300),1,0)</f>
        <v>0</v>
      </c>
      <c r="Y225" s="2138">
        <v>1</v>
      </c>
      <c r="Z225" s="2138">
        <v>1</v>
      </c>
      <c r="AA225" s="2138">
        <v>1</v>
      </c>
      <c r="AB225" s="2014"/>
      <c r="AC225" s="2014"/>
      <c r="AD225" s="2015">
        <v>300</v>
      </c>
      <c r="AE225" s="2015">
        <f>$C$50-200-AD225-AF225</f>
        <v>-400</v>
      </c>
      <c r="AF225" s="2015">
        <v>1000</v>
      </c>
      <c r="AG225" s="2016"/>
      <c r="AH225" s="2016"/>
      <c r="AI225" s="2017" t="str">
        <f t="shared" si="28"/>
        <v xml:space="preserve"> </v>
      </c>
      <c r="AJ225" s="2143" t="str">
        <f t="shared" si="29"/>
        <v xml:space="preserve"> </v>
      </c>
    </row>
    <row r="226" spans="4:36" x14ac:dyDescent="0.2">
      <c r="E226" s="817">
        <f t="shared" si="18"/>
        <v>1100</v>
      </c>
      <c r="F226" s="817">
        <f t="shared" si="22"/>
        <v>3501</v>
      </c>
      <c r="G226" s="817">
        <v>3600</v>
      </c>
      <c r="H226" s="817">
        <f t="shared" si="23"/>
        <v>0</v>
      </c>
      <c r="I226" s="846">
        <v>2</v>
      </c>
      <c r="J226" s="847">
        <v>5</v>
      </c>
      <c r="K226" s="847"/>
      <c r="L226" s="817">
        <f t="shared" si="19"/>
        <v>0</v>
      </c>
      <c r="M226" s="817">
        <f t="shared" si="21"/>
        <v>0</v>
      </c>
      <c r="N226" s="817">
        <f t="shared" si="20"/>
        <v>0</v>
      </c>
      <c r="R226" s="2012" t="s">
        <v>30298</v>
      </c>
      <c r="S226" s="2138">
        <v>17</v>
      </c>
      <c r="T226" s="2138">
        <f>VLOOKUP(1,$X$244:$AH$252,8,FALSE)</f>
        <v>0</v>
      </c>
      <c r="U226" s="2138">
        <f>VLOOKUP(1,$X$244:$AH$252,3,FALSE)*1</f>
        <v>0</v>
      </c>
      <c r="V226" s="2022">
        <v>2301</v>
      </c>
      <c r="W226" s="2138">
        <v>3000</v>
      </c>
      <c r="X226" s="2142">
        <f>IF(AND(($C$50-200)&gt;2300,($C$50-200)&lt;=3000),1,0)</f>
        <v>0</v>
      </c>
      <c r="Y226" s="2138">
        <v>1</v>
      </c>
      <c r="Z226" s="2138">
        <v>1</v>
      </c>
      <c r="AA226" s="2138">
        <v>1</v>
      </c>
      <c r="AB226" s="2014"/>
      <c r="AC226" s="2014"/>
      <c r="AD226" s="2015">
        <f>$C$50-200-AE226-AF226</f>
        <v>-1100</v>
      </c>
      <c r="AE226" s="2015">
        <v>1000</v>
      </c>
      <c r="AF226" s="2015">
        <v>1000</v>
      </c>
      <c r="AG226" s="2016"/>
      <c r="AH226" s="2016"/>
      <c r="AI226" s="2017" t="str">
        <f t="shared" si="28"/>
        <v xml:space="preserve"> </v>
      </c>
      <c r="AJ226" s="2143" t="str">
        <f t="shared" si="29"/>
        <v xml:space="preserve"> </v>
      </c>
    </row>
    <row r="227" spans="4:36" x14ac:dyDescent="0.2">
      <c r="E227" s="817">
        <f t="shared" si="18"/>
        <v>1100</v>
      </c>
      <c r="F227" s="817">
        <f t="shared" si="22"/>
        <v>3601</v>
      </c>
      <c r="G227" s="817">
        <v>3700</v>
      </c>
      <c r="H227" s="817">
        <f t="shared" si="23"/>
        <v>0</v>
      </c>
      <c r="I227" s="846">
        <v>5</v>
      </c>
      <c r="J227" s="847"/>
      <c r="K227" s="847">
        <v>2</v>
      </c>
      <c r="L227" s="817">
        <f t="shared" si="19"/>
        <v>0</v>
      </c>
      <c r="M227" s="817">
        <f t="shared" si="21"/>
        <v>0</v>
      </c>
      <c r="N227" s="817">
        <f t="shared" si="20"/>
        <v>0</v>
      </c>
      <c r="R227" s="2012" t="s">
        <v>30298</v>
      </c>
      <c r="S227" s="2138">
        <v>18</v>
      </c>
      <c r="T227" s="2138">
        <f>VLOOKUP(1,$X$244:$AH$252,9,FALSE)</f>
        <v>0</v>
      </c>
      <c r="U227" s="2138">
        <f>VLOOKUP(1,$X$244:$AH$252,4,FALSE)*1</f>
        <v>0</v>
      </c>
      <c r="V227" s="2022">
        <v>3001</v>
      </c>
      <c r="W227" s="2138">
        <v>3300</v>
      </c>
      <c r="X227" s="2142">
        <f>IF(AND(($C$50-200)&gt;3000,($C$50-200)&lt;=3300),1,0)</f>
        <v>0</v>
      </c>
      <c r="Y227" s="2138">
        <v>1</v>
      </c>
      <c r="Z227" s="2138">
        <v>1</v>
      </c>
      <c r="AA227" s="2138">
        <v>1</v>
      </c>
      <c r="AB227" s="2138">
        <v>1</v>
      </c>
      <c r="AC227" s="2014"/>
      <c r="AD227" s="2015">
        <v>300</v>
      </c>
      <c r="AE227" s="2015">
        <f>$C$50-200-AD227-AF227-AG227</f>
        <v>-1400</v>
      </c>
      <c r="AF227" s="2015">
        <v>1000</v>
      </c>
      <c r="AG227" s="2015">
        <v>1000</v>
      </c>
      <c r="AH227" s="2014"/>
      <c r="AI227" s="2017" t="str">
        <f t="shared" si="28"/>
        <v xml:space="preserve"> </v>
      </c>
      <c r="AJ227" s="2143" t="str">
        <f t="shared" si="29"/>
        <v xml:space="preserve"> </v>
      </c>
    </row>
    <row r="228" spans="4:36" x14ac:dyDescent="0.2">
      <c r="E228" s="817">
        <f t="shared" si="18"/>
        <v>1100</v>
      </c>
      <c r="F228" s="817">
        <f t="shared" si="22"/>
        <v>3701</v>
      </c>
      <c r="G228" s="817">
        <v>3800</v>
      </c>
      <c r="H228" s="817">
        <f t="shared" si="23"/>
        <v>0</v>
      </c>
      <c r="I228" s="846">
        <v>5</v>
      </c>
      <c r="J228" s="848">
        <v>1</v>
      </c>
      <c r="K228" s="848">
        <v>1</v>
      </c>
      <c r="L228" s="817">
        <f t="shared" si="19"/>
        <v>0</v>
      </c>
      <c r="M228" s="817">
        <f t="shared" si="21"/>
        <v>0</v>
      </c>
      <c r="N228" s="817">
        <f t="shared" si="20"/>
        <v>0</v>
      </c>
      <c r="R228" s="2012" t="s">
        <v>30298</v>
      </c>
      <c r="S228" s="2138">
        <v>19</v>
      </c>
      <c r="T228" s="2138">
        <f>VLOOKUP(1,$X$244:$AH$252,10,FALSE)</f>
        <v>0</v>
      </c>
      <c r="U228" s="2138">
        <f>VLOOKUP(1,$X$244:$AH$252,5,FALSE)*1</f>
        <v>0</v>
      </c>
      <c r="V228" s="2012">
        <v>3301</v>
      </c>
      <c r="W228" s="2138">
        <v>4000</v>
      </c>
      <c r="X228" s="2142">
        <f>IF(AND(($C$50-200)&gt;3300,($C$50-200)&lt;=4000),1,0)</f>
        <v>0</v>
      </c>
      <c r="Y228" s="2138">
        <v>1</v>
      </c>
      <c r="Z228" s="2138">
        <v>1</v>
      </c>
      <c r="AA228" s="2138">
        <v>1</v>
      </c>
      <c r="AB228" s="2138">
        <v>1</v>
      </c>
      <c r="AC228" s="2014"/>
      <c r="AD228" s="2015">
        <f>$C$50-200-AE228-AF228-AG228</f>
        <v>-2100</v>
      </c>
      <c r="AE228" s="2015">
        <v>1000</v>
      </c>
      <c r="AF228" s="2015">
        <v>1000</v>
      </c>
      <c r="AG228" s="2015">
        <v>1000</v>
      </c>
      <c r="AH228" s="2014"/>
      <c r="AI228" s="2017" t="str">
        <f t="shared" si="28"/>
        <v xml:space="preserve"> </v>
      </c>
      <c r="AJ228" s="2143" t="str">
        <f t="shared" si="29"/>
        <v xml:space="preserve"> </v>
      </c>
    </row>
    <row r="229" spans="4:36" x14ac:dyDescent="0.2">
      <c r="E229" s="817">
        <f t="shared" si="18"/>
        <v>1100</v>
      </c>
      <c r="F229" s="817">
        <f t="shared" si="22"/>
        <v>3801</v>
      </c>
      <c r="G229" s="817">
        <v>3900</v>
      </c>
      <c r="H229" s="817">
        <f>IF(AND(E229&gt;=F229,E229&lt;F230),1,0)</f>
        <v>0</v>
      </c>
      <c r="I229" s="846">
        <v>5</v>
      </c>
      <c r="J229" s="849">
        <v>2</v>
      </c>
      <c r="K229" s="849"/>
      <c r="L229" s="817">
        <f t="shared" si="19"/>
        <v>0</v>
      </c>
      <c r="M229" s="817">
        <f t="shared" si="21"/>
        <v>0</v>
      </c>
      <c r="N229" s="817">
        <f t="shared" si="20"/>
        <v>0</v>
      </c>
      <c r="R229" s="2012" t="s">
        <v>30298</v>
      </c>
      <c r="S229" s="2138">
        <v>20</v>
      </c>
      <c r="T229" s="2138">
        <f>VLOOKUP(1,$X$244:$AH$252,11,FALSE)</f>
        <v>0</v>
      </c>
      <c r="U229" s="2138">
        <f>VLOOKUP(1,$X$244:$AH$252,6,FALSE)*1</f>
        <v>0</v>
      </c>
      <c r="V229" s="2012">
        <v>4001</v>
      </c>
      <c r="W229" s="2138">
        <v>4300</v>
      </c>
      <c r="X229" s="2142">
        <f>IF(AND(($C$50-200)&gt;4000,($C$50-200)&lt;=4300),1,0)</f>
        <v>0</v>
      </c>
      <c r="Y229" s="2138">
        <v>1</v>
      </c>
      <c r="Z229" s="2138">
        <v>1</v>
      </c>
      <c r="AA229" s="2138">
        <v>1</v>
      </c>
      <c r="AB229" s="2138">
        <v>1</v>
      </c>
      <c r="AC229" s="2138">
        <v>1</v>
      </c>
      <c r="AD229" s="2015">
        <v>300</v>
      </c>
      <c r="AE229" s="2015">
        <f>$C$50-AD229-AF229-AG229-AH229</f>
        <v>-2200</v>
      </c>
      <c r="AF229" s="2015">
        <v>1000</v>
      </c>
      <c r="AG229" s="2015">
        <v>1000</v>
      </c>
      <c r="AH229" s="2015">
        <v>1000</v>
      </c>
      <c r="AI229" s="2017" t="str">
        <f t="shared" si="28"/>
        <v xml:space="preserve"> </v>
      </c>
      <c r="AJ229" s="2143" t="str">
        <f t="shared" ref="AJ229" si="30">IF(X229=1,IF(($C$50-200)=AI229,"check","failed")," ")</f>
        <v xml:space="preserve"> </v>
      </c>
    </row>
    <row r="230" spans="4:36" x14ac:dyDescent="0.2">
      <c r="E230" s="817">
        <f t="shared" si="18"/>
        <v>1100</v>
      </c>
      <c r="F230" s="817">
        <f t="shared" si="22"/>
        <v>3901</v>
      </c>
      <c r="G230" s="850"/>
      <c r="H230" s="850"/>
      <c r="I230" s="846"/>
      <c r="J230" s="848"/>
      <c r="K230" s="848"/>
      <c r="L230" s="846"/>
      <c r="M230" s="817">
        <f t="shared" si="21"/>
        <v>0</v>
      </c>
      <c r="N230" s="846">
        <f t="shared" si="20"/>
        <v>0</v>
      </c>
      <c r="R230" s="2784"/>
      <c r="S230" s="2785"/>
      <c r="T230" s="2785"/>
      <c r="U230" s="2786"/>
      <c r="V230" s="2019">
        <v>4301</v>
      </c>
      <c r="W230" s="2139">
        <v>5000</v>
      </c>
      <c r="X230" s="2144">
        <f>IF(AND(($C$50-200)&gt;4300,($C$50-200)&lt;=5000),1,0)</f>
        <v>0</v>
      </c>
      <c r="Y230" s="2139">
        <v>1</v>
      </c>
      <c r="Z230" s="2139">
        <v>1</v>
      </c>
      <c r="AA230" s="2139">
        <v>1</v>
      </c>
      <c r="AB230" s="2139">
        <v>1</v>
      </c>
      <c r="AC230" s="2139">
        <v>1</v>
      </c>
      <c r="AD230" s="2020">
        <f>$C$50-200-AE230-AF230-AG230-AH230</f>
        <v>-3100</v>
      </c>
      <c r="AE230" s="2020">
        <v>1000</v>
      </c>
      <c r="AF230" s="2020">
        <v>1000</v>
      </c>
      <c r="AG230" s="2020">
        <v>1000</v>
      </c>
      <c r="AH230" s="2020">
        <v>1000</v>
      </c>
      <c r="AI230" s="2021" t="str">
        <f t="shared" si="28"/>
        <v xml:space="preserve"> </v>
      </c>
      <c r="AJ230" s="2145" t="str">
        <f t="shared" ref="AJ230" si="31">IF(X230=1,IF(($C$50-200)=AI230,"check","failed")," ")</f>
        <v xml:space="preserve"> </v>
      </c>
    </row>
    <row r="231" spans="4:36" ht="15" x14ac:dyDescent="0.2">
      <c r="K231" s="848" t="s">
        <v>746</v>
      </c>
      <c r="L231" s="1680">
        <f>SUM(L196:L230)</f>
        <v>2</v>
      </c>
      <c r="M231" s="1680">
        <f>SUM(M196:M230)</f>
        <v>0</v>
      </c>
      <c r="N231" s="1680">
        <f>SUM(N196:N230)</f>
        <v>0</v>
      </c>
      <c r="O231" s="736">
        <f>N231+L231+M231</f>
        <v>2</v>
      </c>
      <c r="R231" s="2787"/>
      <c r="S231" s="2788"/>
      <c r="T231" s="2788"/>
      <c r="U231" s="2789"/>
      <c r="V231" s="2782" t="s">
        <v>30589</v>
      </c>
      <c r="W231" s="2782"/>
      <c r="X231" s="2782"/>
      <c r="Y231" s="2782"/>
      <c r="Z231" s="2782"/>
      <c r="AA231" s="2782"/>
      <c r="AB231" s="2782"/>
      <c r="AC231" s="2782"/>
      <c r="AD231" s="2782"/>
      <c r="AE231" s="2782"/>
      <c r="AF231" s="2782"/>
      <c r="AG231" s="2782"/>
      <c r="AH231" s="2782"/>
      <c r="AI231" s="2782"/>
      <c r="AJ231" s="2783"/>
    </row>
    <row r="232" spans="4:36" x14ac:dyDescent="0.2">
      <c r="K232" s="848" t="s">
        <v>29323</v>
      </c>
      <c r="L232" s="760">
        <f>L231+M231+N231-1</f>
        <v>1</v>
      </c>
      <c r="M232" s="760" t="s">
        <v>29324</v>
      </c>
      <c r="N232" s="1681">
        <f>ROUNDUP(IF(L232&gt;0,($C$49-(L231*500+M231*400+N231*300))/L232,(500-E196)/2),1)</f>
        <v>100</v>
      </c>
      <c r="R232" s="2787"/>
      <c r="S232" s="2788"/>
      <c r="T232" s="2788"/>
      <c r="U232" s="2789"/>
      <c r="V232" s="1676"/>
      <c r="W232" s="2140"/>
      <c r="X232" s="2013" t="s">
        <v>27659</v>
      </c>
      <c r="Y232" s="1494">
        <f>S220</f>
        <v>11</v>
      </c>
      <c r="Z232" s="1494">
        <f>S221</f>
        <v>12</v>
      </c>
      <c r="AA232" s="1494">
        <f>S222</f>
        <v>13</v>
      </c>
      <c r="AB232" s="1494">
        <f>S223</f>
        <v>14</v>
      </c>
      <c r="AC232" s="1494">
        <f>S224</f>
        <v>15</v>
      </c>
      <c r="AD232" s="1494">
        <f>S220</f>
        <v>11</v>
      </c>
      <c r="AE232" s="1494">
        <f>S221</f>
        <v>12</v>
      </c>
      <c r="AF232" s="1494">
        <f>S222</f>
        <v>13</v>
      </c>
      <c r="AG232" s="1494">
        <f>S223</f>
        <v>14</v>
      </c>
      <c r="AH232" s="1494">
        <f>S224</f>
        <v>15</v>
      </c>
      <c r="AI232" s="772" t="s">
        <v>30203</v>
      </c>
      <c r="AJ232" s="2141" t="s">
        <v>30299</v>
      </c>
    </row>
    <row r="233" spans="4:36" x14ac:dyDescent="0.2">
      <c r="R233" s="2787"/>
      <c r="S233" s="2788"/>
      <c r="T233" s="2788"/>
      <c r="U233" s="2789"/>
      <c r="V233" s="2012">
        <v>0</v>
      </c>
      <c r="W233" s="2138">
        <v>1000</v>
      </c>
      <c r="X233" s="2142">
        <f>IF(($C$50)&lt;=1000,1,0)</f>
        <v>0</v>
      </c>
      <c r="Y233" s="2138">
        <v>1</v>
      </c>
      <c r="Z233" s="2014"/>
      <c r="AA233" s="2014"/>
      <c r="AB233" s="2014"/>
      <c r="AC233" s="2014"/>
      <c r="AD233" s="2015">
        <f>$C$50</f>
        <v>1100</v>
      </c>
      <c r="AE233" s="2016"/>
      <c r="AF233" s="2016"/>
      <c r="AG233" s="2016"/>
      <c r="AH233" s="2016"/>
      <c r="AI233" s="2017" t="str">
        <f t="shared" ref="AI233:AI241" si="32">IF(X233=1,SUM(AD233:AH233)," ")</f>
        <v xml:space="preserve"> </v>
      </c>
      <c r="AJ233" s="2143" t="str">
        <f t="shared" ref="AJ233:AJ239" si="33">IF(X233=1,IF(($C$50)=AI233,"check","failed")," ")</f>
        <v xml:space="preserve"> </v>
      </c>
    </row>
    <row r="234" spans="4:36" x14ac:dyDescent="0.2">
      <c r="R234" s="2787"/>
      <c r="S234" s="2788"/>
      <c r="T234" s="2788"/>
      <c r="U234" s="2789"/>
      <c r="V234" s="2012">
        <v>1001</v>
      </c>
      <c r="W234" s="2138">
        <v>1300</v>
      </c>
      <c r="X234" s="2142">
        <f>IF(AND(($C$50)&gt;1000,($C$50)&lt;=1300),1,0)</f>
        <v>1</v>
      </c>
      <c r="Y234" s="2138">
        <v>1</v>
      </c>
      <c r="Z234" s="2138">
        <v>1</v>
      </c>
      <c r="AA234" s="2014"/>
      <c r="AB234" s="2014"/>
      <c r="AC234" s="2014"/>
      <c r="AD234" s="2015">
        <v>300</v>
      </c>
      <c r="AE234" s="2015">
        <f>$C$50-AD234</f>
        <v>800</v>
      </c>
      <c r="AF234" s="2016"/>
      <c r="AG234" s="2016"/>
      <c r="AH234" s="2016"/>
      <c r="AI234" s="2017">
        <f t="shared" si="32"/>
        <v>1100</v>
      </c>
      <c r="AJ234" s="2143" t="str">
        <f t="shared" si="33"/>
        <v>check</v>
      </c>
    </row>
    <row r="235" spans="4:36" x14ac:dyDescent="0.2">
      <c r="R235" s="2787"/>
      <c r="S235" s="2788"/>
      <c r="T235" s="2788"/>
      <c r="U235" s="2789"/>
      <c r="V235" s="2022">
        <v>1301</v>
      </c>
      <c r="W235" s="2138">
        <v>2000</v>
      </c>
      <c r="X235" s="2142">
        <f>IF(AND(($C$50)&gt;1300,($C$50)&lt;=2000),1,0)</f>
        <v>0</v>
      </c>
      <c r="Y235" s="2138">
        <v>1</v>
      </c>
      <c r="Z235" s="2138">
        <v>1</v>
      </c>
      <c r="AA235" s="2014"/>
      <c r="AB235" s="2014"/>
      <c r="AC235" s="2014"/>
      <c r="AD235" s="2015">
        <f>$C$50-AE235</f>
        <v>100</v>
      </c>
      <c r="AE235" s="2015">
        <v>1000</v>
      </c>
      <c r="AF235" s="2016"/>
      <c r="AG235" s="2016"/>
      <c r="AH235" s="2016"/>
      <c r="AI235" s="2017" t="str">
        <f t="shared" si="32"/>
        <v xml:space="preserve"> </v>
      </c>
      <c r="AJ235" s="2143" t="str">
        <f t="shared" si="33"/>
        <v xml:space="preserve"> </v>
      </c>
    </row>
    <row r="236" spans="4:36" x14ac:dyDescent="0.2">
      <c r="R236" s="2787"/>
      <c r="S236" s="2788"/>
      <c r="T236" s="2788"/>
      <c r="U236" s="2789"/>
      <c r="V236" s="2022">
        <v>2001</v>
      </c>
      <c r="W236" s="2138">
        <v>2300</v>
      </c>
      <c r="X236" s="2142">
        <f>IF(AND(($C$50)&gt;2000,($C$50)&lt;=2300),1,0)</f>
        <v>0</v>
      </c>
      <c r="Y236" s="2138">
        <v>1</v>
      </c>
      <c r="Z236" s="2138">
        <v>1</v>
      </c>
      <c r="AA236" s="2138">
        <v>1</v>
      </c>
      <c r="AB236" s="2014"/>
      <c r="AC236" s="2014"/>
      <c r="AD236" s="2015">
        <v>300</v>
      </c>
      <c r="AE236" s="2015">
        <f>$C$50-AD236-AF236</f>
        <v>-200</v>
      </c>
      <c r="AF236" s="2015">
        <v>1000</v>
      </c>
      <c r="AG236" s="2016"/>
      <c r="AH236" s="2016"/>
      <c r="AI236" s="2017" t="str">
        <f t="shared" si="32"/>
        <v xml:space="preserve"> </v>
      </c>
      <c r="AJ236" s="2143" t="str">
        <f t="shared" si="33"/>
        <v xml:space="preserve"> </v>
      </c>
    </row>
    <row r="237" spans="4:36" x14ac:dyDescent="0.2">
      <c r="D237" s="2762" t="s">
        <v>28856</v>
      </c>
      <c r="E237" s="2764"/>
      <c r="R237" s="2787"/>
      <c r="S237" s="2788"/>
      <c r="T237" s="2788"/>
      <c r="U237" s="2789"/>
      <c r="V237" s="2022">
        <v>2301</v>
      </c>
      <c r="W237" s="2138">
        <v>3000</v>
      </c>
      <c r="X237" s="2142">
        <f>IF(AND(($C$50)&gt;2300,($C$50)&lt;=3000),1,0)</f>
        <v>0</v>
      </c>
      <c r="Y237" s="2138">
        <v>1</v>
      </c>
      <c r="Z237" s="2138">
        <v>1</v>
      </c>
      <c r="AA237" s="2138">
        <v>1</v>
      </c>
      <c r="AB237" s="2014"/>
      <c r="AC237" s="2014"/>
      <c r="AD237" s="2015">
        <f>$C$50-AE237-AF237</f>
        <v>-900</v>
      </c>
      <c r="AE237" s="2015">
        <v>1000</v>
      </c>
      <c r="AF237" s="2015">
        <v>1000</v>
      </c>
      <c r="AG237" s="2016"/>
      <c r="AH237" s="2016"/>
      <c r="AI237" s="2017" t="str">
        <f t="shared" si="32"/>
        <v xml:space="preserve"> </v>
      </c>
      <c r="AJ237" s="2143" t="str">
        <f t="shared" si="33"/>
        <v xml:space="preserve"> </v>
      </c>
    </row>
    <row r="238" spans="4:36" x14ac:dyDescent="0.2">
      <c r="D238" s="1676"/>
      <c r="E238" s="1676"/>
      <c r="R238" s="2787"/>
      <c r="S238" s="2788"/>
      <c r="T238" s="2788"/>
      <c r="U238" s="2789"/>
      <c r="V238" s="2022">
        <v>3001</v>
      </c>
      <c r="W238" s="2138">
        <v>3300</v>
      </c>
      <c r="X238" s="2142">
        <f>IF(AND(($C$50)&gt;3000,($C$50)&lt;=3300),1,0)</f>
        <v>0</v>
      </c>
      <c r="Y238" s="2138">
        <v>1</v>
      </c>
      <c r="Z238" s="2138">
        <v>1</v>
      </c>
      <c r="AA238" s="2138">
        <v>1</v>
      </c>
      <c r="AB238" s="2138">
        <v>1</v>
      </c>
      <c r="AC238" s="2014"/>
      <c r="AD238" s="2015">
        <v>300</v>
      </c>
      <c r="AE238" s="2015">
        <f>$C$50-AD238-AF238-AG238</f>
        <v>-1200</v>
      </c>
      <c r="AF238" s="2015">
        <v>1000</v>
      </c>
      <c r="AG238" s="2015">
        <v>1000</v>
      </c>
      <c r="AH238" s="2014"/>
      <c r="AI238" s="2017" t="str">
        <f t="shared" si="32"/>
        <v xml:space="preserve"> </v>
      </c>
      <c r="AJ238" s="2143" t="str">
        <f t="shared" si="33"/>
        <v xml:space="preserve"> </v>
      </c>
    </row>
    <row r="239" spans="4:36" x14ac:dyDescent="0.2">
      <c r="D239" s="1494" t="s">
        <v>67</v>
      </c>
      <c r="E239" s="1677">
        <f>IF($C$4&lt;3601,0,1)</f>
        <v>0</v>
      </c>
      <c r="R239" s="2787"/>
      <c r="S239" s="2788"/>
      <c r="T239" s="2788"/>
      <c r="U239" s="2789"/>
      <c r="V239" s="2012">
        <v>3301</v>
      </c>
      <c r="W239" s="2138">
        <v>4000</v>
      </c>
      <c r="X239" s="2142">
        <f>IF(AND(($C$50)&gt;3300,($C$50)&lt;=4000),1,0)</f>
        <v>0</v>
      </c>
      <c r="Y239" s="2138">
        <v>1</v>
      </c>
      <c r="Z239" s="2138">
        <v>1</v>
      </c>
      <c r="AA239" s="2138">
        <v>1</v>
      </c>
      <c r="AB239" s="2138">
        <v>1</v>
      </c>
      <c r="AC239" s="2014"/>
      <c r="AD239" s="2015">
        <f>$C$50-AE239-AF239-AG239</f>
        <v>-1900</v>
      </c>
      <c r="AE239" s="2015">
        <v>1000</v>
      </c>
      <c r="AF239" s="2015">
        <v>1000</v>
      </c>
      <c r="AG239" s="2015">
        <v>1000</v>
      </c>
      <c r="AH239" s="2014"/>
      <c r="AI239" s="2017" t="str">
        <f t="shared" si="32"/>
        <v xml:space="preserve"> </v>
      </c>
      <c r="AJ239" s="2143" t="str">
        <f t="shared" si="33"/>
        <v xml:space="preserve"> </v>
      </c>
    </row>
    <row r="240" spans="4:36" x14ac:dyDescent="0.2">
      <c r="D240" s="1494" t="s">
        <v>542</v>
      </c>
      <c r="E240" s="1677">
        <f>IF($C$5&lt;4201,0,1)</f>
        <v>0</v>
      </c>
      <c r="R240" s="2787"/>
      <c r="S240" s="2788"/>
      <c r="T240" s="2788"/>
      <c r="U240" s="2789"/>
      <c r="V240" s="2012">
        <v>4001</v>
      </c>
      <c r="W240" s="2138">
        <v>4300</v>
      </c>
      <c r="X240" s="2142">
        <f>IF(AND(($C$50)&gt;4000,($C$50)&lt;=4300),1,0)</f>
        <v>0</v>
      </c>
      <c r="Y240" s="2138">
        <v>1</v>
      </c>
      <c r="Z240" s="2138">
        <v>1</v>
      </c>
      <c r="AA240" s="2138">
        <v>1</v>
      </c>
      <c r="AB240" s="2138">
        <v>1</v>
      </c>
      <c r="AC240" s="2138">
        <v>1</v>
      </c>
      <c r="AD240" s="2015">
        <v>300</v>
      </c>
      <c r="AE240" s="2015">
        <f>$C$50-AD240-AF240-AG240-AH240</f>
        <v>-2200</v>
      </c>
      <c r="AF240" s="2015">
        <v>1000</v>
      </c>
      <c r="AG240" s="2015">
        <v>1000</v>
      </c>
      <c r="AH240" s="2015">
        <v>1000</v>
      </c>
      <c r="AI240" s="2017" t="str">
        <f t="shared" si="32"/>
        <v xml:space="preserve"> </v>
      </c>
      <c r="AJ240" s="2143" t="str">
        <f t="shared" ref="AJ240" si="34">IF(X240=1,IF(($C$50)=AI240,"check","failed")," ")</f>
        <v xml:space="preserve"> </v>
      </c>
    </row>
    <row r="241" spans="3:36" x14ac:dyDescent="0.2">
      <c r="D241" s="1494" t="s">
        <v>28167</v>
      </c>
      <c r="E241" s="1677">
        <f>IF(($C$4/1000*$C$5/1000)&lt;10.0001,0,1)</f>
        <v>0</v>
      </c>
      <c r="R241" s="2787"/>
      <c r="S241" s="2788"/>
      <c r="T241" s="2788"/>
      <c r="U241" s="2789"/>
      <c r="V241" s="2019">
        <v>4301</v>
      </c>
      <c r="W241" s="2139">
        <v>5000</v>
      </c>
      <c r="X241" s="2144">
        <f>IF(AND(($C$50)&gt;4300,($C$50)&lt;=5000),1,0)</f>
        <v>0</v>
      </c>
      <c r="Y241" s="2139">
        <v>1</v>
      </c>
      <c r="Z241" s="2139">
        <v>1</v>
      </c>
      <c r="AA241" s="2139">
        <v>1</v>
      </c>
      <c r="AB241" s="2139">
        <v>1</v>
      </c>
      <c r="AC241" s="2139">
        <v>1</v>
      </c>
      <c r="AD241" s="2020">
        <f>$C$50-AE241-AF241-AG241-AH241</f>
        <v>-2900</v>
      </c>
      <c r="AE241" s="2020">
        <v>1000</v>
      </c>
      <c r="AF241" s="2020">
        <v>1000</v>
      </c>
      <c r="AG241" s="2020">
        <v>1000</v>
      </c>
      <c r="AH241" s="2020">
        <v>1000</v>
      </c>
      <c r="AI241" s="2021" t="str">
        <f t="shared" si="32"/>
        <v xml:space="preserve"> </v>
      </c>
      <c r="AJ241" s="2145" t="str">
        <f t="shared" ref="AJ241" si="35">IF(X241=1,IF(($C$50)=AI241,"check","failed")," ")</f>
        <v xml:space="preserve"> </v>
      </c>
    </row>
    <row r="242" spans="3:36" ht="15" x14ac:dyDescent="0.2">
      <c r="D242" s="1494" t="s">
        <v>28348</v>
      </c>
      <c r="E242" s="1677">
        <f>IF(SUM(Dateneingabe!G145:G147)=1,0,1)</f>
        <v>0</v>
      </c>
      <c r="R242" s="2787"/>
      <c r="S242" s="2788"/>
      <c r="T242" s="2788"/>
      <c r="U242" s="2789"/>
      <c r="V242" s="2782" t="s">
        <v>30590</v>
      </c>
      <c r="W242" s="2782"/>
      <c r="X242" s="2782"/>
      <c r="Y242" s="2782"/>
      <c r="Z242" s="2782"/>
      <c r="AA242" s="2782"/>
      <c r="AB242" s="2782"/>
      <c r="AC242" s="2782"/>
      <c r="AD242" s="2782"/>
      <c r="AE242" s="2782"/>
      <c r="AF242" s="2782"/>
      <c r="AG242" s="2782"/>
      <c r="AH242" s="2782"/>
      <c r="AI242" s="2782"/>
      <c r="AJ242" s="2783"/>
    </row>
    <row r="243" spans="3:36" x14ac:dyDescent="0.2">
      <c r="D243" s="1494" t="s">
        <v>28366</v>
      </c>
      <c r="E243" s="1677">
        <f>IF(Dateneingabe!F70&lt;150,1,0)</f>
        <v>0</v>
      </c>
      <c r="R243" s="2787"/>
      <c r="S243" s="2788"/>
      <c r="T243" s="2788"/>
      <c r="U243" s="2789"/>
      <c r="V243" s="1676"/>
      <c r="W243" s="2140"/>
      <c r="X243" s="2013" t="s">
        <v>27659</v>
      </c>
      <c r="Y243" s="1494">
        <f>S225</f>
        <v>16</v>
      </c>
      <c r="Z243" s="1494">
        <f>S226</f>
        <v>17</v>
      </c>
      <c r="AA243" s="1494">
        <f>S227</f>
        <v>18</v>
      </c>
      <c r="AB243" s="1494">
        <f>S228</f>
        <v>19</v>
      </c>
      <c r="AC243" s="1494">
        <f>S229</f>
        <v>20</v>
      </c>
      <c r="AD243" s="1494">
        <f>S225</f>
        <v>16</v>
      </c>
      <c r="AE243" s="1494">
        <f>S226</f>
        <v>17</v>
      </c>
      <c r="AF243" s="1494">
        <f>S227</f>
        <v>18</v>
      </c>
      <c r="AG243" s="1494">
        <f>S228</f>
        <v>19</v>
      </c>
      <c r="AH243" s="1494">
        <f>S229</f>
        <v>20</v>
      </c>
      <c r="AI243" s="772" t="s">
        <v>30203</v>
      </c>
      <c r="AJ243" s="2141" t="s">
        <v>30299</v>
      </c>
    </row>
    <row r="244" spans="3:36" x14ac:dyDescent="0.2">
      <c r="D244" s="1494" t="s">
        <v>28857</v>
      </c>
      <c r="E244" s="1494">
        <f>IF(Dateneingabe!G106+Dateneingabe!G108&gt;0,1,0)</f>
        <v>0</v>
      </c>
      <c r="R244" s="2787"/>
      <c r="S244" s="2788"/>
      <c r="T244" s="2788"/>
      <c r="U244" s="2789"/>
      <c r="V244" s="2012">
        <v>0</v>
      </c>
      <c r="W244" s="2138">
        <v>1000</v>
      </c>
      <c r="X244" s="2142">
        <f>IF($C$51&lt;=1000,1,0)</f>
        <v>1</v>
      </c>
      <c r="Y244" s="2138">
        <v>1</v>
      </c>
      <c r="Z244" s="2014"/>
      <c r="AA244" s="2014"/>
      <c r="AB244" s="2014"/>
      <c r="AC244" s="2014"/>
      <c r="AD244" s="2015">
        <f>$C$51</f>
        <v>550</v>
      </c>
      <c r="AE244" s="2016"/>
      <c r="AF244" s="2016"/>
      <c r="AG244" s="2016"/>
      <c r="AH244" s="2016"/>
      <c r="AI244" s="2017">
        <f t="shared" ref="AI244:AI252" si="36">IF(X244=1,SUM(AD244:AH244)," ")</f>
        <v>550</v>
      </c>
      <c r="AJ244" s="2143" t="str">
        <f t="shared" ref="AJ244:AJ250" si="37">IF(X244=1,IF($C$51=AI244,"check","failed")," ")</f>
        <v>check</v>
      </c>
    </row>
    <row r="245" spans="3:36" x14ac:dyDescent="0.2">
      <c r="D245" s="1676"/>
      <c r="E245" s="1676"/>
      <c r="R245" s="2787"/>
      <c r="S245" s="2788"/>
      <c r="T245" s="2788"/>
      <c r="U245" s="2789"/>
      <c r="V245" s="2012">
        <v>1001</v>
      </c>
      <c r="W245" s="2138">
        <v>1300</v>
      </c>
      <c r="X245" s="2142">
        <f>IF(AND($C$51&gt;1000,$C$51&lt;=1300),1,0)</f>
        <v>0</v>
      </c>
      <c r="Y245" s="2138">
        <v>1</v>
      </c>
      <c r="Z245" s="2138">
        <v>1</v>
      </c>
      <c r="AA245" s="2014"/>
      <c r="AB245" s="2014"/>
      <c r="AC245" s="2014"/>
      <c r="AD245" s="2015">
        <v>300</v>
      </c>
      <c r="AE245" s="2015">
        <f>$C$51-AD245</f>
        <v>250</v>
      </c>
      <c r="AF245" s="2016"/>
      <c r="AG245" s="2016"/>
      <c r="AH245" s="2016"/>
      <c r="AI245" s="2017" t="str">
        <f t="shared" si="36"/>
        <v xml:space="preserve"> </v>
      </c>
      <c r="AJ245" s="2143" t="str">
        <f t="shared" si="37"/>
        <v xml:space="preserve"> </v>
      </c>
    </row>
    <row r="246" spans="3:36" x14ac:dyDescent="0.2">
      <c r="D246" s="1678" t="s">
        <v>28858</v>
      </c>
      <c r="E246" s="1494" t="str">
        <f>IF(SUM(E239:E244)&gt;0,0,"X")</f>
        <v>X</v>
      </c>
      <c r="R246" s="2787"/>
      <c r="S246" s="2788"/>
      <c r="T246" s="2788"/>
      <c r="U246" s="2789"/>
      <c r="V246" s="2012">
        <v>1301</v>
      </c>
      <c r="W246" s="2138">
        <v>2000</v>
      </c>
      <c r="X246" s="2142">
        <f>IF(AND($C$51&gt;1300,$C$51&lt;=2000),1,0)</f>
        <v>0</v>
      </c>
      <c r="Y246" s="2138">
        <v>1</v>
      </c>
      <c r="Z246" s="2138">
        <v>1</v>
      </c>
      <c r="AA246" s="2014"/>
      <c r="AB246" s="2014"/>
      <c r="AC246" s="2014"/>
      <c r="AD246" s="2015">
        <f>$C$51-AE246</f>
        <v>-450</v>
      </c>
      <c r="AE246" s="2015">
        <v>1000</v>
      </c>
      <c r="AF246" s="2016"/>
      <c r="AG246" s="2016"/>
      <c r="AH246" s="2016"/>
      <c r="AI246" s="2017" t="str">
        <f t="shared" si="36"/>
        <v xml:space="preserve"> </v>
      </c>
      <c r="AJ246" s="2143" t="str">
        <f t="shared" si="37"/>
        <v xml:space="preserve"> </v>
      </c>
    </row>
    <row r="247" spans="3:36" x14ac:dyDescent="0.2">
      <c r="R247" s="2787"/>
      <c r="S247" s="2788"/>
      <c r="T247" s="2788"/>
      <c r="U247" s="2789"/>
      <c r="V247" s="2012">
        <v>2001</v>
      </c>
      <c r="W247" s="2138">
        <v>2300</v>
      </c>
      <c r="X247" s="2142">
        <f>IF(AND($C$51&gt;2000,$C$51&lt;=2300),1,0)</f>
        <v>0</v>
      </c>
      <c r="Y247" s="2138">
        <v>1</v>
      </c>
      <c r="Z247" s="2138">
        <v>1</v>
      </c>
      <c r="AA247" s="2138">
        <v>1</v>
      </c>
      <c r="AB247" s="2014"/>
      <c r="AC247" s="2014"/>
      <c r="AD247" s="2015">
        <v>300</v>
      </c>
      <c r="AE247" s="2015">
        <f>$C$51-AD247-AF247</f>
        <v>-750</v>
      </c>
      <c r="AF247" s="2015">
        <v>1000</v>
      </c>
      <c r="AG247" s="2016"/>
      <c r="AH247" s="2016"/>
      <c r="AI247" s="2017" t="str">
        <f t="shared" si="36"/>
        <v xml:space="preserve"> </v>
      </c>
      <c r="AJ247" s="2143" t="str">
        <f t="shared" si="37"/>
        <v xml:space="preserve"> </v>
      </c>
    </row>
    <row r="248" spans="3:36" x14ac:dyDescent="0.2">
      <c r="R248" s="2787"/>
      <c r="S248" s="2788"/>
      <c r="T248" s="2788"/>
      <c r="U248" s="2789"/>
      <c r="V248" s="2012">
        <v>2301</v>
      </c>
      <c r="W248" s="2138">
        <v>3000</v>
      </c>
      <c r="X248" s="2142">
        <f>IF(AND($C$51&gt;2300,$C$51&lt;=3000),1,0)</f>
        <v>0</v>
      </c>
      <c r="Y248" s="2138">
        <v>1</v>
      </c>
      <c r="Z248" s="2138">
        <v>1</v>
      </c>
      <c r="AA248" s="2138">
        <v>1</v>
      </c>
      <c r="AB248" s="2014"/>
      <c r="AC248" s="2014"/>
      <c r="AD248" s="2015">
        <f>$C$51-AE248-AF248</f>
        <v>-1450</v>
      </c>
      <c r="AE248" s="2015">
        <v>1000</v>
      </c>
      <c r="AF248" s="2015">
        <v>1000</v>
      </c>
      <c r="AG248" s="2016"/>
      <c r="AH248" s="2016"/>
      <c r="AI248" s="2017" t="str">
        <f t="shared" si="36"/>
        <v xml:space="preserve"> </v>
      </c>
      <c r="AJ248" s="2143" t="str">
        <f t="shared" si="37"/>
        <v xml:space="preserve"> </v>
      </c>
    </row>
    <row r="249" spans="3:36" ht="13.5" thickBot="1" x14ac:dyDescent="0.25">
      <c r="R249" s="2787"/>
      <c r="S249" s="2788"/>
      <c r="T249" s="2788"/>
      <c r="U249" s="2789"/>
      <c r="V249" s="2012">
        <v>3001</v>
      </c>
      <c r="W249" s="2138">
        <v>3300</v>
      </c>
      <c r="X249" s="2142">
        <f>IF(AND($C$51&gt;3000,$C$51&lt;=3300),1,0)</f>
        <v>0</v>
      </c>
      <c r="Y249" s="2138">
        <v>1</v>
      </c>
      <c r="Z249" s="2138">
        <v>1</v>
      </c>
      <c r="AA249" s="2138">
        <v>1</v>
      </c>
      <c r="AB249" s="2138">
        <v>1</v>
      </c>
      <c r="AC249" s="2014"/>
      <c r="AD249" s="2015">
        <v>300</v>
      </c>
      <c r="AE249" s="2015">
        <f>$C$51-AD249-AF249-AG249</f>
        <v>-1750</v>
      </c>
      <c r="AF249" s="2015">
        <v>1000</v>
      </c>
      <c r="AG249" s="2015">
        <v>1000</v>
      </c>
      <c r="AH249" s="2014"/>
      <c r="AI249" s="2017" t="str">
        <f t="shared" si="36"/>
        <v xml:space="preserve"> </v>
      </c>
      <c r="AJ249" s="2143" t="str">
        <f t="shared" si="37"/>
        <v xml:space="preserve"> </v>
      </c>
    </row>
    <row r="250" spans="3:36" ht="16.5" thickBot="1" x14ac:dyDescent="0.25">
      <c r="C250" s="2770" t="s">
        <v>31118</v>
      </c>
      <c r="D250" s="2771"/>
      <c r="E250" s="9"/>
      <c r="G250" s="9"/>
      <c r="H250" s="9"/>
      <c r="I250" s="9"/>
      <c r="R250" s="2787"/>
      <c r="S250" s="2788"/>
      <c r="T250" s="2788"/>
      <c r="U250" s="2789"/>
      <c r="V250" s="2012">
        <v>3301</v>
      </c>
      <c r="W250" s="2138">
        <v>4000</v>
      </c>
      <c r="X250" s="2142">
        <f>IF(AND($C$51&gt;3300,$C$51&lt;=4000),1,0)</f>
        <v>0</v>
      </c>
      <c r="Y250" s="2138">
        <v>1</v>
      </c>
      <c r="Z250" s="2138">
        <v>1</v>
      </c>
      <c r="AA250" s="2138">
        <v>1</v>
      </c>
      <c r="AB250" s="2138">
        <v>1</v>
      </c>
      <c r="AC250" s="2014"/>
      <c r="AD250" s="2015">
        <f>$C$51-AE250-AF250-AG250</f>
        <v>-2450</v>
      </c>
      <c r="AE250" s="2015">
        <v>1000</v>
      </c>
      <c r="AF250" s="2015">
        <v>1000</v>
      </c>
      <c r="AG250" s="2015">
        <v>1000</v>
      </c>
      <c r="AH250" s="2014"/>
      <c r="AI250" s="2017" t="str">
        <f t="shared" si="36"/>
        <v xml:space="preserve"> </v>
      </c>
      <c r="AJ250" s="2143" t="str">
        <f t="shared" si="37"/>
        <v xml:space="preserve"> </v>
      </c>
    </row>
    <row r="251" spans="3:36" x14ac:dyDescent="0.2">
      <c r="C251" s="2401" t="s">
        <v>31124</v>
      </c>
      <c r="D251" s="2402">
        <f>LARGE(Liste!F356:F361,1)</f>
        <v>1250</v>
      </c>
      <c r="E251" s="9"/>
      <c r="G251" s="9"/>
      <c r="H251" s="9"/>
      <c r="I251" s="9"/>
      <c r="R251" s="2787"/>
      <c r="S251" s="2788"/>
      <c r="T251" s="2788"/>
      <c r="U251" s="2789"/>
      <c r="V251" s="2012">
        <v>4001</v>
      </c>
      <c r="W251" s="2138">
        <v>4300</v>
      </c>
      <c r="X251" s="2142">
        <f>IF(AND($C$51&gt;4000,$C$51&lt;=4300),1,0)</f>
        <v>0</v>
      </c>
      <c r="Y251" s="2138">
        <v>1</v>
      </c>
      <c r="Z251" s="2138">
        <v>1</v>
      </c>
      <c r="AA251" s="2138">
        <v>1</v>
      </c>
      <c r="AB251" s="2138">
        <v>1</v>
      </c>
      <c r="AC251" s="2138">
        <v>1</v>
      </c>
      <c r="AD251" s="2015">
        <v>300</v>
      </c>
      <c r="AE251" s="2015">
        <f>$C$51-AD251-AF251-AG251-AH251</f>
        <v>-2750</v>
      </c>
      <c r="AF251" s="2015">
        <v>1000</v>
      </c>
      <c r="AG251" s="2015">
        <v>1000</v>
      </c>
      <c r="AH251" s="2015">
        <v>1000</v>
      </c>
      <c r="AI251" s="2017" t="str">
        <f t="shared" si="36"/>
        <v xml:space="preserve"> </v>
      </c>
      <c r="AJ251" s="2143" t="str">
        <f t="shared" ref="AJ251" si="38">IF(X251=1,IF($C$51=AI251,"check","failed")," ")</f>
        <v xml:space="preserve"> </v>
      </c>
    </row>
    <row r="252" spans="3:36" x14ac:dyDescent="0.2">
      <c r="C252" s="2401" t="s">
        <v>31499</v>
      </c>
      <c r="D252" s="2402">
        <f>IF(Liste!D514&gt;0,Liste!E514+160,0)</f>
        <v>0</v>
      </c>
      <c r="E252" s="9"/>
      <c r="G252" s="9"/>
      <c r="H252" s="9"/>
      <c r="I252" s="9"/>
      <c r="R252" s="2790"/>
      <c r="S252" s="2791"/>
      <c r="T252" s="2791"/>
      <c r="U252" s="2792"/>
      <c r="V252" s="2019">
        <v>4301</v>
      </c>
      <c r="W252" s="2139">
        <v>5000</v>
      </c>
      <c r="X252" s="2144">
        <f>IF(AND($C$51&gt;4300,$C$51&lt;=5000),1,0)</f>
        <v>0</v>
      </c>
      <c r="Y252" s="2139">
        <v>1</v>
      </c>
      <c r="Z252" s="2139">
        <v>1</v>
      </c>
      <c r="AA252" s="2139">
        <v>1</v>
      </c>
      <c r="AB252" s="2139">
        <v>1</v>
      </c>
      <c r="AC252" s="2139">
        <v>1</v>
      </c>
      <c r="AD252" s="2020">
        <f>$C$51-AE252-AF252-AG252-AH252</f>
        <v>-3450</v>
      </c>
      <c r="AE252" s="2020">
        <v>1000</v>
      </c>
      <c r="AF252" s="2020">
        <v>1000</v>
      </c>
      <c r="AG252" s="2020">
        <v>1000</v>
      </c>
      <c r="AH252" s="2020">
        <v>1000</v>
      </c>
      <c r="AI252" s="2021" t="str">
        <f t="shared" si="36"/>
        <v xml:space="preserve"> </v>
      </c>
      <c r="AJ252" s="2145" t="str">
        <f t="shared" ref="AJ252" si="39">IF(X252=1,IF($C$51=AI252,"check","failed")," ")</f>
        <v xml:space="preserve"> </v>
      </c>
    </row>
    <row r="253" spans="3:36" x14ac:dyDescent="0.2">
      <c r="C253" s="2404" t="s">
        <v>29762</v>
      </c>
      <c r="D253" s="2403">
        <f>IF(Liste!D5&gt;0,D254,D255)</f>
        <v>686</v>
      </c>
      <c r="E253" s="9"/>
      <c r="G253" s="9"/>
      <c r="H253" s="9"/>
      <c r="I253" s="9"/>
      <c r="U253" s="2353"/>
      <c r="V253" s="113"/>
      <c r="W253" s="2352"/>
      <c r="X253" s="2353"/>
      <c r="Y253" s="2352"/>
    </row>
    <row r="254" spans="3:36" x14ac:dyDescent="0.2">
      <c r="C254" s="2404" t="s">
        <v>31119</v>
      </c>
      <c r="D254" s="2405">
        <f>Liste!F5</f>
        <v>686</v>
      </c>
      <c r="E254" s="9"/>
      <c r="G254" s="9"/>
      <c r="H254" s="9"/>
      <c r="I254" s="9"/>
      <c r="U254" s="2353"/>
      <c r="V254" s="113"/>
      <c r="W254" s="2352"/>
      <c r="X254" s="2353"/>
      <c r="Y254" s="2352"/>
    </row>
    <row r="255" spans="3:36" x14ac:dyDescent="0.2">
      <c r="C255" s="2404" t="s">
        <v>31120</v>
      </c>
      <c r="D255" s="2405">
        <f>LARGE((Liste!F50,Liste!F65,Liste!F86),1)</f>
        <v>500</v>
      </c>
      <c r="E255" s="9"/>
      <c r="G255" s="9"/>
      <c r="H255" s="9"/>
      <c r="I255" s="9"/>
      <c r="U255" s="2353"/>
      <c r="V255" s="113"/>
      <c r="W255" s="2352"/>
      <c r="X255" s="2353"/>
      <c r="Y255" s="2352"/>
    </row>
    <row r="256" spans="3:36" ht="12.75" customHeight="1" thickBot="1" x14ac:dyDescent="0.25">
      <c r="C256" s="2406" t="s">
        <v>31121</v>
      </c>
      <c r="D256" s="2407">
        <f>Liste!G1</f>
        <v>1080</v>
      </c>
      <c r="E256" s="9"/>
      <c r="G256" s="9"/>
      <c r="H256" s="9"/>
      <c r="I256" s="9"/>
      <c r="U256" s="2353"/>
      <c r="V256" s="113"/>
      <c r="W256" s="2352"/>
      <c r="X256" s="2353"/>
      <c r="Y256" s="2352"/>
    </row>
    <row r="257" spans="3:25" x14ac:dyDescent="0.2">
      <c r="C257" s="2408" t="s">
        <v>31159</v>
      </c>
      <c r="D257" s="2409">
        <f>LARGE((D251,D252,D256),1)</f>
        <v>1250</v>
      </c>
      <c r="E257" s="9"/>
      <c r="G257" s="9"/>
      <c r="H257" s="9"/>
      <c r="I257" s="9"/>
      <c r="U257" s="2353"/>
      <c r="V257" s="113"/>
      <c r="W257" s="2352"/>
      <c r="X257" s="2353"/>
      <c r="Y257" s="2352"/>
    </row>
    <row r="258" spans="3:25" ht="13.5" thickBot="1" x14ac:dyDescent="0.25">
      <c r="C258" s="2410" t="s">
        <v>31160</v>
      </c>
      <c r="D258" s="2411">
        <f>D253</f>
        <v>686</v>
      </c>
      <c r="E258" s="9"/>
      <c r="G258" s="9"/>
      <c r="H258" s="9"/>
      <c r="I258" s="9"/>
      <c r="U258" s="2353"/>
      <c r="V258" s="113"/>
      <c r="W258" s="2352"/>
      <c r="X258" s="2353"/>
      <c r="Y258" s="2352"/>
    </row>
    <row r="259" spans="3:25" ht="15" x14ac:dyDescent="0.2">
      <c r="C259" s="2412" t="s">
        <v>31122</v>
      </c>
      <c r="D259" s="2413">
        <f>Liste!D50</f>
        <v>0</v>
      </c>
      <c r="E259" s="9"/>
      <c r="G259" s="9"/>
      <c r="H259" s="9"/>
      <c r="I259" s="9"/>
      <c r="U259" s="2353"/>
      <c r="V259" s="113"/>
      <c r="W259" s="2352"/>
      <c r="X259" s="2353"/>
      <c r="Y259" s="2352"/>
    </row>
    <row r="260" spans="3:25" ht="15" x14ac:dyDescent="0.2">
      <c r="C260" s="2414" t="s">
        <v>31161</v>
      </c>
      <c r="D260" s="2415">
        <f>IF(D257&gt;D258,D257,D258)</f>
        <v>1250</v>
      </c>
      <c r="E260" s="9"/>
      <c r="G260" s="9"/>
      <c r="H260" s="9"/>
      <c r="I260" s="9"/>
      <c r="U260" s="2353"/>
      <c r="V260" s="113"/>
      <c r="W260" s="2352"/>
      <c r="X260" s="2353"/>
      <c r="Y260" s="2352"/>
    </row>
    <row r="261" spans="3:25" ht="15.75" thickBot="1" x14ac:dyDescent="0.25">
      <c r="C261" s="2416" t="s">
        <v>31162</v>
      </c>
      <c r="D261" s="2417">
        <f>IF(D257&lt;D258,D257,D258)</f>
        <v>686</v>
      </c>
      <c r="E261" s="9"/>
      <c r="G261" s="9"/>
      <c r="H261" s="9"/>
      <c r="I261" s="9"/>
      <c r="U261" s="2353"/>
      <c r="V261" s="113"/>
      <c r="W261" s="2352"/>
      <c r="X261" s="2353"/>
      <c r="Y261" s="2352"/>
    </row>
    <row r="262" spans="3:25" x14ac:dyDescent="0.2">
      <c r="C262" s="2444"/>
      <c r="D262" s="2445"/>
      <c r="E262" s="9"/>
      <c r="G262" s="9"/>
      <c r="H262" s="9"/>
      <c r="I262" s="9"/>
      <c r="U262" s="2353"/>
      <c r="V262" s="113"/>
      <c r="W262" s="2352"/>
      <c r="X262" s="2353"/>
      <c r="Y262" s="2352"/>
    </row>
    <row r="263" spans="3:25" x14ac:dyDescent="0.2">
      <c r="C263" s="2446"/>
      <c r="D263" s="2447"/>
      <c r="E263" s="9"/>
      <c r="G263" s="9"/>
      <c r="H263" s="9"/>
      <c r="I263" s="9"/>
      <c r="U263" s="2353"/>
      <c r="V263" s="113"/>
      <c r="W263" s="2352"/>
      <c r="X263" s="2353"/>
      <c r="Y263" s="2352"/>
    </row>
    <row r="264" spans="3:25" x14ac:dyDescent="0.2">
      <c r="C264" s="2418" t="s">
        <v>31163</v>
      </c>
      <c r="D264" s="2351">
        <f>D127</f>
        <v>0</v>
      </c>
      <c r="E264" s="9"/>
      <c r="G264" s="9"/>
      <c r="H264" s="9"/>
      <c r="I264" s="9"/>
      <c r="U264" s="2353"/>
      <c r="V264" s="113"/>
      <c r="W264" s="2352"/>
      <c r="X264" s="2353"/>
      <c r="Y264" s="2352"/>
    </row>
    <row r="265" spans="3:25" ht="13.5" thickBot="1" x14ac:dyDescent="0.25">
      <c r="C265" s="2419" t="s">
        <v>31164</v>
      </c>
      <c r="D265" s="2354">
        <f>IF(D47=1,2,1)</f>
        <v>1</v>
      </c>
      <c r="E265" s="9"/>
      <c r="G265" s="9"/>
      <c r="H265" s="9"/>
      <c r="I265" s="9"/>
      <c r="U265" s="2353"/>
      <c r="V265" s="113"/>
      <c r="W265" s="2352"/>
      <c r="X265" s="2353"/>
      <c r="Y265" s="2352"/>
    </row>
    <row r="266" spans="3:25" x14ac:dyDescent="0.2">
      <c r="D266" s="9"/>
      <c r="E266" s="9"/>
      <c r="G266" s="9"/>
      <c r="H266" s="9"/>
      <c r="I266" s="9"/>
      <c r="U266" s="2353"/>
      <c r="V266" s="113"/>
      <c r="W266" s="2352"/>
      <c r="X266" s="2353"/>
      <c r="Y266" s="2352"/>
    </row>
    <row r="267" spans="3:25" x14ac:dyDescent="0.2">
      <c r="D267" s="9"/>
      <c r="E267" s="9"/>
      <c r="G267" s="9"/>
      <c r="H267" s="9"/>
      <c r="I267" s="9"/>
      <c r="U267" s="2353"/>
      <c r="V267" s="113"/>
      <c r="W267" s="2352"/>
      <c r="X267" s="2353"/>
      <c r="Y267" s="2352"/>
    </row>
    <row r="268" spans="3:25" x14ac:dyDescent="0.2">
      <c r="D268" s="9"/>
      <c r="E268" s="9"/>
      <c r="G268" s="9"/>
      <c r="H268" s="9"/>
      <c r="I268" s="9"/>
      <c r="U268" s="2353"/>
      <c r="V268" s="113"/>
      <c r="W268" s="2352"/>
      <c r="X268" s="2353"/>
      <c r="Y268" s="2352"/>
    </row>
    <row r="269" spans="3:25" x14ac:dyDescent="0.2">
      <c r="D269" s="9"/>
      <c r="E269" s="9"/>
      <c r="G269" s="9"/>
      <c r="H269" s="9"/>
      <c r="I269" s="9"/>
      <c r="U269" s="2353"/>
      <c r="V269" s="113"/>
      <c r="W269" s="2352"/>
      <c r="X269" s="2353"/>
      <c r="Y269" s="2352"/>
    </row>
    <row r="270" spans="3:25" x14ac:dyDescent="0.2">
      <c r="D270" s="9"/>
      <c r="E270" s="9"/>
      <c r="G270" s="9"/>
      <c r="H270" s="9"/>
      <c r="I270" s="9"/>
      <c r="U270" s="2353"/>
      <c r="V270" s="113"/>
      <c r="W270" s="2352"/>
      <c r="X270" s="2353"/>
      <c r="Y270" s="2352"/>
    </row>
    <row r="271" spans="3:25" ht="13.5" thickBot="1" x14ac:dyDescent="0.25">
      <c r="D271" s="9"/>
      <c r="E271" s="9"/>
      <c r="G271" s="9"/>
      <c r="H271" s="9"/>
      <c r="I271" s="9"/>
      <c r="U271" s="2353"/>
      <c r="V271" s="113"/>
      <c r="W271" s="2352"/>
      <c r="X271" s="2353"/>
      <c r="Y271" s="2352"/>
    </row>
    <row r="272" spans="3:25" ht="16.5" thickBot="1" x14ac:dyDescent="0.25">
      <c r="C272" s="2770" t="s">
        <v>31165</v>
      </c>
      <c r="D272" s="2771"/>
      <c r="E272" s="9"/>
      <c r="F272" s="2770" t="s">
        <v>31166</v>
      </c>
      <c r="G272" s="2771"/>
      <c r="H272" s="9"/>
      <c r="I272" s="9"/>
      <c r="U272" s="2353"/>
      <c r="V272" s="113"/>
      <c r="W272" s="2352"/>
      <c r="X272" s="2353"/>
      <c r="Y272" s="2352"/>
    </row>
    <row r="273" spans="3:25" x14ac:dyDescent="0.2">
      <c r="C273" s="2420" t="s">
        <v>27673</v>
      </c>
      <c r="D273" s="2421">
        <v>7104082</v>
      </c>
      <c r="E273" s="9"/>
      <c r="F273" s="2422" t="s">
        <v>31167</v>
      </c>
      <c r="G273" s="2423">
        <f>Variantenkonfiguration!B16</f>
        <v>1500</v>
      </c>
      <c r="H273" s="9"/>
      <c r="I273" s="9"/>
      <c r="U273" s="2353"/>
      <c r="V273" s="113"/>
      <c r="W273" s="2352"/>
      <c r="X273" s="2353"/>
      <c r="Y273" s="2352"/>
    </row>
    <row r="274" spans="3:25" x14ac:dyDescent="0.2">
      <c r="C274" s="2424" t="s">
        <v>29383</v>
      </c>
      <c r="D274" s="2425" t="s">
        <v>31030</v>
      </c>
      <c r="E274" s="9"/>
      <c r="F274" s="2426" t="s">
        <v>31168</v>
      </c>
      <c r="G274" s="2427">
        <f>Variantenkonfiguration!B28+100</f>
        <v>1100</v>
      </c>
      <c r="U274" s="2353"/>
      <c r="V274" s="113"/>
      <c r="W274" s="2352"/>
      <c r="X274" s="2353"/>
      <c r="Y274" s="2352"/>
    </row>
    <row r="275" spans="3:25" ht="13.5" thickBot="1" x14ac:dyDescent="0.25">
      <c r="C275" s="2424" t="s">
        <v>27674</v>
      </c>
      <c r="D275" s="2425">
        <v>7101020</v>
      </c>
      <c r="E275" s="9"/>
      <c r="F275" s="2428" t="s">
        <v>31169</v>
      </c>
      <c r="G275" s="2429">
        <f>Variantenkonfiguration!B34+100</f>
        <v>714</v>
      </c>
      <c r="H275" s="9"/>
      <c r="I275" s="9"/>
      <c r="U275" s="2353"/>
      <c r="V275" s="113"/>
      <c r="W275" s="2352"/>
      <c r="X275" s="2353"/>
      <c r="Y275" s="2352"/>
    </row>
    <row r="276" spans="3:25" x14ac:dyDescent="0.2">
      <c r="C276" s="2424" t="s">
        <v>31170</v>
      </c>
      <c r="D276" s="2425" t="s">
        <v>30604</v>
      </c>
      <c r="E276" s="9"/>
      <c r="F276" s="2430" t="s">
        <v>31171</v>
      </c>
      <c r="G276" s="2431">
        <f>G273</f>
        <v>1500</v>
      </c>
      <c r="H276" s="9"/>
      <c r="I276" s="9"/>
      <c r="U276" s="2353"/>
      <c r="V276" s="113"/>
      <c r="W276" s="2352"/>
      <c r="X276" s="2353"/>
      <c r="Y276" s="2352"/>
    </row>
    <row r="277" spans="3:25" x14ac:dyDescent="0.2">
      <c r="C277" s="2420" t="s">
        <v>27672</v>
      </c>
      <c r="D277" s="2421">
        <v>7104048</v>
      </c>
      <c r="E277" s="9"/>
      <c r="F277" s="2426" t="s">
        <v>31172</v>
      </c>
      <c r="G277" s="2427">
        <f>G274-100</f>
        <v>1000</v>
      </c>
      <c r="H277" s="9"/>
      <c r="I277" s="9"/>
      <c r="U277" s="2353"/>
      <c r="V277" s="113"/>
      <c r="W277" s="2352"/>
      <c r="X277" s="2353"/>
      <c r="Y277" s="2352"/>
    </row>
    <row r="278" spans="3:25" ht="13.5" thickBot="1" x14ac:dyDescent="0.25">
      <c r="C278" s="2432" t="s">
        <v>27671</v>
      </c>
      <c r="D278" s="2433">
        <v>7104017</v>
      </c>
      <c r="E278" s="9"/>
      <c r="F278" s="2434" t="s">
        <v>31173</v>
      </c>
      <c r="G278" s="2435">
        <f>G275-100-100-23-50-50</f>
        <v>391</v>
      </c>
      <c r="H278" s="9"/>
      <c r="I278" s="9"/>
      <c r="U278" s="2353"/>
      <c r="V278" s="113"/>
      <c r="W278" s="2352"/>
      <c r="X278" s="2353"/>
      <c r="Y278" s="2352"/>
    </row>
    <row r="279" spans="3:25" ht="13.5" thickBot="1" x14ac:dyDescent="0.25">
      <c r="U279" s="2353"/>
      <c r="V279" s="113"/>
      <c r="W279" s="2352"/>
      <c r="X279" s="2353"/>
      <c r="Y279" s="2352"/>
    </row>
    <row r="280" spans="3:25" ht="15.75" x14ac:dyDescent="0.2">
      <c r="C280" s="2436" t="s">
        <v>31174</v>
      </c>
      <c r="D280" s="2437" t="s">
        <v>67</v>
      </c>
      <c r="E280" s="2438" t="s">
        <v>69</v>
      </c>
      <c r="F280" s="2438" t="s">
        <v>542</v>
      </c>
      <c r="G280" s="2438" t="s">
        <v>68</v>
      </c>
      <c r="H280" s="2438" t="s">
        <v>543</v>
      </c>
      <c r="I280" s="2439" t="s">
        <v>544</v>
      </c>
      <c r="U280" s="2353"/>
      <c r="V280" s="113"/>
      <c r="W280" s="2352"/>
      <c r="X280" s="2353"/>
      <c r="Y280" s="2352"/>
    </row>
    <row r="281" spans="3:25" x14ac:dyDescent="0.2">
      <c r="C281" s="2440" t="s">
        <v>29868</v>
      </c>
      <c r="D281" s="2348">
        <f>IF(D287=0,Variantenkonfiguration!B28,"N/A")</f>
        <v>1000</v>
      </c>
      <c r="E281" s="2348">
        <f>IF(D287=0,Variantenkonfiguration!B16,"N/A")</f>
        <v>1500</v>
      </c>
      <c r="F281" s="2348">
        <f>IF(D287=0,Variantenkonfiguration!B34,"N/A")</f>
        <v>614</v>
      </c>
      <c r="G281" s="2348">
        <v>1</v>
      </c>
      <c r="H281" s="2348" t="str">
        <f>IF(D285=1,D275,D274)</f>
        <v>0308531</v>
      </c>
      <c r="I281" s="2349" t="str">
        <f>IF(D285=1,C275,C274)</f>
        <v>Verstärkte Flachpalette mit Aufbau</v>
      </c>
      <c r="U281" s="2353"/>
      <c r="V281" s="113"/>
      <c r="W281" s="2352"/>
      <c r="X281" s="2353"/>
      <c r="Y281" s="2352"/>
    </row>
    <row r="282" spans="3:25" ht="13.5" thickBot="1" x14ac:dyDescent="0.25">
      <c r="C282" s="2441" t="s">
        <v>29869</v>
      </c>
      <c r="D282" s="1227">
        <v>800</v>
      </c>
      <c r="E282" s="1227">
        <v>1300</v>
      </c>
      <c r="F282" s="2350" t="s">
        <v>31123</v>
      </c>
      <c r="G282" s="1227">
        <f>Dateneingabe!K165</f>
        <v>0</v>
      </c>
      <c r="H282" s="1227" t="str">
        <f>IF(D285=1,D275,D276)</f>
        <v>0715214</v>
      </c>
      <c r="I282" s="2442" t="str">
        <f>IF(D285=1,C275,C276)</f>
        <v>Festfeldpalette GCC</v>
      </c>
      <c r="U282" s="2353"/>
      <c r="V282" s="113"/>
      <c r="W282" s="2352"/>
      <c r="X282" s="2353"/>
      <c r="Y282" s="2352"/>
    </row>
    <row r="283" spans="3:25" ht="13.5" thickBot="1" x14ac:dyDescent="0.25">
      <c r="U283" s="2353"/>
      <c r="V283" s="113"/>
      <c r="W283" s="2352"/>
      <c r="X283" s="2353"/>
      <c r="Y283" s="2352"/>
    </row>
    <row r="284" spans="3:25" ht="16.5" thickBot="1" x14ac:dyDescent="0.25">
      <c r="C284" s="2770" t="str">
        <f>Dateneingabe!F171</f>
        <v>IPPC</v>
      </c>
      <c r="D284" s="2771"/>
      <c r="U284" s="2353"/>
      <c r="V284" s="113"/>
      <c r="W284" s="2352"/>
      <c r="X284" s="2353"/>
      <c r="Y284" s="2352"/>
    </row>
    <row r="285" spans="3:25" ht="13.5" thickBot="1" x14ac:dyDescent="0.25">
      <c r="C285" s="2443" t="str">
        <f>Dateneingabe!F172</f>
        <v>Verpackung gemäß IPPC Standard</v>
      </c>
      <c r="D285" s="2354">
        <f>Dateneingabe!E172</f>
        <v>0</v>
      </c>
      <c r="U285" s="2353"/>
      <c r="V285" s="113"/>
      <c r="W285" s="2352"/>
      <c r="X285" s="2353"/>
      <c r="Y285" s="2352"/>
    </row>
    <row r="286" spans="3:25" ht="13.5" thickBot="1" x14ac:dyDescent="0.25">
      <c r="C286" s="2443" t="str">
        <f>Dateneingabe!F109</f>
        <v>k5</v>
      </c>
      <c r="D286" s="2462">
        <f>IF(Dateneingabe!F28=Dateneingabe!F109,1,0)</f>
        <v>0</v>
      </c>
      <c r="U286" s="2353"/>
      <c r="V286" s="113"/>
      <c r="W286" s="2352"/>
      <c r="X286" s="2353"/>
      <c r="Y286" s="2352"/>
    </row>
    <row r="287" spans="3:25" ht="13.5" thickBot="1" x14ac:dyDescent="0.25">
      <c r="D287" s="2462">
        <f>IF(SUM(D285:D286)&gt;0,1,0)</f>
        <v>0</v>
      </c>
      <c r="U287" s="2353"/>
      <c r="V287" s="113"/>
      <c r="W287" s="2352"/>
      <c r="X287" s="2353"/>
      <c r="Y287" s="2352"/>
    </row>
    <row r="288" spans="3:25" x14ac:dyDescent="0.2">
      <c r="U288" s="2353"/>
      <c r="V288" s="113"/>
      <c r="W288" s="2352"/>
      <c r="X288" s="2353"/>
      <c r="Y288" s="2352"/>
    </row>
    <row r="289" spans="5:25" x14ac:dyDescent="0.2">
      <c r="U289" s="2353"/>
      <c r="V289" s="113"/>
      <c r="W289" s="2352"/>
      <c r="X289" s="2353"/>
      <c r="Y289" s="2352"/>
    </row>
    <row r="290" spans="5:25" x14ac:dyDescent="0.2">
      <c r="U290" s="2353"/>
      <c r="V290" s="113"/>
      <c r="W290" s="2352"/>
      <c r="X290" s="2353"/>
      <c r="Y290" s="2352"/>
    </row>
    <row r="291" spans="5:25" ht="13.5" thickBot="1" x14ac:dyDescent="0.25"/>
    <row r="292" spans="5:25" x14ac:dyDescent="0.2">
      <c r="E292" s="2797" t="s">
        <v>28434</v>
      </c>
      <c r="F292" s="2798"/>
      <c r="G292" s="2798"/>
      <c r="H292" s="2799"/>
      <c r="I292" s="1210"/>
      <c r="J292" s="1210"/>
      <c r="K292" s="1210"/>
      <c r="L292" s="1210"/>
      <c r="M292" s="1252"/>
      <c r="U292" s="2797" t="s">
        <v>28433</v>
      </c>
      <c r="V292" s="2798"/>
      <c r="W292" s="2798"/>
      <c r="X292" s="2798"/>
      <c r="Y292" s="2799"/>
    </row>
    <row r="293" spans="5:25" ht="13.5" thickBot="1" x14ac:dyDescent="0.25">
      <c r="E293" s="2800"/>
      <c r="F293" s="2801"/>
      <c r="G293" s="2801"/>
      <c r="H293" s="2802"/>
      <c r="I293" s="745"/>
      <c r="J293" s="745"/>
      <c r="K293" s="745"/>
      <c r="L293" s="736">
        <f>IF(Dateneingabe!H30=175,1,0)</f>
        <v>1</v>
      </c>
      <c r="M293" s="739" t="s">
        <v>28443</v>
      </c>
      <c r="U293" s="2800"/>
      <c r="V293" s="2801"/>
      <c r="W293" s="2801"/>
      <c r="X293" s="2801"/>
      <c r="Y293" s="2802"/>
    </row>
    <row r="294" spans="5:25" ht="16.5" thickBot="1" x14ac:dyDescent="0.25">
      <c r="E294" s="1201"/>
      <c r="F294" s="745"/>
      <c r="G294" s="745"/>
      <c r="H294" s="745"/>
      <c r="I294" s="745"/>
      <c r="J294" s="745"/>
      <c r="K294" s="745"/>
      <c r="L294" s="736">
        <f>IF(Dateneingabe!H30=250,1,0)</f>
        <v>0</v>
      </c>
      <c r="M294" s="739" t="s">
        <v>28444</v>
      </c>
      <c r="U294" s="1258" t="s">
        <v>58</v>
      </c>
      <c r="V294" s="1262">
        <v>12.5</v>
      </c>
      <c r="W294" s="1262">
        <v>18</v>
      </c>
      <c r="X294" s="1262">
        <v>15</v>
      </c>
      <c r="Y294" s="1262">
        <v>6</v>
      </c>
    </row>
    <row r="295" spans="5:25" x14ac:dyDescent="0.2">
      <c r="E295" s="1201"/>
      <c r="F295" s="745"/>
      <c r="G295" s="1223" t="s">
        <v>818</v>
      </c>
      <c r="H295" s="736">
        <f>C12</f>
        <v>1100</v>
      </c>
      <c r="I295" s="745"/>
      <c r="J295" s="745"/>
      <c r="K295" s="745"/>
      <c r="L295" s="739">
        <f>IF(C10=Dateneingabe!E102,0,1)</f>
        <v>1</v>
      </c>
      <c r="M295" s="739" t="s">
        <v>28449</v>
      </c>
      <c r="U295" s="1259">
        <f>ROUNDUP(W295*$W$294+V295*$V$294+X295*$X$294+Y295*$Y$294,0)</f>
        <v>18</v>
      </c>
      <c r="V295" s="1210">
        <v>0</v>
      </c>
      <c r="W295" s="1210">
        <v>1</v>
      </c>
      <c r="X295" s="1210">
        <v>0</v>
      </c>
      <c r="Y295" s="1252">
        <v>0</v>
      </c>
    </row>
    <row r="296" spans="5:25" x14ac:dyDescent="0.2">
      <c r="E296" s="1201"/>
      <c r="F296" s="745"/>
      <c r="G296" s="1223" t="s">
        <v>425</v>
      </c>
      <c r="H296" s="736">
        <f>C11</f>
        <v>365</v>
      </c>
      <c r="I296" s="745"/>
      <c r="J296" s="745"/>
      <c r="K296" s="745"/>
      <c r="L296" s="743">
        <f>IF(AND(Dateneingabe!F34&gt;=75,Dateneingabe!F34-H297*250&lt;1002,H298&lt;1001),1,0)</f>
        <v>1</v>
      </c>
      <c r="M296" s="739" t="s">
        <v>28454</v>
      </c>
      <c r="U296" s="1260">
        <f t="shared" ref="U296:U359" si="40">ROUNDUP(W296*$W$294+V296*$V$294+X296*$X$294+Y296*$Y$294,0)</f>
        <v>36</v>
      </c>
      <c r="V296" s="745">
        <v>0</v>
      </c>
      <c r="W296" s="745">
        <v>2</v>
      </c>
      <c r="X296" s="745">
        <v>0</v>
      </c>
      <c r="Y296" s="1202">
        <v>0</v>
      </c>
    </row>
    <row r="297" spans="5:25" x14ac:dyDescent="0.2">
      <c r="E297" s="1201"/>
      <c r="F297" s="745"/>
      <c r="G297" s="1267" t="s">
        <v>28450</v>
      </c>
      <c r="H297" s="943">
        <f>Dateneingabe!H28</f>
        <v>0</v>
      </c>
      <c r="I297" s="745"/>
      <c r="J297" s="745"/>
      <c r="K297" s="745"/>
      <c r="L297" s="802">
        <f>IF(AND(Dateneingabe!F28&lt;&gt;Dateneingabe!F101,Dateneingabe!F30=Dateneingabe!E101),1,0)</f>
        <v>1</v>
      </c>
      <c r="M297" s="739" t="s">
        <v>28465</v>
      </c>
      <c r="U297" s="1260">
        <f t="shared" si="40"/>
        <v>54</v>
      </c>
      <c r="V297" s="745">
        <v>0</v>
      </c>
      <c r="W297" s="745">
        <v>3</v>
      </c>
      <c r="X297" s="745">
        <v>0</v>
      </c>
      <c r="Y297" s="1202">
        <v>0</v>
      </c>
    </row>
    <row r="298" spans="5:25" x14ac:dyDescent="0.2">
      <c r="E298" s="1201"/>
      <c r="F298" s="745"/>
      <c r="G298" s="1223" t="s">
        <v>28428</v>
      </c>
      <c r="H298" s="736">
        <f>H296-(H297*250)</f>
        <v>365</v>
      </c>
      <c r="I298" s="745"/>
      <c r="J298" s="745"/>
      <c r="K298" s="745"/>
      <c r="L298" s="736">
        <f>IF(Dateneingabe!H30=175,ROUNDDOWN((H296-75)/250,0),0)</f>
        <v>1</v>
      </c>
      <c r="M298" s="739" t="s">
        <v>28471</v>
      </c>
      <c r="U298" s="1260">
        <f t="shared" si="40"/>
        <v>72</v>
      </c>
      <c r="V298" s="745">
        <v>0</v>
      </c>
      <c r="W298" s="745">
        <v>4</v>
      </c>
      <c r="X298" s="745">
        <v>0</v>
      </c>
      <c r="Y298" s="1202">
        <v>0</v>
      </c>
    </row>
    <row r="299" spans="5:25" x14ac:dyDescent="0.2">
      <c r="E299" s="1201"/>
      <c r="F299" s="745"/>
      <c r="G299" s="745"/>
      <c r="H299" s="745"/>
      <c r="I299" s="745"/>
      <c r="J299" s="745"/>
      <c r="K299" s="745"/>
      <c r="L299" s="745"/>
      <c r="M299" s="1202"/>
      <c r="U299" s="1260">
        <f t="shared" si="40"/>
        <v>90</v>
      </c>
      <c r="V299" s="745">
        <v>0</v>
      </c>
      <c r="W299" s="745">
        <v>5</v>
      </c>
      <c r="X299" s="745">
        <v>0</v>
      </c>
      <c r="Y299" s="1202">
        <v>0</v>
      </c>
    </row>
    <row r="300" spans="5:25" ht="24" customHeight="1" x14ac:dyDescent="0.2">
      <c r="E300" s="2322" t="s">
        <v>31031</v>
      </c>
      <c r="F300" s="2320" t="s">
        <v>28451</v>
      </c>
      <c r="G300" s="2320" t="s">
        <v>31032</v>
      </c>
      <c r="H300" s="745"/>
      <c r="I300" s="745"/>
      <c r="J300" s="2751" t="s">
        <v>28430</v>
      </c>
      <c r="K300" s="2752"/>
      <c r="L300" s="2752"/>
      <c r="M300" s="2796"/>
      <c r="U300" s="1260">
        <f t="shared" si="40"/>
        <v>108</v>
      </c>
      <c r="V300" s="745">
        <v>0</v>
      </c>
      <c r="W300" s="745">
        <v>6</v>
      </c>
      <c r="X300" s="745">
        <v>0</v>
      </c>
      <c r="Y300" s="1202">
        <v>0</v>
      </c>
    </row>
    <row r="301" spans="5:25" x14ac:dyDescent="0.2">
      <c r="E301" s="1263" t="s">
        <v>28432</v>
      </c>
      <c r="F301" s="736">
        <f>IF(AND(L295=1,L296=1),ROUNDUP(VLOOKUP(1,$H$302:$M$1228,3,FALSE)*$H$295/1250,0),0)</f>
        <v>25</v>
      </c>
      <c r="G301" s="2321">
        <f>IF(AND(L295=1,L296=1),ROUNDUP(VLOOKUP(1,$H$302:$M$1228,3,FALSE)*$H$295/1225,0),0)</f>
        <v>26</v>
      </c>
      <c r="H301" s="1223" t="s">
        <v>28431</v>
      </c>
      <c r="I301" s="1223" t="s">
        <v>28429</v>
      </c>
      <c r="J301" s="1223" t="s">
        <v>28426</v>
      </c>
      <c r="K301" s="1223" t="s">
        <v>28425</v>
      </c>
      <c r="L301" s="1223" t="s">
        <v>28435</v>
      </c>
      <c r="M301" s="1265" t="s">
        <v>28427</v>
      </c>
      <c r="U301" s="1260">
        <f t="shared" si="40"/>
        <v>126</v>
      </c>
      <c r="V301" s="745">
        <v>0</v>
      </c>
      <c r="W301" s="745">
        <v>7</v>
      </c>
      <c r="X301" s="745">
        <v>0</v>
      </c>
      <c r="Y301" s="1202">
        <v>0</v>
      </c>
    </row>
    <row r="302" spans="5:25" ht="15" x14ac:dyDescent="0.2">
      <c r="E302" s="1263" t="s">
        <v>28425</v>
      </c>
      <c r="F302" s="736">
        <f>IF(AND(L295=1,L296=1),ROUNDUP(VLOOKUP(1,$H$302:$M$1228,4,FALSE)*$H$295/1250,0),0)</f>
        <v>0</v>
      </c>
      <c r="G302" s="2327">
        <f>IF(AND(L295=1,L296=1),ROUNDUP(VLOOKUP(1,$H$302:$M$1228,4,FALSE)*$H$295/1225,0),0)</f>
        <v>0</v>
      </c>
      <c r="H302" s="2326">
        <f t="shared" ref="H302:H365" si="41">IF($H$298=I302,1,0)</f>
        <v>0</v>
      </c>
      <c r="I302" s="736">
        <v>75</v>
      </c>
      <c r="J302" s="736">
        <f t="shared" ref="J302:J365" si="42">VLOOKUP($I302,$U$295:$Y$1758,2,FALSE)</f>
        <v>6</v>
      </c>
      <c r="K302" s="736">
        <f>IF(VLOOKUP($I302,$U$295:$Y$1758,3,FALSE)&gt;0,VLOOKUP($I302,$U$295:$Y$1758,3,FALSE)-1,VLOOKUP($I302,$U$295:$Y$1758,3,FALSE))</f>
        <v>0</v>
      </c>
      <c r="L302" s="736">
        <f t="shared" ref="L302:L365" si="43">VLOOKUP($I302,$U$295:$Y$1758,4,FALSE)</f>
        <v>0</v>
      </c>
      <c r="M302" s="1264">
        <f>VLOOKUP($I302,$U$295:$Y$1758,5,FALSE)+1</f>
        <v>1</v>
      </c>
      <c r="U302" s="1260">
        <f t="shared" si="40"/>
        <v>144</v>
      </c>
      <c r="V302" s="745">
        <v>0</v>
      </c>
      <c r="W302" s="745">
        <v>8</v>
      </c>
      <c r="X302" s="745">
        <v>0</v>
      </c>
      <c r="Y302" s="1202">
        <v>0</v>
      </c>
    </row>
    <row r="303" spans="5:25" ht="15" x14ac:dyDescent="0.2">
      <c r="E303" s="1263" t="s">
        <v>28436</v>
      </c>
      <c r="F303" s="736">
        <f>IF(AND(L295=1,L296=1),ROUNDUP(VLOOKUP(1,$H$302:$M$1228,5,FALSE)*$H$295/1250,0),0)</f>
        <v>1</v>
      </c>
      <c r="G303" s="2327">
        <f>IF(AND(L295=1,L296=1),ROUNDUP(VLOOKUP(1,$H$302:$M$1228,5,FALSE)*$H$295/1225,0),0)</f>
        <v>1</v>
      </c>
      <c r="H303" s="2326">
        <f t="shared" si="41"/>
        <v>0</v>
      </c>
      <c r="I303" s="736">
        <v>76</v>
      </c>
      <c r="J303" s="736">
        <f t="shared" si="42"/>
        <v>2</v>
      </c>
      <c r="K303" s="2532">
        <f t="shared" ref="K303:K366" si="44">IF(VLOOKUP($I303,$U$295:$Y$1758,3,FALSE)&gt;0,VLOOKUP($I303,$U$295:$Y$1758,3,FALSE)-1,VLOOKUP($I303,$U$295:$Y$1758,3,FALSE))</f>
        <v>1</v>
      </c>
      <c r="L303" s="736">
        <f t="shared" si="43"/>
        <v>1</v>
      </c>
      <c r="M303" s="2533">
        <f t="shared" ref="M303:M366" si="45">VLOOKUP($I303,$U$295:$Y$1758,5,FALSE)+1</f>
        <v>1</v>
      </c>
      <c r="U303" s="1260">
        <f t="shared" si="40"/>
        <v>162</v>
      </c>
      <c r="V303" s="745">
        <v>0</v>
      </c>
      <c r="W303" s="745">
        <v>9</v>
      </c>
      <c r="X303" s="745">
        <v>0</v>
      </c>
      <c r="Y303" s="1202">
        <v>0</v>
      </c>
    </row>
    <row r="304" spans="5:25" ht="15" x14ac:dyDescent="0.2">
      <c r="E304" s="1263" t="s">
        <v>28427</v>
      </c>
      <c r="F304" s="736">
        <f>IF(AND(L295=1,L296=1),ROUNDUP(VLOOKUP(1,$H$302:$M$1228,6,FALSE)*$H$295/1250,0),0)</f>
        <v>1</v>
      </c>
      <c r="G304" s="2327">
        <f>IF(AND(L295=1,L296=1),ROUNDUP(VLOOKUP(1,$H$302:$M$1228,6,FALSE)*$H$295/1225,0),0)</f>
        <v>1</v>
      </c>
      <c r="H304" s="2326">
        <f t="shared" si="41"/>
        <v>0</v>
      </c>
      <c r="I304" s="736">
        <v>77</v>
      </c>
      <c r="J304" s="736">
        <f t="shared" si="42"/>
        <v>3</v>
      </c>
      <c r="K304" s="2532">
        <f t="shared" si="44"/>
        <v>0</v>
      </c>
      <c r="L304" s="736">
        <f t="shared" si="43"/>
        <v>1</v>
      </c>
      <c r="M304" s="2533">
        <f t="shared" si="45"/>
        <v>2</v>
      </c>
      <c r="U304" s="1260">
        <f t="shared" si="40"/>
        <v>180</v>
      </c>
      <c r="V304" s="745">
        <v>0</v>
      </c>
      <c r="W304" s="745">
        <v>10</v>
      </c>
      <c r="X304" s="745">
        <v>0</v>
      </c>
      <c r="Y304" s="1202">
        <v>0</v>
      </c>
    </row>
    <row r="305" spans="5:25" ht="15.75" thickBot="1" x14ac:dyDescent="0.25">
      <c r="E305" s="1201"/>
      <c r="F305" s="745"/>
      <c r="G305" s="745"/>
      <c r="H305" s="1256">
        <f t="shared" si="41"/>
        <v>0</v>
      </c>
      <c r="I305" s="736">
        <v>78</v>
      </c>
      <c r="J305" s="736">
        <f t="shared" si="42"/>
        <v>5</v>
      </c>
      <c r="K305" s="2532">
        <f t="shared" si="44"/>
        <v>0</v>
      </c>
      <c r="L305" s="736">
        <f t="shared" si="43"/>
        <v>1</v>
      </c>
      <c r="M305" s="2533">
        <f t="shared" si="45"/>
        <v>1</v>
      </c>
      <c r="U305" s="1260">
        <f t="shared" si="40"/>
        <v>198</v>
      </c>
      <c r="V305" s="745">
        <v>0</v>
      </c>
      <c r="W305" s="745">
        <v>11</v>
      </c>
      <c r="X305" s="745">
        <v>0</v>
      </c>
      <c r="Y305" s="1202">
        <v>0</v>
      </c>
    </row>
    <row r="306" spans="5:25" ht="15.75" thickBot="1" x14ac:dyDescent="0.25">
      <c r="E306" s="1271" t="s">
        <v>27658</v>
      </c>
      <c r="F306" s="1208">
        <f>SUM(F301:F304)</f>
        <v>27</v>
      </c>
      <c r="G306" s="745"/>
      <c r="H306" s="1256">
        <f t="shared" si="41"/>
        <v>0</v>
      </c>
      <c r="I306" s="736">
        <v>79</v>
      </c>
      <c r="J306" s="736">
        <f t="shared" si="42"/>
        <v>2</v>
      </c>
      <c r="K306" s="2532">
        <f t="shared" si="44"/>
        <v>2</v>
      </c>
      <c r="L306" s="736">
        <f t="shared" si="43"/>
        <v>0</v>
      </c>
      <c r="M306" s="2533">
        <f t="shared" si="45"/>
        <v>1</v>
      </c>
      <c r="U306" s="1260">
        <f t="shared" si="40"/>
        <v>216</v>
      </c>
      <c r="V306" s="745">
        <v>0</v>
      </c>
      <c r="W306" s="745">
        <v>12</v>
      </c>
      <c r="X306" s="745">
        <v>0</v>
      </c>
      <c r="Y306" s="1202">
        <v>0</v>
      </c>
    </row>
    <row r="307" spans="5:25" ht="15" x14ac:dyDescent="0.2">
      <c r="E307" s="1201"/>
      <c r="F307" s="745"/>
      <c r="G307" s="745"/>
      <c r="H307" s="1256">
        <f t="shared" si="41"/>
        <v>0</v>
      </c>
      <c r="I307" s="736">
        <v>80</v>
      </c>
      <c r="J307" s="736">
        <f t="shared" si="42"/>
        <v>3</v>
      </c>
      <c r="K307" s="2532">
        <f t="shared" si="44"/>
        <v>1</v>
      </c>
      <c r="L307" s="736">
        <f t="shared" si="43"/>
        <v>0</v>
      </c>
      <c r="M307" s="2533">
        <f t="shared" si="45"/>
        <v>2</v>
      </c>
      <c r="U307" s="1260">
        <f t="shared" si="40"/>
        <v>234</v>
      </c>
      <c r="V307" s="745">
        <v>0</v>
      </c>
      <c r="W307" s="745">
        <v>13</v>
      </c>
      <c r="X307" s="745">
        <v>0</v>
      </c>
      <c r="Y307" s="1202">
        <v>0</v>
      </c>
    </row>
    <row r="308" spans="5:25" ht="15" x14ac:dyDescent="0.2">
      <c r="E308" s="1201"/>
      <c r="F308" s="745"/>
      <c r="G308" s="745"/>
      <c r="H308" s="1256">
        <f t="shared" si="41"/>
        <v>0</v>
      </c>
      <c r="I308" s="736">
        <v>81</v>
      </c>
      <c r="J308" s="736">
        <f t="shared" si="42"/>
        <v>5</v>
      </c>
      <c r="K308" s="2532">
        <f t="shared" si="44"/>
        <v>0</v>
      </c>
      <c r="L308" s="736">
        <f t="shared" si="43"/>
        <v>0</v>
      </c>
      <c r="M308" s="2533">
        <f t="shared" si="45"/>
        <v>1</v>
      </c>
      <c r="U308" s="1260">
        <f t="shared" si="40"/>
        <v>252</v>
      </c>
      <c r="V308" s="745">
        <v>0</v>
      </c>
      <c r="W308" s="745">
        <v>14</v>
      </c>
      <c r="X308" s="745">
        <v>0</v>
      </c>
      <c r="Y308" s="1202">
        <v>0</v>
      </c>
    </row>
    <row r="309" spans="5:25" ht="15" x14ac:dyDescent="0.2">
      <c r="E309" s="1201"/>
      <c r="F309" s="745"/>
      <c r="G309" s="745"/>
      <c r="H309" s="1256">
        <f t="shared" si="41"/>
        <v>0</v>
      </c>
      <c r="I309" s="736">
        <v>82</v>
      </c>
      <c r="J309" s="736">
        <f t="shared" si="42"/>
        <v>1</v>
      </c>
      <c r="K309" s="2532">
        <f t="shared" si="44"/>
        <v>2</v>
      </c>
      <c r="L309" s="736">
        <f t="shared" si="43"/>
        <v>1</v>
      </c>
      <c r="M309" s="2533">
        <f t="shared" si="45"/>
        <v>1</v>
      </c>
      <c r="U309" s="1260">
        <f t="shared" si="40"/>
        <v>270</v>
      </c>
      <c r="V309" s="745">
        <v>0</v>
      </c>
      <c r="W309" s="745">
        <v>15</v>
      </c>
      <c r="X309" s="745">
        <v>0</v>
      </c>
      <c r="Y309" s="1202">
        <v>0</v>
      </c>
    </row>
    <row r="310" spans="5:25" ht="15" x14ac:dyDescent="0.2">
      <c r="E310" s="1201"/>
      <c r="F310" s="745"/>
      <c r="G310" s="745"/>
      <c r="H310" s="1256">
        <f t="shared" si="41"/>
        <v>0</v>
      </c>
      <c r="I310" s="736">
        <v>83</v>
      </c>
      <c r="J310" s="736">
        <f t="shared" si="42"/>
        <v>4</v>
      </c>
      <c r="K310" s="2532">
        <f t="shared" si="44"/>
        <v>0</v>
      </c>
      <c r="L310" s="736">
        <f t="shared" si="43"/>
        <v>1</v>
      </c>
      <c r="M310" s="2533">
        <f t="shared" si="45"/>
        <v>1</v>
      </c>
      <c r="U310" s="1260">
        <f t="shared" si="40"/>
        <v>288</v>
      </c>
      <c r="V310" s="745">
        <v>0</v>
      </c>
      <c r="W310" s="745">
        <v>16</v>
      </c>
      <c r="X310" s="745">
        <v>0</v>
      </c>
      <c r="Y310" s="1202">
        <v>0</v>
      </c>
    </row>
    <row r="311" spans="5:25" ht="15" x14ac:dyDescent="0.2">
      <c r="E311" s="1201"/>
      <c r="F311" s="745"/>
      <c r="G311" s="745"/>
      <c r="H311" s="1256">
        <f t="shared" si="41"/>
        <v>0</v>
      </c>
      <c r="I311" s="736">
        <v>84</v>
      </c>
      <c r="J311" s="736">
        <f t="shared" si="42"/>
        <v>5</v>
      </c>
      <c r="K311" s="2532">
        <f t="shared" si="44"/>
        <v>0</v>
      </c>
      <c r="L311" s="736">
        <f t="shared" si="43"/>
        <v>1</v>
      </c>
      <c r="M311" s="2533">
        <f t="shared" si="45"/>
        <v>2</v>
      </c>
      <c r="U311" s="1260">
        <f t="shared" si="40"/>
        <v>306</v>
      </c>
      <c r="V311" s="745">
        <v>0</v>
      </c>
      <c r="W311" s="745">
        <v>17</v>
      </c>
      <c r="X311" s="745">
        <v>0</v>
      </c>
      <c r="Y311" s="1202">
        <v>0</v>
      </c>
    </row>
    <row r="312" spans="5:25" ht="15" x14ac:dyDescent="0.2">
      <c r="E312" s="1201"/>
      <c r="F312" s="745"/>
      <c r="G312" s="745"/>
      <c r="H312" s="1256">
        <f t="shared" si="41"/>
        <v>0</v>
      </c>
      <c r="I312" s="736">
        <v>85</v>
      </c>
      <c r="J312" s="736">
        <f t="shared" si="42"/>
        <v>1</v>
      </c>
      <c r="K312" s="2532">
        <f t="shared" si="44"/>
        <v>3</v>
      </c>
      <c r="L312" s="736">
        <f t="shared" si="43"/>
        <v>0</v>
      </c>
      <c r="M312" s="2533">
        <f t="shared" si="45"/>
        <v>1</v>
      </c>
      <c r="U312" s="1260">
        <f t="shared" si="40"/>
        <v>324</v>
      </c>
      <c r="V312" s="745">
        <v>0</v>
      </c>
      <c r="W312" s="745">
        <v>18</v>
      </c>
      <c r="X312" s="745">
        <v>0</v>
      </c>
      <c r="Y312" s="1202">
        <v>0</v>
      </c>
    </row>
    <row r="313" spans="5:25" ht="15" x14ac:dyDescent="0.2">
      <c r="E313" s="1201"/>
      <c r="F313" s="745"/>
      <c r="G313" s="745"/>
      <c r="H313" s="1256">
        <f t="shared" si="41"/>
        <v>0</v>
      </c>
      <c r="I313" s="736">
        <v>86</v>
      </c>
      <c r="J313" s="736">
        <f t="shared" si="42"/>
        <v>4</v>
      </c>
      <c r="K313" s="2532">
        <f t="shared" si="44"/>
        <v>1</v>
      </c>
      <c r="L313" s="736">
        <f t="shared" si="43"/>
        <v>0</v>
      </c>
      <c r="M313" s="2533">
        <f t="shared" si="45"/>
        <v>1</v>
      </c>
      <c r="U313" s="1260">
        <f t="shared" si="40"/>
        <v>342</v>
      </c>
      <c r="V313" s="745">
        <v>0</v>
      </c>
      <c r="W313" s="745">
        <v>19</v>
      </c>
      <c r="X313" s="745">
        <v>0</v>
      </c>
      <c r="Y313" s="1202">
        <v>0</v>
      </c>
    </row>
    <row r="314" spans="5:25" ht="15" x14ac:dyDescent="0.2">
      <c r="E314" s="1201"/>
      <c r="F314" s="745"/>
      <c r="G314" s="745"/>
      <c r="H314" s="1256">
        <f t="shared" si="41"/>
        <v>0</v>
      </c>
      <c r="I314" s="736">
        <v>87</v>
      </c>
      <c r="J314" s="736">
        <f t="shared" si="42"/>
        <v>0</v>
      </c>
      <c r="K314" s="2532">
        <f t="shared" si="44"/>
        <v>3</v>
      </c>
      <c r="L314" s="736">
        <f t="shared" si="43"/>
        <v>1</v>
      </c>
      <c r="M314" s="2533">
        <f t="shared" si="45"/>
        <v>1</v>
      </c>
      <c r="U314" s="1260">
        <f t="shared" si="40"/>
        <v>360</v>
      </c>
      <c r="V314" s="745">
        <v>0</v>
      </c>
      <c r="W314" s="745">
        <v>20</v>
      </c>
      <c r="X314" s="745">
        <v>0</v>
      </c>
      <c r="Y314" s="1202">
        <v>0</v>
      </c>
    </row>
    <row r="315" spans="5:25" ht="15" x14ac:dyDescent="0.2">
      <c r="E315" s="1201"/>
      <c r="F315" s="745"/>
      <c r="G315" s="745"/>
      <c r="H315" s="1256">
        <f t="shared" si="41"/>
        <v>0</v>
      </c>
      <c r="I315" s="736">
        <v>88</v>
      </c>
      <c r="J315" s="736">
        <f t="shared" si="42"/>
        <v>7</v>
      </c>
      <c r="K315" s="2532">
        <f t="shared" si="44"/>
        <v>0</v>
      </c>
      <c r="L315" s="736">
        <f t="shared" si="43"/>
        <v>0</v>
      </c>
      <c r="M315" s="2533">
        <f t="shared" si="45"/>
        <v>1</v>
      </c>
      <c r="U315" s="1260">
        <f t="shared" si="40"/>
        <v>378</v>
      </c>
      <c r="V315" s="745">
        <v>0</v>
      </c>
      <c r="W315" s="745">
        <v>21</v>
      </c>
      <c r="X315" s="745">
        <v>0</v>
      </c>
      <c r="Y315" s="1202">
        <v>0</v>
      </c>
    </row>
    <row r="316" spans="5:25" ht="15" x14ac:dyDescent="0.2">
      <c r="E316" s="1201"/>
      <c r="F316" s="745"/>
      <c r="G316" s="745"/>
      <c r="H316" s="1256">
        <f t="shared" si="41"/>
        <v>0</v>
      </c>
      <c r="I316" s="736">
        <v>89</v>
      </c>
      <c r="J316" s="736">
        <f t="shared" si="42"/>
        <v>3</v>
      </c>
      <c r="K316" s="2532">
        <f t="shared" si="44"/>
        <v>1</v>
      </c>
      <c r="L316" s="736">
        <f t="shared" si="43"/>
        <v>1</v>
      </c>
      <c r="M316" s="2533">
        <f t="shared" si="45"/>
        <v>1</v>
      </c>
      <c r="U316" s="1260">
        <f t="shared" si="40"/>
        <v>396</v>
      </c>
      <c r="V316" s="745">
        <v>0</v>
      </c>
      <c r="W316" s="745">
        <v>22</v>
      </c>
      <c r="X316" s="745">
        <v>0</v>
      </c>
      <c r="Y316" s="1202">
        <v>0</v>
      </c>
    </row>
    <row r="317" spans="5:25" ht="15" x14ac:dyDescent="0.2">
      <c r="E317" s="1201"/>
      <c r="F317" s="745"/>
      <c r="G317" s="745"/>
      <c r="H317" s="1256">
        <f t="shared" si="41"/>
        <v>0</v>
      </c>
      <c r="I317" s="736">
        <v>90</v>
      </c>
      <c r="J317" s="736">
        <f t="shared" si="42"/>
        <v>0</v>
      </c>
      <c r="K317" s="2532">
        <f t="shared" si="44"/>
        <v>4</v>
      </c>
      <c r="L317" s="736">
        <f t="shared" si="43"/>
        <v>0</v>
      </c>
      <c r="M317" s="2533">
        <f t="shared" si="45"/>
        <v>1</v>
      </c>
      <c r="U317" s="1260">
        <f t="shared" si="40"/>
        <v>414</v>
      </c>
      <c r="V317" s="745">
        <v>0</v>
      </c>
      <c r="W317" s="745">
        <v>23</v>
      </c>
      <c r="X317" s="745">
        <v>0</v>
      </c>
      <c r="Y317" s="1202">
        <v>0</v>
      </c>
    </row>
    <row r="318" spans="5:25" ht="15" x14ac:dyDescent="0.2">
      <c r="E318" s="1201"/>
      <c r="F318" s="745"/>
      <c r="G318" s="745"/>
      <c r="H318" s="1256">
        <f t="shared" si="41"/>
        <v>0</v>
      </c>
      <c r="I318" s="736">
        <v>91</v>
      </c>
      <c r="J318" s="736">
        <f t="shared" si="42"/>
        <v>1</v>
      </c>
      <c r="K318" s="2532">
        <f t="shared" si="44"/>
        <v>3</v>
      </c>
      <c r="L318" s="736">
        <f t="shared" si="43"/>
        <v>0</v>
      </c>
      <c r="M318" s="2533">
        <f t="shared" si="45"/>
        <v>2</v>
      </c>
      <c r="U318" s="1260">
        <f t="shared" si="40"/>
        <v>432</v>
      </c>
      <c r="V318" s="745">
        <v>0</v>
      </c>
      <c r="W318" s="745">
        <v>24</v>
      </c>
      <c r="X318" s="745">
        <v>0</v>
      </c>
      <c r="Y318" s="1202">
        <v>0</v>
      </c>
    </row>
    <row r="319" spans="5:25" ht="15" x14ac:dyDescent="0.2">
      <c r="E319" s="1201"/>
      <c r="F319" s="745"/>
      <c r="G319" s="745"/>
      <c r="H319" s="1256">
        <f t="shared" si="41"/>
        <v>0</v>
      </c>
      <c r="I319" s="736">
        <v>92</v>
      </c>
      <c r="J319" s="736">
        <f t="shared" si="42"/>
        <v>3</v>
      </c>
      <c r="K319" s="2532">
        <f t="shared" si="44"/>
        <v>2</v>
      </c>
      <c r="L319" s="736">
        <f t="shared" si="43"/>
        <v>0</v>
      </c>
      <c r="M319" s="2533">
        <f t="shared" si="45"/>
        <v>1</v>
      </c>
      <c r="U319" s="1260">
        <f t="shared" si="40"/>
        <v>450</v>
      </c>
      <c r="V319" s="745">
        <v>0</v>
      </c>
      <c r="W319" s="745">
        <v>25</v>
      </c>
      <c r="X319" s="745">
        <v>0</v>
      </c>
      <c r="Y319" s="1202">
        <v>0</v>
      </c>
    </row>
    <row r="320" spans="5:25" ht="15" x14ac:dyDescent="0.2">
      <c r="E320" s="1201"/>
      <c r="F320" s="745"/>
      <c r="G320" s="745"/>
      <c r="H320" s="1256">
        <f t="shared" si="41"/>
        <v>0</v>
      </c>
      <c r="I320" s="736">
        <v>93</v>
      </c>
      <c r="J320" s="736">
        <f t="shared" si="42"/>
        <v>0</v>
      </c>
      <c r="K320" s="2532">
        <f t="shared" si="44"/>
        <v>3</v>
      </c>
      <c r="L320" s="736">
        <f t="shared" si="43"/>
        <v>1</v>
      </c>
      <c r="M320" s="2533">
        <f t="shared" si="45"/>
        <v>2</v>
      </c>
      <c r="U320" s="1260">
        <f t="shared" si="40"/>
        <v>468</v>
      </c>
      <c r="V320" s="745">
        <v>0</v>
      </c>
      <c r="W320" s="745">
        <v>26</v>
      </c>
      <c r="X320" s="745">
        <v>0</v>
      </c>
      <c r="Y320" s="1202">
        <v>0</v>
      </c>
    </row>
    <row r="321" spans="5:25" ht="15" x14ac:dyDescent="0.2">
      <c r="E321" s="1201"/>
      <c r="F321" s="745"/>
      <c r="G321" s="745"/>
      <c r="H321" s="1256">
        <f t="shared" si="41"/>
        <v>0</v>
      </c>
      <c r="I321" s="736">
        <v>94</v>
      </c>
      <c r="J321" s="736">
        <f t="shared" si="42"/>
        <v>2</v>
      </c>
      <c r="K321" s="2532">
        <f t="shared" si="44"/>
        <v>2</v>
      </c>
      <c r="L321" s="736">
        <f t="shared" si="43"/>
        <v>1</v>
      </c>
      <c r="M321" s="2533">
        <f t="shared" si="45"/>
        <v>1</v>
      </c>
      <c r="U321" s="1260">
        <f t="shared" si="40"/>
        <v>486</v>
      </c>
      <c r="V321" s="745">
        <v>0</v>
      </c>
      <c r="W321" s="745">
        <v>27</v>
      </c>
      <c r="X321" s="745">
        <v>0</v>
      </c>
      <c r="Y321" s="1202">
        <v>0</v>
      </c>
    </row>
    <row r="322" spans="5:25" ht="15" x14ac:dyDescent="0.2">
      <c r="E322" s="1201"/>
      <c r="F322" s="745"/>
      <c r="G322" s="745"/>
      <c r="H322" s="1256">
        <f t="shared" si="41"/>
        <v>0</v>
      </c>
      <c r="I322" s="736">
        <v>95</v>
      </c>
      <c r="J322" s="736">
        <f t="shared" si="42"/>
        <v>3</v>
      </c>
      <c r="K322" s="2532">
        <f t="shared" si="44"/>
        <v>1</v>
      </c>
      <c r="L322" s="736">
        <f t="shared" si="43"/>
        <v>1</v>
      </c>
      <c r="M322" s="2533">
        <f t="shared" si="45"/>
        <v>2</v>
      </c>
      <c r="U322" s="1260">
        <f t="shared" si="40"/>
        <v>504</v>
      </c>
      <c r="V322" s="745">
        <v>0</v>
      </c>
      <c r="W322" s="745">
        <v>28</v>
      </c>
      <c r="X322" s="745">
        <v>0</v>
      </c>
      <c r="Y322" s="1202">
        <v>0</v>
      </c>
    </row>
    <row r="323" spans="5:25" ht="15" x14ac:dyDescent="0.2">
      <c r="E323" s="1201"/>
      <c r="F323" s="745"/>
      <c r="G323" s="745"/>
      <c r="H323" s="1256">
        <f t="shared" si="41"/>
        <v>0</v>
      </c>
      <c r="I323" s="736">
        <v>96</v>
      </c>
      <c r="J323" s="736">
        <f t="shared" si="42"/>
        <v>5</v>
      </c>
      <c r="K323" s="2532">
        <f t="shared" si="44"/>
        <v>0</v>
      </c>
      <c r="L323" s="736">
        <f t="shared" si="43"/>
        <v>1</v>
      </c>
      <c r="M323" s="2533">
        <f t="shared" si="45"/>
        <v>1</v>
      </c>
      <c r="U323" s="1260">
        <f t="shared" si="40"/>
        <v>522</v>
      </c>
      <c r="V323" s="745">
        <v>0</v>
      </c>
      <c r="W323" s="745">
        <v>29</v>
      </c>
      <c r="X323" s="745">
        <v>0</v>
      </c>
      <c r="Y323" s="1202">
        <v>0</v>
      </c>
    </row>
    <row r="324" spans="5:25" ht="15" x14ac:dyDescent="0.2">
      <c r="E324" s="1201"/>
      <c r="F324" s="745"/>
      <c r="G324" s="745"/>
      <c r="H324" s="1256">
        <f t="shared" si="41"/>
        <v>0</v>
      </c>
      <c r="I324" s="736">
        <v>97</v>
      </c>
      <c r="J324" s="736">
        <f t="shared" si="42"/>
        <v>2</v>
      </c>
      <c r="K324" s="2532">
        <f t="shared" si="44"/>
        <v>3</v>
      </c>
      <c r="L324" s="736">
        <f t="shared" si="43"/>
        <v>0</v>
      </c>
      <c r="M324" s="2533">
        <f t="shared" si="45"/>
        <v>1</v>
      </c>
      <c r="U324" s="1260">
        <f t="shared" si="40"/>
        <v>540</v>
      </c>
      <c r="V324" s="745">
        <v>0</v>
      </c>
      <c r="W324" s="745">
        <v>30</v>
      </c>
      <c r="X324" s="745">
        <v>0</v>
      </c>
      <c r="Y324" s="1202">
        <v>0</v>
      </c>
    </row>
    <row r="325" spans="5:25" ht="15" x14ac:dyDescent="0.2">
      <c r="E325" s="1201"/>
      <c r="F325" s="745"/>
      <c r="G325" s="745"/>
      <c r="H325" s="1256">
        <f t="shared" si="41"/>
        <v>0</v>
      </c>
      <c r="I325" s="736">
        <v>98</v>
      </c>
      <c r="J325" s="736">
        <f t="shared" si="42"/>
        <v>3</v>
      </c>
      <c r="K325" s="2532">
        <f t="shared" si="44"/>
        <v>2</v>
      </c>
      <c r="L325" s="736">
        <f t="shared" si="43"/>
        <v>0</v>
      </c>
      <c r="M325" s="2533">
        <f t="shared" si="45"/>
        <v>2</v>
      </c>
      <c r="U325" s="1260">
        <f t="shared" si="40"/>
        <v>558</v>
      </c>
      <c r="V325" s="745">
        <v>0</v>
      </c>
      <c r="W325" s="745">
        <v>31</v>
      </c>
      <c r="X325" s="745">
        <v>0</v>
      </c>
      <c r="Y325" s="1202">
        <v>0</v>
      </c>
    </row>
    <row r="326" spans="5:25" ht="15" x14ac:dyDescent="0.2">
      <c r="E326" s="1201"/>
      <c r="F326" s="745"/>
      <c r="G326" s="745"/>
      <c r="H326" s="1256">
        <f t="shared" si="41"/>
        <v>0</v>
      </c>
      <c r="I326" s="736">
        <v>99</v>
      </c>
      <c r="J326" s="736">
        <f t="shared" si="42"/>
        <v>5</v>
      </c>
      <c r="K326" s="2532">
        <f t="shared" si="44"/>
        <v>1</v>
      </c>
      <c r="L326" s="736">
        <f t="shared" si="43"/>
        <v>0</v>
      </c>
      <c r="M326" s="2533">
        <f t="shared" si="45"/>
        <v>1</v>
      </c>
      <c r="U326" s="1260">
        <f t="shared" si="40"/>
        <v>576</v>
      </c>
      <c r="V326" s="745">
        <v>0</v>
      </c>
      <c r="W326" s="745">
        <v>32</v>
      </c>
      <c r="X326" s="745">
        <v>0</v>
      </c>
      <c r="Y326" s="1202">
        <v>0</v>
      </c>
    </row>
    <row r="327" spans="5:25" ht="15" x14ac:dyDescent="0.2">
      <c r="E327" s="1201"/>
      <c r="F327" s="745"/>
      <c r="G327" s="745"/>
      <c r="H327" s="1256">
        <f t="shared" si="41"/>
        <v>0</v>
      </c>
      <c r="I327" s="736">
        <v>100</v>
      </c>
      <c r="J327" s="736">
        <f t="shared" si="42"/>
        <v>8</v>
      </c>
      <c r="K327" s="2532">
        <f t="shared" si="44"/>
        <v>0</v>
      </c>
      <c r="L327" s="736">
        <f t="shared" si="43"/>
        <v>0</v>
      </c>
      <c r="M327" s="2533">
        <f t="shared" si="45"/>
        <v>1</v>
      </c>
      <c r="U327" s="1260">
        <f t="shared" si="40"/>
        <v>594</v>
      </c>
      <c r="V327" s="745">
        <v>0</v>
      </c>
      <c r="W327" s="745">
        <v>33</v>
      </c>
      <c r="X327" s="745">
        <v>0</v>
      </c>
      <c r="Y327" s="1202">
        <v>0</v>
      </c>
    </row>
    <row r="328" spans="5:25" ht="15" x14ac:dyDescent="0.2">
      <c r="E328" s="1201"/>
      <c r="F328" s="745"/>
      <c r="G328" s="745"/>
      <c r="H328" s="1256">
        <f t="shared" si="41"/>
        <v>0</v>
      </c>
      <c r="I328" s="736">
        <v>101</v>
      </c>
      <c r="J328" s="736">
        <f t="shared" si="42"/>
        <v>4</v>
      </c>
      <c r="K328" s="2532">
        <f t="shared" si="44"/>
        <v>1</v>
      </c>
      <c r="L328" s="736">
        <f t="shared" si="43"/>
        <v>1</v>
      </c>
      <c r="M328" s="2533">
        <f t="shared" si="45"/>
        <v>1</v>
      </c>
      <c r="U328" s="1260">
        <f t="shared" si="40"/>
        <v>612</v>
      </c>
      <c r="V328" s="745">
        <v>0</v>
      </c>
      <c r="W328" s="745">
        <v>34</v>
      </c>
      <c r="X328" s="745">
        <v>0</v>
      </c>
      <c r="Y328" s="1202">
        <v>0</v>
      </c>
    </row>
    <row r="329" spans="5:25" ht="15" x14ac:dyDescent="0.2">
      <c r="E329" s="1201"/>
      <c r="F329" s="745"/>
      <c r="G329" s="745"/>
      <c r="H329" s="1256">
        <f t="shared" si="41"/>
        <v>0</v>
      </c>
      <c r="I329" s="736">
        <v>102</v>
      </c>
      <c r="J329" s="736">
        <f t="shared" si="42"/>
        <v>5</v>
      </c>
      <c r="K329" s="2532">
        <f t="shared" si="44"/>
        <v>0</v>
      </c>
      <c r="L329" s="736">
        <f t="shared" si="43"/>
        <v>1</v>
      </c>
      <c r="M329" s="2533">
        <f t="shared" si="45"/>
        <v>2</v>
      </c>
      <c r="U329" s="1260">
        <f t="shared" si="40"/>
        <v>630</v>
      </c>
      <c r="V329" s="745">
        <v>0</v>
      </c>
      <c r="W329" s="745">
        <v>35</v>
      </c>
      <c r="X329" s="745">
        <v>0</v>
      </c>
      <c r="Y329" s="1202">
        <v>0</v>
      </c>
    </row>
    <row r="330" spans="5:25" ht="15" x14ac:dyDescent="0.2">
      <c r="E330" s="1201"/>
      <c r="F330" s="745"/>
      <c r="G330" s="745"/>
      <c r="H330" s="1256">
        <f t="shared" si="41"/>
        <v>0</v>
      </c>
      <c r="I330" s="736">
        <v>103</v>
      </c>
      <c r="J330" s="736">
        <f t="shared" si="42"/>
        <v>1</v>
      </c>
      <c r="K330" s="2532">
        <f t="shared" si="44"/>
        <v>4</v>
      </c>
      <c r="L330" s="736">
        <f t="shared" si="43"/>
        <v>0</v>
      </c>
      <c r="M330" s="2533">
        <f t="shared" si="45"/>
        <v>1</v>
      </c>
      <c r="U330" s="1260">
        <f t="shared" si="40"/>
        <v>648</v>
      </c>
      <c r="V330" s="745">
        <v>0</v>
      </c>
      <c r="W330" s="745">
        <v>36</v>
      </c>
      <c r="X330" s="745">
        <v>0</v>
      </c>
      <c r="Y330" s="1202">
        <v>0</v>
      </c>
    </row>
    <row r="331" spans="5:25" ht="15" x14ac:dyDescent="0.2">
      <c r="E331" s="1201"/>
      <c r="F331" s="745"/>
      <c r="G331" s="745"/>
      <c r="H331" s="1256">
        <f t="shared" si="41"/>
        <v>0</v>
      </c>
      <c r="I331" s="736">
        <v>104</v>
      </c>
      <c r="J331" s="736">
        <f t="shared" si="42"/>
        <v>4</v>
      </c>
      <c r="K331" s="2532">
        <f t="shared" si="44"/>
        <v>2</v>
      </c>
      <c r="L331" s="736">
        <f t="shared" si="43"/>
        <v>0</v>
      </c>
      <c r="M331" s="2533">
        <f t="shared" si="45"/>
        <v>1</v>
      </c>
      <c r="U331" s="1260">
        <f t="shared" si="40"/>
        <v>666</v>
      </c>
      <c r="V331" s="745">
        <v>0</v>
      </c>
      <c r="W331" s="745">
        <v>37</v>
      </c>
      <c r="X331" s="745">
        <v>0</v>
      </c>
      <c r="Y331" s="1202">
        <v>0</v>
      </c>
    </row>
    <row r="332" spans="5:25" ht="15" x14ac:dyDescent="0.2">
      <c r="E332" s="1201"/>
      <c r="F332" s="745"/>
      <c r="G332" s="745"/>
      <c r="H332" s="1256">
        <f t="shared" si="41"/>
        <v>0</v>
      </c>
      <c r="I332" s="736">
        <v>105</v>
      </c>
      <c r="J332" s="736">
        <f t="shared" si="42"/>
        <v>0</v>
      </c>
      <c r="K332" s="2532">
        <f t="shared" si="44"/>
        <v>4</v>
      </c>
      <c r="L332" s="736">
        <f t="shared" si="43"/>
        <v>1</v>
      </c>
      <c r="M332" s="2533">
        <f t="shared" si="45"/>
        <v>1</v>
      </c>
      <c r="U332" s="1260">
        <f t="shared" si="40"/>
        <v>684</v>
      </c>
      <c r="V332" s="745">
        <v>0</v>
      </c>
      <c r="W332" s="745">
        <v>38</v>
      </c>
      <c r="X332" s="745">
        <v>0</v>
      </c>
      <c r="Y332" s="1202">
        <v>0</v>
      </c>
    </row>
    <row r="333" spans="5:25" ht="15" x14ac:dyDescent="0.2">
      <c r="E333" s="1201"/>
      <c r="F333" s="745"/>
      <c r="G333" s="745"/>
      <c r="H333" s="1256">
        <f t="shared" si="41"/>
        <v>0</v>
      </c>
      <c r="I333" s="736">
        <v>106</v>
      </c>
      <c r="J333" s="736">
        <f t="shared" si="42"/>
        <v>8</v>
      </c>
      <c r="K333" s="2532">
        <f t="shared" si="44"/>
        <v>0</v>
      </c>
      <c r="L333" s="736">
        <f t="shared" si="43"/>
        <v>0</v>
      </c>
      <c r="M333" s="2533">
        <f t="shared" si="45"/>
        <v>2</v>
      </c>
      <c r="U333" s="1260">
        <f t="shared" si="40"/>
        <v>702</v>
      </c>
      <c r="V333" s="745">
        <v>0</v>
      </c>
      <c r="W333" s="745">
        <v>39</v>
      </c>
      <c r="X333" s="745">
        <v>0</v>
      </c>
      <c r="Y333" s="1202">
        <v>0</v>
      </c>
    </row>
    <row r="334" spans="5:25" ht="15" x14ac:dyDescent="0.2">
      <c r="E334" s="1201"/>
      <c r="F334" s="745"/>
      <c r="G334" s="745"/>
      <c r="H334" s="1256">
        <f t="shared" si="41"/>
        <v>0</v>
      </c>
      <c r="I334" s="736">
        <v>107</v>
      </c>
      <c r="J334" s="736">
        <f t="shared" si="42"/>
        <v>3</v>
      </c>
      <c r="K334" s="2532">
        <f t="shared" si="44"/>
        <v>2</v>
      </c>
      <c r="L334" s="736">
        <f t="shared" si="43"/>
        <v>1</v>
      </c>
      <c r="M334" s="2533">
        <f t="shared" si="45"/>
        <v>1</v>
      </c>
      <c r="U334" s="1260">
        <f t="shared" si="40"/>
        <v>720</v>
      </c>
      <c r="V334" s="745">
        <v>0</v>
      </c>
      <c r="W334" s="745">
        <v>40</v>
      </c>
      <c r="X334" s="745">
        <v>0</v>
      </c>
      <c r="Y334" s="1202">
        <v>0</v>
      </c>
    </row>
    <row r="335" spans="5:25" ht="15" x14ac:dyDescent="0.2">
      <c r="E335" s="1201"/>
      <c r="F335" s="745"/>
      <c r="G335" s="745"/>
      <c r="H335" s="1256">
        <f t="shared" si="41"/>
        <v>0</v>
      </c>
      <c r="I335" s="736">
        <v>108</v>
      </c>
      <c r="J335" s="736">
        <f t="shared" si="42"/>
        <v>0</v>
      </c>
      <c r="K335" s="2532">
        <f t="shared" si="44"/>
        <v>5</v>
      </c>
      <c r="L335" s="736">
        <f t="shared" si="43"/>
        <v>0</v>
      </c>
      <c r="M335" s="2533">
        <f t="shared" si="45"/>
        <v>1</v>
      </c>
      <c r="U335" s="1260">
        <f t="shared" si="40"/>
        <v>738</v>
      </c>
      <c r="V335" s="745">
        <v>0</v>
      </c>
      <c r="W335" s="745">
        <v>41</v>
      </c>
      <c r="X335" s="745">
        <v>0</v>
      </c>
      <c r="Y335" s="1202">
        <v>0</v>
      </c>
    </row>
    <row r="336" spans="5:25" ht="15" x14ac:dyDescent="0.2">
      <c r="E336" s="1201"/>
      <c r="F336" s="745"/>
      <c r="G336" s="745"/>
      <c r="H336" s="1256">
        <f t="shared" si="41"/>
        <v>0</v>
      </c>
      <c r="I336" s="736">
        <v>109</v>
      </c>
      <c r="J336" s="736">
        <f t="shared" si="42"/>
        <v>1</v>
      </c>
      <c r="K336" s="2532">
        <f t="shared" si="44"/>
        <v>4</v>
      </c>
      <c r="L336" s="736">
        <f t="shared" si="43"/>
        <v>0</v>
      </c>
      <c r="M336" s="2533">
        <f t="shared" si="45"/>
        <v>2</v>
      </c>
      <c r="U336" s="1260">
        <f t="shared" si="40"/>
        <v>756</v>
      </c>
      <c r="V336" s="745">
        <v>0</v>
      </c>
      <c r="W336" s="745">
        <v>42</v>
      </c>
      <c r="X336" s="745">
        <v>0</v>
      </c>
      <c r="Y336" s="1202">
        <v>0</v>
      </c>
    </row>
    <row r="337" spans="5:25" ht="15" x14ac:dyDescent="0.2">
      <c r="E337" s="1201"/>
      <c r="F337" s="745"/>
      <c r="G337" s="745"/>
      <c r="H337" s="1256">
        <f t="shared" si="41"/>
        <v>0</v>
      </c>
      <c r="I337" s="736">
        <v>110</v>
      </c>
      <c r="J337" s="736">
        <f t="shared" si="42"/>
        <v>3</v>
      </c>
      <c r="K337" s="2532">
        <f t="shared" si="44"/>
        <v>3</v>
      </c>
      <c r="L337" s="736">
        <f t="shared" si="43"/>
        <v>0</v>
      </c>
      <c r="M337" s="2533">
        <f t="shared" si="45"/>
        <v>1</v>
      </c>
      <c r="U337" s="1260">
        <f t="shared" si="40"/>
        <v>774</v>
      </c>
      <c r="V337" s="745">
        <v>0</v>
      </c>
      <c r="W337" s="745">
        <v>43</v>
      </c>
      <c r="X337" s="745">
        <v>0</v>
      </c>
      <c r="Y337" s="1202">
        <v>0</v>
      </c>
    </row>
    <row r="338" spans="5:25" ht="15" x14ac:dyDescent="0.2">
      <c r="E338" s="1201"/>
      <c r="F338" s="745"/>
      <c r="G338" s="745"/>
      <c r="H338" s="1256">
        <f t="shared" si="41"/>
        <v>0</v>
      </c>
      <c r="I338" s="736">
        <v>111</v>
      </c>
      <c r="J338" s="736">
        <f t="shared" si="42"/>
        <v>0</v>
      </c>
      <c r="K338" s="2532">
        <f t="shared" si="44"/>
        <v>4</v>
      </c>
      <c r="L338" s="736">
        <f t="shared" si="43"/>
        <v>1</v>
      </c>
      <c r="M338" s="2533">
        <f t="shared" si="45"/>
        <v>2</v>
      </c>
      <c r="U338" s="1260">
        <f t="shared" si="40"/>
        <v>792</v>
      </c>
      <c r="V338" s="745">
        <v>0</v>
      </c>
      <c r="W338" s="745">
        <v>44</v>
      </c>
      <c r="X338" s="745">
        <v>0</v>
      </c>
      <c r="Y338" s="1202">
        <v>0</v>
      </c>
    </row>
    <row r="339" spans="5:25" ht="15" x14ac:dyDescent="0.2">
      <c r="E339" s="1201"/>
      <c r="F339" s="745"/>
      <c r="G339" s="745"/>
      <c r="H339" s="1256">
        <f t="shared" si="41"/>
        <v>0</v>
      </c>
      <c r="I339" s="736">
        <v>112</v>
      </c>
      <c r="J339" s="736">
        <f t="shared" si="42"/>
        <v>2</v>
      </c>
      <c r="K339" s="2532">
        <f t="shared" si="44"/>
        <v>3</v>
      </c>
      <c r="L339" s="736">
        <f t="shared" si="43"/>
        <v>1</v>
      </c>
      <c r="M339" s="2533">
        <f t="shared" si="45"/>
        <v>1</v>
      </c>
      <c r="U339" s="1260">
        <f t="shared" si="40"/>
        <v>810</v>
      </c>
      <c r="V339" s="745">
        <v>0</v>
      </c>
      <c r="W339" s="745">
        <v>45</v>
      </c>
      <c r="X339" s="745">
        <v>0</v>
      </c>
      <c r="Y339" s="1202">
        <v>0</v>
      </c>
    </row>
    <row r="340" spans="5:25" ht="15" x14ac:dyDescent="0.2">
      <c r="E340" s="1201"/>
      <c r="F340" s="745"/>
      <c r="G340" s="745"/>
      <c r="H340" s="1256">
        <f t="shared" si="41"/>
        <v>0</v>
      </c>
      <c r="I340" s="736">
        <v>113</v>
      </c>
      <c r="J340" s="736">
        <f t="shared" si="42"/>
        <v>9</v>
      </c>
      <c r="K340" s="2532">
        <f t="shared" si="44"/>
        <v>0</v>
      </c>
      <c r="L340" s="736">
        <f t="shared" si="43"/>
        <v>0</v>
      </c>
      <c r="M340" s="2533">
        <f t="shared" si="45"/>
        <v>1</v>
      </c>
      <c r="U340" s="1260">
        <f t="shared" si="40"/>
        <v>828</v>
      </c>
      <c r="V340" s="745">
        <v>0</v>
      </c>
      <c r="W340" s="745">
        <v>46</v>
      </c>
      <c r="X340" s="745">
        <v>0</v>
      </c>
      <c r="Y340" s="1202">
        <v>0</v>
      </c>
    </row>
    <row r="341" spans="5:25" ht="15" x14ac:dyDescent="0.2">
      <c r="E341" s="1201"/>
      <c r="F341" s="745"/>
      <c r="G341" s="745"/>
      <c r="H341" s="1256">
        <f t="shared" si="41"/>
        <v>0</v>
      </c>
      <c r="I341" s="736">
        <v>114</v>
      </c>
      <c r="J341" s="736">
        <f t="shared" si="42"/>
        <v>5</v>
      </c>
      <c r="K341" s="2532">
        <f t="shared" si="44"/>
        <v>1</v>
      </c>
      <c r="L341" s="736">
        <f t="shared" si="43"/>
        <v>1</v>
      </c>
      <c r="M341" s="2533">
        <f t="shared" si="45"/>
        <v>1</v>
      </c>
      <c r="U341" s="1260">
        <f t="shared" si="40"/>
        <v>846</v>
      </c>
      <c r="V341" s="745">
        <v>0</v>
      </c>
      <c r="W341" s="745">
        <v>47</v>
      </c>
      <c r="X341" s="745">
        <v>0</v>
      </c>
      <c r="Y341" s="1202">
        <v>0</v>
      </c>
    </row>
    <row r="342" spans="5:25" ht="15" x14ac:dyDescent="0.2">
      <c r="E342" s="1201"/>
      <c r="F342" s="745"/>
      <c r="G342" s="745"/>
      <c r="H342" s="1256">
        <f t="shared" si="41"/>
        <v>0</v>
      </c>
      <c r="I342" s="736">
        <v>115</v>
      </c>
      <c r="J342" s="736">
        <f t="shared" si="42"/>
        <v>2</v>
      </c>
      <c r="K342" s="2532">
        <f t="shared" si="44"/>
        <v>4</v>
      </c>
      <c r="L342" s="736">
        <f t="shared" si="43"/>
        <v>0</v>
      </c>
      <c r="M342" s="2533">
        <f t="shared" si="45"/>
        <v>1</v>
      </c>
      <c r="U342" s="1260">
        <f t="shared" si="40"/>
        <v>864</v>
      </c>
      <c r="V342" s="745">
        <v>0</v>
      </c>
      <c r="W342" s="745">
        <v>48</v>
      </c>
      <c r="X342" s="745">
        <v>0</v>
      </c>
      <c r="Y342" s="1202">
        <v>0</v>
      </c>
    </row>
    <row r="343" spans="5:25" ht="15" x14ac:dyDescent="0.2">
      <c r="E343" s="1201"/>
      <c r="F343" s="745"/>
      <c r="G343" s="745"/>
      <c r="H343" s="1256">
        <f t="shared" si="41"/>
        <v>0</v>
      </c>
      <c r="I343" s="736">
        <v>116</v>
      </c>
      <c r="J343" s="736">
        <f t="shared" si="42"/>
        <v>3</v>
      </c>
      <c r="K343" s="2532">
        <f t="shared" si="44"/>
        <v>3</v>
      </c>
      <c r="L343" s="736">
        <f t="shared" si="43"/>
        <v>0</v>
      </c>
      <c r="M343" s="2533">
        <f t="shared" si="45"/>
        <v>2</v>
      </c>
      <c r="U343" s="1260">
        <f t="shared" si="40"/>
        <v>882</v>
      </c>
      <c r="V343" s="745">
        <v>0</v>
      </c>
      <c r="W343" s="745">
        <v>49</v>
      </c>
      <c r="X343" s="745">
        <v>0</v>
      </c>
      <c r="Y343" s="1202">
        <v>0</v>
      </c>
    </row>
    <row r="344" spans="5:25" ht="15" x14ac:dyDescent="0.2">
      <c r="E344" s="1201"/>
      <c r="F344" s="745"/>
      <c r="G344" s="745"/>
      <c r="H344" s="1256">
        <f t="shared" si="41"/>
        <v>0</v>
      </c>
      <c r="I344" s="736">
        <v>117</v>
      </c>
      <c r="J344" s="736">
        <f t="shared" si="42"/>
        <v>5</v>
      </c>
      <c r="K344" s="2532">
        <f t="shared" si="44"/>
        <v>2</v>
      </c>
      <c r="L344" s="736">
        <f t="shared" si="43"/>
        <v>0</v>
      </c>
      <c r="M344" s="2533">
        <f t="shared" si="45"/>
        <v>1</v>
      </c>
      <c r="U344" s="1260">
        <f t="shared" si="40"/>
        <v>900</v>
      </c>
      <c r="V344" s="745">
        <v>0</v>
      </c>
      <c r="W344" s="745">
        <v>50</v>
      </c>
      <c r="X344" s="745">
        <v>0</v>
      </c>
      <c r="Y344" s="1202">
        <v>0</v>
      </c>
    </row>
    <row r="345" spans="5:25" ht="15" x14ac:dyDescent="0.2">
      <c r="E345" s="1201"/>
      <c r="F345" s="745"/>
      <c r="G345" s="745"/>
      <c r="H345" s="1256">
        <f t="shared" si="41"/>
        <v>0</v>
      </c>
      <c r="I345" s="736">
        <v>118</v>
      </c>
      <c r="J345" s="736">
        <f t="shared" si="42"/>
        <v>1</v>
      </c>
      <c r="K345" s="2532">
        <f t="shared" si="44"/>
        <v>4</v>
      </c>
      <c r="L345" s="736">
        <f t="shared" si="43"/>
        <v>1</v>
      </c>
      <c r="M345" s="2533">
        <f t="shared" si="45"/>
        <v>1</v>
      </c>
      <c r="U345" s="1260">
        <f t="shared" si="40"/>
        <v>918</v>
      </c>
      <c r="V345" s="745">
        <v>0</v>
      </c>
      <c r="W345" s="745">
        <v>51</v>
      </c>
      <c r="X345" s="745">
        <v>0</v>
      </c>
      <c r="Y345" s="1202">
        <v>0</v>
      </c>
    </row>
    <row r="346" spans="5:25" ht="15" x14ac:dyDescent="0.2">
      <c r="E346" s="1201"/>
      <c r="F346" s="745"/>
      <c r="G346" s="745"/>
      <c r="H346" s="1256">
        <f t="shared" si="41"/>
        <v>0</v>
      </c>
      <c r="I346" s="736">
        <v>119</v>
      </c>
      <c r="J346" s="736">
        <f t="shared" si="42"/>
        <v>4</v>
      </c>
      <c r="K346" s="2532">
        <f t="shared" si="44"/>
        <v>2</v>
      </c>
      <c r="L346" s="736">
        <f t="shared" si="43"/>
        <v>1</v>
      </c>
      <c r="M346" s="2533">
        <f t="shared" si="45"/>
        <v>1</v>
      </c>
      <c r="U346" s="1260">
        <f t="shared" si="40"/>
        <v>936</v>
      </c>
      <c r="V346" s="745">
        <v>0</v>
      </c>
      <c r="W346" s="745">
        <v>52</v>
      </c>
      <c r="X346" s="745">
        <v>0</v>
      </c>
      <c r="Y346" s="1202">
        <v>0</v>
      </c>
    </row>
    <row r="347" spans="5:25" ht="15" x14ac:dyDescent="0.2">
      <c r="E347" s="1201"/>
      <c r="F347" s="745"/>
      <c r="G347" s="745"/>
      <c r="H347" s="1256">
        <f t="shared" si="41"/>
        <v>0</v>
      </c>
      <c r="I347" s="736">
        <v>120</v>
      </c>
      <c r="J347" s="736">
        <f t="shared" si="42"/>
        <v>5</v>
      </c>
      <c r="K347" s="2532">
        <f t="shared" si="44"/>
        <v>1</v>
      </c>
      <c r="L347" s="736">
        <f t="shared" si="43"/>
        <v>1</v>
      </c>
      <c r="M347" s="2533">
        <f t="shared" si="45"/>
        <v>2</v>
      </c>
      <c r="U347" s="1260">
        <f t="shared" si="40"/>
        <v>954</v>
      </c>
      <c r="V347" s="745">
        <v>0</v>
      </c>
      <c r="W347" s="745">
        <v>53</v>
      </c>
      <c r="X347" s="745">
        <v>0</v>
      </c>
      <c r="Y347" s="1202">
        <v>0</v>
      </c>
    </row>
    <row r="348" spans="5:25" ht="15" x14ac:dyDescent="0.2">
      <c r="E348" s="1201"/>
      <c r="F348" s="745"/>
      <c r="G348" s="745"/>
      <c r="H348" s="1256">
        <f t="shared" si="41"/>
        <v>0</v>
      </c>
      <c r="I348" s="736">
        <v>121</v>
      </c>
      <c r="J348" s="736">
        <f t="shared" si="42"/>
        <v>1</v>
      </c>
      <c r="K348" s="2532">
        <f t="shared" si="44"/>
        <v>5</v>
      </c>
      <c r="L348" s="736">
        <f t="shared" si="43"/>
        <v>0</v>
      </c>
      <c r="M348" s="2533">
        <f t="shared" si="45"/>
        <v>1</v>
      </c>
      <c r="U348" s="1260">
        <f t="shared" si="40"/>
        <v>972</v>
      </c>
      <c r="V348" s="745">
        <v>0</v>
      </c>
      <c r="W348" s="745">
        <v>54</v>
      </c>
      <c r="X348" s="745">
        <v>0</v>
      </c>
      <c r="Y348" s="1202">
        <v>0</v>
      </c>
    </row>
    <row r="349" spans="5:25" ht="15" x14ac:dyDescent="0.2">
      <c r="E349" s="1201"/>
      <c r="F349" s="745"/>
      <c r="G349" s="745"/>
      <c r="H349" s="1256">
        <f t="shared" si="41"/>
        <v>0</v>
      </c>
      <c r="I349" s="736">
        <v>122</v>
      </c>
      <c r="J349" s="736">
        <f t="shared" si="42"/>
        <v>4</v>
      </c>
      <c r="K349" s="2532">
        <f t="shared" si="44"/>
        <v>3</v>
      </c>
      <c r="L349" s="736">
        <f t="shared" si="43"/>
        <v>0</v>
      </c>
      <c r="M349" s="2533">
        <f t="shared" si="45"/>
        <v>1</v>
      </c>
      <c r="U349" s="1260">
        <f t="shared" si="40"/>
        <v>990</v>
      </c>
      <c r="V349" s="745">
        <v>0</v>
      </c>
      <c r="W349" s="745">
        <v>55</v>
      </c>
      <c r="X349" s="745">
        <v>0</v>
      </c>
      <c r="Y349" s="1202">
        <v>0</v>
      </c>
    </row>
    <row r="350" spans="5:25" ht="15" x14ac:dyDescent="0.2">
      <c r="E350" s="1201"/>
      <c r="F350" s="745"/>
      <c r="G350" s="745"/>
      <c r="H350" s="1256">
        <f t="shared" si="41"/>
        <v>0</v>
      </c>
      <c r="I350" s="736">
        <v>123</v>
      </c>
      <c r="J350" s="736">
        <f t="shared" si="42"/>
        <v>0</v>
      </c>
      <c r="K350" s="2532">
        <f t="shared" si="44"/>
        <v>5</v>
      </c>
      <c r="L350" s="736">
        <f t="shared" si="43"/>
        <v>1</v>
      </c>
      <c r="M350" s="2533">
        <f t="shared" si="45"/>
        <v>1</v>
      </c>
      <c r="U350" s="1260">
        <f t="shared" si="40"/>
        <v>1008</v>
      </c>
      <c r="V350" s="745">
        <v>0</v>
      </c>
      <c r="W350" s="745">
        <v>56</v>
      </c>
      <c r="X350" s="745">
        <v>0</v>
      </c>
      <c r="Y350" s="1202">
        <v>0</v>
      </c>
    </row>
    <row r="351" spans="5:25" ht="15" x14ac:dyDescent="0.2">
      <c r="E351" s="1201"/>
      <c r="F351" s="745"/>
      <c r="G351" s="745"/>
      <c r="H351" s="1256">
        <f t="shared" si="41"/>
        <v>0</v>
      </c>
      <c r="I351" s="736">
        <v>124</v>
      </c>
      <c r="J351" s="736">
        <f t="shared" si="42"/>
        <v>1</v>
      </c>
      <c r="K351" s="2532">
        <f t="shared" si="44"/>
        <v>4</v>
      </c>
      <c r="L351" s="736">
        <f t="shared" si="43"/>
        <v>1</v>
      </c>
      <c r="M351" s="2533">
        <f t="shared" si="45"/>
        <v>2</v>
      </c>
      <c r="U351" s="1260">
        <f t="shared" si="40"/>
        <v>31</v>
      </c>
      <c r="V351" s="745">
        <v>1</v>
      </c>
      <c r="W351" s="745">
        <v>1</v>
      </c>
      <c r="X351" s="745">
        <v>0</v>
      </c>
      <c r="Y351" s="1202">
        <v>0</v>
      </c>
    </row>
    <row r="352" spans="5:25" ht="15" x14ac:dyDescent="0.2">
      <c r="E352" s="1201"/>
      <c r="F352" s="745"/>
      <c r="G352" s="745"/>
      <c r="H352" s="1256">
        <f t="shared" si="41"/>
        <v>0</v>
      </c>
      <c r="I352" s="736">
        <v>125</v>
      </c>
      <c r="J352" s="736">
        <f t="shared" si="42"/>
        <v>10</v>
      </c>
      <c r="K352" s="2532">
        <f t="shared" si="44"/>
        <v>0</v>
      </c>
      <c r="L352" s="736">
        <f t="shared" si="43"/>
        <v>0</v>
      </c>
      <c r="M352" s="2533">
        <f t="shared" si="45"/>
        <v>1</v>
      </c>
      <c r="U352" s="1260">
        <f t="shared" si="40"/>
        <v>49</v>
      </c>
      <c r="V352" s="745">
        <v>1</v>
      </c>
      <c r="W352" s="745">
        <v>2</v>
      </c>
      <c r="X352" s="745">
        <v>0</v>
      </c>
      <c r="Y352" s="1202">
        <v>0</v>
      </c>
    </row>
    <row r="353" spans="5:25" ht="15" x14ac:dyDescent="0.2">
      <c r="E353" s="1201"/>
      <c r="F353" s="745"/>
      <c r="G353" s="745"/>
      <c r="H353" s="1256">
        <f t="shared" si="41"/>
        <v>0</v>
      </c>
      <c r="I353" s="736">
        <v>126</v>
      </c>
      <c r="J353" s="736">
        <f t="shared" si="42"/>
        <v>0</v>
      </c>
      <c r="K353" s="2532">
        <f t="shared" si="44"/>
        <v>6</v>
      </c>
      <c r="L353" s="736">
        <f t="shared" si="43"/>
        <v>0</v>
      </c>
      <c r="M353" s="2533">
        <f t="shared" si="45"/>
        <v>1</v>
      </c>
      <c r="U353" s="1260">
        <f t="shared" si="40"/>
        <v>67</v>
      </c>
      <c r="V353" s="745">
        <v>1</v>
      </c>
      <c r="W353" s="745">
        <v>3</v>
      </c>
      <c r="X353" s="745">
        <v>0</v>
      </c>
      <c r="Y353" s="1202">
        <v>0</v>
      </c>
    </row>
    <row r="354" spans="5:25" ht="15" x14ac:dyDescent="0.2">
      <c r="E354" s="1201"/>
      <c r="F354" s="745"/>
      <c r="G354" s="745"/>
      <c r="H354" s="1256">
        <f t="shared" si="41"/>
        <v>0</v>
      </c>
      <c r="I354" s="736">
        <v>127</v>
      </c>
      <c r="J354" s="736">
        <f t="shared" si="42"/>
        <v>1</v>
      </c>
      <c r="K354" s="2532">
        <f t="shared" si="44"/>
        <v>5</v>
      </c>
      <c r="L354" s="736">
        <f t="shared" si="43"/>
        <v>0</v>
      </c>
      <c r="M354" s="2533">
        <f t="shared" si="45"/>
        <v>2</v>
      </c>
      <c r="U354" s="1260">
        <f t="shared" si="40"/>
        <v>85</v>
      </c>
      <c r="V354" s="745">
        <v>1</v>
      </c>
      <c r="W354" s="745">
        <v>4</v>
      </c>
      <c r="X354" s="745">
        <v>0</v>
      </c>
      <c r="Y354" s="1202">
        <v>0</v>
      </c>
    </row>
    <row r="355" spans="5:25" ht="15" x14ac:dyDescent="0.2">
      <c r="E355" s="1201"/>
      <c r="F355" s="745"/>
      <c r="G355" s="745"/>
      <c r="H355" s="1256">
        <f t="shared" si="41"/>
        <v>0</v>
      </c>
      <c r="I355" s="736">
        <v>128</v>
      </c>
      <c r="J355" s="736">
        <f t="shared" si="42"/>
        <v>3</v>
      </c>
      <c r="K355" s="2532">
        <f t="shared" si="44"/>
        <v>4</v>
      </c>
      <c r="L355" s="736">
        <f t="shared" si="43"/>
        <v>0</v>
      </c>
      <c r="M355" s="2533">
        <f t="shared" si="45"/>
        <v>1</v>
      </c>
      <c r="U355" s="1260">
        <f t="shared" si="40"/>
        <v>103</v>
      </c>
      <c r="V355" s="745">
        <v>1</v>
      </c>
      <c r="W355" s="745">
        <v>5</v>
      </c>
      <c r="X355" s="745">
        <v>0</v>
      </c>
      <c r="Y355" s="1202">
        <v>0</v>
      </c>
    </row>
    <row r="356" spans="5:25" ht="15" x14ac:dyDescent="0.2">
      <c r="E356" s="1201"/>
      <c r="F356" s="745"/>
      <c r="G356" s="745"/>
      <c r="H356" s="1256">
        <f t="shared" si="41"/>
        <v>0</v>
      </c>
      <c r="I356" s="736">
        <v>129</v>
      </c>
      <c r="J356" s="736">
        <f t="shared" si="42"/>
        <v>0</v>
      </c>
      <c r="K356" s="2532">
        <f t="shared" si="44"/>
        <v>5</v>
      </c>
      <c r="L356" s="736">
        <f t="shared" si="43"/>
        <v>1</v>
      </c>
      <c r="M356" s="2533">
        <f t="shared" si="45"/>
        <v>2</v>
      </c>
      <c r="U356" s="1260">
        <f t="shared" si="40"/>
        <v>121</v>
      </c>
      <c r="V356" s="745">
        <v>1</v>
      </c>
      <c r="W356" s="745">
        <v>6</v>
      </c>
      <c r="X356" s="745">
        <v>0</v>
      </c>
      <c r="Y356" s="1202">
        <v>0</v>
      </c>
    </row>
    <row r="357" spans="5:25" ht="15" x14ac:dyDescent="0.2">
      <c r="E357" s="1201"/>
      <c r="F357" s="745"/>
      <c r="G357" s="745"/>
      <c r="H357" s="1256">
        <f t="shared" si="41"/>
        <v>0</v>
      </c>
      <c r="I357" s="736">
        <v>130</v>
      </c>
      <c r="J357" s="736">
        <f t="shared" si="42"/>
        <v>2</v>
      </c>
      <c r="K357" s="2532">
        <f t="shared" si="44"/>
        <v>4</v>
      </c>
      <c r="L357" s="736">
        <f t="shared" si="43"/>
        <v>1</v>
      </c>
      <c r="M357" s="2533">
        <f t="shared" si="45"/>
        <v>1</v>
      </c>
      <c r="U357" s="1260">
        <f t="shared" si="40"/>
        <v>139</v>
      </c>
      <c r="V357" s="745">
        <v>1</v>
      </c>
      <c r="W357" s="745">
        <v>7</v>
      </c>
      <c r="X357" s="745">
        <v>0</v>
      </c>
      <c r="Y357" s="1202">
        <v>0</v>
      </c>
    </row>
    <row r="358" spans="5:25" ht="15" x14ac:dyDescent="0.2">
      <c r="E358" s="1201"/>
      <c r="F358" s="745"/>
      <c r="G358" s="745"/>
      <c r="H358" s="1256">
        <f t="shared" si="41"/>
        <v>0</v>
      </c>
      <c r="I358" s="736">
        <v>131</v>
      </c>
      <c r="J358" s="736">
        <f t="shared" si="42"/>
        <v>10</v>
      </c>
      <c r="K358" s="2532">
        <f t="shared" si="44"/>
        <v>0</v>
      </c>
      <c r="L358" s="736">
        <f t="shared" si="43"/>
        <v>0</v>
      </c>
      <c r="M358" s="2533">
        <f t="shared" si="45"/>
        <v>2</v>
      </c>
      <c r="U358" s="1260">
        <f t="shared" si="40"/>
        <v>157</v>
      </c>
      <c r="V358" s="745">
        <v>1</v>
      </c>
      <c r="W358" s="745">
        <v>8</v>
      </c>
      <c r="X358" s="745">
        <v>0</v>
      </c>
      <c r="Y358" s="1202">
        <v>0</v>
      </c>
    </row>
    <row r="359" spans="5:25" ht="15" x14ac:dyDescent="0.2">
      <c r="E359" s="1201"/>
      <c r="F359" s="745"/>
      <c r="G359" s="745"/>
      <c r="H359" s="1256">
        <f t="shared" si="41"/>
        <v>0</v>
      </c>
      <c r="I359" s="736">
        <v>132</v>
      </c>
      <c r="J359" s="736">
        <f t="shared" si="42"/>
        <v>5</v>
      </c>
      <c r="K359" s="2532">
        <f t="shared" si="44"/>
        <v>2</v>
      </c>
      <c r="L359" s="736">
        <f t="shared" si="43"/>
        <v>1</v>
      </c>
      <c r="M359" s="2533">
        <f t="shared" si="45"/>
        <v>1</v>
      </c>
      <c r="U359" s="1260">
        <f t="shared" si="40"/>
        <v>175</v>
      </c>
      <c r="V359" s="745">
        <v>1</v>
      </c>
      <c r="W359" s="745">
        <v>9</v>
      </c>
      <c r="X359" s="745">
        <v>0</v>
      </c>
      <c r="Y359" s="1202">
        <v>0</v>
      </c>
    </row>
    <row r="360" spans="5:25" ht="15" x14ac:dyDescent="0.2">
      <c r="E360" s="1201"/>
      <c r="F360" s="745"/>
      <c r="G360" s="745"/>
      <c r="H360" s="1256">
        <f t="shared" si="41"/>
        <v>0</v>
      </c>
      <c r="I360" s="736">
        <v>133</v>
      </c>
      <c r="J360" s="736">
        <f t="shared" si="42"/>
        <v>2</v>
      </c>
      <c r="K360" s="2532">
        <f t="shared" si="44"/>
        <v>5</v>
      </c>
      <c r="L360" s="736">
        <f t="shared" si="43"/>
        <v>0</v>
      </c>
      <c r="M360" s="2533">
        <f t="shared" si="45"/>
        <v>1</v>
      </c>
      <c r="U360" s="1260">
        <f t="shared" ref="U360:U423" si="46">ROUNDUP(W360*$W$294+V360*$V$294+X360*$X$294+Y360*$Y$294,0)</f>
        <v>193</v>
      </c>
      <c r="V360" s="745">
        <v>1</v>
      </c>
      <c r="W360" s="745">
        <v>10</v>
      </c>
      <c r="X360" s="745">
        <v>0</v>
      </c>
      <c r="Y360" s="1202">
        <v>0</v>
      </c>
    </row>
    <row r="361" spans="5:25" ht="15" x14ac:dyDescent="0.2">
      <c r="E361" s="1201"/>
      <c r="F361" s="745"/>
      <c r="G361" s="745"/>
      <c r="H361" s="1256">
        <f t="shared" si="41"/>
        <v>0</v>
      </c>
      <c r="I361" s="736">
        <v>134</v>
      </c>
      <c r="J361" s="736">
        <f t="shared" si="42"/>
        <v>3</v>
      </c>
      <c r="K361" s="2532">
        <f t="shared" si="44"/>
        <v>4</v>
      </c>
      <c r="L361" s="736">
        <f t="shared" si="43"/>
        <v>0</v>
      </c>
      <c r="M361" s="2533">
        <f t="shared" si="45"/>
        <v>2</v>
      </c>
      <c r="U361" s="1260">
        <f t="shared" si="46"/>
        <v>211</v>
      </c>
      <c r="V361" s="745">
        <v>1</v>
      </c>
      <c r="W361" s="745">
        <v>11</v>
      </c>
      <c r="X361" s="745">
        <v>0</v>
      </c>
      <c r="Y361" s="1202">
        <v>0</v>
      </c>
    </row>
    <row r="362" spans="5:25" ht="15" x14ac:dyDescent="0.2">
      <c r="E362" s="1201"/>
      <c r="F362" s="745"/>
      <c r="G362" s="745"/>
      <c r="H362" s="1256">
        <f t="shared" si="41"/>
        <v>0</v>
      </c>
      <c r="I362" s="736">
        <v>135</v>
      </c>
      <c r="J362" s="736">
        <f t="shared" si="42"/>
        <v>5</v>
      </c>
      <c r="K362" s="2532">
        <f t="shared" si="44"/>
        <v>3</v>
      </c>
      <c r="L362" s="736">
        <f t="shared" si="43"/>
        <v>0</v>
      </c>
      <c r="M362" s="2533">
        <f t="shared" si="45"/>
        <v>1</v>
      </c>
      <c r="U362" s="1260">
        <f t="shared" si="46"/>
        <v>229</v>
      </c>
      <c r="V362" s="745">
        <v>1</v>
      </c>
      <c r="W362" s="745">
        <v>12</v>
      </c>
      <c r="X362" s="745">
        <v>0</v>
      </c>
      <c r="Y362" s="1202">
        <v>0</v>
      </c>
    </row>
    <row r="363" spans="5:25" ht="15" x14ac:dyDescent="0.2">
      <c r="E363" s="1201"/>
      <c r="F363" s="745"/>
      <c r="G363" s="745"/>
      <c r="H363" s="1256">
        <f t="shared" si="41"/>
        <v>0</v>
      </c>
      <c r="I363" s="736">
        <v>136</v>
      </c>
      <c r="J363" s="736">
        <f t="shared" si="42"/>
        <v>1</v>
      </c>
      <c r="K363" s="2532">
        <f t="shared" si="44"/>
        <v>5</v>
      </c>
      <c r="L363" s="736">
        <f t="shared" si="43"/>
        <v>1</v>
      </c>
      <c r="M363" s="2533">
        <f t="shared" si="45"/>
        <v>1</v>
      </c>
      <c r="U363" s="1260">
        <f t="shared" si="46"/>
        <v>247</v>
      </c>
      <c r="V363" s="745">
        <v>1</v>
      </c>
      <c r="W363" s="745">
        <v>13</v>
      </c>
      <c r="X363" s="745">
        <v>0</v>
      </c>
      <c r="Y363" s="1202">
        <v>0</v>
      </c>
    </row>
    <row r="364" spans="5:25" ht="15" x14ac:dyDescent="0.2">
      <c r="E364" s="1201"/>
      <c r="F364" s="745"/>
      <c r="G364" s="745"/>
      <c r="H364" s="1256">
        <f t="shared" si="41"/>
        <v>0</v>
      </c>
      <c r="I364" s="736">
        <v>137</v>
      </c>
      <c r="J364" s="736">
        <f t="shared" si="42"/>
        <v>4</v>
      </c>
      <c r="K364" s="2532">
        <f t="shared" si="44"/>
        <v>3</v>
      </c>
      <c r="L364" s="736">
        <f t="shared" si="43"/>
        <v>1</v>
      </c>
      <c r="M364" s="2533">
        <f t="shared" si="45"/>
        <v>1</v>
      </c>
      <c r="U364" s="1260">
        <f t="shared" si="46"/>
        <v>265</v>
      </c>
      <c r="V364" s="745">
        <v>1</v>
      </c>
      <c r="W364" s="745">
        <v>14</v>
      </c>
      <c r="X364" s="745">
        <v>0</v>
      </c>
      <c r="Y364" s="1202">
        <v>0</v>
      </c>
    </row>
    <row r="365" spans="5:25" ht="15" x14ac:dyDescent="0.2">
      <c r="E365" s="1201"/>
      <c r="F365" s="745"/>
      <c r="G365" s="745"/>
      <c r="H365" s="1256">
        <f t="shared" si="41"/>
        <v>0</v>
      </c>
      <c r="I365" s="736">
        <v>138</v>
      </c>
      <c r="J365" s="736">
        <f t="shared" si="42"/>
        <v>11</v>
      </c>
      <c r="K365" s="2532">
        <f t="shared" si="44"/>
        <v>0</v>
      </c>
      <c r="L365" s="736">
        <f t="shared" si="43"/>
        <v>0</v>
      </c>
      <c r="M365" s="2533">
        <f t="shared" si="45"/>
        <v>1</v>
      </c>
      <c r="U365" s="1260">
        <f t="shared" si="46"/>
        <v>283</v>
      </c>
      <c r="V365" s="745">
        <v>1</v>
      </c>
      <c r="W365" s="745">
        <v>15</v>
      </c>
      <c r="X365" s="745">
        <v>0</v>
      </c>
      <c r="Y365" s="1202">
        <v>0</v>
      </c>
    </row>
    <row r="366" spans="5:25" ht="15" x14ac:dyDescent="0.2">
      <c r="E366" s="1201"/>
      <c r="F366" s="745"/>
      <c r="G366" s="745"/>
      <c r="H366" s="1256">
        <f t="shared" ref="H366:H429" si="47">IF($H$298=I366,1,0)</f>
        <v>0</v>
      </c>
      <c r="I366" s="736">
        <v>139</v>
      </c>
      <c r="J366" s="736">
        <f t="shared" ref="J366:J429" si="48">VLOOKUP($I366,$U$295:$Y$1758,2,FALSE)</f>
        <v>1</v>
      </c>
      <c r="K366" s="2532">
        <f t="shared" si="44"/>
        <v>6</v>
      </c>
      <c r="L366" s="736">
        <f t="shared" ref="L366:L429" si="49">VLOOKUP($I366,$U$295:$Y$1758,4,FALSE)</f>
        <v>0</v>
      </c>
      <c r="M366" s="2533">
        <f t="shared" si="45"/>
        <v>1</v>
      </c>
      <c r="U366" s="1260">
        <f t="shared" si="46"/>
        <v>301</v>
      </c>
      <c r="V366" s="745">
        <v>1</v>
      </c>
      <c r="W366" s="745">
        <v>16</v>
      </c>
      <c r="X366" s="745">
        <v>0</v>
      </c>
      <c r="Y366" s="1202">
        <v>0</v>
      </c>
    </row>
    <row r="367" spans="5:25" ht="15" x14ac:dyDescent="0.2">
      <c r="E367" s="1201"/>
      <c r="F367" s="745"/>
      <c r="G367" s="745"/>
      <c r="H367" s="1256">
        <f t="shared" si="47"/>
        <v>0</v>
      </c>
      <c r="I367" s="736">
        <v>140</v>
      </c>
      <c r="J367" s="736">
        <f t="shared" si="48"/>
        <v>4</v>
      </c>
      <c r="K367" s="2532">
        <f t="shared" ref="K367:K430" si="50">IF(VLOOKUP($I367,$U$295:$Y$1758,3,FALSE)&gt;0,VLOOKUP($I367,$U$295:$Y$1758,3,FALSE)-1,VLOOKUP($I367,$U$295:$Y$1758,3,FALSE))</f>
        <v>4</v>
      </c>
      <c r="L367" s="736">
        <f t="shared" si="49"/>
        <v>0</v>
      </c>
      <c r="M367" s="2533">
        <f t="shared" ref="M367:M430" si="51">VLOOKUP($I367,$U$295:$Y$1758,5,FALSE)+1</f>
        <v>1</v>
      </c>
      <c r="U367" s="1260">
        <f t="shared" si="46"/>
        <v>319</v>
      </c>
      <c r="V367" s="745">
        <v>1</v>
      </c>
      <c r="W367" s="745">
        <v>17</v>
      </c>
      <c r="X367" s="745">
        <v>0</v>
      </c>
      <c r="Y367" s="1202">
        <v>0</v>
      </c>
    </row>
    <row r="368" spans="5:25" ht="15" x14ac:dyDescent="0.2">
      <c r="E368" s="1201"/>
      <c r="F368" s="745"/>
      <c r="G368" s="745"/>
      <c r="H368" s="1256">
        <f t="shared" si="47"/>
        <v>0</v>
      </c>
      <c r="I368" s="736">
        <v>141</v>
      </c>
      <c r="J368" s="736">
        <f t="shared" si="48"/>
        <v>0</v>
      </c>
      <c r="K368" s="2532">
        <f t="shared" si="50"/>
        <v>6</v>
      </c>
      <c r="L368" s="736">
        <f t="shared" si="49"/>
        <v>1</v>
      </c>
      <c r="M368" s="2533">
        <f t="shared" si="51"/>
        <v>1</v>
      </c>
      <c r="U368" s="1260">
        <f t="shared" si="46"/>
        <v>337</v>
      </c>
      <c r="V368" s="745">
        <v>1</v>
      </c>
      <c r="W368" s="745">
        <v>18</v>
      </c>
      <c r="X368" s="745">
        <v>0</v>
      </c>
      <c r="Y368" s="1202">
        <v>0</v>
      </c>
    </row>
    <row r="369" spans="5:25" ht="15" x14ac:dyDescent="0.2">
      <c r="E369" s="1201"/>
      <c r="F369" s="745"/>
      <c r="G369" s="745"/>
      <c r="H369" s="1256">
        <f t="shared" si="47"/>
        <v>0</v>
      </c>
      <c r="I369" s="736">
        <v>142</v>
      </c>
      <c r="J369" s="736">
        <f t="shared" si="48"/>
        <v>1</v>
      </c>
      <c r="K369" s="2532">
        <f t="shared" si="50"/>
        <v>5</v>
      </c>
      <c r="L369" s="736">
        <f t="shared" si="49"/>
        <v>1</v>
      </c>
      <c r="M369" s="2533">
        <f t="shared" si="51"/>
        <v>2</v>
      </c>
      <c r="U369" s="1260">
        <f t="shared" si="46"/>
        <v>355</v>
      </c>
      <c r="V369" s="745">
        <v>1</v>
      </c>
      <c r="W369" s="745">
        <v>19</v>
      </c>
      <c r="X369" s="745">
        <v>0</v>
      </c>
      <c r="Y369" s="1202">
        <v>0</v>
      </c>
    </row>
    <row r="370" spans="5:25" ht="15" x14ac:dyDescent="0.2">
      <c r="E370" s="1201"/>
      <c r="F370" s="745"/>
      <c r="G370" s="745"/>
      <c r="H370" s="1256">
        <f t="shared" si="47"/>
        <v>0</v>
      </c>
      <c r="I370" s="736">
        <v>143</v>
      </c>
      <c r="J370" s="736">
        <f t="shared" si="48"/>
        <v>3</v>
      </c>
      <c r="K370" s="2532">
        <f t="shared" si="50"/>
        <v>4</v>
      </c>
      <c r="L370" s="736">
        <f t="shared" si="49"/>
        <v>1</v>
      </c>
      <c r="M370" s="2533">
        <f t="shared" si="51"/>
        <v>1</v>
      </c>
      <c r="U370" s="1260">
        <f t="shared" si="46"/>
        <v>373</v>
      </c>
      <c r="V370" s="745">
        <v>1</v>
      </c>
      <c r="W370" s="745">
        <v>20</v>
      </c>
      <c r="X370" s="745">
        <v>0</v>
      </c>
      <c r="Y370" s="1202">
        <v>0</v>
      </c>
    </row>
    <row r="371" spans="5:25" ht="15" x14ac:dyDescent="0.2">
      <c r="E371" s="1201"/>
      <c r="F371" s="745"/>
      <c r="G371" s="745"/>
      <c r="H371" s="1256">
        <f t="shared" si="47"/>
        <v>0</v>
      </c>
      <c r="I371" s="736">
        <v>144</v>
      </c>
      <c r="J371" s="736">
        <f t="shared" si="48"/>
        <v>0</v>
      </c>
      <c r="K371" s="2532">
        <f t="shared" si="50"/>
        <v>7</v>
      </c>
      <c r="L371" s="736">
        <f t="shared" si="49"/>
        <v>0</v>
      </c>
      <c r="M371" s="2533">
        <f t="shared" si="51"/>
        <v>1</v>
      </c>
      <c r="U371" s="1260">
        <f t="shared" si="46"/>
        <v>391</v>
      </c>
      <c r="V371" s="745">
        <v>1</v>
      </c>
      <c r="W371" s="745">
        <v>21</v>
      </c>
      <c r="X371" s="745">
        <v>0</v>
      </c>
      <c r="Y371" s="1202">
        <v>0</v>
      </c>
    </row>
    <row r="372" spans="5:25" ht="15" x14ac:dyDescent="0.2">
      <c r="E372" s="1201"/>
      <c r="F372" s="745"/>
      <c r="G372" s="745"/>
      <c r="H372" s="1256">
        <f t="shared" si="47"/>
        <v>0</v>
      </c>
      <c r="I372" s="736">
        <v>145</v>
      </c>
      <c r="J372" s="736">
        <f t="shared" si="48"/>
        <v>1</v>
      </c>
      <c r="K372" s="2532">
        <f t="shared" si="50"/>
        <v>6</v>
      </c>
      <c r="L372" s="736">
        <f t="shared" si="49"/>
        <v>0</v>
      </c>
      <c r="M372" s="2533">
        <f t="shared" si="51"/>
        <v>2</v>
      </c>
      <c r="U372" s="1260">
        <f t="shared" si="46"/>
        <v>409</v>
      </c>
      <c r="V372" s="745">
        <v>1</v>
      </c>
      <c r="W372" s="745">
        <v>22</v>
      </c>
      <c r="X372" s="745">
        <v>0</v>
      </c>
      <c r="Y372" s="1202">
        <v>0</v>
      </c>
    </row>
    <row r="373" spans="5:25" ht="15" x14ac:dyDescent="0.2">
      <c r="E373" s="1201"/>
      <c r="F373" s="745"/>
      <c r="G373" s="745"/>
      <c r="H373" s="1256">
        <f t="shared" si="47"/>
        <v>0</v>
      </c>
      <c r="I373" s="736">
        <v>146</v>
      </c>
      <c r="J373" s="736">
        <f t="shared" si="48"/>
        <v>3</v>
      </c>
      <c r="K373" s="2532">
        <f t="shared" si="50"/>
        <v>5</v>
      </c>
      <c r="L373" s="736">
        <f t="shared" si="49"/>
        <v>0</v>
      </c>
      <c r="M373" s="2533">
        <f t="shared" si="51"/>
        <v>1</v>
      </c>
      <c r="U373" s="1260">
        <f t="shared" si="46"/>
        <v>427</v>
      </c>
      <c r="V373" s="745">
        <v>1</v>
      </c>
      <c r="W373" s="745">
        <v>23</v>
      </c>
      <c r="X373" s="745">
        <v>0</v>
      </c>
      <c r="Y373" s="1202">
        <v>0</v>
      </c>
    </row>
    <row r="374" spans="5:25" ht="15" x14ac:dyDescent="0.2">
      <c r="E374" s="1201"/>
      <c r="F374" s="745"/>
      <c r="G374" s="745"/>
      <c r="H374" s="1256">
        <f t="shared" si="47"/>
        <v>0</v>
      </c>
      <c r="I374" s="736">
        <v>147</v>
      </c>
      <c r="J374" s="736">
        <f t="shared" si="48"/>
        <v>0</v>
      </c>
      <c r="K374" s="2532">
        <f t="shared" si="50"/>
        <v>6</v>
      </c>
      <c r="L374" s="736">
        <f t="shared" si="49"/>
        <v>1</v>
      </c>
      <c r="M374" s="2533">
        <f t="shared" si="51"/>
        <v>2</v>
      </c>
      <c r="U374" s="1260">
        <f t="shared" si="46"/>
        <v>445</v>
      </c>
      <c r="V374" s="745">
        <v>1</v>
      </c>
      <c r="W374" s="745">
        <v>24</v>
      </c>
      <c r="X374" s="745">
        <v>0</v>
      </c>
      <c r="Y374" s="1202">
        <v>0</v>
      </c>
    </row>
    <row r="375" spans="5:25" ht="15" x14ac:dyDescent="0.2">
      <c r="E375" s="1201"/>
      <c r="F375" s="745"/>
      <c r="G375" s="745"/>
      <c r="H375" s="1256">
        <f t="shared" si="47"/>
        <v>0</v>
      </c>
      <c r="I375" s="736">
        <v>148</v>
      </c>
      <c r="J375" s="736">
        <f t="shared" si="48"/>
        <v>2</v>
      </c>
      <c r="K375" s="2532">
        <f t="shared" si="50"/>
        <v>5</v>
      </c>
      <c r="L375" s="736">
        <f t="shared" si="49"/>
        <v>1</v>
      </c>
      <c r="M375" s="2533">
        <f t="shared" si="51"/>
        <v>1</v>
      </c>
      <c r="U375" s="1260">
        <f t="shared" si="46"/>
        <v>463</v>
      </c>
      <c r="V375" s="745">
        <v>1</v>
      </c>
      <c r="W375" s="745">
        <v>25</v>
      </c>
      <c r="X375" s="745">
        <v>0</v>
      </c>
      <c r="Y375" s="1202">
        <v>0</v>
      </c>
    </row>
    <row r="376" spans="5:25" ht="15" x14ac:dyDescent="0.2">
      <c r="E376" s="1201"/>
      <c r="F376" s="745"/>
      <c r="G376" s="745"/>
      <c r="H376" s="1256">
        <f t="shared" si="47"/>
        <v>0</v>
      </c>
      <c r="I376" s="736">
        <v>149</v>
      </c>
      <c r="J376" s="736">
        <f t="shared" si="48"/>
        <v>3</v>
      </c>
      <c r="K376" s="2532">
        <f t="shared" si="50"/>
        <v>4</v>
      </c>
      <c r="L376" s="736">
        <f t="shared" si="49"/>
        <v>1</v>
      </c>
      <c r="M376" s="2533">
        <f t="shared" si="51"/>
        <v>2</v>
      </c>
      <c r="U376" s="1260">
        <f t="shared" si="46"/>
        <v>481</v>
      </c>
      <c r="V376" s="745">
        <v>1</v>
      </c>
      <c r="W376" s="745">
        <v>26</v>
      </c>
      <c r="X376" s="745">
        <v>0</v>
      </c>
      <c r="Y376" s="1202">
        <v>0</v>
      </c>
    </row>
    <row r="377" spans="5:25" ht="15" x14ac:dyDescent="0.2">
      <c r="E377" s="1201"/>
      <c r="F377" s="745"/>
      <c r="G377" s="745"/>
      <c r="H377" s="1256">
        <f t="shared" si="47"/>
        <v>0</v>
      </c>
      <c r="I377" s="736">
        <v>150</v>
      </c>
      <c r="J377" s="736">
        <f t="shared" si="48"/>
        <v>12</v>
      </c>
      <c r="K377" s="2532">
        <f t="shared" si="50"/>
        <v>0</v>
      </c>
      <c r="L377" s="736">
        <f t="shared" si="49"/>
        <v>0</v>
      </c>
      <c r="M377" s="2533">
        <f t="shared" si="51"/>
        <v>1</v>
      </c>
      <c r="U377" s="1260">
        <f t="shared" si="46"/>
        <v>499</v>
      </c>
      <c r="V377" s="745">
        <v>1</v>
      </c>
      <c r="W377" s="745">
        <v>27</v>
      </c>
      <c r="X377" s="745">
        <v>0</v>
      </c>
      <c r="Y377" s="1202">
        <v>0</v>
      </c>
    </row>
    <row r="378" spans="5:25" ht="15" x14ac:dyDescent="0.2">
      <c r="E378" s="1201"/>
      <c r="F378" s="745"/>
      <c r="G378" s="745"/>
      <c r="H378" s="1256">
        <f t="shared" si="47"/>
        <v>0</v>
      </c>
      <c r="I378" s="736">
        <v>151</v>
      </c>
      <c r="J378" s="736">
        <f t="shared" si="48"/>
        <v>2</v>
      </c>
      <c r="K378" s="2532">
        <f t="shared" si="50"/>
        <v>6</v>
      </c>
      <c r="L378" s="736">
        <f t="shared" si="49"/>
        <v>0</v>
      </c>
      <c r="M378" s="2533">
        <f t="shared" si="51"/>
        <v>1</v>
      </c>
      <c r="U378" s="1260">
        <f t="shared" si="46"/>
        <v>517</v>
      </c>
      <c r="V378" s="745">
        <v>1</v>
      </c>
      <c r="W378" s="745">
        <v>28</v>
      </c>
      <c r="X378" s="745">
        <v>0</v>
      </c>
      <c r="Y378" s="1202">
        <v>0</v>
      </c>
    </row>
    <row r="379" spans="5:25" ht="15" x14ac:dyDescent="0.2">
      <c r="E379" s="1201"/>
      <c r="F379" s="745"/>
      <c r="G379" s="745"/>
      <c r="H379" s="1256">
        <f t="shared" si="47"/>
        <v>0</v>
      </c>
      <c r="I379" s="736">
        <v>152</v>
      </c>
      <c r="J379" s="736">
        <f t="shared" si="48"/>
        <v>3</v>
      </c>
      <c r="K379" s="2532">
        <f t="shared" si="50"/>
        <v>5</v>
      </c>
      <c r="L379" s="736">
        <f t="shared" si="49"/>
        <v>0</v>
      </c>
      <c r="M379" s="2533">
        <f t="shared" si="51"/>
        <v>2</v>
      </c>
      <c r="U379" s="1260">
        <f t="shared" si="46"/>
        <v>535</v>
      </c>
      <c r="V379" s="745">
        <v>1</v>
      </c>
      <c r="W379" s="745">
        <v>29</v>
      </c>
      <c r="X379" s="745">
        <v>0</v>
      </c>
      <c r="Y379" s="1202">
        <v>0</v>
      </c>
    </row>
    <row r="380" spans="5:25" ht="15" x14ac:dyDescent="0.2">
      <c r="E380" s="1201"/>
      <c r="F380" s="745"/>
      <c r="G380" s="745"/>
      <c r="H380" s="1256">
        <f t="shared" si="47"/>
        <v>0</v>
      </c>
      <c r="I380" s="736">
        <v>153</v>
      </c>
      <c r="J380" s="736">
        <f t="shared" si="48"/>
        <v>5</v>
      </c>
      <c r="K380" s="2532">
        <f t="shared" si="50"/>
        <v>4</v>
      </c>
      <c r="L380" s="736">
        <f t="shared" si="49"/>
        <v>0</v>
      </c>
      <c r="M380" s="2533">
        <f t="shared" si="51"/>
        <v>1</v>
      </c>
      <c r="U380" s="1260">
        <f t="shared" si="46"/>
        <v>553</v>
      </c>
      <c r="V380" s="745">
        <v>1</v>
      </c>
      <c r="W380" s="745">
        <v>30</v>
      </c>
      <c r="X380" s="745">
        <v>0</v>
      </c>
      <c r="Y380" s="1202">
        <v>0</v>
      </c>
    </row>
    <row r="381" spans="5:25" ht="15" x14ac:dyDescent="0.2">
      <c r="E381" s="1201"/>
      <c r="F381" s="745"/>
      <c r="G381" s="745"/>
      <c r="H381" s="1256">
        <f t="shared" si="47"/>
        <v>0</v>
      </c>
      <c r="I381" s="736">
        <v>154</v>
      </c>
      <c r="J381" s="736">
        <f t="shared" si="48"/>
        <v>1</v>
      </c>
      <c r="K381" s="2532">
        <f t="shared" si="50"/>
        <v>6</v>
      </c>
      <c r="L381" s="736">
        <f t="shared" si="49"/>
        <v>1</v>
      </c>
      <c r="M381" s="2533">
        <f t="shared" si="51"/>
        <v>1</v>
      </c>
      <c r="U381" s="1260">
        <f t="shared" si="46"/>
        <v>571</v>
      </c>
      <c r="V381" s="745">
        <v>1</v>
      </c>
      <c r="W381" s="745">
        <v>31</v>
      </c>
      <c r="X381" s="745">
        <v>0</v>
      </c>
      <c r="Y381" s="1202">
        <v>0</v>
      </c>
    </row>
    <row r="382" spans="5:25" ht="15" x14ac:dyDescent="0.2">
      <c r="E382" s="1201"/>
      <c r="F382" s="745"/>
      <c r="G382" s="745"/>
      <c r="H382" s="1256">
        <f t="shared" si="47"/>
        <v>0</v>
      </c>
      <c r="I382" s="736">
        <v>155</v>
      </c>
      <c r="J382" s="736">
        <f t="shared" si="48"/>
        <v>4</v>
      </c>
      <c r="K382" s="2532">
        <f t="shared" si="50"/>
        <v>4</v>
      </c>
      <c r="L382" s="736">
        <f t="shared" si="49"/>
        <v>1</v>
      </c>
      <c r="M382" s="2533">
        <f t="shared" si="51"/>
        <v>1</v>
      </c>
      <c r="U382" s="1260">
        <f t="shared" si="46"/>
        <v>589</v>
      </c>
      <c r="V382" s="745">
        <v>1</v>
      </c>
      <c r="W382" s="745">
        <v>32</v>
      </c>
      <c r="X382" s="745">
        <v>0</v>
      </c>
      <c r="Y382" s="1202">
        <v>0</v>
      </c>
    </row>
    <row r="383" spans="5:25" ht="15" x14ac:dyDescent="0.2">
      <c r="E383" s="1201"/>
      <c r="F383" s="745"/>
      <c r="G383" s="745"/>
      <c r="H383" s="1256">
        <f t="shared" si="47"/>
        <v>0</v>
      </c>
      <c r="I383" s="736">
        <v>156</v>
      </c>
      <c r="J383" s="736">
        <f t="shared" si="48"/>
        <v>12</v>
      </c>
      <c r="K383" s="2532">
        <f t="shared" si="50"/>
        <v>0</v>
      </c>
      <c r="L383" s="736">
        <f t="shared" si="49"/>
        <v>0</v>
      </c>
      <c r="M383" s="2533">
        <f t="shared" si="51"/>
        <v>2</v>
      </c>
      <c r="U383" s="1260">
        <f t="shared" si="46"/>
        <v>607</v>
      </c>
      <c r="V383" s="745">
        <v>1</v>
      </c>
      <c r="W383" s="745">
        <v>33</v>
      </c>
      <c r="X383" s="745">
        <v>0</v>
      </c>
      <c r="Y383" s="1202">
        <v>0</v>
      </c>
    </row>
    <row r="384" spans="5:25" ht="15" x14ac:dyDescent="0.2">
      <c r="E384" s="1201"/>
      <c r="F384" s="745"/>
      <c r="G384" s="745"/>
      <c r="H384" s="1256">
        <f t="shared" si="47"/>
        <v>0</v>
      </c>
      <c r="I384" s="736">
        <v>157</v>
      </c>
      <c r="J384" s="736">
        <f t="shared" si="48"/>
        <v>1</v>
      </c>
      <c r="K384" s="2532">
        <f t="shared" si="50"/>
        <v>7</v>
      </c>
      <c r="L384" s="736">
        <f t="shared" si="49"/>
        <v>0</v>
      </c>
      <c r="M384" s="2533">
        <f t="shared" si="51"/>
        <v>1</v>
      </c>
      <c r="U384" s="1260">
        <f t="shared" si="46"/>
        <v>625</v>
      </c>
      <c r="V384" s="745">
        <v>1</v>
      </c>
      <c r="W384" s="745">
        <v>34</v>
      </c>
      <c r="X384" s="745">
        <v>0</v>
      </c>
      <c r="Y384" s="1202">
        <v>0</v>
      </c>
    </row>
    <row r="385" spans="5:25" ht="15" x14ac:dyDescent="0.2">
      <c r="E385" s="1201"/>
      <c r="F385" s="745"/>
      <c r="G385" s="745"/>
      <c r="H385" s="1256">
        <f t="shared" si="47"/>
        <v>0</v>
      </c>
      <c r="I385" s="736">
        <v>158</v>
      </c>
      <c r="J385" s="736">
        <f t="shared" si="48"/>
        <v>4</v>
      </c>
      <c r="K385" s="2532">
        <f t="shared" si="50"/>
        <v>5</v>
      </c>
      <c r="L385" s="736">
        <f t="shared" si="49"/>
        <v>0</v>
      </c>
      <c r="M385" s="2533">
        <f t="shared" si="51"/>
        <v>1</v>
      </c>
      <c r="U385" s="1260">
        <f t="shared" si="46"/>
        <v>643</v>
      </c>
      <c r="V385" s="745">
        <v>1</v>
      </c>
      <c r="W385" s="745">
        <v>35</v>
      </c>
      <c r="X385" s="745">
        <v>0</v>
      </c>
      <c r="Y385" s="1202">
        <v>0</v>
      </c>
    </row>
    <row r="386" spans="5:25" ht="15" x14ac:dyDescent="0.2">
      <c r="E386" s="1201"/>
      <c r="F386" s="745"/>
      <c r="G386" s="745"/>
      <c r="H386" s="1256">
        <f t="shared" si="47"/>
        <v>0</v>
      </c>
      <c r="I386" s="736">
        <v>159</v>
      </c>
      <c r="J386" s="736">
        <f t="shared" si="48"/>
        <v>0</v>
      </c>
      <c r="K386" s="2532">
        <f t="shared" si="50"/>
        <v>7</v>
      </c>
      <c r="L386" s="736">
        <f t="shared" si="49"/>
        <v>1</v>
      </c>
      <c r="M386" s="2533">
        <f t="shared" si="51"/>
        <v>1</v>
      </c>
      <c r="U386" s="1260">
        <f t="shared" si="46"/>
        <v>661</v>
      </c>
      <c r="V386" s="745">
        <v>1</v>
      </c>
      <c r="W386" s="745">
        <v>36</v>
      </c>
      <c r="X386" s="745">
        <v>0</v>
      </c>
      <c r="Y386" s="1202">
        <v>0</v>
      </c>
    </row>
    <row r="387" spans="5:25" ht="15" x14ac:dyDescent="0.2">
      <c r="E387" s="1201"/>
      <c r="F387" s="745"/>
      <c r="G387" s="745"/>
      <c r="H387" s="1256">
        <f t="shared" si="47"/>
        <v>0</v>
      </c>
      <c r="I387" s="736">
        <v>160</v>
      </c>
      <c r="J387" s="736">
        <f t="shared" si="48"/>
        <v>1</v>
      </c>
      <c r="K387" s="2532">
        <f t="shared" si="50"/>
        <v>6</v>
      </c>
      <c r="L387" s="736">
        <f t="shared" si="49"/>
        <v>1</v>
      </c>
      <c r="M387" s="2533">
        <f t="shared" si="51"/>
        <v>2</v>
      </c>
      <c r="U387" s="1260">
        <f t="shared" si="46"/>
        <v>679</v>
      </c>
      <c r="V387" s="745">
        <v>1</v>
      </c>
      <c r="W387" s="745">
        <v>37</v>
      </c>
      <c r="X387" s="745">
        <v>0</v>
      </c>
      <c r="Y387" s="1202">
        <v>0</v>
      </c>
    </row>
    <row r="388" spans="5:25" ht="15" x14ac:dyDescent="0.2">
      <c r="E388" s="1201"/>
      <c r="F388" s="745"/>
      <c r="G388" s="745"/>
      <c r="H388" s="1256">
        <f t="shared" si="47"/>
        <v>0</v>
      </c>
      <c r="I388" s="736">
        <v>161</v>
      </c>
      <c r="J388" s="736">
        <f t="shared" si="48"/>
        <v>3</v>
      </c>
      <c r="K388" s="2532">
        <f t="shared" si="50"/>
        <v>5</v>
      </c>
      <c r="L388" s="736">
        <f t="shared" si="49"/>
        <v>1</v>
      </c>
      <c r="M388" s="2533">
        <f t="shared" si="51"/>
        <v>1</v>
      </c>
      <c r="U388" s="1260">
        <f t="shared" si="46"/>
        <v>697</v>
      </c>
      <c r="V388" s="745">
        <v>1</v>
      </c>
      <c r="W388" s="745">
        <v>38</v>
      </c>
      <c r="X388" s="745">
        <v>0</v>
      </c>
      <c r="Y388" s="1202">
        <v>0</v>
      </c>
    </row>
    <row r="389" spans="5:25" ht="15" x14ac:dyDescent="0.2">
      <c r="E389" s="1201"/>
      <c r="F389" s="745"/>
      <c r="G389" s="745"/>
      <c r="H389" s="1256">
        <f t="shared" si="47"/>
        <v>0</v>
      </c>
      <c r="I389" s="736">
        <v>162</v>
      </c>
      <c r="J389" s="736">
        <f t="shared" si="48"/>
        <v>0</v>
      </c>
      <c r="K389" s="2532">
        <f t="shared" si="50"/>
        <v>8</v>
      </c>
      <c r="L389" s="736">
        <f t="shared" si="49"/>
        <v>0</v>
      </c>
      <c r="M389" s="2533">
        <f t="shared" si="51"/>
        <v>1</v>
      </c>
      <c r="U389" s="1260">
        <f t="shared" si="46"/>
        <v>715</v>
      </c>
      <c r="V389" s="745">
        <v>1</v>
      </c>
      <c r="W389" s="745">
        <v>39</v>
      </c>
      <c r="X389" s="745">
        <v>0</v>
      </c>
      <c r="Y389" s="1202">
        <v>0</v>
      </c>
    </row>
    <row r="390" spans="5:25" ht="15" x14ac:dyDescent="0.2">
      <c r="E390" s="1201"/>
      <c r="F390" s="745"/>
      <c r="G390" s="745"/>
      <c r="H390" s="1256">
        <f t="shared" si="47"/>
        <v>0</v>
      </c>
      <c r="I390" s="736">
        <v>163</v>
      </c>
      <c r="J390" s="736">
        <f t="shared" si="48"/>
        <v>13</v>
      </c>
      <c r="K390" s="2532">
        <f t="shared" si="50"/>
        <v>0</v>
      </c>
      <c r="L390" s="736">
        <f t="shared" si="49"/>
        <v>0</v>
      </c>
      <c r="M390" s="2533">
        <f t="shared" si="51"/>
        <v>1</v>
      </c>
      <c r="U390" s="1260">
        <f t="shared" si="46"/>
        <v>733</v>
      </c>
      <c r="V390" s="745">
        <v>1</v>
      </c>
      <c r="W390" s="745">
        <v>40</v>
      </c>
      <c r="X390" s="745">
        <v>0</v>
      </c>
      <c r="Y390" s="1202">
        <v>0</v>
      </c>
    </row>
    <row r="391" spans="5:25" ht="15" x14ac:dyDescent="0.2">
      <c r="E391" s="1201"/>
      <c r="F391" s="745"/>
      <c r="G391" s="745"/>
      <c r="H391" s="1256">
        <f t="shared" si="47"/>
        <v>0</v>
      </c>
      <c r="I391" s="736">
        <v>164</v>
      </c>
      <c r="J391" s="736">
        <f t="shared" si="48"/>
        <v>3</v>
      </c>
      <c r="K391" s="2532">
        <f t="shared" si="50"/>
        <v>6</v>
      </c>
      <c r="L391" s="736">
        <f t="shared" si="49"/>
        <v>0</v>
      </c>
      <c r="M391" s="2533">
        <f t="shared" si="51"/>
        <v>1</v>
      </c>
      <c r="U391" s="1260">
        <f t="shared" si="46"/>
        <v>751</v>
      </c>
      <c r="V391" s="745">
        <v>1</v>
      </c>
      <c r="W391" s="745">
        <v>41</v>
      </c>
      <c r="X391" s="745">
        <v>0</v>
      </c>
      <c r="Y391" s="1202">
        <v>0</v>
      </c>
    </row>
    <row r="392" spans="5:25" ht="15" x14ac:dyDescent="0.2">
      <c r="E392" s="1201"/>
      <c r="F392" s="745"/>
      <c r="G392" s="745"/>
      <c r="H392" s="1256">
        <f t="shared" si="47"/>
        <v>0</v>
      </c>
      <c r="I392" s="736">
        <v>165</v>
      </c>
      <c r="J392" s="736">
        <f t="shared" si="48"/>
        <v>12</v>
      </c>
      <c r="K392" s="2532">
        <f t="shared" si="50"/>
        <v>0</v>
      </c>
      <c r="L392" s="736">
        <f t="shared" si="49"/>
        <v>1</v>
      </c>
      <c r="M392" s="2533">
        <f t="shared" si="51"/>
        <v>1</v>
      </c>
      <c r="U392" s="1260">
        <f t="shared" si="46"/>
        <v>769</v>
      </c>
      <c r="V392" s="745">
        <v>1</v>
      </c>
      <c r="W392" s="745">
        <v>42</v>
      </c>
      <c r="X392" s="745">
        <v>0</v>
      </c>
      <c r="Y392" s="1202">
        <v>0</v>
      </c>
    </row>
    <row r="393" spans="5:25" ht="15" x14ac:dyDescent="0.2">
      <c r="E393" s="1201"/>
      <c r="F393" s="745"/>
      <c r="G393" s="745"/>
      <c r="H393" s="1256">
        <f t="shared" si="47"/>
        <v>0</v>
      </c>
      <c r="I393" s="736">
        <v>166</v>
      </c>
      <c r="J393" s="736">
        <f t="shared" si="48"/>
        <v>2</v>
      </c>
      <c r="K393" s="2532">
        <f t="shared" si="50"/>
        <v>6</v>
      </c>
      <c r="L393" s="736">
        <f t="shared" si="49"/>
        <v>1</v>
      </c>
      <c r="M393" s="2533">
        <f t="shared" si="51"/>
        <v>1</v>
      </c>
      <c r="U393" s="1260">
        <f t="shared" si="46"/>
        <v>787</v>
      </c>
      <c r="V393" s="745">
        <v>1</v>
      </c>
      <c r="W393" s="745">
        <v>43</v>
      </c>
      <c r="X393" s="745">
        <v>0</v>
      </c>
      <c r="Y393" s="1202">
        <v>0</v>
      </c>
    </row>
    <row r="394" spans="5:25" ht="15" x14ac:dyDescent="0.2">
      <c r="E394" s="1201"/>
      <c r="F394" s="745"/>
      <c r="G394" s="745"/>
      <c r="H394" s="1256">
        <f t="shared" si="47"/>
        <v>0</v>
      </c>
      <c r="I394" s="736">
        <v>167</v>
      </c>
      <c r="J394" s="736">
        <f t="shared" si="48"/>
        <v>3</v>
      </c>
      <c r="K394" s="2532">
        <f t="shared" si="50"/>
        <v>5</v>
      </c>
      <c r="L394" s="736">
        <f t="shared" si="49"/>
        <v>1</v>
      </c>
      <c r="M394" s="2533">
        <f t="shared" si="51"/>
        <v>2</v>
      </c>
      <c r="U394" s="1260">
        <f t="shared" si="46"/>
        <v>805</v>
      </c>
      <c r="V394" s="745">
        <v>1</v>
      </c>
      <c r="W394" s="745">
        <v>44</v>
      </c>
      <c r="X394" s="745">
        <v>0</v>
      </c>
      <c r="Y394" s="1202">
        <v>0</v>
      </c>
    </row>
    <row r="395" spans="5:25" ht="15" x14ac:dyDescent="0.2">
      <c r="E395" s="1201"/>
      <c r="F395" s="745"/>
      <c r="G395" s="745"/>
      <c r="H395" s="1256">
        <f t="shared" si="47"/>
        <v>0</v>
      </c>
      <c r="I395" s="736">
        <v>168</v>
      </c>
      <c r="J395" s="736">
        <f t="shared" si="48"/>
        <v>5</v>
      </c>
      <c r="K395" s="2532">
        <f t="shared" si="50"/>
        <v>4</v>
      </c>
      <c r="L395" s="736">
        <f t="shared" si="49"/>
        <v>1</v>
      </c>
      <c r="M395" s="2533">
        <f t="shared" si="51"/>
        <v>1</v>
      </c>
      <c r="U395" s="1260">
        <f t="shared" si="46"/>
        <v>823</v>
      </c>
      <c r="V395" s="745">
        <v>1</v>
      </c>
      <c r="W395" s="745">
        <v>45</v>
      </c>
      <c r="X395" s="745">
        <v>0</v>
      </c>
      <c r="Y395" s="1202">
        <v>0</v>
      </c>
    </row>
    <row r="396" spans="5:25" ht="15" x14ac:dyDescent="0.2">
      <c r="E396" s="1201"/>
      <c r="F396" s="745"/>
      <c r="G396" s="745"/>
      <c r="H396" s="1256">
        <f t="shared" si="47"/>
        <v>0</v>
      </c>
      <c r="I396" s="736">
        <v>169</v>
      </c>
      <c r="J396" s="736">
        <f t="shared" si="48"/>
        <v>2</v>
      </c>
      <c r="K396" s="2532">
        <f t="shared" si="50"/>
        <v>7</v>
      </c>
      <c r="L396" s="736">
        <f t="shared" si="49"/>
        <v>0</v>
      </c>
      <c r="M396" s="2533">
        <f t="shared" si="51"/>
        <v>1</v>
      </c>
      <c r="U396" s="1260">
        <f t="shared" si="46"/>
        <v>841</v>
      </c>
      <c r="V396" s="745">
        <v>1</v>
      </c>
      <c r="W396" s="745">
        <v>46</v>
      </c>
      <c r="X396" s="745">
        <v>0</v>
      </c>
      <c r="Y396" s="1202">
        <v>0</v>
      </c>
    </row>
    <row r="397" spans="5:25" ht="15" x14ac:dyDescent="0.2">
      <c r="E397" s="1201"/>
      <c r="F397" s="745"/>
      <c r="G397" s="745"/>
      <c r="H397" s="1256">
        <f t="shared" si="47"/>
        <v>0</v>
      </c>
      <c r="I397" s="736">
        <v>170</v>
      </c>
      <c r="J397" s="736">
        <f t="shared" si="48"/>
        <v>3</v>
      </c>
      <c r="K397" s="2532">
        <f t="shared" si="50"/>
        <v>6</v>
      </c>
      <c r="L397" s="736">
        <f t="shared" si="49"/>
        <v>0</v>
      </c>
      <c r="M397" s="2533">
        <f t="shared" si="51"/>
        <v>2</v>
      </c>
      <c r="U397" s="1260">
        <f t="shared" si="46"/>
        <v>859</v>
      </c>
      <c r="V397" s="745">
        <v>1</v>
      </c>
      <c r="W397" s="745">
        <v>47</v>
      </c>
      <c r="X397" s="745">
        <v>0</v>
      </c>
      <c r="Y397" s="1202">
        <v>0</v>
      </c>
    </row>
    <row r="398" spans="5:25" ht="15" x14ac:dyDescent="0.2">
      <c r="E398" s="1201"/>
      <c r="F398" s="745"/>
      <c r="G398" s="745"/>
      <c r="H398" s="1256">
        <f t="shared" si="47"/>
        <v>0</v>
      </c>
      <c r="I398" s="736">
        <v>171</v>
      </c>
      <c r="J398" s="736">
        <f t="shared" si="48"/>
        <v>5</v>
      </c>
      <c r="K398" s="2532">
        <f t="shared" si="50"/>
        <v>5</v>
      </c>
      <c r="L398" s="736">
        <f t="shared" si="49"/>
        <v>0</v>
      </c>
      <c r="M398" s="2533">
        <f t="shared" si="51"/>
        <v>1</v>
      </c>
      <c r="U398" s="1260">
        <f t="shared" si="46"/>
        <v>877</v>
      </c>
      <c r="V398" s="745">
        <v>1</v>
      </c>
      <c r="W398" s="745">
        <v>48</v>
      </c>
      <c r="X398" s="745">
        <v>0</v>
      </c>
      <c r="Y398" s="1202">
        <v>0</v>
      </c>
    </row>
    <row r="399" spans="5:25" ht="15" x14ac:dyDescent="0.2">
      <c r="E399" s="1201"/>
      <c r="F399" s="745"/>
      <c r="G399" s="745"/>
      <c r="H399" s="1256">
        <f t="shared" si="47"/>
        <v>0</v>
      </c>
      <c r="I399" s="736">
        <v>172</v>
      </c>
      <c r="J399" s="736">
        <f t="shared" si="48"/>
        <v>1</v>
      </c>
      <c r="K399" s="2532">
        <f t="shared" si="50"/>
        <v>7</v>
      </c>
      <c r="L399" s="736">
        <f t="shared" si="49"/>
        <v>1</v>
      </c>
      <c r="M399" s="2533">
        <f t="shared" si="51"/>
        <v>1</v>
      </c>
      <c r="U399" s="1260">
        <f t="shared" si="46"/>
        <v>895</v>
      </c>
      <c r="V399" s="745">
        <v>1</v>
      </c>
      <c r="W399" s="745">
        <v>49</v>
      </c>
      <c r="X399" s="745">
        <v>0</v>
      </c>
      <c r="Y399" s="1202">
        <v>0</v>
      </c>
    </row>
    <row r="400" spans="5:25" ht="15" x14ac:dyDescent="0.2">
      <c r="E400" s="1201"/>
      <c r="F400" s="745"/>
      <c r="G400" s="745"/>
      <c r="H400" s="1256">
        <f t="shared" si="47"/>
        <v>0</v>
      </c>
      <c r="I400" s="736">
        <v>173</v>
      </c>
      <c r="J400" s="736">
        <f t="shared" si="48"/>
        <v>4</v>
      </c>
      <c r="K400" s="2532">
        <f t="shared" si="50"/>
        <v>5</v>
      </c>
      <c r="L400" s="736">
        <f t="shared" si="49"/>
        <v>1</v>
      </c>
      <c r="M400" s="2533">
        <f t="shared" si="51"/>
        <v>1</v>
      </c>
      <c r="U400" s="1260">
        <f t="shared" si="46"/>
        <v>913</v>
      </c>
      <c r="V400" s="745">
        <v>1</v>
      </c>
      <c r="W400" s="745">
        <v>50</v>
      </c>
      <c r="X400" s="745">
        <v>0</v>
      </c>
      <c r="Y400" s="1202">
        <v>0</v>
      </c>
    </row>
    <row r="401" spans="5:25" ht="15" x14ac:dyDescent="0.2">
      <c r="E401" s="1201"/>
      <c r="F401" s="745"/>
      <c r="G401" s="745"/>
      <c r="H401" s="1256">
        <f t="shared" si="47"/>
        <v>0</v>
      </c>
      <c r="I401" s="736">
        <v>174</v>
      </c>
      <c r="J401" s="736">
        <f t="shared" si="48"/>
        <v>5</v>
      </c>
      <c r="K401" s="2532">
        <f t="shared" si="50"/>
        <v>4</v>
      </c>
      <c r="L401" s="736">
        <f t="shared" si="49"/>
        <v>1</v>
      </c>
      <c r="M401" s="2533">
        <f t="shared" si="51"/>
        <v>2</v>
      </c>
      <c r="U401" s="1260">
        <f t="shared" si="46"/>
        <v>931</v>
      </c>
      <c r="V401" s="745">
        <v>1</v>
      </c>
      <c r="W401" s="745">
        <v>51</v>
      </c>
      <c r="X401" s="745">
        <v>0</v>
      </c>
      <c r="Y401" s="1202">
        <v>0</v>
      </c>
    </row>
    <row r="402" spans="5:25" ht="15" x14ac:dyDescent="0.2">
      <c r="E402" s="1201"/>
      <c r="F402" s="745"/>
      <c r="G402" s="745"/>
      <c r="H402" s="1256">
        <f t="shared" si="47"/>
        <v>0</v>
      </c>
      <c r="I402" s="736">
        <v>175</v>
      </c>
      <c r="J402" s="736">
        <f t="shared" si="48"/>
        <v>1</v>
      </c>
      <c r="K402" s="2532">
        <f t="shared" si="50"/>
        <v>8</v>
      </c>
      <c r="L402" s="736">
        <f t="shared" si="49"/>
        <v>0</v>
      </c>
      <c r="M402" s="2533">
        <f t="shared" si="51"/>
        <v>1</v>
      </c>
      <c r="U402" s="1260">
        <f t="shared" si="46"/>
        <v>949</v>
      </c>
      <c r="V402" s="745">
        <v>1</v>
      </c>
      <c r="W402" s="745">
        <v>52</v>
      </c>
      <c r="X402" s="745">
        <v>0</v>
      </c>
      <c r="Y402" s="1202">
        <v>0</v>
      </c>
    </row>
    <row r="403" spans="5:25" ht="15" x14ac:dyDescent="0.2">
      <c r="E403" s="1201"/>
      <c r="F403" s="745"/>
      <c r="G403" s="745"/>
      <c r="H403" s="1256">
        <f t="shared" si="47"/>
        <v>0</v>
      </c>
      <c r="I403" s="736">
        <v>176</v>
      </c>
      <c r="J403" s="736">
        <f t="shared" si="48"/>
        <v>4</v>
      </c>
      <c r="K403" s="2532">
        <f t="shared" si="50"/>
        <v>6</v>
      </c>
      <c r="L403" s="736">
        <f t="shared" si="49"/>
        <v>0</v>
      </c>
      <c r="M403" s="2533">
        <f t="shared" si="51"/>
        <v>1</v>
      </c>
      <c r="U403" s="1260">
        <f t="shared" si="46"/>
        <v>967</v>
      </c>
      <c r="V403" s="745">
        <v>1</v>
      </c>
      <c r="W403" s="745">
        <v>53</v>
      </c>
      <c r="X403" s="745">
        <v>0</v>
      </c>
      <c r="Y403" s="1202">
        <v>0</v>
      </c>
    </row>
    <row r="404" spans="5:25" ht="15" x14ac:dyDescent="0.2">
      <c r="E404" s="1201"/>
      <c r="F404" s="745"/>
      <c r="G404" s="745"/>
      <c r="H404" s="1256">
        <f t="shared" si="47"/>
        <v>0</v>
      </c>
      <c r="I404" s="736">
        <v>177</v>
      </c>
      <c r="J404" s="736">
        <f t="shared" si="48"/>
        <v>0</v>
      </c>
      <c r="K404" s="2532">
        <f t="shared" si="50"/>
        <v>8</v>
      </c>
      <c r="L404" s="736">
        <f t="shared" si="49"/>
        <v>1</v>
      </c>
      <c r="M404" s="2533">
        <f t="shared" si="51"/>
        <v>1</v>
      </c>
      <c r="U404" s="1260">
        <f t="shared" si="46"/>
        <v>985</v>
      </c>
      <c r="V404" s="745">
        <v>1</v>
      </c>
      <c r="W404" s="745">
        <v>54</v>
      </c>
      <c r="X404" s="745">
        <v>0</v>
      </c>
      <c r="Y404" s="1202">
        <v>0</v>
      </c>
    </row>
    <row r="405" spans="5:25" ht="15" x14ac:dyDescent="0.2">
      <c r="E405" s="1201"/>
      <c r="F405" s="745"/>
      <c r="G405" s="745"/>
      <c r="H405" s="1256">
        <f t="shared" si="47"/>
        <v>0</v>
      </c>
      <c r="I405" s="736">
        <v>178</v>
      </c>
      <c r="J405" s="736">
        <f t="shared" si="48"/>
        <v>13</v>
      </c>
      <c r="K405" s="2532">
        <f t="shared" si="50"/>
        <v>0</v>
      </c>
      <c r="L405" s="736">
        <f t="shared" si="49"/>
        <v>1</v>
      </c>
      <c r="M405" s="2533">
        <f t="shared" si="51"/>
        <v>1</v>
      </c>
      <c r="U405" s="1260">
        <f t="shared" si="46"/>
        <v>1003</v>
      </c>
      <c r="V405" s="745">
        <v>1</v>
      </c>
      <c r="W405" s="745">
        <v>55</v>
      </c>
      <c r="X405" s="745">
        <v>0</v>
      </c>
      <c r="Y405" s="1202">
        <v>0</v>
      </c>
    </row>
    <row r="406" spans="5:25" ht="15" x14ac:dyDescent="0.2">
      <c r="E406" s="1201"/>
      <c r="F406" s="745"/>
      <c r="G406" s="745"/>
      <c r="H406" s="1256">
        <f t="shared" si="47"/>
        <v>0</v>
      </c>
      <c r="I406" s="736">
        <v>179</v>
      </c>
      <c r="J406" s="736">
        <f t="shared" si="48"/>
        <v>3</v>
      </c>
      <c r="K406" s="2532">
        <f t="shared" si="50"/>
        <v>6</v>
      </c>
      <c r="L406" s="736">
        <f t="shared" si="49"/>
        <v>1</v>
      </c>
      <c r="M406" s="2533">
        <f t="shared" si="51"/>
        <v>1</v>
      </c>
      <c r="U406" s="1260">
        <f t="shared" si="46"/>
        <v>43</v>
      </c>
      <c r="V406" s="745">
        <v>2</v>
      </c>
      <c r="W406" s="745">
        <v>1</v>
      </c>
      <c r="X406" s="745">
        <v>0</v>
      </c>
      <c r="Y406" s="1202">
        <v>0</v>
      </c>
    </row>
    <row r="407" spans="5:25" ht="15" x14ac:dyDescent="0.2">
      <c r="E407" s="1201"/>
      <c r="F407" s="745"/>
      <c r="G407" s="745"/>
      <c r="H407" s="1256">
        <f t="shared" si="47"/>
        <v>0</v>
      </c>
      <c r="I407" s="736">
        <v>180</v>
      </c>
      <c r="J407" s="736">
        <f t="shared" si="48"/>
        <v>0</v>
      </c>
      <c r="K407" s="2532">
        <f t="shared" si="50"/>
        <v>9</v>
      </c>
      <c r="L407" s="736">
        <f t="shared" si="49"/>
        <v>0</v>
      </c>
      <c r="M407" s="2533">
        <f t="shared" si="51"/>
        <v>1</v>
      </c>
      <c r="U407" s="1260">
        <f t="shared" si="46"/>
        <v>61</v>
      </c>
      <c r="V407" s="745">
        <v>2</v>
      </c>
      <c r="W407" s="745">
        <v>2</v>
      </c>
      <c r="X407" s="745">
        <v>0</v>
      </c>
      <c r="Y407" s="1202">
        <v>0</v>
      </c>
    </row>
    <row r="408" spans="5:25" ht="15" x14ac:dyDescent="0.2">
      <c r="E408" s="1201"/>
      <c r="F408" s="745"/>
      <c r="G408" s="745"/>
      <c r="H408" s="1256">
        <f t="shared" si="47"/>
        <v>0</v>
      </c>
      <c r="I408" s="736">
        <v>181</v>
      </c>
      <c r="J408" s="736">
        <f t="shared" si="48"/>
        <v>1</v>
      </c>
      <c r="K408" s="2532">
        <f t="shared" si="50"/>
        <v>8</v>
      </c>
      <c r="L408" s="736">
        <f t="shared" si="49"/>
        <v>0</v>
      </c>
      <c r="M408" s="2533">
        <f t="shared" si="51"/>
        <v>2</v>
      </c>
      <c r="U408" s="1260">
        <f t="shared" si="46"/>
        <v>79</v>
      </c>
      <c r="V408" s="745">
        <v>2</v>
      </c>
      <c r="W408" s="745">
        <v>3</v>
      </c>
      <c r="X408" s="745">
        <v>0</v>
      </c>
      <c r="Y408" s="1202">
        <v>0</v>
      </c>
    </row>
    <row r="409" spans="5:25" ht="15" x14ac:dyDescent="0.2">
      <c r="E409" s="1201"/>
      <c r="F409" s="745"/>
      <c r="G409" s="745"/>
      <c r="H409" s="1256">
        <f t="shared" si="47"/>
        <v>0</v>
      </c>
      <c r="I409" s="736">
        <v>182</v>
      </c>
      <c r="J409" s="736">
        <f t="shared" si="48"/>
        <v>3</v>
      </c>
      <c r="K409" s="2532">
        <f t="shared" si="50"/>
        <v>7</v>
      </c>
      <c r="L409" s="736">
        <f t="shared" si="49"/>
        <v>0</v>
      </c>
      <c r="M409" s="2533">
        <f t="shared" si="51"/>
        <v>1</v>
      </c>
      <c r="U409" s="1260">
        <f t="shared" si="46"/>
        <v>97</v>
      </c>
      <c r="V409" s="745">
        <v>2</v>
      </c>
      <c r="W409" s="745">
        <v>4</v>
      </c>
      <c r="X409" s="745">
        <v>0</v>
      </c>
      <c r="Y409" s="1202">
        <v>0</v>
      </c>
    </row>
    <row r="410" spans="5:25" ht="15" x14ac:dyDescent="0.2">
      <c r="E410" s="1201"/>
      <c r="F410" s="745"/>
      <c r="G410" s="745"/>
      <c r="H410" s="1256">
        <f t="shared" si="47"/>
        <v>0</v>
      </c>
      <c r="I410" s="736">
        <v>183</v>
      </c>
      <c r="J410" s="736">
        <f t="shared" si="48"/>
        <v>0</v>
      </c>
      <c r="K410" s="2532">
        <f t="shared" si="50"/>
        <v>8</v>
      </c>
      <c r="L410" s="736">
        <f t="shared" si="49"/>
        <v>1</v>
      </c>
      <c r="M410" s="2533">
        <f t="shared" si="51"/>
        <v>2</v>
      </c>
      <c r="U410" s="1260">
        <f t="shared" si="46"/>
        <v>115</v>
      </c>
      <c r="V410" s="745">
        <v>2</v>
      </c>
      <c r="W410" s="745">
        <v>5</v>
      </c>
      <c r="X410" s="745">
        <v>0</v>
      </c>
      <c r="Y410" s="1202">
        <v>0</v>
      </c>
    </row>
    <row r="411" spans="5:25" ht="15" x14ac:dyDescent="0.2">
      <c r="E411" s="1201"/>
      <c r="F411" s="745"/>
      <c r="G411" s="745"/>
      <c r="H411" s="1256">
        <f t="shared" si="47"/>
        <v>0</v>
      </c>
      <c r="I411" s="736">
        <v>184</v>
      </c>
      <c r="J411" s="736">
        <f t="shared" si="48"/>
        <v>2</v>
      </c>
      <c r="K411" s="2532">
        <f t="shared" si="50"/>
        <v>7</v>
      </c>
      <c r="L411" s="736">
        <f t="shared" si="49"/>
        <v>1</v>
      </c>
      <c r="M411" s="2533">
        <f t="shared" si="51"/>
        <v>1</v>
      </c>
      <c r="U411" s="1260">
        <f t="shared" si="46"/>
        <v>133</v>
      </c>
      <c r="V411" s="745">
        <v>2</v>
      </c>
      <c r="W411" s="745">
        <v>6</v>
      </c>
      <c r="X411" s="745">
        <v>0</v>
      </c>
      <c r="Y411" s="1202">
        <v>0</v>
      </c>
    </row>
    <row r="412" spans="5:25" ht="15" x14ac:dyDescent="0.2">
      <c r="E412" s="1201"/>
      <c r="F412" s="745"/>
      <c r="G412" s="745"/>
      <c r="H412" s="1256">
        <f t="shared" si="47"/>
        <v>0</v>
      </c>
      <c r="I412" s="736">
        <v>185</v>
      </c>
      <c r="J412" s="736">
        <f t="shared" si="48"/>
        <v>3</v>
      </c>
      <c r="K412" s="2532">
        <f t="shared" si="50"/>
        <v>6</v>
      </c>
      <c r="L412" s="736">
        <f t="shared" si="49"/>
        <v>1</v>
      </c>
      <c r="M412" s="2533">
        <f t="shared" si="51"/>
        <v>2</v>
      </c>
      <c r="U412" s="1260">
        <f t="shared" si="46"/>
        <v>151</v>
      </c>
      <c r="V412" s="745">
        <v>2</v>
      </c>
      <c r="W412" s="745">
        <v>7</v>
      </c>
      <c r="X412" s="745">
        <v>0</v>
      </c>
      <c r="Y412" s="1202">
        <v>0</v>
      </c>
    </row>
    <row r="413" spans="5:25" ht="15" x14ac:dyDescent="0.2">
      <c r="E413" s="1201"/>
      <c r="F413" s="745"/>
      <c r="G413" s="745"/>
      <c r="H413" s="1256">
        <f t="shared" si="47"/>
        <v>0</v>
      </c>
      <c r="I413" s="736">
        <v>186</v>
      </c>
      <c r="J413" s="736">
        <f t="shared" si="48"/>
        <v>5</v>
      </c>
      <c r="K413" s="2532">
        <f t="shared" si="50"/>
        <v>5</v>
      </c>
      <c r="L413" s="736">
        <f t="shared" si="49"/>
        <v>1</v>
      </c>
      <c r="M413" s="2533">
        <f t="shared" si="51"/>
        <v>1</v>
      </c>
      <c r="U413" s="1260">
        <f t="shared" si="46"/>
        <v>169</v>
      </c>
      <c r="V413" s="745">
        <v>2</v>
      </c>
      <c r="W413" s="745">
        <v>8</v>
      </c>
      <c r="X413" s="745">
        <v>0</v>
      </c>
      <c r="Y413" s="1202">
        <v>0</v>
      </c>
    </row>
    <row r="414" spans="5:25" ht="15" x14ac:dyDescent="0.2">
      <c r="E414" s="1201"/>
      <c r="F414" s="745"/>
      <c r="G414" s="745"/>
      <c r="H414" s="1256">
        <f t="shared" si="47"/>
        <v>0</v>
      </c>
      <c r="I414" s="736">
        <v>187</v>
      </c>
      <c r="J414" s="736">
        <f t="shared" si="48"/>
        <v>2</v>
      </c>
      <c r="K414" s="2532">
        <f t="shared" si="50"/>
        <v>8</v>
      </c>
      <c r="L414" s="736">
        <f t="shared" si="49"/>
        <v>0</v>
      </c>
      <c r="M414" s="2533">
        <f t="shared" si="51"/>
        <v>1</v>
      </c>
      <c r="U414" s="1260">
        <f t="shared" si="46"/>
        <v>187</v>
      </c>
      <c r="V414" s="745">
        <v>2</v>
      </c>
      <c r="W414" s="745">
        <v>9</v>
      </c>
      <c r="X414" s="745">
        <v>0</v>
      </c>
      <c r="Y414" s="1202">
        <v>0</v>
      </c>
    </row>
    <row r="415" spans="5:25" ht="15" x14ac:dyDescent="0.2">
      <c r="E415" s="1201"/>
      <c r="F415" s="745"/>
      <c r="G415" s="745"/>
      <c r="H415" s="1256">
        <f t="shared" si="47"/>
        <v>0</v>
      </c>
      <c r="I415" s="736">
        <v>188</v>
      </c>
      <c r="J415" s="736">
        <f t="shared" si="48"/>
        <v>15</v>
      </c>
      <c r="K415" s="2532">
        <f t="shared" si="50"/>
        <v>0</v>
      </c>
      <c r="L415" s="736">
        <f t="shared" si="49"/>
        <v>0</v>
      </c>
      <c r="M415" s="2533">
        <f t="shared" si="51"/>
        <v>1</v>
      </c>
      <c r="U415" s="1260">
        <f t="shared" si="46"/>
        <v>205</v>
      </c>
      <c r="V415" s="745">
        <v>2</v>
      </c>
      <c r="W415" s="745">
        <v>10</v>
      </c>
      <c r="X415" s="745">
        <v>0</v>
      </c>
      <c r="Y415" s="1202">
        <v>0</v>
      </c>
    </row>
    <row r="416" spans="5:25" ht="15" x14ac:dyDescent="0.2">
      <c r="E416" s="1201"/>
      <c r="F416" s="745"/>
      <c r="G416" s="745"/>
      <c r="H416" s="1256">
        <f t="shared" si="47"/>
        <v>0</v>
      </c>
      <c r="I416" s="736">
        <v>189</v>
      </c>
      <c r="J416" s="736">
        <f t="shared" si="48"/>
        <v>5</v>
      </c>
      <c r="K416" s="2532">
        <f t="shared" si="50"/>
        <v>6</v>
      </c>
      <c r="L416" s="736">
        <f t="shared" si="49"/>
        <v>0</v>
      </c>
      <c r="M416" s="2533">
        <f t="shared" si="51"/>
        <v>1</v>
      </c>
      <c r="U416" s="1260">
        <f t="shared" si="46"/>
        <v>223</v>
      </c>
      <c r="V416" s="745">
        <v>2</v>
      </c>
      <c r="W416" s="745">
        <v>11</v>
      </c>
      <c r="X416" s="745">
        <v>0</v>
      </c>
      <c r="Y416" s="1202">
        <v>0</v>
      </c>
    </row>
    <row r="417" spans="5:25" ht="15" x14ac:dyDescent="0.2">
      <c r="E417" s="1201"/>
      <c r="F417" s="745"/>
      <c r="G417" s="745"/>
      <c r="H417" s="1256">
        <f t="shared" si="47"/>
        <v>0</v>
      </c>
      <c r="I417" s="736">
        <v>190</v>
      </c>
      <c r="J417" s="736">
        <f t="shared" si="48"/>
        <v>1</v>
      </c>
      <c r="K417" s="2532">
        <f t="shared" si="50"/>
        <v>8</v>
      </c>
      <c r="L417" s="736">
        <f t="shared" si="49"/>
        <v>1</v>
      </c>
      <c r="M417" s="2533">
        <f t="shared" si="51"/>
        <v>1</v>
      </c>
      <c r="U417" s="1260">
        <f t="shared" si="46"/>
        <v>241</v>
      </c>
      <c r="V417" s="745">
        <v>2</v>
      </c>
      <c r="W417" s="745">
        <v>12</v>
      </c>
      <c r="X417" s="745">
        <v>0</v>
      </c>
      <c r="Y417" s="1202">
        <v>0</v>
      </c>
    </row>
    <row r="418" spans="5:25" ht="15" x14ac:dyDescent="0.2">
      <c r="E418" s="1201"/>
      <c r="F418" s="745"/>
      <c r="G418" s="745"/>
      <c r="H418" s="1256">
        <f t="shared" si="47"/>
        <v>0</v>
      </c>
      <c r="I418" s="736">
        <v>191</v>
      </c>
      <c r="J418" s="736">
        <f t="shared" si="48"/>
        <v>4</v>
      </c>
      <c r="K418" s="2532">
        <f t="shared" si="50"/>
        <v>6</v>
      </c>
      <c r="L418" s="736">
        <f t="shared" si="49"/>
        <v>1</v>
      </c>
      <c r="M418" s="2533">
        <f t="shared" si="51"/>
        <v>1</v>
      </c>
      <c r="U418" s="1260">
        <f t="shared" si="46"/>
        <v>259</v>
      </c>
      <c r="V418" s="745">
        <v>2</v>
      </c>
      <c r="W418" s="745">
        <v>13</v>
      </c>
      <c r="X418" s="745">
        <v>0</v>
      </c>
      <c r="Y418" s="1202">
        <v>0</v>
      </c>
    </row>
    <row r="419" spans="5:25" ht="15" x14ac:dyDescent="0.2">
      <c r="E419" s="1201"/>
      <c r="F419" s="745"/>
      <c r="G419" s="745"/>
      <c r="H419" s="1256">
        <f t="shared" si="47"/>
        <v>0</v>
      </c>
      <c r="I419" s="736">
        <v>192</v>
      </c>
      <c r="J419" s="736">
        <f t="shared" si="48"/>
        <v>5</v>
      </c>
      <c r="K419" s="2532">
        <f t="shared" si="50"/>
        <v>5</v>
      </c>
      <c r="L419" s="736">
        <f t="shared" si="49"/>
        <v>1</v>
      </c>
      <c r="M419" s="2533">
        <f t="shared" si="51"/>
        <v>2</v>
      </c>
      <c r="U419" s="1260">
        <f t="shared" si="46"/>
        <v>277</v>
      </c>
      <c r="V419" s="745">
        <v>2</v>
      </c>
      <c r="W419" s="745">
        <v>14</v>
      </c>
      <c r="X419" s="745">
        <v>0</v>
      </c>
      <c r="Y419" s="1202">
        <v>0</v>
      </c>
    </row>
    <row r="420" spans="5:25" ht="15" x14ac:dyDescent="0.2">
      <c r="E420" s="1201"/>
      <c r="F420" s="745"/>
      <c r="G420" s="745"/>
      <c r="H420" s="1256">
        <f t="shared" si="47"/>
        <v>0</v>
      </c>
      <c r="I420" s="736">
        <v>193</v>
      </c>
      <c r="J420" s="736">
        <f t="shared" si="48"/>
        <v>1</v>
      </c>
      <c r="K420" s="2532">
        <f t="shared" si="50"/>
        <v>9</v>
      </c>
      <c r="L420" s="736">
        <f t="shared" si="49"/>
        <v>0</v>
      </c>
      <c r="M420" s="2533">
        <f t="shared" si="51"/>
        <v>1</v>
      </c>
      <c r="U420" s="1260">
        <f t="shared" si="46"/>
        <v>295</v>
      </c>
      <c r="V420" s="745">
        <v>2</v>
      </c>
      <c r="W420" s="745">
        <v>15</v>
      </c>
      <c r="X420" s="745">
        <v>0</v>
      </c>
      <c r="Y420" s="1202">
        <v>0</v>
      </c>
    </row>
    <row r="421" spans="5:25" ht="15" x14ac:dyDescent="0.2">
      <c r="E421" s="1201"/>
      <c r="F421" s="745"/>
      <c r="G421" s="745"/>
      <c r="H421" s="1256">
        <f t="shared" si="47"/>
        <v>0</v>
      </c>
      <c r="I421" s="736">
        <v>194</v>
      </c>
      <c r="J421" s="736">
        <f t="shared" si="48"/>
        <v>4</v>
      </c>
      <c r="K421" s="2532">
        <f t="shared" si="50"/>
        <v>7</v>
      </c>
      <c r="L421" s="736">
        <f t="shared" si="49"/>
        <v>0</v>
      </c>
      <c r="M421" s="2533">
        <f t="shared" si="51"/>
        <v>1</v>
      </c>
      <c r="U421" s="1260">
        <f t="shared" si="46"/>
        <v>313</v>
      </c>
      <c r="V421" s="745">
        <v>2</v>
      </c>
      <c r="W421" s="745">
        <v>16</v>
      </c>
      <c r="X421" s="745">
        <v>0</v>
      </c>
      <c r="Y421" s="1202">
        <v>0</v>
      </c>
    </row>
    <row r="422" spans="5:25" ht="15" x14ac:dyDescent="0.2">
      <c r="E422" s="1201"/>
      <c r="F422" s="745"/>
      <c r="G422" s="745"/>
      <c r="H422" s="1256">
        <f t="shared" si="47"/>
        <v>0</v>
      </c>
      <c r="I422" s="736">
        <v>195</v>
      </c>
      <c r="J422" s="736">
        <f t="shared" si="48"/>
        <v>0</v>
      </c>
      <c r="K422" s="2532">
        <f t="shared" si="50"/>
        <v>9</v>
      </c>
      <c r="L422" s="736">
        <f t="shared" si="49"/>
        <v>1</v>
      </c>
      <c r="M422" s="2533">
        <f t="shared" si="51"/>
        <v>1</v>
      </c>
      <c r="U422" s="1260">
        <f t="shared" si="46"/>
        <v>331</v>
      </c>
      <c r="V422" s="745">
        <v>2</v>
      </c>
      <c r="W422" s="745">
        <v>17</v>
      </c>
      <c r="X422" s="745">
        <v>0</v>
      </c>
      <c r="Y422" s="1202">
        <v>0</v>
      </c>
    </row>
    <row r="423" spans="5:25" ht="15" x14ac:dyDescent="0.2">
      <c r="E423" s="1201"/>
      <c r="F423" s="745"/>
      <c r="G423" s="745"/>
      <c r="H423" s="1256">
        <f t="shared" si="47"/>
        <v>0</v>
      </c>
      <c r="I423" s="736">
        <v>196</v>
      </c>
      <c r="J423" s="736">
        <f t="shared" si="48"/>
        <v>1</v>
      </c>
      <c r="K423" s="2532">
        <f t="shared" si="50"/>
        <v>8</v>
      </c>
      <c r="L423" s="736">
        <f t="shared" si="49"/>
        <v>1</v>
      </c>
      <c r="M423" s="2533">
        <f t="shared" si="51"/>
        <v>2</v>
      </c>
      <c r="U423" s="1260">
        <f t="shared" si="46"/>
        <v>349</v>
      </c>
      <c r="V423" s="745">
        <v>2</v>
      </c>
      <c r="W423" s="745">
        <v>18</v>
      </c>
      <c r="X423" s="745">
        <v>0</v>
      </c>
      <c r="Y423" s="1202">
        <v>0</v>
      </c>
    </row>
    <row r="424" spans="5:25" ht="15" x14ac:dyDescent="0.2">
      <c r="E424" s="1201"/>
      <c r="F424" s="745"/>
      <c r="G424" s="745"/>
      <c r="H424" s="1256">
        <f t="shared" si="47"/>
        <v>0</v>
      </c>
      <c r="I424" s="736">
        <v>197</v>
      </c>
      <c r="J424" s="736">
        <f t="shared" si="48"/>
        <v>3</v>
      </c>
      <c r="K424" s="2532">
        <f t="shared" si="50"/>
        <v>7</v>
      </c>
      <c r="L424" s="736">
        <f t="shared" si="49"/>
        <v>1</v>
      </c>
      <c r="M424" s="2533">
        <f t="shared" si="51"/>
        <v>1</v>
      </c>
      <c r="U424" s="1260">
        <f t="shared" ref="U424:U487" si="52">ROUNDUP(W424*$W$294+V424*$V$294+X424*$X$294+Y424*$Y$294,0)</f>
        <v>367</v>
      </c>
      <c r="V424" s="745">
        <v>2</v>
      </c>
      <c r="W424" s="745">
        <v>19</v>
      </c>
      <c r="X424" s="745">
        <v>0</v>
      </c>
      <c r="Y424" s="1202">
        <v>0</v>
      </c>
    </row>
    <row r="425" spans="5:25" ht="15" x14ac:dyDescent="0.2">
      <c r="E425" s="1201"/>
      <c r="F425" s="745"/>
      <c r="G425" s="745"/>
      <c r="H425" s="1256">
        <f t="shared" si="47"/>
        <v>0</v>
      </c>
      <c r="I425" s="736">
        <v>198</v>
      </c>
      <c r="J425" s="736">
        <f t="shared" si="48"/>
        <v>0</v>
      </c>
      <c r="K425" s="2532">
        <f t="shared" si="50"/>
        <v>10</v>
      </c>
      <c r="L425" s="736">
        <f t="shared" si="49"/>
        <v>0</v>
      </c>
      <c r="M425" s="2533">
        <f t="shared" si="51"/>
        <v>1</v>
      </c>
      <c r="U425" s="1260">
        <f t="shared" si="52"/>
        <v>385</v>
      </c>
      <c r="V425" s="745">
        <v>2</v>
      </c>
      <c r="W425" s="745">
        <v>20</v>
      </c>
      <c r="X425" s="745">
        <v>0</v>
      </c>
      <c r="Y425" s="1202">
        <v>0</v>
      </c>
    </row>
    <row r="426" spans="5:25" ht="15" x14ac:dyDescent="0.2">
      <c r="E426" s="1201"/>
      <c r="F426" s="745"/>
      <c r="G426" s="745"/>
      <c r="H426" s="1256">
        <f t="shared" si="47"/>
        <v>0</v>
      </c>
      <c r="I426" s="736">
        <v>199</v>
      </c>
      <c r="J426" s="736">
        <f t="shared" si="48"/>
        <v>1</v>
      </c>
      <c r="K426" s="2532">
        <f t="shared" si="50"/>
        <v>9</v>
      </c>
      <c r="L426" s="736">
        <f t="shared" si="49"/>
        <v>0</v>
      </c>
      <c r="M426" s="2533">
        <f t="shared" si="51"/>
        <v>2</v>
      </c>
      <c r="U426" s="1260">
        <f t="shared" si="52"/>
        <v>403</v>
      </c>
      <c r="V426" s="745">
        <v>2</v>
      </c>
      <c r="W426" s="745">
        <v>21</v>
      </c>
      <c r="X426" s="745">
        <v>0</v>
      </c>
      <c r="Y426" s="1202">
        <v>0</v>
      </c>
    </row>
    <row r="427" spans="5:25" ht="15" x14ac:dyDescent="0.2">
      <c r="E427" s="1201"/>
      <c r="F427" s="745"/>
      <c r="G427" s="745"/>
      <c r="H427" s="1256">
        <f t="shared" si="47"/>
        <v>0</v>
      </c>
      <c r="I427" s="736">
        <v>200</v>
      </c>
      <c r="J427" s="736">
        <f t="shared" si="48"/>
        <v>3</v>
      </c>
      <c r="K427" s="2532">
        <f t="shared" si="50"/>
        <v>8</v>
      </c>
      <c r="L427" s="736">
        <f t="shared" si="49"/>
        <v>0</v>
      </c>
      <c r="M427" s="2533">
        <f t="shared" si="51"/>
        <v>1</v>
      </c>
      <c r="U427" s="1260">
        <f t="shared" si="52"/>
        <v>421</v>
      </c>
      <c r="V427" s="745">
        <v>2</v>
      </c>
      <c r="W427" s="745">
        <v>22</v>
      </c>
      <c r="X427" s="745">
        <v>0</v>
      </c>
      <c r="Y427" s="1202">
        <v>0</v>
      </c>
    </row>
    <row r="428" spans="5:25" ht="15" x14ac:dyDescent="0.2">
      <c r="E428" s="1201"/>
      <c r="F428" s="745"/>
      <c r="G428" s="745"/>
      <c r="H428" s="1256">
        <f t="shared" si="47"/>
        <v>0</v>
      </c>
      <c r="I428" s="736">
        <v>201</v>
      </c>
      <c r="J428" s="736">
        <f t="shared" si="48"/>
        <v>0</v>
      </c>
      <c r="K428" s="2532">
        <f t="shared" si="50"/>
        <v>9</v>
      </c>
      <c r="L428" s="736">
        <f t="shared" si="49"/>
        <v>1</v>
      </c>
      <c r="M428" s="2533">
        <f t="shared" si="51"/>
        <v>2</v>
      </c>
      <c r="U428" s="1260">
        <f t="shared" si="52"/>
        <v>439</v>
      </c>
      <c r="V428" s="745">
        <v>2</v>
      </c>
      <c r="W428" s="745">
        <v>23</v>
      </c>
      <c r="X428" s="745">
        <v>0</v>
      </c>
      <c r="Y428" s="1202">
        <v>0</v>
      </c>
    </row>
    <row r="429" spans="5:25" ht="15" x14ac:dyDescent="0.2">
      <c r="E429" s="1201"/>
      <c r="F429" s="745"/>
      <c r="G429" s="745"/>
      <c r="H429" s="1256">
        <f t="shared" si="47"/>
        <v>0</v>
      </c>
      <c r="I429" s="736">
        <v>202</v>
      </c>
      <c r="J429" s="736">
        <f t="shared" si="48"/>
        <v>2</v>
      </c>
      <c r="K429" s="2532">
        <f t="shared" si="50"/>
        <v>8</v>
      </c>
      <c r="L429" s="736">
        <f t="shared" si="49"/>
        <v>1</v>
      </c>
      <c r="M429" s="2533">
        <f t="shared" si="51"/>
        <v>1</v>
      </c>
      <c r="U429" s="1260">
        <f t="shared" si="52"/>
        <v>457</v>
      </c>
      <c r="V429" s="745">
        <v>2</v>
      </c>
      <c r="W429" s="745">
        <v>24</v>
      </c>
      <c r="X429" s="745">
        <v>0</v>
      </c>
      <c r="Y429" s="1202">
        <v>0</v>
      </c>
    </row>
    <row r="430" spans="5:25" ht="15" x14ac:dyDescent="0.2">
      <c r="E430" s="1201"/>
      <c r="F430" s="745"/>
      <c r="G430" s="745"/>
      <c r="H430" s="1256">
        <f t="shared" ref="H430:H493" si="53">IF($H$298=I430,1,0)</f>
        <v>0</v>
      </c>
      <c r="I430" s="736">
        <v>203</v>
      </c>
      <c r="J430" s="736">
        <f t="shared" ref="J430:J493" si="54">VLOOKUP($I430,$U$295:$Y$1758,2,FALSE)</f>
        <v>15</v>
      </c>
      <c r="K430" s="2532">
        <f t="shared" si="50"/>
        <v>0</v>
      </c>
      <c r="L430" s="736">
        <f t="shared" ref="L430:L493" si="55">VLOOKUP($I430,$U$295:$Y$1758,4,FALSE)</f>
        <v>1</v>
      </c>
      <c r="M430" s="2533">
        <f t="shared" si="51"/>
        <v>1</v>
      </c>
      <c r="U430" s="1260">
        <f t="shared" si="52"/>
        <v>475</v>
      </c>
      <c r="V430" s="745">
        <v>2</v>
      </c>
      <c r="W430" s="745">
        <v>25</v>
      </c>
      <c r="X430" s="745">
        <v>0</v>
      </c>
      <c r="Y430" s="1202">
        <v>0</v>
      </c>
    </row>
    <row r="431" spans="5:25" ht="15" x14ac:dyDescent="0.2">
      <c r="E431" s="1201"/>
      <c r="F431" s="745"/>
      <c r="G431" s="745"/>
      <c r="H431" s="1256">
        <f t="shared" si="53"/>
        <v>0</v>
      </c>
      <c r="I431" s="736">
        <v>204</v>
      </c>
      <c r="J431" s="736">
        <f t="shared" si="54"/>
        <v>5</v>
      </c>
      <c r="K431" s="2532">
        <f t="shared" ref="K431:K494" si="56">IF(VLOOKUP($I431,$U$295:$Y$1758,3,FALSE)&gt;0,VLOOKUP($I431,$U$295:$Y$1758,3,FALSE)-1,VLOOKUP($I431,$U$295:$Y$1758,3,FALSE))</f>
        <v>6</v>
      </c>
      <c r="L431" s="736">
        <f t="shared" si="55"/>
        <v>1</v>
      </c>
      <c r="M431" s="2533">
        <f t="shared" ref="M431:M494" si="57">VLOOKUP($I431,$U$295:$Y$1758,5,FALSE)+1</f>
        <v>1</v>
      </c>
      <c r="U431" s="1260">
        <f t="shared" si="52"/>
        <v>493</v>
      </c>
      <c r="V431" s="745">
        <v>2</v>
      </c>
      <c r="W431" s="745">
        <v>26</v>
      </c>
      <c r="X431" s="745">
        <v>0</v>
      </c>
      <c r="Y431" s="1202">
        <v>0</v>
      </c>
    </row>
    <row r="432" spans="5:25" ht="15" x14ac:dyDescent="0.2">
      <c r="E432" s="1201"/>
      <c r="F432" s="745"/>
      <c r="G432" s="745"/>
      <c r="H432" s="1256">
        <f t="shared" si="53"/>
        <v>0</v>
      </c>
      <c r="I432" s="736">
        <v>205</v>
      </c>
      <c r="J432" s="736">
        <f t="shared" si="54"/>
        <v>2</v>
      </c>
      <c r="K432" s="2532">
        <f t="shared" si="56"/>
        <v>9</v>
      </c>
      <c r="L432" s="736">
        <f t="shared" si="55"/>
        <v>0</v>
      </c>
      <c r="M432" s="2533">
        <f t="shared" si="57"/>
        <v>1</v>
      </c>
      <c r="U432" s="1260">
        <f t="shared" si="52"/>
        <v>511</v>
      </c>
      <c r="V432" s="745">
        <v>2</v>
      </c>
      <c r="W432" s="745">
        <v>27</v>
      </c>
      <c r="X432" s="745">
        <v>0</v>
      </c>
      <c r="Y432" s="1202">
        <v>0</v>
      </c>
    </row>
    <row r="433" spans="5:25" ht="15" x14ac:dyDescent="0.2">
      <c r="E433" s="1201"/>
      <c r="F433" s="745"/>
      <c r="G433" s="745"/>
      <c r="H433" s="1256">
        <f t="shared" si="53"/>
        <v>0</v>
      </c>
      <c r="I433" s="736">
        <v>206</v>
      </c>
      <c r="J433" s="736">
        <f t="shared" si="54"/>
        <v>3</v>
      </c>
      <c r="K433" s="2532">
        <f t="shared" si="56"/>
        <v>8</v>
      </c>
      <c r="L433" s="736">
        <f t="shared" si="55"/>
        <v>0</v>
      </c>
      <c r="M433" s="2533">
        <f t="shared" si="57"/>
        <v>2</v>
      </c>
      <c r="U433" s="1260">
        <f t="shared" si="52"/>
        <v>529</v>
      </c>
      <c r="V433" s="745">
        <v>2</v>
      </c>
      <c r="W433" s="745">
        <v>28</v>
      </c>
      <c r="X433" s="745">
        <v>0</v>
      </c>
      <c r="Y433" s="1202">
        <v>0</v>
      </c>
    </row>
    <row r="434" spans="5:25" ht="15" x14ac:dyDescent="0.2">
      <c r="E434" s="1201"/>
      <c r="F434" s="745"/>
      <c r="G434" s="745"/>
      <c r="H434" s="1256">
        <f t="shared" si="53"/>
        <v>0</v>
      </c>
      <c r="I434" s="736">
        <v>207</v>
      </c>
      <c r="J434" s="736">
        <f t="shared" si="54"/>
        <v>5</v>
      </c>
      <c r="K434" s="2532">
        <f t="shared" si="56"/>
        <v>7</v>
      </c>
      <c r="L434" s="736">
        <f t="shared" si="55"/>
        <v>0</v>
      </c>
      <c r="M434" s="2533">
        <f t="shared" si="57"/>
        <v>1</v>
      </c>
      <c r="U434" s="1260">
        <f t="shared" si="52"/>
        <v>547</v>
      </c>
      <c r="V434" s="745">
        <v>2</v>
      </c>
      <c r="W434" s="745">
        <v>29</v>
      </c>
      <c r="X434" s="745">
        <v>0</v>
      </c>
      <c r="Y434" s="1202">
        <v>0</v>
      </c>
    </row>
    <row r="435" spans="5:25" ht="15" x14ac:dyDescent="0.2">
      <c r="E435" s="1201"/>
      <c r="F435" s="745"/>
      <c r="G435" s="745"/>
      <c r="H435" s="1256">
        <f t="shared" si="53"/>
        <v>0</v>
      </c>
      <c r="I435" s="736">
        <v>208</v>
      </c>
      <c r="J435" s="736">
        <f t="shared" si="54"/>
        <v>1</v>
      </c>
      <c r="K435" s="2532">
        <f t="shared" si="56"/>
        <v>9</v>
      </c>
      <c r="L435" s="736">
        <f t="shared" si="55"/>
        <v>1</v>
      </c>
      <c r="M435" s="2533">
        <f t="shared" si="57"/>
        <v>1</v>
      </c>
      <c r="U435" s="1260">
        <f t="shared" si="52"/>
        <v>565</v>
      </c>
      <c r="V435" s="745">
        <v>2</v>
      </c>
      <c r="W435" s="745">
        <v>30</v>
      </c>
      <c r="X435" s="745">
        <v>0</v>
      </c>
      <c r="Y435" s="1202">
        <v>0</v>
      </c>
    </row>
    <row r="436" spans="5:25" ht="15" x14ac:dyDescent="0.2">
      <c r="E436" s="1201"/>
      <c r="F436" s="745"/>
      <c r="G436" s="745"/>
      <c r="H436" s="1256">
        <f t="shared" si="53"/>
        <v>0</v>
      </c>
      <c r="I436" s="736">
        <v>209</v>
      </c>
      <c r="J436" s="736">
        <f t="shared" si="54"/>
        <v>4</v>
      </c>
      <c r="K436" s="2532">
        <f t="shared" si="56"/>
        <v>7</v>
      </c>
      <c r="L436" s="736">
        <f t="shared" si="55"/>
        <v>1</v>
      </c>
      <c r="M436" s="2533">
        <f t="shared" si="57"/>
        <v>1</v>
      </c>
      <c r="U436" s="1260">
        <f t="shared" si="52"/>
        <v>583</v>
      </c>
      <c r="V436" s="745">
        <v>2</v>
      </c>
      <c r="W436" s="745">
        <v>31</v>
      </c>
      <c r="X436" s="745">
        <v>0</v>
      </c>
      <c r="Y436" s="1202">
        <v>0</v>
      </c>
    </row>
    <row r="437" spans="5:25" ht="15" x14ac:dyDescent="0.2">
      <c r="E437" s="1201"/>
      <c r="F437" s="745"/>
      <c r="G437" s="745"/>
      <c r="H437" s="1256">
        <f t="shared" si="53"/>
        <v>0</v>
      </c>
      <c r="I437" s="736">
        <v>210</v>
      </c>
      <c r="J437" s="736">
        <f t="shared" si="54"/>
        <v>5</v>
      </c>
      <c r="K437" s="2532">
        <f t="shared" si="56"/>
        <v>6</v>
      </c>
      <c r="L437" s="736">
        <f t="shared" si="55"/>
        <v>1</v>
      </c>
      <c r="M437" s="2533">
        <f t="shared" si="57"/>
        <v>2</v>
      </c>
      <c r="U437" s="1260">
        <f t="shared" si="52"/>
        <v>601</v>
      </c>
      <c r="V437" s="745">
        <v>2</v>
      </c>
      <c r="W437" s="745">
        <v>32</v>
      </c>
      <c r="X437" s="745">
        <v>0</v>
      </c>
      <c r="Y437" s="1202">
        <v>0</v>
      </c>
    </row>
    <row r="438" spans="5:25" ht="15" x14ac:dyDescent="0.2">
      <c r="E438" s="1201"/>
      <c r="F438" s="745"/>
      <c r="G438" s="745"/>
      <c r="H438" s="1256">
        <f t="shared" si="53"/>
        <v>0</v>
      </c>
      <c r="I438" s="736">
        <v>211</v>
      </c>
      <c r="J438" s="736">
        <f t="shared" si="54"/>
        <v>1</v>
      </c>
      <c r="K438" s="2532">
        <f t="shared" si="56"/>
        <v>10</v>
      </c>
      <c r="L438" s="736">
        <f t="shared" si="55"/>
        <v>0</v>
      </c>
      <c r="M438" s="2533">
        <f t="shared" si="57"/>
        <v>1</v>
      </c>
      <c r="U438" s="1260">
        <f t="shared" si="52"/>
        <v>619</v>
      </c>
      <c r="V438" s="745">
        <v>2</v>
      </c>
      <c r="W438" s="745">
        <v>33</v>
      </c>
      <c r="X438" s="745">
        <v>0</v>
      </c>
      <c r="Y438" s="1202">
        <v>0</v>
      </c>
    </row>
    <row r="439" spans="5:25" ht="15" x14ac:dyDescent="0.2">
      <c r="E439" s="1201"/>
      <c r="F439" s="745"/>
      <c r="G439" s="745"/>
      <c r="H439" s="1256">
        <f t="shared" si="53"/>
        <v>0</v>
      </c>
      <c r="I439" s="736">
        <v>212</v>
      </c>
      <c r="J439" s="736">
        <f t="shared" si="54"/>
        <v>4</v>
      </c>
      <c r="K439" s="2532">
        <f t="shared" si="56"/>
        <v>8</v>
      </c>
      <c r="L439" s="736">
        <f t="shared" si="55"/>
        <v>0</v>
      </c>
      <c r="M439" s="2533">
        <f t="shared" si="57"/>
        <v>1</v>
      </c>
      <c r="U439" s="1260">
        <f t="shared" si="52"/>
        <v>637</v>
      </c>
      <c r="V439" s="745">
        <v>2</v>
      </c>
      <c r="W439" s="745">
        <v>34</v>
      </c>
      <c r="X439" s="745">
        <v>0</v>
      </c>
      <c r="Y439" s="1202">
        <v>0</v>
      </c>
    </row>
    <row r="440" spans="5:25" ht="15" x14ac:dyDescent="0.2">
      <c r="E440" s="1201"/>
      <c r="F440" s="745"/>
      <c r="G440" s="745"/>
      <c r="H440" s="1256">
        <f t="shared" si="53"/>
        <v>0</v>
      </c>
      <c r="I440" s="736">
        <v>213</v>
      </c>
      <c r="J440" s="736">
        <f t="shared" si="54"/>
        <v>17</v>
      </c>
      <c r="K440" s="2532">
        <f t="shared" si="56"/>
        <v>0</v>
      </c>
      <c r="L440" s="736">
        <f t="shared" si="55"/>
        <v>0</v>
      </c>
      <c r="M440" s="2533">
        <f t="shared" si="57"/>
        <v>1</v>
      </c>
      <c r="U440" s="1260">
        <f t="shared" si="52"/>
        <v>655</v>
      </c>
      <c r="V440" s="745">
        <v>2</v>
      </c>
      <c r="W440" s="745">
        <v>35</v>
      </c>
      <c r="X440" s="745">
        <v>0</v>
      </c>
      <c r="Y440" s="1202">
        <v>0</v>
      </c>
    </row>
    <row r="441" spans="5:25" ht="15" x14ac:dyDescent="0.2">
      <c r="E441" s="1201"/>
      <c r="F441" s="745"/>
      <c r="G441" s="745"/>
      <c r="H441" s="1256">
        <f t="shared" si="53"/>
        <v>0</v>
      </c>
      <c r="I441" s="736">
        <v>214</v>
      </c>
      <c r="J441" s="736">
        <f t="shared" si="54"/>
        <v>1</v>
      </c>
      <c r="K441" s="2532">
        <f t="shared" si="56"/>
        <v>9</v>
      </c>
      <c r="L441" s="736">
        <f t="shared" si="55"/>
        <v>1</v>
      </c>
      <c r="M441" s="2533">
        <f t="shared" si="57"/>
        <v>2</v>
      </c>
      <c r="U441" s="1260">
        <f t="shared" si="52"/>
        <v>673</v>
      </c>
      <c r="V441" s="745">
        <v>2</v>
      </c>
      <c r="W441" s="745">
        <v>36</v>
      </c>
      <c r="X441" s="745">
        <v>0</v>
      </c>
      <c r="Y441" s="1202">
        <v>0</v>
      </c>
    </row>
    <row r="442" spans="5:25" ht="15" x14ac:dyDescent="0.2">
      <c r="E442" s="1201"/>
      <c r="F442" s="745"/>
      <c r="G442" s="745"/>
      <c r="H442" s="1256">
        <f t="shared" si="53"/>
        <v>0</v>
      </c>
      <c r="I442" s="736">
        <v>215</v>
      </c>
      <c r="J442" s="736">
        <f t="shared" si="54"/>
        <v>3</v>
      </c>
      <c r="K442" s="2532">
        <f t="shared" si="56"/>
        <v>8</v>
      </c>
      <c r="L442" s="736">
        <f t="shared" si="55"/>
        <v>1</v>
      </c>
      <c r="M442" s="2533">
        <f t="shared" si="57"/>
        <v>1</v>
      </c>
      <c r="U442" s="1260">
        <f t="shared" si="52"/>
        <v>691</v>
      </c>
      <c r="V442" s="745">
        <v>2</v>
      </c>
      <c r="W442" s="745">
        <v>37</v>
      </c>
      <c r="X442" s="745">
        <v>0</v>
      </c>
      <c r="Y442" s="1202">
        <v>0</v>
      </c>
    </row>
    <row r="443" spans="5:25" ht="15" x14ac:dyDescent="0.2">
      <c r="E443" s="1201"/>
      <c r="F443" s="745"/>
      <c r="G443" s="745"/>
      <c r="H443" s="1256">
        <f t="shared" si="53"/>
        <v>0</v>
      </c>
      <c r="I443" s="736">
        <v>216</v>
      </c>
      <c r="J443" s="736">
        <f t="shared" si="54"/>
        <v>0</v>
      </c>
      <c r="K443" s="2532">
        <f t="shared" si="56"/>
        <v>11</v>
      </c>
      <c r="L443" s="736">
        <f t="shared" si="55"/>
        <v>0</v>
      </c>
      <c r="M443" s="2533">
        <f t="shared" si="57"/>
        <v>1</v>
      </c>
      <c r="U443" s="1260">
        <f t="shared" si="52"/>
        <v>709</v>
      </c>
      <c r="V443" s="745">
        <v>2</v>
      </c>
      <c r="W443" s="745">
        <v>38</v>
      </c>
      <c r="X443" s="745">
        <v>0</v>
      </c>
      <c r="Y443" s="1202">
        <v>0</v>
      </c>
    </row>
    <row r="444" spans="5:25" ht="15" x14ac:dyDescent="0.2">
      <c r="E444" s="1201"/>
      <c r="F444" s="745"/>
      <c r="G444" s="745"/>
      <c r="H444" s="1256">
        <f t="shared" si="53"/>
        <v>0</v>
      </c>
      <c r="I444" s="736">
        <v>217</v>
      </c>
      <c r="J444" s="736">
        <f t="shared" si="54"/>
        <v>1</v>
      </c>
      <c r="K444" s="2532">
        <f t="shared" si="56"/>
        <v>10</v>
      </c>
      <c r="L444" s="736">
        <f t="shared" si="55"/>
        <v>0</v>
      </c>
      <c r="M444" s="2533">
        <f t="shared" si="57"/>
        <v>2</v>
      </c>
      <c r="U444" s="1260">
        <f t="shared" si="52"/>
        <v>727</v>
      </c>
      <c r="V444" s="745">
        <v>2</v>
      </c>
      <c r="W444" s="745">
        <v>39</v>
      </c>
      <c r="X444" s="745">
        <v>0</v>
      </c>
      <c r="Y444" s="1202">
        <v>0</v>
      </c>
    </row>
    <row r="445" spans="5:25" ht="15" x14ac:dyDescent="0.2">
      <c r="E445" s="1201"/>
      <c r="F445" s="745"/>
      <c r="G445" s="745"/>
      <c r="H445" s="1256">
        <f t="shared" si="53"/>
        <v>0</v>
      </c>
      <c r="I445" s="736">
        <v>218</v>
      </c>
      <c r="J445" s="736">
        <f t="shared" si="54"/>
        <v>3</v>
      </c>
      <c r="K445" s="2532">
        <f t="shared" si="56"/>
        <v>9</v>
      </c>
      <c r="L445" s="736">
        <f t="shared" si="55"/>
        <v>0</v>
      </c>
      <c r="M445" s="2533">
        <f t="shared" si="57"/>
        <v>1</v>
      </c>
      <c r="U445" s="1260">
        <f t="shared" si="52"/>
        <v>745</v>
      </c>
      <c r="V445" s="745">
        <v>2</v>
      </c>
      <c r="W445" s="745">
        <v>40</v>
      </c>
      <c r="X445" s="745">
        <v>0</v>
      </c>
      <c r="Y445" s="1202">
        <v>0</v>
      </c>
    </row>
    <row r="446" spans="5:25" ht="15" x14ac:dyDescent="0.2">
      <c r="E446" s="1201"/>
      <c r="F446" s="745"/>
      <c r="G446" s="745"/>
      <c r="H446" s="1256">
        <f t="shared" si="53"/>
        <v>0</v>
      </c>
      <c r="I446" s="736">
        <v>219</v>
      </c>
      <c r="J446" s="736">
        <f t="shared" si="54"/>
        <v>17</v>
      </c>
      <c r="K446" s="2532">
        <f t="shared" si="56"/>
        <v>0</v>
      </c>
      <c r="L446" s="736">
        <f t="shared" si="55"/>
        <v>0</v>
      </c>
      <c r="M446" s="2533">
        <f t="shared" si="57"/>
        <v>2</v>
      </c>
      <c r="U446" s="1260">
        <f t="shared" si="52"/>
        <v>763</v>
      </c>
      <c r="V446" s="745">
        <v>2</v>
      </c>
      <c r="W446" s="745">
        <v>41</v>
      </c>
      <c r="X446" s="745">
        <v>0</v>
      </c>
      <c r="Y446" s="1202">
        <v>0</v>
      </c>
    </row>
    <row r="447" spans="5:25" ht="15" x14ac:dyDescent="0.2">
      <c r="E447" s="1201"/>
      <c r="F447" s="745"/>
      <c r="G447" s="745"/>
      <c r="H447" s="1256">
        <f t="shared" si="53"/>
        <v>0</v>
      </c>
      <c r="I447" s="736">
        <v>220</v>
      </c>
      <c r="J447" s="736">
        <f t="shared" si="54"/>
        <v>2</v>
      </c>
      <c r="K447" s="2532">
        <f t="shared" si="56"/>
        <v>9</v>
      </c>
      <c r="L447" s="736">
        <f t="shared" si="55"/>
        <v>1</v>
      </c>
      <c r="M447" s="2533">
        <f t="shared" si="57"/>
        <v>1</v>
      </c>
      <c r="U447" s="1260">
        <f t="shared" si="52"/>
        <v>781</v>
      </c>
      <c r="V447" s="745">
        <v>2</v>
      </c>
      <c r="W447" s="745">
        <v>42</v>
      </c>
      <c r="X447" s="745">
        <v>0</v>
      </c>
      <c r="Y447" s="1202">
        <v>0</v>
      </c>
    </row>
    <row r="448" spans="5:25" ht="15" x14ac:dyDescent="0.2">
      <c r="E448" s="1201"/>
      <c r="F448" s="745"/>
      <c r="G448" s="745"/>
      <c r="H448" s="1256">
        <f t="shared" si="53"/>
        <v>0</v>
      </c>
      <c r="I448" s="736">
        <v>221</v>
      </c>
      <c r="J448" s="736">
        <f t="shared" si="54"/>
        <v>3</v>
      </c>
      <c r="K448" s="2532">
        <f t="shared" si="56"/>
        <v>8</v>
      </c>
      <c r="L448" s="736">
        <f t="shared" si="55"/>
        <v>1</v>
      </c>
      <c r="M448" s="2533">
        <f t="shared" si="57"/>
        <v>2</v>
      </c>
      <c r="U448" s="1260">
        <f t="shared" si="52"/>
        <v>799</v>
      </c>
      <c r="V448" s="745">
        <v>2</v>
      </c>
      <c r="W448" s="745">
        <v>43</v>
      </c>
      <c r="X448" s="745">
        <v>0</v>
      </c>
      <c r="Y448" s="1202">
        <v>0</v>
      </c>
    </row>
    <row r="449" spans="5:25" ht="15" x14ac:dyDescent="0.2">
      <c r="E449" s="1201"/>
      <c r="F449" s="745"/>
      <c r="G449" s="745"/>
      <c r="H449" s="1256">
        <f t="shared" si="53"/>
        <v>0</v>
      </c>
      <c r="I449" s="736">
        <v>222</v>
      </c>
      <c r="J449" s="736">
        <f t="shared" si="54"/>
        <v>5</v>
      </c>
      <c r="K449" s="2532">
        <f t="shared" si="56"/>
        <v>7</v>
      </c>
      <c r="L449" s="736">
        <f t="shared" si="55"/>
        <v>1</v>
      </c>
      <c r="M449" s="2533">
        <f t="shared" si="57"/>
        <v>1</v>
      </c>
      <c r="U449" s="1260">
        <f t="shared" si="52"/>
        <v>817</v>
      </c>
      <c r="V449" s="745">
        <v>2</v>
      </c>
      <c r="W449" s="745">
        <v>44</v>
      </c>
      <c r="X449" s="745">
        <v>0</v>
      </c>
      <c r="Y449" s="1202">
        <v>0</v>
      </c>
    </row>
    <row r="450" spans="5:25" ht="15" x14ac:dyDescent="0.2">
      <c r="E450" s="1201"/>
      <c r="F450" s="745"/>
      <c r="G450" s="745"/>
      <c r="H450" s="1256">
        <f t="shared" si="53"/>
        <v>0</v>
      </c>
      <c r="I450" s="736">
        <v>223</v>
      </c>
      <c r="J450" s="736">
        <f t="shared" si="54"/>
        <v>2</v>
      </c>
      <c r="K450" s="2532">
        <f t="shared" si="56"/>
        <v>10</v>
      </c>
      <c r="L450" s="736">
        <f t="shared" si="55"/>
        <v>0</v>
      </c>
      <c r="M450" s="2533">
        <f t="shared" si="57"/>
        <v>1</v>
      </c>
      <c r="U450" s="1260">
        <f t="shared" si="52"/>
        <v>835</v>
      </c>
      <c r="V450" s="745">
        <v>2</v>
      </c>
      <c r="W450" s="745">
        <v>45</v>
      </c>
      <c r="X450" s="745">
        <v>0</v>
      </c>
      <c r="Y450" s="1202">
        <v>0</v>
      </c>
    </row>
    <row r="451" spans="5:25" ht="15" x14ac:dyDescent="0.2">
      <c r="E451" s="1201"/>
      <c r="F451" s="745"/>
      <c r="G451" s="745"/>
      <c r="H451" s="1256">
        <f t="shared" si="53"/>
        <v>0</v>
      </c>
      <c r="I451" s="736">
        <v>224</v>
      </c>
      <c r="J451" s="736">
        <f t="shared" si="54"/>
        <v>3</v>
      </c>
      <c r="K451" s="2532">
        <f t="shared" si="56"/>
        <v>9</v>
      </c>
      <c r="L451" s="736">
        <f t="shared" si="55"/>
        <v>0</v>
      </c>
      <c r="M451" s="2533">
        <f t="shared" si="57"/>
        <v>2</v>
      </c>
      <c r="U451" s="1260">
        <f t="shared" si="52"/>
        <v>853</v>
      </c>
      <c r="V451" s="745">
        <v>2</v>
      </c>
      <c r="W451" s="745">
        <v>46</v>
      </c>
      <c r="X451" s="745">
        <v>0</v>
      </c>
      <c r="Y451" s="1202">
        <v>0</v>
      </c>
    </row>
    <row r="452" spans="5:25" ht="15" x14ac:dyDescent="0.2">
      <c r="E452" s="1201"/>
      <c r="F452" s="745"/>
      <c r="G452" s="745"/>
      <c r="H452" s="1256">
        <f t="shared" si="53"/>
        <v>0</v>
      </c>
      <c r="I452" s="736">
        <v>225</v>
      </c>
      <c r="J452" s="736">
        <f t="shared" si="54"/>
        <v>18</v>
      </c>
      <c r="K452" s="2532">
        <f t="shared" si="56"/>
        <v>0</v>
      </c>
      <c r="L452" s="736">
        <f t="shared" si="55"/>
        <v>0</v>
      </c>
      <c r="M452" s="2533">
        <f t="shared" si="57"/>
        <v>1</v>
      </c>
      <c r="U452" s="1260">
        <f t="shared" si="52"/>
        <v>871</v>
      </c>
      <c r="V452" s="745">
        <v>2</v>
      </c>
      <c r="W452" s="745">
        <v>47</v>
      </c>
      <c r="X452" s="745">
        <v>0</v>
      </c>
      <c r="Y452" s="1202">
        <v>0</v>
      </c>
    </row>
    <row r="453" spans="5:25" ht="15" x14ac:dyDescent="0.2">
      <c r="E453" s="1201"/>
      <c r="F453" s="745"/>
      <c r="G453" s="745"/>
      <c r="H453" s="1256">
        <f t="shared" si="53"/>
        <v>0</v>
      </c>
      <c r="I453" s="736">
        <v>226</v>
      </c>
      <c r="J453" s="736">
        <f t="shared" si="54"/>
        <v>1</v>
      </c>
      <c r="K453" s="2532">
        <f t="shared" si="56"/>
        <v>10</v>
      </c>
      <c r="L453" s="736">
        <f t="shared" si="55"/>
        <v>1</v>
      </c>
      <c r="M453" s="2533">
        <f t="shared" si="57"/>
        <v>1</v>
      </c>
      <c r="U453" s="1260">
        <f t="shared" si="52"/>
        <v>889</v>
      </c>
      <c r="V453" s="745">
        <v>2</v>
      </c>
      <c r="W453" s="745">
        <v>48</v>
      </c>
      <c r="X453" s="745">
        <v>0</v>
      </c>
      <c r="Y453" s="1202">
        <v>0</v>
      </c>
    </row>
    <row r="454" spans="5:25" ht="15" x14ac:dyDescent="0.2">
      <c r="E454" s="1201"/>
      <c r="F454" s="745"/>
      <c r="G454" s="745"/>
      <c r="H454" s="1256">
        <f t="shared" si="53"/>
        <v>0</v>
      </c>
      <c r="I454" s="736">
        <v>227</v>
      </c>
      <c r="J454" s="736">
        <f t="shared" si="54"/>
        <v>4</v>
      </c>
      <c r="K454" s="2532">
        <f t="shared" si="56"/>
        <v>8</v>
      </c>
      <c r="L454" s="736">
        <f t="shared" si="55"/>
        <v>1</v>
      </c>
      <c r="M454" s="2533">
        <f t="shared" si="57"/>
        <v>1</v>
      </c>
      <c r="U454" s="1260">
        <f t="shared" si="52"/>
        <v>907</v>
      </c>
      <c r="V454" s="745">
        <v>2</v>
      </c>
      <c r="W454" s="745">
        <v>49</v>
      </c>
      <c r="X454" s="745">
        <v>0</v>
      </c>
      <c r="Y454" s="1202">
        <v>0</v>
      </c>
    </row>
    <row r="455" spans="5:25" ht="15" x14ac:dyDescent="0.2">
      <c r="E455" s="1201"/>
      <c r="F455" s="745"/>
      <c r="G455" s="745"/>
      <c r="H455" s="1256">
        <f t="shared" si="53"/>
        <v>0</v>
      </c>
      <c r="I455" s="736">
        <v>228</v>
      </c>
      <c r="J455" s="736">
        <f t="shared" si="54"/>
        <v>17</v>
      </c>
      <c r="K455" s="2532">
        <f t="shared" si="56"/>
        <v>0</v>
      </c>
      <c r="L455" s="736">
        <f t="shared" si="55"/>
        <v>1</v>
      </c>
      <c r="M455" s="2533">
        <f t="shared" si="57"/>
        <v>1</v>
      </c>
      <c r="U455" s="1260">
        <f t="shared" si="52"/>
        <v>925</v>
      </c>
      <c r="V455" s="745">
        <v>2</v>
      </c>
      <c r="W455" s="745">
        <v>50</v>
      </c>
      <c r="X455" s="745">
        <v>0</v>
      </c>
      <c r="Y455" s="1202">
        <v>0</v>
      </c>
    </row>
    <row r="456" spans="5:25" ht="15" x14ac:dyDescent="0.2">
      <c r="E456" s="1201"/>
      <c r="F456" s="745"/>
      <c r="G456" s="745"/>
      <c r="H456" s="1256">
        <f t="shared" si="53"/>
        <v>0</v>
      </c>
      <c r="I456" s="736">
        <v>229</v>
      </c>
      <c r="J456" s="736">
        <f t="shared" si="54"/>
        <v>1</v>
      </c>
      <c r="K456" s="2532">
        <f t="shared" si="56"/>
        <v>11</v>
      </c>
      <c r="L456" s="736">
        <f t="shared" si="55"/>
        <v>0</v>
      </c>
      <c r="M456" s="2533">
        <f t="shared" si="57"/>
        <v>1</v>
      </c>
      <c r="U456" s="1260">
        <f t="shared" si="52"/>
        <v>943</v>
      </c>
      <c r="V456" s="745">
        <v>2</v>
      </c>
      <c r="W456" s="745">
        <v>51</v>
      </c>
      <c r="X456" s="745">
        <v>0</v>
      </c>
      <c r="Y456" s="1202">
        <v>0</v>
      </c>
    </row>
    <row r="457" spans="5:25" ht="15" x14ac:dyDescent="0.2">
      <c r="E457" s="1201"/>
      <c r="F457" s="745"/>
      <c r="G457" s="745"/>
      <c r="H457" s="1256">
        <f t="shared" si="53"/>
        <v>0</v>
      </c>
      <c r="I457" s="736">
        <v>230</v>
      </c>
      <c r="J457" s="736">
        <f t="shared" si="54"/>
        <v>4</v>
      </c>
      <c r="K457" s="2532">
        <f t="shared" si="56"/>
        <v>9</v>
      </c>
      <c r="L457" s="736">
        <f t="shared" si="55"/>
        <v>0</v>
      </c>
      <c r="M457" s="2533">
        <f t="shared" si="57"/>
        <v>1</v>
      </c>
      <c r="U457" s="1260">
        <f t="shared" si="52"/>
        <v>961</v>
      </c>
      <c r="V457" s="745">
        <v>2</v>
      </c>
      <c r="W457" s="745">
        <v>52</v>
      </c>
      <c r="X457" s="745">
        <v>0</v>
      </c>
      <c r="Y457" s="1202">
        <v>0</v>
      </c>
    </row>
    <row r="458" spans="5:25" ht="15" x14ac:dyDescent="0.2">
      <c r="E458" s="1201"/>
      <c r="F458" s="745"/>
      <c r="G458" s="745"/>
      <c r="H458" s="1256">
        <f t="shared" si="53"/>
        <v>0</v>
      </c>
      <c r="I458" s="736">
        <v>231</v>
      </c>
      <c r="J458" s="736">
        <f t="shared" si="54"/>
        <v>0</v>
      </c>
      <c r="K458" s="2532">
        <f t="shared" si="56"/>
        <v>11</v>
      </c>
      <c r="L458" s="736">
        <f t="shared" si="55"/>
        <v>1</v>
      </c>
      <c r="M458" s="2533">
        <f t="shared" si="57"/>
        <v>1</v>
      </c>
      <c r="U458" s="1260">
        <f t="shared" si="52"/>
        <v>979</v>
      </c>
      <c r="V458" s="745">
        <v>2</v>
      </c>
      <c r="W458" s="745">
        <v>53</v>
      </c>
      <c r="X458" s="745">
        <v>0</v>
      </c>
      <c r="Y458" s="1202">
        <v>0</v>
      </c>
    </row>
    <row r="459" spans="5:25" ht="15" x14ac:dyDescent="0.2">
      <c r="E459" s="1201"/>
      <c r="F459" s="745"/>
      <c r="G459" s="745"/>
      <c r="H459" s="1256">
        <f t="shared" si="53"/>
        <v>0</v>
      </c>
      <c r="I459" s="736">
        <v>232</v>
      </c>
      <c r="J459" s="736">
        <f t="shared" si="54"/>
        <v>1</v>
      </c>
      <c r="K459" s="2532">
        <f t="shared" si="56"/>
        <v>10</v>
      </c>
      <c r="L459" s="736">
        <f t="shared" si="55"/>
        <v>1</v>
      </c>
      <c r="M459" s="2533">
        <f t="shared" si="57"/>
        <v>2</v>
      </c>
      <c r="U459" s="1260">
        <f t="shared" si="52"/>
        <v>997</v>
      </c>
      <c r="V459" s="745">
        <v>2</v>
      </c>
      <c r="W459" s="745">
        <v>54</v>
      </c>
      <c r="X459" s="745">
        <v>0</v>
      </c>
      <c r="Y459" s="1202">
        <v>0</v>
      </c>
    </row>
    <row r="460" spans="5:25" ht="15" x14ac:dyDescent="0.2">
      <c r="E460" s="1201"/>
      <c r="F460" s="745"/>
      <c r="G460" s="745"/>
      <c r="H460" s="1256">
        <f t="shared" si="53"/>
        <v>0</v>
      </c>
      <c r="I460" s="736">
        <v>233</v>
      </c>
      <c r="J460" s="736">
        <f t="shared" si="54"/>
        <v>3</v>
      </c>
      <c r="K460" s="2532">
        <f t="shared" si="56"/>
        <v>9</v>
      </c>
      <c r="L460" s="736">
        <f t="shared" si="55"/>
        <v>1</v>
      </c>
      <c r="M460" s="2533">
        <f t="shared" si="57"/>
        <v>1</v>
      </c>
      <c r="U460" s="1260">
        <f t="shared" si="52"/>
        <v>1015</v>
      </c>
      <c r="V460" s="745">
        <v>2</v>
      </c>
      <c r="W460" s="745">
        <v>55</v>
      </c>
      <c r="X460" s="745">
        <v>0</v>
      </c>
      <c r="Y460" s="1202">
        <v>0</v>
      </c>
    </row>
    <row r="461" spans="5:25" ht="15" x14ac:dyDescent="0.2">
      <c r="E461" s="1201"/>
      <c r="F461" s="745"/>
      <c r="G461" s="745"/>
      <c r="H461" s="1256">
        <f t="shared" si="53"/>
        <v>0</v>
      </c>
      <c r="I461" s="736">
        <v>234</v>
      </c>
      <c r="J461" s="736">
        <f t="shared" si="54"/>
        <v>0</v>
      </c>
      <c r="K461" s="2532">
        <f t="shared" si="56"/>
        <v>12</v>
      </c>
      <c r="L461" s="736">
        <f t="shared" si="55"/>
        <v>0</v>
      </c>
      <c r="M461" s="2533">
        <f t="shared" si="57"/>
        <v>1</v>
      </c>
      <c r="U461" s="1260">
        <f t="shared" si="52"/>
        <v>56</v>
      </c>
      <c r="V461" s="745">
        <v>3</v>
      </c>
      <c r="W461" s="745">
        <v>1</v>
      </c>
      <c r="X461" s="745">
        <v>0</v>
      </c>
      <c r="Y461" s="1202">
        <v>0</v>
      </c>
    </row>
    <row r="462" spans="5:25" ht="15" x14ac:dyDescent="0.2">
      <c r="E462" s="1201"/>
      <c r="F462" s="745"/>
      <c r="G462" s="745"/>
      <c r="H462" s="1256">
        <f t="shared" si="53"/>
        <v>0</v>
      </c>
      <c r="I462" s="736">
        <v>235</v>
      </c>
      <c r="J462" s="736">
        <f t="shared" si="54"/>
        <v>1</v>
      </c>
      <c r="K462" s="2532">
        <f t="shared" si="56"/>
        <v>11</v>
      </c>
      <c r="L462" s="736">
        <f t="shared" si="55"/>
        <v>0</v>
      </c>
      <c r="M462" s="2533">
        <f t="shared" si="57"/>
        <v>2</v>
      </c>
      <c r="U462" s="1260">
        <f t="shared" si="52"/>
        <v>74</v>
      </c>
      <c r="V462" s="745">
        <v>3</v>
      </c>
      <c r="W462" s="745">
        <v>2</v>
      </c>
      <c r="X462" s="745">
        <v>0</v>
      </c>
      <c r="Y462" s="1202">
        <v>0</v>
      </c>
    </row>
    <row r="463" spans="5:25" ht="15" x14ac:dyDescent="0.2">
      <c r="E463" s="1201"/>
      <c r="F463" s="745"/>
      <c r="G463" s="745"/>
      <c r="H463" s="1256">
        <f t="shared" si="53"/>
        <v>0</v>
      </c>
      <c r="I463" s="736">
        <v>236</v>
      </c>
      <c r="J463" s="736">
        <f t="shared" si="54"/>
        <v>3</v>
      </c>
      <c r="K463" s="2532">
        <f t="shared" si="56"/>
        <v>10</v>
      </c>
      <c r="L463" s="736">
        <f t="shared" si="55"/>
        <v>0</v>
      </c>
      <c r="M463" s="2533">
        <f t="shared" si="57"/>
        <v>1</v>
      </c>
      <c r="U463" s="1260">
        <f t="shared" si="52"/>
        <v>92</v>
      </c>
      <c r="V463" s="745">
        <v>3</v>
      </c>
      <c r="W463" s="745">
        <v>3</v>
      </c>
      <c r="X463" s="745">
        <v>0</v>
      </c>
      <c r="Y463" s="1202">
        <v>0</v>
      </c>
    </row>
    <row r="464" spans="5:25" ht="15" x14ac:dyDescent="0.2">
      <c r="E464" s="1201"/>
      <c r="F464" s="745"/>
      <c r="G464" s="745"/>
      <c r="H464" s="1256">
        <f t="shared" si="53"/>
        <v>0</v>
      </c>
      <c r="I464" s="736">
        <v>237</v>
      </c>
      <c r="J464" s="736">
        <f t="shared" si="54"/>
        <v>0</v>
      </c>
      <c r="K464" s="2532">
        <f t="shared" si="56"/>
        <v>11</v>
      </c>
      <c r="L464" s="736">
        <f t="shared" si="55"/>
        <v>1</v>
      </c>
      <c r="M464" s="2533">
        <f t="shared" si="57"/>
        <v>2</v>
      </c>
      <c r="U464" s="1260">
        <f t="shared" si="52"/>
        <v>110</v>
      </c>
      <c r="V464" s="745">
        <v>3</v>
      </c>
      <c r="W464" s="745">
        <v>4</v>
      </c>
      <c r="X464" s="745">
        <v>0</v>
      </c>
      <c r="Y464" s="1202">
        <v>0</v>
      </c>
    </row>
    <row r="465" spans="5:25" ht="15" x14ac:dyDescent="0.2">
      <c r="E465" s="1201"/>
      <c r="F465" s="745"/>
      <c r="G465" s="745"/>
      <c r="H465" s="1256">
        <f t="shared" si="53"/>
        <v>0</v>
      </c>
      <c r="I465" s="736">
        <v>238</v>
      </c>
      <c r="J465" s="736">
        <f t="shared" si="54"/>
        <v>19</v>
      </c>
      <c r="K465" s="2532">
        <f t="shared" si="56"/>
        <v>0</v>
      </c>
      <c r="L465" s="736">
        <f t="shared" si="55"/>
        <v>0</v>
      </c>
      <c r="M465" s="2533">
        <f t="shared" si="57"/>
        <v>1</v>
      </c>
      <c r="U465" s="1260">
        <f t="shared" si="52"/>
        <v>128</v>
      </c>
      <c r="V465" s="745">
        <v>3</v>
      </c>
      <c r="W465" s="745">
        <v>5</v>
      </c>
      <c r="X465" s="745">
        <v>0</v>
      </c>
      <c r="Y465" s="1202">
        <v>0</v>
      </c>
    </row>
    <row r="466" spans="5:25" ht="15" x14ac:dyDescent="0.2">
      <c r="E466" s="1201"/>
      <c r="F466" s="745"/>
      <c r="G466" s="745"/>
      <c r="H466" s="1256">
        <f t="shared" si="53"/>
        <v>0</v>
      </c>
      <c r="I466" s="736">
        <v>239</v>
      </c>
      <c r="J466" s="736">
        <f t="shared" si="54"/>
        <v>3</v>
      </c>
      <c r="K466" s="2532">
        <f t="shared" si="56"/>
        <v>9</v>
      </c>
      <c r="L466" s="736">
        <f t="shared" si="55"/>
        <v>1</v>
      </c>
      <c r="M466" s="2533">
        <f t="shared" si="57"/>
        <v>2</v>
      </c>
      <c r="U466" s="1260">
        <f t="shared" si="52"/>
        <v>146</v>
      </c>
      <c r="V466" s="745">
        <v>3</v>
      </c>
      <c r="W466" s="745">
        <v>6</v>
      </c>
      <c r="X466" s="745">
        <v>0</v>
      </c>
      <c r="Y466" s="1202">
        <v>0</v>
      </c>
    </row>
    <row r="467" spans="5:25" ht="15" x14ac:dyDescent="0.2">
      <c r="E467" s="1201"/>
      <c r="F467" s="745"/>
      <c r="G467" s="745"/>
      <c r="H467" s="1256">
        <f t="shared" si="53"/>
        <v>0</v>
      </c>
      <c r="I467" s="736">
        <v>240</v>
      </c>
      <c r="J467" s="736">
        <f t="shared" si="54"/>
        <v>18</v>
      </c>
      <c r="K467" s="2532">
        <f t="shared" si="56"/>
        <v>0</v>
      </c>
      <c r="L467" s="736">
        <f t="shared" si="55"/>
        <v>1</v>
      </c>
      <c r="M467" s="2533">
        <f t="shared" si="57"/>
        <v>1</v>
      </c>
      <c r="U467" s="1260">
        <f t="shared" si="52"/>
        <v>164</v>
      </c>
      <c r="V467" s="745">
        <v>3</v>
      </c>
      <c r="W467" s="745">
        <v>7</v>
      </c>
      <c r="X467" s="745">
        <v>0</v>
      </c>
      <c r="Y467" s="1202">
        <v>0</v>
      </c>
    </row>
    <row r="468" spans="5:25" ht="15" x14ac:dyDescent="0.2">
      <c r="E468" s="1201"/>
      <c r="F468" s="745"/>
      <c r="G468" s="745"/>
      <c r="H468" s="1256">
        <f t="shared" si="53"/>
        <v>0</v>
      </c>
      <c r="I468" s="736">
        <v>241</v>
      </c>
      <c r="J468" s="736">
        <f t="shared" si="54"/>
        <v>2</v>
      </c>
      <c r="K468" s="2532">
        <f t="shared" si="56"/>
        <v>11</v>
      </c>
      <c r="L468" s="736">
        <f t="shared" si="55"/>
        <v>0</v>
      </c>
      <c r="M468" s="2533">
        <f t="shared" si="57"/>
        <v>1</v>
      </c>
      <c r="U468" s="1260">
        <f t="shared" si="52"/>
        <v>182</v>
      </c>
      <c r="V468" s="745">
        <v>3</v>
      </c>
      <c r="W468" s="745">
        <v>8</v>
      </c>
      <c r="X468" s="745">
        <v>0</v>
      </c>
      <c r="Y468" s="1202">
        <v>0</v>
      </c>
    </row>
    <row r="469" spans="5:25" ht="15" x14ac:dyDescent="0.2">
      <c r="E469" s="1201"/>
      <c r="F469" s="745"/>
      <c r="G469" s="745"/>
      <c r="H469" s="1256">
        <f t="shared" si="53"/>
        <v>0</v>
      </c>
      <c r="I469" s="736">
        <v>242</v>
      </c>
      <c r="J469" s="736">
        <f t="shared" si="54"/>
        <v>3</v>
      </c>
      <c r="K469" s="2532">
        <f t="shared" si="56"/>
        <v>10</v>
      </c>
      <c r="L469" s="736">
        <f t="shared" si="55"/>
        <v>0</v>
      </c>
      <c r="M469" s="2533">
        <f t="shared" si="57"/>
        <v>2</v>
      </c>
      <c r="U469" s="1260">
        <f t="shared" si="52"/>
        <v>200</v>
      </c>
      <c r="V469" s="745">
        <v>3</v>
      </c>
      <c r="W469" s="745">
        <v>9</v>
      </c>
      <c r="X469" s="745">
        <v>0</v>
      </c>
      <c r="Y469" s="1202">
        <v>0</v>
      </c>
    </row>
    <row r="470" spans="5:25" ht="15" x14ac:dyDescent="0.2">
      <c r="E470" s="1201"/>
      <c r="F470" s="745"/>
      <c r="G470" s="745"/>
      <c r="H470" s="1256">
        <f t="shared" si="53"/>
        <v>0</v>
      </c>
      <c r="I470" s="736">
        <v>243</v>
      </c>
      <c r="J470" s="736">
        <f t="shared" si="54"/>
        <v>5</v>
      </c>
      <c r="K470" s="2532">
        <f t="shared" si="56"/>
        <v>9</v>
      </c>
      <c r="L470" s="736">
        <f t="shared" si="55"/>
        <v>0</v>
      </c>
      <c r="M470" s="2533">
        <f t="shared" si="57"/>
        <v>1</v>
      </c>
      <c r="U470" s="1260">
        <f t="shared" si="52"/>
        <v>218</v>
      </c>
      <c r="V470" s="745">
        <v>3</v>
      </c>
      <c r="W470" s="745">
        <v>10</v>
      </c>
      <c r="X470" s="745">
        <v>0</v>
      </c>
      <c r="Y470" s="1202">
        <v>0</v>
      </c>
    </row>
    <row r="471" spans="5:25" ht="15" x14ac:dyDescent="0.2">
      <c r="E471" s="1201"/>
      <c r="F471" s="745"/>
      <c r="G471" s="745"/>
      <c r="H471" s="1256">
        <f t="shared" si="53"/>
        <v>0</v>
      </c>
      <c r="I471" s="736">
        <v>244</v>
      </c>
      <c r="J471" s="736">
        <f t="shared" si="54"/>
        <v>1</v>
      </c>
      <c r="K471" s="2532">
        <f t="shared" si="56"/>
        <v>11</v>
      </c>
      <c r="L471" s="736">
        <f t="shared" si="55"/>
        <v>1</v>
      </c>
      <c r="M471" s="2533">
        <f t="shared" si="57"/>
        <v>1</v>
      </c>
      <c r="U471" s="1260">
        <f t="shared" si="52"/>
        <v>236</v>
      </c>
      <c r="V471" s="745">
        <v>3</v>
      </c>
      <c r="W471" s="745">
        <v>11</v>
      </c>
      <c r="X471" s="745">
        <v>0</v>
      </c>
      <c r="Y471" s="1202">
        <v>0</v>
      </c>
    </row>
    <row r="472" spans="5:25" ht="15" x14ac:dyDescent="0.2">
      <c r="E472" s="1201"/>
      <c r="F472" s="745"/>
      <c r="G472" s="745"/>
      <c r="H472" s="1256">
        <f t="shared" si="53"/>
        <v>0</v>
      </c>
      <c r="I472" s="736">
        <v>245</v>
      </c>
      <c r="J472" s="736">
        <f t="shared" si="54"/>
        <v>4</v>
      </c>
      <c r="K472" s="2532">
        <f t="shared" si="56"/>
        <v>9</v>
      </c>
      <c r="L472" s="736">
        <f t="shared" si="55"/>
        <v>1</v>
      </c>
      <c r="M472" s="2533">
        <f t="shared" si="57"/>
        <v>1</v>
      </c>
      <c r="U472" s="1260">
        <f t="shared" si="52"/>
        <v>254</v>
      </c>
      <c r="V472" s="745">
        <v>3</v>
      </c>
      <c r="W472" s="745">
        <v>12</v>
      </c>
      <c r="X472" s="745">
        <v>0</v>
      </c>
      <c r="Y472" s="1202">
        <v>0</v>
      </c>
    </row>
    <row r="473" spans="5:25" ht="15" x14ac:dyDescent="0.2">
      <c r="E473" s="1201"/>
      <c r="F473" s="745"/>
      <c r="G473" s="745"/>
      <c r="H473" s="1256">
        <f t="shared" si="53"/>
        <v>0</v>
      </c>
      <c r="I473" s="736">
        <v>246</v>
      </c>
      <c r="J473" s="736">
        <f t="shared" si="54"/>
        <v>18</v>
      </c>
      <c r="K473" s="2532">
        <f t="shared" si="56"/>
        <v>0</v>
      </c>
      <c r="L473" s="736">
        <f t="shared" si="55"/>
        <v>1</v>
      </c>
      <c r="M473" s="2533">
        <f t="shared" si="57"/>
        <v>2</v>
      </c>
      <c r="U473" s="1260">
        <f t="shared" si="52"/>
        <v>272</v>
      </c>
      <c r="V473" s="745">
        <v>3</v>
      </c>
      <c r="W473" s="745">
        <v>13</v>
      </c>
      <c r="X473" s="745">
        <v>0</v>
      </c>
      <c r="Y473" s="1202">
        <v>0</v>
      </c>
    </row>
    <row r="474" spans="5:25" ht="15" x14ac:dyDescent="0.2">
      <c r="E474" s="1201"/>
      <c r="F474" s="745"/>
      <c r="G474" s="745"/>
      <c r="H474" s="1256">
        <f t="shared" si="53"/>
        <v>0</v>
      </c>
      <c r="I474" s="736">
        <v>247</v>
      </c>
      <c r="J474" s="736">
        <f t="shared" si="54"/>
        <v>1</v>
      </c>
      <c r="K474" s="2532">
        <f t="shared" si="56"/>
        <v>12</v>
      </c>
      <c r="L474" s="736">
        <f t="shared" si="55"/>
        <v>0</v>
      </c>
      <c r="M474" s="2533">
        <f t="shared" si="57"/>
        <v>1</v>
      </c>
      <c r="U474" s="1260">
        <f t="shared" si="52"/>
        <v>290</v>
      </c>
      <c r="V474" s="745">
        <v>3</v>
      </c>
      <c r="W474" s="745">
        <v>14</v>
      </c>
      <c r="X474" s="745">
        <v>0</v>
      </c>
      <c r="Y474" s="1202">
        <v>0</v>
      </c>
    </row>
    <row r="475" spans="5:25" ht="15" x14ac:dyDescent="0.2">
      <c r="E475" s="1201"/>
      <c r="F475" s="745"/>
      <c r="G475" s="745"/>
      <c r="H475" s="1256">
        <f t="shared" si="53"/>
        <v>0</v>
      </c>
      <c r="I475" s="736">
        <v>248</v>
      </c>
      <c r="J475" s="736">
        <f t="shared" si="54"/>
        <v>4</v>
      </c>
      <c r="K475" s="2532">
        <f t="shared" si="56"/>
        <v>10</v>
      </c>
      <c r="L475" s="736">
        <f t="shared" si="55"/>
        <v>0</v>
      </c>
      <c r="M475" s="2533">
        <f t="shared" si="57"/>
        <v>1</v>
      </c>
      <c r="U475" s="1260">
        <f t="shared" si="52"/>
        <v>308</v>
      </c>
      <c r="V475" s="745">
        <v>3</v>
      </c>
      <c r="W475" s="745">
        <v>15</v>
      </c>
      <c r="X475" s="745">
        <v>0</v>
      </c>
      <c r="Y475" s="1202">
        <v>0</v>
      </c>
    </row>
    <row r="476" spans="5:25" ht="15" x14ac:dyDescent="0.2">
      <c r="E476" s="1201"/>
      <c r="F476" s="745"/>
      <c r="G476" s="745"/>
      <c r="H476" s="1256">
        <f t="shared" si="53"/>
        <v>0</v>
      </c>
      <c r="I476" s="736">
        <v>249</v>
      </c>
      <c r="J476" s="736">
        <f t="shared" si="54"/>
        <v>0</v>
      </c>
      <c r="K476" s="2532">
        <f t="shared" si="56"/>
        <v>12</v>
      </c>
      <c r="L476" s="736">
        <f t="shared" si="55"/>
        <v>1</v>
      </c>
      <c r="M476" s="2533">
        <f t="shared" si="57"/>
        <v>1</v>
      </c>
      <c r="U476" s="1260">
        <f t="shared" si="52"/>
        <v>326</v>
      </c>
      <c r="V476" s="745">
        <v>3</v>
      </c>
      <c r="W476" s="745">
        <v>16</v>
      </c>
      <c r="X476" s="745">
        <v>0</v>
      </c>
      <c r="Y476" s="1202">
        <v>0</v>
      </c>
    </row>
    <row r="477" spans="5:25" ht="15" x14ac:dyDescent="0.2">
      <c r="E477" s="1201"/>
      <c r="F477" s="745"/>
      <c r="G477" s="745"/>
      <c r="H477" s="1256">
        <f t="shared" si="53"/>
        <v>0</v>
      </c>
      <c r="I477" s="736">
        <v>250</v>
      </c>
      <c r="J477" s="736">
        <f t="shared" si="54"/>
        <v>20</v>
      </c>
      <c r="K477" s="2532">
        <f t="shared" si="56"/>
        <v>0</v>
      </c>
      <c r="L477" s="736">
        <f t="shared" si="55"/>
        <v>0</v>
      </c>
      <c r="M477" s="2533">
        <f t="shared" si="57"/>
        <v>1</v>
      </c>
      <c r="U477" s="1260">
        <f t="shared" si="52"/>
        <v>344</v>
      </c>
      <c r="V477" s="745">
        <v>3</v>
      </c>
      <c r="W477" s="745">
        <v>17</v>
      </c>
      <c r="X477" s="745">
        <v>0</v>
      </c>
      <c r="Y477" s="1202">
        <v>0</v>
      </c>
    </row>
    <row r="478" spans="5:25" ht="15" x14ac:dyDescent="0.2">
      <c r="E478" s="1201"/>
      <c r="F478" s="745"/>
      <c r="G478" s="745"/>
      <c r="H478" s="1256">
        <f t="shared" si="53"/>
        <v>0</v>
      </c>
      <c r="I478" s="736">
        <v>251</v>
      </c>
      <c r="J478" s="736">
        <f t="shared" si="54"/>
        <v>3</v>
      </c>
      <c r="K478" s="2532">
        <f t="shared" si="56"/>
        <v>10</v>
      </c>
      <c r="L478" s="736">
        <f t="shared" si="55"/>
        <v>1</v>
      </c>
      <c r="M478" s="2533">
        <f t="shared" si="57"/>
        <v>1</v>
      </c>
      <c r="U478" s="1260">
        <f t="shared" si="52"/>
        <v>362</v>
      </c>
      <c r="V478" s="745">
        <v>3</v>
      </c>
      <c r="W478" s="745">
        <v>18</v>
      </c>
      <c r="X478" s="745">
        <v>0</v>
      </c>
      <c r="Y478" s="1202">
        <v>0</v>
      </c>
    </row>
    <row r="479" spans="5:25" ht="15" x14ac:dyDescent="0.2">
      <c r="E479" s="1201"/>
      <c r="F479" s="745"/>
      <c r="G479" s="745"/>
      <c r="H479" s="1256">
        <f t="shared" si="53"/>
        <v>0</v>
      </c>
      <c r="I479" s="736">
        <v>252</v>
      </c>
      <c r="J479" s="736">
        <f t="shared" si="54"/>
        <v>0</v>
      </c>
      <c r="K479" s="2532">
        <f t="shared" si="56"/>
        <v>13</v>
      </c>
      <c r="L479" s="736">
        <f t="shared" si="55"/>
        <v>0</v>
      </c>
      <c r="M479" s="2533">
        <f t="shared" si="57"/>
        <v>1</v>
      </c>
      <c r="U479" s="1260">
        <f t="shared" si="52"/>
        <v>380</v>
      </c>
      <c r="V479" s="745">
        <v>3</v>
      </c>
      <c r="W479" s="745">
        <v>19</v>
      </c>
      <c r="X479" s="745">
        <v>0</v>
      </c>
      <c r="Y479" s="1202">
        <v>0</v>
      </c>
    </row>
    <row r="480" spans="5:25" ht="15" x14ac:dyDescent="0.2">
      <c r="E480" s="1201"/>
      <c r="F480" s="745"/>
      <c r="G480" s="745"/>
      <c r="H480" s="1256">
        <f t="shared" si="53"/>
        <v>0</v>
      </c>
      <c r="I480" s="736">
        <v>253</v>
      </c>
      <c r="J480" s="736">
        <f t="shared" si="54"/>
        <v>19</v>
      </c>
      <c r="K480" s="2532">
        <f t="shared" si="56"/>
        <v>0</v>
      </c>
      <c r="L480" s="736">
        <f t="shared" si="55"/>
        <v>1</v>
      </c>
      <c r="M480" s="2533">
        <f t="shared" si="57"/>
        <v>1</v>
      </c>
      <c r="U480" s="1260">
        <f t="shared" si="52"/>
        <v>398</v>
      </c>
      <c r="V480" s="745">
        <v>3</v>
      </c>
      <c r="W480" s="745">
        <v>20</v>
      </c>
      <c r="X480" s="745">
        <v>0</v>
      </c>
      <c r="Y480" s="1202">
        <v>0</v>
      </c>
    </row>
    <row r="481" spans="5:25" ht="15" x14ac:dyDescent="0.2">
      <c r="E481" s="1201"/>
      <c r="F481" s="745"/>
      <c r="G481" s="745"/>
      <c r="H481" s="1256">
        <f t="shared" si="53"/>
        <v>0</v>
      </c>
      <c r="I481" s="736">
        <v>254</v>
      </c>
      <c r="J481" s="736">
        <f t="shared" si="54"/>
        <v>3</v>
      </c>
      <c r="K481" s="2532">
        <f t="shared" si="56"/>
        <v>11</v>
      </c>
      <c r="L481" s="736">
        <f t="shared" si="55"/>
        <v>0</v>
      </c>
      <c r="M481" s="2533">
        <f t="shared" si="57"/>
        <v>1</v>
      </c>
      <c r="U481" s="1260">
        <f t="shared" si="52"/>
        <v>416</v>
      </c>
      <c r="V481" s="745">
        <v>3</v>
      </c>
      <c r="W481" s="745">
        <v>21</v>
      </c>
      <c r="X481" s="745">
        <v>0</v>
      </c>
      <c r="Y481" s="1202">
        <v>0</v>
      </c>
    </row>
    <row r="482" spans="5:25" ht="15" x14ac:dyDescent="0.2">
      <c r="E482" s="1201"/>
      <c r="F482" s="745"/>
      <c r="G482" s="745"/>
      <c r="H482" s="1256">
        <f t="shared" si="53"/>
        <v>0</v>
      </c>
      <c r="I482" s="736">
        <v>255</v>
      </c>
      <c r="J482" s="736">
        <f t="shared" si="54"/>
        <v>0</v>
      </c>
      <c r="K482" s="2532">
        <f t="shared" si="56"/>
        <v>12</v>
      </c>
      <c r="L482" s="736">
        <f t="shared" si="55"/>
        <v>1</v>
      </c>
      <c r="M482" s="2533">
        <f t="shared" si="57"/>
        <v>2</v>
      </c>
      <c r="U482" s="1260">
        <f t="shared" si="52"/>
        <v>434</v>
      </c>
      <c r="V482" s="745">
        <v>3</v>
      </c>
      <c r="W482" s="745">
        <v>22</v>
      </c>
      <c r="X482" s="745">
        <v>0</v>
      </c>
      <c r="Y482" s="1202">
        <v>0</v>
      </c>
    </row>
    <row r="483" spans="5:25" ht="15" x14ac:dyDescent="0.2">
      <c r="E483" s="1201"/>
      <c r="F483" s="745"/>
      <c r="G483" s="745"/>
      <c r="H483" s="1256">
        <f t="shared" si="53"/>
        <v>0</v>
      </c>
      <c r="I483" s="736">
        <v>256</v>
      </c>
      <c r="J483" s="736">
        <f t="shared" si="54"/>
        <v>2</v>
      </c>
      <c r="K483" s="2532">
        <f t="shared" si="56"/>
        <v>11</v>
      </c>
      <c r="L483" s="736">
        <f t="shared" si="55"/>
        <v>1</v>
      </c>
      <c r="M483" s="2533">
        <f t="shared" si="57"/>
        <v>1</v>
      </c>
      <c r="U483" s="1260">
        <f t="shared" si="52"/>
        <v>452</v>
      </c>
      <c r="V483" s="745">
        <v>3</v>
      </c>
      <c r="W483" s="745">
        <v>23</v>
      </c>
      <c r="X483" s="745">
        <v>0</v>
      </c>
      <c r="Y483" s="1202">
        <v>0</v>
      </c>
    </row>
    <row r="484" spans="5:25" ht="15" x14ac:dyDescent="0.2">
      <c r="E484" s="1201"/>
      <c r="F484" s="745"/>
      <c r="G484" s="745"/>
      <c r="H484" s="1256">
        <f t="shared" si="53"/>
        <v>0</v>
      </c>
      <c r="I484" s="736">
        <v>257</v>
      </c>
      <c r="J484" s="736">
        <f t="shared" si="54"/>
        <v>3</v>
      </c>
      <c r="K484" s="2532">
        <f t="shared" si="56"/>
        <v>10</v>
      </c>
      <c r="L484" s="736">
        <f t="shared" si="55"/>
        <v>1</v>
      </c>
      <c r="M484" s="2533">
        <f t="shared" si="57"/>
        <v>2</v>
      </c>
      <c r="U484" s="1260">
        <f t="shared" si="52"/>
        <v>470</v>
      </c>
      <c r="V484" s="745">
        <v>3</v>
      </c>
      <c r="W484" s="745">
        <v>24</v>
      </c>
      <c r="X484" s="745">
        <v>0</v>
      </c>
      <c r="Y484" s="1202">
        <v>0</v>
      </c>
    </row>
    <row r="485" spans="5:25" ht="15" x14ac:dyDescent="0.2">
      <c r="E485" s="1201"/>
      <c r="F485" s="745"/>
      <c r="G485" s="745"/>
      <c r="H485" s="1256">
        <f t="shared" si="53"/>
        <v>0</v>
      </c>
      <c r="I485" s="736">
        <v>258</v>
      </c>
      <c r="J485" s="736">
        <f t="shared" si="54"/>
        <v>5</v>
      </c>
      <c r="K485" s="2532">
        <f t="shared" si="56"/>
        <v>9</v>
      </c>
      <c r="L485" s="736">
        <f t="shared" si="55"/>
        <v>1</v>
      </c>
      <c r="M485" s="2533">
        <f t="shared" si="57"/>
        <v>1</v>
      </c>
      <c r="U485" s="1260">
        <f t="shared" si="52"/>
        <v>488</v>
      </c>
      <c r="V485" s="745">
        <v>3</v>
      </c>
      <c r="W485" s="745">
        <v>25</v>
      </c>
      <c r="X485" s="745">
        <v>0</v>
      </c>
      <c r="Y485" s="1202">
        <v>0</v>
      </c>
    </row>
    <row r="486" spans="5:25" ht="15" x14ac:dyDescent="0.2">
      <c r="E486" s="1201"/>
      <c r="F486" s="745"/>
      <c r="G486" s="745"/>
      <c r="H486" s="1256">
        <f t="shared" si="53"/>
        <v>0</v>
      </c>
      <c r="I486" s="736">
        <v>259</v>
      </c>
      <c r="J486" s="736">
        <f t="shared" si="54"/>
        <v>2</v>
      </c>
      <c r="K486" s="2532">
        <f t="shared" si="56"/>
        <v>12</v>
      </c>
      <c r="L486" s="736">
        <f t="shared" si="55"/>
        <v>0</v>
      </c>
      <c r="M486" s="2533">
        <f t="shared" si="57"/>
        <v>1</v>
      </c>
      <c r="U486" s="1260">
        <f t="shared" si="52"/>
        <v>506</v>
      </c>
      <c r="V486" s="745">
        <v>3</v>
      </c>
      <c r="W486" s="745">
        <v>26</v>
      </c>
      <c r="X486" s="745">
        <v>0</v>
      </c>
      <c r="Y486" s="1202">
        <v>0</v>
      </c>
    </row>
    <row r="487" spans="5:25" ht="15" x14ac:dyDescent="0.2">
      <c r="E487" s="1201"/>
      <c r="F487" s="745"/>
      <c r="G487" s="745"/>
      <c r="H487" s="1256">
        <f t="shared" si="53"/>
        <v>0</v>
      </c>
      <c r="I487" s="736">
        <v>260</v>
      </c>
      <c r="J487" s="736">
        <f t="shared" si="54"/>
        <v>3</v>
      </c>
      <c r="K487" s="2532">
        <f t="shared" si="56"/>
        <v>11</v>
      </c>
      <c r="L487" s="736">
        <f t="shared" si="55"/>
        <v>0</v>
      </c>
      <c r="M487" s="2533">
        <f t="shared" si="57"/>
        <v>2</v>
      </c>
      <c r="U487" s="1260">
        <f t="shared" si="52"/>
        <v>524</v>
      </c>
      <c r="V487" s="745">
        <v>3</v>
      </c>
      <c r="W487" s="745">
        <v>27</v>
      </c>
      <c r="X487" s="745">
        <v>0</v>
      </c>
      <c r="Y487" s="1202">
        <v>0</v>
      </c>
    </row>
    <row r="488" spans="5:25" ht="15" x14ac:dyDescent="0.2">
      <c r="E488" s="1201"/>
      <c r="F488" s="745"/>
      <c r="G488" s="745"/>
      <c r="H488" s="1256">
        <f t="shared" si="53"/>
        <v>0</v>
      </c>
      <c r="I488" s="736">
        <v>261</v>
      </c>
      <c r="J488" s="736">
        <f t="shared" si="54"/>
        <v>5</v>
      </c>
      <c r="K488" s="2532">
        <f t="shared" si="56"/>
        <v>10</v>
      </c>
      <c r="L488" s="736">
        <f t="shared" si="55"/>
        <v>0</v>
      </c>
      <c r="M488" s="2533">
        <f t="shared" si="57"/>
        <v>1</v>
      </c>
      <c r="U488" s="1260">
        <f t="shared" ref="U488:U551" si="58">ROUNDUP(W488*$W$294+V488*$V$294+X488*$X$294+Y488*$Y$294,0)</f>
        <v>542</v>
      </c>
      <c r="V488" s="745">
        <v>3</v>
      </c>
      <c r="W488" s="745">
        <v>28</v>
      </c>
      <c r="X488" s="745">
        <v>0</v>
      </c>
      <c r="Y488" s="1202">
        <v>0</v>
      </c>
    </row>
    <row r="489" spans="5:25" ht="15" x14ac:dyDescent="0.2">
      <c r="E489" s="1201"/>
      <c r="F489" s="745"/>
      <c r="G489" s="745"/>
      <c r="H489" s="1256">
        <f t="shared" si="53"/>
        <v>0</v>
      </c>
      <c r="I489" s="736">
        <v>262</v>
      </c>
      <c r="J489" s="736">
        <f t="shared" si="54"/>
        <v>1</v>
      </c>
      <c r="K489" s="2532">
        <f t="shared" si="56"/>
        <v>12</v>
      </c>
      <c r="L489" s="736">
        <f t="shared" si="55"/>
        <v>1</v>
      </c>
      <c r="M489" s="2533">
        <f t="shared" si="57"/>
        <v>1</v>
      </c>
      <c r="U489" s="1260">
        <f t="shared" si="58"/>
        <v>560</v>
      </c>
      <c r="V489" s="745">
        <v>3</v>
      </c>
      <c r="W489" s="745">
        <v>29</v>
      </c>
      <c r="X489" s="745">
        <v>0</v>
      </c>
      <c r="Y489" s="1202">
        <v>0</v>
      </c>
    </row>
    <row r="490" spans="5:25" ht="15" x14ac:dyDescent="0.2">
      <c r="E490" s="1201"/>
      <c r="F490" s="745"/>
      <c r="G490" s="745"/>
      <c r="H490" s="1256">
        <f t="shared" si="53"/>
        <v>0</v>
      </c>
      <c r="I490" s="736">
        <v>263</v>
      </c>
      <c r="J490" s="736">
        <f t="shared" si="54"/>
        <v>21</v>
      </c>
      <c r="K490" s="2532">
        <f t="shared" si="56"/>
        <v>0</v>
      </c>
      <c r="L490" s="736">
        <f t="shared" si="55"/>
        <v>0</v>
      </c>
      <c r="M490" s="2533">
        <f t="shared" si="57"/>
        <v>1</v>
      </c>
      <c r="U490" s="1260">
        <f t="shared" si="58"/>
        <v>578</v>
      </c>
      <c r="V490" s="745">
        <v>3</v>
      </c>
      <c r="W490" s="745">
        <v>30</v>
      </c>
      <c r="X490" s="745">
        <v>0</v>
      </c>
      <c r="Y490" s="1202">
        <v>0</v>
      </c>
    </row>
    <row r="491" spans="5:25" ht="15" x14ac:dyDescent="0.2">
      <c r="E491" s="1201"/>
      <c r="F491" s="745"/>
      <c r="G491" s="745"/>
      <c r="H491" s="1256">
        <f t="shared" si="53"/>
        <v>0</v>
      </c>
      <c r="I491" s="736">
        <v>264</v>
      </c>
      <c r="J491" s="736">
        <f t="shared" si="54"/>
        <v>5</v>
      </c>
      <c r="K491" s="2532">
        <f t="shared" si="56"/>
        <v>9</v>
      </c>
      <c r="L491" s="736">
        <f t="shared" si="55"/>
        <v>1</v>
      </c>
      <c r="M491" s="2533">
        <f t="shared" si="57"/>
        <v>2</v>
      </c>
      <c r="U491" s="1260">
        <f t="shared" si="58"/>
        <v>596</v>
      </c>
      <c r="V491" s="745">
        <v>3</v>
      </c>
      <c r="W491" s="745">
        <v>31</v>
      </c>
      <c r="X491" s="745">
        <v>0</v>
      </c>
      <c r="Y491" s="1202">
        <v>0</v>
      </c>
    </row>
    <row r="492" spans="5:25" ht="15" x14ac:dyDescent="0.2">
      <c r="E492" s="1201"/>
      <c r="F492" s="745"/>
      <c r="G492" s="745"/>
      <c r="H492" s="1256">
        <f t="shared" si="53"/>
        <v>0</v>
      </c>
      <c r="I492" s="736">
        <v>265</v>
      </c>
      <c r="J492" s="736">
        <f t="shared" si="54"/>
        <v>1</v>
      </c>
      <c r="K492" s="2532">
        <f t="shared" si="56"/>
        <v>13</v>
      </c>
      <c r="L492" s="736">
        <f t="shared" si="55"/>
        <v>0</v>
      </c>
      <c r="M492" s="2533">
        <f t="shared" si="57"/>
        <v>1</v>
      </c>
      <c r="U492" s="1260">
        <f t="shared" si="58"/>
        <v>614</v>
      </c>
      <c r="V492" s="745">
        <v>3</v>
      </c>
      <c r="W492" s="745">
        <v>32</v>
      </c>
      <c r="X492" s="745">
        <v>0</v>
      </c>
      <c r="Y492" s="1202">
        <v>0</v>
      </c>
    </row>
    <row r="493" spans="5:25" ht="15" x14ac:dyDescent="0.2">
      <c r="E493" s="1201"/>
      <c r="F493" s="745"/>
      <c r="G493" s="745"/>
      <c r="H493" s="1256">
        <f t="shared" si="53"/>
        <v>0</v>
      </c>
      <c r="I493" s="736">
        <v>266</v>
      </c>
      <c r="J493" s="736">
        <f t="shared" si="54"/>
        <v>4</v>
      </c>
      <c r="K493" s="2532">
        <f t="shared" si="56"/>
        <v>11</v>
      </c>
      <c r="L493" s="736">
        <f t="shared" si="55"/>
        <v>0</v>
      </c>
      <c r="M493" s="2533">
        <f t="shared" si="57"/>
        <v>1</v>
      </c>
      <c r="U493" s="1260">
        <f t="shared" si="58"/>
        <v>632</v>
      </c>
      <c r="V493" s="745">
        <v>3</v>
      </c>
      <c r="W493" s="745">
        <v>33</v>
      </c>
      <c r="X493" s="745">
        <v>0</v>
      </c>
      <c r="Y493" s="1202">
        <v>0</v>
      </c>
    </row>
    <row r="494" spans="5:25" ht="15" x14ac:dyDescent="0.2">
      <c r="E494" s="1201"/>
      <c r="F494" s="745"/>
      <c r="G494" s="745"/>
      <c r="H494" s="1256">
        <f t="shared" ref="H494:H557" si="59">IF($H$298=I494,1,0)</f>
        <v>0</v>
      </c>
      <c r="I494" s="736">
        <v>267</v>
      </c>
      <c r="J494" s="736">
        <f t="shared" ref="J494:J557" si="60">VLOOKUP($I494,$U$295:$Y$1758,2,FALSE)</f>
        <v>0</v>
      </c>
      <c r="K494" s="2532">
        <f t="shared" si="56"/>
        <v>13</v>
      </c>
      <c r="L494" s="736">
        <f t="shared" ref="L494:L557" si="61">VLOOKUP($I494,$U$295:$Y$1758,4,FALSE)</f>
        <v>1</v>
      </c>
      <c r="M494" s="2533">
        <f t="shared" si="57"/>
        <v>1</v>
      </c>
      <c r="U494" s="1260">
        <f t="shared" si="58"/>
        <v>650</v>
      </c>
      <c r="V494" s="745">
        <v>3</v>
      </c>
      <c r="W494" s="745">
        <v>34</v>
      </c>
      <c r="X494" s="745">
        <v>0</v>
      </c>
      <c r="Y494" s="1202">
        <v>0</v>
      </c>
    </row>
    <row r="495" spans="5:25" ht="15" x14ac:dyDescent="0.2">
      <c r="E495" s="1201"/>
      <c r="F495" s="745"/>
      <c r="G495" s="745"/>
      <c r="H495" s="1256">
        <f t="shared" si="59"/>
        <v>0</v>
      </c>
      <c r="I495" s="736">
        <v>268</v>
      </c>
      <c r="J495" s="736">
        <f t="shared" si="60"/>
        <v>1</v>
      </c>
      <c r="K495" s="2532">
        <f t="shared" ref="K495:K558" si="62">IF(VLOOKUP($I495,$U$295:$Y$1758,3,FALSE)&gt;0,VLOOKUP($I495,$U$295:$Y$1758,3,FALSE)-1,VLOOKUP($I495,$U$295:$Y$1758,3,FALSE))</f>
        <v>12</v>
      </c>
      <c r="L495" s="736">
        <f t="shared" si="61"/>
        <v>1</v>
      </c>
      <c r="M495" s="2533">
        <f t="shared" ref="M495:M558" si="63">VLOOKUP($I495,$U$295:$Y$1758,5,FALSE)+1</f>
        <v>2</v>
      </c>
      <c r="U495" s="1260">
        <f t="shared" si="58"/>
        <v>668</v>
      </c>
      <c r="V495" s="745">
        <v>3</v>
      </c>
      <c r="W495" s="745">
        <v>35</v>
      </c>
      <c r="X495" s="745">
        <v>0</v>
      </c>
      <c r="Y495" s="1202">
        <v>0</v>
      </c>
    </row>
    <row r="496" spans="5:25" ht="15" x14ac:dyDescent="0.2">
      <c r="E496" s="1201"/>
      <c r="F496" s="745"/>
      <c r="G496" s="745"/>
      <c r="H496" s="1256">
        <f t="shared" si="59"/>
        <v>0</v>
      </c>
      <c r="I496" s="736">
        <v>269</v>
      </c>
      <c r="J496" s="736">
        <f t="shared" si="60"/>
        <v>3</v>
      </c>
      <c r="K496" s="2532">
        <f t="shared" si="62"/>
        <v>11</v>
      </c>
      <c r="L496" s="736">
        <f t="shared" si="61"/>
        <v>1</v>
      </c>
      <c r="M496" s="2533">
        <f t="shared" si="63"/>
        <v>1</v>
      </c>
      <c r="U496" s="1260">
        <f t="shared" si="58"/>
        <v>686</v>
      </c>
      <c r="V496" s="745">
        <v>3</v>
      </c>
      <c r="W496" s="745">
        <v>36</v>
      </c>
      <c r="X496" s="745">
        <v>0</v>
      </c>
      <c r="Y496" s="1202">
        <v>0</v>
      </c>
    </row>
    <row r="497" spans="5:25" ht="15" x14ac:dyDescent="0.2">
      <c r="E497" s="1201"/>
      <c r="F497" s="745"/>
      <c r="G497" s="745"/>
      <c r="H497" s="1256">
        <f t="shared" si="59"/>
        <v>0</v>
      </c>
      <c r="I497" s="736">
        <v>270</v>
      </c>
      <c r="J497" s="736">
        <f t="shared" si="60"/>
        <v>0</v>
      </c>
      <c r="K497" s="2532">
        <f t="shared" si="62"/>
        <v>14</v>
      </c>
      <c r="L497" s="736">
        <f t="shared" si="61"/>
        <v>0</v>
      </c>
      <c r="M497" s="2533">
        <f t="shared" si="63"/>
        <v>1</v>
      </c>
      <c r="U497" s="1260">
        <f t="shared" si="58"/>
        <v>704</v>
      </c>
      <c r="V497" s="745">
        <v>3</v>
      </c>
      <c r="W497" s="745">
        <v>37</v>
      </c>
      <c r="X497" s="745">
        <v>0</v>
      </c>
      <c r="Y497" s="1202">
        <v>0</v>
      </c>
    </row>
    <row r="498" spans="5:25" ht="15" x14ac:dyDescent="0.2">
      <c r="E498" s="1201"/>
      <c r="F498" s="745"/>
      <c r="G498" s="745"/>
      <c r="H498" s="1256">
        <f t="shared" si="59"/>
        <v>0</v>
      </c>
      <c r="I498" s="736">
        <v>271</v>
      </c>
      <c r="J498" s="736">
        <f t="shared" si="60"/>
        <v>1</v>
      </c>
      <c r="K498" s="2532">
        <f t="shared" si="62"/>
        <v>13</v>
      </c>
      <c r="L498" s="736">
        <f t="shared" si="61"/>
        <v>0</v>
      </c>
      <c r="M498" s="2533">
        <f t="shared" si="63"/>
        <v>2</v>
      </c>
      <c r="U498" s="1260">
        <f t="shared" si="58"/>
        <v>722</v>
      </c>
      <c r="V498" s="745">
        <v>3</v>
      </c>
      <c r="W498" s="745">
        <v>38</v>
      </c>
      <c r="X498" s="745">
        <v>0</v>
      </c>
      <c r="Y498" s="1202">
        <v>0</v>
      </c>
    </row>
    <row r="499" spans="5:25" ht="15" x14ac:dyDescent="0.2">
      <c r="E499" s="1201"/>
      <c r="F499" s="745"/>
      <c r="G499" s="745"/>
      <c r="H499" s="1256">
        <f t="shared" si="59"/>
        <v>0</v>
      </c>
      <c r="I499" s="736">
        <v>272</v>
      </c>
      <c r="J499" s="736">
        <f t="shared" si="60"/>
        <v>3</v>
      </c>
      <c r="K499" s="2532">
        <f t="shared" si="62"/>
        <v>12</v>
      </c>
      <c r="L499" s="736">
        <f t="shared" si="61"/>
        <v>0</v>
      </c>
      <c r="M499" s="2533">
        <f t="shared" si="63"/>
        <v>1</v>
      </c>
      <c r="U499" s="1260">
        <f t="shared" si="58"/>
        <v>740</v>
      </c>
      <c r="V499" s="745">
        <v>3</v>
      </c>
      <c r="W499" s="745">
        <v>39</v>
      </c>
      <c r="X499" s="745">
        <v>0</v>
      </c>
      <c r="Y499" s="1202">
        <v>0</v>
      </c>
    </row>
    <row r="500" spans="5:25" ht="15" x14ac:dyDescent="0.2">
      <c r="E500" s="1201"/>
      <c r="F500" s="745"/>
      <c r="G500" s="745"/>
      <c r="H500" s="1256">
        <f t="shared" si="59"/>
        <v>0</v>
      </c>
      <c r="I500" s="736">
        <v>273</v>
      </c>
      <c r="J500" s="736">
        <f t="shared" si="60"/>
        <v>0</v>
      </c>
      <c r="K500" s="2532">
        <f t="shared" si="62"/>
        <v>13</v>
      </c>
      <c r="L500" s="736">
        <f t="shared" si="61"/>
        <v>1</v>
      </c>
      <c r="M500" s="2533">
        <f t="shared" si="63"/>
        <v>2</v>
      </c>
      <c r="U500" s="1260">
        <f t="shared" si="58"/>
        <v>758</v>
      </c>
      <c r="V500" s="745">
        <v>3</v>
      </c>
      <c r="W500" s="745">
        <v>40</v>
      </c>
      <c r="X500" s="745">
        <v>0</v>
      </c>
      <c r="Y500" s="1202">
        <v>0</v>
      </c>
    </row>
    <row r="501" spans="5:25" ht="15" x14ac:dyDescent="0.2">
      <c r="E501" s="1201"/>
      <c r="F501" s="745"/>
      <c r="G501" s="745"/>
      <c r="H501" s="1256">
        <f t="shared" si="59"/>
        <v>0</v>
      </c>
      <c r="I501" s="736">
        <v>274</v>
      </c>
      <c r="J501" s="736">
        <f t="shared" si="60"/>
        <v>2</v>
      </c>
      <c r="K501" s="2532">
        <f t="shared" si="62"/>
        <v>12</v>
      </c>
      <c r="L501" s="736">
        <f t="shared" si="61"/>
        <v>1</v>
      </c>
      <c r="M501" s="2533">
        <f t="shared" si="63"/>
        <v>1</v>
      </c>
      <c r="U501" s="1260">
        <f t="shared" si="58"/>
        <v>776</v>
      </c>
      <c r="V501" s="745">
        <v>3</v>
      </c>
      <c r="W501" s="745">
        <v>41</v>
      </c>
      <c r="X501" s="745">
        <v>0</v>
      </c>
      <c r="Y501" s="1202">
        <v>0</v>
      </c>
    </row>
    <row r="502" spans="5:25" ht="15" x14ac:dyDescent="0.2">
      <c r="E502" s="1201"/>
      <c r="F502" s="745"/>
      <c r="G502" s="745"/>
      <c r="H502" s="1256">
        <f t="shared" si="59"/>
        <v>0</v>
      </c>
      <c r="I502" s="736">
        <v>275</v>
      </c>
      <c r="J502" s="736">
        <f t="shared" si="60"/>
        <v>22</v>
      </c>
      <c r="K502" s="2532">
        <f t="shared" si="62"/>
        <v>0</v>
      </c>
      <c r="L502" s="736">
        <f t="shared" si="61"/>
        <v>0</v>
      </c>
      <c r="M502" s="2533">
        <f t="shared" si="63"/>
        <v>1</v>
      </c>
      <c r="U502" s="1260">
        <f t="shared" si="58"/>
        <v>794</v>
      </c>
      <c r="V502" s="745">
        <v>3</v>
      </c>
      <c r="W502" s="745">
        <v>42</v>
      </c>
      <c r="X502" s="745">
        <v>0</v>
      </c>
      <c r="Y502" s="1202">
        <v>0</v>
      </c>
    </row>
    <row r="503" spans="5:25" ht="15" x14ac:dyDescent="0.2">
      <c r="E503" s="1201"/>
      <c r="F503" s="745"/>
      <c r="G503" s="745"/>
      <c r="H503" s="1256">
        <f t="shared" si="59"/>
        <v>0</v>
      </c>
      <c r="I503" s="736">
        <v>276</v>
      </c>
      <c r="J503" s="736">
        <f t="shared" si="60"/>
        <v>5</v>
      </c>
      <c r="K503" s="2532">
        <f t="shared" si="62"/>
        <v>10</v>
      </c>
      <c r="L503" s="736">
        <f t="shared" si="61"/>
        <v>1</v>
      </c>
      <c r="M503" s="2533">
        <f t="shared" si="63"/>
        <v>1</v>
      </c>
      <c r="U503" s="1260">
        <f t="shared" si="58"/>
        <v>812</v>
      </c>
      <c r="V503" s="745">
        <v>3</v>
      </c>
      <c r="W503" s="745">
        <v>43</v>
      </c>
      <c r="X503" s="745">
        <v>0</v>
      </c>
      <c r="Y503" s="1202">
        <v>0</v>
      </c>
    </row>
    <row r="504" spans="5:25" ht="15" x14ac:dyDescent="0.2">
      <c r="E504" s="1201"/>
      <c r="F504" s="745"/>
      <c r="G504" s="745"/>
      <c r="H504" s="1256">
        <f t="shared" si="59"/>
        <v>0</v>
      </c>
      <c r="I504" s="736">
        <v>277</v>
      </c>
      <c r="J504" s="736">
        <f t="shared" si="60"/>
        <v>2</v>
      </c>
      <c r="K504" s="2532">
        <f t="shared" si="62"/>
        <v>13</v>
      </c>
      <c r="L504" s="736">
        <f t="shared" si="61"/>
        <v>0</v>
      </c>
      <c r="M504" s="2533">
        <f t="shared" si="63"/>
        <v>1</v>
      </c>
      <c r="U504" s="1260">
        <f t="shared" si="58"/>
        <v>830</v>
      </c>
      <c r="V504" s="745">
        <v>3</v>
      </c>
      <c r="W504" s="745">
        <v>44</v>
      </c>
      <c r="X504" s="745">
        <v>0</v>
      </c>
      <c r="Y504" s="1202">
        <v>0</v>
      </c>
    </row>
    <row r="505" spans="5:25" ht="15" x14ac:dyDescent="0.2">
      <c r="E505" s="1201"/>
      <c r="F505" s="745"/>
      <c r="G505" s="745"/>
      <c r="H505" s="1256">
        <f t="shared" si="59"/>
        <v>0</v>
      </c>
      <c r="I505" s="736">
        <v>278</v>
      </c>
      <c r="J505" s="736">
        <f t="shared" si="60"/>
        <v>21</v>
      </c>
      <c r="K505" s="2532">
        <f t="shared" si="62"/>
        <v>0</v>
      </c>
      <c r="L505" s="736">
        <f t="shared" si="61"/>
        <v>1</v>
      </c>
      <c r="M505" s="2533">
        <f t="shared" si="63"/>
        <v>1</v>
      </c>
      <c r="U505" s="1260">
        <f t="shared" si="58"/>
        <v>848</v>
      </c>
      <c r="V505" s="745">
        <v>3</v>
      </c>
      <c r="W505" s="745">
        <v>45</v>
      </c>
      <c r="X505" s="745">
        <v>0</v>
      </c>
      <c r="Y505" s="1202">
        <v>0</v>
      </c>
    </row>
    <row r="506" spans="5:25" ht="15" x14ac:dyDescent="0.2">
      <c r="E506" s="1201"/>
      <c r="F506" s="745"/>
      <c r="G506" s="745"/>
      <c r="H506" s="1256">
        <f t="shared" si="59"/>
        <v>0</v>
      </c>
      <c r="I506" s="736">
        <v>279</v>
      </c>
      <c r="J506" s="736">
        <f t="shared" si="60"/>
        <v>5</v>
      </c>
      <c r="K506" s="2532">
        <f t="shared" si="62"/>
        <v>11</v>
      </c>
      <c r="L506" s="736">
        <f t="shared" si="61"/>
        <v>0</v>
      </c>
      <c r="M506" s="2533">
        <f t="shared" si="63"/>
        <v>1</v>
      </c>
      <c r="U506" s="1260">
        <f t="shared" si="58"/>
        <v>866</v>
      </c>
      <c r="V506" s="745">
        <v>3</v>
      </c>
      <c r="W506" s="745">
        <v>46</v>
      </c>
      <c r="X506" s="745">
        <v>0</v>
      </c>
      <c r="Y506" s="1202">
        <v>0</v>
      </c>
    </row>
    <row r="507" spans="5:25" ht="15" x14ac:dyDescent="0.2">
      <c r="E507" s="1201"/>
      <c r="F507" s="745"/>
      <c r="G507" s="745"/>
      <c r="H507" s="1256">
        <f t="shared" si="59"/>
        <v>0</v>
      </c>
      <c r="I507" s="736">
        <v>280</v>
      </c>
      <c r="J507" s="736">
        <f t="shared" si="60"/>
        <v>1</v>
      </c>
      <c r="K507" s="2532">
        <f t="shared" si="62"/>
        <v>13</v>
      </c>
      <c r="L507" s="736">
        <f t="shared" si="61"/>
        <v>1</v>
      </c>
      <c r="M507" s="2533">
        <f t="shared" si="63"/>
        <v>1</v>
      </c>
      <c r="U507" s="1260">
        <f t="shared" si="58"/>
        <v>884</v>
      </c>
      <c r="V507" s="745">
        <v>3</v>
      </c>
      <c r="W507" s="745">
        <v>47</v>
      </c>
      <c r="X507" s="745">
        <v>0</v>
      </c>
      <c r="Y507" s="1202">
        <v>0</v>
      </c>
    </row>
    <row r="508" spans="5:25" ht="15" x14ac:dyDescent="0.2">
      <c r="E508" s="1201"/>
      <c r="F508" s="745"/>
      <c r="G508" s="745"/>
      <c r="H508" s="1256">
        <f t="shared" si="59"/>
        <v>0</v>
      </c>
      <c r="I508" s="736">
        <v>281</v>
      </c>
      <c r="J508" s="736">
        <f t="shared" si="60"/>
        <v>4</v>
      </c>
      <c r="K508" s="2532">
        <f t="shared" si="62"/>
        <v>11</v>
      </c>
      <c r="L508" s="736">
        <f t="shared" si="61"/>
        <v>1</v>
      </c>
      <c r="M508" s="2533">
        <f t="shared" si="63"/>
        <v>1</v>
      </c>
      <c r="U508" s="1260">
        <f t="shared" si="58"/>
        <v>902</v>
      </c>
      <c r="V508" s="745">
        <v>3</v>
      </c>
      <c r="W508" s="745">
        <v>48</v>
      </c>
      <c r="X508" s="745">
        <v>0</v>
      </c>
      <c r="Y508" s="1202">
        <v>0</v>
      </c>
    </row>
    <row r="509" spans="5:25" ht="15" x14ac:dyDescent="0.2">
      <c r="E509" s="1201"/>
      <c r="F509" s="745"/>
      <c r="G509" s="745"/>
      <c r="H509" s="1256">
        <f t="shared" si="59"/>
        <v>0</v>
      </c>
      <c r="I509" s="736">
        <v>282</v>
      </c>
      <c r="J509" s="736">
        <f t="shared" si="60"/>
        <v>5</v>
      </c>
      <c r="K509" s="2532">
        <f t="shared" si="62"/>
        <v>10</v>
      </c>
      <c r="L509" s="736">
        <f t="shared" si="61"/>
        <v>1</v>
      </c>
      <c r="M509" s="2533">
        <f t="shared" si="63"/>
        <v>2</v>
      </c>
      <c r="U509" s="1260">
        <f t="shared" si="58"/>
        <v>920</v>
      </c>
      <c r="V509" s="745">
        <v>3</v>
      </c>
      <c r="W509" s="745">
        <v>49</v>
      </c>
      <c r="X509" s="745">
        <v>0</v>
      </c>
      <c r="Y509" s="1202">
        <v>0</v>
      </c>
    </row>
    <row r="510" spans="5:25" ht="15" x14ac:dyDescent="0.2">
      <c r="E510" s="1201"/>
      <c r="F510" s="745"/>
      <c r="G510" s="745"/>
      <c r="H510" s="1256">
        <f t="shared" si="59"/>
        <v>0</v>
      </c>
      <c r="I510" s="736">
        <v>283</v>
      </c>
      <c r="J510" s="736">
        <f t="shared" si="60"/>
        <v>1</v>
      </c>
      <c r="K510" s="2532">
        <f t="shared" si="62"/>
        <v>14</v>
      </c>
      <c r="L510" s="736">
        <f t="shared" si="61"/>
        <v>0</v>
      </c>
      <c r="M510" s="2533">
        <f t="shared" si="63"/>
        <v>1</v>
      </c>
      <c r="U510" s="1260">
        <f t="shared" si="58"/>
        <v>938</v>
      </c>
      <c r="V510" s="745">
        <v>3</v>
      </c>
      <c r="W510" s="745">
        <v>50</v>
      </c>
      <c r="X510" s="745">
        <v>0</v>
      </c>
      <c r="Y510" s="1202">
        <v>0</v>
      </c>
    </row>
    <row r="511" spans="5:25" ht="15" x14ac:dyDescent="0.2">
      <c r="E511" s="1201"/>
      <c r="F511" s="745"/>
      <c r="G511" s="745"/>
      <c r="H511" s="1256">
        <f t="shared" si="59"/>
        <v>0</v>
      </c>
      <c r="I511" s="736">
        <v>284</v>
      </c>
      <c r="J511" s="736">
        <f t="shared" si="60"/>
        <v>4</v>
      </c>
      <c r="K511" s="2532">
        <f t="shared" si="62"/>
        <v>12</v>
      </c>
      <c r="L511" s="736">
        <f t="shared" si="61"/>
        <v>0</v>
      </c>
      <c r="M511" s="2533">
        <f t="shared" si="63"/>
        <v>1</v>
      </c>
      <c r="U511" s="1260">
        <f t="shared" si="58"/>
        <v>956</v>
      </c>
      <c r="V511" s="745">
        <v>3</v>
      </c>
      <c r="W511" s="745">
        <v>51</v>
      </c>
      <c r="X511" s="745">
        <v>0</v>
      </c>
      <c r="Y511" s="1202">
        <v>0</v>
      </c>
    </row>
    <row r="512" spans="5:25" ht="15" x14ac:dyDescent="0.2">
      <c r="E512" s="1201"/>
      <c r="F512" s="745"/>
      <c r="G512" s="745"/>
      <c r="H512" s="1256">
        <f t="shared" si="59"/>
        <v>0</v>
      </c>
      <c r="I512" s="736">
        <v>285</v>
      </c>
      <c r="J512" s="736">
        <f t="shared" si="60"/>
        <v>0</v>
      </c>
      <c r="K512" s="2532">
        <f t="shared" si="62"/>
        <v>14</v>
      </c>
      <c r="L512" s="736">
        <f t="shared" si="61"/>
        <v>1</v>
      </c>
      <c r="M512" s="2533">
        <f t="shared" si="63"/>
        <v>1</v>
      </c>
      <c r="U512" s="1260">
        <f t="shared" si="58"/>
        <v>974</v>
      </c>
      <c r="V512" s="745">
        <v>3</v>
      </c>
      <c r="W512" s="745">
        <v>52</v>
      </c>
      <c r="X512" s="745">
        <v>0</v>
      </c>
      <c r="Y512" s="1202">
        <v>0</v>
      </c>
    </row>
    <row r="513" spans="5:25" ht="15" x14ac:dyDescent="0.2">
      <c r="E513" s="1201"/>
      <c r="F513" s="745"/>
      <c r="G513" s="745"/>
      <c r="H513" s="1256">
        <f t="shared" si="59"/>
        <v>0</v>
      </c>
      <c r="I513" s="736">
        <v>286</v>
      </c>
      <c r="J513" s="736">
        <f t="shared" si="60"/>
        <v>1</v>
      </c>
      <c r="K513" s="2532">
        <f t="shared" si="62"/>
        <v>13</v>
      </c>
      <c r="L513" s="736">
        <f t="shared" si="61"/>
        <v>1</v>
      </c>
      <c r="M513" s="2533">
        <f t="shared" si="63"/>
        <v>2</v>
      </c>
      <c r="U513" s="1260">
        <f t="shared" si="58"/>
        <v>992</v>
      </c>
      <c r="V513" s="745">
        <v>3</v>
      </c>
      <c r="W513" s="745">
        <v>53</v>
      </c>
      <c r="X513" s="745">
        <v>0</v>
      </c>
      <c r="Y513" s="1202">
        <v>0</v>
      </c>
    </row>
    <row r="514" spans="5:25" ht="15" x14ac:dyDescent="0.2">
      <c r="E514" s="1201"/>
      <c r="F514" s="745"/>
      <c r="G514" s="745"/>
      <c r="H514" s="1256">
        <f t="shared" si="59"/>
        <v>0</v>
      </c>
      <c r="I514" s="736">
        <v>287</v>
      </c>
      <c r="J514" s="736">
        <f t="shared" si="60"/>
        <v>3</v>
      </c>
      <c r="K514" s="2532">
        <f t="shared" si="62"/>
        <v>12</v>
      </c>
      <c r="L514" s="736">
        <f t="shared" si="61"/>
        <v>1</v>
      </c>
      <c r="M514" s="2533">
        <f t="shared" si="63"/>
        <v>1</v>
      </c>
      <c r="U514" s="1260">
        <f t="shared" si="58"/>
        <v>1010</v>
      </c>
      <c r="V514" s="745">
        <v>3</v>
      </c>
      <c r="W514" s="745">
        <v>54</v>
      </c>
      <c r="X514" s="745">
        <v>0</v>
      </c>
      <c r="Y514" s="1202">
        <v>0</v>
      </c>
    </row>
    <row r="515" spans="5:25" ht="15" x14ac:dyDescent="0.2">
      <c r="E515" s="1201"/>
      <c r="F515" s="745"/>
      <c r="G515" s="745"/>
      <c r="H515" s="1256">
        <f t="shared" si="59"/>
        <v>0</v>
      </c>
      <c r="I515" s="736">
        <v>288</v>
      </c>
      <c r="J515" s="736">
        <f t="shared" si="60"/>
        <v>0</v>
      </c>
      <c r="K515" s="2532">
        <f t="shared" si="62"/>
        <v>15</v>
      </c>
      <c r="L515" s="736">
        <f t="shared" si="61"/>
        <v>0</v>
      </c>
      <c r="M515" s="2533">
        <f t="shared" si="63"/>
        <v>1</v>
      </c>
      <c r="U515" s="1260">
        <f t="shared" si="58"/>
        <v>68</v>
      </c>
      <c r="V515" s="745">
        <v>4</v>
      </c>
      <c r="W515" s="745">
        <v>1</v>
      </c>
      <c r="X515" s="745">
        <v>0</v>
      </c>
      <c r="Y515" s="1202">
        <v>0</v>
      </c>
    </row>
    <row r="516" spans="5:25" ht="15" x14ac:dyDescent="0.2">
      <c r="E516" s="1201"/>
      <c r="F516" s="745"/>
      <c r="G516" s="745"/>
      <c r="H516" s="1256">
        <f t="shared" si="59"/>
        <v>0</v>
      </c>
      <c r="I516" s="736">
        <v>289</v>
      </c>
      <c r="J516" s="736">
        <f t="shared" si="60"/>
        <v>1</v>
      </c>
      <c r="K516" s="2532">
        <f t="shared" si="62"/>
        <v>14</v>
      </c>
      <c r="L516" s="736">
        <f t="shared" si="61"/>
        <v>0</v>
      </c>
      <c r="M516" s="2533">
        <f t="shared" si="63"/>
        <v>2</v>
      </c>
      <c r="U516" s="1260">
        <f t="shared" si="58"/>
        <v>86</v>
      </c>
      <c r="V516" s="745">
        <v>4</v>
      </c>
      <c r="W516" s="745">
        <v>2</v>
      </c>
      <c r="X516" s="745">
        <v>0</v>
      </c>
      <c r="Y516" s="1202">
        <v>0</v>
      </c>
    </row>
    <row r="517" spans="5:25" ht="15" x14ac:dyDescent="0.2">
      <c r="E517" s="1201"/>
      <c r="F517" s="745"/>
      <c r="G517" s="745"/>
      <c r="H517" s="1256">
        <f t="shared" si="59"/>
        <v>0</v>
      </c>
      <c r="I517" s="736">
        <v>290</v>
      </c>
      <c r="J517" s="736">
        <f t="shared" si="60"/>
        <v>3</v>
      </c>
      <c r="K517" s="2532">
        <f t="shared" si="62"/>
        <v>13</v>
      </c>
      <c r="L517" s="736">
        <f t="shared" si="61"/>
        <v>0</v>
      </c>
      <c r="M517" s="2533">
        <f t="shared" si="63"/>
        <v>1</v>
      </c>
      <c r="U517" s="1260">
        <f t="shared" si="58"/>
        <v>104</v>
      </c>
      <c r="V517" s="745">
        <v>4</v>
      </c>
      <c r="W517" s="745">
        <v>3</v>
      </c>
      <c r="X517" s="745">
        <v>0</v>
      </c>
      <c r="Y517" s="1202">
        <v>0</v>
      </c>
    </row>
    <row r="518" spans="5:25" ht="15" x14ac:dyDescent="0.2">
      <c r="E518" s="1201"/>
      <c r="F518" s="745"/>
      <c r="G518" s="745"/>
      <c r="H518" s="1256">
        <f t="shared" si="59"/>
        <v>0</v>
      </c>
      <c r="I518" s="736">
        <v>291</v>
      </c>
      <c r="J518" s="736">
        <f t="shared" si="60"/>
        <v>0</v>
      </c>
      <c r="K518" s="2532">
        <f t="shared" si="62"/>
        <v>14</v>
      </c>
      <c r="L518" s="736">
        <f t="shared" si="61"/>
        <v>1</v>
      </c>
      <c r="M518" s="2533">
        <f t="shared" si="63"/>
        <v>2</v>
      </c>
      <c r="U518" s="1260">
        <f t="shared" si="58"/>
        <v>122</v>
      </c>
      <c r="V518" s="745">
        <v>4</v>
      </c>
      <c r="W518" s="745">
        <v>4</v>
      </c>
      <c r="X518" s="745">
        <v>0</v>
      </c>
      <c r="Y518" s="1202">
        <v>0</v>
      </c>
    </row>
    <row r="519" spans="5:25" ht="15" x14ac:dyDescent="0.2">
      <c r="E519" s="1201"/>
      <c r="F519" s="745"/>
      <c r="G519" s="745"/>
      <c r="H519" s="1256">
        <f t="shared" si="59"/>
        <v>0</v>
      </c>
      <c r="I519" s="736">
        <v>292</v>
      </c>
      <c r="J519" s="736">
        <f t="shared" si="60"/>
        <v>2</v>
      </c>
      <c r="K519" s="2532">
        <f t="shared" si="62"/>
        <v>13</v>
      </c>
      <c r="L519" s="736">
        <f t="shared" si="61"/>
        <v>1</v>
      </c>
      <c r="M519" s="2533">
        <f t="shared" si="63"/>
        <v>1</v>
      </c>
      <c r="U519" s="1260">
        <f t="shared" si="58"/>
        <v>140</v>
      </c>
      <c r="V519" s="745">
        <v>4</v>
      </c>
      <c r="W519" s="745">
        <v>5</v>
      </c>
      <c r="X519" s="745">
        <v>0</v>
      </c>
      <c r="Y519" s="1202">
        <v>0</v>
      </c>
    </row>
    <row r="520" spans="5:25" ht="15" x14ac:dyDescent="0.2">
      <c r="E520" s="1201"/>
      <c r="F520" s="745"/>
      <c r="G520" s="745"/>
      <c r="H520" s="1256">
        <f t="shared" si="59"/>
        <v>0</v>
      </c>
      <c r="I520" s="736">
        <v>293</v>
      </c>
      <c r="J520" s="736">
        <f t="shared" si="60"/>
        <v>3</v>
      </c>
      <c r="K520" s="2532">
        <f t="shared" si="62"/>
        <v>12</v>
      </c>
      <c r="L520" s="736">
        <f t="shared" si="61"/>
        <v>1</v>
      </c>
      <c r="M520" s="2533">
        <f t="shared" si="63"/>
        <v>2</v>
      </c>
      <c r="U520" s="1260">
        <f t="shared" si="58"/>
        <v>158</v>
      </c>
      <c r="V520" s="745">
        <v>4</v>
      </c>
      <c r="W520" s="745">
        <v>6</v>
      </c>
      <c r="X520" s="745">
        <v>0</v>
      </c>
      <c r="Y520" s="1202">
        <v>0</v>
      </c>
    </row>
    <row r="521" spans="5:25" ht="15" x14ac:dyDescent="0.2">
      <c r="E521" s="1201"/>
      <c r="F521" s="745"/>
      <c r="G521" s="745"/>
      <c r="H521" s="1256">
        <f t="shared" si="59"/>
        <v>0</v>
      </c>
      <c r="I521" s="736">
        <v>294</v>
      </c>
      <c r="J521" s="736">
        <f t="shared" si="60"/>
        <v>5</v>
      </c>
      <c r="K521" s="2532">
        <f t="shared" si="62"/>
        <v>11</v>
      </c>
      <c r="L521" s="736">
        <f t="shared" si="61"/>
        <v>1</v>
      </c>
      <c r="M521" s="2533">
        <f t="shared" si="63"/>
        <v>1</v>
      </c>
      <c r="U521" s="1260">
        <f t="shared" si="58"/>
        <v>176</v>
      </c>
      <c r="V521" s="745">
        <v>4</v>
      </c>
      <c r="W521" s="745">
        <v>7</v>
      </c>
      <c r="X521" s="745">
        <v>0</v>
      </c>
      <c r="Y521" s="1202">
        <v>0</v>
      </c>
    </row>
    <row r="522" spans="5:25" ht="15" x14ac:dyDescent="0.2">
      <c r="E522" s="1201"/>
      <c r="F522" s="745"/>
      <c r="G522" s="745"/>
      <c r="H522" s="1256">
        <f t="shared" si="59"/>
        <v>0</v>
      </c>
      <c r="I522" s="736">
        <v>295</v>
      </c>
      <c r="J522" s="736">
        <f t="shared" si="60"/>
        <v>2</v>
      </c>
      <c r="K522" s="2532">
        <f t="shared" si="62"/>
        <v>14</v>
      </c>
      <c r="L522" s="736">
        <f t="shared" si="61"/>
        <v>0</v>
      </c>
      <c r="M522" s="2533">
        <f t="shared" si="63"/>
        <v>1</v>
      </c>
      <c r="U522" s="1260">
        <f t="shared" si="58"/>
        <v>194</v>
      </c>
      <c r="V522" s="745">
        <v>4</v>
      </c>
      <c r="W522" s="745">
        <v>8</v>
      </c>
      <c r="X522" s="745">
        <v>0</v>
      </c>
      <c r="Y522" s="1202">
        <v>0</v>
      </c>
    </row>
    <row r="523" spans="5:25" ht="15" x14ac:dyDescent="0.2">
      <c r="E523" s="1201"/>
      <c r="F523" s="745"/>
      <c r="G523" s="745"/>
      <c r="H523" s="1256">
        <f t="shared" si="59"/>
        <v>0</v>
      </c>
      <c r="I523" s="736">
        <v>296</v>
      </c>
      <c r="J523" s="736">
        <f t="shared" si="60"/>
        <v>3</v>
      </c>
      <c r="K523" s="2532">
        <f t="shared" si="62"/>
        <v>13</v>
      </c>
      <c r="L523" s="736">
        <f t="shared" si="61"/>
        <v>0</v>
      </c>
      <c r="M523" s="2533">
        <f t="shared" si="63"/>
        <v>2</v>
      </c>
      <c r="U523" s="1260">
        <f t="shared" si="58"/>
        <v>212</v>
      </c>
      <c r="V523" s="745">
        <v>4</v>
      </c>
      <c r="W523" s="745">
        <v>9</v>
      </c>
      <c r="X523" s="745">
        <v>0</v>
      </c>
      <c r="Y523" s="1202">
        <v>0</v>
      </c>
    </row>
    <row r="524" spans="5:25" ht="15" x14ac:dyDescent="0.2">
      <c r="E524" s="1201"/>
      <c r="F524" s="745"/>
      <c r="G524" s="745"/>
      <c r="H524" s="1256">
        <f t="shared" si="59"/>
        <v>0</v>
      </c>
      <c r="I524" s="736">
        <v>297</v>
      </c>
      <c r="J524" s="736">
        <f t="shared" si="60"/>
        <v>5</v>
      </c>
      <c r="K524" s="2532">
        <f t="shared" si="62"/>
        <v>12</v>
      </c>
      <c r="L524" s="736">
        <f t="shared" si="61"/>
        <v>0</v>
      </c>
      <c r="M524" s="2533">
        <f t="shared" si="63"/>
        <v>1</v>
      </c>
      <c r="U524" s="1260">
        <f t="shared" si="58"/>
        <v>230</v>
      </c>
      <c r="V524" s="745">
        <v>4</v>
      </c>
      <c r="W524" s="745">
        <v>10</v>
      </c>
      <c r="X524" s="745">
        <v>0</v>
      </c>
      <c r="Y524" s="1202">
        <v>0</v>
      </c>
    </row>
    <row r="525" spans="5:25" ht="15" x14ac:dyDescent="0.2">
      <c r="E525" s="1201"/>
      <c r="F525" s="745"/>
      <c r="G525" s="745"/>
      <c r="H525" s="1256">
        <f t="shared" si="59"/>
        <v>0</v>
      </c>
      <c r="I525" s="736">
        <v>298</v>
      </c>
      <c r="J525" s="736">
        <f t="shared" si="60"/>
        <v>1</v>
      </c>
      <c r="K525" s="2532">
        <f t="shared" si="62"/>
        <v>14</v>
      </c>
      <c r="L525" s="736">
        <f t="shared" si="61"/>
        <v>1</v>
      </c>
      <c r="M525" s="2533">
        <f t="shared" si="63"/>
        <v>1</v>
      </c>
      <c r="U525" s="1260">
        <f t="shared" si="58"/>
        <v>248</v>
      </c>
      <c r="V525" s="745">
        <v>4</v>
      </c>
      <c r="W525" s="745">
        <v>11</v>
      </c>
      <c r="X525" s="745">
        <v>0</v>
      </c>
      <c r="Y525" s="1202">
        <v>0</v>
      </c>
    </row>
    <row r="526" spans="5:25" ht="15" x14ac:dyDescent="0.2">
      <c r="E526" s="1201"/>
      <c r="F526" s="745"/>
      <c r="G526" s="745"/>
      <c r="H526" s="1256">
        <f t="shared" si="59"/>
        <v>0</v>
      </c>
      <c r="I526" s="736">
        <v>299</v>
      </c>
      <c r="J526" s="736">
        <f t="shared" si="60"/>
        <v>4</v>
      </c>
      <c r="K526" s="2532">
        <f t="shared" si="62"/>
        <v>12</v>
      </c>
      <c r="L526" s="736">
        <f t="shared" si="61"/>
        <v>1</v>
      </c>
      <c r="M526" s="2533">
        <f t="shared" si="63"/>
        <v>1</v>
      </c>
      <c r="U526" s="1260">
        <f t="shared" si="58"/>
        <v>266</v>
      </c>
      <c r="V526" s="745">
        <v>4</v>
      </c>
      <c r="W526" s="745">
        <v>12</v>
      </c>
      <c r="X526" s="745">
        <v>0</v>
      </c>
      <c r="Y526" s="1202">
        <v>0</v>
      </c>
    </row>
    <row r="527" spans="5:25" ht="15" x14ac:dyDescent="0.2">
      <c r="E527" s="1201"/>
      <c r="F527" s="745"/>
      <c r="G527" s="745"/>
      <c r="H527" s="1256">
        <f t="shared" si="59"/>
        <v>0</v>
      </c>
      <c r="I527" s="736">
        <v>300</v>
      </c>
      <c r="J527" s="736">
        <f t="shared" si="60"/>
        <v>24</v>
      </c>
      <c r="K527" s="2532">
        <f t="shared" si="62"/>
        <v>0</v>
      </c>
      <c r="L527" s="736">
        <f t="shared" si="61"/>
        <v>0</v>
      </c>
      <c r="M527" s="2533">
        <f t="shared" si="63"/>
        <v>1</v>
      </c>
      <c r="U527" s="1260">
        <f t="shared" si="58"/>
        <v>284</v>
      </c>
      <c r="V527" s="745">
        <v>4</v>
      </c>
      <c r="W527" s="745">
        <v>13</v>
      </c>
      <c r="X527" s="745">
        <v>0</v>
      </c>
      <c r="Y527" s="1202">
        <v>0</v>
      </c>
    </row>
    <row r="528" spans="5:25" ht="15" x14ac:dyDescent="0.2">
      <c r="E528" s="1201"/>
      <c r="F528" s="745"/>
      <c r="G528" s="745"/>
      <c r="H528" s="1256">
        <f t="shared" si="59"/>
        <v>0</v>
      </c>
      <c r="I528" s="736">
        <v>301</v>
      </c>
      <c r="J528" s="736">
        <f t="shared" si="60"/>
        <v>1</v>
      </c>
      <c r="K528" s="2532">
        <f t="shared" si="62"/>
        <v>15</v>
      </c>
      <c r="L528" s="736">
        <f t="shared" si="61"/>
        <v>0</v>
      </c>
      <c r="M528" s="2533">
        <f t="shared" si="63"/>
        <v>1</v>
      </c>
      <c r="U528" s="1260">
        <f t="shared" si="58"/>
        <v>302</v>
      </c>
      <c r="V528" s="745">
        <v>4</v>
      </c>
      <c r="W528" s="745">
        <v>14</v>
      </c>
      <c r="X528" s="745">
        <v>0</v>
      </c>
      <c r="Y528" s="1202">
        <v>0</v>
      </c>
    </row>
    <row r="529" spans="5:25" ht="15" x14ac:dyDescent="0.2">
      <c r="E529" s="1201"/>
      <c r="F529" s="745"/>
      <c r="G529" s="745"/>
      <c r="H529" s="1256">
        <f t="shared" si="59"/>
        <v>0</v>
      </c>
      <c r="I529" s="736">
        <v>302</v>
      </c>
      <c r="J529" s="736">
        <f t="shared" si="60"/>
        <v>4</v>
      </c>
      <c r="K529" s="2532">
        <f t="shared" si="62"/>
        <v>13</v>
      </c>
      <c r="L529" s="736">
        <f t="shared" si="61"/>
        <v>0</v>
      </c>
      <c r="M529" s="2533">
        <f t="shared" si="63"/>
        <v>1</v>
      </c>
      <c r="U529" s="1260">
        <f t="shared" si="58"/>
        <v>320</v>
      </c>
      <c r="V529" s="745">
        <v>4</v>
      </c>
      <c r="W529" s="745">
        <v>15</v>
      </c>
      <c r="X529" s="745">
        <v>0</v>
      </c>
      <c r="Y529" s="1202">
        <v>0</v>
      </c>
    </row>
    <row r="530" spans="5:25" ht="15" x14ac:dyDescent="0.2">
      <c r="E530" s="1201"/>
      <c r="F530" s="745"/>
      <c r="G530" s="745"/>
      <c r="H530" s="1256">
        <f t="shared" si="59"/>
        <v>0</v>
      </c>
      <c r="I530" s="736">
        <v>303</v>
      </c>
      <c r="J530" s="736">
        <f t="shared" si="60"/>
        <v>0</v>
      </c>
      <c r="K530" s="2532">
        <f t="shared" si="62"/>
        <v>15</v>
      </c>
      <c r="L530" s="736">
        <f t="shared" si="61"/>
        <v>1</v>
      </c>
      <c r="M530" s="2533">
        <f t="shared" si="63"/>
        <v>1</v>
      </c>
      <c r="U530" s="1260">
        <f t="shared" si="58"/>
        <v>338</v>
      </c>
      <c r="V530" s="745">
        <v>4</v>
      </c>
      <c r="W530" s="745">
        <v>16</v>
      </c>
      <c r="X530" s="745">
        <v>0</v>
      </c>
      <c r="Y530" s="1202">
        <v>0</v>
      </c>
    </row>
    <row r="531" spans="5:25" ht="15" x14ac:dyDescent="0.2">
      <c r="E531" s="1201"/>
      <c r="F531" s="745"/>
      <c r="G531" s="745"/>
      <c r="H531" s="1256">
        <f t="shared" si="59"/>
        <v>0</v>
      </c>
      <c r="I531" s="736">
        <v>304</v>
      </c>
      <c r="J531" s="736">
        <f t="shared" si="60"/>
        <v>1</v>
      </c>
      <c r="K531" s="2532">
        <f t="shared" si="62"/>
        <v>14</v>
      </c>
      <c r="L531" s="736">
        <f t="shared" si="61"/>
        <v>1</v>
      </c>
      <c r="M531" s="2533">
        <f t="shared" si="63"/>
        <v>2</v>
      </c>
      <c r="U531" s="1260">
        <f t="shared" si="58"/>
        <v>356</v>
      </c>
      <c r="V531" s="745">
        <v>4</v>
      </c>
      <c r="W531" s="745">
        <v>17</v>
      </c>
      <c r="X531" s="745">
        <v>0</v>
      </c>
      <c r="Y531" s="1202">
        <v>0</v>
      </c>
    </row>
    <row r="532" spans="5:25" ht="15" x14ac:dyDescent="0.2">
      <c r="E532" s="1201"/>
      <c r="F532" s="745"/>
      <c r="G532" s="745"/>
      <c r="H532" s="1256">
        <f t="shared" si="59"/>
        <v>0</v>
      </c>
      <c r="I532" s="736">
        <v>305</v>
      </c>
      <c r="J532" s="736">
        <f t="shared" si="60"/>
        <v>3</v>
      </c>
      <c r="K532" s="2532">
        <f t="shared" si="62"/>
        <v>13</v>
      </c>
      <c r="L532" s="736">
        <f t="shared" si="61"/>
        <v>1</v>
      </c>
      <c r="M532" s="2533">
        <f t="shared" si="63"/>
        <v>1</v>
      </c>
      <c r="U532" s="1260">
        <f t="shared" si="58"/>
        <v>374</v>
      </c>
      <c r="V532" s="745">
        <v>4</v>
      </c>
      <c r="W532" s="745">
        <v>18</v>
      </c>
      <c r="X532" s="745">
        <v>0</v>
      </c>
      <c r="Y532" s="1202">
        <v>0</v>
      </c>
    </row>
    <row r="533" spans="5:25" ht="15" x14ac:dyDescent="0.2">
      <c r="E533" s="1201"/>
      <c r="F533" s="745"/>
      <c r="G533" s="745"/>
      <c r="H533" s="1256">
        <f t="shared" si="59"/>
        <v>0</v>
      </c>
      <c r="I533" s="736">
        <v>306</v>
      </c>
      <c r="J533" s="736">
        <f t="shared" si="60"/>
        <v>0</v>
      </c>
      <c r="K533" s="2532">
        <f t="shared" si="62"/>
        <v>16</v>
      </c>
      <c r="L533" s="736">
        <f t="shared" si="61"/>
        <v>0</v>
      </c>
      <c r="M533" s="2533">
        <f t="shared" si="63"/>
        <v>1</v>
      </c>
      <c r="U533" s="1260">
        <f t="shared" si="58"/>
        <v>392</v>
      </c>
      <c r="V533" s="745">
        <v>4</v>
      </c>
      <c r="W533" s="745">
        <v>19</v>
      </c>
      <c r="X533" s="745">
        <v>0</v>
      </c>
      <c r="Y533" s="1202">
        <v>0</v>
      </c>
    </row>
    <row r="534" spans="5:25" ht="15" x14ac:dyDescent="0.2">
      <c r="E534" s="1201"/>
      <c r="F534" s="745"/>
      <c r="G534" s="745"/>
      <c r="H534" s="1256">
        <f t="shared" si="59"/>
        <v>0</v>
      </c>
      <c r="I534" s="736">
        <v>307</v>
      </c>
      <c r="J534" s="736">
        <f t="shared" si="60"/>
        <v>1</v>
      </c>
      <c r="K534" s="2532">
        <f t="shared" si="62"/>
        <v>15</v>
      </c>
      <c r="L534" s="736">
        <f t="shared" si="61"/>
        <v>0</v>
      </c>
      <c r="M534" s="2533">
        <f t="shared" si="63"/>
        <v>2</v>
      </c>
      <c r="U534" s="1260">
        <f t="shared" si="58"/>
        <v>410</v>
      </c>
      <c r="V534" s="745">
        <v>4</v>
      </c>
      <c r="W534" s="745">
        <v>20</v>
      </c>
      <c r="X534" s="745">
        <v>0</v>
      </c>
      <c r="Y534" s="1202">
        <v>0</v>
      </c>
    </row>
    <row r="535" spans="5:25" ht="15" x14ac:dyDescent="0.2">
      <c r="E535" s="1201"/>
      <c r="F535" s="745"/>
      <c r="G535" s="745"/>
      <c r="H535" s="1256">
        <f t="shared" si="59"/>
        <v>0</v>
      </c>
      <c r="I535" s="736">
        <v>308</v>
      </c>
      <c r="J535" s="736">
        <f t="shared" si="60"/>
        <v>3</v>
      </c>
      <c r="K535" s="2532">
        <f t="shared" si="62"/>
        <v>14</v>
      </c>
      <c r="L535" s="736">
        <f t="shared" si="61"/>
        <v>0</v>
      </c>
      <c r="M535" s="2533">
        <f t="shared" si="63"/>
        <v>1</v>
      </c>
      <c r="U535" s="1260">
        <f t="shared" si="58"/>
        <v>428</v>
      </c>
      <c r="V535" s="745">
        <v>4</v>
      </c>
      <c r="W535" s="745">
        <v>21</v>
      </c>
      <c r="X535" s="745">
        <v>0</v>
      </c>
      <c r="Y535" s="1202">
        <v>0</v>
      </c>
    </row>
    <row r="536" spans="5:25" ht="15" x14ac:dyDescent="0.2">
      <c r="E536" s="1201"/>
      <c r="F536" s="745"/>
      <c r="G536" s="745"/>
      <c r="H536" s="1256">
        <f t="shared" si="59"/>
        <v>0</v>
      </c>
      <c r="I536" s="736">
        <v>309</v>
      </c>
      <c r="J536" s="736">
        <f t="shared" si="60"/>
        <v>0</v>
      </c>
      <c r="K536" s="2532">
        <f t="shared" si="62"/>
        <v>15</v>
      </c>
      <c r="L536" s="736">
        <f t="shared" si="61"/>
        <v>1</v>
      </c>
      <c r="M536" s="2533">
        <f t="shared" si="63"/>
        <v>2</v>
      </c>
      <c r="U536" s="1260">
        <f t="shared" si="58"/>
        <v>446</v>
      </c>
      <c r="V536" s="745">
        <v>4</v>
      </c>
      <c r="W536" s="745">
        <v>22</v>
      </c>
      <c r="X536" s="745">
        <v>0</v>
      </c>
      <c r="Y536" s="1202">
        <v>0</v>
      </c>
    </row>
    <row r="537" spans="5:25" ht="15" x14ac:dyDescent="0.2">
      <c r="E537" s="1201"/>
      <c r="F537" s="745"/>
      <c r="G537" s="745"/>
      <c r="H537" s="1256">
        <f t="shared" si="59"/>
        <v>0</v>
      </c>
      <c r="I537" s="736">
        <v>310</v>
      </c>
      <c r="J537" s="736">
        <f t="shared" si="60"/>
        <v>2</v>
      </c>
      <c r="K537" s="2532">
        <f t="shared" si="62"/>
        <v>14</v>
      </c>
      <c r="L537" s="736">
        <f t="shared" si="61"/>
        <v>1</v>
      </c>
      <c r="M537" s="2533">
        <f t="shared" si="63"/>
        <v>1</v>
      </c>
      <c r="U537" s="1260">
        <f t="shared" si="58"/>
        <v>464</v>
      </c>
      <c r="V537" s="745">
        <v>4</v>
      </c>
      <c r="W537" s="745">
        <v>23</v>
      </c>
      <c r="X537" s="745">
        <v>0</v>
      </c>
      <c r="Y537" s="1202">
        <v>0</v>
      </c>
    </row>
    <row r="538" spans="5:25" ht="15" x14ac:dyDescent="0.2">
      <c r="E538" s="1201"/>
      <c r="F538" s="745"/>
      <c r="G538" s="745"/>
      <c r="H538" s="1256">
        <f t="shared" si="59"/>
        <v>0</v>
      </c>
      <c r="I538" s="736">
        <v>311</v>
      </c>
      <c r="J538" s="736">
        <f t="shared" si="60"/>
        <v>3</v>
      </c>
      <c r="K538" s="2532">
        <f t="shared" si="62"/>
        <v>13</v>
      </c>
      <c r="L538" s="736">
        <f t="shared" si="61"/>
        <v>1</v>
      </c>
      <c r="M538" s="2533">
        <f t="shared" si="63"/>
        <v>2</v>
      </c>
      <c r="U538" s="1260">
        <f t="shared" si="58"/>
        <v>482</v>
      </c>
      <c r="V538" s="745">
        <v>4</v>
      </c>
      <c r="W538" s="745">
        <v>24</v>
      </c>
      <c r="X538" s="745">
        <v>0</v>
      </c>
      <c r="Y538" s="1202">
        <v>0</v>
      </c>
    </row>
    <row r="539" spans="5:25" ht="15" x14ac:dyDescent="0.2">
      <c r="E539" s="1201"/>
      <c r="F539" s="745"/>
      <c r="G539" s="745"/>
      <c r="H539" s="1256">
        <f t="shared" si="59"/>
        <v>0</v>
      </c>
      <c r="I539" s="736">
        <v>312</v>
      </c>
      <c r="J539" s="736">
        <f t="shared" si="60"/>
        <v>5</v>
      </c>
      <c r="K539" s="2532">
        <f t="shared" si="62"/>
        <v>12</v>
      </c>
      <c r="L539" s="736">
        <f t="shared" si="61"/>
        <v>1</v>
      </c>
      <c r="M539" s="2533">
        <f t="shared" si="63"/>
        <v>1</v>
      </c>
      <c r="U539" s="1260">
        <f t="shared" si="58"/>
        <v>500</v>
      </c>
      <c r="V539" s="745">
        <v>4</v>
      </c>
      <c r="W539" s="745">
        <v>25</v>
      </c>
      <c r="X539" s="745">
        <v>0</v>
      </c>
      <c r="Y539" s="1202">
        <v>0</v>
      </c>
    </row>
    <row r="540" spans="5:25" ht="15" x14ac:dyDescent="0.2">
      <c r="E540" s="1201"/>
      <c r="F540" s="745"/>
      <c r="G540" s="745"/>
      <c r="H540" s="1256">
        <f t="shared" si="59"/>
        <v>0</v>
      </c>
      <c r="I540" s="736">
        <v>313</v>
      </c>
      <c r="J540" s="736">
        <f t="shared" si="60"/>
        <v>2</v>
      </c>
      <c r="K540" s="2532">
        <f t="shared" si="62"/>
        <v>15</v>
      </c>
      <c r="L540" s="736">
        <f t="shared" si="61"/>
        <v>0</v>
      </c>
      <c r="M540" s="2533">
        <f t="shared" si="63"/>
        <v>1</v>
      </c>
      <c r="U540" s="1260">
        <f t="shared" si="58"/>
        <v>518</v>
      </c>
      <c r="V540" s="745">
        <v>4</v>
      </c>
      <c r="W540" s="745">
        <v>26</v>
      </c>
      <c r="X540" s="745">
        <v>0</v>
      </c>
      <c r="Y540" s="1202">
        <v>0</v>
      </c>
    </row>
    <row r="541" spans="5:25" ht="15" x14ac:dyDescent="0.2">
      <c r="E541" s="1201"/>
      <c r="F541" s="745"/>
      <c r="G541" s="745"/>
      <c r="H541" s="1256">
        <f t="shared" si="59"/>
        <v>0</v>
      </c>
      <c r="I541" s="736">
        <v>314</v>
      </c>
      <c r="J541" s="736">
        <f t="shared" si="60"/>
        <v>3</v>
      </c>
      <c r="K541" s="2532">
        <f t="shared" si="62"/>
        <v>14</v>
      </c>
      <c r="L541" s="736">
        <f t="shared" si="61"/>
        <v>0</v>
      </c>
      <c r="M541" s="2533">
        <f t="shared" si="63"/>
        <v>2</v>
      </c>
      <c r="U541" s="1260">
        <f t="shared" si="58"/>
        <v>536</v>
      </c>
      <c r="V541" s="745">
        <v>4</v>
      </c>
      <c r="W541" s="745">
        <v>27</v>
      </c>
      <c r="X541" s="745">
        <v>0</v>
      </c>
      <c r="Y541" s="1202">
        <v>0</v>
      </c>
    </row>
    <row r="542" spans="5:25" ht="15" x14ac:dyDescent="0.2">
      <c r="E542" s="1201"/>
      <c r="F542" s="745"/>
      <c r="G542" s="745"/>
      <c r="H542" s="1256">
        <f t="shared" si="59"/>
        <v>0</v>
      </c>
      <c r="I542" s="736">
        <v>315</v>
      </c>
      <c r="J542" s="736">
        <f t="shared" si="60"/>
        <v>5</v>
      </c>
      <c r="K542" s="2532">
        <f t="shared" si="62"/>
        <v>13</v>
      </c>
      <c r="L542" s="736">
        <f t="shared" si="61"/>
        <v>0</v>
      </c>
      <c r="M542" s="2533">
        <f t="shared" si="63"/>
        <v>1</v>
      </c>
      <c r="U542" s="1260">
        <f t="shared" si="58"/>
        <v>554</v>
      </c>
      <c r="V542" s="745">
        <v>4</v>
      </c>
      <c r="W542" s="745">
        <v>28</v>
      </c>
      <c r="X542" s="745">
        <v>0</v>
      </c>
      <c r="Y542" s="1202">
        <v>0</v>
      </c>
    </row>
    <row r="543" spans="5:25" ht="15" x14ac:dyDescent="0.2">
      <c r="E543" s="1201"/>
      <c r="F543" s="745"/>
      <c r="G543" s="745"/>
      <c r="H543" s="1256">
        <f t="shared" si="59"/>
        <v>0</v>
      </c>
      <c r="I543" s="736">
        <v>316</v>
      </c>
      <c r="J543" s="736">
        <f t="shared" si="60"/>
        <v>1</v>
      </c>
      <c r="K543" s="2532">
        <f t="shared" si="62"/>
        <v>15</v>
      </c>
      <c r="L543" s="736">
        <f t="shared" si="61"/>
        <v>1</v>
      </c>
      <c r="M543" s="2533">
        <f t="shared" si="63"/>
        <v>1</v>
      </c>
      <c r="U543" s="1260">
        <f t="shared" si="58"/>
        <v>572</v>
      </c>
      <c r="V543" s="745">
        <v>4</v>
      </c>
      <c r="W543" s="745">
        <v>29</v>
      </c>
      <c r="X543" s="745">
        <v>0</v>
      </c>
      <c r="Y543" s="1202">
        <v>0</v>
      </c>
    </row>
    <row r="544" spans="5:25" ht="15" x14ac:dyDescent="0.2">
      <c r="E544" s="1201"/>
      <c r="F544" s="745"/>
      <c r="G544" s="745"/>
      <c r="H544" s="1256">
        <f t="shared" si="59"/>
        <v>0</v>
      </c>
      <c r="I544" s="736">
        <v>317</v>
      </c>
      <c r="J544" s="736">
        <f t="shared" si="60"/>
        <v>4</v>
      </c>
      <c r="K544" s="2532">
        <f t="shared" si="62"/>
        <v>13</v>
      </c>
      <c r="L544" s="736">
        <f t="shared" si="61"/>
        <v>1</v>
      </c>
      <c r="M544" s="2533">
        <f t="shared" si="63"/>
        <v>1</v>
      </c>
      <c r="U544" s="1260">
        <f t="shared" si="58"/>
        <v>590</v>
      </c>
      <c r="V544" s="745">
        <v>4</v>
      </c>
      <c r="W544" s="745">
        <v>30</v>
      </c>
      <c r="X544" s="745">
        <v>0</v>
      </c>
      <c r="Y544" s="1202">
        <v>0</v>
      </c>
    </row>
    <row r="545" spans="5:25" ht="15" x14ac:dyDescent="0.2">
      <c r="E545" s="1201"/>
      <c r="F545" s="745"/>
      <c r="G545" s="745"/>
      <c r="H545" s="1256">
        <f t="shared" si="59"/>
        <v>0</v>
      </c>
      <c r="I545" s="736">
        <v>318</v>
      </c>
      <c r="J545" s="736">
        <f t="shared" si="60"/>
        <v>5</v>
      </c>
      <c r="K545" s="2532">
        <f t="shared" si="62"/>
        <v>12</v>
      </c>
      <c r="L545" s="736">
        <f t="shared" si="61"/>
        <v>1</v>
      </c>
      <c r="M545" s="2533">
        <f t="shared" si="63"/>
        <v>2</v>
      </c>
      <c r="U545" s="1260">
        <f t="shared" si="58"/>
        <v>608</v>
      </c>
      <c r="V545" s="745">
        <v>4</v>
      </c>
      <c r="W545" s="745">
        <v>31</v>
      </c>
      <c r="X545" s="745">
        <v>0</v>
      </c>
      <c r="Y545" s="1202">
        <v>0</v>
      </c>
    </row>
    <row r="546" spans="5:25" ht="15" x14ac:dyDescent="0.2">
      <c r="E546" s="1201"/>
      <c r="F546" s="745"/>
      <c r="G546" s="745"/>
      <c r="H546" s="1256">
        <f t="shared" si="59"/>
        <v>0</v>
      </c>
      <c r="I546" s="736">
        <v>319</v>
      </c>
      <c r="J546" s="736">
        <f t="shared" si="60"/>
        <v>1</v>
      </c>
      <c r="K546" s="2532">
        <f t="shared" si="62"/>
        <v>16</v>
      </c>
      <c r="L546" s="736">
        <f t="shared" si="61"/>
        <v>0</v>
      </c>
      <c r="M546" s="2533">
        <f t="shared" si="63"/>
        <v>1</v>
      </c>
      <c r="U546" s="1260">
        <f t="shared" si="58"/>
        <v>626</v>
      </c>
      <c r="V546" s="745">
        <v>4</v>
      </c>
      <c r="W546" s="745">
        <v>32</v>
      </c>
      <c r="X546" s="745">
        <v>0</v>
      </c>
      <c r="Y546" s="1202">
        <v>0</v>
      </c>
    </row>
    <row r="547" spans="5:25" ht="15" x14ac:dyDescent="0.2">
      <c r="E547" s="1201"/>
      <c r="F547" s="745"/>
      <c r="G547" s="745"/>
      <c r="H547" s="1256">
        <f t="shared" si="59"/>
        <v>0</v>
      </c>
      <c r="I547" s="736">
        <v>320</v>
      </c>
      <c r="J547" s="736">
        <f t="shared" si="60"/>
        <v>4</v>
      </c>
      <c r="K547" s="2532">
        <f t="shared" si="62"/>
        <v>14</v>
      </c>
      <c r="L547" s="736">
        <f t="shared" si="61"/>
        <v>0</v>
      </c>
      <c r="M547" s="2533">
        <f t="shared" si="63"/>
        <v>1</v>
      </c>
      <c r="U547" s="1260">
        <f t="shared" si="58"/>
        <v>644</v>
      </c>
      <c r="V547" s="745">
        <v>4</v>
      </c>
      <c r="W547" s="745">
        <v>33</v>
      </c>
      <c r="X547" s="745">
        <v>0</v>
      </c>
      <c r="Y547" s="1202">
        <v>0</v>
      </c>
    </row>
    <row r="548" spans="5:25" ht="15" x14ac:dyDescent="0.2">
      <c r="E548" s="1201"/>
      <c r="F548" s="745"/>
      <c r="G548" s="745"/>
      <c r="H548" s="1256">
        <f t="shared" si="59"/>
        <v>0</v>
      </c>
      <c r="I548" s="736">
        <v>321</v>
      </c>
      <c r="J548" s="736">
        <f t="shared" si="60"/>
        <v>0</v>
      </c>
      <c r="K548" s="2532">
        <f t="shared" si="62"/>
        <v>16</v>
      </c>
      <c r="L548" s="736">
        <f t="shared" si="61"/>
        <v>1</v>
      </c>
      <c r="M548" s="2533">
        <f t="shared" si="63"/>
        <v>1</v>
      </c>
      <c r="U548" s="1260">
        <f t="shared" si="58"/>
        <v>662</v>
      </c>
      <c r="V548" s="745">
        <v>4</v>
      </c>
      <c r="W548" s="745">
        <v>34</v>
      </c>
      <c r="X548" s="745">
        <v>0</v>
      </c>
      <c r="Y548" s="1202">
        <v>0</v>
      </c>
    </row>
    <row r="549" spans="5:25" ht="15" x14ac:dyDescent="0.2">
      <c r="E549" s="1201"/>
      <c r="F549" s="745"/>
      <c r="G549" s="745"/>
      <c r="H549" s="1256">
        <f t="shared" si="59"/>
        <v>0</v>
      </c>
      <c r="I549" s="736">
        <v>322</v>
      </c>
      <c r="J549" s="736">
        <f t="shared" si="60"/>
        <v>1</v>
      </c>
      <c r="K549" s="2532">
        <f t="shared" si="62"/>
        <v>15</v>
      </c>
      <c r="L549" s="736">
        <f t="shared" si="61"/>
        <v>1</v>
      </c>
      <c r="M549" s="2533">
        <f t="shared" si="63"/>
        <v>2</v>
      </c>
      <c r="U549" s="1260">
        <f t="shared" si="58"/>
        <v>680</v>
      </c>
      <c r="V549" s="745">
        <v>4</v>
      </c>
      <c r="W549" s="745">
        <v>35</v>
      </c>
      <c r="X549" s="745">
        <v>0</v>
      </c>
      <c r="Y549" s="1202">
        <v>0</v>
      </c>
    </row>
    <row r="550" spans="5:25" ht="15" x14ac:dyDescent="0.2">
      <c r="E550" s="1201"/>
      <c r="F550" s="745"/>
      <c r="G550" s="745"/>
      <c r="H550" s="1256">
        <f t="shared" si="59"/>
        <v>0</v>
      </c>
      <c r="I550" s="736">
        <v>323</v>
      </c>
      <c r="J550" s="736">
        <f t="shared" si="60"/>
        <v>3</v>
      </c>
      <c r="K550" s="2532">
        <f t="shared" si="62"/>
        <v>14</v>
      </c>
      <c r="L550" s="736">
        <f t="shared" si="61"/>
        <v>1</v>
      </c>
      <c r="M550" s="2533">
        <f t="shared" si="63"/>
        <v>1</v>
      </c>
      <c r="U550" s="1260">
        <f t="shared" si="58"/>
        <v>698</v>
      </c>
      <c r="V550" s="745">
        <v>4</v>
      </c>
      <c r="W550" s="745">
        <v>36</v>
      </c>
      <c r="X550" s="745">
        <v>0</v>
      </c>
      <c r="Y550" s="1202">
        <v>0</v>
      </c>
    </row>
    <row r="551" spans="5:25" ht="15" x14ac:dyDescent="0.2">
      <c r="E551" s="1201"/>
      <c r="F551" s="745"/>
      <c r="G551" s="745"/>
      <c r="H551" s="1256">
        <f t="shared" si="59"/>
        <v>0</v>
      </c>
      <c r="I551" s="736">
        <v>324</v>
      </c>
      <c r="J551" s="736">
        <f t="shared" si="60"/>
        <v>0</v>
      </c>
      <c r="K551" s="2532">
        <f t="shared" si="62"/>
        <v>17</v>
      </c>
      <c r="L551" s="736">
        <f t="shared" si="61"/>
        <v>0</v>
      </c>
      <c r="M551" s="2533">
        <f t="shared" si="63"/>
        <v>1</v>
      </c>
      <c r="U551" s="1260">
        <f t="shared" si="58"/>
        <v>716</v>
      </c>
      <c r="V551" s="745">
        <v>4</v>
      </c>
      <c r="W551" s="745">
        <v>37</v>
      </c>
      <c r="X551" s="745">
        <v>0</v>
      </c>
      <c r="Y551" s="1202">
        <v>0</v>
      </c>
    </row>
    <row r="552" spans="5:25" ht="15" x14ac:dyDescent="0.2">
      <c r="E552" s="1201"/>
      <c r="F552" s="745"/>
      <c r="G552" s="745"/>
      <c r="H552" s="1256">
        <f t="shared" si="59"/>
        <v>0</v>
      </c>
      <c r="I552" s="736">
        <v>325</v>
      </c>
      <c r="J552" s="736">
        <f t="shared" si="60"/>
        <v>26</v>
      </c>
      <c r="K552" s="2532">
        <f t="shared" si="62"/>
        <v>0</v>
      </c>
      <c r="L552" s="736">
        <f t="shared" si="61"/>
        <v>0</v>
      </c>
      <c r="M552" s="2533">
        <f t="shared" si="63"/>
        <v>1</v>
      </c>
      <c r="U552" s="1260">
        <f t="shared" ref="U552:U615" si="64">ROUNDUP(W552*$W$294+V552*$V$294+X552*$X$294+Y552*$Y$294,0)</f>
        <v>734</v>
      </c>
      <c r="V552" s="745">
        <v>4</v>
      </c>
      <c r="W552" s="745">
        <v>38</v>
      </c>
      <c r="X552" s="745">
        <v>0</v>
      </c>
      <c r="Y552" s="1202">
        <v>0</v>
      </c>
    </row>
    <row r="553" spans="5:25" ht="15" x14ac:dyDescent="0.2">
      <c r="E553" s="1201"/>
      <c r="F553" s="745"/>
      <c r="G553" s="745"/>
      <c r="H553" s="1256">
        <f t="shared" si="59"/>
        <v>0</v>
      </c>
      <c r="I553" s="736">
        <v>326</v>
      </c>
      <c r="J553" s="736">
        <f t="shared" si="60"/>
        <v>3</v>
      </c>
      <c r="K553" s="2532">
        <f t="shared" si="62"/>
        <v>15</v>
      </c>
      <c r="L553" s="736">
        <f t="shared" si="61"/>
        <v>0</v>
      </c>
      <c r="M553" s="2533">
        <f t="shared" si="63"/>
        <v>1</v>
      </c>
      <c r="U553" s="1260">
        <f t="shared" si="64"/>
        <v>752</v>
      </c>
      <c r="V553" s="745">
        <v>4</v>
      </c>
      <c r="W553" s="745">
        <v>39</v>
      </c>
      <c r="X553" s="745">
        <v>0</v>
      </c>
      <c r="Y553" s="1202">
        <v>0</v>
      </c>
    </row>
    <row r="554" spans="5:25" ht="15" x14ac:dyDescent="0.2">
      <c r="E554" s="1201"/>
      <c r="F554" s="745"/>
      <c r="G554" s="745"/>
      <c r="H554" s="1256">
        <f t="shared" si="59"/>
        <v>0</v>
      </c>
      <c r="I554" s="736">
        <v>327</v>
      </c>
      <c r="J554" s="736">
        <f t="shared" si="60"/>
        <v>0</v>
      </c>
      <c r="K554" s="2532">
        <f t="shared" si="62"/>
        <v>16</v>
      </c>
      <c r="L554" s="736">
        <f t="shared" si="61"/>
        <v>1</v>
      </c>
      <c r="M554" s="2533">
        <f t="shared" si="63"/>
        <v>2</v>
      </c>
      <c r="U554" s="1260">
        <f t="shared" si="64"/>
        <v>770</v>
      </c>
      <c r="V554" s="745">
        <v>4</v>
      </c>
      <c r="W554" s="745">
        <v>40</v>
      </c>
      <c r="X554" s="745">
        <v>0</v>
      </c>
      <c r="Y554" s="1202">
        <v>0</v>
      </c>
    </row>
    <row r="555" spans="5:25" ht="15" x14ac:dyDescent="0.2">
      <c r="E555" s="1201"/>
      <c r="F555" s="745"/>
      <c r="G555" s="745"/>
      <c r="H555" s="1256">
        <f t="shared" si="59"/>
        <v>0</v>
      </c>
      <c r="I555" s="736">
        <v>328</v>
      </c>
      <c r="J555" s="736">
        <f t="shared" si="60"/>
        <v>2</v>
      </c>
      <c r="K555" s="2532">
        <f t="shared" si="62"/>
        <v>15</v>
      </c>
      <c r="L555" s="736">
        <f t="shared" si="61"/>
        <v>1</v>
      </c>
      <c r="M555" s="2533">
        <f t="shared" si="63"/>
        <v>1</v>
      </c>
      <c r="U555" s="1260">
        <f t="shared" si="64"/>
        <v>788</v>
      </c>
      <c r="V555" s="745">
        <v>4</v>
      </c>
      <c r="W555" s="745">
        <v>41</v>
      </c>
      <c r="X555" s="745">
        <v>0</v>
      </c>
      <c r="Y555" s="1202">
        <v>0</v>
      </c>
    </row>
    <row r="556" spans="5:25" ht="15" x14ac:dyDescent="0.2">
      <c r="E556" s="1201"/>
      <c r="F556" s="745"/>
      <c r="G556" s="745"/>
      <c r="H556" s="1256">
        <f t="shared" si="59"/>
        <v>0</v>
      </c>
      <c r="I556" s="736">
        <v>329</v>
      </c>
      <c r="J556" s="736">
        <f t="shared" si="60"/>
        <v>3</v>
      </c>
      <c r="K556" s="2532">
        <f t="shared" si="62"/>
        <v>14</v>
      </c>
      <c r="L556" s="736">
        <f t="shared" si="61"/>
        <v>1</v>
      </c>
      <c r="M556" s="2533">
        <f t="shared" si="63"/>
        <v>2</v>
      </c>
      <c r="U556" s="1260">
        <f t="shared" si="64"/>
        <v>806</v>
      </c>
      <c r="V556" s="745">
        <v>4</v>
      </c>
      <c r="W556" s="745">
        <v>42</v>
      </c>
      <c r="X556" s="745">
        <v>0</v>
      </c>
      <c r="Y556" s="1202">
        <v>0</v>
      </c>
    </row>
    <row r="557" spans="5:25" ht="15" x14ac:dyDescent="0.2">
      <c r="E557" s="1201"/>
      <c r="F557" s="745"/>
      <c r="G557" s="745"/>
      <c r="H557" s="1256">
        <f t="shared" si="59"/>
        <v>0</v>
      </c>
      <c r="I557" s="736">
        <v>330</v>
      </c>
      <c r="J557" s="736">
        <f t="shared" si="60"/>
        <v>5</v>
      </c>
      <c r="K557" s="2532">
        <f t="shared" si="62"/>
        <v>13</v>
      </c>
      <c r="L557" s="736">
        <f t="shared" si="61"/>
        <v>1</v>
      </c>
      <c r="M557" s="2533">
        <f t="shared" si="63"/>
        <v>1</v>
      </c>
      <c r="U557" s="1260">
        <f t="shared" si="64"/>
        <v>824</v>
      </c>
      <c r="V557" s="745">
        <v>4</v>
      </c>
      <c r="W557" s="745">
        <v>43</v>
      </c>
      <c r="X557" s="745">
        <v>0</v>
      </c>
      <c r="Y557" s="1202">
        <v>0</v>
      </c>
    </row>
    <row r="558" spans="5:25" ht="15" x14ac:dyDescent="0.2">
      <c r="E558" s="1201"/>
      <c r="F558" s="745"/>
      <c r="G558" s="745"/>
      <c r="H558" s="1256">
        <f t="shared" ref="H558:H599" si="65">IF($H$298=I558,1,0)</f>
        <v>0</v>
      </c>
      <c r="I558" s="736">
        <v>331</v>
      </c>
      <c r="J558" s="736">
        <f t="shared" ref="J558:J621" si="66">VLOOKUP($I558,$U$295:$Y$1758,2,FALSE)</f>
        <v>2</v>
      </c>
      <c r="K558" s="2532">
        <f t="shared" si="62"/>
        <v>16</v>
      </c>
      <c r="L558" s="736">
        <f t="shared" ref="L558:L621" si="67">VLOOKUP($I558,$U$295:$Y$1758,4,FALSE)</f>
        <v>0</v>
      </c>
      <c r="M558" s="2533">
        <f t="shared" si="63"/>
        <v>1</v>
      </c>
      <c r="U558" s="1260">
        <f t="shared" si="64"/>
        <v>842</v>
      </c>
      <c r="V558" s="745">
        <v>4</v>
      </c>
      <c r="W558" s="745">
        <v>44</v>
      </c>
      <c r="X558" s="745">
        <v>0</v>
      </c>
      <c r="Y558" s="1202">
        <v>0</v>
      </c>
    </row>
    <row r="559" spans="5:25" ht="15" x14ac:dyDescent="0.2">
      <c r="E559" s="1201"/>
      <c r="F559" s="745"/>
      <c r="G559" s="745"/>
      <c r="H559" s="1256">
        <f t="shared" si="65"/>
        <v>0</v>
      </c>
      <c r="I559" s="736">
        <v>332</v>
      </c>
      <c r="J559" s="736">
        <f t="shared" si="66"/>
        <v>3</v>
      </c>
      <c r="K559" s="2532">
        <f t="shared" ref="K559:K622" si="68">IF(VLOOKUP($I559,$U$295:$Y$1758,3,FALSE)&gt;0,VLOOKUP($I559,$U$295:$Y$1758,3,FALSE)-1,VLOOKUP($I559,$U$295:$Y$1758,3,FALSE))</f>
        <v>15</v>
      </c>
      <c r="L559" s="736">
        <f t="shared" si="67"/>
        <v>0</v>
      </c>
      <c r="M559" s="2533">
        <f t="shared" ref="M559:M622" si="69">VLOOKUP($I559,$U$295:$Y$1758,5,FALSE)+1</f>
        <v>2</v>
      </c>
      <c r="U559" s="1260">
        <f t="shared" si="64"/>
        <v>860</v>
      </c>
      <c r="V559" s="745">
        <v>4</v>
      </c>
      <c r="W559" s="745">
        <v>45</v>
      </c>
      <c r="X559" s="745">
        <v>0</v>
      </c>
      <c r="Y559" s="1202">
        <v>0</v>
      </c>
    </row>
    <row r="560" spans="5:25" ht="15" x14ac:dyDescent="0.2">
      <c r="E560" s="1201"/>
      <c r="F560" s="745"/>
      <c r="G560" s="745"/>
      <c r="H560" s="1256">
        <f t="shared" si="65"/>
        <v>0</v>
      </c>
      <c r="I560" s="736">
        <v>333</v>
      </c>
      <c r="J560" s="736">
        <f t="shared" si="66"/>
        <v>5</v>
      </c>
      <c r="K560" s="2532">
        <f t="shared" si="68"/>
        <v>14</v>
      </c>
      <c r="L560" s="736">
        <f t="shared" si="67"/>
        <v>0</v>
      </c>
      <c r="M560" s="2533">
        <f t="shared" si="69"/>
        <v>1</v>
      </c>
      <c r="U560" s="1260">
        <f t="shared" si="64"/>
        <v>878</v>
      </c>
      <c r="V560" s="745">
        <v>4</v>
      </c>
      <c r="W560" s="745">
        <v>46</v>
      </c>
      <c r="X560" s="745">
        <v>0</v>
      </c>
      <c r="Y560" s="1202">
        <v>0</v>
      </c>
    </row>
    <row r="561" spans="5:25" ht="15" x14ac:dyDescent="0.2">
      <c r="E561" s="1201"/>
      <c r="F561" s="745"/>
      <c r="G561" s="745"/>
      <c r="H561" s="1256">
        <f t="shared" si="65"/>
        <v>0</v>
      </c>
      <c r="I561" s="736">
        <v>334</v>
      </c>
      <c r="J561" s="736">
        <f t="shared" si="66"/>
        <v>1</v>
      </c>
      <c r="K561" s="2532">
        <f t="shared" si="68"/>
        <v>16</v>
      </c>
      <c r="L561" s="736">
        <f t="shared" si="67"/>
        <v>1</v>
      </c>
      <c r="M561" s="2533">
        <f t="shared" si="69"/>
        <v>1</v>
      </c>
      <c r="U561" s="1260">
        <f t="shared" si="64"/>
        <v>896</v>
      </c>
      <c r="V561" s="745">
        <v>4</v>
      </c>
      <c r="W561" s="745">
        <v>47</v>
      </c>
      <c r="X561" s="745">
        <v>0</v>
      </c>
      <c r="Y561" s="1202">
        <v>0</v>
      </c>
    </row>
    <row r="562" spans="5:25" ht="15" x14ac:dyDescent="0.2">
      <c r="E562" s="1201"/>
      <c r="F562" s="745"/>
      <c r="G562" s="745"/>
      <c r="H562" s="1256">
        <f t="shared" si="65"/>
        <v>0</v>
      </c>
      <c r="I562" s="736">
        <v>335</v>
      </c>
      <c r="J562" s="736">
        <f t="shared" si="66"/>
        <v>4</v>
      </c>
      <c r="K562" s="2532">
        <f t="shared" si="68"/>
        <v>14</v>
      </c>
      <c r="L562" s="736">
        <f t="shared" si="67"/>
        <v>1</v>
      </c>
      <c r="M562" s="2533">
        <f t="shared" si="69"/>
        <v>1</v>
      </c>
      <c r="U562" s="1260">
        <f t="shared" si="64"/>
        <v>914</v>
      </c>
      <c r="V562" s="745">
        <v>4</v>
      </c>
      <c r="W562" s="745">
        <v>48</v>
      </c>
      <c r="X562" s="745">
        <v>0</v>
      </c>
      <c r="Y562" s="1202">
        <v>0</v>
      </c>
    </row>
    <row r="563" spans="5:25" ht="15" x14ac:dyDescent="0.2">
      <c r="E563" s="1201"/>
      <c r="F563" s="745"/>
      <c r="G563" s="745"/>
      <c r="H563" s="1256">
        <f t="shared" si="65"/>
        <v>0</v>
      </c>
      <c r="I563" s="736">
        <v>336</v>
      </c>
      <c r="J563" s="736">
        <f t="shared" si="66"/>
        <v>5</v>
      </c>
      <c r="K563" s="2532">
        <f t="shared" si="68"/>
        <v>13</v>
      </c>
      <c r="L563" s="736">
        <f t="shared" si="67"/>
        <v>1</v>
      </c>
      <c r="M563" s="2533">
        <f t="shared" si="69"/>
        <v>2</v>
      </c>
      <c r="U563" s="1260">
        <f t="shared" si="64"/>
        <v>932</v>
      </c>
      <c r="V563" s="745">
        <v>4</v>
      </c>
      <c r="W563" s="745">
        <v>49</v>
      </c>
      <c r="X563" s="745">
        <v>0</v>
      </c>
      <c r="Y563" s="1202">
        <v>0</v>
      </c>
    </row>
    <row r="564" spans="5:25" ht="15" x14ac:dyDescent="0.2">
      <c r="E564" s="1201"/>
      <c r="F564" s="745"/>
      <c r="G564" s="745"/>
      <c r="H564" s="1256">
        <f t="shared" si="65"/>
        <v>0</v>
      </c>
      <c r="I564" s="736">
        <v>337</v>
      </c>
      <c r="J564" s="736">
        <f t="shared" si="66"/>
        <v>1</v>
      </c>
      <c r="K564" s="2532">
        <f t="shared" si="68"/>
        <v>17</v>
      </c>
      <c r="L564" s="736">
        <f t="shared" si="67"/>
        <v>0</v>
      </c>
      <c r="M564" s="2533">
        <f t="shared" si="69"/>
        <v>1</v>
      </c>
      <c r="U564" s="1260">
        <f t="shared" si="64"/>
        <v>950</v>
      </c>
      <c r="V564" s="745">
        <v>4</v>
      </c>
      <c r="W564" s="745">
        <v>50</v>
      </c>
      <c r="X564" s="745">
        <v>0</v>
      </c>
      <c r="Y564" s="1202">
        <v>0</v>
      </c>
    </row>
    <row r="565" spans="5:25" ht="15" x14ac:dyDescent="0.2">
      <c r="E565" s="1201"/>
      <c r="F565" s="745"/>
      <c r="G565" s="745"/>
      <c r="H565" s="1256">
        <f t="shared" si="65"/>
        <v>0</v>
      </c>
      <c r="I565" s="736">
        <v>338</v>
      </c>
      <c r="J565" s="736">
        <f t="shared" si="66"/>
        <v>4</v>
      </c>
      <c r="K565" s="2532">
        <f t="shared" si="68"/>
        <v>15</v>
      </c>
      <c r="L565" s="736">
        <f t="shared" si="67"/>
        <v>0</v>
      </c>
      <c r="M565" s="2533">
        <f t="shared" si="69"/>
        <v>1</v>
      </c>
      <c r="U565" s="1260">
        <f t="shared" si="64"/>
        <v>968</v>
      </c>
      <c r="V565" s="745">
        <v>4</v>
      </c>
      <c r="W565" s="745">
        <v>51</v>
      </c>
      <c r="X565" s="745">
        <v>0</v>
      </c>
      <c r="Y565" s="1202">
        <v>0</v>
      </c>
    </row>
    <row r="566" spans="5:25" ht="15" x14ac:dyDescent="0.2">
      <c r="E566" s="1201"/>
      <c r="F566" s="745"/>
      <c r="G566" s="745"/>
      <c r="H566" s="1256">
        <f t="shared" si="65"/>
        <v>0</v>
      </c>
      <c r="I566" s="736">
        <v>339</v>
      </c>
      <c r="J566" s="736">
        <f t="shared" si="66"/>
        <v>0</v>
      </c>
      <c r="K566" s="2532">
        <f t="shared" si="68"/>
        <v>17</v>
      </c>
      <c r="L566" s="736">
        <f t="shared" si="67"/>
        <v>1</v>
      </c>
      <c r="M566" s="2533">
        <f t="shared" si="69"/>
        <v>1</v>
      </c>
      <c r="U566" s="1260">
        <f t="shared" si="64"/>
        <v>986</v>
      </c>
      <c r="V566" s="745">
        <v>4</v>
      </c>
      <c r="W566" s="745">
        <v>52</v>
      </c>
      <c r="X566" s="745">
        <v>0</v>
      </c>
      <c r="Y566" s="1202">
        <v>0</v>
      </c>
    </row>
    <row r="567" spans="5:25" ht="15" x14ac:dyDescent="0.2">
      <c r="E567" s="1201"/>
      <c r="F567" s="745"/>
      <c r="G567" s="745"/>
      <c r="H567" s="1256">
        <f t="shared" si="65"/>
        <v>0</v>
      </c>
      <c r="I567" s="736">
        <v>340</v>
      </c>
      <c r="J567" s="736">
        <f t="shared" si="66"/>
        <v>26</v>
      </c>
      <c r="K567" s="2532">
        <f t="shared" si="68"/>
        <v>0</v>
      </c>
      <c r="L567" s="736">
        <f t="shared" si="67"/>
        <v>1</v>
      </c>
      <c r="M567" s="2533">
        <f t="shared" si="69"/>
        <v>1</v>
      </c>
      <c r="U567" s="1260">
        <f t="shared" si="64"/>
        <v>1004</v>
      </c>
      <c r="V567" s="745">
        <v>4</v>
      </c>
      <c r="W567" s="745">
        <v>53</v>
      </c>
      <c r="X567" s="745">
        <v>0</v>
      </c>
      <c r="Y567" s="1202">
        <v>0</v>
      </c>
    </row>
    <row r="568" spans="5:25" ht="15" x14ac:dyDescent="0.2">
      <c r="E568" s="1201"/>
      <c r="F568" s="745"/>
      <c r="G568" s="745"/>
      <c r="H568" s="1256">
        <f t="shared" si="65"/>
        <v>0</v>
      </c>
      <c r="I568" s="736">
        <v>341</v>
      </c>
      <c r="J568" s="736">
        <f t="shared" si="66"/>
        <v>3</v>
      </c>
      <c r="K568" s="2532">
        <f t="shared" si="68"/>
        <v>15</v>
      </c>
      <c r="L568" s="736">
        <f t="shared" si="67"/>
        <v>1</v>
      </c>
      <c r="M568" s="2533">
        <f t="shared" si="69"/>
        <v>1</v>
      </c>
      <c r="U568" s="1260">
        <f t="shared" si="64"/>
        <v>13</v>
      </c>
      <c r="V568" s="745">
        <v>1</v>
      </c>
      <c r="W568" s="745">
        <v>0</v>
      </c>
      <c r="X568" s="745">
        <v>0</v>
      </c>
      <c r="Y568" s="1202">
        <v>0</v>
      </c>
    </row>
    <row r="569" spans="5:25" ht="15" x14ac:dyDescent="0.2">
      <c r="E569" s="1201"/>
      <c r="F569" s="745"/>
      <c r="G569" s="745"/>
      <c r="H569" s="1256">
        <f t="shared" si="65"/>
        <v>0</v>
      </c>
      <c r="I569" s="736">
        <v>342</v>
      </c>
      <c r="J569" s="736">
        <f t="shared" si="66"/>
        <v>0</v>
      </c>
      <c r="K569" s="2532">
        <f t="shared" si="68"/>
        <v>18</v>
      </c>
      <c r="L569" s="736">
        <f t="shared" si="67"/>
        <v>0</v>
      </c>
      <c r="M569" s="2533">
        <f t="shared" si="69"/>
        <v>1</v>
      </c>
      <c r="U569" s="1260">
        <f t="shared" si="64"/>
        <v>25</v>
      </c>
      <c r="V569" s="745">
        <v>2</v>
      </c>
      <c r="W569" s="745">
        <v>0</v>
      </c>
      <c r="X569" s="745">
        <v>0</v>
      </c>
      <c r="Y569" s="1202">
        <v>0</v>
      </c>
    </row>
    <row r="570" spans="5:25" ht="15" x14ac:dyDescent="0.2">
      <c r="E570" s="1201"/>
      <c r="F570" s="745"/>
      <c r="G570" s="745"/>
      <c r="H570" s="1256">
        <f t="shared" si="65"/>
        <v>0</v>
      </c>
      <c r="I570" s="736">
        <v>343</v>
      </c>
      <c r="J570" s="736">
        <f t="shared" si="66"/>
        <v>1</v>
      </c>
      <c r="K570" s="2532">
        <f t="shared" si="68"/>
        <v>17</v>
      </c>
      <c r="L570" s="736">
        <f t="shared" si="67"/>
        <v>0</v>
      </c>
      <c r="M570" s="2533">
        <f t="shared" si="69"/>
        <v>2</v>
      </c>
      <c r="U570" s="1260">
        <f t="shared" si="64"/>
        <v>38</v>
      </c>
      <c r="V570" s="745">
        <v>3</v>
      </c>
      <c r="W570" s="745">
        <v>0</v>
      </c>
      <c r="X570" s="745">
        <v>0</v>
      </c>
      <c r="Y570" s="1202">
        <v>0</v>
      </c>
    </row>
    <row r="571" spans="5:25" ht="15" x14ac:dyDescent="0.2">
      <c r="E571" s="1201"/>
      <c r="F571" s="745"/>
      <c r="G571" s="745"/>
      <c r="H571" s="1256">
        <f t="shared" si="65"/>
        <v>0</v>
      </c>
      <c r="I571" s="736">
        <v>344</v>
      </c>
      <c r="J571" s="736">
        <f t="shared" si="66"/>
        <v>3</v>
      </c>
      <c r="K571" s="2532">
        <f t="shared" si="68"/>
        <v>16</v>
      </c>
      <c r="L571" s="736">
        <f t="shared" si="67"/>
        <v>0</v>
      </c>
      <c r="M571" s="2533">
        <f t="shared" si="69"/>
        <v>1</v>
      </c>
      <c r="U571" s="1260">
        <f t="shared" si="64"/>
        <v>50</v>
      </c>
      <c r="V571" s="745">
        <v>4</v>
      </c>
      <c r="W571" s="745">
        <v>0</v>
      </c>
      <c r="X571" s="745">
        <v>0</v>
      </c>
      <c r="Y571" s="1202">
        <v>0</v>
      </c>
    </row>
    <row r="572" spans="5:25" ht="15" x14ac:dyDescent="0.2">
      <c r="E572" s="1201"/>
      <c r="F572" s="745"/>
      <c r="G572" s="745"/>
      <c r="H572" s="1256">
        <f t="shared" si="65"/>
        <v>0</v>
      </c>
      <c r="I572" s="736">
        <v>345</v>
      </c>
      <c r="J572" s="736">
        <f t="shared" si="66"/>
        <v>0</v>
      </c>
      <c r="K572" s="2532">
        <f t="shared" si="68"/>
        <v>17</v>
      </c>
      <c r="L572" s="736">
        <f t="shared" si="67"/>
        <v>1</v>
      </c>
      <c r="M572" s="2533">
        <f t="shared" si="69"/>
        <v>2</v>
      </c>
      <c r="U572" s="1260">
        <f t="shared" si="64"/>
        <v>63</v>
      </c>
      <c r="V572" s="745">
        <v>5</v>
      </c>
      <c r="W572" s="745">
        <v>0</v>
      </c>
      <c r="X572" s="745">
        <v>0</v>
      </c>
      <c r="Y572" s="1202">
        <v>0</v>
      </c>
    </row>
    <row r="573" spans="5:25" ht="15" x14ac:dyDescent="0.2">
      <c r="E573" s="1201"/>
      <c r="F573" s="745"/>
      <c r="G573" s="745"/>
      <c r="H573" s="1256">
        <f t="shared" si="65"/>
        <v>0</v>
      </c>
      <c r="I573" s="736">
        <v>346</v>
      </c>
      <c r="J573" s="736">
        <f t="shared" si="66"/>
        <v>2</v>
      </c>
      <c r="K573" s="2532">
        <f t="shared" si="68"/>
        <v>16</v>
      </c>
      <c r="L573" s="736">
        <f t="shared" si="67"/>
        <v>1</v>
      </c>
      <c r="M573" s="2533">
        <f t="shared" si="69"/>
        <v>1</v>
      </c>
      <c r="U573" s="1260">
        <f t="shared" si="64"/>
        <v>75</v>
      </c>
      <c r="V573" s="745">
        <v>6</v>
      </c>
      <c r="W573" s="745">
        <v>0</v>
      </c>
      <c r="X573" s="745">
        <v>0</v>
      </c>
      <c r="Y573" s="1202">
        <v>0</v>
      </c>
    </row>
    <row r="574" spans="5:25" ht="15" x14ac:dyDescent="0.2">
      <c r="E574" s="1201"/>
      <c r="F574" s="745"/>
      <c r="G574" s="745"/>
      <c r="H574" s="1256">
        <f t="shared" si="65"/>
        <v>0</v>
      </c>
      <c r="I574" s="736">
        <v>347</v>
      </c>
      <c r="J574" s="736">
        <f t="shared" si="66"/>
        <v>3</v>
      </c>
      <c r="K574" s="2532">
        <f t="shared" si="68"/>
        <v>15</v>
      </c>
      <c r="L574" s="736">
        <f t="shared" si="67"/>
        <v>1</v>
      </c>
      <c r="M574" s="2533">
        <f t="shared" si="69"/>
        <v>2</v>
      </c>
      <c r="U574" s="1260">
        <f t="shared" si="64"/>
        <v>88</v>
      </c>
      <c r="V574" s="745">
        <v>7</v>
      </c>
      <c r="W574" s="745">
        <v>0</v>
      </c>
      <c r="X574" s="745">
        <v>0</v>
      </c>
      <c r="Y574" s="1202">
        <v>0</v>
      </c>
    </row>
    <row r="575" spans="5:25" ht="15" x14ac:dyDescent="0.2">
      <c r="E575" s="1201"/>
      <c r="F575" s="745"/>
      <c r="G575" s="745"/>
      <c r="H575" s="1256">
        <f t="shared" si="65"/>
        <v>0</v>
      </c>
      <c r="I575" s="736">
        <v>348</v>
      </c>
      <c r="J575" s="736">
        <f t="shared" si="66"/>
        <v>5</v>
      </c>
      <c r="K575" s="2532">
        <f t="shared" si="68"/>
        <v>14</v>
      </c>
      <c r="L575" s="736">
        <f t="shared" si="67"/>
        <v>1</v>
      </c>
      <c r="M575" s="2533">
        <f t="shared" si="69"/>
        <v>1</v>
      </c>
      <c r="U575" s="1260">
        <f t="shared" si="64"/>
        <v>100</v>
      </c>
      <c r="V575" s="745">
        <v>8</v>
      </c>
      <c r="W575" s="745">
        <v>0</v>
      </c>
      <c r="X575" s="745">
        <v>0</v>
      </c>
      <c r="Y575" s="1202">
        <v>0</v>
      </c>
    </row>
    <row r="576" spans="5:25" ht="15" x14ac:dyDescent="0.2">
      <c r="E576" s="1201"/>
      <c r="F576" s="745"/>
      <c r="G576" s="745"/>
      <c r="H576" s="1256">
        <f t="shared" si="65"/>
        <v>0</v>
      </c>
      <c r="I576" s="736">
        <v>349</v>
      </c>
      <c r="J576" s="736">
        <f t="shared" si="66"/>
        <v>2</v>
      </c>
      <c r="K576" s="2532">
        <f t="shared" si="68"/>
        <v>17</v>
      </c>
      <c r="L576" s="736">
        <f t="shared" si="67"/>
        <v>0</v>
      </c>
      <c r="M576" s="2533">
        <f t="shared" si="69"/>
        <v>1</v>
      </c>
      <c r="U576" s="1260">
        <f t="shared" si="64"/>
        <v>113</v>
      </c>
      <c r="V576" s="745">
        <v>9</v>
      </c>
      <c r="W576" s="745">
        <v>0</v>
      </c>
      <c r="X576" s="745">
        <v>0</v>
      </c>
      <c r="Y576" s="1202">
        <v>0</v>
      </c>
    </row>
    <row r="577" spans="5:25" ht="15" x14ac:dyDescent="0.2">
      <c r="E577" s="1201"/>
      <c r="F577" s="745"/>
      <c r="G577" s="745"/>
      <c r="H577" s="1256">
        <f t="shared" si="65"/>
        <v>0</v>
      </c>
      <c r="I577" s="736">
        <v>350</v>
      </c>
      <c r="J577" s="736">
        <f t="shared" si="66"/>
        <v>28</v>
      </c>
      <c r="K577" s="2532">
        <f t="shared" si="68"/>
        <v>0</v>
      </c>
      <c r="L577" s="736">
        <f t="shared" si="67"/>
        <v>0</v>
      </c>
      <c r="M577" s="2533">
        <f t="shared" si="69"/>
        <v>1</v>
      </c>
      <c r="U577" s="1260">
        <f t="shared" si="64"/>
        <v>125</v>
      </c>
      <c r="V577" s="745">
        <v>10</v>
      </c>
      <c r="W577" s="745">
        <v>0</v>
      </c>
      <c r="X577" s="745">
        <v>0</v>
      </c>
      <c r="Y577" s="1202">
        <v>0</v>
      </c>
    </row>
    <row r="578" spans="5:25" ht="15" x14ac:dyDescent="0.2">
      <c r="E578" s="1201"/>
      <c r="F578" s="745"/>
      <c r="G578" s="745"/>
      <c r="H578" s="1256">
        <f t="shared" si="65"/>
        <v>0</v>
      </c>
      <c r="I578" s="736">
        <v>351</v>
      </c>
      <c r="J578" s="736">
        <f t="shared" si="66"/>
        <v>5</v>
      </c>
      <c r="K578" s="2532">
        <f t="shared" si="68"/>
        <v>15</v>
      </c>
      <c r="L578" s="736">
        <f t="shared" si="67"/>
        <v>0</v>
      </c>
      <c r="M578" s="2533">
        <f t="shared" si="69"/>
        <v>1</v>
      </c>
      <c r="U578" s="1260">
        <f t="shared" si="64"/>
        <v>138</v>
      </c>
      <c r="V578" s="745">
        <v>11</v>
      </c>
      <c r="W578" s="745">
        <v>0</v>
      </c>
      <c r="X578" s="745">
        <v>0</v>
      </c>
      <c r="Y578" s="1202">
        <v>0</v>
      </c>
    </row>
    <row r="579" spans="5:25" ht="15" x14ac:dyDescent="0.2">
      <c r="E579" s="1201"/>
      <c r="F579" s="745"/>
      <c r="G579" s="745"/>
      <c r="H579" s="1256">
        <f t="shared" si="65"/>
        <v>0</v>
      </c>
      <c r="I579" s="736">
        <v>352</v>
      </c>
      <c r="J579" s="736">
        <f t="shared" si="66"/>
        <v>1</v>
      </c>
      <c r="K579" s="2532">
        <f t="shared" si="68"/>
        <v>17</v>
      </c>
      <c r="L579" s="736">
        <f t="shared" si="67"/>
        <v>1</v>
      </c>
      <c r="M579" s="2533">
        <f t="shared" si="69"/>
        <v>1</v>
      </c>
      <c r="U579" s="1260">
        <f t="shared" si="64"/>
        <v>150</v>
      </c>
      <c r="V579" s="745">
        <v>12</v>
      </c>
      <c r="W579" s="745">
        <v>0</v>
      </c>
      <c r="X579" s="745">
        <v>0</v>
      </c>
      <c r="Y579" s="1202">
        <v>0</v>
      </c>
    </row>
    <row r="580" spans="5:25" ht="15" x14ac:dyDescent="0.2">
      <c r="E580" s="1201"/>
      <c r="F580" s="745"/>
      <c r="G580" s="745"/>
      <c r="H580" s="1256">
        <f t="shared" si="65"/>
        <v>0</v>
      </c>
      <c r="I580" s="736">
        <v>353</v>
      </c>
      <c r="J580" s="736">
        <f t="shared" si="66"/>
        <v>4</v>
      </c>
      <c r="K580" s="2532">
        <f t="shared" si="68"/>
        <v>15</v>
      </c>
      <c r="L580" s="736">
        <f t="shared" si="67"/>
        <v>1</v>
      </c>
      <c r="M580" s="2533">
        <f t="shared" si="69"/>
        <v>1</v>
      </c>
      <c r="U580" s="1260">
        <f t="shared" si="64"/>
        <v>163</v>
      </c>
      <c r="V580" s="745">
        <v>13</v>
      </c>
      <c r="W580" s="745">
        <v>0</v>
      </c>
      <c r="X580" s="745">
        <v>0</v>
      </c>
      <c r="Y580" s="1202">
        <v>0</v>
      </c>
    </row>
    <row r="581" spans="5:25" ht="15" x14ac:dyDescent="0.2">
      <c r="E581" s="1201"/>
      <c r="F581" s="745"/>
      <c r="G581" s="745"/>
      <c r="H581" s="1256">
        <f t="shared" si="65"/>
        <v>0</v>
      </c>
      <c r="I581" s="736">
        <v>354</v>
      </c>
      <c r="J581" s="736">
        <f t="shared" si="66"/>
        <v>5</v>
      </c>
      <c r="K581" s="2532">
        <f t="shared" si="68"/>
        <v>14</v>
      </c>
      <c r="L581" s="736">
        <f t="shared" si="67"/>
        <v>1</v>
      </c>
      <c r="M581" s="2533">
        <f t="shared" si="69"/>
        <v>2</v>
      </c>
      <c r="U581" s="1260">
        <f t="shared" si="64"/>
        <v>175</v>
      </c>
      <c r="V581" s="745">
        <v>14</v>
      </c>
      <c r="W581" s="745">
        <v>0</v>
      </c>
      <c r="X581" s="745">
        <v>0</v>
      </c>
      <c r="Y581" s="1202">
        <v>0</v>
      </c>
    </row>
    <row r="582" spans="5:25" ht="15" x14ac:dyDescent="0.2">
      <c r="E582" s="1201"/>
      <c r="F582" s="745"/>
      <c r="G582" s="745"/>
      <c r="H582" s="1256">
        <f t="shared" si="65"/>
        <v>0</v>
      </c>
      <c r="I582" s="736">
        <v>355</v>
      </c>
      <c r="J582" s="736">
        <f t="shared" si="66"/>
        <v>1</v>
      </c>
      <c r="K582" s="2532">
        <f t="shared" si="68"/>
        <v>18</v>
      </c>
      <c r="L582" s="736">
        <f t="shared" si="67"/>
        <v>0</v>
      </c>
      <c r="M582" s="2533">
        <f t="shared" si="69"/>
        <v>1</v>
      </c>
      <c r="U582" s="1260">
        <f t="shared" si="64"/>
        <v>188</v>
      </c>
      <c r="V582" s="745">
        <v>15</v>
      </c>
      <c r="W582" s="745">
        <v>0</v>
      </c>
      <c r="X582" s="745">
        <v>0</v>
      </c>
      <c r="Y582" s="1202">
        <v>0</v>
      </c>
    </row>
    <row r="583" spans="5:25" ht="15" x14ac:dyDescent="0.2">
      <c r="E583" s="1201"/>
      <c r="F583" s="745"/>
      <c r="G583" s="745"/>
      <c r="H583" s="1256">
        <f t="shared" si="65"/>
        <v>0</v>
      </c>
      <c r="I583" s="736">
        <v>356</v>
      </c>
      <c r="J583" s="736">
        <f t="shared" si="66"/>
        <v>4</v>
      </c>
      <c r="K583" s="2532">
        <f t="shared" si="68"/>
        <v>16</v>
      </c>
      <c r="L583" s="736">
        <f t="shared" si="67"/>
        <v>0</v>
      </c>
      <c r="M583" s="2533">
        <f t="shared" si="69"/>
        <v>1</v>
      </c>
      <c r="U583" s="1260">
        <f t="shared" si="64"/>
        <v>200</v>
      </c>
      <c r="V583" s="745">
        <v>16</v>
      </c>
      <c r="W583" s="745">
        <v>0</v>
      </c>
      <c r="X583" s="745">
        <v>0</v>
      </c>
      <c r="Y583" s="1202">
        <v>0</v>
      </c>
    </row>
    <row r="584" spans="5:25" ht="15" x14ac:dyDescent="0.2">
      <c r="E584" s="1201"/>
      <c r="F584" s="745"/>
      <c r="G584" s="745"/>
      <c r="H584" s="1256">
        <f t="shared" si="65"/>
        <v>0</v>
      </c>
      <c r="I584" s="736">
        <v>357</v>
      </c>
      <c r="J584" s="736">
        <f t="shared" si="66"/>
        <v>0</v>
      </c>
      <c r="K584" s="2532">
        <f t="shared" si="68"/>
        <v>18</v>
      </c>
      <c r="L584" s="736">
        <f t="shared" si="67"/>
        <v>1</v>
      </c>
      <c r="M584" s="2533">
        <f t="shared" si="69"/>
        <v>1</v>
      </c>
      <c r="U584" s="1260">
        <f t="shared" si="64"/>
        <v>213</v>
      </c>
      <c r="V584" s="745">
        <v>17</v>
      </c>
      <c r="W584" s="745">
        <v>0</v>
      </c>
      <c r="X584" s="745">
        <v>0</v>
      </c>
      <c r="Y584" s="1202">
        <v>0</v>
      </c>
    </row>
    <row r="585" spans="5:25" ht="15" x14ac:dyDescent="0.2">
      <c r="E585" s="1201"/>
      <c r="F585" s="745"/>
      <c r="G585" s="745"/>
      <c r="H585" s="1256">
        <f t="shared" si="65"/>
        <v>0</v>
      </c>
      <c r="I585" s="736">
        <v>358</v>
      </c>
      <c r="J585" s="736">
        <f t="shared" si="66"/>
        <v>1</v>
      </c>
      <c r="K585" s="2532">
        <f t="shared" si="68"/>
        <v>17</v>
      </c>
      <c r="L585" s="736">
        <f t="shared" si="67"/>
        <v>1</v>
      </c>
      <c r="M585" s="2533">
        <f t="shared" si="69"/>
        <v>2</v>
      </c>
      <c r="U585" s="1260">
        <f t="shared" si="64"/>
        <v>225</v>
      </c>
      <c r="V585" s="745">
        <v>18</v>
      </c>
      <c r="W585" s="745">
        <v>0</v>
      </c>
      <c r="X585" s="745">
        <v>0</v>
      </c>
      <c r="Y585" s="1202">
        <v>0</v>
      </c>
    </row>
    <row r="586" spans="5:25" ht="15" x14ac:dyDescent="0.2">
      <c r="E586" s="1201"/>
      <c r="F586" s="745"/>
      <c r="G586" s="745"/>
      <c r="H586" s="1256">
        <f t="shared" si="65"/>
        <v>0</v>
      </c>
      <c r="I586" s="736">
        <v>359</v>
      </c>
      <c r="J586" s="736">
        <f t="shared" si="66"/>
        <v>3</v>
      </c>
      <c r="K586" s="2532">
        <f t="shared" si="68"/>
        <v>16</v>
      </c>
      <c r="L586" s="736">
        <f t="shared" si="67"/>
        <v>1</v>
      </c>
      <c r="M586" s="2533">
        <f t="shared" si="69"/>
        <v>1</v>
      </c>
      <c r="U586" s="1260">
        <f t="shared" si="64"/>
        <v>238</v>
      </c>
      <c r="V586" s="745">
        <v>19</v>
      </c>
      <c r="W586" s="745">
        <v>0</v>
      </c>
      <c r="X586" s="745">
        <v>0</v>
      </c>
      <c r="Y586" s="1202">
        <v>0</v>
      </c>
    </row>
    <row r="587" spans="5:25" ht="15" x14ac:dyDescent="0.2">
      <c r="E587" s="1201"/>
      <c r="F587" s="745"/>
      <c r="G587" s="745"/>
      <c r="H587" s="1256">
        <f t="shared" si="65"/>
        <v>0</v>
      </c>
      <c r="I587" s="736">
        <v>360</v>
      </c>
      <c r="J587" s="736">
        <f t="shared" si="66"/>
        <v>0</v>
      </c>
      <c r="K587" s="2532">
        <f t="shared" si="68"/>
        <v>19</v>
      </c>
      <c r="L587" s="736">
        <f t="shared" si="67"/>
        <v>0</v>
      </c>
      <c r="M587" s="2533">
        <f t="shared" si="69"/>
        <v>1</v>
      </c>
      <c r="U587" s="1260">
        <f t="shared" si="64"/>
        <v>250</v>
      </c>
      <c r="V587" s="745">
        <v>20</v>
      </c>
      <c r="W587" s="745">
        <v>0</v>
      </c>
      <c r="X587" s="745">
        <v>0</v>
      </c>
      <c r="Y587" s="1202">
        <v>0</v>
      </c>
    </row>
    <row r="588" spans="5:25" ht="15" x14ac:dyDescent="0.2">
      <c r="E588" s="1201"/>
      <c r="F588" s="745"/>
      <c r="G588" s="745"/>
      <c r="H588" s="1256">
        <f t="shared" si="65"/>
        <v>0</v>
      </c>
      <c r="I588" s="736">
        <v>361</v>
      </c>
      <c r="J588" s="736">
        <f t="shared" si="66"/>
        <v>1</v>
      </c>
      <c r="K588" s="2532">
        <f t="shared" si="68"/>
        <v>18</v>
      </c>
      <c r="L588" s="736">
        <f t="shared" si="67"/>
        <v>0</v>
      </c>
      <c r="M588" s="2533">
        <f t="shared" si="69"/>
        <v>2</v>
      </c>
      <c r="U588" s="1260">
        <f t="shared" si="64"/>
        <v>263</v>
      </c>
      <c r="V588" s="745">
        <v>21</v>
      </c>
      <c r="W588" s="745">
        <v>0</v>
      </c>
      <c r="X588" s="745">
        <v>0</v>
      </c>
      <c r="Y588" s="1202">
        <v>0</v>
      </c>
    </row>
    <row r="589" spans="5:25" ht="15" x14ac:dyDescent="0.2">
      <c r="E589" s="1201"/>
      <c r="F589" s="745"/>
      <c r="G589" s="745"/>
      <c r="H589" s="1256">
        <f t="shared" si="65"/>
        <v>0</v>
      </c>
      <c r="I589" s="736">
        <v>362</v>
      </c>
      <c r="J589" s="736">
        <f t="shared" si="66"/>
        <v>3</v>
      </c>
      <c r="K589" s="2532">
        <f t="shared" si="68"/>
        <v>17</v>
      </c>
      <c r="L589" s="736">
        <f t="shared" si="67"/>
        <v>0</v>
      </c>
      <c r="M589" s="2533">
        <f t="shared" si="69"/>
        <v>1</v>
      </c>
      <c r="U589" s="1260">
        <f t="shared" si="64"/>
        <v>275</v>
      </c>
      <c r="V589" s="745">
        <v>22</v>
      </c>
      <c r="W589" s="745">
        <v>0</v>
      </c>
      <c r="X589" s="745">
        <v>0</v>
      </c>
      <c r="Y589" s="1202">
        <v>0</v>
      </c>
    </row>
    <row r="590" spans="5:25" ht="15" x14ac:dyDescent="0.2">
      <c r="E590" s="1201"/>
      <c r="F590" s="745"/>
      <c r="G590" s="745"/>
      <c r="H590" s="1256">
        <f t="shared" si="65"/>
        <v>0</v>
      </c>
      <c r="I590" s="736">
        <v>363</v>
      </c>
      <c r="J590" s="736">
        <f t="shared" si="66"/>
        <v>29</v>
      </c>
      <c r="K590" s="2532">
        <f t="shared" si="68"/>
        <v>0</v>
      </c>
      <c r="L590" s="736">
        <f t="shared" si="67"/>
        <v>0</v>
      </c>
      <c r="M590" s="2533">
        <f t="shared" si="69"/>
        <v>1</v>
      </c>
      <c r="U590" s="1260">
        <f t="shared" si="64"/>
        <v>288</v>
      </c>
      <c r="V590" s="745">
        <v>23</v>
      </c>
      <c r="W590" s="745">
        <v>0</v>
      </c>
      <c r="X590" s="745">
        <v>0</v>
      </c>
      <c r="Y590" s="1202">
        <v>0</v>
      </c>
    </row>
    <row r="591" spans="5:25" ht="15" x14ac:dyDescent="0.2">
      <c r="E591" s="1201"/>
      <c r="F591" s="745"/>
      <c r="G591" s="745"/>
      <c r="H591" s="1256">
        <f t="shared" si="65"/>
        <v>0</v>
      </c>
      <c r="I591" s="736">
        <v>364</v>
      </c>
      <c r="J591" s="736">
        <f t="shared" si="66"/>
        <v>2</v>
      </c>
      <c r="K591" s="2532">
        <f t="shared" si="68"/>
        <v>17</v>
      </c>
      <c r="L591" s="736">
        <f t="shared" si="67"/>
        <v>1</v>
      </c>
      <c r="M591" s="2533">
        <f t="shared" si="69"/>
        <v>1</v>
      </c>
      <c r="U591" s="1260">
        <f t="shared" si="64"/>
        <v>300</v>
      </c>
      <c r="V591" s="745">
        <v>24</v>
      </c>
      <c r="W591" s="745">
        <v>0</v>
      </c>
      <c r="X591" s="745">
        <v>0</v>
      </c>
      <c r="Y591" s="1202">
        <v>0</v>
      </c>
    </row>
    <row r="592" spans="5:25" ht="15" x14ac:dyDescent="0.2">
      <c r="E592" s="1201"/>
      <c r="F592" s="745"/>
      <c r="G592" s="745"/>
      <c r="H592" s="1256">
        <f t="shared" si="65"/>
        <v>1</v>
      </c>
      <c r="I592" s="736">
        <v>365</v>
      </c>
      <c r="J592" s="736">
        <f t="shared" si="66"/>
        <v>28</v>
      </c>
      <c r="K592" s="2532">
        <f t="shared" si="68"/>
        <v>0</v>
      </c>
      <c r="L592" s="736">
        <f t="shared" si="67"/>
        <v>1</v>
      </c>
      <c r="M592" s="2533">
        <f t="shared" si="69"/>
        <v>1</v>
      </c>
      <c r="U592" s="1260">
        <f t="shared" si="64"/>
        <v>313</v>
      </c>
      <c r="V592" s="745">
        <v>25</v>
      </c>
      <c r="W592" s="745">
        <v>0</v>
      </c>
      <c r="X592" s="745">
        <v>0</v>
      </c>
      <c r="Y592" s="1202">
        <v>0</v>
      </c>
    </row>
    <row r="593" spans="5:25" ht="15" x14ac:dyDescent="0.2">
      <c r="E593" s="1201"/>
      <c r="F593" s="745"/>
      <c r="G593" s="745"/>
      <c r="H593" s="1256">
        <f t="shared" si="65"/>
        <v>0</v>
      </c>
      <c r="I593" s="736">
        <v>366</v>
      </c>
      <c r="J593" s="736">
        <f t="shared" si="66"/>
        <v>5</v>
      </c>
      <c r="K593" s="2532">
        <f t="shared" si="68"/>
        <v>15</v>
      </c>
      <c r="L593" s="736">
        <f t="shared" si="67"/>
        <v>1</v>
      </c>
      <c r="M593" s="2533">
        <f t="shared" si="69"/>
        <v>1</v>
      </c>
      <c r="U593" s="1260">
        <f t="shared" si="64"/>
        <v>325</v>
      </c>
      <c r="V593" s="745">
        <v>26</v>
      </c>
      <c r="W593" s="745">
        <v>0</v>
      </c>
      <c r="X593" s="745">
        <v>0</v>
      </c>
      <c r="Y593" s="1202">
        <v>0</v>
      </c>
    </row>
    <row r="594" spans="5:25" ht="15" x14ac:dyDescent="0.2">
      <c r="E594" s="1201"/>
      <c r="F594" s="745"/>
      <c r="G594" s="745"/>
      <c r="H594" s="1256">
        <f t="shared" si="65"/>
        <v>0</v>
      </c>
      <c r="I594" s="736">
        <v>367</v>
      </c>
      <c r="J594" s="736">
        <f t="shared" si="66"/>
        <v>2</v>
      </c>
      <c r="K594" s="2532">
        <f t="shared" si="68"/>
        <v>18</v>
      </c>
      <c r="L594" s="736">
        <f t="shared" si="67"/>
        <v>0</v>
      </c>
      <c r="M594" s="2533">
        <f t="shared" si="69"/>
        <v>1</v>
      </c>
      <c r="U594" s="1260">
        <f t="shared" si="64"/>
        <v>338</v>
      </c>
      <c r="V594" s="745">
        <v>27</v>
      </c>
      <c r="W594" s="745">
        <v>0</v>
      </c>
      <c r="X594" s="745">
        <v>0</v>
      </c>
      <c r="Y594" s="1202">
        <v>0</v>
      </c>
    </row>
    <row r="595" spans="5:25" ht="15" x14ac:dyDescent="0.2">
      <c r="E595" s="1201"/>
      <c r="F595" s="745"/>
      <c r="G595" s="745"/>
      <c r="H595" s="1256">
        <f t="shared" si="65"/>
        <v>0</v>
      </c>
      <c r="I595" s="736">
        <v>368</v>
      </c>
      <c r="J595" s="736">
        <f t="shared" si="66"/>
        <v>3</v>
      </c>
      <c r="K595" s="2532">
        <f t="shared" si="68"/>
        <v>17</v>
      </c>
      <c r="L595" s="736">
        <f t="shared" si="67"/>
        <v>0</v>
      </c>
      <c r="M595" s="2533">
        <f t="shared" si="69"/>
        <v>2</v>
      </c>
      <c r="U595" s="1260">
        <f t="shared" si="64"/>
        <v>350</v>
      </c>
      <c r="V595" s="745">
        <v>28</v>
      </c>
      <c r="W595" s="745">
        <v>0</v>
      </c>
      <c r="X595" s="745">
        <v>0</v>
      </c>
      <c r="Y595" s="1202">
        <v>0</v>
      </c>
    </row>
    <row r="596" spans="5:25" ht="15" x14ac:dyDescent="0.2">
      <c r="E596" s="1201"/>
      <c r="F596" s="745"/>
      <c r="G596" s="745"/>
      <c r="H596" s="1256">
        <f t="shared" si="65"/>
        <v>0</v>
      </c>
      <c r="I596" s="736">
        <v>369</v>
      </c>
      <c r="J596" s="736">
        <f t="shared" si="66"/>
        <v>5</v>
      </c>
      <c r="K596" s="2532">
        <f t="shared" si="68"/>
        <v>16</v>
      </c>
      <c r="L596" s="736">
        <f t="shared" si="67"/>
        <v>0</v>
      </c>
      <c r="M596" s="2533">
        <f t="shared" si="69"/>
        <v>1</v>
      </c>
      <c r="U596" s="1260">
        <f t="shared" si="64"/>
        <v>363</v>
      </c>
      <c r="V596" s="745">
        <v>29</v>
      </c>
      <c r="W596" s="745">
        <v>0</v>
      </c>
      <c r="X596" s="745">
        <v>0</v>
      </c>
      <c r="Y596" s="1202">
        <v>0</v>
      </c>
    </row>
    <row r="597" spans="5:25" ht="15" x14ac:dyDescent="0.2">
      <c r="E597" s="1201"/>
      <c r="F597" s="745"/>
      <c r="G597" s="745"/>
      <c r="H597" s="1256">
        <f t="shared" si="65"/>
        <v>0</v>
      </c>
      <c r="I597" s="736">
        <v>370</v>
      </c>
      <c r="J597" s="736">
        <f t="shared" si="66"/>
        <v>1</v>
      </c>
      <c r="K597" s="2532">
        <f t="shared" si="68"/>
        <v>18</v>
      </c>
      <c r="L597" s="736">
        <f t="shared" si="67"/>
        <v>1</v>
      </c>
      <c r="M597" s="2533">
        <f t="shared" si="69"/>
        <v>1</v>
      </c>
      <c r="U597" s="1260">
        <f t="shared" si="64"/>
        <v>375</v>
      </c>
      <c r="V597" s="745">
        <v>30</v>
      </c>
      <c r="W597" s="745">
        <v>0</v>
      </c>
      <c r="X597" s="745">
        <v>0</v>
      </c>
      <c r="Y597" s="1202">
        <v>0</v>
      </c>
    </row>
    <row r="598" spans="5:25" ht="15" x14ac:dyDescent="0.2">
      <c r="E598" s="1201"/>
      <c r="F598" s="745"/>
      <c r="G598" s="745"/>
      <c r="H598" s="1256">
        <f t="shared" si="65"/>
        <v>0</v>
      </c>
      <c r="I598" s="736">
        <v>371</v>
      </c>
      <c r="J598" s="736">
        <f t="shared" si="66"/>
        <v>4</v>
      </c>
      <c r="K598" s="2532">
        <f t="shared" si="68"/>
        <v>16</v>
      </c>
      <c r="L598" s="736">
        <f t="shared" si="67"/>
        <v>1</v>
      </c>
      <c r="M598" s="2533">
        <f t="shared" si="69"/>
        <v>1</v>
      </c>
      <c r="U598" s="1260">
        <f t="shared" si="64"/>
        <v>388</v>
      </c>
      <c r="V598" s="745">
        <v>31</v>
      </c>
      <c r="W598" s="745">
        <v>0</v>
      </c>
      <c r="X598" s="745">
        <v>0</v>
      </c>
      <c r="Y598" s="1202">
        <v>0</v>
      </c>
    </row>
    <row r="599" spans="5:25" ht="15" x14ac:dyDescent="0.2">
      <c r="E599" s="1201"/>
      <c r="F599" s="745"/>
      <c r="G599" s="745"/>
      <c r="H599" s="1256">
        <f t="shared" si="65"/>
        <v>0</v>
      </c>
      <c r="I599" s="736">
        <v>372</v>
      </c>
      <c r="J599" s="736">
        <f t="shared" si="66"/>
        <v>5</v>
      </c>
      <c r="K599" s="2532">
        <f t="shared" si="68"/>
        <v>15</v>
      </c>
      <c r="L599" s="736">
        <f t="shared" si="67"/>
        <v>1</v>
      </c>
      <c r="M599" s="2533">
        <f t="shared" si="69"/>
        <v>2</v>
      </c>
      <c r="U599" s="1260">
        <f t="shared" si="64"/>
        <v>400</v>
      </c>
      <c r="V599" s="745">
        <v>32</v>
      </c>
      <c r="W599" s="745">
        <v>0</v>
      </c>
      <c r="X599" s="745">
        <v>0</v>
      </c>
      <c r="Y599" s="1202">
        <v>0</v>
      </c>
    </row>
    <row r="600" spans="5:25" ht="15" x14ac:dyDescent="0.2">
      <c r="E600" s="1201"/>
      <c r="F600" s="745"/>
      <c r="G600" s="745"/>
      <c r="H600" s="1256">
        <f t="shared" ref="H600:H622" si="70">IF($H$298=I600,1,0)</f>
        <v>0</v>
      </c>
      <c r="I600" s="736">
        <v>373</v>
      </c>
      <c r="J600" s="736">
        <f t="shared" si="66"/>
        <v>1</v>
      </c>
      <c r="K600" s="2532">
        <f t="shared" si="68"/>
        <v>19</v>
      </c>
      <c r="L600" s="736">
        <f t="shared" si="67"/>
        <v>0</v>
      </c>
      <c r="M600" s="2533">
        <f t="shared" si="69"/>
        <v>1</v>
      </c>
      <c r="U600" s="1260">
        <f t="shared" si="64"/>
        <v>413</v>
      </c>
      <c r="V600" s="745">
        <v>33</v>
      </c>
      <c r="W600" s="745">
        <v>0</v>
      </c>
      <c r="X600" s="745">
        <v>0</v>
      </c>
      <c r="Y600" s="1202">
        <v>0</v>
      </c>
    </row>
    <row r="601" spans="5:25" ht="15" x14ac:dyDescent="0.2">
      <c r="E601" s="1201"/>
      <c r="F601" s="745"/>
      <c r="G601" s="745"/>
      <c r="H601" s="1256">
        <f t="shared" si="70"/>
        <v>0</v>
      </c>
      <c r="I601" s="736">
        <v>374</v>
      </c>
      <c r="J601" s="736">
        <f t="shared" si="66"/>
        <v>4</v>
      </c>
      <c r="K601" s="2532">
        <f t="shared" si="68"/>
        <v>17</v>
      </c>
      <c r="L601" s="736">
        <f t="shared" si="67"/>
        <v>0</v>
      </c>
      <c r="M601" s="2533">
        <f t="shared" si="69"/>
        <v>1</v>
      </c>
      <c r="U601" s="1260">
        <f t="shared" si="64"/>
        <v>425</v>
      </c>
      <c r="V601" s="745">
        <v>34</v>
      </c>
      <c r="W601" s="745">
        <v>0</v>
      </c>
      <c r="X601" s="745">
        <v>0</v>
      </c>
      <c r="Y601" s="1202">
        <v>0</v>
      </c>
    </row>
    <row r="602" spans="5:25" ht="15" x14ac:dyDescent="0.2">
      <c r="E602" s="1201"/>
      <c r="F602" s="745"/>
      <c r="G602" s="745"/>
      <c r="H602" s="1256">
        <f t="shared" si="70"/>
        <v>0</v>
      </c>
      <c r="I602" s="736">
        <v>375</v>
      </c>
      <c r="J602" s="736">
        <f t="shared" si="66"/>
        <v>30</v>
      </c>
      <c r="K602" s="2532">
        <f t="shared" si="68"/>
        <v>0</v>
      </c>
      <c r="L602" s="736">
        <f t="shared" si="67"/>
        <v>0</v>
      </c>
      <c r="M602" s="2533">
        <f t="shared" si="69"/>
        <v>1</v>
      </c>
      <c r="U602" s="1260">
        <f t="shared" si="64"/>
        <v>438</v>
      </c>
      <c r="V602" s="745">
        <v>35</v>
      </c>
      <c r="W602" s="745">
        <v>0</v>
      </c>
      <c r="X602" s="745">
        <v>0</v>
      </c>
      <c r="Y602" s="1202">
        <v>0</v>
      </c>
    </row>
    <row r="603" spans="5:25" ht="15" x14ac:dyDescent="0.2">
      <c r="E603" s="1201"/>
      <c r="F603" s="745"/>
      <c r="G603" s="745"/>
      <c r="H603" s="1256">
        <f t="shared" si="70"/>
        <v>0</v>
      </c>
      <c r="I603" s="736">
        <v>376</v>
      </c>
      <c r="J603" s="736">
        <f t="shared" si="66"/>
        <v>1</v>
      </c>
      <c r="K603" s="2532">
        <f t="shared" si="68"/>
        <v>18</v>
      </c>
      <c r="L603" s="736">
        <f t="shared" si="67"/>
        <v>1</v>
      </c>
      <c r="M603" s="2533">
        <f t="shared" si="69"/>
        <v>2</v>
      </c>
      <c r="U603" s="1260">
        <f t="shared" si="64"/>
        <v>450</v>
      </c>
      <c r="V603" s="745">
        <v>36</v>
      </c>
      <c r="W603" s="745">
        <v>0</v>
      </c>
      <c r="X603" s="745">
        <v>0</v>
      </c>
      <c r="Y603" s="1202">
        <v>0</v>
      </c>
    </row>
    <row r="604" spans="5:25" ht="15" x14ac:dyDescent="0.2">
      <c r="E604" s="1201"/>
      <c r="F604" s="745"/>
      <c r="G604" s="745"/>
      <c r="H604" s="1256">
        <f t="shared" si="70"/>
        <v>0</v>
      </c>
      <c r="I604" s="736">
        <v>377</v>
      </c>
      <c r="J604" s="736">
        <f t="shared" si="66"/>
        <v>3</v>
      </c>
      <c r="K604" s="2532">
        <f t="shared" si="68"/>
        <v>17</v>
      </c>
      <c r="L604" s="736">
        <f t="shared" si="67"/>
        <v>1</v>
      </c>
      <c r="M604" s="2533">
        <f t="shared" si="69"/>
        <v>1</v>
      </c>
      <c r="U604" s="1260">
        <f t="shared" si="64"/>
        <v>463</v>
      </c>
      <c r="V604" s="745">
        <v>37</v>
      </c>
      <c r="W604" s="745">
        <v>0</v>
      </c>
      <c r="X604" s="745">
        <v>0</v>
      </c>
      <c r="Y604" s="1202">
        <v>0</v>
      </c>
    </row>
    <row r="605" spans="5:25" ht="15" x14ac:dyDescent="0.2">
      <c r="E605" s="1201"/>
      <c r="F605" s="745"/>
      <c r="G605" s="745"/>
      <c r="H605" s="1256">
        <f t="shared" si="70"/>
        <v>0</v>
      </c>
      <c r="I605" s="736">
        <v>378</v>
      </c>
      <c r="J605" s="736">
        <f t="shared" si="66"/>
        <v>0</v>
      </c>
      <c r="K605" s="2532">
        <f t="shared" si="68"/>
        <v>20</v>
      </c>
      <c r="L605" s="736">
        <f t="shared" si="67"/>
        <v>0</v>
      </c>
      <c r="M605" s="2533">
        <f t="shared" si="69"/>
        <v>1</v>
      </c>
      <c r="U605" s="1260">
        <f t="shared" si="64"/>
        <v>475</v>
      </c>
      <c r="V605" s="745">
        <v>38</v>
      </c>
      <c r="W605" s="745">
        <v>0</v>
      </c>
      <c r="X605" s="745">
        <v>0</v>
      </c>
      <c r="Y605" s="1202">
        <v>0</v>
      </c>
    </row>
    <row r="606" spans="5:25" ht="15" x14ac:dyDescent="0.2">
      <c r="E606" s="1201"/>
      <c r="F606" s="745"/>
      <c r="G606" s="745"/>
      <c r="H606" s="1256">
        <f t="shared" si="70"/>
        <v>0</v>
      </c>
      <c r="I606" s="736">
        <v>379</v>
      </c>
      <c r="J606" s="736">
        <f t="shared" si="66"/>
        <v>1</v>
      </c>
      <c r="K606" s="2532">
        <f t="shared" si="68"/>
        <v>19</v>
      </c>
      <c r="L606" s="736">
        <f t="shared" si="67"/>
        <v>0</v>
      </c>
      <c r="M606" s="2533">
        <f t="shared" si="69"/>
        <v>2</v>
      </c>
      <c r="U606" s="1260">
        <f t="shared" si="64"/>
        <v>488</v>
      </c>
      <c r="V606" s="745">
        <v>39</v>
      </c>
      <c r="W606" s="745">
        <v>0</v>
      </c>
      <c r="X606" s="745">
        <v>0</v>
      </c>
      <c r="Y606" s="1202">
        <v>0</v>
      </c>
    </row>
    <row r="607" spans="5:25" ht="15" x14ac:dyDescent="0.2">
      <c r="E607" s="1201"/>
      <c r="F607" s="745"/>
      <c r="G607" s="745"/>
      <c r="H607" s="1256">
        <f t="shared" si="70"/>
        <v>0</v>
      </c>
      <c r="I607" s="736">
        <v>380</v>
      </c>
      <c r="J607" s="736">
        <f t="shared" si="66"/>
        <v>3</v>
      </c>
      <c r="K607" s="2532">
        <f t="shared" si="68"/>
        <v>18</v>
      </c>
      <c r="L607" s="736">
        <f t="shared" si="67"/>
        <v>0</v>
      </c>
      <c r="M607" s="2533">
        <f t="shared" si="69"/>
        <v>1</v>
      </c>
      <c r="U607" s="1260">
        <f t="shared" si="64"/>
        <v>500</v>
      </c>
      <c r="V607" s="745">
        <v>40</v>
      </c>
      <c r="W607" s="745">
        <v>0</v>
      </c>
      <c r="X607" s="745">
        <v>0</v>
      </c>
      <c r="Y607" s="1202">
        <v>0</v>
      </c>
    </row>
    <row r="608" spans="5:25" ht="15" x14ac:dyDescent="0.2">
      <c r="E608" s="1201"/>
      <c r="F608" s="745"/>
      <c r="G608" s="745"/>
      <c r="H608" s="1256">
        <f t="shared" si="70"/>
        <v>0</v>
      </c>
      <c r="I608" s="736">
        <v>381</v>
      </c>
      <c r="J608" s="736">
        <f t="shared" si="66"/>
        <v>30</v>
      </c>
      <c r="K608" s="2532">
        <f t="shared" si="68"/>
        <v>0</v>
      </c>
      <c r="L608" s="736">
        <f t="shared" si="67"/>
        <v>0</v>
      </c>
      <c r="M608" s="2533">
        <f t="shared" si="69"/>
        <v>2</v>
      </c>
      <c r="U608" s="1260">
        <f t="shared" si="64"/>
        <v>81</v>
      </c>
      <c r="V608" s="745">
        <v>5</v>
      </c>
      <c r="W608" s="745">
        <v>1</v>
      </c>
      <c r="X608" s="745">
        <v>0</v>
      </c>
      <c r="Y608" s="1202">
        <v>0</v>
      </c>
    </row>
    <row r="609" spans="5:25" ht="15" x14ac:dyDescent="0.2">
      <c r="E609" s="1201"/>
      <c r="F609" s="745"/>
      <c r="G609" s="745"/>
      <c r="H609" s="1256">
        <f t="shared" si="70"/>
        <v>0</v>
      </c>
      <c r="I609" s="736">
        <v>382</v>
      </c>
      <c r="J609" s="736">
        <f t="shared" si="66"/>
        <v>2</v>
      </c>
      <c r="K609" s="2532">
        <f t="shared" si="68"/>
        <v>18</v>
      </c>
      <c r="L609" s="736">
        <f t="shared" si="67"/>
        <v>1</v>
      </c>
      <c r="M609" s="2533">
        <f t="shared" si="69"/>
        <v>1</v>
      </c>
      <c r="U609" s="1260">
        <f t="shared" si="64"/>
        <v>99</v>
      </c>
      <c r="V609" s="745">
        <v>5</v>
      </c>
      <c r="W609" s="745">
        <v>2</v>
      </c>
      <c r="X609" s="745">
        <v>0</v>
      </c>
      <c r="Y609" s="1202">
        <v>0</v>
      </c>
    </row>
    <row r="610" spans="5:25" ht="15" x14ac:dyDescent="0.2">
      <c r="E610" s="1201"/>
      <c r="F610" s="745"/>
      <c r="G610" s="745"/>
      <c r="H610" s="1256">
        <f t="shared" si="70"/>
        <v>0</v>
      </c>
      <c r="I610" s="736">
        <v>383</v>
      </c>
      <c r="J610" s="736">
        <f t="shared" si="66"/>
        <v>3</v>
      </c>
      <c r="K610" s="2532">
        <f t="shared" si="68"/>
        <v>17</v>
      </c>
      <c r="L610" s="736">
        <f t="shared" si="67"/>
        <v>1</v>
      </c>
      <c r="M610" s="2533">
        <f t="shared" si="69"/>
        <v>2</v>
      </c>
      <c r="U610" s="1260">
        <f t="shared" si="64"/>
        <v>117</v>
      </c>
      <c r="V610" s="745">
        <v>5</v>
      </c>
      <c r="W610" s="745">
        <v>3</v>
      </c>
      <c r="X610" s="745">
        <v>0</v>
      </c>
      <c r="Y610" s="1202">
        <v>0</v>
      </c>
    </row>
    <row r="611" spans="5:25" ht="15" x14ac:dyDescent="0.2">
      <c r="E611" s="1201"/>
      <c r="F611" s="745"/>
      <c r="G611" s="745"/>
      <c r="H611" s="1256">
        <f t="shared" si="70"/>
        <v>0</v>
      </c>
      <c r="I611" s="736">
        <v>384</v>
      </c>
      <c r="J611" s="736">
        <f t="shared" si="66"/>
        <v>5</v>
      </c>
      <c r="K611" s="2532">
        <f t="shared" si="68"/>
        <v>16</v>
      </c>
      <c r="L611" s="736">
        <f t="shared" si="67"/>
        <v>1</v>
      </c>
      <c r="M611" s="2533">
        <f t="shared" si="69"/>
        <v>1</v>
      </c>
      <c r="U611" s="1260">
        <f t="shared" si="64"/>
        <v>135</v>
      </c>
      <c r="V611" s="745">
        <v>5</v>
      </c>
      <c r="W611" s="745">
        <v>4</v>
      </c>
      <c r="X611" s="745">
        <v>0</v>
      </c>
      <c r="Y611" s="1202">
        <v>0</v>
      </c>
    </row>
    <row r="612" spans="5:25" ht="15" x14ac:dyDescent="0.2">
      <c r="E612" s="1201"/>
      <c r="F612" s="745"/>
      <c r="G612" s="745"/>
      <c r="H612" s="1256">
        <f t="shared" si="70"/>
        <v>0</v>
      </c>
      <c r="I612" s="736">
        <v>385</v>
      </c>
      <c r="J612" s="736">
        <f t="shared" si="66"/>
        <v>2</v>
      </c>
      <c r="K612" s="2532">
        <f t="shared" si="68"/>
        <v>19</v>
      </c>
      <c r="L612" s="736">
        <f t="shared" si="67"/>
        <v>0</v>
      </c>
      <c r="M612" s="2533">
        <f t="shared" si="69"/>
        <v>1</v>
      </c>
      <c r="U612" s="1260">
        <f t="shared" si="64"/>
        <v>153</v>
      </c>
      <c r="V612" s="745">
        <v>5</v>
      </c>
      <c r="W612" s="745">
        <v>5</v>
      </c>
      <c r="X612" s="745">
        <v>0</v>
      </c>
      <c r="Y612" s="1202">
        <v>0</v>
      </c>
    </row>
    <row r="613" spans="5:25" ht="15" x14ac:dyDescent="0.2">
      <c r="E613" s="1201"/>
      <c r="F613" s="745"/>
      <c r="G613" s="745"/>
      <c r="H613" s="1256">
        <f t="shared" si="70"/>
        <v>0</v>
      </c>
      <c r="I613" s="736">
        <v>386</v>
      </c>
      <c r="J613" s="736">
        <f t="shared" si="66"/>
        <v>3</v>
      </c>
      <c r="K613" s="2532">
        <f t="shared" si="68"/>
        <v>18</v>
      </c>
      <c r="L613" s="736">
        <f t="shared" si="67"/>
        <v>0</v>
      </c>
      <c r="M613" s="2533">
        <f t="shared" si="69"/>
        <v>2</v>
      </c>
      <c r="U613" s="1260">
        <f t="shared" si="64"/>
        <v>171</v>
      </c>
      <c r="V613" s="745">
        <v>5</v>
      </c>
      <c r="W613" s="745">
        <v>6</v>
      </c>
      <c r="X613" s="745">
        <v>0</v>
      </c>
      <c r="Y613" s="1202">
        <v>0</v>
      </c>
    </row>
    <row r="614" spans="5:25" ht="15" x14ac:dyDescent="0.2">
      <c r="E614" s="1201"/>
      <c r="F614" s="745"/>
      <c r="G614" s="745"/>
      <c r="H614" s="1256">
        <f t="shared" si="70"/>
        <v>0</v>
      </c>
      <c r="I614" s="736">
        <v>387</v>
      </c>
      <c r="J614" s="736">
        <f t="shared" si="66"/>
        <v>5</v>
      </c>
      <c r="K614" s="2532">
        <f t="shared" si="68"/>
        <v>17</v>
      </c>
      <c r="L614" s="736">
        <f t="shared" si="67"/>
        <v>0</v>
      </c>
      <c r="M614" s="2533">
        <f t="shared" si="69"/>
        <v>1</v>
      </c>
      <c r="U614" s="1260">
        <f t="shared" si="64"/>
        <v>189</v>
      </c>
      <c r="V614" s="745">
        <v>5</v>
      </c>
      <c r="W614" s="745">
        <v>7</v>
      </c>
      <c r="X614" s="745">
        <v>0</v>
      </c>
      <c r="Y614" s="1202">
        <v>0</v>
      </c>
    </row>
    <row r="615" spans="5:25" ht="15" x14ac:dyDescent="0.2">
      <c r="E615" s="1201"/>
      <c r="F615" s="745"/>
      <c r="G615" s="745"/>
      <c r="H615" s="1256">
        <f t="shared" si="70"/>
        <v>0</v>
      </c>
      <c r="I615" s="736">
        <v>388</v>
      </c>
      <c r="J615" s="736">
        <f t="shared" si="66"/>
        <v>31</v>
      </c>
      <c r="K615" s="2532">
        <f t="shared" si="68"/>
        <v>0</v>
      </c>
      <c r="L615" s="736">
        <f t="shared" si="67"/>
        <v>0</v>
      </c>
      <c r="M615" s="2533">
        <f t="shared" si="69"/>
        <v>1</v>
      </c>
      <c r="U615" s="1260">
        <f t="shared" si="64"/>
        <v>207</v>
      </c>
      <c r="V615" s="745">
        <v>5</v>
      </c>
      <c r="W615" s="745">
        <v>8</v>
      </c>
      <c r="X615" s="745">
        <v>0</v>
      </c>
      <c r="Y615" s="1202">
        <v>0</v>
      </c>
    </row>
    <row r="616" spans="5:25" ht="15" x14ac:dyDescent="0.2">
      <c r="E616" s="1201"/>
      <c r="F616" s="745"/>
      <c r="G616" s="745"/>
      <c r="H616" s="1256">
        <f t="shared" si="70"/>
        <v>0</v>
      </c>
      <c r="I616" s="736">
        <v>389</v>
      </c>
      <c r="J616" s="736">
        <f t="shared" si="66"/>
        <v>4</v>
      </c>
      <c r="K616" s="2532">
        <f t="shared" si="68"/>
        <v>17</v>
      </c>
      <c r="L616" s="736">
        <f t="shared" si="67"/>
        <v>1</v>
      </c>
      <c r="M616" s="2533">
        <f t="shared" si="69"/>
        <v>1</v>
      </c>
      <c r="U616" s="1260">
        <f t="shared" ref="U616:U679" si="71">ROUNDUP(W616*$W$294+V616*$V$294+X616*$X$294+Y616*$Y$294,0)</f>
        <v>225</v>
      </c>
      <c r="V616" s="745">
        <v>5</v>
      </c>
      <c r="W616" s="745">
        <v>9</v>
      </c>
      <c r="X616" s="745">
        <v>0</v>
      </c>
      <c r="Y616" s="1202">
        <v>0</v>
      </c>
    </row>
    <row r="617" spans="5:25" ht="15" x14ac:dyDescent="0.2">
      <c r="E617" s="1201"/>
      <c r="F617" s="745"/>
      <c r="G617" s="745"/>
      <c r="H617" s="1256">
        <f t="shared" si="70"/>
        <v>0</v>
      </c>
      <c r="I617" s="736">
        <v>390</v>
      </c>
      <c r="J617" s="736">
        <f t="shared" si="66"/>
        <v>30</v>
      </c>
      <c r="K617" s="2532">
        <f t="shared" si="68"/>
        <v>0</v>
      </c>
      <c r="L617" s="736">
        <f t="shared" si="67"/>
        <v>1</v>
      </c>
      <c r="M617" s="2533">
        <f t="shared" si="69"/>
        <v>1</v>
      </c>
      <c r="U617" s="1260">
        <f t="shared" si="71"/>
        <v>243</v>
      </c>
      <c r="V617" s="745">
        <v>5</v>
      </c>
      <c r="W617" s="745">
        <v>10</v>
      </c>
      <c r="X617" s="745">
        <v>0</v>
      </c>
      <c r="Y617" s="1202">
        <v>0</v>
      </c>
    </row>
    <row r="618" spans="5:25" ht="15" x14ac:dyDescent="0.2">
      <c r="E618" s="1201"/>
      <c r="F618" s="745"/>
      <c r="G618" s="745"/>
      <c r="H618" s="1256">
        <f t="shared" si="70"/>
        <v>0</v>
      </c>
      <c r="I618" s="736">
        <v>391</v>
      </c>
      <c r="J618" s="736">
        <f t="shared" si="66"/>
        <v>1</v>
      </c>
      <c r="K618" s="2532">
        <f t="shared" si="68"/>
        <v>20</v>
      </c>
      <c r="L618" s="736">
        <f t="shared" si="67"/>
        <v>0</v>
      </c>
      <c r="M618" s="2533">
        <f t="shared" si="69"/>
        <v>1</v>
      </c>
      <c r="U618" s="1260">
        <f t="shared" si="71"/>
        <v>261</v>
      </c>
      <c r="V618" s="745">
        <v>5</v>
      </c>
      <c r="W618" s="745">
        <v>11</v>
      </c>
      <c r="X618" s="745">
        <v>0</v>
      </c>
      <c r="Y618" s="1202">
        <v>0</v>
      </c>
    </row>
    <row r="619" spans="5:25" ht="15" x14ac:dyDescent="0.2">
      <c r="E619" s="1201"/>
      <c r="F619" s="745"/>
      <c r="G619" s="745"/>
      <c r="H619" s="1256">
        <f t="shared" si="70"/>
        <v>0</v>
      </c>
      <c r="I619" s="736">
        <v>392</v>
      </c>
      <c r="J619" s="736">
        <f t="shared" si="66"/>
        <v>4</v>
      </c>
      <c r="K619" s="2532">
        <f t="shared" si="68"/>
        <v>18</v>
      </c>
      <c r="L619" s="736">
        <f t="shared" si="67"/>
        <v>0</v>
      </c>
      <c r="M619" s="2533">
        <f t="shared" si="69"/>
        <v>1</v>
      </c>
      <c r="U619" s="1260">
        <f t="shared" si="71"/>
        <v>279</v>
      </c>
      <c r="V619" s="745">
        <v>5</v>
      </c>
      <c r="W619" s="745">
        <v>12</v>
      </c>
      <c r="X619" s="745">
        <v>0</v>
      </c>
      <c r="Y619" s="1202">
        <v>0</v>
      </c>
    </row>
    <row r="620" spans="5:25" ht="15" x14ac:dyDescent="0.2">
      <c r="E620" s="1201"/>
      <c r="F620" s="745"/>
      <c r="G620" s="745"/>
      <c r="H620" s="1256">
        <f t="shared" si="70"/>
        <v>0</v>
      </c>
      <c r="I620" s="736">
        <v>393</v>
      </c>
      <c r="J620" s="736">
        <f t="shared" si="66"/>
        <v>0</v>
      </c>
      <c r="K620" s="2532">
        <f t="shared" si="68"/>
        <v>20</v>
      </c>
      <c r="L620" s="736">
        <f t="shared" si="67"/>
        <v>1</v>
      </c>
      <c r="M620" s="2533">
        <f t="shared" si="69"/>
        <v>1</v>
      </c>
      <c r="U620" s="1260">
        <f t="shared" si="71"/>
        <v>297</v>
      </c>
      <c r="V620" s="745">
        <v>5</v>
      </c>
      <c r="W620" s="745">
        <v>13</v>
      </c>
      <c r="X620" s="745">
        <v>0</v>
      </c>
      <c r="Y620" s="1202">
        <v>0</v>
      </c>
    </row>
    <row r="621" spans="5:25" ht="15" x14ac:dyDescent="0.2">
      <c r="E621" s="1201"/>
      <c r="F621" s="745"/>
      <c r="G621" s="745"/>
      <c r="H621" s="1256">
        <f t="shared" si="70"/>
        <v>0</v>
      </c>
      <c r="I621" s="736">
        <v>394</v>
      </c>
      <c r="J621" s="736">
        <f t="shared" si="66"/>
        <v>31</v>
      </c>
      <c r="K621" s="2532">
        <f t="shared" si="68"/>
        <v>0</v>
      </c>
      <c r="L621" s="736">
        <f t="shared" si="67"/>
        <v>0</v>
      </c>
      <c r="M621" s="2533">
        <f t="shared" si="69"/>
        <v>2</v>
      </c>
      <c r="U621" s="1260">
        <f t="shared" si="71"/>
        <v>315</v>
      </c>
      <c r="V621" s="745">
        <v>5</v>
      </c>
      <c r="W621" s="745">
        <v>14</v>
      </c>
      <c r="X621" s="745">
        <v>0</v>
      </c>
      <c r="Y621" s="1202">
        <v>0</v>
      </c>
    </row>
    <row r="622" spans="5:25" ht="15" x14ac:dyDescent="0.2">
      <c r="E622" s="1201"/>
      <c r="F622" s="745"/>
      <c r="G622" s="745"/>
      <c r="H622" s="1256">
        <f t="shared" si="70"/>
        <v>0</v>
      </c>
      <c r="I622" s="736">
        <v>395</v>
      </c>
      <c r="J622" s="736">
        <f t="shared" ref="J622:J685" si="72">VLOOKUP($I622,$U$295:$Y$1758,2,FALSE)</f>
        <v>3</v>
      </c>
      <c r="K622" s="2532">
        <f t="shared" si="68"/>
        <v>18</v>
      </c>
      <c r="L622" s="736">
        <f t="shared" ref="L622:L685" si="73">VLOOKUP($I622,$U$295:$Y$1758,4,FALSE)</f>
        <v>1</v>
      </c>
      <c r="M622" s="2533">
        <f t="shared" si="69"/>
        <v>1</v>
      </c>
      <c r="U622" s="1260">
        <f t="shared" si="71"/>
        <v>333</v>
      </c>
      <c r="V622" s="745">
        <v>5</v>
      </c>
      <c r="W622" s="745">
        <v>15</v>
      </c>
      <c r="X622" s="745">
        <v>0</v>
      </c>
      <c r="Y622" s="1202">
        <v>0</v>
      </c>
    </row>
    <row r="623" spans="5:25" ht="15" x14ac:dyDescent="0.2">
      <c r="E623" s="1201"/>
      <c r="F623" s="745"/>
      <c r="G623" s="745"/>
      <c r="H623" s="1256">
        <f t="shared" ref="H623:H686" si="74">IF($H$298=I623,1,0)</f>
        <v>0</v>
      </c>
      <c r="I623" s="736">
        <v>396</v>
      </c>
      <c r="J623" s="736">
        <f t="shared" si="72"/>
        <v>0</v>
      </c>
      <c r="K623" s="2532">
        <f t="shared" ref="K623:K686" si="75">IF(VLOOKUP($I623,$U$295:$Y$1758,3,FALSE)&gt;0,VLOOKUP($I623,$U$295:$Y$1758,3,FALSE)-1,VLOOKUP($I623,$U$295:$Y$1758,3,FALSE))</f>
        <v>21</v>
      </c>
      <c r="L623" s="736">
        <f t="shared" si="73"/>
        <v>0</v>
      </c>
      <c r="M623" s="2533">
        <f t="shared" ref="M623:M686" si="76">VLOOKUP($I623,$U$295:$Y$1758,5,FALSE)+1</f>
        <v>1</v>
      </c>
      <c r="U623" s="1260">
        <f t="shared" si="71"/>
        <v>351</v>
      </c>
      <c r="V623" s="745">
        <v>5</v>
      </c>
      <c r="W623" s="745">
        <v>16</v>
      </c>
      <c r="X623" s="745">
        <v>0</v>
      </c>
      <c r="Y623" s="1202">
        <v>0</v>
      </c>
    </row>
    <row r="624" spans="5:25" ht="15" x14ac:dyDescent="0.2">
      <c r="E624" s="1201"/>
      <c r="F624" s="745"/>
      <c r="G624" s="745"/>
      <c r="H624" s="1256">
        <f t="shared" si="74"/>
        <v>0</v>
      </c>
      <c r="I624" s="736">
        <v>397</v>
      </c>
      <c r="J624" s="736">
        <f t="shared" si="72"/>
        <v>1</v>
      </c>
      <c r="K624" s="2532">
        <f t="shared" si="75"/>
        <v>20</v>
      </c>
      <c r="L624" s="736">
        <f t="shared" si="73"/>
        <v>0</v>
      </c>
      <c r="M624" s="2533">
        <f t="shared" si="76"/>
        <v>2</v>
      </c>
      <c r="U624" s="1260">
        <f t="shared" si="71"/>
        <v>369</v>
      </c>
      <c r="V624" s="745">
        <v>5</v>
      </c>
      <c r="W624" s="745">
        <v>17</v>
      </c>
      <c r="X624" s="745">
        <v>0</v>
      </c>
      <c r="Y624" s="1202">
        <v>0</v>
      </c>
    </row>
    <row r="625" spans="5:25" ht="15" x14ac:dyDescent="0.2">
      <c r="E625" s="1201"/>
      <c r="F625" s="745"/>
      <c r="G625" s="745"/>
      <c r="H625" s="1256">
        <f t="shared" si="74"/>
        <v>0</v>
      </c>
      <c r="I625" s="736">
        <v>398</v>
      </c>
      <c r="J625" s="736">
        <f t="shared" si="72"/>
        <v>3</v>
      </c>
      <c r="K625" s="2532">
        <f t="shared" si="75"/>
        <v>19</v>
      </c>
      <c r="L625" s="736">
        <f t="shared" si="73"/>
        <v>0</v>
      </c>
      <c r="M625" s="2533">
        <f t="shared" si="76"/>
        <v>1</v>
      </c>
      <c r="U625" s="1260">
        <f t="shared" si="71"/>
        <v>387</v>
      </c>
      <c r="V625" s="745">
        <v>5</v>
      </c>
      <c r="W625" s="745">
        <v>18</v>
      </c>
      <c r="X625" s="745">
        <v>0</v>
      </c>
      <c r="Y625" s="1202">
        <v>0</v>
      </c>
    </row>
    <row r="626" spans="5:25" ht="15" x14ac:dyDescent="0.2">
      <c r="E626" s="1201"/>
      <c r="F626" s="745"/>
      <c r="G626" s="745"/>
      <c r="H626" s="1256">
        <f t="shared" si="74"/>
        <v>0</v>
      </c>
      <c r="I626" s="736">
        <v>399</v>
      </c>
      <c r="J626" s="736">
        <f t="shared" si="72"/>
        <v>0</v>
      </c>
      <c r="K626" s="2532">
        <f t="shared" si="75"/>
        <v>20</v>
      </c>
      <c r="L626" s="736">
        <f t="shared" si="73"/>
        <v>1</v>
      </c>
      <c r="M626" s="2533">
        <f t="shared" si="76"/>
        <v>2</v>
      </c>
      <c r="U626" s="1260">
        <f t="shared" si="71"/>
        <v>405</v>
      </c>
      <c r="V626" s="745">
        <v>5</v>
      </c>
      <c r="W626" s="745">
        <v>19</v>
      </c>
      <c r="X626" s="745">
        <v>0</v>
      </c>
      <c r="Y626" s="1202">
        <v>0</v>
      </c>
    </row>
    <row r="627" spans="5:25" ht="15" x14ac:dyDescent="0.2">
      <c r="E627" s="1201"/>
      <c r="F627" s="745"/>
      <c r="G627" s="745"/>
      <c r="H627" s="1256">
        <f t="shared" si="74"/>
        <v>0</v>
      </c>
      <c r="I627" s="736">
        <v>400</v>
      </c>
      <c r="J627" s="736">
        <f t="shared" si="72"/>
        <v>32</v>
      </c>
      <c r="K627" s="2532">
        <f t="shared" si="75"/>
        <v>0</v>
      </c>
      <c r="L627" s="736">
        <f t="shared" si="73"/>
        <v>0</v>
      </c>
      <c r="M627" s="2533">
        <f t="shared" si="76"/>
        <v>1</v>
      </c>
      <c r="U627" s="1260">
        <f t="shared" si="71"/>
        <v>423</v>
      </c>
      <c r="V627" s="745">
        <v>5</v>
      </c>
      <c r="W627" s="745">
        <v>20</v>
      </c>
      <c r="X627" s="745">
        <v>0</v>
      </c>
      <c r="Y627" s="1202">
        <v>0</v>
      </c>
    </row>
    <row r="628" spans="5:25" ht="15" x14ac:dyDescent="0.2">
      <c r="E628" s="1201"/>
      <c r="F628" s="745"/>
      <c r="G628" s="745"/>
      <c r="H628" s="1256">
        <f t="shared" si="74"/>
        <v>0</v>
      </c>
      <c r="I628" s="736">
        <v>401</v>
      </c>
      <c r="J628" s="736">
        <f t="shared" si="72"/>
        <v>3</v>
      </c>
      <c r="K628" s="2532">
        <f t="shared" si="75"/>
        <v>18</v>
      </c>
      <c r="L628" s="736">
        <f t="shared" si="73"/>
        <v>1</v>
      </c>
      <c r="M628" s="2533">
        <f t="shared" si="76"/>
        <v>2</v>
      </c>
      <c r="U628" s="1260">
        <f t="shared" si="71"/>
        <v>441</v>
      </c>
      <c r="V628" s="745">
        <v>5</v>
      </c>
      <c r="W628" s="745">
        <v>21</v>
      </c>
      <c r="X628" s="745">
        <v>0</v>
      </c>
      <c r="Y628" s="1202">
        <v>0</v>
      </c>
    </row>
    <row r="629" spans="5:25" ht="15" x14ac:dyDescent="0.2">
      <c r="E629" s="1201"/>
      <c r="F629" s="745"/>
      <c r="G629" s="745"/>
      <c r="H629" s="1256">
        <f t="shared" si="74"/>
        <v>0</v>
      </c>
      <c r="I629" s="736">
        <v>402</v>
      </c>
      <c r="J629" s="736">
        <f t="shared" si="72"/>
        <v>5</v>
      </c>
      <c r="K629" s="2532">
        <f t="shared" si="75"/>
        <v>17</v>
      </c>
      <c r="L629" s="736">
        <f t="shared" si="73"/>
        <v>1</v>
      </c>
      <c r="M629" s="2533">
        <f t="shared" si="76"/>
        <v>1</v>
      </c>
      <c r="U629" s="1260">
        <f t="shared" si="71"/>
        <v>459</v>
      </c>
      <c r="V629" s="745">
        <v>5</v>
      </c>
      <c r="W629" s="745">
        <v>22</v>
      </c>
      <c r="X629" s="745">
        <v>0</v>
      </c>
      <c r="Y629" s="1202">
        <v>0</v>
      </c>
    </row>
    <row r="630" spans="5:25" ht="15" x14ac:dyDescent="0.2">
      <c r="E630" s="1201"/>
      <c r="F630" s="745"/>
      <c r="G630" s="745"/>
      <c r="H630" s="1256">
        <f t="shared" si="74"/>
        <v>0</v>
      </c>
      <c r="I630" s="736">
        <v>403</v>
      </c>
      <c r="J630" s="736">
        <f t="shared" si="72"/>
        <v>2</v>
      </c>
      <c r="K630" s="2532">
        <f t="shared" si="75"/>
        <v>20</v>
      </c>
      <c r="L630" s="736">
        <f t="shared" si="73"/>
        <v>0</v>
      </c>
      <c r="M630" s="2533">
        <f t="shared" si="76"/>
        <v>1</v>
      </c>
      <c r="U630" s="1260">
        <f t="shared" si="71"/>
        <v>477</v>
      </c>
      <c r="V630" s="745">
        <v>5</v>
      </c>
      <c r="W630" s="745">
        <v>23</v>
      </c>
      <c r="X630" s="745">
        <v>0</v>
      </c>
      <c r="Y630" s="1202">
        <v>0</v>
      </c>
    </row>
    <row r="631" spans="5:25" ht="15" x14ac:dyDescent="0.2">
      <c r="E631" s="1201"/>
      <c r="F631" s="745"/>
      <c r="G631" s="745"/>
      <c r="H631" s="1256">
        <f t="shared" si="74"/>
        <v>0</v>
      </c>
      <c r="I631" s="736">
        <v>404</v>
      </c>
      <c r="J631" s="736">
        <f t="shared" si="72"/>
        <v>3</v>
      </c>
      <c r="K631" s="2532">
        <f t="shared" si="75"/>
        <v>19</v>
      </c>
      <c r="L631" s="736">
        <f t="shared" si="73"/>
        <v>0</v>
      </c>
      <c r="M631" s="2533">
        <f t="shared" si="76"/>
        <v>2</v>
      </c>
      <c r="U631" s="1260">
        <f t="shared" si="71"/>
        <v>495</v>
      </c>
      <c r="V631" s="745">
        <v>5</v>
      </c>
      <c r="W631" s="745">
        <v>24</v>
      </c>
      <c r="X631" s="745">
        <v>0</v>
      </c>
      <c r="Y631" s="1202">
        <v>0</v>
      </c>
    </row>
    <row r="632" spans="5:25" ht="15" x14ac:dyDescent="0.2">
      <c r="E632" s="1201"/>
      <c r="F632" s="745"/>
      <c r="G632" s="745"/>
      <c r="H632" s="1256">
        <f t="shared" si="74"/>
        <v>0</v>
      </c>
      <c r="I632" s="736">
        <v>405</v>
      </c>
      <c r="J632" s="736">
        <f t="shared" si="72"/>
        <v>5</v>
      </c>
      <c r="K632" s="2532">
        <f t="shared" si="75"/>
        <v>18</v>
      </c>
      <c r="L632" s="736">
        <f t="shared" si="73"/>
        <v>0</v>
      </c>
      <c r="M632" s="2533">
        <f t="shared" si="76"/>
        <v>1</v>
      </c>
      <c r="U632" s="1260">
        <f t="shared" si="71"/>
        <v>513</v>
      </c>
      <c r="V632" s="745">
        <v>5</v>
      </c>
      <c r="W632" s="745">
        <v>25</v>
      </c>
      <c r="X632" s="745">
        <v>0</v>
      </c>
      <c r="Y632" s="1202">
        <v>0</v>
      </c>
    </row>
    <row r="633" spans="5:25" ht="15" x14ac:dyDescent="0.2">
      <c r="E633" s="1201"/>
      <c r="F633" s="745"/>
      <c r="G633" s="745"/>
      <c r="H633" s="1256">
        <f t="shared" si="74"/>
        <v>0</v>
      </c>
      <c r="I633" s="736">
        <v>406</v>
      </c>
      <c r="J633" s="736">
        <f t="shared" si="72"/>
        <v>1</v>
      </c>
      <c r="K633" s="2532">
        <f t="shared" si="75"/>
        <v>20</v>
      </c>
      <c r="L633" s="736">
        <f t="shared" si="73"/>
        <v>1</v>
      </c>
      <c r="M633" s="2533">
        <f t="shared" si="76"/>
        <v>1</v>
      </c>
      <c r="U633" s="1260">
        <f t="shared" si="71"/>
        <v>531</v>
      </c>
      <c r="V633" s="745">
        <v>5</v>
      </c>
      <c r="W633" s="745">
        <v>26</v>
      </c>
      <c r="X633" s="745">
        <v>0</v>
      </c>
      <c r="Y633" s="1202">
        <v>0</v>
      </c>
    </row>
    <row r="634" spans="5:25" ht="15" x14ac:dyDescent="0.2">
      <c r="E634" s="1201"/>
      <c r="F634" s="745"/>
      <c r="G634" s="745"/>
      <c r="H634" s="1256">
        <f t="shared" si="74"/>
        <v>0</v>
      </c>
      <c r="I634" s="736">
        <v>407</v>
      </c>
      <c r="J634" s="736">
        <f t="shared" si="72"/>
        <v>4</v>
      </c>
      <c r="K634" s="2532">
        <f t="shared" si="75"/>
        <v>18</v>
      </c>
      <c r="L634" s="736">
        <f t="shared" si="73"/>
        <v>1</v>
      </c>
      <c r="M634" s="2533">
        <f t="shared" si="76"/>
        <v>1</v>
      </c>
      <c r="U634" s="1260">
        <f t="shared" si="71"/>
        <v>549</v>
      </c>
      <c r="V634" s="745">
        <v>5</v>
      </c>
      <c r="W634" s="745">
        <v>27</v>
      </c>
      <c r="X634" s="745">
        <v>0</v>
      </c>
      <c r="Y634" s="1202">
        <v>0</v>
      </c>
    </row>
    <row r="635" spans="5:25" ht="15" x14ac:dyDescent="0.2">
      <c r="E635" s="1201"/>
      <c r="F635" s="745"/>
      <c r="G635" s="745"/>
      <c r="H635" s="1256">
        <f t="shared" si="74"/>
        <v>0</v>
      </c>
      <c r="I635" s="736">
        <v>408</v>
      </c>
      <c r="J635" s="736">
        <f t="shared" si="72"/>
        <v>5</v>
      </c>
      <c r="K635" s="2532">
        <f t="shared" si="75"/>
        <v>17</v>
      </c>
      <c r="L635" s="736">
        <f t="shared" si="73"/>
        <v>1</v>
      </c>
      <c r="M635" s="2533">
        <f t="shared" si="76"/>
        <v>2</v>
      </c>
      <c r="U635" s="1260">
        <f t="shared" si="71"/>
        <v>567</v>
      </c>
      <c r="V635" s="745">
        <v>5</v>
      </c>
      <c r="W635" s="745">
        <v>28</v>
      </c>
      <c r="X635" s="745">
        <v>0</v>
      </c>
      <c r="Y635" s="1202">
        <v>0</v>
      </c>
    </row>
    <row r="636" spans="5:25" ht="15" x14ac:dyDescent="0.2">
      <c r="E636" s="1201"/>
      <c r="F636" s="745"/>
      <c r="G636" s="745"/>
      <c r="H636" s="1256">
        <f t="shared" si="74"/>
        <v>0</v>
      </c>
      <c r="I636" s="736">
        <v>409</v>
      </c>
      <c r="J636" s="736">
        <f t="shared" si="72"/>
        <v>1</v>
      </c>
      <c r="K636" s="2532">
        <f t="shared" si="75"/>
        <v>21</v>
      </c>
      <c r="L636" s="736">
        <f t="shared" si="73"/>
        <v>0</v>
      </c>
      <c r="M636" s="2533">
        <f t="shared" si="76"/>
        <v>1</v>
      </c>
      <c r="U636" s="1260">
        <f t="shared" si="71"/>
        <v>585</v>
      </c>
      <c r="V636" s="745">
        <v>5</v>
      </c>
      <c r="W636" s="745">
        <v>29</v>
      </c>
      <c r="X636" s="745">
        <v>0</v>
      </c>
      <c r="Y636" s="1202">
        <v>0</v>
      </c>
    </row>
    <row r="637" spans="5:25" ht="15" x14ac:dyDescent="0.2">
      <c r="E637" s="1201"/>
      <c r="F637" s="745"/>
      <c r="G637" s="745"/>
      <c r="H637" s="1256">
        <f t="shared" si="74"/>
        <v>0</v>
      </c>
      <c r="I637" s="736">
        <v>410</v>
      </c>
      <c r="J637" s="736">
        <f t="shared" si="72"/>
        <v>4</v>
      </c>
      <c r="K637" s="2532">
        <f t="shared" si="75"/>
        <v>19</v>
      </c>
      <c r="L637" s="736">
        <f t="shared" si="73"/>
        <v>0</v>
      </c>
      <c r="M637" s="2533">
        <f t="shared" si="76"/>
        <v>1</v>
      </c>
      <c r="U637" s="1260">
        <f t="shared" si="71"/>
        <v>603</v>
      </c>
      <c r="V637" s="745">
        <v>5</v>
      </c>
      <c r="W637" s="745">
        <v>30</v>
      </c>
      <c r="X637" s="745">
        <v>0</v>
      </c>
      <c r="Y637" s="1202">
        <v>0</v>
      </c>
    </row>
    <row r="638" spans="5:25" ht="15" x14ac:dyDescent="0.2">
      <c r="E638" s="1201"/>
      <c r="F638" s="745"/>
      <c r="G638" s="745"/>
      <c r="H638" s="1256">
        <f t="shared" si="74"/>
        <v>0</v>
      </c>
      <c r="I638" s="736">
        <v>411</v>
      </c>
      <c r="J638" s="736">
        <f t="shared" si="72"/>
        <v>0</v>
      </c>
      <c r="K638" s="2532">
        <f t="shared" si="75"/>
        <v>21</v>
      </c>
      <c r="L638" s="736">
        <f t="shared" si="73"/>
        <v>1</v>
      </c>
      <c r="M638" s="2533">
        <f t="shared" si="76"/>
        <v>1</v>
      </c>
      <c r="U638" s="1260">
        <f t="shared" si="71"/>
        <v>621</v>
      </c>
      <c r="V638" s="745">
        <v>5</v>
      </c>
      <c r="W638" s="745">
        <v>31</v>
      </c>
      <c r="X638" s="745">
        <v>0</v>
      </c>
      <c r="Y638" s="1202">
        <v>0</v>
      </c>
    </row>
    <row r="639" spans="5:25" ht="15" x14ac:dyDescent="0.2">
      <c r="E639" s="1201"/>
      <c r="F639" s="745"/>
      <c r="G639" s="745"/>
      <c r="H639" s="1256">
        <f t="shared" si="74"/>
        <v>0</v>
      </c>
      <c r="I639" s="736">
        <v>412</v>
      </c>
      <c r="J639" s="736">
        <f t="shared" si="72"/>
        <v>1</v>
      </c>
      <c r="K639" s="2532">
        <f t="shared" si="75"/>
        <v>20</v>
      </c>
      <c r="L639" s="736">
        <f t="shared" si="73"/>
        <v>1</v>
      </c>
      <c r="M639" s="2533">
        <f t="shared" si="76"/>
        <v>2</v>
      </c>
      <c r="U639" s="1260">
        <f t="shared" si="71"/>
        <v>639</v>
      </c>
      <c r="V639" s="745">
        <v>5</v>
      </c>
      <c r="W639" s="745">
        <v>32</v>
      </c>
      <c r="X639" s="745">
        <v>0</v>
      </c>
      <c r="Y639" s="1202">
        <v>0</v>
      </c>
    </row>
    <row r="640" spans="5:25" ht="15" x14ac:dyDescent="0.2">
      <c r="E640" s="1201"/>
      <c r="F640" s="745"/>
      <c r="G640" s="745"/>
      <c r="H640" s="1256">
        <f t="shared" si="74"/>
        <v>0</v>
      </c>
      <c r="I640" s="736">
        <v>413</v>
      </c>
      <c r="J640" s="736">
        <f t="shared" si="72"/>
        <v>33</v>
      </c>
      <c r="K640" s="2532">
        <f t="shared" si="75"/>
        <v>0</v>
      </c>
      <c r="L640" s="736">
        <f t="shared" si="73"/>
        <v>0</v>
      </c>
      <c r="M640" s="2533">
        <f t="shared" si="76"/>
        <v>1</v>
      </c>
      <c r="U640" s="1260">
        <f t="shared" si="71"/>
        <v>657</v>
      </c>
      <c r="V640" s="745">
        <v>5</v>
      </c>
      <c r="W640" s="745">
        <v>33</v>
      </c>
      <c r="X640" s="745">
        <v>0</v>
      </c>
      <c r="Y640" s="1202">
        <v>0</v>
      </c>
    </row>
    <row r="641" spans="5:25" ht="15" x14ac:dyDescent="0.2">
      <c r="E641" s="1201"/>
      <c r="F641" s="745"/>
      <c r="G641" s="745"/>
      <c r="H641" s="1256">
        <f t="shared" si="74"/>
        <v>0</v>
      </c>
      <c r="I641" s="736">
        <v>414</v>
      </c>
      <c r="J641" s="736">
        <f t="shared" si="72"/>
        <v>0</v>
      </c>
      <c r="K641" s="2532">
        <f t="shared" si="75"/>
        <v>22</v>
      </c>
      <c r="L641" s="736">
        <f t="shared" si="73"/>
        <v>0</v>
      </c>
      <c r="M641" s="2533">
        <f t="shared" si="76"/>
        <v>1</v>
      </c>
      <c r="U641" s="1260">
        <f t="shared" si="71"/>
        <v>675</v>
      </c>
      <c r="V641" s="745">
        <v>5</v>
      </c>
      <c r="W641" s="745">
        <v>34</v>
      </c>
      <c r="X641" s="745">
        <v>0</v>
      </c>
      <c r="Y641" s="1202">
        <v>0</v>
      </c>
    </row>
    <row r="642" spans="5:25" ht="15" x14ac:dyDescent="0.2">
      <c r="E642" s="1201"/>
      <c r="F642" s="745"/>
      <c r="G642" s="745"/>
      <c r="H642" s="1256">
        <f t="shared" si="74"/>
        <v>0</v>
      </c>
      <c r="I642" s="736">
        <v>415</v>
      </c>
      <c r="J642" s="736">
        <f t="shared" si="72"/>
        <v>32</v>
      </c>
      <c r="K642" s="2532">
        <f t="shared" si="75"/>
        <v>0</v>
      </c>
      <c r="L642" s="736">
        <f t="shared" si="73"/>
        <v>1</v>
      </c>
      <c r="M642" s="2533">
        <f t="shared" si="76"/>
        <v>1</v>
      </c>
      <c r="U642" s="1260">
        <f t="shared" si="71"/>
        <v>693</v>
      </c>
      <c r="V642" s="745">
        <v>5</v>
      </c>
      <c r="W642" s="745">
        <v>35</v>
      </c>
      <c r="X642" s="745">
        <v>0</v>
      </c>
      <c r="Y642" s="1202">
        <v>0</v>
      </c>
    </row>
    <row r="643" spans="5:25" ht="15" x14ac:dyDescent="0.2">
      <c r="E643" s="1201"/>
      <c r="F643" s="745"/>
      <c r="G643" s="745"/>
      <c r="H643" s="1256">
        <f t="shared" si="74"/>
        <v>0</v>
      </c>
      <c r="I643" s="736">
        <v>416</v>
      </c>
      <c r="J643" s="736">
        <f t="shared" si="72"/>
        <v>3</v>
      </c>
      <c r="K643" s="2532">
        <f t="shared" si="75"/>
        <v>20</v>
      </c>
      <c r="L643" s="736">
        <f t="shared" si="73"/>
        <v>0</v>
      </c>
      <c r="M643" s="2533">
        <f t="shared" si="76"/>
        <v>1</v>
      </c>
      <c r="U643" s="1260">
        <f t="shared" si="71"/>
        <v>711</v>
      </c>
      <c r="V643" s="745">
        <v>5</v>
      </c>
      <c r="W643" s="745">
        <v>36</v>
      </c>
      <c r="X643" s="745">
        <v>0</v>
      </c>
      <c r="Y643" s="1202">
        <v>0</v>
      </c>
    </row>
    <row r="644" spans="5:25" ht="15" x14ac:dyDescent="0.2">
      <c r="E644" s="1201"/>
      <c r="F644" s="745"/>
      <c r="G644" s="745"/>
      <c r="H644" s="1256">
        <f t="shared" si="74"/>
        <v>0</v>
      </c>
      <c r="I644" s="736">
        <v>417</v>
      </c>
      <c r="J644" s="736">
        <f t="shared" si="72"/>
        <v>0</v>
      </c>
      <c r="K644" s="2532">
        <f t="shared" si="75"/>
        <v>21</v>
      </c>
      <c r="L644" s="736">
        <f t="shared" si="73"/>
        <v>1</v>
      </c>
      <c r="M644" s="2533">
        <f t="shared" si="76"/>
        <v>2</v>
      </c>
      <c r="U644" s="1260">
        <f t="shared" si="71"/>
        <v>729</v>
      </c>
      <c r="V644" s="745">
        <v>5</v>
      </c>
      <c r="W644" s="745">
        <v>37</v>
      </c>
      <c r="X644" s="745">
        <v>0</v>
      </c>
      <c r="Y644" s="1202">
        <v>0</v>
      </c>
    </row>
    <row r="645" spans="5:25" ht="15" x14ac:dyDescent="0.2">
      <c r="E645" s="1201"/>
      <c r="F645" s="745"/>
      <c r="G645" s="745"/>
      <c r="H645" s="1256">
        <f t="shared" si="74"/>
        <v>0</v>
      </c>
      <c r="I645" s="736">
        <v>418</v>
      </c>
      <c r="J645" s="736">
        <f t="shared" si="72"/>
        <v>2</v>
      </c>
      <c r="K645" s="2532">
        <f t="shared" si="75"/>
        <v>20</v>
      </c>
      <c r="L645" s="736">
        <f t="shared" si="73"/>
        <v>1</v>
      </c>
      <c r="M645" s="2533">
        <f t="shared" si="76"/>
        <v>1</v>
      </c>
      <c r="U645" s="1260">
        <f t="shared" si="71"/>
        <v>747</v>
      </c>
      <c r="V645" s="745">
        <v>5</v>
      </c>
      <c r="W645" s="745">
        <v>38</v>
      </c>
      <c r="X645" s="745">
        <v>0</v>
      </c>
      <c r="Y645" s="1202">
        <v>0</v>
      </c>
    </row>
    <row r="646" spans="5:25" ht="15" x14ac:dyDescent="0.2">
      <c r="E646" s="1201"/>
      <c r="F646" s="745"/>
      <c r="G646" s="745"/>
      <c r="H646" s="1256">
        <f t="shared" si="74"/>
        <v>0</v>
      </c>
      <c r="I646" s="736">
        <v>419</v>
      </c>
      <c r="J646" s="736">
        <f t="shared" si="72"/>
        <v>33</v>
      </c>
      <c r="K646" s="2532">
        <f t="shared" si="75"/>
        <v>0</v>
      </c>
      <c r="L646" s="736">
        <f t="shared" si="73"/>
        <v>0</v>
      </c>
      <c r="M646" s="2533">
        <f t="shared" si="76"/>
        <v>2</v>
      </c>
      <c r="U646" s="1260">
        <f t="shared" si="71"/>
        <v>765</v>
      </c>
      <c r="V646" s="745">
        <v>5</v>
      </c>
      <c r="W646" s="745">
        <v>39</v>
      </c>
      <c r="X646" s="745">
        <v>0</v>
      </c>
      <c r="Y646" s="1202">
        <v>0</v>
      </c>
    </row>
    <row r="647" spans="5:25" ht="15" x14ac:dyDescent="0.2">
      <c r="E647" s="1201"/>
      <c r="F647" s="745"/>
      <c r="G647" s="745"/>
      <c r="H647" s="1256">
        <f t="shared" si="74"/>
        <v>0</v>
      </c>
      <c r="I647" s="736">
        <v>420</v>
      </c>
      <c r="J647" s="736">
        <f t="shared" si="72"/>
        <v>5</v>
      </c>
      <c r="K647" s="2532">
        <f t="shared" si="75"/>
        <v>18</v>
      </c>
      <c r="L647" s="736">
        <f t="shared" si="73"/>
        <v>1</v>
      </c>
      <c r="M647" s="2533">
        <f t="shared" si="76"/>
        <v>1</v>
      </c>
      <c r="U647" s="1260">
        <f t="shared" si="71"/>
        <v>783</v>
      </c>
      <c r="V647" s="745">
        <v>5</v>
      </c>
      <c r="W647" s="745">
        <v>40</v>
      </c>
      <c r="X647" s="745">
        <v>0</v>
      </c>
      <c r="Y647" s="1202">
        <v>0</v>
      </c>
    </row>
    <row r="648" spans="5:25" ht="15" x14ac:dyDescent="0.2">
      <c r="E648" s="1201"/>
      <c r="F648" s="745"/>
      <c r="G648" s="745"/>
      <c r="H648" s="1256">
        <f t="shared" si="74"/>
        <v>0</v>
      </c>
      <c r="I648" s="736">
        <v>421</v>
      </c>
      <c r="J648" s="736">
        <f t="shared" si="72"/>
        <v>2</v>
      </c>
      <c r="K648" s="2532">
        <f t="shared" si="75"/>
        <v>21</v>
      </c>
      <c r="L648" s="736">
        <f t="shared" si="73"/>
        <v>0</v>
      </c>
      <c r="M648" s="2533">
        <f t="shared" si="76"/>
        <v>1</v>
      </c>
      <c r="U648" s="1260">
        <f t="shared" si="71"/>
        <v>801</v>
      </c>
      <c r="V648" s="745">
        <v>5</v>
      </c>
      <c r="W648" s="745">
        <v>41</v>
      </c>
      <c r="X648" s="745">
        <v>0</v>
      </c>
      <c r="Y648" s="1202">
        <v>0</v>
      </c>
    </row>
    <row r="649" spans="5:25" ht="15" x14ac:dyDescent="0.2">
      <c r="E649" s="1201"/>
      <c r="F649" s="745"/>
      <c r="G649" s="745"/>
      <c r="H649" s="1256">
        <f t="shared" si="74"/>
        <v>0</v>
      </c>
      <c r="I649" s="736">
        <v>422</v>
      </c>
      <c r="J649" s="736">
        <f t="shared" si="72"/>
        <v>3</v>
      </c>
      <c r="K649" s="2532">
        <f t="shared" si="75"/>
        <v>20</v>
      </c>
      <c r="L649" s="736">
        <f t="shared" si="73"/>
        <v>0</v>
      </c>
      <c r="M649" s="2533">
        <f t="shared" si="76"/>
        <v>2</v>
      </c>
      <c r="U649" s="1260">
        <f t="shared" si="71"/>
        <v>819</v>
      </c>
      <c r="V649" s="745">
        <v>5</v>
      </c>
      <c r="W649" s="745">
        <v>42</v>
      </c>
      <c r="X649" s="745">
        <v>0</v>
      </c>
      <c r="Y649" s="1202">
        <v>0</v>
      </c>
    </row>
    <row r="650" spans="5:25" ht="15" x14ac:dyDescent="0.2">
      <c r="E650" s="1201"/>
      <c r="F650" s="745"/>
      <c r="G650" s="745"/>
      <c r="H650" s="1256">
        <f t="shared" si="74"/>
        <v>0</v>
      </c>
      <c r="I650" s="736">
        <v>423</v>
      </c>
      <c r="J650" s="736">
        <f t="shared" si="72"/>
        <v>5</v>
      </c>
      <c r="K650" s="2532">
        <f t="shared" si="75"/>
        <v>19</v>
      </c>
      <c r="L650" s="736">
        <f t="shared" si="73"/>
        <v>0</v>
      </c>
      <c r="M650" s="2533">
        <f t="shared" si="76"/>
        <v>1</v>
      </c>
      <c r="U650" s="1260">
        <f t="shared" si="71"/>
        <v>837</v>
      </c>
      <c r="V650" s="745">
        <v>5</v>
      </c>
      <c r="W650" s="745">
        <v>43</v>
      </c>
      <c r="X650" s="745">
        <v>0</v>
      </c>
      <c r="Y650" s="1202">
        <v>0</v>
      </c>
    </row>
    <row r="651" spans="5:25" ht="15" x14ac:dyDescent="0.2">
      <c r="E651" s="1201"/>
      <c r="F651" s="745"/>
      <c r="G651" s="745"/>
      <c r="H651" s="1256">
        <f t="shared" si="74"/>
        <v>0</v>
      </c>
      <c r="I651" s="736">
        <v>424</v>
      </c>
      <c r="J651" s="736">
        <f t="shared" si="72"/>
        <v>1</v>
      </c>
      <c r="K651" s="2532">
        <f t="shared" si="75"/>
        <v>21</v>
      </c>
      <c r="L651" s="736">
        <f t="shared" si="73"/>
        <v>1</v>
      </c>
      <c r="M651" s="2533">
        <f t="shared" si="76"/>
        <v>1</v>
      </c>
      <c r="U651" s="1260">
        <f t="shared" si="71"/>
        <v>855</v>
      </c>
      <c r="V651" s="745">
        <v>5</v>
      </c>
      <c r="W651" s="745">
        <v>44</v>
      </c>
      <c r="X651" s="745">
        <v>0</v>
      </c>
      <c r="Y651" s="1202">
        <v>0</v>
      </c>
    </row>
    <row r="652" spans="5:25" ht="15" x14ac:dyDescent="0.2">
      <c r="E652" s="1201"/>
      <c r="F652" s="745"/>
      <c r="G652" s="745"/>
      <c r="H652" s="1256">
        <f t="shared" si="74"/>
        <v>0</v>
      </c>
      <c r="I652" s="736">
        <v>425</v>
      </c>
      <c r="J652" s="736">
        <f t="shared" si="72"/>
        <v>34</v>
      </c>
      <c r="K652" s="2532">
        <f t="shared" si="75"/>
        <v>0</v>
      </c>
      <c r="L652" s="736">
        <f t="shared" si="73"/>
        <v>0</v>
      </c>
      <c r="M652" s="2533">
        <f t="shared" si="76"/>
        <v>1</v>
      </c>
      <c r="U652" s="1260">
        <f t="shared" si="71"/>
        <v>873</v>
      </c>
      <c r="V652" s="745">
        <v>5</v>
      </c>
      <c r="W652" s="745">
        <v>45</v>
      </c>
      <c r="X652" s="745">
        <v>0</v>
      </c>
      <c r="Y652" s="1202">
        <v>0</v>
      </c>
    </row>
    <row r="653" spans="5:25" ht="15" x14ac:dyDescent="0.2">
      <c r="E653" s="1201"/>
      <c r="F653" s="745"/>
      <c r="G653" s="745"/>
      <c r="H653" s="1256">
        <f t="shared" si="74"/>
        <v>0</v>
      </c>
      <c r="I653" s="736">
        <v>426</v>
      </c>
      <c r="J653" s="736">
        <f t="shared" si="72"/>
        <v>5</v>
      </c>
      <c r="K653" s="2532">
        <f t="shared" si="75"/>
        <v>18</v>
      </c>
      <c r="L653" s="736">
        <f t="shared" si="73"/>
        <v>1</v>
      </c>
      <c r="M653" s="2533">
        <f t="shared" si="76"/>
        <v>2</v>
      </c>
      <c r="U653" s="1260">
        <f t="shared" si="71"/>
        <v>891</v>
      </c>
      <c r="V653" s="745">
        <v>5</v>
      </c>
      <c r="W653" s="745">
        <v>46</v>
      </c>
      <c r="X653" s="745">
        <v>0</v>
      </c>
      <c r="Y653" s="1202">
        <v>0</v>
      </c>
    </row>
    <row r="654" spans="5:25" ht="15" x14ac:dyDescent="0.2">
      <c r="E654" s="1201"/>
      <c r="F654" s="745"/>
      <c r="G654" s="745"/>
      <c r="H654" s="1256">
        <f t="shared" si="74"/>
        <v>0</v>
      </c>
      <c r="I654" s="736">
        <v>427</v>
      </c>
      <c r="J654" s="736">
        <f t="shared" si="72"/>
        <v>1</v>
      </c>
      <c r="K654" s="2532">
        <f t="shared" si="75"/>
        <v>22</v>
      </c>
      <c r="L654" s="736">
        <f t="shared" si="73"/>
        <v>0</v>
      </c>
      <c r="M654" s="2533">
        <f t="shared" si="76"/>
        <v>1</v>
      </c>
      <c r="U654" s="1260">
        <f t="shared" si="71"/>
        <v>909</v>
      </c>
      <c r="V654" s="745">
        <v>5</v>
      </c>
      <c r="W654" s="745">
        <v>47</v>
      </c>
      <c r="X654" s="745">
        <v>0</v>
      </c>
      <c r="Y654" s="1202">
        <v>0</v>
      </c>
    </row>
    <row r="655" spans="5:25" ht="15" x14ac:dyDescent="0.2">
      <c r="E655" s="1201"/>
      <c r="F655" s="745"/>
      <c r="G655" s="745"/>
      <c r="H655" s="1256">
        <f t="shared" si="74"/>
        <v>0</v>
      </c>
      <c r="I655" s="736">
        <v>428</v>
      </c>
      <c r="J655" s="736">
        <f t="shared" si="72"/>
        <v>4</v>
      </c>
      <c r="K655" s="2532">
        <f t="shared" si="75"/>
        <v>20</v>
      </c>
      <c r="L655" s="736">
        <f t="shared" si="73"/>
        <v>0</v>
      </c>
      <c r="M655" s="2533">
        <f t="shared" si="76"/>
        <v>1</v>
      </c>
      <c r="U655" s="1260">
        <f t="shared" si="71"/>
        <v>927</v>
      </c>
      <c r="V655" s="745">
        <v>5</v>
      </c>
      <c r="W655" s="745">
        <v>48</v>
      </c>
      <c r="X655" s="745">
        <v>0</v>
      </c>
      <c r="Y655" s="1202">
        <v>0</v>
      </c>
    </row>
    <row r="656" spans="5:25" ht="15" x14ac:dyDescent="0.2">
      <c r="E656" s="1201"/>
      <c r="F656" s="745"/>
      <c r="G656" s="745"/>
      <c r="H656" s="1256">
        <f t="shared" si="74"/>
        <v>0</v>
      </c>
      <c r="I656" s="736">
        <v>429</v>
      </c>
      <c r="J656" s="736">
        <f t="shared" si="72"/>
        <v>0</v>
      </c>
      <c r="K656" s="2532">
        <f t="shared" si="75"/>
        <v>22</v>
      </c>
      <c r="L656" s="736">
        <f t="shared" si="73"/>
        <v>1</v>
      </c>
      <c r="M656" s="2533">
        <f t="shared" si="76"/>
        <v>1</v>
      </c>
      <c r="U656" s="1260">
        <f t="shared" si="71"/>
        <v>945</v>
      </c>
      <c r="V656" s="745">
        <v>5</v>
      </c>
      <c r="W656" s="745">
        <v>49</v>
      </c>
      <c r="X656" s="745">
        <v>0</v>
      </c>
      <c r="Y656" s="1202">
        <v>0</v>
      </c>
    </row>
    <row r="657" spans="5:25" ht="15" x14ac:dyDescent="0.2">
      <c r="E657" s="1201"/>
      <c r="F657" s="745"/>
      <c r="G657" s="745"/>
      <c r="H657" s="1256">
        <f t="shared" si="74"/>
        <v>0</v>
      </c>
      <c r="I657" s="736">
        <v>430</v>
      </c>
      <c r="J657" s="736">
        <f t="shared" si="72"/>
        <v>1</v>
      </c>
      <c r="K657" s="2532">
        <f t="shared" si="75"/>
        <v>21</v>
      </c>
      <c r="L657" s="736">
        <f t="shared" si="73"/>
        <v>1</v>
      </c>
      <c r="M657" s="2533">
        <f t="shared" si="76"/>
        <v>2</v>
      </c>
      <c r="U657" s="1260">
        <f t="shared" si="71"/>
        <v>963</v>
      </c>
      <c r="V657" s="745">
        <v>5</v>
      </c>
      <c r="W657" s="745">
        <v>50</v>
      </c>
      <c r="X657" s="745">
        <v>0</v>
      </c>
      <c r="Y657" s="1202">
        <v>0</v>
      </c>
    </row>
    <row r="658" spans="5:25" ht="15" x14ac:dyDescent="0.2">
      <c r="E658" s="1201"/>
      <c r="F658" s="745"/>
      <c r="G658" s="745"/>
      <c r="H658" s="1256">
        <f t="shared" si="74"/>
        <v>0</v>
      </c>
      <c r="I658" s="736">
        <v>431</v>
      </c>
      <c r="J658" s="736">
        <f t="shared" si="72"/>
        <v>3</v>
      </c>
      <c r="K658" s="2532">
        <f t="shared" si="75"/>
        <v>20</v>
      </c>
      <c r="L658" s="736">
        <f t="shared" si="73"/>
        <v>1</v>
      </c>
      <c r="M658" s="2533">
        <f t="shared" si="76"/>
        <v>1</v>
      </c>
      <c r="U658" s="1260">
        <f t="shared" si="71"/>
        <v>981</v>
      </c>
      <c r="V658" s="745">
        <v>5</v>
      </c>
      <c r="W658" s="745">
        <v>51</v>
      </c>
      <c r="X658" s="745">
        <v>0</v>
      </c>
      <c r="Y658" s="1202">
        <v>0</v>
      </c>
    </row>
    <row r="659" spans="5:25" ht="15" x14ac:dyDescent="0.2">
      <c r="E659" s="1201"/>
      <c r="F659" s="745"/>
      <c r="G659" s="745"/>
      <c r="H659" s="1256">
        <f t="shared" si="74"/>
        <v>0</v>
      </c>
      <c r="I659" s="736">
        <v>432</v>
      </c>
      <c r="J659" s="736">
        <f t="shared" si="72"/>
        <v>0</v>
      </c>
      <c r="K659" s="2532">
        <f t="shared" si="75"/>
        <v>23</v>
      </c>
      <c r="L659" s="736">
        <f t="shared" si="73"/>
        <v>0</v>
      </c>
      <c r="M659" s="2533">
        <f t="shared" si="76"/>
        <v>1</v>
      </c>
      <c r="U659" s="1260">
        <f t="shared" si="71"/>
        <v>999</v>
      </c>
      <c r="V659" s="745">
        <v>5</v>
      </c>
      <c r="W659" s="745">
        <v>52</v>
      </c>
      <c r="X659" s="745">
        <v>0</v>
      </c>
      <c r="Y659" s="1202">
        <v>0</v>
      </c>
    </row>
    <row r="660" spans="5:25" ht="15" x14ac:dyDescent="0.2">
      <c r="E660" s="1201"/>
      <c r="F660" s="745"/>
      <c r="G660" s="745"/>
      <c r="H660" s="1256">
        <f t="shared" si="74"/>
        <v>0</v>
      </c>
      <c r="I660" s="736">
        <v>433</v>
      </c>
      <c r="J660" s="736">
        <f t="shared" si="72"/>
        <v>1</v>
      </c>
      <c r="K660" s="2532">
        <f t="shared" si="75"/>
        <v>22</v>
      </c>
      <c r="L660" s="736">
        <f t="shared" si="73"/>
        <v>0</v>
      </c>
      <c r="M660" s="2533">
        <f t="shared" si="76"/>
        <v>2</v>
      </c>
      <c r="U660" s="1260">
        <f t="shared" si="71"/>
        <v>1017</v>
      </c>
      <c r="V660" s="745">
        <v>5</v>
      </c>
      <c r="W660" s="745">
        <v>53</v>
      </c>
      <c r="X660" s="745">
        <v>0</v>
      </c>
      <c r="Y660" s="1202">
        <v>0</v>
      </c>
    </row>
    <row r="661" spans="5:25" ht="15" x14ac:dyDescent="0.2">
      <c r="E661" s="1201"/>
      <c r="F661" s="745"/>
      <c r="G661" s="745"/>
      <c r="H661" s="1256">
        <f t="shared" si="74"/>
        <v>0</v>
      </c>
      <c r="I661" s="736">
        <v>434</v>
      </c>
      <c r="J661" s="736">
        <f t="shared" si="72"/>
        <v>3</v>
      </c>
      <c r="K661" s="2532">
        <f t="shared" si="75"/>
        <v>21</v>
      </c>
      <c r="L661" s="736">
        <f t="shared" si="73"/>
        <v>0</v>
      </c>
      <c r="M661" s="2533">
        <f t="shared" si="76"/>
        <v>1</v>
      </c>
      <c r="U661" s="1260">
        <f t="shared" si="71"/>
        <v>33</v>
      </c>
      <c r="V661" s="745">
        <v>0</v>
      </c>
      <c r="W661" s="745">
        <v>1</v>
      </c>
      <c r="X661" s="745">
        <v>1</v>
      </c>
      <c r="Y661" s="1202">
        <v>0</v>
      </c>
    </row>
    <row r="662" spans="5:25" ht="15" x14ac:dyDescent="0.2">
      <c r="E662" s="1201"/>
      <c r="F662" s="745"/>
      <c r="G662" s="745"/>
      <c r="H662" s="1256">
        <f t="shared" si="74"/>
        <v>0</v>
      </c>
      <c r="I662" s="736">
        <v>435</v>
      </c>
      <c r="J662" s="736">
        <f t="shared" si="72"/>
        <v>0</v>
      </c>
      <c r="K662" s="2532">
        <f t="shared" si="75"/>
        <v>22</v>
      </c>
      <c r="L662" s="736">
        <f t="shared" si="73"/>
        <v>1</v>
      </c>
      <c r="M662" s="2533">
        <f t="shared" si="76"/>
        <v>2</v>
      </c>
      <c r="U662" s="1260">
        <f t="shared" si="71"/>
        <v>51</v>
      </c>
      <c r="V662" s="745">
        <v>0</v>
      </c>
      <c r="W662" s="745">
        <v>2</v>
      </c>
      <c r="X662" s="745">
        <v>1</v>
      </c>
      <c r="Y662" s="1202">
        <v>0</v>
      </c>
    </row>
    <row r="663" spans="5:25" ht="15" x14ac:dyDescent="0.2">
      <c r="E663" s="1201"/>
      <c r="F663" s="745"/>
      <c r="G663" s="745"/>
      <c r="H663" s="1256">
        <f t="shared" si="74"/>
        <v>0</v>
      </c>
      <c r="I663" s="736">
        <v>436</v>
      </c>
      <c r="J663" s="736">
        <f t="shared" si="72"/>
        <v>2</v>
      </c>
      <c r="K663" s="2532">
        <f t="shared" si="75"/>
        <v>21</v>
      </c>
      <c r="L663" s="736">
        <f t="shared" si="73"/>
        <v>1</v>
      </c>
      <c r="M663" s="2533">
        <f t="shared" si="76"/>
        <v>1</v>
      </c>
      <c r="U663" s="1260">
        <f t="shared" si="71"/>
        <v>69</v>
      </c>
      <c r="V663" s="745">
        <v>0</v>
      </c>
      <c r="W663" s="745">
        <v>3</v>
      </c>
      <c r="X663" s="745">
        <v>1</v>
      </c>
      <c r="Y663" s="1202">
        <v>0</v>
      </c>
    </row>
    <row r="664" spans="5:25" ht="15" x14ac:dyDescent="0.2">
      <c r="E664" s="1201"/>
      <c r="F664" s="745"/>
      <c r="G664" s="745"/>
      <c r="H664" s="1256">
        <f t="shared" si="74"/>
        <v>0</v>
      </c>
      <c r="I664" s="736">
        <v>437</v>
      </c>
      <c r="J664" s="736">
        <f t="shared" si="72"/>
        <v>3</v>
      </c>
      <c r="K664" s="2532">
        <f t="shared" si="75"/>
        <v>20</v>
      </c>
      <c r="L664" s="736">
        <f t="shared" si="73"/>
        <v>1</v>
      </c>
      <c r="M664" s="2533">
        <f t="shared" si="76"/>
        <v>2</v>
      </c>
      <c r="U664" s="1260">
        <f t="shared" si="71"/>
        <v>87</v>
      </c>
      <c r="V664" s="745">
        <v>0</v>
      </c>
      <c r="W664" s="745">
        <v>4</v>
      </c>
      <c r="X664" s="745">
        <v>1</v>
      </c>
      <c r="Y664" s="1202">
        <v>0</v>
      </c>
    </row>
    <row r="665" spans="5:25" ht="15" x14ac:dyDescent="0.2">
      <c r="E665" s="1201"/>
      <c r="F665" s="745"/>
      <c r="G665" s="745"/>
      <c r="H665" s="1256">
        <f t="shared" si="74"/>
        <v>0</v>
      </c>
      <c r="I665" s="736">
        <v>438</v>
      </c>
      <c r="J665" s="736">
        <f t="shared" si="72"/>
        <v>35</v>
      </c>
      <c r="K665" s="2532">
        <f t="shared" si="75"/>
        <v>0</v>
      </c>
      <c r="L665" s="736">
        <f t="shared" si="73"/>
        <v>0</v>
      </c>
      <c r="M665" s="2533">
        <f t="shared" si="76"/>
        <v>1</v>
      </c>
      <c r="U665" s="1260">
        <f t="shared" si="71"/>
        <v>105</v>
      </c>
      <c r="V665" s="745">
        <v>0</v>
      </c>
      <c r="W665" s="745">
        <v>5</v>
      </c>
      <c r="X665" s="745">
        <v>1</v>
      </c>
      <c r="Y665" s="1202">
        <v>0</v>
      </c>
    </row>
    <row r="666" spans="5:25" ht="15" x14ac:dyDescent="0.2">
      <c r="E666" s="1201"/>
      <c r="F666" s="745"/>
      <c r="G666" s="745"/>
      <c r="H666" s="1256">
        <f t="shared" si="74"/>
        <v>0</v>
      </c>
      <c r="I666" s="736">
        <v>439</v>
      </c>
      <c r="J666" s="736">
        <f t="shared" si="72"/>
        <v>2</v>
      </c>
      <c r="K666" s="2532">
        <f t="shared" si="75"/>
        <v>22</v>
      </c>
      <c r="L666" s="736">
        <f t="shared" si="73"/>
        <v>0</v>
      </c>
      <c r="M666" s="2533">
        <f t="shared" si="76"/>
        <v>1</v>
      </c>
      <c r="U666" s="1260">
        <f t="shared" si="71"/>
        <v>123</v>
      </c>
      <c r="V666" s="745">
        <v>0</v>
      </c>
      <c r="W666" s="745">
        <v>6</v>
      </c>
      <c r="X666" s="745">
        <v>1</v>
      </c>
      <c r="Y666" s="1202">
        <v>0</v>
      </c>
    </row>
    <row r="667" spans="5:25" ht="15" x14ac:dyDescent="0.2">
      <c r="E667" s="1201"/>
      <c r="F667" s="745"/>
      <c r="G667" s="745"/>
      <c r="H667" s="1256">
        <f t="shared" si="74"/>
        <v>0</v>
      </c>
      <c r="I667" s="736">
        <v>440</v>
      </c>
      <c r="J667" s="736">
        <f t="shared" si="72"/>
        <v>34</v>
      </c>
      <c r="K667" s="2532">
        <f t="shared" si="75"/>
        <v>0</v>
      </c>
      <c r="L667" s="736">
        <f t="shared" si="73"/>
        <v>1</v>
      </c>
      <c r="M667" s="2533">
        <f t="shared" si="76"/>
        <v>1</v>
      </c>
      <c r="U667" s="1260">
        <f t="shared" si="71"/>
        <v>141</v>
      </c>
      <c r="V667" s="745">
        <v>0</v>
      </c>
      <c r="W667" s="745">
        <v>7</v>
      </c>
      <c r="X667" s="745">
        <v>1</v>
      </c>
      <c r="Y667" s="1202">
        <v>0</v>
      </c>
    </row>
    <row r="668" spans="5:25" ht="15" x14ac:dyDescent="0.2">
      <c r="E668" s="1201"/>
      <c r="F668" s="745"/>
      <c r="G668" s="745"/>
      <c r="H668" s="1256">
        <f t="shared" si="74"/>
        <v>0</v>
      </c>
      <c r="I668" s="736">
        <v>441</v>
      </c>
      <c r="J668" s="736">
        <f t="shared" si="72"/>
        <v>5</v>
      </c>
      <c r="K668" s="2532">
        <f t="shared" si="75"/>
        <v>20</v>
      </c>
      <c r="L668" s="736">
        <f t="shared" si="73"/>
        <v>0</v>
      </c>
      <c r="M668" s="2533">
        <f t="shared" si="76"/>
        <v>1</v>
      </c>
      <c r="U668" s="1260">
        <f t="shared" si="71"/>
        <v>159</v>
      </c>
      <c r="V668" s="745">
        <v>0</v>
      </c>
      <c r="W668" s="745">
        <v>8</v>
      </c>
      <c r="X668" s="745">
        <v>1</v>
      </c>
      <c r="Y668" s="1202">
        <v>0</v>
      </c>
    </row>
    <row r="669" spans="5:25" ht="15" x14ac:dyDescent="0.2">
      <c r="E669" s="1201"/>
      <c r="F669" s="745"/>
      <c r="G669" s="745"/>
      <c r="H669" s="1256">
        <f t="shared" si="74"/>
        <v>0</v>
      </c>
      <c r="I669" s="736">
        <v>442</v>
      </c>
      <c r="J669" s="736">
        <f t="shared" si="72"/>
        <v>1</v>
      </c>
      <c r="K669" s="2532">
        <f t="shared" si="75"/>
        <v>22</v>
      </c>
      <c r="L669" s="736">
        <f t="shared" si="73"/>
        <v>1</v>
      </c>
      <c r="M669" s="2533">
        <f t="shared" si="76"/>
        <v>1</v>
      </c>
      <c r="U669" s="1260">
        <f t="shared" si="71"/>
        <v>177</v>
      </c>
      <c r="V669" s="745">
        <v>0</v>
      </c>
      <c r="W669" s="745">
        <v>9</v>
      </c>
      <c r="X669" s="745">
        <v>1</v>
      </c>
      <c r="Y669" s="1202">
        <v>0</v>
      </c>
    </row>
    <row r="670" spans="5:25" ht="15" x14ac:dyDescent="0.2">
      <c r="E670" s="1201"/>
      <c r="F670" s="745"/>
      <c r="G670" s="745"/>
      <c r="H670" s="1256">
        <f t="shared" si="74"/>
        <v>0</v>
      </c>
      <c r="I670" s="736">
        <v>443</v>
      </c>
      <c r="J670" s="736">
        <f t="shared" si="72"/>
        <v>4</v>
      </c>
      <c r="K670" s="2532">
        <f t="shared" si="75"/>
        <v>20</v>
      </c>
      <c r="L670" s="736">
        <f t="shared" si="73"/>
        <v>1</v>
      </c>
      <c r="M670" s="2533">
        <f t="shared" si="76"/>
        <v>1</v>
      </c>
      <c r="U670" s="1260">
        <f t="shared" si="71"/>
        <v>195</v>
      </c>
      <c r="V670" s="745">
        <v>0</v>
      </c>
      <c r="W670" s="745">
        <v>10</v>
      </c>
      <c r="X670" s="745">
        <v>1</v>
      </c>
      <c r="Y670" s="1202">
        <v>0</v>
      </c>
    </row>
    <row r="671" spans="5:25" ht="15" x14ac:dyDescent="0.2">
      <c r="E671" s="1201"/>
      <c r="F671" s="745"/>
      <c r="G671" s="745"/>
      <c r="H671" s="1256">
        <f t="shared" si="74"/>
        <v>0</v>
      </c>
      <c r="I671" s="736">
        <v>444</v>
      </c>
      <c r="J671" s="736">
        <f t="shared" si="72"/>
        <v>35</v>
      </c>
      <c r="K671" s="2532">
        <f t="shared" si="75"/>
        <v>0</v>
      </c>
      <c r="L671" s="736">
        <f t="shared" si="73"/>
        <v>0</v>
      </c>
      <c r="M671" s="2533">
        <f t="shared" si="76"/>
        <v>2</v>
      </c>
      <c r="U671" s="1260">
        <f t="shared" si="71"/>
        <v>213</v>
      </c>
      <c r="V671" s="745">
        <v>0</v>
      </c>
      <c r="W671" s="745">
        <v>11</v>
      </c>
      <c r="X671" s="745">
        <v>1</v>
      </c>
      <c r="Y671" s="1202">
        <v>0</v>
      </c>
    </row>
    <row r="672" spans="5:25" ht="15" x14ac:dyDescent="0.2">
      <c r="E672" s="1201"/>
      <c r="F672" s="745"/>
      <c r="G672" s="745"/>
      <c r="H672" s="1256">
        <f t="shared" si="74"/>
        <v>0</v>
      </c>
      <c r="I672" s="736">
        <v>445</v>
      </c>
      <c r="J672" s="736">
        <f t="shared" si="72"/>
        <v>1</v>
      </c>
      <c r="K672" s="2532">
        <f t="shared" si="75"/>
        <v>23</v>
      </c>
      <c r="L672" s="736">
        <f t="shared" si="73"/>
        <v>0</v>
      </c>
      <c r="M672" s="2533">
        <f t="shared" si="76"/>
        <v>1</v>
      </c>
      <c r="U672" s="1260">
        <f t="shared" si="71"/>
        <v>231</v>
      </c>
      <c r="V672" s="745">
        <v>0</v>
      </c>
      <c r="W672" s="745">
        <v>12</v>
      </c>
      <c r="X672" s="745">
        <v>1</v>
      </c>
      <c r="Y672" s="1202">
        <v>0</v>
      </c>
    </row>
    <row r="673" spans="5:25" ht="15" x14ac:dyDescent="0.2">
      <c r="E673" s="1201"/>
      <c r="F673" s="745"/>
      <c r="G673" s="745"/>
      <c r="H673" s="1256">
        <f t="shared" si="74"/>
        <v>0</v>
      </c>
      <c r="I673" s="736">
        <v>446</v>
      </c>
      <c r="J673" s="736">
        <f t="shared" si="72"/>
        <v>4</v>
      </c>
      <c r="K673" s="2532">
        <f t="shared" si="75"/>
        <v>21</v>
      </c>
      <c r="L673" s="736">
        <f t="shared" si="73"/>
        <v>0</v>
      </c>
      <c r="M673" s="2533">
        <f t="shared" si="76"/>
        <v>1</v>
      </c>
      <c r="U673" s="1260">
        <f t="shared" si="71"/>
        <v>249</v>
      </c>
      <c r="V673" s="745">
        <v>0</v>
      </c>
      <c r="W673" s="745">
        <v>13</v>
      </c>
      <c r="X673" s="745">
        <v>1</v>
      </c>
      <c r="Y673" s="1202">
        <v>0</v>
      </c>
    </row>
    <row r="674" spans="5:25" ht="15" x14ac:dyDescent="0.2">
      <c r="E674" s="1201"/>
      <c r="F674" s="745"/>
      <c r="G674" s="745"/>
      <c r="H674" s="1256">
        <f t="shared" si="74"/>
        <v>0</v>
      </c>
      <c r="I674" s="736">
        <v>447</v>
      </c>
      <c r="J674" s="736">
        <f t="shared" si="72"/>
        <v>0</v>
      </c>
      <c r="K674" s="2532">
        <f t="shared" si="75"/>
        <v>23</v>
      </c>
      <c r="L674" s="736">
        <f t="shared" si="73"/>
        <v>1</v>
      </c>
      <c r="M674" s="2533">
        <f t="shared" si="76"/>
        <v>1</v>
      </c>
      <c r="U674" s="1260">
        <f t="shared" si="71"/>
        <v>267</v>
      </c>
      <c r="V674" s="745">
        <v>0</v>
      </c>
      <c r="W674" s="745">
        <v>14</v>
      </c>
      <c r="X674" s="745">
        <v>1</v>
      </c>
      <c r="Y674" s="1202">
        <v>0</v>
      </c>
    </row>
    <row r="675" spans="5:25" ht="15" x14ac:dyDescent="0.2">
      <c r="E675" s="1201"/>
      <c r="F675" s="745"/>
      <c r="G675" s="745"/>
      <c r="H675" s="1256">
        <f t="shared" si="74"/>
        <v>0</v>
      </c>
      <c r="I675" s="736">
        <v>448</v>
      </c>
      <c r="J675" s="736">
        <f t="shared" si="72"/>
        <v>1</v>
      </c>
      <c r="K675" s="2532">
        <f t="shared" si="75"/>
        <v>22</v>
      </c>
      <c r="L675" s="736">
        <f t="shared" si="73"/>
        <v>1</v>
      </c>
      <c r="M675" s="2533">
        <f t="shared" si="76"/>
        <v>2</v>
      </c>
      <c r="U675" s="1260">
        <f t="shared" si="71"/>
        <v>285</v>
      </c>
      <c r="V675" s="745">
        <v>0</v>
      </c>
      <c r="W675" s="745">
        <v>15</v>
      </c>
      <c r="X675" s="745">
        <v>1</v>
      </c>
      <c r="Y675" s="1202">
        <v>0</v>
      </c>
    </row>
    <row r="676" spans="5:25" ht="15" x14ac:dyDescent="0.2">
      <c r="E676" s="1201"/>
      <c r="F676" s="745"/>
      <c r="G676" s="745"/>
      <c r="H676" s="1256">
        <f t="shared" si="74"/>
        <v>0</v>
      </c>
      <c r="I676" s="736">
        <v>449</v>
      </c>
      <c r="J676" s="736">
        <f t="shared" si="72"/>
        <v>3</v>
      </c>
      <c r="K676" s="2532">
        <f t="shared" si="75"/>
        <v>21</v>
      </c>
      <c r="L676" s="736">
        <f t="shared" si="73"/>
        <v>1</v>
      </c>
      <c r="M676" s="2533">
        <f t="shared" si="76"/>
        <v>1</v>
      </c>
      <c r="U676" s="1260">
        <f t="shared" si="71"/>
        <v>303</v>
      </c>
      <c r="V676" s="745">
        <v>0</v>
      </c>
      <c r="W676" s="745">
        <v>16</v>
      </c>
      <c r="X676" s="745">
        <v>1</v>
      </c>
      <c r="Y676" s="1202">
        <v>0</v>
      </c>
    </row>
    <row r="677" spans="5:25" ht="15" x14ac:dyDescent="0.2">
      <c r="E677" s="1201"/>
      <c r="F677" s="745"/>
      <c r="G677" s="745"/>
      <c r="H677" s="1256">
        <f t="shared" si="74"/>
        <v>0</v>
      </c>
      <c r="I677" s="736">
        <v>450</v>
      </c>
      <c r="J677" s="736">
        <f t="shared" si="72"/>
        <v>0</v>
      </c>
      <c r="K677" s="2532">
        <f t="shared" si="75"/>
        <v>24</v>
      </c>
      <c r="L677" s="736">
        <f t="shared" si="73"/>
        <v>0</v>
      </c>
      <c r="M677" s="2533">
        <f t="shared" si="76"/>
        <v>1</v>
      </c>
      <c r="U677" s="1260">
        <f t="shared" si="71"/>
        <v>321</v>
      </c>
      <c r="V677" s="745">
        <v>0</v>
      </c>
      <c r="W677" s="745">
        <v>17</v>
      </c>
      <c r="X677" s="745">
        <v>1</v>
      </c>
      <c r="Y677" s="1202">
        <v>0</v>
      </c>
    </row>
    <row r="678" spans="5:25" ht="15" x14ac:dyDescent="0.2">
      <c r="E678" s="1201"/>
      <c r="F678" s="745"/>
      <c r="G678" s="745"/>
      <c r="H678" s="1256">
        <f t="shared" si="74"/>
        <v>0</v>
      </c>
      <c r="I678" s="736">
        <v>451</v>
      </c>
      <c r="J678" s="736">
        <f t="shared" si="72"/>
        <v>1</v>
      </c>
      <c r="K678" s="2532">
        <f t="shared" si="75"/>
        <v>23</v>
      </c>
      <c r="L678" s="736">
        <f t="shared" si="73"/>
        <v>0</v>
      </c>
      <c r="M678" s="2533">
        <f t="shared" si="76"/>
        <v>2</v>
      </c>
      <c r="U678" s="1260">
        <f t="shared" si="71"/>
        <v>339</v>
      </c>
      <c r="V678" s="745">
        <v>0</v>
      </c>
      <c r="W678" s="745">
        <v>18</v>
      </c>
      <c r="X678" s="745">
        <v>1</v>
      </c>
      <c r="Y678" s="1202">
        <v>0</v>
      </c>
    </row>
    <row r="679" spans="5:25" ht="15" x14ac:dyDescent="0.2">
      <c r="E679" s="1201"/>
      <c r="F679" s="745"/>
      <c r="G679" s="745"/>
      <c r="H679" s="1256">
        <f t="shared" si="74"/>
        <v>0</v>
      </c>
      <c r="I679" s="736">
        <v>452</v>
      </c>
      <c r="J679" s="736">
        <f t="shared" si="72"/>
        <v>3</v>
      </c>
      <c r="K679" s="2532">
        <f t="shared" si="75"/>
        <v>22</v>
      </c>
      <c r="L679" s="736">
        <f t="shared" si="73"/>
        <v>0</v>
      </c>
      <c r="M679" s="2533">
        <f t="shared" si="76"/>
        <v>1</v>
      </c>
      <c r="U679" s="1260">
        <f t="shared" si="71"/>
        <v>357</v>
      </c>
      <c r="V679" s="745">
        <v>0</v>
      </c>
      <c r="W679" s="745">
        <v>19</v>
      </c>
      <c r="X679" s="745">
        <v>1</v>
      </c>
      <c r="Y679" s="1202">
        <v>0</v>
      </c>
    </row>
    <row r="680" spans="5:25" ht="15" x14ac:dyDescent="0.2">
      <c r="E680" s="1201"/>
      <c r="F680" s="745"/>
      <c r="G680" s="745"/>
      <c r="H680" s="1256">
        <f t="shared" si="74"/>
        <v>0</v>
      </c>
      <c r="I680" s="736">
        <v>453</v>
      </c>
      <c r="J680" s="736">
        <f t="shared" si="72"/>
        <v>35</v>
      </c>
      <c r="K680" s="2532">
        <f t="shared" si="75"/>
        <v>0</v>
      </c>
      <c r="L680" s="736">
        <f t="shared" si="73"/>
        <v>1</v>
      </c>
      <c r="M680" s="2533">
        <f t="shared" si="76"/>
        <v>1</v>
      </c>
      <c r="U680" s="1260">
        <f t="shared" ref="U680:U743" si="77">ROUNDUP(W680*$W$294+V680*$V$294+X680*$X$294+Y680*$Y$294,0)</f>
        <v>375</v>
      </c>
      <c r="V680" s="745">
        <v>0</v>
      </c>
      <c r="W680" s="745">
        <v>20</v>
      </c>
      <c r="X680" s="745">
        <v>1</v>
      </c>
      <c r="Y680" s="1202">
        <v>0</v>
      </c>
    </row>
    <row r="681" spans="5:25" ht="15" x14ac:dyDescent="0.2">
      <c r="E681" s="1201"/>
      <c r="F681" s="745"/>
      <c r="G681" s="745"/>
      <c r="H681" s="1256">
        <f t="shared" si="74"/>
        <v>0</v>
      </c>
      <c r="I681" s="736">
        <v>454</v>
      </c>
      <c r="J681" s="736">
        <f t="shared" si="72"/>
        <v>2</v>
      </c>
      <c r="K681" s="2532">
        <f t="shared" si="75"/>
        <v>22</v>
      </c>
      <c r="L681" s="736">
        <f t="shared" si="73"/>
        <v>1</v>
      </c>
      <c r="M681" s="2533">
        <f t="shared" si="76"/>
        <v>1</v>
      </c>
      <c r="U681" s="1260">
        <f t="shared" si="77"/>
        <v>393</v>
      </c>
      <c r="V681" s="745">
        <v>0</v>
      </c>
      <c r="W681" s="745">
        <v>21</v>
      </c>
      <c r="X681" s="745">
        <v>1</v>
      </c>
      <c r="Y681" s="1202">
        <v>0</v>
      </c>
    </row>
    <row r="682" spans="5:25" ht="15" x14ac:dyDescent="0.2">
      <c r="E682" s="1201"/>
      <c r="F682" s="745"/>
      <c r="G682" s="745"/>
      <c r="H682" s="1256">
        <f t="shared" si="74"/>
        <v>0</v>
      </c>
      <c r="I682" s="736">
        <v>455</v>
      </c>
      <c r="J682" s="736">
        <f t="shared" si="72"/>
        <v>3</v>
      </c>
      <c r="K682" s="2532">
        <f t="shared" si="75"/>
        <v>21</v>
      </c>
      <c r="L682" s="736">
        <f t="shared" si="73"/>
        <v>1</v>
      </c>
      <c r="M682" s="2533">
        <f t="shared" si="76"/>
        <v>2</v>
      </c>
      <c r="U682" s="1260">
        <f t="shared" si="77"/>
        <v>411</v>
      </c>
      <c r="V682" s="745">
        <v>0</v>
      </c>
      <c r="W682" s="745">
        <v>22</v>
      </c>
      <c r="X682" s="745">
        <v>1</v>
      </c>
      <c r="Y682" s="1202">
        <v>0</v>
      </c>
    </row>
    <row r="683" spans="5:25" ht="15" x14ac:dyDescent="0.2">
      <c r="E683" s="1201"/>
      <c r="F683" s="745"/>
      <c r="G683" s="745"/>
      <c r="H683" s="1256">
        <f t="shared" si="74"/>
        <v>0</v>
      </c>
      <c r="I683" s="736">
        <v>456</v>
      </c>
      <c r="J683" s="736">
        <f t="shared" si="72"/>
        <v>5</v>
      </c>
      <c r="K683" s="2532">
        <f t="shared" si="75"/>
        <v>20</v>
      </c>
      <c r="L683" s="736">
        <f t="shared" si="73"/>
        <v>1</v>
      </c>
      <c r="M683" s="2533">
        <f t="shared" si="76"/>
        <v>1</v>
      </c>
      <c r="U683" s="1260">
        <f t="shared" si="77"/>
        <v>429</v>
      </c>
      <c r="V683" s="745">
        <v>0</v>
      </c>
      <c r="W683" s="745">
        <v>23</v>
      </c>
      <c r="X683" s="745">
        <v>1</v>
      </c>
      <c r="Y683" s="1202">
        <v>0</v>
      </c>
    </row>
    <row r="684" spans="5:25" ht="15" x14ac:dyDescent="0.2">
      <c r="E684" s="1201"/>
      <c r="F684" s="745"/>
      <c r="G684" s="745"/>
      <c r="H684" s="1256">
        <f t="shared" si="74"/>
        <v>0</v>
      </c>
      <c r="I684" s="736">
        <v>457</v>
      </c>
      <c r="J684" s="736">
        <f t="shared" si="72"/>
        <v>2</v>
      </c>
      <c r="K684" s="2532">
        <f t="shared" si="75"/>
        <v>23</v>
      </c>
      <c r="L684" s="736">
        <f t="shared" si="73"/>
        <v>0</v>
      </c>
      <c r="M684" s="2533">
        <f t="shared" si="76"/>
        <v>1</v>
      </c>
      <c r="U684" s="1260">
        <f t="shared" si="77"/>
        <v>447</v>
      </c>
      <c r="V684" s="745">
        <v>0</v>
      </c>
      <c r="W684" s="745">
        <v>24</v>
      </c>
      <c r="X684" s="745">
        <v>1</v>
      </c>
      <c r="Y684" s="1202">
        <v>0</v>
      </c>
    </row>
    <row r="685" spans="5:25" ht="15" x14ac:dyDescent="0.2">
      <c r="E685" s="1201"/>
      <c r="F685" s="745"/>
      <c r="G685" s="745"/>
      <c r="H685" s="1256">
        <f t="shared" si="74"/>
        <v>0</v>
      </c>
      <c r="I685" s="736">
        <v>458</v>
      </c>
      <c r="J685" s="736">
        <f t="shared" si="72"/>
        <v>3</v>
      </c>
      <c r="K685" s="2532">
        <f t="shared" si="75"/>
        <v>22</v>
      </c>
      <c r="L685" s="736">
        <f t="shared" si="73"/>
        <v>0</v>
      </c>
      <c r="M685" s="2533">
        <f t="shared" si="76"/>
        <v>2</v>
      </c>
      <c r="U685" s="1260">
        <f t="shared" si="77"/>
        <v>465</v>
      </c>
      <c r="V685" s="745">
        <v>0</v>
      </c>
      <c r="W685" s="745">
        <v>25</v>
      </c>
      <c r="X685" s="745">
        <v>1</v>
      </c>
      <c r="Y685" s="1202">
        <v>0</v>
      </c>
    </row>
    <row r="686" spans="5:25" ht="15" x14ac:dyDescent="0.2">
      <c r="E686" s="1201"/>
      <c r="F686" s="745"/>
      <c r="G686" s="745"/>
      <c r="H686" s="1256">
        <f t="shared" si="74"/>
        <v>0</v>
      </c>
      <c r="I686" s="736">
        <v>459</v>
      </c>
      <c r="J686" s="736">
        <f t="shared" ref="J686:J749" si="78">VLOOKUP($I686,$U$295:$Y$1758,2,FALSE)</f>
        <v>5</v>
      </c>
      <c r="K686" s="2532">
        <f t="shared" si="75"/>
        <v>21</v>
      </c>
      <c r="L686" s="736">
        <f t="shared" ref="L686:L749" si="79">VLOOKUP($I686,$U$295:$Y$1758,4,FALSE)</f>
        <v>0</v>
      </c>
      <c r="M686" s="2533">
        <f t="shared" si="76"/>
        <v>1</v>
      </c>
      <c r="U686" s="1260">
        <f t="shared" si="77"/>
        <v>483</v>
      </c>
      <c r="V686" s="745">
        <v>0</v>
      </c>
      <c r="W686" s="745">
        <v>26</v>
      </c>
      <c r="X686" s="745">
        <v>1</v>
      </c>
      <c r="Y686" s="1202">
        <v>0</v>
      </c>
    </row>
    <row r="687" spans="5:25" ht="15" x14ac:dyDescent="0.2">
      <c r="E687" s="1201"/>
      <c r="F687" s="745"/>
      <c r="G687" s="745"/>
      <c r="H687" s="1256">
        <f t="shared" ref="H687:H750" si="80">IF($H$298=I687,1,0)</f>
        <v>0</v>
      </c>
      <c r="I687" s="736">
        <v>460</v>
      </c>
      <c r="J687" s="736">
        <f t="shared" si="78"/>
        <v>1</v>
      </c>
      <c r="K687" s="2532">
        <f t="shared" ref="K687:K750" si="81">IF(VLOOKUP($I687,$U$295:$Y$1758,3,FALSE)&gt;0,VLOOKUP($I687,$U$295:$Y$1758,3,FALSE)-1,VLOOKUP($I687,$U$295:$Y$1758,3,FALSE))</f>
        <v>23</v>
      </c>
      <c r="L687" s="736">
        <f t="shared" si="79"/>
        <v>1</v>
      </c>
      <c r="M687" s="2533">
        <f t="shared" ref="M687:M750" si="82">VLOOKUP($I687,$U$295:$Y$1758,5,FALSE)+1</f>
        <v>1</v>
      </c>
      <c r="U687" s="1260">
        <f t="shared" si="77"/>
        <v>501</v>
      </c>
      <c r="V687" s="745">
        <v>0</v>
      </c>
      <c r="W687" s="745">
        <v>27</v>
      </c>
      <c r="X687" s="745">
        <v>1</v>
      </c>
      <c r="Y687" s="1202">
        <v>0</v>
      </c>
    </row>
    <row r="688" spans="5:25" ht="15" x14ac:dyDescent="0.2">
      <c r="E688" s="1201"/>
      <c r="F688" s="745"/>
      <c r="G688" s="745"/>
      <c r="H688" s="1256">
        <f t="shared" si="80"/>
        <v>0</v>
      </c>
      <c r="I688" s="736">
        <v>461</v>
      </c>
      <c r="J688" s="736">
        <f t="shared" si="78"/>
        <v>4</v>
      </c>
      <c r="K688" s="2532">
        <f t="shared" si="81"/>
        <v>21</v>
      </c>
      <c r="L688" s="736">
        <f t="shared" si="79"/>
        <v>1</v>
      </c>
      <c r="M688" s="2533">
        <f t="shared" si="82"/>
        <v>1</v>
      </c>
      <c r="U688" s="1260">
        <f t="shared" si="77"/>
        <v>519</v>
      </c>
      <c r="V688" s="745">
        <v>0</v>
      </c>
      <c r="W688" s="745">
        <v>28</v>
      </c>
      <c r="X688" s="745">
        <v>1</v>
      </c>
      <c r="Y688" s="1202">
        <v>0</v>
      </c>
    </row>
    <row r="689" spans="5:25" ht="15" x14ac:dyDescent="0.2">
      <c r="E689" s="1201"/>
      <c r="F689" s="745"/>
      <c r="G689" s="745"/>
      <c r="H689" s="1256">
        <f t="shared" si="80"/>
        <v>0</v>
      </c>
      <c r="I689" s="736">
        <v>462</v>
      </c>
      <c r="J689" s="736">
        <f t="shared" si="78"/>
        <v>5</v>
      </c>
      <c r="K689" s="2532">
        <f t="shared" si="81"/>
        <v>20</v>
      </c>
      <c r="L689" s="736">
        <f t="shared" si="79"/>
        <v>1</v>
      </c>
      <c r="M689" s="2533">
        <f t="shared" si="82"/>
        <v>2</v>
      </c>
      <c r="U689" s="1260">
        <f t="shared" si="77"/>
        <v>537</v>
      </c>
      <c r="V689" s="745">
        <v>0</v>
      </c>
      <c r="W689" s="745">
        <v>29</v>
      </c>
      <c r="X689" s="745">
        <v>1</v>
      </c>
      <c r="Y689" s="1202">
        <v>0</v>
      </c>
    </row>
    <row r="690" spans="5:25" ht="15" x14ac:dyDescent="0.2">
      <c r="E690" s="1201"/>
      <c r="F690" s="745"/>
      <c r="G690" s="745"/>
      <c r="H690" s="1256">
        <f t="shared" si="80"/>
        <v>0</v>
      </c>
      <c r="I690" s="736">
        <v>463</v>
      </c>
      <c r="J690" s="736">
        <f t="shared" si="78"/>
        <v>1</v>
      </c>
      <c r="K690" s="2532">
        <f t="shared" si="81"/>
        <v>24</v>
      </c>
      <c r="L690" s="736">
        <f t="shared" si="79"/>
        <v>0</v>
      </c>
      <c r="M690" s="2533">
        <f t="shared" si="82"/>
        <v>1</v>
      </c>
      <c r="U690" s="1260">
        <f t="shared" si="77"/>
        <v>555</v>
      </c>
      <c r="V690" s="745">
        <v>0</v>
      </c>
      <c r="W690" s="745">
        <v>30</v>
      </c>
      <c r="X690" s="745">
        <v>1</v>
      </c>
      <c r="Y690" s="1202">
        <v>0</v>
      </c>
    </row>
    <row r="691" spans="5:25" ht="15" x14ac:dyDescent="0.2">
      <c r="E691" s="1201"/>
      <c r="F691" s="745"/>
      <c r="G691" s="745"/>
      <c r="H691" s="1256">
        <f t="shared" si="80"/>
        <v>0</v>
      </c>
      <c r="I691" s="736">
        <v>464</v>
      </c>
      <c r="J691" s="736">
        <f t="shared" si="78"/>
        <v>4</v>
      </c>
      <c r="K691" s="2532">
        <f t="shared" si="81"/>
        <v>22</v>
      </c>
      <c r="L691" s="736">
        <f t="shared" si="79"/>
        <v>0</v>
      </c>
      <c r="M691" s="2533">
        <f t="shared" si="82"/>
        <v>1</v>
      </c>
      <c r="U691" s="1260">
        <f t="shared" si="77"/>
        <v>573</v>
      </c>
      <c r="V691" s="745">
        <v>0</v>
      </c>
      <c r="W691" s="745">
        <v>31</v>
      </c>
      <c r="X691" s="745">
        <v>1</v>
      </c>
      <c r="Y691" s="1202">
        <v>0</v>
      </c>
    </row>
    <row r="692" spans="5:25" ht="15" x14ac:dyDescent="0.2">
      <c r="E692" s="1201"/>
      <c r="F692" s="745"/>
      <c r="G692" s="745"/>
      <c r="H692" s="1256">
        <f t="shared" si="80"/>
        <v>0</v>
      </c>
      <c r="I692" s="736">
        <v>465</v>
      </c>
      <c r="J692" s="736">
        <f t="shared" si="78"/>
        <v>0</v>
      </c>
      <c r="K692" s="2532">
        <f t="shared" si="81"/>
        <v>24</v>
      </c>
      <c r="L692" s="736">
        <f t="shared" si="79"/>
        <v>1</v>
      </c>
      <c r="M692" s="2533">
        <f t="shared" si="82"/>
        <v>1</v>
      </c>
      <c r="U692" s="1260">
        <f t="shared" si="77"/>
        <v>591</v>
      </c>
      <c r="V692" s="745">
        <v>0</v>
      </c>
      <c r="W692" s="745">
        <v>32</v>
      </c>
      <c r="X692" s="745">
        <v>1</v>
      </c>
      <c r="Y692" s="1202">
        <v>0</v>
      </c>
    </row>
    <row r="693" spans="5:25" ht="15" x14ac:dyDescent="0.2">
      <c r="E693" s="1201"/>
      <c r="F693" s="745"/>
      <c r="G693" s="745"/>
      <c r="H693" s="1256">
        <f t="shared" si="80"/>
        <v>0</v>
      </c>
      <c r="I693" s="736">
        <v>466</v>
      </c>
      <c r="J693" s="736">
        <f t="shared" si="78"/>
        <v>1</v>
      </c>
      <c r="K693" s="2532">
        <f t="shared" si="81"/>
        <v>23</v>
      </c>
      <c r="L693" s="736">
        <f t="shared" si="79"/>
        <v>1</v>
      </c>
      <c r="M693" s="2533">
        <f t="shared" si="82"/>
        <v>2</v>
      </c>
      <c r="U693" s="1260">
        <f t="shared" si="77"/>
        <v>609</v>
      </c>
      <c r="V693" s="745">
        <v>0</v>
      </c>
      <c r="W693" s="745">
        <v>33</v>
      </c>
      <c r="X693" s="745">
        <v>1</v>
      </c>
      <c r="Y693" s="1202">
        <v>0</v>
      </c>
    </row>
    <row r="694" spans="5:25" ht="15" x14ac:dyDescent="0.2">
      <c r="E694" s="1201"/>
      <c r="F694" s="745"/>
      <c r="G694" s="745"/>
      <c r="H694" s="1256">
        <f t="shared" si="80"/>
        <v>0</v>
      </c>
      <c r="I694" s="736">
        <v>467</v>
      </c>
      <c r="J694" s="736">
        <f t="shared" si="78"/>
        <v>3</v>
      </c>
      <c r="K694" s="2532">
        <f t="shared" si="81"/>
        <v>22</v>
      </c>
      <c r="L694" s="736">
        <f t="shared" si="79"/>
        <v>1</v>
      </c>
      <c r="M694" s="2533">
        <f t="shared" si="82"/>
        <v>1</v>
      </c>
      <c r="U694" s="1260">
        <f t="shared" si="77"/>
        <v>627</v>
      </c>
      <c r="V694" s="745">
        <v>0</v>
      </c>
      <c r="W694" s="745">
        <v>34</v>
      </c>
      <c r="X694" s="745">
        <v>1</v>
      </c>
      <c r="Y694" s="1202">
        <v>0</v>
      </c>
    </row>
    <row r="695" spans="5:25" ht="15" x14ac:dyDescent="0.2">
      <c r="E695" s="1201"/>
      <c r="F695" s="745"/>
      <c r="G695" s="745"/>
      <c r="H695" s="1256">
        <f t="shared" si="80"/>
        <v>0</v>
      </c>
      <c r="I695" s="736">
        <v>468</v>
      </c>
      <c r="J695" s="736">
        <f t="shared" si="78"/>
        <v>0</v>
      </c>
      <c r="K695" s="2532">
        <f t="shared" si="81"/>
        <v>25</v>
      </c>
      <c r="L695" s="736">
        <f t="shared" si="79"/>
        <v>0</v>
      </c>
      <c r="M695" s="2533">
        <f t="shared" si="82"/>
        <v>1</v>
      </c>
      <c r="U695" s="1260">
        <f t="shared" si="77"/>
        <v>645</v>
      </c>
      <c r="V695" s="745">
        <v>0</v>
      </c>
      <c r="W695" s="745">
        <v>35</v>
      </c>
      <c r="X695" s="745">
        <v>1</v>
      </c>
      <c r="Y695" s="1202">
        <v>0</v>
      </c>
    </row>
    <row r="696" spans="5:25" ht="15" x14ac:dyDescent="0.2">
      <c r="E696" s="1201"/>
      <c r="F696" s="745"/>
      <c r="G696" s="745"/>
      <c r="H696" s="1256">
        <f t="shared" si="80"/>
        <v>0</v>
      </c>
      <c r="I696" s="736">
        <v>469</v>
      </c>
      <c r="J696" s="736">
        <f t="shared" si="78"/>
        <v>1</v>
      </c>
      <c r="K696" s="2532">
        <f t="shared" si="81"/>
        <v>24</v>
      </c>
      <c r="L696" s="736">
        <f t="shared" si="79"/>
        <v>0</v>
      </c>
      <c r="M696" s="2533">
        <f t="shared" si="82"/>
        <v>2</v>
      </c>
      <c r="U696" s="1260">
        <f t="shared" si="77"/>
        <v>663</v>
      </c>
      <c r="V696" s="745">
        <v>0</v>
      </c>
      <c r="W696" s="745">
        <v>36</v>
      </c>
      <c r="X696" s="745">
        <v>1</v>
      </c>
      <c r="Y696" s="1202">
        <v>0</v>
      </c>
    </row>
    <row r="697" spans="5:25" ht="15" x14ac:dyDescent="0.2">
      <c r="E697" s="1201"/>
      <c r="F697" s="745"/>
      <c r="G697" s="745"/>
      <c r="H697" s="1256">
        <f t="shared" si="80"/>
        <v>0</v>
      </c>
      <c r="I697" s="736">
        <v>470</v>
      </c>
      <c r="J697" s="736">
        <f t="shared" si="78"/>
        <v>3</v>
      </c>
      <c r="K697" s="2532">
        <f t="shared" si="81"/>
        <v>23</v>
      </c>
      <c r="L697" s="736">
        <f t="shared" si="79"/>
        <v>0</v>
      </c>
      <c r="M697" s="2533">
        <f t="shared" si="82"/>
        <v>1</v>
      </c>
      <c r="U697" s="1260">
        <f t="shared" si="77"/>
        <v>681</v>
      </c>
      <c r="V697" s="745">
        <v>0</v>
      </c>
      <c r="W697" s="745">
        <v>37</v>
      </c>
      <c r="X697" s="745">
        <v>1</v>
      </c>
      <c r="Y697" s="1202">
        <v>0</v>
      </c>
    </row>
    <row r="698" spans="5:25" ht="15" x14ac:dyDescent="0.2">
      <c r="E698" s="1201"/>
      <c r="F698" s="745"/>
      <c r="G698" s="745"/>
      <c r="H698" s="1256">
        <f t="shared" si="80"/>
        <v>0</v>
      </c>
      <c r="I698" s="736">
        <v>471</v>
      </c>
      <c r="J698" s="736">
        <f t="shared" si="78"/>
        <v>0</v>
      </c>
      <c r="K698" s="2532">
        <f t="shared" si="81"/>
        <v>24</v>
      </c>
      <c r="L698" s="736">
        <f t="shared" si="79"/>
        <v>1</v>
      </c>
      <c r="M698" s="2533">
        <f t="shared" si="82"/>
        <v>2</v>
      </c>
      <c r="U698" s="1260">
        <f t="shared" si="77"/>
        <v>699</v>
      </c>
      <c r="V698" s="745">
        <v>0</v>
      </c>
      <c r="W698" s="745">
        <v>38</v>
      </c>
      <c r="X698" s="745">
        <v>1</v>
      </c>
      <c r="Y698" s="1202">
        <v>0</v>
      </c>
    </row>
    <row r="699" spans="5:25" ht="15" x14ac:dyDescent="0.2">
      <c r="E699" s="1201"/>
      <c r="F699" s="745"/>
      <c r="G699" s="745"/>
      <c r="H699" s="1256">
        <f t="shared" si="80"/>
        <v>0</v>
      </c>
      <c r="I699" s="736">
        <v>472</v>
      </c>
      <c r="J699" s="736">
        <f t="shared" si="78"/>
        <v>2</v>
      </c>
      <c r="K699" s="2532">
        <f t="shared" si="81"/>
        <v>23</v>
      </c>
      <c r="L699" s="736">
        <f t="shared" si="79"/>
        <v>1</v>
      </c>
      <c r="M699" s="2533">
        <f t="shared" si="82"/>
        <v>1</v>
      </c>
      <c r="U699" s="1260">
        <f t="shared" si="77"/>
        <v>717</v>
      </c>
      <c r="V699" s="745">
        <v>0</v>
      </c>
      <c r="W699" s="745">
        <v>39</v>
      </c>
      <c r="X699" s="745">
        <v>1</v>
      </c>
      <c r="Y699" s="1202">
        <v>0</v>
      </c>
    </row>
    <row r="700" spans="5:25" ht="15" x14ac:dyDescent="0.2">
      <c r="E700" s="1201"/>
      <c r="F700" s="745"/>
      <c r="G700" s="745"/>
      <c r="H700" s="1256">
        <f t="shared" si="80"/>
        <v>0</v>
      </c>
      <c r="I700" s="736">
        <v>473</v>
      </c>
      <c r="J700" s="736">
        <f t="shared" si="78"/>
        <v>3</v>
      </c>
      <c r="K700" s="2532">
        <f t="shared" si="81"/>
        <v>22</v>
      </c>
      <c r="L700" s="736">
        <f t="shared" si="79"/>
        <v>1</v>
      </c>
      <c r="M700" s="2533">
        <f t="shared" si="82"/>
        <v>2</v>
      </c>
      <c r="U700" s="1260">
        <f t="shared" si="77"/>
        <v>735</v>
      </c>
      <c r="V700" s="745">
        <v>0</v>
      </c>
      <c r="W700" s="745">
        <v>40</v>
      </c>
      <c r="X700" s="745">
        <v>1</v>
      </c>
      <c r="Y700" s="1202">
        <v>0</v>
      </c>
    </row>
    <row r="701" spans="5:25" ht="15" x14ac:dyDescent="0.2">
      <c r="E701" s="1201"/>
      <c r="F701" s="745"/>
      <c r="G701" s="745"/>
      <c r="H701" s="1256">
        <f t="shared" si="80"/>
        <v>0</v>
      </c>
      <c r="I701" s="736">
        <v>474</v>
      </c>
      <c r="J701" s="736">
        <f t="shared" si="78"/>
        <v>5</v>
      </c>
      <c r="K701" s="2532">
        <f t="shared" si="81"/>
        <v>21</v>
      </c>
      <c r="L701" s="736">
        <f t="shared" si="79"/>
        <v>1</v>
      </c>
      <c r="M701" s="2533">
        <f t="shared" si="82"/>
        <v>1</v>
      </c>
      <c r="U701" s="1260">
        <f t="shared" si="77"/>
        <v>753</v>
      </c>
      <c r="V701" s="745">
        <v>0</v>
      </c>
      <c r="W701" s="745">
        <v>41</v>
      </c>
      <c r="X701" s="745">
        <v>1</v>
      </c>
      <c r="Y701" s="1202">
        <v>0</v>
      </c>
    </row>
    <row r="702" spans="5:25" ht="15" x14ac:dyDescent="0.2">
      <c r="E702" s="1201"/>
      <c r="F702" s="745"/>
      <c r="G702" s="745"/>
      <c r="H702" s="1256">
        <f t="shared" si="80"/>
        <v>0</v>
      </c>
      <c r="I702" s="736">
        <v>475</v>
      </c>
      <c r="J702" s="736">
        <f t="shared" si="78"/>
        <v>2</v>
      </c>
      <c r="K702" s="2532">
        <f t="shared" si="81"/>
        <v>24</v>
      </c>
      <c r="L702" s="736">
        <f t="shared" si="79"/>
        <v>0</v>
      </c>
      <c r="M702" s="2533">
        <f t="shared" si="82"/>
        <v>1</v>
      </c>
      <c r="U702" s="1260">
        <f t="shared" si="77"/>
        <v>771</v>
      </c>
      <c r="V702" s="745">
        <v>0</v>
      </c>
      <c r="W702" s="745">
        <v>42</v>
      </c>
      <c r="X702" s="745">
        <v>1</v>
      </c>
      <c r="Y702" s="1202">
        <v>0</v>
      </c>
    </row>
    <row r="703" spans="5:25" ht="15" x14ac:dyDescent="0.2">
      <c r="E703" s="1201"/>
      <c r="F703" s="745"/>
      <c r="G703" s="745"/>
      <c r="H703" s="1256">
        <f t="shared" si="80"/>
        <v>0</v>
      </c>
      <c r="I703" s="736">
        <v>476</v>
      </c>
      <c r="J703" s="736">
        <f t="shared" si="78"/>
        <v>3</v>
      </c>
      <c r="K703" s="2532">
        <f t="shared" si="81"/>
        <v>23</v>
      </c>
      <c r="L703" s="736">
        <f t="shared" si="79"/>
        <v>0</v>
      </c>
      <c r="M703" s="2533">
        <f t="shared" si="82"/>
        <v>2</v>
      </c>
      <c r="U703" s="1260">
        <f t="shared" si="77"/>
        <v>789</v>
      </c>
      <c r="V703" s="745">
        <v>0</v>
      </c>
      <c r="W703" s="745">
        <v>43</v>
      </c>
      <c r="X703" s="745">
        <v>1</v>
      </c>
      <c r="Y703" s="1202">
        <v>0</v>
      </c>
    </row>
    <row r="704" spans="5:25" ht="15" x14ac:dyDescent="0.2">
      <c r="E704" s="1201"/>
      <c r="F704" s="745"/>
      <c r="G704" s="745"/>
      <c r="H704" s="1256">
        <f t="shared" si="80"/>
        <v>0</v>
      </c>
      <c r="I704" s="736">
        <v>477</v>
      </c>
      <c r="J704" s="736">
        <f t="shared" si="78"/>
        <v>5</v>
      </c>
      <c r="K704" s="2532">
        <f t="shared" si="81"/>
        <v>22</v>
      </c>
      <c r="L704" s="736">
        <f t="shared" si="79"/>
        <v>0</v>
      </c>
      <c r="M704" s="2533">
        <f t="shared" si="82"/>
        <v>1</v>
      </c>
      <c r="U704" s="1260">
        <f t="shared" si="77"/>
        <v>807</v>
      </c>
      <c r="V704" s="745">
        <v>0</v>
      </c>
      <c r="W704" s="745">
        <v>44</v>
      </c>
      <c r="X704" s="745">
        <v>1</v>
      </c>
      <c r="Y704" s="1202">
        <v>0</v>
      </c>
    </row>
    <row r="705" spans="5:25" ht="15" x14ac:dyDescent="0.2">
      <c r="E705" s="1201"/>
      <c r="F705" s="745"/>
      <c r="G705" s="745"/>
      <c r="H705" s="1256">
        <f t="shared" si="80"/>
        <v>0</v>
      </c>
      <c r="I705" s="736">
        <v>478</v>
      </c>
      <c r="J705" s="736">
        <f t="shared" si="78"/>
        <v>1</v>
      </c>
      <c r="K705" s="2532">
        <f t="shared" si="81"/>
        <v>24</v>
      </c>
      <c r="L705" s="736">
        <f t="shared" si="79"/>
        <v>1</v>
      </c>
      <c r="M705" s="2533">
        <f t="shared" si="82"/>
        <v>1</v>
      </c>
      <c r="U705" s="1260">
        <f t="shared" si="77"/>
        <v>825</v>
      </c>
      <c r="V705" s="745">
        <v>0</v>
      </c>
      <c r="W705" s="745">
        <v>45</v>
      </c>
      <c r="X705" s="745">
        <v>1</v>
      </c>
      <c r="Y705" s="1202">
        <v>0</v>
      </c>
    </row>
    <row r="706" spans="5:25" ht="15" x14ac:dyDescent="0.2">
      <c r="E706" s="1201"/>
      <c r="F706" s="745"/>
      <c r="G706" s="745"/>
      <c r="H706" s="1256">
        <f t="shared" si="80"/>
        <v>0</v>
      </c>
      <c r="I706" s="736">
        <v>479</v>
      </c>
      <c r="J706" s="736">
        <f t="shared" si="78"/>
        <v>4</v>
      </c>
      <c r="K706" s="2532">
        <f t="shared" si="81"/>
        <v>22</v>
      </c>
      <c r="L706" s="736">
        <f t="shared" si="79"/>
        <v>1</v>
      </c>
      <c r="M706" s="2533">
        <f t="shared" si="82"/>
        <v>1</v>
      </c>
      <c r="U706" s="1260">
        <f t="shared" si="77"/>
        <v>843</v>
      </c>
      <c r="V706" s="745">
        <v>0</v>
      </c>
      <c r="W706" s="745">
        <v>46</v>
      </c>
      <c r="X706" s="745">
        <v>1</v>
      </c>
      <c r="Y706" s="1202">
        <v>0</v>
      </c>
    </row>
    <row r="707" spans="5:25" ht="15" x14ac:dyDescent="0.2">
      <c r="E707" s="1201"/>
      <c r="F707" s="745"/>
      <c r="G707" s="745"/>
      <c r="H707" s="1256">
        <f t="shared" si="80"/>
        <v>0</v>
      </c>
      <c r="I707" s="736">
        <v>480</v>
      </c>
      <c r="J707" s="736">
        <f t="shared" si="78"/>
        <v>5</v>
      </c>
      <c r="K707" s="2532">
        <f t="shared" si="81"/>
        <v>21</v>
      </c>
      <c r="L707" s="736">
        <f t="shared" si="79"/>
        <v>1</v>
      </c>
      <c r="M707" s="2533">
        <f t="shared" si="82"/>
        <v>2</v>
      </c>
      <c r="U707" s="1260">
        <f t="shared" si="77"/>
        <v>861</v>
      </c>
      <c r="V707" s="745">
        <v>0</v>
      </c>
      <c r="W707" s="745">
        <v>47</v>
      </c>
      <c r="X707" s="745">
        <v>1</v>
      </c>
      <c r="Y707" s="1202">
        <v>0</v>
      </c>
    </row>
    <row r="708" spans="5:25" ht="15" x14ac:dyDescent="0.2">
      <c r="E708" s="1201"/>
      <c r="F708" s="745"/>
      <c r="G708" s="745"/>
      <c r="H708" s="1256">
        <f t="shared" si="80"/>
        <v>0</v>
      </c>
      <c r="I708" s="736">
        <v>481</v>
      </c>
      <c r="J708" s="736">
        <f t="shared" si="78"/>
        <v>1</v>
      </c>
      <c r="K708" s="2532">
        <f t="shared" si="81"/>
        <v>25</v>
      </c>
      <c r="L708" s="736">
        <f t="shared" si="79"/>
        <v>0</v>
      </c>
      <c r="M708" s="2533">
        <f t="shared" si="82"/>
        <v>1</v>
      </c>
      <c r="U708" s="1260">
        <f t="shared" si="77"/>
        <v>879</v>
      </c>
      <c r="V708" s="745">
        <v>0</v>
      </c>
      <c r="W708" s="745">
        <v>48</v>
      </c>
      <c r="X708" s="745">
        <v>1</v>
      </c>
      <c r="Y708" s="1202">
        <v>0</v>
      </c>
    </row>
    <row r="709" spans="5:25" ht="15" x14ac:dyDescent="0.2">
      <c r="E709" s="1201"/>
      <c r="F709" s="745"/>
      <c r="G709" s="745"/>
      <c r="H709" s="1256">
        <f t="shared" si="80"/>
        <v>0</v>
      </c>
      <c r="I709" s="736">
        <v>482</v>
      </c>
      <c r="J709" s="736">
        <f t="shared" si="78"/>
        <v>4</v>
      </c>
      <c r="K709" s="2532">
        <f t="shared" si="81"/>
        <v>23</v>
      </c>
      <c r="L709" s="736">
        <f t="shared" si="79"/>
        <v>0</v>
      </c>
      <c r="M709" s="2533">
        <f t="shared" si="82"/>
        <v>1</v>
      </c>
      <c r="U709" s="1260">
        <f t="shared" si="77"/>
        <v>897</v>
      </c>
      <c r="V709" s="745">
        <v>0</v>
      </c>
      <c r="W709" s="745">
        <v>49</v>
      </c>
      <c r="X709" s="745">
        <v>1</v>
      </c>
      <c r="Y709" s="1202">
        <v>0</v>
      </c>
    </row>
    <row r="710" spans="5:25" ht="15" x14ac:dyDescent="0.2">
      <c r="E710" s="1201"/>
      <c r="F710" s="745"/>
      <c r="G710" s="745"/>
      <c r="H710" s="1256">
        <f t="shared" si="80"/>
        <v>0</v>
      </c>
      <c r="I710" s="736">
        <v>483</v>
      </c>
      <c r="J710" s="736">
        <f t="shared" si="78"/>
        <v>0</v>
      </c>
      <c r="K710" s="2532">
        <f t="shared" si="81"/>
        <v>25</v>
      </c>
      <c r="L710" s="736">
        <f t="shared" si="79"/>
        <v>1</v>
      </c>
      <c r="M710" s="2533">
        <f t="shared" si="82"/>
        <v>1</v>
      </c>
      <c r="U710" s="1260">
        <f t="shared" si="77"/>
        <v>915</v>
      </c>
      <c r="V710" s="745">
        <v>0</v>
      </c>
      <c r="W710" s="745">
        <v>50</v>
      </c>
      <c r="X710" s="745">
        <v>1</v>
      </c>
      <c r="Y710" s="1202">
        <v>0</v>
      </c>
    </row>
    <row r="711" spans="5:25" ht="15" x14ac:dyDescent="0.2">
      <c r="E711" s="1201"/>
      <c r="F711" s="745"/>
      <c r="G711" s="745"/>
      <c r="H711" s="1256">
        <f t="shared" si="80"/>
        <v>0</v>
      </c>
      <c r="I711" s="736">
        <v>484</v>
      </c>
      <c r="J711" s="736">
        <f t="shared" si="78"/>
        <v>1</v>
      </c>
      <c r="K711" s="2532">
        <f t="shared" si="81"/>
        <v>24</v>
      </c>
      <c r="L711" s="736">
        <f t="shared" si="79"/>
        <v>1</v>
      </c>
      <c r="M711" s="2533">
        <f t="shared" si="82"/>
        <v>2</v>
      </c>
      <c r="U711" s="1260">
        <f t="shared" si="77"/>
        <v>933</v>
      </c>
      <c r="V711" s="745">
        <v>0</v>
      </c>
      <c r="W711" s="745">
        <v>51</v>
      </c>
      <c r="X711" s="745">
        <v>1</v>
      </c>
      <c r="Y711" s="1202">
        <v>0</v>
      </c>
    </row>
    <row r="712" spans="5:25" ht="15" x14ac:dyDescent="0.2">
      <c r="E712" s="1201"/>
      <c r="F712" s="745"/>
      <c r="G712" s="745"/>
      <c r="H712" s="1256">
        <f t="shared" si="80"/>
        <v>0</v>
      </c>
      <c r="I712" s="736">
        <v>485</v>
      </c>
      <c r="J712" s="736">
        <f t="shared" si="78"/>
        <v>3</v>
      </c>
      <c r="K712" s="2532">
        <f t="shared" si="81"/>
        <v>23</v>
      </c>
      <c r="L712" s="736">
        <f t="shared" si="79"/>
        <v>1</v>
      </c>
      <c r="M712" s="2533">
        <f t="shared" si="82"/>
        <v>1</v>
      </c>
      <c r="U712" s="1260">
        <f t="shared" si="77"/>
        <v>951</v>
      </c>
      <c r="V712" s="745">
        <v>0</v>
      </c>
      <c r="W712" s="745">
        <v>52</v>
      </c>
      <c r="X712" s="745">
        <v>1</v>
      </c>
      <c r="Y712" s="1202">
        <v>0</v>
      </c>
    </row>
    <row r="713" spans="5:25" ht="15" x14ac:dyDescent="0.2">
      <c r="E713" s="1201"/>
      <c r="F713" s="745"/>
      <c r="G713" s="745"/>
      <c r="H713" s="1256">
        <f t="shared" si="80"/>
        <v>0</v>
      </c>
      <c r="I713" s="736">
        <v>486</v>
      </c>
      <c r="J713" s="736">
        <f t="shared" si="78"/>
        <v>0</v>
      </c>
      <c r="K713" s="2532">
        <f t="shared" si="81"/>
        <v>26</v>
      </c>
      <c r="L713" s="736">
        <f t="shared" si="79"/>
        <v>0</v>
      </c>
      <c r="M713" s="2533">
        <f t="shared" si="82"/>
        <v>1</v>
      </c>
      <c r="U713" s="1260">
        <f t="shared" si="77"/>
        <v>969</v>
      </c>
      <c r="V713" s="745">
        <v>0</v>
      </c>
      <c r="W713" s="745">
        <v>53</v>
      </c>
      <c r="X713" s="745">
        <v>1</v>
      </c>
      <c r="Y713" s="1202">
        <v>0</v>
      </c>
    </row>
    <row r="714" spans="5:25" ht="15" x14ac:dyDescent="0.2">
      <c r="E714" s="1201"/>
      <c r="F714" s="745"/>
      <c r="G714" s="745"/>
      <c r="H714" s="1256">
        <f t="shared" si="80"/>
        <v>0</v>
      </c>
      <c r="I714" s="736">
        <v>487</v>
      </c>
      <c r="J714" s="736">
        <f t="shared" si="78"/>
        <v>1</v>
      </c>
      <c r="K714" s="2532">
        <f t="shared" si="81"/>
        <v>25</v>
      </c>
      <c r="L714" s="736">
        <f t="shared" si="79"/>
        <v>0</v>
      </c>
      <c r="M714" s="2533">
        <f t="shared" si="82"/>
        <v>2</v>
      </c>
      <c r="U714" s="1260">
        <f t="shared" si="77"/>
        <v>987</v>
      </c>
      <c r="V714" s="745">
        <v>0</v>
      </c>
      <c r="W714" s="745">
        <v>54</v>
      </c>
      <c r="X714" s="745">
        <v>1</v>
      </c>
      <c r="Y714" s="1202">
        <v>0</v>
      </c>
    </row>
    <row r="715" spans="5:25" ht="15" x14ac:dyDescent="0.2">
      <c r="E715" s="1201"/>
      <c r="F715" s="745"/>
      <c r="G715" s="745"/>
      <c r="H715" s="1256">
        <f t="shared" si="80"/>
        <v>0</v>
      </c>
      <c r="I715" s="736">
        <v>488</v>
      </c>
      <c r="J715" s="736">
        <f t="shared" si="78"/>
        <v>3</v>
      </c>
      <c r="K715" s="2532">
        <f t="shared" si="81"/>
        <v>24</v>
      </c>
      <c r="L715" s="736">
        <f t="shared" si="79"/>
        <v>0</v>
      </c>
      <c r="M715" s="2533">
        <f t="shared" si="82"/>
        <v>1</v>
      </c>
      <c r="U715" s="1260">
        <f t="shared" si="77"/>
        <v>1005</v>
      </c>
      <c r="V715" s="745">
        <v>0</v>
      </c>
      <c r="W715" s="745">
        <v>55</v>
      </c>
      <c r="X715" s="745">
        <v>1</v>
      </c>
      <c r="Y715" s="1202">
        <v>0</v>
      </c>
    </row>
    <row r="716" spans="5:25" ht="15" x14ac:dyDescent="0.2">
      <c r="E716" s="1201"/>
      <c r="F716" s="745"/>
      <c r="G716" s="745"/>
      <c r="H716" s="1256">
        <f t="shared" si="80"/>
        <v>0</v>
      </c>
      <c r="I716" s="736">
        <v>489</v>
      </c>
      <c r="J716" s="736">
        <f t="shared" si="78"/>
        <v>0</v>
      </c>
      <c r="K716" s="2532">
        <f t="shared" si="81"/>
        <v>25</v>
      </c>
      <c r="L716" s="736">
        <f t="shared" si="79"/>
        <v>1</v>
      </c>
      <c r="M716" s="2533">
        <f t="shared" si="82"/>
        <v>2</v>
      </c>
      <c r="U716" s="1260">
        <f t="shared" si="77"/>
        <v>1023</v>
      </c>
      <c r="V716" s="745">
        <v>0</v>
      </c>
      <c r="W716" s="745">
        <v>56</v>
      </c>
      <c r="X716" s="745">
        <v>1</v>
      </c>
      <c r="Y716" s="1202">
        <v>0</v>
      </c>
    </row>
    <row r="717" spans="5:25" ht="15" x14ac:dyDescent="0.2">
      <c r="E717" s="1201"/>
      <c r="F717" s="745"/>
      <c r="G717" s="745"/>
      <c r="H717" s="1256">
        <f t="shared" si="80"/>
        <v>0</v>
      </c>
      <c r="I717" s="736">
        <v>490</v>
      </c>
      <c r="J717" s="736">
        <f t="shared" si="78"/>
        <v>2</v>
      </c>
      <c r="K717" s="2532">
        <f t="shared" si="81"/>
        <v>24</v>
      </c>
      <c r="L717" s="736">
        <f t="shared" si="79"/>
        <v>1</v>
      </c>
      <c r="M717" s="2533">
        <f t="shared" si="82"/>
        <v>1</v>
      </c>
      <c r="U717" s="1260">
        <f t="shared" si="77"/>
        <v>46</v>
      </c>
      <c r="V717" s="745">
        <v>1</v>
      </c>
      <c r="W717" s="745">
        <v>1</v>
      </c>
      <c r="X717" s="745">
        <v>1</v>
      </c>
      <c r="Y717" s="1202">
        <v>0</v>
      </c>
    </row>
    <row r="718" spans="5:25" ht="15" x14ac:dyDescent="0.2">
      <c r="E718" s="1201"/>
      <c r="F718" s="745"/>
      <c r="G718" s="745"/>
      <c r="H718" s="1256">
        <f t="shared" si="80"/>
        <v>0</v>
      </c>
      <c r="I718" s="736">
        <v>491</v>
      </c>
      <c r="J718" s="736">
        <f t="shared" si="78"/>
        <v>3</v>
      </c>
      <c r="K718" s="2532">
        <f t="shared" si="81"/>
        <v>23</v>
      </c>
      <c r="L718" s="736">
        <f t="shared" si="79"/>
        <v>1</v>
      </c>
      <c r="M718" s="2533">
        <f t="shared" si="82"/>
        <v>2</v>
      </c>
      <c r="U718" s="1260">
        <f t="shared" si="77"/>
        <v>64</v>
      </c>
      <c r="V718" s="745">
        <v>1</v>
      </c>
      <c r="W718" s="745">
        <v>2</v>
      </c>
      <c r="X718" s="745">
        <v>1</v>
      </c>
      <c r="Y718" s="1202">
        <v>0</v>
      </c>
    </row>
    <row r="719" spans="5:25" ht="15" x14ac:dyDescent="0.2">
      <c r="E719" s="1201"/>
      <c r="F719" s="745"/>
      <c r="G719" s="745"/>
      <c r="H719" s="1256">
        <f t="shared" si="80"/>
        <v>0</v>
      </c>
      <c r="I719" s="736">
        <v>492</v>
      </c>
      <c r="J719" s="736">
        <f t="shared" si="78"/>
        <v>5</v>
      </c>
      <c r="K719" s="2532">
        <f t="shared" si="81"/>
        <v>22</v>
      </c>
      <c r="L719" s="736">
        <f t="shared" si="79"/>
        <v>1</v>
      </c>
      <c r="M719" s="2533">
        <f t="shared" si="82"/>
        <v>1</v>
      </c>
      <c r="U719" s="1260">
        <f t="shared" si="77"/>
        <v>82</v>
      </c>
      <c r="V719" s="745">
        <v>1</v>
      </c>
      <c r="W719" s="745">
        <v>3</v>
      </c>
      <c r="X719" s="745">
        <v>1</v>
      </c>
      <c r="Y719" s="1202">
        <v>0</v>
      </c>
    </row>
    <row r="720" spans="5:25" ht="15" x14ac:dyDescent="0.2">
      <c r="E720" s="1201"/>
      <c r="F720" s="745"/>
      <c r="G720" s="745"/>
      <c r="H720" s="1256">
        <f t="shared" si="80"/>
        <v>0</v>
      </c>
      <c r="I720" s="736">
        <v>493</v>
      </c>
      <c r="J720" s="736">
        <f t="shared" si="78"/>
        <v>2</v>
      </c>
      <c r="K720" s="2532">
        <f t="shared" si="81"/>
        <v>25</v>
      </c>
      <c r="L720" s="736">
        <f t="shared" si="79"/>
        <v>0</v>
      </c>
      <c r="M720" s="2533">
        <f t="shared" si="82"/>
        <v>1</v>
      </c>
      <c r="U720" s="1260">
        <f t="shared" si="77"/>
        <v>100</v>
      </c>
      <c r="V720" s="745">
        <v>1</v>
      </c>
      <c r="W720" s="745">
        <v>4</v>
      </c>
      <c r="X720" s="745">
        <v>1</v>
      </c>
      <c r="Y720" s="1202">
        <v>0</v>
      </c>
    </row>
    <row r="721" spans="5:25" ht="15" x14ac:dyDescent="0.2">
      <c r="E721" s="1201"/>
      <c r="F721" s="745"/>
      <c r="G721" s="745"/>
      <c r="H721" s="1256">
        <f t="shared" si="80"/>
        <v>0</v>
      </c>
      <c r="I721" s="736">
        <v>494</v>
      </c>
      <c r="J721" s="736">
        <f t="shared" si="78"/>
        <v>3</v>
      </c>
      <c r="K721" s="2532">
        <f t="shared" si="81"/>
        <v>24</v>
      </c>
      <c r="L721" s="736">
        <f t="shared" si="79"/>
        <v>0</v>
      </c>
      <c r="M721" s="2533">
        <f t="shared" si="82"/>
        <v>2</v>
      </c>
      <c r="U721" s="1260">
        <f t="shared" si="77"/>
        <v>118</v>
      </c>
      <c r="V721" s="745">
        <v>1</v>
      </c>
      <c r="W721" s="745">
        <v>5</v>
      </c>
      <c r="X721" s="745">
        <v>1</v>
      </c>
      <c r="Y721" s="1202">
        <v>0</v>
      </c>
    </row>
    <row r="722" spans="5:25" ht="15" x14ac:dyDescent="0.2">
      <c r="E722" s="1201"/>
      <c r="F722" s="745"/>
      <c r="G722" s="745"/>
      <c r="H722" s="1256">
        <f t="shared" si="80"/>
        <v>0</v>
      </c>
      <c r="I722" s="736">
        <v>495</v>
      </c>
      <c r="J722" s="736">
        <f t="shared" si="78"/>
        <v>5</v>
      </c>
      <c r="K722" s="2532">
        <f t="shared" si="81"/>
        <v>23</v>
      </c>
      <c r="L722" s="736">
        <f t="shared" si="79"/>
        <v>0</v>
      </c>
      <c r="M722" s="2533">
        <f t="shared" si="82"/>
        <v>1</v>
      </c>
      <c r="U722" s="1260">
        <f t="shared" si="77"/>
        <v>136</v>
      </c>
      <c r="V722" s="745">
        <v>1</v>
      </c>
      <c r="W722" s="745">
        <v>6</v>
      </c>
      <c r="X722" s="745">
        <v>1</v>
      </c>
      <c r="Y722" s="1202">
        <v>0</v>
      </c>
    </row>
    <row r="723" spans="5:25" ht="15" x14ac:dyDescent="0.2">
      <c r="E723" s="1201"/>
      <c r="F723" s="745"/>
      <c r="G723" s="745"/>
      <c r="H723" s="1256">
        <f t="shared" si="80"/>
        <v>0</v>
      </c>
      <c r="I723" s="736">
        <v>496</v>
      </c>
      <c r="J723" s="736">
        <f t="shared" si="78"/>
        <v>1</v>
      </c>
      <c r="K723" s="2532">
        <f t="shared" si="81"/>
        <v>25</v>
      </c>
      <c r="L723" s="736">
        <f t="shared" si="79"/>
        <v>1</v>
      </c>
      <c r="M723" s="2533">
        <f t="shared" si="82"/>
        <v>1</v>
      </c>
      <c r="U723" s="1260">
        <f t="shared" si="77"/>
        <v>154</v>
      </c>
      <c r="V723" s="745">
        <v>1</v>
      </c>
      <c r="W723" s="745">
        <v>7</v>
      </c>
      <c r="X723" s="745">
        <v>1</v>
      </c>
      <c r="Y723" s="1202">
        <v>0</v>
      </c>
    </row>
    <row r="724" spans="5:25" ht="15" x14ac:dyDescent="0.2">
      <c r="E724" s="1201"/>
      <c r="F724" s="745"/>
      <c r="G724" s="745"/>
      <c r="H724" s="1256">
        <f t="shared" si="80"/>
        <v>0</v>
      </c>
      <c r="I724" s="736">
        <v>497</v>
      </c>
      <c r="J724" s="736">
        <f t="shared" si="78"/>
        <v>4</v>
      </c>
      <c r="K724" s="2532">
        <f t="shared" si="81"/>
        <v>23</v>
      </c>
      <c r="L724" s="736">
        <f t="shared" si="79"/>
        <v>1</v>
      </c>
      <c r="M724" s="2533">
        <f t="shared" si="82"/>
        <v>1</v>
      </c>
      <c r="U724" s="1260">
        <f t="shared" si="77"/>
        <v>172</v>
      </c>
      <c r="V724" s="745">
        <v>1</v>
      </c>
      <c r="W724" s="745">
        <v>8</v>
      </c>
      <c r="X724" s="745">
        <v>1</v>
      </c>
      <c r="Y724" s="1202">
        <v>0</v>
      </c>
    </row>
    <row r="725" spans="5:25" ht="15" x14ac:dyDescent="0.2">
      <c r="E725" s="1201"/>
      <c r="F725" s="745"/>
      <c r="G725" s="745"/>
      <c r="H725" s="1256">
        <f t="shared" si="80"/>
        <v>0</v>
      </c>
      <c r="I725" s="736">
        <v>498</v>
      </c>
      <c r="J725" s="736">
        <f t="shared" si="78"/>
        <v>5</v>
      </c>
      <c r="K725" s="2532">
        <f t="shared" si="81"/>
        <v>22</v>
      </c>
      <c r="L725" s="736">
        <f t="shared" si="79"/>
        <v>1</v>
      </c>
      <c r="M725" s="2533">
        <f t="shared" si="82"/>
        <v>2</v>
      </c>
      <c r="U725" s="1260">
        <f t="shared" si="77"/>
        <v>190</v>
      </c>
      <c r="V725" s="745">
        <v>1</v>
      </c>
      <c r="W725" s="745">
        <v>9</v>
      </c>
      <c r="X725" s="745">
        <v>1</v>
      </c>
      <c r="Y725" s="1202">
        <v>0</v>
      </c>
    </row>
    <row r="726" spans="5:25" ht="15" x14ac:dyDescent="0.2">
      <c r="E726" s="1201"/>
      <c r="F726" s="745"/>
      <c r="G726" s="745"/>
      <c r="H726" s="1256">
        <f t="shared" si="80"/>
        <v>0</v>
      </c>
      <c r="I726" s="736">
        <v>499</v>
      </c>
      <c r="J726" s="736">
        <f t="shared" si="78"/>
        <v>1</v>
      </c>
      <c r="K726" s="2532">
        <f t="shared" si="81"/>
        <v>26</v>
      </c>
      <c r="L726" s="736">
        <f t="shared" si="79"/>
        <v>0</v>
      </c>
      <c r="M726" s="2533">
        <f t="shared" si="82"/>
        <v>1</v>
      </c>
      <c r="U726" s="1260">
        <f t="shared" si="77"/>
        <v>208</v>
      </c>
      <c r="V726" s="745">
        <v>1</v>
      </c>
      <c r="W726" s="745">
        <v>10</v>
      </c>
      <c r="X726" s="745">
        <v>1</v>
      </c>
      <c r="Y726" s="1202">
        <v>0</v>
      </c>
    </row>
    <row r="727" spans="5:25" ht="15" x14ac:dyDescent="0.2">
      <c r="E727" s="1201"/>
      <c r="F727" s="745"/>
      <c r="G727" s="745"/>
      <c r="H727" s="1256">
        <f t="shared" si="80"/>
        <v>0</v>
      </c>
      <c r="I727" s="736">
        <v>500</v>
      </c>
      <c r="J727" s="736">
        <f t="shared" si="78"/>
        <v>4</v>
      </c>
      <c r="K727" s="2532">
        <f t="shared" si="81"/>
        <v>24</v>
      </c>
      <c r="L727" s="736">
        <f t="shared" si="79"/>
        <v>0</v>
      </c>
      <c r="M727" s="2533">
        <f t="shared" si="82"/>
        <v>1</v>
      </c>
      <c r="U727" s="1260">
        <f t="shared" si="77"/>
        <v>226</v>
      </c>
      <c r="V727" s="745">
        <v>1</v>
      </c>
      <c r="W727" s="745">
        <v>11</v>
      </c>
      <c r="X727" s="745">
        <v>1</v>
      </c>
      <c r="Y727" s="1202">
        <v>0</v>
      </c>
    </row>
    <row r="728" spans="5:25" ht="15" x14ac:dyDescent="0.2">
      <c r="E728" s="1201"/>
      <c r="F728" s="745"/>
      <c r="G728" s="745"/>
      <c r="H728" s="1256">
        <f t="shared" si="80"/>
        <v>0</v>
      </c>
      <c r="I728" s="736">
        <v>501</v>
      </c>
      <c r="J728" s="736">
        <f t="shared" si="78"/>
        <v>0</v>
      </c>
      <c r="K728" s="2532">
        <f t="shared" si="81"/>
        <v>26</v>
      </c>
      <c r="L728" s="736">
        <f t="shared" si="79"/>
        <v>1</v>
      </c>
      <c r="M728" s="2533">
        <f t="shared" si="82"/>
        <v>1</v>
      </c>
      <c r="U728" s="1260">
        <f t="shared" si="77"/>
        <v>244</v>
      </c>
      <c r="V728" s="745">
        <v>1</v>
      </c>
      <c r="W728" s="745">
        <v>12</v>
      </c>
      <c r="X728" s="745">
        <v>1</v>
      </c>
      <c r="Y728" s="1202">
        <v>0</v>
      </c>
    </row>
    <row r="729" spans="5:25" ht="15" x14ac:dyDescent="0.2">
      <c r="E729" s="1201"/>
      <c r="F729" s="745"/>
      <c r="G729" s="745"/>
      <c r="H729" s="1256">
        <f t="shared" si="80"/>
        <v>0</v>
      </c>
      <c r="I729" s="736">
        <v>502</v>
      </c>
      <c r="J729" s="736">
        <f t="shared" si="78"/>
        <v>1</v>
      </c>
      <c r="K729" s="2532">
        <f t="shared" si="81"/>
        <v>25</v>
      </c>
      <c r="L729" s="736">
        <f t="shared" si="79"/>
        <v>1</v>
      </c>
      <c r="M729" s="2533">
        <f t="shared" si="82"/>
        <v>2</v>
      </c>
      <c r="U729" s="1260">
        <f t="shared" si="77"/>
        <v>262</v>
      </c>
      <c r="V729" s="745">
        <v>1</v>
      </c>
      <c r="W729" s="745">
        <v>13</v>
      </c>
      <c r="X729" s="745">
        <v>1</v>
      </c>
      <c r="Y729" s="1202">
        <v>0</v>
      </c>
    </row>
    <row r="730" spans="5:25" ht="15" x14ac:dyDescent="0.2">
      <c r="E730" s="1201"/>
      <c r="F730" s="745"/>
      <c r="G730" s="745"/>
      <c r="H730" s="1256">
        <f t="shared" si="80"/>
        <v>0</v>
      </c>
      <c r="I730" s="736">
        <v>503</v>
      </c>
      <c r="J730" s="736">
        <f t="shared" si="78"/>
        <v>3</v>
      </c>
      <c r="K730" s="2532">
        <f t="shared" si="81"/>
        <v>24</v>
      </c>
      <c r="L730" s="736">
        <f t="shared" si="79"/>
        <v>1</v>
      </c>
      <c r="M730" s="2533">
        <f t="shared" si="82"/>
        <v>1</v>
      </c>
      <c r="U730" s="1260">
        <f t="shared" si="77"/>
        <v>280</v>
      </c>
      <c r="V730" s="745">
        <v>1</v>
      </c>
      <c r="W730" s="745">
        <v>14</v>
      </c>
      <c r="X730" s="745">
        <v>1</v>
      </c>
      <c r="Y730" s="1202">
        <v>0</v>
      </c>
    </row>
    <row r="731" spans="5:25" ht="15" x14ac:dyDescent="0.2">
      <c r="E731" s="1201"/>
      <c r="F731" s="745"/>
      <c r="G731" s="745"/>
      <c r="H731" s="1256">
        <f t="shared" si="80"/>
        <v>0</v>
      </c>
      <c r="I731" s="736">
        <v>504</v>
      </c>
      <c r="J731" s="736">
        <f t="shared" si="78"/>
        <v>0</v>
      </c>
      <c r="K731" s="2532">
        <f t="shared" si="81"/>
        <v>27</v>
      </c>
      <c r="L731" s="736">
        <f t="shared" si="79"/>
        <v>0</v>
      </c>
      <c r="M731" s="2533">
        <f t="shared" si="82"/>
        <v>1</v>
      </c>
      <c r="U731" s="1260">
        <f t="shared" si="77"/>
        <v>298</v>
      </c>
      <c r="V731" s="745">
        <v>1</v>
      </c>
      <c r="W731" s="745">
        <v>15</v>
      </c>
      <c r="X731" s="745">
        <v>1</v>
      </c>
      <c r="Y731" s="1202">
        <v>0</v>
      </c>
    </row>
    <row r="732" spans="5:25" ht="15" x14ac:dyDescent="0.2">
      <c r="E732" s="1201"/>
      <c r="F732" s="745"/>
      <c r="G732" s="745"/>
      <c r="H732" s="1256">
        <f t="shared" si="80"/>
        <v>0</v>
      </c>
      <c r="I732" s="736">
        <v>505</v>
      </c>
      <c r="J732" s="736">
        <f t="shared" si="78"/>
        <v>1</v>
      </c>
      <c r="K732" s="2532">
        <f t="shared" si="81"/>
        <v>26</v>
      </c>
      <c r="L732" s="736">
        <f t="shared" si="79"/>
        <v>0</v>
      </c>
      <c r="M732" s="2533">
        <f t="shared" si="82"/>
        <v>2</v>
      </c>
      <c r="U732" s="1260">
        <f t="shared" si="77"/>
        <v>316</v>
      </c>
      <c r="V732" s="745">
        <v>1</v>
      </c>
      <c r="W732" s="745">
        <v>16</v>
      </c>
      <c r="X732" s="745">
        <v>1</v>
      </c>
      <c r="Y732" s="1202">
        <v>0</v>
      </c>
    </row>
    <row r="733" spans="5:25" ht="15" x14ac:dyDescent="0.2">
      <c r="E733" s="1201"/>
      <c r="F733" s="745"/>
      <c r="G733" s="745"/>
      <c r="H733" s="1256">
        <f t="shared" si="80"/>
        <v>0</v>
      </c>
      <c r="I733" s="736">
        <v>506</v>
      </c>
      <c r="J733" s="736">
        <f t="shared" si="78"/>
        <v>3</v>
      </c>
      <c r="K733" s="2532">
        <f t="shared" si="81"/>
        <v>25</v>
      </c>
      <c r="L733" s="736">
        <f t="shared" si="79"/>
        <v>0</v>
      </c>
      <c r="M733" s="2533">
        <f t="shared" si="82"/>
        <v>1</v>
      </c>
      <c r="U733" s="1260">
        <f t="shared" si="77"/>
        <v>334</v>
      </c>
      <c r="V733" s="745">
        <v>1</v>
      </c>
      <c r="W733" s="745">
        <v>17</v>
      </c>
      <c r="X733" s="745">
        <v>1</v>
      </c>
      <c r="Y733" s="1202">
        <v>0</v>
      </c>
    </row>
    <row r="734" spans="5:25" ht="15" x14ac:dyDescent="0.2">
      <c r="E734" s="1201"/>
      <c r="F734" s="745"/>
      <c r="G734" s="745"/>
      <c r="H734" s="1256">
        <f t="shared" si="80"/>
        <v>0</v>
      </c>
      <c r="I734" s="736">
        <v>507</v>
      </c>
      <c r="J734" s="736">
        <f t="shared" si="78"/>
        <v>0</v>
      </c>
      <c r="K734" s="2532">
        <f t="shared" si="81"/>
        <v>26</v>
      </c>
      <c r="L734" s="736">
        <f t="shared" si="79"/>
        <v>1</v>
      </c>
      <c r="M734" s="2533">
        <f t="shared" si="82"/>
        <v>2</v>
      </c>
      <c r="U734" s="1260">
        <f t="shared" si="77"/>
        <v>352</v>
      </c>
      <c r="V734" s="745">
        <v>1</v>
      </c>
      <c r="W734" s="745">
        <v>18</v>
      </c>
      <c r="X734" s="745">
        <v>1</v>
      </c>
      <c r="Y734" s="1202">
        <v>0</v>
      </c>
    </row>
    <row r="735" spans="5:25" ht="15" x14ac:dyDescent="0.2">
      <c r="E735" s="1201"/>
      <c r="F735" s="745"/>
      <c r="G735" s="745"/>
      <c r="H735" s="1256">
        <f t="shared" si="80"/>
        <v>0</v>
      </c>
      <c r="I735" s="736">
        <v>508</v>
      </c>
      <c r="J735" s="736">
        <f t="shared" si="78"/>
        <v>2</v>
      </c>
      <c r="K735" s="2532">
        <f t="shared" si="81"/>
        <v>25</v>
      </c>
      <c r="L735" s="736">
        <f t="shared" si="79"/>
        <v>1</v>
      </c>
      <c r="M735" s="2533">
        <f t="shared" si="82"/>
        <v>1</v>
      </c>
      <c r="U735" s="1260">
        <f t="shared" si="77"/>
        <v>370</v>
      </c>
      <c r="V735" s="745">
        <v>1</v>
      </c>
      <c r="W735" s="745">
        <v>19</v>
      </c>
      <c r="X735" s="745">
        <v>1</v>
      </c>
      <c r="Y735" s="1202">
        <v>0</v>
      </c>
    </row>
    <row r="736" spans="5:25" ht="15" x14ac:dyDescent="0.2">
      <c r="E736" s="1201"/>
      <c r="F736" s="745"/>
      <c r="G736" s="745"/>
      <c r="H736" s="1256">
        <f t="shared" si="80"/>
        <v>0</v>
      </c>
      <c r="I736" s="736">
        <v>509</v>
      </c>
      <c r="J736" s="736">
        <f t="shared" si="78"/>
        <v>3</v>
      </c>
      <c r="K736" s="2532">
        <f t="shared" si="81"/>
        <v>24</v>
      </c>
      <c r="L736" s="736">
        <f t="shared" si="79"/>
        <v>1</v>
      </c>
      <c r="M736" s="2533">
        <f t="shared" si="82"/>
        <v>2</v>
      </c>
      <c r="U736" s="1260">
        <f t="shared" si="77"/>
        <v>388</v>
      </c>
      <c r="V736" s="745">
        <v>1</v>
      </c>
      <c r="W736" s="745">
        <v>20</v>
      </c>
      <c r="X736" s="745">
        <v>1</v>
      </c>
      <c r="Y736" s="1202">
        <v>0</v>
      </c>
    </row>
    <row r="737" spans="5:25" ht="15" x14ac:dyDescent="0.2">
      <c r="E737" s="1201"/>
      <c r="F737" s="745"/>
      <c r="G737" s="745"/>
      <c r="H737" s="1256">
        <f t="shared" si="80"/>
        <v>0</v>
      </c>
      <c r="I737" s="736">
        <v>510</v>
      </c>
      <c r="J737" s="736">
        <f t="shared" si="78"/>
        <v>5</v>
      </c>
      <c r="K737" s="2532">
        <f t="shared" si="81"/>
        <v>23</v>
      </c>
      <c r="L737" s="736">
        <f t="shared" si="79"/>
        <v>1</v>
      </c>
      <c r="M737" s="2533">
        <f t="shared" si="82"/>
        <v>1</v>
      </c>
      <c r="U737" s="1260">
        <f t="shared" si="77"/>
        <v>406</v>
      </c>
      <c r="V737" s="745">
        <v>1</v>
      </c>
      <c r="W737" s="745">
        <v>21</v>
      </c>
      <c r="X737" s="745">
        <v>1</v>
      </c>
      <c r="Y737" s="1202">
        <v>0</v>
      </c>
    </row>
    <row r="738" spans="5:25" ht="15" x14ac:dyDescent="0.2">
      <c r="E738" s="1201"/>
      <c r="F738" s="745"/>
      <c r="G738" s="745"/>
      <c r="H738" s="1256">
        <f t="shared" si="80"/>
        <v>0</v>
      </c>
      <c r="I738" s="736">
        <v>511</v>
      </c>
      <c r="J738" s="736">
        <f t="shared" si="78"/>
        <v>2</v>
      </c>
      <c r="K738" s="2532">
        <f t="shared" si="81"/>
        <v>26</v>
      </c>
      <c r="L738" s="736">
        <f t="shared" si="79"/>
        <v>0</v>
      </c>
      <c r="M738" s="2533">
        <f t="shared" si="82"/>
        <v>1</v>
      </c>
      <c r="U738" s="1260">
        <f t="shared" si="77"/>
        <v>424</v>
      </c>
      <c r="V738" s="745">
        <v>1</v>
      </c>
      <c r="W738" s="745">
        <v>22</v>
      </c>
      <c r="X738" s="745">
        <v>1</v>
      </c>
      <c r="Y738" s="1202">
        <v>0</v>
      </c>
    </row>
    <row r="739" spans="5:25" ht="15" x14ac:dyDescent="0.2">
      <c r="E739" s="1201"/>
      <c r="F739" s="745"/>
      <c r="G739" s="745"/>
      <c r="H739" s="1256">
        <f t="shared" si="80"/>
        <v>0</v>
      </c>
      <c r="I739" s="736">
        <v>512</v>
      </c>
      <c r="J739" s="736">
        <f t="shared" si="78"/>
        <v>3</v>
      </c>
      <c r="K739" s="2532">
        <f t="shared" si="81"/>
        <v>25</v>
      </c>
      <c r="L739" s="736">
        <f t="shared" si="79"/>
        <v>0</v>
      </c>
      <c r="M739" s="2533">
        <f t="shared" si="82"/>
        <v>2</v>
      </c>
      <c r="U739" s="1260">
        <f t="shared" si="77"/>
        <v>442</v>
      </c>
      <c r="V739" s="745">
        <v>1</v>
      </c>
      <c r="W739" s="745">
        <v>23</v>
      </c>
      <c r="X739" s="745">
        <v>1</v>
      </c>
      <c r="Y739" s="1202">
        <v>0</v>
      </c>
    </row>
    <row r="740" spans="5:25" ht="15" x14ac:dyDescent="0.2">
      <c r="E740" s="1201"/>
      <c r="F740" s="745"/>
      <c r="G740" s="745"/>
      <c r="H740" s="1256">
        <f t="shared" si="80"/>
        <v>0</v>
      </c>
      <c r="I740" s="736">
        <v>513</v>
      </c>
      <c r="J740" s="736">
        <f t="shared" si="78"/>
        <v>5</v>
      </c>
      <c r="K740" s="2532">
        <f t="shared" si="81"/>
        <v>24</v>
      </c>
      <c r="L740" s="736">
        <f t="shared" si="79"/>
        <v>0</v>
      </c>
      <c r="M740" s="2533">
        <f t="shared" si="82"/>
        <v>1</v>
      </c>
      <c r="U740" s="1260">
        <f t="shared" si="77"/>
        <v>460</v>
      </c>
      <c r="V740" s="745">
        <v>1</v>
      </c>
      <c r="W740" s="745">
        <v>24</v>
      </c>
      <c r="X740" s="745">
        <v>1</v>
      </c>
      <c r="Y740" s="1202">
        <v>0</v>
      </c>
    </row>
    <row r="741" spans="5:25" ht="15" x14ac:dyDescent="0.2">
      <c r="E741" s="1201"/>
      <c r="F741" s="745"/>
      <c r="G741" s="745"/>
      <c r="H741" s="1256">
        <f t="shared" si="80"/>
        <v>0</v>
      </c>
      <c r="I741" s="736">
        <v>514</v>
      </c>
      <c r="J741" s="736">
        <f t="shared" si="78"/>
        <v>1</v>
      </c>
      <c r="K741" s="2532">
        <f t="shared" si="81"/>
        <v>26</v>
      </c>
      <c r="L741" s="736">
        <f t="shared" si="79"/>
        <v>1</v>
      </c>
      <c r="M741" s="2533">
        <f t="shared" si="82"/>
        <v>1</v>
      </c>
      <c r="U741" s="1260">
        <f t="shared" si="77"/>
        <v>478</v>
      </c>
      <c r="V741" s="745">
        <v>1</v>
      </c>
      <c r="W741" s="745">
        <v>25</v>
      </c>
      <c r="X741" s="745">
        <v>1</v>
      </c>
      <c r="Y741" s="1202">
        <v>0</v>
      </c>
    </row>
    <row r="742" spans="5:25" ht="15" x14ac:dyDescent="0.2">
      <c r="E742" s="1201"/>
      <c r="F742" s="745"/>
      <c r="G742" s="745"/>
      <c r="H742" s="1256">
        <f t="shared" si="80"/>
        <v>0</v>
      </c>
      <c r="I742" s="736">
        <v>515</v>
      </c>
      <c r="J742" s="736">
        <f t="shared" si="78"/>
        <v>4</v>
      </c>
      <c r="K742" s="2532">
        <f t="shared" si="81"/>
        <v>24</v>
      </c>
      <c r="L742" s="736">
        <f t="shared" si="79"/>
        <v>1</v>
      </c>
      <c r="M742" s="2533">
        <f t="shared" si="82"/>
        <v>1</v>
      </c>
      <c r="U742" s="1260">
        <f t="shared" si="77"/>
        <v>496</v>
      </c>
      <c r="V742" s="745">
        <v>1</v>
      </c>
      <c r="W742" s="745">
        <v>26</v>
      </c>
      <c r="X742" s="745">
        <v>1</v>
      </c>
      <c r="Y742" s="1202">
        <v>0</v>
      </c>
    </row>
    <row r="743" spans="5:25" ht="15" x14ac:dyDescent="0.2">
      <c r="E743" s="1201"/>
      <c r="F743" s="745"/>
      <c r="G743" s="745"/>
      <c r="H743" s="1256">
        <f t="shared" si="80"/>
        <v>0</v>
      </c>
      <c r="I743" s="736">
        <v>516</v>
      </c>
      <c r="J743" s="736">
        <f t="shared" si="78"/>
        <v>5</v>
      </c>
      <c r="K743" s="2532">
        <f t="shared" si="81"/>
        <v>23</v>
      </c>
      <c r="L743" s="736">
        <f t="shared" si="79"/>
        <v>1</v>
      </c>
      <c r="M743" s="2533">
        <f t="shared" si="82"/>
        <v>2</v>
      </c>
      <c r="U743" s="1260">
        <f t="shared" si="77"/>
        <v>514</v>
      </c>
      <c r="V743" s="745">
        <v>1</v>
      </c>
      <c r="W743" s="745">
        <v>27</v>
      </c>
      <c r="X743" s="745">
        <v>1</v>
      </c>
      <c r="Y743" s="1202">
        <v>0</v>
      </c>
    </row>
    <row r="744" spans="5:25" ht="15" x14ac:dyDescent="0.2">
      <c r="E744" s="1201"/>
      <c r="F744" s="745"/>
      <c r="G744" s="745"/>
      <c r="H744" s="1256">
        <f t="shared" si="80"/>
        <v>0</v>
      </c>
      <c r="I744" s="736">
        <v>517</v>
      </c>
      <c r="J744" s="736">
        <f t="shared" si="78"/>
        <v>1</v>
      </c>
      <c r="K744" s="2532">
        <f t="shared" si="81"/>
        <v>27</v>
      </c>
      <c r="L744" s="736">
        <f t="shared" si="79"/>
        <v>0</v>
      </c>
      <c r="M744" s="2533">
        <f t="shared" si="82"/>
        <v>1</v>
      </c>
      <c r="U744" s="1260">
        <f t="shared" ref="U744:U807" si="83">ROUNDUP(W744*$W$294+V744*$V$294+X744*$X$294+Y744*$Y$294,0)</f>
        <v>532</v>
      </c>
      <c r="V744" s="745">
        <v>1</v>
      </c>
      <c r="W744" s="745">
        <v>28</v>
      </c>
      <c r="X744" s="745">
        <v>1</v>
      </c>
      <c r="Y744" s="1202">
        <v>0</v>
      </c>
    </row>
    <row r="745" spans="5:25" ht="15" x14ac:dyDescent="0.2">
      <c r="E745" s="1201"/>
      <c r="F745" s="745"/>
      <c r="G745" s="745"/>
      <c r="H745" s="1256">
        <f t="shared" si="80"/>
        <v>0</v>
      </c>
      <c r="I745" s="736">
        <v>518</v>
      </c>
      <c r="J745" s="736">
        <f t="shared" si="78"/>
        <v>4</v>
      </c>
      <c r="K745" s="2532">
        <f t="shared" si="81"/>
        <v>25</v>
      </c>
      <c r="L745" s="736">
        <f t="shared" si="79"/>
        <v>0</v>
      </c>
      <c r="M745" s="2533">
        <f t="shared" si="82"/>
        <v>1</v>
      </c>
      <c r="U745" s="1260">
        <f t="shared" si="83"/>
        <v>550</v>
      </c>
      <c r="V745" s="745">
        <v>1</v>
      </c>
      <c r="W745" s="745">
        <v>29</v>
      </c>
      <c r="X745" s="745">
        <v>1</v>
      </c>
      <c r="Y745" s="1202">
        <v>0</v>
      </c>
    </row>
    <row r="746" spans="5:25" ht="15" x14ac:dyDescent="0.2">
      <c r="E746" s="1201"/>
      <c r="F746" s="745"/>
      <c r="G746" s="745"/>
      <c r="H746" s="1256">
        <f t="shared" si="80"/>
        <v>0</v>
      </c>
      <c r="I746" s="736">
        <v>519</v>
      </c>
      <c r="J746" s="736">
        <f t="shared" si="78"/>
        <v>0</v>
      </c>
      <c r="K746" s="2532">
        <f t="shared" si="81"/>
        <v>27</v>
      </c>
      <c r="L746" s="736">
        <f t="shared" si="79"/>
        <v>1</v>
      </c>
      <c r="M746" s="2533">
        <f t="shared" si="82"/>
        <v>1</v>
      </c>
      <c r="U746" s="1260">
        <f t="shared" si="83"/>
        <v>568</v>
      </c>
      <c r="V746" s="745">
        <v>1</v>
      </c>
      <c r="W746" s="745">
        <v>30</v>
      </c>
      <c r="X746" s="745">
        <v>1</v>
      </c>
      <c r="Y746" s="1202">
        <v>0</v>
      </c>
    </row>
    <row r="747" spans="5:25" ht="15" x14ac:dyDescent="0.2">
      <c r="E747" s="1201"/>
      <c r="F747" s="745"/>
      <c r="G747" s="745"/>
      <c r="H747" s="1256">
        <f t="shared" si="80"/>
        <v>0</v>
      </c>
      <c r="I747" s="736">
        <v>520</v>
      </c>
      <c r="J747" s="736">
        <f t="shared" si="78"/>
        <v>1</v>
      </c>
      <c r="K747" s="2532">
        <f t="shared" si="81"/>
        <v>26</v>
      </c>
      <c r="L747" s="736">
        <f t="shared" si="79"/>
        <v>1</v>
      </c>
      <c r="M747" s="2533">
        <f t="shared" si="82"/>
        <v>2</v>
      </c>
      <c r="U747" s="1260">
        <f t="shared" si="83"/>
        <v>586</v>
      </c>
      <c r="V747" s="745">
        <v>1</v>
      </c>
      <c r="W747" s="745">
        <v>31</v>
      </c>
      <c r="X747" s="745">
        <v>1</v>
      </c>
      <c r="Y747" s="1202">
        <v>0</v>
      </c>
    </row>
    <row r="748" spans="5:25" ht="15" x14ac:dyDescent="0.2">
      <c r="E748" s="1201"/>
      <c r="F748" s="745"/>
      <c r="G748" s="745"/>
      <c r="H748" s="1256">
        <f t="shared" si="80"/>
        <v>0</v>
      </c>
      <c r="I748" s="736">
        <v>521</v>
      </c>
      <c r="J748" s="736">
        <f t="shared" si="78"/>
        <v>3</v>
      </c>
      <c r="K748" s="2532">
        <f t="shared" si="81"/>
        <v>25</v>
      </c>
      <c r="L748" s="736">
        <f t="shared" si="79"/>
        <v>1</v>
      </c>
      <c r="M748" s="2533">
        <f t="shared" si="82"/>
        <v>1</v>
      </c>
      <c r="U748" s="1260">
        <f t="shared" si="83"/>
        <v>604</v>
      </c>
      <c r="V748" s="745">
        <v>1</v>
      </c>
      <c r="W748" s="745">
        <v>32</v>
      </c>
      <c r="X748" s="745">
        <v>1</v>
      </c>
      <c r="Y748" s="1202">
        <v>0</v>
      </c>
    </row>
    <row r="749" spans="5:25" ht="15" x14ac:dyDescent="0.2">
      <c r="E749" s="1201"/>
      <c r="F749" s="745"/>
      <c r="G749" s="745"/>
      <c r="H749" s="1256">
        <f t="shared" si="80"/>
        <v>0</v>
      </c>
      <c r="I749" s="736">
        <v>522</v>
      </c>
      <c r="J749" s="736">
        <f t="shared" si="78"/>
        <v>0</v>
      </c>
      <c r="K749" s="2532">
        <f t="shared" si="81"/>
        <v>28</v>
      </c>
      <c r="L749" s="736">
        <f t="shared" si="79"/>
        <v>0</v>
      </c>
      <c r="M749" s="2533">
        <f t="shared" si="82"/>
        <v>1</v>
      </c>
      <c r="U749" s="1260">
        <f t="shared" si="83"/>
        <v>622</v>
      </c>
      <c r="V749" s="745">
        <v>1</v>
      </c>
      <c r="W749" s="745">
        <v>33</v>
      </c>
      <c r="X749" s="745">
        <v>1</v>
      </c>
      <c r="Y749" s="1202">
        <v>0</v>
      </c>
    </row>
    <row r="750" spans="5:25" ht="15" x14ac:dyDescent="0.2">
      <c r="E750" s="1201"/>
      <c r="F750" s="745"/>
      <c r="G750" s="745"/>
      <c r="H750" s="1256">
        <f t="shared" si="80"/>
        <v>0</v>
      </c>
      <c r="I750" s="736">
        <v>523</v>
      </c>
      <c r="J750" s="736">
        <f t="shared" ref="J750:J813" si="84">VLOOKUP($I750,$U$295:$Y$1758,2,FALSE)</f>
        <v>1</v>
      </c>
      <c r="K750" s="2532">
        <f t="shared" si="81"/>
        <v>27</v>
      </c>
      <c r="L750" s="736">
        <f t="shared" ref="L750:L813" si="85">VLOOKUP($I750,$U$295:$Y$1758,4,FALSE)</f>
        <v>0</v>
      </c>
      <c r="M750" s="2533">
        <f t="shared" si="82"/>
        <v>2</v>
      </c>
      <c r="U750" s="1260">
        <f t="shared" si="83"/>
        <v>640</v>
      </c>
      <c r="V750" s="745">
        <v>1</v>
      </c>
      <c r="W750" s="745">
        <v>34</v>
      </c>
      <c r="X750" s="745">
        <v>1</v>
      </c>
      <c r="Y750" s="1202">
        <v>0</v>
      </c>
    </row>
    <row r="751" spans="5:25" ht="15" x14ac:dyDescent="0.2">
      <c r="E751" s="1201"/>
      <c r="F751" s="745"/>
      <c r="G751" s="745"/>
      <c r="H751" s="1256">
        <f t="shared" ref="H751:H814" si="86">IF($H$298=I751,1,0)</f>
        <v>0</v>
      </c>
      <c r="I751" s="736">
        <v>524</v>
      </c>
      <c r="J751" s="736">
        <f t="shared" si="84"/>
        <v>3</v>
      </c>
      <c r="K751" s="2532">
        <f t="shared" ref="K751:K814" si="87">IF(VLOOKUP($I751,$U$295:$Y$1758,3,FALSE)&gt;0,VLOOKUP($I751,$U$295:$Y$1758,3,FALSE)-1,VLOOKUP($I751,$U$295:$Y$1758,3,FALSE))</f>
        <v>26</v>
      </c>
      <c r="L751" s="736">
        <f t="shared" si="85"/>
        <v>0</v>
      </c>
      <c r="M751" s="2533">
        <f t="shared" ref="M751:M814" si="88">VLOOKUP($I751,$U$295:$Y$1758,5,FALSE)+1</f>
        <v>1</v>
      </c>
      <c r="U751" s="1260">
        <f t="shared" si="83"/>
        <v>658</v>
      </c>
      <c r="V751" s="745">
        <v>1</v>
      </c>
      <c r="W751" s="745">
        <v>35</v>
      </c>
      <c r="X751" s="745">
        <v>1</v>
      </c>
      <c r="Y751" s="1202">
        <v>0</v>
      </c>
    </row>
    <row r="752" spans="5:25" ht="15" x14ac:dyDescent="0.2">
      <c r="E752" s="1201"/>
      <c r="F752" s="745"/>
      <c r="G752" s="745"/>
      <c r="H752" s="1256">
        <f t="shared" si="86"/>
        <v>0</v>
      </c>
      <c r="I752" s="736">
        <v>525</v>
      </c>
      <c r="J752" s="736">
        <f t="shared" si="84"/>
        <v>0</v>
      </c>
      <c r="K752" s="2532">
        <f t="shared" si="87"/>
        <v>27</v>
      </c>
      <c r="L752" s="736">
        <f t="shared" si="85"/>
        <v>1</v>
      </c>
      <c r="M752" s="2533">
        <f t="shared" si="88"/>
        <v>2</v>
      </c>
      <c r="U752" s="1260">
        <f t="shared" si="83"/>
        <v>676</v>
      </c>
      <c r="V752" s="745">
        <v>1</v>
      </c>
      <c r="W752" s="745">
        <v>36</v>
      </c>
      <c r="X752" s="745">
        <v>1</v>
      </c>
      <c r="Y752" s="1202">
        <v>0</v>
      </c>
    </row>
    <row r="753" spans="5:25" ht="15" x14ac:dyDescent="0.2">
      <c r="E753" s="1201"/>
      <c r="F753" s="745"/>
      <c r="G753" s="745"/>
      <c r="H753" s="1256">
        <f t="shared" si="86"/>
        <v>0</v>
      </c>
      <c r="I753" s="736">
        <v>526</v>
      </c>
      <c r="J753" s="736">
        <f t="shared" si="84"/>
        <v>2</v>
      </c>
      <c r="K753" s="2532">
        <f t="shared" si="87"/>
        <v>26</v>
      </c>
      <c r="L753" s="736">
        <f t="shared" si="85"/>
        <v>1</v>
      </c>
      <c r="M753" s="2533">
        <f t="shared" si="88"/>
        <v>1</v>
      </c>
      <c r="U753" s="1260">
        <f t="shared" si="83"/>
        <v>694</v>
      </c>
      <c r="V753" s="745">
        <v>1</v>
      </c>
      <c r="W753" s="745">
        <v>37</v>
      </c>
      <c r="X753" s="745">
        <v>1</v>
      </c>
      <c r="Y753" s="1202">
        <v>0</v>
      </c>
    </row>
    <row r="754" spans="5:25" ht="15" x14ac:dyDescent="0.2">
      <c r="E754" s="1201"/>
      <c r="F754" s="745"/>
      <c r="G754" s="745"/>
      <c r="H754" s="1256">
        <f t="shared" si="86"/>
        <v>0</v>
      </c>
      <c r="I754" s="736">
        <v>527</v>
      </c>
      <c r="J754" s="736">
        <f t="shared" si="84"/>
        <v>3</v>
      </c>
      <c r="K754" s="2532">
        <f t="shared" si="87"/>
        <v>25</v>
      </c>
      <c r="L754" s="736">
        <f t="shared" si="85"/>
        <v>1</v>
      </c>
      <c r="M754" s="2533">
        <f t="shared" si="88"/>
        <v>2</v>
      </c>
      <c r="U754" s="1260">
        <f t="shared" si="83"/>
        <v>712</v>
      </c>
      <c r="V754" s="745">
        <v>1</v>
      </c>
      <c r="W754" s="745">
        <v>38</v>
      </c>
      <c r="X754" s="745">
        <v>1</v>
      </c>
      <c r="Y754" s="1202">
        <v>0</v>
      </c>
    </row>
    <row r="755" spans="5:25" ht="15" x14ac:dyDescent="0.2">
      <c r="E755" s="1201"/>
      <c r="F755" s="745"/>
      <c r="G755" s="745"/>
      <c r="H755" s="1256">
        <f t="shared" si="86"/>
        <v>0</v>
      </c>
      <c r="I755" s="736">
        <v>528</v>
      </c>
      <c r="J755" s="736">
        <f t="shared" si="84"/>
        <v>5</v>
      </c>
      <c r="K755" s="2532">
        <f t="shared" si="87"/>
        <v>24</v>
      </c>
      <c r="L755" s="736">
        <f t="shared" si="85"/>
        <v>1</v>
      </c>
      <c r="M755" s="2533">
        <f t="shared" si="88"/>
        <v>1</v>
      </c>
      <c r="U755" s="1260">
        <f t="shared" si="83"/>
        <v>730</v>
      </c>
      <c r="V755" s="745">
        <v>1</v>
      </c>
      <c r="W755" s="745">
        <v>39</v>
      </c>
      <c r="X755" s="745">
        <v>1</v>
      </c>
      <c r="Y755" s="1202">
        <v>0</v>
      </c>
    </row>
    <row r="756" spans="5:25" ht="15" x14ac:dyDescent="0.2">
      <c r="E756" s="1201"/>
      <c r="F756" s="745"/>
      <c r="G756" s="745"/>
      <c r="H756" s="1256">
        <f t="shared" si="86"/>
        <v>0</v>
      </c>
      <c r="I756" s="736">
        <v>529</v>
      </c>
      <c r="J756" s="736">
        <f t="shared" si="84"/>
        <v>2</v>
      </c>
      <c r="K756" s="2532">
        <f t="shared" si="87"/>
        <v>27</v>
      </c>
      <c r="L756" s="736">
        <f t="shared" si="85"/>
        <v>0</v>
      </c>
      <c r="M756" s="2533">
        <f t="shared" si="88"/>
        <v>1</v>
      </c>
      <c r="U756" s="1260">
        <f t="shared" si="83"/>
        <v>748</v>
      </c>
      <c r="V756" s="745">
        <v>1</v>
      </c>
      <c r="W756" s="745">
        <v>40</v>
      </c>
      <c r="X756" s="745">
        <v>1</v>
      </c>
      <c r="Y756" s="1202">
        <v>0</v>
      </c>
    </row>
    <row r="757" spans="5:25" ht="15" x14ac:dyDescent="0.2">
      <c r="E757" s="1201"/>
      <c r="F757" s="745"/>
      <c r="G757" s="745"/>
      <c r="H757" s="1256">
        <f t="shared" si="86"/>
        <v>0</v>
      </c>
      <c r="I757" s="736">
        <v>530</v>
      </c>
      <c r="J757" s="736">
        <f t="shared" si="84"/>
        <v>3</v>
      </c>
      <c r="K757" s="2532">
        <f t="shared" si="87"/>
        <v>26</v>
      </c>
      <c r="L757" s="736">
        <f t="shared" si="85"/>
        <v>0</v>
      </c>
      <c r="M757" s="2533">
        <f t="shared" si="88"/>
        <v>2</v>
      </c>
      <c r="U757" s="1260">
        <f t="shared" si="83"/>
        <v>766</v>
      </c>
      <c r="V757" s="745">
        <v>1</v>
      </c>
      <c r="W757" s="745">
        <v>41</v>
      </c>
      <c r="X757" s="745">
        <v>1</v>
      </c>
      <c r="Y757" s="1202">
        <v>0</v>
      </c>
    </row>
    <row r="758" spans="5:25" ht="15" x14ac:dyDescent="0.2">
      <c r="E758" s="1201"/>
      <c r="F758" s="745"/>
      <c r="G758" s="745"/>
      <c r="H758" s="1256">
        <f t="shared" si="86"/>
        <v>0</v>
      </c>
      <c r="I758" s="736">
        <v>531</v>
      </c>
      <c r="J758" s="736">
        <f t="shared" si="84"/>
        <v>5</v>
      </c>
      <c r="K758" s="2532">
        <f t="shared" si="87"/>
        <v>25</v>
      </c>
      <c r="L758" s="736">
        <f t="shared" si="85"/>
        <v>0</v>
      </c>
      <c r="M758" s="2533">
        <f t="shared" si="88"/>
        <v>1</v>
      </c>
      <c r="U758" s="1260">
        <f t="shared" si="83"/>
        <v>784</v>
      </c>
      <c r="V758" s="745">
        <v>1</v>
      </c>
      <c r="W758" s="745">
        <v>42</v>
      </c>
      <c r="X758" s="745">
        <v>1</v>
      </c>
      <c r="Y758" s="1202">
        <v>0</v>
      </c>
    </row>
    <row r="759" spans="5:25" ht="15" x14ac:dyDescent="0.2">
      <c r="E759" s="1201"/>
      <c r="F759" s="745"/>
      <c r="G759" s="745"/>
      <c r="H759" s="1256">
        <f t="shared" si="86"/>
        <v>0</v>
      </c>
      <c r="I759" s="736">
        <v>532</v>
      </c>
      <c r="J759" s="736">
        <f t="shared" si="84"/>
        <v>1</v>
      </c>
      <c r="K759" s="2532">
        <f t="shared" si="87"/>
        <v>27</v>
      </c>
      <c r="L759" s="736">
        <f t="shared" si="85"/>
        <v>1</v>
      </c>
      <c r="M759" s="2533">
        <f t="shared" si="88"/>
        <v>1</v>
      </c>
      <c r="U759" s="1260">
        <f t="shared" si="83"/>
        <v>802</v>
      </c>
      <c r="V759" s="745">
        <v>1</v>
      </c>
      <c r="W759" s="745">
        <v>43</v>
      </c>
      <c r="X759" s="745">
        <v>1</v>
      </c>
      <c r="Y759" s="1202">
        <v>0</v>
      </c>
    </row>
    <row r="760" spans="5:25" ht="15" x14ac:dyDescent="0.2">
      <c r="E760" s="1201"/>
      <c r="F760" s="745"/>
      <c r="G760" s="745"/>
      <c r="H760" s="1256">
        <f t="shared" si="86"/>
        <v>0</v>
      </c>
      <c r="I760" s="736">
        <v>533</v>
      </c>
      <c r="J760" s="736">
        <f t="shared" si="84"/>
        <v>4</v>
      </c>
      <c r="K760" s="2532">
        <f t="shared" si="87"/>
        <v>25</v>
      </c>
      <c r="L760" s="736">
        <f t="shared" si="85"/>
        <v>1</v>
      </c>
      <c r="M760" s="2533">
        <f t="shared" si="88"/>
        <v>1</v>
      </c>
      <c r="U760" s="1260">
        <f t="shared" si="83"/>
        <v>820</v>
      </c>
      <c r="V760" s="745">
        <v>1</v>
      </c>
      <c r="W760" s="745">
        <v>44</v>
      </c>
      <c r="X760" s="745">
        <v>1</v>
      </c>
      <c r="Y760" s="1202">
        <v>0</v>
      </c>
    </row>
    <row r="761" spans="5:25" ht="15" x14ac:dyDescent="0.2">
      <c r="E761" s="1201"/>
      <c r="F761" s="745"/>
      <c r="G761" s="745"/>
      <c r="H761" s="1256">
        <f t="shared" si="86"/>
        <v>0</v>
      </c>
      <c r="I761" s="736">
        <v>534</v>
      </c>
      <c r="J761" s="736">
        <f t="shared" si="84"/>
        <v>5</v>
      </c>
      <c r="K761" s="2532">
        <f t="shared" si="87"/>
        <v>24</v>
      </c>
      <c r="L761" s="736">
        <f t="shared" si="85"/>
        <v>1</v>
      </c>
      <c r="M761" s="2533">
        <f t="shared" si="88"/>
        <v>2</v>
      </c>
      <c r="U761" s="1260">
        <f t="shared" si="83"/>
        <v>838</v>
      </c>
      <c r="V761" s="745">
        <v>1</v>
      </c>
      <c r="W761" s="745">
        <v>45</v>
      </c>
      <c r="X761" s="745">
        <v>1</v>
      </c>
      <c r="Y761" s="1202">
        <v>0</v>
      </c>
    </row>
    <row r="762" spans="5:25" ht="15" x14ac:dyDescent="0.2">
      <c r="E762" s="1201"/>
      <c r="F762" s="745"/>
      <c r="G762" s="745"/>
      <c r="H762" s="1256">
        <f t="shared" si="86"/>
        <v>0</v>
      </c>
      <c r="I762" s="736">
        <v>535</v>
      </c>
      <c r="J762" s="736">
        <f t="shared" si="84"/>
        <v>1</v>
      </c>
      <c r="K762" s="2532">
        <f t="shared" si="87"/>
        <v>28</v>
      </c>
      <c r="L762" s="736">
        <f t="shared" si="85"/>
        <v>0</v>
      </c>
      <c r="M762" s="2533">
        <f t="shared" si="88"/>
        <v>1</v>
      </c>
      <c r="U762" s="1260">
        <f t="shared" si="83"/>
        <v>856</v>
      </c>
      <c r="V762" s="745">
        <v>1</v>
      </c>
      <c r="W762" s="745">
        <v>46</v>
      </c>
      <c r="X762" s="745">
        <v>1</v>
      </c>
      <c r="Y762" s="1202">
        <v>0</v>
      </c>
    </row>
    <row r="763" spans="5:25" ht="15" x14ac:dyDescent="0.2">
      <c r="E763" s="1201"/>
      <c r="F763" s="745"/>
      <c r="G763" s="745"/>
      <c r="H763" s="1256">
        <f t="shared" si="86"/>
        <v>0</v>
      </c>
      <c r="I763" s="736">
        <v>536</v>
      </c>
      <c r="J763" s="736">
        <f t="shared" si="84"/>
        <v>4</v>
      </c>
      <c r="K763" s="2532">
        <f t="shared" si="87"/>
        <v>26</v>
      </c>
      <c r="L763" s="736">
        <f t="shared" si="85"/>
        <v>0</v>
      </c>
      <c r="M763" s="2533">
        <f t="shared" si="88"/>
        <v>1</v>
      </c>
      <c r="U763" s="1260">
        <f t="shared" si="83"/>
        <v>874</v>
      </c>
      <c r="V763" s="745">
        <v>1</v>
      </c>
      <c r="W763" s="745">
        <v>47</v>
      </c>
      <c r="X763" s="745">
        <v>1</v>
      </c>
      <c r="Y763" s="1202">
        <v>0</v>
      </c>
    </row>
    <row r="764" spans="5:25" ht="15" x14ac:dyDescent="0.2">
      <c r="E764" s="1201"/>
      <c r="F764" s="745"/>
      <c r="G764" s="745"/>
      <c r="H764" s="1256">
        <f t="shared" si="86"/>
        <v>0</v>
      </c>
      <c r="I764" s="736">
        <v>537</v>
      </c>
      <c r="J764" s="736">
        <f t="shared" si="84"/>
        <v>0</v>
      </c>
      <c r="K764" s="2532">
        <f t="shared" si="87"/>
        <v>28</v>
      </c>
      <c r="L764" s="736">
        <f t="shared" si="85"/>
        <v>1</v>
      </c>
      <c r="M764" s="2533">
        <f t="shared" si="88"/>
        <v>1</v>
      </c>
      <c r="U764" s="1260">
        <f t="shared" si="83"/>
        <v>892</v>
      </c>
      <c r="V764" s="745">
        <v>1</v>
      </c>
      <c r="W764" s="745">
        <v>48</v>
      </c>
      <c r="X764" s="745">
        <v>1</v>
      </c>
      <c r="Y764" s="1202">
        <v>0</v>
      </c>
    </row>
    <row r="765" spans="5:25" ht="15" x14ac:dyDescent="0.2">
      <c r="E765" s="1201"/>
      <c r="F765" s="745"/>
      <c r="G765" s="745"/>
      <c r="H765" s="1256">
        <f t="shared" si="86"/>
        <v>0</v>
      </c>
      <c r="I765" s="736">
        <v>538</v>
      </c>
      <c r="J765" s="736">
        <f t="shared" si="84"/>
        <v>1</v>
      </c>
      <c r="K765" s="2532">
        <f t="shared" si="87"/>
        <v>27</v>
      </c>
      <c r="L765" s="736">
        <f t="shared" si="85"/>
        <v>1</v>
      </c>
      <c r="M765" s="2533">
        <f t="shared" si="88"/>
        <v>2</v>
      </c>
      <c r="U765" s="1260">
        <f t="shared" si="83"/>
        <v>910</v>
      </c>
      <c r="V765" s="745">
        <v>1</v>
      </c>
      <c r="W765" s="745">
        <v>49</v>
      </c>
      <c r="X765" s="745">
        <v>1</v>
      </c>
      <c r="Y765" s="1202">
        <v>0</v>
      </c>
    </row>
    <row r="766" spans="5:25" ht="15" x14ac:dyDescent="0.2">
      <c r="E766" s="1201"/>
      <c r="F766" s="745"/>
      <c r="G766" s="745"/>
      <c r="H766" s="1256">
        <f t="shared" si="86"/>
        <v>0</v>
      </c>
      <c r="I766" s="736">
        <v>539</v>
      </c>
      <c r="J766" s="736">
        <f t="shared" si="84"/>
        <v>3</v>
      </c>
      <c r="K766" s="2532">
        <f t="shared" si="87"/>
        <v>26</v>
      </c>
      <c r="L766" s="736">
        <f t="shared" si="85"/>
        <v>1</v>
      </c>
      <c r="M766" s="2533">
        <f t="shared" si="88"/>
        <v>1</v>
      </c>
      <c r="U766" s="1260">
        <f t="shared" si="83"/>
        <v>928</v>
      </c>
      <c r="V766" s="745">
        <v>1</v>
      </c>
      <c r="W766" s="745">
        <v>50</v>
      </c>
      <c r="X766" s="745">
        <v>1</v>
      </c>
      <c r="Y766" s="1202">
        <v>0</v>
      </c>
    </row>
    <row r="767" spans="5:25" ht="15" x14ac:dyDescent="0.2">
      <c r="E767" s="1201"/>
      <c r="F767" s="745"/>
      <c r="G767" s="745"/>
      <c r="H767" s="1256">
        <f t="shared" si="86"/>
        <v>0</v>
      </c>
      <c r="I767" s="736">
        <v>540</v>
      </c>
      <c r="J767" s="736">
        <f t="shared" si="84"/>
        <v>0</v>
      </c>
      <c r="K767" s="2532">
        <f t="shared" si="87"/>
        <v>29</v>
      </c>
      <c r="L767" s="736">
        <f t="shared" si="85"/>
        <v>0</v>
      </c>
      <c r="M767" s="2533">
        <f t="shared" si="88"/>
        <v>1</v>
      </c>
      <c r="U767" s="1260">
        <f t="shared" si="83"/>
        <v>946</v>
      </c>
      <c r="V767" s="745">
        <v>1</v>
      </c>
      <c r="W767" s="745">
        <v>51</v>
      </c>
      <c r="X767" s="745">
        <v>1</v>
      </c>
      <c r="Y767" s="1202">
        <v>0</v>
      </c>
    </row>
    <row r="768" spans="5:25" ht="15" x14ac:dyDescent="0.2">
      <c r="E768" s="1201"/>
      <c r="F768" s="745"/>
      <c r="G768" s="745"/>
      <c r="H768" s="1256">
        <f t="shared" si="86"/>
        <v>0</v>
      </c>
      <c r="I768" s="736">
        <v>541</v>
      </c>
      <c r="J768" s="736">
        <f t="shared" si="84"/>
        <v>1</v>
      </c>
      <c r="K768" s="2532">
        <f t="shared" si="87"/>
        <v>28</v>
      </c>
      <c r="L768" s="736">
        <f t="shared" si="85"/>
        <v>0</v>
      </c>
      <c r="M768" s="2533">
        <f t="shared" si="88"/>
        <v>2</v>
      </c>
      <c r="U768" s="1260">
        <f t="shared" si="83"/>
        <v>964</v>
      </c>
      <c r="V768" s="745">
        <v>1</v>
      </c>
      <c r="W768" s="745">
        <v>52</v>
      </c>
      <c r="X768" s="745">
        <v>1</v>
      </c>
      <c r="Y768" s="1202">
        <v>0</v>
      </c>
    </row>
    <row r="769" spans="5:25" ht="15" x14ac:dyDescent="0.2">
      <c r="E769" s="1201"/>
      <c r="F769" s="745"/>
      <c r="G769" s="745"/>
      <c r="H769" s="1256">
        <f t="shared" si="86"/>
        <v>0</v>
      </c>
      <c r="I769" s="736">
        <v>542</v>
      </c>
      <c r="J769" s="736">
        <f t="shared" si="84"/>
        <v>3</v>
      </c>
      <c r="K769" s="2532">
        <f t="shared" si="87"/>
        <v>27</v>
      </c>
      <c r="L769" s="736">
        <f t="shared" si="85"/>
        <v>0</v>
      </c>
      <c r="M769" s="2533">
        <f t="shared" si="88"/>
        <v>1</v>
      </c>
      <c r="U769" s="1260">
        <f t="shared" si="83"/>
        <v>982</v>
      </c>
      <c r="V769" s="745">
        <v>1</v>
      </c>
      <c r="W769" s="745">
        <v>53</v>
      </c>
      <c r="X769" s="745">
        <v>1</v>
      </c>
      <c r="Y769" s="1202">
        <v>0</v>
      </c>
    </row>
    <row r="770" spans="5:25" ht="15" x14ac:dyDescent="0.2">
      <c r="E770" s="1201"/>
      <c r="F770" s="745"/>
      <c r="G770" s="745"/>
      <c r="H770" s="1256">
        <f t="shared" si="86"/>
        <v>0</v>
      </c>
      <c r="I770" s="736">
        <v>543</v>
      </c>
      <c r="J770" s="736">
        <f t="shared" si="84"/>
        <v>0</v>
      </c>
      <c r="K770" s="2532">
        <f t="shared" si="87"/>
        <v>28</v>
      </c>
      <c r="L770" s="736">
        <f t="shared" si="85"/>
        <v>1</v>
      </c>
      <c r="M770" s="2533">
        <f t="shared" si="88"/>
        <v>2</v>
      </c>
      <c r="U770" s="1260">
        <f t="shared" si="83"/>
        <v>1000</v>
      </c>
      <c r="V770" s="745">
        <v>1</v>
      </c>
      <c r="W770" s="745">
        <v>54</v>
      </c>
      <c r="X770" s="745">
        <v>1</v>
      </c>
      <c r="Y770" s="1202">
        <v>0</v>
      </c>
    </row>
    <row r="771" spans="5:25" ht="15" x14ac:dyDescent="0.2">
      <c r="E771" s="1201"/>
      <c r="F771" s="745"/>
      <c r="G771" s="745"/>
      <c r="H771" s="1256">
        <f t="shared" si="86"/>
        <v>0</v>
      </c>
      <c r="I771" s="736">
        <v>544</v>
      </c>
      <c r="J771" s="736">
        <f t="shared" si="84"/>
        <v>2</v>
      </c>
      <c r="K771" s="2532">
        <f t="shared" si="87"/>
        <v>27</v>
      </c>
      <c r="L771" s="736">
        <f t="shared" si="85"/>
        <v>1</v>
      </c>
      <c r="M771" s="2533">
        <f t="shared" si="88"/>
        <v>1</v>
      </c>
      <c r="U771" s="1260">
        <f t="shared" si="83"/>
        <v>1018</v>
      </c>
      <c r="V771" s="745">
        <v>1</v>
      </c>
      <c r="W771" s="745">
        <v>55</v>
      </c>
      <c r="X771" s="745">
        <v>1</v>
      </c>
      <c r="Y771" s="1202">
        <v>0</v>
      </c>
    </row>
    <row r="772" spans="5:25" ht="15" x14ac:dyDescent="0.2">
      <c r="E772" s="1201"/>
      <c r="F772" s="745"/>
      <c r="G772" s="745"/>
      <c r="H772" s="1256">
        <f t="shared" si="86"/>
        <v>0</v>
      </c>
      <c r="I772" s="736">
        <v>545</v>
      </c>
      <c r="J772" s="736">
        <f t="shared" si="84"/>
        <v>3</v>
      </c>
      <c r="K772" s="2532">
        <f t="shared" si="87"/>
        <v>26</v>
      </c>
      <c r="L772" s="736">
        <f t="shared" si="85"/>
        <v>1</v>
      </c>
      <c r="M772" s="2533">
        <f t="shared" si="88"/>
        <v>2</v>
      </c>
      <c r="U772" s="1260">
        <f t="shared" si="83"/>
        <v>58</v>
      </c>
      <c r="V772" s="745">
        <v>2</v>
      </c>
      <c r="W772" s="745">
        <v>1</v>
      </c>
      <c r="X772" s="745">
        <v>1</v>
      </c>
      <c r="Y772" s="1202">
        <v>0</v>
      </c>
    </row>
    <row r="773" spans="5:25" ht="15" x14ac:dyDescent="0.2">
      <c r="E773" s="1201"/>
      <c r="F773" s="745"/>
      <c r="G773" s="745"/>
      <c r="H773" s="1256">
        <f t="shared" si="86"/>
        <v>0</v>
      </c>
      <c r="I773" s="736">
        <v>546</v>
      </c>
      <c r="J773" s="736">
        <f t="shared" si="84"/>
        <v>5</v>
      </c>
      <c r="K773" s="2532">
        <f t="shared" si="87"/>
        <v>25</v>
      </c>
      <c r="L773" s="736">
        <f t="shared" si="85"/>
        <v>1</v>
      </c>
      <c r="M773" s="2533">
        <f t="shared" si="88"/>
        <v>1</v>
      </c>
      <c r="U773" s="1260">
        <f t="shared" si="83"/>
        <v>76</v>
      </c>
      <c r="V773" s="745">
        <v>2</v>
      </c>
      <c r="W773" s="745">
        <v>2</v>
      </c>
      <c r="X773" s="745">
        <v>1</v>
      </c>
      <c r="Y773" s="1202">
        <v>0</v>
      </c>
    </row>
    <row r="774" spans="5:25" ht="15" x14ac:dyDescent="0.2">
      <c r="E774" s="1201"/>
      <c r="F774" s="745"/>
      <c r="G774" s="745"/>
      <c r="H774" s="1256">
        <f t="shared" si="86"/>
        <v>0</v>
      </c>
      <c r="I774" s="736">
        <v>547</v>
      </c>
      <c r="J774" s="736">
        <f t="shared" si="84"/>
        <v>2</v>
      </c>
      <c r="K774" s="2532">
        <f t="shared" si="87"/>
        <v>28</v>
      </c>
      <c r="L774" s="736">
        <f t="shared" si="85"/>
        <v>0</v>
      </c>
      <c r="M774" s="2533">
        <f t="shared" si="88"/>
        <v>1</v>
      </c>
      <c r="U774" s="1260">
        <f t="shared" si="83"/>
        <v>94</v>
      </c>
      <c r="V774" s="745">
        <v>2</v>
      </c>
      <c r="W774" s="745">
        <v>3</v>
      </c>
      <c r="X774" s="745">
        <v>1</v>
      </c>
      <c r="Y774" s="1202">
        <v>0</v>
      </c>
    </row>
    <row r="775" spans="5:25" ht="15" x14ac:dyDescent="0.2">
      <c r="E775" s="1201"/>
      <c r="F775" s="745"/>
      <c r="G775" s="745"/>
      <c r="H775" s="1256">
        <f t="shared" si="86"/>
        <v>0</v>
      </c>
      <c r="I775" s="736">
        <v>548</v>
      </c>
      <c r="J775" s="736">
        <f t="shared" si="84"/>
        <v>3</v>
      </c>
      <c r="K775" s="2532">
        <f t="shared" si="87"/>
        <v>27</v>
      </c>
      <c r="L775" s="736">
        <f t="shared" si="85"/>
        <v>0</v>
      </c>
      <c r="M775" s="2533">
        <f t="shared" si="88"/>
        <v>2</v>
      </c>
      <c r="U775" s="1260">
        <f t="shared" si="83"/>
        <v>112</v>
      </c>
      <c r="V775" s="745">
        <v>2</v>
      </c>
      <c r="W775" s="745">
        <v>4</v>
      </c>
      <c r="X775" s="745">
        <v>1</v>
      </c>
      <c r="Y775" s="1202">
        <v>0</v>
      </c>
    </row>
    <row r="776" spans="5:25" ht="15" x14ac:dyDescent="0.2">
      <c r="E776" s="1201"/>
      <c r="F776" s="745"/>
      <c r="G776" s="745"/>
      <c r="H776" s="1256">
        <f t="shared" si="86"/>
        <v>0</v>
      </c>
      <c r="I776" s="736">
        <v>549</v>
      </c>
      <c r="J776" s="736">
        <f t="shared" si="84"/>
        <v>5</v>
      </c>
      <c r="K776" s="2532">
        <f t="shared" si="87"/>
        <v>26</v>
      </c>
      <c r="L776" s="736">
        <f t="shared" si="85"/>
        <v>0</v>
      </c>
      <c r="M776" s="2533">
        <f t="shared" si="88"/>
        <v>1</v>
      </c>
      <c r="U776" s="1260">
        <f t="shared" si="83"/>
        <v>130</v>
      </c>
      <c r="V776" s="745">
        <v>2</v>
      </c>
      <c r="W776" s="745">
        <v>5</v>
      </c>
      <c r="X776" s="745">
        <v>1</v>
      </c>
      <c r="Y776" s="1202">
        <v>0</v>
      </c>
    </row>
    <row r="777" spans="5:25" ht="15" x14ac:dyDescent="0.2">
      <c r="E777" s="1201"/>
      <c r="F777" s="745"/>
      <c r="G777" s="745"/>
      <c r="H777" s="1256">
        <f t="shared" si="86"/>
        <v>0</v>
      </c>
      <c r="I777" s="736">
        <v>550</v>
      </c>
      <c r="J777" s="736">
        <f t="shared" si="84"/>
        <v>1</v>
      </c>
      <c r="K777" s="2532">
        <f t="shared" si="87"/>
        <v>28</v>
      </c>
      <c r="L777" s="736">
        <f t="shared" si="85"/>
        <v>1</v>
      </c>
      <c r="M777" s="2533">
        <f t="shared" si="88"/>
        <v>1</v>
      </c>
      <c r="U777" s="1260">
        <f t="shared" si="83"/>
        <v>148</v>
      </c>
      <c r="V777" s="745">
        <v>2</v>
      </c>
      <c r="W777" s="745">
        <v>6</v>
      </c>
      <c r="X777" s="745">
        <v>1</v>
      </c>
      <c r="Y777" s="1202">
        <v>0</v>
      </c>
    </row>
    <row r="778" spans="5:25" ht="15" x14ac:dyDescent="0.2">
      <c r="E778" s="1201"/>
      <c r="F778" s="745"/>
      <c r="G778" s="745"/>
      <c r="H778" s="1256">
        <f t="shared" si="86"/>
        <v>0</v>
      </c>
      <c r="I778" s="736">
        <v>551</v>
      </c>
      <c r="J778" s="736">
        <f t="shared" si="84"/>
        <v>4</v>
      </c>
      <c r="K778" s="2532">
        <f t="shared" si="87"/>
        <v>26</v>
      </c>
      <c r="L778" s="736">
        <f t="shared" si="85"/>
        <v>1</v>
      </c>
      <c r="M778" s="2533">
        <f t="shared" si="88"/>
        <v>1</v>
      </c>
      <c r="U778" s="1260">
        <f t="shared" si="83"/>
        <v>166</v>
      </c>
      <c r="V778" s="745">
        <v>2</v>
      </c>
      <c r="W778" s="745">
        <v>7</v>
      </c>
      <c r="X778" s="745">
        <v>1</v>
      </c>
      <c r="Y778" s="1202">
        <v>0</v>
      </c>
    </row>
    <row r="779" spans="5:25" ht="15" x14ac:dyDescent="0.2">
      <c r="E779" s="1201"/>
      <c r="F779" s="745"/>
      <c r="G779" s="745"/>
      <c r="H779" s="1256">
        <f t="shared" si="86"/>
        <v>0</v>
      </c>
      <c r="I779" s="736">
        <v>552</v>
      </c>
      <c r="J779" s="736">
        <f t="shared" si="84"/>
        <v>5</v>
      </c>
      <c r="K779" s="2532">
        <f t="shared" si="87"/>
        <v>25</v>
      </c>
      <c r="L779" s="736">
        <f t="shared" si="85"/>
        <v>1</v>
      </c>
      <c r="M779" s="2533">
        <f t="shared" si="88"/>
        <v>2</v>
      </c>
      <c r="U779" s="1260">
        <f t="shared" si="83"/>
        <v>184</v>
      </c>
      <c r="V779" s="745">
        <v>2</v>
      </c>
      <c r="W779" s="745">
        <v>8</v>
      </c>
      <c r="X779" s="745">
        <v>1</v>
      </c>
      <c r="Y779" s="1202">
        <v>0</v>
      </c>
    </row>
    <row r="780" spans="5:25" ht="15" x14ac:dyDescent="0.2">
      <c r="E780" s="1201"/>
      <c r="F780" s="745"/>
      <c r="G780" s="745"/>
      <c r="H780" s="1256">
        <f t="shared" si="86"/>
        <v>0</v>
      </c>
      <c r="I780" s="736">
        <v>553</v>
      </c>
      <c r="J780" s="736">
        <f t="shared" si="84"/>
        <v>1</v>
      </c>
      <c r="K780" s="2532">
        <f t="shared" si="87"/>
        <v>29</v>
      </c>
      <c r="L780" s="736">
        <f t="shared" si="85"/>
        <v>0</v>
      </c>
      <c r="M780" s="2533">
        <f t="shared" si="88"/>
        <v>1</v>
      </c>
      <c r="U780" s="1260">
        <f t="shared" si="83"/>
        <v>202</v>
      </c>
      <c r="V780" s="745">
        <v>2</v>
      </c>
      <c r="W780" s="745">
        <v>9</v>
      </c>
      <c r="X780" s="745">
        <v>1</v>
      </c>
      <c r="Y780" s="1202">
        <v>0</v>
      </c>
    </row>
    <row r="781" spans="5:25" ht="15" x14ac:dyDescent="0.2">
      <c r="E781" s="1201"/>
      <c r="F781" s="745"/>
      <c r="G781" s="745"/>
      <c r="H781" s="1256">
        <f t="shared" si="86"/>
        <v>0</v>
      </c>
      <c r="I781" s="736">
        <v>554</v>
      </c>
      <c r="J781" s="736">
        <f t="shared" si="84"/>
        <v>4</v>
      </c>
      <c r="K781" s="2532">
        <f t="shared" si="87"/>
        <v>27</v>
      </c>
      <c r="L781" s="736">
        <f t="shared" si="85"/>
        <v>0</v>
      </c>
      <c r="M781" s="2533">
        <f t="shared" si="88"/>
        <v>1</v>
      </c>
      <c r="U781" s="1260">
        <f t="shared" si="83"/>
        <v>220</v>
      </c>
      <c r="V781" s="745">
        <v>2</v>
      </c>
      <c r="W781" s="745">
        <v>10</v>
      </c>
      <c r="X781" s="745">
        <v>1</v>
      </c>
      <c r="Y781" s="1202">
        <v>0</v>
      </c>
    </row>
    <row r="782" spans="5:25" ht="15" x14ac:dyDescent="0.2">
      <c r="E782" s="1201"/>
      <c r="F782" s="745"/>
      <c r="G782" s="745"/>
      <c r="H782" s="1256">
        <f t="shared" si="86"/>
        <v>0</v>
      </c>
      <c r="I782" s="736">
        <v>555</v>
      </c>
      <c r="J782" s="736">
        <f t="shared" si="84"/>
        <v>0</v>
      </c>
      <c r="K782" s="2532">
        <f t="shared" si="87"/>
        <v>29</v>
      </c>
      <c r="L782" s="736">
        <f t="shared" si="85"/>
        <v>1</v>
      </c>
      <c r="M782" s="2533">
        <f t="shared" si="88"/>
        <v>1</v>
      </c>
      <c r="U782" s="1260">
        <f t="shared" si="83"/>
        <v>238</v>
      </c>
      <c r="V782" s="745">
        <v>2</v>
      </c>
      <c r="W782" s="745">
        <v>11</v>
      </c>
      <c r="X782" s="745">
        <v>1</v>
      </c>
      <c r="Y782" s="1202">
        <v>0</v>
      </c>
    </row>
    <row r="783" spans="5:25" ht="15" x14ac:dyDescent="0.2">
      <c r="E783" s="1201"/>
      <c r="F783" s="745"/>
      <c r="G783" s="745"/>
      <c r="H783" s="1256">
        <f t="shared" si="86"/>
        <v>0</v>
      </c>
      <c r="I783" s="736">
        <v>556</v>
      </c>
      <c r="J783" s="736">
        <f t="shared" si="84"/>
        <v>1</v>
      </c>
      <c r="K783" s="2532">
        <f t="shared" si="87"/>
        <v>28</v>
      </c>
      <c r="L783" s="736">
        <f t="shared" si="85"/>
        <v>1</v>
      </c>
      <c r="M783" s="2533">
        <f t="shared" si="88"/>
        <v>2</v>
      </c>
      <c r="U783" s="1260">
        <f t="shared" si="83"/>
        <v>256</v>
      </c>
      <c r="V783" s="745">
        <v>2</v>
      </c>
      <c r="W783" s="745">
        <v>12</v>
      </c>
      <c r="X783" s="745">
        <v>1</v>
      </c>
      <c r="Y783" s="1202">
        <v>0</v>
      </c>
    </row>
    <row r="784" spans="5:25" ht="15" x14ac:dyDescent="0.2">
      <c r="E784" s="1201"/>
      <c r="F784" s="745"/>
      <c r="G784" s="745"/>
      <c r="H784" s="1256">
        <f t="shared" si="86"/>
        <v>0</v>
      </c>
      <c r="I784" s="736">
        <v>557</v>
      </c>
      <c r="J784" s="736">
        <f t="shared" si="84"/>
        <v>3</v>
      </c>
      <c r="K784" s="2532">
        <f t="shared" si="87"/>
        <v>27</v>
      </c>
      <c r="L784" s="736">
        <f t="shared" si="85"/>
        <v>1</v>
      </c>
      <c r="M784" s="2533">
        <f t="shared" si="88"/>
        <v>1</v>
      </c>
      <c r="U784" s="1260">
        <f t="shared" si="83"/>
        <v>274</v>
      </c>
      <c r="V784" s="745">
        <v>2</v>
      </c>
      <c r="W784" s="745">
        <v>13</v>
      </c>
      <c r="X784" s="745">
        <v>1</v>
      </c>
      <c r="Y784" s="1202">
        <v>0</v>
      </c>
    </row>
    <row r="785" spans="5:25" ht="15" x14ac:dyDescent="0.2">
      <c r="E785" s="1201"/>
      <c r="F785" s="745"/>
      <c r="G785" s="745"/>
      <c r="H785" s="1256">
        <f t="shared" si="86"/>
        <v>0</v>
      </c>
      <c r="I785" s="736">
        <v>558</v>
      </c>
      <c r="J785" s="736">
        <f t="shared" si="84"/>
        <v>0</v>
      </c>
      <c r="K785" s="2532">
        <f t="shared" si="87"/>
        <v>30</v>
      </c>
      <c r="L785" s="736">
        <f t="shared" si="85"/>
        <v>0</v>
      </c>
      <c r="M785" s="2533">
        <f t="shared" si="88"/>
        <v>1</v>
      </c>
      <c r="U785" s="1260">
        <f t="shared" si="83"/>
        <v>292</v>
      </c>
      <c r="V785" s="745">
        <v>2</v>
      </c>
      <c r="W785" s="745">
        <v>14</v>
      </c>
      <c r="X785" s="745">
        <v>1</v>
      </c>
      <c r="Y785" s="1202">
        <v>0</v>
      </c>
    </row>
    <row r="786" spans="5:25" ht="15" x14ac:dyDescent="0.2">
      <c r="E786" s="1201"/>
      <c r="F786" s="745"/>
      <c r="G786" s="745"/>
      <c r="H786" s="1256">
        <f t="shared" si="86"/>
        <v>0</v>
      </c>
      <c r="I786" s="736">
        <v>559</v>
      </c>
      <c r="J786" s="736">
        <f t="shared" si="84"/>
        <v>1</v>
      </c>
      <c r="K786" s="2532">
        <f t="shared" si="87"/>
        <v>29</v>
      </c>
      <c r="L786" s="736">
        <f t="shared" si="85"/>
        <v>0</v>
      </c>
      <c r="M786" s="2533">
        <f t="shared" si="88"/>
        <v>2</v>
      </c>
      <c r="U786" s="1260">
        <f t="shared" si="83"/>
        <v>310</v>
      </c>
      <c r="V786" s="745">
        <v>2</v>
      </c>
      <c r="W786" s="745">
        <v>15</v>
      </c>
      <c r="X786" s="745">
        <v>1</v>
      </c>
      <c r="Y786" s="1202">
        <v>0</v>
      </c>
    </row>
    <row r="787" spans="5:25" ht="15" x14ac:dyDescent="0.2">
      <c r="E787" s="1201"/>
      <c r="F787" s="745"/>
      <c r="G787" s="745"/>
      <c r="H787" s="1256">
        <f t="shared" si="86"/>
        <v>0</v>
      </c>
      <c r="I787" s="736">
        <v>560</v>
      </c>
      <c r="J787" s="736">
        <f t="shared" si="84"/>
        <v>3</v>
      </c>
      <c r="K787" s="2532">
        <f t="shared" si="87"/>
        <v>28</v>
      </c>
      <c r="L787" s="736">
        <f t="shared" si="85"/>
        <v>0</v>
      </c>
      <c r="M787" s="2533">
        <f t="shared" si="88"/>
        <v>1</v>
      </c>
      <c r="U787" s="1260">
        <f t="shared" si="83"/>
        <v>328</v>
      </c>
      <c r="V787" s="745">
        <v>2</v>
      </c>
      <c r="W787" s="745">
        <v>16</v>
      </c>
      <c r="X787" s="745">
        <v>1</v>
      </c>
      <c r="Y787" s="1202">
        <v>0</v>
      </c>
    </row>
    <row r="788" spans="5:25" ht="15" x14ac:dyDescent="0.2">
      <c r="E788" s="1201"/>
      <c r="F788" s="745"/>
      <c r="G788" s="745"/>
      <c r="H788" s="1256">
        <f t="shared" si="86"/>
        <v>0</v>
      </c>
      <c r="I788" s="736">
        <v>561</v>
      </c>
      <c r="J788" s="736">
        <f t="shared" si="84"/>
        <v>0</v>
      </c>
      <c r="K788" s="2532">
        <f t="shared" si="87"/>
        <v>29</v>
      </c>
      <c r="L788" s="736">
        <f t="shared" si="85"/>
        <v>1</v>
      </c>
      <c r="M788" s="2533">
        <f t="shared" si="88"/>
        <v>2</v>
      </c>
      <c r="U788" s="1260">
        <f t="shared" si="83"/>
        <v>346</v>
      </c>
      <c r="V788" s="745">
        <v>2</v>
      </c>
      <c r="W788" s="745">
        <v>17</v>
      </c>
      <c r="X788" s="745">
        <v>1</v>
      </c>
      <c r="Y788" s="1202">
        <v>0</v>
      </c>
    </row>
    <row r="789" spans="5:25" ht="15" x14ac:dyDescent="0.2">
      <c r="E789" s="1201"/>
      <c r="F789" s="745"/>
      <c r="G789" s="745"/>
      <c r="H789" s="1256">
        <f t="shared" si="86"/>
        <v>0</v>
      </c>
      <c r="I789" s="736">
        <v>562</v>
      </c>
      <c r="J789" s="736">
        <f t="shared" si="84"/>
        <v>2</v>
      </c>
      <c r="K789" s="2532">
        <f t="shared" si="87"/>
        <v>28</v>
      </c>
      <c r="L789" s="736">
        <f t="shared" si="85"/>
        <v>1</v>
      </c>
      <c r="M789" s="2533">
        <f t="shared" si="88"/>
        <v>1</v>
      </c>
      <c r="U789" s="1260">
        <f t="shared" si="83"/>
        <v>364</v>
      </c>
      <c r="V789" s="745">
        <v>2</v>
      </c>
      <c r="W789" s="745">
        <v>18</v>
      </c>
      <c r="X789" s="745">
        <v>1</v>
      </c>
      <c r="Y789" s="1202">
        <v>0</v>
      </c>
    </row>
    <row r="790" spans="5:25" ht="15" x14ac:dyDescent="0.2">
      <c r="E790" s="1201"/>
      <c r="F790" s="745"/>
      <c r="G790" s="745"/>
      <c r="H790" s="1256">
        <f t="shared" si="86"/>
        <v>0</v>
      </c>
      <c r="I790" s="736">
        <v>563</v>
      </c>
      <c r="J790" s="736">
        <f t="shared" si="84"/>
        <v>3</v>
      </c>
      <c r="K790" s="2532">
        <f t="shared" si="87"/>
        <v>27</v>
      </c>
      <c r="L790" s="736">
        <f t="shared" si="85"/>
        <v>1</v>
      </c>
      <c r="M790" s="2533">
        <f t="shared" si="88"/>
        <v>2</v>
      </c>
      <c r="U790" s="1260">
        <f t="shared" si="83"/>
        <v>382</v>
      </c>
      <c r="V790" s="745">
        <v>2</v>
      </c>
      <c r="W790" s="745">
        <v>19</v>
      </c>
      <c r="X790" s="745">
        <v>1</v>
      </c>
      <c r="Y790" s="1202">
        <v>0</v>
      </c>
    </row>
    <row r="791" spans="5:25" ht="15" x14ac:dyDescent="0.2">
      <c r="E791" s="1201"/>
      <c r="F791" s="745"/>
      <c r="G791" s="745"/>
      <c r="H791" s="1256">
        <f t="shared" si="86"/>
        <v>0</v>
      </c>
      <c r="I791" s="736">
        <v>564</v>
      </c>
      <c r="J791" s="736">
        <f t="shared" si="84"/>
        <v>5</v>
      </c>
      <c r="K791" s="2532">
        <f t="shared" si="87"/>
        <v>26</v>
      </c>
      <c r="L791" s="736">
        <f t="shared" si="85"/>
        <v>1</v>
      </c>
      <c r="M791" s="2533">
        <f t="shared" si="88"/>
        <v>1</v>
      </c>
      <c r="U791" s="1260">
        <f t="shared" si="83"/>
        <v>400</v>
      </c>
      <c r="V791" s="745">
        <v>2</v>
      </c>
      <c r="W791" s="745">
        <v>20</v>
      </c>
      <c r="X791" s="745">
        <v>1</v>
      </c>
      <c r="Y791" s="1202">
        <v>0</v>
      </c>
    </row>
    <row r="792" spans="5:25" ht="15" x14ac:dyDescent="0.2">
      <c r="E792" s="1201"/>
      <c r="F792" s="745"/>
      <c r="G792" s="745"/>
      <c r="H792" s="1256">
        <f t="shared" si="86"/>
        <v>0</v>
      </c>
      <c r="I792" s="736">
        <v>565</v>
      </c>
      <c r="J792" s="736">
        <f t="shared" si="84"/>
        <v>2</v>
      </c>
      <c r="K792" s="2532">
        <f t="shared" si="87"/>
        <v>29</v>
      </c>
      <c r="L792" s="736">
        <f t="shared" si="85"/>
        <v>0</v>
      </c>
      <c r="M792" s="2533">
        <f t="shared" si="88"/>
        <v>1</v>
      </c>
      <c r="U792" s="1260">
        <f t="shared" si="83"/>
        <v>418</v>
      </c>
      <c r="V792" s="745">
        <v>2</v>
      </c>
      <c r="W792" s="745">
        <v>21</v>
      </c>
      <c r="X792" s="745">
        <v>1</v>
      </c>
      <c r="Y792" s="1202">
        <v>0</v>
      </c>
    </row>
    <row r="793" spans="5:25" ht="15" x14ac:dyDescent="0.2">
      <c r="E793" s="1201"/>
      <c r="F793" s="745"/>
      <c r="G793" s="745"/>
      <c r="H793" s="1256">
        <f t="shared" si="86"/>
        <v>0</v>
      </c>
      <c r="I793" s="736">
        <v>566</v>
      </c>
      <c r="J793" s="736">
        <f t="shared" si="84"/>
        <v>3</v>
      </c>
      <c r="K793" s="2532">
        <f t="shared" si="87"/>
        <v>28</v>
      </c>
      <c r="L793" s="736">
        <f t="shared" si="85"/>
        <v>0</v>
      </c>
      <c r="M793" s="2533">
        <f t="shared" si="88"/>
        <v>2</v>
      </c>
      <c r="U793" s="1260">
        <f t="shared" si="83"/>
        <v>436</v>
      </c>
      <c r="V793" s="745">
        <v>2</v>
      </c>
      <c r="W793" s="745">
        <v>22</v>
      </c>
      <c r="X793" s="745">
        <v>1</v>
      </c>
      <c r="Y793" s="1202">
        <v>0</v>
      </c>
    </row>
    <row r="794" spans="5:25" ht="15" x14ac:dyDescent="0.2">
      <c r="E794" s="1201"/>
      <c r="F794" s="745"/>
      <c r="G794" s="745"/>
      <c r="H794" s="1256">
        <f t="shared" si="86"/>
        <v>0</v>
      </c>
      <c r="I794" s="736">
        <v>567</v>
      </c>
      <c r="J794" s="736">
        <f t="shared" si="84"/>
        <v>5</v>
      </c>
      <c r="K794" s="2532">
        <f t="shared" si="87"/>
        <v>27</v>
      </c>
      <c r="L794" s="736">
        <f t="shared" si="85"/>
        <v>0</v>
      </c>
      <c r="M794" s="2533">
        <f t="shared" si="88"/>
        <v>1</v>
      </c>
      <c r="U794" s="1260">
        <f t="shared" si="83"/>
        <v>454</v>
      </c>
      <c r="V794" s="745">
        <v>2</v>
      </c>
      <c r="W794" s="745">
        <v>23</v>
      </c>
      <c r="X794" s="745">
        <v>1</v>
      </c>
      <c r="Y794" s="1202">
        <v>0</v>
      </c>
    </row>
    <row r="795" spans="5:25" ht="15" x14ac:dyDescent="0.2">
      <c r="E795" s="1201"/>
      <c r="F795" s="745"/>
      <c r="G795" s="745"/>
      <c r="H795" s="1256">
        <f t="shared" si="86"/>
        <v>0</v>
      </c>
      <c r="I795" s="736">
        <v>568</v>
      </c>
      <c r="J795" s="736">
        <f t="shared" si="84"/>
        <v>1</v>
      </c>
      <c r="K795" s="2532">
        <f t="shared" si="87"/>
        <v>29</v>
      </c>
      <c r="L795" s="736">
        <f t="shared" si="85"/>
        <v>1</v>
      </c>
      <c r="M795" s="2533">
        <f t="shared" si="88"/>
        <v>1</v>
      </c>
      <c r="U795" s="1260">
        <f t="shared" si="83"/>
        <v>472</v>
      </c>
      <c r="V795" s="745">
        <v>2</v>
      </c>
      <c r="W795" s="745">
        <v>24</v>
      </c>
      <c r="X795" s="745">
        <v>1</v>
      </c>
      <c r="Y795" s="1202">
        <v>0</v>
      </c>
    </row>
    <row r="796" spans="5:25" ht="15" x14ac:dyDescent="0.2">
      <c r="E796" s="1201"/>
      <c r="F796" s="745"/>
      <c r="G796" s="745"/>
      <c r="H796" s="1256">
        <f t="shared" si="86"/>
        <v>0</v>
      </c>
      <c r="I796" s="736">
        <v>569</v>
      </c>
      <c r="J796" s="736">
        <f t="shared" si="84"/>
        <v>4</v>
      </c>
      <c r="K796" s="2532">
        <f t="shared" si="87"/>
        <v>27</v>
      </c>
      <c r="L796" s="736">
        <f t="shared" si="85"/>
        <v>1</v>
      </c>
      <c r="M796" s="2533">
        <f t="shared" si="88"/>
        <v>1</v>
      </c>
      <c r="U796" s="1260">
        <f t="shared" si="83"/>
        <v>490</v>
      </c>
      <c r="V796" s="745">
        <v>2</v>
      </c>
      <c r="W796" s="745">
        <v>25</v>
      </c>
      <c r="X796" s="745">
        <v>1</v>
      </c>
      <c r="Y796" s="1202">
        <v>0</v>
      </c>
    </row>
    <row r="797" spans="5:25" ht="15" x14ac:dyDescent="0.2">
      <c r="E797" s="1201"/>
      <c r="F797" s="745"/>
      <c r="G797" s="745"/>
      <c r="H797" s="1256">
        <f t="shared" si="86"/>
        <v>0</v>
      </c>
      <c r="I797" s="736">
        <v>570</v>
      </c>
      <c r="J797" s="736">
        <f t="shared" si="84"/>
        <v>5</v>
      </c>
      <c r="K797" s="2532">
        <f t="shared" si="87"/>
        <v>26</v>
      </c>
      <c r="L797" s="736">
        <f t="shared" si="85"/>
        <v>1</v>
      </c>
      <c r="M797" s="2533">
        <f t="shared" si="88"/>
        <v>2</v>
      </c>
      <c r="U797" s="1260">
        <f t="shared" si="83"/>
        <v>508</v>
      </c>
      <c r="V797" s="745">
        <v>2</v>
      </c>
      <c r="W797" s="745">
        <v>26</v>
      </c>
      <c r="X797" s="745">
        <v>1</v>
      </c>
      <c r="Y797" s="1202">
        <v>0</v>
      </c>
    </row>
    <row r="798" spans="5:25" ht="15" x14ac:dyDescent="0.2">
      <c r="E798" s="1201"/>
      <c r="F798" s="745"/>
      <c r="G798" s="745"/>
      <c r="H798" s="1256">
        <f t="shared" si="86"/>
        <v>0</v>
      </c>
      <c r="I798" s="736">
        <v>571</v>
      </c>
      <c r="J798" s="736">
        <f t="shared" si="84"/>
        <v>1</v>
      </c>
      <c r="K798" s="2532">
        <f t="shared" si="87"/>
        <v>30</v>
      </c>
      <c r="L798" s="736">
        <f t="shared" si="85"/>
        <v>0</v>
      </c>
      <c r="M798" s="2533">
        <f t="shared" si="88"/>
        <v>1</v>
      </c>
      <c r="U798" s="1260">
        <f t="shared" si="83"/>
        <v>526</v>
      </c>
      <c r="V798" s="745">
        <v>2</v>
      </c>
      <c r="W798" s="745">
        <v>27</v>
      </c>
      <c r="X798" s="745">
        <v>1</v>
      </c>
      <c r="Y798" s="1202">
        <v>0</v>
      </c>
    </row>
    <row r="799" spans="5:25" ht="15" x14ac:dyDescent="0.2">
      <c r="E799" s="1201"/>
      <c r="F799" s="745"/>
      <c r="G799" s="745"/>
      <c r="H799" s="1256">
        <f t="shared" si="86"/>
        <v>0</v>
      </c>
      <c r="I799" s="736">
        <v>572</v>
      </c>
      <c r="J799" s="736">
        <f t="shared" si="84"/>
        <v>4</v>
      </c>
      <c r="K799" s="2532">
        <f t="shared" si="87"/>
        <v>28</v>
      </c>
      <c r="L799" s="736">
        <f t="shared" si="85"/>
        <v>0</v>
      </c>
      <c r="M799" s="2533">
        <f t="shared" si="88"/>
        <v>1</v>
      </c>
      <c r="U799" s="1260">
        <f t="shared" si="83"/>
        <v>544</v>
      </c>
      <c r="V799" s="745">
        <v>2</v>
      </c>
      <c r="W799" s="745">
        <v>28</v>
      </c>
      <c r="X799" s="745">
        <v>1</v>
      </c>
      <c r="Y799" s="1202">
        <v>0</v>
      </c>
    </row>
    <row r="800" spans="5:25" ht="15" x14ac:dyDescent="0.2">
      <c r="E800" s="1201"/>
      <c r="F800" s="745"/>
      <c r="G800" s="745"/>
      <c r="H800" s="1256">
        <f t="shared" si="86"/>
        <v>0</v>
      </c>
      <c r="I800" s="736">
        <v>573</v>
      </c>
      <c r="J800" s="736">
        <f t="shared" si="84"/>
        <v>0</v>
      </c>
      <c r="K800" s="2532">
        <f t="shared" si="87"/>
        <v>30</v>
      </c>
      <c r="L800" s="736">
        <f t="shared" si="85"/>
        <v>1</v>
      </c>
      <c r="M800" s="2533">
        <f t="shared" si="88"/>
        <v>1</v>
      </c>
      <c r="U800" s="1260">
        <f t="shared" si="83"/>
        <v>562</v>
      </c>
      <c r="V800" s="745">
        <v>2</v>
      </c>
      <c r="W800" s="745">
        <v>29</v>
      </c>
      <c r="X800" s="745">
        <v>1</v>
      </c>
      <c r="Y800" s="1202">
        <v>0</v>
      </c>
    </row>
    <row r="801" spans="5:25" ht="15" x14ac:dyDescent="0.2">
      <c r="E801" s="1201"/>
      <c r="F801" s="745"/>
      <c r="G801" s="745"/>
      <c r="H801" s="1256">
        <f t="shared" si="86"/>
        <v>0</v>
      </c>
      <c r="I801" s="736">
        <v>574</v>
      </c>
      <c r="J801" s="736">
        <f t="shared" si="84"/>
        <v>1</v>
      </c>
      <c r="K801" s="2532">
        <f t="shared" si="87"/>
        <v>29</v>
      </c>
      <c r="L801" s="736">
        <f t="shared" si="85"/>
        <v>1</v>
      </c>
      <c r="M801" s="2533">
        <f t="shared" si="88"/>
        <v>2</v>
      </c>
      <c r="U801" s="1260">
        <f t="shared" si="83"/>
        <v>580</v>
      </c>
      <c r="V801" s="745">
        <v>2</v>
      </c>
      <c r="W801" s="745">
        <v>30</v>
      </c>
      <c r="X801" s="745">
        <v>1</v>
      </c>
      <c r="Y801" s="1202">
        <v>0</v>
      </c>
    </row>
    <row r="802" spans="5:25" ht="15" x14ac:dyDescent="0.2">
      <c r="E802" s="1201"/>
      <c r="F802" s="745"/>
      <c r="G802" s="745"/>
      <c r="H802" s="1256">
        <f t="shared" si="86"/>
        <v>0</v>
      </c>
      <c r="I802" s="736">
        <v>575</v>
      </c>
      <c r="J802" s="736">
        <f t="shared" si="84"/>
        <v>3</v>
      </c>
      <c r="K802" s="2532">
        <f t="shared" si="87"/>
        <v>28</v>
      </c>
      <c r="L802" s="736">
        <f t="shared" si="85"/>
        <v>1</v>
      </c>
      <c r="M802" s="2533">
        <f t="shared" si="88"/>
        <v>1</v>
      </c>
      <c r="U802" s="1260">
        <f t="shared" si="83"/>
        <v>598</v>
      </c>
      <c r="V802" s="745">
        <v>2</v>
      </c>
      <c r="W802" s="745">
        <v>31</v>
      </c>
      <c r="X802" s="745">
        <v>1</v>
      </c>
      <c r="Y802" s="1202">
        <v>0</v>
      </c>
    </row>
    <row r="803" spans="5:25" ht="15" x14ac:dyDescent="0.2">
      <c r="E803" s="1201"/>
      <c r="F803" s="745"/>
      <c r="G803" s="745"/>
      <c r="H803" s="1256">
        <f t="shared" si="86"/>
        <v>0</v>
      </c>
      <c r="I803" s="736">
        <v>576</v>
      </c>
      <c r="J803" s="736">
        <f t="shared" si="84"/>
        <v>0</v>
      </c>
      <c r="K803" s="2532">
        <f t="shared" si="87"/>
        <v>31</v>
      </c>
      <c r="L803" s="736">
        <f t="shared" si="85"/>
        <v>0</v>
      </c>
      <c r="M803" s="2533">
        <f t="shared" si="88"/>
        <v>1</v>
      </c>
      <c r="U803" s="1260">
        <f t="shared" si="83"/>
        <v>616</v>
      </c>
      <c r="V803" s="745">
        <v>2</v>
      </c>
      <c r="W803" s="745">
        <v>32</v>
      </c>
      <c r="X803" s="745">
        <v>1</v>
      </c>
      <c r="Y803" s="1202">
        <v>0</v>
      </c>
    </row>
    <row r="804" spans="5:25" ht="15" x14ac:dyDescent="0.2">
      <c r="E804" s="1201"/>
      <c r="F804" s="745"/>
      <c r="G804" s="745"/>
      <c r="H804" s="1256">
        <f t="shared" si="86"/>
        <v>0</v>
      </c>
      <c r="I804" s="736">
        <v>577</v>
      </c>
      <c r="J804" s="736">
        <f t="shared" si="84"/>
        <v>1</v>
      </c>
      <c r="K804" s="2532">
        <f t="shared" si="87"/>
        <v>30</v>
      </c>
      <c r="L804" s="736">
        <f t="shared" si="85"/>
        <v>0</v>
      </c>
      <c r="M804" s="2533">
        <f t="shared" si="88"/>
        <v>2</v>
      </c>
      <c r="U804" s="1260">
        <f t="shared" si="83"/>
        <v>634</v>
      </c>
      <c r="V804" s="745">
        <v>2</v>
      </c>
      <c r="W804" s="745">
        <v>33</v>
      </c>
      <c r="X804" s="745">
        <v>1</v>
      </c>
      <c r="Y804" s="1202">
        <v>0</v>
      </c>
    </row>
    <row r="805" spans="5:25" ht="15" x14ac:dyDescent="0.2">
      <c r="E805" s="1201"/>
      <c r="F805" s="745"/>
      <c r="G805" s="745"/>
      <c r="H805" s="1256">
        <f t="shared" si="86"/>
        <v>0</v>
      </c>
      <c r="I805" s="736">
        <v>578</v>
      </c>
      <c r="J805" s="736">
        <f t="shared" si="84"/>
        <v>3</v>
      </c>
      <c r="K805" s="2532">
        <f t="shared" si="87"/>
        <v>29</v>
      </c>
      <c r="L805" s="736">
        <f t="shared" si="85"/>
        <v>0</v>
      </c>
      <c r="M805" s="2533">
        <f t="shared" si="88"/>
        <v>1</v>
      </c>
      <c r="U805" s="1260">
        <f t="shared" si="83"/>
        <v>652</v>
      </c>
      <c r="V805" s="745">
        <v>2</v>
      </c>
      <c r="W805" s="745">
        <v>34</v>
      </c>
      <c r="X805" s="745">
        <v>1</v>
      </c>
      <c r="Y805" s="1202">
        <v>0</v>
      </c>
    </row>
    <row r="806" spans="5:25" ht="15" x14ac:dyDescent="0.2">
      <c r="E806" s="1201"/>
      <c r="F806" s="745"/>
      <c r="G806" s="745"/>
      <c r="H806" s="1256">
        <f t="shared" si="86"/>
        <v>0</v>
      </c>
      <c r="I806" s="736">
        <v>579</v>
      </c>
      <c r="J806" s="736">
        <f t="shared" si="84"/>
        <v>0</v>
      </c>
      <c r="K806" s="2532">
        <f t="shared" si="87"/>
        <v>30</v>
      </c>
      <c r="L806" s="736">
        <f t="shared" si="85"/>
        <v>1</v>
      </c>
      <c r="M806" s="2533">
        <f t="shared" si="88"/>
        <v>2</v>
      </c>
      <c r="U806" s="1260">
        <f t="shared" si="83"/>
        <v>670</v>
      </c>
      <c r="V806" s="745">
        <v>2</v>
      </c>
      <c r="W806" s="745">
        <v>35</v>
      </c>
      <c r="X806" s="745">
        <v>1</v>
      </c>
      <c r="Y806" s="1202">
        <v>0</v>
      </c>
    </row>
    <row r="807" spans="5:25" ht="15" x14ac:dyDescent="0.2">
      <c r="E807" s="1201"/>
      <c r="F807" s="745"/>
      <c r="G807" s="745"/>
      <c r="H807" s="1256">
        <f t="shared" si="86"/>
        <v>0</v>
      </c>
      <c r="I807" s="736">
        <v>580</v>
      </c>
      <c r="J807" s="736">
        <f t="shared" si="84"/>
        <v>2</v>
      </c>
      <c r="K807" s="2532">
        <f t="shared" si="87"/>
        <v>29</v>
      </c>
      <c r="L807" s="736">
        <f t="shared" si="85"/>
        <v>1</v>
      </c>
      <c r="M807" s="2533">
        <f t="shared" si="88"/>
        <v>1</v>
      </c>
      <c r="U807" s="1260">
        <f t="shared" si="83"/>
        <v>688</v>
      </c>
      <c r="V807" s="745">
        <v>2</v>
      </c>
      <c r="W807" s="745">
        <v>36</v>
      </c>
      <c r="X807" s="745">
        <v>1</v>
      </c>
      <c r="Y807" s="1202">
        <v>0</v>
      </c>
    </row>
    <row r="808" spans="5:25" ht="15" x14ac:dyDescent="0.2">
      <c r="E808" s="1201"/>
      <c r="F808" s="745"/>
      <c r="G808" s="745"/>
      <c r="H808" s="1256">
        <f t="shared" si="86"/>
        <v>0</v>
      </c>
      <c r="I808" s="736">
        <v>581</v>
      </c>
      <c r="J808" s="736">
        <f t="shared" si="84"/>
        <v>3</v>
      </c>
      <c r="K808" s="2532">
        <f t="shared" si="87"/>
        <v>28</v>
      </c>
      <c r="L808" s="736">
        <f t="shared" si="85"/>
        <v>1</v>
      </c>
      <c r="M808" s="2533">
        <f t="shared" si="88"/>
        <v>2</v>
      </c>
      <c r="U808" s="1260">
        <f t="shared" ref="U808:U871" si="89">ROUNDUP(W808*$W$294+V808*$V$294+X808*$X$294+Y808*$Y$294,0)</f>
        <v>706</v>
      </c>
      <c r="V808" s="745">
        <v>2</v>
      </c>
      <c r="W808" s="745">
        <v>37</v>
      </c>
      <c r="X808" s="745">
        <v>1</v>
      </c>
      <c r="Y808" s="1202">
        <v>0</v>
      </c>
    </row>
    <row r="809" spans="5:25" ht="15" x14ac:dyDescent="0.2">
      <c r="E809" s="1201"/>
      <c r="F809" s="745"/>
      <c r="G809" s="745"/>
      <c r="H809" s="1256">
        <f t="shared" si="86"/>
        <v>0</v>
      </c>
      <c r="I809" s="736">
        <v>582</v>
      </c>
      <c r="J809" s="736">
        <f t="shared" si="84"/>
        <v>5</v>
      </c>
      <c r="K809" s="2532">
        <f t="shared" si="87"/>
        <v>27</v>
      </c>
      <c r="L809" s="736">
        <f t="shared" si="85"/>
        <v>1</v>
      </c>
      <c r="M809" s="2533">
        <f t="shared" si="88"/>
        <v>1</v>
      </c>
      <c r="U809" s="1260">
        <f t="shared" si="89"/>
        <v>724</v>
      </c>
      <c r="V809" s="745">
        <v>2</v>
      </c>
      <c r="W809" s="745">
        <v>38</v>
      </c>
      <c r="X809" s="745">
        <v>1</v>
      </c>
      <c r="Y809" s="1202">
        <v>0</v>
      </c>
    </row>
    <row r="810" spans="5:25" ht="15" x14ac:dyDescent="0.2">
      <c r="E810" s="1201"/>
      <c r="F810" s="745"/>
      <c r="G810" s="745"/>
      <c r="H810" s="1256">
        <f t="shared" si="86"/>
        <v>0</v>
      </c>
      <c r="I810" s="736">
        <v>583</v>
      </c>
      <c r="J810" s="736">
        <f t="shared" si="84"/>
        <v>2</v>
      </c>
      <c r="K810" s="2532">
        <f t="shared" si="87"/>
        <v>30</v>
      </c>
      <c r="L810" s="736">
        <f t="shared" si="85"/>
        <v>0</v>
      </c>
      <c r="M810" s="2533">
        <f t="shared" si="88"/>
        <v>1</v>
      </c>
      <c r="U810" s="1260">
        <f t="shared" si="89"/>
        <v>742</v>
      </c>
      <c r="V810" s="745">
        <v>2</v>
      </c>
      <c r="W810" s="745">
        <v>39</v>
      </c>
      <c r="X810" s="745">
        <v>1</v>
      </c>
      <c r="Y810" s="1202">
        <v>0</v>
      </c>
    </row>
    <row r="811" spans="5:25" ht="15" x14ac:dyDescent="0.2">
      <c r="E811" s="1201"/>
      <c r="F811" s="745"/>
      <c r="G811" s="745"/>
      <c r="H811" s="1256">
        <f t="shared" si="86"/>
        <v>0</v>
      </c>
      <c r="I811" s="736">
        <v>584</v>
      </c>
      <c r="J811" s="736">
        <f t="shared" si="84"/>
        <v>3</v>
      </c>
      <c r="K811" s="2532">
        <f t="shared" si="87"/>
        <v>29</v>
      </c>
      <c r="L811" s="736">
        <f t="shared" si="85"/>
        <v>0</v>
      </c>
      <c r="M811" s="2533">
        <f t="shared" si="88"/>
        <v>2</v>
      </c>
      <c r="U811" s="1260">
        <f t="shared" si="89"/>
        <v>760</v>
      </c>
      <c r="V811" s="745">
        <v>2</v>
      </c>
      <c r="W811" s="745">
        <v>40</v>
      </c>
      <c r="X811" s="745">
        <v>1</v>
      </c>
      <c r="Y811" s="1202">
        <v>0</v>
      </c>
    </row>
    <row r="812" spans="5:25" ht="15" x14ac:dyDescent="0.2">
      <c r="E812" s="1201"/>
      <c r="F812" s="745"/>
      <c r="G812" s="745"/>
      <c r="H812" s="1256">
        <f t="shared" si="86"/>
        <v>0</v>
      </c>
      <c r="I812" s="736">
        <v>585</v>
      </c>
      <c r="J812" s="736">
        <f t="shared" si="84"/>
        <v>5</v>
      </c>
      <c r="K812" s="2532">
        <f t="shared" si="87"/>
        <v>28</v>
      </c>
      <c r="L812" s="736">
        <f t="shared" si="85"/>
        <v>0</v>
      </c>
      <c r="M812" s="2533">
        <f t="shared" si="88"/>
        <v>1</v>
      </c>
      <c r="U812" s="1260">
        <f t="shared" si="89"/>
        <v>778</v>
      </c>
      <c r="V812" s="745">
        <v>2</v>
      </c>
      <c r="W812" s="745">
        <v>41</v>
      </c>
      <c r="X812" s="745">
        <v>1</v>
      </c>
      <c r="Y812" s="1202">
        <v>0</v>
      </c>
    </row>
    <row r="813" spans="5:25" ht="15" x14ac:dyDescent="0.2">
      <c r="E813" s="1201"/>
      <c r="F813" s="745"/>
      <c r="G813" s="745"/>
      <c r="H813" s="1256">
        <f t="shared" si="86"/>
        <v>0</v>
      </c>
      <c r="I813" s="736">
        <v>586</v>
      </c>
      <c r="J813" s="736">
        <f t="shared" si="84"/>
        <v>1</v>
      </c>
      <c r="K813" s="2532">
        <f t="shared" si="87"/>
        <v>30</v>
      </c>
      <c r="L813" s="736">
        <f t="shared" si="85"/>
        <v>1</v>
      </c>
      <c r="M813" s="2533">
        <f t="shared" si="88"/>
        <v>1</v>
      </c>
      <c r="U813" s="1260">
        <f t="shared" si="89"/>
        <v>796</v>
      </c>
      <c r="V813" s="745">
        <v>2</v>
      </c>
      <c r="W813" s="745">
        <v>42</v>
      </c>
      <c r="X813" s="745">
        <v>1</v>
      </c>
      <c r="Y813" s="1202">
        <v>0</v>
      </c>
    </row>
    <row r="814" spans="5:25" ht="15" x14ac:dyDescent="0.2">
      <c r="E814" s="1201"/>
      <c r="F814" s="745"/>
      <c r="G814" s="745"/>
      <c r="H814" s="1256">
        <f t="shared" si="86"/>
        <v>0</v>
      </c>
      <c r="I814" s="736">
        <v>587</v>
      </c>
      <c r="J814" s="736">
        <f t="shared" ref="J814:J877" si="90">VLOOKUP($I814,$U$295:$Y$1758,2,FALSE)</f>
        <v>4</v>
      </c>
      <c r="K814" s="2532">
        <f t="shared" si="87"/>
        <v>28</v>
      </c>
      <c r="L814" s="736">
        <f t="shared" ref="L814:L877" si="91">VLOOKUP($I814,$U$295:$Y$1758,4,FALSE)</f>
        <v>1</v>
      </c>
      <c r="M814" s="2533">
        <f t="shared" si="88"/>
        <v>1</v>
      </c>
      <c r="U814" s="1260">
        <f t="shared" si="89"/>
        <v>814</v>
      </c>
      <c r="V814" s="745">
        <v>2</v>
      </c>
      <c r="W814" s="745">
        <v>43</v>
      </c>
      <c r="X814" s="745">
        <v>1</v>
      </c>
      <c r="Y814" s="1202">
        <v>0</v>
      </c>
    </row>
    <row r="815" spans="5:25" ht="15" x14ac:dyDescent="0.2">
      <c r="E815" s="1201"/>
      <c r="F815" s="745"/>
      <c r="G815" s="745"/>
      <c r="H815" s="1256">
        <f t="shared" ref="H815:H878" si="92">IF($H$298=I815,1,0)</f>
        <v>0</v>
      </c>
      <c r="I815" s="736">
        <v>588</v>
      </c>
      <c r="J815" s="736">
        <f t="shared" si="90"/>
        <v>5</v>
      </c>
      <c r="K815" s="2532">
        <f t="shared" ref="K815:K878" si="93">IF(VLOOKUP($I815,$U$295:$Y$1758,3,FALSE)&gt;0,VLOOKUP($I815,$U$295:$Y$1758,3,FALSE)-1,VLOOKUP($I815,$U$295:$Y$1758,3,FALSE))</f>
        <v>27</v>
      </c>
      <c r="L815" s="736">
        <f t="shared" si="91"/>
        <v>1</v>
      </c>
      <c r="M815" s="2533">
        <f t="shared" ref="M815:M878" si="94">VLOOKUP($I815,$U$295:$Y$1758,5,FALSE)+1</f>
        <v>2</v>
      </c>
      <c r="U815" s="1260">
        <f t="shared" si="89"/>
        <v>832</v>
      </c>
      <c r="V815" s="745">
        <v>2</v>
      </c>
      <c r="W815" s="745">
        <v>44</v>
      </c>
      <c r="X815" s="745">
        <v>1</v>
      </c>
      <c r="Y815" s="1202">
        <v>0</v>
      </c>
    </row>
    <row r="816" spans="5:25" ht="15" x14ac:dyDescent="0.2">
      <c r="E816" s="1201"/>
      <c r="F816" s="745"/>
      <c r="G816" s="745"/>
      <c r="H816" s="1256">
        <f t="shared" si="92"/>
        <v>0</v>
      </c>
      <c r="I816" s="736">
        <v>589</v>
      </c>
      <c r="J816" s="736">
        <f t="shared" si="90"/>
        <v>1</v>
      </c>
      <c r="K816" s="2532">
        <f t="shared" si="93"/>
        <v>31</v>
      </c>
      <c r="L816" s="736">
        <f t="shared" si="91"/>
        <v>0</v>
      </c>
      <c r="M816" s="2533">
        <f t="shared" si="94"/>
        <v>1</v>
      </c>
      <c r="U816" s="1260">
        <f t="shared" si="89"/>
        <v>850</v>
      </c>
      <c r="V816" s="745">
        <v>2</v>
      </c>
      <c r="W816" s="745">
        <v>45</v>
      </c>
      <c r="X816" s="745">
        <v>1</v>
      </c>
      <c r="Y816" s="1202">
        <v>0</v>
      </c>
    </row>
    <row r="817" spans="5:25" ht="15" x14ac:dyDescent="0.2">
      <c r="E817" s="1201"/>
      <c r="F817" s="745"/>
      <c r="G817" s="745"/>
      <c r="H817" s="1256">
        <f t="shared" si="92"/>
        <v>0</v>
      </c>
      <c r="I817" s="736">
        <v>590</v>
      </c>
      <c r="J817" s="736">
        <f t="shared" si="90"/>
        <v>4</v>
      </c>
      <c r="K817" s="2532">
        <f t="shared" si="93"/>
        <v>29</v>
      </c>
      <c r="L817" s="736">
        <f t="shared" si="91"/>
        <v>0</v>
      </c>
      <c r="M817" s="2533">
        <f t="shared" si="94"/>
        <v>1</v>
      </c>
      <c r="U817" s="1260">
        <f t="shared" si="89"/>
        <v>868</v>
      </c>
      <c r="V817" s="745">
        <v>2</v>
      </c>
      <c r="W817" s="745">
        <v>46</v>
      </c>
      <c r="X817" s="745">
        <v>1</v>
      </c>
      <c r="Y817" s="1202">
        <v>0</v>
      </c>
    </row>
    <row r="818" spans="5:25" ht="15" x14ac:dyDescent="0.2">
      <c r="E818" s="1201"/>
      <c r="F818" s="745"/>
      <c r="G818" s="745"/>
      <c r="H818" s="1256">
        <f t="shared" si="92"/>
        <v>0</v>
      </c>
      <c r="I818" s="736">
        <v>591</v>
      </c>
      <c r="J818" s="736">
        <f t="shared" si="90"/>
        <v>0</v>
      </c>
      <c r="K818" s="2532">
        <f t="shared" si="93"/>
        <v>31</v>
      </c>
      <c r="L818" s="736">
        <f t="shared" si="91"/>
        <v>1</v>
      </c>
      <c r="M818" s="2533">
        <f t="shared" si="94"/>
        <v>1</v>
      </c>
      <c r="U818" s="1260">
        <f t="shared" si="89"/>
        <v>886</v>
      </c>
      <c r="V818" s="745">
        <v>2</v>
      </c>
      <c r="W818" s="745">
        <v>47</v>
      </c>
      <c r="X818" s="745">
        <v>1</v>
      </c>
      <c r="Y818" s="1202">
        <v>0</v>
      </c>
    </row>
    <row r="819" spans="5:25" ht="15" x14ac:dyDescent="0.2">
      <c r="E819" s="1201"/>
      <c r="F819" s="745"/>
      <c r="G819" s="745"/>
      <c r="H819" s="1256">
        <f t="shared" si="92"/>
        <v>0</v>
      </c>
      <c r="I819" s="736">
        <v>592</v>
      </c>
      <c r="J819" s="736">
        <f t="shared" si="90"/>
        <v>1</v>
      </c>
      <c r="K819" s="2532">
        <f t="shared" si="93"/>
        <v>30</v>
      </c>
      <c r="L819" s="736">
        <f t="shared" si="91"/>
        <v>1</v>
      </c>
      <c r="M819" s="2533">
        <f t="shared" si="94"/>
        <v>2</v>
      </c>
      <c r="U819" s="1260">
        <f t="shared" si="89"/>
        <v>904</v>
      </c>
      <c r="V819" s="745">
        <v>2</v>
      </c>
      <c r="W819" s="745">
        <v>48</v>
      </c>
      <c r="X819" s="745">
        <v>1</v>
      </c>
      <c r="Y819" s="1202">
        <v>0</v>
      </c>
    </row>
    <row r="820" spans="5:25" ht="15" x14ac:dyDescent="0.2">
      <c r="E820" s="1201"/>
      <c r="F820" s="745"/>
      <c r="G820" s="745"/>
      <c r="H820" s="1256">
        <f t="shared" si="92"/>
        <v>0</v>
      </c>
      <c r="I820" s="736">
        <v>593</v>
      </c>
      <c r="J820" s="736">
        <f t="shared" si="90"/>
        <v>3</v>
      </c>
      <c r="K820" s="2532">
        <f t="shared" si="93"/>
        <v>29</v>
      </c>
      <c r="L820" s="736">
        <f t="shared" si="91"/>
        <v>1</v>
      </c>
      <c r="M820" s="2533">
        <f t="shared" si="94"/>
        <v>1</v>
      </c>
      <c r="U820" s="1260">
        <f t="shared" si="89"/>
        <v>922</v>
      </c>
      <c r="V820" s="745">
        <v>2</v>
      </c>
      <c r="W820" s="745">
        <v>49</v>
      </c>
      <c r="X820" s="745">
        <v>1</v>
      </c>
      <c r="Y820" s="1202">
        <v>0</v>
      </c>
    </row>
    <row r="821" spans="5:25" ht="15" x14ac:dyDescent="0.2">
      <c r="E821" s="1201"/>
      <c r="F821" s="745"/>
      <c r="G821" s="745"/>
      <c r="H821" s="1256">
        <f t="shared" si="92"/>
        <v>0</v>
      </c>
      <c r="I821" s="736">
        <v>594</v>
      </c>
      <c r="J821" s="736">
        <f t="shared" si="90"/>
        <v>0</v>
      </c>
      <c r="K821" s="2532">
        <f t="shared" si="93"/>
        <v>32</v>
      </c>
      <c r="L821" s="736">
        <f t="shared" si="91"/>
        <v>0</v>
      </c>
      <c r="M821" s="2533">
        <f t="shared" si="94"/>
        <v>1</v>
      </c>
      <c r="U821" s="1260">
        <f t="shared" si="89"/>
        <v>940</v>
      </c>
      <c r="V821" s="745">
        <v>2</v>
      </c>
      <c r="W821" s="745">
        <v>50</v>
      </c>
      <c r="X821" s="745">
        <v>1</v>
      </c>
      <c r="Y821" s="1202">
        <v>0</v>
      </c>
    </row>
    <row r="822" spans="5:25" ht="15" x14ac:dyDescent="0.2">
      <c r="E822" s="1201"/>
      <c r="F822" s="745"/>
      <c r="G822" s="745"/>
      <c r="H822" s="1256">
        <f t="shared" si="92"/>
        <v>0</v>
      </c>
      <c r="I822" s="736">
        <v>595</v>
      </c>
      <c r="J822" s="736">
        <f t="shared" si="90"/>
        <v>1</v>
      </c>
      <c r="K822" s="2532">
        <f t="shared" si="93"/>
        <v>31</v>
      </c>
      <c r="L822" s="736">
        <f t="shared" si="91"/>
        <v>0</v>
      </c>
      <c r="M822" s="2533">
        <f t="shared" si="94"/>
        <v>2</v>
      </c>
      <c r="U822" s="1260">
        <f t="shared" si="89"/>
        <v>958</v>
      </c>
      <c r="V822" s="745">
        <v>2</v>
      </c>
      <c r="W822" s="745">
        <v>51</v>
      </c>
      <c r="X822" s="745">
        <v>1</v>
      </c>
      <c r="Y822" s="1202">
        <v>0</v>
      </c>
    </row>
    <row r="823" spans="5:25" ht="15" x14ac:dyDescent="0.2">
      <c r="E823" s="1201"/>
      <c r="F823" s="745"/>
      <c r="G823" s="745"/>
      <c r="H823" s="1256">
        <f t="shared" si="92"/>
        <v>0</v>
      </c>
      <c r="I823" s="736">
        <v>596</v>
      </c>
      <c r="J823" s="736">
        <f t="shared" si="90"/>
        <v>3</v>
      </c>
      <c r="K823" s="2532">
        <f t="shared" si="93"/>
        <v>30</v>
      </c>
      <c r="L823" s="736">
        <f t="shared" si="91"/>
        <v>0</v>
      </c>
      <c r="M823" s="2533">
        <f t="shared" si="94"/>
        <v>1</v>
      </c>
      <c r="U823" s="1260">
        <f t="shared" si="89"/>
        <v>976</v>
      </c>
      <c r="V823" s="745">
        <v>2</v>
      </c>
      <c r="W823" s="745">
        <v>52</v>
      </c>
      <c r="X823" s="745">
        <v>1</v>
      </c>
      <c r="Y823" s="1202">
        <v>0</v>
      </c>
    </row>
    <row r="824" spans="5:25" ht="15" x14ac:dyDescent="0.2">
      <c r="E824" s="1201"/>
      <c r="F824" s="745"/>
      <c r="G824" s="745"/>
      <c r="H824" s="1256">
        <f t="shared" si="92"/>
        <v>0</v>
      </c>
      <c r="I824" s="736">
        <v>597</v>
      </c>
      <c r="J824" s="736">
        <f t="shared" si="90"/>
        <v>0</v>
      </c>
      <c r="K824" s="2532">
        <f t="shared" si="93"/>
        <v>31</v>
      </c>
      <c r="L824" s="736">
        <f t="shared" si="91"/>
        <v>1</v>
      </c>
      <c r="M824" s="2533">
        <f t="shared" si="94"/>
        <v>2</v>
      </c>
      <c r="U824" s="1260">
        <f t="shared" si="89"/>
        <v>994</v>
      </c>
      <c r="V824" s="745">
        <v>2</v>
      </c>
      <c r="W824" s="745">
        <v>53</v>
      </c>
      <c r="X824" s="745">
        <v>1</v>
      </c>
      <c r="Y824" s="1202">
        <v>0</v>
      </c>
    </row>
    <row r="825" spans="5:25" ht="15" x14ac:dyDescent="0.2">
      <c r="E825" s="1201"/>
      <c r="F825" s="745"/>
      <c r="G825" s="745"/>
      <c r="H825" s="1256">
        <f t="shared" si="92"/>
        <v>0</v>
      </c>
      <c r="I825" s="736">
        <v>598</v>
      </c>
      <c r="J825" s="736">
        <f t="shared" si="90"/>
        <v>2</v>
      </c>
      <c r="K825" s="2532">
        <f t="shared" si="93"/>
        <v>30</v>
      </c>
      <c r="L825" s="736">
        <f t="shared" si="91"/>
        <v>1</v>
      </c>
      <c r="M825" s="2533">
        <f t="shared" si="94"/>
        <v>1</v>
      </c>
      <c r="U825" s="1260">
        <f t="shared" si="89"/>
        <v>1012</v>
      </c>
      <c r="V825" s="745">
        <v>2</v>
      </c>
      <c r="W825" s="745">
        <v>54</v>
      </c>
      <c r="X825" s="745">
        <v>1</v>
      </c>
      <c r="Y825" s="1202">
        <v>0</v>
      </c>
    </row>
    <row r="826" spans="5:25" ht="15" x14ac:dyDescent="0.2">
      <c r="E826" s="1201"/>
      <c r="F826" s="745"/>
      <c r="G826" s="745"/>
      <c r="H826" s="1256">
        <f t="shared" si="92"/>
        <v>0</v>
      </c>
      <c r="I826" s="736">
        <v>599</v>
      </c>
      <c r="J826" s="736">
        <f t="shared" si="90"/>
        <v>3</v>
      </c>
      <c r="K826" s="2532">
        <f t="shared" si="93"/>
        <v>29</v>
      </c>
      <c r="L826" s="736">
        <f t="shared" si="91"/>
        <v>1</v>
      </c>
      <c r="M826" s="2533">
        <f t="shared" si="94"/>
        <v>2</v>
      </c>
      <c r="U826" s="1260">
        <f t="shared" si="89"/>
        <v>1030</v>
      </c>
      <c r="V826" s="745">
        <v>2</v>
      </c>
      <c r="W826" s="745">
        <v>55</v>
      </c>
      <c r="X826" s="745">
        <v>1</v>
      </c>
      <c r="Y826" s="1202">
        <v>0</v>
      </c>
    </row>
    <row r="827" spans="5:25" ht="15" x14ac:dyDescent="0.2">
      <c r="E827" s="1201"/>
      <c r="F827" s="745"/>
      <c r="G827" s="745"/>
      <c r="H827" s="1256">
        <f t="shared" si="92"/>
        <v>0</v>
      </c>
      <c r="I827" s="736">
        <v>600</v>
      </c>
      <c r="J827" s="736">
        <f t="shared" si="90"/>
        <v>5</v>
      </c>
      <c r="K827" s="2532">
        <f t="shared" si="93"/>
        <v>28</v>
      </c>
      <c r="L827" s="736">
        <f t="shared" si="91"/>
        <v>1</v>
      </c>
      <c r="M827" s="2533">
        <f t="shared" si="94"/>
        <v>1</v>
      </c>
      <c r="U827" s="1260">
        <f t="shared" si="89"/>
        <v>71</v>
      </c>
      <c r="V827" s="745">
        <v>3</v>
      </c>
      <c r="W827" s="745">
        <v>1</v>
      </c>
      <c r="X827" s="745">
        <v>1</v>
      </c>
      <c r="Y827" s="1202">
        <v>0</v>
      </c>
    </row>
    <row r="828" spans="5:25" ht="15" x14ac:dyDescent="0.2">
      <c r="E828" s="1201"/>
      <c r="F828" s="745"/>
      <c r="G828" s="745"/>
      <c r="H828" s="1256">
        <f t="shared" si="92"/>
        <v>0</v>
      </c>
      <c r="I828" s="736">
        <v>601</v>
      </c>
      <c r="J828" s="736">
        <f t="shared" si="90"/>
        <v>2</v>
      </c>
      <c r="K828" s="2532">
        <f t="shared" si="93"/>
        <v>31</v>
      </c>
      <c r="L828" s="736">
        <f t="shared" si="91"/>
        <v>0</v>
      </c>
      <c r="M828" s="2533">
        <f t="shared" si="94"/>
        <v>1</v>
      </c>
      <c r="U828" s="1260">
        <f t="shared" si="89"/>
        <v>89</v>
      </c>
      <c r="V828" s="745">
        <v>3</v>
      </c>
      <c r="W828" s="745">
        <v>2</v>
      </c>
      <c r="X828" s="745">
        <v>1</v>
      </c>
      <c r="Y828" s="1202">
        <v>0</v>
      </c>
    </row>
    <row r="829" spans="5:25" ht="15" x14ac:dyDescent="0.2">
      <c r="E829" s="1201"/>
      <c r="F829" s="745"/>
      <c r="G829" s="745"/>
      <c r="H829" s="1256">
        <f t="shared" si="92"/>
        <v>0</v>
      </c>
      <c r="I829" s="736">
        <v>602</v>
      </c>
      <c r="J829" s="736">
        <f t="shared" si="90"/>
        <v>3</v>
      </c>
      <c r="K829" s="2532">
        <f t="shared" si="93"/>
        <v>30</v>
      </c>
      <c r="L829" s="736">
        <f t="shared" si="91"/>
        <v>0</v>
      </c>
      <c r="M829" s="2533">
        <f t="shared" si="94"/>
        <v>2</v>
      </c>
      <c r="U829" s="1260">
        <f t="shared" si="89"/>
        <v>107</v>
      </c>
      <c r="V829" s="745">
        <v>3</v>
      </c>
      <c r="W829" s="745">
        <v>3</v>
      </c>
      <c r="X829" s="745">
        <v>1</v>
      </c>
      <c r="Y829" s="1202">
        <v>0</v>
      </c>
    </row>
    <row r="830" spans="5:25" ht="15" x14ac:dyDescent="0.2">
      <c r="E830" s="1201"/>
      <c r="F830" s="745"/>
      <c r="G830" s="745"/>
      <c r="H830" s="1256">
        <f t="shared" si="92"/>
        <v>0</v>
      </c>
      <c r="I830" s="736">
        <v>603</v>
      </c>
      <c r="J830" s="736">
        <f t="shared" si="90"/>
        <v>5</v>
      </c>
      <c r="K830" s="2532">
        <f t="shared" si="93"/>
        <v>29</v>
      </c>
      <c r="L830" s="736">
        <f t="shared" si="91"/>
        <v>0</v>
      </c>
      <c r="M830" s="2533">
        <f t="shared" si="94"/>
        <v>1</v>
      </c>
      <c r="U830" s="1260">
        <f t="shared" si="89"/>
        <v>125</v>
      </c>
      <c r="V830" s="745">
        <v>3</v>
      </c>
      <c r="W830" s="745">
        <v>4</v>
      </c>
      <c r="X830" s="745">
        <v>1</v>
      </c>
      <c r="Y830" s="1202">
        <v>0</v>
      </c>
    </row>
    <row r="831" spans="5:25" ht="15" x14ac:dyDescent="0.2">
      <c r="E831" s="1201"/>
      <c r="F831" s="745"/>
      <c r="G831" s="745"/>
      <c r="H831" s="1256">
        <f t="shared" si="92"/>
        <v>0</v>
      </c>
      <c r="I831" s="736">
        <v>604</v>
      </c>
      <c r="J831" s="736">
        <f t="shared" si="90"/>
        <v>1</v>
      </c>
      <c r="K831" s="2532">
        <f t="shared" si="93"/>
        <v>31</v>
      </c>
      <c r="L831" s="736">
        <f t="shared" si="91"/>
        <v>1</v>
      </c>
      <c r="M831" s="2533">
        <f t="shared" si="94"/>
        <v>1</v>
      </c>
      <c r="U831" s="1260">
        <f t="shared" si="89"/>
        <v>143</v>
      </c>
      <c r="V831" s="745">
        <v>3</v>
      </c>
      <c r="W831" s="745">
        <v>5</v>
      </c>
      <c r="X831" s="745">
        <v>1</v>
      </c>
      <c r="Y831" s="1202">
        <v>0</v>
      </c>
    </row>
    <row r="832" spans="5:25" ht="15" x14ac:dyDescent="0.2">
      <c r="E832" s="1201"/>
      <c r="F832" s="745"/>
      <c r="G832" s="745"/>
      <c r="H832" s="1256">
        <f t="shared" si="92"/>
        <v>0</v>
      </c>
      <c r="I832" s="736">
        <v>605</v>
      </c>
      <c r="J832" s="736">
        <f t="shared" si="90"/>
        <v>4</v>
      </c>
      <c r="K832" s="2532">
        <f t="shared" si="93"/>
        <v>29</v>
      </c>
      <c r="L832" s="736">
        <f t="shared" si="91"/>
        <v>1</v>
      </c>
      <c r="M832" s="2533">
        <f t="shared" si="94"/>
        <v>1</v>
      </c>
      <c r="U832" s="1260">
        <f t="shared" si="89"/>
        <v>161</v>
      </c>
      <c r="V832" s="745">
        <v>3</v>
      </c>
      <c r="W832" s="745">
        <v>6</v>
      </c>
      <c r="X832" s="745">
        <v>1</v>
      </c>
      <c r="Y832" s="1202">
        <v>0</v>
      </c>
    </row>
    <row r="833" spans="5:25" ht="15" x14ac:dyDescent="0.2">
      <c r="E833" s="1201"/>
      <c r="F833" s="745"/>
      <c r="G833" s="745"/>
      <c r="H833" s="1256">
        <f t="shared" si="92"/>
        <v>0</v>
      </c>
      <c r="I833" s="736">
        <v>606</v>
      </c>
      <c r="J833" s="736">
        <f t="shared" si="90"/>
        <v>5</v>
      </c>
      <c r="K833" s="2532">
        <f t="shared" si="93"/>
        <v>28</v>
      </c>
      <c r="L833" s="736">
        <f t="shared" si="91"/>
        <v>1</v>
      </c>
      <c r="M833" s="2533">
        <f t="shared" si="94"/>
        <v>2</v>
      </c>
      <c r="U833" s="1260">
        <f t="shared" si="89"/>
        <v>179</v>
      </c>
      <c r="V833" s="745">
        <v>3</v>
      </c>
      <c r="W833" s="745">
        <v>7</v>
      </c>
      <c r="X833" s="745">
        <v>1</v>
      </c>
      <c r="Y833" s="1202">
        <v>0</v>
      </c>
    </row>
    <row r="834" spans="5:25" ht="15" x14ac:dyDescent="0.2">
      <c r="E834" s="1201"/>
      <c r="F834" s="745"/>
      <c r="G834" s="745"/>
      <c r="H834" s="1256">
        <f t="shared" si="92"/>
        <v>0</v>
      </c>
      <c r="I834" s="736">
        <v>607</v>
      </c>
      <c r="J834" s="736">
        <f t="shared" si="90"/>
        <v>1</v>
      </c>
      <c r="K834" s="2532">
        <f t="shared" si="93"/>
        <v>32</v>
      </c>
      <c r="L834" s="736">
        <f t="shared" si="91"/>
        <v>0</v>
      </c>
      <c r="M834" s="2533">
        <f t="shared" si="94"/>
        <v>1</v>
      </c>
      <c r="U834" s="1260">
        <f t="shared" si="89"/>
        <v>197</v>
      </c>
      <c r="V834" s="745">
        <v>3</v>
      </c>
      <c r="W834" s="745">
        <v>8</v>
      </c>
      <c r="X834" s="745">
        <v>1</v>
      </c>
      <c r="Y834" s="1202">
        <v>0</v>
      </c>
    </row>
    <row r="835" spans="5:25" ht="15" x14ac:dyDescent="0.2">
      <c r="E835" s="1201"/>
      <c r="F835" s="745"/>
      <c r="G835" s="745"/>
      <c r="H835" s="1256">
        <f t="shared" si="92"/>
        <v>0</v>
      </c>
      <c r="I835" s="736">
        <v>608</v>
      </c>
      <c r="J835" s="736">
        <f t="shared" si="90"/>
        <v>4</v>
      </c>
      <c r="K835" s="2532">
        <f t="shared" si="93"/>
        <v>30</v>
      </c>
      <c r="L835" s="736">
        <f t="shared" si="91"/>
        <v>0</v>
      </c>
      <c r="M835" s="2533">
        <f t="shared" si="94"/>
        <v>1</v>
      </c>
      <c r="U835" s="1260">
        <f t="shared" si="89"/>
        <v>215</v>
      </c>
      <c r="V835" s="745">
        <v>3</v>
      </c>
      <c r="W835" s="745">
        <v>9</v>
      </c>
      <c r="X835" s="745">
        <v>1</v>
      </c>
      <c r="Y835" s="1202">
        <v>0</v>
      </c>
    </row>
    <row r="836" spans="5:25" ht="15" x14ac:dyDescent="0.2">
      <c r="E836" s="1201"/>
      <c r="F836" s="745"/>
      <c r="G836" s="745"/>
      <c r="H836" s="1256">
        <f t="shared" si="92"/>
        <v>0</v>
      </c>
      <c r="I836" s="736">
        <v>609</v>
      </c>
      <c r="J836" s="736">
        <f t="shared" si="90"/>
        <v>0</v>
      </c>
      <c r="K836" s="2532">
        <f t="shared" si="93"/>
        <v>32</v>
      </c>
      <c r="L836" s="736">
        <f t="shared" si="91"/>
        <v>1</v>
      </c>
      <c r="M836" s="2533">
        <f t="shared" si="94"/>
        <v>1</v>
      </c>
      <c r="U836" s="1260">
        <f t="shared" si="89"/>
        <v>233</v>
      </c>
      <c r="V836" s="745">
        <v>3</v>
      </c>
      <c r="W836" s="745">
        <v>10</v>
      </c>
      <c r="X836" s="745">
        <v>1</v>
      </c>
      <c r="Y836" s="1202">
        <v>0</v>
      </c>
    </row>
    <row r="837" spans="5:25" ht="15" x14ac:dyDescent="0.2">
      <c r="E837" s="1201"/>
      <c r="F837" s="745"/>
      <c r="G837" s="745"/>
      <c r="H837" s="1256">
        <f t="shared" si="92"/>
        <v>0</v>
      </c>
      <c r="I837" s="736">
        <v>610</v>
      </c>
      <c r="J837" s="736">
        <f t="shared" si="90"/>
        <v>1</v>
      </c>
      <c r="K837" s="2532">
        <f t="shared" si="93"/>
        <v>31</v>
      </c>
      <c r="L837" s="736">
        <f t="shared" si="91"/>
        <v>1</v>
      </c>
      <c r="M837" s="2533">
        <f t="shared" si="94"/>
        <v>2</v>
      </c>
      <c r="U837" s="1260">
        <f t="shared" si="89"/>
        <v>251</v>
      </c>
      <c r="V837" s="745">
        <v>3</v>
      </c>
      <c r="W837" s="745">
        <v>11</v>
      </c>
      <c r="X837" s="745">
        <v>1</v>
      </c>
      <c r="Y837" s="1202">
        <v>0</v>
      </c>
    </row>
    <row r="838" spans="5:25" ht="15" x14ac:dyDescent="0.2">
      <c r="E838" s="1201"/>
      <c r="F838" s="745"/>
      <c r="G838" s="745"/>
      <c r="H838" s="1256">
        <f t="shared" si="92"/>
        <v>0</v>
      </c>
      <c r="I838" s="736">
        <v>611</v>
      </c>
      <c r="J838" s="736">
        <f t="shared" si="90"/>
        <v>3</v>
      </c>
      <c r="K838" s="2532">
        <f t="shared" si="93"/>
        <v>30</v>
      </c>
      <c r="L838" s="736">
        <f t="shared" si="91"/>
        <v>1</v>
      </c>
      <c r="M838" s="2533">
        <f t="shared" si="94"/>
        <v>1</v>
      </c>
      <c r="U838" s="1260">
        <f t="shared" si="89"/>
        <v>269</v>
      </c>
      <c r="V838" s="745">
        <v>3</v>
      </c>
      <c r="W838" s="745">
        <v>12</v>
      </c>
      <c r="X838" s="745">
        <v>1</v>
      </c>
      <c r="Y838" s="1202">
        <v>0</v>
      </c>
    </row>
    <row r="839" spans="5:25" ht="15" x14ac:dyDescent="0.2">
      <c r="E839" s="1201"/>
      <c r="F839" s="745"/>
      <c r="G839" s="745"/>
      <c r="H839" s="1256">
        <f t="shared" si="92"/>
        <v>0</v>
      </c>
      <c r="I839" s="736">
        <v>612</v>
      </c>
      <c r="J839" s="736">
        <f t="shared" si="90"/>
        <v>0</v>
      </c>
      <c r="K839" s="2532">
        <f t="shared" si="93"/>
        <v>33</v>
      </c>
      <c r="L839" s="736">
        <f t="shared" si="91"/>
        <v>0</v>
      </c>
      <c r="M839" s="2533">
        <f t="shared" si="94"/>
        <v>1</v>
      </c>
      <c r="U839" s="1260">
        <f t="shared" si="89"/>
        <v>287</v>
      </c>
      <c r="V839" s="745">
        <v>3</v>
      </c>
      <c r="W839" s="745">
        <v>13</v>
      </c>
      <c r="X839" s="745">
        <v>1</v>
      </c>
      <c r="Y839" s="1202">
        <v>0</v>
      </c>
    </row>
    <row r="840" spans="5:25" ht="15" x14ac:dyDescent="0.2">
      <c r="E840" s="1201"/>
      <c r="F840" s="745"/>
      <c r="G840" s="745"/>
      <c r="H840" s="1256">
        <f t="shared" si="92"/>
        <v>0</v>
      </c>
      <c r="I840" s="736">
        <v>613</v>
      </c>
      <c r="J840" s="736">
        <f t="shared" si="90"/>
        <v>1</v>
      </c>
      <c r="K840" s="2532">
        <f t="shared" si="93"/>
        <v>32</v>
      </c>
      <c r="L840" s="736">
        <f t="shared" si="91"/>
        <v>0</v>
      </c>
      <c r="M840" s="2533">
        <f t="shared" si="94"/>
        <v>2</v>
      </c>
      <c r="U840" s="1260">
        <f t="shared" si="89"/>
        <v>305</v>
      </c>
      <c r="V840" s="745">
        <v>3</v>
      </c>
      <c r="W840" s="745">
        <v>14</v>
      </c>
      <c r="X840" s="745">
        <v>1</v>
      </c>
      <c r="Y840" s="1202">
        <v>0</v>
      </c>
    </row>
    <row r="841" spans="5:25" ht="15" x14ac:dyDescent="0.2">
      <c r="E841" s="1201"/>
      <c r="F841" s="745"/>
      <c r="G841" s="745"/>
      <c r="H841" s="1256">
        <f t="shared" si="92"/>
        <v>0</v>
      </c>
      <c r="I841" s="736">
        <v>614</v>
      </c>
      <c r="J841" s="736">
        <f t="shared" si="90"/>
        <v>3</v>
      </c>
      <c r="K841" s="2532">
        <f t="shared" si="93"/>
        <v>31</v>
      </c>
      <c r="L841" s="736">
        <f t="shared" si="91"/>
        <v>0</v>
      </c>
      <c r="M841" s="2533">
        <f t="shared" si="94"/>
        <v>1</v>
      </c>
      <c r="U841" s="1260">
        <f t="shared" si="89"/>
        <v>323</v>
      </c>
      <c r="V841" s="745">
        <v>3</v>
      </c>
      <c r="W841" s="745">
        <v>15</v>
      </c>
      <c r="X841" s="745">
        <v>1</v>
      </c>
      <c r="Y841" s="1202">
        <v>0</v>
      </c>
    </row>
    <row r="842" spans="5:25" ht="15" x14ac:dyDescent="0.2">
      <c r="E842" s="1201"/>
      <c r="F842" s="745"/>
      <c r="G842" s="745"/>
      <c r="H842" s="1256">
        <f t="shared" si="92"/>
        <v>0</v>
      </c>
      <c r="I842" s="736">
        <v>615</v>
      </c>
      <c r="J842" s="736">
        <f t="shared" si="90"/>
        <v>0</v>
      </c>
      <c r="K842" s="2532">
        <f t="shared" si="93"/>
        <v>32</v>
      </c>
      <c r="L842" s="736">
        <f t="shared" si="91"/>
        <v>1</v>
      </c>
      <c r="M842" s="2533">
        <f t="shared" si="94"/>
        <v>2</v>
      </c>
      <c r="U842" s="1260">
        <f t="shared" si="89"/>
        <v>341</v>
      </c>
      <c r="V842" s="745">
        <v>3</v>
      </c>
      <c r="W842" s="745">
        <v>16</v>
      </c>
      <c r="X842" s="745">
        <v>1</v>
      </c>
      <c r="Y842" s="1202">
        <v>0</v>
      </c>
    </row>
    <row r="843" spans="5:25" ht="15" x14ac:dyDescent="0.2">
      <c r="E843" s="1201"/>
      <c r="F843" s="745"/>
      <c r="G843" s="745"/>
      <c r="H843" s="1256">
        <f t="shared" si="92"/>
        <v>0</v>
      </c>
      <c r="I843" s="736">
        <v>616</v>
      </c>
      <c r="J843" s="736">
        <f t="shared" si="90"/>
        <v>2</v>
      </c>
      <c r="K843" s="2532">
        <f t="shared" si="93"/>
        <v>31</v>
      </c>
      <c r="L843" s="736">
        <f t="shared" si="91"/>
        <v>1</v>
      </c>
      <c r="M843" s="2533">
        <f t="shared" si="94"/>
        <v>1</v>
      </c>
      <c r="U843" s="1260">
        <f t="shared" si="89"/>
        <v>359</v>
      </c>
      <c r="V843" s="745">
        <v>3</v>
      </c>
      <c r="W843" s="745">
        <v>17</v>
      </c>
      <c r="X843" s="745">
        <v>1</v>
      </c>
      <c r="Y843" s="1202">
        <v>0</v>
      </c>
    </row>
    <row r="844" spans="5:25" ht="15" x14ac:dyDescent="0.2">
      <c r="E844" s="1201"/>
      <c r="F844" s="745"/>
      <c r="G844" s="745"/>
      <c r="H844" s="1256">
        <f t="shared" si="92"/>
        <v>0</v>
      </c>
      <c r="I844" s="736">
        <v>617</v>
      </c>
      <c r="J844" s="736">
        <f t="shared" si="90"/>
        <v>3</v>
      </c>
      <c r="K844" s="2532">
        <f t="shared" si="93"/>
        <v>30</v>
      </c>
      <c r="L844" s="736">
        <f t="shared" si="91"/>
        <v>1</v>
      </c>
      <c r="M844" s="2533">
        <f t="shared" si="94"/>
        <v>2</v>
      </c>
      <c r="U844" s="1260">
        <f t="shared" si="89"/>
        <v>377</v>
      </c>
      <c r="V844" s="745">
        <v>3</v>
      </c>
      <c r="W844" s="745">
        <v>18</v>
      </c>
      <c r="X844" s="745">
        <v>1</v>
      </c>
      <c r="Y844" s="1202">
        <v>0</v>
      </c>
    </row>
    <row r="845" spans="5:25" ht="15" x14ac:dyDescent="0.2">
      <c r="E845" s="1201"/>
      <c r="F845" s="745"/>
      <c r="G845" s="745"/>
      <c r="H845" s="1256">
        <f t="shared" si="92"/>
        <v>0</v>
      </c>
      <c r="I845" s="736">
        <v>618</v>
      </c>
      <c r="J845" s="736">
        <f t="shared" si="90"/>
        <v>5</v>
      </c>
      <c r="K845" s="2532">
        <f t="shared" si="93"/>
        <v>29</v>
      </c>
      <c r="L845" s="736">
        <f t="shared" si="91"/>
        <v>1</v>
      </c>
      <c r="M845" s="2533">
        <f t="shared" si="94"/>
        <v>1</v>
      </c>
      <c r="U845" s="1260">
        <f t="shared" si="89"/>
        <v>395</v>
      </c>
      <c r="V845" s="745">
        <v>3</v>
      </c>
      <c r="W845" s="745">
        <v>19</v>
      </c>
      <c r="X845" s="745">
        <v>1</v>
      </c>
      <c r="Y845" s="1202">
        <v>0</v>
      </c>
    </row>
    <row r="846" spans="5:25" ht="15" x14ac:dyDescent="0.2">
      <c r="E846" s="1201"/>
      <c r="F846" s="745"/>
      <c r="G846" s="745"/>
      <c r="H846" s="1256">
        <f t="shared" si="92"/>
        <v>0</v>
      </c>
      <c r="I846" s="736">
        <v>619</v>
      </c>
      <c r="J846" s="736">
        <f t="shared" si="90"/>
        <v>2</v>
      </c>
      <c r="K846" s="2532">
        <f t="shared" si="93"/>
        <v>32</v>
      </c>
      <c r="L846" s="736">
        <f t="shared" si="91"/>
        <v>0</v>
      </c>
      <c r="M846" s="2533">
        <f t="shared" si="94"/>
        <v>1</v>
      </c>
      <c r="U846" s="1260">
        <f t="shared" si="89"/>
        <v>413</v>
      </c>
      <c r="V846" s="745">
        <v>3</v>
      </c>
      <c r="W846" s="745">
        <v>20</v>
      </c>
      <c r="X846" s="745">
        <v>1</v>
      </c>
      <c r="Y846" s="1202">
        <v>0</v>
      </c>
    </row>
    <row r="847" spans="5:25" ht="15" x14ac:dyDescent="0.2">
      <c r="E847" s="1201"/>
      <c r="F847" s="745"/>
      <c r="G847" s="745"/>
      <c r="H847" s="1256">
        <f t="shared" si="92"/>
        <v>0</v>
      </c>
      <c r="I847" s="736">
        <v>620</v>
      </c>
      <c r="J847" s="736">
        <f t="shared" si="90"/>
        <v>3</v>
      </c>
      <c r="K847" s="2532">
        <f t="shared" si="93"/>
        <v>31</v>
      </c>
      <c r="L847" s="736">
        <f t="shared" si="91"/>
        <v>0</v>
      </c>
      <c r="M847" s="2533">
        <f t="shared" si="94"/>
        <v>2</v>
      </c>
      <c r="U847" s="1260">
        <f t="shared" si="89"/>
        <v>431</v>
      </c>
      <c r="V847" s="745">
        <v>3</v>
      </c>
      <c r="W847" s="745">
        <v>21</v>
      </c>
      <c r="X847" s="745">
        <v>1</v>
      </c>
      <c r="Y847" s="1202">
        <v>0</v>
      </c>
    </row>
    <row r="848" spans="5:25" ht="15" x14ac:dyDescent="0.2">
      <c r="E848" s="1201"/>
      <c r="F848" s="745"/>
      <c r="G848" s="745"/>
      <c r="H848" s="1256">
        <f t="shared" si="92"/>
        <v>0</v>
      </c>
      <c r="I848" s="736">
        <v>621</v>
      </c>
      <c r="J848" s="736">
        <f t="shared" si="90"/>
        <v>5</v>
      </c>
      <c r="K848" s="2532">
        <f t="shared" si="93"/>
        <v>30</v>
      </c>
      <c r="L848" s="736">
        <f t="shared" si="91"/>
        <v>0</v>
      </c>
      <c r="M848" s="2533">
        <f t="shared" si="94"/>
        <v>1</v>
      </c>
      <c r="U848" s="1260">
        <f t="shared" si="89"/>
        <v>449</v>
      </c>
      <c r="V848" s="745">
        <v>3</v>
      </c>
      <c r="W848" s="745">
        <v>22</v>
      </c>
      <c r="X848" s="745">
        <v>1</v>
      </c>
      <c r="Y848" s="1202">
        <v>0</v>
      </c>
    </row>
    <row r="849" spans="5:25" ht="15" x14ac:dyDescent="0.2">
      <c r="E849" s="1201"/>
      <c r="F849" s="745"/>
      <c r="G849" s="745"/>
      <c r="H849" s="1256">
        <f t="shared" si="92"/>
        <v>0</v>
      </c>
      <c r="I849" s="736">
        <v>622</v>
      </c>
      <c r="J849" s="736">
        <f t="shared" si="90"/>
        <v>1</v>
      </c>
      <c r="K849" s="2532">
        <f t="shared" si="93"/>
        <v>32</v>
      </c>
      <c r="L849" s="736">
        <f t="shared" si="91"/>
        <v>1</v>
      </c>
      <c r="M849" s="2533">
        <f t="shared" si="94"/>
        <v>1</v>
      </c>
      <c r="U849" s="1260">
        <f t="shared" si="89"/>
        <v>467</v>
      </c>
      <c r="V849" s="745">
        <v>3</v>
      </c>
      <c r="W849" s="745">
        <v>23</v>
      </c>
      <c r="X849" s="745">
        <v>1</v>
      </c>
      <c r="Y849" s="1202">
        <v>0</v>
      </c>
    </row>
    <row r="850" spans="5:25" ht="15" x14ac:dyDescent="0.2">
      <c r="E850" s="1201"/>
      <c r="F850" s="745"/>
      <c r="G850" s="745"/>
      <c r="H850" s="1256">
        <f t="shared" si="92"/>
        <v>0</v>
      </c>
      <c r="I850" s="736">
        <v>623</v>
      </c>
      <c r="J850" s="736">
        <f t="shared" si="90"/>
        <v>4</v>
      </c>
      <c r="K850" s="2532">
        <f t="shared" si="93"/>
        <v>30</v>
      </c>
      <c r="L850" s="736">
        <f t="shared" si="91"/>
        <v>1</v>
      </c>
      <c r="M850" s="2533">
        <f t="shared" si="94"/>
        <v>1</v>
      </c>
      <c r="U850" s="1260">
        <f t="shared" si="89"/>
        <v>485</v>
      </c>
      <c r="V850" s="745">
        <v>3</v>
      </c>
      <c r="W850" s="745">
        <v>24</v>
      </c>
      <c r="X850" s="745">
        <v>1</v>
      </c>
      <c r="Y850" s="1202">
        <v>0</v>
      </c>
    </row>
    <row r="851" spans="5:25" ht="15" x14ac:dyDescent="0.2">
      <c r="E851" s="1201"/>
      <c r="F851" s="745"/>
      <c r="G851" s="745"/>
      <c r="H851" s="1256">
        <f t="shared" si="92"/>
        <v>0</v>
      </c>
      <c r="I851" s="736">
        <v>624</v>
      </c>
      <c r="J851" s="736">
        <f t="shared" si="90"/>
        <v>5</v>
      </c>
      <c r="K851" s="2532">
        <f t="shared" si="93"/>
        <v>29</v>
      </c>
      <c r="L851" s="736">
        <f t="shared" si="91"/>
        <v>1</v>
      </c>
      <c r="M851" s="2533">
        <f t="shared" si="94"/>
        <v>2</v>
      </c>
      <c r="U851" s="1260">
        <f t="shared" si="89"/>
        <v>503</v>
      </c>
      <c r="V851" s="745">
        <v>3</v>
      </c>
      <c r="W851" s="745">
        <v>25</v>
      </c>
      <c r="X851" s="745">
        <v>1</v>
      </c>
      <c r="Y851" s="1202">
        <v>0</v>
      </c>
    </row>
    <row r="852" spans="5:25" ht="15" x14ac:dyDescent="0.2">
      <c r="E852" s="1201"/>
      <c r="F852" s="745"/>
      <c r="G852" s="745"/>
      <c r="H852" s="1256">
        <f t="shared" si="92"/>
        <v>0</v>
      </c>
      <c r="I852" s="736">
        <v>625</v>
      </c>
      <c r="J852" s="736">
        <f t="shared" si="90"/>
        <v>1</v>
      </c>
      <c r="K852" s="2532">
        <f t="shared" si="93"/>
        <v>33</v>
      </c>
      <c r="L852" s="736">
        <f t="shared" si="91"/>
        <v>0</v>
      </c>
      <c r="M852" s="2533">
        <f t="shared" si="94"/>
        <v>1</v>
      </c>
      <c r="U852" s="1260">
        <f t="shared" si="89"/>
        <v>521</v>
      </c>
      <c r="V852" s="745">
        <v>3</v>
      </c>
      <c r="W852" s="745">
        <v>26</v>
      </c>
      <c r="X852" s="745">
        <v>1</v>
      </c>
      <c r="Y852" s="1202">
        <v>0</v>
      </c>
    </row>
    <row r="853" spans="5:25" ht="15" x14ac:dyDescent="0.2">
      <c r="E853" s="1201"/>
      <c r="F853" s="745"/>
      <c r="G853" s="745"/>
      <c r="H853" s="1256">
        <f t="shared" si="92"/>
        <v>0</v>
      </c>
      <c r="I853" s="736">
        <v>626</v>
      </c>
      <c r="J853" s="736">
        <f t="shared" si="90"/>
        <v>4</v>
      </c>
      <c r="K853" s="2532">
        <f t="shared" si="93"/>
        <v>31</v>
      </c>
      <c r="L853" s="736">
        <f t="shared" si="91"/>
        <v>0</v>
      </c>
      <c r="M853" s="2533">
        <f t="shared" si="94"/>
        <v>1</v>
      </c>
      <c r="U853" s="1260">
        <f t="shared" si="89"/>
        <v>539</v>
      </c>
      <c r="V853" s="745">
        <v>3</v>
      </c>
      <c r="W853" s="745">
        <v>27</v>
      </c>
      <c r="X853" s="745">
        <v>1</v>
      </c>
      <c r="Y853" s="1202">
        <v>0</v>
      </c>
    </row>
    <row r="854" spans="5:25" ht="15" x14ac:dyDescent="0.2">
      <c r="E854" s="1201"/>
      <c r="F854" s="745"/>
      <c r="G854" s="745"/>
      <c r="H854" s="1256">
        <f t="shared" si="92"/>
        <v>0</v>
      </c>
      <c r="I854" s="736">
        <v>627</v>
      </c>
      <c r="J854" s="736">
        <f t="shared" si="90"/>
        <v>0</v>
      </c>
      <c r="K854" s="2532">
        <f t="shared" si="93"/>
        <v>33</v>
      </c>
      <c r="L854" s="736">
        <f t="shared" si="91"/>
        <v>1</v>
      </c>
      <c r="M854" s="2533">
        <f t="shared" si="94"/>
        <v>1</v>
      </c>
      <c r="U854" s="1260">
        <f t="shared" si="89"/>
        <v>557</v>
      </c>
      <c r="V854" s="745">
        <v>3</v>
      </c>
      <c r="W854" s="745">
        <v>28</v>
      </c>
      <c r="X854" s="745">
        <v>1</v>
      </c>
      <c r="Y854" s="1202">
        <v>0</v>
      </c>
    </row>
    <row r="855" spans="5:25" ht="15" x14ac:dyDescent="0.2">
      <c r="E855" s="1201"/>
      <c r="F855" s="745"/>
      <c r="G855" s="745"/>
      <c r="H855" s="1256">
        <f t="shared" si="92"/>
        <v>0</v>
      </c>
      <c r="I855" s="736">
        <v>628</v>
      </c>
      <c r="J855" s="736">
        <f t="shared" si="90"/>
        <v>1</v>
      </c>
      <c r="K855" s="2532">
        <f t="shared" si="93"/>
        <v>32</v>
      </c>
      <c r="L855" s="736">
        <f t="shared" si="91"/>
        <v>1</v>
      </c>
      <c r="M855" s="2533">
        <f t="shared" si="94"/>
        <v>2</v>
      </c>
      <c r="U855" s="1260">
        <f t="shared" si="89"/>
        <v>575</v>
      </c>
      <c r="V855" s="745">
        <v>3</v>
      </c>
      <c r="W855" s="745">
        <v>29</v>
      </c>
      <c r="X855" s="745">
        <v>1</v>
      </c>
      <c r="Y855" s="1202">
        <v>0</v>
      </c>
    </row>
    <row r="856" spans="5:25" ht="15" x14ac:dyDescent="0.2">
      <c r="E856" s="1201"/>
      <c r="F856" s="745"/>
      <c r="G856" s="745"/>
      <c r="H856" s="1256">
        <f t="shared" si="92"/>
        <v>0</v>
      </c>
      <c r="I856" s="736">
        <v>629</v>
      </c>
      <c r="J856" s="736">
        <f t="shared" si="90"/>
        <v>3</v>
      </c>
      <c r="K856" s="2532">
        <f t="shared" si="93"/>
        <v>31</v>
      </c>
      <c r="L856" s="736">
        <f t="shared" si="91"/>
        <v>1</v>
      </c>
      <c r="M856" s="2533">
        <f t="shared" si="94"/>
        <v>1</v>
      </c>
      <c r="U856" s="1260">
        <f t="shared" si="89"/>
        <v>593</v>
      </c>
      <c r="V856" s="745">
        <v>3</v>
      </c>
      <c r="W856" s="745">
        <v>30</v>
      </c>
      <c r="X856" s="745">
        <v>1</v>
      </c>
      <c r="Y856" s="1202">
        <v>0</v>
      </c>
    </row>
    <row r="857" spans="5:25" ht="15" x14ac:dyDescent="0.2">
      <c r="E857" s="1201"/>
      <c r="F857" s="745"/>
      <c r="G857" s="745"/>
      <c r="H857" s="1256">
        <f t="shared" si="92"/>
        <v>0</v>
      </c>
      <c r="I857" s="736">
        <v>630</v>
      </c>
      <c r="J857" s="736">
        <f t="shared" si="90"/>
        <v>0</v>
      </c>
      <c r="K857" s="2532">
        <f t="shared" si="93"/>
        <v>34</v>
      </c>
      <c r="L857" s="736">
        <f t="shared" si="91"/>
        <v>0</v>
      </c>
      <c r="M857" s="2533">
        <f t="shared" si="94"/>
        <v>1</v>
      </c>
      <c r="U857" s="1260">
        <f t="shared" si="89"/>
        <v>611</v>
      </c>
      <c r="V857" s="745">
        <v>3</v>
      </c>
      <c r="W857" s="745">
        <v>31</v>
      </c>
      <c r="X857" s="745">
        <v>1</v>
      </c>
      <c r="Y857" s="1202">
        <v>0</v>
      </c>
    </row>
    <row r="858" spans="5:25" ht="15" x14ac:dyDescent="0.2">
      <c r="E858" s="1201"/>
      <c r="F858" s="745"/>
      <c r="G858" s="745"/>
      <c r="H858" s="1256">
        <f t="shared" si="92"/>
        <v>0</v>
      </c>
      <c r="I858" s="736">
        <v>631</v>
      </c>
      <c r="J858" s="736">
        <f t="shared" si="90"/>
        <v>1</v>
      </c>
      <c r="K858" s="2532">
        <f t="shared" si="93"/>
        <v>33</v>
      </c>
      <c r="L858" s="736">
        <f t="shared" si="91"/>
        <v>0</v>
      </c>
      <c r="M858" s="2533">
        <f t="shared" si="94"/>
        <v>2</v>
      </c>
      <c r="U858" s="1260">
        <f t="shared" si="89"/>
        <v>629</v>
      </c>
      <c r="V858" s="745">
        <v>3</v>
      </c>
      <c r="W858" s="745">
        <v>32</v>
      </c>
      <c r="X858" s="745">
        <v>1</v>
      </c>
      <c r="Y858" s="1202">
        <v>0</v>
      </c>
    </row>
    <row r="859" spans="5:25" ht="15" x14ac:dyDescent="0.2">
      <c r="E859" s="1201"/>
      <c r="F859" s="745"/>
      <c r="G859" s="745"/>
      <c r="H859" s="1256">
        <f t="shared" si="92"/>
        <v>0</v>
      </c>
      <c r="I859" s="736">
        <v>632</v>
      </c>
      <c r="J859" s="736">
        <f t="shared" si="90"/>
        <v>3</v>
      </c>
      <c r="K859" s="2532">
        <f t="shared" si="93"/>
        <v>32</v>
      </c>
      <c r="L859" s="736">
        <f t="shared" si="91"/>
        <v>0</v>
      </c>
      <c r="M859" s="2533">
        <f t="shared" si="94"/>
        <v>1</v>
      </c>
      <c r="U859" s="1260">
        <f t="shared" si="89"/>
        <v>647</v>
      </c>
      <c r="V859" s="745">
        <v>3</v>
      </c>
      <c r="W859" s="745">
        <v>33</v>
      </c>
      <c r="X859" s="745">
        <v>1</v>
      </c>
      <c r="Y859" s="1202">
        <v>0</v>
      </c>
    </row>
    <row r="860" spans="5:25" ht="15" x14ac:dyDescent="0.2">
      <c r="E860" s="1201"/>
      <c r="F860" s="745"/>
      <c r="G860" s="745"/>
      <c r="H860" s="1256">
        <f t="shared" si="92"/>
        <v>0</v>
      </c>
      <c r="I860" s="736">
        <v>633</v>
      </c>
      <c r="J860" s="736">
        <f t="shared" si="90"/>
        <v>0</v>
      </c>
      <c r="K860" s="2532">
        <f t="shared" si="93"/>
        <v>33</v>
      </c>
      <c r="L860" s="736">
        <f t="shared" si="91"/>
        <v>1</v>
      </c>
      <c r="M860" s="2533">
        <f t="shared" si="94"/>
        <v>2</v>
      </c>
      <c r="U860" s="1260">
        <f t="shared" si="89"/>
        <v>665</v>
      </c>
      <c r="V860" s="745">
        <v>3</v>
      </c>
      <c r="W860" s="745">
        <v>34</v>
      </c>
      <c r="X860" s="745">
        <v>1</v>
      </c>
      <c r="Y860" s="1202">
        <v>0</v>
      </c>
    </row>
    <row r="861" spans="5:25" ht="15" x14ac:dyDescent="0.2">
      <c r="E861" s="1201"/>
      <c r="F861" s="745"/>
      <c r="G861" s="745"/>
      <c r="H861" s="1256">
        <f t="shared" si="92"/>
        <v>0</v>
      </c>
      <c r="I861" s="736">
        <v>634</v>
      </c>
      <c r="J861" s="736">
        <f t="shared" si="90"/>
        <v>2</v>
      </c>
      <c r="K861" s="2532">
        <f t="shared" si="93"/>
        <v>32</v>
      </c>
      <c r="L861" s="736">
        <f t="shared" si="91"/>
        <v>1</v>
      </c>
      <c r="M861" s="2533">
        <f t="shared" si="94"/>
        <v>1</v>
      </c>
      <c r="U861" s="1260">
        <f t="shared" si="89"/>
        <v>683</v>
      </c>
      <c r="V861" s="745">
        <v>3</v>
      </c>
      <c r="W861" s="745">
        <v>35</v>
      </c>
      <c r="X861" s="745">
        <v>1</v>
      </c>
      <c r="Y861" s="1202">
        <v>0</v>
      </c>
    </row>
    <row r="862" spans="5:25" ht="15" x14ac:dyDescent="0.2">
      <c r="E862" s="1201"/>
      <c r="F862" s="745"/>
      <c r="G862" s="745"/>
      <c r="H862" s="1256">
        <f t="shared" si="92"/>
        <v>0</v>
      </c>
      <c r="I862" s="736">
        <v>635</v>
      </c>
      <c r="J862" s="736">
        <f t="shared" si="90"/>
        <v>3</v>
      </c>
      <c r="K862" s="2532">
        <f t="shared" si="93"/>
        <v>31</v>
      </c>
      <c r="L862" s="736">
        <f t="shared" si="91"/>
        <v>1</v>
      </c>
      <c r="M862" s="2533">
        <f t="shared" si="94"/>
        <v>2</v>
      </c>
      <c r="U862" s="1260">
        <f t="shared" si="89"/>
        <v>701</v>
      </c>
      <c r="V862" s="745">
        <v>3</v>
      </c>
      <c r="W862" s="745">
        <v>36</v>
      </c>
      <c r="X862" s="745">
        <v>1</v>
      </c>
      <c r="Y862" s="1202">
        <v>0</v>
      </c>
    </row>
    <row r="863" spans="5:25" ht="15" x14ac:dyDescent="0.2">
      <c r="E863" s="1201"/>
      <c r="F863" s="745"/>
      <c r="G863" s="745"/>
      <c r="H863" s="1256">
        <f t="shared" si="92"/>
        <v>0</v>
      </c>
      <c r="I863" s="736">
        <v>636</v>
      </c>
      <c r="J863" s="736">
        <f t="shared" si="90"/>
        <v>5</v>
      </c>
      <c r="K863" s="2532">
        <f t="shared" si="93"/>
        <v>30</v>
      </c>
      <c r="L863" s="736">
        <f t="shared" si="91"/>
        <v>1</v>
      </c>
      <c r="M863" s="2533">
        <f t="shared" si="94"/>
        <v>1</v>
      </c>
      <c r="U863" s="1260">
        <f t="shared" si="89"/>
        <v>719</v>
      </c>
      <c r="V863" s="745">
        <v>3</v>
      </c>
      <c r="W863" s="745">
        <v>37</v>
      </c>
      <c r="X863" s="745">
        <v>1</v>
      </c>
      <c r="Y863" s="1202">
        <v>0</v>
      </c>
    </row>
    <row r="864" spans="5:25" ht="15" x14ac:dyDescent="0.2">
      <c r="E864" s="1201"/>
      <c r="F864" s="745"/>
      <c r="G864" s="745"/>
      <c r="H864" s="1256">
        <f t="shared" si="92"/>
        <v>0</v>
      </c>
      <c r="I864" s="736">
        <v>637</v>
      </c>
      <c r="J864" s="736">
        <f t="shared" si="90"/>
        <v>2</v>
      </c>
      <c r="K864" s="2532">
        <f t="shared" si="93"/>
        <v>33</v>
      </c>
      <c r="L864" s="736">
        <f t="shared" si="91"/>
        <v>0</v>
      </c>
      <c r="M864" s="2533">
        <f t="shared" si="94"/>
        <v>1</v>
      </c>
      <c r="U864" s="1260">
        <f t="shared" si="89"/>
        <v>737</v>
      </c>
      <c r="V864" s="745">
        <v>3</v>
      </c>
      <c r="W864" s="745">
        <v>38</v>
      </c>
      <c r="X864" s="745">
        <v>1</v>
      </c>
      <c r="Y864" s="1202">
        <v>0</v>
      </c>
    </row>
    <row r="865" spans="5:25" ht="15" x14ac:dyDescent="0.2">
      <c r="E865" s="1201"/>
      <c r="F865" s="745"/>
      <c r="G865" s="745"/>
      <c r="H865" s="1256">
        <f t="shared" si="92"/>
        <v>0</v>
      </c>
      <c r="I865" s="736">
        <v>638</v>
      </c>
      <c r="J865" s="736">
        <f t="shared" si="90"/>
        <v>3</v>
      </c>
      <c r="K865" s="2532">
        <f t="shared" si="93"/>
        <v>32</v>
      </c>
      <c r="L865" s="736">
        <f t="shared" si="91"/>
        <v>0</v>
      </c>
      <c r="M865" s="2533">
        <f t="shared" si="94"/>
        <v>2</v>
      </c>
      <c r="U865" s="1260">
        <f t="shared" si="89"/>
        <v>755</v>
      </c>
      <c r="V865" s="745">
        <v>3</v>
      </c>
      <c r="W865" s="745">
        <v>39</v>
      </c>
      <c r="X865" s="745">
        <v>1</v>
      </c>
      <c r="Y865" s="1202">
        <v>0</v>
      </c>
    </row>
    <row r="866" spans="5:25" ht="15" x14ac:dyDescent="0.2">
      <c r="E866" s="1201"/>
      <c r="F866" s="745"/>
      <c r="G866" s="745"/>
      <c r="H866" s="1256">
        <f t="shared" si="92"/>
        <v>0</v>
      </c>
      <c r="I866" s="736">
        <v>639</v>
      </c>
      <c r="J866" s="736">
        <f t="shared" si="90"/>
        <v>5</v>
      </c>
      <c r="K866" s="2532">
        <f t="shared" si="93"/>
        <v>31</v>
      </c>
      <c r="L866" s="736">
        <f t="shared" si="91"/>
        <v>0</v>
      </c>
      <c r="M866" s="2533">
        <f t="shared" si="94"/>
        <v>1</v>
      </c>
      <c r="U866" s="1260">
        <f t="shared" si="89"/>
        <v>773</v>
      </c>
      <c r="V866" s="745">
        <v>3</v>
      </c>
      <c r="W866" s="745">
        <v>40</v>
      </c>
      <c r="X866" s="745">
        <v>1</v>
      </c>
      <c r="Y866" s="1202">
        <v>0</v>
      </c>
    </row>
    <row r="867" spans="5:25" ht="15" x14ac:dyDescent="0.2">
      <c r="E867" s="1201"/>
      <c r="F867" s="745"/>
      <c r="G867" s="745"/>
      <c r="H867" s="1256">
        <f t="shared" si="92"/>
        <v>0</v>
      </c>
      <c r="I867" s="736">
        <v>640</v>
      </c>
      <c r="J867" s="736">
        <f t="shared" si="90"/>
        <v>1</v>
      </c>
      <c r="K867" s="2532">
        <f t="shared" si="93"/>
        <v>33</v>
      </c>
      <c r="L867" s="736">
        <f t="shared" si="91"/>
        <v>1</v>
      </c>
      <c r="M867" s="2533">
        <f t="shared" si="94"/>
        <v>1</v>
      </c>
      <c r="U867" s="1260">
        <f t="shared" si="89"/>
        <v>791</v>
      </c>
      <c r="V867" s="745">
        <v>3</v>
      </c>
      <c r="W867" s="745">
        <v>41</v>
      </c>
      <c r="X867" s="745">
        <v>1</v>
      </c>
      <c r="Y867" s="1202">
        <v>0</v>
      </c>
    </row>
    <row r="868" spans="5:25" ht="15" x14ac:dyDescent="0.2">
      <c r="E868" s="1201"/>
      <c r="F868" s="745"/>
      <c r="G868" s="745"/>
      <c r="H868" s="1256">
        <f t="shared" si="92"/>
        <v>0</v>
      </c>
      <c r="I868" s="736">
        <v>641</v>
      </c>
      <c r="J868" s="736">
        <f t="shared" si="90"/>
        <v>4</v>
      </c>
      <c r="K868" s="2532">
        <f t="shared" si="93"/>
        <v>31</v>
      </c>
      <c r="L868" s="736">
        <f t="shared" si="91"/>
        <v>1</v>
      </c>
      <c r="M868" s="2533">
        <f t="shared" si="94"/>
        <v>1</v>
      </c>
      <c r="U868" s="1260">
        <f t="shared" si="89"/>
        <v>809</v>
      </c>
      <c r="V868" s="745">
        <v>3</v>
      </c>
      <c r="W868" s="745">
        <v>42</v>
      </c>
      <c r="X868" s="745">
        <v>1</v>
      </c>
      <c r="Y868" s="1202">
        <v>0</v>
      </c>
    </row>
    <row r="869" spans="5:25" ht="15" x14ac:dyDescent="0.2">
      <c r="E869" s="1201"/>
      <c r="F869" s="745"/>
      <c r="G869" s="745"/>
      <c r="H869" s="1256">
        <f t="shared" si="92"/>
        <v>0</v>
      </c>
      <c r="I869" s="736">
        <v>642</v>
      </c>
      <c r="J869" s="736">
        <f t="shared" si="90"/>
        <v>5</v>
      </c>
      <c r="K869" s="2532">
        <f t="shared" si="93"/>
        <v>30</v>
      </c>
      <c r="L869" s="736">
        <f t="shared" si="91"/>
        <v>1</v>
      </c>
      <c r="M869" s="2533">
        <f t="shared" si="94"/>
        <v>2</v>
      </c>
      <c r="U869" s="1260">
        <f t="shared" si="89"/>
        <v>827</v>
      </c>
      <c r="V869" s="745">
        <v>3</v>
      </c>
      <c r="W869" s="745">
        <v>43</v>
      </c>
      <c r="X869" s="745">
        <v>1</v>
      </c>
      <c r="Y869" s="1202">
        <v>0</v>
      </c>
    </row>
    <row r="870" spans="5:25" ht="15" x14ac:dyDescent="0.2">
      <c r="E870" s="1201"/>
      <c r="F870" s="745"/>
      <c r="G870" s="745"/>
      <c r="H870" s="1256">
        <f t="shared" si="92"/>
        <v>0</v>
      </c>
      <c r="I870" s="736">
        <v>643</v>
      </c>
      <c r="J870" s="736">
        <f t="shared" si="90"/>
        <v>1</v>
      </c>
      <c r="K870" s="2532">
        <f t="shared" si="93"/>
        <v>34</v>
      </c>
      <c r="L870" s="736">
        <f t="shared" si="91"/>
        <v>0</v>
      </c>
      <c r="M870" s="2533">
        <f t="shared" si="94"/>
        <v>1</v>
      </c>
      <c r="U870" s="1260">
        <f t="shared" si="89"/>
        <v>845</v>
      </c>
      <c r="V870" s="745">
        <v>3</v>
      </c>
      <c r="W870" s="745">
        <v>44</v>
      </c>
      <c r="X870" s="745">
        <v>1</v>
      </c>
      <c r="Y870" s="1202">
        <v>0</v>
      </c>
    </row>
    <row r="871" spans="5:25" ht="15" x14ac:dyDescent="0.2">
      <c r="E871" s="1201"/>
      <c r="F871" s="745"/>
      <c r="G871" s="745"/>
      <c r="H871" s="1256">
        <f t="shared" si="92"/>
        <v>0</v>
      </c>
      <c r="I871" s="736">
        <v>644</v>
      </c>
      <c r="J871" s="736">
        <f t="shared" si="90"/>
        <v>4</v>
      </c>
      <c r="K871" s="2532">
        <f t="shared" si="93"/>
        <v>32</v>
      </c>
      <c r="L871" s="736">
        <f t="shared" si="91"/>
        <v>0</v>
      </c>
      <c r="M871" s="2533">
        <f t="shared" si="94"/>
        <v>1</v>
      </c>
      <c r="U871" s="1260">
        <f t="shared" si="89"/>
        <v>863</v>
      </c>
      <c r="V871" s="745">
        <v>3</v>
      </c>
      <c r="W871" s="745">
        <v>45</v>
      </c>
      <c r="X871" s="745">
        <v>1</v>
      </c>
      <c r="Y871" s="1202">
        <v>0</v>
      </c>
    </row>
    <row r="872" spans="5:25" ht="15" x14ac:dyDescent="0.2">
      <c r="E872" s="1201"/>
      <c r="F872" s="745"/>
      <c r="G872" s="745"/>
      <c r="H872" s="1256">
        <f t="shared" si="92"/>
        <v>0</v>
      </c>
      <c r="I872" s="736">
        <v>645</v>
      </c>
      <c r="J872" s="736">
        <f t="shared" si="90"/>
        <v>0</v>
      </c>
      <c r="K872" s="2532">
        <f t="shared" si="93"/>
        <v>34</v>
      </c>
      <c r="L872" s="736">
        <f t="shared" si="91"/>
        <v>1</v>
      </c>
      <c r="M872" s="2533">
        <f t="shared" si="94"/>
        <v>1</v>
      </c>
      <c r="U872" s="1260">
        <f t="shared" ref="U872:U935" si="95">ROUNDUP(W872*$W$294+V872*$V$294+X872*$X$294+Y872*$Y$294,0)</f>
        <v>881</v>
      </c>
      <c r="V872" s="745">
        <v>3</v>
      </c>
      <c r="W872" s="745">
        <v>46</v>
      </c>
      <c r="X872" s="745">
        <v>1</v>
      </c>
      <c r="Y872" s="1202">
        <v>0</v>
      </c>
    </row>
    <row r="873" spans="5:25" ht="15" x14ac:dyDescent="0.2">
      <c r="E873" s="1201"/>
      <c r="F873" s="745"/>
      <c r="G873" s="745"/>
      <c r="H873" s="1256">
        <f t="shared" si="92"/>
        <v>0</v>
      </c>
      <c r="I873" s="736">
        <v>646</v>
      </c>
      <c r="J873" s="736">
        <f t="shared" si="90"/>
        <v>1</v>
      </c>
      <c r="K873" s="2532">
        <f t="shared" si="93"/>
        <v>33</v>
      </c>
      <c r="L873" s="736">
        <f t="shared" si="91"/>
        <v>1</v>
      </c>
      <c r="M873" s="2533">
        <f t="shared" si="94"/>
        <v>2</v>
      </c>
      <c r="U873" s="1260">
        <f t="shared" si="95"/>
        <v>899</v>
      </c>
      <c r="V873" s="745">
        <v>3</v>
      </c>
      <c r="W873" s="745">
        <v>47</v>
      </c>
      <c r="X873" s="745">
        <v>1</v>
      </c>
      <c r="Y873" s="1202">
        <v>0</v>
      </c>
    </row>
    <row r="874" spans="5:25" ht="15" x14ac:dyDescent="0.2">
      <c r="E874" s="1201"/>
      <c r="F874" s="745"/>
      <c r="G874" s="745"/>
      <c r="H874" s="1256">
        <f t="shared" si="92"/>
        <v>0</v>
      </c>
      <c r="I874" s="736">
        <v>647</v>
      </c>
      <c r="J874" s="736">
        <f t="shared" si="90"/>
        <v>3</v>
      </c>
      <c r="K874" s="2532">
        <f t="shared" si="93"/>
        <v>32</v>
      </c>
      <c r="L874" s="736">
        <f t="shared" si="91"/>
        <v>1</v>
      </c>
      <c r="M874" s="2533">
        <f t="shared" si="94"/>
        <v>1</v>
      </c>
      <c r="U874" s="1260">
        <f t="shared" si="95"/>
        <v>917</v>
      </c>
      <c r="V874" s="745">
        <v>3</v>
      </c>
      <c r="W874" s="745">
        <v>48</v>
      </c>
      <c r="X874" s="745">
        <v>1</v>
      </c>
      <c r="Y874" s="1202">
        <v>0</v>
      </c>
    </row>
    <row r="875" spans="5:25" ht="15" x14ac:dyDescent="0.2">
      <c r="E875" s="1201"/>
      <c r="F875" s="745"/>
      <c r="G875" s="745"/>
      <c r="H875" s="1256">
        <f t="shared" si="92"/>
        <v>0</v>
      </c>
      <c r="I875" s="736">
        <v>648</v>
      </c>
      <c r="J875" s="736">
        <f t="shared" si="90"/>
        <v>0</v>
      </c>
      <c r="K875" s="2532">
        <f t="shared" si="93"/>
        <v>35</v>
      </c>
      <c r="L875" s="736">
        <f t="shared" si="91"/>
        <v>0</v>
      </c>
      <c r="M875" s="2533">
        <f t="shared" si="94"/>
        <v>1</v>
      </c>
      <c r="U875" s="1260">
        <f t="shared" si="95"/>
        <v>935</v>
      </c>
      <c r="V875" s="745">
        <v>3</v>
      </c>
      <c r="W875" s="745">
        <v>49</v>
      </c>
      <c r="X875" s="745">
        <v>1</v>
      </c>
      <c r="Y875" s="1202">
        <v>0</v>
      </c>
    </row>
    <row r="876" spans="5:25" ht="15" x14ac:dyDescent="0.2">
      <c r="E876" s="1201"/>
      <c r="F876" s="745"/>
      <c r="G876" s="745"/>
      <c r="H876" s="1256">
        <f t="shared" si="92"/>
        <v>0</v>
      </c>
      <c r="I876" s="736">
        <v>649</v>
      </c>
      <c r="J876" s="736">
        <f t="shared" si="90"/>
        <v>1</v>
      </c>
      <c r="K876" s="2532">
        <f t="shared" si="93"/>
        <v>34</v>
      </c>
      <c r="L876" s="736">
        <f t="shared" si="91"/>
        <v>0</v>
      </c>
      <c r="M876" s="2533">
        <f t="shared" si="94"/>
        <v>2</v>
      </c>
      <c r="U876" s="1260">
        <f t="shared" si="95"/>
        <v>953</v>
      </c>
      <c r="V876" s="745">
        <v>3</v>
      </c>
      <c r="W876" s="745">
        <v>50</v>
      </c>
      <c r="X876" s="745">
        <v>1</v>
      </c>
      <c r="Y876" s="1202">
        <v>0</v>
      </c>
    </row>
    <row r="877" spans="5:25" ht="15" x14ac:dyDescent="0.2">
      <c r="E877" s="1201"/>
      <c r="F877" s="745"/>
      <c r="G877" s="745"/>
      <c r="H877" s="1256">
        <f t="shared" si="92"/>
        <v>0</v>
      </c>
      <c r="I877" s="736">
        <v>650</v>
      </c>
      <c r="J877" s="736">
        <f t="shared" si="90"/>
        <v>3</v>
      </c>
      <c r="K877" s="2532">
        <f t="shared" si="93"/>
        <v>33</v>
      </c>
      <c r="L877" s="736">
        <f t="shared" si="91"/>
        <v>0</v>
      </c>
      <c r="M877" s="2533">
        <f t="shared" si="94"/>
        <v>1</v>
      </c>
      <c r="U877" s="1260">
        <f t="shared" si="95"/>
        <v>971</v>
      </c>
      <c r="V877" s="745">
        <v>3</v>
      </c>
      <c r="W877" s="745">
        <v>51</v>
      </c>
      <c r="X877" s="745">
        <v>1</v>
      </c>
      <c r="Y877" s="1202">
        <v>0</v>
      </c>
    </row>
    <row r="878" spans="5:25" ht="15" x14ac:dyDescent="0.2">
      <c r="E878" s="1201"/>
      <c r="F878" s="745"/>
      <c r="G878" s="745"/>
      <c r="H878" s="1256">
        <f t="shared" si="92"/>
        <v>0</v>
      </c>
      <c r="I878" s="736">
        <v>651</v>
      </c>
      <c r="J878" s="736">
        <f t="shared" ref="J878:J941" si="96">VLOOKUP($I878,$U$295:$Y$1758,2,FALSE)</f>
        <v>0</v>
      </c>
      <c r="K878" s="2532">
        <f t="shared" si="93"/>
        <v>34</v>
      </c>
      <c r="L878" s="736">
        <f t="shared" ref="L878:L941" si="97">VLOOKUP($I878,$U$295:$Y$1758,4,FALSE)</f>
        <v>1</v>
      </c>
      <c r="M878" s="2533">
        <f t="shared" si="94"/>
        <v>2</v>
      </c>
      <c r="U878" s="1260">
        <f t="shared" si="95"/>
        <v>989</v>
      </c>
      <c r="V878" s="745">
        <v>3</v>
      </c>
      <c r="W878" s="745">
        <v>52</v>
      </c>
      <c r="X878" s="745">
        <v>1</v>
      </c>
      <c r="Y878" s="1202">
        <v>0</v>
      </c>
    </row>
    <row r="879" spans="5:25" ht="15" x14ac:dyDescent="0.2">
      <c r="E879" s="1201"/>
      <c r="F879" s="745"/>
      <c r="G879" s="745"/>
      <c r="H879" s="1256">
        <f t="shared" ref="H879:H942" si="98">IF($H$298=I879,1,0)</f>
        <v>0</v>
      </c>
      <c r="I879" s="736">
        <v>652</v>
      </c>
      <c r="J879" s="736">
        <f t="shared" si="96"/>
        <v>2</v>
      </c>
      <c r="K879" s="2532">
        <f t="shared" ref="K879:K942" si="99">IF(VLOOKUP($I879,$U$295:$Y$1758,3,FALSE)&gt;0,VLOOKUP($I879,$U$295:$Y$1758,3,FALSE)-1,VLOOKUP($I879,$U$295:$Y$1758,3,FALSE))</f>
        <v>33</v>
      </c>
      <c r="L879" s="736">
        <f t="shared" si="97"/>
        <v>1</v>
      </c>
      <c r="M879" s="2533">
        <f t="shared" ref="M879:M942" si="100">VLOOKUP($I879,$U$295:$Y$1758,5,FALSE)+1</f>
        <v>1</v>
      </c>
      <c r="U879" s="1260">
        <f t="shared" si="95"/>
        <v>1007</v>
      </c>
      <c r="V879" s="745">
        <v>3</v>
      </c>
      <c r="W879" s="745">
        <v>53</v>
      </c>
      <c r="X879" s="745">
        <v>1</v>
      </c>
      <c r="Y879" s="1202">
        <v>0</v>
      </c>
    </row>
    <row r="880" spans="5:25" ht="15" x14ac:dyDescent="0.2">
      <c r="E880" s="1201"/>
      <c r="F880" s="745"/>
      <c r="G880" s="745"/>
      <c r="H880" s="1256">
        <f t="shared" si="98"/>
        <v>0</v>
      </c>
      <c r="I880" s="736">
        <v>653</v>
      </c>
      <c r="J880" s="736">
        <f t="shared" si="96"/>
        <v>3</v>
      </c>
      <c r="K880" s="2532">
        <f t="shared" si="99"/>
        <v>32</v>
      </c>
      <c r="L880" s="736">
        <f t="shared" si="97"/>
        <v>1</v>
      </c>
      <c r="M880" s="2533">
        <f t="shared" si="100"/>
        <v>2</v>
      </c>
      <c r="U880" s="1260">
        <f t="shared" si="95"/>
        <v>1025</v>
      </c>
      <c r="V880" s="745">
        <v>3</v>
      </c>
      <c r="W880" s="745">
        <v>54</v>
      </c>
      <c r="X880" s="745">
        <v>1</v>
      </c>
      <c r="Y880" s="1202">
        <v>0</v>
      </c>
    </row>
    <row r="881" spans="5:25" ht="15" x14ac:dyDescent="0.2">
      <c r="E881" s="1201"/>
      <c r="F881" s="745"/>
      <c r="G881" s="745"/>
      <c r="H881" s="1256">
        <f t="shared" si="98"/>
        <v>0</v>
      </c>
      <c r="I881" s="736">
        <v>654</v>
      </c>
      <c r="J881" s="736">
        <f t="shared" si="96"/>
        <v>5</v>
      </c>
      <c r="K881" s="2532">
        <f t="shared" si="99"/>
        <v>31</v>
      </c>
      <c r="L881" s="736">
        <f t="shared" si="97"/>
        <v>1</v>
      </c>
      <c r="M881" s="2533">
        <f t="shared" si="100"/>
        <v>1</v>
      </c>
      <c r="U881" s="1260">
        <f t="shared" si="95"/>
        <v>83</v>
      </c>
      <c r="V881" s="745">
        <v>4</v>
      </c>
      <c r="W881" s="745">
        <v>1</v>
      </c>
      <c r="X881" s="745">
        <v>1</v>
      </c>
      <c r="Y881" s="1202">
        <v>0</v>
      </c>
    </row>
    <row r="882" spans="5:25" ht="15" x14ac:dyDescent="0.2">
      <c r="E882" s="1201"/>
      <c r="F882" s="745"/>
      <c r="G882" s="745"/>
      <c r="H882" s="1256">
        <f t="shared" si="98"/>
        <v>0</v>
      </c>
      <c r="I882" s="736">
        <v>655</v>
      </c>
      <c r="J882" s="736">
        <f t="shared" si="96"/>
        <v>2</v>
      </c>
      <c r="K882" s="2532">
        <f t="shared" si="99"/>
        <v>34</v>
      </c>
      <c r="L882" s="736">
        <f t="shared" si="97"/>
        <v>0</v>
      </c>
      <c r="M882" s="2533">
        <f t="shared" si="100"/>
        <v>1</v>
      </c>
      <c r="U882" s="1260">
        <f t="shared" si="95"/>
        <v>101</v>
      </c>
      <c r="V882" s="745">
        <v>4</v>
      </c>
      <c r="W882" s="745">
        <v>2</v>
      </c>
      <c r="X882" s="745">
        <v>1</v>
      </c>
      <c r="Y882" s="1202">
        <v>0</v>
      </c>
    </row>
    <row r="883" spans="5:25" ht="15" x14ac:dyDescent="0.2">
      <c r="E883" s="1201"/>
      <c r="F883" s="745"/>
      <c r="G883" s="745"/>
      <c r="H883" s="1256">
        <f t="shared" si="98"/>
        <v>0</v>
      </c>
      <c r="I883" s="736">
        <v>656</v>
      </c>
      <c r="J883" s="736">
        <f t="shared" si="96"/>
        <v>3</v>
      </c>
      <c r="K883" s="2532">
        <f t="shared" si="99"/>
        <v>33</v>
      </c>
      <c r="L883" s="736">
        <f t="shared" si="97"/>
        <v>0</v>
      </c>
      <c r="M883" s="2533">
        <f t="shared" si="100"/>
        <v>2</v>
      </c>
      <c r="U883" s="1260">
        <f t="shared" si="95"/>
        <v>119</v>
      </c>
      <c r="V883" s="745">
        <v>4</v>
      </c>
      <c r="W883" s="745">
        <v>3</v>
      </c>
      <c r="X883" s="745">
        <v>1</v>
      </c>
      <c r="Y883" s="1202">
        <v>0</v>
      </c>
    </row>
    <row r="884" spans="5:25" ht="15" x14ac:dyDescent="0.2">
      <c r="E884" s="1201"/>
      <c r="F884" s="745"/>
      <c r="G884" s="745"/>
      <c r="H884" s="1256">
        <f t="shared" si="98"/>
        <v>0</v>
      </c>
      <c r="I884" s="736">
        <v>657</v>
      </c>
      <c r="J884" s="736">
        <f t="shared" si="96"/>
        <v>5</v>
      </c>
      <c r="K884" s="2532">
        <f t="shared" si="99"/>
        <v>32</v>
      </c>
      <c r="L884" s="736">
        <f t="shared" si="97"/>
        <v>0</v>
      </c>
      <c r="M884" s="2533">
        <f t="shared" si="100"/>
        <v>1</v>
      </c>
      <c r="U884" s="1260">
        <f t="shared" si="95"/>
        <v>137</v>
      </c>
      <c r="V884" s="745">
        <v>4</v>
      </c>
      <c r="W884" s="745">
        <v>4</v>
      </c>
      <c r="X884" s="745">
        <v>1</v>
      </c>
      <c r="Y884" s="1202">
        <v>0</v>
      </c>
    </row>
    <row r="885" spans="5:25" ht="15" x14ac:dyDescent="0.2">
      <c r="E885" s="1201"/>
      <c r="F885" s="745"/>
      <c r="G885" s="745"/>
      <c r="H885" s="1256">
        <f t="shared" si="98"/>
        <v>0</v>
      </c>
      <c r="I885" s="736">
        <v>658</v>
      </c>
      <c r="J885" s="736">
        <f t="shared" si="96"/>
        <v>1</v>
      </c>
      <c r="K885" s="2532">
        <f t="shared" si="99"/>
        <v>34</v>
      </c>
      <c r="L885" s="736">
        <f t="shared" si="97"/>
        <v>1</v>
      </c>
      <c r="M885" s="2533">
        <f t="shared" si="100"/>
        <v>1</v>
      </c>
      <c r="U885" s="1260">
        <f t="shared" si="95"/>
        <v>155</v>
      </c>
      <c r="V885" s="745">
        <v>4</v>
      </c>
      <c r="W885" s="745">
        <v>5</v>
      </c>
      <c r="X885" s="745">
        <v>1</v>
      </c>
      <c r="Y885" s="1202">
        <v>0</v>
      </c>
    </row>
    <row r="886" spans="5:25" ht="15" x14ac:dyDescent="0.2">
      <c r="E886" s="1201"/>
      <c r="F886" s="745"/>
      <c r="G886" s="745"/>
      <c r="H886" s="1256">
        <f t="shared" si="98"/>
        <v>0</v>
      </c>
      <c r="I886" s="736">
        <v>659</v>
      </c>
      <c r="J886" s="736">
        <f t="shared" si="96"/>
        <v>4</v>
      </c>
      <c r="K886" s="2532">
        <f t="shared" si="99"/>
        <v>32</v>
      </c>
      <c r="L886" s="736">
        <f t="shared" si="97"/>
        <v>1</v>
      </c>
      <c r="M886" s="2533">
        <f t="shared" si="100"/>
        <v>1</v>
      </c>
      <c r="U886" s="1260">
        <f t="shared" si="95"/>
        <v>173</v>
      </c>
      <c r="V886" s="745">
        <v>4</v>
      </c>
      <c r="W886" s="745">
        <v>6</v>
      </c>
      <c r="X886" s="745">
        <v>1</v>
      </c>
      <c r="Y886" s="1202">
        <v>0</v>
      </c>
    </row>
    <row r="887" spans="5:25" ht="15" x14ac:dyDescent="0.2">
      <c r="E887" s="1201"/>
      <c r="F887" s="745"/>
      <c r="G887" s="745"/>
      <c r="H887" s="1256">
        <f t="shared" si="98"/>
        <v>0</v>
      </c>
      <c r="I887" s="736">
        <v>660</v>
      </c>
      <c r="J887" s="736">
        <f t="shared" si="96"/>
        <v>5</v>
      </c>
      <c r="K887" s="2532">
        <f t="shared" si="99"/>
        <v>31</v>
      </c>
      <c r="L887" s="736">
        <f t="shared" si="97"/>
        <v>1</v>
      </c>
      <c r="M887" s="2533">
        <f t="shared" si="100"/>
        <v>2</v>
      </c>
      <c r="U887" s="1260">
        <f t="shared" si="95"/>
        <v>191</v>
      </c>
      <c r="V887" s="745">
        <v>4</v>
      </c>
      <c r="W887" s="745">
        <v>7</v>
      </c>
      <c r="X887" s="745">
        <v>1</v>
      </c>
      <c r="Y887" s="1202">
        <v>0</v>
      </c>
    </row>
    <row r="888" spans="5:25" ht="15" x14ac:dyDescent="0.2">
      <c r="E888" s="1201"/>
      <c r="F888" s="745"/>
      <c r="G888" s="745"/>
      <c r="H888" s="1256">
        <f t="shared" si="98"/>
        <v>0</v>
      </c>
      <c r="I888" s="736">
        <v>661</v>
      </c>
      <c r="J888" s="736">
        <f t="shared" si="96"/>
        <v>1</v>
      </c>
      <c r="K888" s="2532">
        <f t="shared" si="99"/>
        <v>35</v>
      </c>
      <c r="L888" s="736">
        <f t="shared" si="97"/>
        <v>0</v>
      </c>
      <c r="M888" s="2533">
        <f t="shared" si="100"/>
        <v>1</v>
      </c>
      <c r="U888" s="1260">
        <f t="shared" si="95"/>
        <v>209</v>
      </c>
      <c r="V888" s="745">
        <v>4</v>
      </c>
      <c r="W888" s="745">
        <v>8</v>
      </c>
      <c r="X888" s="745">
        <v>1</v>
      </c>
      <c r="Y888" s="1202">
        <v>0</v>
      </c>
    </row>
    <row r="889" spans="5:25" ht="15" x14ac:dyDescent="0.2">
      <c r="E889" s="1201"/>
      <c r="F889" s="745"/>
      <c r="G889" s="745"/>
      <c r="H889" s="1256">
        <f t="shared" si="98"/>
        <v>0</v>
      </c>
      <c r="I889" s="736">
        <v>662</v>
      </c>
      <c r="J889" s="736">
        <f t="shared" si="96"/>
        <v>4</v>
      </c>
      <c r="K889" s="2532">
        <f t="shared" si="99"/>
        <v>33</v>
      </c>
      <c r="L889" s="736">
        <f t="shared" si="97"/>
        <v>0</v>
      </c>
      <c r="M889" s="2533">
        <f t="shared" si="100"/>
        <v>1</v>
      </c>
      <c r="U889" s="1260">
        <f t="shared" si="95"/>
        <v>227</v>
      </c>
      <c r="V889" s="745">
        <v>4</v>
      </c>
      <c r="W889" s="745">
        <v>9</v>
      </c>
      <c r="X889" s="745">
        <v>1</v>
      </c>
      <c r="Y889" s="1202">
        <v>0</v>
      </c>
    </row>
    <row r="890" spans="5:25" ht="15" x14ac:dyDescent="0.2">
      <c r="E890" s="1201"/>
      <c r="F890" s="745"/>
      <c r="G890" s="745"/>
      <c r="H890" s="1256">
        <f t="shared" si="98"/>
        <v>0</v>
      </c>
      <c r="I890" s="736">
        <v>663</v>
      </c>
      <c r="J890" s="736">
        <f t="shared" si="96"/>
        <v>0</v>
      </c>
      <c r="K890" s="2532">
        <f t="shared" si="99"/>
        <v>35</v>
      </c>
      <c r="L890" s="736">
        <f t="shared" si="97"/>
        <v>1</v>
      </c>
      <c r="M890" s="2533">
        <f t="shared" si="100"/>
        <v>1</v>
      </c>
      <c r="U890" s="1260">
        <f t="shared" si="95"/>
        <v>245</v>
      </c>
      <c r="V890" s="745">
        <v>4</v>
      </c>
      <c r="W890" s="745">
        <v>10</v>
      </c>
      <c r="X890" s="745">
        <v>1</v>
      </c>
      <c r="Y890" s="1202">
        <v>0</v>
      </c>
    </row>
    <row r="891" spans="5:25" ht="15" x14ac:dyDescent="0.2">
      <c r="E891" s="1201"/>
      <c r="F891" s="745"/>
      <c r="G891" s="745"/>
      <c r="H891" s="1256">
        <f t="shared" si="98"/>
        <v>0</v>
      </c>
      <c r="I891" s="736">
        <v>664</v>
      </c>
      <c r="J891" s="736">
        <f t="shared" si="96"/>
        <v>1</v>
      </c>
      <c r="K891" s="2532">
        <f t="shared" si="99"/>
        <v>34</v>
      </c>
      <c r="L891" s="736">
        <f t="shared" si="97"/>
        <v>1</v>
      </c>
      <c r="M891" s="2533">
        <f t="shared" si="100"/>
        <v>2</v>
      </c>
      <c r="U891" s="1260">
        <f t="shared" si="95"/>
        <v>263</v>
      </c>
      <c r="V891" s="745">
        <v>4</v>
      </c>
      <c r="W891" s="745">
        <v>11</v>
      </c>
      <c r="X891" s="745">
        <v>1</v>
      </c>
      <c r="Y891" s="1202">
        <v>0</v>
      </c>
    </row>
    <row r="892" spans="5:25" ht="15" x14ac:dyDescent="0.2">
      <c r="E892" s="1201"/>
      <c r="F892" s="745"/>
      <c r="G892" s="745"/>
      <c r="H892" s="1256">
        <f t="shared" si="98"/>
        <v>0</v>
      </c>
      <c r="I892" s="736">
        <v>665</v>
      </c>
      <c r="J892" s="736">
        <f t="shared" si="96"/>
        <v>3</v>
      </c>
      <c r="K892" s="2532">
        <f t="shared" si="99"/>
        <v>33</v>
      </c>
      <c r="L892" s="736">
        <f t="shared" si="97"/>
        <v>1</v>
      </c>
      <c r="M892" s="2533">
        <f t="shared" si="100"/>
        <v>1</v>
      </c>
      <c r="U892" s="1260">
        <f t="shared" si="95"/>
        <v>281</v>
      </c>
      <c r="V892" s="745">
        <v>4</v>
      </c>
      <c r="W892" s="745">
        <v>12</v>
      </c>
      <c r="X892" s="745">
        <v>1</v>
      </c>
      <c r="Y892" s="1202">
        <v>0</v>
      </c>
    </row>
    <row r="893" spans="5:25" ht="15" x14ac:dyDescent="0.2">
      <c r="E893" s="1201"/>
      <c r="F893" s="745"/>
      <c r="G893" s="745"/>
      <c r="H893" s="1256">
        <f t="shared" si="98"/>
        <v>0</v>
      </c>
      <c r="I893" s="736">
        <v>666</v>
      </c>
      <c r="J893" s="736">
        <f t="shared" si="96"/>
        <v>0</v>
      </c>
      <c r="K893" s="2532">
        <f t="shared" si="99"/>
        <v>36</v>
      </c>
      <c r="L893" s="736">
        <f t="shared" si="97"/>
        <v>0</v>
      </c>
      <c r="M893" s="2533">
        <f t="shared" si="100"/>
        <v>1</v>
      </c>
      <c r="U893" s="1260">
        <f t="shared" si="95"/>
        <v>299</v>
      </c>
      <c r="V893" s="745">
        <v>4</v>
      </c>
      <c r="W893" s="745">
        <v>13</v>
      </c>
      <c r="X893" s="745">
        <v>1</v>
      </c>
      <c r="Y893" s="1202">
        <v>0</v>
      </c>
    </row>
    <row r="894" spans="5:25" ht="15" x14ac:dyDescent="0.2">
      <c r="E894" s="1201"/>
      <c r="F894" s="745"/>
      <c r="G894" s="745"/>
      <c r="H894" s="1256">
        <f t="shared" si="98"/>
        <v>0</v>
      </c>
      <c r="I894" s="736">
        <v>667</v>
      </c>
      <c r="J894" s="736">
        <f t="shared" si="96"/>
        <v>1</v>
      </c>
      <c r="K894" s="2532">
        <f t="shared" si="99"/>
        <v>35</v>
      </c>
      <c r="L894" s="736">
        <f t="shared" si="97"/>
        <v>0</v>
      </c>
      <c r="M894" s="2533">
        <f t="shared" si="100"/>
        <v>2</v>
      </c>
      <c r="U894" s="1260">
        <f t="shared" si="95"/>
        <v>317</v>
      </c>
      <c r="V894" s="745">
        <v>4</v>
      </c>
      <c r="W894" s="745">
        <v>14</v>
      </c>
      <c r="X894" s="745">
        <v>1</v>
      </c>
      <c r="Y894" s="1202">
        <v>0</v>
      </c>
    </row>
    <row r="895" spans="5:25" ht="15" x14ac:dyDescent="0.2">
      <c r="E895" s="1201"/>
      <c r="F895" s="745"/>
      <c r="G895" s="745"/>
      <c r="H895" s="1256">
        <f t="shared" si="98"/>
        <v>0</v>
      </c>
      <c r="I895" s="736">
        <v>668</v>
      </c>
      <c r="J895" s="736">
        <f t="shared" si="96"/>
        <v>3</v>
      </c>
      <c r="K895" s="2532">
        <f t="shared" si="99"/>
        <v>34</v>
      </c>
      <c r="L895" s="736">
        <f t="shared" si="97"/>
        <v>0</v>
      </c>
      <c r="M895" s="2533">
        <f t="shared" si="100"/>
        <v>1</v>
      </c>
      <c r="U895" s="1260">
        <f t="shared" si="95"/>
        <v>335</v>
      </c>
      <c r="V895" s="745">
        <v>4</v>
      </c>
      <c r="W895" s="745">
        <v>15</v>
      </c>
      <c r="X895" s="745">
        <v>1</v>
      </c>
      <c r="Y895" s="1202">
        <v>0</v>
      </c>
    </row>
    <row r="896" spans="5:25" ht="15" x14ac:dyDescent="0.2">
      <c r="E896" s="1201"/>
      <c r="F896" s="745"/>
      <c r="G896" s="745"/>
      <c r="H896" s="1256">
        <f t="shared" si="98"/>
        <v>0</v>
      </c>
      <c r="I896" s="736">
        <v>669</v>
      </c>
      <c r="J896" s="736">
        <f t="shared" si="96"/>
        <v>0</v>
      </c>
      <c r="K896" s="2532">
        <f t="shared" si="99"/>
        <v>35</v>
      </c>
      <c r="L896" s="736">
        <f t="shared" si="97"/>
        <v>1</v>
      </c>
      <c r="M896" s="2533">
        <f t="shared" si="100"/>
        <v>2</v>
      </c>
      <c r="U896" s="1260">
        <f t="shared" si="95"/>
        <v>353</v>
      </c>
      <c r="V896" s="745">
        <v>4</v>
      </c>
      <c r="W896" s="745">
        <v>16</v>
      </c>
      <c r="X896" s="745">
        <v>1</v>
      </c>
      <c r="Y896" s="1202">
        <v>0</v>
      </c>
    </row>
    <row r="897" spans="5:25" ht="15" x14ac:dyDescent="0.2">
      <c r="E897" s="1201"/>
      <c r="F897" s="745"/>
      <c r="G897" s="745"/>
      <c r="H897" s="1256">
        <f t="shared" si="98"/>
        <v>0</v>
      </c>
      <c r="I897" s="736">
        <v>670</v>
      </c>
      <c r="J897" s="736">
        <f t="shared" si="96"/>
        <v>2</v>
      </c>
      <c r="K897" s="2532">
        <f t="shared" si="99"/>
        <v>34</v>
      </c>
      <c r="L897" s="736">
        <f t="shared" si="97"/>
        <v>1</v>
      </c>
      <c r="M897" s="2533">
        <f t="shared" si="100"/>
        <v>1</v>
      </c>
      <c r="U897" s="1260">
        <f t="shared" si="95"/>
        <v>371</v>
      </c>
      <c r="V897" s="745">
        <v>4</v>
      </c>
      <c r="W897" s="745">
        <v>17</v>
      </c>
      <c r="X897" s="745">
        <v>1</v>
      </c>
      <c r="Y897" s="1202">
        <v>0</v>
      </c>
    </row>
    <row r="898" spans="5:25" ht="15" x14ac:dyDescent="0.2">
      <c r="E898" s="1201"/>
      <c r="F898" s="745"/>
      <c r="G898" s="745"/>
      <c r="H898" s="1256">
        <f t="shared" si="98"/>
        <v>0</v>
      </c>
      <c r="I898" s="736">
        <v>671</v>
      </c>
      <c r="J898" s="736">
        <f t="shared" si="96"/>
        <v>3</v>
      </c>
      <c r="K898" s="2532">
        <f t="shared" si="99"/>
        <v>33</v>
      </c>
      <c r="L898" s="736">
        <f t="shared" si="97"/>
        <v>1</v>
      </c>
      <c r="M898" s="2533">
        <f t="shared" si="100"/>
        <v>2</v>
      </c>
      <c r="U898" s="1260">
        <f t="shared" si="95"/>
        <v>389</v>
      </c>
      <c r="V898" s="745">
        <v>4</v>
      </c>
      <c r="W898" s="745">
        <v>18</v>
      </c>
      <c r="X898" s="745">
        <v>1</v>
      </c>
      <c r="Y898" s="1202">
        <v>0</v>
      </c>
    </row>
    <row r="899" spans="5:25" ht="15" x14ac:dyDescent="0.2">
      <c r="E899" s="1201"/>
      <c r="F899" s="745"/>
      <c r="G899" s="745"/>
      <c r="H899" s="1256">
        <f t="shared" si="98"/>
        <v>0</v>
      </c>
      <c r="I899" s="736">
        <v>672</v>
      </c>
      <c r="J899" s="736">
        <f t="shared" si="96"/>
        <v>5</v>
      </c>
      <c r="K899" s="2532">
        <f t="shared" si="99"/>
        <v>32</v>
      </c>
      <c r="L899" s="736">
        <f t="shared" si="97"/>
        <v>1</v>
      </c>
      <c r="M899" s="2533">
        <f t="shared" si="100"/>
        <v>1</v>
      </c>
      <c r="U899" s="1260">
        <f t="shared" si="95"/>
        <v>407</v>
      </c>
      <c r="V899" s="745">
        <v>4</v>
      </c>
      <c r="W899" s="745">
        <v>19</v>
      </c>
      <c r="X899" s="745">
        <v>1</v>
      </c>
      <c r="Y899" s="1202">
        <v>0</v>
      </c>
    </row>
    <row r="900" spans="5:25" ht="15" x14ac:dyDescent="0.2">
      <c r="E900" s="1201"/>
      <c r="F900" s="745"/>
      <c r="G900" s="745"/>
      <c r="H900" s="1256">
        <f t="shared" si="98"/>
        <v>0</v>
      </c>
      <c r="I900" s="736">
        <v>673</v>
      </c>
      <c r="J900" s="736">
        <f t="shared" si="96"/>
        <v>2</v>
      </c>
      <c r="K900" s="2532">
        <f t="shared" si="99"/>
        <v>35</v>
      </c>
      <c r="L900" s="736">
        <f t="shared" si="97"/>
        <v>0</v>
      </c>
      <c r="M900" s="2533">
        <f t="shared" si="100"/>
        <v>1</v>
      </c>
      <c r="U900" s="1260">
        <f t="shared" si="95"/>
        <v>425</v>
      </c>
      <c r="V900" s="745">
        <v>4</v>
      </c>
      <c r="W900" s="745">
        <v>20</v>
      </c>
      <c r="X900" s="745">
        <v>1</v>
      </c>
      <c r="Y900" s="1202">
        <v>0</v>
      </c>
    </row>
    <row r="901" spans="5:25" ht="15" x14ac:dyDescent="0.2">
      <c r="E901" s="1201"/>
      <c r="F901" s="745"/>
      <c r="G901" s="745"/>
      <c r="H901" s="1256">
        <f t="shared" si="98"/>
        <v>0</v>
      </c>
      <c r="I901" s="736">
        <v>674</v>
      </c>
      <c r="J901" s="736">
        <f t="shared" si="96"/>
        <v>3</v>
      </c>
      <c r="K901" s="2532">
        <f t="shared" si="99"/>
        <v>34</v>
      </c>
      <c r="L901" s="736">
        <f t="shared" si="97"/>
        <v>0</v>
      </c>
      <c r="M901" s="2533">
        <f t="shared" si="100"/>
        <v>2</v>
      </c>
      <c r="U901" s="1260">
        <f t="shared" si="95"/>
        <v>443</v>
      </c>
      <c r="V901" s="745">
        <v>4</v>
      </c>
      <c r="W901" s="745">
        <v>21</v>
      </c>
      <c r="X901" s="745">
        <v>1</v>
      </c>
      <c r="Y901" s="1202">
        <v>0</v>
      </c>
    </row>
    <row r="902" spans="5:25" ht="15" x14ac:dyDescent="0.2">
      <c r="E902" s="1201"/>
      <c r="F902" s="745"/>
      <c r="G902" s="745"/>
      <c r="H902" s="1256">
        <f t="shared" si="98"/>
        <v>0</v>
      </c>
      <c r="I902" s="736">
        <v>675</v>
      </c>
      <c r="J902" s="736">
        <f t="shared" si="96"/>
        <v>5</v>
      </c>
      <c r="K902" s="2532">
        <f t="shared" si="99"/>
        <v>33</v>
      </c>
      <c r="L902" s="736">
        <f t="shared" si="97"/>
        <v>0</v>
      </c>
      <c r="M902" s="2533">
        <f t="shared" si="100"/>
        <v>1</v>
      </c>
      <c r="U902" s="1260">
        <f t="shared" si="95"/>
        <v>461</v>
      </c>
      <c r="V902" s="745">
        <v>4</v>
      </c>
      <c r="W902" s="745">
        <v>22</v>
      </c>
      <c r="X902" s="745">
        <v>1</v>
      </c>
      <c r="Y902" s="1202">
        <v>0</v>
      </c>
    </row>
    <row r="903" spans="5:25" ht="15" x14ac:dyDescent="0.2">
      <c r="E903" s="1201"/>
      <c r="F903" s="745"/>
      <c r="G903" s="745"/>
      <c r="H903" s="1256">
        <f t="shared" si="98"/>
        <v>0</v>
      </c>
      <c r="I903" s="736">
        <v>676</v>
      </c>
      <c r="J903" s="736">
        <f t="shared" si="96"/>
        <v>1</v>
      </c>
      <c r="K903" s="2532">
        <f t="shared" si="99"/>
        <v>35</v>
      </c>
      <c r="L903" s="736">
        <f t="shared" si="97"/>
        <v>1</v>
      </c>
      <c r="M903" s="2533">
        <f t="shared" si="100"/>
        <v>1</v>
      </c>
      <c r="U903" s="1260">
        <f t="shared" si="95"/>
        <v>479</v>
      </c>
      <c r="V903" s="745">
        <v>4</v>
      </c>
      <c r="W903" s="745">
        <v>23</v>
      </c>
      <c r="X903" s="745">
        <v>1</v>
      </c>
      <c r="Y903" s="1202">
        <v>0</v>
      </c>
    </row>
    <row r="904" spans="5:25" ht="15" x14ac:dyDescent="0.2">
      <c r="E904" s="1201"/>
      <c r="F904" s="745"/>
      <c r="G904" s="745"/>
      <c r="H904" s="1256">
        <f t="shared" si="98"/>
        <v>0</v>
      </c>
      <c r="I904" s="736">
        <v>677</v>
      </c>
      <c r="J904" s="736">
        <f t="shared" si="96"/>
        <v>4</v>
      </c>
      <c r="K904" s="2532">
        <f t="shared" si="99"/>
        <v>33</v>
      </c>
      <c r="L904" s="736">
        <f t="shared" si="97"/>
        <v>1</v>
      </c>
      <c r="M904" s="2533">
        <f t="shared" si="100"/>
        <v>1</v>
      </c>
      <c r="U904" s="1260">
        <f t="shared" si="95"/>
        <v>497</v>
      </c>
      <c r="V904" s="745">
        <v>4</v>
      </c>
      <c r="W904" s="745">
        <v>24</v>
      </c>
      <c r="X904" s="745">
        <v>1</v>
      </c>
      <c r="Y904" s="1202">
        <v>0</v>
      </c>
    </row>
    <row r="905" spans="5:25" ht="15" x14ac:dyDescent="0.2">
      <c r="E905" s="1201"/>
      <c r="F905" s="745"/>
      <c r="G905" s="745"/>
      <c r="H905" s="1256">
        <f t="shared" si="98"/>
        <v>0</v>
      </c>
      <c r="I905" s="736">
        <v>678</v>
      </c>
      <c r="J905" s="736">
        <f t="shared" si="96"/>
        <v>5</v>
      </c>
      <c r="K905" s="2532">
        <f t="shared" si="99"/>
        <v>32</v>
      </c>
      <c r="L905" s="736">
        <f t="shared" si="97"/>
        <v>1</v>
      </c>
      <c r="M905" s="2533">
        <f t="shared" si="100"/>
        <v>2</v>
      </c>
      <c r="U905" s="1260">
        <f t="shared" si="95"/>
        <v>515</v>
      </c>
      <c r="V905" s="745">
        <v>4</v>
      </c>
      <c r="W905" s="745">
        <v>25</v>
      </c>
      <c r="X905" s="745">
        <v>1</v>
      </c>
      <c r="Y905" s="1202">
        <v>0</v>
      </c>
    </row>
    <row r="906" spans="5:25" ht="15" x14ac:dyDescent="0.2">
      <c r="E906" s="1201"/>
      <c r="F906" s="745"/>
      <c r="G906" s="745"/>
      <c r="H906" s="1256">
        <f t="shared" si="98"/>
        <v>0</v>
      </c>
      <c r="I906" s="736">
        <v>679</v>
      </c>
      <c r="J906" s="736">
        <f t="shared" si="96"/>
        <v>1</v>
      </c>
      <c r="K906" s="2532">
        <f t="shared" si="99"/>
        <v>36</v>
      </c>
      <c r="L906" s="736">
        <f t="shared" si="97"/>
        <v>0</v>
      </c>
      <c r="M906" s="2533">
        <f t="shared" si="100"/>
        <v>1</v>
      </c>
      <c r="U906" s="1260">
        <f t="shared" si="95"/>
        <v>533</v>
      </c>
      <c r="V906" s="745">
        <v>4</v>
      </c>
      <c r="W906" s="745">
        <v>26</v>
      </c>
      <c r="X906" s="745">
        <v>1</v>
      </c>
      <c r="Y906" s="1202">
        <v>0</v>
      </c>
    </row>
    <row r="907" spans="5:25" ht="15" x14ac:dyDescent="0.2">
      <c r="E907" s="1201"/>
      <c r="F907" s="745"/>
      <c r="G907" s="745"/>
      <c r="H907" s="1256">
        <f t="shared" si="98"/>
        <v>0</v>
      </c>
      <c r="I907" s="736">
        <v>680</v>
      </c>
      <c r="J907" s="736">
        <f t="shared" si="96"/>
        <v>4</v>
      </c>
      <c r="K907" s="2532">
        <f t="shared" si="99"/>
        <v>34</v>
      </c>
      <c r="L907" s="736">
        <f t="shared" si="97"/>
        <v>0</v>
      </c>
      <c r="M907" s="2533">
        <f t="shared" si="100"/>
        <v>1</v>
      </c>
      <c r="U907" s="1260">
        <f t="shared" si="95"/>
        <v>551</v>
      </c>
      <c r="V907" s="745">
        <v>4</v>
      </c>
      <c r="W907" s="745">
        <v>27</v>
      </c>
      <c r="X907" s="745">
        <v>1</v>
      </c>
      <c r="Y907" s="1202">
        <v>0</v>
      </c>
    </row>
    <row r="908" spans="5:25" ht="15" x14ac:dyDescent="0.2">
      <c r="E908" s="1201"/>
      <c r="F908" s="745"/>
      <c r="G908" s="745"/>
      <c r="H908" s="1256">
        <f t="shared" si="98"/>
        <v>0</v>
      </c>
      <c r="I908" s="736">
        <v>681</v>
      </c>
      <c r="J908" s="736">
        <f t="shared" si="96"/>
        <v>0</v>
      </c>
      <c r="K908" s="2532">
        <f t="shared" si="99"/>
        <v>36</v>
      </c>
      <c r="L908" s="736">
        <f t="shared" si="97"/>
        <v>1</v>
      </c>
      <c r="M908" s="2533">
        <f t="shared" si="100"/>
        <v>1</v>
      </c>
      <c r="U908" s="1260">
        <f t="shared" si="95"/>
        <v>569</v>
      </c>
      <c r="V908" s="745">
        <v>4</v>
      </c>
      <c r="W908" s="745">
        <v>28</v>
      </c>
      <c r="X908" s="745">
        <v>1</v>
      </c>
      <c r="Y908" s="1202">
        <v>0</v>
      </c>
    </row>
    <row r="909" spans="5:25" ht="15" x14ac:dyDescent="0.2">
      <c r="E909" s="1201"/>
      <c r="F909" s="745"/>
      <c r="G909" s="745"/>
      <c r="H909" s="1256">
        <f t="shared" si="98"/>
        <v>0</v>
      </c>
      <c r="I909" s="736">
        <v>682</v>
      </c>
      <c r="J909" s="736">
        <f t="shared" si="96"/>
        <v>1</v>
      </c>
      <c r="K909" s="2532">
        <f t="shared" si="99"/>
        <v>35</v>
      </c>
      <c r="L909" s="736">
        <f t="shared" si="97"/>
        <v>1</v>
      </c>
      <c r="M909" s="2533">
        <f t="shared" si="100"/>
        <v>2</v>
      </c>
      <c r="U909" s="1260">
        <f t="shared" si="95"/>
        <v>587</v>
      </c>
      <c r="V909" s="745">
        <v>4</v>
      </c>
      <c r="W909" s="745">
        <v>29</v>
      </c>
      <c r="X909" s="745">
        <v>1</v>
      </c>
      <c r="Y909" s="1202">
        <v>0</v>
      </c>
    </row>
    <row r="910" spans="5:25" ht="15" x14ac:dyDescent="0.2">
      <c r="E910" s="1201"/>
      <c r="F910" s="745"/>
      <c r="G910" s="745"/>
      <c r="H910" s="1256">
        <f t="shared" si="98"/>
        <v>0</v>
      </c>
      <c r="I910" s="736">
        <v>683</v>
      </c>
      <c r="J910" s="736">
        <f t="shared" si="96"/>
        <v>3</v>
      </c>
      <c r="K910" s="2532">
        <f t="shared" si="99"/>
        <v>34</v>
      </c>
      <c r="L910" s="736">
        <f t="shared" si="97"/>
        <v>1</v>
      </c>
      <c r="M910" s="2533">
        <f t="shared" si="100"/>
        <v>1</v>
      </c>
      <c r="U910" s="1260">
        <f t="shared" si="95"/>
        <v>605</v>
      </c>
      <c r="V910" s="745">
        <v>4</v>
      </c>
      <c r="W910" s="745">
        <v>30</v>
      </c>
      <c r="X910" s="745">
        <v>1</v>
      </c>
      <c r="Y910" s="1202">
        <v>0</v>
      </c>
    </row>
    <row r="911" spans="5:25" ht="15" x14ac:dyDescent="0.2">
      <c r="E911" s="1201"/>
      <c r="F911" s="745"/>
      <c r="G911" s="745"/>
      <c r="H911" s="1256">
        <f t="shared" si="98"/>
        <v>0</v>
      </c>
      <c r="I911" s="736">
        <v>684</v>
      </c>
      <c r="J911" s="736">
        <f t="shared" si="96"/>
        <v>0</v>
      </c>
      <c r="K911" s="2532">
        <f t="shared" si="99"/>
        <v>37</v>
      </c>
      <c r="L911" s="736">
        <f t="shared" si="97"/>
        <v>0</v>
      </c>
      <c r="M911" s="2533">
        <f t="shared" si="100"/>
        <v>1</v>
      </c>
      <c r="U911" s="1260">
        <f t="shared" si="95"/>
        <v>623</v>
      </c>
      <c r="V911" s="745">
        <v>4</v>
      </c>
      <c r="W911" s="745">
        <v>31</v>
      </c>
      <c r="X911" s="745">
        <v>1</v>
      </c>
      <c r="Y911" s="1202">
        <v>0</v>
      </c>
    </row>
    <row r="912" spans="5:25" ht="15" x14ac:dyDescent="0.2">
      <c r="E912" s="1201"/>
      <c r="F912" s="745"/>
      <c r="G912" s="745"/>
      <c r="H912" s="1256">
        <f t="shared" si="98"/>
        <v>0</v>
      </c>
      <c r="I912" s="736">
        <v>685</v>
      </c>
      <c r="J912" s="736">
        <f t="shared" si="96"/>
        <v>1</v>
      </c>
      <c r="K912" s="2532">
        <f t="shared" si="99"/>
        <v>36</v>
      </c>
      <c r="L912" s="736">
        <f t="shared" si="97"/>
        <v>0</v>
      </c>
      <c r="M912" s="2533">
        <f t="shared" si="100"/>
        <v>2</v>
      </c>
      <c r="U912" s="1260">
        <f t="shared" si="95"/>
        <v>641</v>
      </c>
      <c r="V912" s="745">
        <v>4</v>
      </c>
      <c r="W912" s="745">
        <v>32</v>
      </c>
      <c r="X912" s="745">
        <v>1</v>
      </c>
      <c r="Y912" s="1202">
        <v>0</v>
      </c>
    </row>
    <row r="913" spans="5:25" ht="15" x14ac:dyDescent="0.2">
      <c r="E913" s="1201"/>
      <c r="F913" s="745"/>
      <c r="G913" s="745"/>
      <c r="H913" s="1256">
        <f t="shared" si="98"/>
        <v>0</v>
      </c>
      <c r="I913" s="736">
        <v>686</v>
      </c>
      <c r="J913" s="736">
        <f t="shared" si="96"/>
        <v>3</v>
      </c>
      <c r="K913" s="2532">
        <f t="shared" si="99"/>
        <v>35</v>
      </c>
      <c r="L913" s="736">
        <f t="shared" si="97"/>
        <v>0</v>
      </c>
      <c r="M913" s="2533">
        <f t="shared" si="100"/>
        <v>1</v>
      </c>
      <c r="U913" s="1260">
        <f t="shared" si="95"/>
        <v>659</v>
      </c>
      <c r="V913" s="745">
        <v>4</v>
      </c>
      <c r="W913" s="745">
        <v>33</v>
      </c>
      <c r="X913" s="745">
        <v>1</v>
      </c>
      <c r="Y913" s="1202">
        <v>0</v>
      </c>
    </row>
    <row r="914" spans="5:25" ht="15" x14ac:dyDescent="0.2">
      <c r="E914" s="1201"/>
      <c r="F914" s="745"/>
      <c r="G914" s="745"/>
      <c r="H914" s="1256">
        <f t="shared" si="98"/>
        <v>0</v>
      </c>
      <c r="I914" s="736">
        <v>687</v>
      </c>
      <c r="J914" s="736">
        <f t="shared" si="96"/>
        <v>0</v>
      </c>
      <c r="K914" s="2532">
        <f t="shared" si="99"/>
        <v>36</v>
      </c>
      <c r="L914" s="736">
        <f t="shared" si="97"/>
        <v>1</v>
      </c>
      <c r="M914" s="2533">
        <f t="shared" si="100"/>
        <v>2</v>
      </c>
      <c r="U914" s="1260">
        <f t="shared" si="95"/>
        <v>677</v>
      </c>
      <c r="V914" s="745">
        <v>4</v>
      </c>
      <c r="W914" s="745">
        <v>34</v>
      </c>
      <c r="X914" s="745">
        <v>1</v>
      </c>
      <c r="Y914" s="1202">
        <v>0</v>
      </c>
    </row>
    <row r="915" spans="5:25" ht="15" x14ac:dyDescent="0.2">
      <c r="E915" s="1201"/>
      <c r="F915" s="745"/>
      <c r="G915" s="745"/>
      <c r="H915" s="1256">
        <f t="shared" si="98"/>
        <v>0</v>
      </c>
      <c r="I915" s="736">
        <v>688</v>
      </c>
      <c r="J915" s="736">
        <f t="shared" si="96"/>
        <v>2</v>
      </c>
      <c r="K915" s="2532">
        <f t="shared" si="99"/>
        <v>35</v>
      </c>
      <c r="L915" s="736">
        <f t="shared" si="97"/>
        <v>1</v>
      </c>
      <c r="M915" s="2533">
        <f t="shared" si="100"/>
        <v>1</v>
      </c>
      <c r="U915" s="1260">
        <f t="shared" si="95"/>
        <v>695</v>
      </c>
      <c r="V915" s="745">
        <v>4</v>
      </c>
      <c r="W915" s="745">
        <v>35</v>
      </c>
      <c r="X915" s="745">
        <v>1</v>
      </c>
      <c r="Y915" s="1202">
        <v>0</v>
      </c>
    </row>
    <row r="916" spans="5:25" ht="15" x14ac:dyDescent="0.2">
      <c r="E916" s="1201"/>
      <c r="F916" s="745"/>
      <c r="G916" s="745"/>
      <c r="H916" s="1256">
        <f t="shared" si="98"/>
        <v>0</v>
      </c>
      <c r="I916" s="736">
        <v>689</v>
      </c>
      <c r="J916" s="736">
        <f t="shared" si="96"/>
        <v>3</v>
      </c>
      <c r="K916" s="2532">
        <f t="shared" si="99"/>
        <v>34</v>
      </c>
      <c r="L916" s="736">
        <f t="shared" si="97"/>
        <v>1</v>
      </c>
      <c r="M916" s="2533">
        <f t="shared" si="100"/>
        <v>2</v>
      </c>
      <c r="U916" s="1260">
        <f t="shared" si="95"/>
        <v>713</v>
      </c>
      <c r="V916" s="745">
        <v>4</v>
      </c>
      <c r="W916" s="745">
        <v>36</v>
      </c>
      <c r="X916" s="745">
        <v>1</v>
      </c>
      <c r="Y916" s="1202">
        <v>0</v>
      </c>
    </row>
    <row r="917" spans="5:25" ht="15" x14ac:dyDescent="0.2">
      <c r="E917" s="1201"/>
      <c r="F917" s="745"/>
      <c r="G917" s="745"/>
      <c r="H917" s="1256">
        <f t="shared" si="98"/>
        <v>0</v>
      </c>
      <c r="I917" s="736">
        <v>690</v>
      </c>
      <c r="J917" s="736">
        <f t="shared" si="96"/>
        <v>5</v>
      </c>
      <c r="K917" s="2532">
        <f t="shared" si="99"/>
        <v>33</v>
      </c>
      <c r="L917" s="736">
        <f t="shared" si="97"/>
        <v>1</v>
      </c>
      <c r="M917" s="2533">
        <f t="shared" si="100"/>
        <v>1</v>
      </c>
      <c r="U917" s="1260">
        <f t="shared" si="95"/>
        <v>731</v>
      </c>
      <c r="V917" s="745">
        <v>4</v>
      </c>
      <c r="W917" s="745">
        <v>37</v>
      </c>
      <c r="X917" s="745">
        <v>1</v>
      </c>
      <c r="Y917" s="1202">
        <v>0</v>
      </c>
    </row>
    <row r="918" spans="5:25" ht="15" x14ac:dyDescent="0.2">
      <c r="E918" s="1201"/>
      <c r="F918" s="745"/>
      <c r="G918" s="745"/>
      <c r="H918" s="1256">
        <f t="shared" si="98"/>
        <v>0</v>
      </c>
      <c r="I918" s="736">
        <v>691</v>
      </c>
      <c r="J918" s="736">
        <f t="shared" si="96"/>
        <v>2</v>
      </c>
      <c r="K918" s="2532">
        <f t="shared" si="99"/>
        <v>36</v>
      </c>
      <c r="L918" s="736">
        <f t="shared" si="97"/>
        <v>0</v>
      </c>
      <c r="M918" s="2533">
        <f t="shared" si="100"/>
        <v>1</v>
      </c>
      <c r="U918" s="1260">
        <f t="shared" si="95"/>
        <v>749</v>
      </c>
      <c r="V918" s="745">
        <v>4</v>
      </c>
      <c r="W918" s="745">
        <v>38</v>
      </c>
      <c r="X918" s="745">
        <v>1</v>
      </c>
      <c r="Y918" s="1202">
        <v>0</v>
      </c>
    </row>
    <row r="919" spans="5:25" ht="15" x14ac:dyDescent="0.2">
      <c r="E919" s="1201"/>
      <c r="F919" s="745"/>
      <c r="G919" s="745"/>
      <c r="H919" s="1256">
        <f t="shared" si="98"/>
        <v>0</v>
      </c>
      <c r="I919" s="736">
        <v>692</v>
      </c>
      <c r="J919" s="736">
        <f t="shared" si="96"/>
        <v>3</v>
      </c>
      <c r="K919" s="2532">
        <f t="shared" si="99"/>
        <v>35</v>
      </c>
      <c r="L919" s="736">
        <f t="shared" si="97"/>
        <v>0</v>
      </c>
      <c r="M919" s="2533">
        <f t="shared" si="100"/>
        <v>2</v>
      </c>
      <c r="U919" s="1260">
        <f t="shared" si="95"/>
        <v>767</v>
      </c>
      <c r="V919" s="745">
        <v>4</v>
      </c>
      <c r="W919" s="745">
        <v>39</v>
      </c>
      <c r="X919" s="745">
        <v>1</v>
      </c>
      <c r="Y919" s="1202">
        <v>0</v>
      </c>
    </row>
    <row r="920" spans="5:25" ht="15" x14ac:dyDescent="0.2">
      <c r="E920" s="1201"/>
      <c r="F920" s="745"/>
      <c r="G920" s="745"/>
      <c r="H920" s="1256">
        <f t="shared" si="98"/>
        <v>0</v>
      </c>
      <c r="I920" s="736">
        <v>693</v>
      </c>
      <c r="J920" s="736">
        <f t="shared" si="96"/>
        <v>5</v>
      </c>
      <c r="K920" s="2532">
        <f t="shared" si="99"/>
        <v>34</v>
      </c>
      <c r="L920" s="736">
        <f t="shared" si="97"/>
        <v>0</v>
      </c>
      <c r="M920" s="2533">
        <f t="shared" si="100"/>
        <v>1</v>
      </c>
      <c r="U920" s="1260">
        <f t="shared" si="95"/>
        <v>785</v>
      </c>
      <c r="V920" s="745">
        <v>4</v>
      </c>
      <c r="W920" s="745">
        <v>40</v>
      </c>
      <c r="X920" s="745">
        <v>1</v>
      </c>
      <c r="Y920" s="1202">
        <v>0</v>
      </c>
    </row>
    <row r="921" spans="5:25" ht="15" x14ac:dyDescent="0.2">
      <c r="E921" s="1201"/>
      <c r="F921" s="745"/>
      <c r="G921" s="745"/>
      <c r="H921" s="1256">
        <f t="shared" si="98"/>
        <v>0</v>
      </c>
      <c r="I921" s="736">
        <v>694</v>
      </c>
      <c r="J921" s="736">
        <f t="shared" si="96"/>
        <v>1</v>
      </c>
      <c r="K921" s="2532">
        <f t="shared" si="99"/>
        <v>36</v>
      </c>
      <c r="L921" s="736">
        <f t="shared" si="97"/>
        <v>1</v>
      </c>
      <c r="M921" s="2533">
        <f t="shared" si="100"/>
        <v>1</v>
      </c>
      <c r="U921" s="1260">
        <f t="shared" si="95"/>
        <v>803</v>
      </c>
      <c r="V921" s="745">
        <v>4</v>
      </c>
      <c r="W921" s="745">
        <v>41</v>
      </c>
      <c r="X921" s="745">
        <v>1</v>
      </c>
      <c r="Y921" s="1202">
        <v>0</v>
      </c>
    </row>
    <row r="922" spans="5:25" ht="15" x14ac:dyDescent="0.2">
      <c r="E922" s="1201"/>
      <c r="F922" s="745"/>
      <c r="G922" s="745"/>
      <c r="H922" s="1256">
        <f t="shared" si="98"/>
        <v>0</v>
      </c>
      <c r="I922" s="736">
        <v>695</v>
      </c>
      <c r="J922" s="736">
        <f t="shared" si="96"/>
        <v>4</v>
      </c>
      <c r="K922" s="2532">
        <f t="shared" si="99"/>
        <v>34</v>
      </c>
      <c r="L922" s="736">
        <f t="shared" si="97"/>
        <v>1</v>
      </c>
      <c r="M922" s="2533">
        <f t="shared" si="100"/>
        <v>1</v>
      </c>
      <c r="U922" s="1260">
        <f t="shared" si="95"/>
        <v>821</v>
      </c>
      <c r="V922" s="745">
        <v>4</v>
      </c>
      <c r="W922" s="745">
        <v>42</v>
      </c>
      <c r="X922" s="745">
        <v>1</v>
      </c>
      <c r="Y922" s="1202">
        <v>0</v>
      </c>
    </row>
    <row r="923" spans="5:25" ht="15" x14ac:dyDescent="0.2">
      <c r="E923" s="1201"/>
      <c r="F923" s="745"/>
      <c r="G923" s="745"/>
      <c r="H923" s="1256">
        <f t="shared" si="98"/>
        <v>0</v>
      </c>
      <c r="I923" s="736">
        <v>696</v>
      </c>
      <c r="J923" s="736">
        <f t="shared" si="96"/>
        <v>5</v>
      </c>
      <c r="K923" s="2532">
        <f t="shared" si="99"/>
        <v>33</v>
      </c>
      <c r="L923" s="736">
        <f t="shared" si="97"/>
        <v>1</v>
      </c>
      <c r="M923" s="2533">
        <f t="shared" si="100"/>
        <v>2</v>
      </c>
      <c r="U923" s="1260">
        <f t="shared" si="95"/>
        <v>839</v>
      </c>
      <c r="V923" s="745">
        <v>4</v>
      </c>
      <c r="W923" s="745">
        <v>43</v>
      </c>
      <c r="X923" s="745">
        <v>1</v>
      </c>
      <c r="Y923" s="1202">
        <v>0</v>
      </c>
    </row>
    <row r="924" spans="5:25" ht="15" x14ac:dyDescent="0.2">
      <c r="E924" s="1201"/>
      <c r="F924" s="745"/>
      <c r="G924" s="745"/>
      <c r="H924" s="1256">
        <f t="shared" si="98"/>
        <v>0</v>
      </c>
      <c r="I924" s="736">
        <v>697</v>
      </c>
      <c r="J924" s="736">
        <f t="shared" si="96"/>
        <v>1</v>
      </c>
      <c r="K924" s="2532">
        <f t="shared" si="99"/>
        <v>37</v>
      </c>
      <c r="L924" s="736">
        <f t="shared" si="97"/>
        <v>0</v>
      </c>
      <c r="M924" s="2533">
        <f t="shared" si="100"/>
        <v>1</v>
      </c>
      <c r="U924" s="1260">
        <f t="shared" si="95"/>
        <v>857</v>
      </c>
      <c r="V924" s="745">
        <v>4</v>
      </c>
      <c r="W924" s="745">
        <v>44</v>
      </c>
      <c r="X924" s="745">
        <v>1</v>
      </c>
      <c r="Y924" s="1202">
        <v>0</v>
      </c>
    </row>
    <row r="925" spans="5:25" ht="15" x14ac:dyDescent="0.2">
      <c r="E925" s="1201"/>
      <c r="F925" s="745"/>
      <c r="G925" s="745"/>
      <c r="H925" s="1256">
        <f t="shared" si="98"/>
        <v>0</v>
      </c>
      <c r="I925" s="736">
        <v>698</v>
      </c>
      <c r="J925" s="736">
        <f t="shared" si="96"/>
        <v>4</v>
      </c>
      <c r="K925" s="2532">
        <f t="shared" si="99"/>
        <v>35</v>
      </c>
      <c r="L925" s="736">
        <f t="shared" si="97"/>
        <v>0</v>
      </c>
      <c r="M925" s="2533">
        <f t="shared" si="100"/>
        <v>1</v>
      </c>
      <c r="U925" s="1260">
        <f t="shared" si="95"/>
        <v>875</v>
      </c>
      <c r="V925" s="745">
        <v>4</v>
      </c>
      <c r="W925" s="745">
        <v>45</v>
      </c>
      <c r="X925" s="745">
        <v>1</v>
      </c>
      <c r="Y925" s="1202">
        <v>0</v>
      </c>
    </row>
    <row r="926" spans="5:25" ht="15" x14ac:dyDescent="0.2">
      <c r="E926" s="1201"/>
      <c r="F926" s="745"/>
      <c r="G926" s="745"/>
      <c r="H926" s="1256">
        <f t="shared" si="98"/>
        <v>0</v>
      </c>
      <c r="I926" s="736">
        <v>699</v>
      </c>
      <c r="J926" s="736">
        <f t="shared" si="96"/>
        <v>0</v>
      </c>
      <c r="K926" s="2532">
        <f t="shared" si="99"/>
        <v>37</v>
      </c>
      <c r="L926" s="736">
        <f t="shared" si="97"/>
        <v>1</v>
      </c>
      <c r="M926" s="2533">
        <f t="shared" si="100"/>
        <v>1</v>
      </c>
      <c r="U926" s="1260">
        <f t="shared" si="95"/>
        <v>893</v>
      </c>
      <c r="V926" s="745">
        <v>4</v>
      </c>
      <c r="W926" s="745">
        <v>46</v>
      </c>
      <c r="X926" s="745">
        <v>1</v>
      </c>
      <c r="Y926" s="1202">
        <v>0</v>
      </c>
    </row>
    <row r="927" spans="5:25" ht="15" x14ac:dyDescent="0.2">
      <c r="E927" s="1201"/>
      <c r="F927" s="745"/>
      <c r="G927" s="745"/>
      <c r="H927" s="1256">
        <f t="shared" si="98"/>
        <v>0</v>
      </c>
      <c r="I927" s="736">
        <v>700</v>
      </c>
      <c r="J927" s="736">
        <f t="shared" si="96"/>
        <v>1</v>
      </c>
      <c r="K927" s="2532">
        <f t="shared" si="99"/>
        <v>36</v>
      </c>
      <c r="L927" s="736">
        <f t="shared" si="97"/>
        <v>1</v>
      </c>
      <c r="M927" s="2533">
        <f t="shared" si="100"/>
        <v>2</v>
      </c>
      <c r="U927" s="1260">
        <f t="shared" si="95"/>
        <v>911</v>
      </c>
      <c r="V927" s="745">
        <v>4</v>
      </c>
      <c r="W927" s="745">
        <v>47</v>
      </c>
      <c r="X927" s="745">
        <v>1</v>
      </c>
      <c r="Y927" s="1202">
        <v>0</v>
      </c>
    </row>
    <row r="928" spans="5:25" ht="15" x14ac:dyDescent="0.2">
      <c r="E928" s="1201"/>
      <c r="F928" s="745"/>
      <c r="G928" s="745"/>
      <c r="H928" s="1256">
        <f t="shared" si="98"/>
        <v>0</v>
      </c>
      <c r="I928" s="736">
        <v>701</v>
      </c>
      <c r="J928" s="736">
        <f t="shared" si="96"/>
        <v>3</v>
      </c>
      <c r="K928" s="2532">
        <f t="shared" si="99"/>
        <v>35</v>
      </c>
      <c r="L928" s="736">
        <f t="shared" si="97"/>
        <v>1</v>
      </c>
      <c r="M928" s="2533">
        <f t="shared" si="100"/>
        <v>1</v>
      </c>
      <c r="U928" s="1260">
        <f t="shared" si="95"/>
        <v>929</v>
      </c>
      <c r="V928" s="745">
        <v>4</v>
      </c>
      <c r="W928" s="745">
        <v>48</v>
      </c>
      <c r="X928" s="745">
        <v>1</v>
      </c>
      <c r="Y928" s="1202">
        <v>0</v>
      </c>
    </row>
    <row r="929" spans="5:25" ht="15" x14ac:dyDescent="0.2">
      <c r="E929" s="1201"/>
      <c r="F929" s="745"/>
      <c r="G929" s="745"/>
      <c r="H929" s="1256">
        <f t="shared" si="98"/>
        <v>0</v>
      </c>
      <c r="I929" s="736">
        <v>702</v>
      </c>
      <c r="J929" s="736">
        <f t="shared" si="96"/>
        <v>0</v>
      </c>
      <c r="K929" s="2532">
        <f t="shared" si="99"/>
        <v>38</v>
      </c>
      <c r="L929" s="736">
        <f t="shared" si="97"/>
        <v>0</v>
      </c>
      <c r="M929" s="2533">
        <f t="shared" si="100"/>
        <v>1</v>
      </c>
      <c r="U929" s="1260">
        <f t="shared" si="95"/>
        <v>947</v>
      </c>
      <c r="V929" s="745">
        <v>4</v>
      </c>
      <c r="W929" s="745">
        <v>49</v>
      </c>
      <c r="X929" s="745">
        <v>1</v>
      </c>
      <c r="Y929" s="1202">
        <v>0</v>
      </c>
    </row>
    <row r="930" spans="5:25" ht="15" x14ac:dyDescent="0.2">
      <c r="E930" s="1201"/>
      <c r="F930" s="745"/>
      <c r="G930" s="745"/>
      <c r="H930" s="1256">
        <f t="shared" si="98"/>
        <v>0</v>
      </c>
      <c r="I930" s="736">
        <v>703</v>
      </c>
      <c r="J930" s="736">
        <f t="shared" si="96"/>
        <v>1</v>
      </c>
      <c r="K930" s="2532">
        <f t="shared" si="99"/>
        <v>37</v>
      </c>
      <c r="L930" s="736">
        <f t="shared" si="97"/>
        <v>0</v>
      </c>
      <c r="M930" s="2533">
        <f t="shared" si="100"/>
        <v>2</v>
      </c>
      <c r="U930" s="1260">
        <f t="shared" si="95"/>
        <v>965</v>
      </c>
      <c r="V930" s="745">
        <v>4</v>
      </c>
      <c r="W930" s="745">
        <v>50</v>
      </c>
      <c r="X930" s="745">
        <v>1</v>
      </c>
      <c r="Y930" s="1202">
        <v>0</v>
      </c>
    </row>
    <row r="931" spans="5:25" ht="15" x14ac:dyDescent="0.2">
      <c r="E931" s="1201"/>
      <c r="F931" s="745"/>
      <c r="G931" s="745"/>
      <c r="H931" s="1256">
        <f t="shared" si="98"/>
        <v>0</v>
      </c>
      <c r="I931" s="736">
        <v>704</v>
      </c>
      <c r="J931" s="736">
        <f t="shared" si="96"/>
        <v>3</v>
      </c>
      <c r="K931" s="2532">
        <f t="shared" si="99"/>
        <v>36</v>
      </c>
      <c r="L931" s="736">
        <f t="shared" si="97"/>
        <v>0</v>
      </c>
      <c r="M931" s="2533">
        <f t="shared" si="100"/>
        <v>1</v>
      </c>
      <c r="U931" s="1260">
        <f t="shared" si="95"/>
        <v>983</v>
      </c>
      <c r="V931" s="745">
        <v>4</v>
      </c>
      <c r="W931" s="745">
        <v>51</v>
      </c>
      <c r="X931" s="745">
        <v>1</v>
      </c>
      <c r="Y931" s="1202">
        <v>0</v>
      </c>
    </row>
    <row r="932" spans="5:25" ht="15" x14ac:dyDescent="0.2">
      <c r="E932" s="1201"/>
      <c r="F932" s="745"/>
      <c r="G932" s="745"/>
      <c r="H932" s="1256">
        <f t="shared" si="98"/>
        <v>0</v>
      </c>
      <c r="I932" s="736">
        <v>705</v>
      </c>
      <c r="J932" s="736">
        <f t="shared" si="96"/>
        <v>0</v>
      </c>
      <c r="K932" s="2532">
        <f t="shared" si="99"/>
        <v>37</v>
      </c>
      <c r="L932" s="736">
        <f t="shared" si="97"/>
        <v>1</v>
      </c>
      <c r="M932" s="2533">
        <f t="shared" si="100"/>
        <v>2</v>
      </c>
      <c r="U932" s="1260">
        <f t="shared" si="95"/>
        <v>1001</v>
      </c>
      <c r="V932" s="745">
        <v>4</v>
      </c>
      <c r="W932" s="745">
        <v>52</v>
      </c>
      <c r="X932" s="745">
        <v>1</v>
      </c>
      <c r="Y932" s="1202">
        <v>0</v>
      </c>
    </row>
    <row r="933" spans="5:25" ht="15" x14ac:dyDescent="0.2">
      <c r="E933" s="1201"/>
      <c r="F933" s="745"/>
      <c r="G933" s="745"/>
      <c r="H933" s="1256">
        <f t="shared" si="98"/>
        <v>0</v>
      </c>
      <c r="I933" s="736">
        <v>706</v>
      </c>
      <c r="J933" s="736">
        <f t="shared" si="96"/>
        <v>2</v>
      </c>
      <c r="K933" s="2532">
        <f t="shared" si="99"/>
        <v>36</v>
      </c>
      <c r="L933" s="736">
        <f t="shared" si="97"/>
        <v>1</v>
      </c>
      <c r="M933" s="2533">
        <f t="shared" si="100"/>
        <v>1</v>
      </c>
      <c r="U933" s="1260">
        <f t="shared" si="95"/>
        <v>1019</v>
      </c>
      <c r="V933" s="745">
        <v>4</v>
      </c>
      <c r="W933" s="745">
        <v>53</v>
      </c>
      <c r="X933" s="745">
        <v>1</v>
      </c>
      <c r="Y933" s="1202">
        <v>0</v>
      </c>
    </row>
    <row r="934" spans="5:25" ht="15" x14ac:dyDescent="0.2">
      <c r="E934" s="1201"/>
      <c r="F934" s="745"/>
      <c r="G934" s="745"/>
      <c r="H934" s="1256">
        <f t="shared" si="98"/>
        <v>0</v>
      </c>
      <c r="I934" s="736">
        <v>707</v>
      </c>
      <c r="J934" s="736">
        <f t="shared" si="96"/>
        <v>3</v>
      </c>
      <c r="K934" s="2532">
        <f t="shared" si="99"/>
        <v>35</v>
      </c>
      <c r="L934" s="736">
        <f t="shared" si="97"/>
        <v>1</v>
      </c>
      <c r="M934" s="2533">
        <f t="shared" si="100"/>
        <v>2</v>
      </c>
      <c r="U934" s="1260">
        <f t="shared" si="95"/>
        <v>28</v>
      </c>
      <c r="V934" s="745">
        <v>1</v>
      </c>
      <c r="W934" s="745">
        <v>0</v>
      </c>
      <c r="X934" s="745">
        <v>1</v>
      </c>
      <c r="Y934" s="1202">
        <v>0</v>
      </c>
    </row>
    <row r="935" spans="5:25" ht="15" x14ac:dyDescent="0.2">
      <c r="E935" s="1201"/>
      <c r="F935" s="745"/>
      <c r="G935" s="745"/>
      <c r="H935" s="1256">
        <f t="shared" si="98"/>
        <v>0</v>
      </c>
      <c r="I935" s="736">
        <v>708</v>
      </c>
      <c r="J935" s="736">
        <f t="shared" si="96"/>
        <v>5</v>
      </c>
      <c r="K935" s="2532">
        <f t="shared" si="99"/>
        <v>34</v>
      </c>
      <c r="L935" s="736">
        <f t="shared" si="97"/>
        <v>1</v>
      </c>
      <c r="M935" s="2533">
        <f t="shared" si="100"/>
        <v>1</v>
      </c>
      <c r="U935" s="1260">
        <f t="shared" si="95"/>
        <v>40</v>
      </c>
      <c r="V935" s="745">
        <v>2</v>
      </c>
      <c r="W935" s="745">
        <v>0</v>
      </c>
      <c r="X935" s="745">
        <v>1</v>
      </c>
      <c r="Y935" s="1202">
        <v>0</v>
      </c>
    </row>
    <row r="936" spans="5:25" ht="15" x14ac:dyDescent="0.2">
      <c r="E936" s="1201"/>
      <c r="F936" s="745"/>
      <c r="G936" s="745"/>
      <c r="H936" s="1256">
        <f t="shared" si="98"/>
        <v>0</v>
      </c>
      <c r="I936" s="736">
        <v>709</v>
      </c>
      <c r="J936" s="736">
        <f t="shared" si="96"/>
        <v>2</v>
      </c>
      <c r="K936" s="2532">
        <f t="shared" si="99"/>
        <v>37</v>
      </c>
      <c r="L936" s="736">
        <f t="shared" si="97"/>
        <v>0</v>
      </c>
      <c r="M936" s="2533">
        <f t="shared" si="100"/>
        <v>1</v>
      </c>
      <c r="U936" s="1260">
        <f t="shared" ref="U936:U999" si="101">ROUNDUP(W936*$W$294+V936*$V$294+X936*$X$294+Y936*$Y$294,0)</f>
        <v>53</v>
      </c>
      <c r="V936" s="745">
        <v>3</v>
      </c>
      <c r="W936" s="745">
        <v>0</v>
      </c>
      <c r="X936" s="745">
        <v>1</v>
      </c>
      <c r="Y936" s="1202">
        <v>0</v>
      </c>
    </row>
    <row r="937" spans="5:25" ht="15" x14ac:dyDescent="0.2">
      <c r="E937" s="1201"/>
      <c r="F937" s="745"/>
      <c r="G937" s="745"/>
      <c r="H937" s="1256">
        <f t="shared" si="98"/>
        <v>0</v>
      </c>
      <c r="I937" s="736">
        <v>710</v>
      </c>
      <c r="J937" s="736">
        <f t="shared" si="96"/>
        <v>3</v>
      </c>
      <c r="K937" s="2532">
        <f t="shared" si="99"/>
        <v>36</v>
      </c>
      <c r="L937" s="736">
        <f t="shared" si="97"/>
        <v>0</v>
      </c>
      <c r="M937" s="2533">
        <f t="shared" si="100"/>
        <v>2</v>
      </c>
      <c r="U937" s="1260">
        <f t="shared" si="101"/>
        <v>65</v>
      </c>
      <c r="V937" s="745">
        <v>4</v>
      </c>
      <c r="W937" s="745">
        <v>0</v>
      </c>
      <c r="X937" s="745">
        <v>1</v>
      </c>
      <c r="Y937" s="1202">
        <v>0</v>
      </c>
    </row>
    <row r="938" spans="5:25" ht="15" x14ac:dyDescent="0.2">
      <c r="E938" s="1201"/>
      <c r="F938" s="745"/>
      <c r="G938" s="745"/>
      <c r="H938" s="1256">
        <f t="shared" si="98"/>
        <v>0</v>
      </c>
      <c r="I938" s="736">
        <v>711</v>
      </c>
      <c r="J938" s="736">
        <f t="shared" si="96"/>
        <v>5</v>
      </c>
      <c r="K938" s="2532">
        <f t="shared" si="99"/>
        <v>35</v>
      </c>
      <c r="L938" s="736">
        <f t="shared" si="97"/>
        <v>0</v>
      </c>
      <c r="M938" s="2533">
        <f t="shared" si="100"/>
        <v>1</v>
      </c>
      <c r="U938" s="1260">
        <f t="shared" si="101"/>
        <v>78</v>
      </c>
      <c r="V938" s="745">
        <v>5</v>
      </c>
      <c r="W938" s="745">
        <v>0</v>
      </c>
      <c r="X938" s="745">
        <v>1</v>
      </c>
      <c r="Y938" s="1202">
        <v>0</v>
      </c>
    </row>
    <row r="939" spans="5:25" ht="15" x14ac:dyDescent="0.2">
      <c r="E939" s="1201"/>
      <c r="F939" s="745"/>
      <c r="G939" s="745"/>
      <c r="H939" s="1256">
        <f t="shared" si="98"/>
        <v>0</v>
      </c>
      <c r="I939" s="736">
        <v>712</v>
      </c>
      <c r="J939" s="736">
        <f t="shared" si="96"/>
        <v>1</v>
      </c>
      <c r="K939" s="2532">
        <f t="shared" si="99"/>
        <v>37</v>
      </c>
      <c r="L939" s="736">
        <f t="shared" si="97"/>
        <v>1</v>
      </c>
      <c r="M939" s="2533">
        <f t="shared" si="100"/>
        <v>1</v>
      </c>
      <c r="U939" s="1260">
        <f t="shared" si="101"/>
        <v>90</v>
      </c>
      <c r="V939" s="745">
        <v>6</v>
      </c>
      <c r="W939" s="745">
        <v>0</v>
      </c>
      <c r="X939" s="745">
        <v>1</v>
      </c>
      <c r="Y939" s="1202">
        <v>0</v>
      </c>
    </row>
    <row r="940" spans="5:25" ht="15" x14ac:dyDescent="0.2">
      <c r="E940" s="1201"/>
      <c r="F940" s="745"/>
      <c r="G940" s="745"/>
      <c r="H940" s="1256">
        <f t="shared" si="98"/>
        <v>0</v>
      </c>
      <c r="I940" s="736">
        <v>713</v>
      </c>
      <c r="J940" s="736">
        <f t="shared" si="96"/>
        <v>4</v>
      </c>
      <c r="K940" s="2532">
        <f t="shared" si="99"/>
        <v>35</v>
      </c>
      <c r="L940" s="736">
        <f t="shared" si="97"/>
        <v>1</v>
      </c>
      <c r="M940" s="2533">
        <f t="shared" si="100"/>
        <v>1</v>
      </c>
      <c r="U940" s="1260">
        <f t="shared" si="101"/>
        <v>103</v>
      </c>
      <c r="V940" s="745">
        <v>7</v>
      </c>
      <c r="W940" s="745">
        <v>0</v>
      </c>
      <c r="X940" s="745">
        <v>1</v>
      </c>
      <c r="Y940" s="1202">
        <v>0</v>
      </c>
    </row>
    <row r="941" spans="5:25" ht="15" x14ac:dyDescent="0.2">
      <c r="E941" s="1201"/>
      <c r="F941" s="745"/>
      <c r="G941" s="745"/>
      <c r="H941" s="1256">
        <f t="shared" si="98"/>
        <v>0</v>
      </c>
      <c r="I941" s="736">
        <v>714</v>
      </c>
      <c r="J941" s="736">
        <f t="shared" si="96"/>
        <v>5</v>
      </c>
      <c r="K941" s="2532">
        <f t="shared" si="99"/>
        <v>34</v>
      </c>
      <c r="L941" s="736">
        <f t="shared" si="97"/>
        <v>1</v>
      </c>
      <c r="M941" s="2533">
        <f t="shared" si="100"/>
        <v>2</v>
      </c>
      <c r="U941" s="1260">
        <f t="shared" si="101"/>
        <v>115</v>
      </c>
      <c r="V941" s="745">
        <v>8</v>
      </c>
      <c r="W941" s="745">
        <v>0</v>
      </c>
      <c r="X941" s="745">
        <v>1</v>
      </c>
      <c r="Y941" s="1202">
        <v>0</v>
      </c>
    </row>
    <row r="942" spans="5:25" ht="15" x14ac:dyDescent="0.2">
      <c r="E942" s="1201"/>
      <c r="F942" s="745"/>
      <c r="G942" s="745"/>
      <c r="H942" s="1256">
        <f t="shared" si="98"/>
        <v>0</v>
      </c>
      <c r="I942" s="736">
        <v>715</v>
      </c>
      <c r="J942" s="736">
        <f t="shared" ref="J942:J1005" si="102">VLOOKUP($I942,$U$295:$Y$1758,2,FALSE)</f>
        <v>1</v>
      </c>
      <c r="K942" s="2532">
        <f t="shared" si="99"/>
        <v>38</v>
      </c>
      <c r="L942" s="736">
        <f t="shared" ref="L942:L1005" si="103">VLOOKUP($I942,$U$295:$Y$1758,4,FALSE)</f>
        <v>0</v>
      </c>
      <c r="M942" s="2533">
        <f t="shared" si="100"/>
        <v>1</v>
      </c>
      <c r="U942" s="1260">
        <f t="shared" si="101"/>
        <v>128</v>
      </c>
      <c r="V942" s="745">
        <v>9</v>
      </c>
      <c r="W942" s="745">
        <v>0</v>
      </c>
      <c r="X942" s="745">
        <v>1</v>
      </c>
      <c r="Y942" s="1202">
        <v>0</v>
      </c>
    </row>
    <row r="943" spans="5:25" ht="15" x14ac:dyDescent="0.2">
      <c r="E943" s="1201"/>
      <c r="F943" s="745"/>
      <c r="G943" s="745"/>
      <c r="H943" s="1256">
        <f t="shared" ref="H943:H1006" si="104">IF($H$298=I943,1,0)</f>
        <v>0</v>
      </c>
      <c r="I943" s="736">
        <v>716</v>
      </c>
      <c r="J943" s="736">
        <f t="shared" si="102"/>
        <v>4</v>
      </c>
      <c r="K943" s="2532">
        <f t="shared" ref="K943:K1006" si="105">IF(VLOOKUP($I943,$U$295:$Y$1758,3,FALSE)&gt;0,VLOOKUP($I943,$U$295:$Y$1758,3,FALSE)-1,VLOOKUP($I943,$U$295:$Y$1758,3,FALSE))</f>
        <v>36</v>
      </c>
      <c r="L943" s="736">
        <f t="shared" si="103"/>
        <v>0</v>
      </c>
      <c r="M943" s="2533">
        <f t="shared" ref="M943:M1006" si="106">VLOOKUP($I943,$U$295:$Y$1758,5,FALSE)+1</f>
        <v>1</v>
      </c>
      <c r="U943" s="1260">
        <f t="shared" si="101"/>
        <v>140</v>
      </c>
      <c r="V943" s="745">
        <v>10</v>
      </c>
      <c r="W943" s="745">
        <v>0</v>
      </c>
      <c r="X943" s="745">
        <v>1</v>
      </c>
      <c r="Y943" s="1202">
        <v>0</v>
      </c>
    </row>
    <row r="944" spans="5:25" ht="15" x14ac:dyDescent="0.2">
      <c r="E944" s="1201"/>
      <c r="F944" s="745"/>
      <c r="G944" s="745"/>
      <c r="H944" s="1256">
        <f t="shared" si="104"/>
        <v>0</v>
      </c>
      <c r="I944" s="736">
        <v>717</v>
      </c>
      <c r="J944" s="736">
        <f t="shared" si="102"/>
        <v>0</v>
      </c>
      <c r="K944" s="2532">
        <f t="shared" si="105"/>
        <v>38</v>
      </c>
      <c r="L944" s="736">
        <f t="shared" si="103"/>
        <v>1</v>
      </c>
      <c r="M944" s="2533">
        <f t="shared" si="106"/>
        <v>1</v>
      </c>
      <c r="U944" s="1260">
        <f t="shared" si="101"/>
        <v>153</v>
      </c>
      <c r="V944" s="745">
        <v>11</v>
      </c>
      <c r="W944" s="745">
        <v>0</v>
      </c>
      <c r="X944" s="745">
        <v>1</v>
      </c>
      <c r="Y944" s="1202">
        <v>0</v>
      </c>
    </row>
    <row r="945" spans="5:25" ht="15" x14ac:dyDescent="0.2">
      <c r="E945" s="1201"/>
      <c r="F945" s="745"/>
      <c r="G945" s="745"/>
      <c r="H945" s="1256">
        <f t="shared" si="104"/>
        <v>0</v>
      </c>
      <c r="I945" s="736">
        <v>718</v>
      </c>
      <c r="J945" s="736">
        <f t="shared" si="102"/>
        <v>1</v>
      </c>
      <c r="K945" s="2532">
        <f t="shared" si="105"/>
        <v>37</v>
      </c>
      <c r="L945" s="736">
        <f t="shared" si="103"/>
        <v>1</v>
      </c>
      <c r="M945" s="2533">
        <f t="shared" si="106"/>
        <v>2</v>
      </c>
      <c r="U945" s="1260">
        <f t="shared" si="101"/>
        <v>165</v>
      </c>
      <c r="V945" s="745">
        <v>12</v>
      </c>
      <c r="W945" s="745">
        <v>0</v>
      </c>
      <c r="X945" s="745">
        <v>1</v>
      </c>
      <c r="Y945" s="1202">
        <v>0</v>
      </c>
    </row>
    <row r="946" spans="5:25" ht="15" x14ac:dyDescent="0.2">
      <c r="E946" s="1201"/>
      <c r="F946" s="745"/>
      <c r="G946" s="745"/>
      <c r="H946" s="1256">
        <f t="shared" si="104"/>
        <v>0</v>
      </c>
      <c r="I946" s="736">
        <v>719</v>
      </c>
      <c r="J946" s="736">
        <f t="shared" si="102"/>
        <v>3</v>
      </c>
      <c r="K946" s="2532">
        <f t="shared" si="105"/>
        <v>36</v>
      </c>
      <c r="L946" s="736">
        <f t="shared" si="103"/>
        <v>1</v>
      </c>
      <c r="M946" s="2533">
        <f t="shared" si="106"/>
        <v>1</v>
      </c>
      <c r="U946" s="1260">
        <f t="shared" si="101"/>
        <v>178</v>
      </c>
      <c r="V946" s="745">
        <v>13</v>
      </c>
      <c r="W946" s="745">
        <v>0</v>
      </c>
      <c r="X946" s="745">
        <v>1</v>
      </c>
      <c r="Y946" s="1202">
        <v>0</v>
      </c>
    </row>
    <row r="947" spans="5:25" ht="15" x14ac:dyDescent="0.2">
      <c r="E947" s="1201"/>
      <c r="F947" s="745"/>
      <c r="G947" s="745"/>
      <c r="H947" s="1256">
        <f t="shared" si="104"/>
        <v>0</v>
      </c>
      <c r="I947" s="736">
        <v>720</v>
      </c>
      <c r="J947" s="736">
        <f t="shared" si="102"/>
        <v>0</v>
      </c>
      <c r="K947" s="2532">
        <f t="shared" si="105"/>
        <v>39</v>
      </c>
      <c r="L947" s="736">
        <f t="shared" si="103"/>
        <v>0</v>
      </c>
      <c r="M947" s="2533">
        <f t="shared" si="106"/>
        <v>1</v>
      </c>
      <c r="U947" s="1260">
        <f t="shared" si="101"/>
        <v>190</v>
      </c>
      <c r="V947" s="745">
        <v>14</v>
      </c>
      <c r="W947" s="745">
        <v>0</v>
      </c>
      <c r="X947" s="745">
        <v>1</v>
      </c>
      <c r="Y947" s="1202">
        <v>0</v>
      </c>
    </row>
    <row r="948" spans="5:25" ht="15" x14ac:dyDescent="0.2">
      <c r="E948" s="1201"/>
      <c r="F948" s="745"/>
      <c r="G948" s="745"/>
      <c r="H948" s="1256">
        <f t="shared" si="104"/>
        <v>0</v>
      </c>
      <c r="I948" s="736">
        <v>721</v>
      </c>
      <c r="J948" s="736">
        <f t="shared" si="102"/>
        <v>1</v>
      </c>
      <c r="K948" s="2532">
        <f t="shared" si="105"/>
        <v>38</v>
      </c>
      <c r="L948" s="736">
        <f t="shared" si="103"/>
        <v>0</v>
      </c>
      <c r="M948" s="2533">
        <f t="shared" si="106"/>
        <v>2</v>
      </c>
      <c r="U948" s="1260">
        <f t="shared" si="101"/>
        <v>203</v>
      </c>
      <c r="V948" s="745">
        <v>15</v>
      </c>
      <c r="W948" s="745">
        <v>0</v>
      </c>
      <c r="X948" s="745">
        <v>1</v>
      </c>
      <c r="Y948" s="1202">
        <v>0</v>
      </c>
    </row>
    <row r="949" spans="5:25" ht="15" x14ac:dyDescent="0.2">
      <c r="E949" s="1201"/>
      <c r="F949" s="745"/>
      <c r="G949" s="745"/>
      <c r="H949" s="1256">
        <f t="shared" si="104"/>
        <v>0</v>
      </c>
      <c r="I949" s="736">
        <v>722</v>
      </c>
      <c r="J949" s="736">
        <f t="shared" si="102"/>
        <v>3</v>
      </c>
      <c r="K949" s="2532">
        <f t="shared" si="105"/>
        <v>37</v>
      </c>
      <c r="L949" s="736">
        <f t="shared" si="103"/>
        <v>0</v>
      </c>
      <c r="M949" s="2533">
        <f t="shared" si="106"/>
        <v>1</v>
      </c>
      <c r="U949" s="1260">
        <f t="shared" si="101"/>
        <v>215</v>
      </c>
      <c r="V949" s="745">
        <v>16</v>
      </c>
      <c r="W949" s="745">
        <v>0</v>
      </c>
      <c r="X949" s="745">
        <v>1</v>
      </c>
      <c r="Y949" s="1202">
        <v>0</v>
      </c>
    </row>
    <row r="950" spans="5:25" ht="15" x14ac:dyDescent="0.2">
      <c r="E950" s="1201"/>
      <c r="F950" s="745"/>
      <c r="G950" s="745"/>
      <c r="H950" s="1256">
        <f t="shared" si="104"/>
        <v>0</v>
      </c>
      <c r="I950" s="736">
        <v>723</v>
      </c>
      <c r="J950" s="736">
        <f t="shared" si="102"/>
        <v>0</v>
      </c>
      <c r="K950" s="2532">
        <f t="shared" si="105"/>
        <v>38</v>
      </c>
      <c r="L950" s="736">
        <f t="shared" si="103"/>
        <v>1</v>
      </c>
      <c r="M950" s="2533">
        <f t="shared" si="106"/>
        <v>2</v>
      </c>
      <c r="U950" s="1260">
        <f t="shared" si="101"/>
        <v>228</v>
      </c>
      <c r="V950" s="745">
        <v>17</v>
      </c>
      <c r="W950" s="745">
        <v>0</v>
      </c>
      <c r="X950" s="745">
        <v>1</v>
      </c>
      <c r="Y950" s="1202">
        <v>0</v>
      </c>
    </row>
    <row r="951" spans="5:25" ht="15" x14ac:dyDescent="0.2">
      <c r="E951" s="1201"/>
      <c r="F951" s="745"/>
      <c r="G951" s="745"/>
      <c r="H951" s="1256">
        <f t="shared" si="104"/>
        <v>0</v>
      </c>
      <c r="I951" s="736">
        <v>724</v>
      </c>
      <c r="J951" s="736">
        <f t="shared" si="102"/>
        <v>2</v>
      </c>
      <c r="K951" s="2532">
        <f t="shared" si="105"/>
        <v>37</v>
      </c>
      <c r="L951" s="736">
        <f t="shared" si="103"/>
        <v>1</v>
      </c>
      <c r="M951" s="2533">
        <f t="shared" si="106"/>
        <v>1</v>
      </c>
      <c r="U951" s="1260">
        <f t="shared" si="101"/>
        <v>240</v>
      </c>
      <c r="V951" s="745">
        <v>18</v>
      </c>
      <c r="W951" s="745">
        <v>0</v>
      </c>
      <c r="X951" s="745">
        <v>1</v>
      </c>
      <c r="Y951" s="1202">
        <v>0</v>
      </c>
    </row>
    <row r="952" spans="5:25" ht="15" x14ac:dyDescent="0.2">
      <c r="E952" s="1201"/>
      <c r="F952" s="745"/>
      <c r="G952" s="745"/>
      <c r="H952" s="1256">
        <f t="shared" si="104"/>
        <v>0</v>
      </c>
      <c r="I952" s="736">
        <v>725</v>
      </c>
      <c r="J952" s="736">
        <f t="shared" si="102"/>
        <v>3</v>
      </c>
      <c r="K952" s="2532">
        <f t="shared" si="105"/>
        <v>36</v>
      </c>
      <c r="L952" s="736">
        <f t="shared" si="103"/>
        <v>1</v>
      </c>
      <c r="M952" s="2533">
        <f t="shared" si="106"/>
        <v>2</v>
      </c>
      <c r="U952" s="1260">
        <f t="shared" si="101"/>
        <v>253</v>
      </c>
      <c r="V952" s="745">
        <v>19</v>
      </c>
      <c r="W952" s="745">
        <v>0</v>
      </c>
      <c r="X952" s="745">
        <v>1</v>
      </c>
      <c r="Y952" s="1202">
        <v>0</v>
      </c>
    </row>
    <row r="953" spans="5:25" ht="15" x14ac:dyDescent="0.2">
      <c r="E953" s="1201"/>
      <c r="F953" s="745"/>
      <c r="G953" s="745"/>
      <c r="H953" s="1256">
        <f t="shared" si="104"/>
        <v>0</v>
      </c>
      <c r="I953" s="736">
        <v>726</v>
      </c>
      <c r="J953" s="736">
        <f t="shared" si="102"/>
        <v>5</v>
      </c>
      <c r="K953" s="2532">
        <f t="shared" si="105"/>
        <v>35</v>
      </c>
      <c r="L953" s="736">
        <f t="shared" si="103"/>
        <v>1</v>
      </c>
      <c r="M953" s="2533">
        <f t="shared" si="106"/>
        <v>1</v>
      </c>
      <c r="U953" s="1260">
        <f t="shared" si="101"/>
        <v>265</v>
      </c>
      <c r="V953" s="745">
        <v>20</v>
      </c>
      <c r="W953" s="745">
        <v>0</v>
      </c>
      <c r="X953" s="745">
        <v>1</v>
      </c>
      <c r="Y953" s="1202">
        <v>0</v>
      </c>
    </row>
    <row r="954" spans="5:25" ht="15" x14ac:dyDescent="0.2">
      <c r="E954" s="1201"/>
      <c r="F954" s="745"/>
      <c r="G954" s="745"/>
      <c r="H954" s="1256">
        <f t="shared" si="104"/>
        <v>0</v>
      </c>
      <c r="I954" s="736">
        <v>727</v>
      </c>
      <c r="J954" s="736">
        <f t="shared" si="102"/>
        <v>2</v>
      </c>
      <c r="K954" s="2532">
        <f t="shared" si="105"/>
        <v>38</v>
      </c>
      <c r="L954" s="736">
        <f t="shared" si="103"/>
        <v>0</v>
      </c>
      <c r="M954" s="2533">
        <f t="shared" si="106"/>
        <v>1</v>
      </c>
      <c r="U954" s="1260">
        <f t="shared" si="101"/>
        <v>278</v>
      </c>
      <c r="V954" s="745">
        <v>21</v>
      </c>
      <c r="W954" s="745">
        <v>0</v>
      </c>
      <c r="X954" s="745">
        <v>1</v>
      </c>
      <c r="Y954" s="1202">
        <v>0</v>
      </c>
    </row>
    <row r="955" spans="5:25" ht="15" x14ac:dyDescent="0.2">
      <c r="E955" s="1201"/>
      <c r="F955" s="745"/>
      <c r="G955" s="745"/>
      <c r="H955" s="1256">
        <f t="shared" si="104"/>
        <v>0</v>
      </c>
      <c r="I955" s="736">
        <v>728</v>
      </c>
      <c r="J955" s="736">
        <f t="shared" si="102"/>
        <v>3</v>
      </c>
      <c r="K955" s="2532">
        <f t="shared" si="105"/>
        <v>37</v>
      </c>
      <c r="L955" s="736">
        <f t="shared" si="103"/>
        <v>0</v>
      </c>
      <c r="M955" s="2533">
        <f t="shared" si="106"/>
        <v>2</v>
      </c>
      <c r="U955" s="1260">
        <f t="shared" si="101"/>
        <v>290</v>
      </c>
      <c r="V955" s="745">
        <v>22</v>
      </c>
      <c r="W955" s="745">
        <v>0</v>
      </c>
      <c r="X955" s="745">
        <v>1</v>
      </c>
      <c r="Y955" s="1202">
        <v>0</v>
      </c>
    </row>
    <row r="956" spans="5:25" ht="15" x14ac:dyDescent="0.2">
      <c r="E956" s="1201"/>
      <c r="F956" s="745"/>
      <c r="G956" s="745"/>
      <c r="H956" s="1256">
        <f t="shared" si="104"/>
        <v>0</v>
      </c>
      <c r="I956" s="736">
        <v>729</v>
      </c>
      <c r="J956" s="736">
        <f t="shared" si="102"/>
        <v>5</v>
      </c>
      <c r="K956" s="2532">
        <f t="shared" si="105"/>
        <v>36</v>
      </c>
      <c r="L956" s="736">
        <f t="shared" si="103"/>
        <v>0</v>
      </c>
      <c r="M956" s="2533">
        <f t="shared" si="106"/>
        <v>1</v>
      </c>
      <c r="U956" s="1260">
        <f t="shared" si="101"/>
        <v>303</v>
      </c>
      <c r="V956" s="745">
        <v>23</v>
      </c>
      <c r="W956" s="745">
        <v>0</v>
      </c>
      <c r="X956" s="745">
        <v>1</v>
      </c>
      <c r="Y956" s="1202">
        <v>0</v>
      </c>
    </row>
    <row r="957" spans="5:25" ht="15" x14ac:dyDescent="0.2">
      <c r="E957" s="1201"/>
      <c r="F957" s="745"/>
      <c r="G957" s="745"/>
      <c r="H957" s="1256">
        <f t="shared" si="104"/>
        <v>0</v>
      </c>
      <c r="I957" s="736">
        <v>730</v>
      </c>
      <c r="J957" s="736">
        <f t="shared" si="102"/>
        <v>1</v>
      </c>
      <c r="K957" s="2532">
        <f t="shared" si="105"/>
        <v>38</v>
      </c>
      <c r="L957" s="736">
        <f t="shared" si="103"/>
        <v>1</v>
      </c>
      <c r="M957" s="2533">
        <f t="shared" si="106"/>
        <v>1</v>
      </c>
      <c r="U957" s="1260">
        <f t="shared" si="101"/>
        <v>315</v>
      </c>
      <c r="V957" s="745">
        <v>24</v>
      </c>
      <c r="W957" s="745">
        <v>0</v>
      </c>
      <c r="X957" s="745">
        <v>1</v>
      </c>
      <c r="Y957" s="1202">
        <v>0</v>
      </c>
    </row>
    <row r="958" spans="5:25" ht="15" x14ac:dyDescent="0.2">
      <c r="E958" s="1201"/>
      <c r="F958" s="745"/>
      <c r="G958" s="745"/>
      <c r="H958" s="1256">
        <f t="shared" si="104"/>
        <v>0</v>
      </c>
      <c r="I958" s="736">
        <v>731</v>
      </c>
      <c r="J958" s="736">
        <f t="shared" si="102"/>
        <v>4</v>
      </c>
      <c r="K958" s="2532">
        <f t="shared" si="105"/>
        <v>36</v>
      </c>
      <c r="L958" s="736">
        <f t="shared" si="103"/>
        <v>1</v>
      </c>
      <c r="M958" s="2533">
        <f t="shared" si="106"/>
        <v>1</v>
      </c>
      <c r="U958" s="1260">
        <f t="shared" si="101"/>
        <v>328</v>
      </c>
      <c r="V958" s="745">
        <v>25</v>
      </c>
      <c r="W958" s="745">
        <v>0</v>
      </c>
      <c r="X958" s="745">
        <v>1</v>
      </c>
      <c r="Y958" s="1202">
        <v>0</v>
      </c>
    </row>
    <row r="959" spans="5:25" ht="15" x14ac:dyDescent="0.2">
      <c r="E959" s="1201"/>
      <c r="F959" s="745"/>
      <c r="G959" s="745"/>
      <c r="H959" s="1256">
        <f t="shared" si="104"/>
        <v>0</v>
      </c>
      <c r="I959" s="736">
        <v>732</v>
      </c>
      <c r="J959" s="736">
        <f t="shared" si="102"/>
        <v>5</v>
      </c>
      <c r="K959" s="2532">
        <f t="shared" si="105"/>
        <v>35</v>
      </c>
      <c r="L959" s="736">
        <f t="shared" si="103"/>
        <v>1</v>
      </c>
      <c r="M959" s="2533">
        <f t="shared" si="106"/>
        <v>2</v>
      </c>
      <c r="U959" s="1260">
        <f t="shared" si="101"/>
        <v>340</v>
      </c>
      <c r="V959" s="745">
        <v>26</v>
      </c>
      <c r="W959" s="745">
        <v>0</v>
      </c>
      <c r="X959" s="745">
        <v>1</v>
      </c>
      <c r="Y959" s="1202">
        <v>0</v>
      </c>
    </row>
    <row r="960" spans="5:25" ht="15" x14ac:dyDescent="0.2">
      <c r="E960" s="1201"/>
      <c r="F960" s="745"/>
      <c r="G960" s="745"/>
      <c r="H960" s="1256">
        <f t="shared" si="104"/>
        <v>0</v>
      </c>
      <c r="I960" s="736">
        <v>733</v>
      </c>
      <c r="J960" s="736">
        <f t="shared" si="102"/>
        <v>1</v>
      </c>
      <c r="K960" s="2532">
        <f t="shared" si="105"/>
        <v>39</v>
      </c>
      <c r="L960" s="736">
        <f t="shared" si="103"/>
        <v>0</v>
      </c>
      <c r="M960" s="2533">
        <f t="shared" si="106"/>
        <v>1</v>
      </c>
      <c r="U960" s="1260">
        <f t="shared" si="101"/>
        <v>353</v>
      </c>
      <c r="V960" s="745">
        <v>27</v>
      </c>
      <c r="W960" s="745">
        <v>0</v>
      </c>
      <c r="X960" s="745">
        <v>1</v>
      </c>
      <c r="Y960" s="1202">
        <v>0</v>
      </c>
    </row>
    <row r="961" spans="5:25" ht="15" x14ac:dyDescent="0.2">
      <c r="E961" s="1201"/>
      <c r="F961" s="745"/>
      <c r="G961" s="745"/>
      <c r="H961" s="1256">
        <f t="shared" si="104"/>
        <v>0</v>
      </c>
      <c r="I961" s="736">
        <v>734</v>
      </c>
      <c r="J961" s="736">
        <f t="shared" si="102"/>
        <v>4</v>
      </c>
      <c r="K961" s="2532">
        <f t="shared" si="105"/>
        <v>37</v>
      </c>
      <c r="L961" s="736">
        <f t="shared" si="103"/>
        <v>0</v>
      </c>
      <c r="M961" s="2533">
        <f t="shared" si="106"/>
        <v>1</v>
      </c>
      <c r="U961" s="1260">
        <f t="shared" si="101"/>
        <v>365</v>
      </c>
      <c r="V961" s="745">
        <v>28</v>
      </c>
      <c r="W961" s="745">
        <v>0</v>
      </c>
      <c r="X961" s="745">
        <v>1</v>
      </c>
      <c r="Y961" s="1202">
        <v>0</v>
      </c>
    </row>
    <row r="962" spans="5:25" ht="15" x14ac:dyDescent="0.2">
      <c r="E962" s="1201"/>
      <c r="F962" s="745"/>
      <c r="G962" s="745"/>
      <c r="H962" s="1256">
        <f t="shared" si="104"/>
        <v>0</v>
      </c>
      <c r="I962" s="736">
        <v>735</v>
      </c>
      <c r="J962" s="736">
        <f t="shared" si="102"/>
        <v>0</v>
      </c>
      <c r="K962" s="2532">
        <f t="shared" si="105"/>
        <v>39</v>
      </c>
      <c r="L962" s="736">
        <f t="shared" si="103"/>
        <v>1</v>
      </c>
      <c r="M962" s="2533">
        <f t="shared" si="106"/>
        <v>1</v>
      </c>
      <c r="U962" s="1260">
        <f t="shared" si="101"/>
        <v>378</v>
      </c>
      <c r="V962" s="745">
        <v>29</v>
      </c>
      <c r="W962" s="745">
        <v>0</v>
      </c>
      <c r="X962" s="745">
        <v>1</v>
      </c>
      <c r="Y962" s="1202">
        <v>0</v>
      </c>
    </row>
    <row r="963" spans="5:25" ht="15" x14ac:dyDescent="0.2">
      <c r="E963" s="1201"/>
      <c r="F963" s="745"/>
      <c r="G963" s="745"/>
      <c r="H963" s="1256">
        <f t="shared" si="104"/>
        <v>0</v>
      </c>
      <c r="I963" s="736">
        <v>736</v>
      </c>
      <c r="J963" s="736">
        <f t="shared" si="102"/>
        <v>1</v>
      </c>
      <c r="K963" s="2532">
        <f t="shared" si="105"/>
        <v>38</v>
      </c>
      <c r="L963" s="736">
        <f t="shared" si="103"/>
        <v>1</v>
      </c>
      <c r="M963" s="2533">
        <f t="shared" si="106"/>
        <v>2</v>
      </c>
      <c r="U963" s="1260">
        <f t="shared" si="101"/>
        <v>390</v>
      </c>
      <c r="V963" s="745">
        <v>30</v>
      </c>
      <c r="W963" s="745">
        <v>0</v>
      </c>
      <c r="X963" s="745">
        <v>1</v>
      </c>
      <c r="Y963" s="1202">
        <v>0</v>
      </c>
    </row>
    <row r="964" spans="5:25" ht="15" x14ac:dyDescent="0.2">
      <c r="E964" s="1201"/>
      <c r="F964" s="745"/>
      <c r="G964" s="745"/>
      <c r="H964" s="1256">
        <f t="shared" si="104"/>
        <v>0</v>
      </c>
      <c r="I964" s="736">
        <v>737</v>
      </c>
      <c r="J964" s="736">
        <f t="shared" si="102"/>
        <v>3</v>
      </c>
      <c r="K964" s="2532">
        <f t="shared" si="105"/>
        <v>37</v>
      </c>
      <c r="L964" s="736">
        <f t="shared" si="103"/>
        <v>1</v>
      </c>
      <c r="M964" s="2533">
        <f t="shared" si="106"/>
        <v>1</v>
      </c>
      <c r="U964" s="1260">
        <f t="shared" si="101"/>
        <v>403</v>
      </c>
      <c r="V964" s="745">
        <v>31</v>
      </c>
      <c r="W964" s="745">
        <v>0</v>
      </c>
      <c r="X964" s="745">
        <v>1</v>
      </c>
      <c r="Y964" s="1202">
        <v>0</v>
      </c>
    </row>
    <row r="965" spans="5:25" ht="15" x14ac:dyDescent="0.2">
      <c r="E965" s="1201"/>
      <c r="F965" s="745"/>
      <c r="G965" s="745"/>
      <c r="H965" s="1256">
        <f t="shared" si="104"/>
        <v>0</v>
      </c>
      <c r="I965" s="736">
        <v>738</v>
      </c>
      <c r="J965" s="736">
        <f t="shared" si="102"/>
        <v>0</v>
      </c>
      <c r="K965" s="2532">
        <f t="shared" si="105"/>
        <v>40</v>
      </c>
      <c r="L965" s="736">
        <f t="shared" si="103"/>
        <v>0</v>
      </c>
      <c r="M965" s="2533">
        <f t="shared" si="106"/>
        <v>1</v>
      </c>
      <c r="U965" s="1260">
        <f t="shared" si="101"/>
        <v>415</v>
      </c>
      <c r="V965" s="745">
        <v>32</v>
      </c>
      <c r="W965" s="745">
        <v>0</v>
      </c>
      <c r="X965" s="745">
        <v>1</v>
      </c>
      <c r="Y965" s="1202">
        <v>0</v>
      </c>
    </row>
    <row r="966" spans="5:25" ht="15" x14ac:dyDescent="0.2">
      <c r="E966" s="1201"/>
      <c r="F966" s="745"/>
      <c r="G966" s="745"/>
      <c r="H966" s="1256">
        <f t="shared" si="104"/>
        <v>0</v>
      </c>
      <c r="I966" s="736">
        <v>739</v>
      </c>
      <c r="J966" s="736">
        <f t="shared" si="102"/>
        <v>1</v>
      </c>
      <c r="K966" s="2532">
        <f t="shared" si="105"/>
        <v>39</v>
      </c>
      <c r="L966" s="736">
        <f t="shared" si="103"/>
        <v>0</v>
      </c>
      <c r="M966" s="2533">
        <f t="shared" si="106"/>
        <v>2</v>
      </c>
      <c r="U966" s="1260">
        <f t="shared" si="101"/>
        <v>428</v>
      </c>
      <c r="V966" s="745">
        <v>33</v>
      </c>
      <c r="W966" s="745">
        <v>0</v>
      </c>
      <c r="X966" s="745">
        <v>1</v>
      </c>
      <c r="Y966" s="1202">
        <v>0</v>
      </c>
    </row>
    <row r="967" spans="5:25" ht="15" x14ac:dyDescent="0.2">
      <c r="E967" s="1201"/>
      <c r="F967" s="745"/>
      <c r="G967" s="745"/>
      <c r="H967" s="1256">
        <f t="shared" si="104"/>
        <v>0</v>
      </c>
      <c r="I967" s="736">
        <v>740</v>
      </c>
      <c r="J967" s="736">
        <f t="shared" si="102"/>
        <v>3</v>
      </c>
      <c r="K967" s="2532">
        <f t="shared" si="105"/>
        <v>38</v>
      </c>
      <c r="L967" s="736">
        <f t="shared" si="103"/>
        <v>0</v>
      </c>
      <c r="M967" s="2533">
        <f t="shared" si="106"/>
        <v>1</v>
      </c>
      <c r="U967" s="1260">
        <f t="shared" si="101"/>
        <v>440</v>
      </c>
      <c r="V967" s="745">
        <v>34</v>
      </c>
      <c r="W967" s="745">
        <v>0</v>
      </c>
      <c r="X967" s="745">
        <v>1</v>
      </c>
      <c r="Y967" s="1202">
        <v>0</v>
      </c>
    </row>
    <row r="968" spans="5:25" ht="15" x14ac:dyDescent="0.2">
      <c r="E968" s="1201"/>
      <c r="F968" s="745"/>
      <c r="G968" s="745"/>
      <c r="H968" s="1256">
        <f t="shared" si="104"/>
        <v>0</v>
      </c>
      <c r="I968" s="736">
        <v>741</v>
      </c>
      <c r="J968" s="736">
        <f t="shared" si="102"/>
        <v>0</v>
      </c>
      <c r="K968" s="2532">
        <f t="shared" si="105"/>
        <v>39</v>
      </c>
      <c r="L968" s="736">
        <f t="shared" si="103"/>
        <v>1</v>
      </c>
      <c r="M968" s="2533">
        <f t="shared" si="106"/>
        <v>2</v>
      </c>
      <c r="U968" s="1260">
        <f t="shared" si="101"/>
        <v>453</v>
      </c>
      <c r="V968" s="745">
        <v>35</v>
      </c>
      <c r="W968" s="745">
        <v>0</v>
      </c>
      <c r="X968" s="745">
        <v>1</v>
      </c>
      <c r="Y968" s="1202">
        <v>0</v>
      </c>
    </row>
    <row r="969" spans="5:25" ht="15" x14ac:dyDescent="0.2">
      <c r="E969" s="1201"/>
      <c r="F969" s="745"/>
      <c r="G969" s="745"/>
      <c r="H969" s="1256">
        <f t="shared" si="104"/>
        <v>0</v>
      </c>
      <c r="I969" s="736">
        <v>742</v>
      </c>
      <c r="J969" s="736">
        <f t="shared" si="102"/>
        <v>2</v>
      </c>
      <c r="K969" s="2532">
        <f t="shared" si="105"/>
        <v>38</v>
      </c>
      <c r="L969" s="736">
        <f t="shared" si="103"/>
        <v>1</v>
      </c>
      <c r="M969" s="2533">
        <f t="shared" si="106"/>
        <v>1</v>
      </c>
      <c r="U969" s="1260">
        <f t="shared" si="101"/>
        <v>465</v>
      </c>
      <c r="V969" s="745">
        <v>36</v>
      </c>
      <c r="W969" s="745">
        <v>0</v>
      </c>
      <c r="X969" s="745">
        <v>1</v>
      </c>
      <c r="Y969" s="1202">
        <v>0</v>
      </c>
    </row>
    <row r="970" spans="5:25" ht="15" x14ac:dyDescent="0.2">
      <c r="E970" s="1201"/>
      <c r="F970" s="745"/>
      <c r="G970" s="745"/>
      <c r="H970" s="1256">
        <f t="shared" si="104"/>
        <v>0</v>
      </c>
      <c r="I970" s="736">
        <v>743</v>
      </c>
      <c r="J970" s="736">
        <f t="shared" si="102"/>
        <v>3</v>
      </c>
      <c r="K970" s="2532">
        <f t="shared" si="105"/>
        <v>37</v>
      </c>
      <c r="L970" s="736">
        <f t="shared" si="103"/>
        <v>1</v>
      </c>
      <c r="M970" s="2533">
        <f t="shared" si="106"/>
        <v>2</v>
      </c>
      <c r="U970" s="1260">
        <f t="shared" si="101"/>
        <v>478</v>
      </c>
      <c r="V970" s="745">
        <v>37</v>
      </c>
      <c r="W970" s="745">
        <v>0</v>
      </c>
      <c r="X970" s="745">
        <v>1</v>
      </c>
      <c r="Y970" s="1202">
        <v>0</v>
      </c>
    </row>
    <row r="971" spans="5:25" ht="15" x14ac:dyDescent="0.2">
      <c r="E971" s="1201"/>
      <c r="F971" s="745"/>
      <c r="G971" s="745"/>
      <c r="H971" s="1256">
        <f t="shared" si="104"/>
        <v>0</v>
      </c>
      <c r="I971" s="736">
        <v>744</v>
      </c>
      <c r="J971" s="736">
        <f t="shared" si="102"/>
        <v>5</v>
      </c>
      <c r="K971" s="2532">
        <f t="shared" si="105"/>
        <v>36</v>
      </c>
      <c r="L971" s="736">
        <f t="shared" si="103"/>
        <v>1</v>
      </c>
      <c r="M971" s="2533">
        <f t="shared" si="106"/>
        <v>1</v>
      </c>
      <c r="U971" s="1260">
        <f t="shared" si="101"/>
        <v>490</v>
      </c>
      <c r="V971" s="745">
        <v>38</v>
      </c>
      <c r="W971" s="745">
        <v>0</v>
      </c>
      <c r="X971" s="745">
        <v>1</v>
      </c>
      <c r="Y971" s="1202">
        <v>0</v>
      </c>
    </row>
    <row r="972" spans="5:25" ht="15" x14ac:dyDescent="0.2">
      <c r="E972" s="1201"/>
      <c r="F972" s="745"/>
      <c r="G972" s="745"/>
      <c r="H972" s="1256">
        <f t="shared" si="104"/>
        <v>0</v>
      </c>
      <c r="I972" s="736">
        <v>745</v>
      </c>
      <c r="J972" s="736">
        <f t="shared" si="102"/>
        <v>2</v>
      </c>
      <c r="K972" s="2532">
        <f t="shared" si="105"/>
        <v>39</v>
      </c>
      <c r="L972" s="736">
        <f t="shared" si="103"/>
        <v>0</v>
      </c>
      <c r="M972" s="2533">
        <f t="shared" si="106"/>
        <v>1</v>
      </c>
      <c r="U972" s="1260">
        <f t="shared" si="101"/>
        <v>503</v>
      </c>
      <c r="V972" s="745">
        <v>39</v>
      </c>
      <c r="W972" s="745">
        <v>0</v>
      </c>
      <c r="X972" s="745">
        <v>1</v>
      </c>
      <c r="Y972" s="1202">
        <v>0</v>
      </c>
    </row>
    <row r="973" spans="5:25" ht="15" x14ac:dyDescent="0.2">
      <c r="E973" s="1201"/>
      <c r="F973" s="745"/>
      <c r="G973" s="745"/>
      <c r="H973" s="1256">
        <f t="shared" si="104"/>
        <v>0</v>
      </c>
      <c r="I973" s="736">
        <v>746</v>
      </c>
      <c r="J973" s="736">
        <f t="shared" si="102"/>
        <v>3</v>
      </c>
      <c r="K973" s="2532">
        <f t="shared" si="105"/>
        <v>38</v>
      </c>
      <c r="L973" s="736">
        <f t="shared" si="103"/>
        <v>0</v>
      </c>
      <c r="M973" s="2533">
        <f t="shared" si="106"/>
        <v>2</v>
      </c>
      <c r="U973" s="1260">
        <f t="shared" si="101"/>
        <v>515</v>
      </c>
      <c r="V973" s="745">
        <v>40</v>
      </c>
      <c r="W973" s="745">
        <v>0</v>
      </c>
      <c r="X973" s="745">
        <v>1</v>
      </c>
      <c r="Y973" s="1202">
        <v>0</v>
      </c>
    </row>
    <row r="974" spans="5:25" ht="15" x14ac:dyDescent="0.2">
      <c r="E974" s="1201"/>
      <c r="F974" s="745"/>
      <c r="G974" s="745"/>
      <c r="H974" s="1256">
        <f t="shared" si="104"/>
        <v>0</v>
      </c>
      <c r="I974" s="736">
        <v>747</v>
      </c>
      <c r="J974" s="736">
        <f t="shared" si="102"/>
        <v>5</v>
      </c>
      <c r="K974" s="2532">
        <f t="shared" si="105"/>
        <v>37</v>
      </c>
      <c r="L974" s="736">
        <f t="shared" si="103"/>
        <v>0</v>
      </c>
      <c r="M974" s="2533">
        <f t="shared" si="106"/>
        <v>1</v>
      </c>
      <c r="U974" s="1260">
        <f t="shared" si="101"/>
        <v>96</v>
      </c>
      <c r="V974" s="745">
        <v>5</v>
      </c>
      <c r="W974" s="745">
        <v>1</v>
      </c>
      <c r="X974" s="745">
        <v>1</v>
      </c>
      <c r="Y974" s="1202">
        <v>0</v>
      </c>
    </row>
    <row r="975" spans="5:25" ht="15" x14ac:dyDescent="0.2">
      <c r="E975" s="1201"/>
      <c r="F975" s="745"/>
      <c r="G975" s="745"/>
      <c r="H975" s="1256">
        <f t="shared" si="104"/>
        <v>0</v>
      </c>
      <c r="I975" s="736">
        <v>748</v>
      </c>
      <c r="J975" s="736">
        <f t="shared" si="102"/>
        <v>1</v>
      </c>
      <c r="K975" s="2532">
        <f t="shared" si="105"/>
        <v>39</v>
      </c>
      <c r="L975" s="736">
        <f t="shared" si="103"/>
        <v>1</v>
      </c>
      <c r="M975" s="2533">
        <f t="shared" si="106"/>
        <v>1</v>
      </c>
      <c r="U975" s="1260">
        <f t="shared" si="101"/>
        <v>114</v>
      </c>
      <c r="V975" s="745">
        <v>5</v>
      </c>
      <c r="W975" s="745">
        <v>2</v>
      </c>
      <c r="X975" s="745">
        <v>1</v>
      </c>
      <c r="Y975" s="1202">
        <v>0</v>
      </c>
    </row>
    <row r="976" spans="5:25" ht="15" x14ac:dyDescent="0.2">
      <c r="E976" s="1201"/>
      <c r="F976" s="745"/>
      <c r="G976" s="745"/>
      <c r="H976" s="1256">
        <f t="shared" si="104"/>
        <v>0</v>
      </c>
      <c r="I976" s="736">
        <v>749</v>
      </c>
      <c r="J976" s="736">
        <f t="shared" si="102"/>
        <v>4</v>
      </c>
      <c r="K976" s="2532">
        <f t="shared" si="105"/>
        <v>37</v>
      </c>
      <c r="L976" s="736">
        <f t="shared" si="103"/>
        <v>1</v>
      </c>
      <c r="M976" s="2533">
        <f t="shared" si="106"/>
        <v>1</v>
      </c>
      <c r="U976" s="1260">
        <f t="shared" si="101"/>
        <v>132</v>
      </c>
      <c r="V976" s="745">
        <v>5</v>
      </c>
      <c r="W976" s="745">
        <v>3</v>
      </c>
      <c r="X976" s="745">
        <v>1</v>
      </c>
      <c r="Y976" s="1202">
        <v>0</v>
      </c>
    </row>
    <row r="977" spans="5:25" ht="15" x14ac:dyDescent="0.2">
      <c r="E977" s="1201"/>
      <c r="F977" s="745"/>
      <c r="G977" s="745"/>
      <c r="H977" s="1256">
        <f t="shared" si="104"/>
        <v>0</v>
      </c>
      <c r="I977" s="736">
        <v>750</v>
      </c>
      <c r="J977" s="736">
        <f t="shared" si="102"/>
        <v>5</v>
      </c>
      <c r="K977" s="2532">
        <f t="shared" si="105"/>
        <v>36</v>
      </c>
      <c r="L977" s="736">
        <f t="shared" si="103"/>
        <v>1</v>
      </c>
      <c r="M977" s="2533">
        <f t="shared" si="106"/>
        <v>2</v>
      </c>
      <c r="U977" s="1260">
        <f t="shared" si="101"/>
        <v>150</v>
      </c>
      <c r="V977" s="745">
        <v>5</v>
      </c>
      <c r="W977" s="745">
        <v>4</v>
      </c>
      <c r="X977" s="745">
        <v>1</v>
      </c>
      <c r="Y977" s="1202">
        <v>0</v>
      </c>
    </row>
    <row r="978" spans="5:25" ht="15" x14ac:dyDescent="0.2">
      <c r="E978" s="1201"/>
      <c r="F978" s="745"/>
      <c r="G978" s="745"/>
      <c r="H978" s="1256">
        <f t="shared" si="104"/>
        <v>0</v>
      </c>
      <c r="I978" s="736">
        <v>751</v>
      </c>
      <c r="J978" s="736">
        <f t="shared" si="102"/>
        <v>1</v>
      </c>
      <c r="K978" s="2532">
        <f t="shared" si="105"/>
        <v>40</v>
      </c>
      <c r="L978" s="736">
        <f t="shared" si="103"/>
        <v>0</v>
      </c>
      <c r="M978" s="2533">
        <f t="shared" si="106"/>
        <v>1</v>
      </c>
      <c r="U978" s="1260">
        <f t="shared" si="101"/>
        <v>168</v>
      </c>
      <c r="V978" s="745">
        <v>5</v>
      </c>
      <c r="W978" s="745">
        <v>5</v>
      </c>
      <c r="X978" s="745">
        <v>1</v>
      </c>
      <c r="Y978" s="1202">
        <v>0</v>
      </c>
    </row>
    <row r="979" spans="5:25" ht="15" x14ac:dyDescent="0.2">
      <c r="E979" s="1201"/>
      <c r="F979" s="745"/>
      <c r="G979" s="745"/>
      <c r="H979" s="1256">
        <f t="shared" si="104"/>
        <v>0</v>
      </c>
      <c r="I979" s="736">
        <v>752</v>
      </c>
      <c r="J979" s="736">
        <f t="shared" si="102"/>
        <v>4</v>
      </c>
      <c r="K979" s="2532">
        <f t="shared" si="105"/>
        <v>38</v>
      </c>
      <c r="L979" s="736">
        <f t="shared" si="103"/>
        <v>0</v>
      </c>
      <c r="M979" s="2533">
        <f t="shared" si="106"/>
        <v>1</v>
      </c>
      <c r="U979" s="1260">
        <f t="shared" si="101"/>
        <v>186</v>
      </c>
      <c r="V979" s="745">
        <v>5</v>
      </c>
      <c r="W979" s="745">
        <v>6</v>
      </c>
      <c r="X979" s="745">
        <v>1</v>
      </c>
      <c r="Y979" s="1202">
        <v>0</v>
      </c>
    </row>
    <row r="980" spans="5:25" ht="15" x14ac:dyDescent="0.2">
      <c r="E980" s="1201"/>
      <c r="F980" s="745"/>
      <c r="G980" s="745"/>
      <c r="H980" s="1256">
        <f t="shared" si="104"/>
        <v>0</v>
      </c>
      <c r="I980" s="736">
        <v>753</v>
      </c>
      <c r="J980" s="736">
        <f t="shared" si="102"/>
        <v>0</v>
      </c>
      <c r="K980" s="2532">
        <f t="shared" si="105"/>
        <v>40</v>
      </c>
      <c r="L980" s="736">
        <f t="shared" si="103"/>
        <v>1</v>
      </c>
      <c r="M980" s="2533">
        <f t="shared" si="106"/>
        <v>1</v>
      </c>
      <c r="U980" s="1260">
        <f t="shared" si="101"/>
        <v>204</v>
      </c>
      <c r="V980" s="745">
        <v>5</v>
      </c>
      <c r="W980" s="745">
        <v>7</v>
      </c>
      <c r="X980" s="745">
        <v>1</v>
      </c>
      <c r="Y980" s="1202">
        <v>0</v>
      </c>
    </row>
    <row r="981" spans="5:25" ht="15" x14ac:dyDescent="0.2">
      <c r="E981" s="1201"/>
      <c r="F981" s="745"/>
      <c r="G981" s="745"/>
      <c r="H981" s="1256">
        <f t="shared" si="104"/>
        <v>0</v>
      </c>
      <c r="I981" s="736">
        <v>754</v>
      </c>
      <c r="J981" s="736">
        <f t="shared" si="102"/>
        <v>1</v>
      </c>
      <c r="K981" s="2532">
        <f t="shared" si="105"/>
        <v>39</v>
      </c>
      <c r="L981" s="736">
        <f t="shared" si="103"/>
        <v>1</v>
      </c>
      <c r="M981" s="2533">
        <f t="shared" si="106"/>
        <v>2</v>
      </c>
      <c r="U981" s="1260">
        <f t="shared" si="101"/>
        <v>222</v>
      </c>
      <c r="V981" s="745">
        <v>5</v>
      </c>
      <c r="W981" s="745">
        <v>8</v>
      </c>
      <c r="X981" s="745">
        <v>1</v>
      </c>
      <c r="Y981" s="1202">
        <v>0</v>
      </c>
    </row>
    <row r="982" spans="5:25" ht="15" x14ac:dyDescent="0.2">
      <c r="E982" s="1201"/>
      <c r="F982" s="745"/>
      <c r="G982" s="745"/>
      <c r="H982" s="1256">
        <f t="shared" si="104"/>
        <v>0</v>
      </c>
      <c r="I982" s="736">
        <v>755</v>
      </c>
      <c r="J982" s="736">
        <f t="shared" si="102"/>
        <v>3</v>
      </c>
      <c r="K982" s="2532">
        <f t="shared" si="105"/>
        <v>38</v>
      </c>
      <c r="L982" s="736">
        <f t="shared" si="103"/>
        <v>1</v>
      </c>
      <c r="M982" s="2533">
        <f t="shared" si="106"/>
        <v>1</v>
      </c>
      <c r="U982" s="1260">
        <f t="shared" si="101"/>
        <v>240</v>
      </c>
      <c r="V982" s="745">
        <v>5</v>
      </c>
      <c r="W982" s="745">
        <v>9</v>
      </c>
      <c r="X982" s="745">
        <v>1</v>
      </c>
      <c r="Y982" s="1202">
        <v>0</v>
      </c>
    </row>
    <row r="983" spans="5:25" ht="15" x14ac:dyDescent="0.2">
      <c r="E983" s="1201"/>
      <c r="F983" s="745"/>
      <c r="G983" s="745"/>
      <c r="H983" s="1256">
        <f t="shared" si="104"/>
        <v>0</v>
      </c>
      <c r="I983" s="736">
        <v>756</v>
      </c>
      <c r="J983" s="736">
        <f t="shared" si="102"/>
        <v>0</v>
      </c>
      <c r="K983" s="2532">
        <f t="shared" si="105"/>
        <v>41</v>
      </c>
      <c r="L983" s="736">
        <f t="shared" si="103"/>
        <v>0</v>
      </c>
      <c r="M983" s="2533">
        <f t="shared" si="106"/>
        <v>1</v>
      </c>
      <c r="U983" s="1260">
        <f t="shared" si="101"/>
        <v>258</v>
      </c>
      <c r="V983" s="745">
        <v>5</v>
      </c>
      <c r="W983" s="745">
        <v>10</v>
      </c>
      <c r="X983" s="745">
        <v>1</v>
      </c>
      <c r="Y983" s="1202">
        <v>0</v>
      </c>
    </row>
    <row r="984" spans="5:25" ht="15" x14ac:dyDescent="0.2">
      <c r="E984" s="1201"/>
      <c r="F984" s="745"/>
      <c r="G984" s="745"/>
      <c r="H984" s="1256">
        <f t="shared" si="104"/>
        <v>0</v>
      </c>
      <c r="I984" s="736">
        <v>757</v>
      </c>
      <c r="J984" s="736">
        <f t="shared" si="102"/>
        <v>1</v>
      </c>
      <c r="K984" s="2532">
        <f t="shared" si="105"/>
        <v>40</v>
      </c>
      <c r="L984" s="736">
        <f t="shared" si="103"/>
        <v>0</v>
      </c>
      <c r="M984" s="2533">
        <f t="shared" si="106"/>
        <v>2</v>
      </c>
      <c r="U984" s="1260">
        <f t="shared" si="101"/>
        <v>276</v>
      </c>
      <c r="V984" s="745">
        <v>5</v>
      </c>
      <c r="W984" s="745">
        <v>11</v>
      </c>
      <c r="X984" s="745">
        <v>1</v>
      </c>
      <c r="Y984" s="1202">
        <v>0</v>
      </c>
    </row>
    <row r="985" spans="5:25" ht="15" x14ac:dyDescent="0.2">
      <c r="E985" s="1201"/>
      <c r="F985" s="745"/>
      <c r="G985" s="745"/>
      <c r="H985" s="1256">
        <f t="shared" si="104"/>
        <v>0</v>
      </c>
      <c r="I985" s="736">
        <v>758</v>
      </c>
      <c r="J985" s="736">
        <f t="shared" si="102"/>
        <v>3</v>
      </c>
      <c r="K985" s="2532">
        <f t="shared" si="105"/>
        <v>39</v>
      </c>
      <c r="L985" s="736">
        <f t="shared" si="103"/>
        <v>0</v>
      </c>
      <c r="M985" s="2533">
        <f t="shared" si="106"/>
        <v>1</v>
      </c>
      <c r="U985" s="1260">
        <f t="shared" si="101"/>
        <v>294</v>
      </c>
      <c r="V985" s="745">
        <v>5</v>
      </c>
      <c r="W985" s="745">
        <v>12</v>
      </c>
      <c r="X985" s="745">
        <v>1</v>
      </c>
      <c r="Y985" s="1202">
        <v>0</v>
      </c>
    </row>
    <row r="986" spans="5:25" ht="15" x14ac:dyDescent="0.2">
      <c r="E986" s="1201"/>
      <c r="F986" s="745"/>
      <c r="G986" s="745"/>
      <c r="H986" s="1256">
        <f t="shared" si="104"/>
        <v>0</v>
      </c>
      <c r="I986" s="736">
        <v>759</v>
      </c>
      <c r="J986" s="736">
        <f t="shared" si="102"/>
        <v>0</v>
      </c>
      <c r="K986" s="2532">
        <f t="shared" si="105"/>
        <v>40</v>
      </c>
      <c r="L986" s="736">
        <f t="shared" si="103"/>
        <v>1</v>
      </c>
      <c r="M986" s="2533">
        <f t="shared" si="106"/>
        <v>2</v>
      </c>
      <c r="U986" s="1260">
        <f t="shared" si="101"/>
        <v>312</v>
      </c>
      <c r="V986" s="745">
        <v>5</v>
      </c>
      <c r="W986" s="745">
        <v>13</v>
      </c>
      <c r="X986" s="745">
        <v>1</v>
      </c>
      <c r="Y986" s="1202">
        <v>0</v>
      </c>
    </row>
    <row r="987" spans="5:25" ht="15" x14ac:dyDescent="0.2">
      <c r="E987" s="1201"/>
      <c r="F987" s="745"/>
      <c r="G987" s="745"/>
      <c r="H987" s="1256">
        <f t="shared" si="104"/>
        <v>0</v>
      </c>
      <c r="I987" s="736">
        <v>760</v>
      </c>
      <c r="J987" s="736">
        <f t="shared" si="102"/>
        <v>2</v>
      </c>
      <c r="K987" s="2532">
        <f t="shared" si="105"/>
        <v>39</v>
      </c>
      <c r="L987" s="736">
        <f t="shared" si="103"/>
        <v>1</v>
      </c>
      <c r="M987" s="2533">
        <f t="shared" si="106"/>
        <v>1</v>
      </c>
      <c r="U987" s="1260">
        <f t="shared" si="101"/>
        <v>330</v>
      </c>
      <c r="V987" s="745">
        <v>5</v>
      </c>
      <c r="W987" s="745">
        <v>14</v>
      </c>
      <c r="X987" s="745">
        <v>1</v>
      </c>
      <c r="Y987" s="1202">
        <v>0</v>
      </c>
    </row>
    <row r="988" spans="5:25" ht="15" x14ac:dyDescent="0.2">
      <c r="E988" s="1201"/>
      <c r="F988" s="745"/>
      <c r="G988" s="745"/>
      <c r="H988" s="1256">
        <f t="shared" si="104"/>
        <v>0</v>
      </c>
      <c r="I988" s="736">
        <v>761</v>
      </c>
      <c r="J988" s="736">
        <f t="shared" si="102"/>
        <v>3</v>
      </c>
      <c r="K988" s="2532">
        <f t="shared" si="105"/>
        <v>38</v>
      </c>
      <c r="L988" s="736">
        <f t="shared" si="103"/>
        <v>1</v>
      </c>
      <c r="M988" s="2533">
        <f t="shared" si="106"/>
        <v>2</v>
      </c>
      <c r="U988" s="1260">
        <f t="shared" si="101"/>
        <v>348</v>
      </c>
      <c r="V988" s="745">
        <v>5</v>
      </c>
      <c r="W988" s="745">
        <v>15</v>
      </c>
      <c r="X988" s="745">
        <v>1</v>
      </c>
      <c r="Y988" s="1202">
        <v>0</v>
      </c>
    </row>
    <row r="989" spans="5:25" ht="15" x14ac:dyDescent="0.2">
      <c r="E989" s="1201"/>
      <c r="F989" s="745"/>
      <c r="G989" s="745"/>
      <c r="H989" s="1256">
        <f t="shared" si="104"/>
        <v>0</v>
      </c>
      <c r="I989" s="736">
        <v>762</v>
      </c>
      <c r="J989" s="736">
        <f t="shared" si="102"/>
        <v>5</v>
      </c>
      <c r="K989" s="2532">
        <f t="shared" si="105"/>
        <v>37</v>
      </c>
      <c r="L989" s="736">
        <f t="shared" si="103"/>
        <v>1</v>
      </c>
      <c r="M989" s="2533">
        <f t="shared" si="106"/>
        <v>1</v>
      </c>
      <c r="U989" s="1260">
        <f t="shared" si="101"/>
        <v>366</v>
      </c>
      <c r="V989" s="745">
        <v>5</v>
      </c>
      <c r="W989" s="745">
        <v>16</v>
      </c>
      <c r="X989" s="745">
        <v>1</v>
      </c>
      <c r="Y989" s="1202">
        <v>0</v>
      </c>
    </row>
    <row r="990" spans="5:25" ht="15" x14ac:dyDescent="0.2">
      <c r="E990" s="1201"/>
      <c r="F990" s="745"/>
      <c r="G990" s="745"/>
      <c r="H990" s="1256">
        <f t="shared" si="104"/>
        <v>0</v>
      </c>
      <c r="I990" s="736">
        <v>763</v>
      </c>
      <c r="J990" s="736">
        <f t="shared" si="102"/>
        <v>2</v>
      </c>
      <c r="K990" s="2532">
        <f t="shared" si="105"/>
        <v>40</v>
      </c>
      <c r="L990" s="736">
        <f t="shared" si="103"/>
        <v>0</v>
      </c>
      <c r="M990" s="2533">
        <f t="shared" si="106"/>
        <v>1</v>
      </c>
      <c r="U990" s="1260">
        <f t="shared" si="101"/>
        <v>384</v>
      </c>
      <c r="V990" s="745">
        <v>5</v>
      </c>
      <c r="W990" s="745">
        <v>17</v>
      </c>
      <c r="X990" s="745">
        <v>1</v>
      </c>
      <c r="Y990" s="1202">
        <v>0</v>
      </c>
    </row>
    <row r="991" spans="5:25" ht="15" x14ac:dyDescent="0.2">
      <c r="E991" s="1201"/>
      <c r="F991" s="745"/>
      <c r="G991" s="745"/>
      <c r="H991" s="1256">
        <f t="shared" si="104"/>
        <v>0</v>
      </c>
      <c r="I991" s="736">
        <v>764</v>
      </c>
      <c r="J991" s="736">
        <f t="shared" si="102"/>
        <v>3</v>
      </c>
      <c r="K991" s="2532">
        <f t="shared" si="105"/>
        <v>39</v>
      </c>
      <c r="L991" s="736">
        <f t="shared" si="103"/>
        <v>0</v>
      </c>
      <c r="M991" s="2533">
        <f t="shared" si="106"/>
        <v>2</v>
      </c>
      <c r="U991" s="1260">
        <f t="shared" si="101"/>
        <v>402</v>
      </c>
      <c r="V991" s="745">
        <v>5</v>
      </c>
      <c r="W991" s="745">
        <v>18</v>
      </c>
      <c r="X991" s="745">
        <v>1</v>
      </c>
      <c r="Y991" s="1202">
        <v>0</v>
      </c>
    </row>
    <row r="992" spans="5:25" ht="15" x14ac:dyDescent="0.2">
      <c r="E992" s="1201"/>
      <c r="F992" s="745"/>
      <c r="G992" s="745"/>
      <c r="H992" s="1256">
        <f t="shared" si="104"/>
        <v>0</v>
      </c>
      <c r="I992" s="736">
        <v>765</v>
      </c>
      <c r="J992" s="736">
        <f t="shared" si="102"/>
        <v>5</v>
      </c>
      <c r="K992" s="2532">
        <f t="shared" si="105"/>
        <v>38</v>
      </c>
      <c r="L992" s="736">
        <f t="shared" si="103"/>
        <v>0</v>
      </c>
      <c r="M992" s="2533">
        <f t="shared" si="106"/>
        <v>1</v>
      </c>
      <c r="U992" s="1260">
        <f t="shared" si="101"/>
        <v>420</v>
      </c>
      <c r="V992" s="745">
        <v>5</v>
      </c>
      <c r="W992" s="745">
        <v>19</v>
      </c>
      <c r="X992" s="745">
        <v>1</v>
      </c>
      <c r="Y992" s="1202">
        <v>0</v>
      </c>
    </row>
    <row r="993" spans="5:25" ht="15" x14ac:dyDescent="0.2">
      <c r="E993" s="1201"/>
      <c r="F993" s="745"/>
      <c r="G993" s="745"/>
      <c r="H993" s="1256">
        <f t="shared" si="104"/>
        <v>0</v>
      </c>
      <c r="I993" s="736">
        <v>766</v>
      </c>
      <c r="J993" s="736">
        <f t="shared" si="102"/>
        <v>1</v>
      </c>
      <c r="K993" s="2532">
        <f t="shared" si="105"/>
        <v>40</v>
      </c>
      <c r="L993" s="736">
        <f t="shared" si="103"/>
        <v>1</v>
      </c>
      <c r="M993" s="2533">
        <f t="shared" si="106"/>
        <v>1</v>
      </c>
      <c r="U993" s="1260">
        <f t="shared" si="101"/>
        <v>438</v>
      </c>
      <c r="V993" s="745">
        <v>5</v>
      </c>
      <c r="W993" s="745">
        <v>20</v>
      </c>
      <c r="X993" s="745">
        <v>1</v>
      </c>
      <c r="Y993" s="1202">
        <v>0</v>
      </c>
    </row>
    <row r="994" spans="5:25" ht="15" x14ac:dyDescent="0.2">
      <c r="E994" s="1201"/>
      <c r="F994" s="745"/>
      <c r="G994" s="745"/>
      <c r="H994" s="1256">
        <f t="shared" si="104"/>
        <v>0</v>
      </c>
      <c r="I994" s="736">
        <v>767</v>
      </c>
      <c r="J994" s="736">
        <f t="shared" si="102"/>
        <v>4</v>
      </c>
      <c r="K994" s="2532">
        <f t="shared" si="105"/>
        <v>38</v>
      </c>
      <c r="L994" s="736">
        <f t="shared" si="103"/>
        <v>1</v>
      </c>
      <c r="M994" s="2533">
        <f t="shared" si="106"/>
        <v>1</v>
      </c>
      <c r="U994" s="1260">
        <f t="shared" si="101"/>
        <v>456</v>
      </c>
      <c r="V994" s="745">
        <v>5</v>
      </c>
      <c r="W994" s="745">
        <v>21</v>
      </c>
      <c r="X994" s="745">
        <v>1</v>
      </c>
      <c r="Y994" s="1202">
        <v>0</v>
      </c>
    </row>
    <row r="995" spans="5:25" ht="15" x14ac:dyDescent="0.2">
      <c r="E995" s="1201"/>
      <c r="F995" s="745"/>
      <c r="G995" s="745"/>
      <c r="H995" s="1256">
        <f t="shared" si="104"/>
        <v>0</v>
      </c>
      <c r="I995" s="736">
        <v>768</v>
      </c>
      <c r="J995" s="736">
        <f t="shared" si="102"/>
        <v>5</v>
      </c>
      <c r="K995" s="2532">
        <f t="shared" si="105"/>
        <v>37</v>
      </c>
      <c r="L995" s="736">
        <f t="shared" si="103"/>
        <v>1</v>
      </c>
      <c r="M995" s="2533">
        <f t="shared" si="106"/>
        <v>2</v>
      </c>
      <c r="U995" s="1260">
        <f t="shared" si="101"/>
        <v>474</v>
      </c>
      <c r="V995" s="745">
        <v>5</v>
      </c>
      <c r="W995" s="745">
        <v>22</v>
      </c>
      <c r="X995" s="745">
        <v>1</v>
      </c>
      <c r="Y995" s="1202">
        <v>0</v>
      </c>
    </row>
    <row r="996" spans="5:25" ht="15" x14ac:dyDescent="0.2">
      <c r="E996" s="1201"/>
      <c r="F996" s="745"/>
      <c r="G996" s="745"/>
      <c r="H996" s="1256">
        <f t="shared" si="104"/>
        <v>0</v>
      </c>
      <c r="I996" s="736">
        <v>769</v>
      </c>
      <c r="J996" s="736">
        <f t="shared" si="102"/>
        <v>1</v>
      </c>
      <c r="K996" s="2532">
        <f t="shared" si="105"/>
        <v>41</v>
      </c>
      <c r="L996" s="736">
        <f t="shared" si="103"/>
        <v>0</v>
      </c>
      <c r="M996" s="2533">
        <f t="shared" si="106"/>
        <v>1</v>
      </c>
      <c r="U996" s="1260">
        <f t="shared" si="101"/>
        <v>492</v>
      </c>
      <c r="V996" s="745">
        <v>5</v>
      </c>
      <c r="W996" s="745">
        <v>23</v>
      </c>
      <c r="X996" s="745">
        <v>1</v>
      </c>
      <c r="Y996" s="1202">
        <v>0</v>
      </c>
    </row>
    <row r="997" spans="5:25" ht="15" x14ac:dyDescent="0.2">
      <c r="E997" s="1201"/>
      <c r="F997" s="745"/>
      <c r="G997" s="745"/>
      <c r="H997" s="1256">
        <f t="shared" si="104"/>
        <v>0</v>
      </c>
      <c r="I997" s="736">
        <v>770</v>
      </c>
      <c r="J997" s="736">
        <f t="shared" si="102"/>
        <v>4</v>
      </c>
      <c r="K997" s="2532">
        <f t="shared" si="105"/>
        <v>39</v>
      </c>
      <c r="L997" s="736">
        <f t="shared" si="103"/>
        <v>0</v>
      </c>
      <c r="M997" s="2533">
        <f t="shared" si="106"/>
        <v>1</v>
      </c>
      <c r="U997" s="1260">
        <f t="shared" si="101"/>
        <v>510</v>
      </c>
      <c r="V997" s="745">
        <v>5</v>
      </c>
      <c r="W997" s="745">
        <v>24</v>
      </c>
      <c r="X997" s="745">
        <v>1</v>
      </c>
      <c r="Y997" s="1202">
        <v>0</v>
      </c>
    </row>
    <row r="998" spans="5:25" ht="15" x14ac:dyDescent="0.2">
      <c r="E998" s="1201"/>
      <c r="F998" s="745"/>
      <c r="G998" s="745"/>
      <c r="H998" s="1256">
        <f t="shared" si="104"/>
        <v>0</v>
      </c>
      <c r="I998" s="736">
        <v>771</v>
      </c>
      <c r="J998" s="736">
        <f t="shared" si="102"/>
        <v>0</v>
      </c>
      <c r="K998" s="2532">
        <f t="shared" si="105"/>
        <v>41</v>
      </c>
      <c r="L998" s="736">
        <f t="shared" si="103"/>
        <v>1</v>
      </c>
      <c r="M998" s="2533">
        <f t="shared" si="106"/>
        <v>1</v>
      </c>
      <c r="U998" s="1260">
        <f t="shared" si="101"/>
        <v>528</v>
      </c>
      <c r="V998" s="745">
        <v>5</v>
      </c>
      <c r="W998" s="745">
        <v>25</v>
      </c>
      <c r="X998" s="745">
        <v>1</v>
      </c>
      <c r="Y998" s="1202">
        <v>0</v>
      </c>
    </row>
    <row r="999" spans="5:25" ht="15" x14ac:dyDescent="0.2">
      <c r="E999" s="1201"/>
      <c r="F999" s="745"/>
      <c r="G999" s="745"/>
      <c r="H999" s="1256">
        <f t="shared" si="104"/>
        <v>0</v>
      </c>
      <c r="I999" s="736">
        <v>772</v>
      </c>
      <c r="J999" s="736">
        <f t="shared" si="102"/>
        <v>1</v>
      </c>
      <c r="K999" s="2532">
        <f t="shared" si="105"/>
        <v>40</v>
      </c>
      <c r="L999" s="736">
        <f t="shared" si="103"/>
        <v>1</v>
      </c>
      <c r="M999" s="2533">
        <f t="shared" si="106"/>
        <v>2</v>
      </c>
      <c r="U999" s="1260">
        <f t="shared" si="101"/>
        <v>546</v>
      </c>
      <c r="V999" s="745">
        <v>5</v>
      </c>
      <c r="W999" s="745">
        <v>26</v>
      </c>
      <c r="X999" s="745">
        <v>1</v>
      </c>
      <c r="Y999" s="1202">
        <v>0</v>
      </c>
    </row>
    <row r="1000" spans="5:25" ht="15" x14ac:dyDescent="0.2">
      <c r="E1000" s="1201"/>
      <c r="F1000" s="745"/>
      <c r="G1000" s="745"/>
      <c r="H1000" s="1256">
        <f t="shared" si="104"/>
        <v>0</v>
      </c>
      <c r="I1000" s="736">
        <v>773</v>
      </c>
      <c r="J1000" s="736">
        <f t="shared" si="102"/>
        <v>3</v>
      </c>
      <c r="K1000" s="2532">
        <f t="shared" si="105"/>
        <v>39</v>
      </c>
      <c r="L1000" s="736">
        <f t="shared" si="103"/>
        <v>1</v>
      </c>
      <c r="M1000" s="2533">
        <f t="shared" si="106"/>
        <v>1</v>
      </c>
      <c r="U1000" s="1260">
        <f t="shared" ref="U1000:U1026" si="107">ROUNDUP(W1000*$W$294+V1000*$V$294+X1000*$X$294+Y1000*$Y$294,0)</f>
        <v>564</v>
      </c>
      <c r="V1000" s="745">
        <v>5</v>
      </c>
      <c r="W1000" s="745">
        <v>27</v>
      </c>
      <c r="X1000" s="745">
        <v>1</v>
      </c>
      <c r="Y1000" s="1202">
        <v>0</v>
      </c>
    </row>
    <row r="1001" spans="5:25" ht="15" x14ac:dyDescent="0.2">
      <c r="E1001" s="1201"/>
      <c r="F1001" s="745"/>
      <c r="G1001" s="745"/>
      <c r="H1001" s="1256">
        <f t="shared" si="104"/>
        <v>0</v>
      </c>
      <c r="I1001" s="736">
        <v>774</v>
      </c>
      <c r="J1001" s="736">
        <f t="shared" si="102"/>
        <v>0</v>
      </c>
      <c r="K1001" s="2532">
        <f t="shared" si="105"/>
        <v>42</v>
      </c>
      <c r="L1001" s="736">
        <f t="shared" si="103"/>
        <v>0</v>
      </c>
      <c r="M1001" s="2533">
        <f t="shared" si="106"/>
        <v>1</v>
      </c>
      <c r="U1001" s="1260">
        <f t="shared" si="107"/>
        <v>582</v>
      </c>
      <c r="V1001" s="745">
        <v>5</v>
      </c>
      <c r="W1001" s="745">
        <v>28</v>
      </c>
      <c r="X1001" s="745">
        <v>1</v>
      </c>
      <c r="Y1001" s="1202">
        <v>0</v>
      </c>
    </row>
    <row r="1002" spans="5:25" ht="15" x14ac:dyDescent="0.2">
      <c r="E1002" s="1201"/>
      <c r="F1002" s="745"/>
      <c r="G1002" s="745"/>
      <c r="H1002" s="1256">
        <f t="shared" si="104"/>
        <v>0</v>
      </c>
      <c r="I1002" s="736">
        <v>775</v>
      </c>
      <c r="J1002" s="736">
        <f t="shared" si="102"/>
        <v>1</v>
      </c>
      <c r="K1002" s="2532">
        <f t="shared" si="105"/>
        <v>41</v>
      </c>
      <c r="L1002" s="736">
        <f t="shared" si="103"/>
        <v>0</v>
      </c>
      <c r="M1002" s="2533">
        <f t="shared" si="106"/>
        <v>2</v>
      </c>
      <c r="U1002" s="1260">
        <f t="shared" si="107"/>
        <v>600</v>
      </c>
      <c r="V1002" s="745">
        <v>5</v>
      </c>
      <c r="W1002" s="745">
        <v>29</v>
      </c>
      <c r="X1002" s="745">
        <v>1</v>
      </c>
      <c r="Y1002" s="1202">
        <v>0</v>
      </c>
    </row>
    <row r="1003" spans="5:25" ht="15" x14ac:dyDescent="0.2">
      <c r="E1003" s="1201"/>
      <c r="F1003" s="745"/>
      <c r="G1003" s="745"/>
      <c r="H1003" s="1256">
        <f t="shared" si="104"/>
        <v>0</v>
      </c>
      <c r="I1003" s="736">
        <v>776</v>
      </c>
      <c r="J1003" s="736">
        <f t="shared" si="102"/>
        <v>3</v>
      </c>
      <c r="K1003" s="2532">
        <f t="shared" si="105"/>
        <v>40</v>
      </c>
      <c r="L1003" s="736">
        <f t="shared" si="103"/>
        <v>0</v>
      </c>
      <c r="M1003" s="2533">
        <f t="shared" si="106"/>
        <v>1</v>
      </c>
      <c r="U1003" s="1260">
        <f t="shared" si="107"/>
        <v>618</v>
      </c>
      <c r="V1003" s="745">
        <v>5</v>
      </c>
      <c r="W1003" s="745">
        <v>30</v>
      </c>
      <c r="X1003" s="745">
        <v>1</v>
      </c>
      <c r="Y1003" s="1202">
        <v>0</v>
      </c>
    </row>
    <row r="1004" spans="5:25" ht="15" x14ac:dyDescent="0.2">
      <c r="E1004" s="1201"/>
      <c r="F1004" s="745"/>
      <c r="G1004" s="745"/>
      <c r="H1004" s="1256">
        <f t="shared" si="104"/>
        <v>0</v>
      </c>
      <c r="I1004" s="736">
        <v>777</v>
      </c>
      <c r="J1004" s="736">
        <f t="shared" si="102"/>
        <v>0</v>
      </c>
      <c r="K1004" s="2532">
        <f t="shared" si="105"/>
        <v>41</v>
      </c>
      <c r="L1004" s="736">
        <f t="shared" si="103"/>
        <v>1</v>
      </c>
      <c r="M1004" s="2533">
        <f t="shared" si="106"/>
        <v>2</v>
      </c>
      <c r="U1004" s="1260">
        <f t="shared" si="107"/>
        <v>636</v>
      </c>
      <c r="V1004" s="745">
        <v>5</v>
      </c>
      <c r="W1004" s="745">
        <v>31</v>
      </c>
      <c r="X1004" s="745">
        <v>1</v>
      </c>
      <c r="Y1004" s="1202">
        <v>0</v>
      </c>
    </row>
    <row r="1005" spans="5:25" ht="15" x14ac:dyDescent="0.2">
      <c r="E1005" s="1201"/>
      <c r="F1005" s="745"/>
      <c r="G1005" s="745"/>
      <c r="H1005" s="1256">
        <f t="shared" si="104"/>
        <v>0</v>
      </c>
      <c r="I1005" s="736">
        <v>778</v>
      </c>
      <c r="J1005" s="736">
        <f t="shared" si="102"/>
        <v>2</v>
      </c>
      <c r="K1005" s="2532">
        <f t="shared" si="105"/>
        <v>40</v>
      </c>
      <c r="L1005" s="736">
        <f t="shared" si="103"/>
        <v>1</v>
      </c>
      <c r="M1005" s="2533">
        <f t="shared" si="106"/>
        <v>1</v>
      </c>
      <c r="U1005" s="1260">
        <f t="shared" si="107"/>
        <v>654</v>
      </c>
      <c r="V1005" s="745">
        <v>5</v>
      </c>
      <c r="W1005" s="745">
        <v>32</v>
      </c>
      <c r="X1005" s="745">
        <v>1</v>
      </c>
      <c r="Y1005" s="1202">
        <v>0</v>
      </c>
    </row>
    <row r="1006" spans="5:25" ht="15" x14ac:dyDescent="0.2">
      <c r="E1006" s="1201"/>
      <c r="F1006" s="745"/>
      <c r="G1006" s="745"/>
      <c r="H1006" s="1256">
        <f t="shared" si="104"/>
        <v>0</v>
      </c>
      <c r="I1006" s="736">
        <v>779</v>
      </c>
      <c r="J1006" s="736">
        <f t="shared" ref="J1006:J1069" si="108">VLOOKUP($I1006,$U$295:$Y$1758,2,FALSE)</f>
        <v>3</v>
      </c>
      <c r="K1006" s="2532">
        <f t="shared" si="105"/>
        <v>39</v>
      </c>
      <c r="L1006" s="736">
        <f t="shared" ref="L1006:L1069" si="109">VLOOKUP($I1006,$U$295:$Y$1758,4,FALSE)</f>
        <v>1</v>
      </c>
      <c r="M1006" s="2533">
        <f t="shared" si="106"/>
        <v>2</v>
      </c>
      <c r="U1006" s="1260">
        <f t="shared" si="107"/>
        <v>672</v>
      </c>
      <c r="V1006" s="745">
        <v>5</v>
      </c>
      <c r="W1006" s="745">
        <v>33</v>
      </c>
      <c r="X1006" s="745">
        <v>1</v>
      </c>
      <c r="Y1006" s="1202">
        <v>0</v>
      </c>
    </row>
    <row r="1007" spans="5:25" ht="15" x14ac:dyDescent="0.2">
      <c r="E1007" s="1201"/>
      <c r="F1007" s="745"/>
      <c r="G1007" s="745"/>
      <c r="H1007" s="1256">
        <f t="shared" ref="H1007:H1070" si="110">IF($H$298=I1007,1,0)</f>
        <v>0</v>
      </c>
      <c r="I1007" s="736">
        <v>780</v>
      </c>
      <c r="J1007" s="736">
        <f t="shared" si="108"/>
        <v>5</v>
      </c>
      <c r="K1007" s="2532">
        <f t="shared" ref="K1007:K1070" si="111">IF(VLOOKUP($I1007,$U$295:$Y$1758,3,FALSE)&gt;0,VLOOKUP($I1007,$U$295:$Y$1758,3,FALSE)-1,VLOOKUP($I1007,$U$295:$Y$1758,3,FALSE))</f>
        <v>38</v>
      </c>
      <c r="L1007" s="736">
        <f t="shared" si="109"/>
        <v>1</v>
      </c>
      <c r="M1007" s="2533">
        <f t="shared" ref="M1007:M1070" si="112">VLOOKUP($I1007,$U$295:$Y$1758,5,FALSE)+1</f>
        <v>1</v>
      </c>
      <c r="U1007" s="1260">
        <f t="shared" si="107"/>
        <v>690</v>
      </c>
      <c r="V1007" s="745">
        <v>5</v>
      </c>
      <c r="W1007" s="745">
        <v>34</v>
      </c>
      <c r="X1007" s="745">
        <v>1</v>
      </c>
      <c r="Y1007" s="1202">
        <v>0</v>
      </c>
    </row>
    <row r="1008" spans="5:25" ht="15" x14ac:dyDescent="0.2">
      <c r="E1008" s="1201"/>
      <c r="F1008" s="745"/>
      <c r="G1008" s="745"/>
      <c r="H1008" s="1256">
        <f t="shared" si="110"/>
        <v>0</v>
      </c>
      <c r="I1008" s="736">
        <v>781</v>
      </c>
      <c r="J1008" s="736">
        <f t="shared" si="108"/>
        <v>2</v>
      </c>
      <c r="K1008" s="2532">
        <f t="shared" si="111"/>
        <v>41</v>
      </c>
      <c r="L1008" s="736">
        <f t="shared" si="109"/>
        <v>0</v>
      </c>
      <c r="M1008" s="2533">
        <f t="shared" si="112"/>
        <v>1</v>
      </c>
      <c r="U1008" s="1260">
        <f t="shared" si="107"/>
        <v>708</v>
      </c>
      <c r="V1008" s="745">
        <v>5</v>
      </c>
      <c r="W1008" s="745">
        <v>35</v>
      </c>
      <c r="X1008" s="745">
        <v>1</v>
      </c>
      <c r="Y1008" s="1202">
        <v>0</v>
      </c>
    </row>
    <row r="1009" spans="5:25" ht="15" x14ac:dyDescent="0.2">
      <c r="E1009" s="1201"/>
      <c r="F1009" s="745"/>
      <c r="G1009" s="745"/>
      <c r="H1009" s="1256">
        <f t="shared" si="110"/>
        <v>0</v>
      </c>
      <c r="I1009" s="736">
        <v>782</v>
      </c>
      <c r="J1009" s="736">
        <f t="shared" si="108"/>
        <v>3</v>
      </c>
      <c r="K1009" s="2532">
        <f t="shared" si="111"/>
        <v>40</v>
      </c>
      <c r="L1009" s="736">
        <f t="shared" si="109"/>
        <v>0</v>
      </c>
      <c r="M1009" s="2533">
        <f t="shared" si="112"/>
        <v>2</v>
      </c>
      <c r="U1009" s="1260">
        <f t="shared" si="107"/>
        <v>726</v>
      </c>
      <c r="V1009" s="745">
        <v>5</v>
      </c>
      <c r="W1009" s="745">
        <v>36</v>
      </c>
      <c r="X1009" s="745">
        <v>1</v>
      </c>
      <c r="Y1009" s="1202">
        <v>0</v>
      </c>
    </row>
    <row r="1010" spans="5:25" ht="15" x14ac:dyDescent="0.2">
      <c r="E1010" s="1201"/>
      <c r="F1010" s="745"/>
      <c r="G1010" s="745"/>
      <c r="H1010" s="1256">
        <f t="shared" si="110"/>
        <v>0</v>
      </c>
      <c r="I1010" s="736">
        <v>783</v>
      </c>
      <c r="J1010" s="736">
        <f t="shared" si="108"/>
        <v>5</v>
      </c>
      <c r="K1010" s="2532">
        <f t="shared" si="111"/>
        <v>39</v>
      </c>
      <c r="L1010" s="736">
        <f t="shared" si="109"/>
        <v>0</v>
      </c>
      <c r="M1010" s="2533">
        <f t="shared" si="112"/>
        <v>1</v>
      </c>
      <c r="U1010" s="1260">
        <f t="shared" si="107"/>
        <v>744</v>
      </c>
      <c r="V1010" s="745">
        <v>5</v>
      </c>
      <c r="W1010" s="745">
        <v>37</v>
      </c>
      <c r="X1010" s="745">
        <v>1</v>
      </c>
      <c r="Y1010" s="1202">
        <v>0</v>
      </c>
    </row>
    <row r="1011" spans="5:25" ht="15" x14ac:dyDescent="0.2">
      <c r="E1011" s="1201"/>
      <c r="F1011" s="745"/>
      <c r="G1011" s="745"/>
      <c r="H1011" s="1256">
        <f t="shared" si="110"/>
        <v>0</v>
      </c>
      <c r="I1011" s="736">
        <v>784</v>
      </c>
      <c r="J1011" s="736">
        <f t="shared" si="108"/>
        <v>1</v>
      </c>
      <c r="K1011" s="2532">
        <f t="shared" si="111"/>
        <v>41</v>
      </c>
      <c r="L1011" s="736">
        <f t="shared" si="109"/>
        <v>1</v>
      </c>
      <c r="M1011" s="2533">
        <f t="shared" si="112"/>
        <v>1</v>
      </c>
      <c r="U1011" s="1260">
        <f t="shared" si="107"/>
        <v>762</v>
      </c>
      <c r="V1011" s="745">
        <v>5</v>
      </c>
      <c r="W1011" s="745">
        <v>38</v>
      </c>
      <c r="X1011" s="745">
        <v>1</v>
      </c>
      <c r="Y1011" s="1202">
        <v>0</v>
      </c>
    </row>
    <row r="1012" spans="5:25" ht="15" x14ac:dyDescent="0.2">
      <c r="E1012" s="1201"/>
      <c r="F1012" s="745"/>
      <c r="G1012" s="745"/>
      <c r="H1012" s="1256">
        <f t="shared" si="110"/>
        <v>0</v>
      </c>
      <c r="I1012" s="736">
        <v>785</v>
      </c>
      <c r="J1012" s="736">
        <f t="shared" si="108"/>
        <v>4</v>
      </c>
      <c r="K1012" s="2532">
        <f t="shared" si="111"/>
        <v>39</v>
      </c>
      <c r="L1012" s="736">
        <f t="shared" si="109"/>
        <v>1</v>
      </c>
      <c r="M1012" s="2533">
        <f t="shared" si="112"/>
        <v>1</v>
      </c>
      <c r="U1012" s="1260">
        <f t="shared" si="107"/>
        <v>780</v>
      </c>
      <c r="V1012" s="745">
        <v>5</v>
      </c>
      <c r="W1012" s="745">
        <v>39</v>
      </c>
      <c r="X1012" s="745">
        <v>1</v>
      </c>
      <c r="Y1012" s="1202">
        <v>0</v>
      </c>
    </row>
    <row r="1013" spans="5:25" ht="15" x14ac:dyDescent="0.2">
      <c r="E1013" s="1201"/>
      <c r="F1013" s="745"/>
      <c r="G1013" s="745"/>
      <c r="H1013" s="1256">
        <f t="shared" si="110"/>
        <v>0</v>
      </c>
      <c r="I1013" s="736">
        <v>786</v>
      </c>
      <c r="J1013" s="736">
        <f t="shared" si="108"/>
        <v>5</v>
      </c>
      <c r="K1013" s="2532">
        <f t="shared" si="111"/>
        <v>38</v>
      </c>
      <c r="L1013" s="736">
        <f t="shared" si="109"/>
        <v>1</v>
      </c>
      <c r="M1013" s="2533">
        <f t="shared" si="112"/>
        <v>2</v>
      </c>
      <c r="U1013" s="1260">
        <f t="shared" si="107"/>
        <v>798</v>
      </c>
      <c r="V1013" s="745">
        <v>5</v>
      </c>
      <c r="W1013" s="745">
        <v>40</v>
      </c>
      <c r="X1013" s="745">
        <v>1</v>
      </c>
      <c r="Y1013" s="1202">
        <v>0</v>
      </c>
    </row>
    <row r="1014" spans="5:25" ht="15" x14ac:dyDescent="0.2">
      <c r="E1014" s="1201"/>
      <c r="F1014" s="745"/>
      <c r="G1014" s="745"/>
      <c r="H1014" s="1256">
        <f t="shared" si="110"/>
        <v>0</v>
      </c>
      <c r="I1014" s="736">
        <v>787</v>
      </c>
      <c r="J1014" s="736">
        <f t="shared" si="108"/>
        <v>1</v>
      </c>
      <c r="K1014" s="2532">
        <f t="shared" si="111"/>
        <v>42</v>
      </c>
      <c r="L1014" s="736">
        <f t="shared" si="109"/>
        <v>0</v>
      </c>
      <c r="M1014" s="2533">
        <f t="shared" si="112"/>
        <v>1</v>
      </c>
      <c r="U1014" s="1260">
        <f t="shared" si="107"/>
        <v>816</v>
      </c>
      <c r="V1014" s="745">
        <v>5</v>
      </c>
      <c r="W1014" s="745">
        <v>41</v>
      </c>
      <c r="X1014" s="745">
        <v>1</v>
      </c>
      <c r="Y1014" s="1202">
        <v>0</v>
      </c>
    </row>
    <row r="1015" spans="5:25" ht="15" x14ac:dyDescent="0.2">
      <c r="E1015" s="1201"/>
      <c r="F1015" s="745"/>
      <c r="G1015" s="745"/>
      <c r="H1015" s="1256">
        <f t="shared" si="110"/>
        <v>0</v>
      </c>
      <c r="I1015" s="736">
        <v>788</v>
      </c>
      <c r="J1015" s="736">
        <f t="shared" si="108"/>
        <v>4</v>
      </c>
      <c r="K1015" s="2532">
        <f t="shared" si="111"/>
        <v>40</v>
      </c>
      <c r="L1015" s="736">
        <f t="shared" si="109"/>
        <v>0</v>
      </c>
      <c r="M1015" s="2533">
        <f t="shared" si="112"/>
        <v>1</v>
      </c>
      <c r="U1015" s="1260">
        <f t="shared" si="107"/>
        <v>834</v>
      </c>
      <c r="V1015" s="745">
        <v>5</v>
      </c>
      <c r="W1015" s="745">
        <v>42</v>
      </c>
      <c r="X1015" s="745">
        <v>1</v>
      </c>
      <c r="Y1015" s="1202">
        <v>0</v>
      </c>
    </row>
    <row r="1016" spans="5:25" ht="15" x14ac:dyDescent="0.2">
      <c r="E1016" s="1201"/>
      <c r="F1016" s="745"/>
      <c r="G1016" s="745"/>
      <c r="H1016" s="1256">
        <f t="shared" si="110"/>
        <v>0</v>
      </c>
      <c r="I1016" s="736">
        <v>789</v>
      </c>
      <c r="J1016" s="736">
        <f t="shared" si="108"/>
        <v>0</v>
      </c>
      <c r="K1016" s="2532">
        <f t="shared" si="111"/>
        <v>42</v>
      </c>
      <c r="L1016" s="736">
        <f t="shared" si="109"/>
        <v>1</v>
      </c>
      <c r="M1016" s="2533">
        <f t="shared" si="112"/>
        <v>1</v>
      </c>
      <c r="U1016" s="1260">
        <f t="shared" si="107"/>
        <v>852</v>
      </c>
      <c r="V1016" s="745">
        <v>5</v>
      </c>
      <c r="W1016" s="745">
        <v>43</v>
      </c>
      <c r="X1016" s="745">
        <v>1</v>
      </c>
      <c r="Y1016" s="1202">
        <v>0</v>
      </c>
    </row>
    <row r="1017" spans="5:25" ht="15" x14ac:dyDescent="0.2">
      <c r="E1017" s="1201"/>
      <c r="F1017" s="745"/>
      <c r="G1017" s="745"/>
      <c r="H1017" s="1256">
        <f t="shared" si="110"/>
        <v>0</v>
      </c>
      <c r="I1017" s="736">
        <v>790</v>
      </c>
      <c r="J1017" s="736">
        <f t="shared" si="108"/>
        <v>1</v>
      </c>
      <c r="K1017" s="2532">
        <f t="shared" si="111"/>
        <v>41</v>
      </c>
      <c r="L1017" s="736">
        <f t="shared" si="109"/>
        <v>1</v>
      </c>
      <c r="M1017" s="2533">
        <f t="shared" si="112"/>
        <v>2</v>
      </c>
      <c r="U1017" s="1260">
        <f t="shared" si="107"/>
        <v>870</v>
      </c>
      <c r="V1017" s="745">
        <v>5</v>
      </c>
      <c r="W1017" s="745">
        <v>44</v>
      </c>
      <c r="X1017" s="745">
        <v>1</v>
      </c>
      <c r="Y1017" s="1202">
        <v>0</v>
      </c>
    </row>
    <row r="1018" spans="5:25" ht="15" x14ac:dyDescent="0.2">
      <c r="E1018" s="1201"/>
      <c r="F1018" s="745"/>
      <c r="G1018" s="745"/>
      <c r="H1018" s="1256">
        <f t="shared" si="110"/>
        <v>0</v>
      </c>
      <c r="I1018" s="736">
        <v>791</v>
      </c>
      <c r="J1018" s="736">
        <f t="shared" si="108"/>
        <v>3</v>
      </c>
      <c r="K1018" s="2532">
        <f t="shared" si="111"/>
        <v>40</v>
      </c>
      <c r="L1018" s="736">
        <f t="shared" si="109"/>
        <v>1</v>
      </c>
      <c r="M1018" s="2533">
        <f t="shared" si="112"/>
        <v>1</v>
      </c>
      <c r="U1018" s="1260">
        <f t="shared" si="107"/>
        <v>888</v>
      </c>
      <c r="V1018" s="745">
        <v>5</v>
      </c>
      <c r="W1018" s="745">
        <v>45</v>
      </c>
      <c r="X1018" s="745">
        <v>1</v>
      </c>
      <c r="Y1018" s="1202">
        <v>0</v>
      </c>
    </row>
    <row r="1019" spans="5:25" ht="15" x14ac:dyDescent="0.2">
      <c r="E1019" s="1201"/>
      <c r="F1019" s="745"/>
      <c r="G1019" s="745"/>
      <c r="H1019" s="1256">
        <f t="shared" si="110"/>
        <v>0</v>
      </c>
      <c r="I1019" s="736">
        <v>792</v>
      </c>
      <c r="J1019" s="736">
        <f t="shared" si="108"/>
        <v>0</v>
      </c>
      <c r="K1019" s="2532">
        <f t="shared" si="111"/>
        <v>43</v>
      </c>
      <c r="L1019" s="736">
        <f t="shared" si="109"/>
        <v>0</v>
      </c>
      <c r="M1019" s="2533">
        <f t="shared" si="112"/>
        <v>1</v>
      </c>
      <c r="U1019" s="1260">
        <f t="shared" si="107"/>
        <v>906</v>
      </c>
      <c r="V1019" s="745">
        <v>5</v>
      </c>
      <c r="W1019" s="745">
        <v>46</v>
      </c>
      <c r="X1019" s="745">
        <v>1</v>
      </c>
      <c r="Y1019" s="1202">
        <v>0</v>
      </c>
    </row>
    <row r="1020" spans="5:25" ht="15" x14ac:dyDescent="0.2">
      <c r="E1020" s="1201"/>
      <c r="F1020" s="745"/>
      <c r="G1020" s="745"/>
      <c r="H1020" s="1256">
        <f t="shared" si="110"/>
        <v>0</v>
      </c>
      <c r="I1020" s="736">
        <v>793</v>
      </c>
      <c r="J1020" s="736">
        <f t="shared" si="108"/>
        <v>1</v>
      </c>
      <c r="K1020" s="2532">
        <f t="shared" si="111"/>
        <v>42</v>
      </c>
      <c r="L1020" s="736">
        <f t="shared" si="109"/>
        <v>0</v>
      </c>
      <c r="M1020" s="2533">
        <f t="shared" si="112"/>
        <v>2</v>
      </c>
      <c r="U1020" s="1260">
        <f t="shared" si="107"/>
        <v>924</v>
      </c>
      <c r="V1020" s="745">
        <v>5</v>
      </c>
      <c r="W1020" s="745">
        <v>47</v>
      </c>
      <c r="X1020" s="745">
        <v>1</v>
      </c>
      <c r="Y1020" s="1202">
        <v>0</v>
      </c>
    </row>
    <row r="1021" spans="5:25" ht="15" x14ac:dyDescent="0.2">
      <c r="E1021" s="1201"/>
      <c r="F1021" s="745"/>
      <c r="G1021" s="745"/>
      <c r="H1021" s="1256">
        <f t="shared" si="110"/>
        <v>0</v>
      </c>
      <c r="I1021" s="736">
        <v>794</v>
      </c>
      <c r="J1021" s="736">
        <f t="shared" si="108"/>
        <v>3</v>
      </c>
      <c r="K1021" s="2532">
        <f t="shared" si="111"/>
        <v>41</v>
      </c>
      <c r="L1021" s="736">
        <f t="shared" si="109"/>
        <v>0</v>
      </c>
      <c r="M1021" s="2533">
        <f t="shared" si="112"/>
        <v>1</v>
      </c>
      <c r="U1021" s="1260">
        <f t="shared" si="107"/>
        <v>942</v>
      </c>
      <c r="V1021" s="745">
        <v>5</v>
      </c>
      <c r="W1021" s="745">
        <v>48</v>
      </c>
      <c r="X1021" s="745">
        <v>1</v>
      </c>
      <c r="Y1021" s="1202">
        <v>0</v>
      </c>
    </row>
    <row r="1022" spans="5:25" ht="15" x14ac:dyDescent="0.2">
      <c r="E1022" s="1201"/>
      <c r="F1022" s="745"/>
      <c r="G1022" s="745"/>
      <c r="H1022" s="1256">
        <f t="shared" si="110"/>
        <v>0</v>
      </c>
      <c r="I1022" s="736">
        <v>795</v>
      </c>
      <c r="J1022" s="736">
        <f t="shared" si="108"/>
        <v>0</v>
      </c>
      <c r="K1022" s="2532">
        <f t="shared" si="111"/>
        <v>42</v>
      </c>
      <c r="L1022" s="736">
        <f t="shared" si="109"/>
        <v>1</v>
      </c>
      <c r="M1022" s="2533">
        <f t="shared" si="112"/>
        <v>2</v>
      </c>
      <c r="U1022" s="1260">
        <f t="shared" si="107"/>
        <v>960</v>
      </c>
      <c r="V1022" s="745">
        <v>5</v>
      </c>
      <c r="W1022" s="745">
        <v>49</v>
      </c>
      <c r="X1022" s="745">
        <v>1</v>
      </c>
      <c r="Y1022" s="1202">
        <v>0</v>
      </c>
    </row>
    <row r="1023" spans="5:25" ht="15" x14ac:dyDescent="0.2">
      <c r="E1023" s="1201"/>
      <c r="F1023" s="745"/>
      <c r="G1023" s="745"/>
      <c r="H1023" s="1256">
        <f t="shared" si="110"/>
        <v>0</v>
      </c>
      <c r="I1023" s="736">
        <v>796</v>
      </c>
      <c r="J1023" s="736">
        <f t="shared" si="108"/>
        <v>2</v>
      </c>
      <c r="K1023" s="2532">
        <f t="shared" si="111"/>
        <v>41</v>
      </c>
      <c r="L1023" s="736">
        <f t="shared" si="109"/>
        <v>1</v>
      </c>
      <c r="M1023" s="2533">
        <f t="shared" si="112"/>
        <v>1</v>
      </c>
      <c r="U1023" s="1260">
        <f t="shared" si="107"/>
        <v>978</v>
      </c>
      <c r="V1023" s="745">
        <v>5</v>
      </c>
      <c r="W1023" s="745">
        <v>50</v>
      </c>
      <c r="X1023" s="745">
        <v>1</v>
      </c>
      <c r="Y1023" s="1202">
        <v>0</v>
      </c>
    </row>
    <row r="1024" spans="5:25" ht="15" x14ac:dyDescent="0.2">
      <c r="E1024" s="1201"/>
      <c r="F1024" s="745"/>
      <c r="G1024" s="745"/>
      <c r="H1024" s="1256">
        <f t="shared" si="110"/>
        <v>0</v>
      </c>
      <c r="I1024" s="736">
        <v>797</v>
      </c>
      <c r="J1024" s="736">
        <f t="shared" si="108"/>
        <v>3</v>
      </c>
      <c r="K1024" s="2532">
        <f t="shared" si="111"/>
        <v>40</v>
      </c>
      <c r="L1024" s="736">
        <f t="shared" si="109"/>
        <v>1</v>
      </c>
      <c r="M1024" s="2533">
        <f t="shared" si="112"/>
        <v>2</v>
      </c>
      <c r="U1024" s="1260">
        <f t="shared" si="107"/>
        <v>996</v>
      </c>
      <c r="V1024" s="745">
        <v>5</v>
      </c>
      <c r="W1024" s="745">
        <v>51</v>
      </c>
      <c r="X1024" s="745">
        <v>1</v>
      </c>
      <c r="Y1024" s="1202">
        <v>0</v>
      </c>
    </row>
    <row r="1025" spans="5:25" ht="15" x14ac:dyDescent="0.2">
      <c r="E1025" s="1201"/>
      <c r="F1025" s="745"/>
      <c r="G1025" s="745"/>
      <c r="H1025" s="1256">
        <f t="shared" si="110"/>
        <v>0</v>
      </c>
      <c r="I1025" s="736">
        <v>798</v>
      </c>
      <c r="J1025" s="736">
        <f t="shared" si="108"/>
        <v>5</v>
      </c>
      <c r="K1025" s="2532">
        <f t="shared" si="111"/>
        <v>39</v>
      </c>
      <c r="L1025" s="736">
        <f t="shared" si="109"/>
        <v>1</v>
      </c>
      <c r="M1025" s="2533">
        <f t="shared" si="112"/>
        <v>1</v>
      </c>
      <c r="U1025" s="1260">
        <f t="shared" si="107"/>
        <v>1014</v>
      </c>
      <c r="V1025" s="745">
        <v>5</v>
      </c>
      <c r="W1025" s="745">
        <v>52</v>
      </c>
      <c r="X1025" s="745">
        <v>1</v>
      </c>
      <c r="Y1025" s="1202">
        <v>0</v>
      </c>
    </row>
    <row r="1026" spans="5:25" ht="15" x14ac:dyDescent="0.2">
      <c r="E1026" s="1201"/>
      <c r="F1026" s="745"/>
      <c r="G1026" s="745"/>
      <c r="H1026" s="1256">
        <f t="shared" si="110"/>
        <v>0</v>
      </c>
      <c r="I1026" s="736">
        <v>799</v>
      </c>
      <c r="J1026" s="736">
        <f t="shared" si="108"/>
        <v>2</v>
      </c>
      <c r="K1026" s="2532">
        <f t="shared" si="111"/>
        <v>42</v>
      </c>
      <c r="L1026" s="736">
        <f t="shared" si="109"/>
        <v>0</v>
      </c>
      <c r="M1026" s="2533">
        <f t="shared" si="112"/>
        <v>1</v>
      </c>
      <c r="U1026" s="1260">
        <f t="shared" si="107"/>
        <v>1032</v>
      </c>
      <c r="V1026" s="745">
        <v>5</v>
      </c>
      <c r="W1026" s="745">
        <v>53</v>
      </c>
      <c r="X1026" s="745">
        <v>1</v>
      </c>
      <c r="Y1026" s="1202">
        <v>0</v>
      </c>
    </row>
    <row r="1027" spans="5:25" ht="15" x14ac:dyDescent="0.2">
      <c r="E1027" s="1201"/>
      <c r="F1027" s="745"/>
      <c r="G1027" s="745"/>
      <c r="H1027" s="1256">
        <f t="shared" si="110"/>
        <v>0</v>
      </c>
      <c r="I1027" s="736">
        <v>800</v>
      </c>
      <c r="J1027" s="736">
        <f t="shared" si="108"/>
        <v>3</v>
      </c>
      <c r="K1027" s="2532">
        <f t="shared" si="111"/>
        <v>41</v>
      </c>
      <c r="L1027" s="736">
        <f t="shared" si="109"/>
        <v>0</v>
      </c>
      <c r="M1027" s="2533">
        <f t="shared" si="112"/>
        <v>2</v>
      </c>
      <c r="U1027" s="1260">
        <f>ROUNDUP(W1027*$W$294+V1027*$V$294+X1027*$X$294+Y1027*$Y$294,0)</f>
        <v>24</v>
      </c>
      <c r="V1027" s="745">
        <v>0</v>
      </c>
      <c r="W1027" s="745">
        <v>1</v>
      </c>
      <c r="X1027" s="745">
        <v>0</v>
      </c>
      <c r="Y1027" s="1202">
        <v>1</v>
      </c>
    </row>
    <row r="1028" spans="5:25" ht="15" x14ac:dyDescent="0.2">
      <c r="E1028" s="1201"/>
      <c r="F1028" s="745"/>
      <c r="G1028" s="745"/>
      <c r="H1028" s="1256">
        <f t="shared" si="110"/>
        <v>0</v>
      </c>
      <c r="I1028" s="736">
        <v>801</v>
      </c>
      <c r="J1028" s="736">
        <f t="shared" si="108"/>
        <v>5</v>
      </c>
      <c r="K1028" s="2532">
        <f t="shared" si="111"/>
        <v>40</v>
      </c>
      <c r="L1028" s="736">
        <f t="shared" si="109"/>
        <v>0</v>
      </c>
      <c r="M1028" s="2533">
        <f t="shared" si="112"/>
        <v>1</v>
      </c>
      <c r="U1028" s="1260">
        <f t="shared" ref="U1028:U1091" si="113">ROUNDUP(W1028*$W$294+V1028*$V$294+X1028*$X$294+Y1028*$Y$294,0)</f>
        <v>42</v>
      </c>
      <c r="V1028" s="745">
        <v>0</v>
      </c>
      <c r="W1028" s="745">
        <v>2</v>
      </c>
      <c r="X1028" s="745">
        <v>0</v>
      </c>
      <c r="Y1028" s="1202">
        <v>1</v>
      </c>
    </row>
    <row r="1029" spans="5:25" ht="15" x14ac:dyDescent="0.2">
      <c r="E1029" s="1201"/>
      <c r="F1029" s="745"/>
      <c r="G1029" s="745"/>
      <c r="H1029" s="1256">
        <f t="shared" si="110"/>
        <v>0</v>
      </c>
      <c r="I1029" s="736">
        <v>802</v>
      </c>
      <c r="J1029" s="736">
        <f t="shared" si="108"/>
        <v>1</v>
      </c>
      <c r="K1029" s="2532">
        <f t="shared" si="111"/>
        <v>42</v>
      </c>
      <c r="L1029" s="736">
        <f t="shared" si="109"/>
        <v>1</v>
      </c>
      <c r="M1029" s="2533">
        <f t="shared" si="112"/>
        <v>1</v>
      </c>
      <c r="U1029" s="1260">
        <f t="shared" si="113"/>
        <v>60</v>
      </c>
      <c r="V1029" s="745">
        <v>0</v>
      </c>
      <c r="W1029" s="745">
        <v>3</v>
      </c>
      <c r="X1029" s="745">
        <v>0</v>
      </c>
      <c r="Y1029" s="1202">
        <v>1</v>
      </c>
    </row>
    <row r="1030" spans="5:25" ht="15" x14ac:dyDescent="0.2">
      <c r="E1030" s="1201"/>
      <c r="F1030" s="745"/>
      <c r="G1030" s="745"/>
      <c r="H1030" s="1256">
        <f t="shared" si="110"/>
        <v>0</v>
      </c>
      <c r="I1030" s="736">
        <v>803</v>
      </c>
      <c r="J1030" s="736">
        <f t="shared" si="108"/>
        <v>4</v>
      </c>
      <c r="K1030" s="2532">
        <f t="shared" si="111"/>
        <v>40</v>
      </c>
      <c r="L1030" s="736">
        <f t="shared" si="109"/>
        <v>1</v>
      </c>
      <c r="M1030" s="2533">
        <f t="shared" si="112"/>
        <v>1</v>
      </c>
      <c r="U1030" s="1260">
        <f t="shared" si="113"/>
        <v>78</v>
      </c>
      <c r="V1030" s="745">
        <v>0</v>
      </c>
      <c r="W1030" s="745">
        <v>4</v>
      </c>
      <c r="X1030" s="745">
        <v>0</v>
      </c>
      <c r="Y1030" s="1202">
        <v>1</v>
      </c>
    </row>
    <row r="1031" spans="5:25" ht="15" x14ac:dyDescent="0.2">
      <c r="E1031" s="1201"/>
      <c r="F1031" s="745"/>
      <c r="G1031" s="745"/>
      <c r="H1031" s="1256">
        <f t="shared" si="110"/>
        <v>0</v>
      </c>
      <c r="I1031" s="736">
        <v>804</v>
      </c>
      <c r="J1031" s="736">
        <f t="shared" si="108"/>
        <v>5</v>
      </c>
      <c r="K1031" s="2532">
        <f t="shared" si="111"/>
        <v>39</v>
      </c>
      <c r="L1031" s="736">
        <f t="shared" si="109"/>
        <v>1</v>
      </c>
      <c r="M1031" s="2533">
        <f t="shared" si="112"/>
        <v>2</v>
      </c>
      <c r="U1031" s="1260">
        <f t="shared" si="113"/>
        <v>96</v>
      </c>
      <c r="V1031" s="745">
        <v>0</v>
      </c>
      <c r="W1031" s="745">
        <v>5</v>
      </c>
      <c r="X1031" s="745">
        <v>0</v>
      </c>
      <c r="Y1031" s="1202">
        <v>1</v>
      </c>
    </row>
    <row r="1032" spans="5:25" ht="15" x14ac:dyDescent="0.2">
      <c r="E1032" s="1201"/>
      <c r="F1032" s="745"/>
      <c r="G1032" s="745"/>
      <c r="H1032" s="1256">
        <f t="shared" si="110"/>
        <v>0</v>
      </c>
      <c r="I1032" s="736">
        <v>805</v>
      </c>
      <c r="J1032" s="736">
        <f t="shared" si="108"/>
        <v>1</v>
      </c>
      <c r="K1032" s="2532">
        <f t="shared" si="111"/>
        <v>43</v>
      </c>
      <c r="L1032" s="736">
        <f t="shared" si="109"/>
        <v>0</v>
      </c>
      <c r="M1032" s="2533">
        <f t="shared" si="112"/>
        <v>1</v>
      </c>
      <c r="U1032" s="1260">
        <f t="shared" si="113"/>
        <v>114</v>
      </c>
      <c r="V1032" s="745">
        <v>0</v>
      </c>
      <c r="W1032" s="745">
        <v>6</v>
      </c>
      <c r="X1032" s="745">
        <v>0</v>
      </c>
      <c r="Y1032" s="1202">
        <v>1</v>
      </c>
    </row>
    <row r="1033" spans="5:25" ht="15" x14ac:dyDescent="0.2">
      <c r="E1033" s="1201"/>
      <c r="F1033" s="745"/>
      <c r="G1033" s="745"/>
      <c r="H1033" s="1256">
        <f t="shared" si="110"/>
        <v>0</v>
      </c>
      <c r="I1033" s="736">
        <v>806</v>
      </c>
      <c r="J1033" s="736">
        <f t="shared" si="108"/>
        <v>4</v>
      </c>
      <c r="K1033" s="2532">
        <f t="shared" si="111"/>
        <v>41</v>
      </c>
      <c r="L1033" s="736">
        <f t="shared" si="109"/>
        <v>0</v>
      </c>
      <c r="M1033" s="2533">
        <f t="shared" si="112"/>
        <v>1</v>
      </c>
      <c r="U1033" s="1260">
        <f t="shared" si="113"/>
        <v>132</v>
      </c>
      <c r="V1033" s="745">
        <v>0</v>
      </c>
      <c r="W1033" s="745">
        <v>7</v>
      </c>
      <c r="X1033" s="745">
        <v>0</v>
      </c>
      <c r="Y1033" s="1202">
        <v>1</v>
      </c>
    </row>
    <row r="1034" spans="5:25" ht="15" x14ac:dyDescent="0.2">
      <c r="E1034" s="1201"/>
      <c r="F1034" s="745"/>
      <c r="G1034" s="745"/>
      <c r="H1034" s="1256">
        <f t="shared" si="110"/>
        <v>0</v>
      </c>
      <c r="I1034" s="736">
        <v>807</v>
      </c>
      <c r="J1034" s="736">
        <f t="shared" si="108"/>
        <v>0</v>
      </c>
      <c r="K1034" s="2532">
        <f t="shared" si="111"/>
        <v>43</v>
      </c>
      <c r="L1034" s="736">
        <f t="shared" si="109"/>
        <v>1</v>
      </c>
      <c r="M1034" s="2533">
        <f t="shared" si="112"/>
        <v>1</v>
      </c>
      <c r="U1034" s="1260">
        <f t="shared" si="113"/>
        <v>150</v>
      </c>
      <c r="V1034" s="745">
        <v>0</v>
      </c>
      <c r="W1034" s="745">
        <v>8</v>
      </c>
      <c r="X1034" s="745">
        <v>0</v>
      </c>
      <c r="Y1034" s="1202">
        <v>1</v>
      </c>
    </row>
    <row r="1035" spans="5:25" ht="15" x14ac:dyDescent="0.2">
      <c r="E1035" s="1201"/>
      <c r="F1035" s="745"/>
      <c r="G1035" s="745"/>
      <c r="H1035" s="1256">
        <f t="shared" si="110"/>
        <v>0</v>
      </c>
      <c r="I1035" s="736">
        <v>808</v>
      </c>
      <c r="J1035" s="736">
        <f t="shared" si="108"/>
        <v>1</v>
      </c>
      <c r="K1035" s="2532">
        <f t="shared" si="111"/>
        <v>42</v>
      </c>
      <c r="L1035" s="736">
        <f t="shared" si="109"/>
        <v>1</v>
      </c>
      <c r="M1035" s="2533">
        <f t="shared" si="112"/>
        <v>2</v>
      </c>
      <c r="U1035" s="1260">
        <f t="shared" si="113"/>
        <v>168</v>
      </c>
      <c r="V1035" s="745">
        <v>0</v>
      </c>
      <c r="W1035" s="745">
        <v>9</v>
      </c>
      <c r="X1035" s="745">
        <v>0</v>
      </c>
      <c r="Y1035" s="1202">
        <v>1</v>
      </c>
    </row>
    <row r="1036" spans="5:25" ht="15" x14ac:dyDescent="0.2">
      <c r="E1036" s="1201"/>
      <c r="F1036" s="745"/>
      <c r="G1036" s="745"/>
      <c r="H1036" s="1256">
        <f t="shared" si="110"/>
        <v>0</v>
      </c>
      <c r="I1036" s="736">
        <v>809</v>
      </c>
      <c r="J1036" s="736">
        <f t="shared" si="108"/>
        <v>3</v>
      </c>
      <c r="K1036" s="2532">
        <f t="shared" si="111"/>
        <v>41</v>
      </c>
      <c r="L1036" s="736">
        <f t="shared" si="109"/>
        <v>1</v>
      </c>
      <c r="M1036" s="2533">
        <f t="shared" si="112"/>
        <v>1</v>
      </c>
      <c r="U1036" s="1260">
        <f t="shared" si="113"/>
        <v>186</v>
      </c>
      <c r="V1036" s="745">
        <v>0</v>
      </c>
      <c r="W1036" s="745">
        <v>10</v>
      </c>
      <c r="X1036" s="745">
        <v>0</v>
      </c>
      <c r="Y1036" s="1202">
        <v>1</v>
      </c>
    </row>
    <row r="1037" spans="5:25" ht="15" x14ac:dyDescent="0.2">
      <c r="E1037" s="1201"/>
      <c r="F1037" s="745"/>
      <c r="G1037" s="745"/>
      <c r="H1037" s="1256">
        <f t="shared" si="110"/>
        <v>0</v>
      </c>
      <c r="I1037" s="736">
        <v>810</v>
      </c>
      <c r="J1037" s="736">
        <f t="shared" si="108"/>
        <v>0</v>
      </c>
      <c r="K1037" s="2532">
        <f t="shared" si="111"/>
        <v>44</v>
      </c>
      <c r="L1037" s="736">
        <f t="shared" si="109"/>
        <v>0</v>
      </c>
      <c r="M1037" s="2533">
        <f t="shared" si="112"/>
        <v>1</v>
      </c>
      <c r="U1037" s="1260">
        <f t="shared" si="113"/>
        <v>204</v>
      </c>
      <c r="V1037" s="745">
        <v>0</v>
      </c>
      <c r="W1037" s="745">
        <v>11</v>
      </c>
      <c r="X1037" s="745">
        <v>0</v>
      </c>
      <c r="Y1037" s="1202">
        <v>1</v>
      </c>
    </row>
    <row r="1038" spans="5:25" ht="15" x14ac:dyDescent="0.2">
      <c r="E1038" s="1201"/>
      <c r="F1038" s="745"/>
      <c r="G1038" s="745"/>
      <c r="H1038" s="1256">
        <f t="shared" si="110"/>
        <v>0</v>
      </c>
      <c r="I1038" s="736">
        <v>811</v>
      </c>
      <c r="J1038" s="736">
        <f t="shared" si="108"/>
        <v>1</v>
      </c>
      <c r="K1038" s="2532">
        <f t="shared" si="111"/>
        <v>43</v>
      </c>
      <c r="L1038" s="736">
        <f t="shared" si="109"/>
        <v>0</v>
      </c>
      <c r="M1038" s="2533">
        <f t="shared" si="112"/>
        <v>2</v>
      </c>
      <c r="U1038" s="1260">
        <f t="shared" si="113"/>
        <v>222</v>
      </c>
      <c r="V1038" s="745">
        <v>0</v>
      </c>
      <c r="W1038" s="745">
        <v>12</v>
      </c>
      <c r="X1038" s="745">
        <v>0</v>
      </c>
      <c r="Y1038" s="1202">
        <v>1</v>
      </c>
    </row>
    <row r="1039" spans="5:25" ht="15" x14ac:dyDescent="0.2">
      <c r="E1039" s="1201"/>
      <c r="F1039" s="745"/>
      <c r="G1039" s="745"/>
      <c r="H1039" s="1256">
        <f t="shared" si="110"/>
        <v>0</v>
      </c>
      <c r="I1039" s="736">
        <v>812</v>
      </c>
      <c r="J1039" s="736">
        <f t="shared" si="108"/>
        <v>3</v>
      </c>
      <c r="K1039" s="2532">
        <f t="shared" si="111"/>
        <v>42</v>
      </c>
      <c r="L1039" s="736">
        <f t="shared" si="109"/>
        <v>0</v>
      </c>
      <c r="M1039" s="2533">
        <f t="shared" si="112"/>
        <v>1</v>
      </c>
      <c r="U1039" s="1260">
        <f t="shared" si="113"/>
        <v>240</v>
      </c>
      <c r="V1039" s="745">
        <v>0</v>
      </c>
      <c r="W1039" s="745">
        <v>13</v>
      </c>
      <c r="X1039" s="745">
        <v>0</v>
      </c>
      <c r="Y1039" s="1202">
        <v>1</v>
      </c>
    </row>
    <row r="1040" spans="5:25" ht="15" x14ac:dyDescent="0.2">
      <c r="E1040" s="1201"/>
      <c r="F1040" s="745"/>
      <c r="G1040" s="745"/>
      <c r="H1040" s="1256">
        <f t="shared" si="110"/>
        <v>0</v>
      </c>
      <c r="I1040" s="736">
        <v>813</v>
      </c>
      <c r="J1040" s="736">
        <f t="shared" si="108"/>
        <v>0</v>
      </c>
      <c r="K1040" s="2532">
        <f t="shared" si="111"/>
        <v>43</v>
      </c>
      <c r="L1040" s="736">
        <f t="shared" si="109"/>
        <v>1</v>
      </c>
      <c r="M1040" s="2533">
        <f t="shared" si="112"/>
        <v>2</v>
      </c>
      <c r="U1040" s="1260">
        <f t="shared" si="113"/>
        <v>258</v>
      </c>
      <c r="V1040" s="745">
        <v>0</v>
      </c>
      <c r="W1040" s="745">
        <v>14</v>
      </c>
      <c r="X1040" s="745">
        <v>0</v>
      </c>
      <c r="Y1040" s="1202">
        <v>1</v>
      </c>
    </row>
    <row r="1041" spans="5:25" ht="15" x14ac:dyDescent="0.2">
      <c r="E1041" s="1201"/>
      <c r="F1041" s="745"/>
      <c r="G1041" s="745"/>
      <c r="H1041" s="1256">
        <f t="shared" si="110"/>
        <v>0</v>
      </c>
      <c r="I1041" s="736">
        <v>814</v>
      </c>
      <c r="J1041" s="736">
        <f t="shared" si="108"/>
        <v>2</v>
      </c>
      <c r="K1041" s="2532">
        <f t="shared" si="111"/>
        <v>42</v>
      </c>
      <c r="L1041" s="736">
        <f t="shared" si="109"/>
        <v>1</v>
      </c>
      <c r="M1041" s="2533">
        <f t="shared" si="112"/>
        <v>1</v>
      </c>
      <c r="U1041" s="1260">
        <f t="shared" si="113"/>
        <v>276</v>
      </c>
      <c r="V1041" s="745">
        <v>0</v>
      </c>
      <c r="W1041" s="745">
        <v>15</v>
      </c>
      <c r="X1041" s="745">
        <v>0</v>
      </c>
      <c r="Y1041" s="1202">
        <v>1</v>
      </c>
    </row>
    <row r="1042" spans="5:25" ht="15" x14ac:dyDescent="0.2">
      <c r="E1042" s="1201"/>
      <c r="F1042" s="745"/>
      <c r="G1042" s="745"/>
      <c r="H1042" s="1256">
        <f t="shared" si="110"/>
        <v>0</v>
      </c>
      <c r="I1042" s="736">
        <v>815</v>
      </c>
      <c r="J1042" s="736">
        <f t="shared" si="108"/>
        <v>3</v>
      </c>
      <c r="K1042" s="2532">
        <f t="shared" si="111"/>
        <v>41</v>
      </c>
      <c r="L1042" s="736">
        <f t="shared" si="109"/>
        <v>1</v>
      </c>
      <c r="M1042" s="2533">
        <f t="shared" si="112"/>
        <v>2</v>
      </c>
      <c r="U1042" s="1260">
        <f t="shared" si="113"/>
        <v>294</v>
      </c>
      <c r="V1042" s="745">
        <v>0</v>
      </c>
      <c r="W1042" s="745">
        <v>16</v>
      </c>
      <c r="X1042" s="745">
        <v>0</v>
      </c>
      <c r="Y1042" s="1202">
        <v>1</v>
      </c>
    </row>
    <row r="1043" spans="5:25" ht="15" x14ac:dyDescent="0.2">
      <c r="E1043" s="1201"/>
      <c r="F1043" s="745"/>
      <c r="G1043" s="745"/>
      <c r="H1043" s="1256">
        <f t="shared" si="110"/>
        <v>0</v>
      </c>
      <c r="I1043" s="736">
        <v>816</v>
      </c>
      <c r="J1043" s="736">
        <f t="shared" si="108"/>
        <v>5</v>
      </c>
      <c r="K1043" s="2532">
        <f t="shared" si="111"/>
        <v>40</v>
      </c>
      <c r="L1043" s="736">
        <f t="shared" si="109"/>
        <v>1</v>
      </c>
      <c r="M1043" s="2533">
        <f t="shared" si="112"/>
        <v>1</v>
      </c>
      <c r="U1043" s="1260">
        <f t="shared" si="113"/>
        <v>312</v>
      </c>
      <c r="V1043" s="745">
        <v>0</v>
      </c>
      <c r="W1043" s="745">
        <v>17</v>
      </c>
      <c r="X1043" s="745">
        <v>0</v>
      </c>
      <c r="Y1043" s="1202">
        <v>1</v>
      </c>
    </row>
    <row r="1044" spans="5:25" ht="15" x14ac:dyDescent="0.2">
      <c r="E1044" s="1201"/>
      <c r="F1044" s="745"/>
      <c r="G1044" s="745"/>
      <c r="H1044" s="1256">
        <f t="shared" si="110"/>
        <v>0</v>
      </c>
      <c r="I1044" s="736">
        <v>817</v>
      </c>
      <c r="J1044" s="736">
        <f t="shared" si="108"/>
        <v>2</v>
      </c>
      <c r="K1044" s="2532">
        <f t="shared" si="111"/>
        <v>43</v>
      </c>
      <c r="L1044" s="736">
        <f t="shared" si="109"/>
        <v>0</v>
      </c>
      <c r="M1044" s="2533">
        <f t="shared" si="112"/>
        <v>1</v>
      </c>
      <c r="U1044" s="1260">
        <f t="shared" si="113"/>
        <v>330</v>
      </c>
      <c r="V1044" s="745">
        <v>0</v>
      </c>
      <c r="W1044" s="745">
        <v>18</v>
      </c>
      <c r="X1044" s="745">
        <v>0</v>
      </c>
      <c r="Y1044" s="1202">
        <v>1</v>
      </c>
    </row>
    <row r="1045" spans="5:25" ht="15" x14ac:dyDescent="0.2">
      <c r="E1045" s="1201"/>
      <c r="F1045" s="745"/>
      <c r="G1045" s="745"/>
      <c r="H1045" s="1256">
        <f t="shared" si="110"/>
        <v>0</v>
      </c>
      <c r="I1045" s="736">
        <v>818</v>
      </c>
      <c r="J1045" s="736">
        <f t="shared" si="108"/>
        <v>3</v>
      </c>
      <c r="K1045" s="2532">
        <f t="shared" si="111"/>
        <v>42</v>
      </c>
      <c r="L1045" s="736">
        <f t="shared" si="109"/>
        <v>0</v>
      </c>
      <c r="M1045" s="2533">
        <f t="shared" si="112"/>
        <v>2</v>
      </c>
      <c r="U1045" s="1260">
        <f t="shared" si="113"/>
        <v>348</v>
      </c>
      <c r="V1045" s="745">
        <v>0</v>
      </c>
      <c r="W1045" s="745">
        <v>19</v>
      </c>
      <c r="X1045" s="745">
        <v>0</v>
      </c>
      <c r="Y1045" s="1202">
        <v>1</v>
      </c>
    </row>
    <row r="1046" spans="5:25" ht="15" x14ac:dyDescent="0.2">
      <c r="E1046" s="1201"/>
      <c r="F1046" s="745"/>
      <c r="G1046" s="745"/>
      <c r="H1046" s="1256">
        <f t="shared" si="110"/>
        <v>0</v>
      </c>
      <c r="I1046" s="736">
        <v>819</v>
      </c>
      <c r="J1046" s="736">
        <f t="shared" si="108"/>
        <v>5</v>
      </c>
      <c r="K1046" s="2532">
        <f t="shared" si="111"/>
        <v>41</v>
      </c>
      <c r="L1046" s="736">
        <f t="shared" si="109"/>
        <v>0</v>
      </c>
      <c r="M1046" s="2533">
        <f t="shared" si="112"/>
        <v>1</v>
      </c>
      <c r="U1046" s="1260">
        <f t="shared" si="113"/>
        <v>366</v>
      </c>
      <c r="V1046" s="745">
        <v>0</v>
      </c>
      <c r="W1046" s="745">
        <v>20</v>
      </c>
      <c r="X1046" s="745">
        <v>0</v>
      </c>
      <c r="Y1046" s="1202">
        <v>1</v>
      </c>
    </row>
    <row r="1047" spans="5:25" ht="15" x14ac:dyDescent="0.2">
      <c r="E1047" s="1201"/>
      <c r="F1047" s="745"/>
      <c r="G1047" s="745"/>
      <c r="H1047" s="1256">
        <f t="shared" si="110"/>
        <v>0</v>
      </c>
      <c r="I1047" s="736">
        <v>820</v>
      </c>
      <c r="J1047" s="736">
        <f t="shared" si="108"/>
        <v>1</v>
      </c>
      <c r="K1047" s="2532">
        <f t="shared" si="111"/>
        <v>43</v>
      </c>
      <c r="L1047" s="736">
        <f t="shared" si="109"/>
        <v>1</v>
      </c>
      <c r="M1047" s="2533">
        <f t="shared" si="112"/>
        <v>1</v>
      </c>
      <c r="U1047" s="1260">
        <f t="shared" si="113"/>
        <v>384</v>
      </c>
      <c r="V1047" s="745">
        <v>0</v>
      </c>
      <c r="W1047" s="745">
        <v>21</v>
      </c>
      <c r="X1047" s="745">
        <v>0</v>
      </c>
      <c r="Y1047" s="1202">
        <v>1</v>
      </c>
    </row>
    <row r="1048" spans="5:25" ht="15" x14ac:dyDescent="0.2">
      <c r="E1048" s="1201"/>
      <c r="F1048" s="745"/>
      <c r="G1048" s="745"/>
      <c r="H1048" s="1256">
        <f t="shared" si="110"/>
        <v>0</v>
      </c>
      <c r="I1048" s="736">
        <v>821</v>
      </c>
      <c r="J1048" s="736">
        <f t="shared" si="108"/>
        <v>4</v>
      </c>
      <c r="K1048" s="2532">
        <f t="shared" si="111"/>
        <v>41</v>
      </c>
      <c r="L1048" s="736">
        <f t="shared" si="109"/>
        <v>1</v>
      </c>
      <c r="M1048" s="2533">
        <f t="shared" si="112"/>
        <v>1</v>
      </c>
      <c r="U1048" s="1260">
        <f t="shared" si="113"/>
        <v>402</v>
      </c>
      <c r="V1048" s="745">
        <v>0</v>
      </c>
      <c r="W1048" s="745">
        <v>22</v>
      </c>
      <c r="X1048" s="745">
        <v>0</v>
      </c>
      <c r="Y1048" s="1202">
        <v>1</v>
      </c>
    </row>
    <row r="1049" spans="5:25" ht="15" x14ac:dyDescent="0.2">
      <c r="E1049" s="1201"/>
      <c r="F1049" s="745"/>
      <c r="G1049" s="745"/>
      <c r="H1049" s="1256">
        <f t="shared" si="110"/>
        <v>0</v>
      </c>
      <c r="I1049" s="736">
        <v>822</v>
      </c>
      <c r="J1049" s="736">
        <f t="shared" si="108"/>
        <v>5</v>
      </c>
      <c r="K1049" s="2532">
        <f t="shared" si="111"/>
        <v>40</v>
      </c>
      <c r="L1049" s="736">
        <f t="shared" si="109"/>
        <v>1</v>
      </c>
      <c r="M1049" s="2533">
        <f t="shared" si="112"/>
        <v>2</v>
      </c>
      <c r="U1049" s="1260">
        <f t="shared" si="113"/>
        <v>420</v>
      </c>
      <c r="V1049" s="745">
        <v>0</v>
      </c>
      <c r="W1049" s="745">
        <v>23</v>
      </c>
      <c r="X1049" s="745">
        <v>0</v>
      </c>
      <c r="Y1049" s="1202">
        <v>1</v>
      </c>
    </row>
    <row r="1050" spans="5:25" ht="15" x14ac:dyDescent="0.2">
      <c r="E1050" s="1201"/>
      <c r="F1050" s="745"/>
      <c r="G1050" s="745"/>
      <c r="H1050" s="1256">
        <f t="shared" si="110"/>
        <v>0</v>
      </c>
      <c r="I1050" s="736">
        <v>823</v>
      </c>
      <c r="J1050" s="736">
        <f t="shared" si="108"/>
        <v>1</v>
      </c>
      <c r="K1050" s="2532">
        <f t="shared" si="111"/>
        <v>44</v>
      </c>
      <c r="L1050" s="736">
        <f t="shared" si="109"/>
        <v>0</v>
      </c>
      <c r="M1050" s="2533">
        <f t="shared" si="112"/>
        <v>1</v>
      </c>
      <c r="U1050" s="1260">
        <f t="shared" si="113"/>
        <v>438</v>
      </c>
      <c r="V1050" s="745">
        <v>0</v>
      </c>
      <c r="W1050" s="745">
        <v>24</v>
      </c>
      <c r="X1050" s="745">
        <v>0</v>
      </c>
      <c r="Y1050" s="1202">
        <v>1</v>
      </c>
    </row>
    <row r="1051" spans="5:25" ht="15" x14ac:dyDescent="0.2">
      <c r="E1051" s="1201"/>
      <c r="F1051" s="745"/>
      <c r="G1051" s="745"/>
      <c r="H1051" s="1256">
        <f t="shared" si="110"/>
        <v>0</v>
      </c>
      <c r="I1051" s="736">
        <v>824</v>
      </c>
      <c r="J1051" s="736">
        <f t="shared" si="108"/>
        <v>4</v>
      </c>
      <c r="K1051" s="2532">
        <f t="shared" si="111"/>
        <v>42</v>
      </c>
      <c r="L1051" s="736">
        <f t="shared" si="109"/>
        <v>0</v>
      </c>
      <c r="M1051" s="2533">
        <f t="shared" si="112"/>
        <v>1</v>
      </c>
      <c r="U1051" s="1260">
        <f t="shared" si="113"/>
        <v>456</v>
      </c>
      <c r="V1051" s="745">
        <v>0</v>
      </c>
      <c r="W1051" s="745">
        <v>25</v>
      </c>
      <c r="X1051" s="745">
        <v>0</v>
      </c>
      <c r="Y1051" s="1202">
        <v>1</v>
      </c>
    </row>
    <row r="1052" spans="5:25" ht="15" x14ac:dyDescent="0.2">
      <c r="E1052" s="1201"/>
      <c r="F1052" s="745"/>
      <c r="G1052" s="745"/>
      <c r="H1052" s="1256">
        <f t="shared" si="110"/>
        <v>0</v>
      </c>
      <c r="I1052" s="736">
        <v>825</v>
      </c>
      <c r="J1052" s="736">
        <f t="shared" si="108"/>
        <v>0</v>
      </c>
      <c r="K1052" s="2532">
        <f t="shared" si="111"/>
        <v>44</v>
      </c>
      <c r="L1052" s="736">
        <f t="shared" si="109"/>
        <v>1</v>
      </c>
      <c r="M1052" s="2533">
        <f t="shared" si="112"/>
        <v>1</v>
      </c>
      <c r="U1052" s="1260">
        <f t="shared" si="113"/>
        <v>474</v>
      </c>
      <c r="V1052" s="745">
        <v>0</v>
      </c>
      <c r="W1052" s="745">
        <v>26</v>
      </c>
      <c r="X1052" s="745">
        <v>0</v>
      </c>
      <c r="Y1052" s="1202">
        <v>1</v>
      </c>
    </row>
    <row r="1053" spans="5:25" ht="15" x14ac:dyDescent="0.2">
      <c r="E1053" s="1201"/>
      <c r="F1053" s="745"/>
      <c r="G1053" s="745"/>
      <c r="H1053" s="1256">
        <f t="shared" si="110"/>
        <v>0</v>
      </c>
      <c r="I1053" s="736">
        <v>826</v>
      </c>
      <c r="J1053" s="736">
        <f t="shared" si="108"/>
        <v>1</v>
      </c>
      <c r="K1053" s="2532">
        <f t="shared" si="111"/>
        <v>43</v>
      </c>
      <c r="L1053" s="736">
        <f t="shared" si="109"/>
        <v>1</v>
      </c>
      <c r="M1053" s="2533">
        <f t="shared" si="112"/>
        <v>2</v>
      </c>
      <c r="U1053" s="1260">
        <f t="shared" si="113"/>
        <v>492</v>
      </c>
      <c r="V1053" s="745">
        <v>0</v>
      </c>
      <c r="W1053" s="745">
        <v>27</v>
      </c>
      <c r="X1053" s="745">
        <v>0</v>
      </c>
      <c r="Y1053" s="1202">
        <v>1</v>
      </c>
    </row>
    <row r="1054" spans="5:25" ht="15" x14ac:dyDescent="0.2">
      <c r="E1054" s="1201"/>
      <c r="F1054" s="745"/>
      <c r="G1054" s="745"/>
      <c r="H1054" s="1256">
        <f t="shared" si="110"/>
        <v>0</v>
      </c>
      <c r="I1054" s="736">
        <v>827</v>
      </c>
      <c r="J1054" s="736">
        <f t="shared" si="108"/>
        <v>3</v>
      </c>
      <c r="K1054" s="2532">
        <f t="shared" si="111"/>
        <v>42</v>
      </c>
      <c r="L1054" s="736">
        <f t="shared" si="109"/>
        <v>1</v>
      </c>
      <c r="M1054" s="2533">
        <f t="shared" si="112"/>
        <v>1</v>
      </c>
      <c r="U1054" s="1260">
        <f t="shared" si="113"/>
        <v>510</v>
      </c>
      <c r="V1054" s="745">
        <v>0</v>
      </c>
      <c r="W1054" s="745">
        <v>28</v>
      </c>
      <c r="X1054" s="745">
        <v>0</v>
      </c>
      <c r="Y1054" s="1202">
        <v>1</v>
      </c>
    </row>
    <row r="1055" spans="5:25" ht="15" x14ac:dyDescent="0.2">
      <c r="E1055" s="1201"/>
      <c r="F1055" s="745"/>
      <c r="G1055" s="745"/>
      <c r="H1055" s="1256">
        <f t="shared" si="110"/>
        <v>0</v>
      </c>
      <c r="I1055" s="736">
        <v>828</v>
      </c>
      <c r="J1055" s="736">
        <f t="shared" si="108"/>
        <v>0</v>
      </c>
      <c r="K1055" s="2532">
        <f t="shared" si="111"/>
        <v>45</v>
      </c>
      <c r="L1055" s="736">
        <f t="shared" si="109"/>
        <v>0</v>
      </c>
      <c r="M1055" s="2533">
        <f t="shared" si="112"/>
        <v>1</v>
      </c>
      <c r="U1055" s="1260">
        <f t="shared" si="113"/>
        <v>528</v>
      </c>
      <c r="V1055" s="745">
        <v>0</v>
      </c>
      <c r="W1055" s="745">
        <v>29</v>
      </c>
      <c r="X1055" s="745">
        <v>0</v>
      </c>
      <c r="Y1055" s="1202">
        <v>1</v>
      </c>
    </row>
    <row r="1056" spans="5:25" ht="15" x14ac:dyDescent="0.2">
      <c r="E1056" s="1201"/>
      <c r="F1056" s="745"/>
      <c r="G1056" s="745"/>
      <c r="H1056" s="1256">
        <f t="shared" si="110"/>
        <v>0</v>
      </c>
      <c r="I1056" s="736">
        <v>829</v>
      </c>
      <c r="J1056" s="736">
        <f t="shared" si="108"/>
        <v>1</v>
      </c>
      <c r="K1056" s="2532">
        <f t="shared" si="111"/>
        <v>44</v>
      </c>
      <c r="L1056" s="736">
        <f t="shared" si="109"/>
        <v>0</v>
      </c>
      <c r="M1056" s="2533">
        <f t="shared" si="112"/>
        <v>2</v>
      </c>
      <c r="U1056" s="1260">
        <f t="shared" si="113"/>
        <v>546</v>
      </c>
      <c r="V1056" s="745">
        <v>0</v>
      </c>
      <c r="W1056" s="745">
        <v>30</v>
      </c>
      <c r="X1056" s="745">
        <v>0</v>
      </c>
      <c r="Y1056" s="1202">
        <v>1</v>
      </c>
    </row>
    <row r="1057" spans="5:25" ht="15" x14ac:dyDescent="0.2">
      <c r="E1057" s="1201"/>
      <c r="F1057" s="745"/>
      <c r="G1057" s="745"/>
      <c r="H1057" s="1256">
        <f t="shared" si="110"/>
        <v>0</v>
      </c>
      <c r="I1057" s="736">
        <v>830</v>
      </c>
      <c r="J1057" s="736">
        <f t="shared" si="108"/>
        <v>3</v>
      </c>
      <c r="K1057" s="2532">
        <f t="shared" si="111"/>
        <v>43</v>
      </c>
      <c r="L1057" s="736">
        <f t="shared" si="109"/>
        <v>0</v>
      </c>
      <c r="M1057" s="2533">
        <f t="shared" si="112"/>
        <v>1</v>
      </c>
      <c r="U1057" s="1260">
        <f t="shared" si="113"/>
        <v>564</v>
      </c>
      <c r="V1057" s="745">
        <v>0</v>
      </c>
      <c r="W1057" s="745">
        <v>31</v>
      </c>
      <c r="X1057" s="745">
        <v>0</v>
      </c>
      <c r="Y1057" s="1202">
        <v>1</v>
      </c>
    </row>
    <row r="1058" spans="5:25" ht="15" x14ac:dyDescent="0.2">
      <c r="E1058" s="1201"/>
      <c r="F1058" s="745"/>
      <c r="G1058" s="745"/>
      <c r="H1058" s="1256">
        <f t="shared" si="110"/>
        <v>0</v>
      </c>
      <c r="I1058" s="736">
        <v>831</v>
      </c>
      <c r="J1058" s="736">
        <f t="shared" si="108"/>
        <v>0</v>
      </c>
      <c r="K1058" s="2532">
        <f t="shared" si="111"/>
        <v>44</v>
      </c>
      <c r="L1058" s="736">
        <f t="shared" si="109"/>
        <v>1</v>
      </c>
      <c r="M1058" s="2533">
        <f t="shared" si="112"/>
        <v>2</v>
      </c>
      <c r="U1058" s="1260">
        <f t="shared" si="113"/>
        <v>582</v>
      </c>
      <c r="V1058" s="745">
        <v>0</v>
      </c>
      <c r="W1058" s="745">
        <v>32</v>
      </c>
      <c r="X1058" s="745">
        <v>0</v>
      </c>
      <c r="Y1058" s="1202">
        <v>1</v>
      </c>
    </row>
    <row r="1059" spans="5:25" ht="15" x14ac:dyDescent="0.2">
      <c r="E1059" s="1201"/>
      <c r="F1059" s="745"/>
      <c r="G1059" s="745"/>
      <c r="H1059" s="1256">
        <f t="shared" si="110"/>
        <v>0</v>
      </c>
      <c r="I1059" s="736">
        <v>832</v>
      </c>
      <c r="J1059" s="736">
        <f t="shared" si="108"/>
        <v>2</v>
      </c>
      <c r="K1059" s="2532">
        <f t="shared" si="111"/>
        <v>43</v>
      </c>
      <c r="L1059" s="736">
        <f t="shared" si="109"/>
        <v>1</v>
      </c>
      <c r="M1059" s="2533">
        <f t="shared" si="112"/>
        <v>1</v>
      </c>
      <c r="U1059" s="1260">
        <f t="shared" si="113"/>
        <v>600</v>
      </c>
      <c r="V1059" s="745">
        <v>0</v>
      </c>
      <c r="W1059" s="745">
        <v>33</v>
      </c>
      <c r="X1059" s="745">
        <v>0</v>
      </c>
      <c r="Y1059" s="1202">
        <v>1</v>
      </c>
    </row>
    <row r="1060" spans="5:25" ht="15" x14ac:dyDescent="0.2">
      <c r="E1060" s="1201"/>
      <c r="F1060" s="745"/>
      <c r="G1060" s="745"/>
      <c r="H1060" s="1256">
        <f t="shared" si="110"/>
        <v>0</v>
      </c>
      <c r="I1060" s="736">
        <v>833</v>
      </c>
      <c r="J1060" s="736">
        <f t="shared" si="108"/>
        <v>3</v>
      </c>
      <c r="K1060" s="2532">
        <f t="shared" si="111"/>
        <v>42</v>
      </c>
      <c r="L1060" s="736">
        <f t="shared" si="109"/>
        <v>1</v>
      </c>
      <c r="M1060" s="2533">
        <f t="shared" si="112"/>
        <v>2</v>
      </c>
      <c r="U1060" s="1260">
        <f t="shared" si="113"/>
        <v>618</v>
      </c>
      <c r="V1060" s="745">
        <v>0</v>
      </c>
      <c r="W1060" s="745">
        <v>34</v>
      </c>
      <c r="X1060" s="745">
        <v>0</v>
      </c>
      <c r="Y1060" s="1202">
        <v>1</v>
      </c>
    </row>
    <row r="1061" spans="5:25" ht="15" x14ac:dyDescent="0.2">
      <c r="E1061" s="1201"/>
      <c r="F1061" s="745"/>
      <c r="G1061" s="745"/>
      <c r="H1061" s="1256">
        <f t="shared" si="110"/>
        <v>0</v>
      </c>
      <c r="I1061" s="736">
        <v>834</v>
      </c>
      <c r="J1061" s="736">
        <f t="shared" si="108"/>
        <v>5</v>
      </c>
      <c r="K1061" s="2532">
        <f t="shared" si="111"/>
        <v>41</v>
      </c>
      <c r="L1061" s="736">
        <f t="shared" si="109"/>
        <v>1</v>
      </c>
      <c r="M1061" s="2533">
        <f t="shared" si="112"/>
        <v>1</v>
      </c>
      <c r="U1061" s="1260">
        <f t="shared" si="113"/>
        <v>636</v>
      </c>
      <c r="V1061" s="745">
        <v>0</v>
      </c>
      <c r="W1061" s="745">
        <v>35</v>
      </c>
      <c r="X1061" s="745">
        <v>0</v>
      </c>
      <c r="Y1061" s="1202">
        <v>1</v>
      </c>
    </row>
    <row r="1062" spans="5:25" ht="15" x14ac:dyDescent="0.2">
      <c r="E1062" s="1201"/>
      <c r="F1062" s="745"/>
      <c r="G1062" s="745"/>
      <c r="H1062" s="1256">
        <f t="shared" si="110"/>
        <v>0</v>
      </c>
      <c r="I1062" s="736">
        <v>835</v>
      </c>
      <c r="J1062" s="736">
        <f t="shared" si="108"/>
        <v>2</v>
      </c>
      <c r="K1062" s="2532">
        <f t="shared" si="111"/>
        <v>44</v>
      </c>
      <c r="L1062" s="736">
        <f t="shared" si="109"/>
        <v>0</v>
      </c>
      <c r="M1062" s="2533">
        <f t="shared" si="112"/>
        <v>1</v>
      </c>
      <c r="U1062" s="1260">
        <f t="shared" si="113"/>
        <v>654</v>
      </c>
      <c r="V1062" s="745">
        <v>0</v>
      </c>
      <c r="W1062" s="745">
        <v>36</v>
      </c>
      <c r="X1062" s="745">
        <v>0</v>
      </c>
      <c r="Y1062" s="1202">
        <v>1</v>
      </c>
    </row>
    <row r="1063" spans="5:25" ht="15" x14ac:dyDescent="0.2">
      <c r="E1063" s="1201"/>
      <c r="F1063" s="745"/>
      <c r="G1063" s="745"/>
      <c r="H1063" s="1256">
        <f t="shared" si="110"/>
        <v>0</v>
      </c>
      <c r="I1063" s="736">
        <v>836</v>
      </c>
      <c r="J1063" s="736">
        <f t="shared" si="108"/>
        <v>3</v>
      </c>
      <c r="K1063" s="2532">
        <f t="shared" si="111"/>
        <v>43</v>
      </c>
      <c r="L1063" s="736">
        <f t="shared" si="109"/>
        <v>0</v>
      </c>
      <c r="M1063" s="2533">
        <f t="shared" si="112"/>
        <v>2</v>
      </c>
      <c r="U1063" s="1260">
        <f t="shared" si="113"/>
        <v>672</v>
      </c>
      <c r="V1063" s="745">
        <v>0</v>
      </c>
      <c r="W1063" s="745">
        <v>37</v>
      </c>
      <c r="X1063" s="745">
        <v>0</v>
      </c>
      <c r="Y1063" s="1202">
        <v>1</v>
      </c>
    </row>
    <row r="1064" spans="5:25" ht="15" x14ac:dyDescent="0.2">
      <c r="E1064" s="1201"/>
      <c r="F1064" s="745"/>
      <c r="G1064" s="745"/>
      <c r="H1064" s="1256">
        <f t="shared" si="110"/>
        <v>0</v>
      </c>
      <c r="I1064" s="736">
        <v>837</v>
      </c>
      <c r="J1064" s="736">
        <f t="shared" si="108"/>
        <v>5</v>
      </c>
      <c r="K1064" s="2532">
        <f t="shared" si="111"/>
        <v>42</v>
      </c>
      <c r="L1064" s="736">
        <f t="shared" si="109"/>
        <v>0</v>
      </c>
      <c r="M1064" s="2533">
        <f t="shared" si="112"/>
        <v>1</v>
      </c>
      <c r="U1064" s="1260">
        <f t="shared" si="113"/>
        <v>690</v>
      </c>
      <c r="V1064" s="745">
        <v>0</v>
      </c>
      <c r="W1064" s="745">
        <v>38</v>
      </c>
      <c r="X1064" s="745">
        <v>0</v>
      </c>
      <c r="Y1064" s="1202">
        <v>1</v>
      </c>
    </row>
    <row r="1065" spans="5:25" ht="15" x14ac:dyDescent="0.2">
      <c r="E1065" s="1201"/>
      <c r="F1065" s="745"/>
      <c r="G1065" s="745"/>
      <c r="H1065" s="1256">
        <f t="shared" si="110"/>
        <v>0</v>
      </c>
      <c r="I1065" s="736">
        <v>838</v>
      </c>
      <c r="J1065" s="736">
        <f t="shared" si="108"/>
        <v>1</v>
      </c>
      <c r="K1065" s="2532">
        <f t="shared" si="111"/>
        <v>44</v>
      </c>
      <c r="L1065" s="736">
        <f t="shared" si="109"/>
        <v>1</v>
      </c>
      <c r="M1065" s="2533">
        <f t="shared" si="112"/>
        <v>1</v>
      </c>
      <c r="U1065" s="1260">
        <f t="shared" si="113"/>
        <v>708</v>
      </c>
      <c r="V1065" s="745">
        <v>0</v>
      </c>
      <c r="W1065" s="745">
        <v>39</v>
      </c>
      <c r="X1065" s="745">
        <v>0</v>
      </c>
      <c r="Y1065" s="1202">
        <v>1</v>
      </c>
    </row>
    <row r="1066" spans="5:25" ht="15" x14ac:dyDescent="0.2">
      <c r="E1066" s="1201"/>
      <c r="F1066" s="745"/>
      <c r="G1066" s="745"/>
      <c r="H1066" s="1256">
        <f t="shared" si="110"/>
        <v>0</v>
      </c>
      <c r="I1066" s="736">
        <v>839</v>
      </c>
      <c r="J1066" s="736">
        <f t="shared" si="108"/>
        <v>4</v>
      </c>
      <c r="K1066" s="2532">
        <f t="shared" si="111"/>
        <v>42</v>
      </c>
      <c r="L1066" s="736">
        <f t="shared" si="109"/>
        <v>1</v>
      </c>
      <c r="M1066" s="2533">
        <f t="shared" si="112"/>
        <v>1</v>
      </c>
      <c r="U1066" s="1260">
        <f t="shared" si="113"/>
        <v>726</v>
      </c>
      <c r="V1066" s="745">
        <v>0</v>
      </c>
      <c r="W1066" s="745">
        <v>40</v>
      </c>
      <c r="X1066" s="745">
        <v>0</v>
      </c>
      <c r="Y1066" s="1202">
        <v>1</v>
      </c>
    </row>
    <row r="1067" spans="5:25" ht="15" x14ac:dyDescent="0.2">
      <c r="E1067" s="1201"/>
      <c r="F1067" s="745"/>
      <c r="G1067" s="745"/>
      <c r="H1067" s="1256">
        <f t="shared" si="110"/>
        <v>0</v>
      </c>
      <c r="I1067" s="736">
        <v>840</v>
      </c>
      <c r="J1067" s="736">
        <f t="shared" si="108"/>
        <v>5</v>
      </c>
      <c r="K1067" s="2532">
        <f t="shared" si="111"/>
        <v>41</v>
      </c>
      <c r="L1067" s="736">
        <f t="shared" si="109"/>
        <v>1</v>
      </c>
      <c r="M1067" s="2533">
        <f t="shared" si="112"/>
        <v>2</v>
      </c>
      <c r="U1067" s="1260">
        <f t="shared" si="113"/>
        <v>744</v>
      </c>
      <c r="V1067" s="745">
        <v>0</v>
      </c>
      <c r="W1067" s="745">
        <v>41</v>
      </c>
      <c r="X1067" s="745">
        <v>0</v>
      </c>
      <c r="Y1067" s="1202">
        <v>1</v>
      </c>
    </row>
    <row r="1068" spans="5:25" ht="15" x14ac:dyDescent="0.2">
      <c r="E1068" s="1201"/>
      <c r="F1068" s="745"/>
      <c r="G1068" s="745"/>
      <c r="H1068" s="1256">
        <f t="shared" si="110"/>
        <v>0</v>
      </c>
      <c r="I1068" s="736">
        <v>841</v>
      </c>
      <c r="J1068" s="736">
        <f t="shared" si="108"/>
        <v>1</v>
      </c>
      <c r="K1068" s="2532">
        <f t="shared" si="111"/>
        <v>45</v>
      </c>
      <c r="L1068" s="736">
        <f t="shared" si="109"/>
        <v>0</v>
      </c>
      <c r="M1068" s="2533">
        <f t="shared" si="112"/>
        <v>1</v>
      </c>
      <c r="U1068" s="1260">
        <f t="shared" si="113"/>
        <v>762</v>
      </c>
      <c r="V1068" s="745">
        <v>0</v>
      </c>
      <c r="W1068" s="745">
        <v>42</v>
      </c>
      <c r="X1068" s="745">
        <v>0</v>
      </c>
      <c r="Y1068" s="1202">
        <v>1</v>
      </c>
    </row>
    <row r="1069" spans="5:25" ht="15" x14ac:dyDescent="0.2">
      <c r="E1069" s="1201"/>
      <c r="F1069" s="745"/>
      <c r="G1069" s="745"/>
      <c r="H1069" s="1256">
        <f t="shared" si="110"/>
        <v>0</v>
      </c>
      <c r="I1069" s="736">
        <v>842</v>
      </c>
      <c r="J1069" s="736">
        <f t="shared" si="108"/>
        <v>4</v>
      </c>
      <c r="K1069" s="2532">
        <f t="shared" si="111"/>
        <v>43</v>
      </c>
      <c r="L1069" s="736">
        <f t="shared" si="109"/>
        <v>0</v>
      </c>
      <c r="M1069" s="2533">
        <f t="shared" si="112"/>
        <v>1</v>
      </c>
      <c r="U1069" s="1260">
        <f t="shared" si="113"/>
        <v>780</v>
      </c>
      <c r="V1069" s="745">
        <v>0</v>
      </c>
      <c r="W1069" s="745">
        <v>43</v>
      </c>
      <c r="X1069" s="745">
        <v>0</v>
      </c>
      <c r="Y1069" s="1202">
        <v>1</v>
      </c>
    </row>
    <row r="1070" spans="5:25" ht="15" x14ac:dyDescent="0.2">
      <c r="E1070" s="1201"/>
      <c r="F1070" s="745"/>
      <c r="G1070" s="745"/>
      <c r="H1070" s="1256">
        <f t="shared" si="110"/>
        <v>0</v>
      </c>
      <c r="I1070" s="736">
        <v>843</v>
      </c>
      <c r="J1070" s="736">
        <f t="shared" ref="J1070:J1133" si="114">VLOOKUP($I1070,$U$295:$Y$1758,2,FALSE)</f>
        <v>0</v>
      </c>
      <c r="K1070" s="2532">
        <f t="shared" si="111"/>
        <v>45</v>
      </c>
      <c r="L1070" s="736">
        <f t="shared" ref="L1070:L1133" si="115">VLOOKUP($I1070,$U$295:$Y$1758,4,FALSE)</f>
        <v>1</v>
      </c>
      <c r="M1070" s="2533">
        <f t="shared" si="112"/>
        <v>1</v>
      </c>
      <c r="U1070" s="1260">
        <f t="shared" si="113"/>
        <v>798</v>
      </c>
      <c r="V1070" s="745">
        <v>0</v>
      </c>
      <c r="W1070" s="745">
        <v>44</v>
      </c>
      <c r="X1070" s="745">
        <v>0</v>
      </c>
      <c r="Y1070" s="1202">
        <v>1</v>
      </c>
    </row>
    <row r="1071" spans="5:25" ht="15" x14ac:dyDescent="0.2">
      <c r="E1071" s="1201"/>
      <c r="F1071" s="745"/>
      <c r="G1071" s="745"/>
      <c r="H1071" s="1256">
        <f t="shared" ref="H1071:H1134" si="116">IF($H$298=I1071,1,0)</f>
        <v>0</v>
      </c>
      <c r="I1071" s="736">
        <v>844</v>
      </c>
      <c r="J1071" s="736">
        <f t="shared" si="114"/>
        <v>1</v>
      </c>
      <c r="K1071" s="2532">
        <f t="shared" ref="K1071:K1134" si="117">IF(VLOOKUP($I1071,$U$295:$Y$1758,3,FALSE)&gt;0,VLOOKUP($I1071,$U$295:$Y$1758,3,FALSE)-1,VLOOKUP($I1071,$U$295:$Y$1758,3,FALSE))</f>
        <v>44</v>
      </c>
      <c r="L1071" s="736">
        <f t="shared" si="115"/>
        <v>1</v>
      </c>
      <c r="M1071" s="2533">
        <f t="shared" ref="M1071:M1134" si="118">VLOOKUP($I1071,$U$295:$Y$1758,5,FALSE)+1</f>
        <v>2</v>
      </c>
      <c r="U1071" s="1260">
        <f t="shared" si="113"/>
        <v>816</v>
      </c>
      <c r="V1071" s="745">
        <v>0</v>
      </c>
      <c r="W1071" s="745">
        <v>45</v>
      </c>
      <c r="X1071" s="745">
        <v>0</v>
      </c>
      <c r="Y1071" s="1202">
        <v>1</v>
      </c>
    </row>
    <row r="1072" spans="5:25" ht="15" x14ac:dyDescent="0.2">
      <c r="E1072" s="1201"/>
      <c r="F1072" s="745"/>
      <c r="G1072" s="745"/>
      <c r="H1072" s="1256">
        <f t="shared" si="116"/>
        <v>0</v>
      </c>
      <c r="I1072" s="736">
        <v>845</v>
      </c>
      <c r="J1072" s="736">
        <f t="shared" si="114"/>
        <v>3</v>
      </c>
      <c r="K1072" s="2532">
        <f t="shared" si="117"/>
        <v>43</v>
      </c>
      <c r="L1072" s="736">
        <f t="shared" si="115"/>
        <v>1</v>
      </c>
      <c r="M1072" s="2533">
        <f t="shared" si="118"/>
        <v>1</v>
      </c>
      <c r="U1072" s="1260">
        <f t="shared" si="113"/>
        <v>834</v>
      </c>
      <c r="V1072" s="745">
        <v>0</v>
      </c>
      <c r="W1072" s="745">
        <v>46</v>
      </c>
      <c r="X1072" s="745">
        <v>0</v>
      </c>
      <c r="Y1072" s="1202">
        <v>1</v>
      </c>
    </row>
    <row r="1073" spans="5:25" ht="15" x14ac:dyDescent="0.2">
      <c r="E1073" s="1201"/>
      <c r="F1073" s="745"/>
      <c r="G1073" s="745"/>
      <c r="H1073" s="1256">
        <f t="shared" si="116"/>
        <v>0</v>
      </c>
      <c r="I1073" s="736">
        <v>846</v>
      </c>
      <c r="J1073" s="736">
        <f t="shared" si="114"/>
        <v>0</v>
      </c>
      <c r="K1073" s="2532">
        <f t="shared" si="117"/>
        <v>46</v>
      </c>
      <c r="L1073" s="736">
        <f t="shared" si="115"/>
        <v>0</v>
      </c>
      <c r="M1073" s="2533">
        <f t="shared" si="118"/>
        <v>1</v>
      </c>
      <c r="U1073" s="1260">
        <f t="shared" si="113"/>
        <v>852</v>
      </c>
      <c r="V1073" s="745">
        <v>0</v>
      </c>
      <c r="W1073" s="745">
        <v>47</v>
      </c>
      <c r="X1073" s="745">
        <v>0</v>
      </c>
      <c r="Y1073" s="1202">
        <v>1</v>
      </c>
    </row>
    <row r="1074" spans="5:25" ht="15" x14ac:dyDescent="0.2">
      <c r="E1074" s="1201"/>
      <c r="F1074" s="745"/>
      <c r="G1074" s="745"/>
      <c r="H1074" s="1256">
        <f t="shared" si="116"/>
        <v>0</v>
      </c>
      <c r="I1074" s="736">
        <v>847</v>
      </c>
      <c r="J1074" s="736">
        <f t="shared" si="114"/>
        <v>1</v>
      </c>
      <c r="K1074" s="2532">
        <f t="shared" si="117"/>
        <v>45</v>
      </c>
      <c r="L1074" s="736">
        <f t="shared" si="115"/>
        <v>0</v>
      </c>
      <c r="M1074" s="2533">
        <f t="shared" si="118"/>
        <v>2</v>
      </c>
      <c r="U1074" s="1260">
        <f t="shared" si="113"/>
        <v>870</v>
      </c>
      <c r="V1074" s="745">
        <v>0</v>
      </c>
      <c r="W1074" s="745">
        <v>48</v>
      </c>
      <c r="X1074" s="745">
        <v>0</v>
      </c>
      <c r="Y1074" s="1202">
        <v>1</v>
      </c>
    </row>
    <row r="1075" spans="5:25" ht="15" x14ac:dyDescent="0.2">
      <c r="E1075" s="1201"/>
      <c r="F1075" s="745"/>
      <c r="G1075" s="745"/>
      <c r="H1075" s="1256">
        <f t="shared" si="116"/>
        <v>0</v>
      </c>
      <c r="I1075" s="736">
        <v>848</v>
      </c>
      <c r="J1075" s="736">
        <f t="shared" si="114"/>
        <v>3</v>
      </c>
      <c r="K1075" s="2532">
        <f t="shared" si="117"/>
        <v>44</v>
      </c>
      <c r="L1075" s="736">
        <f t="shared" si="115"/>
        <v>0</v>
      </c>
      <c r="M1075" s="2533">
        <f t="shared" si="118"/>
        <v>1</v>
      </c>
      <c r="U1075" s="1260">
        <f t="shared" si="113"/>
        <v>888</v>
      </c>
      <c r="V1075" s="745">
        <v>0</v>
      </c>
      <c r="W1075" s="745">
        <v>49</v>
      </c>
      <c r="X1075" s="745">
        <v>0</v>
      </c>
      <c r="Y1075" s="1202">
        <v>1</v>
      </c>
    </row>
    <row r="1076" spans="5:25" ht="15" x14ac:dyDescent="0.2">
      <c r="E1076" s="1201"/>
      <c r="F1076" s="745"/>
      <c r="G1076" s="745"/>
      <c r="H1076" s="1256">
        <f t="shared" si="116"/>
        <v>0</v>
      </c>
      <c r="I1076" s="736">
        <v>849</v>
      </c>
      <c r="J1076" s="736">
        <f t="shared" si="114"/>
        <v>0</v>
      </c>
      <c r="K1076" s="2532">
        <f t="shared" si="117"/>
        <v>45</v>
      </c>
      <c r="L1076" s="736">
        <f t="shared" si="115"/>
        <v>1</v>
      </c>
      <c r="M1076" s="2533">
        <f t="shared" si="118"/>
        <v>2</v>
      </c>
      <c r="U1076" s="1260">
        <f t="shared" si="113"/>
        <v>906</v>
      </c>
      <c r="V1076" s="745">
        <v>0</v>
      </c>
      <c r="W1076" s="745">
        <v>50</v>
      </c>
      <c r="X1076" s="745">
        <v>0</v>
      </c>
      <c r="Y1076" s="1202">
        <v>1</v>
      </c>
    </row>
    <row r="1077" spans="5:25" ht="15" x14ac:dyDescent="0.2">
      <c r="E1077" s="1201"/>
      <c r="F1077" s="745"/>
      <c r="G1077" s="745"/>
      <c r="H1077" s="1256">
        <f t="shared" si="116"/>
        <v>0</v>
      </c>
      <c r="I1077" s="736">
        <v>850</v>
      </c>
      <c r="J1077" s="736">
        <f t="shared" si="114"/>
        <v>2</v>
      </c>
      <c r="K1077" s="2532">
        <f t="shared" si="117"/>
        <v>44</v>
      </c>
      <c r="L1077" s="736">
        <f t="shared" si="115"/>
        <v>1</v>
      </c>
      <c r="M1077" s="2533">
        <f t="shared" si="118"/>
        <v>1</v>
      </c>
      <c r="U1077" s="1260">
        <f t="shared" si="113"/>
        <v>924</v>
      </c>
      <c r="V1077" s="745">
        <v>0</v>
      </c>
      <c r="W1077" s="745">
        <v>51</v>
      </c>
      <c r="X1077" s="745">
        <v>0</v>
      </c>
      <c r="Y1077" s="1202">
        <v>1</v>
      </c>
    </row>
    <row r="1078" spans="5:25" ht="15" x14ac:dyDescent="0.2">
      <c r="E1078" s="1201"/>
      <c r="F1078" s="745"/>
      <c r="G1078" s="745"/>
      <c r="H1078" s="1256">
        <f t="shared" si="116"/>
        <v>0</v>
      </c>
      <c r="I1078" s="736">
        <v>851</v>
      </c>
      <c r="J1078" s="736">
        <f t="shared" si="114"/>
        <v>3</v>
      </c>
      <c r="K1078" s="2532">
        <f t="shared" si="117"/>
        <v>43</v>
      </c>
      <c r="L1078" s="736">
        <f t="shared" si="115"/>
        <v>1</v>
      </c>
      <c r="M1078" s="2533">
        <f t="shared" si="118"/>
        <v>2</v>
      </c>
      <c r="U1078" s="1260">
        <f t="shared" si="113"/>
        <v>942</v>
      </c>
      <c r="V1078" s="745">
        <v>0</v>
      </c>
      <c r="W1078" s="745">
        <v>52</v>
      </c>
      <c r="X1078" s="745">
        <v>0</v>
      </c>
      <c r="Y1078" s="1202">
        <v>1</v>
      </c>
    </row>
    <row r="1079" spans="5:25" ht="15" x14ac:dyDescent="0.2">
      <c r="E1079" s="1201"/>
      <c r="F1079" s="745"/>
      <c r="G1079" s="745"/>
      <c r="H1079" s="1256">
        <f t="shared" si="116"/>
        <v>0</v>
      </c>
      <c r="I1079" s="736">
        <v>852</v>
      </c>
      <c r="J1079" s="736">
        <f t="shared" si="114"/>
        <v>5</v>
      </c>
      <c r="K1079" s="2532">
        <f t="shared" si="117"/>
        <v>42</v>
      </c>
      <c r="L1079" s="736">
        <f t="shared" si="115"/>
        <v>1</v>
      </c>
      <c r="M1079" s="2533">
        <f t="shared" si="118"/>
        <v>1</v>
      </c>
      <c r="U1079" s="1260">
        <f t="shared" si="113"/>
        <v>960</v>
      </c>
      <c r="V1079" s="745">
        <v>0</v>
      </c>
      <c r="W1079" s="745">
        <v>53</v>
      </c>
      <c r="X1079" s="745">
        <v>0</v>
      </c>
      <c r="Y1079" s="1202">
        <v>1</v>
      </c>
    </row>
    <row r="1080" spans="5:25" ht="15" x14ac:dyDescent="0.2">
      <c r="E1080" s="1201"/>
      <c r="F1080" s="745"/>
      <c r="G1080" s="745"/>
      <c r="H1080" s="1256">
        <f t="shared" si="116"/>
        <v>0</v>
      </c>
      <c r="I1080" s="736">
        <v>853</v>
      </c>
      <c r="J1080" s="736">
        <f t="shared" si="114"/>
        <v>2</v>
      </c>
      <c r="K1080" s="2532">
        <f t="shared" si="117"/>
        <v>45</v>
      </c>
      <c r="L1080" s="736">
        <f t="shared" si="115"/>
        <v>0</v>
      </c>
      <c r="M1080" s="2533">
        <f t="shared" si="118"/>
        <v>1</v>
      </c>
      <c r="U1080" s="1260">
        <f t="shared" si="113"/>
        <v>978</v>
      </c>
      <c r="V1080" s="745">
        <v>0</v>
      </c>
      <c r="W1080" s="745">
        <v>54</v>
      </c>
      <c r="X1080" s="745">
        <v>0</v>
      </c>
      <c r="Y1080" s="1202">
        <v>1</v>
      </c>
    </row>
    <row r="1081" spans="5:25" ht="15" x14ac:dyDescent="0.2">
      <c r="E1081" s="1201"/>
      <c r="F1081" s="745"/>
      <c r="G1081" s="745"/>
      <c r="H1081" s="1256">
        <f t="shared" si="116"/>
        <v>0</v>
      </c>
      <c r="I1081" s="736">
        <v>854</v>
      </c>
      <c r="J1081" s="736">
        <f t="shared" si="114"/>
        <v>3</v>
      </c>
      <c r="K1081" s="2532">
        <f t="shared" si="117"/>
        <v>44</v>
      </c>
      <c r="L1081" s="736">
        <f t="shared" si="115"/>
        <v>0</v>
      </c>
      <c r="M1081" s="2533">
        <f t="shared" si="118"/>
        <v>2</v>
      </c>
      <c r="U1081" s="1260">
        <f t="shared" si="113"/>
        <v>996</v>
      </c>
      <c r="V1081" s="745">
        <v>0</v>
      </c>
      <c r="W1081" s="745">
        <v>55</v>
      </c>
      <c r="X1081" s="745">
        <v>0</v>
      </c>
      <c r="Y1081" s="1202">
        <v>1</v>
      </c>
    </row>
    <row r="1082" spans="5:25" ht="15" x14ac:dyDescent="0.2">
      <c r="E1082" s="1201"/>
      <c r="F1082" s="745"/>
      <c r="G1082" s="745"/>
      <c r="H1082" s="1256">
        <f t="shared" si="116"/>
        <v>0</v>
      </c>
      <c r="I1082" s="736">
        <v>855</v>
      </c>
      <c r="J1082" s="736">
        <f t="shared" si="114"/>
        <v>5</v>
      </c>
      <c r="K1082" s="2532">
        <f t="shared" si="117"/>
        <v>43</v>
      </c>
      <c r="L1082" s="736">
        <f t="shared" si="115"/>
        <v>0</v>
      </c>
      <c r="M1082" s="2533">
        <f t="shared" si="118"/>
        <v>1</v>
      </c>
      <c r="U1082" s="1260">
        <f t="shared" si="113"/>
        <v>1014</v>
      </c>
      <c r="V1082" s="745">
        <v>0</v>
      </c>
      <c r="W1082" s="745">
        <v>56</v>
      </c>
      <c r="X1082" s="745">
        <v>0</v>
      </c>
      <c r="Y1082" s="1202">
        <v>1</v>
      </c>
    </row>
    <row r="1083" spans="5:25" ht="15" x14ac:dyDescent="0.2">
      <c r="E1083" s="1201"/>
      <c r="F1083" s="745"/>
      <c r="G1083" s="745"/>
      <c r="H1083" s="1256">
        <f t="shared" si="116"/>
        <v>0</v>
      </c>
      <c r="I1083" s="736">
        <v>856</v>
      </c>
      <c r="J1083" s="736">
        <f t="shared" si="114"/>
        <v>1</v>
      </c>
      <c r="K1083" s="2532">
        <f t="shared" si="117"/>
        <v>45</v>
      </c>
      <c r="L1083" s="736">
        <f t="shared" si="115"/>
        <v>1</v>
      </c>
      <c r="M1083" s="2533">
        <f t="shared" si="118"/>
        <v>1</v>
      </c>
      <c r="U1083" s="1260">
        <f t="shared" si="113"/>
        <v>37</v>
      </c>
      <c r="V1083" s="745">
        <v>1</v>
      </c>
      <c r="W1083" s="745">
        <v>1</v>
      </c>
      <c r="X1083" s="745">
        <v>0</v>
      </c>
      <c r="Y1083" s="1202">
        <v>1</v>
      </c>
    </row>
    <row r="1084" spans="5:25" ht="15" x14ac:dyDescent="0.2">
      <c r="E1084" s="1201"/>
      <c r="F1084" s="745"/>
      <c r="G1084" s="745"/>
      <c r="H1084" s="1256">
        <f t="shared" si="116"/>
        <v>0</v>
      </c>
      <c r="I1084" s="736">
        <v>857</v>
      </c>
      <c r="J1084" s="736">
        <f t="shared" si="114"/>
        <v>4</v>
      </c>
      <c r="K1084" s="2532">
        <f t="shared" si="117"/>
        <v>43</v>
      </c>
      <c r="L1084" s="736">
        <f t="shared" si="115"/>
        <v>1</v>
      </c>
      <c r="M1084" s="2533">
        <f t="shared" si="118"/>
        <v>1</v>
      </c>
      <c r="U1084" s="1260">
        <f t="shared" si="113"/>
        <v>55</v>
      </c>
      <c r="V1084" s="745">
        <v>1</v>
      </c>
      <c r="W1084" s="745">
        <v>2</v>
      </c>
      <c r="X1084" s="745">
        <v>0</v>
      </c>
      <c r="Y1084" s="1202">
        <v>1</v>
      </c>
    </row>
    <row r="1085" spans="5:25" ht="15" x14ac:dyDescent="0.2">
      <c r="E1085" s="1201"/>
      <c r="F1085" s="745"/>
      <c r="G1085" s="745"/>
      <c r="H1085" s="1256">
        <f t="shared" si="116"/>
        <v>0</v>
      </c>
      <c r="I1085" s="736">
        <v>858</v>
      </c>
      <c r="J1085" s="736">
        <f t="shared" si="114"/>
        <v>5</v>
      </c>
      <c r="K1085" s="2532">
        <f t="shared" si="117"/>
        <v>42</v>
      </c>
      <c r="L1085" s="736">
        <f t="shared" si="115"/>
        <v>1</v>
      </c>
      <c r="M1085" s="2533">
        <f t="shared" si="118"/>
        <v>2</v>
      </c>
      <c r="U1085" s="1260">
        <f t="shared" si="113"/>
        <v>73</v>
      </c>
      <c r="V1085" s="745">
        <v>1</v>
      </c>
      <c r="W1085" s="745">
        <v>3</v>
      </c>
      <c r="X1085" s="745">
        <v>0</v>
      </c>
      <c r="Y1085" s="1202">
        <v>1</v>
      </c>
    </row>
    <row r="1086" spans="5:25" ht="15" x14ac:dyDescent="0.2">
      <c r="E1086" s="1201"/>
      <c r="F1086" s="745"/>
      <c r="G1086" s="745"/>
      <c r="H1086" s="1256">
        <f t="shared" si="116"/>
        <v>0</v>
      </c>
      <c r="I1086" s="736">
        <v>859</v>
      </c>
      <c r="J1086" s="736">
        <f t="shared" si="114"/>
        <v>1</v>
      </c>
      <c r="K1086" s="2532">
        <f t="shared" si="117"/>
        <v>46</v>
      </c>
      <c r="L1086" s="736">
        <f t="shared" si="115"/>
        <v>0</v>
      </c>
      <c r="M1086" s="2533">
        <f t="shared" si="118"/>
        <v>1</v>
      </c>
      <c r="U1086" s="1260">
        <f t="shared" si="113"/>
        <v>91</v>
      </c>
      <c r="V1086" s="745">
        <v>1</v>
      </c>
      <c r="W1086" s="745">
        <v>4</v>
      </c>
      <c r="X1086" s="745">
        <v>0</v>
      </c>
      <c r="Y1086" s="1202">
        <v>1</v>
      </c>
    </row>
    <row r="1087" spans="5:25" ht="15" x14ac:dyDescent="0.2">
      <c r="E1087" s="1201"/>
      <c r="F1087" s="745"/>
      <c r="G1087" s="745"/>
      <c r="H1087" s="1256">
        <f t="shared" si="116"/>
        <v>0</v>
      </c>
      <c r="I1087" s="736">
        <v>860</v>
      </c>
      <c r="J1087" s="736">
        <f t="shared" si="114"/>
        <v>4</v>
      </c>
      <c r="K1087" s="2532">
        <f t="shared" si="117"/>
        <v>44</v>
      </c>
      <c r="L1087" s="736">
        <f t="shared" si="115"/>
        <v>0</v>
      </c>
      <c r="M1087" s="2533">
        <f t="shared" si="118"/>
        <v>1</v>
      </c>
      <c r="U1087" s="1260">
        <f t="shared" si="113"/>
        <v>109</v>
      </c>
      <c r="V1087" s="745">
        <v>1</v>
      </c>
      <c r="W1087" s="745">
        <v>5</v>
      </c>
      <c r="X1087" s="745">
        <v>0</v>
      </c>
      <c r="Y1087" s="1202">
        <v>1</v>
      </c>
    </row>
    <row r="1088" spans="5:25" ht="15" x14ac:dyDescent="0.2">
      <c r="E1088" s="1201"/>
      <c r="F1088" s="745"/>
      <c r="G1088" s="745"/>
      <c r="H1088" s="1256">
        <f t="shared" si="116"/>
        <v>0</v>
      </c>
      <c r="I1088" s="736">
        <v>861</v>
      </c>
      <c r="J1088" s="736">
        <f t="shared" si="114"/>
        <v>0</v>
      </c>
      <c r="K1088" s="2532">
        <f t="shared" si="117"/>
        <v>46</v>
      </c>
      <c r="L1088" s="736">
        <f t="shared" si="115"/>
        <v>1</v>
      </c>
      <c r="M1088" s="2533">
        <f t="shared" si="118"/>
        <v>1</v>
      </c>
      <c r="U1088" s="1260">
        <f t="shared" si="113"/>
        <v>127</v>
      </c>
      <c r="V1088" s="745">
        <v>1</v>
      </c>
      <c r="W1088" s="745">
        <v>6</v>
      </c>
      <c r="X1088" s="745">
        <v>0</v>
      </c>
      <c r="Y1088" s="1202">
        <v>1</v>
      </c>
    </row>
    <row r="1089" spans="5:25" ht="15" x14ac:dyDescent="0.2">
      <c r="E1089" s="1201"/>
      <c r="F1089" s="745"/>
      <c r="G1089" s="745"/>
      <c r="H1089" s="1256">
        <f t="shared" si="116"/>
        <v>0</v>
      </c>
      <c r="I1089" s="736">
        <v>862</v>
      </c>
      <c r="J1089" s="736">
        <f t="shared" si="114"/>
        <v>1</v>
      </c>
      <c r="K1089" s="2532">
        <f t="shared" si="117"/>
        <v>45</v>
      </c>
      <c r="L1089" s="736">
        <f t="shared" si="115"/>
        <v>1</v>
      </c>
      <c r="M1089" s="2533">
        <f t="shared" si="118"/>
        <v>2</v>
      </c>
      <c r="U1089" s="1260">
        <f t="shared" si="113"/>
        <v>145</v>
      </c>
      <c r="V1089" s="745">
        <v>1</v>
      </c>
      <c r="W1089" s="745">
        <v>7</v>
      </c>
      <c r="X1089" s="745">
        <v>0</v>
      </c>
      <c r="Y1089" s="1202">
        <v>1</v>
      </c>
    </row>
    <row r="1090" spans="5:25" ht="15" x14ac:dyDescent="0.2">
      <c r="E1090" s="1201"/>
      <c r="F1090" s="745"/>
      <c r="G1090" s="745"/>
      <c r="H1090" s="1256">
        <f t="shared" si="116"/>
        <v>0</v>
      </c>
      <c r="I1090" s="736">
        <v>863</v>
      </c>
      <c r="J1090" s="736">
        <f t="shared" si="114"/>
        <v>3</v>
      </c>
      <c r="K1090" s="2532">
        <f t="shared" si="117"/>
        <v>44</v>
      </c>
      <c r="L1090" s="736">
        <f t="shared" si="115"/>
        <v>1</v>
      </c>
      <c r="M1090" s="2533">
        <f t="shared" si="118"/>
        <v>1</v>
      </c>
      <c r="U1090" s="1260">
        <f t="shared" si="113"/>
        <v>163</v>
      </c>
      <c r="V1090" s="745">
        <v>1</v>
      </c>
      <c r="W1090" s="745">
        <v>8</v>
      </c>
      <c r="X1090" s="745">
        <v>0</v>
      </c>
      <c r="Y1090" s="1202">
        <v>1</v>
      </c>
    </row>
    <row r="1091" spans="5:25" ht="15" x14ac:dyDescent="0.2">
      <c r="E1091" s="1201"/>
      <c r="F1091" s="745"/>
      <c r="G1091" s="745"/>
      <c r="H1091" s="1256">
        <f t="shared" si="116"/>
        <v>0</v>
      </c>
      <c r="I1091" s="736">
        <v>864</v>
      </c>
      <c r="J1091" s="736">
        <f t="shared" si="114"/>
        <v>0</v>
      </c>
      <c r="K1091" s="2532">
        <f t="shared" si="117"/>
        <v>47</v>
      </c>
      <c r="L1091" s="736">
        <f t="shared" si="115"/>
        <v>0</v>
      </c>
      <c r="M1091" s="2533">
        <f t="shared" si="118"/>
        <v>1</v>
      </c>
      <c r="U1091" s="1260">
        <f t="shared" si="113"/>
        <v>181</v>
      </c>
      <c r="V1091" s="745">
        <v>1</v>
      </c>
      <c r="W1091" s="745">
        <v>9</v>
      </c>
      <c r="X1091" s="745">
        <v>0</v>
      </c>
      <c r="Y1091" s="1202">
        <v>1</v>
      </c>
    </row>
    <row r="1092" spans="5:25" ht="15" x14ac:dyDescent="0.2">
      <c r="E1092" s="1201"/>
      <c r="F1092" s="745"/>
      <c r="G1092" s="745"/>
      <c r="H1092" s="1256">
        <f t="shared" si="116"/>
        <v>0</v>
      </c>
      <c r="I1092" s="736">
        <v>865</v>
      </c>
      <c r="J1092" s="736">
        <f t="shared" si="114"/>
        <v>1</v>
      </c>
      <c r="K1092" s="2532">
        <f t="shared" si="117"/>
        <v>46</v>
      </c>
      <c r="L1092" s="736">
        <f t="shared" si="115"/>
        <v>0</v>
      </c>
      <c r="M1092" s="2533">
        <f t="shared" si="118"/>
        <v>2</v>
      </c>
      <c r="U1092" s="1260">
        <f t="shared" ref="U1092:U1155" si="119">ROUNDUP(W1092*$W$294+V1092*$V$294+X1092*$X$294+Y1092*$Y$294,0)</f>
        <v>199</v>
      </c>
      <c r="V1092" s="745">
        <v>1</v>
      </c>
      <c r="W1092" s="745">
        <v>10</v>
      </c>
      <c r="X1092" s="745">
        <v>0</v>
      </c>
      <c r="Y1092" s="1202">
        <v>1</v>
      </c>
    </row>
    <row r="1093" spans="5:25" ht="15" x14ac:dyDescent="0.2">
      <c r="E1093" s="1201"/>
      <c r="F1093" s="745"/>
      <c r="G1093" s="745"/>
      <c r="H1093" s="1256">
        <f t="shared" si="116"/>
        <v>0</v>
      </c>
      <c r="I1093" s="736">
        <v>866</v>
      </c>
      <c r="J1093" s="736">
        <f t="shared" si="114"/>
        <v>3</v>
      </c>
      <c r="K1093" s="2532">
        <f t="shared" si="117"/>
        <v>45</v>
      </c>
      <c r="L1093" s="736">
        <f t="shared" si="115"/>
        <v>0</v>
      </c>
      <c r="M1093" s="2533">
        <f t="shared" si="118"/>
        <v>1</v>
      </c>
      <c r="U1093" s="1260">
        <f t="shared" si="119"/>
        <v>217</v>
      </c>
      <c r="V1093" s="745">
        <v>1</v>
      </c>
      <c r="W1093" s="745">
        <v>11</v>
      </c>
      <c r="X1093" s="745">
        <v>0</v>
      </c>
      <c r="Y1093" s="1202">
        <v>1</v>
      </c>
    </row>
    <row r="1094" spans="5:25" ht="15" x14ac:dyDescent="0.2">
      <c r="E1094" s="1201"/>
      <c r="F1094" s="745"/>
      <c r="G1094" s="745"/>
      <c r="H1094" s="1256">
        <f t="shared" si="116"/>
        <v>0</v>
      </c>
      <c r="I1094" s="736">
        <v>867</v>
      </c>
      <c r="J1094" s="736">
        <f t="shared" si="114"/>
        <v>0</v>
      </c>
      <c r="K1094" s="2532">
        <f t="shared" si="117"/>
        <v>46</v>
      </c>
      <c r="L1094" s="736">
        <f t="shared" si="115"/>
        <v>1</v>
      </c>
      <c r="M1094" s="2533">
        <f t="shared" si="118"/>
        <v>2</v>
      </c>
      <c r="U1094" s="1260">
        <f t="shared" si="119"/>
        <v>235</v>
      </c>
      <c r="V1094" s="745">
        <v>1</v>
      </c>
      <c r="W1094" s="745">
        <v>12</v>
      </c>
      <c r="X1094" s="745">
        <v>0</v>
      </c>
      <c r="Y1094" s="1202">
        <v>1</v>
      </c>
    </row>
    <row r="1095" spans="5:25" ht="15" x14ac:dyDescent="0.2">
      <c r="E1095" s="1201"/>
      <c r="F1095" s="745"/>
      <c r="G1095" s="745"/>
      <c r="H1095" s="1256">
        <f t="shared" si="116"/>
        <v>0</v>
      </c>
      <c r="I1095" s="736">
        <v>868</v>
      </c>
      <c r="J1095" s="736">
        <f t="shared" si="114"/>
        <v>2</v>
      </c>
      <c r="K1095" s="2532">
        <f t="shared" si="117"/>
        <v>45</v>
      </c>
      <c r="L1095" s="736">
        <f t="shared" si="115"/>
        <v>1</v>
      </c>
      <c r="M1095" s="2533">
        <f t="shared" si="118"/>
        <v>1</v>
      </c>
      <c r="U1095" s="1260">
        <f t="shared" si="119"/>
        <v>253</v>
      </c>
      <c r="V1095" s="745">
        <v>1</v>
      </c>
      <c r="W1095" s="745">
        <v>13</v>
      </c>
      <c r="X1095" s="745">
        <v>0</v>
      </c>
      <c r="Y1095" s="1202">
        <v>1</v>
      </c>
    </row>
    <row r="1096" spans="5:25" ht="15" x14ac:dyDescent="0.2">
      <c r="E1096" s="1201"/>
      <c r="F1096" s="745"/>
      <c r="G1096" s="745"/>
      <c r="H1096" s="1256">
        <f t="shared" si="116"/>
        <v>0</v>
      </c>
      <c r="I1096" s="736">
        <v>869</v>
      </c>
      <c r="J1096" s="736">
        <f t="shared" si="114"/>
        <v>3</v>
      </c>
      <c r="K1096" s="2532">
        <f t="shared" si="117"/>
        <v>44</v>
      </c>
      <c r="L1096" s="736">
        <f t="shared" si="115"/>
        <v>1</v>
      </c>
      <c r="M1096" s="2533">
        <f t="shared" si="118"/>
        <v>2</v>
      </c>
      <c r="U1096" s="1260">
        <f t="shared" si="119"/>
        <v>271</v>
      </c>
      <c r="V1096" s="745">
        <v>1</v>
      </c>
      <c r="W1096" s="745">
        <v>14</v>
      </c>
      <c r="X1096" s="745">
        <v>0</v>
      </c>
      <c r="Y1096" s="1202">
        <v>1</v>
      </c>
    </row>
    <row r="1097" spans="5:25" ht="15" x14ac:dyDescent="0.2">
      <c r="E1097" s="1201"/>
      <c r="F1097" s="745"/>
      <c r="G1097" s="745"/>
      <c r="H1097" s="1256">
        <f t="shared" si="116"/>
        <v>0</v>
      </c>
      <c r="I1097" s="736">
        <v>870</v>
      </c>
      <c r="J1097" s="736">
        <f t="shared" si="114"/>
        <v>5</v>
      </c>
      <c r="K1097" s="2532">
        <f t="shared" si="117"/>
        <v>43</v>
      </c>
      <c r="L1097" s="736">
        <f t="shared" si="115"/>
        <v>1</v>
      </c>
      <c r="M1097" s="2533">
        <f t="shared" si="118"/>
        <v>1</v>
      </c>
      <c r="U1097" s="1260">
        <f t="shared" si="119"/>
        <v>289</v>
      </c>
      <c r="V1097" s="745">
        <v>1</v>
      </c>
      <c r="W1097" s="745">
        <v>15</v>
      </c>
      <c r="X1097" s="745">
        <v>0</v>
      </c>
      <c r="Y1097" s="1202">
        <v>1</v>
      </c>
    </row>
    <row r="1098" spans="5:25" ht="15" x14ac:dyDescent="0.2">
      <c r="E1098" s="1201"/>
      <c r="F1098" s="745"/>
      <c r="G1098" s="745"/>
      <c r="H1098" s="1256">
        <f t="shared" si="116"/>
        <v>0</v>
      </c>
      <c r="I1098" s="736">
        <v>871</v>
      </c>
      <c r="J1098" s="736">
        <f t="shared" si="114"/>
        <v>2</v>
      </c>
      <c r="K1098" s="2532">
        <f t="shared" si="117"/>
        <v>46</v>
      </c>
      <c r="L1098" s="736">
        <f t="shared" si="115"/>
        <v>0</v>
      </c>
      <c r="M1098" s="2533">
        <f t="shared" si="118"/>
        <v>1</v>
      </c>
      <c r="U1098" s="1260">
        <f t="shared" si="119"/>
        <v>307</v>
      </c>
      <c r="V1098" s="745">
        <v>1</v>
      </c>
      <c r="W1098" s="745">
        <v>16</v>
      </c>
      <c r="X1098" s="745">
        <v>0</v>
      </c>
      <c r="Y1098" s="1202">
        <v>1</v>
      </c>
    </row>
    <row r="1099" spans="5:25" ht="15" x14ac:dyDescent="0.2">
      <c r="E1099" s="1201"/>
      <c r="F1099" s="745"/>
      <c r="G1099" s="745"/>
      <c r="H1099" s="1256">
        <f t="shared" si="116"/>
        <v>0</v>
      </c>
      <c r="I1099" s="736">
        <v>872</v>
      </c>
      <c r="J1099" s="736">
        <f t="shared" si="114"/>
        <v>3</v>
      </c>
      <c r="K1099" s="2532">
        <f t="shared" si="117"/>
        <v>45</v>
      </c>
      <c r="L1099" s="736">
        <f t="shared" si="115"/>
        <v>0</v>
      </c>
      <c r="M1099" s="2533">
        <f t="shared" si="118"/>
        <v>2</v>
      </c>
      <c r="U1099" s="1260">
        <f t="shared" si="119"/>
        <v>325</v>
      </c>
      <c r="V1099" s="745">
        <v>1</v>
      </c>
      <c r="W1099" s="745">
        <v>17</v>
      </c>
      <c r="X1099" s="745">
        <v>0</v>
      </c>
      <c r="Y1099" s="1202">
        <v>1</v>
      </c>
    </row>
    <row r="1100" spans="5:25" ht="15" x14ac:dyDescent="0.2">
      <c r="E1100" s="1201"/>
      <c r="F1100" s="745"/>
      <c r="G1100" s="745"/>
      <c r="H1100" s="1256">
        <f t="shared" si="116"/>
        <v>0</v>
      </c>
      <c r="I1100" s="736">
        <v>873</v>
      </c>
      <c r="J1100" s="736">
        <f t="shared" si="114"/>
        <v>5</v>
      </c>
      <c r="K1100" s="2532">
        <f t="shared" si="117"/>
        <v>44</v>
      </c>
      <c r="L1100" s="736">
        <f t="shared" si="115"/>
        <v>0</v>
      </c>
      <c r="M1100" s="2533">
        <f t="shared" si="118"/>
        <v>1</v>
      </c>
      <c r="U1100" s="1260">
        <f t="shared" si="119"/>
        <v>343</v>
      </c>
      <c r="V1100" s="745">
        <v>1</v>
      </c>
      <c r="W1100" s="745">
        <v>18</v>
      </c>
      <c r="X1100" s="745">
        <v>0</v>
      </c>
      <c r="Y1100" s="1202">
        <v>1</v>
      </c>
    </row>
    <row r="1101" spans="5:25" ht="15" x14ac:dyDescent="0.2">
      <c r="E1101" s="1201"/>
      <c r="F1101" s="745"/>
      <c r="G1101" s="745"/>
      <c r="H1101" s="1256">
        <f t="shared" si="116"/>
        <v>0</v>
      </c>
      <c r="I1101" s="736">
        <v>874</v>
      </c>
      <c r="J1101" s="736">
        <f t="shared" si="114"/>
        <v>1</v>
      </c>
      <c r="K1101" s="2532">
        <f t="shared" si="117"/>
        <v>46</v>
      </c>
      <c r="L1101" s="736">
        <f t="shared" si="115"/>
        <v>1</v>
      </c>
      <c r="M1101" s="2533">
        <f t="shared" si="118"/>
        <v>1</v>
      </c>
      <c r="U1101" s="1260">
        <f t="shared" si="119"/>
        <v>361</v>
      </c>
      <c r="V1101" s="745">
        <v>1</v>
      </c>
      <c r="W1101" s="745">
        <v>19</v>
      </c>
      <c r="X1101" s="745">
        <v>0</v>
      </c>
      <c r="Y1101" s="1202">
        <v>1</v>
      </c>
    </row>
    <row r="1102" spans="5:25" ht="15" x14ac:dyDescent="0.2">
      <c r="E1102" s="1201"/>
      <c r="F1102" s="745"/>
      <c r="G1102" s="745"/>
      <c r="H1102" s="1256">
        <f t="shared" si="116"/>
        <v>0</v>
      </c>
      <c r="I1102" s="736">
        <v>875</v>
      </c>
      <c r="J1102" s="736">
        <f t="shared" si="114"/>
        <v>4</v>
      </c>
      <c r="K1102" s="2532">
        <f t="shared" si="117"/>
        <v>44</v>
      </c>
      <c r="L1102" s="736">
        <f t="shared" si="115"/>
        <v>1</v>
      </c>
      <c r="M1102" s="2533">
        <f t="shared" si="118"/>
        <v>1</v>
      </c>
      <c r="U1102" s="1260">
        <f t="shared" si="119"/>
        <v>379</v>
      </c>
      <c r="V1102" s="745">
        <v>1</v>
      </c>
      <c r="W1102" s="745">
        <v>20</v>
      </c>
      <c r="X1102" s="745">
        <v>0</v>
      </c>
      <c r="Y1102" s="1202">
        <v>1</v>
      </c>
    </row>
    <row r="1103" spans="5:25" ht="15" x14ac:dyDescent="0.2">
      <c r="E1103" s="1201"/>
      <c r="F1103" s="745"/>
      <c r="G1103" s="745"/>
      <c r="H1103" s="1256">
        <f t="shared" si="116"/>
        <v>0</v>
      </c>
      <c r="I1103" s="736">
        <v>876</v>
      </c>
      <c r="J1103" s="736">
        <f t="shared" si="114"/>
        <v>5</v>
      </c>
      <c r="K1103" s="2532">
        <f t="shared" si="117"/>
        <v>43</v>
      </c>
      <c r="L1103" s="736">
        <f t="shared" si="115"/>
        <v>1</v>
      </c>
      <c r="M1103" s="2533">
        <f t="shared" si="118"/>
        <v>2</v>
      </c>
      <c r="U1103" s="1260">
        <f t="shared" si="119"/>
        <v>397</v>
      </c>
      <c r="V1103" s="745">
        <v>1</v>
      </c>
      <c r="W1103" s="745">
        <v>21</v>
      </c>
      <c r="X1103" s="745">
        <v>0</v>
      </c>
      <c r="Y1103" s="1202">
        <v>1</v>
      </c>
    </row>
    <row r="1104" spans="5:25" ht="15" x14ac:dyDescent="0.2">
      <c r="E1104" s="1201"/>
      <c r="F1104" s="745"/>
      <c r="G1104" s="745"/>
      <c r="H1104" s="1256">
        <f t="shared" si="116"/>
        <v>0</v>
      </c>
      <c r="I1104" s="736">
        <v>877</v>
      </c>
      <c r="J1104" s="736">
        <f t="shared" si="114"/>
        <v>1</v>
      </c>
      <c r="K1104" s="2532">
        <f t="shared" si="117"/>
        <v>47</v>
      </c>
      <c r="L1104" s="736">
        <f t="shared" si="115"/>
        <v>0</v>
      </c>
      <c r="M1104" s="2533">
        <f t="shared" si="118"/>
        <v>1</v>
      </c>
      <c r="U1104" s="1260">
        <f t="shared" si="119"/>
        <v>415</v>
      </c>
      <c r="V1104" s="745">
        <v>1</v>
      </c>
      <c r="W1104" s="745">
        <v>22</v>
      </c>
      <c r="X1104" s="745">
        <v>0</v>
      </c>
      <c r="Y1104" s="1202">
        <v>1</v>
      </c>
    </row>
    <row r="1105" spans="5:25" ht="15" x14ac:dyDescent="0.2">
      <c r="E1105" s="1201"/>
      <c r="F1105" s="745"/>
      <c r="G1105" s="745"/>
      <c r="H1105" s="1256">
        <f t="shared" si="116"/>
        <v>0</v>
      </c>
      <c r="I1105" s="736">
        <v>878</v>
      </c>
      <c r="J1105" s="736">
        <f t="shared" si="114"/>
        <v>4</v>
      </c>
      <c r="K1105" s="2532">
        <f t="shared" si="117"/>
        <v>45</v>
      </c>
      <c r="L1105" s="736">
        <f t="shared" si="115"/>
        <v>0</v>
      </c>
      <c r="M1105" s="2533">
        <f t="shared" si="118"/>
        <v>1</v>
      </c>
      <c r="U1105" s="1260">
        <f t="shared" si="119"/>
        <v>433</v>
      </c>
      <c r="V1105" s="745">
        <v>1</v>
      </c>
      <c r="W1105" s="745">
        <v>23</v>
      </c>
      <c r="X1105" s="745">
        <v>0</v>
      </c>
      <c r="Y1105" s="1202">
        <v>1</v>
      </c>
    </row>
    <row r="1106" spans="5:25" ht="15" x14ac:dyDescent="0.2">
      <c r="E1106" s="1201"/>
      <c r="F1106" s="745"/>
      <c r="G1106" s="745"/>
      <c r="H1106" s="1256">
        <f t="shared" si="116"/>
        <v>0</v>
      </c>
      <c r="I1106" s="736">
        <v>879</v>
      </c>
      <c r="J1106" s="736">
        <f t="shared" si="114"/>
        <v>0</v>
      </c>
      <c r="K1106" s="2532">
        <f t="shared" si="117"/>
        <v>47</v>
      </c>
      <c r="L1106" s="736">
        <f t="shared" si="115"/>
        <v>1</v>
      </c>
      <c r="M1106" s="2533">
        <f t="shared" si="118"/>
        <v>1</v>
      </c>
      <c r="U1106" s="1260">
        <f t="shared" si="119"/>
        <v>451</v>
      </c>
      <c r="V1106" s="745">
        <v>1</v>
      </c>
      <c r="W1106" s="745">
        <v>24</v>
      </c>
      <c r="X1106" s="745">
        <v>0</v>
      </c>
      <c r="Y1106" s="1202">
        <v>1</v>
      </c>
    </row>
    <row r="1107" spans="5:25" ht="15" x14ac:dyDescent="0.2">
      <c r="E1107" s="1201"/>
      <c r="F1107" s="745"/>
      <c r="G1107" s="745"/>
      <c r="H1107" s="1256">
        <f t="shared" si="116"/>
        <v>0</v>
      </c>
      <c r="I1107" s="736">
        <v>880</v>
      </c>
      <c r="J1107" s="736">
        <f t="shared" si="114"/>
        <v>1</v>
      </c>
      <c r="K1107" s="2532">
        <f t="shared" si="117"/>
        <v>46</v>
      </c>
      <c r="L1107" s="736">
        <f t="shared" si="115"/>
        <v>1</v>
      </c>
      <c r="M1107" s="2533">
        <f t="shared" si="118"/>
        <v>2</v>
      </c>
      <c r="U1107" s="1260">
        <f t="shared" si="119"/>
        <v>469</v>
      </c>
      <c r="V1107" s="745">
        <v>1</v>
      </c>
      <c r="W1107" s="745">
        <v>25</v>
      </c>
      <c r="X1107" s="745">
        <v>0</v>
      </c>
      <c r="Y1107" s="1202">
        <v>1</v>
      </c>
    </row>
    <row r="1108" spans="5:25" ht="15" x14ac:dyDescent="0.2">
      <c r="E1108" s="1201"/>
      <c r="F1108" s="745"/>
      <c r="G1108" s="745"/>
      <c r="H1108" s="1256">
        <f t="shared" si="116"/>
        <v>0</v>
      </c>
      <c r="I1108" s="736">
        <v>881</v>
      </c>
      <c r="J1108" s="736">
        <f t="shared" si="114"/>
        <v>3</v>
      </c>
      <c r="K1108" s="2532">
        <f t="shared" si="117"/>
        <v>45</v>
      </c>
      <c r="L1108" s="736">
        <f t="shared" si="115"/>
        <v>1</v>
      </c>
      <c r="M1108" s="2533">
        <f t="shared" si="118"/>
        <v>1</v>
      </c>
      <c r="U1108" s="1260">
        <f t="shared" si="119"/>
        <v>487</v>
      </c>
      <c r="V1108" s="745">
        <v>1</v>
      </c>
      <c r="W1108" s="745">
        <v>26</v>
      </c>
      <c r="X1108" s="745">
        <v>0</v>
      </c>
      <c r="Y1108" s="1202">
        <v>1</v>
      </c>
    </row>
    <row r="1109" spans="5:25" ht="15" x14ac:dyDescent="0.2">
      <c r="E1109" s="1201"/>
      <c r="F1109" s="745"/>
      <c r="G1109" s="745"/>
      <c r="H1109" s="1256">
        <f t="shared" si="116"/>
        <v>0</v>
      </c>
      <c r="I1109" s="736">
        <v>882</v>
      </c>
      <c r="J1109" s="736">
        <f t="shared" si="114"/>
        <v>0</v>
      </c>
      <c r="K1109" s="2532">
        <f t="shared" si="117"/>
        <v>48</v>
      </c>
      <c r="L1109" s="736">
        <f t="shared" si="115"/>
        <v>0</v>
      </c>
      <c r="M1109" s="2533">
        <f t="shared" si="118"/>
        <v>1</v>
      </c>
      <c r="U1109" s="1260">
        <f t="shared" si="119"/>
        <v>505</v>
      </c>
      <c r="V1109" s="745">
        <v>1</v>
      </c>
      <c r="W1109" s="745">
        <v>27</v>
      </c>
      <c r="X1109" s="745">
        <v>0</v>
      </c>
      <c r="Y1109" s="1202">
        <v>1</v>
      </c>
    </row>
    <row r="1110" spans="5:25" ht="15" x14ac:dyDescent="0.2">
      <c r="E1110" s="1201"/>
      <c r="F1110" s="745"/>
      <c r="G1110" s="745"/>
      <c r="H1110" s="1256">
        <f t="shared" si="116"/>
        <v>0</v>
      </c>
      <c r="I1110" s="736">
        <v>883</v>
      </c>
      <c r="J1110" s="736">
        <f t="shared" si="114"/>
        <v>1</v>
      </c>
      <c r="K1110" s="2532">
        <f t="shared" si="117"/>
        <v>47</v>
      </c>
      <c r="L1110" s="736">
        <f t="shared" si="115"/>
        <v>0</v>
      </c>
      <c r="M1110" s="2533">
        <f t="shared" si="118"/>
        <v>2</v>
      </c>
      <c r="U1110" s="1260">
        <f t="shared" si="119"/>
        <v>523</v>
      </c>
      <c r="V1110" s="745">
        <v>1</v>
      </c>
      <c r="W1110" s="745">
        <v>28</v>
      </c>
      <c r="X1110" s="745">
        <v>0</v>
      </c>
      <c r="Y1110" s="1202">
        <v>1</v>
      </c>
    </row>
    <row r="1111" spans="5:25" ht="15" x14ac:dyDescent="0.2">
      <c r="E1111" s="1201"/>
      <c r="F1111" s="745"/>
      <c r="G1111" s="745"/>
      <c r="H1111" s="1256">
        <f t="shared" si="116"/>
        <v>0</v>
      </c>
      <c r="I1111" s="736">
        <v>884</v>
      </c>
      <c r="J1111" s="736">
        <f t="shared" si="114"/>
        <v>3</v>
      </c>
      <c r="K1111" s="2532">
        <f t="shared" si="117"/>
        <v>46</v>
      </c>
      <c r="L1111" s="736">
        <f t="shared" si="115"/>
        <v>0</v>
      </c>
      <c r="M1111" s="2533">
        <f t="shared" si="118"/>
        <v>1</v>
      </c>
      <c r="U1111" s="1260">
        <f t="shared" si="119"/>
        <v>541</v>
      </c>
      <c r="V1111" s="745">
        <v>1</v>
      </c>
      <c r="W1111" s="745">
        <v>29</v>
      </c>
      <c r="X1111" s="745">
        <v>0</v>
      </c>
      <c r="Y1111" s="1202">
        <v>1</v>
      </c>
    </row>
    <row r="1112" spans="5:25" ht="15" x14ac:dyDescent="0.2">
      <c r="E1112" s="1201"/>
      <c r="F1112" s="745"/>
      <c r="G1112" s="745"/>
      <c r="H1112" s="1256">
        <f t="shared" si="116"/>
        <v>0</v>
      </c>
      <c r="I1112" s="736">
        <v>885</v>
      </c>
      <c r="J1112" s="736">
        <f t="shared" si="114"/>
        <v>0</v>
      </c>
      <c r="K1112" s="2532">
        <f t="shared" si="117"/>
        <v>47</v>
      </c>
      <c r="L1112" s="736">
        <f t="shared" si="115"/>
        <v>1</v>
      </c>
      <c r="M1112" s="2533">
        <f t="shared" si="118"/>
        <v>2</v>
      </c>
      <c r="U1112" s="1260">
        <f t="shared" si="119"/>
        <v>559</v>
      </c>
      <c r="V1112" s="745">
        <v>1</v>
      </c>
      <c r="W1112" s="745">
        <v>30</v>
      </c>
      <c r="X1112" s="745">
        <v>0</v>
      </c>
      <c r="Y1112" s="1202">
        <v>1</v>
      </c>
    </row>
    <row r="1113" spans="5:25" ht="15" x14ac:dyDescent="0.2">
      <c r="E1113" s="1201"/>
      <c r="F1113" s="745"/>
      <c r="G1113" s="745"/>
      <c r="H1113" s="1256">
        <f t="shared" si="116"/>
        <v>0</v>
      </c>
      <c r="I1113" s="736">
        <v>886</v>
      </c>
      <c r="J1113" s="736">
        <f t="shared" si="114"/>
        <v>2</v>
      </c>
      <c r="K1113" s="2532">
        <f t="shared" si="117"/>
        <v>46</v>
      </c>
      <c r="L1113" s="736">
        <f t="shared" si="115"/>
        <v>1</v>
      </c>
      <c r="M1113" s="2533">
        <f t="shared" si="118"/>
        <v>1</v>
      </c>
      <c r="U1113" s="1260">
        <f t="shared" si="119"/>
        <v>577</v>
      </c>
      <c r="V1113" s="745">
        <v>1</v>
      </c>
      <c r="W1113" s="745">
        <v>31</v>
      </c>
      <c r="X1113" s="745">
        <v>0</v>
      </c>
      <c r="Y1113" s="1202">
        <v>1</v>
      </c>
    </row>
    <row r="1114" spans="5:25" ht="15" x14ac:dyDescent="0.2">
      <c r="E1114" s="1201"/>
      <c r="F1114" s="745"/>
      <c r="G1114" s="745"/>
      <c r="H1114" s="1256">
        <f t="shared" si="116"/>
        <v>0</v>
      </c>
      <c r="I1114" s="736">
        <v>887</v>
      </c>
      <c r="J1114" s="736">
        <f t="shared" si="114"/>
        <v>3</v>
      </c>
      <c r="K1114" s="2532">
        <f t="shared" si="117"/>
        <v>45</v>
      </c>
      <c r="L1114" s="736">
        <f t="shared" si="115"/>
        <v>1</v>
      </c>
      <c r="M1114" s="2533">
        <f t="shared" si="118"/>
        <v>2</v>
      </c>
      <c r="U1114" s="1260">
        <f t="shared" si="119"/>
        <v>595</v>
      </c>
      <c r="V1114" s="745">
        <v>1</v>
      </c>
      <c r="W1114" s="745">
        <v>32</v>
      </c>
      <c r="X1114" s="745">
        <v>0</v>
      </c>
      <c r="Y1114" s="1202">
        <v>1</v>
      </c>
    </row>
    <row r="1115" spans="5:25" ht="15" x14ac:dyDescent="0.2">
      <c r="E1115" s="1201"/>
      <c r="F1115" s="745"/>
      <c r="G1115" s="745"/>
      <c r="H1115" s="1256">
        <f t="shared" si="116"/>
        <v>0</v>
      </c>
      <c r="I1115" s="736">
        <v>888</v>
      </c>
      <c r="J1115" s="736">
        <f t="shared" si="114"/>
        <v>5</v>
      </c>
      <c r="K1115" s="2532">
        <f t="shared" si="117"/>
        <v>44</v>
      </c>
      <c r="L1115" s="736">
        <f t="shared" si="115"/>
        <v>1</v>
      </c>
      <c r="M1115" s="2533">
        <f t="shared" si="118"/>
        <v>1</v>
      </c>
      <c r="U1115" s="1260">
        <f t="shared" si="119"/>
        <v>613</v>
      </c>
      <c r="V1115" s="745">
        <v>1</v>
      </c>
      <c r="W1115" s="745">
        <v>33</v>
      </c>
      <c r="X1115" s="745">
        <v>0</v>
      </c>
      <c r="Y1115" s="1202">
        <v>1</v>
      </c>
    </row>
    <row r="1116" spans="5:25" ht="15" x14ac:dyDescent="0.2">
      <c r="E1116" s="1201"/>
      <c r="F1116" s="745"/>
      <c r="G1116" s="745"/>
      <c r="H1116" s="1256">
        <f t="shared" si="116"/>
        <v>0</v>
      </c>
      <c r="I1116" s="736">
        <v>889</v>
      </c>
      <c r="J1116" s="736">
        <f t="shared" si="114"/>
        <v>2</v>
      </c>
      <c r="K1116" s="2532">
        <f t="shared" si="117"/>
        <v>47</v>
      </c>
      <c r="L1116" s="736">
        <f t="shared" si="115"/>
        <v>0</v>
      </c>
      <c r="M1116" s="2533">
        <f t="shared" si="118"/>
        <v>1</v>
      </c>
      <c r="U1116" s="1260">
        <f t="shared" si="119"/>
        <v>631</v>
      </c>
      <c r="V1116" s="745">
        <v>1</v>
      </c>
      <c r="W1116" s="745">
        <v>34</v>
      </c>
      <c r="X1116" s="745">
        <v>0</v>
      </c>
      <c r="Y1116" s="1202">
        <v>1</v>
      </c>
    </row>
    <row r="1117" spans="5:25" ht="15" x14ac:dyDescent="0.2">
      <c r="E1117" s="1201"/>
      <c r="F1117" s="745"/>
      <c r="G1117" s="745"/>
      <c r="H1117" s="1256">
        <f t="shared" si="116"/>
        <v>0</v>
      </c>
      <c r="I1117" s="736">
        <v>890</v>
      </c>
      <c r="J1117" s="736">
        <f t="shared" si="114"/>
        <v>3</v>
      </c>
      <c r="K1117" s="2532">
        <f t="shared" si="117"/>
        <v>46</v>
      </c>
      <c r="L1117" s="736">
        <f t="shared" si="115"/>
        <v>0</v>
      </c>
      <c r="M1117" s="2533">
        <f t="shared" si="118"/>
        <v>2</v>
      </c>
      <c r="U1117" s="1260">
        <f t="shared" si="119"/>
        <v>649</v>
      </c>
      <c r="V1117" s="745">
        <v>1</v>
      </c>
      <c r="W1117" s="745">
        <v>35</v>
      </c>
      <c r="X1117" s="745">
        <v>0</v>
      </c>
      <c r="Y1117" s="1202">
        <v>1</v>
      </c>
    </row>
    <row r="1118" spans="5:25" ht="15" x14ac:dyDescent="0.2">
      <c r="E1118" s="1201"/>
      <c r="F1118" s="745"/>
      <c r="G1118" s="745"/>
      <c r="H1118" s="1256">
        <f t="shared" si="116"/>
        <v>0</v>
      </c>
      <c r="I1118" s="736">
        <v>891</v>
      </c>
      <c r="J1118" s="736">
        <f t="shared" si="114"/>
        <v>5</v>
      </c>
      <c r="K1118" s="2532">
        <f t="shared" si="117"/>
        <v>45</v>
      </c>
      <c r="L1118" s="736">
        <f t="shared" si="115"/>
        <v>0</v>
      </c>
      <c r="M1118" s="2533">
        <f t="shared" si="118"/>
        <v>1</v>
      </c>
      <c r="U1118" s="1260">
        <f t="shared" si="119"/>
        <v>667</v>
      </c>
      <c r="V1118" s="745">
        <v>1</v>
      </c>
      <c r="W1118" s="745">
        <v>36</v>
      </c>
      <c r="X1118" s="745">
        <v>0</v>
      </c>
      <c r="Y1118" s="1202">
        <v>1</v>
      </c>
    </row>
    <row r="1119" spans="5:25" ht="15" x14ac:dyDescent="0.2">
      <c r="E1119" s="1201"/>
      <c r="F1119" s="745"/>
      <c r="G1119" s="745"/>
      <c r="H1119" s="1256">
        <f t="shared" si="116"/>
        <v>0</v>
      </c>
      <c r="I1119" s="736">
        <v>892</v>
      </c>
      <c r="J1119" s="736">
        <f t="shared" si="114"/>
        <v>1</v>
      </c>
      <c r="K1119" s="2532">
        <f t="shared" si="117"/>
        <v>47</v>
      </c>
      <c r="L1119" s="736">
        <f t="shared" si="115"/>
        <v>1</v>
      </c>
      <c r="M1119" s="2533">
        <f t="shared" si="118"/>
        <v>1</v>
      </c>
      <c r="U1119" s="1260">
        <f t="shared" si="119"/>
        <v>685</v>
      </c>
      <c r="V1119" s="745">
        <v>1</v>
      </c>
      <c r="W1119" s="745">
        <v>37</v>
      </c>
      <c r="X1119" s="745">
        <v>0</v>
      </c>
      <c r="Y1119" s="1202">
        <v>1</v>
      </c>
    </row>
    <row r="1120" spans="5:25" ht="15" x14ac:dyDescent="0.2">
      <c r="E1120" s="1201"/>
      <c r="F1120" s="745"/>
      <c r="G1120" s="745"/>
      <c r="H1120" s="1256">
        <f t="shared" si="116"/>
        <v>0</v>
      </c>
      <c r="I1120" s="736">
        <v>893</v>
      </c>
      <c r="J1120" s="736">
        <f t="shared" si="114"/>
        <v>4</v>
      </c>
      <c r="K1120" s="2532">
        <f t="shared" si="117"/>
        <v>45</v>
      </c>
      <c r="L1120" s="736">
        <f t="shared" si="115"/>
        <v>1</v>
      </c>
      <c r="M1120" s="2533">
        <f t="shared" si="118"/>
        <v>1</v>
      </c>
      <c r="U1120" s="1260">
        <f t="shared" si="119"/>
        <v>703</v>
      </c>
      <c r="V1120" s="745">
        <v>1</v>
      </c>
      <c r="W1120" s="745">
        <v>38</v>
      </c>
      <c r="X1120" s="745">
        <v>0</v>
      </c>
      <c r="Y1120" s="1202">
        <v>1</v>
      </c>
    </row>
    <row r="1121" spans="5:25" ht="15" x14ac:dyDescent="0.2">
      <c r="E1121" s="1201"/>
      <c r="F1121" s="745"/>
      <c r="G1121" s="745"/>
      <c r="H1121" s="1256">
        <f t="shared" si="116"/>
        <v>0</v>
      </c>
      <c r="I1121" s="736">
        <v>894</v>
      </c>
      <c r="J1121" s="736">
        <f t="shared" si="114"/>
        <v>5</v>
      </c>
      <c r="K1121" s="2532">
        <f t="shared" si="117"/>
        <v>44</v>
      </c>
      <c r="L1121" s="736">
        <f t="shared" si="115"/>
        <v>1</v>
      </c>
      <c r="M1121" s="2533">
        <f t="shared" si="118"/>
        <v>2</v>
      </c>
      <c r="U1121" s="1260">
        <f t="shared" si="119"/>
        <v>721</v>
      </c>
      <c r="V1121" s="745">
        <v>1</v>
      </c>
      <c r="W1121" s="745">
        <v>39</v>
      </c>
      <c r="X1121" s="745">
        <v>0</v>
      </c>
      <c r="Y1121" s="1202">
        <v>1</v>
      </c>
    </row>
    <row r="1122" spans="5:25" ht="15" x14ac:dyDescent="0.2">
      <c r="E1122" s="1201"/>
      <c r="F1122" s="745"/>
      <c r="G1122" s="745"/>
      <c r="H1122" s="1256">
        <f t="shared" si="116"/>
        <v>0</v>
      </c>
      <c r="I1122" s="736">
        <v>895</v>
      </c>
      <c r="J1122" s="736">
        <f t="shared" si="114"/>
        <v>1</v>
      </c>
      <c r="K1122" s="2532">
        <f t="shared" si="117"/>
        <v>48</v>
      </c>
      <c r="L1122" s="736">
        <f t="shared" si="115"/>
        <v>0</v>
      </c>
      <c r="M1122" s="2533">
        <f t="shared" si="118"/>
        <v>1</v>
      </c>
      <c r="U1122" s="1260">
        <f t="shared" si="119"/>
        <v>739</v>
      </c>
      <c r="V1122" s="745">
        <v>1</v>
      </c>
      <c r="W1122" s="745">
        <v>40</v>
      </c>
      <c r="X1122" s="745">
        <v>0</v>
      </c>
      <c r="Y1122" s="1202">
        <v>1</v>
      </c>
    </row>
    <row r="1123" spans="5:25" ht="15" x14ac:dyDescent="0.2">
      <c r="E1123" s="1201"/>
      <c r="F1123" s="745"/>
      <c r="G1123" s="745"/>
      <c r="H1123" s="1256">
        <f t="shared" si="116"/>
        <v>0</v>
      </c>
      <c r="I1123" s="736">
        <v>896</v>
      </c>
      <c r="J1123" s="736">
        <f t="shared" si="114"/>
        <v>4</v>
      </c>
      <c r="K1123" s="2532">
        <f t="shared" si="117"/>
        <v>46</v>
      </c>
      <c r="L1123" s="736">
        <f t="shared" si="115"/>
        <v>0</v>
      </c>
      <c r="M1123" s="2533">
        <f t="shared" si="118"/>
        <v>1</v>
      </c>
      <c r="U1123" s="1260">
        <f t="shared" si="119"/>
        <v>757</v>
      </c>
      <c r="V1123" s="745">
        <v>1</v>
      </c>
      <c r="W1123" s="745">
        <v>41</v>
      </c>
      <c r="X1123" s="745">
        <v>0</v>
      </c>
      <c r="Y1123" s="1202">
        <v>1</v>
      </c>
    </row>
    <row r="1124" spans="5:25" ht="15" x14ac:dyDescent="0.2">
      <c r="E1124" s="1201"/>
      <c r="F1124" s="745"/>
      <c r="G1124" s="745"/>
      <c r="H1124" s="1256">
        <f t="shared" si="116"/>
        <v>0</v>
      </c>
      <c r="I1124" s="736">
        <v>897</v>
      </c>
      <c r="J1124" s="736">
        <f t="shared" si="114"/>
        <v>0</v>
      </c>
      <c r="K1124" s="2532">
        <f t="shared" si="117"/>
        <v>48</v>
      </c>
      <c r="L1124" s="736">
        <f t="shared" si="115"/>
        <v>1</v>
      </c>
      <c r="M1124" s="2533">
        <f t="shared" si="118"/>
        <v>1</v>
      </c>
      <c r="U1124" s="1260">
        <f t="shared" si="119"/>
        <v>775</v>
      </c>
      <c r="V1124" s="745">
        <v>1</v>
      </c>
      <c r="W1124" s="745">
        <v>42</v>
      </c>
      <c r="X1124" s="745">
        <v>0</v>
      </c>
      <c r="Y1124" s="1202">
        <v>1</v>
      </c>
    </row>
    <row r="1125" spans="5:25" ht="15" x14ac:dyDescent="0.2">
      <c r="E1125" s="1201"/>
      <c r="F1125" s="745"/>
      <c r="G1125" s="745"/>
      <c r="H1125" s="1256">
        <f t="shared" si="116"/>
        <v>0</v>
      </c>
      <c r="I1125" s="736">
        <v>898</v>
      </c>
      <c r="J1125" s="736">
        <f t="shared" si="114"/>
        <v>1</v>
      </c>
      <c r="K1125" s="2532">
        <f t="shared" si="117"/>
        <v>47</v>
      </c>
      <c r="L1125" s="736">
        <f t="shared" si="115"/>
        <v>1</v>
      </c>
      <c r="M1125" s="2533">
        <f t="shared" si="118"/>
        <v>2</v>
      </c>
      <c r="U1125" s="1260">
        <f t="shared" si="119"/>
        <v>793</v>
      </c>
      <c r="V1125" s="745">
        <v>1</v>
      </c>
      <c r="W1125" s="745">
        <v>43</v>
      </c>
      <c r="X1125" s="745">
        <v>0</v>
      </c>
      <c r="Y1125" s="1202">
        <v>1</v>
      </c>
    </row>
    <row r="1126" spans="5:25" ht="15" x14ac:dyDescent="0.2">
      <c r="E1126" s="1201"/>
      <c r="F1126" s="745"/>
      <c r="G1126" s="745"/>
      <c r="H1126" s="1256">
        <f t="shared" si="116"/>
        <v>0</v>
      </c>
      <c r="I1126" s="736">
        <v>899</v>
      </c>
      <c r="J1126" s="736">
        <f t="shared" si="114"/>
        <v>3</v>
      </c>
      <c r="K1126" s="2532">
        <f t="shared" si="117"/>
        <v>46</v>
      </c>
      <c r="L1126" s="736">
        <f t="shared" si="115"/>
        <v>1</v>
      </c>
      <c r="M1126" s="2533">
        <f t="shared" si="118"/>
        <v>1</v>
      </c>
      <c r="U1126" s="1260">
        <f t="shared" si="119"/>
        <v>811</v>
      </c>
      <c r="V1126" s="745">
        <v>1</v>
      </c>
      <c r="W1126" s="745">
        <v>44</v>
      </c>
      <c r="X1126" s="745">
        <v>0</v>
      </c>
      <c r="Y1126" s="1202">
        <v>1</v>
      </c>
    </row>
    <row r="1127" spans="5:25" ht="15" x14ac:dyDescent="0.2">
      <c r="E1127" s="1201"/>
      <c r="F1127" s="745"/>
      <c r="G1127" s="745"/>
      <c r="H1127" s="1256">
        <f t="shared" si="116"/>
        <v>0</v>
      </c>
      <c r="I1127" s="736">
        <v>900</v>
      </c>
      <c r="J1127" s="736">
        <f t="shared" si="114"/>
        <v>0</v>
      </c>
      <c r="K1127" s="2532">
        <f t="shared" si="117"/>
        <v>49</v>
      </c>
      <c r="L1127" s="736">
        <f t="shared" si="115"/>
        <v>0</v>
      </c>
      <c r="M1127" s="2533">
        <f t="shared" si="118"/>
        <v>1</v>
      </c>
      <c r="U1127" s="1260">
        <f t="shared" si="119"/>
        <v>829</v>
      </c>
      <c r="V1127" s="745">
        <v>1</v>
      </c>
      <c r="W1127" s="745">
        <v>45</v>
      </c>
      <c r="X1127" s="745">
        <v>0</v>
      </c>
      <c r="Y1127" s="1202">
        <v>1</v>
      </c>
    </row>
    <row r="1128" spans="5:25" ht="15" x14ac:dyDescent="0.2">
      <c r="E1128" s="1201"/>
      <c r="F1128" s="745"/>
      <c r="G1128" s="745"/>
      <c r="H1128" s="1256">
        <f t="shared" si="116"/>
        <v>0</v>
      </c>
      <c r="I1128" s="736">
        <v>901</v>
      </c>
      <c r="J1128" s="736">
        <f t="shared" si="114"/>
        <v>1</v>
      </c>
      <c r="K1128" s="2532">
        <f t="shared" si="117"/>
        <v>48</v>
      </c>
      <c r="L1128" s="736">
        <f t="shared" si="115"/>
        <v>0</v>
      </c>
      <c r="M1128" s="2533">
        <f t="shared" si="118"/>
        <v>2</v>
      </c>
      <c r="U1128" s="1260">
        <f t="shared" si="119"/>
        <v>847</v>
      </c>
      <c r="V1128" s="745">
        <v>1</v>
      </c>
      <c r="W1128" s="745">
        <v>46</v>
      </c>
      <c r="X1128" s="745">
        <v>0</v>
      </c>
      <c r="Y1128" s="1202">
        <v>1</v>
      </c>
    </row>
    <row r="1129" spans="5:25" ht="15" x14ac:dyDescent="0.2">
      <c r="E1129" s="1201"/>
      <c r="F1129" s="745"/>
      <c r="G1129" s="745"/>
      <c r="H1129" s="1256">
        <f t="shared" si="116"/>
        <v>0</v>
      </c>
      <c r="I1129" s="736">
        <v>902</v>
      </c>
      <c r="J1129" s="736">
        <f t="shared" si="114"/>
        <v>3</v>
      </c>
      <c r="K1129" s="2532">
        <f t="shared" si="117"/>
        <v>47</v>
      </c>
      <c r="L1129" s="736">
        <f t="shared" si="115"/>
        <v>0</v>
      </c>
      <c r="M1129" s="2533">
        <f t="shared" si="118"/>
        <v>1</v>
      </c>
      <c r="U1129" s="1260">
        <f t="shared" si="119"/>
        <v>865</v>
      </c>
      <c r="V1129" s="745">
        <v>1</v>
      </c>
      <c r="W1129" s="745">
        <v>47</v>
      </c>
      <c r="X1129" s="745">
        <v>0</v>
      </c>
      <c r="Y1129" s="1202">
        <v>1</v>
      </c>
    </row>
    <row r="1130" spans="5:25" ht="15" x14ac:dyDescent="0.2">
      <c r="E1130" s="1201"/>
      <c r="F1130" s="745"/>
      <c r="G1130" s="745"/>
      <c r="H1130" s="1256">
        <f t="shared" si="116"/>
        <v>0</v>
      </c>
      <c r="I1130" s="736">
        <v>903</v>
      </c>
      <c r="J1130" s="736">
        <f t="shared" si="114"/>
        <v>0</v>
      </c>
      <c r="K1130" s="2532">
        <f t="shared" si="117"/>
        <v>48</v>
      </c>
      <c r="L1130" s="736">
        <f t="shared" si="115"/>
        <v>1</v>
      </c>
      <c r="M1130" s="2533">
        <f t="shared" si="118"/>
        <v>2</v>
      </c>
      <c r="U1130" s="1260">
        <f t="shared" si="119"/>
        <v>883</v>
      </c>
      <c r="V1130" s="745">
        <v>1</v>
      </c>
      <c r="W1130" s="745">
        <v>48</v>
      </c>
      <c r="X1130" s="745">
        <v>0</v>
      </c>
      <c r="Y1130" s="1202">
        <v>1</v>
      </c>
    </row>
    <row r="1131" spans="5:25" ht="15" x14ac:dyDescent="0.2">
      <c r="E1131" s="1201"/>
      <c r="F1131" s="745"/>
      <c r="G1131" s="745"/>
      <c r="H1131" s="1256">
        <f t="shared" si="116"/>
        <v>0</v>
      </c>
      <c r="I1131" s="736">
        <v>904</v>
      </c>
      <c r="J1131" s="736">
        <f t="shared" si="114"/>
        <v>2</v>
      </c>
      <c r="K1131" s="2532">
        <f t="shared" si="117"/>
        <v>47</v>
      </c>
      <c r="L1131" s="736">
        <f t="shared" si="115"/>
        <v>1</v>
      </c>
      <c r="M1131" s="2533">
        <f t="shared" si="118"/>
        <v>1</v>
      </c>
      <c r="U1131" s="1260">
        <f t="shared" si="119"/>
        <v>901</v>
      </c>
      <c r="V1131" s="745">
        <v>1</v>
      </c>
      <c r="W1131" s="745">
        <v>49</v>
      </c>
      <c r="X1131" s="745">
        <v>0</v>
      </c>
      <c r="Y1131" s="1202">
        <v>1</v>
      </c>
    </row>
    <row r="1132" spans="5:25" ht="15" x14ac:dyDescent="0.2">
      <c r="E1132" s="1201"/>
      <c r="F1132" s="745"/>
      <c r="G1132" s="745"/>
      <c r="H1132" s="1256">
        <f t="shared" si="116"/>
        <v>0</v>
      </c>
      <c r="I1132" s="736">
        <v>905</v>
      </c>
      <c r="J1132" s="736">
        <f t="shared" si="114"/>
        <v>3</v>
      </c>
      <c r="K1132" s="2532">
        <f t="shared" si="117"/>
        <v>46</v>
      </c>
      <c r="L1132" s="736">
        <f t="shared" si="115"/>
        <v>1</v>
      </c>
      <c r="M1132" s="2533">
        <f t="shared" si="118"/>
        <v>2</v>
      </c>
      <c r="U1132" s="1260">
        <f t="shared" si="119"/>
        <v>919</v>
      </c>
      <c r="V1132" s="745">
        <v>1</v>
      </c>
      <c r="W1132" s="745">
        <v>50</v>
      </c>
      <c r="X1132" s="745">
        <v>0</v>
      </c>
      <c r="Y1132" s="1202">
        <v>1</v>
      </c>
    </row>
    <row r="1133" spans="5:25" ht="15" x14ac:dyDescent="0.2">
      <c r="E1133" s="1201"/>
      <c r="F1133" s="745"/>
      <c r="G1133" s="745"/>
      <c r="H1133" s="1256">
        <f t="shared" si="116"/>
        <v>0</v>
      </c>
      <c r="I1133" s="736">
        <v>906</v>
      </c>
      <c r="J1133" s="736">
        <f t="shared" si="114"/>
        <v>5</v>
      </c>
      <c r="K1133" s="2532">
        <f t="shared" si="117"/>
        <v>45</v>
      </c>
      <c r="L1133" s="736">
        <f t="shared" si="115"/>
        <v>1</v>
      </c>
      <c r="M1133" s="2533">
        <f t="shared" si="118"/>
        <v>1</v>
      </c>
      <c r="U1133" s="1260">
        <f t="shared" si="119"/>
        <v>937</v>
      </c>
      <c r="V1133" s="745">
        <v>1</v>
      </c>
      <c r="W1133" s="745">
        <v>51</v>
      </c>
      <c r="X1133" s="745">
        <v>0</v>
      </c>
      <c r="Y1133" s="1202">
        <v>1</v>
      </c>
    </row>
    <row r="1134" spans="5:25" ht="15" x14ac:dyDescent="0.2">
      <c r="E1134" s="1201"/>
      <c r="F1134" s="745"/>
      <c r="G1134" s="745"/>
      <c r="H1134" s="1256">
        <f t="shared" si="116"/>
        <v>0</v>
      </c>
      <c r="I1134" s="736">
        <v>907</v>
      </c>
      <c r="J1134" s="736">
        <f t="shared" ref="J1134:J1197" si="120">VLOOKUP($I1134,$U$295:$Y$1758,2,FALSE)</f>
        <v>2</v>
      </c>
      <c r="K1134" s="2532">
        <f t="shared" si="117"/>
        <v>48</v>
      </c>
      <c r="L1134" s="736">
        <f t="shared" ref="L1134:L1197" si="121">VLOOKUP($I1134,$U$295:$Y$1758,4,FALSE)</f>
        <v>0</v>
      </c>
      <c r="M1134" s="2533">
        <f t="shared" si="118"/>
        <v>1</v>
      </c>
      <c r="U1134" s="1260">
        <f t="shared" si="119"/>
        <v>955</v>
      </c>
      <c r="V1134" s="745">
        <v>1</v>
      </c>
      <c r="W1134" s="745">
        <v>52</v>
      </c>
      <c r="X1134" s="745">
        <v>0</v>
      </c>
      <c r="Y1134" s="1202">
        <v>1</v>
      </c>
    </row>
    <row r="1135" spans="5:25" ht="15" x14ac:dyDescent="0.2">
      <c r="E1135" s="1201"/>
      <c r="F1135" s="745"/>
      <c r="G1135" s="745"/>
      <c r="H1135" s="1256">
        <f t="shared" ref="H1135:H1198" si="122">IF($H$298=I1135,1,0)</f>
        <v>0</v>
      </c>
      <c r="I1135" s="736">
        <v>908</v>
      </c>
      <c r="J1135" s="736">
        <f t="shared" si="120"/>
        <v>3</v>
      </c>
      <c r="K1135" s="2532">
        <f t="shared" ref="K1135:K1198" si="123">IF(VLOOKUP($I1135,$U$295:$Y$1758,3,FALSE)&gt;0,VLOOKUP($I1135,$U$295:$Y$1758,3,FALSE)-1,VLOOKUP($I1135,$U$295:$Y$1758,3,FALSE))</f>
        <v>47</v>
      </c>
      <c r="L1135" s="736">
        <f t="shared" si="121"/>
        <v>0</v>
      </c>
      <c r="M1135" s="2533">
        <f t="shared" ref="M1135:M1198" si="124">VLOOKUP($I1135,$U$295:$Y$1758,5,FALSE)+1</f>
        <v>2</v>
      </c>
      <c r="U1135" s="1260">
        <f t="shared" si="119"/>
        <v>973</v>
      </c>
      <c r="V1135" s="745">
        <v>1</v>
      </c>
      <c r="W1135" s="745">
        <v>53</v>
      </c>
      <c r="X1135" s="745">
        <v>0</v>
      </c>
      <c r="Y1135" s="1202">
        <v>1</v>
      </c>
    </row>
    <row r="1136" spans="5:25" ht="15" x14ac:dyDescent="0.2">
      <c r="E1136" s="1201"/>
      <c r="F1136" s="745"/>
      <c r="G1136" s="745"/>
      <c r="H1136" s="1256">
        <f t="shared" si="122"/>
        <v>0</v>
      </c>
      <c r="I1136" s="736">
        <v>909</v>
      </c>
      <c r="J1136" s="736">
        <f t="shared" si="120"/>
        <v>5</v>
      </c>
      <c r="K1136" s="2532">
        <f t="shared" si="123"/>
        <v>46</v>
      </c>
      <c r="L1136" s="736">
        <f t="shared" si="121"/>
        <v>0</v>
      </c>
      <c r="M1136" s="2533">
        <f t="shared" si="124"/>
        <v>1</v>
      </c>
      <c r="U1136" s="1260">
        <f t="shared" si="119"/>
        <v>991</v>
      </c>
      <c r="V1136" s="745">
        <v>1</v>
      </c>
      <c r="W1136" s="745">
        <v>54</v>
      </c>
      <c r="X1136" s="745">
        <v>0</v>
      </c>
      <c r="Y1136" s="1202">
        <v>1</v>
      </c>
    </row>
    <row r="1137" spans="5:25" ht="15" x14ac:dyDescent="0.2">
      <c r="E1137" s="1201"/>
      <c r="F1137" s="745"/>
      <c r="G1137" s="745"/>
      <c r="H1137" s="1256">
        <f t="shared" si="122"/>
        <v>0</v>
      </c>
      <c r="I1137" s="736">
        <v>910</v>
      </c>
      <c r="J1137" s="736">
        <f t="shared" si="120"/>
        <v>1</v>
      </c>
      <c r="K1137" s="2532">
        <f t="shared" si="123"/>
        <v>48</v>
      </c>
      <c r="L1137" s="736">
        <f t="shared" si="121"/>
        <v>1</v>
      </c>
      <c r="M1137" s="2533">
        <f t="shared" si="124"/>
        <v>1</v>
      </c>
      <c r="U1137" s="1260">
        <f t="shared" si="119"/>
        <v>1009</v>
      </c>
      <c r="V1137" s="745">
        <v>1</v>
      </c>
      <c r="W1137" s="745">
        <v>55</v>
      </c>
      <c r="X1137" s="745">
        <v>0</v>
      </c>
      <c r="Y1137" s="1202">
        <v>1</v>
      </c>
    </row>
    <row r="1138" spans="5:25" ht="15" x14ac:dyDescent="0.2">
      <c r="E1138" s="1201"/>
      <c r="F1138" s="745"/>
      <c r="G1138" s="745"/>
      <c r="H1138" s="1256">
        <f t="shared" si="122"/>
        <v>0</v>
      </c>
      <c r="I1138" s="736">
        <v>911</v>
      </c>
      <c r="J1138" s="736">
        <f t="shared" si="120"/>
        <v>4</v>
      </c>
      <c r="K1138" s="2532">
        <f t="shared" si="123"/>
        <v>46</v>
      </c>
      <c r="L1138" s="736">
        <f t="shared" si="121"/>
        <v>1</v>
      </c>
      <c r="M1138" s="2533">
        <f t="shared" si="124"/>
        <v>1</v>
      </c>
      <c r="U1138" s="1260">
        <f t="shared" si="119"/>
        <v>49</v>
      </c>
      <c r="V1138" s="745">
        <v>2</v>
      </c>
      <c r="W1138" s="745">
        <v>1</v>
      </c>
      <c r="X1138" s="745">
        <v>0</v>
      </c>
      <c r="Y1138" s="1202">
        <v>1</v>
      </c>
    </row>
    <row r="1139" spans="5:25" ht="15" x14ac:dyDescent="0.2">
      <c r="E1139" s="1201"/>
      <c r="F1139" s="745"/>
      <c r="G1139" s="745"/>
      <c r="H1139" s="1256">
        <f t="shared" si="122"/>
        <v>0</v>
      </c>
      <c r="I1139" s="736">
        <v>912</v>
      </c>
      <c r="J1139" s="736">
        <f t="shared" si="120"/>
        <v>5</v>
      </c>
      <c r="K1139" s="2532">
        <f t="shared" si="123"/>
        <v>45</v>
      </c>
      <c r="L1139" s="736">
        <f t="shared" si="121"/>
        <v>1</v>
      </c>
      <c r="M1139" s="2533">
        <f t="shared" si="124"/>
        <v>2</v>
      </c>
      <c r="U1139" s="1260">
        <f t="shared" si="119"/>
        <v>67</v>
      </c>
      <c r="V1139" s="745">
        <v>2</v>
      </c>
      <c r="W1139" s="745">
        <v>2</v>
      </c>
      <c r="X1139" s="745">
        <v>0</v>
      </c>
      <c r="Y1139" s="1202">
        <v>1</v>
      </c>
    </row>
    <row r="1140" spans="5:25" ht="15" x14ac:dyDescent="0.2">
      <c r="E1140" s="1201"/>
      <c r="F1140" s="745"/>
      <c r="G1140" s="745"/>
      <c r="H1140" s="1256">
        <f t="shared" si="122"/>
        <v>0</v>
      </c>
      <c r="I1140" s="736">
        <v>913</v>
      </c>
      <c r="J1140" s="736">
        <f t="shared" si="120"/>
        <v>1</v>
      </c>
      <c r="K1140" s="2532">
        <f t="shared" si="123"/>
        <v>49</v>
      </c>
      <c r="L1140" s="736">
        <f t="shared" si="121"/>
        <v>0</v>
      </c>
      <c r="M1140" s="2533">
        <f t="shared" si="124"/>
        <v>1</v>
      </c>
      <c r="U1140" s="1260">
        <f t="shared" si="119"/>
        <v>85</v>
      </c>
      <c r="V1140" s="745">
        <v>2</v>
      </c>
      <c r="W1140" s="745">
        <v>3</v>
      </c>
      <c r="X1140" s="745">
        <v>0</v>
      </c>
      <c r="Y1140" s="1202">
        <v>1</v>
      </c>
    </row>
    <row r="1141" spans="5:25" ht="15" x14ac:dyDescent="0.2">
      <c r="E1141" s="1201"/>
      <c r="F1141" s="745"/>
      <c r="G1141" s="745"/>
      <c r="H1141" s="1256">
        <f t="shared" si="122"/>
        <v>0</v>
      </c>
      <c r="I1141" s="736">
        <v>914</v>
      </c>
      <c r="J1141" s="736">
        <f t="shared" si="120"/>
        <v>4</v>
      </c>
      <c r="K1141" s="2532">
        <f t="shared" si="123"/>
        <v>47</v>
      </c>
      <c r="L1141" s="736">
        <f t="shared" si="121"/>
        <v>0</v>
      </c>
      <c r="M1141" s="2533">
        <f t="shared" si="124"/>
        <v>1</v>
      </c>
      <c r="U1141" s="1260">
        <f t="shared" si="119"/>
        <v>103</v>
      </c>
      <c r="V1141" s="745">
        <v>2</v>
      </c>
      <c r="W1141" s="745">
        <v>4</v>
      </c>
      <c r="X1141" s="745">
        <v>0</v>
      </c>
      <c r="Y1141" s="1202">
        <v>1</v>
      </c>
    </row>
    <row r="1142" spans="5:25" ht="15" x14ac:dyDescent="0.2">
      <c r="E1142" s="1201"/>
      <c r="F1142" s="745"/>
      <c r="G1142" s="745"/>
      <c r="H1142" s="1256">
        <f t="shared" si="122"/>
        <v>0</v>
      </c>
      <c r="I1142" s="736">
        <v>915</v>
      </c>
      <c r="J1142" s="736">
        <f t="shared" si="120"/>
        <v>0</v>
      </c>
      <c r="K1142" s="2532">
        <f t="shared" si="123"/>
        <v>49</v>
      </c>
      <c r="L1142" s="736">
        <f t="shared" si="121"/>
        <v>1</v>
      </c>
      <c r="M1142" s="2533">
        <f t="shared" si="124"/>
        <v>1</v>
      </c>
      <c r="U1142" s="1260">
        <f t="shared" si="119"/>
        <v>121</v>
      </c>
      <c r="V1142" s="745">
        <v>2</v>
      </c>
      <c r="W1142" s="745">
        <v>5</v>
      </c>
      <c r="X1142" s="745">
        <v>0</v>
      </c>
      <c r="Y1142" s="1202">
        <v>1</v>
      </c>
    </row>
    <row r="1143" spans="5:25" ht="15" x14ac:dyDescent="0.2">
      <c r="E1143" s="1201"/>
      <c r="F1143" s="745"/>
      <c r="G1143" s="745"/>
      <c r="H1143" s="1256">
        <f t="shared" si="122"/>
        <v>0</v>
      </c>
      <c r="I1143" s="736">
        <v>916</v>
      </c>
      <c r="J1143" s="736">
        <f t="shared" si="120"/>
        <v>1</v>
      </c>
      <c r="K1143" s="2532">
        <f t="shared" si="123"/>
        <v>48</v>
      </c>
      <c r="L1143" s="736">
        <f t="shared" si="121"/>
        <v>1</v>
      </c>
      <c r="M1143" s="2533">
        <f t="shared" si="124"/>
        <v>2</v>
      </c>
      <c r="U1143" s="1260">
        <f t="shared" si="119"/>
        <v>139</v>
      </c>
      <c r="V1143" s="745">
        <v>2</v>
      </c>
      <c r="W1143" s="745">
        <v>6</v>
      </c>
      <c r="X1143" s="745">
        <v>0</v>
      </c>
      <c r="Y1143" s="1202">
        <v>1</v>
      </c>
    </row>
    <row r="1144" spans="5:25" ht="15" x14ac:dyDescent="0.2">
      <c r="E1144" s="1201"/>
      <c r="F1144" s="745"/>
      <c r="G1144" s="745"/>
      <c r="H1144" s="1256">
        <f t="shared" si="122"/>
        <v>0</v>
      </c>
      <c r="I1144" s="736">
        <v>917</v>
      </c>
      <c r="J1144" s="736">
        <f t="shared" si="120"/>
        <v>3</v>
      </c>
      <c r="K1144" s="2532">
        <f t="shared" si="123"/>
        <v>47</v>
      </c>
      <c r="L1144" s="736">
        <f t="shared" si="121"/>
        <v>1</v>
      </c>
      <c r="M1144" s="2533">
        <f t="shared" si="124"/>
        <v>1</v>
      </c>
      <c r="U1144" s="1260">
        <f t="shared" si="119"/>
        <v>157</v>
      </c>
      <c r="V1144" s="745">
        <v>2</v>
      </c>
      <c r="W1144" s="745">
        <v>7</v>
      </c>
      <c r="X1144" s="745">
        <v>0</v>
      </c>
      <c r="Y1144" s="1202">
        <v>1</v>
      </c>
    </row>
    <row r="1145" spans="5:25" ht="15" x14ac:dyDescent="0.2">
      <c r="E1145" s="1201"/>
      <c r="F1145" s="745"/>
      <c r="G1145" s="745"/>
      <c r="H1145" s="1256">
        <f t="shared" si="122"/>
        <v>0</v>
      </c>
      <c r="I1145" s="736">
        <v>918</v>
      </c>
      <c r="J1145" s="736">
        <f t="shared" si="120"/>
        <v>0</v>
      </c>
      <c r="K1145" s="2532">
        <f t="shared" si="123"/>
        <v>50</v>
      </c>
      <c r="L1145" s="736">
        <f t="shared" si="121"/>
        <v>0</v>
      </c>
      <c r="M1145" s="2533">
        <f t="shared" si="124"/>
        <v>1</v>
      </c>
      <c r="U1145" s="1260">
        <f t="shared" si="119"/>
        <v>175</v>
      </c>
      <c r="V1145" s="745">
        <v>2</v>
      </c>
      <c r="W1145" s="745">
        <v>8</v>
      </c>
      <c r="X1145" s="745">
        <v>0</v>
      </c>
      <c r="Y1145" s="1202">
        <v>1</v>
      </c>
    </row>
    <row r="1146" spans="5:25" ht="15" x14ac:dyDescent="0.2">
      <c r="E1146" s="1201"/>
      <c r="F1146" s="745"/>
      <c r="G1146" s="745"/>
      <c r="H1146" s="1256">
        <f t="shared" si="122"/>
        <v>0</v>
      </c>
      <c r="I1146" s="736">
        <v>919</v>
      </c>
      <c r="J1146" s="736">
        <f t="shared" si="120"/>
        <v>1</v>
      </c>
      <c r="K1146" s="2532">
        <f t="shared" si="123"/>
        <v>49</v>
      </c>
      <c r="L1146" s="736">
        <f t="shared" si="121"/>
        <v>0</v>
      </c>
      <c r="M1146" s="2533">
        <f t="shared" si="124"/>
        <v>2</v>
      </c>
      <c r="U1146" s="1260">
        <f t="shared" si="119"/>
        <v>193</v>
      </c>
      <c r="V1146" s="745">
        <v>2</v>
      </c>
      <c r="W1146" s="745">
        <v>9</v>
      </c>
      <c r="X1146" s="745">
        <v>0</v>
      </c>
      <c r="Y1146" s="1202">
        <v>1</v>
      </c>
    </row>
    <row r="1147" spans="5:25" ht="15" x14ac:dyDescent="0.2">
      <c r="E1147" s="1201"/>
      <c r="F1147" s="745"/>
      <c r="G1147" s="745"/>
      <c r="H1147" s="1256">
        <f t="shared" si="122"/>
        <v>0</v>
      </c>
      <c r="I1147" s="736">
        <v>920</v>
      </c>
      <c r="J1147" s="736">
        <f t="shared" si="120"/>
        <v>3</v>
      </c>
      <c r="K1147" s="2532">
        <f t="shared" si="123"/>
        <v>48</v>
      </c>
      <c r="L1147" s="736">
        <f t="shared" si="121"/>
        <v>0</v>
      </c>
      <c r="M1147" s="2533">
        <f t="shared" si="124"/>
        <v>1</v>
      </c>
      <c r="U1147" s="1260">
        <f t="shared" si="119"/>
        <v>211</v>
      </c>
      <c r="V1147" s="745">
        <v>2</v>
      </c>
      <c r="W1147" s="745">
        <v>10</v>
      </c>
      <c r="X1147" s="745">
        <v>0</v>
      </c>
      <c r="Y1147" s="1202">
        <v>1</v>
      </c>
    </row>
    <row r="1148" spans="5:25" ht="15" x14ac:dyDescent="0.2">
      <c r="E1148" s="1201"/>
      <c r="F1148" s="745"/>
      <c r="G1148" s="745"/>
      <c r="H1148" s="1256">
        <f t="shared" si="122"/>
        <v>0</v>
      </c>
      <c r="I1148" s="736">
        <v>921</v>
      </c>
      <c r="J1148" s="736">
        <f t="shared" si="120"/>
        <v>0</v>
      </c>
      <c r="K1148" s="2532">
        <f t="shared" si="123"/>
        <v>49</v>
      </c>
      <c r="L1148" s="736">
        <f t="shared" si="121"/>
        <v>1</v>
      </c>
      <c r="M1148" s="2533">
        <f t="shared" si="124"/>
        <v>2</v>
      </c>
      <c r="U1148" s="1260">
        <f t="shared" si="119"/>
        <v>229</v>
      </c>
      <c r="V1148" s="745">
        <v>2</v>
      </c>
      <c r="W1148" s="745">
        <v>11</v>
      </c>
      <c r="X1148" s="745">
        <v>0</v>
      </c>
      <c r="Y1148" s="1202">
        <v>1</v>
      </c>
    </row>
    <row r="1149" spans="5:25" ht="15" x14ac:dyDescent="0.2">
      <c r="E1149" s="1201"/>
      <c r="F1149" s="745"/>
      <c r="G1149" s="745"/>
      <c r="H1149" s="1256">
        <f t="shared" si="122"/>
        <v>0</v>
      </c>
      <c r="I1149" s="736">
        <v>922</v>
      </c>
      <c r="J1149" s="736">
        <f t="shared" si="120"/>
        <v>2</v>
      </c>
      <c r="K1149" s="2532">
        <f t="shared" si="123"/>
        <v>48</v>
      </c>
      <c r="L1149" s="736">
        <f t="shared" si="121"/>
        <v>1</v>
      </c>
      <c r="M1149" s="2533">
        <f t="shared" si="124"/>
        <v>1</v>
      </c>
      <c r="U1149" s="1260">
        <f t="shared" si="119"/>
        <v>247</v>
      </c>
      <c r="V1149" s="745">
        <v>2</v>
      </c>
      <c r="W1149" s="745">
        <v>12</v>
      </c>
      <c r="X1149" s="745">
        <v>0</v>
      </c>
      <c r="Y1149" s="1202">
        <v>1</v>
      </c>
    </row>
    <row r="1150" spans="5:25" ht="15" x14ac:dyDescent="0.2">
      <c r="E1150" s="1201"/>
      <c r="F1150" s="745"/>
      <c r="G1150" s="745"/>
      <c r="H1150" s="1256">
        <f t="shared" si="122"/>
        <v>0</v>
      </c>
      <c r="I1150" s="736">
        <v>923</v>
      </c>
      <c r="J1150" s="736">
        <f t="shared" si="120"/>
        <v>3</v>
      </c>
      <c r="K1150" s="2532">
        <f t="shared" si="123"/>
        <v>47</v>
      </c>
      <c r="L1150" s="736">
        <f t="shared" si="121"/>
        <v>1</v>
      </c>
      <c r="M1150" s="2533">
        <f t="shared" si="124"/>
        <v>2</v>
      </c>
      <c r="U1150" s="1260">
        <f t="shared" si="119"/>
        <v>265</v>
      </c>
      <c r="V1150" s="745">
        <v>2</v>
      </c>
      <c r="W1150" s="745">
        <v>13</v>
      </c>
      <c r="X1150" s="745">
        <v>0</v>
      </c>
      <c r="Y1150" s="1202">
        <v>1</v>
      </c>
    </row>
    <row r="1151" spans="5:25" ht="15" x14ac:dyDescent="0.2">
      <c r="E1151" s="1201"/>
      <c r="F1151" s="745"/>
      <c r="G1151" s="745"/>
      <c r="H1151" s="1256">
        <f t="shared" si="122"/>
        <v>0</v>
      </c>
      <c r="I1151" s="736">
        <v>924</v>
      </c>
      <c r="J1151" s="736">
        <f t="shared" si="120"/>
        <v>5</v>
      </c>
      <c r="K1151" s="2532">
        <f t="shared" si="123"/>
        <v>46</v>
      </c>
      <c r="L1151" s="736">
        <f t="shared" si="121"/>
        <v>1</v>
      </c>
      <c r="M1151" s="2533">
        <f t="shared" si="124"/>
        <v>1</v>
      </c>
      <c r="U1151" s="1260">
        <f t="shared" si="119"/>
        <v>283</v>
      </c>
      <c r="V1151" s="745">
        <v>2</v>
      </c>
      <c r="W1151" s="745">
        <v>14</v>
      </c>
      <c r="X1151" s="745">
        <v>0</v>
      </c>
      <c r="Y1151" s="1202">
        <v>1</v>
      </c>
    </row>
    <row r="1152" spans="5:25" ht="15" x14ac:dyDescent="0.2">
      <c r="E1152" s="1201"/>
      <c r="F1152" s="745"/>
      <c r="G1152" s="745"/>
      <c r="H1152" s="1256">
        <f t="shared" si="122"/>
        <v>0</v>
      </c>
      <c r="I1152" s="736">
        <v>925</v>
      </c>
      <c r="J1152" s="736">
        <f t="shared" si="120"/>
        <v>2</v>
      </c>
      <c r="K1152" s="2532">
        <f t="shared" si="123"/>
        <v>49</v>
      </c>
      <c r="L1152" s="736">
        <f t="shared" si="121"/>
        <v>0</v>
      </c>
      <c r="M1152" s="2533">
        <f t="shared" si="124"/>
        <v>1</v>
      </c>
      <c r="U1152" s="1260">
        <f t="shared" si="119"/>
        <v>301</v>
      </c>
      <c r="V1152" s="745">
        <v>2</v>
      </c>
      <c r="W1152" s="745">
        <v>15</v>
      </c>
      <c r="X1152" s="745">
        <v>0</v>
      </c>
      <c r="Y1152" s="1202">
        <v>1</v>
      </c>
    </row>
    <row r="1153" spans="5:25" ht="15" x14ac:dyDescent="0.2">
      <c r="E1153" s="1201"/>
      <c r="F1153" s="745"/>
      <c r="G1153" s="745"/>
      <c r="H1153" s="1256">
        <f t="shared" si="122"/>
        <v>0</v>
      </c>
      <c r="I1153" s="736">
        <v>926</v>
      </c>
      <c r="J1153" s="736">
        <f t="shared" si="120"/>
        <v>3</v>
      </c>
      <c r="K1153" s="2532">
        <f t="shared" si="123"/>
        <v>48</v>
      </c>
      <c r="L1153" s="736">
        <f t="shared" si="121"/>
        <v>0</v>
      </c>
      <c r="M1153" s="2533">
        <f t="shared" si="124"/>
        <v>2</v>
      </c>
      <c r="U1153" s="1260">
        <f t="shared" si="119"/>
        <v>319</v>
      </c>
      <c r="V1153" s="745">
        <v>2</v>
      </c>
      <c r="W1153" s="745">
        <v>16</v>
      </c>
      <c r="X1153" s="745">
        <v>0</v>
      </c>
      <c r="Y1153" s="1202">
        <v>1</v>
      </c>
    </row>
    <row r="1154" spans="5:25" ht="15" x14ac:dyDescent="0.2">
      <c r="E1154" s="1201"/>
      <c r="F1154" s="745"/>
      <c r="G1154" s="745"/>
      <c r="H1154" s="1256">
        <f t="shared" si="122"/>
        <v>0</v>
      </c>
      <c r="I1154" s="736">
        <v>927</v>
      </c>
      <c r="J1154" s="736">
        <f t="shared" si="120"/>
        <v>5</v>
      </c>
      <c r="K1154" s="2532">
        <f t="shared" si="123"/>
        <v>47</v>
      </c>
      <c r="L1154" s="736">
        <f t="shared" si="121"/>
        <v>0</v>
      </c>
      <c r="M1154" s="2533">
        <f t="shared" si="124"/>
        <v>1</v>
      </c>
      <c r="U1154" s="1260">
        <f t="shared" si="119"/>
        <v>337</v>
      </c>
      <c r="V1154" s="745">
        <v>2</v>
      </c>
      <c r="W1154" s="745">
        <v>17</v>
      </c>
      <c r="X1154" s="745">
        <v>0</v>
      </c>
      <c r="Y1154" s="1202">
        <v>1</v>
      </c>
    </row>
    <row r="1155" spans="5:25" ht="15" x14ac:dyDescent="0.2">
      <c r="E1155" s="1201"/>
      <c r="F1155" s="745"/>
      <c r="G1155" s="745"/>
      <c r="H1155" s="1256">
        <f t="shared" si="122"/>
        <v>0</v>
      </c>
      <c r="I1155" s="736">
        <v>928</v>
      </c>
      <c r="J1155" s="736">
        <f t="shared" si="120"/>
        <v>1</v>
      </c>
      <c r="K1155" s="2532">
        <f t="shared" si="123"/>
        <v>49</v>
      </c>
      <c r="L1155" s="736">
        <f t="shared" si="121"/>
        <v>1</v>
      </c>
      <c r="M1155" s="2533">
        <f t="shared" si="124"/>
        <v>1</v>
      </c>
      <c r="U1155" s="1260">
        <f t="shared" si="119"/>
        <v>355</v>
      </c>
      <c r="V1155" s="745">
        <v>2</v>
      </c>
      <c r="W1155" s="745">
        <v>18</v>
      </c>
      <c r="X1155" s="745">
        <v>0</v>
      </c>
      <c r="Y1155" s="1202">
        <v>1</v>
      </c>
    </row>
    <row r="1156" spans="5:25" ht="15" x14ac:dyDescent="0.2">
      <c r="E1156" s="1201"/>
      <c r="F1156" s="745"/>
      <c r="G1156" s="745"/>
      <c r="H1156" s="1256">
        <f t="shared" si="122"/>
        <v>0</v>
      </c>
      <c r="I1156" s="736">
        <v>929</v>
      </c>
      <c r="J1156" s="736">
        <f t="shared" si="120"/>
        <v>4</v>
      </c>
      <c r="K1156" s="2532">
        <f t="shared" si="123"/>
        <v>47</v>
      </c>
      <c r="L1156" s="736">
        <f t="shared" si="121"/>
        <v>1</v>
      </c>
      <c r="M1156" s="2533">
        <f t="shared" si="124"/>
        <v>1</v>
      </c>
      <c r="U1156" s="1260">
        <f t="shared" ref="U1156:U1219" si="125">ROUNDUP(W1156*$W$294+V1156*$V$294+X1156*$X$294+Y1156*$Y$294,0)</f>
        <v>373</v>
      </c>
      <c r="V1156" s="745">
        <v>2</v>
      </c>
      <c r="W1156" s="745">
        <v>19</v>
      </c>
      <c r="X1156" s="745">
        <v>0</v>
      </c>
      <c r="Y1156" s="1202">
        <v>1</v>
      </c>
    </row>
    <row r="1157" spans="5:25" ht="15" x14ac:dyDescent="0.2">
      <c r="E1157" s="1201"/>
      <c r="F1157" s="745"/>
      <c r="G1157" s="745"/>
      <c r="H1157" s="1256">
        <f t="shared" si="122"/>
        <v>0</v>
      </c>
      <c r="I1157" s="736">
        <v>930</v>
      </c>
      <c r="J1157" s="736">
        <f t="shared" si="120"/>
        <v>5</v>
      </c>
      <c r="K1157" s="2532">
        <f t="shared" si="123"/>
        <v>46</v>
      </c>
      <c r="L1157" s="736">
        <f t="shared" si="121"/>
        <v>1</v>
      </c>
      <c r="M1157" s="2533">
        <f t="shared" si="124"/>
        <v>2</v>
      </c>
      <c r="U1157" s="1260">
        <f t="shared" si="125"/>
        <v>391</v>
      </c>
      <c r="V1157" s="745">
        <v>2</v>
      </c>
      <c r="W1157" s="745">
        <v>20</v>
      </c>
      <c r="X1157" s="745">
        <v>0</v>
      </c>
      <c r="Y1157" s="1202">
        <v>1</v>
      </c>
    </row>
    <row r="1158" spans="5:25" ht="15" x14ac:dyDescent="0.2">
      <c r="E1158" s="1201"/>
      <c r="F1158" s="745"/>
      <c r="G1158" s="745"/>
      <c r="H1158" s="1256">
        <f t="shared" si="122"/>
        <v>0</v>
      </c>
      <c r="I1158" s="736">
        <v>931</v>
      </c>
      <c r="J1158" s="736">
        <f t="shared" si="120"/>
        <v>1</v>
      </c>
      <c r="K1158" s="2532">
        <f t="shared" si="123"/>
        <v>50</v>
      </c>
      <c r="L1158" s="736">
        <f t="shared" si="121"/>
        <v>0</v>
      </c>
      <c r="M1158" s="2533">
        <f t="shared" si="124"/>
        <v>1</v>
      </c>
      <c r="U1158" s="1260">
        <f t="shared" si="125"/>
        <v>409</v>
      </c>
      <c r="V1158" s="745">
        <v>2</v>
      </c>
      <c r="W1158" s="745">
        <v>21</v>
      </c>
      <c r="X1158" s="745">
        <v>0</v>
      </c>
      <c r="Y1158" s="1202">
        <v>1</v>
      </c>
    </row>
    <row r="1159" spans="5:25" ht="15" x14ac:dyDescent="0.2">
      <c r="E1159" s="1201"/>
      <c r="F1159" s="745"/>
      <c r="G1159" s="745"/>
      <c r="H1159" s="1256">
        <f t="shared" si="122"/>
        <v>0</v>
      </c>
      <c r="I1159" s="736">
        <v>932</v>
      </c>
      <c r="J1159" s="736">
        <f t="shared" si="120"/>
        <v>4</v>
      </c>
      <c r="K1159" s="2532">
        <f t="shared" si="123"/>
        <v>48</v>
      </c>
      <c r="L1159" s="736">
        <f t="shared" si="121"/>
        <v>0</v>
      </c>
      <c r="M1159" s="2533">
        <f t="shared" si="124"/>
        <v>1</v>
      </c>
      <c r="U1159" s="1260">
        <f t="shared" si="125"/>
        <v>427</v>
      </c>
      <c r="V1159" s="745">
        <v>2</v>
      </c>
      <c r="W1159" s="745">
        <v>22</v>
      </c>
      <c r="X1159" s="745">
        <v>0</v>
      </c>
      <c r="Y1159" s="1202">
        <v>1</v>
      </c>
    </row>
    <row r="1160" spans="5:25" ht="15" x14ac:dyDescent="0.2">
      <c r="E1160" s="1201"/>
      <c r="F1160" s="745"/>
      <c r="G1160" s="745"/>
      <c r="H1160" s="1256">
        <f t="shared" si="122"/>
        <v>0</v>
      </c>
      <c r="I1160" s="736">
        <v>933</v>
      </c>
      <c r="J1160" s="736">
        <f t="shared" si="120"/>
        <v>0</v>
      </c>
      <c r="K1160" s="2532">
        <f t="shared" si="123"/>
        <v>50</v>
      </c>
      <c r="L1160" s="736">
        <f t="shared" si="121"/>
        <v>1</v>
      </c>
      <c r="M1160" s="2533">
        <f t="shared" si="124"/>
        <v>1</v>
      </c>
      <c r="U1160" s="1260">
        <f t="shared" si="125"/>
        <v>445</v>
      </c>
      <c r="V1160" s="745">
        <v>2</v>
      </c>
      <c r="W1160" s="745">
        <v>23</v>
      </c>
      <c r="X1160" s="745">
        <v>0</v>
      </c>
      <c r="Y1160" s="1202">
        <v>1</v>
      </c>
    </row>
    <row r="1161" spans="5:25" ht="15" x14ac:dyDescent="0.2">
      <c r="E1161" s="1201"/>
      <c r="F1161" s="745"/>
      <c r="G1161" s="745"/>
      <c r="H1161" s="1256">
        <f t="shared" si="122"/>
        <v>0</v>
      </c>
      <c r="I1161" s="736">
        <v>934</v>
      </c>
      <c r="J1161" s="736">
        <f t="shared" si="120"/>
        <v>1</v>
      </c>
      <c r="K1161" s="2532">
        <f t="shared" si="123"/>
        <v>49</v>
      </c>
      <c r="L1161" s="736">
        <f t="shared" si="121"/>
        <v>1</v>
      </c>
      <c r="M1161" s="2533">
        <f t="shared" si="124"/>
        <v>2</v>
      </c>
      <c r="U1161" s="1260">
        <f t="shared" si="125"/>
        <v>463</v>
      </c>
      <c r="V1161" s="745">
        <v>2</v>
      </c>
      <c r="W1161" s="745">
        <v>24</v>
      </c>
      <c r="X1161" s="745">
        <v>0</v>
      </c>
      <c r="Y1161" s="1202">
        <v>1</v>
      </c>
    </row>
    <row r="1162" spans="5:25" ht="15" x14ac:dyDescent="0.2">
      <c r="E1162" s="1201"/>
      <c r="F1162" s="745"/>
      <c r="G1162" s="745"/>
      <c r="H1162" s="1256">
        <f t="shared" si="122"/>
        <v>0</v>
      </c>
      <c r="I1162" s="736">
        <v>935</v>
      </c>
      <c r="J1162" s="736">
        <f t="shared" si="120"/>
        <v>3</v>
      </c>
      <c r="K1162" s="2532">
        <f t="shared" si="123"/>
        <v>48</v>
      </c>
      <c r="L1162" s="736">
        <f t="shared" si="121"/>
        <v>1</v>
      </c>
      <c r="M1162" s="2533">
        <f t="shared" si="124"/>
        <v>1</v>
      </c>
      <c r="U1162" s="1260">
        <f t="shared" si="125"/>
        <v>481</v>
      </c>
      <c r="V1162" s="745">
        <v>2</v>
      </c>
      <c r="W1162" s="745">
        <v>25</v>
      </c>
      <c r="X1162" s="745">
        <v>0</v>
      </c>
      <c r="Y1162" s="1202">
        <v>1</v>
      </c>
    </row>
    <row r="1163" spans="5:25" ht="15" x14ac:dyDescent="0.2">
      <c r="E1163" s="1201"/>
      <c r="F1163" s="745"/>
      <c r="G1163" s="745"/>
      <c r="H1163" s="1256">
        <f t="shared" si="122"/>
        <v>0</v>
      </c>
      <c r="I1163" s="736">
        <v>936</v>
      </c>
      <c r="J1163" s="736">
        <f t="shared" si="120"/>
        <v>0</v>
      </c>
      <c r="K1163" s="2532">
        <f t="shared" si="123"/>
        <v>51</v>
      </c>
      <c r="L1163" s="736">
        <f t="shared" si="121"/>
        <v>0</v>
      </c>
      <c r="M1163" s="2533">
        <f t="shared" si="124"/>
        <v>1</v>
      </c>
      <c r="U1163" s="1260">
        <f t="shared" si="125"/>
        <v>499</v>
      </c>
      <c r="V1163" s="745">
        <v>2</v>
      </c>
      <c r="W1163" s="745">
        <v>26</v>
      </c>
      <c r="X1163" s="745">
        <v>0</v>
      </c>
      <c r="Y1163" s="1202">
        <v>1</v>
      </c>
    </row>
    <row r="1164" spans="5:25" ht="15" x14ac:dyDescent="0.2">
      <c r="E1164" s="1201"/>
      <c r="F1164" s="745"/>
      <c r="G1164" s="745"/>
      <c r="H1164" s="1256">
        <f t="shared" si="122"/>
        <v>0</v>
      </c>
      <c r="I1164" s="736">
        <v>937</v>
      </c>
      <c r="J1164" s="736">
        <f t="shared" si="120"/>
        <v>1</v>
      </c>
      <c r="K1164" s="2532">
        <f t="shared" si="123"/>
        <v>50</v>
      </c>
      <c r="L1164" s="736">
        <f t="shared" si="121"/>
        <v>0</v>
      </c>
      <c r="M1164" s="2533">
        <f t="shared" si="124"/>
        <v>2</v>
      </c>
      <c r="U1164" s="1260">
        <f t="shared" si="125"/>
        <v>517</v>
      </c>
      <c r="V1164" s="745">
        <v>2</v>
      </c>
      <c r="W1164" s="745">
        <v>27</v>
      </c>
      <c r="X1164" s="745">
        <v>0</v>
      </c>
      <c r="Y1164" s="1202">
        <v>1</v>
      </c>
    </row>
    <row r="1165" spans="5:25" ht="15" x14ac:dyDescent="0.2">
      <c r="E1165" s="1201"/>
      <c r="F1165" s="745"/>
      <c r="G1165" s="745"/>
      <c r="H1165" s="1256">
        <f t="shared" si="122"/>
        <v>0</v>
      </c>
      <c r="I1165" s="736">
        <v>938</v>
      </c>
      <c r="J1165" s="736">
        <f t="shared" si="120"/>
        <v>3</v>
      </c>
      <c r="K1165" s="2532">
        <f t="shared" si="123"/>
        <v>49</v>
      </c>
      <c r="L1165" s="736">
        <f t="shared" si="121"/>
        <v>0</v>
      </c>
      <c r="M1165" s="2533">
        <f t="shared" si="124"/>
        <v>1</v>
      </c>
      <c r="U1165" s="1260">
        <f t="shared" si="125"/>
        <v>535</v>
      </c>
      <c r="V1165" s="745">
        <v>2</v>
      </c>
      <c r="W1165" s="745">
        <v>28</v>
      </c>
      <c r="X1165" s="745">
        <v>0</v>
      </c>
      <c r="Y1165" s="1202">
        <v>1</v>
      </c>
    </row>
    <row r="1166" spans="5:25" ht="15" x14ac:dyDescent="0.2">
      <c r="E1166" s="1201"/>
      <c r="F1166" s="745"/>
      <c r="G1166" s="745"/>
      <c r="H1166" s="1256">
        <f t="shared" si="122"/>
        <v>0</v>
      </c>
      <c r="I1166" s="736">
        <v>939</v>
      </c>
      <c r="J1166" s="736">
        <f t="shared" si="120"/>
        <v>0</v>
      </c>
      <c r="K1166" s="2532">
        <f t="shared" si="123"/>
        <v>50</v>
      </c>
      <c r="L1166" s="736">
        <f t="shared" si="121"/>
        <v>1</v>
      </c>
      <c r="M1166" s="2533">
        <f t="shared" si="124"/>
        <v>2</v>
      </c>
      <c r="U1166" s="1260">
        <f t="shared" si="125"/>
        <v>553</v>
      </c>
      <c r="V1166" s="745">
        <v>2</v>
      </c>
      <c r="W1166" s="745">
        <v>29</v>
      </c>
      <c r="X1166" s="745">
        <v>0</v>
      </c>
      <c r="Y1166" s="1202">
        <v>1</v>
      </c>
    </row>
    <row r="1167" spans="5:25" ht="15" x14ac:dyDescent="0.2">
      <c r="E1167" s="1201"/>
      <c r="F1167" s="745"/>
      <c r="G1167" s="745"/>
      <c r="H1167" s="1256">
        <f t="shared" si="122"/>
        <v>0</v>
      </c>
      <c r="I1167" s="736">
        <v>940</v>
      </c>
      <c r="J1167" s="736">
        <f t="shared" si="120"/>
        <v>2</v>
      </c>
      <c r="K1167" s="2532">
        <f t="shared" si="123"/>
        <v>49</v>
      </c>
      <c r="L1167" s="736">
        <f t="shared" si="121"/>
        <v>1</v>
      </c>
      <c r="M1167" s="2533">
        <f t="shared" si="124"/>
        <v>1</v>
      </c>
      <c r="U1167" s="1260">
        <f t="shared" si="125"/>
        <v>571</v>
      </c>
      <c r="V1167" s="745">
        <v>2</v>
      </c>
      <c r="W1167" s="745">
        <v>30</v>
      </c>
      <c r="X1167" s="745">
        <v>0</v>
      </c>
      <c r="Y1167" s="1202">
        <v>1</v>
      </c>
    </row>
    <row r="1168" spans="5:25" ht="15" x14ac:dyDescent="0.2">
      <c r="E1168" s="1201"/>
      <c r="F1168" s="745"/>
      <c r="G1168" s="745"/>
      <c r="H1168" s="1256">
        <f t="shared" si="122"/>
        <v>0</v>
      </c>
      <c r="I1168" s="736">
        <v>941</v>
      </c>
      <c r="J1168" s="736">
        <f t="shared" si="120"/>
        <v>3</v>
      </c>
      <c r="K1168" s="2532">
        <f t="shared" si="123"/>
        <v>48</v>
      </c>
      <c r="L1168" s="736">
        <f t="shared" si="121"/>
        <v>1</v>
      </c>
      <c r="M1168" s="2533">
        <f t="shared" si="124"/>
        <v>2</v>
      </c>
      <c r="U1168" s="1260">
        <f t="shared" si="125"/>
        <v>589</v>
      </c>
      <c r="V1168" s="745">
        <v>2</v>
      </c>
      <c r="W1168" s="745">
        <v>31</v>
      </c>
      <c r="X1168" s="745">
        <v>0</v>
      </c>
      <c r="Y1168" s="1202">
        <v>1</v>
      </c>
    </row>
    <row r="1169" spans="5:25" ht="15" x14ac:dyDescent="0.2">
      <c r="E1169" s="1201"/>
      <c r="F1169" s="745"/>
      <c r="G1169" s="745"/>
      <c r="H1169" s="1256">
        <f t="shared" si="122"/>
        <v>0</v>
      </c>
      <c r="I1169" s="736">
        <v>942</v>
      </c>
      <c r="J1169" s="736">
        <f t="shared" si="120"/>
        <v>5</v>
      </c>
      <c r="K1169" s="2532">
        <f t="shared" si="123"/>
        <v>47</v>
      </c>
      <c r="L1169" s="736">
        <f t="shared" si="121"/>
        <v>1</v>
      </c>
      <c r="M1169" s="2533">
        <f t="shared" si="124"/>
        <v>1</v>
      </c>
      <c r="U1169" s="1260">
        <f t="shared" si="125"/>
        <v>607</v>
      </c>
      <c r="V1169" s="745">
        <v>2</v>
      </c>
      <c r="W1169" s="745">
        <v>32</v>
      </c>
      <c r="X1169" s="745">
        <v>0</v>
      </c>
      <c r="Y1169" s="1202">
        <v>1</v>
      </c>
    </row>
    <row r="1170" spans="5:25" ht="15" x14ac:dyDescent="0.2">
      <c r="E1170" s="1201"/>
      <c r="F1170" s="745"/>
      <c r="G1170" s="745"/>
      <c r="H1170" s="1256">
        <f t="shared" si="122"/>
        <v>0</v>
      </c>
      <c r="I1170" s="736">
        <v>943</v>
      </c>
      <c r="J1170" s="736">
        <f t="shared" si="120"/>
        <v>2</v>
      </c>
      <c r="K1170" s="2532">
        <f t="shared" si="123"/>
        <v>50</v>
      </c>
      <c r="L1170" s="736">
        <f t="shared" si="121"/>
        <v>0</v>
      </c>
      <c r="M1170" s="2533">
        <f t="shared" si="124"/>
        <v>1</v>
      </c>
      <c r="U1170" s="1260">
        <f t="shared" si="125"/>
        <v>625</v>
      </c>
      <c r="V1170" s="745">
        <v>2</v>
      </c>
      <c r="W1170" s="745">
        <v>33</v>
      </c>
      <c r="X1170" s="745">
        <v>0</v>
      </c>
      <c r="Y1170" s="1202">
        <v>1</v>
      </c>
    </row>
    <row r="1171" spans="5:25" ht="15" x14ac:dyDescent="0.2">
      <c r="E1171" s="1201"/>
      <c r="F1171" s="745"/>
      <c r="G1171" s="745"/>
      <c r="H1171" s="1256">
        <f t="shared" si="122"/>
        <v>0</v>
      </c>
      <c r="I1171" s="736">
        <v>944</v>
      </c>
      <c r="J1171" s="736">
        <f t="shared" si="120"/>
        <v>3</v>
      </c>
      <c r="K1171" s="2532">
        <f t="shared" si="123"/>
        <v>49</v>
      </c>
      <c r="L1171" s="736">
        <f t="shared" si="121"/>
        <v>0</v>
      </c>
      <c r="M1171" s="2533">
        <f t="shared" si="124"/>
        <v>2</v>
      </c>
      <c r="U1171" s="1260">
        <f t="shared" si="125"/>
        <v>643</v>
      </c>
      <c r="V1171" s="745">
        <v>2</v>
      </c>
      <c r="W1171" s="745">
        <v>34</v>
      </c>
      <c r="X1171" s="745">
        <v>0</v>
      </c>
      <c r="Y1171" s="1202">
        <v>1</v>
      </c>
    </row>
    <row r="1172" spans="5:25" ht="15" x14ac:dyDescent="0.2">
      <c r="E1172" s="1201"/>
      <c r="F1172" s="745"/>
      <c r="G1172" s="745"/>
      <c r="H1172" s="1256">
        <f t="shared" si="122"/>
        <v>0</v>
      </c>
      <c r="I1172" s="736">
        <v>945</v>
      </c>
      <c r="J1172" s="736">
        <f t="shared" si="120"/>
        <v>5</v>
      </c>
      <c r="K1172" s="2532">
        <f t="shared" si="123"/>
        <v>48</v>
      </c>
      <c r="L1172" s="736">
        <f t="shared" si="121"/>
        <v>0</v>
      </c>
      <c r="M1172" s="2533">
        <f t="shared" si="124"/>
        <v>1</v>
      </c>
      <c r="U1172" s="1260">
        <f t="shared" si="125"/>
        <v>661</v>
      </c>
      <c r="V1172" s="745">
        <v>2</v>
      </c>
      <c r="W1172" s="745">
        <v>35</v>
      </c>
      <c r="X1172" s="745">
        <v>0</v>
      </c>
      <c r="Y1172" s="1202">
        <v>1</v>
      </c>
    </row>
    <row r="1173" spans="5:25" ht="15" x14ac:dyDescent="0.2">
      <c r="E1173" s="1201"/>
      <c r="F1173" s="745"/>
      <c r="G1173" s="745"/>
      <c r="H1173" s="1256">
        <f t="shared" si="122"/>
        <v>0</v>
      </c>
      <c r="I1173" s="736">
        <v>946</v>
      </c>
      <c r="J1173" s="736">
        <f t="shared" si="120"/>
        <v>1</v>
      </c>
      <c r="K1173" s="2532">
        <f t="shared" si="123"/>
        <v>50</v>
      </c>
      <c r="L1173" s="736">
        <f t="shared" si="121"/>
        <v>1</v>
      </c>
      <c r="M1173" s="2533">
        <f t="shared" si="124"/>
        <v>1</v>
      </c>
      <c r="U1173" s="1260">
        <f t="shared" si="125"/>
        <v>679</v>
      </c>
      <c r="V1173" s="745">
        <v>2</v>
      </c>
      <c r="W1173" s="745">
        <v>36</v>
      </c>
      <c r="X1173" s="745">
        <v>0</v>
      </c>
      <c r="Y1173" s="1202">
        <v>1</v>
      </c>
    </row>
    <row r="1174" spans="5:25" ht="15" x14ac:dyDescent="0.2">
      <c r="E1174" s="1201"/>
      <c r="F1174" s="745"/>
      <c r="G1174" s="745"/>
      <c r="H1174" s="1256">
        <f t="shared" si="122"/>
        <v>0</v>
      </c>
      <c r="I1174" s="736">
        <v>947</v>
      </c>
      <c r="J1174" s="736">
        <f t="shared" si="120"/>
        <v>4</v>
      </c>
      <c r="K1174" s="2532">
        <f t="shared" si="123"/>
        <v>48</v>
      </c>
      <c r="L1174" s="736">
        <f t="shared" si="121"/>
        <v>1</v>
      </c>
      <c r="M1174" s="2533">
        <f t="shared" si="124"/>
        <v>1</v>
      </c>
      <c r="U1174" s="1260">
        <f t="shared" si="125"/>
        <v>697</v>
      </c>
      <c r="V1174" s="745">
        <v>2</v>
      </c>
      <c r="W1174" s="745">
        <v>37</v>
      </c>
      <c r="X1174" s="745">
        <v>0</v>
      </c>
      <c r="Y1174" s="1202">
        <v>1</v>
      </c>
    </row>
    <row r="1175" spans="5:25" ht="15" x14ac:dyDescent="0.2">
      <c r="E1175" s="1201"/>
      <c r="F1175" s="745"/>
      <c r="G1175" s="745"/>
      <c r="H1175" s="1256">
        <f t="shared" si="122"/>
        <v>0</v>
      </c>
      <c r="I1175" s="736">
        <v>948</v>
      </c>
      <c r="J1175" s="736">
        <f t="shared" si="120"/>
        <v>5</v>
      </c>
      <c r="K1175" s="2532">
        <f t="shared" si="123"/>
        <v>47</v>
      </c>
      <c r="L1175" s="736">
        <f t="shared" si="121"/>
        <v>1</v>
      </c>
      <c r="M1175" s="2533">
        <f t="shared" si="124"/>
        <v>2</v>
      </c>
      <c r="U1175" s="1260">
        <f t="shared" si="125"/>
        <v>715</v>
      </c>
      <c r="V1175" s="745">
        <v>2</v>
      </c>
      <c r="W1175" s="745">
        <v>38</v>
      </c>
      <c r="X1175" s="745">
        <v>0</v>
      </c>
      <c r="Y1175" s="1202">
        <v>1</v>
      </c>
    </row>
    <row r="1176" spans="5:25" ht="15" x14ac:dyDescent="0.2">
      <c r="E1176" s="1201"/>
      <c r="F1176" s="745"/>
      <c r="G1176" s="745"/>
      <c r="H1176" s="1256">
        <f t="shared" si="122"/>
        <v>0</v>
      </c>
      <c r="I1176" s="736">
        <v>949</v>
      </c>
      <c r="J1176" s="736">
        <f t="shared" si="120"/>
        <v>1</v>
      </c>
      <c r="K1176" s="2532">
        <f t="shared" si="123"/>
        <v>51</v>
      </c>
      <c r="L1176" s="736">
        <f t="shared" si="121"/>
        <v>0</v>
      </c>
      <c r="M1176" s="2533">
        <f t="shared" si="124"/>
        <v>1</v>
      </c>
      <c r="U1176" s="1260">
        <f t="shared" si="125"/>
        <v>733</v>
      </c>
      <c r="V1176" s="745">
        <v>2</v>
      </c>
      <c r="W1176" s="745">
        <v>39</v>
      </c>
      <c r="X1176" s="745">
        <v>0</v>
      </c>
      <c r="Y1176" s="1202">
        <v>1</v>
      </c>
    </row>
    <row r="1177" spans="5:25" ht="15" x14ac:dyDescent="0.2">
      <c r="E1177" s="1201"/>
      <c r="F1177" s="745"/>
      <c r="G1177" s="745"/>
      <c r="H1177" s="1256">
        <f t="shared" si="122"/>
        <v>0</v>
      </c>
      <c r="I1177" s="736">
        <v>950</v>
      </c>
      <c r="J1177" s="736">
        <f t="shared" si="120"/>
        <v>4</v>
      </c>
      <c r="K1177" s="2532">
        <f t="shared" si="123"/>
        <v>49</v>
      </c>
      <c r="L1177" s="736">
        <f t="shared" si="121"/>
        <v>0</v>
      </c>
      <c r="M1177" s="2533">
        <f t="shared" si="124"/>
        <v>1</v>
      </c>
      <c r="U1177" s="1260">
        <f t="shared" si="125"/>
        <v>751</v>
      </c>
      <c r="V1177" s="745">
        <v>2</v>
      </c>
      <c r="W1177" s="745">
        <v>40</v>
      </c>
      <c r="X1177" s="745">
        <v>0</v>
      </c>
      <c r="Y1177" s="1202">
        <v>1</v>
      </c>
    </row>
    <row r="1178" spans="5:25" ht="15" x14ac:dyDescent="0.2">
      <c r="E1178" s="1201"/>
      <c r="F1178" s="745"/>
      <c r="G1178" s="745"/>
      <c r="H1178" s="1256">
        <f t="shared" si="122"/>
        <v>0</v>
      </c>
      <c r="I1178" s="736">
        <v>951</v>
      </c>
      <c r="J1178" s="736">
        <f t="shared" si="120"/>
        <v>0</v>
      </c>
      <c r="K1178" s="2532">
        <f t="shared" si="123"/>
        <v>51</v>
      </c>
      <c r="L1178" s="736">
        <f t="shared" si="121"/>
        <v>1</v>
      </c>
      <c r="M1178" s="2533">
        <f t="shared" si="124"/>
        <v>1</v>
      </c>
      <c r="U1178" s="1260">
        <f t="shared" si="125"/>
        <v>769</v>
      </c>
      <c r="V1178" s="745">
        <v>2</v>
      </c>
      <c r="W1178" s="745">
        <v>41</v>
      </c>
      <c r="X1178" s="745">
        <v>0</v>
      </c>
      <c r="Y1178" s="1202">
        <v>1</v>
      </c>
    </row>
    <row r="1179" spans="5:25" ht="15" x14ac:dyDescent="0.2">
      <c r="E1179" s="1201"/>
      <c r="F1179" s="745"/>
      <c r="G1179" s="745"/>
      <c r="H1179" s="1256">
        <f t="shared" si="122"/>
        <v>0</v>
      </c>
      <c r="I1179" s="736">
        <v>952</v>
      </c>
      <c r="J1179" s="736">
        <f t="shared" si="120"/>
        <v>1</v>
      </c>
      <c r="K1179" s="2532">
        <f t="shared" si="123"/>
        <v>50</v>
      </c>
      <c r="L1179" s="736">
        <f t="shared" si="121"/>
        <v>1</v>
      </c>
      <c r="M1179" s="2533">
        <f t="shared" si="124"/>
        <v>2</v>
      </c>
      <c r="U1179" s="1260">
        <f t="shared" si="125"/>
        <v>787</v>
      </c>
      <c r="V1179" s="745">
        <v>2</v>
      </c>
      <c r="W1179" s="745">
        <v>42</v>
      </c>
      <c r="X1179" s="745">
        <v>0</v>
      </c>
      <c r="Y1179" s="1202">
        <v>1</v>
      </c>
    </row>
    <row r="1180" spans="5:25" ht="15" x14ac:dyDescent="0.2">
      <c r="E1180" s="1201"/>
      <c r="F1180" s="745"/>
      <c r="G1180" s="745"/>
      <c r="H1180" s="1256">
        <f t="shared" si="122"/>
        <v>0</v>
      </c>
      <c r="I1180" s="736">
        <v>953</v>
      </c>
      <c r="J1180" s="736">
        <f t="shared" si="120"/>
        <v>3</v>
      </c>
      <c r="K1180" s="2532">
        <f t="shared" si="123"/>
        <v>49</v>
      </c>
      <c r="L1180" s="736">
        <f t="shared" si="121"/>
        <v>1</v>
      </c>
      <c r="M1180" s="2533">
        <f t="shared" si="124"/>
        <v>1</v>
      </c>
      <c r="U1180" s="1260">
        <f t="shared" si="125"/>
        <v>805</v>
      </c>
      <c r="V1180" s="745">
        <v>2</v>
      </c>
      <c r="W1180" s="745">
        <v>43</v>
      </c>
      <c r="X1180" s="745">
        <v>0</v>
      </c>
      <c r="Y1180" s="1202">
        <v>1</v>
      </c>
    </row>
    <row r="1181" spans="5:25" ht="15" x14ac:dyDescent="0.2">
      <c r="E1181" s="1201"/>
      <c r="F1181" s="745"/>
      <c r="G1181" s="745"/>
      <c r="H1181" s="1256">
        <f t="shared" si="122"/>
        <v>0</v>
      </c>
      <c r="I1181" s="736">
        <v>954</v>
      </c>
      <c r="J1181" s="736">
        <f t="shared" si="120"/>
        <v>0</v>
      </c>
      <c r="K1181" s="2532">
        <f t="shared" si="123"/>
        <v>52</v>
      </c>
      <c r="L1181" s="736">
        <f t="shared" si="121"/>
        <v>0</v>
      </c>
      <c r="M1181" s="2533">
        <f t="shared" si="124"/>
        <v>1</v>
      </c>
      <c r="U1181" s="1260">
        <f t="shared" si="125"/>
        <v>823</v>
      </c>
      <c r="V1181" s="745">
        <v>2</v>
      </c>
      <c r="W1181" s="745">
        <v>44</v>
      </c>
      <c r="X1181" s="745">
        <v>0</v>
      </c>
      <c r="Y1181" s="1202">
        <v>1</v>
      </c>
    </row>
    <row r="1182" spans="5:25" ht="15" x14ac:dyDescent="0.2">
      <c r="E1182" s="1201"/>
      <c r="F1182" s="745"/>
      <c r="G1182" s="745"/>
      <c r="H1182" s="1256">
        <f t="shared" si="122"/>
        <v>0</v>
      </c>
      <c r="I1182" s="736">
        <v>955</v>
      </c>
      <c r="J1182" s="736">
        <f t="shared" si="120"/>
        <v>1</v>
      </c>
      <c r="K1182" s="2532">
        <f t="shared" si="123"/>
        <v>51</v>
      </c>
      <c r="L1182" s="736">
        <f t="shared" si="121"/>
        <v>0</v>
      </c>
      <c r="M1182" s="2533">
        <f t="shared" si="124"/>
        <v>2</v>
      </c>
      <c r="U1182" s="1260">
        <f t="shared" si="125"/>
        <v>841</v>
      </c>
      <c r="V1182" s="745">
        <v>2</v>
      </c>
      <c r="W1182" s="745">
        <v>45</v>
      </c>
      <c r="X1182" s="745">
        <v>0</v>
      </c>
      <c r="Y1182" s="1202">
        <v>1</v>
      </c>
    </row>
    <row r="1183" spans="5:25" ht="15" x14ac:dyDescent="0.2">
      <c r="E1183" s="1201"/>
      <c r="F1183" s="745"/>
      <c r="G1183" s="745"/>
      <c r="H1183" s="1256">
        <f t="shared" si="122"/>
        <v>0</v>
      </c>
      <c r="I1183" s="736">
        <v>956</v>
      </c>
      <c r="J1183" s="736">
        <f t="shared" si="120"/>
        <v>3</v>
      </c>
      <c r="K1183" s="2532">
        <f t="shared" si="123"/>
        <v>50</v>
      </c>
      <c r="L1183" s="736">
        <f t="shared" si="121"/>
        <v>0</v>
      </c>
      <c r="M1183" s="2533">
        <f t="shared" si="124"/>
        <v>1</v>
      </c>
      <c r="U1183" s="1260">
        <f t="shared" si="125"/>
        <v>859</v>
      </c>
      <c r="V1183" s="745">
        <v>2</v>
      </c>
      <c r="W1183" s="745">
        <v>46</v>
      </c>
      <c r="X1183" s="745">
        <v>0</v>
      </c>
      <c r="Y1183" s="1202">
        <v>1</v>
      </c>
    </row>
    <row r="1184" spans="5:25" ht="15" x14ac:dyDescent="0.2">
      <c r="E1184" s="1201"/>
      <c r="F1184" s="745"/>
      <c r="G1184" s="745"/>
      <c r="H1184" s="1256">
        <f t="shared" si="122"/>
        <v>0</v>
      </c>
      <c r="I1184" s="736">
        <v>957</v>
      </c>
      <c r="J1184" s="736">
        <f t="shared" si="120"/>
        <v>0</v>
      </c>
      <c r="K1184" s="2532">
        <f t="shared" si="123"/>
        <v>51</v>
      </c>
      <c r="L1184" s="736">
        <f t="shared" si="121"/>
        <v>1</v>
      </c>
      <c r="M1184" s="2533">
        <f t="shared" si="124"/>
        <v>2</v>
      </c>
      <c r="U1184" s="1260">
        <f t="shared" si="125"/>
        <v>877</v>
      </c>
      <c r="V1184" s="745">
        <v>2</v>
      </c>
      <c r="W1184" s="745">
        <v>47</v>
      </c>
      <c r="X1184" s="745">
        <v>0</v>
      </c>
      <c r="Y1184" s="1202">
        <v>1</v>
      </c>
    </row>
    <row r="1185" spans="5:25" ht="15" x14ac:dyDescent="0.2">
      <c r="E1185" s="1201"/>
      <c r="F1185" s="745"/>
      <c r="G1185" s="745"/>
      <c r="H1185" s="1256">
        <f t="shared" si="122"/>
        <v>0</v>
      </c>
      <c r="I1185" s="736">
        <v>958</v>
      </c>
      <c r="J1185" s="736">
        <f t="shared" si="120"/>
        <v>2</v>
      </c>
      <c r="K1185" s="2532">
        <f t="shared" si="123"/>
        <v>50</v>
      </c>
      <c r="L1185" s="736">
        <f t="shared" si="121"/>
        <v>1</v>
      </c>
      <c r="M1185" s="2533">
        <f t="shared" si="124"/>
        <v>1</v>
      </c>
      <c r="U1185" s="1260">
        <f t="shared" si="125"/>
        <v>895</v>
      </c>
      <c r="V1185" s="745">
        <v>2</v>
      </c>
      <c r="W1185" s="745">
        <v>48</v>
      </c>
      <c r="X1185" s="745">
        <v>0</v>
      </c>
      <c r="Y1185" s="1202">
        <v>1</v>
      </c>
    </row>
    <row r="1186" spans="5:25" ht="15" x14ac:dyDescent="0.2">
      <c r="E1186" s="1201"/>
      <c r="F1186" s="745"/>
      <c r="G1186" s="745"/>
      <c r="H1186" s="1256">
        <f t="shared" si="122"/>
        <v>0</v>
      </c>
      <c r="I1186" s="736">
        <v>959</v>
      </c>
      <c r="J1186" s="736">
        <f t="shared" si="120"/>
        <v>3</v>
      </c>
      <c r="K1186" s="2532">
        <f t="shared" si="123"/>
        <v>49</v>
      </c>
      <c r="L1186" s="736">
        <f t="shared" si="121"/>
        <v>1</v>
      </c>
      <c r="M1186" s="2533">
        <f t="shared" si="124"/>
        <v>2</v>
      </c>
      <c r="U1186" s="1260">
        <f t="shared" si="125"/>
        <v>913</v>
      </c>
      <c r="V1186" s="745">
        <v>2</v>
      </c>
      <c r="W1186" s="745">
        <v>49</v>
      </c>
      <c r="X1186" s="745">
        <v>0</v>
      </c>
      <c r="Y1186" s="1202">
        <v>1</v>
      </c>
    </row>
    <row r="1187" spans="5:25" ht="15" x14ac:dyDescent="0.2">
      <c r="E1187" s="1201"/>
      <c r="F1187" s="745"/>
      <c r="G1187" s="745"/>
      <c r="H1187" s="1256">
        <f t="shared" si="122"/>
        <v>0</v>
      </c>
      <c r="I1187" s="736">
        <v>960</v>
      </c>
      <c r="J1187" s="736">
        <f t="shared" si="120"/>
        <v>5</v>
      </c>
      <c r="K1187" s="2532">
        <f t="shared" si="123"/>
        <v>48</v>
      </c>
      <c r="L1187" s="736">
        <f t="shared" si="121"/>
        <v>1</v>
      </c>
      <c r="M1187" s="2533">
        <f t="shared" si="124"/>
        <v>1</v>
      </c>
      <c r="U1187" s="1260">
        <f t="shared" si="125"/>
        <v>931</v>
      </c>
      <c r="V1187" s="745">
        <v>2</v>
      </c>
      <c r="W1187" s="745">
        <v>50</v>
      </c>
      <c r="X1187" s="745">
        <v>0</v>
      </c>
      <c r="Y1187" s="1202">
        <v>1</v>
      </c>
    </row>
    <row r="1188" spans="5:25" ht="15" x14ac:dyDescent="0.2">
      <c r="E1188" s="1201"/>
      <c r="F1188" s="745"/>
      <c r="G1188" s="745"/>
      <c r="H1188" s="1256">
        <f t="shared" si="122"/>
        <v>0</v>
      </c>
      <c r="I1188" s="736">
        <v>961</v>
      </c>
      <c r="J1188" s="736">
        <f t="shared" si="120"/>
        <v>2</v>
      </c>
      <c r="K1188" s="2532">
        <f t="shared" si="123"/>
        <v>51</v>
      </c>
      <c r="L1188" s="736">
        <f t="shared" si="121"/>
        <v>0</v>
      </c>
      <c r="M1188" s="2533">
        <f t="shared" si="124"/>
        <v>1</v>
      </c>
      <c r="U1188" s="1260">
        <f t="shared" si="125"/>
        <v>949</v>
      </c>
      <c r="V1188" s="745">
        <v>2</v>
      </c>
      <c r="W1188" s="745">
        <v>51</v>
      </c>
      <c r="X1188" s="745">
        <v>0</v>
      </c>
      <c r="Y1188" s="1202">
        <v>1</v>
      </c>
    </row>
    <row r="1189" spans="5:25" ht="15" x14ac:dyDescent="0.2">
      <c r="E1189" s="1201"/>
      <c r="F1189" s="745"/>
      <c r="G1189" s="745"/>
      <c r="H1189" s="1256">
        <f t="shared" si="122"/>
        <v>0</v>
      </c>
      <c r="I1189" s="736">
        <v>962</v>
      </c>
      <c r="J1189" s="736">
        <f t="shared" si="120"/>
        <v>3</v>
      </c>
      <c r="K1189" s="2532">
        <f t="shared" si="123"/>
        <v>50</v>
      </c>
      <c r="L1189" s="736">
        <f t="shared" si="121"/>
        <v>0</v>
      </c>
      <c r="M1189" s="2533">
        <f t="shared" si="124"/>
        <v>2</v>
      </c>
      <c r="U1189" s="1260">
        <f t="shared" si="125"/>
        <v>967</v>
      </c>
      <c r="V1189" s="745">
        <v>2</v>
      </c>
      <c r="W1189" s="745">
        <v>52</v>
      </c>
      <c r="X1189" s="745">
        <v>0</v>
      </c>
      <c r="Y1189" s="1202">
        <v>1</v>
      </c>
    </row>
    <row r="1190" spans="5:25" ht="15" x14ac:dyDescent="0.2">
      <c r="E1190" s="1201"/>
      <c r="F1190" s="745"/>
      <c r="G1190" s="745"/>
      <c r="H1190" s="1256">
        <f t="shared" si="122"/>
        <v>0</v>
      </c>
      <c r="I1190" s="736">
        <v>963</v>
      </c>
      <c r="J1190" s="736">
        <f t="shared" si="120"/>
        <v>5</v>
      </c>
      <c r="K1190" s="2532">
        <f t="shared" si="123"/>
        <v>49</v>
      </c>
      <c r="L1190" s="736">
        <f t="shared" si="121"/>
        <v>0</v>
      </c>
      <c r="M1190" s="2533">
        <f t="shared" si="124"/>
        <v>1</v>
      </c>
      <c r="U1190" s="1260">
        <f t="shared" si="125"/>
        <v>985</v>
      </c>
      <c r="V1190" s="745">
        <v>2</v>
      </c>
      <c r="W1190" s="745">
        <v>53</v>
      </c>
      <c r="X1190" s="745">
        <v>0</v>
      </c>
      <c r="Y1190" s="1202">
        <v>1</v>
      </c>
    </row>
    <row r="1191" spans="5:25" ht="15" x14ac:dyDescent="0.2">
      <c r="E1191" s="1201"/>
      <c r="F1191" s="745"/>
      <c r="G1191" s="745"/>
      <c r="H1191" s="1256">
        <f t="shared" si="122"/>
        <v>0</v>
      </c>
      <c r="I1191" s="736">
        <v>964</v>
      </c>
      <c r="J1191" s="736">
        <f t="shared" si="120"/>
        <v>1</v>
      </c>
      <c r="K1191" s="2532">
        <f t="shared" si="123"/>
        <v>51</v>
      </c>
      <c r="L1191" s="736">
        <f t="shared" si="121"/>
        <v>1</v>
      </c>
      <c r="M1191" s="2533">
        <f t="shared" si="124"/>
        <v>1</v>
      </c>
      <c r="U1191" s="1260">
        <f t="shared" si="125"/>
        <v>1003</v>
      </c>
      <c r="V1191" s="745">
        <v>2</v>
      </c>
      <c r="W1191" s="745">
        <v>54</v>
      </c>
      <c r="X1191" s="745">
        <v>0</v>
      </c>
      <c r="Y1191" s="1202">
        <v>1</v>
      </c>
    </row>
    <row r="1192" spans="5:25" ht="15" x14ac:dyDescent="0.2">
      <c r="E1192" s="1201"/>
      <c r="F1192" s="745"/>
      <c r="G1192" s="745"/>
      <c r="H1192" s="1256">
        <f t="shared" si="122"/>
        <v>0</v>
      </c>
      <c r="I1192" s="736">
        <v>965</v>
      </c>
      <c r="J1192" s="736">
        <f t="shared" si="120"/>
        <v>4</v>
      </c>
      <c r="K1192" s="2532">
        <f t="shared" si="123"/>
        <v>49</v>
      </c>
      <c r="L1192" s="736">
        <f t="shared" si="121"/>
        <v>1</v>
      </c>
      <c r="M1192" s="2533">
        <f t="shared" si="124"/>
        <v>1</v>
      </c>
      <c r="U1192" s="1260">
        <f t="shared" si="125"/>
        <v>1021</v>
      </c>
      <c r="V1192" s="745">
        <v>2</v>
      </c>
      <c r="W1192" s="745">
        <v>55</v>
      </c>
      <c r="X1192" s="745">
        <v>0</v>
      </c>
      <c r="Y1192" s="1202">
        <v>1</v>
      </c>
    </row>
    <row r="1193" spans="5:25" ht="15" x14ac:dyDescent="0.2">
      <c r="E1193" s="1201"/>
      <c r="F1193" s="745"/>
      <c r="G1193" s="745"/>
      <c r="H1193" s="1256">
        <f t="shared" si="122"/>
        <v>0</v>
      </c>
      <c r="I1193" s="736">
        <v>966</v>
      </c>
      <c r="J1193" s="736">
        <f t="shared" si="120"/>
        <v>5</v>
      </c>
      <c r="K1193" s="2532">
        <f t="shared" si="123"/>
        <v>48</v>
      </c>
      <c r="L1193" s="736">
        <f t="shared" si="121"/>
        <v>1</v>
      </c>
      <c r="M1193" s="2533">
        <f t="shared" si="124"/>
        <v>2</v>
      </c>
      <c r="U1193" s="1260">
        <f t="shared" si="125"/>
        <v>62</v>
      </c>
      <c r="V1193" s="745">
        <v>3</v>
      </c>
      <c r="W1193" s="745">
        <v>1</v>
      </c>
      <c r="X1193" s="745">
        <v>0</v>
      </c>
      <c r="Y1193" s="1202">
        <v>1</v>
      </c>
    </row>
    <row r="1194" spans="5:25" ht="15" x14ac:dyDescent="0.2">
      <c r="E1194" s="1201"/>
      <c r="F1194" s="745"/>
      <c r="G1194" s="745"/>
      <c r="H1194" s="1256">
        <f t="shared" si="122"/>
        <v>0</v>
      </c>
      <c r="I1194" s="736">
        <v>967</v>
      </c>
      <c r="J1194" s="736">
        <f t="shared" si="120"/>
        <v>1</v>
      </c>
      <c r="K1194" s="2532">
        <f t="shared" si="123"/>
        <v>52</v>
      </c>
      <c r="L1194" s="736">
        <f t="shared" si="121"/>
        <v>0</v>
      </c>
      <c r="M1194" s="2533">
        <f t="shared" si="124"/>
        <v>1</v>
      </c>
      <c r="U1194" s="1260">
        <f t="shared" si="125"/>
        <v>80</v>
      </c>
      <c r="V1194" s="745">
        <v>3</v>
      </c>
      <c r="W1194" s="745">
        <v>2</v>
      </c>
      <c r="X1194" s="745">
        <v>0</v>
      </c>
      <c r="Y1194" s="1202">
        <v>1</v>
      </c>
    </row>
    <row r="1195" spans="5:25" ht="15" x14ac:dyDescent="0.2">
      <c r="E1195" s="1201"/>
      <c r="F1195" s="745"/>
      <c r="G1195" s="745"/>
      <c r="H1195" s="1256">
        <f t="shared" si="122"/>
        <v>0</v>
      </c>
      <c r="I1195" s="736">
        <v>968</v>
      </c>
      <c r="J1195" s="736">
        <f t="shared" si="120"/>
        <v>4</v>
      </c>
      <c r="K1195" s="2532">
        <f t="shared" si="123"/>
        <v>50</v>
      </c>
      <c r="L1195" s="736">
        <f t="shared" si="121"/>
        <v>0</v>
      </c>
      <c r="M1195" s="2533">
        <f t="shared" si="124"/>
        <v>1</v>
      </c>
      <c r="U1195" s="1260">
        <f t="shared" si="125"/>
        <v>98</v>
      </c>
      <c r="V1195" s="745">
        <v>3</v>
      </c>
      <c r="W1195" s="745">
        <v>3</v>
      </c>
      <c r="X1195" s="745">
        <v>0</v>
      </c>
      <c r="Y1195" s="1202">
        <v>1</v>
      </c>
    </row>
    <row r="1196" spans="5:25" ht="15" x14ac:dyDescent="0.2">
      <c r="E1196" s="1201"/>
      <c r="F1196" s="745"/>
      <c r="G1196" s="745"/>
      <c r="H1196" s="1256">
        <f t="shared" si="122"/>
        <v>0</v>
      </c>
      <c r="I1196" s="736">
        <v>969</v>
      </c>
      <c r="J1196" s="736">
        <f t="shared" si="120"/>
        <v>0</v>
      </c>
      <c r="K1196" s="2532">
        <f t="shared" si="123"/>
        <v>52</v>
      </c>
      <c r="L1196" s="736">
        <f t="shared" si="121"/>
        <v>1</v>
      </c>
      <c r="M1196" s="2533">
        <f t="shared" si="124"/>
        <v>1</v>
      </c>
      <c r="U1196" s="1260">
        <f t="shared" si="125"/>
        <v>116</v>
      </c>
      <c r="V1196" s="745">
        <v>3</v>
      </c>
      <c r="W1196" s="745">
        <v>4</v>
      </c>
      <c r="X1196" s="745">
        <v>0</v>
      </c>
      <c r="Y1196" s="1202">
        <v>1</v>
      </c>
    </row>
    <row r="1197" spans="5:25" ht="15" x14ac:dyDescent="0.2">
      <c r="E1197" s="1201"/>
      <c r="F1197" s="745"/>
      <c r="G1197" s="745"/>
      <c r="H1197" s="1256">
        <f t="shared" si="122"/>
        <v>0</v>
      </c>
      <c r="I1197" s="736">
        <v>970</v>
      </c>
      <c r="J1197" s="736">
        <f t="shared" si="120"/>
        <v>1</v>
      </c>
      <c r="K1197" s="2532">
        <f t="shared" si="123"/>
        <v>51</v>
      </c>
      <c r="L1197" s="736">
        <f t="shared" si="121"/>
        <v>1</v>
      </c>
      <c r="M1197" s="2533">
        <f t="shared" si="124"/>
        <v>2</v>
      </c>
      <c r="U1197" s="1260">
        <f t="shared" si="125"/>
        <v>134</v>
      </c>
      <c r="V1197" s="745">
        <v>3</v>
      </c>
      <c r="W1197" s="745">
        <v>5</v>
      </c>
      <c r="X1197" s="745">
        <v>0</v>
      </c>
      <c r="Y1197" s="1202">
        <v>1</v>
      </c>
    </row>
    <row r="1198" spans="5:25" ht="15" x14ac:dyDescent="0.2">
      <c r="E1198" s="1201"/>
      <c r="F1198" s="745"/>
      <c r="G1198" s="745"/>
      <c r="H1198" s="1256">
        <f t="shared" si="122"/>
        <v>0</v>
      </c>
      <c r="I1198" s="736">
        <v>971</v>
      </c>
      <c r="J1198" s="736">
        <f t="shared" ref="J1198:J1228" si="126">VLOOKUP($I1198,$U$295:$Y$1758,2,FALSE)</f>
        <v>3</v>
      </c>
      <c r="K1198" s="2532">
        <f t="shared" si="123"/>
        <v>50</v>
      </c>
      <c r="L1198" s="736">
        <f t="shared" ref="L1198:L1228" si="127">VLOOKUP($I1198,$U$295:$Y$1758,4,FALSE)</f>
        <v>1</v>
      </c>
      <c r="M1198" s="2533">
        <f t="shared" si="124"/>
        <v>1</v>
      </c>
      <c r="U1198" s="1260">
        <f t="shared" si="125"/>
        <v>152</v>
      </c>
      <c r="V1198" s="745">
        <v>3</v>
      </c>
      <c r="W1198" s="745">
        <v>6</v>
      </c>
      <c r="X1198" s="745">
        <v>0</v>
      </c>
      <c r="Y1198" s="1202">
        <v>1</v>
      </c>
    </row>
    <row r="1199" spans="5:25" ht="15" x14ac:dyDescent="0.2">
      <c r="E1199" s="1201"/>
      <c r="F1199" s="745"/>
      <c r="G1199" s="745"/>
      <c r="H1199" s="1256">
        <f t="shared" ref="H1199:H1228" si="128">IF($H$298=I1199,1,0)</f>
        <v>0</v>
      </c>
      <c r="I1199" s="736">
        <v>972</v>
      </c>
      <c r="J1199" s="736">
        <f t="shared" si="126"/>
        <v>0</v>
      </c>
      <c r="K1199" s="2532">
        <f t="shared" ref="K1199:K1228" si="129">IF(VLOOKUP($I1199,$U$295:$Y$1758,3,FALSE)&gt;0,VLOOKUP($I1199,$U$295:$Y$1758,3,FALSE)-1,VLOOKUP($I1199,$U$295:$Y$1758,3,FALSE))</f>
        <v>53</v>
      </c>
      <c r="L1199" s="736">
        <f t="shared" si="127"/>
        <v>0</v>
      </c>
      <c r="M1199" s="2533">
        <f t="shared" ref="M1199:M1228" si="130">VLOOKUP($I1199,$U$295:$Y$1758,5,FALSE)+1</f>
        <v>1</v>
      </c>
      <c r="U1199" s="1260">
        <f t="shared" si="125"/>
        <v>170</v>
      </c>
      <c r="V1199" s="745">
        <v>3</v>
      </c>
      <c r="W1199" s="745">
        <v>7</v>
      </c>
      <c r="X1199" s="745">
        <v>0</v>
      </c>
      <c r="Y1199" s="1202">
        <v>1</v>
      </c>
    </row>
    <row r="1200" spans="5:25" ht="15" x14ac:dyDescent="0.2">
      <c r="E1200" s="1201"/>
      <c r="F1200" s="745"/>
      <c r="G1200" s="745"/>
      <c r="H1200" s="1256">
        <f t="shared" si="128"/>
        <v>0</v>
      </c>
      <c r="I1200" s="736">
        <v>973</v>
      </c>
      <c r="J1200" s="736">
        <f t="shared" si="126"/>
        <v>1</v>
      </c>
      <c r="K1200" s="2532">
        <f t="shared" si="129"/>
        <v>52</v>
      </c>
      <c r="L1200" s="736">
        <f t="shared" si="127"/>
        <v>0</v>
      </c>
      <c r="M1200" s="2533">
        <f t="shared" si="130"/>
        <v>2</v>
      </c>
      <c r="U1200" s="1260">
        <f t="shared" si="125"/>
        <v>188</v>
      </c>
      <c r="V1200" s="745">
        <v>3</v>
      </c>
      <c r="W1200" s="745">
        <v>8</v>
      </c>
      <c r="X1200" s="745">
        <v>0</v>
      </c>
      <c r="Y1200" s="1202">
        <v>1</v>
      </c>
    </row>
    <row r="1201" spans="5:25" ht="15" x14ac:dyDescent="0.2">
      <c r="E1201" s="1201"/>
      <c r="F1201" s="745"/>
      <c r="G1201" s="745"/>
      <c r="H1201" s="1256">
        <f t="shared" si="128"/>
        <v>0</v>
      </c>
      <c r="I1201" s="736">
        <v>974</v>
      </c>
      <c r="J1201" s="736">
        <f t="shared" si="126"/>
        <v>3</v>
      </c>
      <c r="K1201" s="2532">
        <f t="shared" si="129"/>
        <v>51</v>
      </c>
      <c r="L1201" s="736">
        <f t="shared" si="127"/>
        <v>0</v>
      </c>
      <c r="M1201" s="2533">
        <f t="shared" si="130"/>
        <v>1</v>
      </c>
      <c r="U1201" s="1260">
        <f t="shared" si="125"/>
        <v>206</v>
      </c>
      <c r="V1201" s="745">
        <v>3</v>
      </c>
      <c r="W1201" s="745">
        <v>9</v>
      </c>
      <c r="X1201" s="745">
        <v>0</v>
      </c>
      <c r="Y1201" s="1202">
        <v>1</v>
      </c>
    </row>
    <row r="1202" spans="5:25" ht="15" x14ac:dyDescent="0.2">
      <c r="E1202" s="1201"/>
      <c r="F1202" s="745"/>
      <c r="G1202" s="745"/>
      <c r="H1202" s="1256">
        <f t="shared" si="128"/>
        <v>0</v>
      </c>
      <c r="I1202" s="736">
        <v>975</v>
      </c>
      <c r="J1202" s="736">
        <f t="shared" si="126"/>
        <v>0</v>
      </c>
      <c r="K1202" s="2532">
        <f t="shared" si="129"/>
        <v>52</v>
      </c>
      <c r="L1202" s="736">
        <f t="shared" si="127"/>
        <v>1</v>
      </c>
      <c r="M1202" s="2533">
        <f t="shared" si="130"/>
        <v>2</v>
      </c>
      <c r="U1202" s="1260">
        <f t="shared" si="125"/>
        <v>224</v>
      </c>
      <c r="V1202" s="745">
        <v>3</v>
      </c>
      <c r="W1202" s="745">
        <v>10</v>
      </c>
      <c r="X1202" s="745">
        <v>0</v>
      </c>
      <c r="Y1202" s="1202">
        <v>1</v>
      </c>
    </row>
    <row r="1203" spans="5:25" ht="15" x14ac:dyDescent="0.2">
      <c r="E1203" s="1201"/>
      <c r="F1203" s="745"/>
      <c r="G1203" s="745"/>
      <c r="H1203" s="1256">
        <f t="shared" si="128"/>
        <v>0</v>
      </c>
      <c r="I1203" s="736">
        <v>976</v>
      </c>
      <c r="J1203" s="736">
        <f t="shared" si="126"/>
        <v>2</v>
      </c>
      <c r="K1203" s="2532">
        <f t="shared" si="129"/>
        <v>51</v>
      </c>
      <c r="L1203" s="736">
        <f t="shared" si="127"/>
        <v>1</v>
      </c>
      <c r="M1203" s="2533">
        <f t="shared" si="130"/>
        <v>1</v>
      </c>
      <c r="U1203" s="1260">
        <f t="shared" si="125"/>
        <v>242</v>
      </c>
      <c r="V1203" s="745">
        <v>3</v>
      </c>
      <c r="W1203" s="745">
        <v>11</v>
      </c>
      <c r="X1203" s="745">
        <v>0</v>
      </c>
      <c r="Y1203" s="1202">
        <v>1</v>
      </c>
    </row>
    <row r="1204" spans="5:25" ht="15" x14ac:dyDescent="0.2">
      <c r="E1204" s="1201"/>
      <c r="F1204" s="745"/>
      <c r="G1204" s="745"/>
      <c r="H1204" s="1256">
        <f t="shared" si="128"/>
        <v>0</v>
      </c>
      <c r="I1204" s="736">
        <v>977</v>
      </c>
      <c r="J1204" s="736">
        <f t="shared" si="126"/>
        <v>3</v>
      </c>
      <c r="K1204" s="2532">
        <f t="shared" si="129"/>
        <v>50</v>
      </c>
      <c r="L1204" s="736">
        <f t="shared" si="127"/>
        <v>1</v>
      </c>
      <c r="M1204" s="2533">
        <f t="shared" si="130"/>
        <v>2</v>
      </c>
      <c r="U1204" s="1260">
        <f t="shared" si="125"/>
        <v>260</v>
      </c>
      <c r="V1204" s="745">
        <v>3</v>
      </c>
      <c r="W1204" s="745">
        <v>12</v>
      </c>
      <c r="X1204" s="745">
        <v>0</v>
      </c>
      <c r="Y1204" s="1202">
        <v>1</v>
      </c>
    </row>
    <row r="1205" spans="5:25" ht="15" x14ac:dyDescent="0.2">
      <c r="E1205" s="1201"/>
      <c r="F1205" s="745"/>
      <c r="G1205" s="745"/>
      <c r="H1205" s="1256">
        <f t="shared" si="128"/>
        <v>0</v>
      </c>
      <c r="I1205" s="736">
        <v>978</v>
      </c>
      <c r="J1205" s="736">
        <f t="shared" si="126"/>
        <v>5</v>
      </c>
      <c r="K1205" s="2532">
        <f t="shared" si="129"/>
        <v>49</v>
      </c>
      <c r="L1205" s="736">
        <f t="shared" si="127"/>
        <v>1</v>
      </c>
      <c r="M1205" s="2533">
        <f t="shared" si="130"/>
        <v>1</v>
      </c>
      <c r="U1205" s="1260">
        <f t="shared" si="125"/>
        <v>278</v>
      </c>
      <c r="V1205" s="745">
        <v>3</v>
      </c>
      <c r="W1205" s="745">
        <v>13</v>
      </c>
      <c r="X1205" s="745">
        <v>0</v>
      </c>
      <c r="Y1205" s="1202">
        <v>1</v>
      </c>
    </row>
    <row r="1206" spans="5:25" ht="15" x14ac:dyDescent="0.2">
      <c r="E1206" s="1201"/>
      <c r="F1206" s="745"/>
      <c r="G1206" s="745"/>
      <c r="H1206" s="1256">
        <f t="shared" si="128"/>
        <v>0</v>
      </c>
      <c r="I1206" s="736">
        <v>979</v>
      </c>
      <c r="J1206" s="736">
        <f t="shared" si="126"/>
        <v>2</v>
      </c>
      <c r="K1206" s="2532">
        <f t="shared" si="129"/>
        <v>52</v>
      </c>
      <c r="L1206" s="736">
        <f t="shared" si="127"/>
        <v>0</v>
      </c>
      <c r="M1206" s="2533">
        <f t="shared" si="130"/>
        <v>1</v>
      </c>
      <c r="U1206" s="1260">
        <f t="shared" si="125"/>
        <v>296</v>
      </c>
      <c r="V1206" s="745">
        <v>3</v>
      </c>
      <c r="W1206" s="745">
        <v>14</v>
      </c>
      <c r="X1206" s="745">
        <v>0</v>
      </c>
      <c r="Y1206" s="1202">
        <v>1</v>
      </c>
    </row>
    <row r="1207" spans="5:25" ht="15" x14ac:dyDescent="0.2">
      <c r="E1207" s="1201"/>
      <c r="F1207" s="745"/>
      <c r="G1207" s="745"/>
      <c r="H1207" s="1256">
        <f t="shared" si="128"/>
        <v>0</v>
      </c>
      <c r="I1207" s="736">
        <v>980</v>
      </c>
      <c r="J1207" s="736">
        <f t="shared" si="126"/>
        <v>3</v>
      </c>
      <c r="K1207" s="2532">
        <f t="shared" si="129"/>
        <v>51</v>
      </c>
      <c r="L1207" s="736">
        <f t="shared" si="127"/>
        <v>0</v>
      </c>
      <c r="M1207" s="2533">
        <f t="shared" si="130"/>
        <v>2</v>
      </c>
      <c r="U1207" s="1260">
        <f t="shared" si="125"/>
        <v>314</v>
      </c>
      <c r="V1207" s="745">
        <v>3</v>
      </c>
      <c r="W1207" s="745">
        <v>15</v>
      </c>
      <c r="X1207" s="745">
        <v>0</v>
      </c>
      <c r="Y1207" s="1202">
        <v>1</v>
      </c>
    </row>
    <row r="1208" spans="5:25" ht="15" x14ac:dyDescent="0.2">
      <c r="E1208" s="1201"/>
      <c r="F1208" s="745"/>
      <c r="G1208" s="745"/>
      <c r="H1208" s="1256">
        <f t="shared" si="128"/>
        <v>0</v>
      </c>
      <c r="I1208" s="736">
        <v>981</v>
      </c>
      <c r="J1208" s="736">
        <f t="shared" si="126"/>
        <v>5</v>
      </c>
      <c r="K1208" s="2532">
        <f t="shared" si="129"/>
        <v>50</v>
      </c>
      <c r="L1208" s="736">
        <f t="shared" si="127"/>
        <v>0</v>
      </c>
      <c r="M1208" s="2533">
        <f t="shared" si="130"/>
        <v>1</v>
      </c>
      <c r="U1208" s="1260">
        <f t="shared" si="125"/>
        <v>332</v>
      </c>
      <c r="V1208" s="745">
        <v>3</v>
      </c>
      <c r="W1208" s="745">
        <v>16</v>
      </c>
      <c r="X1208" s="745">
        <v>0</v>
      </c>
      <c r="Y1208" s="1202">
        <v>1</v>
      </c>
    </row>
    <row r="1209" spans="5:25" ht="15" x14ac:dyDescent="0.2">
      <c r="E1209" s="1201"/>
      <c r="F1209" s="745"/>
      <c r="G1209" s="745"/>
      <c r="H1209" s="1256">
        <f t="shared" si="128"/>
        <v>0</v>
      </c>
      <c r="I1209" s="736">
        <v>982</v>
      </c>
      <c r="J1209" s="736">
        <f t="shared" si="126"/>
        <v>1</v>
      </c>
      <c r="K1209" s="2532">
        <f t="shared" si="129"/>
        <v>52</v>
      </c>
      <c r="L1209" s="736">
        <f t="shared" si="127"/>
        <v>1</v>
      </c>
      <c r="M1209" s="2533">
        <f t="shared" si="130"/>
        <v>1</v>
      </c>
      <c r="U1209" s="1260">
        <f t="shared" si="125"/>
        <v>350</v>
      </c>
      <c r="V1209" s="745">
        <v>3</v>
      </c>
      <c r="W1209" s="745">
        <v>17</v>
      </c>
      <c r="X1209" s="745">
        <v>0</v>
      </c>
      <c r="Y1209" s="1202">
        <v>1</v>
      </c>
    </row>
    <row r="1210" spans="5:25" ht="15" x14ac:dyDescent="0.2">
      <c r="E1210" s="1201"/>
      <c r="F1210" s="745"/>
      <c r="G1210" s="745"/>
      <c r="H1210" s="1256">
        <f t="shared" si="128"/>
        <v>0</v>
      </c>
      <c r="I1210" s="736">
        <v>983</v>
      </c>
      <c r="J1210" s="736">
        <f t="shared" si="126"/>
        <v>4</v>
      </c>
      <c r="K1210" s="2532">
        <f t="shared" si="129"/>
        <v>50</v>
      </c>
      <c r="L1210" s="736">
        <f t="shared" si="127"/>
        <v>1</v>
      </c>
      <c r="M1210" s="2533">
        <f t="shared" si="130"/>
        <v>1</v>
      </c>
      <c r="U1210" s="1260">
        <f t="shared" si="125"/>
        <v>368</v>
      </c>
      <c r="V1210" s="745">
        <v>3</v>
      </c>
      <c r="W1210" s="745">
        <v>18</v>
      </c>
      <c r="X1210" s="745">
        <v>0</v>
      </c>
      <c r="Y1210" s="1202">
        <v>1</v>
      </c>
    </row>
    <row r="1211" spans="5:25" ht="15" x14ac:dyDescent="0.2">
      <c r="E1211" s="1201"/>
      <c r="F1211" s="745"/>
      <c r="G1211" s="745"/>
      <c r="H1211" s="1256">
        <f t="shared" si="128"/>
        <v>0</v>
      </c>
      <c r="I1211" s="736">
        <v>984</v>
      </c>
      <c r="J1211" s="736">
        <f t="shared" si="126"/>
        <v>5</v>
      </c>
      <c r="K1211" s="2532">
        <f t="shared" si="129"/>
        <v>49</v>
      </c>
      <c r="L1211" s="736">
        <f t="shared" si="127"/>
        <v>1</v>
      </c>
      <c r="M1211" s="2533">
        <f t="shared" si="130"/>
        <v>2</v>
      </c>
      <c r="U1211" s="1260">
        <f t="shared" si="125"/>
        <v>386</v>
      </c>
      <c r="V1211" s="745">
        <v>3</v>
      </c>
      <c r="W1211" s="745">
        <v>19</v>
      </c>
      <c r="X1211" s="745">
        <v>0</v>
      </c>
      <c r="Y1211" s="1202">
        <v>1</v>
      </c>
    </row>
    <row r="1212" spans="5:25" ht="15" x14ac:dyDescent="0.2">
      <c r="E1212" s="1201"/>
      <c r="F1212" s="745"/>
      <c r="G1212" s="745"/>
      <c r="H1212" s="1256">
        <f t="shared" si="128"/>
        <v>0</v>
      </c>
      <c r="I1212" s="736">
        <v>985</v>
      </c>
      <c r="J1212" s="736">
        <f t="shared" si="126"/>
        <v>1</v>
      </c>
      <c r="K1212" s="2532">
        <f t="shared" si="129"/>
        <v>53</v>
      </c>
      <c r="L1212" s="736">
        <f t="shared" si="127"/>
        <v>0</v>
      </c>
      <c r="M1212" s="2533">
        <f t="shared" si="130"/>
        <v>1</v>
      </c>
      <c r="U1212" s="1260">
        <f t="shared" si="125"/>
        <v>404</v>
      </c>
      <c r="V1212" s="745">
        <v>3</v>
      </c>
      <c r="W1212" s="745">
        <v>20</v>
      </c>
      <c r="X1212" s="745">
        <v>0</v>
      </c>
      <c r="Y1212" s="1202">
        <v>1</v>
      </c>
    </row>
    <row r="1213" spans="5:25" ht="15" x14ac:dyDescent="0.2">
      <c r="E1213" s="1201"/>
      <c r="F1213" s="745"/>
      <c r="G1213" s="745"/>
      <c r="H1213" s="1256">
        <f t="shared" si="128"/>
        <v>0</v>
      </c>
      <c r="I1213" s="736">
        <v>986</v>
      </c>
      <c r="J1213" s="736">
        <f t="shared" si="126"/>
        <v>4</v>
      </c>
      <c r="K1213" s="2532">
        <f t="shared" si="129"/>
        <v>51</v>
      </c>
      <c r="L1213" s="736">
        <f t="shared" si="127"/>
        <v>0</v>
      </c>
      <c r="M1213" s="2533">
        <f t="shared" si="130"/>
        <v>1</v>
      </c>
      <c r="U1213" s="1260">
        <f t="shared" si="125"/>
        <v>422</v>
      </c>
      <c r="V1213" s="745">
        <v>3</v>
      </c>
      <c r="W1213" s="745">
        <v>21</v>
      </c>
      <c r="X1213" s="745">
        <v>0</v>
      </c>
      <c r="Y1213" s="1202">
        <v>1</v>
      </c>
    </row>
    <row r="1214" spans="5:25" ht="15" x14ac:dyDescent="0.2">
      <c r="E1214" s="1201"/>
      <c r="F1214" s="745"/>
      <c r="G1214" s="745"/>
      <c r="H1214" s="1256">
        <f t="shared" si="128"/>
        <v>0</v>
      </c>
      <c r="I1214" s="736">
        <v>987</v>
      </c>
      <c r="J1214" s="736">
        <f t="shared" si="126"/>
        <v>0</v>
      </c>
      <c r="K1214" s="2532">
        <f t="shared" si="129"/>
        <v>53</v>
      </c>
      <c r="L1214" s="736">
        <f t="shared" si="127"/>
        <v>1</v>
      </c>
      <c r="M1214" s="2533">
        <f t="shared" si="130"/>
        <v>1</v>
      </c>
      <c r="U1214" s="1260">
        <f t="shared" si="125"/>
        <v>440</v>
      </c>
      <c r="V1214" s="745">
        <v>3</v>
      </c>
      <c r="W1214" s="745">
        <v>22</v>
      </c>
      <c r="X1214" s="745">
        <v>0</v>
      </c>
      <c r="Y1214" s="1202">
        <v>1</v>
      </c>
    </row>
    <row r="1215" spans="5:25" ht="15" x14ac:dyDescent="0.2">
      <c r="E1215" s="1201"/>
      <c r="F1215" s="745"/>
      <c r="G1215" s="745"/>
      <c r="H1215" s="1256">
        <f t="shared" si="128"/>
        <v>0</v>
      </c>
      <c r="I1215" s="736">
        <v>988</v>
      </c>
      <c r="J1215" s="736">
        <f t="shared" si="126"/>
        <v>1</v>
      </c>
      <c r="K1215" s="2532">
        <f t="shared" si="129"/>
        <v>52</v>
      </c>
      <c r="L1215" s="736">
        <f t="shared" si="127"/>
        <v>1</v>
      </c>
      <c r="M1215" s="2533">
        <f t="shared" si="130"/>
        <v>2</v>
      </c>
      <c r="U1215" s="1260">
        <f t="shared" si="125"/>
        <v>458</v>
      </c>
      <c r="V1215" s="745">
        <v>3</v>
      </c>
      <c r="W1215" s="745">
        <v>23</v>
      </c>
      <c r="X1215" s="745">
        <v>0</v>
      </c>
      <c r="Y1215" s="1202">
        <v>1</v>
      </c>
    </row>
    <row r="1216" spans="5:25" ht="15" x14ac:dyDescent="0.2">
      <c r="E1216" s="1201"/>
      <c r="F1216" s="745"/>
      <c r="G1216" s="745"/>
      <c r="H1216" s="1256">
        <f t="shared" si="128"/>
        <v>0</v>
      </c>
      <c r="I1216" s="736">
        <v>989</v>
      </c>
      <c r="J1216" s="736">
        <f t="shared" si="126"/>
        <v>3</v>
      </c>
      <c r="K1216" s="2532">
        <f t="shared" si="129"/>
        <v>51</v>
      </c>
      <c r="L1216" s="736">
        <f t="shared" si="127"/>
        <v>1</v>
      </c>
      <c r="M1216" s="2533">
        <f t="shared" si="130"/>
        <v>1</v>
      </c>
      <c r="U1216" s="1260">
        <f t="shared" si="125"/>
        <v>476</v>
      </c>
      <c r="V1216" s="745">
        <v>3</v>
      </c>
      <c r="W1216" s="745">
        <v>24</v>
      </c>
      <c r="X1216" s="745">
        <v>0</v>
      </c>
      <c r="Y1216" s="1202">
        <v>1</v>
      </c>
    </row>
    <row r="1217" spans="5:25" ht="15" x14ac:dyDescent="0.2">
      <c r="E1217" s="1201"/>
      <c r="F1217" s="745"/>
      <c r="G1217" s="745"/>
      <c r="H1217" s="1256">
        <f t="shared" si="128"/>
        <v>0</v>
      </c>
      <c r="I1217" s="736">
        <v>990</v>
      </c>
      <c r="J1217" s="736">
        <f t="shared" si="126"/>
        <v>0</v>
      </c>
      <c r="K1217" s="2532">
        <f t="shared" si="129"/>
        <v>54</v>
      </c>
      <c r="L1217" s="736">
        <f t="shared" si="127"/>
        <v>0</v>
      </c>
      <c r="M1217" s="2533">
        <f t="shared" si="130"/>
        <v>1</v>
      </c>
      <c r="U1217" s="1260">
        <f t="shared" si="125"/>
        <v>494</v>
      </c>
      <c r="V1217" s="745">
        <v>3</v>
      </c>
      <c r="W1217" s="745">
        <v>25</v>
      </c>
      <c r="X1217" s="745">
        <v>0</v>
      </c>
      <c r="Y1217" s="1202">
        <v>1</v>
      </c>
    </row>
    <row r="1218" spans="5:25" ht="15" x14ac:dyDescent="0.2">
      <c r="E1218" s="1201"/>
      <c r="F1218" s="745"/>
      <c r="G1218" s="745"/>
      <c r="H1218" s="1256">
        <f t="shared" si="128"/>
        <v>0</v>
      </c>
      <c r="I1218" s="736">
        <v>991</v>
      </c>
      <c r="J1218" s="736">
        <f t="shared" si="126"/>
        <v>1</v>
      </c>
      <c r="K1218" s="2532">
        <f t="shared" si="129"/>
        <v>53</v>
      </c>
      <c r="L1218" s="736">
        <f t="shared" si="127"/>
        <v>0</v>
      </c>
      <c r="M1218" s="2533">
        <f t="shared" si="130"/>
        <v>2</v>
      </c>
      <c r="U1218" s="1260">
        <f t="shared" si="125"/>
        <v>512</v>
      </c>
      <c r="V1218" s="745">
        <v>3</v>
      </c>
      <c r="W1218" s="745">
        <v>26</v>
      </c>
      <c r="X1218" s="745">
        <v>0</v>
      </c>
      <c r="Y1218" s="1202">
        <v>1</v>
      </c>
    </row>
    <row r="1219" spans="5:25" ht="15" x14ac:dyDescent="0.2">
      <c r="E1219" s="1201"/>
      <c r="F1219" s="745"/>
      <c r="G1219" s="745"/>
      <c r="H1219" s="1256">
        <f t="shared" si="128"/>
        <v>0</v>
      </c>
      <c r="I1219" s="736">
        <v>992</v>
      </c>
      <c r="J1219" s="736">
        <f t="shared" si="126"/>
        <v>3</v>
      </c>
      <c r="K1219" s="2532">
        <f t="shared" si="129"/>
        <v>52</v>
      </c>
      <c r="L1219" s="736">
        <f t="shared" si="127"/>
        <v>0</v>
      </c>
      <c r="M1219" s="2533">
        <f t="shared" si="130"/>
        <v>1</v>
      </c>
      <c r="U1219" s="1260">
        <f t="shared" si="125"/>
        <v>530</v>
      </c>
      <c r="V1219" s="745">
        <v>3</v>
      </c>
      <c r="W1219" s="745">
        <v>27</v>
      </c>
      <c r="X1219" s="745">
        <v>0</v>
      </c>
      <c r="Y1219" s="1202">
        <v>1</v>
      </c>
    </row>
    <row r="1220" spans="5:25" ht="15" x14ac:dyDescent="0.2">
      <c r="E1220" s="1201"/>
      <c r="F1220" s="745"/>
      <c r="G1220" s="745"/>
      <c r="H1220" s="1256">
        <f t="shared" si="128"/>
        <v>0</v>
      </c>
      <c r="I1220" s="736">
        <v>993</v>
      </c>
      <c r="J1220" s="736">
        <f t="shared" si="126"/>
        <v>0</v>
      </c>
      <c r="K1220" s="2532">
        <f t="shared" si="129"/>
        <v>53</v>
      </c>
      <c r="L1220" s="736">
        <f t="shared" si="127"/>
        <v>1</v>
      </c>
      <c r="M1220" s="2533">
        <f t="shared" si="130"/>
        <v>2</v>
      </c>
      <c r="U1220" s="1260">
        <f t="shared" ref="U1220:U1283" si="131">ROUNDUP(W1220*$W$294+V1220*$V$294+X1220*$X$294+Y1220*$Y$294,0)</f>
        <v>548</v>
      </c>
      <c r="V1220" s="745">
        <v>3</v>
      </c>
      <c r="W1220" s="745">
        <v>28</v>
      </c>
      <c r="X1220" s="745">
        <v>0</v>
      </c>
      <c r="Y1220" s="1202">
        <v>1</v>
      </c>
    </row>
    <row r="1221" spans="5:25" ht="15" x14ac:dyDescent="0.2">
      <c r="E1221" s="1201"/>
      <c r="F1221" s="745"/>
      <c r="G1221" s="745"/>
      <c r="H1221" s="1256">
        <f t="shared" si="128"/>
        <v>0</v>
      </c>
      <c r="I1221" s="736">
        <v>994</v>
      </c>
      <c r="J1221" s="736">
        <f t="shared" si="126"/>
        <v>2</v>
      </c>
      <c r="K1221" s="2532">
        <f t="shared" si="129"/>
        <v>52</v>
      </c>
      <c r="L1221" s="736">
        <f t="shared" si="127"/>
        <v>1</v>
      </c>
      <c r="M1221" s="2533">
        <f t="shared" si="130"/>
        <v>1</v>
      </c>
      <c r="U1221" s="1260">
        <f t="shared" si="131"/>
        <v>566</v>
      </c>
      <c r="V1221" s="745">
        <v>3</v>
      </c>
      <c r="W1221" s="745">
        <v>29</v>
      </c>
      <c r="X1221" s="745">
        <v>0</v>
      </c>
      <c r="Y1221" s="1202">
        <v>1</v>
      </c>
    </row>
    <row r="1222" spans="5:25" ht="15" x14ac:dyDescent="0.2">
      <c r="E1222" s="1201"/>
      <c r="F1222" s="745"/>
      <c r="G1222" s="745"/>
      <c r="H1222" s="1256">
        <f t="shared" si="128"/>
        <v>0</v>
      </c>
      <c r="I1222" s="736">
        <v>995</v>
      </c>
      <c r="J1222" s="736">
        <f t="shared" si="126"/>
        <v>3</v>
      </c>
      <c r="K1222" s="2532">
        <f t="shared" si="129"/>
        <v>51</v>
      </c>
      <c r="L1222" s="736">
        <f t="shared" si="127"/>
        <v>1</v>
      </c>
      <c r="M1222" s="2533">
        <f t="shared" si="130"/>
        <v>2</v>
      </c>
      <c r="U1222" s="1260">
        <f t="shared" si="131"/>
        <v>584</v>
      </c>
      <c r="V1222" s="745">
        <v>3</v>
      </c>
      <c r="W1222" s="745">
        <v>30</v>
      </c>
      <c r="X1222" s="745">
        <v>0</v>
      </c>
      <c r="Y1222" s="1202">
        <v>1</v>
      </c>
    </row>
    <row r="1223" spans="5:25" ht="15" x14ac:dyDescent="0.2">
      <c r="E1223" s="1201"/>
      <c r="F1223" s="745"/>
      <c r="G1223" s="745"/>
      <c r="H1223" s="1256">
        <f t="shared" si="128"/>
        <v>0</v>
      </c>
      <c r="I1223" s="736">
        <v>996</v>
      </c>
      <c r="J1223" s="736">
        <f t="shared" si="126"/>
        <v>5</v>
      </c>
      <c r="K1223" s="2532">
        <f t="shared" si="129"/>
        <v>50</v>
      </c>
      <c r="L1223" s="736">
        <f t="shared" si="127"/>
        <v>1</v>
      </c>
      <c r="M1223" s="2533">
        <f t="shared" si="130"/>
        <v>1</v>
      </c>
      <c r="U1223" s="1260">
        <f t="shared" si="131"/>
        <v>602</v>
      </c>
      <c r="V1223" s="745">
        <v>3</v>
      </c>
      <c r="W1223" s="745">
        <v>31</v>
      </c>
      <c r="X1223" s="745">
        <v>0</v>
      </c>
      <c r="Y1223" s="1202">
        <v>1</v>
      </c>
    </row>
    <row r="1224" spans="5:25" ht="15" x14ac:dyDescent="0.2">
      <c r="E1224" s="1201"/>
      <c r="F1224" s="745"/>
      <c r="G1224" s="745"/>
      <c r="H1224" s="1256">
        <f t="shared" si="128"/>
        <v>0</v>
      </c>
      <c r="I1224" s="736">
        <v>997</v>
      </c>
      <c r="J1224" s="736">
        <f t="shared" si="126"/>
        <v>2</v>
      </c>
      <c r="K1224" s="2532">
        <f t="shared" si="129"/>
        <v>53</v>
      </c>
      <c r="L1224" s="736">
        <f t="shared" si="127"/>
        <v>0</v>
      </c>
      <c r="M1224" s="2533">
        <f t="shared" si="130"/>
        <v>1</v>
      </c>
      <c r="U1224" s="1260">
        <f t="shared" si="131"/>
        <v>620</v>
      </c>
      <c r="V1224" s="745">
        <v>3</v>
      </c>
      <c r="W1224" s="745">
        <v>32</v>
      </c>
      <c r="X1224" s="745">
        <v>0</v>
      </c>
      <c r="Y1224" s="1202">
        <v>1</v>
      </c>
    </row>
    <row r="1225" spans="5:25" ht="15" x14ac:dyDescent="0.2">
      <c r="E1225" s="1201"/>
      <c r="F1225" s="745"/>
      <c r="G1225" s="745"/>
      <c r="H1225" s="1256">
        <f t="shared" si="128"/>
        <v>0</v>
      </c>
      <c r="I1225" s="736">
        <v>998</v>
      </c>
      <c r="J1225" s="736">
        <f t="shared" si="126"/>
        <v>3</v>
      </c>
      <c r="K1225" s="2532">
        <f t="shared" si="129"/>
        <v>52</v>
      </c>
      <c r="L1225" s="736">
        <f t="shared" si="127"/>
        <v>0</v>
      </c>
      <c r="M1225" s="2533">
        <f t="shared" si="130"/>
        <v>2</v>
      </c>
      <c r="U1225" s="1260">
        <f t="shared" si="131"/>
        <v>638</v>
      </c>
      <c r="V1225" s="745">
        <v>3</v>
      </c>
      <c r="W1225" s="745">
        <v>33</v>
      </c>
      <c r="X1225" s="745">
        <v>0</v>
      </c>
      <c r="Y1225" s="1202">
        <v>1</v>
      </c>
    </row>
    <row r="1226" spans="5:25" ht="15" x14ac:dyDescent="0.2">
      <c r="E1226" s="1201"/>
      <c r="F1226" s="745"/>
      <c r="G1226" s="745"/>
      <c r="H1226" s="1256">
        <f t="shared" si="128"/>
        <v>0</v>
      </c>
      <c r="I1226" s="736">
        <v>999</v>
      </c>
      <c r="J1226" s="736">
        <f t="shared" si="126"/>
        <v>5</v>
      </c>
      <c r="K1226" s="2532">
        <f t="shared" si="129"/>
        <v>51</v>
      </c>
      <c r="L1226" s="736">
        <f t="shared" si="127"/>
        <v>0</v>
      </c>
      <c r="M1226" s="2533">
        <f t="shared" si="130"/>
        <v>1</v>
      </c>
      <c r="U1226" s="1260">
        <f t="shared" si="131"/>
        <v>656</v>
      </c>
      <c r="V1226" s="745">
        <v>3</v>
      </c>
      <c r="W1226" s="745">
        <v>34</v>
      </c>
      <c r="X1226" s="745">
        <v>0</v>
      </c>
      <c r="Y1226" s="1202">
        <v>1</v>
      </c>
    </row>
    <row r="1227" spans="5:25" ht="15" x14ac:dyDescent="0.2">
      <c r="E1227" s="1201"/>
      <c r="F1227" s="745"/>
      <c r="G1227" s="745"/>
      <c r="H1227" s="1256">
        <f t="shared" si="128"/>
        <v>0</v>
      </c>
      <c r="I1227" s="736">
        <v>1000</v>
      </c>
      <c r="J1227" s="736">
        <f t="shared" si="126"/>
        <v>1</v>
      </c>
      <c r="K1227" s="2532">
        <f t="shared" si="129"/>
        <v>53</v>
      </c>
      <c r="L1227" s="736">
        <f t="shared" si="127"/>
        <v>1</v>
      </c>
      <c r="M1227" s="2533">
        <f t="shared" si="130"/>
        <v>1</v>
      </c>
      <c r="U1227" s="1260">
        <f t="shared" si="131"/>
        <v>674</v>
      </c>
      <c r="V1227" s="745">
        <v>3</v>
      </c>
      <c r="W1227" s="745">
        <v>35</v>
      </c>
      <c r="X1227" s="745">
        <v>0</v>
      </c>
      <c r="Y1227" s="1202">
        <v>1</v>
      </c>
    </row>
    <row r="1228" spans="5:25" ht="15.75" thickBot="1" x14ac:dyDescent="0.25">
      <c r="E1228" s="1226"/>
      <c r="F1228" s="1204"/>
      <c r="G1228" s="1204"/>
      <c r="H1228" s="1266">
        <f t="shared" si="128"/>
        <v>0</v>
      </c>
      <c r="I1228" s="1227">
        <v>1001</v>
      </c>
      <c r="J1228" s="1227">
        <f t="shared" si="126"/>
        <v>4</v>
      </c>
      <c r="K1228" s="1227">
        <f t="shared" si="129"/>
        <v>51</v>
      </c>
      <c r="L1228" s="1227">
        <f t="shared" si="127"/>
        <v>1</v>
      </c>
      <c r="M1228" s="2534">
        <f t="shared" si="130"/>
        <v>1</v>
      </c>
      <c r="U1228" s="1260">
        <f t="shared" si="131"/>
        <v>692</v>
      </c>
      <c r="V1228" s="745">
        <v>3</v>
      </c>
      <c r="W1228" s="745">
        <v>36</v>
      </c>
      <c r="X1228" s="745">
        <v>0</v>
      </c>
      <c r="Y1228" s="1202">
        <v>1</v>
      </c>
    </row>
    <row r="1229" spans="5:25" x14ac:dyDescent="0.2">
      <c r="U1229" s="1260">
        <f t="shared" si="131"/>
        <v>710</v>
      </c>
      <c r="V1229" s="745">
        <v>3</v>
      </c>
      <c r="W1229" s="745">
        <v>37</v>
      </c>
      <c r="X1229" s="745">
        <v>0</v>
      </c>
      <c r="Y1229" s="1202">
        <v>1</v>
      </c>
    </row>
    <row r="1230" spans="5:25" x14ac:dyDescent="0.2">
      <c r="U1230" s="1260">
        <f t="shared" si="131"/>
        <v>728</v>
      </c>
      <c r="V1230" s="745">
        <v>3</v>
      </c>
      <c r="W1230" s="745">
        <v>38</v>
      </c>
      <c r="X1230" s="745">
        <v>0</v>
      </c>
      <c r="Y1230" s="1202">
        <v>1</v>
      </c>
    </row>
    <row r="1231" spans="5:25" x14ac:dyDescent="0.2">
      <c r="U1231" s="1260">
        <f t="shared" si="131"/>
        <v>746</v>
      </c>
      <c r="V1231" s="745">
        <v>3</v>
      </c>
      <c r="W1231" s="745">
        <v>39</v>
      </c>
      <c r="X1231" s="745">
        <v>0</v>
      </c>
      <c r="Y1231" s="1202">
        <v>1</v>
      </c>
    </row>
    <row r="1232" spans="5:25" x14ac:dyDescent="0.2">
      <c r="U1232" s="1260">
        <f t="shared" si="131"/>
        <v>764</v>
      </c>
      <c r="V1232" s="745">
        <v>3</v>
      </c>
      <c r="W1232" s="745">
        <v>40</v>
      </c>
      <c r="X1232" s="745">
        <v>0</v>
      </c>
      <c r="Y1232" s="1202">
        <v>1</v>
      </c>
    </row>
    <row r="1233" spans="21:25" x14ac:dyDescent="0.2">
      <c r="U1233" s="1260">
        <f t="shared" si="131"/>
        <v>782</v>
      </c>
      <c r="V1233" s="745">
        <v>3</v>
      </c>
      <c r="W1233" s="745">
        <v>41</v>
      </c>
      <c r="X1233" s="745">
        <v>0</v>
      </c>
      <c r="Y1233" s="1202">
        <v>1</v>
      </c>
    </row>
    <row r="1234" spans="21:25" x14ac:dyDescent="0.2">
      <c r="U1234" s="1260">
        <f t="shared" si="131"/>
        <v>800</v>
      </c>
      <c r="V1234" s="745">
        <v>3</v>
      </c>
      <c r="W1234" s="745">
        <v>42</v>
      </c>
      <c r="X1234" s="745">
        <v>0</v>
      </c>
      <c r="Y1234" s="1202">
        <v>1</v>
      </c>
    </row>
    <row r="1235" spans="21:25" x14ac:dyDescent="0.2">
      <c r="U1235" s="1260">
        <f t="shared" si="131"/>
        <v>818</v>
      </c>
      <c r="V1235" s="745">
        <v>3</v>
      </c>
      <c r="W1235" s="745">
        <v>43</v>
      </c>
      <c r="X1235" s="745">
        <v>0</v>
      </c>
      <c r="Y1235" s="1202">
        <v>1</v>
      </c>
    </row>
    <row r="1236" spans="21:25" x14ac:dyDescent="0.2">
      <c r="U1236" s="1260">
        <f t="shared" si="131"/>
        <v>836</v>
      </c>
      <c r="V1236" s="745">
        <v>3</v>
      </c>
      <c r="W1236" s="745">
        <v>44</v>
      </c>
      <c r="X1236" s="745">
        <v>0</v>
      </c>
      <c r="Y1236" s="1202">
        <v>1</v>
      </c>
    </row>
    <row r="1237" spans="21:25" x14ac:dyDescent="0.2">
      <c r="U1237" s="1260">
        <f t="shared" si="131"/>
        <v>854</v>
      </c>
      <c r="V1237" s="745">
        <v>3</v>
      </c>
      <c r="W1237" s="745">
        <v>45</v>
      </c>
      <c r="X1237" s="745">
        <v>0</v>
      </c>
      <c r="Y1237" s="1202">
        <v>1</v>
      </c>
    </row>
    <row r="1238" spans="21:25" x14ac:dyDescent="0.2">
      <c r="U1238" s="1260">
        <f t="shared" si="131"/>
        <v>872</v>
      </c>
      <c r="V1238" s="745">
        <v>3</v>
      </c>
      <c r="W1238" s="745">
        <v>46</v>
      </c>
      <c r="X1238" s="745">
        <v>0</v>
      </c>
      <c r="Y1238" s="1202">
        <v>1</v>
      </c>
    </row>
    <row r="1239" spans="21:25" x14ac:dyDescent="0.2">
      <c r="U1239" s="1260">
        <f t="shared" si="131"/>
        <v>890</v>
      </c>
      <c r="V1239" s="745">
        <v>3</v>
      </c>
      <c r="W1239" s="745">
        <v>47</v>
      </c>
      <c r="X1239" s="745">
        <v>0</v>
      </c>
      <c r="Y1239" s="1202">
        <v>1</v>
      </c>
    </row>
    <row r="1240" spans="21:25" x14ac:dyDescent="0.2">
      <c r="U1240" s="1260">
        <f t="shared" si="131"/>
        <v>908</v>
      </c>
      <c r="V1240" s="745">
        <v>3</v>
      </c>
      <c r="W1240" s="745">
        <v>48</v>
      </c>
      <c r="X1240" s="745">
        <v>0</v>
      </c>
      <c r="Y1240" s="1202">
        <v>1</v>
      </c>
    </row>
    <row r="1241" spans="21:25" x14ac:dyDescent="0.2">
      <c r="U1241" s="1260">
        <f t="shared" si="131"/>
        <v>926</v>
      </c>
      <c r="V1241" s="745">
        <v>3</v>
      </c>
      <c r="W1241" s="745">
        <v>49</v>
      </c>
      <c r="X1241" s="745">
        <v>0</v>
      </c>
      <c r="Y1241" s="1202">
        <v>1</v>
      </c>
    </row>
    <row r="1242" spans="21:25" x14ac:dyDescent="0.2">
      <c r="U1242" s="1260">
        <f t="shared" si="131"/>
        <v>944</v>
      </c>
      <c r="V1242" s="745">
        <v>3</v>
      </c>
      <c r="W1242" s="745">
        <v>50</v>
      </c>
      <c r="X1242" s="745">
        <v>0</v>
      </c>
      <c r="Y1242" s="1202">
        <v>1</v>
      </c>
    </row>
    <row r="1243" spans="21:25" x14ac:dyDescent="0.2">
      <c r="U1243" s="1260">
        <f t="shared" si="131"/>
        <v>962</v>
      </c>
      <c r="V1243" s="745">
        <v>3</v>
      </c>
      <c r="W1243" s="745">
        <v>51</v>
      </c>
      <c r="X1243" s="745">
        <v>0</v>
      </c>
      <c r="Y1243" s="1202">
        <v>1</v>
      </c>
    </row>
    <row r="1244" spans="21:25" x14ac:dyDescent="0.2">
      <c r="U1244" s="1260">
        <f t="shared" si="131"/>
        <v>980</v>
      </c>
      <c r="V1244" s="745">
        <v>3</v>
      </c>
      <c r="W1244" s="745">
        <v>52</v>
      </c>
      <c r="X1244" s="745">
        <v>0</v>
      </c>
      <c r="Y1244" s="1202">
        <v>1</v>
      </c>
    </row>
    <row r="1245" spans="21:25" x14ac:dyDescent="0.2">
      <c r="U1245" s="1260">
        <f t="shared" si="131"/>
        <v>998</v>
      </c>
      <c r="V1245" s="745">
        <v>3</v>
      </c>
      <c r="W1245" s="745">
        <v>53</v>
      </c>
      <c r="X1245" s="745">
        <v>0</v>
      </c>
      <c r="Y1245" s="1202">
        <v>1</v>
      </c>
    </row>
    <row r="1246" spans="21:25" x14ac:dyDescent="0.2">
      <c r="U1246" s="1260">
        <f t="shared" si="131"/>
        <v>1016</v>
      </c>
      <c r="V1246" s="745">
        <v>3</v>
      </c>
      <c r="W1246" s="745">
        <v>54</v>
      </c>
      <c r="X1246" s="745">
        <v>0</v>
      </c>
      <c r="Y1246" s="1202">
        <v>1</v>
      </c>
    </row>
    <row r="1247" spans="21:25" x14ac:dyDescent="0.2">
      <c r="U1247" s="1260">
        <f t="shared" si="131"/>
        <v>74</v>
      </c>
      <c r="V1247" s="745">
        <v>4</v>
      </c>
      <c r="W1247" s="745">
        <v>1</v>
      </c>
      <c r="X1247" s="745">
        <v>0</v>
      </c>
      <c r="Y1247" s="1202">
        <v>1</v>
      </c>
    </row>
    <row r="1248" spans="21:25" x14ac:dyDescent="0.2">
      <c r="U1248" s="1260">
        <f t="shared" si="131"/>
        <v>92</v>
      </c>
      <c r="V1248" s="745">
        <v>4</v>
      </c>
      <c r="W1248" s="745">
        <v>2</v>
      </c>
      <c r="X1248" s="745">
        <v>0</v>
      </c>
      <c r="Y1248" s="1202">
        <v>1</v>
      </c>
    </row>
    <row r="1249" spans="21:25" x14ac:dyDescent="0.2">
      <c r="U1249" s="1260">
        <f t="shared" si="131"/>
        <v>110</v>
      </c>
      <c r="V1249" s="745">
        <v>4</v>
      </c>
      <c r="W1249" s="745">
        <v>3</v>
      </c>
      <c r="X1249" s="745">
        <v>0</v>
      </c>
      <c r="Y1249" s="1202">
        <v>1</v>
      </c>
    </row>
    <row r="1250" spans="21:25" x14ac:dyDescent="0.2">
      <c r="U1250" s="1260">
        <f t="shared" si="131"/>
        <v>128</v>
      </c>
      <c r="V1250" s="745">
        <v>4</v>
      </c>
      <c r="W1250" s="745">
        <v>4</v>
      </c>
      <c r="X1250" s="745">
        <v>0</v>
      </c>
      <c r="Y1250" s="1202">
        <v>1</v>
      </c>
    </row>
    <row r="1251" spans="21:25" x14ac:dyDescent="0.2">
      <c r="U1251" s="1260">
        <f t="shared" si="131"/>
        <v>146</v>
      </c>
      <c r="V1251" s="745">
        <v>4</v>
      </c>
      <c r="W1251" s="745">
        <v>5</v>
      </c>
      <c r="X1251" s="745">
        <v>0</v>
      </c>
      <c r="Y1251" s="1202">
        <v>1</v>
      </c>
    </row>
    <row r="1252" spans="21:25" x14ac:dyDescent="0.2">
      <c r="U1252" s="1260">
        <f t="shared" si="131"/>
        <v>164</v>
      </c>
      <c r="V1252" s="745">
        <v>4</v>
      </c>
      <c r="W1252" s="745">
        <v>6</v>
      </c>
      <c r="X1252" s="745">
        <v>0</v>
      </c>
      <c r="Y1252" s="1202">
        <v>1</v>
      </c>
    </row>
    <row r="1253" spans="21:25" x14ac:dyDescent="0.2">
      <c r="U1253" s="1260">
        <f t="shared" si="131"/>
        <v>182</v>
      </c>
      <c r="V1253" s="745">
        <v>4</v>
      </c>
      <c r="W1253" s="745">
        <v>7</v>
      </c>
      <c r="X1253" s="745">
        <v>0</v>
      </c>
      <c r="Y1253" s="1202">
        <v>1</v>
      </c>
    </row>
    <row r="1254" spans="21:25" x14ac:dyDescent="0.2">
      <c r="U1254" s="1260">
        <f t="shared" si="131"/>
        <v>200</v>
      </c>
      <c r="V1254" s="745">
        <v>4</v>
      </c>
      <c r="W1254" s="745">
        <v>8</v>
      </c>
      <c r="X1254" s="745">
        <v>0</v>
      </c>
      <c r="Y1254" s="1202">
        <v>1</v>
      </c>
    </row>
    <row r="1255" spans="21:25" x14ac:dyDescent="0.2">
      <c r="U1255" s="1260">
        <f t="shared" si="131"/>
        <v>218</v>
      </c>
      <c r="V1255" s="745">
        <v>4</v>
      </c>
      <c r="W1255" s="745">
        <v>9</v>
      </c>
      <c r="X1255" s="745">
        <v>0</v>
      </c>
      <c r="Y1255" s="1202">
        <v>1</v>
      </c>
    </row>
    <row r="1256" spans="21:25" x14ac:dyDescent="0.2">
      <c r="U1256" s="1260">
        <f t="shared" si="131"/>
        <v>236</v>
      </c>
      <c r="V1256" s="745">
        <v>4</v>
      </c>
      <c r="W1256" s="745">
        <v>10</v>
      </c>
      <c r="X1256" s="745">
        <v>0</v>
      </c>
      <c r="Y1256" s="1202">
        <v>1</v>
      </c>
    </row>
    <row r="1257" spans="21:25" x14ac:dyDescent="0.2">
      <c r="U1257" s="1260">
        <f t="shared" si="131"/>
        <v>254</v>
      </c>
      <c r="V1257" s="745">
        <v>4</v>
      </c>
      <c r="W1257" s="745">
        <v>11</v>
      </c>
      <c r="X1257" s="745">
        <v>0</v>
      </c>
      <c r="Y1257" s="1202">
        <v>1</v>
      </c>
    </row>
    <row r="1258" spans="21:25" x14ac:dyDescent="0.2">
      <c r="U1258" s="1260">
        <f t="shared" si="131"/>
        <v>272</v>
      </c>
      <c r="V1258" s="745">
        <v>4</v>
      </c>
      <c r="W1258" s="745">
        <v>12</v>
      </c>
      <c r="X1258" s="745">
        <v>0</v>
      </c>
      <c r="Y1258" s="1202">
        <v>1</v>
      </c>
    </row>
    <row r="1259" spans="21:25" x14ac:dyDescent="0.2">
      <c r="U1259" s="1260">
        <f t="shared" si="131"/>
        <v>290</v>
      </c>
      <c r="V1259" s="745">
        <v>4</v>
      </c>
      <c r="W1259" s="745">
        <v>13</v>
      </c>
      <c r="X1259" s="745">
        <v>0</v>
      </c>
      <c r="Y1259" s="1202">
        <v>1</v>
      </c>
    </row>
    <row r="1260" spans="21:25" x14ac:dyDescent="0.2">
      <c r="U1260" s="1260">
        <f t="shared" si="131"/>
        <v>308</v>
      </c>
      <c r="V1260" s="745">
        <v>4</v>
      </c>
      <c r="W1260" s="745">
        <v>14</v>
      </c>
      <c r="X1260" s="745">
        <v>0</v>
      </c>
      <c r="Y1260" s="1202">
        <v>1</v>
      </c>
    </row>
    <row r="1261" spans="21:25" x14ac:dyDescent="0.2">
      <c r="U1261" s="1260">
        <f t="shared" si="131"/>
        <v>326</v>
      </c>
      <c r="V1261" s="745">
        <v>4</v>
      </c>
      <c r="W1261" s="745">
        <v>15</v>
      </c>
      <c r="X1261" s="745">
        <v>0</v>
      </c>
      <c r="Y1261" s="1202">
        <v>1</v>
      </c>
    </row>
    <row r="1262" spans="21:25" x14ac:dyDescent="0.2">
      <c r="U1262" s="1260">
        <f t="shared" si="131"/>
        <v>344</v>
      </c>
      <c r="V1262" s="745">
        <v>4</v>
      </c>
      <c r="W1262" s="745">
        <v>16</v>
      </c>
      <c r="X1262" s="745">
        <v>0</v>
      </c>
      <c r="Y1262" s="1202">
        <v>1</v>
      </c>
    </row>
    <row r="1263" spans="21:25" x14ac:dyDescent="0.2">
      <c r="U1263" s="1260">
        <f t="shared" si="131"/>
        <v>362</v>
      </c>
      <c r="V1263" s="745">
        <v>4</v>
      </c>
      <c r="W1263" s="745">
        <v>17</v>
      </c>
      <c r="X1263" s="745">
        <v>0</v>
      </c>
      <c r="Y1263" s="1202">
        <v>1</v>
      </c>
    </row>
    <row r="1264" spans="21:25" x14ac:dyDescent="0.2">
      <c r="U1264" s="1260">
        <f t="shared" si="131"/>
        <v>380</v>
      </c>
      <c r="V1264" s="745">
        <v>4</v>
      </c>
      <c r="W1264" s="745">
        <v>18</v>
      </c>
      <c r="X1264" s="745">
        <v>0</v>
      </c>
      <c r="Y1264" s="1202">
        <v>1</v>
      </c>
    </row>
    <row r="1265" spans="21:25" x14ac:dyDescent="0.2">
      <c r="U1265" s="1260">
        <f t="shared" si="131"/>
        <v>398</v>
      </c>
      <c r="V1265" s="745">
        <v>4</v>
      </c>
      <c r="W1265" s="745">
        <v>19</v>
      </c>
      <c r="X1265" s="745">
        <v>0</v>
      </c>
      <c r="Y1265" s="1202">
        <v>1</v>
      </c>
    </row>
    <row r="1266" spans="21:25" x14ac:dyDescent="0.2">
      <c r="U1266" s="1260">
        <f t="shared" si="131"/>
        <v>416</v>
      </c>
      <c r="V1266" s="745">
        <v>4</v>
      </c>
      <c r="W1266" s="745">
        <v>20</v>
      </c>
      <c r="X1266" s="745">
        <v>0</v>
      </c>
      <c r="Y1266" s="1202">
        <v>1</v>
      </c>
    </row>
    <row r="1267" spans="21:25" x14ac:dyDescent="0.2">
      <c r="U1267" s="1260">
        <f t="shared" si="131"/>
        <v>434</v>
      </c>
      <c r="V1267" s="745">
        <v>4</v>
      </c>
      <c r="W1267" s="745">
        <v>21</v>
      </c>
      <c r="X1267" s="745">
        <v>0</v>
      </c>
      <c r="Y1267" s="1202">
        <v>1</v>
      </c>
    </row>
    <row r="1268" spans="21:25" x14ac:dyDescent="0.2">
      <c r="U1268" s="1260">
        <f t="shared" si="131"/>
        <v>452</v>
      </c>
      <c r="V1268" s="745">
        <v>4</v>
      </c>
      <c r="W1268" s="745">
        <v>22</v>
      </c>
      <c r="X1268" s="745">
        <v>0</v>
      </c>
      <c r="Y1268" s="1202">
        <v>1</v>
      </c>
    </row>
    <row r="1269" spans="21:25" x14ac:dyDescent="0.2">
      <c r="U1269" s="1260">
        <f t="shared" si="131"/>
        <v>470</v>
      </c>
      <c r="V1269" s="745">
        <v>4</v>
      </c>
      <c r="W1269" s="745">
        <v>23</v>
      </c>
      <c r="X1269" s="745">
        <v>0</v>
      </c>
      <c r="Y1269" s="1202">
        <v>1</v>
      </c>
    </row>
    <row r="1270" spans="21:25" x14ac:dyDescent="0.2">
      <c r="U1270" s="1260">
        <f t="shared" si="131"/>
        <v>488</v>
      </c>
      <c r="V1270" s="745">
        <v>4</v>
      </c>
      <c r="W1270" s="745">
        <v>24</v>
      </c>
      <c r="X1270" s="745">
        <v>0</v>
      </c>
      <c r="Y1270" s="1202">
        <v>1</v>
      </c>
    </row>
    <row r="1271" spans="21:25" x14ac:dyDescent="0.2">
      <c r="U1271" s="1260">
        <f t="shared" si="131"/>
        <v>506</v>
      </c>
      <c r="V1271" s="745">
        <v>4</v>
      </c>
      <c r="W1271" s="745">
        <v>25</v>
      </c>
      <c r="X1271" s="745">
        <v>0</v>
      </c>
      <c r="Y1271" s="1202">
        <v>1</v>
      </c>
    </row>
    <row r="1272" spans="21:25" x14ac:dyDescent="0.2">
      <c r="U1272" s="1260">
        <f t="shared" si="131"/>
        <v>524</v>
      </c>
      <c r="V1272" s="745">
        <v>4</v>
      </c>
      <c r="W1272" s="745">
        <v>26</v>
      </c>
      <c r="X1272" s="745">
        <v>0</v>
      </c>
      <c r="Y1272" s="1202">
        <v>1</v>
      </c>
    </row>
    <row r="1273" spans="21:25" x14ac:dyDescent="0.2">
      <c r="U1273" s="1260">
        <f t="shared" si="131"/>
        <v>542</v>
      </c>
      <c r="V1273" s="745">
        <v>4</v>
      </c>
      <c r="W1273" s="745">
        <v>27</v>
      </c>
      <c r="X1273" s="745">
        <v>0</v>
      </c>
      <c r="Y1273" s="1202">
        <v>1</v>
      </c>
    </row>
    <row r="1274" spans="21:25" x14ac:dyDescent="0.2">
      <c r="U1274" s="1260">
        <f t="shared" si="131"/>
        <v>560</v>
      </c>
      <c r="V1274" s="745">
        <v>4</v>
      </c>
      <c r="W1274" s="745">
        <v>28</v>
      </c>
      <c r="X1274" s="745">
        <v>0</v>
      </c>
      <c r="Y1274" s="1202">
        <v>1</v>
      </c>
    </row>
    <row r="1275" spans="21:25" x14ac:dyDescent="0.2">
      <c r="U1275" s="1260">
        <f t="shared" si="131"/>
        <v>578</v>
      </c>
      <c r="V1275" s="745">
        <v>4</v>
      </c>
      <c r="W1275" s="745">
        <v>29</v>
      </c>
      <c r="X1275" s="745">
        <v>0</v>
      </c>
      <c r="Y1275" s="1202">
        <v>1</v>
      </c>
    </row>
    <row r="1276" spans="21:25" x14ac:dyDescent="0.2">
      <c r="U1276" s="1260">
        <f t="shared" si="131"/>
        <v>596</v>
      </c>
      <c r="V1276" s="745">
        <v>4</v>
      </c>
      <c r="W1276" s="745">
        <v>30</v>
      </c>
      <c r="X1276" s="745">
        <v>0</v>
      </c>
      <c r="Y1276" s="1202">
        <v>1</v>
      </c>
    </row>
    <row r="1277" spans="21:25" x14ac:dyDescent="0.2">
      <c r="U1277" s="1260">
        <f t="shared" si="131"/>
        <v>614</v>
      </c>
      <c r="V1277" s="745">
        <v>4</v>
      </c>
      <c r="W1277" s="745">
        <v>31</v>
      </c>
      <c r="X1277" s="745">
        <v>0</v>
      </c>
      <c r="Y1277" s="1202">
        <v>1</v>
      </c>
    </row>
    <row r="1278" spans="21:25" x14ac:dyDescent="0.2">
      <c r="U1278" s="1260">
        <f t="shared" si="131"/>
        <v>632</v>
      </c>
      <c r="V1278" s="745">
        <v>4</v>
      </c>
      <c r="W1278" s="745">
        <v>32</v>
      </c>
      <c r="X1278" s="745">
        <v>0</v>
      </c>
      <c r="Y1278" s="1202">
        <v>1</v>
      </c>
    </row>
    <row r="1279" spans="21:25" x14ac:dyDescent="0.2">
      <c r="U1279" s="1260">
        <f t="shared" si="131"/>
        <v>650</v>
      </c>
      <c r="V1279" s="745">
        <v>4</v>
      </c>
      <c r="W1279" s="745">
        <v>33</v>
      </c>
      <c r="X1279" s="745">
        <v>0</v>
      </c>
      <c r="Y1279" s="1202">
        <v>1</v>
      </c>
    </row>
    <row r="1280" spans="21:25" x14ac:dyDescent="0.2">
      <c r="U1280" s="1260">
        <f t="shared" si="131"/>
        <v>668</v>
      </c>
      <c r="V1280" s="745">
        <v>4</v>
      </c>
      <c r="W1280" s="745">
        <v>34</v>
      </c>
      <c r="X1280" s="745">
        <v>0</v>
      </c>
      <c r="Y1280" s="1202">
        <v>1</v>
      </c>
    </row>
    <row r="1281" spans="21:25" x14ac:dyDescent="0.2">
      <c r="U1281" s="1260">
        <f t="shared" si="131"/>
        <v>686</v>
      </c>
      <c r="V1281" s="745">
        <v>4</v>
      </c>
      <c r="W1281" s="745">
        <v>35</v>
      </c>
      <c r="X1281" s="745">
        <v>0</v>
      </c>
      <c r="Y1281" s="1202">
        <v>1</v>
      </c>
    </row>
    <row r="1282" spans="21:25" x14ac:dyDescent="0.2">
      <c r="U1282" s="1260">
        <f t="shared" si="131"/>
        <v>704</v>
      </c>
      <c r="V1282" s="745">
        <v>4</v>
      </c>
      <c r="W1282" s="745">
        <v>36</v>
      </c>
      <c r="X1282" s="745">
        <v>0</v>
      </c>
      <c r="Y1282" s="1202">
        <v>1</v>
      </c>
    </row>
    <row r="1283" spans="21:25" x14ac:dyDescent="0.2">
      <c r="U1283" s="1260">
        <f t="shared" si="131"/>
        <v>722</v>
      </c>
      <c r="V1283" s="745">
        <v>4</v>
      </c>
      <c r="W1283" s="745">
        <v>37</v>
      </c>
      <c r="X1283" s="745">
        <v>0</v>
      </c>
      <c r="Y1283" s="1202">
        <v>1</v>
      </c>
    </row>
    <row r="1284" spans="21:25" x14ac:dyDescent="0.2">
      <c r="U1284" s="1260">
        <f t="shared" ref="U1284:U1347" si="132">ROUNDUP(W1284*$W$294+V1284*$V$294+X1284*$X$294+Y1284*$Y$294,0)</f>
        <v>740</v>
      </c>
      <c r="V1284" s="745">
        <v>4</v>
      </c>
      <c r="W1284" s="745">
        <v>38</v>
      </c>
      <c r="X1284" s="745">
        <v>0</v>
      </c>
      <c r="Y1284" s="1202">
        <v>1</v>
      </c>
    </row>
    <row r="1285" spans="21:25" x14ac:dyDescent="0.2">
      <c r="U1285" s="1260">
        <f t="shared" si="132"/>
        <v>758</v>
      </c>
      <c r="V1285" s="745">
        <v>4</v>
      </c>
      <c r="W1285" s="745">
        <v>39</v>
      </c>
      <c r="X1285" s="745">
        <v>0</v>
      </c>
      <c r="Y1285" s="1202">
        <v>1</v>
      </c>
    </row>
    <row r="1286" spans="21:25" x14ac:dyDescent="0.2">
      <c r="U1286" s="1260">
        <f t="shared" si="132"/>
        <v>776</v>
      </c>
      <c r="V1286" s="745">
        <v>4</v>
      </c>
      <c r="W1286" s="745">
        <v>40</v>
      </c>
      <c r="X1286" s="745">
        <v>0</v>
      </c>
      <c r="Y1286" s="1202">
        <v>1</v>
      </c>
    </row>
    <row r="1287" spans="21:25" x14ac:dyDescent="0.2">
      <c r="U1287" s="1260">
        <f t="shared" si="132"/>
        <v>794</v>
      </c>
      <c r="V1287" s="745">
        <v>4</v>
      </c>
      <c r="W1287" s="745">
        <v>41</v>
      </c>
      <c r="X1287" s="745">
        <v>0</v>
      </c>
      <c r="Y1287" s="1202">
        <v>1</v>
      </c>
    </row>
    <row r="1288" spans="21:25" x14ac:dyDescent="0.2">
      <c r="U1288" s="1260">
        <f t="shared" si="132"/>
        <v>812</v>
      </c>
      <c r="V1288" s="745">
        <v>4</v>
      </c>
      <c r="W1288" s="745">
        <v>42</v>
      </c>
      <c r="X1288" s="745">
        <v>0</v>
      </c>
      <c r="Y1288" s="1202">
        <v>1</v>
      </c>
    </row>
    <row r="1289" spans="21:25" x14ac:dyDescent="0.2">
      <c r="U1289" s="1260">
        <f t="shared" si="132"/>
        <v>830</v>
      </c>
      <c r="V1289" s="745">
        <v>4</v>
      </c>
      <c r="W1289" s="745">
        <v>43</v>
      </c>
      <c r="X1289" s="745">
        <v>0</v>
      </c>
      <c r="Y1289" s="1202">
        <v>1</v>
      </c>
    </row>
    <row r="1290" spans="21:25" x14ac:dyDescent="0.2">
      <c r="U1290" s="1260">
        <f t="shared" si="132"/>
        <v>848</v>
      </c>
      <c r="V1290" s="745">
        <v>4</v>
      </c>
      <c r="W1290" s="745">
        <v>44</v>
      </c>
      <c r="X1290" s="745">
        <v>0</v>
      </c>
      <c r="Y1290" s="1202">
        <v>1</v>
      </c>
    </row>
    <row r="1291" spans="21:25" x14ac:dyDescent="0.2">
      <c r="U1291" s="1260">
        <f t="shared" si="132"/>
        <v>866</v>
      </c>
      <c r="V1291" s="745">
        <v>4</v>
      </c>
      <c r="W1291" s="745">
        <v>45</v>
      </c>
      <c r="X1291" s="745">
        <v>0</v>
      </c>
      <c r="Y1291" s="1202">
        <v>1</v>
      </c>
    </row>
    <row r="1292" spans="21:25" x14ac:dyDescent="0.2">
      <c r="U1292" s="1260">
        <f t="shared" si="132"/>
        <v>884</v>
      </c>
      <c r="V1292" s="745">
        <v>4</v>
      </c>
      <c r="W1292" s="745">
        <v>46</v>
      </c>
      <c r="X1292" s="745">
        <v>0</v>
      </c>
      <c r="Y1292" s="1202">
        <v>1</v>
      </c>
    </row>
    <row r="1293" spans="21:25" x14ac:dyDescent="0.2">
      <c r="U1293" s="1260">
        <f t="shared" si="132"/>
        <v>902</v>
      </c>
      <c r="V1293" s="745">
        <v>4</v>
      </c>
      <c r="W1293" s="745">
        <v>47</v>
      </c>
      <c r="X1293" s="745">
        <v>0</v>
      </c>
      <c r="Y1293" s="1202">
        <v>1</v>
      </c>
    </row>
    <row r="1294" spans="21:25" x14ac:dyDescent="0.2">
      <c r="U1294" s="1260">
        <f t="shared" si="132"/>
        <v>920</v>
      </c>
      <c r="V1294" s="745">
        <v>4</v>
      </c>
      <c r="W1294" s="745">
        <v>48</v>
      </c>
      <c r="X1294" s="745">
        <v>0</v>
      </c>
      <c r="Y1294" s="1202">
        <v>1</v>
      </c>
    </row>
    <row r="1295" spans="21:25" x14ac:dyDescent="0.2">
      <c r="U1295" s="1260">
        <f t="shared" si="132"/>
        <v>938</v>
      </c>
      <c r="V1295" s="745">
        <v>4</v>
      </c>
      <c r="W1295" s="745">
        <v>49</v>
      </c>
      <c r="X1295" s="745">
        <v>0</v>
      </c>
      <c r="Y1295" s="1202">
        <v>1</v>
      </c>
    </row>
    <row r="1296" spans="21:25" x14ac:dyDescent="0.2">
      <c r="U1296" s="1260">
        <f t="shared" si="132"/>
        <v>956</v>
      </c>
      <c r="V1296" s="745">
        <v>4</v>
      </c>
      <c r="W1296" s="745">
        <v>50</v>
      </c>
      <c r="X1296" s="745">
        <v>0</v>
      </c>
      <c r="Y1296" s="1202">
        <v>1</v>
      </c>
    </row>
    <row r="1297" spans="21:25" x14ac:dyDescent="0.2">
      <c r="U1297" s="1260">
        <f t="shared" si="132"/>
        <v>974</v>
      </c>
      <c r="V1297" s="745">
        <v>4</v>
      </c>
      <c r="W1297" s="745">
        <v>51</v>
      </c>
      <c r="X1297" s="745">
        <v>0</v>
      </c>
      <c r="Y1297" s="1202">
        <v>1</v>
      </c>
    </row>
    <row r="1298" spans="21:25" x14ac:dyDescent="0.2">
      <c r="U1298" s="1260">
        <f t="shared" si="132"/>
        <v>992</v>
      </c>
      <c r="V1298" s="745">
        <v>4</v>
      </c>
      <c r="W1298" s="745">
        <v>52</v>
      </c>
      <c r="X1298" s="745">
        <v>0</v>
      </c>
      <c r="Y1298" s="1202">
        <v>1</v>
      </c>
    </row>
    <row r="1299" spans="21:25" x14ac:dyDescent="0.2">
      <c r="U1299" s="1260">
        <f t="shared" si="132"/>
        <v>1010</v>
      </c>
      <c r="V1299" s="745">
        <v>4</v>
      </c>
      <c r="W1299" s="745">
        <v>53</v>
      </c>
      <c r="X1299" s="745">
        <v>0</v>
      </c>
      <c r="Y1299" s="1202">
        <v>1</v>
      </c>
    </row>
    <row r="1300" spans="21:25" x14ac:dyDescent="0.2">
      <c r="U1300" s="1260">
        <f t="shared" si="132"/>
        <v>19</v>
      </c>
      <c r="V1300" s="745">
        <v>1</v>
      </c>
      <c r="W1300" s="745">
        <v>0</v>
      </c>
      <c r="X1300" s="745">
        <v>0</v>
      </c>
      <c r="Y1300" s="1202">
        <v>1</v>
      </c>
    </row>
    <row r="1301" spans="21:25" x14ac:dyDescent="0.2">
      <c r="U1301" s="1260">
        <f t="shared" si="132"/>
        <v>31</v>
      </c>
      <c r="V1301" s="745">
        <v>2</v>
      </c>
      <c r="W1301" s="745">
        <v>0</v>
      </c>
      <c r="X1301" s="745">
        <v>0</v>
      </c>
      <c r="Y1301" s="1202">
        <v>1</v>
      </c>
    </row>
    <row r="1302" spans="21:25" x14ac:dyDescent="0.2">
      <c r="U1302" s="1260">
        <f t="shared" si="132"/>
        <v>44</v>
      </c>
      <c r="V1302" s="745">
        <v>3</v>
      </c>
      <c r="W1302" s="745">
        <v>0</v>
      </c>
      <c r="X1302" s="745">
        <v>0</v>
      </c>
      <c r="Y1302" s="1202">
        <v>1</v>
      </c>
    </row>
    <row r="1303" spans="21:25" x14ac:dyDescent="0.2">
      <c r="U1303" s="1260">
        <f t="shared" si="132"/>
        <v>56</v>
      </c>
      <c r="V1303" s="745">
        <v>4</v>
      </c>
      <c r="W1303" s="745">
        <v>0</v>
      </c>
      <c r="X1303" s="745">
        <v>0</v>
      </c>
      <c r="Y1303" s="1202">
        <v>1</v>
      </c>
    </row>
    <row r="1304" spans="21:25" x14ac:dyDescent="0.2">
      <c r="U1304" s="1260">
        <f t="shared" si="132"/>
        <v>69</v>
      </c>
      <c r="V1304" s="745">
        <v>5</v>
      </c>
      <c r="W1304" s="745">
        <v>0</v>
      </c>
      <c r="X1304" s="745">
        <v>0</v>
      </c>
      <c r="Y1304" s="1202">
        <v>1</v>
      </c>
    </row>
    <row r="1305" spans="21:25" x14ac:dyDescent="0.2">
      <c r="U1305" s="1260">
        <f t="shared" si="132"/>
        <v>81</v>
      </c>
      <c r="V1305" s="745">
        <v>6</v>
      </c>
      <c r="W1305" s="745">
        <v>0</v>
      </c>
      <c r="X1305" s="745">
        <v>0</v>
      </c>
      <c r="Y1305" s="1202">
        <v>1</v>
      </c>
    </row>
    <row r="1306" spans="21:25" x14ac:dyDescent="0.2">
      <c r="U1306" s="1260">
        <f t="shared" si="132"/>
        <v>94</v>
      </c>
      <c r="V1306" s="745">
        <v>7</v>
      </c>
      <c r="W1306" s="745">
        <v>0</v>
      </c>
      <c r="X1306" s="745">
        <v>0</v>
      </c>
      <c r="Y1306" s="1202">
        <v>1</v>
      </c>
    </row>
    <row r="1307" spans="21:25" x14ac:dyDescent="0.2">
      <c r="U1307" s="1260">
        <f t="shared" si="132"/>
        <v>106</v>
      </c>
      <c r="V1307" s="745">
        <v>8</v>
      </c>
      <c r="W1307" s="745">
        <v>0</v>
      </c>
      <c r="X1307" s="745">
        <v>0</v>
      </c>
      <c r="Y1307" s="1202">
        <v>1</v>
      </c>
    </row>
    <row r="1308" spans="21:25" x14ac:dyDescent="0.2">
      <c r="U1308" s="1260">
        <f t="shared" si="132"/>
        <v>119</v>
      </c>
      <c r="V1308" s="745">
        <v>9</v>
      </c>
      <c r="W1308" s="745">
        <v>0</v>
      </c>
      <c r="X1308" s="745">
        <v>0</v>
      </c>
      <c r="Y1308" s="1202">
        <v>1</v>
      </c>
    </row>
    <row r="1309" spans="21:25" x14ac:dyDescent="0.2">
      <c r="U1309" s="1260">
        <f t="shared" si="132"/>
        <v>131</v>
      </c>
      <c r="V1309" s="745">
        <v>10</v>
      </c>
      <c r="W1309" s="745">
        <v>0</v>
      </c>
      <c r="X1309" s="745">
        <v>0</v>
      </c>
      <c r="Y1309" s="1202">
        <v>1</v>
      </c>
    </row>
    <row r="1310" spans="21:25" x14ac:dyDescent="0.2">
      <c r="U1310" s="1260">
        <f t="shared" si="132"/>
        <v>144</v>
      </c>
      <c r="V1310" s="745">
        <v>11</v>
      </c>
      <c r="W1310" s="745">
        <v>0</v>
      </c>
      <c r="X1310" s="745">
        <v>0</v>
      </c>
      <c r="Y1310" s="1202">
        <v>1</v>
      </c>
    </row>
    <row r="1311" spans="21:25" x14ac:dyDescent="0.2">
      <c r="U1311" s="1260">
        <f t="shared" si="132"/>
        <v>156</v>
      </c>
      <c r="V1311" s="745">
        <v>12</v>
      </c>
      <c r="W1311" s="745">
        <v>0</v>
      </c>
      <c r="X1311" s="745">
        <v>0</v>
      </c>
      <c r="Y1311" s="1202">
        <v>1</v>
      </c>
    </row>
    <row r="1312" spans="21:25" x14ac:dyDescent="0.2">
      <c r="U1312" s="1260">
        <f t="shared" si="132"/>
        <v>169</v>
      </c>
      <c r="V1312" s="745">
        <v>13</v>
      </c>
      <c r="W1312" s="745">
        <v>0</v>
      </c>
      <c r="X1312" s="745">
        <v>0</v>
      </c>
      <c r="Y1312" s="1202">
        <v>1</v>
      </c>
    </row>
    <row r="1313" spans="21:25" x14ac:dyDescent="0.2">
      <c r="U1313" s="1260">
        <f t="shared" si="132"/>
        <v>181</v>
      </c>
      <c r="V1313" s="745">
        <v>14</v>
      </c>
      <c r="W1313" s="745">
        <v>0</v>
      </c>
      <c r="X1313" s="745">
        <v>0</v>
      </c>
      <c r="Y1313" s="1202">
        <v>1</v>
      </c>
    </row>
    <row r="1314" spans="21:25" x14ac:dyDescent="0.2">
      <c r="U1314" s="1260">
        <f t="shared" si="132"/>
        <v>194</v>
      </c>
      <c r="V1314" s="745">
        <v>15</v>
      </c>
      <c r="W1314" s="745">
        <v>0</v>
      </c>
      <c r="X1314" s="745">
        <v>0</v>
      </c>
      <c r="Y1314" s="1202">
        <v>1</v>
      </c>
    </row>
    <row r="1315" spans="21:25" x14ac:dyDescent="0.2">
      <c r="U1315" s="1260">
        <f t="shared" si="132"/>
        <v>206</v>
      </c>
      <c r="V1315" s="745">
        <v>16</v>
      </c>
      <c r="W1315" s="745">
        <v>0</v>
      </c>
      <c r="X1315" s="745">
        <v>0</v>
      </c>
      <c r="Y1315" s="1202">
        <v>1</v>
      </c>
    </row>
    <row r="1316" spans="21:25" x14ac:dyDescent="0.2">
      <c r="U1316" s="1260">
        <f t="shared" si="132"/>
        <v>219</v>
      </c>
      <c r="V1316" s="745">
        <v>17</v>
      </c>
      <c r="W1316" s="745">
        <v>0</v>
      </c>
      <c r="X1316" s="745">
        <v>0</v>
      </c>
      <c r="Y1316" s="1202">
        <v>1</v>
      </c>
    </row>
    <row r="1317" spans="21:25" x14ac:dyDescent="0.2">
      <c r="U1317" s="1260">
        <f t="shared" si="132"/>
        <v>231</v>
      </c>
      <c r="V1317" s="745">
        <v>18</v>
      </c>
      <c r="W1317" s="745">
        <v>0</v>
      </c>
      <c r="X1317" s="745">
        <v>0</v>
      </c>
      <c r="Y1317" s="1202">
        <v>1</v>
      </c>
    </row>
    <row r="1318" spans="21:25" x14ac:dyDescent="0.2">
      <c r="U1318" s="1260">
        <f t="shared" si="132"/>
        <v>244</v>
      </c>
      <c r="V1318" s="745">
        <v>19</v>
      </c>
      <c r="W1318" s="745">
        <v>0</v>
      </c>
      <c r="X1318" s="745">
        <v>0</v>
      </c>
      <c r="Y1318" s="1202">
        <v>1</v>
      </c>
    </row>
    <row r="1319" spans="21:25" x14ac:dyDescent="0.2">
      <c r="U1319" s="1260">
        <f t="shared" si="132"/>
        <v>256</v>
      </c>
      <c r="V1319" s="745">
        <v>20</v>
      </c>
      <c r="W1319" s="745">
        <v>0</v>
      </c>
      <c r="X1319" s="745">
        <v>0</v>
      </c>
      <c r="Y1319" s="1202">
        <v>1</v>
      </c>
    </row>
    <row r="1320" spans="21:25" x14ac:dyDescent="0.2">
      <c r="U1320" s="1260">
        <f t="shared" si="132"/>
        <v>269</v>
      </c>
      <c r="V1320" s="745">
        <v>21</v>
      </c>
      <c r="W1320" s="745">
        <v>0</v>
      </c>
      <c r="X1320" s="745">
        <v>0</v>
      </c>
      <c r="Y1320" s="1202">
        <v>1</v>
      </c>
    </row>
    <row r="1321" spans="21:25" x14ac:dyDescent="0.2">
      <c r="U1321" s="1260">
        <f t="shared" si="132"/>
        <v>281</v>
      </c>
      <c r="V1321" s="745">
        <v>22</v>
      </c>
      <c r="W1321" s="745">
        <v>0</v>
      </c>
      <c r="X1321" s="745">
        <v>0</v>
      </c>
      <c r="Y1321" s="1202">
        <v>1</v>
      </c>
    </row>
    <row r="1322" spans="21:25" x14ac:dyDescent="0.2">
      <c r="U1322" s="1260">
        <f t="shared" si="132"/>
        <v>294</v>
      </c>
      <c r="V1322" s="745">
        <v>23</v>
      </c>
      <c r="W1322" s="745">
        <v>0</v>
      </c>
      <c r="X1322" s="745">
        <v>0</v>
      </c>
      <c r="Y1322" s="1202">
        <v>1</v>
      </c>
    </row>
    <row r="1323" spans="21:25" x14ac:dyDescent="0.2">
      <c r="U1323" s="1260">
        <f t="shared" si="132"/>
        <v>306</v>
      </c>
      <c r="V1323" s="745">
        <v>24</v>
      </c>
      <c r="W1323" s="745">
        <v>0</v>
      </c>
      <c r="X1323" s="745">
        <v>0</v>
      </c>
      <c r="Y1323" s="1202">
        <v>1</v>
      </c>
    </row>
    <row r="1324" spans="21:25" x14ac:dyDescent="0.2">
      <c r="U1324" s="1260">
        <f t="shared" si="132"/>
        <v>319</v>
      </c>
      <c r="V1324" s="745">
        <v>25</v>
      </c>
      <c r="W1324" s="745">
        <v>0</v>
      </c>
      <c r="X1324" s="745">
        <v>0</v>
      </c>
      <c r="Y1324" s="1202">
        <v>1</v>
      </c>
    </row>
    <row r="1325" spans="21:25" x14ac:dyDescent="0.2">
      <c r="U1325" s="1260">
        <f t="shared" si="132"/>
        <v>331</v>
      </c>
      <c r="V1325" s="745">
        <v>26</v>
      </c>
      <c r="W1325" s="745">
        <v>0</v>
      </c>
      <c r="X1325" s="745">
        <v>0</v>
      </c>
      <c r="Y1325" s="1202">
        <v>1</v>
      </c>
    </row>
    <row r="1326" spans="21:25" x14ac:dyDescent="0.2">
      <c r="U1326" s="1260">
        <f t="shared" si="132"/>
        <v>344</v>
      </c>
      <c r="V1326" s="745">
        <v>27</v>
      </c>
      <c r="W1326" s="745">
        <v>0</v>
      </c>
      <c r="X1326" s="745">
        <v>0</v>
      </c>
      <c r="Y1326" s="1202">
        <v>1</v>
      </c>
    </row>
    <row r="1327" spans="21:25" x14ac:dyDescent="0.2">
      <c r="U1327" s="1260">
        <f t="shared" si="132"/>
        <v>356</v>
      </c>
      <c r="V1327" s="745">
        <v>28</v>
      </c>
      <c r="W1327" s="745">
        <v>0</v>
      </c>
      <c r="X1327" s="745">
        <v>0</v>
      </c>
      <c r="Y1327" s="1202">
        <v>1</v>
      </c>
    </row>
    <row r="1328" spans="21:25" x14ac:dyDescent="0.2">
      <c r="U1328" s="1260">
        <f t="shared" si="132"/>
        <v>369</v>
      </c>
      <c r="V1328" s="745">
        <v>29</v>
      </c>
      <c r="W1328" s="745">
        <v>0</v>
      </c>
      <c r="X1328" s="745">
        <v>0</v>
      </c>
      <c r="Y1328" s="1202">
        <v>1</v>
      </c>
    </row>
    <row r="1329" spans="21:25" x14ac:dyDescent="0.2">
      <c r="U1329" s="1260">
        <f t="shared" si="132"/>
        <v>381</v>
      </c>
      <c r="V1329" s="745">
        <v>30</v>
      </c>
      <c r="W1329" s="745">
        <v>0</v>
      </c>
      <c r="X1329" s="745">
        <v>0</v>
      </c>
      <c r="Y1329" s="1202">
        <v>1</v>
      </c>
    </row>
    <row r="1330" spans="21:25" x14ac:dyDescent="0.2">
      <c r="U1330" s="1260">
        <f t="shared" si="132"/>
        <v>394</v>
      </c>
      <c r="V1330" s="745">
        <v>31</v>
      </c>
      <c r="W1330" s="745">
        <v>0</v>
      </c>
      <c r="X1330" s="745">
        <v>0</v>
      </c>
      <c r="Y1330" s="1202">
        <v>1</v>
      </c>
    </row>
    <row r="1331" spans="21:25" x14ac:dyDescent="0.2">
      <c r="U1331" s="1260">
        <f t="shared" si="132"/>
        <v>406</v>
      </c>
      <c r="V1331" s="745">
        <v>32</v>
      </c>
      <c r="W1331" s="745">
        <v>0</v>
      </c>
      <c r="X1331" s="745">
        <v>0</v>
      </c>
      <c r="Y1331" s="1202">
        <v>1</v>
      </c>
    </row>
    <row r="1332" spans="21:25" x14ac:dyDescent="0.2">
      <c r="U1332" s="1260">
        <f t="shared" si="132"/>
        <v>419</v>
      </c>
      <c r="V1332" s="745">
        <v>33</v>
      </c>
      <c r="W1332" s="745">
        <v>0</v>
      </c>
      <c r="X1332" s="745">
        <v>0</v>
      </c>
      <c r="Y1332" s="1202">
        <v>1</v>
      </c>
    </row>
    <row r="1333" spans="21:25" x14ac:dyDescent="0.2">
      <c r="U1333" s="1260">
        <f t="shared" si="132"/>
        <v>431</v>
      </c>
      <c r="V1333" s="745">
        <v>34</v>
      </c>
      <c r="W1333" s="745">
        <v>0</v>
      </c>
      <c r="X1333" s="745">
        <v>0</v>
      </c>
      <c r="Y1333" s="1202">
        <v>1</v>
      </c>
    </row>
    <row r="1334" spans="21:25" x14ac:dyDescent="0.2">
      <c r="U1334" s="1260">
        <f t="shared" si="132"/>
        <v>444</v>
      </c>
      <c r="V1334" s="745">
        <v>35</v>
      </c>
      <c r="W1334" s="745">
        <v>0</v>
      </c>
      <c r="X1334" s="745">
        <v>0</v>
      </c>
      <c r="Y1334" s="1202">
        <v>1</v>
      </c>
    </row>
    <row r="1335" spans="21:25" x14ac:dyDescent="0.2">
      <c r="U1335" s="1260">
        <f t="shared" si="132"/>
        <v>456</v>
      </c>
      <c r="V1335" s="745">
        <v>36</v>
      </c>
      <c r="W1335" s="745">
        <v>0</v>
      </c>
      <c r="X1335" s="745">
        <v>0</v>
      </c>
      <c r="Y1335" s="1202">
        <v>1</v>
      </c>
    </row>
    <row r="1336" spans="21:25" x14ac:dyDescent="0.2">
      <c r="U1336" s="1260">
        <f t="shared" si="132"/>
        <v>469</v>
      </c>
      <c r="V1336" s="745">
        <v>37</v>
      </c>
      <c r="W1336" s="745">
        <v>0</v>
      </c>
      <c r="X1336" s="745">
        <v>0</v>
      </c>
      <c r="Y1336" s="1202">
        <v>1</v>
      </c>
    </row>
    <row r="1337" spans="21:25" x14ac:dyDescent="0.2">
      <c r="U1337" s="1260">
        <f t="shared" si="132"/>
        <v>481</v>
      </c>
      <c r="V1337" s="745">
        <v>38</v>
      </c>
      <c r="W1337" s="745">
        <v>0</v>
      </c>
      <c r="X1337" s="745">
        <v>0</v>
      </c>
      <c r="Y1337" s="1202">
        <v>1</v>
      </c>
    </row>
    <row r="1338" spans="21:25" x14ac:dyDescent="0.2">
      <c r="U1338" s="1260">
        <f t="shared" si="132"/>
        <v>494</v>
      </c>
      <c r="V1338" s="745">
        <v>39</v>
      </c>
      <c r="W1338" s="745">
        <v>0</v>
      </c>
      <c r="X1338" s="745">
        <v>0</v>
      </c>
      <c r="Y1338" s="1202">
        <v>1</v>
      </c>
    </row>
    <row r="1339" spans="21:25" x14ac:dyDescent="0.2">
      <c r="U1339" s="1260">
        <f t="shared" si="132"/>
        <v>506</v>
      </c>
      <c r="V1339" s="745">
        <v>40</v>
      </c>
      <c r="W1339" s="745">
        <v>0</v>
      </c>
      <c r="X1339" s="745">
        <v>0</v>
      </c>
      <c r="Y1339" s="1202">
        <v>1</v>
      </c>
    </row>
    <row r="1340" spans="21:25" x14ac:dyDescent="0.2">
      <c r="U1340" s="1260">
        <f t="shared" si="132"/>
        <v>87</v>
      </c>
      <c r="V1340" s="745">
        <v>5</v>
      </c>
      <c r="W1340" s="745">
        <v>1</v>
      </c>
      <c r="X1340" s="745">
        <v>0</v>
      </c>
      <c r="Y1340" s="1202">
        <v>1</v>
      </c>
    </row>
    <row r="1341" spans="21:25" x14ac:dyDescent="0.2">
      <c r="U1341" s="1260">
        <f t="shared" si="132"/>
        <v>105</v>
      </c>
      <c r="V1341" s="745">
        <v>5</v>
      </c>
      <c r="W1341" s="745">
        <v>2</v>
      </c>
      <c r="X1341" s="745">
        <v>0</v>
      </c>
      <c r="Y1341" s="1202">
        <v>1</v>
      </c>
    </row>
    <row r="1342" spans="21:25" x14ac:dyDescent="0.2">
      <c r="U1342" s="1260">
        <f t="shared" si="132"/>
        <v>123</v>
      </c>
      <c r="V1342" s="745">
        <v>5</v>
      </c>
      <c r="W1342" s="745">
        <v>3</v>
      </c>
      <c r="X1342" s="745">
        <v>0</v>
      </c>
      <c r="Y1342" s="1202">
        <v>1</v>
      </c>
    </row>
    <row r="1343" spans="21:25" x14ac:dyDescent="0.2">
      <c r="U1343" s="1260">
        <f t="shared" si="132"/>
        <v>141</v>
      </c>
      <c r="V1343" s="745">
        <v>5</v>
      </c>
      <c r="W1343" s="745">
        <v>4</v>
      </c>
      <c r="X1343" s="745">
        <v>0</v>
      </c>
      <c r="Y1343" s="1202">
        <v>1</v>
      </c>
    </row>
    <row r="1344" spans="21:25" x14ac:dyDescent="0.2">
      <c r="U1344" s="1260">
        <f t="shared" si="132"/>
        <v>159</v>
      </c>
      <c r="V1344" s="745">
        <v>5</v>
      </c>
      <c r="W1344" s="745">
        <v>5</v>
      </c>
      <c r="X1344" s="745">
        <v>0</v>
      </c>
      <c r="Y1344" s="1202">
        <v>1</v>
      </c>
    </row>
    <row r="1345" spans="21:25" x14ac:dyDescent="0.2">
      <c r="U1345" s="1260">
        <f t="shared" si="132"/>
        <v>177</v>
      </c>
      <c r="V1345" s="745">
        <v>5</v>
      </c>
      <c r="W1345" s="745">
        <v>6</v>
      </c>
      <c r="X1345" s="745">
        <v>0</v>
      </c>
      <c r="Y1345" s="1202">
        <v>1</v>
      </c>
    </row>
    <row r="1346" spans="21:25" x14ac:dyDescent="0.2">
      <c r="U1346" s="1260">
        <f t="shared" si="132"/>
        <v>195</v>
      </c>
      <c r="V1346" s="745">
        <v>5</v>
      </c>
      <c r="W1346" s="745">
        <v>7</v>
      </c>
      <c r="X1346" s="745">
        <v>0</v>
      </c>
      <c r="Y1346" s="1202">
        <v>1</v>
      </c>
    </row>
    <row r="1347" spans="21:25" x14ac:dyDescent="0.2">
      <c r="U1347" s="1260">
        <f t="shared" si="132"/>
        <v>213</v>
      </c>
      <c r="V1347" s="745">
        <v>5</v>
      </c>
      <c r="W1347" s="745">
        <v>8</v>
      </c>
      <c r="X1347" s="745">
        <v>0</v>
      </c>
      <c r="Y1347" s="1202">
        <v>1</v>
      </c>
    </row>
    <row r="1348" spans="21:25" x14ac:dyDescent="0.2">
      <c r="U1348" s="1260">
        <f t="shared" ref="U1348:U1411" si="133">ROUNDUP(W1348*$W$294+V1348*$V$294+X1348*$X$294+Y1348*$Y$294,0)</f>
        <v>231</v>
      </c>
      <c r="V1348" s="745">
        <v>5</v>
      </c>
      <c r="W1348" s="745">
        <v>9</v>
      </c>
      <c r="X1348" s="745">
        <v>0</v>
      </c>
      <c r="Y1348" s="1202">
        <v>1</v>
      </c>
    </row>
    <row r="1349" spans="21:25" x14ac:dyDescent="0.2">
      <c r="U1349" s="1260">
        <f t="shared" si="133"/>
        <v>249</v>
      </c>
      <c r="V1349" s="745">
        <v>5</v>
      </c>
      <c r="W1349" s="745">
        <v>10</v>
      </c>
      <c r="X1349" s="745">
        <v>0</v>
      </c>
      <c r="Y1349" s="1202">
        <v>1</v>
      </c>
    </row>
    <row r="1350" spans="21:25" x14ac:dyDescent="0.2">
      <c r="U1350" s="1260">
        <f t="shared" si="133"/>
        <v>267</v>
      </c>
      <c r="V1350" s="745">
        <v>5</v>
      </c>
      <c r="W1350" s="745">
        <v>11</v>
      </c>
      <c r="X1350" s="745">
        <v>0</v>
      </c>
      <c r="Y1350" s="1202">
        <v>1</v>
      </c>
    </row>
    <row r="1351" spans="21:25" x14ac:dyDescent="0.2">
      <c r="U1351" s="1260">
        <f t="shared" si="133"/>
        <v>285</v>
      </c>
      <c r="V1351" s="745">
        <v>5</v>
      </c>
      <c r="W1351" s="745">
        <v>12</v>
      </c>
      <c r="X1351" s="745">
        <v>0</v>
      </c>
      <c r="Y1351" s="1202">
        <v>1</v>
      </c>
    </row>
    <row r="1352" spans="21:25" x14ac:dyDescent="0.2">
      <c r="U1352" s="1260">
        <f t="shared" si="133"/>
        <v>303</v>
      </c>
      <c r="V1352" s="745">
        <v>5</v>
      </c>
      <c r="W1352" s="745">
        <v>13</v>
      </c>
      <c r="X1352" s="745">
        <v>0</v>
      </c>
      <c r="Y1352" s="1202">
        <v>1</v>
      </c>
    </row>
    <row r="1353" spans="21:25" x14ac:dyDescent="0.2">
      <c r="U1353" s="1260">
        <f t="shared" si="133"/>
        <v>321</v>
      </c>
      <c r="V1353" s="745">
        <v>5</v>
      </c>
      <c r="W1353" s="745">
        <v>14</v>
      </c>
      <c r="X1353" s="745">
        <v>0</v>
      </c>
      <c r="Y1353" s="1202">
        <v>1</v>
      </c>
    </row>
    <row r="1354" spans="21:25" x14ac:dyDescent="0.2">
      <c r="U1354" s="1260">
        <f t="shared" si="133"/>
        <v>339</v>
      </c>
      <c r="V1354" s="745">
        <v>5</v>
      </c>
      <c r="W1354" s="745">
        <v>15</v>
      </c>
      <c r="X1354" s="745">
        <v>0</v>
      </c>
      <c r="Y1354" s="1202">
        <v>1</v>
      </c>
    </row>
    <row r="1355" spans="21:25" x14ac:dyDescent="0.2">
      <c r="U1355" s="1260">
        <f t="shared" si="133"/>
        <v>357</v>
      </c>
      <c r="V1355" s="745">
        <v>5</v>
      </c>
      <c r="W1355" s="745">
        <v>16</v>
      </c>
      <c r="X1355" s="745">
        <v>0</v>
      </c>
      <c r="Y1355" s="1202">
        <v>1</v>
      </c>
    </row>
    <row r="1356" spans="21:25" x14ac:dyDescent="0.2">
      <c r="U1356" s="1260">
        <f t="shared" si="133"/>
        <v>375</v>
      </c>
      <c r="V1356" s="745">
        <v>5</v>
      </c>
      <c r="W1356" s="745">
        <v>17</v>
      </c>
      <c r="X1356" s="745">
        <v>0</v>
      </c>
      <c r="Y1356" s="1202">
        <v>1</v>
      </c>
    </row>
    <row r="1357" spans="21:25" x14ac:dyDescent="0.2">
      <c r="U1357" s="1260">
        <f t="shared" si="133"/>
        <v>393</v>
      </c>
      <c r="V1357" s="745">
        <v>5</v>
      </c>
      <c r="W1357" s="745">
        <v>18</v>
      </c>
      <c r="X1357" s="745">
        <v>0</v>
      </c>
      <c r="Y1357" s="1202">
        <v>1</v>
      </c>
    </row>
    <row r="1358" spans="21:25" x14ac:dyDescent="0.2">
      <c r="U1358" s="1260">
        <f t="shared" si="133"/>
        <v>411</v>
      </c>
      <c r="V1358" s="745">
        <v>5</v>
      </c>
      <c r="W1358" s="745">
        <v>19</v>
      </c>
      <c r="X1358" s="745">
        <v>0</v>
      </c>
      <c r="Y1358" s="1202">
        <v>1</v>
      </c>
    </row>
    <row r="1359" spans="21:25" x14ac:dyDescent="0.2">
      <c r="U1359" s="1260">
        <f t="shared" si="133"/>
        <v>429</v>
      </c>
      <c r="V1359" s="745">
        <v>5</v>
      </c>
      <c r="W1359" s="745">
        <v>20</v>
      </c>
      <c r="X1359" s="745">
        <v>0</v>
      </c>
      <c r="Y1359" s="1202">
        <v>1</v>
      </c>
    </row>
    <row r="1360" spans="21:25" x14ac:dyDescent="0.2">
      <c r="U1360" s="1260">
        <f t="shared" si="133"/>
        <v>447</v>
      </c>
      <c r="V1360" s="745">
        <v>5</v>
      </c>
      <c r="W1360" s="745">
        <v>21</v>
      </c>
      <c r="X1360" s="745">
        <v>0</v>
      </c>
      <c r="Y1360" s="1202">
        <v>1</v>
      </c>
    </row>
    <row r="1361" spans="21:25" x14ac:dyDescent="0.2">
      <c r="U1361" s="1260">
        <f t="shared" si="133"/>
        <v>465</v>
      </c>
      <c r="V1361" s="745">
        <v>5</v>
      </c>
      <c r="W1361" s="745">
        <v>22</v>
      </c>
      <c r="X1361" s="745">
        <v>0</v>
      </c>
      <c r="Y1361" s="1202">
        <v>1</v>
      </c>
    </row>
    <row r="1362" spans="21:25" x14ac:dyDescent="0.2">
      <c r="U1362" s="1260">
        <f t="shared" si="133"/>
        <v>483</v>
      </c>
      <c r="V1362" s="745">
        <v>5</v>
      </c>
      <c r="W1362" s="745">
        <v>23</v>
      </c>
      <c r="X1362" s="745">
        <v>0</v>
      </c>
      <c r="Y1362" s="1202">
        <v>1</v>
      </c>
    </row>
    <row r="1363" spans="21:25" x14ac:dyDescent="0.2">
      <c r="U1363" s="1260">
        <f t="shared" si="133"/>
        <v>501</v>
      </c>
      <c r="V1363" s="745">
        <v>5</v>
      </c>
      <c r="W1363" s="745">
        <v>24</v>
      </c>
      <c r="X1363" s="745">
        <v>0</v>
      </c>
      <c r="Y1363" s="1202">
        <v>1</v>
      </c>
    </row>
    <row r="1364" spans="21:25" x14ac:dyDescent="0.2">
      <c r="U1364" s="1260">
        <f t="shared" si="133"/>
        <v>519</v>
      </c>
      <c r="V1364" s="745">
        <v>5</v>
      </c>
      <c r="W1364" s="745">
        <v>25</v>
      </c>
      <c r="X1364" s="745">
        <v>0</v>
      </c>
      <c r="Y1364" s="1202">
        <v>1</v>
      </c>
    </row>
    <row r="1365" spans="21:25" x14ac:dyDescent="0.2">
      <c r="U1365" s="1260">
        <f t="shared" si="133"/>
        <v>537</v>
      </c>
      <c r="V1365" s="745">
        <v>5</v>
      </c>
      <c r="W1365" s="745">
        <v>26</v>
      </c>
      <c r="X1365" s="745">
        <v>0</v>
      </c>
      <c r="Y1365" s="1202">
        <v>1</v>
      </c>
    </row>
    <row r="1366" spans="21:25" x14ac:dyDescent="0.2">
      <c r="U1366" s="1260">
        <f t="shared" si="133"/>
        <v>555</v>
      </c>
      <c r="V1366" s="745">
        <v>5</v>
      </c>
      <c r="W1366" s="745">
        <v>27</v>
      </c>
      <c r="X1366" s="745">
        <v>0</v>
      </c>
      <c r="Y1366" s="1202">
        <v>1</v>
      </c>
    </row>
    <row r="1367" spans="21:25" x14ac:dyDescent="0.2">
      <c r="U1367" s="1260">
        <f t="shared" si="133"/>
        <v>573</v>
      </c>
      <c r="V1367" s="745">
        <v>5</v>
      </c>
      <c r="W1367" s="745">
        <v>28</v>
      </c>
      <c r="X1367" s="745">
        <v>0</v>
      </c>
      <c r="Y1367" s="1202">
        <v>1</v>
      </c>
    </row>
    <row r="1368" spans="21:25" x14ac:dyDescent="0.2">
      <c r="U1368" s="1260">
        <f t="shared" si="133"/>
        <v>591</v>
      </c>
      <c r="V1368" s="745">
        <v>5</v>
      </c>
      <c r="W1368" s="745">
        <v>29</v>
      </c>
      <c r="X1368" s="745">
        <v>0</v>
      </c>
      <c r="Y1368" s="1202">
        <v>1</v>
      </c>
    </row>
    <row r="1369" spans="21:25" x14ac:dyDescent="0.2">
      <c r="U1369" s="1260">
        <f t="shared" si="133"/>
        <v>609</v>
      </c>
      <c r="V1369" s="745">
        <v>5</v>
      </c>
      <c r="W1369" s="745">
        <v>30</v>
      </c>
      <c r="X1369" s="745">
        <v>0</v>
      </c>
      <c r="Y1369" s="1202">
        <v>1</v>
      </c>
    </row>
    <row r="1370" spans="21:25" x14ac:dyDescent="0.2">
      <c r="U1370" s="1260">
        <f t="shared" si="133"/>
        <v>627</v>
      </c>
      <c r="V1370" s="745">
        <v>5</v>
      </c>
      <c r="W1370" s="745">
        <v>31</v>
      </c>
      <c r="X1370" s="745">
        <v>0</v>
      </c>
      <c r="Y1370" s="1202">
        <v>1</v>
      </c>
    </row>
    <row r="1371" spans="21:25" x14ac:dyDescent="0.2">
      <c r="U1371" s="1260">
        <f t="shared" si="133"/>
        <v>645</v>
      </c>
      <c r="V1371" s="745">
        <v>5</v>
      </c>
      <c r="W1371" s="745">
        <v>32</v>
      </c>
      <c r="X1371" s="745">
        <v>0</v>
      </c>
      <c r="Y1371" s="1202">
        <v>1</v>
      </c>
    </row>
    <row r="1372" spans="21:25" x14ac:dyDescent="0.2">
      <c r="U1372" s="1260">
        <f t="shared" si="133"/>
        <v>663</v>
      </c>
      <c r="V1372" s="745">
        <v>5</v>
      </c>
      <c r="W1372" s="745">
        <v>33</v>
      </c>
      <c r="X1372" s="745">
        <v>0</v>
      </c>
      <c r="Y1372" s="1202">
        <v>1</v>
      </c>
    </row>
    <row r="1373" spans="21:25" x14ac:dyDescent="0.2">
      <c r="U1373" s="1260">
        <f t="shared" si="133"/>
        <v>681</v>
      </c>
      <c r="V1373" s="745">
        <v>5</v>
      </c>
      <c r="W1373" s="745">
        <v>34</v>
      </c>
      <c r="X1373" s="745">
        <v>0</v>
      </c>
      <c r="Y1373" s="1202">
        <v>1</v>
      </c>
    </row>
    <row r="1374" spans="21:25" x14ac:dyDescent="0.2">
      <c r="U1374" s="1260">
        <f t="shared" si="133"/>
        <v>699</v>
      </c>
      <c r="V1374" s="745">
        <v>5</v>
      </c>
      <c r="W1374" s="745">
        <v>35</v>
      </c>
      <c r="X1374" s="745">
        <v>0</v>
      </c>
      <c r="Y1374" s="1202">
        <v>1</v>
      </c>
    </row>
    <row r="1375" spans="21:25" x14ac:dyDescent="0.2">
      <c r="U1375" s="1260">
        <f t="shared" si="133"/>
        <v>717</v>
      </c>
      <c r="V1375" s="745">
        <v>5</v>
      </c>
      <c r="W1375" s="745">
        <v>36</v>
      </c>
      <c r="X1375" s="745">
        <v>0</v>
      </c>
      <c r="Y1375" s="1202">
        <v>1</v>
      </c>
    </row>
    <row r="1376" spans="21:25" x14ac:dyDescent="0.2">
      <c r="U1376" s="1260">
        <f t="shared" si="133"/>
        <v>735</v>
      </c>
      <c r="V1376" s="745">
        <v>5</v>
      </c>
      <c r="W1376" s="745">
        <v>37</v>
      </c>
      <c r="X1376" s="745">
        <v>0</v>
      </c>
      <c r="Y1376" s="1202">
        <v>1</v>
      </c>
    </row>
    <row r="1377" spans="21:25" x14ac:dyDescent="0.2">
      <c r="U1377" s="1260">
        <f t="shared" si="133"/>
        <v>753</v>
      </c>
      <c r="V1377" s="745">
        <v>5</v>
      </c>
      <c r="W1377" s="745">
        <v>38</v>
      </c>
      <c r="X1377" s="745">
        <v>0</v>
      </c>
      <c r="Y1377" s="1202">
        <v>1</v>
      </c>
    </row>
    <row r="1378" spans="21:25" x14ac:dyDescent="0.2">
      <c r="U1378" s="1260">
        <f t="shared" si="133"/>
        <v>771</v>
      </c>
      <c r="V1378" s="745">
        <v>5</v>
      </c>
      <c r="W1378" s="745">
        <v>39</v>
      </c>
      <c r="X1378" s="745">
        <v>0</v>
      </c>
      <c r="Y1378" s="1202">
        <v>1</v>
      </c>
    </row>
    <row r="1379" spans="21:25" x14ac:dyDescent="0.2">
      <c r="U1379" s="1260">
        <f t="shared" si="133"/>
        <v>789</v>
      </c>
      <c r="V1379" s="745">
        <v>5</v>
      </c>
      <c r="W1379" s="745">
        <v>40</v>
      </c>
      <c r="X1379" s="745">
        <v>0</v>
      </c>
      <c r="Y1379" s="1202">
        <v>1</v>
      </c>
    </row>
    <row r="1380" spans="21:25" x14ac:dyDescent="0.2">
      <c r="U1380" s="1260">
        <f t="shared" si="133"/>
        <v>807</v>
      </c>
      <c r="V1380" s="745">
        <v>5</v>
      </c>
      <c r="W1380" s="745">
        <v>41</v>
      </c>
      <c r="X1380" s="745">
        <v>0</v>
      </c>
      <c r="Y1380" s="1202">
        <v>1</v>
      </c>
    </row>
    <row r="1381" spans="21:25" x14ac:dyDescent="0.2">
      <c r="U1381" s="1260">
        <f t="shared" si="133"/>
        <v>825</v>
      </c>
      <c r="V1381" s="745">
        <v>5</v>
      </c>
      <c r="W1381" s="745">
        <v>42</v>
      </c>
      <c r="X1381" s="745">
        <v>0</v>
      </c>
      <c r="Y1381" s="1202">
        <v>1</v>
      </c>
    </row>
    <row r="1382" spans="21:25" x14ac:dyDescent="0.2">
      <c r="U1382" s="1260">
        <f t="shared" si="133"/>
        <v>843</v>
      </c>
      <c r="V1382" s="745">
        <v>5</v>
      </c>
      <c r="W1382" s="745">
        <v>43</v>
      </c>
      <c r="X1382" s="745">
        <v>0</v>
      </c>
      <c r="Y1382" s="1202">
        <v>1</v>
      </c>
    </row>
    <row r="1383" spans="21:25" x14ac:dyDescent="0.2">
      <c r="U1383" s="1260">
        <f t="shared" si="133"/>
        <v>861</v>
      </c>
      <c r="V1383" s="745">
        <v>5</v>
      </c>
      <c r="W1383" s="745">
        <v>44</v>
      </c>
      <c r="X1383" s="745">
        <v>0</v>
      </c>
      <c r="Y1383" s="1202">
        <v>1</v>
      </c>
    </row>
    <row r="1384" spans="21:25" x14ac:dyDescent="0.2">
      <c r="U1384" s="1260">
        <f t="shared" si="133"/>
        <v>879</v>
      </c>
      <c r="V1384" s="745">
        <v>5</v>
      </c>
      <c r="W1384" s="745">
        <v>45</v>
      </c>
      <c r="X1384" s="745">
        <v>0</v>
      </c>
      <c r="Y1384" s="1202">
        <v>1</v>
      </c>
    </row>
    <row r="1385" spans="21:25" x14ac:dyDescent="0.2">
      <c r="U1385" s="1260">
        <f t="shared" si="133"/>
        <v>897</v>
      </c>
      <c r="V1385" s="745">
        <v>5</v>
      </c>
      <c r="W1385" s="745">
        <v>46</v>
      </c>
      <c r="X1385" s="745">
        <v>0</v>
      </c>
      <c r="Y1385" s="1202">
        <v>1</v>
      </c>
    </row>
    <row r="1386" spans="21:25" x14ac:dyDescent="0.2">
      <c r="U1386" s="1260">
        <f t="shared" si="133"/>
        <v>915</v>
      </c>
      <c r="V1386" s="745">
        <v>5</v>
      </c>
      <c r="W1386" s="745">
        <v>47</v>
      </c>
      <c r="X1386" s="745">
        <v>0</v>
      </c>
      <c r="Y1386" s="1202">
        <v>1</v>
      </c>
    </row>
    <row r="1387" spans="21:25" x14ac:dyDescent="0.2">
      <c r="U1387" s="1260">
        <f t="shared" si="133"/>
        <v>933</v>
      </c>
      <c r="V1387" s="745">
        <v>5</v>
      </c>
      <c r="W1387" s="745">
        <v>48</v>
      </c>
      <c r="X1387" s="745">
        <v>0</v>
      </c>
      <c r="Y1387" s="1202">
        <v>1</v>
      </c>
    </row>
    <row r="1388" spans="21:25" x14ac:dyDescent="0.2">
      <c r="U1388" s="1260">
        <f t="shared" si="133"/>
        <v>951</v>
      </c>
      <c r="V1388" s="745">
        <v>5</v>
      </c>
      <c r="W1388" s="745">
        <v>49</v>
      </c>
      <c r="X1388" s="745">
        <v>0</v>
      </c>
      <c r="Y1388" s="1202">
        <v>1</v>
      </c>
    </row>
    <row r="1389" spans="21:25" x14ac:dyDescent="0.2">
      <c r="U1389" s="1260">
        <f t="shared" si="133"/>
        <v>969</v>
      </c>
      <c r="V1389" s="745">
        <v>5</v>
      </c>
      <c r="W1389" s="745">
        <v>50</v>
      </c>
      <c r="X1389" s="745">
        <v>0</v>
      </c>
      <c r="Y1389" s="1202">
        <v>1</v>
      </c>
    </row>
    <row r="1390" spans="21:25" x14ac:dyDescent="0.2">
      <c r="U1390" s="1260">
        <f t="shared" si="133"/>
        <v>987</v>
      </c>
      <c r="V1390" s="745">
        <v>5</v>
      </c>
      <c r="W1390" s="745">
        <v>51</v>
      </c>
      <c r="X1390" s="745">
        <v>0</v>
      </c>
      <c r="Y1390" s="1202">
        <v>1</v>
      </c>
    </row>
    <row r="1391" spans="21:25" x14ac:dyDescent="0.2">
      <c r="U1391" s="1260">
        <f t="shared" si="133"/>
        <v>1005</v>
      </c>
      <c r="V1391" s="745">
        <v>5</v>
      </c>
      <c r="W1391" s="745">
        <v>52</v>
      </c>
      <c r="X1391" s="745">
        <v>0</v>
      </c>
      <c r="Y1391" s="1202">
        <v>1</v>
      </c>
    </row>
    <row r="1392" spans="21:25" x14ac:dyDescent="0.2">
      <c r="U1392" s="1260">
        <f t="shared" si="133"/>
        <v>1023</v>
      </c>
      <c r="V1392" s="745">
        <v>5</v>
      </c>
      <c r="W1392" s="745">
        <v>53</v>
      </c>
      <c r="X1392" s="745">
        <v>0</v>
      </c>
      <c r="Y1392" s="1202">
        <v>1</v>
      </c>
    </row>
    <row r="1393" spans="21:25" x14ac:dyDescent="0.2">
      <c r="U1393" s="1260">
        <f t="shared" si="133"/>
        <v>39</v>
      </c>
      <c r="V1393" s="745">
        <v>0</v>
      </c>
      <c r="W1393" s="745">
        <v>1</v>
      </c>
      <c r="X1393" s="745">
        <v>1</v>
      </c>
      <c r="Y1393" s="1202">
        <v>1</v>
      </c>
    </row>
    <row r="1394" spans="21:25" x14ac:dyDescent="0.2">
      <c r="U1394" s="1260">
        <f t="shared" si="133"/>
        <v>57</v>
      </c>
      <c r="V1394" s="745">
        <v>0</v>
      </c>
      <c r="W1394" s="745">
        <v>2</v>
      </c>
      <c r="X1394" s="745">
        <v>1</v>
      </c>
      <c r="Y1394" s="1202">
        <v>1</v>
      </c>
    </row>
    <row r="1395" spans="21:25" x14ac:dyDescent="0.2">
      <c r="U1395" s="1260">
        <f t="shared" si="133"/>
        <v>75</v>
      </c>
      <c r="V1395" s="745">
        <v>0</v>
      </c>
      <c r="W1395" s="745">
        <v>3</v>
      </c>
      <c r="X1395" s="745">
        <v>1</v>
      </c>
      <c r="Y1395" s="1202">
        <v>1</v>
      </c>
    </row>
    <row r="1396" spans="21:25" x14ac:dyDescent="0.2">
      <c r="U1396" s="1260">
        <f t="shared" si="133"/>
        <v>93</v>
      </c>
      <c r="V1396" s="745">
        <v>0</v>
      </c>
      <c r="W1396" s="745">
        <v>4</v>
      </c>
      <c r="X1396" s="745">
        <v>1</v>
      </c>
      <c r="Y1396" s="1202">
        <v>1</v>
      </c>
    </row>
    <row r="1397" spans="21:25" x14ac:dyDescent="0.2">
      <c r="U1397" s="1260">
        <f t="shared" si="133"/>
        <v>111</v>
      </c>
      <c r="V1397" s="745">
        <v>0</v>
      </c>
      <c r="W1397" s="745">
        <v>5</v>
      </c>
      <c r="X1397" s="745">
        <v>1</v>
      </c>
      <c r="Y1397" s="1202">
        <v>1</v>
      </c>
    </row>
    <row r="1398" spans="21:25" x14ac:dyDescent="0.2">
      <c r="U1398" s="1260">
        <f t="shared" si="133"/>
        <v>129</v>
      </c>
      <c r="V1398" s="745">
        <v>0</v>
      </c>
      <c r="W1398" s="745">
        <v>6</v>
      </c>
      <c r="X1398" s="745">
        <v>1</v>
      </c>
      <c r="Y1398" s="1202">
        <v>1</v>
      </c>
    </row>
    <row r="1399" spans="21:25" x14ac:dyDescent="0.2">
      <c r="U1399" s="1260">
        <f t="shared" si="133"/>
        <v>147</v>
      </c>
      <c r="V1399" s="745">
        <v>0</v>
      </c>
      <c r="W1399" s="745">
        <v>7</v>
      </c>
      <c r="X1399" s="745">
        <v>1</v>
      </c>
      <c r="Y1399" s="1202">
        <v>1</v>
      </c>
    </row>
    <row r="1400" spans="21:25" x14ac:dyDescent="0.2">
      <c r="U1400" s="1260">
        <f t="shared" si="133"/>
        <v>165</v>
      </c>
      <c r="V1400" s="745">
        <v>0</v>
      </c>
      <c r="W1400" s="745">
        <v>8</v>
      </c>
      <c r="X1400" s="745">
        <v>1</v>
      </c>
      <c r="Y1400" s="1202">
        <v>1</v>
      </c>
    </row>
    <row r="1401" spans="21:25" x14ac:dyDescent="0.2">
      <c r="U1401" s="1260">
        <f t="shared" si="133"/>
        <v>183</v>
      </c>
      <c r="V1401" s="745">
        <v>0</v>
      </c>
      <c r="W1401" s="745">
        <v>9</v>
      </c>
      <c r="X1401" s="745">
        <v>1</v>
      </c>
      <c r="Y1401" s="1202">
        <v>1</v>
      </c>
    </row>
    <row r="1402" spans="21:25" x14ac:dyDescent="0.2">
      <c r="U1402" s="1260">
        <f t="shared" si="133"/>
        <v>201</v>
      </c>
      <c r="V1402" s="745">
        <v>0</v>
      </c>
      <c r="W1402" s="745">
        <v>10</v>
      </c>
      <c r="X1402" s="745">
        <v>1</v>
      </c>
      <c r="Y1402" s="1202">
        <v>1</v>
      </c>
    </row>
    <row r="1403" spans="21:25" x14ac:dyDescent="0.2">
      <c r="U1403" s="1260">
        <f t="shared" si="133"/>
        <v>219</v>
      </c>
      <c r="V1403" s="745">
        <v>0</v>
      </c>
      <c r="W1403" s="745">
        <v>11</v>
      </c>
      <c r="X1403" s="745">
        <v>1</v>
      </c>
      <c r="Y1403" s="1202">
        <v>1</v>
      </c>
    </row>
    <row r="1404" spans="21:25" x14ac:dyDescent="0.2">
      <c r="U1404" s="1260">
        <f t="shared" si="133"/>
        <v>237</v>
      </c>
      <c r="V1404" s="745">
        <v>0</v>
      </c>
      <c r="W1404" s="745">
        <v>12</v>
      </c>
      <c r="X1404" s="745">
        <v>1</v>
      </c>
      <c r="Y1404" s="1202">
        <v>1</v>
      </c>
    </row>
    <row r="1405" spans="21:25" x14ac:dyDescent="0.2">
      <c r="U1405" s="1260">
        <f t="shared" si="133"/>
        <v>255</v>
      </c>
      <c r="V1405" s="745">
        <v>0</v>
      </c>
      <c r="W1405" s="745">
        <v>13</v>
      </c>
      <c r="X1405" s="745">
        <v>1</v>
      </c>
      <c r="Y1405" s="1202">
        <v>1</v>
      </c>
    </row>
    <row r="1406" spans="21:25" x14ac:dyDescent="0.2">
      <c r="U1406" s="1260">
        <f t="shared" si="133"/>
        <v>273</v>
      </c>
      <c r="V1406" s="745">
        <v>0</v>
      </c>
      <c r="W1406" s="745">
        <v>14</v>
      </c>
      <c r="X1406" s="745">
        <v>1</v>
      </c>
      <c r="Y1406" s="1202">
        <v>1</v>
      </c>
    </row>
    <row r="1407" spans="21:25" x14ac:dyDescent="0.2">
      <c r="U1407" s="1260">
        <f t="shared" si="133"/>
        <v>291</v>
      </c>
      <c r="V1407" s="745">
        <v>0</v>
      </c>
      <c r="W1407" s="745">
        <v>15</v>
      </c>
      <c r="X1407" s="745">
        <v>1</v>
      </c>
      <c r="Y1407" s="1202">
        <v>1</v>
      </c>
    </row>
    <row r="1408" spans="21:25" x14ac:dyDescent="0.2">
      <c r="U1408" s="1260">
        <f t="shared" si="133"/>
        <v>309</v>
      </c>
      <c r="V1408" s="745">
        <v>0</v>
      </c>
      <c r="W1408" s="745">
        <v>16</v>
      </c>
      <c r="X1408" s="745">
        <v>1</v>
      </c>
      <c r="Y1408" s="1202">
        <v>1</v>
      </c>
    </row>
    <row r="1409" spans="21:25" x14ac:dyDescent="0.2">
      <c r="U1409" s="1260">
        <f t="shared" si="133"/>
        <v>327</v>
      </c>
      <c r="V1409" s="745">
        <v>0</v>
      </c>
      <c r="W1409" s="745">
        <v>17</v>
      </c>
      <c r="X1409" s="745">
        <v>1</v>
      </c>
      <c r="Y1409" s="1202">
        <v>1</v>
      </c>
    </row>
    <row r="1410" spans="21:25" x14ac:dyDescent="0.2">
      <c r="U1410" s="1260">
        <f t="shared" si="133"/>
        <v>345</v>
      </c>
      <c r="V1410" s="745">
        <v>0</v>
      </c>
      <c r="W1410" s="745">
        <v>18</v>
      </c>
      <c r="X1410" s="745">
        <v>1</v>
      </c>
      <c r="Y1410" s="1202">
        <v>1</v>
      </c>
    </row>
    <row r="1411" spans="21:25" x14ac:dyDescent="0.2">
      <c r="U1411" s="1260">
        <f t="shared" si="133"/>
        <v>363</v>
      </c>
      <c r="V1411" s="745">
        <v>0</v>
      </c>
      <c r="W1411" s="745">
        <v>19</v>
      </c>
      <c r="X1411" s="745">
        <v>1</v>
      </c>
      <c r="Y1411" s="1202">
        <v>1</v>
      </c>
    </row>
    <row r="1412" spans="21:25" x14ac:dyDescent="0.2">
      <c r="U1412" s="1260">
        <f t="shared" ref="U1412:U1475" si="134">ROUNDUP(W1412*$W$294+V1412*$V$294+X1412*$X$294+Y1412*$Y$294,0)</f>
        <v>381</v>
      </c>
      <c r="V1412" s="745">
        <v>0</v>
      </c>
      <c r="W1412" s="745">
        <v>20</v>
      </c>
      <c r="X1412" s="745">
        <v>1</v>
      </c>
      <c r="Y1412" s="1202">
        <v>1</v>
      </c>
    </row>
    <row r="1413" spans="21:25" x14ac:dyDescent="0.2">
      <c r="U1413" s="1260">
        <f t="shared" si="134"/>
        <v>399</v>
      </c>
      <c r="V1413" s="745">
        <v>0</v>
      </c>
      <c r="W1413" s="745">
        <v>21</v>
      </c>
      <c r="X1413" s="745">
        <v>1</v>
      </c>
      <c r="Y1413" s="1202">
        <v>1</v>
      </c>
    </row>
    <row r="1414" spans="21:25" x14ac:dyDescent="0.2">
      <c r="U1414" s="1260">
        <f t="shared" si="134"/>
        <v>417</v>
      </c>
      <c r="V1414" s="745">
        <v>0</v>
      </c>
      <c r="W1414" s="745">
        <v>22</v>
      </c>
      <c r="X1414" s="745">
        <v>1</v>
      </c>
      <c r="Y1414" s="1202">
        <v>1</v>
      </c>
    </row>
    <row r="1415" spans="21:25" x14ac:dyDescent="0.2">
      <c r="U1415" s="1260">
        <f t="shared" si="134"/>
        <v>435</v>
      </c>
      <c r="V1415" s="745">
        <v>0</v>
      </c>
      <c r="W1415" s="745">
        <v>23</v>
      </c>
      <c r="X1415" s="745">
        <v>1</v>
      </c>
      <c r="Y1415" s="1202">
        <v>1</v>
      </c>
    </row>
    <row r="1416" spans="21:25" x14ac:dyDescent="0.2">
      <c r="U1416" s="1260">
        <f t="shared" si="134"/>
        <v>453</v>
      </c>
      <c r="V1416" s="745">
        <v>0</v>
      </c>
      <c r="W1416" s="745">
        <v>24</v>
      </c>
      <c r="X1416" s="745">
        <v>1</v>
      </c>
      <c r="Y1416" s="1202">
        <v>1</v>
      </c>
    </row>
    <row r="1417" spans="21:25" x14ac:dyDescent="0.2">
      <c r="U1417" s="1260">
        <f t="shared" si="134"/>
        <v>471</v>
      </c>
      <c r="V1417" s="745">
        <v>0</v>
      </c>
      <c r="W1417" s="745">
        <v>25</v>
      </c>
      <c r="X1417" s="745">
        <v>1</v>
      </c>
      <c r="Y1417" s="1202">
        <v>1</v>
      </c>
    </row>
    <row r="1418" spans="21:25" x14ac:dyDescent="0.2">
      <c r="U1418" s="1260">
        <f t="shared" si="134"/>
        <v>489</v>
      </c>
      <c r="V1418" s="745">
        <v>0</v>
      </c>
      <c r="W1418" s="745">
        <v>26</v>
      </c>
      <c r="X1418" s="745">
        <v>1</v>
      </c>
      <c r="Y1418" s="1202">
        <v>1</v>
      </c>
    </row>
    <row r="1419" spans="21:25" x14ac:dyDescent="0.2">
      <c r="U1419" s="1260">
        <f t="shared" si="134"/>
        <v>507</v>
      </c>
      <c r="V1419" s="745">
        <v>0</v>
      </c>
      <c r="W1419" s="745">
        <v>27</v>
      </c>
      <c r="X1419" s="745">
        <v>1</v>
      </c>
      <c r="Y1419" s="1202">
        <v>1</v>
      </c>
    </row>
    <row r="1420" spans="21:25" x14ac:dyDescent="0.2">
      <c r="U1420" s="1260">
        <f t="shared" si="134"/>
        <v>525</v>
      </c>
      <c r="V1420" s="745">
        <v>0</v>
      </c>
      <c r="W1420" s="745">
        <v>28</v>
      </c>
      <c r="X1420" s="745">
        <v>1</v>
      </c>
      <c r="Y1420" s="1202">
        <v>1</v>
      </c>
    </row>
    <row r="1421" spans="21:25" x14ac:dyDescent="0.2">
      <c r="U1421" s="1260">
        <f t="shared" si="134"/>
        <v>543</v>
      </c>
      <c r="V1421" s="745">
        <v>0</v>
      </c>
      <c r="W1421" s="745">
        <v>29</v>
      </c>
      <c r="X1421" s="745">
        <v>1</v>
      </c>
      <c r="Y1421" s="1202">
        <v>1</v>
      </c>
    </row>
    <row r="1422" spans="21:25" x14ac:dyDescent="0.2">
      <c r="U1422" s="1260">
        <f t="shared" si="134"/>
        <v>561</v>
      </c>
      <c r="V1422" s="745">
        <v>0</v>
      </c>
      <c r="W1422" s="745">
        <v>30</v>
      </c>
      <c r="X1422" s="745">
        <v>1</v>
      </c>
      <c r="Y1422" s="1202">
        <v>1</v>
      </c>
    </row>
    <row r="1423" spans="21:25" x14ac:dyDescent="0.2">
      <c r="U1423" s="1260">
        <f t="shared" si="134"/>
        <v>579</v>
      </c>
      <c r="V1423" s="745">
        <v>0</v>
      </c>
      <c r="W1423" s="745">
        <v>31</v>
      </c>
      <c r="X1423" s="745">
        <v>1</v>
      </c>
      <c r="Y1423" s="1202">
        <v>1</v>
      </c>
    </row>
    <row r="1424" spans="21:25" x14ac:dyDescent="0.2">
      <c r="U1424" s="1260">
        <f t="shared" si="134"/>
        <v>597</v>
      </c>
      <c r="V1424" s="745">
        <v>0</v>
      </c>
      <c r="W1424" s="745">
        <v>32</v>
      </c>
      <c r="X1424" s="745">
        <v>1</v>
      </c>
      <c r="Y1424" s="1202">
        <v>1</v>
      </c>
    </row>
    <row r="1425" spans="21:25" x14ac:dyDescent="0.2">
      <c r="U1425" s="1260">
        <f t="shared" si="134"/>
        <v>615</v>
      </c>
      <c r="V1425" s="745">
        <v>0</v>
      </c>
      <c r="W1425" s="745">
        <v>33</v>
      </c>
      <c r="X1425" s="745">
        <v>1</v>
      </c>
      <c r="Y1425" s="1202">
        <v>1</v>
      </c>
    </row>
    <row r="1426" spans="21:25" x14ac:dyDescent="0.2">
      <c r="U1426" s="1260">
        <f t="shared" si="134"/>
        <v>633</v>
      </c>
      <c r="V1426" s="745">
        <v>0</v>
      </c>
      <c r="W1426" s="745">
        <v>34</v>
      </c>
      <c r="X1426" s="745">
        <v>1</v>
      </c>
      <c r="Y1426" s="1202">
        <v>1</v>
      </c>
    </row>
    <row r="1427" spans="21:25" x14ac:dyDescent="0.2">
      <c r="U1427" s="1260">
        <f t="shared" si="134"/>
        <v>651</v>
      </c>
      <c r="V1427" s="745">
        <v>0</v>
      </c>
      <c r="W1427" s="745">
        <v>35</v>
      </c>
      <c r="X1427" s="745">
        <v>1</v>
      </c>
      <c r="Y1427" s="1202">
        <v>1</v>
      </c>
    </row>
    <row r="1428" spans="21:25" x14ac:dyDescent="0.2">
      <c r="U1428" s="1260">
        <f t="shared" si="134"/>
        <v>669</v>
      </c>
      <c r="V1428" s="745">
        <v>0</v>
      </c>
      <c r="W1428" s="745">
        <v>36</v>
      </c>
      <c r="X1428" s="745">
        <v>1</v>
      </c>
      <c r="Y1428" s="1202">
        <v>1</v>
      </c>
    </row>
    <row r="1429" spans="21:25" x14ac:dyDescent="0.2">
      <c r="U1429" s="1260">
        <f t="shared" si="134"/>
        <v>687</v>
      </c>
      <c r="V1429" s="745">
        <v>0</v>
      </c>
      <c r="W1429" s="745">
        <v>37</v>
      </c>
      <c r="X1429" s="745">
        <v>1</v>
      </c>
      <c r="Y1429" s="1202">
        <v>1</v>
      </c>
    </row>
    <row r="1430" spans="21:25" x14ac:dyDescent="0.2">
      <c r="U1430" s="1260">
        <f t="shared" si="134"/>
        <v>705</v>
      </c>
      <c r="V1430" s="745">
        <v>0</v>
      </c>
      <c r="W1430" s="745">
        <v>38</v>
      </c>
      <c r="X1430" s="745">
        <v>1</v>
      </c>
      <c r="Y1430" s="1202">
        <v>1</v>
      </c>
    </row>
    <row r="1431" spans="21:25" x14ac:dyDescent="0.2">
      <c r="U1431" s="1260">
        <f t="shared" si="134"/>
        <v>723</v>
      </c>
      <c r="V1431" s="745">
        <v>0</v>
      </c>
      <c r="W1431" s="745">
        <v>39</v>
      </c>
      <c r="X1431" s="745">
        <v>1</v>
      </c>
      <c r="Y1431" s="1202">
        <v>1</v>
      </c>
    </row>
    <row r="1432" spans="21:25" x14ac:dyDescent="0.2">
      <c r="U1432" s="1260">
        <f t="shared" si="134"/>
        <v>741</v>
      </c>
      <c r="V1432" s="745">
        <v>0</v>
      </c>
      <c r="W1432" s="745">
        <v>40</v>
      </c>
      <c r="X1432" s="745">
        <v>1</v>
      </c>
      <c r="Y1432" s="1202">
        <v>1</v>
      </c>
    </row>
    <row r="1433" spans="21:25" x14ac:dyDescent="0.2">
      <c r="U1433" s="1260">
        <f t="shared" si="134"/>
        <v>759</v>
      </c>
      <c r="V1433" s="745">
        <v>0</v>
      </c>
      <c r="W1433" s="745">
        <v>41</v>
      </c>
      <c r="X1433" s="745">
        <v>1</v>
      </c>
      <c r="Y1433" s="1202">
        <v>1</v>
      </c>
    </row>
    <row r="1434" spans="21:25" x14ac:dyDescent="0.2">
      <c r="U1434" s="1260">
        <f t="shared" si="134"/>
        <v>777</v>
      </c>
      <c r="V1434" s="745">
        <v>0</v>
      </c>
      <c r="W1434" s="745">
        <v>42</v>
      </c>
      <c r="X1434" s="745">
        <v>1</v>
      </c>
      <c r="Y1434" s="1202">
        <v>1</v>
      </c>
    </row>
    <row r="1435" spans="21:25" x14ac:dyDescent="0.2">
      <c r="U1435" s="1260">
        <f t="shared" si="134"/>
        <v>795</v>
      </c>
      <c r="V1435" s="745">
        <v>0</v>
      </c>
      <c r="W1435" s="745">
        <v>43</v>
      </c>
      <c r="X1435" s="745">
        <v>1</v>
      </c>
      <c r="Y1435" s="1202">
        <v>1</v>
      </c>
    </row>
    <row r="1436" spans="21:25" x14ac:dyDescent="0.2">
      <c r="U1436" s="1260">
        <f t="shared" si="134"/>
        <v>813</v>
      </c>
      <c r="V1436" s="745">
        <v>0</v>
      </c>
      <c r="W1436" s="745">
        <v>44</v>
      </c>
      <c r="X1436" s="745">
        <v>1</v>
      </c>
      <c r="Y1436" s="1202">
        <v>1</v>
      </c>
    </row>
    <row r="1437" spans="21:25" x14ac:dyDescent="0.2">
      <c r="U1437" s="1260">
        <f t="shared" si="134"/>
        <v>831</v>
      </c>
      <c r="V1437" s="745">
        <v>0</v>
      </c>
      <c r="W1437" s="745">
        <v>45</v>
      </c>
      <c r="X1437" s="745">
        <v>1</v>
      </c>
      <c r="Y1437" s="1202">
        <v>1</v>
      </c>
    </row>
    <row r="1438" spans="21:25" x14ac:dyDescent="0.2">
      <c r="U1438" s="1260">
        <f t="shared" si="134"/>
        <v>849</v>
      </c>
      <c r="V1438" s="745">
        <v>0</v>
      </c>
      <c r="W1438" s="745">
        <v>46</v>
      </c>
      <c r="X1438" s="745">
        <v>1</v>
      </c>
      <c r="Y1438" s="1202">
        <v>1</v>
      </c>
    </row>
    <row r="1439" spans="21:25" x14ac:dyDescent="0.2">
      <c r="U1439" s="1260">
        <f t="shared" si="134"/>
        <v>867</v>
      </c>
      <c r="V1439" s="745">
        <v>0</v>
      </c>
      <c r="W1439" s="745">
        <v>47</v>
      </c>
      <c r="X1439" s="745">
        <v>1</v>
      </c>
      <c r="Y1439" s="1202">
        <v>1</v>
      </c>
    </row>
    <row r="1440" spans="21:25" x14ac:dyDescent="0.2">
      <c r="U1440" s="1260">
        <f t="shared" si="134"/>
        <v>885</v>
      </c>
      <c r="V1440" s="745">
        <v>0</v>
      </c>
      <c r="W1440" s="745">
        <v>48</v>
      </c>
      <c r="X1440" s="745">
        <v>1</v>
      </c>
      <c r="Y1440" s="1202">
        <v>1</v>
      </c>
    </row>
    <row r="1441" spans="21:25" x14ac:dyDescent="0.2">
      <c r="U1441" s="1260">
        <f t="shared" si="134"/>
        <v>903</v>
      </c>
      <c r="V1441" s="745">
        <v>0</v>
      </c>
      <c r="W1441" s="745">
        <v>49</v>
      </c>
      <c r="X1441" s="745">
        <v>1</v>
      </c>
      <c r="Y1441" s="1202">
        <v>1</v>
      </c>
    </row>
    <row r="1442" spans="21:25" x14ac:dyDescent="0.2">
      <c r="U1442" s="1260">
        <f t="shared" si="134"/>
        <v>921</v>
      </c>
      <c r="V1442" s="745">
        <v>0</v>
      </c>
      <c r="W1442" s="745">
        <v>50</v>
      </c>
      <c r="X1442" s="745">
        <v>1</v>
      </c>
      <c r="Y1442" s="1202">
        <v>1</v>
      </c>
    </row>
    <row r="1443" spans="21:25" x14ac:dyDescent="0.2">
      <c r="U1443" s="1260">
        <f t="shared" si="134"/>
        <v>939</v>
      </c>
      <c r="V1443" s="745">
        <v>0</v>
      </c>
      <c r="W1443" s="745">
        <v>51</v>
      </c>
      <c r="X1443" s="745">
        <v>1</v>
      </c>
      <c r="Y1443" s="1202">
        <v>1</v>
      </c>
    </row>
    <row r="1444" spans="21:25" x14ac:dyDescent="0.2">
      <c r="U1444" s="1260">
        <f t="shared" si="134"/>
        <v>957</v>
      </c>
      <c r="V1444" s="745">
        <v>0</v>
      </c>
      <c r="W1444" s="745">
        <v>52</v>
      </c>
      <c r="X1444" s="745">
        <v>1</v>
      </c>
      <c r="Y1444" s="1202">
        <v>1</v>
      </c>
    </row>
    <row r="1445" spans="21:25" x14ac:dyDescent="0.2">
      <c r="U1445" s="1260">
        <f t="shared" si="134"/>
        <v>975</v>
      </c>
      <c r="V1445" s="745">
        <v>0</v>
      </c>
      <c r="W1445" s="745">
        <v>53</v>
      </c>
      <c r="X1445" s="745">
        <v>1</v>
      </c>
      <c r="Y1445" s="1202">
        <v>1</v>
      </c>
    </row>
    <row r="1446" spans="21:25" x14ac:dyDescent="0.2">
      <c r="U1446" s="1260">
        <f t="shared" si="134"/>
        <v>993</v>
      </c>
      <c r="V1446" s="745">
        <v>0</v>
      </c>
      <c r="W1446" s="745">
        <v>54</v>
      </c>
      <c r="X1446" s="745">
        <v>1</v>
      </c>
      <c r="Y1446" s="1202">
        <v>1</v>
      </c>
    </row>
    <row r="1447" spans="21:25" x14ac:dyDescent="0.2">
      <c r="U1447" s="1260">
        <f t="shared" si="134"/>
        <v>1011</v>
      </c>
      <c r="V1447" s="745">
        <v>0</v>
      </c>
      <c r="W1447" s="745">
        <v>55</v>
      </c>
      <c r="X1447" s="745">
        <v>1</v>
      </c>
      <c r="Y1447" s="1202">
        <v>1</v>
      </c>
    </row>
    <row r="1448" spans="21:25" x14ac:dyDescent="0.2">
      <c r="U1448" s="1260">
        <f t="shared" si="134"/>
        <v>1029</v>
      </c>
      <c r="V1448" s="745">
        <v>0</v>
      </c>
      <c r="W1448" s="745">
        <v>56</v>
      </c>
      <c r="X1448" s="745">
        <v>1</v>
      </c>
      <c r="Y1448" s="1202">
        <v>1</v>
      </c>
    </row>
    <row r="1449" spans="21:25" x14ac:dyDescent="0.2">
      <c r="U1449" s="1260">
        <f t="shared" si="134"/>
        <v>52</v>
      </c>
      <c r="V1449" s="745">
        <v>1</v>
      </c>
      <c r="W1449" s="745">
        <v>1</v>
      </c>
      <c r="X1449" s="745">
        <v>1</v>
      </c>
      <c r="Y1449" s="1202">
        <v>1</v>
      </c>
    </row>
    <row r="1450" spans="21:25" x14ac:dyDescent="0.2">
      <c r="U1450" s="1260">
        <f t="shared" si="134"/>
        <v>70</v>
      </c>
      <c r="V1450" s="745">
        <v>1</v>
      </c>
      <c r="W1450" s="745">
        <v>2</v>
      </c>
      <c r="X1450" s="745">
        <v>1</v>
      </c>
      <c r="Y1450" s="1202">
        <v>1</v>
      </c>
    </row>
    <row r="1451" spans="21:25" x14ac:dyDescent="0.2">
      <c r="U1451" s="1260">
        <f t="shared" si="134"/>
        <v>88</v>
      </c>
      <c r="V1451" s="745">
        <v>1</v>
      </c>
      <c r="W1451" s="745">
        <v>3</v>
      </c>
      <c r="X1451" s="745">
        <v>1</v>
      </c>
      <c r="Y1451" s="1202">
        <v>1</v>
      </c>
    </row>
    <row r="1452" spans="21:25" x14ac:dyDescent="0.2">
      <c r="U1452" s="1260">
        <f t="shared" si="134"/>
        <v>106</v>
      </c>
      <c r="V1452" s="745">
        <v>1</v>
      </c>
      <c r="W1452" s="745">
        <v>4</v>
      </c>
      <c r="X1452" s="745">
        <v>1</v>
      </c>
      <c r="Y1452" s="1202">
        <v>1</v>
      </c>
    </row>
    <row r="1453" spans="21:25" x14ac:dyDescent="0.2">
      <c r="U1453" s="1260">
        <f t="shared" si="134"/>
        <v>124</v>
      </c>
      <c r="V1453" s="745">
        <v>1</v>
      </c>
      <c r="W1453" s="745">
        <v>5</v>
      </c>
      <c r="X1453" s="745">
        <v>1</v>
      </c>
      <c r="Y1453" s="1202">
        <v>1</v>
      </c>
    </row>
    <row r="1454" spans="21:25" x14ac:dyDescent="0.2">
      <c r="U1454" s="1260">
        <f t="shared" si="134"/>
        <v>142</v>
      </c>
      <c r="V1454" s="745">
        <v>1</v>
      </c>
      <c r="W1454" s="745">
        <v>6</v>
      </c>
      <c r="X1454" s="745">
        <v>1</v>
      </c>
      <c r="Y1454" s="1202">
        <v>1</v>
      </c>
    </row>
    <row r="1455" spans="21:25" x14ac:dyDescent="0.2">
      <c r="U1455" s="1260">
        <f t="shared" si="134"/>
        <v>160</v>
      </c>
      <c r="V1455" s="745">
        <v>1</v>
      </c>
      <c r="W1455" s="745">
        <v>7</v>
      </c>
      <c r="X1455" s="745">
        <v>1</v>
      </c>
      <c r="Y1455" s="1202">
        <v>1</v>
      </c>
    </row>
    <row r="1456" spans="21:25" x14ac:dyDescent="0.2">
      <c r="U1456" s="1260">
        <f t="shared" si="134"/>
        <v>178</v>
      </c>
      <c r="V1456" s="745">
        <v>1</v>
      </c>
      <c r="W1456" s="745">
        <v>8</v>
      </c>
      <c r="X1456" s="745">
        <v>1</v>
      </c>
      <c r="Y1456" s="1202">
        <v>1</v>
      </c>
    </row>
    <row r="1457" spans="21:25" x14ac:dyDescent="0.2">
      <c r="U1457" s="1260">
        <f t="shared" si="134"/>
        <v>196</v>
      </c>
      <c r="V1457" s="745">
        <v>1</v>
      </c>
      <c r="W1457" s="745">
        <v>9</v>
      </c>
      <c r="X1457" s="745">
        <v>1</v>
      </c>
      <c r="Y1457" s="1202">
        <v>1</v>
      </c>
    </row>
    <row r="1458" spans="21:25" x14ac:dyDescent="0.2">
      <c r="U1458" s="1260">
        <f t="shared" si="134"/>
        <v>214</v>
      </c>
      <c r="V1458" s="745">
        <v>1</v>
      </c>
      <c r="W1458" s="745">
        <v>10</v>
      </c>
      <c r="X1458" s="745">
        <v>1</v>
      </c>
      <c r="Y1458" s="1202">
        <v>1</v>
      </c>
    </row>
    <row r="1459" spans="21:25" x14ac:dyDescent="0.2">
      <c r="U1459" s="1260">
        <f t="shared" si="134"/>
        <v>232</v>
      </c>
      <c r="V1459" s="745">
        <v>1</v>
      </c>
      <c r="W1459" s="745">
        <v>11</v>
      </c>
      <c r="X1459" s="745">
        <v>1</v>
      </c>
      <c r="Y1459" s="1202">
        <v>1</v>
      </c>
    </row>
    <row r="1460" spans="21:25" x14ac:dyDescent="0.2">
      <c r="U1460" s="1260">
        <f t="shared" si="134"/>
        <v>250</v>
      </c>
      <c r="V1460" s="745">
        <v>1</v>
      </c>
      <c r="W1460" s="745">
        <v>12</v>
      </c>
      <c r="X1460" s="745">
        <v>1</v>
      </c>
      <c r="Y1460" s="1202">
        <v>1</v>
      </c>
    </row>
    <row r="1461" spans="21:25" x14ac:dyDescent="0.2">
      <c r="U1461" s="1260">
        <f t="shared" si="134"/>
        <v>268</v>
      </c>
      <c r="V1461" s="745">
        <v>1</v>
      </c>
      <c r="W1461" s="745">
        <v>13</v>
      </c>
      <c r="X1461" s="745">
        <v>1</v>
      </c>
      <c r="Y1461" s="1202">
        <v>1</v>
      </c>
    </row>
    <row r="1462" spans="21:25" x14ac:dyDescent="0.2">
      <c r="U1462" s="1260">
        <f t="shared" si="134"/>
        <v>286</v>
      </c>
      <c r="V1462" s="745">
        <v>1</v>
      </c>
      <c r="W1462" s="745">
        <v>14</v>
      </c>
      <c r="X1462" s="745">
        <v>1</v>
      </c>
      <c r="Y1462" s="1202">
        <v>1</v>
      </c>
    </row>
    <row r="1463" spans="21:25" x14ac:dyDescent="0.2">
      <c r="U1463" s="1260">
        <f t="shared" si="134"/>
        <v>304</v>
      </c>
      <c r="V1463" s="745">
        <v>1</v>
      </c>
      <c r="W1463" s="745">
        <v>15</v>
      </c>
      <c r="X1463" s="745">
        <v>1</v>
      </c>
      <c r="Y1463" s="1202">
        <v>1</v>
      </c>
    </row>
    <row r="1464" spans="21:25" x14ac:dyDescent="0.2">
      <c r="U1464" s="1260">
        <f t="shared" si="134"/>
        <v>322</v>
      </c>
      <c r="V1464" s="745">
        <v>1</v>
      </c>
      <c r="W1464" s="745">
        <v>16</v>
      </c>
      <c r="X1464" s="745">
        <v>1</v>
      </c>
      <c r="Y1464" s="1202">
        <v>1</v>
      </c>
    </row>
    <row r="1465" spans="21:25" x14ac:dyDescent="0.2">
      <c r="U1465" s="1260">
        <f t="shared" si="134"/>
        <v>340</v>
      </c>
      <c r="V1465" s="745">
        <v>1</v>
      </c>
      <c r="W1465" s="745">
        <v>17</v>
      </c>
      <c r="X1465" s="745">
        <v>1</v>
      </c>
      <c r="Y1465" s="1202">
        <v>1</v>
      </c>
    </row>
    <row r="1466" spans="21:25" x14ac:dyDescent="0.2">
      <c r="U1466" s="1260">
        <f t="shared" si="134"/>
        <v>358</v>
      </c>
      <c r="V1466" s="745">
        <v>1</v>
      </c>
      <c r="W1466" s="745">
        <v>18</v>
      </c>
      <c r="X1466" s="745">
        <v>1</v>
      </c>
      <c r="Y1466" s="1202">
        <v>1</v>
      </c>
    </row>
    <row r="1467" spans="21:25" x14ac:dyDescent="0.2">
      <c r="U1467" s="1260">
        <f t="shared" si="134"/>
        <v>376</v>
      </c>
      <c r="V1467" s="745">
        <v>1</v>
      </c>
      <c r="W1467" s="745">
        <v>19</v>
      </c>
      <c r="X1467" s="745">
        <v>1</v>
      </c>
      <c r="Y1467" s="1202">
        <v>1</v>
      </c>
    </row>
    <row r="1468" spans="21:25" x14ac:dyDescent="0.2">
      <c r="U1468" s="1260">
        <f t="shared" si="134"/>
        <v>394</v>
      </c>
      <c r="V1468" s="745">
        <v>1</v>
      </c>
      <c r="W1468" s="745">
        <v>20</v>
      </c>
      <c r="X1468" s="745">
        <v>1</v>
      </c>
      <c r="Y1468" s="1202">
        <v>1</v>
      </c>
    </row>
    <row r="1469" spans="21:25" x14ac:dyDescent="0.2">
      <c r="U1469" s="1260">
        <f t="shared" si="134"/>
        <v>412</v>
      </c>
      <c r="V1469" s="745">
        <v>1</v>
      </c>
      <c r="W1469" s="745">
        <v>21</v>
      </c>
      <c r="X1469" s="745">
        <v>1</v>
      </c>
      <c r="Y1469" s="1202">
        <v>1</v>
      </c>
    </row>
    <row r="1470" spans="21:25" x14ac:dyDescent="0.2">
      <c r="U1470" s="1260">
        <f t="shared" si="134"/>
        <v>430</v>
      </c>
      <c r="V1470" s="745">
        <v>1</v>
      </c>
      <c r="W1470" s="745">
        <v>22</v>
      </c>
      <c r="X1470" s="745">
        <v>1</v>
      </c>
      <c r="Y1470" s="1202">
        <v>1</v>
      </c>
    </row>
    <row r="1471" spans="21:25" x14ac:dyDescent="0.2">
      <c r="U1471" s="1260">
        <f t="shared" si="134"/>
        <v>448</v>
      </c>
      <c r="V1471" s="745">
        <v>1</v>
      </c>
      <c r="W1471" s="745">
        <v>23</v>
      </c>
      <c r="X1471" s="745">
        <v>1</v>
      </c>
      <c r="Y1471" s="1202">
        <v>1</v>
      </c>
    </row>
    <row r="1472" spans="21:25" x14ac:dyDescent="0.2">
      <c r="U1472" s="1260">
        <f t="shared" si="134"/>
        <v>466</v>
      </c>
      <c r="V1472" s="745">
        <v>1</v>
      </c>
      <c r="W1472" s="745">
        <v>24</v>
      </c>
      <c r="X1472" s="745">
        <v>1</v>
      </c>
      <c r="Y1472" s="1202">
        <v>1</v>
      </c>
    </row>
    <row r="1473" spans="21:25" x14ac:dyDescent="0.2">
      <c r="U1473" s="1260">
        <f t="shared" si="134"/>
        <v>484</v>
      </c>
      <c r="V1473" s="745">
        <v>1</v>
      </c>
      <c r="W1473" s="745">
        <v>25</v>
      </c>
      <c r="X1473" s="745">
        <v>1</v>
      </c>
      <c r="Y1473" s="1202">
        <v>1</v>
      </c>
    </row>
    <row r="1474" spans="21:25" x14ac:dyDescent="0.2">
      <c r="U1474" s="1260">
        <f t="shared" si="134"/>
        <v>502</v>
      </c>
      <c r="V1474" s="745">
        <v>1</v>
      </c>
      <c r="W1474" s="745">
        <v>26</v>
      </c>
      <c r="X1474" s="745">
        <v>1</v>
      </c>
      <c r="Y1474" s="1202">
        <v>1</v>
      </c>
    </row>
    <row r="1475" spans="21:25" x14ac:dyDescent="0.2">
      <c r="U1475" s="1260">
        <f t="shared" si="134"/>
        <v>520</v>
      </c>
      <c r="V1475" s="745">
        <v>1</v>
      </c>
      <c r="W1475" s="745">
        <v>27</v>
      </c>
      <c r="X1475" s="745">
        <v>1</v>
      </c>
      <c r="Y1475" s="1202">
        <v>1</v>
      </c>
    </row>
    <row r="1476" spans="21:25" x14ac:dyDescent="0.2">
      <c r="U1476" s="1260">
        <f t="shared" ref="U1476:U1539" si="135">ROUNDUP(W1476*$W$294+V1476*$V$294+X1476*$X$294+Y1476*$Y$294,0)</f>
        <v>538</v>
      </c>
      <c r="V1476" s="745">
        <v>1</v>
      </c>
      <c r="W1476" s="745">
        <v>28</v>
      </c>
      <c r="X1476" s="745">
        <v>1</v>
      </c>
      <c r="Y1476" s="1202">
        <v>1</v>
      </c>
    </row>
    <row r="1477" spans="21:25" x14ac:dyDescent="0.2">
      <c r="U1477" s="1260">
        <f t="shared" si="135"/>
        <v>556</v>
      </c>
      <c r="V1477" s="745">
        <v>1</v>
      </c>
      <c r="W1477" s="745">
        <v>29</v>
      </c>
      <c r="X1477" s="745">
        <v>1</v>
      </c>
      <c r="Y1477" s="1202">
        <v>1</v>
      </c>
    </row>
    <row r="1478" spans="21:25" x14ac:dyDescent="0.2">
      <c r="U1478" s="1260">
        <f t="shared" si="135"/>
        <v>574</v>
      </c>
      <c r="V1478" s="745">
        <v>1</v>
      </c>
      <c r="W1478" s="745">
        <v>30</v>
      </c>
      <c r="X1478" s="745">
        <v>1</v>
      </c>
      <c r="Y1478" s="1202">
        <v>1</v>
      </c>
    </row>
    <row r="1479" spans="21:25" x14ac:dyDescent="0.2">
      <c r="U1479" s="1260">
        <f t="shared" si="135"/>
        <v>592</v>
      </c>
      <c r="V1479" s="745">
        <v>1</v>
      </c>
      <c r="W1479" s="745">
        <v>31</v>
      </c>
      <c r="X1479" s="745">
        <v>1</v>
      </c>
      <c r="Y1479" s="1202">
        <v>1</v>
      </c>
    </row>
    <row r="1480" spans="21:25" x14ac:dyDescent="0.2">
      <c r="U1480" s="1260">
        <f t="shared" si="135"/>
        <v>610</v>
      </c>
      <c r="V1480" s="745">
        <v>1</v>
      </c>
      <c r="W1480" s="745">
        <v>32</v>
      </c>
      <c r="X1480" s="745">
        <v>1</v>
      </c>
      <c r="Y1480" s="1202">
        <v>1</v>
      </c>
    </row>
    <row r="1481" spans="21:25" x14ac:dyDescent="0.2">
      <c r="U1481" s="1260">
        <f t="shared" si="135"/>
        <v>628</v>
      </c>
      <c r="V1481" s="745">
        <v>1</v>
      </c>
      <c r="W1481" s="745">
        <v>33</v>
      </c>
      <c r="X1481" s="745">
        <v>1</v>
      </c>
      <c r="Y1481" s="1202">
        <v>1</v>
      </c>
    </row>
    <row r="1482" spans="21:25" x14ac:dyDescent="0.2">
      <c r="U1482" s="1260">
        <f t="shared" si="135"/>
        <v>646</v>
      </c>
      <c r="V1482" s="745">
        <v>1</v>
      </c>
      <c r="W1482" s="745">
        <v>34</v>
      </c>
      <c r="X1482" s="745">
        <v>1</v>
      </c>
      <c r="Y1482" s="1202">
        <v>1</v>
      </c>
    </row>
    <row r="1483" spans="21:25" x14ac:dyDescent="0.2">
      <c r="U1483" s="1260">
        <f t="shared" si="135"/>
        <v>664</v>
      </c>
      <c r="V1483" s="745">
        <v>1</v>
      </c>
      <c r="W1483" s="745">
        <v>35</v>
      </c>
      <c r="X1483" s="745">
        <v>1</v>
      </c>
      <c r="Y1483" s="1202">
        <v>1</v>
      </c>
    </row>
    <row r="1484" spans="21:25" x14ac:dyDescent="0.2">
      <c r="U1484" s="1260">
        <f t="shared" si="135"/>
        <v>682</v>
      </c>
      <c r="V1484" s="745">
        <v>1</v>
      </c>
      <c r="W1484" s="745">
        <v>36</v>
      </c>
      <c r="X1484" s="745">
        <v>1</v>
      </c>
      <c r="Y1484" s="1202">
        <v>1</v>
      </c>
    </row>
    <row r="1485" spans="21:25" x14ac:dyDescent="0.2">
      <c r="U1485" s="1260">
        <f t="shared" si="135"/>
        <v>700</v>
      </c>
      <c r="V1485" s="745">
        <v>1</v>
      </c>
      <c r="W1485" s="745">
        <v>37</v>
      </c>
      <c r="X1485" s="745">
        <v>1</v>
      </c>
      <c r="Y1485" s="1202">
        <v>1</v>
      </c>
    </row>
    <row r="1486" spans="21:25" x14ac:dyDescent="0.2">
      <c r="U1486" s="1260">
        <f t="shared" si="135"/>
        <v>718</v>
      </c>
      <c r="V1486" s="745">
        <v>1</v>
      </c>
      <c r="W1486" s="745">
        <v>38</v>
      </c>
      <c r="X1486" s="745">
        <v>1</v>
      </c>
      <c r="Y1486" s="1202">
        <v>1</v>
      </c>
    </row>
    <row r="1487" spans="21:25" x14ac:dyDescent="0.2">
      <c r="U1487" s="1260">
        <f t="shared" si="135"/>
        <v>736</v>
      </c>
      <c r="V1487" s="745">
        <v>1</v>
      </c>
      <c r="W1487" s="745">
        <v>39</v>
      </c>
      <c r="X1487" s="745">
        <v>1</v>
      </c>
      <c r="Y1487" s="1202">
        <v>1</v>
      </c>
    </row>
    <row r="1488" spans="21:25" x14ac:dyDescent="0.2">
      <c r="U1488" s="1260">
        <f t="shared" si="135"/>
        <v>754</v>
      </c>
      <c r="V1488" s="745">
        <v>1</v>
      </c>
      <c r="W1488" s="745">
        <v>40</v>
      </c>
      <c r="X1488" s="745">
        <v>1</v>
      </c>
      <c r="Y1488" s="1202">
        <v>1</v>
      </c>
    </row>
    <row r="1489" spans="21:25" x14ac:dyDescent="0.2">
      <c r="U1489" s="1260">
        <f t="shared" si="135"/>
        <v>772</v>
      </c>
      <c r="V1489" s="745">
        <v>1</v>
      </c>
      <c r="W1489" s="745">
        <v>41</v>
      </c>
      <c r="X1489" s="745">
        <v>1</v>
      </c>
      <c r="Y1489" s="1202">
        <v>1</v>
      </c>
    </row>
    <row r="1490" spans="21:25" x14ac:dyDescent="0.2">
      <c r="U1490" s="1260">
        <f t="shared" si="135"/>
        <v>790</v>
      </c>
      <c r="V1490" s="745">
        <v>1</v>
      </c>
      <c r="W1490" s="745">
        <v>42</v>
      </c>
      <c r="X1490" s="745">
        <v>1</v>
      </c>
      <c r="Y1490" s="1202">
        <v>1</v>
      </c>
    </row>
    <row r="1491" spans="21:25" x14ac:dyDescent="0.2">
      <c r="U1491" s="1260">
        <f t="shared" si="135"/>
        <v>808</v>
      </c>
      <c r="V1491" s="745">
        <v>1</v>
      </c>
      <c r="W1491" s="745">
        <v>43</v>
      </c>
      <c r="X1491" s="745">
        <v>1</v>
      </c>
      <c r="Y1491" s="1202">
        <v>1</v>
      </c>
    </row>
    <row r="1492" spans="21:25" x14ac:dyDescent="0.2">
      <c r="U1492" s="1260">
        <f t="shared" si="135"/>
        <v>826</v>
      </c>
      <c r="V1492" s="745">
        <v>1</v>
      </c>
      <c r="W1492" s="745">
        <v>44</v>
      </c>
      <c r="X1492" s="745">
        <v>1</v>
      </c>
      <c r="Y1492" s="1202">
        <v>1</v>
      </c>
    </row>
    <row r="1493" spans="21:25" x14ac:dyDescent="0.2">
      <c r="U1493" s="1260">
        <f t="shared" si="135"/>
        <v>844</v>
      </c>
      <c r="V1493" s="745">
        <v>1</v>
      </c>
      <c r="W1493" s="745">
        <v>45</v>
      </c>
      <c r="X1493" s="745">
        <v>1</v>
      </c>
      <c r="Y1493" s="1202">
        <v>1</v>
      </c>
    </row>
    <row r="1494" spans="21:25" x14ac:dyDescent="0.2">
      <c r="U1494" s="1260">
        <f t="shared" si="135"/>
        <v>862</v>
      </c>
      <c r="V1494" s="745">
        <v>1</v>
      </c>
      <c r="W1494" s="745">
        <v>46</v>
      </c>
      <c r="X1494" s="745">
        <v>1</v>
      </c>
      <c r="Y1494" s="1202">
        <v>1</v>
      </c>
    </row>
    <row r="1495" spans="21:25" x14ac:dyDescent="0.2">
      <c r="U1495" s="1260">
        <f t="shared" si="135"/>
        <v>880</v>
      </c>
      <c r="V1495" s="745">
        <v>1</v>
      </c>
      <c r="W1495" s="745">
        <v>47</v>
      </c>
      <c r="X1495" s="745">
        <v>1</v>
      </c>
      <c r="Y1495" s="1202">
        <v>1</v>
      </c>
    </row>
    <row r="1496" spans="21:25" x14ac:dyDescent="0.2">
      <c r="U1496" s="1260">
        <f t="shared" si="135"/>
        <v>898</v>
      </c>
      <c r="V1496" s="745">
        <v>1</v>
      </c>
      <c r="W1496" s="745">
        <v>48</v>
      </c>
      <c r="X1496" s="745">
        <v>1</v>
      </c>
      <c r="Y1496" s="1202">
        <v>1</v>
      </c>
    </row>
    <row r="1497" spans="21:25" x14ac:dyDescent="0.2">
      <c r="U1497" s="1260">
        <f t="shared" si="135"/>
        <v>916</v>
      </c>
      <c r="V1497" s="745">
        <v>1</v>
      </c>
      <c r="W1497" s="745">
        <v>49</v>
      </c>
      <c r="X1497" s="745">
        <v>1</v>
      </c>
      <c r="Y1497" s="1202">
        <v>1</v>
      </c>
    </row>
    <row r="1498" spans="21:25" x14ac:dyDescent="0.2">
      <c r="U1498" s="1260">
        <f t="shared" si="135"/>
        <v>934</v>
      </c>
      <c r="V1498" s="745">
        <v>1</v>
      </c>
      <c r="W1498" s="745">
        <v>50</v>
      </c>
      <c r="X1498" s="745">
        <v>1</v>
      </c>
      <c r="Y1498" s="1202">
        <v>1</v>
      </c>
    </row>
    <row r="1499" spans="21:25" x14ac:dyDescent="0.2">
      <c r="U1499" s="1260">
        <f t="shared" si="135"/>
        <v>952</v>
      </c>
      <c r="V1499" s="745">
        <v>1</v>
      </c>
      <c r="W1499" s="745">
        <v>51</v>
      </c>
      <c r="X1499" s="745">
        <v>1</v>
      </c>
      <c r="Y1499" s="1202">
        <v>1</v>
      </c>
    </row>
    <row r="1500" spans="21:25" x14ac:dyDescent="0.2">
      <c r="U1500" s="1260">
        <f t="shared" si="135"/>
        <v>970</v>
      </c>
      <c r="V1500" s="745">
        <v>1</v>
      </c>
      <c r="W1500" s="745">
        <v>52</v>
      </c>
      <c r="X1500" s="745">
        <v>1</v>
      </c>
      <c r="Y1500" s="1202">
        <v>1</v>
      </c>
    </row>
    <row r="1501" spans="21:25" x14ac:dyDescent="0.2">
      <c r="U1501" s="1260">
        <f t="shared" si="135"/>
        <v>988</v>
      </c>
      <c r="V1501" s="745">
        <v>1</v>
      </c>
      <c r="W1501" s="745">
        <v>53</v>
      </c>
      <c r="X1501" s="745">
        <v>1</v>
      </c>
      <c r="Y1501" s="1202">
        <v>1</v>
      </c>
    </row>
    <row r="1502" spans="21:25" x14ac:dyDescent="0.2">
      <c r="U1502" s="1260">
        <f t="shared" si="135"/>
        <v>1006</v>
      </c>
      <c r="V1502" s="745">
        <v>1</v>
      </c>
      <c r="W1502" s="745">
        <v>54</v>
      </c>
      <c r="X1502" s="745">
        <v>1</v>
      </c>
      <c r="Y1502" s="1202">
        <v>1</v>
      </c>
    </row>
    <row r="1503" spans="21:25" x14ac:dyDescent="0.2">
      <c r="U1503" s="1260">
        <f t="shared" si="135"/>
        <v>1024</v>
      </c>
      <c r="V1503" s="745">
        <v>1</v>
      </c>
      <c r="W1503" s="745">
        <v>55</v>
      </c>
      <c r="X1503" s="745">
        <v>1</v>
      </c>
      <c r="Y1503" s="1202">
        <v>1</v>
      </c>
    </row>
    <row r="1504" spans="21:25" x14ac:dyDescent="0.2">
      <c r="U1504" s="1260">
        <f t="shared" si="135"/>
        <v>64</v>
      </c>
      <c r="V1504" s="745">
        <v>2</v>
      </c>
      <c r="W1504" s="745">
        <v>1</v>
      </c>
      <c r="X1504" s="745">
        <v>1</v>
      </c>
      <c r="Y1504" s="1202">
        <v>1</v>
      </c>
    </row>
    <row r="1505" spans="21:25" x14ac:dyDescent="0.2">
      <c r="U1505" s="1260">
        <f t="shared" si="135"/>
        <v>82</v>
      </c>
      <c r="V1505" s="745">
        <v>2</v>
      </c>
      <c r="W1505" s="745">
        <v>2</v>
      </c>
      <c r="X1505" s="745">
        <v>1</v>
      </c>
      <c r="Y1505" s="1202">
        <v>1</v>
      </c>
    </row>
    <row r="1506" spans="21:25" x14ac:dyDescent="0.2">
      <c r="U1506" s="1260">
        <f t="shared" si="135"/>
        <v>100</v>
      </c>
      <c r="V1506" s="745">
        <v>2</v>
      </c>
      <c r="W1506" s="745">
        <v>3</v>
      </c>
      <c r="X1506" s="745">
        <v>1</v>
      </c>
      <c r="Y1506" s="1202">
        <v>1</v>
      </c>
    </row>
    <row r="1507" spans="21:25" x14ac:dyDescent="0.2">
      <c r="U1507" s="1260">
        <f t="shared" si="135"/>
        <v>118</v>
      </c>
      <c r="V1507" s="745">
        <v>2</v>
      </c>
      <c r="W1507" s="745">
        <v>4</v>
      </c>
      <c r="X1507" s="745">
        <v>1</v>
      </c>
      <c r="Y1507" s="1202">
        <v>1</v>
      </c>
    </row>
    <row r="1508" spans="21:25" x14ac:dyDescent="0.2">
      <c r="U1508" s="1260">
        <f t="shared" si="135"/>
        <v>136</v>
      </c>
      <c r="V1508" s="745">
        <v>2</v>
      </c>
      <c r="W1508" s="745">
        <v>5</v>
      </c>
      <c r="X1508" s="745">
        <v>1</v>
      </c>
      <c r="Y1508" s="1202">
        <v>1</v>
      </c>
    </row>
    <row r="1509" spans="21:25" x14ac:dyDescent="0.2">
      <c r="U1509" s="1260">
        <f t="shared" si="135"/>
        <v>154</v>
      </c>
      <c r="V1509" s="745">
        <v>2</v>
      </c>
      <c r="W1509" s="745">
        <v>6</v>
      </c>
      <c r="X1509" s="745">
        <v>1</v>
      </c>
      <c r="Y1509" s="1202">
        <v>1</v>
      </c>
    </row>
    <row r="1510" spans="21:25" x14ac:dyDescent="0.2">
      <c r="U1510" s="1260">
        <f t="shared" si="135"/>
        <v>172</v>
      </c>
      <c r="V1510" s="745">
        <v>2</v>
      </c>
      <c r="W1510" s="745">
        <v>7</v>
      </c>
      <c r="X1510" s="745">
        <v>1</v>
      </c>
      <c r="Y1510" s="1202">
        <v>1</v>
      </c>
    </row>
    <row r="1511" spans="21:25" x14ac:dyDescent="0.2">
      <c r="U1511" s="1260">
        <f t="shared" si="135"/>
        <v>190</v>
      </c>
      <c r="V1511" s="745">
        <v>2</v>
      </c>
      <c r="W1511" s="745">
        <v>8</v>
      </c>
      <c r="X1511" s="745">
        <v>1</v>
      </c>
      <c r="Y1511" s="1202">
        <v>1</v>
      </c>
    </row>
    <row r="1512" spans="21:25" x14ac:dyDescent="0.2">
      <c r="U1512" s="1260">
        <f t="shared" si="135"/>
        <v>208</v>
      </c>
      <c r="V1512" s="745">
        <v>2</v>
      </c>
      <c r="W1512" s="745">
        <v>9</v>
      </c>
      <c r="X1512" s="745">
        <v>1</v>
      </c>
      <c r="Y1512" s="1202">
        <v>1</v>
      </c>
    </row>
    <row r="1513" spans="21:25" x14ac:dyDescent="0.2">
      <c r="U1513" s="1260">
        <f t="shared" si="135"/>
        <v>226</v>
      </c>
      <c r="V1513" s="745">
        <v>2</v>
      </c>
      <c r="W1513" s="745">
        <v>10</v>
      </c>
      <c r="X1513" s="745">
        <v>1</v>
      </c>
      <c r="Y1513" s="1202">
        <v>1</v>
      </c>
    </row>
    <row r="1514" spans="21:25" x14ac:dyDescent="0.2">
      <c r="U1514" s="1260">
        <f t="shared" si="135"/>
        <v>244</v>
      </c>
      <c r="V1514" s="745">
        <v>2</v>
      </c>
      <c r="W1514" s="745">
        <v>11</v>
      </c>
      <c r="X1514" s="745">
        <v>1</v>
      </c>
      <c r="Y1514" s="1202">
        <v>1</v>
      </c>
    </row>
    <row r="1515" spans="21:25" x14ac:dyDescent="0.2">
      <c r="U1515" s="1260">
        <f t="shared" si="135"/>
        <v>262</v>
      </c>
      <c r="V1515" s="745">
        <v>2</v>
      </c>
      <c r="W1515" s="745">
        <v>12</v>
      </c>
      <c r="X1515" s="745">
        <v>1</v>
      </c>
      <c r="Y1515" s="1202">
        <v>1</v>
      </c>
    </row>
    <row r="1516" spans="21:25" x14ac:dyDescent="0.2">
      <c r="U1516" s="1260">
        <f t="shared" si="135"/>
        <v>280</v>
      </c>
      <c r="V1516" s="745">
        <v>2</v>
      </c>
      <c r="W1516" s="745">
        <v>13</v>
      </c>
      <c r="X1516" s="745">
        <v>1</v>
      </c>
      <c r="Y1516" s="1202">
        <v>1</v>
      </c>
    </row>
    <row r="1517" spans="21:25" x14ac:dyDescent="0.2">
      <c r="U1517" s="1260">
        <f t="shared" si="135"/>
        <v>298</v>
      </c>
      <c r="V1517" s="745">
        <v>2</v>
      </c>
      <c r="W1517" s="745">
        <v>14</v>
      </c>
      <c r="X1517" s="745">
        <v>1</v>
      </c>
      <c r="Y1517" s="1202">
        <v>1</v>
      </c>
    </row>
    <row r="1518" spans="21:25" x14ac:dyDescent="0.2">
      <c r="U1518" s="1260">
        <f t="shared" si="135"/>
        <v>316</v>
      </c>
      <c r="V1518" s="745">
        <v>2</v>
      </c>
      <c r="W1518" s="745">
        <v>15</v>
      </c>
      <c r="X1518" s="745">
        <v>1</v>
      </c>
      <c r="Y1518" s="1202">
        <v>1</v>
      </c>
    </row>
    <row r="1519" spans="21:25" x14ac:dyDescent="0.2">
      <c r="U1519" s="1260">
        <f t="shared" si="135"/>
        <v>334</v>
      </c>
      <c r="V1519" s="745">
        <v>2</v>
      </c>
      <c r="W1519" s="745">
        <v>16</v>
      </c>
      <c r="X1519" s="745">
        <v>1</v>
      </c>
      <c r="Y1519" s="1202">
        <v>1</v>
      </c>
    </row>
    <row r="1520" spans="21:25" x14ac:dyDescent="0.2">
      <c r="U1520" s="1260">
        <f t="shared" si="135"/>
        <v>352</v>
      </c>
      <c r="V1520" s="745">
        <v>2</v>
      </c>
      <c r="W1520" s="745">
        <v>17</v>
      </c>
      <c r="X1520" s="745">
        <v>1</v>
      </c>
      <c r="Y1520" s="1202">
        <v>1</v>
      </c>
    </row>
    <row r="1521" spans="21:25" x14ac:dyDescent="0.2">
      <c r="U1521" s="1260">
        <f t="shared" si="135"/>
        <v>370</v>
      </c>
      <c r="V1521" s="745">
        <v>2</v>
      </c>
      <c r="W1521" s="745">
        <v>18</v>
      </c>
      <c r="X1521" s="745">
        <v>1</v>
      </c>
      <c r="Y1521" s="1202">
        <v>1</v>
      </c>
    </row>
    <row r="1522" spans="21:25" x14ac:dyDescent="0.2">
      <c r="U1522" s="1260">
        <f t="shared" si="135"/>
        <v>388</v>
      </c>
      <c r="V1522" s="745">
        <v>2</v>
      </c>
      <c r="W1522" s="745">
        <v>19</v>
      </c>
      <c r="X1522" s="745">
        <v>1</v>
      </c>
      <c r="Y1522" s="1202">
        <v>1</v>
      </c>
    </row>
    <row r="1523" spans="21:25" x14ac:dyDescent="0.2">
      <c r="U1523" s="1260">
        <f t="shared" si="135"/>
        <v>406</v>
      </c>
      <c r="V1523" s="745">
        <v>2</v>
      </c>
      <c r="W1523" s="745">
        <v>20</v>
      </c>
      <c r="X1523" s="745">
        <v>1</v>
      </c>
      <c r="Y1523" s="1202">
        <v>1</v>
      </c>
    </row>
    <row r="1524" spans="21:25" x14ac:dyDescent="0.2">
      <c r="U1524" s="1260">
        <f t="shared" si="135"/>
        <v>424</v>
      </c>
      <c r="V1524" s="745">
        <v>2</v>
      </c>
      <c r="W1524" s="745">
        <v>21</v>
      </c>
      <c r="X1524" s="745">
        <v>1</v>
      </c>
      <c r="Y1524" s="1202">
        <v>1</v>
      </c>
    </row>
    <row r="1525" spans="21:25" x14ac:dyDescent="0.2">
      <c r="U1525" s="1260">
        <f t="shared" si="135"/>
        <v>442</v>
      </c>
      <c r="V1525" s="745">
        <v>2</v>
      </c>
      <c r="W1525" s="745">
        <v>22</v>
      </c>
      <c r="X1525" s="745">
        <v>1</v>
      </c>
      <c r="Y1525" s="1202">
        <v>1</v>
      </c>
    </row>
    <row r="1526" spans="21:25" x14ac:dyDescent="0.2">
      <c r="U1526" s="1260">
        <f t="shared" si="135"/>
        <v>460</v>
      </c>
      <c r="V1526" s="745">
        <v>2</v>
      </c>
      <c r="W1526" s="745">
        <v>23</v>
      </c>
      <c r="X1526" s="745">
        <v>1</v>
      </c>
      <c r="Y1526" s="1202">
        <v>1</v>
      </c>
    </row>
    <row r="1527" spans="21:25" x14ac:dyDescent="0.2">
      <c r="U1527" s="1260">
        <f t="shared" si="135"/>
        <v>478</v>
      </c>
      <c r="V1527" s="745">
        <v>2</v>
      </c>
      <c r="W1527" s="745">
        <v>24</v>
      </c>
      <c r="X1527" s="745">
        <v>1</v>
      </c>
      <c r="Y1527" s="1202">
        <v>1</v>
      </c>
    </row>
    <row r="1528" spans="21:25" x14ac:dyDescent="0.2">
      <c r="U1528" s="1260">
        <f t="shared" si="135"/>
        <v>496</v>
      </c>
      <c r="V1528" s="745">
        <v>2</v>
      </c>
      <c r="W1528" s="745">
        <v>25</v>
      </c>
      <c r="X1528" s="745">
        <v>1</v>
      </c>
      <c r="Y1528" s="1202">
        <v>1</v>
      </c>
    </row>
    <row r="1529" spans="21:25" x14ac:dyDescent="0.2">
      <c r="U1529" s="1260">
        <f t="shared" si="135"/>
        <v>514</v>
      </c>
      <c r="V1529" s="745">
        <v>2</v>
      </c>
      <c r="W1529" s="745">
        <v>26</v>
      </c>
      <c r="X1529" s="745">
        <v>1</v>
      </c>
      <c r="Y1529" s="1202">
        <v>1</v>
      </c>
    </row>
    <row r="1530" spans="21:25" x14ac:dyDescent="0.2">
      <c r="U1530" s="1260">
        <f t="shared" si="135"/>
        <v>532</v>
      </c>
      <c r="V1530" s="745">
        <v>2</v>
      </c>
      <c r="W1530" s="745">
        <v>27</v>
      </c>
      <c r="X1530" s="745">
        <v>1</v>
      </c>
      <c r="Y1530" s="1202">
        <v>1</v>
      </c>
    </row>
    <row r="1531" spans="21:25" x14ac:dyDescent="0.2">
      <c r="U1531" s="1260">
        <f t="shared" si="135"/>
        <v>550</v>
      </c>
      <c r="V1531" s="745">
        <v>2</v>
      </c>
      <c r="W1531" s="745">
        <v>28</v>
      </c>
      <c r="X1531" s="745">
        <v>1</v>
      </c>
      <c r="Y1531" s="1202">
        <v>1</v>
      </c>
    </row>
    <row r="1532" spans="21:25" x14ac:dyDescent="0.2">
      <c r="U1532" s="1260">
        <f t="shared" si="135"/>
        <v>568</v>
      </c>
      <c r="V1532" s="745">
        <v>2</v>
      </c>
      <c r="W1532" s="745">
        <v>29</v>
      </c>
      <c r="X1532" s="745">
        <v>1</v>
      </c>
      <c r="Y1532" s="1202">
        <v>1</v>
      </c>
    </row>
    <row r="1533" spans="21:25" x14ac:dyDescent="0.2">
      <c r="U1533" s="1260">
        <f t="shared" si="135"/>
        <v>586</v>
      </c>
      <c r="V1533" s="745">
        <v>2</v>
      </c>
      <c r="W1533" s="745">
        <v>30</v>
      </c>
      <c r="X1533" s="745">
        <v>1</v>
      </c>
      <c r="Y1533" s="1202">
        <v>1</v>
      </c>
    </row>
    <row r="1534" spans="21:25" x14ac:dyDescent="0.2">
      <c r="U1534" s="1260">
        <f t="shared" si="135"/>
        <v>604</v>
      </c>
      <c r="V1534" s="745">
        <v>2</v>
      </c>
      <c r="W1534" s="745">
        <v>31</v>
      </c>
      <c r="X1534" s="745">
        <v>1</v>
      </c>
      <c r="Y1534" s="1202">
        <v>1</v>
      </c>
    </row>
    <row r="1535" spans="21:25" x14ac:dyDescent="0.2">
      <c r="U1535" s="1260">
        <f t="shared" si="135"/>
        <v>622</v>
      </c>
      <c r="V1535" s="745">
        <v>2</v>
      </c>
      <c r="W1535" s="745">
        <v>32</v>
      </c>
      <c r="X1535" s="745">
        <v>1</v>
      </c>
      <c r="Y1535" s="1202">
        <v>1</v>
      </c>
    </row>
    <row r="1536" spans="21:25" x14ac:dyDescent="0.2">
      <c r="U1536" s="1260">
        <f t="shared" si="135"/>
        <v>640</v>
      </c>
      <c r="V1536" s="745">
        <v>2</v>
      </c>
      <c r="W1536" s="745">
        <v>33</v>
      </c>
      <c r="X1536" s="745">
        <v>1</v>
      </c>
      <c r="Y1536" s="1202">
        <v>1</v>
      </c>
    </row>
    <row r="1537" spans="21:25" x14ac:dyDescent="0.2">
      <c r="U1537" s="1260">
        <f t="shared" si="135"/>
        <v>658</v>
      </c>
      <c r="V1537" s="745">
        <v>2</v>
      </c>
      <c r="W1537" s="745">
        <v>34</v>
      </c>
      <c r="X1537" s="745">
        <v>1</v>
      </c>
      <c r="Y1537" s="1202">
        <v>1</v>
      </c>
    </row>
    <row r="1538" spans="21:25" x14ac:dyDescent="0.2">
      <c r="U1538" s="1260">
        <f t="shared" si="135"/>
        <v>676</v>
      </c>
      <c r="V1538" s="745">
        <v>2</v>
      </c>
      <c r="W1538" s="745">
        <v>35</v>
      </c>
      <c r="X1538" s="745">
        <v>1</v>
      </c>
      <c r="Y1538" s="1202">
        <v>1</v>
      </c>
    </row>
    <row r="1539" spans="21:25" x14ac:dyDescent="0.2">
      <c r="U1539" s="1260">
        <f t="shared" si="135"/>
        <v>694</v>
      </c>
      <c r="V1539" s="745">
        <v>2</v>
      </c>
      <c r="W1539" s="745">
        <v>36</v>
      </c>
      <c r="X1539" s="745">
        <v>1</v>
      </c>
      <c r="Y1539" s="1202">
        <v>1</v>
      </c>
    </row>
    <row r="1540" spans="21:25" x14ac:dyDescent="0.2">
      <c r="U1540" s="1260">
        <f t="shared" ref="U1540:U1603" si="136">ROUNDUP(W1540*$W$294+V1540*$V$294+X1540*$X$294+Y1540*$Y$294,0)</f>
        <v>712</v>
      </c>
      <c r="V1540" s="745">
        <v>2</v>
      </c>
      <c r="W1540" s="745">
        <v>37</v>
      </c>
      <c r="X1540" s="745">
        <v>1</v>
      </c>
      <c r="Y1540" s="1202">
        <v>1</v>
      </c>
    </row>
    <row r="1541" spans="21:25" x14ac:dyDescent="0.2">
      <c r="U1541" s="1260">
        <f t="shared" si="136"/>
        <v>730</v>
      </c>
      <c r="V1541" s="745">
        <v>2</v>
      </c>
      <c r="W1541" s="745">
        <v>38</v>
      </c>
      <c r="X1541" s="745">
        <v>1</v>
      </c>
      <c r="Y1541" s="1202">
        <v>1</v>
      </c>
    </row>
    <row r="1542" spans="21:25" x14ac:dyDescent="0.2">
      <c r="U1542" s="1260">
        <f t="shared" si="136"/>
        <v>748</v>
      </c>
      <c r="V1542" s="745">
        <v>2</v>
      </c>
      <c r="W1542" s="745">
        <v>39</v>
      </c>
      <c r="X1542" s="745">
        <v>1</v>
      </c>
      <c r="Y1542" s="1202">
        <v>1</v>
      </c>
    </row>
    <row r="1543" spans="21:25" x14ac:dyDescent="0.2">
      <c r="U1543" s="1260">
        <f t="shared" si="136"/>
        <v>766</v>
      </c>
      <c r="V1543" s="745">
        <v>2</v>
      </c>
      <c r="W1543" s="745">
        <v>40</v>
      </c>
      <c r="X1543" s="745">
        <v>1</v>
      </c>
      <c r="Y1543" s="1202">
        <v>1</v>
      </c>
    </row>
    <row r="1544" spans="21:25" x14ac:dyDescent="0.2">
      <c r="U1544" s="1260">
        <f t="shared" si="136"/>
        <v>784</v>
      </c>
      <c r="V1544" s="745">
        <v>2</v>
      </c>
      <c r="W1544" s="745">
        <v>41</v>
      </c>
      <c r="X1544" s="745">
        <v>1</v>
      </c>
      <c r="Y1544" s="1202">
        <v>1</v>
      </c>
    </row>
    <row r="1545" spans="21:25" x14ac:dyDescent="0.2">
      <c r="U1545" s="1260">
        <f t="shared" si="136"/>
        <v>802</v>
      </c>
      <c r="V1545" s="745">
        <v>2</v>
      </c>
      <c r="W1545" s="745">
        <v>42</v>
      </c>
      <c r="X1545" s="745">
        <v>1</v>
      </c>
      <c r="Y1545" s="1202">
        <v>1</v>
      </c>
    </row>
    <row r="1546" spans="21:25" x14ac:dyDescent="0.2">
      <c r="U1546" s="1260">
        <f t="shared" si="136"/>
        <v>820</v>
      </c>
      <c r="V1546" s="745">
        <v>2</v>
      </c>
      <c r="W1546" s="745">
        <v>43</v>
      </c>
      <c r="X1546" s="745">
        <v>1</v>
      </c>
      <c r="Y1546" s="1202">
        <v>1</v>
      </c>
    </row>
    <row r="1547" spans="21:25" x14ac:dyDescent="0.2">
      <c r="U1547" s="1260">
        <f t="shared" si="136"/>
        <v>838</v>
      </c>
      <c r="V1547" s="745">
        <v>2</v>
      </c>
      <c r="W1547" s="745">
        <v>44</v>
      </c>
      <c r="X1547" s="745">
        <v>1</v>
      </c>
      <c r="Y1547" s="1202">
        <v>1</v>
      </c>
    </row>
    <row r="1548" spans="21:25" x14ac:dyDescent="0.2">
      <c r="U1548" s="1260">
        <f t="shared" si="136"/>
        <v>856</v>
      </c>
      <c r="V1548" s="745">
        <v>2</v>
      </c>
      <c r="W1548" s="745">
        <v>45</v>
      </c>
      <c r="X1548" s="745">
        <v>1</v>
      </c>
      <c r="Y1548" s="1202">
        <v>1</v>
      </c>
    </row>
    <row r="1549" spans="21:25" x14ac:dyDescent="0.2">
      <c r="U1549" s="1260">
        <f t="shared" si="136"/>
        <v>874</v>
      </c>
      <c r="V1549" s="745">
        <v>2</v>
      </c>
      <c r="W1549" s="745">
        <v>46</v>
      </c>
      <c r="X1549" s="745">
        <v>1</v>
      </c>
      <c r="Y1549" s="1202">
        <v>1</v>
      </c>
    </row>
    <row r="1550" spans="21:25" x14ac:dyDescent="0.2">
      <c r="U1550" s="1260">
        <f t="shared" si="136"/>
        <v>892</v>
      </c>
      <c r="V1550" s="745">
        <v>2</v>
      </c>
      <c r="W1550" s="745">
        <v>47</v>
      </c>
      <c r="X1550" s="745">
        <v>1</v>
      </c>
      <c r="Y1550" s="1202">
        <v>1</v>
      </c>
    </row>
    <row r="1551" spans="21:25" x14ac:dyDescent="0.2">
      <c r="U1551" s="1260">
        <f t="shared" si="136"/>
        <v>910</v>
      </c>
      <c r="V1551" s="745">
        <v>2</v>
      </c>
      <c r="W1551" s="745">
        <v>48</v>
      </c>
      <c r="X1551" s="745">
        <v>1</v>
      </c>
      <c r="Y1551" s="1202">
        <v>1</v>
      </c>
    </row>
    <row r="1552" spans="21:25" x14ac:dyDescent="0.2">
      <c r="U1552" s="1260">
        <f t="shared" si="136"/>
        <v>928</v>
      </c>
      <c r="V1552" s="745">
        <v>2</v>
      </c>
      <c r="W1552" s="745">
        <v>49</v>
      </c>
      <c r="X1552" s="745">
        <v>1</v>
      </c>
      <c r="Y1552" s="1202">
        <v>1</v>
      </c>
    </row>
    <row r="1553" spans="21:25" x14ac:dyDescent="0.2">
      <c r="U1553" s="1260">
        <f t="shared" si="136"/>
        <v>946</v>
      </c>
      <c r="V1553" s="745">
        <v>2</v>
      </c>
      <c r="W1553" s="745">
        <v>50</v>
      </c>
      <c r="X1553" s="745">
        <v>1</v>
      </c>
      <c r="Y1553" s="1202">
        <v>1</v>
      </c>
    </row>
    <row r="1554" spans="21:25" x14ac:dyDescent="0.2">
      <c r="U1554" s="1260">
        <f t="shared" si="136"/>
        <v>964</v>
      </c>
      <c r="V1554" s="745">
        <v>2</v>
      </c>
      <c r="W1554" s="745">
        <v>51</v>
      </c>
      <c r="X1554" s="745">
        <v>1</v>
      </c>
      <c r="Y1554" s="1202">
        <v>1</v>
      </c>
    </row>
    <row r="1555" spans="21:25" x14ac:dyDescent="0.2">
      <c r="U1555" s="1260">
        <f t="shared" si="136"/>
        <v>982</v>
      </c>
      <c r="V1555" s="745">
        <v>2</v>
      </c>
      <c r="W1555" s="745">
        <v>52</v>
      </c>
      <c r="X1555" s="745">
        <v>1</v>
      </c>
      <c r="Y1555" s="1202">
        <v>1</v>
      </c>
    </row>
    <row r="1556" spans="21:25" x14ac:dyDescent="0.2">
      <c r="U1556" s="1260">
        <f t="shared" si="136"/>
        <v>1000</v>
      </c>
      <c r="V1556" s="745">
        <v>2</v>
      </c>
      <c r="W1556" s="745">
        <v>53</v>
      </c>
      <c r="X1556" s="745">
        <v>1</v>
      </c>
      <c r="Y1556" s="1202">
        <v>1</v>
      </c>
    </row>
    <row r="1557" spans="21:25" x14ac:dyDescent="0.2">
      <c r="U1557" s="1260">
        <f t="shared" si="136"/>
        <v>1018</v>
      </c>
      <c r="V1557" s="745">
        <v>2</v>
      </c>
      <c r="W1557" s="745">
        <v>54</v>
      </c>
      <c r="X1557" s="745">
        <v>1</v>
      </c>
      <c r="Y1557" s="1202">
        <v>1</v>
      </c>
    </row>
    <row r="1558" spans="21:25" x14ac:dyDescent="0.2">
      <c r="U1558" s="1260">
        <f t="shared" si="136"/>
        <v>1036</v>
      </c>
      <c r="V1558" s="745">
        <v>2</v>
      </c>
      <c r="W1558" s="745">
        <v>55</v>
      </c>
      <c r="X1558" s="745">
        <v>1</v>
      </c>
      <c r="Y1558" s="1202">
        <v>1</v>
      </c>
    </row>
    <row r="1559" spans="21:25" x14ac:dyDescent="0.2">
      <c r="U1559" s="1260">
        <f t="shared" si="136"/>
        <v>77</v>
      </c>
      <c r="V1559" s="745">
        <v>3</v>
      </c>
      <c r="W1559" s="745">
        <v>1</v>
      </c>
      <c r="X1559" s="745">
        <v>1</v>
      </c>
      <c r="Y1559" s="1202">
        <v>1</v>
      </c>
    </row>
    <row r="1560" spans="21:25" x14ac:dyDescent="0.2">
      <c r="U1560" s="1260">
        <f t="shared" si="136"/>
        <v>95</v>
      </c>
      <c r="V1560" s="745">
        <v>3</v>
      </c>
      <c r="W1560" s="745">
        <v>2</v>
      </c>
      <c r="X1560" s="745">
        <v>1</v>
      </c>
      <c r="Y1560" s="1202">
        <v>1</v>
      </c>
    </row>
    <row r="1561" spans="21:25" x14ac:dyDescent="0.2">
      <c r="U1561" s="1260">
        <f t="shared" si="136"/>
        <v>113</v>
      </c>
      <c r="V1561" s="745">
        <v>3</v>
      </c>
      <c r="W1561" s="745">
        <v>3</v>
      </c>
      <c r="X1561" s="745">
        <v>1</v>
      </c>
      <c r="Y1561" s="1202">
        <v>1</v>
      </c>
    </row>
    <row r="1562" spans="21:25" x14ac:dyDescent="0.2">
      <c r="U1562" s="1260">
        <f t="shared" si="136"/>
        <v>131</v>
      </c>
      <c r="V1562" s="745">
        <v>3</v>
      </c>
      <c r="W1562" s="745">
        <v>4</v>
      </c>
      <c r="X1562" s="745">
        <v>1</v>
      </c>
      <c r="Y1562" s="1202">
        <v>1</v>
      </c>
    </row>
    <row r="1563" spans="21:25" x14ac:dyDescent="0.2">
      <c r="U1563" s="1260">
        <f t="shared" si="136"/>
        <v>149</v>
      </c>
      <c r="V1563" s="745">
        <v>3</v>
      </c>
      <c r="W1563" s="745">
        <v>5</v>
      </c>
      <c r="X1563" s="745">
        <v>1</v>
      </c>
      <c r="Y1563" s="1202">
        <v>1</v>
      </c>
    </row>
    <row r="1564" spans="21:25" x14ac:dyDescent="0.2">
      <c r="U1564" s="1260">
        <f t="shared" si="136"/>
        <v>167</v>
      </c>
      <c r="V1564" s="745">
        <v>3</v>
      </c>
      <c r="W1564" s="745">
        <v>6</v>
      </c>
      <c r="X1564" s="745">
        <v>1</v>
      </c>
      <c r="Y1564" s="1202">
        <v>1</v>
      </c>
    </row>
    <row r="1565" spans="21:25" x14ac:dyDescent="0.2">
      <c r="U1565" s="1260">
        <f t="shared" si="136"/>
        <v>185</v>
      </c>
      <c r="V1565" s="745">
        <v>3</v>
      </c>
      <c r="W1565" s="745">
        <v>7</v>
      </c>
      <c r="X1565" s="745">
        <v>1</v>
      </c>
      <c r="Y1565" s="1202">
        <v>1</v>
      </c>
    </row>
    <row r="1566" spans="21:25" x14ac:dyDescent="0.2">
      <c r="U1566" s="1260">
        <f t="shared" si="136"/>
        <v>203</v>
      </c>
      <c r="V1566" s="745">
        <v>3</v>
      </c>
      <c r="W1566" s="745">
        <v>8</v>
      </c>
      <c r="X1566" s="745">
        <v>1</v>
      </c>
      <c r="Y1566" s="1202">
        <v>1</v>
      </c>
    </row>
    <row r="1567" spans="21:25" x14ac:dyDescent="0.2">
      <c r="U1567" s="1260">
        <f t="shared" si="136"/>
        <v>221</v>
      </c>
      <c r="V1567" s="745">
        <v>3</v>
      </c>
      <c r="W1567" s="745">
        <v>9</v>
      </c>
      <c r="X1567" s="745">
        <v>1</v>
      </c>
      <c r="Y1567" s="1202">
        <v>1</v>
      </c>
    </row>
    <row r="1568" spans="21:25" x14ac:dyDescent="0.2">
      <c r="U1568" s="1260">
        <f t="shared" si="136"/>
        <v>239</v>
      </c>
      <c r="V1568" s="745">
        <v>3</v>
      </c>
      <c r="W1568" s="745">
        <v>10</v>
      </c>
      <c r="X1568" s="745">
        <v>1</v>
      </c>
      <c r="Y1568" s="1202">
        <v>1</v>
      </c>
    </row>
    <row r="1569" spans="21:25" x14ac:dyDescent="0.2">
      <c r="U1569" s="1260">
        <f t="shared" si="136"/>
        <v>257</v>
      </c>
      <c r="V1569" s="745">
        <v>3</v>
      </c>
      <c r="W1569" s="745">
        <v>11</v>
      </c>
      <c r="X1569" s="745">
        <v>1</v>
      </c>
      <c r="Y1569" s="1202">
        <v>1</v>
      </c>
    </row>
    <row r="1570" spans="21:25" x14ac:dyDescent="0.2">
      <c r="U1570" s="1260">
        <f t="shared" si="136"/>
        <v>275</v>
      </c>
      <c r="V1570" s="745">
        <v>3</v>
      </c>
      <c r="W1570" s="745">
        <v>12</v>
      </c>
      <c r="X1570" s="745">
        <v>1</v>
      </c>
      <c r="Y1570" s="1202">
        <v>1</v>
      </c>
    </row>
    <row r="1571" spans="21:25" x14ac:dyDescent="0.2">
      <c r="U1571" s="1260">
        <f t="shared" si="136"/>
        <v>293</v>
      </c>
      <c r="V1571" s="745">
        <v>3</v>
      </c>
      <c r="W1571" s="745">
        <v>13</v>
      </c>
      <c r="X1571" s="745">
        <v>1</v>
      </c>
      <c r="Y1571" s="1202">
        <v>1</v>
      </c>
    </row>
    <row r="1572" spans="21:25" x14ac:dyDescent="0.2">
      <c r="U1572" s="1260">
        <f t="shared" si="136"/>
        <v>311</v>
      </c>
      <c r="V1572" s="745">
        <v>3</v>
      </c>
      <c r="W1572" s="745">
        <v>14</v>
      </c>
      <c r="X1572" s="745">
        <v>1</v>
      </c>
      <c r="Y1572" s="1202">
        <v>1</v>
      </c>
    </row>
    <row r="1573" spans="21:25" x14ac:dyDescent="0.2">
      <c r="U1573" s="1260">
        <f t="shared" si="136"/>
        <v>329</v>
      </c>
      <c r="V1573" s="745">
        <v>3</v>
      </c>
      <c r="W1573" s="745">
        <v>15</v>
      </c>
      <c r="X1573" s="745">
        <v>1</v>
      </c>
      <c r="Y1573" s="1202">
        <v>1</v>
      </c>
    </row>
    <row r="1574" spans="21:25" x14ac:dyDescent="0.2">
      <c r="U1574" s="1260">
        <f t="shared" si="136"/>
        <v>347</v>
      </c>
      <c r="V1574" s="745">
        <v>3</v>
      </c>
      <c r="W1574" s="745">
        <v>16</v>
      </c>
      <c r="X1574" s="745">
        <v>1</v>
      </c>
      <c r="Y1574" s="1202">
        <v>1</v>
      </c>
    </row>
    <row r="1575" spans="21:25" x14ac:dyDescent="0.2">
      <c r="U1575" s="1260">
        <f t="shared" si="136"/>
        <v>365</v>
      </c>
      <c r="V1575" s="745">
        <v>3</v>
      </c>
      <c r="W1575" s="745">
        <v>17</v>
      </c>
      <c r="X1575" s="745">
        <v>1</v>
      </c>
      <c r="Y1575" s="1202">
        <v>1</v>
      </c>
    </row>
    <row r="1576" spans="21:25" x14ac:dyDescent="0.2">
      <c r="U1576" s="1260">
        <f t="shared" si="136"/>
        <v>383</v>
      </c>
      <c r="V1576" s="745">
        <v>3</v>
      </c>
      <c r="W1576" s="745">
        <v>18</v>
      </c>
      <c r="X1576" s="745">
        <v>1</v>
      </c>
      <c r="Y1576" s="1202">
        <v>1</v>
      </c>
    </row>
    <row r="1577" spans="21:25" x14ac:dyDescent="0.2">
      <c r="U1577" s="1260">
        <f t="shared" si="136"/>
        <v>401</v>
      </c>
      <c r="V1577" s="745">
        <v>3</v>
      </c>
      <c r="W1577" s="745">
        <v>19</v>
      </c>
      <c r="X1577" s="745">
        <v>1</v>
      </c>
      <c r="Y1577" s="1202">
        <v>1</v>
      </c>
    </row>
    <row r="1578" spans="21:25" x14ac:dyDescent="0.2">
      <c r="U1578" s="1260">
        <f t="shared" si="136"/>
        <v>419</v>
      </c>
      <c r="V1578" s="745">
        <v>3</v>
      </c>
      <c r="W1578" s="745">
        <v>20</v>
      </c>
      <c r="X1578" s="745">
        <v>1</v>
      </c>
      <c r="Y1578" s="1202">
        <v>1</v>
      </c>
    </row>
    <row r="1579" spans="21:25" x14ac:dyDescent="0.2">
      <c r="U1579" s="1260">
        <f t="shared" si="136"/>
        <v>437</v>
      </c>
      <c r="V1579" s="745">
        <v>3</v>
      </c>
      <c r="W1579" s="745">
        <v>21</v>
      </c>
      <c r="X1579" s="745">
        <v>1</v>
      </c>
      <c r="Y1579" s="1202">
        <v>1</v>
      </c>
    </row>
    <row r="1580" spans="21:25" x14ac:dyDescent="0.2">
      <c r="U1580" s="1260">
        <f t="shared" si="136"/>
        <v>455</v>
      </c>
      <c r="V1580" s="745">
        <v>3</v>
      </c>
      <c r="W1580" s="745">
        <v>22</v>
      </c>
      <c r="X1580" s="745">
        <v>1</v>
      </c>
      <c r="Y1580" s="1202">
        <v>1</v>
      </c>
    </row>
    <row r="1581" spans="21:25" x14ac:dyDescent="0.2">
      <c r="U1581" s="1260">
        <f t="shared" si="136"/>
        <v>473</v>
      </c>
      <c r="V1581" s="745">
        <v>3</v>
      </c>
      <c r="W1581" s="745">
        <v>23</v>
      </c>
      <c r="X1581" s="745">
        <v>1</v>
      </c>
      <c r="Y1581" s="1202">
        <v>1</v>
      </c>
    </row>
    <row r="1582" spans="21:25" x14ac:dyDescent="0.2">
      <c r="U1582" s="1260">
        <f t="shared" si="136"/>
        <v>491</v>
      </c>
      <c r="V1582" s="745">
        <v>3</v>
      </c>
      <c r="W1582" s="745">
        <v>24</v>
      </c>
      <c r="X1582" s="745">
        <v>1</v>
      </c>
      <c r="Y1582" s="1202">
        <v>1</v>
      </c>
    </row>
    <row r="1583" spans="21:25" x14ac:dyDescent="0.2">
      <c r="U1583" s="1260">
        <f t="shared" si="136"/>
        <v>509</v>
      </c>
      <c r="V1583" s="745">
        <v>3</v>
      </c>
      <c r="W1583" s="745">
        <v>25</v>
      </c>
      <c r="X1583" s="745">
        <v>1</v>
      </c>
      <c r="Y1583" s="1202">
        <v>1</v>
      </c>
    </row>
    <row r="1584" spans="21:25" x14ac:dyDescent="0.2">
      <c r="U1584" s="1260">
        <f t="shared" si="136"/>
        <v>527</v>
      </c>
      <c r="V1584" s="745">
        <v>3</v>
      </c>
      <c r="W1584" s="745">
        <v>26</v>
      </c>
      <c r="X1584" s="745">
        <v>1</v>
      </c>
      <c r="Y1584" s="1202">
        <v>1</v>
      </c>
    </row>
    <row r="1585" spans="21:25" x14ac:dyDescent="0.2">
      <c r="U1585" s="1260">
        <f t="shared" si="136"/>
        <v>545</v>
      </c>
      <c r="V1585" s="745">
        <v>3</v>
      </c>
      <c r="W1585" s="745">
        <v>27</v>
      </c>
      <c r="X1585" s="745">
        <v>1</v>
      </c>
      <c r="Y1585" s="1202">
        <v>1</v>
      </c>
    </row>
    <row r="1586" spans="21:25" x14ac:dyDescent="0.2">
      <c r="U1586" s="1260">
        <f t="shared" si="136"/>
        <v>563</v>
      </c>
      <c r="V1586" s="745">
        <v>3</v>
      </c>
      <c r="W1586" s="745">
        <v>28</v>
      </c>
      <c r="X1586" s="745">
        <v>1</v>
      </c>
      <c r="Y1586" s="1202">
        <v>1</v>
      </c>
    </row>
    <row r="1587" spans="21:25" x14ac:dyDescent="0.2">
      <c r="U1587" s="1260">
        <f t="shared" si="136"/>
        <v>581</v>
      </c>
      <c r="V1587" s="745">
        <v>3</v>
      </c>
      <c r="W1587" s="745">
        <v>29</v>
      </c>
      <c r="X1587" s="745">
        <v>1</v>
      </c>
      <c r="Y1587" s="1202">
        <v>1</v>
      </c>
    </row>
    <row r="1588" spans="21:25" x14ac:dyDescent="0.2">
      <c r="U1588" s="1260">
        <f t="shared" si="136"/>
        <v>599</v>
      </c>
      <c r="V1588" s="745">
        <v>3</v>
      </c>
      <c r="W1588" s="745">
        <v>30</v>
      </c>
      <c r="X1588" s="745">
        <v>1</v>
      </c>
      <c r="Y1588" s="1202">
        <v>1</v>
      </c>
    </row>
    <row r="1589" spans="21:25" x14ac:dyDescent="0.2">
      <c r="U1589" s="1260">
        <f t="shared" si="136"/>
        <v>617</v>
      </c>
      <c r="V1589" s="745">
        <v>3</v>
      </c>
      <c r="W1589" s="745">
        <v>31</v>
      </c>
      <c r="X1589" s="745">
        <v>1</v>
      </c>
      <c r="Y1589" s="1202">
        <v>1</v>
      </c>
    </row>
    <row r="1590" spans="21:25" x14ac:dyDescent="0.2">
      <c r="U1590" s="1260">
        <f t="shared" si="136"/>
        <v>635</v>
      </c>
      <c r="V1590" s="745">
        <v>3</v>
      </c>
      <c r="W1590" s="745">
        <v>32</v>
      </c>
      <c r="X1590" s="745">
        <v>1</v>
      </c>
      <c r="Y1590" s="1202">
        <v>1</v>
      </c>
    </row>
    <row r="1591" spans="21:25" x14ac:dyDescent="0.2">
      <c r="U1591" s="1260">
        <f t="shared" si="136"/>
        <v>653</v>
      </c>
      <c r="V1591" s="745">
        <v>3</v>
      </c>
      <c r="W1591" s="745">
        <v>33</v>
      </c>
      <c r="X1591" s="745">
        <v>1</v>
      </c>
      <c r="Y1591" s="1202">
        <v>1</v>
      </c>
    </row>
    <row r="1592" spans="21:25" x14ac:dyDescent="0.2">
      <c r="U1592" s="1260">
        <f t="shared" si="136"/>
        <v>671</v>
      </c>
      <c r="V1592" s="745">
        <v>3</v>
      </c>
      <c r="W1592" s="745">
        <v>34</v>
      </c>
      <c r="X1592" s="745">
        <v>1</v>
      </c>
      <c r="Y1592" s="1202">
        <v>1</v>
      </c>
    </row>
    <row r="1593" spans="21:25" x14ac:dyDescent="0.2">
      <c r="U1593" s="1260">
        <f t="shared" si="136"/>
        <v>689</v>
      </c>
      <c r="V1593" s="745">
        <v>3</v>
      </c>
      <c r="W1593" s="745">
        <v>35</v>
      </c>
      <c r="X1593" s="745">
        <v>1</v>
      </c>
      <c r="Y1593" s="1202">
        <v>1</v>
      </c>
    </row>
    <row r="1594" spans="21:25" x14ac:dyDescent="0.2">
      <c r="U1594" s="1260">
        <f t="shared" si="136"/>
        <v>707</v>
      </c>
      <c r="V1594" s="745">
        <v>3</v>
      </c>
      <c r="W1594" s="745">
        <v>36</v>
      </c>
      <c r="X1594" s="745">
        <v>1</v>
      </c>
      <c r="Y1594" s="1202">
        <v>1</v>
      </c>
    </row>
    <row r="1595" spans="21:25" x14ac:dyDescent="0.2">
      <c r="U1595" s="1260">
        <f t="shared" si="136"/>
        <v>725</v>
      </c>
      <c r="V1595" s="745">
        <v>3</v>
      </c>
      <c r="W1595" s="745">
        <v>37</v>
      </c>
      <c r="X1595" s="745">
        <v>1</v>
      </c>
      <c r="Y1595" s="1202">
        <v>1</v>
      </c>
    </row>
    <row r="1596" spans="21:25" x14ac:dyDescent="0.2">
      <c r="U1596" s="1260">
        <f t="shared" si="136"/>
        <v>743</v>
      </c>
      <c r="V1596" s="745">
        <v>3</v>
      </c>
      <c r="W1596" s="745">
        <v>38</v>
      </c>
      <c r="X1596" s="745">
        <v>1</v>
      </c>
      <c r="Y1596" s="1202">
        <v>1</v>
      </c>
    </row>
    <row r="1597" spans="21:25" x14ac:dyDescent="0.2">
      <c r="U1597" s="1260">
        <f t="shared" si="136"/>
        <v>761</v>
      </c>
      <c r="V1597" s="745">
        <v>3</v>
      </c>
      <c r="W1597" s="745">
        <v>39</v>
      </c>
      <c r="X1597" s="745">
        <v>1</v>
      </c>
      <c r="Y1597" s="1202">
        <v>1</v>
      </c>
    </row>
    <row r="1598" spans="21:25" x14ac:dyDescent="0.2">
      <c r="U1598" s="1260">
        <f t="shared" si="136"/>
        <v>779</v>
      </c>
      <c r="V1598" s="745">
        <v>3</v>
      </c>
      <c r="W1598" s="745">
        <v>40</v>
      </c>
      <c r="X1598" s="745">
        <v>1</v>
      </c>
      <c r="Y1598" s="1202">
        <v>1</v>
      </c>
    </row>
    <row r="1599" spans="21:25" x14ac:dyDescent="0.2">
      <c r="U1599" s="1260">
        <f t="shared" si="136"/>
        <v>797</v>
      </c>
      <c r="V1599" s="745">
        <v>3</v>
      </c>
      <c r="W1599" s="745">
        <v>41</v>
      </c>
      <c r="X1599" s="745">
        <v>1</v>
      </c>
      <c r="Y1599" s="1202">
        <v>1</v>
      </c>
    </row>
    <row r="1600" spans="21:25" x14ac:dyDescent="0.2">
      <c r="U1600" s="1260">
        <f t="shared" si="136"/>
        <v>815</v>
      </c>
      <c r="V1600" s="745">
        <v>3</v>
      </c>
      <c r="W1600" s="745">
        <v>42</v>
      </c>
      <c r="X1600" s="745">
        <v>1</v>
      </c>
      <c r="Y1600" s="1202">
        <v>1</v>
      </c>
    </row>
    <row r="1601" spans="21:25" x14ac:dyDescent="0.2">
      <c r="U1601" s="1260">
        <f t="shared" si="136"/>
        <v>833</v>
      </c>
      <c r="V1601" s="745">
        <v>3</v>
      </c>
      <c r="W1601" s="745">
        <v>43</v>
      </c>
      <c r="X1601" s="745">
        <v>1</v>
      </c>
      <c r="Y1601" s="1202">
        <v>1</v>
      </c>
    </row>
    <row r="1602" spans="21:25" x14ac:dyDescent="0.2">
      <c r="U1602" s="1260">
        <f t="shared" si="136"/>
        <v>851</v>
      </c>
      <c r="V1602" s="745">
        <v>3</v>
      </c>
      <c r="W1602" s="745">
        <v>44</v>
      </c>
      <c r="X1602" s="745">
        <v>1</v>
      </c>
      <c r="Y1602" s="1202">
        <v>1</v>
      </c>
    </row>
    <row r="1603" spans="21:25" x14ac:dyDescent="0.2">
      <c r="U1603" s="1260">
        <f t="shared" si="136"/>
        <v>869</v>
      </c>
      <c r="V1603" s="745">
        <v>3</v>
      </c>
      <c r="W1603" s="745">
        <v>45</v>
      </c>
      <c r="X1603" s="745">
        <v>1</v>
      </c>
      <c r="Y1603" s="1202">
        <v>1</v>
      </c>
    </row>
    <row r="1604" spans="21:25" x14ac:dyDescent="0.2">
      <c r="U1604" s="1260">
        <f t="shared" ref="U1604:U1667" si="137">ROUNDUP(W1604*$W$294+V1604*$V$294+X1604*$X$294+Y1604*$Y$294,0)</f>
        <v>887</v>
      </c>
      <c r="V1604" s="745">
        <v>3</v>
      </c>
      <c r="W1604" s="745">
        <v>46</v>
      </c>
      <c r="X1604" s="745">
        <v>1</v>
      </c>
      <c r="Y1604" s="1202">
        <v>1</v>
      </c>
    </row>
    <row r="1605" spans="21:25" x14ac:dyDescent="0.2">
      <c r="U1605" s="1260">
        <f t="shared" si="137"/>
        <v>905</v>
      </c>
      <c r="V1605" s="745">
        <v>3</v>
      </c>
      <c r="W1605" s="745">
        <v>47</v>
      </c>
      <c r="X1605" s="745">
        <v>1</v>
      </c>
      <c r="Y1605" s="1202">
        <v>1</v>
      </c>
    </row>
    <row r="1606" spans="21:25" x14ac:dyDescent="0.2">
      <c r="U1606" s="1260">
        <f t="shared" si="137"/>
        <v>923</v>
      </c>
      <c r="V1606" s="745">
        <v>3</v>
      </c>
      <c r="W1606" s="745">
        <v>48</v>
      </c>
      <c r="X1606" s="745">
        <v>1</v>
      </c>
      <c r="Y1606" s="1202">
        <v>1</v>
      </c>
    </row>
    <row r="1607" spans="21:25" x14ac:dyDescent="0.2">
      <c r="U1607" s="1260">
        <f t="shared" si="137"/>
        <v>941</v>
      </c>
      <c r="V1607" s="745">
        <v>3</v>
      </c>
      <c r="W1607" s="745">
        <v>49</v>
      </c>
      <c r="X1607" s="745">
        <v>1</v>
      </c>
      <c r="Y1607" s="1202">
        <v>1</v>
      </c>
    </row>
    <row r="1608" spans="21:25" x14ac:dyDescent="0.2">
      <c r="U1608" s="1260">
        <f t="shared" si="137"/>
        <v>959</v>
      </c>
      <c r="V1608" s="745">
        <v>3</v>
      </c>
      <c r="W1608" s="745">
        <v>50</v>
      </c>
      <c r="X1608" s="745">
        <v>1</v>
      </c>
      <c r="Y1608" s="1202">
        <v>1</v>
      </c>
    </row>
    <row r="1609" spans="21:25" x14ac:dyDescent="0.2">
      <c r="U1609" s="1260">
        <f t="shared" si="137"/>
        <v>977</v>
      </c>
      <c r="V1609" s="745">
        <v>3</v>
      </c>
      <c r="W1609" s="745">
        <v>51</v>
      </c>
      <c r="X1609" s="745">
        <v>1</v>
      </c>
      <c r="Y1609" s="1202">
        <v>1</v>
      </c>
    </row>
    <row r="1610" spans="21:25" x14ac:dyDescent="0.2">
      <c r="U1610" s="1260">
        <f t="shared" si="137"/>
        <v>995</v>
      </c>
      <c r="V1610" s="745">
        <v>3</v>
      </c>
      <c r="W1610" s="745">
        <v>52</v>
      </c>
      <c r="X1610" s="745">
        <v>1</v>
      </c>
      <c r="Y1610" s="1202">
        <v>1</v>
      </c>
    </row>
    <row r="1611" spans="21:25" x14ac:dyDescent="0.2">
      <c r="U1611" s="1260">
        <f t="shared" si="137"/>
        <v>1013</v>
      </c>
      <c r="V1611" s="745">
        <v>3</v>
      </c>
      <c r="W1611" s="745">
        <v>53</v>
      </c>
      <c r="X1611" s="745">
        <v>1</v>
      </c>
      <c r="Y1611" s="1202">
        <v>1</v>
      </c>
    </row>
    <row r="1612" spans="21:25" x14ac:dyDescent="0.2">
      <c r="U1612" s="1260">
        <f t="shared" si="137"/>
        <v>1031</v>
      </c>
      <c r="V1612" s="745">
        <v>3</v>
      </c>
      <c r="W1612" s="745">
        <v>54</v>
      </c>
      <c r="X1612" s="745">
        <v>1</v>
      </c>
      <c r="Y1612" s="1202">
        <v>1</v>
      </c>
    </row>
    <row r="1613" spans="21:25" x14ac:dyDescent="0.2">
      <c r="U1613" s="1260">
        <f t="shared" si="137"/>
        <v>89</v>
      </c>
      <c r="V1613" s="745">
        <v>4</v>
      </c>
      <c r="W1613" s="745">
        <v>1</v>
      </c>
      <c r="X1613" s="745">
        <v>1</v>
      </c>
      <c r="Y1613" s="1202">
        <v>1</v>
      </c>
    </row>
    <row r="1614" spans="21:25" x14ac:dyDescent="0.2">
      <c r="U1614" s="1260">
        <f t="shared" si="137"/>
        <v>107</v>
      </c>
      <c r="V1614" s="745">
        <v>4</v>
      </c>
      <c r="W1614" s="745">
        <v>2</v>
      </c>
      <c r="X1614" s="745">
        <v>1</v>
      </c>
      <c r="Y1614" s="1202">
        <v>1</v>
      </c>
    </row>
    <row r="1615" spans="21:25" x14ac:dyDescent="0.2">
      <c r="U1615" s="1260">
        <f t="shared" si="137"/>
        <v>125</v>
      </c>
      <c r="V1615" s="745">
        <v>4</v>
      </c>
      <c r="W1615" s="745">
        <v>3</v>
      </c>
      <c r="X1615" s="745">
        <v>1</v>
      </c>
      <c r="Y1615" s="1202">
        <v>1</v>
      </c>
    </row>
    <row r="1616" spans="21:25" x14ac:dyDescent="0.2">
      <c r="U1616" s="1260">
        <f t="shared" si="137"/>
        <v>143</v>
      </c>
      <c r="V1616" s="745">
        <v>4</v>
      </c>
      <c r="W1616" s="745">
        <v>4</v>
      </c>
      <c r="X1616" s="745">
        <v>1</v>
      </c>
      <c r="Y1616" s="1202">
        <v>1</v>
      </c>
    </row>
    <row r="1617" spans="21:25" x14ac:dyDescent="0.2">
      <c r="U1617" s="1260">
        <f t="shared" si="137"/>
        <v>161</v>
      </c>
      <c r="V1617" s="745">
        <v>4</v>
      </c>
      <c r="W1617" s="745">
        <v>5</v>
      </c>
      <c r="X1617" s="745">
        <v>1</v>
      </c>
      <c r="Y1617" s="1202">
        <v>1</v>
      </c>
    </row>
    <row r="1618" spans="21:25" x14ac:dyDescent="0.2">
      <c r="U1618" s="1260">
        <f t="shared" si="137"/>
        <v>179</v>
      </c>
      <c r="V1618" s="745">
        <v>4</v>
      </c>
      <c r="W1618" s="745">
        <v>6</v>
      </c>
      <c r="X1618" s="745">
        <v>1</v>
      </c>
      <c r="Y1618" s="1202">
        <v>1</v>
      </c>
    </row>
    <row r="1619" spans="21:25" x14ac:dyDescent="0.2">
      <c r="U1619" s="1260">
        <f t="shared" si="137"/>
        <v>197</v>
      </c>
      <c r="V1619" s="745">
        <v>4</v>
      </c>
      <c r="W1619" s="745">
        <v>7</v>
      </c>
      <c r="X1619" s="745">
        <v>1</v>
      </c>
      <c r="Y1619" s="1202">
        <v>1</v>
      </c>
    </row>
    <row r="1620" spans="21:25" x14ac:dyDescent="0.2">
      <c r="U1620" s="1260">
        <f t="shared" si="137"/>
        <v>215</v>
      </c>
      <c r="V1620" s="745">
        <v>4</v>
      </c>
      <c r="W1620" s="745">
        <v>8</v>
      </c>
      <c r="X1620" s="745">
        <v>1</v>
      </c>
      <c r="Y1620" s="1202">
        <v>1</v>
      </c>
    </row>
    <row r="1621" spans="21:25" x14ac:dyDescent="0.2">
      <c r="U1621" s="1260">
        <f t="shared" si="137"/>
        <v>233</v>
      </c>
      <c r="V1621" s="745">
        <v>4</v>
      </c>
      <c r="W1621" s="745">
        <v>9</v>
      </c>
      <c r="X1621" s="745">
        <v>1</v>
      </c>
      <c r="Y1621" s="1202">
        <v>1</v>
      </c>
    </row>
    <row r="1622" spans="21:25" x14ac:dyDescent="0.2">
      <c r="U1622" s="1260">
        <f t="shared" si="137"/>
        <v>251</v>
      </c>
      <c r="V1622" s="745">
        <v>4</v>
      </c>
      <c r="W1622" s="745">
        <v>10</v>
      </c>
      <c r="X1622" s="745">
        <v>1</v>
      </c>
      <c r="Y1622" s="1202">
        <v>1</v>
      </c>
    </row>
    <row r="1623" spans="21:25" x14ac:dyDescent="0.2">
      <c r="U1623" s="1260">
        <f t="shared" si="137"/>
        <v>269</v>
      </c>
      <c r="V1623" s="745">
        <v>4</v>
      </c>
      <c r="W1623" s="745">
        <v>11</v>
      </c>
      <c r="X1623" s="745">
        <v>1</v>
      </c>
      <c r="Y1623" s="1202">
        <v>1</v>
      </c>
    </row>
    <row r="1624" spans="21:25" x14ac:dyDescent="0.2">
      <c r="U1624" s="1260">
        <f t="shared" si="137"/>
        <v>287</v>
      </c>
      <c r="V1624" s="745">
        <v>4</v>
      </c>
      <c r="W1624" s="745">
        <v>12</v>
      </c>
      <c r="X1624" s="745">
        <v>1</v>
      </c>
      <c r="Y1624" s="1202">
        <v>1</v>
      </c>
    </row>
    <row r="1625" spans="21:25" x14ac:dyDescent="0.2">
      <c r="U1625" s="1260">
        <f t="shared" si="137"/>
        <v>305</v>
      </c>
      <c r="V1625" s="745">
        <v>4</v>
      </c>
      <c r="W1625" s="745">
        <v>13</v>
      </c>
      <c r="X1625" s="745">
        <v>1</v>
      </c>
      <c r="Y1625" s="1202">
        <v>1</v>
      </c>
    </row>
    <row r="1626" spans="21:25" x14ac:dyDescent="0.2">
      <c r="U1626" s="1260">
        <f t="shared" si="137"/>
        <v>323</v>
      </c>
      <c r="V1626" s="745">
        <v>4</v>
      </c>
      <c r="W1626" s="745">
        <v>14</v>
      </c>
      <c r="X1626" s="745">
        <v>1</v>
      </c>
      <c r="Y1626" s="1202">
        <v>1</v>
      </c>
    </row>
    <row r="1627" spans="21:25" x14ac:dyDescent="0.2">
      <c r="U1627" s="1260">
        <f t="shared" si="137"/>
        <v>341</v>
      </c>
      <c r="V1627" s="745">
        <v>4</v>
      </c>
      <c r="W1627" s="745">
        <v>15</v>
      </c>
      <c r="X1627" s="745">
        <v>1</v>
      </c>
      <c r="Y1627" s="1202">
        <v>1</v>
      </c>
    </row>
    <row r="1628" spans="21:25" x14ac:dyDescent="0.2">
      <c r="U1628" s="1260">
        <f t="shared" si="137"/>
        <v>359</v>
      </c>
      <c r="V1628" s="745">
        <v>4</v>
      </c>
      <c r="W1628" s="745">
        <v>16</v>
      </c>
      <c r="X1628" s="745">
        <v>1</v>
      </c>
      <c r="Y1628" s="1202">
        <v>1</v>
      </c>
    </row>
    <row r="1629" spans="21:25" x14ac:dyDescent="0.2">
      <c r="U1629" s="1260">
        <f t="shared" si="137"/>
        <v>377</v>
      </c>
      <c r="V1629" s="745">
        <v>4</v>
      </c>
      <c r="W1629" s="745">
        <v>17</v>
      </c>
      <c r="X1629" s="745">
        <v>1</v>
      </c>
      <c r="Y1629" s="1202">
        <v>1</v>
      </c>
    </row>
    <row r="1630" spans="21:25" x14ac:dyDescent="0.2">
      <c r="U1630" s="1260">
        <f t="shared" si="137"/>
        <v>395</v>
      </c>
      <c r="V1630" s="745">
        <v>4</v>
      </c>
      <c r="W1630" s="745">
        <v>18</v>
      </c>
      <c r="X1630" s="745">
        <v>1</v>
      </c>
      <c r="Y1630" s="1202">
        <v>1</v>
      </c>
    </row>
    <row r="1631" spans="21:25" x14ac:dyDescent="0.2">
      <c r="U1631" s="1260">
        <f t="shared" si="137"/>
        <v>413</v>
      </c>
      <c r="V1631" s="745">
        <v>4</v>
      </c>
      <c r="W1631" s="745">
        <v>19</v>
      </c>
      <c r="X1631" s="745">
        <v>1</v>
      </c>
      <c r="Y1631" s="1202">
        <v>1</v>
      </c>
    </row>
    <row r="1632" spans="21:25" x14ac:dyDescent="0.2">
      <c r="U1632" s="1260">
        <f t="shared" si="137"/>
        <v>431</v>
      </c>
      <c r="V1632" s="745">
        <v>4</v>
      </c>
      <c r="W1632" s="745">
        <v>20</v>
      </c>
      <c r="X1632" s="745">
        <v>1</v>
      </c>
      <c r="Y1632" s="1202">
        <v>1</v>
      </c>
    </row>
    <row r="1633" spans="21:25" x14ac:dyDescent="0.2">
      <c r="U1633" s="1260">
        <f t="shared" si="137"/>
        <v>449</v>
      </c>
      <c r="V1633" s="745">
        <v>4</v>
      </c>
      <c r="W1633" s="745">
        <v>21</v>
      </c>
      <c r="X1633" s="745">
        <v>1</v>
      </c>
      <c r="Y1633" s="1202">
        <v>1</v>
      </c>
    </row>
    <row r="1634" spans="21:25" x14ac:dyDescent="0.2">
      <c r="U1634" s="1260">
        <f t="shared" si="137"/>
        <v>467</v>
      </c>
      <c r="V1634" s="745">
        <v>4</v>
      </c>
      <c r="W1634" s="745">
        <v>22</v>
      </c>
      <c r="X1634" s="745">
        <v>1</v>
      </c>
      <c r="Y1634" s="1202">
        <v>1</v>
      </c>
    </row>
    <row r="1635" spans="21:25" x14ac:dyDescent="0.2">
      <c r="U1635" s="1260">
        <f t="shared" si="137"/>
        <v>485</v>
      </c>
      <c r="V1635" s="745">
        <v>4</v>
      </c>
      <c r="W1635" s="745">
        <v>23</v>
      </c>
      <c r="X1635" s="745">
        <v>1</v>
      </c>
      <c r="Y1635" s="1202">
        <v>1</v>
      </c>
    </row>
    <row r="1636" spans="21:25" x14ac:dyDescent="0.2">
      <c r="U1636" s="1260">
        <f t="shared" si="137"/>
        <v>503</v>
      </c>
      <c r="V1636" s="745">
        <v>4</v>
      </c>
      <c r="W1636" s="745">
        <v>24</v>
      </c>
      <c r="X1636" s="745">
        <v>1</v>
      </c>
      <c r="Y1636" s="1202">
        <v>1</v>
      </c>
    </row>
    <row r="1637" spans="21:25" x14ac:dyDescent="0.2">
      <c r="U1637" s="1260">
        <f t="shared" si="137"/>
        <v>521</v>
      </c>
      <c r="V1637" s="745">
        <v>4</v>
      </c>
      <c r="W1637" s="745">
        <v>25</v>
      </c>
      <c r="X1637" s="745">
        <v>1</v>
      </c>
      <c r="Y1637" s="1202">
        <v>1</v>
      </c>
    </row>
    <row r="1638" spans="21:25" x14ac:dyDescent="0.2">
      <c r="U1638" s="1260">
        <f t="shared" si="137"/>
        <v>539</v>
      </c>
      <c r="V1638" s="745">
        <v>4</v>
      </c>
      <c r="W1638" s="745">
        <v>26</v>
      </c>
      <c r="X1638" s="745">
        <v>1</v>
      </c>
      <c r="Y1638" s="1202">
        <v>1</v>
      </c>
    </row>
    <row r="1639" spans="21:25" x14ac:dyDescent="0.2">
      <c r="U1639" s="1260">
        <f t="shared" si="137"/>
        <v>557</v>
      </c>
      <c r="V1639" s="745">
        <v>4</v>
      </c>
      <c r="W1639" s="745">
        <v>27</v>
      </c>
      <c r="X1639" s="745">
        <v>1</v>
      </c>
      <c r="Y1639" s="1202">
        <v>1</v>
      </c>
    </row>
    <row r="1640" spans="21:25" x14ac:dyDescent="0.2">
      <c r="U1640" s="1260">
        <f t="shared" si="137"/>
        <v>575</v>
      </c>
      <c r="V1640" s="745">
        <v>4</v>
      </c>
      <c r="W1640" s="745">
        <v>28</v>
      </c>
      <c r="X1640" s="745">
        <v>1</v>
      </c>
      <c r="Y1640" s="1202">
        <v>1</v>
      </c>
    </row>
    <row r="1641" spans="21:25" x14ac:dyDescent="0.2">
      <c r="U1641" s="1260">
        <f t="shared" si="137"/>
        <v>593</v>
      </c>
      <c r="V1641" s="745">
        <v>4</v>
      </c>
      <c r="W1641" s="745">
        <v>29</v>
      </c>
      <c r="X1641" s="745">
        <v>1</v>
      </c>
      <c r="Y1641" s="1202">
        <v>1</v>
      </c>
    </row>
    <row r="1642" spans="21:25" x14ac:dyDescent="0.2">
      <c r="U1642" s="1260">
        <f t="shared" si="137"/>
        <v>611</v>
      </c>
      <c r="V1642" s="745">
        <v>4</v>
      </c>
      <c r="W1642" s="745">
        <v>30</v>
      </c>
      <c r="X1642" s="745">
        <v>1</v>
      </c>
      <c r="Y1642" s="1202">
        <v>1</v>
      </c>
    </row>
    <row r="1643" spans="21:25" x14ac:dyDescent="0.2">
      <c r="U1643" s="1260">
        <f t="shared" si="137"/>
        <v>629</v>
      </c>
      <c r="V1643" s="745">
        <v>4</v>
      </c>
      <c r="W1643" s="745">
        <v>31</v>
      </c>
      <c r="X1643" s="745">
        <v>1</v>
      </c>
      <c r="Y1643" s="1202">
        <v>1</v>
      </c>
    </row>
    <row r="1644" spans="21:25" x14ac:dyDescent="0.2">
      <c r="U1644" s="1260">
        <f t="shared" si="137"/>
        <v>647</v>
      </c>
      <c r="V1644" s="745">
        <v>4</v>
      </c>
      <c r="W1644" s="745">
        <v>32</v>
      </c>
      <c r="X1644" s="745">
        <v>1</v>
      </c>
      <c r="Y1644" s="1202">
        <v>1</v>
      </c>
    </row>
    <row r="1645" spans="21:25" x14ac:dyDescent="0.2">
      <c r="U1645" s="1260">
        <f t="shared" si="137"/>
        <v>665</v>
      </c>
      <c r="V1645" s="745">
        <v>4</v>
      </c>
      <c r="W1645" s="745">
        <v>33</v>
      </c>
      <c r="X1645" s="745">
        <v>1</v>
      </c>
      <c r="Y1645" s="1202">
        <v>1</v>
      </c>
    </row>
    <row r="1646" spans="21:25" x14ac:dyDescent="0.2">
      <c r="U1646" s="1260">
        <f t="shared" si="137"/>
        <v>683</v>
      </c>
      <c r="V1646" s="745">
        <v>4</v>
      </c>
      <c r="W1646" s="745">
        <v>34</v>
      </c>
      <c r="X1646" s="745">
        <v>1</v>
      </c>
      <c r="Y1646" s="1202">
        <v>1</v>
      </c>
    </row>
    <row r="1647" spans="21:25" x14ac:dyDescent="0.2">
      <c r="U1647" s="1260">
        <f t="shared" si="137"/>
        <v>701</v>
      </c>
      <c r="V1647" s="745">
        <v>4</v>
      </c>
      <c r="W1647" s="745">
        <v>35</v>
      </c>
      <c r="X1647" s="745">
        <v>1</v>
      </c>
      <c r="Y1647" s="1202">
        <v>1</v>
      </c>
    </row>
    <row r="1648" spans="21:25" x14ac:dyDescent="0.2">
      <c r="U1648" s="1260">
        <f t="shared" si="137"/>
        <v>719</v>
      </c>
      <c r="V1648" s="745">
        <v>4</v>
      </c>
      <c r="W1648" s="745">
        <v>36</v>
      </c>
      <c r="X1648" s="745">
        <v>1</v>
      </c>
      <c r="Y1648" s="1202">
        <v>1</v>
      </c>
    </row>
    <row r="1649" spans="21:25" x14ac:dyDescent="0.2">
      <c r="U1649" s="1260">
        <f t="shared" si="137"/>
        <v>737</v>
      </c>
      <c r="V1649" s="745">
        <v>4</v>
      </c>
      <c r="W1649" s="745">
        <v>37</v>
      </c>
      <c r="X1649" s="745">
        <v>1</v>
      </c>
      <c r="Y1649" s="1202">
        <v>1</v>
      </c>
    </row>
    <row r="1650" spans="21:25" x14ac:dyDescent="0.2">
      <c r="U1650" s="1260">
        <f t="shared" si="137"/>
        <v>755</v>
      </c>
      <c r="V1650" s="745">
        <v>4</v>
      </c>
      <c r="W1650" s="745">
        <v>38</v>
      </c>
      <c r="X1650" s="745">
        <v>1</v>
      </c>
      <c r="Y1650" s="1202">
        <v>1</v>
      </c>
    </row>
    <row r="1651" spans="21:25" x14ac:dyDescent="0.2">
      <c r="U1651" s="1260">
        <f t="shared" si="137"/>
        <v>773</v>
      </c>
      <c r="V1651" s="745">
        <v>4</v>
      </c>
      <c r="W1651" s="745">
        <v>39</v>
      </c>
      <c r="X1651" s="745">
        <v>1</v>
      </c>
      <c r="Y1651" s="1202">
        <v>1</v>
      </c>
    </row>
    <row r="1652" spans="21:25" x14ac:dyDescent="0.2">
      <c r="U1652" s="1260">
        <f t="shared" si="137"/>
        <v>791</v>
      </c>
      <c r="V1652" s="745">
        <v>4</v>
      </c>
      <c r="W1652" s="745">
        <v>40</v>
      </c>
      <c r="X1652" s="745">
        <v>1</v>
      </c>
      <c r="Y1652" s="1202">
        <v>1</v>
      </c>
    </row>
    <row r="1653" spans="21:25" x14ac:dyDescent="0.2">
      <c r="U1653" s="1260">
        <f t="shared" si="137"/>
        <v>809</v>
      </c>
      <c r="V1653" s="745">
        <v>4</v>
      </c>
      <c r="W1653" s="745">
        <v>41</v>
      </c>
      <c r="X1653" s="745">
        <v>1</v>
      </c>
      <c r="Y1653" s="1202">
        <v>1</v>
      </c>
    </row>
    <row r="1654" spans="21:25" x14ac:dyDescent="0.2">
      <c r="U1654" s="1260">
        <f t="shared" si="137"/>
        <v>827</v>
      </c>
      <c r="V1654" s="745">
        <v>4</v>
      </c>
      <c r="W1654" s="745">
        <v>42</v>
      </c>
      <c r="X1654" s="745">
        <v>1</v>
      </c>
      <c r="Y1654" s="1202">
        <v>1</v>
      </c>
    </row>
    <row r="1655" spans="21:25" x14ac:dyDescent="0.2">
      <c r="U1655" s="1260">
        <f t="shared" si="137"/>
        <v>845</v>
      </c>
      <c r="V1655" s="745">
        <v>4</v>
      </c>
      <c r="W1655" s="745">
        <v>43</v>
      </c>
      <c r="X1655" s="745">
        <v>1</v>
      </c>
      <c r="Y1655" s="1202">
        <v>1</v>
      </c>
    </row>
    <row r="1656" spans="21:25" x14ac:dyDescent="0.2">
      <c r="U1656" s="1260">
        <f t="shared" si="137"/>
        <v>863</v>
      </c>
      <c r="V1656" s="745">
        <v>4</v>
      </c>
      <c r="W1656" s="745">
        <v>44</v>
      </c>
      <c r="X1656" s="745">
        <v>1</v>
      </c>
      <c r="Y1656" s="1202">
        <v>1</v>
      </c>
    </row>
    <row r="1657" spans="21:25" x14ac:dyDescent="0.2">
      <c r="U1657" s="1260">
        <f t="shared" si="137"/>
        <v>881</v>
      </c>
      <c r="V1657" s="745">
        <v>4</v>
      </c>
      <c r="W1657" s="745">
        <v>45</v>
      </c>
      <c r="X1657" s="745">
        <v>1</v>
      </c>
      <c r="Y1657" s="1202">
        <v>1</v>
      </c>
    </row>
    <row r="1658" spans="21:25" x14ac:dyDescent="0.2">
      <c r="U1658" s="1260">
        <f t="shared" si="137"/>
        <v>899</v>
      </c>
      <c r="V1658" s="745">
        <v>4</v>
      </c>
      <c r="W1658" s="745">
        <v>46</v>
      </c>
      <c r="X1658" s="745">
        <v>1</v>
      </c>
      <c r="Y1658" s="1202">
        <v>1</v>
      </c>
    </row>
    <row r="1659" spans="21:25" x14ac:dyDescent="0.2">
      <c r="U1659" s="1260">
        <f t="shared" si="137"/>
        <v>917</v>
      </c>
      <c r="V1659" s="745">
        <v>4</v>
      </c>
      <c r="W1659" s="745">
        <v>47</v>
      </c>
      <c r="X1659" s="745">
        <v>1</v>
      </c>
      <c r="Y1659" s="1202">
        <v>1</v>
      </c>
    </row>
    <row r="1660" spans="21:25" x14ac:dyDescent="0.2">
      <c r="U1660" s="1260">
        <f t="shared" si="137"/>
        <v>935</v>
      </c>
      <c r="V1660" s="745">
        <v>4</v>
      </c>
      <c r="W1660" s="745">
        <v>48</v>
      </c>
      <c r="X1660" s="745">
        <v>1</v>
      </c>
      <c r="Y1660" s="1202">
        <v>1</v>
      </c>
    </row>
    <row r="1661" spans="21:25" x14ac:dyDescent="0.2">
      <c r="U1661" s="1260">
        <f t="shared" si="137"/>
        <v>953</v>
      </c>
      <c r="V1661" s="745">
        <v>4</v>
      </c>
      <c r="W1661" s="745">
        <v>49</v>
      </c>
      <c r="X1661" s="745">
        <v>1</v>
      </c>
      <c r="Y1661" s="1202">
        <v>1</v>
      </c>
    </row>
    <row r="1662" spans="21:25" x14ac:dyDescent="0.2">
      <c r="U1662" s="1260">
        <f t="shared" si="137"/>
        <v>971</v>
      </c>
      <c r="V1662" s="745">
        <v>4</v>
      </c>
      <c r="W1662" s="745">
        <v>50</v>
      </c>
      <c r="X1662" s="745">
        <v>1</v>
      </c>
      <c r="Y1662" s="1202">
        <v>1</v>
      </c>
    </row>
    <row r="1663" spans="21:25" x14ac:dyDescent="0.2">
      <c r="U1663" s="1260">
        <f t="shared" si="137"/>
        <v>989</v>
      </c>
      <c r="V1663" s="745">
        <v>4</v>
      </c>
      <c r="W1663" s="745">
        <v>51</v>
      </c>
      <c r="X1663" s="745">
        <v>1</v>
      </c>
      <c r="Y1663" s="1202">
        <v>1</v>
      </c>
    </row>
    <row r="1664" spans="21:25" x14ac:dyDescent="0.2">
      <c r="U1664" s="1260">
        <f t="shared" si="137"/>
        <v>1007</v>
      </c>
      <c r="V1664" s="745">
        <v>4</v>
      </c>
      <c r="W1664" s="745">
        <v>52</v>
      </c>
      <c r="X1664" s="745">
        <v>1</v>
      </c>
      <c r="Y1664" s="1202">
        <v>1</v>
      </c>
    </row>
    <row r="1665" spans="21:25" x14ac:dyDescent="0.2">
      <c r="U1665" s="1260">
        <f t="shared" si="137"/>
        <v>1025</v>
      </c>
      <c r="V1665" s="745">
        <v>4</v>
      </c>
      <c r="W1665" s="745">
        <v>53</v>
      </c>
      <c r="X1665" s="745">
        <v>1</v>
      </c>
      <c r="Y1665" s="1202">
        <v>1</v>
      </c>
    </row>
    <row r="1666" spans="21:25" x14ac:dyDescent="0.2">
      <c r="U1666" s="1260">
        <f t="shared" si="137"/>
        <v>34</v>
      </c>
      <c r="V1666" s="745">
        <v>1</v>
      </c>
      <c r="W1666" s="745">
        <v>0</v>
      </c>
      <c r="X1666" s="745">
        <v>1</v>
      </c>
      <c r="Y1666" s="1202">
        <v>1</v>
      </c>
    </row>
    <row r="1667" spans="21:25" x14ac:dyDescent="0.2">
      <c r="U1667" s="1260">
        <f t="shared" si="137"/>
        <v>46</v>
      </c>
      <c r="V1667" s="745">
        <v>2</v>
      </c>
      <c r="W1667" s="745">
        <v>0</v>
      </c>
      <c r="X1667" s="745">
        <v>1</v>
      </c>
      <c r="Y1667" s="1202">
        <v>1</v>
      </c>
    </row>
    <row r="1668" spans="21:25" x14ac:dyDescent="0.2">
      <c r="U1668" s="1260">
        <f t="shared" ref="U1668:U1731" si="138">ROUNDUP(W1668*$W$294+V1668*$V$294+X1668*$X$294+Y1668*$Y$294,0)</f>
        <v>59</v>
      </c>
      <c r="V1668" s="745">
        <v>3</v>
      </c>
      <c r="W1668" s="745">
        <v>0</v>
      </c>
      <c r="X1668" s="745">
        <v>1</v>
      </c>
      <c r="Y1668" s="1202">
        <v>1</v>
      </c>
    </row>
    <row r="1669" spans="21:25" x14ac:dyDescent="0.2">
      <c r="U1669" s="1260">
        <f t="shared" si="138"/>
        <v>71</v>
      </c>
      <c r="V1669" s="745">
        <v>4</v>
      </c>
      <c r="W1669" s="745">
        <v>0</v>
      </c>
      <c r="X1669" s="745">
        <v>1</v>
      </c>
      <c r="Y1669" s="1202">
        <v>1</v>
      </c>
    </row>
    <row r="1670" spans="21:25" x14ac:dyDescent="0.2">
      <c r="U1670" s="1260">
        <f t="shared" si="138"/>
        <v>84</v>
      </c>
      <c r="V1670" s="745">
        <v>5</v>
      </c>
      <c r="W1670" s="745">
        <v>0</v>
      </c>
      <c r="X1670" s="745">
        <v>1</v>
      </c>
      <c r="Y1670" s="1202">
        <v>1</v>
      </c>
    </row>
    <row r="1671" spans="21:25" x14ac:dyDescent="0.2">
      <c r="U1671" s="1260">
        <f t="shared" si="138"/>
        <v>96</v>
      </c>
      <c r="V1671" s="745">
        <v>6</v>
      </c>
      <c r="W1671" s="745">
        <v>0</v>
      </c>
      <c r="X1671" s="745">
        <v>1</v>
      </c>
      <c r="Y1671" s="1202">
        <v>1</v>
      </c>
    </row>
    <row r="1672" spans="21:25" x14ac:dyDescent="0.2">
      <c r="U1672" s="1260">
        <f t="shared" si="138"/>
        <v>109</v>
      </c>
      <c r="V1672" s="745">
        <v>7</v>
      </c>
      <c r="W1672" s="745">
        <v>0</v>
      </c>
      <c r="X1672" s="745">
        <v>1</v>
      </c>
      <c r="Y1672" s="1202">
        <v>1</v>
      </c>
    </row>
    <row r="1673" spans="21:25" x14ac:dyDescent="0.2">
      <c r="U1673" s="1260">
        <f t="shared" si="138"/>
        <v>121</v>
      </c>
      <c r="V1673" s="745">
        <v>8</v>
      </c>
      <c r="W1673" s="745">
        <v>0</v>
      </c>
      <c r="X1673" s="745">
        <v>1</v>
      </c>
      <c r="Y1673" s="1202">
        <v>1</v>
      </c>
    </row>
    <row r="1674" spans="21:25" x14ac:dyDescent="0.2">
      <c r="U1674" s="1260">
        <f t="shared" si="138"/>
        <v>134</v>
      </c>
      <c r="V1674" s="745">
        <v>9</v>
      </c>
      <c r="W1674" s="745">
        <v>0</v>
      </c>
      <c r="X1674" s="745">
        <v>1</v>
      </c>
      <c r="Y1674" s="1202">
        <v>1</v>
      </c>
    </row>
    <row r="1675" spans="21:25" x14ac:dyDescent="0.2">
      <c r="U1675" s="1260">
        <f t="shared" si="138"/>
        <v>146</v>
      </c>
      <c r="V1675" s="745">
        <v>10</v>
      </c>
      <c r="W1675" s="745">
        <v>0</v>
      </c>
      <c r="X1675" s="745">
        <v>1</v>
      </c>
      <c r="Y1675" s="1202">
        <v>1</v>
      </c>
    </row>
    <row r="1676" spans="21:25" x14ac:dyDescent="0.2">
      <c r="U1676" s="1260">
        <f t="shared" si="138"/>
        <v>159</v>
      </c>
      <c r="V1676" s="745">
        <v>11</v>
      </c>
      <c r="W1676" s="745">
        <v>0</v>
      </c>
      <c r="X1676" s="745">
        <v>1</v>
      </c>
      <c r="Y1676" s="1202">
        <v>1</v>
      </c>
    </row>
    <row r="1677" spans="21:25" x14ac:dyDescent="0.2">
      <c r="U1677" s="1260">
        <f t="shared" si="138"/>
        <v>171</v>
      </c>
      <c r="V1677" s="745">
        <v>12</v>
      </c>
      <c r="W1677" s="745">
        <v>0</v>
      </c>
      <c r="X1677" s="745">
        <v>1</v>
      </c>
      <c r="Y1677" s="1202">
        <v>1</v>
      </c>
    </row>
    <row r="1678" spans="21:25" x14ac:dyDescent="0.2">
      <c r="U1678" s="1260">
        <f t="shared" si="138"/>
        <v>184</v>
      </c>
      <c r="V1678" s="745">
        <v>13</v>
      </c>
      <c r="W1678" s="745">
        <v>0</v>
      </c>
      <c r="X1678" s="745">
        <v>1</v>
      </c>
      <c r="Y1678" s="1202">
        <v>1</v>
      </c>
    </row>
    <row r="1679" spans="21:25" x14ac:dyDescent="0.2">
      <c r="U1679" s="1260">
        <f t="shared" si="138"/>
        <v>196</v>
      </c>
      <c r="V1679" s="745">
        <v>14</v>
      </c>
      <c r="W1679" s="745">
        <v>0</v>
      </c>
      <c r="X1679" s="745">
        <v>1</v>
      </c>
      <c r="Y1679" s="1202">
        <v>1</v>
      </c>
    </row>
    <row r="1680" spans="21:25" x14ac:dyDescent="0.2">
      <c r="U1680" s="1260">
        <f t="shared" si="138"/>
        <v>209</v>
      </c>
      <c r="V1680" s="745">
        <v>15</v>
      </c>
      <c r="W1680" s="745">
        <v>0</v>
      </c>
      <c r="X1680" s="745">
        <v>1</v>
      </c>
      <c r="Y1680" s="1202">
        <v>1</v>
      </c>
    </row>
    <row r="1681" spans="21:25" x14ac:dyDescent="0.2">
      <c r="U1681" s="1260">
        <f t="shared" si="138"/>
        <v>221</v>
      </c>
      <c r="V1681" s="745">
        <v>16</v>
      </c>
      <c r="W1681" s="745">
        <v>0</v>
      </c>
      <c r="X1681" s="745">
        <v>1</v>
      </c>
      <c r="Y1681" s="1202">
        <v>1</v>
      </c>
    </row>
    <row r="1682" spans="21:25" x14ac:dyDescent="0.2">
      <c r="U1682" s="1260">
        <f t="shared" si="138"/>
        <v>234</v>
      </c>
      <c r="V1682" s="745">
        <v>17</v>
      </c>
      <c r="W1682" s="745">
        <v>0</v>
      </c>
      <c r="X1682" s="745">
        <v>1</v>
      </c>
      <c r="Y1682" s="1202">
        <v>1</v>
      </c>
    </row>
    <row r="1683" spans="21:25" x14ac:dyDescent="0.2">
      <c r="U1683" s="1260">
        <f t="shared" si="138"/>
        <v>246</v>
      </c>
      <c r="V1683" s="745">
        <v>18</v>
      </c>
      <c r="W1683" s="745">
        <v>0</v>
      </c>
      <c r="X1683" s="745">
        <v>1</v>
      </c>
      <c r="Y1683" s="1202">
        <v>1</v>
      </c>
    </row>
    <row r="1684" spans="21:25" x14ac:dyDescent="0.2">
      <c r="U1684" s="1260">
        <f t="shared" si="138"/>
        <v>259</v>
      </c>
      <c r="V1684" s="745">
        <v>19</v>
      </c>
      <c r="W1684" s="745">
        <v>0</v>
      </c>
      <c r="X1684" s="745">
        <v>1</v>
      </c>
      <c r="Y1684" s="1202">
        <v>1</v>
      </c>
    </row>
    <row r="1685" spans="21:25" x14ac:dyDescent="0.2">
      <c r="U1685" s="1260">
        <f t="shared" si="138"/>
        <v>271</v>
      </c>
      <c r="V1685" s="745">
        <v>20</v>
      </c>
      <c r="W1685" s="745">
        <v>0</v>
      </c>
      <c r="X1685" s="745">
        <v>1</v>
      </c>
      <c r="Y1685" s="1202">
        <v>1</v>
      </c>
    </row>
    <row r="1686" spans="21:25" x14ac:dyDescent="0.2">
      <c r="U1686" s="1260">
        <f t="shared" si="138"/>
        <v>284</v>
      </c>
      <c r="V1686" s="745">
        <v>21</v>
      </c>
      <c r="W1686" s="745">
        <v>0</v>
      </c>
      <c r="X1686" s="745">
        <v>1</v>
      </c>
      <c r="Y1686" s="1202">
        <v>1</v>
      </c>
    </row>
    <row r="1687" spans="21:25" x14ac:dyDescent="0.2">
      <c r="U1687" s="1260">
        <f t="shared" si="138"/>
        <v>296</v>
      </c>
      <c r="V1687" s="745">
        <v>22</v>
      </c>
      <c r="W1687" s="745">
        <v>0</v>
      </c>
      <c r="X1687" s="745">
        <v>1</v>
      </c>
      <c r="Y1687" s="1202">
        <v>1</v>
      </c>
    </row>
    <row r="1688" spans="21:25" x14ac:dyDescent="0.2">
      <c r="U1688" s="1260">
        <f t="shared" si="138"/>
        <v>309</v>
      </c>
      <c r="V1688" s="745">
        <v>23</v>
      </c>
      <c r="W1688" s="745">
        <v>0</v>
      </c>
      <c r="X1688" s="745">
        <v>1</v>
      </c>
      <c r="Y1688" s="1202">
        <v>1</v>
      </c>
    </row>
    <row r="1689" spans="21:25" x14ac:dyDescent="0.2">
      <c r="U1689" s="1260">
        <f t="shared" si="138"/>
        <v>321</v>
      </c>
      <c r="V1689" s="745">
        <v>24</v>
      </c>
      <c r="W1689" s="745">
        <v>0</v>
      </c>
      <c r="X1689" s="745">
        <v>1</v>
      </c>
      <c r="Y1689" s="1202">
        <v>1</v>
      </c>
    </row>
    <row r="1690" spans="21:25" x14ac:dyDescent="0.2">
      <c r="U1690" s="1260">
        <f t="shared" si="138"/>
        <v>334</v>
      </c>
      <c r="V1690" s="745">
        <v>25</v>
      </c>
      <c r="W1690" s="745">
        <v>0</v>
      </c>
      <c r="X1690" s="745">
        <v>1</v>
      </c>
      <c r="Y1690" s="1202">
        <v>1</v>
      </c>
    </row>
    <row r="1691" spans="21:25" x14ac:dyDescent="0.2">
      <c r="U1691" s="1260">
        <f t="shared" si="138"/>
        <v>346</v>
      </c>
      <c r="V1691" s="745">
        <v>26</v>
      </c>
      <c r="W1691" s="745">
        <v>0</v>
      </c>
      <c r="X1691" s="745">
        <v>1</v>
      </c>
      <c r="Y1691" s="1202">
        <v>1</v>
      </c>
    </row>
    <row r="1692" spans="21:25" x14ac:dyDescent="0.2">
      <c r="U1692" s="1260">
        <f t="shared" si="138"/>
        <v>359</v>
      </c>
      <c r="V1692" s="745">
        <v>27</v>
      </c>
      <c r="W1692" s="745">
        <v>0</v>
      </c>
      <c r="X1692" s="745">
        <v>1</v>
      </c>
      <c r="Y1692" s="1202">
        <v>1</v>
      </c>
    </row>
    <row r="1693" spans="21:25" x14ac:dyDescent="0.2">
      <c r="U1693" s="1260">
        <f t="shared" si="138"/>
        <v>371</v>
      </c>
      <c r="V1693" s="745">
        <v>28</v>
      </c>
      <c r="W1693" s="745">
        <v>0</v>
      </c>
      <c r="X1693" s="745">
        <v>1</v>
      </c>
      <c r="Y1693" s="1202">
        <v>1</v>
      </c>
    </row>
    <row r="1694" spans="21:25" x14ac:dyDescent="0.2">
      <c r="U1694" s="1260">
        <f t="shared" si="138"/>
        <v>384</v>
      </c>
      <c r="V1694" s="745">
        <v>29</v>
      </c>
      <c r="W1694" s="745">
        <v>0</v>
      </c>
      <c r="X1694" s="745">
        <v>1</v>
      </c>
      <c r="Y1694" s="1202">
        <v>1</v>
      </c>
    </row>
    <row r="1695" spans="21:25" x14ac:dyDescent="0.2">
      <c r="U1695" s="1260">
        <f t="shared" si="138"/>
        <v>396</v>
      </c>
      <c r="V1695" s="745">
        <v>30</v>
      </c>
      <c r="W1695" s="745">
        <v>0</v>
      </c>
      <c r="X1695" s="745">
        <v>1</v>
      </c>
      <c r="Y1695" s="1202">
        <v>1</v>
      </c>
    </row>
    <row r="1696" spans="21:25" x14ac:dyDescent="0.2">
      <c r="U1696" s="1260">
        <f t="shared" si="138"/>
        <v>409</v>
      </c>
      <c r="V1696" s="745">
        <v>31</v>
      </c>
      <c r="W1696" s="745">
        <v>0</v>
      </c>
      <c r="X1696" s="745">
        <v>1</v>
      </c>
      <c r="Y1696" s="1202">
        <v>1</v>
      </c>
    </row>
    <row r="1697" spans="21:25" x14ac:dyDescent="0.2">
      <c r="U1697" s="1260">
        <f t="shared" si="138"/>
        <v>421</v>
      </c>
      <c r="V1697" s="745">
        <v>32</v>
      </c>
      <c r="W1697" s="745">
        <v>0</v>
      </c>
      <c r="X1697" s="745">
        <v>1</v>
      </c>
      <c r="Y1697" s="1202">
        <v>1</v>
      </c>
    </row>
    <row r="1698" spans="21:25" x14ac:dyDescent="0.2">
      <c r="U1698" s="1260">
        <f t="shared" si="138"/>
        <v>434</v>
      </c>
      <c r="V1698" s="745">
        <v>33</v>
      </c>
      <c r="W1698" s="745">
        <v>0</v>
      </c>
      <c r="X1698" s="745">
        <v>1</v>
      </c>
      <c r="Y1698" s="1202">
        <v>1</v>
      </c>
    </row>
    <row r="1699" spans="21:25" x14ac:dyDescent="0.2">
      <c r="U1699" s="1260">
        <f t="shared" si="138"/>
        <v>446</v>
      </c>
      <c r="V1699" s="745">
        <v>34</v>
      </c>
      <c r="W1699" s="745">
        <v>0</v>
      </c>
      <c r="X1699" s="745">
        <v>1</v>
      </c>
      <c r="Y1699" s="1202">
        <v>1</v>
      </c>
    </row>
    <row r="1700" spans="21:25" x14ac:dyDescent="0.2">
      <c r="U1700" s="1260">
        <f t="shared" si="138"/>
        <v>459</v>
      </c>
      <c r="V1700" s="745">
        <v>35</v>
      </c>
      <c r="W1700" s="745">
        <v>0</v>
      </c>
      <c r="X1700" s="745">
        <v>1</v>
      </c>
      <c r="Y1700" s="1202">
        <v>1</v>
      </c>
    </row>
    <row r="1701" spans="21:25" x14ac:dyDescent="0.2">
      <c r="U1701" s="1260">
        <f t="shared" si="138"/>
        <v>471</v>
      </c>
      <c r="V1701" s="745">
        <v>36</v>
      </c>
      <c r="W1701" s="745">
        <v>0</v>
      </c>
      <c r="X1701" s="745">
        <v>1</v>
      </c>
      <c r="Y1701" s="1202">
        <v>1</v>
      </c>
    </row>
    <row r="1702" spans="21:25" x14ac:dyDescent="0.2">
      <c r="U1702" s="1260">
        <f t="shared" si="138"/>
        <v>484</v>
      </c>
      <c r="V1702" s="745">
        <v>37</v>
      </c>
      <c r="W1702" s="745">
        <v>0</v>
      </c>
      <c r="X1702" s="745">
        <v>1</v>
      </c>
      <c r="Y1702" s="1202">
        <v>1</v>
      </c>
    </row>
    <row r="1703" spans="21:25" x14ac:dyDescent="0.2">
      <c r="U1703" s="1260">
        <f t="shared" si="138"/>
        <v>496</v>
      </c>
      <c r="V1703" s="745">
        <v>38</v>
      </c>
      <c r="W1703" s="745">
        <v>0</v>
      </c>
      <c r="X1703" s="745">
        <v>1</v>
      </c>
      <c r="Y1703" s="1202">
        <v>1</v>
      </c>
    </row>
    <row r="1704" spans="21:25" x14ac:dyDescent="0.2">
      <c r="U1704" s="1260">
        <f t="shared" si="138"/>
        <v>509</v>
      </c>
      <c r="V1704" s="745">
        <v>39</v>
      </c>
      <c r="W1704" s="745">
        <v>0</v>
      </c>
      <c r="X1704" s="745">
        <v>1</v>
      </c>
      <c r="Y1704" s="1202">
        <v>1</v>
      </c>
    </row>
    <row r="1705" spans="21:25" x14ac:dyDescent="0.2">
      <c r="U1705" s="1260">
        <f t="shared" si="138"/>
        <v>521</v>
      </c>
      <c r="V1705" s="745">
        <v>40</v>
      </c>
      <c r="W1705" s="745">
        <v>0</v>
      </c>
      <c r="X1705" s="745">
        <v>1</v>
      </c>
      <c r="Y1705" s="1202">
        <v>1</v>
      </c>
    </row>
    <row r="1706" spans="21:25" x14ac:dyDescent="0.2">
      <c r="U1706" s="1260">
        <f t="shared" si="138"/>
        <v>102</v>
      </c>
      <c r="V1706" s="745">
        <v>5</v>
      </c>
      <c r="W1706" s="745">
        <v>1</v>
      </c>
      <c r="X1706" s="745">
        <v>1</v>
      </c>
      <c r="Y1706" s="1202">
        <v>1</v>
      </c>
    </row>
    <row r="1707" spans="21:25" x14ac:dyDescent="0.2">
      <c r="U1707" s="1260">
        <f t="shared" si="138"/>
        <v>120</v>
      </c>
      <c r="V1707" s="745">
        <v>5</v>
      </c>
      <c r="W1707" s="745">
        <v>2</v>
      </c>
      <c r="X1707" s="745">
        <v>1</v>
      </c>
      <c r="Y1707" s="1202">
        <v>1</v>
      </c>
    </row>
    <row r="1708" spans="21:25" x14ac:dyDescent="0.2">
      <c r="U1708" s="1260">
        <f t="shared" si="138"/>
        <v>138</v>
      </c>
      <c r="V1708" s="745">
        <v>5</v>
      </c>
      <c r="W1708" s="745">
        <v>3</v>
      </c>
      <c r="X1708" s="745">
        <v>1</v>
      </c>
      <c r="Y1708" s="1202">
        <v>1</v>
      </c>
    </row>
    <row r="1709" spans="21:25" x14ac:dyDescent="0.2">
      <c r="U1709" s="1260">
        <f t="shared" si="138"/>
        <v>156</v>
      </c>
      <c r="V1709" s="745">
        <v>5</v>
      </c>
      <c r="W1709" s="745">
        <v>4</v>
      </c>
      <c r="X1709" s="745">
        <v>1</v>
      </c>
      <c r="Y1709" s="1202">
        <v>1</v>
      </c>
    </row>
    <row r="1710" spans="21:25" x14ac:dyDescent="0.2">
      <c r="U1710" s="1260">
        <f t="shared" si="138"/>
        <v>174</v>
      </c>
      <c r="V1710" s="745">
        <v>5</v>
      </c>
      <c r="W1710" s="745">
        <v>5</v>
      </c>
      <c r="X1710" s="745">
        <v>1</v>
      </c>
      <c r="Y1710" s="1202">
        <v>1</v>
      </c>
    </row>
    <row r="1711" spans="21:25" x14ac:dyDescent="0.2">
      <c r="U1711" s="1260">
        <f t="shared" si="138"/>
        <v>192</v>
      </c>
      <c r="V1711" s="745">
        <v>5</v>
      </c>
      <c r="W1711" s="745">
        <v>6</v>
      </c>
      <c r="X1711" s="745">
        <v>1</v>
      </c>
      <c r="Y1711" s="1202">
        <v>1</v>
      </c>
    </row>
    <row r="1712" spans="21:25" x14ac:dyDescent="0.2">
      <c r="U1712" s="1260">
        <f t="shared" si="138"/>
        <v>210</v>
      </c>
      <c r="V1712" s="745">
        <v>5</v>
      </c>
      <c r="W1712" s="745">
        <v>7</v>
      </c>
      <c r="X1712" s="745">
        <v>1</v>
      </c>
      <c r="Y1712" s="1202">
        <v>1</v>
      </c>
    </row>
    <row r="1713" spans="21:25" x14ac:dyDescent="0.2">
      <c r="U1713" s="1260">
        <f t="shared" si="138"/>
        <v>228</v>
      </c>
      <c r="V1713" s="745">
        <v>5</v>
      </c>
      <c r="W1713" s="745">
        <v>8</v>
      </c>
      <c r="X1713" s="745">
        <v>1</v>
      </c>
      <c r="Y1713" s="1202">
        <v>1</v>
      </c>
    </row>
    <row r="1714" spans="21:25" x14ac:dyDescent="0.2">
      <c r="U1714" s="1260">
        <f t="shared" si="138"/>
        <v>246</v>
      </c>
      <c r="V1714" s="745">
        <v>5</v>
      </c>
      <c r="W1714" s="745">
        <v>9</v>
      </c>
      <c r="X1714" s="745">
        <v>1</v>
      </c>
      <c r="Y1714" s="1202">
        <v>1</v>
      </c>
    </row>
    <row r="1715" spans="21:25" x14ac:dyDescent="0.2">
      <c r="U1715" s="1260">
        <f t="shared" si="138"/>
        <v>264</v>
      </c>
      <c r="V1715" s="745">
        <v>5</v>
      </c>
      <c r="W1715" s="745">
        <v>10</v>
      </c>
      <c r="X1715" s="745">
        <v>1</v>
      </c>
      <c r="Y1715" s="1202">
        <v>1</v>
      </c>
    </row>
    <row r="1716" spans="21:25" x14ac:dyDescent="0.2">
      <c r="U1716" s="1260">
        <f t="shared" si="138"/>
        <v>282</v>
      </c>
      <c r="V1716" s="745">
        <v>5</v>
      </c>
      <c r="W1716" s="745">
        <v>11</v>
      </c>
      <c r="X1716" s="745">
        <v>1</v>
      </c>
      <c r="Y1716" s="1202">
        <v>1</v>
      </c>
    </row>
    <row r="1717" spans="21:25" x14ac:dyDescent="0.2">
      <c r="U1717" s="1260">
        <f t="shared" si="138"/>
        <v>300</v>
      </c>
      <c r="V1717" s="745">
        <v>5</v>
      </c>
      <c r="W1717" s="745">
        <v>12</v>
      </c>
      <c r="X1717" s="745">
        <v>1</v>
      </c>
      <c r="Y1717" s="1202">
        <v>1</v>
      </c>
    </row>
    <row r="1718" spans="21:25" x14ac:dyDescent="0.2">
      <c r="U1718" s="1260">
        <f t="shared" si="138"/>
        <v>318</v>
      </c>
      <c r="V1718" s="745">
        <v>5</v>
      </c>
      <c r="W1718" s="745">
        <v>13</v>
      </c>
      <c r="X1718" s="745">
        <v>1</v>
      </c>
      <c r="Y1718" s="1202">
        <v>1</v>
      </c>
    </row>
    <row r="1719" spans="21:25" x14ac:dyDescent="0.2">
      <c r="U1719" s="1260">
        <f t="shared" si="138"/>
        <v>336</v>
      </c>
      <c r="V1719" s="745">
        <v>5</v>
      </c>
      <c r="W1719" s="745">
        <v>14</v>
      </c>
      <c r="X1719" s="745">
        <v>1</v>
      </c>
      <c r="Y1719" s="1202">
        <v>1</v>
      </c>
    </row>
    <row r="1720" spans="21:25" x14ac:dyDescent="0.2">
      <c r="U1720" s="1260">
        <f t="shared" si="138"/>
        <v>354</v>
      </c>
      <c r="V1720" s="745">
        <v>5</v>
      </c>
      <c r="W1720" s="745">
        <v>15</v>
      </c>
      <c r="X1720" s="745">
        <v>1</v>
      </c>
      <c r="Y1720" s="1202">
        <v>1</v>
      </c>
    </row>
    <row r="1721" spans="21:25" x14ac:dyDescent="0.2">
      <c r="U1721" s="1260">
        <f t="shared" si="138"/>
        <v>372</v>
      </c>
      <c r="V1721" s="745">
        <v>5</v>
      </c>
      <c r="W1721" s="745">
        <v>16</v>
      </c>
      <c r="X1721" s="745">
        <v>1</v>
      </c>
      <c r="Y1721" s="1202">
        <v>1</v>
      </c>
    </row>
    <row r="1722" spans="21:25" x14ac:dyDescent="0.2">
      <c r="U1722" s="1260">
        <f t="shared" si="138"/>
        <v>390</v>
      </c>
      <c r="V1722" s="745">
        <v>5</v>
      </c>
      <c r="W1722" s="745">
        <v>17</v>
      </c>
      <c r="X1722" s="745">
        <v>1</v>
      </c>
      <c r="Y1722" s="1202">
        <v>1</v>
      </c>
    </row>
    <row r="1723" spans="21:25" x14ac:dyDescent="0.2">
      <c r="U1723" s="1260">
        <f t="shared" si="138"/>
        <v>408</v>
      </c>
      <c r="V1723" s="745">
        <v>5</v>
      </c>
      <c r="W1723" s="745">
        <v>18</v>
      </c>
      <c r="X1723" s="745">
        <v>1</v>
      </c>
      <c r="Y1723" s="1202">
        <v>1</v>
      </c>
    </row>
    <row r="1724" spans="21:25" x14ac:dyDescent="0.2">
      <c r="U1724" s="1260">
        <f t="shared" si="138"/>
        <v>426</v>
      </c>
      <c r="V1724" s="745">
        <v>5</v>
      </c>
      <c r="W1724" s="745">
        <v>19</v>
      </c>
      <c r="X1724" s="745">
        <v>1</v>
      </c>
      <c r="Y1724" s="1202">
        <v>1</v>
      </c>
    </row>
    <row r="1725" spans="21:25" x14ac:dyDescent="0.2">
      <c r="U1725" s="1260">
        <f t="shared" si="138"/>
        <v>444</v>
      </c>
      <c r="V1725" s="745">
        <v>5</v>
      </c>
      <c r="W1725" s="745">
        <v>20</v>
      </c>
      <c r="X1725" s="745">
        <v>1</v>
      </c>
      <c r="Y1725" s="1202">
        <v>1</v>
      </c>
    </row>
    <row r="1726" spans="21:25" x14ac:dyDescent="0.2">
      <c r="U1726" s="1260">
        <f t="shared" si="138"/>
        <v>462</v>
      </c>
      <c r="V1726" s="745">
        <v>5</v>
      </c>
      <c r="W1726" s="745">
        <v>21</v>
      </c>
      <c r="X1726" s="745">
        <v>1</v>
      </c>
      <c r="Y1726" s="1202">
        <v>1</v>
      </c>
    </row>
    <row r="1727" spans="21:25" x14ac:dyDescent="0.2">
      <c r="U1727" s="1260">
        <f t="shared" si="138"/>
        <v>480</v>
      </c>
      <c r="V1727" s="745">
        <v>5</v>
      </c>
      <c r="W1727" s="745">
        <v>22</v>
      </c>
      <c r="X1727" s="745">
        <v>1</v>
      </c>
      <c r="Y1727" s="1202">
        <v>1</v>
      </c>
    </row>
    <row r="1728" spans="21:25" x14ac:dyDescent="0.2">
      <c r="U1728" s="1260">
        <f t="shared" si="138"/>
        <v>498</v>
      </c>
      <c r="V1728" s="745">
        <v>5</v>
      </c>
      <c r="W1728" s="745">
        <v>23</v>
      </c>
      <c r="X1728" s="745">
        <v>1</v>
      </c>
      <c r="Y1728" s="1202">
        <v>1</v>
      </c>
    </row>
    <row r="1729" spans="21:25" x14ac:dyDescent="0.2">
      <c r="U1729" s="1260">
        <f t="shared" si="138"/>
        <v>516</v>
      </c>
      <c r="V1729" s="745">
        <v>5</v>
      </c>
      <c r="W1729" s="745">
        <v>24</v>
      </c>
      <c r="X1729" s="745">
        <v>1</v>
      </c>
      <c r="Y1729" s="1202">
        <v>1</v>
      </c>
    </row>
    <row r="1730" spans="21:25" x14ac:dyDescent="0.2">
      <c r="U1730" s="1260">
        <f t="shared" si="138"/>
        <v>534</v>
      </c>
      <c r="V1730" s="745">
        <v>5</v>
      </c>
      <c r="W1730" s="745">
        <v>25</v>
      </c>
      <c r="X1730" s="745">
        <v>1</v>
      </c>
      <c r="Y1730" s="1202">
        <v>1</v>
      </c>
    </row>
    <row r="1731" spans="21:25" x14ac:dyDescent="0.2">
      <c r="U1731" s="1260">
        <f t="shared" si="138"/>
        <v>552</v>
      </c>
      <c r="V1731" s="745">
        <v>5</v>
      </c>
      <c r="W1731" s="745">
        <v>26</v>
      </c>
      <c r="X1731" s="745">
        <v>1</v>
      </c>
      <c r="Y1731" s="1202">
        <v>1</v>
      </c>
    </row>
    <row r="1732" spans="21:25" x14ac:dyDescent="0.2">
      <c r="U1732" s="1260">
        <f t="shared" ref="U1732:U1758" si="139">ROUNDUP(W1732*$W$294+V1732*$V$294+X1732*$X$294+Y1732*$Y$294,0)</f>
        <v>570</v>
      </c>
      <c r="V1732" s="745">
        <v>5</v>
      </c>
      <c r="W1732" s="745">
        <v>27</v>
      </c>
      <c r="X1732" s="745">
        <v>1</v>
      </c>
      <c r="Y1732" s="1202">
        <v>1</v>
      </c>
    </row>
    <row r="1733" spans="21:25" x14ac:dyDescent="0.2">
      <c r="U1733" s="1260">
        <f t="shared" si="139"/>
        <v>588</v>
      </c>
      <c r="V1733" s="745">
        <v>5</v>
      </c>
      <c r="W1733" s="745">
        <v>28</v>
      </c>
      <c r="X1733" s="745">
        <v>1</v>
      </c>
      <c r="Y1733" s="1202">
        <v>1</v>
      </c>
    </row>
    <row r="1734" spans="21:25" x14ac:dyDescent="0.2">
      <c r="U1734" s="1260">
        <f t="shared" si="139"/>
        <v>606</v>
      </c>
      <c r="V1734" s="745">
        <v>5</v>
      </c>
      <c r="W1734" s="745">
        <v>29</v>
      </c>
      <c r="X1734" s="745">
        <v>1</v>
      </c>
      <c r="Y1734" s="1202">
        <v>1</v>
      </c>
    </row>
    <row r="1735" spans="21:25" x14ac:dyDescent="0.2">
      <c r="U1735" s="1260">
        <f t="shared" si="139"/>
        <v>624</v>
      </c>
      <c r="V1735" s="745">
        <v>5</v>
      </c>
      <c r="W1735" s="745">
        <v>30</v>
      </c>
      <c r="X1735" s="745">
        <v>1</v>
      </c>
      <c r="Y1735" s="1202">
        <v>1</v>
      </c>
    </row>
    <row r="1736" spans="21:25" x14ac:dyDescent="0.2">
      <c r="U1736" s="1260">
        <f t="shared" si="139"/>
        <v>642</v>
      </c>
      <c r="V1736" s="745">
        <v>5</v>
      </c>
      <c r="W1736" s="745">
        <v>31</v>
      </c>
      <c r="X1736" s="745">
        <v>1</v>
      </c>
      <c r="Y1736" s="1202">
        <v>1</v>
      </c>
    </row>
    <row r="1737" spans="21:25" x14ac:dyDescent="0.2">
      <c r="U1737" s="1260">
        <f t="shared" si="139"/>
        <v>660</v>
      </c>
      <c r="V1737" s="745">
        <v>5</v>
      </c>
      <c r="W1737" s="745">
        <v>32</v>
      </c>
      <c r="X1737" s="745">
        <v>1</v>
      </c>
      <c r="Y1737" s="1202">
        <v>1</v>
      </c>
    </row>
    <row r="1738" spans="21:25" x14ac:dyDescent="0.2">
      <c r="U1738" s="1260">
        <f t="shared" si="139"/>
        <v>678</v>
      </c>
      <c r="V1738" s="745">
        <v>5</v>
      </c>
      <c r="W1738" s="745">
        <v>33</v>
      </c>
      <c r="X1738" s="745">
        <v>1</v>
      </c>
      <c r="Y1738" s="1202">
        <v>1</v>
      </c>
    </row>
    <row r="1739" spans="21:25" x14ac:dyDescent="0.2">
      <c r="U1739" s="1260">
        <f t="shared" si="139"/>
        <v>696</v>
      </c>
      <c r="V1739" s="745">
        <v>5</v>
      </c>
      <c r="W1739" s="745">
        <v>34</v>
      </c>
      <c r="X1739" s="745">
        <v>1</v>
      </c>
      <c r="Y1739" s="1202">
        <v>1</v>
      </c>
    </row>
    <row r="1740" spans="21:25" x14ac:dyDescent="0.2">
      <c r="U1740" s="1260">
        <f t="shared" si="139"/>
        <v>714</v>
      </c>
      <c r="V1740" s="745">
        <v>5</v>
      </c>
      <c r="W1740" s="745">
        <v>35</v>
      </c>
      <c r="X1740" s="745">
        <v>1</v>
      </c>
      <c r="Y1740" s="1202">
        <v>1</v>
      </c>
    </row>
    <row r="1741" spans="21:25" x14ac:dyDescent="0.2">
      <c r="U1741" s="1260">
        <f t="shared" si="139"/>
        <v>732</v>
      </c>
      <c r="V1741" s="745">
        <v>5</v>
      </c>
      <c r="W1741" s="745">
        <v>36</v>
      </c>
      <c r="X1741" s="745">
        <v>1</v>
      </c>
      <c r="Y1741" s="1202">
        <v>1</v>
      </c>
    </row>
    <row r="1742" spans="21:25" x14ac:dyDescent="0.2">
      <c r="U1742" s="1260">
        <f t="shared" si="139"/>
        <v>750</v>
      </c>
      <c r="V1742" s="745">
        <v>5</v>
      </c>
      <c r="W1742" s="745">
        <v>37</v>
      </c>
      <c r="X1742" s="745">
        <v>1</v>
      </c>
      <c r="Y1742" s="1202">
        <v>1</v>
      </c>
    </row>
    <row r="1743" spans="21:25" x14ac:dyDescent="0.2">
      <c r="U1743" s="1260">
        <f t="shared" si="139"/>
        <v>768</v>
      </c>
      <c r="V1743" s="745">
        <v>5</v>
      </c>
      <c r="W1743" s="745">
        <v>38</v>
      </c>
      <c r="X1743" s="745">
        <v>1</v>
      </c>
      <c r="Y1743" s="1202">
        <v>1</v>
      </c>
    </row>
    <row r="1744" spans="21:25" x14ac:dyDescent="0.2">
      <c r="U1744" s="1260">
        <f t="shared" si="139"/>
        <v>786</v>
      </c>
      <c r="V1744" s="745">
        <v>5</v>
      </c>
      <c r="W1744" s="745">
        <v>39</v>
      </c>
      <c r="X1744" s="745">
        <v>1</v>
      </c>
      <c r="Y1744" s="1202">
        <v>1</v>
      </c>
    </row>
    <row r="1745" spans="21:25" x14ac:dyDescent="0.2">
      <c r="U1745" s="1260">
        <f t="shared" si="139"/>
        <v>804</v>
      </c>
      <c r="V1745" s="745">
        <v>5</v>
      </c>
      <c r="W1745" s="745">
        <v>40</v>
      </c>
      <c r="X1745" s="745">
        <v>1</v>
      </c>
      <c r="Y1745" s="1202">
        <v>1</v>
      </c>
    </row>
    <row r="1746" spans="21:25" x14ac:dyDescent="0.2">
      <c r="U1746" s="1260">
        <f t="shared" si="139"/>
        <v>822</v>
      </c>
      <c r="V1746" s="745">
        <v>5</v>
      </c>
      <c r="W1746" s="745">
        <v>41</v>
      </c>
      <c r="X1746" s="745">
        <v>1</v>
      </c>
      <c r="Y1746" s="1202">
        <v>1</v>
      </c>
    </row>
    <row r="1747" spans="21:25" x14ac:dyDescent="0.2">
      <c r="U1747" s="1260">
        <f t="shared" si="139"/>
        <v>840</v>
      </c>
      <c r="V1747" s="745">
        <v>5</v>
      </c>
      <c r="W1747" s="745">
        <v>42</v>
      </c>
      <c r="X1747" s="745">
        <v>1</v>
      </c>
      <c r="Y1747" s="1202">
        <v>1</v>
      </c>
    </row>
    <row r="1748" spans="21:25" x14ac:dyDescent="0.2">
      <c r="U1748" s="1260">
        <f t="shared" si="139"/>
        <v>858</v>
      </c>
      <c r="V1748" s="745">
        <v>5</v>
      </c>
      <c r="W1748" s="745">
        <v>43</v>
      </c>
      <c r="X1748" s="745">
        <v>1</v>
      </c>
      <c r="Y1748" s="1202">
        <v>1</v>
      </c>
    </row>
    <row r="1749" spans="21:25" x14ac:dyDescent="0.2">
      <c r="U1749" s="1260">
        <f t="shared" si="139"/>
        <v>876</v>
      </c>
      <c r="V1749" s="745">
        <v>5</v>
      </c>
      <c r="W1749" s="745">
        <v>44</v>
      </c>
      <c r="X1749" s="745">
        <v>1</v>
      </c>
      <c r="Y1749" s="1202">
        <v>1</v>
      </c>
    </row>
    <row r="1750" spans="21:25" x14ac:dyDescent="0.2">
      <c r="U1750" s="1260">
        <f t="shared" si="139"/>
        <v>894</v>
      </c>
      <c r="V1750" s="745">
        <v>5</v>
      </c>
      <c r="W1750" s="745">
        <v>45</v>
      </c>
      <c r="X1750" s="745">
        <v>1</v>
      </c>
      <c r="Y1750" s="1202">
        <v>1</v>
      </c>
    </row>
    <row r="1751" spans="21:25" x14ac:dyDescent="0.2">
      <c r="U1751" s="1260">
        <f t="shared" si="139"/>
        <v>912</v>
      </c>
      <c r="V1751" s="745">
        <v>5</v>
      </c>
      <c r="W1751" s="745">
        <v>46</v>
      </c>
      <c r="X1751" s="745">
        <v>1</v>
      </c>
      <c r="Y1751" s="1202">
        <v>1</v>
      </c>
    </row>
    <row r="1752" spans="21:25" x14ac:dyDescent="0.2">
      <c r="U1752" s="1260">
        <f t="shared" si="139"/>
        <v>930</v>
      </c>
      <c r="V1752" s="745">
        <v>5</v>
      </c>
      <c r="W1752" s="745">
        <v>47</v>
      </c>
      <c r="X1752" s="745">
        <v>1</v>
      </c>
      <c r="Y1752" s="1202">
        <v>1</v>
      </c>
    </row>
    <row r="1753" spans="21:25" x14ac:dyDescent="0.2">
      <c r="U1753" s="1260">
        <f t="shared" si="139"/>
        <v>948</v>
      </c>
      <c r="V1753" s="745">
        <v>5</v>
      </c>
      <c r="W1753" s="745">
        <v>48</v>
      </c>
      <c r="X1753" s="745">
        <v>1</v>
      </c>
      <c r="Y1753" s="1202">
        <v>1</v>
      </c>
    </row>
    <row r="1754" spans="21:25" x14ac:dyDescent="0.2">
      <c r="U1754" s="1260">
        <f t="shared" si="139"/>
        <v>966</v>
      </c>
      <c r="V1754" s="745">
        <v>5</v>
      </c>
      <c r="W1754" s="745">
        <v>49</v>
      </c>
      <c r="X1754" s="745">
        <v>1</v>
      </c>
      <c r="Y1754" s="1202">
        <v>1</v>
      </c>
    </row>
    <row r="1755" spans="21:25" x14ac:dyDescent="0.2">
      <c r="U1755" s="1260">
        <f t="shared" si="139"/>
        <v>984</v>
      </c>
      <c r="V1755" s="745">
        <v>5</v>
      </c>
      <c r="W1755" s="745">
        <v>50</v>
      </c>
      <c r="X1755" s="745">
        <v>1</v>
      </c>
      <c r="Y1755" s="1202">
        <v>1</v>
      </c>
    </row>
    <row r="1756" spans="21:25" x14ac:dyDescent="0.2">
      <c r="U1756" s="1260">
        <f t="shared" si="139"/>
        <v>1002</v>
      </c>
      <c r="V1756" s="745">
        <v>5</v>
      </c>
      <c r="W1756" s="745">
        <v>51</v>
      </c>
      <c r="X1756" s="745">
        <v>1</v>
      </c>
      <c r="Y1756" s="1202">
        <v>1</v>
      </c>
    </row>
    <row r="1757" spans="21:25" x14ac:dyDescent="0.2">
      <c r="U1757" s="1260">
        <f t="shared" si="139"/>
        <v>1020</v>
      </c>
      <c r="V1757" s="745">
        <v>5</v>
      </c>
      <c r="W1757" s="745">
        <v>52</v>
      </c>
      <c r="X1757" s="745">
        <v>1</v>
      </c>
      <c r="Y1757" s="1202">
        <v>1</v>
      </c>
    </row>
    <row r="1758" spans="21:25" ht="13.5" thickBot="1" x14ac:dyDescent="0.25">
      <c r="U1758" s="1261">
        <f t="shared" si="139"/>
        <v>1038</v>
      </c>
      <c r="V1758" s="1204">
        <v>5</v>
      </c>
      <c r="W1758" s="1204">
        <v>53</v>
      </c>
      <c r="X1758" s="1204">
        <v>1</v>
      </c>
      <c r="Y1758" s="1257">
        <v>1</v>
      </c>
    </row>
  </sheetData>
  <mergeCells count="38">
    <mergeCell ref="J300:M300"/>
    <mergeCell ref="E292:H293"/>
    <mergeCell ref="U292:Y293"/>
    <mergeCell ref="V242:AJ242"/>
    <mergeCell ref="C272:D272"/>
    <mergeCell ref="F272:G272"/>
    <mergeCell ref="C284:D284"/>
    <mergeCell ref="AA102:AB102"/>
    <mergeCell ref="C250:D250"/>
    <mergeCell ref="I156:J156"/>
    <mergeCell ref="O156:P156"/>
    <mergeCell ref="E193:F193"/>
    <mergeCell ref="B112:C112"/>
    <mergeCell ref="D237:E237"/>
    <mergeCell ref="E177:F177"/>
    <mergeCell ref="R156:S156"/>
    <mergeCell ref="R208:AJ208"/>
    <mergeCell ref="V209:AJ209"/>
    <mergeCell ref="V220:AJ220"/>
    <mergeCell ref="V231:AJ231"/>
    <mergeCell ref="R230:U252"/>
    <mergeCell ref="V158:X158"/>
    <mergeCell ref="Y6:AB6"/>
    <mergeCell ref="D68:D87"/>
    <mergeCell ref="U6:X6"/>
    <mergeCell ref="F194:G194"/>
    <mergeCell ref="P177:R177"/>
    <mergeCell ref="E11:G11"/>
    <mergeCell ref="H19:K19"/>
    <mergeCell ref="N22:Q22"/>
    <mergeCell ref="M43:N43"/>
    <mergeCell ref="Y66:Z68"/>
    <mergeCell ref="Z82:AA82"/>
    <mergeCell ref="AB82:AC82"/>
    <mergeCell ref="AA92:AB92"/>
    <mergeCell ref="C66:E66"/>
    <mergeCell ref="D88:D107"/>
    <mergeCell ref="AA98:AB98"/>
  </mergeCells>
  <phoneticPr fontId="76" type="noConversion"/>
  <conditionalFormatting sqref="T10:AC24">
    <cfRule type="cellIs" dxfId="1472" priority="42" stopIfTrue="1" operator="equal">
      <formula>0</formula>
    </cfRule>
  </conditionalFormatting>
  <conditionalFormatting sqref="H302:H1228">
    <cfRule type="cellIs" dxfId="1471" priority="41" stopIfTrue="1" operator="equal">
      <formula>0</formula>
    </cfRule>
  </conditionalFormatting>
  <conditionalFormatting sqref="L232:N232">
    <cfRule type="cellIs" dxfId="1470" priority="32" stopIfTrue="1" operator="equal">
      <formula>0</formula>
    </cfRule>
  </conditionalFormatting>
  <conditionalFormatting sqref="G230 K196:N231 I196:J230">
    <cfRule type="cellIs" dxfId="1469" priority="35" stopIfTrue="1" operator="equal">
      <formula>0</formula>
    </cfRule>
  </conditionalFormatting>
  <conditionalFormatting sqref="H196:H230">
    <cfRule type="cellIs" dxfId="1468" priority="34" stopIfTrue="1" operator="equal">
      <formula>0</formula>
    </cfRule>
  </conditionalFormatting>
  <conditionalFormatting sqref="K232">
    <cfRule type="cellIs" dxfId="1467" priority="33" stopIfTrue="1" operator="equal">
      <formula>0</formula>
    </cfRule>
  </conditionalFormatting>
  <conditionalFormatting sqref="AJ211:AJ217">
    <cfRule type="cellIs" dxfId="1466" priority="30" stopIfTrue="1" operator="equal">
      <formula>"failed"</formula>
    </cfRule>
    <cfRule type="cellIs" dxfId="1465" priority="31" stopIfTrue="1" operator="equal">
      <formula>"check"</formula>
    </cfRule>
  </conditionalFormatting>
  <conditionalFormatting sqref="AJ222:AJ228">
    <cfRule type="cellIs" dxfId="1464" priority="28" stopIfTrue="1" operator="equal">
      <formula>"failed"</formula>
    </cfRule>
    <cfRule type="cellIs" dxfId="1463" priority="29" stopIfTrue="1" operator="equal">
      <formula>"check"</formula>
    </cfRule>
  </conditionalFormatting>
  <conditionalFormatting sqref="AJ233:AJ239">
    <cfRule type="cellIs" dxfId="1462" priority="26" stopIfTrue="1" operator="equal">
      <formula>"failed"</formula>
    </cfRule>
    <cfRule type="cellIs" dxfId="1461" priority="27" stopIfTrue="1" operator="equal">
      <formula>"check"</formula>
    </cfRule>
  </conditionalFormatting>
  <conditionalFormatting sqref="AJ244:AJ250">
    <cfRule type="cellIs" dxfId="1460" priority="22" stopIfTrue="1" operator="equal">
      <formula>"failed"</formula>
    </cfRule>
    <cfRule type="cellIs" dxfId="1459" priority="23" stopIfTrue="1" operator="equal">
      <formula>"check"</formula>
    </cfRule>
  </conditionalFormatting>
  <conditionalFormatting sqref="AJ218">
    <cfRule type="cellIs" dxfId="1458" priority="20" stopIfTrue="1" operator="equal">
      <formula>"failed"</formula>
    </cfRule>
    <cfRule type="cellIs" dxfId="1457" priority="21" stopIfTrue="1" operator="equal">
      <formula>"check"</formula>
    </cfRule>
  </conditionalFormatting>
  <conditionalFormatting sqref="AJ229">
    <cfRule type="cellIs" dxfId="1456" priority="18" stopIfTrue="1" operator="equal">
      <formula>"failed"</formula>
    </cfRule>
    <cfRule type="cellIs" dxfId="1455" priority="19" stopIfTrue="1" operator="equal">
      <formula>"check"</formula>
    </cfRule>
  </conditionalFormatting>
  <conditionalFormatting sqref="AJ240">
    <cfRule type="cellIs" dxfId="1454" priority="16" stopIfTrue="1" operator="equal">
      <formula>"failed"</formula>
    </cfRule>
    <cfRule type="cellIs" dxfId="1453" priority="17" stopIfTrue="1" operator="equal">
      <formula>"check"</formula>
    </cfRule>
  </conditionalFormatting>
  <conditionalFormatting sqref="AJ251">
    <cfRule type="cellIs" dxfId="1452" priority="14" stopIfTrue="1" operator="equal">
      <formula>"failed"</formula>
    </cfRule>
    <cfRule type="cellIs" dxfId="1451" priority="15" stopIfTrue="1" operator="equal">
      <formula>"check"</formula>
    </cfRule>
  </conditionalFormatting>
  <conditionalFormatting sqref="AJ219">
    <cfRule type="cellIs" dxfId="1450" priority="12" stopIfTrue="1" operator="equal">
      <formula>"failed"</formula>
    </cfRule>
    <cfRule type="cellIs" dxfId="1449" priority="13" stopIfTrue="1" operator="equal">
      <formula>"check"</formula>
    </cfRule>
  </conditionalFormatting>
  <conditionalFormatting sqref="AJ230">
    <cfRule type="cellIs" dxfId="1448" priority="10" stopIfTrue="1" operator="equal">
      <formula>"failed"</formula>
    </cfRule>
    <cfRule type="cellIs" dxfId="1447" priority="11" stopIfTrue="1" operator="equal">
      <formula>"check"</formula>
    </cfRule>
  </conditionalFormatting>
  <conditionalFormatting sqref="AJ241">
    <cfRule type="cellIs" dxfId="1446" priority="8" stopIfTrue="1" operator="equal">
      <formula>"failed"</formula>
    </cfRule>
    <cfRule type="cellIs" dxfId="1445" priority="9" stopIfTrue="1" operator="equal">
      <formula>"check"</formula>
    </cfRule>
  </conditionalFormatting>
  <conditionalFormatting sqref="AJ252">
    <cfRule type="cellIs" dxfId="1444" priority="6" stopIfTrue="1" operator="equal">
      <formula>"failed"</formula>
    </cfRule>
    <cfRule type="cellIs" dxfId="1443" priority="7" stopIfTrue="1" operator="equal">
      <formula>"check"</formula>
    </cfRule>
  </conditionalFormatting>
  <conditionalFormatting sqref="AA92:AB92">
    <cfRule type="expression" dxfId="1442" priority="3">
      <formula>$Z$90&gt;$AA$92</formula>
    </cfRule>
  </conditionalFormatting>
  <conditionalFormatting sqref="AA98:AB98">
    <cfRule type="expression" dxfId="1441" priority="2">
      <formula>$Z$90&gt;$AA$92</formula>
    </cfRule>
  </conditionalFormatting>
  <conditionalFormatting sqref="AA102:AB102">
    <cfRule type="expression" dxfId="1440" priority="1">
      <formula>$Z$90&gt;$AA$92</formula>
    </cfRule>
  </conditionalFormatting>
  <dataValidations disablePrompts="1" count="4">
    <dataValidation type="list" allowBlank="1" showInputMessage="1" showErrorMessage="1" sqref="C26:C27" xr:uid="{00000000-0002-0000-0900-000000000000}">
      <formula1>$J$3:$J$4</formula1>
    </dataValidation>
    <dataValidation type="whole" allowBlank="1" showInputMessage="1" showErrorMessage="1" sqref="L298" xr:uid="{00000000-0002-0000-0900-000001000000}">
      <formula1>0</formula1>
      <formula2>L298</formula2>
    </dataValidation>
    <dataValidation type="whole" allowBlank="1" showInputMessage="1" showErrorMessage="1" promptTitle="Nur bei Festfeldtiefe 175mm!" prompt="_" sqref="H297" xr:uid="{00000000-0002-0000-0900-000002000000}">
      <formula1>0</formula1>
      <formula2>L298</formula2>
    </dataValidation>
    <dataValidation type="list" allowBlank="1" showInputMessage="1" showErrorMessage="1" sqref="C58:C59" xr:uid="{00000000-0002-0000-0900-000003000000}">
      <formula1>$G$2:$G$3</formula1>
    </dataValidation>
  </dataValidations>
  <pageMargins left="0.7" right="0.7" top="0.78740157499999996" bottom="0.78740157499999996"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2">
    <tabColor indexed="46"/>
    <pageSetUpPr fitToPage="1"/>
  </sheetPr>
  <dimension ref="A1:AN112"/>
  <sheetViews>
    <sheetView showGridLines="0" view="pageBreakPreview" zoomScale="130" zoomScaleNormal="130" zoomScaleSheetLayoutView="130" workbookViewId="0">
      <selection activeCell="G28" sqref="G28"/>
    </sheetView>
  </sheetViews>
  <sheetFormatPr baseColWidth="10" defaultColWidth="11.42578125" defaultRowHeight="12.75" x14ac:dyDescent="0.2"/>
  <cols>
    <col min="1" max="1" width="4.28515625" style="9" customWidth="1"/>
    <col min="2" max="2" width="12.85546875" style="9" customWidth="1"/>
    <col min="3" max="3" width="6" style="9" customWidth="1"/>
    <col min="4" max="4" width="2.42578125" style="9" customWidth="1"/>
    <col min="5" max="5" width="15.5703125" style="9" customWidth="1"/>
    <col min="6" max="6" width="17" style="9" customWidth="1"/>
    <col min="7" max="7" width="10.140625" style="9" customWidth="1"/>
    <col min="8" max="8" width="10.7109375" style="9" customWidth="1"/>
    <col min="9" max="9" width="11.42578125" style="9"/>
    <col min="10" max="10" width="15.5703125" style="9" customWidth="1"/>
    <col min="11" max="11" width="2.28515625" style="9" customWidth="1"/>
    <col min="12" max="12" width="2.42578125" style="9" customWidth="1"/>
    <col min="13" max="13" width="1.28515625" style="9" customWidth="1"/>
    <col min="14" max="14" width="11.42578125" style="9"/>
    <col min="15" max="15" width="15.140625" style="9" customWidth="1"/>
    <col min="16" max="16" width="14.42578125" style="193" customWidth="1"/>
    <col min="17" max="17" width="95.5703125" style="9" customWidth="1"/>
    <col min="18" max="18" width="22.85546875" style="9" customWidth="1"/>
    <col min="19" max="24" width="11.42578125" style="9"/>
    <col min="25" max="26" width="11.42578125" style="344"/>
    <col min="27" max="27" width="11.42578125" style="9"/>
    <col min="28" max="28" width="51.7109375" style="9" customWidth="1"/>
    <col min="29" max="16384" width="11.42578125" style="9"/>
  </cols>
  <sheetData>
    <row r="1" spans="1:40" ht="18" x14ac:dyDescent="0.2">
      <c r="A1" s="338"/>
      <c r="B1" s="338"/>
      <c r="C1" s="339"/>
      <c r="D1" s="340"/>
      <c r="E1" s="809" t="str">
        <f>Dateneingabe!F1&amp;"  "&amp;Dateneingabe!I1</f>
        <v>Ausschreibung GCC vertikal  Rev. 0563b</v>
      </c>
      <c r="F1" s="2809" t="s">
        <v>27645</v>
      </c>
      <c r="G1" s="2809"/>
      <c r="H1" s="2809"/>
      <c r="I1" s="2809"/>
      <c r="J1" s="657"/>
      <c r="K1" s="342"/>
      <c r="L1" s="338"/>
      <c r="M1" s="343"/>
      <c r="S1" s="344"/>
      <c r="T1" s="344"/>
      <c r="U1" s="344"/>
      <c r="V1" s="344"/>
      <c r="W1" s="344"/>
      <c r="X1" s="344"/>
      <c r="AA1" s="344"/>
      <c r="AB1" s="344"/>
      <c r="AC1" s="344"/>
      <c r="AD1" s="344"/>
      <c r="AE1" s="344"/>
      <c r="AF1" s="344"/>
      <c r="AG1" s="344"/>
      <c r="AH1" s="344"/>
      <c r="AI1" s="344"/>
      <c r="AJ1" s="344"/>
      <c r="AK1" s="344"/>
      <c r="AL1" s="344"/>
      <c r="AM1" s="344"/>
      <c r="AN1" s="344"/>
    </row>
    <row r="2" spans="1:40" x14ac:dyDescent="0.2">
      <c r="A2" s="338"/>
      <c r="B2" s="338"/>
      <c r="C2" s="345"/>
      <c r="D2" s="345"/>
      <c r="E2" s="345"/>
      <c r="F2" s="345"/>
      <c r="G2" s="345"/>
      <c r="H2" s="345"/>
      <c r="I2" s="345"/>
      <c r="J2" s="345"/>
      <c r="K2" s="346"/>
      <c r="L2" s="338"/>
      <c r="M2" s="801"/>
      <c r="N2" s="801"/>
      <c r="O2" s="801"/>
      <c r="P2" s="790"/>
      <c r="Q2" s="791"/>
      <c r="R2" s="113"/>
      <c r="S2" s="344"/>
      <c r="T2" s="344"/>
      <c r="U2" s="344"/>
      <c r="V2" s="344"/>
      <c r="W2" s="344"/>
      <c r="X2" s="344"/>
      <c r="AA2" s="344"/>
      <c r="AB2" s="344"/>
      <c r="AC2" s="344"/>
      <c r="AD2" s="344"/>
      <c r="AE2" s="344"/>
      <c r="AF2" s="344"/>
      <c r="AG2" s="344"/>
      <c r="AH2" s="344"/>
      <c r="AI2" s="344"/>
      <c r="AJ2" s="344"/>
      <c r="AK2" s="344"/>
      <c r="AL2" s="344"/>
      <c r="AM2" s="344"/>
      <c r="AN2" s="344"/>
    </row>
    <row r="3" spans="1:40" ht="12.2" customHeight="1" x14ac:dyDescent="0.2">
      <c r="A3" s="347"/>
      <c r="C3" s="350" t="s">
        <v>11</v>
      </c>
      <c r="D3" s="2806" t="str">
        <f>Dateneingabe!F3</f>
        <v>05217112</v>
      </c>
      <c r="E3" s="2807"/>
      <c r="F3" s="2808"/>
      <c r="G3" s="1124"/>
      <c r="H3" s="352" t="s">
        <v>82</v>
      </c>
      <c r="I3" s="806" t="str">
        <f>Dateneingabe!H3</f>
        <v>200</v>
      </c>
      <c r="J3" s="113"/>
      <c r="K3" s="113"/>
      <c r="L3" s="353"/>
      <c r="M3" s="353"/>
      <c r="N3" s="113"/>
      <c r="O3" s="113"/>
      <c r="P3" s="792"/>
      <c r="Q3" s="794"/>
      <c r="R3" s="113"/>
      <c r="S3" s="344"/>
      <c r="T3" s="344"/>
      <c r="U3" s="344"/>
      <c r="V3" s="344"/>
      <c r="W3" s="344"/>
      <c r="X3" s="344"/>
      <c r="AA3" s="344"/>
      <c r="AB3" s="354"/>
      <c r="AE3" s="344"/>
      <c r="AF3" s="344"/>
      <c r="AG3" s="344"/>
      <c r="AH3" s="344"/>
      <c r="AI3" s="344"/>
      <c r="AJ3" s="344"/>
      <c r="AK3" s="344"/>
      <c r="AL3" s="344"/>
      <c r="AM3" s="344"/>
      <c r="AN3" s="344"/>
    </row>
    <row r="4" spans="1:40" ht="5.0999999999999996" customHeight="1" x14ac:dyDescent="0.2">
      <c r="A4" s="347"/>
      <c r="C4" s="350"/>
      <c r="D4" s="362"/>
      <c r="H4" s="355"/>
      <c r="I4" s="356"/>
      <c r="J4" s="357"/>
      <c r="K4" s="358"/>
      <c r="L4" s="353"/>
      <c r="M4" s="353"/>
      <c r="N4" s="24"/>
      <c r="O4" s="113"/>
      <c r="P4" s="658"/>
      <c r="Q4" s="24"/>
      <c r="R4" s="113"/>
      <c r="S4" s="344"/>
      <c r="T4" s="344"/>
      <c r="U4" s="344"/>
      <c r="V4" s="344"/>
      <c r="W4" s="344"/>
      <c r="X4" s="344"/>
      <c r="AA4" s="344"/>
      <c r="AB4" s="359"/>
      <c r="AC4" s="359"/>
      <c r="AE4" s="344"/>
      <c r="AF4" s="344"/>
      <c r="AG4" s="344"/>
      <c r="AH4" s="344"/>
      <c r="AI4" s="344"/>
      <c r="AJ4" s="344"/>
      <c r="AK4" s="344"/>
      <c r="AL4" s="344"/>
      <c r="AM4" s="344"/>
      <c r="AN4" s="344"/>
    </row>
    <row r="5" spans="1:40" ht="12.2" customHeight="1" x14ac:dyDescent="0.2">
      <c r="A5" s="347"/>
      <c r="C5" s="350" t="s">
        <v>71</v>
      </c>
      <c r="D5" s="2806" t="str">
        <f>Dateneingabe!F5</f>
        <v>5101.002095</v>
      </c>
      <c r="E5" s="2807"/>
      <c r="F5" s="2808"/>
      <c r="G5" s="1124"/>
      <c r="H5" s="667" t="s">
        <v>448</v>
      </c>
      <c r="I5" s="806"/>
      <c r="J5" s="1132" t="s">
        <v>28155</v>
      </c>
      <c r="L5" s="353"/>
      <c r="M5" s="353"/>
      <c r="N5" s="24"/>
      <c r="O5" s="24"/>
      <c r="P5" s="658"/>
      <c r="Q5" s="24"/>
      <c r="R5" s="113"/>
      <c r="S5" s="344"/>
      <c r="T5" s="344"/>
      <c r="U5" s="344"/>
      <c r="V5" s="344"/>
      <c r="W5" s="344"/>
      <c r="X5" s="344"/>
      <c r="AA5" s="344"/>
      <c r="AB5" s="354"/>
      <c r="AE5" s="344"/>
      <c r="AF5" s="344"/>
      <c r="AG5" s="344"/>
      <c r="AH5" s="344"/>
      <c r="AI5" s="344"/>
      <c r="AJ5" s="344"/>
      <c r="AK5" s="344"/>
      <c r="AL5" s="344"/>
      <c r="AM5" s="344"/>
      <c r="AN5" s="344"/>
    </row>
    <row r="6" spans="1:40" ht="5.0999999999999996" customHeight="1" x14ac:dyDescent="0.2">
      <c r="A6" s="347"/>
      <c r="C6" s="361"/>
      <c r="D6" s="362"/>
      <c r="H6" s="363"/>
      <c r="I6" s="363"/>
      <c r="J6" s="1133"/>
      <c r="K6" s="358"/>
      <c r="L6" s="353"/>
      <c r="M6" s="353"/>
      <c r="N6" s="24"/>
      <c r="O6" s="24"/>
      <c r="P6" s="658"/>
      <c r="Q6" s="24"/>
      <c r="R6" s="113"/>
      <c r="S6" s="344"/>
      <c r="T6" s="344"/>
      <c r="U6" s="344"/>
      <c r="V6" s="344"/>
      <c r="W6" s="344"/>
      <c r="X6" s="344"/>
      <c r="AA6" s="344"/>
      <c r="AB6" s="359"/>
      <c r="AC6" s="344"/>
      <c r="AD6" s="344"/>
      <c r="AE6" s="344"/>
      <c r="AF6" s="344"/>
      <c r="AG6" s="344"/>
      <c r="AH6" s="344"/>
      <c r="AI6" s="344"/>
      <c r="AJ6" s="344"/>
      <c r="AK6" s="344"/>
      <c r="AL6" s="344"/>
      <c r="AM6" s="344"/>
      <c r="AN6" s="344"/>
    </row>
    <row r="7" spans="1:40" ht="12.2" customHeight="1" x14ac:dyDescent="0.2">
      <c r="A7" s="347"/>
      <c r="C7" s="350" t="s">
        <v>110</v>
      </c>
      <c r="D7" s="2806">
        <f>Dateneingabe!F7</f>
        <v>1</v>
      </c>
      <c r="E7" s="2807"/>
      <c r="F7" s="2808"/>
      <c r="G7" s="1124"/>
      <c r="H7" s="807" t="str">
        <f>Dateneingabe!E28</f>
        <v>Abschottungstyp:</v>
      </c>
      <c r="I7" s="808" t="str">
        <f>Dateneingabe!F28</f>
        <v>r2</v>
      </c>
      <c r="J7" s="1134" t="str">
        <f>Dateneingabe!F22&amp;" x "&amp;Dateneingabe!F24</f>
        <v>900 x 835</v>
      </c>
      <c r="L7" s="353"/>
      <c r="M7" s="353"/>
      <c r="N7" s="24"/>
      <c r="O7" s="658"/>
      <c r="P7" s="658"/>
      <c r="Q7" s="658"/>
      <c r="R7" s="113"/>
      <c r="S7" s="344"/>
      <c r="T7" s="344"/>
      <c r="U7" s="344"/>
      <c r="V7" s="344"/>
      <c r="W7" s="344"/>
      <c r="X7" s="344"/>
      <c r="AA7" s="344"/>
      <c r="AB7" s="354"/>
      <c r="AD7" s="344"/>
      <c r="AE7" s="344"/>
      <c r="AF7" s="344"/>
      <c r="AG7" s="344"/>
      <c r="AH7" s="344"/>
      <c r="AI7" s="344"/>
      <c r="AJ7" s="344"/>
      <c r="AK7" s="344"/>
      <c r="AL7" s="344"/>
      <c r="AM7" s="344"/>
      <c r="AN7" s="344"/>
    </row>
    <row r="8" spans="1:40" ht="5.0999999999999996" customHeight="1" x14ac:dyDescent="0.2">
      <c r="A8" s="347"/>
      <c r="B8" s="347"/>
      <c r="C8" s="347"/>
      <c r="D8" s="362"/>
      <c r="H8" s="355"/>
      <c r="I8" s="363"/>
      <c r="J8" s="357"/>
      <c r="K8" s="367"/>
      <c r="L8" s="353"/>
      <c r="M8" s="353"/>
      <c r="N8" s="24"/>
      <c r="O8" s="24"/>
      <c r="P8" s="658"/>
      <c r="Q8" s="24"/>
      <c r="R8" s="113"/>
      <c r="S8" s="344"/>
      <c r="T8" s="344"/>
      <c r="U8" s="344"/>
      <c r="V8" s="344"/>
      <c r="W8" s="344"/>
      <c r="X8" s="344"/>
      <c r="AA8" s="344"/>
      <c r="AB8" s="344"/>
      <c r="AC8" s="344"/>
      <c r="AD8" s="344"/>
      <c r="AE8" s="344"/>
      <c r="AF8" s="344"/>
      <c r="AG8" s="344"/>
      <c r="AH8" s="344"/>
      <c r="AI8" s="344"/>
      <c r="AJ8" s="344"/>
      <c r="AK8" s="344"/>
      <c r="AL8" s="344"/>
      <c r="AM8" s="344"/>
      <c r="AN8" s="344"/>
    </row>
    <row r="9" spans="1:40" ht="14.1" customHeight="1" x14ac:dyDescent="0.2">
      <c r="A9" s="347"/>
      <c r="B9" s="347"/>
      <c r="C9" s="350" t="s">
        <v>526</v>
      </c>
      <c r="D9" s="2819">
        <v>42215</v>
      </c>
      <c r="E9" s="2820"/>
      <c r="F9" s="2821"/>
      <c r="G9" s="796"/>
      <c r="H9" s="807" t="str">
        <f>Schieberelemente!A24</f>
        <v>Komplettelement</v>
      </c>
      <c r="I9" s="808">
        <f>Schieberelemente!B27</f>
        <v>1</v>
      </c>
      <c r="J9" s="371"/>
      <c r="K9" s="371"/>
      <c r="L9" s="353"/>
      <c r="M9" s="353"/>
      <c r="N9" s="24"/>
      <c r="O9" s="795"/>
      <c r="P9" s="796"/>
      <c r="Q9" s="795"/>
      <c r="R9" s="113"/>
      <c r="S9" s="344"/>
      <c r="T9" s="344"/>
      <c r="U9" s="344"/>
      <c r="V9" s="344"/>
      <c r="W9" s="344"/>
      <c r="X9" s="344"/>
      <c r="AA9" s="344"/>
      <c r="AB9" s="354"/>
      <c r="AD9" s="344"/>
      <c r="AE9" s="344"/>
      <c r="AF9" s="344"/>
      <c r="AG9" s="344"/>
      <c r="AH9" s="344"/>
      <c r="AI9" s="344"/>
      <c r="AJ9" s="344"/>
      <c r="AK9" s="344"/>
      <c r="AL9" s="344"/>
      <c r="AM9" s="344"/>
      <c r="AN9" s="344"/>
    </row>
    <row r="10" spans="1:40" ht="5.0999999999999996" customHeight="1" x14ac:dyDescent="0.2">
      <c r="A10" s="347"/>
      <c r="B10" s="347"/>
      <c r="C10" s="347"/>
      <c r="D10" s="362"/>
      <c r="H10" s="355"/>
      <c r="I10" s="372"/>
      <c r="J10" s="357"/>
      <c r="K10" s="373"/>
      <c r="L10" s="353"/>
      <c r="M10" s="353"/>
      <c r="N10" s="24"/>
      <c r="O10" s="795"/>
      <c r="P10" s="797"/>
      <c r="Q10" s="795"/>
      <c r="R10" s="113"/>
      <c r="S10" s="344"/>
      <c r="T10" s="344"/>
      <c r="U10" s="344"/>
      <c r="V10" s="344"/>
      <c r="W10" s="344"/>
      <c r="X10" s="344"/>
      <c r="AA10" s="344"/>
      <c r="AB10" s="344"/>
      <c r="AC10" s="359"/>
      <c r="AD10" s="344"/>
      <c r="AE10" s="344"/>
      <c r="AF10" s="344"/>
      <c r="AG10" s="344"/>
      <c r="AH10" s="344"/>
      <c r="AI10" s="344"/>
      <c r="AJ10" s="344"/>
      <c r="AK10" s="344"/>
      <c r="AL10" s="344"/>
      <c r="AM10" s="344"/>
      <c r="AN10" s="344"/>
    </row>
    <row r="11" spans="1:40" ht="15.75" hidden="1" x14ac:dyDescent="0.2">
      <c r="A11" s="347"/>
      <c r="B11" s="347"/>
      <c r="C11" s="374"/>
      <c r="D11" s="375"/>
      <c r="H11" s="376"/>
      <c r="I11" s="372"/>
      <c r="J11" s="377"/>
      <c r="K11" s="357"/>
      <c r="L11" s="353"/>
      <c r="M11" s="353"/>
      <c r="N11" s="24"/>
      <c r="O11" s="795"/>
      <c r="P11" s="796"/>
      <c r="Q11" s="795"/>
      <c r="R11" s="113"/>
      <c r="S11" s="344"/>
      <c r="T11" s="344"/>
      <c r="U11" s="344"/>
      <c r="V11" s="344"/>
      <c r="W11" s="344"/>
      <c r="X11" s="344"/>
      <c r="AA11" s="344"/>
      <c r="AB11" s="344"/>
      <c r="AC11" s="359"/>
      <c r="AD11" s="344"/>
      <c r="AE11" s="344"/>
      <c r="AF11" s="344"/>
      <c r="AG11" s="344"/>
      <c r="AH11" s="344"/>
      <c r="AI11" s="344"/>
      <c r="AJ11" s="344"/>
      <c r="AK11" s="344"/>
      <c r="AL11" s="344"/>
      <c r="AM11" s="344"/>
      <c r="AN11" s="344"/>
    </row>
    <row r="12" spans="1:40" ht="5.0999999999999996" hidden="1" customHeight="1" x14ac:dyDescent="0.2">
      <c r="A12" s="347"/>
      <c r="B12" s="347"/>
      <c r="C12" s="374"/>
      <c r="D12" s="378"/>
      <c r="H12" s="379"/>
      <c r="I12" s="372"/>
      <c r="J12" s="377"/>
      <c r="K12" s="357"/>
      <c r="L12" s="353"/>
      <c r="M12" s="353"/>
      <c r="N12" s="24"/>
      <c r="O12" s="795"/>
      <c r="P12" s="797"/>
      <c r="Q12" s="795"/>
      <c r="R12" s="113"/>
      <c r="S12" s="344"/>
      <c r="T12" s="344"/>
      <c r="U12" s="344"/>
      <c r="V12" s="344"/>
      <c r="W12" s="344"/>
      <c r="X12" s="344"/>
      <c r="AA12" s="344"/>
      <c r="AB12" s="344"/>
      <c r="AC12" s="359"/>
      <c r="AD12" s="344"/>
      <c r="AE12" s="344"/>
      <c r="AF12" s="344"/>
      <c r="AG12" s="344"/>
      <c r="AH12" s="344"/>
      <c r="AI12" s="344"/>
      <c r="AJ12" s="344"/>
      <c r="AK12" s="344"/>
      <c r="AL12" s="344"/>
      <c r="AM12" s="344"/>
      <c r="AN12" s="344"/>
    </row>
    <row r="13" spans="1:40" ht="14.1" customHeight="1" x14ac:dyDescent="0.2">
      <c r="A13" s="347"/>
      <c r="C13" s="197" t="s">
        <v>99</v>
      </c>
      <c r="D13" s="2819">
        <f>Dateneingabe!F13</f>
        <v>44594</v>
      </c>
      <c r="E13" s="2820"/>
      <c r="F13" s="2821"/>
      <c r="G13" s="796"/>
      <c r="H13" s="807" t="str">
        <f>Schieberelemente!A32</f>
        <v>Standardelement oben</v>
      </c>
      <c r="I13" s="808">
        <f>Schieberelemente!B35</f>
        <v>0</v>
      </c>
      <c r="J13" s="357"/>
      <c r="K13" s="357"/>
      <c r="L13" s="353"/>
      <c r="M13" s="353"/>
      <c r="N13" s="24"/>
      <c r="O13" s="795"/>
      <c r="P13" s="796"/>
      <c r="Q13" s="795"/>
      <c r="R13" s="113"/>
      <c r="S13" s="344"/>
      <c r="T13" s="344"/>
      <c r="U13" s="344"/>
      <c r="V13" s="344"/>
      <c r="W13" s="344"/>
      <c r="X13" s="344"/>
      <c r="AA13" s="344"/>
      <c r="AB13" s="354"/>
      <c r="AD13" s="344"/>
      <c r="AE13" s="344"/>
      <c r="AF13" s="344"/>
      <c r="AG13" s="344"/>
      <c r="AH13" s="344"/>
      <c r="AI13" s="344"/>
      <c r="AJ13" s="344"/>
      <c r="AK13" s="344"/>
      <c r="AL13" s="344"/>
      <c r="AM13" s="344"/>
      <c r="AN13" s="344"/>
    </row>
    <row r="14" spans="1:40" ht="5.0999999999999996" customHeight="1" x14ac:dyDescent="0.2">
      <c r="A14" s="347"/>
      <c r="B14" s="347"/>
      <c r="C14" s="347"/>
      <c r="D14" s="381"/>
      <c r="H14" s="355"/>
      <c r="I14" s="355"/>
      <c r="J14" s="357"/>
      <c r="K14" s="357"/>
      <c r="L14" s="353"/>
      <c r="M14" s="353"/>
      <c r="N14" s="24"/>
      <c r="O14" s="795"/>
      <c r="P14" s="797"/>
      <c r="Q14" s="795"/>
      <c r="R14" s="113"/>
      <c r="S14" s="344"/>
      <c r="T14" s="344"/>
      <c r="U14" s="344"/>
      <c r="V14" s="344"/>
      <c r="W14" s="344"/>
      <c r="X14" s="344"/>
      <c r="AA14" s="344"/>
      <c r="AB14" s="344"/>
      <c r="AC14" s="344"/>
      <c r="AD14" s="344"/>
      <c r="AE14" s="344"/>
      <c r="AF14" s="344"/>
      <c r="AG14" s="344"/>
      <c r="AH14" s="344"/>
      <c r="AI14" s="344"/>
      <c r="AJ14" s="344"/>
      <c r="AK14" s="344"/>
      <c r="AL14" s="344"/>
      <c r="AM14" s="344"/>
      <c r="AN14" s="344"/>
    </row>
    <row r="15" spans="1:40" ht="14.1" customHeight="1" x14ac:dyDescent="0.2">
      <c r="A15" s="347"/>
      <c r="B15" s="347"/>
      <c r="C15" s="350" t="s">
        <v>300</v>
      </c>
      <c r="D15" s="2806" t="str">
        <f>Dateneingabe!F15</f>
        <v>MiWo</v>
      </c>
      <c r="E15" s="2807"/>
      <c r="F15" s="2808"/>
      <c r="G15" s="1124"/>
      <c r="H15" s="807" t="str">
        <f>Schieberelemente!A40</f>
        <v>Standardelement mitte</v>
      </c>
      <c r="I15" s="808">
        <f>Schieberelemente!B43</f>
        <v>0</v>
      </c>
      <c r="L15" s="353"/>
      <c r="M15" s="353"/>
      <c r="N15" s="24"/>
      <c r="O15" s="798"/>
      <c r="P15" s="796"/>
      <c r="Q15" s="798"/>
      <c r="R15" s="113"/>
      <c r="S15" s="344"/>
      <c r="T15" s="344"/>
      <c r="U15" s="344"/>
      <c r="V15" s="344"/>
      <c r="W15" s="344"/>
      <c r="X15" s="344"/>
      <c r="AA15" s="344"/>
      <c r="AB15" s="359"/>
      <c r="AC15" s="344"/>
      <c r="AD15" s="344"/>
      <c r="AE15" s="344"/>
      <c r="AF15" s="344"/>
      <c r="AG15" s="344"/>
      <c r="AH15" s="344"/>
      <c r="AI15" s="344"/>
      <c r="AJ15" s="344"/>
      <c r="AK15" s="344"/>
      <c r="AL15" s="344"/>
      <c r="AM15" s="344"/>
      <c r="AN15" s="344"/>
    </row>
    <row r="16" spans="1:40" ht="5.0999999999999996" customHeight="1" x14ac:dyDescent="0.2">
      <c r="A16" s="347"/>
      <c r="B16" s="347"/>
      <c r="C16" s="350"/>
      <c r="H16" s="383"/>
      <c r="I16" s="355"/>
      <c r="J16" s="357"/>
      <c r="K16" s="357"/>
      <c r="L16" s="353"/>
      <c r="M16" s="353"/>
      <c r="N16" s="24"/>
      <c r="O16" s="798"/>
      <c r="P16" s="799"/>
      <c r="Q16" s="798"/>
      <c r="R16" s="113"/>
      <c r="S16" s="344"/>
      <c r="T16" s="344"/>
      <c r="U16" s="344"/>
      <c r="V16" s="344"/>
      <c r="W16" s="344"/>
      <c r="X16" s="344"/>
      <c r="AA16" s="344"/>
      <c r="AB16" s="344"/>
      <c r="AC16" s="344"/>
      <c r="AD16" s="344"/>
      <c r="AE16" s="344"/>
      <c r="AF16" s="344"/>
      <c r="AG16" s="344"/>
      <c r="AH16" s="344"/>
      <c r="AI16" s="344"/>
      <c r="AJ16" s="344"/>
      <c r="AK16" s="344"/>
      <c r="AL16" s="344"/>
      <c r="AM16" s="344"/>
      <c r="AN16" s="344"/>
    </row>
    <row r="17" spans="1:40" ht="14.1" customHeight="1" x14ac:dyDescent="0.2">
      <c r="A17" s="347"/>
      <c r="B17" s="360"/>
      <c r="C17" s="197" t="s">
        <v>493</v>
      </c>
      <c r="D17" s="2806" t="str">
        <f>Dateneingabe!F17</f>
        <v>Element Logic Germany GmbH</v>
      </c>
      <c r="E17" s="2807"/>
      <c r="F17" s="2808"/>
      <c r="G17" s="1124"/>
      <c r="H17" s="807" t="str">
        <f>Schieberelemente!A48</f>
        <v>Standardelement unten</v>
      </c>
      <c r="I17" s="808">
        <f>Schieberelemente!B51</f>
        <v>0</v>
      </c>
      <c r="J17" s="357"/>
      <c r="K17" s="357"/>
      <c r="L17" s="353"/>
      <c r="M17" s="353"/>
      <c r="N17" s="793"/>
      <c r="O17" s="800"/>
      <c r="P17" s="796"/>
      <c r="Q17" s="800"/>
      <c r="R17" s="113"/>
      <c r="S17" s="344"/>
      <c r="T17" s="344"/>
      <c r="U17" s="344"/>
      <c r="V17" s="344"/>
      <c r="W17" s="344"/>
      <c r="X17" s="344"/>
      <c r="AA17" s="344"/>
      <c r="AB17" s="359"/>
      <c r="AC17" s="344"/>
      <c r="AD17" s="344"/>
      <c r="AE17" s="344"/>
      <c r="AF17" s="344"/>
      <c r="AG17" s="344"/>
      <c r="AH17" s="344"/>
      <c r="AI17" s="344"/>
      <c r="AJ17" s="344"/>
      <c r="AK17" s="344"/>
      <c r="AL17" s="344"/>
      <c r="AM17" s="344"/>
      <c r="AN17" s="344"/>
    </row>
    <row r="18" spans="1:40" s="344" customFormat="1" ht="5.0999999999999996" customHeight="1" x14ac:dyDescent="0.2">
      <c r="A18" s="347"/>
      <c r="B18" s="347"/>
      <c r="C18" s="350"/>
      <c r="D18" s="385"/>
      <c r="H18" s="355"/>
      <c r="I18" s="355"/>
      <c r="J18" s="357"/>
      <c r="K18" s="357"/>
      <c r="L18" s="353"/>
      <c r="M18" s="353"/>
      <c r="N18" s="113"/>
      <c r="O18" s="113"/>
      <c r="P18" s="745"/>
      <c r="Q18" s="113"/>
      <c r="R18" s="113"/>
    </row>
    <row r="19" spans="1:40" ht="12.2" customHeight="1" x14ac:dyDescent="0.2">
      <c r="A19" s="347"/>
      <c r="B19" s="360"/>
      <c r="C19" s="197" t="s">
        <v>443</v>
      </c>
      <c r="D19" s="2806" t="str">
        <f>Dateneingabe!F19</f>
        <v>Emil Lux GmbH</v>
      </c>
      <c r="E19" s="2807"/>
      <c r="F19" s="2808"/>
      <c r="G19" s="1124"/>
      <c r="H19" s="807" t="str">
        <f>Dateneingabe!E30</f>
        <v>Festfeld:</v>
      </c>
      <c r="I19" s="808" t="str">
        <f>Dateneingabe!F30</f>
        <v>mit</v>
      </c>
      <c r="J19" s="357"/>
      <c r="K19" s="357"/>
      <c r="L19" s="353"/>
      <c r="M19" s="353"/>
      <c r="N19" s="380"/>
      <c r="O19" s="113"/>
      <c r="P19" s="745"/>
      <c r="Q19" s="113"/>
      <c r="R19" s="113"/>
      <c r="S19" s="344"/>
      <c r="T19" s="344"/>
      <c r="U19" s="344"/>
      <c r="V19" s="344"/>
      <c r="W19" s="344"/>
      <c r="X19" s="344"/>
      <c r="AA19" s="344"/>
      <c r="AB19" s="354"/>
      <c r="AC19" s="344"/>
      <c r="AD19" s="344"/>
      <c r="AE19" s="344"/>
      <c r="AF19" s="344"/>
      <c r="AG19" s="344"/>
      <c r="AH19" s="344"/>
      <c r="AI19" s="344"/>
      <c r="AJ19" s="344"/>
      <c r="AK19" s="344"/>
      <c r="AL19" s="344"/>
      <c r="AM19" s="344"/>
      <c r="AN19" s="344"/>
    </row>
    <row r="20" spans="1:40" ht="4.7" customHeight="1" thickBot="1" x14ac:dyDescent="0.25">
      <c r="A20" s="387"/>
      <c r="B20" s="387"/>
      <c r="C20" s="387"/>
      <c r="D20" s="387"/>
      <c r="E20" s="387"/>
      <c r="F20" s="387"/>
      <c r="I20" s="387"/>
      <c r="J20" s="388"/>
      <c r="K20" s="388"/>
      <c r="L20" s="338"/>
      <c r="M20" s="338"/>
      <c r="N20" s="113"/>
      <c r="O20" s="113"/>
      <c r="P20" s="745"/>
      <c r="Q20" s="113"/>
      <c r="R20" s="113"/>
      <c r="S20" s="344"/>
      <c r="T20" s="344"/>
      <c r="U20" s="344"/>
      <c r="V20" s="344"/>
      <c r="W20" s="344"/>
      <c r="X20" s="344"/>
      <c r="AA20" s="344"/>
      <c r="AB20" s="354"/>
      <c r="AC20" s="344"/>
      <c r="AD20" s="344"/>
      <c r="AE20" s="344"/>
      <c r="AF20" s="344"/>
      <c r="AG20" s="344"/>
      <c r="AH20" s="344"/>
      <c r="AI20" s="344"/>
      <c r="AJ20" s="344"/>
      <c r="AK20" s="344"/>
      <c r="AL20" s="344"/>
      <c r="AM20" s="344"/>
      <c r="AN20" s="344"/>
    </row>
    <row r="21" spans="1:40" ht="4.7" customHeight="1" x14ac:dyDescent="0.2">
      <c r="A21" s="347"/>
      <c r="B21" s="347"/>
      <c r="C21" s="347"/>
      <c r="D21" s="347"/>
      <c r="E21" s="347"/>
      <c r="F21" s="347"/>
      <c r="G21" s="803"/>
      <c r="H21" s="803"/>
      <c r="I21" s="347"/>
      <c r="J21" s="338"/>
      <c r="K21" s="338"/>
      <c r="L21" s="338"/>
      <c r="M21" s="338"/>
      <c r="N21" s="113"/>
      <c r="O21" s="113"/>
      <c r="P21" s="745"/>
      <c r="Q21" s="113"/>
      <c r="R21" s="113"/>
      <c r="S21" s="344"/>
      <c r="T21" s="344"/>
      <c r="U21" s="344"/>
      <c r="V21" s="344"/>
      <c r="W21" s="344"/>
      <c r="X21" s="344"/>
      <c r="AA21" s="344"/>
      <c r="AB21" s="354"/>
      <c r="AC21" s="344"/>
      <c r="AD21" s="344"/>
      <c r="AE21" s="344"/>
      <c r="AF21" s="344"/>
      <c r="AG21" s="344"/>
      <c r="AH21" s="344"/>
      <c r="AI21" s="344"/>
      <c r="AJ21" s="344"/>
      <c r="AK21" s="344"/>
      <c r="AL21" s="344"/>
      <c r="AM21" s="344"/>
      <c r="AN21" s="344"/>
    </row>
    <row r="22" spans="1:40" ht="18" customHeight="1" x14ac:dyDescent="0.2">
      <c r="A22" s="2822" t="s">
        <v>852</v>
      </c>
      <c r="B22" s="2822"/>
      <c r="C22" s="2823" t="s">
        <v>27647</v>
      </c>
      <c r="D22" s="2823"/>
      <c r="E22" s="2823"/>
      <c r="F22" s="1119" t="s">
        <v>28111</v>
      </c>
      <c r="G22" s="1119" t="s">
        <v>28136</v>
      </c>
      <c r="H22" s="2818" t="s">
        <v>27646</v>
      </c>
      <c r="I22" s="2818"/>
      <c r="J22" s="2818"/>
      <c r="K22" s="390"/>
      <c r="L22" s="344"/>
      <c r="M22" s="386"/>
      <c r="N22" s="380"/>
      <c r="O22" s="113"/>
      <c r="P22" s="745"/>
      <c r="Q22" s="113"/>
      <c r="R22" s="113"/>
      <c r="S22" s="344"/>
      <c r="T22" s="344"/>
      <c r="U22" s="344"/>
      <c r="V22" s="344"/>
      <c r="W22" s="344"/>
      <c r="X22" s="344"/>
      <c r="AA22" s="344"/>
      <c r="AB22" s="354"/>
      <c r="AC22" s="344"/>
      <c r="AD22" s="344"/>
      <c r="AE22" s="344"/>
      <c r="AF22" s="344"/>
      <c r="AG22" s="344"/>
      <c r="AH22" s="344"/>
      <c r="AI22" s="344"/>
      <c r="AJ22" s="344"/>
      <c r="AK22" s="344"/>
      <c r="AL22" s="344"/>
      <c r="AM22" s="344"/>
      <c r="AN22" s="344"/>
    </row>
    <row r="23" spans="1:40" ht="21.95" customHeight="1" x14ac:dyDescent="0.2">
      <c r="A23" s="2826" t="s">
        <v>283</v>
      </c>
      <c r="B23" s="2826"/>
      <c r="C23" s="2824" t="s">
        <v>283</v>
      </c>
      <c r="D23" s="2824"/>
      <c r="E23" s="2825"/>
      <c r="F23" s="1118"/>
      <c r="G23" s="1118">
        <f>Arbeitsplan!O250*60</f>
        <v>45</v>
      </c>
      <c r="H23" s="2803"/>
      <c r="I23" s="2804"/>
      <c r="J23" s="2805"/>
      <c r="K23" s="14"/>
      <c r="L23" s="344"/>
      <c r="M23" s="386"/>
      <c r="N23" s="113"/>
      <c r="O23" s="113"/>
      <c r="P23" s="745"/>
      <c r="Q23" s="113"/>
      <c r="R23" s="113"/>
      <c r="S23" s="344"/>
      <c r="T23" s="344"/>
      <c r="U23" s="344"/>
      <c r="V23" s="344"/>
      <c r="W23" s="344"/>
      <c r="X23" s="344"/>
      <c r="AA23" s="344"/>
      <c r="AB23" s="354"/>
      <c r="AC23" s="344"/>
      <c r="AD23" s="344"/>
      <c r="AE23" s="344"/>
      <c r="AF23" s="344"/>
      <c r="AG23" s="344"/>
      <c r="AH23" s="344"/>
      <c r="AI23" s="344"/>
      <c r="AJ23" s="344"/>
      <c r="AK23" s="344"/>
      <c r="AL23" s="344"/>
      <c r="AM23" s="344"/>
      <c r="AN23" s="344"/>
    </row>
    <row r="24" spans="1:40" ht="21.95" customHeight="1" x14ac:dyDescent="0.2">
      <c r="A24" s="2826" t="s">
        <v>866</v>
      </c>
      <c r="B24" s="2826"/>
      <c r="C24" s="2824" t="s">
        <v>29366</v>
      </c>
      <c r="D24" s="2824"/>
      <c r="E24" s="2825"/>
      <c r="F24" s="1118"/>
      <c r="G24" s="1118"/>
      <c r="H24" s="2803"/>
      <c r="I24" s="2804"/>
      <c r="J24" s="2805"/>
      <c r="K24" s="386"/>
      <c r="L24" s="344"/>
      <c r="M24" s="386"/>
      <c r="N24" s="380"/>
      <c r="O24" s="113"/>
      <c r="P24" s="745"/>
      <c r="Q24" s="113"/>
      <c r="R24" s="113"/>
      <c r="S24" s="344"/>
      <c r="T24" s="344"/>
      <c r="U24" s="344"/>
      <c r="V24" s="344"/>
      <c r="W24" s="344"/>
      <c r="X24" s="344"/>
      <c r="AA24" s="344"/>
      <c r="AB24" s="344"/>
      <c r="AC24" s="344"/>
      <c r="AD24" s="344"/>
      <c r="AE24" s="344"/>
      <c r="AF24" s="344"/>
      <c r="AG24" s="344"/>
      <c r="AH24" s="344"/>
      <c r="AI24" s="344"/>
      <c r="AJ24" s="344"/>
      <c r="AK24" s="344"/>
      <c r="AL24" s="344"/>
      <c r="AM24" s="344"/>
      <c r="AN24" s="344"/>
    </row>
    <row r="25" spans="1:40" ht="21.95" customHeight="1" x14ac:dyDescent="0.2">
      <c r="A25" s="2826" t="s">
        <v>866</v>
      </c>
      <c r="B25" s="2826"/>
      <c r="C25" s="2824" t="s">
        <v>29365</v>
      </c>
      <c r="D25" s="2824"/>
      <c r="E25" s="2825"/>
      <c r="F25" s="1118"/>
      <c r="G25" s="1118"/>
      <c r="H25" s="2803"/>
      <c r="I25" s="2804"/>
      <c r="J25" s="2805"/>
      <c r="K25" s="386"/>
      <c r="L25" s="344"/>
      <c r="M25" s="386"/>
      <c r="N25" s="380"/>
      <c r="O25" s="113"/>
      <c r="P25" s="745"/>
      <c r="Q25" s="113"/>
      <c r="R25" s="113"/>
      <c r="S25" s="344"/>
      <c r="T25" s="344"/>
      <c r="U25" s="344"/>
      <c r="V25" s="344"/>
      <c r="W25" s="344"/>
      <c r="X25" s="344"/>
      <c r="AA25" s="344"/>
      <c r="AB25" s="344"/>
      <c r="AC25" s="344"/>
      <c r="AD25" s="344"/>
      <c r="AE25" s="344"/>
      <c r="AF25" s="344"/>
      <c r="AG25" s="344"/>
      <c r="AH25" s="344"/>
      <c r="AI25" s="344"/>
      <c r="AJ25" s="344"/>
      <c r="AK25" s="344"/>
      <c r="AL25" s="344"/>
      <c r="AM25" s="344"/>
      <c r="AN25" s="344"/>
    </row>
    <row r="26" spans="1:40" ht="21.95" customHeight="1" x14ac:dyDescent="0.2">
      <c r="A26" s="2827" t="s">
        <v>302</v>
      </c>
      <c r="B26" s="2827"/>
      <c r="C26" s="2828" t="s">
        <v>29367</v>
      </c>
      <c r="D26" s="2828"/>
      <c r="E26" s="2829"/>
      <c r="F26" s="1118"/>
      <c r="G26" s="1118">
        <f>Arbeitsplan!P250*60</f>
        <v>17.399999999999999</v>
      </c>
      <c r="H26" s="2803"/>
      <c r="I26" s="2804"/>
      <c r="J26" s="2805"/>
      <c r="K26" s="393"/>
      <c r="L26" s="344"/>
      <c r="M26" s="386"/>
      <c r="N26" s="113"/>
      <c r="O26" s="113"/>
      <c r="P26" s="745"/>
      <c r="Q26" s="113"/>
      <c r="R26" s="113"/>
      <c r="S26" s="344"/>
      <c r="T26" s="344"/>
      <c r="U26" s="344"/>
      <c r="V26" s="344"/>
      <c r="W26" s="344"/>
      <c r="Y26" s="9"/>
      <c r="AA26" s="344"/>
      <c r="AB26" s="354"/>
      <c r="AC26" s="344"/>
      <c r="AD26" s="344"/>
      <c r="AE26" s="344"/>
      <c r="AF26" s="344"/>
      <c r="AG26" s="344"/>
      <c r="AH26" s="344"/>
      <c r="AI26" s="344"/>
      <c r="AJ26" s="344"/>
      <c r="AK26" s="344"/>
      <c r="AL26" s="344"/>
      <c r="AM26" s="344"/>
      <c r="AN26" s="344"/>
    </row>
    <row r="27" spans="1:40" ht="21.95" customHeight="1" x14ac:dyDescent="0.2">
      <c r="A27" s="2830" t="s">
        <v>869</v>
      </c>
      <c r="B27" s="2830"/>
      <c r="C27" s="2831" t="s">
        <v>692</v>
      </c>
      <c r="D27" s="2832"/>
      <c r="E27" s="2833"/>
      <c r="F27" s="1118"/>
      <c r="G27" s="1118">
        <f>Arbeitsplan!R250*60</f>
        <v>16.979999999999997</v>
      </c>
      <c r="H27" s="804"/>
      <c r="I27" s="751"/>
      <c r="J27" s="805"/>
      <c r="K27" s="386"/>
      <c r="L27" s="344"/>
      <c r="M27" s="344"/>
      <c r="N27" s="380"/>
      <c r="S27" s="344"/>
      <c r="T27" s="344"/>
      <c r="U27" s="344"/>
      <c r="V27" s="344"/>
      <c r="W27" s="344"/>
      <c r="X27" s="344"/>
      <c r="AA27" s="344"/>
      <c r="AB27" s="344"/>
      <c r="AC27" s="344"/>
      <c r="AD27" s="344"/>
      <c r="AE27" s="344"/>
      <c r="AF27" s="344"/>
      <c r="AG27" s="344"/>
      <c r="AH27" s="344"/>
      <c r="AI27" s="344"/>
      <c r="AJ27" s="344"/>
      <c r="AK27" s="344"/>
      <c r="AL27" s="344"/>
      <c r="AM27" s="344"/>
      <c r="AN27" s="344"/>
    </row>
    <row r="28" spans="1:40" ht="21.95" customHeight="1" x14ac:dyDescent="0.2">
      <c r="A28" s="2826" t="s">
        <v>108</v>
      </c>
      <c r="B28" s="2826"/>
      <c r="C28" s="2824" t="s">
        <v>27648</v>
      </c>
      <c r="D28" s="2824"/>
      <c r="E28" s="2825"/>
      <c r="F28" s="1118"/>
      <c r="G28" s="1118">
        <f>Arbeitsplan!W250*60</f>
        <v>20.939999999999998</v>
      </c>
      <c r="H28" s="2803"/>
      <c r="I28" s="2804"/>
      <c r="J28" s="2805"/>
      <c r="K28" s="386"/>
      <c r="L28" s="344"/>
      <c r="M28" s="344"/>
      <c r="S28" s="344"/>
      <c r="T28" s="344"/>
      <c r="U28" s="344"/>
      <c r="V28" s="344"/>
      <c r="W28" s="344"/>
      <c r="X28" s="344"/>
      <c r="AA28" s="344"/>
      <c r="AB28" s="354"/>
      <c r="AC28" s="344"/>
      <c r="AD28" s="344"/>
      <c r="AE28" s="344"/>
      <c r="AF28" s="344"/>
      <c r="AG28" s="344"/>
      <c r="AH28" s="344"/>
      <c r="AI28" s="344"/>
      <c r="AJ28" s="344"/>
      <c r="AK28" s="344"/>
      <c r="AL28" s="344"/>
      <c r="AM28" s="344"/>
      <c r="AN28" s="344"/>
    </row>
    <row r="29" spans="1:40" ht="21.95" customHeight="1" x14ac:dyDescent="0.2">
      <c r="A29" s="2826" t="s">
        <v>108</v>
      </c>
      <c r="B29" s="2826"/>
      <c r="C29" s="2824" t="s">
        <v>28156</v>
      </c>
      <c r="D29" s="2824"/>
      <c r="E29" s="2825"/>
      <c r="F29" s="1118"/>
      <c r="G29" s="1118">
        <f>Arbeitsplan!Y250*60</f>
        <v>11.55</v>
      </c>
      <c r="H29" s="2803"/>
      <c r="I29" s="2804"/>
      <c r="J29" s="2805"/>
      <c r="K29" s="386"/>
      <c r="L29" s="344"/>
      <c r="M29" s="344"/>
      <c r="N29" s="380"/>
      <c r="S29" s="344"/>
      <c r="T29" s="344"/>
      <c r="U29" s="344"/>
      <c r="V29" s="344"/>
      <c r="W29" s="344"/>
      <c r="X29" s="344"/>
      <c r="AA29" s="344"/>
      <c r="AB29" s="344"/>
      <c r="AC29" s="344"/>
      <c r="AD29" s="344"/>
      <c r="AE29" s="344"/>
      <c r="AF29" s="344"/>
      <c r="AG29" s="344"/>
      <c r="AH29" s="344"/>
      <c r="AI29" s="344"/>
      <c r="AJ29" s="344"/>
      <c r="AK29" s="344"/>
      <c r="AL29" s="344"/>
      <c r="AM29" s="344"/>
      <c r="AN29" s="344"/>
    </row>
    <row r="30" spans="1:40" ht="21.95" customHeight="1" x14ac:dyDescent="0.2">
      <c r="A30" s="2826" t="s">
        <v>27651</v>
      </c>
      <c r="B30" s="2826"/>
      <c r="C30" s="2824" t="s">
        <v>27651</v>
      </c>
      <c r="D30" s="2824"/>
      <c r="E30" s="2825"/>
      <c r="F30" s="1118"/>
      <c r="G30" s="1686"/>
      <c r="H30" s="2803"/>
      <c r="I30" s="2804"/>
      <c r="J30" s="2805"/>
      <c r="K30" s="386"/>
      <c r="L30" s="344"/>
      <c r="M30" s="344"/>
      <c r="N30" s="380"/>
      <c r="S30" s="344"/>
      <c r="T30" s="344"/>
      <c r="U30" s="344"/>
      <c r="V30" s="344"/>
      <c r="W30" s="344"/>
      <c r="X30" s="344"/>
      <c r="AA30" s="344"/>
      <c r="AB30" s="344"/>
      <c r="AC30" s="344"/>
      <c r="AD30" s="344"/>
      <c r="AE30" s="344"/>
      <c r="AF30" s="344"/>
      <c r="AG30" s="344"/>
      <c r="AH30" s="344"/>
      <c r="AI30" s="344"/>
      <c r="AJ30" s="344"/>
      <c r="AK30" s="344"/>
      <c r="AL30" s="344"/>
      <c r="AM30" s="344"/>
      <c r="AN30" s="344"/>
    </row>
    <row r="31" spans="1:40" ht="21.95" customHeight="1" x14ac:dyDescent="0.2">
      <c r="A31" s="2826" t="s">
        <v>27651</v>
      </c>
      <c r="B31" s="2826"/>
      <c r="C31" s="2824" t="s">
        <v>27652</v>
      </c>
      <c r="D31" s="2824"/>
      <c r="E31" s="2825"/>
      <c r="F31" s="1129"/>
      <c r="G31" s="1686"/>
      <c r="H31" s="2803"/>
      <c r="I31" s="2804"/>
      <c r="J31" s="2805"/>
      <c r="K31" s="393"/>
      <c r="L31" s="344"/>
      <c r="M31" s="344"/>
      <c r="S31" s="344"/>
      <c r="T31" s="344"/>
      <c r="U31" s="344"/>
      <c r="V31" s="344"/>
      <c r="W31" s="344"/>
      <c r="X31" s="344"/>
      <c r="AA31" s="344"/>
      <c r="AB31" s="359"/>
      <c r="AC31" s="344"/>
      <c r="AD31" s="344"/>
      <c r="AE31" s="344"/>
      <c r="AF31" s="344"/>
      <c r="AG31" s="344"/>
      <c r="AH31" s="344"/>
      <c r="AI31" s="344"/>
      <c r="AJ31" s="344"/>
      <c r="AK31" s="344"/>
      <c r="AL31" s="344"/>
      <c r="AM31" s="344"/>
      <c r="AN31" s="344"/>
    </row>
    <row r="32" spans="1:40" ht="21.95" customHeight="1" x14ac:dyDescent="0.2">
      <c r="A32" s="2826" t="s">
        <v>27649</v>
      </c>
      <c r="B32" s="2826"/>
      <c r="C32" s="2824" t="s">
        <v>27649</v>
      </c>
      <c r="D32" s="2824"/>
      <c r="E32" s="2825"/>
      <c r="F32" s="1118"/>
      <c r="G32" s="1686"/>
      <c r="H32" s="2803"/>
      <c r="I32" s="2804"/>
      <c r="J32" s="2805"/>
      <c r="K32" s="386"/>
      <c r="L32" s="344"/>
      <c r="M32" s="344"/>
      <c r="N32" s="380"/>
      <c r="S32" s="344"/>
      <c r="T32" s="344"/>
      <c r="U32" s="344"/>
      <c r="V32" s="344"/>
      <c r="W32" s="344"/>
      <c r="X32" s="344"/>
      <c r="AA32" s="344"/>
      <c r="AB32" s="359"/>
      <c r="AC32" s="344"/>
      <c r="AD32" s="344"/>
      <c r="AE32" s="344"/>
      <c r="AF32" s="344"/>
      <c r="AG32" s="344"/>
      <c r="AH32" s="344"/>
      <c r="AI32" s="344"/>
      <c r="AJ32" s="344"/>
      <c r="AK32" s="344"/>
      <c r="AL32" s="344"/>
      <c r="AM32" s="344"/>
      <c r="AN32" s="344"/>
    </row>
    <row r="33" spans="1:40" ht="21.95" customHeight="1" x14ac:dyDescent="0.2">
      <c r="A33" s="2826" t="s">
        <v>27650</v>
      </c>
      <c r="B33" s="2826"/>
      <c r="C33" s="2838" t="s">
        <v>29368</v>
      </c>
      <c r="D33" s="2838"/>
      <c r="E33" s="2839"/>
      <c r="F33" s="1118"/>
      <c r="G33" s="1686"/>
      <c r="H33" s="804"/>
      <c r="I33" s="751"/>
      <c r="J33" s="805"/>
      <c r="K33" s="386"/>
      <c r="L33" s="344"/>
      <c r="M33" s="344"/>
      <c r="N33" s="380"/>
      <c r="S33" s="344"/>
      <c r="T33" s="344"/>
      <c r="U33" s="344"/>
      <c r="V33" s="344"/>
      <c r="W33" s="344"/>
      <c r="X33" s="344"/>
      <c r="AA33" s="344"/>
      <c r="AB33" s="359"/>
      <c r="AC33" s="344"/>
      <c r="AD33" s="344"/>
      <c r="AE33" s="344"/>
      <c r="AF33" s="344"/>
      <c r="AG33" s="344"/>
      <c r="AH33" s="344"/>
      <c r="AI33" s="344"/>
      <c r="AJ33" s="344"/>
      <c r="AK33" s="344"/>
      <c r="AL33" s="344"/>
      <c r="AM33" s="344"/>
      <c r="AN33" s="344"/>
    </row>
    <row r="34" spans="1:40" ht="21.95" customHeight="1" x14ac:dyDescent="0.2">
      <c r="A34" s="2826" t="s">
        <v>27650</v>
      </c>
      <c r="B34" s="2826"/>
      <c r="C34" s="2834" t="s">
        <v>27653</v>
      </c>
      <c r="D34" s="2834"/>
      <c r="E34" s="2835"/>
      <c r="F34" s="1118"/>
      <c r="G34" s="1686"/>
      <c r="H34" s="2803"/>
      <c r="I34" s="2804"/>
      <c r="J34" s="2805"/>
      <c r="K34" s="386"/>
      <c r="L34" s="344"/>
      <c r="M34" s="344"/>
      <c r="R34" s="344"/>
      <c r="S34" s="344"/>
      <c r="T34" s="344"/>
      <c r="U34" s="344"/>
      <c r="V34" s="344"/>
      <c r="W34" s="344"/>
      <c r="X34" s="344"/>
      <c r="AA34" s="344"/>
      <c r="AB34" s="359"/>
      <c r="AC34" s="344"/>
      <c r="AD34" s="344"/>
      <c r="AE34" s="344"/>
      <c r="AF34" s="344"/>
      <c r="AG34" s="344"/>
      <c r="AH34" s="344"/>
      <c r="AI34" s="344"/>
      <c r="AJ34" s="344"/>
      <c r="AK34" s="344"/>
      <c r="AL34" s="344"/>
      <c r="AM34" s="344"/>
      <c r="AN34" s="344"/>
    </row>
    <row r="35" spans="1:40" s="344" customFormat="1" ht="21.95" customHeight="1" x14ac:dyDescent="0.2">
      <c r="A35" s="2826" t="s">
        <v>27650</v>
      </c>
      <c r="B35" s="2826"/>
      <c r="C35" s="2834" t="s">
        <v>27654</v>
      </c>
      <c r="D35" s="2834"/>
      <c r="E35" s="2835"/>
      <c r="F35" s="1118"/>
      <c r="G35" s="1686"/>
      <c r="H35" s="2803"/>
      <c r="I35" s="2804"/>
      <c r="J35" s="2805"/>
      <c r="K35" s="386"/>
      <c r="N35" s="380"/>
      <c r="O35" s="9"/>
      <c r="P35" s="193"/>
      <c r="Q35" s="9"/>
      <c r="AB35" s="359"/>
    </row>
    <row r="36" spans="1:40" ht="21.95" customHeight="1" x14ac:dyDescent="0.2">
      <c r="A36" s="2826" t="s">
        <v>27650</v>
      </c>
      <c r="B36" s="2826"/>
      <c r="C36" s="2834" t="s">
        <v>27655</v>
      </c>
      <c r="D36" s="2834"/>
      <c r="E36" s="2835"/>
      <c r="F36" s="1118"/>
      <c r="G36" s="1686"/>
      <c r="H36" s="2803"/>
      <c r="I36" s="2804"/>
      <c r="J36" s="2805"/>
      <c r="K36" s="761"/>
      <c r="L36" s="344"/>
      <c r="M36" s="344"/>
      <c r="R36" s="344"/>
      <c r="S36" s="344"/>
      <c r="T36" s="344"/>
      <c r="U36" s="344"/>
      <c r="V36" s="344"/>
      <c r="W36" s="344"/>
      <c r="X36" s="344"/>
      <c r="AA36" s="344"/>
      <c r="AB36" s="354"/>
      <c r="AC36" s="344"/>
      <c r="AD36" s="344"/>
      <c r="AE36" s="344"/>
      <c r="AF36" s="344"/>
      <c r="AG36" s="344"/>
      <c r="AH36" s="344"/>
      <c r="AI36" s="344"/>
      <c r="AJ36" s="344"/>
      <c r="AK36" s="344"/>
      <c r="AL36" s="344"/>
      <c r="AM36" s="344"/>
      <c r="AN36" s="344"/>
    </row>
    <row r="37" spans="1:40" ht="21.95" customHeight="1" x14ac:dyDescent="0.2">
      <c r="A37" s="2826" t="s">
        <v>27650</v>
      </c>
      <c r="B37" s="2826"/>
      <c r="C37" s="2824" t="s">
        <v>29373</v>
      </c>
      <c r="D37" s="2824"/>
      <c r="E37" s="2825"/>
      <c r="F37" s="1118"/>
      <c r="G37" s="1686"/>
      <c r="H37" s="2803"/>
      <c r="I37" s="2804"/>
      <c r="J37" s="2805"/>
      <c r="K37" s="386"/>
      <c r="L37" s="344"/>
      <c r="M37" s="344"/>
      <c r="N37" s="380"/>
      <c r="R37" s="344"/>
      <c r="S37" s="344"/>
      <c r="T37" s="344"/>
      <c r="U37" s="344"/>
      <c r="V37" s="344"/>
      <c r="W37" s="344"/>
      <c r="X37" s="344"/>
      <c r="AA37" s="344"/>
      <c r="AB37" s="344"/>
      <c r="AC37" s="344"/>
      <c r="AD37" s="344"/>
      <c r="AE37" s="344"/>
      <c r="AF37" s="344"/>
      <c r="AG37" s="344"/>
      <c r="AH37" s="344"/>
      <c r="AI37" s="344"/>
      <c r="AJ37" s="344"/>
      <c r="AK37" s="344"/>
      <c r="AL37" s="344"/>
      <c r="AM37" s="344"/>
      <c r="AN37" s="344"/>
    </row>
    <row r="38" spans="1:40" ht="21.95" customHeight="1" x14ac:dyDescent="0.2">
      <c r="A38" s="2826" t="s">
        <v>27650</v>
      </c>
      <c r="B38" s="2826"/>
      <c r="C38" s="2824" t="s">
        <v>27656</v>
      </c>
      <c r="D38" s="2824"/>
      <c r="E38" s="2825"/>
      <c r="F38" s="1118"/>
      <c r="G38" s="1686"/>
      <c r="H38" s="2803"/>
      <c r="I38" s="2804"/>
      <c r="J38" s="2805"/>
      <c r="K38" s="386"/>
      <c r="L38" s="344"/>
      <c r="M38" s="344"/>
      <c r="N38" s="130"/>
      <c r="O38" s="344"/>
      <c r="P38" s="768"/>
      <c r="Q38" s="344"/>
      <c r="R38" s="344"/>
      <c r="S38" s="344"/>
      <c r="T38" s="344"/>
      <c r="U38" s="344"/>
      <c r="V38" s="344"/>
      <c r="W38" s="344"/>
      <c r="X38" s="344"/>
      <c r="AA38" s="344"/>
      <c r="AB38" s="354"/>
      <c r="AC38" s="344"/>
      <c r="AD38" s="344"/>
      <c r="AE38" s="344"/>
      <c r="AF38" s="344"/>
      <c r="AG38" s="344"/>
      <c r="AH38" s="344"/>
      <c r="AI38" s="344"/>
      <c r="AJ38" s="344"/>
      <c r="AK38" s="344"/>
      <c r="AL38" s="344"/>
      <c r="AM38" s="344"/>
      <c r="AN38" s="344"/>
    </row>
    <row r="39" spans="1:40" ht="21.95" customHeight="1" x14ac:dyDescent="0.2">
      <c r="A39" s="2826" t="s">
        <v>27650</v>
      </c>
      <c r="B39" s="2826"/>
      <c r="C39" s="2824" t="s">
        <v>29369</v>
      </c>
      <c r="D39" s="2824"/>
      <c r="E39" s="2825"/>
      <c r="F39" s="1118"/>
      <c r="G39" s="1686"/>
      <c r="H39" s="804"/>
      <c r="I39" s="751"/>
      <c r="J39" s="805"/>
      <c r="K39" s="386"/>
      <c r="L39" s="344"/>
      <c r="M39" s="344"/>
      <c r="N39" s="130"/>
      <c r="O39" s="344"/>
      <c r="P39" s="768"/>
      <c r="Q39" s="344"/>
      <c r="R39" s="344"/>
      <c r="S39" s="344"/>
      <c r="T39" s="344"/>
      <c r="U39" s="344"/>
      <c r="V39" s="344"/>
      <c r="W39" s="344"/>
      <c r="X39" s="344"/>
      <c r="AA39" s="344"/>
      <c r="AB39" s="354"/>
      <c r="AC39" s="344"/>
      <c r="AD39" s="344"/>
      <c r="AE39" s="344"/>
      <c r="AF39" s="344"/>
      <c r="AG39" s="344"/>
      <c r="AH39" s="344"/>
      <c r="AI39" s="344"/>
      <c r="AJ39" s="344"/>
      <c r="AK39" s="344"/>
      <c r="AL39" s="344"/>
      <c r="AM39" s="344"/>
      <c r="AN39" s="344"/>
    </row>
    <row r="40" spans="1:40" ht="21.95" customHeight="1" x14ac:dyDescent="0.2">
      <c r="A40" s="2826" t="s">
        <v>27650</v>
      </c>
      <c r="B40" s="2826"/>
      <c r="C40" s="2824" t="s">
        <v>29370</v>
      </c>
      <c r="D40" s="2824"/>
      <c r="E40" s="2825"/>
      <c r="F40" s="1118"/>
      <c r="G40" s="1686"/>
      <c r="H40" s="2803"/>
      <c r="I40" s="2804"/>
      <c r="J40" s="2805"/>
      <c r="K40" s="344"/>
      <c r="L40" s="344"/>
      <c r="M40" s="344"/>
      <c r="N40" s="395"/>
      <c r="O40" s="344"/>
      <c r="P40" s="768"/>
      <c r="Q40" s="396"/>
      <c r="R40" s="344"/>
      <c r="S40" s="344"/>
      <c r="T40" s="344"/>
      <c r="U40" s="344"/>
      <c r="V40" s="344"/>
      <c r="W40" s="344"/>
      <c r="X40" s="344"/>
      <c r="AA40" s="344"/>
      <c r="AB40" s="344"/>
      <c r="AC40" s="344"/>
      <c r="AD40" s="344"/>
      <c r="AE40" s="344"/>
      <c r="AF40" s="344"/>
      <c r="AG40" s="344"/>
      <c r="AH40" s="344"/>
      <c r="AI40" s="344"/>
      <c r="AJ40" s="344"/>
      <c r="AK40" s="344"/>
      <c r="AL40" s="344"/>
      <c r="AM40" s="344"/>
      <c r="AN40" s="344"/>
    </row>
    <row r="41" spans="1:40" ht="21.95" customHeight="1" x14ac:dyDescent="0.2">
      <c r="A41" s="2826" t="s">
        <v>27650</v>
      </c>
      <c r="B41" s="2826"/>
      <c r="C41" s="2824" t="s">
        <v>27657</v>
      </c>
      <c r="D41" s="2824"/>
      <c r="E41" s="2825"/>
      <c r="F41" s="1118"/>
      <c r="G41" s="1686"/>
      <c r="H41" s="2803"/>
      <c r="I41" s="2804"/>
      <c r="J41" s="2805"/>
      <c r="K41" s="344"/>
      <c r="L41" s="344"/>
      <c r="M41" s="344"/>
      <c r="N41" s="395"/>
      <c r="O41" s="344"/>
      <c r="P41" s="768"/>
      <c r="Q41" s="396"/>
      <c r="R41" s="344"/>
      <c r="S41" s="344"/>
      <c r="T41" s="344"/>
      <c r="U41" s="344"/>
      <c r="V41" s="344"/>
      <c r="W41" s="344"/>
      <c r="X41" s="344"/>
      <c r="AA41" s="344"/>
      <c r="AB41" s="344"/>
      <c r="AC41" s="344"/>
      <c r="AD41" s="344"/>
      <c r="AE41" s="344"/>
      <c r="AF41" s="344"/>
      <c r="AG41" s="344"/>
      <c r="AH41" s="344"/>
      <c r="AI41" s="344"/>
      <c r="AJ41" s="344"/>
      <c r="AK41" s="344"/>
      <c r="AL41" s="344"/>
      <c r="AM41" s="344"/>
      <c r="AN41" s="344"/>
    </row>
    <row r="42" spans="1:40" ht="21.95" customHeight="1" x14ac:dyDescent="0.2">
      <c r="A42" s="2826" t="s">
        <v>27650</v>
      </c>
      <c r="B42" s="2826"/>
      <c r="C42" s="2824" t="s">
        <v>29371</v>
      </c>
      <c r="D42" s="2824"/>
      <c r="E42" s="2825"/>
      <c r="F42" s="1118"/>
      <c r="G42" s="1686"/>
      <c r="H42" s="2803"/>
      <c r="I42" s="2804"/>
      <c r="J42" s="2805"/>
      <c r="K42" s="344"/>
      <c r="L42" s="344"/>
      <c r="M42" s="344"/>
      <c r="N42" s="395"/>
      <c r="O42" s="344"/>
      <c r="P42" s="768"/>
      <c r="Q42" s="396"/>
      <c r="R42" s="344"/>
      <c r="S42" s="344"/>
      <c r="T42" s="344"/>
      <c r="U42" s="344"/>
      <c r="V42" s="344"/>
      <c r="W42" s="344"/>
      <c r="X42" s="344"/>
      <c r="AA42" s="344"/>
      <c r="AB42" s="344"/>
      <c r="AC42" s="344"/>
      <c r="AD42" s="344"/>
      <c r="AE42" s="344"/>
      <c r="AF42" s="344"/>
      <c r="AG42" s="344"/>
      <c r="AH42" s="344"/>
      <c r="AI42" s="344"/>
      <c r="AJ42" s="344"/>
      <c r="AK42" s="344"/>
      <c r="AL42" s="344"/>
      <c r="AM42" s="344"/>
      <c r="AN42" s="344"/>
    </row>
    <row r="43" spans="1:40" ht="21.95" customHeight="1" x14ac:dyDescent="0.2">
      <c r="A43" s="2826" t="s">
        <v>459</v>
      </c>
      <c r="B43" s="2826"/>
      <c r="C43" s="2824" t="s">
        <v>29372</v>
      </c>
      <c r="D43" s="2824"/>
      <c r="E43" s="2825"/>
      <c r="F43" s="1118"/>
      <c r="G43" s="1686"/>
      <c r="H43" s="2803"/>
      <c r="I43" s="2804"/>
      <c r="J43" s="2805"/>
      <c r="K43" s="344"/>
      <c r="L43" s="344"/>
      <c r="M43" s="344"/>
      <c r="N43" s="395"/>
      <c r="O43" s="344"/>
      <c r="P43" s="768"/>
      <c r="Q43" s="344"/>
      <c r="R43" s="344"/>
      <c r="S43" s="344"/>
      <c r="T43" s="344"/>
      <c r="U43" s="344"/>
      <c r="V43" s="344"/>
      <c r="W43" s="344"/>
      <c r="X43" s="344"/>
      <c r="AA43" s="344"/>
      <c r="AB43" s="344"/>
      <c r="AC43" s="344"/>
      <c r="AD43" s="344"/>
      <c r="AE43" s="344"/>
      <c r="AF43" s="344"/>
      <c r="AG43" s="344"/>
      <c r="AH43" s="344"/>
      <c r="AI43" s="344"/>
      <c r="AJ43" s="344"/>
      <c r="AK43" s="344"/>
      <c r="AL43" s="344"/>
      <c r="AM43" s="344"/>
      <c r="AN43" s="344"/>
    </row>
    <row r="44" spans="1:40" ht="21.95" customHeight="1" x14ac:dyDescent="0.2">
      <c r="A44" s="2826"/>
      <c r="B44" s="2826"/>
      <c r="C44" s="2824"/>
      <c r="D44" s="2824"/>
      <c r="E44" s="2825"/>
      <c r="F44" s="1118"/>
      <c r="G44" s="1686"/>
      <c r="H44" s="2803"/>
      <c r="I44" s="2804"/>
      <c r="J44" s="2805"/>
      <c r="K44" s="344"/>
      <c r="L44" s="344"/>
      <c r="M44" s="344"/>
      <c r="N44" s="130"/>
      <c r="O44" s="344"/>
      <c r="P44" s="768"/>
      <c r="Q44" s="344"/>
      <c r="R44" s="344"/>
      <c r="S44" s="344"/>
      <c r="T44" s="344"/>
      <c r="U44" s="344"/>
      <c r="V44" s="344"/>
      <c r="W44" s="344"/>
      <c r="X44" s="344"/>
      <c r="AA44" s="344"/>
      <c r="AB44" s="344"/>
      <c r="AC44" s="344"/>
      <c r="AD44" s="344"/>
      <c r="AE44" s="344"/>
      <c r="AF44" s="344"/>
      <c r="AG44" s="344"/>
      <c r="AH44" s="344"/>
      <c r="AI44" s="344"/>
      <c r="AJ44" s="344"/>
      <c r="AK44" s="344"/>
      <c r="AL44" s="344"/>
      <c r="AM44" s="344"/>
      <c r="AN44" s="344"/>
    </row>
    <row r="45" spans="1:40" ht="21.95" customHeight="1" x14ac:dyDescent="0.2">
      <c r="A45" s="2826"/>
      <c r="B45" s="2826"/>
      <c r="C45" s="2836" t="s">
        <v>28143</v>
      </c>
      <c r="D45" s="2836"/>
      <c r="E45" s="2837"/>
      <c r="F45" s="1118">
        <f>SUM(F23:F44)</f>
        <v>0</v>
      </c>
      <c r="G45" s="1118">
        <f>SUM(G23:G44)</f>
        <v>111.86999999999999</v>
      </c>
      <c r="H45" s="2803"/>
      <c r="I45" s="2804"/>
      <c r="J45" s="2805"/>
      <c r="L45" s="344"/>
      <c r="M45" s="344"/>
      <c r="N45" s="131"/>
      <c r="Q45" s="344"/>
      <c r="R45" s="344"/>
      <c r="S45" s="344"/>
      <c r="T45" s="344"/>
      <c r="U45" s="344"/>
      <c r="V45" s="344"/>
      <c r="W45" s="344"/>
      <c r="X45" s="344"/>
      <c r="AA45" s="344"/>
      <c r="AB45" s="344"/>
      <c r="AC45" s="344"/>
      <c r="AD45" s="344"/>
      <c r="AE45" s="344"/>
      <c r="AF45" s="344"/>
      <c r="AG45" s="344"/>
      <c r="AH45" s="344"/>
      <c r="AI45" s="344"/>
      <c r="AJ45" s="344"/>
      <c r="AK45" s="344"/>
      <c r="AL45" s="344"/>
      <c r="AM45" s="344"/>
      <c r="AN45" s="344"/>
    </row>
    <row r="46" spans="1:40" ht="21.95" customHeight="1" x14ac:dyDescent="0.2">
      <c r="A46" s="1126"/>
      <c r="B46" s="1126"/>
      <c r="C46" s="1127"/>
      <c r="D46" s="1127"/>
      <c r="E46" s="1130" t="s">
        <v>28144</v>
      </c>
      <c r="F46" s="1131">
        <f>F45/60</f>
        <v>0</v>
      </c>
      <c r="G46" s="1131">
        <f>G45/60</f>
        <v>1.8644999999999998</v>
      </c>
      <c r="H46" s="2815"/>
      <c r="I46" s="2816"/>
      <c r="J46" s="2817"/>
      <c r="L46" s="344"/>
      <c r="M46" s="344"/>
      <c r="N46" s="131"/>
      <c r="Q46" s="344"/>
      <c r="R46" s="344"/>
      <c r="S46" s="344"/>
      <c r="T46" s="344"/>
      <c r="U46" s="344"/>
      <c r="V46" s="344"/>
      <c r="W46" s="344"/>
      <c r="X46" s="344"/>
      <c r="AA46" s="344"/>
      <c r="AB46" s="344"/>
      <c r="AC46" s="344"/>
      <c r="AD46" s="344"/>
      <c r="AE46" s="344"/>
      <c r="AF46" s="344"/>
      <c r="AG46" s="344"/>
      <c r="AH46" s="344"/>
      <c r="AI46" s="344"/>
      <c r="AJ46" s="344"/>
      <c r="AK46" s="344"/>
      <c r="AL46" s="344"/>
      <c r="AM46" s="344"/>
      <c r="AN46" s="344"/>
    </row>
    <row r="47" spans="1:40" ht="4.7" customHeight="1" x14ac:dyDescent="0.2">
      <c r="A47" s="2826"/>
      <c r="B47" s="2826"/>
      <c r="C47" s="2824"/>
      <c r="D47" s="2824"/>
      <c r="E47" s="2824"/>
      <c r="F47" s="398"/>
      <c r="G47" s="398"/>
      <c r="H47" s="2810"/>
      <c r="I47" s="2810"/>
      <c r="J47" s="2810"/>
      <c r="L47" s="344"/>
      <c r="M47" s="344"/>
      <c r="N47" s="131"/>
      <c r="Q47" s="344"/>
      <c r="R47" s="344"/>
      <c r="S47" s="344"/>
      <c r="T47" s="344"/>
      <c r="U47" s="344"/>
      <c r="V47" s="344"/>
      <c r="W47" s="344"/>
      <c r="X47" s="344"/>
      <c r="AA47" s="344"/>
      <c r="AB47" s="344"/>
      <c r="AC47" s="344"/>
      <c r="AD47" s="344"/>
      <c r="AE47" s="344"/>
      <c r="AF47" s="344"/>
      <c r="AG47" s="344"/>
      <c r="AH47" s="344"/>
      <c r="AI47" s="344"/>
      <c r="AJ47" s="344"/>
      <c r="AK47" s="344"/>
      <c r="AL47" s="344"/>
      <c r="AM47" s="344"/>
      <c r="AN47" s="344"/>
    </row>
    <row r="48" spans="1:40" ht="18" customHeight="1" x14ac:dyDescent="0.2">
      <c r="A48" s="2826"/>
      <c r="B48" s="2826"/>
      <c r="C48" s="2824"/>
      <c r="D48" s="2824"/>
      <c r="E48" s="2824"/>
      <c r="F48" s="399"/>
      <c r="G48" s="399"/>
      <c r="H48" s="2811"/>
      <c r="I48" s="2811"/>
      <c r="J48" s="2811"/>
      <c r="L48" s="344"/>
      <c r="M48" s="344"/>
      <c r="N48" s="131"/>
      <c r="Q48" s="344"/>
      <c r="R48" s="344"/>
      <c r="S48" s="344"/>
      <c r="T48" s="344"/>
      <c r="U48" s="344"/>
      <c r="V48" s="344"/>
      <c r="W48" s="344"/>
      <c r="X48" s="344"/>
      <c r="AA48" s="344"/>
      <c r="AB48" s="344"/>
      <c r="AC48" s="344"/>
      <c r="AD48" s="344"/>
      <c r="AE48" s="344"/>
      <c r="AF48" s="344"/>
      <c r="AG48" s="344"/>
      <c r="AH48" s="344"/>
      <c r="AI48" s="344"/>
      <c r="AJ48" s="344"/>
      <c r="AK48" s="344"/>
      <c r="AL48" s="344"/>
      <c r="AM48" s="344"/>
      <c r="AN48" s="344"/>
    </row>
    <row r="49" spans="1:40" ht="15.95" customHeight="1" x14ac:dyDescent="0.2">
      <c r="A49" s="2826"/>
      <c r="B49" s="2826"/>
      <c r="C49" s="2824"/>
      <c r="D49" s="2824"/>
      <c r="E49" s="2824"/>
      <c r="F49" s="399"/>
      <c r="G49" s="399"/>
      <c r="H49" s="2811"/>
      <c r="I49" s="2811"/>
      <c r="J49" s="2811"/>
      <c r="L49" s="344"/>
      <c r="M49" s="344"/>
      <c r="N49" s="131"/>
      <c r="Q49" s="344"/>
      <c r="R49" s="344"/>
      <c r="S49" s="344"/>
      <c r="T49" s="344"/>
      <c r="U49" s="344"/>
      <c r="V49" s="344"/>
      <c r="W49" s="344"/>
      <c r="X49" s="344"/>
      <c r="AA49" s="344"/>
      <c r="AB49" s="344"/>
      <c r="AC49" s="344"/>
      <c r="AD49" s="344"/>
      <c r="AE49" s="344"/>
      <c r="AF49" s="344"/>
      <c r="AG49" s="344"/>
      <c r="AH49" s="344"/>
      <c r="AI49" s="344"/>
      <c r="AJ49" s="344"/>
      <c r="AK49" s="344"/>
      <c r="AL49" s="344"/>
      <c r="AM49" s="344"/>
      <c r="AN49" s="344"/>
    </row>
    <row r="50" spans="1:40" ht="15.95" customHeight="1" x14ac:dyDescent="0.2">
      <c r="A50" s="2826"/>
      <c r="B50" s="2826"/>
      <c r="C50" s="2824"/>
      <c r="D50" s="2824"/>
      <c r="E50" s="2825"/>
      <c r="F50" s="810"/>
      <c r="G50" s="1120"/>
      <c r="H50" s="2812"/>
      <c r="I50" s="2813"/>
      <c r="J50" s="2814"/>
      <c r="L50" s="344"/>
      <c r="M50" s="344"/>
      <c r="N50" s="131"/>
      <c r="Q50" s="344"/>
      <c r="R50" s="344"/>
      <c r="S50" s="344"/>
      <c r="T50" s="344"/>
      <c r="U50" s="344"/>
      <c r="V50" s="344"/>
      <c r="W50" s="344"/>
      <c r="X50" s="344"/>
      <c r="AA50" s="344"/>
      <c r="AB50" s="344"/>
      <c r="AC50" s="344"/>
      <c r="AD50" s="344"/>
      <c r="AE50" s="344"/>
      <c r="AF50" s="344"/>
      <c r="AG50" s="344"/>
      <c r="AH50" s="344"/>
      <c r="AI50" s="344"/>
      <c r="AJ50" s="344"/>
      <c r="AK50" s="344"/>
      <c r="AL50" s="344"/>
      <c r="AM50" s="344"/>
      <c r="AN50" s="344"/>
    </row>
    <row r="51" spans="1:40" ht="15.95" customHeight="1" x14ac:dyDescent="0.2">
      <c r="A51" s="2826"/>
      <c r="B51" s="2826"/>
      <c r="C51" s="2824"/>
      <c r="D51" s="2824"/>
      <c r="E51" s="2825"/>
      <c r="F51" s="802"/>
      <c r="G51" s="804"/>
      <c r="H51" s="2803"/>
      <c r="I51" s="2804"/>
      <c r="J51" s="2805"/>
      <c r="L51" s="344"/>
      <c r="M51" s="344"/>
      <c r="N51" s="131"/>
      <c r="Q51" s="344"/>
      <c r="R51" s="344"/>
      <c r="S51" s="344"/>
      <c r="T51" s="344"/>
      <c r="U51" s="344"/>
      <c r="V51" s="344"/>
      <c r="W51" s="344"/>
      <c r="X51" s="344"/>
      <c r="AA51" s="344"/>
      <c r="AB51" s="344"/>
      <c r="AC51" s="344"/>
      <c r="AD51" s="344"/>
      <c r="AE51" s="344"/>
      <c r="AF51" s="344"/>
      <c r="AG51" s="344"/>
      <c r="AH51" s="344"/>
      <c r="AI51" s="344"/>
      <c r="AJ51" s="344"/>
      <c r="AK51" s="344"/>
      <c r="AL51" s="344"/>
      <c r="AM51" s="344"/>
      <c r="AN51" s="344"/>
    </row>
    <row r="52" spans="1:40" ht="15.95" customHeight="1" x14ac:dyDescent="0.2">
      <c r="A52" s="2826"/>
      <c r="B52" s="2826"/>
      <c r="C52" s="2824"/>
      <c r="D52" s="2824"/>
      <c r="E52" s="2825"/>
      <c r="F52" s="802"/>
      <c r="G52" s="804"/>
      <c r="H52" s="2803"/>
      <c r="I52" s="2804"/>
      <c r="J52" s="2805"/>
      <c r="L52" s="344"/>
      <c r="M52" s="344"/>
      <c r="N52" s="131"/>
      <c r="Q52" s="344"/>
      <c r="R52" s="344"/>
      <c r="S52" s="344"/>
      <c r="T52" s="344"/>
      <c r="U52" s="344"/>
      <c r="V52" s="344"/>
      <c r="W52" s="344"/>
      <c r="X52" s="344"/>
      <c r="AA52" s="344"/>
      <c r="AB52" s="344"/>
      <c r="AC52" s="344"/>
      <c r="AD52" s="344"/>
      <c r="AE52" s="344"/>
      <c r="AF52" s="344"/>
      <c r="AG52" s="344"/>
      <c r="AH52" s="344"/>
      <c r="AI52" s="344"/>
      <c r="AJ52" s="344"/>
      <c r="AK52" s="344"/>
      <c r="AL52" s="344"/>
      <c r="AM52" s="344"/>
      <c r="AN52" s="344"/>
    </row>
    <row r="53" spans="1:40" ht="15.95" customHeight="1" x14ac:dyDescent="0.2">
      <c r="A53" s="2826"/>
      <c r="B53" s="2826"/>
      <c r="C53" s="2824"/>
      <c r="D53" s="2824"/>
      <c r="E53" s="2825"/>
      <c r="F53" s="802"/>
      <c r="G53" s="804"/>
      <c r="H53" s="2803"/>
      <c r="I53" s="2804"/>
      <c r="J53" s="2805"/>
      <c r="L53" s="344"/>
      <c r="M53" s="344"/>
      <c r="N53" s="131"/>
      <c r="Q53" s="344"/>
      <c r="R53" s="344"/>
      <c r="S53" s="344"/>
      <c r="T53" s="344"/>
      <c r="U53" s="344"/>
      <c r="V53" s="344"/>
      <c r="W53" s="344"/>
      <c r="X53" s="344"/>
      <c r="AA53" s="344"/>
      <c r="AB53" s="344"/>
      <c r="AC53" s="344"/>
      <c r="AD53" s="344"/>
      <c r="AE53" s="344"/>
      <c r="AF53" s="344"/>
      <c r="AG53" s="344"/>
      <c r="AH53" s="344"/>
      <c r="AI53" s="344"/>
      <c r="AJ53" s="344"/>
      <c r="AK53" s="344"/>
      <c r="AL53" s="344"/>
      <c r="AM53" s="344"/>
      <c r="AN53" s="344"/>
    </row>
    <row r="54" spans="1:40" ht="15.95" customHeight="1" x14ac:dyDescent="0.2">
      <c r="A54" s="2826"/>
      <c r="B54" s="2826"/>
      <c r="C54" s="2824"/>
      <c r="D54" s="2824"/>
      <c r="E54" s="2825"/>
      <c r="F54" s="802"/>
      <c r="G54" s="804"/>
      <c r="H54" s="2803"/>
      <c r="I54" s="2804"/>
      <c r="J54" s="2805"/>
      <c r="L54" s="344"/>
      <c r="M54" s="344"/>
      <c r="N54" s="131"/>
      <c r="Q54" s="344"/>
      <c r="R54" s="344"/>
      <c r="S54" s="344"/>
      <c r="T54" s="344"/>
      <c r="U54" s="344"/>
      <c r="V54" s="344"/>
      <c r="W54" s="344"/>
      <c r="X54" s="344"/>
      <c r="AA54" s="344"/>
      <c r="AB54" s="344"/>
      <c r="AC54" s="344"/>
      <c r="AD54" s="344"/>
      <c r="AE54" s="344"/>
      <c r="AF54" s="344"/>
      <c r="AG54" s="344"/>
      <c r="AH54" s="344"/>
      <c r="AI54" s="344"/>
      <c r="AJ54" s="344"/>
      <c r="AK54" s="344"/>
      <c r="AL54" s="344"/>
      <c r="AM54" s="344"/>
      <c r="AN54" s="344"/>
    </row>
    <row r="55" spans="1:40" ht="15.95" customHeight="1" x14ac:dyDescent="0.2">
      <c r="A55" s="2826"/>
      <c r="B55" s="2826"/>
      <c r="C55" s="2824"/>
      <c r="D55" s="2824"/>
      <c r="E55" s="2825"/>
      <c r="F55" s="802"/>
      <c r="G55" s="804"/>
      <c r="H55" s="2803"/>
      <c r="I55" s="2804"/>
      <c r="J55" s="2805"/>
      <c r="L55" s="344"/>
      <c r="M55" s="344"/>
      <c r="N55" s="131"/>
      <c r="Q55" s="344"/>
      <c r="R55" s="344"/>
      <c r="S55" s="344"/>
      <c r="T55" s="344"/>
      <c r="U55" s="344"/>
      <c r="V55" s="344"/>
      <c r="W55" s="344"/>
      <c r="X55" s="344"/>
      <c r="AA55" s="344"/>
      <c r="AB55" s="344"/>
      <c r="AC55" s="344"/>
      <c r="AD55" s="344"/>
      <c r="AE55" s="344"/>
      <c r="AF55" s="344"/>
      <c r="AG55" s="344"/>
      <c r="AH55" s="344"/>
      <c r="AI55" s="344"/>
      <c r="AJ55" s="344"/>
      <c r="AK55" s="344"/>
      <c r="AL55" s="344"/>
      <c r="AM55" s="344"/>
      <c r="AN55" s="344"/>
    </row>
    <row r="56" spans="1:40" ht="15.95" customHeight="1" x14ac:dyDescent="0.2">
      <c r="A56" s="2826"/>
      <c r="B56" s="2826"/>
      <c r="C56" s="2824"/>
      <c r="D56" s="2824"/>
      <c r="E56" s="2825"/>
      <c r="F56" s="802"/>
      <c r="G56" s="804"/>
      <c r="H56" s="2803"/>
      <c r="I56" s="2804"/>
      <c r="J56" s="2805"/>
      <c r="L56" s="344"/>
      <c r="M56" s="344"/>
      <c r="N56" s="131"/>
      <c r="Q56" s="344"/>
      <c r="R56" s="344"/>
      <c r="S56" s="344"/>
      <c r="T56" s="344"/>
      <c r="U56" s="344"/>
      <c r="V56" s="344"/>
      <c r="W56" s="344"/>
      <c r="X56" s="344"/>
      <c r="AA56" s="344"/>
      <c r="AB56" s="344"/>
      <c r="AC56" s="344"/>
      <c r="AD56" s="344"/>
      <c r="AE56" s="344"/>
      <c r="AF56" s="344"/>
      <c r="AG56" s="344"/>
      <c r="AH56" s="344"/>
      <c r="AI56" s="344"/>
      <c r="AJ56" s="344"/>
      <c r="AK56" s="344"/>
      <c r="AL56" s="344"/>
      <c r="AM56" s="344"/>
      <c r="AN56" s="344"/>
    </row>
    <row r="57" spans="1:40" ht="15.95" customHeight="1" x14ac:dyDescent="0.2">
      <c r="E57" s="397"/>
      <c r="F57" s="399"/>
      <c r="G57" s="399"/>
      <c r="H57" s="2803"/>
      <c r="I57" s="2804"/>
      <c r="J57" s="2805"/>
      <c r="K57" s="113"/>
      <c r="L57" s="344"/>
      <c r="M57" s="344"/>
      <c r="N57" s="131"/>
      <c r="Q57" s="344"/>
      <c r="R57" s="344"/>
      <c r="S57" s="344"/>
      <c r="T57" s="344"/>
      <c r="U57" s="344"/>
      <c r="V57" s="344"/>
      <c r="W57" s="344"/>
      <c r="X57" s="344"/>
      <c r="AA57" s="344"/>
      <c r="AB57" s="344"/>
      <c r="AC57" s="344"/>
      <c r="AD57" s="344"/>
      <c r="AE57" s="344"/>
      <c r="AF57" s="344"/>
      <c r="AG57" s="344"/>
      <c r="AH57" s="344"/>
      <c r="AI57" s="344"/>
      <c r="AJ57" s="344"/>
      <c r="AK57" s="344"/>
      <c r="AL57" s="344"/>
      <c r="AM57" s="344"/>
      <c r="AN57" s="344"/>
    </row>
    <row r="58" spans="1:40" ht="15.95" customHeight="1" x14ac:dyDescent="0.2">
      <c r="E58" s="679" t="s">
        <v>705</v>
      </c>
      <c r="F58" s="416"/>
      <c r="G58" s="1125"/>
      <c r="H58" s="2803"/>
      <c r="I58" s="2804"/>
      <c r="J58" s="2805"/>
      <c r="K58" s="113"/>
      <c r="L58" s="344"/>
      <c r="M58" s="344"/>
      <c r="N58" s="131"/>
      <c r="Q58" s="344"/>
      <c r="R58" s="344"/>
      <c r="S58" s="344"/>
      <c r="T58" s="344"/>
      <c r="U58" s="344"/>
      <c r="V58" s="344"/>
      <c r="W58" s="344"/>
      <c r="X58" s="344"/>
      <c r="AA58" s="344"/>
      <c r="AB58" s="344"/>
      <c r="AC58" s="344"/>
      <c r="AD58" s="344"/>
      <c r="AE58" s="344"/>
      <c r="AF58" s="344"/>
      <c r="AG58" s="344"/>
      <c r="AH58" s="344"/>
      <c r="AI58" s="344"/>
      <c r="AJ58" s="344"/>
      <c r="AK58" s="344"/>
      <c r="AL58" s="344"/>
      <c r="AM58" s="344"/>
      <c r="AN58" s="344"/>
    </row>
    <row r="59" spans="1:40" ht="15.95" customHeight="1" x14ac:dyDescent="0.2">
      <c r="E59" s="397"/>
      <c r="F59" s="399"/>
      <c r="G59" s="399"/>
      <c r="H59" s="2803"/>
      <c r="I59" s="2804"/>
      <c r="J59" s="2805"/>
      <c r="K59" s="113"/>
      <c r="L59" s="344"/>
      <c r="M59" s="344"/>
      <c r="N59" s="131"/>
      <c r="Q59" s="344"/>
      <c r="R59" s="344"/>
      <c r="S59" s="344"/>
      <c r="T59" s="344"/>
      <c r="U59" s="344"/>
      <c r="V59" s="344"/>
      <c r="W59" s="344"/>
      <c r="X59" s="344"/>
      <c r="AA59" s="344"/>
      <c r="AB59" s="344"/>
      <c r="AC59" s="344"/>
      <c r="AD59" s="344"/>
      <c r="AE59" s="344"/>
      <c r="AF59" s="344"/>
      <c r="AG59" s="344"/>
      <c r="AH59" s="344"/>
      <c r="AI59" s="344"/>
      <c r="AJ59" s="344"/>
      <c r="AK59" s="344"/>
      <c r="AL59" s="344"/>
      <c r="AM59" s="344"/>
      <c r="AN59" s="344"/>
    </row>
    <row r="60" spans="1:40" ht="15.95" customHeight="1" x14ac:dyDescent="0.2">
      <c r="E60" s="412"/>
      <c r="F60" s="416"/>
      <c r="G60" s="1125"/>
      <c r="H60" s="2803"/>
      <c r="I60" s="2804"/>
      <c r="J60" s="2805"/>
      <c r="K60" s="113"/>
      <c r="L60" s="344"/>
      <c r="M60" s="344"/>
      <c r="N60" s="131"/>
      <c r="Q60" s="344"/>
      <c r="R60" s="344"/>
      <c r="S60" s="344"/>
      <c r="T60" s="344"/>
      <c r="U60" s="344"/>
      <c r="V60" s="344"/>
      <c r="W60" s="344"/>
      <c r="X60" s="344"/>
      <c r="AA60" s="344"/>
      <c r="AB60" s="344"/>
      <c r="AC60" s="344"/>
      <c r="AD60" s="344"/>
      <c r="AE60" s="344"/>
      <c r="AF60" s="344"/>
      <c r="AG60" s="344"/>
      <c r="AH60" s="344"/>
      <c r="AI60" s="344"/>
      <c r="AJ60" s="344"/>
      <c r="AK60" s="344"/>
      <c r="AL60" s="344"/>
      <c r="AM60" s="344"/>
      <c r="AN60" s="344"/>
    </row>
    <row r="61" spans="1:40" ht="15.95" customHeight="1" x14ac:dyDescent="0.2">
      <c r="E61" s="397"/>
      <c r="F61" s="399"/>
      <c r="G61" s="399"/>
      <c r="H61" s="2803"/>
      <c r="I61" s="2804"/>
      <c r="J61" s="2805"/>
      <c r="K61" s="113"/>
      <c r="L61" s="344"/>
      <c r="M61" s="344"/>
      <c r="N61" s="131"/>
      <c r="Q61" s="344"/>
      <c r="R61" s="344"/>
      <c r="S61" s="344"/>
      <c r="T61" s="344"/>
      <c r="U61" s="344"/>
      <c r="V61" s="344"/>
      <c r="W61" s="344"/>
      <c r="X61" s="344"/>
      <c r="AA61" s="344"/>
      <c r="AB61" s="344"/>
      <c r="AC61" s="344"/>
      <c r="AD61" s="344"/>
      <c r="AE61" s="344"/>
      <c r="AF61" s="344"/>
      <c r="AG61" s="344"/>
      <c r="AH61" s="344"/>
      <c r="AI61" s="344"/>
      <c r="AJ61" s="344"/>
      <c r="AK61" s="344"/>
      <c r="AL61" s="344"/>
      <c r="AM61" s="344"/>
      <c r="AN61" s="344"/>
    </row>
    <row r="62" spans="1:40" ht="15.95" customHeight="1" x14ac:dyDescent="0.2">
      <c r="E62" s="397"/>
      <c r="F62" s="399"/>
      <c r="G62" s="399"/>
      <c r="H62" s="113"/>
      <c r="I62" s="113"/>
      <c r="J62" s="113"/>
      <c r="K62" s="113"/>
      <c r="L62" s="344"/>
      <c r="M62" s="344"/>
      <c r="N62" s="131"/>
      <c r="Q62" s="344"/>
      <c r="R62" s="344"/>
      <c r="S62" s="344"/>
      <c r="T62" s="344"/>
      <c r="U62" s="344"/>
      <c r="V62" s="344"/>
      <c r="W62" s="344"/>
      <c r="X62" s="344"/>
      <c r="AA62" s="344"/>
      <c r="AB62" s="344"/>
      <c r="AC62" s="344"/>
      <c r="AD62" s="344"/>
      <c r="AE62" s="344"/>
      <c r="AF62" s="344"/>
      <c r="AG62" s="344"/>
      <c r="AH62" s="344"/>
      <c r="AI62" s="344"/>
      <c r="AJ62" s="344"/>
      <c r="AK62" s="344"/>
      <c r="AL62" s="344"/>
      <c r="AM62" s="344"/>
      <c r="AN62" s="344"/>
    </row>
    <row r="63" spans="1:40" ht="18" x14ac:dyDescent="0.2">
      <c r="E63" s="397"/>
      <c r="F63" s="399"/>
      <c r="G63" s="399"/>
      <c r="H63" s="113"/>
      <c r="I63" s="113"/>
      <c r="J63" s="113"/>
      <c r="K63" s="113"/>
      <c r="L63" s="344"/>
      <c r="M63" s="344"/>
      <c r="N63" s="131"/>
      <c r="Q63" s="344"/>
      <c r="R63" s="344"/>
      <c r="S63" s="344"/>
      <c r="T63" s="344"/>
      <c r="U63" s="344"/>
      <c r="V63" s="344"/>
      <c r="W63" s="344"/>
      <c r="X63" s="344"/>
      <c r="AA63" s="344"/>
      <c r="AB63" s="344"/>
      <c r="AC63" s="344"/>
      <c r="AD63" s="344"/>
      <c r="AE63" s="344"/>
      <c r="AF63" s="344"/>
      <c r="AG63" s="344"/>
      <c r="AH63" s="344"/>
      <c r="AI63" s="344"/>
      <c r="AJ63" s="344"/>
      <c r="AK63" s="344"/>
      <c r="AL63" s="344"/>
      <c r="AM63" s="344"/>
      <c r="AN63" s="344"/>
    </row>
    <row r="64" spans="1:40" ht="18" x14ac:dyDescent="0.2">
      <c r="E64" s="397"/>
      <c r="F64" s="399"/>
      <c r="G64" s="399"/>
      <c r="H64" s="113"/>
      <c r="I64" s="113"/>
      <c r="J64" s="113"/>
      <c r="K64" s="113"/>
      <c r="L64" s="344"/>
      <c r="M64" s="344"/>
      <c r="N64" s="131"/>
      <c r="Q64" s="344"/>
      <c r="R64" s="344"/>
      <c r="S64" s="344"/>
      <c r="T64" s="344"/>
      <c r="U64" s="344"/>
      <c r="V64" s="344"/>
      <c r="W64" s="344"/>
      <c r="X64" s="344"/>
      <c r="AA64" s="344"/>
      <c r="AB64" s="344"/>
      <c r="AC64" s="344"/>
      <c r="AD64" s="344"/>
      <c r="AE64" s="344"/>
      <c r="AF64" s="344"/>
      <c r="AG64" s="344"/>
      <c r="AH64" s="344"/>
      <c r="AI64" s="344"/>
      <c r="AJ64" s="344"/>
      <c r="AK64" s="344"/>
      <c r="AL64" s="344"/>
      <c r="AM64" s="344"/>
      <c r="AN64" s="344"/>
    </row>
    <row r="65" spans="1:40" ht="18" x14ac:dyDescent="0.2">
      <c r="E65" s="397"/>
      <c r="F65" s="399"/>
      <c r="G65" s="399"/>
      <c r="H65" s="113"/>
      <c r="I65" s="113"/>
      <c r="J65" s="113"/>
      <c r="K65" s="113"/>
      <c r="L65" s="344"/>
      <c r="M65" s="344"/>
      <c r="N65" s="131"/>
      <c r="O65" s="400"/>
      <c r="P65" s="768"/>
      <c r="Q65" s="400"/>
      <c r="R65" s="400"/>
      <c r="S65" s="400"/>
      <c r="T65" s="344"/>
      <c r="U65" s="344"/>
      <c r="V65" s="344"/>
      <c r="W65" s="344"/>
      <c r="X65" s="344"/>
      <c r="AA65" s="344"/>
      <c r="AB65" s="344"/>
      <c r="AC65" s="344"/>
      <c r="AD65" s="344"/>
      <c r="AE65" s="344"/>
      <c r="AF65" s="344"/>
      <c r="AG65" s="344"/>
      <c r="AH65" s="344"/>
      <c r="AI65" s="344"/>
      <c r="AJ65" s="344"/>
      <c r="AK65" s="344"/>
      <c r="AL65" s="344"/>
      <c r="AM65" s="344"/>
      <c r="AN65" s="344"/>
    </row>
    <row r="66" spans="1:40" ht="15.75" x14ac:dyDescent="0.2">
      <c r="F66" s="113"/>
      <c r="G66" s="113"/>
      <c r="H66" s="113"/>
      <c r="I66" s="113"/>
      <c r="J66" s="113"/>
      <c r="K66" s="113"/>
      <c r="L66" s="344"/>
      <c r="M66" s="344"/>
      <c r="N66" s="395"/>
      <c r="O66" s="344"/>
      <c r="P66" s="768"/>
      <c r="Q66" s="344"/>
      <c r="R66" s="344"/>
      <c r="S66" s="344"/>
      <c r="T66" s="344"/>
      <c r="U66" s="344"/>
      <c r="V66" s="344"/>
      <c r="W66" s="344"/>
      <c r="X66" s="344"/>
      <c r="AA66" s="344"/>
      <c r="AB66" s="344"/>
      <c r="AC66" s="344"/>
      <c r="AD66" s="344"/>
      <c r="AE66" s="344"/>
      <c r="AF66" s="344"/>
      <c r="AG66" s="344"/>
      <c r="AH66" s="344"/>
      <c r="AI66" s="344"/>
      <c r="AJ66" s="344"/>
      <c r="AK66" s="344"/>
      <c r="AL66" s="344"/>
      <c r="AM66" s="344"/>
      <c r="AN66" s="344"/>
    </row>
    <row r="67" spans="1:40" ht="15.75" x14ac:dyDescent="0.2">
      <c r="A67" s="401"/>
      <c r="B67" s="402"/>
      <c r="C67" s="402"/>
      <c r="D67" s="402"/>
      <c r="E67" s="402"/>
      <c r="F67" s="402"/>
      <c r="G67" s="402"/>
      <c r="H67" s="402"/>
      <c r="I67" s="402"/>
      <c r="J67" s="402"/>
      <c r="K67" s="402"/>
      <c r="L67" s="344"/>
      <c r="M67" s="344"/>
      <c r="N67" s="395"/>
      <c r="O67" s="344"/>
      <c r="P67" s="768"/>
      <c r="Q67" s="344"/>
      <c r="R67" s="344"/>
      <c r="S67" s="344"/>
      <c r="T67" s="344"/>
      <c r="U67" s="344"/>
      <c r="V67" s="344"/>
      <c r="W67" s="344"/>
      <c r="X67" s="344"/>
      <c r="AA67" s="344"/>
      <c r="AB67" s="344"/>
      <c r="AC67" s="344"/>
      <c r="AD67" s="344"/>
      <c r="AE67" s="344"/>
      <c r="AF67" s="344"/>
      <c r="AG67" s="344"/>
      <c r="AH67" s="344"/>
      <c r="AI67" s="344"/>
      <c r="AJ67" s="344"/>
      <c r="AK67" s="344"/>
      <c r="AL67" s="344"/>
      <c r="AM67" s="344"/>
      <c r="AN67" s="344"/>
    </row>
    <row r="68" spans="1:40" x14ac:dyDescent="0.2">
      <c r="A68" s="403"/>
      <c r="B68" s="402"/>
      <c r="C68" s="402"/>
      <c r="D68" s="402"/>
      <c r="E68" s="402"/>
      <c r="F68" s="402"/>
      <c r="G68" s="402"/>
      <c r="H68" s="402"/>
      <c r="I68" s="402"/>
      <c r="J68" s="402"/>
      <c r="K68" s="402"/>
      <c r="L68" s="344"/>
      <c r="M68" s="344"/>
      <c r="N68" s="132"/>
      <c r="O68" s="344"/>
      <c r="Q68" s="344"/>
      <c r="R68" s="344"/>
      <c r="S68" s="344"/>
      <c r="T68" s="344"/>
      <c r="U68" s="344"/>
      <c r="V68" s="344"/>
      <c r="W68" s="344"/>
      <c r="X68" s="344"/>
      <c r="AA68" s="344"/>
      <c r="AB68" s="344"/>
      <c r="AC68" s="344"/>
      <c r="AD68" s="344"/>
      <c r="AE68" s="344"/>
      <c r="AF68" s="344"/>
      <c r="AG68" s="344"/>
      <c r="AH68" s="344"/>
      <c r="AI68" s="344"/>
      <c r="AJ68" s="344"/>
      <c r="AK68" s="344"/>
      <c r="AL68" s="344"/>
      <c r="AM68" s="344"/>
      <c r="AN68" s="344"/>
    </row>
    <row r="69" spans="1:40" x14ac:dyDescent="0.2">
      <c r="C69" s="344"/>
      <c r="D69" s="344"/>
      <c r="E69" s="344"/>
      <c r="F69" s="344"/>
      <c r="G69" s="344"/>
      <c r="H69" s="344"/>
      <c r="I69" s="344"/>
      <c r="J69" s="344"/>
      <c r="K69" s="344"/>
      <c r="L69" s="344"/>
      <c r="M69" s="344"/>
      <c r="N69" s="344"/>
      <c r="O69" s="344"/>
      <c r="P69" s="768"/>
      <c r="Q69" s="344"/>
      <c r="R69" s="344"/>
      <c r="S69" s="344"/>
      <c r="T69" s="344"/>
      <c r="U69" s="344"/>
      <c r="V69" s="344"/>
      <c r="W69" s="344"/>
      <c r="X69" s="344"/>
      <c r="AA69" s="344"/>
      <c r="AB69" s="344"/>
      <c r="AC69" s="344"/>
      <c r="AD69" s="344"/>
      <c r="AE69" s="344"/>
      <c r="AF69" s="344"/>
      <c r="AG69" s="344"/>
      <c r="AH69" s="344"/>
      <c r="AI69" s="344"/>
      <c r="AJ69" s="344"/>
      <c r="AK69" s="344"/>
      <c r="AL69" s="344"/>
      <c r="AM69" s="344"/>
      <c r="AN69" s="344"/>
    </row>
    <row r="70" spans="1:40" x14ac:dyDescent="0.2">
      <c r="A70" s="344"/>
      <c r="B70" s="344"/>
      <c r="C70" s="344"/>
      <c r="D70" s="344"/>
      <c r="E70" s="344"/>
      <c r="F70" s="344"/>
      <c r="G70" s="344"/>
      <c r="H70" s="344"/>
      <c r="I70" s="344"/>
      <c r="J70" s="344"/>
      <c r="K70" s="344"/>
      <c r="L70" s="344"/>
      <c r="M70" s="344"/>
      <c r="N70" s="344"/>
      <c r="O70" s="344"/>
      <c r="P70" s="768"/>
      <c r="Q70" s="344"/>
      <c r="R70" s="344"/>
      <c r="S70" s="344"/>
      <c r="T70" s="344"/>
      <c r="U70" s="344"/>
      <c r="V70" s="344"/>
      <c r="W70" s="344"/>
      <c r="X70" s="344"/>
      <c r="AA70" s="344"/>
      <c r="AB70" s="344"/>
      <c r="AC70" s="344"/>
      <c r="AD70" s="344"/>
      <c r="AE70" s="344"/>
      <c r="AF70" s="344"/>
      <c r="AG70" s="344"/>
      <c r="AH70" s="344"/>
      <c r="AI70" s="344"/>
      <c r="AJ70" s="344"/>
      <c r="AK70" s="344"/>
      <c r="AL70" s="344"/>
      <c r="AM70" s="344"/>
      <c r="AN70" s="344"/>
    </row>
    <row r="71" spans="1:40" x14ac:dyDescent="0.2">
      <c r="A71" s="344"/>
      <c r="C71" s="344"/>
      <c r="D71" s="344"/>
      <c r="E71" s="344"/>
      <c r="F71" s="344"/>
      <c r="G71" s="344"/>
      <c r="H71" s="344"/>
      <c r="I71" s="344"/>
      <c r="J71" s="344"/>
      <c r="K71" s="344"/>
      <c r="L71" s="344"/>
      <c r="M71" s="344"/>
      <c r="N71" s="344"/>
      <c r="O71" s="344"/>
      <c r="P71" s="768"/>
      <c r="Q71" s="344"/>
      <c r="R71" s="344"/>
      <c r="S71" s="344"/>
      <c r="T71" s="344"/>
      <c r="U71" s="344"/>
      <c r="V71" s="344"/>
      <c r="W71" s="344"/>
      <c r="X71" s="344"/>
      <c r="AA71" s="344"/>
      <c r="AB71" s="344"/>
      <c r="AC71" s="344"/>
      <c r="AD71" s="344"/>
      <c r="AE71" s="344"/>
      <c r="AF71" s="344"/>
      <c r="AG71" s="344"/>
      <c r="AH71" s="344"/>
      <c r="AI71" s="344"/>
      <c r="AJ71" s="344"/>
      <c r="AK71" s="344"/>
      <c r="AL71" s="344"/>
      <c r="AM71" s="344"/>
      <c r="AN71" s="344"/>
    </row>
    <row r="72" spans="1:40" x14ac:dyDescent="0.2">
      <c r="A72" s="344"/>
      <c r="C72" s="344"/>
      <c r="D72" s="344"/>
      <c r="E72" s="344"/>
      <c r="F72" s="344"/>
      <c r="G72" s="344"/>
      <c r="H72" s="344"/>
      <c r="I72" s="344"/>
      <c r="J72" s="344"/>
      <c r="K72" s="344"/>
      <c r="L72" s="344"/>
      <c r="M72" s="344"/>
      <c r="N72" s="344"/>
      <c r="O72" s="344"/>
      <c r="P72" s="768"/>
      <c r="Q72" s="344"/>
      <c r="R72" s="344"/>
      <c r="S72" s="344"/>
      <c r="T72" s="344"/>
      <c r="U72" s="344"/>
      <c r="V72" s="344"/>
      <c r="W72" s="344"/>
      <c r="X72" s="344"/>
      <c r="AA72" s="344"/>
      <c r="AB72" s="344"/>
      <c r="AC72" s="344"/>
      <c r="AD72" s="344"/>
      <c r="AE72" s="344"/>
      <c r="AF72" s="408"/>
      <c r="AG72" s="408"/>
      <c r="AH72" s="344"/>
      <c r="AI72" s="344"/>
      <c r="AJ72" s="344"/>
      <c r="AK72" s="344"/>
      <c r="AL72" s="344"/>
      <c r="AM72" s="344"/>
      <c r="AN72" s="344"/>
    </row>
    <row r="73" spans="1:40" x14ac:dyDescent="0.2">
      <c r="A73" s="344"/>
      <c r="C73" s="344"/>
      <c r="D73" s="344"/>
      <c r="E73" s="344"/>
      <c r="F73" s="344"/>
      <c r="G73" s="344"/>
      <c r="H73" s="344"/>
      <c r="I73" s="344"/>
      <c r="J73" s="344"/>
      <c r="K73" s="344"/>
      <c r="L73" s="344"/>
      <c r="M73" s="344"/>
      <c r="N73" s="344"/>
      <c r="O73" s="344"/>
      <c r="P73" s="768"/>
      <c r="Q73" s="344"/>
      <c r="R73" s="344"/>
      <c r="S73" s="344"/>
      <c r="T73" s="344"/>
      <c r="U73" s="344"/>
      <c r="V73" s="344"/>
      <c r="W73" s="344"/>
      <c r="X73" s="344"/>
      <c r="AA73" s="344"/>
      <c r="AB73" s="344"/>
      <c r="AC73" s="344"/>
      <c r="AD73" s="344"/>
      <c r="AE73" s="344"/>
      <c r="AF73" s="344"/>
      <c r="AG73" s="344"/>
      <c r="AH73" s="344"/>
      <c r="AI73" s="344"/>
      <c r="AJ73" s="344"/>
      <c r="AK73" s="344"/>
      <c r="AL73" s="344"/>
      <c r="AM73" s="344"/>
      <c r="AN73" s="344"/>
    </row>
    <row r="74" spans="1:40" x14ac:dyDescent="0.2">
      <c r="A74" s="344"/>
      <c r="C74" s="344"/>
      <c r="D74" s="344"/>
      <c r="E74" s="344"/>
      <c r="F74" s="344"/>
      <c r="G74" s="344"/>
      <c r="H74" s="344"/>
      <c r="I74" s="344"/>
      <c r="J74" s="344"/>
      <c r="K74" s="344"/>
      <c r="L74" s="344"/>
      <c r="M74" s="344"/>
      <c r="N74" s="344"/>
      <c r="O74" s="344"/>
      <c r="P74" s="768"/>
      <c r="Q74" s="344"/>
      <c r="R74" s="344"/>
      <c r="S74" s="344"/>
      <c r="T74" s="344"/>
      <c r="U74" s="344"/>
      <c r="V74" s="344"/>
      <c r="W74" s="344"/>
      <c r="X74" s="344"/>
      <c r="AA74" s="344"/>
      <c r="AB74" s="344"/>
      <c r="AC74" s="408"/>
    </row>
    <row r="75" spans="1:40" x14ac:dyDescent="0.2">
      <c r="A75" s="344"/>
      <c r="C75" s="344"/>
      <c r="D75" s="344"/>
      <c r="E75" s="344"/>
      <c r="F75" s="344"/>
      <c r="G75" s="344"/>
      <c r="H75" s="344"/>
      <c r="I75" s="344"/>
      <c r="J75" s="344"/>
      <c r="K75" s="344"/>
      <c r="L75" s="344"/>
      <c r="M75" s="344"/>
      <c r="N75" s="344"/>
      <c r="O75" s="344"/>
      <c r="P75" s="768"/>
      <c r="Q75" s="344"/>
      <c r="R75" s="344"/>
      <c r="S75" s="344"/>
      <c r="T75" s="344"/>
      <c r="U75" s="344"/>
      <c r="V75" s="344"/>
      <c r="W75" s="344"/>
      <c r="X75" s="344"/>
      <c r="AA75" s="344"/>
      <c r="AB75" s="344"/>
    </row>
    <row r="76" spans="1:40" x14ac:dyDescent="0.2">
      <c r="A76" s="344"/>
      <c r="C76" s="344"/>
      <c r="D76" s="344"/>
      <c r="E76" s="344"/>
      <c r="F76" s="344"/>
      <c r="G76" s="344"/>
      <c r="H76" s="344"/>
      <c r="I76" s="344"/>
      <c r="J76" s="344"/>
      <c r="K76" s="344"/>
      <c r="L76" s="344"/>
      <c r="M76" s="344"/>
      <c r="N76" s="344"/>
      <c r="O76" s="344"/>
      <c r="P76" s="768"/>
      <c r="Q76" s="344"/>
      <c r="R76" s="344"/>
      <c r="S76" s="344"/>
      <c r="T76" s="344"/>
      <c r="U76" s="344"/>
      <c r="V76" s="344"/>
      <c r="W76" s="344"/>
      <c r="X76" s="344"/>
      <c r="AA76" s="344"/>
      <c r="AB76" s="344"/>
      <c r="AC76" s="344"/>
    </row>
    <row r="77" spans="1:40" x14ac:dyDescent="0.2">
      <c r="A77" s="344"/>
      <c r="C77" s="344"/>
      <c r="D77" s="344"/>
      <c r="E77" s="344"/>
      <c r="F77" s="344"/>
      <c r="G77" s="344"/>
      <c r="H77" s="344"/>
      <c r="I77" s="344"/>
      <c r="J77" s="344"/>
      <c r="K77" s="344"/>
      <c r="L77" s="344"/>
      <c r="M77" s="344"/>
      <c r="N77" s="344"/>
      <c r="O77" s="344"/>
      <c r="P77" s="768"/>
      <c r="Q77" s="344"/>
      <c r="R77" s="344"/>
      <c r="S77" s="344"/>
      <c r="T77" s="344"/>
      <c r="U77" s="344"/>
      <c r="V77" s="344"/>
      <c r="W77" s="344"/>
      <c r="X77" s="344"/>
      <c r="AA77" s="344"/>
      <c r="AB77" s="344"/>
    </row>
    <row r="78" spans="1:40" x14ac:dyDescent="0.2">
      <c r="A78" s="344"/>
      <c r="C78" s="344"/>
      <c r="D78" s="344"/>
      <c r="E78" s="344"/>
      <c r="F78" s="344"/>
      <c r="G78" s="344"/>
      <c r="H78" s="344"/>
      <c r="I78" s="344"/>
      <c r="J78" s="344"/>
      <c r="K78" s="344"/>
      <c r="L78" s="344"/>
      <c r="M78" s="344"/>
      <c r="N78" s="344"/>
      <c r="O78" s="344"/>
      <c r="P78" s="768"/>
      <c r="Q78" s="344"/>
      <c r="R78" s="344"/>
      <c r="S78" s="344"/>
      <c r="T78" s="344"/>
      <c r="U78" s="344"/>
      <c r="V78" s="344"/>
      <c r="W78" s="344"/>
      <c r="X78" s="344"/>
      <c r="AA78" s="344"/>
      <c r="AB78" s="344"/>
      <c r="AC78" s="132"/>
      <c r="AD78" s="132"/>
      <c r="AE78" s="132"/>
      <c r="AF78" s="132"/>
      <c r="AG78" s="132"/>
      <c r="AH78" s="132"/>
    </row>
    <row r="79" spans="1:40" x14ac:dyDescent="0.2">
      <c r="A79" s="344"/>
      <c r="C79" s="344"/>
      <c r="D79" s="344"/>
      <c r="E79" s="344"/>
      <c r="F79" s="344"/>
      <c r="G79" s="344"/>
      <c r="H79" s="344"/>
      <c r="I79" s="344"/>
      <c r="J79" s="344"/>
      <c r="K79" s="344"/>
      <c r="L79" s="344"/>
      <c r="M79" s="344"/>
      <c r="N79" s="344"/>
      <c r="O79" s="344"/>
      <c r="P79" s="768"/>
      <c r="Q79" s="344"/>
      <c r="R79" s="344"/>
      <c r="S79" s="344"/>
      <c r="T79" s="344"/>
      <c r="U79" s="344"/>
      <c r="V79" s="344"/>
      <c r="W79" s="344"/>
      <c r="X79" s="344"/>
      <c r="AA79" s="344"/>
      <c r="AB79" s="344"/>
      <c r="AE79" s="409"/>
      <c r="AF79" s="409"/>
    </row>
    <row r="80" spans="1:40" x14ac:dyDescent="0.2">
      <c r="A80" s="344"/>
      <c r="C80" s="344"/>
      <c r="D80" s="344"/>
      <c r="E80" s="344"/>
      <c r="F80" s="344"/>
      <c r="G80" s="344"/>
      <c r="H80" s="344"/>
      <c r="I80" s="344"/>
      <c r="J80" s="344"/>
      <c r="K80" s="344"/>
      <c r="L80" s="344"/>
      <c r="M80" s="344"/>
      <c r="N80" s="344"/>
      <c r="O80" s="344"/>
      <c r="P80" s="768"/>
      <c r="Q80" s="344"/>
      <c r="R80" s="344"/>
      <c r="S80" s="344"/>
      <c r="T80" s="344"/>
      <c r="U80" s="344"/>
      <c r="V80" s="344"/>
      <c r="W80" s="344"/>
      <c r="X80" s="344"/>
      <c r="AA80" s="344"/>
      <c r="AB80" s="344"/>
      <c r="AE80" s="409"/>
      <c r="AF80" s="409"/>
    </row>
    <row r="81" spans="1:32" x14ac:dyDescent="0.2">
      <c r="A81" s="344"/>
      <c r="C81" s="344"/>
      <c r="D81" s="344"/>
      <c r="E81" s="344"/>
      <c r="F81" s="344"/>
      <c r="G81" s="344"/>
      <c r="H81" s="344"/>
      <c r="I81" s="344"/>
      <c r="J81" s="344"/>
      <c r="K81" s="344"/>
      <c r="L81" s="344"/>
      <c r="M81" s="344"/>
      <c r="N81" s="344"/>
      <c r="O81" s="344"/>
      <c r="P81" s="768"/>
      <c r="Q81" s="344"/>
      <c r="R81" s="344"/>
      <c r="S81" s="344"/>
      <c r="T81" s="344"/>
      <c r="U81" s="344"/>
      <c r="V81" s="344"/>
      <c r="W81" s="344"/>
      <c r="X81" s="344"/>
      <c r="AA81" s="344"/>
      <c r="AB81" s="344"/>
      <c r="AE81" s="409"/>
      <c r="AF81" s="409"/>
    </row>
    <row r="82" spans="1:32" x14ac:dyDescent="0.2">
      <c r="A82" s="344"/>
      <c r="C82" s="344"/>
      <c r="D82" s="344"/>
      <c r="E82" s="344"/>
      <c r="F82" s="344"/>
      <c r="G82" s="344"/>
      <c r="H82" s="344"/>
      <c r="I82" s="344"/>
      <c r="J82" s="344"/>
      <c r="K82" s="344"/>
      <c r="L82" s="344"/>
      <c r="M82" s="344"/>
      <c r="N82" s="344"/>
      <c r="O82" s="344"/>
      <c r="P82" s="768"/>
      <c r="Q82" s="344"/>
      <c r="R82" s="344"/>
      <c r="S82" s="344"/>
      <c r="T82" s="344"/>
      <c r="U82" s="344"/>
      <c r="V82" s="344"/>
      <c r="W82" s="344"/>
      <c r="X82" s="344"/>
      <c r="AA82" s="344"/>
      <c r="AB82" s="344"/>
      <c r="AE82" s="409"/>
      <c r="AF82" s="409"/>
    </row>
    <row r="83" spans="1:32" x14ac:dyDescent="0.2">
      <c r="A83" s="344"/>
      <c r="C83" s="344"/>
      <c r="D83" s="344"/>
      <c r="E83" s="344"/>
      <c r="F83" s="344"/>
      <c r="G83" s="344"/>
      <c r="H83" s="344"/>
      <c r="I83" s="344"/>
      <c r="J83" s="344"/>
      <c r="K83" s="344"/>
      <c r="L83" s="344"/>
      <c r="M83" s="344"/>
      <c r="N83" s="344"/>
      <c r="O83" s="344"/>
      <c r="P83" s="768"/>
      <c r="Q83" s="344"/>
      <c r="R83" s="344"/>
      <c r="S83" s="344"/>
      <c r="T83" s="344"/>
      <c r="U83" s="344"/>
      <c r="V83" s="344"/>
      <c r="W83" s="344"/>
      <c r="X83" s="344"/>
      <c r="AA83" s="344"/>
      <c r="AB83" s="344"/>
      <c r="AE83" s="409"/>
      <c r="AF83" s="409"/>
    </row>
    <row r="84" spans="1:32" x14ac:dyDescent="0.2">
      <c r="A84" s="344"/>
      <c r="C84" s="344"/>
      <c r="D84" s="344"/>
      <c r="E84" s="344"/>
      <c r="F84" s="344"/>
      <c r="G84" s="344"/>
      <c r="H84" s="344"/>
      <c r="I84" s="344"/>
      <c r="J84" s="344"/>
      <c r="K84" s="344"/>
      <c r="L84" s="344"/>
      <c r="M84" s="344"/>
      <c r="N84" s="344"/>
      <c r="O84" s="344"/>
      <c r="P84" s="768"/>
      <c r="Q84" s="344"/>
      <c r="R84" s="344"/>
      <c r="S84" s="344"/>
      <c r="T84" s="344"/>
      <c r="U84" s="344"/>
      <c r="V84" s="344"/>
      <c r="W84" s="344"/>
      <c r="X84" s="344"/>
      <c r="AA84" s="344"/>
      <c r="AB84" s="344"/>
      <c r="AE84" s="409"/>
      <c r="AF84" s="409"/>
    </row>
    <row r="85" spans="1:32" x14ac:dyDescent="0.2">
      <c r="A85" s="344"/>
      <c r="B85" s="344"/>
      <c r="C85" s="344"/>
      <c r="D85" s="344"/>
      <c r="E85" s="344"/>
      <c r="F85" s="344"/>
      <c r="G85" s="344"/>
      <c r="H85" s="344"/>
      <c r="I85" s="344"/>
      <c r="J85" s="344"/>
      <c r="K85" s="344"/>
      <c r="L85" s="344"/>
      <c r="M85" s="344"/>
      <c r="N85" s="344"/>
      <c r="O85" s="344"/>
      <c r="P85" s="768"/>
      <c r="Q85" s="344"/>
      <c r="R85" s="344"/>
      <c r="S85" s="344"/>
      <c r="T85" s="344"/>
      <c r="U85" s="344"/>
      <c r="V85" s="344"/>
      <c r="W85" s="344"/>
      <c r="X85" s="344"/>
      <c r="AA85" s="344"/>
      <c r="AB85" s="344"/>
      <c r="AE85" s="409"/>
      <c r="AF85" s="409"/>
    </row>
    <row r="86" spans="1:32" x14ac:dyDescent="0.2">
      <c r="A86" s="344"/>
      <c r="B86" s="344"/>
      <c r="C86" s="344"/>
      <c r="D86" s="344"/>
      <c r="E86" s="344"/>
      <c r="F86" s="344"/>
      <c r="G86" s="344"/>
      <c r="H86" s="344"/>
      <c r="I86" s="344"/>
      <c r="J86" s="344"/>
      <c r="K86" s="344"/>
      <c r="L86" s="344"/>
      <c r="M86" s="344"/>
      <c r="N86" s="344"/>
      <c r="O86" s="344"/>
      <c r="P86" s="768"/>
      <c r="Q86" s="344"/>
      <c r="R86" s="344"/>
      <c r="S86" s="344"/>
      <c r="T86" s="344"/>
      <c r="U86" s="344"/>
      <c r="V86" s="344"/>
      <c r="W86" s="344"/>
      <c r="X86" s="344"/>
      <c r="AA86" s="344"/>
      <c r="AB86" s="344"/>
      <c r="AE86" s="409"/>
      <c r="AF86" s="409"/>
    </row>
    <row r="87" spans="1:32" x14ac:dyDescent="0.2">
      <c r="A87" s="344"/>
      <c r="B87" s="344"/>
      <c r="C87" s="344"/>
      <c r="D87" s="344"/>
      <c r="E87" s="344"/>
      <c r="F87" s="344"/>
      <c r="G87" s="344"/>
      <c r="H87" s="344"/>
      <c r="I87" s="344"/>
      <c r="J87" s="344"/>
      <c r="K87" s="344"/>
      <c r="L87" s="344"/>
      <c r="M87" s="344"/>
      <c r="N87" s="344"/>
      <c r="O87" s="344"/>
      <c r="P87" s="768"/>
      <c r="Q87" s="344"/>
      <c r="R87" s="344"/>
      <c r="S87" s="344"/>
      <c r="T87" s="344"/>
      <c r="U87" s="344"/>
      <c r="V87" s="344"/>
      <c r="W87" s="344"/>
      <c r="X87" s="344"/>
      <c r="AA87" s="344"/>
      <c r="AB87" s="344"/>
      <c r="AE87" s="409"/>
      <c r="AF87" s="409"/>
    </row>
    <row r="88" spans="1:32" x14ac:dyDescent="0.2">
      <c r="A88" s="344"/>
      <c r="B88" s="344"/>
      <c r="C88" s="344"/>
      <c r="D88" s="344"/>
      <c r="E88" s="344"/>
      <c r="F88" s="344"/>
      <c r="G88" s="344"/>
      <c r="H88" s="344"/>
      <c r="I88" s="344"/>
      <c r="J88" s="344"/>
      <c r="K88" s="344"/>
      <c r="L88" s="344"/>
      <c r="M88" s="344"/>
      <c r="N88" s="344"/>
      <c r="O88" s="344"/>
      <c r="P88" s="768"/>
      <c r="Q88" s="344"/>
      <c r="R88" s="344"/>
      <c r="S88" s="344"/>
      <c r="T88" s="344"/>
      <c r="U88" s="344"/>
      <c r="V88" s="344"/>
      <c r="W88" s="344"/>
      <c r="X88" s="344"/>
      <c r="AA88" s="344"/>
      <c r="AB88" s="344"/>
      <c r="AE88" s="409"/>
      <c r="AF88" s="409"/>
    </row>
    <row r="89" spans="1:32" x14ac:dyDescent="0.2">
      <c r="A89" s="344"/>
      <c r="B89" s="344"/>
      <c r="C89" s="344"/>
      <c r="D89" s="344"/>
      <c r="E89" s="344"/>
      <c r="F89" s="344"/>
      <c r="G89" s="344"/>
      <c r="H89" s="344"/>
      <c r="I89" s="344"/>
      <c r="J89" s="344"/>
      <c r="K89" s="344"/>
      <c r="L89" s="344"/>
      <c r="M89" s="344"/>
      <c r="N89" s="344"/>
      <c r="O89" s="344"/>
      <c r="P89" s="768"/>
      <c r="Q89" s="344"/>
      <c r="R89" s="344"/>
      <c r="S89" s="344"/>
      <c r="T89" s="344"/>
      <c r="U89" s="344"/>
      <c r="V89" s="344"/>
      <c r="W89" s="344"/>
      <c r="X89" s="344"/>
      <c r="AA89" s="344"/>
      <c r="AB89" s="344"/>
      <c r="AE89" s="409"/>
      <c r="AF89" s="409"/>
    </row>
    <row r="90" spans="1:32" x14ac:dyDescent="0.2">
      <c r="A90" s="344"/>
      <c r="B90" s="344"/>
      <c r="C90" s="344"/>
      <c r="D90" s="344"/>
      <c r="E90" s="344"/>
      <c r="F90" s="344"/>
      <c r="G90" s="344"/>
      <c r="H90" s="344"/>
      <c r="I90" s="344"/>
      <c r="J90" s="344"/>
      <c r="K90" s="344"/>
      <c r="L90" s="344"/>
      <c r="M90" s="344"/>
      <c r="N90" s="344"/>
      <c r="O90" s="344"/>
      <c r="P90" s="768"/>
      <c r="Q90" s="344"/>
      <c r="R90" s="344"/>
      <c r="S90" s="344"/>
      <c r="T90" s="344"/>
      <c r="U90" s="344"/>
      <c r="V90" s="344"/>
      <c r="W90" s="344"/>
      <c r="X90" s="344"/>
      <c r="AA90" s="344"/>
      <c r="AB90" s="344"/>
      <c r="AE90" s="409"/>
      <c r="AF90" s="409"/>
    </row>
    <row r="91" spans="1:32" x14ac:dyDescent="0.2">
      <c r="A91" s="344"/>
      <c r="B91" s="344"/>
      <c r="C91" s="344"/>
      <c r="D91" s="344"/>
      <c r="E91" s="344"/>
      <c r="F91" s="344"/>
      <c r="G91" s="344"/>
      <c r="H91" s="344"/>
      <c r="I91" s="344"/>
      <c r="J91" s="344"/>
      <c r="K91" s="344"/>
      <c r="L91" s="344"/>
      <c r="M91" s="344"/>
      <c r="N91" s="344"/>
      <c r="O91" s="344"/>
      <c r="P91" s="768"/>
      <c r="Q91" s="344"/>
      <c r="R91" s="344"/>
      <c r="S91" s="344"/>
      <c r="T91" s="344"/>
      <c r="U91" s="344"/>
      <c r="V91" s="344"/>
      <c r="W91" s="344"/>
      <c r="X91" s="344"/>
      <c r="AA91" s="344"/>
      <c r="AB91" s="344"/>
      <c r="AE91" s="409"/>
      <c r="AF91" s="409"/>
    </row>
    <row r="92" spans="1:32" x14ac:dyDescent="0.2">
      <c r="A92" s="344"/>
      <c r="B92" s="344"/>
      <c r="C92" s="344"/>
      <c r="D92" s="344"/>
      <c r="E92" s="344"/>
      <c r="F92" s="344"/>
      <c r="G92" s="344"/>
      <c r="H92" s="344"/>
      <c r="I92" s="344"/>
      <c r="J92" s="344"/>
      <c r="K92" s="344"/>
      <c r="L92" s="344"/>
      <c r="M92" s="344"/>
      <c r="N92" s="344"/>
      <c r="O92" s="344"/>
      <c r="P92" s="768"/>
      <c r="Q92" s="344"/>
      <c r="R92" s="344"/>
      <c r="S92" s="344"/>
      <c r="T92" s="344"/>
      <c r="U92" s="344"/>
      <c r="V92" s="344"/>
      <c r="W92" s="344"/>
      <c r="X92" s="344"/>
      <c r="AA92" s="344"/>
      <c r="AB92" s="344"/>
      <c r="AE92" s="409"/>
      <c r="AF92" s="409"/>
    </row>
    <row r="93" spans="1:32" x14ac:dyDescent="0.2">
      <c r="A93" s="344"/>
      <c r="B93" s="344"/>
      <c r="C93" s="344"/>
      <c r="D93" s="344"/>
      <c r="E93" s="344"/>
      <c r="F93" s="344"/>
      <c r="G93" s="344"/>
      <c r="H93" s="344"/>
      <c r="I93" s="344"/>
      <c r="J93" s="344"/>
      <c r="K93" s="344"/>
      <c r="L93" s="344"/>
      <c r="M93" s="344"/>
      <c r="N93" s="344"/>
      <c r="O93" s="344"/>
      <c r="P93" s="768"/>
      <c r="Q93" s="344"/>
      <c r="R93" s="344"/>
      <c r="S93" s="344"/>
      <c r="T93" s="344"/>
      <c r="U93" s="344"/>
      <c r="V93" s="344"/>
      <c r="W93" s="344"/>
      <c r="X93" s="344"/>
      <c r="AA93" s="344"/>
      <c r="AB93" s="344"/>
      <c r="AE93" s="409"/>
      <c r="AF93" s="409"/>
    </row>
    <row r="94" spans="1:32" x14ac:dyDescent="0.2">
      <c r="A94" s="344"/>
      <c r="B94" s="344"/>
      <c r="C94" s="344"/>
      <c r="D94" s="344"/>
      <c r="E94" s="344"/>
      <c r="F94" s="344"/>
      <c r="G94" s="344"/>
      <c r="H94" s="344"/>
      <c r="I94" s="344"/>
      <c r="J94" s="344"/>
      <c r="K94" s="344"/>
      <c r="L94" s="344"/>
      <c r="M94" s="344"/>
      <c r="N94" s="344"/>
      <c r="O94" s="344"/>
      <c r="P94" s="768"/>
      <c r="Q94" s="344"/>
      <c r="R94" s="344"/>
      <c r="S94" s="344"/>
      <c r="T94" s="344"/>
      <c r="U94" s="344"/>
      <c r="V94" s="344"/>
      <c r="W94" s="344"/>
      <c r="X94" s="344"/>
      <c r="AA94" s="344"/>
      <c r="AB94" s="344"/>
      <c r="AE94" s="409"/>
      <c r="AF94" s="409"/>
    </row>
    <row r="95" spans="1:32" x14ac:dyDescent="0.2">
      <c r="A95" s="344"/>
      <c r="B95" s="344"/>
      <c r="C95" s="344"/>
      <c r="D95" s="344"/>
      <c r="E95" s="344"/>
      <c r="F95" s="344"/>
      <c r="G95" s="344"/>
      <c r="H95" s="344"/>
      <c r="I95" s="344"/>
      <c r="J95" s="344"/>
      <c r="K95" s="344"/>
      <c r="L95" s="344"/>
      <c r="M95" s="344"/>
      <c r="N95" s="344"/>
      <c r="O95" s="344"/>
      <c r="P95" s="768"/>
      <c r="Q95" s="344"/>
      <c r="R95" s="344"/>
      <c r="S95" s="344"/>
      <c r="T95" s="344"/>
      <c r="U95" s="344"/>
      <c r="V95" s="344"/>
      <c r="W95" s="344"/>
      <c r="X95" s="344"/>
      <c r="AA95" s="344"/>
      <c r="AB95" s="344"/>
      <c r="AE95" s="409"/>
      <c r="AF95" s="409"/>
    </row>
    <row r="96" spans="1:32" x14ac:dyDescent="0.2">
      <c r="A96" s="344"/>
      <c r="B96" s="344"/>
      <c r="C96" s="344"/>
      <c r="D96" s="344"/>
      <c r="E96" s="344"/>
      <c r="F96" s="344"/>
      <c r="G96" s="344"/>
      <c r="H96" s="344"/>
      <c r="I96" s="344"/>
      <c r="J96" s="344"/>
      <c r="K96" s="344"/>
      <c r="L96" s="344"/>
      <c r="M96" s="344"/>
      <c r="N96" s="344"/>
      <c r="O96" s="344"/>
      <c r="P96" s="768"/>
      <c r="Q96" s="344"/>
      <c r="R96" s="344"/>
      <c r="S96" s="344"/>
      <c r="T96" s="344"/>
      <c r="U96" s="344"/>
      <c r="V96" s="344"/>
      <c r="W96" s="344"/>
      <c r="X96" s="344"/>
      <c r="AA96" s="344"/>
      <c r="AB96" s="344"/>
      <c r="AC96" s="132"/>
    </row>
    <row r="97" spans="1:28" x14ac:dyDescent="0.2">
      <c r="A97" s="344"/>
      <c r="B97" s="344"/>
      <c r="C97" s="344"/>
      <c r="D97" s="344"/>
      <c r="E97" s="344"/>
      <c r="F97" s="344"/>
      <c r="G97" s="344"/>
      <c r="H97" s="344"/>
      <c r="I97" s="344"/>
      <c r="J97" s="344"/>
      <c r="K97" s="344"/>
      <c r="L97" s="344"/>
      <c r="M97" s="344"/>
      <c r="N97" s="344"/>
      <c r="O97" s="344"/>
      <c r="P97" s="768"/>
      <c r="Q97" s="344"/>
      <c r="R97" s="344"/>
      <c r="S97" s="344"/>
      <c r="T97" s="344"/>
      <c r="U97" s="344"/>
      <c r="V97" s="344"/>
      <c r="W97" s="344"/>
      <c r="X97" s="344"/>
      <c r="AA97" s="344"/>
      <c r="AB97" s="344"/>
    </row>
    <row r="98" spans="1:28" x14ac:dyDescent="0.2">
      <c r="A98" s="344"/>
      <c r="B98" s="344"/>
      <c r="C98" s="344"/>
      <c r="D98" s="344"/>
      <c r="E98" s="344"/>
      <c r="F98" s="344"/>
      <c r="G98" s="344"/>
      <c r="H98" s="344"/>
      <c r="I98" s="344"/>
      <c r="J98" s="344"/>
      <c r="K98" s="344"/>
      <c r="L98" s="344"/>
      <c r="M98" s="344"/>
      <c r="N98" s="344"/>
      <c r="O98" s="344"/>
      <c r="P98" s="768"/>
      <c r="Q98" s="344"/>
      <c r="R98" s="344"/>
      <c r="S98" s="344"/>
      <c r="T98" s="344"/>
      <c r="U98" s="344"/>
      <c r="V98" s="344"/>
      <c r="W98" s="344"/>
      <c r="X98" s="344"/>
      <c r="AA98" s="344"/>
      <c r="AB98" s="344"/>
    </row>
    <row r="99" spans="1:28" x14ac:dyDescent="0.2">
      <c r="A99" s="344"/>
      <c r="B99" s="344"/>
      <c r="C99" s="344"/>
      <c r="D99" s="344"/>
      <c r="E99" s="344"/>
      <c r="F99" s="344"/>
      <c r="G99" s="344"/>
      <c r="H99" s="344"/>
      <c r="I99" s="344"/>
      <c r="J99" s="344"/>
      <c r="K99" s="344"/>
      <c r="L99" s="344"/>
      <c r="M99" s="344"/>
      <c r="N99" s="344"/>
      <c r="O99" s="344"/>
      <c r="P99" s="768"/>
      <c r="Q99" s="344"/>
      <c r="R99" s="344"/>
      <c r="S99" s="344"/>
      <c r="T99" s="344"/>
      <c r="U99" s="344"/>
      <c r="V99" s="344"/>
      <c r="W99" s="344"/>
      <c r="X99" s="344"/>
      <c r="AA99" s="344"/>
      <c r="AB99" s="344"/>
    </row>
    <row r="100" spans="1:28" x14ac:dyDescent="0.2">
      <c r="A100" s="344"/>
      <c r="B100" s="344"/>
      <c r="C100" s="344"/>
      <c r="D100" s="344"/>
      <c r="E100" s="344"/>
      <c r="F100" s="344"/>
      <c r="G100" s="344"/>
      <c r="H100" s="344"/>
      <c r="I100" s="344"/>
      <c r="J100" s="344"/>
      <c r="K100" s="344"/>
      <c r="L100" s="344"/>
      <c r="M100" s="344"/>
      <c r="N100" s="344"/>
      <c r="O100" s="344"/>
      <c r="P100" s="768"/>
      <c r="Q100" s="344"/>
      <c r="R100" s="344"/>
      <c r="S100" s="344"/>
      <c r="T100" s="344"/>
      <c r="U100" s="344"/>
      <c r="V100" s="344"/>
      <c r="W100" s="344"/>
      <c r="X100" s="344"/>
      <c r="AA100" s="344"/>
      <c r="AB100" s="344"/>
    </row>
    <row r="101" spans="1:28" x14ac:dyDescent="0.2">
      <c r="C101" s="344"/>
      <c r="D101" s="344"/>
      <c r="E101" s="344"/>
      <c r="F101" s="344"/>
      <c r="G101" s="344"/>
      <c r="H101" s="344"/>
      <c r="I101" s="344"/>
      <c r="J101" s="344"/>
      <c r="K101" s="344"/>
      <c r="L101" s="344"/>
      <c r="M101" s="344"/>
      <c r="N101" s="344"/>
    </row>
    <row r="102" spans="1:28" x14ac:dyDescent="0.2">
      <c r="C102" s="344"/>
      <c r="D102" s="344"/>
      <c r="E102" s="344"/>
      <c r="F102" s="344"/>
      <c r="G102" s="344"/>
      <c r="H102" s="344"/>
      <c r="I102" s="344"/>
      <c r="J102" s="344"/>
      <c r="K102" s="344"/>
      <c r="L102" s="344"/>
      <c r="M102" s="344"/>
      <c r="N102" s="344"/>
    </row>
    <row r="103" spans="1:28" x14ac:dyDescent="0.2">
      <c r="C103" s="344"/>
      <c r="D103" s="344"/>
      <c r="E103" s="344"/>
      <c r="F103" s="344"/>
      <c r="G103" s="344"/>
      <c r="H103" s="344"/>
      <c r="I103" s="344"/>
      <c r="J103" s="344"/>
      <c r="K103" s="344"/>
      <c r="L103" s="344"/>
      <c r="M103" s="344"/>
      <c r="N103" s="344"/>
    </row>
    <row r="104" spans="1:28" x14ac:dyDescent="0.2">
      <c r="C104" s="344"/>
      <c r="D104" s="344"/>
      <c r="E104" s="344"/>
      <c r="F104" s="344"/>
      <c r="G104" s="344"/>
      <c r="H104" s="344"/>
      <c r="I104" s="344"/>
      <c r="J104" s="344"/>
      <c r="K104" s="344"/>
      <c r="L104" s="344"/>
      <c r="M104" s="344"/>
      <c r="N104" s="344"/>
    </row>
    <row r="105" spans="1:28" x14ac:dyDescent="0.2">
      <c r="C105" s="344"/>
      <c r="D105" s="344"/>
      <c r="E105" s="344"/>
      <c r="F105" s="344"/>
      <c r="G105" s="344"/>
      <c r="H105" s="344"/>
      <c r="I105" s="344"/>
      <c r="J105" s="344"/>
      <c r="K105" s="344"/>
      <c r="L105" s="344"/>
      <c r="M105" s="344"/>
      <c r="N105" s="344"/>
    </row>
    <row r="106" spans="1:28" x14ac:dyDescent="0.2">
      <c r="C106" s="344"/>
      <c r="D106" s="344"/>
      <c r="E106" s="344"/>
      <c r="F106" s="344"/>
      <c r="G106" s="344"/>
      <c r="H106" s="344"/>
      <c r="I106" s="344"/>
      <c r="J106" s="344"/>
      <c r="K106" s="344"/>
      <c r="L106" s="344"/>
      <c r="M106" s="344"/>
      <c r="N106" s="344"/>
    </row>
    <row r="107" spans="1:28" x14ac:dyDescent="0.2">
      <c r="C107" s="344"/>
      <c r="D107" s="344"/>
      <c r="E107" s="344"/>
      <c r="F107" s="344"/>
      <c r="G107" s="344"/>
      <c r="H107" s="344"/>
      <c r="I107" s="344"/>
      <c r="J107" s="344"/>
      <c r="K107" s="344"/>
      <c r="L107" s="344"/>
      <c r="M107" s="344"/>
      <c r="N107" s="344"/>
    </row>
    <row r="108" spans="1:28" x14ac:dyDescent="0.2">
      <c r="C108" s="344"/>
      <c r="D108" s="344"/>
      <c r="E108" s="344"/>
      <c r="F108" s="344"/>
      <c r="G108" s="344"/>
      <c r="H108" s="344"/>
      <c r="I108" s="344"/>
      <c r="J108" s="344"/>
      <c r="K108" s="344"/>
      <c r="L108" s="344"/>
      <c r="M108" s="344"/>
      <c r="N108" s="344"/>
    </row>
    <row r="109" spans="1:28" x14ac:dyDescent="0.2">
      <c r="C109" s="344"/>
      <c r="D109" s="344"/>
      <c r="E109" s="344"/>
      <c r="F109" s="344"/>
      <c r="G109" s="344"/>
      <c r="H109" s="344"/>
      <c r="I109" s="344"/>
      <c r="J109" s="344"/>
      <c r="K109" s="344"/>
      <c r="L109" s="344"/>
      <c r="M109" s="344"/>
      <c r="N109" s="344"/>
    </row>
    <row r="110" spans="1:28" x14ac:dyDescent="0.2">
      <c r="C110" s="344"/>
      <c r="D110" s="344"/>
      <c r="E110" s="344"/>
      <c r="F110" s="344"/>
      <c r="G110" s="344"/>
      <c r="H110" s="344"/>
      <c r="I110" s="344"/>
      <c r="J110" s="344"/>
      <c r="K110" s="344"/>
      <c r="L110" s="344"/>
      <c r="M110" s="344"/>
      <c r="N110" s="344"/>
    </row>
    <row r="111" spans="1:28" x14ac:dyDescent="0.2">
      <c r="C111" s="344"/>
      <c r="D111" s="344"/>
      <c r="E111" s="344"/>
      <c r="F111" s="344"/>
      <c r="G111" s="344"/>
      <c r="H111" s="344"/>
      <c r="I111" s="344"/>
      <c r="J111" s="344"/>
      <c r="K111" s="344"/>
      <c r="L111" s="344"/>
      <c r="M111" s="344"/>
      <c r="N111" s="344"/>
    </row>
    <row r="112" spans="1:28" x14ac:dyDescent="0.2">
      <c r="C112" s="344"/>
      <c r="D112" s="344"/>
      <c r="E112" s="344"/>
      <c r="F112" s="344"/>
      <c r="G112" s="344"/>
      <c r="H112" s="344"/>
      <c r="I112" s="344"/>
      <c r="J112" s="344"/>
      <c r="K112" s="344"/>
      <c r="L112" s="344"/>
      <c r="M112" s="344"/>
      <c r="N112" s="344"/>
    </row>
  </sheetData>
  <mergeCells count="114">
    <mergeCell ref="A25:B25"/>
    <mergeCell ref="C25:E25"/>
    <mergeCell ref="H25:J25"/>
    <mergeCell ref="A33:B33"/>
    <mergeCell ref="C33:E33"/>
    <mergeCell ref="A55:B55"/>
    <mergeCell ref="C55:E55"/>
    <mergeCell ref="A48:B48"/>
    <mergeCell ref="C48:E48"/>
    <mergeCell ref="A49:B49"/>
    <mergeCell ref="C38:E38"/>
    <mergeCell ref="A38:B38"/>
    <mergeCell ref="C39:E39"/>
    <mergeCell ref="A39:B39"/>
    <mergeCell ref="A37:B37"/>
    <mergeCell ref="C37:E37"/>
    <mergeCell ref="C47:E47"/>
    <mergeCell ref="A40:B40"/>
    <mergeCell ref="C40:E40"/>
    <mergeCell ref="A41:B41"/>
    <mergeCell ref="C41:E41"/>
    <mergeCell ref="A42:B42"/>
    <mergeCell ref="C42:E42"/>
    <mergeCell ref="A43:B43"/>
    <mergeCell ref="A56:B56"/>
    <mergeCell ref="C56:E56"/>
    <mergeCell ref="A51:B51"/>
    <mergeCell ref="C51:E51"/>
    <mergeCell ref="A52:B52"/>
    <mergeCell ref="C52:E52"/>
    <mergeCell ref="A53:B53"/>
    <mergeCell ref="C53:E53"/>
    <mergeCell ref="A54:B54"/>
    <mergeCell ref="C54:E54"/>
    <mergeCell ref="C43:E43"/>
    <mergeCell ref="A50:B50"/>
    <mergeCell ref="C50:E50"/>
    <mergeCell ref="A44:B44"/>
    <mergeCell ref="C44:E44"/>
    <mergeCell ref="A45:B45"/>
    <mergeCell ref="C45:E45"/>
    <mergeCell ref="A47:B47"/>
    <mergeCell ref="C49:E49"/>
    <mergeCell ref="C31:E31"/>
    <mergeCell ref="A36:B36"/>
    <mergeCell ref="C36:E36"/>
    <mergeCell ref="A32:B32"/>
    <mergeCell ref="C32:E32"/>
    <mergeCell ref="A34:B34"/>
    <mergeCell ref="C34:E34"/>
    <mergeCell ref="A35:B35"/>
    <mergeCell ref="C35:E35"/>
    <mergeCell ref="H61:J61"/>
    <mergeCell ref="H22:J22"/>
    <mergeCell ref="D3:F3"/>
    <mergeCell ref="D5:F5"/>
    <mergeCell ref="D7:F7"/>
    <mergeCell ref="D9:F9"/>
    <mergeCell ref="D13:F13"/>
    <mergeCell ref="A22:B22"/>
    <mergeCell ref="C22:E22"/>
    <mergeCell ref="C23:E23"/>
    <mergeCell ref="A23:B23"/>
    <mergeCell ref="A24:B24"/>
    <mergeCell ref="C24:E24"/>
    <mergeCell ref="A26:B26"/>
    <mergeCell ref="C26:E26"/>
    <mergeCell ref="A28:B28"/>
    <mergeCell ref="C28:E28"/>
    <mergeCell ref="A27:B27"/>
    <mergeCell ref="C27:E27"/>
    <mergeCell ref="A29:B29"/>
    <mergeCell ref="C29:E29"/>
    <mergeCell ref="A30:B30"/>
    <mergeCell ref="C30:E30"/>
    <mergeCell ref="A31:B31"/>
    <mergeCell ref="H52:J52"/>
    <mergeCell ref="H53:J53"/>
    <mergeCell ref="H54:J54"/>
    <mergeCell ref="H55:J55"/>
    <mergeCell ref="H56:J56"/>
    <mergeCell ref="H57:J57"/>
    <mergeCell ref="H58:J58"/>
    <mergeCell ref="H59:J59"/>
    <mergeCell ref="H60:J60"/>
    <mergeCell ref="H42:J42"/>
    <mergeCell ref="H43:J43"/>
    <mergeCell ref="H44:J44"/>
    <mergeCell ref="H45:J45"/>
    <mergeCell ref="H47:J47"/>
    <mergeCell ref="H48:J48"/>
    <mergeCell ref="H49:J49"/>
    <mergeCell ref="H50:J50"/>
    <mergeCell ref="H51:J51"/>
    <mergeCell ref="H46:J46"/>
    <mergeCell ref="H31:J31"/>
    <mergeCell ref="H32:J32"/>
    <mergeCell ref="H34:J34"/>
    <mergeCell ref="H35:J35"/>
    <mergeCell ref="H36:J36"/>
    <mergeCell ref="H37:J37"/>
    <mergeCell ref="H38:J38"/>
    <mergeCell ref="H40:J40"/>
    <mergeCell ref="H41:J41"/>
    <mergeCell ref="H29:J29"/>
    <mergeCell ref="H30:J30"/>
    <mergeCell ref="D15:F15"/>
    <mergeCell ref="F1:I1"/>
    <mergeCell ref="H23:J23"/>
    <mergeCell ref="H24:J24"/>
    <mergeCell ref="H26:J26"/>
    <mergeCell ref="H28:J28"/>
    <mergeCell ref="D17:F17"/>
    <mergeCell ref="D19:F19"/>
  </mergeCells>
  <conditionalFormatting sqref="H9 H13">
    <cfRule type="expression" dxfId="1439" priority="79" stopIfTrue="1">
      <formula>$F$31="verzinkt"</formula>
    </cfRule>
  </conditionalFormatting>
  <conditionalFormatting sqref="J1 N38:N39 N68 N4:N6 P3 P2:Q2 M2">
    <cfRule type="cellIs" dxfId="1438" priority="84" stopIfTrue="1" operator="equal">
      <formula>0</formula>
    </cfRule>
  </conditionalFormatting>
  <conditionalFormatting sqref="A1:XFD4 A10:XFD12 A9:C9 H9:IV9 A13:C13 H13:IV13 A47:XFD65536 A46:D46 K46:IV46 A8:XFD8 A5:I7 K5:IV7 A44:XFD45 A14:XFD36 F37:IV43 A37:A43 C37:C43">
    <cfRule type="cellIs" dxfId="1437" priority="78" stopIfTrue="1" operator="equal">
      <formula>0</formula>
    </cfRule>
  </conditionalFormatting>
  <conditionalFormatting sqref="E58">
    <cfRule type="cellIs" dxfId="1436" priority="75" stopIfTrue="1" operator="equal">
      <formula>0</formula>
    </cfRule>
  </conditionalFormatting>
  <conditionalFormatting sqref="E60">
    <cfRule type="cellIs" dxfId="1435" priority="74" stopIfTrue="1" operator="equal">
      <formula>0</formula>
    </cfRule>
  </conditionalFormatting>
  <conditionalFormatting sqref="Q3">
    <cfRule type="cellIs" dxfId="1434" priority="69" stopIfTrue="1" operator="equal">
      <formula>0</formula>
    </cfRule>
  </conditionalFormatting>
  <conditionalFormatting sqref="O4:Q4 N7:Q14 N17:Q17">
    <cfRule type="cellIs" dxfId="1433" priority="70" stopIfTrue="1" operator="equal">
      <formula>0</formula>
    </cfRule>
  </conditionalFormatting>
  <conditionalFormatting sqref="P15">
    <cfRule type="cellIs" dxfId="1432" priority="68" stopIfTrue="1" operator="equal">
      <formula>0</formula>
    </cfRule>
  </conditionalFormatting>
  <conditionalFormatting sqref="H61">
    <cfRule type="cellIs" dxfId="1431" priority="33" stopIfTrue="1" operator="equal">
      <formula>0</formula>
    </cfRule>
  </conditionalFormatting>
  <conditionalFormatting sqref="H24:H25">
    <cfRule type="cellIs" dxfId="1430" priority="67" stopIfTrue="1" operator="equal">
      <formula>0</formula>
    </cfRule>
  </conditionalFormatting>
  <conditionalFormatting sqref="H26">
    <cfRule type="cellIs" dxfId="1429" priority="66" stopIfTrue="1" operator="equal">
      <formula>0</formula>
    </cfRule>
  </conditionalFormatting>
  <conditionalFormatting sqref="H28">
    <cfRule type="cellIs" dxfId="1428" priority="64" stopIfTrue="1" operator="equal">
      <formula>0</formula>
    </cfRule>
  </conditionalFormatting>
  <conditionalFormatting sqref="H29">
    <cfRule type="cellIs" dxfId="1427" priority="63" stopIfTrue="1" operator="equal">
      <formula>0</formula>
    </cfRule>
  </conditionalFormatting>
  <conditionalFormatting sqref="H30">
    <cfRule type="cellIs" dxfId="1426" priority="61" stopIfTrue="1" operator="equal">
      <formula>0</formula>
    </cfRule>
  </conditionalFormatting>
  <conditionalFormatting sqref="H31">
    <cfRule type="cellIs" dxfId="1425" priority="60" stopIfTrue="1" operator="equal">
      <formula>0</formula>
    </cfRule>
  </conditionalFormatting>
  <conditionalFormatting sqref="H32:H33">
    <cfRule type="cellIs" dxfId="1424" priority="59" stopIfTrue="1" operator="equal">
      <formula>0</formula>
    </cfRule>
  </conditionalFormatting>
  <conditionalFormatting sqref="H34">
    <cfRule type="cellIs" dxfId="1423" priority="58" stopIfTrue="1" operator="equal">
      <formula>0</formula>
    </cfRule>
  </conditionalFormatting>
  <conditionalFormatting sqref="H35">
    <cfRule type="cellIs" dxfId="1422" priority="57" stopIfTrue="1" operator="equal">
      <formula>0</formula>
    </cfRule>
  </conditionalFormatting>
  <conditionalFormatting sqref="H36">
    <cfRule type="cellIs" dxfId="1421" priority="56" stopIfTrue="1" operator="equal">
      <formula>0</formula>
    </cfRule>
  </conditionalFormatting>
  <conditionalFormatting sqref="H37">
    <cfRule type="cellIs" dxfId="1420" priority="55" stopIfTrue="1" operator="equal">
      <formula>0</formula>
    </cfRule>
  </conditionalFormatting>
  <conditionalFormatting sqref="H38:H39">
    <cfRule type="cellIs" dxfId="1419" priority="54" stopIfTrue="1" operator="equal">
      <formula>0</formula>
    </cfRule>
  </conditionalFormatting>
  <conditionalFormatting sqref="H40">
    <cfRule type="cellIs" dxfId="1418" priority="53" stopIfTrue="1" operator="equal">
      <formula>0</formula>
    </cfRule>
  </conditionalFormatting>
  <conditionalFormatting sqref="H41">
    <cfRule type="cellIs" dxfId="1417" priority="52" stopIfTrue="1" operator="equal">
      <formula>0</formula>
    </cfRule>
  </conditionalFormatting>
  <conditionalFormatting sqref="H42">
    <cfRule type="cellIs" dxfId="1416" priority="51" stopIfTrue="1" operator="equal">
      <formula>0</formula>
    </cfRule>
  </conditionalFormatting>
  <conditionalFormatting sqref="H43">
    <cfRule type="cellIs" dxfId="1415" priority="50" stopIfTrue="1" operator="equal">
      <formula>0</formula>
    </cfRule>
  </conditionalFormatting>
  <conditionalFormatting sqref="H44">
    <cfRule type="cellIs" dxfId="1414" priority="49" stopIfTrue="1" operator="equal">
      <formula>0</formula>
    </cfRule>
  </conditionalFormatting>
  <conditionalFormatting sqref="H45">
    <cfRule type="cellIs" dxfId="1413" priority="48" stopIfTrue="1" operator="equal">
      <formula>0</formula>
    </cfRule>
  </conditionalFormatting>
  <conditionalFormatting sqref="H47">
    <cfRule type="cellIs" dxfId="1412" priority="47" stopIfTrue="1" operator="equal">
      <formula>0</formula>
    </cfRule>
  </conditionalFormatting>
  <conditionalFormatting sqref="H48">
    <cfRule type="cellIs" dxfId="1411" priority="46" stopIfTrue="1" operator="equal">
      <formula>0</formula>
    </cfRule>
  </conditionalFormatting>
  <conditionalFormatting sqref="H49">
    <cfRule type="cellIs" dxfId="1410" priority="45" stopIfTrue="1" operator="equal">
      <formula>0</formula>
    </cfRule>
  </conditionalFormatting>
  <conditionalFormatting sqref="H50">
    <cfRule type="cellIs" dxfId="1409" priority="44" stopIfTrue="1" operator="equal">
      <formula>0</formula>
    </cfRule>
  </conditionalFormatting>
  <conditionalFormatting sqref="H51">
    <cfRule type="cellIs" dxfId="1408" priority="43" stopIfTrue="1" operator="equal">
      <formula>0</formula>
    </cfRule>
  </conditionalFormatting>
  <conditionalFormatting sqref="H52">
    <cfRule type="cellIs" dxfId="1407" priority="42" stopIfTrue="1" operator="equal">
      <formula>0</formula>
    </cfRule>
  </conditionalFormatting>
  <conditionalFormatting sqref="H53">
    <cfRule type="cellIs" dxfId="1406" priority="41" stopIfTrue="1" operator="equal">
      <formula>0</formula>
    </cfRule>
  </conditionalFormatting>
  <conditionalFormatting sqref="H54">
    <cfRule type="cellIs" dxfId="1405" priority="40" stopIfTrue="1" operator="equal">
      <formula>0</formula>
    </cfRule>
  </conditionalFormatting>
  <conditionalFormatting sqref="H55">
    <cfRule type="cellIs" dxfId="1404" priority="39" stopIfTrue="1" operator="equal">
      <formula>0</formula>
    </cfRule>
  </conditionalFormatting>
  <conditionalFormatting sqref="H56">
    <cfRule type="cellIs" dxfId="1403" priority="38" stopIfTrue="1" operator="equal">
      <formula>0</formula>
    </cfRule>
  </conditionalFormatting>
  <conditionalFormatting sqref="H57">
    <cfRule type="cellIs" dxfId="1402" priority="37" stopIfTrue="1" operator="equal">
      <formula>0</formula>
    </cfRule>
  </conditionalFormatting>
  <conditionalFormatting sqref="H58">
    <cfRule type="cellIs" dxfId="1401" priority="36" stopIfTrue="1" operator="equal">
      <formula>0</formula>
    </cfRule>
  </conditionalFormatting>
  <conditionalFormatting sqref="H59">
    <cfRule type="cellIs" dxfId="1400" priority="35" stopIfTrue="1" operator="equal">
      <formula>0</formula>
    </cfRule>
  </conditionalFormatting>
  <conditionalFormatting sqref="H60">
    <cfRule type="cellIs" dxfId="1399" priority="34" stopIfTrue="1" operator="equal">
      <formula>0</formula>
    </cfRule>
  </conditionalFormatting>
  <conditionalFormatting sqref="D5">
    <cfRule type="cellIs" dxfId="1398" priority="25" stopIfTrue="1" operator="equal">
      <formula>0</formula>
    </cfRule>
  </conditionalFormatting>
  <conditionalFormatting sqref="D7">
    <cfRule type="cellIs" dxfId="1397" priority="24" stopIfTrue="1" operator="equal">
      <formula>0</formula>
    </cfRule>
  </conditionalFormatting>
  <conditionalFormatting sqref="D17">
    <cfRule type="cellIs" dxfId="1396" priority="20" stopIfTrue="1" operator="equal">
      <formula>0</formula>
    </cfRule>
  </conditionalFormatting>
  <conditionalFormatting sqref="D15">
    <cfRule type="cellIs" dxfId="1395" priority="21" stopIfTrue="1" operator="equal">
      <formula>0</formula>
    </cfRule>
  </conditionalFormatting>
  <conditionalFormatting sqref="D19">
    <cfRule type="cellIs" dxfId="1394" priority="19" stopIfTrue="1" operator="equal">
      <formula>0</formula>
    </cfRule>
  </conditionalFormatting>
  <conditionalFormatting sqref="H15">
    <cfRule type="expression" dxfId="1393" priority="18" stopIfTrue="1">
      <formula>$F$31="verzinkt"</formula>
    </cfRule>
  </conditionalFormatting>
  <conditionalFormatting sqref="H17">
    <cfRule type="expression" dxfId="1392" priority="17" stopIfTrue="1">
      <formula>$F$31="verzinkt"</formula>
    </cfRule>
  </conditionalFormatting>
  <conditionalFormatting sqref="H19">
    <cfRule type="expression" dxfId="1391" priority="16" stopIfTrue="1">
      <formula>$F$31="verzinkt"</formula>
    </cfRule>
  </conditionalFormatting>
  <conditionalFormatting sqref="H15">
    <cfRule type="expression" dxfId="1390" priority="15" stopIfTrue="1">
      <formula>$F$31="verzinkt"</formula>
    </cfRule>
  </conditionalFormatting>
  <conditionalFormatting sqref="H13">
    <cfRule type="expression" dxfId="1389" priority="14" stopIfTrue="1">
      <formula>$F$31="verzinkt"</formula>
    </cfRule>
  </conditionalFormatting>
  <conditionalFormatting sqref="H9">
    <cfRule type="expression" dxfId="1388" priority="13" stopIfTrue="1">
      <formula>$F$31="verzinkt"</formula>
    </cfRule>
  </conditionalFormatting>
  <conditionalFormatting sqref="I13">
    <cfRule type="expression" dxfId="1387" priority="12" stopIfTrue="1">
      <formula>0</formula>
    </cfRule>
  </conditionalFormatting>
  <conditionalFormatting sqref="N15">
    <cfRule type="expression" dxfId="1386" priority="11" stopIfTrue="1">
      <formula>0</formula>
    </cfRule>
  </conditionalFormatting>
  <conditionalFormatting sqref="H7">
    <cfRule type="expression" dxfId="1385" priority="10" stopIfTrue="1">
      <formula>$F$31="verzinkt"</formula>
    </cfRule>
  </conditionalFormatting>
  <conditionalFormatting sqref="H7">
    <cfRule type="expression" dxfId="1384" priority="9" stopIfTrue="1">
      <formula>$F$31="verzinkt"</formula>
    </cfRule>
  </conditionalFormatting>
  <conditionalFormatting sqref="H19">
    <cfRule type="expression" dxfId="1383" priority="8" stopIfTrue="1">
      <formula>$F$31="verzinkt"</formula>
    </cfRule>
  </conditionalFormatting>
  <conditionalFormatting sqref="D13">
    <cfRule type="cellIs" dxfId="1382" priority="5" stopIfTrue="1" operator="equal">
      <formula>0</formula>
    </cfRule>
  </conditionalFormatting>
  <conditionalFormatting sqref="D9">
    <cfRule type="cellIs" dxfId="1381" priority="6" stopIfTrue="1" operator="equal">
      <formula>0</formula>
    </cfRule>
  </conditionalFormatting>
  <conditionalFormatting sqref="E46:H46">
    <cfRule type="cellIs" dxfId="1380" priority="4" stopIfTrue="1" operator="equal">
      <formula>0</formula>
    </cfRule>
  </conditionalFormatting>
  <conditionalFormatting sqref="H46">
    <cfRule type="cellIs" dxfId="1379" priority="3" stopIfTrue="1" operator="equal">
      <formula>0</formula>
    </cfRule>
  </conditionalFormatting>
  <conditionalFormatting sqref="H46">
    <cfRule type="cellIs" dxfId="1378" priority="2" stopIfTrue="1" operator="equal">
      <formula>0</formula>
    </cfRule>
  </conditionalFormatting>
  <conditionalFormatting sqref="J5:J7">
    <cfRule type="cellIs" dxfId="1377" priority="1" stopIfTrue="1" operator="equal">
      <formula>0</formula>
    </cfRule>
  </conditionalFormatting>
  <dataValidations count="6">
    <dataValidation type="list" allowBlank="1" showInputMessage="1" showErrorMessage="1" sqref="F60" xr:uid="{00000000-0002-0000-0A00-000000000000}">
      <formula1>$I$106:$I$107</formula1>
    </dataValidation>
    <dataValidation type="list" allowBlank="1" showInputMessage="1" showErrorMessage="1" sqref="F58" xr:uid="{00000000-0002-0000-0A00-000001000000}">
      <formula1>$I$102:$I$103</formula1>
    </dataValidation>
    <dataValidation type="whole" allowBlank="1" showInputMessage="1" showErrorMessage="1" sqref="F47:F56 H47:H61 H23:H45" xr:uid="{00000000-0002-0000-0A00-000002000000}">
      <formula1>200</formula1>
      <formula2>6000</formula2>
    </dataValidation>
    <dataValidation type="decimal" allowBlank="1" showInputMessage="1" showErrorMessage="1" sqref="F46" xr:uid="{00000000-0002-0000-0A00-000003000000}">
      <formula1>0</formula1>
      <formula2>100000</formula2>
    </dataValidation>
    <dataValidation type="whole" allowBlank="1" showInputMessage="1" showErrorMessage="1" sqref="F23:F45" xr:uid="{00000000-0002-0000-0A00-000004000000}">
      <formula1>0</formula1>
      <formula2>6000</formula2>
    </dataValidation>
    <dataValidation allowBlank="1" showInputMessage="1" sqref="G1:G1048576" xr:uid="{00000000-0002-0000-0A00-000005000000}"/>
  </dataValidations>
  <pageMargins left="0.23622047244094491" right="0.23622047244094491" top="0.15748031496062992" bottom="0.15748031496062992" header="0" footer="0"/>
  <pageSetup paperSize="9" scale="94"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88CDA0-D4B6-4578-9FB7-16522A1599F9}">
  <sheetPr codeName="Tabelle27">
    <tabColor indexed="46"/>
    <pageSetUpPr fitToPage="1"/>
  </sheetPr>
  <dimension ref="A1:AN99"/>
  <sheetViews>
    <sheetView showGridLines="0" view="pageBreakPreview" zoomScale="130" zoomScaleNormal="130" zoomScaleSheetLayoutView="130" workbookViewId="0">
      <selection activeCell="N32" sqref="N32"/>
    </sheetView>
  </sheetViews>
  <sheetFormatPr baseColWidth="10" defaultColWidth="11.42578125" defaultRowHeight="12.75" x14ac:dyDescent="0.2"/>
  <cols>
    <col min="1" max="1" width="4.28515625" style="9" customWidth="1"/>
    <col min="2" max="2" width="12.85546875" style="9" customWidth="1"/>
    <col min="3" max="3" width="6" style="9" customWidth="1"/>
    <col min="4" max="4" width="2.42578125" style="9" customWidth="1"/>
    <col min="5" max="5" width="15.5703125" style="9" customWidth="1"/>
    <col min="6" max="6" width="17" style="9" customWidth="1"/>
    <col min="7" max="7" width="10.140625" style="9" customWidth="1"/>
    <col min="8" max="8" width="10.7109375" style="9" customWidth="1"/>
    <col min="9" max="9" width="11.42578125" style="9"/>
    <col min="10" max="10" width="15.5703125" style="9" customWidth="1"/>
    <col min="11" max="11" width="2.28515625" style="9" customWidth="1"/>
    <col min="12" max="12" width="2.42578125" style="9" customWidth="1"/>
    <col min="13" max="13" width="1.28515625" style="9" customWidth="1"/>
    <col min="14" max="14" width="11.42578125" style="9"/>
    <col min="15" max="15" width="15.140625" style="9" customWidth="1"/>
    <col min="16" max="16" width="14.42578125" style="193" customWidth="1"/>
    <col min="17" max="17" width="95.5703125" style="9" customWidth="1"/>
    <col min="18" max="18" width="22.85546875" style="9" customWidth="1"/>
    <col min="19" max="24" width="11.42578125" style="9"/>
    <col min="25" max="26" width="11.42578125" style="344"/>
    <col min="27" max="27" width="11.42578125" style="9"/>
    <col min="28" max="28" width="51.7109375" style="9" customWidth="1"/>
    <col min="29" max="16384" width="11.42578125" style="9"/>
  </cols>
  <sheetData>
    <row r="1" spans="1:40" ht="18" x14ac:dyDescent="0.2">
      <c r="A1" s="338"/>
      <c r="B1" s="338"/>
      <c r="C1" s="339"/>
      <c r="D1" s="340"/>
      <c r="E1" s="809" t="str">
        <f>Dateneingabe!F1&amp;"  "&amp;Dateneingabe!I1</f>
        <v>Ausschreibung GCC vertikal  Rev. 0563b</v>
      </c>
      <c r="F1" s="2809" t="s">
        <v>31474</v>
      </c>
      <c r="G1" s="2809"/>
      <c r="H1" s="2809"/>
      <c r="I1" s="2809"/>
      <c r="J1" s="657"/>
      <c r="K1" s="342"/>
      <c r="L1" s="338"/>
      <c r="M1" s="343"/>
      <c r="S1" s="344"/>
      <c r="T1" s="344"/>
      <c r="U1" s="344"/>
      <c r="V1" s="344"/>
      <c r="W1" s="344"/>
      <c r="X1" s="344"/>
      <c r="AA1" s="344"/>
      <c r="AB1" s="344"/>
      <c r="AC1" s="344"/>
      <c r="AD1" s="344"/>
      <c r="AE1" s="344"/>
      <c r="AF1" s="344"/>
      <c r="AG1" s="344"/>
      <c r="AH1" s="344"/>
      <c r="AI1" s="344"/>
      <c r="AJ1" s="344"/>
      <c r="AK1" s="344"/>
      <c r="AL1" s="344"/>
      <c r="AM1" s="344"/>
      <c r="AN1" s="344"/>
    </row>
    <row r="2" spans="1:40" x14ac:dyDescent="0.2">
      <c r="A2" s="338"/>
      <c r="B2" s="338"/>
      <c r="C2" s="345"/>
      <c r="D2" s="345"/>
      <c r="E2" s="345"/>
      <c r="F2" s="345"/>
      <c r="G2" s="345"/>
      <c r="H2" s="345"/>
      <c r="I2" s="345"/>
      <c r="J2" s="345"/>
      <c r="K2" s="346"/>
      <c r="L2" s="338"/>
      <c r="M2" s="801"/>
      <c r="N2" s="801"/>
      <c r="O2" s="801"/>
      <c r="P2" s="790"/>
      <c r="Q2" s="791"/>
      <c r="R2" s="113"/>
      <c r="S2" s="344"/>
      <c r="T2" s="344"/>
      <c r="U2" s="344"/>
      <c r="V2" s="344"/>
      <c r="W2" s="344"/>
      <c r="X2" s="344"/>
      <c r="AA2" s="344"/>
      <c r="AB2" s="344"/>
      <c r="AC2" s="344"/>
      <c r="AD2" s="344"/>
      <c r="AE2" s="344"/>
      <c r="AF2" s="344"/>
      <c r="AG2" s="344"/>
      <c r="AH2" s="344"/>
      <c r="AI2" s="344"/>
      <c r="AJ2" s="344"/>
      <c r="AK2" s="344"/>
      <c r="AL2" s="344"/>
      <c r="AM2" s="344"/>
      <c r="AN2" s="344"/>
    </row>
    <row r="3" spans="1:40" ht="12.2" customHeight="1" x14ac:dyDescent="0.2">
      <c r="A3" s="347"/>
      <c r="C3" s="350" t="s">
        <v>11</v>
      </c>
      <c r="D3" s="2806" t="str">
        <f>Dateneingabe!F3</f>
        <v>05217112</v>
      </c>
      <c r="E3" s="2807"/>
      <c r="F3" s="2808"/>
      <c r="G3" s="1124"/>
      <c r="H3" s="352" t="s">
        <v>82</v>
      </c>
      <c r="I3" s="806" t="str">
        <f>Dateneingabe!H3</f>
        <v>200</v>
      </c>
      <c r="J3" s="113"/>
      <c r="K3" s="113"/>
      <c r="L3" s="353"/>
      <c r="M3" s="353"/>
      <c r="N3" s="113"/>
      <c r="O3" s="113"/>
      <c r="P3" s="792"/>
      <c r="Q3" s="794"/>
      <c r="R3" s="113"/>
      <c r="S3" s="344"/>
      <c r="T3" s="344"/>
      <c r="U3" s="344"/>
      <c r="V3" s="344"/>
      <c r="W3" s="344"/>
      <c r="X3" s="344"/>
      <c r="AA3" s="344"/>
      <c r="AB3" s="354"/>
      <c r="AE3" s="344"/>
      <c r="AF3" s="344"/>
      <c r="AG3" s="344"/>
      <c r="AH3" s="344"/>
      <c r="AI3" s="344"/>
      <c r="AJ3" s="344"/>
      <c r="AK3" s="344"/>
      <c r="AL3" s="344"/>
      <c r="AM3" s="344"/>
      <c r="AN3" s="344"/>
    </row>
    <row r="4" spans="1:40" ht="5.0999999999999996" customHeight="1" x14ac:dyDescent="0.2">
      <c r="A4" s="347"/>
      <c r="C4" s="350"/>
      <c r="D4" s="362"/>
      <c r="H4" s="355"/>
      <c r="I4" s="356"/>
      <c r="J4" s="357"/>
      <c r="K4" s="358"/>
      <c r="L4" s="353"/>
      <c r="M4" s="353"/>
      <c r="N4" s="24"/>
      <c r="O4" s="113"/>
      <c r="P4" s="658"/>
      <c r="Q4" s="24"/>
      <c r="R4" s="113"/>
      <c r="S4" s="344"/>
      <c r="T4" s="344"/>
      <c r="U4" s="344"/>
      <c r="V4" s="344"/>
      <c r="W4" s="344"/>
      <c r="X4" s="344"/>
      <c r="AA4" s="344"/>
      <c r="AB4" s="359"/>
      <c r="AC4" s="359"/>
      <c r="AE4" s="344"/>
      <c r="AF4" s="344"/>
      <c r="AG4" s="344"/>
      <c r="AH4" s="344"/>
      <c r="AI4" s="344"/>
      <c r="AJ4" s="344"/>
      <c r="AK4" s="344"/>
      <c r="AL4" s="344"/>
      <c r="AM4" s="344"/>
      <c r="AN4" s="344"/>
    </row>
    <row r="5" spans="1:40" ht="12.2" customHeight="1" x14ac:dyDescent="0.2">
      <c r="A5" s="347"/>
      <c r="C5" s="350" t="s">
        <v>71</v>
      </c>
      <c r="D5" s="2806" t="str">
        <f>Dateneingabe!F5</f>
        <v>5101.002095</v>
      </c>
      <c r="E5" s="2807"/>
      <c r="F5" s="2808"/>
      <c r="G5" s="1124"/>
      <c r="H5" s="667" t="s">
        <v>448</v>
      </c>
      <c r="I5" s="806"/>
      <c r="J5" s="1132" t="s">
        <v>28155</v>
      </c>
      <c r="L5" s="353"/>
      <c r="M5" s="353"/>
      <c r="N5" s="24"/>
      <c r="O5" s="24"/>
      <c r="P5" s="658"/>
      <c r="Q5" s="24"/>
      <c r="R5" s="113"/>
      <c r="S5" s="344"/>
      <c r="T5" s="344"/>
      <c r="U5" s="344"/>
      <c r="V5" s="344"/>
      <c r="W5" s="344"/>
      <c r="X5" s="344"/>
      <c r="AA5" s="344"/>
      <c r="AB5" s="354"/>
      <c r="AE5" s="344"/>
      <c r="AF5" s="344"/>
      <c r="AG5" s="344"/>
      <c r="AH5" s="344"/>
      <c r="AI5" s="344"/>
      <c r="AJ5" s="344"/>
      <c r="AK5" s="344"/>
      <c r="AL5" s="344"/>
      <c r="AM5" s="344"/>
      <c r="AN5" s="344"/>
    </row>
    <row r="6" spans="1:40" ht="5.0999999999999996" customHeight="1" x14ac:dyDescent="0.2">
      <c r="A6" s="347"/>
      <c r="C6" s="361"/>
      <c r="D6" s="362"/>
      <c r="H6" s="363"/>
      <c r="I6" s="363"/>
      <c r="J6" s="1133"/>
      <c r="K6" s="358"/>
      <c r="L6" s="353"/>
      <c r="M6" s="353"/>
      <c r="N6" s="24"/>
      <c r="O6" s="24"/>
      <c r="P6" s="658"/>
      <c r="Q6" s="24"/>
      <c r="R6" s="113"/>
      <c r="S6" s="344"/>
      <c r="T6" s="344"/>
      <c r="U6" s="344"/>
      <c r="V6" s="344"/>
      <c r="W6" s="344"/>
      <c r="X6" s="344"/>
      <c r="AA6" s="344"/>
      <c r="AB6" s="359"/>
      <c r="AC6" s="344"/>
      <c r="AD6" s="344"/>
      <c r="AE6" s="344"/>
      <c r="AF6" s="344"/>
      <c r="AG6" s="344"/>
      <c r="AH6" s="344"/>
      <c r="AI6" s="344"/>
      <c r="AJ6" s="344"/>
      <c r="AK6" s="344"/>
      <c r="AL6" s="344"/>
      <c r="AM6" s="344"/>
      <c r="AN6" s="344"/>
    </row>
    <row r="7" spans="1:40" ht="12.2" customHeight="1" x14ac:dyDescent="0.2">
      <c r="A7" s="347"/>
      <c r="C7" s="350" t="s">
        <v>110</v>
      </c>
      <c r="D7" s="2806">
        <f>Dateneingabe!F7</f>
        <v>1</v>
      </c>
      <c r="E7" s="2807"/>
      <c r="F7" s="2808"/>
      <c r="G7" s="1124"/>
      <c r="H7" s="807" t="str">
        <f>Dateneingabe!E28</f>
        <v>Abschottungstyp:</v>
      </c>
      <c r="I7" s="808" t="str">
        <f>Dateneingabe!F28</f>
        <v>r2</v>
      </c>
      <c r="J7" s="1134" t="str">
        <f>Dateneingabe!F22&amp;" x "&amp;Dateneingabe!F24</f>
        <v>900 x 835</v>
      </c>
      <c r="L7" s="353"/>
      <c r="M7" s="353"/>
      <c r="N7" s="24"/>
      <c r="O7" s="658"/>
      <c r="P7" s="658"/>
      <c r="Q7" s="658"/>
      <c r="R7" s="113"/>
      <c r="S7" s="344"/>
      <c r="T7" s="344"/>
      <c r="U7" s="344"/>
      <c r="V7" s="344"/>
      <c r="W7" s="344"/>
      <c r="X7" s="344"/>
      <c r="AA7" s="344"/>
      <c r="AB7" s="354"/>
      <c r="AD7" s="344"/>
      <c r="AE7" s="344"/>
      <c r="AF7" s="344"/>
      <c r="AG7" s="344"/>
      <c r="AH7" s="344"/>
      <c r="AI7" s="344"/>
      <c r="AJ7" s="344"/>
      <c r="AK7" s="344"/>
      <c r="AL7" s="344"/>
      <c r="AM7" s="344"/>
      <c r="AN7" s="344"/>
    </row>
    <row r="8" spans="1:40" ht="5.0999999999999996" customHeight="1" x14ac:dyDescent="0.2">
      <c r="A8" s="347"/>
      <c r="B8" s="347"/>
      <c r="C8" s="347"/>
      <c r="D8" s="362"/>
      <c r="H8" s="355"/>
      <c r="I8" s="363"/>
      <c r="J8" s="357"/>
      <c r="K8" s="367"/>
      <c r="L8" s="353"/>
      <c r="M8" s="353"/>
      <c r="N8" s="24"/>
      <c r="O8" s="24"/>
      <c r="P8" s="658"/>
      <c r="Q8" s="24"/>
      <c r="R8" s="113"/>
      <c r="S8" s="344"/>
      <c r="T8" s="344"/>
      <c r="U8" s="344"/>
      <c r="V8" s="344"/>
      <c r="W8" s="344"/>
      <c r="X8" s="344"/>
      <c r="AA8" s="344"/>
      <c r="AB8" s="344"/>
      <c r="AC8" s="344"/>
      <c r="AD8" s="344"/>
      <c r="AE8" s="344"/>
      <c r="AF8" s="344"/>
      <c r="AG8" s="344"/>
      <c r="AH8" s="344"/>
      <c r="AI8" s="344"/>
      <c r="AJ8" s="344"/>
      <c r="AK8" s="344"/>
      <c r="AL8" s="344"/>
      <c r="AM8" s="344"/>
      <c r="AN8" s="344"/>
    </row>
    <row r="9" spans="1:40" ht="14.1" customHeight="1" x14ac:dyDescent="0.2">
      <c r="A9" s="347"/>
      <c r="B9" s="347"/>
      <c r="C9" s="350" t="s">
        <v>526</v>
      </c>
      <c r="D9" s="2819">
        <v>42215</v>
      </c>
      <c r="E9" s="2820"/>
      <c r="F9" s="2821"/>
      <c r="G9" s="796"/>
      <c r="H9" s="807" t="str">
        <f>Schieberelemente!A24</f>
        <v>Komplettelement</v>
      </c>
      <c r="I9" s="808">
        <f>Schieberelemente!B27</f>
        <v>1</v>
      </c>
      <c r="J9" s="371"/>
      <c r="K9" s="371"/>
      <c r="L9" s="353"/>
      <c r="M9" s="353"/>
      <c r="N9" s="24"/>
      <c r="O9" s="795"/>
      <c r="P9" s="796"/>
      <c r="Q9" s="795"/>
      <c r="R9" s="113"/>
      <c r="S9" s="344"/>
      <c r="T9" s="344"/>
      <c r="U9" s="344"/>
      <c r="V9" s="344"/>
      <c r="W9" s="344"/>
      <c r="X9" s="344"/>
      <c r="AA9" s="344"/>
      <c r="AB9" s="354"/>
      <c r="AD9" s="344"/>
      <c r="AE9" s="344"/>
      <c r="AF9" s="344"/>
      <c r="AG9" s="344"/>
      <c r="AH9" s="344"/>
      <c r="AI9" s="344"/>
      <c r="AJ9" s="344"/>
      <c r="AK9" s="344"/>
      <c r="AL9" s="344"/>
      <c r="AM9" s="344"/>
      <c r="AN9" s="344"/>
    </row>
    <row r="10" spans="1:40" ht="5.0999999999999996" customHeight="1" x14ac:dyDescent="0.2">
      <c r="A10" s="347"/>
      <c r="B10" s="347"/>
      <c r="C10" s="347"/>
      <c r="D10" s="362"/>
      <c r="H10" s="355"/>
      <c r="I10" s="372"/>
      <c r="J10" s="357"/>
      <c r="K10" s="373"/>
      <c r="L10" s="353"/>
      <c r="M10" s="353"/>
      <c r="N10" s="24"/>
      <c r="O10" s="795"/>
      <c r="P10" s="797"/>
      <c r="Q10" s="795"/>
      <c r="R10" s="113"/>
      <c r="S10" s="344"/>
      <c r="T10" s="344"/>
      <c r="U10" s="344"/>
      <c r="V10" s="344"/>
      <c r="W10" s="344"/>
      <c r="X10" s="344"/>
      <c r="AA10" s="344"/>
      <c r="AB10" s="344"/>
      <c r="AC10" s="359"/>
      <c r="AD10" s="344"/>
      <c r="AE10" s="344"/>
      <c r="AF10" s="344"/>
      <c r="AG10" s="344"/>
      <c r="AH10" s="344"/>
      <c r="AI10" s="344"/>
      <c r="AJ10" s="344"/>
      <c r="AK10" s="344"/>
      <c r="AL10" s="344"/>
      <c r="AM10" s="344"/>
      <c r="AN10" s="344"/>
    </row>
    <row r="11" spans="1:40" ht="15.75" hidden="1" x14ac:dyDescent="0.2">
      <c r="A11" s="347"/>
      <c r="B11" s="347"/>
      <c r="C11" s="374"/>
      <c r="D11" s="375"/>
      <c r="H11" s="376"/>
      <c r="I11" s="372"/>
      <c r="J11" s="377"/>
      <c r="K11" s="357"/>
      <c r="L11" s="353"/>
      <c r="M11" s="353"/>
      <c r="N11" s="24"/>
      <c r="O11" s="795"/>
      <c r="P11" s="796"/>
      <c r="Q11" s="795"/>
      <c r="R11" s="113"/>
      <c r="S11" s="344"/>
      <c r="T11" s="344"/>
      <c r="U11" s="344"/>
      <c r="V11" s="344"/>
      <c r="W11" s="344"/>
      <c r="X11" s="344"/>
      <c r="AA11" s="344"/>
      <c r="AB11" s="344"/>
      <c r="AC11" s="359"/>
      <c r="AD11" s="344"/>
      <c r="AE11" s="344"/>
      <c r="AF11" s="344"/>
      <c r="AG11" s="344"/>
      <c r="AH11" s="344"/>
      <c r="AI11" s="344"/>
      <c r="AJ11" s="344"/>
      <c r="AK11" s="344"/>
      <c r="AL11" s="344"/>
      <c r="AM11" s="344"/>
      <c r="AN11" s="344"/>
    </row>
    <row r="12" spans="1:40" ht="5.0999999999999996" hidden="1" customHeight="1" x14ac:dyDescent="0.2">
      <c r="A12" s="347"/>
      <c r="B12" s="347"/>
      <c r="C12" s="374"/>
      <c r="D12" s="378"/>
      <c r="H12" s="379"/>
      <c r="I12" s="372"/>
      <c r="J12" s="377"/>
      <c r="K12" s="357"/>
      <c r="L12" s="353"/>
      <c r="M12" s="353"/>
      <c r="N12" s="24"/>
      <c r="O12" s="795"/>
      <c r="P12" s="797"/>
      <c r="Q12" s="795"/>
      <c r="R12" s="113"/>
      <c r="S12" s="344"/>
      <c r="T12" s="344"/>
      <c r="U12" s="344"/>
      <c r="V12" s="344"/>
      <c r="W12" s="344"/>
      <c r="X12" s="344"/>
      <c r="AA12" s="344"/>
      <c r="AB12" s="344"/>
      <c r="AC12" s="359"/>
      <c r="AD12" s="344"/>
      <c r="AE12" s="344"/>
      <c r="AF12" s="344"/>
      <c r="AG12" s="344"/>
      <c r="AH12" s="344"/>
      <c r="AI12" s="344"/>
      <c r="AJ12" s="344"/>
      <c r="AK12" s="344"/>
      <c r="AL12" s="344"/>
      <c r="AM12" s="344"/>
      <c r="AN12" s="344"/>
    </row>
    <row r="13" spans="1:40" ht="14.1" customHeight="1" x14ac:dyDescent="0.2">
      <c r="A13" s="347"/>
      <c r="C13" s="197" t="s">
        <v>99</v>
      </c>
      <c r="D13" s="2819">
        <f>Dateneingabe!F13</f>
        <v>44594</v>
      </c>
      <c r="E13" s="2820"/>
      <c r="F13" s="2821"/>
      <c r="G13" s="796"/>
      <c r="H13" s="807" t="str">
        <f>Schieberelemente!A32</f>
        <v>Standardelement oben</v>
      </c>
      <c r="I13" s="808">
        <f>Schieberelemente!B35</f>
        <v>0</v>
      </c>
      <c r="J13" s="357"/>
      <c r="K13" s="357"/>
      <c r="L13" s="353"/>
      <c r="M13" s="353"/>
      <c r="N13" s="24"/>
      <c r="O13" s="795"/>
      <c r="P13" s="796"/>
      <c r="Q13" s="795"/>
      <c r="R13" s="113"/>
      <c r="S13" s="344"/>
      <c r="T13" s="344"/>
      <c r="U13" s="344"/>
      <c r="V13" s="344"/>
      <c r="W13" s="344"/>
      <c r="X13" s="344"/>
      <c r="AA13" s="344"/>
      <c r="AB13" s="354"/>
      <c r="AD13" s="344"/>
      <c r="AE13" s="344"/>
      <c r="AF13" s="344"/>
      <c r="AG13" s="344"/>
      <c r="AH13" s="344"/>
      <c r="AI13" s="344"/>
      <c r="AJ13" s="344"/>
      <c r="AK13" s="344"/>
      <c r="AL13" s="344"/>
      <c r="AM13" s="344"/>
      <c r="AN13" s="344"/>
    </row>
    <row r="14" spans="1:40" ht="5.0999999999999996" customHeight="1" x14ac:dyDescent="0.2">
      <c r="A14" s="347"/>
      <c r="B14" s="347"/>
      <c r="C14" s="347"/>
      <c r="D14" s="381"/>
      <c r="H14" s="355"/>
      <c r="I14" s="355"/>
      <c r="J14" s="357"/>
      <c r="K14" s="357"/>
      <c r="L14" s="353"/>
      <c r="M14" s="353"/>
      <c r="N14" s="24"/>
      <c r="O14" s="795"/>
      <c r="P14" s="797"/>
      <c r="Q14" s="795"/>
      <c r="R14" s="113"/>
      <c r="S14" s="344"/>
      <c r="T14" s="344"/>
      <c r="U14" s="344"/>
      <c r="V14" s="344"/>
      <c r="W14" s="344"/>
      <c r="X14" s="344"/>
      <c r="AA14" s="344"/>
      <c r="AB14" s="344"/>
      <c r="AC14" s="344"/>
      <c r="AD14" s="344"/>
      <c r="AE14" s="344"/>
      <c r="AF14" s="344"/>
      <c r="AG14" s="344"/>
      <c r="AH14" s="344"/>
      <c r="AI14" s="344"/>
      <c r="AJ14" s="344"/>
      <c r="AK14" s="344"/>
      <c r="AL14" s="344"/>
      <c r="AM14" s="344"/>
      <c r="AN14" s="344"/>
    </row>
    <row r="15" spans="1:40" ht="14.1" customHeight="1" x14ac:dyDescent="0.2">
      <c r="A15" s="347"/>
      <c r="B15" s="347"/>
      <c r="C15" s="350" t="s">
        <v>300</v>
      </c>
      <c r="D15" s="2806" t="str">
        <f>Dateneingabe!F15</f>
        <v>MiWo</v>
      </c>
      <c r="E15" s="2807"/>
      <c r="F15" s="2808"/>
      <c r="G15" s="1124"/>
      <c r="H15" s="807" t="str">
        <f>Schieberelemente!A40</f>
        <v>Standardelement mitte</v>
      </c>
      <c r="I15" s="808">
        <f>Schieberelemente!B43</f>
        <v>0</v>
      </c>
      <c r="L15" s="353"/>
      <c r="M15" s="353"/>
      <c r="N15" s="24"/>
      <c r="O15" s="798"/>
      <c r="P15" s="796"/>
      <c r="Q15" s="798"/>
      <c r="R15" s="113"/>
      <c r="S15" s="344"/>
      <c r="T15" s="344"/>
      <c r="U15" s="344"/>
      <c r="V15" s="344"/>
      <c r="W15" s="344"/>
      <c r="X15" s="344"/>
      <c r="AA15" s="344"/>
      <c r="AB15" s="359"/>
      <c r="AC15" s="344"/>
      <c r="AD15" s="344"/>
      <c r="AE15" s="344"/>
      <c r="AF15" s="344"/>
      <c r="AG15" s="344"/>
      <c r="AH15" s="344"/>
      <c r="AI15" s="344"/>
      <c r="AJ15" s="344"/>
      <c r="AK15" s="344"/>
      <c r="AL15" s="344"/>
      <c r="AM15" s="344"/>
      <c r="AN15" s="344"/>
    </row>
    <row r="16" spans="1:40" ht="5.0999999999999996" customHeight="1" x14ac:dyDescent="0.2">
      <c r="A16" s="347"/>
      <c r="B16" s="347"/>
      <c r="C16" s="350"/>
      <c r="H16" s="383"/>
      <c r="I16" s="355"/>
      <c r="J16" s="357"/>
      <c r="K16" s="357"/>
      <c r="L16" s="353"/>
      <c r="M16" s="353"/>
      <c r="N16" s="24"/>
      <c r="O16" s="798"/>
      <c r="P16" s="799"/>
      <c r="Q16" s="798"/>
      <c r="R16" s="113"/>
      <c r="S16" s="344"/>
      <c r="T16" s="344"/>
      <c r="U16" s="344"/>
      <c r="V16" s="344"/>
      <c r="W16" s="344"/>
      <c r="X16" s="344"/>
      <c r="AA16" s="344"/>
      <c r="AB16" s="344"/>
      <c r="AC16" s="344"/>
      <c r="AD16" s="344"/>
      <c r="AE16" s="344"/>
      <c r="AF16" s="344"/>
      <c r="AG16" s="344"/>
      <c r="AH16" s="344"/>
      <c r="AI16" s="344"/>
      <c r="AJ16" s="344"/>
      <c r="AK16" s="344"/>
      <c r="AL16" s="344"/>
      <c r="AM16" s="344"/>
      <c r="AN16" s="344"/>
    </row>
    <row r="17" spans="1:40" ht="14.1" customHeight="1" x14ac:dyDescent="0.2">
      <c r="A17" s="347"/>
      <c r="B17" s="360"/>
      <c r="C17" s="197" t="s">
        <v>493</v>
      </c>
      <c r="D17" s="2806" t="str">
        <f>Dateneingabe!F17</f>
        <v>Element Logic Germany GmbH</v>
      </c>
      <c r="E17" s="2807"/>
      <c r="F17" s="2808"/>
      <c r="G17" s="1124"/>
      <c r="H17" s="807" t="str">
        <f>Schieberelemente!A48</f>
        <v>Standardelement unten</v>
      </c>
      <c r="I17" s="808">
        <f>Schieberelemente!B51</f>
        <v>0</v>
      </c>
      <c r="J17" s="357"/>
      <c r="K17" s="357"/>
      <c r="L17" s="353"/>
      <c r="M17" s="353"/>
      <c r="N17" s="793"/>
      <c r="O17" s="800"/>
      <c r="P17" s="796"/>
      <c r="Q17" s="800"/>
      <c r="R17" s="113"/>
      <c r="S17" s="344"/>
      <c r="T17" s="344"/>
      <c r="U17" s="344"/>
      <c r="V17" s="344"/>
      <c r="W17" s="344"/>
      <c r="X17" s="344"/>
      <c r="AA17" s="344"/>
      <c r="AB17" s="359"/>
      <c r="AC17" s="344"/>
      <c r="AD17" s="344"/>
      <c r="AE17" s="344"/>
      <c r="AF17" s="344"/>
      <c r="AG17" s="344"/>
      <c r="AH17" s="344"/>
      <c r="AI17" s="344"/>
      <c r="AJ17" s="344"/>
      <c r="AK17" s="344"/>
      <c r="AL17" s="344"/>
      <c r="AM17" s="344"/>
      <c r="AN17" s="344"/>
    </row>
    <row r="18" spans="1:40" s="344" customFormat="1" ht="5.0999999999999996" customHeight="1" x14ac:dyDescent="0.2">
      <c r="A18" s="347"/>
      <c r="B18" s="347"/>
      <c r="C18" s="350"/>
      <c r="D18" s="385"/>
      <c r="H18" s="355"/>
      <c r="I18" s="355"/>
      <c r="J18" s="357"/>
      <c r="K18" s="357"/>
      <c r="L18" s="353"/>
      <c r="M18" s="353"/>
      <c r="N18" s="113"/>
      <c r="O18" s="113"/>
      <c r="P18" s="2555"/>
      <c r="Q18" s="113"/>
      <c r="R18" s="113"/>
    </row>
    <row r="19" spans="1:40" ht="12.2" customHeight="1" x14ac:dyDescent="0.2">
      <c r="A19" s="347"/>
      <c r="B19" s="360"/>
      <c r="C19" s="197" t="s">
        <v>443</v>
      </c>
      <c r="D19" s="2806" t="str">
        <f>Dateneingabe!F19</f>
        <v>Emil Lux GmbH</v>
      </c>
      <c r="E19" s="2807"/>
      <c r="F19" s="2808"/>
      <c r="G19" s="1124"/>
      <c r="H19" s="807" t="str">
        <f>Dateneingabe!E30</f>
        <v>Festfeld:</v>
      </c>
      <c r="I19" s="808" t="str">
        <f>Dateneingabe!F30</f>
        <v>mit</v>
      </c>
      <c r="J19" s="357"/>
      <c r="K19" s="357"/>
      <c r="L19" s="353"/>
      <c r="M19" s="353"/>
      <c r="N19" s="380"/>
      <c r="O19" s="113"/>
      <c r="P19" s="2555"/>
      <c r="Q19" s="113"/>
      <c r="R19" s="113"/>
      <c r="S19" s="344"/>
      <c r="T19" s="344"/>
      <c r="U19" s="344"/>
      <c r="V19" s="344"/>
      <c r="W19" s="344"/>
      <c r="X19" s="344"/>
      <c r="AA19" s="344"/>
      <c r="AB19" s="354"/>
      <c r="AC19" s="344"/>
      <c r="AD19" s="344"/>
      <c r="AE19" s="344"/>
      <c r="AF19" s="344"/>
      <c r="AG19" s="344"/>
      <c r="AH19" s="344"/>
      <c r="AI19" s="344"/>
      <c r="AJ19" s="344"/>
      <c r="AK19" s="344"/>
      <c r="AL19" s="344"/>
      <c r="AM19" s="344"/>
      <c r="AN19" s="344"/>
    </row>
    <row r="20" spans="1:40" ht="4.7" customHeight="1" thickBot="1" x14ac:dyDescent="0.25">
      <c r="A20" s="387"/>
      <c r="B20" s="387"/>
      <c r="C20" s="387"/>
      <c r="D20" s="387"/>
      <c r="E20" s="387"/>
      <c r="F20" s="387"/>
      <c r="I20" s="387"/>
      <c r="J20" s="388"/>
      <c r="K20" s="388"/>
      <c r="L20" s="338"/>
      <c r="M20" s="338"/>
      <c r="N20" s="113"/>
      <c r="O20" s="113"/>
      <c r="P20" s="2555"/>
      <c r="Q20" s="113"/>
      <c r="R20" s="113"/>
      <c r="S20" s="344"/>
      <c r="T20" s="344"/>
      <c r="U20" s="344"/>
      <c r="V20" s="344"/>
      <c r="W20" s="344"/>
      <c r="X20" s="344"/>
      <c r="AA20" s="344"/>
      <c r="AB20" s="354"/>
      <c r="AC20" s="344"/>
      <c r="AD20" s="344"/>
      <c r="AE20" s="344"/>
      <c r="AF20" s="344"/>
      <c r="AG20" s="344"/>
      <c r="AH20" s="344"/>
      <c r="AI20" s="344"/>
      <c r="AJ20" s="344"/>
      <c r="AK20" s="344"/>
      <c r="AL20" s="344"/>
      <c r="AM20" s="344"/>
      <c r="AN20" s="344"/>
    </row>
    <row r="21" spans="1:40" ht="4.7" customHeight="1" x14ac:dyDescent="0.2">
      <c r="A21" s="347"/>
      <c r="B21" s="347"/>
      <c r="C21" s="347"/>
      <c r="D21" s="347"/>
      <c r="E21" s="347"/>
      <c r="F21" s="347"/>
      <c r="G21" s="803"/>
      <c r="H21" s="803"/>
      <c r="I21" s="347"/>
      <c r="J21" s="338"/>
      <c r="K21" s="338"/>
      <c r="L21" s="338"/>
      <c r="M21" s="338"/>
      <c r="N21" s="113"/>
      <c r="O21" s="113"/>
      <c r="P21" s="2555"/>
      <c r="Q21" s="113"/>
      <c r="R21" s="113"/>
      <c r="S21" s="344"/>
      <c r="T21" s="344"/>
      <c r="U21" s="344"/>
      <c r="V21" s="344"/>
      <c r="W21" s="344"/>
      <c r="X21" s="344"/>
      <c r="AA21" s="344"/>
      <c r="AB21" s="354"/>
      <c r="AC21" s="344"/>
      <c r="AD21" s="344"/>
      <c r="AE21" s="344"/>
      <c r="AF21" s="344"/>
      <c r="AG21" s="344"/>
      <c r="AH21" s="344"/>
      <c r="AI21" s="344"/>
      <c r="AJ21" s="344"/>
      <c r="AK21" s="344"/>
      <c r="AL21" s="344"/>
      <c r="AM21" s="344"/>
      <c r="AN21" s="344"/>
    </row>
    <row r="22" spans="1:40" ht="18" customHeight="1" x14ac:dyDescent="0.2">
      <c r="A22" s="2822" t="s">
        <v>852</v>
      </c>
      <c r="B22" s="2822"/>
      <c r="C22" s="2823" t="s">
        <v>27647</v>
      </c>
      <c r="D22" s="2823"/>
      <c r="E22" s="2823"/>
      <c r="F22" s="1119" t="s">
        <v>28111</v>
      </c>
      <c r="G22" s="1119" t="s">
        <v>28136</v>
      </c>
      <c r="H22" s="2818" t="s">
        <v>27646</v>
      </c>
      <c r="I22" s="2818"/>
      <c r="J22" s="2818"/>
      <c r="K22" s="390"/>
      <c r="L22" s="344"/>
      <c r="M22" s="386"/>
      <c r="N22" s="380"/>
      <c r="O22" s="113"/>
      <c r="P22" s="2555"/>
      <c r="Q22" s="113"/>
      <c r="R22" s="113"/>
      <c r="S22" s="344"/>
      <c r="T22" s="344"/>
      <c r="U22" s="344"/>
      <c r="V22" s="344"/>
      <c r="W22" s="344"/>
      <c r="X22" s="344"/>
      <c r="AA22" s="344"/>
      <c r="AB22" s="354"/>
      <c r="AC22" s="344"/>
      <c r="AD22" s="344"/>
      <c r="AE22" s="344"/>
      <c r="AF22" s="344"/>
      <c r="AG22" s="344"/>
      <c r="AH22" s="344"/>
      <c r="AI22" s="344"/>
      <c r="AJ22" s="344"/>
      <c r="AK22" s="344"/>
      <c r="AL22" s="344"/>
      <c r="AM22" s="344"/>
      <c r="AN22" s="344"/>
    </row>
    <row r="23" spans="1:40" s="344" customFormat="1" ht="21.95" customHeight="1" x14ac:dyDescent="0.2">
      <c r="A23" s="2840" t="s">
        <v>27650</v>
      </c>
      <c r="B23" s="2840"/>
      <c r="C23" s="2834" t="s">
        <v>31418</v>
      </c>
      <c r="D23" s="2834"/>
      <c r="E23" s="2835"/>
      <c r="F23" s="2562"/>
      <c r="G23" s="1118">
        <f>IF(Arbeitsplan!I258&gt;0,Arbeitsplan!K258,0)</f>
        <v>16.901217777777777</v>
      </c>
      <c r="H23" s="2841"/>
      <c r="I23" s="2842"/>
      <c r="J23" s="2843"/>
      <c r="K23" s="386"/>
      <c r="N23" s="380"/>
      <c r="O23" s="9"/>
      <c r="P23" s="193"/>
      <c r="Q23" s="9"/>
      <c r="AB23" s="359"/>
    </row>
    <row r="24" spans="1:40" ht="21.95" customHeight="1" x14ac:dyDescent="0.2">
      <c r="A24" s="2826" t="s">
        <v>27650</v>
      </c>
      <c r="B24" s="2826"/>
      <c r="C24" s="2834" t="s">
        <v>31419</v>
      </c>
      <c r="D24" s="2834"/>
      <c r="E24" s="2835"/>
      <c r="F24" s="2562"/>
      <c r="G24" s="1118">
        <f>IF(Arbeitsplan!I259&gt;0,Arbeitsplan!K259,0)</f>
        <v>5.7777777777777777</v>
      </c>
      <c r="H24" s="2841"/>
      <c r="I24" s="2842"/>
      <c r="J24" s="2843"/>
      <c r="K24" s="761"/>
      <c r="L24" s="344"/>
      <c r="M24" s="344"/>
      <c r="R24" s="344"/>
      <c r="S24" s="344"/>
      <c r="T24" s="344"/>
      <c r="U24" s="344"/>
      <c r="V24" s="344"/>
      <c r="W24" s="344"/>
      <c r="X24" s="344"/>
      <c r="AA24" s="344"/>
      <c r="AB24" s="354"/>
      <c r="AC24" s="344"/>
      <c r="AD24" s="344"/>
      <c r="AE24" s="344"/>
      <c r="AF24" s="344"/>
      <c r="AG24" s="344"/>
      <c r="AH24" s="344"/>
      <c r="AI24" s="344"/>
      <c r="AJ24" s="344"/>
      <c r="AK24" s="344"/>
      <c r="AL24" s="344"/>
      <c r="AM24" s="344"/>
      <c r="AN24" s="344"/>
    </row>
    <row r="25" spans="1:40" ht="21.95" customHeight="1" x14ac:dyDescent="0.2">
      <c r="A25" s="2826" t="s">
        <v>27650</v>
      </c>
      <c r="B25" s="2826"/>
      <c r="C25" s="2824" t="s">
        <v>31420</v>
      </c>
      <c r="D25" s="2824"/>
      <c r="E25" s="2825"/>
      <c r="F25" s="2562"/>
      <c r="G25" s="1118">
        <f>IF(Arbeitsplan!I260&gt;0,Arbeitsplan!K260,0)</f>
        <v>105.13122222222216</v>
      </c>
      <c r="H25" s="2841"/>
      <c r="I25" s="2842"/>
      <c r="J25" s="2843"/>
      <c r="K25" s="386"/>
      <c r="L25" s="344"/>
      <c r="M25" s="344"/>
      <c r="N25" s="380"/>
      <c r="R25" s="344"/>
      <c r="S25" s="344"/>
      <c r="T25" s="344"/>
      <c r="U25" s="344"/>
      <c r="V25" s="344"/>
      <c r="W25" s="344"/>
      <c r="X25" s="344"/>
      <c r="AA25" s="344"/>
      <c r="AB25" s="344"/>
      <c r="AC25" s="344"/>
      <c r="AD25" s="344"/>
      <c r="AE25" s="344"/>
      <c r="AF25" s="344"/>
      <c r="AG25" s="344"/>
      <c r="AH25" s="344"/>
      <c r="AI25" s="344"/>
      <c r="AJ25" s="344"/>
      <c r="AK25" s="344"/>
      <c r="AL25" s="344"/>
      <c r="AM25" s="344"/>
      <c r="AN25" s="344"/>
    </row>
    <row r="26" spans="1:40" ht="21.95" customHeight="1" x14ac:dyDescent="0.2">
      <c r="A26" s="2826" t="s">
        <v>27650</v>
      </c>
      <c r="B26" s="2826"/>
      <c r="C26" s="2824" t="s">
        <v>31428</v>
      </c>
      <c r="D26" s="2824"/>
      <c r="E26" s="2825"/>
      <c r="F26" s="2562"/>
      <c r="G26" s="1118">
        <f>IF(Arbeitsplan!I261&gt;0,Arbeitsplan!K261,0)</f>
        <v>6.5</v>
      </c>
      <c r="H26" s="2841"/>
      <c r="I26" s="2842"/>
      <c r="J26" s="2843"/>
      <c r="K26" s="386"/>
      <c r="L26" s="344"/>
      <c r="M26" s="344"/>
      <c r="N26" s="130"/>
      <c r="O26" s="344"/>
      <c r="P26" s="768"/>
      <c r="Q26" s="344"/>
      <c r="R26" s="344"/>
      <c r="S26" s="344"/>
      <c r="T26" s="344"/>
      <c r="U26" s="344"/>
      <c r="V26" s="344"/>
      <c r="W26" s="344"/>
      <c r="X26" s="344"/>
      <c r="AA26" s="344"/>
      <c r="AB26" s="354"/>
      <c r="AC26" s="344"/>
      <c r="AD26" s="344"/>
      <c r="AE26" s="344"/>
      <c r="AF26" s="344"/>
      <c r="AG26" s="344"/>
      <c r="AH26" s="344"/>
      <c r="AI26" s="344"/>
      <c r="AJ26" s="344"/>
      <c r="AK26" s="344"/>
      <c r="AL26" s="344"/>
      <c r="AM26" s="344"/>
      <c r="AN26" s="344"/>
    </row>
    <row r="27" spans="1:40" ht="21.95" customHeight="1" x14ac:dyDescent="0.2">
      <c r="A27" s="2826" t="s">
        <v>27650</v>
      </c>
      <c r="B27" s="2826"/>
      <c r="C27" s="2824" t="s">
        <v>31421</v>
      </c>
      <c r="D27" s="2824"/>
      <c r="E27" s="2825"/>
      <c r="F27" s="2562"/>
      <c r="G27" s="1118">
        <f>IF(Arbeitsplan!I262&gt;0,Arbeitsplan!K262,0)</f>
        <v>20</v>
      </c>
      <c r="H27" s="2567"/>
      <c r="I27" s="2568"/>
      <c r="J27" s="2569"/>
      <c r="K27" s="386"/>
      <c r="L27" s="344"/>
      <c r="M27" s="344"/>
      <c r="N27" s="130"/>
      <c r="O27" s="344"/>
      <c r="P27" s="768"/>
      <c r="Q27" s="344"/>
      <c r="R27" s="344"/>
      <c r="S27" s="344"/>
      <c r="T27" s="344"/>
      <c r="U27" s="344"/>
      <c r="V27" s="344"/>
      <c r="W27" s="344"/>
      <c r="X27" s="344"/>
      <c r="AA27" s="344"/>
      <c r="AB27" s="354"/>
      <c r="AC27" s="344"/>
      <c r="AD27" s="344"/>
      <c r="AE27" s="344"/>
      <c r="AF27" s="344"/>
      <c r="AG27" s="344"/>
      <c r="AH27" s="344"/>
      <c r="AI27" s="344"/>
      <c r="AJ27" s="344"/>
      <c r="AK27" s="344"/>
      <c r="AL27" s="344"/>
      <c r="AM27" s="344"/>
      <c r="AN27" s="344"/>
    </row>
    <row r="28" spans="1:40" ht="21.95" customHeight="1" x14ac:dyDescent="0.2">
      <c r="A28" s="2826" t="s">
        <v>27650</v>
      </c>
      <c r="B28" s="2826"/>
      <c r="C28" s="2824" t="s">
        <v>31422</v>
      </c>
      <c r="D28" s="2824"/>
      <c r="E28" s="2825"/>
      <c r="F28" s="2562"/>
      <c r="G28" s="1118">
        <f>IF(Arbeitsplan!I263&gt;0,Arbeitsplan!K263,0)</f>
        <v>0</v>
      </c>
      <c r="H28" s="2841"/>
      <c r="I28" s="2842"/>
      <c r="J28" s="2843"/>
      <c r="K28" s="344"/>
      <c r="L28" s="344"/>
      <c r="M28" s="344"/>
      <c r="N28" s="395"/>
      <c r="O28" s="344"/>
      <c r="P28" s="768"/>
      <c r="Q28" s="396"/>
      <c r="R28" s="344"/>
      <c r="S28" s="344"/>
      <c r="T28" s="344"/>
      <c r="U28" s="344"/>
      <c r="V28" s="344"/>
      <c r="W28" s="344"/>
      <c r="X28" s="344"/>
      <c r="AA28" s="344"/>
      <c r="AB28" s="344"/>
      <c r="AC28" s="344"/>
      <c r="AD28" s="344"/>
      <c r="AE28" s="344"/>
      <c r="AF28" s="344"/>
      <c r="AG28" s="344"/>
      <c r="AH28" s="344"/>
      <c r="AI28" s="344"/>
      <c r="AJ28" s="344"/>
      <c r="AK28" s="344"/>
      <c r="AL28" s="344"/>
      <c r="AM28" s="344"/>
      <c r="AN28" s="344"/>
    </row>
    <row r="29" spans="1:40" ht="21.95" customHeight="1" x14ac:dyDescent="0.2">
      <c r="A29" s="2826" t="s">
        <v>27650</v>
      </c>
      <c r="B29" s="2826"/>
      <c r="C29" s="2824" t="s">
        <v>31423</v>
      </c>
      <c r="D29" s="2824"/>
      <c r="E29" s="2825"/>
      <c r="F29" s="2562"/>
      <c r="G29" s="1118">
        <f>IF(Arbeitsplan!I264&gt;0,Arbeitsplan!K264,0)</f>
        <v>53</v>
      </c>
      <c r="H29" s="2841"/>
      <c r="I29" s="2842"/>
      <c r="J29" s="2843"/>
      <c r="K29" s="344"/>
      <c r="L29" s="344"/>
      <c r="M29" s="344"/>
      <c r="N29" s="395"/>
      <c r="O29" s="344"/>
      <c r="P29" s="768"/>
      <c r="Q29" s="396"/>
      <c r="R29" s="344"/>
      <c r="S29" s="344"/>
      <c r="T29" s="344"/>
      <c r="U29" s="344"/>
      <c r="V29" s="344"/>
      <c r="W29" s="344"/>
      <c r="X29" s="344"/>
      <c r="AA29" s="344"/>
      <c r="AB29" s="344"/>
      <c r="AC29" s="344"/>
      <c r="AD29" s="344"/>
      <c r="AE29" s="344"/>
      <c r="AF29" s="344"/>
      <c r="AG29" s="344"/>
      <c r="AH29" s="344"/>
      <c r="AI29" s="344"/>
      <c r="AJ29" s="344"/>
      <c r="AK29" s="344"/>
      <c r="AL29" s="344"/>
      <c r="AM29" s="344"/>
      <c r="AN29" s="344"/>
    </row>
    <row r="30" spans="1:40" ht="21.95" customHeight="1" x14ac:dyDescent="0.2">
      <c r="A30" s="2826" t="s">
        <v>27650</v>
      </c>
      <c r="B30" s="2826"/>
      <c r="C30" s="2824" t="s">
        <v>31424</v>
      </c>
      <c r="D30" s="2824"/>
      <c r="E30" s="2825"/>
      <c r="F30" s="2562"/>
      <c r="G30" s="1118">
        <f>IF(Arbeitsplan!I265&gt;0,Arbeitsplan!K265,0)</f>
        <v>0</v>
      </c>
      <c r="H30" s="2841"/>
      <c r="I30" s="2842"/>
      <c r="J30" s="2843"/>
      <c r="K30" s="344"/>
      <c r="L30" s="344"/>
      <c r="M30" s="344"/>
      <c r="N30" s="395"/>
      <c r="O30" s="344"/>
      <c r="P30" s="768"/>
      <c r="Q30" s="396"/>
      <c r="R30" s="344"/>
      <c r="S30" s="344"/>
      <c r="T30" s="344"/>
      <c r="U30" s="344"/>
      <c r="V30" s="344"/>
      <c r="W30" s="344"/>
      <c r="X30" s="344"/>
      <c r="AA30" s="344"/>
      <c r="AB30" s="344"/>
      <c r="AC30" s="344"/>
      <c r="AD30" s="344"/>
      <c r="AE30" s="344"/>
      <c r="AF30" s="344"/>
      <c r="AG30" s="344"/>
      <c r="AH30" s="344"/>
      <c r="AI30" s="344"/>
      <c r="AJ30" s="344"/>
      <c r="AK30" s="344"/>
      <c r="AL30" s="344"/>
      <c r="AM30" s="344"/>
      <c r="AN30" s="344"/>
    </row>
    <row r="31" spans="1:40" ht="21.95" customHeight="1" x14ac:dyDescent="0.2">
      <c r="A31" s="2826" t="s">
        <v>31417</v>
      </c>
      <c r="B31" s="2826"/>
      <c r="C31" s="2824" t="s">
        <v>31425</v>
      </c>
      <c r="D31" s="2824"/>
      <c r="E31" s="2825"/>
      <c r="F31" s="2562"/>
      <c r="G31" s="1118">
        <f>IF(Arbeitsplan!I266&gt;0,Arbeitsplan!K266,0)</f>
        <v>0</v>
      </c>
      <c r="H31" s="2841"/>
      <c r="I31" s="2842"/>
      <c r="J31" s="2843"/>
      <c r="K31" s="344"/>
      <c r="L31" s="344"/>
      <c r="M31" s="344"/>
      <c r="N31" s="395"/>
      <c r="O31" s="344"/>
      <c r="P31" s="768"/>
      <c r="Q31" s="344"/>
      <c r="R31" s="344"/>
      <c r="S31" s="344"/>
      <c r="T31" s="344"/>
      <c r="U31" s="344"/>
      <c r="V31" s="344"/>
      <c r="W31" s="344"/>
      <c r="X31" s="344"/>
      <c r="AA31" s="344"/>
      <c r="AB31" s="344"/>
      <c r="AC31" s="344"/>
      <c r="AD31" s="344"/>
      <c r="AE31" s="344"/>
      <c r="AF31" s="344"/>
      <c r="AG31" s="344"/>
      <c r="AH31" s="344"/>
      <c r="AI31" s="344"/>
      <c r="AJ31" s="344"/>
      <c r="AK31" s="344"/>
      <c r="AL31" s="344"/>
      <c r="AM31" s="344"/>
      <c r="AN31" s="344"/>
    </row>
    <row r="32" spans="1:40" ht="21.95" customHeight="1" x14ac:dyDescent="0.2">
      <c r="A32" s="2826"/>
      <c r="B32" s="2826"/>
      <c r="C32" s="2836" t="s">
        <v>28143</v>
      </c>
      <c r="D32" s="2836"/>
      <c r="E32" s="2837"/>
      <c r="F32" s="2562">
        <f>SUM(F23:F31)</f>
        <v>0</v>
      </c>
      <c r="G32" s="1118">
        <f>SUM(G23:G31)</f>
        <v>207.31021777777772</v>
      </c>
      <c r="H32" s="2841"/>
      <c r="I32" s="2842"/>
      <c r="J32" s="2843"/>
      <c r="L32" s="344"/>
      <c r="M32" s="344"/>
      <c r="N32" s="131"/>
      <c r="Q32" s="344"/>
      <c r="R32" s="344"/>
      <c r="S32" s="344"/>
      <c r="T32" s="344"/>
      <c r="U32" s="344"/>
      <c r="V32" s="344"/>
      <c r="W32" s="344"/>
      <c r="X32" s="344"/>
      <c r="AA32" s="344"/>
      <c r="AB32" s="344"/>
      <c r="AC32" s="344"/>
      <c r="AD32" s="344"/>
      <c r="AE32" s="344"/>
      <c r="AF32" s="344"/>
      <c r="AG32" s="344"/>
      <c r="AH32" s="344"/>
      <c r="AI32" s="344"/>
      <c r="AJ32" s="344"/>
      <c r="AK32" s="344"/>
      <c r="AL32" s="344"/>
      <c r="AM32" s="344"/>
      <c r="AN32" s="344"/>
    </row>
    <row r="33" spans="1:40" ht="21.95" customHeight="1" x14ac:dyDescent="0.2">
      <c r="A33" s="2556"/>
      <c r="B33" s="2556"/>
      <c r="C33" s="2558"/>
      <c r="D33" s="2558"/>
      <c r="E33" s="1130" t="s">
        <v>28144</v>
      </c>
      <c r="F33" s="2563">
        <f>F32/60</f>
        <v>0</v>
      </c>
      <c r="G33" s="1131">
        <f>G32/60</f>
        <v>3.4551702962962954</v>
      </c>
      <c r="H33" s="2844"/>
      <c r="I33" s="2845"/>
      <c r="J33" s="2846"/>
      <c r="L33" s="344"/>
      <c r="M33" s="344"/>
      <c r="N33" s="131"/>
      <c r="Q33" s="344"/>
      <c r="R33" s="344"/>
      <c r="S33" s="344"/>
      <c r="T33" s="344"/>
      <c r="U33" s="344"/>
      <c r="V33" s="344"/>
      <c r="W33" s="344"/>
      <c r="X33" s="344"/>
      <c r="AA33" s="344"/>
      <c r="AB33" s="344"/>
      <c r="AC33" s="344"/>
      <c r="AD33" s="344"/>
      <c r="AE33" s="344"/>
      <c r="AF33" s="344"/>
      <c r="AG33" s="344"/>
      <c r="AH33" s="344"/>
      <c r="AI33" s="344"/>
      <c r="AJ33" s="344"/>
      <c r="AK33" s="344"/>
      <c r="AL33" s="344"/>
      <c r="AM33" s="344"/>
      <c r="AN33" s="344"/>
    </row>
    <row r="34" spans="1:40" ht="4.7" customHeight="1" x14ac:dyDescent="0.2">
      <c r="A34" s="2826"/>
      <c r="B34" s="2826"/>
      <c r="C34" s="2824"/>
      <c r="D34" s="2824"/>
      <c r="E34" s="2824"/>
      <c r="F34" s="2559"/>
      <c r="G34" s="2559"/>
      <c r="H34" s="2810"/>
      <c r="I34" s="2810"/>
      <c r="J34" s="2810"/>
      <c r="L34" s="344"/>
      <c r="M34" s="344"/>
      <c r="N34" s="131"/>
      <c r="Q34" s="344"/>
      <c r="R34" s="344"/>
      <c r="S34" s="344"/>
      <c r="T34" s="344"/>
      <c r="U34" s="344"/>
      <c r="V34" s="344"/>
      <c r="W34" s="344"/>
      <c r="X34" s="344"/>
      <c r="AA34" s="344"/>
      <c r="AB34" s="344"/>
      <c r="AC34" s="344"/>
      <c r="AD34" s="344"/>
      <c r="AE34" s="344"/>
      <c r="AF34" s="344"/>
      <c r="AG34" s="344"/>
      <c r="AH34" s="344"/>
      <c r="AI34" s="344"/>
      <c r="AJ34" s="344"/>
      <c r="AK34" s="344"/>
      <c r="AL34" s="344"/>
      <c r="AM34" s="344"/>
      <c r="AN34" s="344"/>
    </row>
    <row r="35" spans="1:40" ht="18" customHeight="1" x14ac:dyDescent="0.2">
      <c r="A35" s="2826"/>
      <c r="B35" s="2826"/>
      <c r="C35" s="2824"/>
      <c r="D35" s="2824"/>
      <c r="E35" s="2824"/>
      <c r="F35" s="2560"/>
      <c r="G35" s="2560"/>
      <c r="H35" s="2811"/>
      <c r="I35" s="2811"/>
      <c r="J35" s="2811"/>
      <c r="L35" s="344"/>
      <c r="M35" s="344"/>
      <c r="N35" s="131"/>
      <c r="Q35" s="344"/>
      <c r="R35" s="344"/>
      <c r="S35" s="344"/>
      <c r="T35" s="344"/>
      <c r="U35" s="344"/>
      <c r="V35" s="344"/>
      <c r="W35" s="344"/>
      <c r="X35" s="344"/>
      <c r="AA35" s="344"/>
      <c r="AB35" s="344"/>
      <c r="AC35" s="344"/>
      <c r="AD35" s="344"/>
      <c r="AE35" s="344"/>
      <c r="AF35" s="344"/>
      <c r="AG35" s="344"/>
      <c r="AH35" s="344"/>
      <c r="AI35" s="344"/>
      <c r="AJ35" s="344"/>
      <c r="AK35" s="344"/>
      <c r="AL35" s="344"/>
      <c r="AM35" s="344"/>
      <c r="AN35" s="344"/>
    </row>
    <row r="36" spans="1:40" ht="15.95" customHeight="1" x14ac:dyDescent="0.2">
      <c r="A36" s="2826"/>
      <c r="B36" s="2826"/>
      <c r="C36" s="2824"/>
      <c r="D36" s="2824"/>
      <c r="E36" s="2824"/>
      <c r="F36" s="2560"/>
      <c r="G36" s="2560"/>
      <c r="H36" s="2811"/>
      <c r="I36" s="2811"/>
      <c r="J36" s="2811"/>
      <c r="L36" s="344"/>
      <c r="M36" s="344"/>
      <c r="N36" s="131"/>
      <c r="Q36" s="344"/>
      <c r="R36" s="344"/>
      <c r="S36" s="344"/>
      <c r="T36" s="344"/>
      <c r="U36" s="344"/>
      <c r="V36" s="344"/>
      <c r="W36" s="344"/>
      <c r="X36" s="344"/>
      <c r="AA36" s="344"/>
      <c r="AB36" s="344"/>
      <c r="AC36" s="344"/>
      <c r="AD36" s="344"/>
      <c r="AE36" s="344"/>
      <c r="AF36" s="344"/>
      <c r="AG36" s="344"/>
      <c r="AH36" s="344"/>
      <c r="AI36" s="344"/>
      <c r="AJ36" s="344"/>
      <c r="AK36" s="344"/>
      <c r="AL36" s="344"/>
      <c r="AM36" s="344"/>
      <c r="AN36" s="344"/>
    </row>
    <row r="37" spans="1:40" ht="15.95" customHeight="1" x14ac:dyDescent="0.2">
      <c r="A37" s="2826"/>
      <c r="B37" s="2826"/>
      <c r="C37" s="2824"/>
      <c r="D37" s="2824"/>
      <c r="E37" s="2825"/>
      <c r="F37" s="810"/>
      <c r="G37" s="2561"/>
      <c r="H37" s="2812"/>
      <c r="I37" s="2813"/>
      <c r="J37" s="2814"/>
      <c r="L37" s="344"/>
      <c r="M37" s="344"/>
      <c r="N37" s="131"/>
      <c r="Q37" s="344"/>
      <c r="R37" s="344"/>
      <c r="S37" s="344"/>
      <c r="T37" s="344"/>
      <c r="U37" s="344"/>
      <c r="V37" s="344"/>
      <c r="W37" s="344"/>
      <c r="X37" s="344"/>
      <c r="AA37" s="344"/>
      <c r="AB37" s="344"/>
      <c r="AC37" s="344"/>
      <c r="AD37" s="344"/>
      <c r="AE37" s="344"/>
      <c r="AF37" s="344"/>
      <c r="AG37" s="344"/>
      <c r="AH37" s="344"/>
      <c r="AI37" s="344"/>
      <c r="AJ37" s="344"/>
      <c r="AK37" s="344"/>
      <c r="AL37" s="344"/>
      <c r="AM37" s="344"/>
      <c r="AN37" s="344"/>
    </row>
    <row r="38" spans="1:40" ht="15.95" customHeight="1" x14ac:dyDescent="0.2">
      <c r="A38" s="2826"/>
      <c r="B38" s="2826"/>
      <c r="C38" s="2824"/>
      <c r="D38" s="2824"/>
      <c r="E38" s="2825"/>
      <c r="F38" s="802"/>
      <c r="G38" s="2557"/>
      <c r="H38" s="2803"/>
      <c r="I38" s="2804"/>
      <c r="J38" s="2805"/>
      <c r="L38" s="344"/>
      <c r="M38" s="344"/>
      <c r="N38" s="131"/>
      <c r="Q38" s="344"/>
      <c r="R38" s="344"/>
      <c r="S38" s="344"/>
      <c r="T38" s="344"/>
      <c r="U38" s="344"/>
      <c r="V38" s="344"/>
      <c r="W38" s="344"/>
      <c r="X38" s="344"/>
      <c r="AA38" s="344"/>
      <c r="AB38" s="344"/>
      <c r="AC38" s="344"/>
      <c r="AD38" s="344"/>
      <c r="AE38" s="344"/>
      <c r="AF38" s="344"/>
      <c r="AG38" s="344"/>
      <c r="AH38" s="344"/>
      <c r="AI38" s="344"/>
      <c r="AJ38" s="344"/>
      <c r="AK38" s="344"/>
      <c r="AL38" s="344"/>
      <c r="AM38" s="344"/>
      <c r="AN38" s="344"/>
    </row>
    <row r="39" spans="1:40" ht="15.95" customHeight="1" x14ac:dyDescent="0.2">
      <c r="A39" s="2826"/>
      <c r="B39" s="2826"/>
      <c r="C39" s="2824"/>
      <c r="D39" s="2824"/>
      <c r="E39" s="2825"/>
      <c r="F39" s="802"/>
      <c r="G39" s="2557"/>
      <c r="H39" s="2803"/>
      <c r="I39" s="2804"/>
      <c r="J39" s="2805"/>
      <c r="L39" s="344"/>
      <c r="M39" s="344"/>
      <c r="N39" s="131"/>
      <c r="Q39" s="344"/>
      <c r="R39" s="344"/>
      <c r="S39" s="344"/>
      <c r="T39" s="344"/>
      <c r="U39" s="344"/>
      <c r="V39" s="344"/>
      <c r="W39" s="344"/>
      <c r="X39" s="344"/>
      <c r="AA39" s="344"/>
      <c r="AB39" s="344"/>
      <c r="AC39" s="344"/>
      <c r="AD39" s="344"/>
      <c r="AE39" s="344"/>
      <c r="AF39" s="344"/>
      <c r="AG39" s="344"/>
      <c r="AH39" s="344"/>
      <c r="AI39" s="344"/>
      <c r="AJ39" s="344"/>
      <c r="AK39" s="344"/>
      <c r="AL39" s="344"/>
      <c r="AM39" s="344"/>
      <c r="AN39" s="344"/>
    </row>
    <row r="40" spans="1:40" ht="15.95" customHeight="1" x14ac:dyDescent="0.2">
      <c r="A40" s="2826"/>
      <c r="B40" s="2826"/>
      <c r="C40" s="2824"/>
      <c r="D40" s="2824"/>
      <c r="E40" s="2825"/>
      <c r="F40" s="802"/>
      <c r="G40" s="2557"/>
      <c r="H40" s="2803"/>
      <c r="I40" s="2804"/>
      <c r="J40" s="2805"/>
      <c r="L40" s="344"/>
      <c r="M40" s="344"/>
      <c r="N40" s="131"/>
      <c r="Q40" s="344"/>
      <c r="R40" s="344"/>
      <c r="S40" s="344"/>
      <c r="T40" s="344"/>
      <c r="U40" s="344"/>
      <c r="V40" s="344"/>
      <c r="W40" s="344"/>
      <c r="X40" s="344"/>
      <c r="AA40" s="344"/>
      <c r="AB40" s="344"/>
      <c r="AC40" s="344"/>
      <c r="AD40" s="344"/>
      <c r="AE40" s="344"/>
      <c r="AF40" s="344"/>
      <c r="AG40" s="344"/>
      <c r="AH40" s="344"/>
      <c r="AI40" s="344"/>
      <c r="AJ40" s="344"/>
      <c r="AK40" s="344"/>
      <c r="AL40" s="344"/>
      <c r="AM40" s="344"/>
      <c r="AN40" s="344"/>
    </row>
    <row r="41" spans="1:40" ht="15.95" customHeight="1" x14ac:dyDescent="0.2">
      <c r="A41" s="2826"/>
      <c r="B41" s="2826"/>
      <c r="C41" s="2824"/>
      <c r="D41" s="2824"/>
      <c r="E41" s="2825"/>
      <c r="F41" s="802"/>
      <c r="G41" s="2557"/>
      <c r="H41" s="2803"/>
      <c r="I41" s="2804"/>
      <c r="J41" s="2805"/>
      <c r="L41" s="344"/>
      <c r="M41" s="344"/>
      <c r="N41" s="131"/>
      <c r="Q41" s="344"/>
      <c r="R41" s="344"/>
      <c r="S41" s="344"/>
      <c r="T41" s="344"/>
      <c r="U41" s="344"/>
      <c r="V41" s="344"/>
      <c r="W41" s="344"/>
      <c r="X41" s="344"/>
      <c r="AA41" s="344"/>
      <c r="AB41" s="344"/>
      <c r="AC41" s="344"/>
      <c r="AD41" s="344"/>
      <c r="AE41" s="344"/>
      <c r="AF41" s="344"/>
      <c r="AG41" s="344"/>
      <c r="AH41" s="344"/>
      <c r="AI41" s="344"/>
      <c r="AJ41" s="344"/>
      <c r="AK41" s="344"/>
      <c r="AL41" s="344"/>
      <c r="AM41" s="344"/>
      <c r="AN41" s="344"/>
    </row>
    <row r="42" spans="1:40" ht="15.95" customHeight="1" x14ac:dyDescent="0.2">
      <c r="A42" s="2826"/>
      <c r="B42" s="2826"/>
      <c r="C42" s="2824"/>
      <c r="D42" s="2824"/>
      <c r="E42" s="2825"/>
      <c r="F42" s="802"/>
      <c r="G42" s="2557"/>
      <c r="H42" s="2803"/>
      <c r="I42" s="2804"/>
      <c r="J42" s="2805"/>
      <c r="L42" s="344"/>
      <c r="M42" s="344"/>
      <c r="N42" s="131"/>
      <c r="Q42" s="344"/>
      <c r="R42" s="344"/>
      <c r="S42" s="344"/>
      <c r="T42" s="344"/>
      <c r="U42" s="344"/>
      <c r="V42" s="344"/>
      <c r="W42" s="344"/>
      <c r="X42" s="344"/>
      <c r="AA42" s="344"/>
      <c r="AB42" s="344"/>
      <c r="AC42" s="344"/>
      <c r="AD42" s="344"/>
      <c r="AE42" s="344"/>
      <c r="AF42" s="344"/>
      <c r="AG42" s="344"/>
      <c r="AH42" s="344"/>
      <c r="AI42" s="344"/>
      <c r="AJ42" s="344"/>
      <c r="AK42" s="344"/>
      <c r="AL42" s="344"/>
      <c r="AM42" s="344"/>
      <c r="AN42" s="344"/>
    </row>
    <row r="43" spans="1:40" ht="15.95" customHeight="1" x14ac:dyDescent="0.2">
      <c r="A43" s="2826"/>
      <c r="B43" s="2826"/>
      <c r="C43" s="2824"/>
      <c r="D43" s="2824"/>
      <c r="E43" s="2825"/>
      <c r="F43" s="802"/>
      <c r="G43" s="2557"/>
      <c r="H43" s="2803"/>
      <c r="I43" s="2804"/>
      <c r="J43" s="2805"/>
      <c r="L43" s="344"/>
      <c r="M43" s="344"/>
      <c r="N43" s="131"/>
      <c r="Q43" s="344"/>
      <c r="R43" s="344"/>
      <c r="S43" s="344"/>
      <c r="T43" s="344"/>
      <c r="U43" s="344"/>
      <c r="V43" s="344"/>
      <c r="W43" s="344"/>
      <c r="X43" s="344"/>
      <c r="AA43" s="344"/>
      <c r="AB43" s="344"/>
      <c r="AC43" s="344"/>
      <c r="AD43" s="344"/>
      <c r="AE43" s="344"/>
      <c r="AF43" s="344"/>
      <c r="AG43" s="344"/>
      <c r="AH43" s="344"/>
      <c r="AI43" s="344"/>
      <c r="AJ43" s="344"/>
      <c r="AK43" s="344"/>
      <c r="AL43" s="344"/>
      <c r="AM43" s="344"/>
      <c r="AN43" s="344"/>
    </row>
    <row r="44" spans="1:40" ht="15.95" customHeight="1" x14ac:dyDescent="0.2">
      <c r="E44" s="397"/>
      <c r="F44" s="2560"/>
      <c r="G44" s="2560"/>
      <c r="H44" s="2803"/>
      <c r="I44" s="2804"/>
      <c r="J44" s="2805"/>
      <c r="K44" s="113"/>
      <c r="L44" s="344"/>
      <c r="M44" s="344"/>
      <c r="N44" s="131"/>
      <c r="Q44" s="344"/>
      <c r="R44" s="344"/>
      <c r="S44" s="344"/>
      <c r="T44" s="344"/>
      <c r="U44" s="344"/>
      <c r="V44" s="344"/>
      <c r="W44" s="344"/>
      <c r="X44" s="344"/>
      <c r="AA44" s="344"/>
      <c r="AB44" s="344"/>
      <c r="AC44" s="344"/>
      <c r="AD44" s="344"/>
      <c r="AE44" s="344"/>
      <c r="AF44" s="344"/>
      <c r="AG44" s="344"/>
      <c r="AH44" s="344"/>
      <c r="AI44" s="344"/>
      <c r="AJ44" s="344"/>
      <c r="AK44" s="344"/>
      <c r="AL44" s="344"/>
      <c r="AM44" s="344"/>
      <c r="AN44" s="344"/>
    </row>
    <row r="45" spans="1:40" ht="15.95" customHeight="1" x14ac:dyDescent="0.2">
      <c r="E45" s="679" t="s">
        <v>705</v>
      </c>
      <c r="F45" s="416"/>
      <c r="G45" s="1125"/>
      <c r="H45" s="2803"/>
      <c r="I45" s="2804"/>
      <c r="J45" s="2805"/>
      <c r="K45" s="113"/>
      <c r="L45" s="344"/>
      <c r="M45" s="344"/>
      <c r="N45" s="131"/>
      <c r="Q45" s="344"/>
      <c r="R45" s="344"/>
      <c r="S45" s="344"/>
      <c r="T45" s="344"/>
      <c r="U45" s="344"/>
      <c r="V45" s="344"/>
      <c r="W45" s="344"/>
      <c r="X45" s="344"/>
      <c r="AA45" s="344"/>
      <c r="AB45" s="344"/>
      <c r="AC45" s="344"/>
      <c r="AD45" s="344"/>
      <c r="AE45" s="344"/>
      <c r="AF45" s="344"/>
      <c r="AG45" s="344"/>
      <c r="AH45" s="344"/>
      <c r="AI45" s="344"/>
      <c r="AJ45" s="344"/>
      <c r="AK45" s="344"/>
      <c r="AL45" s="344"/>
      <c r="AM45" s="344"/>
      <c r="AN45" s="344"/>
    </row>
    <row r="46" spans="1:40" ht="15.95" customHeight="1" x14ac:dyDescent="0.2">
      <c r="E46" s="397"/>
      <c r="F46" s="2560"/>
      <c r="G46" s="2560"/>
      <c r="H46" s="2803"/>
      <c r="I46" s="2804"/>
      <c r="J46" s="2805"/>
      <c r="K46" s="113"/>
      <c r="L46" s="344"/>
      <c r="M46" s="344"/>
      <c r="N46" s="131"/>
      <c r="Q46" s="344"/>
      <c r="R46" s="344"/>
      <c r="S46" s="344"/>
      <c r="T46" s="344"/>
      <c r="U46" s="344"/>
      <c r="V46" s="344"/>
      <c r="W46" s="344"/>
      <c r="X46" s="344"/>
      <c r="AA46" s="344"/>
      <c r="AB46" s="344"/>
      <c r="AC46" s="344"/>
      <c r="AD46" s="344"/>
      <c r="AE46" s="344"/>
      <c r="AF46" s="344"/>
      <c r="AG46" s="344"/>
      <c r="AH46" s="344"/>
      <c r="AI46" s="344"/>
      <c r="AJ46" s="344"/>
      <c r="AK46" s="344"/>
      <c r="AL46" s="344"/>
      <c r="AM46" s="344"/>
      <c r="AN46" s="344"/>
    </row>
    <row r="47" spans="1:40" ht="15.95" customHeight="1" x14ac:dyDescent="0.2">
      <c r="E47" s="412"/>
      <c r="F47" s="416"/>
      <c r="G47" s="1125"/>
      <c r="H47" s="2803"/>
      <c r="I47" s="2804"/>
      <c r="J47" s="2805"/>
      <c r="K47" s="113"/>
      <c r="L47" s="344"/>
      <c r="M47" s="344"/>
      <c r="N47" s="131"/>
      <c r="Q47" s="344"/>
      <c r="R47" s="344"/>
      <c r="S47" s="344"/>
      <c r="T47" s="344"/>
      <c r="U47" s="344"/>
      <c r="V47" s="344"/>
      <c r="W47" s="344"/>
      <c r="X47" s="344"/>
      <c r="AA47" s="344"/>
      <c r="AB47" s="344"/>
      <c r="AC47" s="344"/>
      <c r="AD47" s="344"/>
      <c r="AE47" s="344"/>
      <c r="AF47" s="344"/>
      <c r="AG47" s="344"/>
      <c r="AH47" s="344"/>
      <c r="AI47" s="344"/>
      <c r="AJ47" s="344"/>
      <c r="AK47" s="344"/>
      <c r="AL47" s="344"/>
      <c r="AM47" s="344"/>
      <c r="AN47" s="344"/>
    </row>
    <row r="48" spans="1:40" ht="15.95" customHeight="1" x14ac:dyDescent="0.2">
      <c r="E48" s="397"/>
      <c r="F48" s="2560"/>
      <c r="G48" s="2560"/>
      <c r="H48" s="2803"/>
      <c r="I48" s="2804"/>
      <c r="J48" s="2805"/>
      <c r="K48" s="113"/>
      <c r="L48" s="344"/>
      <c r="M48" s="344"/>
      <c r="N48" s="131"/>
      <c r="Q48" s="344"/>
      <c r="R48" s="344"/>
      <c r="S48" s="344"/>
      <c r="T48" s="344"/>
      <c r="U48" s="344"/>
      <c r="V48" s="344"/>
      <c r="W48" s="344"/>
      <c r="X48" s="344"/>
      <c r="AA48" s="344"/>
      <c r="AB48" s="344"/>
      <c r="AC48" s="344"/>
      <c r="AD48" s="344"/>
      <c r="AE48" s="344"/>
      <c r="AF48" s="344"/>
      <c r="AG48" s="344"/>
      <c r="AH48" s="344"/>
      <c r="AI48" s="344"/>
      <c r="AJ48" s="344"/>
      <c r="AK48" s="344"/>
      <c r="AL48" s="344"/>
      <c r="AM48" s="344"/>
      <c r="AN48" s="344"/>
    </row>
    <row r="49" spans="1:40" ht="15.95" customHeight="1" x14ac:dyDescent="0.2">
      <c r="E49" s="397"/>
      <c r="F49" s="2560"/>
      <c r="G49" s="2560"/>
      <c r="H49" s="113"/>
      <c r="I49" s="113"/>
      <c r="J49" s="113"/>
      <c r="K49" s="113"/>
      <c r="L49" s="344"/>
      <c r="M49" s="344"/>
      <c r="N49" s="131"/>
      <c r="Q49" s="344"/>
      <c r="R49" s="344"/>
      <c r="S49" s="344"/>
      <c r="T49" s="344"/>
      <c r="U49" s="344"/>
      <c r="V49" s="344"/>
      <c r="W49" s="344"/>
      <c r="X49" s="344"/>
      <c r="AA49" s="344"/>
      <c r="AB49" s="344"/>
      <c r="AC49" s="344"/>
      <c r="AD49" s="344"/>
      <c r="AE49" s="344"/>
      <c r="AF49" s="344"/>
      <c r="AG49" s="344"/>
      <c r="AH49" s="344"/>
      <c r="AI49" s="344"/>
      <c r="AJ49" s="344"/>
      <c r="AK49" s="344"/>
      <c r="AL49" s="344"/>
      <c r="AM49" s="344"/>
      <c r="AN49" s="344"/>
    </row>
    <row r="50" spans="1:40" ht="18" x14ac:dyDescent="0.2">
      <c r="E50" s="397"/>
      <c r="F50" s="2560"/>
      <c r="G50" s="2560"/>
      <c r="H50" s="113"/>
      <c r="I50" s="113"/>
      <c r="J50" s="113"/>
      <c r="K50" s="113"/>
      <c r="L50" s="344"/>
      <c r="M50" s="344"/>
      <c r="N50" s="131"/>
      <c r="Q50" s="344"/>
      <c r="R50" s="344"/>
      <c r="S50" s="344"/>
      <c r="T50" s="344"/>
      <c r="U50" s="344"/>
      <c r="V50" s="344"/>
      <c r="W50" s="344"/>
      <c r="X50" s="344"/>
      <c r="AA50" s="344"/>
      <c r="AB50" s="344"/>
      <c r="AC50" s="344"/>
      <c r="AD50" s="344"/>
      <c r="AE50" s="344"/>
      <c r="AF50" s="344"/>
      <c r="AG50" s="344"/>
      <c r="AH50" s="344"/>
      <c r="AI50" s="344"/>
      <c r="AJ50" s="344"/>
      <c r="AK50" s="344"/>
      <c r="AL50" s="344"/>
      <c r="AM50" s="344"/>
      <c r="AN50" s="344"/>
    </row>
    <row r="51" spans="1:40" ht="18" x14ac:dyDescent="0.2">
      <c r="E51" s="397"/>
      <c r="F51" s="2560"/>
      <c r="G51" s="2560"/>
      <c r="H51" s="113"/>
      <c r="I51" s="113"/>
      <c r="J51" s="113"/>
      <c r="K51" s="113"/>
      <c r="L51" s="344"/>
      <c r="M51" s="344"/>
      <c r="N51" s="131"/>
      <c r="Q51" s="344"/>
      <c r="R51" s="344"/>
      <c r="S51" s="344"/>
      <c r="T51" s="344"/>
      <c r="U51" s="344"/>
      <c r="V51" s="344"/>
      <c r="W51" s="344"/>
      <c r="X51" s="344"/>
      <c r="AA51" s="344"/>
      <c r="AB51" s="344"/>
      <c r="AC51" s="344"/>
      <c r="AD51" s="344"/>
      <c r="AE51" s="344"/>
      <c r="AF51" s="344"/>
      <c r="AG51" s="344"/>
      <c r="AH51" s="344"/>
      <c r="AI51" s="344"/>
      <c r="AJ51" s="344"/>
      <c r="AK51" s="344"/>
      <c r="AL51" s="344"/>
      <c r="AM51" s="344"/>
      <c r="AN51" s="344"/>
    </row>
    <row r="52" spans="1:40" ht="18" x14ac:dyDescent="0.2">
      <c r="E52" s="397"/>
      <c r="F52" s="2560"/>
      <c r="G52" s="2560"/>
      <c r="H52" s="113"/>
      <c r="I52" s="113"/>
      <c r="J52" s="113"/>
      <c r="K52" s="113"/>
      <c r="L52" s="344"/>
      <c r="M52" s="344"/>
      <c r="N52" s="131"/>
      <c r="O52" s="400"/>
      <c r="P52" s="768"/>
      <c r="Q52" s="400"/>
      <c r="R52" s="400"/>
      <c r="S52" s="400"/>
      <c r="T52" s="344"/>
      <c r="U52" s="344"/>
      <c r="V52" s="344"/>
      <c r="W52" s="344"/>
      <c r="X52" s="344"/>
      <c r="AA52" s="344"/>
      <c r="AB52" s="344"/>
      <c r="AC52" s="344"/>
      <c r="AD52" s="344"/>
      <c r="AE52" s="344"/>
      <c r="AF52" s="344"/>
      <c r="AG52" s="344"/>
      <c r="AH52" s="344"/>
      <c r="AI52" s="344"/>
      <c r="AJ52" s="344"/>
      <c r="AK52" s="344"/>
      <c r="AL52" s="344"/>
      <c r="AM52" s="344"/>
      <c r="AN52" s="344"/>
    </row>
    <row r="53" spans="1:40" ht="15.75" x14ac:dyDescent="0.2">
      <c r="F53" s="113"/>
      <c r="G53" s="113"/>
      <c r="H53" s="113"/>
      <c r="I53" s="113"/>
      <c r="J53" s="113"/>
      <c r="K53" s="113"/>
      <c r="L53" s="344"/>
      <c r="M53" s="344"/>
      <c r="N53" s="395"/>
      <c r="O53" s="344"/>
      <c r="P53" s="768"/>
      <c r="Q53" s="344"/>
      <c r="R53" s="344"/>
      <c r="S53" s="344"/>
      <c r="T53" s="344"/>
      <c r="U53" s="344"/>
      <c r="V53" s="344"/>
      <c r="W53" s="344"/>
      <c r="X53" s="344"/>
      <c r="AA53" s="344"/>
      <c r="AB53" s="344"/>
      <c r="AC53" s="344"/>
      <c r="AD53" s="344"/>
      <c r="AE53" s="344"/>
      <c r="AF53" s="344"/>
      <c r="AG53" s="344"/>
      <c r="AH53" s="344"/>
      <c r="AI53" s="344"/>
      <c r="AJ53" s="344"/>
      <c r="AK53" s="344"/>
      <c r="AL53" s="344"/>
      <c r="AM53" s="344"/>
      <c r="AN53" s="344"/>
    </row>
    <row r="54" spans="1:40" ht="15.75" x14ac:dyDescent="0.2">
      <c r="A54" s="401"/>
      <c r="B54" s="402"/>
      <c r="C54" s="402"/>
      <c r="D54" s="402"/>
      <c r="E54" s="402"/>
      <c r="F54" s="402"/>
      <c r="G54" s="402"/>
      <c r="H54" s="402"/>
      <c r="I54" s="402"/>
      <c r="J54" s="402"/>
      <c r="K54" s="402"/>
      <c r="L54" s="344"/>
      <c r="M54" s="344"/>
      <c r="N54" s="395"/>
      <c r="O54" s="344"/>
      <c r="P54" s="768"/>
      <c r="Q54" s="344"/>
      <c r="R54" s="344"/>
      <c r="S54" s="344"/>
      <c r="T54" s="344"/>
      <c r="U54" s="344"/>
      <c r="V54" s="344"/>
      <c r="W54" s="344"/>
      <c r="X54" s="344"/>
      <c r="AA54" s="344"/>
      <c r="AB54" s="344"/>
      <c r="AC54" s="344"/>
      <c r="AD54" s="344"/>
      <c r="AE54" s="344"/>
      <c r="AF54" s="344"/>
      <c r="AG54" s="344"/>
      <c r="AH54" s="344"/>
      <c r="AI54" s="344"/>
      <c r="AJ54" s="344"/>
      <c r="AK54" s="344"/>
      <c r="AL54" s="344"/>
      <c r="AM54" s="344"/>
      <c r="AN54" s="344"/>
    </row>
    <row r="55" spans="1:40" x14ac:dyDescent="0.2">
      <c r="A55" s="403"/>
      <c r="B55" s="402"/>
      <c r="C55" s="402"/>
      <c r="D55" s="402"/>
      <c r="E55" s="402"/>
      <c r="F55" s="402"/>
      <c r="G55" s="402"/>
      <c r="H55" s="402"/>
      <c r="I55" s="402"/>
      <c r="J55" s="402"/>
      <c r="K55" s="402"/>
      <c r="L55" s="344"/>
      <c r="M55" s="344"/>
      <c r="N55" s="132"/>
      <c r="O55" s="344"/>
      <c r="Q55" s="344"/>
      <c r="R55" s="344"/>
      <c r="S55" s="344"/>
      <c r="T55" s="344"/>
      <c r="U55" s="344"/>
      <c r="V55" s="344"/>
      <c r="W55" s="344"/>
      <c r="X55" s="344"/>
      <c r="AA55" s="344"/>
      <c r="AB55" s="344"/>
      <c r="AC55" s="344"/>
      <c r="AD55" s="344"/>
      <c r="AE55" s="344"/>
      <c r="AF55" s="344"/>
      <c r="AG55" s="344"/>
      <c r="AH55" s="344"/>
      <c r="AI55" s="344"/>
      <c r="AJ55" s="344"/>
      <c r="AK55" s="344"/>
      <c r="AL55" s="344"/>
      <c r="AM55" s="344"/>
      <c r="AN55" s="344"/>
    </row>
    <row r="56" spans="1:40" x14ac:dyDescent="0.2">
      <c r="C56" s="344"/>
      <c r="D56" s="344"/>
      <c r="E56" s="344"/>
      <c r="F56" s="344"/>
      <c r="G56" s="344"/>
      <c r="H56" s="344"/>
      <c r="I56" s="344"/>
      <c r="J56" s="344"/>
      <c r="K56" s="344"/>
      <c r="L56" s="344"/>
      <c r="M56" s="344"/>
      <c r="N56" s="344"/>
      <c r="O56" s="344"/>
      <c r="P56" s="768"/>
      <c r="Q56" s="344"/>
      <c r="R56" s="344"/>
      <c r="S56" s="344"/>
      <c r="T56" s="344"/>
      <c r="U56" s="344"/>
      <c r="V56" s="344"/>
      <c r="W56" s="344"/>
      <c r="X56" s="344"/>
      <c r="AA56" s="344"/>
      <c r="AB56" s="344"/>
      <c r="AC56" s="344"/>
      <c r="AD56" s="344"/>
      <c r="AE56" s="344"/>
      <c r="AF56" s="344"/>
      <c r="AG56" s="344"/>
      <c r="AH56" s="344"/>
      <c r="AI56" s="344"/>
      <c r="AJ56" s="344"/>
      <c r="AK56" s="344"/>
      <c r="AL56" s="344"/>
      <c r="AM56" s="344"/>
      <c r="AN56" s="344"/>
    </row>
    <row r="57" spans="1:40" x14ac:dyDescent="0.2">
      <c r="A57" s="344"/>
      <c r="B57" s="344"/>
      <c r="C57" s="344"/>
      <c r="D57" s="344"/>
      <c r="E57" s="344"/>
      <c r="F57" s="344"/>
      <c r="G57" s="344"/>
      <c r="H57" s="344"/>
      <c r="I57" s="344"/>
      <c r="J57" s="344"/>
      <c r="K57" s="344"/>
      <c r="L57" s="344"/>
      <c r="M57" s="344"/>
      <c r="N57" s="344"/>
      <c r="O57" s="344"/>
      <c r="P57" s="768"/>
      <c r="Q57" s="344"/>
      <c r="R57" s="344"/>
      <c r="S57" s="344"/>
      <c r="T57" s="344"/>
      <c r="U57" s="344"/>
      <c r="V57" s="344"/>
      <c r="W57" s="344"/>
      <c r="X57" s="344"/>
      <c r="AA57" s="344"/>
      <c r="AB57" s="344"/>
      <c r="AC57" s="344"/>
      <c r="AD57" s="344"/>
      <c r="AE57" s="344"/>
      <c r="AF57" s="344"/>
      <c r="AG57" s="344"/>
      <c r="AH57" s="344"/>
      <c r="AI57" s="344"/>
      <c r="AJ57" s="344"/>
      <c r="AK57" s="344"/>
      <c r="AL57" s="344"/>
      <c r="AM57" s="344"/>
      <c r="AN57" s="344"/>
    </row>
    <row r="58" spans="1:40" x14ac:dyDescent="0.2">
      <c r="A58" s="344"/>
      <c r="C58" s="344"/>
      <c r="D58" s="344"/>
      <c r="E58" s="344"/>
      <c r="F58" s="344"/>
      <c r="G58" s="344"/>
      <c r="H58" s="344"/>
      <c r="I58" s="344"/>
      <c r="J58" s="344"/>
      <c r="K58" s="344"/>
      <c r="L58" s="344"/>
      <c r="M58" s="344"/>
      <c r="N58" s="344"/>
      <c r="O58" s="344"/>
      <c r="P58" s="768"/>
      <c r="Q58" s="344"/>
      <c r="R58" s="344"/>
      <c r="S58" s="344"/>
      <c r="T58" s="344"/>
      <c r="U58" s="344"/>
      <c r="V58" s="344"/>
      <c r="W58" s="344"/>
      <c r="X58" s="344"/>
      <c r="AA58" s="344"/>
      <c r="AB58" s="344"/>
      <c r="AC58" s="344"/>
      <c r="AD58" s="344"/>
      <c r="AE58" s="344"/>
      <c r="AF58" s="344"/>
      <c r="AG58" s="344"/>
      <c r="AH58" s="344"/>
      <c r="AI58" s="344"/>
      <c r="AJ58" s="344"/>
      <c r="AK58" s="344"/>
      <c r="AL58" s="344"/>
      <c r="AM58" s="344"/>
      <c r="AN58" s="344"/>
    </row>
    <row r="59" spans="1:40" x14ac:dyDescent="0.2">
      <c r="A59" s="344"/>
      <c r="C59" s="344"/>
      <c r="D59" s="344"/>
      <c r="E59" s="344"/>
      <c r="F59" s="344"/>
      <c r="G59" s="344"/>
      <c r="H59" s="344"/>
      <c r="I59" s="344"/>
      <c r="J59" s="344"/>
      <c r="K59" s="344"/>
      <c r="L59" s="344"/>
      <c r="M59" s="344"/>
      <c r="N59" s="344"/>
      <c r="O59" s="344"/>
      <c r="P59" s="768"/>
      <c r="Q59" s="344"/>
      <c r="R59" s="344"/>
      <c r="S59" s="344"/>
      <c r="T59" s="344"/>
      <c r="U59" s="344"/>
      <c r="V59" s="344"/>
      <c r="W59" s="344"/>
      <c r="X59" s="344"/>
      <c r="AA59" s="344"/>
      <c r="AB59" s="344"/>
      <c r="AC59" s="344"/>
      <c r="AD59" s="344"/>
      <c r="AE59" s="344"/>
      <c r="AF59" s="408"/>
      <c r="AG59" s="408"/>
      <c r="AH59" s="344"/>
      <c r="AI59" s="344"/>
      <c r="AJ59" s="344"/>
      <c r="AK59" s="344"/>
      <c r="AL59" s="344"/>
      <c r="AM59" s="344"/>
      <c r="AN59" s="344"/>
    </row>
    <row r="60" spans="1:40" x14ac:dyDescent="0.2">
      <c r="A60" s="344"/>
      <c r="C60" s="344"/>
      <c r="D60" s="344"/>
      <c r="E60" s="344"/>
      <c r="F60" s="344"/>
      <c r="G60" s="344"/>
      <c r="H60" s="344"/>
      <c r="I60" s="344"/>
      <c r="J60" s="344"/>
      <c r="K60" s="344"/>
      <c r="L60" s="344"/>
      <c r="M60" s="344"/>
      <c r="N60" s="344"/>
      <c r="O60" s="344"/>
      <c r="P60" s="768"/>
      <c r="Q60" s="344"/>
      <c r="R60" s="344"/>
      <c r="S60" s="344"/>
      <c r="T60" s="344"/>
      <c r="U60" s="344"/>
      <c r="V60" s="344"/>
      <c r="W60" s="344"/>
      <c r="X60" s="344"/>
      <c r="AA60" s="344"/>
      <c r="AB60" s="344"/>
      <c r="AC60" s="344"/>
      <c r="AD60" s="344"/>
      <c r="AE60" s="344"/>
      <c r="AF60" s="344"/>
      <c r="AG60" s="344"/>
      <c r="AH60" s="344"/>
      <c r="AI60" s="344"/>
      <c r="AJ60" s="344"/>
      <c r="AK60" s="344"/>
      <c r="AL60" s="344"/>
      <c r="AM60" s="344"/>
      <c r="AN60" s="344"/>
    </row>
    <row r="61" spans="1:40" x14ac:dyDescent="0.2">
      <c r="A61" s="344"/>
      <c r="C61" s="344"/>
      <c r="D61" s="344"/>
      <c r="E61" s="344"/>
      <c r="F61" s="344"/>
      <c r="G61" s="344"/>
      <c r="H61" s="344"/>
      <c r="I61" s="344"/>
      <c r="J61" s="344"/>
      <c r="K61" s="344"/>
      <c r="L61" s="344"/>
      <c r="M61" s="344"/>
      <c r="N61" s="344"/>
      <c r="O61" s="344"/>
      <c r="P61" s="768"/>
      <c r="Q61" s="344"/>
      <c r="R61" s="344"/>
      <c r="S61" s="344"/>
      <c r="T61" s="344"/>
      <c r="U61" s="344"/>
      <c r="V61" s="344"/>
      <c r="W61" s="344"/>
      <c r="X61" s="344"/>
      <c r="AA61" s="344"/>
      <c r="AB61" s="344"/>
      <c r="AC61" s="408"/>
    </row>
    <row r="62" spans="1:40" x14ac:dyDescent="0.2">
      <c r="A62" s="344"/>
      <c r="C62" s="344"/>
      <c r="D62" s="344"/>
      <c r="E62" s="344"/>
      <c r="F62" s="344"/>
      <c r="G62" s="344"/>
      <c r="H62" s="344"/>
      <c r="I62" s="344"/>
      <c r="J62" s="344"/>
      <c r="K62" s="344"/>
      <c r="L62" s="344"/>
      <c r="M62" s="344"/>
      <c r="N62" s="344"/>
      <c r="O62" s="344"/>
      <c r="P62" s="768"/>
      <c r="Q62" s="344"/>
      <c r="R62" s="344"/>
      <c r="S62" s="344"/>
      <c r="T62" s="344"/>
      <c r="U62" s="344"/>
      <c r="V62" s="344"/>
      <c r="W62" s="344"/>
      <c r="X62" s="344"/>
      <c r="AA62" s="344"/>
      <c r="AB62" s="344"/>
    </row>
    <row r="63" spans="1:40" x14ac:dyDescent="0.2">
      <c r="A63" s="344"/>
      <c r="C63" s="344"/>
      <c r="D63" s="344"/>
      <c r="E63" s="344"/>
      <c r="F63" s="344"/>
      <c r="G63" s="344"/>
      <c r="H63" s="344"/>
      <c r="I63" s="344"/>
      <c r="J63" s="344"/>
      <c r="K63" s="344"/>
      <c r="L63" s="344"/>
      <c r="M63" s="344"/>
      <c r="N63" s="344"/>
      <c r="O63" s="344"/>
      <c r="P63" s="768"/>
      <c r="Q63" s="344"/>
      <c r="R63" s="344"/>
      <c r="S63" s="344"/>
      <c r="T63" s="344"/>
      <c r="U63" s="344"/>
      <c r="V63" s="344"/>
      <c r="W63" s="344"/>
      <c r="X63" s="344"/>
      <c r="AA63" s="344"/>
      <c r="AB63" s="344"/>
      <c r="AC63" s="344"/>
    </row>
    <row r="64" spans="1:40" x14ac:dyDescent="0.2">
      <c r="A64" s="344"/>
      <c r="C64" s="344"/>
      <c r="D64" s="344"/>
      <c r="E64" s="344"/>
      <c r="F64" s="344"/>
      <c r="G64" s="344"/>
      <c r="H64" s="344"/>
      <c r="I64" s="344"/>
      <c r="J64" s="344"/>
      <c r="K64" s="344"/>
      <c r="L64" s="344"/>
      <c r="M64" s="344"/>
      <c r="N64" s="344"/>
      <c r="O64" s="344"/>
      <c r="P64" s="768"/>
      <c r="Q64" s="344"/>
      <c r="R64" s="344"/>
      <c r="S64" s="344"/>
      <c r="T64" s="344"/>
      <c r="U64" s="344"/>
      <c r="V64" s="344"/>
      <c r="W64" s="344"/>
      <c r="X64" s="344"/>
      <c r="AA64" s="344"/>
      <c r="AB64" s="344"/>
    </row>
    <row r="65" spans="1:34" x14ac:dyDescent="0.2">
      <c r="A65" s="344"/>
      <c r="C65" s="344"/>
      <c r="D65" s="344"/>
      <c r="E65" s="344"/>
      <c r="F65" s="344"/>
      <c r="G65" s="344"/>
      <c r="H65" s="344"/>
      <c r="I65" s="344"/>
      <c r="J65" s="344"/>
      <c r="K65" s="344"/>
      <c r="L65" s="344"/>
      <c r="M65" s="344"/>
      <c r="N65" s="344"/>
      <c r="O65" s="344"/>
      <c r="P65" s="768"/>
      <c r="Q65" s="344"/>
      <c r="R65" s="344"/>
      <c r="S65" s="344"/>
      <c r="T65" s="344"/>
      <c r="U65" s="344"/>
      <c r="V65" s="344"/>
      <c r="W65" s="344"/>
      <c r="X65" s="344"/>
      <c r="AA65" s="344"/>
      <c r="AB65" s="344"/>
      <c r="AC65" s="132"/>
      <c r="AD65" s="132"/>
      <c r="AE65" s="132"/>
      <c r="AF65" s="132"/>
      <c r="AG65" s="132"/>
      <c r="AH65" s="132"/>
    </row>
    <row r="66" spans="1:34" x14ac:dyDescent="0.2">
      <c r="A66" s="344"/>
      <c r="C66" s="344"/>
      <c r="D66" s="344"/>
      <c r="E66" s="344"/>
      <c r="F66" s="344"/>
      <c r="G66" s="344"/>
      <c r="H66" s="344"/>
      <c r="I66" s="344"/>
      <c r="J66" s="344"/>
      <c r="K66" s="344"/>
      <c r="L66" s="344"/>
      <c r="M66" s="344"/>
      <c r="N66" s="344"/>
      <c r="O66" s="344"/>
      <c r="P66" s="768"/>
      <c r="Q66" s="344"/>
      <c r="R66" s="344"/>
      <c r="S66" s="344"/>
      <c r="T66" s="344"/>
      <c r="U66" s="344"/>
      <c r="V66" s="344"/>
      <c r="W66" s="344"/>
      <c r="X66" s="344"/>
      <c r="AA66" s="344"/>
      <c r="AB66" s="344"/>
      <c r="AE66" s="409"/>
      <c r="AF66" s="409"/>
    </row>
    <row r="67" spans="1:34" x14ac:dyDescent="0.2">
      <c r="A67" s="344"/>
      <c r="C67" s="344"/>
      <c r="D67" s="344"/>
      <c r="E67" s="344"/>
      <c r="F67" s="344"/>
      <c r="G67" s="344"/>
      <c r="H67" s="344"/>
      <c r="I67" s="344"/>
      <c r="J67" s="344"/>
      <c r="K67" s="344"/>
      <c r="L67" s="344"/>
      <c r="M67" s="344"/>
      <c r="N67" s="344"/>
      <c r="O67" s="344"/>
      <c r="P67" s="768"/>
      <c r="Q67" s="344"/>
      <c r="R67" s="344"/>
      <c r="S67" s="344"/>
      <c r="T67" s="344"/>
      <c r="U67" s="344"/>
      <c r="V67" s="344"/>
      <c r="W67" s="344"/>
      <c r="X67" s="344"/>
      <c r="AA67" s="344"/>
      <c r="AB67" s="344"/>
      <c r="AE67" s="409"/>
      <c r="AF67" s="409"/>
    </row>
    <row r="68" spans="1:34" x14ac:dyDescent="0.2">
      <c r="A68" s="344"/>
      <c r="C68" s="344"/>
      <c r="D68" s="344"/>
      <c r="E68" s="344"/>
      <c r="F68" s="344"/>
      <c r="G68" s="344"/>
      <c r="H68" s="344"/>
      <c r="I68" s="344"/>
      <c r="J68" s="344"/>
      <c r="K68" s="344"/>
      <c r="L68" s="344"/>
      <c r="M68" s="344"/>
      <c r="N68" s="344"/>
      <c r="O68" s="344"/>
      <c r="P68" s="768"/>
      <c r="Q68" s="344"/>
      <c r="R68" s="344"/>
      <c r="S68" s="344"/>
      <c r="T68" s="344"/>
      <c r="U68" s="344"/>
      <c r="V68" s="344"/>
      <c r="W68" s="344"/>
      <c r="X68" s="344"/>
      <c r="AA68" s="344"/>
      <c r="AB68" s="344"/>
      <c r="AE68" s="409"/>
      <c r="AF68" s="409"/>
    </row>
    <row r="69" spans="1:34" x14ac:dyDescent="0.2">
      <c r="A69" s="344"/>
      <c r="C69" s="344"/>
      <c r="D69" s="344"/>
      <c r="E69" s="344"/>
      <c r="F69" s="344"/>
      <c r="G69" s="344"/>
      <c r="H69" s="344"/>
      <c r="I69" s="344"/>
      <c r="J69" s="344"/>
      <c r="K69" s="344"/>
      <c r="L69" s="344"/>
      <c r="M69" s="344"/>
      <c r="N69" s="344"/>
      <c r="O69" s="344"/>
      <c r="P69" s="768"/>
      <c r="Q69" s="344"/>
      <c r="R69" s="344"/>
      <c r="S69" s="344"/>
      <c r="T69" s="344"/>
      <c r="U69" s="344"/>
      <c r="V69" s="344"/>
      <c r="W69" s="344"/>
      <c r="X69" s="344"/>
      <c r="AA69" s="344"/>
      <c r="AB69" s="344"/>
      <c r="AE69" s="409"/>
      <c r="AF69" s="409"/>
    </row>
    <row r="70" spans="1:34" x14ac:dyDescent="0.2">
      <c r="A70" s="344"/>
      <c r="C70" s="344"/>
      <c r="D70" s="344"/>
      <c r="E70" s="344"/>
      <c r="F70" s="344"/>
      <c r="G70" s="344"/>
      <c r="H70" s="344"/>
      <c r="I70" s="344"/>
      <c r="J70" s="344"/>
      <c r="K70" s="344"/>
      <c r="L70" s="344"/>
      <c r="M70" s="344"/>
      <c r="N70" s="344"/>
      <c r="O70" s="344"/>
      <c r="P70" s="768"/>
      <c r="Q70" s="344"/>
      <c r="R70" s="344"/>
      <c r="S70" s="344"/>
      <c r="T70" s="344"/>
      <c r="U70" s="344"/>
      <c r="V70" s="344"/>
      <c r="W70" s="344"/>
      <c r="X70" s="344"/>
      <c r="AA70" s="344"/>
      <c r="AB70" s="344"/>
      <c r="AE70" s="409"/>
      <c r="AF70" s="409"/>
    </row>
    <row r="71" spans="1:34" x14ac:dyDescent="0.2">
      <c r="A71" s="344"/>
      <c r="C71" s="344"/>
      <c r="D71" s="344"/>
      <c r="E71" s="344"/>
      <c r="F71" s="344"/>
      <c r="G71" s="344"/>
      <c r="H71" s="344"/>
      <c r="I71" s="344"/>
      <c r="J71" s="344"/>
      <c r="K71" s="344"/>
      <c r="L71" s="344"/>
      <c r="M71" s="344"/>
      <c r="N71" s="344"/>
      <c r="O71" s="344"/>
      <c r="P71" s="768"/>
      <c r="Q71" s="344"/>
      <c r="R71" s="344"/>
      <c r="S71" s="344"/>
      <c r="T71" s="344"/>
      <c r="U71" s="344"/>
      <c r="V71" s="344"/>
      <c r="W71" s="344"/>
      <c r="X71" s="344"/>
      <c r="AA71" s="344"/>
      <c r="AB71" s="344"/>
      <c r="AE71" s="409"/>
      <c r="AF71" s="409"/>
    </row>
    <row r="72" spans="1:34" x14ac:dyDescent="0.2">
      <c r="A72" s="344"/>
      <c r="B72" s="344"/>
      <c r="C72" s="344"/>
      <c r="D72" s="344"/>
      <c r="E72" s="344"/>
      <c r="F72" s="344"/>
      <c r="G72" s="344"/>
      <c r="H72" s="344"/>
      <c r="I72" s="344"/>
      <c r="J72" s="344"/>
      <c r="K72" s="344"/>
      <c r="L72" s="344"/>
      <c r="M72" s="344"/>
      <c r="N72" s="344"/>
      <c r="O72" s="344"/>
      <c r="P72" s="768"/>
      <c r="Q72" s="344"/>
      <c r="R72" s="344"/>
      <c r="S72" s="344"/>
      <c r="T72" s="344"/>
      <c r="U72" s="344"/>
      <c r="V72" s="344"/>
      <c r="W72" s="344"/>
      <c r="X72" s="344"/>
      <c r="AA72" s="344"/>
      <c r="AB72" s="344"/>
      <c r="AE72" s="409"/>
      <c r="AF72" s="409"/>
    </row>
    <row r="73" spans="1:34" x14ac:dyDescent="0.2">
      <c r="A73" s="344"/>
      <c r="B73" s="344"/>
      <c r="C73" s="344"/>
      <c r="D73" s="344"/>
      <c r="E73" s="344"/>
      <c r="F73" s="344"/>
      <c r="G73" s="344"/>
      <c r="H73" s="344"/>
      <c r="I73" s="344"/>
      <c r="J73" s="344"/>
      <c r="K73" s="344"/>
      <c r="L73" s="344"/>
      <c r="M73" s="344"/>
      <c r="N73" s="344"/>
      <c r="O73" s="344"/>
      <c r="P73" s="768"/>
      <c r="Q73" s="344"/>
      <c r="R73" s="344"/>
      <c r="S73" s="344"/>
      <c r="T73" s="344"/>
      <c r="U73" s="344"/>
      <c r="V73" s="344"/>
      <c r="W73" s="344"/>
      <c r="X73" s="344"/>
      <c r="AA73" s="344"/>
      <c r="AB73" s="344"/>
      <c r="AE73" s="409"/>
      <c r="AF73" s="409"/>
    </row>
    <row r="74" spans="1:34" x14ac:dyDescent="0.2">
      <c r="A74" s="344"/>
      <c r="B74" s="344"/>
      <c r="C74" s="344"/>
      <c r="D74" s="344"/>
      <c r="E74" s="344"/>
      <c r="F74" s="344"/>
      <c r="G74" s="344"/>
      <c r="H74" s="344"/>
      <c r="I74" s="344"/>
      <c r="J74" s="344"/>
      <c r="K74" s="344"/>
      <c r="L74" s="344"/>
      <c r="M74" s="344"/>
      <c r="N74" s="344"/>
      <c r="O74" s="344"/>
      <c r="P74" s="768"/>
      <c r="Q74" s="344"/>
      <c r="R74" s="344"/>
      <c r="S74" s="344"/>
      <c r="T74" s="344"/>
      <c r="U74" s="344"/>
      <c r="V74" s="344"/>
      <c r="W74" s="344"/>
      <c r="X74" s="344"/>
      <c r="AA74" s="344"/>
      <c r="AB74" s="344"/>
      <c r="AE74" s="409"/>
      <c r="AF74" s="409"/>
    </row>
    <row r="75" spans="1:34" x14ac:dyDescent="0.2">
      <c r="A75" s="344"/>
      <c r="B75" s="344"/>
      <c r="C75" s="344"/>
      <c r="D75" s="344"/>
      <c r="E75" s="344"/>
      <c r="F75" s="344"/>
      <c r="G75" s="344"/>
      <c r="H75" s="344"/>
      <c r="I75" s="344"/>
      <c r="J75" s="344"/>
      <c r="K75" s="344"/>
      <c r="L75" s="344"/>
      <c r="M75" s="344"/>
      <c r="N75" s="344"/>
      <c r="O75" s="344"/>
      <c r="P75" s="768"/>
      <c r="Q75" s="344"/>
      <c r="R75" s="344"/>
      <c r="S75" s="344"/>
      <c r="T75" s="344"/>
      <c r="U75" s="344"/>
      <c r="V75" s="344"/>
      <c r="W75" s="344"/>
      <c r="X75" s="344"/>
      <c r="AA75" s="344"/>
      <c r="AB75" s="344"/>
      <c r="AE75" s="409"/>
      <c r="AF75" s="409"/>
    </row>
    <row r="76" spans="1:34" x14ac:dyDescent="0.2">
      <c r="A76" s="344"/>
      <c r="B76" s="344"/>
      <c r="C76" s="344"/>
      <c r="D76" s="344"/>
      <c r="E76" s="344"/>
      <c r="F76" s="344"/>
      <c r="G76" s="344"/>
      <c r="H76" s="344"/>
      <c r="I76" s="344"/>
      <c r="J76" s="344"/>
      <c r="K76" s="344"/>
      <c r="L76" s="344"/>
      <c r="M76" s="344"/>
      <c r="N76" s="344"/>
      <c r="O76" s="344"/>
      <c r="P76" s="768"/>
      <c r="Q76" s="344"/>
      <c r="R76" s="344"/>
      <c r="S76" s="344"/>
      <c r="T76" s="344"/>
      <c r="U76" s="344"/>
      <c r="V76" s="344"/>
      <c r="W76" s="344"/>
      <c r="X76" s="344"/>
      <c r="AA76" s="344"/>
      <c r="AB76" s="344"/>
      <c r="AE76" s="409"/>
      <c r="AF76" s="409"/>
    </row>
    <row r="77" spans="1:34" x14ac:dyDescent="0.2">
      <c r="A77" s="344"/>
      <c r="B77" s="344"/>
      <c r="C77" s="344"/>
      <c r="D77" s="344"/>
      <c r="E77" s="344"/>
      <c r="F77" s="344"/>
      <c r="G77" s="344"/>
      <c r="H77" s="344"/>
      <c r="I77" s="344"/>
      <c r="J77" s="344"/>
      <c r="K77" s="344"/>
      <c r="L77" s="344"/>
      <c r="M77" s="344"/>
      <c r="N77" s="344"/>
      <c r="O77" s="344"/>
      <c r="P77" s="768"/>
      <c r="Q77" s="344"/>
      <c r="R77" s="344"/>
      <c r="S77" s="344"/>
      <c r="T77" s="344"/>
      <c r="U77" s="344"/>
      <c r="V77" s="344"/>
      <c r="W77" s="344"/>
      <c r="X77" s="344"/>
      <c r="AA77" s="344"/>
      <c r="AB77" s="344"/>
      <c r="AE77" s="409"/>
      <c r="AF77" s="409"/>
    </row>
    <row r="78" spans="1:34" x14ac:dyDescent="0.2">
      <c r="A78" s="344"/>
      <c r="B78" s="344"/>
      <c r="C78" s="344"/>
      <c r="D78" s="344"/>
      <c r="E78" s="344"/>
      <c r="F78" s="344"/>
      <c r="G78" s="344"/>
      <c r="H78" s="344"/>
      <c r="I78" s="344"/>
      <c r="J78" s="344"/>
      <c r="K78" s="344"/>
      <c r="L78" s="344"/>
      <c r="M78" s="344"/>
      <c r="N78" s="344"/>
      <c r="O78" s="344"/>
      <c r="P78" s="768"/>
      <c r="Q78" s="344"/>
      <c r="R78" s="344"/>
      <c r="S78" s="344"/>
      <c r="T78" s="344"/>
      <c r="U78" s="344"/>
      <c r="V78" s="344"/>
      <c r="W78" s="344"/>
      <c r="X78" s="344"/>
      <c r="AA78" s="344"/>
      <c r="AB78" s="344"/>
      <c r="AE78" s="409"/>
      <c r="AF78" s="409"/>
    </row>
    <row r="79" spans="1:34" x14ac:dyDescent="0.2">
      <c r="A79" s="344"/>
      <c r="B79" s="344"/>
      <c r="C79" s="344"/>
      <c r="D79" s="344"/>
      <c r="E79" s="344"/>
      <c r="F79" s="344"/>
      <c r="G79" s="344"/>
      <c r="H79" s="344"/>
      <c r="I79" s="344"/>
      <c r="J79" s="344"/>
      <c r="K79" s="344"/>
      <c r="L79" s="344"/>
      <c r="M79" s="344"/>
      <c r="N79" s="344"/>
      <c r="O79" s="344"/>
      <c r="P79" s="768"/>
      <c r="Q79" s="344"/>
      <c r="R79" s="344"/>
      <c r="S79" s="344"/>
      <c r="T79" s="344"/>
      <c r="U79" s="344"/>
      <c r="V79" s="344"/>
      <c r="W79" s="344"/>
      <c r="X79" s="344"/>
      <c r="AA79" s="344"/>
      <c r="AB79" s="344"/>
      <c r="AE79" s="409"/>
      <c r="AF79" s="409"/>
    </row>
    <row r="80" spans="1:34" x14ac:dyDescent="0.2">
      <c r="A80" s="344"/>
      <c r="B80" s="344"/>
      <c r="C80" s="344"/>
      <c r="D80" s="344"/>
      <c r="E80" s="344"/>
      <c r="F80" s="344"/>
      <c r="G80" s="344"/>
      <c r="H80" s="344"/>
      <c r="I80" s="344"/>
      <c r="J80" s="344"/>
      <c r="K80" s="344"/>
      <c r="L80" s="344"/>
      <c r="M80" s="344"/>
      <c r="N80" s="344"/>
      <c r="O80" s="344"/>
      <c r="P80" s="768"/>
      <c r="Q80" s="344"/>
      <c r="R80" s="344"/>
      <c r="S80" s="344"/>
      <c r="T80" s="344"/>
      <c r="U80" s="344"/>
      <c r="V80" s="344"/>
      <c r="W80" s="344"/>
      <c r="X80" s="344"/>
      <c r="AA80" s="344"/>
      <c r="AB80" s="344"/>
      <c r="AE80" s="409"/>
      <c r="AF80" s="409"/>
    </row>
    <row r="81" spans="1:32" x14ac:dyDescent="0.2">
      <c r="A81" s="344"/>
      <c r="B81" s="344"/>
      <c r="C81" s="344"/>
      <c r="D81" s="344"/>
      <c r="E81" s="344"/>
      <c r="F81" s="344"/>
      <c r="G81" s="344"/>
      <c r="H81" s="344"/>
      <c r="I81" s="344"/>
      <c r="J81" s="344"/>
      <c r="K81" s="344"/>
      <c r="L81" s="344"/>
      <c r="M81" s="344"/>
      <c r="N81" s="344"/>
      <c r="O81" s="344"/>
      <c r="P81" s="768"/>
      <c r="Q81" s="344"/>
      <c r="R81" s="344"/>
      <c r="S81" s="344"/>
      <c r="T81" s="344"/>
      <c r="U81" s="344"/>
      <c r="V81" s="344"/>
      <c r="W81" s="344"/>
      <c r="X81" s="344"/>
      <c r="AA81" s="344"/>
      <c r="AB81" s="344"/>
      <c r="AE81" s="409"/>
      <c r="AF81" s="409"/>
    </row>
    <row r="82" spans="1:32" x14ac:dyDescent="0.2">
      <c r="A82" s="344"/>
      <c r="B82" s="344"/>
      <c r="C82" s="344"/>
      <c r="D82" s="344"/>
      <c r="E82" s="344"/>
      <c r="F82" s="344"/>
      <c r="G82" s="344"/>
      <c r="H82" s="344"/>
      <c r="I82" s="344"/>
      <c r="J82" s="344"/>
      <c r="K82" s="344"/>
      <c r="L82" s="344"/>
      <c r="M82" s="344"/>
      <c r="N82" s="344"/>
      <c r="O82" s="344"/>
      <c r="P82" s="768"/>
      <c r="Q82" s="344"/>
      <c r="R82" s="344"/>
      <c r="S82" s="344"/>
      <c r="T82" s="344"/>
      <c r="U82" s="344"/>
      <c r="V82" s="344"/>
      <c r="W82" s="344"/>
      <c r="X82" s="344"/>
      <c r="AA82" s="344"/>
      <c r="AB82" s="344"/>
      <c r="AE82" s="409"/>
      <c r="AF82" s="409"/>
    </row>
    <row r="83" spans="1:32" x14ac:dyDescent="0.2">
      <c r="A83" s="344"/>
      <c r="B83" s="344"/>
      <c r="C83" s="344"/>
      <c r="D83" s="344"/>
      <c r="E83" s="344"/>
      <c r="F83" s="344"/>
      <c r="G83" s="344"/>
      <c r="H83" s="344"/>
      <c r="I83" s="344"/>
      <c r="J83" s="344"/>
      <c r="K83" s="344"/>
      <c r="L83" s="344"/>
      <c r="M83" s="344"/>
      <c r="N83" s="344"/>
      <c r="O83" s="344"/>
      <c r="P83" s="768"/>
      <c r="Q83" s="344"/>
      <c r="R83" s="344"/>
      <c r="S83" s="344"/>
      <c r="T83" s="344"/>
      <c r="U83" s="344"/>
      <c r="V83" s="344"/>
      <c r="W83" s="344"/>
      <c r="X83" s="344"/>
      <c r="AA83" s="344"/>
      <c r="AB83" s="344"/>
      <c r="AC83" s="132"/>
    </row>
    <row r="84" spans="1:32" x14ac:dyDescent="0.2">
      <c r="A84" s="344"/>
      <c r="B84" s="344"/>
      <c r="C84" s="344"/>
      <c r="D84" s="344"/>
      <c r="E84" s="344"/>
      <c r="F84" s="344"/>
      <c r="G84" s="344"/>
      <c r="H84" s="344"/>
      <c r="I84" s="344"/>
      <c r="J84" s="344"/>
      <c r="K84" s="344"/>
      <c r="L84" s="344"/>
      <c r="M84" s="344"/>
      <c r="N84" s="344"/>
      <c r="O84" s="344"/>
      <c r="P84" s="768"/>
      <c r="Q84" s="344"/>
      <c r="R84" s="344"/>
      <c r="S84" s="344"/>
      <c r="T84" s="344"/>
      <c r="U84" s="344"/>
      <c r="V84" s="344"/>
      <c r="W84" s="344"/>
      <c r="X84" s="344"/>
      <c r="AA84" s="344"/>
      <c r="AB84" s="344"/>
    </row>
    <row r="85" spans="1:32" x14ac:dyDescent="0.2">
      <c r="A85" s="344"/>
      <c r="B85" s="344"/>
      <c r="C85" s="344"/>
      <c r="D85" s="344"/>
      <c r="E85" s="344"/>
      <c r="F85" s="344"/>
      <c r="G85" s="344"/>
      <c r="H85" s="344"/>
      <c r="I85" s="344"/>
      <c r="J85" s="344"/>
      <c r="K85" s="344"/>
      <c r="L85" s="344"/>
      <c r="M85" s="344"/>
      <c r="N85" s="344"/>
      <c r="O85" s="344"/>
      <c r="P85" s="768"/>
      <c r="Q85" s="344"/>
      <c r="R85" s="344"/>
      <c r="S85" s="344"/>
      <c r="T85" s="344"/>
      <c r="U85" s="344"/>
      <c r="V85" s="344"/>
      <c r="W85" s="344"/>
      <c r="X85" s="344"/>
      <c r="AA85" s="344"/>
      <c r="AB85" s="344"/>
    </row>
    <row r="86" spans="1:32" x14ac:dyDescent="0.2">
      <c r="A86" s="344"/>
      <c r="B86" s="344"/>
      <c r="C86" s="344"/>
      <c r="D86" s="344"/>
      <c r="E86" s="344"/>
      <c r="F86" s="344"/>
      <c r="G86" s="344"/>
      <c r="H86" s="344"/>
      <c r="I86" s="344"/>
      <c r="J86" s="344"/>
      <c r="K86" s="344"/>
      <c r="L86" s="344"/>
      <c r="M86" s="344"/>
      <c r="N86" s="344"/>
      <c r="O86" s="344"/>
      <c r="P86" s="768"/>
      <c r="Q86" s="344"/>
      <c r="R86" s="344"/>
      <c r="S86" s="344"/>
      <c r="T86" s="344"/>
      <c r="U86" s="344"/>
      <c r="V86" s="344"/>
      <c r="W86" s="344"/>
      <c r="X86" s="344"/>
      <c r="AA86" s="344"/>
      <c r="AB86" s="344"/>
    </row>
    <row r="87" spans="1:32" x14ac:dyDescent="0.2">
      <c r="A87" s="344"/>
      <c r="B87" s="344"/>
      <c r="C87" s="344"/>
      <c r="D87" s="344"/>
      <c r="E87" s="344"/>
      <c r="F87" s="344"/>
      <c r="G87" s="344"/>
      <c r="H87" s="344"/>
      <c r="I87" s="344"/>
      <c r="J87" s="344"/>
      <c r="K87" s="344"/>
      <c r="L87" s="344"/>
      <c r="M87" s="344"/>
      <c r="N87" s="344"/>
      <c r="O87" s="344"/>
      <c r="P87" s="768"/>
      <c r="Q87" s="344"/>
      <c r="R87" s="344"/>
      <c r="S87" s="344"/>
      <c r="T87" s="344"/>
      <c r="U87" s="344"/>
      <c r="V87" s="344"/>
      <c r="W87" s="344"/>
      <c r="X87" s="344"/>
      <c r="AA87" s="344"/>
      <c r="AB87" s="344"/>
    </row>
    <row r="88" spans="1:32" x14ac:dyDescent="0.2">
      <c r="C88" s="344"/>
      <c r="D88" s="344"/>
      <c r="E88" s="344"/>
      <c r="F88" s="344"/>
      <c r="G88" s="344"/>
      <c r="H88" s="344"/>
      <c r="I88" s="344"/>
      <c r="J88" s="344"/>
      <c r="K88" s="344"/>
      <c r="L88" s="344"/>
      <c r="M88" s="344"/>
      <c r="N88" s="344"/>
    </row>
    <row r="89" spans="1:32" x14ac:dyDescent="0.2">
      <c r="C89" s="344"/>
      <c r="D89" s="344"/>
      <c r="E89" s="344"/>
      <c r="F89" s="344"/>
      <c r="G89" s="344"/>
      <c r="H89" s="344"/>
      <c r="I89" s="344"/>
      <c r="J89" s="344"/>
      <c r="K89" s="344"/>
      <c r="L89" s="344"/>
      <c r="M89" s="344"/>
      <c r="N89" s="344"/>
    </row>
    <row r="90" spans="1:32" x14ac:dyDescent="0.2">
      <c r="C90" s="344"/>
      <c r="D90" s="344"/>
      <c r="E90" s="344"/>
      <c r="F90" s="344"/>
      <c r="G90" s="344"/>
      <c r="H90" s="344"/>
      <c r="I90" s="344"/>
      <c r="J90" s="344"/>
      <c r="K90" s="344"/>
      <c r="L90" s="344"/>
      <c r="M90" s="344"/>
      <c r="N90" s="344"/>
    </row>
    <row r="91" spans="1:32" x14ac:dyDescent="0.2">
      <c r="C91" s="344"/>
      <c r="D91" s="344"/>
      <c r="E91" s="344"/>
      <c r="F91" s="344"/>
      <c r="G91" s="344"/>
      <c r="H91" s="344"/>
      <c r="I91" s="344"/>
      <c r="J91" s="344"/>
      <c r="K91" s="344"/>
      <c r="L91" s="344"/>
      <c r="M91" s="344"/>
      <c r="N91" s="344"/>
    </row>
    <row r="92" spans="1:32" x14ac:dyDescent="0.2">
      <c r="C92" s="344"/>
      <c r="D92" s="344"/>
      <c r="E92" s="344"/>
      <c r="F92" s="344"/>
      <c r="G92" s="344"/>
      <c r="H92" s="344"/>
      <c r="I92" s="344"/>
      <c r="J92" s="344"/>
      <c r="K92" s="344"/>
      <c r="L92" s="344"/>
      <c r="M92" s="344"/>
      <c r="N92" s="344"/>
    </row>
    <row r="93" spans="1:32" x14ac:dyDescent="0.2">
      <c r="C93" s="344"/>
      <c r="D93" s="344"/>
      <c r="E93" s="344"/>
      <c r="F93" s="344"/>
      <c r="G93" s="344"/>
      <c r="H93" s="344"/>
      <c r="I93" s="344"/>
      <c r="J93" s="344"/>
      <c r="K93" s="344"/>
      <c r="L93" s="344"/>
      <c r="M93" s="344"/>
      <c r="N93" s="344"/>
    </row>
    <row r="94" spans="1:32" x14ac:dyDescent="0.2">
      <c r="C94" s="344"/>
      <c r="D94" s="344"/>
      <c r="E94" s="344"/>
      <c r="F94" s="344"/>
      <c r="G94" s="344"/>
      <c r="H94" s="344"/>
      <c r="I94" s="344"/>
      <c r="J94" s="344"/>
      <c r="K94" s="344"/>
      <c r="L94" s="344"/>
      <c r="M94" s="344"/>
      <c r="N94" s="344"/>
    </row>
    <row r="95" spans="1:32" x14ac:dyDescent="0.2">
      <c r="C95" s="344"/>
      <c r="D95" s="344"/>
      <c r="E95" s="344"/>
      <c r="F95" s="344"/>
      <c r="G95" s="344"/>
      <c r="H95" s="344"/>
      <c r="I95" s="344"/>
      <c r="J95" s="344"/>
      <c r="K95" s="344"/>
      <c r="L95" s="344"/>
      <c r="M95" s="344"/>
      <c r="N95" s="344"/>
    </row>
    <row r="96" spans="1:32" x14ac:dyDescent="0.2">
      <c r="C96" s="344"/>
      <c r="D96" s="344"/>
      <c r="E96" s="344"/>
      <c r="F96" s="344"/>
      <c r="G96" s="344"/>
      <c r="H96" s="344"/>
      <c r="I96" s="344"/>
      <c r="J96" s="344"/>
      <c r="K96" s="344"/>
      <c r="L96" s="344"/>
      <c r="M96" s="344"/>
      <c r="N96" s="344"/>
    </row>
    <row r="97" spans="3:14" x14ac:dyDescent="0.2">
      <c r="C97" s="344"/>
      <c r="D97" s="344"/>
      <c r="E97" s="344"/>
      <c r="F97" s="344"/>
      <c r="G97" s="344"/>
      <c r="H97" s="344"/>
      <c r="I97" s="344"/>
      <c r="J97" s="344"/>
      <c r="K97" s="344"/>
      <c r="L97" s="344"/>
      <c r="M97" s="344"/>
      <c r="N97" s="344"/>
    </row>
    <row r="98" spans="3:14" x14ac:dyDescent="0.2">
      <c r="C98" s="344"/>
      <c r="D98" s="344"/>
      <c r="E98" s="344"/>
      <c r="F98" s="344"/>
      <c r="G98" s="344"/>
      <c r="H98" s="344"/>
      <c r="I98" s="344"/>
      <c r="J98" s="344"/>
      <c r="K98" s="344"/>
      <c r="L98" s="344"/>
      <c r="M98" s="344"/>
      <c r="N98" s="344"/>
    </row>
    <row r="99" spans="3:14" x14ac:dyDescent="0.2">
      <c r="C99" s="344"/>
      <c r="D99" s="344"/>
      <c r="E99" s="344"/>
      <c r="F99" s="344"/>
      <c r="G99" s="344"/>
      <c r="H99" s="344"/>
      <c r="I99" s="344"/>
      <c r="J99" s="344"/>
      <c r="K99" s="344"/>
      <c r="L99" s="344"/>
      <c r="M99" s="344"/>
      <c r="N99" s="344"/>
    </row>
  </sheetData>
  <mergeCells count="77">
    <mergeCell ref="H44:J44"/>
    <mergeCell ref="H45:J45"/>
    <mergeCell ref="H46:J46"/>
    <mergeCell ref="H47:J47"/>
    <mergeCell ref="H48:J48"/>
    <mergeCell ref="A42:B42"/>
    <mergeCell ref="C42:E42"/>
    <mergeCell ref="H42:J42"/>
    <mergeCell ref="A43:B43"/>
    <mergeCell ref="C43:E43"/>
    <mergeCell ref="H43:J43"/>
    <mergeCell ref="A40:B40"/>
    <mergeCell ref="C40:E40"/>
    <mergeCell ref="H40:J40"/>
    <mergeCell ref="A41:B41"/>
    <mergeCell ref="C41:E41"/>
    <mergeCell ref="H41:J41"/>
    <mergeCell ref="A38:B38"/>
    <mergeCell ref="C38:E38"/>
    <mergeCell ref="H38:J38"/>
    <mergeCell ref="A39:B39"/>
    <mergeCell ref="C39:E39"/>
    <mergeCell ref="H39:J39"/>
    <mergeCell ref="A36:B36"/>
    <mergeCell ref="C36:E36"/>
    <mergeCell ref="H36:J36"/>
    <mergeCell ref="A37:B37"/>
    <mergeCell ref="C37:E37"/>
    <mergeCell ref="H37:J37"/>
    <mergeCell ref="H33:J33"/>
    <mergeCell ref="A34:B34"/>
    <mergeCell ref="C34:E34"/>
    <mergeCell ref="H34:J34"/>
    <mergeCell ref="A35:B35"/>
    <mergeCell ref="C35:E35"/>
    <mergeCell ref="H35:J35"/>
    <mergeCell ref="H28:J28"/>
    <mergeCell ref="A32:B32"/>
    <mergeCell ref="C32:E32"/>
    <mergeCell ref="H32:J32"/>
    <mergeCell ref="A30:B30"/>
    <mergeCell ref="C30:E30"/>
    <mergeCell ref="H30:J30"/>
    <mergeCell ref="A31:B31"/>
    <mergeCell ref="C31:E31"/>
    <mergeCell ref="H31:J31"/>
    <mergeCell ref="A24:B24"/>
    <mergeCell ref="C24:E24"/>
    <mergeCell ref="H24:J24"/>
    <mergeCell ref="A29:B29"/>
    <mergeCell ref="C29:E29"/>
    <mergeCell ref="H29:J29"/>
    <mergeCell ref="A25:B25"/>
    <mergeCell ref="C25:E25"/>
    <mergeCell ref="H25:J25"/>
    <mergeCell ref="A26:B26"/>
    <mergeCell ref="C26:E26"/>
    <mergeCell ref="H26:J26"/>
    <mergeCell ref="A27:B27"/>
    <mergeCell ref="C27:E27"/>
    <mergeCell ref="A28:B28"/>
    <mergeCell ref="C28:E28"/>
    <mergeCell ref="A22:B22"/>
    <mergeCell ref="C22:E22"/>
    <mergeCell ref="A23:B23"/>
    <mergeCell ref="C23:E23"/>
    <mergeCell ref="H23:J23"/>
    <mergeCell ref="H22:J22"/>
    <mergeCell ref="D13:F13"/>
    <mergeCell ref="D15:F15"/>
    <mergeCell ref="D17:F17"/>
    <mergeCell ref="D19:F19"/>
    <mergeCell ref="F1:I1"/>
    <mergeCell ref="D3:F3"/>
    <mergeCell ref="D5:F5"/>
    <mergeCell ref="D7:F7"/>
    <mergeCell ref="D9:F9"/>
  </mergeCells>
  <conditionalFormatting sqref="J1 N26:N27 N55 N4:N6 P3 P2:Q2 M2">
    <cfRule type="cellIs" dxfId="1376" priority="64" stopIfTrue="1" operator="equal">
      <formula>0</formula>
    </cfRule>
  </conditionalFormatting>
  <conditionalFormatting sqref="A1:XFD4 A10:XFD12 A9:C9 H9:IV9 A13:C13 H13:IV13 A34:XFD65523 A33:D33 K33:IV33 A8:XFD8 A5:I7 K5:IV7 A25:A31 C25:C31 A14:XFD22 C23:XFD23 A32:XFD32 A24:XFD24 F25:IV31">
    <cfRule type="cellIs" dxfId="1375" priority="62" stopIfTrue="1" operator="equal">
      <formula>0</formula>
    </cfRule>
  </conditionalFormatting>
  <conditionalFormatting sqref="E45">
    <cfRule type="cellIs" dxfId="1374" priority="61" stopIfTrue="1" operator="equal">
      <formula>0</formula>
    </cfRule>
  </conditionalFormatting>
  <conditionalFormatting sqref="E47">
    <cfRule type="cellIs" dxfId="1373" priority="60" stopIfTrue="1" operator="equal">
      <formula>0</formula>
    </cfRule>
  </conditionalFormatting>
  <conditionalFormatting sqref="Q3">
    <cfRule type="cellIs" dxfId="1372" priority="58" stopIfTrue="1" operator="equal">
      <formula>0</formula>
    </cfRule>
  </conditionalFormatting>
  <conditionalFormatting sqref="O4:Q4 N7:Q14 N17:Q17">
    <cfRule type="cellIs" dxfId="1371" priority="59" stopIfTrue="1" operator="equal">
      <formula>0</formula>
    </cfRule>
  </conditionalFormatting>
  <conditionalFormatting sqref="P15">
    <cfRule type="cellIs" dxfId="1370" priority="57" stopIfTrue="1" operator="equal">
      <formula>0</formula>
    </cfRule>
  </conditionalFormatting>
  <conditionalFormatting sqref="H48">
    <cfRule type="cellIs" dxfId="1369" priority="24" stopIfTrue="1" operator="equal">
      <formula>0</formula>
    </cfRule>
  </conditionalFormatting>
  <conditionalFormatting sqref="H23">
    <cfRule type="cellIs" dxfId="1368" priority="48" stopIfTrue="1" operator="equal">
      <formula>0</formula>
    </cfRule>
  </conditionalFormatting>
  <conditionalFormatting sqref="H24">
    <cfRule type="cellIs" dxfId="1367" priority="47" stopIfTrue="1" operator="equal">
      <formula>0</formula>
    </cfRule>
  </conditionalFormatting>
  <conditionalFormatting sqref="H25">
    <cfRule type="cellIs" dxfId="1366" priority="46" stopIfTrue="1" operator="equal">
      <formula>0</formula>
    </cfRule>
  </conditionalFormatting>
  <conditionalFormatting sqref="H26:H27">
    <cfRule type="cellIs" dxfId="1365" priority="45" stopIfTrue="1" operator="equal">
      <formula>0</formula>
    </cfRule>
  </conditionalFormatting>
  <conditionalFormatting sqref="H28">
    <cfRule type="cellIs" dxfId="1364" priority="44" stopIfTrue="1" operator="equal">
      <formula>0</formula>
    </cfRule>
  </conditionalFormatting>
  <conditionalFormatting sqref="H29">
    <cfRule type="cellIs" dxfId="1363" priority="43" stopIfTrue="1" operator="equal">
      <formula>0</formula>
    </cfRule>
  </conditionalFormatting>
  <conditionalFormatting sqref="H30">
    <cfRule type="cellIs" dxfId="1362" priority="42" stopIfTrue="1" operator="equal">
      <formula>0</formula>
    </cfRule>
  </conditionalFormatting>
  <conditionalFormatting sqref="H31">
    <cfRule type="cellIs" dxfId="1361" priority="41" stopIfTrue="1" operator="equal">
      <formula>0</formula>
    </cfRule>
  </conditionalFormatting>
  <conditionalFormatting sqref="H32">
    <cfRule type="cellIs" dxfId="1360" priority="39" stopIfTrue="1" operator="equal">
      <formula>0</formula>
    </cfRule>
  </conditionalFormatting>
  <conditionalFormatting sqref="H34">
    <cfRule type="cellIs" dxfId="1359" priority="38" stopIfTrue="1" operator="equal">
      <formula>0</formula>
    </cfRule>
  </conditionalFormatting>
  <conditionalFormatting sqref="H35">
    <cfRule type="cellIs" dxfId="1358" priority="37" stopIfTrue="1" operator="equal">
      <formula>0</formula>
    </cfRule>
  </conditionalFormatting>
  <conditionalFormatting sqref="H36">
    <cfRule type="cellIs" dxfId="1357" priority="36" stopIfTrue="1" operator="equal">
      <formula>0</formula>
    </cfRule>
  </conditionalFormatting>
  <conditionalFormatting sqref="H37">
    <cfRule type="cellIs" dxfId="1356" priority="35" stopIfTrue="1" operator="equal">
      <formula>0</formula>
    </cfRule>
  </conditionalFormatting>
  <conditionalFormatting sqref="H38">
    <cfRule type="cellIs" dxfId="1355" priority="34" stopIfTrue="1" operator="equal">
      <formula>0</formula>
    </cfRule>
  </conditionalFormatting>
  <conditionalFormatting sqref="H39">
    <cfRule type="cellIs" dxfId="1354" priority="33" stopIfTrue="1" operator="equal">
      <formula>0</formula>
    </cfRule>
  </conditionalFormatting>
  <conditionalFormatting sqref="H40">
    <cfRule type="cellIs" dxfId="1353" priority="32" stopIfTrue="1" operator="equal">
      <formula>0</formula>
    </cfRule>
  </conditionalFormatting>
  <conditionalFormatting sqref="H41">
    <cfRule type="cellIs" dxfId="1352" priority="31" stopIfTrue="1" operator="equal">
      <formula>0</formula>
    </cfRule>
  </conditionalFormatting>
  <conditionalFormatting sqref="H42">
    <cfRule type="cellIs" dxfId="1351" priority="30" stopIfTrue="1" operator="equal">
      <formula>0</formula>
    </cfRule>
  </conditionalFormatting>
  <conditionalFormatting sqref="H43">
    <cfRule type="cellIs" dxfId="1350" priority="29" stopIfTrue="1" operator="equal">
      <formula>0</formula>
    </cfRule>
  </conditionalFormatting>
  <conditionalFormatting sqref="H44">
    <cfRule type="cellIs" dxfId="1349" priority="28" stopIfTrue="1" operator="equal">
      <formula>0</formula>
    </cfRule>
  </conditionalFormatting>
  <conditionalFormatting sqref="H45">
    <cfRule type="cellIs" dxfId="1348" priority="27" stopIfTrue="1" operator="equal">
      <formula>0</formula>
    </cfRule>
  </conditionalFormatting>
  <conditionalFormatting sqref="H46">
    <cfRule type="cellIs" dxfId="1347" priority="26" stopIfTrue="1" operator="equal">
      <formula>0</formula>
    </cfRule>
  </conditionalFormatting>
  <conditionalFormatting sqref="H47">
    <cfRule type="cellIs" dxfId="1346" priority="25" stopIfTrue="1" operator="equal">
      <formula>0</formula>
    </cfRule>
  </conditionalFormatting>
  <conditionalFormatting sqref="D5">
    <cfRule type="cellIs" dxfId="1345" priority="23" stopIfTrue="1" operator="equal">
      <formula>0</formula>
    </cfRule>
  </conditionalFormatting>
  <conditionalFormatting sqref="D7">
    <cfRule type="cellIs" dxfId="1344" priority="22" stopIfTrue="1" operator="equal">
      <formula>0</formula>
    </cfRule>
  </conditionalFormatting>
  <conditionalFormatting sqref="D17">
    <cfRule type="cellIs" dxfId="1343" priority="20" stopIfTrue="1" operator="equal">
      <formula>0</formula>
    </cfRule>
  </conditionalFormatting>
  <conditionalFormatting sqref="D15">
    <cfRule type="cellIs" dxfId="1342" priority="21" stopIfTrue="1" operator="equal">
      <formula>0</formula>
    </cfRule>
  </conditionalFormatting>
  <conditionalFormatting sqref="D19">
    <cfRule type="cellIs" dxfId="1341" priority="19" stopIfTrue="1" operator="equal">
      <formula>0</formula>
    </cfRule>
  </conditionalFormatting>
  <conditionalFormatting sqref="I13">
    <cfRule type="expression" dxfId="1340" priority="12" stopIfTrue="1">
      <formula>0</formula>
    </cfRule>
  </conditionalFormatting>
  <conditionalFormatting sqref="N15">
    <cfRule type="expression" dxfId="1339" priority="11" stopIfTrue="1">
      <formula>0</formula>
    </cfRule>
  </conditionalFormatting>
  <conditionalFormatting sqref="D13">
    <cfRule type="cellIs" dxfId="1338" priority="6" stopIfTrue="1" operator="equal">
      <formula>0</formula>
    </cfRule>
  </conditionalFormatting>
  <conditionalFormatting sqref="D9">
    <cfRule type="cellIs" dxfId="1337" priority="7" stopIfTrue="1" operator="equal">
      <formula>0</formula>
    </cfRule>
  </conditionalFormatting>
  <conditionalFormatting sqref="E33:H33">
    <cfRule type="cellIs" dxfId="1336" priority="5" stopIfTrue="1" operator="equal">
      <formula>0</formula>
    </cfRule>
  </conditionalFormatting>
  <conditionalFormatting sqref="H33">
    <cfRule type="cellIs" dxfId="1335" priority="4" stopIfTrue="1" operator="equal">
      <formula>0</formula>
    </cfRule>
  </conditionalFormatting>
  <conditionalFormatting sqref="H33">
    <cfRule type="cellIs" dxfId="1334" priority="3" stopIfTrue="1" operator="equal">
      <formula>0</formula>
    </cfRule>
  </conditionalFormatting>
  <conditionalFormatting sqref="J5:J7">
    <cfRule type="cellIs" dxfId="1333" priority="2" stopIfTrue="1" operator="equal">
      <formula>0</formula>
    </cfRule>
  </conditionalFormatting>
  <conditionalFormatting sqref="H17 H15 H13 H9 H7 H19">
    <cfRule type="expression" dxfId="1332" priority="736" stopIfTrue="1">
      <formula>#REF!="verzinkt"</formula>
    </cfRule>
  </conditionalFormatting>
  <conditionalFormatting sqref="A23:B23">
    <cfRule type="cellIs" dxfId="1331" priority="1" stopIfTrue="1" operator="equal">
      <formula>0</formula>
    </cfRule>
  </conditionalFormatting>
  <dataValidations count="6">
    <dataValidation type="decimal" allowBlank="1" showInputMessage="1" showErrorMessage="1" sqref="F33" xr:uid="{DAA7072C-6D24-407B-AEC7-EC9BCB30D8E8}">
      <formula1>0</formula1>
      <formula2>100000</formula2>
    </dataValidation>
    <dataValidation type="whole" allowBlank="1" showInputMessage="1" showErrorMessage="1" sqref="F34:F43 H34:H48 H23:H32" xr:uid="{F0D53C8B-E92E-4701-8CD2-2C5A49D8CC4D}">
      <formula1>200</formula1>
      <formula2>6000</formula2>
    </dataValidation>
    <dataValidation type="list" allowBlank="1" showInputMessage="1" showErrorMessage="1" sqref="F45" xr:uid="{3AA2F361-051E-4B1F-8724-DC3733580EBE}">
      <formula1>$I$89:$I$90</formula1>
    </dataValidation>
    <dataValidation type="list" allowBlank="1" showInputMessage="1" showErrorMessage="1" sqref="F47" xr:uid="{0C60BC6D-3005-4CE9-9098-32C2D77822AB}">
      <formula1>$I$93:$I$94</formula1>
    </dataValidation>
    <dataValidation allowBlank="1" showInputMessage="1" sqref="G1:G1048576" xr:uid="{6181E07E-1E03-4298-87E1-A4B14785F378}"/>
    <dataValidation type="whole" allowBlank="1" showInputMessage="1" showErrorMessage="1" sqref="F23:F32" xr:uid="{B159ABBF-EFA7-4275-A0AE-CA9F4543553C}">
      <formula1>0</formula1>
      <formula2>6000</formula2>
    </dataValidation>
  </dataValidations>
  <pageMargins left="0.23622047244094491" right="0.23622047244094491" top="0.15748031496062992" bottom="0.15748031496062992" header="0" footer="0"/>
  <pageSetup paperSize="9" scale="94"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6">
    <tabColor indexed="46"/>
    <pageSetUpPr fitToPage="1"/>
  </sheetPr>
  <dimension ref="A1:AM211"/>
  <sheetViews>
    <sheetView showGridLines="0" tabSelected="1" view="pageBreakPreview" topLeftCell="A13" zoomScale="115" zoomScaleNormal="130" zoomScaleSheetLayoutView="115" workbookViewId="0">
      <selection activeCell="P3" sqref="P3"/>
    </sheetView>
  </sheetViews>
  <sheetFormatPr baseColWidth="10" defaultColWidth="11.42578125" defaultRowHeight="12.75" x14ac:dyDescent="0.2"/>
  <cols>
    <col min="1" max="1" width="4.28515625" style="9" customWidth="1"/>
    <col min="2" max="2" width="11.42578125" style="9"/>
    <col min="3" max="3" width="5.7109375" style="9" customWidth="1"/>
    <col min="4" max="4" width="2.42578125" style="9" customWidth="1"/>
    <col min="5" max="5" width="11.42578125" style="9" customWidth="1"/>
    <col min="6" max="6" width="41.42578125" style="9" customWidth="1"/>
    <col min="7" max="7" width="19.42578125" style="9" customWidth="1"/>
    <col min="8" max="8" width="11.42578125" style="9"/>
    <col min="9" max="9" width="6.7109375" style="9" customWidth="1"/>
    <col min="10" max="10" width="14.28515625" style="9" customWidth="1"/>
    <col min="11" max="11" width="2.42578125" style="9" customWidth="1"/>
    <col min="12" max="12" width="2.85546875" style="9" customWidth="1"/>
    <col min="13" max="13" width="11.42578125" style="9"/>
    <col min="14" max="14" width="31.5703125" style="9" customWidth="1"/>
    <col min="15" max="15" width="25.7109375" style="193" bestFit="1" customWidth="1"/>
    <col min="16" max="16" width="219.28515625" style="9" customWidth="1"/>
    <col min="17" max="17" width="22.85546875" style="9" customWidth="1"/>
    <col min="18" max="23" width="11.42578125" style="9"/>
    <col min="24" max="25" width="11.42578125" style="344"/>
    <col min="26" max="26" width="11.42578125" style="9"/>
    <col min="27" max="27" width="51.7109375" style="9" customWidth="1"/>
    <col min="28" max="16384" width="11.42578125" style="9"/>
  </cols>
  <sheetData>
    <row r="1" spans="1:39" ht="18" x14ac:dyDescent="0.2">
      <c r="A1" s="338"/>
      <c r="B1" s="338"/>
      <c r="C1" s="339"/>
      <c r="D1" s="340"/>
      <c r="E1" s="341"/>
      <c r="F1" s="2809" t="s">
        <v>696</v>
      </c>
      <c r="G1" s="2809"/>
      <c r="H1" s="2809"/>
      <c r="I1" s="657" t="s">
        <v>31506</v>
      </c>
      <c r="J1" s="342"/>
      <c r="K1" s="338"/>
      <c r="L1" s="343"/>
      <c r="R1" s="344"/>
      <c r="S1" s="344"/>
      <c r="T1" s="344"/>
      <c r="U1" s="344"/>
      <c r="V1" s="344"/>
      <c r="W1" s="344"/>
      <c r="Z1" s="344"/>
      <c r="AA1" s="344"/>
      <c r="AB1" s="344"/>
      <c r="AC1" s="344"/>
      <c r="AD1" s="344"/>
      <c r="AE1" s="344"/>
      <c r="AF1" s="344"/>
      <c r="AG1" s="344"/>
      <c r="AH1" s="344"/>
      <c r="AI1" s="344"/>
      <c r="AJ1" s="344"/>
      <c r="AK1" s="344"/>
      <c r="AL1" s="344"/>
      <c r="AM1" s="344"/>
    </row>
    <row r="2" spans="1:39" x14ac:dyDescent="0.2">
      <c r="A2" s="338"/>
      <c r="B2" s="338"/>
      <c r="C2" s="345"/>
      <c r="D2" s="345"/>
      <c r="E2" s="345"/>
      <c r="F2" s="345"/>
      <c r="G2" s="345"/>
      <c r="H2" s="345"/>
      <c r="I2" s="345"/>
      <c r="J2" s="346"/>
      <c r="K2" s="338"/>
      <c r="L2" s="2847" t="s">
        <v>847</v>
      </c>
      <c r="M2" s="2847"/>
      <c r="N2" s="2847"/>
      <c r="O2" s="767" t="s">
        <v>31509</v>
      </c>
      <c r="P2" s="762"/>
      <c r="R2" s="344"/>
      <c r="S2" s="344"/>
      <c r="T2" s="344"/>
      <c r="U2" s="344"/>
      <c r="V2" s="344"/>
      <c r="W2" s="344"/>
      <c r="Z2" s="344"/>
      <c r="AA2" s="344"/>
      <c r="AB2" s="344"/>
      <c r="AC2" s="344"/>
      <c r="AD2" s="344"/>
      <c r="AE2" s="344"/>
      <c r="AF2" s="344"/>
      <c r="AG2" s="344"/>
      <c r="AH2" s="344"/>
      <c r="AI2" s="344"/>
      <c r="AJ2" s="344"/>
      <c r="AK2" s="344"/>
      <c r="AL2" s="344"/>
      <c r="AM2" s="344"/>
    </row>
    <row r="3" spans="1:39" ht="15.75" customHeight="1" x14ac:dyDescent="0.2">
      <c r="A3" s="347"/>
      <c r="C3" s="348"/>
      <c r="D3" s="349"/>
      <c r="E3" s="1335" t="s">
        <v>29686</v>
      </c>
      <c r="F3" s="351" t="s">
        <v>31511</v>
      </c>
      <c r="G3" s="1304" t="s">
        <v>82</v>
      </c>
      <c r="H3" s="351" t="s">
        <v>31512</v>
      </c>
      <c r="I3" s="113"/>
      <c r="J3" s="113"/>
      <c r="K3" s="353"/>
      <c r="L3" s="353"/>
      <c r="O3" s="763" t="s">
        <v>848</v>
      </c>
      <c r="P3" s="770"/>
      <c r="R3" s="344"/>
      <c r="S3" s="344"/>
      <c r="T3" s="344"/>
      <c r="U3" s="344"/>
      <c r="V3" s="344"/>
      <c r="W3" s="344"/>
      <c r="Z3" s="344"/>
      <c r="AA3" s="354"/>
      <c r="AD3" s="344"/>
      <c r="AE3" s="344"/>
      <c r="AF3" s="344"/>
      <c r="AG3" s="344"/>
      <c r="AH3" s="344"/>
      <c r="AI3" s="344"/>
      <c r="AJ3" s="344"/>
      <c r="AK3" s="344"/>
      <c r="AL3" s="344"/>
      <c r="AM3" s="344"/>
    </row>
    <row r="4" spans="1:39" ht="5.0999999999999996" customHeight="1" x14ac:dyDescent="0.2">
      <c r="A4" s="347"/>
      <c r="C4" s="348"/>
      <c r="D4" s="349"/>
      <c r="E4" s="350"/>
      <c r="F4" s="1189"/>
      <c r="G4" s="1305"/>
      <c r="H4" s="1306"/>
      <c r="I4" s="357"/>
      <c r="J4" s="358"/>
      <c r="K4" s="353"/>
      <c r="L4" s="353"/>
      <c r="M4" s="130"/>
      <c r="O4" s="53"/>
      <c r="P4" s="130"/>
      <c r="R4" s="344"/>
      <c r="S4" s="344"/>
      <c r="T4" s="344"/>
      <c r="U4" s="344"/>
      <c r="V4" s="344"/>
      <c r="W4" s="344"/>
      <c r="Z4" s="344"/>
      <c r="AA4" s="359"/>
      <c r="AB4" s="359"/>
      <c r="AD4" s="344"/>
      <c r="AE4" s="344"/>
      <c r="AF4" s="344"/>
      <c r="AG4" s="344"/>
      <c r="AH4" s="344"/>
      <c r="AI4" s="344"/>
      <c r="AJ4" s="344"/>
      <c r="AK4" s="344"/>
      <c r="AL4" s="344"/>
      <c r="AM4" s="344"/>
    </row>
    <row r="5" spans="1:39" ht="15.75" customHeight="1" x14ac:dyDescent="0.2">
      <c r="A5" s="347"/>
      <c r="C5" s="348"/>
      <c r="D5" s="349"/>
      <c r="E5" s="350" t="s">
        <v>71</v>
      </c>
      <c r="F5" s="351" t="s">
        <v>31513</v>
      </c>
      <c r="G5" s="1497"/>
      <c r="H5" s="667"/>
      <c r="K5" s="353"/>
      <c r="L5" s="353"/>
      <c r="M5" s="130"/>
      <c r="N5" s="130"/>
      <c r="O5" s="53"/>
      <c r="P5" s="130"/>
      <c r="R5" s="344"/>
      <c r="S5" s="344"/>
      <c r="T5" s="344"/>
      <c r="U5" s="344"/>
      <c r="V5" s="344"/>
      <c r="W5" s="344"/>
      <c r="Z5" s="344"/>
      <c r="AA5" s="354"/>
      <c r="AD5" s="344"/>
      <c r="AE5" s="344"/>
      <c r="AF5" s="344"/>
      <c r="AG5" s="344"/>
      <c r="AH5" s="344"/>
      <c r="AI5" s="344"/>
      <c r="AJ5" s="344"/>
      <c r="AK5" s="344"/>
      <c r="AL5" s="344"/>
      <c r="AM5" s="344"/>
    </row>
    <row r="6" spans="1:39" ht="5.0999999999999996" customHeight="1" x14ac:dyDescent="0.2">
      <c r="A6" s="347"/>
      <c r="C6" s="347"/>
      <c r="D6" s="349"/>
      <c r="E6" s="361"/>
      <c r="F6" s="1190"/>
      <c r="G6" s="363"/>
      <c r="H6" s="363"/>
      <c r="I6" s="364"/>
      <c r="J6" s="358"/>
      <c r="K6" s="353"/>
      <c r="L6" s="353"/>
      <c r="M6" s="130"/>
      <c r="N6" s="130"/>
      <c r="O6" s="53"/>
      <c r="P6" s="130"/>
      <c r="R6" s="344"/>
      <c r="S6" s="344"/>
      <c r="T6" s="344"/>
      <c r="U6" s="344"/>
      <c r="V6" s="344"/>
      <c r="W6" s="344"/>
      <c r="Z6" s="344"/>
      <c r="AA6" s="359"/>
      <c r="AB6" s="344"/>
      <c r="AC6" s="344"/>
      <c r="AD6" s="344"/>
      <c r="AE6" s="344"/>
      <c r="AF6" s="344"/>
      <c r="AG6" s="344"/>
      <c r="AH6" s="344"/>
      <c r="AI6" s="344"/>
      <c r="AJ6" s="344"/>
      <c r="AK6" s="344"/>
      <c r="AL6" s="344"/>
      <c r="AM6" s="344"/>
    </row>
    <row r="7" spans="1:39" ht="15.75" customHeight="1" x14ac:dyDescent="0.2">
      <c r="A7" s="347"/>
      <c r="C7" s="347"/>
      <c r="D7" s="349"/>
      <c r="E7" s="1335" t="s">
        <v>27904</v>
      </c>
      <c r="F7" s="1109">
        <v>1</v>
      </c>
      <c r="G7" s="365"/>
      <c r="H7" s="360"/>
      <c r="K7" s="353"/>
      <c r="L7" s="353"/>
      <c r="M7" s="130"/>
      <c r="N7" s="764" t="s">
        <v>290</v>
      </c>
      <c r="O7" s="764" t="s">
        <v>100</v>
      </c>
      <c r="P7" s="764" t="s">
        <v>849</v>
      </c>
      <c r="R7" s="344"/>
      <c r="S7" s="344"/>
      <c r="T7" s="344"/>
      <c r="U7" s="344"/>
      <c r="V7" s="344"/>
      <c r="W7" s="344"/>
      <c r="Z7" s="344"/>
      <c r="AA7" s="354"/>
      <c r="AC7" s="344"/>
      <c r="AD7" s="344"/>
      <c r="AE7" s="344"/>
      <c r="AF7" s="344"/>
      <c r="AG7" s="344"/>
      <c r="AH7" s="344"/>
      <c r="AI7" s="344"/>
      <c r="AJ7" s="344"/>
      <c r="AK7" s="344"/>
      <c r="AL7" s="344"/>
      <c r="AM7" s="344"/>
    </row>
    <row r="8" spans="1:39" ht="5.0999999999999996" customHeight="1" thickBot="1" x14ac:dyDescent="0.25">
      <c r="A8" s="347"/>
      <c r="B8" s="347"/>
      <c r="C8" s="347"/>
      <c r="D8" s="366"/>
      <c r="E8" s="347"/>
      <c r="F8" s="1190"/>
      <c r="G8" s="355"/>
      <c r="H8" s="363"/>
      <c r="I8" s="357"/>
      <c r="J8" s="367"/>
      <c r="K8" s="353"/>
      <c r="L8" s="353"/>
      <c r="M8" s="130"/>
      <c r="N8" s="765"/>
      <c r="O8" s="764"/>
      <c r="P8" s="765"/>
      <c r="R8" s="344"/>
      <c r="S8" s="344"/>
      <c r="T8" s="344"/>
      <c r="U8" s="344"/>
      <c r="V8" s="344"/>
      <c r="W8" s="344"/>
      <c r="Z8" s="344"/>
      <c r="AA8" s="344"/>
      <c r="AB8" s="344"/>
      <c r="AC8" s="344"/>
      <c r="AD8" s="344"/>
      <c r="AE8" s="344"/>
      <c r="AF8" s="344"/>
      <c r="AG8" s="344"/>
      <c r="AH8" s="344"/>
      <c r="AI8" s="344"/>
      <c r="AJ8" s="344"/>
      <c r="AK8" s="344"/>
      <c r="AL8" s="344"/>
      <c r="AM8" s="344"/>
    </row>
    <row r="9" spans="1:39" ht="15.75" customHeight="1" thickBot="1" x14ac:dyDescent="0.25">
      <c r="A9" s="347"/>
      <c r="B9" s="347"/>
      <c r="C9" s="347"/>
      <c r="D9" s="368"/>
      <c r="E9" s="350" t="s">
        <v>526</v>
      </c>
      <c r="F9" s="424">
        <f>F13+7*4</f>
        <v>44622</v>
      </c>
      <c r="G9" s="369"/>
      <c r="H9" s="1246" t="s">
        <v>28829</v>
      </c>
      <c r="I9" s="371"/>
      <c r="J9" s="371"/>
      <c r="K9" s="353"/>
      <c r="L9" s="353"/>
      <c r="M9" s="130"/>
      <c r="N9" s="769" t="s">
        <v>31506</v>
      </c>
      <c r="O9" s="775">
        <v>44594</v>
      </c>
      <c r="P9" s="769"/>
      <c r="R9" s="344"/>
      <c r="S9" s="344"/>
      <c r="T9" s="344"/>
      <c r="U9" s="344"/>
      <c r="V9" s="344"/>
      <c r="W9" s="344"/>
      <c r="Z9" s="344"/>
      <c r="AA9" s="354"/>
      <c r="AC9" s="344"/>
      <c r="AD9" s="344"/>
      <c r="AE9" s="344"/>
      <c r="AF9" s="344"/>
      <c r="AG9" s="344"/>
      <c r="AH9" s="344"/>
      <c r="AI9" s="344"/>
      <c r="AJ9" s="344"/>
      <c r="AK9" s="344"/>
      <c r="AL9" s="344"/>
      <c r="AM9" s="344"/>
    </row>
    <row r="10" spans="1:39" ht="5.0999999999999996" customHeight="1" x14ac:dyDescent="0.2">
      <c r="A10" s="347"/>
      <c r="B10" s="347"/>
      <c r="C10" s="347"/>
      <c r="D10" s="368"/>
      <c r="E10" s="347"/>
      <c r="F10" s="1190"/>
      <c r="G10" s="355"/>
      <c r="H10" s="372"/>
      <c r="I10" s="357"/>
      <c r="J10" s="373"/>
      <c r="K10" s="353"/>
      <c r="L10" s="353"/>
      <c r="M10" s="130"/>
      <c r="N10" s="770"/>
      <c r="O10" s="771"/>
      <c r="P10" s="770"/>
      <c r="R10" s="344"/>
      <c r="S10" s="344"/>
      <c r="T10" s="344"/>
      <c r="U10" s="344"/>
      <c r="V10" s="344"/>
      <c r="W10" s="344"/>
      <c r="Z10" s="344"/>
      <c r="AA10" s="344"/>
      <c r="AB10" s="359"/>
      <c r="AC10" s="344"/>
      <c r="AD10" s="344"/>
      <c r="AE10" s="344"/>
      <c r="AF10" s="344"/>
      <c r="AG10" s="344"/>
      <c r="AH10" s="344"/>
      <c r="AI10" s="344"/>
      <c r="AJ10" s="344"/>
      <c r="AK10" s="344"/>
      <c r="AL10" s="344"/>
      <c r="AM10" s="344"/>
    </row>
    <row r="11" spans="1:39" ht="15.75" customHeight="1" x14ac:dyDescent="0.2">
      <c r="A11" s="347"/>
      <c r="B11" s="347"/>
      <c r="C11" s="347"/>
      <c r="D11" s="347"/>
      <c r="E11" s="374"/>
      <c r="F11" s="375" t="s">
        <v>28823</v>
      </c>
      <c r="G11" s="376"/>
      <c r="H11" s="2879">
        <v>1</v>
      </c>
      <c r="I11" s="2880"/>
      <c r="J11" s="357"/>
      <c r="K11" s="353"/>
      <c r="L11" s="353"/>
      <c r="M11" s="130"/>
      <c r="N11" s="770" t="s">
        <v>31506</v>
      </c>
      <c r="O11" s="776">
        <v>44594</v>
      </c>
      <c r="P11" s="770"/>
      <c r="R11" s="344"/>
      <c r="S11" s="344"/>
      <c r="T11" s="344"/>
      <c r="U11" s="344"/>
      <c r="V11" s="344"/>
      <c r="W11" s="344"/>
      <c r="Z11" s="344"/>
      <c r="AA11" s="344"/>
      <c r="AB11" s="359"/>
      <c r="AC11" s="344"/>
      <c r="AD11" s="344"/>
      <c r="AE11" s="344"/>
      <c r="AF11" s="344"/>
      <c r="AG11" s="344"/>
      <c r="AH11" s="344"/>
      <c r="AI11" s="344"/>
      <c r="AJ11" s="344"/>
      <c r="AK11" s="344"/>
      <c r="AL11" s="344"/>
      <c r="AM11" s="344"/>
    </row>
    <row r="12" spans="1:39" ht="5.0999999999999996" customHeight="1" x14ac:dyDescent="0.2">
      <c r="A12" s="347"/>
      <c r="B12" s="347"/>
      <c r="C12" s="347"/>
      <c r="D12" s="347"/>
      <c r="E12" s="374"/>
      <c r="F12" s="1191"/>
      <c r="G12" s="379"/>
      <c r="H12" s="372"/>
      <c r="I12" s="377"/>
      <c r="J12" s="357"/>
      <c r="K12" s="353"/>
      <c r="L12" s="353"/>
      <c r="M12" s="130"/>
      <c r="N12" s="770"/>
      <c r="O12" s="771"/>
      <c r="P12" s="770"/>
      <c r="R12" s="344"/>
      <c r="S12" s="344"/>
      <c r="T12" s="344"/>
      <c r="U12" s="344"/>
      <c r="V12" s="344"/>
      <c r="W12" s="344"/>
      <c r="Z12" s="344"/>
      <c r="AA12" s="344"/>
      <c r="AB12" s="359"/>
      <c r="AC12" s="344"/>
      <c r="AD12" s="344"/>
      <c r="AE12" s="344"/>
      <c r="AF12" s="344"/>
      <c r="AG12" s="344"/>
      <c r="AH12" s="344"/>
      <c r="AI12" s="344"/>
      <c r="AJ12" s="344"/>
      <c r="AK12" s="344"/>
      <c r="AL12" s="344"/>
      <c r="AM12" s="344"/>
    </row>
    <row r="13" spans="1:39" ht="15.75" customHeight="1" x14ac:dyDescent="0.2">
      <c r="A13" s="347"/>
      <c r="C13" s="347"/>
      <c r="D13" s="347"/>
      <c r="E13" s="197" t="s">
        <v>99</v>
      </c>
      <c r="F13" s="424">
        <v>44594</v>
      </c>
      <c r="G13" s="369"/>
      <c r="H13" s="370"/>
      <c r="I13" s="357"/>
      <c r="J13" s="357"/>
      <c r="K13" s="353"/>
      <c r="L13" s="353"/>
      <c r="M13" s="130"/>
      <c r="N13" s="770" t="s">
        <v>31506</v>
      </c>
      <c r="O13" s="776">
        <v>44593</v>
      </c>
      <c r="P13" s="770"/>
      <c r="R13" s="344"/>
      <c r="S13" s="344"/>
      <c r="T13" s="344"/>
      <c r="U13" s="344"/>
      <c r="V13" s="344"/>
      <c r="W13" s="344"/>
      <c r="Z13" s="344"/>
      <c r="AA13" s="354"/>
      <c r="AC13" s="344"/>
      <c r="AD13" s="344"/>
      <c r="AE13" s="344"/>
      <c r="AF13" s="344"/>
      <c r="AG13" s="344"/>
      <c r="AH13" s="344"/>
      <c r="AI13" s="344"/>
      <c r="AJ13" s="344"/>
      <c r="AK13" s="344"/>
      <c r="AL13" s="344"/>
      <c r="AM13" s="344"/>
    </row>
    <row r="14" spans="1:39" ht="5.0999999999999996" customHeight="1" x14ac:dyDescent="0.2">
      <c r="A14" s="347"/>
      <c r="B14" s="347"/>
      <c r="C14" s="347"/>
      <c r="D14" s="347"/>
      <c r="E14" s="347"/>
      <c r="F14" s="1192"/>
      <c r="G14" s="355"/>
      <c r="H14" s="370"/>
      <c r="I14" s="357"/>
      <c r="J14" s="357"/>
      <c r="K14" s="353"/>
      <c r="L14" s="353"/>
      <c r="M14" s="130"/>
      <c r="N14" s="770"/>
      <c r="O14" s="771"/>
      <c r="P14" s="770"/>
      <c r="R14" s="344"/>
      <c r="S14" s="344"/>
      <c r="T14" s="344"/>
      <c r="U14" s="344"/>
      <c r="V14" s="344"/>
      <c r="W14" s="344"/>
      <c r="Z14" s="344"/>
      <c r="AA14" s="344"/>
      <c r="AB14" s="344"/>
      <c r="AC14" s="344"/>
      <c r="AD14" s="344"/>
      <c r="AE14" s="344"/>
      <c r="AF14" s="344"/>
      <c r="AG14" s="344"/>
      <c r="AH14" s="344"/>
      <c r="AI14" s="344"/>
      <c r="AJ14" s="344"/>
      <c r="AK14" s="344"/>
      <c r="AL14" s="344"/>
      <c r="AM14" s="344"/>
    </row>
    <row r="15" spans="1:39" ht="15.75" customHeight="1" x14ac:dyDescent="0.2">
      <c r="A15" s="347"/>
      <c r="B15" s="347"/>
      <c r="C15" s="347"/>
      <c r="D15" s="347"/>
      <c r="E15" s="1335" t="s">
        <v>29211</v>
      </c>
      <c r="F15" s="382" t="s">
        <v>31517</v>
      </c>
      <c r="G15" s="1335" t="s">
        <v>29687</v>
      </c>
      <c r="H15" s="2877" t="s">
        <v>31518</v>
      </c>
      <c r="I15" s="2878"/>
      <c r="K15" s="353"/>
      <c r="L15" s="353"/>
      <c r="M15" s="130"/>
      <c r="N15" s="772" t="s">
        <v>31506</v>
      </c>
      <c r="O15" s="776">
        <v>44582</v>
      </c>
      <c r="P15" s="772"/>
      <c r="R15" s="344"/>
      <c r="S15" s="344"/>
      <c r="T15" s="344"/>
      <c r="U15" s="344"/>
      <c r="V15" s="344"/>
      <c r="W15" s="344"/>
      <c r="Z15" s="344"/>
      <c r="AA15" s="359"/>
      <c r="AB15" s="344"/>
      <c r="AC15" s="344"/>
      <c r="AD15" s="344"/>
      <c r="AE15" s="344"/>
      <c r="AF15" s="344"/>
      <c r="AG15" s="344"/>
      <c r="AH15" s="344"/>
      <c r="AI15" s="344"/>
      <c r="AJ15" s="344"/>
      <c r="AK15" s="344"/>
      <c r="AL15" s="344"/>
      <c r="AM15" s="344"/>
    </row>
    <row r="16" spans="1:39" ht="5.0999999999999996" customHeight="1" x14ac:dyDescent="0.2">
      <c r="A16" s="347"/>
      <c r="B16" s="347"/>
      <c r="C16" s="347"/>
      <c r="D16" s="347"/>
      <c r="E16" s="350"/>
      <c r="G16" s="383"/>
      <c r="H16" s="355"/>
      <c r="I16" s="357"/>
      <c r="J16" s="357"/>
      <c r="K16" s="353"/>
      <c r="L16" s="353"/>
      <c r="M16" s="130"/>
      <c r="N16" s="772"/>
      <c r="O16" s="773"/>
      <c r="P16" s="772"/>
      <c r="R16" s="344"/>
      <c r="S16" s="344"/>
      <c r="T16" s="344"/>
      <c r="U16" s="344"/>
      <c r="V16" s="344"/>
      <c r="W16" s="344"/>
      <c r="Z16" s="344"/>
      <c r="AA16" s="344"/>
      <c r="AB16" s="344"/>
      <c r="AC16" s="344"/>
      <c r="AD16" s="344"/>
      <c r="AE16" s="344"/>
      <c r="AF16" s="344"/>
      <c r="AG16" s="344"/>
      <c r="AH16" s="344"/>
      <c r="AI16" s="344"/>
      <c r="AJ16" s="344"/>
      <c r="AK16" s="344"/>
      <c r="AL16" s="344"/>
      <c r="AM16" s="344"/>
    </row>
    <row r="17" spans="1:39" ht="15.75" customHeight="1" x14ac:dyDescent="0.2">
      <c r="A17" s="347"/>
      <c r="B17" s="360"/>
      <c r="C17" s="360"/>
      <c r="D17" s="360"/>
      <c r="E17" s="197" t="s">
        <v>493</v>
      </c>
      <c r="F17" s="384" t="s">
        <v>31519</v>
      </c>
      <c r="G17" s="1335" t="s">
        <v>29684</v>
      </c>
      <c r="H17" s="2877" t="s">
        <v>77</v>
      </c>
      <c r="I17" s="2878"/>
      <c r="J17" s="357"/>
      <c r="K17" s="353"/>
      <c r="L17" s="353"/>
      <c r="M17" s="766"/>
      <c r="N17" s="774" t="s">
        <v>31506</v>
      </c>
      <c r="O17" s="776">
        <v>44578</v>
      </c>
      <c r="P17" s="774"/>
      <c r="R17" s="344"/>
      <c r="S17" s="344"/>
      <c r="T17" s="344"/>
      <c r="U17" s="344"/>
      <c r="V17" s="344"/>
      <c r="W17" s="344"/>
      <c r="Z17" s="344"/>
      <c r="AA17" s="359"/>
      <c r="AB17" s="344"/>
      <c r="AC17" s="344"/>
      <c r="AD17" s="344"/>
      <c r="AE17" s="344"/>
      <c r="AF17" s="344"/>
      <c r="AG17" s="344"/>
      <c r="AH17" s="344"/>
      <c r="AI17" s="344"/>
      <c r="AJ17" s="344"/>
      <c r="AK17" s="344"/>
      <c r="AL17" s="344"/>
      <c r="AM17" s="344"/>
    </row>
    <row r="18" spans="1:39" s="344" customFormat="1" ht="5.0999999999999996" customHeight="1" x14ac:dyDescent="0.2">
      <c r="A18" s="347"/>
      <c r="B18" s="347"/>
      <c r="C18" s="347"/>
      <c r="D18" s="347"/>
      <c r="E18" s="350"/>
      <c r="F18" s="1193"/>
      <c r="G18" s="355"/>
      <c r="H18" s="355"/>
      <c r="I18" s="357"/>
      <c r="J18" s="357"/>
      <c r="K18" s="353"/>
      <c r="L18" s="353"/>
      <c r="M18" s="9"/>
      <c r="N18" s="9"/>
      <c r="O18" s="193"/>
      <c r="P18" s="9"/>
      <c r="Q18" s="9"/>
    </row>
    <row r="19" spans="1:39" ht="15.75" customHeight="1" x14ac:dyDescent="0.2">
      <c r="A19" s="347"/>
      <c r="B19" s="360"/>
      <c r="C19" s="360"/>
      <c r="D19" s="360"/>
      <c r="E19" s="197" t="s">
        <v>443</v>
      </c>
      <c r="F19" s="351" t="s">
        <v>31520</v>
      </c>
      <c r="G19" s="1335"/>
      <c r="H19" s="1335"/>
      <c r="I19" s="1335"/>
      <c r="J19" s="357"/>
      <c r="K19" s="353"/>
      <c r="L19" s="353"/>
      <c r="M19" s="380"/>
      <c r="R19" s="344"/>
      <c r="S19" s="344"/>
      <c r="T19" s="344"/>
      <c r="U19" s="344"/>
      <c r="V19" s="344"/>
      <c r="W19" s="344"/>
      <c r="Z19" s="344"/>
      <c r="AA19" s="354"/>
      <c r="AB19" s="344"/>
      <c r="AC19" s="344"/>
      <c r="AD19" s="344"/>
      <c r="AE19" s="344"/>
      <c r="AF19" s="344"/>
      <c r="AG19" s="344"/>
      <c r="AH19" s="344"/>
      <c r="AI19" s="344"/>
      <c r="AJ19" s="344"/>
      <c r="AK19" s="344"/>
      <c r="AL19" s="344"/>
      <c r="AM19" s="344"/>
    </row>
    <row r="20" spans="1:39" ht="10.15" customHeight="1" thickBot="1" x14ac:dyDescent="0.25">
      <c r="A20" s="387"/>
      <c r="B20" s="387"/>
      <c r="C20" s="387"/>
      <c r="D20" s="387"/>
      <c r="E20" s="387"/>
      <c r="F20" s="387"/>
      <c r="H20" s="387"/>
      <c r="I20" s="388"/>
      <c r="J20" s="388"/>
      <c r="K20" s="338"/>
      <c r="L20" s="338"/>
      <c r="R20" s="344"/>
      <c r="S20" s="344"/>
      <c r="T20" s="344"/>
      <c r="U20" s="344"/>
      <c r="V20" s="344"/>
      <c r="W20" s="344"/>
      <c r="Z20" s="344"/>
      <c r="AA20" s="354"/>
      <c r="AB20" s="344"/>
      <c r="AC20" s="344"/>
      <c r="AD20" s="344"/>
      <c r="AE20" s="344"/>
      <c r="AF20" s="344"/>
      <c r="AG20" s="344"/>
      <c r="AH20" s="344"/>
      <c r="AI20" s="344"/>
      <c r="AJ20" s="344"/>
      <c r="AK20" s="344"/>
      <c r="AL20" s="344"/>
      <c r="AM20" s="344"/>
    </row>
    <row r="21" spans="1:39" ht="10.15" customHeight="1" x14ac:dyDescent="0.2">
      <c r="A21" s="386"/>
      <c r="B21" s="344"/>
      <c r="C21" s="344"/>
      <c r="D21" s="344"/>
      <c r="E21" s="344"/>
      <c r="F21" s="344"/>
      <c r="G21" s="389"/>
      <c r="H21" s="344"/>
      <c r="I21" s="344"/>
      <c r="J21" s="390"/>
      <c r="K21" s="344"/>
      <c r="L21" s="386"/>
      <c r="M21" s="380"/>
      <c r="R21" s="344"/>
      <c r="S21" s="344"/>
      <c r="T21" s="344"/>
      <c r="U21" s="344"/>
      <c r="V21" s="344"/>
      <c r="W21" s="344"/>
      <c r="Z21" s="344"/>
      <c r="AA21" s="354"/>
      <c r="AB21" s="344"/>
      <c r="AC21" s="344"/>
      <c r="AD21" s="344"/>
      <c r="AE21" s="344"/>
      <c r="AF21" s="344"/>
      <c r="AG21" s="344"/>
      <c r="AH21" s="344"/>
      <c r="AI21" s="344"/>
      <c r="AJ21" s="344"/>
      <c r="AK21" s="344"/>
      <c r="AL21" s="344"/>
      <c r="AM21" s="344"/>
    </row>
    <row r="22" spans="1:39" ht="15.75" customHeight="1" x14ac:dyDescent="0.2">
      <c r="A22" s="386"/>
      <c r="B22" s="344"/>
      <c r="C22" s="344"/>
      <c r="D22" s="344"/>
      <c r="E22" s="350" t="s">
        <v>318</v>
      </c>
      <c r="F22" s="333">
        <v>900</v>
      </c>
      <c r="G22" s="391"/>
      <c r="H22" s="14"/>
      <c r="I22" s="386"/>
      <c r="J22" s="14"/>
      <c r="K22" s="344"/>
      <c r="L22" s="386"/>
      <c r="R22" s="344"/>
      <c r="S22" s="344"/>
      <c r="T22" s="344"/>
      <c r="U22" s="344"/>
      <c r="V22" s="344"/>
      <c r="W22" s="344"/>
      <c r="Z22" s="344"/>
      <c r="AA22" s="354"/>
      <c r="AB22" s="344"/>
      <c r="AC22" s="344"/>
      <c r="AD22" s="344"/>
      <c r="AE22" s="344"/>
      <c r="AF22" s="344"/>
      <c r="AG22" s="344"/>
      <c r="AH22" s="344"/>
      <c r="AI22" s="344"/>
      <c r="AJ22" s="344"/>
      <c r="AK22" s="344"/>
      <c r="AL22" s="344"/>
      <c r="AM22" s="344"/>
    </row>
    <row r="23" spans="1:39" ht="5.0999999999999996" customHeight="1" x14ac:dyDescent="0.2">
      <c r="A23" s="386"/>
      <c r="B23" s="344"/>
      <c r="C23" s="392"/>
      <c r="D23" s="344"/>
      <c r="E23" s="344"/>
      <c r="F23" s="393"/>
      <c r="G23" s="386"/>
      <c r="H23" s="17"/>
      <c r="I23" s="386"/>
      <c r="J23" s="386"/>
      <c r="K23" s="344"/>
      <c r="L23" s="344"/>
      <c r="M23" s="380"/>
      <c r="R23" s="344"/>
      <c r="S23" s="344"/>
      <c r="T23" s="344"/>
      <c r="U23" s="344"/>
      <c r="V23" s="344"/>
      <c r="W23" s="344"/>
      <c r="Z23" s="344"/>
      <c r="AA23" s="344"/>
      <c r="AB23" s="344"/>
      <c r="AC23" s="344"/>
      <c r="AD23" s="344"/>
      <c r="AE23" s="344"/>
      <c r="AF23" s="344"/>
      <c r="AG23" s="344"/>
      <c r="AH23" s="344"/>
      <c r="AI23" s="344"/>
      <c r="AJ23" s="344"/>
      <c r="AK23" s="344"/>
      <c r="AL23" s="344"/>
      <c r="AM23" s="344"/>
    </row>
    <row r="24" spans="1:39" ht="15.75" customHeight="1" x14ac:dyDescent="0.2">
      <c r="A24" s="344"/>
      <c r="B24" s="344"/>
      <c r="C24" s="344"/>
      <c r="D24" s="344"/>
      <c r="E24" s="392" t="s">
        <v>319</v>
      </c>
      <c r="F24" s="333">
        <v>835</v>
      </c>
      <c r="G24" s="391"/>
      <c r="H24" s="14"/>
      <c r="I24" s="113"/>
      <c r="J24" s="393"/>
      <c r="K24" s="344"/>
      <c r="L24" s="344"/>
      <c r="N24" s="1634" t="s">
        <v>30354</v>
      </c>
      <c r="O24" s="2151" t="str">
        <f>IF(F30=E101,"Standard (links) / Standard (rechts)",0)</f>
        <v>Standard (links) / Standard (rechts)</v>
      </c>
      <c r="R24" s="344"/>
      <c r="S24" s="344"/>
      <c r="T24" s="344"/>
      <c r="U24" s="344"/>
      <c r="V24" s="344"/>
      <c r="X24" s="9"/>
      <c r="Z24" s="344"/>
      <c r="AA24" s="354"/>
      <c r="AB24" s="344"/>
      <c r="AC24" s="344"/>
      <c r="AD24" s="344"/>
      <c r="AE24" s="344"/>
      <c r="AF24" s="344"/>
      <c r="AG24" s="344"/>
      <c r="AH24" s="344"/>
      <c r="AI24" s="344"/>
      <c r="AJ24" s="344"/>
      <c r="AK24" s="344"/>
      <c r="AL24" s="344"/>
      <c r="AM24" s="344"/>
    </row>
    <row r="25" spans="1:39" ht="5.0999999999999996" customHeight="1" x14ac:dyDescent="0.2">
      <c r="A25" s="344"/>
      <c r="B25" s="344"/>
      <c r="C25" s="392"/>
      <c r="D25" s="344"/>
      <c r="E25" s="344"/>
      <c r="F25" s="393"/>
      <c r="G25" s="386"/>
      <c r="H25" s="17"/>
      <c r="I25" s="386"/>
      <c r="J25" s="386"/>
      <c r="K25" s="344"/>
      <c r="L25" s="344"/>
      <c r="M25" s="380"/>
      <c r="R25" s="344"/>
      <c r="S25" s="344"/>
      <c r="T25" s="344"/>
      <c r="U25" s="344"/>
      <c r="V25" s="344"/>
      <c r="W25" s="344"/>
      <c r="Z25" s="344"/>
      <c r="AA25" s="344"/>
      <c r="AB25" s="344"/>
      <c r="AC25" s="344"/>
      <c r="AD25" s="344"/>
      <c r="AE25" s="344"/>
      <c r="AF25" s="344"/>
      <c r="AG25" s="344"/>
      <c r="AH25" s="344"/>
      <c r="AI25" s="344"/>
      <c r="AJ25" s="344"/>
      <c r="AK25" s="344"/>
      <c r="AL25" s="344"/>
      <c r="AM25" s="344"/>
    </row>
    <row r="26" spans="1:39" ht="15.75" customHeight="1" x14ac:dyDescent="0.2">
      <c r="A26" s="344"/>
      <c r="B26" s="344"/>
      <c r="C26" s="344"/>
      <c r="D26" s="344"/>
      <c r="E26" s="411" t="s">
        <v>486</v>
      </c>
      <c r="F26" s="333">
        <v>2515</v>
      </c>
      <c r="G26" s="1813" t="str">
        <f>IF(H32=150,"Haltebänder Aufdopplung:","")</f>
        <v/>
      </c>
      <c r="H26" s="1816"/>
      <c r="I26" s="2861" t="str">
        <f>IF(OR(F32=F114,F32=F115),"","Achtung! Einbaulage Festfeld / Schließkante: muss ausgefüllt sein.")</f>
        <v/>
      </c>
      <c r="J26" s="2861"/>
      <c r="K26" s="344"/>
      <c r="L26" s="344"/>
      <c r="N26" s="1299" t="s">
        <v>321</v>
      </c>
      <c r="O26" s="736" t="str">
        <f>IF(F28=F101,E102,E101)</f>
        <v>mit</v>
      </c>
      <c r="R26" s="344"/>
      <c r="S26" s="344"/>
      <c r="T26" s="344"/>
      <c r="U26" s="344"/>
      <c r="V26" s="344"/>
      <c r="W26" s="344"/>
      <c r="Z26" s="344"/>
      <c r="AA26" s="354"/>
      <c r="AB26" s="344"/>
      <c r="AC26" s="344"/>
      <c r="AD26" s="344"/>
      <c r="AE26" s="344"/>
      <c r="AF26" s="344"/>
      <c r="AG26" s="344"/>
      <c r="AH26" s="344"/>
      <c r="AI26" s="344"/>
      <c r="AJ26" s="344"/>
      <c r="AK26" s="344"/>
      <c r="AL26" s="344"/>
      <c r="AM26" s="344"/>
    </row>
    <row r="27" spans="1:39" ht="5.0999999999999996" customHeight="1" x14ac:dyDescent="0.2">
      <c r="A27" s="344"/>
      <c r="B27" s="344"/>
      <c r="C27" s="344"/>
      <c r="D27" s="344"/>
      <c r="E27" s="392"/>
      <c r="G27" s="386"/>
      <c r="H27" s="17"/>
      <c r="I27" s="2861"/>
      <c r="J27" s="2861"/>
      <c r="K27" s="344"/>
      <c r="L27" s="344"/>
      <c r="M27" s="380"/>
      <c r="R27" s="344"/>
      <c r="S27" s="344"/>
      <c r="T27" s="344"/>
      <c r="U27" s="344"/>
      <c r="V27" s="344"/>
      <c r="W27" s="344"/>
      <c r="Z27" s="344"/>
      <c r="AA27" s="344"/>
      <c r="AB27" s="344"/>
      <c r="AC27" s="344"/>
      <c r="AD27" s="344"/>
      <c r="AE27" s="344"/>
      <c r="AF27" s="344"/>
      <c r="AG27" s="344"/>
      <c r="AH27" s="344"/>
      <c r="AI27" s="344"/>
      <c r="AJ27" s="344"/>
      <c r="AK27" s="344"/>
      <c r="AL27" s="344"/>
      <c r="AM27" s="344"/>
    </row>
    <row r="28" spans="1:39" ht="15.75" customHeight="1" x14ac:dyDescent="0.2">
      <c r="A28" s="344"/>
      <c r="B28" s="344"/>
      <c r="C28" s="344"/>
      <c r="D28" s="344"/>
      <c r="E28" s="411" t="s">
        <v>487</v>
      </c>
      <c r="F28" s="735" t="s">
        <v>323</v>
      </c>
      <c r="G28" s="1632" t="str">
        <f>IF(O36&gt;0,"Porenbetonsteinreihen:",0)</f>
        <v>Porenbetonsteinreihen:</v>
      </c>
      <c r="H28" s="399">
        <v>0</v>
      </c>
      <c r="I28" s="2861"/>
      <c r="J28" s="2861"/>
      <c r="K28" s="344"/>
      <c r="L28" s="344"/>
      <c r="N28" s="1496" t="s">
        <v>28868</v>
      </c>
      <c r="O28" s="736">
        <f>IF(F22&lt;1500,3900,IF(AND(F22&gt;1499,F22&lt;3000),4200,3500))</f>
        <v>3900</v>
      </c>
      <c r="R28" s="344"/>
      <c r="S28" s="344"/>
      <c r="T28" s="344"/>
      <c r="U28" s="344"/>
      <c r="V28" s="344"/>
      <c r="W28" s="344"/>
      <c r="Z28" s="344"/>
      <c r="AA28" s="354"/>
      <c r="AB28" s="344"/>
      <c r="AC28" s="344"/>
      <c r="AD28" s="344"/>
      <c r="AE28" s="344"/>
      <c r="AF28" s="344"/>
      <c r="AG28" s="344"/>
      <c r="AH28" s="344"/>
      <c r="AI28" s="344"/>
      <c r="AJ28" s="344"/>
      <c r="AK28" s="344"/>
      <c r="AL28" s="344"/>
      <c r="AM28" s="344"/>
    </row>
    <row r="29" spans="1:39" ht="5.0999999999999996" customHeight="1" thickBot="1" x14ac:dyDescent="0.25">
      <c r="A29" s="344"/>
      <c r="B29" s="344"/>
      <c r="C29" s="392"/>
      <c r="D29" s="344"/>
      <c r="E29" s="344"/>
      <c r="F29" s="393"/>
      <c r="G29" s="1636"/>
      <c r="H29" s="386"/>
      <c r="I29" s="2861"/>
      <c r="J29" s="2861"/>
      <c r="K29" s="344"/>
      <c r="L29" s="344"/>
      <c r="M29" s="380"/>
      <c r="R29" s="344"/>
      <c r="S29" s="344"/>
      <c r="T29" s="344"/>
      <c r="U29" s="344"/>
      <c r="V29" s="344"/>
      <c r="W29" s="344"/>
      <c r="Z29" s="344"/>
      <c r="AA29" s="344"/>
      <c r="AB29" s="344"/>
      <c r="AC29" s="344"/>
      <c r="AD29" s="344"/>
      <c r="AE29" s="344"/>
      <c r="AF29" s="344"/>
      <c r="AG29" s="344"/>
      <c r="AH29" s="344"/>
      <c r="AI29" s="344"/>
      <c r="AJ29" s="344"/>
      <c r="AK29" s="344"/>
      <c r="AL29" s="344"/>
      <c r="AM29" s="344"/>
    </row>
    <row r="30" spans="1:39" ht="15.75" customHeight="1" x14ac:dyDescent="0.2">
      <c r="A30" s="344"/>
      <c r="B30" s="344"/>
      <c r="C30" s="344"/>
      <c r="D30" s="344"/>
      <c r="E30" s="411" t="s">
        <v>488</v>
      </c>
      <c r="F30" s="735" t="str">
        <f>O26</f>
        <v>mit</v>
      </c>
      <c r="G30" s="1635" t="s">
        <v>27889</v>
      </c>
      <c r="H30" s="802">
        <v>175</v>
      </c>
      <c r="I30" s="2861"/>
      <c r="J30" s="2861"/>
      <c r="K30" s="344"/>
      <c r="L30" s="344"/>
      <c r="N30" s="2854" t="s">
        <v>28448</v>
      </c>
      <c r="O30" s="2850">
        <v>80</v>
      </c>
      <c r="R30" s="344"/>
      <c r="S30" s="344"/>
      <c r="T30" s="344"/>
      <c r="U30" s="344"/>
      <c r="V30" s="344"/>
      <c r="W30" s="344"/>
      <c r="Z30" s="344"/>
      <c r="AA30" s="359"/>
      <c r="AB30" s="344"/>
      <c r="AC30" s="344"/>
      <c r="AD30" s="344"/>
      <c r="AE30" s="344"/>
      <c r="AF30" s="344"/>
      <c r="AG30" s="344"/>
      <c r="AH30" s="344"/>
      <c r="AI30" s="344"/>
      <c r="AJ30" s="344"/>
      <c r="AK30" s="344"/>
      <c r="AL30" s="344"/>
      <c r="AM30" s="344"/>
    </row>
    <row r="31" spans="1:39" ht="5.0999999999999996" customHeight="1" x14ac:dyDescent="0.2">
      <c r="A31" s="344"/>
      <c r="B31" s="344"/>
      <c r="C31" s="344"/>
      <c r="D31" s="344"/>
      <c r="E31" s="344"/>
      <c r="F31" s="386"/>
      <c r="G31" s="386"/>
      <c r="H31" s="386"/>
      <c r="I31" s="2861"/>
      <c r="J31" s="2861"/>
      <c r="K31" s="344"/>
      <c r="L31" s="344"/>
      <c r="M31" s="380"/>
      <c r="N31" s="2855"/>
      <c r="O31" s="2796"/>
      <c r="R31" s="344"/>
      <c r="S31" s="344"/>
      <c r="T31" s="344"/>
      <c r="U31" s="344"/>
      <c r="V31" s="344"/>
      <c r="W31" s="344"/>
      <c r="Z31" s="344"/>
      <c r="AA31" s="359"/>
      <c r="AB31" s="344"/>
      <c r="AC31" s="344"/>
      <c r="AD31" s="344"/>
      <c r="AE31" s="344"/>
      <c r="AF31" s="344"/>
      <c r="AG31" s="344"/>
      <c r="AH31" s="344"/>
      <c r="AI31" s="344"/>
      <c r="AJ31" s="344"/>
      <c r="AK31" s="344"/>
      <c r="AL31" s="344"/>
      <c r="AM31" s="344"/>
    </row>
    <row r="32" spans="1:39" ht="15.75" customHeight="1" thickBot="1" x14ac:dyDescent="0.25">
      <c r="A32" s="344"/>
      <c r="B32" s="344"/>
      <c r="C32" s="344"/>
      <c r="D32" s="344"/>
      <c r="E32" s="411" t="s">
        <v>489</v>
      </c>
      <c r="F32" s="333" t="str">
        <f>IF(F26&lt;250,F115,F114)</f>
        <v>wandhängend (auf Konsolen)</v>
      </c>
      <c r="G32" s="1690">
        <f>IF(H30=250,"Aufdopplungstiefe: ",0)</f>
        <v>0</v>
      </c>
      <c r="H32" s="423">
        <v>60</v>
      </c>
      <c r="I32" s="2861"/>
      <c r="J32" s="2861"/>
      <c r="K32" s="344"/>
      <c r="L32" s="344"/>
      <c r="N32" s="2856"/>
      <c r="O32" s="2851"/>
      <c r="Q32" s="344"/>
      <c r="R32" s="344"/>
      <c r="S32" s="344"/>
      <c r="T32" s="344"/>
      <c r="U32" s="344"/>
      <c r="V32" s="344"/>
      <c r="W32" s="344"/>
      <c r="Z32" s="344"/>
      <c r="AA32" s="359"/>
      <c r="AB32" s="344"/>
      <c r="AC32" s="344"/>
      <c r="AD32" s="344"/>
      <c r="AE32" s="344"/>
      <c r="AF32" s="344"/>
      <c r="AG32" s="344"/>
      <c r="AH32" s="344"/>
      <c r="AI32" s="344"/>
      <c r="AJ32" s="344"/>
      <c r="AK32" s="344"/>
      <c r="AL32" s="344"/>
      <c r="AM32" s="344"/>
    </row>
    <row r="33" spans="1:39" s="344" customFormat="1" ht="5.0999999999999996" customHeight="1" thickBot="1" x14ac:dyDescent="0.25">
      <c r="E33" s="392"/>
      <c r="F33" s="393"/>
      <c r="G33" s="390"/>
      <c r="H33" s="393"/>
      <c r="I33" s="1769"/>
      <c r="J33" s="1769"/>
      <c r="M33" s="380"/>
      <c r="N33" s="9"/>
      <c r="O33" s="193"/>
      <c r="P33" s="9"/>
      <c r="AA33" s="359"/>
    </row>
    <row r="34" spans="1:39" ht="26.45" customHeight="1" thickBot="1" x14ac:dyDescent="0.25">
      <c r="A34" s="344"/>
      <c r="B34" s="344"/>
      <c r="C34" s="344"/>
      <c r="D34" s="344"/>
      <c r="E34" s="411" t="s">
        <v>490</v>
      </c>
      <c r="F34" s="802">
        <f>O34</f>
        <v>365</v>
      </c>
      <c r="G34" s="1689" t="str">
        <f>IF(F32=F114,'Berechnung &amp; Tabellen'!O231&amp;" Konsolen, Konsolenabstand "&amp;'Berechnung &amp; Tabellen'!N232&amp;"mm","")</f>
        <v>2 Konsolen, Konsolenabstand 100mm</v>
      </c>
      <c r="H34" s="2852" t="str">
        <f>IF(AND(F34&gt;0,OR(F34&lt;75,F34&gt;1001)),"Achtung Festfeldabmaße außerhalb der Automatischen Berechnung! Benötigtes Material manuell ausschreiben.","")</f>
        <v/>
      </c>
      <c r="I34" s="2852"/>
      <c r="J34" s="2852"/>
      <c r="K34" s="344"/>
      <c r="L34" s="344"/>
      <c r="N34" s="1207" t="s">
        <v>28238</v>
      </c>
      <c r="O34" s="1208">
        <f>IF(AND(F30=E101,F28&lt;&gt;F101),IF(F32=F115,F36-F38,F36-F38-F26+O30),IF(AND(F28=F101,F30=E101),"?",0))</f>
        <v>365</v>
      </c>
      <c r="Q34" s="344"/>
      <c r="R34" s="344"/>
      <c r="S34" s="344"/>
      <c r="T34" s="344"/>
      <c r="U34" s="344"/>
      <c r="V34" s="344"/>
      <c r="W34" s="344"/>
      <c r="Z34" s="344"/>
      <c r="AA34" s="354"/>
      <c r="AB34" s="344"/>
      <c r="AC34" s="344"/>
      <c r="AD34" s="344"/>
      <c r="AE34" s="344"/>
      <c r="AF34" s="344"/>
      <c r="AG34" s="344"/>
      <c r="AH34" s="344"/>
      <c r="AI34" s="344"/>
      <c r="AJ34" s="344"/>
      <c r="AK34" s="344"/>
      <c r="AL34" s="344"/>
      <c r="AM34" s="344"/>
    </row>
    <row r="35" spans="1:39" ht="5.0999999999999996" customHeight="1" x14ac:dyDescent="0.2">
      <c r="A35" s="344"/>
      <c r="B35" s="344"/>
      <c r="C35" s="344"/>
      <c r="D35" s="344"/>
      <c r="E35" s="344"/>
      <c r="F35" s="386"/>
      <c r="G35" s="386"/>
      <c r="H35" s="2852"/>
      <c r="I35" s="2852"/>
      <c r="J35" s="2852"/>
      <c r="K35" s="344"/>
      <c r="L35" s="344"/>
      <c r="M35" s="380"/>
      <c r="Q35" s="344"/>
      <c r="R35" s="344"/>
      <c r="S35" s="344"/>
      <c r="T35" s="344"/>
      <c r="U35" s="344"/>
      <c r="V35" s="344"/>
      <c r="W35" s="344"/>
      <c r="Z35" s="344"/>
      <c r="AA35" s="344"/>
      <c r="AB35" s="344"/>
      <c r="AC35" s="344"/>
      <c r="AD35" s="344"/>
      <c r="AE35" s="344"/>
      <c r="AF35" s="344"/>
      <c r="AG35" s="344"/>
      <c r="AH35" s="344"/>
      <c r="AI35" s="344"/>
      <c r="AJ35" s="344"/>
      <c r="AK35" s="344"/>
      <c r="AL35" s="344"/>
      <c r="AM35" s="344"/>
    </row>
    <row r="36" spans="1:39" ht="15.75" customHeight="1" x14ac:dyDescent="0.2">
      <c r="A36" s="344"/>
      <c r="B36" s="344"/>
      <c r="C36" s="344"/>
      <c r="D36" s="344"/>
      <c r="E36" s="666" t="s">
        <v>744</v>
      </c>
      <c r="F36" s="1253">
        <v>2800</v>
      </c>
      <c r="H36" s="2852"/>
      <c r="I36" s="2852"/>
      <c r="J36" s="2852"/>
      <c r="K36" s="344"/>
      <c r="L36" s="344"/>
      <c r="M36" s="130"/>
      <c r="N36" s="1634" t="s">
        <v>28471</v>
      </c>
      <c r="O36" s="407">
        <f>'Berechnung &amp; Tabellen'!L298</f>
        <v>1</v>
      </c>
      <c r="P36" s="344"/>
      <c r="Q36" s="344"/>
      <c r="R36" s="344"/>
      <c r="S36" s="344"/>
      <c r="T36" s="344"/>
      <c r="U36" s="344"/>
      <c r="V36" s="344"/>
      <c r="W36" s="344"/>
      <c r="Z36" s="344"/>
      <c r="AA36" s="354"/>
      <c r="AB36" s="344"/>
      <c r="AC36" s="344"/>
      <c r="AD36" s="344"/>
      <c r="AE36" s="344"/>
      <c r="AF36" s="344"/>
      <c r="AG36" s="344"/>
      <c r="AH36" s="344"/>
      <c r="AI36" s="344"/>
      <c r="AJ36" s="344"/>
      <c r="AK36" s="344"/>
      <c r="AL36" s="344"/>
      <c r="AM36" s="344"/>
    </row>
    <row r="37" spans="1:39" ht="5.0999999999999996" customHeight="1" thickBot="1" x14ac:dyDescent="0.25">
      <c r="A37" s="344"/>
      <c r="B37" s="344"/>
      <c r="C37" s="344"/>
      <c r="D37" s="344"/>
      <c r="E37" s="344"/>
      <c r="F37" s="396"/>
      <c r="H37" s="2852"/>
      <c r="I37" s="2852"/>
      <c r="J37" s="2852"/>
      <c r="K37" s="344"/>
      <c r="L37" s="344"/>
      <c r="M37" s="395"/>
      <c r="N37" s="344"/>
      <c r="O37" s="768"/>
      <c r="P37" s="396"/>
      <c r="Q37" s="344"/>
      <c r="R37" s="344"/>
      <c r="S37" s="344"/>
      <c r="T37" s="344"/>
      <c r="U37" s="344"/>
      <c r="V37" s="344"/>
      <c r="W37" s="344"/>
      <c r="Z37" s="344"/>
      <c r="AA37" s="344"/>
      <c r="AB37" s="344"/>
      <c r="AC37" s="344"/>
      <c r="AD37" s="344"/>
      <c r="AE37" s="344"/>
      <c r="AF37" s="344"/>
      <c r="AG37" s="344"/>
      <c r="AH37" s="344"/>
      <c r="AI37" s="344"/>
      <c r="AJ37" s="344"/>
      <c r="AK37" s="344"/>
      <c r="AL37" s="344"/>
      <c r="AM37" s="344"/>
    </row>
    <row r="38" spans="1:39" ht="15.75" customHeight="1" x14ac:dyDescent="0.2">
      <c r="A38" s="344"/>
      <c r="B38" s="344"/>
      <c r="C38" s="344"/>
      <c r="D38" s="344"/>
      <c r="E38" s="666" t="s">
        <v>745</v>
      </c>
      <c r="F38" s="1254">
        <v>0</v>
      </c>
      <c r="H38" s="2852"/>
      <c r="I38" s="2852"/>
      <c r="J38" s="2852"/>
      <c r="K38" s="344"/>
      <c r="L38" s="344"/>
      <c r="M38" s="395"/>
      <c r="N38" s="2857" t="s">
        <v>28412</v>
      </c>
      <c r="O38" s="2858"/>
      <c r="P38" s="396"/>
      <c r="Q38" s="344"/>
      <c r="R38" s="344"/>
      <c r="S38" s="344"/>
      <c r="T38" s="344"/>
      <c r="U38" s="344"/>
      <c r="V38" s="344"/>
      <c r="W38" s="344"/>
      <c r="Z38" s="344"/>
      <c r="AA38" s="344"/>
      <c r="AB38" s="344"/>
      <c r="AC38" s="344"/>
      <c r="AD38" s="344"/>
      <c r="AE38" s="344"/>
      <c r="AF38" s="344"/>
      <c r="AG38" s="344"/>
      <c r="AH38" s="344"/>
      <c r="AI38" s="344"/>
      <c r="AJ38" s="344"/>
      <c r="AK38" s="344"/>
      <c r="AL38" s="344"/>
      <c r="AM38" s="344"/>
    </row>
    <row r="39" spans="1:39" ht="5.0999999999999996" customHeight="1" x14ac:dyDescent="0.2">
      <c r="A39" s="344"/>
      <c r="B39" s="344"/>
      <c r="C39" s="344"/>
      <c r="D39" s="344"/>
      <c r="E39" s="344"/>
      <c r="F39" s="408"/>
      <c r="H39" s="344"/>
      <c r="I39" s="344"/>
      <c r="J39" s="344"/>
      <c r="K39" s="344"/>
      <c r="L39" s="344"/>
      <c r="M39" s="395"/>
      <c r="N39" s="2859"/>
      <c r="O39" s="2860"/>
      <c r="P39" s="396"/>
      <c r="Q39" s="344"/>
      <c r="R39" s="344"/>
      <c r="S39" s="344"/>
      <c r="T39" s="344"/>
      <c r="U39" s="344"/>
      <c r="V39" s="344"/>
      <c r="W39" s="344"/>
      <c r="Z39" s="344"/>
      <c r="AA39" s="344"/>
      <c r="AB39" s="344"/>
      <c r="AC39" s="344"/>
      <c r="AD39" s="344"/>
      <c r="AE39" s="344"/>
      <c r="AF39" s="344"/>
      <c r="AG39" s="344"/>
      <c r="AH39" s="344"/>
      <c r="AI39" s="344"/>
      <c r="AJ39" s="344"/>
      <c r="AK39" s="344"/>
      <c r="AL39" s="344"/>
      <c r="AM39" s="344"/>
    </row>
    <row r="40" spans="1:39" ht="15.75" customHeight="1" x14ac:dyDescent="0.2">
      <c r="A40" s="344"/>
      <c r="B40" s="344"/>
      <c r="C40" s="344"/>
      <c r="E40" s="411" t="str">
        <f>IF(F30=E101,H186,"")</f>
        <v>Festfeld Befestigung:</v>
      </c>
      <c r="F40" s="2058" t="str">
        <f>O24</f>
        <v>Standard (links) / Standard (rechts)</v>
      </c>
      <c r="G40" s="190">
        <f>IF(F40=H100,"RAL:",0)</f>
        <v>0</v>
      </c>
      <c r="I40" s="344"/>
      <c r="J40" s="344"/>
      <c r="K40" s="344"/>
      <c r="L40" s="344"/>
      <c r="M40" s="395"/>
      <c r="N40" s="2859"/>
      <c r="O40" s="2860"/>
      <c r="P40" s="344"/>
      <c r="Q40" s="344"/>
      <c r="R40" s="344"/>
      <c r="S40" s="344"/>
      <c r="T40" s="344"/>
      <c r="U40" s="344"/>
      <c r="V40" s="344"/>
      <c r="W40" s="344"/>
      <c r="Z40" s="344"/>
      <c r="AA40" s="344"/>
      <c r="AB40" s="344"/>
      <c r="AC40" s="344"/>
      <c r="AD40" s="344"/>
      <c r="AE40" s="344"/>
      <c r="AF40" s="344"/>
      <c r="AG40" s="344"/>
      <c r="AH40" s="344"/>
      <c r="AI40" s="344"/>
      <c r="AJ40" s="344"/>
      <c r="AK40" s="344"/>
      <c r="AL40" s="344"/>
      <c r="AM40" s="344"/>
    </row>
    <row r="41" spans="1:39" ht="5.0999999999999996" customHeight="1" x14ac:dyDescent="0.2">
      <c r="A41" s="344"/>
      <c r="B41" s="344"/>
      <c r="C41" s="344"/>
      <c r="D41" s="344"/>
      <c r="E41" s="344"/>
      <c r="F41" s="408"/>
      <c r="H41" s="344"/>
      <c r="I41" s="344"/>
      <c r="J41" s="344"/>
      <c r="K41" s="344"/>
      <c r="L41" s="344"/>
      <c r="M41" s="395"/>
      <c r="N41" s="2859"/>
      <c r="O41" s="2860"/>
      <c r="P41" s="396"/>
      <c r="Q41" s="344"/>
      <c r="R41" s="344"/>
      <c r="S41" s="344"/>
      <c r="T41" s="344"/>
      <c r="U41" s="344"/>
      <c r="V41" s="344"/>
      <c r="W41" s="344"/>
      <c r="Z41" s="344"/>
      <c r="AA41" s="344"/>
      <c r="AB41" s="344"/>
      <c r="AC41" s="344"/>
      <c r="AD41" s="344"/>
      <c r="AE41" s="344"/>
      <c r="AF41" s="344"/>
      <c r="AG41" s="344"/>
      <c r="AH41" s="344"/>
      <c r="AI41" s="344"/>
      <c r="AJ41" s="344"/>
      <c r="AK41" s="344"/>
      <c r="AL41" s="344"/>
      <c r="AM41" s="344"/>
    </row>
    <row r="42" spans="1:39" ht="15.75" customHeight="1" x14ac:dyDescent="0.2">
      <c r="A42" s="344"/>
      <c r="B42" s="344"/>
      <c r="C42" s="344"/>
      <c r="E42" s="411" t="s">
        <v>491</v>
      </c>
      <c r="F42" s="333" t="s">
        <v>465</v>
      </c>
      <c r="G42" s="190">
        <f>IF(F42=H102,"RAL:",0)</f>
        <v>0</v>
      </c>
      <c r="H42" s="1845"/>
      <c r="I42" s="344"/>
      <c r="J42" s="344"/>
      <c r="K42" s="344"/>
      <c r="L42" s="344"/>
      <c r="M42" s="395"/>
      <c r="N42" s="2859"/>
      <c r="O42" s="2860"/>
      <c r="P42" s="344"/>
      <c r="Q42" s="344"/>
      <c r="R42" s="344"/>
      <c r="S42" s="344"/>
      <c r="T42" s="344"/>
      <c r="U42" s="344"/>
      <c r="V42" s="344"/>
      <c r="W42" s="344"/>
      <c r="Z42" s="344"/>
      <c r="AA42" s="344"/>
      <c r="AB42" s="344"/>
      <c r="AC42" s="344"/>
      <c r="AD42" s="344"/>
      <c r="AE42" s="344"/>
      <c r="AF42" s="344"/>
      <c r="AG42" s="344"/>
      <c r="AH42" s="344"/>
      <c r="AI42" s="344"/>
      <c r="AJ42" s="344"/>
      <c r="AK42" s="344"/>
      <c r="AL42" s="344"/>
      <c r="AM42" s="344"/>
    </row>
    <row r="43" spans="1:39" ht="4.7" customHeight="1" x14ac:dyDescent="0.2">
      <c r="A43" s="344"/>
      <c r="B43" s="344"/>
      <c r="C43" s="344"/>
      <c r="D43" s="344"/>
      <c r="E43" s="344"/>
      <c r="F43" s="344"/>
      <c r="G43" s="344"/>
      <c r="H43" s="344"/>
      <c r="I43" s="344"/>
      <c r="J43" s="344"/>
      <c r="K43" s="344"/>
      <c r="L43" s="344"/>
      <c r="M43" s="130"/>
      <c r="N43" s="1217"/>
      <c r="O43" s="1218"/>
      <c r="P43" s="344"/>
      <c r="Q43" s="344"/>
      <c r="R43" s="344"/>
      <c r="S43" s="344"/>
      <c r="T43" s="344"/>
      <c r="U43" s="344"/>
      <c r="V43" s="344"/>
      <c r="W43" s="344"/>
      <c r="Z43" s="344"/>
      <c r="AA43" s="344"/>
      <c r="AB43" s="344"/>
      <c r="AC43" s="344"/>
      <c r="AD43" s="344"/>
      <c r="AE43" s="344"/>
      <c r="AF43" s="344"/>
      <c r="AG43" s="344"/>
      <c r="AH43" s="344"/>
      <c r="AI43" s="344"/>
      <c r="AJ43" s="344"/>
      <c r="AK43" s="344"/>
      <c r="AL43" s="344"/>
      <c r="AM43" s="344"/>
    </row>
    <row r="44" spans="1:39" ht="15.75" customHeight="1" x14ac:dyDescent="0.2">
      <c r="A44" s="344"/>
      <c r="B44" s="344"/>
      <c r="C44" s="344"/>
      <c r="E44" s="411" t="str">
        <f>IF(F42=H100,H180,"")</f>
        <v/>
      </c>
      <c r="F44" s="2233">
        <f>IF(F42=H100,I183,)</f>
        <v>0</v>
      </c>
      <c r="G44" s="190" t="str">
        <f>IF(F44=I184,"2K Lack (Promaseal):","")</f>
        <v/>
      </c>
      <c r="H44" s="2002">
        <v>0</v>
      </c>
      <c r="I44" s="344"/>
      <c r="J44" s="344"/>
      <c r="K44" s="344"/>
      <c r="L44" s="344"/>
      <c r="M44" s="395"/>
      <c r="N44" s="1217"/>
      <c r="O44" s="1218"/>
      <c r="P44" s="344"/>
      <c r="Q44" s="344"/>
      <c r="R44" s="344"/>
      <c r="S44" s="344"/>
      <c r="T44" s="344"/>
      <c r="U44" s="344"/>
      <c r="V44" s="344"/>
      <c r="W44" s="344"/>
      <c r="Z44" s="344"/>
      <c r="AA44" s="344"/>
      <c r="AB44" s="344"/>
      <c r="AC44" s="344"/>
      <c r="AD44" s="344"/>
      <c r="AE44" s="344"/>
      <c r="AF44" s="344"/>
      <c r="AG44" s="344"/>
      <c r="AH44" s="344"/>
      <c r="AI44" s="344"/>
      <c r="AJ44" s="344"/>
      <c r="AK44" s="344"/>
      <c r="AL44" s="344"/>
      <c r="AM44" s="344"/>
    </row>
    <row r="45" spans="1:39" ht="4.7" customHeight="1" x14ac:dyDescent="0.2">
      <c r="A45" s="344"/>
      <c r="B45" s="344"/>
      <c r="C45" s="344"/>
      <c r="D45" s="344"/>
      <c r="E45" s="344"/>
      <c r="F45" s="344"/>
      <c r="G45" s="344"/>
      <c r="H45" s="344"/>
      <c r="I45" s="344"/>
      <c r="J45" s="344"/>
      <c r="K45" s="344"/>
      <c r="L45" s="344"/>
      <c r="M45" s="130"/>
      <c r="N45" s="1217"/>
      <c r="O45" s="1218"/>
      <c r="P45" s="344"/>
      <c r="Q45" s="344"/>
      <c r="R45" s="344"/>
      <c r="S45" s="344"/>
      <c r="T45" s="344"/>
      <c r="U45" s="344"/>
      <c r="V45" s="344"/>
      <c r="W45" s="344"/>
      <c r="Z45" s="344"/>
      <c r="AA45" s="344"/>
      <c r="AB45" s="344"/>
      <c r="AC45" s="344"/>
      <c r="AD45" s="344"/>
      <c r="AE45" s="344"/>
      <c r="AF45" s="344"/>
      <c r="AG45" s="344"/>
      <c r="AH45" s="344"/>
      <c r="AI45" s="344"/>
      <c r="AJ45" s="344"/>
      <c r="AK45" s="344"/>
      <c r="AL45" s="344"/>
      <c r="AM45" s="344"/>
    </row>
    <row r="46" spans="1:39" ht="24.75" customHeight="1" x14ac:dyDescent="0.2">
      <c r="A46" s="2884" t="s">
        <v>28223</v>
      </c>
      <c r="B46" s="2884"/>
      <c r="C46" s="2884"/>
      <c r="D46" s="2884"/>
      <c r="E46" s="2885"/>
      <c r="F46" s="1195" t="s">
        <v>28087</v>
      </c>
      <c r="G46" s="190" t="str">
        <f>IF(F46=$H$109,"RAL:","")&amp;IF(OR(F46=$H$106,F46=$H$107),"ähnl. RAL:","")</f>
        <v>ähnl. RAL:</v>
      </c>
      <c r="H46" s="1211">
        <f>IF(F46=$H$106,7016,IF(OR(F46=$H$107,F46=$H$109),"?",""))</f>
        <v>7016</v>
      </c>
      <c r="K46" s="1216">
        <f>IF(OR(F46=$H$106,F46=$H$107),1,0)</f>
        <v>1</v>
      </c>
      <c r="L46" s="1194">
        <f>IF(F46=$H$107,1,0)</f>
        <v>0</v>
      </c>
      <c r="N46" s="1229">
        <f>IF('Berechnung &amp; Tabellen'!O12&lt;&gt;"","RAL "&amp;'Berechnung &amp; Tabellen'!O12,0)</f>
        <v>0</v>
      </c>
      <c r="O46" s="1230">
        <f>'Berechnung &amp; Tabellen'!P12*2</f>
        <v>0</v>
      </c>
      <c r="P46" s="344"/>
      <c r="Q46" s="344"/>
      <c r="R46" s="344"/>
      <c r="S46" s="344"/>
      <c r="T46" s="344"/>
      <c r="U46" s="344"/>
      <c r="V46" s="344"/>
      <c r="W46" s="344"/>
      <c r="Z46" s="344"/>
      <c r="AA46" s="344"/>
      <c r="AB46" s="344"/>
      <c r="AC46" s="344"/>
      <c r="AD46" s="344"/>
      <c r="AE46" s="344"/>
      <c r="AF46" s="344"/>
      <c r="AG46" s="344"/>
      <c r="AH46" s="344"/>
      <c r="AI46" s="344"/>
      <c r="AJ46" s="344"/>
      <c r="AK46" s="344"/>
      <c r="AL46" s="344"/>
      <c r="AM46" s="344"/>
    </row>
    <row r="47" spans="1:39" ht="4.7" customHeight="1" x14ac:dyDescent="0.2">
      <c r="A47" s="396"/>
      <c r="B47" s="396"/>
      <c r="C47" s="396"/>
      <c r="D47" s="396"/>
      <c r="E47" s="397"/>
      <c r="F47" s="398"/>
      <c r="H47" s="1215"/>
      <c r="K47" s="1216"/>
      <c r="L47" s="1216"/>
      <c r="M47" s="131"/>
      <c r="N47" s="1231"/>
      <c r="O47" s="1230"/>
      <c r="P47" s="344"/>
      <c r="Q47" s="344"/>
      <c r="R47" s="344"/>
      <c r="S47" s="344"/>
      <c r="T47" s="344"/>
      <c r="U47" s="344"/>
      <c r="V47" s="344"/>
      <c r="W47" s="344"/>
      <c r="Z47" s="344"/>
      <c r="AA47" s="344"/>
      <c r="AB47" s="344"/>
      <c r="AC47" s="344"/>
      <c r="AD47" s="344"/>
      <c r="AE47" s="344"/>
      <c r="AF47" s="344"/>
      <c r="AG47" s="344"/>
      <c r="AH47" s="344"/>
      <c r="AI47" s="344"/>
      <c r="AJ47" s="344"/>
      <c r="AK47" s="344"/>
      <c r="AL47" s="344"/>
      <c r="AM47" s="344"/>
    </row>
    <row r="48" spans="1:39" ht="24.95" customHeight="1" x14ac:dyDescent="0.2">
      <c r="A48" s="2884" t="s">
        <v>28224</v>
      </c>
      <c r="B48" s="2884"/>
      <c r="C48" s="2884"/>
      <c r="D48" s="2884"/>
      <c r="E48" s="2885"/>
      <c r="F48" s="1195" t="str">
        <f>F46</f>
        <v>Standardfarbgebung</v>
      </c>
      <c r="G48" s="190" t="str">
        <f>IF(F48=$H$109,"RAL:","")&amp;IF(OR(F48=$H$106,F48=$H$107),"ähnl. RAL:","")</f>
        <v>ähnl. RAL:</v>
      </c>
      <c r="H48" s="1211">
        <f>IF(F48=$H$106,7016,IF(OR(F48=$H$107,F48=$H$109),"?",""))</f>
        <v>7016</v>
      </c>
      <c r="K48" s="1216">
        <f>IF(OR(F48=$H$106,F48=$H$107),1,0)</f>
        <v>1</v>
      </c>
      <c r="L48" s="1194">
        <f>IF(F48=$H$107,2,0)</f>
        <v>0</v>
      </c>
      <c r="N48" s="1229">
        <f>IF('Berechnung &amp; Tabellen'!O13&lt;&gt;"","RAL "&amp;'Berechnung &amp; Tabellen'!O13,0)</f>
        <v>0</v>
      </c>
      <c r="O48" s="1230">
        <f>'Berechnung &amp; Tabellen'!P13*2</f>
        <v>0</v>
      </c>
      <c r="P48" s="344"/>
      <c r="Q48" s="344"/>
      <c r="R48" s="344"/>
      <c r="S48" s="344"/>
      <c r="T48" s="344"/>
      <c r="U48" s="344"/>
      <c r="V48" s="344"/>
      <c r="W48" s="344"/>
      <c r="Z48" s="344"/>
      <c r="AA48" s="344"/>
      <c r="AB48" s="344"/>
      <c r="AC48" s="344"/>
      <c r="AD48" s="344"/>
      <c r="AE48" s="344"/>
      <c r="AF48" s="344"/>
      <c r="AG48" s="344"/>
      <c r="AH48" s="344"/>
      <c r="AI48" s="344"/>
      <c r="AJ48" s="344"/>
      <c r="AK48" s="344"/>
      <c r="AL48" s="344"/>
      <c r="AM48" s="344"/>
    </row>
    <row r="49" spans="1:39" ht="4.7" customHeight="1" x14ac:dyDescent="0.2">
      <c r="A49" s="396"/>
      <c r="B49" s="396"/>
      <c r="C49" s="396"/>
      <c r="D49" s="396"/>
      <c r="E49" s="397"/>
      <c r="F49" s="398"/>
      <c r="H49" s="1215"/>
      <c r="K49" s="1216"/>
      <c r="L49" s="1216"/>
      <c r="M49" s="131"/>
      <c r="N49" s="1231"/>
      <c r="O49" s="1230"/>
      <c r="P49" s="344"/>
      <c r="Q49" s="344"/>
      <c r="R49" s="344"/>
      <c r="S49" s="344"/>
      <c r="T49" s="344"/>
      <c r="U49" s="344"/>
      <c r="V49" s="344"/>
      <c r="W49" s="344"/>
      <c r="Z49" s="344"/>
      <c r="AA49" s="344"/>
      <c r="AB49" s="344"/>
      <c r="AC49" s="344"/>
      <c r="AD49" s="344"/>
      <c r="AE49" s="344"/>
      <c r="AF49" s="344"/>
      <c r="AG49" s="344"/>
      <c r="AH49" s="344"/>
      <c r="AI49" s="344"/>
      <c r="AJ49" s="344"/>
      <c r="AK49" s="344"/>
      <c r="AL49" s="344"/>
      <c r="AM49" s="344"/>
    </row>
    <row r="50" spans="1:39" ht="24.95" customHeight="1" thickBot="1" x14ac:dyDescent="0.25">
      <c r="A50" s="2884" t="s">
        <v>28225</v>
      </c>
      <c r="B50" s="2884"/>
      <c r="C50" s="2884"/>
      <c r="D50" s="2884"/>
      <c r="E50" s="2885"/>
      <c r="F50" s="1196" t="str">
        <f>IF(F30=E101,F48,"")</f>
        <v>Standardfarbgebung</v>
      </c>
      <c r="G50" s="190" t="str">
        <f>IF(F50=$H$109,"RAL:","")&amp;IF(OR(F50=$H$106,F50=$H$107),"ähnl. RAL:","")</f>
        <v>ähnl. RAL:</v>
      </c>
      <c r="H50" s="1211">
        <f>IF(F50=$H$106,7016,IF(OR(F50=$H$107,F50=$H$109),"?",""))</f>
        <v>7016</v>
      </c>
      <c r="K50" s="1216">
        <f>IF(OR(F50=$H$106,F50=$H$107),1,0)</f>
        <v>1</v>
      </c>
      <c r="L50" s="1194">
        <f>IF(F50=$H$107,4,0)</f>
        <v>0</v>
      </c>
      <c r="N50" s="1232">
        <f>IF('Berechnung &amp; Tabellen'!O14&lt;&gt;"","RAL "&amp;'Berechnung &amp; Tabellen'!O14,0)</f>
        <v>0</v>
      </c>
      <c r="O50" s="1233">
        <f>'Berechnung &amp; Tabellen'!P14*2</f>
        <v>0</v>
      </c>
      <c r="P50" s="344"/>
      <c r="Q50" s="344"/>
      <c r="R50" s="344"/>
      <c r="S50" s="344"/>
      <c r="T50" s="344"/>
      <c r="U50" s="344"/>
      <c r="V50" s="344"/>
      <c r="W50" s="344"/>
      <c r="Z50" s="344"/>
      <c r="AA50" s="344"/>
      <c r="AB50" s="344"/>
      <c r="AC50" s="344"/>
      <c r="AD50" s="344"/>
      <c r="AE50" s="344"/>
      <c r="AF50" s="344"/>
      <c r="AG50" s="344"/>
      <c r="AH50" s="344"/>
      <c r="AI50" s="344"/>
      <c r="AJ50" s="344"/>
      <c r="AK50" s="344"/>
      <c r="AL50" s="344"/>
      <c r="AM50" s="344"/>
    </row>
    <row r="51" spans="1:39" ht="4.7" customHeight="1" x14ac:dyDescent="0.2">
      <c r="E51" s="397"/>
      <c r="F51" s="399"/>
      <c r="K51" s="344"/>
      <c r="L51" s="344"/>
      <c r="M51" s="131"/>
      <c r="P51" s="344"/>
      <c r="Q51" s="344"/>
      <c r="R51" s="344"/>
      <c r="S51" s="344"/>
      <c r="T51" s="344"/>
      <c r="U51" s="344"/>
      <c r="V51" s="344"/>
      <c r="W51" s="344"/>
      <c r="Z51" s="344"/>
      <c r="AA51" s="344"/>
      <c r="AB51" s="344"/>
      <c r="AC51" s="344"/>
      <c r="AD51" s="344"/>
      <c r="AE51" s="344"/>
      <c r="AF51" s="344"/>
      <c r="AG51" s="344"/>
      <c r="AH51" s="344"/>
      <c r="AI51" s="344"/>
      <c r="AJ51" s="344"/>
      <c r="AK51" s="344"/>
      <c r="AL51" s="344"/>
      <c r="AM51" s="344"/>
    </row>
    <row r="52" spans="1:39" ht="15.75" customHeight="1" x14ac:dyDescent="0.2">
      <c r="E52" s="679" t="s">
        <v>28345</v>
      </c>
      <c r="F52" s="1472" t="s">
        <v>28791</v>
      </c>
      <c r="K52" s="344"/>
      <c r="L52" s="344"/>
      <c r="M52" s="131"/>
      <c r="N52" s="2762"/>
      <c r="O52" s="2764"/>
      <c r="P52" s="344"/>
      <c r="Q52" s="344"/>
      <c r="R52" s="344"/>
      <c r="S52" s="344"/>
      <c r="T52" s="344"/>
      <c r="U52" s="344"/>
      <c r="V52" s="344"/>
      <c r="W52" s="344"/>
      <c r="Z52" s="344"/>
      <c r="AA52" s="344"/>
      <c r="AB52" s="344"/>
      <c r="AC52" s="344"/>
      <c r="AD52" s="344"/>
      <c r="AE52" s="344"/>
      <c r="AF52" s="344"/>
      <c r="AG52" s="344"/>
      <c r="AH52" s="344"/>
      <c r="AI52" s="344"/>
      <c r="AJ52" s="344"/>
      <c r="AK52" s="344"/>
      <c r="AL52" s="344"/>
      <c r="AM52" s="344"/>
    </row>
    <row r="53" spans="1:39" ht="4.7" customHeight="1" x14ac:dyDescent="0.2">
      <c r="E53" s="412"/>
      <c r="F53" s="417"/>
      <c r="K53" s="344"/>
      <c r="L53" s="344"/>
      <c r="M53" s="131"/>
      <c r="N53" s="1247"/>
      <c r="O53" s="1219"/>
      <c r="P53" s="344"/>
      <c r="Q53" s="344"/>
      <c r="R53" s="344"/>
      <c r="S53" s="344"/>
      <c r="T53" s="344"/>
      <c r="U53" s="344"/>
      <c r="V53" s="344"/>
      <c r="W53" s="344"/>
      <c r="Z53" s="344"/>
      <c r="AA53" s="344"/>
      <c r="AB53" s="344"/>
      <c r="AC53" s="344"/>
      <c r="AD53" s="344"/>
      <c r="AE53" s="344"/>
      <c r="AF53" s="344"/>
      <c r="AG53" s="344"/>
      <c r="AH53" s="344"/>
      <c r="AI53" s="344"/>
      <c r="AJ53" s="344"/>
      <c r="AK53" s="344"/>
      <c r="AL53" s="344"/>
      <c r="AM53" s="344"/>
    </row>
    <row r="54" spans="1:39" ht="24.95" customHeight="1" x14ac:dyDescent="0.2">
      <c r="E54" s="749" t="s">
        <v>28346</v>
      </c>
      <c r="F54" s="416" t="s">
        <v>77</v>
      </c>
      <c r="G54" s="2866" t="s">
        <v>28588</v>
      </c>
      <c r="H54" s="2867"/>
      <c r="I54" s="2864"/>
      <c r="J54" s="2865"/>
      <c r="K54" s="344"/>
      <c r="L54" s="344"/>
      <c r="M54" s="131"/>
      <c r="N54" s="836"/>
      <c r="O54" s="838"/>
      <c r="P54" s="344"/>
      <c r="Q54" s="344"/>
      <c r="R54" s="344"/>
      <c r="S54" s="344"/>
      <c r="T54" s="344"/>
      <c r="U54" s="344"/>
      <c r="V54" s="344"/>
      <c r="W54" s="344"/>
      <c r="Z54" s="344"/>
      <c r="AA54" s="344"/>
      <c r="AB54" s="344"/>
      <c r="AC54" s="344"/>
      <c r="AD54" s="344"/>
      <c r="AE54" s="344"/>
      <c r="AF54" s="344"/>
      <c r="AG54" s="344"/>
      <c r="AH54" s="344"/>
      <c r="AI54" s="344"/>
      <c r="AJ54" s="344"/>
      <c r="AK54" s="344"/>
      <c r="AL54" s="344"/>
      <c r="AM54" s="344"/>
    </row>
    <row r="55" spans="1:39" ht="4.7" customHeight="1" x14ac:dyDescent="0.2">
      <c r="E55" s="412"/>
      <c r="F55" s="418"/>
      <c r="K55" s="344"/>
      <c r="L55" s="344"/>
      <c r="M55" s="131"/>
      <c r="N55" s="836"/>
      <c r="O55" s="838"/>
      <c r="P55" s="344"/>
      <c r="Q55" s="344"/>
      <c r="R55" s="344"/>
      <c r="S55" s="344"/>
      <c r="T55" s="344"/>
      <c r="U55" s="344"/>
      <c r="V55" s="344"/>
      <c r="W55" s="344"/>
      <c r="Z55" s="344"/>
      <c r="AA55" s="344"/>
      <c r="AB55" s="344"/>
      <c r="AC55" s="344"/>
      <c r="AD55" s="344"/>
      <c r="AE55" s="344"/>
      <c r="AF55" s="344"/>
      <c r="AG55" s="344"/>
      <c r="AH55" s="344"/>
      <c r="AI55" s="344"/>
      <c r="AJ55" s="344"/>
      <c r="AK55" s="344"/>
      <c r="AL55" s="344"/>
      <c r="AM55" s="344"/>
    </row>
    <row r="56" spans="1:39" ht="15.75" customHeight="1" x14ac:dyDescent="0.2">
      <c r="E56" s="679" t="s">
        <v>28347</v>
      </c>
      <c r="F56" s="416" t="str">
        <f>H123</f>
        <v>rechts (Standardausführung)</v>
      </c>
      <c r="K56" s="344"/>
      <c r="L56" s="344"/>
      <c r="M56" s="131"/>
      <c r="N56" s="836"/>
      <c r="O56" s="838"/>
      <c r="P56" s="344"/>
      <c r="Q56" s="344"/>
      <c r="R56" s="344"/>
      <c r="S56" s="344"/>
      <c r="T56" s="344"/>
      <c r="U56" s="344"/>
      <c r="V56" s="344"/>
      <c r="W56" s="344"/>
      <c r="Z56" s="344"/>
      <c r="AA56" s="344"/>
      <c r="AB56" s="344"/>
      <c r="AC56" s="344"/>
      <c r="AD56" s="344"/>
      <c r="AE56" s="344"/>
      <c r="AF56" s="344"/>
      <c r="AG56" s="344"/>
      <c r="AH56" s="344"/>
      <c r="AI56" s="344"/>
      <c r="AJ56" s="344"/>
      <c r="AK56" s="344"/>
      <c r="AL56" s="344"/>
      <c r="AM56" s="344"/>
    </row>
    <row r="57" spans="1:39" ht="4.7" hidden="1" customHeight="1" x14ac:dyDescent="0.2">
      <c r="E57" s="412"/>
      <c r="F57" s="418"/>
      <c r="K57" s="344"/>
      <c r="L57" s="344"/>
      <c r="M57" s="131"/>
      <c r="N57" s="2307"/>
      <c r="O57" s="838"/>
      <c r="P57" s="344"/>
      <c r="Q57" s="344"/>
      <c r="R57" s="344"/>
      <c r="S57" s="344"/>
      <c r="T57" s="344"/>
      <c r="U57" s="344"/>
      <c r="V57" s="344"/>
      <c r="W57" s="344"/>
      <c r="Z57" s="344"/>
      <c r="AA57" s="344"/>
      <c r="AB57" s="344"/>
      <c r="AC57" s="344"/>
      <c r="AD57" s="344"/>
      <c r="AE57" s="344"/>
      <c r="AF57" s="344"/>
      <c r="AG57" s="344"/>
      <c r="AH57" s="344"/>
      <c r="AI57" s="344"/>
      <c r="AJ57" s="344"/>
      <c r="AK57" s="344"/>
      <c r="AL57" s="344"/>
      <c r="AM57" s="344"/>
    </row>
    <row r="58" spans="1:39" ht="15.75" hidden="1" customHeight="1" x14ac:dyDescent="0.2">
      <c r="E58" s="679" t="s">
        <v>31022</v>
      </c>
      <c r="F58" s="416"/>
      <c r="K58" s="344"/>
      <c r="L58" s="344"/>
      <c r="M58" s="131"/>
      <c r="N58" s="2307"/>
      <c r="O58" s="838"/>
      <c r="P58" s="344"/>
      <c r="Q58" s="344"/>
      <c r="R58" s="344"/>
      <c r="S58" s="344"/>
      <c r="T58" s="344"/>
      <c r="U58" s="344"/>
      <c r="V58" s="344"/>
      <c r="W58" s="344"/>
      <c r="Z58" s="344"/>
      <c r="AA58" s="344"/>
      <c r="AB58" s="344"/>
      <c r="AC58" s="344"/>
      <c r="AD58" s="344"/>
      <c r="AE58" s="344"/>
      <c r="AF58" s="344"/>
      <c r="AG58" s="344"/>
      <c r="AH58" s="344"/>
      <c r="AI58" s="344"/>
      <c r="AJ58" s="344"/>
      <c r="AK58" s="344"/>
      <c r="AL58" s="344"/>
      <c r="AM58" s="344"/>
    </row>
    <row r="59" spans="1:39" ht="4.7" customHeight="1" x14ac:dyDescent="0.2">
      <c r="E59" s="412"/>
      <c r="F59" s="418"/>
      <c r="K59" s="344"/>
      <c r="L59" s="344"/>
      <c r="M59" s="131"/>
      <c r="N59" s="1248"/>
      <c r="O59" s="838"/>
      <c r="P59" s="344"/>
      <c r="Q59" s="344"/>
      <c r="R59" s="344"/>
      <c r="S59" s="344"/>
      <c r="T59" s="344"/>
      <c r="U59" s="344"/>
      <c r="V59" s="344"/>
      <c r="W59" s="344"/>
      <c r="Z59" s="344"/>
      <c r="AA59" s="344"/>
      <c r="AB59" s="344"/>
      <c r="AC59" s="344"/>
      <c r="AD59" s="344"/>
      <c r="AE59" s="344"/>
      <c r="AF59" s="344"/>
      <c r="AG59" s="344"/>
      <c r="AH59" s="344"/>
      <c r="AI59" s="344"/>
      <c r="AJ59" s="344"/>
      <c r="AK59" s="344"/>
      <c r="AL59" s="344"/>
      <c r="AM59" s="344"/>
    </row>
    <row r="60" spans="1:39" ht="15.75" customHeight="1" x14ac:dyDescent="0.2">
      <c r="E60" s="679" t="s">
        <v>29039</v>
      </c>
      <c r="F60" s="1547" t="s">
        <v>29043</v>
      </c>
      <c r="K60" s="344"/>
      <c r="L60" s="344"/>
      <c r="M60" s="131"/>
      <c r="N60" s="836"/>
      <c r="O60" s="838"/>
      <c r="P60" s="344"/>
      <c r="Q60" s="344"/>
      <c r="R60" s="344"/>
      <c r="S60" s="344"/>
      <c r="T60" s="344"/>
      <c r="U60" s="344"/>
      <c r="V60" s="344"/>
      <c r="W60" s="344"/>
      <c r="Z60" s="344"/>
      <c r="AA60" s="344"/>
      <c r="AB60" s="344"/>
      <c r="AC60" s="344"/>
      <c r="AD60" s="344"/>
      <c r="AE60" s="344"/>
      <c r="AF60" s="344"/>
      <c r="AG60" s="344"/>
      <c r="AH60" s="344"/>
      <c r="AI60" s="344"/>
      <c r="AJ60" s="344"/>
      <c r="AK60" s="344"/>
      <c r="AL60" s="344"/>
      <c r="AM60" s="344"/>
    </row>
    <row r="61" spans="1:39" ht="4.7" customHeight="1" x14ac:dyDescent="0.2">
      <c r="E61" s="397"/>
      <c r="F61" s="399"/>
      <c r="G61" s="113"/>
      <c r="H61" s="113"/>
      <c r="I61" s="113"/>
      <c r="J61" s="113"/>
      <c r="K61" s="344"/>
      <c r="L61" s="344"/>
      <c r="M61" s="131"/>
      <c r="N61" s="836"/>
      <c r="O61" s="838"/>
      <c r="P61" s="344"/>
      <c r="Q61" s="344"/>
      <c r="R61" s="344"/>
      <c r="S61" s="344"/>
      <c r="T61" s="344"/>
      <c r="U61" s="344"/>
      <c r="V61" s="344"/>
      <c r="W61" s="344"/>
      <c r="Z61" s="344"/>
      <c r="AA61" s="344"/>
      <c r="AB61" s="344"/>
      <c r="AC61" s="344"/>
      <c r="AD61" s="344"/>
      <c r="AE61" s="344"/>
      <c r="AF61" s="344"/>
      <c r="AG61" s="344"/>
      <c r="AH61" s="344"/>
      <c r="AI61" s="344"/>
      <c r="AJ61" s="344"/>
      <c r="AK61" s="344"/>
      <c r="AL61" s="344"/>
      <c r="AM61" s="344"/>
    </row>
    <row r="62" spans="1:39" ht="15.75" customHeight="1" x14ac:dyDescent="0.2">
      <c r="E62" s="397" t="s">
        <v>27998</v>
      </c>
      <c r="F62" s="416" t="s">
        <v>28000</v>
      </c>
      <c r="G62" s="113"/>
      <c r="H62" s="113"/>
      <c r="I62" s="113"/>
      <c r="J62" s="113"/>
      <c r="K62" s="344"/>
      <c r="L62" s="344"/>
      <c r="M62" s="131"/>
      <c r="N62" s="840"/>
      <c r="O62" s="841"/>
      <c r="P62" s="344"/>
      <c r="Q62" s="344"/>
      <c r="R62" s="344"/>
      <c r="S62" s="344"/>
      <c r="T62" s="344"/>
      <c r="U62" s="344"/>
      <c r="V62" s="344"/>
      <c r="W62" s="344"/>
      <c r="Z62" s="344"/>
      <c r="AA62" s="344"/>
      <c r="AB62" s="344"/>
      <c r="AC62" s="344"/>
      <c r="AD62" s="344"/>
      <c r="AE62" s="344"/>
      <c r="AF62" s="344"/>
      <c r="AG62" s="344"/>
      <c r="AH62" s="344"/>
      <c r="AI62" s="344"/>
      <c r="AJ62" s="344"/>
      <c r="AK62" s="344"/>
      <c r="AL62" s="344"/>
      <c r="AM62" s="344"/>
    </row>
    <row r="63" spans="1:39" ht="4.7" customHeight="1" x14ac:dyDescent="0.2">
      <c r="E63" s="397"/>
      <c r="F63" s="399"/>
      <c r="G63" s="113"/>
      <c r="H63" s="113"/>
      <c r="I63" s="113"/>
      <c r="J63" s="113"/>
      <c r="K63" s="344"/>
      <c r="L63" s="344"/>
      <c r="M63" s="131"/>
      <c r="P63" s="344"/>
      <c r="Q63" s="344"/>
      <c r="R63" s="344"/>
      <c r="S63" s="344"/>
      <c r="T63" s="344"/>
      <c r="U63" s="344"/>
      <c r="V63" s="344"/>
      <c r="W63" s="344"/>
      <c r="Z63" s="344"/>
      <c r="AA63" s="344"/>
      <c r="AB63" s="344"/>
      <c r="AC63" s="344"/>
      <c r="AD63" s="344"/>
      <c r="AE63" s="344"/>
      <c r="AF63" s="344"/>
      <c r="AG63" s="344"/>
      <c r="AH63" s="344"/>
      <c r="AI63" s="344"/>
      <c r="AJ63" s="344"/>
      <c r="AK63" s="344"/>
      <c r="AL63" s="344"/>
      <c r="AM63" s="344"/>
    </row>
    <row r="64" spans="1:39" ht="15.75" customHeight="1" x14ac:dyDescent="0.2">
      <c r="E64" s="679" t="s">
        <v>28344</v>
      </c>
      <c r="F64" s="735" t="s">
        <v>28219</v>
      </c>
      <c r="G64" s="113"/>
      <c r="H64" s="113"/>
      <c r="I64" s="113"/>
      <c r="J64" s="113"/>
      <c r="K64" s="344"/>
      <c r="L64" s="344"/>
      <c r="M64" s="131"/>
      <c r="O64" s="9"/>
      <c r="P64" s="344"/>
      <c r="Q64" s="344"/>
      <c r="R64" s="344"/>
      <c r="S64" s="344"/>
      <c r="T64" s="344"/>
      <c r="U64" s="344"/>
      <c r="V64" s="344"/>
      <c r="W64" s="344"/>
      <c r="Z64" s="344"/>
      <c r="AA64" s="344"/>
      <c r="AB64" s="344"/>
      <c r="AC64" s="344"/>
      <c r="AD64" s="344"/>
      <c r="AE64" s="344"/>
      <c r="AF64" s="344"/>
      <c r="AG64" s="344"/>
      <c r="AH64" s="344"/>
      <c r="AI64" s="344"/>
      <c r="AJ64" s="344"/>
      <c r="AK64" s="344"/>
      <c r="AL64" s="344"/>
      <c r="AM64" s="344"/>
    </row>
    <row r="65" spans="5:39" ht="4.7" customHeight="1" x14ac:dyDescent="0.2">
      <c r="E65" s="679"/>
      <c r="F65" s="399"/>
      <c r="G65" s="113"/>
      <c r="H65" s="113"/>
      <c r="I65" s="113"/>
      <c r="J65" s="113"/>
      <c r="K65" s="344"/>
      <c r="L65" s="344"/>
      <c r="M65" s="131"/>
      <c r="O65" s="9"/>
      <c r="P65" s="344"/>
      <c r="Q65" s="344"/>
      <c r="R65" s="344"/>
      <c r="S65" s="344"/>
      <c r="T65" s="344"/>
      <c r="U65" s="344"/>
      <c r="V65" s="344"/>
      <c r="W65" s="344"/>
      <c r="Z65" s="344"/>
      <c r="AA65" s="344"/>
      <c r="AB65" s="344"/>
      <c r="AC65" s="344"/>
      <c r="AD65" s="344"/>
      <c r="AE65" s="344"/>
      <c r="AF65" s="344"/>
      <c r="AG65" s="344"/>
      <c r="AH65" s="344"/>
      <c r="AI65" s="344"/>
      <c r="AJ65" s="344"/>
      <c r="AK65" s="344"/>
      <c r="AL65" s="344"/>
      <c r="AM65" s="344"/>
    </row>
    <row r="66" spans="5:39" ht="15.75" customHeight="1" x14ac:dyDescent="0.2">
      <c r="E66" s="679" t="s">
        <v>29512</v>
      </c>
      <c r="F66" s="1751" t="s">
        <v>332</v>
      </c>
      <c r="G66" s="113"/>
      <c r="H66" s="113"/>
      <c r="I66" s="113"/>
      <c r="J66" s="113"/>
      <c r="K66" s="344"/>
      <c r="L66" s="344"/>
      <c r="M66" s="131"/>
      <c r="O66" s="9"/>
      <c r="P66" s="344"/>
      <c r="Q66" s="344"/>
      <c r="R66" s="344"/>
      <c r="S66" s="344"/>
      <c r="T66" s="344"/>
      <c r="U66" s="344"/>
      <c r="V66" s="344"/>
      <c r="W66" s="344"/>
      <c r="Z66" s="344"/>
      <c r="AA66" s="344"/>
      <c r="AB66" s="344"/>
      <c r="AC66" s="344"/>
      <c r="AD66" s="344"/>
      <c r="AE66" s="344"/>
      <c r="AF66" s="344"/>
      <c r="AG66" s="344"/>
      <c r="AH66" s="344"/>
      <c r="AI66" s="344"/>
      <c r="AJ66" s="344"/>
      <c r="AK66" s="344"/>
      <c r="AL66" s="344"/>
      <c r="AM66" s="344"/>
    </row>
    <row r="67" spans="5:39" ht="4.7" customHeight="1" x14ac:dyDescent="0.2">
      <c r="G67" s="113"/>
      <c r="H67" s="113"/>
      <c r="I67" s="113"/>
      <c r="J67" s="113"/>
      <c r="K67" s="344"/>
      <c r="L67" s="344"/>
      <c r="M67" s="131"/>
      <c r="P67" s="344"/>
      <c r="Q67" s="344"/>
      <c r="R67" s="344"/>
      <c r="S67" s="344"/>
      <c r="T67" s="344"/>
      <c r="U67" s="344"/>
      <c r="V67" s="344"/>
      <c r="W67" s="344"/>
      <c r="Z67" s="344"/>
      <c r="AA67" s="344"/>
      <c r="AB67" s="344"/>
      <c r="AC67" s="344"/>
      <c r="AD67" s="344"/>
      <c r="AE67" s="344"/>
      <c r="AF67" s="344"/>
      <c r="AG67" s="344"/>
      <c r="AH67" s="344"/>
      <c r="AI67" s="344"/>
      <c r="AJ67" s="344"/>
      <c r="AK67" s="344"/>
      <c r="AL67" s="344"/>
      <c r="AM67" s="344"/>
    </row>
    <row r="68" spans="5:39" ht="15.75" customHeight="1" x14ac:dyDescent="0.2">
      <c r="E68" s="190" t="s">
        <v>28343</v>
      </c>
      <c r="F68" s="416" t="s">
        <v>28349</v>
      </c>
      <c r="G68" s="2853" t="s">
        <v>28373</v>
      </c>
      <c r="H68" s="2853"/>
      <c r="I68" s="2853"/>
      <c r="J68" s="2853"/>
      <c r="K68" s="344"/>
      <c r="L68" s="344"/>
      <c r="M68" s="131"/>
      <c r="P68" s="344"/>
      <c r="Q68" s="344"/>
      <c r="R68" s="344"/>
      <c r="S68" s="344"/>
      <c r="T68" s="344"/>
      <c r="U68" s="344"/>
      <c r="V68" s="344"/>
      <c r="W68" s="344"/>
      <c r="Z68" s="344"/>
      <c r="AA68" s="344"/>
      <c r="AB68" s="344"/>
      <c r="AC68" s="344"/>
      <c r="AD68" s="344"/>
      <c r="AE68" s="344"/>
      <c r="AF68" s="344"/>
      <c r="AG68" s="344"/>
      <c r="AH68" s="344"/>
      <c r="AI68" s="344"/>
      <c r="AJ68" s="344"/>
      <c r="AK68" s="344"/>
      <c r="AL68" s="344"/>
      <c r="AM68" s="344"/>
    </row>
    <row r="69" spans="5:39" ht="4.7" customHeight="1" x14ac:dyDescent="0.2">
      <c r="G69" s="2853"/>
      <c r="H69" s="2853"/>
      <c r="I69" s="2853"/>
      <c r="J69" s="2853"/>
      <c r="K69" s="344"/>
      <c r="L69" s="344"/>
      <c r="M69" s="131"/>
      <c r="P69" s="344"/>
      <c r="Q69" s="344"/>
      <c r="R69" s="344"/>
      <c r="S69" s="344"/>
      <c r="T69" s="344"/>
      <c r="U69" s="344"/>
      <c r="V69" s="344"/>
      <c r="W69" s="344"/>
      <c r="Z69" s="344"/>
      <c r="AA69" s="344"/>
      <c r="AB69" s="344"/>
      <c r="AC69" s="344"/>
      <c r="AD69" s="344"/>
      <c r="AE69" s="344"/>
      <c r="AF69" s="344"/>
      <c r="AG69" s="344"/>
      <c r="AH69" s="344"/>
      <c r="AI69" s="344"/>
      <c r="AJ69" s="344"/>
      <c r="AK69" s="344"/>
      <c r="AL69" s="344"/>
      <c r="AM69" s="344"/>
    </row>
    <row r="70" spans="5:39" ht="15.75" customHeight="1" x14ac:dyDescent="0.2">
      <c r="E70" s="667" t="s">
        <v>28359</v>
      </c>
      <c r="F70" s="1244">
        <v>190</v>
      </c>
      <c r="G70" s="2853"/>
      <c r="H70" s="2853"/>
      <c r="I70" s="2853"/>
      <c r="J70" s="2853"/>
      <c r="K70" s="344"/>
      <c r="L70" s="344"/>
      <c r="M70" s="131"/>
      <c r="N70" s="400"/>
      <c r="O70" s="768"/>
      <c r="P70" s="400"/>
      <c r="Q70" s="400"/>
      <c r="R70" s="400"/>
      <c r="S70" s="344"/>
      <c r="T70" s="344"/>
      <c r="U70" s="344"/>
      <c r="V70" s="344"/>
      <c r="W70" s="344"/>
      <c r="Z70" s="344"/>
      <c r="AA70" s="344"/>
      <c r="AB70" s="344"/>
      <c r="AC70" s="344"/>
      <c r="AD70" s="344"/>
      <c r="AE70" s="344"/>
      <c r="AF70" s="344"/>
      <c r="AG70" s="344"/>
      <c r="AH70" s="344"/>
      <c r="AI70" s="344"/>
      <c r="AJ70" s="344"/>
      <c r="AK70" s="344"/>
      <c r="AL70" s="344"/>
      <c r="AM70" s="344"/>
    </row>
    <row r="71" spans="5:39" ht="4.7" customHeight="1" x14ac:dyDescent="0.2">
      <c r="E71" s="667"/>
      <c r="F71" s="1336"/>
      <c r="G71" s="1337"/>
      <c r="H71" s="1337"/>
      <c r="I71" s="1337"/>
      <c r="J71" s="1337"/>
      <c r="K71" s="344"/>
      <c r="L71" s="344"/>
      <c r="M71" s="131"/>
      <c r="N71" s="400"/>
      <c r="O71" s="768"/>
      <c r="P71" s="400"/>
      <c r="Q71" s="400"/>
      <c r="R71" s="400"/>
      <c r="S71" s="344"/>
      <c r="T71" s="344"/>
      <c r="U71" s="344"/>
      <c r="V71" s="344"/>
      <c r="W71" s="344"/>
      <c r="Z71" s="344"/>
      <c r="AA71" s="344"/>
      <c r="AB71" s="344"/>
      <c r="AC71" s="344"/>
      <c r="AD71" s="344"/>
      <c r="AE71" s="344"/>
      <c r="AF71" s="344"/>
      <c r="AG71" s="344"/>
      <c r="AH71" s="344"/>
      <c r="AI71" s="344"/>
      <c r="AJ71" s="344"/>
      <c r="AK71" s="344"/>
      <c r="AL71" s="344"/>
      <c r="AM71" s="344"/>
    </row>
    <row r="72" spans="5:39" ht="15.75" customHeight="1" x14ac:dyDescent="0.2">
      <c r="E72" s="667" t="s">
        <v>29876</v>
      </c>
      <c r="F72" s="1244"/>
      <c r="G72" s="2862"/>
      <c r="H72" s="2863"/>
      <c r="I72" s="2863"/>
      <c r="J72" s="2863"/>
      <c r="K72" s="344"/>
      <c r="L72" s="344"/>
      <c r="M72" s="131"/>
      <c r="N72" s="400"/>
      <c r="O72" s="768"/>
      <c r="P72" s="400"/>
      <c r="Q72" s="400"/>
      <c r="R72" s="400"/>
      <c r="S72" s="344"/>
      <c r="T72" s="344"/>
      <c r="U72" s="344"/>
      <c r="V72" s="344"/>
      <c r="W72" s="344"/>
      <c r="Z72" s="344"/>
      <c r="AA72" s="344"/>
      <c r="AB72" s="344"/>
      <c r="AC72" s="344"/>
      <c r="AD72" s="344"/>
      <c r="AE72" s="344"/>
      <c r="AF72" s="344"/>
      <c r="AG72" s="344"/>
      <c r="AH72" s="344"/>
      <c r="AI72" s="344"/>
      <c r="AJ72" s="344"/>
      <c r="AK72" s="344"/>
      <c r="AL72" s="344"/>
      <c r="AM72" s="344"/>
    </row>
    <row r="73" spans="5:39" ht="4.7" customHeight="1" x14ac:dyDescent="0.2">
      <c r="E73" s="667"/>
      <c r="F73" s="1336"/>
      <c r="G73" s="1337"/>
      <c r="H73" s="1337"/>
      <c r="I73" s="1337"/>
      <c r="J73" s="1337"/>
      <c r="K73" s="344"/>
      <c r="L73" s="344"/>
      <c r="M73" s="131"/>
      <c r="N73" s="400"/>
      <c r="O73" s="768"/>
      <c r="P73" s="400"/>
      <c r="Q73" s="400"/>
      <c r="R73" s="400"/>
      <c r="S73" s="344"/>
      <c r="T73" s="344"/>
      <c r="U73" s="344"/>
      <c r="V73" s="344"/>
      <c r="W73" s="344"/>
      <c r="Z73" s="344"/>
      <c r="AA73" s="344"/>
      <c r="AB73" s="344"/>
      <c r="AC73" s="344"/>
      <c r="AD73" s="344"/>
      <c r="AE73" s="344"/>
      <c r="AF73" s="344"/>
      <c r="AG73" s="344"/>
      <c r="AH73" s="344"/>
      <c r="AI73" s="344"/>
      <c r="AJ73" s="344"/>
      <c r="AK73" s="344"/>
      <c r="AL73" s="344"/>
      <c r="AM73" s="344"/>
    </row>
    <row r="74" spans="5:39" ht="15.75" customHeight="1" x14ac:dyDescent="0.2">
      <c r="E74" s="667" t="s">
        <v>29689</v>
      </c>
      <c r="F74" s="1244"/>
      <c r="G74" s="1337"/>
      <c r="H74" s="1337"/>
      <c r="I74" s="1337"/>
      <c r="J74" s="1337"/>
      <c r="K74" s="344"/>
      <c r="L74" s="344"/>
      <c r="M74" s="131"/>
      <c r="N74" s="400"/>
      <c r="O74" s="768"/>
      <c r="P74" s="400"/>
      <c r="Q74" s="400"/>
      <c r="R74" s="400"/>
      <c r="S74" s="344"/>
      <c r="T74" s="344"/>
      <c r="U74" s="344"/>
      <c r="V74" s="344"/>
      <c r="W74" s="344"/>
      <c r="Z74" s="344"/>
      <c r="AA74" s="344"/>
      <c r="AB74" s="344"/>
      <c r="AC74" s="344"/>
      <c r="AD74" s="344"/>
      <c r="AE74" s="344"/>
      <c r="AF74" s="344"/>
      <c r="AG74" s="344"/>
      <c r="AH74" s="344"/>
      <c r="AI74" s="344"/>
      <c r="AJ74" s="344"/>
      <c r="AK74" s="344"/>
      <c r="AL74" s="344"/>
      <c r="AM74" s="344"/>
    </row>
    <row r="75" spans="5:39" ht="4.7" customHeight="1" x14ac:dyDescent="0.2">
      <c r="E75" s="667"/>
      <c r="F75" s="1336"/>
      <c r="G75" s="1337"/>
      <c r="H75" s="1337"/>
      <c r="I75" s="1337"/>
      <c r="J75" s="1337"/>
      <c r="K75" s="344"/>
      <c r="L75" s="344"/>
      <c r="M75" s="131"/>
      <c r="N75" s="400"/>
      <c r="O75" s="768"/>
      <c r="P75" s="400"/>
      <c r="Q75" s="400"/>
      <c r="R75" s="400"/>
      <c r="S75" s="344"/>
      <c r="T75" s="344"/>
      <c r="U75" s="344"/>
      <c r="V75" s="344"/>
      <c r="W75" s="344"/>
      <c r="Z75" s="344"/>
      <c r="AA75" s="344"/>
      <c r="AB75" s="344"/>
      <c r="AC75" s="344"/>
      <c r="AD75" s="344"/>
      <c r="AE75" s="344"/>
      <c r="AF75" s="344"/>
      <c r="AG75" s="344"/>
      <c r="AH75" s="344"/>
      <c r="AI75" s="344"/>
      <c r="AJ75" s="344"/>
      <c r="AK75" s="344"/>
      <c r="AL75" s="344"/>
      <c r="AM75" s="344"/>
    </row>
    <row r="76" spans="5:39" ht="15.75" customHeight="1" x14ac:dyDescent="0.2">
      <c r="E76" s="667" t="str">
        <f>IF(F30=E101,H163,"")</f>
        <v>Verpackungsvorgabe:</v>
      </c>
      <c r="F76" s="1244"/>
      <c r="G76" s="1337"/>
      <c r="H76" s="1337"/>
      <c r="I76" s="1337"/>
      <c r="J76" s="1337"/>
      <c r="K76" s="344"/>
      <c r="L76" s="344"/>
      <c r="M76" s="131"/>
      <c r="N76" s="400"/>
      <c r="O76" s="768"/>
      <c r="P76" s="400"/>
      <c r="Q76" s="400"/>
      <c r="R76" s="400"/>
      <c r="S76" s="344"/>
      <c r="T76" s="344"/>
      <c r="U76" s="344"/>
      <c r="V76" s="344"/>
      <c r="W76" s="344"/>
      <c r="Z76" s="344"/>
      <c r="AA76" s="344"/>
      <c r="AB76" s="344"/>
      <c r="AC76" s="344"/>
      <c r="AD76" s="344"/>
      <c r="AE76" s="344"/>
      <c r="AF76" s="344"/>
      <c r="AG76" s="344"/>
      <c r="AH76" s="344"/>
      <c r="AI76" s="344"/>
      <c r="AJ76" s="344"/>
      <c r="AK76" s="344"/>
      <c r="AL76" s="344"/>
      <c r="AM76" s="344"/>
    </row>
    <row r="77" spans="5:39" ht="4.7" customHeight="1" x14ac:dyDescent="0.2">
      <c r="E77" s="667"/>
      <c r="F77" s="1336"/>
      <c r="G77" s="1337"/>
      <c r="H77" s="1337"/>
      <c r="I77" s="1337"/>
      <c r="J77" s="1337"/>
      <c r="K77" s="344"/>
      <c r="L77" s="344"/>
      <c r="M77" s="131"/>
      <c r="N77" s="400"/>
      <c r="O77" s="768"/>
      <c r="P77" s="400"/>
      <c r="Q77" s="400"/>
      <c r="R77" s="400"/>
      <c r="S77" s="344"/>
      <c r="T77" s="344"/>
      <c r="U77" s="344"/>
      <c r="V77" s="344"/>
      <c r="W77" s="344"/>
      <c r="Z77" s="344"/>
      <c r="AA77" s="344"/>
      <c r="AB77" s="344"/>
      <c r="AC77" s="344"/>
      <c r="AD77" s="344"/>
      <c r="AE77" s="344"/>
      <c r="AF77" s="344"/>
      <c r="AG77" s="344"/>
      <c r="AH77" s="344"/>
      <c r="AI77" s="344"/>
      <c r="AJ77" s="344"/>
      <c r="AK77" s="344"/>
      <c r="AL77" s="344"/>
      <c r="AM77" s="344"/>
    </row>
    <row r="78" spans="5:39" ht="15.75" customHeight="1" x14ac:dyDescent="0.2">
      <c r="E78" s="667" t="str">
        <f>IF(AND(F30=E101,F76&lt;&gt;0),H167,"")</f>
        <v/>
      </c>
      <c r="F78" s="1244"/>
      <c r="G78" s="1337"/>
      <c r="H78" s="1337"/>
      <c r="I78" s="1337"/>
      <c r="J78" s="1337"/>
      <c r="K78" s="344"/>
      <c r="L78" s="344"/>
      <c r="M78" s="131"/>
      <c r="N78" s="400"/>
      <c r="O78" s="768"/>
      <c r="P78" s="400"/>
      <c r="Q78" s="400"/>
      <c r="R78" s="400"/>
      <c r="S78" s="344"/>
      <c r="T78" s="344"/>
      <c r="U78" s="344"/>
      <c r="V78" s="344"/>
      <c r="W78" s="344"/>
      <c r="Z78" s="344"/>
      <c r="AA78" s="344"/>
      <c r="AB78" s="344"/>
      <c r="AC78" s="344"/>
      <c r="AD78" s="344"/>
      <c r="AE78" s="344"/>
      <c r="AF78" s="344"/>
      <c r="AG78" s="344"/>
      <c r="AH78" s="344"/>
      <c r="AI78" s="344"/>
      <c r="AJ78" s="344"/>
      <c r="AK78" s="344"/>
      <c r="AL78" s="344"/>
      <c r="AM78" s="344"/>
    </row>
    <row r="79" spans="5:39" ht="4.7" customHeight="1" x14ac:dyDescent="0.2">
      <c r="E79" s="667"/>
      <c r="F79" s="1336"/>
      <c r="G79" s="1337"/>
      <c r="H79" s="1337"/>
      <c r="I79" s="1337"/>
      <c r="J79" s="1337"/>
      <c r="K79" s="344"/>
      <c r="L79" s="344"/>
      <c r="M79" s="131"/>
      <c r="N79" s="400"/>
      <c r="O79" s="768"/>
      <c r="P79" s="400"/>
      <c r="Q79" s="400"/>
      <c r="R79" s="400"/>
      <c r="S79" s="344"/>
      <c r="T79" s="344"/>
      <c r="U79" s="344"/>
      <c r="V79" s="344"/>
      <c r="W79" s="344"/>
      <c r="Z79" s="344"/>
      <c r="AA79" s="344"/>
      <c r="AB79" s="344"/>
      <c r="AC79" s="344"/>
      <c r="AD79" s="344"/>
      <c r="AE79" s="344"/>
      <c r="AF79" s="344"/>
      <c r="AG79" s="344"/>
      <c r="AH79" s="344"/>
      <c r="AI79" s="344"/>
      <c r="AJ79" s="344"/>
      <c r="AK79" s="344"/>
      <c r="AL79" s="344"/>
      <c r="AM79" s="344"/>
    </row>
    <row r="80" spans="5:39" ht="15.75" customHeight="1" x14ac:dyDescent="0.2">
      <c r="E80" s="667" t="s">
        <v>28645</v>
      </c>
      <c r="F80" s="1491" t="str">
        <f>IF('Berechnung &amp; Tabellen'!E246="X","ja","nein")</f>
        <v>ja</v>
      </c>
      <c r="G80" s="1337"/>
      <c r="H80" s="1337"/>
      <c r="I80" s="1337"/>
      <c r="J80" s="1337"/>
      <c r="K80" s="344"/>
      <c r="L80" s="344"/>
      <c r="M80" s="131"/>
      <c r="N80" s="2848" t="s">
        <v>29390</v>
      </c>
      <c r="O80" s="2849"/>
      <c r="P80" s="400"/>
      <c r="Q80" s="400"/>
      <c r="R80" s="400"/>
      <c r="S80" s="344"/>
      <c r="T80" s="344"/>
      <c r="U80" s="344"/>
      <c r="V80" s="344"/>
      <c r="W80" s="344"/>
      <c r="Z80" s="344"/>
      <c r="AA80" s="344"/>
      <c r="AB80" s="344"/>
      <c r="AC80" s="344"/>
      <c r="AD80" s="344"/>
      <c r="AE80" s="344"/>
      <c r="AF80" s="344"/>
      <c r="AG80" s="344"/>
      <c r="AH80" s="344"/>
      <c r="AI80" s="344"/>
      <c r="AJ80" s="344"/>
      <c r="AK80" s="344"/>
      <c r="AL80" s="344"/>
      <c r="AM80" s="344"/>
    </row>
    <row r="81" spans="2:39" ht="4.7" customHeight="1" x14ac:dyDescent="0.2">
      <c r="E81" s="132"/>
      <c r="F81" s="132"/>
      <c r="K81" s="344"/>
      <c r="L81" s="344"/>
      <c r="M81" s="131"/>
      <c r="P81" s="400"/>
      <c r="Q81" s="400"/>
      <c r="R81" s="400"/>
      <c r="S81" s="344"/>
      <c r="T81" s="344"/>
      <c r="U81" s="344"/>
      <c r="V81" s="344"/>
      <c r="W81" s="344"/>
      <c r="Z81" s="344"/>
      <c r="AA81" s="344"/>
      <c r="AB81" s="344"/>
      <c r="AC81" s="344"/>
      <c r="AD81" s="344"/>
      <c r="AE81" s="344"/>
      <c r="AF81" s="344"/>
      <c r="AG81" s="344"/>
      <c r="AH81" s="344"/>
      <c r="AI81" s="344"/>
      <c r="AJ81" s="344"/>
      <c r="AK81" s="344"/>
      <c r="AL81" s="344"/>
      <c r="AM81" s="344"/>
    </row>
    <row r="82" spans="2:39" ht="12.75" customHeight="1" x14ac:dyDescent="0.2">
      <c r="E82" s="2881" t="s">
        <v>28623</v>
      </c>
      <c r="F82" s="2882"/>
      <c r="G82" s="2883"/>
      <c r="K82" s="344"/>
      <c r="L82" s="344"/>
      <c r="M82" s="131"/>
      <c r="N82" s="1835" t="s">
        <v>872</v>
      </c>
      <c r="O82" s="407">
        <f>F22</f>
        <v>900</v>
      </c>
      <c r="P82" s="400"/>
      <c r="Q82" s="400"/>
      <c r="R82" s="400"/>
      <c r="S82" s="344"/>
      <c r="T82" s="344"/>
      <c r="U82" s="344"/>
      <c r="V82" s="344"/>
      <c r="W82" s="344"/>
      <c r="Z82" s="344"/>
      <c r="AA82" s="344"/>
      <c r="AB82" s="344"/>
      <c r="AC82" s="344"/>
      <c r="AD82" s="344"/>
      <c r="AE82" s="344"/>
      <c r="AF82" s="344"/>
      <c r="AG82" s="344"/>
      <c r="AH82" s="344"/>
      <c r="AI82" s="344"/>
      <c r="AJ82" s="344"/>
      <c r="AK82" s="344"/>
      <c r="AL82" s="344"/>
      <c r="AM82" s="344"/>
    </row>
    <row r="83" spans="2:39" ht="12.75" customHeight="1" x14ac:dyDescent="0.2">
      <c r="E83" s="1319" t="s">
        <v>61</v>
      </c>
      <c r="F83" s="1319" t="s">
        <v>28624</v>
      </c>
      <c r="G83" s="1320" t="s">
        <v>28625</v>
      </c>
      <c r="K83" s="344"/>
      <c r="L83" s="344"/>
      <c r="M83" s="395"/>
      <c r="N83" s="1835" t="s">
        <v>873</v>
      </c>
      <c r="O83" s="407">
        <f>F24</f>
        <v>835</v>
      </c>
      <c r="P83" s="344"/>
      <c r="Q83" s="344"/>
      <c r="R83" s="344"/>
      <c r="S83" s="344"/>
      <c r="T83" s="344"/>
      <c r="U83" s="344"/>
      <c r="V83" s="344"/>
      <c r="W83" s="344"/>
      <c r="Z83" s="344"/>
      <c r="AA83" s="344"/>
      <c r="AB83" s="344"/>
      <c r="AC83" s="344"/>
      <c r="AD83" s="344"/>
      <c r="AE83" s="344"/>
      <c r="AF83" s="344"/>
      <c r="AG83" s="344"/>
      <c r="AH83" s="344"/>
      <c r="AI83" s="344"/>
      <c r="AJ83" s="344"/>
      <c r="AK83" s="344"/>
      <c r="AL83" s="344"/>
      <c r="AM83" s="344"/>
    </row>
    <row r="84" spans="2:39" ht="12.75" customHeight="1" x14ac:dyDescent="0.2">
      <c r="E84" s="1316"/>
      <c r="F84" s="1317" t="str">
        <f>'Lager_&amp;_Montagematerial'!D71</f>
        <v>x-k1-e      Innenmaße 82x64      Außenmaße 120x100</v>
      </c>
      <c r="G84" s="1321" t="str">
        <f>IF($F$42=$H$100,$H$128,$H$127)</f>
        <v>Stahlblech verzinkt</v>
      </c>
      <c r="K84" s="344"/>
      <c r="L84" s="344"/>
      <c r="M84" s="395"/>
      <c r="N84" s="1835" t="s">
        <v>544</v>
      </c>
      <c r="O84" s="407" t="str">
        <f>"gcc-"&amp;F28&amp;"-o1m"</f>
        <v>gcc-r2-o1m</v>
      </c>
      <c r="P84" s="344"/>
      <c r="Q84" s="344"/>
      <c r="R84" s="344"/>
      <c r="S84" s="344"/>
      <c r="T84" s="344"/>
      <c r="U84" s="344"/>
      <c r="V84" s="344"/>
      <c r="W84" s="344"/>
      <c r="Z84" s="344"/>
      <c r="AA84" s="344"/>
      <c r="AB84" s="344"/>
      <c r="AC84" s="344"/>
      <c r="AD84" s="344"/>
      <c r="AE84" s="344"/>
      <c r="AF84" s="344"/>
      <c r="AG84" s="344"/>
      <c r="AH84" s="344"/>
      <c r="AI84" s="344"/>
      <c r="AJ84" s="344"/>
      <c r="AK84" s="344"/>
      <c r="AL84" s="344"/>
      <c r="AM84" s="344"/>
    </row>
    <row r="85" spans="2:39" ht="12.75" customHeight="1" x14ac:dyDescent="0.2">
      <c r="E85" s="1316"/>
      <c r="F85" s="1317" t="str">
        <f>'Lager_&amp;_Montagematerial'!D72</f>
        <v>x-k2-e     Innenmaße 122x64     Außenmaße 160x100</v>
      </c>
      <c r="G85" s="1321" t="str">
        <f>IF($F$42=$H$100,$H$128,$H$127)</f>
        <v>Stahlblech verzinkt</v>
      </c>
      <c r="K85" s="344"/>
      <c r="L85" s="344"/>
      <c r="M85" s="132"/>
      <c r="N85" s="1835" t="s">
        <v>29735</v>
      </c>
      <c r="O85" s="960" t="s">
        <v>29394</v>
      </c>
      <c r="P85" s="344"/>
      <c r="Q85" s="344"/>
      <c r="R85" s="344"/>
      <c r="S85" s="344"/>
      <c r="T85" s="344"/>
      <c r="U85" s="344"/>
      <c r="V85" s="344"/>
      <c r="W85" s="344"/>
      <c r="Z85" s="344"/>
      <c r="AA85" s="344"/>
      <c r="AB85" s="344"/>
      <c r="AC85" s="344"/>
      <c r="AD85" s="344"/>
      <c r="AE85" s="344"/>
      <c r="AF85" s="344"/>
      <c r="AG85" s="344"/>
      <c r="AH85" s="344"/>
      <c r="AI85" s="344"/>
      <c r="AJ85" s="344"/>
      <c r="AK85" s="344"/>
      <c r="AL85" s="344"/>
      <c r="AM85" s="344"/>
    </row>
    <row r="86" spans="2:39" ht="12.75" customHeight="1" x14ac:dyDescent="0.2">
      <c r="E86" s="1316"/>
      <c r="F86" s="1317" t="str">
        <f>'Lager_&amp;_Montagematerial'!D73</f>
        <v>x-k3-e     Innenmaße 162x64     Außenmaße 200x100</v>
      </c>
      <c r="G86" s="1321" t="str">
        <f>IF($F$42=$H$100,$H$128,$H$127)</f>
        <v>Stahlblech verzinkt</v>
      </c>
      <c r="K86" s="344"/>
      <c r="L86" s="344"/>
      <c r="M86" s="132"/>
      <c r="N86" s="1835" t="s">
        <v>29722</v>
      </c>
      <c r="O86" s="407" t="str">
        <f>IF(F46=H109,"RAL/DB",IF(F46=H110,"Edelstahl VA","verzinkt"))</f>
        <v>verzinkt</v>
      </c>
      <c r="P86" s="344"/>
      <c r="Q86" s="344"/>
      <c r="R86" s="344"/>
      <c r="S86" s="344"/>
      <c r="T86" s="344"/>
      <c r="U86" s="344"/>
      <c r="V86" s="344"/>
      <c r="W86" s="344"/>
      <c r="Z86" s="344"/>
      <c r="AA86" s="344"/>
      <c r="AB86" s="344"/>
      <c r="AC86" s="344"/>
      <c r="AD86" s="344"/>
      <c r="AE86" s="344"/>
      <c r="AF86" s="344"/>
      <c r="AG86" s="344"/>
      <c r="AH86" s="344"/>
      <c r="AI86" s="344"/>
      <c r="AJ86" s="344"/>
      <c r="AK86" s="344"/>
      <c r="AL86" s="344"/>
      <c r="AM86" s="344"/>
    </row>
    <row r="87" spans="2:39" ht="12.75" customHeight="1" x14ac:dyDescent="0.2">
      <c r="E87" s="1316">
        <v>1</v>
      </c>
      <c r="F87" s="1317" t="str">
        <f>'Lager_&amp;_Montagematerial'!D74</f>
        <v>x-k4-e     Innenmaße 202x64    Außenmaße 240x100</v>
      </c>
      <c r="G87" s="1321" t="str">
        <f>IF($F$42=$H$100,$H$128,$H$127)</f>
        <v>Stahlblech verzinkt</v>
      </c>
      <c r="K87" s="344"/>
      <c r="L87" s="344"/>
      <c r="M87" s="132"/>
      <c r="N87" s="1835" t="s">
        <v>29724</v>
      </c>
      <c r="O87" s="1688" t="str">
        <f>IF(H42&lt;&gt;"","RAL "&amp;H42,"")</f>
        <v/>
      </c>
      <c r="P87" s="344"/>
      <c r="Q87" s="344"/>
      <c r="R87" s="344"/>
      <c r="S87" s="344"/>
      <c r="T87" s="344"/>
      <c r="U87" s="344"/>
      <c r="V87" s="344"/>
      <c r="W87" s="344"/>
      <c r="Z87" s="344"/>
      <c r="AA87" s="344"/>
      <c r="AB87" s="344"/>
      <c r="AC87" s="344"/>
      <c r="AD87" s="344"/>
      <c r="AE87" s="344"/>
      <c r="AF87" s="344"/>
      <c r="AG87" s="344"/>
      <c r="AH87" s="344"/>
      <c r="AI87" s="344"/>
      <c r="AJ87" s="344"/>
      <c r="AK87" s="344"/>
      <c r="AL87" s="344"/>
      <c r="AM87" s="344"/>
    </row>
    <row r="88" spans="2:39" ht="12.75" customHeight="1" x14ac:dyDescent="0.2">
      <c r="E88" s="1316"/>
      <c r="F88" s="1317" t="str">
        <f>'Lager_&amp;_Montagematerial'!D75</f>
        <v>x-k5-e     Innenmaße 242x70    Außenmaße 280x110</v>
      </c>
      <c r="G88" s="1321" t="str">
        <f>IF($F$42=$H$100,$H$128,$H$127)</f>
        <v>Stahlblech verzinkt</v>
      </c>
      <c r="K88" s="344"/>
      <c r="L88" s="344"/>
      <c r="M88" s="132"/>
      <c r="N88" s="1835" t="s">
        <v>29723</v>
      </c>
      <c r="O88" s="407"/>
      <c r="P88" s="344"/>
      <c r="Q88" s="344"/>
      <c r="R88" s="344"/>
      <c r="S88" s="344"/>
      <c r="T88" s="344"/>
      <c r="U88" s="344"/>
      <c r="V88" s="344"/>
      <c r="W88" s="344"/>
      <c r="Z88" s="344"/>
      <c r="AA88" s="344"/>
      <c r="AB88" s="344"/>
      <c r="AC88" s="344"/>
      <c r="AD88" s="344"/>
      <c r="AE88" s="344"/>
      <c r="AF88" s="344"/>
      <c r="AG88" s="344"/>
      <c r="AH88" s="344"/>
      <c r="AI88" s="344"/>
      <c r="AJ88" s="344"/>
      <c r="AK88" s="344"/>
      <c r="AL88" s="344"/>
      <c r="AM88" s="344"/>
    </row>
    <row r="89" spans="2:39" ht="12.6" customHeight="1" x14ac:dyDescent="0.2">
      <c r="K89" s="344"/>
      <c r="L89" s="344"/>
      <c r="M89" s="132"/>
      <c r="N89" s="1835" t="s">
        <v>29734</v>
      </c>
      <c r="O89" s="407" t="str">
        <f>VLOOKUP(F46,H105:O110,8,FALSE)</f>
        <v>gestrichen</v>
      </c>
      <c r="P89" s="344"/>
      <c r="Q89" s="344"/>
      <c r="R89" s="344"/>
      <c r="S89" s="344"/>
      <c r="T89" s="344"/>
      <c r="U89" s="344"/>
      <c r="V89" s="344"/>
      <c r="W89" s="344"/>
      <c r="Z89" s="344"/>
      <c r="AA89" s="344"/>
      <c r="AB89" s="344"/>
      <c r="AC89" s="344"/>
      <c r="AD89" s="344"/>
      <c r="AE89" s="344"/>
      <c r="AF89" s="344"/>
      <c r="AG89" s="344"/>
      <c r="AH89" s="344"/>
      <c r="AI89" s="344"/>
      <c r="AJ89" s="344"/>
      <c r="AK89" s="344"/>
      <c r="AL89" s="344"/>
      <c r="AM89" s="344"/>
    </row>
    <row r="90" spans="2:39" ht="15" customHeight="1" x14ac:dyDescent="0.2">
      <c r="B90" s="2029"/>
      <c r="C90" s="2335"/>
      <c r="D90" s="2335"/>
      <c r="E90" s="2336" t="s">
        <v>31079</v>
      </c>
      <c r="F90" s="2868"/>
      <c r="G90" s="2869"/>
      <c r="H90" s="2869"/>
      <c r="I90" s="2870"/>
      <c r="J90" s="344"/>
      <c r="K90" s="344"/>
      <c r="L90" s="344"/>
      <c r="M90" s="132"/>
      <c r="N90" s="1835" t="s">
        <v>29732</v>
      </c>
      <c r="O90" s="407" t="str">
        <f>IF(OR(F46=H106,F46=H107),"RAL "&amp;H46,"")</f>
        <v>RAL 7016</v>
      </c>
      <c r="P90" s="344"/>
      <c r="Q90" s="344"/>
      <c r="R90" s="344"/>
      <c r="S90" s="344"/>
      <c r="T90" s="344"/>
      <c r="U90" s="344"/>
      <c r="V90" s="344"/>
      <c r="W90" s="344"/>
      <c r="Z90" s="344"/>
      <c r="AA90" s="344"/>
      <c r="AB90" s="344"/>
      <c r="AC90" s="344"/>
      <c r="AD90" s="344"/>
      <c r="AE90" s="344"/>
      <c r="AF90" s="344"/>
      <c r="AG90" s="344"/>
      <c r="AH90" s="344"/>
      <c r="AI90" s="344"/>
      <c r="AJ90" s="344"/>
      <c r="AK90" s="344"/>
      <c r="AL90" s="344"/>
      <c r="AM90" s="344"/>
    </row>
    <row r="91" spans="2:39" ht="15" customHeight="1" x14ac:dyDescent="0.2">
      <c r="B91" s="2029"/>
      <c r="C91" s="2335"/>
      <c r="D91" s="2335"/>
      <c r="E91" s="2337" t="s">
        <v>31080</v>
      </c>
      <c r="F91" s="2871"/>
      <c r="G91" s="2872"/>
      <c r="H91" s="2872"/>
      <c r="I91" s="2873"/>
      <c r="J91" s="344"/>
      <c r="K91" s="344"/>
      <c r="L91" s="344"/>
      <c r="M91" s="132"/>
      <c r="N91" s="391"/>
      <c r="O91" s="393"/>
      <c r="P91" s="344"/>
      <c r="Q91" s="344"/>
      <c r="R91" s="344"/>
      <c r="S91" s="344"/>
      <c r="T91" s="344"/>
      <c r="U91" s="344"/>
      <c r="V91" s="344"/>
      <c r="W91" s="344"/>
      <c r="Z91" s="344"/>
      <c r="AA91" s="344"/>
      <c r="AB91" s="344"/>
      <c r="AC91" s="344"/>
      <c r="AD91" s="344"/>
      <c r="AE91" s="344"/>
      <c r="AF91" s="344"/>
      <c r="AG91" s="344"/>
      <c r="AH91" s="344"/>
      <c r="AI91" s="344"/>
      <c r="AJ91" s="344"/>
      <c r="AK91" s="344"/>
      <c r="AL91" s="344"/>
      <c r="AM91" s="344"/>
    </row>
    <row r="92" spans="2:39" ht="15" customHeight="1" x14ac:dyDescent="0.2">
      <c r="B92" s="2338"/>
      <c r="C92" s="2338"/>
      <c r="D92" s="2338"/>
      <c r="E92" s="2339"/>
      <c r="F92" s="2871"/>
      <c r="G92" s="2872"/>
      <c r="H92" s="2872"/>
      <c r="I92" s="2873"/>
      <c r="J92" s="344"/>
      <c r="K92" s="344"/>
      <c r="L92" s="344"/>
      <c r="M92" s="132"/>
      <c r="N92" s="391"/>
      <c r="O92" s="393"/>
      <c r="P92" s="344"/>
      <c r="Q92" s="344"/>
      <c r="R92" s="344"/>
      <c r="S92" s="344"/>
      <c r="T92" s="344"/>
      <c r="U92" s="344"/>
      <c r="V92" s="344"/>
      <c r="W92" s="344"/>
      <c r="Z92" s="344"/>
      <c r="AA92" s="344"/>
      <c r="AB92" s="344"/>
      <c r="AC92" s="344"/>
      <c r="AD92" s="344"/>
      <c r="AE92" s="344"/>
      <c r="AF92" s="344"/>
      <c r="AG92" s="344"/>
      <c r="AH92" s="344"/>
      <c r="AI92" s="344"/>
      <c r="AJ92" s="344"/>
      <c r="AK92" s="344"/>
      <c r="AL92" s="344"/>
      <c r="AM92" s="344"/>
    </row>
    <row r="93" spans="2:39" ht="15" customHeight="1" x14ac:dyDescent="0.2">
      <c r="B93" s="2338"/>
      <c r="C93" s="2338"/>
      <c r="D93" s="2338"/>
      <c r="E93" s="2339"/>
      <c r="F93" s="2871"/>
      <c r="G93" s="2872"/>
      <c r="H93" s="2872"/>
      <c r="I93" s="2873"/>
      <c r="J93" s="344"/>
      <c r="K93" s="344"/>
      <c r="L93" s="344"/>
      <c r="M93" s="132"/>
      <c r="N93" s="391"/>
      <c r="O93" s="393"/>
      <c r="P93" s="344"/>
      <c r="Q93" s="344"/>
      <c r="R93" s="344"/>
      <c r="S93" s="344"/>
      <c r="T93" s="344"/>
      <c r="U93" s="344"/>
      <c r="V93" s="344"/>
      <c r="W93" s="344"/>
      <c r="Z93" s="344"/>
      <c r="AA93" s="344"/>
      <c r="AB93" s="344"/>
      <c r="AC93" s="344"/>
      <c r="AD93" s="344"/>
      <c r="AE93" s="344"/>
      <c r="AF93" s="344"/>
      <c r="AG93" s="344"/>
      <c r="AH93" s="344"/>
      <c r="AI93" s="344"/>
      <c r="AJ93" s="344"/>
      <c r="AK93" s="344"/>
      <c r="AL93" s="344"/>
      <c r="AM93" s="344"/>
    </row>
    <row r="94" spans="2:39" ht="15" customHeight="1" x14ac:dyDescent="0.2">
      <c r="B94" s="2338"/>
      <c r="C94" s="2338"/>
      <c r="D94" s="2338"/>
      <c r="E94" s="2339"/>
      <c r="F94" s="2871"/>
      <c r="G94" s="2872"/>
      <c r="H94" s="2872"/>
      <c r="I94" s="2873"/>
      <c r="J94" s="344"/>
      <c r="K94" s="344"/>
      <c r="L94" s="344"/>
      <c r="M94" s="132"/>
      <c r="N94" s="391"/>
      <c r="O94" s="393"/>
      <c r="P94" s="344"/>
      <c r="Q94" s="344"/>
      <c r="R94" s="344"/>
      <c r="S94" s="344"/>
      <c r="T94" s="344"/>
      <c r="U94" s="344"/>
      <c r="V94" s="344"/>
      <c r="W94" s="344"/>
      <c r="Z94" s="344"/>
      <c r="AA94" s="344"/>
      <c r="AB94" s="344"/>
      <c r="AC94" s="344"/>
      <c r="AD94" s="344"/>
      <c r="AE94" s="344"/>
      <c r="AF94" s="344"/>
      <c r="AG94" s="344"/>
      <c r="AH94" s="344"/>
      <c r="AI94" s="344"/>
      <c r="AJ94" s="344"/>
      <c r="AK94" s="344"/>
      <c r="AL94" s="344"/>
      <c r="AM94" s="344"/>
    </row>
    <row r="95" spans="2:39" ht="15" customHeight="1" x14ac:dyDescent="0.2">
      <c r="B95" s="2338"/>
      <c r="C95" s="2338"/>
      <c r="D95" s="2338"/>
      <c r="E95" s="2339"/>
      <c r="F95" s="2874"/>
      <c r="G95" s="2875"/>
      <c r="H95" s="2875"/>
      <c r="I95" s="2876"/>
      <c r="J95" s="344"/>
      <c r="K95" s="344"/>
      <c r="L95" s="344"/>
      <c r="M95" s="132"/>
      <c r="N95" s="391"/>
      <c r="O95" s="393"/>
      <c r="P95" s="344"/>
      <c r="Q95" s="344"/>
      <c r="R95" s="344"/>
      <c r="S95" s="344"/>
      <c r="T95" s="344"/>
      <c r="U95" s="344"/>
      <c r="V95" s="344"/>
      <c r="W95" s="344"/>
      <c r="Z95" s="344"/>
      <c r="AA95" s="344"/>
      <c r="AB95" s="344"/>
      <c r="AC95" s="344"/>
      <c r="AD95" s="344"/>
      <c r="AE95" s="344"/>
      <c r="AF95" s="344"/>
      <c r="AG95" s="344"/>
      <c r="AH95" s="344"/>
      <c r="AI95" s="344"/>
      <c r="AJ95" s="344"/>
      <c r="AK95" s="344"/>
      <c r="AL95" s="344"/>
      <c r="AM95" s="344"/>
    </row>
    <row r="96" spans="2:39" ht="12.6" customHeight="1" x14ac:dyDescent="0.2">
      <c r="C96" s="344"/>
      <c r="D96" s="344"/>
      <c r="E96" s="344"/>
      <c r="F96" s="344"/>
      <c r="G96" s="344"/>
      <c r="H96" s="344"/>
      <c r="I96" s="344"/>
      <c r="J96" s="344"/>
      <c r="K96" s="344"/>
      <c r="L96" s="344"/>
      <c r="M96" s="132"/>
      <c r="N96" s="391"/>
      <c r="O96" s="393"/>
      <c r="P96" s="344"/>
      <c r="Q96" s="344"/>
      <c r="R96" s="344"/>
      <c r="S96" s="344"/>
      <c r="T96" s="344"/>
      <c r="U96" s="344"/>
      <c r="V96" s="344"/>
      <c r="W96" s="344"/>
      <c r="Z96" s="344"/>
      <c r="AA96" s="344"/>
      <c r="AB96" s="344"/>
      <c r="AC96" s="344"/>
      <c r="AD96" s="344"/>
      <c r="AE96" s="344"/>
      <c r="AF96" s="344"/>
      <c r="AG96" s="344"/>
      <c r="AH96" s="344"/>
      <c r="AI96" s="344"/>
      <c r="AJ96" s="344"/>
      <c r="AK96" s="344"/>
      <c r="AL96" s="344"/>
      <c r="AM96" s="344"/>
    </row>
    <row r="97" spans="1:39" ht="12.6" customHeight="1" x14ac:dyDescent="0.2">
      <c r="C97" s="344"/>
      <c r="D97" s="344"/>
      <c r="E97" s="344"/>
      <c r="F97" s="344"/>
      <c r="G97" s="344"/>
      <c r="H97" s="344"/>
      <c r="I97" s="344"/>
      <c r="J97" s="344"/>
      <c r="K97" s="344"/>
      <c r="L97" s="344"/>
      <c r="M97" s="132"/>
      <c r="N97" s="391"/>
      <c r="O97" s="393"/>
      <c r="P97" s="344"/>
      <c r="Q97" s="344"/>
      <c r="R97" s="344"/>
      <c r="S97" s="344"/>
      <c r="T97" s="344"/>
      <c r="U97" s="344"/>
      <c r="V97" s="344"/>
      <c r="W97" s="344"/>
      <c r="Z97" s="344"/>
      <c r="AA97" s="344"/>
      <c r="AB97" s="344"/>
      <c r="AC97" s="344"/>
      <c r="AD97" s="344"/>
      <c r="AE97" s="344"/>
      <c r="AF97" s="344"/>
      <c r="AG97" s="344"/>
      <c r="AH97" s="344"/>
      <c r="AI97" s="344"/>
      <c r="AJ97" s="344"/>
      <c r="AK97" s="344"/>
      <c r="AL97" s="344"/>
      <c r="AM97" s="344"/>
    </row>
    <row r="98" spans="1:39" ht="13.9" customHeight="1" x14ac:dyDescent="0.2">
      <c r="C98" s="344"/>
      <c r="D98" s="344"/>
      <c r="E98" s="344"/>
      <c r="F98" s="344"/>
      <c r="G98" s="344"/>
      <c r="H98" s="344"/>
      <c r="I98" s="344"/>
      <c r="J98" s="344"/>
      <c r="K98" s="344"/>
      <c r="L98" s="344"/>
      <c r="M98" s="132"/>
      <c r="N98" s="344"/>
      <c r="O98" s="768"/>
      <c r="P98" s="344"/>
      <c r="Q98" s="344"/>
      <c r="R98" s="344"/>
      <c r="S98" s="344"/>
      <c r="T98" s="344"/>
      <c r="U98" s="344"/>
      <c r="V98" s="344"/>
      <c r="W98" s="344"/>
      <c r="Z98" s="344"/>
      <c r="AA98" s="344"/>
      <c r="AB98" s="344"/>
      <c r="AC98" s="344"/>
      <c r="AD98" s="344"/>
      <c r="AE98" s="344"/>
      <c r="AF98" s="344"/>
      <c r="AG98" s="344"/>
      <c r="AH98" s="344"/>
      <c r="AI98" s="344"/>
      <c r="AJ98" s="344"/>
      <c r="AK98" s="344"/>
      <c r="AL98" s="344"/>
      <c r="AM98" s="344"/>
    </row>
    <row r="99" spans="1:39" x14ac:dyDescent="0.2">
      <c r="A99" s="344"/>
      <c r="B99" s="344"/>
      <c r="C99" s="344"/>
      <c r="D99" s="344"/>
      <c r="E99" s="344"/>
      <c r="F99" s="344"/>
      <c r="G99" s="344"/>
      <c r="H99" s="408" t="s">
        <v>482</v>
      </c>
      <c r="I99" s="344"/>
      <c r="J99" s="344"/>
      <c r="K99" s="344"/>
      <c r="L99" s="344"/>
      <c r="M99" s="344" t="s">
        <v>28085</v>
      </c>
      <c r="N99" s="344"/>
      <c r="O99" s="768"/>
      <c r="P99" s="344"/>
      <c r="Q99" s="344"/>
      <c r="R99" s="344"/>
      <c r="S99" s="344"/>
      <c r="T99" s="344"/>
      <c r="U99" s="344"/>
      <c r="V99" s="344"/>
      <c r="W99" s="344"/>
      <c r="Z99" s="344"/>
      <c r="AA99" s="344"/>
      <c r="AB99" s="344"/>
      <c r="AC99" s="344"/>
      <c r="AD99" s="344"/>
      <c r="AE99" s="344"/>
      <c r="AF99" s="344"/>
      <c r="AG99" s="344"/>
      <c r="AH99" s="344"/>
      <c r="AI99" s="344"/>
      <c r="AJ99" s="344"/>
      <c r="AK99" s="344"/>
      <c r="AL99" s="344"/>
      <c r="AM99" s="344"/>
    </row>
    <row r="100" spans="1:39" x14ac:dyDescent="0.2">
      <c r="A100" s="344"/>
      <c r="C100" s="344"/>
      <c r="D100" s="344"/>
      <c r="E100" s="404" t="s">
        <v>321</v>
      </c>
      <c r="F100" s="405" t="s">
        <v>330</v>
      </c>
      <c r="G100" s="344"/>
      <c r="H100" s="360" t="s">
        <v>484</v>
      </c>
      <c r="I100" s="344"/>
      <c r="J100" s="344"/>
      <c r="K100" s="344"/>
      <c r="L100" s="344"/>
      <c r="M100" s="344"/>
      <c r="N100" s="344"/>
      <c r="O100" s="768"/>
      <c r="P100" s="344"/>
      <c r="Q100" s="344"/>
      <c r="R100" s="344"/>
      <c r="S100" s="344"/>
      <c r="T100" s="344"/>
      <c r="U100" s="344"/>
      <c r="V100" s="344"/>
      <c r="W100" s="344"/>
      <c r="Z100" s="344"/>
      <c r="AA100" s="344"/>
      <c r="AB100" s="344"/>
      <c r="AC100" s="344"/>
      <c r="AD100" s="344"/>
      <c r="AE100" s="344"/>
      <c r="AF100" s="344"/>
      <c r="AG100" s="344"/>
      <c r="AH100" s="344"/>
      <c r="AI100" s="344"/>
      <c r="AJ100" s="344"/>
      <c r="AK100" s="344"/>
      <c r="AL100" s="344"/>
      <c r="AM100" s="344"/>
    </row>
    <row r="101" spans="1:39" x14ac:dyDescent="0.2">
      <c r="A101" s="344"/>
      <c r="C101" s="344"/>
      <c r="D101" s="344">
        <f>IF(F30=E101,1,0)</f>
        <v>1</v>
      </c>
      <c r="E101" s="406" t="s">
        <v>331</v>
      </c>
      <c r="F101" s="407" t="s">
        <v>322</v>
      </c>
      <c r="G101" s="400">
        <f>IF(F101=$F$28,1,0)</f>
        <v>0</v>
      </c>
      <c r="H101" s="360" t="s">
        <v>465</v>
      </c>
      <c r="I101" s="344"/>
      <c r="J101" s="344"/>
      <c r="K101" s="344"/>
      <c r="L101" s="344"/>
      <c r="M101" s="344"/>
      <c r="N101" s="344"/>
      <c r="O101" s="768"/>
      <c r="P101" s="344"/>
      <c r="Q101" s="344"/>
      <c r="R101" s="344"/>
      <c r="S101" s="344"/>
      <c r="T101" s="344"/>
      <c r="U101" s="344"/>
      <c r="V101" s="344"/>
      <c r="W101" s="344"/>
      <c r="Z101" s="344"/>
      <c r="AA101" s="344"/>
      <c r="AB101" s="344"/>
      <c r="AC101" s="344"/>
      <c r="AD101" s="344"/>
      <c r="AE101" s="408"/>
      <c r="AF101" s="408"/>
      <c r="AG101" s="344"/>
      <c r="AH101" s="344"/>
      <c r="AI101" s="344"/>
      <c r="AJ101" s="344"/>
      <c r="AK101" s="344"/>
      <c r="AL101" s="344"/>
      <c r="AM101" s="344"/>
    </row>
    <row r="102" spans="1:39" x14ac:dyDescent="0.2">
      <c r="A102" s="344"/>
      <c r="C102" s="344"/>
      <c r="D102" s="344">
        <f>IF(D101=0,1,0)</f>
        <v>0</v>
      </c>
      <c r="E102" s="406" t="s">
        <v>332</v>
      </c>
      <c r="F102" s="407" t="s">
        <v>323</v>
      </c>
      <c r="G102" s="400">
        <f t="shared" ref="G102:G109" si="0">IF(F102=$F$28,1,0)</f>
        <v>1</v>
      </c>
      <c r="H102" s="394" t="s">
        <v>485</v>
      </c>
      <c r="I102" s="344"/>
      <c r="J102" s="344"/>
      <c r="K102" s="344"/>
      <c r="L102" s="344"/>
      <c r="M102" s="400"/>
      <c r="P102" s="344"/>
      <c r="Q102" s="344"/>
      <c r="R102" s="344"/>
      <c r="S102" s="344"/>
      <c r="T102" s="344"/>
      <c r="U102" s="344"/>
      <c r="V102" s="344"/>
      <c r="W102" s="344"/>
      <c r="Z102" s="344"/>
      <c r="AA102" s="344"/>
      <c r="AB102" s="344"/>
      <c r="AC102" s="344"/>
      <c r="AD102" s="344"/>
      <c r="AE102" s="344"/>
      <c r="AF102" s="344"/>
      <c r="AG102" s="344"/>
      <c r="AH102" s="344"/>
      <c r="AI102" s="344"/>
      <c r="AJ102" s="344"/>
      <c r="AK102" s="344"/>
      <c r="AL102" s="344"/>
      <c r="AM102" s="344"/>
    </row>
    <row r="103" spans="1:39" x14ac:dyDescent="0.2">
      <c r="A103" s="344"/>
      <c r="C103" s="344"/>
      <c r="D103" s="344"/>
      <c r="E103" s="344"/>
      <c r="F103" s="407" t="s">
        <v>324</v>
      </c>
      <c r="G103" s="400">
        <f t="shared" si="0"/>
        <v>0</v>
      </c>
      <c r="H103" s="344"/>
      <c r="I103" s="344"/>
      <c r="J103" s="344"/>
      <c r="K103" s="344"/>
      <c r="L103" s="344"/>
      <c r="M103" s="344"/>
      <c r="P103" s="344"/>
      <c r="Q103" s="344"/>
      <c r="R103" s="344"/>
      <c r="S103" s="344"/>
      <c r="T103" s="344"/>
      <c r="U103" s="344"/>
      <c r="V103" s="344"/>
      <c r="W103" s="344"/>
      <c r="Z103" s="344"/>
      <c r="AA103" s="344"/>
      <c r="AB103" s="408"/>
    </row>
    <row r="104" spans="1:39" x14ac:dyDescent="0.2">
      <c r="A104" s="344"/>
      <c r="C104" s="344"/>
      <c r="D104" s="344"/>
      <c r="E104" s="344"/>
      <c r="F104" s="407" t="s">
        <v>325</v>
      </c>
      <c r="G104" s="400">
        <f t="shared" si="0"/>
        <v>0</v>
      </c>
      <c r="H104" s="1836" t="s">
        <v>483</v>
      </c>
      <c r="I104" s="1837"/>
      <c r="J104" s="1837"/>
      <c r="K104" s="1837"/>
      <c r="L104" s="1837"/>
      <c r="M104" s="1837"/>
      <c r="N104" s="1834"/>
      <c r="O104" s="736"/>
      <c r="P104" s="344"/>
      <c r="Q104" s="344"/>
      <c r="R104" s="344"/>
      <c r="S104" s="344"/>
      <c r="T104" s="344"/>
      <c r="U104" s="344"/>
      <c r="V104" s="344"/>
      <c r="W104" s="344"/>
      <c r="Z104" s="344"/>
      <c r="AA104" s="344"/>
    </row>
    <row r="105" spans="1:39" x14ac:dyDescent="0.2">
      <c r="A105" s="344"/>
      <c r="C105" s="344"/>
      <c r="D105" s="344"/>
      <c r="E105" s="344"/>
      <c r="F105" s="407" t="s">
        <v>326</v>
      </c>
      <c r="G105" s="400">
        <f t="shared" si="0"/>
        <v>0</v>
      </c>
      <c r="H105" s="1838" t="s">
        <v>492</v>
      </c>
      <c r="I105" s="1837"/>
      <c r="J105" s="1837"/>
      <c r="K105" s="1837"/>
      <c r="L105" s="1837"/>
      <c r="M105" s="1837"/>
      <c r="N105" s="1834"/>
      <c r="O105" s="739" t="s">
        <v>492</v>
      </c>
      <c r="P105" s="344"/>
      <c r="Q105" s="344"/>
      <c r="R105" s="344"/>
      <c r="S105" s="344"/>
      <c r="T105" s="344"/>
      <c r="U105" s="344"/>
      <c r="V105" s="344"/>
      <c r="W105" s="344"/>
      <c r="Z105" s="344"/>
      <c r="AA105" s="344"/>
      <c r="AB105" s="344"/>
    </row>
    <row r="106" spans="1:39" x14ac:dyDescent="0.2">
      <c r="A106" s="344"/>
      <c r="C106" s="344"/>
      <c r="D106" s="344"/>
      <c r="E106" s="344"/>
      <c r="F106" s="960" t="s">
        <v>27888</v>
      </c>
      <c r="G106" s="400">
        <f t="shared" si="0"/>
        <v>0</v>
      </c>
      <c r="H106" s="1839" t="s">
        <v>28087</v>
      </c>
      <c r="I106" s="1837"/>
      <c r="J106" s="1837"/>
      <c r="K106" s="1837"/>
      <c r="L106" s="1837"/>
      <c r="M106" s="1840"/>
      <c r="N106" s="1834"/>
      <c r="O106" s="739" t="s">
        <v>29728</v>
      </c>
      <c r="P106" s="344"/>
      <c r="Q106" s="344"/>
      <c r="R106" s="344"/>
      <c r="S106" s="344"/>
      <c r="T106" s="344"/>
      <c r="U106" s="344"/>
      <c r="V106" s="344"/>
      <c r="W106" s="344"/>
      <c r="Z106" s="344"/>
      <c r="AA106" s="344"/>
    </row>
    <row r="107" spans="1:39" x14ac:dyDescent="0.2">
      <c r="A107" s="344"/>
      <c r="C107" s="344"/>
      <c r="D107" s="344"/>
      <c r="E107" s="344"/>
      <c r="F107" s="407" t="s">
        <v>327</v>
      </c>
      <c r="G107" s="400">
        <f t="shared" si="0"/>
        <v>0</v>
      </c>
      <c r="H107" s="1841" t="s">
        <v>28078</v>
      </c>
      <c r="I107" s="1837"/>
      <c r="J107" s="1837"/>
      <c r="K107" s="1837"/>
      <c r="L107" s="1837"/>
      <c r="M107" s="1842"/>
      <c r="N107" s="1834"/>
      <c r="O107" s="739" t="s">
        <v>29728</v>
      </c>
      <c r="P107" s="344"/>
      <c r="Q107" s="344"/>
      <c r="R107" s="344"/>
      <c r="S107" s="344"/>
      <c r="T107" s="344"/>
      <c r="U107" s="344"/>
      <c r="V107" s="344"/>
      <c r="W107" s="344"/>
      <c r="Z107" s="344"/>
      <c r="AA107" s="344"/>
      <c r="AB107" s="132"/>
      <c r="AC107" s="132"/>
      <c r="AD107" s="132"/>
      <c r="AE107" s="132"/>
      <c r="AF107" s="132"/>
      <c r="AG107" s="132"/>
    </row>
    <row r="108" spans="1:39" x14ac:dyDescent="0.2">
      <c r="A108" s="344"/>
      <c r="C108" s="344"/>
      <c r="D108" s="344"/>
      <c r="E108" s="344"/>
      <c r="F108" s="407" t="s">
        <v>328</v>
      </c>
      <c r="G108" s="400">
        <f t="shared" si="0"/>
        <v>0</v>
      </c>
      <c r="H108" s="1841" t="s">
        <v>465</v>
      </c>
      <c r="I108" s="1837"/>
      <c r="J108" s="1837"/>
      <c r="K108" s="1837"/>
      <c r="L108" s="1837"/>
      <c r="M108" s="1842"/>
      <c r="N108" s="1834"/>
      <c r="O108" s="739" t="s">
        <v>29729</v>
      </c>
      <c r="P108" s="344"/>
      <c r="Q108" s="344"/>
      <c r="R108" s="344"/>
      <c r="S108" s="344"/>
      <c r="T108" s="344"/>
      <c r="U108" s="344"/>
      <c r="V108" s="344"/>
      <c r="W108" s="344"/>
      <c r="Z108" s="344"/>
      <c r="AA108" s="344"/>
      <c r="AD108" s="409"/>
      <c r="AE108" s="409"/>
    </row>
    <row r="109" spans="1:39" x14ac:dyDescent="0.2">
      <c r="A109" s="344"/>
      <c r="C109" s="344"/>
      <c r="D109" s="344"/>
      <c r="E109" s="344"/>
      <c r="F109" s="407" t="s">
        <v>329</v>
      </c>
      <c r="G109" s="400">
        <f t="shared" si="0"/>
        <v>0</v>
      </c>
      <c r="H109" s="1841" t="s">
        <v>28086</v>
      </c>
      <c r="I109" s="1837"/>
      <c r="J109" s="1837"/>
      <c r="K109" s="1837"/>
      <c r="L109" s="1837"/>
      <c r="M109" s="1842"/>
      <c r="N109" s="1834"/>
      <c r="O109" s="739" t="s">
        <v>29731</v>
      </c>
      <c r="P109" s="344"/>
      <c r="Q109" s="344"/>
      <c r="R109" s="344"/>
      <c r="S109" s="344"/>
      <c r="T109" s="344"/>
      <c r="U109" s="344"/>
      <c r="V109" s="344"/>
      <c r="W109" s="344"/>
      <c r="Z109" s="344"/>
      <c r="AA109" s="344"/>
      <c r="AD109" s="409"/>
      <c r="AE109" s="409"/>
    </row>
    <row r="110" spans="1:39" x14ac:dyDescent="0.2">
      <c r="A110" s="344"/>
      <c r="C110" s="344"/>
      <c r="D110" s="344"/>
      <c r="E110" s="344"/>
      <c r="F110" s="393"/>
      <c r="G110" s="344"/>
      <c r="H110" s="1843" t="s">
        <v>28085</v>
      </c>
      <c r="I110" s="1837"/>
      <c r="J110" s="1837"/>
      <c r="K110" s="1837"/>
      <c r="L110" s="1837"/>
      <c r="M110" s="1842"/>
      <c r="N110" s="1844"/>
      <c r="O110" s="739" t="s">
        <v>29730</v>
      </c>
      <c r="P110" s="344"/>
      <c r="Q110" s="344"/>
      <c r="R110" s="344"/>
      <c r="S110" s="344"/>
      <c r="T110" s="344"/>
      <c r="U110" s="344"/>
      <c r="V110" s="344"/>
      <c r="W110" s="344"/>
      <c r="Z110" s="344"/>
      <c r="AA110" s="344"/>
      <c r="AD110" s="409"/>
      <c r="AE110" s="409"/>
    </row>
    <row r="111" spans="1:39" x14ac:dyDescent="0.2">
      <c r="A111" s="344"/>
      <c r="C111" s="344"/>
      <c r="D111" s="344"/>
      <c r="E111" s="344"/>
      <c r="F111" s="393"/>
      <c r="G111" s="344"/>
      <c r="H111" s="394"/>
      <c r="I111" s="344"/>
      <c r="J111" s="344"/>
      <c r="K111" s="344"/>
      <c r="L111" s="344"/>
      <c r="M111" s="392"/>
      <c r="N111" s="344"/>
      <c r="O111" s="768"/>
      <c r="P111" s="344"/>
      <c r="Q111" s="344"/>
      <c r="R111" s="344"/>
      <c r="S111" s="344"/>
      <c r="T111" s="344"/>
      <c r="U111" s="344"/>
      <c r="V111" s="344"/>
      <c r="W111" s="344"/>
      <c r="Z111" s="344"/>
      <c r="AA111" s="344"/>
      <c r="AD111" s="409"/>
      <c r="AE111" s="409"/>
    </row>
    <row r="112" spans="1:39" x14ac:dyDescent="0.2">
      <c r="A112" s="344"/>
      <c r="C112" s="344"/>
      <c r="D112" s="344"/>
      <c r="E112" s="344"/>
      <c r="F112" s="344"/>
      <c r="G112" s="344"/>
      <c r="H112" s="408" t="s">
        <v>494</v>
      </c>
      <c r="I112" s="344"/>
      <c r="J112" s="344"/>
      <c r="K112" s="344"/>
      <c r="L112" s="344"/>
      <c r="M112" s="392"/>
      <c r="N112" s="344"/>
      <c r="O112" s="768"/>
      <c r="P112" s="344"/>
      <c r="Q112" s="344"/>
      <c r="R112" s="344"/>
      <c r="S112" s="344"/>
      <c r="T112" s="344"/>
      <c r="U112" s="344"/>
      <c r="V112" s="344"/>
      <c r="W112" s="344"/>
      <c r="Z112" s="344"/>
      <c r="AA112" s="344"/>
      <c r="AD112" s="409"/>
      <c r="AE112" s="409"/>
    </row>
    <row r="113" spans="1:31" x14ac:dyDescent="0.2">
      <c r="A113" s="344"/>
      <c r="C113" s="344"/>
      <c r="D113" s="344"/>
      <c r="E113" s="344"/>
      <c r="F113" s="405" t="s">
        <v>426</v>
      </c>
      <c r="G113" s="344"/>
      <c r="H113" s="394" t="s">
        <v>495</v>
      </c>
      <c r="I113" s="344"/>
      <c r="J113" s="344"/>
      <c r="K113" s="344"/>
      <c r="L113" s="344"/>
      <c r="M113" s="392"/>
      <c r="N113" s="344"/>
      <c r="O113" s="768"/>
      <c r="P113" s="344"/>
      <c r="Q113" s="344"/>
      <c r="R113" s="344"/>
      <c r="S113" s="344"/>
      <c r="T113" s="344"/>
      <c r="U113" s="344"/>
      <c r="V113" s="344"/>
      <c r="W113" s="344"/>
      <c r="Z113" s="344"/>
      <c r="AA113" s="344"/>
      <c r="AD113" s="409"/>
      <c r="AE113" s="409"/>
    </row>
    <row r="114" spans="1:31" x14ac:dyDescent="0.2">
      <c r="A114" s="344"/>
      <c r="B114" s="344"/>
      <c r="C114" s="344"/>
      <c r="D114" s="344"/>
      <c r="E114" s="344"/>
      <c r="F114" s="407" t="s">
        <v>333</v>
      </c>
      <c r="G114" s="344"/>
      <c r="H114" s="394" t="s">
        <v>303</v>
      </c>
      <c r="I114" s="344"/>
      <c r="J114" s="344"/>
      <c r="K114" s="344"/>
      <c r="L114" s="344"/>
      <c r="M114" s="105"/>
      <c r="N114" s="344"/>
      <c r="O114" s="768"/>
      <c r="P114" s="344"/>
      <c r="Q114" s="344"/>
      <c r="R114" s="344"/>
      <c r="S114" s="344"/>
      <c r="T114" s="344"/>
      <c r="U114" s="344"/>
      <c r="V114" s="344"/>
      <c r="W114" s="344"/>
      <c r="Z114" s="344"/>
      <c r="AA114" s="344"/>
      <c r="AD114" s="409"/>
      <c r="AE114" s="409"/>
    </row>
    <row r="115" spans="1:31" x14ac:dyDescent="0.2">
      <c r="A115" s="344"/>
      <c r="B115" s="344"/>
      <c r="C115" s="344"/>
      <c r="D115" s="344"/>
      <c r="E115" s="344"/>
      <c r="F115" s="407" t="s">
        <v>427</v>
      </c>
      <c r="G115" s="344"/>
      <c r="H115" s="394" t="s">
        <v>496</v>
      </c>
      <c r="I115" s="344"/>
      <c r="J115" s="344"/>
      <c r="K115" s="344"/>
      <c r="L115" s="344"/>
      <c r="M115" s="105"/>
      <c r="N115" s="344"/>
      <c r="O115" s="768"/>
      <c r="P115" s="344"/>
      <c r="Q115" s="344"/>
      <c r="R115" s="344"/>
      <c r="S115" s="344"/>
      <c r="T115" s="344"/>
      <c r="U115" s="344"/>
      <c r="V115" s="344"/>
      <c r="W115" s="344"/>
      <c r="Z115" s="344"/>
      <c r="AA115" s="344"/>
      <c r="AD115" s="409"/>
      <c r="AE115" s="409"/>
    </row>
    <row r="116" spans="1:31" x14ac:dyDescent="0.2">
      <c r="A116" s="344"/>
      <c r="B116" s="344"/>
      <c r="C116" s="344"/>
      <c r="D116" s="344"/>
      <c r="E116" s="344"/>
      <c r="F116" s="410"/>
      <c r="G116" s="344"/>
      <c r="H116" s="344"/>
      <c r="I116" s="344"/>
      <c r="J116" s="344"/>
      <c r="K116" s="344"/>
      <c r="L116" s="344"/>
      <c r="M116" s="105"/>
      <c r="N116" s="344"/>
      <c r="O116" s="768"/>
      <c r="P116" s="344"/>
      <c r="Q116" s="344"/>
      <c r="R116" s="344"/>
      <c r="S116" s="344"/>
      <c r="T116" s="344"/>
      <c r="U116" s="344"/>
      <c r="V116" s="344"/>
      <c r="W116" s="344"/>
      <c r="Z116" s="344"/>
      <c r="AA116" s="344"/>
      <c r="AD116" s="409"/>
      <c r="AE116" s="409"/>
    </row>
    <row r="117" spans="1:31" x14ac:dyDescent="0.2">
      <c r="A117" s="344"/>
      <c r="B117" s="344"/>
      <c r="C117" s="344"/>
      <c r="D117" s="344"/>
      <c r="E117" s="344"/>
      <c r="F117" s="407"/>
      <c r="G117" s="344"/>
      <c r="H117" s="408" t="s">
        <v>503</v>
      </c>
      <c r="I117" s="344"/>
      <c r="J117" s="344"/>
      <c r="K117" s="344"/>
      <c r="L117" s="344"/>
      <c r="M117" s="344"/>
      <c r="N117" s="344"/>
      <c r="O117" s="768"/>
      <c r="P117" s="344"/>
      <c r="Q117" s="344"/>
      <c r="R117" s="344"/>
      <c r="S117" s="344"/>
      <c r="T117" s="344"/>
      <c r="U117" s="344"/>
      <c r="V117" s="344"/>
      <c r="W117" s="344"/>
      <c r="Z117" s="344"/>
      <c r="AA117" s="344"/>
      <c r="AD117" s="409"/>
      <c r="AE117" s="409"/>
    </row>
    <row r="118" spans="1:31" x14ac:dyDescent="0.2">
      <c r="A118" s="344"/>
      <c r="B118" s="344"/>
      <c r="C118" s="344"/>
      <c r="D118" s="344"/>
      <c r="E118" s="344"/>
      <c r="F118" s="344"/>
      <c r="G118" s="344"/>
      <c r="H118" s="680" t="s">
        <v>28791</v>
      </c>
      <c r="I118" s="344"/>
      <c r="J118" s="344"/>
      <c r="K118" s="344"/>
      <c r="L118" s="344"/>
      <c r="M118" s="344"/>
      <c r="N118" s="344"/>
      <c r="O118" s="768"/>
      <c r="P118" s="344"/>
      <c r="Q118" s="344"/>
      <c r="R118" s="344"/>
      <c r="S118" s="344"/>
      <c r="T118" s="344"/>
      <c r="U118" s="344"/>
      <c r="V118" s="344"/>
      <c r="W118" s="344"/>
      <c r="Z118" s="344"/>
      <c r="AA118" s="344"/>
      <c r="AD118" s="409"/>
      <c r="AE118" s="409"/>
    </row>
    <row r="119" spans="1:31" x14ac:dyDescent="0.2">
      <c r="A119" s="344"/>
      <c r="B119" s="344"/>
      <c r="C119" s="344"/>
      <c r="D119" s="344"/>
      <c r="E119" s="344"/>
      <c r="F119" s="405" t="s">
        <v>27890</v>
      </c>
      <c r="G119" s="344"/>
      <c r="H119" s="680" t="s">
        <v>28791</v>
      </c>
      <c r="I119" s="344"/>
      <c r="J119" s="344"/>
      <c r="K119" s="344"/>
      <c r="L119" s="344"/>
      <c r="M119" s="344"/>
      <c r="N119" s="344"/>
      <c r="O119" s="768"/>
      <c r="P119" s="344"/>
      <c r="Q119" s="344"/>
      <c r="R119" s="344"/>
      <c r="S119" s="344"/>
      <c r="T119" s="344"/>
      <c r="U119" s="344"/>
      <c r="V119" s="344"/>
      <c r="W119" s="344"/>
      <c r="Z119" s="344"/>
      <c r="AA119" s="344"/>
      <c r="AD119" s="409"/>
      <c r="AE119" s="409"/>
    </row>
    <row r="120" spans="1:31" x14ac:dyDescent="0.2">
      <c r="A120" s="344"/>
      <c r="B120" s="344"/>
      <c r="C120" s="344"/>
      <c r="D120" s="344"/>
      <c r="E120" s="344"/>
      <c r="F120" s="407">
        <v>175</v>
      </c>
      <c r="G120" s="344"/>
      <c r="H120" s="344"/>
      <c r="I120" s="344"/>
      <c r="J120" s="344"/>
      <c r="K120" s="344"/>
      <c r="L120" s="344"/>
      <c r="M120" s="344"/>
      <c r="N120" s="344"/>
      <c r="O120" s="768"/>
      <c r="P120" s="344"/>
      <c r="Q120" s="344"/>
      <c r="R120" s="344"/>
      <c r="S120" s="344"/>
      <c r="T120" s="344"/>
      <c r="U120" s="344"/>
      <c r="V120" s="344"/>
      <c r="W120" s="344"/>
      <c r="Z120" s="344"/>
      <c r="AA120" s="344"/>
      <c r="AD120" s="409"/>
      <c r="AE120" s="409"/>
    </row>
    <row r="121" spans="1:31" x14ac:dyDescent="0.2">
      <c r="A121" s="344"/>
      <c r="B121" s="344"/>
      <c r="C121" s="344"/>
      <c r="D121" s="344"/>
      <c r="E121" s="344"/>
      <c r="F121" s="407">
        <v>250</v>
      </c>
      <c r="G121" s="344"/>
      <c r="H121" s="408" t="s">
        <v>703</v>
      </c>
      <c r="I121" s="344"/>
      <c r="J121" s="344"/>
      <c r="K121" s="344"/>
      <c r="L121" s="344"/>
      <c r="M121" s="344"/>
      <c r="N121" s="344"/>
      <c r="O121" s="768"/>
      <c r="P121" s="344"/>
      <c r="Q121" s="344"/>
      <c r="R121" s="344"/>
      <c r="S121" s="344"/>
      <c r="T121" s="344"/>
      <c r="U121" s="344"/>
      <c r="V121" s="344"/>
      <c r="W121" s="344"/>
      <c r="Z121" s="344"/>
      <c r="AA121" s="344"/>
      <c r="AD121" s="409"/>
      <c r="AE121" s="409"/>
    </row>
    <row r="122" spans="1:31" x14ac:dyDescent="0.2">
      <c r="A122" s="344"/>
      <c r="B122" s="344"/>
      <c r="C122" s="344"/>
      <c r="D122" s="344"/>
      <c r="E122" s="344"/>
      <c r="F122" s="344"/>
      <c r="G122" s="344"/>
      <c r="H122" s="680" t="str">
        <f>IF('Berechnung &amp; Tabellen'!AA92&gt;470,"links/rechts","links (Mehraufwand)")</f>
        <v>links (Mehraufwand)</v>
      </c>
      <c r="I122" s="344"/>
      <c r="J122" s="344"/>
      <c r="K122" s="344"/>
      <c r="L122" s="344"/>
      <c r="M122" s="344"/>
      <c r="N122" s="344"/>
      <c r="O122" s="768"/>
      <c r="P122" s="344"/>
      <c r="Q122" s="344"/>
      <c r="R122" s="344"/>
      <c r="S122" s="344"/>
      <c r="T122" s="344"/>
      <c r="U122" s="344"/>
      <c r="V122" s="344"/>
      <c r="W122" s="344"/>
      <c r="Z122" s="344"/>
      <c r="AA122" s="344"/>
      <c r="AD122" s="409"/>
      <c r="AE122" s="409"/>
    </row>
    <row r="123" spans="1:31" x14ac:dyDescent="0.2">
      <c r="A123" s="344"/>
      <c r="B123" s="344"/>
      <c r="C123" s="344"/>
      <c r="D123" s="344"/>
      <c r="E123" s="344"/>
      <c r="F123" s="405" t="s">
        <v>27999</v>
      </c>
      <c r="G123" s="344"/>
      <c r="H123" s="680" t="str">
        <f>IF('Berechnung &amp; Tabellen'!AA92&gt;470,"links/rechts","rechts (Standardausführung)")</f>
        <v>rechts (Standardausführung)</v>
      </c>
      <c r="I123" s="344"/>
      <c r="J123" s="344"/>
      <c r="K123" s="344"/>
      <c r="L123" s="344"/>
      <c r="M123" s="344"/>
      <c r="N123" s="344"/>
      <c r="O123" s="768"/>
      <c r="P123" s="344"/>
      <c r="Q123" s="344"/>
      <c r="R123" s="344"/>
      <c r="S123" s="344"/>
      <c r="T123" s="344"/>
      <c r="U123" s="344"/>
      <c r="V123" s="344"/>
      <c r="W123" s="344"/>
      <c r="Z123" s="344"/>
      <c r="AA123" s="344"/>
      <c r="AD123" s="409"/>
      <c r="AE123" s="409"/>
    </row>
    <row r="124" spans="1:31" x14ac:dyDescent="0.2">
      <c r="A124" s="344"/>
      <c r="B124" s="344"/>
      <c r="C124" s="344"/>
      <c r="D124" s="344"/>
      <c r="E124" s="344"/>
      <c r="F124" s="407" t="s">
        <v>28000</v>
      </c>
      <c r="G124" s="407">
        <f>IF($F$62=F124,1,0)</f>
        <v>1</v>
      </c>
      <c r="H124" s="394"/>
      <c r="I124" s="344"/>
      <c r="J124" s="344"/>
      <c r="K124" s="344"/>
      <c r="L124" s="344"/>
      <c r="M124" s="344"/>
      <c r="N124" s="344"/>
      <c r="O124" s="768"/>
      <c r="P124" s="344"/>
      <c r="Q124" s="344"/>
      <c r="R124" s="344"/>
      <c r="S124" s="344"/>
      <c r="T124" s="344"/>
      <c r="U124" s="344"/>
      <c r="V124" s="344"/>
      <c r="W124" s="344"/>
      <c r="Z124" s="344"/>
      <c r="AA124" s="344"/>
      <c r="AD124" s="409"/>
      <c r="AE124" s="409"/>
    </row>
    <row r="125" spans="1:31" x14ac:dyDescent="0.2">
      <c r="A125" s="344"/>
      <c r="B125" s="344"/>
      <c r="C125" s="344"/>
      <c r="D125" s="344"/>
      <c r="E125" s="344"/>
      <c r="F125" s="407" t="s">
        <v>28001</v>
      </c>
      <c r="G125" s="407">
        <f>IF($F$62=F125,1,0)</f>
        <v>0</v>
      </c>
      <c r="H125" s="344"/>
      <c r="I125" s="344"/>
      <c r="J125" s="344"/>
      <c r="K125" s="344"/>
      <c r="L125" s="344"/>
      <c r="M125" s="344"/>
      <c r="N125" s="344"/>
      <c r="O125" s="768"/>
      <c r="P125" s="344"/>
      <c r="Q125" s="344"/>
      <c r="R125" s="344"/>
      <c r="S125" s="344"/>
      <c r="T125" s="344"/>
      <c r="U125" s="344"/>
      <c r="V125" s="344"/>
      <c r="W125" s="344"/>
      <c r="Z125" s="344"/>
      <c r="AA125" s="344"/>
      <c r="AB125" s="132"/>
    </row>
    <row r="126" spans="1:31" x14ac:dyDescent="0.2">
      <c r="A126" s="344"/>
      <c r="B126" s="344"/>
      <c r="C126" s="344"/>
      <c r="D126" s="344"/>
      <c r="E126" s="344"/>
      <c r="F126" s="960" t="s">
        <v>28002</v>
      </c>
      <c r="G126" s="407">
        <f>IF($F$62=F126,1,0)</f>
        <v>0</v>
      </c>
      <c r="H126" s="408" t="s">
        <v>28625</v>
      </c>
      <c r="I126" s="344"/>
      <c r="J126" s="344"/>
      <c r="K126" s="344"/>
      <c r="L126" s="344"/>
      <c r="M126" s="344"/>
      <c r="N126" s="344"/>
      <c r="O126" s="768"/>
      <c r="P126" s="344"/>
      <c r="Q126" s="344"/>
      <c r="R126" s="344"/>
      <c r="S126" s="344"/>
      <c r="T126" s="344"/>
      <c r="U126" s="344"/>
      <c r="V126" s="344"/>
      <c r="W126" s="344"/>
      <c r="Z126" s="344"/>
      <c r="AA126" s="344"/>
    </row>
    <row r="127" spans="1:31" x14ac:dyDescent="0.2">
      <c r="A127" s="344"/>
      <c r="B127" s="344"/>
      <c r="C127" s="344"/>
      <c r="D127" s="344"/>
      <c r="E127" s="344"/>
      <c r="F127" s="960" t="s">
        <v>28003</v>
      </c>
      <c r="G127" s="407">
        <f>IF($F$62=F127,1,0)</f>
        <v>0</v>
      </c>
      <c r="H127" s="680" t="s">
        <v>465</v>
      </c>
      <c r="I127" s="344"/>
      <c r="J127" s="344"/>
      <c r="K127" s="344"/>
      <c r="L127" s="344"/>
      <c r="M127" s="344"/>
      <c r="N127" s="344"/>
      <c r="O127" s="768"/>
      <c r="P127" s="344"/>
      <c r="Q127" s="344"/>
      <c r="R127" s="344"/>
      <c r="S127" s="344"/>
      <c r="T127" s="344"/>
      <c r="U127" s="344"/>
      <c r="V127" s="344"/>
      <c r="W127" s="344"/>
      <c r="Z127" s="344"/>
      <c r="AA127" s="344"/>
    </row>
    <row r="128" spans="1:31" x14ac:dyDescent="0.2">
      <c r="A128" s="344"/>
      <c r="B128" s="344"/>
      <c r="C128" s="344"/>
      <c r="D128" s="344"/>
      <c r="E128" s="344"/>
      <c r="F128" s="960" t="s">
        <v>30581</v>
      </c>
      <c r="G128" s="407">
        <f>IF($F$62=F128,1,0)</f>
        <v>0</v>
      </c>
      <c r="H128" s="680" t="s">
        <v>28626</v>
      </c>
      <c r="I128" s="344"/>
      <c r="J128" s="344"/>
      <c r="K128" s="344"/>
      <c r="L128" s="344"/>
      <c r="M128" s="344"/>
      <c r="N128" s="344"/>
      <c r="O128" s="768"/>
      <c r="P128" s="344"/>
      <c r="Q128" s="344"/>
      <c r="R128" s="344"/>
      <c r="S128" s="344"/>
      <c r="T128" s="344"/>
      <c r="U128" s="344"/>
      <c r="V128" s="344"/>
      <c r="W128" s="344"/>
      <c r="Z128" s="344"/>
      <c r="AA128" s="344"/>
    </row>
    <row r="129" spans="1:27" x14ac:dyDescent="0.2">
      <c r="A129" s="344"/>
      <c r="B129" s="344"/>
      <c r="C129" s="344"/>
      <c r="D129" s="344"/>
      <c r="E129" s="344"/>
      <c r="F129" s="344"/>
      <c r="G129" s="344"/>
      <c r="H129" s="680"/>
      <c r="I129" s="344"/>
      <c r="J129" s="344"/>
      <c r="K129" s="344"/>
      <c r="L129" s="344"/>
      <c r="M129" s="344"/>
      <c r="N129" s="344"/>
      <c r="O129" s="768"/>
      <c r="P129" s="344"/>
      <c r="Q129" s="344"/>
      <c r="R129" s="344"/>
      <c r="S129" s="344"/>
      <c r="T129" s="344"/>
      <c r="U129" s="344"/>
      <c r="V129" s="344"/>
      <c r="W129" s="344"/>
      <c r="Z129" s="344"/>
      <c r="AA129" s="344"/>
    </row>
    <row r="130" spans="1:27" x14ac:dyDescent="0.2">
      <c r="E130" s="740" t="s">
        <v>29046</v>
      </c>
      <c r="F130" s="740" t="s">
        <v>29047</v>
      </c>
      <c r="G130" s="740" t="s">
        <v>29048</v>
      </c>
      <c r="H130" s="408" t="s">
        <v>525</v>
      </c>
    </row>
    <row r="131" spans="1:27" x14ac:dyDescent="0.2">
      <c r="E131" s="736">
        <f>IF(H131=$F$60,1,0)</f>
        <v>0</v>
      </c>
      <c r="F131" s="736">
        <v>0</v>
      </c>
      <c r="G131" s="736">
        <v>0</v>
      </c>
      <c r="H131" s="1548" t="s">
        <v>29040</v>
      </c>
      <c r="I131" s="1544"/>
      <c r="J131" s="1544"/>
      <c r="K131" s="1544"/>
      <c r="L131" s="1544"/>
      <c r="M131" s="1544"/>
      <c r="N131" s="1544"/>
      <c r="O131" s="1545"/>
    </row>
    <row r="132" spans="1:27" x14ac:dyDescent="0.2">
      <c r="E132" s="736">
        <v>0</v>
      </c>
      <c r="F132" s="736">
        <v>0</v>
      </c>
      <c r="G132" s="736">
        <f>IF(H132=$F$60,1,0)</f>
        <v>1</v>
      </c>
      <c r="H132" s="1548" t="s">
        <v>29043</v>
      </c>
      <c r="I132" s="1544"/>
      <c r="J132" s="1544"/>
      <c r="K132" s="1544"/>
      <c r="L132" s="1544"/>
      <c r="M132" s="1544"/>
      <c r="N132" s="1544"/>
      <c r="O132" s="1545"/>
    </row>
    <row r="133" spans="1:27" x14ac:dyDescent="0.2">
      <c r="E133" s="736">
        <v>0</v>
      </c>
      <c r="F133" s="736">
        <f>IF($H$133=$F$60,2,0)</f>
        <v>0</v>
      </c>
      <c r="G133" s="736">
        <v>0</v>
      </c>
      <c r="H133" s="1549" t="s">
        <v>29042</v>
      </c>
      <c r="I133" s="1544"/>
      <c r="J133" s="1544"/>
      <c r="K133" s="1544"/>
      <c r="L133" s="1544"/>
      <c r="M133" s="1544"/>
      <c r="N133" s="1544"/>
      <c r="O133" s="1545"/>
    </row>
    <row r="134" spans="1:27" x14ac:dyDescent="0.2">
      <c r="E134" s="736">
        <v>0</v>
      </c>
      <c r="F134" s="736">
        <v>0</v>
      </c>
      <c r="G134" s="736">
        <f>IF(H134=$F$60,2,0)</f>
        <v>0</v>
      </c>
      <c r="H134" s="1549" t="s">
        <v>29041</v>
      </c>
      <c r="I134" s="1544"/>
      <c r="J134" s="1544"/>
      <c r="K134" s="1544"/>
      <c r="L134" s="1544"/>
      <c r="M134" s="1544"/>
      <c r="N134" s="1544"/>
      <c r="O134" s="1545"/>
    </row>
    <row r="135" spans="1:27" x14ac:dyDescent="0.2">
      <c r="E135" s="736">
        <v>0</v>
      </c>
      <c r="F135" s="736">
        <f>IF(H135=F60,1,0)</f>
        <v>0</v>
      </c>
      <c r="G135" s="736">
        <v>0</v>
      </c>
      <c r="H135" s="1548" t="s">
        <v>29044</v>
      </c>
      <c r="I135" s="1544"/>
      <c r="J135" s="1544"/>
      <c r="K135" s="1544"/>
      <c r="L135" s="1544"/>
      <c r="M135" s="1544"/>
      <c r="N135" s="1544"/>
      <c r="O135" s="1545"/>
    </row>
    <row r="136" spans="1:27" x14ac:dyDescent="0.2">
      <c r="E136" s="736">
        <f>IF(H136=$F$60,1,0)</f>
        <v>0</v>
      </c>
      <c r="F136" s="736">
        <f>IF($H$136=$F$60,1,0)</f>
        <v>0</v>
      </c>
      <c r="G136" s="736">
        <v>0</v>
      </c>
      <c r="H136" s="1549" t="s">
        <v>29045</v>
      </c>
      <c r="I136" s="1544"/>
      <c r="J136" s="1544"/>
      <c r="K136" s="1544"/>
      <c r="L136" s="1544"/>
      <c r="M136" s="1544"/>
      <c r="N136" s="1544"/>
      <c r="O136" s="1545"/>
    </row>
    <row r="137" spans="1:27" x14ac:dyDescent="0.2">
      <c r="E137" s="1494">
        <f>SUM(E131:E136)</f>
        <v>0</v>
      </c>
      <c r="F137" s="1494">
        <f>SUM(F131:F136)</f>
        <v>0</v>
      </c>
      <c r="G137" s="1494">
        <f>SUM(G131:G136)</f>
        <v>1</v>
      </c>
      <c r="H137" s="947" t="s">
        <v>27658</v>
      </c>
    </row>
    <row r="138" spans="1:27" x14ac:dyDescent="0.2">
      <c r="H138" s="408" t="s">
        <v>823</v>
      </c>
    </row>
    <row r="139" spans="1:27" x14ac:dyDescent="0.2">
      <c r="H139" s="394" t="s">
        <v>76</v>
      </c>
    </row>
    <row r="140" spans="1:27" x14ac:dyDescent="0.2">
      <c r="H140" s="394" t="s">
        <v>77</v>
      </c>
    </row>
    <row r="141" spans="1:27" x14ac:dyDescent="0.2">
      <c r="F141" s="1494" t="s">
        <v>29669</v>
      </c>
    </row>
    <row r="142" spans="1:27" x14ac:dyDescent="0.2">
      <c r="F142" s="739" t="s">
        <v>29670</v>
      </c>
      <c r="G142" s="407">
        <f>IF($H$26=F142,1,0)</f>
        <v>0</v>
      </c>
      <c r="H142" s="408"/>
    </row>
    <row r="143" spans="1:27" x14ac:dyDescent="0.2">
      <c r="F143" s="739" t="s">
        <v>29671</v>
      </c>
      <c r="G143" s="407">
        <f>IF($H$26=F143,1,0)</f>
        <v>0</v>
      </c>
      <c r="H143" s="408"/>
    </row>
    <row r="144" spans="1:27" ht="13.5" thickBot="1" x14ac:dyDescent="0.25">
      <c r="F144" s="1223"/>
      <c r="G144" s="1814"/>
      <c r="H144" s="408" t="s">
        <v>28348</v>
      </c>
    </row>
    <row r="145" spans="5:10" x14ac:dyDescent="0.2">
      <c r="G145" s="1780">
        <f>IF($F$68=H145,1,0)</f>
        <v>1</v>
      </c>
      <c r="H145" s="1781" t="s">
        <v>28349</v>
      </c>
      <c r="I145" s="803"/>
      <c r="J145" s="1782"/>
    </row>
    <row r="146" spans="5:10" x14ac:dyDescent="0.2">
      <c r="G146" s="1783">
        <f>IF($F$68=H146,1,0)</f>
        <v>0</v>
      </c>
      <c r="H146" s="1776" t="s">
        <v>28350</v>
      </c>
      <c r="I146" s="113"/>
      <c r="J146" s="1784"/>
    </row>
    <row r="147" spans="5:10" x14ac:dyDescent="0.2">
      <c r="G147" s="1783">
        <f>IF($F$68=H147,1,0)</f>
        <v>0</v>
      </c>
      <c r="H147" s="1776" t="s">
        <v>28351</v>
      </c>
      <c r="I147" s="113"/>
      <c r="J147" s="1784"/>
    </row>
    <row r="148" spans="5:10" x14ac:dyDescent="0.2">
      <c r="F148" s="404" t="s">
        <v>28514</v>
      </c>
      <c r="G148" s="1783">
        <f>IF($F$68=H148,1,0)</f>
        <v>0</v>
      </c>
      <c r="H148" s="113" t="s">
        <v>28352</v>
      </c>
      <c r="I148" s="113"/>
      <c r="J148" s="1784"/>
    </row>
    <row r="149" spans="5:10" x14ac:dyDescent="0.2">
      <c r="F149" s="406">
        <v>60</v>
      </c>
      <c r="G149" s="1785"/>
      <c r="H149" s="113"/>
      <c r="I149" s="113"/>
      <c r="J149" s="1784"/>
    </row>
    <row r="150" spans="5:10" x14ac:dyDescent="0.2">
      <c r="F150" s="406">
        <f>IF(H30=250,150,60)</f>
        <v>60</v>
      </c>
      <c r="G150" s="1785"/>
      <c r="H150" s="1777" t="s">
        <v>611</v>
      </c>
      <c r="I150" s="113"/>
      <c r="J150" s="1784"/>
    </row>
    <row r="151" spans="5:10" x14ac:dyDescent="0.2">
      <c r="G151" s="1783">
        <f>IF(OR($F$64=H151,SUM(G152:G154)=0),1,0)</f>
        <v>1</v>
      </c>
      <c r="H151" s="1776" t="s">
        <v>28219</v>
      </c>
      <c r="I151" s="113"/>
      <c r="J151" s="1784"/>
    </row>
    <row r="152" spans="5:10" x14ac:dyDescent="0.2">
      <c r="G152" s="1783">
        <f>IF($F$64=H152,1,0)</f>
        <v>0</v>
      </c>
      <c r="H152" s="1776" t="s">
        <v>29430</v>
      </c>
      <c r="I152" s="113"/>
      <c r="J152" s="1784"/>
    </row>
    <row r="153" spans="5:10" x14ac:dyDescent="0.2">
      <c r="F153" s="1774" t="s">
        <v>29514</v>
      </c>
      <c r="G153" s="1783">
        <f>IF($F$64=H153,1,0)</f>
        <v>0</v>
      </c>
      <c r="H153" s="1776" t="s">
        <v>29432</v>
      </c>
      <c r="I153" s="113"/>
      <c r="J153" s="1784"/>
    </row>
    <row r="154" spans="5:10" x14ac:dyDescent="0.2">
      <c r="F154" s="1775" t="s">
        <v>332</v>
      </c>
      <c r="G154" s="1783">
        <f>IF($F$64=H154,1,0)</f>
        <v>0</v>
      </c>
      <c r="H154" s="1776" t="s">
        <v>29431</v>
      </c>
      <c r="I154" s="113"/>
      <c r="J154" s="1784"/>
    </row>
    <row r="155" spans="5:10" x14ac:dyDescent="0.2">
      <c r="F155" s="1775" t="str">
        <f>IF(OR($H$32=150,$F$42=$H$100,$F$46=$H$108,$F$46=$H$109,$F$46=$H$110),"",F157)</f>
        <v>mit Funkübertragung</v>
      </c>
      <c r="G155" s="1783"/>
      <c r="H155" s="1776"/>
      <c r="I155" s="113"/>
      <c r="J155" s="1784"/>
    </row>
    <row r="156" spans="5:10" x14ac:dyDescent="0.2">
      <c r="F156" s="1775" t="str">
        <f>IF(OR($H$32=150,$F$42=$H$100,$F$46=$H$108,$F$46=$H$109,$F$46=$H$110),"",F158)</f>
        <v>mit Spiralkabel (Auswertung Gelbau)</v>
      </c>
      <c r="G156" s="1785"/>
      <c r="H156" s="1777" t="s">
        <v>28646</v>
      </c>
      <c r="I156" s="113"/>
      <c r="J156" s="1784"/>
    </row>
    <row r="157" spans="5:10" x14ac:dyDescent="0.2">
      <c r="E157" s="736">
        <f>IF($F$66=F157,1,0)</f>
        <v>0</v>
      </c>
      <c r="F157" s="1775" t="s">
        <v>29513</v>
      </c>
      <c r="G157" s="1783">
        <f>IF($F$80=H157,1,0)</f>
        <v>1</v>
      </c>
      <c r="H157" s="1778" t="s">
        <v>76</v>
      </c>
      <c r="I157" s="1779" t="str">
        <f>IF('Berechnung &amp; Tabellen'!E246="X","ja","nein")</f>
        <v>ja</v>
      </c>
      <c r="J157" s="1784"/>
    </row>
    <row r="158" spans="5:10" ht="13.5" thickBot="1" x14ac:dyDescent="0.25">
      <c r="E158" s="736">
        <f>IF($F$66=F158,1,0)</f>
        <v>0</v>
      </c>
      <c r="F158" s="1775" t="s">
        <v>29534</v>
      </c>
      <c r="G158" s="1786">
        <f>IF($F$80=H158,1,0)</f>
        <v>0</v>
      </c>
      <c r="H158" s="1787" t="s">
        <v>77</v>
      </c>
      <c r="I158" s="1788" t="s">
        <v>77</v>
      </c>
      <c r="J158" s="1789"/>
    </row>
    <row r="159" spans="5:10" x14ac:dyDescent="0.2">
      <c r="E159" s="736">
        <f>SUM(E157:E158)</f>
        <v>0</v>
      </c>
    </row>
    <row r="160" spans="5:10" x14ac:dyDescent="0.2">
      <c r="H160" s="416" t="s">
        <v>28351</v>
      </c>
    </row>
    <row r="163" spans="5:11" x14ac:dyDescent="0.2">
      <c r="F163" s="405" t="s">
        <v>29875</v>
      </c>
      <c r="H163" s="1947" t="s">
        <v>29865</v>
      </c>
      <c r="I163" s="1544"/>
      <c r="J163" s="1834"/>
    </row>
    <row r="164" spans="5:11" x14ac:dyDescent="0.2">
      <c r="E164" s="736">
        <f>IF($F$164=$F$72,1,0)</f>
        <v>0</v>
      </c>
      <c r="F164" s="960" t="s">
        <v>29874</v>
      </c>
      <c r="H164" s="1839" t="str">
        <f>IF(F30=E101,H165,"")</f>
        <v>Festfeldmaterial separat verpacken</v>
      </c>
      <c r="I164" s="1544"/>
      <c r="J164" s="1834"/>
    </row>
    <row r="165" spans="5:11" x14ac:dyDescent="0.2">
      <c r="E165" s="736"/>
      <c r="F165" s="960"/>
      <c r="H165" s="1839" t="s">
        <v>29866</v>
      </c>
      <c r="I165" s="1544"/>
      <c r="J165" s="1834"/>
      <c r="K165" s="736">
        <f>IF(OR(F76=H165,H28&gt;0),1,0)</f>
        <v>0</v>
      </c>
    </row>
    <row r="167" spans="5:11" x14ac:dyDescent="0.2">
      <c r="F167" s="405" t="s">
        <v>29685</v>
      </c>
      <c r="H167" s="1833" t="s">
        <v>29867</v>
      </c>
    </row>
    <row r="168" spans="5:11" x14ac:dyDescent="0.2">
      <c r="E168" s="736">
        <f>IF($F$168=$H$17,1,0)</f>
        <v>0</v>
      </c>
      <c r="F168" s="960" t="s">
        <v>76</v>
      </c>
      <c r="H168" s="1248" t="str">
        <f>IF(AND(F30=E101,F76&lt;&gt;0),H170,"")</f>
        <v/>
      </c>
    </row>
    <row r="169" spans="5:11" x14ac:dyDescent="0.2">
      <c r="E169" s="736">
        <f>IF(OR($F$169=$H$17,$H$17=0),1,0)</f>
        <v>1</v>
      </c>
      <c r="F169" s="960" t="s">
        <v>77</v>
      </c>
      <c r="H169" s="1248" t="str">
        <f>IF(AND(F30=E101,F76&lt;&gt;0),H171,"")</f>
        <v/>
      </c>
    </row>
    <row r="170" spans="5:11" x14ac:dyDescent="0.2">
      <c r="H170" s="1948" t="s">
        <v>29870</v>
      </c>
    </row>
    <row r="171" spans="5:11" x14ac:dyDescent="0.2">
      <c r="F171" s="405" t="s">
        <v>29690</v>
      </c>
      <c r="H171" s="1832" t="s">
        <v>29871</v>
      </c>
    </row>
    <row r="172" spans="5:11" x14ac:dyDescent="0.2">
      <c r="E172" s="736">
        <f>IF($F$172=$F$74,1,0)</f>
        <v>0</v>
      </c>
      <c r="F172" s="960" t="s">
        <v>29864</v>
      </c>
    </row>
    <row r="173" spans="5:11" x14ac:dyDescent="0.2">
      <c r="E173" s="736"/>
      <c r="F173" s="960"/>
    </row>
    <row r="175" spans="5:11" x14ac:dyDescent="0.2">
      <c r="F175" s="405" t="s">
        <v>29710</v>
      </c>
      <c r="G175" s="1494" t="s">
        <v>237</v>
      </c>
    </row>
    <row r="176" spans="5:11" x14ac:dyDescent="0.2">
      <c r="E176" s="736">
        <f>IF(F42=F176,1,0)</f>
        <v>0</v>
      </c>
      <c r="F176" s="960" t="s">
        <v>484</v>
      </c>
      <c r="G176" s="736">
        <v>113419</v>
      </c>
    </row>
    <row r="177" spans="5:9" x14ac:dyDescent="0.2">
      <c r="E177" s="736">
        <f>IF(F42=F177,1,0)</f>
        <v>1</v>
      </c>
      <c r="F177" s="960" t="s">
        <v>465</v>
      </c>
      <c r="G177" s="736">
        <v>112821</v>
      </c>
    </row>
    <row r="178" spans="5:9" x14ac:dyDescent="0.2">
      <c r="E178" s="736">
        <f>IF(F42=F178,1,0)</f>
        <v>0</v>
      </c>
      <c r="F178" s="960" t="s">
        <v>485</v>
      </c>
      <c r="G178" s="736">
        <v>113596</v>
      </c>
    </row>
    <row r="180" spans="5:9" x14ac:dyDescent="0.2">
      <c r="H180" s="2162" t="s">
        <v>30614</v>
      </c>
      <c r="I180" s="2162"/>
    </row>
    <row r="181" spans="5:9" x14ac:dyDescent="0.2">
      <c r="E181" s="2093">
        <f>IF(SUM(E182:E185)&gt;0,1,0)</f>
        <v>0</v>
      </c>
      <c r="F181" s="2149" t="s">
        <v>30480</v>
      </c>
      <c r="H181" s="1676"/>
      <c r="I181" s="2152" t="s">
        <v>796</v>
      </c>
    </row>
    <row r="182" spans="5:9" x14ac:dyDescent="0.2">
      <c r="E182" s="2093">
        <f>IF(F42=F182,1,0)</f>
        <v>0</v>
      </c>
      <c r="F182" s="2150" t="s">
        <v>484</v>
      </c>
      <c r="H182" s="1676"/>
      <c r="I182" s="1676" t="str">
        <f>IF(F42=H100,I184,"Nein")</f>
        <v>Nein</v>
      </c>
    </row>
    <row r="183" spans="5:9" x14ac:dyDescent="0.2">
      <c r="E183" s="2093">
        <f>IF(F46=F183,1,0)</f>
        <v>0</v>
      </c>
      <c r="F183" s="1843" t="s">
        <v>28085</v>
      </c>
      <c r="H183" s="1676">
        <f>IF(OR($F$44=I183,$F$44=0),1,0)</f>
        <v>1</v>
      </c>
      <c r="I183" s="1676" t="s">
        <v>796</v>
      </c>
    </row>
    <row r="184" spans="5:9" x14ac:dyDescent="0.2">
      <c r="E184" s="2093">
        <f>IF(F48=F184,1,0)</f>
        <v>0</v>
      </c>
      <c r="F184" s="1843" t="s">
        <v>28085</v>
      </c>
      <c r="H184" s="1676">
        <f>IF(AND($F$44=I184,H183=0),1,0)</f>
        <v>0</v>
      </c>
      <c r="I184" s="1676" t="s">
        <v>545</v>
      </c>
    </row>
    <row r="185" spans="5:9" x14ac:dyDescent="0.2">
      <c r="E185" s="2093">
        <f>IF(F50=F185,1,0)</f>
        <v>0</v>
      </c>
      <c r="F185" s="410" t="s">
        <v>28085</v>
      </c>
    </row>
    <row r="186" spans="5:9" x14ac:dyDescent="0.2">
      <c r="H186" s="408" t="s">
        <v>30355</v>
      </c>
    </row>
    <row r="187" spans="5:9" x14ac:dyDescent="0.2">
      <c r="F187" s="405" t="s">
        <v>29875</v>
      </c>
      <c r="G187" s="9">
        <f>IF(AND($F$30=$E$101,OR($F$40=H191,$F$40=0)),1,0)</f>
        <v>1</v>
      </c>
      <c r="H187" s="680" t="str">
        <f>IF($F$30=$E$101,H191,"")</f>
        <v>Standard (links) / Standard (rechts)</v>
      </c>
    </row>
    <row r="188" spans="5:9" x14ac:dyDescent="0.2">
      <c r="E188" s="2319">
        <v>0.5</v>
      </c>
      <c r="F188" s="2328">
        <f>IF(E188-'Berechnung &amp; Tabellen'!$D$61&lt;0,0,E188-'Berechnung &amp; Tabellen'!$D$61)</f>
        <v>0</v>
      </c>
      <c r="G188" s="9">
        <f>IF(AND($F$30=$E$101,$F$40=H192),1,0)</f>
        <v>0</v>
      </c>
      <c r="H188" s="680" t="str">
        <f>IF($F$30=$E$101,H192,"")</f>
        <v>Standard (links) / Seitenwand (rechts)</v>
      </c>
    </row>
    <row r="189" spans="5:9" x14ac:dyDescent="0.2">
      <c r="E189" s="2319">
        <v>1</v>
      </c>
      <c r="F189" s="2328">
        <f>IF(E189-'Berechnung &amp; Tabellen'!$D$61&lt;0,0,E189-'Berechnung &amp; Tabellen'!$D$61)</f>
        <v>0</v>
      </c>
      <c r="G189" s="9">
        <f>IF(AND($F$30=$E$101,$F$40=H193),1,0)</f>
        <v>0</v>
      </c>
      <c r="H189" s="680" t="str">
        <f>IF($F$30=$E$101,H193,"")</f>
        <v>Seitenwand (links) / Standard (rechts)</v>
      </c>
    </row>
    <row r="190" spans="5:9" x14ac:dyDescent="0.2">
      <c r="E190" s="2319">
        <v>1.5</v>
      </c>
      <c r="F190" s="2328">
        <f>IF(E190-'Berechnung &amp; Tabellen'!$D$61&lt;0,0,E190-'Berechnung &amp; Tabellen'!$D$61)</f>
        <v>0</v>
      </c>
      <c r="G190" s="9">
        <f>IF(AND($F$30=$E$101,$F$40=H194),1,0)</f>
        <v>0</v>
      </c>
      <c r="H190" s="680" t="str">
        <f>IF($F$30=$E$101,H194,"")</f>
        <v>Seitenwand (links) / Seitenwand (rechts)</v>
      </c>
    </row>
    <row r="191" spans="5:9" ht="13.7" customHeight="1" x14ac:dyDescent="0.2">
      <c r="E191" s="2319">
        <v>2</v>
      </c>
      <c r="F191" s="2328">
        <f>IF(E191-'Berechnung &amp; Tabellen'!$D$61&lt;0,0,E191-'Berechnung &amp; Tabellen'!$D$61)</f>
        <v>0.5</v>
      </c>
      <c r="H191" s="9" t="s">
        <v>30356</v>
      </c>
    </row>
    <row r="192" spans="5:9" x14ac:dyDescent="0.2">
      <c r="E192" s="2319">
        <v>2.5</v>
      </c>
      <c r="F192" s="2328">
        <f>IF(E192-'Berechnung &amp; Tabellen'!$D$61&lt;0,0,E192-'Berechnung &amp; Tabellen'!$D$61)</f>
        <v>1</v>
      </c>
      <c r="H192" s="9" t="s">
        <v>30357</v>
      </c>
    </row>
    <row r="193" spans="5:8" x14ac:dyDescent="0.2">
      <c r="E193" s="2319">
        <v>3</v>
      </c>
      <c r="F193" s="2328">
        <f>IF(E193-'Berechnung &amp; Tabellen'!$D$61&lt;0,0,E193-'Berechnung &amp; Tabellen'!$D$61)</f>
        <v>1.5</v>
      </c>
      <c r="H193" s="9" t="s">
        <v>30358</v>
      </c>
    </row>
    <row r="194" spans="5:8" x14ac:dyDescent="0.2">
      <c r="E194" s="2319">
        <v>3.5</v>
      </c>
      <c r="F194" s="2328">
        <f>IF(E194-'Berechnung &amp; Tabellen'!$D$61&lt;0,0,E194-'Berechnung &amp; Tabellen'!$D$61)</f>
        <v>2</v>
      </c>
      <c r="H194" s="9" t="s">
        <v>30359</v>
      </c>
    </row>
    <row r="195" spans="5:8" x14ac:dyDescent="0.2">
      <c r="E195" s="2319">
        <v>4</v>
      </c>
      <c r="F195" s="2328">
        <f>IF(E195-'Berechnung &amp; Tabellen'!$D$61&lt;0,0,E195-'Berechnung &amp; Tabellen'!$D$61)</f>
        <v>2.5</v>
      </c>
    </row>
    <row r="196" spans="5:8" x14ac:dyDescent="0.2">
      <c r="E196" s="2319">
        <v>4.5</v>
      </c>
      <c r="F196" s="2328">
        <f>IF(E196-'Berechnung &amp; Tabellen'!$D$61&lt;0,0,E196-'Berechnung &amp; Tabellen'!$D$61)</f>
        <v>3</v>
      </c>
    </row>
    <row r="197" spans="5:8" x14ac:dyDescent="0.2">
      <c r="E197" s="2319">
        <v>5</v>
      </c>
      <c r="F197" s="2328">
        <f>IF(E197-'Berechnung &amp; Tabellen'!$D$61&lt;0,0,E197-'Berechnung &amp; Tabellen'!$D$61)</f>
        <v>3.5</v>
      </c>
    </row>
    <row r="198" spans="5:8" x14ac:dyDescent="0.2">
      <c r="E198" s="2319">
        <v>5.5</v>
      </c>
      <c r="F198" s="2328">
        <f>IF(E198-'Berechnung &amp; Tabellen'!$D$61&lt;0,0,E198-'Berechnung &amp; Tabellen'!$D$61)</f>
        <v>4</v>
      </c>
    </row>
    <row r="199" spans="5:8" x14ac:dyDescent="0.2">
      <c r="E199" s="2319">
        <v>6</v>
      </c>
      <c r="F199" s="2328">
        <f>IF(E199-'Berechnung &amp; Tabellen'!$D$61&lt;0,0,E199-'Berechnung &amp; Tabellen'!$D$61)</f>
        <v>4.5</v>
      </c>
    </row>
    <row r="200" spans="5:8" x14ac:dyDescent="0.2">
      <c r="E200" s="2319">
        <v>6.5</v>
      </c>
      <c r="F200" s="2328">
        <f>IF(E200-'Berechnung &amp; Tabellen'!$D$61&lt;0,0,E200-'Berechnung &amp; Tabellen'!$D$61)</f>
        <v>5</v>
      </c>
    </row>
    <row r="201" spans="5:8" x14ac:dyDescent="0.2">
      <c r="E201" s="2319">
        <v>7</v>
      </c>
      <c r="F201" s="2328">
        <f>IF(E201-'Berechnung &amp; Tabellen'!$D$61&lt;0,0,E201-'Berechnung &amp; Tabellen'!$D$61)</f>
        <v>5.5</v>
      </c>
    </row>
    <row r="202" spans="5:8" x14ac:dyDescent="0.2">
      <c r="E202" s="2319">
        <v>7.5</v>
      </c>
      <c r="F202" s="2328">
        <f>IF(E202-'Berechnung &amp; Tabellen'!$D$61&lt;0,0,E202-'Berechnung &amp; Tabellen'!$D$61)</f>
        <v>6</v>
      </c>
    </row>
    <row r="203" spans="5:8" x14ac:dyDescent="0.2">
      <c r="E203" s="2319">
        <v>8</v>
      </c>
      <c r="F203" s="2328">
        <f>IF(E203-'Berechnung &amp; Tabellen'!$D$61&lt;0,0,E203-'Berechnung &amp; Tabellen'!$D$61)</f>
        <v>6.5</v>
      </c>
    </row>
    <row r="204" spans="5:8" x14ac:dyDescent="0.2">
      <c r="E204" s="2319">
        <v>8.5</v>
      </c>
      <c r="F204" s="2328">
        <f>IF(E204-'Berechnung &amp; Tabellen'!$D$61&lt;0,0,E204-'Berechnung &amp; Tabellen'!$D$61)</f>
        <v>7</v>
      </c>
    </row>
    <row r="205" spans="5:8" x14ac:dyDescent="0.2">
      <c r="E205" s="2319">
        <v>9</v>
      </c>
      <c r="F205" s="2328">
        <f>IF(E205-'Berechnung &amp; Tabellen'!$D$61&lt;0,0,E205-'Berechnung &amp; Tabellen'!$D$61)</f>
        <v>7.5</v>
      </c>
    </row>
    <row r="206" spans="5:8" x14ac:dyDescent="0.2">
      <c r="E206" s="2319">
        <v>9.5</v>
      </c>
      <c r="F206" s="2328">
        <f>IF(E206-'Berechnung &amp; Tabellen'!$D$61&lt;0,0,E206-'Berechnung &amp; Tabellen'!$D$61)</f>
        <v>8</v>
      </c>
    </row>
    <row r="207" spans="5:8" x14ac:dyDescent="0.2">
      <c r="E207" s="2319">
        <v>10</v>
      </c>
      <c r="F207" s="2328">
        <f>IF(E207-'Berechnung &amp; Tabellen'!$D$61&lt;0,0,E207-'Berechnung &amp; Tabellen'!$D$61)</f>
        <v>8.5</v>
      </c>
    </row>
    <row r="208" spans="5:8" x14ac:dyDescent="0.2">
      <c r="E208" s="2319">
        <v>10.5</v>
      </c>
      <c r="F208" s="2328">
        <f>IF(E208-'Berechnung &amp; Tabellen'!$D$61&lt;0,0,E208-'Berechnung &amp; Tabellen'!$D$61)</f>
        <v>9</v>
      </c>
    </row>
    <row r="209" spans="5:6" x14ac:dyDescent="0.2">
      <c r="E209" s="2319">
        <v>11</v>
      </c>
      <c r="F209" s="2328">
        <f>IF(E209-'Berechnung &amp; Tabellen'!$D$61&lt;0,0,E209-'Berechnung &amp; Tabellen'!$D$61)</f>
        <v>9.5</v>
      </c>
    </row>
    <row r="210" spans="5:6" x14ac:dyDescent="0.2">
      <c r="E210" s="2319">
        <v>11.5</v>
      </c>
      <c r="F210" s="2328">
        <f>IF(E210-'Berechnung &amp; Tabellen'!$D$61&lt;0,0,E210-'Berechnung &amp; Tabellen'!$D$61)</f>
        <v>10</v>
      </c>
    </row>
    <row r="211" spans="5:6" x14ac:dyDescent="0.2">
      <c r="E211" s="2319">
        <v>12</v>
      </c>
      <c r="F211" s="2328">
        <f>IF(E211-'Berechnung &amp; Tabellen'!$D$61&lt;0,0,E211-'Berechnung &amp; Tabellen'!$D$61)</f>
        <v>10.5</v>
      </c>
    </row>
  </sheetData>
  <mergeCells count="21">
    <mergeCell ref="F90:I95"/>
    <mergeCell ref="H15:I15"/>
    <mergeCell ref="H17:I17"/>
    <mergeCell ref="H11:I11"/>
    <mergeCell ref="F1:H1"/>
    <mergeCell ref="E82:G82"/>
    <mergeCell ref="A46:E46"/>
    <mergeCell ref="A48:E48"/>
    <mergeCell ref="A50:E50"/>
    <mergeCell ref="L2:N2"/>
    <mergeCell ref="N80:O80"/>
    <mergeCell ref="O30:O32"/>
    <mergeCell ref="H34:J38"/>
    <mergeCell ref="G68:J70"/>
    <mergeCell ref="N30:N32"/>
    <mergeCell ref="N38:O42"/>
    <mergeCell ref="N52:O52"/>
    <mergeCell ref="I26:J32"/>
    <mergeCell ref="G72:J72"/>
    <mergeCell ref="I54:J54"/>
    <mergeCell ref="G54:H54"/>
  </mergeCells>
  <phoneticPr fontId="0" type="noConversion"/>
  <conditionalFormatting sqref="G13 G9">
    <cfRule type="expression" dxfId="1330" priority="193" stopIfTrue="1">
      <formula>$F$30="verzinkt"</formula>
    </cfRule>
  </conditionalFormatting>
  <conditionalFormatting sqref="I1 M36 M85:M98 M4:M6 O3 O2:P2 L2">
    <cfRule type="cellIs" dxfId="1329" priority="199" stopIfTrue="1" operator="equal">
      <formula>0</formula>
    </cfRule>
  </conditionalFormatting>
  <conditionalFormatting sqref="A52:E53 G53:IV53 A55:E55 A54:D54 I124:IV124 A1:XFD1 I9:L9 A38:E38 A59:E59 A56:D56 M18:IV23 Q2:IV17 A2:K2 J11:L11 K54:IV54 A20:L21 A122:XFD122 A119:E121 G123:IV123 A123:E127 G125:IV127 A110:M118 A3:E19 G12:L14 G6:L8 G11 G10:L10 G9 G22:L25 A34:E36 I145:IV147 A51:XFD51 A37:G37 P34:IV34 A22:E32 G31:H31 I47:IV47 N46:IV46 I46:L46 I49:IV49 I48:L48 I50:L50 A43:XFD43 A41:M42 G38 P38:IV38 N48:IV48 N50:IV50 E61:F61 E63:F63 E62 I151:I155 A145:F147 J149:IV155 G150:I150 H148:IV148 G68 K68:IV72 A161:XFD162 A160:G160 I160:IV160 G52:N52 P52:IV52 G55:IV56 G60:M62 O60:IV62 G124:G127 A33:H33 M30:M32 P30:IV32 G34:H34 K34:M34 G35:G36 K35:IV37 K38:N38 A151:F153 A148:E150 G63:IV67 I3:L5 I54 G54 A98:XFD100 G84:M88 A60:D72 G81:J81 H82:J82 G83:J88 G16:L16 J15:L15 A159:XFD159 H157:H158 G121:IV121 H101:IV101 J157:IV158 G29:H29 G28 M27:IV29 O26:IV26 G119:M120 N111:IV120 I106:M109 N82:O88 H102:M105 N80 K80:M83 G156:IV156 K33:IV33 G27:H27 G26:I26 K26:M26 K27:L32 A154:E158 A166:G166 A163:E163 G163:IV164 A164:D165 A128:XFD144 G18:L18 G17 J17:L17 A170:G170 A167:D169 G19 J19:L19 A174:XFD174 A171:D173 G173:IV173 A75:D75 K75:M75 A179:XFD179 A175:D178 G175:IV178 A80:D88 P80:IV97 A89:O89 P75:IV75 N73:O78 N110 P102:IV110 G171:G172 G165:H165 I165:IV172 G167:H169 A101:F109 J180:IV180 P41:IV42 M25:IV25 M24 P24:IV24 A212:XFD65545 A186:F186 I186:IV194 A182:D185 I181:I182 G185:XFD185 H183:I184 J181:XFD184 A180:F181 G59:IV59 A187:E187 G195:XFD211 A188:D211 A96:O97 A90:A95 J90:O95">
    <cfRule type="cellIs" dxfId="1328" priority="192" stopIfTrue="1" operator="equal">
      <formula>0</formula>
    </cfRule>
  </conditionalFormatting>
  <conditionalFormatting sqref="E54">
    <cfRule type="cellIs" dxfId="1327" priority="191" stopIfTrue="1" operator="equal">
      <formula>0</formula>
    </cfRule>
  </conditionalFormatting>
  <conditionalFormatting sqref="E60">
    <cfRule type="cellIs" dxfId="1326" priority="189" stopIfTrue="1" operator="equal">
      <formula>0</formula>
    </cfRule>
  </conditionalFormatting>
  <conditionalFormatting sqref="H9">
    <cfRule type="cellIs" dxfId="1325" priority="186" stopIfTrue="1" operator="equal">
      <formula>0</formula>
    </cfRule>
  </conditionalFormatting>
  <conditionalFormatting sqref="E56">
    <cfRule type="cellIs" dxfId="1324" priority="185" stopIfTrue="1" operator="equal">
      <formula>0</formula>
    </cfRule>
  </conditionalFormatting>
  <conditionalFormatting sqref="N4:P4 M7:P14 M17:P17">
    <cfRule type="cellIs" dxfId="1323" priority="184" stopIfTrue="1" operator="equal">
      <formula>0</formula>
    </cfRule>
  </conditionalFormatting>
  <conditionalFormatting sqref="O15">
    <cfRule type="cellIs" dxfId="1322" priority="181" stopIfTrue="1" operator="equal">
      <formula>0</formula>
    </cfRule>
  </conditionalFormatting>
  <conditionalFormatting sqref="H11">
    <cfRule type="cellIs" dxfId="1321" priority="179" stopIfTrue="1" operator="equal">
      <formula>0</formula>
    </cfRule>
  </conditionalFormatting>
  <conditionalFormatting sqref="F119:F121">
    <cfRule type="cellIs" dxfId="1320" priority="175" stopIfTrue="1" operator="equal">
      <formula>0</formula>
    </cfRule>
  </conditionalFormatting>
  <conditionalFormatting sqref="H30 F50">
    <cfRule type="expression" dxfId="1319" priority="133" stopIfTrue="1">
      <formula>$F$30=$E$101</formula>
    </cfRule>
    <cfRule type="cellIs" dxfId="1318" priority="176" stopIfTrue="1" operator="equal">
      <formula>0</formula>
    </cfRule>
  </conditionalFormatting>
  <conditionalFormatting sqref="F123:F127">
    <cfRule type="cellIs" dxfId="1317" priority="174" stopIfTrue="1" operator="equal">
      <formula>0</formula>
    </cfRule>
  </conditionalFormatting>
  <conditionalFormatting sqref="H108:H109">
    <cfRule type="cellIs" dxfId="1316" priority="173" stopIfTrue="1" operator="equal">
      <formula>0</formula>
    </cfRule>
  </conditionalFormatting>
  <conditionalFormatting sqref="H108:H109">
    <cfRule type="cellIs" dxfId="1315" priority="172" stopIfTrue="1" operator="equal">
      <formula>0</formula>
    </cfRule>
  </conditionalFormatting>
  <conditionalFormatting sqref="H107">
    <cfRule type="cellIs" dxfId="1314" priority="171" stopIfTrue="1" operator="equal">
      <formula>0</formula>
    </cfRule>
  </conditionalFormatting>
  <conditionalFormatting sqref="F35:F36">
    <cfRule type="cellIs" dxfId="1313" priority="166" stopIfTrue="1" operator="equal">
      <formula>0</formula>
    </cfRule>
  </conditionalFormatting>
  <conditionalFormatting sqref="E64:E65">
    <cfRule type="cellIs" dxfId="1312" priority="162" stopIfTrue="1" operator="equal">
      <formula>0</formula>
    </cfRule>
  </conditionalFormatting>
  <conditionalFormatting sqref="E81:F81 F64">
    <cfRule type="cellIs" dxfId="1311" priority="164" stopIfTrue="1" operator="equal">
      <formula>0</formula>
    </cfRule>
  </conditionalFormatting>
  <conditionalFormatting sqref="H145:H147">
    <cfRule type="cellIs" dxfId="1310" priority="161" stopIfTrue="1" operator="equal">
      <formula>0</formula>
    </cfRule>
  </conditionalFormatting>
  <conditionalFormatting sqref="H151:H155">
    <cfRule type="cellIs" dxfId="1309" priority="159" stopIfTrue="1" operator="equal">
      <formula>0</formula>
    </cfRule>
  </conditionalFormatting>
  <conditionalFormatting sqref="H13:H14 H9 H11">
    <cfRule type="expression" dxfId="1308" priority="427" stopIfTrue="1">
      <formula>$F$30=$H$101</formula>
    </cfRule>
  </conditionalFormatting>
  <conditionalFormatting sqref="H30">
    <cfRule type="expression" dxfId="1307" priority="431" stopIfTrue="1">
      <formula>$F$30=$R$124</formula>
    </cfRule>
  </conditionalFormatting>
  <conditionalFormatting sqref="A47:F47 A46 A49:F49 F48 F46">
    <cfRule type="cellIs" dxfId="1306" priority="158" stopIfTrue="1" operator="equal">
      <formula>0</formula>
    </cfRule>
  </conditionalFormatting>
  <conditionalFormatting sqref="A50">
    <cfRule type="cellIs" dxfId="1305" priority="156" stopIfTrue="1" operator="equal">
      <formula>0</formula>
    </cfRule>
  </conditionalFormatting>
  <conditionalFormatting sqref="A48">
    <cfRule type="cellIs" dxfId="1304" priority="157" stopIfTrue="1" operator="equal">
      <formula>0</formula>
    </cfRule>
  </conditionalFormatting>
  <conditionalFormatting sqref="G47:H47 G49:H49">
    <cfRule type="cellIs" dxfId="1303" priority="153" stopIfTrue="1" operator="equal">
      <formula>0</formula>
    </cfRule>
  </conditionalFormatting>
  <conditionalFormatting sqref="G46:H46">
    <cfRule type="cellIs" dxfId="1302" priority="152" stopIfTrue="1" operator="equal">
      <formula>0</formula>
    </cfRule>
  </conditionalFormatting>
  <conditionalFormatting sqref="H46">
    <cfRule type="cellIs" dxfId="1301" priority="151" stopIfTrue="1" operator="equal">
      <formula>"?"</formula>
    </cfRule>
  </conditionalFormatting>
  <conditionalFormatting sqref="G48">
    <cfRule type="cellIs" dxfId="1300" priority="146" stopIfTrue="1" operator="equal">
      <formula>0</formula>
    </cfRule>
  </conditionalFormatting>
  <conditionalFormatting sqref="G50">
    <cfRule type="cellIs" dxfId="1299" priority="145" stopIfTrue="1" operator="equal">
      <formula>0</formula>
    </cfRule>
  </conditionalFormatting>
  <conditionalFormatting sqref="H48">
    <cfRule type="cellIs" dxfId="1298" priority="144" stopIfTrue="1" operator="equal">
      <formula>0</formula>
    </cfRule>
  </conditionalFormatting>
  <conditionalFormatting sqref="H48">
    <cfRule type="cellIs" dxfId="1297" priority="143" stopIfTrue="1" operator="equal">
      <formula>"?"</formula>
    </cfRule>
  </conditionalFormatting>
  <conditionalFormatting sqref="H50">
    <cfRule type="cellIs" dxfId="1296" priority="142" stopIfTrue="1" operator="equal">
      <formula>0</formula>
    </cfRule>
  </conditionalFormatting>
  <conditionalFormatting sqref="H50">
    <cfRule type="cellIs" dxfId="1295" priority="141" stopIfTrue="1" operator="equal">
      <formula>"?"</formula>
    </cfRule>
  </conditionalFormatting>
  <conditionalFormatting sqref="H42">
    <cfRule type="expression" dxfId="1294" priority="134" stopIfTrue="1">
      <formula>$F$42=$H$102</formula>
    </cfRule>
  </conditionalFormatting>
  <conditionalFormatting sqref="I54:J54">
    <cfRule type="expression" dxfId="1293" priority="132" stopIfTrue="1">
      <formula>$F$54=$H$139</formula>
    </cfRule>
  </conditionalFormatting>
  <conditionalFormatting sqref="F6:F14">
    <cfRule type="cellIs" dxfId="1292" priority="130" stopIfTrue="1" operator="equal">
      <formula>0</formula>
    </cfRule>
  </conditionalFormatting>
  <conditionalFormatting sqref="N60:N62">
    <cfRule type="cellIs" dxfId="1291" priority="127" stopIfTrue="1" operator="equal">
      <formula>0</formula>
    </cfRule>
  </conditionalFormatting>
  <conditionalFormatting sqref="F36">
    <cfRule type="expression" dxfId="1290" priority="125" stopIfTrue="1">
      <formula>AND($F$28&lt;&gt;$F$101,$F$30=$E$101)</formula>
    </cfRule>
  </conditionalFormatting>
  <conditionalFormatting sqref="F38">
    <cfRule type="expression" dxfId="1289" priority="124" stopIfTrue="1">
      <formula>AND($F$28&lt;&gt;$F$101,$F$30=$E$101)</formula>
    </cfRule>
  </conditionalFormatting>
  <conditionalFormatting sqref="F34">
    <cfRule type="cellIs" dxfId="1288" priority="122" stopIfTrue="1" operator="equal">
      <formula>"?"</formula>
    </cfRule>
  </conditionalFormatting>
  <conditionalFormatting sqref="F34">
    <cfRule type="cellIs" dxfId="1287" priority="123" stopIfTrue="1" operator="equal">
      <formula>0</formula>
    </cfRule>
  </conditionalFormatting>
  <conditionalFormatting sqref="G32:H32">
    <cfRule type="cellIs" dxfId="1286" priority="118" stopIfTrue="1" operator="equal">
      <formula>0</formula>
    </cfRule>
  </conditionalFormatting>
  <conditionalFormatting sqref="G32">
    <cfRule type="expression" dxfId="1285" priority="119" stopIfTrue="1">
      <formula>IF($F$32=$R$147,1,0)</formula>
    </cfRule>
  </conditionalFormatting>
  <conditionalFormatting sqref="H32">
    <cfRule type="expression" dxfId="1284" priority="117" stopIfTrue="1">
      <formula>$H$30=250</formula>
    </cfRule>
    <cfRule type="expression" dxfId="1283" priority="120" stopIfTrue="1">
      <formula>IF($F$32=$R$147,1,0)</formula>
    </cfRule>
  </conditionalFormatting>
  <conditionalFormatting sqref="F148:F150">
    <cfRule type="cellIs" dxfId="1282" priority="116" stopIfTrue="1" operator="equal">
      <formula>0</formula>
    </cfRule>
  </conditionalFormatting>
  <conditionalFormatting sqref="G4:H5 G3">
    <cfRule type="cellIs" dxfId="1281" priority="115" stopIfTrue="1" operator="equal">
      <formula>0</formula>
    </cfRule>
  </conditionalFormatting>
  <conditionalFormatting sqref="H3">
    <cfRule type="cellIs" dxfId="1280" priority="114" stopIfTrue="1" operator="equal">
      <formula>0</formula>
    </cfRule>
  </conditionalFormatting>
  <conditionalFormatting sqref="F3:F5">
    <cfRule type="cellIs" dxfId="1279" priority="113" stopIfTrue="1" operator="equal">
      <formula>0</formula>
    </cfRule>
  </conditionalFormatting>
  <conditionalFormatting sqref="F15:F19">
    <cfRule type="cellIs" dxfId="1278" priority="112" stopIfTrue="1" operator="equal">
      <formula>0</formula>
    </cfRule>
  </conditionalFormatting>
  <conditionalFormatting sqref="F31:F32">
    <cfRule type="cellIs" dxfId="1277" priority="111" stopIfTrue="1" operator="equal">
      <formula>0</formula>
    </cfRule>
  </conditionalFormatting>
  <conditionalFormatting sqref="F29:F30">
    <cfRule type="cellIs" dxfId="1276" priority="110" stopIfTrue="1" operator="equal">
      <formula>0</formula>
    </cfRule>
  </conditionalFormatting>
  <conditionalFormatting sqref="E82 E83:F88">
    <cfRule type="cellIs" dxfId="1275" priority="109" stopIfTrue="1" operator="equal">
      <formula>0</formula>
    </cfRule>
  </conditionalFormatting>
  <conditionalFormatting sqref="G15">
    <cfRule type="cellIs" dxfId="1274" priority="108" stopIfTrue="1" operator="equal">
      <formula>0</formula>
    </cfRule>
  </conditionalFormatting>
  <conditionalFormatting sqref="H15">
    <cfRule type="cellIs" dxfId="1273" priority="107" stopIfTrue="1" operator="equal">
      <formula>0</formula>
    </cfRule>
  </conditionalFormatting>
  <conditionalFormatting sqref="G101:G109">
    <cfRule type="cellIs" dxfId="1272" priority="106" stopIfTrue="1" operator="equal">
      <formula>0</formula>
    </cfRule>
  </conditionalFormatting>
  <conditionalFormatting sqref="I157:I158">
    <cfRule type="cellIs" dxfId="1271" priority="105" stopIfTrue="1" operator="equal">
      <formula>0</formula>
    </cfRule>
  </conditionalFormatting>
  <conditionalFormatting sqref="H28">
    <cfRule type="expression" dxfId="1270" priority="97" stopIfTrue="1">
      <formula>AND($F$30=$E$101,$O$36&gt;0)</formula>
    </cfRule>
    <cfRule type="cellIs" dxfId="1269" priority="99" stopIfTrue="1" operator="equal">
      <formula>0</formula>
    </cfRule>
  </conditionalFormatting>
  <conditionalFormatting sqref="F22:F25 F27:F28">
    <cfRule type="cellIs" dxfId="1268" priority="94" stopIfTrue="1" operator="equal">
      <formula>0</formula>
    </cfRule>
  </conditionalFormatting>
  <conditionalFormatting sqref="F65">
    <cfRule type="cellIs" dxfId="1267" priority="89" stopIfTrue="1" operator="equal">
      <formula>0</formula>
    </cfRule>
  </conditionalFormatting>
  <conditionalFormatting sqref="E66">
    <cfRule type="cellIs" dxfId="1266" priority="87" stopIfTrue="1" operator="equal">
      <formula>0</formula>
    </cfRule>
  </conditionalFormatting>
  <conditionalFormatting sqref="F66">
    <cfRule type="cellIs" dxfId="1265" priority="86" stopIfTrue="1" operator="equal">
      <formula>0</formula>
    </cfRule>
  </conditionalFormatting>
  <conditionalFormatting sqref="F163:F165">
    <cfRule type="cellIs" dxfId="1264" priority="82" stopIfTrue="1" operator="equal">
      <formula>0</formula>
    </cfRule>
  </conditionalFormatting>
  <conditionalFormatting sqref="E164:E165">
    <cfRule type="cellIs" dxfId="1263" priority="81" stopIfTrue="1" operator="equal">
      <formula>0</formula>
    </cfRule>
  </conditionalFormatting>
  <conditionalFormatting sqref="H26">
    <cfRule type="expression" dxfId="1262" priority="77" stopIfTrue="1">
      <formula>$H$32=150</formula>
    </cfRule>
  </conditionalFormatting>
  <conditionalFormatting sqref="H17">
    <cfRule type="cellIs" dxfId="1261" priority="75" stopIfTrue="1" operator="equal">
      <formula>0</formula>
    </cfRule>
  </conditionalFormatting>
  <conditionalFormatting sqref="E167">
    <cfRule type="cellIs" dxfId="1260" priority="74" stopIfTrue="1" operator="equal">
      <formula>0</formula>
    </cfRule>
  </conditionalFormatting>
  <conditionalFormatting sqref="F167:F169">
    <cfRule type="cellIs" dxfId="1259" priority="73" stopIfTrue="1" operator="equal">
      <formula>0</formula>
    </cfRule>
  </conditionalFormatting>
  <conditionalFormatting sqref="E168:E169">
    <cfRule type="cellIs" dxfId="1258" priority="72" stopIfTrue="1" operator="equal">
      <formula>0</formula>
    </cfRule>
  </conditionalFormatting>
  <conditionalFormatting sqref="F171:F173">
    <cfRule type="cellIs" dxfId="1257" priority="69" stopIfTrue="1" operator="equal">
      <formula>0</formula>
    </cfRule>
  </conditionalFormatting>
  <conditionalFormatting sqref="E171">
    <cfRule type="cellIs" dxfId="1256" priority="70" stopIfTrue="1" operator="equal">
      <formula>0</formula>
    </cfRule>
  </conditionalFormatting>
  <conditionalFormatting sqref="E172:E173">
    <cfRule type="cellIs" dxfId="1255" priority="68" stopIfTrue="1" operator="equal">
      <formula>0</formula>
    </cfRule>
  </conditionalFormatting>
  <conditionalFormatting sqref="A73:D74 K73:M74 P73:IV74">
    <cfRule type="cellIs" dxfId="1254" priority="67" stopIfTrue="1" operator="equal">
      <formula>0</formula>
    </cfRule>
  </conditionalFormatting>
  <conditionalFormatting sqref="H19">
    <cfRule type="cellIs" dxfId="1253" priority="65" stopIfTrue="1" operator="equal">
      <formula>0</formula>
    </cfRule>
  </conditionalFormatting>
  <conditionalFormatting sqref="I19">
    <cfRule type="cellIs" dxfId="1252" priority="64" stopIfTrue="1" operator="equal">
      <formula>0</formula>
    </cfRule>
  </conditionalFormatting>
  <conditionalFormatting sqref="F175:F177">
    <cfRule type="cellIs" dxfId="1251" priority="60" stopIfTrue="1" operator="equal">
      <formula>0</formula>
    </cfRule>
  </conditionalFormatting>
  <conditionalFormatting sqref="E175">
    <cfRule type="cellIs" dxfId="1250" priority="61" stopIfTrue="1" operator="equal">
      <formula>0</formula>
    </cfRule>
  </conditionalFormatting>
  <conditionalFormatting sqref="E176:E177">
    <cfRule type="cellIs" dxfId="1249" priority="59" stopIfTrue="1" operator="equal">
      <formula>0</formula>
    </cfRule>
  </conditionalFormatting>
  <conditionalFormatting sqref="F178">
    <cfRule type="cellIs" dxfId="1248" priority="58" stopIfTrue="1" operator="equal">
      <formula>0</formula>
    </cfRule>
  </conditionalFormatting>
  <conditionalFormatting sqref="E178">
    <cfRule type="cellIs" dxfId="1247" priority="56" stopIfTrue="1" operator="equal">
      <formula>0</formula>
    </cfRule>
  </conditionalFormatting>
  <conditionalFormatting sqref="A77:D77 K77:M77 P77:IV77">
    <cfRule type="cellIs" dxfId="1246" priority="55" stopIfTrue="1" operator="equal">
      <formula>0</formula>
    </cfRule>
  </conditionalFormatting>
  <conditionalFormatting sqref="K76:M76 P76:IV76 A76:D76">
    <cfRule type="cellIs" dxfId="1245" priority="54" stopIfTrue="1" operator="equal">
      <formula>0</formula>
    </cfRule>
  </conditionalFormatting>
  <conditionalFormatting sqref="A79:D79 K79:IV79">
    <cfRule type="cellIs" dxfId="1244" priority="53" stopIfTrue="1" operator="equal">
      <formula>0</formula>
    </cfRule>
  </conditionalFormatting>
  <conditionalFormatting sqref="K78:M78 P78:IV78 A78:D78">
    <cfRule type="cellIs" dxfId="1243" priority="52" stopIfTrue="1" operator="equal">
      <formula>0</formula>
    </cfRule>
  </conditionalFormatting>
  <conditionalFormatting sqref="F76">
    <cfRule type="expression" priority="50" stopIfTrue="1">
      <formula>IF($F$30="mit",1,0)</formula>
    </cfRule>
    <cfRule type="cellIs" dxfId="1242" priority="51" stopIfTrue="1" operator="equal">
      <formula>0</formula>
    </cfRule>
  </conditionalFormatting>
  <conditionalFormatting sqref="F78">
    <cfRule type="expression" priority="48" stopIfTrue="1">
      <formula>IF($F$76&lt;&gt;0,1,0)</formula>
    </cfRule>
    <cfRule type="cellIs" dxfId="1241" priority="49" stopIfTrue="1" operator="equal">
      <formula>0</formula>
    </cfRule>
  </conditionalFormatting>
  <conditionalFormatting sqref="H170:H171">
    <cfRule type="cellIs" dxfId="1240" priority="46" stopIfTrue="1" operator="equal">
      <formula>0</formula>
    </cfRule>
  </conditionalFormatting>
  <conditionalFormatting sqref="H180">
    <cfRule type="cellIs" dxfId="1239" priority="45" stopIfTrue="1" operator="equal">
      <formula>0</formula>
    </cfRule>
  </conditionalFormatting>
  <conditionalFormatting sqref="A45:XFD45 A44:E44 P44:IV44 G44 I44:M44">
    <cfRule type="cellIs" dxfId="1238" priority="44" stopIfTrue="1" operator="equal">
      <formula>0</formula>
    </cfRule>
  </conditionalFormatting>
  <conditionalFormatting sqref="F44">
    <cfRule type="expression" priority="41" stopIfTrue="1">
      <formula>IF($F$42=H100,1,0)</formula>
    </cfRule>
    <cfRule type="cellIs" dxfId="1237" priority="42" stopIfTrue="1" operator="equal">
      <formula>0</formula>
    </cfRule>
  </conditionalFormatting>
  <conditionalFormatting sqref="A39:M39 P39:IV40 A40:E40 I40:M40 G40">
    <cfRule type="cellIs" dxfId="1236" priority="38" stopIfTrue="1" operator="equal">
      <formula>0</formula>
    </cfRule>
  </conditionalFormatting>
  <conditionalFormatting sqref="H40">
    <cfRule type="cellIs" dxfId="1235" priority="36" stopIfTrue="1" operator="equal">
      <formula>0</formula>
    </cfRule>
  </conditionalFormatting>
  <conditionalFormatting sqref="F40">
    <cfRule type="expression" priority="34" stopIfTrue="1">
      <formula>IF($F$30=E101,1,0)</formula>
    </cfRule>
    <cfRule type="cellIs" dxfId="1234" priority="35" stopIfTrue="1" operator="equal">
      <formula>0</formula>
    </cfRule>
  </conditionalFormatting>
  <conditionalFormatting sqref="N24:O24">
    <cfRule type="cellIs" dxfId="1233" priority="33" stopIfTrue="1" operator="equal">
      <formula>0</formula>
    </cfRule>
  </conditionalFormatting>
  <conditionalFormatting sqref="G186:H188 G190:H192 G193 G194:H194">
    <cfRule type="cellIs" dxfId="1232" priority="32" stopIfTrue="1" operator="equal">
      <formula>0</formula>
    </cfRule>
  </conditionalFormatting>
  <conditionalFormatting sqref="G189:H189">
    <cfRule type="cellIs" dxfId="1231" priority="31" stopIfTrue="1" operator="equal">
      <formula>0</formula>
    </cfRule>
  </conditionalFormatting>
  <conditionalFormatting sqref="H193">
    <cfRule type="cellIs" dxfId="1230" priority="30" stopIfTrue="1" operator="equal">
      <formula>0</formula>
    </cfRule>
  </conditionalFormatting>
  <conditionalFormatting sqref="F182">
    <cfRule type="cellIs" dxfId="1229" priority="29" stopIfTrue="1" operator="equal">
      <formula>0</formula>
    </cfRule>
  </conditionalFormatting>
  <conditionalFormatting sqref="E182:E185">
    <cfRule type="cellIs" dxfId="1228" priority="28" stopIfTrue="1" operator="equal">
      <formula>0</formula>
    </cfRule>
  </conditionalFormatting>
  <conditionalFormatting sqref="F183:F185">
    <cfRule type="cellIs" dxfId="1227" priority="25" stopIfTrue="1" operator="equal">
      <formula>0</formula>
    </cfRule>
  </conditionalFormatting>
  <conditionalFormatting sqref="P3">
    <cfRule type="cellIs" dxfId="1226" priority="23" stopIfTrue="1" operator="equal">
      <formula>0</formula>
    </cfRule>
  </conditionalFormatting>
  <conditionalFormatting sqref="H44">
    <cfRule type="expression" priority="698" stopIfTrue="1">
      <formula>IF($F$44=I184,1,0)</formula>
    </cfRule>
    <cfRule type="cellIs" dxfId="1225" priority="699" stopIfTrue="1" operator="equal">
      <formula>0</formula>
    </cfRule>
  </conditionalFormatting>
  <conditionalFormatting sqref="A57:E57 A58:D58 G57:IV58">
    <cfRule type="cellIs" dxfId="1224" priority="22" stopIfTrue="1" operator="equal">
      <formula>0</formula>
    </cfRule>
  </conditionalFormatting>
  <conditionalFormatting sqref="E58">
    <cfRule type="cellIs" dxfId="1223" priority="21" stopIfTrue="1" operator="equal">
      <formula>0</formula>
    </cfRule>
  </conditionalFormatting>
  <conditionalFormatting sqref="F187">
    <cfRule type="cellIs" dxfId="1222" priority="20" stopIfTrue="1" operator="equal">
      <formula>0</formula>
    </cfRule>
  </conditionalFormatting>
  <conditionalFormatting sqref="F188:F211">
    <cfRule type="cellIs" dxfId="1221" priority="19" stopIfTrue="1" operator="equal">
      <formula>0</formula>
    </cfRule>
  </conditionalFormatting>
  <conditionalFormatting sqref="E188 E190 E192 E194 E196 E198 E200 E202 E204 E206 E208 E210">
    <cfRule type="cellIs" dxfId="1220" priority="5" stopIfTrue="1" operator="equal">
      <formula>0</formula>
    </cfRule>
  </conditionalFormatting>
  <conditionalFormatting sqref="E189 E191 E193 E195 E197 E199 E201 E203 E205 E207 E209 E211">
    <cfRule type="cellIs" dxfId="1219" priority="4" stopIfTrue="1" operator="equal">
      <formula>0</formula>
    </cfRule>
  </conditionalFormatting>
  <conditionalFormatting sqref="F90:I95">
    <cfRule type="expression" dxfId="1218" priority="2" stopIfTrue="1">
      <formula>IF($F$90&lt;&gt;"",1,0)</formula>
    </cfRule>
  </conditionalFormatting>
  <dataValidations xWindow="517" yWindow="596" count="44">
    <dataValidation type="whole" allowBlank="1" showInputMessage="1" showErrorMessage="1" sqref="F25" xr:uid="{00000000-0002-0000-0B00-000000000000}">
      <formula1>200</formula1>
      <formula2>6000</formula2>
    </dataValidation>
    <dataValidation type="whole" allowBlank="1" showInputMessage="1" showErrorMessage="1" promptTitle="Lichte Rohbauöffnungshöhe" prompt="Minimal 200mm_x000a_Maximal 3900mm bis 1499mm Breite_x000a_Maximal 4200mm von 1500mm bis 2999mm Breite_x000a_Maximal 3500mm von 3000mm bis 3600mm Breite_x000a_Bei davon abweichenden Anforderungen bitte den PV kontaktieren._x000a_ " sqref="F24" xr:uid="{00000000-0002-0000-0B00-000001000000}">
      <formula1>200</formula1>
      <formula2>O28</formula2>
    </dataValidation>
    <dataValidation type="whole" allowBlank="1" showInputMessage="1" showErrorMessage="1" sqref="F26" xr:uid="{00000000-0002-0000-0B00-000002000000}">
      <formula1>0</formula1>
      <formula2>100000</formula2>
    </dataValidation>
    <dataValidation type="whole" allowBlank="1" showInputMessage="1" showErrorMessage="1" sqref="F36" xr:uid="{00000000-0002-0000-0B00-000003000000}">
      <formula1>F26</formula1>
      <formula2>F26+F24-180</formula2>
    </dataValidation>
    <dataValidation type="whole" allowBlank="1" showInputMessage="1" showErrorMessage="1" promptTitle="Porenbetonsteine" prompt="Bei großen Festfeldhöhen kann ein Teil der Füllung aus GKF/Promatect-H Streifen durch Porenbetonsteine ersetzt werden. Hier muss kann die Anzahl an Porenbetonsteinreihen (250mm pro Reihe) eingegeben werden." sqref="H28" xr:uid="{00000000-0002-0000-0B00-000004000000}">
      <formula1>0</formula1>
      <formula2>O36</formula2>
    </dataValidation>
    <dataValidation type="list" allowBlank="1" showInputMessage="1" showErrorMessage="1" sqref="F42" xr:uid="{00000000-0002-0000-0B00-000005000000}">
      <formula1>$H$100:$H$102</formula1>
    </dataValidation>
    <dataValidation type="list" allowBlank="1" showInputMessage="1" showErrorMessage="1" sqref="F52" xr:uid="{00000000-0002-0000-0B00-000006000000}">
      <formula1>$H$118:$H$119</formula1>
    </dataValidation>
    <dataValidation type="list" allowBlank="1" showInputMessage="1" showErrorMessage="1" promptTitle="Motorseite links" prompt="Für die Montage des Motors auf der linken Seite, ist eine Umrüstung der Motorenklemmkästen notwendig, die kosten- und zeitintensiv ist. Rechts ist deshalb der Standard._x000a_Bei zweimoriger Ausführung (2x 1,5 kW) gibt es keine Auswahlmöglichkeit." sqref="F56" xr:uid="{00000000-0002-0000-0B00-000007000000}">
      <formula1>$H$122:$H$123</formula1>
    </dataValidation>
    <dataValidation type="list" allowBlank="1" showInputMessage="1" showErrorMessage="1" promptTitle="Positionsschalter" prompt="Bitte wählen._x000a_Achtung! Die Rollenendschalterhalterungen für die Führungsschiene sind nicht in V2A verfügbar!" sqref="F60" xr:uid="{00000000-0002-0000-0B00-000008000000}">
      <formula1>$H$131:$H$136</formula1>
    </dataValidation>
    <dataValidation type="list" allowBlank="1" showInputMessage="1" showErrorMessage="1" promptTitle="ACHTUNG!" prompt="Diese Auswahl funktioniert nur mit Antrieben mit 35 mm Doppelgurt. Für 35/74 mm Einzelgurt gibt es keine Deckenumlenkung." sqref="F54" xr:uid="{00000000-0002-0000-0B00-000009000000}">
      <formula1>$H$139:$H$140</formula1>
    </dataValidation>
    <dataValidation type="whole" operator="greaterThanOrEqual" allowBlank="1" showInputMessage="1" showErrorMessage="1" promptTitle="Förderniveau Überstand" prompt="Hier wird eingegeben um wieviel mm das Förderniveau (z.B. die Oberkante der Tragkette bei k2) oberhalb der Festfeldoberkante liegen muss,also aus dem Festfeld herausragt, damit das Fördergut nicht am Festfeld hängen bleibt._x000a__x000a_!! Achtung nicht für k5 !!_x000a__x000a__x000a__x000a_" sqref="F38" xr:uid="{00000000-0002-0000-0B00-00000A000000}">
      <formula1>0</formula1>
    </dataValidation>
    <dataValidation type="whole" allowBlank="1" showInputMessage="1" showErrorMessage="1" promptTitle="Lichte Rohbauöffnungsbreite" prompt="Mindestmaß Lichte_x000a_Rohbauöffnungsbreite: 318mm_x000a__x000a_Höchstmaß Lichte_x000a_Rohbauöffnungsbreite: 3600mm" sqref="F22" xr:uid="{00000000-0002-0000-0B00-00000B000000}">
      <formula1>318</formula1>
      <formula2>3800</formula2>
    </dataValidation>
    <dataValidation type="list" allowBlank="1" showInputMessage="1" showErrorMessage="1" sqref="H30" xr:uid="{00000000-0002-0000-0B00-00000C000000}">
      <formula1>$F$120:$F$121</formula1>
    </dataValidation>
    <dataValidation type="list" allowBlank="1" showErrorMessage="1" promptTitle="          Wähle weise!" prompt="Hier muss festgelegt werden mit welcher Sprachversion des Produktschildes das Produkt gekennzeichnet wird bzw. welche Zusatzaufkleber mitgeliefert werden." sqref="F62" xr:uid="{00000000-0002-0000-0B00-00000D000000}">
      <formula1>$F$124:$F$128</formula1>
    </dataValidation>
    <dataValidation type="list" allowBlank="1" showInputMessage="1" showErrorMessage="1" sqref="F46 F48 F50" xr:uid="{00000000-0002-0000-0B00-00000E000000}">
      <formula1>$H$105:$H$110</formula1>
    </dataValidation>
    <dataValidation type="list" allowBlank="1" showInputMessage="1" showErrorMessage="1" sqref="F28" xr:uid="{00000000-0002-0000-0B00-00000F000000}">
      <formula1>$F$101:$F$109</formula1>
    </dataValidation>
    <dataValidation type="list" showInputMessage="1" showErrorMessage="1" sqref="F32" xr:uid="{00000000-0002-0000-0B00-000010000000}">
      <formula1>$F$114:$F$115</formula1>
    </dataValidation>
    <dataValidation type="list" allowBlank="1" showInputMessage="1" showErrorMessage="1" sqref="F30" xr:uid="{00000000-0002-0000-0B00-000011000000}">
      <formula1>$E$101:$E$102</formula1>
    </dataValidation>
    <dataValidation type="list" allowBlank="1" showInputMessage="1" showErrorMessage="1" promptTitle="Montageanleitung" prompt="Bei Fremdmontage muss eine Montageanleitung migegeben werden._x000a__x000a_Werden bei einem Bauvorhaben mehere Systeme im Zuge einer Lieferung montiert muss nur bei einer Position eine Montageanleitung beiliegen." sqref="F64" xr:uid="{00000000-0002-0000-0B00-000012000000}">
      <formula1>$H$151:$H$154</formula1>
    </dataValidation>
    <dataValidation type="list" allowBlank="1" showInputMessage="1" showErrorMessage="1" promptTitle="Aus was ist Wand gemacht?" prompt="Hartes gegossenes Zeug mit Stahl drin = Beton_x000a_Gemacht aus viele harte rechteckige Klötzchen = Mauerwerk_x000a_Klötzchen oder große Blöcke aus Zeugs mit viele Luftblasen drinne = Porenbeton_x000a_Platten auf Profile geschraubt =Verkleideter Stahlbau / Ständerwerk_x000a__x000a_" sqref="H160" xr:uid="{00000000-0002-0000-0B00-000013000000}">
      <formula1>$H$145:$H$148</formula1>
    </dataValidation>
    <dataValidation type="whole" allowBlank="1" showErrorMessage="1" prompt="_x000a_" sqref="F70:F71 F73 F75 F77 F79" xr:uid="{00000000-0002-0000-0B00-000014000000}">
      <formula1>120</formula1>
      <formula2>925</formula2>
    </dataValidation>
    <dataValidation type="list" allowBlank="1" showInputMessage="1" showErrorMessage="1" promptTitle="Hinweis Befestigungsmaterial" prompt="Für Gasbeton und Mauerwerk wird Grundsätzlich Material zur Durchsteckmontage auf dem Blatt Lager_&amp;_Montagematerial berechnet._x000a_Abweichend benötigtes Material separat ausschreiben oder ergänzen (wird von der Fertigung in Rechnung gestellt!)_x000a_" sqref="F68" xr:uid="{00000000-0002-0000-0B00-000015000000}">
      <formula1>$H$145:$H$148</formula1>
    </dataValidation>
    <dataValidation type="decimal" allowBlank="1" showInputMessage="1" showErrorMessage="1" promptTitle="Eingabe Festfeldhöhe r0" prompt="Hier darf nur bei Abschottungstyp r0 die benötigte Festfeldhöhe eingegeben werden._x000a__x000a_Bei Einbaulage Wandhängend ist der Wert inklusive der Festfeldüberdeckung einzugeben!_x000a_" sqref="F34" xr:uid="{00000000-0002-0000-0B00-000016000000}">
      <formula1>0</formula1>
      <formula2>1000</formula2>
    </dataValidation>
    <dataValidation type="whole" operator="equal" allowBlank="1" showInputMessage="1" showErrorMessage="1" sqref="F7" xr:uid="{00000000-0002-0000-0B00-000017000000}">
      <formula1>1</formula1>
    </dataValidation>
    <dataValidation allowBlank="1" showInputMessage="1" showErrorMessage="1" promptTitle="Eingabe RAL" prompt="Bei Sonderfarbgebung mit Dispersionsfarbe oder Pulverbeschichtung ist hier die RAL-Nummer der Schieberblattvorderseite einzugeben!" sqref="H46" xr:uid="{00000000-0002-0000-0B00-000018000000}"/>
    <dataValidation allowBlank="1" showInputMessage="1" showErrorMessage="1" promptTitle="Eingabe RAL" prompt="Bei Sonderfarbgebung mit Dispersionsfarbe oder Pulverbeschichtung ist hier die RAL-Nummer der Schieberblattrückseite einzugeben!" sqref="H48" xr:uid="{00000000-0002-0000-0B00-000019000000}"/>
    <dataValidation allowBlank="1" showInputMessage="1" showErrorMessage="1" promptTitle="Eingabe RAL" prompt="Bei Sonderfarbgebung mit Dispersionsfarbe oder Pulverbeschichtung ist hier die RAL-Nummer der Festfeldoberfläche einzugeben!" sqref="H50" xr:uid="{00000000-0002-0000-0B00-00001A000000}"/>
    <dataValidation allowBlank="1" showInputMessage="1" showErrorMessage="1" promptTitle="Eingabe RAL" prompt="Bei Pulverbeschichtung der Stahlteile ist hier die RAL-Nummer der Beschichtung einzugeben." sqref="H42" xr:uid="{00000000-0002-0000-0B00-00001B000000}"/>
    <dataValidation type="list" allowBlank="1" showInputMessage="1" showErrorMessage="1" promptTitle="Aufdopplungstiefe" prompt="Standardmäßig ist die Aufdopplung 60mm tief._x000a_Bei Festfeldtiefe 250mm kann die Aufdopplung auf 150mm erhöht werden um z.B. Intumestblöcke aufzunehmen._x000a_Achtung Abdeckbleche müssen manuell ausgeschrieben werden!" sqref="H32" xr:uid="{00000000-0002-0000-0B00-00001C000000}">
      <formula1>$F$149:$F$150</formula1>
    </dataValidation>
    <dataValidation allowBlank="1" showInputMessage="1" showErrorMessage="1" promptTitle="Gurtlängenzugabe" prompt="Werden zum versetzen des Antriebes durch umlenken Raumwärts oder versetzen nach oben verlängerte Gurte benötigt ist hier der Abstand des Antriebes zur Wand oder der Versatz nach oben einzugeben." sqref="I54:J54" xr:uid="{00000000-0002-0000-0B00-00001D000000}"/>
    <dataValidation type="whole" allowBlank="1" showInputMessage="1" showErrorMessage="1" sqref="E84:E88" xr:uid="{00000000-0002-0000-0B00-00001E000000}">
      <formula1>0</formula1>
      <formula2>5</formula2>
    </dataValidation>
    <dataValidation type="list" allowBlank="1" showInputMessage="1" showErrorMessage="1" sqref="G84:G88" xr:uid="{00000000-0002-0000-0B00-00001F000000}">
      <formula1>$H$127:$H$128</formula1>
    </dataValidation>
    <dataValidation type="list" allowBlank="1" showDropDown="1" showErrorMessage="1" promptTitle="Kennzeichnungsschild CE" prompt="Übergangsweise muss manuell eingetragen werden ob die gewählte Konfiguration von der Zulassung ETA-16/0851 abgedeckt ist._x000a_" sqref="F80" xr:uid="{00000000-0002-0000-0B00-000020000000}">
      <formula1>$I$199:$I$200</formula1>
    </dataValidation>
    <dataValidation type="list" allowBlank="1" showInputMessage="1" showErrorMessage="1" sqref="H26" xr:uid="{00000000-0002-0000-0B00-000021000000}">
      <formula1>$F$142:$F$143</formula1>
    </dataValidation>
    <dataValidation type="list" allowBlank="1" showInputMessage="1" showErrorMessage="1" promptTitle="Sicherheitskontaktleisten" prompt="Achtung!_x000a_Die Sicherheitskontaktleiste bei der Ausführung &quot;r0&quot; wird vorn auf das Schieberblatt aufgesetzt, die Trennstelle der Fördertechnik muss entsprechend vergößert eingeplant werden._x000a_Die Kontaktleiste ist noch nicht in V2A Ausführung verfügbar!_x000a_" sqref="F66" xr:uid="{00000000-0002-0000-0B00-000022000000}">
      <formula1>$F$154:$F$156</formula1>
    </dataValidation>
    <dataValidation type="list" allowBlank="1" showInputMessage="1" showErrorMessage="1" promptTitle="Eingriffschutz Gurtwickler" prompt="Zur Unfallverhütung für Einbausituationen in denen Gurtwickler in erreichbaren Positionen montiert sind." sqref="F72" xr:uid="{00000000-0002-0000-0B00-000023000000}">
      <formula1>$F$164</formula1>
    </dataValidation>
    <dataValidation type="list" allowBlank="1" showInputMessage="1" showErrorMessage="1" sqref="H17:I17" xr:uid="{00000000-0002-0000-0B00-000024000000}">
      <formula1>$F$168:$F$169</formula1>
    </dataValidation>
    <dataValidation type="list" allowBlank="1" showInputMessage="1" showErrorMessage="1" promptTitle="IPPC" prompt="Wenn die Verpackung nach IPPC Standard ausgeführt werden muss ist dieses hier anzugeben." sqref="F74" xr:uid="{00000000-0002-0000-0B00-000025000000}">
      <formula1>$F$172</formula1>
    </dataValidation>
    <dataValidation type="list" allowBlank="1" showInputMessage="1" showErrorMessage="1" promptTitle="Verpackungsvorgabe" prompt="_x000a_Wenn das Festfeld und Abschottung zu unterschiedlichen Terminen montiert werden soll, kann hier eine Separate Verpackung vorgegeben werden." sqref="F76" xr:uid="{00000000-0002-0000-0B00-000026000000}">
      <formula1>$H$164</formula1>
    </dataValidation>
    <dataValidation type="list" allowBlank="1" showInputMessage="1" showErrorMessage="1" promptTitle="Montagematerial" prompt="Hier wird eingegeben welches Packstück das Montagematerial beinhalten soll._x000a__x000a__x000a__x000a_ Natürlich nur wenn separate Verpackug vorgegeben wurde..." sqref="F78" xr:uid="{00000000-0002-0000-0B00-000027000000}">
      <formula1>$H$168:$H$169</formula1>
    </dataValidation>
    <dataValidation type="whole" allowBlank="1" showInputMessage="1" showErrorMessage="1" promptTitle="Standardgebinde PUR Lack" prompt="Benötigte Stückzahl Standardgebinde eingeben!_x000a__x000a_Für die Versiegelung der Promasealoberfläche (nach Montage) werden Standardgebinde (je 120g zur Versiegelung von ca. 0,2m² Promasealoberfläche!) nebst Beiblatt mit Verarbeitungshinweisen mitgeliefert." sqref="H44" xr:uid="{00000000-0002-0000-0B00-000028000000}">
      <formula1>0</formula1>
      <formula2>20</formula2>
    </dataValidation>
    <dataValidation type="list" allowBlank="1" showErrorMessage="1" sqref="F40" xr:uid="{00000000-0002-0000-0B00-000029000000}">
      <formula1>$H$187:$H$190</formula1>
    </dataValidation>
    <dataValidation type="list" allowBlank="1" prompt="Intumatversiegelung, Dichtrahmenabdeckung" sqref="F44" xr:uid="{00000000-0002-0000-0B00-00002A000000}">
      <formula1>$I$181:$I$182</formula1>
    </dataValidation>
    <dataValidation type="list" allowBlank="1" showInputMessage="1" showErrorMessage="1" promptTitle="Gurtzugabe für Montage" prompt="Achtung: Der auswählbare Wert ist variabel und errechnet sich aus diversen anderen Faktoren. Die Gurtzugabe ist ganz zum Schluss auszufüllen." sqref="F58" xr:uid="{00000000-0002-0000-0B00-00002B000000}">
      <formula1>$F$188:$F$211</formula1>
    </dataValidation>
  </dataValidations>
  <pageMargins left="0.39370078740157483" right="0.39370078740157483" top="0.39370078740157483" bottom="0.39370078740157483" header="0" footer="0"/>
  <pageSetup paperSize="9" scale="74" orientation="portrait" r:id="rId1"/>
  <headerFooter alignWithMargins="0"/>
  <drawing r:id="rId2"/>
  <extLst>
    <ext xmlns:x14="http://schemas.microsoft.com/office/spreadsheetml/2009/9/main" uri="{78C0D931-6437-407d-A8EE-F0AAD7539E65}">
      <x14:conditionalFormattings>
        <x14:conditionalFormatting xmlns:xm="http://schemas.microsoft.com/office/excel/2006/main">
          <x14:cfRule type="expression" priority="1" id="{52E3F0A3-B728-42AF-A957-A68C09ECA508}">
            <xm:f>IF(AND(F54="ja",'Berechnung &amp; Tabellen'!$F$187=0),1,0)</xm:f>
            <x14:dxf>
              <fill>
                <patternFill>
                  <bgColor rgb="FFFF0000"/>
                </patternFill>
              </fill>
            </x14:dxf>
          </x14:cfRule>
          <xm:sqref>F54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3"/>
  <dimension ref="A1:AJ809"/>
  <sheetViews>
    <sheetView zoomScaleNormal="100" zoomScaleSheetLayoutView="130" workbookViewId="0">
      <pane xSplit="5" ySplit="4" topLeftCell="F425" activePane="bottomRight" state="frozen"/>
      <selection pane="topRight" activeCell="E1" sqref="E1"/>
      <selection pane="bottomLeft" activeCell="A5" sqref="A5"/>
      <selection pane="bottomRight" activeCell="D447" sqref="D447"/>
    </sheetView>
  </sheetViews>
  <sheetFormatPr baseColWidth="10" defaultRowHeight="12.75" x14ac:dyDescent="0.2"/>
  <cols>
    <col min="1" max="1" width="4.7109375" style="193" customWidth="1"/>
    <col min="2" max="2" width="70.7109375" customWidth="1"/>
    <col min="3" max="3" width="8.7109375" style="109" customWidth="1"/>
    <col min="4" max="4" width="13.28515625" style="1" customWidth="1"/>
    <col min="5" max="5" width="10.7109375" style="1" customWidth="1"/>
    <col min="6" max="6" width="10.7109375" customWidth="1"/>
    <col min="7" max="7" width="10.7109375" style="118" customWidth="1"/>
    <col min="8" max="11" width="10.7109375" style="1" customWidth="1"/>
    <col min="12" max="12" width="5.7109375" style="1" customWidth="1"/>
    <col min="13" max="14" width="25.7109375" style="1" customWidth="1"/>
    <col min="15" max="16" width="10.7109375" style="1" customWidth="1"/>
    <col min="17" max="20" width="15.7109375" style="1" customWidth="1"/>
    <col min="21" max="21" width="8.7109375" style="1" hidden="1" customWidth="1"/>
    <col min="22" max="22" width="8.7109375" style="1" customWidth="1"/>
    <col min="23" max="23" width="8.7109375" customWidth="1"/>
    <col min="24" max="25" width="8.7109375" style="1" customWidth="1"/>
    <col min="26" max="28" width="8.7109375" hidden="1" customWidth="1"/>
    <col min="29" max="29" width="3.85546875" style="155" bestFit="1" customWidth="1"/>
    <col min="30" max="31" width="10.7109375" style="1" customWidth="1"/>
    <col min="32" max="32" width="10.7109375" style="109" customWidth="1"/>
    <col min="33" max="33" width="10.7109375" style="1" customWidth="1"/>
    <col min="34" max="34" width="20.7109375" style="1" customWidth="1"/>
    <col min="35" max="35" width="10.7109375" style="193" customWidth="1"/>
    <col min="36" max="36" width="10.7109375" style="1" customWidth="1"/>
  </cols>
  <sheetData>
    <row r="1" spans="1:36" ht="30.2" customHeight="1" thickBot="1" x14ac:dyDescent="0.25">
      <c r="A1" s="1">
        <f>IF(OR(Dateneingabe!F50=Dateneingabe!H108,Dateneingabe!F50=Dateneingabe!H109),1,0)</f>
        <v>0</v>
      </c>
      <c r="B1" s="1297" t="s">
        <v>29665</v>
      </c>
      <c r="C1" s="1298">
        <f>IF(Dateneingabe!F42=Dateneingabe!H100,1,0)</f>
        <v>0</v>
      </c>
      <c r="D1" s="414" t="s">
        <v>499</v>
      </c>
      <c r="E1" s="1">
        <f>Dateneingabe!F22</f>
        <v>900</v>
      </c>
      <c r="F1" s="415" t="s">
        <v>501</v>
      </c>
      <c r="G1" s="118">
        <f>'Berechnung &amp; Tabellen'!C25</f>
        <v>1080</v>
      </c>
      <c r="H1" s="2488">
        <f>G1-120</f>
        <v>960</v>
      </c>
      <c r="I1" s="1122"/>
      <c r="J1" s="154" t="s">
        <v>830</v>
      </c>
      <c r="L1" s="752">
        <v>1</v>
      </c>
      <c r="M1" s="1" t="s">
        <v>28402</v>
      </c>
      <c r="O1" s="1949"/>
      <c r="P1" s="2120" t="s">
        <v>30533</v>
      </c>
      <c r="Q1" s="2449"/>
      <c r="S1" s="200"/>
      <c r="U1" s="1616" t="s">
        <v>76</v>
      </c>
      <c r="V1" s="2890" t="s">
        <v>29125</v>
      </c>
      <c r="W1" s="2890"/>
      <c r="X1" s="2890"/>
      <c r="Y1" s="2890"/>
      <c r="Z1" s="2890"/>
      <c r="AA1" s="2890"/>
      <c r="AC1" s="2889" t="s">
        <v>338</v>
      </c>
      <c r="AD1" s="2888">
        <f>ROUNDUP(AD803,1)</f>
        <v>49</v>
      </c>
      <c r="AI1" s="2891" t="s">
        <v>30402</v>
      </c>
      <c r="AJ1" s="2886" t="s">
        <v>30409</v>
      </c>
    </row>
    <row r="2" spans="1:36" ht="30.2" customHeight="1" thickTop="1" thickBot="1" x14ac:dyDescent="0.25">
      <c r="A2" s="1">
        <f>IF(Dateneingabe!F50=Dateneingabe!H110,1,0)</f>
        <v>0</v>
      </c>
      <c r="B2" s="1297" t="s">
        <v>29664</v>
      </c>
      <c r="C2" s="1298">
        <f>IF(Dateneingabe!F42&lt;&gt;Dateneingabe!H100,1,0)</f>
        <v>1</v>
      </c>
      <c r="D2" s="414" t="s">
        <v>500</v>
      </c>
      <c r="E2" s="1">
        <f>Dateneingabe!F24</f>
        <v>835</v>
      </c>
      <c r="F2" s="415" t="s">
        <v>502</v>
      </c>
      <c r="G2" s="118">
        <f>'Berechnung &amp; Tabellen'!$C$24</f>
        <v>686</v>
      </c>
      <c r="H2" s="2489">
        <f>'Berechnung &amp; Tabellen'!$C$49</f>
        <v>1100</v>
      </c>
      <c r="I2" s="1123"/>
      <c r="J2" s="154" t="s">
        <v>831</v>
      </c>
      <c r="K2" s="1197">
        <f>CEILING(G1/1000*G2/1000,1)*2</f>
        <v>2</v>
      </c>
      <c r="L2" s="193">
        <v>0</v>
      </c>
      <c r="M2" s="1" t="s">
        <v>28403</v>
      </c>
      <c r="O2" s="2121" t="s">
        <v>30534</v>
      </c>
      <c r="P2" s="2123" t="s">
        <v>30535</v>
      </c>
      <c r="Q2" s="2450"/>
      <c r="R2" s="2122">
        <v>815</v>
      </c>
      <c r="U2" s="1616" t="s">
        <v>77</v>
      </c>
      <c r="V2" s="1614" t="s">
        <v>363</v>
      </c>
      <c r="W2" s="1615" t="s">
        <v>76</v>
      </c>
      <c r="X2" s="1615">
        <f>IF(W2=U1,1,0)</f>
        <v>1</v>
      </c>
      <c r="Y2" s="1613"/>
      <c r="Z2" s="1612"/>
      <c r="AA2" s="1617"/>
      <c r="AC2" s="2889"/>
      <c r="AD2" s="2888"/>
      <c r="AI2" s="2891"/>
      <c r="AJ2" s="2886"/>
    </row>
    <row r="3" spans="1:36" ht="30.2" customHeight="1" thickTop="1" thickBot="1" x14ac:dyDescent="0.35">
      <c r="A3" s="736">
        <f>IF(OR(Dateneingabe!F48=Dateneingabe!H108,Dateneingabe!F48=Dateneingabe!H109),1,0)</f>
        <v>0</v>
      </c>
      <c r="B3" s="739" t="s">
        <v>29663</v>
      </c>
      <c r="C3" s="743">
        <f>IF(OR(Dateneingabe!F46=Dateneingabe!H108,Dateneingabe!F46=Dateneingabe!H109),1,0)</f>
        <v>0</v>
      </c>
      <c r="F3" s="126"/>
      <c r="K3" s="1">
        <f>SUM(K5:K192)</f>
        <v>47.963345249999989</v>
      </c>
      <c r="O3" s="2119" t="s">
        <v>30536</v>
      </c>
      <c r="P3" s="200"/>
      <c r="Q3" s="200"/>
      <c r="R3" s="2887" t="s">
        <v>31192</v>
      </c>
      <c r="S3" s="2887"/>
      <c r="T3" s="2887"/>
      <c r="U3" s="1618"/>
      <c r="V3" s="1614" t="s">
        <v>30559</v>
      </c>
      <c r="W3" s="1615" t="s">
        <v>76</v>
      </c>
      <c r="X3" s="1615">
        <f>IF(W3=U1,1,0)</f>
        <v>1</v>
      </c>
      <c r="Y3" s="1620"/>
      <c r="Z3" s="1619"/>
      <c r="AA3" s="1621"/>
      <c r="AC3" s="2889"/>
      <c r="AD3" s="2888"/>
      <c r="AI3" s="2891"/>
      <c r="AJ3" s="2886"/>
    </row>
    <row r="4" spans="1:36" ht="50.1" customHeight="1" thickTop="1" x14ac:dyDescent="0.2">
      <c r="A4" s="736">
        <f>IF(Dateneingabe!F48=Dateneingabe!H110,1,0)</f>
        <v>0</v>
      </c>
      <c r="B4" s="1299" t="s">
        <v>29662</v>
      </c>
      <c r="C4" s="743">
        <f>IF(Dateneingabe!F46=Dateneingabe!H110,1,0)</f>
        <v>0</v>
      </c>
      <c r="D4" s="734" t="s">
        <v>68</v>
      </c>
      <c r="E4" s="734" t="s">
        <v>31184</v>
      </c>
      <c r="F4" s="734" t="s">
        <v>31185</v>
      </c>
      <c r="G4" s="2463" t="s">
        <v>31186</v>
      </c>
      <c r="H4" s="734" t="s">
        <v>31187</v>
      </c>
      <c r="I4" s="734" t="s">
        <v>31188</v>
      </c>
      <c r="J4" s="734" t="s">
        <v>31189</v>
      </c>
      <c r="K4" s="734" t="s">
        <v>31190</v>
      </c>
      <c r="L4" s="116" t="s">
        <v>31191</v>
      </c>
      <c r="M4" s="116" t="s">
        <v>109</v>
      </c>
      <c r="N4" s="1" t="s">
        <v>336</v>
      </c>
      <c r="O4" s="1" t="s">
        <v>28879</v>
      </c>
      <c r="P4" s="1" t="s">
        <v>28878</v>
      </c>
      <c r="Q4" s="2451" t="s">
        <v>30997</v>
      </c>
      <c r="R4" s="2490" t="s">
        <v>31194</v>
      </c>
      <c r="S4" s="2491" t="s">
        <v>61</v>
      </c>
      <c r="T4" s="2492" t="s">
        <v>31193</v>
      </c>
      <c r="U4" s="2466"/>
      <c r="V4" s="2466" t="s">
        <v>28014</v>
      </c>
      <c r="W4" s="2466"/>
      <c r="X4" s="2466" t="s">
        <v>107</v>
      </c>
      <c r="Y4" s="2466" t="s">
        <v>108</v>
      </c>
      <c r="Z4" s="2466" t="s">
        <v>56</v>
      </c>
      <c r="AA4" s="2466" t="s">
        <v>85</v>
      </c>
      <c r="AB4" s="2466" t="s">
        <v>80</v>
      </c>
      <c r="AC4" s="2889"/>
      <c r="AD4" s="2888"/>
      <c r="AE4" s="734" t="s">
        <v>27661</v>
      </c>
      <c r="AF4" s="811" t="s">
        <v>27660</v>
      </c>
      <c r="AG4" s="154" t="s">
        <v>27662</v>
      </c>
      <c r="AH4" s="1" t="s">
        <v>109</v>
      </c>
      <c r="AI4" s="2891"/>
      <c r="AJ4" s="2886"/>
    </row>
    <row r="5" spans="1:36" ht="18" customHeight="1" x14ac:dyDescent="0.2">
      <c r="B5" s="2" t="s">
        <v>303</v>
      </c>
      <c r="C5" s="665"/>
      <c r="D5" s="815">
        <f>IF(D6&gt;0,1,0)</f>
        <v>1</v>
      </c>
      <c r="E5" s="116">
        <f>E6+E7</f>
        <v>1080</v>
      </c>
      <c r="F5" s="117">
        <f>F8</f>
        <v>686</v>
      </c>
      <c r="H5" s="2464"/>
      <c r="I5" s="2464"/>
      <c r="J5" s="2465"/>
      <c r="K5" s="2465">
        <f t="shared" ref="K5:K11" si="0">D5*J5</f>
        <v>0</v>
      </c>
      <c r="Q5" s="36"/>
      <c r="R5" s="2493"/>
      <c r="S5" s="2493"/>
      <c r="T5" s="2493"/>
      <c r="AD5" s="1">
        <f t="shared" ref="AD5:AD11" si="1">K5*AC5</f>
        <v>0</v>
      </c>
    </row>
    <row r="6" spans="1:36" ht="18" customHeight="1" x14ac:dyDescent="0.2">
      <c r="B6" s="653" t="s">
        <v>29615</v>
      </c>
      <c r="C6" s="665" t="s">
        <v>832</v>
      </c>
      <c r="D6" s="815">
        <f>IF(D65&gt;0,0,2)</f>
        <v>2</v>
      </c>
      <c r="E6" s="116">
        <f>IF($G$1&lt;2491,$G$1,0)+IF(AND($G$1&gt;2490,$G$1&lt;2791),$G$1-300,0)+IF(AND($G$1&gt;2790),2490,0)</f>
        <v>1080</v>
      </c>
      <c r="F6" s="116">
        <f>G2</f>
        <v>686</v>
      </c>
      <c r="G6" s="118">
        <v>6</v>
      </c>
      <c r="H6" s="2464">
        <f t="shared" ref="H6:H11" si="2">E6*F6/1000/1000</f>
        <v>0.74087999999999998</v>
      </c>
      <c r="I6" s="2464"/>
      <c r="J6" s="2465">
        <f>10.5*H6</f>
        <v>7.7792399999999997</v>
      </c>
      <c r="K6" s="2465">
        <f t="shared" si="0"/>
        <v>15.558479999999999</v>
      </c>
      <c r="L6" s="1" t="s">
        <v>28399</v>
      </c>
      <c r="N6" s="682" t="s">
        <v>306</v>
      </c>
      <c r="O6" s="682" t="s">
        <v>28099</v>
      </c>
      <c r="P6" s="109" t="s">
        <v>28877</v>
      </c>
      <c r="Q6" s="2452"/>
      <c r="R6" s="2494" t="str">
        <f>C6</f>
        <v>0202003</v>
      </c>
      <c r="S6" s="2495">
        <f t="shared" ref="S6:S25" si="3">D6*(E6/1000)*(F6/1000)</f>
        <v>1.4817600000000002</v>
      </c>
      <c r="T6" s="2496" t="s">
        <v>28181</v>
      </c>
      <c r="V6" s="1">
        <v>1</v>
      </c>
      <c r="AC6" s="155">
        <v>1</v>
      </c>
      <c r="AD6" s="1">
        <f t="shared" si="1"/>
        <v>15.558479999999999</v>
      </c>
      <c r="AE6" s="1">
        <v>1</v>
      </c>
    </row>
    <row r="7" spans="1:36" ht="18" customHeight="1" x14ac:dyDescent="0.2">
      <c r="B7" s="653" t="s">
        <v>29615</v>
      </c>
      <c r="C7" s="665" t="s">
        <v>832</v>
      </c>
      <c r="D7" s="814">
        <f>IF(E7&gt;0,D6,0)</f>
        <v>0</v>
      </c>
      <c r="E7" s="117">
        <f>IF(E6&lt;$G$1,$G$1-E6,0)</f>
        <v>0</v>
      </c>
      <c r="F7" s="117">
        <f>G2</f>
        <v>686</v>
      </c>
      <c r="G7" s="118">
        <v>6</v>
      </c>
      <c r="H7" s="2464">
        <f t="shared" si="2"/>
        <v>0</v>
      </c>
      <c r="I7" s="2464"/>
      <c r="J7" s="2465">
        <f>10.5*H7</f>
        <v>0</v>
      </c>
      <c r="K7" s="2465">
        <f t="shared" si="0"/>
        <v>0</v>
      </c>
      <c r="L7" s="1" t="s">
        <v>28399</v>
      </c>
      <c r="N7" s="682" t="s">
        <v>306</v>
      </c>
      <c r="O7" s="117">
        <v>6</v>
      </c>
      <c r="P7" s="109" t="s">
        <v>28877</v>
      </c>
      <c r="Q7" s="2452"/>
      <c r="R7" s="2494" t="str">
        <f>C7</f>
        <v>0202003</v>
      </c>
      <c r="S7" s="2495">
        <f t="shared" si="3"/>
        <v>0</v>
      </c>
      <c r="T7" s="2496" t="s">
        <v>28181</v>
      </c>
      <c r="V7" s="1">
        <v>1</v>
      </c>
      <c r="AC7" s="155">
        <v>1</v>
      </c>
      <c r="AD7" s="1">
        <f t="shared" si="1"/>
        <v>0</v>
      </c>
      <c r="AE7" s="1">
        <v>1</v>
      </c>
    </row>
    <row r="8" spans="1:36" ht="18" customHeight="1" x14ac:dyDescent="0.2">
      <c r="B8" s="653" t="s">
        <v>29616</v>
      </c>
      <c r="C8" s="665" t="s">
        <v>29522</v>
      </c>
      <c r="D8" s="815">
        <f>D6</f>
        <v>2</v>
      </c>
      <c r="E8" s="116">
        <f>IF($G$1&lt;2491,$G$1,0)+IF(AND($G$1&gt;2490,$G$1&lt;2791),$G$1-300,0)+IF(AND($G$1&gt;2790),2490,0)</f>
        <v>1080</v>
      </c>
      <c r="F8" s="117">
        <f>G2</f>
        <v>686</v>
      </c>
      <c r="G8" s="118">
        <v>18</v>
      </c>
      <c r="H8" s="2464">
        <f t="shared" si="2"/>
        <v>0.74087999999999998</v>
      </c>
      <c r="I8" s="2464"/>
      <c r="J8" s="2465">
        <f>10.3*H8</f>
        <v>7.6310640000000003</v>
      </c>
      <c r="K8" s="2465">
        <f t="shared" si="0"/>
        <v>15.262128000000001</v>
      </c>
      <c r="L8" s="1" t="s">
        <v>28399</v>
      </c>
      <c r="N8" s="109" t="s">
        <v>305</v>
      </c>
      <c r="O8" s="117">
        <v>3</v>
      </c>
      <c r="P8" s="109" t="s">
        <v>28877</v>
      </c>
      <c r="Q8" s="2452"/>
      <c r="R8" s="2494" t="str">
        <f>C8</f>
        <v>0202018</v>
      </c>
      <c r="S8" s="2495">
        <f t="shared" si="3"/>
        <v>1.4817600000000002</v>
      </c>
      <c r="T8" s="2496" t="s">
        <v>28181</v>
      </c>
      <c r="V8" s="1">
        <v>1</v>
      </c>
      <c r="AC8" s="155">
        <v>1</v>
      </c>
      <c r="AD8" s="1">
        <f t="shared" si="1"/>
        <v>15.262128000000001</v>
      </c>
      <c r="AE8" s="1">
        <v>1</v>
      </c>
    </row>
    <row r="9" spans="1:36" ht="18" customHeight="1" x14ac:dyDescent="0.2">
      <c r="B9" s="653" t="s">
        <v>29616</v>
      </c>
      <c r="C9" s="665" t="s">
        <v>29522</v>
      </c>
      <c r="D9" s="814">
        <f>IF(E9&gt;0,D8,0)</f>
        <v>0</v>
      </c>
      <c r="E9" s="117">
        <f>IF(E8&lt;$G$1,$G$1-E8,0)</f>
        <v>0</v>
      </c>
      <c r="F9" s="117">
        <f>G2</f>
        <v>686</v>
      </c>
      <c r="G9" s="118">
        <v>18</v>
      </c>
      <c r="H9" s="2464">
        <f t="shared" si="2"/>
        <v>0</v>
      </c>
      <c r="I9" s="2464"/>
      <c r="J9" s="2465">
        <f>10.3*H9</f>
        <v>0</v>
      </c>
      <c r="K9" s="2465">
        <f t="shared" si="0"/>
        <v>0</v>
      </c>
      <c r="L9" s="1" t="s">
        <v>28399</v>
      </c>
      <c r="N9" s="109" t="s">
        <v>305</v>
      </c>
      <c r="O9" s="117">
        <v>4</v>
      </c>
      <c r="P9" s="109" t="s">
        <v>28877</v>
      </c>
      <c r="Q9" s="2452"/>
      <c r="R9" s="2494" t="str">
        <f>C9</f>
        <v>0202018</v>
      </c>
      <c r="S9" s="2495">
        <f t="shared" si="3"/>
        <v>0</v>
      </c>
      <c r="T9" s="2496" t="s">
        <v>28181</v>
      </c>
      <c r="V9" s="1">
        <v>1</v>
      </c>
      <c r="AC9" s="155">
        <v>1</v>
      </c>
      <c r="AD9" s="1">
        <f t="shared" si="1"/>
        <v>0</v>
      </c>
      <c r="AE9" s="1">
        <v>1</v>
      </c>
    </row>
    <row r="10" spans="1:36" ht="18" customHeight="1" x14ac:dyDescent="0.2">
      <c r="B10" s="335" t="s">
        <v>497</v>
      </c>
      <c r="C10" s="665" t="s">
        <v>804</v>
      </c>
      <c r="D10" s="815">
        <f>D5*C2</f>
        <v>1</v>
      </c>
      <c r="E10" s="116">
        <f>$G$1</f>
        <v>1080</v>
      </c>
      <c r="F10" s="117">
        <f>F6+24-25</f>
        <v>685</v>
      </c>
      <c r="G10" s="118">
        <v>1</v>
      </c>
      <c r="H10" s="2464">
        <f t="shared" si="2"/>
        <v>0.7397999999999999</v>
      </c>
      <c r="I10" s="2464"/>
      <c r="J10" s="2465">
        <f>G10*7.85*H10</f>
        <v>5.8074299999999992</v>
      </c>
      <c r="K10" s="2465">
        <f t="shared" si="0"/>
        <v>5.8074299999999992</v>
      </c>
      <c r="L10" s="116" t="s">
        <v>53</v>
      </c>
      <c r="M10" s="1" t="s">
        <v>28636</v>
      </c>
      <c r="N10" s="116"/>
      <c r="O10" s="116"/>
      <c r="P10" s="116"/>
      <c r="Q10" s="1129"/>
      <c r="R10" s="2497" t="s">
        <v>30530</v>
      </c>
      <c r="S10" s="2498">
        <f t="shared" si="3"/>
        <v>0.73980000000000012</v>
      </c>
      <c r="T10" s="2499" t="s">
        <v>28181</v>
      </c>
      <c r="V10" s="1">
        <v>1</v>
      </c>
      <c r="Y10" s="1">
        <v>1</v>
      </c>
      <c r="AC10" s="155">
        <v>1</v>
      </c>
      <c r="AD10" s="1">
        <f t="shared" si="1"/>
        <v>5.8074299999999992</v>
      </c>
      <c r="AE10" s="1">
        <v>1</v>
      </c>
      <c r="AF10" s="109" t="s">
        <v>8964</v>
      </c>
      <c r="AG10" s="1">
        <v>0.32</v>
      </c>
      <c r="AH10" s="812" t="s">
        <v>27663</v>
      </c>
      <c r="AI10" s="193">
        <v>1</v>
      </c>
    </row>
    <row r="11" spans="1:36" ht="18" customHeight="1" x14ac:dyDescent="0.2">
      <c r="A11" s="1309"/>
      <c r="B11" s="335" t="s">
        <v>498</v>
      </c>
      <c r="C11" s="958" t="s">
        <v>28538</v>
      </c>
      <c r="D11" s="815">
        <f>D5*C1</f>
        <v>0</v>
      </c>
      <c r="E11" s="116">
        <f>$G$1</f>
        <v>1080</v>
      </c>
      <c r="F11" s="117">
        <f>F6+24-25</f>
        <v>685</v>
      </c>
      <c r="G11" s="118">
        <v>1</v>
      </c>
      <c r="H11" s="2464">
        <f t="shared" si="2"/>
        <v>0.7397999999999999</v>
      </c>
      <c r="I11" s="2464"/>
      <c r="J11" s="2465">
        <f>G11*7.85*H11</f>
        <v>5.8074299999999992</v>
      </c>
      <c r="K11" s="2465">
        <f t="shared" si="0"/>
        <v>0</v>
      </c>
      <c r="L11" s="116" t="s">
        <v>53</v>
      </c>
      <c r="M11" s="1" t="s">
        <v>28403</v>
      </c>
      <c r="N11" s="116"/>
      <c r="O11" s="116"/>
      <c r="P11" s="116"/>
      <c r="Q11" s="1129"/>
      <c r="R11" s="2500" t="s">
        <v>9044</v>
      </c>
      <c r="S11" s="2498">
        <f t="shared" si="3"/>
        <v>0</v>
      </c>
      <c r="T11" s="2499" t="s">
        <v>28181</v>
      </c>
      <c r="V11" s="1">
        <v>1</v>
      </c>
      <c r="Y11" s="1">
        <v>1</v>
      </c>
      <c r="AC11" s="155">
        <v>1</v>
      </c>
      <c r="AD11" s="1">
        <f t="shared" si="1"/>
        <v>0</v>
      </c>
      <c r="AE11" s="1">
        <v>1</v>
      </c>
      <c r="AF11" s="682" t="s">
        <v>9035</v>
      </c>
      <c r="AG11" s="1">
        <v>0.222</v>
      </c>
      <c r="AH11" s="812" t="s">
        <v>27665</v>
      </c>
    </row>
    <row r="12" spans="1:36" ht="18" customHeight="1" x14ac:dyDescent="0.2">
      <c r="A12" s="1309"/>
      <c r="B12" s="653" t="s">
        <v>28518</v>
      </c>
      <c r="C12" s="665" t="s">
        <v>28527</v>
      </c>
      <c r="D12" s="814">
        <f>D5*C3*D35*'Berechnung &amp; Tabellen'!E9</f>
        <v>0</v>
      </c>
      <c r="E12" s="117">
        <f t="shared" ref="E12:E23" si="4">$G$1</f>
        <v>1080</v>
      </c>
      <c r="F12" s="117">
        <f>24+$G$2+0.75-1.72</f>
        <v>709.03</v>
      </c>
      <c r="G12" s="118">
        <v>0.75</v>
      </c>
      <c r="H12" s="2464">
        <f t="shared" ref="H12:H25" si="5">E12*F12/1000/1000</f>
        <v>0.76575240000000011</v>
      </c>
      <c r="I12" s="2464"/>
      <c r="J12" s="2465">
        <f t="shared" ref="J12:J25" si="6">G12*7.85*H12</f>
        <v>4.5083672550000005</v>
      </c>
      <c r="K12" s="2465">
        <f t="shared" ref="K12:K25" si="7">D12*J12</f>
        <v>0</v>
      </c>
      <c r="L12" s="116" t="s">
        <v>53</v>
      </c>
      <c r="M12" s="1" t="s">
        <v>28402</v>
      </c>
      <c r="N12" s="116"/>
      <c r="O12" s="116"/>
      <c r="P12" s="116"/>
      <c r="Q12" s="1129"/>
      <c r="R12" s="2497" t="s">
        <v>8984</v>
      </c>
      <c r="S12" s="2498">
        <f t="shared" si="3"/>
        <v>0</v>
      </c>
      <c r="T12" s="2499" t="s">
        <v>28181</v>
      </c>
      <c r="V12" s="1">
        <v>1</v>
      </c>
      <c r="Y12" s="1">
        <v>1</v>
      </c>
      <c r="AE12" s="1">
        <v>1</v>
      </c>
      <c r="AH12" s="812"/>
      <c r="AI12" s="193">
        <v>1</v>
      </c>
    </row>
    <row r="13" spans="1:36" ht="18" customHeight="1" x14ac:dyDescent="0.2">
      <c r="A13" s="1309"/>
      <c r="B13" s="653" t="s">
        <v>28519</v>
      </c>
      <c r="C13" s="665" t="s">
        <v>28528</v>
      </c>
      <c r="D13" s="814">
        <f>D5*C4*D36*'Berechnung &amp; Tabellen'!E9</f>
        <v>0</v>
      </c>
      <c r="E13" s="117">
        <f t="shared" si="4"/>
        <v>1080</v>
      </c>
      <c r="F13" s="117">
        <f>24+$G$2+0.8-1.98</f>
        <v>708.81999999999994</v>
      </c>
      <c r="G13" s="118">
        <v>0.8</v>
      </c>
      <c r="H13" s="2464">
        <f t="shared" si="5"/>
        <v>0.76552559999999992</v>
      </c>
      <c r="I13" s="2464"/>
      <c r="J13" s="2465">
        <f t="shared" si="6"/>
        <v>4.8075007679999997</v>
      </c>
      <c r="K13" s="2465">
        <f t="shared" si="7"/>
        <v>0</v>
      </c>
      <c r="L13" s="116" t="s">
        <v>53</v>
      </c>
      <c r="M13" s="1" t="s">
        <v>28403</v>
      </c>
      <c r="N13" s="116"/>
      <c r="O13" s="116"/>
      <c r="P13" s="116"/>
      <c r="Q13" s="1129"/>
      <c r="R13" s="2500" t="s">
        <v>9043</v>
      </c>
      <c r="S13" s="2498">
        <f t="shared" si="3"/>
        <v>0</v>
      </c>
      <c r="T13" s="2499" t="s">
        <v>28181</v>
      </c>
      <c r="V13" s="1">
        <v>1</v>
      </c>
      <c r="Y13" s="1">
        <v>1</v>
      </c>
      <c r="AE13" s="1">
        <v>1</v>
      </c>
      <c r="AF13" s="682"/>
      <c r="AH13" s="812"/>
    </row>
    <row r="14" spans="1:36" ht="18" customHeight="1" x14ac:dyDescent="0.2">
      <c r="A14" s="1309"/>
      <c r="B14" s="653" t="s">
        <v>28520</v>
      </c>
      <c r="C14" s="665" t="s">
        <v>28529</v>
      </c>
      <c r="D14" s="814">
        <f>D5*C3*IF(D37+D39&gt;0,1,0)*'Berechnung &amp; Tabellen'!E9</f>
        <v>0</v>
      </c>
      <c r="E14" s="117">
        <f t="shared" si="4"/>
        <v>1080</v>
      </c>
      <c r="F14" s="117">
        <f>24+$G$2+0.75-1.72</f>
        <v>709.03</v>
      </c>
      <c r="G14" s="118">
        <v>0.75</v>
      </c>
      <c r="H14" s="2464">
        <f t="shared" si="5"/>
        <v>0.76575240000000011</v>
      </c>
      <c r="I14" s="2464"/>
      <c r="J14" s="2465">
        <f t="shared" si="6"/>
        <v>4.5083672550000005</v>
      </c>
      <c r="K14" s="2465">
        <f t="shared" si="7"/>
        <v>0</v>
      </c>
      <c r="L14" s="116" t="s">
        <v>53</v>
      </c>
      <c r="M14" s="1" t="s">
        <v>28402</v>
      </c>
      <c r="N14" s="116"/>
      <c r="O14" s="116"/>
      <c r="P14" s="116"/>
      <c r="Q14" s="1129"/>
      <c r="R14" s="2500" t="s">
        <v>8984</v>
      </c>
      <c r="S14" s="2498">
        <f t="shared" si="3"/>
        <v>0</v>
      </c>
      <c r="T14" s="2499" t="s">
        <v>28181</v>
      </c>
      <c r="V14" s="1">
        <v>1</v>
      </c>
      <c r="Y14" s="1">
        <v>1</v>
      </c>
      <c r="AE14" s="1">
        <v>1</v>
      </c>
      <c r="AH14" s="812"/>
      <c r="AI14" s="193">
        <v>1</v>
      </c>
    </row>
    <row r="15" spans="1:36" ht="18" customHeight="1" x14ac:dyDescent="0.2">
      <c r="A15" s="1309"/>
      <c r="B15" s="653" t="s">
        <v>28521</v>
      </c>
      <c r="C15" s="665" t="s">
        <v>28530</v>
      </c>
      <c r="D15" s="814">
        <f>D5*C4*IF(D38+D40&gt;0,1,0)*'Berechnung &amp; Tabellen'!E9</f>
        <v>0</v>
      </c>
      <c r="E15" s="117">
        <f t="shared" si="4"/>
        <v>1080</v>
      </c>
      <c r="F15" s="117">
        <f>24+$G$2+0.8-1.98</f>
        <v>708.81999999999994</v>
      </c>
      <c r="G15" s="118">
        <v>0.8</v>
      </c>
      <c r="H15" s="2464">
        <f t="shared" si="5"/>
        <v>0.76552559999999992</v>
      </c>
      <c r="I15" s="2464"/>
      <c r="J15" s="2465">
        <f t="shared" si="6"/>
        <v>4.8075007679999997</v>
      </c>
      <c r="K15" s="2465">
        <f t="shared" si="7"/>
        <v>0</v>
      </c>
      <c r="L15" s="116" t="s">
        <v>53</v>
      </c>
      <c r="M15" s="1" t="s">
        <v>28403</v>
      </c>
      <c r="N15" s="116"/>
      <c r="O15" s="116"/>
      <c r="P15" s="116"/>
      <c r="Q15" s="1129"/>
      <c r="R15" s="2500" t="s">
        <v>9043</v>
      </c>
      <c r="S15" s="2498">
        <f t="shared" si="3"/>
        <v>0</v>
      </c>
      <c r="T15" s="2499" t="s">
        <v>28181</v>
      </c>
      <c r="V15" s="1">
        <v>1</v>
      </c>
      <c r="Y15" s="1">
        <v>1</v>
      </c>
      <c r="AE15" s="1">
        <v>1</v>
      </c>
      <c r="AF15" s="682"/>
      <c r="AH15" s="812"/>
    </row>
    <row r="16" spans="1:36" ht="18" customHeight="1" x14ac:dyDescent="0.2">
      <c r="A16" s="1309"/>
      <c r="B16" s="653" t="s">
        <v>28522</v>
      </c>
      <c r="C16" s="665" t="s">
        <v>28531</v>
      </c>
      <c r="D16" s="814">
        <f>$D$5*$C$3*$D$35*'Berechnung &amp; Tabellen'!$D$9*IF(Dateneingabe!$H$32=150,0,1)</f>
        <v>0</v>
      </c>
      <c r="E16" s="117">
        <f t="shared" si="4"/>
        <v>1080</v>
      </c>
      <c r="F16" s="117">
        <f>24+$G$2+0.75-1.72</f>
        <v>709.03</v>
      </c>
      <c r="G16" s="118">
        <v>0.75</v>
      </c>
      <c r="H16" s="2464">
        <f t="shared" si="5"/>
        <v>0.76575240000000011</v>
      </c>
      <c r="I16" s="2464"/>
      <c r="J16" s="2465">
        <f t="shared" si="6"/>
        <v>4.5083672550000005</v>
      </c>
      <c r="K16" s="2465">
        <f t="shared" si="7"/>
        <v>0</v>
      </c>
      <c r="L16" s="116" t="s">
        <v>53</v>
      </c>
      <c r="M16" s="1" t="s">
        <v>28402</v>
      </c>
      <c r="N16" s="116"/>
      <c r="O16" s="116"/>
      <c r="P16" s="116"/>
      <c r="Q16" s="1129"/>
      <c r="R16" s="2497" t="s">
        <v>8984</v>
      </c>
      <c r="S16" s="2498">
        <f t="shared" si="3"/>
        <v>0</v>
      </c>
      <c r="T16" s="2499" t="s">
        <v>28181</v>
      </c>
      <c r="V16" s="1">
        <v>1</v>
      </c>
      <c r="Y16" s="1">
        <v>1</v>
      </c>
      <c r="AE16" s="1">
        <v>1</v>
      </c>
      <c r="AH16" s="812"/>
      <c r="AI16" s="193">
        <v>1</v>
      </c>
    </row>
    <row r="17" spans="1:35" ht="18" customHeight="1" x14ac:dyDescent="0.2">
      <c r="A17" s="1309"/>
      <c r="B17" s="653" t="s">
        <v>28523</v>
      </c>
      <c r="C17" s="665" t="s">
        <v>28532</v>
      </c>
      <c r="D17" s="814">
        <f>$D$5*$C$4*$D$36*'Berechnung &amp; Tabellen'!$D$9*IF(Dateneingabe!$H$32=150,0,1)</f>
        <v>0</v>
      </c>
      <c r="E17" s="117">
        <f t="shared" si="4"/>
        <v>1080</v>
      </c>
      <c r="F17" s="117">
        <f>24+$G$2+0.8-1.98</f>
        <v>708.81999999999994</v>
      </c>
      <c r="G17" s="118">
        <v>0.8</v>
      </c>
      <c r="H17" s="2464">
        <f t="shared" si="5"/>
        <v>0.76552559999999992</v>
      </c>
      <c r="I17" s="2464"/>
      <c r="J17" s="2465">
        <f t="shared" si="6"/>
        <v>4.8075007679999997</v>
      </c>
      <c r="K17" s="2465">
        <f t="shared" si="7"/>
        <v>0</v>
      </c>
      <c r="L17" s="116" t="s">
        <v>53</v>
      </c>
      <c r="M17" s="1" t="s">
        <v>28403</v>
      </c>
      <c r="N17" s="116"/>
      <c r="O17" s="116"/>
      <c r="P17" s="116"/>
      <c r="Q17" s="1129"/>
      <c r="R17" s="2500" t="s">
        <v>9043</v>
      </c>
      <c r="S17" s="2498">
        <f t="shared" si="3"/>
        <v>0</v>
      </c>
      <c r="T17" s="2499" t="s">
        <v>28181</v>
      </c>
      <c r="V17" s="1">
        <v>1</v>
      </c>
      <c r="Y17" s="1">
        <v>1</v>
      </c>
      <c r="AE17" s="1">
        <v>1</v>
      </c>
      <c r="AF17" s="682"/>
      <c r="AH17" s="812"/>
    </row>
    <row r="18" spans="1:35" ht="18" customHeight="1" x14ac:dyDescent="0.2">
      <c r="A18" s="1309"/>
      <c r="B18" s="653" t="s">
        <v>28524</v>
      </c>
      <c r="C18" s="665" t="s">
        <v>28533</v>
      </c>
      <c r="D18" s="814">
        <f>$D$5*$C$3*IF($D$37+$D$39&gt;0,1,0)*'Berechnung &amp; Tabellen'!$D$9*IF(Dateneingabe!$H$32=150,0,1)</f>
        <v>0</v>
      </c>
      <c r="E18" s="117">
        <f t="shared" si="4"/>
        <v>1080</v>
      </c>
      <c r="F18" s="117">
        <f>24+$G$2+0.75-1.72</f>
        <v>709.03</v>
      </c>
      <c r="G18" s="118">
        <v>0.75</v>
      </c>
      <c r="H18" s="2464">
        <f t="shared" si="5"/>
        <v>0.76575240000000011</v>
      </c>
      <c r="I18" s="2464"/>
      <c r="J18" s="2465">
        <f t="shared" si="6"/>
        <v>4.5083672550000005</v>
      </c>
      <c r="K18" s="2465">
        <f t="shared" si="7"/>
        <v>0</v>
      </c>
      <c r="L18" s="116" t="s">
        <v>53</v>
      </c>
      <c r="M18" s="1" t="s">
        <v>28402</v>
      </c>
      <c r="N18" s="116"/>
      <c r="O18" s="116"/>
      <c r="P18" s="116"/>
      <c r="Q18" s="1129"/>
      <c r="R18" s="2497" t="s">
        <v>8984</v>
      </c>
      <c r="S18" s="2498">
        <f t="shared" si="3"/>
        <v>0</v>
      </c>
      <c r="T18" s="2499" t="s">
        <v>28181</v>
      </c>
      <c r="V18" s="1">
        <v>1</v>
      </c>
      <c r="Y18" s="1">
        <v>1</v>
      </c>
      <c r="AE18" s="1">
        <v>1</v>
      </c>
      <c r="AH18" s="812"/>
      <c r="AI18" s="193">
        <v>1</v>
      </c>
    </row>
    <row r="19" spans="1:35" ht="18" customHeight="1" x14ac:dyDescent="0.2">
      <c r="A19" s="1309"/>
      <c r="B19" s="653" t="s">
        <v>28525</v>
      </c>
      <c r="C19" s="665" t="s">
        <v>28534</v>
      </c>
      <c r="D19" s="814">
        <f>$D$5*$C$4*IF($D$38+$D$40&gt;0,1,0)*'Berechnung &amp; Tabellen'!$D$9*IF(Dateneingabe!$H$32=150,0,1)</f>
        <v>0</v>
      </c>
      <c r="E19" s="117">
        <f t="shared" si="4"/>
        <v>1080</v>
      </c>
      <c r="F19" s="117">
        <f>24+$G$2+0.8-1.98</f>
        <v>708.81999999999994</v>
      </c>
      <c r="G19" s="118">
        <v>0.8</v>
      </c>
      <c r="H19" s="2464">
        <f t="shared" si="5"/>
        <v>0.76552559999999992</v>
      </c>
      <c r="I19" s="2464"/>
      <c r="J19" s="2465">
        <f t="shared" si="6"/>
        <v>4.8075007679999997</v>
      </c>
      <c r="K19" s="2465">
        <f t="shared" si="7"/>
        <v>0</v>
      </c>
      <c r="L19" s="116" t="s">
        <v>53</v>
      </c>
      <c r="M19" s="1" t="s">
        <v>28403</v>
      </c>
      <c r="N19" s="116"/>
      <c r="O19" s="116"/>
      <c r="P19" s="116"/>
      <c r="Q19" s="1129"/>
      <c r="R19" s="2500" t="s">
        <v>9043</v>
      </c>
      <c r="S19" s="2498">
        <f t="shared" si="3"/>
        <v>0</v>
      </c>
      <c r="T19" s="2499" t="s">
        <v>28181</v>
      </c>
      <c r="V19" s="1">
        <v>1</v>
      </c>
      <c r="Y19" s="1">
        <v>1</v>
      </c>
      <c r="AE19" s="1">
        <v>1</v>
      </c>
      <c r="AF19" s="682"/>
      <c r="AH19" s="812"/>
    </row>
    <row r="20" spans="1:35" ht="18" customHeight="1" x14ac:dyDescent="0.2">
      <c r="A20" s="1309"/>
      <c r="B20" s="653" t="s">
        <v>29421</v>
      </c>
      <c r="C20" s="665" t="s">
        <v>29425</v>
      </c>
      <c r="D20" s="814">
        <f>$D$5*$C$3*$D$35*'Berechnung &amp; Tabellen'!$D$9*IF(Dateneingabe!$H$32=150,1,0)</f>
        <v>0</v>
      </c>
      <c r="E20" s="117">
        <f t="shared" si="4"/>
        <v>1080</v>
      </c>
      <c r="F20" s="117">
        <f>24+$G$2+0.75-1.72</f>
        <v>709.03</v>
      </c>
      <c r="G20" s="118">
        <v>0.75</v>
      </c>
      <c r="H20" s="2464">
        <f t="shared" si="5"/>
        <v>0.76575240000000011</v>
      </c>
      <c r="I20" s="2464"/>
      <c r="J20" s="2465">
        <f t="shared" si="6"/>
        <v>4.5083672550000005</v>
      </c>
      <c r="K20" s="2465">
        <f t="shared" si="7"/>
        <v>0</v>
      </c>
      <c r="L20" s="116" t="s">
        <v>53</v>
      </c>
      <c r="M20" s="1" t="s">
        <v>28402</v>
      </c>
      <c r="N20" s="116"/>
      <c r="O20" s="116"/>
      <c r="P20" s="116"/>
      <c r="Q20" s="1129"/>
      <c r="R20" s="2497" t="s">
        <v>8984</v>
      </c>
      <c r="S20" s="2498">
        <f t="shared" si="3"/>
        <v>0</v>
      </c>
      <c r="T20" s="2499" t="s">
        <v>28181</v>
      </c>
      <c r="V20" s="1">
        <v>1</v>
      </c>
      <c r="Y20" s="1">
        <v>1</v>
      </c>
      <c r="AE20" s="1">
        <v>1</v>
      </c>
      <c r="AH20" s="812"/>
      <c r="AI20" s="193">
        <v>1</v>
      </c>
    </row>
    <row r="21" spans="1:35" ht="18" customHeight="1" x14ac:dyDescent="0.2">
      <c r="A21" s="1309"/>
      <c r="B21" s="653" t="s">
        <v>29422</v>
      </c>
      <c r="C21" s="665" t="s">
        <v>29426</v>
      </c>
      <c r="D21" s="814">
        <f>$D$5*$C$4*$D$36*'Berechnung &amp; Tabellen'!$D$9*IF(Dateneingabe!$H$32=150,1,0)</f>
        <v>0</v>
      </c>
      <c r="E21" s="117">
        <f t="shared" si="4"/>
        <v>1080</v>
      </c>
      <c r="F21" s="117">
        <f>24+$G$2+0.8-1.98</f>
        <v>708.81999999999994</v>
      </c>
      <c r="G21" s="118">
        <v>0.8</v>
      </c>
      <c r="H21" s="2464">
        <f t="shared" si="5"/>
        <v>0.76552559999999992</v>
      </c>
      <c r="I21" s="2464"/>
      <c r="J21" s="2465">
        <f t="shared" si="6"/>
        <v>4.8075007679999997</v>
      </c>
      <c r="K21" s="2465">
        <f t="shared" si="7"/>
        <v>0</v>
      </c>
      <c r="L21" s="116" t="s">
        <v>53</v>
      </c>
      <c r="M21" s="1" t="s">
        <v>28403</v>
      </c>
      <c r="N21" s="116"/>
      <c r="O21" s="116"/>
      <c r="P21" s="116"/>
      <c r="Q21" s="1129"/>
      <c r="R21" s="2500" t="s">
        <v>9043</v>
      </c>
      <c r="S21" s="2498">
        <f t="shared" si="3"/>
        <v>0</v>
      </c>
      <c r="T21" s="2499" t="s">
        <v>28181</v>
      </c>
      <c r="V21" s="1">
        <v>1</v>
      </c>
      <c r="Y21" s="1">
        <v>1</v>
      </c>
      <c r="AE21" s="1">
        <v>1</v>
      </c>
      <c r="AF21" s="682"/>
      <c r="AH21" s="812"/>
    </row>
    <row r="22" spans="1:35" ht="18" customHeight="1" x14ac:dyDescent="0.2">
      <c r="A22" s="1309"/>
      <c r="B22" s="653" t="s">
        <v>29423</v>
      </c>
      <c r="C22" s="665" t="s">
        <v>29427</v>
      </c>
      <c r="D22" s="814">
        <f>$D$5*$C$3*IF($D$37+$D$39&gt;0,1,0)*'Berechnung &amp; Tabellen'!$D$9*IF(Dateneingabe!$H$32=150,1,0)</f>
        <v>0</v>
      </c>
      <c r="E22" s="117">
        <f t="shared" si="4"/>
        <v>1080</v>
      </c>
      <c r="F22" s="117">
        <f>24+$G$2+0.75-1.72</f>
        <v>709.03</v>
      </c>
      <c r="G22" s="118">
        <v>0.75</v>
      </c>
      <c r="H22" s="2464">
        <f t="shared" si="5"/>
        <v>0.76575240000000011</v>
      </c>
      <c r="I22" s="2464"/>
      <c r="J22" s="2465">
        <f t="shared" si="6"/>
        <v>4.5083672550000005</v>
      </c>
      <c r="K22" s="2465">
        <f t="shared" si="7"/>
        <v>0</v>
      </c>
      <c r="L22" s="116" t="s">
        <v>53</v>
      </c>
      <c r="M22" s="1" t="s">
        <v>28402</v>
      </c>
      <c r="N22" s="116"/>
      <c r="O22" s="116"/>
      <c r="P22" s="116"/>
      <c r="Q22" s="1129"/>
      <c r="R22" s="2497" t="s">
        <v>8984</v>
      </c>
      <c r="S22" s="2498">
        <f t="shared" si="3"/>
        <v>0</v>
      </c>
      <c r="T22" s="2499" t="s">
        <v>28181</v>
      </c>
      <c r="V22" s="1">
        <v>1</v>
      </c>
      <c r="Y22" s="1">
        <v>1</v>
      </c>
      <c r="AE22" s="1">
        <v>1</v>
      </c>
      <c r="AH22" s="812"/>
      <c r="AI22" s="193">
        <v>1</v>
      </c>
    </row>
    <row r="23" spans="1:35" ht="18" customHeight="1" x14ac:dyDescent="0.2">
      <c r="A23" s="1309"/>
      <c r="B23" s="653" t="s">
        <v>29424</v>
      </c>
      <c r="C23" s="665" t="s">
        <v>29428</v>
      </c>
      <c r="D23" s="814">
        <f>$D$5*$C$4*IF($D$38+$D$40&gt;0,1,0)*'Berechnung &amp; Tabellen'!$D$9*IF(Dateneingabe!$H$32=150,1,0)</f>
        <v>0</v>
      </c>
      <c r="E23" s="117">
        <f t="shared" si="4"/>
        <v>1080</v>
      </c>
      <c r="F23" s="117">
        <f>24+$G$2+0.8-1.98</f>
        <v>708.81999999999994</v>
      </c>
      <c r="G23" s="118">
        <v>0.8</v>
      </c>
      <c r="H23" s="2464">
        <f t="shared" si="5"/>
        <v>0.76552559999999992</v>
      </c>
      <c r="I23" s="2464"/>
      <c r="J23" s="2465">
        <f t="shared" si="6"/>
        <v>4.8075007679999997</v>
      </c>
      <c r="K23" s="2465">
        <f t="shared" si="7"/>
        <v>0</v>
      </c>
      <c r="L23" s="116" t="s">
        <v>53</v>
      </c>
      <c r="M23" s="1" t="s">
        <v>28403</v>
      </c>
      <c r="N23" s="116"/>
      <c r="O23" s="116"/>
      <c r="P23" s="116"/>
      <c r="Q23" s="1129"/>
      <c r="R23" s="2500" t="s">
        <v>9043</v>
      </c>
      <c r="S23" s="2498">
        <f t="shared" si="3"/>
        <v>0</v>
      </c>
      <c r="T23" s="2499" t="s">
        <v>28181</v>
      </c>
      <c r="V23" s="1">
        <v>1</v>
      </c>
      <c r="Y23" s="1">
        <v>1</v>
      </c>
      <c r="AE23" s="1">
        <v>1</v>
      </c>
      <c r="AF23" s="682"/>
      <c r="AH23" s="812"/>
    </row>
    <row r="24" spans="1:35" ht="18" customHeight="1" x14ac:dyDescent="0.2">
      <c r="B24" s="653" t="s">
        <v>29108</v>
      </c>
      <c r="C24" s="958" t="s">
        <v>29106</v>
      </c>
      <c r="D24" s="814">
        <f>D5*A3</f>
        <v>0</v>
      </c>
      <c r="E24" s="117">
        <f>$G$1-80-80</f>
        <v>920</v>
      </c>
      <c r="F24" s="117">
        <f>$G$2-128</f>
        <v>558</v>
      </c>
      <c r="G24" s="118">
        <v>0.75</v>
      </c>
      <c r="H24" s="2464">
        <f t="shared" si="5"/>
        <v>0.51336000000000004</v>
      </c>
      <c r="I24" s="2464"/>
      <c r="J24" s="2465">
        <f t="shared" si="6"/>
        <v>3.0224069999999998</v>
      </c>
      <c r="K24" s="2465">
        <f t="shared" si="7"/>
        <v>0</v>
      </c>
      <c r="L24" s="116" t="s">
        <v>53</v>
      </c>
      <c r="M24" s="1" t="s">
        <v>28402</v>
      </c>
      <c r="N24" s="1" t="s">
        <v>337</v>
      </c>
      <c r="Q24" s="36"/>
      <c r="R24" s="2500" t="s">
        <v>8984</v>
      </c>
      <c r="S24" s="2498">
        <f t="shared" si="3"/>
        <v>0</v>
      </c>
      <c r="T24" s="2499" t="s">
        <v>28181</v>
      </c>
      <c r="V24" s="1">
        <v>1</v>
      </c>
      <c r="Y24" s="1">
        <v>1</v>
      </c>
      <c r="AC24" s="155">
        <v>1</v>
      </c>
      <c r="AD24" s="1">
        <f>K24*AC24</f>
        <v>0</v>
      </c>
      <c r="AE24" s="1">
        <v>1</v>
      </c>
      <c r="AH24" s="812"/>
      <c r="AI24" s="193">
        <v>1</v>
      </c>
    </row>
    <row r="25" spans="1:35" ht="18" customHeight="1" x14ac:dyDescent="0.2">
      <c r="B25" s="653" t="s">
        <v>29109</v>
      </c>
      <c r="C25" s="958" t="s">
        <v>29107</v>
      </c>
      <c r="D25" s="814">
        <f>D5*A4</f>
        <v>0</v>
      </c>
      <c r="E25" s="117">
        <f>$G$1-80-80</f>
        <v>920</v>
      </c>
      <c r="F25" s="117">
        <f>$G$2-128</f>
        <v>558</v>
      </c>
      <c r="G25" s="118">
        <v>0.8</v>
      </c>
      <c r="H25" s="2464">
        <f t="shared" si="5"/>
        <v>0.51336000000000004</v>
      </c>
      <c r="I25" s="2464"/>
      <c r="J25" s="2465">
        <f t="shared" si="6"/>
        <v>3.2239008000000005</v>
      </c>
      <c r="K25" s="2465">
        <f t="shared" si="7"/>
        <v>0</v>
      </c>
      <c r="L25" s="116" t="s">
        <v>53</v>
      </c>
      <c r="M25" s="1" t="s">
        <v>28403</v>
      </c>
      <c r="N25" s="1" t="s">
        <v>337</v>
      </c>
      <c r="Q25" s="36"/>
      <c r="R25" s="2500" t="s">
        <v>9043</v>
      </c>
      <c r="S25" s="2498">
        <f t="shared" si="3"/>
        <v>0</v>
      </c>
      <c r="T25" s="2499" t="s">
        <v>28181</v>
      </c>
      <c r="V25" s="1">
        <v>1</v>
      </c>
      <c r="Y25" s="1">
        <v>1</v>
      </c>
      <c r="AC25" s="155">
        <v>1</v>
      </c>
      <c r="AD25" s="1">
        <f>K25*AC25</f>
        <v>0</v>
      </c>
      <c r="AE25" s="1">
        <v>1</v>
      </c>
      <c r="AF25" s="682"/>
      <c r="AH25" s="812"/>
    </row>
    <row r="26" spans="1:35" ht="18" customHeight="1" x14ac:dyDescent="0.2">
      <c r="B26" s="653" t="s">
        <v>29881</v>
      </c>
      <c r="C26" s="665" t="s">
        <v>27675</v>
      </c>
      <c r="D26" s="814">
        <f>ROUNDUP($G$1/250+1,0)*ROUNDUP($G$2/250+1,0)*D5*2*0</f>
        <v>0</v>
      </c>
      <c r="E26" s="116">
        <v>0</v>
      </c>
      <c r="F26" s="200">
        <v>0</v>
      </c>
      <c r="G26" s="118">
        <v>0</v>
      </c>
      <c r="H26" s="2464">
        <f>E26*F26/1000/1000</f>
        <v>0</v>
      </c>
      <c r="I26" s="2464"/>
      <c r="J26" s="2465">
        <f>G26*7.85*H26</f>
        <v>0</v>
      </c>
      <c r="K26" s="2465">
        <f>D26*J26</f>
        <v>0</v>
      </c>
      <c r="L26" s="1" t="s">
        <v>53</v>
      </c>
      <c r="N26" s="166"/>
      <c r="O26" s="166"/>
      <c r="P26" s="166"/>
      <c r="Q26" s="61"/>
      <c r="R26" s="2501" t="str">
        <f>C26</f>
        <v>0123025</v>
      </c>
      <c r="S26" s="2502">
        <f>D26</f>
        <v>0</v>
      </c>
      <c r="T26" s="2503" t="s">
        <v>53</v>
      </c>
      <c r="V26" s="1">
        <v>1</v>
      </c>
      <c r="AC26" s="155">
        <v>1</v>
      </c>
      <c r="AD26" s="1">
        <f>K26*AC26</f>
        <v>0</v>
      </c>
      <c r="AE26" s="1">
        <v>1</v>
      </c>
    </row>
    <row r="27" spans="1:35" ht="18" customHeight="1" x14ac:dyDescent="0.2">
      <c r="B27" s="135" t="s">
        <v>437</v>
      </c>
      <c r="C27" s="665"/>
      <c r="E27" s="117"/>
      <c r="F27" s="117"/>
      <c r="H27" s="2464"/>
      <c r="I27" s="2464"/>
      <c r="J27" s="2465"/>
      <c r="K27" s="2465"/>
      <c r="Q27" s="36"/>
      <c r="R27" s="2504">
        <f>C27</f>
        <v>0</v>
      </c>
      <c r="S27" s="2493"/>
      <c r="T27" s="2493"/>
    </row>
    <row r="28" spans="1:35" ht="18" customHeight="1" x14ac:dyDescent="0.2">
      <c r="B28" s="653" t="s">
        <v>805</v>
      </c>
      <c r="C28" s="665" t="s">
        <v>806</v>
      </c>
      <c r="D28" s="815">
        <f>IF(G1&gt;1966,2,1)*C2</f>
        <v>1</v>
      </c>
      <c r="E28" s="1">
        <v>20</v>
      </c>
      <c r="F28" s="200">
        <v>1960</v>
      </c>
      <c r="G28" s="118">
        <v>2</v>
      </c>
      <c r="H28" s="2464">
        <f t="shared" ref="H28:H45" si="8">E28*F28/1000/1000</f>
        <v>3.9200000000000006E-2</v>
      </c>
      <c r="I28" s="2464"/>
      <c r="J28" s="2465">
        <f t="shared" ref="J28:J45" si="9">G28*7.85*H28</f>
        <v>0.6154400000000001</v>
      </c>
      <c r="K28" s="2465">
        <f t="shared" ref="K28:K45" si="10">D28*J28</f>
        <v>0.6154400000000001</v>
      </c>
      <c r="L28" s="166" t="s">
        <v>53</v>
      </c>
      <c r="M28" s="1" t="s">
        <v>28402</v>
      </c>
      <c r="N28" s="116"/>
      <c r="O28" s="116"/>
      <c r="P28" s="116"/>
      <c r="Q28" s="1129"/>
      <c r="R28" s="2501" t="str">
        <f>C28</f>
        <v>0308095</v>
      </c>
      <c r="S28" s="2502">
        <f>D28</f>
        <v>1</v>
      </c>
      <c r="T28" s="2503" t="s">
        <v>53</v>
      </c>
      <c r="V28" s="1">
        <v>1</v>
      </c>
      <c r="AC28" s="155">
        <v>1</v>
      </c>
      <c r="AD28" s="1">
        <f t="shared" ref="AD28:AD33" si="11">K28*AC28</f>
        <v>0.6154400000000001</v>
      </c>
      <c r="AE28" s="1">
        <v>1</v>
      </c>
      <c r="AF28" s="682" t="s">
        <v>8968</v>
      </c>
      <c r="AG28" s="1">
        <v>0.32</v>
      </c>
      <c r="AH28" s="812" t="s">
        <v>27664</v>
      </c>
    </row>
    <row r="29" spans="1:35" ht="18" customHeight="1" x14ac:dyDescent="0.2">
      <c r="B29" s="653" t="s">
        <v>27687</v>
      </c>
      <c r="C29" s="665" t="s">
        <v>28564</v>
      </c>
      <c r="D29" s="815">
        <f>2*C1</f>
        <v>0</v>
      </c>
      <c r="E29" s="1">
        <v>20</v>
      </c>
      <c r="F29" s="200">
        <f>$G$1/2-3</f>
        <v>537</v>
      </c>
      <c r="G29" s="118">
        <v>2</v>
      </c>
      <c r="H29" s="2464">
        <f t="shared" si="8"/>
        <v>1.074E-2</v>
      </c>
      <c r="I29" s="2464"/>
      <c r="J29" s="2465">
        <f t="shared" si="9"/>
        <v>0.16861799999999999</v>
      </c>
      <c r="K29" s="2465">
        <f t="shared" si="10"/>
        <v>0</v>
      </c>
      <c r="L29" s="116" t="s">
        <v>53</v>
      </c>
      <c r="M29" s="1" t="s">
        <v>28403</v>
      </c>
      <c r="N29" s="116"/>
      <c r="O29" s="116"/>
      <c r="P29" s="116"/>
      <c r="Q29" s="1129"/>
      <c r="R29" s="2500" t="s">
        <v>9046</v>
      </c>
      <c r="S29" s="2499">
        <f>D29*(E29/1000)*(F29/1000)</f>
        <v>0</v>
      </c>
      <c r="T29" s="2499" t="s">
        <v>28181</v>
      </c>
      <c r="V29" s="1">
        <v>1</v>
      </c>
      <c r="AC29" s="155">
        <v>1</v>
      </c>
      <c r="AD29" s="1">
        <f t="shared" si="11"/>
        <v>0</v>
      </c>
      <c r="AE29" s="1">
        <v>1</v>
      </c>
      <c r="AF29" s="682" t="s">
        <v>9039</v>
      </c>
      <c r="AG29" s="1">
        <v>0.222</v>
      </c>
      <c r="AH29" s="812" t="s">
        <v>27666</v>
      </c>
    </row>
    <row r="30" spans="1:35" ht="18" customHeight="1" x14ac:dyDescent="0.2">
      <c r="A30" s="193">
        <f t="shared" ref="A30:A40" si="12">D30</f>
        <v>1</v>
      </c>
      <c r="B30" s="653" t="s">
        <v>27955</v>
      </c>
      <c r="C30" s="853" t="s">
        <v>27832</v>
      </c>
      <c r="D30" s="815">
        <f>IF('Berechnung &amp; Tabellen'!$F$159=0,C2*(('Berechnung &amp; Tabellen'!$F$157*2)+'Berechnung &amp; Tabellen'!$E$157),0)</f>
        <v>1</v>
      </c>
      <c r="E30" s="1">
        <f>IF('Berechnung &amp; Tabellen'!$D$44=1,292.5,277.5)</f>
        <v>292.5</v>
      </c>
      <c r="F30" s="117">
        <v>390</v>
      </c>
      <c r="G30" s="118">
        <v>3</v>
      </c>
      <c r="H30" s="2464">
        <f t="shared" si="8"/>
        <v>0.11407500000000001</v>
      </c>
      <c r="I30" s="2464"/>
      <c r="J30" s="2465">
        <f t="shared" si="9"/>
        <v>2.6864662500000001</v>
      </c>
      <c r="K30" s="2465">
        <f t="shared" si="10"/>
        <v>2.6864662500000001</v>
      </c>
      <c r="L30" s="166" t="s">
        <v>53</v>
      </c>
      <c r="M30" s="1" t="s">
        <v>28402</v>
      </c>
      <c r="N30" s="116"/>
      <c r="O30" s="116"/>
      <c r="P30" s="116"/>
      <c r="Q30" s="1129"/>
      <c r="R30" s="2501" t="str">
        <f t="shared" ref="R30:S33" si="13">C30</f>
        <v>0308132</v>
      </c>
      <c r="S30" s="2502">
        <f t="shared" si="13"/>
        <v>1</v>
      </c>
      <c r="T30" s="2503" t="s">
        <v>53</v>
      </c>
      <c r="V30" s="1">
        <v>1</v>
      </c>
      <c r="Y30" s="117"/>
      <c r="AC30" s="155">
        <v>1</v>
      </c>
      <c r="AD30" s="1">
        <f t="shared" si="11"/>
        <v>2.6864662500000001</v>
      </c>
      <c r="AE30" s="1">
        <v>1</v>
      </c>
      <c r="AF30" s="109" t="s">
        <v>8982</v>
      </c>
      <c r="AG30" s="1">
        <v>0.222</v>
      </c>
      <c r="AH30" s="812" t="s">
        <v>27668</v>
      </c>
      <c r="AI30" s="193">
        <v>1</v>
      </c>
    </row>
    <row r="31" spans="1:35" ht="18" customHeight="1" x14ac:dyDescent="0.2">
      <c r="A31" s="1309">
        <f t="shared" si="12"/>
        <v>0</v>
      </c>
      <c r="B31" s="653" t="s">
        <v>27956</v>
      </c>
      <c r="C31" s="665" t="s">
        <v>27839</v>
      </c>
      <c r="D31" s="815">
        <f>IF('Berechnung &amp; Tabellen'!$F$159=0,C1*(('Berechnung &amp; Tabellen'!$F$157*2)+'Berechnung &amp; Tabellen'!$E$157),0)</f>
        <v>0</v>
      </c>
      <c r="E31" s="1">
        <f>IF('Berechnung &amp; Tabellen'!$D$44=1,292.5,277.5)</f>
        <v>292.5</v>
      </c>
      <c r="F31" s="1">
        <v>390</v>
      </c>
      <c r="G31" s="118">
        <v>3</v>
      </c>
      <c r="H31" s="2464">
        <f t="shared" si="8"/>
        <v>0.11407500000000001</v>
      </c>
      <c r="I31" s="2464"/>
      <c r="J31" s="2465">
        <f t="shared" si="9"/>
        <v>2.6864662500000001</v>
      </c>
      <c r="K31" s="2465">
        <f t="shared" si="10"/>
        <v>0</v>
      </c>
      <c r="L31" s="166" t="s">
        <v>53</v>
      </c>
      <c r="M31" s="1" t="s">
        <v>28403</v>
      </c>
      <c r="N31" s="116"/>
      <c r="O31" s="116"/>
      <c r="P31" s="116"/>
      <c r="Q31" s="1129"/>
      <c r="R31" s="2501" t="str">
        <f t="shared" si="13"/>
        <v>0338132</v>
      </c>
      <c r="S31" s="2502">
        <f t="shared" si="13"/>
        <v>0</v>
      </c>
      <c r="T31" s="2503" t="s">
        <v>53</v>
      </c>
      <c r="V31" s="1">
        <v>1</v>
      </c>
      <c r="Y31" s="1">
        <v>1</v>
      </c>
      <c r="AC31" s="155">
        <v>1</v>
      </c>
      <c r="AD31" s="1">
        <f t="shared" si="11"/>
        <v>0</v>
      </c>
      <c r="AE31" s="1">
        <v>1</v>
      </c>
      <c r="AF31" s="682" t="s">
        <v>9136</v>
      </c>
      <c r="AG31" s="1">
        <v>0.222</v>
      </c>
      <c r="AH31" s="812" t="s">
        <v>27667</v>
      </c>
    </row>
    <row r="32" spans="1:35" ht="18" customHeight="1" x14ac:dyDescent="0.2">
      <c r="A32" s="193">
        <f>D32</f>
        <v>0</v>
      </c>
      <c r="B32" s="653" t="s">
        <v>29465</v>
      </c>
      <c r="C32" s="665" t="s">
        <v>29466</v>
      </c>
      <c r="D32" s="815">
        <f>IF('Berechnung &amp; Tabellen'!$F$159=1,C2*(('Berechnung &amp; Tabellen'!$F$157*2)+'Berechnung &amp; Tabellen'!$E$157),0)</f>
        <v>0</v>
      </c>
      <c r="E32" s="1">
        <v>292.5</v>
      </c>
      <c r="F32" s="117">
        <v>550</v>
      </c>
      <c r="G32" s="118">
        <v>3</v>
      </c>
      <c r="H32" s="2464">
        <f>E32*F32/1000/1000</f>
        <v>0.16087499999999999</v>
      </c>
      <c r="I32" s="2464"/>
      <c r="J32" s="2465">
        <f>G32*7.85*H32</f>
        <v>3.7886062499999995</v>
      </c>
      <c r="K32" s="2465">
        <f>D32*J32</f>
        <v>0</v>
      </c>
      <c r="L32" s="166" t="s">
        <v>53</v>
      </c>
      <c r="M32" s="1" t="s">
        <v>28402</v>
      </c>
      <c r="N32" s="116"/>
      <c r="O32" s="116"/>
      <c r="P32" s="116"/>
      <c r="Q32" s="1129"/>
      <c r="R32" s="2501" t="str">
        <f t="shared" si="13"/>
        <v>0308373</v>
      </c>
      <c r="S32" s="2502">
        <f t="shared" si="13"/>
        <v>0</v>
      </c>
      <c r="T32" s="2503" t="s">
        <v>53</v>
      </c>
      <c r="V32" s="1">
        <v>1</v>
      </c>
      <c r="Y32" s="117">
        <v>1</v>
      </c>
      <c r="AC32" s="155">
        <v>1</v>
      </c>
      <c r="AD32" s="1">
        <f t="shared" si="11"/>
        <v>0</v>
      </c>
      <c r="AE32" s="1">
        <v>1</v>
      </c>
      <c r="AF32" s="109" t="s">
        <v>8982</v>
      </c>
      <c r="AG32" s="1">
        <v>0.222</v>
      </c>
      <c r="AH32" s="812" t="s">
        <v>27668</v>
      </c>
      <c r="AI32" s="193">
        <v>1</v>
      </c>
    </row>
    <row r="33" spans="1:36" ht="18" customHeight="1" x14ac:dyDescent="0.2">
      <c r="A33" s="193">
        <f>D33</f>
        <v>0</v>
      </c>
      <c r="B33" s="653" t="s">
        <v>29467</v>
      </c>
      <c r="C33" s="1694" t="s">
        <v>29529</v>
      </c>
      <c r="D33" s="815">
        <f>IF('Berechnung &amp; Tabellen'!$F$159=1,C1*(('Berechnung &amp; Tabellen'!$F$157*2)+'Berechnung &amp; Tabellen'!$E$157),0)</f>
        <v>0</v>
      </c>
      <c r="E33" s="1">
        <f>IF('Berechnung &amp; Tabellen'!$D$44=1,292.5,277.5)</f>
        <v>292.5</v>
      </c>
      <c r="F33" s="1">
        <v>550</v>
      </c>
      <c r="G33" s="118">
        <v>3</v>
      </c>
      <c r="H33" s="2464">
        <f>E33*F33/1000/1000</f>
        <v>0.16087499999999999</v>
      </c>
      <c r="I33" s="2464"/>
      <c r="J33" s="2465">
        <f>G33*7.85*H33</f>
        <v>3.7886062499999995</v>
      </c>
      <c r="K33" s="2465">
        <f>D33*J33</f>
        <v>0</v>
      </c>
      <c r="L33" s="166" t="s">
        <v>53</v>
      </c>
      <c r="M33" s="1" t="s">
        <v>28403</v>
      </c>
      <c r="N33" s="116"/>
      <c r="O33" s="116"/>
      <c r="P33" s="116"/>
      <c r="Q33" s="1129"/>
      <c r="R33" s="2501" t="str">
        <f t="shared" si="13"/>
        <v>0338373</v>
      </c>
      <c r="S33" s="2502">
        <f t="shared" si="13"/>
        <v>0</v>
      </c>
      <c r="T33" s="2503" t="s">
        <v>53</v>
      </c>
      <c r="V33" s="1">
        <v>1</v>
      </c>
      <c r="Y33" s="1">
        <v>1</v>
      </c>
      <c r="AC33" s="155">
        <v>1</v>
      </c>
      <c r="AD33" s="1">
        <f t="shared" si="11"/>
        <v>0</v>
      </c>
      <c r="AE33" s="1">
        <v>1</v>
      </c>
      <c r="AF33" s="682" t="s">
        <v>9136</v>
      </c>
      <c r="AG33" s="1">
        <v>0.222</v>
      </c>
      <c r="AH33" s="812" t="s">
        <v>27667</v>
      </c>
    </row>
    <row r="34" spans="1:36" s="1091" customFormat="1" ht="18" customHeight="1" x14ac:dyDescent="0.2">
      <c r="A34" s="1308">
        <f>IF(SUM(A30:A33)&gt;0,VLOOKUP(SUM(A30:A33),A30:C33,1,FALSE),0)</f>
        <v>1</v>
      </c>
      <c r="B34" s="1097" t="str">
        <f>IF(SUM(A30:A33)&gt;0,VLOOKUP(SUM(A30:A33),A30:C33,2,FALSE),0)</f>
        <v>Gurtanbindung Andockprofil GCC vertikal verzinkt</v>
      </c>
      <c r="C34" s="1088" t="str">
        <f>IF(SUM(A30:A33)&gt;0,VLOOKUP(SUM(A30:A33),A30:C33,3,FALSE),0)</f>
        <v>0308132</v>
      </c>
      <c r="D34" s="1089"/>
      <c r="E34" s="1088">
        <f>IF(SUM(A30:A33)&gt;0,VLOOKUP(SUM(A30:A33),A30:F33,5,FALSE),0)</f>
        <v>292.5</v>
      </c>
      <c r="F34" s="1088">
        <f>IF(SUM(A30:A33)&gt;0,VLOOKUP(SUM(A30:A33),A30:F33,6,FALSE),0)</f>
        <v>390</v>
      </c>
      <c r="G34" s="1092"/>
      <c r="H34" s="2467"/>
      <c r="I34" s="2467"/>
      <c r="J34" s="2468"/>
      <c r="K34" s="2468"/>
      <c r="L34" s="1090"/>
      <c r="M34" s="1090"/>
      <c r="N34" s="1093"/>
      <c r="O34" s="1093"/>
      <c r="P34" s="1093"/>
      <c r="Q34" s="2453"/>
      <c r="R34" s="2505" t="str">
        <f t="shared" ref="R34:R54" si="14">C34</f>
        <v>0308132</v>
      </c>
      <c r="S34" s="2506"/>
      <c r="T34" s="2506"/>
      <c r="V34" s="1090"/>
      <c r="Y34" s="1090"/>
      <c r="AD34" s="1090"/>
      <c r="AE34" s="1090"/>
      <c r="AF34" s="1094"/>
      <c r="AG34" s="1090"/>
      <c r="AH34" s="1095"/>
      <c r="AI34" s="1571"/>
      <c r="AJ34" s="1090"/>
    </row>
    <row r="35" spans="1:36" ht="18" customHeight="1" x14ac:dyDescent="0.2">
      <c r="A35" s="193">
        <f t="shared" si="12"/>
        <v>1</v>
      </c>
      <c r="B35" s="1096" t="s">
        <v>27677</v>
      </c>
      <c r="C35" s="665" t="s">
        <v>822</v>
      </c>
      <c r="D35" s="815">
        <f>C2*'Berechnung &amp; Tabellen'!$E$157*('Berechnung &amp; Tabellen'!$F$180+'Berechnung &amp; Tabellen'!$F$181)</f>
        <v>1</v>
      </c>
      <c r="E35" s="1">
        <v>281</v>
      </c>
      <c r="F35" s="1">
        <v>362</v>
      </c>
      <c r="G35" s="118">
        <v>5</v>
      </c>
      <c r="H35" s="2464">
        <f t="shared" si="8"/>
        <v>0.10172199999999999</v>
      </c>
      <c r="I35" s="2464"/>
      <c r="J35" s="2465">
        <f t="shared" si="9"/>
        <v>3.9925884999999997</v>
      </c>
      <c r="K35" s="2465">
        <f t="shared" si="10"/>
        <v>3.9925884999999997</v>
      </c>
      <c r="L35" s="166" t="s">
        <v>53</v>
      </c>
      <c r="M35" s="1" t="s">
        <v>28402</v>
      </c>
      <c r="N35" s="116"/>
      <c r="O35" s="116"/>
      <c r="P35" s="116"/>
      <c r="Q35" s="1129"/>
      <c r="R35" s="2501" t="str">
        <f t="shared" si="14"/>
        <v>0308066</v>
      </c>
      <c r="S35" s="2502">
        <f t="shared" ref="S35:S42" si="15">D35</f>
        <v>1</v>
      </c>
      <c r="T35" s="2503" t="s">
        <v>53</v>
      </c>
      <c r="V35" s="1">
        <f t="shared" ref="V35:V42" si="16">$X$2</f>
        <v>1</v>
      </c>
      <c r="AC35" s="155">
        <v>1</v>
      </c>
      <c r="AD35" s="1">
        <f t="shared" ref="AD35:AD42" si="17">K35*AC35</f>
        <v>3.9925884999999997</v>
      </c>
      <c r="AE35" s="1">
        <v>1</v>
      </c>
      <c r="AI35" s="193">
        <v>1</v>
      </c>
    </row>
    <row r="36" spans="1:36" ht="18" customHeight="1" x14ac:dyDescent="0.2">
      <c r="A36" s="193">
        <f t="shared" si="12"/>
        <v>0</v>
      </c>
      <c r="B36" s="653" t="s">
        <v>27678</v>
      </c>
      <c r="C36" s="665" t="s">
        <v>28159</v>
      </c>
      <c r="D36" s="815">
        <f>C1*'Berechnung &amp; Tabellen'!$E$157*('Berechnung &amp; Tabellen'!$F$180+'Berechnung &amp; Tabellen'!$F$181)</f>
        <v>0</v>
      </c>
      <c r="E36" s="1">
        <v>281</v>
      </c>
      <c r="F36" s="1">
        <v>362</v>
      </c>
      <c r="G36" s="118">
        <v>5</v>
      </c>
      <c r="H36" s="2464">
        <f t="shared" ref="H36:H42" si="18">E36*F36/1000/1000</f>
        <v>0.10172199999999999</v>
      </c>
      <c r="I36" s="2464"/>
      <c r="J36" s="2465">
        <f t="shared" ref="J36:J42" si="19">G36*7.85*H36</f>
        <v>3.9925884999999997</v>
      </c>
      <c r="K36" s="2465">
        <f t="shared" ref="K36:K42" si="20">D36*J36</f>
        <v>0</v>
      </c>
      <c r="L36" s="166" t="s">
        <v>53</v>
      </c>
      <c r="M36" s="1" t="s">
        <v>28403</v>
      </c>
      <c r="N36" s="116"/>
      <c r="O36" s="116"/>
      <c r="P36" s="116"/>
      <c r="Q36" s="1129"/>
      <c r="R36" s="2501" t="str">
        <f t="shared" si="14"/>
        <v>0338066</v>
      </c>
      <c r="S36" s="2502">
        <f t="shared" si="15"/>
        <v>0</v>
      </c>
      <c r="T36" s="2503" t="s">
        <v>53</v>
      </c>
      <c r="V36" s="1">
        <f t="shared" si="16"/>
        <v>1</v>
      </c>
      <c r="AC36" s="155">
        <v>1</v>
      </c>
      <c r="AD36" s="1">
        <f t="shared" si="17"/>
        <v>0</v>
      </c>
      <c r="AE36" s="1">
        <v>1</v>
      </c>
    </row>
    <row r="37" spans="1:36" ht="18" customHeight="1" x14ac:dyDescent="0.2">
      <c r="A37" s="193">
        <f t="shared" si="12"/>
        <v>0</v>
      </c>
      <c r="B37" s="653" t="s">
        <v>27679</v>
      </c>
      <c r="C37" s="665" t="s">
        <v>28160</v>
      </c>
      <c r="D37" s="815">
        <f>IF(AND(C2=1,'Berechnung &amp; Tabellen'!$F$180+'Berechnung &amp; Tabellen'!$F$181=1,'Berechnung &amp; Tabellen'!$F$186=1),2,0)</f>
        <v>0</v>
      </c>
      <c r="E37" s="1">
        <v>281</v>
      </c>
      <c r="F37" s="1">
        <v>362</v>
      </c>
      <c r="G37" s="118">
        <v>5</v>
      </c>
      <c r="H37" s="2464">
        <f t="shared" si="18"/>
        <v>0.10172199999999999</v>
      </c>
      <c r="I37" s="2464"/>
      <c r="J37" s="2465">
        <f t="shared" si="19"/>
        <v>3.9925884999999997</v>
      </c>
      <c r="K37" s="2465">
        <f t="shared" si="20"/>
        <v>0</v>
      </c>
      <c r="L37" s="166" t="s">
        <v>53</v>
      </c>
      <c r="M37" s="1" t="s">
        <v>28402</v>
      </c>
      <c r="N37" s="116"/>
      <c r="O37" s="116"/>
      <c r="P37" s="116"/>
      <c r="Q37" s="1129"/>
      <c r="R37" s="2501" t="str">
        <f t="shared" si="14"/>
        <v>0308261</v>
      </c>
      <c r="S37" s="2502">
        <f t="shared" si="15"/>
        <v>0</v>
      </c>
      <c r="T37" s="2503" t="s">
        <v>53</v>
      </c>
      <c r="V37" s="1">
        <f t="shared" si="16"/>
        <v>1</v>
      </c>
      <c r="AC37" s="155">
        <v>1</v>
      </c>
      <c r="AD37" s="1">
        <f t="shared" si="17"/>
        <v>0</v>
      </c>
      <c r="AE37" s="1">
        <v>1</v>
      </c>
      <c r="AF37" s="109" t="s">
        <v>822</v>
      </c>
      <c r="AG37" s="1">
        <v>1</v>
      </c>
      <c r="AI37" s="193">
        <v>1</v>
      </c>
    </row>
    <row r="38" spans="1:36" ht="18" customHeight="1" x14ac:dyDescent="0.2">
      <c r="A38" s="193">
        <f t="shared" si="12"/>
        <v>0</v>
      </c>
      <c r="B38" s="653" t="s">
        <v>27680</v>
      </c>
      <c r="C38" s="665" t="s">
        <v>28161</v>
      </c>
      <c r="D38" s="815">
        <f>IF(AND(C1=1,'Berechnung &amp; Tabellen'!$F$180+'Berechnung &amp; Tabellen'!$F$181=1,'Berechnung &amp; Tabellen'!$F$186=1),2,0)</f>
        <v>0</v>
      </c>
      <c r="E38" s="1">
        <v>281</v>
      </c>
      <c r="F38" s="1">
        <v>362</v>
      </c>
      <c r="G38" s="118">
        <v>5</v>
      </c>
      <c r="H38" s="2464">
        <f t="shared" si="18"/>
        <v>0.10172199999999999</v>
      </c>
      <c r="I38" s="2464"/>
      <c r="J38" s="2465">
        <f t="shared" si="19"/>
        <v>3.9925884999999997</v>
      </c>
      <c r="K38" s="2465">
        <f t="shared" si="20"/>
        <v>0</v>
      </c>
      <c r="L38" s="166" t="s">
        <v>53</v>
      </c>
      <c r="M38" s="1" t="s">
        <v>28403</v>
      </c>
      <c r="N38" s="116"/>
      <c r="O38" s="116"/>
      <c r="P38" s="116"/>
      <c r="Q38" s="1129"/>
      <c r="R38" s="2501" t="str">
        <f t="shared" si="14"/>
        <v>0338261</v>
      </c>
      <c r="S38" s="2502">
        <f t="shared" si="15"/>
        <v>0</v>
      </c>
      <c r="T38" s="2503" t="s">
        <v>53</v>
      </c>
      <c r="V38" s="1">
        <f t="shared" si="16"/>
        <v>1</v>
      </c>
      <c r="AC38" s="155">
        <v>1</v>
      </c>
      <c r="AD38" s="1">
        <f t="shared" si="17"/>
        <v>0</v>
      </c>
      <c r="AE38" s="1">
        <v>1</v>
      </c>
      <c r="AF38" s="109" t="s">
        <v>822</v>
      </c>
      <c r="AG38" s="1">
        <v>1</v>
      </c>
    </row>
    <row r="39" spans="1:36" ht="18" customHeight="1" x14ac:dyDescent="0.2">
      <c r="A39" s="193">
        <f t="shared" si="12"/>
        <v>0</v>
      </c>
      <c r="B39" s="653" t="s">
        <v>27681</v>
      </c>
      <c r="C39" s="665" t="s">
        <v>7190</v>
      </c>
      <c r="D39" s="814">
        <f>IF(AND($C$2=1,'Berechnung &amp; Tabellen'!$F$182=1,'Berechnung &amp; Tabellen'!$F$186=1),2,0)</f>
        <v>0</v>
      </c>
      <c r="E39" s="1">
        <v>281</v>
      </c>
      <c r="F39" s="1">
        <v>362</v>
      </c>
      <c r="G39" s="118">
        <v>5</v>
      </c>
      <c r="H39" s="2464">
        <f t="shared" si="18"/>
        <v>0.10172199999999999</v>
      </c>
      <c r="I39" s="2464"/>
      <c r="J39" s="2465">
        <f t="shared" si="19"/>
        <v>3.9925884999999997</v>
      </c>
      <c r="K39" s="2465">
        <f t="shared" si="20"/>
        <v>0</v>
      </c>
      <c r="L39" s="166" t="s">
        <v>53</v>
      </c>
      <c r="M39" s="1" t="s">
        <v>28402</v>
      </c>
      <c r="N39" s="116"/>
      <c r="O39" s="116"/>
      <c r="P39" s="116"/>
      <c r="Q39" s="1129"/>
      <c r="R39" s="2501" t="str">
        <f t="shared" si="14"/>
        <v>0308103</v>
      </c>
      <c r="S39" s="2502">
        <f t="shared" si="15"/>
        <v>0</v>
      </c>
      <c r="T39" s="2503" t="s">
        <v>53</v>
      </c>
      <c r="V39" s="1">
        <f t="shared" si="16"/>
        <v>1</v>
      </c>
      <c r="AC39" s="155">
        <v>1</v>
      </c>
      <c r="AD39" s="1">
        <f t="shared" si="17"/>
        <v>0</v>
      </c>
      <c r="AE39" s="1">
        <v>1</v>
      </c>
      <c r="AF39" s="109" t="s">
        <v>822</v>
      </c>
      <c r="AG39" s="1">
        <v>1</v>
      </c>
      <c r="AI39" s="193">
        <v>1</v>
      </c>
    </row>
    <row r="40" spans="1:36" ht="18" customHeight="1" x14ac:dyDescent="0.2">
      <c r="A40" s="193">
        <f t="shared" si="12"/>
        <v>0</v>
      </c>
      <c r="B40" s="653" t="s">
        <v>27682</v>
      </c>
      <c r="C40" s="665" t="s">
        <v>28162</v>
      </c>
      <c r="D40" s="814">
        <f>IF(AND(C1=1,'Berechnung &amp; Tabellen'!$F$182=1,'Berechnung &amp; Tabellen'!$F$186=1),2,0)</f>
        <v>0</v>
      </c>
      <c r="E40" s="1">
        <v>281</v>
      </c>
      <c r="F40" s="1">
        <v>362</v>
      </c>
      <c r="G40" s="118">
        <v>5</v>
      </c>
      <c r="H40" s="2464">
        <f t="shared" si="18"/>
        <v>0.10172199999999999</v>
      </c>
      <c r="I40" s="2464"/>
      <c r="J40" s="2465">
        <f t="shared" si="19"/>
        <v>3.9925884999999997</v>
      </c>
      <c r="K40" s="2465">
        <f t="shared" si="20"/>
        <v>0</v>
      </c>
      <c r="L40" s="166" t="s">
        <v>53</v>
      </c>
      <c r="M40" s="1" t="s">
        <v>28403</v>
      </c>
      <c r="N40" s="116"/>
      <c r="O40" s="116"/>
      <c r="P40" s="116"/>
      <c r="Q40" s="1129"/>
      <c r="R40" s="2501" t="str">
        <f t="shared" si="14"/>
        <v>0338103</v>
      </c>
      <c r="S40" s="2502">
        <f t="shared" si="15"/>
        <v>0</v>
      </c>
      <c r="T40" s="2503" t="s">
        <v>53</v>
      </c>
      <c r="V40" s="1">
        <f t="shared" si="16"/>
        <v>1</v>
      </c>
      <c r="AC40" s="155">
        <v>1</v>
      </c>
      <c r="AD40" s="1">
        <f t="shared" si="17"/>
        <v>0</v>
      </c>
      <c r="AE40" s="1">
        <v>1</v>
      </c>
      <c r="AF40" s="109" t="s">
        <v>822</v>
      </c>
      <c r="AG40" s="1">
        <v>1</v>
      </c>
    </row>
    <row r="41" spans="1:36" ht="18" customHeight="1" x14ac:dyDescent="0.2">
      <c r="A41" s="193">
        <f>D41</f>
        <v>0</v>
      </c>
      <c r="B41" s="653" t="s">
        <v>29470</v>
      </c>
      <c r="C41" s="665" t="s">
        <v>29471</v>
      </c>
      <c r="D41" s="814">
        <f>IF(AND($C$2=1,'Berechnung &amp; Tabellen'!$F$183=1,'Berechnung &amp; Tabellen'!$F$186=1),2,0)</f>
        <v>0</v>
      </c>
      <c r="E41" s="1">
        <v>281</v>
      </c>
      <c r="F41" s="1">
        <v>362</v>
      </c>
      <c r="G41" s="118">
        <v>5</v>
      </c>
      <c r="H41" s="2464">
        <f t="shared" si="18"/>
        <v>0.10172199999999999</v>
      </c>
      <c r="I41" s="2464"/>
      <c r="J41" s="2465">
        <f t="shared" si="19"/>
        <v>3.9925884999999997</v>
      </c>
      <c r="K41" s="2465">
        <f t="shared" si="20"/>
        <v>0</v>
      </c>
      <c r="L41" s="166" t="s">
        <v>53</v>
      </c>
      <c r="M41" s="1" t="s">
        <v>28402</v>
      </c>
      <c r="N41" s="116"/>
      <c r="O41" s="116"/>
      <c r="P41" s="116"/>
      <c r="Q41" s="1129"/>
      <c r="R41" s="2501" t="str">
        <f t="shared" si="14"/>
        <v>0308378</v>
      </c>
      <c r="S41" s="2502">
        <f t="shared" si="15"/>
        <v>0</v>
      </c>
      <c r="T41" s="2503" t="s">
        <v>53</v>
      </c>
      <c r="V41" s="1">
        <f t="shared" si="16"/>
        <v>1</v>
      </c>
      <c r="AC41" s="155">
        <v>1</v>
      </c>
      <c r="AD41" s="1">
        <f t="shared" si="17"/>
        <v>0</v>
      </c>
      <c r="AE41" s="1">
        <v>1</v>
      </c>
      <c r="AF41" s="109" t="s">
        <v>822</v>
      </c>
      <c r="AG41" s="1">
        <v>1</v>
      </c>
      <c r="AI41" s="193">
        <v>1</v>
      </c>
    </row>
    <row r="42" spans="1:36" ht="18" customHeight="1" x14ac:dyDescent="0.2">
      <c r="A42" s="193">
        <f>D42</f>
        <v>0</v>
      </c>
      <c r="B42" s="653" t="s">
        <v>29472</v>
      </c>
      <c r="C42" s="665" t="s">
        <v>29530</v>
      </c>
      <c r="D42" s="814">
        <f>IF(AND($C$1=1,'Berechnung &amp; Tabellen'!$F$183=1,'Berechnung &amp; Tabellen'!$F$186=1),2,0)</f>
        <v>0</v>
      </c>
      <c r="E42" s="1">
        <v>281</v>
      </c>
      <c r="F42" s="1">
        <v>362</v>
      </c>
      <c r="G42" s="118">
        <v>5</v>
      </c>
      <c r="H42" s="2464">
        <f t="shared" si="18"/>
        <v>0.10172199999999999</v>
      </c>
      <c r="I42" s="2464"/>
      <c r="J42" s="2465">
        <f t="shared" si="19"/>
        <v>3.9925884999999997</v>
      </c>
      <c r="K42" s="2465">
        <f t="shared" si="20"/>
        <v>0</v>
      </c>
      <c r="L42" s="166" t="s">
        <v>53</v>
      </c>
      <c r="M42" s="1" t="s">
        <v>28403</v>
      </c>
      <c r="N42" s="116"/>
      <c r="O42" s="116"/>
      <c r="P42" s="116"/>
      <c r="Q42" s="1129"/>
      <c r="R42" s="2501" t="str">
        <f t="shared" si="14"/>
        <v>0338378</v>
      </c>
      <c r="S42" s="2502">
        <f t="shared" si="15"/>
        <v>0</v>
      </c>
      <c r="T42" s="2503" t="s">
        <v>53</v>
      </c>
      <c r="V42" s="1">
        <f t="shared" si="16"/>
        <v>1</v>
      </c>
      <c r="AC42" s="155">
        <v>1</v>
      </c>
      <c r="AD42" s="1">
        <f t="shared" si="17"/>
        <v>0</v>
      </c>
      <c r="AE42" s="1">
        <v>1</v>
      </c>
      <c r="AF42" s="109" t="s">
        <v>822</v>
      </c>
      <c r="AG42" s="1">
        <v>1</v>
      </c>
    </row>
    <row r="43" spans="1:36" s="1091" customFormat="1" ht="18" customHeight="1" x14ac:dyDescent="0.2">
      <c r="A43" s="1308">
        <f>IF(SUM(A35:A42)&gt;0,VLOOKUP(SUM(A35:A42),A35:C42,1,FALSE),0)</f>
        <v>1</v>
      </c>
      <c r="B43" s="1097" t="str">
        <f>IF(SUM(A35:A42)&gt;0,VLOOKUP(SUM(A35:A42),A35:C42,2,FALSE),0)</f>
        <v>GCC vertikal Gurtanbindung 2x  35mm Gurt verzinkt</v>
      </c>
      <c r="C43" s="1088" t="str">
        <f>IF(SUM(A35:A42)&gt;0,VLOOKUP(SUM(A35:A42),A35:C42,3,FALSE),0)</f>
        <v>0308066</v>
      </c>
      <c r="D43" s="1089"/>
      <c r="E43" s="1090"/>
      <c r="F43" s="1090"/>
      <c r="G43" s="1092"/>
      <c r="H43" s="2467"/>
      <c r="I43" s="2467"/>
      <c r="J43" s="2468"/>
      <c r="K43" s="2468"/>
      <c r="L43" s="1090"/>
      <c r="M43" s="1090"/>
      <c r="N43" s="1093"/>
      <c r="O43" s="1093"/>
      <c r="P43" s="1093"/>
      <c r="Q43" s="2453"/>
      <c r="R43" s="2505" t="str">
        <f t="shared" si="14"/>
        <v>0308066</v>
      </c>
      <c r="S43" s="2506"/>
      <c r="T43" s="2506"/>
      <c r="V43" s="1090"/>
      <c r="Y43" s="1090"/>
      <c r="AD43" s="1090"/>
      <c r="AE43" s="1090"/>
      <c r="AF43" s="1094"/>
      <c r="AG43" s="1090"/>
      <c r="AH43" s="1095"/>
      <c r="AI43" s="1571"/>
      <c r="AJ43" s="1090"/>
    </row>
    <row r="44" spans="1:36" ht="18" customHeight="1" x14ac:dyDescent="0.2">
      <c r="A44" s="193">
        <f>D44</f>
        <v>0</v>
      </c>
      <c r="B44" s="653" t="s">
        <v>27683</v>
      </c>
      <c r="C44" s="853" t="s">
        <v>27836</v>
      </c>
      <c r="D44" s="815">
        <f>C2*'Berechnung &amp; Tabellen'!J173</f>
        <v>0</v>
      </c>
      <c r="E44" s="117">
        <v>152.5</v>
      </c>
      <c r="F44" s="1">
        <v>250</v>
      </c>
      <c r="G44" s="118">
        <v>3</v>
      </c>
      <c r="H44" s="2464">
        <f t="shared" si="8"/>
        <v>3.8124999999999999E-2</v>
      </c>
      <c r="I44" s="2464"/>
      <c r="J44" s="2465">
        <f t="shared" si="9"/>
        <v>0.89784374999999983</v>
      </c>
      <c r="K44" s="2465">
        <f t="shared" si="10"/>
        <v>0</v>
      </c>
      <c r="L44" s="116" t="s">
        <v>53</v>
      </c>
      <c r="M44" s="1" t="s">
        <v>28402</v>
      </c>
      <c r="N44" s="116"/>
      <c r="O44" s="116"/>
      <c r="P44" s="116"/>
      <c r="Q44" s="1129"/>
      <c r="R44" s="2501" t="str">
        <f t="shared" si="14"/>
        <v>0308136</v>
      </c>
      <c r="S44" s="2502">
        <f>D44</f>
        <v>0</v>
      </c>
      <c r="T44" s="2503" t="s">
        <v>53</v>
      </c>
      <c r="V44" s="1">
        <v>1</v>
      </c>
      <c r="AC44" s="155">
        <v>1</v>
      </c>
      <c r="AD44" s="1">
        <f>K44*AC44</f>
        <v>0</v>
      </c>
      <c r="AE44" s="1">
        <v>1</v>
      </c>
      <c r="AF44" s="109" t="s">
        <v>8982</v>
      </c>
      <c r="AG44" s="1">
        <v>0.222</v>
      </c>
      <c r="AH44" s="812" t="s">
        <v>27668</v>
      </c>
      <c r="AI44" s="193">
        <v>1</v>
      </c>
    </row>
    <row r="45" spans="1:36" ht="18" customHeight="1" x14ac:dyDescent="0.2">
      <c r="A45" s="1307">
        <f>D45</f>
        <v>0</v>
      </c>
      <c r="B45" s="653" t="s">
        <v>27684</v>
      </c>
      <c r="C45" s="853">
        <f>IF($C$1=1,'Berechnung &amp; Tabellen'!$N$45,0)</f>
        <v>0</v>
      </c>
      <c r="D45" s="815">
        <f>C1*'Berechnung &amp; Tabellen'!J173</f>
        <v>0</v>
      </c>
      <c r="E45" s="117">
        <v>152.5</v>
      </c>
      <c r="F45" s="1">
        <v>250</v>
      </c>
      <c r="G45" s="118">
        <v>3</v>
      </c>
      <c r="H45" s="2464">
        <f t="shared" si="8"/>
        <v>3.8124999999999999E-2</v>
      </c>
      <c r="I45" s="2464"/>
      <c r="J45" s="2465">
        <f t="shared" si="9"/>
        <v>0.89784374999999983</v>
      </c>
      <c r="K45" s="2465">
        <f t="shared" si="10"/>
        <v>0</v>
      </c>
      <c r="L45" s="116" t="s">
        <v>53</v>
      </c>
      <c r="M45" s="1" t="s">
        <v>28403</v>
      </c>
      <c r="N45" s="116"/>
      <c r="O45" s="116"/>
      <c r="P45" s="116"/>
      <c r="Q45" s="1129"/>
      <c r="R45" s="2501">
        <f t="shared" si="14"/>
        <v>0</v>
      </c>
      <c r="S45" s="2502">
        <f>D45</f>
        <v>0</v>
      </c>
      <c r="T45" s="2503" t="s">
        <v>53</v>
      </c>
      <c r="V45" s="1">
        <v>1</v>
      </c>
      <c r="Y45" s="1">
        <v>1</v>
      </c>
      <c r="AC45" s="155">
        <v>1</v>
      </c>
      <c r="AD45" s="1">
        <f>K45*AC45</f>
        <v>0</v>
      </c>
      <c r="AF45" s="682" t="s">
        <v>9136</v>
      </c>
      <c r="AG45" s="1">
        <v>0.222</v>
      </c>
      <c r="AH45" s="812" t="s">
        <v>27667</v>
      </c>
    </row>
    <row r="46" spans="1:36" s="1091" customFormat="1" ht="18" customHeight="1" x14ac:dyDescent="0.2">
      <c r="A46" s="1308">
        <f>IF(SUM(A44:A45)&gt;0,VLOOKUP(SUM(A44:A45),A44:C45,1,FALSE),0)</f>
        <v>0</v>
      </c>
      <c r="B46" s="1097">
        <f>IF(SUM(A44:A45)&gt;0,VLOOKUP(SUM(A44:A45),A44:C45,2,FALSE),0)</f>
        <v>0</v>
      </c>
      <c r="C46" s="1088">
        <f>IF(SUM(A44:A45)&gt;0,VLOOKUP(SUM(A44:A45),A44:C45,3,FALSE),0)</f>
        <v>0</v>
      </c>
      <c r="D46" s="1089"/>
      <c r="E46" s="1090"/>
      <c r="F46" s="1090"/>
      <c r="G46" s="1092"/>
      <c r="H46" s="2467"/>
      <c r="I46" s="2467"/>
      <c r="J46" s="2468"/>
      <c r="K46" s="2468"/>
      <c r="L46" s="1090"/>
      <c r="M46" s="1090"/>
      <c r="N46" s="1093"/>
      <c r="O46" s="1093"/>
      <c r="P46" s="1093"/>
      <c r="Q46" s="2453"/>
      <c r="R46" s="2505">
        <f t="shared" si="14"/>
        <v>0</v>
      </c>
      <c r="S46" s="2506"/>
      <c r="T46" s="2506"/>
      <c r="V46" s="1090"/>
      <c r="Y46" s="1090"/>
      <c r="AD46" s="1090"/>
      <c r="AE46" s="1090"/>
      <c r="AF46" s="1094"/>
      <c r="AG46" s="1090"/>
      <c r="AH46" s="1095"/>
      <c r="AI46" s="1571"/>
      <c r="AJ46" s="1090"/>
    </row>
    <row r="47" spans="1:36" ht="18" customHeight="1" x14ac:dyDescent="0.2">
      <c r="A47" s="193">
        <f>D47</f>
        <v>2</v>
      </c>
      <c r="B47" s="653" t="s">
        <v>27685</v>
      </c>
      <c r="C47" s="853" t="str">
        <f>IF($C$2=1,'Berechnung &amp; Tabellen'!$N$46,0)</f>
        <v>0308151</v>
      </c>
      <c r="D47" s="815">
        <f>C2*'Berechnung &amp; Tabellen'!I173</f>
        <v>2</v>
      </c>
      <c r="E47" s="117">
        <v>152.5</v>
      </c>
      <c r="F47" s="1">
        <v>150</v>
      </c>
      <c r="G47" s="118">
        <v>3</v>
      </c>
      <c r="H47" s="2464">
        <f>E47*F47/1000/1000</f>
        <v>2.2875E-2</v>
      </c>
      <c r="I47" s="2464"/>
      <c r="J47" s="2465">
        <f>G47*7.85*H47</f>
        <v>0.53870624999999994</v>
      </c>
      <c r="K47" s="2465">
        <f>D47*J47</f>
        <v>1.0774124999999999</v>
      </c>
      <c r="L47" s="116" t="s">
        <v>53</v>
      </c>
      <c r="M47" s="1" t="s">
        <v>28402</v>
      </c>
      <c r="N47" s="116"/>
      <c r="O47" s="116"/>
      <c r="P47" s="116"/>
      <c r="Q47" s="1129"/>
      <c r="R47" s="2501" t="str">
        <f t="shared" si="14"/>
        <v>0308151</v>
      </c>
      <c r="S47" s="2502">
        <f>D47</f>
        <v>2</v>
      </c>
      <c r="T47" s="2503" t="s">
        <v>53</v>
      </c>
      <c r="V47" s="1">
        <v>1</v>
      </c>
      <c r="AC47" s="155">
        <v>1</v>
      </c>
      <c r="AD47" s="1">
        <f>K47*AC47</f>
        <v>1.0774124999999999</v>
      </c>
      <c r="AE47" s="1">
        <v>1</v>
      </c>
      <c r="AF47" s="109" t="s">
        <v>800</v>
      </c>
      <c r="AG47" s="1">
        <v>1</v>
      </c>
      <c r="AH47" s="812"/>
      <c r="AI47" s="193">
        <v>1</v>
      </c>
    </row>
    <row r="48" spans="1:36" ht="18" customHeight="1" x14ac:dyDescent="0.2">
      <c r="A48" s="1307">
        <f>D48</f>
        <v>0</v>
      </c>
      <c r="B48" s="653" t="s">
        <v>27686</v>
      </c>
      <c r="C48" s="853">
        <f>IF($C$1=1,'Berechnung &amp; Tabellen'!$N$46,0)</f>
        <v>0</v>
      </c>
      <c r="D48" s="815">
        <f>C1*'Berechnung &amp; Tabellen'!I173</f>
        <v>0</v>
      </c>
      <c r="E48" s="117">
        <v>152.5</v>
      </c>
      <c r="F48" s="1">
        <v>150</v>
      </c>
      <c r="G48" s="118">
        <v>3</v>
      </c>
      <c r="H48" s="2464">
        <f>E48*F48/1000/1000</f>
        <v>2.2875E-2</v>
      </c>
      <c r="I48" s="2464"/>
      <c r="J48" s="2465">
        <f>G48*7.85*H48</f>
        <v>0.53870624999999994</v>
      </c>
      <c r="K48" s="2465">
        <f>D48*J48</f>
        <v>0</v>
      </c>
      <c r="L48" s="116" t="s">
        <v>53</v>
      </c>
      <c r="M48" s="1" t="s">
        <v>28403</v>
      </c>
      <c r="N48" s="116"/>
      <c r="O48" s="116"/>
      <c r="P48" s="116"/>
      <c r="Q48" s="1129"/>
      <c r="R48" s="2501">
        <f t="shared" si="14"/>
        <v>0</v>
      </c>
      <c r="S48" s="2502">
        <f>D48</f>
        <v>0</v>
      </c>
      <c r="T48" s="2503" t="s">
        <v>53</v>
      </c>
      <c r="V48" s="1">
        <v>1</v>
      </c>
      <c r="Y48" s="1">
        <v>1</v>
      </c>
      <c r="AC48" s="155">
        <v>1</v>
      </c>
      <c r="AD48" s="1">
        <f>K48*AC48</f>
        <v>0</v>
      </c>
      <c r="AF48" s="682" t="s">
        <v>9136</v>
      </c>
      <c r="AG48" s="1">
        <v>0.222</v>
      </c>
      <c r="AH48" s="812" t="s">
        <v>27667</v>
      </c>
    </row>
    <row r="49" spans="1:36" s="1091" customFormat="1" ht="18" customHeight="1" x14ac:dyDescent="0.2">
      <c r="A49" s="1308">
        <f>IF(SUM(A47:A48)&gt;0,VLOOKUP(SUM(A47:A48),A47:C48,1,FALSE),0)</f>
        <v>2</v>
      </c>
      <c r="B49" s="1097" t="str">
        <f>IF(SUM(A47:A48)&gt;0,VLOOKUP(SUM(A47:A48),A47:C48,2,FALSE),0)</f>
        <v>GCC vertikal Verkrallungsprofil Schieber 150mm verzinkt</v>
      </c>
      <c r="C49" s="1088" t="str">
        <f>IF(SUM(A47:A48)&gt;0,VLOOKUP(SUM(A47:A48),A47:C48,3,FALSE),0)</f>
        <v>0308151</v>
      </c>
      <c r="D49" s="1089"/>
      <c r="E49" s="1090"/>
      <c r="F49" s="1090"/>
      <c r="G49" s="1092"/>
      <c r="H49" s="2467"/>
      <c r="I49" s="2467"/>
      <c r="J49" s="2468"/>
      <c r="K49" s="2468"/>
      <c r="L49" s="1090"/>
      <c r="M49" s="1090"/>
      <c r="N49" s="1093"/>
      <c r="O49" s="1093"/>
      <c r="P49" s="1093"/>
      <c r="Q49" s="2453"/>
      <c r="R49" s="2505" t="str">
        <f t="shared" si="14"/>
        <v>0308151</v>
      </c>
      <c r="S49" s="2506"/>
      <c r="T49" s="2506"/>
      <c r="V49" s="1090"/>
      <c r="Y49" s="1090"/>
      <c r="AD49" s="1090"/>
      <c r="AE49" s="1090"/>
      <c r="AF49" s="1094"/>
      <c r="AG49" s="1090"/>
      <c r="AH49" s="1095"/>
      <c r="AI49" s="1571"/>
      <c r="AJ49" s="1090"/>
    </row>
    <row r="50" spans="1:36" ht="18" customHeight="1" x14ac:dyDescent="0.2">
      <c r="B50" s="2" t="s">
        <v>278</v>
      </c>
      <c r="C50" s="665"/>
      <c r="D50" s="814">
        <f>IF(AND(D65&gt;0,G2&gt;1149),ROUNDUP((G2-1149)/500,0),0)</f>
        <v>0</v>
      </c>
      <c r="E50" s="116">
        <f>E51+E52</f>
        <v>1080</v>
      </c>
      <c r="F50" s="116">
        <f>F53</f>
        <v>500</v>
      </c>
      <c r="H50" s="2464"/>
      <c r="I50" s="2464"/>
      <c r="J50" s="2465"/>
      <c r="K50" s="2465"/>
      <c r="Q50" s="36"/>
      <c r="R50" s="2504">
        <f t="shared" si="14"/>
        <v>0</v>
      </c>
      <c r="S50" s="2493"/>
      <c r="T50" s="2493"/>
    </row>
    <row r="51" spans="1:36" ht="18" customHeight="1" x14ac:dyDescent="0.2">
      <c r="B51" s="334" t="s">
        <v>29615</v>
      </c>
      <c r="C51" s="665" t="s">
        <v>832</v>
      </c>
      <c r="D51" s="814">
        <f>D50*2</f>
        <v>0</v>
      </c>
      <c r="E51" s="116">
        <f>IF($G$1&lt;2491,$G$1,0)+IF(AND($G$1&gt;2490,$G$1&lt;2791),$G$1-300,0)+IF(AND($G$1&gt;2790),2490,0)</f>
        <v>1080</v>
      </c>
      <c r="F51" s="116">
        <v>500</v>
      </c>
      <c r="G51" s="118">
        <v>6</v>
      </c>
      <c r="H51" s="2464">
        <f t="shared" ref="H51:H95" si="21">E51*F51/1000/1000</f>
        <v>0.54</v>
      </c>
      <c r="I51" s="2464"/>
      <c r="J51" s="2465">
        <f>10.5*H51</f>
        <v>5.67</v>
      </c>
      <c r="K51" s="2465">
        <f t="shared" ref="K51:K56" si="22">D51*J51</f>
        <v>0</v>
      </c>
      <c r="L51" s="1" t="s">
        <v>28399</v>
      </c>
      <c r="N51" s="117" t="s">
        <v>304</v>
      </c>
      <c r="O51" s="117">
        <v>7</v>
      </c>
      <c r="P51" s="109" t="s">
        <v>28877</v>
      </c>
      <c r="Q51" s="2452"/>
      <c r="R51" s="2494" t="str">
        <f t="shared" si="14"/>
        <v>0202003</v>
      </c>
      <c r="S51" s="2495">
        <f t="shared" ref="S51:S56" si="23">D51*(E51/1000)*(F51/1000)</f>
        <v>0</v>
      </c>
      <c r="T51" s="2496" t="s">
        <v>28181</v>
      </c>
      <c r="V51" s="1">
        <v>1</v>
      </c>
      <c r="AC51" s="155">
        <v>1</v>
      </c>
      <c r="AD51" s="1">
        <f t="shared" ref="AD51:AD56" si="24">K51*AC51</f>
        <v>0</v>
      </c>
      <c r="AE51" s="1">
        <v>1</v>
      </c>
    </row>
    <row r="52" spans="1:36" ht="18" customHeight="1" x14ac:dyDescent="0.2">
      <c r="B52" s="334" t="s">
        <v>29615</v>
      </c>
      <c r="C52" s="665" t="s">
        <v>832</v>
      </c>
      <c r="D52" s="814">
        <f>IF(E52&gt;0,D51,0)</f>
        <v>0</v>
      </c>
      <c r="E52" s="116">
        <f>IF(E51&lt;$G$1,$G$1-E51,0)</f>
        <v>0</v>
      </c>
      <c r="F52" s="116">
        <v>500</v>
      </c>
      <c r="G52" s="118">
        <v>6</v>
      </c>
      <c r="H52" s="2464">
        <f>E52*F52/1000/1000</f>
        <v>0</v>
      </c>
      <c r="I52" s="2464"/>
      <c r="J52" s="2465">
        <f>10.5*H52</f>
        <v>0</v>
      </c>
      <c r="K52" s="2465">
        <f t="shared" si="22"/>
        <v>0</v>
      </c>
      <c r="L52" s="1" t="s">
        <v>28399</v>
      </c>
      <c r="N52" s="117" t="s">
        <v>304</v>
      </c>
      <c r="O52" s="117">
        <v>8</v>
      </c>
      <c r="P52" s="109" t="s">
        <v>28877</v>
      </c>
      <c r="Q52" s="2452"/>
      <c r="R52" s="2494" t="str">
        <f t="shared" si="14"/>
        <v>0202003</v>
      </c>
      <c r="S52" s="2495">
        <f t="shared" si="23"/>
        <v>0</v>
      </c>
      <c r="T52" s="2496" t="s">
        <v>28181</v>
      </c>
      <c r="V52" s="1">
        <v>1</v>
      </c>
      <c r="AC52" s="155">
        <v>1</v>
      </c>
      <c r="AD52" s="1">
        <f t="shared" si="24"/>
        <v>0</v>
      </c>
      <c r="AE52" s="1">
        <v>1</v>
      </c>
    </row>
    <row r="53" spans="1:36" ht="18" customHeight="1" x14ac:dyDescent="0.2">
      <c r="B53" s="334" t="s">
        <v>29616</v>
      </c>
      <c r="C53" s="665" t="s">
        <v>29522</v>
      </c>
      <c r="D53" s="814">
        <f>D50*2</f>
        <v>0</v>
      </c>
      <c r="E53" s="116">
        <f>IF($G$1&lt;2491,$G$1,0)+IF(AND($G$1&gt;2490,$G$1&lt;2791),$G$1-300,0)+IF(AND($G$1&gt;2790),2490,0)</f>
        <v>1080</v>
      </c>
      <c r="F53" s="116">
        <v>500</v>
      </c>
      <c r="G53" s="118">
        <v>18</v>
      </c>
      <c r="H53" s="2464">
        <f t="shared" si="21"/>
        <v>0.54</v>
      </c>
      <c r="I53" s="2464"/>
      <c r="J53" s="2465">
        <f>10.3*H53</f>
        <v>5.5620000000000012</v>
      </c>
      <c r="K53" s="2465">
        <f t="shared" si="22"/>
        <v>0</v>
      </c>
      <c r="L53" s="1" t="s">
        <v>28399</v>
      </c>
      <c r="N53" s="117" t="s">
        <v>307</v>
      </c>
      <c r="O53" s="117">
        <v>9</v>
      </c>
      <c r="P53" s="109" t="s">
        <v>28877</v>
      </c>
      <c r="Q53" s="2452"/>
      <c r="R53" s="2494" t="str">
        <f t="shared" si="14"/>
        <v>0202018</v>
      </c>
      <c r="S53" s="2495">
        <f t="shared" si="23"/>
        <v>0</v>
      </c>
      <c r="T53" s="2496" t="s">
        <v>28181</v>
      </c>
      <c r="V53" s="1">
        <v>1</v>
      </c>
      <c r="AC53" s="155">
        <v>1</v>
      </c>
      <c r="AD53" s="1">
        <f t="shared" si="24"/>
        <v>0</v>
      </c>
      <c r="AE53" s="1">
        <v>1</v>
      </c>
    </row>
    <row r="54" spans="1:36" ht="18" customHeight="1" x14ac:dyDescent="0.2">
      <c r="B54" s="334" t="s">
        <v>29616</v>
      </c>
      <c r="C54" s="665" t="s">
        <v>29522</v>
      </c>
      <c r="D54" s="814">
        <f>IF(E54&gt;0,D53,0)</f>
        <v>0</v>
      </c>
      <c r="E54" s="116">
        <f>IF(E53&lt;$G$1,$G$1-E53,0)</f>
        <v>0</v>
      </c>
      <c r="F54" s="116">
        <v>500</v>
      </c>
      <c r="G54" s="118">
        <v>18</v>
      </c>
      <c r="H54" s="2464">
        <f>E54*F54/1000/1000</f>
        <v>0</v>
      </c>
      <c r="I54" s="2464"/>
      <c r="J54" s="2465">
        <f>10.3*H54</f>
        <v>0</v>
      </c>
      <c r="K54" s="2465">
        <f t="shared" si="22"/>
        <v>0</v>
      </c>
      <c r="L54" s="1" t="s">
        <v>28399</v>
      </c>
      <c r="N54" s="117" t="s">
        <v>307</v>
      </c>
      <c r="O54" s="117">
        <v>10</v>
      </c>
      <c r="P54" s="109" t="s">
        <v>28877</v>
      </c>
      <c r="Q54" s="2452"/>
      <c r="R54" s="2494" t="str">
        <f t="shared" si="14"/>
        <v>0202018</v>
      </c>
      <c r="S54" s="2495">
        <f t="shared" si="23"/>
        <v>0</v>
      </c>
      <c r="T54" s="2496" t="s">
        <v>28181</v>
      </c>
      <c r="V54" s="1">
        <v>1</v>
      </c>
      <c r="AC54" s="155">
        <v>1</v>
      </c>
      <c r="AD54" s="1">
        <f t="shared" si="24"/>
        <v>0</v>
      </c>
      <c r="AE54" s="1">
        <v>1</v>
      </c>
    </row>
    <row r="55" spans="1:36" ht="18" customHeight="1" x14ac:dyDescent="0.2">
      <c r="A55" s="193">
        <f>D55</f>
        <v>0</v>
      </c>
      <c r="B55" s="653" t="s">
        <v>29104</v>
      </c>
      <c r="C55" s="665" t="s">
        <v>29102</v>
      </c>
      <c r="D55" s="814">
        <f>D50*C2</f>
        <v>0</v>
      </c>
      <c r="E55" s="116">
        <f>$G$1</f>
        <v>1080</v>
      </c>
      <c r="F55" s="116">
        <f>F51+98</f>
        <v>598</v>
      </c>
      <c r="G55" s="118">
        <v>1</v>
      </c>
      <c r="H55" s="2464">
        <f t="shared" si="21"/>
        <v>0.64584000000000008</v>
      </c>
      <c r="I55" s="2464"/>
      <c r="J55" s="2465">
        <f t="shared" ref="J55:J64" si="25">G55*7.85*H55</f>
        <v>5.0698440000000007</v>
      </c>
      <c r="K55" s="2465">
        <f t="shared" si="22"/>
        <v>0</v>
      </c>
      <c r="L55" s="166" t="s">
        <v>53</v>
      </c>
      <c r="M55" s="1" t="s">
        <v>28636</v>
      </c>
      <c r="N55" s="1" t="s">
        <v>337</v>
      </c>
      <c r="Q55" s="36"/>
      <c r="R55" s="2497" t="s">
        <v>30530</v>
      </c>
      <c r="S55" s="2499">
        <f t="shared" si="23"/>
        <v>0</v>
      </c>
      <c r="T55" s="2499" t="s">
        <v>28181</v>
      </c>
      <c r="V55" s="1">
        <v>1</v>
      </c>
      <c r="Y55" s="1">
        <v>1</v>
      </c>
      <c r="AC55" s="155">
        <v>1</v>
      </c>
      <c r="AD55" s="1">
        <f t="shared" si="24"/>
        <v>0</v>
      </c>
      <c r="AE55" s="1">
        <v>1</v>
      </c>
      <c r="AF55" s="109" t="s">
        <v>8964</v>
      </c>
      <c r="AG55" s="1">
        <v>0.32</v>
      </c>
      <c r="AH55" s="812" t="s">
        <v>27663</v>
      </c>
      <c r="AI55" s="193">
        <v>1</v>
      </c>
    </row>
    <row r="56" spans="1:36" ht="18" customHeight="1" x14ac:dyDescent="0.2">
      <c r="A56" s="193">
        <f>D56</f>
        <v>0</v>
      </c>
      <c r="B56" s="653" t="s">
        <v>29105</v>
      </c>
      <c r="C56" s="665" t="s">
        <v>29103</v>
      </c>
      <c r="D56" s="814">
        <f>D50*C1</f>
        <v>0</v>
      </c>
      <c r="E56" s="116">
        <f>$G$1</f>
        <v>1080</v>
      </c>
      <c r="F56" s="116">
        <f>F51+98</f>
        <v>598</v>
      </c>
      <c r="G56" s="118">
        <v>1</v>
      </c>
      <c r="H56" s="2464">
        <f t="shared" si="21"/>
        <v>0.64584000000000008</v>
      </c>
      <c r="I56" s="2464"/>
      <c r="J56" s="2465">
        <f t="shared" si="25"/>
        <v>5.0698440000000007</v>
      </c>
      <c r="K56" s="2465">
        <f t="shared" si="22"/>
        <v>0</v>
      </c>
      <c r="L56" s="166" t="s">
        <v>53</v>
      </c>
      <c r="M56" s="1" t="s">
        <v>28403</v>
      </c>
      <c r="N56" s="1" t="s">
        <v>337</v>
      </c>
      <c r="Q56" s="36"/>
      <c r="R56" s="2500" t="s">
        <v>9044</v>
      </c>
      <c r="S56" s="2499">
        <f t="shared" si="23"/>
        <v>0</v>
      </c>
      <c r="T56" s="2499" t="s">
        <v>28181</v>
      </c>
      <c r="V56" s="1">
        <v>1</v>
      </c>
      <c r="Y56" s="1">
        <v>1</v>
      </c>
      <c r="AC56" s="155">
        <v>1</v>
      </c>
      <c r="AD56" s="1">
        <f t="shared" si="24"/>
        <v>0</v>
      </c>
      <c r="AE56" s="1">
        <v>1</v>
      </c>
      <c r="AF56" s="682" t="s">
        <v>9035</v>
      </c>
      <c r="AG56" s="1">
        <v>0.222</v>
      </c>
      <c r="AH56" s="812" t="s">
        <v>27665</v>
      </c>
    </row>
    <row r="57" spans="1:36" s="1091" customFormat="1" ht="18" customHeight="1" x14ac:dyDescent="0.2">
      <c r="A57" s="1308">
        <f>IF(SUM(A55:A56)&gt;0,VLOOKUP(SUM(A55:A56),A55:C56,1,FALSE),0)</f>
        <v>0</v>
      </c>
      <c r="B57" s="1097">
        <f>IF(SUM(A55:A56)&gt;0,VLOOKUP(SUM(A55:A56),A55:C56,2,FALSE),0)</f>
        <v>0</v>
      </c>
      <c r="C57" s="1088">
        <f>IF(SUM(A55:A56)&gt;0,VLOOKUP(SUM(A55:A56),A55:C56,3,FALSE),0)</f>
        <v>0</v>
      </c>
      <c r="D57" s="1089"/>
      <c r="E57" s="1090"/>
      <c r="F57" s="1090"/>
      <c r="G57" s="1092"/>
      <c r="H57" s="2467"/>
      <c r="I57" s="2467"/>
      <c r="J57" s="2468"/>
      <c r="K57" s="2468"/>
      <c r="L57" s="1090"/>
      <c r="M57" s="1090"/>
      <c r="N57" s="1093"/>
      <c r="O57" s="1093"/>
      <c r="P57" s="1093"/>
      <c r="Q57" s="2453"/>
      <c r="R57" s="2505">
        <f>C57</f>
        <v>0</v>
      </c>
      <c r="S57" s="2506"/>
      <c r="T57" s="2506"/>
      <c r="V57" s="1090"/>
      <c r="Y57" s="1090"/>
      <c r="AD57" s="1090"/>
      <c r="AE57" s="1090"/>
      <c r="AF57" s="1094"/>
      <c r="AG57" s="1090"/>
      <c r="AH57" s="1095"/>
      <c r="AI57" s="1571"/>
      <c r="AJ57" s="1090"/>
    </row>
    <row r="58" spans="1:36" ht="18" customHeight="1" x14ac:dyDescent="0.2">
      <c r="A58" s="193">
        <f>D58</f>
        <v>0</v>
      </c>
      <c r="B58" s="653" t="s">
        <v>29110</v>
      </c>
      <c r="C58" s="958" t="s">
        <v>29106</v>
      </c>
      <c r="D58" s="814">
        <f>$D$50*C3</f>
        <v>0</v>
      </c>
      <c r="E58" s="814">
        <f>$G$1</f>
        <v>1080</v>
      </c>
      <c r="F58" s="814">
        <v>400</v>
      </c>
      <c r="G58" s="1236">
        <v>0.75</v>
      </c>
      <c r="H58" s="2464">
        <f>E58*F58/1000/1000</f>
        <v>0.432</v>
      </c>
      <c r="I58" s="2464"/>
      <c r="J58" s="2465">
        <f t="shared" si="25"/>
        <v>2.5433999999999997</v>
      </c>
      <c r="K58" s="2465">
        <f>D58*J58</f>
        <v>0</v>
      </c>
      <c r="L58" s="166" t="s">
        <v>53</v>
      </c>
      <c r="M58" s="1" t="s">
        <v>28402</v>
      </c>
      <c r="N58" s="1" t="s">
        <v>337</v>
      </c>
      <c r="Q58" s="36"/>
      <c r="R58" s="2500" t="s">
        <v>8984</v>
      </c>
      <c r="S58" s="2499">
        <f>D58*(E58/1000)*(F58/1000)</f>
        <v>0</v>
      </c>
      <c r="T58" s="2499" t="s">
        <v>28181</v>
      </c>
      <c r="V58" s="1">
        <v>1</v>
      </c>
      <c r="Y58" s="1">
        <v>1</v>
      </c>
      <c r="AC58" s="155">
        <v>1</v>
      </c>
      <c r="AD58" s="1">
        <f>K58*AC58</f>
        <v>0</v>
      </c>
      <c r="AE58" s="1">
        <v>1</v>
      </c>
      <c r="AF58" s="682" t="s">
        <v>9035</v>
      </c>
      <c r="AG58" s="1">
        <v>0.222</v>
      </c>
      <c r="AH58" s="812" t="s">
        <v>27665</v>
      </c>
      <c r="AI58" s="193">
        <v>1</v>
      </c>
    </row>
    <row r="59" spans="1:36" ht="18" customHeight="1" x14ac:dyDescent="0.2">
      <c r="A59" s="193">
        <f>D59</f>
        <v>0</v>
      </c>
      <c r="B59" s="653" t="s">
        <v>29111</v>
      </c>
      <c r="C59" s="958" t="s">
        <v>29107</v>
      </c>
      <c r="D59" s="814">
        <f>$D$50*C4</f>
        <v>0</v>
      </c>
      <c r="E59" s="814">
        <f>$G$1</f>
        <v>1080</v>
      </c>
      <c r="F59" s="814">
        <v>400</v>
      </c>
      <c r="G59" s="1236">
        <v>0.8</v>
      </c>
      <c r="H59" s="2464">
        <f>E59*F59/1000/1000</f>
        <v>0.432</v>
      </c>
      <c r="I59" s="2464"/>
      <c r="J59" s="2465">
        <f t="shared" si="25"/>
        <v>2.7129600000000003</v>
      </c>
      <c r="K59" s="2465">
        <f>D59*J59</f>
        <v>0</v>
      </c>
      <c r="L59" s="166" t="s">
        <v>53</v>
      </c>
      <c r="M59" s="1" t="s">
        <v>28403</v>
      </c>
      <c r="N59" s="1" t="s">
        <v>337</v>
      </c>
      <c r="Q59" s="36"/>
      <c r="R59" s="2500" t="s">
        <v>9043</v>
      </c>
      <c r="S59" s="2499">
        <f>D59*(E59/1000)*(F59/1000)</f>
        <v>0</v>
      </c>
      <c r="T59" s="2499" t="s">
        <v>28181</v>
      </c>
      <c r="V59" s="1">
        <v>1</v>
      </c>
      <c r="Y59" s="1">
        <v>1</v>
      </c>
      <c r="AC59" s="155">
        <v>1</v>
      </c>
      <c r="AD59" s="1">
        <f>K59*AC59</f>
        <v>0</v>
      </c>
      <c r="AE59" s="1">
        <v>1</v>
      </c>
      <c r="AF59" s="682" t="s">
        <v>9035</v>
      </c>
      <c r="AG59" s="1">
        <v>0.222</v>
      </c>
      <c r="AH59" s="812" t="s">
        <v>27665</v>
      </c>
    </row>
    <row r="60" spans="1:36" s="1091" customFormat="1" ht="18" customHeight="1" x14ac:dyDescent="0.2">
      <c r="A60" s="1308">
        <f>IF(SUM(A58:A59)&gt;0,VLOOKUP(SUM(A58:A59),A58:C59,1,FALSE),0)</f>
        <v>0</v>
      </c>
      <c r="B60" s="1097">
        <f>IF(SUM(A58:A59)&gt;0,VLOOKUP(SUM(A58:A59),A58:C59,2,FALSE),0)</f>
        <v>0</v>
      </c>
      <c r="C60" s="1088">
        <f>IF(SUM(A58:A59)&gt;0,VLOOKUP(SUM(A58:A59),A58:C59,3,FALSE),0)</f>
        <v>0</v>
      </c>
      <c r="D60" s="1089"/>
      <c r="E60" s="1090"/>
      <c r="F60" s="1090"/>
      <c r="G60" s="1092"/>
      <c r="H60" s="2467"/>
      <c r="I60" s="2467"/>
      <c r="J60" s="2468"/>
      <c r="K60" s="2468"/>
      <c r="L60" s="1090"/>
      <c r="M60" s="1090"/>
      <c r="N60" s="1093"/>
      <c r="O60" s="1093"/>
      <c r="P60" s="1093"/>
      <c r="Q60" s="2453"/>
      <c r="R60" s="2505">
        <f>C60</f>
        <v>0</v>
      </c>
      <c r="S60" s="2506"/>
      <c r="T60" s="2506"/>
      <c r="V60" s="1090"/>
      <c r="Y60" s="1090"/>
      <c r="AD60" s="1090"/>
      <c r="AE60" s="1090"/>
      <c r="AF60" s="1094"/>
      <c r="AG60" s="1090"/>
      <c r="AH60" s="1095"/>
      <c r="AI60" s="1571"/>
      <c r="AJ60" s="1090"/>
    </row>
    <row r="61" spans="1:36" ht="18" customHeight="1" x14ac:dyDescent="0.2">
      <c r="A61" s="193">
        <f>D61</f>
        <v>0</v>
      </c>
      <c r="B61" s="653" t="s">
        <v>29112</v>
      </c>
      <c r="C61" s="958" t="s">
        <v>29106</v>
      </c>
      <c r="D61" s="814">
        <f>$D$50*A3</f>
        <v>0</v>
      </c>
      <c r="E61" s="814">
        <f>$G$1-80-80</f>
        <v>920</v>
      </c>
      <c r="F61" s="814">
        <v>400</v>
      </c>
      <c r="G61" s="1236">
        <v>0.75</v>
      </c>
      <c r="H61" s="2464">
        <f>E61*F61/1000/1000</f>
        <v>0.36799999999999999</v>
      </c>
      <c r="I61" s="2464"/>
      <c r="J61" s="2465">
        <f t="shared" si="25"/>
        <v>2.1665999999999999</v>
      </c>
      <c r="K61" s="2465">
        <f>D61*J61</f>
        <v>0</v>
      </c>
      <c r="L61" s="166" t="s">
        <v>53</v>
      </c>
      <c r="M61" s="1" t="s">
        <v>28402</v>
      </c>
      <c r="N61" s="1" t="s">
        <v>337</v>
      </c>
      <c r="Q61" s="36"/>
      <c r="R61" s="2500" t="s">
        <v>8984</v>
      </c>
      <c r="S61" s="2499">
        <f>D61*(E61/1000)*(F61/1000)</f>
        <v>0</v>
      </c>
      <c r="T61" s="2499" t="s">
        <v>28181</v>
      </c>
      <c r="V61" s="1">
        <v>1</v>
      </c>
      <c r="Y61" s="1">
        <v>1</v>
      </c>
      <c r="AC61" s="155">
        <v>1</v>
      </c>
      <c r="AD61" s="1">
        <f>K61*AC61</f>
        <v>0</v>
      </c>
      <c r="AE61" s="1">
        <v>1</v>
      </c>
      <c r="AF61" s="682" t="s">
        <v>9035</v>
      </c>
      <c r="AG61" s="1">
        <v>0.222</v>
      </c>
      <c r="AH61" s="812" t="s">
        <v>27665</v>
      </c>
      <c r="AI61" s="193">
        <v>1</v>
      </c>
    </row>
    <row r="62" spans="1:36" ht="18" customHeight="1" x14ac:dyDescent="0.2">
      <c r="A62" s="193">
        <f>D62</f>
        <v>0</v>
      </c>
      <c r="B62" s="653" t="s">
        <v>29113</v>
      </c>
      <c r="C62" s="958" t="s">
        <v>29107</v>
      </c>
      <c r="D62" s="814">
        <f>$D$50*A4</f>
        <v>0</v>
      </c>
      <c r="E62" s="814">
        <f>$G$1-80-80</f>
        <v>920</v>
      </c>
      <c r="F62" s="814">
        <v>400</v>
      </c>
      <c r="G62" s="1236">
        <v>0.8</v>
      </c>
      <c r="H62" s="2464">
        <f>E62*F62/1000/1000</f>
        <v>0.36799999999999999</v>
      </c>
      <c r="I62" s="2464"/>
      <c r="J62" s="2465">
        <f t="shared" si="25"/>
        <v>2.3110400000000002</v>
      </c>
      <c r="K62" s="2465">
        <f>D62*J62</f>
        <v>0</v>
      </c>
      <c r="L62" s="166" t="s">
        <v>53</v>
      </c>
      <c r="M62" s="1" t="s">
        <v>28403</v>
      </c>
      <c r="N62" s="1" t="s">
        <v>337</v>
      </c>
      <c r="Q62" s="36"/>
      <c r="R62" s="2500" t="s">
        <v>9043</v>
      </c>
      <c r="S62" s="2499">
        <f>D62*(E62/1000)*(F62/1000)</f>
        <v>0</v>
      </c>
      <c r="T62" s="2499" t="s">
        <v>28181</v>
      </c>
      <c r="V62" s="1">
        <v>1</v>
      </c>
      <c r="Y62" s="1">
        <v>1</v>
      </c>
      <c r="AC62" s="155">
        <v>1</v>
      </c>
      <c r="AD62" s="1">
        <f>K62*AC62</f>
        <v>0</v>
      </c>
      <c r="AE62" s="1">
        <v>1</v>
      </c>
      <c r="AF62" s="682" t="s">
        <v>9035</v>
      </c>
      <c r="AG62" s="1">
        <v>0.222</v>
      </c>
      <c r="AH62" s="812" t="s">
        <v>27665</v>
      </c>
    </row>
    <row r="63" spans="1:36" s="1091" customFormat="1" ht="18" customHeight="1" x14ac:dyDescent="0.2">
      <c r="A63" s="1308">
        <f>IF(SUM(A61:A62)&gt;0,VLOOKUP(SUM(A61:A62),A61:C62,1,FALSE),0)</f>
        <v>0</v>
      </c>
      <c r="B63" s="1097">
        <f>IF(SUM(A61:A62)&gt;0,VLOOKUP(SUM(A61:A62),A61:C62,2,FALSE),0)</f>
        <v>0</v>
      </c>
      <c r="C63" s="1088">
        <f>IF(SUM(A61:A62)&gt;0,VLOOKUP(SUM(A61:A62),A61:C62,3,FALSE),0)</f>
        <v>0</v>
      </c>
      <c r="D63" s="1089"/>
      <c r="E63" s="1090"/>
      <c r="F63" s="1090"/>
      <c r="G63" s="1092"/>
      <c r="H63" s="2467"/>
      <c r="I63" s="2467"/>
      <c r="J63" s="2468"/>
      <c r="K63" s="2468"/>
      <c r="L63" s="1090"/>
      <c r="M63" s="1090"/>
      <c r="N63" s="1093"/>
      <c r="O63" s="1093"/>
      <c r="P63" s="1093"/>
      <c r="Q63" s="2453"/>
      <c r="R63" s="2505">
        <f t="shared" ref="R63:R73" si="26">C63</f>
        <v>0</v>
      </c>
      <c r="S63" s="2506"/>
      <c r="T63" s="2506"/>
      <c r="V63" s="1090"/>
      <c r="Y63" s="1090"/>
      <c r="AD63" s="1090"/>
      <c r="AE63" s="1090"/>
      <c r="AF63" s="1094"/>
      <c r="AG63" s="1090"/>
      <c r="AH63" s="1095"/>
      <c r="AI63" s="1571"/>
      <c r="AJ63" s="1090"/>
    </row>
    <row r="64" spans="1:36" ht="18" customHeight="1" x14ac:dyDescent="0.2">
      <c r="B64" s="653" t="s">
        <v>29882</v>
      </c>
      <c r="C64" s="665" t="s">
        <v>27675</v>
      </c>
      <c r="D64" s="814">
        <f>ROUNDUP($G$1/250+1,0)*4*D50*0</f>
        <v>0</v>
      </c>
      <c r="E64" s="116">
        <v>0</v>
      </c>
      <c r="F64" s="200">
        <v>0</v>
      </c>
      <c r="G64" s="118">
        <v>0</v>
      </c>
      <c r="H64" s="2464">
        <f t="shared" si="21"/>
        <v>0</v>
      </c>
      <c r="I64" s="2464"/>
      <c r="J64" s="2465">
        <f t="shared" si="25"/>
        <v>0</v>
      </c>
      <c r="K64" s="2465">
        <f>D64*J64</f>
        <v>0</v>
      </c>
      <c r="L64" s="1" t="s">
        <v>53</v>
      </c>
      <c r="N64" s="166"/>
      <c r="O64" s="166"/>
      <c r="P64" s="166"/>
      <c r="Q64" s="61"/>
      <c r="R64" s="2501" t="str">
        <f t="shared" si="26"/>
        <v>0123025</v>
      </c>
      <c r="S64" s="2502">
        <f>D64</f>
        <v>0</v>
      </c>
      <c r="T64" s="2503" t="s">
        <v>53</v>
      </c>
      <c r="V64" s="1">
        <v>1</v>
      </c>
      <c r="AC64" s="155">
        <v>1</v>
      </c>
      <c r="AD64" s="1">
        <f>K64*AC64</f>
        <v>0</v>
      </c>
      <c r="AE64" s="1">
        <v>1</v>
      </c>
    </row>
    <row r="65" spans="1:36" ht="18" customHeight="1" x14ac:dyDescent="0.2">
      <c r="B65" s="2" t="s">
        <v>276</v>
      </c>
      <c r="C65" s="665"/>
      <c r="D65" s="814">
        <f>IF(OR(AND(G2&gt;1240,G1&gt;1240),AND(G2&gt;1240,G1&gt;2000),AND(G2&gt;2000,G1&gt;1240),AND(G2&gt;2490,G1&gt;1000),AND(G2&gt;1000,G1&gt;2490),AND(G2&gt;650,G1&gt;2490)),1,0)</f>
        <v>0</v>
      </c>
      <c r="E65" s="116">
        <f>E66+E67</f>
        <v>1080</v>
      </c>
      <c r="F65" s="116">
        <f>F70</f>
        <v>500</v>
      </c>
      <c r="H65" s="2464">
        <f t="shared" si="21"/>
        <v>0.54</v>
      </c>
      <c r="I65" s="2464"/>
      <c r="J65" s="2465"/>
      <c r="K65" s="2465"/>
      <c r="Q65" s="36"/>
      <c r="R65" s="2504">
        <f t="shared" si="26"/>
        <v>0</v>
      </c>
      <c r="S65" s="2493"/>
      <c r="T65" s="2493"/>
    </row>
    <row r="66" spans="1:36" ht="18" customHeight="1" x14ac:dyDescent="0.2">
      <c r="B66" s="653" t="s">
        <v>29617</v>
      </c>
      <c r="C66" s="665" t="s">
        <v>832</v>
      </c>
      <c r="D66" s="814">
        <f>D65</f>
        <v>0</v>
      </c>
      <c r="E66" s="116">
        <f>IF($G$1&lt;2491,$G$1,0)+IF(AND($G$1&gt;2490,$G$1&lt;2791),$G$1-300,0)+IF(AND($G$1&gt;2790),2490,0)</f>
        <v>1080</v>
      </c>
      <c r="F66" s="116">
        <v>400</v>
      </c>
      <c r="G66" s="118">
        <v>6</v>
      </c>
      <c r="H66" s="2464">
        <f t="shared" si="21"/>
        <v>0.432</v>
      </c>
      <c r="I66" s="2464"/>
      <c r="J66" s="2465">
        <f>10.5*H66</f>
        <v>4.5359999999999996</v>
      </c>
      <c r="K66" s="2465">
        <f t="shared" ref="K66:K85" si="27">D66*J66</f>
        <v>0</v>
      </c>
      <c r="L66" s="1" t="s">
        <v>28399</v>
      </c>
      <c r="N66" s="117" t="s">
        <v>311</v>
      </c>
      <c r="O66" s="117">
        <v>11</v>
      </c>
      <c r="P66" s="109" t="s">
        <v>28877</v>
      </c>
      <c r="Q66" s="2452"/>
      <c r="R66" s="2494" t="str">
        <f t="shared" si="26"/>
        <v>0202003</v>
      </c>
      <c r="S66" s="2495">
        <f t="shared" ref="S66:S75" si="28">D66*(E66/1000)*(F66/1000)</f>
        <v>0</v>
      </c>
      <c r="T66" s="2496" t="s">
        <v>28181</v>
      </c>
      <c r="V66" s="1">
        <v>1</v>
      </c>
      <c r="AC66" s="155">
        <v>1</v>
      </c>
      <c r="AD66" s="1">
        <f t="shared" ref="AD66:AD75" si="29">K66*AC66</f>
        <v>0</v>
      </c>
      <c r="AE66" s="1">
        <v>1</v>
      </c>
    </row>
    <row r="67" spans="1:36" ht="18" customHeight="1" x14ac:dyDescent="0.2">
      <c r="B67" s="653" t="s">
        <v>29617</v>
      </c>
      <c r="C67" s="665" t="s">
        <v>832</v>
      </c>
      <c r="D67" s="814">
        <f>IF(E67&gt;0,D66,0)</f>
        <v>0</v>
      </c>
      <c r="E67" s="116">
        <f>IF(E66&lt;$G$1,$G$1-E66,0)</f>
        <v>0</v>
      </c>
      <c r="F67" s="116">
        <v>400</v>
      </c>
      <c r="G67" s="118">
        <v>6</v>
      </c>
      <c r="H67" s="2464">
        <f>E67*F67/1000/1000</f>
        <v>0</v>
      </c>
      <c r="I67" s="2464"/>
      <c r="J67" s="2465">
        <f>10.5*H67</f>
        <v>0</v>
      </c>
      <c r="K67" s="2465">
        <f>D67*J67</f>
        <v>0</v>
      </c>
      <c r="L67" s="1" t="s">
        <v>28399</v>
      </c>
      <c r="N67" s="117" t="s">
        <v>311</v>
      </c>
      <c r="O67" s="117">
        <v>12</v>
      </c>
      <c r="P67" s="109" t="s">
        <v>28877</v>
      </c>
      <c r="Q67" s="2452"/>
      <c r="R67" s="2494" t="str">
        <f t="shared" si="26"/>
        <v>0202003</v>
      </c>
      <c r="S67" s="2495">
        <f t="shared" si="28"/>
        <v>0</v>
      </c>
      <c r="T67" s="2496" t="s">
        <v>28181</v>
      </c>
      <c r="V67" s="1">
        <v>1</v>
      </c>
      <c r="AC67" s="155">
        <v>1</v>
      </c>
      <c r="AD67" s="1">
        <f t="shared" si="29"/>
        <v>0</v>
      </c>
      <c r="AE67" s="1">
        <v>1</v>
      </c>
    </row>
    <row r="68" spans="1:36" ht="18" customHeight="1" x14ac:dyDescent="0.2">
      <c r="B68" s="653" t="s">
        <v>29619</v>
      </c>
      <c r="C68" s="665" t="s">
        <v>29522</v>
      </c>
      <c r="D68" s="814">
        <f>D66</f>
        <v>0</v>
      </c>
      <c r="E68" s="116">
        <f>IF($G$1&lt;2491,$G$1,0)+IF(AND($G$1&gt;2490,$G$1&lt;2791),$G$1-300,0)+IF(AND($G$1&gt;2790),2490,0)</f>
        <v>1080</v>
      </c>
      <c r="F68" s="116">
        <v>400</v>
      </c>
      <c r="G68" s="118">
        <v>18</v>
      </c>
      <c r="H68" s="2464">
        <f t="shared" si="21"/>
        <v>0.432</v>
      </c>
      <c r="I68" s="2464"/>
      <c r="J68" s="2465">
        <f>10.3*H68</f>
        <v>4.4496000000000002</v>
      </c>
      <c r="K68" s="2465">
        <f t="shared" si="27"/>
        <v>0</v>
      </c>
      <c r="L68" s="1" t="s">
        <v>28399</v>
      </c>
      <c r="N68" s="117" t="s">
        <v>310</v>
      </c>
      <c r="O68" s="117">
        <v>13</v>
      </c>
      <c r="P68" s="109" t="s">
        <v>28877</v>
      </c>
      <c r="Q68" s="2452"/>
      <c r="R68" s="2494" t="str">
        <f t="shared" si="26"/>
        <v>0202018</v>
      </c>
      <c r="S68" s="2495">
        <f t="shared" si="28"/>
        <v>0</v>
      </c>
      <c r="T68" s="2496" t="s">
        <v>28181</v>
      </c>
      <c r="V68" s="1">
        <v>1</v>
      </c>
      <c r="AC68" s="155">
        <v>1</v>
      </c>
      <c r="AD68" s="1">
        <f t="shared" si="29"/>
        <v>0</v>
      </c>
      <c r="AE68" s="1">
        <v>1</v>
      </c>
    </row>
    <row r="69" spans="1:36" ht="18" customHeight="1" x14ac:dyDescent="0.2">
      <c r="B69" s="653" t="s">
        <v>29619</v>
      </c>
      <c r="C69" s="665" t="s">
        <v>29522</v>
      </c>
      <c r="D69" s="814">
        <f>IF(E69&gt;0,D68,0)</f>
        <v>0</v>
      </c>
      <c r="E69" s="116">
        <f>IF(E68&lt;$G$1,$G$1-E68,0)</f>
        <v>0</v>
      </c>
      <c r="F69" s="116">
        <v>400</v>
      </c>
      <c r="G69" s="118">
        <v>18</v>
      </c>
      <c r="H69" s="2464">
        <f>E69*F69/1000/1000</f>
        <v>0</v>
      </c>
      <c r="I69" s="2464"/>
      <c r="J69" s="2465">
        <f>10.3*H69</f>
        <v>0</v>
      </c>
      <c r="K69" s="2465">
        <f>D69*J69</f>
        <v>0</v>
      </c>
      <c r="L69" s="1" t="s">
        <v>28399</v>
      </c>
      <c r="N69" s="117" t="s">
        <v>310</v>
      </c>
      <c r="O69" s="117">
        <v>14</v>
      </c>
      <c r="P69" s="109" t="s">
        <v>28877</v>
      </c>
      <c r="Q69" s="2452"/>
      <c r="R69" s="2494" t="str">
        <f t="shared" si="26"/>
        <v>0202018</v>
      </c>
      <c r="S69" s="2495">
        <f t="shared" si="28"/>
        <v>0</v>
      </c>
      <c r="T69" s="2496" t="s">
        <v>28181</v>
      </c>
      <c r="V69" s="1">
        <v>1</v>
      </c>
      <c r="AC69" s="155">
        <v>1</v>
      </c>
      <c r="AD69" s="1">
        <f t="shared" si="29"/>
        <v>0</v>
      </c>
      <c r="AE69" s="1">
        <v>1</v>
      </c>
    </row>
    <row r="70" spans="1:36" ht="18" customHeight="1" x14ac:dyDescent="0.2">
      <c r="B70" s="653" t="s">
        <v>29620</v>
      </c>
      <c r="C70" s="665" t="s">
        <v>29522</v>
      </c>
      <c r="D70" s="814">
        <f>D68</f>
        <v>0</v>
      </c>
      <c r="E70" s="116">
        <f>IF($G$1&lt;2491,$G$1,0)+IF(AND($G$1&gt;2490,$G$1&lt;2791),$G$1-300,0)+IF(AND($G$1&gt;2790),2490,0)</f>
        <v>1080</v>
      </c>
      <c r="F70" s="116">
        <v>500</v>
      </c>
      <c r="G70" s="118">
        <v>18</v>
      </c>
      <c r="H70" s="2464">
        <f t="shared" si="21"/>
        <v>0.54</v>
      </c>
      <c r="I70" s="2464"/>
      <c r="J70" s="2465">
        <f>10.3*H70</f>
        <v>5.5620000000000012</v>
      </c>
      <c r="K70" s="2465">
        <f t="shared" si="27"/>
        <v>0</v>
      </c>
      <c r="L70" s="1" t="s">
        <v>28399</v>
      </c>
      <c r="N70" s="117" t="s">
        <v>308</v>
      </c>
      <c r="O70" s="117">
        <v>15</v>
      </c>
      <c r="P70" s="109" t="s">
        <v>28877</v>
      </c>
      <c r="Q70" s="2452"/>
      <c r="R70" s="2494" t="str">
        <f t="shared" si="26"/>
        <v>0202018</v>
      </c>
      <c r="S70" s="2495">
        <f t="shared" si="28"/>
        <v>0</v>
      </c>
      <c r="T70" s="2496" t="s">
        <v>28181</v>
      </c>
      <c r="V70" s="1">
        <v>1</v>
      </c>
      <c r="AC70" s="155">
        <v>1</v>
      </c>
      <c r="AD70" s="1">
        <f t="shared" si="29"/>
        <v>0</v>
      </c>
      <c r="AE70" s="1">
        <v>1</v>
      </c>
    </row>
    <row r="71" spans="1:36" ht="18" customHeight="1" x14ac:dyDescent="0.2">
      <c r="B71" s="653" t="s">
        <v>29620</v>
      </c>
      <c r="C71" s="665" t="s">
        <v>29522</v>
      </c>
      <c r="D71" s="814">
        <f>IF(E71&gt;0,D70,0)</f>
        <v>0</v>
      </c>
      <c r="E71" s="116">
        <f>IF(E70&lt;$G$1,$G$1-E70,0)</f>
        <v>0</v>
      </c>
      <c r="F71" s="116">
        <v>500</v>
      </c>
      <c r="G71" s="118">
        <v>18</v>
      </c>
      <c r="H71" s="2464">
        <f>E71*F71/1000/1000</f>
        <v>0</v>
      </c>
      <c r="I71" s="2464"/>
      <c r="J71" s="2465">
        <f>10.3*H71</f>
        <v>0</v>
      </c>
      <c r="K71" s="2465">
        <f>D71*J71</f>
        <v>0</v>
      </c>
      <c r="L71" s="1" t="s">
        <v>28399</v>
      </c>
      <c r="N71" s="117" t="s">
        <v>308</v>
      </c>
      <c r="O71" s="117">
        <v>16</v>
      </c>
      <c r="P71" s="109" t="s">
        <v>28877</v>
      </c>
      <c r="Q71" s="2452"/>
      <c r="R71" s="2494" t="str">
        <f t="shared" si="26"/>
        <v>0202018</v>
      </c>
      <c r="S71" s="2495">
        <f t="shared" si="28"/>
        <v>0</v>
      </c>
      <c r="T71" s="2496" t="s">
        <v>28181</v>
      </c>
      <c r="V71" s="1">
        <v>1</v>
      </c>
      <c r="AC71" s="155">
        <v>1</v>
      </c>
      <c r="AD71" s="1">
        <f t="shared" si="29"/>
        <v>0</v>
      </c>
      <c r="AE71" s="1">
        <v>1</v>
      </c>
    </row>
    <row r="72" spans="1:36" ht="18" customHeight="1" x14ac:dyDescent="0.2">
      <c r="B72" s="653" t="s">
        <v>29618</v>
      </c>
      <c r="C72" s="665" t="s">
        <v>832</v>
      </c>
      <c r="D72" s="814">
        <f>D70</f>
        <v>0</v>
      </c>
      <c r="E72" s="116">
        <f>IF($G$1&lt;2491,$G$1,0)+IF(AND($G$1&gt;2490,$G$1&lt;2791),$G$1-300,0)+IF(AND($G$1&gt;2790),2490,0)</f>
        <v>1080</v>
      </c>
      <c r="F72" s="116">
        <v>500</v>
      </c>
      <c r="G72" s="118">
        <v>6</v>
      </c>
      <c r="H72" s="2464">
        <f t="shared" si="21"/>
        <v>0.54</v>
      </c>
      <c r="I72" s="2464"/>
      <c r="J72" s="2465">
        <f>10.5*H72</f>
        <v>5.67</v>
      </c>
      <c r="K72" s="2465">
        <f t="shared" si="27"/>
        <v>0</v>
      </c>
      <c r="L72" s="1" t="s">
        <v>28399</v>
      </c>
      <c r="N72" s="117" t="s">
        <v>309</v>
      </c>
      <c r="O72" s="117">
        <v>17</v>
      </c>
      <c r="P72" s="109" t="s">
        <v>28877</v>
      </c>
      <c r="Q72" s="2452"/>
      <c r="R72" s="2494" t="str">
        <f t="shared" si="26"/>
        <v>0202003</v>
      </c>
      <c r="S72" s="2495">
        <f t="shared" si="28"/>
        <v>0</v>
      </c>
      <c r="T72" s="2496" t="s">
        <v>28181</v>
      </c>
      <c r="V72" s="1">
        <v>1</v>
      </c>
      <c r="AC72" s="155">
        <v>1</v>
      </c>
      <c r="AD72" s="1">
        <f t="shared" si="29"/>
        <v>0</v>
      </c>
      <c r="AE72" s="1">
        <v>1</v>
      </c>
    </row>
    <row r="73" spans="1:36" ht="18" customHeight="1" x14ac:dyDescent="0.2">
      <c r="B73" s="653" t="s">
        <v>29618</v>
      </c>
      <c r="C73" s="665" t="s">
        <v>832</v>
      </c>
      <c r="D73" s="814">
        <f>IF(E73&gt;0,D72,0)</f>
        <v>0</v>
      </c>
      <c r="E73" s="116">
        <f>IF(E72&lt;$G$1,$G$1-E72,0)</f>
        <v>0</v>
      </c>
      <c r="F73" s="116">
        <v>500</v>
      </c>
      <c r="G73" s="118">
        <v>6</v>
      </c>
      <c r="H73" s="2464">
        <f>E73*F73/1000/1000</f>
        <v>0</v>
      </c>
      <c r="I73" s="2464"/>
      <c r="J73" s="2465">
        <f>10.5*H73</f>
        <v>0</v>
      </c>
      <c r="K73" s="2465">
        <f>D73*J73</f>
        <v>0</v>
      </c>
      <c r="L73" s="1" t="s">
        <v>28399</v>
      </c>
      <c r="N73" s="117" t="s">
        <v>309</v>
      </c>
      <c r="O73" s="117">
        <v>18</v>
      </c>
      <c r="P73" s="109" t="s">
        <v>28877</v>
      </c>
      <c r="Q73" s="2452"/>
      <c r="R73" s="2494" t="str">
        <f t="shared" si="26"/>
        <v>0202003</v>
      </c>
      <c r="S73" s="2495">
        <f t="shared" si="28"/>
        <v>0</v>
      </c>
      <c r="T73" s="2496" t="s">
        <v>28181</v>
      </c>
      <c r="V73" s="1">
        <v>1</v>
      </c>
      <c r="AC73" s="155">
        <v>1</v>
      </c>
      <c r="AD73" s="1">
        <f t="shared" si="29"/>
        <v>0</v>
      </c>
      <c r="AE73" s="1">
        <v>1</v>
      </c>
    </row>
    <row r="74" spans="1:36" ht="18" customHeight="1" x14ac:dyDescent="0.2">
      <c r="A74" s="193">
        <f>D74</f>
        <v>0</v>
      </c>
      <c r="B74" s="335" t="s">
        <v>803</v>
      </c>
      <c r="C74" s="665" t="s">
        <v>804</v>
      </c>
      <c r="D74" s="814">
        <f>D72*C2</f>
        <v>0</v>
      </c>
      <c r="E74" s="116">
        <f t="shared" ref="E74:E80" si="30">$G$1</f>
        <v>1080</v>
      </c>
      <c r="F74" s="116">
        <v>522</v>
      </c>
      <c r="G74" s="118">
        <v>1</v>
      </c>
      <c r="H74" s="2464">
        <f t="shared" si="21"/>
        <v>0.56376000000000004</v>
      </c>
      <c r="I74" s="2464"/>
      <c r="J74" s="2465">
        <f>G74*7.85*H74</f>
        <v>4.425516</v>
      </c>
      <c r="K74" s="2465">
        <f t="shared" si="27"/>
        <v>0</v>
      </c>
      <c r="L74" s="166" t="s">
        <v>53</v>
      </c>
      <c r="M74" s="1" t="s">
        <v>28636</v>
      </c>
      <c r="N74" s="116"/>
      <c r="O74" s="116"/>
      <c r="P74" s="116"/>
      <c r="Q74" s="1129"/>
      <c r="R74" s="2500" t="s">
        <v>30530</v>
      </c>
      <c r="S74" s="2499">
        <f t="shared" si="28"/>
        <v>0</v>
      </c>
      <c r="T74" s="2499" t="s">
        <v>28181</v>
      </c>
      <c r="V74" s="1">
        <v>1</v>
      </c>
      <c r="Y74" s="1">
        <v>1</v>
      </c>
      <c r="AC74" s="155">
        <v>1</v>
      </c>
      <c r="AD74" s="1">
        <f t="shared" si="29"/>
        <v>0</v>
      </c>
      <c r="AE74" s="1">
        <v>1</v>
      </c>
      <c r="AF74" s="109" t="s">
        <v>8964</v>
      </c>
      <c r="AG74" s="1">
        <v>0.32</v>
      </c>
      <c r="AH74" s="812" t="s">
        <v>27663</v>
      </c>
      <c r="AI74" s="193">
        <v>1</v>
      </c>
    </row>
    <row r="75" spans="1:36" ht="18" customHeight="1" x14ac:dyDescent="0.2">
      <c r="A75" s="193">
        <f>D75</f>
        <v>0</v>
      </c>
      <c r="B75" s="335" t="s">
        <v>498</v>
      </c>
      <c r="C75" s="665" t="s">
        <v>28538</v>
      </c>
      <c r="D75" s="815">
        <f>D72*C1</f>
        <v>0</v>
      </c>
      <c r="E75" s="116">
        <f t="shared" si="30"/>
        <v>1080</v>
      </c>
      <c r="F75" s="116">
        <f>F70+20</f>
        <v>520</v>
      </c>
      <c r="G75" s="118">
        <v>1</v>
      </c>
      <c r="H75" s="2464">
        <f t="shared" si="21"/>
        <v>0.56159999999999999</v>
      </c>
      <c r="I75" s="2464"/>
      <c r="J75" s="2465">
        <f>G75*7.85*H75</f>
        <v>4.4085599999999996</v>
      </c>
      <c r="K75" s="2465">
        <f t="shared" si="27"/>
        <v>0</v>
      </c>
      <c r="L75" s="166" t="s">
        <v>53</v>
      </c>
      <c r="M75" s="1" t="s">
        <v>28403</v>
      </c>
      <c r="N75" s="116"/>
      <c r="O75" s="116"/>
      <c r="P75" s="116"/>
      <c r="Q75" s="1129"/>
      <c r="R75" s="2500" t="s">
        <v>9044</v>
      </c>
      <c r="S75" s="2499">
        <f t="shared" si="28"/>
        <v>0</v>
      </c>
      <c r="T75" s="2499" t="s">
        <v>28181</v>
      </c>
      <c r="V75" s="1">
        <v>1</v>
      </c>
      <c r="Y75" s="1">
        <v>1</v>
      </c>
      <c r="AC75" s="155">
        <v>1</v>
      </c>
      <c r="AD75" s="1">
        <f t="shared" si="29"/>
        <v>0</v>
      </c>
      <c r="AE75" s="1">
        <v>1</v>
      </c>
      <c r="AF75" s="682" t="s">
        <v>9035</v>
      </c>
      <c r="AG75" s="1">
        <v>0.222</v>
      </c>
      <c r="AH75" s="812" t="s">
        <v>27665</v>
      </c>
    </row>
    <row r="76" spans="1:36" s="1091" customFormat="1" ht="18" customHeight="1" x14ac:dyDescent="0.2">
      <c r="A76" s="1308">
        <f>IF(SUM(A74:A75)&gt;0,VLOOKUP(SUM(A74:A75),A74:C75,1,FALSE),0)</f>
        <v>0</v>
      </c>
      <c r="B76" s="1097">
        <f>IF(SUM(A74:A75)&gt;0,VLOOKUP(SUM(A74:A75),A74:C75,2,FALSE),0)</f>
        <v>0</v>
      </c>
      <c r="C76" s="1088">
        <f>IF(SUM(A74:A75)&gt;0,VLOOKUP(SUM(A74:A75),A74:C75,3,FALSE),0)</f>
        <v>0</v>
      </c>
      <c r="D76" s="1089"/>
      <c r="E76" s="1090"/>
      <c r="F76" s="1090"/>
      <c r="G76" s="1092"/>
      <c r="H76" s="2467"/>
      <c r="I76" s="2467"/>
      <c r="J76" s="2468"/>
      <c r="K76" s="2468"/>
      <c r="L76" s="1090"/>
      <c r="M76" s="1090"/>
      <c r="N76" s="1093"/>
      <c r="O76" s="1093"/>
      <c r="P76" s="1093"/>
      <c r="Q76" s="2453"/>
      <c r="R76" s="2505">
        <f>C76</f>
        <v>0</v>
      </c>
      <c r="S76" s="2506"/>
      <c r="T76" s="2506"/>
      <c r="V76" s="1090"/>
      <c r="Y76" s="1090"/>
      <c r="AD76" s="1090"/>
      <c r="AE76" s="1090"/>
      <c r="AF76" s="1094"/>
      <c r="AG76" s="1090"/>
      <c r="AH76" s="1095"/>
      <c r="AI76" s="1571"/>
      <c r="AJ76" s="1090"/>
    </row>
    <row r="77" spans="1:36" ht="18" customHeight="1" x14ac:dyDescent="0.2">
      <c r="A77" s="193">
        <f t="shared" ref="A77:A83" si="31">D77</f>
        <v>0</v>
      </c>
      <c r="B77" s="653" t="s">
        <v>28383</v>
      </c>
      <c r="C77" s="665" t="s">
        <v>28535</v>
      </c>
      <c r="D77" s="814">
        <f>D65*C3*D35</f>
        <v>0</v>
      </c>
      <c r="E77" s="814">
        <f t="shared" si="30"/>
        <v>1080</v>
      </c>
      <c r="F77" s="814">
        <f>400+24+0.75-1.72</f>
        <v>423.03</v>
      </c>
      <c r="G77" s="1236">
        <v>0.75</v>
      </c>
      <c r="H77" s="2464">
        <f t="shared" si="21"/>
        <v>0.45687239999999996</v>
      </c>
      <c r="I77" s="2464"/>
      <c r="J77" s="2465">
        <f t="shared" ref="J77:J83" si="32">G77*7.85*H77</f>
        <v>2.6898362549999995</v>
      </c>
      <c r="K77" s="2465">
        <f t="shared" si="27"/>
        <v>0</v>
      </c>
      <c r="L77" s="166" t="s">
        <v>53</v>
      </c>
      <c r="M77" s="1" t="s">
        <v>28402</v>
      </c>
      <c r="N77" s="116"/>
      <c r="O77" s="116"/>
      <c r="P77" s="116"/>
      <c r="Q77" s="1129"/>
      <c r="R77" s="2497" t="s">
        <v>8984</v>
      </c>
      <c r="S77" s="2498">
        <f>D77*(E77/1000)*(F77/1000)</f>
        <v>0</v>
      </c>
      <c r="T77" s="2499" t="s">
        <v>28181</v>
      </c>
      <c r="V77" s="1">
        <v>1</v>
      </c>
      <c r="Y77" s="1">
        <v>1</v>
      </c>
      <c r="AC77" s="155">
        <v>1</v>
      </c>
      <c r="AE77" s="1">
        <v>1</v>
      </c>
      <c r="AF77" s="682" t="s">
        <v>9035</v>
      </c>
      <c r="AG77" s="1">
        <v>0.222</v>
      </c>
      <c r="AH77" s="812" t="s">
        <v>27665</v>
      </c>
      <c r="AI77" s="193">
        <v>1</v>
      </c>
    </row>
    <row r="78" spans="1:36" ht="18" customHeight="1" x14ac:dyDescent="0.2">
      <c r="A78" s="193">
        <f t="shared" si="31"/>
        <v>0</v>
      </c>
      <c r="B78" s="653" t="s">
        <v>28384</v>
      </c>
      <c r="C78" s="665" t="s">
        <v>28536</v>
      </c>
      <c r="D78" s="814">
        <f>D65*C4*D36</f>
        <v>0</v>
      </c>
      <c r="E78" s="814">
        <f t="shared" si="30"/>
        <v>1080</v>
      </c>
      <c r="F78" s="814">
        <f>400+24+0.8-1.98</f>
        <v>422.82</v>
      </c>
      <c r="G78" s="1236">
        <v>0.8</v>
      </c>
      <c r="H78" s="2464">
        <f t="shared" si="21"/>
        <v>0.45664559999999998</v>
      </c>
      <c r="I78" s="2464"/>
      <c r="J78" s="2465">
        <f t="shared" si="32"/>
        <v>2.8677343679999998</v>
      </c>
      <c r="K78" s="2465">
        <f t="shared" si="27"/>
        <v>0</v>
      </c>
      <c r="L78" s="166" t="s">
        <v>53</v>
      </c>
      <c r="M78" s="1" t="s">
        <v>28403</v>
      </c>
      <c r="N78" s="116"/>
      <c r="O78" s="116"/>
      <c r="P78" s="116"/>
      <c r="Q78" s="1129"/>
      <c r="R78" s="2500" t="s">
        <v>9043</v>
      </c>
      <c r="S78" s="2498">
        <f>D78*(E78/1000)*(F78/1000)</f>
        <v>0</v>
      </c>
      <c r="T78" s="2499" t="s">
        <v>28181</v>
      </c>
      <c r="V78" s="1">
        <v>1</v>
      </c>
      <c r="Y78" s="1">
        <v>1</v>
      </c>
      <c r="AC78" s="155">
        <v>1</v>
      </c>
      <c r="AE78" s="1">
        <v>1</v>
      </c>
      <c r="AF78" s="682" t="s">
        <v>9035</v>
      </c>
      <c r="AG78" s="1">
        <v>0.222</v>
      </c>
      <c r="AH78" s="812" t="s">
        <v>27665</v>
      </c>
    </row>
    <row r="79" spans="1:36" ht="18" customHeight="1" x14ac:dyDescent="0.2">
      <c r="A79" s="193">
        <f t="shared" si="31"/>
        <v>0</v>
      </c>
      <c r="B79" s="653" t="s">
        <v>28381</v>
      </c>
      <c r="C79" s="665" t="s">
        <v>28541</v>
      </c>
      <c r="D79" s="814">
        <f>D65*C3*IF(D37+D39&gt;0,1,0)</f>
        <v>0</v>
      </c>
      <c r="E79" s="814">
        <f t="shared" si="30"/>
        <v>1080</v>
      </c>
      <c r="F79" s="814">
        <f>400+24+0.75-1.72</f>
        <v>423.03</v>
      </c>
      <c r="G79" s="1236">
        <v>0.75</v>
      </c>
      <c r="H79" s="2464">
        <f>E79*F79/1000/1000</f>
        <v>0.45687239999999996</v>
      </c>
      <c r="I79" s="2464"/>
      <c r="J79" s="2465">
        <f>G79*7.85*H79</f>
        <v>2.6898362549999995</v>
      </c>
      <c r="K79" s="2465">
        <f>D79*J79</f>
        <v>0</v>
      </c>
      <c r="L79" s="166" t="s">
        <v>53</v>
      </c>
      <c r="M79" s="1" t="s">
        <v>28402</v>
      </c>
      <c r="N79" s="116"/>
      <c r="O79" s="116"/>
      <c r="P79" s="116"/>
      <c r="Q79" s="1129"/>
      <c r="R79" s="2497" t="s">
        <v>8984</v>
      </c>
      <c r="S79" s="2498">
        <f>D79*(E79/1000)*(F79/1000)</f>
        <v>0</v>
      </c>
      <c r="T79" s="2499" t="s">
        <v>28181</v>
      </c>
      <c r="V79" s="1">
        <v>1</v>
      </c>
      <c r="Y79" s="1">
        <v>1</v>
      </c>
      <c r="AC79" s="155">
        <v>1</v>
      </c>
      <c r="AE79" s="1">
        <v>1</v>
      </c>
      <c r="AF79" s="682" t="s">
        <v>9037</v>
      </c>
      <c r="AG79" s="1">
        <v>1.222</v>
      </c>
      <c r="AH79" s="812" t="s">
        <v>27665</v>
      </c>
      <c r="AI79" s="193">
        <v>1</v>
      </c>
    </row>
    <row r="80" spans="1:36" ht="18" customHeight="1" x14ac:dyDescent="0.2">
      <c r="A80" s="193">
        <f t="shared" si="31"/>
        <v>0</v>
      </c>
      <c r="B80" s="653" t="s">
        <v>28382</v>
      </c>
      <c r="C80" s="665" t="s">
        <v>28542</v>
      </c>
      <c r="D80" s="814">
        <f>D65*C4*IF(D38+D40&gt;0,1,0)</f>
        <v>0</v>
      </c>
      <c r="E80" s="814">
        <f t="shared" si="30"/>
        <v>1080</v>
      </c>
      <c r="F80" s="814">
        <f>400+24+0.8-1.98</f>
        <v>422.82</v>
      </c>
      <c r="G80" s="1236">
        <v>0.8</v>
      </c>
      <c r="H80" s="2464">
        <f>E80*F80/1000/1000</f>
        <v>0.45664559999999998</v>
      </c>
      <c r="I80" s="2464"/>
      <c r="J80" s="2465">
        <f>G80*7.85*H80</f>
        <v>2.8677343679999998</v>
      </c>
      <c r="K80" s="2465">
        <f>D80*J80</f>
        <v>0</v>
      </c>
      <c r="L80" s="166" t="s">
        <v>53</v>
      </c>
      <c r="M80" s="1" t="s">
        <v>28403</v>
      </c>
      <c r="N80" s="116"/>
      <c r="O80" s="116"/>
      <c r="P80" s="116"/>
      <c r="Q80" s="1129"/>
      <c r="R80" s="2500" t="s">
        <v>9043</v>
      </c>
      <c r="S80" s="2498">
        <f>D80*(E80/1000)*(F80/1000)</f>
        <v>0</v>
      </c>
      <c r="T80" s="2499" t="s">
        <v>28181</v>
      </c>
      <c r="V80" s="1">
        <v>1</v>
      </c>
      <c r="Y80" s="1">
        <v>1</v>
      </c>
      <c r="AC80" s="155">
        <v>1</v>
      </c>
      <c r="AE80" s="1">
        <v>1</v>
      </c>
      <c r="AF80" s="682" t="s">
        <v>9035</v>
      </c>
      <c r="AG80" s="1">
        <v>0.222</v>
      </c>
      <c r="AH80" s="812" t="s">
        <v>27665</v>
      </c>
    </row>
    <row r="81" spans="1:36" s="1091" customFormat="1" ht="18" customHeight="1" x14ac:dyDescent="0.2">
      <c r="A81" s="1308">
        <f>IF(SUM(A77:A80)&gt;0,VLOOKUP(SUM(A77:A80),A77:C80,1,FALSE),0)</f>
        <v>0</v>
      </c>
      <c r="B81" s="1097">
        <f>IF(SUM(A77:A80)&gt;0,VLOOKUP(SUM(A77:A80),A77:C80,2,FALSE),0)</f>
        <v>0</v>
      </c>
      <c r="C81" s="1088">
        <f>IF(SUM(A77:A80)&gt;0,VLOOKUP(SUM(A77:A80),A77:C80,3,FALSE),0)</f>
        <v>0</v>
      </c>
      <c r="D81" s="1089"/>
      <c r="E81" s="1090"/>
      <c r="F81" s="1090"/>
      <c r="G81" s="1092"/>
      <c r="H81" s="2467"/>
      <c r="I81" s="2467"/>
      <c r="J81" s="2468"/>
      <c r="K81" s="2468"/>
      <c r="L81" s="1090"/>
      <c r="M81" s="1090"/>
      <c r="N81" s="1093"/>
      <c r="O81" s="1093"/>
      <c r="P81" s="1093"/>
      <c r="Q81" s="2453"/>
      <c r="R81" s="2505">
        <f>C81</f>
        <v>0</v>
      </c>
      <c r="S81" s="2506"/>
      <c r="T81" s="2506"/>
      <c r="V81" s="1090"/>
      <c r="Y81" s="1090"/>
      <c r="AD81" s="1090"/>
      <c r="AE81" s="1090"/>
      <c r="AF81" s="1094"/>
      <c r="AG81" s="1090"/>
      <c r="AH81" s="1095"/>
      <c r="AI81" s="1571"/>
      <c r="AJ81" s="1090"/>
    </row>
    <row r="82" spans="1:36" ht="18" customHeight="1" x14ac:dyDescent="0.2">
      <c r="A82" s="193">
        <f t="shared" si="31"/>
        <v>0</v>
      </c>
      <c r="B82" s="653" t="s">
        <v>29114</v>
      </c>
      <c r="C82" s="958" t="s">
        <v>29106</v>
      </c>
      <c r="D82" s="814">
        <f>D65*A3</f>
        <v>0</v>
      </c>
      <c r="E82" s="814">
        <f>$G$1-80-80</f>
        <v>920</v>
      </c>
      <c r="F82" s="814">
        <f>500-128-100</f>
        <v>272</v>
      </c>
      <c r="G82" s="1236">
        <v>0.75</v>
      </c>
      <c r="H82" s="2464">
        <f>E82*F82/1000/1000</f>
        <v>0.25024000000000002</v>
      </c>
      <c r="I82" s="2464"/>
      <c r="J82" s="2465">
        <f>G82*7.85*H82</f>
        <v>1.4732879999999999</v>
      </c>
      <c r="K82" s="2465">
        <f>D82*J82</f>
        <v>0</v>
      </c>
      <c r="L82" s="166" t="s">
        <v>53</v>
      </c>
      <c r="M82" s="1" t="s">
        <v>28402</v>
      </c>
      <c r="N82" s="1" t="s">
        <v>337</v>
      </c>
      <c r="Q82" s="36"/>
      <c r="R82" s="2497" t="s">
        <v>8984</v>
      </c>
      <c r="S82" s="2498">
        <f>D82*(E82/1000)*(F82/1000)</f>
        <v>0</v>
      </c>
      <c r="T82" s="2499" t="s">
        <v>28181</v>
      </c>
      <c r="V82" s="1">
        <v>1</v>
      </c>
      <c r="Y82" s="1">
        <v>1</v>
      </c>
      <c r="AC82" s="155">
        <v>1</v>
      </c>
      <c r="AD82" s="1">
        <f>K82*AC82</f>
        <v>0</v>
      </c>
      <c r="AE82" s="1">
        <v>1</v>
      </c>
      <c r="AF82" s="682" t="s">
        <v>9035</v>
      </c>
      <c r="AG82" s="1">
        <v>0.222</v>
      </c>
      <c r="AH82" s="812" t="s">
        <v>27665</v>
      </c>
      <c r="AI82" s="193">
        <v>1</v>
      </c>
    </row>
    <row r="83" spans="1:36" ht="18" customHeight="1" x14ac:dyDescent="0.2">
      <c r="A83" s="193">
        <f t="shared" si="31"/>
        <v>0</v>
      </c>
      <c r="B83" s="653" t="s">
        <v>29115</v>
      </c>
      <c r="C83" s="958" t="s">
        <v>29107</v>
      </c>
      <c r="D83" s="814">
        <f>D65*A4</f>
        <v>0</v>
      </c>
      <c r="E83" s="814">
        <f>$G$1-80-80</f>
        <v>920</v>
      </c>
      <c r="F83" s="814">
        <f>500-128-100</f>
        <v>272</v>
      </c>
      <c r="G83" s="1236">
        <v>0.8</v>
      </c>
      <c r="H83" s="2464">
        <f t="shared" si="21"/>
        <v>0.25024000000000002</v>
      </c>
      <c r="I83" s="2464"/>
      <c r="J83" s="2465">
        <f t="shared" si="32"/>
        <v>1.5715072000000001</v>
      </c>
      <c r="K83" s="2465">
        <f t="shared" si="27"/>
        <v>0</v>
      </c>
      <c r="L83" s="166" t="s">
        <v>53</v>
      </c>
      <c r="M83" s="1" t="s">
        <v>28403</v>
      </c>
      <c r="N83" s="1" t="s">
        <v>337</v>
      </c>
      <c r="Q83" s="36"/>
      <c r="R83" s="2500" t="s">
        <v>9043</v>
      </c>
      <c r="S83" s="2498">
        <f>D83*(E83/1000)*(F83/1000)</f>
        <v>0</v>
      </c>
      <c r="T83" s="2499" t="s">
        <v>28181</v>
      </c>
      <c r="V83" s="1">
        <v>1</v>
      </c>
      <c r="Y83" s="1">
        <v>1</v>
      </c>
      <c r="AC83" s="155">
        <v>1</v>
      </c>
      <c r="AD83" s="1">
        <f>K83*AC83</f>
        <v>0</v>
      </c>
      <c r="AE83" s="1">
        <v>1</v>
      </c>
      <c r="AF83" s="682" t="s">
        <v>9035</v>
      </c>
      <c r="AG83" s="1">
        <v>0.222</v>
      </c>
      <c r="AH83" s="812" t="s">
        <v>27665</v>
      </c>
    </row>
    <row r="84" spans="1:36" s="1091" customFormat="1" ht="18" customHeight="1" x14ac:dyDescent="0.2">
      <c r="A84" s="1308">
        <f>IF(SUM(A82:A83)&gt;0,VLOOKUP(SUM(A82:A83),A82:C83,1,FALSE),0)</f>
        <v>0</v>
      </c>
      <c r="B84" s="1097">
        <f>IF(SUM(A82:A83)&gt;0,VLOOKUP(SUM(A82:A83),A82:C83,2,FALSE),0)</f>
        <v>0</v>
      </c>
      <c r="C84" s="1088">
        <f>IF(SUM(A82:A83)&gt;0,VLOOKUP(SUM(A82:A83),A82:C83,3,FALSE),0)</f>
        <v>0</v>
      </c>
      <c r="D84" s="1089"/>
      <c r="E84" s="1090"/>
      <c r="F84" s="1090"/>
      <c r="G84" s="1092"/>
      <c r="H84" s="2467"/>
      <c r="I84" s="2467"/>
      <c r="J84" s="2468"/>
      <c r="K84" s="2468"/>
      <c r="L84" s="1090"/>
      <c r="M84" s="1090"/>
      <c r="N84" s="1093"/>
      <c r="O84" s="1093"/>
      <c r="P84" s="1093"/>
      <c r="Q84" s="2453"/>
      <c r="R84" s="2505">
        <f t="shared" ref="R84:R103" si="33">C84</f>
        <v>0</v>
      </c>
      <c r="S84" s="2506"/>
      <c r="T84" s="2506"/>
      <c r="V84" s="1090"/>
      <c r="Y84" s="1090"/>
      <c r="AD84" s="1090"/>
      <c r="AE84" s="1090"/>
      <c r="AF84" s="1094"/>
      <c r="AG84" s="1090"/>
      <c r="AH84" s="1095"/>
      <c r="AI84" s="1571"/>
      <c r="AJ84" s="1090"/>
    </row>
    <row r="85" spans="1:36" ht="18" customHeight="1" x14ac:dyDescent="0.2">
      <c r="B85" s="653" t="s">
        <v>29882</v>
      </c>
      <c r="C85" s="665" t="s">
        <v>27675</v>
      </c>
      <c r="D85" s="814">
        <f>ROUNDUP($G$1/250+1,0)*4*D65*0</f>
        <v>0</v>
      </c>
      <c r="E85" s="116">
        <v>0</v>
      </c>
      <c r="F85" s="200">
        <v>0</v>
      </c>
      <c r="G85" s="118">
        <v>0</v>
      </c>
      <c r="H85" s="2464">
        <f t="shared" si="21"/>
        <v>0</v>
      </c>
      <c r="I85" s="2464"/>
      <c r="J85" s="2465">
        <f>G85*7.85*H85</f>
        <v>0</v>
      </c>
      <c r="K85" s="2465">
        <f t="shared" si="27"/>
        <v>0</v>
      </c>
      <c r="L85" s="1" t="s">
        <v>53</v>
      </c>
      <c r="N85" s="166"/>
      <c r="O85" s="166"/>
      <c r="P85" s="166"/>
      <c r="Q85" s="61"/>
      <c r="R85" s="2501" t="str">
        <f t="shared" si="33"/>
        <v>0123025</v>
      </c>
      <c r="S85" s="2502">
        <f>D85</f>
        <v>0</v>
      </c>
      <c r="T85" s="2503" t="s">
        <v>53</v>
      </c>
      <c r="V85" s="1">
        <v>1</v>
      </c>
      <c r="AC85" s="155">
        <v>1</v>
      </c>
      <c r="AD85" s="1">
        <f>K85*AC85</f>
        <v>0</v>
      </c>
      <c r="AE85" s="1">
        <v>1</v>
      </c>
    </row>
    <row r="86" spans="1:36" ht="18" customHeight="1" x14ac:dyDescent="0.2">
      <c r="B86" s="2" t="s">
        <v>279</v>
      </c>
      <c r="C86" s="665"/>
      <c r="D86" s="814">
        <f>D65</f>
        <v>0</v>
      </c>
      <c r="E86" s="116">
        <f>E87+E88</f>
        <v>1080</v>
      </c>
      <c r="F86" s="116">
        <f>F91</f>
        <v>186</v>
      </c>
      <c r="H86" s="2464">
        <f t="shared" si="21"/>
        <v>0.20088</v>
      </c>
      <c r="I86" s="2464"/>
      <c r="J86" s="2465">
        <f>G86*8*H86</f>
        <v>0</v>
      </c>
      <c r="K86" s="2465">
        <f t="shared" ref="K86:K96" si="34">D86*J86</f>
        <v>0</v>
      </c>
      <c r="Q86" s="36"/>
      <c r="R86" s="2504">
        <f t="shared" si="33"/>
        <v>0</v>
      </c>
      <c r="S86" s="2493"/>
      <c r="T86" s="2493"/>
    </row>
    <row r="87" spans="1:36" ht="18" customHeight="1" x14ac:dyDescent="0.2">
      <c r="B87" s="653" t="s">
        <v>29617</v>
      </c>
      <c r="C87" s="665" t="s">
        <v>832</v>
      </c>
      <c r="D87" s="814">
        <f>D86</f>
        <v>0</v>
      </c>
      <c r="E87" s="116">
        <f>IF($G$1&lt;2491,$G$1,0)+IF(AND($G$1&gt;2490,$G$1&lt;2791),$G$1-300,0)+IF(AND($G$1&gt;2790),2490,0)</f>
        <v>1080</v>
      </c>
      <c r="F87" s="116">
        <f>F89</f>
        <v>286</v>
      </c>
      <c r="G87" s="118">
        <v>6</v>
      </c>
      <c r="H87" s="2464">
        <f t="shared" si="21"/>
        <v>0.30887999999999999</v>
      </c>
      <c r="I87" s="2464"/>
      <c r="J87" s="2465">
        <f>10.5*H87</f>
        <v>3.2432399999999997</v>
      </c>
      <c r="K87" s="2465">
        <f t="shared" si="34"/>
        <v>0</v>
      </c>
      <c r="L87" s="1" t="s">
        <v>28399</v>
      </c>
      <c r="N87" s="117" t="s">
        <v>312</v>
      </c>
      <c r="O87" s="117">
        <v>19</v>
      </c>
      <c r="P87" s="109" t="s">
        <v>28877</v>
      </c>
      <c r="Q87" s="2452"/>
      <c r="R87" s="2494" t="str">
        <f t="shared" si="33"/>
        <v>0202003</v>
      </c>
      <c r="S87" s="2495">
        <f t="shared" ref="S87:S100" si="35">D87*(E87/1000)*(F87/1000)</f>
        <v>0</v>
      </c>
      <c r="T87" s="2496" t="s">
        <v>28181</v>
      </c>
      <c r="V87" s="1">
        <v>1</v>
      </c>
      <c r="AC87" s="155">
        <v>1</v>
      </c>
      <c r="AD87" s="1">
        <f t="shared" ref="AD87:AD102" si="36">K87*AC87</f>
        <v>0</v>
      </c>
      <c r="AE87" s="1">
        <v>1</v>
      </c>
    </row>
    <row r="88" spans="1:36" ht="18" customHeight="1" x14ac:dyDescent="0.2">
      <c r="B88" s="653" t="s">
        <v>29617</v>
      </c>
      <c r="C88" s="665" t="s">
        <v>832</v>
      </c>
      <c r="D88" s="814">
        <f>IF(E88&gt;0,D87,0)</f>
        <v>0</v>
      </c>
      <c r="E88" s="116">
        <f>IF(E87&lt;$G$1,$G$1-E87,0)</f>
        <v>0</v>
      </c>
      <c r="F88" s="116">
        <f>F89</f>
        <v>286</v>
      </c>
      <c r="G88" s="118">
        <v>6</v>
      </c>
      <c r="H88" s="2464">
        <f>E88*F88/1000/1000</f>
        <v>0</v>
      </c>
      <c r="I88" s="2464"/>
      <c r="J88" s="2465">
        <f>10.5*H88</f>
        <v>0</v>
      </c>
      <c r="K88" s="2465">
        <f t="shared" si="34"/>
        <v>0</v>
      </c>
      <c r="L88" s="1" t="s">
        <v>28399</v>
      </c>
      <c r="N88" s="117" t="s">
        <v>312</v>
      </c>
      <c r="O88" s="117">
        <v>20</v>
      </c>
      <c r="P88" s="109" t="s">
        <v>28877</v>
      </c>
      <c r="Q88" s="2452"/>
      <c r="R88" s="2494" t="str">
        <f t="shared" si="33"/>
        <v>0202003</v>
      </c>
      <c r="S88" s="2495">
        <f t="shared" si="35"/>
        <v>0</v>
      </c>
      <c r="T88" s="2496" t="s">
        <v>28181</v>
      </c>
      <c r="V88" s="1">
        <v>1</v>
      </c>
      <c r="AC88" s="155">
        <v>1</v>
      </c>
      <c r="AD88" s="1">
        <f t="shared" si="36"/>
        <v>0</v>
      </c>
      <c r="AE88" s="1">
        <v>1</v>
      </c>
    </row>
    <row r="89" spans="1:36" ht="18" customHeight="1" x14ac:dyDescent="0.2">
      <c r="B89" s="653" t="s">
        <v>29619</v>
      </c>
      <c r="C89" s="665" t="s">
        <v>29522</v>
      </c>
      <c r="D89" s="814">
        <f>D87</f>
        <v>0</v>
      </c>
      <c r="E89" s="116">
        <f>IF($G$1&lt;2491,$G$1,0)+IF(AND($G$1&gt;2490,$G$1&lt;2791),$G$1-300,0)+IF(AND($G$1&gt;2790),2490,0)</f>
        <v>1080</v>
      </c>
      <c r="F89" s="116">
        <f>G2-F68-F51*D50</f>
        <v>286</v>
      </c>
      <c r="G89" s="118">
        <v>18</v>
      </c>
      <c r="H89" s="2464">
        <f t="shared" si="21"/>
        <v>0.30887999999999999</v>
      </c>
      <c r="I89" s="2464"/>
      <c r="J89" s="2465">
        <f>10.3*H89</f>
        <v>3.1814640000000001</v>
      </c>
      <c r="K89" s="2465">
        <f t="shared" si="34"/>
        <v>0</v>
      </c>
      <c r="L89" s="1" t="s">
        <v>28399</v>
      </c>
      <c r="N89" s="117" t="s">
        <v>313</v>
      </c>
      <c r="O89" s="117">
        <v>21</v>
      </c>
      <c r="P89" s="109" t="s">
        <v>28877</v>
      </c>
      <c r="Q89" s="2452"/>
      <c r="R89" s="2494" t="str">
        <f t="shared" si="33"/>
        <v>0202018</v>
      </c>
      <c r="S89" s="2495">
        <f t="shared" si="35"/>
        <v>0</v>
      </c>
      <c r="T89" s="2496" t="s">
        <v>28181</v>
      </c>
      <c r="V89" s="1">
        <v>1</v>
      </c>
      <c r="AC89" s="155">
        <v>1</v>
      </c>
      <c r="AD89" s="1">
        <f t="shared" si="36"/>
        <v>0</v>
      </c>
      <c r="AE89" s="1">
        <v>1</v>
      </c>
    </row>
    <row r="90" spans="1:36" ht="18" customHeight="1" x14ac:dyDescent="0.2">
      <c r="B90" s="653" t="s">
        <v>29619</v>
      </c>
      <c r="C90" s="665" t="s">
        <v>29522</v>
      </c>
      <c r="D90" s="814">
        <f>IF(E90&gt;0,D89,0)</f>
        <v>0</v>
      </c>
      <c r="E90" s="116">
        <f>IF(E89&lt;$G$1,$G$1-E89,0)</f>
        <v>0</v>
      </c>
      <c r="F90" s="116">
        <f>G2-F68-F51*D50</f>
        <v>286</v>
      </c>
      <c r="G90" s="118">
        <v>18</v>
      </c>
      <c r="H90" s="2464">
        <f>E90*F90/1000/1000</f>
        <v>0</v>
      </c>
      <c r="I90" s="2464"/>
      <c r="J90" s="2465">
        <f>10.3*H90</f>
        <v>0</v>
      </c>
      <c r="K90" s="2465">
        <f t="shared" si="34"/>
        <v>0</v>
      </c>
      <c r="L90" s="1" t="s">
        <v>28399</v>
      </c>
      <c r="N90" s="117" t="s">
        <v>313</v>
      </c>
      <c r="O90" s="117">
        <v>22</v>
      </c>
      <c r="P90" s="109" t="s">
        <v>28877</v>
      </c>
      <c r="Q90" s="2452"/>
      <c r="R90" s="2494" t="str">
        <f t="shared" si="33"/>
        <v>0202018</v>
      </c>
      <c r="S90" s="2495">
        <f t="shared" si="35"/>
        <v>0</v>
      </c>
      <c r="T90" s="2496" t="s">
        <v>28181</v>
      </c>
      <c r="V90" s="1">
        <v>1</v>
      </c>
      <c r="AC90" s="155">
        <v>1</v>
      </c>
      <c r="AD90" s="1">
        <f t="shared" si="36"/>
        <v>0</v>
      </c>
      <c r="AE90" s="1">
        <v>1</v>
      </c>
    </row>
    <row r="91" spans="1:36" ht="18" customHeight="1" x14ac:dyDescent="0.2">
      <c r="B91" s="653" t="s">
        <v>29620</v>
      </c>
      <c r="C91" s="665" t="s">
        <v>29522</v>
      </c>
      <c r="D91" s="814">
        <f>D89</f>
        <v>0</v>
      </c>
      <c r="E91" s="116">
        <f>IF($G$1&lt;2491,$G$1,0)+IF(AND($G$1&gt;2490,$G$1&lt;2791),$G$1-300,0)+IF(AND($G$1&gt;2790),2490,0)</f>
        <v>1080</v>
      </c>
      <c r="F91" s="116">
        <f>F93</f>
        <v>186</v>
      </c>
      <c r="G91" s="118">
        <v>18</v>
      </c>
      <c r="H91" s="2464">
        <f t="shared" si="21"/>
        <v>0.20088</v>
      </c>
      <c r="I91" s="2464"/>
      <c r="J91" s="2465">
        <f>10.3*H91</f>
        <v>2.069064</v>
      </c>
      <c r="K91" s="2465">
        <f t="shared" si="34"/>
        <v>0</v>
      </c>
      <c r="L91" s="1" t="s">
        <v>28399</v>
      </c>
      <c r="N91" s="117" t="s">
        <v>314</v>
      </c>
      <c r="O91" s="117">
        <v>23</v>
      </c>
      <c r="P91" s="109" t="s">
        <v>28877</v>
      </c>
      <c r="Q91" s="2452"/>
      <c r="R91" s="2494" t="str">
        <f t="shared" si="33"/>
        <v>0202018</v>
      </c>
      <c r="S91" s="2495">
        <f t="shared" si="35"/>
        <v>0</v>
      </c>
      <c r="T91" s="2496" t="s">
        <v>28181</v>
      </c>
      <c r="V91" s="1">
        <v>1</v>
      </c>
      <c r="AC91" s="155">
        <v>1</v>
      </c>
      <c r="AD91" s="1">
        <f t="shared" si="36"/>
        <v>0</v>
      </c>
      <c r="AE91" s="1">
        <v>1</v>
      </c>
    </row>
    <row r="92" spans="1:36" ht="18" customHeight="1" x14ac:dyDescent="0.2">
      <c r="B92" s="653" t="s">
        <v>29620</v>
      </c>
      <c r="C92" s="665" t="s">
        <v>29522</v>
      </c>
      <c r="D92" s="814">
        <f>IF(E92&gt;0,D91,0)</f>
        <v>0</v>
      </c>
      <c r="E92" s="116">
        <f>IF(E91&lt;$G$1,$G$1-E91,0)</f>
        <v>0</v>
      </c>
      <c r="F92" s="116">
        <f>F93</f>
        <v>186</v>
      </c>
      <c r="G92" s="118">
        <v>18</v>
      </c>
      <c r="H92" s="2464">
        <f>E92*F92/1000/1000</f>
        <v>0</v>
      </c>
      <c r="I92" s="2464"/>
      <c r="J92" s="2465">
        <f>10.3*H92</f>
        <v>0</v>
      </c>
      <c r="K92" s="2465">
        <f t="shared" si="34"/>
        <v>0</v>
      </c>
      <c r="L92" s="1" t="s">
        <v>28399</v>
      </c>
      <c r="N92" s="117" t="s">
        <v>314</v>
      </c>
      <c r="O92" s="117">
        <v>24</v>
      </c>
      <c r="P92" s="109" t="s">
        <v>28877</v>
      </c>
      <c r="Q92" s="2452"/>
      <c r="R92" s="2494" t="str">
        <f t="shared" si="33"/>
        <v>0202018</v>
      </c>
      <c r="S92" s="2495">
        <f t="shared" si="35"/>
        <v>0</v>
      </c>
      <c r="T92" s="2496" t="s">
        <v>28181</v>
      </c>
      <c r="V92" s="1">
        <v>1</v>
      </c>
      <c r="AC92" s="155">
        <v>1</v>
      </c>
      <c r="AD92" s="1">
        <f t="shared" si="36"/>
        <v>0</v>
      </c>
      <c r="AE92" s="1">
        <v>1</v>
      </c>
    </row>
    <row r="93" spans="1:36" ht="18" customHeight="1" x14ac:dyDescent="0.2">
      <c r="B93" s="653" t="s">
        <v>29618</v>
      </c>
      <c r="C93" s="665" t="s">
        <v>832</v>
      </c>
      <c r="D93" s="814">
        <f>D91</f>
        <v>0</v>
      </c>
      <c r="E93" s="116">
        <f>IF($G$1&lt;2491,$G$1,0)+IF(AND($G$1&gt;2490,$G$1&lt;2791),$G$1-300,0)+IF(AND($G$1&gt;2790),2490,0)</f>
        <v>1080</v>
      </c>
      <c r="F93" s="116">
        <f>G2-F72-D50*F51</f>
        <v>186</v>
      </c>
      <c r="G93" s="118">
        <v>6</v>
      </c>
      <c r="H93" s="2464">
        <f t="shared" si="21"/>
        <v>0.20088</v>
      </c>
      <c r="I93" s="2464"/>
      <c r="J93" s="2465">
        <f>10.5*H93</f>
        <v>2.1092400000000002</v>
      </c>
      <c r="K93" s="2465">
        <f t="shared" si="34"/>
        <v>0</v>
      </c>
      <c r="L93" s="1" t="s">
        <v>28399</v>
      </c>
      <c r="N93" s="117" t="s">
        <v>315</v>
      </c>
      <c r="O93" s="117">
        <v>25</v>
      </c>
      <c r="P93" s="109" t="s">
        <v>28877</v>
      </c>
      <c r="Q93" s="2452"/>
      <c r="R93" s="2494" t="str">
        <f t="shared" si="33"/>
        <v>0202003</v>
      </c>
      <c r="S93" s="2495">
        <f t="shared" si="35"/>
        <v>0</v>
      </c>
      <c r="T93" s="2496" t="s">
        <v>28181</v>
      </c>
      <c r="V93" s="1">
        <v>1</v>
      </c>
      <c r="AC93" s="155">
        <v>1</v>
      </c>
      <c r="AD93" s="1">
        <f t="shared" si="36"/>
        <v>0</v>
      </c>
      <c r="AE93" s="1">
        <v>1</v>
      </c>
    </row>
    <row r="94" spans="1:36" ht="18" customHeight="1" x14ac:dyDescent="0.2">
      <c r="B94" s="653" t="s">
        <v>29618</v>
      </c>
      <c r="C94" s="665" t="s">
        <v>832</v>
      </c>
      <c r="D94" s="814">
        <f>IF(E94&gt;0,D93,0)</f>
        <v>0</v>
      </c>
      <c r="E94" s="116">
        <f>IF(E93&lt;$G$1,$G$1-E93,0)</f>
        <v>0</v>
      </c>
      <c r="F94" s="116">
        <f>G2-F72-D50*F51</f>
        <v>186</v>
      </c>
      <c r="G94" s="118">
        <v>6</v>
      </c>
      <c r="H94" s="2464">
        <f>E94*F94/1000/1000</f>
        <v>0</v>
      </c>
      <c r="I94" s="2464"/>
      <c r="J94" s="2465">
        <f>10.5*H94</f>
        <v>0</v>
      </c>
      <c r="K94" s="2465">
        <f t="shared" si="34"/>
        <v>0</v>
      </c>
      <c r="L94" s="1" t="s">
        <v>28399</v>
      </c>
      <c r="N94" s="117" t="s">
        <v>315</v>
      </c>
      <c r="O94" s="117">
        <v>26</v>
      </c>
      <c r="P94" s="109" t="s">
        <v>28877</v>
      </c>
      <c r="Q94" s="2452"/>
      <c r="R94" s="2494" t="str">
        <f t="shared" si="33"/>
        <v>0202003</v>
      </c>
      <c r="S94" s="2495">
        <f t="shared" si="35"/>
        <v>0</v>
      </c>
      <c r="T94" s="2496" t="s">
        <v>28181</v>
      </c>
      <c r="V94" s="1">
        <v>1</v>
      </c>
      <c r="AC94" s="155">
        <v>1</v>
      </c>
      <c r="AD94" s="1">
        <f t="shared" si="36"/>
        <v>0</v>
      </c>
      <c r="AE94" s="1">
        <v>1</v>
      </c>
    </row>
    <row r="95" spans="1:36" ht="18" customHeight="1" x14ac:dyDescent="0.2">
      <c r="B95" s="653" t="s">
        <v>29624</v>
      </c>
      <c r="C95" s="665" t="s">
        <v>832</v>
      </c>
      <c r="D95" s="1806">
        <f>('Berechnung &amp; Tabellen'!$D$9*$L$2*5+$L$1*'Berechnung &amp; Tabellen'!$D$9)*IF(Dateneingabe!E159=1,0,1)</f>
        <v>1</v>
      </c>
      <c r="E95" s="116">
        <f>IF($H$1&lt;2491,$H$1,0)+IF(AND($H$1&gt;2490,$H$1&lt;2791),$H$1-300,0)+IF(AND($H$1&gt;2790),2490,0)</f>
        <v>960</v>
      </c>
      <c r="F95" s="116">
        <f>IF(Dateneingabe!$H$32=150,100,80)</f>
        <v>80</v>
      </c>
      <c r="G95" s="118">
        <v>6</v>
      </c>
      <c r="H95" s="2464">
        <f t="shared" si="21"/>
        <v>7.6799999999999993E-2</v>
      </c>
      <c r="I95" s="2464"/>
      <c r="J95" s="2465">
        <f>10.5*H95</f>
        <v>0.80639999999999989</v>
      </c>
      <c r="K95" s="2465">
        <f t="shared" si="34"/>
        <v>0.80639999999999989</v>
      </c>
      <c r="L95" s="1" t="s">
        <v>28399</v>
      </c>
      <c r="N95" s="117" t="s">
        <v>316</v>
      </c>
      <c r="O95" s="117">
        <v>27</v>
      </c>
      <c r="P95" s="109" t="s">
        <v>28877</v>
      </c>
      <c r="Q95" s="2452"/>
      <c r="R95" s="2494" t="str">
        <f t="shared" si="33"/>
        <v>0202003</v>
      </c>
      <c r="S95" s="2495">
        <f t="shared" si="35"/>
        <v>7.6799999999999993E-2</v>
      </c>
      <c r="T95" s="2496" t="s">
        <v>28181</v>
      </c>
      <c r="V95" s="1">
        <v>1</v>
      </c>
      <c r="AC95" s="155">
        <v>1</v>
      </c>
      <c r="AD95" s="1">
        <f t="shared" si="36"/>
        <v>0.80639999999999989</v>
      </c>
      <c r="AE95" s="1">
        <v>1</v>
      </c>
    </row>
    <row r="96" spans="1:36" ht="18" customHeight="1" x14ac:dyDescent="0.2">
      <c r="B96" s="653" t="s">
        <v>29624</v>
      </c>
      <c r="C96" s="665" t="s">
        <v>832</v>
      </c>
      <c r="D96" s="1806">
        <f>IF(E96&gt;0,D95,0)</f>
        <v>0</v>
      </c>
      <c r="E96" s="116">
        <f>IF(E95&lt;$H$1,$H$1-E95,0)</f>
        <v>0</v>
      </c>
      <c r="F96" s="116">
        <f>IF(Dateneingabe!$H$32=150,100,80)</f>
        <v>80</v>
      </c>
      <c r="G96" s="118">
        <v>6</v>
      </c>
      <c r="H96" s="2464">
        <f>E96*F96/1000/1000</f>
        <v>0</v>
      </c>
      <c r="I96" s="2464"/>
      <c r="J96" s="2465">
        <f>10.5*H96</f>
        <v>0</v>
      </c>
      <c r="K96" s="2465">
        <f t="shared" si="34"/>
        <v>0</v>
      </c>
      <c r="L96" s="1" t="s">
        <v>28399</v>
      </c>
      <c r="N96" s="117" t="s">
        <v>316</v>
      </c>
      <c r="O96" s="117">
        <v>28</v>
      </c>
      <c r="P96" s="109" t="s">
        <v>28877</v>
      </c>
      <c r="Q96" s="2452"/>
      <c r="R96" s="2494" t="str">
        <f t="shared" si="33"/>
        <v>0202003</v>
      </c>
      <c r="S96" s="2495">
        <f t="shared" si="35"/>
        <v>0</v>
      </c>
      <c r="T96" s="2496" t="s">
        <v>28181</v>
      </c>
      <c r="V96" s="1">
        <v>1</v>
      </c>
      <c r="AC96" s="155">
        <v>1</v>
      </c>
      <c r="AD96" s="1">
        <f t="shared" si="36"/>
        <v>0</v>
      </c>
      <c r="AE96" s="1">
        <v>1</v>
      </c>
    </row>
    <row r="97" spans="1:36" ht="18" customHeight="1" x14ac:dyDescent="0.2">
      <c r="B97" s="653" t="s">
        <v>833</v>
      </c>
      <c r="C97" s="665" t="s">
        <v>29522</v>
      </c>
      <c r="D97" s="1806">
        <f>('Berechnung &amp; Tabellen'!$D$9*($L$1*2+IF(Dateneingabe!H32=150,6,0)))*IF(Dateneingabe!E159=1,0,1)</f>
        <v>2</v>
      </c>
      <c r="E97" s="116">
        <f>IF(AND($L$2=1,$H$1&lt;2001),$H$1,0)+IF(AND($L$2=1,$H$1&gt;2000,$H$1&lt;2301),$H$1-300,0)+IF(AND($L$2=1,$H$1&gt;2300),2000,0)+IF(AND($L$1=1,$H$1&lt;2471),$H$1,0)+IF(AND($L$1=1,$H$1&gt;2470,$H$1&lt;2771),$H$1-300,0)+IF(AND($L$1=1,$H$1&gt;2770),2470,0)</f>
        <v>960</v>
      </c>
      <c r="F97" s="116">
        <f>IF(Dateneingabe!$H$32=150,100,80)</f>
        <v>80</v>
      </c>
      <c r="G97" s="118">
        <v>18</v>
      </c>
      <c r="H97" s="2464">
        <v>0.1168</v>
      </c>
      <c r="I97" s="2464"/>
      <c r="J97" s="2465">
        <v>1.2263999999999999</v>
      </c>
      <c r="K97" s="2465">
        <v>0</v>
      </c>
      <c r="L97" s="1" t="s">
        <v>28399</v>
      </c>
      <c r="N97" s="117" t="s">
        <v>316</v>
      </c>
      <c r="O97" s="117">
        <v>29</v>
      </c>
      <c r="P97" s="109" t="s">
        <v>28877</v>
      </c>
      <c r="Q97" s="2452"/>
      <c r="R97" s="2494" t="str">
        <f t="shared" si="33"/>
        <v>0202018</v>
      </c>
      <c r="S97" s="2495">
        <f t="shared" si="35"/>
        <v>0.15359999999999999</v>
      </c>
      <c r="T97" s="2496" t="s">
        <v>28181</v>
      </c>
      <c r="V97" s="1">
        <v>1</v>
      </c>
      <c r="AC97" s="155">
        <v>1</v>
      </c>
      <c r="AD97" s="1">
        <f t="shared" si="36"/>
        <v>0</v>
      </c>
      <c r="AE97" s="1">
        <v>1</v>
      </c>
    </row>
    <row r="98" spans="1:36" ht="18" customHeight="1" x14ac:dyDescent="0.2">
      <c r="B98" s="653" t="s">
        <v>833</v>
      </c>
      <c r="C98" s="665" t="s">
        <v>29522</v>
      </c>
      <c r="D98" s="1806">
        <f>IF(E98&gt;0,D97,0)</f>
        <v>0</v>
      </c>
      <c r="E98" s="116">
        <f>IF(E97&lt;$H$1,$H$1-E97,0)</f>
        <v>0</v>
      </c>
      <c r="F98" s="116">
        <f>IF(Dateneingabe!$H$32=150,100,80)</f>
        <v>80</v>
      </c>
      <c r="G98" s="118">
        <v>18</v>
      </c>
      <c r="H98" s="2464">
        <v>1.1168</v>
      </c>
      <c r="I98" s="2464"/>
      <c r="J98" s="2465">
        <v>2.2263999999999999</v>
      </c>
      <c r="K98" s="2465">
        <v>1</v>
      </c>
      <c r="L98" s="1" t="s">
        <v>28399</v>
      </c>
      <c r="N98" s="117" t="s">
        <v>316</v>
      </c>
      <c r="O98" s="117">
        <v>30</v>
      </c>
      <c r="P98" s="109" t="s">
        <v>28877</v>
      </c>
      <c r="Q98" s="2452"/>
      <c r="R98" s="2494" t="str">
        <f t="shared" si="33"/>
        <v>0202018</v>
      </c>
      <c r="S98" s="2495">
        <f t="shared" si="35"/>
        <v>0</v>
      </c>
      <c r="T98" s="2496" t="s">
        <v>28181</v>
      </c>
      <c r="V98" s="1">
        <v>1</v>
      </c>
      <c r="AC98" s="155">
        <v>1</v>
      </c>
      <c r="AD98" s="1">
        <f t="shared" si="36"/>
        <v>1</v>
      </c>
      <c r="AE98" s="1">
        <v>1</v>
      </c>
    </row>
    <row r="99" spans="1:36" ht="18" customHeight="1" x14ac:dyDescent="0.2">
      <c r="B99" s="653" t="s">
        <v>28780</v>
      </c>
      <c r="C99" s="665" t="s">
        <v>293</v>
      </c>
      <c r="D99" s="1806">
        <f>(IF(Dateneingabe!H32=150,0,'Berechnung &amp; Tabellen'!$D$9*$L$1*2))*IF(Dateneingabe!E159=1,0,1)</f>
        <v>2</v>
      </c>
      <c r="E99" s="116">
        <f>IF(AND($L$1=1,$H$1&lt;2001),$H$1,0)+IF(AND($L$1=1,$H$1&gt;2000,$H$1&lt;2301),$H$1-300,0)+IF(AND($L$1=1,$H$1&gt;2300),2000,0)</f>
        <v>960</v>
      </c>
      <c r="F99" s="116">
        <f>IF(Dateneingabe!$H$32=150,100,80)</f>
        <v>80</v>
      </c>
      <c r="G99" s="118">
        <v>12.5</v>
      </c>
      <c r="H99" s="2464">
        <v>0.1168</v>
      </c>
      <c r="I99" s="2464"/>
      <c r="J99" s="2465">
        <v>1.2263999999999999</v>
      </c>
      <c r="K99" s="2465">
        <v>0</v>
      </c>
      <c r="L99" s="1" t="s">
        <v>28399</v>
      </c>
      <c r="N99" s="117" t="s">
        <v>316</v>
      </c>
      <c r="O99" s="117">
        <v>31</v>
      </c>
      <c r="P99" s="109" t="s">
        <v>28877</v>
      </c>
      <c r="Q99" s="2452"/>
      <c r="R99" s="2494" t="str">
        <f t="shared" si="33"/>
        <v>0708161</v>
      </c>
      <c r="S99" s="2495">
        <f t="shared" si="35"/>
        <v>0.15359999999999999</v>
      </c>
      <c r="T99" s="2496" t="s">
        <v>28181</v>
      </c>
      <c r="V99" s="1">
        <v>1</v>
      </c>
      <c r="AC99" s="155">
        <v>1</v>
      </c>
      <c r="AD99" s="1">
        <f t="shared" si="36"/>
        <v>0</v>
      </c>
      <c r="AE99" s="1">
        <v>1</v>
      </c>
    </row>
    <row r="100" spans="1:36" ht="18" customHeight="1" x14ac:dyDescent="0.2">
      <c r="B100" s="653" t="s">
        <v>28780</v>
      </c>
      <c r="C100" s="665" t="s">
        <v>293</v>
      </c>
      <c r="D100" s="1806">
        <f>IF(E100&gt;0,D99,0)</f>
        <v>0</v>
      </c>
      <c r="E100" s="116">
        <f>IF(E99&lt;$H$1,$H$1-E99,0)</f>
        <v>0</v>
      </c>
      <c r="F100" s="116">
        <f>IF(Dateneingabe!$H$32=150,100,80)</f>
        <v>80</v>
      </c>
      <c r="G100" s="118">
        <v>12.5</v>
      </c>
      <c r="H100" s="2464">
        <v>1.1168</v>
      </c>
      <c r="I100" s="2464"/>
      <c r="J100" s="2465">
        <v>2.2263999999999999</v>
      </c>
      <c r="K100" s="2465">
        <v>1</v>
      </c>
      <c r="L100" s="1" t="s">
        <v>28399</v>
      </c>
      <c r="N100" s="117" t="s">
        <v>316</v>
      </c>
      <c r="O100" s="117">
        <v>32</v>
      </c>
      <c r="P100" s="109" t="s">
        <v>28877</v>
      </c>
      <c r="Q100" s="2452"/>
      <c r="R100" s="2494" t="str">
        <f t="shared" si="33"/>
        <v>0708161</v>
      </c>
      <c r="S100" s="2495">
        <f t="shared" si="35"/>
        <v>0</v>
      </c>
      <c r="T100" s="2496" t="s">
        <v>28181</v>
      </c>
      <c r="V100" s="1">
        <v>1</v>
      </c>
      <c r="AC100" s="155">
        <v>1</v>
      </c>
      <c r="AD100" s="1">
        <f t="shared" si="36"/>
        <v>1</v>
      </c>
      <c r="AE100" s="1">
        <v>1</v>
      </c>
    </row>
    <row r="101" spans="1:36" ht="18" customHeight="1" x14ac:dyDescent="0.2">
      <c r="A101" s="193">
        <f>D101</f>
        <v>0</v>
      </c>
      <c r="B101" s="653" t="s">
        <v>29636</v>
      </c>
      <c r="C101" s="665" t="s">
        <v>29452</v>
      </c>
      <c r="D101" s="1806">
        <f>IF(Dateneingabe!$H$32=150,IF(Liste!$G$1&gt;1065,ROUNDUP((Liste!$G$1-265)/800,0),2),0)*Dateneingabe!G142</f>
        <v>0</v>
      </c>
      <c r="E101" s="116">
        <v>20</v>
      </c>
      <c r="F101" s="116">
        <v>455</v>
      </c>
      <c r="G101" s="118">
        <v>0.8</v>
      </c>
      <c r="H101" s="2464">
        <f>E101*F101/1000/1000</f>
        <v>9.1000000000000004E-3</v>
      </c>
      <c r="I101" s="2464"/>
      <c r="J101" s="2465">
        <f>G101*7.85*H101</f>
        <v>5.7148000000000004E-2</v>
      </c>
      <c r="K101" s="2465">
        <f>D101*J101</f>
        <v>0</v>
      </c>
      <c r="L101" s="1" t="s">
        <v>53</v>
      </c>
      <c r="M101" s="1" t="s">
        <v>28403</v>
      </c>
      <c r="N101" s="117"/>
      <c r="O101" s="117"/>
      <c r="P101" s="109"/>
      <c r="Q101" s="2452"/>
      <c r="R101" s="2501" t="str">
        <f t="shared" si="33"/>
        <v>0338372</v>
      </c>
      <c r="S101" s="2502">
        <f>D101</f>
        <v>0</v>
      </c>
      <c r="T101" s="2503" t="s">
        <v>53</v>
      </c>
      <c r="V101" s="1">
        <v>1</v>
      </c>
      <c r="Y101" s="1">
        <v>1</v>
      </c>
      <c r="AC101" s="155">
        <v>1</v>
      </c>
      <c r="AD101" s="1">
        <f t="shared" si="36"/>
        <v>0</v>
      </c>
      <c r="AE101" s="1">
        <v>1</v>
      </c>
    </row>
    <row r="102" spans="1:36" ht="18" customHeight="1" x14ac:dyDescent="0.2">
      <c r="A102" s="193">
        <f>D102</f>
        <v>0</v>
      </c>
      <c r="B102" s="653" t="s">
        <v>29637</v>
      </c>
      <c r="C102" s="665" t="s">
        <v>29638</v>
      </c>
      <c r="D102" s="1806">
        <f>IF(Dateneingabe!$H$32=150,IF(Liste!$G$1&gt;1065,ROUNDUP((Liste!$G$1-265)/800,0),2),0)*Dateneingabe!G143</f>
        <v>0</v>
      </c>
      <c r="E102" s="116">
        <v>20</v>
      </c>
      <c r="F102" s="116">
        <v>955</v>
      </c>
      <c r="G102" s="118">
        <v>0.8</v>
      </c>
      <c r="H102" s="2464">
        <f>E102*F102/1000/1000</f>
        <v>1.9100000000000002E-2</v>
      </c>
      <c r="I102" s="2464"/>
      <c r="J102" s="2465">
        <f>G102*7.85*H102</f>
        <v>0.11994800000000001</v>
      </c>
      <c r="K102" s="2465">
        <f>D102*J102</f>
        <v>0</v>
      </c>
      <c r="L102" s="1" t="s">
        <v>53</v>
      </c>
      <c r="M102" s="1" t="s">
        <v>28403</v>
      </c>
      <c r="N102" s="117"/>
      <c r="O102" s="117"/>
      <c r="P102" s="109"/>
      <c r="Q102" s="2452"/>
      <c r="R102" s="2501" t="str">
        <f t="shared" si="33"/>
        <v>0338400</v>
      </c>
      <c r="S102" s="2502">
        <f>D102</f>
        <v>0</v>
      </c>
      <c r="T102" s="2503" t="s">
        <v>53</v>
      </c>
      <c r="V102" s="1">
        <v>1</v>
      </c>
      <c r="Y102" s="1">
        <v>1</v>
      </c>
      <c r="AC102" s="155">
        <v>1</v>
      </c>
      <c r="AD102" s="1">
        <f t="shared" si="36"/>
        <v>0</v>
      </c>
      <c r="AE102" s="1">
        <v>1</v>
      </c>
    </row>
    <row r="103" spans="1:36" s="1091" customFormat="1" ht="18" customHeight="1" x14ac:dyDescent="0.2">
      <c r="A103" s="1308">
        <f>IF(SUM(A101:A102)&gt;0,VLOOKUP(SUM(A101:A102),A101:C102,1,FALSE),0)</f>
        <v>0</v>
      </c>
      <c r="B103" s="1097">
        <f>IF(SUM(A101:A102)&gt;0,VLOOKUP(SUM(A101:A102),A101:C102,2,FALSE),0)</f>
        <v>0</v>
      </c>
      <c r="C103" s="1088">
        <f>IF(SUM(A101:A102)&gt;0,VLOOKUP(SUM(A101:A102),A101:C102,3,FALSE),0)</f>
        <v>0</v>
      </c>
      <c r="D103" s="1089"/>
      <c r="E103" s="1090"/>
      <c r="F103" s="1090"/>
      <c r="G103" s="1092"/>
      <c r="H103" s="2467"/>
      <c r="I103" s="2467"/>
      <c r="J103" s="2468"/>
      <c r="K103" s="2468"/>
      <c r="L103" s="1090"/>
      <c r="M103" s="1090"/>
      <c r="N103" s="1093"/>
      <c r="O103" s="1093"/>
      <c r="P103" s="1093"/>
      <c r="Q103" s="2453"/>
      <c r="R103" s="2505">
        <f t="shared" si="33"/>
        <v>0</v>
      </c>
      <c r="S103" s="2506"/>
      <c r="T103" s="2506"/>
      <c r="V103" s="1090"/>
      <c r="Y103" s="1090"/>
      <c r="AD103" s="1090"/>
      <c r="AE103" s="1090"/>
      <c r="AF103" s="1094"/>
      <c r="AG103" s="1090"/>
      <c r="AH103" s="1095"/>
      <c r="AI103" s="1571"/>
      <c r="AJ103" s="1090"/>
    </row>
    <row r="104" spans="1:36" ht="18" customHeight="1" x14ac:dyDescent="0.2">
      <c r="B104" s="653" t="s">
        <v>28597</v>
      </c>
      <c r="C104" s="665" t="s">
        <v>28669</v>
      </c>
      <c r="D104" s="200">
        <f>IF($H$1&lt;1000,$C$3*'Berechnung &amp; Tabellen'!$D$9*IF(Dateneingabe!$H$32=150,0,1)*IF(Dateneingabe!E159&gt;0,0,1),0)</f>
        <v>0</v>
      </c>
      <c r="E104" s="1339">
        <f>$H$1+132.06</f>
        <v>1092.06</v>
      </c>
      <c r="F104" s="200">
        <v>164.31</v>
      </c>
      <c r="G104" s="118">
        <v>0.75</v>
      </c>
      <c r="H104" s="2464">
        <f>E104*F104/1000/1000</f>
        <v>0.17943637859999997</v>
      </c>
      <c r="I104" s="2464"/>
      <c r="J104" s="2465">
        <f>G104*7.85*H104</f>
        <v>1.0564316790074997</v>
      </c>
      <c r="K104" s="2465">
        <f>D104*J104</f>
        <v>0</v>
      </c>
      <c r="L104" s="166" t="s">
        <v>53</v>
      </c>
      <c r="M104" s="1" t="s">
        <v>28402</v>
      </c>
      <c r="Q104" s="36"/>
      <c r="R104" s="2497" t="s">
        <v>8984</v>
      </c>
      <c r="S104" s="2498">
        <f t="shared" ref="S104:S133" si="37">D104*(E104/1000)*(F104/1000)</f>
        <v>0</v>
      </c>
      <c r="T104" s="2499" t="s">
        <v>28181</v>
      </c>
      <c r="V104" s="1">
        <v>1</v>
      </c>
      <c r="Y104" s="1">
        <v>1</v>
      </c>
      <c r="AC104" s="155">
        <v>1</v>
      </c>
      <c r="AD104" s="1">
        <f t="shared" ref="AD104:AD133" si="38">K104*AC104</f>
        <v>0</v>
      </c>
      <c r="AE104" s="1">
        <v>1</v>
      </c>
      <c r="AH104" s="812"/>
      <c r="AI104" s="193">
        <v>1</v>
      </c>
    </row>
    <row r="105" spans="1:36" ht="18" customHeight="1" x14ac:dyDescent="0.2">
      <c r="B105" s="653" t="s">
        <v>28598</v>
      </c>
      <c r="C105" s="665" t="s">
        <v>28670</v>
      </c>
      <c r="D105" s="200">
        <f>IF($H$1&lt;1000,$C$4*'Berechnung &amp; Tabellen'!$D$9*IF(Dateneingabe!$H$32=150,0,1)*IF(Dateneingabe!E159&gt;0,0,1),0)</f>
        <v>0</v>
      </c>
      <c r="E105" s="1339">
        <f>$H$1+131.64</f>
        <v>1091.6399999999999</v>
      </c>
      <c r="F105" s="200">
        <v>163.84</v>
      </c>
      <c r="G105" s="118">
        <v>0.8</v>
      </c>
      <c r="H105" s="2464">
        <f>E105*F105/1000/1000</f>
        <v>0.17885429759999999</v>
      </c>
      <c r="I105" s="2464"/>
      <c r="J105" s="2465">
        <f>G105*7.85*H105</f>
        <v>1.123204988928</v>
      </c>
      <c r="K105" s="2465">
        <f>D105*J105</f>
        <v>0</v>
      </c>
      <c r="L105" s="166" t="s">
        <v>53</v>
      </c>
      <c r="M105" s="1" t="s">
        <v>28403</v>
      </c>
      <c r="Q105" s="36"/>
      <c r="R105" s="2500" t="s">
        <v>9043</v>
      </c>
      <c r="S105" s="2498">
        <f t="shared" si="37"/>
        <v>0</v>
      </c>
      <c r="T105" s="2499" t="s">
        <v>28181</v>
      </c>
      <c r="V105" s="1">
        <v>1</v>
      </c>
      <c r="Y105" s="1">
        <v>1</v>
      </c>
      <c r="AC105" s="155">
        <v>1</v>
      </c>
      <c r="AD105" s="1">
        <f t="shared" si="38"/>
        <v>0</v>
      </c>
      <c r="AE105" s="1">
        <v>1</v>
      </c>
      <c r="AF105" s="682"/>
      <c r="AH105" s="812"/>
    </row>
    <row r="106" spans="1:36" ht="18" customHeight="1" x14ac:dyDescent="0.2">
      <c r="B106" s="653" t="s">
        <v>28654</v>
      </c>
      <c r="C106" s="665" t="s">
        <v>28660</v>
      </c>
      <c r="D106" s="200">
        <f>IF($H$1&gt;999,$C$3*'Berechnung &amp; Tabellen'!$D$9*IF(Dateneingabe!$H$32=150,0,1)*IF(Dateneingabe!E159&gt;0,0,1),0)</f>
        <v>0</v>
      </c>
      <c r="E106" s="1339">
        <f>$H$1-150</f>
        <v>810</v>
      </c>
      <c r="F106" s="200">
        <v>164.31</v>
      </c>
      <c r="G106" s="118">
        <v>0.75</v>
      </c>
      <c r="H106" s="2464">
        <f t="shared" ref="H106:H119" si="39">E106*F106/1000/1000</f>
        <v>0.13309110000000002</v>
      </c>
      <c r="I106" s="2464"/>
      <c r="J106" s="2465">
        <f t="shared" ref="J106:J119" si="40">G106*7.85*H106</f>
        <v>0.78357385125000001</v>
      </c>
      <c r="K106" s="2465">
        <f t="shared" ref="K106:K119" si="41">D106*J106</f>
        <v>0</v>
      </c>
      <c r="L106" s="166" t="s">
        <v>53</v>
      </c>
      <c r="M106" s="1" t="s">
        <v>28402</v>
      </c>
      <c r="Q106" s="36"/>
      <c r="R106" s="2497" t="s">
        <v>8984</v>
      </c>
      <c r="S106" s="2498">
        <f t="shared" si="37"/>
        <v>0</v>
      </c>
      <c r="T106" s="2499" t="s">
        <v>28181</v>
      </c>
      <c r="V106" s="1">
        <v>1</v>
      </c>
      <c r="Y106" s="1">
        <v>1</v>
      </c>
      <c r="AC106" s="155">
        <v>1</v>
      </c>
      <c r="AD106" s="1">
        <f t="shared" si="38"/>
        <v>0</v>
      </c>
      <c r="AE106" s="1">
        <v>1</v>
      </c>
      <c r="AH106" s="812"/>
      <c r="AI106" s="193">
        <v>1</v>
      </c>
    </row>
    <row r="107" spans="1:36" ht="18" customHeight="1" x14ac:dyDescent="0.2">
      <c r="B107" s="653" t="s">
        <v>28655</v>
      </c>
      <c r="C107" s="665" t="s">
        <v>28661</v>
      </c>
      <c r="D107" s="200">
        <f>IF($H$1&gt;999,$C$4*'Berechnung &amp; Tabellen'!$D$9*IF(Dateneingabe!$H$32=150,0,1)*IF(Dateneingabe!E159&gt;0,0,1),0)</f>
        <v>0</v>
      </c>
      <c r="E107" s="1339">
        <f>$H$1-150</f>
        <v>810</v>
      </c>
      <c r="F107" s="200">
        <v>163.84</v>
      </c>
      <c r="G107" s="118">
        <v>0.8</v>
      </c>
      <c r="H107" s="2464">
        <f t="shared" si="39"/>
        <v>0.13271040000000001</v>
      </c>
      <c r="I107" s="2464"/>
      <c r="J107" s="2465">
        <f t="shared" si="40"/>
        <v>0.83342131200000003</v>
      </c>
      <c r="K107" s="2465">
        <f t="shared" si="41"/>
        <v>0</v>
      </c>
      <c r="L107" s="166" t="s">
        <v>53</v>
      </c>
      <c r="M107" s="1" t="s">
        <v>28403</v>
      </c>
      <c r="Q107" s="36"/>
      <c r="R107" s="2500" t="s">
        <v>9043</v>
      </c>
      <c r="S107" s="2498">
        <f t="shared" si="37"/>
        <v>0</v>
      </c>
      <c r="T107" s="2499" t="s">
        <v>28181</v>
      </c>
      <c r="V107" s="1">
        <v>1</v>
      </c>
      <c r="Y107" s="1">
        <v>1</v>
      </c>
      <c r="AC107" s="155">
        <v>1</v>
      </c>
      <c r="AD107" s="1">
        <f t="shared" si="38"/>
        <v>0</v>
      </c>
      <c r="AE107" s="1">
        <v>1</v>
      </c>
      <c r="AF107" s="682"/>
      <c r="AH107" s="812"/>
    </row>
    <row r="108" spans="1:36" ht="18" customHeight="1" x14ac:dyDescent="0.2">
      <c r="B108" s="653" t="s">
        <v>28656</v>
      </c>
      <c r="C108" s="665" t="s">
        <v>28662</v>
      </c>
      <c r="D108" s="200">
        <f>IF($H$1&gt;999,$C$3*'Berechnung &amp; Tabellen'!$D$9*IF(Dateneingabe!$H$32=150,0,1)*IF(Dateneingabe!E159&gt;0,0,1),0)</f>
        <v>0</v>
      </c>
      <c r="E108" s="200">
        <v>141.03</v>
      </c>
      <c r="F108" s="200">
        <v>164.31</v>
      </c>
      <c r="G108" s="118">
        <v>0.75</v>
      </c>
      <c r="H108" s="2464">
        <f t="shared" si="39"/>
        <v>2.3172639299999999E-2</v>
      </c>
      <c r="I108" s="2464"/>
      <c r="J108" s="2465">
        <f t="shared" si="40"/>
        <v>0.13642891387874997</v>
      </c>
      <c r="K108" s="2465">
        <f t="shared" si="41"/>
        <v>0</v>
      </c>
      <c r="L108" s="166" t="s">
        <v>53</v>
      </c>
      <c r="M108" s="1" t="s">
        <v>28402</v>
      </c>
      <c r="Q108" s="36"/>
      <c r="R108" s="2497" t="s">
        <v>8984</v>
      </c>
      <c r="S108" s="2498">
        <f t="shared" si="37"/>
        <v>0</v>
      </c>
      <c r="T108" s="2499" t="s">
        <v>28181</v>
      </c>
      <c r="V108" s="1">
        <v>1</v>
      </c>
      <c r="Y108" s="1830"/>
      <c r="AC108" s="155">
        <v>1</v>
      </c>
      <c r="AD108" s="1">
        <f t="shared" si="38"/>
        <v>0</v>
      </c>
      <c r="AE108" s="1">
        <v>1</v>
      </c>
      <c r="AH108" s="812"/>
      <c r="AI108" s="193">
        <v>1</v>
      </c>
    </row>
    <row r="109" spans="1:36" ht="18" customHeight="1" x14ac:dyDescent="0.2">
      <c r="B109" s="653" t="s">
        <v>28657</v>
      </c>
      <c r="C109" s="665" t="s">
        <v>28663</v>
      </c>
      <c r="D109" s="200">
        <f>IF($H$1&gt;999,$C$4*'Berechnung &amp; Tabellen'!$D$9*IF(Dateneingabe!$H$32=150,0,1)*IF(Dateneingabe!E159&gt;0,0,1),0)</f>
        <v>0</v>
      </c>
      <c r="E109" s="200">
        <v>140.82</v>
      </c>
      <c r="F109" s="200">
        <v>163.84</v>
      </c>
      <c r="G109" s="118">
        <v>0.8</v>
      </c>
      <c r="H109" s="2464">
        <f t="shared" si="39"/>
        <v>2.3071948799999999E-2</v>
      </c>
      <c r="I109" s="2464"/>
      <c r="J109" s="2465">
        <f t="shared" si="40"/>
        <v>0.144891838464</v>
      </c>
      <c r="K109" s="2465">
        <f t="shared" si="41"/>
        <v>0</v>
      </c>
      <c r="L109" s="166" t="s">
        <v>53</v>
      </c>
      <c r="M109" s="1" t="s">
        <v>28403</v>
      </c>
      <c r="Q109" s="36"/>
      <c r="R109" s="2500" t="s">
        <v>9043</v>
      </c>
      <c r="S109" s="2498">
        <f t="shared" si="37"/>
        <v>0</v>
      </c>
      <c r="T109" s="2499" t="s">
        <v>28181</v>
      </c>
      <c r="V109" s="1">
        <v>1</v>
      </c>
      <c r="Y109" s="1">
        <v>1</v>
      </c>
      <c r="AC109" s="155">
        <v>1</v>
      </c>
      <c r="AD109" s="1">
        <f t="shared" si="38"/>
        <v>0</v>
      </c>
      <c r="AE109" s="1">
        <v>1</v>
      </c>
      <c r="AF109" s="682"/>
      <c r="AH109" s="812"/>
    </row>
    <row r="110" spans="1:36" ht="18" customHeight="1" x14ac:dyDescent="0.2">
      <c r="B110" s="653" t="s">
        <v>28658</v>
      </c>
      <c r="C110" s="665" t="s">
        <v>28664</v>
      </c>
      <c r="D110" s="200">
        <f>IF($H$1&gt;999,$C$3*'Berechnung &amp; Tabellen'!$D$9*IF(Dateneingabe!$H$32=150,0,1)*IF(Dateneingabe!E159&gt;0,0,1),0)</f>
        <v>0</v>
      </c>
      <c r="E110" s="200">
        <v>141.03</v>
      </c>
      <c r="F110" s="200">
        <v>164.31</v>
      </c>
      <c r="G110" s="118">
        <v>0.75</v>
      </c>
      <c r="H110" s="2464">
        <f t="shared" si="39"/>
        <v>2.3172639299999999E-2</v>
      </c>
      <c r="I110" s="2464"/>
      <c r="J110" s="2465">
        <f t="shared" si="40"/>
        <v>0.13642891387874997</v>
      </c>
      <c r="K110" s="2465">
        <f t="shared" si="41"/>
        <v>0</v>
      </c>
      <c r="L110" s="166" t="s">
        <v>53</v>
      </c>
      <c r="M110" s="1" t="s">
        <v>28402</v>
      </c>
      <c r="Q110" s="36"/>
      <c r="R110" s="2497" t="s">
        <v>8984</v>
      </c>
      <c r="S110" s="2498">
        <f t="shared" si="37"/>
        <v>0</v>
      </c>
      <c r="T110" s="2499" t="s">
        <v>28181</v>
      </c>
      <c r="V110" s="1">
        <v>1</v>
      </c>
      <c r="Y110" s="1830"/>
      <c r="AC110" s="155">
        <v>1</v>
      </c>
      <c r="AD110" s="1">
        <f t="shared" si="38"/>
        <v>0</v>
      </c>
      <c r="AE110" s="1">
        <v>1</v>
      </c>
      <c r="AH110" s="812"/>
      <c r="AI110" s="193">
        <v>1</v>
      </c>
    </row>
    <row r="111" spans="1:36" ht="18" customHeight="1" x14ac:dyDescent="0.2">
      <c r="B111" s="653" t="s">
        <v>28659</v>
      </c>
      <c r="C111" s="665" t="s">
        <v>28665</v>
      </c>
      <c r="D111" s="200">
        <f>IF($H$1&gt;999,$C$4*'Berechnung &amp; Tabellen'!$D$9*IF(Dateneingabe!$H$32=150,0,1)*IF(Dateneingabe!E159&gt;0,0,1),0)</f>
        <v>0</v>
      </c>
      <c r="E111" s="200">
        <v>140.82</v>
      </c>
      <c r="F111" s="200">
        <v>163.84</v>
      </c>
      <c r="G111" s="118">
        <v>0.8</v>
      </c>
      <c r="H111" s="2464">
        <f t="shared" si="39"/>
        <v>2.3071948799999999E-2</v>
      </c>
      <c r="I111" s="2464"/>
      <c r="J111" s="2465">
        <f t="shared" si="40"/>
        <v>0.144891838464</v>
      </c>
      <c r="K111" s="2465">
        <f t="shared" si="41"/>
        <v>0</v>
      </c>
      <c r="L111" s="166" t="s">
        <v>53</v>
      </c>
      <c r="M111" s="1" t="s">
        <v>28403</v>
      </c>
      <c r="Q111" s="36"/>
      <c r="R111" s="2500" t="s">
        <v>9043</v>
      </c>
      <c r="S111" s="2498">
        <f t="shared" si="37"/>
        <v>0</v>
      </c>
      <c r="T111" s="2499" t="s">
        <v>28181</v>
      </c>
      <c r="V111" s="1">
        <v>1</v>
      </c>
      <c r="Y111" s="1">
        <v>1</v>
      </c>
      <c r="AC111" s="155">
        <v>1</v>
      </c>
      <c r="AD111" s="1">
        <f t="shared" si="38"/>
        <v>0</v>
      </c>
      <c r="AE111" s="1">
        <v>1</v>
      </c>
      <c r="AF111" s="682"/>
      <c r="AH111" s="812"/>
    </row>
    <row r="112" spans="1:36" ht="18" customHeight="1" x14ac:dyDescent="0.2">
      <c r="B112" s="653" t="s">
        <v>29401</v>
      </c>
      <c r="C112" s="665" t="s">
        <v>29409</v>
      </c>
      <c r="D112" s="200">
        <f>IF($H$1&lt;1000,$C$3*'Berechnung &amp; Tabellen'!$D$9*IF(Dateneingabe!$H$32=150,1,0)*IF(Dateneingabe!E159&gt;0,0,1),0)</f>
        <v>0</v>
      </c>
      <c r="E112" s="1339">
        <f>$G$1+296.56+0.75*2</f>
        <v>1378.06</v>
      </c>
      <c r="F112" s="200">
        <v>267.31</v>
      </c>
      <c r="G112" s="118">
        <v>0.75</v>
      </c>
      <c r="H112" s="2464">
        <f t="shared" si="39"/>
        <v>0.36836921859999994</v>
      </c>
      <c r="I112" s="2464"/>
      <c r="J112" s="2465">
        <f t="shared" si="40"/>
        <v>2.1687737745074993</v>
      </c>
      <c r="K112" s="2465">
        <f t="shared" si="41"/>
        <v>0</v>
      </c>
      <c r="L112" s="116" t="s">
        <v>53</v>
      </c>
      <c r="M112" s="1" t="s">
        <v>28402</v>
      </c>
      <c r="Q112" s="36"/>
      <c r="R112" s="2497" t="s">
        <v>8984</v>
      </c>
      <c r="S112" s="2498">
        <f t="shared" si="37"/>
        <v>0</v>
      </c>
      <c r="T112" s="2499" t="s">
        <v>28181</v>
      </c>
      <c r="V112" s="1">
        <v>1</v>
      </c>
      <c r="Y112" s="1">
        <v>1</v>
      </c>
      <c r="AC112" s="155">
        <v>1</v>
      </c>
      <c r="AD112" s="1">
        <f t="shared" si="38"/>
        <v>0</v>
      </c>
      <c r="AE112" s="1">
        <v>1</v>
      </c>
      <c r="AH112" s="812"/>
      <c r="AI112" s="193">
        <v>1</v>
      </c>
    </row>
    <row r="113" spans="1:35" ht="18" customHeight="1" x14ac:dyDescent="0.2">
      <c r="B113" s="653" t="s">
        <v>29402</v>
      </c>
      <c r="C113" s="665" t="s">
        <v>29410</v>
      </c>
      <c r="D113" s="200">
        <f>IF($H$1&lt;1000,$C$4*'Berechnung &amp; Tabellen'!$D$9*IF(Dateneingabe!$H$32=150,1,0)*IF(Dateneingabe!E159&gt;0,0,1),0)</f>
        <v>0</v>
      </c>
      <c r="E113" s="1339">
        <f>$G$1+296.04+0.8*2</f>
        <v>1377.6399999999999</v>
      </c>
      <c r="F113" s="200">
        <v>266.83999999999997</v>
      </c>
      <c r="G113" s="118">
        <v>0.8</v>
      </c>
      <c r="H113" s="2464">
        <f t="shared" si="39"/>
        <v>0.36760945759999991</v>
      </c>
      <c r="I113" s="2464"/>
      <c r="J113" s="2465">
        <f t="shared" si="40"/>
        <v>2.3085873937279997</v>
      </c>
      <c r="K113" s="2465">
        <f t="shared" si="41"/>
        <v>0</v>
      </c>
      <c r="L113" s="116" t="s">
        <v>53</v>
      </c>
      <c r="M113" s="1" t="s">
        <v>28403</v>
      </c>
      <c r="Q113" s="36"/>
      <c r="R113" s="2500" t="s">
        <v>9043</v>
      </c>
      <c r="S113" s="2498">
        <f t="shared" si="37"/>
        <v>0</v>
      </c>
      <c r="T113" s="2499" t="s">
        <v>28181</v>
      </c>
      <c r="V113" s="1">
        <v>1</v>
      </c>
      <c r="Y113" s="1">
        <v>1</v>
      </c>
      <c r="AC113" s="155">
        <v>1</v>
      </c>
      <c r="AD113" s="1">
        <f t="shared" si="38"/>
        <v>0</v>
      </c>
      <c r="AE113" s="1">
        <v>1</v>
      </c>
      <c r="AF113" s="682"/>
      <c r="AH113" s="812"/>
    </row>
    <row r="114" spans="1:35" ht="18" customHeight="1" x14ac:dyDescent="0.2">
      <c r="B114" s="653" t="s">
        <v>29403</v>
      </c>
      <c r="C114" s="665" t="s">
        <v>29411</v>
      </c>
      <c r="D114" s="200">
        <f>IF($H$1&gt;999,$C$3*'Berechnung &amp; Tabellen'!$D$9*IF(Dateneingabe!$H$32=150,1,0)*IF(Dateneingabe!E159&gt;0,0,1),0)</f>
        <v>0</v>
      </c>
      <c r="E114" s="1339">
        <f>H1-150</f>
        <v>810</v>
      </c>
      <c r="F114" s="200">
        <v>267.31</v>
      </c>
      <c r="G114" s="118">
        <v>0.75</v>
      </c>
      <c r="H114" s="2464">
        <f t="shared" si="39"/>
        <v>0.21652110000000002</v>
      </c>
      <c r="I114" s="2464"/>
      <c r="J114" s="2465">
        <f t="shared" si="40"/>
        <v>1.2747679762499999</v>
      </c>
      <c r="K114" s="2465">
        <f t="shared" si="41"/>
        <v>0</v>
      </c>
      <c r="L114" s="116" t="s">
        <v>53</v>
      </c>
      <c r="M114" s="1" t="s">
        <v>28402</v>
      </c>
      <c r="Q114" s="36"/>
      <c r="R114" s="2497" t="s">
        <v>8984</v>
      </c>
      <c r="S114" s="2498">
        <f t="shared" si="37"/>
        <v>0</v>
      </c>
      <c r="T114" s="2499" t="s">
        <v>28181</v>
      </c>
      <c r="V114" s="1">
        <v>1</v>
      </c>
      <c r="Y114" s="1">
        <v>1</v>
      </c>
      <c r="AC114" s="155">
        <v>1</v>
      </c>
      <c r="AD114" s="1">
        <f t="shared" si="38"/>
        <v>0</v>
      </c>
      <c r="AE114" s="1">
        <v>1</v>
      </c>
      <c r="AH114" s="812"/>
      <c r="AI114" s="193">
        <v>1</v>
      </c>
    </row>
    <row r="115" spans="1:35" ht="18" customHeight="1" x14ac:dyDescent="0.2">
      <c r="B115" s="653" t="s">
        <v>29404</v>
      </c>
      <c r="C115" s="665" t="s">
        <v>29412</v>
      </c>
      <c r="D115" s="200">
        <f>IF($H$1&gt;999,$C$4*'Berechnung &amp; Tabellen'!$D$9*IF(Dateneingabe!$H$32=150,1,0)*IF(Dateneingabe!E159&gt;0,0,1),0)</f>
        <v>0</v>
      </c>
      <c r="E115" s="1339">
        <f>H1-150</f>
        <v>810</v>
      </c>
      <c r="F115" s="200">
        <v>266.83999999999997</v>
      </c>
      <c r="G115" s="118">
        <v>0.8</v>
      </c>
      <c r="H115" s="2464">
        <f t="shared" si="39"/>
        <v>0.21614040000000001</v>
      </c>
      <c r="I115" s="2464"/>
      <c r="J115" s="2465">
        <f t="shared" si="40"/>
        <v>1.3573617120000001</v>
      </c>
      <c r="K115" s="2465">
        <f t="shared" si="41"/>
        <v>0</v>
      </c>
      <c r="L115" s="116" t="s">
        <v>53</v>
      </c>
      <c r="M115" s="1" t="s">
        <v>28403</v>
      </c>
      <c r="Q115" s="36"/>
      <c r="R115" s="2500" t="s">
        <v>9043</v>
      </c>
      <c r="S115" s="2498">
        <f t="shared" si="37"/>
        <v>0</v>
      </c>
      <c r="T115" s="2499" t="s">
        <v>28181</v>
      </c>
      <c r="V115" s="1">
        <v>1</v>
      </c>
      <c r="Y115" s="1">
        <v>1</v>
      </c>
      <c r="AC115" s="155">
        <v>1</v>
      </c>
      <c r="AD115" s="1">
        <f t="shared" si="38"/>
        <v>0</v>
      </c>
      <c r="AE115" s="1">
        <v>1</v>
      </c>
      <c r="AF115" s="682"/>
      <c r="AH115" s="812"/>
    </row>
    <row r="116" spans="1:35" ht="18" customHeight="1" x14ac:dyDescent="0.2">
      <c r="B116" s="653" t="s">
        <v>29405</v>
      </c>
      <c r="C116" s="665" t="s">
        <v>29413</v>
      </c>
      <c r="D116" s="200">
        <f>IF($H$1&gt;999,$C$3*'Berechnung &amp; Tabellen'!$D$9*IF(Dateneingabe!$H$32=150,1,0)*IF(Dateneingabe!E159&gt;0,0,1),0)</f>
        <v>0</v>
      </c>
      <c r="E116" s="1339">
        <v>224.03</v>
      </c>
      <c r="F116" s="200">
        <v>267.31</v>
      </c>
      <c r="G116" s="118">
        <v>0.75</v>
      </c>
      <c r="H116" s="2464">
        <f t="shared" si="39"/>
        <v>5.9885459299999999E-2</v>
      </c>
      <c r="I116" s="2464"/>
      <c r="J116" s="2465">
        <f t="shared" si="40"/>
        <v>0.35257564162874994</v>
      </c>
      <c r="K116" s="2465">
        <f t="shared" si="41"/>
        <v>0</v>
      </c>
      <c r="L116" s="116" t="s">
        <v>53</v>
      </c>
      <c r="M116" s="1" t="s">
        <v>28402</v>
      </c>
      <c r="Q116" s="36"/>
      <c r="R116" s="2497" t="s">
        <v>8984</v>
      </c>
      <c r="S116" s="2498">
        <f t="shared" si="37"/>
        <v>0</v>
      </c>
      <c r="T116" s="2499" t="s">
        <v>28181</v>
      </c>
      <c r="V116" s="1">
        <v>1</v>
      </c>
      <c r="Y116" s="1830"/>
      <c r="AC116" s="155">
        <v>1</v>
      </c>
      <c r="AD116" s="1">
        <f t="shared" si="38"/>
        <v>0</v>
      </c>
      <c r="AE116" s="1">
        <v>1</v>
      </c>
      <c r="AH116" s="812"/>
      <c r="AI116" s="193">
        <v>1</v>
      </c>
    </row>
    <row r="117" spans="1:35" ht="18" customHeight="1" x14ac:dyDescent="0.2">
      <c r="B117" s="653" t="s">
        <v>29406</v>
      </c>
      <c r="C117" s="665" t="s">
        <v>29414</v>
      </c>
      <c r="D117" s="200">
        <f>IF($H$1&gt;999,$C$4*'Berechnung &amp; Tabellen'!$D$9*IF(Dateneingabe!$H$32=150,1,0)*IF(Dateneingabe!E159&gt;0,0,1),0)</f>
        <v>0</v>
      </c>
      <c r="E117" s="1339">
        <v>223.82</v>
      </c>
      <c r="F117" s="200">
        <v>266.83999999999997</v>
      </c>
      <c r="G117" s="118">
        <v>0.8</v>
      </c>
      <c r="H117" s="2464">
        <f t="shared" si="39"/>
        <v>5.9724128799999991E-2</v>
      </c>
      <c r="I117" s="2464"/>
      <c r="J117" s="2465">
        <f t="shared" si="40"/>
        <v>0.37506752886399997</v>
      </c>
      <c r="K117" s="2465">
        <f t="shared" si="41"/>
        <v>0</v>
      </c>
      <c r="L117" s="116" t="s">
        <v>53</v>
      </c>
      <c r="M117" s="1" t="s">
        <v>28403</v>
      </c>
      <c r="Q117" s="36"/>
      <c r="R117" s="2500" t="s">
        <v>9043</v>
      </c>
      <c r="S117" s="2498">
        <f t="shared" si="37"/>
        <v>0</v>
      </c>
      <c r="T117" s="2499" t="s">
        <v>28181</v>
      </c>
      <c r="V117" s="1">
        <v>1</v>
      </c>
      <c r="Y117" s="1">
        <v>1</v>
      </c>
      <c r="AC117" s="155">
        <v>1</v>
      </c>
      <c r="AD117" s="1">
        <f t="shared" si="38"/>
        <v>0</v>
      </c>
      <c r="AE117" s="1">
        <v>1</v>
      </c>
      <c r="AF117" s="682"/>
      <c r="AH117" s="812"/>
    </row>
    <row r="118" spans="1:35" ht="18" customHeight="1" x14ac:dyDescent="0.2">
      <c r="B118" s="653" t="s">
        <v>29407</v>
      </c>
      <c r="C118" s="665" t="s">
        <v>29415</v>
      </c>
      <c r="D118" s="200">
        <f>IF($H$1&gt;999,$C$3*'Berechnung &amp; Tabellen'!$D$9*IF(Dateneingabe!$H$32=150,1,0)*IF(Dateneingabe!E159&gt;0,0,1),0)</f>
        <v>0</v>
      </c>
      <c r="E118" s="1339">
        <v>224.03</v>
      </c>
      <c r="F118" s="200">
        <v>267.31</v>
      </c>
      <c r="G118" s="118">
        <v>0.75</v>
      </c>
      <c r="H118" s="2464">
        <f t="shared" si="39"/>
        <v>5.9885459299999999E-2</v>
      </c>
      <c r="I118" s="2464"/>
      <c r="J118" s="2465">
        <f t="shared" si="40"/>
        <v>0.35257564162874994</v>
      </c>
      <c r="K118" s="2465">
        <f t="shared" si="41"/>
        <v>0</v>
      </c>
      <c r="L118" s="116" t="s">
        <v>53</v>
      </c>
      <c r="M118" s="1" t="s">
        <v>28402</v>
      </c>
      <c r="Q118" s="36"/>
      <c r="R118" s="2497" t="s">
        <v>8984</v>
      </c>
      <c r="S118" s="2498">
        <f t="shared" si="37"/>
        <v>0</v>
      </c>
      <c r="T118" s="2499" t="s">
        <v>28181</v>
      </c>
      <c r="V118" s="1">
        <v>1</v>
      </c>
      <c r="Y118" s="1830"/>
      <c r="AC118" s="155">
        <v>1</v>
      </c>
      <c r="AD118" s="1">
        <f t="shared" si="38"/>
        <v>0</v>
      </c>
      <c r="AE118" s="1">
        <v>1</v>
      </c>
      <c r="AH118" s="812"/>
      <c r="AI118" s="193">
        <v>1</v>
      </c>
    </row>
    <row r="119" spans="1:35" ht="18" customHeight="1" x14ac:dyDescent="0.2">
      <c r="B119" s="653" t="s">
        <v>29408</v>
      </c>
      <c r="C119" s="665" t="s">
        <v>29416</v>
      </c>
      <c r="D119" s="200">
        <f>IF($H$1&gt;999,$C$4*'Berechnung &amp; Tabellen'!$D$9*IF(Dateneingabe!$H$32=150,1,0)*IF(Dateneingabe!E159&gt;0,0,1),0)</f>
        <v>0</v>
      </c>
      <c r="E119" s="1339">
        <v>223.82</v>
      </c>
      <c r="F119" s="200">
        <v>266.83999999999997</v>
      </c>
      <c r="G119" s="118">
        <v>0.8</v>
      </c>
      <c r="H119" s="2464">
        <f t="shared" si="39"/>
        <v>5.9724128799999991E-2</v>
      </c>
      <c r="I119" s="2464"/>
      <c r="J119" s="2465">
        <f t="shared" si="40"/>
        <v>0.37506752886399997</v>
      </c>
      <c r="K119" s="2465">
        <f t="shared" si="41"/>
        <v>0</v>
      </c>
      <c r="L119" s="116" t="s">
        <v>53</v>
      </c>
      <c r="M119" s="1" t="s">
        <v>28403</v>
      </c>
      <c r="Q119" s="36"/>
      <c r="R119" s="2500" t="s">
        <v>9043</v>
      </c>
      <c r="S119" s="2498">
        <f t="shared" si="37"/>
        <v>0</v>
      </c>
      <c r="T119" s="2499" t="s">
        <v>28181</v>
      </c>
      <c r="V119" s="1">
        <v>1</v>
      </c>
      <c r="Y119" s="1">
        <v>1</v>
      </c>
      <c r="AC119" s="155">
        <v>1</v>
      </c>
      <c r="AD119" s="1">
        <f t="shared" si="38"/>
        <v>0</v>
      </c>
      <c r="AE119" s="1">
        <v>1</v>
      </c>
      <c r="AF119" s="682"/>
      <c r="AH119" s="812"/>
    </row>
    <row r="120" spans="1:35" ht="18" customHeight="1" x14ac:dyDescent="0.2">
      <c r="B120" s="653" t="s">
        <v>29652</v>
      </c>
      <c r="C120" s="665" t="s">
        <v>29646</v>
      </c>
      <c r="D120" s="200">
        <f>IF(Dateneingabe!E159&gt;0,Liste!$C$3*'Berechnung &amp; Tabellen'!$D$9,0)</f>
        <v>0</v>
      </c>
      <c r="E120" s="1339">
        <v>154.03</v>
      </c>
      <c r="F120" s="200">
        <v>177.31</v>
      </c>
      <c r="G120" s="118">
        <v>0.75</v>
      </c>
      <c r="H120" s="2464">
        <f t="shared" ref="H120:H125" si="42">E120*F120/1000/1000</f>
        <v>2.7311059299999999E-2</v>
      </c>
      <c r="I120" s="2464"/>
      <c r="J120" s="2465">
        <f t="shared" ref="J120:J125" si="43">G120*7.85*H120</f>
        <v>0.16079386162874998</v>
      </c>
      <c r="K120" s="2465">
        <f t="shared" ref="K120:K125" si="44">D120*J120</f>
        <v>0</v>
      </c>
      <c r="L120" s="116" t="s">
        <v>53</v>
      </c>
      <c r="M120" s="1" t="s">
        <v>28402</v>
      </c>
      <c r="Q120" s="36"/>
      <c r="R120" s="2497" t="s">
        <v>8984</v>
      </c>
      <c r="S120" s="2498">
        <f t="shared" si="37"/>
        <v>0</v>
      </c>
      <c r="T120" s="2499" t="s">
        <v>28181</v>
      </c>
      <c r="V120" s="1">
        <v>1</v>
      </c>
      <c r="Y120" s="1">
        <v>1</v>
      </c>
      <c r="AC120" s="155">
        <v>1</v>
      </c>
      <c r="AD120" s="1">
        <f t="shared" si="38"/>
        <v>0</v>
      </c>
      <c r="AE120" s="1">
        <v>1</v>
      </c>
      <c r="AF120" s="682"/>
      <c r="AH120" s="812"/>
      <c r="AI120" s="193">
        <v>1</v>
      </c>
    </row>
    <row r="121" spans="1:35" ht="18" customHeight="1" x14ac:dyDescent="0.2">
      <c r="B121" s="653" t="s">
        <v>29653</v>
      </c>
      <c r="C121" s="665" t="s">
        <v>29647</v>
      </c>
      <c r="D121" s="200">
        <f>IF(Dateneingabe!E159&gt;0,Liste!$C$4*'Berechnung &amp; Tabellen'!$D$9,0)</f>
        <v>0</v>
      </c>
      <c r="E121" s="1339">
        <v>153.82</v>
      </c>
      <c r="F121" s="200">
        <v>176.84</v>
      </c>
      <c r="G121" s="118">
        <v>0.8</v>
      </c>
      <c r="H121" s="2464">
        <f t="shared" si="42"/>
        <v>2.7201528799999999E-2</v>
      </c>
      <c r="I121" s="2464"/>
      <c r="J121" s="2465">
        <f t="shared" si="43"/>
        <v>0.170825600864</v>
      </c>
      <c r="K121" s="2465">
        <f t="shared" si="44"/>
        <v>0</v>
      </c>
      <c r="L121" s="116" t="s">
        <v>53</v>
      </c>
      <c r="M121" s="1" t="s">
        <v>28403</v>
      </c>
      <c r="Q121" s="36"/>
      <c r="R121" s="2500" t="s">
        <v>9043</v>
      </c>
      <c r="S121" s="2498">
        <f t="shared" si="37"/>
        <v>0</v>
      </c>
      <c r="T121" s="2499" t="s">
        <v>28181</v>
      </c>
      <c r="V121" s="1">
        <v>1</v>
      </c>
      <c r="Y121" s="1">
        <v>1</v>
      </c>
      <c r="AC121" s="155">
        <v>1</v>
      </c>
      <c r="AD121" s="1">
        <f t="shared" si="38"/>
        <v>0</v>
      </c>
      <c r="AE121" s="1">
        <v>1</v>
      </c>
      <c r="AF121" s="682"/>
      <c r="AH121" s="812"/>
    </row>
    <row r="122" spans="1:35" ht="18" customHeight="1" x14ac:dyDescent="0.2">
      <c r="B122" s="653" t="s">
        <v>29654</v>
      </c>
      <c r="C122" s="665" t="s">
        <v>29648</v>
      </c>
      <c r="D122" s="200">
        <f>IF(Dateneingabe!E159&gt;0,Liste!$C$3*'Berechnung &amp; Tabellen'!$D$9,0)</f>
        <v>0</v>
      </c>
      <c r="E122" s="1339">
        <v>154.03</v>
      </c>
      <c r="F122" s="200">
        <v>177.31</v>
      </c>
      <c r="G122" s="118">
        <v>0.75</v>
      </c>
      <c r="H122" s="2464">
        <f t="shared" si="42"/>
        <v>2.7311059299999999E-2</v>
      </c>
      <c r="I122" s="2464"/>
      <c r="J122" s="2465">
        <f t="shared" si="43"/>
        <v>0.16079386162874998</v>
      </c>
      <c r="K122" s="2465">
        <f t="shared" si="44"/>
        <v>0</v>
      </c>
      <c r="L122" s="116" t="s">
        <v>53</v>
      </c>
      <c r="M122" s="1" t="s">
        <v>28402</v>
      </c>
      <c r="Q122" s="36"/>
      <c r="R122" s="2497" t="s">
        <v>8984</v>
      </c>
      <c r="S122" s="2498">
        <f t="shared" si="37"/>
        <v>0</v>
      </c>
      <c r="T122" s="2499" t="s">
        <v>28181</v>
      </c>
      <c r="V122" s="1">
        <v>1</v>
      </c>
      <c r="Y122" s="1">
        <v>1</v>
      </c>
      <c r="AC122" s="155">
        <v>1</v>
      </c>
      <c r="AD122" s="1">
        <f t="shared" si="38"/>
        <v>0</v>
      </c>
      <c r="AE122" s="1">
        <v>1</v>
      </c>
      <c r="AF122" s="682"/>
      <c r="AH122" s="812"/>
      <c r="AI122" s="193">
        <v>1</v>
      </c>
    </row>
    <row r="123" spans="1:35" ht="18" customHeight="1" x14ac:dyDescent="0.2">
      <c r="B123" s="653" t="s">
        <v>29655</v>
      </c>
      <c r="C123" s="665" t="s">
        <v>29649</v>
      </c>
      <c r="D123" s="200">
        <f>IF(Dateneingabe!E159&gt;0,Liste!$C$4*'Berechnung &amp; Tabellen'!$D$9,0)</f>
        <v>0</v>
      </c>
      <c r="E123" s="1339">
        <v>153.82</v>
      </c>
      <c r="F123" s="200">
        <v>176.84</v>
      </c>
      <c r="G123" s="118">
        <v>0.8</v>
      </c>
      <c r="H123" s="2464">
        <f t="shared" si="42"/>
        <v>2.7201528799999999E-2</v>
      </c>
      <c r="I123" s="2464"/>
      <c r="J123" s="2465">
        <f t="shared" si="43"/>
        <v>0.170825600864</v>
      </c>
      <c r="K123" s="2465">
        <f t="shared" si="44"/>
        <v>0</v>
      </c>
      <c r="L123" s="116" t="s">
        <v>53</v>
      </c>
      <c r="M123" s="1" t="s">
        <v>28403</v>
      </c>
      <c r="Q123" s="36"/>
      <c r="R123" s="2500" t="s">
        <v>9043</v>
      </c>
      <c r="S123" s="2498">
        <f t="shared" si="37"/>
        <v>0</v>
      </c>
      <c r="T123" s="2499" t="s">
        <v>28181</v>
      </c>
      <c r="V123" s="1">
        <v>1</v>
      </c>
      <c r="Y123" s="1">
        <v>1</v>
      </c>
      <c r="AC123" s="155">
        <v>1</v>
      </c>
      <c r="AD123" s="1">
        <f t="shared" si="38"/>
        <v>0</v>
      </c>
      <c r="AE123" s="1">
        <v>1</v>
      </c>
      <c r="AF123" s="682"/>
      <c r="AH123" s="812"/>
    </row>
    <row r="124" spans="1:35" ht="18" customHeight="1" x14ac:dyDescent="0.2">
      <c r="B124" s="653" t="s">
        <v>29656</v>
      </c>
      <c r="C124" s="665" t="s">
        <v>29650</v>
      </c>
      <c r="D124" s="200">
        <f>IF(Dateneingabe!E159&gt;0,Liste!$C$3*'Berechnung &amp; Tabellen'!$D$9,0)</f>
        <v>0</v>
      </c>
      <c r="E124" s="1339">
        <f>H1-150</f>
        <v>810</v>
      </c>
      <c r="F124" s="200">
        <v>177.31</v>
      </c>
      <c r="G124" s="118">
        <v>0.75</v>
      </c>
      <c r="H124" s="2464">
        <f t="shared" si="42"/>
        <v>0.1436211</v>
      </c>
      <c r="I124" s="2464"/>
      <c r="J124" s="2465">
        <f t="shared" si="43"/>
        <v>0.84556922624999986</v>
      </c>
      <c r="K124" s="2465">
        <f t="shared" si="44"/>
        <v>0</v>
      </c>
      <c r="L124" s="116" t="s">
        <v>53</v>
      </c>
      <c r="M124" s="1" t="s">
        <v>28402</v>
      </c>
      <c r="Q124" s="36"/>
      <c r="R124" s="2497" t="s">
        <v>8984</v>
      </c>
      <c r="S124" s="2498">
        <f t="shared" si="37"/>
        <v>0</v>
      </c>
      <c r="T124" s="2499" t="s">
        <v>28181</v>
      </c>
      <c r="V124" s="1">
        <v>1</v>
      </c>
      <c r="Y124" s="1">
        <v>1</v>
      </c>
      <c r="AC124" s="155">
        <v>1</v>
      </c>
      <c r="AD124" s="1">
        <f t="shared" si="38"/>
        <v>0</v>
      </c>
      <c r="AE124" s="1">
        <v>1</v>
      </c>
      <c r="AF124" s="682"/>
      <c r="AH124" s="812"/>
      <c r="AI124" s="193">
        <v>1</v>
      </c>
    </row>
    <row r="125" spans="1:35" ht="18" customHeight="1" x14ac:dyDescent="0.2">
      <c r="B125" s="653" t="s">
        <v>29657</v>
      </c>
      <c r="C125" s="665" t="s">
        <v>29651</v>
      </c>
      <c r="D125" s="200">
        <f>IF(Dateneingabe!E159&gt;0,Liste!$C$4*'Berechnung &amp; Tabellen'!$D$9,0)</f>
        <v>0</v>
      </c>
      <c r="E125" s="1339">
        <f>H1-150</f>
        <v>810</v>
      </c>
      <c r="F125" s="200">
        <v>176.84</v>
      </c>
      <c r="G125" s="118">
        <v>0.8</v>
      </c>
      <c r="H125" s="2464">
        <f t="shared" si="42"/>
        <v>0.14324039999999999</v>
      </c>
      <c r="I125" s="2464"/>
      <c r="J125" s="2465">
        <f t="shared" si="43"/>
        <v>0.899549712</v>
      </c>
      <c r="K125" s="2465">
        <f t="shared" si="44"/>
        <v>0</v>
      </c>
      <c r="L125" s="116" t="s">
        <v>53</v>
      </c>
      <c r="M125" s="1" t="s">
        <v>28403</v>
      </c>
      <c r="Q125" s="36"/>
      <c r="R125" s="2500" t="s">
        <v>9043</v>
      </c>
      <c r="S125" s="2498">
        <f t="shared" si="37"/>
        <v>0</v>
      </c>
      <c r="T125" s="2499" t="s">
        <v>28181</v>
      </c>
      <c r="V125" s="1">
        <v>1</v>
      </c>
      <c r="Y125" s="1">
        <v>1</v>
      </c>
      <c r="AC125" s="155">
        <v>1</v>
      </c>
      <c r="AD125" s="1">
        <f t="shared" si="38"/>
        <v>0</v>
      </c>
      <c r="AE125" s="1">
        <v>1</v>
      </c>
      <c r="AF125" s="682"/>
      <c r="AH125" s="812"/>
    </row>
    <row r="126" spans="1:35" ht="18" customHeight="1" x14ac:dyDescent="0.2">
      <c r="B126" s="653" t="s">
        <v>29116</v>
      </c>
      <c r="C126" s="665" t="s">
        <v>29102</v>
      </c>
      <c r="D126" s="814">
        <f>D93*C2</f>
        <v>0</v>
      </c>
      <c r="E126" s="116">
        <f t="shared" ref="E126:E133" si="45">$G$1</f>
        <v>1080</v>
      </c>
      <c r="F126" s="116">
        <f>$F$87-25</f>
        <v>261</v>
      </c>
      <c r="G126" s="118">
        <v>1</v>
      </c>
      <c r="H126" s="2464">
        <f>E126*F126/1000/1000</f>
        <v>0.28188000000000002</v>
      </c>
      <c r="I126" s="2464"/>
      <c r="J126" s="2465">
        <f>G126*7.85*H126</f>
        <v>2.212758</v>
      </c>
      <c r="K126" s="2465">
        <f t="shared" ref="K126:K133" si="46">D126*J126</f>
        <v>0</v>
      </c>
      <c r="L126" s="166" t="s">
        <v>53</v>
      </c>
      <c r="M126" s="1" t="s">
        <v>28636</v>
      </c>
      <c r="N126" s="1" t="s">
        <v>337</v>
      </c>
      <c r="Q126" s="36"/>
      <c r="R126" s="2497" t="s">
        <v>30530</v>
      </c>
      <c r="S126" s="2499">
        <f t="shared" si="37"/>
        <v>0</v>
      </c>
      <c r="T126" s="2499" t="s">
        <v>28181</v>
      </c>
      <c r="V126" s="1">
        <v>1</v>
      </c>
      <c r="Y126" s="1">
        <v>1</v>
      </c>
      <c r="AC126" s="155">
        <v>1</v>
      </c>
      <c r="AD126" s="1">
        <f t="shared" si="38"/>
        <v>0</v>
      </c>
      <c r="AE126" s="1">
        <v>1</v>
      </c>
      <c r="AF126" s="109" t="s">
        <v>8964</v>
      </c>
      <c r="AG126" s="1">
        <v>0.32</v>
      </c>
      <c r="AH126" s="812" t="s">
        <v>27663</v>
      </c>
    </row>
    <row r="127" spans="1:35" ht="18" customHeight="1" x14ac:dyDescent="0.2">
      <c r="B127" s="653" t="s">
        <v>29117</v>
      </c>
      <c r="C127" s="665" t="s">
        <v>29103</v>
      </c>
      <c r="D127" s="814">
        <f>D93*C1</f>
        <v>0</v>
      </c>
      <c r="E127" s="116">
        <f t="shared" si="45"/>
        <v>1080</v>
      </c>
      <c r="F127" s="116">
        <f>$F$87-25</f>
        <v>261</v>
      </c>
      <c r="G127" s="118">
        <v>1</v>
      </c>
      <c r="H127" s="2464">
        <f>E127*F127/1000/1000</f>
        <v>0.28188000000000002</v>
      </c>
      <c r="I127" s="2464"/>
      <c r="J127" s="2465">
        <f>G127*7.85*H127</f>
        <v>2.212758</v>
      </c>
      <c r="K127" s="2465">
        <f t="shared" si="46"/>
        <v>0</v>
      </c>
      <c r="L127" s="166" t="s">
        <v>53</v>
      </c>
      <c r="M127" s="1" t="s">
        <v>28403</v>
      </c>
      <c r="N127" s="1" t="s">
        <v>337</v>
      </c>
      <c r="Q127" s="36"/>
      <c r="R127" s="2500" t="s">
        <v>9044</v>
      </c>
      <c r="S127" s="2499">
        <f t="shared" si="37"/>
        <v>0</v>
      </c>
      <c r="T127" s="2499" t="s">
        <v>28181</v>
      </c>
      <c r="V127" s="1">
        <v>1</v>
      </c>
      <c r="Y127" s="1">
        <v>1</v>
      </c>
      <c r="AC127" s="155">
        <v>1</v>
      </c>
      <c r="AD127" s="1">
        <f t="shared" si="38"/>
        <v>0</v>
      </c>
      <c r="AE127" s="1">
        <v>1</v>
      </c>
      <c r="AF127" s="682" t="s">
        <v>9035</v>
      </c>
      <c r="AG127" s="1">
        <v>0.222</v>
      </c>
      <c r="AH127" s="812" t="s">
        <v>27665</v>
      </c>
    </row>
    <row r="128" spans="1:35" ht="18" customHeight="1" x14ac:dyDescent="0.2">
      <c r="A128" s="193">
        <f t="shared" ref="A128:A133" si="47">D128</f>
        <v>0</v>
      </c>
      <c r="B128" s="653" t="s">
        <v>29120</v>
      </c>
      <c r="C128" s="958" t="s">
        <v>29106</v>
      </c>
      <c r="D128" s="814">
        <f>D86*C3*'Berechnung &amp; Tabellen'!E9</f>
        <v>0</v>
      </c>
      <c r="E128" s="814">
        <f t="shared" si="45"/>
        <v>1080</v>
      </c>
      <c r="F128" s="814">
        <f t="shared" ref="F128:F136" si="48">$F$91</f>
        <v>186</v>
      </c>
      <c r="G128" s="1236">
        <v>0.75</v>
      </c>
      <c r="H128" s="2464">
        <f t="shared" ref="H128:H136" si="49">E128*F128/1000/1000</f>
        <v>0.20088</v>
      </c>
      <c r="I128" s="2464"/>
      <c r="J128" s="2465">
        <f t="shared" ref="J128:J136" si="50">G128*7.85*H128</f>
        <v>1.1826809999999999</v>
      </c>
      <c r="K128" s="2465">
        <f t="shared" si="46"/>
        <v>0</v>
      </c>
      <c r="L128" s="166" t="s">
        <v>53</v>
      </c>
      <c r="M128" s="1" t="s">
        <v>28402</v>
      </c>
      <c r="N128" s="1" t="s">
        <v>337</v>
      </c>
      <c r="Q128" s="36"/>
      <c r="R128" s="2500" t="s">
        <v>8984</v>
      </c>
      <c r="S128" s="2499">
        <f t="shared" si="37"/>
        <v>0</v>
      </c>
      <c r="T128" s="2499" t="s">
        <v>28181</v>
      </c>
      <c r="V128" s="1">
        <v>1</v>
      </c>
      <c r="Y128" s="1">
        <v>1</v>
      </c>
      <c r="AC128" s="155">
        <v>1</v>
      </c>
      <c r="AD128" s="1">
        <f t="shared" si="38"/>
        <v>0</v>
      </c>
      <c r="AE128" s="1">
        <v>1</v>
      </c>
      <c r="AF128" s="109" t="s">
        <v>8964</v>
      </c>
      <c r="AG128" s="1">
        <v>0.32</v>
      </c>
      <c r="AH128" s="812" t="s">
        <v>27663</v>
      </c>
      <c r="AI128" s="193">
        <v>1</v>
      </c>
    </row>
    <row r="129" spans="1:36" ht="18" customHeight="1" x14ac:dyDescent="0.2">
      <c r="A129" s="193">
        <f t="shared" si="47"/>
        <v>0</v>
      </c>
      <c r="B129" s="653" t="s">
        <v>29121</v>
      </c>
      <c r="C129" s="958" t="s">
        <v>29107</v>
      </c>
      <c r="D129" s="814">
        <f>D86*C4*'Berechnung &amp; Tabellen'!E9</f>
        <v>0</v>
      </c>
      <c r="E129" s="814">
        <f t="shared" si="45"/>
        <v>1080</v>
      </c>
      <c r="F129" s="814">
        <f t="shared" si="48"/>
        <v>186</v>
      </c>
      <c r="G129" s="1236">
        <v>0.8</v>
      </c>
      <c r="H129" s="2464">
        <f t="shared" si="49"/>
        <v>0.20088</v>
      </c>
      <c r="I129" s="2464"/>
      <c r="J129" s="2465">
        <f t="shared" si="50"/>
        <v>1.2615264000000002</v>
      </c>
      <c r="K129" s="2465">
        <f t="shared" si="46"/>
        <v>0</v>
      </c>
      <c r="L129" s="166" t="s">
        <v>53</v>
      </c>
      <c r="M129" s="1" t="s">
        <v>28403</v>
      </c>
      <c r="N129" s="1" t="s">
        <v>337</v>
      </c>
      <c r="Q129" s="36"/>
      <c r="R129" s="2500" t="s">
        <v>9043</v>
      </c>
      <c r="S129" s="2499">
        <f t="shared" si="37"/>
        <v>0</v>
      </c>
      <c r="T129" s="2499" t="s">
        <v>28181</v>
      </c>
      <c r="V129" s="1">
        <v>1</v>
      </c>
      <c r="Y129" s="1">
        <v>1</v>
      </c>
      <c r="AC129" s="155">
        <v>1</v>
      </c>
      <c r="AD129" s="1">
        <f t="shared" si="38"/>
        <v>0</v>
      </c>
      <c r="AE129" s="1">
        <v>1</v>
      </c>
      <c r="AF129" s="682" t="s">
        <v>9035</v>
      </c>
      <c r="AG129" s="1">
        <v>0.222</v>
      </c>
      <c r="AH129" s="812" t="s">
        <v>27665</v>
      </c>
    </row>
    <row r="130" spans="1:36" ht="18" customHeight="1" x14ac:dyDescent="0.2">
      <c r="A130" s="193">
        <f t="shared" si="47"/>
        <v>0</v>
      </c>
      <c r="B130" s="653" t="s">
        <v>28385</v>
      </c>
      <c r="C130" s="665" t="s">
        <v>28547</v>
      </c>
      <c r="D130" s="1300">
        <f>$D$86*$C$3*'Berechnung &amp; Tabellen'!$D$9*IF(Dateneingabe!H32=150,0,1)</f>
        <v>0</v>
      </c>
      <c r="E130" s="814">
        <f t="shared" si="45"/>
        <v>1080</v>
      </c>
      <c r="F130" s="814">
        <f t="shared" si="48"/>
        <v>186</v>
      </c>
      <c r="G130" s="1236">
        <v>0.75</v>
      </c>
      <c r="H130" s="2464">
        <f>E130*F130/1000/1000</f>
        <v>0.20088</v>
      </c>
      <c r="I130" s="2464"/>
      <c r="J130" s="2465">
        <f>G130*7.85*H130</f>
        <v>1.1826809999999999</v>
      </c>
      <c r="K130" s="2465">
        <f t="shared" si="46"/>
        <v>0</v>
      </c>
      <c r="L130" s="166" t="s">
        <v>53</v>
      </c>
      <c r="M130" s="1" t="s">
        <v>28402</v>
      </c>
      <c r="Q130" s="36"/>
      <c r="R130" s="2500" t="s">
        <v>8984</v>
      </c>
      <c r="S130" s="2499">
        <f t="shared" si="37"/>
        <v>0</v>
      </c>
      <c r="T130" s="2499" t="s">
        <v>28181</v>
      </c>
      <c r="V130" s="1">
        <v>1</v>
      </c>
      <c r="Y130" s="1">
        <v>1</v>
      </c>
      <c r="AC130" s="155">
        <v>1</v>
      </c>
      <c r="AD130" s="1">
        <f t="shared" si="38"/>
        <v>0</v>
      </c>
      <c r="AE130" s="1">
        <v>1</v>
      </c>
      <c r="AF130" s="109" t="s">
        <v>8964</v>
      </c>
      <c r="AG130" s="1">
        <v>0.32</v>
      </c>
      <c r="AH130" s="812" t="s">
        <v>27663</v>
      </c>
      <c r="AI130" s="193">
        <v>1</v>
      </c>
    </row>
    <row r="131" spans="1:36" ht="18" customHeight="1" x14ac:dyDescent="0.2">
      <c r="A131" s="193">
        <f t="shared" si="47"/>
        <v>0</v>
      </c>
      <c r="B131" s="653" t="s">
        <v>28386</v>
      </c>
      <c r="C131" s="665" t="s">
        <v>28548</v>
      </c>
      <c r="D131" s="1300">
        <f>$D$86*$C$4*'Berechnung &amp; Tabellen'!$D$9*IF(Dateneingabe!H32=150,0,1)</f>
        <v>0</v>
      </c>
      <c r="E131" s="814">
        <f t="shared" si="45"/>
        <v>1080</v>
      </c>
      <c r="F131" s="814">
        <f t="shared" si="48"/>
        <v>186</v>
      </c>
      <c r="G131" s="1236">
        <v>0.8</v>
      </c>
      <c r="H131" s="2464">
        <f>E131*F131/1000/1000</f>
        <v>0.20088</v>
      </c>
      <c r="I131" s="2464"/>
      <c r="J131" s="2465">
        <f>G131*7.85*H131</f>
        <v>1.2615264000000002</v>
      </c>
      <c r="K131" s="2465">
        <f t="shared" si="46"/>
        <v>0</v>
      </c>
      <c r="L131" s="166" t="s">
        <v>53</v>
      </c>
      <c r="M131" s="1" t="s">
        <v>28403</v>
      </c>
      <c r="Q131" s="36"/>
      <c r="R131" s="2500" t="s">
        <v>9043</v>
      </c>
      <c r="S131" s="2499">
        <f t="shared" si="37"/>
        <v>0</v>
      </c>
      <c r="T131" s="2499" t="s">
        <v>28181</v>
      </c>
      <c r="V131" s="1">
        <v>1</v>
      </c>
      <c r="Y131" s="1">
        <v>1</v>
      </c>
      <c r="AC131" s="155">
        <v>1</v>
      </c>
      <c r="AD131" s="1">
        <f t="shared" si="38"/>
        <v>0</v>
      </c>
      <c r="AE131" s="1">
        <v>1</v>
      </c>
      <c r="AF131" s="682" t="s">
        <v>9035</v>
      </c>
      <c r="AG131" s="1">
        <v>0.222</v>
      </c>
      <c r="AH131" s="812" t="s">
        <v>27665</v>
      </c>
    </row>
    <row r="132" spans="1:36" ht="18" customHeight="1" x14ac:dyDescent="0.2">
      <c r="A132" s="193">
        <f t="shared" si="47"/>
        <v>0</v>
      </c>
      <c r="B132" s="653" t="s">
        <v>29419</v>
      </c>
      <c r="C132" s="665" t="s">
        <v>29417</v>
      </c>
      <c r="D132" s="1300">
        <f>$D$86*$C$3*'Berechnung &amp; Tabellen'!$D$9*IF(Dateneingabe!H32=150,1,0)</f>
        <v>0</v>
      </c>
      <c r="E132" s="814">
        <f t="shared" si="45"/>
        <v>1080</v>
      </c>
      <c r="F132" s="814">
        <f t="shared" si="48"/>
        <v>186</v>
      </c>
      <c r="G132" s="1236">
        <v>0.75</v>
      </c>
      <c r="H132" s="2464">
        <f>E132*F132/1000/1000</f>
        <v>0.20088</v>
      </c>
      <c r="I132" s="2464"/>
      <c r="J132" s="2465">
        <f>G132*7.85*H132</f>
        <v>1.1826809999999999</v>
      </c>
      <c r="K132" s="2465">
        <f t="shared" si="46"/>
        <v>0</v>
      </c>
      <c r="L132" s="166" t="s">
        <v>53</v>
      </c>
      <c r="M132" s="1" t="s">
        <v>28402</v>
      </c>
      <c r="Q132" s="36"/>
      <c r="R132" s="2500" t="s">
        <v>8984</v>
      </c>
      <c r="S132" s="2499">
        <f t="shared" si="37"/>
        <v>0</v>
      </c>
      <c r="T132" s="2499" t="s">
        <v>28181</v>
      </c>
      <c r="V132" s="1">
        <v>1</v>
      </c>
      <c r="Y132" s="1">
        <v>1</v>
      </c>
      <c r="AC132" s="155">
        <v>1</v>
      </c>
      <c r="AD132" s="1">
        <f t="shared" si="38"/>
        <v>0</v>
      </c>
      <c r="AE132" s="1">
        <v>1</v>
      </c>
      <c r="AF132" s="109" t="s">
        <v>8964</v>
      </c>
      <c r="AG132" s="1">
        <v>0.32</v>
      </c>
      <c r="AH132" s="812" t="s">
        <v>27663</v>
      </c>
      <c r="AI132" s="193">
        <v>1</v>
      </c>
    </row>
    <row r="133" spans="1:36" ht="18" customHeight="1" x14ac:dyDescent="0.2">
      <c r="A133" s="193">
        <f t="shared" si="47"/>
        <v>0</v>
      </c>
      <c r="B133" s="653" t="s">
        <v>29420</v>
      </c>
      <c r="C133" s="665" t="s">
        <v>29418</v>
      </c>
      <c r="D133" s="1300">
        <f>$D$86*$C$4*'Berechnung &amp; Tabellen'!$D$9*IF(Dateneingabe!H32=150,1,0)</f>
        <v>0</v>
      </c>
      <c r="E133" s="814">
        <f t="shared" si="45"/>
        <v>1080</v>
      </c>
      <c r="F133" s="814">
        <f t="shared" si="48"/>
        <v>186</v>
      </c>
      <c r="G133" s="1236">
        <v>0.8</v>
      </c>
      <c r="H133" s="2464">
        <f>E133*F133/1000/1000</f>
        <v>0.20088</v>
      </c>
      <c r="I133" s="2464"/>
      <c r="J133" s="2465">
        <f>G133*7.85*H133</f>
        <v>1.2615264000000002</v>
      </c>
      <c r="K133" s="2465">
        <f t="shared" si="46"/>
        <v>0</v>
      </c>
      <c r="L133" s="166" t="s">
        <v>53</v>
      </c>
      <c r="M133" s="1" t="s">
        <v>28403</v>
      </c>
      <c r="Q133" s="36"/>
      <c r="R133" s="2500" t="s">
        <v>9043</v>
      </c>
      <c r="S133" s="2499">
        <f t="shared" si="37"/>
        <v>0</v>
      </c>
      <c r="T133" s="2499" t="s">
        <v>28181</v>
      </c>
      <c r="V133" s="1">
        <v>1</v>
      </c>
      <c r="Y133" s="1">
        <v>1</v>
      </c>
      <c r="AC133" s="155">
        <v>1</v>
      </c>
      <c r="AD133" s="1">
        <f t="shared" si="38"/>
        <v>0</v>
      </c>
      <c r="AE133" s="1">
        <v>1</v>
      </c>
      <c r="AF133" s="682" t="s">
        <v>9035</v>
      </c>
      <c r="AG133" s="1">
        <v>0.222</v>
      </c>
      <c r="AH133" s="812" t="s">
        <v>27665</v>
      </c>
    </row>
    <row r="134" spans="1:36" s="1091" customFormat="1" ht="18" customHeight="1" x14ac:dyDescent="0.2">
      <c r="A134" s="1308">
        <f>IF(SUM(A128:A133)&gt;0,VLOOKUP(SUM(A128:A133),A128:C133,1,FALSE),0)</f>
        <v>0</v>
      </c>
      <c r="B134" s="1097">
        <f>IF(SUM(A128:A133)&gt;0,VLOOKUP(SUM(A128:A133),A128:C133,2,FALSE),0)</f>
        <v>0</v>
      </c>
      <c r="C134" s="1088">
        <f>IF(SUM(A128:A133)&gt;0,VLOOKUP(SUM(A128:A133),A128:C133,3,FALSE),0)</f>
        <v>0</v>
      </c>
      <c r="D134" s="1089"/>
      <c r="E134" s="1090"/>
      <c r="F134" s="1090"/>
      <c r="G134" s="1092"/>
      <c r="H134" s="2467"/>
      <c r="I134" s="2467"/>
      <c r="J134" s="2468"/>
      <c r="K134" s="2468"/>
      <c r="L134" s="1090"/>
      <c r="M134" s="1090"/>
      <c r="N134" s="1093"/>
      <c r="O134" s="1093"/>
      <c r="P134" s="1093"/>
      <c r="Q134" s="2453"/>
      <c r="R134" s="2505">
        <f>C134</f>
        <v>0</v>
      </c>
      <c r="S134" s="2506"/>
      <c r="T134" s="2506"/>
      <c r="V134" s="1090"/>
      <c r="Y134" s="1090"/>
      <c r="AD134" s="1090"/>
      <c r="AE134" s="1090"/>
      <c r="AF134" s="1094"/>
      <c r="AG134" s="1090"/>
      <c r="AH134" s="1095"/>
      <c r="AI134" s="1571"/>
      <c r="AJ134" s="1090"/>
    </row>
    <row r="135" spans="1:36" ht="18" customHeight="1" x14ac:dyDescent="0.2">
      <c r="A135" s="193">
        <f>D135</f>
        <v>0</v>
      </c>
      <c r="B135" s="653" t="s">
        <v>29118</v>
      </c>
      <c r="C135" s="958" t="s">
        <v>29106</v>
      </c>
      <c r="D135" s="814">
        <f>$D$86*A3</f>
        <v>0</v>
      </c>
      <c r="E135" s="814">
        <f>$G$1-80-80</f>
        <v>920</v>
      </c>
      <c r="F135" s="814">
        <f t="shared" si="48"/>
        <v>186</v>
      </c>
      <c r="G135" s="1236">
        <v>0.75</v>
      </c>
      <c r="H135" s="2464">
        <f t="shared" si="49"/>
        <v>0.17111999999999999</v>
      </c>
      <c r="I135" s="2464"/>
      <c r="J135" s="2465">
        <f t="shared" si="50"/>
        <v>1.0074689999999999</v>
      </c>
      <c r="K135" s="2465">
        <f>D135*J135</f>
        <v>0</v>
      </c>
      <c r="L135" s="166" t="s">
        <v>53</v>
      </c>
      <c r="M135" s="1" t="s">
        <v>28402</v>
      </c>
      <c r="N135" s="1" t="s">
        <v>337</v>
      </c>
      <c r="Q135" s="36"/>
      <c r="R135" s="2500" t="s">
        <v>8984</v>
      </c>
      <c r="S135" s="2499">
        <f>D135*(E135/1000)*(F135/1000)</f>
        <v>0</v>
      </c>
      <c r="T135" s="2499" t="s">
        <v>28181</v>
      </c>
      <c r="V135" s="1">
        <v>1</v>
      </c>
      <c r="Y135" s="1">
        <v>1</v>
      </c>
      <c r="AC135" s="155">
        <v>1</v>
      </c>
      <c r="AD135" s="1">
        <f>K135*AC135</f>
        <v>0</v>
      </c>
      <c r="AE135" s="1">
        <v>1</v>
      </c>
      <c r="AF135" s="109" t="s">
        <v>8964</v>
      </c>
      <c r="AG135" s="1">
        <v>0.32</v>
      </c>
      <c r="AH135" s="812" t="s">
        <v>27663</v>
      </c>
      <c r="AI135" s="193">
        <v>1</v>
      </c>
    </row>
    <row r="136" spans="1:36" ht="18" customHeight="1" x14ac:dyDescent="0.2">
      <c r="A136" s="193">
        <f>D136</f>
        <v>0</v>
      </c>
      <c r="B136" s="653" t="s">
        <v>29119</v>
      </c>
      <c r="C136" s="958" t="s">
        <v>29107</v>
      </c>
      <c r="D136" s="814">
        <f>$D$86*A4</f>
        <v>0</v>
      </c>
      <c r="E136" s="814">
        <f>$G$1-80-80</f>
        <v>920</v>
      </c>
      <c r="F136" s="814">
        <f t="shared" si="48"/>
        <v>186</v>
      </c>
      <c r="G136" s="1236">
        <v>0.8</v>
      </c>
      <c r="H136" s="2464">
        <f t="shared" si="49"/>
        <v>0.17111999999999999</v>
      </c>
      <c r="I136" s="2464"/>
      <c r="J136" s="2465">
        <f t="shared" si="50"/>
        <v>1.0746336000000001</v>
      </c>
      <c r="K136" s="2465">
        <f>D136*J136</f>
        <v>0</v>
      </c>
      <c r="L136" s="166" t="s">
        <v>53</v>
      </c>
      <c r="M136" s="1" t="s">
        <v>28403</v>
      </c>
      <c r="N136" s="1" t="s">
        <v>337</v>
      </c>
      <c r="Q136" s="36"/>
      <c r="R136" s="2500" t="s">
        <v>9043</v>
      </c>
      <c r="S136" s="2499">
        <f>D136*(E136/1000)*(F136/1000)</f>
        <v>0</v>
      </c>
      <c r="T136" s="2499" t="s">
        <v>28181</v>
      </c>
      <c r="V136" s="1">
        <v>1</v>
      </c>
      <c r="Y136" s="1">
        <v>1</v>
      </c>
      <c r="AC136" s="155">
        <v>1</v>
      </c>
      <c r="AD136" s="1">
        <f>K136*AC136</f>
        <v>0</v>
      </c>
      <c r="AE136" s="1">
        <v>1</v>
      </c>
      <c r="AF136" s="682" t="s">
        <v>9035</v>
      </c>
      <c r="AG136" s="1">
        <v>0.222</v>
      </c>
      <c r="AH136" s="812" t="s">
        <v>27665</v>
      </c>
    </row>
    <row r="137" spans="1:36" s="1091" customFormat="1" ht="18" customHeight="1" x14ac:dyDescent="0.2">
      <c r="A137" s="1308">
        <f>IF(SUM(A135:A136)&gt;0,VLOOKUP(SUM(A135:A136),A135:C136,1,FALSE),0)</f>
        <v>0</v>
      </c>
      <c r="B137" s="1097">
        <f>IF(SUM(A135:A136)&gt;0,VLOOKUP(SUM(A135:A136),A135:C136,2,FALSE),0)</f>
        <v>0</v>
      </c>
      <c r="C137" s="1088">
        <f>IF(SUM(A135:A136)&gt;0,VLOOKUP(SUM(A135:A136),A135:C136,3,FALSE),0)</f>
        <v>0</v>
      </c>
      <c r="D137" s="1089"/>
      <c r="E137" s="1090"/>
      <c r="F137" s="1090"/>
      <c r="G137" s="1092"/>
      <c r="H137" s="2467"/>
      <c r="I137" s="2467"/>
      <c r="J137" s="2468"/>
      <c r="K137" s="2468"/>
      <c r="L137" s="1090"/>
      <c r="M137" s="1090"/>
      <c r="N137" s="1093"/>
      <c r="O137" s="1093"/>
      <c r="P137" s="1093"/>
      <c r="Q137" s="2453"/>
      <c r="R137" s="2505">
        <f t="shared" ref="R137:R175" si="51">C137</f>
        <v>0</v>
      </c>
      <c r="S137" s="2506"/>
      <c r="T137" s="2506"/>
      <c r="V137" s="1090"/>
      <c r="Y137" s="1090"/>
      <c r="AD137" s="1090"/>
      <c r="AE137" s="1090"/>
      <c r="AF137" s="1094"/>
      <c r="AG137" s="1090"/>
      <c r="AH137" s="1095"/>
      <c r="AI137" s="1571"/>
      <c r="AJ137" s="1090"/>
    </row>
    <row r="138" spans="1:36" ht="18" customHeight="1" x14ac:dyDescent="0.2">
      <c r="A138" s="193">
        <f>D138</f>
        <v>1</v>
      </c>
      <c r="B138" s="948" t="s">
        <v>29151</v>
      </c>
      <c r="C138" s="665" t="s">
        <v>29145</v>
      </c>
      <c r="D138" s="1807">
        <f>IF(AND('Berechnung &amp; Tabellen'!D9*'Berechnung &amp; Tabellen'!D19*C2&lt;&gt;3,Dateneingabe!H30=Dateneingabe!F120),'Berechnung &amp; Tabellen'!D9*'Berechnung &amp; Tabellen'!D19*C2,0)*IF(Dateneingabe!E159=1,0,1)</f>
        <v>1</v>
      </c>
      <c r="E138" s="419">
        <v>116</v>
      </c>
      <c r="F138" s="117">
        <f t="shared" ref="F138:F143" si="52">$G$1</f>
        <v>1080</v>
      </c>
      <c r="G138" s="118">
        <v>2</v>
      </c>
      <c r="H138" s="2464">
        <f>E138/1000*F138/1000</f>
        <v>0.12528</v>
      </c>
      <c r="I138" s="2464"/>
      <c r="J138" s="2465"/>
      <c r="K138" s="2465">
        <f>D138*J138</f>
        <v>0</v>
      </c>
      <c r="L138" s="1" t="s">
        <v>28400</v>
      </c>
      <c r="Q138" s="36"/>
      <c r="R138" s="2509" t="str">
        <f t="shared" si="51"/>
        <v>0308339</v>
      </c>
      <c r="S138" s="2510">
        <f>D138*F138/1000</f>
        <v>1.08</v>
      </c>
      <c r="T138" s="2511" t="s">
        <v>30531</v>
      </c>
      <c r="V138" s="1">
        <v>1</v>
      </c>
      <c r="AC138" s="155">
        <v>1</v>
      </c>
      <c r="AD138" s="1">
        <f>K138*AC138</f>
        <v>0</v>
      </c>
      <c r="AE138" s="1">
        <v>1</v>
      </c>
    </row>
    <row r="139" spans="1:36" ht="18" customHeight="1" x14ac:dyDescent="0.2">
      <c r="A139" s="193">
        <f>D139</f>
        <v>0</v>
      </c>
      <c r="B139" s="948" t="s">
        <v>31452</v>
      </c>
      <c r="C139" s="665" t="s">
        <v>31453</v>
      </c>
      <c r="D139" s="1807">
        <f>IF(AND('Berechnung &amp; Tabellen'!D9*'Berechnung &amp; Tabellen'!D19*C2=3,Dateneingabe!H30=Dateneingabe!F120),1,0)*IF(Dateneingabe!E159=1,0,1)</f>
        <v>0</v>
      </c>
      <c r="E139" s="419">
        <v>116</v>
      </c>
      <c r="F139" s="117">
        <f t="shared" si="52"/>
        <v>1080</v>
      </c>
      <c r="G139" s="118">
        <v>6</v>
      </c>
      <c r="H139" s="2464">
        <f>E139/1000*F139/1000</f>
        <v>0.12528</v>
      </c>
      <c r="I139" s="2464"/>
      <c r="J139" s="2465"/>
      <c r="K139" s="2465">
        <f>D139*J139</f>
        <v>0</v>
      </c>
      <c r="L139" s="116" t="s">
        <v>28400</v>
      </c>
      <c r="Q139" s="36"/>
      <c r="R139" s="2509" t="str">
        <f t="shared" ref="R139" si="53">C139</f>
        <v>0308346</v>
      </c>
      <c r="S139" s="2510">
        <f>D139*F139/1000</f>
        <v>0</v>
      </c>
      <c r="T139" s="2511" t="s">
        <v>30531</v>
      </c>
      <c r="V139" s="1">
        <v>1</v>
      </c>
      <c r="AC139" s="155">
        <v>1</v>
      </c>
      <c r="AD139" s="1">
        <f>K139*AC139</f>
        <v>0</v>
      </c>
      <c r="AE139" s="1">
        <v>1</v>
      </c>
    </row>
    <row r="140" spans="1:36" ht="18" customHeight="1" x14ac:dyDescent="0.2">
      <c r="A140" s="193">
        <f>D140</f>
        <v>0</v>
      </c>
      <c r="B140" s="420" t="s">
        <v>29144</v>
      </c>
      <c r="C140" s="665" t="s">
        <v>29146</v>
      </c>
      <c r="D140" s="1807">
        <f>IF(Dateneingabe!H30=Dateneingabe!F120,'Berechnung &amp; Tabellen'!D9*'Berechnung &amp; Tabellen'!D19*C1,0)*IF(Dateneingabe!E159=1,0,1)</f>
        <v>0</v>
      </c>
      <c r="E140" s="419">
        <v>116</v>
      </c>
      <c r="F140" s="117">
        <f t="shared" si="52"/>
        <v>1080</v>
      </c>
      <c r="G140" s="118">
        <v>2.5</v>
      </c>
      <c r="H140" s="2464">
        <f>E140/1000*F140/1000</f>
        <v>0.12528</v>
      </c>
      <c r="I140" s="2464"/>
      <c r="J140" s="2465"/>
      <c r="K140" s="2465">
        <f>D140*J140</f>
        <v>0</v>
      </c>
      <c r="L140" s="1" t="s">
        <v>28400</v>
      </c>
      <c r="Q140" s="36"/>
      <c r="R140" s="2509" t="str">
        <f t="shared" si="51"/>
        <v>0338339</v>
      </c>
      <c r="S140" s="2510">
        <f>D140*F140/1000</f>
        <v>0</v>
      </c>
      <c r="T140" s="2511" t="s">
        <v>30531</v>
      </c>
      <c r="V140" s="1">
        <v>1</v>
      </c>
      <c r="AC140" s="155">
        <v>1</v>
      </c>
      <c r="AD140" s="1">
        <f>K140*AC140</f>
        <v>0</v>
      </c>
      <c r="AE140" s="1">
        <v>1</v>
      </c>
    </row>
    <row r="141" spans="1:36" ht="18" customHeight="1" x14ac:dyDescent="0.2">
      <c r="A141" s="193">
        <f>D141</f>
        <v>0</v>
      </c>
      <c r="B141" s="948" t="s">
        <v>29150</v>
      </c>
      <c r="C141" s="665" t="s">
        <v>5041</v>
      </c>
      <c r="D141" s="1807">
        <f>'Berechnung &amp; Tabellen'!E9*C2+IF(AND('Berechnung &amp; Tabellen'!D9=1,Dateneingabe!E159=1),'Berechnung &amp; Tabellen'!D19*C2,0)</f>
        <v>0</v>
      </c>
      <c r="E141" s="117">
        <v>49</v>
      </c>
      <c r="F141" s="117">
        <f t="shared" si="52"/>
        <v>1080</v>
      </c>
      <c r="G141" s="118">
        <v>2</v>
      </c>
      <c r="H141" s="2464">
        <f>E141/1000*F141/1000</f>
        <v>5.2920000000000002E-2</v>
      </c>
      <c r="I141" s="2464"/>
      <c r="J141" s="2465"/>
      <c r="K141" s="2465">
        <f>D141*J141</f>
        <v>0</v>
      </c>
      <c r="L141" s="1" t="s">
        <v>28400</v>
      </c>
      <c r="Q141" s="36"/>
      <c r="R141" s="2509" t="str">
        <f t="shared" si="51"/>
        <v>0305036</v>
      </c>
      <c r="S141" s="2510">
        <f>D141*F141/1000</f>
        <v>0</v>
      </c>
      <c r="T141" s="2511" t="s">
        <v>30531</v>
      </c>
      <c r="V141" s="1">
        <v>1</v>
      </c>
      <c r="AC141" s="155">
        <v>1</v>
      </c>
      <c r="AD141" s="1">
        <f>K141*AC141</f>
        <v>0</v>
      </c>
      <c r="AE141" s="1">
        <v>1</v>
      </c>
    </row>
    <row r="142" spans="1:36" ht="18" customHeight="1" x14ac:dyDescent="0.2">
      <c r="A142" s="193">
        <f>D142</f>
        <v>0</v>
      </c>
      <c r="B142" s="420" t="s">
        <v>29143</v>
      </c>
      <c r="C142" s="665" t="s">
        <v>29147</v>
      </c>
      <c r="D142" s="1807">
        <f>'Berechnung &amp; Tabellen'!E9*C1+IF(AND('Berechnung &amp; Tabellen'!D9=1,Dateneingabe!E159=1),'Berechnung &amp; Tabellen'!D19*C1,0)</f>
        <v>0</v>
      </c>
      <c r="E142" s="117">
        <v>49</v>
      </c>
      <c r="F142" s="117">
        <f t="shared" si="52"/>
        <v>1080</v>
      </c>
      <c r="G142" s="118">
        <v>2.5</v>
      </c>
      <c r="H142" s="2464">
        <f>E142/1000*F142/1000</f>
        <v>5.2920000000000002E-2</v>
      </c>
      <c r="I142" s="2464"/>
      <c r="J142" s="2465"/>
      <c r="K142" s="2465">
        <f>D142*J142</f>
        <v>0</v>
      </c>
      <c r="L142" s="1" t="s">
        <v>28400</v>
      </c>
      <c r="Q142" s="36"/>
      <c r="R142" s="2509" t="str">
        <f t="shared" si="51"/>
        <v>0338341</v>
      </c>
      <c r="S142" s="2510">
        <f>D142*F142/1000</f>
        <v>0</v>
      </c>
      <c r="T142" s="2511" t="s">
        <v>30531</v>
      </c>
      <c r="V142" s="1">
        <v>1</v>
      </c>
      <c r="AC142" s="155">
        <v>1</v>
      </c>
      <c r="AD142" s="1">
        <f>K142*AC142</f>
        <v>0</v>
      </c>
      <c r="AE142" s="1">
        <v>1</v>
      </c>
    </row>
    <row r="143" spans="1:36" s="1091" customFormat="1" ht="18" customHeight="1" x14ac:dyDescent="0.2">
      <c r="A143" s="1308">
        <f>IF(SUM(A138:A142)&gt;0,VLOOKUP(SUM(A138:A142),A138:C142,1,FALSE),0)</f>
        <v>1</v>
      </c>
      <c r="B143" s="1097" t="str">
        <f>IF(SUM(A138:A142)&gt;0,VLOOKUP(SUM(A138:A142),A138:C142,2,FALSE),0)</f>
        <v>Fireflystreifen 2mm selbstklebend 116mm</v>
      </c>
      <c r="C143" s="1088" t="str">
        <f>IF(SUM(A138:A142)&gt;0,VLOOKUP(SUM(A138:A142),A138:C142,3,FALSE),0)</f>
        <v>0308339</v>
      </c>
      <c r="D143" s="1089"/>
      <c r="E143" s="1090"/>
      <c r="F143" s="1090">
        <f t="shared" si="52"/>
        <v>1080</v>
      </c>
      <c r="G143" s="1092"/>
      <c r="H143" s="2467"/>
      <c r="I143" s="2467"/>
      <c r="J143" s="2468"/>
      <c r="K143" s="2468"/>
      <c r="L143" s="1090"/>
      <c r="M143" s="1090"/>
      <c r="N143" s="1093"/>
      <c r="O143" s="1093"/>
      <c r="P143" s="1093"/>
      <c r="Q143" s="2453"/>
      <c r="R143" s="2505" t="str">
        <f t="shared" si="51"/>
        <v>0308339</v>
      </c>
      <c r="S143" s="2506"/>
      <c r="T143" s="2506"/>
      <c r="V143" s="1090"/>
      <c r="Y143" s="1090"/>
      <c r="AD143" s="1090"/>
      <c r="AE143" s="1090"/>
      <c r="AF143" s="1094"/>
      <c r="AG143" s="1090"/>
      <c r="AH143" s="1095"/>
      <c r="AI143" s="1571"/>
      <c r="AJ143" s="1090"/>
    </row>
    <row r="144" spans="1:36" ht="18" customHeight="1" x14ac:dyDescent="0.2">
      <c r="B144" s="653" t="s">
        <v>29882</v>
      </c>
      <c r="C144" s="665" t="s">
        <v>27675</v>
      </c>
      <c r="D144" s="814">
        <f>ROUNDUP($G$1/250+1,0)*IF(F93&gt;600,6,4)*D86*0</f>
        <v>0</v>
      </c>
      <c r="E144" s="116">
        <v>0</v>
      </c>
      <c r="F144" s="200">
        <v>0</v>
      </c>
      <c r="G144" s="118">
        <v>0</v>
      </c>
      <c r="H144" s="2464">
        <f>E144*F144/1000/1000</f>
        <v>0</v>
      </c>
      <c r="I144" s="2464"/>
      <c r="J144" s="2465">
        <f>G144*7.85*H144</f>
        <v>0</v>
      </c>
      <c r="K144" s="2465">
        <f>D144*J144</f>
        <v>0</v>
      </c>
      <c r="L144" s="1" t="s">
        <v>53</v>
      </c>
      <c r="N144" s="166"/>
      <c r="O144" s="166"/>
      <c r="P144" s="166"/>
      <c r="Q144" s="61"/>
      <c r="R144" s="2501" t="str">
        <f t="shared" si="51"/>
        <v>0123025</v>
      </c>
      <c r="S144" s="2502">
        <f>D144</f>
        <v>0</v>
      </c>
      <c r="T144" s="2503" t="s">
        <v>53</v>
      </c>
      <c r="V144" s="1">
        <v>1</v>
      </c>
      <c r="AC144" s="155">
        <v>1</v>
      </c>
      <c r="AD144" s="1">
        <f>K144*AC144</f>
        <v>0</v>
      </c>
      <c r="AE144" s="1">
        <v>1</v>
      </c>
    </row>
    <row r="145" spans="1:36" ht="18" customHeight="1" x14ac:dyDescent="0.2">
      <c r="A145" s="1810"/>
      <c r="B145" s="135" t="s">
        <v>29514</v>
      </c>
      <c r="C145" s="665"/>
      <c r="D145" s="116">
        <f>Dateneingabe!E159</f>
        <v>0</v>
      </c>
      <c r="E145" s="116"/>
      <c r="F145" s="200"/>
      <c r="H145" s="2464"/>
      <c r="I145" s="2464"/>
      <c r="J145" s="2465"/>
      <c r="K145" s="2465"/>
      <c r="N145" s="166"/>
      <c r="O145" s="166"/>
      <c r="P145" s="166"/>
      <c r="Q145" s="61"/>
      <c r="R145" s="2504">
        <f t="shared" si="51"/>
        <v>0</v>
      </c>
      <c r="S145" s="2493"/>
      <c r="T145" s="2493"/>
    </row>
    <row r="146" spans="1:36" ht="18" customHeight="1" x14ac:dyDescent="0.2">
      <c r="A146" s="1810"/>
      <c r="B146" s="1772" t="s">
        <v>29535</v>
      </c>
      <c r="C146" s="665" t="s">
        <v>5735</v>
      </c>
      <c r="D146" s="117">
        <f>ROUNDUP((Dateneingabe!$F$22+20)/300,0)*Dateneingabe!$E$159</f>
        <v>0</v>
      </c>
      <c r="F146" s="1"/>
      <c r="H146" s="2464"/>
      <c r="I146" s="2464"/>
      <c r="J146" s="2465"/>
      <c r="K146" s="2465"/>
      <c r="L146" s="1" t="s">
        <v>53</v>
      </c>
      <c r="Q146" s="36"/>
      <c r="R146" s="2501" t="str">
        <f t="shared" si="51"/>
        <v>0306133</v>
      </c>
      <c r="S146" s="2502">
        <f>D146</f>
        <v>0</v>
      </c>
      <c r="T146" s="2503" t="s">
        <v>53</v>
      </c>
      <c r="V146" s="1">
        <v>1</v>
      </c>
      <c r="AC146" s="155">
        <v>1</v>
      </c>
      <c r="AD146" s="1">
        <f>K146*AC146</f>
        <v>0</v>
      </c>
      <c r="AE146" s="1">
        <v>1</v>
      </c>
    </row>
    <row r="147" spans="1:36" ht="18" customHeight="1" x14ac:dyDescent="0.2">
      <c r="A147" s="1810">
        <f>D147</f>
        <v>0</v>
      </c>
      <c r="B147" s="1772" t="s">
        <v>29599</v>
      </c>
      <c r="C147" s="665" t="s">
        <v>26294</v>
      </c>
      <c r="D147" s="117">
        <f>ROUNDUP((Dateneingabe!$F$22+20)/2000,0)*Dateneingabe!$E$159*C2</f>
        <v>0</v>
      </c>
      <c r="F147" s="1"/>
      <c r="H147" s="2464"/>
      <c r="I147" s="2464"/>
      <c r="J147" s="2465"/>
      <c r="K147" s="2465"/>
      <c r="L147" s="1" t="s">
        <v>53</v>
      </c>
      <c r="Q147" s="36"/>
      <c r="R147" s="2501" t="str">
        <f t="shared" si="51"/>
        <v>1410015</v>
      </c>
      <c r="S147" s="2502">
        <f>D147</f>
        <v>0</v>
      </c>
      <c r="T147" s="2503" t="s">
        <v>53</v>
      </c>
      <c r="V147" s="1">
        <v>1</v>
      </c>
      <c r="AC147" s="155">
        <v>1</v>
      </c>
      <c r="AD147" s="1">
        <f>K147*AC147</f>
        <v>0</v>
      </c>
      <c r="AE147" s="1">
        <v>1</v>
      </c>
    </row>
    <row r="148" spans="1:36" ht="18" customHeight="1" x14ac:dyDescent="0.2">
      <c r="A148" s="1810">
        <f>D148</f>
        <v>0</v>
      </c>
      <c r="B148" s="1772" t="s">
        <v>29598</v>
      </c>
      <c r="C148" s="665" t="s">
        <v>29600</v>
      </c>
      <c r="D148" s="117">
        <f>ROUNDUP((Dateneingabe!$F$22+20)/2000,0)*Dateneingabe!$E$159*C1</f>
        <v>0</v>
      </c>
      <c r="F148" s="1"/>
      <c r="H148" s="2464"/>
      <c r="I148" s="2464"/>
      <c r="J148" s="2465"/>
      <c r="K148" s="2465"/>
      <c r="L148" s="1" t="s">
        <v>53</v>
      </c>
      <c r="Q148" s="36"/>
      <c r="R148" s="2501" t="str">
        <f t="shared" si="51"/>
        <v>1410111</v>
      </c>
      <c r="S148" s="2502">
        <f>D148</f>
        <v>0</v>
      </c>
      <c r="T148" s="2503" t="s">
        <v>53</v>
      </c>
      <c r="V148" s="1">
        <v>1</v>
      </c>
      <c r="AC148" s="155">
        <v>1</v>
      </c>
      <c r="AD148" s="1">
        <f>K148*AC148</f>
        <v>0</v>
      </c>
      <c r="AE148" s="1">
        <v>1</v>
      </c>
    </row>
    <row r="149" spans="1:36" s="1091" customFormat="1" ht="18" customHeight="1" x14ac:dyDescent="0.2">
      <c r="A149" s="1088">
        <f>IF(SUM(A147:A148)&gt;0,VLOOKUP(SUM(A147:A148),A147:C148,1,FALSE),0)</f>
        <v>0</v>
      </c>
      <c r="B149" s="1097">
        <f>IF(SUM(A147:A148)&gt;0,VLOOKUP(SUM(A147:A148),A147:C148,2,FALSE),0)</f>
        <v>0</v>
      </c>
      <c r="C149" s="1088">
        <f>IF(SUM(A147:A148)&gt;0,VLOOKUP(SUM(A147:A148),A147:C148,3,FALSE),0)</f>
        <v>0</v>
      </c>
      <c r="D149" s="1089"/>
      <c r="E149" s="1090"/>
      <c r="F149" s="1090"/>
      <c r="G149" s="1092"/>
      <c r="H149" s="2467"/>
      <c r="I149" s="2467"/>
      <c r="J149" s="2468"/>
      <c r="K149" s="2468"/>
      <c r="L149" s="1090"/>
      <c r="M149" s="1090"/>
      <c r="N149" s="1093"/>
      <c r="O149" s="1093"/>
      <c r="P149" s="1093"/>
      <c r="Q149" s="2453"/>
      <c r="R149" s="2505">
        <f t="shared" si="51"/>
        <v>0</v>
      </c>
      <c r="S149" s="2506"/>
      <c r="T149" s="2506"/>
      <c r="V149" s="1090"/>
      <c r="Y149" s="1090"/>
      <c r="AD149" s="1090"/>
      <c r="AE149" s="1090"/>
      <c r="AF149" s="1094"/>
      <c r="AG149" s="1090"/>
      <c r="AH149" s="1095"/>
      <c r="AI149" s="1571"/>
      <c r="AJ149" s="1090"/>
    </row>
    <row r="150" spans="1:36" ht="18" customHeight="1" x14ac:dyDescent="0.2">
      <c r="A150" s="1810"/>
      <c r="B150" s="1772" t="s">
        <v>29537</v>
      </c>
      <c r="C150" s="665"/>
      <c r="D150" s="117">
        <f>IF((D147+D148)&gt;1,(D147+D148)-1,0)</f>
        <v>0</v>
      </c>
      <c r="F150" s="1"/>
      <c r="H150" s="2464"/>
      <c r="I150" s="2464"/>
      <c r="J150" s="2465"/>
      <c r="K150" s="2465"/>
      <c r="L150" s="1" t="s">
        <v>53</v>
      </c>
      <c r="Q150" s="36"/>
      <c r="R150" s="2504">
        <f t="shared" si="51"/>
        <v>0</v>
      </c>
      <c r="S150" s="2493"/>
      <c r="T150" s="2493"/>
      <c r="V150" s="1">
        <v>1</v>
      </c>
      <c r="AC150" s="155">
        <v>1</v>
      </c>
      <c r="AD150" s="1">
        <f>K150*AC150</f>
        <v>0</v>
      </c>
      <c r="AE150" s="1">
        <v>1</v>
      </c>
    </row>
    <row r="151" spans="1:36" ht="18" customHeight="1" x14ac:dyDescent="0.2">
      <c r="A151" s="1810"/>
      <c r="B151" s="1773" t="s">
        <v>29568</v>
      </c>
      <c r="C151" s="665" t="s">
        <v>20753</v>
      </c>
      <c r="D151" s="117">
        <f>'Siko Tapeswitch'!I32</f>
        <v>0</v>
      </c>
      <c r="F151" s="1"/>
      <c r="H151" s="2464"/>
      <c r="I151" s="2464"/>
      <c r="J151" s="2465"/>
      <c r="K151" s="2465"/>
      <c r="L151" s="116" t="s">
        <v>54</v>
      </c>
      <c r="Q151" s="36"/>
      <c r="R151" s="2501" t="str">
        <f t="shared" si="51"/>
        <v>0907042</v>
      </c>
      <c r="S151" s="2502">
        <f t="shared" ref="S151:S158" si="54">D151</f>
        <v>0</v>
      </c>
      <c r="T151" s="2503" t="str">
        <f>L150</f>
        <v>Stk</v>
      </c>
      <c r="V151" s="1">
        <v>1</v>
      </c>
      <c r="AE151" s="1">
        <v>1</v>
      </c>
    </row>
    <row r="152" spans="1:36" ht="18" customHeight="1" x14ac:dyDescent="0.2">
      <c r="A152" s="1810"/>
      <c r="B152" s="1773" t="s">
        <v>29569</v>
      </c>
      <c r="C152" s="665" t="s">
        <v>29498</v>
      </c>
      <c r="D152" s="1796">
        <f>'Siko Tapeswitch'!I33</f>
        <v>0</v>
      </c>
      <c r="F152" s="1"/>
      <c r="H152" s="2464"/>
      <c r="I152" s="2464"/>
      <c r="J152" s="2465"/>
      <c r="K152" s="2465"/>
      <c r="L152" s="1" t="s">
        <v>53</v>
      </c>
      <c r="Q152" s="36"/>
      <c r="R152" s="2501" t="str">
        <f t="shared" si="51"/>
        <v>0306714</v>
      </c>
      <c r="S152" s="2502">
        <f t="shared" si="54"/>
        <v>0</v>
      </c>
      <c r="T152" s="2503" t="str">
        <f>L151</f>
        <v>M</v>
      </c>
      <c r="V152" s="1">
        <v>1</v>
      </c>
      <c r="AE152" s="1">
        <v>1</v>
      </c>
    </row>
    <row r="153" spans="1:36" ht="18" customHeight="1" x14ac:dyDescent="0.2">
      <c r="A153" s="1810"/>
      <c r="B153" s="1773" t="s">
        <v>29570</v>
      </c>
      <c r="C153" s="665" t="s">
        <v>20751</v>
      </c>
      <c r="D153" s="1796">
        <f>'Siko Tapeswitch'!I35</f>
        <v>0</v>
      </c>
      <c r="F153" s="1"/>
      <c r="H153" s="2464"/>
      <c r="I153" s="2464"/>
      <c r="J153" s="2465"/>
      <c r="K153" s="2465"/>
      <c r="L153" s="1" t="s">
        <v>53</v>
      </c>
      <c r="Q153" s="36"/>
      <c r="R153" s="2501" t="str">
        <f t="shared" si="51"/>
        <v>0907041</v>
      </c>
      <c r="S153" s="2502">
        <f t="shared" si="54"/>
        <v>0</v>
      </c>
      <c r="T153" s="2503" t="s">
        <v>53</v>
      </c>
      <c r="V153" s="1">
        <v>1</v>
      </c>
      <c r="AE153" s="1">
        <v>1</v>
      </c>
    </row>
    <row r="154" spans="1:36" ht="18" customHeight="1" x14ac:dyDescent="0.2">
      <c r="A154" s="1810"/>
      <c r="B154" s="1773" t="s">
        <v>29500</v>
      </c>
      <c r="C154" s="665" t="s">
        <v>16905</v>
      </c>
      <c r="D154" s="1796">
        <f>'Siko Tapeswitch'!I35</f>
        <v>0</v>
      </c>
      <c r="F154" s="1"/>
      <c r="H154" s="2464"/>
      <c r="I154" s="2464"/>
      <c r="J154" s="2465"/>
      <c r="K154" s="2465"/>
      <c r="L154" s="1" t="s">
        <v>53</v>
      </c>
      <c r="Q154" s="36"/>
      <c r="R154" s="2501" t="str">
        <f t="shared" si="51"/>
        <v>0712154</v>
      </c>
      <c r="S154" s="2502">
        <f t="shared" si="54"/>
        <v>0</v>
      </c>
      <c r="T154" s="2503" t="s">
        <v>53</v>
      </c>
      <c r="V154" s="1">
        <v>1</v>
      </c>
      <c r="AE154" s="1">
        <v>1</v>
      </c>
    </row>
    <row r="155" spans="1:36" ht="18" customHeight="1" x14ac:dyDescent="0.2">
      <c r="A155" s="1810"/>
      <c r="B155" s="1773" t="s">
        <v>29567</v>
      </c>
      <c r="C155" s="665" t="s">
        <v>26728</v>
      </c>
      <c r="D155" s="1796">
        <f>'Siko Tapeswitch'!I39</f>
        <v>0</v>
      </c>
      <c r="F155" s="1"/>
      <c r="H155" s="2464"/>
      <c r="I155" s="2464"/>
      <c r="J155" s="2465"/>
      <c r="K155" s="2465"/>
      <c r="L155" s="1" t="s">
        <v>53</v>
      </c>
      <c r="Q155" s="36"/>
      <c r="R155" s="2501" t="str">
        <f t="shared" si="51"/>
        <v>1509014</v>
      </c>
      <c r="S155" s="2502">
        <f t="shared" si="54"/>
        <v>0</v>
      </c>
      <c r="T155" s="2503" t="s">
        <v>53</v>
      </c>
      <c r="V155" s="1">
        <v>1</v>
      </c>
      <c r="AE155" s="1">
        <v>1</v>
      </c>
    </row>
    <row r="156" spans="1:36" ht="18" customHeight="1" x14ac:dyDescent="0.2">
      <c r="A156" s="1810"/>
      <c r="B156" s="1773" t="s">
        <v>20806</v>
      </c>
      <c r="C156" s="665" t="s">
        <v>29536</v>
      </c>
      <c r="D156" s="117">
        <f>'Siko Tapeswitch'!C17</f>
        <v>0</v>
      </c>
      <c r="F156" s="1"/>
      <c r="H156" s="2464"/>
      <c r="I156" s="2464"/>
      <c r="J156" s="2465"/>
      <c r="K156" s="2465"/>
      <c r="L156" s="1" t="s">
        <v>53</v>
      </c>
      <c r="Q156" s="36"/>
      <c r="R156" s="2501" t="str">
        <f t="shared" si="51"/>
        <v>400259</v>
      </c>
      <c r="S156" s="2502">
        <f t="shared" si="54"/>
        <v>0</v>
      </c>
      <c r="T156" s="2503" t="s">
        <v>53</v>
      </c>
      <c r="V156" s="1">
        <v>1</v>
      </c>
      <c r="AE156" s="1">
        <v>1</v>
      </c>
    </row>
    <row r="157" spans="1:36" ht="18" customHeight="1" x14ac:dyDescent="0.2">
      <c r="A157" s="1810">
        <f>D157</f>
        <v>0</v>
      </c>
      <c r="B157" s="336" t="s">
        <v>29545</v>
      </c>
      <c r="C157" s="958" t="s">
        <v>29541</v>
      </c>
      <c r="D157" s="200">
        <f>Dateneingabe!E159*C2</f>
        <v>0</v>
      </c>
      <c r="E157" s="200">
        <v>78.31</v>
      </c>
      <c r="F157" s="200">
        <f>Dateneingabe!F22+20</f>
        <v>920</v>
      </c>
      <c r="G157" s="1236">
        <v>1.5</v>
      </c>
      <c r="H157" s="2464">
        <f t="shared" ref="H157:H171" si="55">E157*F157/1000/1000</f>
        <v>7.204519999999999E-2</v>
      </c>
      <c r="I157" s="2464"/>
      <c r="J157" s="2465">
        <f t="shared" ref="J157:J165" si="56">G157*7.85*H157</f>
        <v>0.8483322299999998</v>
      </c>
      <c r="K157" s="2465">
        <f t="shared" ref="K157:K173" si="57">D157*J157</f>
        <v>0</v>
      </c>
      <c r="L157" s="166" t="s">
        <v>53</v>
      </c>
      <c r="M157" s="1" t="s">
        <v>28402</v>
      </c>
      <c r="Q157" s="36"/>
      <c r="R157" s="2501" t="str">
        <f t="shared" si="51"/>
        <v>0308380</v>
      </c>
      <c r="S157" s="2502">
        <f t="shared" si="54"/>
        <v>0</v>
      </c>
      <c r="T157" s="2503" t="s">
        <v>53</v>
      </c>
      <c r="V157" s="1">
        <v>1</v>
      </c>
      <c r="Y157" s="1">
        <v>1</v>
      </c>
      <c r="AC157" s="155">
        <v>1</v>
      </c>
      <c r="AD157" s="1">
        <f>K157*AC157</f>
        <v>0</v>
      </c>
      <c r="AE157" s="1">
        <v>1</v>
      </c>
      <c r="AF157" s="109" t="s">
        <v>8964</v>
      </c>
      <c r="AG157" s="1">
        <v>0.32</v>
      </c>
      <c r="AH157" s="812" t="s">
        <v>27663</v>
      </c>
    </row>
    <row r="158" spans="1:36" ht="18" customHeight="1" x14ac:dyDescent="0.2">
      <c r="A158" s="1810">
        <f>D158</f>
        <v>0</v>
      </c>
      <c r="B158" s="336" t="s">
        <v>29548</v>
      </c>
      <c r="C158" s="958" t="s">
        <v>29601</v>
      </c>
      <c r="D158" s="200">
        <f>Dateneingabe!E159*C1</f>
        <v>0</v>
      </c>
      <c r="E158" s="200">
        <v>78.38</v>
      </c>
      <c r="F158" s="200">
        <f>Dateneingabe!F22+20</f>
        <v>920</v>
      </c>
      <c r="G158" s="1236">
        <v>1.5</v>
      </c>
      <c r="H158" s="2464">
        <f t="shared" si="55"/>
        <v>7.2109599999999982E-2</v>
      </c>
      <c r="I158" s="2464"/>
      <c r="J158" s="2465">
        <f t="shared" si="56"/>
        <v>0.84909053999999973</v>
      </c>
      <c r="K158" s="2465">
        <f t="shared" si="57"/>
        <v>0</v>
      </c>
      <c r="L158" s="166" t="s">
        <v>53</v>
      </c>
      <c r="M158" s="1" t="s">
        <v>28403</v>
      </c>
      <c r="Q158" s="36"/>
      <c r="R158" s="2501" t="str">
        <f t="shared" si="51"/>
        <v>0338380</v>
      </c>
      <c r="S158" s="2502">
        <f t="shared" si="54"/>
        <v>0</v>
      </c>
      <c r="T158" s="2503" t="s">
        <v>53</v>
      </c>
      <c r="V158" s="1">
        <v>1</v>
      </c>
      <c r="Y158" s="1">
        <v>1</v>
      </c>
      <c r="AC158" s="155">
        <v>1</v>
      </c>
      <c r="AD158" s="1">
        <f>K158*AC158</f>
        <v>0</v>
      </c>
      <c r="AE158" s="1">
        <v>1</v>
      </c>
      <c r="AF158" s="109" t="s">
        <v>8964</v>
      </c>
      <c r="AG158" s="1">
        <v>0.32</v>
      </c>
      <c r="AH158" s="812" t="s">
        <v>27663</v>
      </c>
    </row>
    <row r="159" spans="1:36" s="1091" customFormat="1" ht="18" customHeight="1" x14ac:dyDescent="0.2">
      <c r="A159" s="1088">
        <f>IF(SUM(A157:A158)&gt;0,VLOOKUP(SUM(A157:A158),A157:C158,1,FALSE),0)</f>
        <v>0</v>
      </c>
      <c r="B159" s="1097">
        <f>IF(SUM(A157:A158)&gt;0,VLOOKUP(SUM(A157:A158),A157:C158,2,FALSE),0)</f>
        <v>0</v>
      </c>
      <c r="C159" s="1088">
        <f>IF(SUM(A157:A158)&gt;0,VLOOKUP(SUM(A157:A158),A157:C158,3,FALSE),0)</f>
        <v>0</v>
      </c>
      <c r="D159" s="1089"/>
      <c r="E159" s="1090"/>
      <c r="F159" s="1090"/>
      <c r="G159" s="1092"/>
      <c r="H159" s="2467"/>
      <c r="I159" s="2467"/>
      <c r="J159" s="2468"/>
      <c r="K159" s="2468"/>
      <c r="L159" s="1090"/>
      <c r="M159" s="1090"/>
      <c r="N159" s="1093"/>
      <c r="O159" s="1093"/>
      <c r="P159" s="1093"/>
      <c r="Q159" s="2453"/>
      <c r="R159" s="2505">
        <f t="shared" si="51"/>
        <v>0</v>
      </c>
      <c r="S159" s="2506"/>
      <c r="T159" s="2506"/>
      <c r="V159" s="1090"/>
      <c r="Y159" s="1090"/>
      <c r="AD159" s="1090"/>
      <c r="AE159" s="1090"/>
      <c r="AF159" s="1094"/>
      <c r="AG159" s="1090"/>
      <c r="AH159" s="1095"/>
      <c r="AI159" s="1571"/>
      <c r="AJ159" s="1090"/>
    </row>
    <row r="160" spans="1:36" ht="18" customHeight="1" x14ac:dyDescent="0.2">
      <c r="A160" s="1810">
        <f>D160</f>
        <v>0</v>
      </c>
      <c r="B160" s="336" t="s">
        <v>29546</v>
      </c>
      <c r="C160" s="665" t="s">
        <v>7076</v>
      </c>
      <c r="D160" s="1339">
        <f>(ROUNDUP((Dateneingabe!$F$22+20)/400,0)+1)*Dateneingabe!$E$159*C2</f>
        <v>0</v>
      </c>
      <c r="E160" s="200"/>
      <c r="F160" s="200"/>
      <c r="G160" s="1236">
        <v>3</v>
      </c>
      <c r="H160" s="2464">
        <f t="shared" si="55"/>
        <v>0</v>
      </c>
      <c r="I160" s="2464"/>
      <c r="J160" s="2465">
        <f t="shared" si="56"/>
        <v>0</v>
      </c>
      <c r="K160" s="2465">
        <f t="shared" si="57"/>
        <v>0</v>
      </c>
      <c r="L160" s="166" t="s">
        <v>53</v>
      </c>
      <c r="M160" s="1" t="s">
        <v>28402</v>
      </c>
      <c r="Q160" s="36"/>
      <c r="R160" s="2501" t="str">
        <f t="shared" si="51"/>
        <v>0308021</v>
      </c>
      <c r="S160" s="2502">
        <f>D160</f>
        <v>0</v>
      </c>
      <c r="T160" s="2503" t="s">
        <v>53</v>
      </c>
      <c r="V160" s="1">
        <v>1</v>
      </c>
      <c r="AC160" s="155">
        <v>1</v>
      </c>
      <c r="AD160" s="1">
        <f>K160*AC160</f>
        <v>0</v>
      </c>
      <c r="AE160" s="1">
        <v>1</v>
      </c>
      <c r="AF160" s="109" t="s">
        <v>8964</v>
      </c>
      <c r="AG160" s="1">
        <v>0.32</v>
      </c>
      <c r="AH160" s="812" t="s">
        <v>27663</v>
      </c>
    </row>
    <row r="161" spans="1:36" ht="18" customHeight="1" x14ac:dyDescent="0.2">
      <c r="A161" s="1810">
        <f>D161</f>
        <v>0</v>
      </c>
      <c r="B161" s="336" t="s">
        <v>29547</v>
      </c>
      <c r="C161" s="665" t="s">
        <v>7716</v>
      </c>
      <c r="D161" s="1339">
        <f>(ROUNDUP((Dateneingabe!$F$22+20)/400,0)+1)*Dateneingabe!$E$159*C1</f>
        <v>0</v>
      </c>
      <c r="E161" s="200"/>
      <c r="F161" s="200"/>
      <c r="G161" s="1236">
        <v>3</v>
      </c>
      <c r="H161" s="2464">
        <f t="shared" si="55"/>
        <v>0</v>
      </c>
      <c r="I161" s="2464"/>
      <c r="J161" s="2465">
        <f t="shared" si="56"/>
        <v>0</v>
      </c>
      <c r="K161" s="2465">
        <f t="shared" si="57"/>
        <v>0</v>
      </c>
      <c r="L161" s="166" t="s">
        <v>53</v>
      </c>
      <c r="M161" s="1" t="s">
        <v>28403</v>
      </c>
      <c r="Q161" s="36"/>
      <c r="R161" s="2501" t="str">
        <f t="shared" si="51"/>
        <v>0338021</v>
      </c>
      <c r="S161" s="2502">
        <f>D161</f>
        <v>0</v>
      </c>
      <c r="T161" s="2503" t="s">
        <v>53</v>
      </c>
      <c r="V161" s="1">
        <v>1</v>
      </c>
      <c r="Y161" s="1">
        <v>1</v>
      </c>
      <c r="AC161" s="155">
        <v>1</v>
      </c>
      <c r="AD161" s="1">
        <f>K161*AC161</f>
        <v>0</v>
      </c>
      <c r="AE161" s="1">
        <v>1</v>
      </c>
      <c r="AF161" s="109" t="s">
        <v>8964</v>
      </c>
      <c r="AG161" s="1">
        <v>0.32</v>
      </c>
      <c r="AH161" s="812" t="s">
        <v>27663</v>
      </c>
    </row>
    <row r="162" spans="1:36" s="1091" customFormat="1" ht="18" customHeight="1" x14ac:dyDescent="0.2">
      <c r="A162" s="1088">
        <f>IF(SUM(A160:A161)&gt;0,VLOOKUP(SUM(A160:A161),A160:C161,1,FALSE),0)</f>
        <v>0</v>
      </c>
      <c r="B162" s="1097">
        <f>IF(SUM(A160:A161)&gt;0,VLOOKUP(SUM(A160:A161),A160:C161,2,FALSE),0)</f>
        <v>0</v>
      </c>
      <c r="C162" s="1088">
        <f>IF(SUM(A160:A161)&gt;0,VLOOKUP(SUM(A160:A161),A160:C161,3,FALSE),0)</f>
        <v>0</v>
      </c>
      <c r="D162" s="1089"/>
      <c r="E162" s="1090"/>
      <c r="F162" s="1090"/>
      <c r="G162" s="1092"/>
      <c r="H162" s="2467"/>
      <c r="I162" s="2467"/>
      <c r="J162" s="2468"/>
      <c r="K162" s="2468"/>
      <c r="L162" s="1090"/>
      <c r="M162" s="1090"/>
      <c r="N162" s="1093"/>
      <c r="O162" s="1093"/>
      <c r="P162" s="1093"/>
      <c r="Q162" s="2453"/>
      <c r="R162" s="2505">
        <f t="shared" si="51"/>
        <v>0</v>
      </c>
      <c r="S162" s="2506"/>
      <c r="T162" s="2506"/>
      <c r="V162" s="1090"/>
      <c r="Y162" s="1090"/>
      <c r="AD162" s="1090"/>
      <c r="AE162" s="1090"/>
      <c r="AF162" s="1094"/>
      <c r="AG162" s="1090"/>
      <c r="AH162" s="1095"/>
      <c r="AI162" s="1571"/>
      <c r="AJ162" s="1090"/>
    </row>
    <row r="163" spans="1:36" ht="18" customHeight="1" x14ac:dyDescent="0.2">
      <c r="A163" s="1810"/>
      <c r="B163" s="1773" t="s">
        <v>29553</v>
      </c>
      <c r="C163" s="665" t="s">
        <v>6117</v>
      </c>
      <c r="D163" s="200">
        <f>'Siko Tapeswitch'!P13*C2</f>
        <v>0</v>
      </c>
      <c r="E163" s="200">
        <v>120</v>
      </c>
      <c r="F163" s="200">
        <v>139</v>
      </c>
      <c r="G163" s="1236">
        <v>2</v>
      </c>
      <c r="H163" s="2464">
        <f t="shared" si="55"/>
        <v>1.668E-2</v>
      </c>
      <c r="I163" s="2464"/>
      <c r="J163" s="2465">
        <f t="shared" si="56"/>
        <v>0.261876</v>
      </c>
      <c r="K163" s="2465">
        <f t="shared" si="57"/>
        <v>0</v>
      </c>
      <c r="L163" s="166" t="s">
        <v>53</v>
      </c>
      <c r="M163" s="1" t="s">
        <v>28402</v>
      </c>
      <c r="Q163" s="36"/>
      <c r="R163" s="2501" t="str">
        <f t="shared" si="51"/>
        <v>0306402</v>
      </c>
      <c r="S163" s="2502">
        <f>D163</f>
        <v>0</v>
      </c>
      <c r="T163" s="2503" t="s">
        <v>53</v>
      </c>
      <c r="V163" s="1">
        <v>1</v>
      </c>
      <c r="Y163" s="1">
        <v>1</v>
      </c>
      <c r="AC163" s="155">
        <v>1</v>
      </c>
      <c r="AD163" s="1">
        <f t="shared" ref="AD163:AD173" si="58">K163*AC163</f>
        <v>0</v>
      </c>
      <c r="AE163" s="1">
        <v>1</v>
      </c>
      <c r="AF163" s="109" t="s">
        <v>8964</v>
      </c>
      <c r="AG163" s="1">
        <v>0.32</v>
      </c>
      <c r="AH163" s="812" t="s">
        <v>27663</v>
      </c>
      <c r="AI163" s="193">
        <v>1</v>
      </c>
    </row>
    <row r="164" spans="1:36" ht="18" customHeight="1" x14ac:dyDescent="0.2">
      <c r="A164" s="1810"/>
      <c r="B164" s="1773" t="s">
        <v>29554</v>
      </c>
      <c r="C164" s="665" t="s">
        <v>7632</v>
      </c>
      <c r="D164" s="200">
        <f>'Siko Tapeswitch'!P13*C1</f>
        <v>0</v>
      </c>
      <c r="E164" s="200">
        <v>120</v>
      </c>
      <c r="F164" s="200">
        <v>139</v>
      </c>
      <c r="G164" s="1236">
        <v>2</v>
      </c>
      <c r="H164" s="2464">
        <f t="shared" si="55"/>
        <v>1.668E-2</v>
      </c>
      <c r="I164" s="2464"/>
      <c r="J164" s="2465">
        <f t="shared" si="56"/>
        <v>0.261876</v>
      </c>
      <c r="K164" s="2465">
        <f t="shared" si="57"/>
        <v>0</v>
      </c>
      <c r="L164" s="166" t="s">
        <v>53</v>
      </c>
      <c r="M164" s="1" t="s">
        <v>28403</v>
      </c>
      <c r="Q164" s="36"/>
      <c r="R164" s="2501" t="str">
        <f t="shared" si="51"/>
        <v>0336402</v>
      </c>
      <c r="S164" s="2502">
        <f>D164</f>
        <v>0</v>
      </c>
      <c r="T164" s="2503" t="s">
        <v>53</v>
      </c>
      <c r="V164" s="1">
        <v>1</v>
      </c>
      <c r="Y164" s="1">
        <v>1</v>
      </c>
      <c r="AC164" s="155">
        <v>1</v>
      </c>
      <c r="AD164" s="1">
        <f t="shared" si="58"/>
        <v>0</v>
      </c>
      <c r="AE164" s="1">
        <v>1</v>
      </c>
      <c r="AF164" s="109" t="s">
        <v>8964</v>
      </c>
      <c r="AG164" s="1">
        <v>0.32</v>
      </c>
      <c r="AH164" s="812" t="s">
        <v>27663</v>
      </c>
    </row>
    <row r="165" spans="1:36" ht="18" customHeight="1" x14ac:dyDescent="0.2">
      <c r="A165" s="1810"/>
      <c r="B165" s="336" t="s">
        <v>29561</v>
      </c>
      <c r="C165" s="958" t="s">
        <v>4455</v>
      </c>
      <c r="D165" s="200">
        <f>IF(AND(Dateneingabe!$E$159=1,Dateneingabe!$G$101=0),2,0)</f>
        <v>0</v>
      </c>
      <c r="E165" s="200">
        <v>80</v>
      </c>
      <c r="F165" s="200">
        <v>100</v>
      </c>
      <c r="G165" s="1236">
        <v>10</v>
      </c>
      <c r="H165" s="2464">
        <f t="shared" si="55"/>
        <v>8.0000000000000002E-3</v>
      </c>
      <c r="I165" s="2464"/>
      <c r="J165" s="2465">
        <f t="shared" si="56"/>
        <v>0.628</v>
      </c>
      <c r="K165" s="2465">
        <f t="shared" si="57"/>
        <v>0</v>
      </c>
      <c r="L165" s="1" t="s">
        <v>28399</v>
      </c>
      <c r="M165" s="1" t="s">
        <v>28402</v>
      </c>
      <c r="N165" s="117" t="str">
        <f t="shared" ref="N165:N171" si="59">B165</f>
        <v>Deckelplatte Siko in Aufdopplung</v>
      </c>
      <c r="O165" s="1">
        <v>33</v>
      </c>
      <c r="P165" s="116" t="s">
        <v>28877</v>
      </c>
      <c r="Q165" s="1129"/>
      <c r="R165" s="2512" t="str">
        <f t="shared" si="51"/>
        <v>0202010</v>
      </c>
      <c r="S165" s="2495">
        <f t="shared" ref="S165:S171" si="60">D165*(E165/1000)*(F165/1000)</f>
        <v>0</v>
      </c>
      <c r="T165" s="2496" t="s">
        <v>28181</v>
      </c>
      <c r="V165" s="1">
        <v>1</v>
      </c>
      <c r="AC165" s="155">
        <v>1</v>
      </c>
      <c r="AD165" s="1">
        <f t="shared" si="58"/>
        <v>0</v>
      </c>
      <c r="AE165" s="1">
        <v>1</v>
      </c>
      <c r="AF165" s="109" t="s">
        <v>8964</v>
      </c>
      <c r="AG165" s="1">
        <v>0.32</v>
      </c>
      <c r="AH165" s="812" t="s">
        <v>27663</v>
      </c>
    </row>
    <row r="166" spans="1:36" ht="18" customHeight="1" x14ac:dyDescent="0.2">
      <c r="A166" s="1810"/>
      <c r="B166" s="336" t="s">
        <v>29562</v>
      </c>
      <c r="C166" s="665" t="s">
        <v>280</v>
      </c>
      <c r="D166" s="200">
        <f>IF(AND(Dateneingabe!$E$159=1,Dateneingabe!$G$101=0),1,0)</f>
        <v>0</v>
      </c>
      <c r="E166" s="116">
        <v>50</v>
      </c>
      <c r="F166" s="116">
        <f>IF($E$1+50&lt;2501,$E$1+50,0)+IF(AND($E$1+50&gt;2500,$E$1+50&lt;2801),$E$1+50-300,0)+IF($E$1+50&gt;2800,2500,0)</f>
        <v>950</v>
      </c>
      <c r="G166" s="118">
        <v>20</v>
      </c>
      <c r="H166" s="2464">
        <f t="shared" si="55"/>
        <v>4.7500000000000001E-2</v>
      </c>
      <c r="I166" s="2464"/>
      <c r="J166" s="2465">
        <f t="shared" ref="J166:J171" si="61">10.5*H166</f>
        <v>0.49875000000000003</v>
      </c>
      <c r="K166" s="2465">
        <f t="shared" si="57"/>
        <v>0</v>
      </c>
      <c r="L166" s="1" t="s">
        <v>28399</v>
      </c>
      <c r="N166" s="117" t="str">
        <f t="shared" si="59"/>
        <v>Aufdopplung Siko Lage 1</v>
      </c>
      <c r="O166" s="117">
        <v>34</v>
      </c>
      <c r="P166" s="109" t="s">
        <v>28877</v>
      </c>
      <c r="Q166" s="2452"/>
      <c r="R166" s="2494" t="str">
        <f t="shared" si="51"/>
        <v>0202020</v>
      </c>
      <c r="S166" s="2495">
        <f t="shared" si="60"/>
        <v>0</v>
      </c>
      <c r="T166" s="2496" t="s">
        <v>28181</v>
      </c>
      <c r="V166" s="1">
        <v>1</v>
      </c>
      <c r="AC166" s="155">
        <v>1</v>
      </c>
      <c r="AD166" s="1">
        <f t="shared" si="58"/>
        <v>0</v>
      </c>
      <c r="AE166" s="1">
        <v>1</v>
      </c>
    </row>
    <row r="167" spans="1:36" ht="18" customHeight="1" x14ac:dyDescent="0.2">
      <c r="A167" s="1810"/>
      <c r="B167" s="336" t="s">
        <v>29562</v>
      </c>
      <c r="C167" s="665" t="s">
        <v>280</v>
      </c>
      <c r="D167" s="200">
        <f>IF(AND(D166&gt;0,F167&gt;0),D166,0)</f>
        <v>0</v>
      </c>
      <c r="E167" s="116">
        <v>50</v>
      </c>
      <c r="F167" s="116">
        <f>IF(F166&lt;$E$1+50,$E$1+50-F166,0)</f>
        <v>0</v>
      </c>
      <c r="G167" s="118">
        <v>20</v>
      </c>
      <c r="H167" s="2464">
        <f t="shared" si="55"/>
        <v>0</v>
      </c>
      <c r="I167" s="2464"/>
      <c r="J167" s="2465">
        <f t="shared" si="61"/>
        <v>0</v>
      </c>
      <c r="K167" s="2465">
        <f t="shared" si="57"/>
        <v>0</v>
      </c>
      <c r="L167" s="1" t="s">
        <v>28399</v>
      </c>
      <c r="N167" s="117" t="str">
        <f t="shared" si="59"/>
        <v>Aufdopplung Siko Lage 1</v>
      </c>
      <c r="O167" s="117">
        <v>35</v>
      </c>
      <c r="P167" s="109" t="s">
        <v>28877</v>
      </c>
      <c r="Q167" s="2452"/>
      <c r="R167" s="2494" t="str">
        <f t="shared" si="51"/>
        <v>0202020</v>
      </c>
      <c r="S167" s="2495">
        <f t="shared" si="60"/>
        <v>0</v>
      </c>
      <c r="T167" s="2496" t="s">
        <v>28181</v>
      </c>
      <c r="V167" s="1">
        <v>1</v>
      </c>
      <c r="AC167" s="155">
        <v>1</v>
      </c>
      <c r="AD167" s="1">
        <f t="shared" si="58"/>
        <v>0</v>
      </c>
      <c r="AE167" s="1">
        <v>1</v>
      </c>
    </row>
    <row r="168" spans="1:36" ht="18" customHeight="1" x14ac:dyDescent="0.2">
      <c r="A168" s="1810"/>
      <c r="B168" s="336" t="s">
        <v>29563</v>
      </c>
      <c r="C168" s="665" t="s">
        <v>280</v>
      </c>
      <c r="D168" s="200">
        <f>IF(AND(Dateneingabe!$E$159=1,Dateneingabe!$G$101=0),1,0)</f>
        <v>0</v>
      </c>
      <c r="E168" s="116">
        <v>50</v>
      </c>
      <c r="F168" s="116">
        <f>IF($E$1+20&lt;2501,$E$1+20,0)+IF(AND($E$1+20&gt;2500,$E$1+20&lt;2801),$E$1+20-300,0)+IF($E$1+20&gt;2800,2500,0)</f>
        <v>920</v>
      </c>
      <c r="G168" s="118">
        <v>20</v>
      </c>
      <c r="H168" s="2464">
        <f t="shared" si="55"/>
        <v>4.5999999999999999E-2</v>
      </c>
      <c r="I168" s="2464"/>
      <c r="J168" s="2465">
        <f t="shared" si="61"/>
        <v>0.48299999999999998</v>
      </c>
      <c r="K168" s="2465">
        <f t="shared" si="57"/>
        <v>0</v>
      </c>
      <c r="L168" s="1" t="s">
        <v>28399</v>
      </c>
      <c r="N168" s="117" t="str">
        <f t="shared" si="59"/>
        <v>Aufdopplung Siko Lage 2</v>
      </c>
      <c r="O168" s="1">
        <v>36</v>
      </c>
      <c r="P168" s="109" t="s">
        <v>28877</v>
      </c>
      <c r="Q168" s="2452"/>
      <c r="R168" s="2494" t="str">
        <f t="shared" si="51"/>
        <v>0202020</v>
      </c>
      <c r="S168" s="2495">
        <f t="shared" si="60"/>
        <v>0</v>
      </c>
      <c r="T168" s="2496" t="s">
        <v>28181</v>
      </c>
      <c r="V168" s="1">
        <v>1</v>
      </c>
      <c r="AC168" s="155">
        <v>1</v>
      </c>
      <c r="AD168" s="1">
        <f t="shared" si="58"/>
        <v>0</v>
      </c>
      <c r="AE168" s="1">
        <v>1</v>
      </c>
    </row>
    <row r="169" spans="1:36" ht="18" customHeight="1" x14ac:dyDescent="0.2">
      <c r="A169" s="1810"/>
      <c r="B169" s="336" t="s">
        <v>29563</v>
      </c>
      <c r="C169" s="665" t="s">
        <v>280</v>
      </c>
      <c r="D169" s="200">
        <f>IF(AND(D168&gt;0,F169&gt;0),D168,0)</f>
        <v>0</v>
      </c>
      <c r="E169" s="116">
        <v>50</v>
      </c>
      <c r="F169" s="116">
        <f>IF(F168&lt;$E$1+20,$E$1+20-F168,0)</f>
        <v>0</v>
      </c>
      <c r="G169" s="118">
        <v>20</v>
      </c>
      <c r="H169" s="2464">
        <f t="shared" si="55"/>
        <v>0</v>
      </c>
      <c r="I169" s="2464"/>
      <c r="J169" s="2465">
        <f t="shared" si="61"/>
        <v>0</v>
      </c>
      <c r="K169" s="2465">
        <f t="shared" si="57"/>
        <v>0</v>
      </c>
      <c r="L169" s="1" t="s">
        <v>28399</v>
      </c>
      <c r="N169" s="117" t="str">
        <f t="shared" si="59"/>
        <v>Aufdopplung Siko Lage 2</v>
      </c>
      <c r="O169" s="117">
        <v>37</v>
      </c>
      <c r="P169" s="109" t="s">
        <v>28877</v>
      </c>
      <c r="Q169" s="2452"/>
      <c r="R169" s="2494" t="str">
        <f t="shared" si="51"/>
        <v>0202020</v>
      </c>
      <c r="S169" s="2495">
        <f t="shared" si="60"/>
        <v>0</v>
      </c>
      <c r="T169" s="2496" t="s">
        <v>28181</v>
      </c>
      <c r="V169" s="1">
        <v>1</v>
      </c>
      <c r="AC169" s="155">
        <v>1</v>
      </c>
      <c r="AD169" s="1">
        <f t="shared" si="58"/>
        <v>0</v>
      </c>
      <c r="AE169" s="1">
        <v>1</v>
      </c>
    </row>
    <row r="170" spans="1:36" ht="18" customHeight="1" x14ac:dyDescent="0.2">
      <c r="A170" s="1810"/>
      <c r="B170" s="336" t="s">
        <v>29564</v>
      </c>
      <c r="C170" s="665" t="s">
        <v>280</v>
      </c>
      <c r="D170" s="200">
        <f>IF(AND(Dateneingabe!$E$159=1,Dateneingabe!$G$101=0),2,0)</f>
        <v>0</v>
      </c>
      <c r="E170" s="116">
        <v>100</v>
      </c>
      <c r="F170" s="116">
        <f>IF($E$1+50&lt;2501,$E$1+50,0)+IF(AND($E$1+50&gt;2500,$E$1+50&lt;2801),$E$1+50-300,0)+IF($E$1+50&gt;2800,2500,0)</f>
        <v>950</v>
      </c>
      <c r="G170" s="118">
        <v>20</v>
      </c>
      <c r="H170" s="2464">
        <f t="shared" si="55"/>
        <v>9.5000000000000001E-2</v>
      </c>
      <c r="I170" s="2464"/>
      <c r="J170" s="2465">
        <f t="shared" si="61"/>
        <v>0.99750000000000005</v>
      </c>
      <c r="K170" s="2465">
        <f t="shared" si="57"/>
        <v>0</v>
      </c>
      <c r="L170" s="1" t="s">
        <v>28399</v>
      </c>
      <c r="N170" s="117" t="str">
        <f t="shared" si="59"/>
        <v>Aufdopplung Siko Lage 3+4</v>
      </c>
      <c r="O170" s="117">
        <v>38</v>
      </c>
      <c r="P170" s="109" t="s">
        <v>28877</v>
      </c>
      <c r="Q170" s="2452"/>
      <c r="R170" s="2494" t="str">
        <f t="shared" si="51"/>
        <v>0202020</v>
      </c>
      <c r="S170" s="2495">
        <f t="shared" si="60"/>
        <v>0</v>
      </c>
      <c r="T170" s="2496" t="s">
        <v>28181</v>
      </c>
      <c r="V170" s="1">
        <v>1</v>
      </c>
      <c r="AC170" s="155">
        <v>1</v>
      </c>
      <c r="AD170" s="1">
        <f t="shared" si="58"/>
        <v>0</v>
      </c>
      <c r="AE170" s="1">
        <v>1</v>
      </c>
    </row>
    <row r="171" spans="1:36" ht="18" customHeight="1" x14ac:dyDescent="0.2">
      <c r="A171" s="1810"/>
      <c r="B171" s="336" t="s">
        <v>29564</v>
      </c>
      <c r="C171" s="665" t="s">
        <v>280</v>
      </c>
      <c r="D171" s="200">
        <f>IF(AND(D170&gt;0,F171&gt;0),D170,0)</f>
        <v>0</v>
      </c>
      <c r="E171" s="116">
        <v>100</v>
      </c>
      <c r="F171" s="116">
        <f>IF(F170&lt;$E$1+50,$E$1+50-F170,0)</f>
        <v>0</v>
      </c>
      <c r="G171" s="118">
        <v>20</v>
      </c>
      <c r="H171" s="2464">
        <f t="shared" si="55"/>
        <v>0</v>
      </c>
      <c r="I171" s="2464"/>
      <c r="J171" s="2465">
        <f t="shared" si="61"/>
        <v>0</v>
      </c>
      <c r="K171" s="2465">
        <f t="shared" si="57"/>
        <v>0</v>
      </c>
      <c r="L171" s="1" t="s">
        <v>28399</v>
      </c>
      <c r="N171" s="117" t="str">
        <f t="shared" si="59"/>
        <v>Aufdopplung Siko Lage 3+4</v>
      </c>
      <c r="O171" s="1">
        <v>39</v>
      </c>
      <c r="P171" s="109" t="s">
        <v>28877</v>
      </c>
      <c r="Q171" s="2452"/>
      <c r="R171" s="2494" t="str">
        <f t="shared" si="51"/>
        <v>0202020</v>
      </c>
      <c r="S171" s="2495">
        <f t="shared" si="60"/>
        <v>0</v>
      </c>
      <c r="T171" s="2496" t="s">
        <v>28181</v>
      </c>
      <c r="V171" s="1">
        <v>1</v>
      </c>
      <c r="AC171" s="155">
        <v>1</v>
      </c>
      <c r="AD171" s="1">
        <f t="shared" si="58"/>
        <v>0</v>
      </c>
      <c r="AE171" s="1">
        <v>1</v>
      </c>
    </row>
    <row r="172" spans="1:36" ht="18" customHeight="1" x14ac:dyDescent="0.2">
      <c r="A172" s="1810">
        <f>D172</f>
        <v>0</v>
      </c>
      <c r="B172" s="948" t="s">
        <v>29565</v>
      </c>
      <c r="C172" s="665" t="s">
        <v>435</v>
      </c>
      <c r="D172" s="1807">
        <f>IF(AND(Dateneingabe!$E$159=1,Dateneingabe!$G$101=0),C2,0)</f>
        <v>0</v>
      </c>
      <c r="E172" s="117">
        <v>40</v>
      </c>
      <c r="F172" s="117">
        <f>E1+50</f>
        <v>950</v>
      </c>
      <c r="G172" s="118">
        <v>2</v>
      </c>
      <c r="H172" s="2464">
        <f>E172/1000*F172/1000</f>
        <v>3.7999999999999999E-2</v>
      </c>
      <c r="I172" s="2464"/>
      <c r="J172" s="2465"/>
      <c r="K172" s="2465">
        <f t="shared" si="57"/>
        <v>0</v>
      </c>
      <c r="L172" s="1" t="s">
        <v>28400</v>
      </c>
      <c r="Q172" s="36"/>
      <c r="R172" s="2509" t="str">
        <f t="shared" si="51"/>
        <v>0204153</v>
      </c>
      <c r="S172" s="2510">
        <f>D172*F172/1000</f>
        <v>0</v>
      </c>
      <c r="T172" s="2511" t="s">
        <v>30531</v>
      </c>
      <c r="V172" s="1">
        <v>1</v>
      </c>
      <c r="AC172" s="155">
        <v>1</v>
      </c>
      <c r="AD172" s="1">
        <f t="shared" si="58"/>
        <v>0</v>
      </c>
      <c r="AE172" s="1">
        <v>1</v>
      </c>
    </row>
    <row r="173" spans="1:36" ht="18" customHeight="1" x14ac:dyDescent="0.2">
      <c r="A173" s="1810">
        <f>D173</f>
        <v>0</v>
      </c>
      <c r="B173" s="948" t="s">
        <v>29566</v>
      </c>
      <c r="C173" s="665" t="s">
        <v>519</v>
      </c>
      <c r="D173" s="1807">
        <f>IF(AND(Dateneingabe!$E$159=1,Dateneingabe!$G$101=0),C1,0)</f>
        <v>0</v>
      </c>
      <c r="E173" s="117">
        <v>40</v>
      </c>
      <c r="F173" s="117">
        <f>E1+50</f>
        <v>950</v>
      </c>
      <c r="G173" s="118">
        <v>2.5</v>
      </c>
      <c r="H173" s="2464">
        <f>E173/1000*F173/1000</f>
        <v>3.7999999999999999E-2</v>
      </c>
      <c r="I173" s="2464"/>
      <c r="J173" s="2465"/>
      <c r="K173" s="2465">
        <f t="shared" si="57"/>
        <v>0</v>
      </c>
      <c r="L173" s="1" t="s">
        <v>28400</v>
      </c>
      <c r="Q173" s="36"/>
      <c r="R173" s="2509" t="str">
        <f t="shared" si="51"/>
        <v>0204008</v>
      </c>
      <c r="S173" s="2510">
        <f>D173*F173/1000</f>
        <v>0</v>
      </c>
      <c r="T173" s="2511" t="s">
        <v>30531</v>
      </c>
      <c r="V173" s="1">
        <v>1</v>
      </c>
      <c r="AC173" s="155">
        <v>1</v>
      </c>
      <c r="AD173" s="1">
        <f t="shared" si="58"/>
        <v>0</v>
      </c>
      <c r="AE173" s="1">
        <v>1</v>
      </c>
    </row>
    <row r="174" spans="1:36" s="1091" customFormat="1" ht="18" customHeight="1" x14ac:dyDescent="0.2">
      <c r="A174" s="1088">
        <f>IF(SUM(A172:A173)&gt;0,VLOOKUP(SUM(A172:A173),A172:C173,1,FALSE),0)</f>
        <v>0</v>
      </c>
      <c r="B174" s="1097">
        <f>IF(SUM(A172:A173)&gt;0,VLOOKUP(SUM(A172:A173),A172:C173,2,FALSE),0)</f>
        <v>0</v>
      </c>
      <c r="C174" s="1088">
        <f>IF(SUM(A172:A173)&gt;0,VLOOKUP(SUM(A172:A173),A172:C173,3,FALSE),0)</f>
        <v>0</v>
      </c>
      <c r="D174" s="1089"/>
      <c r="E174" s="1090">
        <v>40</v>
      </c>
      <c r="F174" s="1090">
        <f>E1+50</f>
        <v>950</v>
      </c>
      <c r="G174" s="1092"/>
      <c r="H174" s="2467"/>
      <c r="I174" s="2467"/>
      <c r="J174" s="2468"/>
      <c r="K174" s="2468"/>
      <c r="L174" s="1090"/>
      <c r="M174" s="1090"/>
      <c r="N174" s="1093"/>
      <c r="O174" s="1093"/>
      <c r="P174" s="1093"/>
      <c r="Q174" s="2453"/>
      <c r="R174" s="2505">
        <f t="shared" si="51"/>
        <v>0</v>
      </c>
      <c r="S174" s="2506"/>
      <c r="T174" s="2506"/>
      <c r="V174" s="1090"/>
      <c r="Y174" s="1090"/>
      <c r="AD174" s="1090"/>
      <c r="AE174" s="1090"/>
      <c r="AF174" s="1094"/>
      <c r="AG174" s="1090"/>
      <c r="AH174" s="1095"/>
      <c r="AI174" s="1571"/>
      <c r="AJ174" s="1090"/>
    </row>
    <row r="175" spans="1:36" ht="18" customHeight="1" x14ac:dyDescent="0.2">
      <c r="B175" s="816" t="s">
        <v>698</v>
      </c>
      <c r="C175" s="665" t="s">
        <v>699</v>
      </c>
      <c r="D175" s="814">
        <f>D5*4+D65*2+D86*2+IF(D50&gt;2,2,0)+IF(D50&gt;4,2,0)+IF(D50&gt;6,2,0)</f>
        <v>4</v>
      </c>
      <c r="E175" s="116"/>
      <c r="F175" s="200"/>
      <c r="H175" s="2464"/>
      <c r="I175" s="2464"/>
      <c r="J175" s="2465"/>
      <c r="K175" s="2465">
        <f>D175*J175</f>
        <v>0</v>
      </c>
      <c r="L175" s="1" t="s">
        <v>53</v>
      </c>
      <c r="N175" s="166"/>
      <c r="O175" s="166"/>
      <c r="P175" s="166"/>
      <c r="Q175" s="61"/>
      <c r="R175" s="2501" t="str">
        <f t="shared" si="51"/>
        <v>0712382</v>
      </c>
      <c r="S175" s="2502">
        <f>D175</f>
        <v>4</v>
      </c>
      <c r="T175" s="2503" t="s">
        <v>53</v>
      </c>
      <c r="V175" s="1">
        <v>1</v>
      </c>
      <c r="AC175" s="155">
        <v>1</v>
      </c>
      <c r="AD175" s="1">
        <f>K175*AC175</f>
        <v>0</v>
      </c>
      <c r="AE175" s="1">
        <v>1</v>
      </c>
    </row>
    <row r="176" spans="1:36" ht="18" customHeight="1" x14ac:dyDescent="0.2">
      <c r="A176" s="193">
        <f>D176</f>
        <v>4</v>
      </c>
      <c r="B176" s="816" t="s">
        <v>30919</v>
      </c>
      <c r="C176" s="665" t="s">
        <v>30921</v>
      </c>
      <c r="D176" s="814">
        <f>IF(AND(C2=1,C3+C4=0),1,0)*D175</f>
        <v>4</v>
      </c>
      <c r="E176" s="116">
        <v>50</v>
      </c>
      <c r="F176" s="200">
        <v>50</v>
      </c>
      <c r="G176" s="118">
        <v>2</v>
      </c>
      <c r="H176" s="2464">
        <f t="shared" ref="H176:H177" si="62">E176*F176/1000/1000</f>
        <v>2.5000000000000001E-3</v>
      </c>
      <c r="I176" s="2464"/>
      <c r="J176" s="2465">
        <f t="shared" ref="J176:J177" si="63">G176*7.85*H176</f>
        <v>3.925E-2</v>
      </c>
      <c r="K176" s="2465">
        <f t="shared" ref="K176:K177" si="64">D176*J176</f>
        <v>0.157</v>
      </c>
      <c r="L176" s="166" t="s">
        <v>53</v>
      </c>
      <c r="M176" s="1" t="s">
        <v>28402</v>
      </c>
      <c r="N176" s="166"/>
      <c r="O176" s="166"/>
      <c r="P176" s="166"/>
      <c r="Q176" s="61"/>
      <c r="R176" s="2513" t="s">
        <v>30921</v>
      </c>
      <c r="S176" s="2502">
        <f>D176</f>
        <v>4</v>
      </c>
      <c r="T176" s="2503" t="s">
        <v>53</v>
      </c>
      <c r="V176" s="1">
        <v>1</v>
      </c>
      <c r="AC176" s="155">
        <v>1</v>
      </c>
      <c r="AD176" s="1">
        <f>K176*AC176</f>
        <v>0.157</v>
      </c>
      <c r="AE176" s="1">
        <v>1</v>
      </c>
      <c r="AF176" s="682" t="s">
        <v>8968</v>
      </c>
      <c r="AG176" s="1">
        <v>0.32</v>
      </c>
      <c r="AH176" s="812" t="s">
        <v>27664</v>
      </c>
    </row>
    <row r="177" spans="1:36" ht="18" customHeight="1" x14ac:dyDescent="0.2">
      <c r="A177" s="193">
        <f>D177</f>
        <v>0</v>
      </c>
      <c r="B177" s="816" t="s">
        <v>30920</v>
      </c>
      <c r="C177" s="665" t="s">
        <v>30922</v>
      </c>
      <c r="D177" s="814">
        <f>IF(AND(C1=1,C3+C4=0),1,0)*D175</f>
        <v>0</v>
      </c>
      <c r="E177" s="116">
        <v>50</v>
      </c>
      <c r="F177" s="200">
        <v>50</v>
      </c>
      <c r="G177" s="118">
        <v>2</v>
      </c>
      <c r="H177" s="2464">
        <f t="shared" si="62"/>
        <v>2.5000000000000001E-3</v>
      </c>
      <c r="I177" s="2464"/>
      <c r="J177" s="2465">
        <f t="shared" si="63"/>
        <v>3.925E-2</v>
      </c>
      <c r="K177" s="2465">
        <f t="shared" si="64"/>
        <v>0</v>
      </c>
      <c r="L177" s="166" t="s">
        <v>53</v>
      </c>
      <c r="M177" s="1" t="s">
        <v>28403</v>
      </c>
      <c r="N177" s="166"/>
      <c r="O177" s="166"/>
      <c r="P177" s="166"/>
      <c r="Q177" s="61"/>
      <c r="R177" s="2513" t="s">
        <v>30922</v>
      </c>
      <c r="S177" s="2502">
        <f>D177</f>
        <v>0</v>
      </c>
      <c r="T177" s="2503" t="s">
        <v>53</v>
      </c>
      <c r="V177" s="1">
        <v>1</v>
      </c>
      <c r="AC177" s="155">
        <v>1</v>
      </c>
      <c r="AD177" s="1">
        <f>K177*AC177</f>
        <v>0</v>
      </c>
      <c r="AE177" s="1">
        <v>1</v>
      </c>
      <c r="AF177" s="682" t="s">
        <v>9039</v>
      </c>
      <c r="AG177" s="1">
        <v>0.222</v>
      </c>
      <c r="AH177" s="812" t="s">
        <v>27666</v>
      </c>
    </row>
    <row r="178" spans="1:36" s="1091" customFormat="1" ht="18" customHeight="1" x14ac:dyDescent="0.2">
      <c r="A178" s="1088">
        <f>IF(SUM(A176:A177)&gt;0,VLOOKUP(SUM(A176:A177),A176:C177,1,FALSE),0)</f>
        <v>4</v>
      </c>
      <c r="B178" s="1097" t="str">
        <f>IF(SUM(A176:A177)&gt;0,VLOOKUP(SUM(A176:A177),A176:C177,2,FALSE),0)</f>
        <v>Unterleger für Gleitblock verz.</v>
      </c>
      <c r="C178" s="1088" t="str">
        <f>IF(SUM(A176:A177)&gt;0,VLOOKUP(SUM(A176:A177),A176:C177,3,FALSE),0)</f>
        <v>0308513</v>
      </c>
      <c r="D178" s="1089"/>
      <c r="E178" s="1090"/>
      <c r="F178" s="1090"/>
      <c r="G178" s="1092"/>
      <c r="H178" s="2467"/>
      <c r="I178" s="2467"/>
      <c r="J178" s="2468"/>
      <c r="K178" s="2468"/>
      <c r="L178" s="1090"/>
      <c r="M178" s="1090"/>
      <c r="N178" s="1093"/>
      <c r="O178" s="1093"/>
      <c r="P178" s="1093"/>
      <c r="Q178" s="2453"/>
      <c r="R178" s="2505" t="str">
        <f>C178</f>
        <v>0308513</v>
      </c>
      <c r="S178" s="2506"/>
      <c r="T178" s="2506"/>
      <c r="V178" s="1090"/>
      <c r="Y178" s="1090"/>
      <c r="AD178" s="1090"/>
      <c r="AE178" s="1090"/>
      <c r="AF178" s="1094"/>
      <c r="AG178" s="1090"/>
      <c r="AH178" s="1095"/>
      <c r="AI178" s="1571"/>
      <c r="AJ178" s="1090"/>
    </row>
    <row r="179" spans="1:36" ht="18" customHeight="1" x14ac:dyDescent="0.2">
      <c r="B179" s="816" t="s">
        <v>27676</v>
      </c>
      <c r="C179" s="665" t="s">
        <v>1598</v>
      </c>
      <c r="D179" s="814">
        <f>D175*2</f>
        <v>8</v>
      </c>
      <c r="E179" s="116"/>
      <c r="F179" s="200"/>
      <c r="H179" s="2464"/>
      <c r="I179" s="2464"/>
      <c r="J179" s="2465"/>
      <c r="K179" s="2465">
        <f>D179*J179</f>
        <v>0</v>
      </c>
      <c r="L179" s="1" t="s">
        <v>53</v>
      </c>
      <c r="N179" s="166"/>
      <c r="O179" s="166"/>
      <c r="P179" s="166"/>
      <c r="Q179" s="61"/>
      <c r="R179" s="2501" t="str">
        <f>C179</f>
        <v>0123023</v>
      </c>
      <c r="S179" s="2502">
        <f>D179</f>
        <v>8</v>
      </c>
      <c r="T179" s="2503" t="s">
        <v>53</v>
      </c>
      <c r="V179" s="1">
        <v>1</v>
      </c>
      <c r="AC179" s="155">
        <v>1</v>
      </c>
      <c r="AD179" s="1">
        <f>K179*AC179</f>
        <v>0</v>
      </c>
      <c r="AE179" s="1">
        <v>1</v>
      </c>
    </row>
    <row r="180" spans="1:36" ht="18" customHeight="1" x14ac:dyDescent="0.2">
      <c r="A180" s="1307">
        <f>D180</f>
        <v>0</v>
      </c>
      <c r="B180" s="653" t="s">
        <v>28387</v>
      </c>
      <c r="C180" s="665" t="s">
        <v>28549</v>
      </c>
      <c r="D180" s="814">
        <f>($D$86+$D$50)*C3</f>
        <v>0</v>
      </c>
      <c r="E180" s="814">
        <f>$G$1</f>
        <v>1080</v>
      </c>
      <c r="F180" s="814">
        <v>125</v>
      </c>
      <c r="G180" s="1236">
        <v>0.75</v>
      </c>
      <c r="H180" s="2464">
        <f>E180*F180/1000/1000</f>
        <v>0.13500000000000001</v>
      </c>
      <c r="I180" s="2464"/>
      <c r="J180" s="2465">
        <f>G180*7.85*H180</f>
        <v>0.79481249999999992</v>
      </c>
      <c r="K180" s="2465">
        <f>D180*J180</f>
        <v>0</v>
      </c>
      <c r="L180" s="1" t="s">
        <v>53</v>
      </c>
      <c r="M180" s="1" t="s">
        <v>28402</v>
      </c>
      <c r="N180" s="166"/>
      <c r="O180" s="166"/>
      <c r="P180" s="166"/>
      <c r="Q180" s="61"/>
      <c r="R180" s="2500" t="s">
        <v>8984</v>
      </c>
      <c r="S180" s="2499">
        <f>D180*(E180/1000)*(F180/1000)</f>
        <v>0</v>
      </c>
      <c r="T180" s="2499" t="s">
        <v>28181</v>
      </c>
      <c r="V180" s="1">
        <v>1</v>
      </c>
      <c r="Y180" s="1">
        <v>1</v>
      </c>
      <c r="AC180" s="155">
        <v>1</v>
      </c>
      <c r="AD180" s="1">
        <f>K180*AC180</f>
        <v>0</v>
      </c>
      <c r="AE180" s="1">
        <v>1</v>
      </c>
      <c r="AF180" s="682" t="s">
        <v>9035</v>
      </c>
      <c r="AG180" s="1">
        <v>0.222</v>
      </c>
      <c r="AH180" s="812" t="s">
        <v>27665</v>
      </c>
      <c r="AI180" s="193">
        <v>1</v>
      </c>
    </row>
    <row r="181" spans="1:36" ht="18" customHeight="1" x14ac:dyDescent="0.2">
      <c r="A181" s="1307">
        <f>D181</f>
        <v>0</v>
      </c>
      <c r="B181" s="653" t="s">
        <v>28388</v>
      </c>
      <c r="C181" s="665" t="s">
        <v>28550</v>
      </c>
      <c r="D181" s="814">
        <f>($D$86+$D$50)*C4</f>
        <v>0</v>
      </c>
      <c r="E181" s="814">
        <f>$G$1</f>
        <v>1080</v>
      </c>
      <c r="F181" s="814">
        <v>125</v>
      </c>
      <c r="G181" s="1236">
        <v>0.8</v>
      </c>
      <c r="H181" s="2464">
        <f>E181*F181/1000/1000</f>
        <v>0.13500000000000001</v>
      </c>
      <c r="I181" s="2464"/>
      <c r="J181" s="2465">
        <f>G181*7.85*H181</f>
        <v>0.84780000000000011</v>
      </c>
      <c r="K181" s="2465">
        <f>D181*J181</f>
        <v>0</v>
      </c>
      <c r="L181" s="1" t="s">
        <v>53</v>
      </c>
      <c r="M181" s="1" t="s">
        <v>28403</v>
      </c>
      <c r="N181" s="166"/>
      <c r="O181" s="166"/>
      <c r="P181" s="166"/>
      <c r="Q181" s="61"/>
      <c r="R181" s="2500" t="s">
        <v>9043</v>
      </c>
      <c r="S181" s="2499">
        <f>D181*(E181/1000)*(F181/1000)</f>
        <v>0</v>
      </c>
      <c r="T181" s="2499" t="s">
        <v>28181</v>
      </c>
      <c r="V181" s="1">
        <v>1</v>
      </c>
      <c r="Y181" s="1">
        <v>1</v>
      </c>
      <c r="AC181" s="155">
        <v>1</v>
      </c>
      <c r="AD181" s="1">
        <f>K181*AC181</f>
        <v>0</v>
      </c>
      <c r="AE181" s="1">
        <v>1</v>
      </c>
      <c r="AF181" s="682" t="s">
        <v>9035</v>
      </c>
      <c r="AG181" s="1">
        <v>0.222</v>
      </c>
      <c r="AH181" s="812" t="s">
        <v>27665</v>
      </c>
    </row>
    <row r="182" spans="1:36" s="1091" customFormat="1" ht="18" customHeight="1" x14ac:dyDescent="0.2">
      <c r="A182" s="1308">
        <f>IF(SUM(A180:A181)&gt;0,VLOOKUP(SUM(A180:A181),A180:C181,1,FALSE),0)</f>
        <v>0</v>
      </c>
      <c r="B182" s="1097">
        <f>IF(SUM(A180:A181)&gt;0,VLOOKUP(SUM(A180:A181),A180:C181,2,FALSE),0)</f>
        <v>0</v>
      </c>
      <c r="C182" s="1088">
        <f>IF(SUM(A180:A181)&gt;0,VLOOKUP(SUM(A180:A181),A180:C181,3,FALSE),0)</f>
        <v>0</v>
      </c>
      <c r="D182" s="1089"/>
      <c r="E182" s="1090"/>
      <c r="F182" s="1090"/>
      <c r="G182" s="1092"/>
      <c r="H182" s="2467"/>
      <c r="I182" s="2467"/>
      <c r="J182" s="2468"/>
      <c r="K182" s="2468"/>
      <c r="L182" s="1090"/>
      <c r="M182" s="1090"/>
      <c r="N182" s="1093"/>
      <c r="O182" s="1093"/>
      <c r="P182" s="1093"/>
      <c r="Q182" s="2453"/>
      <c r="R182" s="2505">
        <f>C182</f>
        <v>0</v>
      </c>
      <c r="S182" s="2506"/>
      <c r="T182" s="2506"/>
      <c r="V182" s="1090"/>
      <c r="Y182" s="1090"/>
      <c r="AD182" s="1090"/>
      <c r="AE182" s="1090"/>
      <c r="AF182" s="1094"/>
      <c r="AG182" s="1090"/>
      <c r="AH182" s="1095"/>
      <c r="AI182" s="1571"/>
      <c r="AJ182" s="1090"/>
    </row>
    <row r="183" spans="1:36" ht="18" customHeight="1" x14ac:dyDescent="0.2">
      <c r="A183" s="1307">
        <f>D183</f>
        <v>0</v>
      </c>
      <c r="B183" s="653" t="s">
        <v>30860</v>
      </c>
      <c r="C183" s="958" t="s">
        <v>30856</v>
      </c>
      <c r="D183" s="814">
        <f>($D$86+$D$50)*A3</f>
        <v>0</v>
      </c>
      <c r="E183" s="814">
        <f>$G$1/2-80</f>
        <v>460</v>
      </c>
      <c r="F183" s="814">
        <v>125</v>
      </c>
      <c r="G183" s="1236">
        <v>0.75</v>
      </c>
      <c r="H183" s="2464">
        <f>E183*F183/1000/1000</f>
        <v>5.7500000000000002E-2</v>
      </c>
      <c r="I183" s="2464"/>
      <c r="J183" s="2465">
        <f>G183*7.85*H183</f>
        <v>0.33853124999999995</v>
      </c>
      <c r="K183" s="2465">
        <f>D183*J183</f>
        <v>0</v>
      </c>
      <c r="L183" s="1" t="s">
        <v>53</v>
      </c>
      <c r="M183" s="1" t="s">
        <v>28402</v>
      </c>
      <c r="Q183" s="36"/>
      <c r="R183" s="2500" t="s">
        <v>8984</v>
      </c>
      <c r="S183" s="2499">
        <f>D183*(E183/1000)*(F183/1000)</f>
        <v>0</v>
      </c>
      <c r="T183" s="2499" t="s">
        <v>28181</v>
      </c>
      <c r="V183" s="1">
        <v>1</v>
      </c>
      <c r="Y183" s="1">
        <v>1</v>
      </c>
      <c r="AC183" s="155">
        <v>1</v>
      </c>
      <c r="AD183" s="1">
        <f>K183*AC183</f>
        <v>0</v>
      </c>
      <c r="AE183" s="1">
        <v>1</v>
      </c>
      <c r="AF183" s="682" t="s">
        <v>9035</v>
      </c>
      <c r="AG183" s="1">
        <v>0.222</v>
      </c>
      <c r="AH183" s="812" t="s">
        <v>27665</v>
      </c>
      <c r="AI183" s="193">
        <v>1</v>
      </c>
    </row>
    <row r="184" spans="1:36" ht="18" customHeight="1" x14ac:dyDescent="0.2">
      <c r="A184" s="1307">
        <f>D184</f>
        <v>0</v>
      </c>
      <c r="B184" s="653" t="s">
        <v>30861</v>
      </c>
      <c r="C184" s="958" t="s">
        <v>30857</v>
      </c>
      <c r="D184" s="814">
        <f>($D$86+$D$50)*A4</f>
        <v>0</v>
      </c>
      <c r="E184" s="814">
        <f>$G$1/2-80</f>
        <v>460</v>
      </c>
      <c r="F184" s="814">
        <v>125</v>
      </c>
      <c r="G184" s="1236">
        <v>0.8</v>
      </c>
      <c r="H184" s="2464">
        <f>E184*F184/1000/1000</f>
        <v>5.7500000000000002E-2</v>
      </c>
      <c r="I184" s="2464"/>
      <c r="J184" s="2465">
        <f>G184*7.85*H184</f>
        <v>0.36110000000000003</v>
      </c>
      <c r="K184" s="2465">
        <f>D184*J184</f>
        <v>0</v>
      </c>
      <c r="L184" s="1" t="s">
        <v>53</v>
      </c>
      <c r="M184" s="1" t="s">
        <v>28403</v>
      </c>
      <c r="Q184" s="36"/>
      <c r="R184" s="2500" t="s">
        <v>9043</v>
      </c>
      <c r="S184" s="2499">
        <f>D184*(E184/1000)*(F184/1000)</f>
        <v>0</v>
      </c>
      <c r="T184" s="2499" t="s">
        <v>28181</v>
      </c>
      <c r="V184" s="1">
        <v>1</v>
      </c>
      <c r="Y184" s="1">
        <v>1</v>
      </c>
      <c r="AC184" s="155">
        <v>1</v>
      </c>
      <c r="AD184" s="1">
        <f>K184*AC184</f>
        <v>0</v>
      </c>
      <c r="AE184" s="1">
        <v>1</v>
      </c>
      <c r="AF184" s="682" t="s">
        <v>9035</v>
      </c>
      <c r="AG184" s="1">
        <v>0.222</v>
      </c>
      <c r="AH184" s="812" t="s">
        <v>27665</v>
      </c>
    </row>
    <row r="185" spans="1:36" s="1091" customFormat="1" ht="18" customHeight="1" x14ac:dyDescent="0.2">
      <c r="A185" s="1308">
        <f>IF(SUM(A183:A184)&gt;0,VLOOKUP(SUM(A183:A184),A183:C184,1,FALSE),0)</f>
        <v>0</v>
      </c>
      <c r="B185" s="1097">
        <f>IF(SUM(A183:A184)&gt;0,VLOOKUP(SUM(A183:A184),A183:C184,2,FALSE),0)</f>
        <v>0</v>
      </c>
      <c r="C185" s="1088">
        <f>IF(SUM(A183:A184)&gt;0,VLOOKUP(SUM(A183:A184),A183:C184,3,FALSE),0)</f>
        <v>0</v>
      </c>
      <c r="D185" s="1089"/>
      <c r="E185" s="1090"/>
      <c r="F185" s="1090"/>
      <c r="G185" s="1092"/>
      <c r="H185" s="2467"/>
      <c r="I185" s="2467"/>
      <c r="J185" s="2468"/>
      <c r="K185" s="2468"/>
      <c r="L185" s="1090"/>
      <c r="M185" s="1090"/>
      <c r="N185" s="1093"/>
      <c r="O185" s="1093"/>
      <c r="P185" s="1093"/>
      <c r="Q185" s="2453"/>
      <c r="R185" s="2505">
        <f>C185</f>
        <v>0</v>
      </c>
      <c r="S185" s="2506"/>
      <c r="T185" s="2506"/>
      <c r="V185" s="1090"/>
      <c r="Y185" s="1090"/>
      <c r="AD185" s="1090"/>
      <c r="AE185" s="1090"/>
      <c r="AF185" s="1094"/>
      <c r="AG185" s="1090"/>
      <c r="AH185" s="1095"/>
      <c r="AI185" s="1571"/>
      <c r="AJ185" s="1090"/>
    </row>
    <row r="186" spans="1:36" ht="18" customHeight="1" x14ac:dyDescent="0.2">
      <c r="A186" s="1307">
        <f>D186</f>
        <v>0</v>
      </c>
      <c r="B186" s="653" t="s">
        <v>30862</v>
      </c>
      <c r="C186" s="958" t="s">
        <v>30858</v>
      </c>
      <c r="D186" s="814">
        <f>($D$86+$D$50)*A3</f>
        <v>0</v>
      </c>
      <c r="E186" s="814">
        <f>$G$1/2-80</f>
        <v>460</v>
      </c>
      <c r="F186" s="814">
        <v>125</v>
      </c>
      <c r="G186" s="1236">
        <v>0.75</v>
      </c>
      <c r="H186" s="2464">
        <f>E186*F186/1000/1000</f>
        <v>5.7500000000000002E-2</v>
      </c>
      <c r="I186" s="2464"/>
      <c r="J186" s="2465">
        <f>G186*7.85*H186</f>
        <v>0.33853124999999995</v>
      </c>
      <c r="K186" s="2465">
        <f>D186*J186</f>
        <v>0</v>
      </c>
      <c r="L186" s="1" t="s">
        <v>53</v>
      </c>
      <c r="M186" s="1" t="s">
        <v>28402</v>
      </c>
      <c r="Q186" s="36"/>
      <c r="R186" s="2500" t="s">
        <v>8984</v>
      </c>
      <c r="S186" s="2499">
        <f>D186*(E186/1000)*(F186/1000)</f>
        <v>0</v>
      </c>
      <c r="T186" s="2499" t="s">
        <v>28181</v>
      </c>
      <c r="V186" s="1">
        <v>1</v>
      </c>
      <c r="Y186" s="1">
        <v>1</v>
      </c>
      <c r="AC186" s="155">
        <v>1</v>
      </c>
      <c r="AD186" s="1">
        <f>K186*AC186</f>
        <v>0</v>
      </c>
      <c r="AE186" s="1">
        <v>1</v>
      </c>
      <c r="AF186" s="682" t="s">
        <v>9035</v>
      </c>
      <c r="AG186" s="1">
        <v>0.222</v>
      </c>
      <c r="AH186" s="812" t="s">
        <v>27665</v>
      </c>
      <c r="AI186" s="193">
        <v>1</v>
      </c>
    </row>
    <row r="187" spans="1:36" ht="18" customHeight="1" x14ac:dyDescent="0.2">
      <c r="A187" s="1307">
        <f>D187</f>
        <v>0</v>
      </c>
      <c r="B187" s="653" t="s">
        <v>30863</v>
      </c>
      <c r="C187" s="958" t="s">
        <v>30859</v>
      </c>
      <c r="D187" s="814">
        <f>($D$86+$D$50)*A4</f>
        <v>0</v>
      </c>
      <c r="E187" s="814">
        <f>$G$1/2-80</f>
        <v>460</v>
      </c>
      <c r="F187" s="814">
        <v>125</v>
      </c>
      <c r="G187" s="1236">
        <v>0.8</v>
      </c>
      <c r="H187" s="2464">
        <f>E187*F187/1000/1000</f>
        <v>5.7500000000000002E-2</v>
      </c>
      <c r="I187" s="2464"/>
      <c r="J187" s="2465">
        <f>G187*7.85*H187</f>
        <v>0.36110000000000003</v>
      </c>
      <c r="K187" s="2465">
        <f>D187*J187</f>
        <v>0</v>
      </c>
      <c r="L187" s="1" t="s">
        <v>53</v>
      </c>
      <c r="M187" s="1" t="s">
        <v>28403</v>
      </c>
      <c r="Q187" s="36"/>
      <c r="R187" s="2500" t="s">
        <v>9043</v>
      </c>
      <c r="S187" s="2499">
        <f>D187*(E187/1000)*(F187/1000)</f>
        <v>0</v>
      </c>
      <c r="T187" s="2499" t="s">
        <v>28181</v>
      </c>
      <c r="V187" s="1">
        <v>1</v>
      </c>
      <c r="Y187" s="1">
        <v>1</v>
      </c>
      <c r="AC187" s="155">
        <v>1</v>
      </c>
      <c r="AD187" s="1">
        <f>K187*AC187</f>
        <v>0</v>
      </c>
      <c r="AE187" s="1">
        <v>1</v>
      </c>
      <c r="AF187" s="682" t="s">
        <v>9035</v>
      </c>
      <c r="AG187" s="1">
        <v>0.222</v>
      </c>
      <c r="AH187" s="812" t="s">
        <v>27665</v>
      </c>
    </row>
    <row r="188" spans="1:36" s="1091" customFormat="1" ht="18" customHeight="1" x14ac:dyDescent="0.2">
      <c r="A188" s="1308">
        <f>IF(SUM(A186:A187)&gt;0,VLOOKUP(SUM(A186:A187),A186:C187,1,FALSE),0)</f>
        <v>0</v>
      </c>
      <c r="B188" s="1097">
        <f>IF(SUM(A186:A187)&gt;0,VLOOKUP(SUM(A186:A187),A186:C187,2,FALSE),0)</f>
        <v>0</v>
      </c>
      <c r="C188" s="1088">
        <f>IF(SUM(A186:A187)&gt;0,VLOOKUP(SUM(A186:A187),A186:C187,3,FALSE),0)</f>
        <v>0</v>
      </c>
      <c r="D188" s="1089"/>
      <c r="E188" s="1090"/>
      <c r="F188" s="1090"/>
      <c r="G188" s="1092"/>
      <c r="H188" s="2467"/>
      <c r="I188" s="2467"/>
      <c r="J188" s="2468"/>
      <c r="K188" s="2468"/>
      <c r="L188" s="1090"/>
      <c r="M188" s="1090"/>
      <c r="N188" s="1093"/>
      <c r="O188" s="1093"/>
      <c r="P188" s="1093"/>
      <c r="Q188" s="2453"/>
      <c r="R188" s="2505">
        <f t="shared" ref="R188:R219" si="65">C188</f>
        <v>0</v>
      </c>
      <c r="S188" s="2506"/>
      <c r="T188" s="2506"/>
      <c r="V188" s="1090"/>
      <c r="Y188" s="1090"/>
      <c r="AD188" s="1090"/>
      <c r="AE188" s="1090"/>
      <c r="AF188" s="1094"/>
      <c r="AG188" s="1090"/>
      <c r="AH188" s="1095"/>
      <c r="AI188" s="1571"/>
      <c r="AJ188" s="1090"/>
    </row>
    <row r="189" spans="1:36" ht="18" customHeight="1" x14ac:dyDescent="0.2">
      <c r="B189" s="336" t="s">
        <v>29882</v>
      </c>
      <c r="C189" s="665" t="s">
        <v>27675</v>
      </c>
      <c r="D189" s="200"/>
      <c r="E189" s="116">
        <v>0</v>
      </c>
      <c r="F189" s="200">
        <v>0</v>
      </c>
      <c r="G189" s="118">
        <v>0</v>
      </c>
      <c r="H189" s="2464">
        <f>E189*F189/1000/1000</f>
        <v>0</v>
      </c>
      <c r="I189" s="2464"/>
      <c r="J189" s="2465">
        <f>G189*7.85*H189</f>
        <v>0</v>
      </c>
      <c r="K189" s="2465">
        <f>D189*J189</f>
        <v>0</v>
      </c>
      <c r="L189" s="1" t="s">
        <v>53</v>
      </c>
      <c r="N189" s="166"/>
      <c r="O189" s="166"/>
      <c r="P189" s="166"/>
      <c r="Q189" s="61"/>
      <c r="R189" s="2501" t="str">
        <f t="shared" si="65"/>
        <v>0123025</v>
      </c>
      <c r="S189" s="2502">
        <f>D189</f>
        <v>0</v>
      </c>
      <c r="T189" s="2503" t="s">
        <v>53</v>
      </c>
      <c r="AC189" s="155">
        <v>1</v>
      </c>
      <c r="AD189" s="1">
        <f>K189*AC189</f>
        <v>0</v>
      </c>
      <c r="AE189" s="1">
        <v>1</v>
      </c>
    </row>
    <row r="190" spans="1:36" ht="18" customHeight="1" x14ac:dyDescent="0.2">
      <c r="B190" s="813" t="s">
        <v>28067</v>
      </c>
      <c r="C190" s="665" t="s">
        <v>28024</v>
      </c>
      <c r="D190" s="814">
        <f>'Berechnung &amp; Tabellen'!C41*L2</f>
        <v>0</v>
      </c>
      <c r="E190" s="116"/>
      <c r="F190" s="200"/>
      <c r="H190" s="2464"/>
      <c r="I190" s="2464"/>
      <c r="J190" s="2465"/>
      <c r="K190" s="2465">
        <f>D190*J190</f>
        <v>0</v>
      </c>
      <c r="L190" s="1" t="s">
        <v>53</v>
      </c>
      <c r="N190" s="166"/>
      <c r="O190" s="166"/>
      <c r="P190" s="166"/>
      <c r="Q190" s="61"/>
      <c r="R190" s="2501" t="str">
        <f t="shared" si="65"/>
        <v>0708767</v>
      </c>
      <c r="S190" s="2502">
        <f>D190</f>
        <v>0</v>
      </c>
      <c r="T190" s="2503" t="s">
        <v>53</v>
      </c>
      <c r="V190" s="1">
        <v>1</v>
      </c>
      <c r="AC190" s="155">
        <v>1</v>
      </c>
      <c r="AD190" s="1">
        <f>K190*AC190</f>
        <v>0</v>
      </c>
    </row>
    <row r="191" spans="1:36" ht="18" customHeight="1" x14ac:dyDescent="0.2">
      <c r="B191" s="1958" t="s">
        <v>29932</v>
      </c>
      <c r="C191" s="665" t="s">
        <v>27675</v>
      </c>
      <c r="D191" s="814">
        <f>'Berechnung &amp; Tabellen'!C41*L1</f>
        <v>0</v>
      </c>
      <c r="E191" s="116"/>
      <c r="F191" s="200"/>
      <c r="H191" s="2464"/>
      <c r="I191" s="2464"/>
      <c r="J191" s="2465"/>
      <c r="K191" s="2465">
        <f>D191*J191</f>
        <v>0</v>
      </c>
      <c r="L191" s="1" t="s">
        <v>53</v>
      </c>
      <c r="N191" s="116"/>
      <c r="O191" s="116"/>
      <c r="P191" s="116"/>
      <c r="Q191" s="1129"/>
      <c r="R191" s="2501" t="str">
        <f t="shared" si="65"/>
        <v>0123025</v>
      </c>
      <c r="S191" s="2502">
        <f>D191</f>
        <v>0</v>
      </c>
      <c r="T191" s="2503" t="s">
        <v>53</v>
      </c>
      <c r="V191" s="1">
        <v>0</v>
      </c>
      <c r="AC191" s="155">
        <v>1</v>
      </c>
      <c r="AD191" s="1">
        <f>K191*AC191</f>
        <v>0</v>
      </c>
    </row>
    <row r="192" spans="1:36" ht="18" customHeight="1" x14ac:dyDescent="0.2">
      <c r="B192" s="135" t="s">
        <v>697</v>
      </c>
      <c r="C192" s="665"/>
      <c r="F192" s="1"/>
      <c r="H192" s="2464"/>
      <c r="I192" s="2464"/>
      <c r="J192" s="2465"/>
      <c r="K192" s="2465"/>
      <c r="Q192" s="36"/>
      <c r="R192" s="2504">
        <f t="shared" si="65"/>
        <v>0</v>
      </c>
      <c r="S192" s="2493"/>
      <c r="T192" s="2493"/>
    </row>
    <row r="193" spans="1:36" s="1608" customFormat="1" ht="18" customHeight="1" x14ac:dyDescent="0.2">
      <c r="A193" s="1604">
        <f>D193</f>
        <v>1</v>
      </c>
      <c r="B193" s="2471" t="s">
        <v>801</v>
      </c>
      <c r="C193" s="2472" t="str">
        <f>IF($C$2=1,'Berechnung &amp; Tabellen'!$N$44,0)</f>
        <v>0308135</v>
      </c>
      <c r="D193" s="1607">
        <f>IF('Berechnung &amp; Tabellen'!$C$48&gt;3000,C2*2,C2*1)</f>
        <v>1</v>
      </c>
      <c r="E193" s="1607">
        <f>IF('Berechnung &amp; Tabellen'!$D$44=1,155,120)</f>
        <v>155</v>
      </c>
      <c r="F193" s="1607">
        <f>IF('Berechnung &amp; Tabellen'!$C$48&gt;3000,'Berechnung &amp; Tabellen'!$C$48/2,'Berechnung &amp; Tabellen'!$C$48)</f>
        <v>1080</v>
      </c>
      <c r="G193" s="1609">
        <v>3</v>
      </c>
      <c r="H193" s="2469">
        <f>E193*F193/1000/1000</f>
        <v>0.16739999999999999</v>
      </c>
      <c r="I193" s="2469"/>
      <c r="J193" s="2470">
        <f>G193*7.85*H193</f>
        <v>3.9422699999999993</v>
      </c>
      <c r="K193" s="2470">
        <f>D193*J193</f>
        <v>3.9422699999999993</v>
      </c>
      <c r="L193" s="1607" t="s">
        <v>54</v>
      </c>
      <c r="M193" s="1607" t="s">
        <v>28402</v>
      </c>
      <c r="N193" s="1610"/>
      <c r="O193" s="1610"/>
      <c r="P193" s="1610"/>
      <c r="Q193" s="2454"/>
      <c r="R193" s="2507" t="str">
        <f t="shared" si="65"/>
        <v>0308135</v>
      </c>
      <c r="S193" s="2508"/>
      <c r="T193" s="2508"/>
      <c r="U193" s="1607"/>
      <c r="V193" s="1607"/>
      <c r="X193" s="1607"/>
      <c r="Y193" s="1607"/>
      <c r="AC193" s="1607"/>
      <c r="AD193" s="1607"/>
      <c r="AE193" s="1607">
        <v>1</v>
      </c>
      <c r="AF193" s="1611" t="s">
        <v>8982</v>
      </c>
      <c r="AG193" s="1607">
        <v>0.222</v>
      </c>
      <c r="AH193" s="2473" t="s">
        <v>27668</v>
      </c>
      <c r="AI193" s="1604"/>
      <c r="AJ193" s="1607"/>
    </row>
    <row r="194" spans="1:36" s="1608" customFormat="1" ht="18" customHeight="1" x14ac:dyDescent="0.2">
      <c r="A194" s="1604">
        <f>D194</f>
        <v>0</v>
      </c>
      <c r="B194" s="1605" t="s">
        <v>27702</v>
      </c>
      <c r="C194" s="2472">
        <f>IF($C$1=1,'Berechnung &amp; Tabellen'!$N$44,0)</f>
        <v>0</v>
      </c>
      <c r="D194" s="1607">
        <f>IF('Berechnung &amp; Tabellen'!$C$48&gt;3000,C1*2,C1*1)</f>
        <v>0</v>
      </c>
      <c r="E194" s="1607">
        <f>IF('Berechnung &amp; Tabellen'!$D$44=1,155,120)</f>
        <v>155</v>
      </c>
      <c r="F194" s="1607">
        <f>IF('Berechnung &amp; Tabellen'!$C$48&gt;3000,'Berechnung &amp; Tabellen'!$C$48/2,'Berechnung &amp; Tabellen'!$C$48)</f>
        <v>1080</v>
      </c>
      <c r="G194" s="1609">
        <v>3</v>
      </c>
      <c r="H194" s="2469">
        <f>E194*F194/1000/1000</f>
        <v>0.16739999999999999</v>
      </c>
      <c r="I194" s="2469"/>
      <c r="J194" s="2470">
        <f>G194*7.85*H194</f>
        <v>3.9422699999999993</v>
      </c>
      <c r="K194" s="2470">
        <f>D194*J194</f>
        <v>0</v>
      </c>
      <c r="L194" s="1607" t="s">
        <v>54</v>
      </c>
      <c r="M194" s="1607" t="s">
        <v>28403</v>
      </c>
      <c r="N194" s="1610"/>
      <c r="O194" s="1610"/>
      <c r="P194" s="1610"/>
      <c r="Q194" s="2454"/>
      <c r="R194" s="2507">
        <f t="shared" si="65"/>
        <v>0</v>
      </c>
      <c r="S194" s="2508"/>
      <c r="T194" s="2508"/>
      <c r="U194" s="1607"/>
      <c r="V194" s="1607"/>
      <c r="X194" s="1607"/>
      <c r="Y194" s="1607"/>
      <c r="AC194" s="1607"/>
      <c r="AD194" s="1607"/>
      <c r="AE194" s="1607">
        <v>1</v>
      </c>
      <c r="AF194" s="1611" t="s">
        <v>8982</v>
      </c>
      <c r="AG194" s="1607">
        <v>0.222</v>
      </c>
      <c r="AH194" s="2473" t="s">
        <v>27668</v>
      </c>
      <c r="AI194" s="1604"/>
      <c r="AJ194" s="1607"/>
    </row>
    <row r="195" spans="1:36" s="1608" customFormat="1" ht="18" customHeight="1" x14ac:dyDescent="0.2">
      <c r="A195" s="2474">
        <f>IF(SUM(A193:A194)&gt;0,VLOOKUP(SUM(A193:A194),A193:C194,1,FALSE),0)</f>
        <v>1</v>
      </c>
      <c r="B195" s="2475" t="str">
        <f>IF(SUM(A193:A194)&gt;0,VLOOKUP(SUM(A193:A194),A193:C194,2,FALSE),0)</f>
        <v>GCC vertikal Verkrallungsprofil Wand verzinkt</v>
      </c>
      <c r="C195" s="2476" t="str">
        <f>IF(SUM(A193:A194)&gt;0,VLOOKUP(SUM(A193:A194),A193:C194,3,FALSE),0)</f>
        <v>0308135</v>
      </c>
      <c r="D195" s="2477"/>
      <c r="E195" s="1607"/>
      <c r="F195" s="1607">
        <f>IF('Berechnung &amp; Tabellen'!$C$48&gt;3000,'Berechnung &amp; Tabellen'!$C$48/2,'Berechnung &amp; Tabellen'!$C$48)</f>
        <v>1080</v>
      </c>
      <c r="G195" s="1609"/>
      <c r="H195" s="2469"/>
      <c r="I195" s="2469"/>
      <c r="J195" s="2470"/>
      <c r="K195" s="2470"/>
      <c r="L195" s="1607"/>
      <c r="M195" s="1607"/>
      <c r="N195" s="1610"/>
      <c r="O195" s="1610"/>
      <c r="P195" s="1610"/>
      <c r="Q195" s="2454"/>
      <c r="R195" s="2507" t="str">
        <f t="shared" si="65"/>
        <v>0308135</v>
      </c>
      <c r="S195" s="2508"/>
      <c r="T195" s="2508"/>
      <c r="V195" s="1607"/>
      <c r="Y195" s="1607"/>
      <c r="AD195" s="1607"/>
      <c r="AE195" s="1607"/>
      <c r="AF195" s="1611"/>
      <c r="AG195" s="1607"/>
      <c r="AH195" s="2473"/>
      <c r="AI195" s="1604"/>
      <c r="AJ195" s="1607"/>
    </row>
    <row r="196" spans="1:36" ht="18" customHeight="1" x14ac:dyDescent="0.2">
      <c r="A196" s="193">
        <f>D196</f>
        <v>1</v>
      </c>
      <c r="B196" s="653" t="s">
        <v>30280</v>
      </c>
      <c r="C196" s="665" t="s">
        <v>30277</v>
      </c>
      <c r="D196" s="117">
        <f>C2*IF('Berechnung &amp; Tabellen'!$C$48&gt;2051,2,1)</f>
        <v>1</v>
      </c>
      <c r="E196" s="1">
        <f>IF('Berechnung &amp; Tabellen'!$D$44=1,155,120)</f>
        <v>155</v>
      </c>
      <c r="F196" s="1">
        <f>ROUNDDOWN(IF('Berechnung &amp; Tabellen'!$C$48&lt;2000,'Berechnung &amp; Tabellen'!$C$48,0)+IF(AND('Berechnung &amp; Tabellen'!$C$48&gt;1999,'Berechnung &amp; Tabellen'!$C$48&lt;2052),2000,0)+IF('Berechnung &amp; Tabellen'!$C$48&gt;2051,'Berechnung &amp; Tabellen'!$C$48/2,0),0)</f>
        <v>1080</v>
      </c>
      <c r="G196" s="118">
        <v>3</v>
      </c>
      <c r="H196" s="2464">
        <f>E196*F196/1000/1000</f>
        <v>0.16739999999999999</v>
      </c>
      <c r="I196" s="2464"/>
      <c r="J196" s="2465">
        <f>G196*7.85*H196</f>
        <v>3.9422699999999993</v>
      </c>
      <c r="K196" s="2465">
        <f>D196*J196</f>
        <v>3.9422699999999993</v>
      </c>
      <c r="L196" s="1" t="s">
        <v>53</v>
      </c>
      <c r="M196" s="1" t="s">
        <v>28402</v>
      </c>
      <c r="N196" s="116"/>
      <c r="O196" s="116"/>
      <c r="P196" s="116"/>
      <c r="Q196" s="1129"/>
      <c r="R196" s="2501" t="str">
        <f t="shared" si="65"/>
        <v>0308458</v>
      </c>
      <c r="S196" s="2502">
        <f>D196</f>
        <v>1</v>
      </c>
      <c r="T196" s="2503" t="s">
        <v>53</v>
      </c>
      <c r="V196" s="1">
        <v>1</v>
      </c>
      <c r="X196" s="1">
        <v>1</v>
      </c>
      <c r="AE196" s="1">
        <v>1</v>
      </c>
      <c r="AF196" s="109" t="s">
        <v>8982</v>
      </c>
      <c r="AG196" s="1">
        <v>0.222</v>
      </c>
      <c r="AH196" s="812" t="s">
        <v>27668</v>
      </c>
      <c r="AI196" s="193">
        <v>1</v>
      </c>
    </row>
    <row r="197" spans="1:36" ht="18" customHeight="1" x14ac:dyDescent="0.2">
      <c r="A197" s="193">
        <f>D197</f>
        <v>0</v>
      </c>
      <c r="B197" s="653" t="s">
        <v>30279</v>
      </c>
      <c r="C197" s="665" t="s">
        <v>30278</v>
      </c>
      <c r="D197" s="117">
        <f>C1*IF('Berechnung &amp; Tabellen'!$C$48&gt;2051,2,1)</f>
        <v>0</v>
      </c>
      <c r="E197" s="1">
        <f>IF('Berechnung &amp; Tabellen'!$D$44=1,155,120)</f>
        <v>155</v>
      </c>
      <c r="F197" s="1">
        <f>ROUNDDOWN(IF('Berechnung &amp; Tabellen'!$C$48&lt;2000,'Berechnung &amp; Tabellen'!$C$48,0)+IF(AND('Berechnung &amp; Tabellen'!$C$48&gt;1999,'Berechnung &amp; Tabellen'!$C$48&lt;2052),2000,0)+IF('Berechnung &amp; Tabellen'!$C$48&gt;2051,'Berechnung &amp; Tabellen'!$C$48/2,0),0)</f>
        <v>1080</v>
      </c>
      <c r="G197" s="118">
        <v>3</v>
      </c>
      <c r="H197" s="2464">
        <f>E197*F197/1000/1000</f>
        <v>0.16739999999999999</v>
      </c>
      <c r="I197" s="2464"/>
      <c r="J197" s="2465">
        <f>G197*7.85*H197</f>
        <v>3.9422699999999993</v>
      </c>
      <c r="K197" s="2465">
        <f>D197*J197</f>
        <v>0</v>
      </c>
      <c r="L197" s="1" t="s">
        <v>53</v>
      </c>
      <c r="M197" s="1" t="s">
        <v>28403</v>
      </c>
      <c r="N197" s="116"/>
      <c r="O197" s="116"/>
      <c r="P197" s="116"/>
      <c r="Q197" s="1129"/>
      <c r="R197" s="2501" t="str">
        <f t="shared" si="65"/>
        <v>0338458</v>
      </c>
      <c r="S197" s="2502">
        <f>D197</f>
        <v>0</v>
      </c>
      <c r="T197" s="2503" t="s">
        <v>53</v>
      </c>
      <c r="V197" s="1">
        <v>1</v>
      </c>
      <c r="X197" s="1">
        <v>1</v>
      </c>
      <c r="AE197" s="1">
        <v>1</v>
      </c>
      <c r="AF197" s="109" t="s">
        <v>8982</v>
      </c>
      <c r="AG197" s="1">
        <v>0.222</v>
      </c>
      <c r="AH197" s="812" t="s">
        <v>27668</v>
      </c>
    </row>
    <row r="198" spans="1:36" s="1091" customFormat="1" ht="18" customHeight="1" x14ac:dyDescent="0.2">
      <c r="A198" s="1308">
        <f>IF(SUM(A196:A197)&gt;0,VLOOKUP(SUM(A196:A197),A196:C197,1,FALSE),0)</f>
        <v>1</v>
      </c>
      <c r="B198" s="1097" t="str">
        <f>IF(SUM(A196:A197)&gt;0,VLOOKUP(SUM(A196:A197),A196:C197,2,FALSE),0)</f>
        <v>Wandverkrallung GCC W25 vertikal</v>
      </c>
      <c r="C198" s="2005" t="str">
        <f>IF(SUM(A196:A197)&gt;0,VLOOKUP(SUM(A196:A197),A196:C197,3,FALSE),0)</f>
        <v>0308458</v>
      </c>
      <c r="D198" s="1089"/>
      <c r="E198" s="1090">
        <f>IF(SUM(D196:D197)&gt;0,VLOOKUP(SUM(D196:D197),D196:F197,2,FALSE),0)</f>
        <v>155</v>
      </c>
      <c r="F198" s="2090">
        <f>IF(SUM(D196:D197)&gt;0,VLOOKUP(SUM(D196:D197),D196:F197,3,FALSE),0)</f>
        <v>1080</v>
      </c>
      <c r="G198" s="1092"/>
      <c r="H198" s="2467"/>
      <c r="I198" s="2467"/>
      <c r="J198" s="2468"/>
      <c r="K198" s="2468"/>
      <c r="L198" s="1090"/>
      <c r="M198" s="1090"/>
      <c r="N198" s="1093"/>
      <c r="O198" s="1093"/>
      <c r="P198" s="1093"/>
      <c r="Q198" s="2453"/>
      <c r="R198" s="2505" t="str">
        <f t="shared" si="65"/>
        <v>0308458</v>
      </c>
      <c r="S198" s="2506"/>
      <c r="T198" s="2506"/>
      <c r="V198" s="1090"/>
      <c r="Y198" s="1090"/>
      <c r="AD198" s="1090"/>
      <c r="AE198" s="1090"/>
      <c r="AF198" s="1094"/>
      <c r="AG198" s="1090"/>
      <c r="AH198" s="1095"/>
      <c r="AI198" s="1571"/>
      <c r="AJ198" s="1090"/>
    </row>
    <row r="199" spans="1:36" ht="18" customHeight="1" x14ac:dyDescent="0.2">
      <c r="A199" s="193">
        <f>D199</f>
        <v>0</v>
      </c>
      <c r="B199" s="653" t="s">
        <v>30280</v>
      </c>
      <c r="C199" s="665" t="s">
        <v>30277</v>
      </c>
      <c r="D199" s="117">
        <f>IF(F199&gt;0,D196,0)*0</f>
        <v>0</v>
      </c>
      <c r="E199" s="1">
        <f>IF('Berechnung &amp; Tabellen'!$D$44=1,155,120)</f>
        <v>155</v>
      </c>
      <c r="F199" s="1">
        <f>ROUNDDOWN(IF('Berechnung &amp; Tabellen'!$C$48&gt;2051,'Berechnung &amp; Tabellen'!$C$48/2,0),0)</f>
        <v>0</v>
      </c>
      <c r="G199" s="118">
        <v>3</v>
      </c>
      <c r="H199" s="2464">
        <f>E199*F199/1000/1000</f>
        <v>0</v>
      </c>
      <c r="I199" s="2464"/>
      <c r="J199" s="2465">
        <f>G199*7.85*H199</f>
        <v>0</v>
      </c>
      <c r="K199" s="2465">
        <f>D199*J199</f>
        <v>0</v>
      </c>
      <c r="L199" s="1" t="s">
        <v>53</v>
      </c>
      <c r="M199" s="1" t="s">
        <v>28402</v>
      </c>
      <c r="N199" s="116"/>
      <c r="O199" s="116"/>
      <c r="P199" s="116"/>
      <c r="Q199" s="1129"/>
      <c r="R199" s="2501" t="str">
        <f t="shared" si="65"/>
        <v>0308458</v>
      </c>
      <c r="S199" s="2502">
        <f>D199</f>
        <v>0</v>
      </c>
      <c r="T199" s="2503" t="s">
        <v>53</v>
      </c>
      <c r="V199" s="1">
        <v>1</v>
      </c>
      <c r="X199" s="1">
        <v>1</v>
      </c>
      <c r="AE199" s="1">
        <v>1</v>
      </c>
      <c r="AF199" s="109" t="s">
        <v>8982</v>
      </c>
      <c r="AG199" s="1">
        <v>0.222</v>
      </c>
      <c r="AH199" s="812" t="s">
        <v>27668</v>
      </c>
      <c r="AI199" s="193">
        <v>1</v>
      </c>
    </row>
    <row r="200" spans="1:36" ht="18" customHeight="1" x14ac:dyDescent="0.2">
      <c r="A200" s="193">
        <f>D200</f>
        <v>0</v>
      </c>
      <c r="B200" s="653" t="s">
        <v>30279</v>
      </c>
      <c r="C200" s="665" t="s">
        <v>30278</v>
      </c>
      <c r="D200" s="117">
        <f>IF(F200&gt;0,D197,0)*0</f>
        <v>0</v>
      </c>
      <c r="E200" s="1">
        <f>IF('Berechnung &amp; Tabellen'!$D$44=1,155,120)</f>
        <v>155</v>
      </c>
      <c r="F200" s="1">
        <f>ROUNDDOWN(IF('Berechnung &amp; Tabellen'!$C$48&gt;2051,'Berechnung &amp; Tabellen'!$C$48/2,0),0)</f>
        <v>0</v>
      </c>
      <c r="G200" s="118">
        <v>3</v>
      </c>
      <c r="H200" s="2464">
        <f>E200*F200/1000/1000</f>
        <v>0</v>
      </c>
      <c r="I200" s="2464"/>
      <c r="J200" s="2465">
        <f>G200*7.85*H200</f>
        <v>0</v>
      </c>
      <c r="K200" s="2465">
        <f>D200*J200</f>
        <v>0</v>
      </c>
      <c r="L200" s="1" t="s">
        <v>53</v>
      </c>
      <c r="M200" s="1" t="s">
        <v>28403</v>
      </c>
      <c r="N200" s="116"/>
      <c r="O200" s="116"/>
      <c r="P200" s="116"/>
      <c r="Q200" s="1129"/>
      <c r="R200" s="2501" t="str">
        <f t="shared" si="65"/>
        <v>0338458</v>
      </c>
      <c r="S200" s="2502">
        <f>D200</f>
        <v>0</v>
      </c>
      <c r="T200" s="2503" t="s">
        <v>53</v>
      </c>
      <c r="V200" s="1">
        <v>1</v>
      </c>
      <c r="X200" s="1">
        <v>1</v>
      </c>
      <c r="AE200" s="1">
        <v>1</v>
      </c>
      <c r="AF200" s="109" t="s">
        <v>8982</v>
      </c>
      <c r="AG200" s="1">
        <v>0.222</v>
      </c>
      <c r="AH200" s="812" t="s">
        <v>27668</v>
      </c>
    </row>
    <row r="201" spans="1:36" s="1091" customFormat="1" ht="18" customHeight="1" x14ac:dyDescent="0.2">
      <c r="A201" s="1308">
        <f>IF(SUM(A199:A200)&gt;0,VLOOKUP(SUM(A199:A200),A199:C200,1,FALSE),0)</f>
        <v>0</v>
      </c>
      <c r="B201" s="1097">
        <f>IF(SUM(A199:A200)&gt;0,VLOOKUP(SUM(A199:A200),A199:C200,2,FALSE),0)</f>
        <v>0</v>
      </c>
      <c r="C201" s="2005">
        <f>IF(SUM(A199:A200)&gt;0,VLOOKUP(SUM(A199:A200),A199:C200,3,FALSE),0)</f>
        <v>0</v>
      </c>
      <c r="D201" s="1089"/>
      <c r="E201" s="1090">
        <f>IF(SUM(D199:D200)&gt;0,VLOOKUP(SUM(D199:D200),D199:F200,2,FALSE),0)</f>
        <v>0</v>
      </c>
      <c r="F201" s="2090">
        <f>IF(SUM(D199:D200)&gt;0,VLOOKUP(SUM(D199:D200),D199:F200,3,FALSE),0)</f>
        <v>0</v>
      </c>
      <c r="G201" s="1092"/>
      <c r="H201" s="2467"/>
      <c r="I201" s="2467"/>
      <c r="J201" s="2468"/>
      <c r="K201" s="2468"/>
      <c r="L201" s="1090"/>
      <c r="M201" s="1090"/>
      <c r="N201" s="1093"/>
      <c r="O201" s="1093"/>
      <c r="P201" s="1093"/>
      <c r="Q201" s="2453"/>
      <c r="R201" s="2505">
        <f t="shared" si="65"/>
        <v>0</v>
      </c>
      <c r="S201" s="2506"/>
      <c r="T201" s="2506"/>
      <c r="V201" s="1090"/>
      <c r="Y201" s="1090"/>
      <c r="AD201" s="1090"/>
      <c r="AE201" s="1090"/>
      <c r="AF201" s="1094"/>
      <c r="AG201" s="1090"/>
      <c r="AH201" s="1095"/>
      <c r="AI201" s="1571"/>
      <c r="AJ201" s="1090"/>
    </row>
    <row r="202" spans="1:36" ht="18" customHeight="1" x14ac:dyDescent="0.2">
      <c r="B202" s="135" t="s">
        <v>363</v>
      </c>
      <c r="C202" s="665"/>
      <c r="F202" s="1"/>
      <c r="H202" s="2464">
        <f>E202*F202/1000/1000</f>
        <v>0</v>
      </c>
      <c r="I202" s="2464"/>
      <c r="J202" s="2465">
        <f>G202*8*H202</f>
        <v>0</v>
      </c>
      <c r="K202" s="2465"/>
      <c r="L202" s="1" t="s">
        <v>53</v>
      </c>
      <c r="Q202" s="36"/>
      <c r="R202" s="2504">
        <f t="shared" si="65"/>
        <v>0</v>
      </c>
      <c r="S202" s="2493"/>
      <c r="T202" s="2493"/>
    </row>
    <row r="203" spans="1:36" ht="18" customHeight="1" x14ac:dyDescent="0.2">
      <c r="B203" s="653" t="s">
        <v>30655</v>
      </c>
      <c r="C203" s="665" t="s">
        <v>30254</v>
      </c>
      <c r="D203" s="815">
        <f>C2*'Berechnung &amp; Tabellen'!$F$180*'Berechnung &amp; Tabellen'!$F$189*'Berechnung &amp; Tabellen'!$F$187</f>
        <v>1</v>
      </c>
      <c r="F203" s="1"/>
      <c r="H203" s="2464">
        <f t="shared" ref="H203:H210" si="66">E203*F203/1000/1000</f>
        <v>0</v>
      </c>
      <c r="I203" s="2464"/>
      <c r="J203" s="2465">
        <f t="shared" ref="J203:J210" si="67">G203*8*H203</f>
        <v>0</v>
      </c>
      <c r="K203" s="2465"/>
      <c r="L203" s="1" t="s">
        <v>53</v>
      </c>
      <c r="Q203" s="36"/>
      <c r="R203" s="2501" t="str">
        <f t="shared" si="65"/>
        <v>0308415</v>
      </c>
      <c r="S203" s="2502">
        <f t="shared" ref="S203:S223" si="68">D203</f>
        <v>1</v>
      </c>
      <c r="T203" s="2503" t="s">
        <v>53</v>
      </c>
      <c r="V203" s="1">
        <f t="shared" ref="V203:V206" si="69">$X$2*1</f>
        <v>1</v>
      </c>
      <c r="AE203" s="1">
        <v>1</v>
      </c>
      <c r="AF203" s="109" t="s">
        <v>846</v>
      </c>
      <c r="AG203" s="1">
        <v>1</v>
      </c>
      <c r="AI203" s="193">
        <v>1</v>
      </c>
    </row>
    <row r="204" spans="1:36" ht="18" customHeight="1" x14ac:dyDescent="0.2">
      <c r="B204" s="653" t="s">
        <v>30656</v>
      </c>
      <c r="C204" s="665" t="s">
        <v>30255</v>
      </c>
      <c r="D204" s="815">
        <f>C1*'Berechnung &amp; Tabellen'!$F$180*'Berechnung &amp; Tabellen'!$F$189*'Berechnung &amp; Tabellen'!$F$187</f>
        <v>0</v>
      </c>
      <c r="F204" s="1"/>
      <c r="H204" s="2464">
        <f t="shared" si="66"/>
        <v>0</v>
      </c>
      <c r="I204" s="2464"/>
      <c r="J204" s="2465">
        <f t="shared" si="67"/>
        <v>0</v>
      </c>
      <c r="K204" s="2465"/>
      <c r="L204" s="1" t="s">
        <v>53</v>
      </c>
      <c r="Q204" s="36"/>
      <c r="R204" s="2501" t="str">
        <f t="shared" si="65"/>
        <v>0338415</v>
      </c>
      <c r="S204" s="2502">
        <f t="shared" si="68"/>
        <v>0</v>
      </c>
      <c r="T204" s="2503" t="s">
        <v>53</v>
      </c>
      <c r="V204" s="1">
        <f t="shared" si="69"/>
        <v>1</v>
      </c>
      <c r="AE204" s="1">
        <v>1</v>
      </c>
    </row>
    <row r="205" spans="1:36" ht="18" customHeight="1" x14ac:dyDescent="0.2">
      <c r="B205" s="653" t="s">
        <v>30657</v>
      </c>
      <c r="C205" s="665" t="s">
        <v>30256</v>
      </c>
      <c r="D205" s="815">
        <f>C2*'Berechnung &amp; Tabellen'!$F$180*'Berechnung &amp; Tabellen'!$F$188*'Berechnung &amp; Tabellen'!$F$187</f>
        <v>0</v>
      </c>
      <c r="F205" s="1"/>
      <c r="H205" s="2464">
        <f t="shared" si="66"/>
        <v>0</v>
      </c>
      <c r="I205" s="2464"/>
      <c r="J205" s="2465">
        <f t="shared" si="67"/>
        <v>0</v>
      </c>
      <c r="K205" s="2465"/>
      <c r="L205" s="1" t="s">
        <v>53</v>
      </c>
      <c r="Q205" s="36"/>
      <c r="R205" s="2501" t="str">
        <f t="shared" si="65"/>
        <v>0308416</v>
      </c>
      <c r="S205" s="2502">
        <f t="shared" si="68"/>
        <v>0</v>
      </c>
      <c r="T205" s="2503" t="s">
        <v>53</v>
      </c>
      <c r="V205" s="1">
        <f t="shared" si="69"/>
        <v>1</v>
      </c>
      <c r="AE205" s="1">
        <v>1</v>
      </c>
      <c r="AI205" s="193">
        <v>1</v>
      </c>
    </row>
    <row r="206" spans="1:36" ht="18" customHeight="1" x14ac:dyDescent="0.2">
      <c r="B206" s="653" t="s">
        <v>30658</v>
      </c>
      <c r="C206" s="665" t="s">
        <v>30257</v>
      </c>
      <c r="D206" s="815">
        <f>C1*'Berechnung &amp; Tabellen'!$F$180*'Berechnung &amp; Tabellen'!$F$188*'Berechnung &amp; Tabellen'!$F$187</f>
        <v>0</v>
      </c>
      <c r="F206" s="1"/>
      <c r="H206" s="2464">
        <f t="shared" si="66"/>
        <v>0</v>
      </c>
      <c r="I206" s="2464"/>
      <c r="J206" s="2465">
        <f t="shared" si="67"/>
        <v>0</v>
      </c>
      <c r="K206" s="2465"/>
      <c r="L206" s="1" t="s">
        <v>53</v>
      </c>
      <c r="Q206" s="36"/>
      <c r="R206" s="2501" t="str">
        <f t="shared" si="65"/>
        <v>0338416</v>
      </c>
      <c r="S206" s="2502">
        <f t="shared" si="68"/>
        <v>0</v>
      </c>
      <c r="T206" s="2503" t="s">
        <v>53</v>
      </c>
      <c r="V206" s="1">
        <f t="shared" si="69"/>
        <v>1</v>
      </c>
      <c r="AE206" s="1">
        <v>1</v>
      </c>
    </row>
    <row r="207" spans="1:36" ht="18" customHeight="1" x14ac:dyDescent="0.2">
      <c r="B207" s="653" t="s">
        <v>30659</v>
      </c>
      <c r="C207" s="665" t="s">
        <v>30812</v>
      </c>
      <c r="D207" s="815">
        <f>C2*'Berechnung &amp; Tabellen'!$F$180*'Berechnung &amp; Tabellen'!$F$186*'Berechnung &amp; Tabellen'!$F$189</f>
        <v>0</v>
      </c>
      <c r="F207" s="1"/>
      <c r="H207" s="2464">
        <f t="shared" si="66"/>
        <v>0</v>
      </c>
      <c r="I207" s="2464"/>
      <c r="J207" s="2465">
        <f t="shared" si="67"/>
        <v>0</v>
      </c>
      <c r="K207" s="2465"/>
      <c r="L207" s="1" t="s">
        <v>53</v>
      </c>
      <c r="Q207" s="36"/>
      <c r="R207" s="2501" t="str">
        <f t="shared" si="65"/>
        <v>0308418</v>
      </c>
      <c r="S207" s="2502">
        <f t="shared" si="68"/>
        <v>0</v>
      </c>
      <c r="T207" s="2503" t="s">
        <v>53</v>
      </c>
      <c r="V207" s="1">
        <f t="shared" ref="V207:V218" si="70">$X$2*1</f>
        <v>1</v>
      </c>
      <c r="AE207" s="1">
        <v>1</v>
      </c>
      <c r="AI207" s="193">
        <v>1</v>
      </c>
    </row>
    <row r="208" spans="1:36" ht="18" customHeight="1" x14ac:dyDescent="0.2">
      <c r="B208" s="653" t="s">
        <v>30660</v>
      </c>
      <c r="C208" s="665" t="s">
        <v>30813</v>
      </c>
      <c r="D208" s="815">
        <f>C1*'Berechnung &amp; Tabellen'!$F$180*'Berechnung &amp; Tabellen'!$F$186*'Berechnung &amp; Tabellen'!$F$189</f>
        <v>0</v>
      </c>
      <c r="F208" s="1"/>
      <c r="H208" s="2464">
        <f t="shared" si="66"/>
        <v>0</v>
      </c>
      <c r="I208" s="2464"/>
      <c r="J208" s="2465">
        <f t="shared" si="67"/>
        <v>0</v>
      </c>
      <c r="K208" s="2465"/>
      <c r="L208" s="1" t="s">
        <v>53</v>
      </c>
      <c r="Q208" s="36"/>
      <c r="R208" s="2501" t="str">
        <f t="shared" si="65"/>
        <v>0338418</v>
      </c>
      <c r="S208" s="2502">
        <f t="shared" si="68"/>
        <v>0</v>
      </c>
      <c r="T208" s="2503" t="s">
        <v>53</v>
      </c>
      <c r="V208" s="1">
        <f t="shared" si="70"/>
        <v>1</v>
      </c>
      <c r="AE208" s="1">
        <v>1</v>
      </c>
    </row>
    <row r="209" spans="2:35" ht="18" customHeight="1" x14ac:dyDescent="0.2">
      <c r="B209" s="653" t="s">
        <v>30661</v>
      </c>
      <c r="C209" s="665" t="s">
        <v>30814</v>
      </c>
      <c r="D209" s="815">
        <f>C2*'Berechnung &amp; Tabellen'!$F$180*'Berechnung &amp; Tabellen'!$F$186*'Berechnung &amp; Tabellen'!$F$188</f>
        <v>0</v>
      </c>
      <c r="F209" s="1"/>
      <c r="H209" s="2464">
        <f t="shared" si="66"/>
        <v>0</v>
      </c>
      <c r="I209" s="2464"/>
      <c r="J209" s="2465">
        <f t="shared" si="67"/>
        <v>0</v>
      </c>
      <c r="K209" s="2465"/>
      <c r="L209" s="1" t="s">
        <v>53</v>
      </c>
      <c r="Q209" s="36"/>
      <c r="R209" s="2501" t="str">
        <f t="shared" si="65"/>
        <v>0308419</v>
      </c>
      <c r="S209" s="2502">
        <f t="shared" si="68"/>
        <v>0</v>
      </c>
      <c r="T209" s="2503" t="s">
        <v>53</v>
      </c>
      <c r="V209" s="1">
        <f t="shared" si="70"/>
        <v>1</v>
      </c>
      <c r="AE209" s="1">
        <v>1</v>
      </c>
      <c r="AI209" s="193">
        <v>1</v>
      </c>
    </row>
    <row r="210" spans="2:35" ht="18" customHeight="1" x14ac:dyDescent="0.2">
      <c r="B210" s="653" t="s">
        <v>30662</v>
      </c>
      <c r="C210" s="665" t="s">
        <v>30815</v>
      </c>
      <c r="D210" s="815">
        <f>C1*'Berechnung &amp; Tabellen'!$F$180*'Berechnung &amp; Tabellen'!$F$186*'Berechnung &amp; Tabellen'!$F$188</f>
        <v>0</v>
      </c>
      <c r="F210" s="1"/>
      <c r="H210" s="2464">
        <f t="shared" si="66"/>
        <v>0</v>
      </c>
      <c r="I210" s="2464"/>
      <c r="J210" s="2465">
        <f t="shared" si="67"/>
        <v>0</v>
      </c>
      <c r="K210" s="2465"/>
      <c r="L210" s="1" t="s">
        <v>53</v>
      </c>
      <c r="Q210" s="36"/>
      <c r="R210" s="2501" t="str">
        <f t="shared" si="65"/>
        <v>0338419</v>
      </c>
      <c r="S210" s="2502">
        <f t="shared" si="68"/>
        <v>0</v>
      </c>
      <c r="T210" s="2503" t="s">
        <v>53</v>
      </c>
      <c r="V210" s="1">
        <f t="shared" si="70"/>
        <v>1</v>
      </c>
      <c r="AE210" s="1">
        <v>1</v>
      </c>
    </row>
    <row r="211" spans="2:35" ht="18" customHeight="1" x14ac:dyDescent="0.2">
      <c r="B211" s="653" t="s">
        <v>30828</v>
      </c>
      <c r="C211" s="665" t="s">
        <v>30836</v>
      </c>
      <c r="D211" s="815">
        <f>$C$2*'Berechnung &amp; Tabellen'!$F$181*'Berechnung &amp; Tabellen'!$F$189*'Berechnung &amp; Tabellen'!$F$187*'Berechnung &amp; Tabellen'!$F$191</f>
        <v>0</v>
      </c>
      <c r="F211" s="1"/>
      <c r="H211" s="2464">
        <f t="shared" ref="H211:H222" si="71">E211*F211/1000/1000</f>
        <v>0</v>
      </c>
      <c r="I211" s="2464"/>
      <c r="J211" s="2465">
        <f t="shared" ref="J211:J222" si="72">G211*8*H211</f>
        <v>0</v>
      </c>
      <c r="K211" s="2465"/>
      <c r="L211" s="1" t="s">
        <v>53</v>
      </c>
      <c r="Q211" s="36"/>
      <c r="R211" s="2501" t="str">
        <f t="shared" si="65"/>
        <v>0308448</v>
      </c>
      <c r="S211" s="2502">
        <f t="shared" si="68"/>
        <v>0</v>
      </c>
      <c r="T211" s="2503" t="s">
        <v>53</v>
      </c>
      <c r="V211" s="1">
        <f t="shared" si="70"/>
        <v>1</v>
      </c>
      <c r="AE211" s="1">
        <v>1</v>
      </c>
      <c r="AI211" s="193">
        <v>1</v>
      </c>
    </row>
    <row r="212" spans="2:35" ht="18" customHeight="1" x14ac:dyDescent="0.2">
      <c r="B212" s="653" t="s">
        <v>30829</v>
      </c>
      <c r="C212" s="665" t="s">
        <v>30837</v>
      </c>
      <c r="D212" s="815">
        <f>$C$1*'Berechnung &amp; Tabellen'!$F$181*'Berechnung &amp; Tabellen'!$F$189*'Berechnung &amp; Tabellen'!$F$187*'Berechnung &amp; Tabellen'!$F$191</f>
        <v>0</v>
      </c>
      <c r="F212" s="1"/>
      <c r="H212" s="2464">
        <f t="shared" si="71"/>
        <v>0</v>
      </c>
      <c r="I212" s="2464"/>
      <c r="J212" s="2465">
        <f t="shared" si="72"/>
        <v>0</v>
      </c>
      <c r="K212" s="2465"/>
      <c r="L212" s="1" t="s">
        <v>53</v>
      </c>
      <c r="Q212" s="36"/>
      <c r="R212" s="2501" t="str">
        <f t="shared" si="65"/>
        <v>0338448</v>
      </c>
      <c r="S212" s="2502">
        <f t="shared" si="68"/>
        <v>0</v>
      </c>
      <c r="T212" s="2503" t="s">
        <v>53</v>
      </c>
      <c r="V212" s="1">
        <f t="shared" si="70"/>
        <v>1</v>
      </c>
      <c r="AE212" s="1">
        <v>1</v>
      </c>
    </row>
    <row r="213" spans="2:35" ht="18" customHeight="1" x14ac:dyDescent="0.2">
      <c r="B213" s="653" t="s">
        <v>30830</v>
      </c>
      <c r="C213" s="665" t="s">
        <v>30838</v>
      </c>
      <c r="D213" s="815">
        <f>$C$2*'Berechnung &amp; Tabellen'!$F$181*'Berechnung &amp; Tabellen'!$F$188*'Berechnung &amp; Tabellen'!$F$187*'Berechnung &amp; Tabellen'!$F$191</f>
        <v>0</v>
      </c>
      <c r="F213" s="1"/>
      <c r="H213" s="2464">
        <f t="shared" si="71"/>
        <v>0</v>
      </c>
      <c r="I213" s="2464"/>
      <c r="J213" s="2465">
        <f t="shared" si="72"/>
        <v>0</v>
      </c>
      <c r="K213" s="2465"/>
      <c r="L213" s="1" t="s">
        <v>53</v>
      </c>
      <c r="Q213" s="36"/>
      <c r="R213" s="2501" t="str">
        <f t="shared" si="65"/>
        <v>0308449</v>
      </c>
      <c r="S213" s="2502">
        <f t="shared" si="68"/>
        <v>0</v>
      </c>
      <c r="T213" s="2503" t="s">
        <v>53</v>
      </c>
      <c r="V213" s="1">
        <f t="shared" si="70"/>
        <v>1</v>
      </c>
      <c r="AE213" s="1">
        <v>1</v>
      </c>
      <c r="AI213" s="193">
        <v>1</v>
      </c>
    </row>
    <row r="214" spans="2:35" ht="18" customHeight="1" x14ac:dyDescent="0.2">
      <c r="B214" s="653" t="s">
        <v>30831</v>
      </c>
      <c r="C214" s="665" t="s">
        <v>30839</v>
      </c>
      <c r="D214" s="815">
        <f>$C$1*'Berechnung &amp; Tabellen'!$F$181*'Berechnung &amp; Tabellen'!$F$188*'Berechnung &amp; Tabellen'!$F$187*'Berechnung &amp; Tabellen'!$F$191</f>
        <v>0</v>
      </c>
      <c r="F214" s="1"/>
      <c r="H214" s="2464">
        <f t="shared" si="71"/>
        <v>0</v>
      </c>
      <c r="I214" s="2464"/>
      <c r="J214" s="2465">
        <f t="shared" si="72"/>
        <v>0</v>
      </c>
      <c r="K214" s="2465"/>
      <c r="L214" s="1" t="s">
        <v>53</v>
      </c>
      <c r="Q214" s="36"/>
      <c r="R214" s="2501" t="str">
        <f t="shared" si="65"/>
        <v>0338449</v>
      </c>
      <c r="S214" s="2502">
        <f t="shared" si="68"/>
        <v>0</v>
      </c>
      <c r="T214" s="2503" t="s">
        <v>53</v>
      </c>
      <c r="V214" s="1">
        <f t="shared" si="70"/>
        <v>1</v>
      </c>
      <c r="AE214" s="1">
        <v>1</v>
      </c>
    </row>
    <row r="215" spans="2:35" ht="18" customHeight="1" x14ac:dyDescent="0.2">
      <c r="B215" s="653" t="s">
        <v>30832</v>
      </c>
      <c r="C215" s="665" t="s">
        <v>30840</v>
      </c>
      <c r="D215" s="815">
        <f>$C$2*'Berechnung &amp; Tabellen'!$F$181*'Berechnung &amp; Tabellen'!$F$186*'Berechnung &amp; Tabellen'!$F$189*'Berechnung &amp; Tabellen'!$F$191</f>
        <v>0</v>
      </c>
      <c r="F215" s="1"/>
      <c r="H215" s="2464">
        <f t="shared" si="71"/>
        <v>0</v>
      </c>
      <c r="I215" s="2464"/>
      <c r="J215" s="2465">
        <f t="shared" si="72"/>
        <v>0</v>
      </c>
      <c r="K215" s="2465"/>
      <c r="L215" s="1" t="s">
        <v>53</v>
      </c>
      <c r="Q215" s="36"/>
      <c r="R215" s="2501" t="str">
        <f t="shared" si="65"/>
        <v>0308450</v>
      </c>
      <c r="S215" s="2502">
        <f t="shared" si="68"/>
        <v>0</v>
      </c>
      <c r="T215" s="2503" t="s">
        <v>53</v>
      </c>
      <c r="V215" s="1">
        <f t="shared" si="70"/>
        <v>1</v>
      </c>
      <c r="AE215" s="1">
        <v>1</v>
      </c>
      <c r="AF215" s="109" t="s">
        <v>846</v>
      </c>
      <c r="AG215" s="1">
        <v>1</v>
      </c>
      <c r="AI215" s="193">
        <v>1</v>
      </c>
    </row>
    <row r="216" spans="2:35" ht="18" customHeight="1" x14ac:dyDescent="0.2">
      <c r="B216" s="653" t="s">
        <v>30833</v>
      </c>
      <c r="C216" s="665" t="s">
        <v>30841</v>
      </c>
      <c r="D216" s="815">
        <f>$C$1*'Berechnung &amp; Tabellen'!$F$181*'Berechnung &amp; Tabellen'!$F$186*'Berechnung &amp; Tabellen'!$F$189*'Berechnung &amp; Tabellen'!$F$191</f>
        <v>0</v>
      </c>
      <c r="F216" s="1"/>
      <c r="H216" s="2464">
        <f t="shared" si="71"/>
        <v>0</v>
      </c>
      <c r="I216" s="2464"/>
      <c r="J216" s="2465">
        <f t="shared" si="72"/>
        <v>0</v>
      </c>
      <c r="K216" s="2465"/>
      <c r="L216" s="1" t="s">
        <v>53</v>
      </c>
      <c r="Q216" s="36"/>
      <c r="R216" s="2501" t="str">
        <f t="shared" si="65"/>
        <v>0338450</v>
      </c>
      <c r="S216" s="2502">
        <f t="shared" si="68"/>
        <v>0</v>
      </c>
      <c r="T216" s="2503" t="s">
        <v>53</v>
      </c>
      <c r="V216" s="1">
        <f t="shared" si="70"/>
        <v>1</v>
      </c>
      <c r="AE216" s="1">
        <v>1</v>
      </c>
    </row>
    <row r="217" spans="2:35" ht="18" customHeight="1" x14ac:dyDescent="0.2">
      <c r="B217" s="653" t="s">
        <v>30834</v>
      </c>
      <c r="C217" s="665" t="s">
        <v>30842</v>
      </c>
      <c r="D217" s="815">
        <f>$C$2*'Berechnung &amp; Tabellen'!$F$181*'Berechnung &amp; Tabellen'!$F$186*'Berechnung &amp; Tabellen'!$F$188*'Berechnung &amp; Tabellen'!$F$191</f>
        <v>0</v>
      </c>
      <c r="F217" s="1"/>
      <c r="H217" s="2464">
        <f t="shared" si="71"/>
        <v>0</v>
      </c>
      <c r="I217" s="2464"/>
      <c r="J217" s="2465">
        <f t="shared" si="72"/>
        <v>0</v>
      </c>
      <c r="K217" s="2465"/>
      <c r="L217" s="1" t="s">
        <v>53</v>
      </c>
      <c r="Q217" s="36"/>
      <c r="R217" s="2501" t="str">
        <f t="shared" si="65"/>
        <v>0308451</v>
      </c>
      <c r="S217" s="2502">
        <f t="shared" si="68"/>
        <v>0</v>
      </c>
      <c r="T217" s="2503" t="s">
        <v>53</v>
      </c>
      <c r="V217" s="1">
        <f t="shared" si="70"/>
        <v>1</v>
      </c>
      <c r="AE217" s="1">
        <v>1</v>
      </c>
      <c r="AI217" s="193">
        <v>1</v>
      </c>
    </row>
    <row r="218" spans="2:35" ht="18" customHeight="1" x14ac:dyDescent="0.2">
      <c r="B218" s="653" t="s">
        <v>30835</v>
      </c>
      <c r="C218" s="665" t="s">
        <v>30843</v>
      </c>
      <c r="D218" s="815">
        <f>$C$1*'Berechnung &amp; Tabellen'!$F$181*'Berechnung &amp; Tabellen'!$F$186*'Berechnung &amp; Tabellen'!$F$188*'Berechnung &amp; Tabellen'!$F$191</f>
        <v>0</v>
      </c>
      <c r="F218" s="1"/>
      <c r="H218" s="2464">
        <f t="shared" si="71"/>
        <v>0</v>
      </c>
      <c r="I218" s="2464"/>
      <c r="J218" s="2465">
        <f t="shared" si="72"/>
        <v>0</v>
      </c>
      <c r="K218" s="2465"/>
      <c r="L218" s="1" t="s">
        <v>53</v>
      </c>
      <c r="Q218" s="36"/>
      <c r="R218" s="2501" t="str">
        <f t="shared" si="65"/>
        <v>0338451</v>
      </c>
      <c r="S218" s="2502">
        <f t="shared" si="68"/>
        <v>0</v>
      </c>
      <c r="T218" s="2503" t="s">
        <v>53</v>
      </c>
      <c r="V218" s="1">
        <f t="shared" si="70"/>
        <v>1</v>
      </c>
      <c r="AE218" s="1">
        <v>1</v>
      </c>
    </row>
    <row r="219" spans="2:35" ht="18" customHeight="1" x14ac:dyDescent="0.2">
      <c r="B219" s="653" t="s">
        <v>31057</v>
      </c>
      <c r="C219" s="665" t="s">
        <v>31053</v>
      </c>
      <c r="D219" s="815">
        <f>$C$2*'Berechnung &amp; Tabellen'!$F$182*'Berechnung &amp; Tabellen'!$F$189*'Berechnung &amp; Tabellen'!$F$191</f>
        <v>0</v>
      </c>
      <c r="F219" s="1"/>
      <c r="H219" s="2464">
        <f t="shared" si="71"/>
        <v>0</v>
      </c>
      <c r="I219" s="2464"/>
      <c r="J219" s="2465">
        <f t="shared" si="72"/>
        <v>0</v>
      </c>
      <c r="K219" s="2465"/>
      <c r="L219" s="1" t="s">
        <v>53</v>
      </c>
      <c r="Q219" s="36"/>
      <c r="R219" s="2501" t="str">
        <f t="shared" si="65"/>
        <v>0308252</v>
      </c>
      <c r="S219" s="2502">
        <f t="shared" si="68"/>
        <v>0</v>
      </c>
      <c r="T219" s="2503" t="s">
        <v>53</v>
      </c>
      <c r="V219" s="1">
        <f>$X$2</f>
        <v>1</v>
      </c>
      <c r="AE219" s="1">
        <v>1</v>
      </c>
      <c r="AF219" s="109" t="s">
        <v>846</v>
      </c>
      <c r="AG219" s="1">
        <v>1</v>
      </c>
      <c r="AI219" s="193">
        <v>1</v>
      </c>
    </row>
    <row r="220" spans="2:35" ht="18" customHeight="1" x14ac:dyDescent="0.2">
      <c r="B220" s="653" t="s">
        <v>31058</v>
      </c>
      <c r="C220" s="665" t="s">
        <v>31054</v>
      </c>
      <c r="D220" s="815">
        <f>$C$1*'Berechnung &amp; Tabellen'!$F$182*'Berechnung &amp; Tabellen'!$F$189*'Berechnung &amp; Tabellen'!$F$191</f>
        <v>0</v>
      </c>
      <c r="F220" s="1"/>
      <c r="H220" s="2464">
        <f t="shared" si="71"/>
        <v>0</v>
      </c>
      <c r="I220" s="2464"/>
      <c r="J220" s="2465">
        <f t="shared" si="72"/>
        <v>0</v>
      </c>
      <c r="K220" s="2465"/>
      <c r="L220" s="1" t="s">
        <v>53</v>
      </c>
      <c r="Q220" s="36"/>
      <c r="R220" s="2501" t="str">
        <f t="shared" ref="R220:R253" si="73">C220</f>
        <v>0338252</v>
      </c>
      <c r="S220" s="2502">
        <f t="shared" si="68"/>
        <v>0</v>
      </c>
      <c r="T220" s="2503" t="s">
        <v>53</v>
      </c>
      <c r="V220" s="1">
        <f>$X$2</f>
        <v>1</v>
      </c>
      <c r="AE220" s="1">
        <v>1</v>
      </c>
    </row>
    <row r="221" spans="2:35" ht="18" customHeight="1" x14ac:dyDescent="0.2">
      <c r="B221" s="653" t="s">
        <v>31059</v>
      </c>
      <c r="C221" s="665" t="s">
        <v>31055</v>
      </c>
      <c r="D221" s="815">
        <f>$C$2*'Berechnung &amp; Tabellen'!$F$182*'Berechnung &amp; Tabellen'!$F$188*'Berechnung &amp; Tabellen'!$F$191</f>
        <v>0</v>
      </c>
      <c r="F221" s="1"/>
      <c r="H221" s="2464">
        <f t="shared" si="71"/>
        <v>0</v>
      </c>
      <c r="I221" s="2464"/>
      <c r="J221" s="2465">
        <f t="shared" si="72"/>
        <v>0</v>
      </c>
      <c r="K221" s="2465"/>
      <c r="L221" s="1" t="s">
        <v>53</v>
      </c>
      <c r="Q221" s="36"/>
      <c r="R221" s="2501" t="str">
        <f t="shared" si="73"/>
        <v>0308253</v>
      </c>
      <c r="S221" s="2502">
        <f t="shared" si="68"/>
        <v>0</v>
      </c>
      <c r="T221" s="2503" t="s">
        <v>53</v>
      </c>
      <c r="V221" s="1">
        <f>$X$2</f>
        <v>1</v>
      </c>
      <c r="AE221" s="1">
        <v>1</v>
      </c>
      <c r="AI221" s="193">
        <v>1</v>
      </c>
    </row>
    <row r="222" spans="2:35" ht="18" customHeight="1" x14ac:dyDescent="0.2">
      <c r="B222" s="653" t="s">
        <v>31060</v>
      </c>
      <c r="C222" s="665" t="s">
        <v>31056</v>
      </c>
      <c r="D222" s="815">
        <f>$C$1*'Berechnung &amp; Tabellen'!$F$182*'Berechnung &amp; Tabellen'!$F$188*'Berechnung &amp; Tabellen'!$F$191</f>
        <v>0</v>
      </c>
      <c r="F222" s="1"/>
      <c r="H222" s="2464">
        <f t="shared" si="71"/>
        <v>0</v>
      </c>
      <c r="I222" s="2464"/>
      <c r="J222" s="2465">
        <f t="shared" si="72"/>
        <v>0</v>
      </c>
      <c r="K222" s="2465"/>
      <c r="L222" s="1" t="s">
        <v>53</v>
      </c>
      <c r="Q222" s="36"/>
      <c r="R222" s="2501" t="str">
        <f t="shared" si="73"/>
        <v>0338253</v>
      </c>
      <c r="S222" s="2502">
        <f t="shared" si="68"/>
        <v>0</v>
      </c>
      <c r="T222" s="2503" t="s">
        <v>53</v>
      </c>
      <c r="V222" s="1">
        <f>$X$2</f>
        <v>1</v>
      </c>
      <c r="AE222" s="1">
        <v>1</v>
      </c>
    </row>
    <row r="223" spans="2:35" ht="18" customHeight="1" x14ac:dyDescent="0.2">
      <c r="B223" s="653" t="s">
        <v>30665</v>
      </c>
      <c r="C223" s="665" t="s">
        <v>31061</v>
      </c>
      <c r="D223" s="815">
        <f>$C$2*'Berechnung &amp; Tabellen'!$F$183*'Berechnung &amp; Tabellen'!$F$191</f>
        <v>0</v>
      </c>
      <c r="F223" s="1"/>
      <c r="H223" s="2464">
        <f t="shared" ref="H223:H236" si="74">E223*F223/1000/1000</f>
        <v>0</v>
      </c>
      <c r="I223" s="2464"/>
      <c r="J223" s="2465">
        <f t="shared" ref="J223:J236" si="75">G223*8*H223</f>
        <v>0</v>
      </c>
      <c r="K223" s="2465"/>
      <c r="L223" s="1" t="s">
        <v>53</v>
      </c>
      <c r="Q223" s="36"/>
      <c r="R223" s="2501" t="str">
        <f t="shared" si="73"/>
        <v>0308379</v>
      </c>
      <c r="S223" s="2502">
        <f t="shared" si="68"/>
        <v>0</v>
      </c>
      <c r="T223" s="2503" t="s">
        <v>53</v>
      </c>
      <c r="V223" s="1">
        <f>$X$2</f>
        <v>1</v>
      </c>
      <c r="AE223" s="1">
        <v>1</v>
      </c>
      <c r="AI223" s="193">
        <v>1</v>
      </c>
    </row>
    <row r="224" spans="2:35" ht="18" customHeight="1" x14ac:dyDescent="0.2">
      <c r="B224" s="653" t="s">
        <v>30666</v>
      </c>
      <c r="C224" s="1694" t="s">
        <v>29473</v>
      </c>
      <c r="D224" s="815">
        <f>$C$1*'Berechnung &amp; Tabellen'!$F$183*'Berechnung &amp; Tabellen'!$F$191</f>
        <v>0</v>
      </c>
      <c r="F224" s="1"/>
      <c r="H224" s="2464">
        <f t="shared" si="74"/>
        <v>0</v>
      </c>
      <c r="I224" s="2464"/>
      <c r="J224" s="2465">
        <f t="shared" si="75"/>
        <v>0</v>
      </c>
      <c r="K224" s="2465"/>
      <c r="L224" s="1" t="s">
        <v>53</v>
      </c>
      <c r="Q224" s="36"/>
      <c r="R224" s="2504" t="str">
        <f t="shared" si="73"/>
        <v>Bauteil nicht vorhanden</v>
      </c>
      <c r="S224" s="2493"/>
      <c r="T224" s="2493"/>
      <c r="V224" s="1">
        <f t="shared" ref="V224" si="76">$X$2*0</f>
        <v>0</v>
      </c>
    </row>
    <row r="225" spans="1:36" ht="18" customHeight="1" x14ac:dyDescent="0.2">
      <c r="B225" s="653" t="s">
        <v>31434</v>
      </c>
      <c r="C225" s="1694" t="s">
        <v>31435</v>
      </c>
      <c r="D225" s="815">
        <v>1</v>
      </c>
      <c r="F225" s="1"/>
      <c r="H225" s="2464">
        <f t="shared" si="74"/>
        <v>0</v>
      </c>
      <c r="I225" s="2464"/>
      <c r="J225" s="2465">
        <f t="shared" si="75"/>
        <v>0</v>
      </c>
      <c r="K225" s="2465">
        <v>0</v>
      </c>
      <c r="L225" s="1" t="s">
        <v>53</v>
      </c>
      <c r="Q225" s="36"/>
      <c r="R225" s="2501" t="str">
        <f t="shared" ref="R225" si="77">C225</f>
        <v>0308477</v>
      </c>
      <c r="S225" s="2502">
        <f t="shared" ref="S225" si="78">D225</f>
        <v>1</v>
      </c>
      <c r="T225" s="2503" t="s">
        <v>53</v>
      </c>
      <c r="V225" s="1">
        <v>1</v>
      </c>
      <c r="AE225" s="1">
        <v>1</v>
      </c>
    </row>
    <row r="226" spans="1:36" s="1608" customFormat="1" ht="18" customHeight="1" x14ac:dyDescent="0.2">
      <c r="A226" s="1604"/>
      <c r="B226" s="1605" t="s">
        <v>29227</v>
      </c>
      <c r="C226" s="1606" t="s">
        <v>29228</v>
      </c>
      <c r="D226" s="1607">
        <f>IF(SUM(D203:D224)&gt;0,0,1)</f>
        <v>0</v>
      </c>
      <c r="E226" s="1607"/>
      <c r="F226" s="1607"/>
      <c r="G226" s="1609"/>
      <c r="H226" s="2469">
        <f t="shared" si="74"/>
        <v>0</v>
      </c>
      <c r="I226" s="2469"/>
      <c r="J226" s="2470">
        <f t="shared" si="75"/>
        <v>0</v>
      </c>
      <c r="K226" s="2470"/>
      <c r="L226" s="1607" t="s">
        <v>53</v>
      </c>
      <c r="M226" s="1607"/>
      <c r="N226" s="1607"/>
      <c r="O226" s="1607"/>
      <c r="P226" s="1607"/>
      <c r="Q226" s="2455"/>
      <c r="R226" s="2507" t="str">
        <f t="shared" si="73"/>
        <v>0308200</v>
      </c>
      <c r="S226" s="2508"/>
      <c r="T226" s="2508"/>
      <c r="U226" s="1607"/>
      <c r="V226" s="1607">
        <f>$X$2</f>
        <v>1</v>
      </c>
      <c r="X226" s="1607"/>
      <c r="Y226" s="1607"/>
      <c r="AC226" s="1607"/>
      <c r="AD226" s="1607"/>
      <c r="AE226" s="1607">
        <v>1</v>
      </c>
      <c r="AF226" s="1611"/>
      <c r="AG226" s="1607"/>
      <c r="AH226" s="1607"/>
      <c r="AI226" s="1604"/>
      <c r="AJ226" s="1607"/>
    </row>
    <row r="227" spans="1:36" ht="18" customHeight="1" x14ac:dyDescent="0.2">
      <c r="A227" s="193">
        <f>D227</f>
        <v>2</v>
      </c>
      <c r="B227" s="653" t="s">
        <v>30800</v>
      </c>
      <c r="C227" s="665" t="s">
        <v>30802</v>
      </c>
      <c r="D227" s="815">
        <f>IF(SUM(D203:D218)&gt;0,2,0)</f>
        <v>2</v>
      </c>
      <c r="E227" s="1">
        <v>35</v>
      </c>
      <c r="F227" s="1"/>
      <c r="H227" s="2464">
        <f t="shared" si="74"/>
        <v>0</v>
      </c>
      <c r="I227" s="2464"/>
      <c r="J227" s="2465">
        <f t="shared" ref="J227:J228" si="79">G227*8*H227</f>
        <v>0</v>
      </c>
      <c r="K227" s="2465"/>
      <c r="L227" s="1" t="s">
        <v>53</v>
      </c>
      <c r="Q227" s="36"/>
      <c r="R227" s="2501" t="str">
        <f t="shared" si="73"/>
        <v>0308479</v>
      </c>
      <c r="S227" s="2514">
        <f>('Berechnung &amp; Tabellen'!C29+500+'Berechnung &amp; Tabellen'!C55)/1000</f>
        <v>1.75</v>
      </c>
      <c r="T227" s="2503" t="s">
        <v>30531</v>
      </c>
      <c r="V227" s="1">
        <v>1</v>
      </c>
      <c r="AE227" s="1">
        <v>1</v>
      </c>
    </row>
    <row r="228" spans="1:36" ht="18" customHeight="1" x14ac:dyDescent="0.2">
      <c r="A228" s="193">
        <f>D228</f>
        <v>0</v>
      </c>
      <c r="B228" s="653" t="s">
        <v>30801</v>
      </c>
      <c r="C228" s="665" t="s">
        <v>30803</v>
      </c>
      <c r="D228" s="815">
        <f>IF(SUM(D219:D224)&gt;0,2,0)</f>
        <v>0</v>
      </c>
      <c r="E228" s="1">
        <v>74</v>
      </c>
      <c r="F228" s="1"/>
      <c r="H228" s="2464">
        <f t="shared" si="74"/>
        <v>0</v>
      </c>
      <c r="I228" s="2464"/>
      <c r="J228" s="2465">
        <f t="shared" si="79"/>
        <v>0</v>
      </c>
      <c r="K228" s="2465"/>
      <c r="L228" s="1" t="s">
        <v>53</v>
      </c>
      <c r="Q228" s="36"/>
      <c r="R228" s="2501" t="str">
        <f t="shared" si="73"/>
        <v>0308480</v>
      </c>
      <c r="S228" s="2514">
        <f>('Berechnung &amp; Tabellen'!C29+500+'Berechnung &amp; Tabellen'!C55)/1000</f>
        <v>1.75</v>
      </c>
      <c r="T228" s="2503" t="s">
        <v>30531</v>
      </c>
      <c r="V228" s="1">
        <v>1</v>
      </c>
      <c r="AE228" s="1">
        <v>1</v>
      </c>
    </row>
    <row r="229" spans="1:36" s="1091" customFormat="1" ht="18" customHeight="1" x14ac:dyDescent="0.2">
      <c r="A229" s="1308">
        <f>IF(SUM(A227:A228)&gt;0,VLOOKUP(SUM(A227:A228),A227:C228,1,FALSE),0)</f>
        <v>2</v>
      </c>
      <c r="B229" s="1097" t="str">
        <f>IF(SUM(A227:A228)&gt;0,VLOOKUP(SUM(A227:A228),A227:C228,2,FALSE),0)</f>
        <v>Gurt 35</v>
      </c>
      <c r="C229" s="1088" t="str">
        <f>IF(SUM(A227:A228)&gt;0,VLOOKUP(SUM(A227:A228),A227:C228,3,FALSE),0)</f>
        <v>0308479</v>
      </c>
      <c r="D229" s="1089"/>
      <c r="E229" s="1090"/>
      <c r="F229" s="1090"/>
      <c r="G229" s="1092"/>
      <c r="H229" s="2467"/>
      <c r="I229" s="2467"/>
      <c r="J229" s="2468"/>
      <c r="K229" s="2468"/>
      <c r="L229" s="1090"/>
      <c r="M229" s="1090"/>
      <c r="N229" s="1093"/>
      <c r="O229" s="1093"/>
      <c r="P229" s="1093"/>
      <c r="Q229" s="2453"/>
      <c r="R229" s="2505" t="str">
        <f t="shared" si="73"/>
        <v>0308479</v>
      </c>
      <c r="S229" s="2506"/>
      <c r="T229" s="2506"/>
      <c r="V229" s="1090"/>
      <c r="Y229" s="1090"/>
      <c r="AD229" s="1090"/>
      <c r="AE229" s="1090"/>
      <c r="AF229" s="1094"/>
      <c r="AG229" s="1090"/>
      <c r="AH229" s="1095"/>
      <c r="AI229" s="1571"/>
      <c r="AJ229" s="1090"/>
    </row>
    <row r="230" spans="1:36" ht="18" customHeight="1" x14ac:dyDescent="0.2">
      <c r="A230" s="193">
        <f>D230</f>
        <v>0</v>
      </c>
      <c r="B230" s="653" t="s">
        <v>30952</v>
      </c>
      <c r="C230" s="665" t="s">
        <v>30953</v>
      </c>
      <c r="D230" s="815">
        <f>IF(Dateneingabe!E164=1,IF(D227&gt;0,1,2)*C2,0)</f>
        <v>0</v>
      </c>
      <c r="E230" s="1">
        <v>120</v>
      </c>
      <c r="F230" s="1">
        <v>170</v>
      </c>
      <c r="G230" s="118">
        <v>30</v>
      </c>
      <c r="H230" s="2464">
        <f t="shared" si="74"/>
        <v>2.0399999999999998E-2</v>
      </c>
      <c r="I230" s="2464"/>
      <c r="J230" s="2465">
        <f t="shared" si="75"/>
        <v>4.8959999999999999</v>
      </c>
      <c r="K230" s="2465"/>
      <c r="L230" s="1" t="s">
        <v>53</v>
      </c>
      <c r="Q230" s="36"/>
      <c r="R230" s="2501" t="str">
        <f t="shared" si="73"/>
        <v>0308528</v>
      </c>
      <c r="S230" s="2502">
        <f>D230</f>
        <v>0</v>
      </c>
      <c r="T230" s="2503" t="s">
        <v>53</v>
      </c>
      <c r="V230" s="1">
        <v>1</v>
      </c>
      <c r="AE230" s="1">
        <v>1</v>
      </c>
      <c r="AI230" s="193">
        <v>1</v>
      </c>
    </row>
    <row r="231" spans="1:36" ht="18" customHeight="1" x14ac:dyDescent="0.2">
      <c r="A231" s="193">
        <f>D231</f>
        <v>0</v>
      </c>
      <c r="B231" s="653" t="s">
        <v>30951</v>
      </c>
      <c r="C231" s="665" t="s">
        <v>30954</v>
      </c>
      <c r="D231" s="815">
        <f>IF(Dateneingabe!E164=1,IF(D227&gt;0,1,2)*C1,0)</f>
        <v>0</v>
      </c>
      <c r="E231" s="1">
        <v>120</v>
      </c>
      <c r="F231" s="1">
        <v>170</v>
      </c>
      <c r="G231" s="118">
        <v>30</v>
      </c>
      <c r="H231" s="2464">
        <f t="shared" si="74"/>
        <v>2.0399999999999998E-2</v>
      </c>
      <c r="I231" s="2464"/>
      <c r="J231" s="2465">
        <f t="shared" si="75"/>
        <v>4.8959999999999999</v>
      </c>
      <c r="K231" s="2465"/>
      <c r="L231" s="1" t="s">
        <v>53</v>
      </c>
      <c r="Q231" s="36"/>
      <c r="R231" s="2501" t="str">
        <f t="shared" si="73"/>
        <v>0338528</v>
      </c>
      <c r="S231" s="2502">
        <f>D231</f>
        <v>0</v>
      </c>
      <c r="T231" s="2503" t="s">
        <v>53</v>
      </c>
      <c r="V231" s="1">
        <v>1</v>
      </c>
      <c r="AE231" s="1">
        <v>1</v>
      </c>
    </row>
    <row r="232" spans="1:36" s="1091" customFormat="1" ht="18" customHeight="1" x14ac:dyDescent="0.2">
      <c r="A232" s="1308">
        <f>IF(SUM(A230:A231)&gt;0,VLOOKUP(SUM(A230:A231),A230:C231,1,FALSE),0)</f>
        <v>0</v>
      </c>
      <c r="B232" s="1097">
        <f>IF(SUM(A230:A231)&gt;0,VLOOKUP(SUM(A230:A231),A230:C231,2,FALSE),0)</f>
        <v>0</v>
      </c>
      <c r="C232" s="1088">
        <f>IF(SUM(A230:A231)&gt;0,VLOOKUP(SUM(A230:A231),A230:C231,3,FALSE),0)</f>
        <v>0</v>
      </c>
      <c r="D232" s="1089"/>
      <c r="E232" s="1090"/>
      <c r="F232" s="1090"/>
      <c r="G232" s="1092"/>
      <c r="H232" s="2467"/>
      <c r="I232" s="2467"/>
      <c r="J232" s="2468"/>
      <c r="K232" s="2468"/>
      <c r="L232" s="1090"/>
      <c r="M232" s="1090"/>
      <c r="N232" s="1093"/>
      <c r="O232" s="1093"/>
      <c r="P232" s="1093"/>
      <c r="Q232" s="2453"/>
      <c r="R232" s="2505">
        <f t="shared" si="73"/>
        <v>0</v>
      </c>
      <c r="S232" s="2506"/>
      <c r="T232" s="2506"/>
      <c r="V232" s="1090"/>
      <c r="Y232" s="1090"/>
      <c r="AD232" s="1090"/>
      <c r="AE232" s="1090"/>
      <c r="AF232" s="1094"/>
      <c r="AG232" s="1090"/>
      <c r="AH232" s="1095"/>
      <c r="AI232" s="1571"/>
      <c r="AJ232" s="1090"/>
    </row>
    <row r="233" spans="1:36" ht="18" customHeight="1" x14ac:dyDescent="0.2">
      <c r="A233" s="193">
        <f>D233</f>
        <v>0</v>
      </c>
      <c r="B233" s="653" t="s">
        <v>29576</v>
      </c>
      <c r="C233" s="665" t="s">
        <v>29578</v>
      </c>
      <c r="D233" s="815">
        <f>IF(AND(Dateneingabe!E164=1,'Berechnung &amp; Tabellen'!F187=1),C2,0)</f>
        <v>0</v>
      </c>
      <c r="E233" s="1">
        <v>532.97</v>
      </c>
      <c r="F233" s="1">
        <v>432</v>
      </c>
      <c r="G233" s="118">
        <v>0.75</v>
      </c>
      <c r="H233" s="2464">
        <f t="shared" si="74"/>
        <v>0.23024304000000001</v>
      </c>
      <c r="I233" s="2464"/>
      <c r="J233" s="2465">
        <f t="shared" si="75"/>
        <v>1.3814582400000002</v>
      </c>
      <c r="K233" s="2465"/>
      <c r="L233" s="1" t="s">
        <v>53</v>
      </c>
      <c r="M233" s="1" t="s">
        <v>28402</v>
      </c>
      <c r="Q233" s="36"/>
      <c r="R233" s="2501" t="str">
        <f t="shared" si="73"/>
        <v>0308381</v>
      </c>
      <c r="S233" s="2502">
        <f>D233</f>
        <v>0</v>
      </c>
      <c r="T233" s="2503" t="s">
        <v>53</v>
      </c>
      <c r="V233" s="1">
        <v>1</v>
      </c>
      <c r="AE233" s="1">
        <v>1</v>
      </c>
      <c r="AI233" s="193">
        <v>1</v>
      </c>
    </row>
    <row r="234" spans="1:36" ht="18" customHeight="1" x14ac:dyDescent="0.2">
      <c r="A234" s="193">
        <f>D234</f>
        <v>0</v>
      </c>
      <c r="B234" s="653" t="s">
        <v>29577</v>
      </c>
      <c r="C234" s="665" t="s">
        <v>29579</v>
      </c>
      <c r="D234" s="815">
        <f>IF(AND(Dateneingabe!E164=1,'Berechnung &amp; Tabellen'!F187=1),C1,0)</f>
        <v>0</v>
      </c>
      <c r="E234" s="1">
        <v>532.74</v>
      </c>
      <c r="F234" s="1">
        <v>432</v>
      </c>
      <c r="G234" s="118">
        <v>0.8</v>
      </c>
      <c r="H234" s="2464">
        <f t="shared" si="74"/>
        <v>0.23014367999999999</v>
      </c>
      <c r="I234" s="2464"/>
      <c r="J234" s="2465">
        <f t="shared" si="75"/>
        <v>1.472919552</v>
      </c>
      <c r="K234" s="2465"/>
      <c r="L234" s="1" t="s">
        <v>53</v>
      </c>
      <c r="M234" s="1" t="s">
        <v>28403</v>
      </c>
      <c r="Q234" s="36"/>
      <c r="R234" s="2501" t="str">
        <f t="shared" si="73"/>
        <v>0338381</v>
      </c>
      <c r="S234" s="2502">
        <f>D234</f>
        <v>0</v>
      </c>
      <c r="T234" s="2503" t="s">
        <v>53</v>
      </c>
      <c r="V234" s="1">
        <v>1</v>
      </c>
      <c r="Y234" s="1">
        <v>1</v>
      </c>
      <c r="AE234" s="1">
        <v>1</v>
      </c>
    </row>
    <row r="235" spans="1:36" ht="18" customHeight="1" x14ac:dyDescent="0.2">
      <c r="A235" s="193">
        <f>D235</f>
        <v>0</v>
      </c>
      <c r="B235" s="653" t="s">
        <v>29574</v>
      </c>
      <c r="C235" s="665" t="s">
        <v>29580</v>
      </c>
      <c r="D235" s="815">
        <f>IF(AND(Dateneingabe!E164=1,'Berechnung &amp; Tabellen'!F186=1,D37&gt;0),C2,0)</f>
        <v>0</v>
      </c>
      <c r="E235" s="1">
        <v>532.97</v>
      </c>
      <c r="F235" s="1">
        <v>1542</v>
      </c>
      <c r="G235" s="118">
        <v>0.75</v>
      </c>
      <c r="H235" s="2464">
        <f t="shared" si="74"/>
        <v>0.82183974000000004</v>
      </c>
      <c r="I235" s="2464"/>
      <c r="J235" s="2465">
        <f t="shared" si="75"/>
        <v>4.93103844</v>
      </c>
      <c r="K235" s="2465"/>
      <c r="L235" s="1" t="s">
        <v>53</v>
      </c>
      <c r="M235" s="1" t="s">
        <v>28402</v>
      </c>
      <c r="Q235" s="36"/>
      <c r="R235" s="2501" t="str">
        <f t="shared" si="73"/>
        <v>0308396</v>
      </c>
      <c r="S235" s="2502">
        <f>D235</f>
        <v>0</v>
      </c>
      <c r="T235" s="2503" t="s">
        <v>53</v>
      </c>
      <c r="V235" s="1">
        <v>1</v>
      </c>
      <c r="Y235" s="1">
        <v>1</v>
      </c>
      <c r="AE235" s="1">
        <v>1</v>
      </c>
      <c r="AI235" s="193">
        <v>1</v>
      </c>
    </row>
    <row r="236" spans="1:36" ht="18" customHeight="1" x14ac:dyDescent="0.2">
      <c r="A236" s="193">
        <f>D236</f>
        <v>0</v>
      </c>
      <c r="B236" s="653" t="s">
        <v>29575</v>
      </c>
      <c r="C236" s="665" t="s">
        <v>29581</v>
      </c>
      <c r="D236" s="815">
        <f>IF(AND(Dateneingabe!E164=1,'Berechnung &amp; Tabellen'!F186=1,D38&gt;0),C1,0)</f>
        <v>0</v>
      </c>
      <c r="E236" s="1">
        <v>532.74</v>
      </c>
      <c r="F236" s="1">
        <v>1542</v>
      </c>
      <c r="G236" s="118">
        <v>0.8</v>
      </c>
      <c r="H236" s="2464">
        <f t="shared" si="74"/>
        <v>0.82148507999999998</v>
      </c>
      <c r="I236" s="2464"/>
      <c r="J236" s="2465">
        <f t="shared" si="75"/>
        <v>5.2575045120000006</v>
      </c>
      <c r="K236" s="2465"/>
      <c r="L236" s="1" t="s">
        <v>53</v>
      </c>
      <c r="M236" s="1" t="s">
        <v>28403</v>
      </c>
      <c r="Q236" s="36"/>
      <c r="R236" s="2501" t="str">
        <f t="shared" si="73"/>
        <v>0338396</v>
      </c>
      <c r="S236" s="2502">
        <f>D236</f>
        <v>0</v>
      </c>
      <c r="T236" s="2503" t="s">
        <v>53</v>
      </c>
      <c r="V236" s="1">
        <v>1</v>
      </c>
      <c r="Y236" s="1">
        <v>1</v>
      </c>
      <c r="AE236" s="1">
        <v>1</v>
      </c>
    </row>
    <row r="237" spans="1:36" s="1091" customFormat="1" ht="18" customHeight="1" x14ac:dyDescent="0.2">
      <c r="A237" s="1308">
        <f>IF(SUM(A233:A236)&gt;0,VLOOKUP(SUM(A233:A236),A233:C236,1,FALSE),0)</f>
        <v>0</v>
      </c>
      <c r="B237" s="1097">
        <f>IF(SUM(A233:A236)&gt;0,VLOOKUP(SUM(A233:A236),A233:C236,2,FALSE),0)</f>
        <v>0</v>
      </c>
      <c r="C237" s="1088">
        <f>IF(SUM(A233:A236)&gt;0,VLOOKUP(SUM(A233:A236),A233:C236,3,FALSE),0)</f>
        <v>0</v>
      </c>
      <c r="D237" s="1089"/>
      <c r="E237" s="1088">
        <f>IF(SUM(A233:A236)&gt;0,VLOOKUP(SUM(A233:A236),A233:F236,5,FALSE),0)</f>
        <v>0</v>
      </c>
      <c r="F237" s="1088">
        <f>IF(SUM(A233:A236)&gt;0,VLOOKUP(SUM(A233:A236),A233:F236,6,FALSE),0)</f>
        <v>0</v>
      </c>
      <c r="G237" s="1092"/>
      <c r="H237" s="2467"/>
      <c r="I237" s="2467"/>
      <c r="J237" s="2468"/>
      <c r="K237" s="2468"/>
      <c r="L237" s="1090"/>
      <c r="M237" s="1090"/>
      <c r="N237" s="1093"/>
      <c r="O237" s="1093"/>
      <c r="P237" s="1093"/>
      <c r="Q237" s="2453"/>
      <c r="R237" s="2505">
        <f t="shared" si="73"/>
        <v>0</v>
      </c>
      <c r="S237" s="2506"/>
      <c r="T237" s="2506"/>
      <c r="V237" s="1090"/>
      <c r="Y237" s="1090"/>
      <c r="AD237" s="1090"/>
      <c r="AE237" s="1090"/>
      <c r="AF237" s="1094"/>
      <c r="AG237" s="1090"/>
      <c r="AH237" s="1095"/>
      <c r="AI237" s="1571"/>
      <c r="AJ237" s="1090"/>
    </row>
    <row r="238" spans="1:36" ht="18" customHeight="1" x14ac:dyDescent="0.2">
      <c r="B238" s="135" t="s">
        <v>28611</v>
      </c>
      <c r="C238" s="665"/>
      <c r="F238" s="1"/>
      <c r="H238" s="2464"/>
      <c r="I238" s="2464"/>
      <c r="J238" s="2465"/>
      <c r="K238" s="2465"/>
      <c r="Q238" s="36"/>
      <c r="R238" s="2504">
        <f t="shared" si="73"/>
        <v>0</v>
      </c>
      <c r="S238" s="2493"/>
      <c r="T238" s="2493"/>
    </row>
    <row r="239" spans="1:36" ht="18" customHeight="1" x14ac:dyDescent="0.2">
      <c r="B239" s="816" t="s">
        <v>28612</v>
      </c>
      <c r="C239" s="665" t="s">
        <v>28616</v>
      </c>
      <c r="D239" s="814">
        <f>CEILING('Berechnung &amp; Tabellen'!P11,0.5)+'Berechnung &amp; Tabellen'!AB24*12.5</f>
        <v>1</v>
      </c>
      <c r="E239" s="116"/>
      <c r="F239" s="200"/>
      <c r="H239" s="2464"/>
      <c r="I239" s="2464"/>
      <c r="J239" s="2465"/>
      <c r="K239" s="2465">
        <f t="shared" ref="K239:K248" si="80">D239*J239</f>
        <v>0</v>
      </c>
      <c r="L239" s="1" t="s">
        <v>17</v>
      </c>
      <c r="N239" s="166"/>
      <c r="O239" s="166"/>
      <c r="P239" s="166"/>
      <c r="Q239" s="61"/>
      <c r="R239" s="2501" t="str">
        <f t="shared" si="73"/>
        <v>0902071</v>
      </c>
      <c r="S239" s="2502">
        <f t="shared" ref="S239:S248" si="81">D239</f>
        <v>1</v>
      </c>
      <c r="T239" s="2503" t="str">
        <f>L239</f>
        <v>L</v>
      </c>
      <c r="V239" s="1">
        <v>1</v>
      </c>
      <c r="AC239" s="155">
        <v>1</v>
      </c>
      <c r="AD239" s="1">
        <f t="shared" ref="AD239:AD244" si="82">K239*AC239</f>
        <v>0</v>
      </c>
      <c r="AE239" s="1">
        <v>1</v>
      </c>
    </row>
    <row r="240" spans="1:36" ht="18" customHeight="1" x14ac:dyDescent="0.2">
      <c r="B240" s="816" t="s">
        <v>28613</v>
      </c>
      <c r="C240" s="665" t="s">
        <v>28617</v>
      </c>
      <c r="D240" s="814">
        <f>'Berechnung &amp; Tabellen'!AA24</f>
        <v>0</v>
      </c>
      <c r="E240" s="116"/>
      <c r="F240" s="200"/>
      <c r="H240" s="2464"/>
      <c r="I240" s="2464"/>
      <c r="J240" s="2465"/>
      <c r="K240" s="2465">
        <f t="shared" si="80"/>
        <v>0</v>
      </c>
      <c r="L240" s="1" t="s">
        <v>53</v>
      </c>
      <c r="N240" s="166"/>
      <c r="O240" s="166"/>
      <c r="P240" s="166"/>
      <c r="Q240" s="61"/>
      <c r="R240" s="2501" t="str">
        <f t="shared" si="73"/>
        <v>0902072</v>
      </c>
      <c r="S240" s="2502">
        <f t="shared" si="81"/>
        <v>0</v>
      </c>
      <c r="T240" s="2503" t="s">
        <v>53</v>
      </c>
      <c r="V240" s="1">
        <v>1</v>
      </c>
      <c r="AC240" s="155">
        <v>1</v>
      </c>
      <c r="AD240" s="1">
        <f t="shared" si="82"/>
        <v>0</v>
      </c>
      <c r="AE240" s="1">
        <v>1</v>
      </c>
    </row>
    <row r="241" spans="1:36" ht="18" customHeight="1" x14ac:dyDescent="0.2">
      <c r="B241" s="816" t="s">
        <v>28614</v>
      </c>
      <c r="C241" s="665" t="s">
        <v>28618</v>
      </c>
      <c r="D241" s="814">
        <f>'Berechnung &amp; Tabellen'!Z24</f>
        <v>0</v>
      </c>
      <c r="E241" s="116"/>
      <c r="F241" s="200"/>
      <c r="H241" s="2464"/>
      <c r="I241" s="2464"/>
      <c r="J241" s="2465"/>
      <c r="K241" s="2465">
        <f t="shared" si="80"/>
        <v>0</v>
      </c>
      <c r="L241" s="1" t="s">
        <v>53</v>
      </c>
      <c r="N241" s="166"/>
      <c r="O241" s="166"/>
      <c r="P241" s="166"/>
      <c r="Q241" s="61"/>
      <c r="R241" s="2501" t="str">
        <f t="shared" si="73"/>
        <v>0902073</v>
      </c>
      <c r="S241" s="2502">
        <f t="shared" si="81"/>
        <v>0</v>
      </c>
      <c r="T241" s="2503" t="s">
        <v>53</v>
      </c>
      <c r="V241" s="1">
        <v>1</v>
      </c>
      <c r="AC241" s="155">
        <v>1</v>
      </c>
      <c r="AD241" s="1">
        <f t="shared" si="82"/>
        <v>0</v>
      </c>
      <c r="AE241" s="1">
        <v>1</v>
      </c>
    </row>
    <row r="242" spans="1:36" ht="18" customHeight="1" x14ac:dyDescent="0.2">
      <c r="B242" s="816" t="s">
        <v>28615</v>
      </c>
      <c r="C242" s="665" t="s">
        <v>28619</v>
      </c>
      <c r="D242" s="814">
        <f>'Berechnung &amp; Tabellen'!Y24</f>
        <v>1</v>
      </c>
      <c r="E242" s="116"/>
      <c r="F242" s="200"/>
      <c r="H242" s="2464"/>
      <c r="I242" s="2464"/>
      <c r="J242" s="2465"/>
      <c r="K242" s="2465">
        <f t="shared" si="80"/>
        <v>0</v>
      </c>
      <c r="L242" s="1" t="s">
        <v>53</v>
      </c>
      <c r="N242" s="166"/>
      <c r="O242" s="166"/>
      <c r="P242" s="166"/>
      <c r="Q242" s="61"/>
      <c r="R242" s="2501" t="str">
        <f t="shared" si="73"/>
        <v>0902074</v>
      </c>
      <c r="S242" s="2502">
        <f t="shared" si="81"/>
        <v>1</v>
      </c>
      <c r="T242" s="2503" t="s">
        <v>53</v>
      </c>
      <c r="V242" s="1">
        <v>1</v>
      </c>
      <c r="AC242" s="155">
        <v>1</v>
      </c>
      <c r="AD242" s="1">
        <f t="shared" si="82"/>
        <v>0</v>
      </c>
      <c r="AE242" s="1">
        <v>1</v>
      </c>
    </row>
    <row r="243" spans="1:36" ht="18" customHeight="1" x14ac:dyDescent="0.2">
      <c r="B243" s="816" t="s">
        <v>28818</v>
      </c>
      <c r="C243" s="665" t="s">
        <v>28819</v>
      </c>
      <c r="D243" s="814">
        <f>IF(SUM('Berechnung &amp; Tabellen'!N5:N9)&gt;0,1,0)</f>
        <v>1</v>
      </c>
      <c r="E243" s="116"/>
      <c r="F243" s="200"/>
      <c r="H243" s="2464"/>
      <c r="I243" s="2464"/>
      <c r="J243" s="2465"/>
      <c r="K243" s="2465">
        <f t="shared" si="80"/>
        <v>0</v>
      </c>
      <c r="L243" s="1" t="s">
        <v>53</v>
      </c>
      <c r="N243" s="166"/>
      <c r="O243" s="166"/>
      <c r="P243" s="166"/>
      <c r="Q243" s="61"/>
      <c r="R243" s="2501" t="str">
        <f t="shared" si="73"/>
        <v>0902010</v>
      </c>
      <c r="S243" s="2502">
        <f t="shared" si="81"/>
        <v>1</v>
      </c>
      <c r="T243" s="2503" t="s">
        <v>53</v>
      </c>
      <c r="V243" s="1">
        <v>0</v>
      </c>
      <c r="AC243" s="155">
        <v>1</v>
      </c>
      <c r="AD243" s="1">
        <f t="shared" si="82"/>
        <v>0</v>
      </c>
      <c r="AE243" s="1">
        <v>1</v>
      </c>
    </row>
    <row r="244" spans="1:36" ht="18" customHeight="1" x14ac:dyDescent="0.2">
      <c r="B244" s="816" t="s">
        <v>30329</v>
      </c>
      <c r="C244" s="665" t="s">
        <v>30328</v>
      </c>
      <c r="D244" s="814">
        <f>IF(Dateneingabe!L46=1,'Berechnung &amp; Tabellen'!P5*0.75,0)+IF(Dateneingabe!L48=1,'Berechnung &amp; Tabellen'!P6*0.75,0)</f>
        <v>0</v>
      </c>
      <c r="E244" s="116"/>
      <c r="F244" s="200"/>
      <c r="H244" s="2464"/>
      <c r="I244" s="2464"/>
      <c r="J244" s="2465">
        <v>1</v>
      </c>
      <c r="K244" s="2465">
        <f t="shared" si="80"/>
        <v>0</v>
      </c>
      <c r="L244" s="116" t="s">
        <v>17</v>
      </c>
      <c r="N244" s="166"/>
      <c r="O244" s="166"/>
      <c r="P244" s="166"/>
      <c r="Q244" s="61"/>
      <c r="R244" s="2501" t="str">
        <f t="shared" si="73"/>
        <v>0720141</v>
      </c>
      <c r="S244" s="2502">
        <f t="shared" si="81"/>
        <v>0</v>
      </c>
      <c r="T244" s="2503" t="str">
        <f>L244</f>
        <v>L</v>
      </c>
      <c r="V244" s="1">
        <v>1</v>
      </c>
      <c r="AC244" s="155">
        <v>1</v>
      </c>
      <c r="AD244" s="1">
        <f t="shared" si="82"/>
        <v>0</v>
      </c>
      <c r="AE244" s="1">
        <v>1</v>
      </c>
    </row>
    <row r="245" spans="1:36" ht="18" customHeight="1" x14ac:dyDescent="0.2">
      <c r="A245" s="193">
        <f>D245</f>
        <v>1</v>
      </c>
      <c r="B245" s="653" t="s">
        <v>28298</v>
      </c>
      <c r="C245" s="665" t="s">
        <v>799</v>
      </c>
      <c r="D245" s="117">
        <f>C2*'Berechnung &amp; Tabellen'!$E$157</f>
        <v>1</v>
      </c>
      <c r="E245" s="1">
        <v>750</v>
      </c>
      <c r="F245" s="1">
        <v>382</v>
      </c>
      <c r="G245" s="118">
        <v>3</v>
      </c>
      <c r="H245" s="2464">
        <f t="shared" ref="H245:H248" si="83">E245*F245/1000/1000</f>
        <v>0.28649999999999998</v>
      </c>
      <c r="I245" s="2464"/>
      <c r="J245" s="2465">
        <f t="shared" ref="J245:J248" si="84">G245*7.85*H245</f>
        <v>6.7470749999999988</v>
      </c>
      <c r="K245" s="2465">
        <f t="shared" si="80"/>
        <v>6.7470749999999988</v>
      </c>
      <c r="L245" s="1" t="s">
        <v>53</v>
      </c>
      <c r="M245" s="1" t="s">
        <v>28402</v>
      </c>
      <c r="N245" s="116"/>
      <c r="O245" s="116"/>
      <c r="P245" s="116"/>
      <c r="Q245" s="1129"/>
      <c r="R245" s="2501" t="str">
        <f t="shared" si="73"/>
        <v>0308062</v>
      </c>
      <c r="S245" s="2502">
        <f t="shared" si="81"/>
        <v>1</v>
      </c>
      <c r="T245" s="2503" t="s">
        <v>53</v>
      </c>
      <c r="V245" s="1">
        <f>$X$2</f>
        <v>1</v>
      </c>
      <c r="AE245" s="1">
        <v>1</v>
      </c>
      <c r="AF245" s="109" t="s">
        <v>8982</v>
      </c>
      <c r="AG245" s="1">
        <v>0.222</v>
      </c>
      <c r="AH245" s="812" t="s">
        <v>27668</v>
      </c>
      <c r="AI245" s="193">
        <v>1</v>
      </c>
    </row>
    <row r="246" spans="1:36" ht="18" customHeight="1" x14ac:dyDescent="0.2">
      <c r="A246" s="193">
        <f>D246</f>
        <v>0</v>
      </c>
      <c r="B246" s="653" t="s">
        <v>28299</v>
      </c>
      <c r="C246" s="665" t="s">
        <v>27821</v>
      </c>
      <c r="D246" s="117">
        <f>C1*'Berechnung &amp; Tabellen'!$E$157</f>
        <v>0</v>
      </c>
      <c r="E246" s="1">
        <v>750</v>
      </c>
      <c r="F246" s="1">
        <v>382</v>
      </c>
      <c r="G246" s="118">
        <v>3</v>
      </c>
      <c r="H246" s="2464">
        <f t="shared" si="83"/>
        <v>0.28649999999999998</v>
      </c>
      <c r="I246" s="2464"/>
      <c r="J246" s="2465">
        <f t="shared" si="84"/>
        <v>6.7470749999999988</v>
      </c>
      <c r="K246" s="2465">
        <f t="shared" si="80"/>
        <v>0</v>
      </c>
      <c r="L246" s="1" t="s">
        <v>53</v>
      </c>
      <c r="M246" s="1" t="s">
        <v>28403</v>
      </c>
      <c r="N246" s="116"/>
      <c r="O246" s="116"/>
      <c r="P246" s="116"/>
      <c r="Q246" s="1129"/>
      <c r="R246" s="2501" t="str">
        <f t="shared" si="73"/>
        <v>0338062</v>
      </c>
      <c r="S246" s="2502">
        <f t="shared" si="81"/>
        <v>0</v>
      </c>
      <c r="T246" s="2503" t="s">
        <v>53</v>
      </c>
      <c r="V246" s="1">
        <f>$X$2</f>
        <v>1</v>
      </c>
      <c r="Y246" s="1">
        <v>1</v>
      </c>
      <c r="AE246" s="1">
        <v>1</v>
      </c>
      <c r="AF246" s="682" t="s">
        <v>9136</v>
      </c>
      <c r="AG246" s="1">
        <v>0.222</v>
      </c>
      <c r="AH246" s="812" t="s">
        <v>27667</v>
      </c>
    </row>
    <row r="247" spans="1:36" ht="18" customHeight="1" x14ac:dyDescent="0.2">
      <c r="A247" s="193">
        <f>D247</f>
        <v>0</v>
      </c>
      <c r="B247" s="653" t="s">
        <v>28243</v>
      </c>
      <c r="C247" s="665" t="s">
        <v>27822</v>
      </c>
      <c r="D247" s="117">
        <f>C2*'Berechnung &amp; Tabellen'!F157</f>
        <v>0</v>
      </c>
      <c r="E247" s="1">
        <v>2000</v>
      </c>
      <c r="F247" s="1">
        <v>382</v>
      </c>
      <c r="G247" s="118">
        <v>3</v>
      </c>
      <c r="H247" s="2464">
        <f t="shared" si="83"/>
        <v>0.76400000000000001</v>
      </c>
      <c r="I247" s="2464"/>
      <c r="J247" s="2465">
        <f t="shared" si="84"/>
        <v>17.992199999999997</v>
      </c>
      <c r="K247" s="2465">
        <f t="shared" si="80"/>
        <v>0</v>
      </c>
      <c r="L247" s="1" t="s">
        <v>53</v>
      </c>
      <c r="M247" s="1" t="s">
        <v>28402</v>
      </c>
      <c r="N247" s="116"/>
      <c r="O247" s="116"/>
      <c r="P247" s="116"/>
      <c r="Q247" s="1129"/>
      <c r="R247" s="2501" t="str">
        <f t="shared" si="73"/>
        <v>0308146</v>
      </c>
      <c r="S247" s="2502">
        <f t="shared" si="81"/>
        <v>0</v>
      </c>
      <c r="T247" s="2503" t="s">
        <v>53</v>
      </c>
      <c r="V247" s="1">
        <f>$X$2</f>
        <v>1</v>
      </c>
      <c r="Y247" s="1">
        <v>1</v>
      </c>
      <c r="AE247" s="1">
        <v>1</v>
      </c>
      <c r="AF247" s="109" t="s">
        <v>8982</v>
      </c>
      <c r="AG247" s="1">
        <v>0.222</v>
      </c>
      <c r="AH247" s="812" t="s">
        <v>27668</v>
      </c>
      <c r="AI247" s="193">
        <v>1</v>
      </c>
    </row>
    <row r="248" spans="1:36" ht="18" customHeight="1" x14ac:dyDescent="0.2">
      <c r="A248" s="193">
        <f>D248</f>
        <v>0</v>
      </c>
      <c r="B248" s="653" t="s">
        <v>28244</v>
      </c>
      <c r="C248" s="665" t="s">
        <v>27823</v>
      </c>
      <c r="D248" s="117">
        <f>C1*'Berechnung &amp; Tabellen'!F157</f>
        <v>0</v>
      </c>
      <c r="E248" s="1">
        <v>2000</v>
      </c>
      <c r="F248" s="1">
        <v>382</v>
      </c>
      <c r="G248" s="118">
        <v>3</v>
      </c>
      <c r="H248" s="2464">
        <f t="shared" si="83"/>
        <v>0.76400000000000001</v>
      </c>
      <c r="I248" s="2464"/>
      <c r="J248" s="2465">
        <f t="shared" si="84"/>
        <v>17.992199999999997</v>
      </c>
      <c r="K248" s="2465">
        <f t="shared" si="80"/>
        <v>0</v>
      </c>
      <c r="L248" s="1" t="s">
        <v>53</v>
      </c>
      <c r="M248" s="1" t="s">
        <v>28403</v>
      </c>
      <c r="N248" s="116"/>
      <c r="O248" s="116"/>
      <c r="P248" s="116"/>
      <c r="Q248" s="1129"/>
      <c r="R248" s="2501" t="str">
        <f t="shared" si="73"/>
        <v>0338146</v>
      </c>
      <c r="S248" s="2502">
        <f t="shared" si="81"/>
        <v>0</v>
      </c>
      <c r="T248" s="2503" t="s">
        <v>53</v>
      </c>
      <c r="V248" s="1">
        <f>$X$2</f>
        <v>1</v>
      </c>
      <c r="Y248" s="1">
        <v>1</v>
      </c>
      <c r="AE248" s="1">
        <v>1</v>
      </c>
      <c r="AF248" s="682" t="s">
        <v>9136</v>
      </c>
      <c r="AG248" s="1">
        <v>0.222</v>
      </c>
      <c r="AH248" s="812" t="s">
        <v>27667</v>
      </c>
    </row>
    <row r="249" spans="1:36" s="1091" customFormat="1" ht="18" customHeight="1" x14ac:dyDescent="0.2">
      <c r="A249" s="1308">
        <f>IF(SUM(A245:A248)&gt;0,VLOOKUP(SUM(A245:A248),A245:C248,1,FALSE),0)</f>
        <v>1</v>
      </c>
      <c r="B249" s="1097" t="str">
        <f>IF(SUM(A245:A248)&gt;0,VLOOKUP(SUM(A245:A248),A245:C248,2,FALSE),0)</f>
        <v>Motorwandplatte GCC Antrieb schmal verzinkt</v>
      </c>
      <c r="C249" s="1088" t="str">
        <f>IF(SUM(A245:A248)&gt;0,VLOOKUP(SUM(A245:A248),A245:C248,3,FALSE),0)</f>
        <v>0308062</v>
      </c>
      <c r="D249" s="1089"/>
      <c r="E249" s="1088">
        <f>IF(SUM(A245:A248)&gt;0,VLOOKUP(SUM(A245:A248),A245:F248,5,FALSE),0)</f>
        <v>750</v>
      </c>
      <c r="F249" s="1088">
        <f>IF(SUM(A245:A248)&gt;0,VLOOKUP(SUM(A245:A248),A245:F248,6,FALSE),0)</f>
        <v>382</v>
      </c>
      <c r="G249" s="1092"/>
      <c r="H249" s="2467"/>
      <c r="I249" s="2467"/>
      <c r="J249" s="2468"/>
      <c r="K249" s="2468"/>
      <c r="L249" s="1090"/>
      <c r="M249" s="1090"/>
      <c r="N249" s="1093"/>
      <c r="O249" s="1093"/>
      <c r="P249" s="1093"/>
      <c r="Q249" s="2453"/>
      <c r="R249" s="2505" t="str">
        <f t="shared" si="73"/>
        <v>0308062</v>
      </c>
      <c r="S249" s="2506"/>
      <c r="T249" s="2506"/>
      <c r="V249" s="1090"/>
      <c r="Y249" s="1090"/>
      <c r="AD249" s="1090"/>
      <c r="AE249" s="1090"/>
      <c r="AF249" s="1094"/>
      <c r="AG249" s="1090"/>
      <c r="AH249" s="1095"/>
      <c r="AI249" s="1571"/>
      <c r="AJ249" s="1090"/>
    </row>
    <row r="250" spans="1:36" ht="18" customHeight="1" x14ac:dyDescent="0.2">
      <c r="A250" s="193">
        <f>D250</f>
        <v>0</v>
      </c>
      <c r="B250" s="336" t="s">
        <v>27866</v>
      </c>
      <c r="C250" s="665" t="s">
        <v>825</v>
      </c>
      <c r="D250" s="200">
        <f>C2*'Berechnung &amp; Tabellen'!D54</f>
        <v>0</v>
      </c>
      <c r="E250" s="116"/>
      <c r="F250" s="116"/>
      <c r="H250" s="2464">
        <f>E250*F250/1000/1000</f>
        <v>0</v>
      </c>
      <c r="I250" s="2464"/>
      <c r="J250" s="2465">
        <f>G250*7.85*H250</f>
        <v>0</v>
      </c>
      <c r="K250" s="2465">
        <f>D250*J250</f>
        <v>0</v>
      </c>
      <c r="L250" s="1" t="s">
        <v>53</v>
      </c>
      <c r="N250" s="166"/>
      <c r="O250" s="166"/>
      <c r="P250" s="166"/>
      <c r="Q250" s="61"/>
      <c r="R250" s="2501" t="str">
        <f t="shared" si="73"/>
        <v>0308070</v>
      </c>
      <c r="S250" s="2502">
        <f>D250</f>
        <v>0</v>
      </c>
      <c r="T250" s="2503" t="s">
        <v>53</v>
      </c>
      <c r="V250" s="1">
        <f>$X$2</f>
        <v>1</v>
      </c>
      <c r="AE250" s="1">
        <v>1</v>
      </c>
    </row>
    <row r="251" spans="1:36" ht="18" customHeight="1" x14ac:dyDescent="0.2">
      <c r="A251" s="193">
        <f>D251</f>
        <v>0</v>
      </c>
      <c r="B251" s="336" t="s">
        <v>27867</v>
      </c>
      <c r="C251" s="665" t="s">
        <v>27868</v>
      </c>
      <c r="D251" s="200">
        <f>C1*'Berechnung &amp; Tabellen'!D54</f>
        <v>0</v>
      </c>
      <c r="E251" s="116"/>
      <c r="F251" s="116"/>
      <c r="H251" s="2464">
        <f>E251*F251/1000/1000</f>
        <v>0</v>
      </c>
      <c r="I251" s="2464"/>
      <c r="J251" s="2465">
        <f>G251*7.85*H251</f>
        <v>0</v>
      </c>
      <c r="K251" s="2465">
        <f>D251*J251</f>
        <v>0</v>
      </c>
      <c r="L251" s="1" t="s">
        <v>53</v>
      </c>
      <c r="N251" s="166"/>
      <c r="O251" s="166"/>
      <c r="P251" s="166"/>
      <c r="Q251" s="61"/>
      <c r="R251" s="2501" t="str">
        <f t="shared" si="73"/>
        <v>0338070</v>
      </c>
      <c r="S251" s="2502">
        <f>D251</f>
        <v>0</v>
      </c>
      <c r="T251" s="2503" t="s">
        <v>53</v>
      </c>
      <c r="V251" s="1">
        <f>$X$2</f>
        <v>1</v>
      </c>
      <c r="AE251" s="1">
        <v>1</v>
      </c>
    </row>
    <row r="252" spans="1:36" s="1572" customFormat="1" ht="18" customHeight="1" x14ac:dyDescent="0.2">
      <c r="A252" s="1308">
        <f>IF(SUM(A250:A251)&gt;0,VLOOKUP(SUM(A250:A251),A250:C251,1,FALSE),0)</f>
        <v>0</v>
      </c>
      <c r="B252" s="1569">
        <f>IF(SUM(A250:A251)&gt;0,VLOOKUP(SUM(A250:A251),A250:C251,2,FALSE),0)</f>
        <v>0</v>
      </c>
      <c r="C252" s="1308">
        <f>IF(SUM(A250:A251)&gt;0,VLOOKUP(SUM(A250:A251),A250:C251,3,FALSE),0)</f>
        <v>0</v>
      </c>
      <c r="D252" s="1570"/>
      <c r="E252" s="1571"/>
      <c r="F252" s="1308">
        <f>IF(SUM(A250:A251)&gt;0,VLOOKUP(SUM(A250:A251),A250:F251,6,FALSE),0)</f>
        <v>0</v>
      </c>
      <c r="G252" s="1573"/>
      <c r="H252" s="2467"/>
      <c r="I252" s="2467"/>
      <c r="J252" s="2468"/>
      <c r="K252" s="2468"/>
      <c r="L252" s="1571"/>
      <c r="M252" s="1571"/>
      <c r="N252" s="1574"/>
      <c r="O252" s="1574"/>
      <c r="P252" s="1574"/>
      <c r="Q252" s="2456"/>
      <c r="R252" s="2505">
        <f t="shared" si="73"/>
        <v>0</v>
      </c>
      <c r="S252" s="2515"/>
      <c r="T252" s="2515"/>
      <c r="V252" s="1571"/>
      <c r="Y252" s="1571"/>
      <c r="AD252" s="1571"/>
      <c r="AE252" s="1571"/>
      <c r="AF252" s="1575"/>
      <c r="AG252" s="1571"/>
      <c r="AH252" s="1576"/>
      <c r="AI252" s="1571"/>
      <c r="AJ252" s="1571"/>
    </row>
    <row r="253" spans="1:36" ht="18" customHeight="1" x14ac:dyDescent="0.2">
      <c r="B253" s="135" t="s">
        <v>436</v>
      </c>
      <c r="C253" s="665"/>
      <c r="F253" s="1"/>
      <c r="H253" s="2464"/>
      <c r="I253" s="2464"/>
      <c r="J253" s="2465"/>
      <c r="K253" s="2465"/>
      <c r="Q253" s="36"/>
      <c r="R253" s="2504">
        <f t="shared" si="73"/>
        <v>0</v>
      </c>
      <c r="S253" s="2493"/>
      <c r="T253" s="2493"/>
    </row>
    <row r="254" spans="1:36" s="1608" customFormat="1" ht="18" customHeight="1" x14ac:dyDescent="0.2">
      <c r="A254" s="1604"/>
      <c r="B254" s="2471" t="s">
        <v>504</v>
      </c>
      <c r="C254" s="1606" t="s">
        <v>514</v>
      </c>
      <c r="D254" s="2478"/>
      <c r="E254" s="1607">
        <v>682</v>
      </c>
      <c r="F254" s="1607">
        <v>211</v>
      </c>
      <c r="G254" s="1609">
        <v>5</v>
      </c>
      <c r="H254" s="2469">
        <f t="shared" ref="H254:H259" si="85">E254*F254/1000/1000</f>
        <v>0.14390199999999997</v>
      </c>
      <c r="I254" s="2469"/>
      <c r="J254" s="2470">
        <f t="shared" ref="J254:J259" si="86">G254*7.85*H254</f>
        <v>5.6481534999999994</v>
      </c>
      <c r="K254" s="2470">
        <f t="shared" ref="K254:K260" si="87">D254*J254</f>
        <v>0</v>
      </c>
      <c r="L254" s="1607" t="s">
        <v>53</v>
      </c>
      <c r="M254" s="1607"/>
      <c r="N254" s="2478"/>
      <c r="O254" s="2478"/>
      <c r="P254" s="2478"/>
      <c r="Q254" s="2479"/>
      <c r="R254" s="2507" t="str">
        <f t="shared" ref="R254:R275" si="88">C254</f>
        <v>0308026</v>
      </c>
      <c r="S254" s="2508"/>
      <c r="T254" s="2508"/>
      <c r="U254" s="1607"/>
      <c r="V254" s="1607">
        <v>1</v>
      </c>
      <c r="X254" s="1607"/>
      <c r="Y254" s="1607"/>
      <c r="AC254" s="1607"/>
      <c r="AD254" s="1607"/>
      <c r="AE254" s="1607">
        <v>1</v>
      </c>
      <c r="AF254" s="1611"/>
      <c r="AG254" s="1607"/>
      <c r="AH254" s="1607"/>
      <c r="AI254" s="1604"/>
      <c r="AJ254" s="1607"/>
    </row>
    <row r="255" spans="1:36" s="1608" customFormat="1" ht="18" customHeight="1" x14ac:dyDescent="0.2">
      <c r="A255" s="1604"/>
      <c r="B255" s="2471" t="s">
        <v>505</v>
      </c>
      <c r="C255" s="1606" t="s">
        <v>515</v>
      </c>
      <c r="D255" s="2478"/>
      <c r="E255" s="1607">
        <v>682</v>
      </c>
      <c r="F255" s="1607">
        <v>211</v>
      </c>
      <c r="G255" s="1609">
        <v>5</v>
      </c>
      <c r="H255" s="2469">
        <f t="shared" si="85"/>
        <v>0.14390199999999997</v>
      </c>
      <c r="I255" s="2469"/>
      <c r="J255" s="2470">
        <f t="shared" si="86"/>
        <v>5.6481534999999994</v>
      </c>
      <c r="K255" s="2470">
        <f t="shared" si="87"/>
        <v>0</v>
      </c>
      <c r="L255" s="1607" t="s">
        <v>53</v>
      </c>
      <c r="M255" s="1607"/>
      <c r="N255" s="2478"/>
      <c r="O255" s="2478"/>
      <c r="P255" s="2478"/>
      <c r="Q255" s="2479"/>
      <c r="R255" s="2507" t="str">
        <f t="shared" si="88"/>
        <v>0338026</v>
      </c>
      <c r="S255" s="2508"/>
      <c r="T255" s="2508"/>
      <c r="U255" s="1607"/>
      <c r="V255" s="1607">
        <v>1</v>
      </c>
      <c r="X255" s="1607"/>
      <c r="Y255" s="1607"/>
      <c r="AC255" s="1607"/>
      <c r="AD255" s="1607"/>
      <c r="AE255" s="1607">
        <v>1</v>
      </c>
      <c r="AF255" s="1611"/>
      <c r="AG255" s="1607"/>
      <c r="AH255" s="1607"/>
      <c r="AI255" s="1604"/>
      <c r="AJ255" s="1607"/>
    </row>
    <row r="256" spans="1:36" s="1608" customFormat="1" ht="18" customHeight="1" x14ac:dyDescent="0.2">
      <c r="A256" s="1604"/>
      <c r="B256" s="2471" t="s">
        <v>506</v>
      </c>
      <c r="C256" s="1606" t="s">
        <v>512</v>
      </c>
      <c r="D256" s="2478"/>
      <c r="E256" s="1607">
        <v>582</v>
      </c>
      <c r="F256" s="1607">
        <v>211</v>
      </c>
      <c r="G256" s="1609">
        <v>5</v>
      </c>
      <c r="H256" s="2469">
        <f t="shared" si="85"/>
        <v>0.12280200000000001</v>
      </c>
      <c r="I256" s="2469"/>
      <c r="J256" s="2470">
        <f t="shared" si="86"/>
        <v>4.8199785000000004</v>
      </c>
      <c r="K256" s="2470">
        <f t="shared" si="87"/>
        <v>0</v>
      </c>
      <c r="L256" s="1607" t="s">
        <v>53</v>
      </c>
      <c r="M256" s="1607"/>
      <c r="N256" s="2478"/>
      <c r="O256" s="2478"/>
      <c r="P256" s="2478"/>
      <c r="Q256" s="2479"/>
      <c r="R256" s="2507" t="str">
        <f t="shared" si="88"/>
        <v>0308025</v>
      </c>
      <c r="S256" s="2508"/>
      <c r="T256" s="2508"/>
      <c r="U256" s="1607"/>
      <c r="V256" s="1607">
        <v>1</v>
      </c>
      <c r="X256" s="1607"/>
      <c r="Y256" s="1607"/>
      <c r="AC256" s="1607"/>
      <c r="AD256" s="1607"/>
      <c r="AE256" s="1607">
        <v>1</v>
      </c>
      <c r="AF256" s="1611"/>
      <c r="AG256" s="1607"/>
      <c r="AH256" s="1607"/>
      <c r="AI256" s="1604"/>
      <c r="AJ256" s="1607"/>
    </row>
    <row r="257" spans="1:36" s="1608" customFormat="1" ht="18" customHeight="1" x14ac:dyDescent="0.2">
      <c r="A257" s="1604"/>
      <c r="B257" s="2471" t="s">
        <v>507</v>
      </c>
      <c r="C257" s="1606" t="s">
        <v>513</v>
      </c>
      <c r="D257" s="2478"/>
      <c r="E257" s="1607">
        <v>582</v>
      </c>
      <c r="F257" s="1607">
        <v>211</v>
      </c>
      <c r="G257" s="1609">
        <v>5</v>
      </c>
      <c r="H257" s="2469">
        <f t="shared" si="85"/>
        <v>0.12280200000000001</v>
      </c>
      <c r="I257" s="2469"/>
      <c r="J257" s="2470">
        <f t="shared" si="86"/>
        <v>4.8199785000000004</v>
      </c>
      <c r="K257" s="2470">
        <f t="shared" si="87"/>
        <v>0</v>
      </c>
      <c r="L257" s="1607" t="s">
        <v>53</v>
      </c>
      <c r="M257" s="1607"/>
      <c r="N257" s="2478"/>
      <c r="O257" s="2478"/>
      <c r="P257" s="2478"/>
      <c r="Q257" s="2479"/>
      <c r="R257" s="2507" t="str">
        <f t="shared" si="88"/>
        <v>0338025</v>
      </c>
      <c r="S257" s="2508"/>
      <c r="T257" s="2508"/>
      <c r="U257" s="1607"/>
      <c r="V257" s="1607">
        <v>1</v>
      </c>
      <c r="X257" s="1607"/>
      <c r="Y257" s="1607"/>
      <c r="AC257" s="1607"/>
      <c r="AD257" s="1607"/>
      <c r="AE257" s="1607">
        <v>1</v>
      </c>
      <c r="AF257" s="1611"/>
      <c r="AG257" s="1607"/>
      <c r="AH257" s="1607"/>
      <c r="AI257" s="1604"/>
      <c r="AJ257" s="1607"/>
    </row>
    <row r="258" spans="1:36" s="1608" customFormat="1" ht="18" customHeight="1" x14ac:dyDescent="0.2">
      <c r="A258" s="1604"/>
      <c r="B258" s="2471" t="s">
        <v>508</v>
      </c>
      <c r="C258" s="1606" t="s">
        <v>510</v>
      </c>
      <c r="D258" s="2478"/>
      <c r="E258" s="1607">
        <v>482</v>
      </c>
      <c r="F258" s="1607">
        <v>211</v>
      </c>
      <c r="G258" s="1609">
        <v>5</v>
      </c>
      <c r="H258" s="2469">
        <f t="shared" si="85"/>
        <v>0.101702</v>
      </c>
      <c r="I258" s="2469"/>
      <c r="J258" s="2470">
        <f t="shared" si="86"/>
        <v>3.9918035000000001</v>
      </c>
      <c r="K258" s="2470">
        <f t="shared" si="87"/>
        <v>0</v>
      </c>
      <c r="L258" s="1607" t="s">
        <v>53</v>
      </c>
      <c r="M258" s="1607"/>
      <c r="N258" s="2478"/>
      <c r="O258" s="2478"/>
      <c r="P258" s="2478"/>
      <c r="Q258" s="2479"/>
      <c r="R258" s="2507" t="str">
        <f t="shared" si="88"/>
        <v>0308018</v>
      </c>
      <c r="S258" s="2508"/>
      <c r="T258" s="2508"/>
      <c r="U258" s="1607"/>
      <c r="V258" s="1607">
        <v>1</v>
      </c>
      <c r="X258" s="1607"/>
      <c r="Y258" s="1607"/>
      <c r="AC258" s="1607"/>
      <c r="AD258" s="1607"/>
      <c r="AE258" s="1607">
        <v>1</v>
      </c>
      <c r="AF258" s="1611"/>
      <c r="AG258" s="1607"/>
      <c r="AH258" s="1607"/>
      <c r="AI258" s="1604"/>
      <c r="AJ258" s="1607"/>
    </row>
    <row r="259" spans="1:36" s="1608" customFormat="1" ht="18" customHeight="1" x14ac:dyDescent="0.2">
      <c r="A259" s="1604"/>
      <c r="B259" s="2471" t="s">
        <v>509</v>
      </c>
      <c r="C259" s="1606" t="s">
        <v>511</v>
      </c>
      <c r="D259" s="2478"/>
      <c r="E259" s="1607">
        <v>482</v>
      </c>
      <c r="F259" s="1607">
        <v>211</v>
      </c>
      <c r="G259" s="1609">
        <v>5</v>
      </c>
      <c r="H259" s="2469">
        <f t="shared" si="85"/>
        <v>0.101702</v>
      </c>
      <c r="I259" s="2469"/>
      <c r="J259" s="2470">
        <f t="shared" si="86"/>
        <v>3.9918035000000001</v>
      </c>
      <c r="K259" s="2470">
        <f t="shared" si="87"/>
        <v>0</v>
      </c>
      <c r="L259" s="1607" t="s">
        <v>53</v>
      </c>
      <c r="M259" s="1607"/>
      <c r="N259" s="2478"/>
      <c r="O259" s="2478"/>
      <c r="P259" s="2478"/>
      <c r="Q259" s="2479"/>
      <c r="R259" s="2507" t="str">
        <f t="shared" si="88"/>
        <v>0338018</v>
      </c>
      <c r="S259" s="2508"/>
      <c r="T259" s="2508"/>
      <c r="U259" s="1607"/>
      <c r="V259" s="1607">
        <v>1</v>
      </c>
      <c r="X259" s="1607"/>
      <c r="Y259" s="1607"/>
      <c r="AC259" s="1607"/>
      <c r="AD259" s="1607"/>
      <c r="AE259" s="1607">
        <v>1</v>
      </c>
      <c r="AF259" s="1611"/>
      <c r="AG259" s="1607"/>
      <c r="AH259" s="1607"/>
      <c r="AI259" s="1604"/>
      <c r="AJ259" s="1607"/>
    </row>
    <row r="260" spans="1:36" ht="18" customHeight="1" x14ac:dyDescent="0.2">
      <c r="B260" s="2001" t="s">
        <v>30250</v>
      </c>
      <c r="C260" s="665" t="s">
        <v>434</v>
      </c>
      <c r="D260" s="824">
        <f>'Berechnung &amp; Tabellen'!D15*'Berechnung &amp; Tabellen'!E9*2*IF('Berechnung &amp; Tabellen'!D10=1,0,1)</f>
        <v>0</v>
      </c>
      <c r="E260" s="117">
        <f>120</f>
        <v>120</v>
      </c>
      <c r="F260" s="1236">
        <f>IF($H$2&lt;2501,$H$2,0)+IF(AND($H$2&gt;2500,$H$2&lt;2801),$H$2-300,0)+IF($H$2&gt;2800,2500,0)</f>
        <v>1100</v>
      </c>
      <c r="H260" s="2464">
        <f>E260/1000*F260/1000</f>
        <v>0.13200000000000001</v>
      </c>
      <c r="I260" s="2464"/>
      <c r="J260" s="2465">
        <f>G260*8*H260</f>
        <v>0</v>
      </c>
      <c r="K260" s="2465">
        <f t="shared" si="87"/>
        <v>0</v>
      </c>
      <c r="L260" s="116" t="s">
        <v>28399</v>
      </c>
      <c r="N260" s="1" t="s">
        <v>28033</v>
      </c>
      <c r="O260" s="1">
        <v>40</v>
      </c>
      <c r="P260" s="109" t="s">
        <v>28877</v>
      </c>
      <c r="Q260" s="2452"/>
      <c r="R260" s="2494" t="str">
        <f t="shared" si="88"/>
        <v>0202024</v>
      </c>
      <c r="S260" s="2495">
        <f>D260*(E260/1000)*(F260/1000)</f>
        <v>0</v>
      </c>
      <c r="T260" s="2496" t="s">
        <v>28181</v>
      </c>
      <c r="V260" s="1">
        <v>1</v>
      </c>
      <c r="AE260" s="1">
        <v>1</v>
      </c>
    </row>
    <row r="261" spans="1:36" ht="18" customHeight="1" x14ac:dyDescent="0.2">
      <c r="B261" s="2001" t="s">
        <v>30250</v>
      </c>
      <c r="C261" s="665" t="s">
        <v>434</v>
      </c>
      <c r="D261" s="824">
        <f>IF(F261&gt;0,'Berechnung &amp; Tabellen'!D15*'Berechnung &amp; Tabellen'!E9*2*IF('Berechnung &amp; Tabellen'!D10=1,0,1),0)</f>
        <v>0</v>
      </c>
      <c r="E261" s="117">
        <f>120</f>
        <v>120</v>
      </c>
      <c r="F261" s="1236">
        <f>IF(F260&lt;$H$2,$H$2-F260,0)</f>
        <v>0</v>
      </c>
      <c r="H261" s="2464">
        <f>E261/1000*F261/1000</f>
        <v>0</v>
      </c>
      <c r="I261" s="2464"/>
      <c r="J261" s="2465">
        <f>G261*8*H261</f>
        <v>0</v>
      </c>
      <c r="K261" s="2465">
        <f>D261*J261</f>
        <v>0</v>
      </c>
      <c r="L261" s="116" t="s">
        <v>28399</v>
      </c>
      <c r="N261" s="1" t="s">
        <v>28033</v>
      </c>
      <c r="O261" s="1">
        <v>41</v>
      </c>
      <c r="P261" s="109" t="s">
        <v>28877</v>
      </c>
      <c r="Q261" s="2452"/>
      <c r="R261" s="2494" t="str">
        <f t="shared" si="88"/>
        <v>0202024</v>
      </c>
      <c r="S261" s="2495">
        <f>D261*(E261/1000)*(F261/1000)</f>
        <v>0</v>
      </c>
      <c r="T261" s="2496" t="s">
        <v>28181</v>
      </c>
      <c r="V261" s="1">
        <v>1</v>
      </c>
      <c r="AE261" s="1">
        <v>2</v>
      </c>
    </row>
    <row r="262" spans="1:36" ht="18" customHeight="1" x14ac:dyDescent="0.2">
      <c r="B262" s="135" t="s">
        <v>360</v>
      </c>
      <c r="C262" s="665"/>
      <c r="E262" s="117"/>
      <c r="F262" s="117"/>
      <c r="H262" s="2464"/>
      <c r="I262" s="2464"/>
      <c r="J262" s="2465">
        <f t="shared" ref="J262:J269" si="89">G262*8*H262</f>
        <v>0</v>
      </c>
      <c r="K262" s="2465">
        <f t="shared" ref="K262:K274" si="90">D262*J262</f>
        <v>0</v>
      </c>
      <c r="L262" s="1" t="s">
        <v>28400</v>
      </c>
      <c r="Q262" s="36"/>
      <c r="R262" s="2504">
        <f t="shared" si="88"/>
        <v>0</v>
      </c>
      <c r="S262" s="2493"/>
      <c r="T262" s="2493"/>
    </row>
    <row r="263" spans="1:36" ht="18" customHeight="1" x14ac:dyDescent="0.2">
      <c r="A263" s="193">
        <f>D263</f>
        <v>1</v>
      </c>
      <c r="B263" s="1577" t="s">
        <v>29078</v>
      </c>
      <c r="C263" s="1578" t="s">
        <v>5027</v>
      </c>
      <c r="D263" s="824">
        <f>D269*C2</f>
        <v>1</v>
      </c>
      <c r="E263" s="117">
        <v>100</v>
      </c>
      <c r="F263" s="117">
        <f>'Berechnung &amp; Tabellen'!C50</f>
        <v>1100</v>
      </c>
      <c r="H263" s="2464">
        <f t="shared" ref="H263:H274" si="91">E263/1000*F263/1000</f>
        <v>0.11</v>
      </c>
      <c r="I263" s="2464"/>
      <c r="J263" s="2465">
        <f t="shared" si="89"/>
        <v>0</v>
      </c>
      <c r="K263" s="2465">
        <f t="shared" si="90"/>
        <v>0</v>
      </c>
      <c r="L263" s="116" t="s">
        <v>28400</v>
      </c>
      <c r="Q263" s="36"/>
      <c r="R263" s="2509" t="str">
        <f t="shared" si="88"/>
        <v>0305029</v>
      </c>
      <c r="S263" s="2510">
        <f>D263*F263/1000</f>
        <v>1.1000000000000001</v>
      </c>
      <c r="T263" s="2511" t="s">
        <v>30531</v>
      </c>
      <c r="V263" s="1">
        <v>1</v>
      </c>
      <c r="AE263" s="1">
        <v>1</v>
      </c>
    </row>
    <row r="264" spans="1:36" ht="18" customHeight="1" x14ac:dyDescent="0.2">
      <c r="A264" s="193">
        <f>D264</f>
        <v>0</v>
      </c>
      <c r="B264" s="1577" t="s">
        <v>29079</v>
      </c>
      <c r="C264" s="1578" t="s">
        <v>5047</v>
      </c>
      <c r="D264" s="824">
        <f>D269*C1</f>
        <v>0</v>
      </c>
      <c r="E264" s="117">
        <v>100</v>
      </c>
      <c r="F264" s="117">
        <f>'Berechnung &amp; Tabellen'!C50</f>
        <v>1100</v>
      </c>
      <c r="H264" s="2464">
        <f>E264/1000*F264/1000</f>
        <v>0.11</v>
      </c>
      <c r="I264" s="2464"/>
      <c r="J264" s="2465">
        <f>G264*8*H264</f>
        <v>0</v>
      </c>
      <c r="K264" s="2465">
        <f t="shared" si="90"/>
        <v>0</v>
      </c>
      <c r="L264" s="116" t="s">
        <v>28400</v>
      </c>
      <c r="Q264" s="36"/>
      <c r="R264" s="2509" t="str">
        <f t="shared" si="88"/>
        <v>0305039</v>
      </c>
      <c r="S264" s="2510">
        <f>D264*F264/1000</f>
        <v>0</v>
      </c>
      <c r="T264" s="2511" t="s">
        <v>30531</v>
      </c>
      <c r="V264" s="1">
        <v>1</v>
      </c>
      <c r="AE264" s="1">
        <v>1</v>
      </c>
    </row>
    <row r="265" spans="1:36" s="1572" customFormat="1" ht="18" customHeight="1" x14ac:dyDescent="0.2">
      <c r="A265" s="1308">
        <f>IF(SUM(A263:A264)&gt;0,VLOOKUP(SUM(A263:A264),A263:C264,1,FALSE),0)</f>
        <v>1</v>
      </c>
      <c r="B265" s="1569" t="str">
        <f>IF(SUM(A263:A264)&gt;0,VLOOKUP(SUM(A263:A264),A263:C264,2,FALSE),0)</f>
        <v>Fireflystreifen 2100 x 100 mm Dichtrahmen OS hor / GCC</v>
      </c>
      <c r="C265" s="1308" t="str">
        <f>IF(SUM(A263:A264)&gt;0,VLOOKUP(SUM(A263:A264),A263:C264,3,FALSE),0)</f>
        <v>0305029</v>
      </c>
      <c r="D265" s="1570"/>
      <c r="E265" s="1571"/>
      <c r="F265" s="1308">
        <f>IF(SUM(A263:A264)&gt;0,VLOOKUP(SUM(A263:A264),A263:F264,6,FALSE),0)</f>
        <v>1100</v>
      </c>
      <c r="G265" s="1573"/>
      <c r="H265" s="2467"/>
      <c r="I265" s="2467"/>
      <c r="J265" s="2468"/>
      <c r="K265" s="2468"/>
      <c r="L265" s="1571"/>
      <c r="M265" s="1571"/>
      <c r="N265" s="1574"/>
      <c r="O265" s="1574"/>
      <c r="P265" s="1574"/>
      <c r="Q265" s="2456"/>
      <c r="R265" s="2505" t="str">
        <f t="shared" si="88"/>
        <v>0305029</v>
      </c>
      <c r="S265" s="2515"/>
      <c r="T265" s="2515"/>
      <c r="V265" s="1571"/>
      <c r="Y265" s="1571"/>
      <c r="AD265" s="1571"/>
      <c r="AE265" s="1571"/>
      <c r="AF265" s="1575"/>
      <c r="AG265" s="1571"/>
      <c r="AH265" s="1576"/>
      <c r="AI265" s="1571"/>
      <c r="AJ265" s="1571"/>
    </row>
    <row r="266" spans="1:36" ht="18" customHeight="1" x14ac:dyDescent="0.2">
      <c r="A266" s="193">
        <f>D266</f>
        <v>2</v>
      </c>
      <c r="B266" s="1577" t="s">
        <v>29078</v>
      </c>
      <c r="C266" s="1578" t="s">
        <v>5027</v>
      </c>
      <c r="D266" s="824">
        <f>(D271+D273)*C2</f>
        <v>2</v>
      </c>
      <c r="E266" s="117">
        <v>100</v>
      </c>
      <c r="F266" s="117">
        <f>'Berechnung &amp; Tabellen'!C51</f>
        <v>550</v>
      </c>
      <c r="H266" s="2464">
        <f t="shared" si="91"/>
        <v>5.5E-2</v>
      </c>
      <c r="I266" s="2464"/>
      <c r="J266" s="2465">
        <f t="shared" si="89"/>
        <v>0</v>
      </c>
      <c r="K266" s="2465">
        <f t="shared" si="90"/>
        <v>0</v>
      </c>
      <c r="L266" s="116" t="s">
        <v>28400</v>
      </c>
      <c r="Q266" s="36"/>
      <c r="R266" s="2509" t="str">
        <f t="shared" si="88"/>
        <v>0305029</v>
      </c>
      <c r="S266" s="2510">
        <f>D266*F266/1000</f>
        <v>1.1000000000000001</v>
      </c>
      <c r="T266" s="2511" t="s">
        <v>30531</v>
      </c>
      <c r="V266" s="1">
        <v>1</v>
      </c>
      <c r="AE266" s="1">
        <v>1</v>
      </c>
    </row>
    <row r="267" spans="1:36" ht="18" customHeight="1" x14ac:dyDescent="0.2">
      <c r="A267" s="193">
        <f>D267</f>
        <v>0</v>
      </c>
      <c r="B267" s="1577" t="s">
        <v>29079</v>
      </c>
      <c r="C267" s="1578" t="s">
        <v>5047</v>
      </c>
      <c r="D267" s="824">
        <f>(D271+D273)*C1</f>
        <v>0</v>
      </c>
      <c r="E267" s="117">
        <v>100</v>
      </c>
      <c r="F267" s="117">
        <f>'Berechnung &amp; Tabellen'!C51</f>
        <v>550</v>
      </c>
      <c r="H267" s="2464">
        <f>E267/1000*F267/1000</f>
        <v>5.5E-2</v>
      </c>
      <c r="I267" s="2464"/>
      <c r="J267" s="2465">
        <f>G267*8*H267</f>
        <v>0</v>
      </c>
      <c r="K267" s="2465">
        <f t="shared" si="90"/>
        <v>0</v>
      </c>
      <c r="L267" s="116" t="s">
        <v>28400</v>
      </c>
      <c r="Q267" s="36"/>
      <c r="R267" s="2509" t="str">
        <f t="shared" si="88"/>
        <v>0305039</v>
      </c>
      <c r="S267" s="2510">
        <f>D267*F267/1000</f>
        <v>0</v>
      </c>
      <c r="T267" s="2511" t="s">
        <v>30531</v>
      </c>
      <c r="V267" s="1">
        <v>1</v>
      </c>
      <c r="AE267" s="1">
        <v>1</v>
      </c>
    </row>
    <row r="268" spans="1:36" s="1572" customFormat="1" ht="18" customHeight="1" x14ac:dyDescent="0.2">
      <c r="A268" s="1308">
        <f>IF(SUM(A266:A267)&gt;0,VLOOKUP(SUM(A266:A267),A266:C267,1,FALSE),0)</f>
        <v>2</v>
      </c>
      <c r="B268" s="1569" t="str">
        <f>IF(SUM(A266:A267)&gt;0,VLOOKUP(SUM(A266:A267),A266:C267,2,FALSE),0)</f>
        <v>Fireflystreifen 2100 x 100 mm Dichtrahmen OS hor / GCC</v>
      </c>
      <c r="C268" s="1308" t="str">
        <f>IF(SUM(A266:A267)&gt;0,VLOOKUP(SUM(A266:A267),A266:C267,3,FALSE),0)</f>
        <v>0305029</v>
      </c>
      <c r="D268" s="1570"/>
      <c r="E268" s="1571"/>
      <c r="F268" s="1308">
        <f>IF(SUM(A266:A267)&gt;0,VLOOKUP(SUM(A266:A267),A266:F267,6,FALSE),0)</f>
        <v>550</v>
      </c>
      <c r="G268" s="1573"/>
      <c r="H268" s="2467"/>
      <c r="I268" s="2467"/>
      <c r="J268" s="2468"/>
      <c r="K268" s="2468"/>
      <c r="L268" s="1571"/>
      <c r="M268" s="1571"/>
      <c r="N268" s="1574"/>
      <c r="O268" s="1574"/>
      <c r="P268" s="1574"/>
      <c r="Q268" s="2456"/>
      <c r="R268" s="2505" t="str">
        <f t="shared" si="88"/>
        <v>0305029</v>
      </c>
      <c r="S268" s="2515"/>
      <c r="T268" s="2515"/>
      <c r="V268" s="1571"/>
      <c r="Y268" s="1571"/>
      <c r="AD268" s="1571"/>
      <c r="AE268" s="1571"/>
      <c r="AF268" s="1575"/>
      <c r="AG268" s="1571"/>
      <c r="AH268" s="1576"/>
      <c r="AI268" s="1571"/>
      <c r="AJ268" s="1571"/>
    </row>
    <row r="269" spans="1:36" ht="18" customHeight="1" x14ac:dyDescent="0.2">
      <c r="B269" s="1577" t="s">
        <v>29080</v>
      </c>
      <c r="C269" s="1578" t="s">
        <v>434</v>
      </c>
      <c r="D269" s="824">
        <v>1</v>
      </c>
      <c r="E269" s="1">
        <v>100</v>
      </c>
      <c r="F269" s="117">
        <f>IF('Berechnung &amp; Tabellen'!C50&lt;2171,'Berechnung &amp; Tabellen'!C50,0)+IF(AND('Berechnung &amp; Tabellen'!C50&gt;2170,'Berechnung &amp; Tabellen'!C50&lt;2471),'Berechnung &amp; Tabellen'!C50-300,0)+IF('Berechnung &amp; Tabellen'!C50&gt;2470,2170,0)</f>
        <v>1100</v>
      </c>
      <c r="H269" s="2464">
        <f t="shared" si="91"/>
        <v>0.11</v>
      </c>
      <c r="I269" s="2464"/>
      <c r="J269" s="2465">
        <f t="shared" si="89"/>
        <v>0</v>
      </c>
      <c r="K269" s="2465">
        <f t="shared" si="90"/>
        <v>0</v>
      </c>
      <c r="L269" s="116" t="s">
        <v>28399</v>
      </c>
      <c r="N269" s="117" t="s">
        <v>298</v>
      </c>
      <c r="O269" s="117"/>
      <c r="P269" s="109"/>
      <c r="Q269" s="2452"/>
      <c r="R269" s="2509" t="str">
        <f t="shared" si="88"/>
        <v>0202024</v>
      </c>
      <c r="S269" s="2510">
        <f>D269*F269/1000</f>
        <v>1.1000000000000001</v>
      </c>
      <c r="T269" s="2535" t="s">
        <v>31260</v>
      </c>
      <c r="V269" s="1">
        <v>1</v>
      </c>
      <c r="AE269" s="1">
        <v>1</v>
      </c>
    </row>
    <row r="270" spans="1:36" ht="18" customHeight="1" x14ac:dyDescent="0.2">
      <c r="B270" s="1577" t="s">
        <v>29080</v>
      </c>
      <c r="C270" s="1578" t="s">
        <v>434</v>
      </c>
      <c r="D270" s="824">
        <f>IF(F270&gt;0,1,0)</f>
        <v>0</v>
      </c>
      <c r="E270" s="1">
        <v>100</v>
      </c>
      <c r="F270" s="117">
        <f>IF(F269&lt;'Berechnung &amp; Tabellen'!C50,'Berechnung &amp; Tabellen'!C50-F269,0)</f>
        <v>0</v>
      </c>
      <c r="H270" s="2464">
        <f t="shared" ref="H270:H273" si="92">E270/1000*F270/1000</f>
        <v>0</v>
      </c>
      <c r="I270" s="2464"/>
      <c r="J270" s="2465">
        <f t="shared" ref="J270:J273" si="93">G270*8*H270</f>
        <v>0</v>
      </c>
      <c r="K270" s="2465">
        <f t="shared" ref="K270:K273" si="94">D270*J270</f>
        <v>0</v>
      </c>
      <c r="L270" s="116" t="s">
        <v>28399</v>
      </c>
      <c r="N270" s="117" t="s">
        <v>298</v>
      </c>
      <c r="O270" s="117"/>
      <c r="P270" s="109"/>
      <c r="Q270" s="2452"/>
      <c r="R270" s="2509" t="str">
        <f t="shared" ref="R270:R273" si="95">C270</f>
        <v>0202024</v>
      </c>
      <c r="S270" s="2510">
        <f t="shared" ref="S270:S273" si="96">D270*F270/1000</f>
        <v>0</v>
      </c>
      <c r="T270" s="2535" t="s">
        <v>31260</v>
      </c>
      <c r="V270" s="1">
        <v>1</v>
      </c>
      <c r="AE270" s="1">
        <v>1</v>
      </c>
    </row>
    <row r="271" spans="1:36" ht="18" customHeight="1" x14ac:dyDescent="0.2">
      <c r="B271" s="1577" t="s">
        <v>29080</v>
      </c>
      <c r="C271" s="1578" t="s">
        <v>434</v>
      </c>
      <c r="D271" s="824">
        <v>1</v>
      </c>
      <c r="E271" s="1">
        <v>100</v>
      </c>
      <c r="F271" s="117">
        <f>IF('Berechnung &amp; Tabellen'!C51&lt;2171,'Berechnung &amp; Tabellen'!C51,0)+IF(AND('Berechnung &amp; Tabellen'!C51&gt;2170,'Berechnung &amp; Tabellen'!C51&lt;2471),'Berechnung &amp; Tabellen'!C51-300,0)+IF('Berechnung &amp; Tabellen'!C51&gt;2470,2170,0)</f>
        <v>550</v>
      </c>
      <c r="H271" s="2464">
        <f t="shared" si="92"/>
        <v>5.5E-2</v>
      </c>
      <c r="I271" s="2464"/>
      <c r="J271" s="2465">
        <f t="shared" si="93"/>
        <v>0</v>
      </c>
      <c r="K271" s="2465">
        <f t="shared" si="94"/>
        <v>0</v>
      </c>
      <c r="L271" s="116" t="s">
        <v>28399</v>
      </c>
      <c r="N271" s="200" t="s">
        <v>31283</v>
      </c>
      <c r="O271" s="117"/>
      <c r="P271" s="109"/>
      <c r="Q271" s="2452"/>
      <c r="R271" s="2509" t="str">
        <f t="shared" si="95"/>
        <v>0202024</v>
      </c>
      <c r="S271" s="2510">
        <f t="shared" si="96"/>
        <v>0.55000000000000004</v>
      </c>
      <c r="T271" s="2535" t="s">
        <v>31260</v>
      </c>
      <c r="V271" s="1">
        <v>1</v>
      </c>
      <c r="AE271" s="1">
        <v>1</v>
      </c>
    </row>
    <row r="272" spans="1:36" ht="18" customHeight="1" x14ac:dyDescent="0.2">
      <c r="B272" s="1577" t="s">
        <v>29080</v>
      </c>
      <c r="C272" s="1578" t="s">
        <v>434</v>
      </c>
      <c r="D272" s="824">
        <f>IF(F272&gt;0,1,0)</f>
        <v>0</v>
      </c>
      <c r="E272" s="1">
        <v>100</v>
      </c>
      <c r="F272" s="117">
        <f>IF(F271&lt;'Berechnung &amp; Tabellen'!C51,'Berechnung &amp; Tabellen'!C51-F271,0)</f>
        <v>0</v>
      </c>
      <c r="H272" s="2464">
        <f t="shared" si="92"/>
        <v>0</v>
      </c>
      <c r="I272" s="2464"/>
      <c r="J272" s="2465">
        <f t="shared" si="93"/>
        <v>0</v>
      </c>
      <c r="K272" s="2465">
        <f t="shared" si="94"/>
        <v>0</v>
      </c>
      <c r="L272" s="116" t="s">
        <v>28399</v>
      </c>
      <c r="N272" s="200" t="s">
        <v>31283</v>
      </c>
      <c r="O272" s="117"/>
      <c r="P272" s="109"/>
      <c r="Q272" s="2452"/>
      <c r="R272" s="2509" t="str">
        <f t="shared" si="95"/>
        <v>0202024</v>
      </c>
      <c r="S272" s="2510">
        <f t="shared" si="96"/>
        <v>0</v>
      </c>
      <c r="T272" s="2535" t="s">
        <v>31260</v>
      </c>
      <c r="V272" s="1">
        <v>1</v>
      </c>
      <c r="AE272" s="1">
        <v>1</v>
      </c>
    </row>
    <row r="273" spans="2:31" ht="18" customHeight="1" x14ac:dyDescent="0.2">
      <c r="B273" s="1577" t="s">
        <v>29080</v>
      </c>
      <c r="C273" s="1578" t="s">
        <v>434</v>
      </c>
      <c r="D273" s="824">
        <v>1</v>
      </c>
      <c r="E273" s="1">
        <v>100</v>
      </c>
      <c r="F273" s="117">
        <f>IF('Berechnung &amp; Tabellen'!C51&lt;2171,'Berechnung &amp; Tabellen'!C51,0)+IF(AND('Berechnung &amp; Tabellen'!C51&gt;2170,'Berechnung &amp; Tabellen'!C51&lt;2471),'Berechnung &amp; Tabellen'!C51-300,0)+IF('Berechnung &amp; Tabellen'!C51&gt;2470,2170,0)</f>
        <v>550</v>
      </c>
      <c r="H273" s="2464">
        <f t="shared" si="92"/>
        <v>5.5E-2</v>
      </c>
      <c r="I273" s="2464"/>
      <c r="J273" s="2465">
        <f t="shared" si="93"/>
        <v>0</v>
      </c>
      <c r="K273" s="2465">
        <f t="shared" si="94"/>
        <v>0</v>
      </c>
      <c r="L273" s="116" t="s">
        <v>28399</v>
      </c>
      <c r="N273" s="200" t="s">
        <v>31282</v>
      </c>
      <c r="O273" s="117"/>
      <c r="P273" s="109"/>
      <c r="Q273" s="2452"/>
      <c r="R273" s="2509" t="str">
        <f t="shared" si="95"/>
        <v>0202024</v>
      </c>
      <c r="S273" s="2510">
        <f t="shared" si="96"/>
        <v>0.55000000000000004</v>
      </c>
      <c r="T273" s="2535" t="s">
        <v>31260</v>
      </c>
      <c r="V273" s="1">
        <v>1</v>
      </c>
      <c r="AE273" s="1">
        <v>1</v>
      </c>
    </row>
    <row r="274" spans="2:31" ht="18" customHeight="1" x14ac:dyDescent="0.2">
      <c r="B274" s="1577" t="s">
        <v>29080</v>
      </c>
      <c r="C274" s="1578" t="s">
        <v>434</v>
      </c>
      <c r="D274" s="824">
        <f>IF(F274&gt;0,1,0)</f>
        <v>0</v>
      </c>
      <c r="E274" s="117">
        <v>100</v>
      </c>
      <c r="F274" s="117">
        <f>IF(F273&lt;'Berechnung &amp; Tabellen'!C51,'Berechnung &amp; Tabellen'!C51-F273,0)</f>
        <v>0</v>
      </c>
      <c r="H274" s="2464">
        <f t="shared" si="91"/>
        <v>0</v>
      </c>
      <c r="I274" s="2464"/>
      <c r="J274" s="2465">
        <f>G274*8*H274</f>
        <v>0</v>
      </c>
      <c r="K274" s="2465">
        <f t="shared" si="90"/>
        <v>0</v>
      </c>
      <c r="L274" s="116" t="s">
        <v>28399</v>
      </c>
      <c r="N274" s="200" t="s">
        <v>31282</v>
      </c>
      <c r="O274" s="117"/>
      <c r="P274" s="109"/>
      <c r="Q274" s="2452"/>
      <c r="R274" s="2509" t="str">
        <f t="shared" si="88"/>
        <v>0202024</v>
      </c>
      <c r="S274" s="2510">
        <f>D274*F274/1000</f>
        <v>0</v>
      </c>
      <c r="T274" s="2535" t="s">
        <v>31260</v>
      </c>
      <c r="V274" s="1">
        <v>1</v>
      </c>
      <c r="AE274" s="1">
        <v>1</v>
      </c>
    </row>
    <row r="275" spans="2:31" ht="18" customHeight="1" x14ac:dyDescent="0.2">
      <c r="B275" s="135" t="s">
        <v>30295</v>
      </c>
      <c r="C275" s="665"/>
      <c r="D275" s="117"/>
      <c r="F275" s="1"/>
      <c r="H275" s="2464"/>
      <c r="I275" s="2464"/>
      <c r="J275" s="2465"/>
      <c r="K275" s="2465"/>
      <c r="Q275" s="36"/>
      <c r="R275" s="2504">
        <f t="shared" si="88"/>
        <v>0</v>
      </c>
      <c r="S275" s="2493"/>
      <c r="T275" s="2493"/>
    </row>
    <row r="276" spans="2:31" ht="18" customHeight="1" x14ac:dyDescent="0.2">
      <c r="B276" s="1577" t="s">
        <v>30302</v>
      </c>
      <c r="C276" s="1578" t="s">
        <v>30300</v>
      </c>
      <c r="D276" s="419">
        <f>IF('Berechnung &amp; Tabellen'!$D$58=1,'Berechnung &amp; Tabellen'!U210,0)</f>
        <v>0</v>
      </c>
      <c r="E276" s="117">
        <v>44.22</v>
      </c>
      <c r="F276" s="117">
        <f>'Berechnung &amp; Tabellen'!T210</f>
        <v>550</v>
      </c>
      <c r="G276" s="118">
        <v>0.8</v>
      </c>
      <c r="H276" s="2464">
        <f t="shared" ref="H276:H287" si="97">E276/1000*F276/1000</f>
        <v>2.4320999999999999E-2</v>
      </c>
      <c r="I276" s="2464"/>
      <c r="J276" s="2465">
        <f t="shared" ref="J276:J291" si="98">G276*8*H276</f>
        <v>0.1556544</v>
      </c>
      <c r="K276" s="2465">
        <f t="shared" ref="K276:K287" si="99">D276*J276</f>
        <v>0</v>
      </c>
      <c r="L276" s="116" t="s">
        <v>53</v>
      </c>
      <c r="M276" s="1" t="s">
        <v>28403</v>
      </c>
      <c r="N276" s="117"/>
      <c r="O276" s="117"/>
      <c r="P276" s="109"/>
      <c r="Q276" s="2452"/>
      <c r="R276" s="2500" t="s">
        <v>9043</v>
      </c>
      <c r="S276" s="2499">
        <f t="shared" ref="S276:S295" si="100">D276*(E276/1000)*(F276/1000)</f>
        <v>0</v>
      </c>
      <c r="T276" s="2499" t="s">
        <v>28181</v>
      </c>
      <c r="V276" s="1">
        <v>1</v>
      </c>
      <c r="Y276" s="1">
        <v>1</v>
      </c>
      <c r="AE276" s="1">
        <v>1</v>
      </c>
    </row>
    <row r="277" spans="2:31" ht="18" customHeight="1" x14ac:dyDescent="0.2">
      <c r="B277" s="1577" t="s">
        <v>30303</v>
      </c>
      <c r="C277" s="1578" t="s">
        <v>30300</v>
      </c>
      <c r="D277" s="419">
        <f>IF('Berechnung &amp; Tabellen'!$D$58=1,'Berechnung &amp; Tabellen'!U211,0)</f>
        <v>0</v>
      </c>
      <c r="E277" s="117">
        <v>44.22</v>
      </c>
      <c r="F277" s="117">
        <f>'Berechnung &amp; Tabellen'!T211</f>
        <v>0</v>
      </c>
      <c r="G277" s="118">
        <v>0.8</v>
      </c>
      <c r="H277" s="2464">
        <f t="shared" si="97"/>
        <v>0</v>
      </c>
      <c r="I277" s="2464"/>
      <c r="J277" s="2465">
        <f t="shared" si="98"/>
        <v>0</v>
      </c>
      <c r="K277" s="2465">
        <f t="shared" si="99"/>
        <v>0</v>
      </c>
      <c r="L277" s="116" t="s">
        <v>53</v>
      </c>
      <c r="M277" s="1" t="s">
        <v>28403</v>
      </c>
      <c r="N277" s="117"/>
      <c r="O277" s="117"/>
      <c r="P277" s="109"/>
      <c r="Q277" s="2452"/>
      <c r="R277" s="2500" t="s">
        <v>9043</v>
      </c>
      <c r="S277" s="2499">
        <f t="shared" si="100"/>
        <v>0</v>
      </c>
      <c r="T277" s="2499" t="s">
        <v>28181</v>
      </c>
      <c r="V277" s="1">
        <v>1</v>
      </c>
      <c r="Y277" s="1">
        <v>1</v>
      </c>
      <c r="AE277" s="1">
        <v>1</v>
      </c>
    </row>
    <row r="278" spans="2:31" ht="18" customHeight="1" x14ac:dyDescent="0.2">
      <c r="B278" s="1577" t="s">
        <v>30304</v>
      </c>
      <c r="C278" s="1578" t="s">
        <v>30300</v>
      </c>
      <c r="D278" s="419">
        <f>IF('Berechnung &amp; Tabellen'!$D$58=1,'Berechnung &amp; Tabellen'!U212,0)</f>
        <v>0</v>
      </c>
      <c r="E278" s="117">
        <v>44.22</v>
      </c>
      <c r="F278" s="117">
        <f>'Berechnung &amp; Tabellen'!T212</f>
        <v>0</v>
      </c>
      <c r="G278" s="118">
        <v>0.8</v>
      </c>
      <c r="H278" s="2464">
        <f t="shared" si="97"/>
        <v>0</v>
      </c>
      <c r="I278" s="2464"/>
      <c r="J278" s="2465">
        <f t="shared" si="98"/>
        <v>0</v>
      </c>
      <c r="K278" s="2465">
        <f t="shared" si="99"/>
        <v>0</v>
      </c>
      <c r="L278" s="116" t="s">
        <v>53</v>
      </c>
      <c r="M278" s="1" t="s">
        <v>28403</v>
      </c>
      <c r="N278" s="117"/>
      <c r="O278" s="117"/>
      <c r="P278" s="109"/>
      <c r="Q278" s="2452"/>
      <c r="R278" s="2500" t="s">
        <v>9043</v>
      </c>
      <c r="S278" s="2499">
        <f t="shared" si="100"/>
        <v>0</v>
      </c>
      <c r="T278" s="2499" t="s">
        <v>28181</v>
      </c>
      <c r="V278" s="1">
        <v>1</v>
      </c>
      <c r="Y278" s="1">
        <v>1</v>
      </c>
      <c r="AE278" s="1">
        <v>1</v>
      </c>
    </row>
    <row r="279" spans="2:31" ht="18" customHeight="1" x14ac:dyDescent="0.2">
      <c r="B279" s="1577" t="s">
        <v>30305</v>
      </c>
      <c r="C279" s="1578" t="s">
        <v>30300</v>
      </c>
      <c r="D279" s="419">
        <f>IF('Berechnung &amp; Tabellen'!$D$58=1,'Berechnung &amp; Tabellen'!U213,0)</f>
        <v>0</v>
      </c>
      <c r="E279" s="117">
        <v>44.22</v>
      </c>
      <c r="F279" s="117">
        <f>'Berechnung &amp; Tabellen'!T213</f>
        <v>0</v>
      </c>
      <c r="G279" s="118">
        <v>0.8</v>
      </c>
      <c r="H279" s="2464">
        <f t="shared" si="97"/>
        <v>0</v>
      </c>
      <c r="I279" s="2464"/>
      <c r="J279" s="2465">
        <f t="shared" si="98"/>
        <v>0</v>
      </c>
      <c r="K279" s="2465">
        <f t="shared" si="99"/>
        <v>0</v>
      </c>
      <c r="L279" s="116" t="s">
        <v>53</v>
      </c>
      <c r="M279" s="1" t="s">
        <v>28403</v>
      </c>
      <c r="N279" s="117"/>
      <c r="O279" s="117"/>
      <c r="P279" s="109"/>
      <c r="Q279" s="2452"/>
      <c r="R279" s="2500" t="s">
        <v>9043</v>
      </c>
      <c r="S279" s="2499">
        <f t="shared" si="100"/>
        <v>0</v>
      </c>
      <c r="T279" s="2499" t="s">
        <v>28181</v>
      </c>
      <c r="V279" s="1">
        <v>1</v>
      </c>
      <c r="Y279" s="1">
        <v>1</v>
      </c>
      <c r="AE279" s="1">
        <v>1</v>
      </c>
    </row>
    <row r="280" spans="2:31" ht="18" customHeight="1" x14ac:dyDescent="0.2">
      <c r="B280" s="1577" t="s">
        <v>30306</v>
      </c>
      <c r="C280" s="1578" t="s">
        <v>30300</v>
      </c>
      <c r="D280" s="419">
        <f>IF('Berechnung &amp; Tabellen'!$D$58=1,'Berechnung &amp; Tabellen'!U214,0)</f>
        <v>0</v>
      </c>
      <c r="E280" s="117">
        <v>44.22</v>
      </c>
      <c r="F280" s="117">
        <f>'Berechnung &amp; Tabellen'!T214</f>
        <v>0</v>
      </c>
      <c r="G280" s="118">
        <v>0.8</v>
      </c>
      <c r="H280" s="2464">
        <f t="shared" si="97"/>
        <v>0</v>
      </c>
      <c r="I280" s="2464"/>
      <c r="J280" s="2465">
        <f t="shared" si="98"/>
        <v>0</v>
      </c>
      <c r="K280" s="2465">
        <f t="shared" si="99"/>
        <v>0</v>
      </c>
      <c r="L280" s="116" t="s">
        <v>53</v>
      </c>
      <c r="M280" s="1" t="s">
        <v>28403</v>
      </c>
      <c r="N280" s="117"/>
      <c r="O280" s="117"/>
      <c r="P280" s="109"/>
      <c r="Q280" s="2452"/>
      <c r="R280" s="2500" t="s">
        <v>9043</v>
      </c>
      <c r="S280" s="2499">
        <f t="shared" si="100"/>
        <v>0</v>
      </c>
      <c r="T280" s="2499" t="s">
        <v>28181</v>
      </c>
      <c r="V280" s="1">
        <v>1</v>
      </c>
      <c r="Y280" s="1">
        <v>1</v>
      </c>
      <c r="AE280" s="1">
        <v>1</v>
      </c>
    </row>
    <row r="281" spans="2:31" ht="18" customHeight="1" x14ac:dyDescent="0.2">
      <c r="B281" s="1577" t="s">
        <v>30307</v>
      </c>
      <c r="C281" s="1578" t="s">
        <v>30300</v>
      </c>
      <c r="D281" s="419">
        <f>IF('Berechnung &amp; Tabellen'!$D$58=1,'Berechnung &amp; Tabellen'!U215,0)</f>
        <v>0</v>
      </c>
      <c r="E281" s="117">
        <v>44.22</v>
      </c>
      <c r="F281" s="117">
        <f>'Berechnung &amp; Tabellen'!T215</f>
        <v>900</v>
      </c>
      <c r="G281" s="118">
        <v>0.8</v>
      </c>
      <c r="H281" s="2464">
        <f t="shared" si="97"/>
        <v>3.9797999999999993E-2</v>
      </c>
      <c r="I281" s="2464"/>
      <c r="J281" s="2465">
        <f t="shared" si="98"/>
        <v>0.25470719999999997</v>
      </c>
      <c r="K281" s="2465">
        <f t="shared" si="99"/>
        <v>0</v>
      </c>
      <c r="L281" s="116" t="s">
        <v>53</v>
      </c>
      <c r="M281" s="1" t="s">
        <v>28403</v>
      </c>
      <c r="N281" s="117"/>
      <c r="O281" s="117"/>
      <c r="P281" s="109"/>
      <c r="Q281" s="2452"/>
      <c r="R281" s="2500" t="s">
        <v>9043</v>
      </c>
      <c r="S281" s="2499">
        <f t="shared" si="100"/>
        <v>0</v>
      </c>
      <c r="T281" s="2499" t="s">
        <v>28181</v>
      </c>
      <c r="V281" s="1">
        <v>1</v>
      </c>
      <c r="Y281" s="1">
        <v>1</v>
      </c>
      <c r="AE281" s="1">
        <v>1</v>
      </c>
    </row>
    <row r="282" spans="2:31" ht="18" customHeight="1" x14ac:dyDescent="0.2">
      <c r="B282" s="1577" t="s">
        <v>30308</v>
      </c>
      <c r="C282" s="1578" t="s">
        <v>30300</v>
      </c>
      <c r="D282" s="419">
        <f>IF('Berechnung &amp; Tabellen'!$D$58=1,'Berechnung &amp; Tabellen'!U216,0)</f>
        <v>0</v>
      </c>
      <c r="E282" s="117">
        <v>44.22</v>
      </c>
      <c r="F282" s="117">
        <f>'Berechnung &amp; Tabellen'!T216</f>
        <v>0</v>
      </c>
      <c r="G282" s="118">
        <v>0.8</v>
      </c>
      <c r="H282" s="2464">
        <f t="shared" si="97"/>
        <v>0</v>
      </c>
      <c r="I282" s="2464"/>
      <c r="J282" s="2465">
        <f t="shared" si="98"/>
        <v>0</v>
      </c>
      <c r="K282" s="2465">
        <f t="shared" si="99"/>
        <v>0</v>
      </c>
      <c r="L282" s="116" t="s">
        <v>53</v>
      </c>
      <c r="M282" s="1" t="s">
        <v>28403</v>
      </c>
      <c r="N282" s="117"/>
      <c r="O282" s="117"/>
      <c r="P282" s="109"/>
      <c r="Q282" s="2452"/>
      <c r="R282" s="2500" t="s">
        <v>9043</v>
      </c>
      <c r="S282" s="2499">
        <f t="shared" si="100"/>
        <v>0</v>
      </c>
      <c r="T282" s="2499" t="s">
        <v>28181</v>
      </c>
      <c r="V282" s="1">
        <v>1</v>
      </c>
      <c r="Y282" s="1">
        <v>1</v>
      </c>
      <c r="AE282" s="1">
        <v>1</v>
      </c>
    </row>
    <row r="283" spans="2:31" ht="18" customHeight="1" x14ac:dyDescent="0.2">
      <c r="B283" s="1577" t="s">
        <v>30309</v>
      </c>
      <c r="C283" s="1578" t="s">
        <v>30300</v>
      </c>
      <c r="D283" s="419">
        <f>IF('Berechnung &amp; Tabellen'!$D$58=1,'Berechnung &amp; Tabellen'!U217,0)</f>
        <v>0</v>
      </c>
      <c r="E283" s="117">
        <v>44.22</v>
      </c>
      <c r="F283" s="117">
        <f>'Berechnung &amp; Tabellen'!T217</f>
        <v>0</v>
      </c>
      <c r="G283" s="118">
        <v>0.8</v>
      </c>
      <c r="H283" s="2464">
        <f t="shared" si="97"/>
        <v>0</v>
      </c>
      <c r="I283" s="2464"/>
      <c r="J283" s="2465">
        <f t="shared" si="98"/>
        <v>0</v>
      </c>
      <c r="K283" s="2465">
        <f t="shared" si="99"/>
        <v>0</v>
      </c>
      <c r="L283" s="116" t="s">
        <v>53</v>
      </c>
      <c r="M283" s="1" t="s">
        <v>28403</v>
      </c>
      <c r="N283" s="117"/>
      <c r="O283" s="117"/>
      <c r="P283" s="109"/>
      <c r="Q283" s="2452"/>
      <c r="R283" s="2500" t="s">
        <v>9043</v>
      </c>
      <c r="S283" s="2499">
        <f t="shared" si="100"/>
        <v>0</v>
      </c>
      <c r="T283" s="2499" t="s">
        <v>28181</v>
      </c>
      <c r="V283" s="1">
        <v>1</v>
      </c>
      <c r="Y283" s="1">
        <v>1</v>
      </c>
      <c r="AE283" s="1">
        <v>1</v>
      </c>
    </row>
    <row r="284" spans="2:31" ht="18" customHeight="1" x14ac:dyDescent="0.2">
      <c r="B284" s="1577" t="s">
        <v>30310</v>
      </c>
      <c r="C284" s="1578" t="s">
        <v>30300</v>
      </c>
      <c r="D284" s="419">
        <f>IF('Berechnung &amp; Tabellen'!$D$58=1,'Berechnung &amp; Tabellen'!U218,0)</f>
        <v>0</v>
      </c>
      <c r="E284" s="117">
        <v>44.22</v>
      </c>
      <c r="F284" s="117">
        <f>'Berechnung &amp; Tabellen'!T218</f>
        <v>0</v>
      </c>
      <c r="G284" s="118">
        <v>0.8</v>
      </c>
      <c r="H284" s="2464">
        <f t="shared" si="97"/>
        <v>0</v>
      </c>
      <c r="I284" s="2464"/>
      <c r="J284" s="2465">
        <f t="shared" si="98"/>
        <v>0</v>
      </c>
      <c r="K284" s="2465">
        <f t="shared" si="99"/>
        <v>0</v>
      </c>
      <c r="L284" s="116" t="s">
        <v>53</v>
      </c>
      <c r="M284" s="1" t="s">
        <v>28403</v>
      </c>
      <c r="N284" s="117"/>
      <c r="O284" s="117"/>
      <c r="P284" s="109"/>
      <c r="Q284" s="2452"/>
      <c r="R284" s="2500" t="s">
        <v>9043</v>
      </c>
      <c r="S284" s="2499">
        <f t="shared" si="100"/>
        <v>0</v>
      </c>
      <c r="T284" s="2499" t="s">
        <v>28181</v>
      </c>
      <c r="V284" s="1">
        <v>1</v>
      </c>
      <c r="Y284" s="1">
        <v>1</v>
      </c>
      <c r="AE284" s="1">
        <v>1</v>
      </c>
    </row>
    <row r="285" spans="2:31" ht="18" customHeight="1" x14ac:dyDescent="0.2">
      <c r="B285" s="1577" t="s">
        <v>30311</v>
      </c>
      <c r="C285" s="1578" t="s">
        <v>30300</v>
      </c>
      <c r="D285" s="419">
        <f>IF('Berechnung &amp; Tabellen'!$D$58=1,'Berechnung &amp; Tabellen'!U219,0)</f>
        <v>0</v>
      </c>
      <c r="E285" s="117">
        <v>44.22</v>
      </c>
      <c r="F285" s="117">
        <f>'Berechnung &amp; Tabellen'!T219</f>
        <v>0</v>
      </c>
      <c r="G285" s="118">
        <v>0.8</v>
      </c>
      <c r="H285" s="2464">
        <f t="shared" si="97"/>
        <v>0</v>
      </c>
      <c r="I285" s="2464"/>
      <c r="J285" s="2465">
        <f t="shared" si="98"/>
        <v>0</v>
      </c>
      <c r="K285" s="2465">
        <f t="shared" si="99"/>
        <v>0</v>
      </c>
      <c r="L285" s="116" t="s">
        <v>53</v>
      </c>
      <c r="M285" s="1" t="s">
        <v>28403</v>
      </c>
      <c r="N285" s="117"/>
      <c r="O285" s="117"/>
      <c r="P285" s="109"/>
      <c r="Q285" s="2452"/>
      <c r="R285" s="2500" t="s">
        <v>9043</v>
      </c>
      <c r="S285" s="2499">
        <f t="shared" si="100"/>
        <v>0</v>
      </c>
      <c r="T285" s="2499" t="s">
        <v>28181</v>
      </c>
      <c r="V285" s="1">
        <v>1</v>
      </c>
      <c r="Y285" s="1">
        <v>1</v>
      </c>
      <c r="AE285" s="1">
        <v>1</v>
      </c>
    </row>
    <row r="286" spans="2:31" ht="18" customHeight="1" x14ac:dyDescent="0.2">
      <c r="B286" s="1577" t="s">
        <v>30314</v>
      </c>
      <c r="C286" s="1578" t="s">
        <v>30300</v>
      </c>
      <c r="D286" s="419">
        <f>IF('Berechnung &amp; Tabellen'!$D$58=1,'Berechnung &amp; Tabellen'!U220,0)</f>
        <v>0</v>
      </c>
      <c r="E286" s="117">
        <v>44.22</v>
      </c>
      <c r="F286" s="117">
        <f>'Berechnung &amp; Tabellen'!T220</f>
        <v>300</v>
      </c>
      <c r="G286" s="118">
        <v>0.8</v>
      </c>
      <c r="H286" s="2464">
        <f t="shared" si="97"/>
        <v>1.3265999999999998E-2</v>
      </c>
      <c r="I286" s="2464"/>
      <c r="J286" s="2465">
        <f t="shared" si="98"/>
        <v>8.4902399999999989E-2</v>
      </c>
      <c r="K286" s="2465">
        <f t="shared" si="99"/>
        <v>0</v>
      </c>
      <c r="L286" s="116" t="s">
        <v>53</v>
      </c>
      <c r="M286" s="1" t="s">
        <v>28403</v>
      </c>
      <c r="N286" s="117"/>
      <c r="O286" s="117"/>
      <c r="P286" s="109"/>
      <c r="Q286" s="2452"/>
      <c r="R286" s="2500" t="s">
        <v>9043</v>
      </c>
      <c r="S286" s="2499">
        <f t="shared" si="100"/>
        <v>0</v>
      </c>
      <c r="T286" s="2499" t="s">
        <v>28181</v>
      </c>
      <c r="V286" s="1">
        <v>1</v>
      </c>
      <c r="Y286" s="1">
        <v>1</v>
      </c>
      <c r="AE286" s="1">
        <v>1</v>
      </c>
    </row>
    <row r="287" spans="2:31" ht="18" customHeight="1" x14ac:dyDescent="0.2">
      <c r="B287" s="1577" t="s">
        <v>30312</v>
      </c>
      <c r="C287" s="1578" t="s">
        <v>30300</v>
      </c>
      <c r="D287" s="419">
        <f>IF('Berechnung &amp; Tabellen'!$D$58=1,'Berechnung &amp; Tabellen'!U221,0)</f>
        <v>0</v>
      </c>
      <c r="E287" s="117">
        <v>44.22</v>
      </c>
      <c r="F287" s="117">
        <f>'Berechnung &amp; Tabellen'!T221</f>
        <v>800</v>
      </c>
      <c r="G287" s="118">
        <v>0.8</v>
      </c>
      <c r="H287" s="2464">
        <f t="shared" si="97"/>
        <v>3.5375999999999998E-2</v>
      </c>
      <c r="I287" s="2464"/>
      <c r="J287" s="2465">
        <f t="shared" si="98"/>
        <v>0.22640640000000001</v>
      </c>
      <c r="K287" s="2465">
        <f t="shared" si="99"/>
        <v>0</v>
      </c>
      <c r="L287" s="116" t="s">
        <v>53</v>
      </c>
      <c r="M287" s="1" t="s">
        <v>28403</v>
      </c>
      <c r="N287" s="117"/>
      <c r="O287" s="117"/>
      <c r="P287" s="109"/>
      <c r="Q287" s="2452"/>
      <c r="R287" s="2500" t="s">
        <v>9043</v>
      </c>
      <c r="S287" s="2499">
        <f t="shared" si="100"/>
        <v>0</v>
      </c>
      <c r="T287" s="2499" t="s">
        <v>28181</v>
      </c>
      <c r="V287" s="1">
        <v>1</v>
      </c>
      <c r="Y287" s="1">
        <v>1</v>
      </c>
      <c r="AE287" s="1">
        <v>1</v>
      </c>
    </row>
    <row r="288" spans="2:31" ht="18" customHeight="1" x14ac:dyDescent="0.2">
      <c r="B288" s="1577" t="s">
        <v>30313</v>
      </c>
      <c r="C288" s="1578" t="s">
        <v>30300</v>
      </c>
      <c r="D288" s="419">
        <f>IF('Berechnung &amp; Tabellen'!$D$58=1,'Berechnung &amp; Tabellen'!U222,0)</f>
        <v>0</v>
      </c>
      <c r="E288" s="117">
        <v>44.22</v>
      </c>
      <c r="F288" s="117">
        <f>'Berechnung &amp; Tabellen'!T222</f>
        <v>0</v>
      </c>
      <c r="G288" s="118">
        <v>0.8</v>
      </c>
      <c r="H288" s="2464">
        <f t="shared" ref="H288:H295" si="101">E288/1000*F288/1000</f>
        <v>0</v>
      </c>
      <c r="I288" s="2464"/>
      <c r="J288" s="2465">
        <f t="shared" si="98"/>
        <v>0</v>
      </c>
      <c r="K288" s="2465">
        <f t="shared" ref="K288:K295" si="102">D288*J288</f>
        <v>0</v>
      </c>
      <c r="L288" s="116" t="s">
        <v>53</v>
      </c>
      <c r="M288" s="1" t="s">
        <v>28403</v>
      </c>
      <c r="N288" s="117"/>
      <c r="O288" s="117"/>
      <c r="P288" s="109"/>
      <c r="Q288" s="2452"/>
      <c r="R288" s="2500" t="s">
        <v>9043</v>
      </c>
      <c r="S288" s="2499">
        <f t="shared" si="100"/>
        <v>0</v>
      </c>
      <c r="T288" s="2499" t="s">
        <v>28181</v>
      </c>
      <c r="V288" s="1">
        <v>1</v>
      </c>
      <c r="Y288" s="1">
        <v>1</v>
      </c>
      <c r="AE288" s="1">
        <v>1</v>
      </c>
    </row>
    <row r="289" spans="1:35" ht="18" customHeight="1" x14ac:dyDescent="0.2">
      <c r="B289" s="1577" t="s">
        <v>30318</v>
      </c>
      <c r="C289" s="1578" t="s">
        <v>30300</v>
      </c>
      <c r="D289" s="419">
        <f>IF('Berechnung &amp; Tabellen'!$D$58=1,'Berechnung &amp; Tabellen'!U223,0)</f>
        <v>0</v>
      </c>
      <c r="E289" s="117">
        <v>44.22</v>
      </c>
      <c r="F289" s="117">
        <f>'Berechnung &amp; Tabellen'!T223</f>
        <v>0</v>
      </c>
      <c r="G289" s="118">
        <v>0.8</v>
      </c>
      <c r="H289" s="2464">
        <f t="shared" si="101"/>
        <v>0</v>
      </c>
      <c r="I289" s="2464"/>
      <c r="J289" s="2465">
        <f t="shared" si="98"/>
        <v>0</v>
      </c>
      <c r="K289" s="2465">
        <f t="shared" si="102"/>
        <v>0</v>
      </c>
      <c r="L289" s="116" t="s">
        <v>53</v>
      </c>
      <c r="M289" s="1" t="s">
        <v>28403</v>
      </c>
      <c r="N289" s="117"/>
      <c r="O289" s="117"/>
      <c r="P289" s="109"/>
      <c r="Q289" s="2452"/>
      <c r="R289" s="2500" t="s">
        <v>9043</v>
      </c>
      <c r="S289" s="2499">
        <f t="shared" si="100"/>
        <v>0</v>
      </c>
      <c r="T289" s="2499" t="s">
        <v>28181</v>
      </c>
      <c r="V289" s="1">
        <v>1</v>
      </c>
      <c r="Y289" s="1">
        <v>1</v>
      </c>
      <c r="AE289" s="1">
        <v>1</v>
      </c>
    </row>
    <row r="290" spans="1:35" ht="18" customHeight="1" x14ac:dyDescent="0.2">
      <c r="B290" s="1577" t="s">
        <v>30319</v>
      </c>
      <c r="C290" s="1578" t="s">
        <v>30300</v>
      </c>
      <c r="D290" s="419">
        <f>IF('Berechnung &amp; Tabellen'!$D$58=1,'Berechnung &amp; Tabellen'!U224,0)</f>
        <v>0</v>
      </c>
      <c r="E290" s="117">
        <v>44.22</v>
      </c>
      <c r="F290" s="117">
        <f>'Berechnung &amp; Tabellen'!T224</f>
        <v>0</v>
      </c>
      <c r="G290" s="118">
        <v>0.8</v>
      </c>
      <c r="H290" s="2464">
        <f t="shared" si="101"/>
        <v>0</v>
      </c>
      <c r="I290" s="2464"/>
      <c r="J290" s="2465">
        <f t="shared" si="98"/>
        <v>0</v>
      </c>
      <c r="K290" s="2465">
        <f t="shared" si="102"/>
        <v>0</v>
      </c>
      <c r="L290" s="116" t="s">
        <v>53</v>
      </c>
      <c r="M290" s="1" t="s">
        <v>28403</v>
      </c>
      <c r="N290" s="117"/>
      <c r="O290" s="117"/>
      <c r="P290" s="109"/>
      <c r="Q290" s="2452"/>
      <c r="R290" s="2500" t="s">
        <v>9043</v>
      </c>
      <c r="S290" s="2499">
        <f t="shared" si="100"/>
        <v>0</v>
      </c>
      <c r="T290" s="2499" t="s">
        <v>28181</v>
      </c>
      <c r="V290" s="1">
        <v>1</v>
      </c>
      <c r="Y290" s="1">
        <v>1</v>
      </c>
      <c r="AE290" s="1">
        <v>1</v>
      </c>
    </row>
    <row r="291" spans="1:35" ht="18" customHeight="1" x14ac:dyDescent="0.2">
      <c r="B291" s="1577" t="s">
        <v>30320</v>
      </c>
      <c r="C291" s="1578" t="s">
        <v>30300</v>
      </c>
      <c r="D291" s="419">
        <f>IF('Berechnung &amp; Tabellen'!$D$58=1,'Berechnung &amp; Tabellen'!U225,0)</f>
        <v>0</v>
      </c>
      <c r="E291" s="117">
        <v>44.22</v>
      </c>
      <c r="F291" s="117">
        <f>'Berechnung &amp; Tabellen'!T225</f>
        <v>550</v>
      </c>
      <c r="G291" s="118">
        <v>0.8</v>
      </c>
      <c r="H291" s="2464">
        <f t="shared" si="101"/>
        <v>2.4320999999999999E-2</v>
      </c>
      <c r="I291" s="2464"/>
      <c r="J291" s="2465">
        <f t="shared" si="98"/>
        <v>0.1556544</v>
      </c>
      <c r="K291" s="2465">
        <f t="shared" si="102"/>
        <v>0</v>
      </c>
      <c r="L291" s="116" t="s">
        <v>53</v>
      </c>
      <c r="M291" s="1" t="s">
        <v>28403</v>
      </c>
      <c r="N291" s="117"/>
      <c r="O291" s="117"/>
      <c r="P291" s="109"/>
      <c r="Q291" s="2452"/>
      <c r="R291" s="2500" t="s">
        <v>9043</v>
      </c>
      <c r="S291" s="2499">
        <f t="shared" si="100"/>
        <v>0</v>
      </c>
      <c r="T291" s="2499" t="s">
        <v>28181</v>
      </c>
      <c r="V291" s="1">
        <v>1</v>
      </c>
      <c r="Y291" s="1">
        <v>1</v>
      </c>
      <c r="AE291" s="1">
        <v>1</v>
      </c>
    </row>
    <row r="292" spans="1:35" ht="18" customHeight="1" x14ac:dyDescent="0.2">
      <c r="B292" s="1577" t="s">
        <v>30571</v>
      </c>
      <c r="C292" s="1578" t="s">
        <v>30300</v>
      </c>
      <c r="D292" s="419">
        <f>IF('Berechnung &amp; Tabellen'!$D$58=1,'Berechnung &amp; Tabellen'!U226,0)</f>
        <v>0</v>
      </c>
      <c r="E292" s="117">
        <v>44.22</v>
      </c>
      <c r="F292" s="117">
        <f>'Berechnung &amp; Tabellen'!T226</f>
        <v>0</v>
      </c>
      <c r="G292" s="118">
        <v>0.8</v>
      </c>
      <c r="H292" s="2464">
        <f t="shared" si="101"/>
        <v>0</v>
      </c>
      <c r="I292" s="2464"/>
      <c r="J292" s="2465">
        <f t="shared" ref="J292:J295" si="103">G292*8*H292</f>
        <v>0</v>
      </c>
      <c r="K292" s="2465">
        <f t="shared" si="102"/>
        <v>0</v>
      </c>
      <c r="L292" s="116" t="s">
        <v>53</v>
      </c>
      <c r="M292" s="1" t="s">
        <v>28403</v>
      </c>
      <c r="N292" s="117"/>
      <c r="O292" s="117"/>
      <c r="P292" s="109"/>
      <c r="Q292" s="2452"/>
      <c r="R292" s="2500" t="s">
        <v>9043</v>
      </c>
      <c r="S292" s="2499">
        <f t="shared" si="100"/>
        <v>0</v>
      </c>
      <c r="T292" s="2499" t="s">
        <v>28181</v>
      </c>
      <c r="V292" s="1">
        <v>1</v>
      </c>
      <c r="Y292" s="1">
        <v>1</v>
      </c>
      <c r="AE292" s="1">
        <v>1</v>
      </c>
    </row>
    <row r="293" spans="1:35" ht="18" customHeight="1" x14ac:dyDescent="0.2">
      <c r="B293" s="1577" t="s">
        <v>30572</v>
      </c>
      <c r="C293" s="1578" t="s">
        <v>30300</v>
      </c>
      <c r="D293" s="419">
        <f>IF('Berechnung &amp; Tabellen'!$D$58=1,'Berechnung &amp; Tabellen'!U227,0)</f>
        <v>0</v>
      </c>
      <c r="E293" s="117">
        <v>44.22</v>
      </c>
      <c r="F293" s="117">
        <f>'Berechnung &amp; Tabellen'!T227</f>
        <v>0</v>
      </c>
      <c r="G293" s="118">
        <v>0.8</v>
      </c>
      <c r="H293" s="2464">
        <f t="shared" si="101"/>
        <v>0</v>
      </c>
      <c r="I293" s="2464"/>
      <c r="J293" s="2465">
        <f t="shared" si="103"/>
        <v>0</v>
      </c>
      <c r="K293" s="2465">
        <f t="shared" si="102"/>
        <v>0</v>
      </c>
      <c r="L293" s="116" t="s">
        <v>53</v>
      </c>
      <c r="M293" s="1" t="s">
        <v>28403</v>
      </c>
      <c r="N293" s="117"/>
      <c r="O293" s="117"/>
      <c r="P293" s="109"/>
      <c r="Q293" s="2452"/>
      <c r="R293" s="2500" t="s">
        <v>9043</v>
      </c>
      <c r="S293" s="2499">
        <f t="shared" si="100"/>
        <v>0</v>
      </c>
      <c r="T293" s="2499" t="s">
        <v>28181</v>
      </c>
      <c r="V293" s="1">
        <v>1</v>
      </c>
      <c r="Y293" s="1">
        <v>1</v>
      </c>
      <c r="AE293" s="1">
        <v>1</v>
      </c>
    </row>
    <row r="294" spans="1:35" ht="18" customHeight="1" x14ac:dyDescent="0.2">
      <c r="B294" s="1577" t="s">
        <v>30573</v>
      </c>
      <c r="C294" s="1578" t="s">
        <v>30300</v>
      </c>
      <c r="D294" s="419">
        <f>IF('Berechnung &amp; Tabellen'!$D$58=1,'Berechnung &amp; Tabellen'!U228,0)</f>
        <v>0</v>
      </c>
      <c r="E294" s="117">
        <v>44.22</v>
      </c>
      <c r="F294" s="117">
        <f>'Berechnung &amp; Tabellen'!T228</f>
        <v>0</v>
      </c>
      <c r="G294" s="118">
        <v>0.8</v>
      </c>
      <c r="H294" s="2464">
        <f t="shared" si="101"/>
        <v>0</v>
      </c>
      <c r="I294" s="2464"/>
      <c r="J294" s="2465">
        <f t="shared" si="103"/>
        <v>0</v>
      </c>
      <c r="K294" s="2465">
        <f t="shared" si="102"/>
        <v>0</v>
      </c>
      <c r="L294" s="116" t="s">
        <v>53</v>
      </c>
      <c r="M294" s="1" t="s">
        <v>28403</v>
      </c>
      <c r="N294" s="117"/>
      <c r="O294" s="117"/>
      <c r="P294" s="109"/>
      <c r="Q294" s="2452"/>
      <c r="R294" s="2500" t="s">
        <v>9043</v>
      </c>
      <c r="S294" s="2499">
        <f t="shared" si="100"/>
        <v>0</v>
      </c>
      <c r="T294" s="2499" t="s">
        <v>28181</v>
      </c>
      <c r="V294" s="1">
        <v>1</v>
      </c>
      <c r="Y294" s="1">
        <v>1</v>
      </c>
      <c r="AE294" s="1">
        <v>1</v>
      </c>
    </row>
    <row r="295" spans="1:35" ht="18" customHeight="1" x14ac:dyDescent="0.2">
      <c r="B295" s="1577" t="s">
        <v>30574</v>
      </c>
      <c r="C295" s="1578" t="s">
        <v>30300</v>
      </c>
      <c r="D295" s="419">
        <f>IF('Berechnung &amp; Tabellen'!$D$58=1,'Berechnung &amp; Tabellen'!U229,0)</f>
        <v>0</v>
      </c>
      <c r="E295" s="117">
        <v>44.22</v>
      </c>
      <c r="F295" s="117">
        <f>'Berechnung &amp; Tabellen'!T229</f>
        <v>0</v>
      </c>
      <c r="G295" s="118">
        <v>0.8</v>
      </c>
      <c r="H295" s="2464">
        <f t="shared" si="101"/>
        <v>0</v>
      </c>
      <c r="I295" s="2464"/>
      <c r="J295" s="2465">
        <f t="shared" si="103"/>
        <v>0</v>
      </c>
      <c r="K295" s="2465">
        <f t="shared" si="102"/>
        <v>0</v>
      </c>
      <c r="L295" s="116" t="s">
        <v>53</v>
      </c>
      <c r="M295" s="1" t="s">
        <v>28403</v>
      </c>
      <c r="N295" s="117"/>
      <c r="O295" s="117"/>
      <c r="P295" s="109"/>
      <c r="Q295" s="2452"/>
      <c r="R295" s="2500" t="s">
        <v>9043</v>
      </c>
      <c r="S295" s="2499">
        <f t="shared" si="100"/>
        <v>0</v>
      </c>
      <c r="T295" s="2499" t="s">
        <v>28181</v>
      </c>
      <c r="V295" s="1">
        <v>1</v>
      </c>
      <c r="Y295" s="1">
        <v>1</v>
      </c>
      <c r="AE295" s="1">
        <v>1</v>
      </c>
    </row>
    <row r="296" spans="1:35" ht="18" customHeight="1" x14ac:dyDescent="0.2">
      <c r="B296" s="2024" t="s">
        <v>30301</v>
      </c>
      <c r="C296" s="1578"/>
      <c r="D296" s="2025">
        <f>SUM(D276:D295)</f>
        <v>0</v>
      </c>
      <c r="E296" s="117"/>
      <c r="F296" s="117"/>
      <c r="H296" s="2464"/>
      <c r="I296" s="2464"/>
      <c r="J296" s="2465"/>
      <c r="K296" s="2465"/>
      <c r="L296" s="116"/>
      <c r="N296" s="117"/>
      <c r="O296" s="117"/>
      <c r="P296" s="109"/>
      <c r="Q296" s="2452"/>
      <c r="R296" s="2504">
        <f t="shared" ref="R296:R316" si="104">C296</f>
        <v>0</v>
      </c>
      <c r="S296" s="2493"/>
      <c r="T296" s="2493"/>
    </row>
    <row r="297" spans="1:35" ht="18" customHeight="1" x14ac:dyDescent="0.2">
      <c r="B297" s="135" t="s">
        <v>27857</v>
      </c>
      <c r="C297" s="665"/>
      <c r="D297" s="117"/>
      <c r="F297" s="1"/>
      <c r="H297" s="2464"/>
      <c r="I297" s="2464"/>
      <c r="J297" s="2465"/>
      <c r="K297" s="2465"/>
      <c r="Q297" s="36"/>
      <c r="R297" s="2504">
        <f t="shared" si="104"/>
        <v>0</v>
      </c>
      <c r="S297" s="2493"/>
      <c r="T297" s="2493"/>
    </row>
    <row r="298" spans="1:35" ht="18" customHeight="1" x14ac:dyDescent="0.2">
      <c r="B298" s="948" t="s">
        <v>27858</v>
      </c>
      <c r="C298" s="853" t="s">
        <v>434</v>
      </c>
      <c r="D298" s="1">
        <f>'Berechnung &amp; Tabellen'!$D$42</f>
        <v>0</v>
      </c>
      <c r="E298" s="117">
        <f>IF('Berechnung &amp; Tabellen'!D26=1,60,150)</f>
        <v>150</v>
      </c>
      <c r="F298" s="117">
        <f>'Berechnung &amp; Tabellen'!$C$51</f>
        <v>550</v>
      </c>
      <c r="H298" s="2464">
        <f>E298/1000*F298/1000</f>
        <v>8.2500000000000004E-2</v>
      </c>
      <c r="I298" s="2464"/>
      <c r="J298" s="2465">
        <f>G298*8*H298</f>
        <v>0</v>
      </c>
      <c r="K298" s="2465">
        <f>D298*J298</f>
        <v>0</v>
      </c>
      <c r="L298" s="1" t="s">
        <v>28399</v>
      </c>
      <c r="N298" s="1" t="s">
        <v>27863</v>
      </c>
      <c r="O298" s="1">
        <v>67</v>
      </c>
      <c r="P298" s="116" t="s">
        <v>73</v>
      </c>
      <c r="Q298" s="1129"/>
      <c r="R298" s="2494" t="str">
        <f t="shared" si="104"/>
        <v>0202024</v>
      </c>
      <c r="S298" s="2495">
        <f>D298*(E298/1000)*(F298/1000)</f>
        <v>0</v>
      </c>
      <c r="T298" s="2496" t="s">
        <v>28181</v>
      </c>
      <c r="V298" s="1">
        <v>1</v>
      </c>
      <c r="AE298" s="1">
        <v>1</v>
      </c>
    </row>
    <row r="299" spans="1:35" ht="18" customHeight="1" x14ac:dyDescent="0.2">
      <c r="B299" s="948" t="s">
        <v>27859</v>
      </c>
      <c r="C299" s="853" t="s">
        <v>434</v>
      </c>
      <c r="D299" s="1">
        <f>'Berechnung &amp; Tabellen'!$D$42</f>
        <v>0</v>
      </c>
      <c r="E299" s="117">
        <f>IF('Berechnung &amp; Tabellen'!D27=1,60,150)</f>
        <v>150</v>
      </c>
      <c r="F299" s="117">
        <f>'Berechnung &amp; Tabellen'!$C$51</f>
        <v>550</v>
      </c>
      <c r="H299" s="2464">
        <f>E299/1000*F299/1000</f>
        <v>8.2500000000000004E-2</v>
      </c>
      <c r="I299" s="2464"/>
      <c r="J299" s="2465">
        <f>G299*8*H299</f>
        <v>0</v>
      </c>
      <c r="K299" s="2465">
        <f>D299*J299</f>
        <v>0</v>
      </c>
      <c r="L299" s="1" t="s">
        <v>28399</v>
      </c>
      <c r="N299" s="1" t="s">
        <v>27863</v>
      </c>
      <c r="O299" s="1">
        <v>68</v>
      </c>
      <c r="P299" s="116" t="s">
        <v>73</v>
      </c>
      <c r="Q299" s="1129"/>
      <c r="R299" s="2494" t="str">
        <f t="shared" si="104"/>
        <v>0202024</v>
      </c>
      <c r="S299" s="2495">
        <f>D299*(E299/1000)*(F299/1000)</f>
        <v>0</v>
      </c>
      <c r="T299" s="2496" t="s">
        <v>28181</v>
      </c>
      <c r="V299" s="1">
        <v>1</v>
      </c>
      <c r="AE299" s="1">
        <v>1</v>
      </c>
    </row>
    <row r="300" spans="1:35" ht="18" customHeight="1" x14ac:dyDescent="0.2">
      <c r="B300" s="948" t="s">
        <v>27860</v>
      </c>
      <c r="C300" s="853" t="s">
        <v>434</v>
      </c>
      <c r="D300" s="1">
        <f>'Berechnung &amp; Tabellen'!$D$42</f>
        <v>0</v>
      </c>
      <c r="E300" s="117">
        <v>185</v>
      </c>
      <c r="F300" s="117">
        <f>'Berechnung &amp; Tabellen'!C50-('Berechnung &amp; Tabellen'!D26+'Berechnung &amp; Tabellen'!D27)*40</f>
        <v>1100</v>
      </c>
      <c r="H300" s="2464">
        <f>E300/1000*F300/1000</f>
        <v>0.20349999999999999</v>
      </c>
      <c r="I300" s="2464"/>
      <c r="J300" s="2465">
        <f>G300*8*H300</f>
        <v>0</v>
      </c>
      <c r="K300" s="2465">
        <f>D300*J300</f>
        <v>0</v>
      </c>
      <c r="L300" s="1" t="s">
        <v>28399</v>
      </c>
      <c r="N300" s="1" t="s">
        <v>27863</v>
      </c>
      <c r="O300" s="1">
        <v>69</v>
      </c>
      <c r="P300" s="116" t="s">
        <v>73</v>
      </c>
      <c r="Q300" s="1129"/>
      <c r="R300" s="2494" t="str">
        <f t="shared" si="104"/>
        <v>0202024</v>
      </c>
      <c r="S300" s="2495">
        <f>D300*(E300/1000)*(F300/1000)</f>
        <v>0</v>
      </c>
      <c r="T300" s="2496" t="s">
        <v>28181</v>
      </c>
      <c r="V300" s="1">
        <v>1</v>
      </c>
      <c r="AE300" s="1">
        <v>1</v>
      </c>
    </row>
    <row r="301" spans="1:35" ht="18" customHeight="1" x14ac:dyDescent="0.2">
      <c r="B301" s="948" t="s">
        <v>27861</v>
      </c>
      <c r="C301" s="853" t="s">
        <v>434</v>
      </c>
      <c r="D301" s="1">
        <f>'Berechnung &amp; Tabellen'!$D$42</f>
        <v>0</v>
      </c>
      <c r="E301" s="117">
        <v>50</v>
      </c>
      <c r="F301" s="117">
        <f>'Berechnung &amp; Tabellen'!C29-'Berechnung &amp; Tabellen'!C51-185</f>
        <v>515</v>
      </c>
      <c r="H301" s="2464">
        <f>E301/1000*F301/1000</f>
        <v>2.5749999999999999E-2</v>
      </c>
      <c r="I301" s="2464"/>
      <c r="J301" s="2465">
        <f>G301*8*H301</f>
        <v>0</v>
      </c>
      <c r="K301" s="2465">
        <f>D301*J301</f>
        <v>0</v>
      </c>
      <c r="L301" s="1" t="s">
        <v>28399</v>
      </c>
      <c r="N301" s="1" t="s">
        <v>27863</v>
      </c>
      <c r="O301" s="1">
        <v>70</v>
      </c>
      <c r="P301" s="116" t="s">
        <v>73</v>
      </c>
      <c r="Q301" s="1129"/>
      <c r="R301" s="2494" t="str">
        <f t="shared" si="104"/>
        <v>0202024</v>
      </c>
      <c r="S301" s="2495">
        <f>D301*(E301/1000)*(F301/1000)</f>
        <v>0</v>
      </c>
      <c r="T301" s="2496" t="s">
        <v>28181</v>
      </c>
      <c r="V301" s="1">
        <v>1</v>
      </c>
      <c r="AE301" s="1">
        <v>1</v>
      </c>
    </row>
    <row r="302" spans="1:35" ht="18" customHeight="1" x14ac:dyDescent="0.2">
      <c r="B302" s="336"/>
      <c r="C302" s="665"/>
      <c r="D302" s="117"/>
      <c r="E302" s="1">
        <v>80</v>
      </c>
      <c r="F302" s="1">
        <v>202</v>
      </c>
      <c r="G302" s="118">
        <v>4</v>
      </c>
      <c r="H302" s="2464">
        <f>E302*F302/1000/1000</f>
        <v>1.6160000000000001E-2</v>
      </c>
      <c r="I302" s="2464"/>
      <c r="J302" s="2465">
        <f>G302*7.85*H302</f>
        <v>0.50742399999999999</v>
      </c>
      <c r="K302" s="2465">
        <f>D302*J302</f>
        <v>0</v>
      </c>
      <c r="L302" s="1" t="s">
        <v>53</v>
      </c>
      <c r="N302" s="166"/>
      <c r="O302" s="166"/>
      <c r="P302" s="116"/>
      <c r="Q302" s="1129"/>
      <c r="R302" s="2504">
        <f t="shared" si="104"/>
        <v>0</v>
      </c>
      <c r="S302" s="2493"/>
      <c r="T302" s="2493"/>
      <c r="AE302" s="1">
        <v>1</v>
      </c>
    </row>
    <row r="303" spans="1:35" ht="18" customHeight="1" x14ac:dyDescent="0.2">
      <c r="A303" s="193">
        <f>D303</f>
        <v>0</v>
      </c>
      <c r="B303" s="816" t="s">
        <v>28589</v>
      </c>
      <c r="C303" s="665" t="s">
        <v>712</v>
      </c>
      <c r="D303" s="117">
        <f>C2*Dateneingabe!E137</f>
        <v>0</v>
      </c>
      <c r="F303" s="1"/>
      <c r="H303" s="2464"/>
      <c r="I303" s="2464"/>
      <c r="J303" s="2465"/>
      <c r="K303" s="2465"/>
      <c r="L303" s="1" t="s">
        <v>53</v>
      </c>
      <c r="N303" s="166"/>
      <c r="O303" s="166"/>
      <c r="P303" s="166"/>
      <c r="Q303" s="61"/>
      <c r="R303" s="2501" t="str">
        <f t="shared" si="104"/>
        <v>0306277</v>
      </c>
      <c r="S303" s="2502">
        <f>D303</f>
        <v>0</v>
      </c>
      <c r="T303" s="2503" t="s">
        <v>53</v>
      </c>
      <c r="V303" s="1">
        <v>1</v>
      </c>
      <c r="AE303" s="1">
        <v>1</v>
      </c>
      <c r="AI303" s="193">
        <v>1</v>
      </c>
    </row>
    <row r="304" spans="1:35" ht="18" customHeight="1" x14ac:dyDescent="0.2">
      <c r="A304" s="193">
        <f>D304</f>
        <v>0</v>
      </c>
      <c r="B304" s="816" t="s">
        <v>28590</v>
      </c>
      <c r="C304" s="958" t="s">
        <v>704</v>
      </c>
      <c r="D304" s="117">
        <f>C1*Dateneingabe!E137</f>
        <v>0</v>
      </c>
      <c r="F304" s="1"/>
      <c r="H304" s="2464"/>
      <c r="I304" s="2464"/>
      <c r="J304" s="2465"/>
      <c r="K304" s="2465"/>
      <c r="L304" s="1" t="s">
        <v>53</v>
      </c>
      <c r="N304" s="166"/>
      <c r="O304" s="166"/>
      <c r="P304" s="166"/>
      <c r="Q304" s="61"/>
      <c r="R304" s="2501" t="str">
        <f t="shared" si="104"/>
        <v>0336277</v>
      </c>
      <c r="S304" s="2502">
        <f>D304</f>
        <v>0</v>
      </c>
      <c r="T304" s="2503" t="s">
        <v>53</v>
      </c>
      <c r="V304" s="1">
        <v>1</v>
      </c>
      <c r="AE304" s="1">
        <v>1</v>
      </c>
    </row>
    <row r="305" spans="1:36" s="1091" customFormat="1" ht="18" customHeight="1" x14ac:dyDescent="0.2">
      <c r="A305" s="1088">
        <f>IF(SUM(A303:A304)&gt;0,VLOOKUP(SUM(A303:A304),A303:C304,1,FALSE),0)</f>
        <v>0</v>
      </c>
      <c r="B305" s="1097">
        <f>IF(SUM(A303:A304)&gt;0,VLOOKUP(SUM(A303:A304),A303:C304,2,FALSE),0)</f>
        <v>0</v>
      </c>
      <c r="C305" s="1088">
        <f>IF(SUM(A303:A304)&gt;0,VLOOKUP(SUM(A303:A304),A303:C304,3,FALSE),0)</f>
        <v>0</v>
      </c>
      <c r="D305" s="1089"/>
      <c r="E305" s="1090"/>
      <c r="F305" s="1090"/>
      <c r="G305" s="1092"/>
      <c r="H305" s="2467"/>
      <c r="I305" s="2467"/>
      <c r="J305" s="2468"/>
      <c r="K305" s="2468"/>
      <c r="L305" s="1090"/>
      <c r="M305" s="1090"/>
      <c r="N305" s="1093"/>
      <c r="O305" s="1093"/>
      <c r="P305" s="1093"/>
      <c r="Q305" s="2453"/>
      <c r="R305" s="2505">
        <f t="shared" si="104"/>
        <v>0</v>
      </c>
      <c r="S305" s="2506"/>
      <c r="T305" s="2506"/>
      <c r="V305" s="1090"/>
      <c r="Y305" s="1090"/>
      <c r="AD305" s="1090"/>
      <c r="AE305" s="1090"/>
      <c r="AF305" s="1094"/>
      <c r="AG305" s="1090"/>
      <c r="AH305" s="1095"/>
      <c r="AI305" s="1571"/>
      <c r="AJ305" s="1090"/>
    </row>
    <row r="306" spans="1:36" ht="18" customHeight="1" x14ac:dyDescent="0.2">
      <c r="B306" s="334" t="s">
        <v>281</v>
      </c>
      <c r="C306" s="665" t="s">
        <v>282</v>
      </c>
      <c r="D306" s="1">
        <f>Dateneingabe!F137</f>
        <v>0</v>
      </c>
      <c r="F306" s="1"/>
      <c r="H306" s="2464">
        <f>D306</f>
        <v>0</v>
      </c>
      <c r="I306" s="2464"/>
      <c r="J306" s="2465">
        <f>G306*8*H306</f>
        <v>0</v>
      </c>
      <c r="K306" s="2465">
        <f>D306*J306</f>
        <v>0</v>
      </c>
      <c r="L306" s="1" t="s">
        <v>53</v>
      </c>
      <c r="Q306" s="36"/>
      <c r="R306" s="2501" t="str">
        <f t="shared" si="104"/>
        <v>0812002</v>
      </c>
      <c r="S306" s="2502">
        <f>D306</f>
        <v>0</v>
      </c>
      <c r="T306" s="2503" t="s">
        <v>53</v>
      </c>
      <c r="V306" s="1">
        <v>1</v>
      </c>
      <c r="AE306" s="1">
        <v>1</v>
      </c>
    </row>
    <row r="307" spans="1:36" ht="18" customHeight="1" x14ac:dyDescent="0.2">
      <c r="A307" s="193">
        <f>D307</f>
        <v>0</v>
      </c>
      <c r="B307" s="334" t="s">
        <v>31203</v>
      </c>
      <c r="C307" s="665" t="s">
        <v>31199</v>
      </c>
      <c r="F307" s="1"/>
      <c r="H307" s="2464"/>
      <c r="I307" s="2464"/>
      <c r="J307" s="2465"/>
      <c r="K307" s="2465"/>
      <c r="L307" s="1" t="s">
        <v>53</v>
      </c>
      <c r="Q307" s="36"/>
      <c r="R307" s="2501"/>
      <c r="S307" s="2502"/>
      <c r="T307" s="2503"/>
      <c r="V307" s="1">
        <v>1</v>
      </c>
      <c r="AE307" s="1">
        <v>1</v>
      </c>
    </row>
    <row r="308" spans="1:36" ht="18" customHeight="1" x14ac:dyDescent="0.2">
      <c r="A308" s="193">
        <f>D308</f>
        <v>0</v>
      </c>
      <c r="B308" s="334" t="s">
        <v>31203</v>
      </c>
      <c r="C308" s="665" t="s">
        <v>31200</v>
      </c>
      <c r="F308" s="1"/>
      <c r="H308" s="2464"/>
      <c r="I308" s="2464"/>
      <c r="J308" s="2465"/>
      <c r="K308" s="2465"/>
      <c r="L308" s="1" t="s">
        <v>53</v>
      </c>
      <c r="Q308" s="36"/>
      <c r="R308" s="2501"/>
      <c r="S308" s="2502"/>
      <c r="T308" s="2503"/>
      <c r="V308" s="1">
        <v>1</v>
      </c>
      <c r="AE308" s="1">
        <v>1</v>
      </c>
    </row>
    <row r="309" spans="1:36" s="1091" customFormat="1" ht="18" customHeight="1" x14ac:dyDescent="0.2">
      <c r="A309" s="1088">
        <f>IF(SUM(A307:A308)&gt;0,VLOOKUP(SUM(A307:A308),A307:C308,1,FALSE),0)</f>
        <v>0</v>
      </c>
      <c r="B309" s="1097">
        <f>IF(SUM(A307:A308)&gt;0,VLOOKUP(SUM(A307:A308),A307:C308,2,FALSE),0)</f>
        <v>0</v>
      </c>
      <c r="C309" s="1088">
        <f>IF(SUM(A307:A308)&gt;0,VLOOKUP(SUM(A307:A308),A307:C308,3,FALSE),0)</f>
        <v>0</v>
      </c>
      <c r="D309" s="1089"/>
      <c r="E309" s="1090"/>
      <c r="F309" s="1090"/>
      <c r="G309" s="1092"/>
      <c r="H309" s="2467"/>
      <c r="I309" s="2467"/>
      <c r="J309" s="2468"/>
      <c r="K309" s="2468"/>
      <c r="L309" s="1090"/>
      <c r="M309" s="1090"/>
      <c r="N309" s="1093"/>
      <c r="O309" s="1093"/>
      <c r="P309" s="1093"/>
      <c r="Q309" s="2453"/>
      <c r="R309" s="2505">
        <f t="shared" ref="R309" si="105">C309</f>
        <v>0</v>
      </c>
      <c r="S309" s="2506"/>
      <c r="T309" s="2506"/>
      <c r="V309" s="1090"/>
      <c r="Y309" s="1090"/>
      <c r="AD309" s="1090"/>
      <c r="AE309" s="1090"/>
      <c r="AF309" s="1094"/>
      <c r="AG309" s="1090"/>
      <c r="AH309" s="1095"/>
      <c r="AI309" s="1571"/>
      <c r="AJ309" s="1090"/>
    </row>
    <row r="310" spans="1:36" ht="18" customHeight="1" x14ac:dyDescent="0.2">
      <c r="A310" s="193">
        <f>D310</f>
        <v>0</v>
      </c>
      <c r="B310" s="334" t="s">
        <v>31204</v>
      </c>
      <c r="C310" s="665" t="s">
        <v>31202</v>
      </c>
      <c r="F310" s="1"/>
      <c r="H310" s="2464"/>
      <c r="I310" s="2464">
        <f>154.987/1000</f>
        <v>0.15498699999999999</v>
      </c>
      <c r="J310" s="2465"/>
      <c r="K310" s="2465"/>
      <c r="L310" s="1" t="s">
        <v>53</v>
      </c>
      <c r="Q310" s="36"/>
      <c r="R310" s="2501"/>
      <c r="S310" s="2502"/>
      <c r="T310" s="2503"/>
      <c r="V310" s="1">
        <v>1</v>
      </c>
      <c r="AE310" s="1">
        <v>1</v>
      </c>
      <c r="AI310" s="193">
        <v>1</v>
      </c>
    </row>
    <row r="311" spans="1:36" ht="18" customHeight="1" x14ac:dyDescent="0.2">
      <c r="A311" s="193">
        <f>D311</f>
        <v>0</v>
      </c>
      <c r="B311" s="334" t="s">
        <v>31204</v>
      </c>
      <c r="C311" s="665" t="s">
        <v>31201</v>
      </c>
      <c r="F311" s="1"/>
      <c r="H311" s="2464"/>
      <c r="I311" s="2464">
        <f>154.639/1000</f>
        <v>0.154639</v>
      </c>
      <c r="J311" s="2465"/>
      <c r="K311" s="2465"/>
      <c r="L311" s="1" t="s">
        <v>53</v>
      </c>
      <c r="Q311" s="36"/>
      <c r="R311" s="2501"/>
      <c r="S311" s="2502"/>
      <c r="T311" s="2503"/>
      <c r="V311" s="1">
        <v>1</v>
      </c>
      <c r="AE311" s="1">
        <v>1</v>
      </c>
    </row>
    <row r="312" spans="1:36" s="1091" customFormat="1" ht="18" customHeight="1" x14ac:dyDescent="0.2">
      <c r="A312" s="1088">
        <f>IF(SUM(A310:A311)&gt;0,VLOOKUP(SUM(A310:A311),A310:C311,1,FALSE),0)</f>
        <v>0</v>
      </c>
      <c r="B312" s="1097">
        <f>IF(SUM(A310:A311)&gt;0,VLOOKUP(SUM(A310:A311),A310:C311,2,FALSE),0)</f>
        <v>0</v>
      </c>
      <c r="C312" s="1088">
        <f>IF(SUM(A310:A311)&gt;0,VLOOKUP(SUM(A310:A311),A310:C311,3,FALSE),0)</f>
        <v>0</v>
      </c>
      <c r="D312" s="1089"/>
      <c r="E312" s="1090"/>
      <c r="F312" s="1090"/>
      <c r="G312" s="1092"/>
      <c r="H312" s="2467"/>
      <c r="I312" s="2467"/>
      <c r="J312" s="2468"/>
      <c r="K312" s="2468"/>
      <c r="L312" s="1090"/>
      <c r="M312" s="1090"/>
      <c r="N312" s="1093"/>
      <c r="O312" s="1093"/>
      <c r="P312" s="1093"/>
      <c r="Q312" s="2453"/>
      <c r="R312" s="2505">
        <f t="shared" ref="R312" si="106">C312</f>
        <v>0</v>
      </c>
      <c r="S312" s="2506"/>
      <c r="T312" s="2506"/>
      <c r="V312" s="1090"/>
      <c r="Y312" s="1090"/>
      <c r="AD312" s="1090"/>
      <c r="AE312" s="1090"/>
      <c r="AF312" s="1094"/>
      <c r="AG312" s="1090"/>
      <c r="AH312" s="1095"/>
      <c r="AI312" s="1571"/>
      <c r="AJ312" s="1090"/>
    </row>
    <row r="313" spans="1:36" ht="18" customHeight="1" x14ac:dyDescent="0.2">
      <c r="B313" s="1949" t="s">
        <v>28647</v>
      </c>
      <c r="C313" s="665" t="s">
        <v>28648</v>
      </c>
      <c r="D313" s="117">
        <f>Dateneingabe!G157</f>
        <v>1</v>
      </c>
      <c r="F313" s="1"/>
      <c r="H313" s="2464">
        <f>D313</f>
        <v>1</v>
      </c>
      <c r="I313" s="2464"/>
      <c r="J313" s="2465">
        <f>G313*8*H313</f>
        <v>0</v>
      </c>
      <c r="K313" s="2465">
        <f>D313*J313</f>
        <v>0</v>
      </c>
      <c r="L313" s="1" t="s">
        <v>53</v>
      </c>
      <c r="Q313" s="36"/>
      <c r="R313" s="2501" t="str">
        <f t="shared" si="104"/>
        <v>0901087</v>
      </c>
      <c r="S313" s="2502">
        <f>D313</f>
        <v>1</v>
      </c>
      <c r="T313" s="2503" t="s">
        <v>53</v>
      </c>
      <c r="V313" s="1">
        <v>1</v>
      </c>
      <c r="AC313" s="155">
        <v>1</v>
      </c>
      <c r="AD313" s="1">
        <v>1</v>
      </c>
      <c r="AE313" s="1">
        <v>1</v>
      </c>
    </row>
    <row r="314" spans="1:36" ht="18" customHeight="1" x14ac:dyDescent="0.2">
      <c r="B314" s="1949" t="s">
        <v>29717</v>
      </c>
      <c r="C314" s="665" t="s">
        <v>29718</v>
      </c>
      <c r="D314" s="117">
        <v>1</v>
      </c>
      <c r="E314" s="1">
        <v>290</v>
      </c>
      <c r="F314" s="1">
        <v>380</v>
      </c>
      <c r="H314" s="2464"/>
      <c r="I314" s="2464"/>
      <c r="J314" s="2465"/>
      <c r="K314" s="2465"/>
      <c r="L314" s="116" t="s">
        <v>53</v>
      </c>
      <c r="Q314" s="36"/>
      <c r="R314" s="2501" t="str">
        <f t="shared" si="104"/>
        <v>0709356</v>
      </c>
      <c r="S314" s="2502">
        <f>D314</f>
        <v>1</v>
      </c>
      <c r="T314" s="2503" t="s">
        <v>53</v>
      </c>
      <c r="V314" s="1">
        <v>1</v>
      </c>
      <c r="AE314" s="1">
        <v>1</v>
      </c>
    </row>
    <row r="315" spans="1:36" ht="18" customHeight="1" x14ac:dyDescent="0.2">
      <c r="B315" s="135" t="s">
        <v>29307</v>
      </c>
      <c r="C315" s="665"/>
      <c r="D315" s="117"/>
      <c r="E315" s="116"/>
      <c r="F315" s="200"/>
      <c r="H315" s="2464"/>
      <c r="I315" s="2464"/>
      <c r="J315" s="2465"/>
      <c r="K315" s="2465"/>
      <c r="N315" s="166"/>
      <c r="O315" s="166"/>
      <c r="P315" s="166"/>
      <c r="Q315" s="61"/>
      <c r="R315" s="2504">
        <f t="shared" si="104"/>
        <v>0</v>
      </c>
      <c r="S315" s="2493"/>
      <c r="T315" s="2493"/>
    </row>
    <row r="316" spans="1:36" ht="18" customHeight="1" x14ac:dyDescent="0.2">
      <c r="A316" s="1309"/>
      <c r="B316" s="653" t="s">
        <v>29242</v>
      </c>
      <c r="C316" s="665" t="s">
        <v>27780</v>
      </c>
      <c r="D316" s="814">
        <f>'Berechnung &amp; Tabellen'!E68</f>
        <v>0</v>
      </c>
      <c r="E316" s="200">
        <v>190.96</v>
      </c>
      <c r="F316" s="200">
        <v>750</v>
      </c>
      <c r="G316" s="118">
        <v>2</v>
      </c>
      <c r="H316" s="2464">
        <f t="shared" ref="H316:H366" si="107">E316*F316/1000/1000</f>
        <v>0.14321999999999999</v>
      </c>
      <c r="I316" s="2464"/>
      <c r="J316" s="2465">
        <f t="shared" ref="J316:J366" si="108">G316*7.85*H316</f>
        <v>2.2485539999999995</v>
      </c>
      <c r="K316" s="2465">
        <f t="shared" ref="K316:K366" si="109">D316*J316</f>
        <v>0</v>
      </c>
      <c r="L316" s="1" t="s">
        <v>53</v>
      </c>
      <c r="M316" s="1" t="s">
        <v>28402</v>
      </c>
      <c r="N316" s="116"/>
      <c r="O316" s="116"/>
      <c r="P316" s="116"/>
      <c r="Q316" s="1129"/>
      <c r="R316" s="2501" t="str">
        <f t="shared" si="104"/>
        <v>0308112</v>
      </c>
      <c r="S316" s="2502">
        <f>D316</f>
        <v>0</v>
      </c>
      <c r="T316" s="2503" t="s">
        <v>53</v>
      </c>
      <c r="V316" s="1">
        <v>1</v>
      </c>
      <c r="AE316" s="1">
        <v>1</v>
      </c>
      <c r="AI316" s="193">
        <v>1</v>
      </c>
      <c r="AJ316" s="1">
        <f t="shared" ref="AJ316:AJ355" si="110">IF(D316&gt;0,1,0)</f>
        <v>0</v>
      </c>
    </row>
    <row r="317" spans="1:36" ht="18" customHeight="1" x14ac:dyDescent="0.2">
      <c r="A317" s="1309"/>
      <c r="B317" s="653" t="s">
        <v>29252</v>
      </c>
      <c r="C317" s="665" t="s">
        <v>27790</v>
      </c>
      <c r="D317" s="814">
        <f>'Berechnung &amp; Tabellen'!E69</f>
        <v>0</v>
      </c>
      <c r="E317" s="200">
        <v>189.9</v>
      </c>
      <c r="F317" s="200">
        <v>750</v>
      </c>
      <c r="G317" s="118">
        <v>2</v>
      </c>
      <c r="H317" s="2464">
        <f t="shared" si="107"/>
        <v>0.14242500000000002</v>
      </c>
      <c r="I317" s="2464"/>
      <c r="J317" s="2465">
        <f t="shared" si="108"/>
        <v>2.2360725000000001</v>
      </c>
      <c r="K317" s="2465">
        <f t="shared" si="109"/>
        <v>0</v>
      </c>
      <c r="L317" s="1" t="s">
        <v>53</v>
      </c>
      <c r="M317" s="1" t="s">
        <v>28403</v>
      </c>
      <c r="N317" s="116"/>
      <c r="O317" s="116"/>
      <c r="P317" s="116"/>
      <c r="Q317" s="1129"/>
      <c r="R317" s="2500" t="s">
        <v>9046</v>
      </c>
      <c r="S317" s="2499">
        <f>D317*(E317/1000)*(F317/1000)</f>
        <v>0</v>
      </c>
      <c r="T317" s="2499" t="s">
        <v>28181</v>
      </c>
      <c r="V317" s="1">
        <v>1</v>
      </c>
      <c r="Y317" s="1">
        <v>1</v>
      </c>
      <c r="AE317" s="1">
        <v>1</v>
      </c>
      <c r="AJ317" s="1">
        <f t="shared" si="110"/>
        <v>0</v>
      </c>
    </row>
    <row r="318" spans="1:36" ht="18" customHeight="1" x14ac:dyDescent="0.2">
      <c r="A318" s="1309"/>
      <c r="B318" s="653" t="s">
        <v>29243</v>
      </c>
      <c r="C318" s="665" t="s">
        <v>27781</v>
      </c>
      <c r="D318" s="814">
        <f>'Berechnung &amp; Tabellen'!E70</f>
        <v>0</v>
      </c>
      <c r="E318" s="200">
        <v>190.96</v>
      </c>
      <c r="F318" s="200">
        <v>1000</v>
      </c>
      <c r="G318" s="118">
        <v>2</v>
      </c>
      <c r="H318" s="2464">
        <f t="shared" si="107"/>
        <v>0.19096000000000002</v>
      </c>
      <c r="I318" s="2464"/>
      <c r="J318" s="2465">
        <f t="shared" si="108"/>
        <v>2.9980720000000001</v>
      </c>
      <c r="K318" s="2465">
        <f t="shared" si="109"/>
        <v>0</v>
      </c>
      <c r="L318" s="1" t="s">
        <v>53</v>
      </c>
      <c r="M318" s="1" t="s">
        <v>28402</v>
      </c>
      <c r="N318" s="116"/>
      <c r="O318" s="116"/>
      <c r="P318" s="116"/>
      <c r="Q318" s="1129"/>
      <c r="R318" s="2501" t="str">
        <f>C318</f>
        <v>0308113</v>
      </c>
      <c r="S318" s="2502">
        <f>D318</f>
        <v>0</v>
      </c>
      <c r="T318" s="2503" t="s">
        <v>53</v>
      </c>
      <c r="V318" s="1">
        <v>1</v>
      </c>
      <c r="AE318" s="1">
        <v>1</v>
      </c>
      <c r="AI318" s="193">
        <v>1</v>
      </c>
      <c r="AJ318" s="1">
        <f t="shared" si="110"/>
        <v>0</v>
      </c>
    </row>
    <row r="319" spans="1:36" ht="18" customHeight="1" x14ac:dyDescent="0.2">
      <c r="A319" s="1309"/>
      <c r="B319" s="653" t="s">
        <v>29272</v>
      </c>
      <c r="C319" s="665" t="s">
        <v>27791</v>
      </c>
      <c r="D319" s="814">
        <f>'Berechnung &amp; Tabellen'!E71</f>
        <v>0</v>
      </c>
      <c r="E319" s="200">
        <v>189.9</v>
      </c>
      <c r="F319" s="200">
        <v>1000</v>
      </c>
      <c r="G319" s="118">
        <v>2</v>
      </c>
      <c r="H319" s="2464">
        <f t="shared" si="107"/>
        <v>0.18990000000000001</v>
      </c>
      <c r="I319" s="2464"/>
      <c r="J319" s="2465">
        <f t="shared" si="108"/>
        <v>2.98143</v>
      </c>
      <c r="K319" s="2465">
        <f t="shared" si="109"/>
        <v>0</v>
      </c>
      <c r="L319" s="1" t="s">
        <v>53</v>
      </c>
      <c r="M319" s="1" t="s">
        <v>28403</v>
      </c>
      <c r="N319" s="116"/>
      <c r="O319" s="116"/>
      <c r="P319" s="116"/>
      <c r="Q319" s="1129"/>
      <c r="R319" s="2500" t="s">
        <v>9046</v>
      </c>
      <c r="S319" s="2499">
        <f>D319*(E319/1000)*(F319/1000)</f>
        <v>0</v>
      </c>
      <c r="T319" s="2499" t="s">
        <v>28181</v>
      </c>
      <c r="V319" s="1">
        <v>1</v>
      </c>
      <c r="Y319" s="1">
        <v>1</v>
      </c>
      <c r="AE319" s="1">
        <v>1</v>
      </c>
      <c r="AJ319" s="1">
        <f t="shared" si="110"/>
        <v>0</v>
      </c>
    </row>
    <row r="320" spans="1:36" ht="18" customHeight="1" x14ac:dyDescent="0.2">
      <c r="A320" s="1309"/>
      <c r="B320" s="653" t="s">
        <v>29244</v>
      </c>
      <c r="C320" s="665" t="s">
        <v>27782</v>
      </c>
      <c r="D320" s="814">
        <f>'Berechnung &amp; Tabellen'!E72</f>
        <v>2</v>
      </c>
      <c r="E320" s="200">
        <v>190.96</v>
      </c>
      <c r="F320" s="200">
        <v>1250</v>
      </c>
      <c r="G320" s="118">
        <v>2</v>
      </c>
      <c r="H320" s="2464">
        <f t="shared" si="107"/>
        <v>0.2387</v>
      </c>
      <c r="I320" s="2464"/>
      <c r="J320" s="2465">
        <f t="shared" si="108"/>
        <v>3.7475899999999998</v>
      </c>
      <c r="K320" s="2465">
        <f t="shared" si="109"/>
        <v>7.4951799999999995</v>
      </c>
      <c r="L320" s="1" t="s">
        <v>53</v>
      </c>
      <c r="M320" s="1" t="s">
        <v>28402</v>
      </c>
      <c r="N320" s="116"/>
      <c r="O320" s="116"/>
      <c r="P320" s="116"/>
      <c r="Q320" s="1129"/>
      <c r="R320" s="2501" t="str">
        <f>C320</f>
        <v>0308114</v>
      </c>
      <c r="S320" s="2502">
        <f>D320</f>
        <v>2</v>
      </c>
      <c r="T320" s="2503" t="s">
        <v>53</v>
      </c>
      <c r="V320" s="1">
        <v>1</v>
      </c>
      <c r="AE320" s="1">
        <v>1</v>
      </c>
      <c r="AF320"/>
      <c r="AG320"/>
      <c r="AH320"/>
      <c r="AI320" s="193">
        <v>1</v>
      </c>
      <c r="AJ320" s="1">
        <f t="shared" si="110"/>
        <v>1</v>
      </c>
    </row>
    <row r="321" spans="1:36" ht="18" customHeight="1" x14ac:dyDescent="0.2">
      <c r="A321" s="1309"/>
      <c r="B321" s="653" t="s">
        <v>29253</v>
      </c>
      <c r="C321" s="665" t="s">
        <v>27792</v>
      </c>
      <c r="D321" s="814">
        <f>'Berechnung &amp; Tabellen'!E73</f>
        <v>0</v>
      </c>
      <c r="E321" s="200">
        <v>189.9</v>
      </c>
      <c r="F321" s="200">
        <v>1250</v>
      </c>
      <c r="G321" s="118">
        <v>2</v>
      </c>
      <c r="H321" s="2464">
        <f t="shared" si="107"/>
        <v>0.237375</v>
      </c>
      <c r="I321" s="2464"/>
      <c r="J321" s="2465">
        <f t="shared" si="108"/>
        <v>3.7267874999999999</v>
      </c>
      <c r="K321" s="2465">
        <f t="shared" si="109"/>
        <v>0</v>
      </c>
      <c r="L321" s="1" t="s">
        <v>53</v>
      </c>
      <c r="M321" s="1" t="s">
        <v>28403</v>
      </c>
      <c r="N321" s="116"/>
      <c r="O321" s="116"/>
      <c r="P321" s="116"/>
      <c r="Q321" s="1129"/>
      <c r="R321" s="2500" t="s">
        <v>9046</v>
      </c>
      <c r="S321" s="2499">
        <f>D321*(E321/1000)*(F321/1000)</f>
        <v>0</v>
      </c>
      <c r="T321" s="2499" t="s">
        <v>28181</v>
      </c>
      <c r="V321" s="1">
        <v>1</v>
      </c>
      <c r="Y321" s="1">
        <v>1</v>
      </c>
      <c r="AE321" s="1">
        <v>1</v>
      </c>
      <c r="AF321"/>
      <c r="AG321"/>
      <c r="AH321"/>
      <c r="AJ321" s="1">
        <f t="shared" si="110"/>
        <v>0</v>
      </c>
    </row>
    <row r="322" spans="1:36" ht="18" customHeight="1" x14ac:dyDescent="0.2">
      <c r="A322" s="1309"/>
      <c r="B322" s="653" t="s">
        <v>29245</v>
      </c>
      <c r="C322" s="665" t="s">
        <v>27783</v>
      </c>
      <c r="D322" s="814">
        <f>'Berechnung &amp; Tabellen'!E74</f>
        <v>0</v>
      </c>
      <c r="E322" s="200">
        <v>190.96</v>
      </c>
      <c r="F322" s="200">
        <v>1500</v>
      </c>
      <c r="G322" s="118">
        <v>2</v>
      </c>
      <c r="H322" s="2464">
        <f t="shared" si="107"/>
        <v>0.28643999999999997</v>
      </c>
      <c r="I322" s="2464"/>
      <c r="J322" s="2465">
        <f t="shared" si="108"/>
        <v>4.497107999999999</v>
      </c>
      <c r="K322" s="2465">
        <f t="shared" si="109"/>
        <v>0</v>
      </c>
      <c r="L322" s="1" t="s">
        <v>53</v>
      </c>
      <c r="M322" s="1" t="s">
        <v>28402</v>
      </c>
      <c r="N322" s="116"/>
      <c r="O322" s="116"/>
      <c r="P322" s="116"/>
      <c r="Q322" s="1129"/>
      <c r="R322" s="2501" t="str">
        <f>C322</f>
        <v>0308115</v>
      </c>
      <c r="S322" s="2502">
        <f>D322</f>
        <v>0</v>
      </c>
      <c r="T322" s="2503" t="s">
        <v>53</v>
      </c>
      <c r="V322" s="1">
        <v>1</v>
      </c>
      <c r="AE322" s="1">
        <v>1</v>
      </c>
      <c r="AF322"/>
      <c r="AG322"/>
      <c r="AH322"/>
      <c r="AI322" s="193">
        <v>1</v>
      </c>
      <c r="AJ322" s="1">
        <f t="shared" si="110"/>
        <v>0</v>
      </c>
    </row>
    <row r="323" spans="1:36" ht="18" customHeight="1" x14ac:dyDescent="0.2">
      <c r="A323" s="1309"/>
      <c r="B323" s="653" t="s">
        <v>29254</v>
      </c>
      <c r="C323" s="665" t="s">
        <v>27793</v>
      </c>
      <c r="D323" s="814">
        <f>'Berechnung &amp; Tabellen'!E75</f>
        <v>0</v>
      </c>
      <c r="E323" s="200">
        <v>189.9</v>
      </c>
      <c r="F323" s="200">
        <v>1500</v>
      </c>
      <c r="G323" s="118">
        <v>2</v>
      </c>
      <c r="H323" s="2464">
        <f t="shared" si="107"/>
        <v>0.28485000000000005</v>
      </c>
      <c r="I323" s="2464"/>
      <c r="J323" s="2465">
        <f t="shared" si="108"/>
        <v>4.4721450000000003</v>
      </c>
      <c r="K323" s="2465">
        <f t="shared" si="109"/>
        <v>0</v>
      </c>
      <c r="L323" s="1" t="s">
        <v>53</v>
      </c>
      <c r="M323" s="1" t="s">
        <v>28403</v>
      </c>
      <c r="N323" s="116"/>
      <c r="O323" s="116"/>
      <c r="P323" s="116"/>
      <c r="Q323" s="1129"/>
      <c r="R323" s="2500" t="s">
        <v>9046</v>
      </c>
      <c r="S323" s="2499">
        <f>D323*(E323/1000)*(F323/1000)</f>
        <v>0</v>
      </c>
      <c r="T323" s="2499" t="s">
        <v>28181</v>
      </c>
      <c r="V323" s="1">
        <v>1</v>
      </c>
      <c r="Y323" s="1">
        <v>1</v>
      </c>
      <c r="AE323" s="1">
        <v>1</v>
      </c>
      <c r="AF323"/>
      <c r="AG323"/>
      <c r="AH323"/>
      <c r="AJ323" s="1">
        <f t="shared" si="110"/>
        <v>0</v>
      </c>
    </row>
    <row r="324" spans="1:36" ht="18" customHeight="1" x14ac:dyDescent="0.2">
      <c r="A324" s="1309"/>
      <c r="B324" s="653" t="s">
        <v>29246</v>
      </c>
      <c r="C324" s="665" t="s">
        <v>27784</v>
      </c>
      <c r="D324" s="814">
        <f>'Berechnung &amp; Tabellen'!E76</f>
        <v>0</v>
      </c>
      <c r="E324" s="200">
        <v>190.96</v>
      </c>
      <c r="F324" s="200">
        <v>1750</v>
      </c>
      <c r="G324" s="118">
        <v>2</v>
      </c>
      <c r="H324" s="2464">
        <f t="shared" si="107"/>
        <v>0.33418000000000003</v>
      </c>
      <c r="I324" s="2464"/>
      <c r="J324" s="2465">
        <f t="shared" si="108"/>
        <v>5.246626</v>
      </c>
      <c r="K324" s="2465">
        <f t="shared" si="109"/>
        <v>0</v>
      </c>
      <c r="L324" s="1" t="s">
        <v>53</v>
      </c>
      <c r="M324" s="1" t="s">
        <v>28402</v>
      </c>
      <c r="N324" s="116"/>
      <c r="O324" s="116"/>
      <c r="P324" s="116"/>
      <c r="Q324" s="1129"/>
      <c r="R324" s="2501" t="str">
        <f>C324</f>
        <v>0308116</v>
      </c>
      <c r="S324" s="2502">
        <f>D324</f>
        <v>0</v>
      </c>
      <c r="T324" s="2503" t="s">
        <v>53</v>
      </c>
      <c r="V324" s="1">
        <v>1</v>
      </c>
      <c r="AE324" s="1">
        <v>1</v>
      </c>
      <c r="AF324"/>
      <c r="AG324"/>
      <c r="AH324"/>
      <c r="AI324" s="193">
        <v>1</v>
      </c>
      <c r="AJ324" s="1">
        <f t="shared" si="110"/>
        <v>0</v>
      </c>
    </row>
    <row r="325" spans="1:36" ht="18" customHeight="1" x14ac:dyDescent="0.2">
      <c r="A325" s="1309"/>
      <c r="B325" s="653" t="s">
        <v>29273</v>
      </c>
      <c r="C325" s="665" t="s">
        <v>27794</v>
      </c>
      <c r="D325" s="814">
        <f>'Berechnung &amp; Tabellen'!E77</f>
        <v>0</v>
      </c>
      <c r="E325" s="200">
        <v>189.9</v>
      </c>
      <c r="F325" s="200">
        <v>1750</v>
      </c>
      <c r="G325" s="118">
        <v>2</v>
      </c>
      <c r="H325" s="2464">
        <f t="shared" si="107"/>
        <v>0.33232499999999998</v>
      </c>
      <c r="I325" s="2464"/>
      <c r="J325" s="2465">
        <f t="shared" si="108"/>
        <v>5.2175024999999993</v>
      </c>
      <c r="K325" s="2465">
        <f t="shared" si="109"/>
        <v>0</v>
      </c>
      <c r="L325" s="1" t="s">
        <v>53</v>
      </c>
      <c r="M325" s="1" t="s">
        <v>28403</v>
      </c>
      <c r="N325" s="116"/>
      <c r="O325" s="116"/>
      <c r="P325" s="116"/>
      <c r="Q325" s="1129"/>
      <c r="R325" s="2500" t="s">
        <v>9046</v>
      </c>
      <c r="S325" s="2499">
        <f>D325*(E325/1000)*(F325/1000)</f>
        <v>0</v>
      </c>
      <c r="T325" s="2499" t="s">
        <v>28181</v>
      </c>
      <c r="V325" s="1">
        <v>1</v>
      </c>
      <c r="Y325" s="1">
        <v>1</v>
      </c>
      <c r="AE325" s="1">
        <v>1</v>
      </c>
      <c r="AF325"/>
      <c r="AG325"/>
      <c r="AH325"/>
      <c r="AJ325" s="1">
        <f t="shared" si="110"/>
        <v>0</v>
      </c>
    </row>
    <row r="326" spans="1:36" ht="18" customHeight="1" x14ac:dyDescent="0.2">
      <c r="A326" s="1309"/>
      <c r="B326" s="653" t="s">
        <v>29247</v>
      </c>
      <c r="C326" s="665" t="s">
        <v>27785</v>
      </c>
      <c r="D326" s="814">
        <f>'Berechnung &amp; Tabellen'!E78</f>
        <v>0</v>
      </c>
      <c r="E326" s="200">
        <v>190.96</v>
      </c>
      <c r="F326" s="200">
        <v>2000</v>
      </c>
      <c r="G326" s="118">
        <v>2</v>
      </c>
      <c r="H326" s="2464">
        <f t="shared" si="107"/>
        <v>0.38192000000000004</v>
      </c>
      <c r="I326" s="2464"/>
      <c r="J326" s="2465">
        <f t="shared" si="108"/>
        <v>5.9961440000000001</v>
      </c>
      <c r="K326" s="2465">
        <f t="shared" si="109"/>
        <v>0</v>
      </c>
      <c r="L326" s="1" t="s">
        <v>53</v>
      </c>
      <c r="M326" s="1" t="s">
        <v>28402</v>
      </c>
      <c r="N326" s="116"/>
      <c r="O326" s="116"/>
      <c r="P326" s="116"/>
      <c r="Q326" s="1129"/>
      <c r="R326" s="2501" t="str">
        <f>C326</f>
        <v>0308117</v>
      </c>
      <c r="S326" s="2502">
        <f>D326</f>
        <v>0</v>
      </c>
      <c r="T326" s="2503" t="s">
        <v>53</v>
      </c>
      <c r="V326" s="1">
        <v>1</v>
      </c>
      <c r="AE326" s="1">
        <v>1</v>
      </c>
      <c r="AF326"/>
      <c r="AG326"/>
      <c r="AH326"/>
      <c r="AI326" s="193">
        <v>1</v>
      </c>
      <c r="AJ326" s="1">
        <f t="shared" si="110"/>
        <v>0</v>
      </c>
    </row>
    <row r="327" spans="1:36" ht="18" customHeight="1" x14ac:dyDescent="0.2">
      <c r="A327" s="1309"/>
      <c r="B327" s="653" t="s">
        <v>29274</v>
      </c>
      <c r="C327" s="665" t="s">
        <v>27795</v>
      </c>
      <c r="D327" s="814">
        <f>'Berechnung &amp; Tabellen'!E79</f>
        <v>0</v>
      </c>
      <c r="E327" s="200">
        <v>189.9</v>
      </c>
      <c r="F327" s="200">
        <v>2000</v>
      </c>
      <c r="G327" s="118">
        <v>2</v>
      </c>
      <c r="H327" s="2464">
        <f t="shared" si="107"/>
        <v>0.37980000000000003</v>
      </c>
      <c r="I327" s="2464"/>
      <c r="J327" s="2465">
        <f t="shared" si="108"/>
        <v>5.96286</v>
      </c>
      <c r="K327" s="2465">
        <f t="shared" si="109"/>
        <v>0</v>
      </c>
      <c r="L327" s="1" t="s">
        <v>53</v>
      </c>
      <c r="M327" s="1" t="s">
        <v>28403</v>
      </c>
      <c r="N327" s="116"/>
      <c r="O327" s="116"/>
      <c r="P327" s="116"/>
      <c r="Q327" s="1129"/>
      <c r="R327" s="2500" t="s">
        <v>9046</v>
      </c>
      <c r="S327" s="2499">
        <f>D327*(E327/1000)*(F327/1000)</f>
        <v>0</v>
      </c>
      <c r="T327" s="2499" t="s">
        <v>28181</v>
      </c>
      <c r="V327" s="1">
        <v>1</v>
      </c>
      <c r="Y327" s="1">
        <v>1</v>
      </c>
      <c r="AE327" s="1">
        <v>1</v>
      </c>
      <c r="AF327"/>
      <c r="AG327"/>
      <c r="AH327"/>
      <c r="AJ327" s="1">
        <f t="shared" si="110"/>
        <v>0</v>
      </c>
    </row>
    <row r="328" spans="1:36" ht="18" customHeight="1" x14ac:dyDescent="0.2">
      <c r="A328" s="1309"/>
      <c r="B328" s="653" t="s">
        <v>29248</v>
      </c>
      <c r="C328" s="665" t="s">
        <v>27786</v>
      </c>
      <c r="D328" s="814">
        <f>'Berechnung &amp; Tabellen'!E80</f>
        <v>0</v>
      </c>
      <c r="E328" s="200">
        <v>190.96</v>
      </c>
      <c r="F328" s="200">
        <v>2250</v>
      </c>
      <c r="G328" s="118">
        <v>2</v>
      </c>
      <c r="H328" s="2464">
        <f t="shared" si="107"/>
        <v>0.42966000000000004</v>
      </c>
      <c r="I328" s="2464"/>
      <c r="J328" s="2465">
        <f t="shared" si="108"/>
        <v>6.7456620000000003</v>
      </c>
      <c r="K328" s="2465">
        <f t="shared" si="109"/>
        <v>0</v>
      </c>
      <c r="L328" s="1" t="s">
        <v>53</v>
      </c>
      <c r="M328" s="1" t="s">
        <v>28402</v>
      </c>
      <c r="N328" s="116"/>
      <c r="O328" s="116"/>
      <c r="P328" s="116"/>
      <c r="Q328" s="1129"/>
      <c r="R328" s="2501" t="str">
        <f>C328</f>
        <v>0308118</v>
      </c>
      <c r="S328" s="2502">
        <f>D328</f>
        <v>0</v>
      </c>
      <c r="T328" s="2503" t="s">
        <v>53</v>
      </c>
      <c r="V328" s="1">
        <v>1</v>
      </c>
      <c r="AE328" s="1">
        <v>1</v>
      </c>
      <c r="AF328"/>
      <c r="AG328"/>
      <c r="AH328"/>
      <c r="AI328" s="193">
        <v>1</v>
      </c>
      <c r="AJ328" s="1">
        <f t="shared" si="110"/>
        <v>0</v>
      </c>
    </row>
    <row r="329" spans="1:36" ht="18" customHeight="1" x14ac:dyDescent="0.2">
      <c r="A329" s="1309"/>
      <c r="B329" s="653" t="s">
        <v>29275</v>
      </c>
      <c r="C329" s="665" t="s">
        <v>27796</v>
      </c>
      <c r="D329" s="814">
        <f>'Berechnung &amp; Tabellen'!E81</f>
        <v>0</v>
      </c>
      <c r="E329" s="200">
        <v>189.9</v>
      </c>
      <c r="F329" s="200">
        <v>2250</v>
      </c>
      <c r="G329" s="118">
        <v>2</v>
      </c>
      <c r="H329" s="2464">
        <f t="shared" si="107"/>
        <v>0.42727499999999996</v>
      </c>
      <c r="I329" s="2464"/>
      <c r="J329" s="2465">
        <f t="shared" si="108"/>
        <v>6.7082174999999991</v>
      </c>
      <c r="K329" s="2465">
        <f t="shared" si="109"/>
        <v>0</v>
      </c>
      <c r="L329" s="1" t="s">
        <v>53</v>
      </c>
      <c r="M329" s="1" t="s">
        <v>28403</v>
      </c>
      <c r="N329" s="116"/>
      <c r="O329" s="116"/>
      <c r="P329" s="116"/>
      <c r="Q329" s="1129"/>
      <c r="R329" s="2500" t="s">
        <v>9046</v>
      </c>
      <c r="S329" s="2499">
        <f>D329*(E329/1000)*(F329/1000)</f>
        <v>0</v>
      </c>
      <c r="T329" s="2499" t="s">
        <v>28181</v>
      </c>
      <c r="V329" s="1">
        <v>1</v>
      </c>
      <c r="Y329" s="1">
        <v>1</v>
      </c>
      <c r="AE329" s="1">
        <v>1</v>
      </c>
      <c r="AF329"/>
      <c r="AG329"/>
      <c r="AH329"/>
      <c r="AJ329" s="1">
        <f t="shared" si="110"/>
        <v>0</v>
      </c>
    </row>
    <row r="330" spans="1:36" ht="18" customHeight="1" x14ac:dyDescent="0.2">
      <c r="A330" s="1309"/>
      <c r="B330" s="653" t="s">
        <v>29249</v>
      </c>
      <c r="C330" s="665" t="s">
        <v>27787</v>
      </c>
      <c r="D330" s="814">
        <f>'Berechnung &amp; Tabellen'!E82</f>
        <v>0</v>
      </c>
      <c r="E330" s="200">
        <v>190.96</v>
      </c>
      <c r="F330" s="200">
        <v>2500</v>
      </c>
      <c r="G330" s="118">
        <v>2</v>
      </c>
      <c r="H330" s="2464">
        <f t="shared" si="107"/>
        <v>0.47739999999999999</v>
      </c>
      <c r="I330" s="2464"/>
      <c r="J330" s="2465">
        <f t="shared" si="108"/>
        <v>7.4951799999999995</v>
      </c>
      <c r="K330" s="2465">
        <f t="shared" si="109"/>
        <v>0</v>
      </c>
      <c r="L330" s="1" t="s">
        <v>53</v>
      </c>
      <c r="M330" s="1" t="s">
        <v>28402</v>
      </c>
      <c r="N330" s="116"/>
      <c r="O330" s="116"/>
      <c r="P330" s="116"/>
      <c r="Q330" s="1129"/>
      <c r="R330" s="2501" t="str">
        <f>C330</f>
        <v>0308119</v>
      </c>
      <c r="S330" s="2502">
        <f>D330</f>
        <v>0</v>
      </c>
      <c r="T330" s="2503" t="s">
        <v>53</v>
      </c>
      <c r="V330" s="1">
        <v>1</v>
      </c>
      <c r="AE330" s="1">
        <v>1</v>
      </c>
      <c r="AF330"/>
      <c r="AG330"/>
      <c r="AH330"/>
      <c r="AI330" s="193">
        <v>1</v>
      </c>
      <c r="AJ330" s="1">
        <f t="shared" si="110"/>
        <v>0</v>
      </c>
    </row>
    <row r="331" spans="1:36" ht="18" customHeight="1" x14ac:dyDescent="0.2">
      <c r="A331" s="1309"/>
      <c r="B331" s="653" t="s">
        <v>29255</v>
      </c>
      <c r="C331" s="665" t="s">
        <v>27797</v>
      </c>
      <c r="D331" s="814">
        <f>'Berechnung &amp; Tabellen'!E83</f>
        <v>0</v>
      </c>
      <c r="E331" s="200">
        <v>189.9</v>
      </c>
      <c r="F331" s="200">
        <v>2500</v>
      </c>
      <c r="G331" s="118">
        <v>2</v>
      </c>
      <c r="H331" s="2464">
        <f t="shared" si="107"/>
        <v>0.47475000000000001</v>
      </c>
      <c r="I331" s="2464"/>
      <c r="J331" s="2465">
        <f t="shared" si="108"/>
        <v>7.4535749999999998</v>
      </c>
      <c r="K331" s="2465">
        <f t="shared" si="109"/>
        <v>0</v>
      </c>
      <c r="L331" s="1" t="s">
        <v>53</v>
      </c>
      <c r="M331" s="1" t="s">
        <v>28403</v>
      </c>
      <c r="N331" s="116"/>
      <c r="O331" s="116"/>
      <c r="P331" s="116"/>
      <c r="Q331" s="1129"/>
      <c r="R331" s="2500" t="s">
        <v>9046</v>
      </c>
      <c r="S331" s="2499">
        <f>D331*(E331/1000)*(F331/1000)</f>
        <v>0</v>
      </c>
      <c r="T331" s="2499" t="s">
        <v>28181</v>
      </c>
      <c r="V331" s="1">
        <v>1</v>
      </c>
      <c r="Y331" s="1">
        <v>1</v>
      </c>
      <c r="AE331" s="1">
        <v>1</v>
      </c>
      <c r="AF331"/>
      <c r="AG331"/>
      <c r="AH331"/>
      <c r="AJ331" s="1">
        <f t="shared" si="110"/>
        <v>0</v>
      </c>
    </row>
    <row r="332" spans="1:36" ht="18" customHeight="1" x14ac:dyDescent="0.2">
      <c r="A332" s="1309"/>
      <c r="B332" s="653" t="s">
        <v>29250</v>
      </c>
      <c r="C332" s="665" t="s">
        <v>27788</v>
      </c>
      <c r="D332" s="814">
        <f>'Berechnung &amp; Tabellen'!E84</f>
        <v>0</v>
      </c>
      <c r="E332" s="200">
        <v>190.96</v>
      </c>
      <c r="F332" s="200">
        <v>2750</v>
      </c>
      <c r="G332" s="118">
        <v>2</v>
      </c>
      <c r="H332" s="2464">
        <f t="shared" si="107"/>
        <v>0.52513999999999994</v>
      </c>
      <c r="I332" s="2464"/>
      <c r="J332" s="2465">
        <f t="shared" si="108"/>
        <v>8.2446979999999979</v>
      </c>
      <c r="K332" s="2465">
        <f t="shared" si="109"/>
        <v>0</v>
      </c>
      <c r="L332" s="1" t="s">
        <v>53</v>
      </c>
      <c r="M332" s="1" t="s">
        <v>28402</v>
      </c>
      <c r="N332" s="116"/>
      <c r="O332" s="116"/>
      <c r="P332" s="116"/>
      <c r="Q332" s="1129"/>
      <c r="R332" s="2501" t="str">
        <f>C332</f>
        <v>0308120</v>
      </c>
      <c r="S332" s="2502">
        <f>D332</f>
        <v>0</v>
      </c>
      <c r="T332" s="2503" t="s">
        <v>53</v>
      </c>
      <c r="V332" s="1">
        <v>1</v>
      </c>
      <c r="AE332" s="1">
        <v>1</v>
      </c>
      <c r="AF332"/>
      <c r="AG332"/>
      <c r="AH332"/>
      <c r="AI332" s="193">
        <v>1</v>
      </c>
      <c r="AJ332" s="1">
        <f t="shared" si="110"/>
        <v>0</v>
      </c>
    </row>
    <row r="333" spans="1:36" ht="18" customHeight="1" x14ac:dyDescent="0.2">
      <c r="A333" s="1309"/>
      <c r="B333" s="653" t="s">
        <v>29276</v>
      </c>
      <c r="C333" s="665" t="s">
        <v>27798</v>
      </c>
      <c r="D333" s="814">
        <f>'Berechnung &amp; Tabellen'!E85</f>
        <v>0</v>
      </c>
      <c r="E333" s="200">
        <v>189.9</v>
      </c>
      <c r="F333" s="200">
        <v>2750</v>
      </c>
      <c r="G333" s="118">
        <v>2</v>
      </c>
      <c r="H333" s="2464">
        <f t="shared" si="107"/>
        <v>0.52222500000000005</v>
      </c>
      <c r="I333" s="2464"/>
      <c r="J333" s="2465">
        <f t="shared" si="108"/>
        <v>8.1989324999999997</v>
      </c>
      <c r="K333" s="2465">
        <f t="shared" si="109"/>
        <v>0</v>
      </c>
      <c r="L333" s="1" t="s">
        <v>53</v>
      </c>
      <c r="M333" s="1" t="s">
        <v>28403</v>
      </c>
      <c r="N333" s="116"/>
      <c r="O333" s="116"/>
      <c r="P333" s="116"/>
      <c r="Q333" s="1129"/>
      <c r="R333" s="2500" t="s">
        <v>9046</v>
      </c>
      <c r="S333" s="2499">
        <f>D333*(E333/1000)*(F333/1000)</f>
        <v>0</v>
      </c>
      <c r="T333" s="2499" t="s">
        <v>28181</v>
      </c>
      <c r="V333" s="1">
        <v>1</v>
      </c>
      <c r="Y333" s="1">
        <v>1</v>
      </c>
      <c r="AE333" s="1">
        <v>1</v>
      </c>
      <c r="AF333"/>
      <c r="AG333"/>
      <c r="AH333"/>
      <c r="AJ333" s="1">
        <f t="shared" si="110"/>
        <v>0</v>
      </c>
    </row>
    <row r="334" spans="1:36" ht="18" customHeight="1" x14ac:dyDescent="0.2">
      <c r="A334" s="1309"/>
      <c r="B334" s="653" t="s">
        <v>29251</v>
      </c>
      <c r="C334" s="665" t="s">
        <v>27789</v>
      </c>
      <c r="D334" s="814">
        <f>'Berechnung &amp; Tabellen'!E86</f>
        <v>0</v>
      </c>
      <c r="E334" s="200">
        <v>190.96</v>
      </c>
      <c r="F334" s="200">
        <v>3000</v>
      </c>
      <c r="G334" s="118">
        <v>2</v>
      </c>
      <c r="H334" s="2464">
        <f t="shared" si="107"/>
        <v>0.57287999999999994</v>
      </c>
      <c r="I334" s="2464"/>
      <c r="J334" s="2465">
        <f t="shared" si="108"/>
        <v>8.994215999999998</v>
      </c>
      <c r="K334" s="2465">
        <f t="shared" si="109"/>
        <v>0</v>
      </c>
      <c r="L334" s="1" t="s">
        <v>53</v>
      </c>
      <c r="M334" s="1" t="s">
        <v>28402</v>
      </c>
      <c r="N334" s="116"/>
      <c r="O334" s="116"/>
      <c r="P334" s="116"/>
      <c r="Q334" s="1129"/>
      <c r="R334" s="2501" t="str">
        <f>C334</f>
        <v>0308121</v>
      </c>
      <c r="S334" s="2502">
        <f>D334</f>
        <v>0</v>
      </c>
      <c r="T334" s="2503" t="s">
        <v>53</v>
      </c>
      <c r="V334" s="1">
        <v>1</v>
      </c>
      <c r="AE334" s="1">
        <v>1</v>
      </c>
      <c r="AF334"/>
      <c r="AG334"/>
      <c r="AH334"/>
      <c r="AI334" s="193">
        <v>1</v>
      </c>
      <c r="AJ334" s="1">
        <f t="shared" si="110"/>
        <v>0</v>
      </c>
    </row>
    <row r="335" spans="1:36" ht="18" customHeight="1" x14ac:dyDescent="0.2">
      <c r="A335" s="1309"/>
      <c r="B335" s="653" t="s">
        <v>29277</v>
      </c>
      <c r="C335" s="665" t="s">
        <v>27799</v>
      </c>
      <c r="D335" s="814">
        <f>'Berechnung &amp; Tabellen'!E87</f>
        <v>0</v>
      </c>
      <c r="E335" s="200">
        <v>189.9</v>
      </c>
      <c r="F335" s="200">
        <v>3000</v>
      </c>
      <c r="G335" s="118">
        <v>2</v>
      </c>
      <c r="H335" s="2464">
        <f t="shared" si="107"/>
        <v>0.5697000000000001</v>
      </c>
      <c r="I335" s="2464"/>
      <c r="J335" s="2465">
        <f t="shared" si="108"/>
        <v>8.9442900000000005</v>
      </c>
      <c r="K335" s="2465">
        <f t="shared" si="109"/>
        <v>0</v>
      </c>
      <c r="L335" s="1" t="s">
        <v>53</v>
      </c>
      <c r="M335" s="1" t="s">
        <v>28403</v>
      </c>
      <c r="N335" s="116"/>
      <c r="O335" s="116"/>
      <c r="P335" s="116"/>
      <c r="Q335" s="1129"/>
      <c r="R335" s="2500" t="s">
        <v>9046</v>
      </c>
      <c r="S335" s="2499">
        <f t="shared" ref="S335:S355" si="111">D335*(E335/1000)*(F335/1000)</f>
        <v>0</v>
      </c>
      <c r="T335" s="2499" t="s">
        <v>28181</v>
      </c>
      <c r="V335" s="1">
        <v>1</v>
      </c>
      <c r="Y335" s="1">
        <v>1</v>
      </c>
      <c r="AE335" s="1">
        <v>1</v>
      </c>
      <c r="AF335"/>
      <c r="AG335"/>
      <c r="AH335"/>
      <c r="AJ335" s="1">
        <f t="shared" si="110"/>
        <v>0</v>
      </c>
    </row>
    <row r="336" spans="1:36" ht="18" customHeight="1" x14ac:dyDescent="0.2">
      <c r="A336" s="1309"/>
      <c r="B336" s="653" t="s">
        <v>29256</v>
      </c>
      <c r="C336" s="665" t="s">
        <v>27800</v>
      </c>
      <c r="D336" s="814">
        <f>'Berechnung &amp; Tabellen'!E88</f>
        <v>0</v>
      </c>
      <c r="E336" s="200">
        <v>207.96</v>
      </c>
      <c r="F336" s="200">
        <v>750</v>
      </c>
      <c r="G336" s="118">
        <v>2</v>
      </c>
      <c r="H336" s="2464">
        <f t="shared" si="107"/>
        <v>0.15597</v>
      </c>
      <c r="I336" s="2464"/>
      <c r="J336" s="2465">
        <f t="shared" si="108"/>
        <v>2.4487289999999997</v>
      </c>
      <c r="K336" s="2465">
        <f t="shared" si="109"/>
        <v>0</v>
      </c>
      <c r="L336" s="1" t="s">
        <v>53</v>
      </c>
      <c r="M336" s="1" t="s">
        <v>28402</v>
      </c>
      <c r="N336" s="116"/>
      <c r="O336" s="116"/>
      <c r="P336" s="116"/>
      <c r="Q336" s="1129"/>
      <c r="R336" s="2516" t="s">
        <v>8990</v>
      </c>
      <c r="S336" s="2499">
        <f t="shared" si="111"/>
        <v>0</v>
      </c>
      <c r="T336" s="2499" t="s">
        <v>28181</v>
      </c>
      <c r="V336" s="1">
        <v>1</v>
      </c>
      <c r="Y336" s="1">
        <v>1</v>
      </c>
      <c r="AE336" s="1">
        <v>1</v>
      </c>
      <c r="AF336"/>
      <c r="AG336"/>
      <c r="AH336"/>
      <c r="AI336" s="193">
        <v>1</v>
      </c>
      <c r="AJ336" s="1">
        <f t="shared" si="110"/>
        <v>0</v>
      </c>
    </row>
    <row r="337" spans="1:36" ht="18" customHeight="1" x14ac:dyDescent="0.2">
      <c r="A337" s="1309"/>
      <c r="B337" s="653" t="s">
        <v>29278</v>
      </c>
      <c r="C337" s="665" t="s">
        <v>27810</v>
      </c>
      <c r="D337" s="814">
        <f>'Berechnung &amp; Tabellen'!E89</f>
        <v>0</v>
      </c>
      <c r="E337" s="200">
        <v>206.9</v>
      </c>
      <c r="F337" s="200">
        <v>750</v>
      </c>
      <c r="G337" s="118">
        <v>2</v>
      </c>
      <c r="H337" s="2464">
        <f t="shared" si="107"/>
        <v>0.15517500000000001</v>
      </c>
      <c r="I337" s="2464"/>
      <c r="J337" s="2465">
        <f t="shared" si="108"/>
        <v>2.4362474999999999</v>
      </c>
      <c r="K337" s="2465">
        <f t="shared" si="109"/>
        <v>0</v>
      </c>
      <c r="L337" s="1" t="s">
        <v>53</v>
      </c>
      <c r="M337" s="1" t="s">
        <v>28403</v>
      </c>
      <c r="N337" s="116"/>
      <c r="O337" s="116"/>
      <c r="P337" s="116"/>
      <c r="Q337" s="1129"/>
      <c r="R337" s="2500" t="s">
        <v>9046</v>
      </c>
      <c r="S337" s="2499">
        <f t="shared" si="111"/>
        <v>0</v>
      </c>
      <c r="T337" s="2499" t="s">
        <v>28181</v>
      </c>
      <c r="V337" s="1">
        <v>1</v>
      </c>
      <c r="Y337" s="1">
        <v>1</v>
      </c>
      <c r="AE337" s="1">
        <v>1</v>
      </c>
      <c r="AF337"/>
      <c r="AG337"/>
      <c r="AH337"/>
      <c r="AJ337" s="1">
        <f t="shared" si="110"/>
        <v>0</v>
      </c>
    </row>
    <row r="338" spans="1:36" ht="18" customHeight="1" x14ac:dyDescent="0.2">
      <c r="A338" s="1309"/>
      <c r="B338" s="653" t="s">
        <v>29257</v>
      </c>
      <c r="C338" s="665" t="s">
        <v>27801</v>
      </c>
      <c r="D338" s="814">
        <f>'Berechnung &amp; Tabellen'!E90</f>
        <v>0</v>
      </c>
      <c r="E338" s="200">
        <v>207.96</v>
      </c>
      <c r="F338" s="200">
        <v>1000</v>
      </c>
      <c r="G338" s="118">
        <v>2</v>
      </c>
      <c r="H338" s="2464">
        <f t="shared" si="107"/>
        <v>0.20796000000000001</v>
      </c>
      <c r="I338" s="2464"/>
      <c r="J338" s="2465">
        <f t="shared" si="108"/>
        <v>3.2649719999999998</v>
      </c>
      <c r="K338" s="2465">
        <f t="shared" si="109"/>
        <v>0</v>
      </c>
      <c r="L338" s="1" t="s">
        <v>53</v>
      </c>
      <c r="M338" s="1" t="s">
        <v>28402</v>
      </c>
      <c r="N338" s="116"/>
      <c r="O338" s="116"/>
      <c r="P338" s="116"/>
      <c r="Q338" s="1129"/>
      <c r="R338" s="2516" t="s">
        <v>8990</v>
      </c>
      <c r="S338" s="2499">
        <f t="shared" si="111"/>
        <v>0</v>
      </c>
      <c r="T338" s="2499" t="s">
        <v>28181</v>
      </c>
      <c r="V338" s="1">
        <v>1</v>
      </c>
      <c r="Y338" s="1">
        <v>1</v>
      </c>
      <c r="AE338" s="1">
        <v>1</v>
      </c>
      <c r="AF338"/>
      <c r="AG338"/>
      <c r="AH338"/>
      <c r="AI338" s="193">
        <v>1</v>
      </c>
      <c r="AJ338" s="1">
        <f t="shared" si="110"/>
        <v>0</v>
      </c>
    </row>
    <row r="339" spans="1:36" ht="18" customHeight="1" x14ac:dyDescent="0.2">
      <c r="A339" s="1309"/>
      <c r="B339" s="653" t="s">
        <v>29279</v>
      </c>
      <c r="C339" s="665" t="s">
        <v>27811</v>
      </c>
      <c r="D339" s="814">
        <f>'Berechnung &amp; Tabellen'!E91</f>
        <v>0</v>
      </c>
      <c r="E339" s="200">
        <v>206.9</v>
      </c>
      <c r="F339" s="200">
        <v>1000</v>
      </c>
      <c r="G339" s="118">
        <v>2</v>
      </c>
      <c r="H339" s="2464">
        <f t="shared" si="107"/>
        <v>0.2069</v>
      </c>
      <c r="I339" s="2464"/>
      <c r="J339" s="2465">
        <f t="shared" si="108"/>
        <v>3.2483299999999997</v>
      </c>
      <c r="K339" s="2465">
        <f t="shared" si="109"/>
        <v>0</v>
      </c>
      <c r="L339" s="1" t="s">
        <v>53</v>
      </c>
      <c r="M339" s="1" t="s">
        <v>28403</v>
      </c>
      <c r="N339" s="116"/>
      <c r="O339" s="116"/>
      <c r="P339" s="116"/>
      <c r="Q339" s="1129"/>
      <c r="R339" s="2500" t="s">
        <v>9046</v>
      </c>
      <c r="S339" s="2499">
        <f t="shared" si="111"/>
        <v>0</v>
      </c>
      <c r="T339" s="2499" t="s">
        <v>28181</v>
      </c>
      <c r="V339" s="1">
        <v>1</v>
      </c>
      <c r="Y339" s="1">
        <v>1</v>
      </c>
      <c r="AE339" s="1">
        <v>1</v>
      </c>
      <c r="AF339"/>
      <c r="AG339"/>
      <c r="AH339"/>
      <c r="AJ339" s="1">
        <f t="shared" si="110"/>
        <v>0</v>
      </c>
    </row>
    <row r="340" spans="1:36" ht="18" customHeight="1" x14ac:dyDescent="0.2">
      <c r="A340" s="1309"/>
      <c r="B340" s="653" t="s">
        <v>29258</v>
      </c>
      <c r="C340" s="665" t="s">
        <v>27802</v>
      </c>
      <c r="D340" s="814">
        <f>'Berechnung &amp; Tabellen'!E92</f>
        <v>0</v>
      </c>
      <c r="E340" s="200">
        <v>207.96</v>
      </c>
      <c r="F340" s="200">
        <v>1250</v>
      </c>
      <c r="G340" s="118">
        <v>2</v>
      </c>
      <c r="H340" s="2464">
        <f t="shared" si="107"/>
        <v>0.25995000000000001</v>
      </c>
      <c r="I340" s="2464"/>
      <c r="J340" s="2465">
        <f t="shared" si="108"/>
        <v>4.0812150000000003</v>
      </c>
      <c r="K340" s="2465">
        <f t="shared" si="109"/>
        <v>0</v>
      </c>
      <c r="L340" s="1" t="s">
        <v>53</v>
      </c>
      <c r="M340" s="1" t="s">
        <v>28402</v>
      </c>
      <c r="N340" s="116"/>
      <c r="O340" s="116"/>
      <c r="P340" s="116"/>
      <c r="Q340" s="1129"/>
      <c r="R340" s="2516" t="s">
        <v>8990</v>
      </c>
      <c r="S340" s="2499">
        <f t="shared" si="111"/>
        <v>0</v>
      </c>
      <c r="T340" s="2499" t="s">
        <v>28181</v>
      </c>
      <c r="V340" s="1">
        <v>1</v>
      </c>
      <c r="Y340" s="1">
        <v>1</v>
      </c>
      <c r="AE340" s="1">
        <v>1</v>
      </c>
      <c r="AF340"/>
      <c r="AG340"/>
      <c r="AH340"/>
      <c r="AI340" s="193">
        <v>1</v>
      </c>
      <c r="AJ340" s="1">
        <f t="shared" si="110"/>
        <v>0</v>
      </c>
    </row>
    <row r="341" spans="1:36" ht="18" customHeight="1" x14ac:dyDescent="0.2">
      <c r="A341" s="1309"/>
      <c r="B341" s="653" t="s">
        <v>29280</v>
      </c>
      <c r="C341" s="665" t="s">
        <v>27812</v>
      </c>
      <c r="D341" s="814">
        <f>'Berechnung &amp; Tabellen'!E93</f>
        <v>0</v>
      </c>
      <c r="E341" s="200">
        <v>206.9</v>
      </c>
      <c r="F341" s="200">
        <v>1250</v>
      </c>
      <c r="G341" s="118">
        <v>2</v>
      </c>
      <c r="H341" s="2464">
        <f t="shared" si="107"/>
        <v>0.25862499999999999</v>
      </c>
      <c r="I341" s="2464"/>
      <c r="J341" s="2465">
        <f t="shared" si="108"/>
        <v>4.0604125</v>
      </c>
      <c r="K341" s="2465">
        <f t="shared" si="109"/>
        <v>0</v>
      </c>
      <c r="L341" s="1" t="s">
        <v>53</v>
      </c>
      <c r="M341" s="1" t="s">
        <v>28403</v>
      </c>
      <c r="N341" s="116"/>
      <c r="O341" s="116"/>
      <c r="P341" s="116"/>
      <c r="Q341" s="1129"/>
      <c r="R341" s="2500" t="s">
        <v>9046</v>
      </c>
      <c r="S341" s="2499">
        <f t="shared" si="111"/>
        <v>0</v>
      </c>
      <c r="T341" s="2499" t="s">
        <v>28181</v>
      </c>
      <c r="V341" s="1">
        <v>1</v>
      </c>
      <c r="Y341" s="1">
        <v>1</v>
      </c>
      <c r="AE341" s="1">
        <v>1</v>
      </c>
      <c r="AF341"/>
      <c r="AG341"/>
      <c r="AH341"/>
      <c r="AJ341" s="1">
        <f t="shared" si="110"/>
        <v>0</v>
      </c>
    </row>
    <row r="342" spans="1:36" ht="18" customHeight="1" x14ac:dyDescent="0.2">
      <c r="A342" s="1309"/>
      <c r="B342" s="653" t="s">
        <v>29259</v>
      </c>
      <c r="C342" s="665" t="s">
        <v>27803</v>
      </c>
      <c r="D342" s="814">
        <f>'Berechnung &amp; Tabellen'!E94</f>
        <v>0</v>
      </c>
      <c r="E342" s="200">
        <v>207.96</v>
      </c>
      <c r="F342" s="200">
        <v>1500</v>
      </c>
      <c r="G342" s="118">
        <v>2</v>
      </c>
      <c r="H342" s="2464">
        <f t="shared" si="107"/>
        <v>0.31194</v>
      </c>
      <c r="I342" s="2464"/>
      <c r="J342" s="2465">
        <f t="shared" si="108"/>
        <v>4.8974579999999994</v>
      </c>
      <c r="K342" s="2465">
        <f t="shared" si="109"/>
        <v>0</v>
      </c>
      <c r="L342" s="1" t="s">
        <v>53</v>
      </c>
      <c r="M342" s="1" t="s">
        <v>28402</v>
      </c>
      <c r="N342" s="116"/>
      <c r="O342" s="116"/>
      <c r="P342" s="116"/>
      <c r="Q342" s="1129"/>
      <c r="R342" s="2516" t="s">
        <v>8990</v>
      </c>
      <c r="S342" s="2499">
        <f t="shared" si="111"/>
        <v>0</v>
      </c>
      <c r="T342" s="2499" t="s">
        <v>28181</v>
      </c>
      <c r="V342" s="1">
        <v>1</v>
      </c>
      <c r="Y342" s="1">
        <v>1</v>
      </c>
      <c r="AE342" s="1">
        <v>1</v>
      </c>
      <c r="AF342"/>
      <c r="AG342"/>
      <c r="AH342"/>
      <c r="AI342" s="193">
        <v>1</v>
      </c>
      <c r="AJ342" s="1">
        <f t="shared" si="110"/>
        <v>0</v>
      </c>
    </row>
    <row r="343" spans="1:36" ht="18" customHeight="1" x14ac:dyDescent="0.2">
      <c r="A343" s="1309"/>
      <c r="B343" s="653" t="s">
        <v>29281</v>
      </c>
      <c r="C343" s="665" t="s">
        <v>27813</v>
      </c>
      <c r="D343" s="814">
        <f>'Berechnung &amp; Tabellen'!E95</f>
        <v>0</v>
      </c>
      <c r="E343" s="200">
        <v>206.9</v>
      </c>
      <c r="F343" s="200">
        <v>1500</v>
      </c>
      <c r="G343" s="118">
        <v>2</v>
      </c>
      <c r="H343" s="2464">
        <f t="shared" si="107"/>
        <v>0.31035000000000001</v>
      </c>
      <c r="I343" s="2464"/>
      <c r="J343" s="2465">
        <f t="shared" si="108"/>
        <v>4.8724949999999998</v>
      </c>
      <c r="K343" s="2465">
        <f t="shared" si="109"/>
        <v>0</v>
      </c>
      <c r="L343" s="1" t="s">
        <v>53</v>
      </c>
      <c r="M343" s="1" t="s">
        <v>28403</v>
      </c>
      <c r="N343" s="116"/>
      <c r="O343" s="116"/>
      <c r="P343" s="116"/>
      <c r="Q343" s="1129"/>
      <c r="R343" s="2500" t="s">
        <v>9046</v>
      </c>
      <c r="S343" s="2499">
        <f t="shared" si="111"/>
        <v>0</v>
      </c>
      <c r="T343" s="2499" t="s">
        <v>28181</v>
      </c>
      <c r="V343" s="1">
        <v>1</v>
      </c>
      <c r="Y343" s="1">
        <v>1</v>
      </c>
      <c r="AE343" s="1">
        <v>1</v>
      </c>
      <c r="AF343"/>
      <c r="AG343"/>
      <c r="AH343"/>
      <c r="AJ343" s="1">
        <f t="shared" si="110"/>
        <v>0</v>
      </c>
    </row>
    <row r="344" spans="1:36" ht="18" customHeight="1" x14ac:dyDescent="0.2">
      <c r="A344" s="1309"/>
      <c r="B344" s="653" t="s">
        <v>29260</v>
      </c>
      <c r="C344" s="665" t="s">
        <v>27804</v>
      </c>
      <c r="D344" s="814">
        <f>'Berechnung &amp; Tabellen'!E96</f>
        <v>0</v>
      </c>
      <c r="E344" s="200">
        <v>207.96</v>
      </c>
      <c r="F344" s="200">
        <v>1750</v>
      </c>
      <c r="G344" s="118">
        <v>2</v>
      </c>
      <c r="H344" s="2464">
        <f t="shared" si="107"/>
        <v>0.36393000000000003</v>
      </c>
      <c r="I344" s="2464"/>
      <c r="J344" s="2465">
        <f t="shared" si="108"/>
        <v>5.7137010000000004</v>
      </c>
      <c r="K344" s="2465">
        <f t="shared" si="109"/>
        <v>0</v>
      </c>
      <c r="L344" s="1" t="s">
        <v>53</v>
      </c>
      <c r="M344" s="1" t="s">
        <v>28402</v>
      </c>
      <c r="N344" s="116"/>
      <c r="O344" s="116"/>
      <c r="P344" s="116"/>
      <c r="Q344" s="1129"/>
      <c r="R344" s="2516" t="s">
        <v>8990</v>
      </c>
      <c r="S344" s="2499">
        <f t="shared" si="111"/>
        <v>0</v>
      </c>
      <c r="T344" s="2499" t="s">
        <v>28181</v>
      </c>
      <c r="V344" s="1">
        <v>1</v>
      </c>
      <c r="Y344" s="1">
        <v>1</v>
      </c>
      <c r="AE344" s="1">
        <v>1</v>
      </c>
      <c r="AF344"/>
      <c r="AG344"/>
      <c r="AH344"/>
      <c r="AI344" s="193">
        <v>1</v>
      </c>
      <c r="AJ344" s="1">
        <f t="shared" si="110"/>
        <v>0</v>
      </c>
    </row>
    <row r="345" spans="1:36" ht="18" customHeight="1" x14ac:dyDescent="0.2">
      <c r="A345" s="1309"/>
      <c r="B345" s="653" t="s">
        <v>29282</v>
      </c>
      <c r="C345" s="665" t="s">
        <v>27814</v>
      </c>
      <c r="D345" s="814">
        <f>'Berechnung &amp; Tabellen'!E97</f>
        <v>0</v>
      </c>
      <c r="E345" s="200">
        <v>206.9</v>
      </c>
      <c r="F345" s="200">
        <v>1750</v>
      </c>
      <c r="G345" s="118">
        <v>2</v>
      </c>
      <c r="H345" s="2464">
        <f t="shared" si="107"/>
        <v>0.36207499999999998</v>
      </c>
      <c r="I345" s="2464"/>
      <c r="J345" s="2465">
        <f t="shared" si="108"/>
        <v>5.6845774999999996</v>
      </c>
      <c r="K345" s="2465">
        <f t="shared" si="109"/>
        <v>0</v>
      </c>
      <c r="L345" s="1" t="s">
        <v>53</v>
      </c>
      <c r="M345" s="1" t="s">
        <v>28403</v>
      </c>
      <c r="N345" s="116"/>
      <c r="O345" s="116"/>
      <c r="P345" s="116"/>
      <c r="Q345" s="1129"/>
      <c r="R345" s="2500" t="s">
        <v>9046</v>
      </c>
      <c r="S345" s="2499">
        <f t="shared" si="111"/>
        <v>0</v>
      </c>
      <c r="T345" s="2499" t="s">
        <v>28181</v>
      </c>
      <c r="V345" s="1">
        <v>1</v>
      </c>
      <c r="Y345" s="1">
        <v>1</v>
      </c>
      <c r="AE345" s="1">
        <v>1</v>
      </c>
      <c r="AF345"/>
      <c r="AG345"/>
      <c r="AH345"/>
      <c r="AJ345" s="1">
        <f t="shared" si="110"/>
        <v>0</v>
      </c>
    </row>
    <row r="346" spans="1:36" ht="18" customHeight="1" x14ac:dyDescent="0.2">
      <c r="A346" s="1309"/>
      <c r="B346" s="653" t="s">
        <v>29261</v>
      </c>
      <c r="C346" s="665" t="s">
        <v>27805</v>
      </c>
      <c r="D346" s="814">
        <f>'Berechnung &amp; Tabellen'!E98</f>
        <v>0</v>
      </c>
      <c r="E346" s="200">
        <v>207.96</v>
      </c>
      <c r="F346" s="200">
        <v>2000</v>
      </c>
      <c r="G346" s="118">
        <v>2</v>
      </c>
      <c r="H346" s="2464">
        <f t="shared" si="107"/>
        <v>0.41592000000000001</v>
      </c>
      <c r="I346" s="2464"/>
      <c r="J346" s="2465">
        <f t="shared" si="108"/>
        <v>6.5299439999999995</v>
      </c>
      <c r="K346" s="2465">
        <f t="shared" si="109"/>
        <v>0</v>
      </c>
      <c r="L346" s="1" t="s">
        <v>53</v>
      </c>
      <c r="M346" s="1" t="s">
        <v>28402</v>
      </c>
      <c r="N346" s="116"/>
      <c r="O346" s="116"/>
      <c r="P346" s="116"/>
      <c r="Q346" s="1129"/>
      <c r="R346" s="2516" t="s">
        <v>8990</v>
      </c>
      <c r="S346" s="2499">
        <f t="shared" si="111"/>
        <v>0</v>
      </c>
      <c r="T346" s="2499" t="s">
        <v>28181</v>
      </c>
      <c r="V346" s="1">
        <v>1</v>
      </c>
      <c r="Y346" s="1">
        <v>1</v>
      </c>
      <c r="AE346" s="1">
        <v>1</v>
      </c>
      <c r="AF346"/>
      <c r="AG346"/>
      <c r="AH346"/>
      <c r="AI346" s="193">
        <v>1</v>
      </c>
      <c r="AJ346" s="1">
        <f t="shared" si="110"/>
        <v>0</v>
      </c>
    </row>
    <row r="347" spans="1:36" ht="18" customHeight="1" x14ac:dyDescent="0.2">
      <c r="A347" s="1309"/>
      <c r="B347" s="653" t="s">
        <v>29283</v>
      </c>
      <c r="C347" s="665" t="s">
        <v>27815</v>
      </c>
      <c r="D347" s="814">
        <f>'Berechnung &amp; Tabellen'!E99</f>
        <v>0</v>
      </c>
      <c r="E347" s="200">
        <v>206.9</v>
      </c>
      <c r="F347" s="200">
        <v>2000</v>
      </c>
      <c r="G347" s="118">
        <v>2</v>
      </c>
      <c r="H347" s="2464">
        <f t="shared" si="107"/>
        <v>0.4138</v>
      </c>
      <c r="I347" s="2464"/>
      <c r="J347" s="2465">
        <f t="shared" si="108"/>
        <v>6.4966599999999994</v>
      </c>
      <c r="K347" s="2465">
        <f t="shared" si="109"/>
        <v>0</v>
      </c>
      <c r="L347" s="1" t="s">
        <v>53</v>
      </c>
      <c r="M347" s="1" t="s">
        <v>28403</v>
      </c>
      <c r="N347" s="116"/>
      <c r="O347" s="116"/>
      <c r="P347" s="116"/>
      <c r="Q347" s="1129"/>
      <c r="R347" s="2500" t="s">
        <v>9046</v>
      </c>
      <c r="S347" s="2499">
        <f t="shared" si="111"/>
        <v>0</v>
      </c>
      <c r="T347" s="2499" t="s">
        <v>28181</v>
      </c>
      <c r="V347" s="1">
        <v>1</v>
      </c>
      <c r="Y347" s="1">
        <v>1</v>
      </c>
      <c r="AE347" s="1">
        <v>1</v>
      </c>
      <c r="AF347"/>
      <c r="AG347"/>
      <c r="AH347"/>
      <c r="AJ347" s="1">
        <f t="shared" si="110"/>
        <v>0</v>
      </c>
    </row>
    <row r="348" spans="1:36" ht="18" customHeight="1" x14ac:dyDescent="0.2">
      <c r="A348" s="1309"/>
      <c r="B348" s="653" t="s">
        <v>29263</v>
      </c>
      <c r="C348" s="665" t="s">
        <v>27806</v>
      </c>
      <c r="D348" s="814">
        <f>'Berechnung &amp; Tabellen'!E100</f>
        <v>0</v>
      </c>
      <c r="E348" s="200">
        <v>207.96</v>
      </c>
      <c r="F348" s="200">
        <v>2250</v>
      </c>
      <c r="G348" s="118">
        <v>2</v>
      </c>
      <c r="H348" s="2464">
        <f t="shared" si="107"/>
        <v>0.46791000000000005</v>
      </c>
      <c r="I348" s="2464"/>
      <c r="J348" s="2465">
        <f t="shared" si="108"/>
        <v>7.3461870000000005</v>
      </c>
      <c r="K348" s="2465">
        <f t="shared" si="109"/>
        <v>0</v>
      </c>
      <c r="L348" s="1" t="s">
        <v>53</v>
      </c>
      <c r="M348" s="1" t="s">
        <v>28402</v>
      </c>
      <c r="N348" s="116"/>
      <c r="O348" s="116"/>
      <c r="P348" s="116"/>
      <c r="Q348" s="1129"/>
      <c r="R348" s="2516" t="s">
        <v>8990</v>
      </c>
      <c r="S348" s="2499">
        <f t="shared" si="111"/>
        <v>0</v>
      </c>
      <c r="T348" s="2499" t="s">
        <v>28181</v>
      </c>
      <c r="V348" s="1">
        <v>1</v>
      </c>
      <c r="Y348" s="1">
        <v>1</v>
      </c>
      <c r="AE348" s="1">
        <v>1</v>
      </c>
      <c r="AF348"/>
      <c r="AG348"/>
      <c r="AH348"/>
      <c r="AI348" s="193">
        <v>1</v>
      </c>
      <c r="AJ348" s="1">
        <f t="shared" si="110"/>
        <v>0</v>
      </c>
    </row>
    <row r="349" spans="1:36" ht="18" customHeight="1" x14ac:dyDescent="0.2">
      <c r="A349" s="1309"/>
      <c r="B349" s="653" t="s">
        <v>29284</v>
      </c>
      <c r="C349" s="665" t="s">
        <v>27816</v>
      </c>
      <c r="D349" s="814">
        <f>'Berechnung &amp; Tabellen'!E101</f>
        <v>0</v>
      </c>
      <c r="E349" s="200">
        <v>206.9</v>
      </c>
      <c r="F349" s="200">
        <v>2250</v>
      </c>
      <c r="G349" s="118">
        <v>2</v>
      </c>
      <c r="H349" s="2464">
        <f t="shared" si="107"/>
        <v>0.46552499999999997</v>
      </c>
      <c r="I349" s="2464"/>
      <c r="J349" s="2465">
        <f t="shared" si="108"/>
        <v>7.3087424999999993</v>
      </c>
      <c r="K349" s="2465">
        <f t="shared" si="109"/>
        <v>0</v>
      </c>
      <c r="L349" s="1" t="s">
        <v>53</v>
      </c>
      <c r="M349" s="1" t="s">
        <v>28403</v>
      </c>
      <c r="N349" s="116"/>
      <c r="O349" s="116"/>
      <c r="P349" s="116"/>
      <c r="Q349" s="1129"/>
      <c r="R349" s="2500" t="s">
        <v>9046</v>
      </c>
      <c r="S349" s="2499">
        <f t="shared" si="111"/>
        <v>0</v>
      </c>
      <c r="T349" s="2499" t="s">
        <v>28181</v>
      </c>
      <c r="V349" s="1">
        <v>1</v>
      </c>
      <c r="Y349" s="1">
        <v>1</v>
      </c>
      <c r="AE349" s="1">
        <v>1</v>
      </c>
      <c r="AF349"/>
      <c r="AG349"/>
      <c r="AH349"/>
      <c r="AJ349" s="1">
        <f t="shared" si="110"/>
        <v>0</v>
      </c>
    </row>
    <row r="350" spans="1:36" ht="18" customHeight="1" x14ac:dyDescent="0.2">
      <c r="A350" s="1309"/>
      <c r="B350" s="653" t="s">
        <v>29264</v>
      </c>
      <c r="C350" s="665" t="s">
        <v>27807</v>
      </c>
      <c r="D350" s="814">
        <f>'Berechnung &amp; Tabellen'!E102</f>
        <v>0</v>
      </c>
      <c r="E350" s="200">
        <v>207.96</v>
      </c>
      <c r="F350" s="200">
        <v>2500</v>
      </c>
      <c r="G350" s="118">
        <v>2</v>
      </c>
      <c r="H350" s="2464">
        <f t="shared" si="107"/>
        <v>0.51990000000000003</v>
      </c>
      <c r="I350" s="2464"/>
      <c r="J350" s="2465">
        <f t="shared" si="108"/>
        <v>8.1624300000000005</v>
      </c>
      <c r="K350" s="2465">
        <f t="shared" si="109"/>
        <v>0</v>
      </c>
      <c r="L350" s="1" t="s">
        <v>53</v>
      </c>
      <c r="M350" s="1" t="s">
        <v>28402</v>
      </c>
      <c r="N350" s="116"/>
      <c r="O350" s="116"/>
      <c r="P350" s="116"/>
      <c r="Q350" s="1129"/>
      <c r="R350" s="2516" t="s">
        <v>8990</v>
      </c>
      <c r="S350" s="2499">
        <f t="shared" si="111"/>
        <v>0</v>
      </c>
      <c r="T350" s="2499" t="s">
        <v>28181</v>
      </c>
      <c r="V350" s="1">
        <v>1</v>
      </c>
      <c r="Y350" s="1">
        <v>1</v>
      </c>
      <c r="AE350" s="1">
        <v>1</v>
      </c>
      <c r="AF350"/>
      <c r="AG350"/>
      <c r="AH350"/>
      <c r="AI350" s="193">
        <v>1</v>
      </c>
      <c r="AJ350" s="1">
        <f t="shared" si="110"/>
        <v>0</v>
      </c>
    </row>
    <row r="351" spans="1:36" ht="18" customHeight="1" x14ac:dyDescent="0.2">
      <c r="A351" s="1309"/>
      <c r="B351" s="653" t="s">
        <v>29285</v>
      </c>
      <c r="C351" s="665" t="s">
        <v>27817</v>
      </c>
      <c r="D351" s="814">
        <f>'Berechnung &amp; Tabellen'!E103</f>
        <v>0</v>
      </c>
      <c r="E351" s="200">
        <v>206.9</v>
      </c>
      <c r="F351" s="200">
        <v>2500</v>
      </c>
      <c r="G351" s="118">
        <v>2</v>
      </c>
      <c r="H351" s="2464">
        <f t="shared" si="107"/>
        <v>0.51724999999999999</v>
      </c>
      <c r="I351" s="2464"/>
      <c r="J351" s="2465">
        <f t="shared" si="108"/>
        <v>8.120825</v>
      </c>
      <c r="K351" s="2465">
        <f t="shared" si="109"/>
        <v>0</v>
      </c>
      <c r="L351" s="1" t="s">
        <v>53</v>
      </c>
      <c r="M351" s="1" t="s">
        <v>28403</v>
      </c>
      <c r="N351" s="116"/>
      <c r="O351" s="116"/>
      <c r="P351" s="116"/>
      <c r="Q351" s="1129"/>
      <c r="R351" s="2500" t="s">
        <v>9046</v>
      </c>
      <c r="S351" s="2499">
        <f t="shared" si="111"/>
        <v>0</v>
      </c>
      <c r="T351" s="2499" t="s">
        <v>28181</v>
      </c>
      <c r="V351" s="1">
        <v>1</v>
      </c>
      <c r="Y351" s="1">
        <v>1</v>
      </c>
      <c r="AE351" s="1">
        <v>1</v>
      </c>
      <c r="AF351"/>
      <c r="AG351"/>
      <c r="AH351"/>
      <c r="AJ351" s="1">
        <f t="shared" si="110"/>
        <v>0</v>
      </c>
    </row>
    <row r="352" spans="1:36" ht="18" customHeight="1" x14ac:dyDescent="0.2">
      <c r="A352" s="1309"/>
      <c r="B352" s="653" t="s">
        <v>29265</v>
      </c>
      <c r="C352" s="665" t="s">
        <v>27808</v>
      </c>
      <c r="D352" s="814">
        <f>'Berechnung &amp; Tabellen'!E104</f>
        <v>0</v>
      </c>
      <c r="E352" s="200">
        <v>207.96</v>
      </c>
      <c r="F352" s="200">
        <v>2750</v>
      </c>
      <c r="G352" s="118">
        <v>2</v>
      </c>
      <c r="H352" s="2464">
        <f t="shared" si="107"/>
        <v>0.57189000000000001</v>
      </c>
      <c r="I352" s="2464"/>
      <c r="J352" s="2465">
        <f t="shared" si="108"/>
        <v>8.9786730000000006</v>
      </c>
      <c r="K352" s="2465">
        <f t="shared" si="109"/>
        <v>0</v>
      </c>
      <c r="L352" s="1" t="s">
        <v>53</v>
      </c>
      <c r="M352" s="1" t="s">
        <v>28402</v>
      </c>
      <c r="N352" s="116"/>
      <c r="O352" s="116"/>
      <c r="P352" s="116"/>
      <c r="Q352" s="1129"/>
      <c r="R352" s="2516" t="s">
        <v>8990</v>
      </c>
      <c r="S352" s="2499">
        <f t="shared" si="111"/>
        <v>0</v>
      </c>
      <c r="T352" s="2499" t="s">
        <v>28181</v>
      </c>
      <c r="V352" s="1">
        <v>1</v>
      </c>
      <c r="Y352" s="1">
        <v>1</v>
      </c>
      <c r="AE352" s="1">
        <v>1</v>
      </c>
      <c r="AI352" s="193">
        <v>1</v>
      </c>
      <c r="AJ352" s="1">
        <f t="shared" si="110"/>
        <v>0</v>
      </c>
    </row>
    <row r="353" spans="1:36" ht="18" customHeight="1" x14ac:dyDescent="0.2">
      <c r="A353" s="1309"/>
      <c r="B353" s="653" t="s">
        <v>29286</v>
      </c>
      <c r="C353" s="665" t="s">
        <v>27818</v>
      </c>
      <c r="D353" s="814">
        <f>'Berechnung &amp; Tabellen'!E105</f>
        <v>0</v>
      </c>
      <c r="E353" s="200">
        <v>206.9</v>
      </c>
      <c r="F353" s="200">
        <v>2750</v>
      </c>
      <c r="G353" s="118">
        <v>2</v>
      </c>
      <c r="H353" s="2464">
        <f t="shared" si="107"/>
        <v>0.56897500000000001</v>
      </c>
      <c r="I353" s="2464"/>
      <c r="J353" s="2465">
        <f t="shared" si="108"/>
        <v>8.9329074999999989</v>
      </c>
      <c r="K353" s="2465">
        <f t="shared" si="109"/>
        <v>0</v>
      </c>
      <c r="L353" s="1" t="s">
        <v>53</v>
      </c>
      <c r="M353" s="1" t="s">
        <v>28403</v>
      </c>
      <c r="N353" s="116"/>
      <c r="O353" s="116"/>
      <c r="P353" s="116"/>
      <c r="Q353" s="1129"/>
      <c r="R353" s="2500" t="s">
        <v>9046</v>
      </c>
      <c r="S353" s="2499">
        <f t="shared" si="111"/>
        <v>0</v>
      </c>
      <c r="T353" s="2499" t="s">
        <v>28181</v>
      </c>
      <c r="V353" s="1">
        <v>1</v>
      </c>
      <c r="Y353" s="1">
        <v>1</v>
      </c>
      <c r="AE353" s="1">
        <v>1</v>
      </c>
      <c r="AJ353" s="1">
        <f t="shared" si="110"/>
        <v>0</v>
      </c>
    </row>
    <row r="354" spans="1:36" ht="18" customHeight="1" x14ac:dyDescent="0.2">
      <c r="A354" s="1309"/>
      <c r="B354" s="653" t="s">
        <v>29266</v>
      </c>
      <c r="C354" s="665" t="s">
        <v>27809</v>
      </c>
      <c r="D354" s="814">
        <f>'Berechnung &amp; Tabellen'!E106</f>
        <v>0</v>
      </c>
      <c r="E354" s="200">
        <v>207.96</v>
      </c>
      <c r="F354" s="200">
        <v>3000</v>
      </c>
      <c r="G354" s="118">
        <v>2</v>
      </c>
      <c r="H354" s="2464">
        <f t="shared" si="107"/>
        <v>0.62387999999999999</v>
      </c>
      <c r="I354" s="2464"/>
      <c r="J354" s="2465">
        <f t="shared" si="108"/>
        <v>9.7949159999999988</v>
      </c>
      <c r="K354" s="2465">
        <f t="shared" si="109"/>
        <v>0</v>
      </c>
      <c r="L354" s="1" t="s">
        <v>53</v>
      </c>
      <c r="M354" s="1" t="s">
        <v>28402</v>
      </c>
      <c r="N354" s="116"/>
      <c r="O354" s="116"/>
      <c r="P354" s="116"/>
      <c r="Q354" s="1129"/>
      <c r="R354" s="2516" t="s">
        <v>8990</v>
      </c>
      <c r="S354" s="2499">
        <f t="shared" si="111"/>
        <v>0</v>
      </c>
      <c r="T354" s="2499" t="s">
        <v>28181</v>
      </c>
      <c r="V354" s="1">
        <v>1</v>
      </c>
      <c r="Y354" s="1">
        <v>1</v>
      </c>
      <c r="AE354" s="1">
        <v>1</v>
      </c>
      <c r="AI354" s="193">
        <v>1</v>
      </c>
      <c r="AJ354" s="1">
        <f t="shared" si="110"/>
        <v>0</v>
      </c>
    </row>
    <row r="355" spans="1:36" ht="18" customHeight="1" x14ac:dyDescent="0.2">
      <c r="A355" s="1309"/>
      <c r="B355" s="653" t="s">
        <v>29287</v>
      </c>
      <c r="C355" s="665" t="s">
        <v>27819</v>
      </c>
      <c r="D355" s="814">
        <f>'Berechnung &amp; Tabellen'!E107</f>
        <v>0</v>
      </c>
      <c r="E355" s="200">
        <v>206.9</v>
      </c>
      <c r="F355" s="200">
        <v>3000</v>
      </c>
      <c r="G355" s="118">
        <v>2</v>
      </c>
      <c r="H355" s="2464">
        <f t="shared" si="107"/>
        <v>0.62070000000000003</v>
      </c>
      <c r="I355" s="2464"/>
      <c r="J355" s="2465">
        <f t="shared" si="108"/>
        <v>9.7449899999999996</v>
      </c>
      <c r="K355" s="2465">
        <f t="shared" si="109"/>
        <v>0</v>
      </c>
      <c r="L355" s="1" t="s">
        <v>53</v>
      </c>
      <c r="M355" s="1" t="s">
        <v>28403</v>
      </c>
      <c r="N355" s="116"/>
      <c r="O355" s="116"/>
      <c r="P355" s="116"/>
      <c r="Q355" s="1129"/>
      <c r="R355" s="2500" t="s">
        <v>9046</v>
      </c>
      <c r="S355" s="2499">
        <f t="shared" si="111"/>
        <v>0</v>
      </c>
      <c r="T355" s="2499" t="s">
        <v>28181</v>
      </c>
      <c r="V355" s="1">
        <v>1</v>
      </c>
      <c r="Y355" s="1">
        <v>1</v>
      </c>
      <c r="AE355" s="1">
        <v>1</v>
      </c>
      <c r="AJ355" s="1">
        <f t="shared" si="110"/>
        <v>0</v>
      </c>
    </row>
    <row r="356" spans="1:36" s="2077" customFormat="1" ht="18" customHeight="1" x14ac:dyDescent="0.2">
      <c r="A356" s="2071">
        <f t="shared" ref="A356:A361" si="112">IFERROR(VLOOKUP($B356,$B$316:$D$355,3,FALSE),"0")</f>
        <v>2</v>
      </c>
      <c r="B356" s="2072" t="str">
        <f t="array" ref="B356">IFERROR(INDEX($B$316:$B$355,LARGE(($AJ$316:$AJ$355='Berechnung &amp; Tabellen'!$C$113)*(ROW($AJ$316:$AJ$355)-ROW($B$315)),COUNTIF($AJ$316:$AJ$355,'Berechnung &amp; Tabellen'!$C$113)+1-ROW(A1))),"0")</f>
        <v>Führungsschiene 1250mm GCC W25 vertikal verzinkt</v>
      </c>
      <c r="C356" s="2073" t="str">
        <f t="shared" ref="C356:C361" si="113">IFERROR(VLOOKUP($B356,$B$316:$D$355,2,FALSE),"0")</f>
        <v>0308114</v>
      </c>
      <c r="D356" s="2074"/>
      <c r="E356" s="2074">
        <f t="shared" ref="E356:E361" si="114">IFERROR(VLOOKUP($B356,$B$316:$K$355,4,FALSE),0)</f>
        <v>190.96</v>
      </c>
      <c r="F356" s="2074">
        <f t="shared" ref="F356:F361" si="115">IFERROR(VLOOKUP($B356,$B$316:$K$355,5,FALSE),0)</f>
        <v>1250</v>
      </c>
      <c r="G356" s="2075">
        <f t="shared" ref="G356:G361" si="116">IFERROR(VLOOKUP($B356,$B$316:$K$355,6,FALSE)," ")</f>
        <v>2</v>
      </c>
      <c r="H356" s="2482"/>
      <c r="I356" s="2482"/>
      <c r="J356" s="2483"/>
      <c r="K356" s="2483"/>
      <c r="L356" s="2076"/>
      <c r="M356" s="2076" t="str">
        <f t="shared" ref="M356:M361" si="117">IFERROR(VLOOKUP($B356,$B$316:$M$355,11,FALSE)," ")</f>
        <v>Stk</v>
      </c>
      <c r="N356" s="2074"/>
      <c r="O356" s="2074"/>
      <c r="P356" s="2074"/>
      <c r="Q356" s="2457"/>
      <c r="R356" s="2505" t="str">
        <f t="shared" ref="R356:R386" si="118">C356</f>
        <v>0308114</v>
      </c>
      <c r="S356" s="2517"/>
      <c r="T356" s="2517"/>
      <c r="U356" s="2076"/>
      <c r="V356" s="2076"/>
      <c r="X356" s="2076"/>
      <c r="Y356" s="2076"/>
      <c r="AC356" s="2076"/>
      <c r="AD356" s="2076"/>
      <c r="AE356" s="2076">
        <v>1</v>
      </c>
      <c r="AF356" s="2078"/>
      <c r="AG356" s="2076"/>
      <c r="AH356" s="2076"/>
      <c r="AI356" s="2071"/>
      <c r="AJ356" s="2076"/>
    </row>
    <row r="357" spans="1:36" s="2079" customFormat="1" ht="18" customHeight="1" x14ac:dyDescent="0.2">
      <c r="A357" s="2067" t="str">
        <f t="shared" si="112"/>
        <v>0</v>
      </c>
      <c r="B357" s="2065" t="str">
        <f t="array" ref="B357">IFERROR(INDEX($B$316:$B$355,LARGE(($AJ$316:$AJ$355='Berechnung &amp; Tabellen'!$C$113)*(ROW($AJ$316:$AJ$355)-ROW($B$315)),COUNTIF($AJ$316:$AJ$355,'Berechnung &amp; Tabellen'!$C$113)+1-ROW(A2))),"0")</f>
        <v>0</v>
      </c>
      <c r="C357" s="2066" t="str">
        <f t="shared" si="113"/>
        <v>0</v>
      </c>
      <c r="D357" s="2068"/>
      <c r="E357" s="2068">
        <f t="shared" si="114"/>
        <v>0</v>
      </c>
      <c r="F357" s="2068">
        <f t="shared" si="115"/>
        <v>0</v>
      </c>
      <c r="G357" s="2069" t="str">
        <f t="shared" si="116"/>
        <v xml:space="preserve"> </v>
      </c>
      <c r="H357" s="2484"/>
      <c r="I357" s="2484"/>
      <c r="J357" s="2485"/>
      <c r="K357" s="2485"/>
      <c r="L357" s="2070"/>
      <c r="M357" s="2070" t="str">
        <f t="shared" si="117"/>
        <v xml:space="preserve"> </v>
      </c>
      <c r="N357" s="2068"/>
      <c r="O357" s="2068"/>
      <c r="P357" s="2068"/>
      <c r="Q357" s="2457"/>
      <c r="R357" s="2505" t="str">
        <f t="shared" si="118"/>
        <v>0</v>
      </c>
      <c r="S357" s="2517"/>
      <c r="T357" s="2517"/>
      <c r="U357" s="2070"/>
      <c r="V357" s="2070"/>
      <c r="X357" s="2070"/>
      <c r="Y357" s="2070"/>
      <c r="AC357" s="2070"/>
      <c r="AD357" s="2070"/>
      <c r="AE357" s="2070">
        <v>1</v>
      </c>
      <c r="AF357" s="2080"/>
      <c r="AG357" s="2070"/>
      <c r="AH357" s="2070"/>
      <c r="AI357" s="2067"/>
      <c r="AJ357" s="2070"/>
    </row>
    <row r="358" spans="1:36" s="2079" customFormat="1" ht="18" customHeight="1" x14ac:dyDescent="0.2">
      <c r="A358" s="2067" t="str">
        <f t="shared" si="112"/>
        <v>0</v>
      </c>
      <c r="B358" s="2065" t="str">
        <f t="array" ref="B358">IFERROR(INDEX($B$316:$B$355,LARGE(($AJ$316:$AJ$355='Berechnung &amp; Tabellen'!$C$113)*(ROW($AJ$316:$AJ$355)-ROW($B$315)),COUNTIF($AJ$316:$AJ$355,'Berechnung &amp; Tabellen'!$C$113)+1-ROW(A3))),"0")</f>
        <v>0</v>
      </c>
      <c r="C358" s="2066" t="str">
        <f t="shared" si="113"/>
        <v>0</v>
      </c>
      <c r="D358" s="2068"/>
      <c r="E358" s="2068">
        <f t="shared" si="114"/>
        <v>0</v>
      </c>
      <c r="F358" s="2068">
        <f t="shared" si="115"/>
        <v>0</v>
      </c>
      <c r="G358" s="2069" t="str">
        <f t="shared" si="116"/>
        <v xml:space="preserve"> </v>
      </c>
      <c r="H358" s="2484"/>
      <c r="I358" s="2484"/>
      <c r="J358" s="2485"/>
      <c r="K358" s="2485"/>
      <c r="L358" s="2070"/>
      <c r="M358" s="2070" t="str">
        <f t="shared" si="117"/>
        <v xml:space="preserve"> </v>
      </c>
      <c r="N358" s="2068"/>
      <c r="O358" s="2068"/>
      <c r="P358" s="2068"/>
      <c r="Q358" s="2457"/>
      <c r="R358" s="2505" t="str">
        <f t="shared" si="118"/>
        <v>0</v>
      </c>
      <c r="S358" s="2517"/>
      <c r="T358" s="2517"/>
      <c r="U358" s="2070"/>
      <c r="V358" s="2070"/>
      <c r="X358" s="2070"/>
      <c r="Y358" s="2070"/>
      <c r="AC358" s="2070"/>
      <c r="AD358" s="2070"/>
      <c r="AE358" s="2070">
        <v>1</v>
      </c>
      <c r="AF358" s="2080"/>
      <c r="AG358" s="2070"/>
      <c r="AH358" s="2070"/>
      <c r="AI358" s="2067"/>
      <c r="AJ358" s="2070"/>
    </row>
    <row r="359" spans="1:36" s="2079" customFormat="1" ht="18" customHeight="1" x14ac:dyDescent="0.2">
      <c r="A359" s="2067" t="str">
        <f t="shared" si="112"/>
        <v>0</v>
      </c>
      <c r="B359" s="2065" t="str">
        <f t="array" ref="B359">IFERROR(INDEX($B$316:$B$355,LARGE(($AJ$316:$AJ$355='Berechnung &amp; Tabellen'!$C$113)*(ROW($AJ$316:$AJ$355)-ROW($B$315)),COUNTIF($AJ$316:$AJ$355,'Berechnung &amp; Tabellen'!$C$113)+1-ROW(A4))),"0")</f>
        <v>0</v>
      </c>
      <c r="C359" s="2066" t="str">
        <f t="shared" si="113"/>
        <v>0</v>
      </c>
      <c r="D359" s="2068"/>
      <c r="E359" s="2068">
        <f t="shared" si="114"/>
        <v>0</v>
      </c>
      <c r="F359" s="2068">
        <f t="shared" si="115"/>
        <v>0</v>
      </c>
      <c r="G359" s="2069" t="str">
        <f t="shared" si="116"/>
        <v xml:space="preserve"> </v>
      </c>
      <c r="H359" s="2484"/>
      <c r="I359" s="2484"/>
      <c r="J359" s="2485"/>
      <c r="K359" s="2485"/>
      <c r="L359" s="2070"/>
      <c r="M359" s="2070" t="str">
        <f t="shared" si="117"/>
        <v xml:space="preserve"> </v>
      </c>
      <c r="N359" s="2068"/>
      <c r="O359" s="2068"/>
      <c r="P359" s="2068"/>
      <c r="Q359" s="2457"/>
      <c r="R359" s="2505" t="str">
        <f t="shared" si="118"/>
        <v>0</v>
      </c>
      <c r="S359" s="2517"/>
      <c r="T359" s="2517"/>
      <c r="U359" s="2070"/>
      <c r="V359" s="2070"/>
      <c r="X359" s="2070"/>
      <c r="Y359" s="2070"/>
      <c r="AC359" s="2070"/>
      <c r="AD359" s="2070"/>
      <c r="AE359" s="2070">
        <v>1</v>
      </c>
      <c r="AF359" s="2080"/>
      <c r="AG359" s="2070"/>
      <c r="AH359" s="2070"/>
      <c r="AI359" s="2067"/>
      <c r="AJ359" s="2070"/>
    </row>
    <row r="360" spans="1:36" s="2079" customFormat="1" ht="18" customHeight="1" x14ac:dyDescent="0.2">
      <c r="A360" s="2067" t="str">
        <f t="shared" si="112"/>
        <v>0</v>
      </c>
      <c r="B360" s="2065" t="str">
        <f t="array" ref="B360">IFERROR(INDEX($B$316:$B$355,LARGE(($AJ$316:$AJ$355='Berechnung &amp; Tabellen'!$C$113)*(ROW($AJ$316:$AJ$355)-ROW($B$315)),COUNTIF($AJ$316:$AJ$355,'Berechnung &amp; Tabellen'!$C$113)+1-ROW(#REF!))),"0")</f>
        <v>0</v>
      </c>
      <c r="C360" s="2066" t="str">
        <f t="shared" si="113"/>
        <v>0</v>
      </c>
      <c r="D360" s="2068"/>
      <c r="E360" s="2068">
        <f t="shared" si="114"/>
        <v>0</v>
      </c>
      <c r="F360" s="2068">
        <f t="shared" si="115"/>
        <v>0</v>
      </c>
      <c r="G360" s="2069" t="str">
        <f t="shared" si="116"/>
        <v xml:space="preserve"> </v>
      </c>
      <c r="H360" s="2484"/>
      <c r="I360" s="2484"/>
      <c r="J360" s="2485"/>
      <c r="K360" s="2485"/>
      <c r="L360" s="2070"/>
      <c r="M360" s="2070" t="str">
        <f t="shared" si="117"/>
        <v xml:space="preserve"> </v>
      </c>
      <c r="N360" s="2068"/>
      <c r="O360" s="2068"/>
      <c r="P360" s="2068"/>
      <c r="Q360" s="2457"/>
      <c r="R360" s="2505" t="str">
        <f t="shared" si="118"/>
        <v>0</v>
      </c>
      <c r="S360" s="2517"/>
      <c r="T360" s="2517"/>
      <c r="U360" s="2070"/>
      <c r="V360" s="2070"/>
      <c r="X360" s="2070"/>
      <c r="Y360" s="2070"/>
      <c r="AC360" s="2070"/>
      <c r="AD360" s="2070"/>
      <c r="AE360" s="2070">
        <v>1</v>
      </c>
      <c r="AF360" s="2080"/>
      <c r="AG360" s="2070"/>
      <c r="AH360" s="2070"/>
      <c r="AI360" s="2067"/>
      <c r="AJ360" s="2070"/>
    </row>
    <row r="361" spans="1:36" s="2086" customFormat="1" ht="18" customHeight="1" x14ac:dyDescent="0.2">
      <c r="A361" s="2081" t="str">
        <f t="shared" si="112"/>
        <v>0</v>
      </c>
      <c r="B361" s="2065" t="str">
        <f t="array" ref="B361">IFERROR(INDEX($B$316:$B$355,LARGE(($AJ$316:$AJ$355='Berechnung &amp; Tabellen'!$C$113)*(ROW($AJ$316:$AJ$355)-ROW($B$315)),COUNTIF($AJ$316:$AJ$355,'Berechnung &amp; Tabellen'!$C$113)+1-ROW(#REF!))),"0")</f>
        <v>0</v>
      </c>
      <c r="C361" s="2082" t="str">
        <f t="shared" si="113"/>
        <v>0</v>
      </c>
      <c r="D361" s="2083"/>
      <c r="E361" s="2083">
        <f t="shared" si="114"/>
        <v>0</v>
      </c>
      <c r="F361" s="2083">
        <f t="shared" si="115"/>
        <v>0</v>
      </c>
      <c r="G361" s="2084" t="str">
        <f t="shared" si="116"/>
        <v xml:space="preserve"> </v>
      </c>
      <c r="H361" s="2486"/>
      <c r="I361" s="2486"/>
      <c r="J361" s="2487"/>
      <c r="K361" s="2487"/>
      <c r="L361" s="2085"/>
      <c r="M361" s="2085" t="str">
        <f t="shared" si="117"/>
        <v xml:space="preserve"> </v>
      </c>
      <c r="N361" s="2083"/>
      <c r="O361" s="2083"/>
      <c r="P361" s="2083"/>
      <c r="Q361" s="2457"/>
      <c r="R361" s="2505" t="str">
        <f t="shared" si="118"/>
        <v>0</v>
      </c>
      <c r="S361" s="2517"/>
      <c r="T361" s="2517"/>
      <c r="U361" s="2085"/>
      <c r="V361" s="2085"/>
      <c r="X361" s="2085"/>
      <c r="Y361" s="2085"/>
      <c r="AC361" s="2085"/>
      <c r="AD361" s="2085"/>
      <c r="AE361" s="2085">
        <v>1</v>
      </c>
      <c r="AF361" s="2087"/>
      <c r="AG361" s="2085"/>
      <c r="AH361" s="2085"/>
      <c r="AI361" s="2081"/>
      <c r="AJ361" s="2085"/>
    </row>
    <row r="362" spans="1:36" ht="18" customHeight="1" x14ac:dyDescent="0.2">
      <c r="A362" s="193">
        <f>D362</f>
        <v>6</v>
      </c>
      <c r="B362" s="653" t="s">
        <v>30244</v>
      </c>
      <c r="C362" s="665" t="s">
        <v>27840</v>
      </c>
      <c r="D362" s="824">
        <f>'Berechnung &amp; Tabellen'!C37*C2</f>
        <v>6</v>
      </c>
      <c r="E362" s="116">
        <v>60</v>
      </c>
      <c r="F362" s="1">
        <v>161.19999999999999</v>
      </c>
      <c r="G362" s="118">
        <v>5</v>
      </c>
      <c r="H362" s="2464">
        <f t="shared" si="107"/>
        <v>9.672E-3</v>
      </c>
      <c r="I362" s="2464"/>
      <c r="J362" s="2465">
        <f t="shared" si="108"/>
        <v>0.37962600000000002</v>
      </c>
      <c r="K362" s="2465">
        <f t="shared" si="109"/>
        <v>2.2777560000000001</v>
      </c>
      <c r="L362" s="1" t="s">
        <v>53</v>
      </c>
      <c r="M362" s="1" t="str">
        <f>IF($C$1=1,$M$2,$M$1)</f>
        <v>Stahlblech verz.</v>
      </c>
      <c r="N362" s="166"/>
      <c r="O362" s="166"/>
      <c r="P362" s="166"/>
      <c r="Q362" s="61"/>
      <c r="R362" s="2501" t="str">
        <f t="shared" si="118"/>
        <v>0308133</v>
      </c>
      <c r="S362" s="2502">
        <f>D362</f>
        <v>6</v>
      </c>
      <c r="T362" s="2503" t="s">
        <v>53</v>
      </c>
      <c r="V362" s="1">
        <v>1</v>
      </c>
      <c r="AE362" s="1">
        <v>1</v>
      </c>
      <c r="AI362" s="193">
        <v>1</v>
      </c>
    </row>
    <row r="363" spans="1:36" ht="18" customHeight="1" x14ac:dyDescent="0.2">
      <c r="A363" s="193">
        <f>D363</f>
        <v>0</v>
      </c>
      <c r="B363" s="653" t="s">
        <v>30245</v>
      </c>
      <c r="C363" s="665" t="s">
        <v>27842</v>
      </c>
      <c r="D363" s="824">
        <f>'Berechnung &amp; Tabellen'!C37*C1</f>
        <v>0</v>
      </c>
      <c r="E363" s="116">
        <v>60</v>
      </c>
      <c r="F363" s="1">
        <v>161.19999999999999</v>
      </c>
      <c r="G363" s="118">
        <v>5</v>
      </c>
      <c r="H363" s="2464">
        <f t="shared" si="107"/>
        <v>9.672E-3</v>
      </c>
      <c r="I363" s="2464"/>
      <c r="J363" s="2465">
        <f t="shared" si="108"/>
        <v>0.37962600000000002</v>
      </c>
      <c r="K363" s="2465">
        <f t="shared" si="109"/>
        <v>0</v>
      </c>
      <c r="L363" s="1" t="s">
        <v>53</v>
      </c>
      <c r="M363" s="1" t="s">
        <v>28403</v>
      </c>
      <c r="N363" s="166"/>
      <c r="O363" s="166"/>
      <c r="P363" s="166"/>
      <c r="Q363" s="61"/>
      <c r="R363" s="2501" t="str">
        <f t="shared" si="118"/>
        <v>0338133</v>
      </c>
      <c r="S363" s="2502">
        <f>D363</f>
        <v>0</v>
      </c>
      <c r="T363" s="2503" t="s">
        <v>53</v>
      </c>
      <c r="V363" s="1">
        <v>1</v>
      </c>
      <c r="AE363" s="1">
        <v>1</v>
      </c>
    </row>
    <row r="364" spans="1:36" s="1091" customFormat="1" ht="18" customHeight="1" x14ac:dyDescent="0.2">
      <c r="A364" s="1308">
        <f>IF(SUM(A362:A363)&gt;0,VLOOKUP(SUM(A362:A363),A362:C363,1,FALSE),0)</f>
        <v>6</v>
      </c>
      <c r="B364" s="1097" t="str">
        <f>IF(SUM(A362:A363)&gt;0,VLOOKUP(SUM(A362:A363),A362:C363,2,FALSE),0)</f>
        <v>Führungsschienenbefestigungsspangen Standard verzinkt</v>
      </c>
      <c r="C364" s="1088" t="str">
        <f>IF(SUM(A362:A363)&gt;0,VLOOKUP(SUM(A362:A363),A362:C363,3,FALSE),0)</f>
        <v>0308133</v>
      </c>
      <c r="D364" s="1089"/>
      <c r="E364" s="1088">
        <f>IF(SUM(A362:A363)&gt;0,VLOOKUP(SUM(A362:A363),A362:F363,5,FALSE),0)</f>
        <v>60</v>
      </c>
      <c r="F364" s="1088">
        <f>IF(SUM(A362:A363)&gt;0,VLOOKUP(SUM(A362:A363),A362:F363,6,FALSE),0)</f>
        <v>161.19999999999999</v>
      </c>
      <c r="G364" s="1092"/>
      <c r="H364" s="2467"/>
      <c r="I364" s="2467"/>
      <c r="J364" s="2468"/>
      <c r="K364" s="2468"/>
      <c r="L364" s="1090"/>
      <c r="M364" s="1090"/>
      <c r="N364" s="1093"/>
      <c r="O364" s="1093"/>
      <c r="P364" s="1093"/>
      <c r="Q364" s="2453"/>
      <c r="R364" s="2505" t="str">
        <f t="shared" si="118"/>
        <v>0308133</v>
      </c>
      <c r="S364" s="2506"/>
      <c r="T364" s="2506"/>
      <c r="V364" s="1090"/>
      <c r="Y364" s="1090"/>
      <c r="AC364" s="155"/>
      <c r="AD364" s="1"/>
      <c r="AE364" s="1"/>
      <c r="AF364" s="1094"/>
      <c r="AG364" s="1090"/>
      <c r="AH364" s="1095"/>
      <c r="AI364" s="1571"/>
      <c r="AJ364" s="1090"/>
    </row>
    <row r="365" spans="1:36" ht="18" customHeight="1" x14ac:dyDescent="0.2">
      <c r="A365" s="193">
        <f>D365</f>
        <v>0</v>
      </c>
      <c r="B365" s="653" t="s">
        <v>30246</v>
      </c>
      <c r="C365" s="665" t="s">
        <v>27841</v>
      </c>
      <c r="D365" s="824">
        <f>'Berechnung &amp; Tabellen'!C38*C2</f>
        <v>0</v>
      </c>
      <c r="E365" s="117">
        <v>60</v>
      </c>
      <c r="F365" s="1">
        <f>IF('Berechnung &amp; Tabellen'!$D$44=1,185,165)</f>
        <v>185</v>
      </c>
      <c r="G365" s="118">
        <v>5</v>
      </c>
      <c r="H365" s="2464">
        <f t="shared" si="107"/>
        <v>1.11E-2</v>
      </c>
      <c r="I365" s="2464"/>
      <c r="J365" s="2465">
        <f t="shared" si="108"/>
        <v>0.43567500000000003</v>
      </c>
      <c r="K365" s="2465">
        <f t="shared" si="109"/>
        <v>0</v>
      </c>
      <c r="L365" s="1" t="s">
        <v>53</v>
      </c>
      <c r="M365" s="1" t="str">
        <f>IF($C$1=1,$M$2,$M$1)</f>
        <v>Stahlblech verz.</v>
      </c>
      <c r="Q365" s="36"/>
      <c r="R365" s="2501" t="str">
        <f t="shared" si="118"/>
        <v>0308134</v>
      </c>
      <c r="S365" s="2502">
        <f>D365</f>
        <v>0</v>
      </c>
      <c r="T365" s="2503" t="s">
        <v>53</v>
      </c>
      <c r="V365" s="1">
        <v>1</v>
      </c>
      <c r="Y365" s="1">
        <v>1</v>
      </c>
      <c r="AE365" s="1">
        <v>1</v>
      </c>
      <c r="AI365" s="193">
        <v>1</v>
      </c>
    </row>
    <row r="366" spans="1:36" ht="18" customHeight="1" x14ac:dyDescent="0.2">
      <c r="A366" s="193">
        <f>D366</f>
        <v>0</v>
      </c>
      <c r="B366" s="653" t="s">
        <v>30247</v>
      </c>
      <c r="C366" s="665" t="s">
        <v>28565</v>
      </c>
      <c r="D366" s="824">
        <f>'Berechnung &amp; Tabellen'!C38*C1</f>
        <v>0</v>
      </c>
      <c r="E366" s="117">
        <v>60</v>
      </c>
      <c r="F366" s="1">
        <f>IF('Berechnung &amp; Tabellen'!$D$44=1,185,165)</f>
        <v>185</v>
      </c>
      <c r="G366" s="118">
        <v>5</v>
      </c>
      <c r="H366" s="2464">
        <f t="shared" si="107"/>
        <v>1.11E-2</v>
      </c>
      <c r="I366" s="2464"/>
      <c r="J366" s="2465">
        <f t="shared" si="108"/>
        <v>0.43567500000000003</v>
      </c>
      <c r="K366" s="2465">
        <f t="shared" si="109"/>
        <v>0</v>
      </c>
      <c r="L366" s="1" t="s">
        <v>53</v>
      </c>
      <c r="M366" s="1" t="s">
        <v>28403</v>
      </c>
      <c r="Q366" s="36"/>
      <c r="R366" s="2501" t="str">
        <f t="shared" si="118"/>
        <v>0338134</v>
      </c>
      <c r="S366" s="2502">
        <f>D366</f>
        <v>0</v>
      </c>
      <c r="T366" s="2503" t="s">
        <v>53</v>
      </c>
      <c r="V366" s="1">
        <v>1</v>
      </c>
      <c r="AE366" s="1">
        <v>1</v>
      </c>
    </row>
    <row r="367" spans="1:36" s="1091" customFormat="1" ht="18" customHeight="1" x14ac:dyDescent="0.2">
      <c r="A367" s="1308">
        <f>IF(SUM(A365:A366)&gt;0,VLOOKUP(SUM(A365:A366),A365:C366,1,FALSE),0)</f>
        <v>0</v>
      </c>
      <c r="B367" s="1097">
        <f>IF(SUM(A365:A366)&gt;0,VLOOKUP(SUM(A365:A366),A365:C366,2,FALSE),0)</f>
        <v>0</v>
      </c>
      <c r="C367" s="1088">
        <f>IF(SUM(A365:A366)&gt;0,VLOOKUP(SUM(A365:A366),A365:C366,3,FALSE),0)</f>
        <v>0</v>
      </c>
      <c r="D367" s="1089"/>
      <c r="E367" s="1088">
        <f>IF(SUM(A365:A366)&gt;0,VLOOKUP(SUM(A365:A366),A365:F366,5,FALSE),0)</f>
        <v>0</v>
      </c>
      <c r="F367" s="1088">
        <f>IF(SUM(A365:A366)&gt;0,VLOOKUP(SUM(A365:A366),A365:F366,6,FALSE),0)</f>
        <v>0</v>
      </c>
      <c r="G367" s="1092"/>
      <c r="H367" s="2467"/>
      <c r="I367" s="2467"/>
      <c r="J367" s="2468"/>
      <c r="K367" s="2468"/>
      <c r="L367" s="1090"/>
      <c r="M367" s="1090"/>
      <c r="N367" s="1093"/>
      <c r="O367" s="1093"/>
      <c r="P367" s="1093"/>
      <c r="Q367" s="2453"/>
      <c r="R367" s="2505">
        <f t="shared" si="118"/>
        <v>0</v>
      </c>
      <c r="S367" s="2506"/>
      <c r="T367" s="2506"/>
      <c r="V367" s="1090"/>
      <c r="Y367" s="1090"/>
      <c r="AC367" s="155"/>
      <c r="AD367" s="1"/>
      <c r="AE367" s="1"/>
      <c r="AF367" s="1094"/>
      <c r="AG367" s="1090"/>
      <c r="AH367" s="1095"/>
      <c r="AI367" s="1571"/>
      <c r="AJ367" s="1090"/>
    </row>
    <row r="368" spans="1:36" ht="18" customHeight="1" x14ac:dyDescent="0.2">
      <c r="B368" s="15" t="s">
        <v>286</v>
      </c>
      <c r="C368" s="665"/>
      <c r="D368" s="1">
        <v>1</v>
      </c>
      <c r="E368" s="117"/>
      <c r="F368" s="117"/>
      <c r="H368" s="2464"/>
      <c r="I368" s="2464"/>
      <c r="J368" s="2465">
        <f>G368*8*H368</f>
        <v>0</v>
      </c>
      <c r="K368" s="2465">
        <f>D368*J368</f>
        <v>0</v>
      </c>
      <c r="L368" s="1" t="s">
        <v>28400</v>
      </c>
      <c r="Q368" s="36"/>
      <c r="R368" s="2504">
        <f t="shared" si="118"/>
        <v>0</v>
      </c>
      <c r="S368" s="2493"/>
      <c r="T368" s="2493"/>
      <c r="AE368" s="1">
        <v>1</v>
      </c>
    </row>
    <row r="369" spans="1:36" ht="18" customHeight="1" x14ac:dyDescent="0.2">
      <c r="B369" s="114" t="s">
        <v>283</v>
      </c>
      <c r="C369" s="665"/>
      <c r="D369" s="1">
        <v>1</v>
      </c>
      <c r="E369" s="117"/>
      <c r="F369" s="117"/>
      <c r="H369" s="2464"/>
      <c r="I369" s="2464"/>
      <c r="J369" s="2465">
        <f>G369*8*H369</f>
        <v>0</v>
      </c>
      <c r="K369" s="2465">
        <f>D369*J369</f>
        <v>0</v>
      </c>
      <c r="L369" s="1" t="s">
        <v>28400</v>
      </c>
      <c r="Q369" s="36"/>
      <c r="R369" s="2504">
        <f t="shared" si="118"/>
        <v>0</v>
      </c>
      <c r="S369" s="2493"/>
      <c r="T369" s="2493"/>
      <c r="AE369" s="1">
        <v>1</v>
      </c>
    </row>
    <row r="370" spans="1:36" ht="18" customHeight="1" x14ac:dyDescent="0.2">
      <c r="B370" s="114" t="s">
        <v>284</v>
      </c>
      <c r="C370" s="665"/>
      <c r="D370" s="1">
        <v>1</v>
      </c>
      <c r="E370" s="117"/>
      <c r="F370" s="117"/>
      <c r="H370" s="2464"/>
      <c r="I370" s="2464"/>
      <c r="J370" s="2465">
        <f>G370*8*H370</f>
        <v>0</v>
      </c>
      <c r="K370" s="2465">
        <f>D370*J370</f>
        <v>0</v>
      </c>
      <c r="L370" s="1" t="s">
        <v>28400</v>
      </c>
      <c r="Q370" s="36"/>
      <c r="R370" s="2504">
        <f t="shared" si="118"/>
        <v>0</v>
      </c>
      <c r="S370" s="2493"/>
      <c r="T370" s="2493"/>
      <c r="AE370" s="1">
        <v>1</v>
      </c>
    </row>
    <row r="371" spans="1:36" ht="18" customHeight="1" x14ac:dyDescent="0.2">
      <c r="B371" s="114" t="s">
        <v>285</v>
      </c>
      <c r="C371" s="665"/>
      <c r="D371" s="1">
        <v>1</v>
      </c>
      <c r="F371" s="1"/>
      <c r="H371" s="2464"/>
      <c r="I371" s="2464"/>
      <c r="J371" s="2465">
        <f>G371*8*H371</f>
        <v>0</v>
      </c>
      <c r="K371" s="2465">
        <f>D371*J371</f>
        <v>0</v>
      </c>
      <c r="L371" s="1" t="s">
        <v>28400</v>
      </c>
      <c r="Q371" s="36"/>
      <c r="R371" s="2504">
        <f t="shared" si="118"/>
        <v>0</v>
      </c>
      <c r="S371" s="2493"/>
      <c r="T371" s="2493"/>
      <c r="AE371" s="1">
        <v>1</v>
      </c>
    </row>
    <row r="372" spans="1:36" ht="18" customHeight="1" x14ac:dyDescent="0.2">
      <c r="B372" s="2565"/>
      <c r="C372" s="665"/>
      <c r="E372" s="117"/>
      <c r="F372" s="117"/>
      <c r="H372" s="2464"/>
      <c r="I372" s="2464"/>
      <c r="J372" s="2465"/>
      <c r="K372" s="2465"/>
      <c r="Q372" s="36"/>
      <c r="R372" s="2566"/>
      <c r="S372" s="2493"/>
      <c r="T372" s="2493"/>
    </row>
    <row r="373" spans="1:36" ht="18" customHeight="1" x14ac:dyDescent="0.2">
      <c r="B373" s="1310" t="s">
        <v>28574</v>
      </c>
      <c r="C373" s="665" t="s">
        <v>838</v>
      </c>
      <c r="D373" s="117">
        <f>Dateneingabe!G137</f>
        <v>1</v>
      </c>
      <c r="F373" s="1"/>
      <c r="H373" s="2464"/>
      <c r="I373" s="2464"/>
      <c r="J373" s="2465"/>
      <c r="K373" s="2465"/>
      <c r="L373" s="1" t="s">
        <v>53</v>
      </c>
      <c r="Q373" s="36"/>
      <c r="R373" s="2501" t="str">
        <f t="shared" si="118"/>
        <v>0708251</v>
      </c>
      <c r="S373" s="2502">
        <f t="shared" ref="S373:S378" si="119">D373</f>
        <v>1</v>
      </c>
      <c r="T373" s="2503" t="s">
        <v>53</v>
      </c>
      <c r="V373" s="1">
        <v>1</v>
      </c>
      <c r="AE373" s="1">
        <v>1</v>
      </c>
    </row>
    <row r="374" spans="1:36" ht="18" customHeight="1" x14ac:dyDescent="0.2">
      <c r="B374" s="1310" t="s">
        <v>27026</v>
      </c>
      <c r="C374" s="665" t="s">
        <v>839</v>
      </c>
      <c r="D374" s="1">
        <f>Dateneingabe!G137</f>
        <v>1</v>
      </c>
      <c r="F374" s="1"/>
      <c r="H374" s="2464"/>
      <c r="I374" s="2464"/>
      <c r="J374" s="2465"/>
      <c r="K374" s="2465"/>
      <c r="L374" s="1" t="s">
        <v>53</v>
      </c>
      <c r="Q374" s="36"/>
      <c r="R374" s="2501" t="str">
        <f t="shared" si="118"/>
        <v>1520075</v>
      </c>
      <c r="S374" s="2502">
        <f t="shared" si="119"/>
        <v>1</v>
      </c>
      <c r="T374" s="2503" t="s">
        <v>53</v>
      </c>
      <c r="V374" s="1">
        <v>1</v>
      </c>
      <c r="AE374" s="1">
        <v>1</v>
      </c>
    </row>
    <row r="375" spans="1:36" ht="18" customHeight="1" x14ac:dyDescent="0.2">
      <c r="A375" s="193">
        <f>D375</f>
        <v>1</v>
      </c>
      <c r="B375" s="816" t="s">
        <v>28408</v>
      </c>
      <c r="C375" s="665" t="s">
        <v>27978</v>
      </c>
      <c r="D375" s="200">
        <f>D373*C2</f>
        <v>1</v>
      </c>
      <c r="E375" s="116">
        <v>80</v>
      </c>
      <c r="F375" s="116">
        <v>173</v>
      </c>
      <c r="G375" s="118">
        <v>3</v>
      </c>
      <c r="H375" s="2464">
        <f>E375*F375/1000/1000</f>
        <v>1.384E-2</v>
      </c>
      <c r="I375" s="2464"/>
      <c r="J375" s="2465">
        <f>G375*7.85*H375</f>
        <v>0.32593199999999994</v>
      </c>
      <c r="K375" s="2465">
        <f>D375*J375</f>
        <v>0.32593199999999994</v>
      </c>
      <c r="L375" s="1" t="s">
        <v>53</v>
      </c>
      <c r="M375" s="1" t="s">
        <v>28402</v>
      </c>
      <c r="N375" s="116"/>
      <c r="O375" s="116"/>
      <c r="P375" s="116"/>
      <c r="Q375" s="1129"/>
      <c r="R375" s="2501" t="str">
        <f t="shared" si="118"/>
        <v>0308233</v>
      </c>
      <c r="S375" s="2502">
        <f t="shared" si="119"/>
        <v>1</v>
      </c>
      <c r="T375" s="2503" t="s">
        <v>53</v>
      </c>
      <c r="V375" s="1">
        <v>1</v>
      </c>
      <c r="AE375" s="1">
        <v>1</v>
      </c>
      <c r="AI375" s="193">
        <v>1</v>
      </c>
    </row>
    <row r="376" spans="1:36" ht="18" customHeight="1" x14ac:dyDescent="0.2">
      <c r="A376" s="1309">
        <f>D376</f>
        <v>0</v>
      </c>
      <c r="B376" s="816" t="s">
        <v>28571</v>
      </c>
      <c r="C376" s="665" t="s">
        <v>28572</v>
      </c>
      <c r="D376" s="200">
        <f>D373*C1</f>
        <v>0</v>
      </c>
      <c r="E376" s="116">
        <v>80</v>
      </c>
      <c r="F376" s="116">
        <v>173</v>
      </c>
      <c r="G376" s="118">
        <v>3</v>
      </c>
      <c r="H376" s="2464">
        <f>E376*F376/1000/1000</f>
        <v>1.384E-2</v>
      </c>
      <c r="I376" s="2464"/>
      <c r="J376" s="2465">
        <f>G376*7.85*H376</f>
        <v>0.32593199999999994</v>
      </c>
      <c r="K376" s="2465">
        <f>D376*J376</f>
        <v>0</v>
      </c>
      <c r="L376" s="1" t="s">
        <v>53</v>
      </c>
      <c r="M376" s="1" t="s">
        <v>28403</v>
      </c>
      <c r="N376" s="116"/>
      <c r="O376" s="116"/>
      <c r="P376" s="116"/>
      <c r="Q376" s="1129"/>
      <c r="R376" s="2501" t="str">
        <f t="shared" si="118"/>
        <v>0338233</v>
      </c>
      <c r="S376" s="2502">
        <f t="shared" si="119"/>
        <v>0</v>
      </c>
      <c r="T376" s="2503" t="s">
        <v>53</v>
      </c>
      <c r="V376" s="1">
        <v>1</v>
      </c>
      <c r="Y376" s="1">
        <v>1</v>
      </c>
      <c r="AE376" s="1">
        <v>1</v>
      </c>
    </row>
    <row r="377" spans="1:36" ht="18" customHeight="1" x14ac:dyDescent="0.2">
      <c r="A377" s="193">
        <f>D377</f>
        <v>0</v>
      </c>
      <c r="B377" s="816" t="s">
        <v>29030</v>
      </c>
      <c r="C377" s="665" t="s">
        <v>29035</v>
      </c>
      <c r="D377" s="200">
        <f>$D$306*C2</f>
        <v>0</v>
      </c>
      <c r="E377" s="116">
        <v>80</v>
      </c>
      <c r="F377" s="116">
        <v>173</v>
      </c>
      <c r="G377" s="118">
        <v>3</v>
      </c>
      <c r="H377" s="2464">
        <f>E377*F377/1000/1000</f>
        <v>1.384E-2</v>
      </c>
      <c r="I377" s="2464"/>
      <c r="J377" s="2465">
        <f>G377*7.85*H377</f>
        <v>0.32593199999999994</v>
      </c>
      <c r="K377" s="2465">
        <f>D377*J377</f>
        <v>0</v>
      </c>
      <c r="L377" s="116" t="s">
        <v>53</v>
      </c>
      <c r="M377" s="1" t="s">
        <v>28402</v>
      </c>
      <c r="N377" s="116"/>
      <c r="O377" s="116"/>
      <c r="P377" s="116"/>
      <c r="Q377" s="1129"/>
      <c r="R377" s="2501" t="str">
        <f t="shared" si="118"/>
        <v>0308335</v>
      </c>
      <c r="S377" s="2502">
        <f t="shared" si="119"/>
        <v>0</v>
      </c>
      <c r="T377" s="2503" t="s">
        <v>53</v>
      </c>
      <c r="V377" s="1">
        <v>1</v>
      </c>
      <c r="AE377" s="1">
        <v>1</v>
      </c>
      <c r="AI377" s="193">
        <v>1</v>
      </c>
    </row>
    <row r="378" spans="1:36" ht="18" customHeight="1" x14ac:dyDescent="0.2">
      <c r="A378" s="1309">
        <f>D378</f>
        <v>0</v>
      </c>
      <c r="B378" s="816" t="s">
        <v>29031</v>
      </c>
      <c r="C378" s="665" t="s">
        <v>30988</v>
      </c>
      <c r="D378" s="200">
        <f>$D$306*C1</f>
        <v>0</v>
      </c>
      <c r="E378" s="116">
        <v>80</v>
      </c>
      <c r="F378" s="116">
        <v>173</v>
      </c>
      <c r="G378" s="118">
        <v>3</v>
      </c>
      <c r="H378" s="2464">
        <f>E378*F378/1000/1000</f>
        <v>1.384E-2</v>
      </c>
      <c r="I378" s="2464"/>
      <c r="J378" s="2465">
        <f>G378*7.85*H378</f>
        <v>0.32593199999999994</v>
      </c>
      <c r="K378" s="2465">
        <f>D378*J378</f>
        <v>0</v>
      </c>
      <c r="L378" s="116" t="s">
        <v>53</v>
      </c>
      <c r="M378" s="1" t="s">
        <v>28403</v>
      </c>
      <c r="N378" s="116"/>
      <c r="O378" s="116"/>
      <c r="P378" s="116"/>
      <c r="Q378" s="1129"/>
      <c r="R378" s="2501" t="str">
        <f t="shared" si="118"/>
        <v>0338335</v>
      </c>
      <c r="S378" s="2502">
        <f t="shared" si="119"/>
        <v>0</v>
      </c>
      <c r="T378" s="2503" t="s">
        <v>53</v>
      </c>
      <c r="AE378" s="1">
        <v>1</v>
      </c>
    </row>
    <row r="379" spans="1:36" s="1091" customFormat="1" ht="18" customHeight="1" x14ac:dyDescent="0.2">
      <c r="A379" s="1308">
        <f>IF(SUM(A375:A378)&gt;0,VLOOKUP(SUM(A375:A378),A375:C378,1,FALSE),0)</f>
        <v>1</v>
      </c>
      <c r="B379" s="1097" t="str">
        <f>IF(SUM(A375:A378)&gt;0,VLOOKUP(SUM(A375:A378),A375:C378,2,FALSE),0)</f>
        <v>Halterung Initiator Pepperl+Fuchs NBN 12 verzinkt</v>
      </c>
      <c r="C379" s="1088" t="str">
        <f>IF(SUM(A375:A378)&gt;0,VLOOKUP(SUM(A375:A378),A375:C378,3,FALSE),0)</f>
        <v>0308233</v>
      </c>
      <c r="D379" s="1089"/>
      <c r="E379" s="1090"/>
      <c r="F379" s="1090"/>
      <c r="G379" s="1092"/>
      <c r="H379" s="2467"/>
      <c r="I379" s="2467"/>
      <c r="J379" s="2468"/>
      <c r="K379" s="2468"/>
      <c r="L379" s="1090"/>
      <c r="M379" s="1090"/>
      <c r="N379" s="1093"/>
      <c r="O379" s="1093"/>
      <c r="P379" s="1093"/>
      <c r="Q379" s="2453"/>
      <c r="R379" s="2505" t="str">
        <f t="shared" si="118"/>
        <v>0308233</v>
      </c>
      <c r="S379" s="2506"/>
      <c r="T379" s="2506"/>
      <c r="V379" s="1090"/>
      <c r="Y379" s="1090"/>
      <c r="AC379" s="155"/>
      <c r="AD379" s="1"/>
      <c r="AE379" s="1"/>
      <c r="AF379" s="1094"/>
      <c r="AG379" s="1090"/>
      <c r="AH379" s="1095"/>
      <c r="AI379" s="1571"/>
      <c r="AJ379" s="1090"/>
    </row>
    <row r="380" spans="1:36" ht="18" customHeight="1" x14ac:dyDescent="0.2">
      <c r="A380" s="193">
        <f>D380</f>
        <v>1</v>
      </c>
      <c r="B380" s="816" t="s">
        <v>28409</v>
      </c>
      <c r="C380" s="665" t="s">
        <v>27979</v>
      </c>
      <c r="D380" s="200">
        <f>D373*C2</f>
        <v>1</v>
      </c>
      <c r="E380" s="116">
        <v>160</v>
      </c>
      <c r="F380" s="116">
        <v>125</v>
      </c>
      <c r="G380" s="118">
        <v>3</v>
      </c>
      <c r="H380" s="2464">
        <f>E380*F380/1000/1000</f>
        <v>0.02</v>
      </c>
      <c r="I380" s="2464"/>
      <c r="J380" s="2465">
        <f>G380*7.85*H380</f>
        <v>0.47099999999999997</v>
      </c>
      <c r="K380" s="2465">
        <f>D380*J380</f>
        <v>0.47099999999999997</v>
      </c>
      <c r="L380" s="1" t="s">
        <v>53</v>
      </c>
      <c r="M380" s="1" t="s">
        <v>28402</v>
      </c>
      <c r="N380" s="116"/>
      <c r="O380" s="116"/>
      <c r="P380" s="116"/>
      <c r="Q380" s="1129"/>
      <c r="R380" s="2501" t="str">
        <f t="shared" si="118"/>
        <v>0308234</v>
      </c>
      <c r="S380" s="2502">
        <f>D380</f>
        <v>1</v>
      </c>
      <c r="T380" s="2503" t="s">
        <v>53</v>
      </c>
      <c r="V380" s="1">
        <v>1</v>
      </c>
      <c r="AE380" s="1">
        <v>1</v>
      </c>
      <c r="AI380" s="193">
        <v>1</v>
      </c>
    </row>
    <row r="381" spans="1:36" ht="18" customHeight="1" x14ac:dyDescent="0.2">
      <c r="A381" s="1309">
        <f>D381</f>
        <v>0</v>
      </c>
      <c r="B381" s="816" t="s">
        <v>28575</v>
      </c>
      <c r="C381" s="665" t="s">
        <v>28573</v>
      </c>
      <c r="D381" s="200">
        <f>D373*C1</f>
        <v>0</v>
      </c>
      <c r="E381" s="116">
        <v>160</v>
      </c>
      <c r="F381" s="116">
        <v>125</v>
      </c>
      <c r="G381" s="118">
        <v>3</v>
      </c>
      <c r="H381" s="2464">
        <f>E381*F381/1000/1000</f>
        <v>0.02</v>
      </c>
      <c r="I381" s="2464"/>
      <c r="J381" s="2465">
        <f>G381*7.85*H381</f>
        <v>0.47099999999999997</v>
      </c>
      <c r="K381" s="2465">
        <f>D381*J381</f>
        <v>0</v>
      </c>
      <c r="L381" s="1" t="s">
        <v>53</v>
      </c>
      <c r="M381" s="1" t="s">
        <v>28403</v>
      </c>
      <c r="N381" s="116"/>
      <c r="O381" s="116"/>
      <c r="P381" s="116"/>
      <c r="Q381" s="1129"/>
      <c r="R381" s="2501" t="str">
        <f t="shared" si="118"/>
        <v>0338234</v>
      </c>
      <c r="S381" s="2502">
        <f>D381</f>
        <v>0</v>
      </c>
      <c r="T381" s="2503" t="s">
        <v>53</v>
      </c>
      <c r="V381" s="1">
        <v>1</v>
      </c>
      <c r="Y381" s="1">
        <v>1</v>
      </c>
      <c r="AE381" s="1">
        <v>1</v>
      </c>
    </row>
    <row r="382" spans="1:36" ht="18" customHeight="1" x14ac:dyDescent="0.2">
      <c r="A382" s="193">
        <f>D382</f>
        <v>0</v>
      </c>
      <c r="B382" s="816" t="s">
        <v>29032</v>
      </c>
      <c r="C382" s="665" t="s">
        <v>29034</v>
      </c>
      <c r="D382" s="200">
        <f>D377</f>
        <v>0</v>
      </c>
      <c r="E382" s="116">
        <v>163</v>
      </c>
      <c r="F382" s="116">
        <v>160</v>
      </c>
      <c r="G382" s="118">
        <v>3</v>
      </c>
      <c r="H382" s="2464">
        <f>E382*F382/1000/1000</f>
        <v>2.6079999999999999E-2</v>
      </c>
      <c r="I382" s="2464"/>
      <c r="J382" s="2465">
        <f>G382*7.85*H382</f>
        <v>0.61418399999999995</v>
      </c>
      <c r="K382" s="2465">
        <f>D382*J382</f>
        <v>0</v>
      </c>
      <c r="L382" s="116" t="s">
        <v>53</v>
      </c>
      <c r="M382" s="1" t="s">
        <v>28402</v>
      </c>
      <c r="N382" s="116"/>
      <c r="O382" s="116"/>
      <c r="P382" s="116"/>
      <c r="Q382" s="1129"/>
      <c r="R382" s="2501" t="str">
        <f t="shared" si="118"/>
        <v>0308336</v>
      </c>
      <c r="S382" s="2502">
        <f>D382</f>
        <v>0</v>
      </c>
      <c r="T382" s="2503" t="s">
        <v>53</v>
      </c>
      <c r="V382" s="1">
        <v>1</v>
      </c>
      <c r="AE382" s="1">
        <v>1</v>
      </c>
      <c r="AI382" s="193">
        <v>1</v>
      </c>
    </row>
    <row r="383" spans="1:36" ht="18" customHeight="1" x14ac:dyDescent="0.2">
      <c r="A383" s="1309">
        <f>D383</f>
        <v>0</v>
      </c>
      <c r="B383" s="816" t="s">
        <v>29033</v>
      </c>
      <c r="C383" s="665" t="s">
        <v>30989</v>
      </c>
      <c r="D383" s="200">
        <f>D378</f>
        <v>0</v>
      </c>
      <c r="E383" s="116">
        <v>80</v>
      </c>
      <c r="F383" s="116">
        <v>173</v>
      </c>
      <c r="G383" s="118">
        <v>3</v>
      </c>
      <c r="H383" s="2464">
        <f>E383*F383/1000/1000</f>
        <v>1.384E-2</v>
      </c>
      <c r="I383" s="2464"/>
      <c r="J383" s="2465">
        <f>G383*7.85*H383</f>
        <v>0.32593199999999994</v>
      </c>
      <c r="K383" s="2465">
        <f>D383*J383</f>
        <v>0</v>
      </c>
      <c r="L383" s="116" t="s">
        <v>53</v>
      </c>
      <c r="M383" s="1" t="s">
        <v>28403</v>
      </c>
      <c r="N383" s="116"/>
      <c r="O383" s="116"/>
      <c r="P383" s="116"/>
      <c r="Q383" s="1129"/>
      <c r="R383" s="2501" t="str">
        <f t="shared" si="118"/>
        <v>0338336</v>
      </c>
      <c r="S383" s="2502">
        <f>D383</f>
        <v>0</v>
      </c>
      <c r="T383" s="2503" t="s">
        <v>53</v>
      </c>
      <c r="AE383" s="1">
        <v>1</v>
      </c>
    </row>
    <row r="384" spans="1:36" s="1091" customFormat="1" ht="18" customHeight="1" x14ac:dyDescent="0.2">
      <c r="A384" s="1308">
        <f>IF(SUM(A380:A383)&gt;0,VLOOKUP(SUM(A380:A383),A380:C383,1,FALSE),0)</f>
        <v>1</v>
      </c>
      <c r="B384" s="1097" t="str">
        <f>IF(SUM(A380:A383)&gt;0,VLOOKUP(SUM(A380:A383),A380:C383,2,FALSE),0)</f>
        <v>Schaltfahne Initiator Pepperl+Fuchs NBN 12 verzinkt</v>
      </c>
      <c r="C384" s="1088" t="str">
        <f>IF(SUM(A380:A383)&gt;0,VLOOKUP(SUM(A380:A383),A380:C383,3,FALSE),0)</f>
        <v>0308234</v>
      </c>
      <c r="D384" s="1089"/>
      <c r="E384" s="1090"/>
      <c r="F384" s="1090"/>
      <c r="G384" s="1092"/>
      <c r="H384" s="2467"/>
      <c r="I384" s="2467"/>
      <c r="J384" s="2468"/>
      <c r="K384" s="2468"/>
      <c r="L384" s="1090"/>
      <c r="M384" s="1090"/>
      <c r="N384" s="1093"/>
      <c r="O384" s="1093"/>
      <c r="P384" s="1093"/>
      <c r="Q384" s="2453"/>
      <c r="R384" s="2505" t="str">
        <f t="shared" si="118"/>
        <v>0308234</v>
      </c>
      <c r="S384" s="2506"/>
      <c r="T384" s="2506"/>
      <c r="V384" s="1090"/>
      <c r="Y384" s="1090"/>
      <c r="AC384" s="155"/>
      <c r="AD384" s="1"/>
      <c r="AE384" s="1"/>
      <c r="AF384" s="1094"/>
      <c r="AG384" s="1090"/>
      <c r="AH384" s="1095"/>
      <c r="AI384" s="1571"/>
      <c r="AJ384" s="1090"/>
    </row>
    <row r="385" spans="1:36" ht="18" customHeight="1" x14ac:dyDescent="0.2">
      <c r="B385" s="198" t="s">
        <v>433</v>
      </c>
      <c r="C385" s="665"/>
      <c r="D385" s="199"/>
      <c r="E385" s="116">
        <v>99</v>
      </c>
      <c r="F385" s="116">
        <v>260</v>
      </c>
      <c r="G385" s="118">
        <v>2</v>
      </c>
      <c r="H385" s="2464">
        <f>E385*F385/1000/1000</f>
        <v>2.5739999999999999E-2</v>
      </c>
      <c r="I385" s="2464"/>
      <c r="J385" s="2465">
        <f>G385*7.85*H385</f>
        <v>0.40411799999999998</v>
      </c>
      <c r="K385" s="2465">
        <f>D385*J385</f>
        <v>0</v>
      </c>
      <c r="L385" s="1" t="s">
        <v>53</v>
      </c>
      <c r="N385" s="166"/>
      <c r="O385" s="166"/>
      <c r="P385" s="166"/>
      <c r="Q385" s="61"/>
      <c r="R385" s="2504">
        <f t="shared" si="118"/>
        <v>0</v>
      </c>
      <c r="S385" s="2493"/>
      <c r="T385" s="2493"/>
      <c r="V385" s="1">
        <v>1</v>
      </c>
      <c r="Y385" s="1">
        <v>1</v>
      </c>
    </row>
    <row r="386" spans="1:36" s="3" customFormat="1" ht="18" customHeight="1" x14ac:dyDescent="0.2">
      <c r="A386" s="1309"/>
      <c r="B386" s="135" t="s">
        <v>321</v>
      </c>
      <c r="C386" s="958"/>
      <c r="D386" s="117">
        <f>Dateneingabe!D101</f>
        <v>1</v>
      </c>
      <c r="E386" s="117"/>
      <c r="F386" s="117"/>
      <c r="G386" s="1236"/>
      <c r="H386" s="2464"/>
      <c r="I386" s="2464"/>
      <c r="J386" s="2465"/>
      <c r="K386" s="2465"/>
      <c r="L386" s="117"/>
      <c r="M386" s="117"/>
      <c r="N386" s="117"/>
      <c r="O386" s="117"/>
      <c r="P386" s="117"/>
      <c r="Q386" s="2458"/>
      <c r="R386" s="2504">
        <f t="shared" si="118"/>
        <v>0</v>
      </c>
      <c r="S386" s="2518"/>
      <c r="T386" s="2518"/>
      <c r="V386" s="117"/>
      <c r="W386" s="117"/>
      <c r="X386" s="117"/>
      <c r="AD386" s="117"/>
      <c r="AE386" s="117"/>
      <c r="AF386" s="1237"/>
      <c r="AG386" s="117"/>
      <c r="AH386" s="1238"/>
      <c r="AI386" s="1309"/>
      <c r="AJ386" s="117"/>
    </row>
    <row r="387" spans="1:36" ht="18" customHeight="1" x14ac:dyDescent="0.2">
      <c r="A387" s="193">
        <f>D387</f>
        <v>0</v>
      </c>
      <c r="B387" s="1098" t="s">
        <v>27962</v>
      </c>
      <c r="C387" s="665" t="s">
        <v>27963</v>
      </c>
      <c r="D387" s="117">
        <f>$C$2*'Berechnung &amp; Tabellen'!$E$13*'Berechnung &amp; Tabellen'!$G$13*'Berechnung &amp; Tabellen'!F133</f>
        <v>0</v>
      </c>
      <c r="E387" s="117">
        <f>193+75</f>
        <v>268</v>
      </c>
      <c r="F387" s="117">
        <f>'Berechnung &amp; Tabellen'!$C$11</f>
        <v>365</v>
      </c>
      <c r="G387" s="118">
        <v>3</v>
      </c>
      <c r="H387" s="2464">
        <f>E387*F387/1000/1000</f>
        <v>9.781999999999999E-2</v>
      </c>
      <c r="I387" s="2464"/>
      <c r="J387" s="2465">
        <f>G387*8*H387</f>
        <v>2.3476799999999995</v>
      </c>
      <c r="K387" s="2465">
        <f>D387*J387</f>
        <v>0</v>
      </c>
      <c r="L387" s="1" t="s">
        <v>53</v>
      </c>
      <c r="M387" s="1" t="s">
        <v>28402</v>
      </c>
      <c r="Q387" s="36"/>
      <c r="R387" s="2516" t="s">
        <v>8992</v>
      </c>
      <c r="S387" s="2499">
        <f>D387*(E387/1000)*(F387/1000)</f>
        <v>0</v>
      </c>
      <c r="T387" s="2499" t="s">
        <v>28181</v>
      </c>
      <c r="U387"/>
      <c r="V387" s="1">
        <v>1</v>
      </c>
      <c r="X387"/>
      <c r="Y387" s="1">
        <v>1</v>
      </c>
      <c r="AE387" s="1">
        <v>1</v>
      </c>
      <c r="AF387" s="1099" t="s">
        <v>9136</v>
      </c>
      <c r="AG387" s="1">
        <v>0.222</v>
      </c>
      <c r="AH387" s="812" t="s">
        <v>27667</v>
      </c>
      <c r="AI387" s="193">
        <v>1</v>
      </c>
    </row>
    <row r="388" spans="1:36" ht="18" customHeight="1" x14ac:dyDescent="0.2">
      <c r="A388" s="193">
        <f>D388</f>
        <v>1</v>
      </c>
      <c r="B388" s="1098" t="s">
        <v>27964</v>
      </c>
      <c r="C388" s="665" t="s">
        <v>807</v>
      </c>
      <c r="D388" s="117">
        <f>$C$2*'Berechnung &amp; Tabellen'!$E$13*'Berechnung &amp; Tabellen'!$F$13*'Berechnung &amp; Tabellen'!F133</f>
        <v>1</v>
      </c>
      <c r="E388" s="117">
        <f>193</f>
        <v>193</v>
      </c>
      <c r="F388" s="117">
        <f>'Berechnung &amp; Tabellen'!$C$11</f>
        <v>365</v>
      </c>
      <c r="G388" s="118">
        <v>3</v>
      </c>
      <c r="H388" s="2464">
        <f>E388*F388/1000/1000</f>
        <v>7.0444999999999994E-2</v>
      </c>
      <c r="I388" s="2464"/>
      <c r="J388" s="2465">
        <f>G388*8*H388</f>
        <v>1.69068</v>
      </c>
      <c r="K388" s="2465">
        <f>D388*J388</f>
        <v>1.69068</v>
      </c>
      <c r="L388" s="1" t="s">
        <v>53</v>
      </c>
      <c r="M388" s="1" t="s">
        <v>28402</v>
      </c>
      <c r="Q388" s="36"/>
      <c r="R388" s="2516" t="s">
        <v>8992</v>
      </c>
      <c r="S388" s="2499">
        <f>D388*(E388/1000)*(F388/1000)</f>
        <v>7.0444999999999994E-2</v>
      </c>
      <c r="T388" s="2499" t="s">
        <v>28181</v>
      </c>
      <c r="U388"/>
      <c r="V388" s="1">
        <v>1</v>
      </c>
      <c r="X388"/>
      <c r="Y388" s="1">
        <v>1</v>
      </c>
      <c r="AE388" s="1">
        <v>1</v>
      </c>
      <c r="AF388" s="1100"/>
      <c r="AI388" s="193">
        <v>1</v>
      </c>
    </row>
    <row r="389" spans="1:36" ht="18" customHeight="1" x14ac:dyDescent="0.2">
      <c r="A389" s="193">
        <f>D389</f>
        <v>0</v>
      </c>
      <c r="B389" s="1098" t="s">
        <v>27965</v>
      </c>
      <c r="C389" s="665" t="s">
        <v>27966</v>
      </c>
      <c r="D389" s="117">
        <f>$C$1*'Berechnung &amp; Tabellen'!$E$13*'Berechnung &amp; Tabellen'!$G$13*'Berechnung &amp; Tabellen'!F133</f>
        <v>0</v>
      </c>
      <c r="E389" s="117">
        <f>193+75</f>
        <v>268</v>
      </c>
      <c r="F389" s="117">
        <f>'Berechnung &amp; Tabellen'!$C$11</f>
        <v>365</v>
      </c>
      <c r="G389" s="118">
        <v>3</v>
      </c>
      <c r="H389" s="2464">
        <f>E389*F389/1000/1000</f>
        <v>9.781999999999999E-2</v>
      </c>
      <c r="I389" s="2464"/>
      <c r="J389" s="2465">
        <f>G389*8*H389</f>
        <v>2.3476799999999995</v>
      </c>
      <c r="K389" s="2465">
        <f>D389*J389</f>
        <v>0</v>
      </c>
      <c r="L389" s="1" t="s">
        <v>53</v>
      </c>
      <c r="M389" s="1" t="s">
        <v>28403</v>
      </c>
      <c r="Q389" s="36"/>
      <c r="R389" s="2516" t="s">
        <v>30532</v>
      </c>
      <c r="S389" s="2499">
        <f>D389*(E389/1000)*(F389/1000)</f>
        <v>0</v>
      </c>
      <c r="T389" s="2499" t="s">
        <v>28181</v>
      </c>
      <c r="U389"/>
      <c r="V389" s="1">
        <v>1</v>
      </c>
      <c r="X389"/>
      <c r="Y389" s="1">
        <v>1</v>
      </c>
      <c r="AE389" s="1">
        <v>1</v>
      </c>
      <c r="AF389" s="1099" t="s">
        <v>9136</v>
      </c>
      <c r="AG389" s="1">
        <v>0.222</v>
      </c>
      <c r="AH389" s="812" t="s">
        <v>27667</v>
      </c>
    </row>
    <row r="390" spans="1:36" ht="18" customHeight="1" x14ac:dyDescent="0.2">
      <c r="A390" s="193">
        <f>D390</f>
        <v>0</v>
      </c>
      <c r="B390" s="1098" t="s">
        <v>27967</v>
      </c>
      <c r="C390" s="665" t="s">
        <v>808</v>
      </c>
      <c r="D390" s="117">
        <f>$C$1*'Berechnung &amp; Tabellen'!$E$13*'Berechnung &amp; Tabellen'!$F$13*'Berechnung &amp; Tabellen'!F133</f>
        <v>0</v>
      </c>
      <c r="E390" s="117">
        <f>193</f>
        <v>193</v>
      </c>
      <c r="F390" s="117">
        <f>'Berechnung &amp; Tabellen'!$C$11</f>
        <v>365</v>
      </c>
      <c r="G390" s="118">
        <v>3</v>
      </c>
      <c r="H390" s="2464">
        <f>E390*F390/1000/1000</f>
        <v>7.0444999999999994E-2</v>
      </c>
      <c r="I390" s="2464"/>
      <c r="J390" s="2465">
        <f>G390*8*H390</f>
        <v>1.69068</v>
      </c>
      <c r="K390" s="2465">
        <f>D390*J390</f>
        <v>0</v>
      </c>
      <c r="L390" s="1" t="s">
        <v>53</v>
      </c>
      <c r="M390" s="1" t="s">
        <v>28403</v>
      </c>
      <c r="Q390" s="36"/>
      <c r="R390" s="2516" t="s">
        <v>30532</v>
      </c>
      <c r="S390" s="2499">
        <f>D390*(E390/1000)*(F390/1000)</f>
        <v>0</v>
      </c>
      <c r="T390" s="2499" t="s">
        <v>28181</v>
      </c>
      <c r="U390"/>
      <c r="V390" s="1">
        <v>1</v>
      </c>
      <c r="X390"/>
      <c r="Y390" s="1">
        <v>1</v>
      </c>
      <c r="AE390" s="1">
        <v>1</v>
      </c>
      <c r="AF390" s="1100"/>
    </row>
    <row r="391" spans="1:36" s="1091" customFormat="1" ht="18" customHeight="1" x14ac:dyDescent="0.2">
      <c r="A391" s="1308">
        <f>IF(SUM(A387:A390)&gt;0,VLOOKUP(1,A387:C390,1,FALSE),0)</f>
        <v>1</v>
      </c>
      <c r="B391" s="1097" t="str">
        <f>IF(SUM(A387:A390)&gt;0,VLOOKUP(1,A387:C390,2,FALSE),0)</f>
        <v>GCC Festfeldhalter 175 seitlich rechts verz</v>
      </c>
      <c r="C391" s="1088" t="str">
        <f>IF(SUM(A387:A390)&gt;0,VLOOKUP(1,A387:C390,3,FALSE),0)</f>
        <v>0308044</v>
      </c>
      <c r="D391" s="1089"/>
      <c r="E391" s="1090"/>
      <c r="F391" s="1090"/>
      <c r="G391" s="1092"/>
      <c r="H391" s="2467"/>
      <c r="I391" s="2467"/>
      <c r="J391" s="2468"/>
      <c r="K391" s="2468"/>
      <c r="L391" s="1090"/>
      <c r="M391" s="1090"/>
      <c r="N391" s="1093"/>
      <c r="O391" s="1093"/>
      <c r="P391" s="1093"/>
      <c r="Q391" s="2453"/>
      <c r="R391" s="2505" t="str">
        <f>C391</f>
        <v>0308044</v>
      </c>
      <c r="S391" s="2506"/>
      <c r="T391" s="2506"/>
      <c r="V391" s="1090"/>
      <c r="Y391" s="1090"/>
      <c r="AC391" s="155"/>
      <c r="AD391" s="1"/>
      <c r="AE391" s="1"/>
      <c r="AF391" s="1094"/>
      <c r="AG391" s="1090"/>
      <c r="AH391" s="1095"/>
      <c r="AI391" s="1571"/>
      <c r="AJ391" s="1090"/>
    </row>
    <row r="392" spans="1:36" ht="18" customHeight="1" x14ac:dyDescent="0.2">
      <c r="A392" s="193">
        <f>D392</f>
        <v>0</v>
      </c>
      <c r="B392" s="1098" t="s">
        <v>27968</v>
      </c>
      <c r="C392" s="665" t="s">
        <v>27969</v>
      </c>
      <c r="D392" s="117">
        <f>$C$2*'Berechnung &amp; Tabellen'!$E$13*'Berechnung &amp; Tabellen'!$G$13*'Berechnung &amp; Tabellen'!F132</f>
        <v>0</v>
      </c>
      <c r="E392" s="117">
        <f>193+75</f>
        <v>268</v>
      </c>
      <c r="F392" s="117">
        <f>'Berechnung &amp; Tabellen'!$C$11</f>
        <v>365</v>
      </c>
      <c r="G392" s="118">
        <v>3</v>
      </c>
      <c r="H392" s="2464">
        <f>E392*F392/1000/1000</f>
        <v>9.781999999999999E-2</v>
      </c>
      <c r="I392" s="2464"/>
      <c r="J392" s="2465">
        <f>G392*8*H392</f>
        <v>2.3476799999999995</v>
      </c>
      <c r="K392" s="2465">
        <f>D392*J392</f>
        <v>0</v>
      </c>
      <c r="L392" s="1" t="s">
        <v>53</v>
      </c>
      <c r="M392" s="1" t="s">
        <v>28402</v>
      </c>
      <c r="Q392" s="36"/>
      <c r="R392" s="2516" t="s">
        <v>8992</v>
      </c>
      <c r="S392" s="2499">
        <f>D392*(E392/1000)*(F392/1000)</f>
        <v>0</v>
      </c>
      <c r="T392" s="2499" t="s">
        <v>28181</v>
      </c>
      <c r="U392"/>
      <c r="V392" s="1">
        <v>1</v>
      </c>
      <c r="X392"/>
      <c r="Y392" s="1">
        <v>1</v>
      </c>
      <c r="AE392" s="1">
        <v>1</v>
      </c>
      <c r="AF392" s="1100"/>
      <c r="AI392" s="193">
        <v>1</v>
      </c>
    </row>
    <row r="393" spans="1:36" ht="18" customHeight="1" x14ac:dyDescent="0.2">
      <c r="A393" s="193">
        <f t="shared" ref="A393:A425" si="120">D393</f>
        <v>1</v>
      </c>
      <c r="B393" s="1098" t="s">
        <v>27970</v>
      </c>
      <c r="C393" s="665" t="s">
        <v>809</v>
      </c>
      <c r="D393" s="117">
        <f>$C$2*'Berechnung &amp; Tabellen'!$E$13*'Berechnung &amp; Tabellen'!$F$13*'Berechnung &amp; Tabellen'!F132</f>
        <v>1</v>
      </c>
      <c r="E393" s="117">
        <f>193</f>
        <v>193</v>
      </c>
      <c r="F393" s="117">
        <f>'Berechnung &amp; Tabellen'!$C$11</f>
        <v>365</v>
      </c>
      <c r="G393" s="118">
        <v>3</v>
      </c>
      <c r="H393" s="2464">
        <f>E393*F393/1000/1000</f>
        <v>7.0444999999999994E-2</v>
      </c>
      <c r="I393" s="2464"/>
      <c r="J393" s="2465">
        <f>G393*8*H393</f>
        <v>1.69068</v>
      </c>
      <c r="K393" s="2465">
        <f>D393*J393</f>
        <v>1.69068</v>
      </c>
      <c r="L393" s="1" t="s">
        <v>53</v>
      </c>
      <c r="M393" s="1" t="s">
        <v>28402</v>
      </c>
      <c r="Q393" s="36"/>
      <c r="R393" s="2516" t="s">
        <v>8992</v>
      </c>
      <c r="S393" s="2499">
        <f>D393*(E393/1000)*(F393/1000)</f>
        <v>7.0444999999999994E-2</v>
      </c>
      <c r="T393" s="2499" t="s">
        <v>28181</v>
      </c>
      <c r="U393"/>
      <c r="V393" s="1">
        <v>1</v>
      </c>
      <c r="X393"/>
      <c r="Y393" s="1">
        <v>1</v>
      </c>
      <c r="AE393" s="1">
        <v>1</v>
      </c>
      <c r="AF393" s="1100"/>
      <c r="AI393" s="193">
        <v>1</v>
      </c>
    </row>
    <row r="394" spans="1:36" ht="18" customHeight="1" x14ac:dyDescent="0.2">
      <c r="A394" s="193">
        <f t="shared" si="120"/>
        <v>0</v>
      </c>
      <c r="B394" s="1098" t="s">
        <v>27971</v>
      </c>
      <c r="C394" s="665" t="s">
        <v>27972</v>
      </c>
      <c r="D394" s="117">
        <f>$C$1*'Berechnung &amp; Tabellen'!$E$13*'Berechnung &amp; Tabellen'!$G$13*'Berechnung &amp; Tabellen'!F132</f>
        <v>0</v>
      </c>
      <c r="E394" s="117">
        <f>193+75</f>
        <v>268</v>
      </c>
      <c r="F394" s="117">
        <f>'Berechnung &amp; Tabellen'!$C$11</f>
        <v>365</v>
      </c>
      <c r="G394" s="118">
        <v>3</v>
      </c>
      <c r="H394" s="2464">
        <f>E394*F394/1000/1000</f>
        <v>9.781999999999999E-2</v>
      </c>
      <c r="I394" s="2464"/>
      <c r="J394" s="2465">
        <f>G394*8*H394</f>
        <v>2.3476799999999995</v>
      </c>
      <c r="K394" s="2465">
        <f>D394*J394</f>
        <v>0</v>
      </c>
      <c r="L394" s="1" t="s">
        <v>53</v>
      </c>
      <c r="M394" s="1" t="s">
        <v>28403</v>
      </c>
      <c r="Q394" s="36"/>
      <c r="R394" s="2516" t="s">
        <v>30532</v>
      </c>
      <c r="S394" s="2499">
        <f>D394*(E394/1000)*(F394/1000)</f>
        <v>0</v>
      </c>
      <c r="T394" s="2499" t="s">
        <v>28181</v>
      </c>
      <c r="U394"/>
      <c r="V394" s="1">
        <v>1</v>
      </c>
      <c r="X394"/>
      <c r="Y394" s="1">
        <v>1</v>
      </c>
      <c r="AE394" s="1">
        <v>1</v>
      </c>
      <c r="AF394" s="1100"/>
    </row>
    <row r="395" spans="1:36" ht="18" customHeight="1" x14ac:dyDescent="0.2">
      <c r="A395" s="193">
        <f t="shared" si="120"/>
        <v>0</v>
      </c>
      <c r="B395" s="1098" t="s">
        <v>27973</v>
      </c>
      <c r="C395" s="665" t="s">
        <v>810</v>
      </c>
      <c r="D395" s="117">
        <f>$C$1*'Berechnung &amp; Tabellen'!$E$13*'Berechnung &amp; Tabellen'!$F$13*'Berechnung &amp; Tabellen'!F132</f>
        <v>0</v>
      </c>
      <c r="E395" s="117">
        <f>193</f>
        <v>193</v>
      </c>
      <c r="F395" s="117">
        <f>'Berechnung &amp; Tabellen'!$C$11</f>
        <v>365</v>
      </c>
      <c r="G395" s="118">
        <v>3</v>
      </c>
      <c r="H395" s="2464">
        <f>E395*F395/1000/1000</f>
        <v>7.0444999999999994E-2</v>
      </c>
      <c r="I395" s="2464"/>
      <c r="J395" s="2465">
        <f>G395*8*H395</f>
        <v>1.69068</v>
      </c>
      <c r="K395" s="2465">
        <f>D395*J395</f>
        <v>0</v>
      </c>
      <c r="L395" s="1" t="s">
        <v>53</v>
      </c>
      <c r="M395" s="1" t="s">
        <v>28403</v>
      </c>
      <c r="Q395" s="36"/>
      <c r="R395" s="2516" t="s">
        <v>30532</v>
      </c>
      <c r="S395" s="2499">
        <f>D395*(E395/1000)*(F395/1000)</f>
        <v>0</v>
      </c>
      <c r="T395" s="2499" t="s">
        <v>28181</v>
      </c>
      <c r="U395"/>
      <c r="V395" s="1">
        <v>1</v>
      </c>
      <c r="X395"/>
      <c r="Y395" s="1">
        <v>1</v>
      </c>
      <c r="AE395" s="1">
        <v>1</v>
      </c>
      <c r="AF395" s="1100"/>
    </row>
    <row r="396" spans="1:36" s="1091" customFormat="1" ht="18" customHeight="1" x14ac:dyDescent="0.2">
      <c r="A396" s="1308">
        <f>IF(SUM(A392:A395)&gt;0,VLOOKUP(1,A392:C395,1,FALSE),0)</f>
        <v>1</v>
      </c>
      <c r="B396" s="1097" t="str">
        <f>IF(SUM(A392:A395)&gt;0,VLOOKUP(1,A392:C395,2,FALSE),0)</f>
        <v>GCC Festfeldhalter 175 seitlich links verz</v>
      </c>
      <c r="C396" s="1088" t="str">
        <f>IF(SUM(A392:A395)&gt;0,VLOOKUP(1,A392:C395,3,FALSE),0)</f>
        <v>0308045</v>
      </c>
      <c r="D396" s="1089"/>
      <c r="E396" s="1090"/>
      <c r="F396" s="1090"/>
      <c r="G396" s="1092"/>
      <c r="H396" s="2467"/>
      <c r="I396" s="2467"/>
      <c r="J396" s="2468"/>
      <c r="K396" s="2468"/>
      <c r="L396" s="1090"/>
      <c r="M396" s="1090"/>
      <c r="N396" s="1093"/>
      <c r="O396" s="1093"/>
      <c r="P396" s="1093"/>
      <c r="Q396" s="2453"/>
      <c r="R396" s="2505" t="str">
        <f t="shared" ref="R396:R428" si="121">C396</f>
        <v>0308045</v>
      </c>
      <c r="S396" s="2506"/>
      <c r="T396" s="2506"/>
      <c r="V396" s="1090"/>
      <c r="Y396" s="1090"/>
      <c r="AC396" s="155"/>
      <c r="AD396" s="1"/>
      <c r="AE396" s="1"/>
      <c r="AF396" s="1094"/>
      <c r="AG396" s="1090"/>
      <c r="AH396" s="1095"/>
      <c r="AI396" s="1571"/>
      <c r="AJ396" s="1090"/>
    </row>
    <row r="397" spans="1:36" ht="18" customHeight="1" x14ac:dyDescent="0.2">
      <c r="A397" s="193">
        <f t="shared" si="120"/>
        <v>2</v>
      </c>
      <c r="B397" s="1098" t="s">
        <v>27974</v>
      </c>
      <c r="C397" s="665" t="s">
        <v>811</v>
      </c>
      <c r="D397" s="117">
        <f>C2*'Berechnung &amp; Tabellen'!C40*'Berechnung &amp; Tabellen'!F133</f>
        <v>2</v>
      </c>
      <c r="E397" s="117">
        <v>91</v>
      </c>
      <c r="F397" s="117">
        <f>211</f>
        <v>211</v>
      </c>
      <c r="G397" s="118">
        <v>5</v>
      </c>
      <c r="H397" s="2464">
        <f>E397*F397/1000/1000</f>
        <v>1.9200999999999999E-2</v>
      </c>
      <c r="I397" s="2464"/>
      <c r="J397" s="2465">
        <f>G397*8*H397</f>
        <v>0.76803999999999994</v>
      </c>
      <c r="K397" s="2465">
        <f>D397*J397</f>
        <v>1.5360799999999999</v>
      </c>
      <c r="L397" s="117" t="str">
        <f>IF(Y397=1,"MM2","Stk")</f>
        <v>Stk</v>
      </c>
      <c r="M397" s="1" t="s">
        <v>28402</v>
      </c>
      <c r="Q397" s="36"/>
      <c r="R397" s="2501" t="str">
        <f t="shared" si="121"/>
        <v>0308046</v>
      </c>
      <c r="S397" s="2502">
        <f>D397</f>
        <v>2</v>
      </c>
      <c r="T397" s="2503" t="s">
        <v>53</v>
      </c>
      <c r="U397"/>
      <c r="V397" s="1">
        <v>1</v>
      </c>
      <c r="X397"/>
      <c r="AE397" s="1">
        <v>1</v>
      </c>
      <c r="AI397" s="193">
        <v>1</v>
      </c>
    </row>
    <row r="398" spans="1:36" ht="18" customHeight="1" x14ac:dyDescent="0.2">
      <c r="A398" s="193">
        <f t="shared" si="120"/>
        <v>0</v>
      </c>
      <c r="B398" s="1098" t="s">
        <v>27975</v>
      </c>
      <c r="C398" s="665" t="s">
        <v>812</v>
      </c>
      <c r="D398" s="117">
        <f>C1*'Berechnung &amp; Tabellen'!C40*'Berechnung &amp; Tabellen'!F133</f>
        <v>0</v>
      </c>
      <c r="E398" s="117">
        <v>91</v>
      </c>
      <c r="F398" s="117">
        <v>211</v>
      </c>
      <c r="G398" s="118">
        <v>5</v>
      </c>
      <c r="H398" s="2464">
        <f>E398*F398/1000/1000</f>
        <v>1.9200999999999999E-2</v>
      </c>
      <c r="I398" s="2464"/>
      <c r="J398" s="2465">
        <f>G398*8*H398</f>
        <v>0.76803999999999994</v>
      </c>
      <c r="K398" s="2465">
        <f>D398*J398</f>
        <v>0</v>
      </c>
      <c r="L398" s="200" t="s">
        <v>53</v>
      </c>
      <c r="M398" s="1" t="s">
        <v>28403</v>
      </c>
      <c r="Q398" s="36"/>
      <c r="R398" s="2501" t="str">
        <f t="shared" si="121"/>
        <v>0338046</v>
      </c>
      <c r="S398" s="2502">
        <f>D398</f>
        <v>0</v>
      </c>
      <c r="T398" s="2503" t="s">
        <v>53</v>
      </c>
      <c r="U398"/>
      <c r="V398" s="1">
        <v>1</v>
      </c>
      <c r="X398"/>
      <c r="AE398" s="1">
        <v>1</v>
      </c>
    </row>
    <row r="399" spans="1:36" s="1091" customFormat="1" ht="18" customHeight="1" x14ac:dyDescent="0.2">
      <c r="A399" s="1308">
        <f>IF(SUM(A397:A398)&gt;0,VLOOKUP(SUM(A397:A398),A397:C398,1,FALSE),0)</f>
        <v>2</v>
      </c>
      <c r="B399" s="1097" t="str">
        <f>IF(SUM(A397:A398)&gt;0,VLOOKUP(SUM(A397:A398),A397:C398,2,FALSE),0)</f>
        <v>GCC Festfeldbefestigung seitlich rechts verz</v>
      </c>
      <c r="C399" s="1088" t="str">
        <f>IF(SUM(A397:A398)&gt;0,VLOOKUP(SUM(A397:A398),A397:C398,3,FALSE),0)</f>
        <v>0308046</v>
      </c>
      <c r="D399" s="1089"/>
      <c r="E399" s="1090"/>
      <c r="F399" s="1090"/>
      <c r="G399" s="1092"/>
      <c r="H399" s="2467"/>
      <c r="I399" s="2467"/>
      <c r="J399" s="2468"/>
      <c r="K399" s="2468"/>
      <c r="L399" s="1090"/>
      <c r="M399" s="1090"/>
      <c r="N399" s="1093"/>
      <c r="O399" s="1093"/>
      <c r="P399" s="1093"/>
      <c r="Q399" s="2453"/>
      <c r="R399" s="2505" t="str">
        <f t="shared" si="121"/>
        <v>0308046</v>
      </c>
      <c r="S399" s="2506"/>
      <c r="T399" s="2506"/>
      <c r="V399" s="1090"/>
      <c r="Y399" s="1090"/>
      <c r="AC399" s="155"/>
      <c r="AD399" s="1"/>
      <c r="AE399" s="1"/>
      <c r="AF399" s="1094"/>
      <c r="AG399" s="1090"/>
      <c r="AH399" s="1095"/>
      <c r="AI399" s="1571"/>
      <c r="AJ399" s="1090"/>
    </row>
    <row r="400" spans="1:36" ht="18" customHeight="1" x14ac:dyDescent="0.2">
      <c r="A400" s="193">
        <f t="shared" si="120"/>
        <v>2</v>
      </c>
      <c r="B400" s="1098" t="s">
        <v>27976</v>
      </c>
      <c r="C400" s="665" t="s">
        <v>813</v>
      </c>
      <c r="D400" s="117">
        <f>C2*'Berechnung &amp; Tabellen'!C39*'Berechnung &amp; Tabellen'!F132</f>
        <v>2</v>
      </c>
      <c r="E400" s="117">
        <v>91</v>
      </c>
      <c r="F400" s="117">
        <f>211</f>
        <v>211</v>
      </c>
      <c r="G400" s="118">
        <v>5</v>
      </c>
      <c r="H400" s="2464">
        <f>E400*F400/1000/1000</f>
        <v>1.9200999999999999E-2</v>
      </c>
      <c r="I400" s="2464"/>
      <c r="J400" s="2465">
        <f>G400*8*H400</f>
        <v>0.76803999999999994</v>
      </c>
      <c r="K400" s="2465">
        <f>D400*J400</f>
        <v>1.5360799999999999</v>
      </c>
      <c r="L400" s="117" t="str">
        <f>IF(Y400=1,"MM2","Stk")</f>
        <v>Stk</v>
      </c>
      <c r="M400" s="1" t="s">
        <v>28402</v>
      </c>
      <c r="Q400" s="36"/>
      <c r="R400" s="2501" t="str">
        <f t="shared" si="121"/>
        <v>0308047</v>
      </c>
      <c r="S400" s="2502">
        <f>D400</f>
        <v>2</v>
      </c>
      <c r="T400" s="2503" t="s">
        <v>53</v>
      </c>
      <c r="U400"/>
      <c r="V400" s="1">
        <v>1</v>
      </c>
      <c r="X400"/>
      <c r="AE400" s="1">
        <v>1</v>
      </c>
      <c r="AI400" s="193">
        <v>1</v>
      </c>
    </row>
    <row r="401" spans="1:36" ht="18" customHeight="1" x14ac:dyDescent="0.2">
      <c r="A401" s="193">
        <f t="shared" si="120"/>
        <v>0</v>
      </c>
      <c r="B401" s="1098" t="s">
        <v>27977</v>
      </c>
      <c r="C401" s="665" t="s">
        <v>814</v>
      </c>
      <c r="D401" s="117">
        <f>C1*'Berechnung &amp; Tabellen'!C39*'Berechnung &amp; Tabellen'!F132</f>
        <v>0</v>
      </c>
      <c r="E401" s="117">
        <v>91</v>
      </c>
      <c r="F401" s="117">
        <v>211</v>
      </c>
      <c r="G401" s="118">
        <v>5</v>
      </c>
      <c r="H401" s="2464">
        <f>E401*F401/1000/1000</f>
        <v>1.9200999999999999E-2</v>
      </c>
      <c r="I401" s="2464"/>
      <c r="J401" s="2465">
        <f>G401*8*H401</f>
        <v>0.76803999999999994</v>
      </c>
      <c r="K401" s="2465">
        <f>D401*J401</f>
        <v>0</v>
      </c>
      <c r="L401" s="200" t="s">
        <v>53</v>
      </c>
      <c r="M401" s="1" t="s">
        <v>28403</v>
      </c>
      <c r="Q401" s="36"/>
      <c r="R401" s="2501" t="str">
        <f t="shared" si="121"/>
        <v>0338047</v>
      </c>
      <c r="S401" s="2502">
        <f>D401</f>
        <v>0</v>
      </c>
      <c r="T401" s="2503" t="s">
        <v>53</v>
      </c>
      <c r="U401"/>
      <c r="V401" s="1">
        <v>1</v>
      </c>
      <c r="X401"/>
      <c r="AE401" s="1">
        <v>1</v>
      </c>
    </row>
    <row r="402" spans="1:36" s="1091" customFormat="1" ht="18" customHeight="1" x14ac:dyDescent="0.2">
      <c r="A402" s="1308">
        <f>IF(SUM(A400:A401)&gt;0,VLOOKUP(SUM(A400:A401),A400:C401,1,FALSE),0)</f>
        <v>2</v>
      </c>
      <c r="B402" s="1097" t="str">
        <f>IF(SUM(A400:A401)&gt;0,VLOOKUP(SUM(A400:A401),A400:C401,2,FALSE),0)</f>
        <v>GCC Festfeldbefestigung seitlich links verz</v>
      </c>
      <c r="C402" s="1088" t="str">
        <f>IF(SUM(A400:A401)&gt;0,VLOOKUP(SUM(A400:A401),A400:C401,3,FALSE),0)</f>
        <v>0308047</v>
      </c>
      <c r="D402" s="1089"/>
      <c r="E402" s="1090"/>
      <c r="F402" s="1090"/>
      <c r="G402" s="1092"/>
      <c r="H402" s="2467"/>
      <c r="I402" s="2467"/>
      <c r="J402" s="2468"/>
      <c r="K402" s="2468"/>
      <c r="L402" s="1090"/>
      <c r="M402" s="1090"/>
      <c r="N402" s="1093"/>
      <c r="O402" s="1093"/>
      <c r="P402" s="1093"/>
      <c r="Q402" s="2453"/>
      <c r="R402" s="2505" t="str">
        <f t="shared" si="121"/>
        <v>0308047</v>
      </c>
      <c r="S402" s="2506"/>
      <c r="T402" s="2506"/>
      <c r="V402" s="1090"/>
      <c r="Y402" s="1090"/>
      <c r="AC402" s="155"/>
      <c r="AD402" s="1"/>
      <c r="AE402" s="1"/>
      <c r="AF402" s="1094"/>
      <c r="AG402" s="1090"/>
      <c r="AH402" s="1095"/>
      <c r="AI402" s="1571"/>
      <c r="AJ402" s="1090"/>
    </row>
    <row r="403" spans="1:36" ht="18" customHeight="1" x14ac:dyDescent="0.2">
      <c r="A403" s="193">
        <f>D403</f>
        <v>0</v>
      </c>
      <c r="B403" s="1098" t="s">
        <v>30367</v>
      </c>
      <c r="C403" s="665" t="s">
        <v>30369</v>
      </c>
      <c r="D403" s="117">
        <f>C2*'Berechnung &amp; Tabellen'!F134</f>
        <v>0</v>
      </c>
      <c r="E403" s="117">
        <v>76.48</v>
      </c>
      <c r="F403" s="117">
        <f>'Berechnung &amp; Tabellen'!C11</f>
        <v>365</v>
      </c>
      <c r="G403" s="118">
        <v>2</v>
      </c>
      <c r="H403" s="2464">
        <f>E403*F403/1000/1000</f>
        <v>2.7915200000000001E-2</v>
      </c>
      <c r="I403" s="2464"/>
      <c r="J403" s="2465">
        <f>G403*8*H403</f>
        <v>0.44664320000000002</v>
      </c>
      <c r="K403" s="2465">
        <f>D403*J403</f>
        <v>0</v>
      </c>
      <c r="L403" s="200" t="s">
        <v>53</v>
      </c>
      <c r="M403" s="1" t="s">
        <v>28402</v>
      </c>
      <c r="Q403" s="36"/>
      <c r="R403" s="2501" t="str">
        <f t="shared" si="121"/>
        <v>0308442</v>
      </c>
      <c r="S403" s="2502">
        <f>D403</f>
        <v>0</v>
      </c>
      <c r="T403" s="2503" t="s">
        <v>53</v>
      </c>
      <c r="U403"/>
      <c r="V403" s="1">
        <v>1</v>
      </c>
      <c r="X403"/>
      <c r="Y403" s="1">
        <v>1</v>
      </c>
      <c r="AE403" s="1">
        <v>1</v>
      </c>
      <c r="AI403" s="193">
        <v>1</v>
      </c>
    </row>
    <row r="404" spans="1:36" ht="18" customHeight="1" x14ac:dyDescent="0.2">
      <c r="A404" s="193">
        <f>D404</f>
        <v>0</v>
      </c>
      <c r="B404" s="1098" t="s">
        <v>30368</v>
      </c>
      <c r="C404" s="665" t="s">
        <v>30370</v>
      </c>
      <c r="D404" s="117">
        <f>C1*'Berechnung &amp; Tabellen'!F134</f>
        <v>0</v>
      </c>
      <c r="E404" s="117">
        <v>75.95</v>
      </c>
      <c r="F404" s="117">
        <f>'Berechnung &amp; Tabellen'!C11</f>
        <v>365</v>
      </c>
      <c r="G404" s="118">
        <v>2</v>
      </c>
      <c r="H404" s="2464">
        <f>E404*F404/1000/1000</f>
        <v>2.772175E-2</v>
      </c>
      <c r="I404" s="2464"/>
      <c r="J404" s="2465">
        <f>G404*8*H404</f>
        <v>0.443548</v>
      </c>
      <c r="K404" s="2465">
        <f>D404*J404</f>
        <v>0</v>
      </c>
      <c r="L404" s="200" t="s">
        <v>53</v>
      </c>
      <c r="M404" s="1" t="s">
        <v>28403</v>
      </c>
      <c r="Q404" s="36"/>
      <c r="R404" s="2501" t="str">
        <f t="shared" si="121"/>
        <v>0338442</v>
      </c>
      <c r="S404" s="2502">
        <f>D404</f>
        <v>0</v>
      </c>
      <c r="T404" s="2503" t="s">
        <v>53</v>
      </c>
      <c r="U404"/>
      <c r="V404" s="1">
        <v>1</v>
      </c>
      <c r="X404"/>
      <c r="Y404" s="1">
        <v>1</v>
      </c>
      <c r="AE404" s="1">
        <v>1</v>
      </c>
    </row>
    <row r="405" spans="1:36" s="1091" customFormat="1" ht="18" customHeight="1" x14ac:dyDescent="0.2">
      <c r="A405" s="1308">
        <f>IF(SUM(A403:A404)&gt;0,VLOOKUP(SUM(A403:A404),A403:C404,1,FALSE),0)</f>
        <v>0</v>
      </c>
      <c r="B405" s="1097">
        <f>IF(SUM(A403:A404)&gt;0,VLOOKUP(SUM(A403:A404),A403:C404,2,FALSE),0)</f>
        <v>0</v>
      </c>
      <c r="C405" s="1088">
        <f>IF(SUM(A403:A404)&gt;0,VLOOKUP(SUM(A403:A404),A403:C404,3,FALSE),0)</f>
        <v>0</v>
      </c>
      <c r="D405" s="1089"/>
      <c r="E405" s="1239">
        <f>IF(SUM(D403:D404)&gt;0,VLOOKUP(A405,D403:F404,2,FALSE),0)</f>
        <v>0</v>
      </c>
      <c r="F405" s="1239">
        <f>IF(SUM(D403:D404)&gt;0,VLOOKUP(A405,D403:F404,3,FALSE),0)</f>
        <v>0</v>
      </c>
      <c r="G405" s="1092"/>
      <c r="H405" s="2467"/>
      <c r="I405" s="2467"/>
      <c r="J405" s="2468"/>
      <c r="K405" s="2468"/>
      <c r="L405" s="1090"/>
      <c r="M405" s="1090"/>
      <c r="N405" s="1093"/>
      <c r="O405" s="1093"/>
      <c r="P405" s="1093"/>
      <c r="Q405" s="2453"/>
      <c r="R405" s="2505">
        <f t="shared" si="121"/>
        <v>0</v>
      </c>
      <c r="S405" s="2506"/>
      <c r="T405" s="2506"/>
      <c r="V405" s="1090"/>
      <c r="Y405" s="1090"/>
      <c r="AC405" s="155"/>
      <c r="AD405" s="1"/>
      <c r="AE405" s="1"/>
      <c r="AF405" s="1094"/>
      <c r="AG405" s="1090"/>
      <c r="AH405" s="1095"/>
      <c r="AI405" s="1571"/>
      <c r="AJ405" s="1090"/>
    </row>
    <row r="406" spans="1:36" s="1091" customFormat="1" ht="18" customHeight="1" x14ac:dyDescent="0.2">
      <c r="A406" s="193">
        <f t="shared" si="120"/>
        <v>0</v>
      </c>
      <c r="B406" s="1098" t="s">
        <v>28324</v>
      </c>
      <c r="C406" s="665" t="s">
        <v>514</v>
      </c>
      <c r="D406" s="1240">
        <f>'Berechnung &amp; Tabellen'!C197*'Berechnung &amp; Tabellen'!C198*'Berechnung &amp; Tabellen'!L231</f>
        <v>0</v>
      </c>
      <c r="E406" s="1">
        <v>682</v>
      </c>
      <c r="F406" s="1">
        <v>211</v>
      </c>
      <c r="G406" s="118">
        <v>5</v>
      </c>
      <c r="H406" s="2464">
        <f>E406*F406/1000/1000</f>
        <v>0.14390199999999997</v>
      </c>
      <c r="I406" s="2464"/>
      <c r="J406" s="2465">
        <f>G406*7.85*H406</f>
        <v>5.6481534999999994</v>
      </c>
      <c r="K406" s="2465">
        <f>D406*J406</f>
        <v>0</v>
      </c>
      <c r="L406" s="117" t="str">
        <f t="shared" ref="L406:L411" si="122">IF(Y406=1,"MM2","Stk")</f>
        <v>Stk</v>
      </c>
      <c r="M406" s="1" t="s">
        <v>28402</v>
      </c>
      <c r="N406" s="200"/>
      <c r="O406" s="200"/>
      <c r="P406" s="200"/>
      <c r="Q406" s="2459"/>
      <c r="R406" s="2501" t="str">
        <f t="shared" si="121"/>
        <v>0308026</v>
      </c>
      <c r="S406" s="2502">
        <f t="shared" ref="S406:S411" si="123">D406</f>
        <v>0</v>
      </c>
      <c r="T406" s="2503" t="s">
        <v>53</v>
      </c>
      <c r="U406" s="3"/>
      <c r="V406" s="117">
        <v>1</v>
      </c>
      <c r="W406" s="3"/>
      <c r="X406" s="3"/>
      <c r="Y406" s="117"/>
      <c r="Z406" s="3"/>
      <c r="AA406" s="3"/>
      <c r="AB406" s="3"/>
      <c r="AC406" s="155"/>
      <c r="AD406" s="1"/>
      <c r="AE406" s="1">
        <v>1</v>
      </c>
      <c r="AF406" s="1094"/>
      <c r="AG406" s="1090"/>
      <c r="AH406" s="1095"/>
      <c r="AI406" s="1571">
        <v>1</v>
      </c>
      <c r="AJ406" s="1090"/>
    </row>
    <row r="407" spans="1:36" s="1091" customFormat="1" ht="18" customHeight="1" x14ac:dyDescent="0.2">
      <c r="A407" s="193">
        <f t="shared" si="120"/>
        <v>0</v>
      </c>
      <c r="B407" s="1098" t="s">
        <v>28325</v>
      </c>
      <c r="C407" s="665" t="s">
        <v>515</v>
      </c>
      <c r="D407" s="1240">
        <f>'Berechnung &amp; Tabellen'!C197*'Berechnung &amp; Tabellen'!C199*'Berechnung &amp; Tabellen'!L231</f>
        <v>0</v>
      </c>
      <c r="E407" s="1">
        <v>682</v>
      </c>
      <c r="F407" s="1">
        <v>211</v>
      </c>
      <c r="G407" s="118">
        <v>5</v>
      </c>
      <c r="H407" s="2464">
        <f>E407*F407/1000/1000</f>
        <v>0.14390199999999997</v>
      </c>
      <c r="I407" s="2464"/>
      <c r="J407" s="2465">
        <f>G407*7.85*H407</f>
        <v>5.6481534999999994</v>
      </c>
      <c r="K407" s="2465">
        <f>D407*J407</f>
        <v>0</v>
      </c>
      <c r="L407" s="117" t="str">
        <f t="shared" si="122"/>
        <v>Stk</v>
      </c>
      <c r="M407" s="1" t="s">
        <v>28403</v>
      </c>
      <c r="N407" s="200"/>
      <c r="O407" s="200"/>
      <c r="P407" s="200"/>
      <c r="Q407" s="2459"/>
      <c r="R407" s="2501" t="str">
        <f t="shared" si="121"/>
        <v>0338026</v>
      </c>
      <c r="S407" s="2502">
        <f t="shared" si="123"/>
        <v>0</v>
      </c>
      <c r="T407" s="2503" t="s">
        <v>53</v>
      </c>
      <c r="U407" s="3"/>
      <c r="V407" s="117">
        <v>1</v>
      </c>
      <c r="W407" s="3"/>
      <c r="X407" s="3"/>
      <c r="Y407" s="117"/>
      <c r="Z407" s="3"/>
      <c r="AA407" s="3"/>
      <c r="AB407" s="3"/>
      <c r="AC407" s="155"/>
      <c r="AD407" s="1"/>
      <c r="AE407" s="1">
        <v>1</v>
      </c>
      <c r="AF407" s="1094"/>
      <c r="AG407" s="1090"/>
      <c r="AH407" s="1095"/>
      <c r="AI407" s="1571"/>
      <c r="AJ407" s="1090"/>
    </row>
    <row r="408" spans="1:36" s="1091" customFormat="1" ht="18" customHeight="1" x14ac:dyDescent="0.2">
      <c r="A408" s="193">
        <f t="shared" si="120"/>
        <v>2</v>
      </c>
      <c r="B408" s="1098" t="s">
        <v>28326</v>
      </c>
      <c r="C408" s="665" t="s">
        <v>7107</v>
      </c>
      <c r="D408" s="1240">
        <f>'Berechnung &amp; Tabellen'!C196*'Berechnung &amp; Tabellen'!C200*'Berechnung &amp; Tabellen'!C198*'Berechnung &amp; Tabellen'!L231</f>
        <v>2</v>
      </c>
      <c r="E408" s="117">
        <v>286</v>
      </c>
      <c r="F408" s="117">
        <v>722</v>
      </c>
      <c r="G408" s="118">
        <v>5</v>
      </c>
      <c r="H408" s="2464">
        <f>E408*F408/1000/1000</f>
        <v>0.20649199999999998</v>
      </c>
      <c r="I408" s="2464"/>
      <c r="J408" s="2465">
        <f>G408*8*H408</f>
        <v>8.2596799999999995</v>
      </c>
      <c r="K408" s="2465">
        <f>D408*J408</f>
        <v>16.519359999999999</v>
      </c>
      <c r="L408" s="117" t="str">
        <f t="shared" si="122"/>
        <v>Stk</v>
      </c>
      <c r="M408" s="1" t="s">
        <v>28402</v>
      </c>
      <c r="N408" s="200"/>
      <c r="O408" s="200"/>
      <c r="P408" s="200"/>
      <c r="Q408" s="2459"/>
      <c r="R408" s="2501" t="str">
        <f t="shared" si="121"/>
        <v>0308041</v>
      </c>
      <c r="S408" s="2502">
        <f t="shared" si="123"/>
        <v>2</v>
      </c>
      <c r="T408" s="2503" t="s">
        <v>53</v>
      </c>
      <c r="U408" s="3"/>
      <c r="V408" s="117">
        <v>1</v>
      </c>
      <c r="W408" s="3"/>
      <c r="X408" s="3"/>
      <c r="Y408" s="117"/>
      <c r="Z408" s="3"/>
      <c r="AA408" s="3"/>
      <c r="AB408" s="3"/>
      <c r="AC408" s="155"/>
      <c r="AD408" s="1"/>
      <c r="AE408" s="1">
        <v>1</v>
      </c>
      <c r="AF408" s="1094"/>
      <c r="AG408" s="1090"/>
      <c r="AH408" s="1095"/>
      <c r="AI408" s="1571">
        <v>1</v>
      </c>
      <c r="AJ408" s="1090"/>
    </row>
    <row r="409" spans="1:36" s="1091" customFormat="1" ht="18" customHeight="1" x14ac:dyDescent="0.2">
      <c r="A409" s="193">
        <f t="shared" si="120"/>
        <v>0</v>
      </c>
      <c r="B409" s="1098" t="s">
        <v>28327</v>
      </c>
      <c r="C409" s="665" t="s">
        <v>7738</v>
      </c>
      <c r="D409" s="1240">
        <f>'Berechnung &amp; Tabellen'!C196*'Berechnung &amp; Tabellen'!C200*'Berechnung &amp; Tabellen'!C199*'Berechnung &amp; Tabellen'!L231</f>
        <v>0</v>
      </c>
      <c r="E409" s="117">
        <v>286</v>
      </c>
      <c r="F409" s="117">
        <v>722</v>
      </c>
      <c r="G409" s="118">
        <v>5</v>
      </c>
      <c r="H409" s="2464">
        <f>E409*F409/1000/1000</f>
        <v>0.20649199999999998</v>
      </c>
      <c r="I409" s="2464"/>
      <c r="J409" s="2465">
        <f>G409*8*H409</f>
        <v>8.2596799999999995</v>
      </c>
      <c r="K409" s="2465">
        <f>D409*J409</f>
        <v>0</v>
      </c>
      <c r="L409" s="117" t="str">
        <f t="shared" si="122"/>
        <v>Stk</v>
      </c>
      <c r="M409" s="1" t="s">
        <v>28403</v>
      </c>
      <c r="N409" s="200"/>
      <c r="O409" s="200"/>
      <c r="P409" s="200"/>
      <c r="Q409" s="2459"/>
      <c r="R409" s="2501" t="str">
        <f t="shared" si="121"/>
        <v>0338041</v>
      </c>
      <c r="S409" s="2502">
        <f t="shared" si="123"/>
        <v>0</v>
      </c>
      <c r="T409" s="2503" t="s">
        <v>53</v>
      </c>
      <c r="U409" s="3"/>
      <c r="V409" s="117">
        <v>1</v>
      </c>
      <c r="W409" s="3"/>
      <c r="X409" s="3"/>
      <c r="Y409" s="117"/>
      <c r="Z409" s="3"/>
      <c r="AA409" s="3"/>
      <c r="AB409" s="3"/>
      <c r="AC409" s="155"/>
      <c r="AD409" s="1"/>
      <c r="AE409" s="1">
        <v>1</v>
      </c>
      <c r="AF409" s="1094"/>
      <c r="AG409" s="1090"/>
      <c r="AH409" s="1095"/>
      <c r="AI409" s="1571"/>
      <c r="AJ409" s="1090"/>
    </row>
    <row r="410" spans="1:36" s="1091" customFormat="1" ht="18" customHeight="1" x14ac:dyDescent="0.2">
      <c r="A410" s="193">
        <f t="shared" si="120"/>
        <v>0</v>
      </c>
      <c r="B410" s="1098" t="s">
        <v>28328</v>
      </c>
      <c r="C410" s="665" t="s">
        <v>28509</v>
      </c>
      <c r="D410" s="1240">
        <f>'Berechnung &amp; Tabellen'!C196*'Berechnung &amp; Tabellen'!C201*'Berechnung &amp; Tabellen'!C198*'Berechnung &amp; Tabellen'!L231</f>
        <v>0</v>
      </c>
      <c r="E410" s="117">
        <v>391</v>
      </c>
      <c r="F410" s="117">
        <v>782</v>
      </c>
      <c r="G410" s="118">
        <v>5</v>
      </c>
      <c r="H410" s="2464">
        <v>0.20649199999999998</v>
      </c>
      <c r="I410" s="2464"/>
      <c r="J410" s="2465">
        <v>8.2596799999999995</v>
      </c>
      <c r="K410" s="2465">
        <v>0</v>
      </c>
      <c r="L410" s="117" t="s">
        <v>53</v>
      </c>
      <c r="M410" s="1" t="s">
        <v>28402</v>
      </c>
      <c r="N410" s="200"/>
      <c r="O410" s="200"/>
      <c r="P410" s="200"/>
      <c r="Q410" s="2459"/>
      <c r="R410" s="2501" t="str">
        <f t="shared" si="121"/>
        <v>0308293</v>
      </c>
      <c r="S410" s="2502">
        <f t="shared" si="123"/>
        <v>0</v>
      </c>
      <c r="T410" s="2503" t="s">
        <v>53</v>
      </c>
      <c r="U410" s="3"/>
      <c r="V410" s="117">
        <v>1</v>
      </c>
      <c r="W410" s="3"/>
      <c r="X410" s="3"/>
      <c r="Y410" s="117"/>
      <c r="Z410" s="3"/>
      <c r="AA410" s="3"/>
      <c r="AB410" s="3"/>
      <c r="AC410" s="155"/>
      <c r="AD410" s="1"/>
      <c r="AE410" s="1">
        <v>1</v>
      </c>
      <c r="AF410" s="1094"/>
      <c r="AG410" s="1090"/>
      <c r="AH410" s="1095"/>
      <c r="AI410" s="1571">
        <v>1</v>
      </c>
      <c r="AJ410" s="1090"/>
    </row>
    <row r="411" spans="1:36" s="1091" customFormat="1" ht="18" customHeight="1" x14ac:dyDescent="0.2">
      <c r="A411" s="193">
        <f t="shared" si="120"/>
        <v>0</v>
      </c>
      <c r="B411" s="1098" t="s">
        <v>28329</v>
      </c>
      <c r="C411" s="665" t="s">
        <v>30396</v>
      </c>
      <c r="D411" s="1240">
        <f>'Berechnung &amp; Tabellen'!C196*'Berechnung &amp; Tabellen'!C201*'Berechnung &amp; Tabellen'!C199*'Berechnung &amp; Tabellen'!L231</f>
        <v>0</v>
      </c>
      <c r="E411" s="117">
        <v>391</v>
      </c>
      <c r="F411" s="117">
        <v>782</v>
      </c>
      <c r="G411" s="118">
        <v>5</v>
      </c>
      <c r="H411" s="2464">
        <v>0.20649199999999998</v>
      </c>
      <c r="I411" s="2464"/>
      <c r="J411" s="2465">
        <v>8.2596799999999995</v>
      </c>
      <c r="K411" s="2465">
        <v>0</v>
      </c>
      <c r="L411" s="117" t="str">
        <f t="shared" si="122"/>
        <v>Stk</v>
      </c>
      <c r="M411" s="1" t="s">
        <v>28403</v>
      </c>
      <c r="N411" s="200"/>
      <c r="O411" s="200"/>
      <c r="P411" s="200"/>
      <c r="Q411" s="2459"/>
      <c r="R411" s="2501" t="str">
        <f t="shared" si="121"/>
        <v>0338293</v>
      </c>
      <c r="S411" s="2502">
        <f t="shared" si="123"/>
        <v>0</v>
      </c>
      <c r="T411" s="2503" t="s">
        <v>53</v>
      </c>
      <c r="U411" s="3"/>
      <c r="V411" s="117">
        <v>1</v>
      </c>
      <c r="W411" s="3"/>
      <c r="X411" s="3"/>
      <c r="Y411" s="117"/>
      <c r="Z411" s="3"/>
      <c r="AA411" s="3"/>
      <c r="AB411" s="3"/>
      <c r="AC411" s="155"/>
      <c r="AD411" s="1"/>
      <c r="AE411" s="1">
        <v>1</v>
      </c>
      <c r="AF411" s="1094"/>
      <c r="AG411" s="1090"/>
      <c r="AH411" s="1095"/>
      <c r="AI411" s="1571"/>
      <c r="AJ411" s="1090"/>
    </row>
    <row r="412" spans="1:36" s="1091" customFormat="1" ht="18" customHeight="1" x14ac:dyDescent="0.2">
      <c r="A412" s="1308">
        <f>IF(SUM(A406:A411)&gt;0,VLOOKUP(SUM(A406:A411),A406:C411,1,FALSE),0)</f>
        <v>2</v>
      </c>
      <c r="B412" s="1097" t="str">
        <f>IF(SUM(A406:A411)&gt;0,VLOOKUP(SUM(A406:A411),A406:C411,2,FALSE),0)</f>
        <v>Festfeldkonsole GCC 175mm 500 lang verzinkt</v>
      </c>
      <c r="C412" s="1088" t="str">
        <f>IF(SUM(A406:A411)&gt;0,VLOOKUP(SUM(A406:A411),A406:C411,3,FALSE),0)</f>
        <v>0308041</v>
      </c>
      <c r="D412" s="1089"/>
      <c r="E412" s="1239">
        <f>IF(SUM(D406:D411)&gt;0,VLOOKUP(A412,D406:F411,2,FALSE),0)</f>
        <v>286</v>
      </c>
      <c r="F412" s="1239">
        <f>IF(SUM(D406:D411)&gt;0,VLOOKUP(A412,D406:F411,3,FALSE),0)</f>
        <v>722</v>
      </c>
      <c r="G412" s="1092"/>
      <c r="H412" s="2467"/>
      <c r="I412" s="2467"/>
      <c r="J412" s="2468"/>
      <c r="K412" s="2468"/>
      <c r="L412" s="1090"/>
      <c r="M412" s="1090"/>
      <c r="N412" s="1093"/>
      <c r="O412" s="1093"/>
      <c r="P412" s="1093"/>
      <c r="Q412" s="2453"/>
      <c r="R412" s="2505" t="str">
        <f t="shared" si="121"/>
        <v>0308041</v>
      </c>
      <c r="S412" s="2506"/>
      <c r="T412" s="2506"/>
      <c r="V412" s="1090"/>
      <c r="Y412" s="1090"/>
      <c r="AC412" s="155"/>
      <c r="AD412" s="1"/>
      <c r="AE412" s="1"/>
      <c r="AF412" s="1094"/>
      <c r="AG412" s="1090"/>
      <c r="AH412" s="1095"/>
      <c r="AI412" s="1571"/>
      <c r="AJ412" s="1090"/>
    </row>
    <row r="413" spans="1:36" s="1091" customFormat="1" ht="18" customHeight="1" x14ac:dyDescent="0.2">
      <c r="A413" s="193">
        <f t="shared" si="120"/>
        <v>0</v>
      </c>
      <c r="B413" s="1098" t="s">
        <v>28318</v>
      </c>
      <c r="C413" s="665" t="s">
        <v>512</v>
      </c>
      <c r="D413" s="1240">
        <f>'Berechnung &amp; Tabellen'!C197*'Berechnung &amp; Tabellen'!C198*'Berechnung &amp; Tabellen'!M231</f>
        <v>0</v>
      </c>
      <c r="E413" s="1">
        <v>582</v>
      </c>
      <c r="F413" s="1">
        <v>211</v>
      </c>
      <c r="G413" s="118">
        <v>5</v>
      </c>
      <c r="H413" s="2464">
        <f t="shared" ref="H413:H418" si="124">E413*F413/1000/1000</f>
        <v>0.12280200000000001</v>
      </c>
      <c r="I413" s="2464"/>
      <c r="J413" s="2465">
        <f>G413*7.85*H413</f>
        <v>4.8199785000000004</v>
      </c>
      <c r="K413" s="2465">
        <f t="shared" ref="K413:K418" si="125">D413*J413</f>
        <v>0</v>
      </c>
      <c r="L413" s="117" t="str">
        <f t="shared" ref="L413:L418" si="126">IF(Y413=1,"MM2","Stk")</f>
        <v>Stk</v>
      </c>
      <c r="M413" s="1" t="s">
        <v>28402</v>
      </c>
      <c r="N413" s="200"/>
      <c r="O413" s="200"/>
      <c r="P413" s="200"/>
      <c r="Q413" s="2459"/>
      <c r="R413" s="2501" t="str">
        <f t="shared" si="121"/>
        <v>0308025</v>
      </c>
      <c r="S413" s="2502">
        <f t="shared" ref="S413:S418" si="127">D413</f>
        <v>0</v>
      </c>
      <c r="T413" s="2503" t="s">
        <v>53</v>
      </c>
      <c r="U413" s="3"/>
      <c r="V413" s="117">
        <v>1</v>
      </c>
      <c r="W413" s="3"/>
      <c r="X413" s="3"/>
      <c r="Y413" s="117"/>
      <c r="Z413" s="3"/>
      <c r="AA413" s="3"/>
      <c r="AB413" s="3"/>
      <c r="AC413" s="155"/>
      <c r="AD413" s="1"/>
      <c r="AE413" s="1">
        <v>1</v>
      </c>
      <c r="AF413" s="1094"/>
      <c r="AG413" s="1090"/>
      <c r="AH413" s="1095"/>
      <c r="AI413" s="1571">
        <v>1</v>
      </c>
      <c r="AJ413" s="1090"/>
    </row>
    <row r="414" spans="1:36" s="1091" customFormat="1" ht="18" customHeight="1" x14ac:dyDescent="0.2">
      <c r="A414" s="193">
        <f t="shared" si="120"/>
        <v>0</v>
      </c>
      <c r="B414" s="1098" t="s">
        <v>28319</v>
      </c>
      <c r="C414" s="665" t="s">
        <v>513</v>
      </c>
      <c r="D414" s="1240">
        <f>'Berechnung &amp; Tabellen'!C197*'Berechnung &amp; Tabellen'!C199*'Berechnung &amp; Tabellen'!M231</f>
        <v>0</v>
      </c>
      <c r="E414" s="1">
        <v>582</v>
      </c>
      <c r="F414" s="1">
        <v>211</v>
      </c>
      <c r="G414" s="118">
        <v>5</v>
      </c>
      <c r="H414" s="2464">
        <f t="shared" si="124"/>
        <v>0.12280200000000001</v>
      </c>
      <c r="I414" s="2464"/>
      <c r="J414" s="2465">
        <f>G414*7.85*H414</f>
        <v>4.8199785000000004</v>
      </c>
      <c r="K414" s="2465">
        <f t="shared" si="125"/>
        <v>0</v>
      </c>
      <c r="L414" s="117" t="str">
        <f t="shared" si="126"/>
        <v>Stk</v>
      </c>
      <c r="M414" s="1" t="s">
        <v>28403</v>
      </c>
      <c r="N414" s="200"/>
      <c r="O414" s="200"/>
      <c r="P414" s="200"/>
      <c r="Q414" s="2459"/>
      <c r="R414" s="2501" t="str">
        <f t="shared" si="121"/>
        <v>0338025</v>
      </c>
      <c r="S414" s="2502">
        <f t="shared" si="127"/>
        <v>0</v>
      </c>
      <c r="T414" s="2503" t="s">
        <v>53</v>
      </c>
      <c r="U414" s="3"/>
      <c r="V414" s="117">
        <v>1</v>
      </c>
      <c r="W414" s="3"/>
      <c r="X414" s="3"/>
      <c r="Y414" s="117"/>
      <c r="Z414" s="3"/>
      <c r="AA414" s="3"/>
      <c r="AB414" s="3"/>
      <c r="AC414" s="155"/>
      <c r="AD414" s="1"/>
      <c r="AE414" s="1">
        <v>1</v>
      </c>
      <c r="AF414" s="1094"/>
      <c r="AG414" s="1090"/>
      <c r="AH414" s="1095"/>
      <c r="AI414" s="1571"/>
      <c r="AJ414" s="1090"/>
    </row>
    <row r="415" spans="1:36" s="1091" customFormat="1" ht="18" customHeight="1" x14ac:dyDescent="0.2">
      <c r="A415" s="193">
        <f t="shared" si="120"/>
        <v>0</v>
      </c>
      <c r="B415" s="1098" t="s">
        <v>28320</v>
      </c>
      <c r="C415" s="665" t="s">
        <v>7109</v>
      </c>
      <c r="D415" s="1240">
        <f>'Berechnung &amp; Tabellen'!C196*'Berechnung &amp; Tabellen'!C200*'Berechnung &amp; Tabellen'!C198*'Berechnung &amp; Tabellen'!M231</f>
        <v>0</v>
      </c>
      <c r="E415" s="117">
        <v>286</v>
      </c>
      <c r="F415" s="117">
        <v>622</v>
      </c>
      <c r="G415" s="118">
        <v>5</v>
      </c>
      <c r="H415" s="2464">
        <f t="shared" si="124"/>
        <v>0.17789199999999999</v>
      </c>
      <c r="I415" s="2464"/>
      <c r="J415" s="2465">
        <f>G415*8*H415</f>
        <v>7.1156799999999993</v>
      </c>
      <c r="K415" s="2465">
        <f t="shared" si="125"/>
        <v>0</v>
      </c>
      <c r="L415" s="117" t="str">
        <f t="shared" si="126"/>
        <v>Stk</v>
      </c>
      <c r="M415" s="1" t="s">
        <v>28402</v>
      </c>
      <c r="N415" s="200"/>
      <c r="O415" s="200"/>
      <c r="P415" s="200"/>
      <c r="Q415" s="2459"/>
      <c r="R415" s="2501" t="str">
        <f t="shared" si="121"/>
        <v>0308042</v>
      </c>
      <c r="S415" s="2502">
        <f t="shared" si="127"/>
        <v>0</v>
      </c>
      <c r="T415" s="2503" t="s">
        <v>53</v>
      </c>
      <c r="U415" s="3"/>
      <c r="V415" s="117">
        <v>1</v>
      </c>
      <c r="W415" s="3"/>
      <c r="X415" s="3"/>
      <c r="Y415" s="117"/>
      <c r="Z415" s="3"/>
      <c r="AA415" s="3"/>
      <c r="AB415" s="3"/>
      <c r="AC415" s="155"/>
      <c r="AD415" s="1"/>
      <c r="AE415" s="1">
        <v>1</v>
      </c>
      <c r="AF415" s="1094"/>
      <c r="AG415" s="1090"/>
      <c r="AH415" s="1095"/>
      <c r="AI415" s="1571">
        <v>1</v>
      </c>
      <c r="AJ415" s="1090"/>
    </row>
    <row r="416" spans="1:36" s="1091" customFormat="1" ht="18" customHeight="1" x14ac:dyDescent="0.2">
      <c r="A416" s="193">
        <f t="shared" si="120"/>
        <v>0</v>
      </c>
      <c r="B416" s="1098" t="s">
        <v>28321</v>
      </c>
      <c r="C416" s="665" t="s">
        <v>7739</v>
      </c>
      <c r="D416" s="1240">
        <f>'Berechnung &amp; Tabellen'!C196*'Berechnung &amp; Tabellen'!C200*'Berechnung &amp; Tabellen'!C199*'Berechnung &amp; Tabellen'!M231</f>
        <v>0</v>
      </c>
      <c r="E416" s="117">
        <v>286</v>
      </c>
      <c r="F416" s="117">
        <v>622</v>
      </c>
      <c r="G416" s="118">
        <v>5</v>
      </c>
      <c r="H416" s="2464">
        <f t="shared" si="124"/>
        <v>0.17789199999999999</v>
      </c>
      <c r="I416" s="2464"/>
      <c r="J416" s="2465">
        <f>G416*8*H416</f>
        <v>7.1156799999999993</v>
      </c>
      <c r="K416" s="2465">
        <f t="shared" si="125"/>
        <v>0</v>
      </c>
      <c r="L416" s="117" t="str">
        <f t="shared" si="126"/>
        <v>Stk</v>
      </c>
      <c r="M416" s="1" t="s">
        <v>28403</v>
      </c>
      <c r="N416" s="200"/>
      <c r="O416" s="200"/>
      <c r="P416" s="200"/>
      <c r="Q416" s="2459"/>
      <c r="R416" s="2501" t="str">
        <f t="shared" si="121"/>
        <v>0338042</v>
      </c>
      <c r="S416" s="2502">
        <f t="shared" si="127"/>
        <v>0</v>
      </c>
      <c r="T416" s="2503" t="s">
        <v>53</v>
      </c>
      <c r="U416" s="3"/>
      <c r="V416" s="117">
        <v>1</v>
      </c>
      <c r="W416" s="3"/>
      <c r="X416" s="3"/>
      <c r="Y416" s="117"/>
      <c r="Z416" s="3"/>
      <c r="AA416" s="3"/>
      <c r="AB416" s="3"/>
      <c r="AC416" s="155"/>
      <c r="AD416" s="1"/>
      <c r="AE416" s="1">
        <v>1</v>
      </c>
      <c r="AF416" s="1094"/>
      <c r="AG416" s="1090"/>
      <c r="AH416" s="1095"/>
      <c r="AI416" s="1571"/>
      <c r="AJ416" s="1090"/>
    </row>
    <row r="417" spans="1:36" s="1091" customFormat="1" ht="18" customHeight="1" x14ac:dyDescent="0.2">
      <c r="A417" s="193">
        <f t="shared" si="120"/>
        <v>0</v>
      </c>
      <c r="B417" s="1098" t="s">
        <v>28322</v>
      </c>
      <c r="C417" s="665" t="s">
        <v>28510</v>
      </c>
      <c r="D417" s="1240">
        <f>'Berechnung &amp; Tabellen'!C196*'Berechnung &amp; Tabellen'!C201*'Berechnung &amp; Tabellen'!C198*'Berechnung &amp; Tabellen'!M231</f>
        <v>0</v>
      </c>
      <c r="E417" s="117">
        <v>391</v>
      </c>
      <c r="F417" s="117">
        <v>682</v>
      </c>
      <c r="G417" s="118">
        <v>5</v>
      </c>
      <c r="H417" s="2464">
        <f t="shared" si="124"/>
        <v>0.26666199999999995</v>
      </c>
      <c r="I417" s="2464"/>
      <c r="J417" s="2465">
        <f>G417*8*H417</f>
        <v>10.666479999999998</v>
      </c>
      <c r="K417" s="2465">
        <f t="shared" si="125"/>
        <v>0</v>
      </c>
      <c r="L417" s="117" t="s">
        <v>53</v>
      </c>
      <c r="M417" s="1" t="s">
        <v>28402</v>
      </c>
      <c r="N417" s="200"/>
      <c r="O417" s="200"/>
      <c r="P417" s="200"/>
      <c r="Q417" s="2459"/>
      <c r="R417" s="2501" t="str">
        <f t="shared" si="121"/>
        <v>0308294</v>
      </c>
      <c r="S417" s="2502">
        <f t="shared" si="127"/>
        <v>0</v>
      </c>
      <c r="T417" s="2503" t="s">
        <v>53</v>
      </c>
      <c r="U417" s="3"/>
      <c r="V417" s="117">
        <v>1</v>
      </c>
      <c r="W417" s="3"/>
      <c r="X417" s="3"/>
      <c r="Y417" s="117"/>
      <c r="Z417" s="3"/>
      <c r="AA417" s="3"/>
      <c r="AB417" s="3"/>
      <c r="AC417" s="155"/>
      <c r="AD417" s="1"/>
      <c r="AE417" s="1">
        <v>1</v>
      </c>
      <c r="AF417" s="1094"/>
      <c r="AG417" s="1090"/>
      <c r="AH417" s="1095"/>
      <c r="AI417" s="1571">
        <v>1</v>
      </c>
      <c r="AJ417" s="1090"/>
    </row>
    <row r="418" spans="1:36" s="1091" customFormat="1" ht="18" customHeight="1" x14ac:dyDescent="0.2">
      <c r="A418" s="193">
        <f t="shared" si="120"/>
        <v>0</v>
      </c>
      <c r="B418" s="1098" t="s">
        <v>28323</v>
      </c>
      <c r="C418" s="665" t="s">
        <v>30397</v>
      </c>
      <c r="D418" s="1240">
        <f>'Berechnung &amp; Tabellen'!C196*'Berechnung &amp; Tabellen'!C201*'Berechnung &amp; Tabellen'!C199*'Berechnung &amp; Tabellen'!M231</f>
        <v>0</v>
      </c>
      <c r="E418" s="117">
        <v>391</v>
      </c>
      <c r="F418" s="117">
        <v>682</v>
      </c>
      <c r="G418" s="118">
        <v>5</v>
      </c>
      <c r="H418" s="2464">
        <f t="shared" si="124"/>
        <v>0.26666199999999995</v>
      </c>
      <c r="I418" s="2464"/>
      <c r="J418" s="2465">
        <f>G418*8*H418</f>
        <v>10.666479999999998</v>
      </c>
      <c r="K418" s="2465">
        <f t="shared" si="125"/>
        <v>0</v>
      </c>
      <c r="L418" s="117" t="str">
        <f t="shared" si="126"/>
        <v>Stk</v>
      </c>
      <c r="M418" s="1" t="s">
        <v>28403</v>
      </c>
      <c r="N418" s="200"/>
      <c r="O418" s="200"/>
      <c r="P418" s="200"/>
      <c r="Q418" s="2459"/>
      <c r="R418" s="2501" t="str">
        <f t="shared" si="121"/>
        <v>0338294</v>
      </c>
      <c r="S418" s="2502">
        <f t="shared" si="127"/>
        <v>0</v>
      </c>
      <c r="T418" s="2503" t="s">
        <v>53</v>
      </c>
      <c r="U418" s="3"/>
      <c r="V418" s="117">
        <v>1</v>
      </c>
      <c r="W418" s="3"/>
      <c r="X418" s="3"/>
      <c r="Y418" s="117"/>
      <c r="Z418" s="3"/>
      <c r="AA418" s="3"/>
      <c r="AB418" s="3"/>
      <c r="AC418" s="155"/>
      <c r="AD418" s="1"/>
      <c r="AE418" s="1">
        <v>1</v>
      </c>
      <c r="AF418" s="1094"/>
      <c r="AG418" s="1090"/>
      <c r="AH418" s="1095"/>
      <c r="AI418" s="1571"/>
      <c r="AJ418" s="1090"/>
    </row>
    <row r="419" spans="1:36" s="1091" customFormat="1" ht="18" customHeight="1" x14ac:dyDescent="0.2">
      <c r="A419" s="1308">
        <f>IF(SUM(A413:A418)&gt;0,VLOOKUP(SUM(A413:A418),A413:C418,1,FALSE),0)</f>
        <v>0</v>
      </c>
      <c r="B419" s="1097">
        <f>IF(SUM(A413:A418)&gt;0,VLOOKUP(SUM(A413:A418),A413:C418,2,FALSE),0)</f>
        <v>0</v>
      </c>
      <c r="C419" s="1088">
        <f>IF(SUM(A413:A418)&gt;0,VLOOKUP(SUM(A413:A418),A413:C418,3,FALSE),0)</f>
        <v>0</v>
      </c>
      <c r="D419" s="1239"/>
      <c r="E419" s="1239">
        <f>IF(SUM(D413:D418)&gt;0,VLOOKUP(A419,D413:F418,2,FALSE),0)</f>
        <v>0</v>
      </c>
      <c r="F419" s="1239">
        <f>IF(SUM(D413:D418)&gt;0,VLOOKUP(A419,D413:F418,3,FALSE),0)</f>
        <v>0</v>
      </c>
      <c r="G419" s="1092"/>
      <c r="H419" s="2467"/>
      <c r="I419" s="2467"/>
      <c r="J419" s="2468"/>
      <c r="K419" s="2468"/>
      <c r="L419" s="1090"/>
      <c r="M419" s="1090"/>
      <c r="N419" s="1093"/>
      <c r="O419" s="1093"/>
      <c r="P419" s="1093"/>
      <c r="Q419" s="2453"/>
      <c r="R419" s="2505">
        <f t="shared" si="121"/>
        <v>0</v>
      </c>
      <c r="S419" s="2506"/>
      <c r="T419" s="2506"/>
      <c r="V419" s="1090"/>
      <c r="Y419" s="1090"/>
      <c r="AC419" s="155"/>
      <c r="AD419" s="1"/>
      <c r="AE419" s="1"/>
      <c r="AF419" s="1094"/>
      <c r="AG419" s="1090"/>
      <c r="AH419" s="1095"/>
      <c r="AI419" s="1571"/>
      <c r="AJ419" s="1090"/>
    </row>
    <row r="420" spans="1:36" s="1091" customFormat="1" ht="18" customHeight="1" x14ac:dyDescent="0.2">
      <c r="A420" s="193">
        <f t="shared" si="120"/>
        <v>0</v>
      </c>
      <c r="B420" s="1098" t="s">
        <v>28309</v>
      </c>
      <c r="C420" s="665" t="s">
        <v>510</v>
      </c>
      <c r="D420" s="1240">
        <f>'Berechnung &amp; Tabellen'!C197*'Berechnung &amp; Tabellen'!C198*'Berechnung &amp; Tabellen'!N231</f>
        <v>0</v>
      </c>
      <c r="E420" s="1">
        <v>482</v>
      </c>
      <c r="F420" s="1">
        <v>211</v>
      </c>
      <c r="G420" s="118">
        <v>5</v>
      </c>
      <c r="H420" s="2464">
        <f t="shared" ref="H420:H425" si="128">E420*F420/1000/1000</f>
        <v>0.101702</v>
      </c>
      <c r="I420" s="2464"/>
      <c r="J420" s="2465">
        <f>G420*7.85*H420</f>
        <v>3.9918035000000001</v>
      </c>
      <c r="K420" s="2465">
        <f t="shared" ref="K420:K425" si="129">D420*J420</f>
        <v>0</v>
      </c>
      <c r="L420" s="117" t="str">
        <f t="shared" ref="L420:L425" si="130">IF(Y420=1,"MM2","Stk")</f>
        <v>Stk</v>
      </c>
      <c r="M420" s="1" t="s">
        <v>28402</v>
      </c>
      <c r="N420" s="200"/>
      <c r="O420" s="200"/>
      <c r="P420" s="200"/>
      <c r="Q420" s="2459"/>
      <c r="R420" s="2501" t="str">
        <f t="shared" si="121"/>
        <v>0308018</v>
      </c>
      <c r="S420" s="2502">
        <f t="shared" ref="S420:S425" si="131">D420</f>
        <v>0</v>
      </c>
      <c r="T420" s="2503" t="s">
        <v>53</v>
      </c>
      <c r="U420" s="3"/>
      <c r="V420" s="117">
        <v>1</v>
      </c>
      <c r="W420" s="3"/>
      <c r="X420" s="3"/>
      <c r="Y420" s="117"/>
      <c r="Z420" s="3"/>
      <c r="AA420" s="3"/>
      <c r="AB420" s="3"/>
      <c r="AC420" s="155"/>
      <c r="AD420" s="1"/>
      <c r="AE420" s="1">
        <v>1</v>
      </c>
      <c r="AF420" s="1094"/>
      <c r="AG420" s="1090"/>
      <c r="AH420" s="1095"/>
      <c r="AI420" s="1571">
        <v>1</v>
      </c>
      <c r="AJ420" s="1090"/>
    </row>
    <row r="421" spans="1:36" s="1091" customFormat="1" ht="18" customHeight="1" x14ac:dyDescent="0.2">
      <c r="A421" s="193">
        <f t="shared" si="120"/>
        <v>0</v>
      </c>
      <c r="B421" s="1098" t="s">
        <v>28310</v>
      </c>
      <c r="C421" s="665" t="s">
        <v>511</v>
      </c>
      <c r="D421" s="1240">
        <f>'Berechnung &amp; Tabellen'!C197*'Berechnung &amp; Tabellen'!C199*'Berechnung &amp; Tabellen'!N231</f>
        <v>0</v>
      </c>
      <c r="E421" s="1">
        <v>482</v>
      </c>
      <c r="F421" s="1">
        <v>211</v>
      </c>
      <c r="G421" s="118">
        <v>5</v>
      </c>
      <c r="H421" s="2464">
        <f t="shared" si="128"/>
        <v>0.101702</v>
      </c>
      <c r="I421" s="2464"/>
      <c r="J421" s="2465">
        <f>G421*7.85*H421</f>
        <v>3.9918035000000001</v>
      </c>
      <c r="K421" s="2465">
        <f t="shared" si="129"/>
        <v>0</v>
      </c>
      <c r="L421" s="117" t="str">
        <f t="shared" si="130"/>
        <v>Stk</v>
      </c>
      <c r="M421" s="1" t="s">
        <v>28403</v>
      </c>
      <c r="N421" s="200"/>
      <c r="O421" s="200"/>
      <c r="P421" s="200"/>
      <c r="Q421" s="2459"/>
      <c r="R421" s="2501" t="str">
        <f t="shared" si="121"/>
        <v>0338018</v>
      </c>
      <c r="S421" s="2502">
        <f t="shared" si="131"/>
        <v>0</v>
      </c>
      <c r="T421" s="2503" t="s">
        <v>53</v>
      </c>
      <c r="U421" s="3"/>
      <c r="V421" s="117">
        <v>1</v>
      </c>
      <c r="W421" s="3"/>
      <c r="X421" s="3"/>
      <c r="Y421" s="117"/>
      <c r="Z421" s="3"/>
      <c r="AA421" s="3"/>
      <c r="AB421" s="3"/>
      <c r="AC421" s="155"/>
      <c r="AD421" s="1"/>
      <c r="AE421" s="1">
        <v>1</v>
      </c>
      <c r="AF421" s="1094"/>
      <c r="AG421" s="1090"/>
      <c r="AH421" s="1095"/>
      <c r="AI421" s="1571"/>
      <c r="AJ421" s="1090"/>
    </row>
    <row r="422" spans="1:36" s="1091" customFormat="1" ht="18" customHeight="1" x14ac:dyDescent="0.2">
      <c r="A422" s="193">
        <f t="shared" si="120"/>
        <v>0</v>
      </c>
      <c r="B422" s="1098" t="s">
        <v>28311</v>
      </c>
      <c r="C422" s="665" t="s">
        <v>7111</v>
      </c>
      <c r="D422" s="1240">
        <f>'Berechnung &amp; Tabellen'!C196*'Berechnung &amp; Tabellen'!C200*'Berechnung &amp; Tabellen'!C198*'Berechnung &amp; Tabellen'!N231</f>
        <v>0</v>
      </c>
      <c r="E422" s="117">
        <v>286</v>
      </c>
      <c r="F422" s="117">
        <v>522</v>
      </c>
      <c r="G422" s="118">
        <v>5</v>
      </c>
      <c r="H422" s="2464">
        <f t="shared" si="128"/>
        <v>0.14929200000000001</v>
      </c>
      <c r="I422" s="2464"/>
      <c r="J422" s="2465">
        <f>G422*8*H422</f>
        <v>5.9716800000000001</v>
      </c>
      <c r="K422" s="2465">
        <f t="shared" si="129"/>
        <v>0</v>
      </c>
      <c r="L422" s="117" t="str">
        <f t="shared" si="130"/>
        <v>Stk</v>
      </c>
      <c r="M422" s="1" t="s">
        <v>28402</v>
      </c>
      <c r="N422" s="200"/>
      <c r="O422" s="200"/>
      <c r="P422" s="200"/>
      <c r="Q422" s="2459"/>
      <c r="R422" s="2501" t="str">
        <f t="shared" si="121"/>
        <v>0308043</v>
      </c>
      <c r="S422" s="2502">
        <f t="shared" si="131"/>
        <v>0</v>
      </c>
      <c r="T422" s="2503" t="s">
        <v>53</v>
      </c>
      <c r="U422" s="3"/>
      <c r="V422" s="117">
        <v>1</v>
      </c>
      <c r="W422" s="3"/>
      <c r="X422" s="3"/>
      <c r="Y422" s="117"/>
      <c r="Z422" s="3"/>
      <c r="AA422" s="3"/>
      <c r="AB422" s="3"/>
      <c r="AC422" s="155"/>
      <c r="AD422" s="1"/>
      <c r="AE422" s="1">
        <v>1</v>
      </c>
      <c r="AF422" s="1094"/>
      <c r="AG422" s="1090"/>
      <c r="AH422" s="1095"/>
      <c r="AI422" s="1571">
        <v>1</v>
      </c>
      <c r="AJ422" s="1090"/>
    </row>
    <row r="423" spans="1:36" s="1091" customFormat="1" ht="18" customHeight="1" x14ac:dyDescent="0.2">
      <c r="A423" s="193">
        <f t="shared" si="120"/>
        <v>0</v>
      </c>
      <c r="B423" s="1098" t="s">
        <v>28312</v>
      </c>
      <c r="C423" s="665" t="s">
        <v>7740</v>
      </c>
      <c r="D423" s="1240">
        <f>'Berechnung &amp; Tabellen'!C196*'Berechnung &amp; Tabellen'!C200*'Berechnung &amp; Tabellen'!C199*'Berechnung &amp; Tabellen'!N231</f>
        <v>0</v>
      </c>
      <c r="E423" s="117">
        <v>286</v>
      </c>
      <c r="F423" s="117">
        <v>522</v>
      </c>
      <c r="G423" s="118">
        <v>5</v>
      </c>
      <c r="H423" s="2464">
        <f t="shared" si="128"/>
        <v>0.14929200000000001</v>
      </c>
      <c r="I423" s="2464"/>
      <c r="J423" s="2465">
        <f>G423*8*H423</f>
        <v>5.9716800000000001</v>
      </c>
      <c r="K423" s="2465">
        <f t="shared" si="129"/>
        <v>0</v>
      </c>
      <c r="L423" s="117" t="str">
        <f t="shared" si="130"/>
        <v>Stk</v>
      </c>
      <c r="M423" s="1" t="s">
        <v>28403</v>
      </c>
      <c r="N423" s="200"/>
      <c r="O423" s="200"/>
      <c r="P423" s="200"/>
      <c r="Q423" s="2459"/>
      <c r="R423" s="2501" t="str">
        <f t="shared" si="121"/>
        <v>0338043</v>
      </c>
      <c r="S423" s="2502">
        <f t="shared" si="131"/>
        <v>0</v>
      </c>
      <c r="T423" s="2503" t="s">
        <v>53</v>
      </c>
      <c r="U423" s="3"/>
      <c r="V423" s="117">
        <v>1</v>
      </c>
      <c r="W423" s="3"/>
      <c r="X423" s="3"/>
      <c r="Y423" s="117"/>
      <c r="Z423" s="3"/>
      <c r="AA423" s="3"/>
      <c r="AB423" s="3"/>
      <c r="AC423" s="155"/>
      <c r="AD423" s="1"/>
      <c r="AE423" s="1">
        <v>1</v>
      </c>
      <c r="AF423" s="1094"/>
      <c r="AG423" s="1090"/>
      <c r="AH423" s="1095"/>
      <c r="AI423" s="1571"/>
      <c r="AJ423" s="1090"/>
    </row>
    <row r="424" spans="1:36" s="1091" customFormat="1" ht="18" customHeight="1" x14ac:dyDescent="0.2">
      <c r="A424" s="193">
        <f t="shared" si="120"/>
        <v>0</v>
      </c>
      <c r="B424" s="1098" t="s">
        <v>28313</v>
      </c>
      <c r="C424" s="665" t="s">
        <v>28511</v>
      </c>
      <c r="D424" s="1240">
        <f>'Berechnung &amp; Tabellen'!C196*'Berechnung &amp; Tabellen'!C201*'Berechnung &amp; Tabellen'!C198*'Berechnung &amp; Tabellen'!N231</f>
        <v>0</v>
      </c>
      <c r="E424" s="117">
        <v>391</v>
      </c>
      <c r="F424" s="117">
        <v>582</v>
      </c>
      <c r="G424" s="118">
        <v>5</v>
      </c>
      <c r="H424" s="2464">
        <f t="shared" si="128"/>
        <v>0.22756200000000001</v>
      </c>
      <c r="I424" s="2464"/>
      <c r="J424" s="2465">
        <f>G424*8*H424</f>
        <v>9.1024799999999999</v>
      </c>
      <c r="K424" s="2465">
        <f t="shared" si="129"/>
        <v>0</v>
      </c>
      <c r="L424" s="117" t="s">
        <v>53</v>
      </c>
      <c r="M424" s="1" t="s">
        <v>28402</v>
      </c>
      <c r="N424" s="200"/>
      <c r="O424" s="200"/>
      <c r="P424" s="200"/>
      <c r="Q424" s="2459"/>
      <c r="R424" s="2501" t="str">
        <f t="shared" si="121"/>
        <v>0308295</v>
      </c>
      <c r="S424" s="2502">
        <f t="shared" si="131"/>
        <v>0</v>
      </c>
      <c r="T424" s="2503" t="s">
        <v>53</v>
      </c>
      <c r="U424" s="3"/>
      <c r="V424" s="117">
        <v>1</v>
      </c>
      <c r="W424" s="3"/>
      <c r="X424" s="3"/>
      <c r="Y424" s="117"/>
      <c r="Z424" s="3"/>
      <c r="AA424" s="3"/>
      <c r="AB424" s="3"/>
      <c r="AC424" s="155"/>
      <c r="AD424" s="1"/>
      <c r="AE424" s="1">
        <v>1</v>
      </c>
      <c r="AF424" s="1094"/>
      <c r="AG424" s="1090"/>
      <c r="AH424" s="1095"/>
      <c r="AI424" s="1571">
        <v>1</v>
      </c>
      <c r="AJ424" s="1090"/>
    </row>
    <row r="425" spans="1:36" s="1091" customFormat="1" ht="18" customHeight="1" x14ac:dyDescent="0.2">
      <c r="A425" s="193">
        <f t="shared" si="120"/>
        <v>0</v>
      </c>
      <c r="B425" s="1098" t="s">
        <v>28314</v>
      </c>
      <c r="C425" s="665" t="s">
        <v>30398</v>
      </c>
      <c r="D425" s="1240">
        <f>'Berechnung &amp; Tabellen'!C196*'Berechnung &amp; Tabellen'!C201*'Berechnung &amp; Tabellen'!C199*'Berechnung &amp; Tabellen'!N231</f>
        <v>0</v>
      </c>
      <c r="E425" s="117">
        <v>391</v>
      </c>
      <c r="F425" s="117">
        <v>582</v>
      </c>
      <c r="G425" s="118">
        <v>5</v>
      </c>
      <c r="H425" s="2464">
        <f t="shared" si="128"/>
        <v>0.22756200000000001</v>
      </c>
      <c r="I425" s="2464"/>
      <c r="J425" s="2465">
        <f>G425*8*H425</f>
        <v>9.1024799999999999</v>
      </c>
      <c r="K425" s="2465">
        <f t="shared" si="129"/>
        <v>0</v>
      </c>
      <c r="L425" s="117" t="str">
        <f t="shared" si="130"/>
        <v>Stk</v>
      </c>
      <c r="M425" s="1" t="s">
        <v>28403</v>
      </c>
      <c r="N425" s="200"/>
      <c r="O425" s="200"/>
      <c r="P425" s="200"/>
      <c r="Q425" s="2459"/>
      <c r="R425" s="2501" t="str">
        <f t="shared" si="121"/>
        <v>0338295</v>
      </c>
      <c r="S425" s="2502">
        <f t="shared" si="131"/>
        <v>0</v>
      </c>
      <c r="T425" s="2503" t="s">
        <v>53</v>
      </c>
      <c r="U425" s="3"/>
      <c r="V425" s="117">
        <v>1</v>
      </c>
      <c r="W425" s="3"/>
      <c r="X425" s="3"/>
      <c r="Y425" s="117"/>
      <c r="Z425" s="3"/>
      <c r="AA425" s="3"/>
      <c r="AB425" s="3"/>
      <c r="AC425" s="155"/>
      <c r="AD425" s="1"/>
      <c r="AE425" s="1">
        <v>1</v>
      </c>
      <c r="AF425" s="1094"/>
      <c r="AG425" s="1090"/>
      <c r="AH425" s="1095"/>
      <c r="AI425" s="1571"/>
      <c r="AJ425" s="1090"/>
    </row>
    <row r="426" spans="1:36" s="1091" customFormat="1" ht="18" customHeight="1" x14ac:dyDescent="0.2">
      <c r="A426" s="1308">
        <f>IF(SUM(A420:A425)&gt;0,VLOOKUP(SUM(A420:A425),A420:C425,1,FALSE),0)</f>
        <v>0</v>
      </c>
      <c r="B426" s="1097">
        <f>IF(SUM(A420:A425)&gt;0,VLOOKUP(SUM(A420:A425),A420:C425,2,FALSE),0)</f>
        <v>0</v>
      </c>
      <c r="C426" s="1088">
        <f>IF(SUM(A420:A425)&gt;0,VLOOKUP(SUM(A420:A425),A420:C425,3,FALSE),0)</f>
        <v>0</v>
      </c>
      <c r="D426" s="1239"/>
      <c r="E426" s="1239">
        <f>IF(SUM(D420:D425)&gt;0,VLOOKUP(A426,D420:F425,2,FALSE),0)</f>
        <v>0</v>
      </c>
      <c r="F426" s="1239">
        <f>IF(SUM(D420:D425)&gt;0,VLOOKUP(A426,D420:F425,3,FALSE),0)</f>
        <v>0</v>
      </c>
      <c r="G426" s="1092"/>
      <c r="H426" s="2467"/>
      <c r="I426" s="2467"/>
      <c r="J426" s="2468"/>
      <c r="K426" s="2468"/>
      <c r="L426" s="1090"/>
      <c r="M426" s="1090"/>
      <c r="N426" s="1093"/>
      <c r="O426" s="1093"/>
      <c r="P426" s="1093"/>
      <c r="Q426" s="2453"/>
      <c r="R426" s="2505">
        <f t="shared" si="121"/>
        <v>0</v>
      </c>
      <c r="S426" s="2506"/>
      <c r="T426" s="2506"/>
      <c r="V426" s="1090"/>
      <c r="Y426" s="1090"/>
      <c r="AC426" s="155"/>
      <c r="AD426" s="1"/>
      <c r="AE426" s="1"/>
      <c r="AF426" s="1094"/>
      <c r="AG426" s="1090"/>
      <c r="AH426" s="1095"/>
      <c r="AI426" s="1571"/>
      <c r="AJ426" s="1090"/>
    </row>
    <row r="427" spans="1:36" ht="18" customHeight="1" x14ac:dyDescent="0.2">
      <c r="B427" s="1098" t="s">
        <v>28441</v>
      </c>
      <c r="C427" s="1268" t="s">
        <v>293</v>
      </c>
      <c r="D427" s="1269">
        <f>IF('Berechnung &amp; Tabellen'!$C$10="mit",2,0)*'Berechnung &amp; Tabellen'!L296</f>
        <v>2</v>
      </c>
      <c r="E427" s="1269">
        <f>'Berechnung &amp; Tabellen'!C11</f>
        <v>365</v>
      </c>
      <c r="F427" s="1269">
        <f>IF('Berechnung &amp; Tabellen'!C12&lt;2001,'Berechnung &amp; Tabellen'!$C$12,IF('Berechnung &amp; Tabellen'!$C$12&lt;2450,'Berechnung &amp; Tabellen'!$C$12-500,1950))</f>
        <v>1100</v>
      </c>
      <c r="G427" s="1270">
        <v>12.5</v>
      </c>
      <c r="H427" s="2464">
        <f>E427*F427/1000/1000</f>
        <v>0.40150000000000002</v>
      </c>
      <c r="I427" s="2464"/>
      <c r="J427" s="2465">
        <f>10.3*H427</f>
        <v>4.1354500000000005</v>
      </c>
      <c r="K427" s="2465">
        <f>D427*J427</f>
        <v>8.270900000000001</v>
      </c>
      <c r="L427" s="1" t="s">
        <v>28399</v>
      </c>
      <c r="N427" s="1" t="s">
        <v>817</v>
      </c>
      <c r="O427" s="1">
        <v>57</v>
      </c>
      <c r="P427" s="116" t="s">
        <v>73</v>
      </c>
      <c r="Q427" s="1129"/>
      <c r="R427" s="2494" t="str">
        <f t="shared" si="121"/>
        <v>0708161</v>
      </c>
      <c r="S427" s="2495">
        <f>D427*(E427/1000)*(F427/1000)</f>
        <v>0.80300000000000005</v>
      </c>
      <c r="T427" s="2496" t="s">
        <v>28181</v>
      </c>
      <c r="V427" s="1">
        <v>1</v>
      </c>
      <c r="AE427" s="1">
        <v>1</v>
      </c>
    </row>
    <row r="428" spans="1:36" ht="18" customHeight="1" x14ac:dyDescent="0.2">
      <c r="B428" s="1098" t="s">
        <v>28442</v>
      </c>
      <c r="C428" s="1268" t="s">
        <v>293</v>
      </c>
      <c r="D428" s="1269">
        <f>IF(AND(D427=2,'Berechnung &amp; Tabellen'!C12&gt;2000),2,0)*'Berechnung &amp; Tabellen'!L296</f>
        <v>0</v>
      </c>
      <c r="E428" s="1269">
        <f>'Berechnung &amp; Tabellen'!C11</f>
        <v>365</v>
      </c>
      <c r="F428" s="1269">
        <f>IF(AND(D427=2,'Berechnung &amp; Tabellen'!C12&gt;2000),'Berechnung &amp; Tabellen'!C12-F427,0)</f>
        <v>0</v>
      </c>
      <c r="G428" s="1270">
        <v>12.5</v>
      </c>
      <c r="H428" s="2464">
        <f>E428*F428/1000/1000</f>
        <v>0</v>
      </c>
      <c r="I428" s="2464"/>
      <c r="J428" s="2465">
        <f>10.3*H428</f>
        <v>0</v>
      </c>
      <c r="K428" s="2465">
        <f>D428*J428</f>
        <v>0</v>
      </c>
      <c r="L428" s="116" t="s">
        <v>28399</v>
      </c>
      <c r="N428" s="1" t="s">
        <v>817</v>
      </c>
      <c r="O428" s="1">
        <v>58</v>
      </c>
      <c r="P428" s="116" t="s">
        <v>73</v>
      </c>
      <c r="Q428" s="1129"/>
      <c r="R428" s="2512" t="str">
        <f t="shared" si="121"/>
        <v>0708161</v>
      </c>
      <c r="S428" s="2495">
        <f>D428*(E428/1000)*(F428/1000)</f>
        <v>0</v>
      </c>
      <c r="T428" s="2496" t="s">
        <v>28181</v>
      </c>
      <c r="V428" s="1">
        <v>1</v>
      </c>
      <c r="AE428" s="1">
        <v>2</v>
      </c>
    </row>
    <row r="429" spans="1:36" s="3" customFormat="1" ht="18" customHeight="1" x14ac:dyDescent="0.2">
      <c r="A429" s="1309"/>
      <c r="B429" s="135" t="s">
        <v>31448</v>
      </c>
      <c r="C429" s="958"/>
      <c r="D429" s="117"/>
      <c r="E429" s="117"/>
      <c r="F429" s="117"/>
      <c r="G429" s="1236"/>
      <c r="H429" s="2464"/>
      <c r="I429" s="2464"/>
      <c r="J429" s="2465"/>
      <c r="K429" s="2465"/>
      <c r="L429" s="117"/>
      <c r="M429" s="117"/>
      <c r="N429" s="117"/>
      <c r="O429" s="117"/>
      <c r="P429" s="117"/>
      <c r="Q429" s="2458"/>
      <c r="R429" s="2504"/>
      <c r="S429" s="2518"/>
      <c r="T429" s="2518"/>
      <c r="V429" s="117"/>
      <c r="W429" s="117"/>
      <c r="X429" s="117"/>
      <c r="AD429" s="117"/>
      <c r="AE429" s="117"/>
      <c r="AF429" s="1237"/>
      <c r="AG429" s="117"/>
      <c r="AH429" s="1238"/>
      <c r="AI429" s="1309"/>
      <c r="AJ429" s="117"/>
    </row>
    <row r="430" spans="1:36" ht="18" customHeight="1" x14ac:dyDescent="0.2">
      <c r="A430" s="851"/>
      <c r="B430" s="1098" t="s">
        <v>28762</v>
      </c>
      <c r="C430" s="665" t="s">
        <v>28763</v>
      </c>
      <c r="D430" s="1469">
        <f>IF($D$428=0,A1*$D$427,0)</f>
        <v>0</v>
      </c>
      <c r="E430" s="1469">
        <f>$E$427+15+0.75-1.72</f>
        <v>379.03</v>
      </c>
      <c r="F430" s="1469">
        <f>$F$427</f>
        <v>1100</v>
      </c>
      <c r="G430" s="1470">
        <v>0.75</v>
      </c>
      <c r="H430" s="2464">
        <f t="shared" ref="H430:H435" si="132">E430*F430/1000/1000</f>
        <v>0.41693299999999994</v>
      </c>
      <c r="I430" s="2464"/>
      <c r="J430" s="2465">
        <f t="shared" ref="J430:J435" si="133">G430*7.85*H430</f>
        <v>2.4546930374999993</v>
      </c>
      <c r="K430" s="2465">
        <f t="shared" ref="K430:K435" si="134">D430*J430</f>
        <v>0</v>
      </c>
      <c r="L430" s="117" t="str">
        <f t="shared" ref="L430:L435" si="135">IF(W430=1,"MM2","Stk")</f>
        <v>Stk</v>
      </c>
      <c r="M430" s="1" t="s">
        <v>28402</v>
      </c>
      <c r="Q430" s="36"/>
      <c r="R430" s="2500" t="s">
        <v>8984</v>
      </c>
      <c r="S430" s="2498">
        <f t="shared" ref="S430:S435" si="136">D430*(E430/1000)*(F430/1000)</f>
        <v>0</v>
      </c>
      <c r="T430" s="2499" t="s">
        <v>28181</v>
      </c>
      <c r="U430"/>
      <c r="V430" s="117">
        <v>1</v>
      </c>
      <c r="W430" s="117"/>
      <c r="Y430">
        <v>1</v>
      </c>
      <c r="AC430"/>
      <c r="AE430" s="1">
        <v>1</v>
      </c>
      <c r="AF430" s="1471" t="s">
        <v>8964</v>
      </c>
      <c r="AG430" s="1">
        <v>0.32</v>
      </c>
      <c r="AH430" s="812" t="s">
        <v>27663</v>
      </c>
      <c r="AI430" s="193">
        <v>1</v>
      </c>
    </row>
    <row r="431" spans="1:36" ht="18" customHeight="1" x14ac:dyDescent="0.2">
      <c r="A431" s="851"/>
      <c r="B431" s="1098" t="s">
        <v>28764</v>
      </c>
      <c r="C431" s="665" t="s">
        <v>28765</v>
      </c>
      <c r="D431" s="1469">
        <f>IF($D$428=0,A2*$D$427,0)</f>
        <v>0</v>
      </c>
      <c r="E431" s="1469">
        <f>$E$427+15+0.8-1.98</f>
        <v>378.82</v>
      </c>
      <c r="F431" s="1469">
        <f>$F$427</f>
        <v>1100</v>
      </c>
      <c r="G431" s="1470">
        <v>0.8</v>
      </c>
      <c r="H431" s="2464">
        <f t="shared" si="132"/>
        <v>0.41670200000000002</v>
      </c>
      <c r="I431" s="2464"/>
      <c r="J431" s="2465">
        <f t="shared" si="133"/>
        <v>2.61688856</v>
      </c>
      <c r="K431" s="2465">
        <f t="shared" si="134"/>
        <v>0</v>
      </c>
      <c r="L431" s="117" t="str">
        <f t="shared" si="135"/>
        <v>Stk</v>
      </c>
      <c r="M431" s="1" t="s">
        <v>464</v>
      </c>
      <c r="Q431" s="36"/>
      <c r="R431" s="2500" t="s">
        <v>9043</v>
      </c>
      <c r="S431" s="2498">
        <f t="shared" si="136"/>
        <v>0</v>
      </c>
      <c r="T431" s="2499" t="s">
        <v>28181</v>
      </c>
      <c r="U431"/>
      <c r="V431" s="117">
        <v>1</v>
      </c>
      <c r="W431" s="117"/>
      <c r="Y431">
        <v>1</v>
      </c>
      <c r="AC431"/>
      <c r="AE431" s="1">
        <v>1</v>
      </c>
      <c r="AF431" s="1099" t="s">
        <v>9035</v>
      </c>
      <c r="AG431" s="1">
        <v>0.222</v>
      </c>
      <c r="AH431" s="812" t="s">
        <v>27665</v>
      </c>
    </row>
    <row r="432" spans="1:36" ht="18" customHeight="1" x14ac:dyDescent="0.2">
      <c r="A432" s="851"/>
      <c r="B432" s="1098" t="s">
        <v>28766</v>
      </c>
      <c r="C432" s="665" t="s">
        <v>28767</v>
      </c>
      <c r="D432" s="1469">
        <f>IF($D$428&lt;&gt;0,A1*$D$427,0)</f>
        <v>0</v>
      </c>
      <c r="E432" s="1469">
        <f>$E$427+15+0.75-1.72</f>
        <v>379.03</v>
      </c>
      <c r="F432" s="1469">
        <f>$F$427</f>
        <v>1100</v>
      </c>
      <c r="G432" s="1470">
        <v>0.75</v>
      </c>
      <c r="H432" s="2464">
        <f t="shared" si="132"/>
        <v>0.41693299999999994</v>
      </c>
      <c r="I432" s="2464"/>
      <c r="J432" s="2465">
        <f t="shared" si="133"/>
        <v>2.4546930374999993</v>
      </c>
      <c r="K432" s="2465">
        <f t="shared" si="134"/>
        <v>0</v>
      </c>
      <c r="L432" s="117" t="str">
        <f t="shared" si="135"/>
        <v>Stk</v>
      </c>
      <c r="M432" s="1" t="s">
        <v>28402</v>
      </c>
      <c r="Q432" s="36"/>
      <c r="R432" s="2500" t="s">
        <v>8984</v>
      </c>
      <c r="S432" s="2498">
        <f t="shared" si="136"/>
        <v>0</v>
      </c>
      <c r="T432" s="2499" t="s">
        <v>28181</v>
      </c>
      <c r="U432"/>
      <c r="V432" s="117">
        <v>1</v>
      </c>
      <c r="W432" s="117"/>
      <c r="Y432">
        <v>1</v>
      </c>
      <c r="AC432"/>
      <c r="AE432" s="1">
        <v>1</v>
      </c>
      <c r="AF432" s="1471" t="s">
        <v>8964</v>
      </c>
      <c r="AG432" s="1">
        <v>0.32</v>
      </c>
      <c r="AH432" s="812" t="s">
        <v>27663</v>
      </c>
      <c r="AI432" s="193">
        <v>1</v>
      </c>
    </row>
    <row r="433" spans="1:36" ht="18" customHeight="1" x14ac:dyDescent="0.2">
      <c r="A433" s="851"/>
      <c r="B433" s="1098" t="s">
        <v>28768</v>
      </c>
      <c r="C433" s="665" t="s">
        <v>28769</v>
      </c>
      <c r="D433" s="1469">
        <f>IF($D$428&lt;&gt;0,A2*$D$427,0)</f>
        <v>0</v>
      </c>
      <c r="E433" s="1469">
        <f>$E$427+15+0.8-1.98</f>
        <v>378.82</v>
      </c>
      <c r="F433" s="1469">
        <f>$F$427</f>
        <v>1100</v>
      </c>
      <c r="G433" s="1470">
        <v>0.8</v>
      </c>
      <c r="H433" s="2464">
        <f t="shared" si="132"/>
        <v>0.41670200000000002</v>
      </c>
      <c r="I433" s="2464"/>
      <c r="J433" s="2465">
        <f t="shared" si="133"/>
        <v>2.61688856</v>
      </c>
      <c r="K433" s="2465">
        <f t="shared" si="134"/>
        <v>0</v>
      </c>
      <c r="L433" s="117" t="str">
        <f t="shared" si="135"/>
        <v>Stk</v>
      </c>
      <c r="M433" s="1" t="s">
        <v>464</v>
      </c>
      <c r="Q433" s="36"/>
      <c r="R433" s="2500" t="s">
        <v>9043</v>
      </c>
      <c r="S433" s="2498">
        <f t="shared" si="136"/>
        <v>0</v>
      </c>
      <c r="T433" s="2499" t="s">
        <v>28181</v>
      </c>
      <c r="U433"/>
      <c r="V433" s="117">
        <v>1</v>
      </c>
      <c r="W433" s="117"/>
      <c r="Y433">
        <v>1</v>
      </c>
      <c r="AC433"/>
      <c r="AE433" s="1">
        <v>1</v>
      </c>
      <c r="AF433" s="1099" t="s">
        <v>9035</v>
      </c>
      <c r="AG433" s="1">
        <v>0.222</v>
      </c>
      <c r="AH433" s="812" t="s">
        <v>27665</v>
      </c>
    </row>
    <row r="434" spans="1:36" ht="18" customHeight="1" x14ac:dyDescent="0.2">
      <c r="A434" s="851"/>
      <c r="B434" s="1098" t="s">
        <v>28770</v>
      </c>
      <c r="C434" s="665" t="s">
        <v>28771</v>
      </c>
      <c r="D434" s="1469">
        <f>IF($D$428&lt;&gt;0,A1*$D$427,0)</f>
        <v>0</v>
      </c>
      <c r="E434" s="1469">
        <f>$E$427+15+0.75-1.72</f>
        <v>379.03</v>
      </c>
      <c r="F434" s="1469">
        <f>$F$428</f>
        <v>0</v>
      </c>
      <c r="G434" s="1470">
        <v>0.75</v>
      </c>
      <c r="H434" s="2464">
        <f t="shared" si="132"/>
        <v>0</v>
      </c>
      <c r="I434" s="2464"/>
      <c r="J434" s="2465">
        <f t="shared" si="133"/>
        <v>0</v>
      </c>
      <c r="K434" s="2465">
        <f t="shared" si="134"/>
        <v>0</v>
      </c>
      <c r="L434" s="117" t="str">
        <f t="shared" si="135"/>
        <v>Stk</v>
      </c>
      <c r="M434" s="1" t="s">
        <v>28402</v>
      </c>
      <c r="Q434" s="36"/>
      <c r="R434" s="2500" t="s">
        <v>8984</v>
      </c>
      <c r="S434" s="2498">
        <f t="shared" si="136"/>
        <v>0</v>
      </c>
      <c r="T434" s="2499" t="s">
        <v>28181</v>
      </c>
      <c r="U434"/>
      <c r="V434" s="117">
        <v>1</v>
      </c>
      <c r="W434" s="117"/>
      <c r="Y434">
        <v>1</v>
      </c>
      <c r="AC434"/>
      <c r="AE434" s="1">
        <v>1</v>
      </c>
      <c r="AF434" s="1471" t="s">
        <v>8964</v>
      </c>
      <c r="AG434" s="1">
        <v>0.32</v>
      </c>
      <c r="AH434" s="812" t="s">
        <v>27663</v>
      </c>
      <c r="AI434" s="193">
        <v>1</v>
      </c>
    </row>
    <row r="435" spans="1:36" ht="18" customHeight="1" x14ac:dyDescent="0.2">
      <c r="A435" s="851"/>
      <c r="B435" s="1098" t="s">
        <v>28772</v>
      </c>
      <c r="C435" s="665" t="s">
        <v>28773</v>
      </c>
      <c r="D435" s="1469">
        <f>IF($D$428&lt;&gt;0,A2*$D$427,0)</f>
        <v>0</v>
      </c>
      <c r="E435" s="1469">
        <f>$E$427+15+0.8-1.98</f>
        <v>378.82</v>
      </c>
      <c r="F435" s="1469">
        <f>$F$428</f>
        <v>0</v>
      </c>
      <c r="G435" s="1470">
        <v>0.8</v>
      </c>
      <c r="H435" s="2464">
        <f t="shared" si="132"/>
        <v>0</v>
      </c>
      <c r="I435" s="2464"/>
      <c r="J435" s="2465">
        <f t="shared" si="133"/>
        <v>0</v>
      </c>
      <c r="K435" s="2465">
        <f t="shared" si="134"/>
        <v>0</v>
      </c>
      <c r="L435" s="117" t="str">
        <f t="shared" si="135"/>
        <v>Stk</v>
      </c>
      <c r="M435" s="1" t="s">
        <v>464</v>
      </c>
      <c r="Q435" s="36"/>
      <c r="R435" s="2500" t="s">
        <v>9043</v>
      </c>
      <c r="S435" s="2498">
        <f t="shared" si="136"/>
        <v>0</v>
      </c>
      <c r="T435" s="2499" t="s">
        <v>28181</v>
      </c>
      <c r="U435"/>
      <c r="V435" s="117">
        <v>1</v>
      </c>
      <c r="W435" s="117"/>
      <c r="Y435">
        <v>1</v>
      </c>
      <c r="AC435"/>
      <c r="AE435" s="1">
        <v>1</v>
      </c>
      <c r="AF435" s="1099" t="s">
        <v>9035</v>
      </c>
      <c r="AG435" s="1">
        <v>0.222</v>
      </c>
      <c r="AH435" s="812" t="s">
        <v>27665</v>
      </c>
    </row>
    <row r="436" spans="1:36" s="3" customFormat="1" ht="18" customHeight="1" x14ac:dyDescent="0.2">
      <c r="A436" s="1309"/>
      <c r="B436" s="135" t="s">
        <v>30854</v>
      </c>
      <c r="C436" s="958"/>
      <c r="D436" s="117"/>
      <c r="E436" s="117"/>
      <c r="F436" s="117"/>
      <c r="G436" s="1236"/>
      <c r="H436" s="2464"/>
      <c r="I436" s="2464"/>
      <c r="J436" s="2465"/>
      <c r="K436" s="2465"/>
      <c r="L436" s="117"/>
      <c r="M436" s="117"/>
      <c r="N436" s="117"/>
      <c r="O436" s="117"/>
      <c r="P436" s="117"/>
      <c r="Q436" s="2458"/>
      <c r="R436" s="2504"/>
      <c r="S436" s="2518"/>
      <c r="T436" s="2518"/>
      <c r="V436" s="117"/>
      <c r="W436" s="117"/>
      <c r="X436" s="117"/>
      <c r="AD436" s="117"/>
      <c r="AE436" s="117"/>
      <c r="AF436" s="1237"/>
      <c r="AG436" s="117"/>
      <c r="AH436" s="1238"/>
      <c r="AI436" s="1309"/>
      <c r="AJ436" s="117"/>
    </row>
    <row r="437" spans="1:36" ht="18" customHeight="1" x14ac:dyDescent="0.2">
      <c r="A437" s="851"/>
      <c r="B437" s="1098" t="s">
        <v>28762</v>
      </c>
      <c r="C437" s="665" t="s">
        <v>28763</v>
      </c>
      <c r="D437" s="1469">
        <f>IF($D$428=0,ROUND(A1*$D$427/2,0),0)</f>
        <v>0</v>
      </c>
      <c r="E437" s="1469">
        <f>'Berechnung &amp; Tabellen'!$C$13+15+0.75-1.72</f>
        <v>209.03</v>
      </c>
      <c r="F437" s="1469">
        <f>$F$427</f>
        <v>1100</v>
      </c>
      <c r="G437" s="1470">
        <v>0.75</v>
      </c>
      <c r="H437" s="2464">
        <f t="shared" ref="H437:H442" si="137">E437*F437/1000/1000</f>
        <v>0.229933</v>
      </c>
      <c r="I437" s="2464"/>
      <c r="J437" s="2465">
        <f t="shared" ref="J437:J442" si="138">G437*7.85*H437</f>
        <v>1.3537305374999997</v>
      </c>
      <c r="K437" s="2465">
        <f t="shared" ref="K437:K442" si="139">D437*J437</f>
        <v>0</v>
      </c>
      <c r="L437" s="117" t="str">
        <f t="shared" ref="L437:L442" si="140">IF(W437=1,"MM2","Stk")</f>
        <v>Stk</v>
      </c>
      <c r="M437" s="1" t="s">
        <v>28402</v>
      </c>
      <c r="Q437" s="36"/>
      <c r="R437" s="2500" t="s">
        <v>8984</v>
      </c>
      <c r="S437" s="2498">
        <f t="shared" ref="S437:S442" si="141">D437*(E437/1000)*(F437/1000)</f>
        <v>0</v>
      </c>
      <c r="T437" s="2499" t="s">
        <v>28181</v>
      </c>
      <c r="U437"/>
      <c r="V437" s="117">
        <v>1</v>
      </c>
      <c r="W437" s="117"/>
      <c r="Y437">
        <v>1</v>
      </c>
      <c r="AC437"/>
      <c r="AE437" s="1">
        <v>1</v>
      </c>
      <c r="AF437" s="1471" t="s">
        <v>8964</v>
      </c>
      <c r="AG437" s="1">
        <v>0.32</v>
      </c>
      <c r="AH437" s="812" t="s">
        <v>27663</v>
      </c>
      <c r="AI437" s="193">
        <v>1</v>
      </c>
    </row>
    <row r="438" spans="1:36" ht="18" customHeight="1" x14ac:dyDescent="0.2">
      <c r="A438" s="851"/>
      <c r="B438" s="1098" t="s">
        <v>28764</v>
      </c>
      <c r="C438" s="665" t="s">
        <v>28765</v>
      </c>
      <c r="D438" s="1469">
        <f>IF($D$428=0,ROUND(A2*$D$427/2,0),0)</f>
        <v>0</v>
      </c>
      <c r="E438" s="1469">
        <f>'Berechnung &amp; Tabellen'!$C$13+15+0.8-1.98</f>
        <v>208.82000000000002</v>
      </c>
      <c r="F438" s="1469">
        <f>$F$427</f>
        <v>1100</v>
      </c>
      <c r="G438" s="1470">
        <v>0.8</v>
      </c>
      <c r="H438" s="2464">
        <f t="shared" si="137"/>
        <v>0.22970200000000002</v>
      </c>
      <c r="I438" s="2464"/>
      <c r="J438" s="2465">
        <f t="shared" si="138"/>
        <v>1.4425285600000002</v>
      </c>
      <c r="K438" s="2465">
        <f t="shared" si="139"/>
        <v>0</v>
      </c>
      <c r="L438" s="117" t="str">
        <f t="shared" si="140"/>
        <v>Stk</v>
      </c>
      <c r="M438" s="1" t="s">
        <v>464</v>
      </c>
      <c r="Q438" s="36"/>
      <c r="R438" s="2500" t="s">
        <v>9043</v>
      </c>
      <c r="S438" s="2498">
        <f t="shared" si="141"/>
        <v>0</v>
      </c>
      <c r="T438" s="2499" t="s">
        <v>28181</v>
      </c>
      <c r="U438"/>
      <c r="V438" s="117">
        <v>1</v>
      </c>
      <c r="W438" s="117"/>
      <c r="Y438">
        <v>1</v>
      </c>
      <c r="AC438"/>
      <c r="AE438" s="1">
        <v>1</v>
      </c>
      <c r="AF438" s="1099" t="s">
        <v>9035</v>
      </c>
      <c r="AG438" s="1">
        <v>0.222</v>
      </c>
      <c r="AH438" s="812" t="s">
        <v>27665</v>
      </c>
    </row>
    <row r="439" spans="1:36" ht="18" customHeight="1" x14ac:dyDescent="0.2">
      <c r="A439" s="851"/>
      <c r="B439" s="1098" t="s">
        <v>28766</v>
      </c>
      <c r="C439" s="665" t="s">
        <v>28767</v>
      </c>
      <c r="D439" s="1469">
        <f>IF($D$428&lt;&gt;0,ROUND(A1*$D$427/2,0),0)</f>
        <v>0</v>
      </c>
      <c r="E439" s="1469">
        <f>'Berechnung &amp; Tabellen'!$C$13+15+0.75-1.72</f>
        <v>209.03</v>
      </c>
      <c r="F439" s="1469">
        <f>$F$427</f>
        <v>1100</v>
      </c>
      <c r="G439" s="1470">
        <v>0.75</v>
      </c>
      <c r="H439" s="2464">
        <f t="shared" si="137"/>
        <v>0.229933</v>
      </c>
      <c r="I439" s="2464"/>
      <c r="J439" s="2465">
        <f t="shared" si="138"/>
        <v>1.3537305374999997</v>
      </c>
      <c r="K439" s="2465">
        <f t="shared" si="139"/>
        <v>0</v>
      </c>
      <c r="L439" s="117" t="str">
        <f t="shared" si="140"/>
        <v>Stk</v>
      </c>
      <c r="M439" s="1" t="s">
        <v>28402</v>
      </c>
      <c r="Q439" s="36"/>
      <c r="R439" s="2500" t="s">
        <v>8984</v>
      </c>
      <c r="S439" s="2498">
        <f t="shared" si="141"/>
        <v>0</v>
      </c>
      <c r="T439" s="2499" t="s">
        <v>28181</v>
      </c>
      <c r="U439"/>
      <c r="V439" s="117">
        <v>1</v>
      </c>
      <c r="W439" s="117"/>
      <c r="Y439">
        <v>1</v>
      </c>
      <c r="AC439"/>
      <c r="AE439" s="1">
        <v>1</v>
      </c>
      <c r="AF439" s="1471" t="s">
        <v>8964</v>
      </c>
      <c r="AG439" s="1">
        <v>0.32</v>
      </c>
      <c r="AH439" s="812" t="s">
        <v>27663</v>
      </c>
      <c r="AI439" s="193">
        <v>1</v>
      </c>
    </row>
    <row r="440" spans="1:36" ht="18" customHeight="1" x14ac:dyDescent="0.2">
      <c r="A440" s="851"/>
      <c r="B440" s="1098" t="s">
        <v>28768</v>
      </c>
      <c r="C440" s="665" t="s">
        <v>28769</v>
      </c>
      <c r="D440" s="1469">
        <f>IF($D$428&lt;&gt;0,ROUND(A2*$D$427/2,0),0)</f>
        <v>0</v>
      </c>
      <c r="E440" s="1469">
        <f>'Berechnung &amp; Tabellen'!$C$13+15+0.8-1.98</f>
        <v>208.82000000000002</v>
      </c>
      <c r="F440" s="1469">
        <f>$F$427</f>
        <v>1100</v>
      </c>
      <c r="G440" s="1470">
        <v>0.8</v>
      </c>
      <c r="H440" s="2464">
        <f t="shared" si="137"/>
        <v>0.22970200000000002</v>
      </c>
      <c r="I440" s="2464"/>
      <c r="J440" s="2465">
        <f t="shared" si="138"/>
        <v>1.4425285600000002</v>
      </c>
      <c r="K440" s="2465">
        <f t="shared" si="139"/>
        <v>0</v>
      </c>
      <c r="L440" s="117" t="str">
        <f t="shared" si="140"/>
        <v>Stk</v>
      </c>
      <c r="M440" s="1" t="s">
        <v>464</v>
      </c>
      <c r="Q440" s="36"/>
      <c r="R440" s="2500" t="s">
        <v>9043</v>
      </c>
      <c r="S440" s="2498">
        <f t="shared" si="141"/>
        <v>0</v>
      </c>
      <c r="T440" s="2499" t="s">
        <v>28181</v>
      </c>
      <c r="U440"/>
      <c r="V440" s="117">
        <v>1</v>
      </c>
      <c r="W440" s="117"/>
      <c r="Y440">
        <v>1</v>
      </c>
      <c r="AC440"/>
      <c r="AE440" s="1">
        <v>1</v>
      </c>
      <c r="AF440" s="1099" t="s">
        <v>9035</v>
      </c>
      <c r="AG440" s="1">
        <v>0.222</v>
      </c>
      <c r="AH440" s="812" t="s">
        <v>27665</v>
      </c>
    </row>
    <row r="441" spans="1:36" ht="18" customHeight="1" x14ac:dyDescent="0.2">
      <c r="A441" s="851"/>
      <c r="B441" s="1098" t="s">
        <v>28770</v>
      </c>
      <c r="C441" s="665" t="s">
        <v>28771</v>
      </c>
      <c r="D441" s="1469">
        <f>IF($D$428&lt;&gt;0,ROUND(A1*$D$427/2,0),0)</f>
        <v>0</v>
      </c>
      <c r="E441" s="1469">
        <f>'Berechnung &amp; Tabellen'!$C$13+15+0.75-1.72</f>
        <v>209.03</v>
      </c>
      <c r="F441" s="1469">
        <f>$F$428</f>
        <v>0</v>
      </c>
      <c r="G441" s="1470">
        <v>0.75</v>
      </c>
      <c r="H441" s="2464">
        <f t="shared" si="137"/>
        <v>0</v>
      </c>
      <c r="I441" s="2464"/>
      <c r="J441" s="2465">
        <f t="shared" si="138"/>
        <v>0</v>
      </c>
      <c r="K441" s="2465">
        <f t="shared" si="139"/>
        <v>0</v>
      </c>
      <c r="L441" s="117" t="str">
        <f t="shared" si="140"/>
        <v>Stk</v>
      </c>
      <c r="M441" s="1" t="s">
        <v>28402</v>
      </c>
      <c r="Q441" s="36"/>
      <c r="R441" s="2500" t="s">
        <v>8984</v>
      </c>
      <c r="S441" s="2498">
        <f t="shared" si="141"/>
        <v>0</v>
      </c>
      <c r="T441" s="2499" t="s">
        <v>28181</v>
      </c>
      <c r="U441"/>
      <c r="V441" s="117">
        <v>1</v>
      </c>
      <c r="W441" s="117"/>
      <c r="Y441">
        <v>1</v>
      </c>
      <c r="AC441"/>
      <c r="AE441" s="1">
        <v>1</v>
      </c>
      <c r="AF441" s="1471" t="s">
        <v>8964</v>
      </c>
      <c r="AG441" s="1">
        <v>0.32</v>
      </c>
      <c r="AH441" s="812" t="s">
        <v>27663</v>
      </c>
      <c r="AI441" s="193">
        <v>1</v>
      </c>
    </row>
    <row r="442" spans="1:36" ht="18" customHeight="1" x14ac:dyDescent="0.2">
      <c r="A442" s="851"/>
      <c r="B442" s="1098" t="s">
        <v>28772</v>
      </c>
      <c r="C442" s="665" t="s">
        <v>28773</v>
      </c>
      <c r="D442" s="1469">
        <f>IF($D$428&lt;&gt;0,ROUND(A2*$D$427/2,0),0)</f>
        <v>0</v>
      </c>
      <c r="E442" s="1469">
        <f>'Berechnung &amp; Tabellen'!$C$13+15+0.8-1.98</f>
        <v>208.82000000000002</v>
      </c>
      <c r="F442" s="1469">
        <f>$F$428</f>
        <v>0</v>
      </c>
      <c r="G442" s="1470">
        <v>0.8</v>
      </c>
      <c r="H442" s="2464">
        <f t="shared" si="137"/>
        <v>0</v>
      </c>
      <c r="I442" s="2464"/>
      <c r="J442" s="2465">
        <f t="shared" si="138"/>
        <v>0</v>
      </c>
      <c r="K442" s="2465">
        <f t="shared" si="139"/>
        <v>0</v>
      </c>
      <c r="L442" s="117" t="str">
        <f t="shared" si="140"/>
        <v>Stk</v>
      </c>
      <c r="M442" s="1" t="s">
        <v>464</v>
      </c>
      <c r="Q442" s="36"/>
      <c r="R442" s="2500" t="s">
        <v>9043</v>
      </c>
      <c r="S442" s="2498">
        <f t="shared" si="141"/>
        <v>0</v>
      </c>
      <c r="T442" s="2499" t="s">
        <v>28181</v>
      </c>
      <c r="U442"/>
      <c r="V442" s="117">
        <v>1</v>
      </c>
      <c r="W442" s="117"/>
      <c r="Y442">
        <v>1</v>
      </c>
      <c r="AC442"/>
      <c r="AE442" s="1">
        <v>1</v>
      </c>
      <c r="AF442" s="1099" t="s">
        <v>9035</v>
      </c>
      <c r="AG442" s="1">
        <v>0.222</v>
      </c>
      <c r="AH442" s="812" t="s">
        <v>27665</v>
      </c>
    </row>
    <row r="443" spans="1:36" ht="18" customHeight="1" x14ac:dyDescent="0.2">
      <c r="A443" s="193">
        <f>D443</f>
        <v>0</v>
      </c>
      <c r="B443" s="1098" t="s">
        <v>28437</v>
      </c>
      <c r="C443" s="1550" t="s">
        <v>29057</v>
      </c>
      <c r="D443" s="1269">
        <f>'Berechnung &amp; Tabellen'!$F$302*'Berechnung &amp; Tabellen'!$L$293</f>
        <v>0</v>
      </c>
      <c r="E443" s="1269">
        <v>150</v>
      </c>
      <c r="F443" s="1269">
        <v>1250</v>
      </c>
      <c r="G443" s="1270">
        <v>18</v>
      </c>
      <c r="H443" s="2464"/>
      <c r="I443" s="2464"/>
      <c r="J443" s="2465"/>
      <c r="K443" s="2465"/>
      <c r="L443" s="116" t="s">
        <v>53</v>
      </c>
      <c r="M443" s="682" t="s">
        <v>29057</v>
      </c>
      <c r="N443" s="1" t="s">
        <v>819</v>
      </c>
      <c r="O443" s="1">
        <v>59</v>
      </c>
      <c r="P443" s="116" t="s">
        <v>73</v>
      </c>
      <c r="Q443" s="1129"/>
      <c r="R443" s="2501" t="str">
        <f>C443</f>
        <v>0308332</v>
      </c>
      <c r="S443" s="2502">
        <f>D443</f>
        <v>0</v>
      </c>
      <c r="T443" s="2503" t="s">
        <v>53</v>
      </c>
      <c r="V443" s="1">
        <v>1</v>
      </c>
      <c r="AE443" s="1">
        <v>1</v>
      </c>
    </row>
    <row r="444" spans="1:36" ht="18" customHeight="1" x14ac:dyDescent="0.2">
      <c r="A444" s="193">
        <f>D444</f>
        <v>0</v>
      </c>
      <c r="B444" s="1098" t="s">
        <v>28437</v>
      </c>
      <c r="C444" s="1268" t="s">
        <v>29522</v>
      </c>
      <c r="D444" s="1269">
        <f>'Berechnung &amp; Tabellen'!$G$302*'Berechnung &amp; Tabellen'!$L$294</f>
        <v>0</v>
      </c>
      <c r="E444" s="1269">
        <v>225</v>
      </c>
      <c r="F444" s="1269">
        <v>1225</v>
      </c>
      <c r="G444" s="1270">
        <v>18</v>
      </c>
      <c r="H444" s="2464"/>
      <c r="I444" s="2464"/>
      <c r="J444" s="2465"/>
      <c r="K444" s="2465"/>
      <c r="L444" s="1" t="s">
        <v>28399</v>
      </c>
      <c r="M444" s="682" t="s">
        <v>337</v>
      </c>
      <c r="N444" s="1" t="s">
        <v>819</v>
      </c>
      <c r="O444" s="1">
        <v>60</v>
      </c>
      <c r="P444" s="116" t="s">
        <v>73</v>
      </c>
      <c r="Q444" s="1129"/>
      <c r="R444" s="2494" t="str">
        <f t="shared" ref="R444:R477" si="142">C444</f>
        <v>0202018</v>
      </c>
      <c r="S444" s="2495">
        <f>D444*(E444/1000)*(F444/1000)</f>
        <v>0</v>
      </c>
      <c r="T444" s="2496" t="s">
        <v>28181</v>
      </c>
      <c r="V444" s="1">
        <v>1</v>
      </c>
      <c r="AE444" s="1">
        <v>1</v>
      </c>
    </row>
    <row r="445" spans="1:36" s="1091" customFormat="1" ht="18" customHeight="1" x14ac:dyDescent="0.2">
      <c r="A445" s="1308">
        <f>IF(SUM(A443:A444)&gt;0,VLOOKUP(SUM(A443:A444),A443:C444,1,FALSE),0)</f>
        <v>0</v>
      </c>
      <c r="B445" s="1097">
        <f>IF(SUM(A443:A444)&gt;0,VLOOKUP(SUM(A443:A444),A443:C444,2,FALSE),0)</f>
        <v>0</v>
      </c>
      <c r="C445" s="1088">
        <f>IF(SUM(A443:A444)&gt;0,VLOOKUP(SUM(A443:A444),A443:M444,3,FALSE),0)</f>
        <v>0</v>
      </c>
      <c r="D445" s="1089"/>
      <c r="E445" s="1090"/>
      <c r="F445" s="1090"/>
      <c r="G445" s="1092"/>
      <c r="H445" s="2467"/>
      <c r="I445" s="2467"/>
      <c r="J445" s="2468"/>
      <c r="K445" s="2468"/>
      <c r="L445" s="1090"/>
      <c r="M445" s="1094"/>
      <c r="N445" s="1093"/>
      <c r="O445" s="1093"/>
      <c r="P445" s="1093"/>
      <c r="Q445" s="2453"/>
      <c r="R445" s="2505">
        <f t="shared" si="142"/>
        <v>0</v>
      </c>
      <c r="S445" s="2506"/>
      <c r="T445" s="2506"/>
      <c r="V445" s="1090"/>
      <c r="Y445" s="1090"/>
      <c r="AC445" s="155"/>
      <c r="AD445" s="1"/>
      <c r="AE445" s="1"/>
      <c r="AF445" s="1094"/>
      <c r="AG445" s="1090"/>
      <c r="AH445" s="1095"/>
      <c r="AI445" s="1571"/>
      <c r="AJ445" s="1090"/>
    </row>
    <row r="446" spans="1:36" ht="18" customHeight="1" x14ac:dyDescent="0.2">
      <c r="A446" s="193">
        <f>D446</f>
        <v>25</v>
      </c>
      <c r="B446" s="1098" t="s">
        <v>28438</v>
      </c>
      <c r="C446" s="1550" t="s">
        <v>29058</v>
      </c>
      <c r="D446" s="1269">
        <f>'Berechnung &amp; Tabellen'!$F$301*'Berechnung &amp; Tabellen'!$L$293</f>
        <v>25</v>
      </c>
      <c r="E446" s="2640">
        <f>150+20</f>
        <v>170</v>
      </c>
      <c r="F446" s="1269">
        <v>1250</v>
      </c>
      <c r="G446" s="1270">
        <v>12.5</v>
      </c>
      <c r="H446" s="2464"/>
      <c r="I446" s="2464"/>
      <c r="J446" s="2465"/>
      <c r="K446" s="2465"/>
      <c r="L446" s="116" t="s">
        <v>53</v>
      </c>
      <c r="M446" s="682" t="s">
        <v>29058</v>
      </c>
      <c r="N446" s="1" t="s">
        <v>819</v>
      </c>
      <c r="O446" s="1">
        <v>61</v>
      </c>
      <c r="P446" s="116" t="s">
        <v>73</v>
      </c>
      <c r="Q446" s="1129"/>
      <c r="R446" s="2501" t="str">
        <f t="shared" si="142"/>
        <v>0308331</v>
      </c>
      <c r="S446" s="2502">
        <f>D446</f>
        <v>25</v>
      </c>
      <c r="T446" s="2503" t="s">
        <v>53</v>
      </c>
      <c r="V446" s="1">
        <v>1</v>
      </c>
      <c r="AE446" s="1">
        <v>1</v>
      </c>
    </row>
    <row r="447" spans="1:36" ht="18" customHeight="1" x14ac:dyDescent="0.2">
      <c r="A447" s="193">
        <f>D447</f>
        <v>0</v>
      </c>
      <c r="B447" s="1098" t="s">
        <v>28438</v>
      </c>
      <c r="C447" s="1268" t="s">
        <v>293</v>
      </c>
      <c r="D447" s="1269">
        <f>'Berechnung &amp; Tabellen'!$G$301*'Berechnung &amp; Tabellen'!$L$294</f>
        <v>0</v>
      </c>
      <c r="E447" s="1269">
        <v>225</v>
      </c>
      <c r="F447" s="1269">
        <v>1225</v>
      </c>
      <c r="G447" s="1270">
        <v>12.5</v>
      </c>
      <c r="H447" s="2464"/>
      <c r="I447" s="2464"/>
      <c r="J447" s="2465"/>
      <c r="K447" s="2465"/>
      <c r="L447" s="1" t="s">
        <v>28399</v>
      </c>
      <c r="M447" s="682" t="s">
        <v>337</v>
      </c>
      <c r="N447" s="1" t="s">
        <v>819</v>
      </c>
      <c r="O447" s="1">
        <v>62</v>
      </c>
      <c r="P447" s="116" t="s">
        <v>73</v>
      </c>
      <c r="Q447" s="1129"/>
      <c r="R447" s="2494" t="str">
        <f t="shared" si="142"/>
        <v>0708161</v>
      </c>
      <c r="S447" s="2495">
        <f>D447*(E447/1000)*(F447/1000)</f>
        <v>0</v>
      </c>
      <c r="T447" s="2496" t="s">
        <v>28181</v>
      </c>
      <c r="V447" s="1">
        <v>1</v>
      </c>
      <c r="AE447" s="1">
        <v>1</v>
      </c>
    </row>
    <row r="448" spans="1:36" s="1091" customFormat="1" ht="18" customHeight="1" x14ac:dyDescent="0.2">
      <c r="A448" s="1308">
        <f>IF(SUM(A446:A447)&gt;0,VLOOKUP(SUM(A446:A447),A446:C447,1,FALSE),0)</f>
        <v>25</v>
      </c>
      <c r="B448" s="1097" t="str">
        <f>IF(SUM(A446:A447)&gt;0,VLOOKUP(SUM(A446:A447),A446:C447,2,FALSE),0)</f>
        <v>Festfeldfüllplatten 12,5mm GKF</v>
      </c>
      <c r="C448" s="1088" t="str">
        <f>IF(SUM(A446:A447)&gt;0,VLOOKUP(SUM(A446:A447),A446:M447,3,FALSE),0)</f>
        <v>0308331</v>
      </c>
      <c r="D448" s="1089"/>
      <c r="E448" s="1090"/>
      <c r="F448" s="1090"/>
      <c r="G448" s="1092"/>
      <c r="H448" s="2467"/>
      <c r="I448" s="2467"/>
      <c r="J448" s="2468"/>
      <c r="K448" s="2468"/>
      <c r="L448" s="1090"/>
      <c r="M448" s="1094"/>
      <c r="N448" s="1093"/>
      <c r="O448" s="1093"/>
      <c r="P448" s="1093"/>
      <c r="Q448" s="2453"/>
      <c r="R448" s="2505" t="str">
        <f t="shared" si="142"/>
        <v>0308331</v>
      </c>
      <c r="S448" s="2506"/>
      <c r="T448" s="2506"/>
      <c r="V448" s="1090"/>
      <c r="Y448" s="1090"/>
      <c r="AC448" s="155"/>
      <c r="AD448" s="1"/>
      <c r="AE448" s="1"/>
      <c r="AF448" s="1094"/>
      <c r="AG448" s="1090"/>
      <c r="AH448" s="1095"/>
      <c r="AI448" s="1571"/>
      <c r="AJ448" s="1090"/>
    </row>
    <row r="449" spans="1:36" ht="18" customHeight="1" x14ac:dyDescent="0.2">
      <c r="A449" s="193">
        <f>D449</f>
        <v>1</v>
      </c>
      <c r="B449" s="1098" t="s">
        <v>28439</v>
      </c>
      <c r="C449" s="1550" t="s">
        <v>29059</v>
      </c>
      <c r="D449" s="1269">
        <f>'Berechnung &amp; Tabellen'!$F$303*'Berechnung &amp; Tabellen'!$L$293</f>
        <v>1</v>
      </c>
      <c r="E449" s="2640">
        <f>150+20</f>
        <v>170</v>
      </c>
      <c r="F449" s="1269">
        <v>1250</v>
      </c>
      <c r="G449" s="1270">
        <v>15</v>
      </c>
      <c r="H449" s="2464"/>
      <c r="I449" s="2464"/>
      <c r="J449" s="2465"/>
      <c r="K449" s="2465"/>
      <c r="L449" s="116" t="s">
        <v>53</v>
      </c>
      <c r="M449" s="682" t="s">
        <v>29059</v>
      </c>
      <c r="N449" s="1" t="s">
        <v>819</v>
      </c>
      <c r="O449" s="1">
        <v>63</v>
      </c>
      <c r="P449" s="116" t="s">
        <v>73</v>
      </c>
      <c r="Q449" s="1129"/>
      <c r="R449" s="2501" t="str">
        <f t="shared" si="142"/>
        <v>0308333</v>
      </c>
      <c r="S449" s="2502">
        <f>D449</f>
        <v>1</v>
      </c>
      <c r="T449" s="2503" t="s">
        <v>53</v>
      </c>
      <c r="V449" s="1">
        <v>1</v>
      </c>
      <c r="AE449" s="1">
        <v>1</v>
      </c>
    </row>
    <row r="450" spans="1:36" ht="18" customHeight="1" x14ac:dyDescent="0.2">
      <c r="A450" s="193">
        <f>D450</f>
        <v>0</v>
      </c>
      <c r="B450" s="1098" t="s">
        <v>28439</v>
      </c>
      <c r="C450" s="1268" t="s">
        <v>4462</v>
      </c>
      <c r="D450" s="1269">
        <f>'Berechnung &amp; Tabellen'!$G$303*'Berechnung &amp; Tabellen'!$L$294</f>
        <v>0</v>
      </c>
      <c r="E450" s="1269">
        <v>225</v>
      </c>
      <c r="F450" s="1269">
        <v>1225</v>
      </c>
      <c r="G450" s="1270">
        <v>15</v>
      </c>
      <c r="H450" s="2464"/>
      <c r="I450" s="2464"/>
      <c r="J450" s="2465"/>
      <c r="K450" s="2465"/>
      <c r="L450" s="1" t="s">
        <v>28399</v>
      </c>
      <c r="M450" s="682" t="s">
        <v>337</v>
      </c>
      <c r="N450" s="1" t="s">
        <v>819</v>
      </c>
      <c r="O450" s="1">
        <v>64</v>
      </c>
      <c r="P450" s="116" t="s">
        <v>73</v>
      </c>
      <c r="Q450" s="1129"/>
      <c r="R450" s="2494" t="str">
        <f t="shared" si="142"/>
        <v>0202015</v>
      </c>
      <c r="S450" s="2495">
        <f>D450*(E450/1000)*(F450/1000)</f>
        <v>0</v>
      </c>
      <c r="T450" s="2496" t="s">
        <v>28181</v>
      </c>
      <c r="V450" s="1">
        <v>1</v>
      </c>
      <c r="AE450" s="1">
        <v>1</v>
      </c>
    </row>
    <row r="451" spans="1:36" s="1091" customFormat="1" ht="18" customHeight="1" x14ac:dyDescent="0.2">
      <c r="A451" s="1308">
        <f>IF(SUM(A449:A450)&gt;0,VLOOKUP(SUM(A449:A450),A449:C450,1,FALSE),0)</f>
        <v>1</v>
      </c>
      <c r="B451" s="1097" t="str">
        <f>IF(SUM(A449:A450)&gt;0,VLOOKUP(SUM(A449:A450),A449:C450,2,FALSE),0)</f>
        <v>Festfeldfüllplatten 15mm Promatect</v>
      </c>
      <c r="C451" s="1088" t="str">
        <f>IF(SUM(A449:A450)&gt;0,VLOOKUP(SUM(A449:A450),A449:M450,3,FALSE),0)</f>
        <v>0308333</v>
      </c>
      <c r="D451" s="1089"/>
      <c r="E451" s="1090"/>
      <c r="F451" s="1090"/>
      <c r="G451" s="1092"/>
      <c r="H451" s="2467"/>
      <c r="I451" s="2467"/>
      <c r="J451" s="2468"/>
      <c r="K451" s="2468"/>
      <c r="L451" s="1090"/>
      <c r="M451" s="1094"/>
      <c r="N451" s="1093"/>
      <c r="O451" s="1093"/>
      <c r="P451" s="1093"/>
      <c r="Q451" s="2453"/>
      <c r="R451" s="2505" t="str">
        <f t="shared" si="142"/>
        <v>0308333</v>
      </c>
      <c r="S451" s="2506"/>
      <c r="T451" s="2506"/>
      <c r="V451" s="1090"/>
      <c r="Y451" s="1090"/>
      <c r="AC451" s="155"/>
      <c r="AD451" s="1"/>
      <c r="AE451" s="1"/>
      <c r="AF451" s="1094"/>
      <c r="AG451" s="1090"/>
      <c r="AH451" s="1095"/>
      <c r="AI451" s="1571"/>
      <c r="AJ451" s="1090"/>
    </row>
    <row r="452" spans="1:36" ht="18" customHeight="1" x14ac:dyDescent="0.2">
      <c r="A452" s="193">
        <f>D452</f>
        <v>1</v>
      </c>
      <c r="B452" s="1098" t="s">
        <v>28440</v>
      </c>
      <c r="C452" s="1550" t="s">
        <v>29060</v>
      </c>
      <c r="D452" s="1269">
        <f>'Berechnung &amp; Tabellen'!$F$304*'Berechnung &amp; Tabellen'!$L$293</f>
        <v>1</v>
      </c>
      <c r="E452" s="2640">
        <f>150+20</f>
        <v>170</v>
      </c>
      <c r="F452" s="1269">
        <v>1250</v>
      </c>
      <c r="G452" s="1270">
        <v>6</v>
      </c>
      <c r="H452" s="2464"/>
      <c r="I452" s="2464"/>
      <c r="J452" s="2465"/>
      <c r="K452" s="2465"/>
      <c r="L452" s="116" t="s">
        <v>53</v>
      </c>
      <c r="M452" s="682" t="s">
        <v>29060</v>
      </c>
      <c r="N452" s="1" t="s">
        <v>819</v>
      </c>
      <c r="O452" s="1">
        <v>65</v>
      </c>
      <c r="P452" s="116" t="s">
        <v>73</v>
      </c>
      <c r="Q452" s="1129"/>
      <c r="R452" s="2501" t="str">
        <f t="shared" si="142"/>
        <v>0308334</v>
      </c>
      <c r="S452" s="2502">
        <f>D452</f>
        <v>1</v>
      </c>
      <c r="T452" s="2503" t="s">
        <v>53</v>
      </c>
      <c r="V452" s="1">
        <v>1</v>
      </c>
      <c r="AE452" s="1">
        <v>2</v>
      </c>
    </row>
    <row r="453" spans="1:36" ht="18" customHeight="1" x14ac:dyDescent="0.2">
      <c r="A453" s="193">
        <f>D453</f>
        <v>0</v>
      </c>
      <c r="B453" s="1098" t="s">
        <v>28440</v>
      </c>
      <c r="C453" s="1268" t="s">
        <v>832</v>
      </c>
      <c r="D453" s="1269">
        <f>'Berechnung &amp; Tabellen'!$G$304*'Berechnung &amp; Tabellen'!$L$294</f>
        <v>0</v>
      </c>
      <c r="E453" s="1269">
        <v>225</v>
      </c>
      <c r="F453" s="1269">
        <v>1225</v>
      </c>
      <c r="G453" s="1270">
        <v>6</v>
      </c>
      <c r="H453" s="2464"/>
      <c r="I453" s="2464"/>
      <c r="J453" s="2465"/>
      <c r="K453" s="2465"/>
      <c r="L453" s="116" t="s">
        <v>28399</v>
      </c>
      <c r="M453" s="682" t="s">
        <v>337</v>
      </c>
      <c r="N453" s="1" t="s">
        <v>819</v>
      </c>
      <c r="O453" s="1">
        <v>66</v>
      </c>
      <c r="P453" s="116" t="s">
        <v>73</v>
      </c>
      <c r="Q453" s="1129"/>
      <c r="R453" s="2494" t="str">
        <f t="shared" si="142"/>
        <v>0202003</v>
      </c>
      <c r="S453" s="2495">
        <f>D453*(E453/1000)*(F453/1000)</f>
        <v>0</v>
      </c>
      <c r="T453" s="2496" t="s">
        <v>28181</v>
      </c>
      <c r="V453" s="1">
        <v>1</v>
      </c>
      <c r="AE453" s="1">
        <v>2</v>
      </c>
    </row>
    <row r="454" spans="1:36" s="1091" customFormat="1" ht="18" customHeight="1" x14ac:dyDescent="0.2">
      <c r="A454" s="1308">
        <f>IF(SUM(A452:A453)&gt;0,VLOOKUP(SUM(A452:A453),A452:C453,1,FALSE),0)</f>
        <v>1</v>
      </c>
      <c r="B454" s="1097" t="str">
        <f>IF(SUM(A452:A453)&gt;0,VLOOKUP(SUM(A452:A453),A452:C453,2,FALSE),0)</f>
        <v>Festfeldfüllplatten 6mm Promatect</v>
      </c>
      <c r="C454" s="1088" t="str">
        <f>IF(SUM(A452:A453)&gt;0,VLOOKUP(SUM(A452:A453),A452:M453,3,FALSE),0)</f>
        <v>0308334</v>
      </c>
      <c r="D454" s="1089"/>
      <c r="E454" s="1090"/>
      <c r="F454" s="1090"/>
      <c r="G454" s="1092"/>
      <c r="H454" s="2467"/>
      <c r="I454" s="2467"/>
      <c r="J454" s="2468"/>
      <c r="K454" s="2468"/>
      <c r="L454" s="1090"/>
      <c r="M454" s="1094"/>
      <c r="N454" s="1093"/>
      <c r="O454" s="1093"/>
      <c r="P454" s="1093"/>
      <c r="Q454" s="2453"/>
      <c r="R454" s="2505" t="str">
        <f t="shared" si="142"/>
        <v>0308334</v>
      </c>
      <c r="S454" s="2506"/>
      <c r="T454" s="2506"/>
      <c r="V454" s="1090"/>
      <c r="Y454" s="1090"/>
      <c r="AC454" s="155"/>
      <c r="AD454" s="1"/>
      <c r="AE454" s="1"/>
      <c r="AF454" s="1094"/>
      <c r="AG454" s="1090"/>
      <c r="AH454" s="1095"/>
      <c r="AI454" s="1571"/>
      <c r="AJ454" s="1090"/>
    </row>
    <row r="455" spans="1:36" ht="18" customHeight="1" x14ac:dyDescent="0.2">
      <c r="B455" s="1098" t="s">
        <v>30618</v>
      </c>
      <c r="C455" s="1268" t="s">
        <v>821</v>
      </c>
      <c r="D455" s="1269">
        <f>IF('Berechnung &amp; Tabellen'!H297&gt;0,ROUNDUP('Berechnung &amp; Tabellen'!H295*'Berechnung &amp; Tabellen'!H297/650,0),0)+ROUNDUP(ROUNDUP('Berechnung &amp; Tabellen'!H295*'Berechnung &amp; Tabellen'!H297/650,0)/10,0)</f>
        <v>0</v>
      </c>
      <c r="E455" s="1269">
        <v>250</v>
      </c>
      <c r="F455" s="1269">
        <v>600</v>
      </c>
      <c r="G455" s="1270">
        <v>150</v>
      </c>
      <c r="H455" s="2464"/>
      <c r="I455" s="2464"/>
      <c r="J455" s="2465">
        <f>G455*8*H455</f>
        <v>0</v>
      </c>
      <c r="K455" s="2465">
        <f>D455*J455</f>
        <v>0</v>
      </c>
      <c r="L455" s="1" t="s">
        <v>53</v>
      </c>
      <c r="Q455" s="36"/>
      <c r="R455" s="2501" t="str">
        <f t="shared" si="142"/>
        <v>0220002</v>
      </c>
      <c r="S455" s="2502">
        <f>D455</f>
        <v>0</v>
      </c>
      <c r="T455" s="2503" t="s">
        <v>53</v>
      </c>
      <c r="V455" s="1">
        <v>1</v>
      </c>
      <c r="AE455" s="1">
        <v>1</v>
      </c>
    </row>
    <row r="456" spans="1:36" ht="18" customHeight="1" x14ac:dyDescent="0.2">
      <c r="A456" s="193">
        <f>D456</f>
        <v>3</v>
      </c>
      <c r="B456" s="1098" t="s">
        <v>28268</v>
      </c>
      <c r="C456" s="1268" t="s">
        <v>28269</v>
      </c>
      <c r="D456" s="1269">
        <f>IF(Dateneingabe!$F$30=Dateneingabe!$E$102,0,IF(AND(Dateneingabe!$F$30&lt;&gt;Dateneingabe!$E$102,Dateneingabe!$F$32=Dateneingabe!$F$115),4-(A1*2),3-(A1*2)))*C2</f>
        <v>3</v>
      </c>
      <c r="E456" s="1269">
        <v>58.04</v>
      </c>
      <c r="F456" s="1269">
        <f>'Berechnung &amp; Tabellen'!C12</f>
        <v>1100</v>
      </c>
      <c r="G456" s="1270"/>
      <c r="H456" s="2464"/>
      <c r="I456" s="2464"/>
      <c r="J456" s="2465">
        <f>J455</f>
        <v>0</v>
      </c>
      <c r="K456" s="2465">
        <f>K455</f>
        <v>0</v>
      </c>
      <c r="L456" s="116" t="s">
        <v>28400</v>
      </c>
      <c r="M456" s="1">
        <f>M455</f>
        <v>0</v>
      </c>
      <c r="Q456" s="36"/>
      <c r="R456" s="2501" t="str">
        <f t="shared" si="142"/>
        <v>0308282</v>
      </c>
      <c r="S456" s="2502">
        <f>D456</f>
        <v>3</v>
      </c>
      <c r="T456" s="2503" t="s">
        <v>53</v>
      </c>
      <c r="V456" s="1">
        <v>1</v>
      </c>
      <c r="AE456" s="1">
        <v>1</v>
      </c>
      <c r="AI456" s="193">
        <v>1</v>
      </c>
    </row>
    <row r="457" spans="1:36" ht="18" customHeight="1" x14ac:dyDescent="0.2">
      <c r="A457" s="193">
        <f>D457</f>
        <v>0</v>
      </c>
      <c r="B457" s="1098" t="s">
        <v>30847</v>
      </c>
      <c r="C457" s="1268" t="s">
        <v>30848</v>
      </c>
      <c r="D457" s="1269">
        <f>IF(Dateneingabe!$F$30=Dateneingabe!$E$102,0,IF(AND(Dateneingabe!$F$30&lt;&gt;Dateneingabe!$E$102,Dateneingabe!$F$32=Dateneingabe!$F$115),4-(A2*2),3-(A2*2)))*C1</f>
        <v>0</v>
      </c>
      <c r="E457" s="1269"/>
      <c r="F457" s="1269">
        <f>'Berechnung &amp; Tabellen'!C12</f>
        <v>1100</v>
      </c>
      <c r="G457" s="1270"/>
      <c r="H457" s="2464"/>
      <c r="I457" s="2464"/>
      <c r="J457" s="2465">
        <f>J456</f>
        <v>0</v>
      </c>
      <c r="K457" s="2465">
        <f>K456</f>
        <v>0</v>
      </c>
      <c r="L457" s="116" t="s">
        <v>28400</v>
      </c>
      <c r="M457" s="1">
        <f>M456</f>
        <v>0</v>
      </c>
      <c r="Q457" s="36"/>
      <c r="R457" s="2501" t="str">
        <f t="shared" si="142"/>
        <v>0713964</v>
      </c>
      <c r="S457" s="2502">
        <f>D457</f>
        <v>0</v>
      </c>
      <c r="T457" s="2503" t="s">
        <v>53</v>
      </c>
      <c r="V457" s="1">
        <v>1</v>
      </c>
      <c r="AE457" s="1">
        <v>1</v>
      </c>
      <c r="AI457" s="193">
        <v>1</v>
      </c>
    </row>
    <row r="458" spans="1:36" s="1091" customFormat="1" ht="18" customHeight="1" x14ac:dyDescent="0.2">
      <c r="A458" s="1308">
        <f>IF(SUM(A456:A457)&gt;0,VLOOKUP(SUM(A456:A457),A456:C457,1,FALSE),0)</f>
        <v>3</v>
      </c>
      <c r="B458" s="1097" t="str">
        <f>IF(SUM(A456:A457)&gt;0,VLOOKUP(SUM(A456:A457),A456:C457,2,FALSE),0)</f>
        <v>Kantenschutzwinkel 40 x 20 gelocht</v>
      </c>
      <c r="C458" s="1088" t="str">
        <f>IF(SUM(A456:A457)&gt;0,VLOOKUP(SUM(A456:A457),A456:M457,3,FALSE),0)</f>
        <v>0308282</v>
      </c>
      <c r="D458" s="1089"/>
      <c r="E458" s="1239">
        <f>IF(SUM(D456:D457)&gt;0,VLOOKUP(A458,D456:F457,2,FALSE),0)</f>
        <v>58.04</v>
      </c>
      <c r="F458" s="1239">
        <f>IF(SUM(D456:D457)&gt;0,VLOOKUP(A458,D456:F457,3,FALSE),0)</f>
        <v>1100</v>
      </c>
      <c r="G458" s="1092"/>
      <c r="H458" s="2467"/>
      <c r="I458" s="2467"/>
      <c r="J458" s="2468"/>
      <c r="K458" s="2468"/>
      <c r="L458" s="1090"/>
      <c r="M458" s="1094"/>
      <c r="N458" s="1093"/>
      <c r="O458" s="1093"/>
      <c r="P458" s="1093"/>
      <c r="Q458" s="2453"/>
      <c r="R458" s="2505" t="str">
        <f t="shared" si="142"/>
        <v>0308282</v>
      </c>
      <c r="S458" s="2506"/>
      <c r="T458" s="2506"/>
      <c r="V458" s="1090"/>
      <c r="Y458" s="1090"/>
      <c r="AC458" s="155"/>
      <c r="AD458" s="1"/>
      <c r="AE458" s="1"/>
      <c r="AF458" s="1094"/>
      <c r="AG458" s="1090"/>
      <c r="AH458" s="1095"/>
      <c r="AI458" s="1571"/>
      <c r="AJ458" s="1090"/>
    </row>
    <row r="459" spans="1:36" ht="18" customHeight="1" x14ac:dyDescent="0.2">
      <c r="B459" s="1098" t="s">
        <v>28465</v>
      </c>
      <c r="C459" s="1268" t="s">
        <v>30867</v>
      </c>
      <c r="D459" s="1269">
        <f>'Berechnung &amp; Tabellen'!L297</f>
        <v>1</v>
      </c>
      <c r="F459" s="1"/>
      <c r="H459" s="2464"/>
      <c r="I459" s="2464"/>
      <c r="J459" s="2465">
        <f>G459*8*H459</f>
        <v>0</v>
      </c>
      <c r="K459" s="2465">
        <f>D459*J459</f>
        <v>0</v>
      </c>
      <c r="L459" s="116" t="s">
        <v>53</v>
      </c>
      <c r="Q459" s="36"/>
      <c r="R459" s="2501" t="str">
        <f t="shared" si="142"/>
        <v>0308292</v>
      </c>
      <c r="S459" s="2502">
        <f>D459</f>
        <v>1</v>
      </c>
      <c r="T459" s="2503" t="s">
        <v>53</v>
      </c>
      <c r="V459" s="1">
        <v>1</v>
      </c>
      <c r="AE459" s="1">
        <v>1</v>
      </c>
    </row>
    <row r="460" spans="1:36" ht="18" customHeight="1" x14ac:dyDescent="0.2">
      <c r="B460" s="1098" t="s">
        <v>28482</v>
      </c>
      <c r="C460" s="1268" t="s">
        <v>28481</v>
      </c>
      <c r="D460" s="1269">
        <f>Checkliste!H49</f>
        <v>1</v>
      </c>
      <c r="E460" s="1">
        <v>175</v>
      </c>
      <c r="F460" s="1">
        <v>500</v>
      </c>
      <c r="G460" s="118">
        <v>25</v>
      </c>
      <c r="H460" s="2464"/>
      <c r="I460" s="2464"/>
      <c r="J460" s="2465">
        <f>G460*8*H460</f>
        <v>0</v>
      </c>
      <c r="K460" s="2465">
        <f>D460*J460</f>
        <v>0</v>
      </c>
      <c r="L460" s="116" t="s">
        <v>53</v>
      </c>
      <c r="Q460" s="36"/>
      <c r="R460" s="2501" t="str">
        <f t="shared" si="142"/>
        <v>0205038</v>
      </c>
      <c r="S460" s="2502">
        <f>D460</f>
        <v>1</v>
      </c>
      <c r="T460" s="2503" t="s">
        <v>53</v>
      </c>
      <c r="V460" s="1">
        <v>1</v>
      </c>
      <c r="AE460" s="1">
        <v>1</v>
      </c>
    </row>
    <row r="461" spans="1:36" ht="18" customHeight="1" x14ac:dyDescent="0.2">
      <c r="A461" s="193">
        <f>D461</f>
        <v>0</v>
      </c>
      <c r="B461" s="1098" t="s">
        <v>31208</v>
      </c>
      <c r="C461" s="1268" t="s">
        <v>31206</v>
      </c>
      <c r="D461" s="1269"/>
      <c r="F461" s="1"/>
      <c r="H461" s="2464"/>
      <c r="I461" s="2464">
        <f>277.505/1000</f>
        <v>0.277505</v>
      </c>
      <c r="J461" s="2465"/>
      <c r="K461" s="2465"/>
      <c r="L461" s="116" t="s">
        <v>53</v>
      </c>
      <c r="Q461" s="36"/>
      <c r="R461" s="2501"/>
      <c r="S461" s="2502"/>
      <c r="T461" s="2503"/>
      <c r="V461" s="1">
        <v>1</v>
      </c>
      <c r="AE461" s="1">
        <v>1</v>
      </c>
    </row>
    <row r="462" spans="1:36" ht="18" customHeight="1" x14ac:dyDescent="0.2">
      <c r="A462" s="193">
        <f>D462</f>
        <v>0</v>
      </c>
      <c r="B462" s="1098" t="s">
        <v>31208</v>
      </c>
      <c r="C462" s="1268" t="s">
        <v>31207</v>
      </c>
      <c r="D462" s="1269"/>
      <c r="F462" s="1"/>
      <c r="H462" s="2464"/>
      <c r="I462" s="2464">
        <f>275.994/1000</f>
        <v>0.27599400000000002</v>
      </c>
      <c r="J462" s="2465"/>
      <c r="K462" s="2465"/>
      <c r="L462" s="116" t="s">
        <v>53</v>
      </c>
      <c r="Q462" s="36"/>
      <c r="R462" s="2501"/>
      <c r="S462" s="2502"/>
      <c r="T462" s="2503"/>
      <c r="V462" s="1">
        <v>1</v>
      </c>
      <c r="AE462" s="1">
        <v>1</v>
      </c>
    </row>
    <row r="463" spans="1:36" s="1091" customFormat="1" ht="18" customHeight="1" x14ac:dyDescent="0.2">
      <c r="A463" s="1308">
        <f>IF(SUM(A461:A462)&gt;0,VLOOKUP(SUM(A461:A462),A461:C462,1,FALSE),0)</f>
        <v>0</v>
      </c>
      <c r="B463" s="1097">
        <f>IF(SUM(A461:A462)&gt;0,VLOOKUP(SUM(A461:A462),A461:C462,2,FALSE),0)</f>
        <v>0</v>
      </c>
      <c r="C463" s="1088">
        <f>IF(SUM(A461:A462)&gt;0,VLOOKUP(SUM(A461:A462),A461:M462,3,FALSE),0)</f>
        <v>0</v>
      </c>
      <c r="D463" s="1089"/>
      <c r="E463" s="1090"/>
      <c r="F463" s="1090"/>
      <c r="G463" s="1092"/>
      <c r="H463" s="2467"/>
      <c r="I463" s="2467"/>
      <c r="J463" s="2468"/>
      <c r="K463" s="2468"/>
      <c r="L463" s="1090"/>
      <c r="M463" s="1094"/>
      <c r="N463" s="1093"/>
      <c r="O463" s="1093"/>
      <c r="P463" s="1093"/>
      <c r="Q463" s="2453"/>
      <c r="R463" s="2505">
        <f t="shared" ref="R463" si="143">C463</f>
        <v>0</v>
      </c>
      <c r="S463" s="2506"/>
      <c r="T463" s="2506"/>
      <c r="V463" s="1090"/>
      <c r="Y463" s="1090"/>
      <c r="AC463" s="155"/>
      <c r="AD463" s="1"/>
      <c r="AE463" s="1"/>
      <c r="AF463" s="1094"/>
      <c r="AG463" s="1090"/>
      <c r="AH463" s="1095"/>
      <c r="AI463" s="1571"/>
      <c r="AJ463" s="1090"/>
    </row>
    <row r="464" spans="1:36" ht="18" customHeight="1" x14ac:dyDescent="0.2">
      <c r="A464" s="193">
        <f>D464</f>
        <v>0</v>
      </c>
      <c r="B464" s="758" t="s">
        <v>31107</v>
      </c>
      <c r="C464" s="665" t="s">
        <v>27855</v>
      </c>
      <c r="D464" s="759">
        <f>Checkliste!H90*C2</f>
        <v>0</v>
      </c>
      <c r="E464" s="116">
        <v>60</v>
      </c>
      <c r="F464" s="116">
        <v>50</v>
      </c>
      <c r="G464" s="118">
        <v>2</v>
      </c>
      <c r="H464" s="2464">
        <f>E464*F464/1000/1000</f>
        <v>3.0000000000000001E-3</v>
      </c>
      <c r="I464" s="2464"/>
      <c r="J464" s="2465">
        <f>G464*7.85*H464</f>
        <v>4.7099999999999996E-2</v>
      </c>
      <c r="K464" s="2465">
        <f>D464*J464</f>
        <v>0</v>
      </c>
      <c r="L464" s="1" t="s">
        <v>53</v>
      </c>
      <c r="N464" s="116"/>
      <c r="O464" s="116"/>
      <c r="P464" s="116"/>
      <c r="Q464" s="1129"/>
      <c r="R464" s="2501" t="str">
        <f t="shared" si="142"/>
        <v>0308153</v>
      </c>
      <c r="S464" s="2502">
        <f>D464</f>
        <v>0</v>
      </c>
      <c r="T464" s="2503" t="s">
        <v>53</v>
      </c>
      <c r="V464" s="1">
        <v>1</v>
      </c>
      <c r="AE464" s="1">
        <v>1</v>
      </c>
    </row>
    <row r="465" spans="1:36" ht="18" customHeight="1" x14ac:dyDescent="0.2">
      <c r="A465" s="193">
        <f>D465</f>
        <v>0</v>
      </c>
      <c r="B465" s="758" t="s">
        <v>31108</v>
      </c>
      <c r="C465" s="665" t="s">
        <v>31111</v>
      </c>
      <c r="D465" s="759">
        <f>Checkliste!H90*C1</f>
        <v>0</v>
      </c>
      <c r="E465" s="116">
        <v>60</v>
      </c>
      <c r="F465" s="116">
        <v>50</v>
      </c>
      <c r="G465" s="118">
        <v>2</v>
      </c>
      <c r="H465" s="2464">
        <f>E465*F465/1000/1000</f>
        <v>3.0000000000000001E-3</v>
      </c>
      <c r="I465" s="2464"/>
      <c r="J465" s="2465">
        <f>G465*7.85*H465</f>
        <v>4.7099999999999996E-2</v>
      </c>
      <c r="K465" s="2465">
        <f>D465*J465</f>
        <v>0</v>
      </c>
      <c r="L465" s="1" t="s">
        <v>53</v>
      </c>
      <c r="N465" s="116"/>
      <c r="O465" s="116"/>
      <c r="P465" s="116"/>
      <c r="Q465" s="1129"/>
      <c r="R465" s="2501" t="str">
        <f t="shared" si="142"/>
        <v>0338153</v>
      </c>
      <c r="S465" s="2502">
        <f>D465</f>
        <v>0</v>
      </c>
      <c r="T465" s="2503" t="s">
        <v>53</v>
      </c>
      <c r="V465" s="1">
        <v>1</v>
      </c>
      <c r="AE465" s="1">
        <v>1</v>
      </c>
    </row>
    <row r="466" spans="1:36" s="1091" customFormat="1" ht="18" customHeight="1" x14ac:dyDescent="0.2">
      <c r="A466" s="1308">
        <f>IF(SUM(A464:A465)&gt;0,VLOOKUP(SUM(A464:A465),A464:C465,1,FALSE),0)</f>
        <v>0</v>
      </c>
      <c r="B466" s="1097">
        <f>IF(SUM(A464:A465)&gt;0,VLOOKUP(SUM(A464:A465),A464:C465,2,FALSE),0)</f>
        <v>0</v>
      </c>
      <c r="C466" s="1088">
        <f>IF(SUM(A464:A465)&gt;0,VLOOKUP(SUM(A464:A465),A464:M465,3,FALSE),0)</f>
        <v>0</v>
      </c>
      <c r="D466" s="1089"/>
      <c r="E466" s="1239">
        <f>IF(SUM(D464:D465)&gt;0,VLOOKUP(A466,D464:F465,2,FALSE),0)</f>
        <v>0</v>
      </c>
      <c r="F466" s="1239">
        <f>IF(SUM(D464:D465)&gt;0,VLOOKUP(A466,D464:F465,3,FALSE),0)</f>
        <v>0</v>
      </c>
      <c r="G466" s="1092"/>
      <c r="H466" s="2467"/>
      <c r="I466" s="2467"/>
      <c r="J466" s="2468"/>
      <c r="K466" s="2468"/>
      <c r="L466" s="1090"/>
      <c r="M466" s="1094"/>
      <c r="N466" s="1093"/>
      <c r="O466" s="1093"/>
      <c r="P466" s="1093"/>
      <c r="Q466" s="2453"/>
      <c r="R466" s="2505">
        <f t="shared" si="142"/>
        <v>0</v>
      </c>
      <c r="S466" s="2506"/>
      <c r="T466" s="2506"/>
      <c r="V466" s="1090"/>
      <c r="Y466" s="1090"/>
      <c r="AC466" s="155"/>
      <c r="AD466" s="1"/>
      <c r="AE466" s="1"/>
      <c r="AF466" s="1094"/>
      <c r="AG466" s="1090"/>
      <c r="AH466" s="1095"/>
      <c r="AI466" s="1571"/>
      <c r="AJ466" s="1090"/>
    </row>
    <row r="467" spans="1:36" ht="18" customHeight="1" x14ac:dyDescent="0.2">
      <c r="A467" s="193">
        <f>D467</f>
        <v>0</v>
      </c>
      <c r="B467" s="758" t="s">
        <v>31109</v>
      </c>
      <c r="C467" s="665" t="s">
        <v>27856</v>
      </c>
      <c r="D467" s="759">
        <f>Checkliste!H91*C2</f>
        <v>0</v>
      </c>
      <c r="E467" s="116">
        <v>60</v>
      </c>
      <c r="F467" s="116">
        <v>50</v>
      </c>
      <c r="G467" s="118">
        <v>1</v>
      </c>
      <c r="H467" s="2464">
        <f>E467*F467/1000/1000</f>
        <v>3.0000000000000001E-3</v>
      </c>
      <c r="I467" s="2464"/>
      <c r="J467" s="2465">
        <f>G467*7.85*H467</f>
        <v>2.3549999999999998E-2</v>
      </c>
      <c r="K467" s="2465">
        <f>D467*J467</f>
        <v>0</v>
      </c>
      <c r="L467" s="1" t="s">
        <v>53</v>
      </c>
      <c r="N467" s="116"/>
      <c r="O467" s="116"/>
      <c r="P467" s="116"/>
      <c r="Q467" s="1129"/>
      <c r="R467" s="2501" t="str">
        <f t="shared" si="142"/>
        <v>0308152</v>
      </c>
      <c r="S467" s="2502">
        <f>D467</f>
        <v>0</v>
      </c>
      <c r="T467" s="2503" t="s">
        <v>53</v>
      </c>
      <c r="V467" s="1">
        <v>1</v>
      </c>
      <c r="AE467" s="1">
        <v>1</v>
      </c>
    </row>
    <row r="468" spans="1:36" ht="18" customHeight="1" x14ac:dyDescent="0.2">
      <c r="A468" s="193">
        <f>D468</f>
        <v>0</v>
      </c>
      <c r="B468" s="758" t="s">
        <v>31110</v>
      </c>
      <c r="C468" s="665" t="s">
        <v>31446</v>
      </c>
      <c r="D468" s="759">
        <f>Checkliste!H91*C1</f>
        <v>0</v>
      </c>
      <c r="E468" s="116">
        <v>60</v>
      </c>
      <c r="F468" s="116">
        <v>50</v>
      </c>
      <c r="G468" s="118">
        <v>1</v>
      </c>
      <c r="H468" s="2464">
        <f>E468*F468/1000/1000</f>
        <v>3.0000000000000001E-3</v>
      </c>
      <c r="I468" s="2464"/>
      <c r="J468" s="2465">
        <f>G468*7.85*H468</f>
        <v>2.3549999999999998E-2</v>
      </c>
      <c r="K468" s="2465">
        <f>D468*J468</f>
        <v>0</v>
      </c>
      <c r="L468" s="1" t="s">
        <v>53</v>
      </c>
      <c r="N468" s="116"/>
      <c r="O468" s="116"/>
      <c r="P468" s="116"/>
      <c r="Q468" s="1129"/>
      <c r="R468" s="2501" t="str">
        <f t="shared" si="142"/>
        <v>0338152</v>
      </c>
      <c r="S468" s="2502">
        <f>D468</f>
        <v>0</v>
      </c>
      <c r="T468" s="2503" t="s">
        <v>53</v>
      </c>
      <c r="V468" s="1">
        <v>1</v>
      </c>
      <c r="AE468" s="1">
        <v>1</v>
      </c>
    </row>
    <row r="469" spans="1:36" s="1091" customFormat="1" ht="18" customHeight="1" x14ac:dyDescent="0.2">
      <c r="A469" s="1308">
        <f>IF(SUM(A467:A468)&gt;0,VLOOKUP(SUM(A467:A468),A467:C468,1,FALSE),0)</f>
        <v>0</v>
      </c>
      <c r="B469" s="1097">
        <f>IF(SUM(A467:A468)&gt;0,VLOOKUP(SUM(A467:A468),A467:C468,2,FALSE),0)</f>
        <v>0</v>
      </c>
      <c r="C469" s="1088">
        <f>IF(SUM(A467:A468)&gt;0,VLOOKUP(SUM(A467:A468),A467:M468,3,FALSE),0)</f>
        <v>0</v>
      </c>
      <c r="D469" s="1089"/>
      <c r="E469" s="1239">
        <f>IF(SUM(D467:D468)&gt;0,VLOOKUP(A469,D467:F468,2,FALSE),0)</f>
        <v>0</v>
      </c>
      <c r="F469" s="1239">
        <f>IF(SUM(D467:D468)&gt;0,VLOOKUP(A469,D467:F468,3,FALSE),0)</f>
        <v>0</v>
      </c>
      <c r="G469" s="1092"/>
      <c r="H469" s="2467"/>
      <c r="I469" s="2467"/>
      <c r="J469" s="2468"/>
      <c r="K469" s="2468"/>
      <c r="L469" s="1090"/>
      <c r="M469" s="1094"/>
      <c r="N469" s="1093"/>
      <c r="O469" s="1093"/>
      <c r="P469" s="1093"/>
      <c r="Q469" s="2453"/>
      <c r="R469" s="2505">
        <f t="shared" si="142"/>
        <v>0</v>
      </c>
      <c r="S469" s="2506"/>
      <c r="T469" s="2506"/>
      <c r="V469" s="1090"/>
      <c r="Y469" s="1090"/>
      <c r="AC469" s="155"/>
      <c r="AD469" s="1"/>
      <c r="AE469" s="1"/>
      <c r="AF469" s="1094"/>
      <c r="AG469" s="1090"/>
      <c r="AH469" s="1095"/>
      <c r="AI469" s="1571"/>
      <c r="AJ469" s="1090"/>
    </row>
    <row r="470" spans="1:36" ht="18" customHeight="1" x14ac:dyDescent="0.2">
      <c r="B470" s="3" t="str">
        <f>Checkliste!J8</f>
        <v>Verstärkte Flachpalette mit Aufbau</v>
      </c>
      <c r="C470" s="665" t="str">
        <f>Checkliste!I8</f>
        <v>0308531</v>
      </c>
      <c r="D470" s="1">
        <f>Checkliste!H8</f>
        <v>1</v>
      </c>
      <c r="E470" s="1">
        <f>Checkliste!E8</f>
        <v>1000</v>
      </c>
      <c r="F470" s="1">
        <f>Checkliste!F8</f>
        <v>1500</v>
      </c>
      <c r="H470" s="2464"/>
      <c r="I470" s="2464"/>
      <c r="J470" s="2465"/>
      <c r="K470" s="2465"/>
      <c r="L470" s="1" t="s">
        <v>53</v>
      </c>
      <c r="Q470" s="36" t="str">
        <f>IF('Berechnung &amp; Tabellen'!I281='Berechnung &amp; Tabellen'!C274,Variantenkonfiguration!B12,"")</f>
        <v>L=1500^B=1000^H_WB=614</v>
      </c>
      <c r="R470" s="2504" t="str">
        <f t="shared" si="142"/>
        <v>0308531</v>
      </c>
      <c r="S470" s="2493"/>
      <c r="T470" s="2493"/>
      <c r="V470" s="1">
        <f>X3</f>
        <v>1</v>
      </c>
      <c r="AE470" s="1">
        <v>1</v>
      </c>
    </row>
    <row r="471" spans="1:36" ht="18" customHeight="1" x14ac:dyDescent="0.2">
      <c r="B471" s="336" t="s">
        <v>29385</v>
      </c>
      <c r="C471" s="958" t="s">
        <v>29386</v>
      </c>
      <c r="D471" s="200">
        <f>IF(Dateneingabe!F42=Dateneingabe!H102,4,2+2)</f>
        <v>4</v>
      </c>
      <c r="E471" s="116"/>
      <c r="F471" s="116"/>
      <c r="H471" s="2464">
        <f>E471*F471/1000/1000</f>
        <v>0</v>
      </c>
      <c r="I471" s="2464"/>
      <c r="J471" s="2465">
        <f>G471*7.85*H471</f>
        <v>0</v>
      </c>
      <c r="K471" s="2465">
        <f>D471*J471</f>
        <v>0</v>
      </c>
      <c r="L471" s="1" t="s">
        <v>53</v>
      </c>
      <c r="N471" s="116"/>
      <c r="O471" s="116"/>
      <c r="P471" s="116"/>
      <c r="Q471" s="1129"/>
      <c r="R471" s="2501" t="str">
        <f t="shared" si="142"/>
        <v>0708918</v>
      </c>
      <c r="S471" s="2502">
        <f>D471</f>
        <v>4</v>
      </c>
      <c r="T471" s="2503" t="s">
        <v>53</v>
      </c>
      <c r="V471" s="1">
        <v>1</v>
      </c>
      <c r="AE471" s="1">
        <v>1</v>
      </c>
    </row>
    <row r="472" spans="1:36" ht="18" customHeight="1" x14ac:dyDescent="0.2">
      <c r="B472" s="3" t="str">
        <f>Checkliste!J10</f>
        <v>Festfeldpalette GCC</v>
      </c>
      <c r="C472" s="665" t="str">
        <f>Checkliste!I10</f>
        <v>0715214</v>
      </c>
      <c r="D472" s="1">
        <f>Checkliste!H10</f>
        <v>0</v>
      </c>
      <c r="E472" s="1">
        <f>Checkliste!E10</f>
        <v>800</v>
      </c>
      <c r="F472" s="1">
        <f>Checkliste!F10</f>
        <v>1300</v>
      </c>
      <c r="H472" s="2464"/>
      <c r="I472" s="2464"/>
      <c r="J472" s="2465"/>
      <c r="K472" s="2465"/>
      <c r="L472" s="1" t="s">
        <v>53</v>
      </c>
      <c r="Q472" s="36"/>
      <c r="R472" s="2504" t="str">
        <f t="shared" si="142"/>
        <v>0715214</v>
      </c>
      <c r="S472" s="2493"/>
      <c r="T472" s="2493"/>
      <c r="V472" s="1">
        <v>1</v>
      </c>
      <c r="AE472" s="1">
        <v>1</v>
      </c>
    </row>
    <row r="473" spans="1:36" ht="18" customHeight="1" x14ac:dyDescent="0.2">
      <c r="B473" s="3">
        <f>Checkliste!J12</f>
        <v>0</v>
      </c>
      <c r="C473" s="665">
        <f>Checkliste!I12</f>
        <v>0</v>
      </c>
      <c r="D473" s="1">
        <f>Checkliste!H12</f>
        <v>0</v>
      </c>
      <c r="E473" s="1">
        <f>Checkliste!E12</f>
        <v>0</v>
      </c>
      <c r="F473" s="1">
        <f>Checkliste!F12</f>
        <v>0</v>
      </c>
      <c r="H473" s="2464"/>
      <c r="I473" s="2464"/>
      <c r="J473" s="2465">
        <v>9.3000000000000007</v>
      </c>
      <c r="K473" s="2465">
        <v>0</v>
      </c>
      <c r="L473" s="1" t="s">
        <v>53</v>
      </c>
      <c r="Q473" s="36"/>
      <c r="R473" s="2504">
        <f t="shared" si="142"/>
        <v>0</v>
      </c>
      <c r="S473" s="2493"/>
      <c r="T473" s="2493"/>
      <c r="V473" s="1">
        <v>1</v>
      </c>
    </row>
    <row r="474" spans="1:36" ht="18" customHeight="1" x14ac:dyDescent="0.2">
      <c r="B474" s="336" t="s">
        <v>31049</v>
      </c>
      <c r="C474" s="665" t="s">
        <v>31048</v>
      </c>
      <c r="D474" s="1">
        <v>6</v>
      </c>
      <c r="E474" s="117"/>
      <c r="F474" s="117"/>
      <c r="G474" s="1236"/>
      <c r="H474" s="2464"/>
      <c r="I474" s="2464"/>
      <c r="J474" s="2465">
        <f>G474*8*H474</f>
        <v>0</v>
      </c>
      <c r="K474" s="2465">
        <f>D474*J474</f>
        <v>0</v>
      </c>
      <c r="L474" s="1" t="s">
        <v>53</v>
      </c>
      <c r="Q474" s="36"/>
      <c r="R474" s="2501" t="str">
        <f t="shared" si="142"/>
        <v>0308503</v>
      </c>
      <c r="S474" s="2502">
        <f>D474</f>
        <v>6</v>
      </c>
      <c r="T474" s="2503" t="s">
        <v>53</v>
      </c>
      <c r="V474" s="1">
        <v>1</v>
      </c>
      <c r="AE474" s="1">
        <v>1</v>
      </c>
    </row>
    <row r="475" spans="1:36" ht="18" customHeight="1" x14ac:dyDescent="0.2">
      <c r="B475" s="3" t="s">
        <v>29222</v>
      </c>
      <c r="C475" s="665" t="s">
        <v>29223</v>
      </c>
      <c r="D475" s="1">
        <v>18</v>
      </c>
      <c r="E475" s="117"/>
      <c r="F475" s="117"/>
      <c r="G475" s="1236"/>
      <c r="H475" s="2464"/>
      <c r="I475" s="2464"/>
      <c r="J475" s="2465">
        <f>G475*8*H475</f>
        <v>0</v>
      </c>
      <c r="K475" s="2465">
        <f>D475*J475</f>
        <v>0</v>
      </c>
      <c r="L475" s="1" t="s">
        <v>53</v>
      </c>
      <c r="Q475" s="36"/>
      <c r="R475" s="2501" t="str">
        <f t="shared" si="142"/>
        <v>0714359</v>
      </c>
      <c r="S475" s="2502">
        <f>D475</f>
        <v>18</v>
      </c>
      <c r="T475" s="2503" t="s">
        <v>53</v>
      </c>
      <c r="V475" s="1">
        <v>1</v>
      </c>
      <c r="AE475" s="1">
        <v>1</v>
      </c>
    </row>
    <row r="476" spans="1:36" s="1091" customFormat="1" ht="18" customHeight="1" x14ac:dyDescent="0.2">
      <c r="A476" s="1308"/>
      <c r="B476" s="1110" t="s">
        <v>30594</v>
      </c>
      <c r="C476" s="1088"/>
      <c r="D476" s="1089"/>
      <c r="E476" s="1090"/>
      <c r="F476" s="1090"/>
      <c r="G476" s="1092"/>
      <c r="H476" s="2467"/>
      <c r="I476" s="2467"/>
      <c r="J476" s="2468"/>
      <c r="K476" s="2468"/>
      <c r="L476" s="1090"/>
      <c r="M476" s="1090"/>
      <c r="N476" s="1093"/>
      <c r="O476" s="1093"/>
      <c r="P476" s="1093"/>
      <c r="Q476" s="2453"/>
      <c r="R476" s="2505">
        <f t="shared" si="142"/>
        <v>0</v>
      </c>
      <c r="S476" s="2506"/>
      <c r="T476" s="2506"/>
      <c r="V476" s="1090"/>
      <c r="Y476" s="1090"/>
      <c r="AC476" s="155"/>
      <c r="AD476" s="1"/>
      <c r="AE476" s="1"/>
      <c r="AF476" s="1094"/>
      <c r="AG476" s="1090"/>
      <c r="AH476" s="1095"/>
      <c r="AI476" s="1571"/>
      <c r="AJ476" s="1090"/>
    </row>
    <row r="477" spans="1:36" ht="18" customHeight="1" x14ac:dyDescent="0.2">
      <c r="B477" s="2161">
        <f>Checkliste!C109</f>
        <v>0</v>
      </c>
      <c r="C477" s="665">
        <f>Checkliste!G109</f>
        <v>0</v>
      </c>
      <c r="D477" s="200">
        <f>Checkliste!H109</f>
        <v>0</v>
      </c>
      <c r="E477" s="116"/>
      <c r="F477" s="116">
        <f>Checkliste!I109</f>
        <v>0</v>
      </c>
      <c r="H477" s="2464">
        <f t="shared" ref="H477:H486" si="144">E477*F477/1000/1000</f>
        <v>0</v>
      </c>
      <c r="I477" s="2464"/>
      <c r="J477" s="2465">
        <f t="shared" ref="J477:J486" si="145">G477*7.85*H477</f>
        <v>0</v>
      </c>
      <c r="K477" s="2465">
        <f t="shared" ref="K477:K486" si="146">D477*J477</f>
        <v>0</v>
      </c>
      <c r="L477" s="1" t="str">
        <f>Checkliste!J109</f>
        <v/>
      </c>
      <c r="N477" s="682"/>
      <c r="O477" s="682"/>
      <c r="P477" s="682"/>
      <c r="Q477" s="2460"/>
      <c r="R477" s="2501">
        <f t="shared" si="142"/>
        <v>0</v>
      </c>
      <c r="S477" s="2502">
        <f>D477</f>
        <v>0</v>
      </c>
      <c r="T477" s="2503" t="s">
        <v>53</v>
      </c>
      <c r="V477" s="1">
        <v>1</v>
      </c>
      <c r="AD477" s="1">
        <f t="shared" ref="AD477:AD490" si="147">K477*AC477</f>
        <v>0</v>
      </c>
      <c r="AE477" s="1">
        <v>1</v>
      </c>
    </row>
    <row r="478" spans="1:36" ht="18" customHeight="1" x14ac:dyDescent="0.2">
      <c r="B478" s="2161">
        <f>Checkliste!C110</f>
        <v>0</v>
      </c>
      <c r="C478" s="665">
        <f>Checkliste!G110</f>
        <v>0</v>
      </c>
      <c r="D478" s="200">
        <f>Checkliste!H110</f>
        <v>0</v>
      </c>
      <c r="E478" s="116"/>
      <c r="F478" s="116">
        <f>Checkliste!I110</f>
        <v>0</v>
      </c>
      <c r="H478" s="2464">
        <f t="shared" si="144"/>
        <v>0</v>
      </c>
      <c r="I478" s="2464"/>
      <c r="J478" s="2465">
        <f t="shared" si="145"/>
        <v>0</v>
      </c>
      <c r="K478" s="2465">
        <f t="shared" si="146"/>
        <v>0</v>
      </c>
      <c r="L478" s="1" t="str">
        <f>Checkliste!J110</f>
        <v/>
      </c>
      <c r="N478" s="682"/>
      <c r="O478" s="682"/>
      <c r="P478" s="682"/>
      <c r="Q478" s="2460"/>
      <c r="R478" s="2501">
        <f t="shared" ref="R478:R493" si="148">C478</f>
        <v>0</v>
      </c>
      <c r="S478" s="2502">
        <f t="shared" ref="S478:S493" si="149">D478</f>
        <v>0</v>
      </c>
      <c r="T478" s="2503" t="s">
        <v>53</v>
      </c>
      <c r="V478" s="1">
        <v>1</v>
      </c>
      <c r="AD478" s="1">
        <f t="shared" si="147"/>
        <v>0</v>
      </c>
      <c r="AE478" s="1">
        <v>1</v>
      </c>
    </row>
    <row r="479" spans="1:36" ht="18" customHeight="1" x14ac:dyDescent="0.2">
      <c r="B479" s="2161">
        <f>Checkliste!C111</f>
        <v>0</v>
      </c>
      <c r="C479" s="665">
        <f>Checkliste!G111</f>
        <v>0</v>
      </c>
      <c r="D479" s="200">
        <f>Checkliste!H111</f>
        <v>0</v>
      </c>
      <c r="E479" s="116"/>
      <c r="F479" s="116">
        <f>Checkliste!I111</f>
        <v>0</v>
      </c>
      <c r="H479" s="2464">
        <f t="shared" si="144"/>
        <v>0</v>
      </c>
      <c r="I479" s="2464"/>
      <c r="J479" s="2465">
        <f t="shared" si="145"/>
        <v>0</v>
      </c>
      <c r="K479" s="2465">
        <f t="shared" si="146"/>
        <v>0</v>
      </c>
      <c r="L479" s="1" t="str">
        <f>Checkliste!J111</f>
        <v/>
      </c>
      <c r="N479" s="682"/>
      <c r="O479" s="682"/>
      <c r="P479" s="682"/>
      <c r="Q479" s="2460"/>
      <c r="R479" s="2501">
        <f t="shared" si="148"/>
        <v>0</v>
      </c>
      <c r="S479" s="2502">
        <f t="shared" si="149"/>
        <v>0</v>
      </c>
      <c r="T479" s="2503" t="s">
        <v>53</v>
      </c>
      <c r="V479" s="1">
        <v>1</v>
      </c>
      <c r="AD479" s="1">
        <f t="shared" si="147"/>
        <v>0</v>
      </c>
      <c r="AE479" s="1">
        <v>1</v>
      </c>
    </row>
    <row r="480" spans="1:36" ht="18" customHeight="1" x14ac:dyDescent="0.2">
      <c r="B480" s="2161">
        <f>Checkliste!C112</f>
        <v>0</v>
      </c>
      <c r="C480" s="665">
        <f>Checkliste!G112</f>
        <v>0</v>
      </c>
      <c r="D480" s="200">
        <f>Checkliste!H112</f>
        <v>0</v>
      </c>
      <c r="E480" s="116"/>
      <c r="F480" s="116">
        <f>Checkliste!I112</f>
        <v>0</v>
      </c>
      <c r="H480" s="2464">
        <f t="shared" si="144"/>
        <v>0</v>
      </c>
      <c r="I480" s="2464"/>
      <c r="J480" s="2465">
        <f t="shared" si="145"/>
        <v>0</v>
      </c>
      <c r="K480" s="2465">
        <f t="shared" si="146"/>
        <v>0</v>
      </c>
      <c r="L480" s="1" t="str">
        <f>Checkliste!J112</f>
        <v/>
      </c>
      <c r="N480" s="682"/>
      <c r="O480" s="682"/>
      <c r="P480" s="682"/>
      <c r="Q480" s="2460"/>
      <c r="R480" s="2501">
        <f t="shared" si="148"/>
        <v>0</v>
      </c>
      <c r="S480" s="2502">
        <f t="shared" si="149"/>
        <v>0</v>
      </c>
      <c r="T480" s="2503" t="s">
        <v>53</v>
      </c>
      <c r="V480" s="1">
        <v>1</v>
      </c>
      <c r="AD480" s="1">
        <f t="shared" si="147"/>
        <v>0</v>
      </c>
      <c r="AE480" s="1">
        <v>1</v>
      </c>
    </row>
    <row r="481" spans="1:31" ht="18" customHeight="1" x14ac:dyDescent="0.2">
      <c r="B481" s="2161">
        <f>Checkliste!C113</f>
        <v>0</v>
      </c>
      <c r="C481" s="665">
        <f>Checkliste!G113</f>
        <v>0</v>
      </c>
      <c r="D481" s="200">
        <f>Checkliste!H113</f>
        <v>0</v>
      </c>
      <c r="E481" s="116"/>
      <c r="F481" s="116">
        <f>Checkliste!I113</f>
        <v>0</v>
      </c>
      <c r="H481" s="2464">
        <f t="shared" si="144"/>
        <v>0</v>
      </c>
      <c r="I481" s="2464"/>
      <c r="J481" s="2465">
        <f t="shared" si="145"/>
        <v>0</v>
      </c>
      <c r="K481" s="2465">
        <f t="shared" si="146"/>
        <v>0</v>
      </c>
      <c r="L481" s="1" t="str">
        <f>Checkliste!J113</f>
        <v/>
      </c>
      <c r="N481" s="682"/>
      <c r="O481" s="682"/>
      <c r="P481" s="682"/>
      <c r="Q481" s="2460"/>
      <c r="R481" s="2501">
        <f t="shared" si="148"/>
        <v>0</v>
      </c>
      <c r="S481" s="2502">
        <f t="shared" si="149"/>
        <v>0</v>
      </c>
      <c r="T481" s="2503" t="s">
        <v>53</v>
      </c>
      <c r="V481" s="1">
        <v>1</v>
      </c>
      <c r="AD481" s="1">
        <f t="shared" si="147"/>
        <v>0</v>
      </c>
      <c r="AE481" s="1">
        <v>1</v>
      </c>
    </row>
    <row r="482" spans="1:31" ht="18" customHeight="1" x14ac:dyDescent="0.2">
      <c r="B482" s="2161">
        <f>Checkliste!C114</f>
        <v>0</v>
      </c>
      <c r="C482" s="665">
        <f>Checkliste!G114</f>
        <v>0</v>
      </c>
      <c r="D482" s="200">
        <f>Checkliste!H114</f>
        <v>0</v>
      </c>
      <c r="E482" s="116"/>
      <c r="F482" s="116">
        <f>Checkliste!I114</f>
        <v>0</v>
      </c>
      <c r="H482" s="2464">
        <f t="shared" si="144"/>
        <v>0</v>
      </c>
      <c r="I482" s="2464"/>
      <c r="J482" s="2465">
        <f t="shared" si="145"/>
        <v>0</v>
      </c>
      <c r="K482" s="2465">
        <f t="shared" si="146"/>
        <v>0</v>
      </c>
      <c r="L482" s="1" t="str">
        <f>Checkliste!J114</f>
        <v/>
      </c>
      <c r="N482" s="682"/>
      <c r="O482" s="682"/>
      <c r="P482" s="682"/>
      <c r="Q482" s="2460"/>
      <c r="R482" s="2501">
        <f t="shared" si="148"/>
        <v>0</v>
      </c>
      <c r="S482" s="2502">
        <f t="shared" si="149"/>
        <v>0</v>
      </c>
      <c r="T482" s="2503" t="s">
        <v>53</v>
      </c>
      <c r="V482" s="1">
        <v>1</v>
      </c>
      <c r="AD482" s="1">
        <f t="shared" si="147"/>
        <v>0</v>
      </c>
      <c r="AE482" s="1">
        <v>1</v>
      </c>
    </row>
    <row r="483" spans="1:31" ht="18" customHeight="1" x14ac:dyDescent="0.2">
      <c r="B483" s="2161">
        <f>Checkliste!C115</f>
        <v>0</v>
      </c>
      <c r="C483" s="665">
        <f>Checkliste!G115</f>
        <v>0</v>
      </c>
      <c r="D483" s="200">
        <f>Checkliste!H115</f>
        <v>0</v>
      </c>
      <c r="E483" s="116"/>
      <c r="F483" s="116">
        <f>Checkliste!I115</f>
        <v>0</v>
      </c>
      <c r="H483" s="2464">
        <f t="shared" si="144"/>
        <v>0</v>
      </c>
      <c r="I483" s="2464"/>
      <c r="J483" s="2465">
        <f t="shared" si="145"/>
        <v>0</v>
      </c>
      <c r="K483" s="2465">
        <f t="shared" si="146"/>
        <v>0</v>
      </c>
      <c r="L483" s="1" t="str">
        <f>Checkliste!J115</f>
        <v/>
      </c>
      <c r="N483" s="682"/>
      <c r="O483" s="682"/>
      <c r="P483" s="682"/>
      <c r="Q483" s="2460"/>
      <c r="R483" s="2501">
        <f t="shared" si="148"/>
        <v>0</v>
      </c>
      <c r="S483" s="2502">
        <f t="shared" si="149"/>
        <v>0</v>
      </c>
      <c r="T483" s="2503" t="s">
        <v>53</v>
      </c>
      <c r="V483" s="1">
        <v>1</v>
      </c>
      <c r="AD483" s="1">
        <f t="shared" si="147"/>
        <v>0</v>
      </c>
      <c r="AE483" s="1">
        <v>1</v>
      </c>
    </row>
    <row r="484" spans="1:31" ht="18" customHeight="1" x14ac:dyDescent="0.2">
      <c r="B484" s="2161">
        <f>Checkliste!C116</f>
        <v>0</v>
      </c>
      <c r="C484" s="665">
        <f>Checkliste!G116</f>
        <v>0</v>
      </c>
      <c r="D484" s="200">
        <f>Checkliste!H116</f>
        <v>0</v>
      </c>
      <c r="E484" s="116"/>
      <c r="F484" s="116">
        <f>Checkliste!I116</f>
        <v>0</v>
      </c>
      <c r="H484" s="2464">
        <f t="shared" si="144"/>
        <v>0</v>
      </c>
      <c r="I484" s="2464"/>
      <c r="J484" s="2465">
        <f t="shared" si="145"/>
        <v>0</v>
      </c>
      <c r="K484" s="2465">
        <f t="shared" si="146"/>
        <v>0</v>
      </c>
      <c r="L484" s="1" t="str">
        <f>Checkliste!J116</f>
        <v/>
      </c>
      <c r="N484" s="682"/>
      <c r="O484" s="682"/>
      <c r="P484" s="682"/>
      <c r="Q484" s="2460"/>
      <c r="R484" s="2501">
        <f t="shared" si="148"/>
        <v>0</v>
      </c>
      <c r="S484" s="2502">
        <f t="shared" si="149"/>
        <v>0</v>
      </c>
      <c r="T484" s="2503" t="s">
        <v>53</v>
      </c>
      <c r="V484" s="1">
        <v>1</v>
      </c>
      <c r="AD484" s="1">
        <f t="shared" si="147"/>
        <v>0</v>
      </c>
      <c r="AE484" s="1">
        <v>1</v>
      </c>
    </row>
    <row r="485" spans="1:31" ht="18" customHeight="1" x14ac:dyDescent="0.2">
      <c r="B485" s="2161">
        <f>Checkliste!C117</f>
        <v>0</v>
      </c>
      <c r="C485" s="665">
        <f>Checkliste!G117</f>
        <v>0</v>
      </c>
      <c r="D485" s="200">
        <f>Checkliste!H117</f>
        <v>0</v>
      </c>
      <c r="E485" s="116"/>
      <c r="F485" s="116">
        <f>Checkliste!I117</f>
        <v>0</v>
      </c>
      <c r="H485" s="2464">
        <f t="shared" si="144"/>
        <v>0</v>
      </c>
      <c r="I485" s="2464"/>
      <c r="J485" s="2465">
        <f t="shared" si="145"/>
        <v>0</v>
      </c>
      <c r="K485" s="2465">
        <f t="shared" si="146"/>
        <v>0</v>
      </c>
      <c r="L485" s="1" t="str">
        <f>Checkliste!J117</f>
        <v/>
      </c>
      <c r="N485" s="682"/>
      <c r="O485" s="682"/>
      <c r="P485" s="682"/>
      <c r="Q485" s="2460"/>
      <c r="R485" s="2501">
        <f t="shared" si="148"/>
        <v>0</v>
      </c>
      <c r="S485" s="2502">
        <f t="shared" si="149"/>
        <v>0</v>
      </c>
      <c r="T485" s="2503" t="s">
        <v>53</v>
      </c>
      <c r="V485" s="1">
        <v>1</v>
      </c>
      <c r="AD485" s="1">
        <f t="shared" si="147"/>
        <v>0</v>
      </c>
      <c r="AE485" s="1">
        <v>1</v>
      </c>
    </row>
    <row r="486" spans="1:31" ht="18" customHeight="1" x14ac:dyDescent="0.2">
      <c r="B486" s="2161">
        <f>Checkliste!C118</f>
        <v>0</v>
      </c>
      <c r="C486" s="665">
        <f>Checkliste!G118</f>
        <v>0</v>
      </c>
      <c r="D486" s="200">
        <f>Checkliste!H118</f>
        <v>0</v>
      </c>
      <c r="E486" s="116"/>
      <c r="F486" s="116">
        <f>Checkliste!I118</f>
        <v>0</v>
      </c>
      <c r="H486" s="2464">
        <f t="shared" si="144"/>
        <v>0</v>
      </c>
      <c r="I486" s="2464"/>
      <c r="J486" s="2465">
        <f t="shared" si="145"/>
        <v>0</v>
      </c>
      <c r="K486" s="2465">
        <f t="shared" si="146"/>
        <v>0</v>
      </c>
      <c r="L486" s="1" t="str">
        <f>Checkliste!J118</f>
        <v/>
      </c>
      <c r="N486" s="682"/>
      <c r="O486" s="682"/>
      <c r="P486" s="682"/>
      <c r="Q486" s="2460"/>
      <c r="R486" s="2501">
        <f t="shared" si="148"/>
        <v>0</v>
      </c>
      <c r="S486" s="2502">
        <f t="shared" si="149"/>
        <v>0</v>
      </c>
      <c r="T486" s="2503" t="s">
        <v>53</v>
      </c>
      <c r="V486" s="1">
        <v>1</v>
      </c>
      <c r="AD486" s="1">
        <f t="shared" si="147"/>
        <v>0</v>
      </c>
      <c r="AE486" s="1">
        <v>1</v>
      </c>
    </row>
    <row r="487" spans="1:31" ht="18" customHeight="1" x14ac:dyDescent="0.2">
      <c r="B487" s="2161">
        <f>Checkliste!C119</f>
        <v>0</v>
      </c>
      <c r="C487" s="665">
        <f>Checkliste!G119</f>
        <v>0</v>
      </c>
      <c r="D487" s="200">
        <f>Checkliste!H119</f>
        <v>0</v>
      </c>
      <c r="E487" s="116"/>
      <c r="F487" s="116">
        <f>Checkliste!I119</f>
        <v>0</v>
      </c>
      <c r="H487" s="2464">
        <f t="shared" ref="H487:H496" si="150">E487*F487/1000/1000</f>
        <v>0</v>
      </c>
      <c r="I487" s="2464"/>
      <c r="J487" s="2465">
        <f t="shared" ref="J487:J496" si="151">G487*7.85*H487</f>
        <v>0</v>
      </c>
      <c r="K487" s="2465">
        <f t="shared" ref="K487:K496" si="152">D487*J487</f>
        <v>0</v>
      </c>
      <c r="L487" s="1" t="str">
        <f>Checkliste!J119</f>
        <v/>
      </c>
      <c r="N487" s="682"/>
      <c r="O487" s="682"/>
      <c r="P487" s="682"/>
      <c r="Q487" s="2460"/>
      <c r="R487" s="2501">
        <f t="shared" si="148"/>
        <v>0</v>
      </c>
      <c r="S487" s="2502">
        <f t="shared" si="149"/>
        <v>0</v>
      </c>
      <c r="T487" s="2503" t="s">
        <v>53</v>
      </c>
      <c r="V487" s="1">
        <v>1</v>
      </c>
      <c r="AD487" s="1">
        <f t="shared" si="147"/>
        <v>0</v>
      </c>
      <c r="AE487" s="1">
        <v>1</v>
      </c>
    </row>
    <row r="488" spans="1:31" ht="18" customHeight="1" x14ac:dyDescent="0.2">
      <c r="B488" s="2161">
        <f>Checkliste!C120</f>
        <v>0</v>
      </c>
      <c r="C488" s="665">
        <f>Checkliste!G120</f>
        <v>0</v>
      </c>
      <c r="D488" s="200">
        <f>Checkliste!H120</f>
        <v>0</v>
      </c>
      <c r="E488" s="116"/>
      <c r="F488" s="116">
        <f>Checkliste!I120</f>
        <v>0</v>
      </c>
      <c r="H488" s="2464">
        <f t="shared" si="150"/>
        <v>0</v>
      </c>
      <c r="I488" s="2464"/>
      <c r="J488" s="2465">
        <f t="shared" si="151"/>
        <v>0</v>
      </c>
      <c r="K488" s="2465">
        <f t="shared" si="152"/>
        <v>0</v>
      </c>
      <c r="L488" s="1" t="str">
        <f>Checkliste!J120</f>
        <v/>
      </c>
      <c r="N488" s="682"/>
      <c r="O488" s="682"/>
      <c r="P488" s="682"/>
      <c r="Q488" s="2460"/>
      <c r="R488" s="2501">
        <f t="shared" si="148"/>
        <v>0</v>
      </c>
      <c r="S488" s="2502">
        <f t="shared" si="149"/>
        <v>0</v>
      </c>
      <c r="T488" s="2503" t="s">
        <v>53</v>
      </c>
      <c r="V488" s="1">
        <v>1</v>
      </c>
      <c r="AD488" s="1">
        <f t="shared" si="147"/>
        <v>0</v>
      </c>
      <c r="AE488" s="1">
        <v>1</v>
      </c>
    </row>
    <row r="489" spans="1:31" ht="18" customHeight="1" x14ac:dyDescent="0.2">
      <c r="B489" s="2161">
        <f>Checkliste!C121</f>
        <v>0</v>
      </c>
      <c r="C489" s="665">
        <f>Checkliste!G121</f>
        <v>0</v>
      </c>
      <c r="D489" s="200">
        <f>Checkliste!H121</f>
        <v>0</v>
      </c>
      <c r="E489" s="116"/>
      <c r="F489" s="116">
        <f>Checkliste!I121</f>
        <v>0</v>
      </c>
      <c r="H489" s="2464">
        <f t="shared" si="150"/>
        <v>0</v>
      </c>
      <c r="I489" s="2464"/>
      <c r="J489" s="2465">
        <f t="shared" si="151"/>
        <v>0</v>
      </c>
      <c r="K489" s="2465">
        <f t="shared" si="152"/>
        <v>0</v>
      </c>
      <c r="L489" s="1" t="str">
        <f>Checkliste!J121</f>
        <v/>
      </c>
      <c r="N489" s="682"/>
      <c r="O489" s="682"/>
      <c r="P489" s="682"/>
      <c r="Q489" s="2460"/>
      <c r="R489" s="2501">
        <f t="shared" si="148"/>
        <v>0</v>
      </c>
      <c r="S489" s="2502">
        <f t="shared" si="149"/>
        <v>0</v>
      </c>
      <c r="T489" s="2503" t="s">
        <v>53</v>
      </c>
      <c r="V489" s="1">
        <v>1</v>
      </c>
      <c r="AD489" s="1">
        <f t="shared" si="147"/>
        <v>0</v>
      </c>
      <c r="AE489" s="1">
        <v>1</v>
      </c>
    </row>
    <row r="490" spans="1:31" ht="18" customHeight="1" x14ac:dyDescent="0.2">
      <c r="B490" s="2161">
        <f>Checkliste!C122</f>
        <v>0</v>
      </c>
      <c r="C490" s="665">
        <f>Checkliste!G122</f>
        <v>0</v>
      </c>
      <c r="D490" s="200">
        <f>Checkliste!H122</f>
        <v>0</v>
      </c>
      <c r="E490" s="116"/>
      <c r="F490" s="116">
        <f>Checkliste!I122</f>
        <v>0</v>
      </c>
      <c r="H490" s="2464">
        <f t="shared" si="150"/>
        <v>0</v>
      </c>
      <c r="I490" s="2464"/>
      <c r="J490" s="2465">
        <f t="shared" si="151"/>
        <v>0</v>
      </c>
      <c r="K490" s="2465">
        <f t="shared" si="152"/>
        <v>0</v>
      </c>
      <c r="L490" s="1" t="str">
        <f>Checkliste!J122</f>
        <v/>
      </c>
      <c r="N490" s="682"/>
      <c r="O490" s="682"/>
      <c r="P490" s="682"/>
      <c r="Q490" s="2460"/>
      <c r="R490" s="2501">
        <f t="shared" si="148"/>
        <v>0</v>
      </c>
      <c r="S490" s="2502">
        <f t="shared" si="149"/>
        <v>0</v>
      </c>
      <c r="T490" s="2503" t="s">
        <v>53</v>
      </c>
      <c r="V490" s="1">
        <v>1</v>
      </c>
      <c r="AD490" s="1">
        <f t="shared" si="147"/>
        <v>0</v>
      </c>
      <c r="AE490" s="1">
        <v>1</v>
      </c>
    </row>
    <row r="491" spans="1:31" ht="18" customHeight="1" x14ac:dyDescent="0.2">
      <c r="B491" s="2161">
        <f>Checkliste!C123</f>
        <v>0</v>
      </c>
      <c r="C491" s="665">
        <f>Checkliste!G123</f>
        <v>0</v>
      </c>
      <c r="D491" s="200">
        <f>Checkliste!H123</f>
        <v>0</v>
      </c>
      <c r="E491" s="116"/>
      <c r="F491" s="116">
        <f>Checkliste!I123</f>
        <v>0</v>
      </c>
      <c r="H491" s="2464">
        <f t="shared" ref="H491:H493" si="153">E491*F491/1000/1000</f>
        <v>0</v>
      </c>
      <c r="I491" s="2464"/>
      <c r="J491" s="2465">
        <f t="shared" ref="J491:J493" si="154">G491*7.85*H491</f>
        <v>0</v>
      </c>
      <c r="K491" s="2465">
        <f t="shared" ref="K491:K493" si="155">D491*J491</f>
        <v>0</v>
      </c>
      <c r="L491" s="1" t="str">
        <f>Checkliste!J123</f>
        <v/>
      </c>
      <c r="N491" s="682"/>
      <c r="O491" s="682"/>
      <c r="P491" s="682"/>
      <c r="Q491" s="2460"/>
      <c r="R491" s="2501">
        <f t="shared" si="148"/>
        <v>0</v>
      </c>
      <c r="S491" s="2502">
        <f t="shared" si="149"/>
        <v>0</v>
      </c>
      <c r="T491" s="2503" t="s">
        <v>53</v>
      </c>
      <c r="V491" s="1">
        <v>1</v>
      </c>
    </row>
    <row r="492" spans="1:31" ht="18" customHeight="1" x14ac:dyDescent="0.2">
      <c r="B492" s="2161">
        <f>Checkliste!C124</f>
        <v>0</v>
      </c>
      <c r="C492" s="665">
        <f>Checkliste!G124</f>
        <v>0</v>
      </c>
      <c r="D492" s="200">
        <f>Checkliste!H124</f>
        <v>0</v>
      </c>
      <c r="E492" s="116"/>
      <c r="F492" s="116">
        <f>Checkliste!I124</f>
        <v>0</v>
      </c>
      <c r="H492" s="2464">
        <f t="shared" si="153"/>
        <v>0</v>
      </c>
      <c r="I492" s="2464"/>
      <c r="J492" s="2465">
        <f t="shared" si="154"/>
        <v>0</v>
      </c>
      <c r="K492" s="2465">
        <f t="shared" si="155"/>
        <v>0</v>
      </c>
      <c r="L492" s="1" t="str">
        <f>Checkliste!J124</f>
        <v/>
      </c>
      <c r="N492" s="682"/>
      <c r="O492" s="682"/>
      <c r="P492" s="682"/>
      <c r="Q492" s="2460"/>
      <c r="R492" s="2501">
        <f t="shared" si="148"/>
        <v>0</v>
      </c>
      <c r="S492" s="2502">
        <f t="shared" si="149"/>
        <v>0</v>
      </c>
      <c r="T492" s="2503" t="s">
        <v>53</v>
      </c>
      <c r="V492" s="1">
        <v>1</v>
      </c>
    </row>
    <row r="493" spans="1:31" ht="18" customHeight="1" x14ac:dyDescent="0.2">
      <c r="B493" s="2161">
        <f>Checkliste!C125</f>
        <v>0</v>
      </c>
      <c r="C493" s="665">
        <f>Checkliste!G125</f>
        <v>0</v>
      </c>
      <c r="D493" s="200">
        <f>Checkliste!H125</f>
        <v>0</v>
      </c>
      <c r="E493" s="116"/>
      <c r="F493" s="116">
        <f>Checkliste!I125</f>
        <v>0</v>
      </c>
      <c r="H493" s="2464">
        <f t="shared" si="153"/>
        <v>0</v>
      </c>
      <c r="I493" s="2464"/>
      <c r="J493" s="2465">
        <f t="shared" si="154"/>
        <v>0</v>
      </c>
      <c r="K493" s="2465">
        <f t="shared" si="155"/>
        <v>0</v>
      </c>
      <c r="L493" s="1" t="str">
        <f>Checkliste!J125</f>
        <v/>
      </c>
      <c r="N493" s="682"/>
      <c r="O493" s="682"/>
      <c r="P493" s="682"/>
      <c r="Q493" s="2460"/>
      <c r="R493" s="2501">
        <f t="shared" si="148"/>
        <v>0</v>
      </c>
      <c r="S493" s="2502">
        <f t="shared" si="149"/>
        <v>0</v>
      </c>
      <c r="T493" s="2503" t="s">
        <v>53</v>
      </c>
      <c r="V493" s="1">
        <v>1</v>
      </c>
    </row>
    <row r="494" spans="1:31" ht="18" customHeight="1" x14ac:dyDescent="0.2">
      <c r="B494" s="336" t="s">
        <v>27989</v>
      </c>
      <c r="C494" s="665">
        <v>1164061</v>
      </c>
      <c r="D494" s="759"/>
      <c r="E494" s="116"/>
      <c r="F494" s="116"/>
      <c r="H494" s="2464">
        <f t="shared" si="150"/>
        <v>0</v>
      </c>
      <c r="I494" s="2464"/>
      <c r="J494" s="2465">
        <f t="shared" si="151"/>
        <v>0</v>
      </c>
      <c r="K494" s="2465">
        <f t="shared" si="152"/>
        <v>0</v>
      </c>
      <c r="L494" s="1" t="s">
        <v>53</v>
      </c>
      <c r="N494" s="166"/>
      <c r="O494" s="166"/>
      <c r="P494" s="166"/>
      <c r="Q494" s="61"/>
      <c r="R494" s="2501">
        <f t="shared" ref="R494:R495" si="156">C494</f>
        <v>1164061</v>
      </c>
      <c r="S494" s="2502">
        <f t="shared" ref="S494:S495" si="157">D494</f>
        <v>0</v>
      </c>
      <c r="T494" s="2503" t="s">
        <v>53</v>
      </c>
      <c r="V494" s="1">
        <v>1</v>
      </c>
    </row>
    <row r="495" spans="1:31" ht="18" customHeight="1" x14ac:dyDescent="0.2">
      <c r="B495" s="336" t="s">
        <v>23899</v>
      </c>
      <c r="C495" s="958">
        <v>1164062</v>
      </c>
      <c r="D495" s="759"/>
      <c r="E495" s="116"/>
      <c r="F495" s="116"/>
      <c r="H495" s="2464">
        <f t="shared" si="150"/>
        <v>0</v>
      </c>
      <c r="I495" s="2464"/>
      <c r="J495" s="2465">
        <f t="shared" si="151"/>
        <v>0</v>
      </c>
      <c r="K495" s="2465">
        <f t="shared" si="152"/>
        <v>0</v>
      </c>
      <c r="L495" s="1" t="s">
        <v>53</v>
      </c>
      <c r="N495" s="166"/>
      <c r="O495" s="166"/>
      <c r="P495" s="166"/>
      <c r="Q495" s="61"/>
      <c r="R495" s="2501">
        <f t="shared" si="156"/>
        <v>1164062</v>
      </c>
      <c r="S495" s="2502">
        <f t="shared" si="157"/>
        <v>0</v>
      </c>
      <c r="T495" s="2503" t="s">
        <v>53</v>
      </c>
      <c r="V495" s="1">
        <v>1</v>
      </c>
    </row>
    <row r="496" spans="1:31" ht="18" customHeight="1" x14ac:dyDescent="0.2">
      <c r="A496" s="193">
        <f t="shared" ref="A496:A510" si="158">D496</f>
        <v>1</v>
      </c>
      <c r="B496" s="758" t="s">
        <v>28016</v>
      </c>
      <c r="C496" s="958" t="s">
        <v>28020</v>
      </c>
      <c r="D496" s="200">
        <f>IF(Dateneingabe!$F$62=Dateneingabe!F124,1,0)</f>
        <v>1</v>
      </c>
      <c r="E496" s="116"/>
      <c r="F496" s="116"/>
      <c r="G496" s="118">
        <v>3</v>
      </c>
      <c r="H496" s="2464">
        <f t="shared" si="150"/>
        <v>0</v>
      </c>
      <c r="I496" s="2464"/>
      <c r="J496" s="2465">
        <f t="shared" si="151"/>
        <v>0</v>
      </c>
      <c r="K496" s="2465">
        <f t="shared" si="152"/>
        <v>0</v>
      </c>
      <c r="L496" s="1" t="s">
        <v>53</v>
      </c>
      <c r="N496" s="116"/>
      <c r="O496" s="116"/>
      <c r="P496" s="116"/>
      <c r="Q496" s="1129"/>
      <c r="R496" s="2501" t="str">
        <f>C496</f>
        <v>4002007</v>
      </c>
      <c r="S496" s="2502">
        <f t="shared" ref="S496:S499" si="159">D496</f>
        <v>1</v>
      </c>
      <c r="T496" s="2503" t="s">
        <v>53</v>
      </c>
      <c r="V496" s="1">
        <v>1</v>
      </c>
    </row>
    <row r="497" spans="1:36" ht="18" customHeight="1" x14ac:dyDescent="0.2">
      <c r="A497" s="193">
        <f t="shared" si="158"/>
        <v>0</v>
      </c>
      <c r="B497" s="758" t="s">
        <v>28017</v>
      </c>
      <c r="C497" s="958" t="s">
        <v>28021</v>
      </c>
      <c r="D497" s="200">
        <f>IF(Dateneingabe!$F$62=Dateneingabe!F125,1,0)</f>
        <v>0</v>
      </c>
      <c r="E497" s="116"/>
      <c r="F497" s="116"/>
      <c r="H497" s="2464"/>
      <c r="I497" s="2464"/>
      <c r="J497" s="2465"/>
      <c r="K497" s="2465"/>
      <c r="L497" s="1" t="s">
        <v>53</v>
      </c>
      <c r="N497" s="166"/>
      <c r="O497" s="166"/>
      <c r="P497" s="166"/>
      <c r="Q497" s="61"/>
      <c r="R497" s="2501" t="str">
        <f>C497</f>
        <v>4002008</v>
      </c>
      <c r="S497" s="2502">
        <f t="shared" si="159"/>
        <v>0</v>
      </c>
      <c r="T497" s="2503" t="s">
        <v>53</v>
      </c>
      <c r="V497" s="1">
        <v>1</v>
      </c>
    </row>
    <row r="498" spans="1:36" ht="18" customHeight="1" x14ac:dyDescent="0.2">
      <c r="A498" s="193">
        <f t="shared" si="158"/>
        <v>0</v>
      </c>
      <c r="B498" s="758" t="s">
        <v>28018</v>
      </c>
      <c r="C498" s="958" t="s">
        <v>28022</v>
      </c>
      <c r="D498" s="200">
        <f>IF(Dateneingabe!$F$62=Dateneingabe!F126,1,0)</f>
        <v>0</v>
      </c>
      <c r="E498" s="116"/>
      <c r="F498" s="116"/>
      <c r="H498" s="2464"/>
      <c r="I498" s="2464"/>
      <c r="J498" s="2465"/>
      <c r="K498" s="2465"/>
      <c r="L498" s="1" t="s">
        <v>53</v>
      </c>
      <c r="N498" s="166"/>
      <c r="O498" s="166"/>
      <c r="P498" s="166"/>
      <c r="Q498" s="61"/>
      <c r="R498" s="2501" t="str">
        <f>C498</f>
        <v>4002009</v>
      </c>
      <c r="S498" s="2502">
        <f t="shared" si="159"/>
        <v>0</v>
      </c>
      <c r="T498" s="2503" t="s">
        <v>53</v>
      </c>
      <c r="V498" s="1">
        <v>1</v>
      </c>
    </row>
    <row r="499" spans="1:36" ht="18" customHeight="1" x14ac:dyDescent="0.2">
      <c r="A499" s="193">
        <f t="shared" si="158"/>
        <v>0</v>
      </c>
      <c r="B499" s="758" t="s">
        <v>28019</v>
      </c>
      <c r="C499" s="958" t="s">
        <v>28023</v>
      </c>
      <c r="D499" s="200">
        <f>IF(Dateneingabe!$F$62=Dateneingabe!F127,1,0)</f>
        <v>0</v>
      </c>
      <c r="E499" s="116"/>
      <c r="F499" s="116"/>
      <c r="H499" s="2464"/>
      <c r="I499" s="2464"/>
      <c r="J499" s="2465"/>
      <c r="K499" s="2465"/>
      <c r="L499" s="1" t="s">
        <v>53</v>
      </c>
      <c r="N499" s="166"/>
      <c r="O499" s="166"/>
      <c r="P499" s="166"/>
      <c r="Q499" s="61"/>
      <c r="R499" s="2501" t="str">
        <f>C499</f>
        <v>4002013</v>
      </c>
      <c r="S499" s="2502">
        <f t="shared" si="159"/>
        <v>0</v>
      </c>
      <c r="T499" s="2503" t="s">
        <v>53</v>
      </c>
      <c r="V499" s="1">
        <v>1</v>
      </c>
    </row>
    <row r="500" spans="1:36" ht="18" customHeight="1" x14ac:dyDescent="0.2">
      <c r="A500" s="193">
        <f t="shared" ref="A500" si="160">D500</f>
        <v>0</v>
      </c>
      <c r="B500" s="758" t="s">
        <v>30582</v>
      </c>
      <c r="C500" s="958" t="s">
        <v>30583</v>
      </c>
      <c r="D500" s="200">
        <f>IF(Dateneingabe!$F$62=Dateneingabe!F128,1,0)</f>
        <v>0</v>
      </c>
      <c r="E500" s="116"/>
      <c r="F500" s="116"/>
      <c r="H500" s="2464"/>
      <c r="I500" s="2464"/>
      <c r="J500" s="2465"/>
      <c r="K500" s="2465"/>
      <c r="L500" s="1" t="s">
        <v>53</v>
      </c>
      <c r="N500" s="166"/>
      <c r="O500" s="166"/>
      <c r="P500" s="166"/>
      <c r="Q500" s="61"/>
      <c r="R500" s="2501" t="str">
        <f t="shared" ref="R500" si="161">C500</f>
        <v>4002018</v>
      </c>
      <c r="S500" s="2502">
        <f t="shared" ref="S500" si="162">D500</f>
        <v>0</v>
      </c>
      <c r="T500" s="2503" t="s">
        <v>53</v>
      </c>
      <c r="V500" s="1">
        <v>2</v>
      </c>
    </row>
    <row r="501" spans="1:36" s="1091" customFormat="1" ht="18" customHeight="1" x14ac:dyDescent="0.2">
      <c r="A501" s="1308">
        <f>IF(SUM(A496:A500)&gt;0,VLOOKUP(SUM(A496:A500),A496:C500,1,FALSE),0)</f>
        <v>1</v>
      </c>
      <c r="B501" s="1097" t="str">
        <f>IF(SUM(A496:A500)&gt;0,VLOOKUP(SUM(A496:A500),A496:C500,2,FALSE),0)</f>
        <v>Aufkleber Produkt deutsch</v>
      </c>
      <c r="C501" s="1088" t="str">
        <f>IF(SUM(A496:A500)&gt;0,VLOOKUP(SUM(A496:A500),A496:C500,3,FALSE),0)</f>
        <v>4002007</v>
      </c>
      <c r="D501" s="1089"/>
      <c r="E501" s="1090"/>
      <c r="F501" s="1090"/>
      <c r="G501" s="1092"/>
      <c r="H501" s="2467"/>
      <c r="I501" s="2467"/>
      <c r="J501" s="2468"/>
      <c r="K501" s="2468"/>
      <c r="L501" s="1090"/>
      <c r="M501" s="1090"/>
      <c r="N501" s="1093"/>
      <c r="O501" s="1093"/>
      <c r="P501" s="1093"/>
      <c r="Q501" s="2453"/>
      <c r="R501" s="2505" t="str">
        <f t="shared" ref="R501:R517" si="163">C501</f>
        <v>4002007</v>
      </c>
      <c r="S501" s="2506"/>
      <c r="T501" s="2506"/>
      <c r="V501" s="1090"/>
      <c r="Y501" s="1090"/>
      <c r="AC501" s="155"/>
      <c r="AD501" s="1"/>
      <c r="AE501" s="1"/>
      <c r="AF501" s="1094"/>
      <c r="AG501" s="1090"/>
      <c r="AH501" s="1095"/>
      <c r="AI501" s="1571"/>
      <c r="AJ501" s="1090"/>
    </row>
    <row r="502" spans="1:36" ht="18" customHeight="1" x14ac:dyDescent="0.2">
      <c r="A502" s="193">
        <f t="shared" si="158"/>
        <v>2</v>
      </c>
      <c r="B502" s="758" t="s">
        <v>28004</v>
      </c>
      <c r="C502" s="958" t="s">
        <v>28008</v>
      </c>
      <c r="D502" s="200">
        <f>IF(Dateneingabe!$F$62=Dateneingabe!F124,2,0)</f>
        <v>2</v>
      </c>
      <c r="E502" s="116">
        <v>210</v>
      </c>
      <c r="F502" s="116">
        <v>150</v>
      </c>
      <c r="H502" s="2464"/>
      <c r="I502" s="2464"/>
      <c r="J502" s="2465"/>
      <c r="K502" s="2465"/>
      <c r="L502" s="1" t="s">
        <v>53</v>
      </c>
      <c r="N502" s="166"/>
      <c r="O502" s="166"/>
      <c r="P502" s="166"/>
      <c r="Q502" s="61"/>
      <c r="R502" s="2501" t="str">
        <f t="shared" si="163"/>
        <v>4002052</v>
      </c>
      <c r="S502" s="2502">
        <f t="shared" ref="S502:S505" si="164">D502</f>
        <v>2</v>
      </c>
      <c r="T502" s="2503" t="s">
        <v>53</v>
      </c>
      <c r="V502" s="1">
        <v>1</v>
      </c>
    </row>
    <row r="503" spans="1:36" ht="18" customHeight="1" x14ac:dyDescent="0.2">
      <c r="A503" s="193">
        <f t="shared" si="158"/>
        <v>0</v>
      </c>
      <c r="B503" s="758" t="s">
        <v>28005</v>
      </c>
      <c r="C503" s="958"/>
      <c r="D503" s="200">
        <f>IF(Dateneingabe!$F$62=Dateneingabe!F125,2,0)</f>
        <v>0</v>
      </c>
      <c r="E503" s="116">
        <v>210</v>
      </c>
      <c r="F503" s="116">
        <v>150</v>
      </c>
      <c r="H503" s="2464"/>
      <c r="I503" s="2464"/>
      <c r="J503" s="2465"/>
      <c r="K503" s="2465"/>
      <c r="L503" s="1" t="s">
        <v>53</v>
      </c>
      <c r="N503" s="166"/>
      <c r="O503" s="166"/>
      <c r="P503" s="166"/>
      <c r="Q503" s="61"/>
      <c r="R503" s="2501">
        <f t="shared" si="163"/>
        <v>0</v>
      </c>
      <c r="S503" s="2502">
        <f t="shared" si="164"/>
        <v>0</v>
      </c>
      <c r="T503" s="2503" t="s">
        <v>53</v>
      </c>
      <c r="V503" s="1">
        <v>1</v>
      </c>
    </row>
    <row r="504" spans="1:36" ht="18" customHeight="1" x14ac:dyDescent="0.2">
      <c r="A504" s="193">
        <f t="shared" si="158"/>
        <v>0</v>
      </c>
      <c r="B504" s="758" t="s">
        <v>28006</v>
      </c>
      <c r="C504" s="958"/>
      <c r="D504" s="200">
        <f>IF(Dateneingabe!$F$62=Dateneingabe!F126,2,0)</f>
        <v>0</v>
      </c>
      <c r="E504" s="116">
        <v>210</v>
      </c>
      <c r="F504" s="116">
        <v>150</v>
      </c>
      <c r="H504" s="2464"/>
      <c r="I504" s="2464"/>
      <c r="J504" s="2465"/>
      <c r="K504" s="2465"/>
      <c r="L504" s="1" t="s">
        <v>53</v>
      </c>
      <c r="N504" s="166"/>
      <c r="O504" s="166"/>
      <c r="P504" s="166"/>
      <c r="Q504" s="61"/>
      <c r="R504" s="2501">
        <f t="shared" si="163"/>
        <v>0</v>
      </c>
      <c r="S504" s="2502">
        <f t="shared" si="164"/>
        <v>0</v>
      </c>
      <c r="T504" s="2503" t="s">
        <v>53</v>
      </c>
      <c r="V504" s="1">
        <v>1</v>
      </c>
    </row>
    <row r="505" spans="1:36" ht="18" customHeight="1" x14ac:dyDescent="0.2">
      <c r="A505" s="193">
        <f t="shared" si="158"/>
        <v>0</v>
      </c>
      <c r="B505" s="758" t="s">
        <v>28007</v>
      </c>
      <c r="C505" s="958"/>
      <c r="D505" s="200">
        <f>IF(Dateneingabe!$F$62=Dateneingabe!F127,2,0)</f>
        <v>0</v>
      </c>
      <c r="E505" s="116">
        <v>210</v>
      </c>
      <c r="F505" s="116">
        <v>150</v>
      </c>
      <c r="H505" s="2464"/>
      <c r="I505" s="2464"/>
      <c r="J505" s="2465"/>
      <c r="K505" s="2465"/>
      <c r="L505" s="1" t="s">
        <v>53</v>
      </c>
      <c r="N505" s="166"/>
      <c r="O505" s="166"/>
      <c r="P505" s="166"/>
      <c r="Q505" s="61"/>
      <c r="R505" s="2501">
        <f t="shared" si="163"/>
        <v>0</v>
      </c>
      <c r="S505" s="2502">
        <f t="shared" si="164"/>
        <v>0</v>
      </c>
      <c r="T505" s="2503" t="s">
        <v>53</v>
      </c>
      <c r="V505" s="1">
        <v>1</v>
      </c>
    </row>
    <row r="506" spans="1:36" s="1091" customFormat="1" ht="18" customHeight="1" x14ac:dyDescent="0.2">
      <c r="A506" s="1308">
        <f>IF(SUM(A502:A505)&gt;0,VLOOKUP(SUM(A502:A505),A502:C505,1,FALSE),0)</f>
        <v>2</v>
      </c>
      <c r="B506" s="1097" t="str">
        <f>IF(SUM(A502:A505)&gt;0,VLOOKUP(SUM(A502:A505),A502:C505,2,FALSE),0)</f>
        <v>Aufkleber FAA Schließbereich freihalten deutsch</v>
      </c>
      <c r="C506" s="1088" t="str">
        <f>IF(SUM(A502:A505)&gt;0,VLOOKUP(SUM(A502:A505),A502:C505,3,FALSE),0)</f>
        <v>4002052</v>
      </c>
      <c r="D506" s="1089"/>
      <c r="E506" s="1090"/>
      <c r="F506" s="1090"/>
      <c r="G506" s="1092"/>
      <c r="H506" s="2467"/>
      <c r="I506" s="2467"/>
      <c r="J506" s="2468"/>
      <c r="K506" s="2468"/>
      <c r="L506" s="1090"/>
      <c r="M506" s="1090"/>
      <c r="N506" s="1093"/>
      <c r="O506" s="1093"/>
      <c r="P506" s="1093"/>
      <c r="Q506" s="2453"/>
      <c r="R506" s="2505" t="str">
        <f t="shared" si="163"/>
        <v>4002052</v>
      </c>
      <c r="S506" s="2506"/>
      <c r="T506" s="2506"/>
      <c r="V506" s="1090"/>
      <c r="Y506" s="1090"/>
      <c r="AC506" s="155"/>
      <c r="AD506" s="1"/>
      <c r="AE506" s="1"/>
      <c r="AF506" s="1094"/>
      <c r="AG506" s="1090"/>
      <c r="AH506" s="1095"/>
      <c r="AI506" s="1571"/>
      <c r="AJ506" s="1090"/>
    </row>
    <row r="507" spans="1:36" ht="18" customHeight="1" x14ac:dyDescent="0.2">
      <c r="A507" s="193">
        <f t="shared" si="158"/>
        <v>0</v>
      </c>
      <c r="B507" s="758" t="s">
        <v>28010</v>
      </c>
      <c r="C507" s="958" t="s">
        <v>28009</v>
      </c>
      <c r="D507" s="759"/>
      <c r="E507" s="116">
        <v>210</v>
      </c>
      <c r="F507" s="116">
        <v>150</v>
      </c>
      <c r="H507" s="2464"/>
      <c r="I507" s="2464"/>
      <c r="J507" s="2465"/>
      <c r="K507" s="2465"/>
      <c r="L507" s="1" t="s">
        <v>53</v>
      </c>
      <c r="N507" s="166"/>
      <c r="O507" s="166"/>
      <c r="P507" s="166"/>
      <c r="Q507" s="61"/>
      <c r="R507" s="2501" t="str">
        <f t="shared" si="163"/>
        <v>4002049</v>
      </c>
      <c r="S507" s="2502">
        <f t="shared" ref="S507:S510" si="165">D507</f>
        <v>0</v>
      </c>
      <c r="T507" s="2503" t="s">
        <v>53</v>
      </c>
      <c r="V507" s="1">
        <v>1</v>
      </c>
    </row>
    <row r="508" spans="1:36" ht="18" customHeight="1" x14ac:dyDescent="0.2">
      <c r="A508" s="193">
        <f t="shared" si="158"/>
        <v>0</v>
      </c>
      <c r="B508" s="758" t="s">
        <v>28011</v>
      </c>
      <c r="C508" s="958"/>
      <c r="D508" s="759"/>
      <c r="E508" s="116">
        <v>210</v>
      </c>
      <c r="F508" s="116">
        <v>150</v>
      </c>
      <c r="H508" s="2464"/>
      <c r="I508" s="2464"/>
      <c r="J508" s="2465"/>
      <c r="K508" s="2465"/>
      <c r="L508" s="1" t="s">
        <v>53</v>
      </c>
      <c r="N508" s="166"/>
      <c r="O508" s="166"/>
      <c r="P508" s="166"/>
      <c r="Q508" s="61"/>
      <c r="R508" s="2501">
        <f t="shared" si="163"/>
        <v>0</v>
      </c>
      <c r="S508" s="2502">
        <f t="shared" si="165"/>
        <v>0</v>
      </c>
      <c r="T508" s="2503" t="s">
        <v>53</v>
      </c>
      <c r="V508" s="1">
        <v>1</v>
      </c>
    </row>
    <row r="509" spans="1:36" ht="18" customHeight="1" x14ac:dyDescent="0.2">
      <c r="A509" s="193">
        <f t="shared" si="158"/>
        <v>0</v>
      </c>
      <c r="B509" s="758" t="s">
        <v>28012</v>
      </c>
      <c r="C509" s="958"/>
      <c r="D509" s="759"/>
      <c r="E509" s="116">
        <v>210</v>
      </c>
      <c r="F509" s="116">
        <v>150</v>
      </c>
      <c r="H509" s="2464"/>
      <c r="I509" s="2464"/>
      <c r="J509" s="2465"/>
      <c r="K509" s="2465"/>
      <c r="L509" s="1" t="s">
        <v>53</v>
      </c>
      <c r="N509" s="166"/>
      <c r="O509" s="166"/>
      <c r="P509" s="166"/>
      <c r="Q509" s="61"/>
      <c r="R509" s="2501">
        <f t="shared" si="163"/>
        <v>0</v>
      </c>
      <c r="S509" s="2502">
        <f t="shared" si="165"/>
        <v>0</v>
      </c>
      <c r="T509" s="2503" t="s">
        <v>53</v>
      </c>
      <c r="V509" s="1">
        <v>1</v>
      </c>
    </row>
    <row r="510" spans="1:36" ht="18" customHeight="1" x14ac:dyDescent="0.2">
      <c r="A510" s="193">
        <f t="shared" si="158"/>
        <v>0</v>
      </c>
      <c r="B510" s="758" t="s">
        <v>28013</v>
      </c>
      <c r="C510" s="958"/>
      <c r="D510" s="759"/>
      <c r="E510" s="116">
        <v>210</v>
      </c>
      <c r="F510" s="116">
        <v>150</v>
      </c>
      <c r="H510" s="2464"/>
      <c r="I510" s="2464"/>
      <c r="J510" s="2465"/>
      <c r="K510" s="2465"/>
      <c r="L510" s="1" t="s">
        <v>53</v>
      </c>
      <c r="N510" s="166"/>
      <c r="O510" s="166"/>
      <c r="P510" s="166"/>
      <c r="Q510" s="61"/>
      <c r="R510" s="2501">
        <f t="shared" si="163"/>
        <v>0</v>
      </c>
      <c r="S510" s="2502">
        <f t="shared" si="165"/>
        <v>0</v>
      </c>
      <c r="T510" s="2503" t="s">
        <v>53</v>
      </c>
      <c r="V510" s="1">
        <v>1</v>
      </c>
    </row>
    <row r="511" spans="1:36" s="1091" customFormat="1" ht="18" customHeight="1" x14ac:dyDescent="0.2">
      <c r="A511" s="1308">
        <f>IF(SUM(A507:A510)&gt;0,VLOOKUP(SUM(A507:A510),A507:C510,1,FALSE),0)</f>
        <v>0</v>
      </c>
      <c r="B511" s="1097">
        <f>IF(SUM(A507:A510)&gt;0,VLOOKUP(SUM(A507:A510),A507:C510,2,FALSE),0)</f>
        <v>0</v>
      </c>
      <c r="C511" s="1088">
        <f>IF(SUM(A507:A510)&gt;0,VLOOKUP(SUM(A507:A510),A507:C510,3,FALSE),0)</f>
        <v>0</v>
      </c>
      <c r="D511" s="1089"/>
      <c r="E511" s="1090"/>
      <c r="F511" s="1090"/>
      <c r="G511" s="1092"/>
      <c r="H511" s="2467"/>
      <c r="I511" s="2467"/>
      <c r="J511" s="2468"/>
      <c r="K511" s="2468"/>
      <c r="L511" s="1090"/>
      <c r="M511" s="1090"/>
      <c r="N511" s="1093"/>
      <c r="O511" s="1093"/>
      <c r="P511" s="1093"/>
      <c r="Q511" s="2453"/>
      <c r="R511" s="2505">
        <f t="shared" si="163"/>
        <v>0</v>
      </c>
      <c r="S511" s="2506"/>
      <c r="T511" s="2506"/>
      <c r="V511" s="1090"/>
      <c r="Y511" s="1090"/>
      <c r="AC511" s="155"/>
      <c r="AD511" s="1"/>
      <c r="AE511" s="1"/>
      <c r="AF511" s="1094"/>
      <c r="AG511" s="1090"/>
      <c r="AH511" s="1095"/>
      <c r="AI511" s="1571"/>
      <c r="AJ511" s="1090"/>
    </row>
    <row r="512" spans="1:36" ht="18" customHeight="1" x14ac:dyDescent="0.2">
      <c r="B512" s="13" t="s">
        <v>30469</v>
      </c>
      <c r="C512" s="682" t="s">
        <v>30470</v>
      </c>
      <c r="D512" s="1">
        <f>IF((C3+C4)=0,C2,0)</f>
        <v>1</v>
      </c>
      <c r="E512" s="1">
        <v>80</v>
      </c>
      <c r="F512" s="1">
        <v>160</v>
      </c>
      <c r="G512" s="118">
        <v>0.75</v>
      </c>
      <c r="H512" s="2464">
        <f t="shared" ref="H512:H516" si="166">E512*F512/1000/1000</f>
        <v>1.2800000000000001E-2</v>
      </c>
      <c r="I512" s="2464"/>
      <c r="J512" s="2465">
        <v>7.4999999999999997E-2</v>
      </c>
      <c r="K512" s="2465">
        <f t="shared" ref="K512:K525" si="167">D512*J512</f>
        <v>7.4999999999999997E-2</v>
      </c>
      <c r="L512" s="1" t="s">
        <v>53</v>
      </c>
      <c r="Q512" s="36"/>
      <c r="R512" s="2501" t="str">
        <f t="shared" si="163"/>
        <v>0308475</v>
      </c>
      <c r="S512" s="2502">
        <f t="shared" ref="S512:S513" si="168">D512</f>
        <v>1</v>
      </c>
      <c r="T512" s="2503" t="s">
        <v>53</v>
      </c>
      <c r="V512" s="1">
        <v>1</v>
      </c>
      <c r="AE512" s="1">
        <v>1</v>
      </c>
    </row>
    <row r="513" spans="2:31" ht="18" customHeight="1" x14ac:dyDescent="0.2">
      <c r="B513" s="13" t="s">
        <v>30468</v>
      </c>
      <c r="C513" s="682" t="s">
        <v>30471</v>
      </c>
      <c r="D513" s="1">
        <f>IF((C3+C4)=0,C1,0)</f>
        <v>0</v>
      </c>
      <c r="E513" s="1">
        <v>80</v>
      </c>
      <c r="F513" s="1">
        <v>160</v>
      </c>
      <c r="G513" s="118">
        <v>0.75</v>
      </c>
      <c r="H513" s="2464">
        <f t="shared" si="166"/>
        <v>1.2800000000000001E-2</v>
      </c>
      <c r="I513" s="2464"/>
      <c r="J513" s="2465">
        <v>7.4999999999999997E-2</v>
      </c>
      <c r="K513" s="2465">
        <f t="shared" si="167"/>
        <v>0</v>
      </c>
      <c r="L513" s="1" t="s">
        <v>53</v>
      </c>
      <c r="Q513" s="36"/>
      <c r="R513" s="2501" t="str">
        <f t="shared" si="163"/>
        <v>0338475</v>
      </c>
      <c r="S513" s="2502">
        <f t="shared" si="168"/>
        <v>0</v>
      </c>
      <c r="T513" s="2503" t="s">
        <v>53</v>
      </c>
      <c r="V513" s="1">
        <v>1</v>
      </c>
      <c r="AE513" s="1">
        <v>1</v>
      </c>
    </row>
    <row r="514" spans="2:31" ht="18" customHeight="1" x14ac:dyDescent="0.2">
      <c r="B514" s="13" t="s">
        <v>31496</v>
      </c>
      <c r="C514" s="682" t="s">
        <v>31497</v>
      </c>
      <c r="D514" s="1">
        <f>IF(D65=1,1,0)</f>
        <v>0</v>
      </c>
      <c r="E514" s="1">
        <f>IF(Dateneingabe!F22+140&lt;0,0,Dateneingabe!F22+140)</f>
        <v>1040</v>
      </c>
      <c r="F514" s="1">
        <v>281.05</v>
      </c>
      <c r="G514" s="118">
        <v>1.5</v>
      </c>
      <c r="H514" s="2464">
        <f t="shared" si="166"/>
        <v>0.292292</v>
      </c>
      <c r="I514" s="2464"/>
      <c r="J514" s="2465">
        <f t="shared" ref="J514" si="169">G514*7.85*H514</f>
        <v>3.4417382999999995</v>
      </c>
      <c r="K514" s="2465">
        <f t="shared" si="167"/>
        <v>0</v>
      </c>
      <c r="L514" s="1" t="s">
        <v>53</v>
      </c>
      <c r="Q514" s="36"/>
      <c r="R514" s="2637" t="s">
        <v>31498</v>
      </c>
      <c r="S514" s="2498">
        <f t="shared" ref="S514" si="170">D514*(E514/1000)*(F514/1000)</f>
        <v>0</v>
      </c>
      <c r="T514" s="2499" t="s">
        <v>28181</v>
      </c>
      <c r="V514" s="1">
        <v>1</v>
      </c>
      <c r="Y514" s="1">
        <v>1</v>
      </c>
      <c r="AE514" s="1">
        <v>1</v>
      </c>
    </row>
    <row r="515" spans="2:31" ht="18" customHeight="1" x14ac:dyDescent="0.2">
      <c r="B515" s="135" t="s">
        <v>30268</v>
      </c>
      <c r="C515" s="853"/>
      <c r="F515" s="1"/>
      <c r="H515" s="2464"/>
      <c r="I515" s="2464"/>
      <c r="J515" s="2465"/>
      <c r="K515" s="2465"/>
      <c r="Q515" s="36"/>
      <c r="R515" s="2504">
        <f t="shared" si="163"/>
        <v>0</v>
      </c>
      <c r="S515" s="2493"/>
      <c r="T515" s="2493"/>
    </row>
    <row r="516" spans="2:31" ht="18" customHeight="1" x14ac:dyDescent="0.2">
      <c r="B516" t="s">
        <v>30269</v>
      </c>
      <c r="C516" s="682" t="s">
        <v>20316</v>
      </c>
      <c r="D516" s="1">
        <f>Dateneingabe!H184*0.1</f>
        <v>0</v>
      </c>
      <c r="F516" s="1"/>
      <c r="H516" s="2464">
        <f t="shared" si="166"/>
        <v>0</v>
      </c>
      <c r="I516" s="2464"/>
      <c r="J516" s="2465"/>
      <c r="K516" s="2465">
        <f t="shared" si="167"/>
        <v>0</v>
      </c>
      <c r="L516" s="116" t="s">
        <v>30273</v>
      </c>
      <c r="Q516" s="36"/>
      <c r="R516" s="2501" t="str">
        <f t="shared" si="163"/>
        <v>0902023</v>
      </c>
      <c r="S516" s="2502">
        <f t="shared" ref="S516:S525" si="171">D516</f>
        <v>0</v>
      </c>
      <c r="T516" s="2503" t="str">
        <f t="shared" ref="T516:T525" si="172">L516</f>
        <v>KG</v>
      </c>
      <c r="V516" s="1">
        <v>1</v>
      </c>
    </row>
    <row r="517" spans="2:31" ht="18" customHeight="1" x14ac:dyDescent="0.2">
      <c r="B517" t="s">
        <v>30270</v>
      </c>
      <c r="C517" s="682" t="s">
        <v>20318</v>
      </c>
      <c r="D517" s="1">
        <f>Dateneingabe!H184*0.1</f>
        <v>0</v>
      </c>
      <c r="F517" s="1"/>
      <c r="H517" s="2464">
        <f t="shared" ref="H517" si="173">E517*F517/1000/1000</f>
        <v>0</v>
      </c>
      <c r="I517" s="2464"/>
      <c r="J517" s="2465"/>
      <c r="K517" s="2465">
        <f t="shared" si="167"/>
        <v>0</v>
      </c>
      <c r="L517" s="116" t="s">
        <v>30273</v>
      </c>
      <c r="Q517" s="36"/>
      <c r="R517" s="2501" t="str">
        <f t="shared" si="163"/>
        <v>0902024</v>
      </c>
      <c r="S517" s="2502">
        <f t="shared" si="171"/>
        <v>0</v>
      </c>
      <c r="T517" s="2503" t="str">
        <f t="shared" si="172"/>
        <v>KG</v>
      </c>
      <c r="V517" s="1">
        <v>1</v>
      </c>
    </row>
    <row r="518" spans="2:31" ht="18" customHeight="1" x14ac:dyDescent="0.2">
      <c r="B518" s="13" t="s">
        <v>30271</v>
      </c>
      <c r="C518" s="682" t="s">
        <v>552</v>
      </c>
      <c r="D518" s="2003">
        <f>Dateneingabe!H44</f>
        <v>0</v>
      </c>
      <c r="F518" s="1"/>
      <c r="H518" s="2464">
        <f t="shared" ref="H518" si="174">E518*F518/1000/1000</f>
        <v>0</v>
      </c>
      <c r="I518" s="2464"/>
      <c r="J518" s="2465"/>
      <c r="K518" s="2465">
        <f t="shared" si="167"/>
        <v>0</v>
      </c>
      <c r="L518" s="116" t="s">
        <v>53</v>
      </c>
      <c r="Q518" s="36"/>
      <c r="R518" s="2501" t="str">
        <f t="shared" ref="R518:R525" si="175">C518</f>
        <v>0902030</v>
      </c>
      <c r="S518" s="2502">
        <f t="shared" si="171"/>
        <v>0</v>
      </c>
      <c r="T518" s="2503" t="str">
        <f t="shared" si="172"/>
        <v>Stk</v>
      </c>
      <c r="V518" s="1">
        <v>0</v>
      </c>
      <c r="AE518" s="1">
        <v>1</v>
      </c>
    </row>
    <row r="519" spans="2:31" ht="18" customHeight="1" x14ac:dyDescent="0.2">
      <c r="B519" s="13" t="s">
        <v>30272</v>
      </c>
      <c r="C519" s="682" t="s">
        <v>623</v>
      </c>
      <c r="D519" s="1">
        <f>Dateneingabe!H184</f>
        <v>0</v>
      </c>
      <c r="F519" s="1"/>
      <c r="H519" s="2464">
        <f t="shared" ref="H519:H520" si="176">E519*F519/1000/1000</f>
        <v>0</v>
      </c>
      <c r="I519" s="2464"/>
      <c r="J519" s="2465"/>
      <c r="K519" s="2465">
        <f t="shared" si="167"/>
        <v>0</v>
      </c>
      <c r="L519" s="116" t="s">
        <v>53</v>
      </c>
      <c r="Q519" s="36"/>
      <c r="R519" s="2501" t="str">
        <f t="shared" si="175"/>
        <v>0306392</v>
      </c>
      <c r="S519" s="2502">
        <f t="shared" si="171"/>
        <v>0</v>
      </c>
      <c r="T519" s="2503" t="str">
        <f t="shared" si="172"/>
        <v>Stk</v>
      </c>
      <c r="V519" s="1">
        <v>0</v>
      </c>
      <c r="AE519" s="1">
        <v>1</v>
      </c>
    </row>
    <row r="520" spans="2:31" ht="18" customHeight="1" x14ac:dyDescent="0.2">
      <c r="B520" s="13" t="s">
        <v>4909</v>
      </c>
      <c r="C520" s="682" t="s">
        <v>4908</v>
      </c>
      <c r="D520" s="1">
        <f>'Lager_&amp;_Montagematerial'!H136</f>
        <v>0</v>
      </c>
      <c r="F520" s="1"/>
      <c r="H520" s="2464">
        <f t="shared" si="176"/>
        <v>0</v>
      </c>
      <c r="I520" s="2464"/>
      <c r="J520" s="2465"/>
      <c r="K520" s="2465">
        <f t="shared" si="167"/>
        <v>0</v>
      </c>
      <c r="L520" s="116" t="s">
        <v>53</v>
      </c>
      <c r="Q520" s="36"/>
      <c r="R520" s="2501" t="str">
        <f t="shared" si="175"/>
        <v>0212010</v>
      </c>
      <c r="S520" s="2502">
        <f t="shared" ref="S520" si="177">D520</f>
        <v>0</v>
      </c>
      <c r="T520" s="2503" t="str">
        <f t="shared" ref="T520" si="178">L520</f>
        <v>Stk</v>
      </c>
      <c r="V520" s="1">
        <v>0</v>
      </c>
      <c r="AE520" s="1">
        <v>1</v>
      </c>
    </row>
    <row r="521" spans="2:31" ht="18" customHeight="1" x14ac:dyDescent="0.2">
      <c r="B521" s="13" t="s">
        <v>30626</v>
      </c>
      <c r="C521" s="682" t="s">
        <v>30449</v>
      </c>
      <c r="D521" s="1">
        <f>IF(OR(C4&gt;0,A4&gt;0),1,0)</f>
        <v>0</v>
      </c>
      <c r="F521" s="1"/>
      <c r="H521" s="2464">
        <f t="shared" ref="H521:H525" si="179">E521*F521/1000/1000</f>
        <v>0</v>
      </c>
      <c r="I521" s="2464"/>
      <c r="J521" s="2465"/>
      <c r="K521" s="2465">
        <f t="shared" si="167"/>
        <v>0</v>
      </c>
      <c r="L521" s="116" t="s">
        <v>53</v>
      </c>
      <c r="Q521" s="36"/>
      <c r="R521" s="2501" t="str">
        <f t="shared" si="175"/>
        <v>0140076</v>
      </c>
      <c r="S521" s="2502">
        <f t="shared" si="171"/>
        <v>0</v>
      </c>
      <c r="T521" s="2503" t="str">
        <f t="shared" si="172"/>
        <v>Stk</v>
      </c>
      <c r="V521" s="1">
        <v>0</v>
      </c>
      <c r="AE521" s="1">
        <v>1</v>
      </c>
    </row>
    <row r="522" spans="2:31" ht="18" customHeight="1" x14ac:dyDescent="0.2">
      <c r="B522" s="13" t="s">
        <v>30554</v>
      </c>
      <c r="C522" s="682" t="s">
        <v>30627</v>
      </c>
      <c r="D522" s="1">
        <f>(D521*5)+IF(D523&gt;0,20,0)</f>
        <v>0</v>
      </c>
      <c r="F522" s="1"/>
      <c r="H522" s="2464">
        <f t="shared" si="179"/>
        <v>0</v>
      </c>
      <c r="I522" s="2464"/>
      <c r="J522" s="2465"/>
      <c r="K522" s="2465">
        <f t="shared" si="167"/>
        <v>0</v>
      </c>
      <c r="L522" s="116" t="s">
        <v>53</v>
      </c>
      <c r="Q522" s="36"/>
      <c r="R522" s="2501" t="str">
        <f t="shared" si="175"/>
        <v>7402006</v>
      </c>
      <c r="S522" s="2502">
        <f t="shared" si="171"/>
        <v>0</v>
      </c>
      <c r="T522" s="2503" t="str">
        <f t="shared" si="172"/>
        <v>Stk</v>
      </c>
      <c r="V522" s="1">
        <v>0</v>
      </c>
      <c r="AE522" s="1">
        <v>1</v>
      </c>
    </row>
    <row r="523" spans="2:31" ht="18" customHeight="1" x14ac:dyDescent="0.2">
      <c r="B523" s="13" t="s">
        <v>30625</v>
      </c>
      <c r="C523" s="682" t="s">
        <v>30628</v>
      </c>
      <c r="D523" s="1">
        <f>IF(C4&gt;0,ROUNDUP(G1/1000/4*A182,0))+IF(A4&gt;0,ROUNDUP(G1/1000/4*A185,0),0)</f>
        <v>0</v>
      </c>
      <c r="F523" s="1"/>
      <c r="H523" s="2464">
        <f t="shared" si="179"/>
        <v>0</v>
      </c>
      <c r="I523" s="2464"/>
      <c r="J523" s="2465"/>
      <c r="K523" s="2465">
        <f t="shared" si="167"/>
        <v>0</v>
      </c>
      <c r="L523" s="116" t="s">
        <v>53</v>
      </c>
      <c r="Q523" s="36"/>
      <c r="R523" s="2501" t="str">
        <f t="shared" si="175"/>
        <v>0140077</v>
      </c>
      <c r="S523" s="2502">
        <f t="shared" si="171"/>
        <v>0</v>
      </c>
      <c r="T523" s="2503" t="str">
        <f t="shared" si="172"/>
        <v>Stk</v>
      </c>
      <c r="V523" s="1">
        <v>0</v>
      </c>
      <c r="AE523" s="1">
        <v>1</v>
      </c>
    </row>
    <row r="524" spans="2:31" ht="18" customHeight="1" x14ac:dyDescent="0.2">
      <c r="B524" s="13" t="s">
        <v>30624</v>
      </c>
      <c r="C524" s="682" t="s">
        <v>30629</v>
      </c>
      <c r="D524" s="1">
        <f>ROUNDUP(D523/2,0)</f>
        <v>0</v>
      </c>
      <c r="F524" s="1"/>
      <c r="H524" s="2464">
        <f t="shared" si="179"/>
        <v>0</v>
      </c>
      <c r="I524" s="2464"/>
      <c r="J524" s="2465"/>
      <c r="K524" s="2465">
        <f t="shared" si="167"/>
        <v>0</v>
      </c>
      <c r="L524" s="116" t="s">
        <v>53</v>
      </c>
      <c r="Q524" s="36"/>
      <c r="R524" s="2501" t="str">
        <f t="shared" si="175"/>
        <v>7301008</v>
      </c>
      <c r="S524" s="2502">
        <f t="shared" si="171"/>
        <v>0</v>
      </c>
      <c r="T524" s="2503" t="str">
        <f t="shared" si="172"/>
        <v>Stk</v>
      </c>
      <c r="V524" s="1">
        <v>0</v>
      </c>
      <c r="AE524" s="1">
        <v>1</v>
      </c>
    </row>
    <row r="525" spans="2:31" ht="18" customHeight="1" x14ac:dyDescent="0.2">
      <c r="B525" s="13" t="s">
        <v>30623</v>
      </c>
      <c r="C525" s="682" t="s">
        <v>30630</v>
      </c>
      <c r="D525" s="1">
        <f>IF(D523&gt;0,1,0)</f>
        <v>0</v>
      </c>
      <c r="F525" s="1"/>
      <c r="H525" s="2464">
        <f t="shared" si="179"/>
        <v>0</v>
      </c>
      <c r="I525" s="2464"/>
      <c r="J525" s="2465"/>
      <c r="K525" s="2465">
        <f t="shared" si="167"/>
        <v>0</v>
      </c>
      <c r="L525" s="116" t="s">
        <v>53</v>
      </c>
      <c r="Q525" s="36"/>
      <c r="R525" s="2501" t="str">
        <f t="shared" si="175"/>
        <v>7001300</v>
      </c>
      <c r="S525" s="2502">
        <f t="shared" si="171"/>
        <v>0</v>
      </c>
      <c r="T525" s="2503" t="str">
        <f t="shared" si="172"/>
        <v>Stk</v>
      </c>
      <c r="V525" s="1">
        <v>0</v>
      </c>
      <c r="AE525" s="1">
        <v>1</v>
      </c>
    </row>
    <row r="526" spans="2:31" ht="18" customHeight="1" x14ac:dyDescent="0.2">
      <c r="B526" s="135" t="s">
        <v>30360</v>
      </c>
      <c r="C526" s="682"/>
      <c r="F526" s="1"/>
      <c r="H526" s="2464"/>
      <c r="I526" s="2464"/>
      <c r="J526" s="2465"/>
      <c r="K526" s="2465"/>
      <c r="L526" s="116"/>
      <c r="Q526" s="36"/>
      <c r="R526" s="2504">
        <f>C526</f>
        <v>0</v>
      </c>
      <c r="S526" s="2493"/>
      <c r="T526" s="2493"/>
    </row>
    <row r="527" spans="2:31" ht="18" customHeight="1" x14ac:dyDescent="0.2">
      <c r="B527" s="336" t="s">
        <v>31440</v>
      </c>
      <c r="C527" s="682" t="s">
        <v>31439</v>
      </c>
      <c r="D527" s="1">
        <v>1</v>
      </c>
      <c r="F527" s="1"/>
      <c r="H527" s="2464"/>
      <c r="I527" s="2464"/>
      <c r="J527" s="2465"/>
      <c r="K527" s="2465"/>
      <c r="L527" s="116" t="s">
        <v>53</v>
      </c>
      <c r="Q527" s="36"/>
      <c r="R527" s="2501" t="str">
        <f t="shared" ref="R527" si="180">C527</f>
        <v>520GCC</v>
      </c>
      <c r="S527" s="2502">
        <f t="shared" ref="S527" si="181">D527</f>
        <v>1</v>
      </c>
      <c r="T527" s="2503" t="str">
        <f t="shared" ref="T527" si="182">L527</f>
        <v>Stk</v>
      </c>
      <c r="V527" s="1">
        <v>1</v>
      </c>
    </row>
    <row r="528" spans="2:31" ht="18" customHeight="1" x14ac:dyDescent="0.2">
      <c r="B528" t="s">
        <v>30361</v>
      </c>
      <c r="C528" s="682" t="s">
        <v>30362</v>
      </c>
      <c r="D528" s="1">
        <f>IF(Lackliste!$O$12&lt;10,Lackliste!$O$12,0)</f>
        <v>0</v>
      </c>
      <c r="F528" s="1"/>
      <c r="H528" s="2464"/>
      <c r="I528" s="2464"/>
      <c r="J528" s="2465"/>
      <c r="K528" s="2465"/>
      <c r="L528" s="116" t="s">
        <v>10</v>
      </c>
      <c r="Q528" s="36"/>
      <c r="R528" s="2501" t="str">
        <f t="shared" ref="R528:R529" si="183">C528</f>
        <v>7777000</v>
      </c>
      <c r="S528" s="2502">
        <f t="shared" ref="S528:S529" si="184">D528</f>
        <v>0</v>
      </c>
      <c r="T528" s="2503" t="str">
        <f t="shared" ref="T528:T529" si="185">L528</f>
        <v>M2</v>
      </c>
    </row>
    <row r="529" spans="1:36" ht="18" customHeight="1" x14ac:dyDescent="0.2">
      <c r="B529" t="s">
        <v>30363</v>
      </c>
      <c r="C529" s="682" t="s">
        <v>30364</v>
      </c>
      <c r="D529" s="1">
        <f>IF(Lackliste!$O$12&gt;=10,Lackliste!$O$12,0)</f>
        <v>0</v>
      </c>
      <c r="F529" s="1"/>
      <c r="H529" s="2464"/>
      <c r="I529" s="2464"/>
      <c r="J529" s="2465"/>
      <c r="K529" s="2465"/>
      <c r="L529" s="116" t="s">
        <v>10</v>
      </c>
      <c r="Q529" s="36"/>
      <c r="R529" s="2501" t="str">
        <f t="shared" si="183"/>
        <v>7777001</v>
      </c>
      <c r="S529" s="2502">
        <f t="shared" si="184"/>
        <v>0</v>
      </c>
      <c r="T529" s="2503" t="str">
        <f t="shared" si="185"/>
        <v>M2</v>
      </c>
    </row>
    <row r="530" spans="1:36" s="2133" customFormat="1" ht="18" customHeight="1" x14ac:dyDescent="0.2">
      <c r="A530" s="2128"/>
      <c r="B530" s="2129"/>
      <c r="C530" s="2130"/>
      <c r="D530" s="2131"/>
      <c r="E530" s="2131"/>
      <c r="F530" s="2131"/>
      <c r="G530" s="2132"/>
      <c r="H530" s="2480"/>
      <c r="I530" s="2480"/>
      <c r="J530" s="2481"/>
      <c r="K530" s="2481"/>
      <c r="L530" s="2131"/>
      <c r="M530" s="2131"/>
      <c r="N530" s="2131"/>
      <c r="O530" s="2131"/>
      <c r="P530" s="2131"/>
      <c r="Q530" s="2461"/>
      <c r="R530" s="2519"/>
      <c r="S530" s="2520"/>
      <c r="T530" s="2520"/>
      <c r="U530" s="2131"/>
      <c r="V530" s="2131"/>
      <c r="X530" s="2131"/>
      <c r="Y530" s="2131"/>
      <c r="AC530" s="2131"/>
      <c r="AD530" s="2131"/>
      <c r="AE530" s="2131"/>
      <c r="AF530" s="2134"/>
      <c r="AG530" s="2131"/>
      <c r="AH530" s="2131"/>
      <c r="AI530" s="2128"/>
      <c r="AJ530" s="2131"/>
    </row>
    <row r="531" spans="1:36" ht="18" customHeight="1" x14ac:dyDescent="0.2">
      <c r="B531" s="3"/>
      <c r="C531" s="853"/>
      <c r="F531" s="1"/>
      <c r="H531" s="2464"/>
      <c r="I531" s="2464"/>
      <c r="J531" s="2465"/>
      <c r="K531" s="2465"/>
      <c r="Q531" s="36"/>
      <c r="R531" s="2501"/>
      <c r="S531" s="2502"/>
      <c r="T531" s="2503"/>
    </row>
    <row r="532" spans="1:36" ht="18" customHeight="1" x14ac:dyDescent="0.2">
      <c r="B532" s="3"/>
      <c r="C532" s="853"/>
      <c r="F532" s="1"/>
      <c r="H532" s="2464"/>
      <c r="I532" s="2464"/>
      <c r="J532" s="2465"/>
      <c r="K532" s="2465"/>
      <c r="Q532" s="36"/>
      <c r="R532" s="2501"/>
      <c r="S532" s="2502"/>
      <c r="T532" s="2503"/>
    </row>
    <row r="533" spans="1:36" ht="18" customHeight="1" x14ac:dyDescent="0.2">
      <c r="B533" s="3"/>
      <c r="C533" s="853"/>
      <c r="F533" s="1"/>
      <c r="H533" s="2464"/>
      <c r="I533" s="2464"/>
      <c r="J533" s="2465"/>
      <c r="K533" s="2465"/>
      <c r="Q533" s="36"/>
      <c r="R533" s="2504"/>
      <c r="S533" s="2493"/>
      <c r="T533" s="2493"/>
    </row>
    <row r="534" spans="1:36" ht="18" customHeight="1" x14ac:dyDescent="0.2">
      <c r="B534" s="3"/>
      <c r="C534" s="853"/>
      <c r="F534" s="1"/>
      <c r="H534" s="2464"/>
      <c r="I534" s="2464"/>
      <c r="J534" s="2465"/>
      <c r="K534" s="2465"/>
      <c r="Q534" s="36"/>
      <c r="R534" s="2501"/>
      <c r="S534" s="2502"/>
      <c r="T534" s="2503"/>
    </row>
    <row r="535" spans="1:36" ht="18" customHeight="1" x14ac:dyDescent="0.2">
      <c r="B535" s="3"/>
      <c r="C535" s="853"/>
      <c r="F535" s="1"/>
      <c r="H535" s="2464"/>
      <c r="I535" s="2464"/>
      <c r="J535" s="2465"/>
      <c r="K535" s="2465"/>
      <c r="Q535" s="36"/>
      <c r="R535" s="2501"/>
      <c r="S535" s="2502"/>
      <c r="T535" s="2503"/>
    </row>
    <row r="536" spans="1:36" ht="18" customHeight="1" x14ac:dyDescent="0.2">
      <c r="B536" s="3"/>
      <c r="C536" s="853"/>
      <c r="F536" s="1"/>
      <c r="H536" s="2464"/>
      <c r="I536" s="2464"/>
      <c r="J536" s="2465"/>
      <c r="K536" s="2465"/>
      <c r="Q536" s="36"/>
      <c r="R536" s="2501"/>
      <c r="S536" s="2502"/>
      <c r="T536" s="2503"/>
    </row>
    <row r="537" spans="1:36" ht="18" customHeight="1" x14ac:dyDescent="0.2">
      <c r="B537" s="3"/>
      <c r="C537" s="853"/>
      <c r="F537" s="1"/>
      <c r="H537" s="2464"/>
      <c r="I537" s="2464"/>
      <c r="J537" s="2465"/>
      <c r="K537" s="2465"/>
      <c r="Q537" s="36"/>
      <c r="R537" s="2504"/>
      <c r="S537" s="2493"/>
      <c r="T537" s="2493"/>
    </row>
    <row r="538" spans="1:36" ht="18" customHeight="1" x14ac:dyDescent="0.2">
      <c r="A538"/>
      <c r="B538" s="3"/>
      <c r="C538" s="853"/>
      <c r="F538" s="1"/>
      <c r="H538" s="2464"/>
      <c r="I538" s="2464"/>
      <c r="J538" s="2465"/>
      <c r="K538" s="2465"/>
      <c r="Q538" s="36"/>
      <c r="R538" s="2501"/>
      <c r="S538" s="2502"/>
      <c r="T538" s="2503"/>
      <c r="AF538"/>
      <c r="AG538"/>
      <c r="AH538"/>
    </row>
    <row r="539" spans="1:36" ht="18" customHeight="1" x14ac:dyDescent="0.2">
      <c r="A539"/>
      <c r="B539" s="3"/>
      <c r="C539" s="853"/>
      <c r="F539" s="1"/>
      <c r="H539" s="2464"/>
      <c r="I539" s="2464"/>
      <c r="J539" s="2465"/>
      <c r="K539" s="2465"/>
      <c r="Q539" s="36"/>
      <c r="R539" s="2501"/>
      <c r="S539" s="2502"/>
      <c r="T539" s="2503"/>
      <c r="AF539"/>
      <c r="AG539"/>
      <c r="AH539"/>
    </row>
    <row r="540" spans="1:36" ht="18" customHeight="1" x14ac:dyDescent="0.2">
      <c r="A540"/>
      <c r="B540" s="3"/>
      <c r="C540" s="853"/>
      <c r="F540" s="1"/>
      <c r="H540" s="2464"/>
      <c r="I540" s="2464"/>
      <c r="J540" s="2465"/>
      <c r="K540" s="2465"/>
      <c r="Q540" s="36"/>
      <c r="R540" s="2501"/>
      <c r="S540" s="2502"/>
      <c r="T540" s="2503"/>
      <c r="AF540"/>
      <c r="AG540"/>
      <c r="AH540"/>
    </row>
    <row r="541" spans="1:36" ht="18" customHeight="1" x14ac:dyDescent="0.2">
      <c r="A541"/>
      <c r="B541" s="3"/>
      <c r="C541" s="853"/>
      <c r="F541" s="1"/>
      <c r="H541" s="2464"/>
      <c r="I541" s="2464"/>
      <c r="J541" s="2465"/>
      <c r="K541" s="2465"/>
      <c r="Q541" s="36"/>
      <c r="R541" s="2501"/>
      <c r="S541" s="2502"/>
      <c r="T541" s="2503"/>
      <c r="AF541"/>
      <c r="AG541"/>
      <c r="AH541"/>
    </row>
    <row r="542" spans="1:36" ht="18" customHeight="1" x14ac:dyDescent="0.2">
      <c r="A542"/>
      <c r="B542" s="3"/>
      <c r="C542" s="853"/>
      <c r="F542" s="1"/>
      <c r="H542" s="2464"/>
      <c r="I542" s="2464"/>
      <c r="J542" s="2465"/>
      <c r="K542" s="2465"/>
      <c r="Q542" s="36"/>
      <c r="R542" s="2501"/>
      <c r="S542" s="2502"/>
      <c r="T542" s="2503"/>
      <c r="AF542"/>
      <c r="AG542"/>
      <c r="AH542"/>
    </row>
    <row r="543" spans="1:36" ht="18" customHeight="1" x14ac:dyDescent="0.2">
      <c r="A543"/>
      <c r="B543" s="3"/>
      <c r="C543" s="853"/>
      <c r="F543" s="1"/>
      <c r="H543" s="2464"/>
      <c r="I543" s="2464"/>
      <c r="J543" s="2465"/>
      <c r="K543" s="2465"/>
      <c r="Q543" s="36"/>
      <c r="R543" s="2501"/>
      <c r="S543" s="2502"/>
      <c r="T543" s="2503"/>
      <c r="AF543"/>
      <c r="AG543"/>
      <c r="AH543"/>
    </row>
    <row r="544" spans="1:36" ht="18" customHeight="1" x14ac:dyDescent="0.2">
      <c r="A544"/>
      <c r="B544" s="3"/>
      <c r="C544" s="853"/>
      <c r="F544" s="1"/>
      <c r="H544" s="2464"/>
      <c r="I544" s="2464"/>
      <c r="J544" s="2465"/>
      <c r="K544" s="2465"/>
      <c r="Q544" s="36"/>
      <c r="R544" s="2501"/>
      <c r="S544" s="2502"/>
      <c r="T544" s="2503"/>
      <c r="AF544"/>
      <c r="AG544"/>
      <c r="AH544"/>
    </row>
    <row r="545" spans="1:34" ht="18" customHeight="1" x14ac:dyDescent="0.2">
      <c r="A545"/>
      <c r="B545" s="3"/>
      <c r="C545" s="853"/>
      <c r="F545" s="1"/>
      <c r="H545" s="2464"/>
      <c r="I545" s="2464"/>
      <c r="J545" s="2465"/>
      <c r="K545" s="2465"/>
      <c r="Q545" s="36"/>
      <c r="R545" s="2501"/>
      <c r="S545" s="2502"/>
      <c r="T545" s="2503"/>
      <c r="AF545"/>
      <c r="AG545"/>
      <c r="AH545"/>
    </row>
    <row r="546" spans="1:34" ht="18" customHeight="1" x14ac:dyDescent="0.2">
      <c r="A546"/>
      <c r="B546" s="3"/>
      <c r="C546" s="853"/>
      <c r="F546" s="1"/>
      <c r="H546" s="2464"/>
      <c r="I546" s="2464"/>
      <c r="J546" s="2465"/>
      <c r="K546" s="2465"/>
      <c r="Q546" s="36"/>
      <c r="R546" s="2501"/>
      <c r="S546" s="2502"/>
      <c r="T546" s="2503"/>
      <c r="AF546"/>
      <c r="AG546"/>
      <c r="AH546"/>
    </row>
    <row r="547" spans="1:34" ht="18" customHeight="1" x14ac:dyDescent="0.2">
      <c r="A547"/>
      <c r="B547" s="3"/>
      <c r="C547" s="853"/>
      <c r="F547" s="1"/>
      <c r="H547" s="2464"/>
      <c r="I547" s="2464"/>
      <c r="J547" s="2465"/>
      <c r="K547" s="2465"/>
      <c r="Q547" s="36"/>
      <c r="R547" s="2504"/>
      <c r="S547" s="2493"/>
      <c r="T547" s="2493"/>
      <c r="AF547"/>
      <c r="AG547"/>
      <c r="AH547"/>
    </row>
    <row r="548" spans="1:34" ht="18" customHeight="1" x14ac:dyDescent="0.2">
      <c r="A548"/>
      <c r="B548" s="3"/>
      <c r="C548" s="853"/>
      <c r="F548" s="1"/>
      <c r="H548" s="2464"/>
      <c r="I548" s="2464"/>
      <c r="J548" s="2465"/>
      <c r="K548" s="2465"/>
      <c r="Q548" s="36"/>
      <c r="R548" s="2504"/>
      <c r="S548" s="2493"/>
      <c r="T548" s="2493"/>
      <c r="AF548"/>
      <c r="AG548"/>
      <c r="AH548"/>
    </row>
    <row r="549" spans="1:34" ht="18" customHeight="1" x14ac:dyDescent="0.2">
      <c r="A549"/>
      <c r="B549" s="3"/>
      <c r="C549" s="853"/>
      <c r="F549" s="1"/>
      <c r="H549" s="2464"/>
      <c r="I549" s="2464"/>
      <c r="J549" s="2465"/>
      <c r="K549" s="2465"/>
      <c r="Q549" s="36"/>
      <c r="R549" s="2504"/>
      <c r="S549" s="2493"/>
      <c r="T549" s="2493"/>
      <c r="AF549"/>
      <c r="AG549"/>
      <c r="AH549"/>
    </row>
    <row r="550" spans="1:34" ht="18" customHeight="1" x14ac:dyDescent="0.2">
      <c r="A550"/>
      <c r="B550" s="3"/>
      <c r="C550" s="853"/>
      <c r="F550" s="1"/>
      <c r="H550" s="2464"/>
      <c r="I550" s="2464"/>
      <c r="J550" s="2465"/>
      <c r="K550" s="2465"/>
      <c r="Q550" s="36"/>
      <c r="R550" s="2504"/>
      <c r="S550" s="2493"/>
      <c r="T550" s="2493"/>
      <c r="AF550"/>
      <c r="AG550"/>
      <c r="AH550"/>
    </row>
    <row r="551" spans="1:34" ht="18" customHeight="1" x14ac:dyDescent="0.2">
      <c r="A551"/>
      <c r="B551" s="3"/>
      <c r="C551" s="853"/>
      <c r="F551" s="1"/>
      <c r="H551" s="2464"/>
      <c r="I551" s="2464"/>
      <c r="J551" s="2465"/>
      <c r="K551" s="2465"/>
      <c r="Q551" s="36"/>
      <c r="R551" s="2501"/>
      <c r="S551" s="2502"/>
      <c r="T551" s="2503"/>
      <c r="AF551"/>
      <c r="AG551"/>
      <c r="AH551"/>
    </row>
    <row r="552" spans="1:34" ht="18" customHeight="1" x14ac:dyDescent="0.2">
      <c r="A552"/>
      <c r="B552" s="3"/>
      <c r="C552" s="853"/>
      <c r="F552" s="1"/>
      <c r="H552" s="2464"/>
      <c r="I552" s="2464"/>
      <c r="J552" s="2465"/>
      <c r="K552" s="2465"/>
      <c r="Q552" s="36"/>
      <c r="R552" s="2501"/>
      <c r="S552" s="2502"/>
      <c r="T552" s="2503"/>
      <c r="AF552"/>
      <c r="AG552"/>
      <c r="AH552"/>
    </row>
    <row r="553" spans="1:34" ht="18" customHeight="1" x14ac:dyDescent="0.2">
      <c r="A553"/>
      <c r="B553" s="3"/>
      <c r="C553" s="853"/>
      <c r="F553" s="1"/>
      <c r="H553" s="2464"/>
      <c r="I553" s="2464"/>
      <c r="J553" s="2465"/>
      <c r="K553" s="2465"/>
      <c r="Q553" s="36"/>
      <c r="R553" s="2504"/>
      <c r="S553" s="2493"/>
      <c r="T553" s="2493"/>
      <c r="AF553"/>
      <c r="AG553"/>
      <c r="AH553"/>
    </row>
    <row r="554" spans="1:34" ht="18" customHeight="1" x14ac:dyDescent="0.2">
      <c r="A554"/>
      <c r="B554" s="3"/>
      <c r="C554" s="853"/>
      <c r="F554" s="1"/>
      <c r="H554" s="2464"/>
      <c r="I554" s="2464"/>
      <c r="J554" s="2465"/>
      <c r="K554" s="2465"/>
      <c r="Q554" s="36"/>
      <c r="R554" s="2504"/>
      <c r="S554" s="2493"/>
      <c r="T554" s="2493"/>
      <c r="AF554"/>
      <c r="AG554"/>
      <c r="AH554"/>
    </row>
    <row r="555" spans="1:34" ht="18" customHeight="1" x14ac:dyDescent="0.2">
      <c r="A555"/>
      <c r="B555" s="3"/>
      <c r="C555" s="853"/>
      <c r="F555" s="1"/>
      <c r="H555" s="2464"/>
      <c r="I555" s="2464"/>
      <c r="J555" s="2465"/>
      <c r="K555" s="2465"/>
      <c r="Q555" s="36"/>
      <c r="R555" s="2501"/>
      <c r="S555" s="2502"/>
      <c r="T555" s="2503"/>
      <c r="AF555"/>
      <c r="AG555"/>
      <c r="AH555"/>
    </row>
    <row r="556" spans="1:34" ht="18" customHeight="1" x14ac:dyDescent="0.2">
      <c r="A556"/>
      <c r="B556" s="3"/>
      <c r="C556" s="853"/>
      <c r="F556" s="1"/>
      <c r="H556" s="2464"/>
      <c r="I556" s="2464"/>
      <c r="J556" s="2465"/>
      <c r="K556" s="2465"/>
      <c r="Q556" s="36"/>
      <c r="R556" s="2501"/>
      <c r="S556" s="2502"/>
      <c r="T556" s="2503"/>
      <c r="AF556"/>
      <c r="AG556"/>
      <c r="AH556"/>
    </row>
    <row r="557" spans="1:34" ht="18" customHeight="1" x14ac:dyDescent="0.2">
      <c r="A557"/>
      <c r="B557" s="3"/>
      <c r="C557" s="853"/>
      <c r="F557" s="1"/>
      <c r="H557" s="2464"/>
      <c r="I557" s="2464"/>
      <c r="J557" s="2465"/>
      <c r="K557" s="2465"/>
      <c r="Q557" s="36"/>
      <c r="R557" s="2501"/>
      <c r="S557" s="2502"/>
      <c r="T557" s="2503"/>
      <c r="AF557"/>
      <c r="AG557"/>
      <c r="AH557"/>
    </row>
    <row r="558" spans="1:34" ht="18" customHeight="1" x14ac:dyDescent="0.2">
      <c r="A558"/>
      <c r="B558" s="3"/>
      <c r="C558" s="853"/>
      <c r="F558" s="1"/>
      <c r="H558" s="2464"/>
      <c r="I558" s="2464"/>
      <c r="J558" s="2465"/>
      <c r="K558" s="2465"/>
      <c r="Q558" s="36"/>
      <c r="R558" s="2501"/>
      <c r="S558" s="2502"/>
      <c r="T558" s="2503"/>
      <c r="AF558"/>
      <c r="AG558"/>
      <c r="AH558"/>
    </row>
    <row r="559" spans="1:34" ht="18" customHeight="1" x14ac:dyDescent="0.2">
      <c r="A559"/>
      <c r="B559" s="3"/>
      <c r="C559" s="853"/>
      <c r="F559" s="1"/>
      <c r="H559" s="2464"/>
      <c r="I559" s="2464"/>
      <c r="J559" s="2465"/>
      <c r="K559" s="2465"/>
      <c r="Q559" s="36"/>
      <c r="R559" s="2504"/>
      <c r="S559" s="2493"/>
      <c r="T559" s="2493"/>
      <c r="AF559"/>
      <c r="AG559"/>
      <c r="AH559"/>
    </row>
    <row r="560" spans="1:34" ht="18" customHeight="1" x14ac:dyDescent="0.2">
      <c r="A560"/>
      <c r="B560" s="3"/>
      <c r="C560" s="853"/>
      <c r="F560" s="1"/>
      <c r="H560" s="2464"/>
      <c r="I560" s="2464"/>
      <c r="J560" s="2465"/>
      <c r="K560" s="2465"/>
      <c r="Q560" s="36"/>
      <c r="R560" s="2501"/>
      <c r="S560" s="2502"/>
      <c r="T560" s="2503"/>
      <c r="AF560"/>
      <c r="AG560"/>
      <c r="AH560"/>
    </row>
    <row r="561" spans="1:34" ht="18" customHeight="1" x14ac:dyDescent="0.2">
      <c r="A561"/>
      <c r="B561" s="3"/>
      <c r="C561" s="853"/>
      <c r="F561" s="1"/>
      <c r="H561" s="2464"/>
      <c r="I561" s="2464"/>
      <c r="J561" s="2465"/>
      <c r="K561" s="2465"/>
      <c r="Q561" s="36"/>
      <c r="R561" s="2501"/>
      <c r="S561" s="2502"/>
      <c r="T561" s="2503"/>
      <c r="AF561"/>
      <c r="AG561"/>
      <c r="AH561"/>
    </row>
    <row r="562" spans="1:34" ht="18" customHeight="1" x14ac:dyDescent="0.2">
      <c r="A562"/>
      <c r="B562" s="3"/>
      <c r="C562" s="853"/>
      <c r="F562" s="1"/>
      <c r="H562" s="2464"/>
      <c r="I562" s="2464"/>
      <c r="J562" s="2465"/>
      <c r="K562" s="2465"/>
      <c r="Q562" s="36"/>
      <c r="R562" s="2501"/>
      <c r="S562" s="2502"/>
      <c r="T562" s="2503"/>
      <c r="AF562"/>
      <c r="AG562"/>
      <c r="AH562"/>
    </row>
    <row r="563" spans="1:34" ht="18" customHeight="1" x14ac:dyDescent="0.2">
      <c r="A563"/>
      <c r="B563" s="3"/>
      <c r="C563" s="853"/>
      <c r="F563" s="1"/>
      <c r="H563" s="2464"/>
      <c r="I563" s="2464"/>
      <c r="J563" s="2465"/>
      <c r="K563" s="2465"/>
      <c r="Q563" s="36"/>
      <c r="R563" s="2501"/>
      <c r="S563" s="2502"/>
      <c r="T563" s="2503"/>
      <c r="AF563"/>
      <c r="AG563"/>
      <c r="AH563"/>
    </row>
    <row r="564" spans="1:34" ht="18" customHeight="1" x14ac:dyDescent="0.2">
      <c r="A564"/>
      <c r="B564" s="3"/>
      <c r="C564" s="853"/>
      <c r="F564" s="1"/>
      <c r="H564" s="2464"/>
      <c r="I564" s="2464"/>
      <c r="J564" s="2465"/>
      <c r="K564" s="2465"/>
      <c r="Q564" s="36"/>
      <c r="R564" s="2504"/>
      <c r="S564" s="2493"/>
      <c r="T564" s="2493"/>
      <c r="AF564"/>
      <c r="AG564"/>
      <c r="AH564"/>
    </row>
    <row r="565" spans="1:34" ht="18" customHeight="1" x14ac:dyDescent="0.2">
      <c r="A565"/>
      <c r="B565" s="3"/>
      <c r="C565" s="853"/>
      <c r="F565" s="1"/>
      <c r="H565" s="2464"/>
      <c r="I565" s="2464"/>
      <c r="J565" s="2465"/>
      <c r="K565" s="2465"/>
      <c r="Q565" s="36"/>
      <c r="R565" s="2501"/>
      <c r="S565" s="2502"/>
      <c r="T565" s="2503"/>
      <c r="AF565"/>
      <c r="AG565"/>
      <c r="AH565"/>
    </row>
    <row r="566" spans="1:34" ht="18" customHeight="1" x14ac:dyDescent="0.2">
      <c r="A566"/>
      <c r="B566" s="3"/>
      <c r="C566" s="853"/>
      <c r="F566" s="1"/>
      <c r="H566" s="2464"/>
      <c r="I566" s="2464"/>
      <c r="J566" s="2465"/>
      <c r="K566" s="2465"/>
      <c r="Q566" s="36"/>
      <c r="R566" s="2504"/>
      <c r="S566" s="2493"/>
      <c r="T566" s="2493"/>
      <c r="AF566"/>
      <c r="AG566"/>
      <c r="AH566"/>
    </row>
    <row r="567" spans="1:34" ht="18" customHeight="1" x14ac:dyDescent="0.2">
      <c r="A567"/>
      <c r="B567" s="3"/>
      <c r="C567" s="853"/>
      <c r="F567" s="1"/>
      <c r="H567" s="2464"/>
      <c r="I567" s="2464"/>
      <c r="J567" s="2465"/>
      <c r="K567" s="2465"/>
      <c r="Q567" s="36"/>
      <c r="R567" s="2504"/>
      <c r="S567" s="2493"/>
      <c r="T567" s="2493"/>
      <c r="AF567"/>
      <c r="AG567"/>
      <c r="AH567"/>
    </row>
    <row r="568" spans="1:34" ht="18" customHeight="1" x14ac:dyDescent="0.2">
      <c r="A568"/>
      <c r="B568" s="3"/>
      <c r="C568" s="853"/>
      <c r="F568" s="1"/>
      <c r="H568" s="2464"/>
      <c r="I568" s="2464"/>
      <c r="J568" s="2465"/>
      <c r="K568" s="2465"/>
      <c r="Q568" s="36"/>
      <c r="R568" s="2501"/>
      <c r="S568" s="2502"/>
      <c r="T568" s="2503"/>
      <c r="AF568"/>
      <c r="AG568"/>
      <c r="AH568"/>
    </row>
    <row r="569" spans="1:34" ht="18" customHeight="1" x14ac:dyDescent="0.2">
      <c r="A569"/>
      <c r="B569" s="3"/>
      <c r="C569" s="853"/>
      <c r="F569" s="1"/>
      <c r="H569" s="2464"/>
      <c r="I569" s="2464"/>
      <c r="J569" s="2465"/>
      <c r="K569" s="2465"/>
      <c r="Q569" s="36"/>
      <c r="R569" s="2501"/>
      <c r="S569" s="2502"/>
      <c r="T569" s="2503"/>
      <c r="AF569"/>
      <c r="AG569"/>
      <c r="AH569"/>
    </row>
    <row r="570" spans="1:34" ht="18" customHeight="1" x14ac:dyDescent="0.2">
      <c r="A570"/>
      <c r="B570" s="3"/>
      <c r="C570" s="853"/>
      <c r="F570" s="1"/>
      <c r="H570" s="2464"/>
      <c r="I570" s="2464"/>
      <c r="J570" s="2465"/>
      <c r="K570" s="2465"/>
      <c r="Q570" s="36"/>
      <c r="R570" s="2501"/>
      <c r="S570" s="2502"/>
      <c r="T570" s="2503"/>
      <c r="AF570"/>
      <c r="AG570"/>
      <c r="AH570"/>
    </row>
    <row r="571" spans="1:34" ht="18" customHeight="1" x14ac:dyDescent="0.2">
      <c r="A571"/>
      <c r="B571" s="3"/>
      <c r="C571" s="853"/>
      <c r="F571" s="1"/>
      <c r="H571" s="2464"/>
      <c r="I571" s="2464"/>
      <c r="J571" s="2465"/>
      <c r="K571" s="2465"/>
      <c r="Q571" s="36"/>
      <c r="R571" s="2501"/>
      <c r="S571" s="2502"/>
      <c r="T571" s="2503"/>
      <c r="AF571"/>
      <c r="AG571"/>
      <c r="AH571"/>
    </row>
    <row r="572" spans="1:34" ht="18" customHeight="1" x14ac:dyDescent="0.2">
      <c r="A572"/>
      <c r="B572" s="3"/>
      <c r="C572" s="853"/>
      <c r="F572" s="1"/>
      <c r="H572" s="2464"/>
      <c r="I572" s="2464"/>
      <c r="J572" s="2465"/>
      <c r="K572" s="2465"/>
      <c r="Q572" s="36"/>
      <c r="R572" s="2504"/>
      <c r="S572" s="2493"/>
      <c r="T572" s="2493"/>
      <c r="AF572"/>
      <c r="AG572"/>
      <c r="AH572"/>
    </row>
    <row r="573" spans="1:34" ht="18" customHeight="1" x14ac:dyDescent="0.2">
      <c r="A573"/>
      <c r="B573" s="3"/>
      <c r="C573" s="853"/>
      <c r="F573" s="1"/>
      <c r="H573" s="2464"/>
      <c r="I573" s="2464"/>
      <c r="J573" s="2465"/>
      <c r="K573" s="2465"/>
      <c r="Q573" s="36"/>
      <c r="R573" s="2501"/>
      <c r="S573" s="2502"/>
      <c r="T573" s="2503"/>
      <c r="AF573"/>
      <c r="AG573"/>
      <c r="AH573"/>
    </row>
    <row r="574" spans="1:34" ht="18" customHeight="1" x14ac:dyDescent="0.2">
      <c r="A574"/>
      <c r="B574" s="3"/>
      <c r="C574" s="853"/>
      <c r="F574" s="1"/>
      <c r="H574" s="2464"/>
      <c r="I574" s="2464"/>
      <c r="J574" s="2465"/>
      <c r="K574" s="2465"/>
      <c r="Q574" s="36"/>
      <c r="R574" s="2501"/>
      <c r="S574" s="2502"/>
      <c r="T574" s="2503"/>
      <c r="AF574"/>
      <c r="AG574"/>
      <c r="AH574"/>
    </row>
    <row r="575" spans="1:34" ht="18" customHeight="1" x14ac:dyDescent="0.2">
      <c r="A575"/>
      <c r="B575" s="3"/>
      <c r="C575" s="853"/>
      <c r="F575" s="1"/>
      <c r="H575" s="2464"/>
      <c r="I575" s="2464"/>
      <c r="J575" s="2465"/>
      <c r="K575" s="2465"/>
      <c r="Q575" s="36"/>
      <c r="R575" s="2501"/>
      <c r="S575" s="2502"/>
      <c r="T575" s="2503"/>
      <c r="AF575"/>
      <c r="AG575"/>
      <c r="AH575"/>
    </row>
    <row r="576" spans="1:34" ht="18" customHeight="1" x14ac:dyDescent="0.2">
      <c r="A576"/>
      <c r="B576" s="3"/>
      <c r="C576" s="853"/>
      <c r="F576" s="1"/>
      <c r="H576" s="2464"/>
      <c r="I576" s="2464"/>
      <c r="J576" s="2465"/>
      <c r="K576" s="2465"/>
      <c r="Q576" s="36"/>
      <c r="R576" s="2504"/>
      <c r="S576" s="2493"/>
      <c r="T576" s="2493"/>
      <c r="AF576"/>
      <c r="AG576"/>
      <c r="AH576"/>
    </row>
    <row r="577" spans="1:34" ht="18" customHeight="1" x14ac:dyDescent="0.2">
      <c r="A577"/>
      <c r="B577" s="3"/>
      <c r="C577" s="853"/>
      <c r="F577" s="1"/>
      <c r="H577" s="2464"/>
      <c r="I577" s="2464"/>
      <c r="J577" s="2465"/>
      <c r="K577" s="2465"/>
      <c r="Q577" s="36"/>
      <c r="R577" s="2501"/>
      <c r="S577" s="2502"/>
      <c r="T577" s="2503"/>
      <c r="AF577"/>
      <c r="AG577"/>
      <c r="AH577"/>
    </row>
    <row r="578" spans="1:34" ht="18" customHeight="1" x14ac:dyDescent="0.2">
      <c r="A578"/>
      <c r="B578" s="3"/>
      <c r="C578" s="853"/>
      <c r="F578" s="1"/>
      <c r="H578" s="2464"/>
      <c r="I578" s="2464"/>
      <c r="J578" s="2465"/>
      <c r="K578" s="2465"/>
      <c r="Q578" s="36"/>
      <c r="R578" s="2501"/>
      <c r="S578" s="2502"/>
      <c r="T578" s="2503"/>
      <c r="AF578"/>
      <c r="AG578"/>
      <c r="AH578"/>
    </row>
    <row r="579" spans="1:34" ht="18" customHeight="1" x14ac:dyDescent="0.2">
      <c r="A579"/>
      <c r="B579" s="3"/>
      <c r="C579" s="853"/>
      <c r="F579" s="1"/>
      <c r="H579" s="2464"/>
      <c r="I579" s="2464"/>
      <c r="J579" s="2465"/>
      <c r="K579" s="2465"/>
      <c r="Q579" s="36"/>
      <c r="R579" s="2504"/>
      <c r="S579" s="2493"/>
      <c r="T579" s="2493"/>
      <c r="AF579"/>
      <c r="AG579"/>
      <c r="AH579"/>
    </row>
    <row r="580" spans="1:34" ht="18" customHeight="1" x14ac:dyDescent="0.2">
      <c r="A580"/>
      <c r="B580" s="3"/>
      <c r="C580" s="853"/>
      <c r="F580" s="1"/>
      <c r="H580" s="2464"/>
      <c r="I580" s="2464"/>
      <c r="J580" s="2465"/>
      <c r="K580" s="2465"/>
      <c r="Q580" s="36"/>
      <c r="R580" s="2501"/>
      <c r="S580" s="2502"/>
      <c r="T580" s="2503"/>
      <c r="AF580"/>
      <c r="AG580"/>
      <c r="AH580"/>
    </row>
    <row r="581" spans="1:34" ht="18" customHeight="1" x14ac:dyDescent="0.2">
      <c r="A581"/>
      <c r="B581" s="3"/>
      <c r="C581" s="853"/>
      <c r="F581" s="1"/>
      <c r="H581" s="2464"/>
      <c r="I581" s="2464"/>
      <c r="J581" s="2465"/>
      <c r="K581" s="2465"/>
      <c r="Q581" s="36"/>
      <c r="R581" s="2501"/>
      <c r="S581" s="2502"/>
      <c r="T581" s="2503"/>
      <c r="AF581"/>
      <c r="AG581"/>
      <c r="AH581"/>
    </row>
    <row r="582" spans="1:34" ht="18" customHeight="1" x14ac:dyDescent="0.2">
      <c r="A582"/>
      <c r="B582" s="3"/>
      <c r="C582" s="853"/>
      <c r="F582" s="1"/>
      <c r="H582" s="2464"/>
      <c r="I582" s="2464"/>
      <c r="J582" s="2465"/>
      <c r="K582" s="2465"/>
      <c r="Q582" s="36"/>
      <c r="R582" s="2501"/>
      <c r="S582" s="2502"/>
      <c r="T582" s="2503"/>
      <c r="AF582"/>
      <c r="AG582"/>
      <c r="AH582"/>
    </row>
    <row r="583" spans="1:34" ht="18" customHeight="1" x14ac:dyDescent="0.2">
      <c r="A583"/>
      <c r="B583" s="3"/>
      <c r="C583" s="853"/>
      <c r="F583" s="1"/>
      <c r="H583" s="2464"/>
      <c r="I583" s="2464"/>
      <c r="J583" s="2465"/>
      <c r="K583" s="2465"/>
      <c r="Q583" s="36"/>
      <c r="R583" s="2504"/>
      <c r="S583" s="2493"/>
      <c r="T583" s="2493"/>
      <c r="AF583"/>
      <c r="AG583"/>
      <c r="AH583"/>
    </row>
    <row r="584" spans="1:34" ht="18" customHeight="1" x14ac:dyDescent="0.2">
      <c r="A584"/>
      <c r="B584" s="3"/>
      <c r="C584" s="853"/>
      <c r="F584" s="1"/>
      <c r="H584" s="2464"/>
      <c r="I584" s="2464"/>
      <c r="J584" s="2465"/>
      <c r="K584" s="2465"/>
      <c r="Q584" s="36"/>
      <c r="R584" s="2504"/>
      <c r="S584" s="2493"/>
      <c r="T584" s="2493"/>
      <c r="AF584"/>
      <c r="AG584"/>
      <c r="AH584"/>
    </row>
    <row r="585" spans="1:34" ht="18" customHeight="1" x14ac:dyDescent="0.2">
      <c r="A585"/>
      <c r="B585" s="3"/>
      <c r="C585" s="853"/>
      <c r="F585" s="1"/>
      <c r="H585" s="2464"/>
      <c r="I585" s="2464"/>
      <c r="J585" s="2465"/>
      <c r="K585" s="2465"/>
      <c r="Q585" s="36"/>
      <c r="R585" s="2504"/>
      <c r="S585" s="2493"/>
      <c r="T585" s="2493"/>
      <c r="AF585"/>
      <c r="AG585"/>
      <c r="AH585"/>
    </row>
    <row r="586" spans="1:34" ht="18" customHeight="1" x14ac:dyDescent="0.2">
      <c r="A586"/>
      <c r="B586" s="3"/>
      <c r="C586" s="853"/>
      <c r="F586" s="1"/>
      <c r="H586" s="2464"/>
      <c r="I586" s="2464"/>
      <c r="J586" s="2465"/>
      <c r="K586" s="2465"/>
      <c r="Q586" s="36"/>
      <c r="R586" s="2501"/>
      <c r="S586" s="2502"/>
      <c r="T586" s="2503"/>
      <c r="AF586"/>
      <c r="AG586"/>
      <c r="AH586"/>
    </row>
    <row r="587" spans="1:34" ht="18" customHeight="1" x14ac:dyDescent="0.2">
      <c r="A587"/>
      <c r="B587" s="3"/>
      <c r="C587" s="853"/>
      <c r="F587" s="1"/>
      <c r="H587" s="2464"/>
      <c r="I587" s="2464"/>
      <c r="J587" s="2465"/>
      <c r="K587" s="2465"/>
      <c r="Q587" s="36"/>
      <c r="R587" s="2501"/>
      <c r="S587" s="2502"/>
      <c r="T587" s="2503"/>
      <c r="AF587"/>
      <c r="AG587"/>
      <c r="AH587"/>
    </row>
    <row r="588" spans="1:34" ht="18" customHeight="1" x14ac:dyDescent="0.2">
      <c r="A588"/>
      <c r="B588" s="3"/>
      <c r="C588" s="853"/>
      <c r="F588" s="1"/>
      <c r="H588" s="2464"/>
      <c r="I588" s="2464"/>
      <c r="J588" s="2465"/>
      <c r="K588" s="2465"/>
      <c r="Q588" s="36"/>
      <c r="R588" s="2501"/>
      <c r="S588" s="2502"/>
      <c r="T588" s="2503"/>
      <c r="AF588"/>
      <c r="AG588"/>
      <c r="AH588"/>
    </row>
    <row r="589" spans="1:34" ht="18" customHeight="1" x14ac:dyDescent="0.2">
      <c r="A589"/>
      <c r="B589" s="3"/>
      <c r="C589" s="853"/>
      <c r="F589" s="1"/>
      <c r="H589" s="2464"/>
      <c r="I589" s="2464"/>
      <c r="J589" s="2465"/>
      <c r="K589" s="2465"/>
      <c r="Q589" s="36"/>
      <c r="R589" s="2501"/>
      <c r="S589" s="2502"/>
      <c r="T589" s="2503"/>
      <c r="AF589"/>
      <c r="AG589"/>
      <c r="AH589"/>
    </row>
    <row r="590" spans="1:34" ht="18" customHeight="1" x14ac:dyDescent="0.2">
      <c r="A590"/>
      <c r="B590" s="3"/>
      <c r="C590" s="853"/>
      <c r="F590" s="1"/>
      <c r="H590" s="2464"/>
      <c r="I590" s="2464"/>
      <c r="J590" s="2465"/>
      <c r="K590" s="2465"/>
      <c r="Q590" s="36"/>
      <c r="R590" s="2501"/>
      <c r="S590" s="2502"/>
      <c r="T590" s="2503"/>
      <c r="AF590"/>
      <c r="AG590"/>
      <c r="AH590"/>
    </row>
    <row r="591" spans="1:34" ht="18" customHeight="1" x14ac:dyDescent="0.2">
      <c r="A591"/>
      <c r="B591" s="3"/>
      <c r="C591" s="853"/>
      <c r="F591" s="1"/>
      <c r="H591" s="2464"/>
      <c r="I591" s="2464"/>
      <c r="J591" s="2465"/>
      <c r="K591" s="2465"/>
      <c r="Q591" s="36"/>
      <c r="R591" s="2504"/>
      <c r="S591" s="2493"/>
      <c r="T591" s="2493"/>
      <c r="AF591"/>
      <c r="AG591"/>
      <c r="AH591"/>
    </row>
    <row r="592" spans="1:34" ht="18" customHeight="1" x14ac:dyDescent="0.2">
      <c r="A592"/>
      <c r="B592" s="3"/>
      <c r="C592" s="853"/>
      <c r="F592" s="1"/>
      <c r="H592" s="2464"/>
      <c r="I592" s="2464"/>
      <c r="J592" s="2465"/>
      <c r="K592" s="2465"/>
      <c r="Q592" s="36"/>
      <c r="R592" s="2501"/>
      <c r="S592" s="2502"/>
      <c r="T592" s="2503"/>
      <c r="AF592"/>
      <c r="AG592"/>
      <c r="AH592"/>
    </row>
    <row r="593" spans="1:34" ht="18" customHeight="1" x14ac:dyDescent="0.2">
      <c r="A593"/>
      <c r="B593" s="3"/>
      <c r="C593" s="853"/>
      <c r="F593" s="1"/>
      <c r="H593" s="2464"/>
      <c r="I593" s="2464"/>
      <c r="J593" s="2465"/>
      <c r="K593" s="2465"/>
      <c r="Q593" s="36"/>
      <c r="R593" s="2504"/>
      <c r="S593" s="2493"/>
      <c r="T593" s="2493"/>
      <c r="AF593"/>
      <c r="AG593"/>
      <c r="AH593"/>
    </row>
    <row r="594" spans="1:34" ht="18" customHeight="1" x14ac:dyDescent="0.2">
      <c r="A594"/>
      <c r="B594" s="3"/>
      <c r="C594" s="853"/>
      <c r="F594" s="1"/>
      <c r="H594" s="2464"/>
      <c r="I594" s="2464"/>
      <c r="J594" s="2465"/>
      <c r="K594" s="2465"/>
      <c r="Q594" s="36"/>
      <c r="R594" s="2504"/>
      <c r="S594" s="2493"/>
      <c r="T594" s="2493"/>
      <c r="AF594"/>
      <c r="AG594"/>
      <c r="AH594"/>
    </row>
    <row r="595" spans="1:34" ht="18" customHeight="1" x14ac:dyDescent="0.2">
      <c r="A595"/>
      <c r="B595" s="3"/>
      <c r="C595" s="853"/>
      <c r="F595" s="1"/>
      <c r="H595" s="2464"/>
      <c r="I595" s="2464"/>
      <c r="J595" s="2465"/>
      <c r="K595" s="2465"/>
      <c r="Q595" s="36"/>
      <c r="R595" s="2504"/>
      <c r="S595" s="2493"/>
      <c r="T595" s="2493"/>
      <c r="AF595"/>
      <c r="AG595"/>
      <c r="AH595"/>
    </row>
    <row r="596" spans="1:34" ht="18" customHeight="1" x14ac:dyDescent="0.2">
      <c r="A596"/>
      <c r="B596" s="3"/>
      <c r="C596" s="853"/>
      <c r="F596" s="1"/>
      <c r="H596" s="2464"/>
      <c r="I596" s="2464"/>
      <c r="J596" s="2465"/>
      <c r="K596" s="2465"/>
      <c r="Q596" s="36"/>
      <c r="R596" s="2504"/>
      <c r="S596" s="2493"/>
      <c r="T596" s="2493"/>
      <c r="AF596"/>
      <c r="AG596"/>
      <c r="AH596"/>
    </row>
    <row r="597" spans="1:34" ht="18" customHeight="1" x14ac:dyDescent="0.2">
      <c r="A597"/>
      <c r="B597" s="3"/>
      <c r="C597" s="853"/>
      <c r="F597" s="1"/>
      <c r="H597" s="2464"/>
      <c r="I597" s="2464"/>
      <c r="J597" s="2465"/>
      <c r="K597" s="2465"/>
      <c r="Q597" s="36"/>
      <c r="R597" s="2504"/>
      <c r="S597" s="2493"/>
      <c r="T597" s="2493"/>
      <c r="AF597"/>
      <c r="AG597"/>
      <c r="AH597"/>
    </row>
    <row r="598" spans="1:34" ht="18" customHeight="1" x14ac:dyDescent="0.2">
      <c r="A598"/>
      <c r="B598" s="3"/>
      <c r="C598" s="853"/>
      <c r="F598" s="1"/>
      <c r="H598" s="2464"/>
      <c r="I598" s="2464"/>
      <c r="J598" s="2465"/>
      <c r="K598" s="2465"/>
      <c r="Q598" s="36"/>
      <c r="R598" s="2504"/>
      <c r="S598" s="2493"/>
      <c r="T598" s="2493"/>
      <c r="AF598"/>
      <c r="AG598"/>
      <c r="AH598"/>
    </row>
    <row r="599" spans="1:34" ht="18" customHeight="1" x14ac:dyDescent="0.2">
      <c r="A599"/>
      <c r="B599" s="3"/>
      <c r="C599" s="853"/>
      <c r="F599" s="1"/>
      <c r="H599" s="2464"/>
      <c r="I599" s="2464"/>
      <c r="J599" s="2465"/>
      <c r="K599" s="2465"/>
      <c r="Q599" s="36"/>
      <c r="R599" s="2501"/>
      <c r="S599" s="2502"/>
      <c r="T599" s="2503"/>
      <c r="AF599"/>
      <c r="AG599"/>
      <c r="AH599"/>
    </row>
    <row r="600" spans="1:34" ht="18" customHeight="1" x14ac:dyDescent="0.2">
      <c r="A600"/>
      <c r="B600" s="3"/>
      <c r="C600" s="853"/>
      <c r="F600" s="1"/>
      <c r="H600" s="2464"/>
      <c r="I600" s="2464"/>
      <c r="J600" s="2465"/>
      <c r="K600" s="2465"/>
      <c r="Q600" s="36"/>
      <c r="R600" s="2501"/>
      <c r="S600" s="2502"/>
      <c r="T600" s="2503"/>
      <c r="AF600"/>
      <c r="AG600"/>
      <c r="AH600"/>
    </row>
    <row r="601" spans="1:34" ht="18" customHeight="1" x14ac:dyDescent="0.2">
      <c r="A601"/>
      <c r="B601" s="3"/>
      <c r="C601" s="853"/>
      <c r="F601" s="1"/>
      <c r="H601" s="2464"/>
      <c r="I601" s="2464"/>
      <c r="J601" s="2465"/>
      <c r="K601" s="2465"/>
      <c r="Q601" s="36"/>
      <c r="R601" s="2501"/>
      <c r="S601" s="2502"/>
      <c r="T601" s="2503"/>
      <c r="AF601"/>
      <c r="AG601"/>
      <c r="AH601"/>
    </row>
    <row r="602" spans="1:34" ht="18" customHeight="1" x14ac:dyDescent="0.2">
      <c r="A602"/>
      <c r="B602" s="3"/>
      <c r="C602" s="853"/>
      <c r="F602" s="1"/>
      <c r="H602" s="2464"/>
      <c r="I602" s="2464"/>
      <c r="J602" s="2465"/>
      <c r="K602" s="2465"/>
      <c r="Q602" s="36"/>
      <c r="R602" s="2501"/>
      <c r="S602" s="2502"/>
      <c r="T602" s="2503"/>
      <c r="AF602"/>
      <c r="AG602"/>
      <c r="AH602"/>
    </row>
    <row r="603" spans="1:34" ht="18" customHeight="1" x14ac:dyDescent="0.2">
      <c r="A603"/>
      <c r="B603" s="3"/>
      <c r="C603" s="853"/>
      <c r="F603" s="1"/>
      <c r="H603" s="2464"/>
      <c r="I603" s="2464"/>
      <c r="J603" s="2465"/>
      <c r="K603" s="2465"/>
      <c r="Q603" s="36"/>
      <c r="R603" s="2501"/>
      <c r="S603" s="2502"/>
      <c r="T603" s="2503"/>
      <c r="AF603"/>
      <c r="AG603"/>
      <c r="AH603"/>
    </row>
    <row r="604" spans="1:34" ht="18" customHeight="1" x14ac:dyDescent="0.2">
      <c r="A604"/>
      <c r="B604" s="3"/>
      <c r="C604" s="853"/>
      <c r="F604" s="1"/>
      <c r="H604" s="2464"/>
      <c r="I604" s="2464"/>
      <c r="J604" s="2465"/>
      <c r="K604" s="2465"/>
      <c r="Q604" s="36"/>
      <c r="R604" s="2504"/>
      <c r="S604" s="2493"/>
      <c r="T604" s="2493"/>
      <c r="AF604"/>
      <c r="AG604"/>
      <c r="AH604"/>
    </row>
    <row r="605" spans="1:34" ht="18" customHeight="1" x14ac:dyDescent="0.2">
      <c r="A605"/>
      <c r="B605" s="3"/>
      <c r="C605" s="853"/>
      <c r="F605" s="1"/>
      <c r="H605" s="2464"/>
      <c r="I605" s="2464"/>
      <c r="J605" s="2465"/>
      <c r="K605" s="2465"/>
      <c r="Q605" s="36"/>
      <c r="R605" s="2501"/>
      <c r="S605" s="2502"/>
      <c r="T605" s="2503"/>
      <c r="AF605"/>
      <c r="AG605"/>
      <c r="AH605"/>
    </row>
    <row r="606" spans="1:34" ht="18" customHeight="1" x14ac:dyDescent="0.2">
      <c r="A606"/>
      <c r="B606" s="3"/>
      <c r="C606" s="853"/>
      <c r="F606" s="1"/>
      <c r="H606" s="2464"/>
      <c r="I606" s="2464"/>
      <c r="J606" s="2465"/>
      <c r="K606" s="2465"/>
      <c r="Q606" s="36"/>
      <c r="R606" s="2501"/>
      <c r="S606" s="2502"/>
      <c r="T606" s="2503"/>
      <c r="AF606"/>
      <c r="AG606"/>
      <c r="AH606"/>
    </row>
    <row r="607" spans="1:34" ht="18" customHeight="1" x14ac:dyDescent="0.2">
      <c r="A607"/>
      <c r="B607" s="3"/>
      <c r="C607" s="853"/>
      <c r="F607" s="1"/>
      <c r="H607" s="2464"/>
      <c r="I607" s="2464"/>
      <c r="J607" s="2465"/>
      <c r="K607" s="2465"/>
      <c r="Q607" s="36"/>
      <c r="R607" s="2501"/>
      <c r="S607" s="2502"/>
      <c r="T607" s="2503"/>
      <c r="AF607"/>
      <c r="AG607"/>
      <c r="AH607"/>
    </row>
    <row r="608" spans="1:34" ht="18" customHeight="1" x14ac:dyDescent="0.2">
      <c r="A608"/>
      <c r="B608" s="3"/>
      <c r="C608" s="853"/>
      <c r="F608" s="1"/>
      <c r="H608" s="2464"/>
      <c r="I608" s="2464"/>
      <c r="J608" s="2465"/>
      <c r="K608" s="2465"/>
      <c r="Q608" s="36"/>
      <c r="R608" s="2501"/>
      <c r="S608" s="2502"/>
      <c r="T608" s="2503"/>
      <c r="AF608"/>
      <c r="AG608"/>
      <c r="AH608"/>
    </row>
    <row r="609" spans="1:34" ht="18" customHeight="1" x14ac:dyDescent="0.2">
      <c r="A609"/>
      <c r="B609" s="3"/>
      <c r="C609" s="853"/>
      <c r="F609" s="1"/>
      <c r="H609" s="2464"/>
      <c r="I609" s="2464"/>
      <c r="J609" s="2465"/>
      <c r="K609" s="2465"/>
      <c r="Q609" s="36"/>
      <c r="R609" s="2501"/>
      <c r="S609" s="2502"/>
      <c r="T609" s="2503"/>
      <c r="AF609"/>
      <c r="AG609"/>
      <c r="AH609"/>
    </row>
    <row r="610" spans="1:34" ht="18" customHeight="1" x14ac:dyDescent="0.2">
      <c r="A610"/>
      <c r="B610" s="3"/>
      <c r="C610" s="853"/>
      <c r="F610" s="1"/>
      <c r="H610" s="2464"/>
      <c r="I610" s="2464"/>
      <c r="J610" s="2465"/>
      <c r="K610" s="2465"/>
      <c r="Q610" s="36"/>
      <c r="R610" s="2501"/>
      <c r="S610" s="2502"/>
      <c r="T610" s="2503"/>
      <c r="AF610"/>
      <c r="AG610"/>
      <c r="AH610"/>
    </row>
    <row r="611" spans="1:34" ht="18" customHeight="1" x14ac:dyDescent="0.2">
      <c r="A611"/>
      <c r="B611" s="3"/>
      <c r="C611" s="853"/>
      <c r="F611" s="1"/>
      <c r="H611" s="2464"/>
      <c r="I611" s="2464"/>
      <c r="J611" s="2465"/>
      <c r="K611" s="2465"/>
      <c r="Q611" s="36"/>
      <c r="R611" s="2501"/>
      <c r="S611" s="2502"/>
      <c r="T611" s="2503"/>
      <c r="AF611"/>
      <c r="AG611"/>
      <c r="AH611"/>
    </row>
    <row r="612" spans="1:34" ht="18" customHeight="1" x14ac:dyDescent="0.2">
      <c r="A612"/>
      <c r="B612" s="3"/>
      <c r="C612" s="853"/>
      <c r="F612" s="1"/>
      <c r="H612" s="2464"/>
      <c r="I612" s="2464"/>
      <c r="J612" s="2465"/>
      <c r="K612" s="2465"/>
      <c r="Q612" s="36"/>
      <c r="R612" s="2501"/>
      <c r="S612" s="2502"/>
      <c r="T612" s="2503"/>
      <c r="AF612"/>
      <c r="AG612"/>
      <c r="AH612"/>
    </row>
    <row r="613" spans="1:34" ht="18" customHeight="1" x14ac:dyDescent="0.2">
      <c r="A613"/>
      <c r="B613" s="3"/>
      <c r="C613" s="853"/>
      <c r="F613" s="1"/>
      <c r="H613" s="2464"/>
      <c r="I613" s="2464"/>
      <c r="J613" s="2465"/>
      <c r="K613" s="2465"/>
      <c r="Q613" s="36"/>
      <c r="R613" s="2501"/>
      <c r="S613" s="2502"/>
      <c r="T613" s="2503"/>
      <c r="AF613"/>
      <c r="AG613"/>
      <c r="AH613"/>
    </row>
    <row r="614" spans="1:34" ht="18" customHeight="1" x14ac:dyDescent="0.2">
      <c r="A614"/>
      <c r="B614" s="3"/>
      <c r="C614" s="853"/>
      <c r="F614" s="1"/>
      <c r="H614" s="2464"/>
      <c r="I614" s="2464"/>
      <c r="J614" s="2465"/>
      <c r="K614" s="2465"/>
      <c r="Q614" s="36"/>
      <c r="R614" s="2501"/>
      <c r="S614" s="2502"/>
      <c r="T614" s="2503"/>
      <c r="AF614"/>
      <c r="AG614"/>
      <c r="AH614"/>
    </row>
    <row r="615" spans="1:34" ht="18" customHeight="1" x14ac:dyDescent="0.2">
      <c r="A615"/>
      <c r="B615" s="3"/>
      <c r="C615" s="853"/>
      <c r="F615" s="1"/>
      <c r="H615" s="2464"/>
      <c r="I615" s="2464"/>
      <c r="J615" s="2465"/>
      <c r="K615" s="2465"/>
      <c r="Q615" s="36"/>
      <c r="R615" s="2501"/>
      <c r="S615" s="2502"/>
      <c r="T615" s="2503"/>
      <c r="AF615"/>
      <c r="AG615"/>
      <c r="AH615"/>
    </row>
    <row r="616" spans="1:34" ht="18" customHeight="1" x14ac:dyDescent="0.2">
      <c r="A616"/>
      <c r="B616" s="3"/>
      <c r="C616" s="853"/>
      <c r="F616" s="1"/>
      <c r="H616" s="2464"/>
      <c r="I616" s="2464"/>
      <c r="J616" s="2465"/>
      <c r="K616" s="2465"/>
      <c r="Q616" s="36"/>
      <c r="R616" s="2501"/>
      <c r="S616" s="2502"/>
      <c r="T616" s="2503"/>
      <c r="AF616"/>
      <c r="AG616"/>
      <c r="AH616"/>
    </row>
    <row r="617" spans="1:34" ht="18" customHeight="1" x14ac:dyDescent="0.2">
      <c r="A617"/>
      <c r="B617" s="3"/>
      <c r="C617" s="853"/>
      <c r="F617" s="1"/>
      <c r="H617" s="2464"/>
      <c r="I617" s="2464"/>
      <c r="J617" s="2465"/>
      <c r="K617" s="2465"/>
      <c r="Q617" s="36"/>
      <c r="R617" s="2504"/>
      <c r="S617" s="2493"/>
      <c r="T617" s="2493"/>
      <c r="AF617"/>
      <c r="AG617"/>
      <c r="AH617"/>
    </row>
    <row r="618" spans="1:34" ht="18" customHeight="1" x14ac:dyDescent="0.2">
      <c r="A618"/>
      <c r="B618" s="3"/>
      <c r="C618" s="853"/>
      <c r="F618" s="1"/>
      <c r="H618" s="2464"/>
      <c r="I618" s="2464"/>
      <c r="J618" s="2465"/>
      <c r="K618" s="2465"/>
      <c r="Q618" s="36"/>
      <c r="R618" s="2504"/>
      <c r="S618" s="2493"/>
      <c r="T618" s="2493"/>
      <c r="AF618"/>
      <c r="AG618"/>
      <c r="AH618"/>
    </row>
    <row r="619" spans="1:34" ht="18" customHeight="1" x14ac:dyDescent="0.2">
      <c r="A619"/>
      <c r="B619" s="3"/>
      <c r="C619" s="853"/>
      <c r="F619" s="1"/>
      <c r="H619" s="2464"/>
      <c r="I619" s="2464"/>
      <c r="J619" s="2465"/>
      <c r="K619" s="2465"/>
      <c r="Q619" s="36"/>
      <c r="R619" s="2501"/>
      <c r="S619" s="2502"/>
      <c r="T619" s="2503"/>
      <c r="AF619"/>
      <c r="AG619"/>
      <c r="AH619"/>
    </row>
    <row r="620" spans="1:34" ht="18" customHeight="1" x14ac:dyDescent="0.2">
      <c r="A620"/>
      <c r="B620" s="3"/>
      <c r="C620" s="853"/>
      <c r="F620" s="1"/>
      <c r="H620" s="2464"/>
      <c r="I620" s="2464"/>
      <c r="J620" s="2465"/>
      <c r="K620" s="2465"/>
      <c r="Q620" s="36"/>
      <c r="R620" s="2501"/>
      <c r="S620" s="2502"/>
      <c r="T620" s="2503"/>
      <c r="AF620"/>
      <c r="AG620"/>
      <c r="AH620"/>
    </row>
    <row r="621" spans="1:34" ht="18" customHeight="1" x14ac:dyDescent="0.2">
      <c r="A621"/>
      <c r="B621" s="3"/>
      <c r="C621" s="853"/>
      <c r="F621" s="1"/>
      <c r="H621" s="2464"/>
      <c r="I621" s="2464"/>
      <c r="J621" s="2465"/>
      <c r="K621" s="2465"/>
      <c r="Q621" s="36"/>
      <c r="R621" s="2501"/>
      <c r="S621" s="2502"/>
      <c r="T621" s="2503"/>
      <c r="AF621"/>
      <c r="AG621"/>
      <c r="AH621"/>
    </row>
    <row r="622" spans="1:34" ht="18" customHeight="1" x14ac:dyDescent="0.2">
      <c r="A622"/>
      <c r="B622" s="3"/>
      <c r="C622" s="853"/>
      <c r="F622" s="1"/>
      <c r="H622" s="2464"/>
      <c r="I622" s="2464"/>
      <c r="J622" s="2465"/>
      <c r="K622" s="2465"/>
      <c r="Q622" s="36"/>
      <c r="R622" s="2501"/>
      <c r="S622" s="2502"/>
      <c r="T622" s="2503"/>
      <c r="AF622"/>
      <c r="AG622"/>
      <c r="AH622"/>
    </row>
    <row r="623" spans="1:34" ht="18" customHeight="1" x14ac:dyDescent="0.2">
      <c r="A623"/>
      <c r="B623" s="3"/>
      <c r="C623" s="853"/>
      <c r="F623" s="1"/>
      <c r="H623" s="2464"/>
      <c r="I623" s="2464"/>
      <c r="J623" s="2465"/>
      <c r="K623" s="2465"/>
      <c r="Q623" s="36"/>
      <c r="R623" s="2501"/>
      <c r="S623" s="2502"/>
      <c r="T623" s="2503"/>
      <c r="AF623"/>
      <c r="AG623"/>
      <c r="AH623"/>
    </row>
    <row r="624" spans="1:34" ht="18" customHeight="1" x14ac:dyDescent="0.2">
      <c r="A624"/>
      <c r="B624" s="3"/>
      <c r="C624" s="853"/>
      <c r="F624" s="1"/>
      <c r="H624" s="2464"/>
      <c r="I624" s="2464"/>
      <c r="J624" s="2465"/>
      <c r="K624" s="2465"/>
      <c r="Q624" s="36"/>
      <c r="R624" s="2501"/>
      <c r="S624" s="2502"/>
      <c r="T624" s="2503"/>
      <c r="AF624"/>
      <c r="AG624"/>
      <c r="AH624"/>
    </row>
    <row r="625" spans="1:34" ht="18" customHeight="1" x14ac:dyDescent="0.2">
      <c r="A625"/>
      <c r="B625" s="3"/>
      <c r="C625" s="853"/>
      <c r="F625" s="1"/>
      <c r="H625" s="2464"/>
      <c r="I625" s="2464"/>
      <c r="J625" s="2465"/>
      <c r="K625" s="2465"/>
      <c r="Q625" s="36"/>
      <c r="R625" s="2501"/>
      <c r="S625" s="2502"/>
      <c r="T625" s="2503"/>
      <c r="AF625"/>
      <c r="AG625"/>
      <c r="AH625"/>
    </row>
    <row r="626" spans="1:34" ht="18" customHeight="1" x14ac:dyDescent="0.2">
      <c r="A626"/>
      <c r="B626" s="3"/>
      <c r="C626" s="853"/>
      <c r="F626" s="1"/>
      <c r="H626" s="2464"/>
      <c r="I626" s="2464"/>
      <c r="J626" s="2465"/>
      <c r="K626" s="2465"/>
      <c r="Q626" s="36"/>
      <c r="R626" s="2501"/>
      <c r="S626" s="2502"/>
      <c r="T626" s="2503"/>
      <c r="AF626"/>
      <c r="AG626"/>
      <c r="AH626"/>
    </row>
    <row r="627" spans="1:34" ht="18" customHeight="1" x14ac:dyDescent="0.2">
      <c r="A627"/>
      <c r="B627" s="3"/>
      <c r="C627" s="853"/>
      <c r="F627" s="1"/>
      <c r="H627" s="2464"/>
      <c r="I627" s="2464"/>
      <c r="J627" s="2465"/>
      <c r="K627" s="2465"/>
      <c r="Q627" s="36"/>
      <c r="R627" s="2501"/>
      <c r="S627" s="2502"/>
      <c r="T627" s="2503"/>
      <c r="AF627"/>
      <c r="AG627"/>
      <c r="AH627"/>
    </row>
    <row r="628" spans="1:34" ht="18" customHeight="1" x14ac:dyDescent="0.2">
      <c r="A628"/>
      <c r="B628" s="3"/>
      <c r="C628" s="853"/>
      <c r="F628" s="1"/>
      <c r="H628" s="2464"/>
      <c r="I628" s="2464"/>
      <c r="J628" s="2465"/>
      <c r="K628" s="2465"/>
      <c r="Q628" s="36"/>
      <c r="R628" s="2501"/>
      <c r="S628" s="2502"/>
      <c r="T628" s="2503"/>
      <c r="AF628"/>
      <c r="AG628"/>
      <c r="AH628"/>
    </row>
    <row r="629" spans="1:34" ht="18" customHeight="1" x14ac:dyDescent="0.2">
      <c r="A629"/>
      <c r="B629" s="3"/>
      <c r="C629" s="853"/>
      <c r="F629" s="1"/>
      <c r="H629" s="2464"/>
      <c r="I629" s="2464"/>
      <c r="J629" s="2465"/>
      <c r="K629" s="2465"/>
      <c r="Q629" s="36"/>
      <c r="R629" s="2501"/>
      <c r="S629" s="2502"/>
      <c r="T629" s="2503"/>
      <c r="AF629"/>
      <c r="AG629"/>
      <c r="AH629"/>
    </row>
    <row r="630" spans="1:34" ht="18" customHeight="1" x14ac:dyDescent="0.2">
      <c r="A630"/>
      <c r="B630" s="3"/>
      <c r="C630" s="853"/>
      <c r="F630" s="1"/>
      <c r="H630" s="2464"/>
      <c r="I630" s="2464"/>
      <c r="J630" s="2465"/>
      <c r="K630" s="2465"/>
      <c r="Q630" s="36"/>
      <c r="R630" s="2501"/>
      <c r="S630" s="2502"/>
      <c r="T630" s="2503"/>
      <c r="AF630"/>
      <c r="AG630"/>
      <c r="AH630"/>
    </row>
    <row r="631" spans="1:34" ht="18" customHeight="1" x14ac:dyDescent="0.2">
      <c r="A631"/>
      <c r="B631" s="3"/>
      <c r="C631" s="853"/>
      <c r="F631" s="1"/>
      <c r="H631" s="2464"/>
      <c r="I631" s="2464"/>
      <c r="J631" s="2465"/>
      <c r="K631" s="2465"/>
      <c r="Q631" s="36"/>
      <c r="R631" s="2501"/>
      <c r="S631" s="2502"/>
      <c r="T631" s="2503"/>
      <c r="AF631"/>
      <c r="AG631"/>
      <c r="AH631"/>
    </row>
    <row r="632" spans="1:34" ht="18" customHeight="1" x14ac:dyDescent="0.2">
      <c r="A632"/>
      <c r="B632" s="3"/>
      <c r="C632" s="853"/>
      <c r="F632" s="1"/>
      <c r="H632" s="2464"/>
      <c r="I632" s="2464"/>
      <c r="J632" s="2465"/>
      <c r="K632" s="2465"/>
      <c r="Q632" s="36"/>
      <c r="R632" s="2501"/>
      <c r="S632" s="2502"/>
      <c r="T632" s="2503"/>
      <c r="AF632"/>
      <c r="AG632"/>
      <c r="AH632"/>
    </row>
    <row r="633" spans="1:34" ht="18" customHeight="1" x14ac:dyDescent="0.2">
      <c r="A633"/>
      <c r="B633" s="3"/>
      <c r="C633" s="853"/>
      <c r="F633" s="1"/>
      <c r="H633" s="2464"/>
      <c r="I633" s="2464"/>
      <c r="J633" s="2465"/>
      <c r="K633" s="2465"/>
      <c r="Q633" s="36"/>
      <c r="R633" s="2501"/>
      <c r="S633" s="2502"/>
      <c r="T633" s="2503"/>
      <c r="AF633"/>
      <c r="AG633"/>
      <c r="AH633"/>
    </row>
    <row r="634" spans="1:34" ht="18" customHeight="1" x14ac:dyDescent="0.2">
      <c r="A634"/>
      <c r="B634" s="3"/>
      <c r="C634" s="853"/>
      <c r="F634" s="1"/>
      <c r="H634" s="2464"/>
      <c r="I634" s="2464"/>
      <c r="J634" s="2465"/>
      <c r="K634" s="2465"/>
      <c r="Q634" s="36"/>
      <c r="R634" s="2501"/>
      <c r="S634" s="2502"/>
      <c r="T634" s="2503"/>
      <c r="AF634"/>
      <c r="AG634"/>
      <c r="AH634"/>
    </row>
    <row r="635" spans="1:34" ht="18" customHeight="1" x14ac:dyDescent="0.2">
      <c r="A635"/>
      <c r="B635" s="3"/>
      <c r="C635" s="853"/>
      <c r="F635" s="1"/>
      <c r="H635" s="2464"/>
      <c r="I635" s="2464"/>
      <c r="J635" s="2465"/>
      <c r="K635" s="2465"/>
      <c r="Q635" s="36"/>
      <c r="R635" s="2501"/>
      <c r="S635" s="2502"/>
      <c r="T635" s="2503"/>
      <c r="AF635"/>
      <c r="AG635"/>
      <c r="AH635"/>
    </row>
    <row r="636" spans="1:34" ht="18" customHeight="1" x14ac:dyDescent="0.2">
      <c r="A636"/>
      <c r="B636" s="3"/>
      <c r="C636" s="853"/>
      <c r="F636" s="1"/>
      <c r="H636" s="2464"/>
      <c r="I636" s="2464"/>
      <c r="J636" s="2465"/>
      <c r="K636" s="2465"/>
      <c r="Q636" s="36"/>
      <c r="R636" s="2501"/>
      <c r="S636" s="2502"/>
      <c r="T636" s="2503"/>
      <c r="AF636"/>
      <c r="AG636"/>
      <c r="AH636"/>
    </row>
    <row r="637" spans="1:34" ht="18" customHeight="1" x14ac:dyDescent="0.2">
      <c r="A637"/>
      <c r="B637" s="3"/>
      <c r="C637" s="853"/>
      <c r="F637" s="1"/>
      <c r="H637" s="2464"/>
      <c r="I637" s="2464"/>
      <c r="J637" s="2465"/>
      <c r="K637" s="2465"/>
      <c r="Q637" s="36"/>
      <c r="R637" s="2501"/>
      <c r="S637" s="2502"/>
      <c r="T637" s="2503"/>
      <c r="AF637"/>
      <c r="AG637"/>
      <c r="AH637"/>
    </row>
    <row r="638" spans="1:34" ht="18" customHeight="1" x14ac:dyDescent="0.2">
      <c r="A638"/>
      <c r="B638" s="3"/>
      <c r="C638" s="853"/>
      <c r="F638" s="1"/>
      <c r="H638" s="2464"/>
      <c r="I638" s="2464"/>
      <c r="J638" s="2465"/>
      <c r="K638" s="2465"/>
      <c r="Q638" s="36"/>
      <c r="R638" s="2501"/>
      <c r="S638" s="2502"/>
      <c r="T638" s="2503"/>
      <c r="AF638"/>
      <c r="AG638"/>
      <c r="AH638"/>
    </row>
    <row r="639" spans="1:34" ht="18" customHeight="1" x14ac:dyDescent="0.2">
      <c r="A639"/>
      <c r="B639" s="3"/>
      <c r="C639" s="853"/>
      <c r="F639" s="1"/>
      <c r="H639" s="2464"/>
      <c r="I639" s="2464"/>
      <c r="J639" s="2465"/>
      <c r="K639" s="2465"/>
      <c r="Q639" s="36"/>
      <c r="R639" s="2501"/>
      <c r="S639" s="2502"/>
      <c r="T639" s="2503"/>
      <c r="AF639"/>
      <c r="AG639"/>
      <c r="AH639"/>
    </row>
    <row r="640" spans="1:34" ht="18" customHeight="1" x14ac:dyDescent="0.2">
      <c r="A640"/>
      <c r="B640" s="3"/>
      <c r="C640" s="853"/>
      <c r="F640" s="1"/>
      <c r="H640" s="2464"/>
      <c r="I640" s="2464"/>
      <c r="J640" s="2465"/>
      <c r="K640" s="2465"/>
      <c r="Q640" s="36"/>
      <c r="R640" s="2501"/>
      <c r="S640" s="2502"/>
      <c r="T640" s="2503"/>
      <c r="AF640"/>
      <c r="AG640"/>
      <c r="AH640"/>
    </row>
    <row r="641" spans="1:34" ht="18" customHeight="1" x14ac:dyDescent="0.2">
      <c r="A641"/>
      <c r="B641" s="3"/>
      <c r="C641" s="853"/>
      <c r="F641" s="1"/>
      <c r="H641" s="2464"/>
      <c r="I641" s="2464"/>
      <c r="J641" s="2465"/>
      <c r="K641" s="2465"/>
      <c r="Q641" s="36"/>
      <c r="R641" s="2501"/>
      <c r="S641" s="2502"/>
      <c r="T641" s="2503"/>
      <c r="AF641"/>
      <c r="AG641"/>
      <c r="AH641"/>
    </row>
    <row r="642" spans="1:34" ht="18" customHeight="1" x14ac:dyDescent="0.2">
      <c r="A642"/>
      <c r="B642" s="3"/>
      <c r="C642" s="853"/>
      <c r="F642" s="1"/>
      <c r="H642" s="2464"/>
      <c r="I642" s="2464"/>
      <c r="J642" s="2465"/>
      <c r="K642" s="2465"/>
      <c r="Q642" s="36"/>
      <c r="R642" s="2501"/>
      <c r="S642" s="2502"/>
      <c r="T642" s="2503"/>
      <c r="AF642"/>
      <c r="AG642"/>
      <c r="AH642"/>
    </row>
    <row r="643" spans="1:34" ht="18" customHeight="1" x14ac:dyDescent="0.2">
      <c r="A643"/>
      <c r="B643" s="3"/>
      <c r="C643" s="853"/>
      <c r="F643" s="1"/>
      <c r="H643" s="2464"/>
      <c r="I643" s="2464"/>
      <c r="J643" s="2465"/>
      <c r="K643" s="2465"/>
      <c r="Q643" s="36"/>
      <c r="R643" s="2501"/>
      <c r="S643" s="2502"/>
      <c r="T643" s="2503"/>
      <c r="AF643"/>
      <c r="AG643"/>
      <c r="AH643"/>
    </row>
    <row r="644" spans="1:34" ht="18" customHeight="1" x14ac:dyDescent="0.2">
      <c r="A644"/>
      <c r="B644" s="3"/>
      <c r="C644" s="853"/>
      <c r="F644" s="1"/>
      <c r="H644" s="2464"/>
      <c r="I644" s="2464"/>
      <c r="J644" s="2465"/>
      <c r="K644" s="2465"/>
      <c r="Q644" s="36"/>
      <c r="R644" s="2501"/>
      <c r="S644" s="2502"/>
      <c r="T644" s="2503"/>
      <c r="AF644"/>
      <c r="AG644"/>
      <c r="AH644"/>
    </row>
    <row r="645" spans="1:34" ht="18" customHeight="1" x14ac:dyDescent="0.2">
      <c r="A645"/>
      <c r="B645" s="3"/>
      <c r="C645" s="853"/>
      <c r="F645" s="1"/>
      <c r="H645" s="2464"/>
      <c r="I645" s="2464"/>
      <c r="J645" s="2465"/>
      <c r="K645" s="2465"/>
      <c r="Q645" s="36"/>
      <c r="R645" s="2501"/>
      <c r="S645" s="2502"/>
      <c r="T645" s="2503"/>
      <c r="AF645"/>
      <c r="AG645"/>
      <c r="AH645"/>
    </row>
    <row r="646" spans="1:34" ht="18" customHeight="1" x14ac:dyDescent="0.2">
      <c r="A646"/>
      <c r="B646" s="3"/>
      <c r="C646" s="853"/>
      <c r="F646" s="1"/>
      <c r="H646" s="2464"/>
      <c r="I646" s="2464"/>
      <c r="J646" s="2465"/>
      <c r="K646" s="2465"/>
      <c r="Q646" s="36"/>
      <c r="R646" s="2501"/>
      <c r="S646" s="2502"/>
      <c r="T646" s="2503"/>
      <c r="AF646"/>
      <c r="AG646"/>
      <c r="AH646"/>
    </row>
    <row r="647" spans="1:34" ht="18" customHeight="1" x14ac:dyDescent="0.2">
      <c r="A647"/>
      <c r="B647" s="3"/>
      <c r="C647" s="853"/>
      <c r="F647" s="1"/>
      <c r="H647" s="2464"/>
      <c r="I647" s="2464"/>
      <c r="J647" s="2465"/>
      <c r="K647" s="2465"/>
      <c r="Q647" s="36"/>
      <c r="R647" s="2501"/>
      <c r="S647" s="2502"/>
      <c r="T647" s="2503"/>
      <c r="AF647"/>
      <c r="AG647"/>
      <c r="AH647"/>
    </row>
    <row r="648" spans="1:34" ht="18" customHeight="1" x14ac:dyDescent="0.2">
      <c r="A648"/>
      <c r="B648" s="3"/>
      <c r="C648" s="853"/>
      <c r="F648" s="1"/>
      <c r="H648" s="2464"/>
      <c r="I648" s="2464"/>
      <c r="J648" s="2465"/>
      <c r="K648" s="2465"/>
      <c r="Q648" s="36"/>
      <c r="R648" s="2501"/>
      <c r="S648" s="2502"/>
      <c r="T648" s="2503"/>
      <c r="AF648"/>
      <c r="AG648"/>
      <c r="AH648"/>
    </row>
    <row r="649" spans="1:34" ht="18" customHeight="1" x14ac:dyDescent="0.2">
      <c r="A649"/>
      <c r="B649" s="3"/>
      <c r="C649" s="853"/>
      <c r="F649" s="1"/>
      <c r="H649" s="2464"/>
      <c r="I649" s="2464"/>
      <c r="J649" s="2465"/>
      <c r="K649" s="2465"/>
      <c r="Q649" s="36"/>
      <c r="R649" s="2501"/>
      <c r="S649" s="2502"/>
      <c r="T649" s="2503"/>
      <c r="AF649"/>
      <c r="AG649"/>
      <c r="AH649"/>
    </row>
    <row r="650" spans="1:34" ht="18" customHeight="1" x14ac:dyDescent="0.2">
      <c r="A650"/>
      <c r="B650" s="3"/>
      <c r="C650" s="853"/>
      <c r="F650" s="1"/>
      <c r="H650" s="2464"/>
      <c r="I650" s="2464"/>
      <c r="J650" s="2465"/>
      <c r="K650" s="2465"/>
      <c r="Q650" s="36"/>
      <c r="R650" s="2501"/>
      <c r="S650" s="2502"/>
      <c r="T650" s="2503"/>
      <c r="AF650"/>
      <c r="AG650"/>
      <c r="AH650"/>
    </row>
    <row r="651" spans="1:34" ht="18" customHeight="1" x14ac:dyDescent="0.2">
      <c r="A651"/>
      <c r="B651" s="3"/>
      <c r="C651" s="853"/>
      <c r="F651" s="1"/>
      <c r="H651" s="2464"/>
      <c r="I651" s="2464"/>
      <c r="J651" s="2465"/>
      <c r="K651" s="2465"/>
      <c r="Q651" s="36"/>
      <c r="R651" s="2501"/>
      <c r="S651" s="2502"/>
      <c r="T651" s="2503"/>
      <c r="AF651"/>
      <c r="AG651"/>
      <c r="AH651"/>
    </row>
    <row r="652" spans="1:34" ht="18" customHeight="1" x14ac:dyDescent="0.2">
      <c r="A652"/>
      <c r="B652" s="3"/>
      <c r="C652" s="853"/>
      <c r="F652" s="1"/>
      <c r="H652" s="2464"/>
      <c r="I652" s="2464"/>
      <c r="J652" s="2465"/>
      <c r="K652" s="2465"/>
      <c r="Q652" s="36"/>
      <c r="R652" s="2501"/>
      <c r="S652" s="2502"/>
      <c r="T652" s="2503"/>
      <c r="AF652"/>
      <c r="AG652"/>
      <c r="AH652"/>
    </row>
    <row r="653" spans="1:34" ht="18" customHeight="1" x14ac:dyDescent="0.2">
      <c r="A653"/>
      <c r="B653" s="3"/>
      <c r="C653" s="853"/>
      <c r="F653" s="1"/>
      <c r="H653" s="2464"/>
      <c r="I653" s="2464"/>
      <c r="J653" s="2465"/>
      <c r="K653" s="2465"/>
      <c r="Q653" s="36"/>
      <c r="R653" s="2501"/>
      <c r="S653" s="2502"/>
      <c r="T653" s="2503"/>
      <c r="AF653"/>
      <c r="AG653"/>
      <c r="AH653"/>
    </row>
    <row r="654" spans="1:34" ht="18" customHeight="1" x14ac:dyDescent="0.2">
      <c r="A654"/>
      <c r="B654" s="3"/>
      <c r="C654" s="853"/>
      <c r="F654" s="1"/>
      <c r="H654" s="2464"/>
      <c r="I654" s="2464"/>
      <c r="J654" s="2465"/>
      <c r="K654" s="2465"/>
      <c r="Q654" s="36"/>
      <c r="R654" s="2501"/>
      <c r="S654" s="2502"/>
      <c r="T654" s="2503"/>
      <c r="AF654"/>
      <c r="AG654"/>
      <c r="AH654"/>
    </row>
    <row r="655" spans="1:34" ht="18" customHeight="1" x14ac:dyDescent="0.2">
      <c r="A655"/>
      <c r="B655" s="3"/>
      <c r="C655" s="853"/>
      <c r="F655" s="1"/>
      <c r="H655" s="2464"/>
      <c r="I655" s="2464"/>
      <c r="J655" s="2465"/>
      <c r="K655" s="2465"/>
      <c r="Q655" s="36"/>
      <c r="R655" s="2501"/>
      <c r="S655" s="2502"/>
      <c r="T655" s="2503"/>
      <c r="AF655"/>
      <c r="AG655"/>
      <c r="AH655"/>
    </row>
    <row r="656" spans="1:34" ht="18" customHeight="1" x14ac:dyDescent="0.2">
      <c r="A656"/>
      <c r="B656" s="3"/>
      <c r="C656" s="853"/>
      <c r="F656" s="1"/>
      <c r="H656" s="2464"/>
      <c r="I656" s="2464"/>
      <c r="J656" s="2465"/>
      <c r="K656" s="2465"/>
      <c r="Q656" s="36"/>
      <c r="R656" s="2501"/>
      <c r="S656" s="2502"/>
      <c r="T656" s="2503"/>
      <c r="AF656"/>
      <c r="AG656"/>
      <c r="AH656"/>
    </row>
    <row r="657" spans="1:34" ht="18" customHeight="1" x14ac:dyDescent="0.2">
      <c r="A657"/>
      <c r="B657" s="3">
        <f>Stückliste!B762</f>
        <v>0</v>
      </c>
      <c r="C657" s="853">
        <f>Stückliste!D762</f>
        <v>0</v>
      </c>
      <c r="D657" s="1">
        <f>Stückliste!F762</f>
        <v>0</v>
      </c>
      <c r="F657" s="1"/>
      <c r="H657" s="2464"/>
      <c r="I657" s="2464"/>
      <c r="J657" s="2465"/>
      <c r="K657" s="2465"/>
      <c r="L657" s="1" t="s">
        <v>53</v>
      </c>
      <c r="Q657" s="36"/>
      <c r="R657" s="109">
        <f t="shared" ref="R657:R673" si="186">C657</f>
        <v>0</v>
      </c>
      <c r="AE657" s="1">
        <v>1</v>
      </c>
      <c r="AF657"/>
      <c r="AG657"/>
      <c r="AH657"/>
    </row>
    <row r="658" spans="1:34" ht="18" customHeight="1" x14ac:dyDescent="0.2">
      <c r="A658"/>
      <c r="B658" s="3">
        <f>Stückliste!B763</f>
        <v>0</v>
      </c>
      <c r="C658" s="853">
        <f>Stückliste!D763</f>
        <v>0</v>
      </c>
      <c r="D658" s="1">
        <f>Stückliste!F763</f>
        <v>0</v>
      </c>
      <c r="F658" s="1"/>
      <c r="H658" s="2464"/>
      <c r="I658" s="2464"/>
      <c r="J658" s="2465"/>
      <c r="K658" s="2465"/>
      <c r="L658" s="1" t="s">
        <v>53</v>
      </c>
      <c r="Q658" s="36"/>
      <c r="R658" s="109">
        <f t="shared" si="186"/>
        <v>0</v>
      </c>
      <c r="AE658" s="1">
        <v>1</v>
      </c>
      <c r="AF658"/>
      <c r="AG658"/>
      <c r="AH658"/>
    </row>
    <row r="659" spans="1:34" ht="18" customHeight="1" x14ac:dyDescent="0.2">
      <c r="A659"/>
      <c r="B659" s="3">
        <f>Stückliste!B764</f>
        <v>0</v>
      </c>
      <c r="C659" s="853">
        <f>Stückliste!D764</f>
        <v>0</v>
      </c>
      <c r="D659" s="1">
        <f>Stückliste!F764</f>
        <v>0</v>
      </c>
      <c r="F659" s="1"/>
      <c r="H659" s="2464"/>
      <c r="I659" s="2464"/>
      <c r="J659" s="2465"/>
      <c r="K659" s="2465"/>
      <c r="L659" s="1" t="s">
        <v>53</v>
      </c>
      <c r="Q659" s="36"/>
      <c r="R659" s="109">
        <f t="shared" si="186"/>
        <v>0</v>
      </c>
      <c r="AE659" s="1">
        <v>1</v>
      </c>
      <c r="AF659"/>
      <c r="AG659"/>
      <c r="AH659"/>
    </row>
    <row r="660" spans="1:34" ht="18" customHeight="1" x14ac:dyDescent="0.2">
      <c r="A660"/>
      <c r="B660" s="3">
        <f>Stückliste!B765</f>
        <v>0</v>
      </c>
      <c r="C660" s="853">
        <f>Stückliste!D765</f>
        <v>0</v>
      </c>
      <c r="D660" s="1">
        <f>Stückliste!F765</f>
        <v>0</v>
      </c>
      <c r="F660" s="1"/>
      <c r="H660" s="2464"/>
      <c r="I660" s="2464"/>
      <c r="J660" s="2465"/>
      <c r="K660" s="2465"/>
      <c r="L660" s="1" t="s">
        <v>53</v>
      </c>
      <c r="Q660" s="36"/>
      <c r="R660" s="109">
        <f t="shared" si="186"/>
        <v>0</v>
      </c>
      <c r="AE660" s="1">
        <v>1</v>
      </c>
      <c r="AF660"/>
      <c r="AG660"/>
      <c r="AH660"/>
    </row>
    <row r="661" spans="1:34" ht="18" customHeight="1" x14ac:dyDescent="0.2">
      <c r="A661"/>
      <c r="B661" s="3">
        <f>Stückliste!B766</f>
        <v>0</v>
      </c>
      <c r="C661" s="853">
        <f>Stückliste!D766</f>
        <v>0</v>
      </c>
      <c r="D661" s="1">
        <f>Stückliste!F766</f>
        <v>0</v>
      </c>
      <c r="F661" s="1"/>
      <c r="H661" s="2464"/>
      <c r="I661" s="2464"/>
      <c r="J661" s="2465"/>
      <c r="K661" s="2465"/>
      <c r="L661" s="1" t="s">
        <v>53</v>
      </c>
      <c r="Q661" s="36"/>
      <c r="R661" s="109">
        <f t="shared" si="186"/>
        <v>0</v>
      </c>
      <c r="AE661" s="1">
        <v>1</v>
      </c>
      <c r="AF661"/>
      <c r="AG661"/>
      <c r="AH661"/>
    </row>
    <row r="662" spans="1:34" ht="18" customHeight="1" x14ac:dyDescent="0.2">
      <c r="A662"/>
      <c r="B662" s="3">
        <f>Stückliste!B767</f>
        <v>0</v>
      </c>
      <c r="C662" s="853">
        <f>Stückliste!D767</f>
        <v>0</v>
      </c>
      <c r="D662" s="1">
        <f>Stückliste!F767</f>
        <v>0</v>
      </c>
      <c r="F662" s="1"/>
      <c r="H662" s="2464"/>
      <c r="I662" s="2464"/>
      <c r="J662" s="2465"/>
      <c r="K662" s="2465"/>
      <c r="L662" s="1" t="s">
        <v>53</v>
      </c>
      <c r="Q662" s="36"/>
      <c r="R662" s="109">
        <f t="shared" si="186"/>
        <v>0</v>
      </c>
      <c r="AE662" s="1">
        <v>1</v>
      </c>
      <c r="AF662"/>
      <c r="AG662"/>
      <c r="AH662"/>
    </row>
    <row r="663" spans="1:34" ht="18" customHeight="1" x14ac:dyDescent="0.2">
      <c r="A663"/>
      <c r="B663" s="3">
        <f>Stückliste!B768</f>
        <v>0</v>
      </c>
      <c r="C663" s="853">
        <f>Stückliste!D768</f>
        <v>0</v>
      </c>
      <c r="D663" s="1">
        <f>Stückliste!F768</f>
        <v>0</v>
      </c>
      <c r="F663" s="1"/>
      <c r="H663" s="2464"/>
      <c r="I663" s="2464"/>
      <c r="J663" s="2465"/>
      <c r="K663" s="2465"/>
      <c r="L663" s="1" t="s">
        <v>53</v>
      </c>
      <c r="Q663" s="36"/>
      <c r="R663" s="109">
        <f t="shared" si="186"/>
        <v>0</v>
      </c>
      <c r="AE663" s="1">
        <v>1</v>
      </c>
      <c r="AF663"/>
      <c r="AG663"/>
      <c r="AH663"/>
    </row>
    <row r="664" spans="1:34" ht="18" customHeight="1" x14ac:dyDescent="0.2">
      <c r="A664"/>
      <c r="B664" s="3">
        <f>Stückliste!B769</f>
        <v>0</v>
      </c>
      <c r="C664" s="853">
        <f>Stückliste!D769</f>
        <v>0</v>
      </c>
      <c r="D664" s="1">
        <f>Stückliste!F769</f>
        <v>0</v>
      </c>
      <c r="F664" s="1"/>
      <c r="H664" s="2464"/>
      <c r="I664" s="2464"/>
      <c r="J664" s="2465"/>
      <c r="K664" s="2465"/>
      <c r="L664" s="1" t="s">
        <v>53</v>
      </c>
      <c r="Q664" s="36"/>
      <c r="R664" s="109">
        <f t="shared" si="186"/>
        <v>0</v>
      </c>
      <c r="AE664" s="1">
        <v>1</v>
      </c>
      <c r="AF664"/>
      <c r="AG664"/>
      <c r="AH664"/>
    </row>
    <row r="665" spans="1:34" ht="18" customHeight="1" x14ac:dyDescent="0.2">
      <c r="A665"/>
      <c r="B665" s="3">
        <f>Stückliste!B770</f>
        <v>0</v>
      </c>
      <c r="C665" s="853">
        <f>Stückliste!D770</f>
        <v>0</v>
      </c>
      <c r="D665" s="1">
        <f>Stückliste!F770</f>
        <v>0</v>
      </c>
      <c r="F665" s="1"/>
      <c r="H665" s="2464"/>
      <c r="I665" s="2464"/>
      <c r="J665" s="2465"/>
      <c r="K665" s="2465"/>
      <c r="L665" s="1" t="s">
        <v>53</v>
      </c>
      <c r="Q665" s="36"/>
      <c r="R665" s="109">
        <f t="shared" si="186"/>
        <v>0</v>
      </c>
      <c r="AE665" s="1">
        <v>1</v>
      </c>
      <c r="AF665"/>
      <c r="AG665"/>
      <c r="AH665"/>
    </row>
    <row r="666" spans="1:34" ht="18" customHeight="1" x14ac:dyDescent="0.2">
      <c r="A666"/>
      <c r="B666" s="3">
        <f>Stückliste!B771</f>
        <v>0</v>
      </c>
      <c r="C666" s="853">
        <f>Stückliste!D771</f>
        <v>0</v>
      </c>
      <c r="D666" s="1">
        <f>Stückliste!F771</f>
        <v>0</v>
      </c>
      <c r="F666" s="1"/>
      <c r="H666" s="2464"/>
      <c r="I666" s="2464"/>
      <c r="J666" s="2465"/>
      <c r="K666" s="2465"/>
      <c r="L666" s="1" t="s">
        <v>53</v>
      </c>
      <c r="Q666" s="36"/>
      <c r="R666" s="109">
        <f t="shared" si="186"/>
        <v>0</v>
      </c>
      <c r="AE666" s="1">
        <v>1</v>
      </c>
      <c r="AF666"/>
      <c r="AG666"/>
      <c r="AH666"/>
    </row>
    <row r="667" spans="1:34" ht="18" customHeight="1" x14ac:dyDescent="0.2">
      <c r="A667"/>
      <c r="B667" s="3">
        <f>Stückliste!B772</f>
        <v>0</v>
      </c>
      <c r="C667" s="853">
        <f>Stückliste!D772</f>
        <v>0</v>
      </c>
      <c r="D667" s="1">
        <f>Stückliste!F772</f>
        <v>0</v>
      </c>
      <c r="F667" s="1"/>
      <c r="H667" s="2464"/>
      <c r="I667" s="2464"/>
      <c r="J667" s="2465"/>
      <c r="K667" s="2465"/>
      <c r="L667" s="1" t="s">
        <v>53</v>
      </c>
      <c r="Q667" s="36"/>
      <c r="R667" s="109">
        <f t="shared" si="186"/>
        <v>0</v>
      </c>
      <c r="AE667" s="1">
        <v>1</v>
      </c>
      <c r="AF667"/>
      <c r="AG667"/>
      <c r="AH667"/>
    </row>
    <row r="668" spans="1:34" ht="18" customHeight="1" x14ac:dyDescent="0.2">
      <c r="A668"/>
      <c r="B668" s="3">
        <f>Stückliste!B773</f>
        <v>0</v>
      </c>
      <c r="C668" s="853">
        <f>Stückliste!D773</f>
        <v>0</v>
      </c>
      <c r="D668" s="1">
        <f>Stückliste!F773</f>
        <v>0</v>
      </c>
      <c r="F668" s="1"/>
      <c r="H668" s="2464"/>
      <c r="I668" s="2464"/>
      <c r="J668" s="2465"/>
      <c r="K668" s="2465"/>
      <c r="L668" s="1" t="s">
        <v>53</v>
      </c>
      <c r="Q668" s="36"/>
      <c r="R668" s="109">
        <f t="shared" si="186"/>
        <v>0</v>
      </c>
      <c r="AE668" s="1">
        <v>1</v>
      </c>
      <c r="AF668"/>
      <c r="AG668"/>
      <c r="AH668"/>
    </row>
    <row r="669" spans="1:34" ht="18" customHeight="1" x14ac:dyDescent="0.2">
      <c r="A669"/>
      <c r="B669" s="3">
        <f>Stückliste!B774</f>
        <v>0</v>
      </c>
      <c r="C669" s="853">
        <f>Stückliste!D774</f>
        <v>0</v>
      </c>
      <c r="D669" s="1">
        <f>Stückliste!F774</f>
        <v>0</v>
      </c>
      <c r="F669" s="1"/>
      <c r="H669" s="2464"/>
      <c r="I669" s="2464"/>
      <c r="J669" s="2465"/>
      <c r="K669" s="2465"/>
      <c r="L669" s="1" t="s">
        <v>53</v>
      </c>
      <c r="Q669" s="36"/>
      <c r="R669" s="109">
        <f t="shared" si="186"/>
        <v>0</v>
      </c>
      <c r="AE669" s="1">
        <v>1</v>
      </c>
      <c r="AF669"/>
      <c r="AG669"/>
      <c r="AH669"/>
    </row>
    <row r="670" spans="1:34" ht="18" customHeight="1" x14ac:dyDescent="0.2">
      <c r="A670"/>
      <c r="B670" s="3">
        <f>Stückliste!B775</f>
        <v>0</v>
      </c>
      <c r="C670" s="853">
        <f>Stückliste!D775</f>
        <v>0</v>
      </c>
      <c r="D670" s="1">
        <f>Stückliste!F775</f>
        <v>0</v>
      </c>
      <c r="H670" s="2464"/>
      <c r="I670" s="2464"/>
      <c r="J670" s="2465"/>
      <c r="K670" s="2465"/>
      <c r="L670" s="1" t="s">
        <v>53</v>
      </c>
      <c r="Q670" s="36"/>
      <c r="R670" s="109">
        <f t="shared" si="186"/>
        <v>0</v>
      </c>
      <c r="AE670" s="1">
        <v>1</v>
      </c>
      <c r="AF670"/>
      <c r="AG670"/>
      <c r="AH670"/>
    </row>
    <row r="671" spans="1:34" ht="18" customHeight="1" x14ac:dyDescent="0.2">
      <c r="A671"/>
      <c r="B671" s="3">
        <f>Stückliste!B776</f>
        <v>0</v>
      </c>
      <c r="C671" s="853">
        <f>Stückliste!D776</f>
        <v>0</v>
      </c>
      <c r="D671" s="1">
        <f>Stückliste!F776</f>
        <v>0</v>
      </c>
      <c r="H671" s="2464"/>
      <c r="I671" s="2464"/>
      <c r="J671" s="2465"/>
      <c r="K671" s="2465"/>
      <c r="L671" s="1" t="s">
        <v>53</v>
      </c>
      <c r="Q671" s="36"/>
      <c r="R671" s="109">
        <f t="shared" si="186"/>
        <v>0</v>
      </c>
      <c r="AE671" s="1">
        <v>1</v>
      </c>
      <c r="AF671"/>
      <c r="AG671"/>
      <c r="AH671"/>
    </row>
    <row r="672" spans="1:34" ht="18" customHeight="1" x14ac:dyDescent="0.2">
      <c r="A672"/>
      <c r="B672" s="3">
        <f>Stückliste!B777</f>
        <v>0</v>
      </c>
      <c r="C672" s="853">
        <f>Stückliste!D777</f>
        <v>0</v>
      </c>
      <c r="D672" s="1">
        <f>Stückliste!F777</f>
        <v>0</v>
      </c>
      <c r="H672" s="2464"/>
      <c r="I672" s="2464"/>
      <c r="J672" s="2465"/>
      <c r="K672" s="2465"/>
      <c r="L672" s="1" t="s">
        <v>53</v>
      </c>
      <c r="Q672" s="36"/>
      <c r="R672" s="109">
        <f t="shared" si="186"/>
        <v>0</v>
      </c>
      <c r="AE672" s="1">
        <v>1</v>
      </c>
      <c r="AF672"/>
      <c r="AG672"/>
      <c r="AH672"/>
    </row>
    <row r="673" spans="1:34" ht="18" customHeight="1" x14ac:dyDescent="0.2">
      <c r="A673"/>
      <c r="B673" s="3">
        <f>Stückliste!B778</f>
        <v>0</v>
      </c>
      <c r="C673" s="853">
        <f>Stückliste!D778</f>
        <v>0</v>
      </c>
      <c r="D673" s="1">
        <f>Stückliste!F778</f>
        <v>0</v>
      </c>
      <c r="H673" s="2464"/>
      <c r="I673" s="2464"/>
      <c r="J673" s="2465"/>
      <c r="K673" s="2465"/>
      <c r="L673" s="1" t="s">
        <v>53</v>
      </c>
      <c r="Q673" s="36"/>
      <c r="R673" s="109">
        <f t="shared" si="186"/>
        <v>0</v>
      </c>
      <c r="AE673" s="1">
        <v>1</v>
      </c>
      <c r="AF673"/>
      <c r="AG673"/>
      <c r="AH673"/>
    </row>
    <row r="674" spans="1:34" ht="18" customHeight="1" x14ac:dyDescent="0.2">
      <c r="A674"/>
      <c r="B674" s="3">
        <f>Stückliste!B779</f>
        <v>0</v>
      </c>
      <c r="C674" s="853">
        <f>Stückliste!D779</f>
        <v>0</v>
      </c>
      <c r="D674" s="1">
        <f>Stückliste!F779</f>
        <v>0</v>
      </c>
      <c r="H674" s="2464"/>
      <c r="I674" s="2464"/>
      <c r="J674" s="2465"/>
      <c r="K674" s="2465"/>
      <c r="L674" s="1" t="s">
        <v>53</v>
      </c>
      <c r="Q674" s="36"/>
      <c r="R674" s="109">
        <f t="shared" ref="R674:R702" si="187">C674</f>
        <v>0</v>
      </c>
      <c r="AE674" s="1">
        <v>1</v>
      </c>
      <c r="AF674"/>
      <c r="AG674"/>
      <c r="AH674"/>
    </row>
    <row r="675" spans="1:34" ht="18" customHeight="1" x14ac:dyDescent="0.2">
      <c r="A675"/>
      <c r="B675" s="3">
        <f>Stückliste!B780</f>
        <v>0</v>
      </c>
      <c r="C675" s="853">
        <f>Stückliste!D780</f>
        <v>0</v>
      </c>
      <c r="D675" s="1">
        <f>Stückliste!F780</f>
        <v>0</v>
      </c>
      <c r="H675" s="2464"/>
      <c r="I675" s="2464"/>
      <c r="J675" s="2465"/>
      <c r="K675" s="2465"/>
      <c r="L675" s="1" t="s">
        <v>53</v>
      </c>
      <c r="Q675" s="36"/>
      <c r="R675" s="109">
        <f t="shared" si="187"/>
        <v>0</v>
      </c>
      <c r="AE675" s="1">
        <v>1</v>
      </c>
      <c r="AF675"/>
      <c r="AG675"/>
      <c r="AH675"/>
    </row>
    <row r="676" spans="1:34" ht="18" customHeight="1" x14ac:dyDescent="0.2">
      <c r="A676"/>
      <c r="B676" s="3">
        <f>Stückliste!B781</f>
        <v>0</v>
      </c>
      <c r="C676" s="853">
        <f>Stückliste!D781</f>
        <v>0</v>
      </c>
      <c r="D676" s="1">
        <f>Stückliste!F781</f>
        <v>0</v>
      </c>
      <c r="H676" s="2464"/>
      <c r="I676" s="2464"/>
      <c r="J676" s="2465"/>
      <c r="K676" s="2465"/>
      <c r="L676" s="1" t="s">
        <v>53</v>
      </c>
      <c r="Q676" s="36"/>
      <c r="R676" s="109">
        <f t="shared" si="187"/>
        <v>0</v>
      </c>
      <c r="AE676" s="1">
        <v>1</v>
      </c>
      <c r="AF676"/>
      <c r="AG676"/>
      <c r="AH676"/>
    </row>
    <row r="677" spans="1:34" ht="18" customHeight="1" x14ac:dyDescent="0.2">
      <c r="A677"/>
      <c r="B677" s="3">
        <f>Stückliste!B782</f>
        <v>0</v>
      </c>
      <c r="C677" s="853">
        <f>Stückliste!D782</f>
        <v>0</v>
      </c>
      <c r="D677" s="1">
        <f>Stückliste!F782</f>
        <v>0</v>
      </c>
      <c r="H677" s="2464"/>
      <c r="I677" s="2464"/>
      <c r="J677" s="2465"/>
      <c r="K677" s="2465"/>
      <c r="L677" s="1" t="s">
        <v>53</v>
      </c>
      <c r="Q677" s="36"/>
      <c r="R677" s="109">
        <f t="shared" si="187"/>
        <v>0</v>
      </c>
      <c r="AE677" s="1">
        <v>1</v>
      </c>
      <c r="AF677"/>
      <c r="AG677"/>
      <c r="AH677"/>
    </row>
    <row r="678" spans="1:34" ht="18" customHeight="1" x14ac:dyDescent="0.2">
      <c r="A678"/>
      <c r="B678" s="3">
        <f>Stückliste!B783</f>
        <v>0</v>
      </c>
      <c r="C678" s="853">
        <f>Stückliste!D783</f>
        <v>0</v>
      </c>
      <c r="D678" s="1">
        <f>Stückliste!F783</f>
        <v>0</v>
      </c>
      <c r="H678" s="2464"/>
      <c r="I678" s="2464"/>
      <c r="J678" s="2465"/>
      <c r="K678" s="2465"/>
      <c r="L678" s="1" t="s">
        <v>53</v>
      </c>
      <c r="Q678" s="36"/>
      <c r="R678" s="109">
        <f t="shared" si="187"/>
        <v>0</v>
      </c>
      <c r="AE678" s="1">
        <v>1</v>
      </c>
      <c r="AF678"/>
      <c r="AG678"/>
      <c r="AH678"/>
    </row>
    <row r="679" spans="1:34" ht="18" customHeight="1" x14ac:dyDescent="0.2">
      <c r="A679"/>
      <c r="B679" s="3">
        <f>Stückliste!B784</f>
        <v>0</v>
      </c>
      <c r="C679" s="853">
        <f>Stückliste!D784</f>
        <v>0</v>
      </c>
      <c r="D679" s="1">
        <f>Stückliste!F784</f>
        <v>0</v>
      </c>
      <c r="H679" s="2464"/>
      <c r="I679" s="2464"/>
      <c r="J679" s="2465"/>
      <c r="K679" s="2465"/>
      <c r="L679" s="1" t="s">
        <v>53</v>
      </c>
      <c r="Q679" s="36"/>
      <c r="R679" s="109">
        <f t="shared" si="187"/>
        <v>0</v>
      </c>
      <c r="AE679" s="1">
        <v>1</v>
      </c>
      <c r="AF679"/>
      <c r="AG679"/>
      <c r="AH679"/>
    </row>
    <row r="680" spans="1:34" ht="18" customHeight="1" x14ac:dyDescent="0.2">
      <c r="A680"/>
      <c r="B680" s="3">
        <f>Stückliste!B785</f>
        <v>0</v>
      </c>
      <c r="C680" s="853">
        <f>Stückliste!D785</f>
        <v>0</v>
      </c>
      <c r="D680" s="1">
        <f>Stückliste!F785</f>
        <v>0</v>
      </c>
      <c r="H680" s="2464"/>
      <c r="I680" s="2464"/>
      <c r="J680" s="2465"/>
      <c r="K680" s="2465"/>
      <c r="L680" s="1" t="s">
        <v>53</v>
      </c>
      <c r="Q680" s="36"/>
      <c r="R680" s="109">
        <f t="shared" si="187"/>
        <v>0</v>
      </c>
      <c r="AE680" s="1">
        <v>1</v>
      </c>
      <c r="AF680"/>
      <c r="AG680"/>
      <c r="AH680"/>
    </row>
    <row r="681" spans="1:34" ht="18" customHeight="1" x14ac:dyDescent="0.2">
      <c r="A681"/>
      <c r="B681" s="3">
        <f>Stückliste!B786</f>
        <v>0</v>
      </c>
      <c r="C681" s="853">
        <f>Stückliste!D786</f>
        <v>0</v>
      </c>
      <c r="D681" s="1">
        <f>Stückliste!F786</f>
        <v>0</v>
      </c>
      <c r="H681" s="2464"/>
      <c r="I681" s="2464"/>
      <c r="J681" s="2465"/>
      <c r="K681" s="2465"/>
      <c r="L681" s="1" t="s">
        <v>53</v>
      </c>
      <c r="Q681" s="36"/>
      <c r="R681" s="109">
        <f t="shared" si="187"/>
        <v>0</v>
      </c>
      <c r="AE681" s="1">
        <v>1</v>
      </c>
      <c r="AF681"/>
      <c r="AG681"/>
      <c r="AH681"/>
    </row>
    <row r="682" spans="1:34" ht="18" customHeight="1" x14ac:dyDescent="0.2">
      <c r="A682"/>
      <c r="B682" s="3">
        <f>Stückliste!B787</f>
        <v>0</v>
      </c>
      <c r="C682" s="853">
        <f>Stückliste!D787</f>
        <v>0</v>
      </c>
      <c r="D682" s="1">
        <f>Stückliste!F787</f>
        <v>0</v>
      </c>
      <c r="H682" s="2464"/>
      <c r="I682" s="2464"/>
      <c r="J682" s="2465"/>
      <c r="K682" s="2465"/>
      <c r="L682" s="1" t="s">
        <v>53</v>
      </c>
      <c r="Q682" s="36"/>
      <c r="R682" s="109">
        <f t="shared" si="187"/>
        <v>0</v>
      </c>
      <c r="AE682" s="1">
        <v>1</v>
      </c>
      <c r="AF682"/>
      <c r="AG682"/>
      <c r="AH682"/>
    </row>
    <row r="683" spans="1:34" ht="18" customHeight="1" x14ac:dyDescent="0.2">
      <c r="A683"/>
      <c r="B683" s="3">
        <f>Stückliste!B788</f>
        <v>0</v>
      </c>
      <c r="C683" s="853">
        <f>Stückliste!D788</f>
        <v>0</v>
      </c>
      <c r="D683" s="1">
        <f>Stückliste!F788</f>
        <v>0</v>
      </c>
      <c r="H683" s="2464"/>
      <c r="I683" s="2464"/>
      <c r="J683" s="2465"/>
      <c r="K683" s="2465"/>
      <c r="L683" s="1" t="s">
        <v>53</v>
      </c>
      <c r="Q683" s="36"/>
      <c r="R683" s="109">
        <f t="shared" si="187"/>
        <v>0</v>
      </c>
      <c r="AE683" s="1">
        <v>1</v>
      </c>
      <c r="AF683"/>
      <c r="AG683"/>
      <c r="AH683"/>
    </row>
    <row r="684" spans="1:34" ht="18" customHeight="1" x14ac:dyDescent="0.2">
      <c r="A684"/>
      <c r="B684" s="3">
        <f>Stückliste!B789</f>
        <v>0</v>
      </c>
      <c r="C684" s="853">
        <f>Stückliste!D789</f>
        <v>0</v>
      </c>
      <c r="D684" s="1">
        <f>Stückliste!F789</f>
        <v>0</v>
      </c>
      <c r="H684" s="2464"/>
      <c r="I684" s="2464"/>
      <c r="J684" s="2465"/>
      <c r="K684" s="2465"/>
      <c r="L684" s="1" t="s">
        <v>53</v>
      </c>
      <c r="Q684" s="36"/>
      <c r="R684" s="109">
        <f t="shared" si="187"/>
        <v>0</v>
      </c>
      <c r="AE684" s="1">
        <v>1</v>
      </c>
      <c r="AF684"/>
      <c r="AG684"/>
      <c r="AH684"/>
    </row>
    <row r="685" spans="1:34" ht="18" customHeight="1" x14ac:dyDescent="0.2">
      <c r="A685"/>
      <c r="B685" s="3">
        <f>Stückliste!B790</f>
        <v>0</v>
      </c>
      <c r="C685" s="853">
        <f>Stückliste!D790</f>
        <v>0</v>
      </c>
      <c r="D685" s="1">
        <f>Stückliste!F790</f>
        <v>0</v>
      </c>
      <c r="H685" s="2464"/>
      <c r="I685" s="2464"/>
      <c r="J685" s="2465"/>
      <c r="K685" s="2465"/>
      <c r="L685" s="1" t="s">
        <v>53</v>
      </c>
      <c r="Q685" s="36"/>
      <c r="R685" s="109">
        <f t="shared" si="187"/>
        <v>0</v>
      </c>
      <c r="AE685" s="1">
        <v>1</v>
      </c>
      <c r="AF685"/>
      <c r="AG685"/>
      <c r="AH685"/>
    </row>
    <row r="686" spans="1:34" ht="18" customHeight="1" x14ac:dyDescent="0.2">
      <c r="A686"/>
      <c r="B686" s="3">
        <f>Stückliste!B791</f>
        <v>0</v>
      </c>
      <c r="C686" s="853">
        <f>Stückliste!D791</f>
        <v>0</v>
      </c>
      <c r="D686" s="1">
        <f>Stückliste!F791</f>
        <v>0</v>
      </c>
      <c r="H686" s="2464"/>
      <c r="I686" s="2464"/>
      <c r="J686" s="2465"/>
      <c r="K686" s="2465"/>
      <c r="L686" s="1" t="s">
        <v>53</v>
      </c>
      <c r="Q686" s="36"/>
      <c r="R686" s="109">
        <f t="shared" si="187"/>
        <v>0</v>
      </c>
      <c r="AE686" s="1">
        <v>1</v>
      </c>
      <c r="AF686"/>
      <c r="AG686"/>
      <c r="AH686"/>
    </row>
    <row r="687" spans="1:34" ht="18" customHeight="1" x14ac:dyDescent="0.2">
      <c r="A687"/>
      <c r="B687" s="3">
        <f>Stückliste!B792</f>
        <v>0</v>
      </c>
      <c r="C687" s="853">
        <f>Stückliste!D792</f>
        <v>0</v>
      </c>
      <c r="D687" s="1">
        <f>Stückliste!F792</f>
        <v>0</v>
      </c>
      <c r="H687" s="2464"/>
      <c r="I687" s="2464"/>
      <c r="J687" s="2465"/>
      <c r="K687" s="2465"/>
      <c r="L687" s="1" t="s">
        <v>53</v>
      </c>
      <c r="Q687" s="36"/>
      <c r="R687" s="109">
        <f t="shared" si="187"/>
        <v>0</v>
      </c>
      <c r="AE687" s="1">
        <v>1</v>
      </c>
      <c r="AF687"/>
      <c r="AG687"/>
      <c r="AH687"/>
    </row>
    <row r="688" spans="1:34" ht="18" customHeight="1" x14ac:dyDescent="0.2">
      <c r="A688"/>
      <c r="B688" s="3">
        <f>Stückliste!B793</f>
        <v>0</v>
      </c>
      <c r="C688" s="853">
        <f>Stückliste!D793</f>
        <v>0</v>
      </c>
      <c r="D688" s="1">
        <f>Stückliste!F793</f>
        <v>0</v>
      </c>
      <c r="H688" s="2464"/>
      <c r="I688" s="2464"/>
      <c r="J688" s="2465"/>
      <c r="K688" s="2465"/>
      <c r="L688" s="1" t="s">
        <v>53</v>
      </c>
      <c r="Q688" s="36"/>
      <c r="R688" s="109">
        <f t="shared" si="187"/>
        <v>0</v>
      </c>
      <c r="AE688" s="1">
        <v>1</v>
      </c>
      <c r="AF688"/>
      <c r="AG688"/>
      <c r="AH688"/>
    </row>
    <row r="689" spans="1:34" ht="18" customHeight="1" x14ac:dyDescent="0.2">
      <c r="A689"/>
      <c r="B689" s="3">
        <f>Stückliste!B794</f>
        <v>0</v>
      </c>
      <c r="C689" s="853">
        <f>Stückliste!D794</f>
        <v>0</v>
      </c>
      <c r="D689" s="1">
        <f>Stückliste!F794</f>
        <v>0</v>
      </c>
      <c r="H689" s="2464"/>
      <c r="I689" s="2464"/>
      <c r="J689" s="2465"/>
      <c r="K689" s="2465"/>
      <c r="L689" s="1" t="s">
        <v>53</v>
      </c>
      <c r="Q689" s="36"/>
      <c r="R689" s="109">
        <f t="shared" si="187"/>
        <v>0</v>
      </c>
      <c r="AE689" s="1">
        <v>1</v>
      </c>
      <c r="AF689"/>
      <c r="AG689"/>
      <c r="AH689"/>
    </row>
    <row r="690" spans="1:34" ht="18" customHeight="1" x14ac:dyDescent="0.2">
      <c r="A690"/>
      <c r="B690" s="3">
        <f>Stückliste!B795</f>
        <v>0</v>
      </c>
      <c r="C690" s="853">
        <f>Stückliste!D795</f>
        <v>0</v>
      </c>
      <c r="D690" s="1">
        <f>Stückliste!F795</f>
        <v>0</v>
      </c>
      <c r="H690" s="2464"/>
      <c r="I690" s="2464"/>
      <c r="J690" s="2465"/>
      <c r="K690" s="2465"/>
      <c r="L690" s="1" t="s">
        <v>53</v>
      </c>
      <c r="Q690" s="36"/>
      <c r="R690" s="109">
        <f t="shared" si="187"/>
        <v>0</v>
      </c>
      <c r="AE690" s="1">
        <v>1</v>
      </c>
      <c r="AF690"/>
      <c r="AG690"/>
      <c r="AH690"/>
    </row>
    <row r="691" spans="1:34" ht="18" customHeight="1" x14ac:dyDescent="0.2">
      <c r="A691"/>
      <c r="B691" s="3">
        <f>Stückliste!B796</f>
        <v>0</v>
      </c>
      <c r="C691" s="853">
        <f>Stückliste!D796</f>
        <v>0</v>
      </c>
      <c r="D691" s="1">
        <f>Stückliste!F796</f>
        <v>0</v>
      </c>
      <c r="H691" s="2464"/>
      <c r="I691" s="2464"/>
      <c r="J691" s="2465"/>
      <c r="K691" s="2465"/>
      <c r="L691" s="1" t="s">
        <v>53</v>
      </c>
      <c r="Q691" s="36"/>
      <c r="R691" s="109">
        <f t="shared" si="187"/>
        <v>0</v>
      </c>
      <c r="AE691" s="1">
        <v>1</v>
      </c>
      <c r="AF691"/>
      <c r="AG691"/>
      <c r="AH691"/>
    </row>
    <row r="692" spans="1:34" ht="18" customHeight="1" x14ac:dyDescent="0.2">
      <c r="A692"/>
      <c r="B692" s="3">
        <f>Stückliste!B797</f>
        <v>0</v>
      </c>
      <c r="C692" s="853">
        <f>Stückliste!D797</f>
        <v>0</v>
      </c>
      <c r="D692" s="1">
        <f>Stückliste!F797</f>
        <v>0</v>
      </c>
      <c r="H692" s="2464"/>
      <c r="I692" s="2464"/>
      <c r="J692" s="2465"/>
      <c r="K692" s="2465"/>
      <c r="L692" s="1" t="s">
        <v>53</v>
      </c>
      <c r="Q692" s="36"/>
      <c r="R692" s="109">
        <f t="shared" si="187"/>
        <v>0</v>
      </c>
      <c r="AE692" s="1">
        <v>1</v>
      </c>
      <c r="AF692"/>
      <c r="AG692"/>
      <c r="AH692"/>
    </row>
    <row r="693" spans="1:34" ht="18" customHeight="1" x14ac:dyDescent="0.2">
      <c r="A693"/>
      <c r="B693" s="3">
        <f>Stückliste!B798</f>
        <v>0</v>
      </c>
      <c r="C693" s="853">
        <f>Stückliste!D798</f>
        <v>0</v>
      </c>
      <c r="D693" s="1">
        <f>Stückliste!F798</f>
        <v>0</v>
      </c>
      <c r="H693" s="2464"/>
      <c r="I693" s="2464"/>
      <c r="J693" s="2465"/>
      <c r="K693" s="2465"/>
      <c r="L693" s="1" t="s">
        <v>53</v>
      </c>
      <c r="Q693" s="36"/>
      <c r="R693" s="109">
        <f t="shared" si="187"/>
        <v>0</v>
      </c>
      <c r="AE693" s="1">
        <v>1</v>
      </c>
      <c r="AF693"/>
      <c r="AG693"/>
      <c r="AH693"/>
    </row>
    <row r="694" spans="1:34" ht="18" customHeight="1" x14ac:dyDescent="0.2">
      <c r="A694"/>
      <c r="B694" s="3">
        <f>Stückliste!B799</f>
        <v>0</v>
      </c>
      <c r="C694" s="853">
        <f>Stückliste!D799</f>
        <v>0</v>
      </c>
      <c r="D694" s="1">
        <f>Stückliste!F799</f>
        <v>0</v>
      </c>
      <c r="H694" s="2464"/>
      <c r="I694" s="2464"/>
      <c r="J694" s="2465"/>
      <c r="K694" s="2465"/>
      <c r="L694" s="1" t="s">
        <v>53</v>
      </c>
      <c r="Q694" s="36"/>
      <c r="R694" s="109">
        <f t="shared" si="187"/>
        <v>0</v>
      </c>
      <c r="AE694" s="1">
        <v>1</v>
      </c>
      <c r="AF694"/>
      <c r="AG694"/>
      <c r="AH694"/>
    </row>
    <row r="695" spans="1:34" ht="18" customHeight="1" x14ac:dyDescent="0.2">
      <c r="A695"/>
      <c r="B695" s="3">
        <f>Stückliste!B800</f>
        <v>0</v>
      </c>
      <c r="C695" s="853">
        <f>Stückliste!D800</f>
        <v>0</v>
      </c>
      <c r="D695" s="1">
        <f>Stückliste!F800</f>
        <v>0</v>
      </c>
      <c r="H695" s="2464"/>
      <c r="I695" s="2464"/>
      <c r="J695" s="2465"/>
      <c r="K695" s="2465"/>
      <c r="L695" s="1" t="s">
        <v>53</v>
      </c>
      <c r="Q695" s="36"/>
      <c r="R695" s="109">
        <f t="shared" si="187"/>
        <v>0</v>
      </c>
      <c r="AE695" s="1">
        <v>1</v>
      </c>
      <c r="AF695"/>
      <c r="AG695"/>
      <c r="AH695"/>
    </row>
    <row r="696" spans="1:34" ht="18" customHeight="1" x14ac:dyDescent="0.2">
      <c r="A696"/>
      <c r="B696" s="3">
        <f>Stückliste!B801</f>
        <v>0</v>
      </c>
      <c r="C696" s="853">
        <f>Stückliste!D801</f>
        <v>0</v>
      </c>
      <c r="D696" s="1">
        <f>Stückliste!F801</f>
        <v>0</v>
      </c>
      <c r="H696" s="2464"/>
      <c r="I696" s="2464"/>
      <c r="J696" s="2465"/>
      <c r="K696" s="2465"/>
      <c r="L696" s="1" t="s">
        <v>53</v>
      </c>
      <c r="Q696" s="36"/>
      <c r="R696" s="109">
        <f t="shared" si="187"/>
        <v>0</v>
      </c>
      <c r="AE696" s="1">
        <v>1</v>
      </c>
      <c r="AF696"/>
      <c r="AG696"/>
      <c r="AH696"/>
    </row>
    <row r="697" spans="1:34" ht="18" customHeight="1" x14ac:dyDescent="0.2">
      <c r="A697"/>
      <c r="B697" s="3">
        <f>Stückliste!B802</f>
        <v>0</v>
      </c>
      <c r="C697" s="853">
        <f>Stückliste!D802</f>
        <v>0</v>
      </c>
      <c r="D697" s="1">
        <f>Stückliste!F802</f>
        <v>0</v>
      </c>
      <c r="H697" s="2464"/>
      <c r="I697" s="2464"/>
      <c r="J697" s="2465"/>
      <c r="K697" s="2465"/>
      <c r="L697" s="1" t="s">
        <v>53</v>
      </c>
      <c r="Q697" s="36"/>
      <c r="R697" s="109">
        <f t="shared" si="187"/>
        <v>0</v>
      </c>
      <c r="AE697" s="1">
        <v>1</v>
      </c>
      <c r="AF697"/>
      <c r="AG697"/>
      <c r="AH697"/>
    </row>
    <row r="698" spans="1:34" ht="18" customHeight="1" x14ac:dyDescent="0.2">
      <c r="A698"/>
      <c r="B698" s="3">
        <f>Stückliste!B803</f>
        <v>0</v>
      </c>
      <c r="C698" s="853">
        <f>Stückliste!D803</f>
        <v>0</v>
      </c>
      <c r="D698" s="1">
        <f>Stückliste!F803</f>
        <v>0</v>
      </c>
      <c r="H698" s="2464"/>
      <c r="I698" s="2464"/>
      <c r="J698" s="2465"/>
      <c r="K698" s="2465"/>
      <c r="L698" s="1" t="s">
        <v>53</v>
      </c>
      <c r="Q698" s="36"/>
      <c r="R698" s="109">
        <f t="shared" si="187"/>
        <v>0</v>
      </c>
      <c r="AE698" s="1">
        <v>1</v>
      </c>
      <c r="AF698"/>
      <c r="AG698"/>
      <c r="AH698"/>
    </row>
    <row r="699" spans="1:34" ht="18" customHeight="1" x14ac:dyDescent="0.2">
      <c r="A699"/>
      <c r="B699" s="3">
        <f>Stückliste!B804</f>
        <v>0</v>
      </c>
      <c r="C699" s="853">
        <f>Stückliste!D804</f>
        <v>0</v>
      </c>
      <c r="D699" s="1">
        <f>Stückliste!F804</f>
        <v>0</v>
      </c>
      <c r="H699" s="2464"/>
      <c r="I699" s="2464"/>
      <c r="J699" s="2465"/>
      <c r="K699" s="2465"/>
      <c r="L699" s="1" t="s">
        <v>53</v>
      </c>
      <c r="Q699" s="36"/>
      <c r="R699" s="109">
        <f t="shared" si="187"/>
        <v>0</v>
      </c>
      <c r="AE699" s="1">
        <v>1</v>
      </c>
      <c r="AF699"/>
      <c r="AG699"/>
      <c r="AH699"/>
    </row>
    <row r="700" spans="1:34" ht="18" customHeight="1" x14ac:dyDescent="0.2">
      <c r="A700"/>
      <c r="B700" s="3">
        <f>Stückliste!B805</f>
        <v>0</v>
      </c>
      <c r="C700" s="853">
        <f>Stückliste!D805</f>
        <v>0</v>
      </c>
      <c r="D700" s="1">
        <f>Stückliste!F805</f>
        <v>0</v>
      </c>
      <c r="H700" s="2464"/>
      <c r="I700" s="2464"/>
      <c r="J700" s="2465"/>
      <c r="K700" s="2465"/>
      <c r="L700" s="1" t="s">
        <v>53</v>
      </c>
      <c r="Q700" s="36"/>
      <c r="R700" s="109">
        <f t="shared" si="187"/>
        <v>0</v>
      </c>
      <c r="AE700" s="1">
        <v>1</v>
      </c>
      <c r="AF700"/>
      <c r="AG700"/>
      <c r="AH700"/>
    </row>
    <row r="701" spans="1:34" ht="18" customHeight="1" x14ac:dyDescent="0.2">
      <c r="A701"/>
      <c r="B701" s="3">
        <f>Stückliste!B806</f>
        <v>0</v>
      </c>
      <c r="C701" s="853">
        <f>Stückliste!D806</f>
        <v>0</v>
      </c>
      <c r="D701" s="1">
        <f>Stückliste!F806</f>
        <v>0</v>
      </c>
      <c r="H701" s="2464"/>
      <c r="I701" s="2464"/>
      <c r="J701" s="2465"/>
      <c r="K701" s="2465"/>
      <c r="L701" s="1" t="s">
        <v>53</v>
      </c>
      <c r="Q701" s="36"/>
      <c r="R701" s="109">
        <f t="shared" si="187"/>
        <v>0</v>
      </c>
      <c r="AE701" s="1">
        <v>1</v>
      </c>
      <c r="AF701"/>
      <c r="AG701"/>
      <c r="AH701"/>
    </row>
    <row r="702" spans="1:34" x14ac:dyDescent="0.2">
      <c r="A702"/>
      <c r="C702" s="665"/>
      <c r="H702" s="2464"/>
      <c r="I702" s="2464"/>
      <c r="J702" s="2465"/>
      <c r="K702" s="2465"/>
      <c r="Q702" s="36"/>
      <c r="R702" s="109">
        <f t="shared" si="187"/>
        <v>0</v>
      </c>
      <c r="AF702"/>
      <c r="AG702"/>
      <c r="AH702"/>
    </row>
    <row r="703" spans="1:34" x14ac:dyDescent="0.2">
      <c r="A703"/>
      <c r="C703" s="665"/>
      <c r="H703" s="2464"/>
      <c r="I703" s="2464"/>
      <c r="J703" s="2465"/>
      <c r="K703" s="2465"/>
      <c r="Q703" s="36"/>
      <c r="AF703"/>
      <c r="AG703"/>
      <c r="AH703"/>
    </row>
    <row r="704" spans="1:34" x14ac:dyDescent="0.2">
      <c r="A704"/>
      <c r="C704" s="665"/>
      <c r="H704" s="2464"/>
      <c r="I704" s="2464"/>
      <c r="J704" s="2465"/>
      <c r="K704" s="2465"/>
      <c r="Q704" s="36"/>
      <c r="AF704"/>
      <c r="AG704"/>
      <c r="AH704"/>
    </row>
    <row r="705" spans="1:34" x14ac:dyDescent="0.2">
      <c r="A705"/>
      <c r="C705" s="665"/>
      <c r="H705" s="2464"/>
      <c r="I705" s="2464"/>
      <c r="J705" s="2465"/>
      <c r="K705" s="2465"/>
      <c r="Q705" s="36"/>
      <c r="AF705"/>
      <c r="AG705"/>
      <c r="AH705"/>
    </row>
    <row r="706" spans="1:34" x14ac:dyDescent="0.2">
      <c r="A706"/>
      <c r="C706" s="665"/>
      <c r="H706" s="2464"/>
      <c r="I706" s="2464"/>
      <c r="J706" s="2465"/>
      <c r="K706" s="2465"/>
      <c r="Q706" s="36"/>
      <c r="AF706"/>
      <c r="AG706"/>
      <c r="AH706"/>
    </row>
    <row r="707" spans="1:34" x14ac:dyDescent="0.2">
      <c r="A707"/>
      <c r="C707" s="665"/>
      <c r="D707"/>
      <c r="E707"/>
      <c r="G707"/>
      <c r="H707" s="2464"/>
      <c r="I707" s="2464"/>
      <c r="J707" s="2465"/>
      <c r="K707" s="2465"/>
      <c r="M707"/>
      <c r="N707"/>
      <c r="O707"/>
      <c r="P707"/>
      <c r="Q707" s="36"/>
      <c r="U707"/>
      <c r="V707"/>
      <c r="X707"/>
      <c r="Y707"/>
      <c r="AC707"/>
      <c r="AD707"/>
      <c r="AE707"/>
      <c r="AF707"/>
      <c r="AG707"/>
      <c r="AH707"/>
    </row>
    <row r="708" spans="1:34" x14ac:dyDescent="0.2">
      <c r="A708"/>
      <c r="C708" s="665"/>
      <c r="D708"/>
      <c r="E708"/>
      <c r="G708"/>
      <c r="H708" s="2464"/>
      <c r="I708" s="2464"/>
      <c r="J708" s="2465"/>
      <c r="K708" s="2465"/>
      <c r="M708"/>
      <c r="N708"/>
      <c r="O708"/>
      <c r="P708"/>
      <c r="Q708" s="36"/>
      <c r="U708"/>
      <c r="V708"/>
      <c r="X708"/>
      <c r="Y708"/>
      <c r="AC708"/>
      <c r="AD708"/>
      <c r="AE708"/>
      <c r="AF708"/>
      <c r="AG708"/>
      <c r="AH708"/>
    </row>
    <row r="709" spans="1:34" x14ac:dyDescent="0.2">
      <c r="A709"/>
      <c r="C709" s="665"/>
      <c r="D709"/>
      <c r="E709"/>
      <c r="G709"/>
      <c r="H709" s="2464"/>
      <c r="I709" s="2464"/>
      <c r="J709" s="2465"/>
      <c r="K709" s="2465"/>
      <c r="M709"/>
      <c r="N709"/>
      <c r="O709"/>
      <c r="P709"/>
      <c r="Q709" s="36"/>
      <c r="U709"/>
      <c r="V709"/>
      <c r="X709"/>
      <c r="Y709"/>
      <c r="AC709"/>
      <c r="AD709"/>
      <c r="AE709"/>
      <c r="AF709"/>
      <c r="AG709"/>
      <c r="AH709"/>
    </row>
    <row r="710" spans="1:34" x14ac:dyDescent="0.2">
      <c r="A710"/>
      <c r="C710" s="665"/>
      <c r="D710"/>
      <c r="E710"/>
      <c r="G710"/>
      <c r="H710" s="2464"/>
      <c r="I710" s="2464"/>
      <c r="J710" s="2465"/>
      <c r="K710" s="2465"/>
      <c r="M710"/>
      <c r="N710"/>
      <c r="O710"/>
      <c r="P710"/>
      <c r="Q710" s="36"/>
      <c r="U710"/>
      <c r="V710"/>
      <c r="X710"/>
      <c r="Y710"/>
      <c r="AC710"/>
      <c r="AD710"/>
      <c r="AE710"/>
      <c r="AF710"/>
      <c r="AG710"/>
      <c r="AH710"/>
    </row>
    <row r="711" spans="1:34" x14ac:dyDescent="0.2">
      <c r="A711"/>
      <c r="C711" s="665"/>
      <c r="D711"/>
      <c r="E711"/>
      <c r="G711"/>
      <c r="H711" s="2464"/>
      <c r="I711" s="2464"/>
      <c r="J711" s="2465"/>
      <c r="K711" s="2465"/>
      <c r="M711"/>
      <c r="N711"/>
      <c r="O711"/>
      <c r="P711"/>
      <c r="Q711" s="36"/>
      <c r="U711"/>
      <c r="V711"/>
      <c r="X711"/>
      <c r="Y711"/>
      <c r="AC711"/>
      <c r="AD711"/>
      <c r="AE711"/>
      <c r="AF711"/>
      <c r="AG711"/>
      <c r="AH711"/>
    </row>
    <row r="712" spans="1:34" x14ac:dyDescent="0.2">
      <c r="A712"/>
      <c r="C712" s="665"/>
      <c r="D712"/>
      <c r="E712"/>
      <c r="G712"/>
      <c r="H712" s="2464"/>
      <c r="I712" s="2464"/>
      <c r="J712" s="2465"/>
      <c r="K712" s="2465"/>
      <c r="M712"/>
      <c r="N712"/>
      <c r="O712"/>
      <c r="P712"/>
      <c r="Q712" s="36"/>
      <c r="U712"/>
      <c r="V712"/>
      <c r="X712"/>
      <c r="Y712"/>
      <c r="AC712"/>
      <c r="AD712"/>
      <c r="AE712"/>
      <c r="AF712"/>
      <c r="AG712"/>
      <c r="AH712"/>
    </row>
    <row r="713" spans="1:34" x14ac:dyDescent="0.2">
      <c r="A713"/>
      <c r="C713" s="665"/>
      <c r="D713"/>
      <c r="E713"/>
      <c r="G713"/>
      <c r="H713" s="2464"/>
      <c r="I713" s="2464"/>
      <c r="J713" s="2465"/>
      <c r="K713" s="2465"/>
      <c r="M713"/>
      <c r="N713"/>
      <c r="O713"/>
      <c r="P713"/>
      <c r="Q713" s="36"/>
      <c r="U713"/>
      <c r="V713"/>
      <c r="X713"/>
      <c r="Y713"/>
      <c r="AC713"/>
      <c r="AD713"/>
      <c r="AE713"/>
      <c r="AF713"/>
      <c r="AG713"/>
      <c r="AH713"/>
    </row>
    <row r="714" spans="1:34" x14ac:dyDescent="0.2">
      <c r="A714"/>
      <c r="C714" s="665"/>
      <c r="D714"/>
      <c r="E714"/>
      <c r="G714"/>
      <c r="H714" s="2464"/>
      <c r="I714" s="2464"/>
      <c r="J714" s="2465"/>
      <c r="K714" s="2465"/>
      <c r="M714"/>
      <c r="N714"/>
      <c r="O714"/>
      <c r="P714"/>
      <c r="Q714" s="36"/>
      <c r="U714"/>
      <c r="V714"/>
      <c r="X714"/>
      <c r="Y714"/>
      <c r="AC714"/>
      <c r="AD714"/>
      <c r="AE714"/>
      <c r="AF714"/>
      <c r="AG714"/>
      <c r="AH714"/>
    </row>
    <row r="715" spans="1:34" x14ac:dyDescent="0.2">
      <c r="A715"/>
      <c r="C715" s="665"/>
      <c r="D715"/>
      <c r="E715"/>
      <c r="G715"/>
      <c r="H715" s="2464"/>
      <c r="I715" s="2464"/>
      <c r="J715" s="2465"/>
      <c r="K715" s="2465"/>
      <c r="M715"/>
      <c r="N715"/>
      <c r="O715"/>
      <c r="P715"/>
      <c r="Q715" s="36"/>
      <c r="U715"/>
      <c r="V715"/>
      <c r="X715"/>
      <c r="Y715"/>
      <c r="AC715"/>
      <c r="AD715"/>
      <c r="AE715"/>
      <c r="AF715"/>
      <c r="AG715"/>
      <c r="AH715"/>
    </row>
    <row r="716" spans="1:34" x14ac:dyDescent="0.2">
      <c r="A716"/>
      <c r="C716" s="665"/>
      <c r="D716"/>
      <c r="E716"/>
      <c r="G716"/>
      <c r="H716" s="2464"/>
      <c r="I716" s="2464"/>
      <c r="J716" s="2465"/>
      <c r="K716" s="2465"/>
      <c r="M716"/>
      <c r="N716"/>
      <c r="O716"/>
      <c r="P716"/>
      <c r="Q716" s="36"/>
      <c r="U716"/>
      <c r="V716"/>
      <c r="X716"/>
      <c r="Y716"/>
      <c r="AC716"/>
      <c r="AD716"/>
      <c r="AE716"/>
      <c r="AF716"/>
      <c r="AG716"/>
      <c r="AH716"/>
    </row>
    <row r="717" spans="1:34" x14ac:dyDescent="0.2">
      <c r="A717"/>
      <c r="C717" s="665"/>
      <c r="D717"/>
      <c r="E717"/>
      <c r="G717"/>
      <c r="H717" s="2464"/>
      <c r="I717" s="2464"/>
      <c r="J717" s="2465"/>
      <c r="K717" s="2465"/>
      <c r="M717"/>
      <c r="N717"/>
      <c r="O717"/>
      <c r="P717"/>
      <c r="Q717" s="36"/>
      <c r="U717"/>
      <c r="V717"/>
      <c r="X717"/>
      <c r="Y717"/>
      <c r="AC717"/>
      <c r="AD717"/>
      <c r="AE717"/>
      <c r="AF717"/>
      <c r="AG717"/>
      <c r="AH717"/>
    </row>
    <row r="718" spans="1:34" x14ac:dyDescent="0.2">
      <c r="A718"/>
      <c r="C718" s="665"/>
      <c r="D718"/>
      <c r="E718"/>
      <c r="G718"/>
      <c r="H718" s="2464"/>
      <c r="I718" s="2464"/>
      <c r="J718" s="2465"/>
      <c r="K718" s="2465"/>
      <c r="M718"/>
      <c r="N718"/>
      <c r="O718"/>
      <c r="P718"/>
      <c r="Q718" s="36"/>
      <c r="U718"/>
      <c r="V718"/>
      <c r="X718"/>
      <c r="Y718"/>
      <c r="AC718"/>
      <c r="AD718"/>
      <c r="AE718"/>
      <c r="AF718"/>
      <c r="AG718"/>
      <c r="AH718"/>
    </row>
    <row r="719" spans="1:34" x14ac:dyDescent="0.2">
      <c r="A719"/>
      <c r="C719" s="665"/>
      <c r="D719"/>
      <c r="E719"/>
      <c r="G719"/>
      <c r="H719" s="2464"/>
      <c r="I719" s="2464"/>
      <c r="J719" s="2465"/>
      <c r="K719" s="2465"/>
      <c r="M719"/>
      <c r="N719"/>
      <c r="O719"/>
      <c r="P719"/>
      <c r="Q719" s="36"/>
      <c r="U719"/>
      <c r="V719"/>
      <c r="X719"/>
      <c r="Y719"/>
      <c r="AC719"/>
      <c r="AD719"/>
      <c r="AE719"/>
      <c r="AF719"/>
      <c r="AG719"/>
      <c r="AH719"/>
    </row>
    <row r="720" spans="1:34" x14ac:dyDescent="0.2">
      <c r="A720"/>
      <c r="C720" s="665"/>
      <c r="D720"/>
      <c r="E720"/>
      <c r="G720"/>
      <c r="H720" s="2464"/>
      <c r="I720" s="2464"/>
      <c r="J720" s="2465"/>
      <c r="K720" s="2465"/>
      <c r="M720"/>
      <c r="N720"/>
      <c r="O720"/>
      <c r="P720"/>
      <c r="Q720" s="36"/>
      <c r="U720"/>
      <c r="V720"/>
      <c r="X720"/>
      <c r="Y720"/>
      <c r="AC720"/>
      <c r="AD720"/>
      <c r="AE720"/>
      <c r="AF720"/>
      <c r="AG720"/>
      <c r="AH720"/>
    </row>
    <row r="721" spans="1:34" x14ac:dyDescent="0.2">
      <c r="A721"/>
      <c r="C721" s="665"/>
      <c r="D721"/>
      <c r="E721"/>
      <c r="G721"/>
      <c r="H721" s="2464"/>
      <c r="I721" s="2464"/>
      <c r="J721" s="2465"/>
      <c r="K721" s="2465"/>
      <c r="M721"/>
      <c r="N721"/>
      <c r="O721"/>
      <c r="P721"/>
      <c r="Q721" s="36"/>
      <c r="U721"/>
      <c r="V721"/>
      <c r="X721"/>
      <c r="Y721"/>
      <c r="AC721"/>
      <c r="AD721"/>
      <c r="AE721"/>
      <c r="AF721"/>
      <c r="AG721"/>
      <c r="AH721"/>
    </row>
    <row r="722" spans="1:34" x14ac:dyDescent="0.2">
      <c r="A722"/>
      <c r="C722" s="665"/>
      <c r="D722"/>
      <c r="E722"/>
      <c r="G722"/>
      <c r="H722" s="2464"/>
      <c r="I722" s="2464"/>
      <c r="J722" s="2465"/>
      <c r="K722" s="2465"/>
      <c r="M722"/>
      <c r="N722"/>
      <c r="O722"/>
      <c r="P722"/>
      <c r="Q722" s="36"/>
      <c r="U722"/>
      <c r="V722"/>
      <c r="X722"/>
      <c r="Y722"/>
      <c r="AC722"/>
      <c r="AD722"/>
      <c r="AE722"/>
      <c r="AF722"/>
      <c r="AG722"/>
      <c r="AH722"/>
    </row>
    <row r="723" spans="1:34" x14ac:dyDescent="0.2">
      <c r="A723"/>
      <c r="C723" s="665"/>
      <c r="D723"/>
      <c r="E723"/>
      <c r="G723"/>
      <c r="H723" s="2464"/>
      <c r="I723" s="2464"/>
      <c r="J723" s="2465"/>
      <c r="K723" s="2465"/>
      <c r="M723"/>
      <c r="N723"/>
      <c r="O723"/>
      <c r="P723"/>
      <c r="Q723" s="36"/>
      <c r="U723"/>
      <c r="V723"/>
      <c r="X723"/>
      <c r="Y723"/>
      <c r="AC723"/>
      <c r="AD723"/>
      <c r="AE723"/>
      <c r="AF723"/>
      <c r="AG723"/>
      <c r="AH723"/>
    </row>
    <row r="724" spans="1:34" x14ac:dyDescent="0.2">
      <c r="A724"/>
      <c r="C724" s="665"/>
      <c r="D724"/>
      <c r="E724"/>
      <c r="G724"/>
      <c r="H724" s="2464"/>
      <c r="I724" s="2464"/>
      <c r="J724" s="2465"/>
      <c r="K724" s="2465"/>
      <c r="M724"/>
      <c r="N724"/>
      <c r="O724"/>
      <c r="P724"/>
      <c r="Q724" s="36"/>
      <c r="U724"/>
      <c r="V724"/>
      <c r="X724"/>
      <c r="Y724"/>
      <c r="AC724"/>
      <c r="AD724"/>
      <c r="AE724"/>
      <c r="AF724"/>
      <c r="AG724"/>
      <c r="AH724"/>
    </row>
    <row r="725" spans="1:34" x14ac:dyDescent="0.2">
      <c r="A725"/>
      <c r="C725" s="665"/>
      <c r="D725"/>
      <c r="E725"/>
      <c r="G725"/>
      <c r="H725" s="2464"/>
      <c r="I725" s="2464"/>
      <c r="J725" s="2465"/>
      <c r="K725" s="2465"/>
      <c r="M725"/>
      <c r="N725"/>
      <c r="O725"/>
      <c r="P725"/>
      <c r="Q725" s="36"/>
      <c r="U725"/>
      <c r="V725"/>
      <c r="X725"/>
      <c r="Y725"/>
      <c r="AC725"/>
      <c r="AD725"/>
      <c r="AE725"/>
      <c r="AF725"/>
      <c r="AG725"/>
      <c r="AH725"/>
    </row>
    <row r="726" spans="1:34" x14ac:dyDescent="0.2">
      <c r="A726"/>
      <c r="C726" s="665"/>
      <c r="D726"/>
      <c r="E726"/>
      <c r="G726"/>
      <c r="H726" s="2464"/>
      <c r="I726" s="2464"/>
      <c r="J726" s="2465"/>
      <c r="K726" s="2465"/>
      <c r="M726"/>
      <c r="N726"/>
      <c r="O726"/>
      <c r="P726"/>
      <c r="Q726" s="36"/>
      <c r="U726"/>
      <c r="V726"/>
      <c r="X726"/>
      <c r="Y726"/>
      <c r="AC726"/>
      <c r="AD726"/>
      <c r="AE726"/>
      <c r="AF726"/>
      <c r="AG726"/>
      <c r="AH726"/>
    </row>
    <row r="727" spans="1:34" x14ac:dyDescent="0.2">
      <c r="A727"/>
      <c r="C727" s="665"/>
      <c r="D727"/>
      <c r="E727"/>
      <c r="G727"/>
      <c r="H727" s="2464"/>
      <c r="I727" s="2464"/>
      <c r="J727" s="2465"/>
      <c r="K727" s="2465"/>
      <c r="M727"/>
      <c r="N727"/>
      <c r="O727"/>
      <c r="P727"/>
      <c r="Q727" s="36"/>
      <c r="U727"/>
      <c r="V727"/>
      <c r="X727"/>
      <c r="Y727"/>
      <c r="AC727"/>
      <c r="AD727"/>
      <c r="AE727"/>
      <c r="AF727"/>
      <c r="AG727"/>
      <c r="AH727"/>
    </row>
    <row r="728" spans="1:34" x14ac:dyDescent="0.2">
      <c r="A728"/>
      <c r="C728" s="665"/>
      <c r="D728"/>
      <c r="E728"/>
      <c r="G728"/>
      <c r="H728" s="2464"/>
      <c r="I728" s="2464"/>
      <c r="J728" s="2465"/>
      <c r="K728" s="2465"/>
      <c r="M728"/>
      <c r="N728"/>
      <c r="O728"/>
      <c r="P728"/>
      <c r="Q728" s="36"/>
      <c r="U728"/>
      <c r="V728"/>
      <c r="X728"/>
      <c r="Y728"/>
      <c r="AC728"/>
      <c r="AD728"/>
      <c r="AE728"/>
      <c r="AF728"/>
      <c r="AG728"/>
      <c r="AH728"/>
    </row>
    <row r="729" spans="1:34" x14ac:dyDescent="0.2">
      <c r="A729"/>
      <c r="C729" s="665"/>
      <c r="D729"/>
      <c r="E729"/>
      <c r="G729"/>
      <c r="H729" s="2464"/>
      <c r="I729" s="2464"/>
      <c r="J729" s="2465"/>
      <c r="K729" s="2465"/>
      <c r="M729"/>
      <c r="N729"/>
      <c r="O729"/>
      <c r="P729"/>
      <c r="Q729" s="36"/>
      <c r="U729"/>
      <c r="V729"/>
      <c r="X729"/>
      <c r="Y729"/>
      <c r="AC729"/>
      <c r="AD729"/>
      <c r="AE729"/>
      <c r="AF729"/>
      <c r="AG729"/>
      <c r="AH729"/>
    </row>
    <row r="730" spans="1:34" x14ac:dyDescent="0.2">
      <c r="A730"/>
      <c r="C730" s="665"/>
      <c r="D730"/>
      <c r="E730"/>
      <c r="G730"/>
      <c r="H730" s="2464"/>
      <c r="I730" s="2464"/>
      <c r="J730" s="2465"/>
      <c r="K730" s="2465"/>
      <c r="M730"/>
      <c r="N730"/>
      <c r="O730"/>
      <c r="P730"/>
      <c r="Q730" s="36"/>
      <c r="U730"/>
      <c r="V730"/>
      <c r="X730"/>
      <c r="Y730"/>
      <c r="AC730"/>
      <c r="AD730"/>
      <c r="AE730"/>
      <c r="AF730"/>
      <c r="AG730"/>
      <c r="AH730"/>
    </row>
    <row r="731" spans="1:34" x14ac:dyDescent="0.2">
      <c r="A731"/>
      <c r="C731" s="665"/>
      <c r="D731"/>
      <c r="E731"/>
      <c r="G731"/>
      <c r="H731" s="2464"/>
      <c r="I731" s="2464"/>
      <c r="J731" s="2465"/>
      <c r="K731" s="2465"/>
      <c r="M731"/>
      <c r="N731"/>
      <c r="O731"/>
      <c r="P731"/>
      <c r="Q731" s="36"/>
      <c r="U731"/>
      <c r="V731"/>
      <c r="X731"/>
      <c r="Y731"/>
      <c r="AC731"/>
      <c r="AD731"/>
      <c r="AE731"/>
      <c r="AF731"/>
      <c r="AG731"/>
      <c r="AH731"/>
    </row>
    <row r="732" spans="1:34" x14ac:dyDescent="0.2">
      <c r="A732"/>
      <c r="C732" s="665"/>
      <c r="D732"/>
      <c r="E732"/>
      <c r="G732"/>
      <c r="H732" s="2464"/>
      <c r="I732" s="2464"/>
      <c r="J732" s="2465"/>
      <c r="K732" s="2465"/>
      <c r="M732"/>
      <c r="N732"/>
      <c r="O732"/>
      <c r="P732"/>
      <c r="Q732" s="36"/>
      <c r="U732"/>
      <c r="V732"/>
      <c r="X732"/>
      <c r="Y732"/>
      <c r="AC732"/>
      <c r="AD732"/>
      <c r="AE732"/>
      <c r="AF732"/>
      <c r="AG732"/>
      <c r="AH732"/>
    </row>
    <row r="733" spans="1:34" x14ac:dyDescent="0.2">
      <c r="A733"/>
      <c r="C733" s="665"/>
      <c r="D733"/>
      <c r="E733"/>
      <c r="G733"/>
      <c r="H733" s="2464"/>
      <c r="I733" s="2464"/>
      <c r="J733" s="2465"/>
      <c r="K733" s="2465"/>
      <c r="M733"/>
      <c r="N733"/>
      <c r="O733"/>
      <c r="P733"/>
      <c r="Q733" s="36"/>
      <c r="U733"/>
      <c r="V733"/>
      <c r="X733"/>
      <c r="Y733"/>
      <c r="AC733"/>
      <c r="AD733"/>
      <c r="AE733"/>
      <c r="AF733"/>
      <c r="AG733"/>
      <c r="AH733"/>
    </row>
    <row r="734" spans="1:34" x14ac:dyDescent="0.2">
      <c r="A734"/>
      <c r="C734" s="665"/>
      <c r="D734"/>
      <c r="E734"/>
      <c r="G734"/>
      <c r="H734" s="2464"/>
      <c r="I734" s="2464"/>
      <c r="J734" s="2465"/>
      <c r="K734" s="2465"/>
      <c r="M734"/>
      <c r="N734"/>
      <c r="O734"/>
      <c r="P734"/>
      <c r="Q734" s="36"/>
      <c r="U734"/>
      <c r="V734"/>
      <c r="X734"/>
      <c r="Y734"/>
      <c r="AC734"/>
      <c r="AD734"/>
      <c r="AE734"/>
      <c r="AF734"/>
      <c r="AG734"/>
      <c r="AH734"/>
    </row>
    <row r="735" spans="1:34" x14ac:dyDescent="0.2">
      <c r="A735"/>
      <c r="C735" s="665"/>
      <c r="D735"/>
      <c r="E735"/>
      <c r="G735"/>
      <c r="H735" s="2464"/>
      <c r="I735" s="2464"/>
      <c r="J735" s="2465"/>
      <c r="K735" s="2465"/>
      <c r="M735"/>
      <c r="N735"/>
      <c r="O735"/>
      <c r="P735"/>
      <c r="Q735" s="36"/>
      <c r="U735"/>
      <c r="V735"/>
      <c r="X735"/>
      <c r="Y735"/>
      <c r="AC735"/>
      <c r="AD735"/>
      <c r="AE735"/>
      <c r="AF735"/>
      <c r="AG735"/>
      <c r="AH735"/>
    </row>
    <row r="736" spans="1:34" x14ac:dyDescent="0.2">
      <c r="A736"/>
      <c r="C736" s="665"/>
      <c r="D736"/>
      <c r="E736"/>
      <c r="G736"/>
      <c r="H736" s="2464"/>
      <c r="I736" s="2464"/>
      <c r="J736" s="2465"/>
      <c r="K736" s="2465"/>
      <c r="M736"/>
      <c r="N736"/>
      <c r="O736"/>
      <c r="P736"/>
      <c r="Q736" s="36"/>
      <c r="U736"/>
      <c r="V736"/>
      <c r="X736"/>
      <c r="Y736"/>
      <c r="AC736"/>
      <c r="AD736"/>
      <c r="AE736"/>
      <c r="AF736"/>
      <c r="AG736"/>
      <c r="AH736"/>
    </row>
    <row r="737" spans="1:34" x14ac:dyDescent="0.2">
      <c r="A737"/>
      <c r="C737" s="665"/>
      <c r="D737"/>
      <c r="E737"/>
      <c r="G737"/>
      <c r="H737" s="2464"/>
      <c r="I737" s="2464"/>
      <c r="J737" s="2465"/>
      <c r="K737" s="2465"/>
      <c r="M737"/>
      <c r="N737"/>
      <c r="O737"/>
      <c r="P737"/>
      <c r="Q737" s="36"/>
      <c r="U737"/>
      <c r="V737"/>
      <c r="X737"/>
      <c r="Y737"/>
      <c r="AC737"/>
      <c r="AD737"/>
      <c r="AE737"/>
      <c r="AF737"/>
      <c r="AG737"/>
      <c r="AH737"/>
    </row>
    <row r="738" spans="1:34" x14ac:dyDescent="0.2">
      <c r="A738"/>
      <c r="C738" s="665"/>
      <c r="D738"/>
      <c r="E738"/>
      <c r="G738"/>
      <c r="H738" s="2464"/>
      <c r="I738" s="2464"/>
      <c r="J738" s="2465"/>
      <c r="K738" s="2465"/>
      <c r="M738"/>
      <c r="N738"/>
      <c r="O738"/>
      <c r="P738"/>
      <c r="Q738" s="36"/>
      <c r="U738"/>
      <c r="V738"/>
      <c r="X738"/>
      <c r="Y738"/>
      <c r="AC738"/>
      <c r="AD738"/>
      <c r="AE738"/>
      <c r="AF738"/>
      <c r="AG738"/>
      <c r="AH738"/>
    </row>
    <row r="739" spans="1:34" x14ac:dyDescent="0.2">
      <c r="A739"/>
      <c r="C739" s="665"/>
      <c r="D739"/>
      <c r="E739"/>
      <c r="G739"/>
      <c r="H739" s="2464"/>
      <c r="I739" s="2464"/>
      <c r="J739" s="2465"/>
      <c r="K739" s="2465"/>
      <c r="M739"/>
      <c r="N739"/>
      <c r="O739"/>
      <c r="P739"/>
      <c r="Q739" s="36"/>
      <c r="U739"/>
      <c r="V739"/>
      <c r="X739"/>
      <c r="Y739"/>
      <c r="AC739"/>
      <c r="AD739"/>
      <c r="AE739"/>
      <c r="AF739"/>
      <c r="AG739"/>
      <c r="AH739"/>
    </row>
    <row r="740" spans="1:34" x14ac:dyDescent="0.2">
      <c r="A740"/>
      <c r="C740" s="665"/>
      <c r="D740"/>
      <c r="E740"/>
      <c r="G740"/>
      <c r="H740" s="2464"/>
      <c r="I740" s="2464"/>
      <c r="J740" s="2465"/>
      <c r="K740" s="2465"/>
      <c r="M740"/>
      <c r="N740"/>
      <c r="O740"/>
      <c r="P740"/>
      <c r="Q740" s="36"/>
      <c r="U740"/>
      <c r="V740"/>
      <c r="X740"/>
      <c r="Y740"/>
      <c r="AC740"/>
      <c r="AD740"/>
      <c r="AE740"/>
      <c r="AF740"/>
      <c r="AG740"/>
      <c r="AH740"/>
    </row>
    <row r="741" spans="1:34" x14ac:dyDescent="0.2">
      <c r="A741"/>
      <c r="C741" s="665"/>
      <c r="D741"/>
      <c r="E741"/>
      <c r="G741"/>
      <c r="H741" s="2464"/>
      <c r="I741" s="2464"/>
      <c r="J741" s="2465"/>
      <c r="K741" s="2465"/>
      <c r="M741"/>
      <c r="N741"/>
      <c r="O741"/>
      <c r="P741"/>
      <c r="Q741" s="36"/>
      <c r="U741"/>
      <c r="V741"/>
      <c r="X741"/>
      <c r="Y741"/>
      <c r="AC741"/>
      <c r="AD741"/>
      <c r="AE741"/>
      <c r="AF741"/>
      <c r="AG741"/>
      <c r="AH741"/>
    </row>
    <row r="742" spans="1:34" x14ac:dyDescent="0.2">
      <c r="A742"/>
      <c r="C742" s="665"/>
      <c r="D742"/>
      <c r="E742"/>
      <c r="G742"/>
      <c r="H742" s="2464"/>
      <c r="I742" s="2464"/>
      <c r="J742" s="2465"/>
      <c r="K742" s="2465"/>
      <c r="M742"/>
      <c r="N742"/>
      <c r="O742"/>
      <c r="P742"/>
      <c r="Q742" s="36"/>
      <c r="U742"/>
      <c r="V742"/>
      <c r="X742"/>
      <c r="Y742"/>
      <c r="AC742"/>
      <c r="AD742"/>
      <c r="AE742"/>
      <c r="AF742"/>
      <c r="AG742"/>
      <c r="AH742"/>
    </row>
    <row r="743" spans="1:34" x14ac:dyDescent="0.2">
      <c r="A743"/>
      <c r="C743" s="665"/>
      <c r="D743"/>
      <c r="E743"/>
      <c r="G743"/>
      <c r="H743" s="2464"/>
      <c r="I743" s="2464"/>
      <c r="J743" s="2465"/>
      <c r="K743" s="2465"/>
      <c r="M743"/>
      <c r="N743"/>
      <c r="O743"/>
      <c r="P743"/>
      <c r="Q743" s="36"/>
      <c r="U743"/>
      <c r="V743"/>
      <c r="X743"/>
      <c r="Y743"/>
      <c r="AC743"/>
      <c r="AD743"/>
      <c r="AE743"/>
      <c r="AF743"/>
      <c r="AG743"/>
      <c r="AH743"/>
    </row>
    <row r="744" spans="1:34" x14ac:dyDescent="0.2">
      <c r="A744"/>
      <c r="C744" s="665"/>
      <c r="D744"/>
      <c r="E744"/>
      <c r="G744"/>
      <c r="H744" s="2464"/>
      <c r="I744" s="2464"/>
      <c r="J744" s="2465"/>
      <c r="K744" s="2465"/>
      <c r="M744"/>
      <c r="N744"/>
      <c r="O744"/>
      <c r="P744"/>
      <c r="Q744" s="36"/>
      <c r="U744"/>
      <c r="V744"/>
      <c r="X744"/>
      <c r="Y744"/>
      <c r="AC744"/>
      <c r="AD744"/>
      <c r="AE744"/>
      <c r="AF744"/>
      <c r="AG744"/>
      <c r="AH744"/>
    </row>
    <row r="745" spans="1:34" x14ac:dyDescent="0.2">
      <c r="A745"/>
      <c r="C745" s="665"/>
      <c r="D745"/>
      <c r="E745"/>
      <c r="G745"/>
      <c r="H745" s="2464"/>
      <c r="I745" s="2464"/>
      <c r="J745" s="2465"/>
      <c r="K745" s="2465"/>
      <c r="M745"/>
      <c r="N745"/>
      <c r="O745"/>
      <c r="P745"/>
      <c r="Q745" s="36"/>
      <c r="U745"/>
      <c r="V745"/>
      <c r="X745"/>
      <c r="Y745"/>
      <c r="AC745"/>
      <c r="AD745"/>
      <c r="AE745"/>
      <c r="AF745"/>
      <c r="AG745"/>
      <c r="AH745"/>
    </row>
    <row r="746" spans="1:34" x14ac:dyDescent="0.2">
      <c r="A746"/>
      <c r="C746" s="665"/>
      <c r="D746"/>
      <c r="E746"/>
      <c r="G746"/>
      <c r="H746" s="2464"/>
      <c r="I746" s="2464"/>
      <c r="J746" s="2465"/>
      <c r="K746" s="2465"/>
      <c r="M746"/>
      <c r="N746"/>
      <c r="O746"/>
      <c r="P746"/>
      <c r="Q746" s="36"/>
      <c r="U746"/>
      <c r="V746"/>
      <c r="X746"/>
      <c r="Y746"/>
      <c r="AC746"/>
      <c r="AD746"/>
      <c r="AE746"/>
      <c r="AF746"/>
      <c r="AG746"/>
      <c r="AH746"/>
    </row>
    <row r="747" spans="1:34" x14ac:dyDescent="0.2">
      <c r="A747"/>
      <c r="C747" s="665"/>
      <c r="D747"/>
      <c r="E747"/>
      <c r="G747"/>
      <c r="H747" s="2464"/>
      <c r="I747" s="2464"/>
      <c r="J747" s="2465"/>
      <c r="K747" s="2465"/>
      <c r="M747"/>
      <c r="N747"/>
      <c r="O747"/>
      <c r="P747"/>
      <c r="Q747" s="36"/>
      <c r="U747"/>
      <c r="V747"/>
      <c r="X747"/>
      <c r="Y747"/>
      <c r="AC747"/>
      <c r="AD747"/>
      <c r="AE747"/>
      <c r="AF747"/>
      <c r="AG747"/>
      <c r="AH747"/>
    </row>
    <row r="748" spans="1:34" x14ac:dyDescent="0.2">
      <c r="A748"/>
      <c r="C748" s="665"/>
      <c r="D748"/>
      <c r="E748"/>
      <c r="G748"/>
      <c r="H748" s="2464"/>
      <c r="I748" s="2464"/>
      <c r="J748" s="2465"/>
      <c r="K748" s="2465"/>
      <c r="M748"/>
      <c r="N748"/>
      <c r="O748"/>
      <c r="P748"/>
      <c r="Q748" s="36"/>
      <c r="U748"/>
      <c r="V748"/>
      <c r="X748"/>
      <c r="Y748"/>
      <c r="AC748"/>
      <c r="AD748"/>
      <c r="AE748"/>
      <c r="AF748"/>
      <c r="AG748"/>
      <c r="AH748"/>
    </row>
    <row r="749" spans="1:34" x14ac:dyDescent="0.2">
      <c r="A749"/>
      <c r="C749" s="665"/>
      <c r="D749"/>
      <c r="E749"/>
      <c r="G749"/>
      <c r="H749" s="2464"/>
      <c r="I749" s="2464"/>
      <c r="J749" s="2465"/>
      <c r="K749" s="2465"/>
      <c r="M749"/>
      <c r="N749"/>
      <c r="O749"/>
      <c r="P749"/>
      <c r="Q749" s="36"/>
      <c r="U749"/>
      <c r="V749"/>
      <c r="X749"/>
      <c r="Y749"/>
      <c r="AC749"/>
      <c r="AD749"/>
      <c r="AE749"/>
      <c r="AF749"/>
      <c r="AG749"/>
      <c r="AH749"/>
    </row>
    <row r="750" spans="1:34" x14ac:dyDescent="0.2">
      <c r="A750"/>
      <c r="C750" s="665"/>
      <c r="D750"/>
      <c r="E750"/>
      <c r="G750"/>
      <c r="H750" s="2464"/>
      <c r="I750" s="2464"/>
      <c r="J750" s="2465"/>
      <c r="K750" s="2465"/>
      <c r="M750"/>
      <c r="N750"/>
      <c r="O750"/>
      <c r="P750"/>
      <c r="Q750" s="36"/>
      <c r="U750"/>
      <c r="V750"/>
      <c r="X750"/>
      <c r="Y750"/>
      <c r="AC750"/>
      <c r="AD750"/>
      <c r="AE750"/>
      <c r="AF750"/>
      <c r="AG750"/>
      <c r="AH750"/>
    </row>
    <row r="751" spans="1:34" x14ac:dyDescent="0.2">
      <c r="A751"/>
      <c r="C751" s="665"/>
      <c r="D751"/>
      <c r="E751"/>
      <c r="G751"/>
      <c r="H751" s="2464"/>
      <c r="I751" s="2464"/>
      <c r="J751" s="2465"/>
      <c r="K751" s="2465"/>
      <c r="M751"/>
      <c r="N751"/>
      <c r="O751"/>
      <c r="P751"/>
      <c r="Q751" s="36"/>
      <c r="U751"/>
      <c r="V751"/>
      <c r="X751"/>
      <c r="Y751"/>
      <c r="AC751"/>
      <c r="AD751"/>
      <c r="AE751"/>
      <c r="AF751"/>
      <c r="AG751"/>
      <c r="AH751"/>
    </row>
    <row r="752" spans="1:34" x14ac:dyDescent="0.2">
      <c r="A752"/>
      <c r="C752" s="665"/>
      <c r="D752"/>
      <c r="E752"/>
      <c r="G752"/>
      <c r="H752" s="2464"/>
      <c r="I752" s="2464"/>
      <c r="J752" s="2465"/>
      <c r="K752" s="2465"/>
      <c r="M752"/>
      <c r="N752"/>
      <c r="O752"/>
      <c r="P752"/>
      <c r="Q752" s="36"/>
      <c r="U752"/>
      <c r="V752"/>
      <c r="X752"/>
      <c r="Y752"/>
      <c r="AC752"/>
      <c r="AD752"/>
      <c r="AE752"/>
      <c r="AF752"/>
      <c r="AG752"/>
      <c r="AH752"/>
    </row>
    <row r="753" spans="1:34" x14ac:dyDescent="0.2">
      <c r="A753"/>
      <c r="C753" s="665"/>
      <c r="D753"/>
      <c r="E753"/>
      <c r="G753"/>
      <c r="H753" s="2464"/>
      <c r="I753" s="2464"/>
      <c r="J753" s="2465"/>
      <c r="K753" s="2465"/>
      <c r="M753"/>
      <c r="N753"/>
      <c r="O753"/>
      <c r="P753"/>
      <c r="Q753" s="36"/>
      <c r="U753"/>
      <c r="V753"/>
      <c r="X753"/>
      <c r="Y753"/>
      <c r="AC753"/>
      <c r="AD753"/>
      <c r="AE753"/>
      <c r="AF753"/>
      <c r="AG753"/>
      <c r="AH753"/>
    </row>
    <row r="754" spans="1:34" x14ac:dyDescent="0.2">
      <c r="A754"/>
      <c r="C754" s="665"/>
      <c r="D754"/>
      <c r="E754"/>
      <c r="G754"/>
      <c r="H754" s="2464"/>
      <c r="I754" s="2464"/>
      <c r="J754" s="2465"/>
      <c r="K754" s="2465"/>
      <c r="M754"/>
      <c r="N754"/>
      <c r="O754"/>
      <c r="P754"/>
      <c r="Q754" s="36"/>
      <c r="U754"/>
      <c r="V754"/>
      <c r="X754"/>
      <c r="Y754"/>
      <c r="AC754"/>
      <c r="AD754"/>
      <c r="AE754"/>
      <c r="AF754"/>
      <c r="AG754"/>
      <c r="AH754"/>
    </row>
    <row r="755" spans="1:34" x14ac:dyDescent="0.2">
      <c r="A755"/>
      <c r="C755" s="665"/>
      <c r="D755"/>
      <c r="E755"/>
      <c r="G755"/>
      <c r="H755" s="2464"/>
      <c r="I755" s="2464"/>
      <c r="J755" s="2465"/>
      <c r="K755" s="2465"/>
      <c r="M755"/>
      <c r="N755"/>
      <c r="O755"/>
      <c r="P755"/>
      <c r="Q755" s="36"/>
      <c r="U755"/>
      <c r="V755"/>
      <c r="X755"/>
      <c r="Y755"/>
      <c r="AC755"/>
      <c r="AD755"/>
      <c r="AE755"/>
      <c r="AF755"/>
      <c r="AG755"/>
      <c r="AH755"/>
    </row>
    <row r="756" spans="1:34" x14ac:dyDescent="0.2">
      <c r="A756"/>
      <c r="C756" s="665"/>
      <c r="D756"/>
      <c r="E756"/>
      <c r="G756"/>
      <c r="H756" s="2464"/>
      <c r="I756" s="2464"/>
      <c r="J756" s="2465"/>
      <c r="K756" s="2465"/>
      <c r="M756"/>
      <c r="N756"/>
      <c r="O756"/>
      <c r="P756"/>
      <c r="Q756" s="36"/>
      <c r="U756"/>
      <c r="V756"/>
      <c r="X756"/>
      <c r="Y756"/>
      <c r="AC756"/>
      <c r="AD756"/>
      <c r="AE756"/>
      <c r="AF756"/>
      <c r="AG756"/>
      <c r="AH756"/>
    </row>
    <row r="757" spans="1:34" x14ac:dyDescent="0.2">
      <c r="A757"/>
      <c r="C757" s="665"/>
      <c r="D757"/>
      <c r="E757"/>
      <c r="G757"/>
      <c r="H757" s="2464"/>
      <c r="I757" s="2464"/>
      <c r="J757" s="2465"/>
      <c r="K757" s="2465"/>
      <c r="M757"/>
      <c r="N757"/>
      <c r="O757"/>
      <c r="P757"/>
      <c r="Q757" s="36"/>
      <c r="U757"/>
      <c r="V757"/>
      <c r="X757"/>
      <c r="Y757"/>
      <c r="AC757"/>
      <c r="AD757"/>
      <c r="AE757"/>
      <c r="AF757"/>
      <c r="AG757"/>
      <c r="AH757"/>
    </row>
    <row r="758" spans="1:34" x14ac:dyDescent="0.2">
      <c r="A758"/>
      <c r="C758" s="665"/>
      <c r="D758"/>
      <c r="E758"/>
      <c r="G758"/>
      <c r="H758" s="2464"/>
      <c r="I758" s="2464"/>
      <c r="J758" s="2465"/>
      <c r="K758" s="2465"/>
      <c r="M758"/>
      <c r="N758"/>
      <c r="O758"/>
      <c r="P758"/>
      <c r="Q758" s="36"/>
      <c r="U758"/>
      <c r="V758"/>
      <c r="X758"/>
      <c r="Y758"/>
      <c r="AC758"/>
      <c r="AD758"/>
      <c r="AE758"/>
      <c r="AF758"/>
      <c r="AG758"/>
      <c r="AH758"/>
    </row>
    <row r="759" spans="1:34" x14ac:dyDescent="0.2">
      <c r="A759"/>
      <c r="C759" s="665"/>
      <c r="D759"/>
      <c r="E759"/>
      <c r="G759"/>
      <c r="H759" s="2464"/>
      <c r="I759" s="2464"/>
      <c r="J759" s="2465"/>
      <c r="K759" s="2465"/>
      <c r="M759"/>
      <c r="N759"/>
      <c r="O759"/>
      <c r="P759"/>
      <c r="Q759" s="36"/>
      <c r="U759"/>
      <c r="V759"/>
      <c r="X759"/>
      <c r="Y759"/>
      <c r="AC759"/>
      <c r="AD759"/>
      <c r="AE759"/>
      <c r="AF759"/>
      <c r="AG759"/>
      <c r="AH759"/>
    </row>
    <row r="760" spans="1:34" x14ac:dyDescent="0.2">
      <c r="A760"/>
      <c r="C760" s="665"/>
      <c r="D760"/>
      <c r="E760"/>
      <c r="G760"/>
      <c r="H760" s="2464"/>
      <c r="I760" s="2464"/>
      <c r="J760" s="2465"/>
      <c r="K760" s="2465"/>
      <c r="M760"/>
      <c r="N760"/>
      <c r="O760"/>
      <c r="P760"/>
      <c r="Q760" s="36"/>
      <c r="U760"/>
      <c r="V760"/>
      <c r="X760"/>
      <c r="Y760"/>
      <c r="AC760"/>
      <c r="AD760"/>
      <c r="AE760"/>
      <c r="AF760"/>
      <c r="AG760"/>
      <c r="AH760"/>
    </row>
    <row r="761" spans="1:34" x14ac:dyDescent="0.2">
      <c r="A761"/>
      <c r="C761" s="665"/>
      <c r="D761"/>
      <c r="E761"/>
      <c r="G761"/>
      <c r="H761" s="2464"/>
      <c r="I761" s="2464"/>
      <c r="J761" s="2465"/>
      <c r="K761" s="2465"/>
      <c r="M761"/>
      <c r="N761"/>
      <c r="O761"/>
      <c r="P761"/>
      <c r="Q761" s="36"/>
      <c r="U761"/>
      <c r="V761"/>
      <c r="X761"/>
      <c r="Y761"/>
      <c r="AC761"/>
      <c r="AD761"/>
      <c r="AE761"/>
      <c r="AF761"/>
      <c r="AG761"/>
      <c r="AH761"/>
    </row>
    <row r="762" spans="1:34" x14ac:dyDescent="0.2">
      <c r="A762"/>
      <c r="C762" s="665"/>
      <c r="D762"/>
      <c r="E762"/>
      <c r="G762"/>
      <c r="H762" s="2464"/>
      <c r="I762" s="2464"/>
      <c r="J762" s="2465"/>
      <c r="K762" s="2465"/>
      <c r="M762"/>
      <c r="N762"/>
      <c r="O762"/>
      <c r="P762"/>
      <c r="Q762" s="36"/>
      <c r="U762"/>
      <c r="V762"/>
      <c r="X762"/>
      <c r="Y762"/>
      <c r="AC762"/>
      <c r="AD762"/>
      <c r="AE762"/>
      <c r="AF762"/>
      <c r="AG762"/>
      <c r="AH762"/>
    </row>
    <row r="763" spans="1:34" x14ac:dyDescent="0.2">
      <c r="A763"/>
      <c r="C763" s="665"/>
      <c r="D763"/>
      <c r="E763"/>
      <c r="G763"/>
      <c r="H763" s="2464"/>
      <c r="I763" s="2464"/>
      <c r="J763" s="2465"/>
      <c r="K763" s="2465"/>
      <c r="M763"/>
      <c r="N763"/>
      <c r="O763"/>
      <c r="P763"/>
      <c r="Q763" s="36"/>
      <c r="U763"/>
      <c r="V763"/>
      <c r="X763"/>
      <c r="Y763"/>
      <c r="AC763"/>
      <c r="AD763"/>
      <c r="AE763"/>
      <c r="AF763"/>
      <c r="AG763"/>
      <c r="AH763"/>
    </row>
    <row r="764" spans="1:34" x14ac:dyDescent="0.2">
      <c r="A764"/>
      <c r="C764" s="665"/>
      <c r="D764"/>
      <c r="E764"/>
      <c r="G764"/>
      <c r="H764" s="2464"/>
      <c r="I764" s="2464"/>
      <c r="J764" s="2465"/>
      <c r="K764" s="2465"/>
      <c r="M764"/>
      <c r="N764"/>
      <c r="O764"/>
      <c r="P764"/>
      <c r="Q764" s="36"/>
      <c r="U764"/>
      <c r="V764"/>
      <c r="X764"/>
      <c r="Y764"/>
      <c r="AC764"/>
      <c r="AD764"/>
      <c r="AE764"/>
      <c r="AF764"/>
      <c r="AG764"/>
      <c r="AH764"/>
    </row>
    <row r="765" spans="1:34" x14ac:dyDescent="0.2">
      <c r="A765"/>
      <c r="C765" s="665"/>
      <c r="D765"/>
      <c r="E765"/>
      <c r="G765"/>
      <c r="H765" s="2464"/>
      <c r="I765" s="2464"/>
      <c r="J765" s="2465"/>
      <c r="K765" s="2465"/>
      <c r="M765"/>
      <c r="N765"/>
      <c r="O765"/>
      <c r="P765"/>
      <c r="Q765" s="36"/>
      <c r="U765"/>
      <c r="V765"/>
      <c r="X765"/>
      <c r="Y765"/>
      <c r="AC765"/>
      <c r="AD765"/>
      <c r="AE765"/>
      <c r="AF765"/>
      <c r="AG765"/>
      <c r="AH765"/>
    </row>
    <row r="766" spans="1:34" x14ac:dyDescent="0.2">
      <c r="A766"/>
      <c r="C766" s="665"/>
      <c r="D766"/>
      <c r="E766"/>
      <c r="G766"/>
      <c r="H766" s="2464"/>
      <c r="I766" s="2464"/>
      <c r="J766" s="2465"/>
      <c r="K766" s="2465"/>
      <c r="M766"/>
      <c r="N766"/>
      <c r="O766"/>
      <c r="P766"/>
      <c r="Q766" s="36"/>
      <c r="U766"/>
      <c r="V766"/>
      <c r="X766"/>
      <c r="Y766"/>
      <c r="AC766"/>
      <c r="AD766"/>
      <c r="AE766"/>
      <c r="AF766"/>
      <c r="AG766"/>
      <c r="AH766"/>
    </row>
    <row r="767" spans="1:34" x14ac:dyDescent="0.2">
      <c r="A767"/>
      <c r="C767" s="665"/>
      <c r="D767"/>
      <c r="E767"/>
      <c r="G767"/>
      <c r="H767" s="2464"/>
      <c r="I767" s="2464"/>
      <c r="J767" s="2465"/>
      <c r="K767" s="2465"/>
      <c r="M767"/>
      <c r="N767"/>
      <c r="O767"/>
      <c r="P767"/>
      <c r="Q767" s="36"/>
      <c r="U767"/>
      <c r="V767"/>
      <c r="X767"/>
      <c r="Y767"/>
      <c r="AC767"/>
      <c r="AD767"/>
      <c r="AE767"/>
      <c r="AF767"/>
      <c r="AG767"/>
      <c r="AH767"/>
    </row>
    <row r="768" spans="1:34" x14ac:dyDescent="0.2">
      <c r="A768"/>
      <c r="C768" s="665"/>
      <c r="D768"/>
      <c r="E768"/>
      <c r="G768"/>
      <c r="H768" s="2464"/>
      <c r="I768" s="2464"/>
      <c r="J768" s="2465"/>
      <c r="K768" s="2465"/>
      <c r="M768"/>
      <c r="N768"/>
      <c r="O768"/>
      <c r="P768"/>
      <c r="Q768" s="36"/>
      <c r="U768"/>
      <c r="V768"/>
      <c r="X768"/>
      <c r="Y768"/>
      <c r="AC768"/>
      <c r="AD768"/>
      <c r="AE768"/>
      <c r="AF768"/>
      <c r="AG768"/>
      <c r="AH768"/>
    </row>
    <row r="769" spans="1:34" x14ac:dyDescent="0.2">
      <c r="A769"/>
      <c r="C769" s="665"/>
      <c r="D769"/>
      <c r="E769"/>
      <c r="G769"/>
      <c r="H769" s="2464"/>
      <c r="I769" s="2464"/>
      <c r="J769" s="2465"/>
      <c r="K769" s="2465"/>
      <c r="M769"/>
      <c r="N769"/>
      <c r="O769"/>
      <c r="P769"/>
      <c r="Q769" s="36"/>
      <c r="U769"/>
      <c r="V769"/>
      <c r="X769"/>
      <c r="Y769"/>
      <c r="AC769"/>
      <c r="AD769"/>
      <c r="AE769"/>
      <c r="AF769"/>
      <c r="AG769"/>
      <c r="AH769"/>
    </row>
    <row r="770" spans="1:34" x14ac:dyDescent="0.2">
      <c r="A770"/>
      <c r="C770" s="665"/>
      <c r="D770"/>
      <c r="E770"/>
      <c r="G770"/>
      <c r="H770" s="2464"/>
      <c r="I770" s="2464"/>
      <c r="J770" s="2465"/>
      <c r="K770" s="2465"/>
      <c r="M770"/>
      <c r="N770"/>
      <c r="O770"/>
      <c r="P770"/>
      <c r="Q770" s="36"/>
      <c r="U770"/>
      <c r="V770"/>
      <c r="X770"/>
      <c r="Y770"/>
      <c r="AC770"/>
      <c r="AD770"/>
      <c r="AE770"/>
      <c r="AF770"/>
      <c r="AG770"/>
      <c r="AH770"/>
    </row>
    <row r="771" spans="1:34" x14ac:dyDescent="0.2">
      <c r="A771"/>
      <c r="C771" s="665"/>
      <c r="D771"/>
      <c r="E771"/>
      <c r="G771"/>
      <c r="H771" s="2464"/>
      <c r="I771" s="2464"/>
      <c r="J771" s="2465"/>
      <c r="K771" s="2465"/>
      <c r="M771"/>
      <c r="N771"/>
      <c r="O771"/>
      <c r="P771"/>
      <c r="Q771" s="36"/>
      <c r="U771"/>
      <c r="V771"/>
      <c r="X771"/>
      <c r="Y771"/>
      <c r="AC771"/>
      <c r="AD771"/>
      <c r="AE771"/>
      <c r="AF771"/>
      <c r="AG771"/>
      <c r="AH771"/>
    </row>
    <row r="772" spans="1:34" x14ac:dyDescent="0.2">
      <c r="A772"/>
      <c r="C772" s="665"/>
      <c r="D772"/>
      <c r="E772"/>
      <c r="G772"/>
      <c r="H772" s="2464"/>
      <c r="I772" s="2464"/>
      <c r="J772" s="2465"/>
      <c r="K772" s="2465"/>
      <c r="M772"/>
      <c r="N772"/>
      <c r="O772"/>
      <c r="P772"/>
      <c r="Q772" s="36"/>
      <c r="U772"/>
      <c r="V772"/>
      <c r="X772"/>
      <c r="Y772"/>
      <c r="AC772"/>
      <c r="AD772"/>
      <c r="AE772"/>
      <c r="AF772"/>
      <c r="AG772"/>
      <c r="AH772"/>
    </row>
    <row r="773" spans="1:34" x14ac:dyDescent="0.2">
      <c r="A773"/>
      <c r="C773" s="665"/>
      <c r="D773"/>
      <c r="E773"/>
      <c r="G773"/>
      <c r="H773" s="2464"/>
      <c r="I773" s="2464"/>
      <c r="J773" s="2465"/>
      <c r="K773" s="2465"/>
      <c r="M773"/>
      <c r="N773"/>
      <c r="O773"/>
      <c r="P773"/>
      <c r="Q773" s="36"/>
      <c r="U773"/>
      <c r="V773"/>
      <c r="X773"/>
      <c r="Y773"/>
      <c r="AC773"/>
      <c r="AD773"/>
      <c r="AE773"/>
      <c r="AF773"/>
      <c r="AG773"/>
      <c r="AH773"/>
    </row>
    <row r="774" spans="1:34" x14ac:dyDescent="0.2">
      <c r="A774"/>
      <c r="C774" s="665"/>
      <c r="D774"/>
      <c r="E774"/>
      <c r="G774"/>
      <c r="H774" s="2464"/>
      <c r="I774" s="2464"/>
      <c r="J774" s="2465"/>
      <c r="K774" s="2465"/>
      <c r="M774"/>
      <c r="N774"/>
      <c r="O774"/>
      <c r="P774"/>
      <c r="Q774" s="36"/>
      <c r="U774"/>
      <c r="V774"/>
      <c r="X774"/>
      <c r="Y774"/>
      <c r="AC774"/>
      <c r="AD774"/>
      <c r="AE774"/>
      <c r="AF774"/>
      <c r="AG774"/>
      <c r="AH774"/>
    </row>
    <row r="775" spans="1:34" x14ac:dyDescent="0.2">
      <c r="A775"/>
      <c r="C775" s="665"/>
      <c r="D775"/>
      <c r="E775"/>
      <c r="G775"/>
      <c r="H775" s="2464"/>
      <c r="I775" s="2464"/>
      <c r="J775" s="2465"/>
      <c r="K775" s="2465"/>
      <c r="M775"/>
      <c r="N775"/>
      <c r="O775"/>
      <c r="P775"/>
      <c r="Q775" s="36"/>
      <c r="U775"/>
      <c r="V775"/>
      <c r="X775"/>
      <c r="Y775"/>
      <c r="AC775"/>
      <c r="AD775"/>
      <c r="AE775"/>
      <c r="AF775"/>
      <c r="AG775"/>
      <c r="AH775"/>
    </row>
    <row r="776" spans="1:34" x14ac:dyDescent="0.2">
      <c r="A776"/>
      <c r="C776" s="665"/>
      <c r="D776"/>
      <c r="E776"/>
      <c r="G776"/>
      <c r="H776" s="2464"/>
      <c r="I776" s="2464"/>
      <c r="J776" s="2465"/>
      <c r="K776" s="2465"/>
      <c r="M776"/>
      <c r="N776"/>
      <c r="O776"/>
      <c r="P776"/>
      <c r="Q776" s="36"/>
      <c r="U776"/>
      <c r="V776"/>
      <c r="X776"/>
      <c r="Y776"/>
      <c r="AC776"/>
      <c r="AD776"/>
      <c r="AE776"/>
      <c r="AF776"/>
      <c r="AG776"/>
      <c r="AH776"/>
    </row>
    <row r="777" spans="1:34" x14ac:dyDescent="0.2">
      <c r="A777"/>
      <c r="C777" s="665"/>
      <c r="D777"/>
      <c r="E777"/>
      <c r="G777"/>
      <c r="H777" s="2464"/>
      <c r="I777" s="2464"/>
      <c r="J777" s="2465"/>
      <c r="K777" s="2465"/>
      <c r="M777"/>
      <c r="N777"/>
      <c r="O777"/>
      <c r="P777"/>
      <c r="Q777" s="36"/>
      <c r="U777"/>
      <c r="V777"/>
      <c r="X777"/>
      <c r="Y777"/>
      <c r="AC777"/>
      <c r="AD777"/>
      <c r="AE777"/>
      <c r="AF777"/>
      <c r="AG777"/>
      <c r="AH777"/>
    </row>
    <row r="778" spans="1:34" x14ac:dyDescent="0.2">
      <c r="A778"/>
      <c r="C778" s="665"/>
      <c r="D778"/>
      <c r="E778"/>
      <c r="G778"/>
      <c r="H778" s="2464"/>
      <c r="I778" s="2464"/>
      <c r="J778" s="2465"/>
      <c r="K778" s="2465"/>
      <c r="M778"/>
      <c r="N778"/>
      <c r="O778"/>
      <c r="P778"/>
      <c r="Q778" s="36"/>
      <c r="U778"/>
      <c r="V778"/>
      <c r="X778"/>
      <c r="Y778"/>
      <c r="AC778"/>
      <c r="AD778"/>
      <c r="AE778"/>
      <c r="AF778"/>
      <c r="AG778"/>
      <c r="AH778"/>
    </row>
    <row r="779" spans="1:34" x14ac:dyDescent="0.2">
      <c r="A779"/>
      <c r="C779" s="665"/>
      <c r="D779"/>
      <c r="E779"/>
      <c r="G779"/>
      <c r="H779" s="2464"/>
      <c r="I779" s="2464"/>
      <c r="J779" s="2465"/>
      <c r="K779" s="2465"/>
      <c r="M779"/>
      <c r="N779"/>
      <c r="O779"/>
      <c r="P779"/>
      <c r="Q779" s="36"/>
      <c r="U779"/>
      <c r="V779"/>
      <c r="X779"/>
      <c r="Y779"/>
      <c r="AC779"/>
      <c r="AD779"/>
      <c r="AE779"/>
      <c r="AF779"/>
      <c r="AG779"/>
      <c r="AH779"/>
    </row>
    <row r="780" spans="1:34" x14ac:dyDescent="0.2">
      <c r="A780"/>
      <c r="C780" s="665"/>
      <c r="D780"/>
      <c r="E780"/>
      <c r="G780"/>
      <c r="H780" s="2464"/>
      <c r="I780" s="2464"/>
      <c r="J780" s="2465"/>
      <c r="K780" s="2465"/>
      <c r="M780"/>
      <c r="N780"/>
      <c r="O780"/>
      <c r="P780"/>
      <c r="Q780" s="36"/>
      <c r="U780"/>
      <c r="V780"/>
      <c r="X780"/>
      <c r="Y780"/>
      <c r="AC780"/>
      <c r="AD780"/>
      <c r="AE780"/>
      <c r="AF780"/>
      <c r="AG780"/>
      <c r="AH780"/>
    </row>
    <row r="781" spans="1:34" x14ac:dyDescent="0.2">
      <c r="A781"/>
      <c r="C781" s="665"/>
      <c r="D781"/>
      <c r="E781"/>
      <c r="G781"/>
      <c r="H781" s="2464"/>
      <c r="I781" s="2464"/>
      <c r="J781" s="2465"/>
      <c r="K781" s="2465"/>
      <c r="M781"/>
      <c r="N781"/>
      <c r="O781"/>
      <c r="P781"/>
      <c r="Q781" s="36"/>
      <c r="U781"/>
      <c r="V781"/>
      <c r="X781"/>
      <c r="Y781"/>
      <c r="AC781"/>
      <c r="AD781"/>
      <c r="AE781"/>
      <c r="AF781"/>
      <c r="AG781"/>
      <c r="AH781"/>
    </row>
    <row r="782" spans="1:34" x14ac:dyDescent="0.2">
      <c r="A782"/>
      <c r="C782" s="665"/>
      <c r="D782"/>
      <c r="E782"/>
      <c r="G782"/>
      <c r="H782" s="2464"/>
      <c r="I782" s="2464"/>
      <c r="J782" s="2465"/>
      <c r="K782" s="2465"/>
      <c r="M782"/>
      <c r="N782"/>
      <c r="O782"/>
      <c r="P782"/>
      <c r="Q782" s="36"/>
      <c r="U782"/>
      <c r="V782"/>
      <c r="X782"/>
      <c r="Y782"/>
      <c r="AC782"/>
      <c r="AD782"/>
      <c r="AE782"/>
      <c r="AF782"/>
      <c r="AG782"/>
      <c r="AH782"/>
    </row>
    <row r="783" spans="1:34" x14ac:dyDescent="0.2">
      <c r="A783"/>
      <c r="C783" s="665"/>
      <c r="D783"/>
      <c r="E783"/>
      <c r="G783"/>
      <c r="H783" s="2464"/>
      <c r="I783" s="2464"/>
      <c r="J783" s="2465"/>
      <c r="K783" s="2465"/>
      <c r="M783"/>
      <c r="N783"/>
      <c r="O783"/>
      <c r="P783"/>
      <c r="Q783" s="36"/>
      <c r="U783"/>
      <c r="V783"/>
      <c r="X783"/>
      <c r="Y783"/>
      <c r="AC783"/>
      <c r="AD783"/>
      <c r="AE783"/>
      <c r="AF783"/>
      <c r="AG783"/>
      <c r="AH783"/>
    </row>
    <row r="784" spans="1:34" x14ac:dyDescent="0.2">
      <c r="A784"/>
      <c r="C784" s="665"/>
      <c r="D784"/>
      <c r="E784"/>
      <c r="G784"/>
      <c r="H784" s="2464"/>
      <c r="I784" s="2464"/>
      <c r="J784" s="2465"/>
      <c r="K784" s="2465"/>
      <c r="M784"/>
      <c r="N784"/>
      <c r="O784"/>
      <c r="P784"/>
      <c r="Q784" s="36"/>
      <c r="U784"/>
      <c r="V784"/>
      <c r="X784"/>
      <c r="Y784"/>
      <c r="AC784"/>
      <c r="AD784"/>
      <c r="AE784"/>
      <c r="AF784"/>
      <c r="AG784"/>
      <c r="AH784"/>
    </row>
    <row r="785" spans="1:34" x14ac:dyDescent="0.2">
      <c r="A785"/>
      <c r="C785" s="665"/>
      <c r="D785"/>
      <c r="E785"/>
      <c r="G785"/>
      <c r="H785" s="2464"/>
      <c r="I785" s="2464"/>
      <c r="J785" s="2465"/>
      <c r="K785" s="2465"/>
      <c r="M785"/>
      <c r="N785"/>
      <c r="O785"/>
      <c r="P785"/>
      <c r="Q785" s="36"/>
      <c r="U785"/>
      <c r="V785"/>
      <c r="X785"/>
      <c r="Y785"/>
      <c r="AC785"/>
      <c r="AD785"/>
      <c r="AE785"/>
      <c r="AF785"/>
      <c r="AG785"/>
      <c r="AH785"/>
    </row>
    <row r="786" spans="1:34" x14ac:dyDescent="0.2">
      <c r="A786"/>
      <c r="C786" s="665"/>
      <c r="D786"/>
      <c r="E786"/>
      <c r="G786"/>
      <c r="H786" s="2464"/>
      <c r="I786" s="2464"/>
      <c r="J786" s="2465"/>
      <c r="K786" s="2465"/>
      <c r="M786"/>
      <c r="N786"/>
      <c r="O786"/>
      <c r="P786"/>
      <c r="Q786" s="36"/>
      <c r="U786"/>
      <c r="V786"/>
      <c r="X786"/>
      <c r="Y786"/>
      <c r="AC786"/>
      <c r="AD786"/>
      <c r="AE786"/>
      <c r="AF786"/>
      <c r="AG786"/>
      <c r="AH786"/>
    </row>
    <row r="787" spans="1:34" x14ac:dyDescent="0.2">
      <c r="A787"/>
      <c r="C787" s="665"/>
      <c r="D787"/>
      <c r="E787"/>
      <c r="G787"/>
      <c r="H787" s="2464"/>
      <c r="I787" s="2464"/>
      <c r="J787" s="2465"/>
      <c r="K787" s="2465"/>
      <c r="M787"/>
      <c r="N787"/>
      <c r="O787"/>
      <c r="P787"/>
      <c r="Q787" s="36"/>
      <c r="U787"/>
      <c r="V787"/>
      <c r="X787"/>
      <c r="Y787"/>
      <c r="AC787"/>
      <c r="AD787"/>
      <c r="AE787"/>
      <c r="AF787"/>
      <c r="AG787"/>
      <c r="AH787"/>
    </row>
    <row r="788" spans="1:34" x14ac:dyDescent="0.2">
      <c r="A788"/>
      <c r="C788" s="665"/>
      <c r="D788"/>
      <c r="E788"/>
      <c r="G788"/>
      <c r="H788" s="2464"/>
      <c r="I788" s="2464"/>
      <c r="J788" s="2465"/>
      <c r="K788" s="2465"/>
      <c r="M788"/>
      <c r="N788"/>
      <c r="O788"/>
      <c r="P788"/>
      <c r="Q788" s="36"/>
      <c r="U788"/>
      <c r="V788"/>
      <c r="X788"/>
      <c r="Y788"/>
      <c r="AC788"/>
      <c r="AD788"/>
      <c r="AE788"/>
      <c r="AF788"/>
      <c r="AG788"/>
      <c r="AH788"/>
    </row>
    <row r="789" spans="1:34" x14ac:dyDescent="0.2">
      <c r="A789"/>
      <c r="C789" s="665"/>
      <c r="D789"/>
      <c r="E789"/>
      <c r="G789"/>
      <c r="H789" s="2464"/>
      <c r="I789" s="2464"/>
      <c r="J789" s="2465"/>
      <c r="K789" s="2465"/>
      <c r="M789"/>
      <c r="N789"/>
      <c r="O789"/>
      <c r="P789"/>
      <c r="Q789" s="36"/>
      <c r="U789"/>
      <c r="V789"/>
      <c r="X789"/>
      <c r="Y789"/>
      <c r="AC789"/>
      <c r="AD789"/>
      <c r="AE789"/>
      <c r="AF789"/>
      <c r="AG789"/>
      <c r="AH789"/>
    </row>
    <row r="790" spans="1:34" x14ac:dyDescent="0.2">
      <c r="A790"/>
      <c r="C790" s="665"/>
      <c r="D790"/>
      <c r="E790"/>
      <c r="G790"/>
      <c r="H790" s="2464"/>
      <c r="I790" s="2464"/>
      <c r="J790" s="2465"/>
      <c r="K790" s="2465"/>
      <c r="M790"/>
      <c r="N790"/>
      <c r="O790"/>
      <c r="P790"/>
      <c r="Q790" s="36"/>
      <c r="U790"/>
      <c r="V790"/>
      <c r="X790"/>
      <c r="Y790"/>
      <c r="AC790"/>
      <c r="AD790"/>
      <c r="AE790"/>
      <c r="AF790"/>
      <c r="AG790"/>
      <c r="AH790"/>
    </row>
    <row r="791" spans="1:34" x14ac:dyDescent="0.2">
      <c r="A791"/>
      <c r="C791" s="665"/>
      <c r="D791"/>
      <c r="E791"/>
      <c r="G791"/>
      <c r="H791" s="2464"/>
      <c r="I791" s="2464"/>
      <c r="J791" s="2465"/>
      <c r="K791" s="2465"/>
      <c r="M791"/>
      <c r="N791"/>
      <c r="O791"/>
      <c r="P791"/>
      <c r="Q791" s="36"/>
      <c r="U791"/>
      <c r="V791"/>
      <c r="X791"/>
      <c r="Y791"/>
      <c r="AC791"/>
      <c r="AD791"/>
      <c r="AE791"/>
      <c r="AF791"/>
      <c r="AG791"/>
      <c r="AH791"/>
    </row>
    <row r="792" spans="1:34" x14ac:dyDescent="0.2">
      <c r="A792"/>
      <c r="C792" s="665"/>
      <c r="D792"/>
      <c r="E792"/>
      <c r="G792"/>
      <c r="H792" s="2464"/>
      <c r="I792" s="2464"/>
      <c r="J792" s="2465"/>
      <c r="K792" s="2465"/>
      <c r="M792"/>
      <c r="N792"/>
      <c r="O792"/>
      <c r="P792"/>
      <c r="Q792" s="36"/>
      <c r="U792"/>
      <c r="V792"/>
      <c r="X792"/>
      <c r="Y792"/>
      <c r="AC792"/>
      <c r="AD792"/>
      <c r="AE792"/>
      <c r="AF792"/>
      <c r="AG792"/>
      <c r="AH792"/>
    </row>
    <row r="793" spans="1:34" x14ac:dyDescent="0.2">
      <c r="A793"/>
      <c r="C793" s="665"/>
      <c r="D793"/>
      <c r="E793"/>
      <c r="G793"/>
      <c r="H793" s="2464"/>
      <c r="I793" s="2464"/>
      <c r="J793" s="2465"/>
      <c r="K793" s="2465"/>
      <c r="M793"/>
      <c r="N793"/>
      <c r="O793"/>
      <c r="P793"/>
      <c r="Q793" s="36"/>
      <c r="U793"/>
      <c r="V793"/>
      <c r="X793"/>
      <c r="Y793"/>
      <c r="AC793"/>
      <c r="AD793"/>
      <c r="AE793"/>
      <c r="AF793"/>
      <c r="AG793"/>
      <c r="AH793"/>
    </row>
    <row r="794" spans="1:34" x14ac:dyDescent="0.2">
      <c r="A794"/>
      <c r="C794" s="665"/>
      <c r="D794"/>
      <c r="E794"/>
      <c r="G794"/>
      <c r="H794" s="2464"/>
      <c r="I794" s="2464"/>
      <c r="J794" s="2465"/>
      <c r="K794" s="2465"/>
      <c r="M794"/>
      <c r="N794"/>
      <c r="O794"/>
      <c r="P794"/>
      <c r="Q794" s="36"/>
      <c r="U794"/>
      <c r="V794"/>
      <c r="X794"/>
      <c r="Y794"/>
      <c r="AC794"/>
      <c r="AD794"/>
      <c r="AE794"/>
      <c r="AF794"/>
      <c r="AG794"/>
      <c r="AH794"/>
    </row>
    <row r="795" spans="1:34" x14ac:dyDescent="0.2">
      <c r="A795"/>
      <c r="C795" s="665"/>
      <c r="D795"/>
      <c r="E795"/>
      <c r="G795"/>
      <c r="H795" s="2464"/>
      <c r="I795" s="2464"/>
      <c r="J795" s="2465"/>
      <c r="K795" s="2465"/>
      <c r="M795"/>
      <c r="N795"/>
      <c r="O795"/>
      <c r="P795"/>
      <c r="Q795" s="36"/>
      <c r="U795"/>
      <c r="V795"/>
      <c r="X795"/>
      <c r="Y795"/>
      <c r="AC795"/>
      <c r="AD795"/>
      <c r="AE795"/>
      <c r="AF795"/>
      <c r="AG795"/>
      <c r="AH795"/>
    </row>
    <row r="796" spans="1:34" x14ac:dyDescent="0.2">
      <c r="A796"/>
      <c r="C796" s="665"/>
      <c r="D796"/>
      <c r="E796"/>
      <c r="G796"/>
      <c r="H796" s="2464"/>
      <c r="I796" s="2464"/>
      <c r="J796" s="2465"/>
      <c r="K796" s="2465"/>
      <c r="M796"/>
      <c r="N796"/>
      <c r="O796"/>
      <c r="P796"/>
      <c r="Q796" s="36"/>
      <c r="U796"/>
      <c r="V796"/>
      <c r="X796"/>
      <c r="Y796"/>
      <c r="AC796"/>
      <c r="AD796"/>
      <c r="AE796"/>
      <c r="AF796"/>
      <c r="AG796"/>
      <c r="AH796"/>
    </row>
    <row r="797" spans="1:34" x14ac:dyDescent="0.2">
      <c r="A797"/>
      <c r="C797" s="665"/>
      <c r="D797"/>
      <c r="E797"/>
      <c r="G797"/>
      <c r="H797" s="2464"/>
      <c r="I797" s="2464"/>
      <c r="J797" s="2465"/>
      <c r="K797" s="2465"/>
      <c r="M797"/>
      <c r="N797"/>
      <c r="O797"/>
      <c r="P797"/>
      <c r="Q797" s="36"/>
      <c r="U797"/>
      <c r="V797"/>
      <c r="X797"/>
      <c r="Y797"/>
      <c r="AC797"/>
      <c r="AD797"/>
      <c r="AE797"/>
      <c r="AF797"/>
      <c r="AG797"/>
      <c r="AH797"/>
    </row>
    <row r="798" spans="1:34" x14ac:dyDescent="0.2">
      <c r="A798"/>
      <c r="C798" s="665"/>
      <c r="D798"/>
      <c r="E798"/>
      <c r="G798"/>
      <c r="H798" s="2464"/>
      <c r="I798" s="2464"/>
      <c r="J798" s="2465"/>
      <c r="K798" s="2465"/>
      <c r="M798"/>
      <c r="N798"/>
      <c r="O798"/>
      <c r="P798"/>
      <c r="Q798" s="36"/>
      <c r="U798"/>
      <c r="V798"/>
      <c r="X798"/>
      <c r="Y798"/>
      <c r="AC798"/>
      <c r="AD798"/>
      <c r="AE798"/>
      <c r="AF798"/>
      <c r="AG798"/>
      <c r="AH798"/>
    </row>
    <row r="799" spans="1:34" x14ac:dyDescent="0.2">
      <c r="A799"/>
      <c r="C799" s="665"/>
      <c r="D799"/>
      <c r="E799"/>
      <c r="G799"/>
      <c r="H799" s="2464"/>
      <c r="I799" s="2464"/>
      <c r="J799" s="2465"/>
      <c r="K799" s="2465"/>
      <c r="M799"/>
      <c r="N799"/>
      <c r="O799"/>
      <c r="P799"/>
      <c r="Q799" s="36"/>
      <c r="U799"/>
      <c r="V799"/>
      <c r="X799"/>
      <c r="Y799"/>
      <c r="AC799"/>
      <c r="AD799"/>
      <c r="AE799"/>
      <c r="AF799"/>
      <c r="AG799"/>
      <c r="AH799"/>
    </row>
    <row r="800" spans="1:34" x14ac:dyDescent="0.2">
      <c r="A800"/>
      <c r="C800" s="665"/>
      <c r="D800"/>
      <c r="E800"/>
      <c r="G800"/>
      <c r="H800" s="2464"/>
      <c r="I800" s="2464"/>
      <c r="J800" s="2465"/>
      <c r="K800" s="2465"/>
      <c r="M800"/>
      <c r="N800"/>
      <c r="O800"/>
      <c r="P800"/>
      <c r="Q800" s="36"/>
      <c r="U800"/>
      <c r="V800"/>
      <c r="X800"/>
      <c r="Y800"/>
      <c r="AC800"/>
      <c r="AD800"/>
      <c r="AE800"/>
      <c r="AF800"/>
      <c r="AG800"/>
      <c r="AH800"/>
    </row>
    <row r="801" spans="1:34" x14ac:dyDescent="0.2">
      <c r="A801"/>
      <c r="C801" s="665"/>
      <c r="D801"/>
      <c r="E801"/>
      <c r="G801"/>
      <c r="H801" s="2464"/>
      <c r="I801" s="2464"/>
      <c r="J801" s="2465"/>
      <c r="K801" s="2465"/>
      <c r="M801"/>
      <c r="N801"/>
      <c r="O801"/>
      <c r="P801"/>
      <c r="Q801" s="36"/>
      <c r="U801"/>
      <c r="V801"/>
      <c r="X801"/>
      <c r="Y801"/>
      <c r="AC801"/>
      <c r="AD801"/>
      <c r="AE801"/>
      <c r="AF801"/>
      <c r="AG801"/>
      <c r="AH801"/>
    </row>
    <row r="802" spans="1:34" ht="13.5" thickBot="1" x14ac:dyDescent="0.25">
      <c r="A802"/>
      <c r="C802" s="665"/>
      <c r="D802"/>
      <c r="E802"/>
      <c r="G802"/>
      <c r="H802" s="2464"/>
      <c r="I802" s="2464"/>
      <c r="J802" s="2465"/>
      <c r="K802" s="2465"/>
      <c r="M802"/>
      <c r="N802"/>
      <c r="O802"/>
      <c r="P802"/>
      <c r="Q802" s="36"/>
      <c r="U802"/>
      <c r="V802"/>
      <c r="X802"/>
      <c r="Y802"/>
      <c r="AC802"/>
      <c r="AD802"/>
      <c r="AE802"/>
      <c r="AF802"/>
      <c r="AG802"/>
      <c r="AH802"/>
    </row>
    <row r="803" spans="1:34" ht="13.5" thickBot="1" x14ac:dyDescent="0.25">
      <c r="A803"/>
      <c r="B803" s="2010" t="s">
        <v>30291</v>
      </c>
      <c r="H803" s="2464"/>
      <c r="I803" s="2464"/>
      <c r="J803" s="2465"/>
      <c r="K803" s="2465"/>
      <c r="Q803" s="36"/>
      <c r="AD803" s="817">
        <f>SUM(AD5:AD802)</f>
        <v>48.963345249999989</v>
      </c>
      <c r="AE803"/>
      <c r="AF803"/>
      <c r="AG803"/>
      <c r="AH803"/>
    </row>
    <row r="804" spans="1:34" x14ac:dyDescent="0.2">
      <c r="H804" s="2464"/>
      <c r="I804" s="2464"/>
      <c r="J804" s="2465"/>
      <c r="K804" s="2465"/>
      <c r="Q804" s="36"/>
    </row>
    <row r="805" spans="1:34" x14ac:dyDescent="0.2">
      <c r="H805" s="2464"/>
      <c r="I805" s="2464"/>
      <c r="J805" s="2465"/>
      <c r="K805" s="2465"/>
      <c r="Q805" s="36"/>
    </row>
    <row r="806" spans="1:34" x14ac:dyDescent="0.2">
      <c r="H806" s="2464"/>
      <c r="I806" s="2464"/>
      <c r="J806" s="2465"/>
      <c r="K806" s="2465"/>
    </row>
    <row r="807" spans="1:34" x14ac:dyDescent="0.2">
      <c r="H807" s="2464"/>
      <c r="I807" s="2464"/>
      <c r="J807" s="2465"/>
      <c r="K807" s="2465"/>
    </row>
    <row r="808" spans="1:34" x14ac:dyDescent="0.2">
      <c r="H808" s="2464"/>
      <c r="I808" s="2464"/>
      <c r="J808" s="2465"/>
      <c r="K808" s="2465"/>
    </row>
    <row r="809" spans="1:34" x14ac:dyDescent="0.2">
      <c r="H809" s="2464"/>
      <c r="I809" s="2464"/>
      <c r="J809" s="2465"/>
      <c r="K809" s="2465"/>
    </row>
  </sheetData>
  <mergeCells count="6">
    <mergeCell ref="AJ1:AJ4"/>
    <mergeCell ref="R3:T3"/>
    <mergeCell ref="AD1:AD4"/>
    <mergeCell ref="AC1:AC4"/>
    <mergeCell ref="V1:AA1"/>
    <mergeCell ref="AI1:AI4"/>
  </mergeCells>
  <phoneticPr fontId="20" type="noConversion"/>
  <conditionalFormatting sqref="B263 B266">
    <cfRule type="expression" dxfId="1216" priority="735" stopIfTrue="1">
      <formula>$G$10&gt;0</formula>
    </cfRule>
  </conditionalFormatting>
  <conditionalFormatting sqref="Y4:AA4">
    <cfRule type="cellIs" dxfId="1215" priority="736" stopIfTrue="1" operator="equal">
      <formula>0</formula>
    </cfRule>
  </conditionalFormatting>
  <conditionalFormatting sqref="B138:B142">
    <cfRule type="expression" dxfId="1214" priority="732" stopIfTrue="1">
      <formula>$G$10&gt;0</formula>
    </cfRule>
  </conditionalFormatting>
  <conditionalFormatting sqref="B264">
    <cfRule type="expression" dxfId="1213" priority="678" stopIfTrue="1">
      <formula>$G$10&gt;0</formula>
    </cfRule>
  </conditionalFormatting>
  <conditionalFormatting sqref="C189 C27:C31 C397:C398 C400:C401 C449 C452:C453 C380 C385 C302:C304 C443:C444 C266 C126:C127 C138:C142 C175:C177 C150:C155 C161 C235:C236 C171 C168 C50:C56 C86:C98 C192 C202 C253:C260 C262:C264 C368:C375 C427:C428 C455:C456 C464:C465 C472:C473 C530:C690 C276:C291 C306:C308 C65:C75 C296:C297 C495:C500 C467:C468 C230 C365:C366 C5:C25 C250 C245 C470 C44:C45 C310:C311 C313:C314 C269:C274">
    <cfRule type="expression" dxfId="1212" priority="644" stopIfTrue="1">
      <formula>$AE5&lt;1</formula>
    </cfRule>
  </conditionalFormatting>
  <conditionalFormatting sqref="C246:C248">
    <cfRule type="expression" dxfId="1211" priority="640" stopIfTrue="1">
      <formula>$AE246&lt;1</formula>
    </cfRule>
  </conditionalFormatting>
  <conditionalFormatting sqref="C190">
    <cfRule type="expression" dxfId="1210" priority="590" stopIfTrue="1">
      <formula>$AE190&lt;1</formula>
    </cfRule>
  </conditionalFormatting>
  <conditionalFormatting sqref="B190">
    <cfRule type="expression" dxfId="1209" priority="589" stopIfTrue="1">
      <formula>$G$10&gt;0</formula>
    </cfRule>
  </conditionalFormatting>
  <conditionalFormatting sqref="C144:C145">
    <cfRule type="expression" dxfId="1208" priority="578" stopIfTrue="1">
      <formula>$AE144&lt;1</formula>
    </cfRule>
  </conditionalFormatting>
  <conditionalFormatting sqref="C179">
    <cfRule type="expression" dxfId="1207" priority="584" stopIfTrue="1">
      <formula>$AE179&lt;1</formula>
    </cfRule>
  </conditionalFormatting>
  <conditionalFormatting sqref="C26">
    <cfRule type="expression" dxfId="1206" priority="576" stopIfTrue="1">
      <formula>$AE26&lt;1</formula>
    </cfRule>
  </conditionalFormatting>
  <conditionalFormatting sqref="C64">
    <cfRule type="expression" dxfId="1205" priority="582" stopIfTrue="1">
      <formula>$AE64&lt;1</formula>
    </cfRule>
  </conditionalFormatting>
  <conditionalFormatting sqref="C85">
    <cfRule type="expression" dxfId="1204" priority="580" stopIfTrue="1">
      <formula>$AE85&lt;1</formula>
    </cfRule>
  </conditionalFormatting>
  <conditionalFormatting sqref="C203:C204">
    <cfRule type="expression" dxfId="1203" priority="560" stopIfTrue="1">
      <formula>$AE203&lt;1</formula>
    </cfRule>
  </conditionalFormatting>
  <conditionalFormatting sqref="C209:C210">
    <cfRule type="expression" dxfId="1202" priority="551" stopIfTrue="1">
      <formula>$AE209&lt;1</formula>
    </cfRule>
  </conditionalFormatting>
  <conditionalFormatting sqref="C205:C206">
    <cfRule type="expression" dxfId="1201" priority="557" stopIfTrue="1">
      <formula>$AE205&lt;1</formula>
    </cfRule>
  </conditionalFormatting>
  <conditionalFormatting sqref="C207:C208">
    <cfRule type="expression" dxfId="1200" priority="554" stopIfTrue="1">
      <formula>$AE207&lt;1</formula>
    </cfRule>
  </conditionalFormatting>
  <conditionalFormatting sqref="C193:C194">
    <cfRule type="expression" dxfId="1199" priority="547" stopIfTrue="1">
      <formula>$AE193&lt;1</formula>
    </cfRule>
  </conditionalFormatting>
  <conditionalFormatting sqref="C47:C48">
    <cfRule type="expression" dxfId="1198" priority="548" stopIfTrue="1">
      <formula>$AE47&lt;1</formula>
    </cfRule>
  </conditionalFormatting>
  <conditionalFormatting sqref="C298:C301">
    <cfRule type="expression" dxfId="1197" priority="544" stopIfTrue="1">
      <formula>$AE298&lt;1</formula>
    </cfRule>
  </conditionalFormatting>
  <conditionalFormatting sqref="C251">
    <cfRule type="expression" dxfId="1196" priority="542" stopIfTrue="1">
      <formula>$AE251&lt;1</formula>
    </cfRule>
  </conditionalFormatting>
  <conditionalFormatting sqref="C387:C388">
    <cfRule type="expression" dxfId="1195" priority="508" stopIfTrue="1">
      <formula>$AE387&lt;1</formula>
    </cfRule>
  </conditionalFormatting>
  <conditionalFormatting sqref="C393">
    <cfRule type="expression" dxfId="1194" priority="506" stopIfTrue="1">
      <formula>$AE393&lt;1</formula>
    </cfRule>
  </conditionalFormatting>
  <conditionalFormatting sqref="C392">
    <cfRule type="expression" dxfId="1193" priority="504" stopIfTrue="1">
      <formula>$AE392&lt;1</formula>
    </cfRule>
  </conditionalFormatting>
  <conditionalFormatting sqref="C389:C390">
    <cfRule type="expression" dxfId="1192" priority="502" stopIfTrue="1">
      <formula>$AE389&lt;1</formula>
    </cfRule>
  </conditionalFormatting>
  <conditionalFormatting sqref="C395">
    <cfRule type="expression" dxfId="1191" priority="500" stopIfTrue="1">
      <formula>$AE395&lt;1</formula>
    </cfRule>
  </conditionalFormatting>
  <conditionalFormatting sqref="C394">
    <cfRule type="expression" dxfId="1190" priority="498" stopIfTrue="1">
      <formula>$AE394&lt;1</formula>
    </cfRule>
  </conditionalFormatting>
  <conditionalFormatting sqref="C477:C493">
    <cfRule type="expression" dxfId="1189" priority="490" stopIfTrue="1">
      <formula>$AE477&lt;1</formula>
    </cfRule>
  </conditionalFormatting>
  <conditionalFormatting sqref="C494">
    <cfRule type="expression" dxfId="1188" priority="486" stopIfTrue="1">
      <formula>$AE494&lt;1</formula>
    </cfRule>
  </conditionalFormatting>
  <conditionalFormatting sqref="C502:C505">
    <cfRule type="expression" dxfId="1187" priority="484" stopIfTrue="1">
      <formula>$AE502&lt;1</formula>
    </cfRule>
  </conditionalFormatting>
  <conditionalFormatting sqref="C507:C510">
    <cfRule type="expression" dxfId="1186" priority="480" stopIfTrue="1">
      <formula>$AE507&lt;1</formula>
    </cfRule>
  </conditionalFormatting>
  <conditionalFormatting sqref="C35">
    <cfRule type="expression" dxfId="1185" priority="474" stopIfTrue="1">
      <formula>$AE35&lt;1</formula>
    </cfRule>
  </conditionalFormatting>
  <conditionalFormatting sqref="C36">
    <cfRule type="expression" dxfId="1184" priority="473" stopIfTrue="1">
      <formula>$AE36&lt;1</formula>
    </cfRule>
  </conditionalFormatting>
  <conditionalFormatting sqref="C40">
    <cfRule type="expression" dxfId="1183" priority="469" stopIfTrue="1">
      <formula>$AE40&lt;1</formula>
    </cfRule>
  </conditionalFormatting>
  <conditionalFormatting sqref="C37">
    <cfRule type="expression" dxfId="1182" priority="472" stopIfTrue="1">
      <formula>$AE37&lt;1</formula>
    </cfRule>
  </conditionalFormatting>
  <conditionalFormatting sqref="C38">
    <cfRule type="expression" dxfId="1181" priority="471" stopIfTrue="1">
      <formula>$AE38&lt;1</formula>
    </cfRule>
  </conditionalFormatting>
  <conditionalFormatting sqref="C39">
    <cfRule type="expression" dxfId="1180" priority="470" stopIfTrue="1">
      <formula>$AE39&lt;1</formula>
    </cfRule>
  </conditionalFormatting>
  <conditionalFormatting sqref="C238">
    <cfRule type="expression" dxfId="1179" priority="466" stopIfTrue="1">
      <formula>$AE238&lt;1</formula>
    </cfRule>
  </conditionalFormatting>
  <conditionalFormatting sqref="C239:C242">
    <cfRule type="expression" dxfId="1178" priority="464" stopIfTrue="1">
      <formula>$AE239&lt;1</formula>
    </cfRule>
  </conditionalFormatting>
  <conditionalFormatting sqref="C211">
    <cfRule type="expression" dxfId="1177" priority="460" stopIfTrue="1">
      <formula>$AE211&lt;1</formula>
    </cfRule>
  </conditionalFormatting>
  <conditionalFormatting sqref="C386">
    <cfRule type="expression" dxfId="1176" priority="457" stopIfTrue="1">
      <formula>$AE386&lt;1</formula>
    </cfRule>
  </conditionalFormatting>
  <conditionalFormatting sqref="C420:C423">
    <cfRule type="expression" dxfId="1175" priority="455" stopIfTrue="1">
      <formula>$AE420&lt;1</formula>
    </cfRule>
  </conditionalFormatting>
  <conditionalFormatting sqref="C424:C425">
    <cfRule type="expression" dxfId="1174" priority="454" stopIfTrue="1">
      <formula>$AE424&lt;1</formula>
    </cfRule>
  </conditionalFormatting>
  <conditionalFormatting sqref="C406:C411">
    <cfRule type="expression" dxfId="1173" priority="451" stopIfTrue="1">
      <formula>$AE406&lt;1</formula>
    </cfRule>
  </conditionalFormatting>
  <conditionalFormatting sqref="C413:C416">
    <cfRule type="expression" dxfId="1172" priority="453" stopIfTrue="1">
      <formula>$AE413&lt;1</formula>
    </cfRule>
  </conditionalFormatting>
  <conditionalFormatting sqref="C417:C418">
    <cfRule type="expression" dxfId="1171" priority="452" stopIfTrue="1">
      <formula>$AE417&lt;1</formula>
    </cfRule>
  </conditionalFormatting>
  <conditionalFormatting sqref="C77:C79">
    <cfRule type="expression" dxfId="1170" priority="445" stopIfTrue="1">
      <formula>$AE77&lt;1</formula>
    </cfRule>
  </conditionalFormatting>
  <conditionalFormatting sqref="C183:C184">
    <cfRule type="expression" dxfId="1169" priority="435" stopIfTrue="1">
      <formula>$AE183&lt;1</formula>
    </cfRule>
  </conditionalFormatting>
  <conditionalFormatting sqref="C80">
    <cfRule type="expression" dxfId="1168" priority="433" stopIfTrue="1">
      <formula>$AE80&lt;1</formula>
    </cfRule>
  </conditionalFormatting>
  <conditionalFormatting sqref="C130:C133">
    <cfRule type="expression" dxfId="1167" priority="431" stopIfTrue="1">
      <formula>$AE130&lt;1</formula>
    </cfRule>
  </conditionalFormatting>
  <conditionalFormatting sqref="C180:C181">
    <cfRule type="expression" dxfId="1166" priority="437" stopIfTrue="1">
      <formula>$AE180&lt;1</formula>
    </cfRule>
  </conditionalFormatting>
  <conditionalFormatting sqref="C450">
    <cfRule type="expression" dxfId="1165" priority="423" stopIfTrue="1">
      <formula>$AE450&lt;1</formula>
    </cfRule>
  </conditionalFormatting>
  <conditionalFormatting sqref="C446">
    <cfRule type="expression" dxfId="1164" priority="418" stopIfTrue="1">
      <formula>$AE446&lt;1</formula>
    </cfRule>
  </conditionalFormatting>
  <conditionalFormatting sqref="C447">
    <cfRule type="expression" dxfId="1163" priority="417" stopIfTrue="1">
      <formula>$AE447&lt;1</formula>
    </cfRule>
  </conditionalFormatting>
  <conditionalFormatting sqref="C460:C462">
    <cfRule type="expression" dxfId="1162" priority="415" stopIfTrue="1">
      <formula>$AE460&lt;1</formula>
    </cfRule>
  </conditionalFormatting>
  <conditionalFormatting sqref="C376">
    <cfRule type="expression" dxfId="1161" priority="412" stopIfTrue="1">
      <formula>$AE376&lt;1</formula>
    </cfRule>
  </conditionalFormatting>
  <conditionalFormatting sqref="C381">
    <cfRule type="expression" dxfId="1160" priority="410" stopIfTrue="1">
      <formula>$AE381&lt;1</formula>
    </cfRule>
  </conditionalFormatting>
  <conditionalFormatting sqref="C104:C125">
    <cfRule type="expression" dxfId="1159" priority="406" stopIfTrue="1">
      <formula>$AE104&lt;1</formula>
    </cfRule>
  </conditionalFormatting>
  <conditionalFormatting sqref="C430:C435">
    <cfRule type="expression" dxfId="1158" priority="403" stopIfTrue="1">
      <formula>$AE430&lt;1</formula>
    </cfRule>
  </conditionalFormatting>
  <conditionalFormatting sqref="C99:C101">
    <cfRule type="expression" dxfId="1157" priority="401" stopIfTrue="1">
      <formula>$AE99&lt;1</formula>
    </cfRule>
  </conditionalFormatting>
  <conditionalFormatting sqref="C243">
    <cfRule type="expression" dxfId="1156" priority="398" stopIfTrue="1">
      <formula>$AE243&lt;1</formula>
    </cfRule>
  </conditionalFormatting>
  <conditionalFormatting sqref="C377">
    <cfRule type="expression" dxfId="1155" priority="396" stopIfTrue="1">
      <formula>$AE377&lt;1</formula>
    </cfRule>
  </conditionalFormatting>
  <conditionalFormatting sqref="C378">
    <cfRule type="expression" dxfId="1154" priority="394" stopIfTrue="1">
      <formula>$AE378&lt;1</formula>
    </cfRule>
  </conditionalFormatting>
  <conditionalFormatting sqref="C382">
    <cfRule type="expression" dxfId="1153" priority="392" stopIfTrue="1">
      <formula>$AE382&lt;1</formula>
    </cfRule>
  </conditionalFormatting>
  <conditionalFormatting sqref="C383">
    <cfRule type="expression" dxfId="1152" priority="390" stopIfTrue="1">
      <formula>$AE383&lt;1</formula>
    </cfRule>
  </conditionalFormatting>
  <conditionalFormatting sqref="B267">
    <cfRule type="expression" dxfId="1151" priority="387" stopIfTrue="1">
      <formula>$G$10&gt;0</formula>
    </cfRule>
  </conditionalFormatting>
  <conditionalFormatting sqref="C267">
    <cfRule type="expression" dxfId="1150" priority="386" stopIfTrue="1">
      <formula>$AE267&lt;1</formula>
    </cfRule>
  </conditionalFormatting>
  <conditionalFormatting sqref="C58:C59">
    <cfRule type="expression" dxfId="1149" priority="385" stopIfTrue="1">
      <formula>$AE58&lt;1</formula>
    </cfRule>
  </conditionalFormatting>
  <conditionalFormatting sqref="C61:C62">
    <cfRule type="expression" dxfId="1148" priority="384" stopIfTrue="1">
      <formula>$AE61&lt;1</formula>
    </cfRule>
  </conditionalFormatting>
  <conditionalFormatting sqref="C82:C83">
    <cfRule type="expression" dxfId="1147" priority="383" stopIfTrue="1">
      <formula>$AE82&lt;1</formula>
    </cfRule>
  </conditionalFormatting>
  <conditionalFormatting sqref="C128:C129">
    <cfRule type="expression" dxfId="1146" priority="382" stopIfTrue="1">
      <formula>$AE128&lt;1</formula>
    </cfRule>
  </conditionalFormatting>
  <conditionalFormatting sqref="C135:C136">
    <cfRule type="expression" dxfId="1145" priority="381" stopIfTrue="1">
      <formula>$AE135&lt;1</formula>
    </cfRule>
  </conditionalFormatting>
  <conditionalFormatting sqref="C474:C475">
    <cfRule type="expression" dxfId="1144" priority="367" stopIfTrue="1">
      <formula>$AE474&lt;1</formula>
    </cfRule>
  </conditionalFormatting>
  <conditionalFormatting sqref="C226">
    <cfRule type="expression" dxfId="1143" priority="365" stopIfTrue="1">
      <formula>$AE226&lt;1</formula>
    </cfRule>
  </conditionalFormatting>
  <conditionalFormatting sqref="C316:C361">
    <cfRule type="expression" dxfId="1142" priority="363" stopIfTrue="1">
      <formula>$AE316&lt;1</formula>
    </cfRule>
  </conditionalFormatting>
  <conditionalFormatting sqref="C315">
    <cfRule type="expression" dxfId="1141" priority="362" stopIfTrue="1">
      <formula>$AE315&lt;1</formula>
    </cfRule>
  </conditionalFormatting>
  <conditionalFormatting sqref="C471">
    <cfRule type="expression" dxfId="1140" priority="361" stopIfTrue="1">
      <formula>$AE471&lt;1</formula>
    </cfRule>
  </conditionalFormatting>
  <conditionalFormatting sqref="C32">
    <cfRule type="expression" dxfId="1139" priority="357" stopIfTrue="1">
      <formula>$AE32&lt;1</formula>
    </cfRule>
  </conditionalFormatting>
  <conditionalFormatting sqref="C33">
    <cfRule type="expression" dxfId="1138" priority="352" stopIfTrue="1">
      <formula>$AE33&lt;1</formula>
    </cfRule>
  </conditionalFormatting>
  <conditionalFormatting sqref="C41:C42">
    <cfRule type="expression" dxfId="1137" priority="354" stopIfTrue="1">
      <formula>$AE41&lt;1</formula>
    </cfRule>
  </conditionalFormatting>
  <conditionalFormatting sqref="C224:C225">
    <cfRule type="expression" dxfId="1136" priority="348" stopIfTrue="1">
      <formula>$AE224&lt;1</formula>
    </cfRule>
  </conditionalFormatting>
  <conditionalFormatting sqref="C146:C148">
    <cfRule type="expression" dxfId="1135" priority="347" stopIfTrue="1">
      <formula>$AE146&lt;1</formula>
    </cfRule>
  </conditionalFormatting>
  <conditionalFormatting sqref="B152">
    <cfRule type="cellIs" dxfId="1134" priority="346" stopIfTrue="1" operator="equal">
      <formula>0</formula>
    </cfRule>
  </conditionalFormatting>
  <conditionalFormatting sqref="B153">
    <cfRule type="cellIs" dxfId="1133" priority="344" stopIfTrue="1" operator="equal">
      <formula>0</formula>
    </cfRule>
  </conditionalFormatting>
  <conditionalFormatting sqref="B151">
    <cfRule type="cellIs" dxfId="1132" priority="342" stopIfTrue="1" operator="equal">
      <formula>0</formula>
    </cfRule>
  </conditionalFormatting>
  <conditionalFormatting sqref="B150">
    <cfRule type="cellIs" dxfId="1131" priority="341" stopIfTrue="1" operator="equal">
      <formula>0</formula>
    </cfRule>
  </conditionalFormatting>
  <conditionalFormatting sqref="C154">
    <cfRule type="expression" dxfId="1130" priority="339" stopIfTrue="1">
      <formula>$AE154&lt;1</formula>
    </cfRule>
  </conditionalFormatting>
  <conditionalFormatting sqref="C155">
    <cfRule type="expression" dxfId="1129" priority="327" stopIfTrue="1">
      <formula>$AE155&lt;1</formula>
    </cfRule>
  </conditionalFormatting>
  <conditionalFormatting sqref="B155">
    <cfRule type="cellIs" dxfId="1128" priority="326" stopIfTrue="1" operator="equal">
      <formula>0</formula>
    </cfRule>
  </conditionalFormatting>
  <conditionalFormatting sqref="B154">
    <cfRule type="cellIs" dxfId="1127" priority="335" stopIfTrue="1" operator="equal">
      <formula>0</formula>
    </cfRule>
  </conditionalFormatting>
  <conditionalFormatting sqref="C155">
    <cfRule type="expression" dxfId="1126" priority="334" stopIfTrue="1">
      <formula>$AE155&lt;1</formula>
    </cfRule>
  </conditionalFormatting>
  <conditionalFormatting sqref="B153">
    <cfRule type="cellIs" dxfId="1125" priority="333" stopIfTrue="1" operator="equal">
      <formula>0</formula>
    </cfRule>
  </conditionalFormatting>
  <conditionalFormatting sqref="B154">
    <cfRule type="cellIs" dxfId="1124" priority="332" stopIfTrue="1" operator="equal">
      <formula>0</formula>
    </cfRule>
  </conditionalFormatting>
  <conditionalFormatting sqref="B150">
    <cfRule type="cellIs" dxfId="1123" priority="330" stopIfTrue="1" operator="equal">
      <formula>0</formula>
    </cfRule>
  </conditionalFormatting>
  <conditionalFormatting sqref="B152">
    <cfRule type="cellIs" dxfId="1122" priority="329" stopIfTrue="1" operator="equal">
      <formula>0</formula>
    </cfRule>
  </conditionalFormatting>
  <conditionalFormatting sqref="B151">
    <cfRule type="cellIs" dxfId="1121" priority="328" stopIfTrue="1" operator="equal">
      <formula>0</formula>
    </cfRule>
  </conditionalFormatting>
  <conditionalFormatting sqref="C156">
    <cfRule type="expression" dxfId="1120" priority="323" stopIfTrue="1">
      <formula>$AE156&lt;1</formula>
    </cfRule>
  </conditionalFormatting>
  <conditionalFormatting sqref="C157">
    <cfRule type="expression" dxfId="1119" priority="321" stopIfTrue="1">
      <formula>$AE157&lt;1</formula>
    </cfRule>
  </conditionalFormatting>
  <conditionalFormatting sqref="C160:C161">
    <cfRule type="expression" dxfId="1118" priority="319" stopIfTrue="1">
      <formula>$AE160&lt;1</formula>
    </cfRule>
  </conditionalFormatting>
  <conditionalFormatting sqref="B153">
    <cfRule type="cellIs" dxfId="1117" priority="318" stopIfTrue="1" operator="equal">
      <formula>0</formula>
    </cfRule>
  </conditionalFormatting>
  <conditionalFormatting sqref="B154">
    <cfRule type="cellIs" dxfId="1116" priority="317" stopIfTrue="1" operator="equal">
      <formula>0</formula>
    </cfRule>
  </conditionalFormatting>
  <conditionalFormatting sqref="B152">
    <cfRule type="cellIs" dxfId="1115" priority="315" stopIfTrue="1" operator="equal">
      <formula>0</formula>
    </cfRule>
  </conditionalFormatting>
  <conditionalFormatting sqref="B151">
    <cfRule type="cellIs" dxfId="1114" priority="314" stopIfTrue="1" operator="equal">
      <formula>0</formula>
    </cfRule>
  </conditionalFormatting>
  <conditionalFormatting sqref="C155">
    <cfRule type="expression" dxfId="1113" priority="313" stopIfTrue="1">
      <formula>$AE155&lt;1</formula>
    </cfRule>
  </conditionalFormatting>
  <conditionalFormatting sqref="C156">
    <cfRule type="expression" dxfId="1112" priority="304" stopIfTrue="1">
      <formula>$AE156&lt;1</formula>
    </cfRule>
  </conditionalFormatting>
  <conditionalFormatting sqref="B156">
    <cfRule type="cellIs" dxfId="1111" priority="303" stopIfTrue="1" operator="equal">
      <formula>0</formula>
    </cfRule>
  </conditionalFormatting>
  <conditionalFormatting sqref="B155">
    <cfRule type="cellIs" dxfId="1110" priority="312" stopIfTrue="1" operator="equal">
      <formula>0</formula>
    </cfRule>
  </conditionalFormatting>
  <conditionalFormatting sqref="C156">
    <cfRule type="expression" dxfId="1109" priority="311" stopIfTrue="1">
      <formula>$AE156&lt;1</formula>
    </cfRule>
  </conditionalFormatting>
  <conditionalFormatting sqref="B155">
    <cfRule type="cellIs" dxfId="1108" priority="309" stopIfTrue="1" operator="equal">
      <formula>0</formula>
    </cfRule>
  </conditionalFormatting>
  <conditionalFormatting sqref="B154">
    <cfRule type="cellIs" dxfId="1107" priority="308" stopIfTrue="1" operator="equal">
      <formula>0</formula>
    </cfRule>
  </conditionalFormatting>
  <conditionalFormatting sqref="B151">
    <cfRule type="cellIs" dxfId="1106" priority="307" stopIfTrue="1" operator="equal">
      <formula>0</formula>
    </cfRule>
  </conditionalFormatting>
  <conditionalFormatting sqref="B153">
    <cfRule type="cellIs" dxfId="1105" priority="306" stopIfTrue="1" operator="equal">
      <formula>0</formula>
    </cfRule>
  </conditionalFormatting>
  <conditionalFormatting sqref="B152">
    <cfRule type="cellIs" dxfId="1104" priority="305" stopIfTrue="1" operator="equal">
      <formula>0</formula>
    </cfRule>
  </conditionalFormatting>
  <conditionalFormatting sqref="C150">
    <cfRule type="expression" dxfId="1103" priority="302" stopIfTrue="1">
      <formula>$AE150&lt;1</formula>
    </cfRule>
  </conditionalFormatting>
  <conditionalFormatting sqref="C157">
    <cfRule type="expression" dxfId="1102" priority="300" stopIfTrue="1">
      <formula>$AE157&lt;1</formula>
    </cfRule>
  </conditionalFormatting>
  <conditionalFormatting sqref="C165">
    <cfRule type="expression" dxfId="1101" priority="284" stopIfTrue="1">
      <formula>$AE165&lt;1</formula>
    </cfRule>
  </conditionalFormatting>
  <conditionalFormatting sqref="C164">
    <cfRule type="expression" dxfId="1100" priority="279" stopIfTrue="1">
      <formula>$AE164&lt;1</formula>
    </cfRule>
  </conditionalFormatting>
  <conditionalFormatting sqref="C165">
    <cfRule type="expression" dxfId="1099" priority="288" stopIfTrue="1">
      <formula>$AE165&lt;1</formula>
    </cfRule>
  </conditionalFormatting>
  <conditionalFormatting sqref="C163:C164">
    <cfRule type="expression" dxfId="1098" priority="281" stopIfTrue="1">
      <formula>$AE163&lt;1</formula>
    </cfRule>
  </conditionalFormatting>
  <conditionalFormatting sqref="B163">
    <cfRule type="cellIs" dxfId="1097" priority="280" stopIfTrue="1" operator="equal">
      <formula>0</formula>
    </cfRule>
  </conditionalFormatting>
  <conditionalFormatting sqref="B164">
    <cfRule type="cellIs" dxfId="1096" priority="278" stopIfTrue="1" operator="equal">
      <formula>0</formula>
    </cfRule>
  </conditionalFormatting>
  <conditionalFormatting sqref="B164">
    <cfRule type="cellIs" dxfId="1095" priority="277" stopIfTrue="1" operator="equal">
      <formula>0</formula>
    </cfRule>
  </conditionalFormatting>
  <conditionalFormatting sqref="B163">
    <cfRule type="cellIs" dxfId="1094" priority="276" stopIfTrue="1" operator="equal">
      <formula>0</formula>
    </cfRule>
  </conditionalFormatting>
  <conditionalFormatting sqref="B164">
    <cfRule type="cellIs" dxfId="1093" priority="275" stopIfTrue="1" operator="equal">
      <formula>0</formula>
    </cfRule>
  </conditionalFormatting>
  <conditionalFormatting sqref="B163">
    <cfRule type="cellIs" dxfId="1092" priority="274" stopIfTrue="1" operator="equal">
      <formula>0</formula>
    </cfRule>
  </conditionalFormatting>
  <conditionalFormatting sqref="B163">
    <cfRule type="cellIs" dxfId="1091" priority="273" stopIfTrue="1" operator="equal">
      <formula>0</formula>
    </cfRule>
  </conditionalFormatting>
  <conditionalFormatting sqref="B164">
    <cfRule type="cellIs" dxfId="1090" priority="272" stopIfTrue="1" operator="equal">
      <formula>0</formula>
    </cfRule>
  </conditionalFormatting>
  <conditionalFormatting sqref="C169">
    <cfRule type="expression" dxfId="1089" priority="270" stopIfTrue="1">
      <formula>$AE169&lt;1</formula>
    </cfRule>
  </conditionalFormatting>
  <conditionalFormatting sqref="C170">
    <cfRule type="expression" dxfId="1088" priority="269" stopIfTrue="1">
      <formula>$AE170&lt;1</formula>
    </cfRule>
  </conditionalFormatting>
  <conditionalFormatting sqref="C166">
    <cfRule type="expression" dxfId="1087" priority="267" stopIfTrue="1">
      <formula>$AE166&lt;1</formula>
    </cfRule>
  </conditionalFormatting>
  <conditionalFormatting sqref="C167">
    <cfRule type="expression" dxfId="1086" priority="266" stopIfTrue="1">
      <formula>$AE167&lt;1</formula>
    </cfRule>
  </conditionalFormatting>
  <conditionalFormatting sqref="B172:B173">
    <cfRule type="expression" dxfId="1085" priority="264" stopIfTrue="1">
      <formula>$G$10&gt;0</formula>
    </cfRule>
  </conditionalFormatting>
  <conditionalFormatting sqref="C172:C173">
    <cfRule type="expression" dxfId="1084" priority="263" stopIfTrue="1">
      <formula>$AE172&lt;1</formula>
    </cfRule>
  </conditionalFormatting>
  <conditionalFormatting sqref="C234">
    <cfRule type="expression" dxfId="1083" priority="256" stopIfTrue="1">
      <formula>$AE234&lt;1</formula>
    </cfRule>
  </conditionalFormatting>
  <conditionalFormatting sqref="C231">
    <cfRule type="expression" dxfId="1082" priority="254" stopIfTrue="1">
      <formula>$AE231&lt;1</formula>
    </cfRule>
  </conditionalFormatting>
  <conditionalFormatting sqref="C233">
    <cfRule type="expression" dxfId="1081" priority="258" stopIfTrue="1">
      <formula>$AE233&lt;1</formula>
    </cfRule>
  </conditionalFormatting>
  <conditionalFormatting sqref="C158">
    <cfRule type="expression" dxfId="1080" priority="251" stopIfTrue="1">
      <formula>$AE158&lt;1</formula>
    </cfRule>
  </conditionalFormatting>
  <conditionalFormatting sqref="C158">
    <cfRule type="expression" dxfId="1079" priority="250" stopIfTrue="1">
      <formula>$AE158&lt;1</formula>
    </cfRule>
  </conditionalFormatting>
  <conditionalFormatting sqref="C102">
    <cfRule type="expression" dxfId="1078" priority="245" stopIfTrue="1">
      <formula>$AE102&lt;1</formula>
    </cfRule>
  </conditionalFormatting>
  <conditionalFormatting sqref="B191">
    <cfRule type="expression" dxfId="1077" priority="238" stopIfTrue="1">
      <formula>$G$10&gt;0</formula>
    </cfRule>
  </conditionalFormatting>
  <conditionalFormatting sqref="C191">
    <cfRule type="expression" dxfId="1076" priority="239" stopIfTrue="1">
      <formula>$AE191&lt;1</formula>
    </cfRule>
  </conditionalFormatting>
  <conditionalFormatting sqref="C362:C363">
    <cfRule type="expression" dxfId="1075" priority="233" stopIfTrue="1">
      <formula>$AE362&lt;1</formula>
    </cfRule>
  </conditionalFormatting>
  <conditionalFormatting sqref="C261">
    <cfRule type="expression" dxfId="1074" priority="229" stopIfTrue="1">
      <formula>$AE261&lt;1</formula>
    </cfRule>
  </conditionalFormatting>
  <conditionalFormatting sqref="C691:C701">
    <cfRule type="expression" dxfId="1073" priority="228" stopIfTrue="1">
      <formula>$AE691&lt;1</formula>
    </cfRule>
  </conditionalFormatting>
  <conditionalFormatting sqref="C515">
    <cfRule type="expression" dxfId="1072" priority="227" stopIfTrue="1">
      <formula>$AE515&lt;1</formula>
    </cfRule>
  </conditionalFormatting>
  <conditionalFormatting sqref="C196">
    <cfRule type="expression" dxfId="1071" priority="216" stopIfTrue="1">
      <formula>$AE196&lt;1</formula>
    </cfRule>
  </conditionalFormatting>
  <conditionalFormatting sqref="C197">
    <cfRule type="expression" dxfId="1070" priority="215" stopIfTrue="1">
      <formula>$AE197&lt;1</formula>
    </cfRule>
  </conditionalFormatting>
  <conditionalFormatting sqref="C199">
    <cfRule type="expression" dxfId="1069" priority="214" stopIfTrue="1">
      <formula>$AE199&lt;1</formula>
    </cfRule>
  </conditionalFormatting>
  <conditionalFormatting sqref="C200">
    <cfRule type="expression" dxfId="1068" priority="213" stopIfTrue="1">
      <formula>$AE200&lt;1</formula>
    </cfRule>
  </conditionalFormatting>
  <conditionalFormatting sqref="C702:C802">
    <cfRule type="expression" dxfId="1067" priority="212" stopIfTrue="1">
      <formula>$AE702&lt;1</formula>
    </cfRule>
  </conditionalFormatting>
  <conditionalFormatting sqref="C275">
    <cfRule type="expression" dxfId="1066" priority="211" stopIfTrue="1">
      <formula>$AE275&lt;1</formula>
    </cfRule>
  </conditionalFormatting>
  <conditionalFormatting sqref="C244">
    <cfRule type="expression" dxfId="1065" priority="209" stopIfTrue="1">
      <formula>$AE244&lt;1</formula>
    </cfRule>
  </conditionalFormatting>
  <conditionalFormatting sqref="C403">
    <cfRule type="expression" dxfId="1064" priority="206" stopIfTrue="1">
      <formula>$AE403&lt;1</formula>
    </cfRule>
  </conditionalFormatting>
  <conditionalFormatting sqref="C404">
    <cfRule type="expression" dxfId="1063" priority="204" stopIfTrue="1">
      <formula>$AE404&lt;1</formula>
    </cfRule>
  </conditionalFormatting>
  <conditionalFormatting sqref="C292">
    <cfRule type="expression" dxfId="1062" priority="74" stopIfTrue="1">
      <formula>$AE292&lt;1</formula>
    </cfRule>
  </conditionalFormatting>
  <conditionalFormatting sqref="C293">
    <cfRule type="expression" dxfId="1061" priority="71" stopIfTrue="1">
      <formula>$AE293&lt;1</formula>
    </cfRule>
  </conditionalFormatting>
  <conditionalFormatting sqref="C294">
    <cfRule type="expression" dxfId="1060" priority="68" stopIfTrue="1">
      <formula>$AE294&lt;1</formula>
    </cfRule>
  </conditionalFormatting>
  <conditionalFormatting sqref="C295">
    <cfRule type="expression" dxfId="1059" priority="65" stopIfTrue="1">
      <formula>$AE295&lt;1</formula>
    </cfRule>
  </conditionalFormatting>
  <conditionalFormatting sqref="C212">
    <cfRule type="expression" dxfId="1058" priority="63" stopIfTrue="1">
      <formula>$AE212&lt;1</formula>
    </cfRule>
  </conditionalFormatting>
  <conditionalFormatting sqref="C213">
    <cfRule type="expression" dxfId="1057" priority="62" stopIfTrue="1">
      <formula>$AE213&lt;1</formula>
    </cfRule>
  </conditionalFormatting>
  <conditionalFormatting sqref="C214">
    <cfRule type="expression" dxfId="1056" priority="61" stopIfTrue="1">
      <formula>$AE214&lt;1</formula>
    </cfRule>
  </conditionalFormatting>
  <conditionalFormatting sqref="C215">
    <cfRule type="expression" dxfId="1055" priority="60" stopIfTrue="1">
      <formula>$AE215&lt;1</formula>
    </cfRule>
  </conditionalFormatting>
  <conditionalFormatting sqref="C216">
    <cfRule type="expression" dxfId="1054" priority="59" stopIfTrue="1">
      <formula>$AE216&lt;1</formula>
    </cfRule>
  </conditionalFormatting>
  <conditionalFormatting sqref="C217">
    <cfRule type="expression" dxfId="1053" priority="58" stopIfTrue="1">
      <formula>$AE217&lt;1</formula>
    </cfRule>
  </conditionalFormatting>
  <conditionalFormatting sqref="C218">
    <cfRule type="expression" dxfId="1052" priority="57" stopIfTrue="1">
      <formula>$AE218&lt;1</formula>
    </cfRule>
  </conditionalFormatting>
  <conditionalFormatting sqref="C219">
    <cfRule type="expression" dxfId="1051" priority="56" stopIfTrue="1">
      <formula>$AE219&lt;1</formula>
    </cfRule>
  </conditionalFormatting>
  <conditionalFormatting sqref="C220">
    <cfRule type="expression" dxfId="1050" priority="55" stopIfTrue="1">
      <formula>$AE220&lt;1</formula>
    </cfRule>
  </conditionalFormatting>
  <conditionalFormatting sqref="C227">
    <cfRule type="expression" dxfId="1049" priority="50" stopIfTrue="1">
      <formula>$AE227&lt;1</formula>
    </cfRule>
  </conditionalFormatting>
  <conditionalFormatting sqref="C228">
    <cfRule type="expression" dxfId="1048" priority="48" stopIfTrue="1">
      <formula>$AE228&lt;1</formula>
    </cfRule>
  </conditionalFormatting>
  <conditionalFormatting sqref="C429">
    <cfRule type="expression" dxfId="1047" priority="38" stopIfTrue="1">
      <formula>$AE429&lt;1</formula>
    </cfRule>
  </conditionalFormatting>
  <conditionalFormatting sqref="C436">
    <cfRule type="expression" dxfId="1046" priority="35" stopIfTrue="1">
      <formula>$AE436&lt;1</formula>
    </cfRule>
  </conditionalFormatting>
  <conditionalFormatting sqref="C437:C442">
    <cfRule type="expression" dxfId="1045" priority="33" stopIfTrue="1">
      <formula>$AE437&lt;1</formula>
    </cfRule>
  </conditionalFormatting>
  <conditionalFormatting sqref="C457">
    <cfRule type="expression" dxfId="1044" priority="26" stopIfTrue="1">
      <formula>$AE457&lt;1</formula>
    </cfRule>
  </conditionalFormatting>
  <conditionalFormatting sqref="C186:C187">
    <cfRule type="expression" dxfId="1043" priority="23" stopIfTrue="1">
      <formula>$AE186&lt;1</formula>
    </cfRule>
  </conditionalFormatting>
  <conditionalFormatting sqref="C459">
    <cfRule type="expression" dxfId="1042" priority="19" stopIfTrue="1">
      <formula>$AE459&lt;1</formula>
    </cfRule>
  </conditionalFormatting>
  <conditionalFormatting sqref="C221">
    <cfRule type="expression" dxfId="1041" priority="15" stopIfTrue="1">
      <formula>$AE221&lt;1</formula>
    </cfRule>
  </conditionalFormatting>
  <conditionalFormatting sqref="C222">
    <cfRule type="expression" dxfId="1040" priority="14" stopIfTrue="1">
      <formula>$AE222&lt;1</formula>
    </cfRule>
  </conditionalFormatting>
  <conditionalFormatting sqref="C223">
    <cfRule type="expression" dxfId="1039" priority="13" stopIfTrue="1">
      <formula>$AE223&lt;1</formula>
    </cfRule>
  </conditionalFormatting>
  <conditionalFormatting sqref="U4:X4">
    <cfRule type="cellIs" dxfId="1038" priority="7" stopIfTrue="1" operator="equal">
      <formula>0</formula>
    </cfRule>
  </conditionalFormatting>
  <dataValidations disablePrompts="1" count="4">
    <dataValidation errorStyle="warning" allowBlank="1" showInputMessage="1" showErrorMessage="1" promptTitle="Material" sqref="C157:C158 C135:C136 C380:C383 C420:C421 C10:C27 C253 C258:C259 C385 C179:C181 C160:C161 C239:C244 C477:C493 C64 C183:C184 C189:C191 C375:C378 C82:C83 C104:C133 C55:C56 C74:C75 C85 C77:C80 C58:C59 C61:C62 C144:C145 C186:C187 C165 C430:C442 C175:C177 C464:C465 C467:C468" xr:uid="{00000000-0002-0000-0C00-000000000000}"/>
    <dataValidation type="whole" allowBlank="1" showInputMessage="1" showErrorMessage="1" sqref="L1" xr:uid="{00000000-0002-0000-0C00-000001000000}">
      <formula1>1</formula1>
      <formula2>1</formula2>
    </dataValidation>
    <dataValidation type="whole" operator="equal" allowBlank="1" showInputMessage="1" showErrorMessage="1" sqref="L2" xr:uid="{00000000-0002-0000-0C00-000002000000}">
      <formula1>0</formula1>
    </dataValidation>
    <dataValidation type="list" allowBlank="1" showInputMessage="1" showErrorMessage="1" sqref="W2:W3" xr:uid="{00000000-0002-0000-0C00-000003000000}">
      <formula1>$U$1:$U$2</formula1>
    </dataValidation>
  </dataValidations>
  <pageMargins left="0.78740157499999996" right="0.78740157499999996" top="0.984251969" bottom="0.984251969" header="0.4921259845" footer="0.4921259845"/>
  <pageSetup paperSize="9" scale="97" orientation="portrait" r:id="rId1"/>
  <headerFooter alignWithMargins="0"/>
  <legacyDrawing r:id="rId2"/>
  <extLst>
    <ext xmlns:x14="http://schemas.microsoft.com/office/spreadsheetml/2009/9/main" uri="{78C0D931-6437-407d-A8EE-F0AAD7539E65}">
      <x14:conditionalFormattings>
        <x14:conditionalFormatting xmlns:xm="http://schemas.microsoft.com/office/excel/2006/main">
          <x14:cfRule type="containsText" priority="192" operator="containsText" id="{1EE8DEB2-F47F-4858-9B5D-DA7EAE3D88D9}">
            <xm:f>NOT(ISERROR(SEARCH($R$2,O1)))</xm:f>
            <xm:f>$R$2</xm:f>
            <x14:dxf>
              <fill>
                <patternFill>
                  <bgColor rgb="FFFFFF00"/>
                </patternFill>
              </fill>
            </x14:dxf>
          </x14:cfRule>
          <xm:sqref>R2 O2:O3 O1:R1 R5:R138 R310:R311 R313:R462 R253:R308 R226:R251 R464:R513 R140:R224 R515:R1048576</xm:sqref>
        </x14:conditionalFormatting>
        <x14:conditionalFormatting xmlns:xm="http://schemas.microsoft.com/office/excel/2006/main">
          <x14:cfRule type="containsText" priority="6" operator="containsText" id="{FF3F36DE-F5B3-473D-8619-AD7A3CEA2BE1}">
            <xm:f>NOT(ISERROR(SEARCH($R$2,R309)))</xm:f>
            <xm:f>$R$2</xm:f>
            <x14:dxf>
              <fill>
                <patternFill>
                  <bgColor rgb="FFFFFF00"/>
                </patternFill>
              </fill>
            </x14:dxf>
          </x14:cfRule>
          <xm:sqref>R309</xm:sqref>
        </x14:conditionalFormatting>
        <x14:conditionalFormatting xmlns:xm="http://schemas.microsoft.com/office/excel/2006/main">
          <x14:cfRule type="containsText" priority="5" operator="containsText" id="{270F6F11-3B31-4982-95B2-6E566100BED6}">
            <xm:f>NOT(ISERROR(SEARCH($R$2,R312)))</xm:f>
            <xm:f>$R$2</xm:f>
            <x14:dxf>
              <fill>
                <patternFill>
                  <bgColor rgb="FFFFFF00"/>
                </patternFill>
              </fill>
            </x14:dxf>
          </x14:cfRule>
          <xm:sqref>R312</xm:sqref>
        </x14:conditionalFormatting>
        <x14:conditionalFormatting xmlns:xm="http://schemas.microsoft.com/office/excel/2006/main">
          <x14:cfRule type="containsText" priority="4" operator="containsText" id="{DB810927-19F6-43A8-A5FE-03079D9F102D}">
            <xm:f>NOT(ISERROR(SEARCH($R$2,R463)))</xm:f>
            <xm:f>$R$2</xm:f>
            <x14:dxf>
              <fill>
                <patternFill>
                  <bgColor rgb="FFFFFF00"/>
                </patternFill>
              </fill>
            </x14:dxf>
          </x14:cfRule>
          <xm:sqref>R463</xm:sqref>
        </x14:conditionalFormatting>
        <x14:conditionalFormatting xmlns:xm="http://schemas.microsoft.com/office/excel/2006/main">
          <x14:cfRule type="containsText" priority="3" operator="containsText" id="{1AEF5BA6-288A-4051-910B-1EC05BB69866}">
            <xm:f>NOT(ISERROR(SEARCH($R$2,R252)))</xm:f>
            <xm:f>$R$2</xm:f>
            <x14:dxf>
              <fill>
                <patternFill>
                  <bgColor rgb="FFFFFF00"/>
                </patternFill>
              </fill>
            </x14:dxf>
          </x14:cfRule>
          <xm:sqref>R252</xm:sqref>
        </x14:conditionalFormatting>
        <x14:conditionalFormatting xmlns:xm="http://schemas.microsoft.com/office/excel/2006/main">
          <x14:cfRule type="containsText" priority="2" operator="containsText" id="{899C4FAA-8EDA-4986-B0D9-AE77E823ED85}">
            <xm:f>NOT(ISERROR(SEARCH($R$2,R225)))</xm:f>
            <xm:f>$R$2</xm:f>
            <x14:dxf>
              <fill>
                <patternFill>
                  <bgColor rgb="FFFFFF00"/>
                </patternFill>
              </fill>
            </x14:dxf>
          </x14:cfRule>
          <xm:sqref>R225</xm:sqref>
        </x14:conditionalFormatting>
        <x14:conditionalFormatting xmlns:xm="http://schemas.microsoft.com/office/excel/2006/main">
          <x14:cfRule type="containsText" priority="1" operator="containsText" id="{44D6F18C-2EF2-45A3-A654-CF3ECD240E8E}">
            <xm:f>NOT(ISERROR(SEARCH($R$2,R139)))</xm:f>
            <xm:f>$R$2</xm:f>
            <x14:dxf>
              <fill>
                <patternFill>
                  <bgColor rgb="FFFFFF00"/>
                </patternFill>
              </fill>
            </x14:dxf>
          </x14:cfRule>
          <xm:sqref>R139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3">
    <tabColor indexed="51"/>
    <pageSetUpPr fitToPage="1"/>
  </sheetPr>
  <dimension ref="A1:AW334"/>
  <sheetViews>
    <sheetView showGridLines="0" view="pageBreakPreview" zoomScaleNormal="100" zoomScaleSheetLayoutView="100" workbookViewId="0">
      <selection activeCell="L197" sqref="L197"/>
    </sheetView>
  </sheetViews>
  <sheetFormatPr baseColWidth="10" defaultColWidth="11.42578125" defaultRowHeight="12.75" x14ac:dyDescent="0.2"/>
  <cols>
    <col min="1" max="1" width="1.140625" style="782" customWidth="1"/>
    <col min="2" max="2" width="12.28515625" style="782" customWidth="1"/>
    <col min="3" max="3" width="18" style="782" customWidth="1"/>
    <col min="4" max="4" width="9.7109375" style="782" hidden="1" customWidth="1"/>
    <col min="5" max="7" width="15.42578125" style="782" hidden="1" customWidth="1"/>
    <col min="8" max="8" width="9.7109375" style="782" bestFit="1" customWidth="1"/>
    <col min="9" max="9" width="15.42578125" style="782" customWidth="1"/>
    <col min="10" max="11" width="15.42578125" style="782" hidden="1" customWidth="1"/>
    <col min="12" max="12" width="15.42578125" style="782" customWidth="1"/>
    <col min="13" max="13" width="15.42578125" style="782" bestFit="1" customWidth="1"/>
    <col min="14" max="15" width="15.42578125" style="782" hidden="1" customWidth="1"/>
    <col min="16" max="16" width="11.7109375" style="782" bestFit="1" customWidth="1"/>
    <col min="17" max="17" width="15.42578125" style="782" bestFit="1" customWidth="1"/>
    <col min="18" max="19" width="15.42578125" style="782" hidden="1" customWidth="1"/>
    <col min="20" max="20" width="11.7109375" style="782" bestFit="1" customWidth="1"/>
    <col min="21" max="21" width="15.42578125" style="782" bestFit="1" customWidth="1"/>
    <col min="22" max="23" width="15.42578125" style="782" hidden="1" customWidth="1"/>
    <col min="24" max="24" width="11.7109375" style="782" bestFit="1" customWidth="1"/>
    <col min="25" max="25" width="12" style="782" customWidth="1"/>
    <col min="26" max="27" width="12" style="782" hidden="1" customWidth="1"/>
    <col min="28" max="28" width="12" style="782" customWidth="1"/>
    <col min="29" max="29" width="15.42578125" style="782" bestFit="1" customWidth="1"/>
    <col min="30" max="30" width="4.5703125" style="782" customWidth="1"/>
    <col min="31" max="35" width="12" style="782" customWidth="1"/>
    <col min="36" max="36" width="10.7109375" style="782" customWidth="1"/>
    <col min="37" max="16384" width="11.42578125" style="782"/>
  </cols>
  <sheetData>
    <row r="1" spans="1:49" ht="30.2" customHeight="1" x14ac:dyDescent="0.35">
      <c r="A1" s="854"/>
      <c r="B1" s="2936" t="s">
        <v>27761</v>
      </c>
      <c r="C1" s="2937"/>
      <c r="D1" s="2937"/>
      <c r="E1" s="2937"/>
      <c r="F1" s="2937"/>
      <c r="G1" s="2937"/>
      <c r="H1" s="2937"/>
      <c r="I1" s="2937"/>
      <c r="J1" s="2937"/>
      <c r="K1" s="2937"/>
      <c r="L1" s="2937"/>
      <c r="M1" s="2937"/>
      <c r="N1" s="2937"/>
      <c r="O1" s="2937"/>
      <c r="P1" s="2937"/>
      <c r="Q1" s="2937"/>
      <c r="R1" s="2937"/>
      <c r="S1" s="2937"/>
      <c r="T1" s="2937"/>
      <c r="U1" s="2937"/>
      <c r="V1" s="2937"/>
      <c r="W1" s="2937"/>
      <c r="X1" s="2937"/>
      <c r="AB1" s="855"/>
    </row>
    <row r="2" spans="1:49" ht="15.75" hidden="1" x14ac:dyDescent="0.25">
      <c r="A2" s="854"/>
      <c r="B2" s="2899" t="s">
        <v>442</v>
      </c>
      <c r="C2" s="2899"/>
      <c r="D2" s="2899"/>
      <c r="E2" s="2899"/>
      <c r="F2" s="2899"/>
      <c r="G2" s="2899"/>
      <c r="H2" s="2899"/>
      <c r="I2" s="856" t="s">
        <v>27726</v>
      </c>
      <c r="J2" s="857"/>
      <c r="K2" s="857"/>
      <c r="M2" s="857"/>
      <c r="N2" s="857"/>
      <c r="O2" s="857"/>
      <c r="P2" s="858"/>
      <c r="Q2" s="858"/>
      <c r="R2" s="858"/>
      <c r="S2" s="858"/>
      <c r="T2" s="858"/>
      <c r="U2" s="858"/>
      <c r="V2" s="858"/>
      <c r="W2" s="858"/>
      <c r="AB2" s="855"/>
    </row>
    <row r="3" spans="1:49" ht="15.75" hidden="1" x14ac:dyDescent="0.25">
      <c r="A3" s="854"/>
      <c r="B3" s="859" t="s">
        <v>27727</v>
      </c>
      <c r="C3" s="858"/>
      <c r="D3" s="2900"/>
      <c r="E3" s="2900"/>
      <c r="F3" s="2900"/>
      <c r="G3" s="2900"/>
      <c r="H3" s="2900"/>
      <c r="I3" s="2900"/>
      <c r="J3" s="2900"/>
      <c r="K3" s="2900"/>
      <c r="L3" s="2900"/>
      <c r="M3" s="2900"/>
      <c r="N3" s="2900"/>
      <c r="O3" s="2900"/>
      <c r="P3" s="2900"/>
      <c r="Q3" s="858"/>
      <c r="R3" s="858"/>
      <c r="S3" s="858"/>
      <c r="T3" s="858"/>
      <c r="U3" s="858"/>
      <c r="V3" s="858"/>
      <c r="W3" s="858"/>
      <c r="AB3" s="855"/>
    </row>
    <row r="4" spans="1:49" ht="17.45" hidden="1" customHeight="1" thickBot="1" x14ac:dyDescent="0.35">
      <c r="A4" s="860"/>
      <c r="B4" s="861" t="s">
        <v>27728</v>
      </c>
      <c r="C4" s="2927" t="s">
        <v>27729</v>
      </c>
      <c r="D4" s="2929" t="s">
        <v>27730</v>
      </c>
      <c r="E4" s="2930"/>
      <c r="F4" s="2930"/>
      <c r="G4" s="2930"/>
      <c r="H4" s="2930"/>
      <c r="I4" s="2930"/>
      <c r="J4" s="2930"/>
      <c r="K4" s="2930"/>
      <c r="L4" s="2930"/>
      <c r="M4" s="2930"/>
      <c r="N4" s="2930"/>
      <c r="O4" s="2930"/>
      <c r="P4" s="2930"/>
      <c r="Q4" s="2930"/>
      <c r="R4" s="2930"/>
      <c r="S4" s="2930"/>
      <c r="T4" s="2930"/>
      <c r="U4" s="2930"/>
      <c r="V4" s="2930"/>
      <c r="W4" s="2930"/>
      <c r="X4" s="2930"/>
      <c r="Y4" s="2930"/>
      <c r="Z4" s="2930"/>
      <c r="AA4" s="2930"/>
      <c r="AB4" s="2930"/>
      <c r="AC4" s="2931"/>
      <c r="AD4" s="862"/>
      <c r="AE4" s="862"/>
      <c r="AF4" s="862"/>
      <c r="AG4" s="862"/>
      <c r="AH4" s="862"/>
      <c r="AI4" s="862"/>
    </row>
    <row r="5" spans="1:49" ht="21.2" hidden="1" customHeight="1" thickBot="1" x14ac:dyDescent="0.25">
      <c r="A5" s="863"/>
      <c r="B5" s="864" t="s">
        <v>27731</v>
      </c>
      <c r="C5" s="2928"/>
      <c r="D5" s="2934" t="s">
        <v>27732</v>
      </c>
      <c r="E5" s="2935"/>
      <c r="F5" s="865"/>
      <c r="G5" s="865"/>
      <c r="H5" s="2932" t="s">
        <v>27733</v>
      </c>
      <c r="I5" s="2933"/>
      <c r="J5" s="866"/>
      <c r="K5" s="866"/>
      <c r="L5" s="2934" t="s">
        <v>27734</v>
      </c>
      <c r="M5" s="2935"/>
      <c r="N5" s="865"/>
      <c r="O5" s="865"/>
      <c r="P5" s="2932" t="s">
        <v>27735</v>
      </c>
      <c r="Q5" s="2933"/>
      <c r="R5" s="866"/>
      <c r="S5" s="866"/>
      <c r="T5" s="2934" t="s">
        <v>27736</v>
      </c>
      <c r="U5" s="2935"/>
      <c r="V5" s="865"/>
      <c r="W5" s="865"/>
      <c r="X5" s="2932" t="s">
        <v>27737</v>
      </c>
      <c r="Y5" s="2933"/>
      <c r="Z5" s="866"/>
      <c r="AA5" s="866"/>
      <c r="AB5" s="2934" t="s">
        <v>27738</v>
      </c>
      <c r="AC5" s="2935"/>
      <c r="AD5" s="867"/>
      <c r="AE5" s="867"/>
      <c r="AF5" s="868"/>
      <c r="AG5" s="868"/>
      <c r="AH5" s="868"/>
      <c r="AI5" s="868"/>
    </row>
    <row r="6" spans="1:49" ht="13.5" hidden="1" thickBot="1" x14ac:dyDescent="0.25">
      <c r="A6" s="863"/>
      <c r="B6" s="869"/>
      <c r="C6" s="869"/>
      <c r="D6" s="869" t="s">
        <v>27739</v>
      </c>
      <c r="E6" s="869" t="s">
        <v>27725</v>
      </c>
      <c r="F6" s="869"/>
      <c r="G6" s="869"/>
      <c r="H6" s="869" t="s">
        <v>27739</v>
      </c>
      <c r="I6" s="869" t="s">
        <v>27725</v>
      </c>
      <c r="J6" s="869"/>
      <c r="K6" s="869"/>
      <c r="L6" s="869" t="s">
        <v>27739</v>
      </c>
      <c r="M6" s="869" t="s">
        <v>27725</v>
      </c>
      <c r="N6" s="869"/>
      <c r="O6" s="869"/>
      <c r="P6" s="869" t="s">
        <v>27739</v>
      </c>
      <c r="Q6" s="869" t="s">
        <v>27725</v>
      </c>
      <c r="R6" s="869"/>
      <c r="S6" s="869"/>
      <c r="T6" s="869" t="s">
        <v>27739</v>
      </c>
      <c r="U6" s="869" t="s">
        <v>27725</v>
      </c>
      <c r="V6" s="869"/>
      <c r="W6" s="869"/>
      <c r="X6" s="869" t="s">
        <v>27739</v>
      </c>
      <c r="Y6" s="869" t="s">
        <v>27725</v>
      </c>
      <c r="Z6" s="869"/>
      <c r="AA6" s="869"/>
      <c r="AB6" s="869" t="s">
        <v>27739</v>
      </c>
      <c r="AC6" s="869" t="s">
        <v>27725</v>
      </c>
      <c r="AD6" s="870"/>
      <c r="AE6" s="870"/>
      <c r="AF6" s="871"/>
      <c r="AG6" s="871"/>
      <c r="AH6" s="871"/>
      <c r="AI6" s="871"/>
    </row>
    <row r="7" spans="1:49" ht="13.5" hidden="1" thickBot="1" x14ac:dyDescent="0.25">
      <c r="A7" s="863"/>
      <c r="B7" s="872" t="s">
        <v>27732</v>
      </c>
      <c r="C7" s="873" t="s">
        <v>27740</v>
      </c>
      <c r="D7" s="874">
        <v>3196.3920000000003</v>
      </c>
      <c r="E7" s="875">
        <v>1775.7777171022024</v>
      </c>
      <c r="F7" s="875"/>
      <c r="G7" s="875"/>
      <c r="H7" s="876">
        <v>3330.0600000000004</v>
      </c>
      <c r="I7" s="877">
        <v>1850.0322814629635</v>
      </c>
      <c r="J7" s="877"/>
      <c r="K7" s="877"/>
      <c r="L7" s="874">
        <v>3798.06</v>
      </c>
      <c r="M7" s="875">
        <v>2110.038661942232</v>
      </c>
      <c r="N7" s="875"/>
      <c r="O7" s="875"/>
      <c r="P7" s="876">
        <v>4209.62</v>
      </c>
      <c r="Q7" s="877">
        <v>2338.6865990487922</v>
      </c>
      <c r="R7" s="877"/>
      <c r="S7" s="877"/>
      <c r="T7" s="874">
        <v>4900.4793599999994</v>
      </c>
      <c r="U7" s="875">
        <v>2722.4901532570893</v>
      </c>
      <c r="V7" s="875"/>
      <c r="W7" s="875"/>
      <c r="X7" s="876">
        <v>5163.17</v>
      </c>
      <c r="Y7" s="877">
        <v>2868.4377588819038</v>
      </c>
      <c r="Z7" s="877"/>
      <c r="AA7" s="877"/>
      <c r="AB7" s="874">
        <v>6104.7221933989367</v>
      </c>
      <c r="AC7" s="878">
        <v>3263.0760332303162</v>
      </c>
      <c r="AD7" s="879"/>
      <c r="AE7" s="880">
        <f>Q7/P7</f>
        <v>0.55555765105847854</v>
      </c>
      <c r="AF7" s="880">
        <f t="shared" ref="AF7:AF17" si="0">Y7/X7</f>
        <v>0.5555574886904564</v>
      </c>
      <c r="AG7" s="881">
        <f>D7/E7</f>
        <v>1.7999955564348578</v>
      </c>
      <c r="AH7" s="881" t="e">
        <f>E7/F7</f>
        <v>#DIV/0!</v>
      </c>
      <c r="AI7" s="881">
        <f t="shared" ref="AI7:AW22" si="1">H7/I7</f>
        <v>1.800001023423583</v>
      </c>
      <c r="AJ7" s="881" t="e">
        <f t="shared" si="1"/>
        <v>#DIV/0!</v>
      </c>
      <c r="AK7" s="881" t="e">
        <f t="shared" si="1"/>
        <v>#DIV/0!</v>
      </c>
      <c r="AL7" s="881">
        <f t="shared" si="1"/>
        <v>0</v>
      </c>
      <c r="AM7" s="881">
        <f t="shared" si="1"/>
        <v>1.7999954543505809</v>
      </c>
      <c r="AN7" s="881" t="e">
        <f t="shared" si="1"/>
        <v>#DIV/0!</v>
      </c>
      <c r="AO7" s="881" t="e">
        <f t="shared" si="1"/>
        <v>#DIV/0!</v>
      </c>
      <c r="AP7" s="881">
        <f t="shared" si="1"/>
        <v>0</v>
      </c>
      <c r="AQ7" s="881">
        <f t="shared" si="1"/>
        <v>1.7999932105961387</v>
      </c>
      <c r="AR7" s="881" t="e">
        <f t="shared" si="1"/>
        <v>#DIV/0!</v>
      </c>
      <c r="AS7" s="881" t="e">
        <f t="shared" si="1"/>
        <v>#DIV/0!</v>
      </c>
      <c r="AT7" s="881">
        <f t="shared" si="1"/>
        <v>0</v>
      </c>
      <c r="AU7" s="881">
        <f t="shared" si="1"/>
        <v>1.7999989289721552</v>
      </c>
      <c r="AV7" s="881" t="e">
        <f t="shared" si="1"/>
        <v>#DIV/0!</v>
      </c>
      <c r="AW7" s="881" t="e">
        <f t="shared" si="1"/>
        <v>#DIV/0!</v>
      </c>
    </row>
    <row r="8" spans="1:49" ht="13.5" hidden="1" thickBot="1" x14ac:dyDescent="0.25">
      <c r="A8" s="863"/>
      <c r="B8" s="872"/>
      <c r="C8" s="873"/>
      <c r="D8" s="874"/>
      <c r="E8" s="875"/>
      <c r="F8" s="875"/>
      <c r="G8" s="875"/>
      <c r="H8" s="876"/>
      <c r="I8" s="877"/>
      <c r="J8" s="877"/>
      <c r="K8" s="877"/>
      <c r="L8" s="874"/>
      <c r="M8" s="875"/>
      <c r="N8" s="875"/>
      <c r="O8" s="875"/>
      <c r="P8" s="876"/>
      <c r="Q8" s="877"/>
      <c r="R8" s="877"/>
      <c r="S8" s="877"/>
      <c r="T8" s="874"/>
      <c r="U8" s="875"/>
      <c r="V8" s="875"/>
      <c r="W8" s="875"/>
      <c r="X8" s="876"/>
      <c r="Y8" s="877"/>
      <c r="Z8" s="877"/>
      <c r="AA8" s="877"/>
      <c r="AB8" s="874"/>
      <c r="AC8" s="875"/>
      <c r="AD8" s="879"/>
      <c r="AE8" s="880" t="e">
        <f t="shared" ref="AE8:AE17" si="2">Q8/P8</f>
        <v>#DIV/0!</v>
      </c>
      <c r="AF8" s="880" t="e">
        <f t="shared" si="0"/>
        <v>#DIV/0!</v>
      </c>
      <c r="AG8" s="881" t="e">
        <f t="shared" ref="AG8:AH57" si="3">D8/E8</f>
        <v>#DIV/0!</v>
      </c>
      <c r="AH8" s="881" t="e">
        <f t="shared" si="3"/>
        <v>#DIV/0!</v>
      </c>
      <c r="AI8" s="881" t="e">
        <f t="shared" si="1"/>
        <v>#DIV/0!</v>
      </c>
      <c r="AJ8" s="880"/>
      <c r="AK8" s="880"/>
      <c r="AL8" s="880"/>
      <c r="AM8" s="881" t="e">
        <f t="shared" si="1"/>
        <v>#DIV/0!</v>
      </c>
      <c r="AN8" s="880"/>
      <c r="AO8" s="880"/>
      <c r="AP8" s="880"/>
      <c r="AQ8" s="881" t="e">
        <f t="shared" si="1"/>
        <v>#DIV/0!</v>
      </c>
      <c r="AR8" s="881" t="e">
        <f t="shared" si="1"/>
        <v>#DIV/0!</v>
      </c>
      <c r="AS8" s="881" t="e">
        <f t="shared" si="1"/>
        <v>#DIV/0!</v>
      </c>
      <c r="AT8" s="881" t="e">
        <f t="shared" si="1"/>
        <v>#DIV/0!</v>
      </c>
      <c r="AU8" s="881" t="e">
        <f t="shared" si="1"/>
        <v>#DIV/0!</v>
      </c>
      <c r="AV8" s="881" t="e">
        <f t="shared" si="1"/>
        <v>#DIV/0!</v>
      </c>
      <c r="AW8" s="881" t="e">
        <f t="shared" si="1"/>
        <v>#DIV/0!</v>
      </c>
    </row>
    <row r="9" spans="1:49" ht="13.5" hidden="1" thickBot="1" x14ac:dyDescent="0.25">
      <c r="A9" s="863"/>
      <c r="B9" s="872" t="s">
        <v>27733</v>
      </c>
      <c r="C9" s="873" t="s">
        <v>27740</v>
      </c>
      <c r="D9" s="874">
        <v>3320.7919999999999</v>
      </c>
      <c r="E9" s="875">
        <v>1844.8882643302284</v>
      </c>
      <c r="F9" s="875"/>
      <c r="G9" s="875"/>
      <c r="H9" s="876">
        <v>3467.61</v>
      </c>
      <c r="I9" s="877">
        <v>1926.4525459849879</v>
      </c>
      <c r="J9" s="877"/>
      <c r="K9" s="877"/>
      <c r="L9" s="874">
        <v>3979.48</v>
      </c>
      <c r="M9" s="875">
        <v>2210.8246507775857</v>
      </c>
      <c r="N9" s="875"/>
      <c r="O9" s="875"/>
      <c r="P9" s="876">
        <v>4434.8899999999994</v>
      </c>
      <c r="Q9" s="877">
        <v>2463.8383121974734</v>
      </c>
      <c r="R9" s="877"/>
      <c r="S9" s="877"/>
      <c r="T9" s="874">
        <v>5172.3493599999993</v>
      </c>
      <c r="U9" s="875">
        <v>2873.5326641280326</v>
      </c>
      <c r="V9" s="875"/>
      <c r="W9" s="875"/>
      <c r="X9" s="876">
        <v>5485.2099999999991</v>
      </c>
      <c r="Y9" s="877">
        <v>3047.3474103428966</v>
      </c>
      <c r="Z9" s="877"/>
      <c r="AA9" s="877"/>
      <c r="AB9" s="874">
        <v>6481.69</v>
      </c>
      <c r="AC9" s="875">
        <v>3600.949752662541</v>
      </c>
      <c r="AD9" s="879"/>
      <c r="AE9" s="880">
        <f t="shared" si="2"/>
        <v>0.5555579309063976</v>
      </c>
      <c r="AF9" s="880">
        <f t="shared" si="0"/>
        <v>0.55555710908842093</v>
      </c>
      <c r="AG9" s="881">
        <f t="shared" si="3"/>
        <v>1.7999962730564534</v>
      </c>
      <c r="AH9" s="881" t="e">
        <f t="shared" si="3"/>
        <v>#DIV/0!</v>
      </c>
      <c r="AI9" s="881">
        <f t="shared" si="1"/>
        <v>1.7999976211337323</v>
      </c>
      <c r="AJ9" s="880"/>
      <c r="AK9" s="880"/>
      <c r="AL9" s="880"/>
      <c r="AM9" s="881">
        <f t="shared" si="1"/>
        <v>1.7999980227289158</v>
      </c>
      <c r="AN9" s="880"/>
      <c r="AO9" s="880"/>
      <c r="AP9" s="880"/>
      <c r="AQ9" s="881">
        <f t="shared" si="1"/>
        <v>1.7999923038961774</v>
      </c>
      <c r="AR9" s="881" t="e">
        <f t="shared" si="1"/>
        <v>#DIV/0!</v>
      </c>
      <c r="AS9" s="881" t="e">
        <f t="shared" si="1"/>
        <v>#DIV/0!</v>
      </c>
      <c r="AT9" s="881">
        <f t="shared" si="1"/>
        <v>0</v>
      </c>
      <c r="AU9" s="881">
        <f t="shared" si="1"/>
        <v>1.7999967164352864</v>
      </c>
      <c r="AV9" s="881" t="e">
        <f t="shared" si="1"/>
        <v>#DIV/0!</v>
      </c>
      <c r="AW9" s="881" t="e">
        <f t="shared" si="1"/>
        <v>#DIV/0!</v>
      </c>
    </row>
    <row r="10" spans="1:49" ht="13.5" hidden="1" thickBot="1" x14ac:dyDescent="0.25">
      <c r="A10" s="863"/>
      <c r="B10" s="872"/>
      <c r="C10" s="873"/>
      <c r="D10" s="874"/>
      <c r="E10" s="875"/>
      <c r="F10" s="875"/>
      <c r="G10" s="875"/>
      <c r="H10" s="876"/>
      <c r="I10" s="877"/>
      <c r="J10" s="877"/>
      <c r="K10" s="877"/>
      <c r="L10" s="874"/>
      <c r="M10" s="875"/>
      <c r="N10" s="875"/>
      <c r="O10" s="875"/>
      <c r="P10" s="876"/>
      <c r="Q10" s="877"/>
      <c r="R10" s="877"/>
      <c r="S10" s="877"/>
      <c r="T10" s="874"/>
      <c r="U10" s="875"/>
      <c r="V10" s="875"/>
      <c r="W10" s="875"/>
      <c r="X10" s="876"/>
      <c r="Y10" s="877"/>
      <c r="Z10" s="877"/>
      <c r="AA10" s="877"/>
      <c r="AB10" s="874"/>
      <c r="AC10" s="875"/>
      <c r="AD10" s="879"/>
      <c r="AE10" s="880" t="e">
        <f t="shared" si="2"/>
        <v>#DIV/0!</v>
      </c>
      <c r="AF10" s="880" t="e">
        <f t="shared" si="0"/>
        <v>#DIV/0!</v>
      </c>
      <c r="AG10" s="881" t="e">
        <f t="shared" si="3"/>
        <v>#DIV/0!</v>
      </c>
      <c r="AH10" s="881" t="e">
        <f t="shared" si="3"/>
        <v>#DIV/0!</v>
      </c>
      <c r="AI10" s="881" t="e">
        <f t="shared" si="1"/>
        <v>#DIV/0!</v>
      </c>
      <c r="AJ10" s="880"/>
      <c r="AK10" s="880"/>
      <c r="AL10" s="880"/>
      <c r="AM10" s="881" t="e">
        <f t="shared" si="1"/>
        <v>#DIV/0!</v>
      </c>
      <c r="AN10" s="880"/>
      <c r="AO10" s="880"/>
      <c r="AP10" s="880"/>
      <c r="AQ10" s="881" t="e">
        <f t="shared" si="1"/>
        <v>#DIV/0!</v>
      </c>
      <c r="AR10" s="881" t="e">
        <f t="shared" si="1"/>
        <v>#DIV/0!</v>
      </c>
      <c r="AS10" s="881" t="e">
        <f t="shared" si="1"/>
        <v>#DIV/0!</v>
      </c>
      <c r="AT10" s="881" t="e">
        <f t="shared" si="1"/>
        <v>#DIV/0!</v>
      </c>
      <c r="AU10" s="881" t="e">
        <f t="shared" si="1"/>
        <v>#DIV/0!</v>
      </c>
      <c r="AV10" s="881" t="e">
        <f t="shared" si="1"/>
        <v>#DIV/0!</v>
      </c>
      <c r="AW10" s="881" t="e">
        <f t="shared" si="1"/>
        <v>#DIV/0!</v>
      </c>
    </row>
    <row r="11" spans="1:49" ht="13.5" hidden="1" thickBot="1" x14ac:dyDescent="0.25">
      <c r="A11" s="863"/>
      <c r="B11" s="872" t="s">
        <v>27734</v>
      </c>
      <c r="C11" s="873" t="s">
        <v>27740</v>
      </c>
      <c r="D11" s="874">
        <v>3634.7719999999999</v>
      </c>
      <c r="E11" s="875">
        <v>2019.3140835935264</v>
      </c>
      <c r="F11" s="875"/>
      <c r="G11" s="875"/>
      <c r="H11" s="876">
        <v>3806.86</v>
      </c>
      <c r="I11" s="877">
        <v>2114.9218823200135</v>
      </c>
      <c r="J11" s="877"/>
      <c r="K11" s="877"/>
      <c r="L11" s="874">
        <v>4826.16</v>
      </c>
      <c r="M11" s="875">
        <v>2681.2075605332802</v>
      </c>
      <c r="N11" s="875"/>
      <c r="O11" s="875"/>
      <c r="P11" s="876">
        <v>5746.36</v>
      </c>
      <c r="Q11" s="877">
        <v>3192.4217634209654</v>
      </c>
      <c r="R11" s="877"/>
      <c r="S11" s="877"/>
      <c r="T11" s="874">
        <v>7314.7093599999998</v>
      </c>
      <c r="U11" s="875">
        <v>4063.7392531489263</v>
      </c>
      <c r="V11" s="875"/>
      <c r="W11" s="875"/>
      <c r="X11" s="876">
        <v>8029.17</v>
      </c>
      <c r="Y11" s="877">
        <v>4460.6532983188781</v>
      </c>
      <c r="Z11" s="877"/>
      <c r="AA11" s="877"/>
      <c r="AB11" s="874">
        <v>9813.4600000000009</v>
      </c>
      <c r="AC11" s="875">
        <v>5451.9325485741492</v>
      </c>
      <c r="AD11" s="879"/>
      <c r="AE11" s="880">
        <f t="shared" si="2"/>
        <v>0.55555547571348918</v>
      </c>
      <c r="AF11" s="880">
        <f t="shared" si="0"/>
        <v>0.55555596634756499</v>
      </c>
      <c r="AG11" s="881">
        <f t="shared" si="3"/>
        <v>1.8000032929655205</v>
      </c>
      <c r="AH11" s="881" t="e">
        <f t="shared" si="3"/>
        <v>#DIV/0!</v>
      </c>
      <c r="AI11" s="881">
        <f t="shared" si="1"/>
        <v>1.8000002892891604</v>
      </c>
      <c r="AJ11" s="880"/>
      <c r="AK11" s="880"/>
      <c r="AL11" s="880"/>
      <c r="AM11" s="881">
        <f t="shared" si="1"/>
        <v>1.7999949243168993</v>
      </c>
      <c r="AN11" s="880"/>
      <c r="AO11" s="880"/>
      <c r="AP11" s="880"/>
      <c r="AQ11" s="881">
        <f t="shared" si="1"/>
        <v>1.8000002586883324</v>
      </c>
      <c r="AR11" s="881" t="e">
        <f t="shared" si="1"/>
        <v>#DIV/0!</v>
      </c>
      <c r="AS11" s="881" t="e">
        <f t="shared" si="1"/>
        <v>#DIV/0!</v>
      </c>
      <c r="AT11" s="881">
        <f t="shared" si="1"/>
        <v>0</v>
      </c>
      <c r="AU11" s="881">
        <f t="shared" si="1"/>
        <v>1.7999947595879704</v>
      </c>
      <c r="AV11" s="881" t="e">
        <f t="shared" si="1"/>
        <v>#DIV/0!</v>
      </c>
      <c r="AW11" s="881" t="e">
        <f t="shared" si="1"/>
        <v>#DIV/0!</v>
      </c>
    </row>
    <row r="12" spans="1:49" ht="13.5" hidden="1" thickBot="1" x14ac:dyDescent="0.25">
      <c r="A12" s="863"/>
      <c r="B12" s="872"/>
      <c r="C12" s="873"/>
      <c r="D12" s="874"/>
      <c r="E12" s="875"/>
      <c r="F12" s="875"/>
      <c r="G12" s="875"/>
      <c r="H12" s="876"/>
      <c r="I12" s="877"/>
      <c r="J12" s="877"/>
      <c r="K12" s="877"/>
      <c r="L12" s="874"/>
      <c r="M12" s="875"/>
      <c r="N12" s="875"/>
      <c r="O12" s="875"/>
      <c r="P12" s="876"/>
      <c r="Q12" s="877"/>
      <c r="R12" s="877"/>
      <c r="S12" s="877"/>
      <c r="T12" s="874"/>
      <c r="U12" s="875"/>
      <c r="V12" s="875"/>
      <c r="W12" s="875"/>
      <c r="X12" s="876"/>
      <c r="Y12" s="877"/>
      <c r="Z12" s="877"/>
      <c r="AA12" s="877"/>
      <c r="AB12" s="874"/>
      <c r="AC12" s="875"/>
      <c r="AD12" s="879"/>
      <c r="AE12" s="880" t="e">
        <f t="shared" si="2"/>
        <v>#DIV/0!</v>
      </c>
      <c r="AF12" s="880" t="e">
        <f t="shared" si="0"/>
        <v>#DIV/0!</v>
      </c>
      <c r="AG12" s="881" t="e">
        <f t="shared" si="3"/>
        <v>#DIV/0!</v>
      </c>
      <c r="AH12" s="881" t="e">
        <f t="shared" si="3"/>
        <v>#DIV/0!</v>
      </c>
      <c r="AI12" s="881" t="e">
        <f t="shared" si="1"/>
        <v>#DIV/0!</v>
      </c>
      <c r="AJ12" s="880"/>
      <c r="AK12" s="880"/>
      <c r="AL12" s="880"/>
      <c r="AM12" s="881" t="e">
        <f t="shared" si="1"/>
        <v>#DIV/0!</v>
      </c>
      <c r="AN12" s="880"/>
      <c r="AO12" s="880"/>
      <c r="AP12" s="880"/>
      <c r="AQ12" s="881" t="e">
        <f t="shared" si="1"/>
        <v>#DIV/0!</v>
      </c>
      <c r="AR12" s="881" t="e">
        <f t="shared" si="1"/>
        <v>#DIV/0!</v>
      </c>
      <c r="AS12" s="881" t="e">
        <f t="shared" si="1"/>
        <v>#DIV/0!</v>
      </c>
      <c r="AT12" s="881" t="e">
        <f t="shared" si="1"/>
        <v>#DIV/0!</v>
      </c>
      <c r="AU12" s="881" t="e">
        <f t="shared" si="1"/>
        <v>#DIV/0!</v>
      </c>
      <c r="AV12" s="881" t="e">
        <f t="shared" si="1"/>
        <v>#DIV/0!</v>
      </c>
      <c r="AW12" s="881" t="e">
        <f t="shared" si="1"/>
        <v>#DIV/0!</v>
      </c>
    </row>
    <row r="13" spans="1:49" ht="13.5" hidden="1" thickBot="1" x14ac:dyDescent="0.25">
      <c r="A13" s="863"/>
      <c r="B13" s="872" t="s">
        <v>27735</v>
      </c>
      <c r="C13" s="873" t="s">
        <v>27740</v>
      </c>
      <c r="D13" s="874">
        <v>4142.2020000000002</v>
      </c>
      <c r="E13" s="875">
        <v>2301.2262563597424</v>
      </c>
      <c r="F13" s="875"/>
      <c r="G13" s="875"/>
      <c r="H13" s="876">
        <v>4358.1499999999996</v>
      </c>
      <c r="I13" s="877">
        <v>2421.1997793995583</v>
      </c>
      <c r="J13" s="877"/>
      <c r="K13" s="877"/>
      <c r="L13" s="874">
        <v>5828.28</v>
      </c>
      <c r="M13" s="875">
        <v>3237.9352486642319</v>
      </c>
      <c r="N13" s="875"/>
      <c r="O13" s="875"/>
      <c r="P13" s="876">
        <v>7269.21</v>
      </c>
      <c r="Q13" s="877">
        <v>4038.4581375066314</v>
      </c>
      <c r="R13" s="877"/>
      <c r="S13" s="877"/>
      <c r="T13" s="874">
        <v>9205.4912273199989</v>
      </c>
      <c r="U13" s="875">
        <v>5083.2283082549375</v>
      </c>
      <c r="V13" s="875"/>
      <c r="W13" s="875"/>
      <c r="X13" s="876">
        <v>10175.562490855222</v>
      </c>
      <c r="Y13" s="877">
        <v>5579.7703551327695</v>
      </c>
      <c r="Z13" s="877"/>
      <c r="AA13" s="877"/>
      <c r="AB13" s="874">
        <v>13567.416654473629</v>
      </c>
      <c r="AC13" s="875">
        <v>6421.5011635210394</v>
      </c>
      <c r="AD13" s="879"/>
      <c r="AE13" s="880">
        <f t="shared" si="2"/>
        <v>0.55555667500411066</v>
      </c>
      <c r="AF13" s="880">
        <f t="shared" si="0"/>
        <v>0.54835006518286422</v>
      </c>
      <c r="AG13" s="881">
        <f t="shared" si="3"/>
        <v>1.7999977136331027</v>
      </c>
      <c r="AH13" s="881" t="e">
        <f t="shared" si="3"/>
        <v>#DIV/0!</v>
      </c>
      <c r="AI13" s="881">
        <f t="shared" si="1"/>
        <v>1.7999960338179084</v>
      </c>
      <c r="AJ13" s="880"/>
      <c r="AK13" s="880"/>
      <c r="AL13" s="880"/>
      <c r="AM13" s="881">
        <f t="shared" si="1"/>
        <v>1.7999989352487455</v>
      </c>
      <c r="AN13" s="880"/>
      <c r="AO13" s="880"/>
      <c r="AP13" s="880"/>
      <c r="AQ13" s="881">
        <f t="shared" si="1"/>
        <v>1.7999963729939898</v>
      </c>
      <c r="AR13" s="881" t="e">
        <f t="shared" si="1"/>
        <v>#DIV/0!</v>
      </c>
      <c r="AS13" s="881" t="e">
        <f t="shared" si="1"/>
        <v>#DIV/0!</v>
      </c>
      <c r="AT13" s="881">
        <f t="shared" si="1"/>
        <v>0</v>
      </c>
      <c r="AU13" s="881">
        <f t="shared" si="1"/>
        <v>1.8109537225331171</v>
      </c>
      <c r="AV13" s="881" t="e">
        <f t="shared" si="1"/>
        <v>#DIV/0!</v>
      </c>
      <c r="AW13" s="881" t="e">
        <f t="shared" si="1"/>
        <v>#DIV/0!</v>
      </c>
    </row>
    <row r="14" spans="1:49" ht="13.5" hidden="1" thickBot="1" x14ac:dyDescent="0.25">
      <c r="A14" s="863"/>
      <c r="B14" s="872"/>
      <c r="C14" s="873"/>
      <c r="D14" s="874"/>
      <c r="E14" s="875"/>
      <c r="F14" s="875"/>
      <c r="G14" s="875"/>
      <c r="H14" s="876"/>
      <c r="I14" s="877"/>
      <c r="J14" s="877"/>
      <c r="K14" s="877"/>
      <c r="L14" s="874"/>
      <c r="M14" s="875"/>
      <c r="N14" s="875"/>
      <c r="O14" s="875"/>
      <c r="P14" s="876"/>
      <c r="Q14" s="877"/>
      <c r="R14" s="877"/>
      <c r="S14" s="877"/>
      <c r="T14" s="874"/>
      <c r="U14" s="875"/>
      <c r="V14" s="875"/>
      <c r="W14" s="875"/>
      <c r="X14" s="876"/>
      <c r="Y14" s="877"/>
      <c r="Z14" s="877"/>
      <c r="AA14" s="877"/>
      <c r="AB14" s="874"/>
      <c r="AC14" s="875"/>
      <c r="AD14" s="879"/>
      <c r="AE14" s="880" t="e">
        <f t="shared" si="2"/>
        <v>#DIV/0!</v>
      </c>
      <c r="AF14" s="880" t="e">
        <f t="shared" si="0"/>
        <v>#DIV/0!</v>
      </c>
      <c r="AG14" s="881" t="e">
        <f t="shared" si="3"/>
        <v>#DIV/0!</v>
      </c>
      <c r="AH14" s="881" t="e">
        <f t="shared" si="3"/>
        <v>#DIV/0!</v>
      </c>
      <c r="AI14" s="881" t="e">
        <f t="shared" si="1"/>
        <v>#DIV/0!</v>
      </c>
      <c r="AJ14" s="880"/>
      <c r="AK14" s="880"/>
      <c r="AL14" s="880"/>
      <c r="AM14" s="881" t="e">
        <f t="shared" si="1"/>
        <v>#DIV/0!</v>
      </c>
      <c r="AN14" s="880"/>
      <c r="AO14" s="880"/>
      <c r="AP14" s="880"/>
      <c r="AQ14" s="881" t="e">
        <f t="shared" si="1"/>
        <v>#DIV/0!</v>
      </c>
      <c r="AR14" s="881" t="e">
        <f t="shared" si="1"/>
        <v>#DIV/0!</v>
      </c>
      <c r="AS14" s="881" t="e">
        <f t="shared" si="1"/>
        <v>#DIV/0!</v>
      </c>
      <c r="AT14" s="881" t="e">
        <f t="shared" si="1"/>
        <v>#DIV/0!</v>
      </c>
      <c r="AU14" s="881" t="e">
        <f t="shared" si="1"/>
        <v>#DIV/0!</v>
      </c>
      <c r="AV14" s="881" t="e">
        <f t="shared" si="1"/>
        <v>#DIV/0!</v>
      </c>
      <c r="AW14" s="881" t="e">
        <f t="shared" si="1"/>
        <v>#DIV/0!</v>
      </c>
    </row>
    <row r="15" spans="1:49" ht="13.5" hidden="1" thickBot="1" x14ac:dyDescent="0.25">
      <c r="A15" s="863"/>
      <c r="B15" s="872" t="s">
        <v>27736</v>
      </c>
      <c r="C15" s="873" t="s">
        <v>27740</v>
      </c>
      <c r="D15" s="874">
        <v>4888.2120000000004</v>
      </c>
      <c r="E15" s="875">
        <v>2715.6787741382136</v>
      </c>
      <c r="F15" s="875"/>
      <c r="G15" s="875"/>
      <c r="H15" s="876">
        <v>5192.79</v>
      </c>
      <c r="I15" s="877">
        <v>2884.8808763241414</v>
      </c>
      <c r="J15" s="877"/>
      <c r="K15" s="877"/>
      <c r="L15" s="874">
        <v>7193.3600000000006</v>
      </c>
      <c r="M15" s="875">
        <v>3996.3133284860332</v>
      </c>
      <c r="N15" s="875"/>
      <c r="O15" s="875"/>
      <c r="P15" s="876">
        <v>9437.7308439999997</v>
      </c>
      <c r="Q15" s="877">
        <v>4819.6854196745753</v>
      </c>
      <c r="R15" s="877"/>
      <c r="S15" s="877"/>
      <c r="T15" s="874">
        <v>11353.232704599997</v>
      </c>
      <c r="U15" s="875">
        <v>6086.3603593764146</v>
      </c>
      <c r="V15" s="875"/>
      <c r="W15" s="875"/>
      <c r="X15" s="876">
        <v>12047.380000000001</v>
      </c>
      <c r="Y15" s="877">
        <v>6692.999110977943</v>
      </c>
      <c r="Z15" s="877"/>
      <c r="AA15" s="877"/>
      <c r="AB15" s="874">
        <v>16350.606436247785</v>
      </c>
      <c r="AC15" s="875">
        <v>8037.5587650704847</v>
      </c>
      <c r="AD15" s="879"/>
      <c r="AE15" s="880">
        <f t="shared" si="2"/>
        <v>0.51068265236009258</v>
      </c>
      <c r="AF15" s="880">
        <f t="shared" si="0"/>
        <v>0.55555640404618623</v>
      </c>
      <c r="AG15" s="881">
        <f t="shared" si="3"/>
        <v>1.7999963937381411</v>
      </c>
      <c r="AH15" s="881" t="e">
        <f t="shared" si="3"/>
        <v>#DIV/0!</v>
      </c>
      <c r="AI15" s="881">
        <f t="shared" si="1"/>
        <v>1.8000015330326398</v>
      </c>
      <c r="AJ15" s="880"/>
      <c r="AK15" s="880"/>
      <c r="AL15" s="880"/>
      <c r="AM15" s="881">
        <f t="shared" si="1"/>
        <v>1.7999990012607794</v>
      </c>
      <c r="AN15" s="880"/>
      <c r="AO15" s="880"/>
      <c r="AP15" s="880"/>
      <c r="AQ15" s="881">
        <f t="shared" si="1"/>
        <v>1.9581632455666027</v>
      </c>
      <c r="AR15" s="881" t="e">
        <f t="shared" si="1"/>
        <v>#DIV/0!</v>
      </c>
      <c r="AS15" s="881" t="e">
        <f t="shared" si="1"/>
        <v>#DIV/0!</v>
      </c>
      <c r="AT15" s="881">
        <f t="shared" si="1"/>
        <v>0</v>
      </c>
      <c r="AU15" s="881">
        <f t="shared" si="1"/>
        <v>1.8653566391463561</v>
      </c>
      <c r="AV15" s="881" t="e">
        <f t="shared" si="1"/>
        <v>#DIV/0!</v>
      </c>
      <c r="AW15" s="881" t="e">
        <f t="shared" si="1"/>
        <v>#DIV/0!</v>
      </c>
    </row>
    <row r="16" spans="1:49" ht="13.5" hidden="1" thickBot="1" x14ac:dyDescent="0.25">
      <c r="A16" s="863"/>
      <c r="B16" s="872"/>
      <c r="C16" s="873"/>
      <c r="D16" s="874"/>
      <c r="E16" s="875"/>
      <c r="F16" s="875"/>
      <c r="G16" s="875"/>
      <c r="H16" s="876"/>
      <c r="I16" s="877"/>
      <c r="J16" s="877"/>
      <c r="K16" s="877"/>
      <c r="L16" s="874"/>
      <c r="M16" s="875"/>
      <c r="N16" s="875"/>
      <c r="O16" s="875"/>
      <c r="P16" s="876"/>
      <c r="Q16" s="877"/>
      <c r="R16" s="877"/>
      <c r="S16" s="877"/>
      <c r="T16" s="874"/>
      <c r="U16" s="875"/>
      <c r="V16" s="875"/>
      <c r="W16" s="875"/>
      <c r="X16" s="876"/>
      <c r="Y16" s="877"/>
      <c r="Z16" s="877"/>
      <c r="AA16" s="877"/>
      <c r="AB16" s="874"/>
      <c r="AC16" s="875"/>
      <c r="AD16" s="879"/>
      <c r="AE16" s="880" t="e">
        <f t="shared" si="2"/>
        <v>#DIV/0!</v>
      </c>
      <c r="AF16" s="880" t="e">
        <f t="shared" si="0"/>
        <v>#DIV/0!</v>
      </c>
      <c r="AG16" s="881" t="e">
        <f t="shared" si="3"/>
        <v>#DIV/0!</v>
      </c>
      <c r="AH16" s="881" t="e">
        <f t="shared" si="3"/>
        <v>#DIV/0!</v>
      </c>
      <c r="AI16" s="881" t="e">
        <f t="shared" si="1"/>
        <v>#DIV/0!</v>
      </c>
      <c r="AJ16" s="880"/>
      <c r="AK16" s="880"/>
      <c r="AL16" s="880"/>
      <c r="AM16" s="881" t="e">
        <f t="shared" si="1"/>
        <v>#DIV/0!</v>
      </c>
      <c r="AN16" s="880"/>
      <c r="AO16" s="880"/>
      <c r="AP16" s="880"/>
      <c r="AQ16" s="881" t="e">
        <f t="shared" si="1"/>
        <v>#DIV/0!</v>
      </c>
      <c r="AR16" s="881" t="e">
        <f t="shared" si="1"/>
        <v>#DIV/0!</v>
      </c>
      <c r="AS16" s="881" t="e">
        <f t="shared" si="1"/>
        <v>#DIV/0!</v>
      </c>
      <c r="AT16" s="881" t="e">
        <f t="shared" si="1"/>
        <v>#DIV/0!</v>
      </c>
      <c r="AU16" s="881" t="e">
        <f t="shared" si="1"/>
        <v>#DIV/0!</v>
      </c>
      <c r="AV16" s="881" t="e">
        <f t="shared" si="1"/>
        <v>#DIV/0!</v>
      </c>
      <c r="AW16" s="881" t="e">
        <f t="shared" si="1"/>
        <v>#DIV/0!</v>
      </c>
    </row>
    <row r="17" spans="1:49" ht="13.5" hidden="1" thickBot="1" x14ac:dyDescent="0.25">
      <c r="A17" s="863"/>
      <c r="B17" s="882" t="s">
        <v>27737</v>
      </c>
      <c r="C17" s="873" t="s">
        <v>27740</v>
      </c>
      <c r="D17" s="874">
        <v>5259.4520000000002</v>
      </c>
      <c r="E17" s="875">
        <v>2921.9150820695531</v>
      </c>
      <c r="F17" s="875"/>
      <c r="G17" s="875"/>
      <c r="H17" s="876">
        <v>5573.88</v>
      </c>
      <c r="I17" s="877">
        <v>3096.6068960328398</v>
      </c>
      <c r="J17" s="877"/>
      <c r="K17" s="877"/>
      <c r="L17" s="874">
        <v>8251.5300000000007</v>
      </c>
      <c r="M17" s="875">
        <v>4584.1816708995111</v>
      </c>
      <c r="N17" s="875"/>
      <c r="O17" s="875"/>
      <c r="P17" s="876">
        <v>10518.098798642832</v>
      </c>
      <c r="Q17" s="877">
        <v>5529.6934077227079</v>
      </c>
      <c r="R17" s="877"/>
      <c r="S17" s="877"/>
      <c r="T17" s="874">
        <v>12517.58936</v>
      </c>
      <c r="U17" s="875">
        <v>6954.2258864068781</v>
      </c>
      <c r="V17" s="875"/>
      <c r="W17" s="875"/>
      <c r="X17" s="876">
        <v>14092.34</v>
      </c>
      <c r="Y17" s="877">
        <v>7829.0890749551263</v>
      </c>
      <c r="Z17" s="877"/>
      <c r="AA17" s="877"/>
      <c r="AB17" s="874">
        <v>17672.416332606605</v>
      </c>
      <c r="AC17" s="875">
        <v>9462.6740897734908</v>
      </c>
      <c r="AD17" s="879"/>
      <c r="AE17" s="880">
        <f t="shared" si="2"/>
        <v>0.52573126698868944</v>
      </c>
      <c r="AF17" s="880">
        <f t="shared" si="0"/>
        <v>0.55555635720931562</v>
      </c>
      <c r="AG17" s="881">
        <f t="shared" si="3"/>
        <v>1.8000016606488103</v>
      </c>
      <c r="AH17" s="881" t="e">
        <f t="shared" si="3"/>
        <v>#DIV/0!</v>
      </c>
      <c r="AI17" s="881">
        <f t="shared" si="1"/>
        <v>1.7999959914643582</v>
      </c>
      <c r="AJ17" s="880"/>
      <c r="AK17" s="880"/>
      <c r="AL17" s="880"/>
      <c r="AM17" s="881">
        <f t="shared" si="1"/>
        <v>1.8000006527622803</v>
      </c>
      <c r="AN17" s="880"/>
      <c r="AO17" s="880"/>
      <c r="AP17" s="880"/>
      <c r="AQ17" s="881">
        <f t="shared" si="1"/>
        <v>1.9021124722671554</v>
      </c>
      <c r="AR17" s="881" t="e">
        <f t="shared" si="1"/>
        <v>#DIV/0!</v>
      </c>
      <c r="AS17" s="881" t="e">
        <f t="shared" si="1"/>
        <v>#DIV/0!</v>
      </c>
      <c r="AT17" s="881">
        <f t="shared" si="1"/>
        <v>0</v>
      </c>
      <c r="AU17" s="881">
        <f t="shared" si="1"/>
        <v>1.7999975215742683</v>
      </c>
      <c r="AV17" s="881" t="e">
        <f t="shared" si="1"/>
        <v>#DIV/0!</v>
      </c>
      <c r="AW17" s="881" t="e">
        <f t="shared" si="1"/>
        <v>#DIV/0!</v>
      </c>
    </row>
    <row r="18" spans="1:49" ht="13.5" hidden="1" thickBot="1" x14ac:dyDescent="0.25">
      <c r="A18" s="863"/>
      <c r="B18" s="872"/>
      <c r="C18" s="873"/>
      <c r="D18" s="874"/>
      <c r="E18" s="875"/>
      <c r="F18" s="875"/>
      <c r="G18" s="875"/>
      <c r="H18" s="876"/>
      <c r="I18" s="877"/>
      <c r="J18" s="877"/>
      <c r="K18" s="877"/>
      <c r="L18" s="874"/>
      <c r="M18" s="875"/>
      <c r="N18" s="875"/>
      <c r="O18" s="875"/>
      <c r="P18" s="876"/>
      <c r="Q18" s="877"/>
      <c r="R18" s="877"/>
      <c r="S18" s="877"/>
      <c r="T18" s="874"/>
      <c r="U18" s="875"/>
      <c r="V18" s="875"/>
      <c r="W18" s="875"/>
      <c r="X18" s="876"/>
      <c r="Y18" s="877"/>
      <c r="Z18" s="877"/>
      <c r="AA18" s="877"/>
      <c r="AB18" s="883"/>
      <c r="AC18" s="875"/>
      <c r="AD18" s="879"/>
      <c r="AE18" s="880" t="e">
        <f>P18/Q18</f>
        <v>#DIV/0!</v>
      </c>
      <c r="AF18" s="880" t="e">
        <f>X18/Y18</f>
        <v>#DIV/0!</v>
      </c>
      <c r="AG18" s="881" t="e">
        <f t="shared" si="3"/>
        <v>#DIV/0!</v>
      </c>
      <c r="AH18" s="881" t="e">
        <f t="shared" si="3"/>
        <v>#DIV/0!</v>
      </c>
      <c r="AI18" s="881" t="e">
        <f t="shared" si="1"/>
        <v>#DIV/0!</v>
      </c>
      <c r="AJ18" s="880"/>
      <c r="AK18" s="880"/>
      <c r="AL18" s="880"/>
      <c r="AM18" s="881" t="e">
        <f t="shared" si="1"/>
        <v>#DIV/0!</v>
      </c>
      <c r="AN18" s="880"/>
      <c r="AO18" s="880"/>
      <c r="AP18" s="880"/>
      <c r="AQ18" s="881" t="e">
        <f t="shared" si="1"/>
        <v>#DIV/0!</v>
      </c>
      <c r="AR18" s="881" t="e">
        <f t="shared" si="1"/>
        <v>#DIV/0!</v>
      </c>
      <c r="AS18" s="881" t="e">
        <f t="shared" si="1"/>
        <v>#DIV/0!</v>
      </c>
      <c r="AT18" s="881" t="e">
        <f t="shared" si="1"/>
        <v>#DIV/0!</v>
      </c>
      <c r="AU18" s="881" t="e">
        <f t="shared" si="1"/>
        <v>#DIV/0!</v>
      </c>
      <c r="AV18" s="881" t="e">
        <f t="shared" si="1"/>
        <v>#DIV/0!</v>
      </c>
      <c r="AW18" s="881" t="e">
        <f t="shared" si="1"/>
        <v>#DIV/0!</v>
      </c>
    </row>
    <row r="19" spans="1:49" ht="13.5" hidden="1" thickBot="1" x14ac:dyDescent="0.25">
      <c r="A19" s="863"/>
      <c r="B19" s="882" t="s">
        <v>27741</v>
      </c>
      <c r="C19" s="873" t="s">
        <v>27740</v>
      </c>
      <c r="D19" s="874">
        <v>5495.3419999999996</v>
      </c>
      <c r="E19" s="875">
        <v>3052.9653991763803</v>
      </c>
      <c r="F19" s="875"/>
      <c r="G19" s="875"/>
      <c r="H19" s="876">
        <v>5829.54</v>
      </c>
      <c r="I19" s="877">
        <v>3238.6314097303271</v>
      </c>
      <c r="J19" s="877"/>
      <c r="K19" s="877"/>
      <c r="L19" s="874">
        <v>8575.76</v>
      </c>
      <c r="M19" s="875">
        <v>4764.3176281173382</v>
      </c>
      <c r="N19" s="875"/>
      <c r="O19" s="875"/>
      <c r="P19" s="876">
        <v>10255.68</v>
      </c>
      <c r="Q19" s="884">
        <v>5697.6071601294661</v>
      </c>
      <c r="R19" s="877"/>
      <c r="S19" s="877"/>
      <c r="T19" s="874">
        <v>13398.389359999999</v>
      </c>
      <c r="U19" s="875">
        <v>7443.5540737322399</v>
      </c>
      <c r="V19" s="875"/>
      <c r="W19" s="875"/>
      <c r="X19" s="876">
        <v>14799.79</v>
      </c>
      <c r="Y19" s="877">
        <v>8222.1160289920153</v>
      </c>
      <c r="Z19" s="877"/>
      <c r="AA19" s="877"/>
      <c r="AB19" s="883"/>
      <c r="AC19" s="885"/>
      <c r="AD19" s="879"/>
      <c r="AE19" s="880">
        <f>P19/Q19</f>
        <v>1.7999977379568868</v>
      </c>
      <c r="AF19" s="880">
        <f>X19/Y19</f>
        <v>1.7999977071369997</v>
      </c>
      <c r="AG19" s="881">
        <f t="shared" si="3"/>
        <v>1.8000014024012576</v>
      </c>
      <c r="AH19" s="881" t="e">
        <f t="shared" si="3"/>
        <v>#DIV/0!</v>
      </c>
      <c r="AI19" s="881">
        <f t="shared" si="1"/>
        <v>1.8000010691199377</v>
      </c>
      <c r="AJ19" s="880"/>
      <c r="AK19" s="880"/>
      <c r="AL19" s="880"/>
      <c r="AM19" s="881">
        <f t="shared" si="1"/>
        <v>1.7999975378192379</v>
      </c>
      <c r="AN19" s="880"/>
      <c r="AO19" s="880"/>
      <c r="AP19" s="880"/>
      <c r="AQ19" s="881">
        <f t="shared" si="1"/>
        <v>1.7999977379568868</v>
      </c>
      <c r="AR19" s="881" t="e">
        <f t="shared" si="1"/>
        <v>#DIV/0!</v>
      </c>
      <c r="AS19" s="881" t="e">
        <f t="shared" si="1"/>
        <v>#DIV/0!</v>
      </c>
      <c r="AT19" s="881">
        <f t="shared" si="1"/>
        <v>0</v>
      </c>
      <c r="AU19" s="881">
        <f t="shared" si="1"/>
        <v>1.7999989289097718</v>
      </c>
      <c r="AV19" s="881" t="e">
        <f t="shared" si="1"/>
        <v>#DIV/0!</v>
      </c>
      <c r="AW19" s="881" t="e">
        <f t="shared" si="1"/>
        <v>#DIV/0!</v>
      </c>
    </row>
    <row r="20" spans="1:49" hidden="1" x14ac:dyDescent="0.2">
      <c r="AB20" s="855"/>
      <c r="AC20" s="886"/>
      <c r="AD20" s="855"/>
      <c r="AE20" s="855"/>
      <c r="AG20" s="881"/>
      <c r="AH20" s="881"/>
      <c r="AI20" s="881" t="e">
        <f t="shared" si="1"/>
        <v>#DIV/0!</v>
      </c>
      <c r="AM20" s="881" t="e">
        <f t="shared" si="1"/>
        <v>#DIV/0!</v>
      </c>
      <c r="AQ20" s="881" t="e">
        <f t="shared" si="1"/>
        <v>#DIV/0!</v>
      </c>
      <c r="AR20" s="881" t="e">
        <f t="shared" si="1"/>
        <v>#DIV/0!</v>
      </c>
      <c r="AS20" s="881" t="e">
        <f t="shared" si="1"/>
        <v>#DIV/0!</v>
      </c>
      <c r="AT20" s="881" t="e">
        <f t="shared" si="1"/>
        <v>#DIV/0!</v>
      </c>
      <c r="AU20" s="881" t="e">
        <f t="shared" si="1"/>
        <v>#DIV/0!</v>
      </c>
      <c r="AV20" s="881" t="e">
        <f t="shared" si="1"/>
        <v>#DIV/0!</v>
      </c>
      <c r="AW20" s="881" t="e">
        <f t="shared" si="1"/>
        <v>#DIV/0!</v>
      </c>
    </row>
    <row r="21" spans="1:49" ht="15.75" hidden="1" x14ac:dyDescent="0.2">
      <c r="B21" s="2899" t="s">
        <v>442</v>
      </c>
      <c r="C21" s="2899"/>
      <c r="D21" s="2899"/>
      <c r="E21" s="2899"/>
      <c r="F21" s="2899"/>
      <c r="G21" s="2899"/>
      <c r="H21" s="2899"/>
      <c r="I21" s="856" t="s">
        <v>27742</v>
      </c>
      <c r="AB21" s="855"/>
      <c r="AD21" s="855"/>
      <c r="AE21" s="855"/>
      <c r="AG21" s="881"/>
      <c r="AH21" s="881"/>
      <c r="AI21" s="881" t="e">
        <f t="shared" si="1"/>
        <v>#VALUE!</v>
      </c>
      <c r="AM21" s="881" t="e">
        <f t="shared" si="1"/>
        <v>#DIV/0!</v>
      </c>
      <c r="AQ21" s="881" t="e">
        <f t="shared" si="1"/>
        <v>#DIV/0!</v>
      </c>
      <c r="AR21" s="881" t="e">
        <f t="shared" si="1"/>
        <v>#DIV/0!</v>
      </c>
      <c r="AS21" s="881" t="e">
        <f t="shared" si="1"/>
        <v>#DIV/0!</v>
      </c>
      <c r="AT21" s="881" t="e">
        <f t="shared" si="1"/>
        <v>#DIV/0!</v>
      </c>
      <c r="AU21" s="881" t="e">
        <f t="shared" si="1"/>
        <v>#DIV/0!</v>
      </c>
      <c r="AV21" s="881" t="e">
        <f t="shared" si="1"/>
        <v>#DIV/0!</v>
      </c>
      <c r="AW21" s="881" t="e">
        <f t="shared" si="1"/>
        <v>#DIV/0!</v>
      </c>
    </row>
    <row r="22" spans="1:49" ht="16.5" hidden="1" thickBot="1" x14ac:dyDescent="0.3">
      <c r="B22" s="859" t="s">
        <v>27743</v>
      </c>
      <c r="C22" s="858"/>
      <c r="AB22" s="855"/>
      <c r="AD22" s="855"/>
      <c r="AE22" s="855"/>
      <c r="AG22" s="881"/>
      <c r="AH22" s="881"/>
      <c r="AI22" s="881" t="e">
        <f t="shared" si="1"/>
        <v>#DIV/0!</v>
      </c>
      <c r="AM22" s="881" t="e">
        <f t="shared" si="1"/>
        <v>#DIV/0!</v>
      </c>
      <c r="AQ22" s="881" t="e">
        <f t="shared" si="1"/>
        <v>#DIV/0!</v>
      </c>
      <c r="AR22" s="881" t="e">
        <f t="shared" si="1"/>
        <v>#DIV/0!</v>
      </c>
      <c r="AS22" s="881" t="e">
        <f t="shared" si="1"/>
        <v>#DIV/0!</v>
      </c>
      <c r="AT22" s="881" t="e">
        <f t="shared" si="1"/>
        <v>#DIV/0!</v>
      </c>
      <c r="AU22" s="881" t="e">
        <f t="shared" si="1"/>
        <v>#DIV/0!</v>
      </c>
      <c r="AV22" s="881" t="e">
        <f t="shared" si="1"/>
        <v>#DIV/0!</v>
      </c>
      <c r="AW22" s="881" t="e">
        <f t="shared" si="1"/>
        <v>#DIV/0!</v>
      </c>
    </row>
    <row r="23" spans="1:49" ht="17.45" hidden="1" customHeight="1" thickBot="1" x14ac:dyDescent="0.35">
      <c r="A23" s="860"/>
      <c r="B23" s="861" t="s">
        <v>27728</v>
      </c>
      <c r="C23" s="2894" t="s">
        <v>27729</v>
      </c>
      <c r="D23" s="2896" t="s">
        <v>27730</v>
      </c>
      <c r="E23" s="2896"/>
      <c r="F23" s="2896"/>
      <c r="G23" s="2896"/>
      <c r="H23" s="2896"/>
      <c r="I23" s="2896"/>
      <c r="J23" s="2896"/>
      <c r="K23" s="2896"/>
      <c r="L23" s="2896"/>
      <c r="M23" s="2896"/>
      <c r="N23" s="2896"/>
      <c r="O23" s="2896"/>
      <c r="P23" s="2896"/>
      <c r="Q23" s="2896"/>
      <c r="R23" s="2896"/>
      <c r="S23" s="2896"/>
      <c r="T23" s="2896"/>
      <c r="U23" s="2896"/>
      <c r="V23" s="2896"/>
      <c r="W23" s="2896"/>
      <c r="X23" s="2896"/>
      <c r="Y23" s="2896"/>
      <c r="Z23" s="2896"/>
      <c r="AA23" s="2896"/>
      <c r="AB23" s="2896"/>
      <c r="AC23" s="2896"/>
      <c r="AD23" s="862"/>
      <c r="AE23" s="862"/>
      <c r="AF23" s="862"/>
      <c r="AG23" s="881"/>
      <c r="AH23" s="881"/>
      <c r="AI23" s="881" t="e">
        <f t="shared" ref="AI23:AI57" si="4">H23/I23</f>
        <v>#DIV/0!</v>
      </c>
      <c r="AM23" s="881" t="e">
        <f t="shared" ref="AM23:AM57" si="5">L23/M23</f>
        <v>#DIV/0!</v>
      </c>
      <c r="AQ23" s="881" t="e">
        <f t="shared" ref="AQ23:AW57" si="6">P23/Q23</f>
        <v>#DIV/0!</v>
      </c>
      <c r="AR23" s="881" t="e">
        <f t="shared" si="6"/>
        <v>#DIV/0!</v>
      </c>
      <c r="AS23" s="881" t="e">
        <f t="shared" si="6"/>
        <v>#DIV/0!</v>
      </c>
      <c r="AT23" s="881" t="e">
        <f t="shared" si="6"/>
        <v>#DIV/0!</v>
      </c>
      <c r="AU23" s="881" t="e">
        <f t="shared" si="6"/>
        <v>#DIV/0!</v>
      </c>
      <c r="AV23" s="881" t="e">
        <f t="shared" si="6"/>
        <v>#DIV/0!</v>
      </c>
      <c r="AW23" s="881" t="e">
        <f t="shared" si="6"/>
        <v>#DIV/0!</v>
      </c>
    </row>
    <row r="24" spans="1:49" ht="21.2" hidden="1" customHeight="1" thickBot="1" x14ac:dyDescent="0.25">
      <c r="A24" s="863"/>
      <c r="B24" s="864" t="s">
        <v>27731</v>
      </c>
      <c r="C24" s="2895"/>
      <c r="D24" s="2897" t="s">
        <v>27732</v>
      </c>
      <c r="E24" s="2897"/>
      <c r="F24" s="887"/>
      <c r="G24" s="887"/>
      <c r="H24" s="2898" t="s">
        <v>27733</v>
      </c>
      <c r="I24" s="2898"/>
      <c r="J24" s="888"/>
      <c r="K24" s="888"/>
      <c r="L24" s="2897" t="s">
        <v>27734</v>
      </c>
      <c r="M24" s="2897"/>
      <c r="N24" s="887"/>
      <c r="O24" s="887"/>
      <c r="P24" s="2898" t="s">
        <v>27735</v>
      </c>
      <c r="Q24" s="2898"/>
      <c r="R24" s="888"/>
      <c r="S24" s="888"/>
      <c r="T24" s="2897" t="s">
        <v>27736</v>
      </c>
      <c r="U24" s="2897"/>
      <c r="V24" s="887"/>
      <c r="W24" s="887"/>
      <c r="X24" s="2898" t="s">
        <v>27737</v>
      </c>
      <c r="Y24" s="2898"/>
      <c r="Z24" s="888"/>
      <c r="AA24" s="888"/>
      <c r="AB24" s="2897" t="s">
        <v>27738</v>
      </c>
      <c r="AC24" s="2897"/>
      <c r="AD24" s="867"/>
      <c r="AE24" s="867"/>
      <c r="AF24" s="868"/>
      <c r="AG24" s="881"/>
      <c r="AH24" s="881"/>
      <c r="AI24" s="881" t="e">
        <f t="shared" si="4"/>
        <v>#VALUE!</v>
      </c>
      <c r="AM24" s="881" t="e">
        <f t="shared" si="5"/>
        <v>#VALUE!</v>
      </c>
      <c r="AQ24" s="881" t="e">
        <f t="shared" si="6"/>
        <v>#VALUE!</v>
      </c>
      <c r="AR24" s="881" t="e">
        <f t="shared" si="6"/>
        <v>#DIV/0!</v>
      </c>
      <c r="AS24" s="881" t="e">
        <f t="shared" si="6"/>
        <v>#DIV/0!</v>
      </c>
      <c r="AT24" s="881" t="e">
        <f t="shared" si="6"/>
        <v>#VALUE!</v>
      </c>
      <c r="AU24" s="881" t="e">
        <f t="shared" si="6"/>
        <v>#VALUE!</v>
      </c>
      <c r="AV24" s="881" t="e">
        <f t="shared" si="6"/>
        <v>#DIV/0!</v>
      </c>
      <c r="AW24" s="881" t="e">
        <f t="shared" si="6"/>
        <v>#DIV/0!</v>
      </c>
    </row>
    <row r="25" spans="1:49" ht="13.5" hidden="1" thickBot="1" x14ac:dyDescent="0.25">
      <c r="A25" s="863"/>
      <c r="B25" s="869"/>
      <c r="C25" s="869"/>
      <c r="D25" s="869" t="s">
        <v>27739</v>
      </c>
      <c r="E25" s="869" t="s">
        <v>27725</v>
      </c>
      <c r="F25" s="869"/>
      <c r="G25" s="869"/>
      <c r="H25" s="869" t="s">
        <v>27739</v>
      </c>
      <c r="I25" s="869" t="s">
        <v>27725</v>
      </c>
      <c r="J25" s="869"/>
      <c r="K25" s="869"/>
      <c r="L25" s="869" t="s">
        <v>27739</v>
      </c>
      <c r="M25" s="869" t="s">
        <v>27725</v>
      </c>
      <c r="N25" s="869"/>
      <c r="O25" s="869"/>
      <c r="P25" s="869" t="s">
        <v>27739</v>
      </c>
      <c r="Q25" s="869" t="s">
        <v>27725</v>
      </c>
      <c r="R25" s="869"/>
      <c r="S25" s="869"/>
      <c r="T25" s="869" t="s">
        <v>27739</v>
      </c>
      <c r="U25" s="869" t="s">
        <v>27725</v>
      </c>
      <c r="V25" s="869"/>
      <c r="W25" s="869"/>
      <c r="X25" s="869" t="s">
        <v>27739</v>
      </c>
      <c r="Y25" s="869" t="s">
        <v>27725</v>
      </c>
      <c r="Z25" s="869"/>
      <c r="AA25" s="869"/>
      <c r="AB25" s="869" t="s">
        <v>27739</v>
      </c>
      <c r="AC25" s="869" t="s">
        <v>27725</v>
      </c>
      <c r="AD25" s="870"/>
      <c r="AE25" s="870"/>
      <c r="AF25" s="871"/>
      <c r="AG25" s="881"/>
      <c r="AH25" s="881"/>
      <c r="AI25" s="881" t="e">
        <f t="shared" si="4"/>
        <v>#VALUE!</v>
      </c>
      <c r="AM25" s="881" t="e">
        <f t="shared" si="5"/>
        <v>#VALUE!</v>
      </c>
      <c r="AQ25" s="881" t="e">
        <f t="shared" si="6"/>
        <v>#VALUE!</v>
      </c>
      <c r="AR25" s="881" t="e">
        <f t="shared" si="6"/>
        <v>#VALUE!</v>
      </c>
      <c r="AS25" s="881" t="e">
        <f t="shared" si="6"/>
        <v>#DIV/0!</v>
      </c>
      <c r="AT25" s="881" t="e">
        <f t="shared" si="6"/>
        <v>#VALUE!</v>
      </c>
      <c r="AU25" s="881" t="e">
        <f t="shared" si="6"/>
        <v>#VALUE!</v>
      </c>
      <c r="AV25" s="881" t="e">
        <f t="shared" si="6"/>
        <v>#VALUE!</v>
      </c>
      <c r="AW25" s="881" t="e">
        <f t="shared" si="6"/>
        <v>#DIV/0!</v>
      </c>
    </row>
    <row r="26" spans="1:49" ht="13.5" hidden="1" thickBot="1" x14ac:dyDescent="0.25">
      <c r="A26" s="863"/>
      <c r="B26" s="872" t="s">
        <v>27732</v>
      </c>
      <c r="C26" s="873" t="s">
        <v>27740</v>
      </c>
      <c r="D26" s="875">
        <v>2921.5920000000001</v>
      </c>
      <c r="E26" s="875">
        <v>1616.2257171022022</v>
      </c>
      <c r="F26" s="875"/>
      <c r="G26" s="875"/>
      <c r="H26" s="877">
        <v>3055.25</v>
      </c>
      <c r="I26" s="877">
        <v>1680.1572814629635</v>
      </c>
      <c r="J26" s="875"/>
      <c r="K26" s="875"/>
      <c r="L26" s="875">
        <v>3523.25</v>
      </c>
      <c r="M26" s="875">
        <v>1905.7536619422319</v>
      </c>
      <c r="N26" s="875"/>
      <c r="O26" s="875"/>
      <c r="P26" s="877">
        <v>3931.82</v>
      </c>
      <c r="Q26" s="877">
        <v>2099.9915990487921</v>
      </c>
      <c r="R26" s="875"/>
      <c r="S26" s="875"/>
      <c r="T26" s="875">
        <v>4625.6693599999999</v>
      </c>
      <c r="U26" s="875">
        <v>2437.1351932570892</v>
      </c>
      <c r="V26" s="875"/>
      <c r="W26" s="875"/>
      <c r="X26" s="877">
        <v>4888.3600000000006</v>
      </c>
      <c r="Y26" s="877">
        <v>2560.922758881904</v>
      </c>
      <c r="Z26" s="875"/>
      <c r="AA26" s="875"/>
      <c r="AB26" s="875">
        <v>5692.6391083953204</v>
      </c>
      <c r="AC26" s="875">
        <v>2903.9460332303161</v>
      </c>
      <c r="AD26" s="879"/>
      <c r="AE26" s="879"/>
      <c r="AF26" s="889"/>
      <c r="AG26" s="881">
        <f t="shared" si="3"/>
        <v>1.8076633536299886</v>
      </c>
      <c r="AH26" s="881" t="e">
        <f t="shared" si="3"/>
        <v>#DIV/0!</v>
      </c>
      <c r="AI26" s="881">
        <f t="shared" si="4"/>
        <v>1.8184309491190622</v>
      </c>
      <c r="AM26" s="881">
        <f t="shared" si="5"/>
        <v>1.8487436599803309</v>
      </c>
      <c r="AQ26" s="881">
        <f t="shared" si="6"/>
        <v>1.8723027281542219</v>
      </c>
      <c r="AR26" s="881" t="e">
        <f t="shared" si="6"/>
        <v>#DIV/0!</v>
      </c>
      <c r="AS26" s="881" t="e">
        <f t="shared" si="6"/>
        <v>#DIV/0!</v>
      </c>
      <c r="AT26" s="881">
        <f t="shared" si="6"/>
        <v>0</v>
      </c>
      <c r="AU26" s="881">
        <f t="shared" si="6"/>
        <v>1.8979945687042754</v>
      </c>
      <c r="AV26" s="881" t="e">
        <f t="shared" si="6"/>
        <v>#DIV/0!</v>
      </c>
      <c r="AW26" s="881" t="e">
        <f t="shared" si="6"/>
        <v>#DIV/0!</v>
      </c>
    </row>
    <row r="27" spans="1:49" ht="13.5" hidden="1" thickBot="1" x14ac:dyDescent="0.25">
      <c r="A27" s="863"/>
      <c r="B27" s="872"/>
      <c r="C27" s="873"/>
      <c r="D27" s="875"/>
      <c r="E27" s="875"/>
      <c r="F27" s="875"/>
      <c r="G27" s="875"/>
      <c r="H27" s="877"/>
      <c r="I27" s="877"/>
      <c r="J27" s="875"/>
      <c r="K27" s="875"/>
      <c r="L27" s="875"/>
      <c r="M27" s="875"/>
      <c r="N27" s="875"/>
      <c r="O27" s="875"/>
      <c r="P27" s="877"/>
      <c r="Q27" s="877"/>
      <c r="R27" s="875"/>
      <c r="S27" s="875"/>
      <c r="T27" s="875"/>
      <c r="U27" s="875"/>
      <c r="V27" s="875"/>
      <c r="W27" s="875"/>
      <c r="X27" s="877"/>
      <c r="Y27" s="877"/>
      <c r="Z27" s="875"/>
      <c r="AA27" s="875"/>
      <c r="AB27" s="875"/>
      <c r="AC27" s="875"/>
      <c r="AD27" s="879"/>
      <c r="AE27" s="879"/>
      <c r="AF27" s="889"/>
      <c r="AG27" s="881" t="e">
        <f t="shared" si="3"/>
        <v>#DIV/0!</v>
      </c>
      <c r="AH27" s="881" t="e">
        <f t="shared" si="3"/>
        <v>#DIV/0!</v>
      </c>
      <c r="AI27" s="881" t="e">
        <f t="shared" si="4"/>
        <v>#DIV/0!</v>
      </c>
      <c r="AM27" s="881" t="e">
        <f t="shared" si="5"/>
        <v>#DIV/0!</v>
      </c>
      <c r="AQ27" s="881" t="e">
        <f t="shared" si="6"/>
        <v>#DIV/0!</v>
      </c>
      <c r="AR27" s="881" t="e">
        <f t="shared" si="6"/>
        <v>#DIV/0!</v>
      </c>
      <c r="AS27" s="881" t="e">
        <f t="shared" si="6"/>
        <v>#DIV/0!</v>
      </c>
      <c r="AT27" s="881" t="e">
        <f t="shared" si="6"/>
        <v>#DIV/0!</v>
      </c>
      <c r="AU27" s="881" t="e">
        <f t="shared" si="6"/>
        <v>#DIV/0!</v>
      </c>
      <c r="AV27" s="881" t="e">
        <f t="shared" si="6"/>
        <v>#DIV/0!</v>
      </c>
      <c r="AW27" s="881" t="e">
        <f t="shared" si="6"/>
        <v>#DIV/0!</v>
      </c>
    </row>
    <row r="28" spans="1:49" ht="13.5" hidden="1" thickBot="1" x14ac:dyDescent="0.25">
      <c r="A28" s="863"/>
      <c r="B28" s="872" t="s">
        <v>27733</v>
      </c>
      <c r="C28" s="873" t="s">
        <v>27740</v>
      </c>
      <c r="D28" s="875">
        <v>2991.9920000000002</v>
      </c>
      <c r="E28" s="875">
        <v>1685.3362643302282</v>
      </c>
      <c r="F28" s="875"/>
      <c r="G28" s="875"/>
      <c r="H28" s="877">
        <v>3192.8100000000004</v>
      </c>
      <c r="I28" s="877">
        <v>1756.5775459849879</v>
      </c>
      <c r="J28" s="875"/>
      <c r="K28" s="875"/>
      <c r="L28" s="875">
        <v>3704.67</v>
      </c>
      <c r="M28" s="875">
        <v>2006.5396507775856</v>
      </c>
      <c r="N28" s="875"/>
      <c r="O28" s="875"/>
      <c r="P28" s="877">
        <v>4160.0899999999992</v>
      </c>
      <c r="Q28" s="877">
        <v>2225.1433121974733</v>
      </c>
      <c r="R28" s="875"/>
      <c r="S28" s="875"/>
      <c r="T28" s="875">
        <v>4897.54936</v>
      </c>
      <c r="U28" s="875">
        <v>2588.1777041280325</v>
      </c>
      <c r="V28" s="875"/>
      <c r="W28" s="875"/>
      <c r="X28" s="877">
        <v>5210.3999999999996</v>
      </c>
      <c r="Y28" s="877">
        <v>2739.8324103428968</v>
      </c>
      <c r="Z28" s="875"/>
      <c r="AA28" s="875"/>
      <c r="AB28" s="875">
        <v>6206.8899999999994</v>
      </c>
      <c r="AC28" s="875">
        <v>3241.8197526625408</v>
      </c>
      <c r="AD28" s="879"/>
      <c r="AE28" s="879"/>
      <c r="AF28" s="889"/>
      <c r="AG28" s="881">
        <f t="shared" si="3"/>
        <v>1.7753086213860423</v>
      </c>
      <c r="AH28" s="881" t="e">
        <f t="shared" si="3"/>
        <v>#DIV/0!</v>
      </c>
      <c r="AI28" s="881">
        <f t="shared" si="4"/>
        <v>1.8176311130116694</v>
      </c>
      <c r="AM28" s="881">
        <f t="shared" si="5"/>
        <v>1.8462979281592293</v>
      </c>
      <c r="AQ28" s="881">
        <f t="shared" si="6"/>
        <v>1.8695829509927793</v>
      </c>
      <c r="AR28" s="881" t="e">
        <f t="shared" si="6"/>
        <v>#DIV/0!</v>
      </c>
      <c r="AS28" s="881" t="e">
        <f t="shared" si="6"/>
        <v>#DIV/0!</v>
      </c>
      <c r="AT28" s="881">
        <f t="shared" si="6"/>
        <v>0</v>
      </c>
      <c r="AU28" s="881">
        <f t="shared" si="6"/>
        <v>1.892277084447725</v>
      </c>
      <c r="AV28" s="881" t="e">
        <f t="shared" si="6"/>
        <v>#DIV/0!</v>
      </c>
      <c r="AW28" s="881" t="e">
        <f t="shared" si="6"/>
        <v>#DIV/0!</v>
      </c>
    </row>
    <row r="29" spans="1:49" ht="13.5" hidden="1" thickBot="1" x14ac:dyDescent="0.25">
      <c r="A29" s="863"/>
      <c r="B29" s="872"/>
      <c r="C29" s="873"/>
      <c r="D29" s="875"/>
      <c r="E29" s="875"/>
      <c r="F29" s="875"/>
      <c r="G29" s="875"/>
      <c r="H29" s="877"/>
      <c r="I29" s="877"/>
      <c r="J29" s="875"/>
      <c r="K29" s="875"/>
      <c r="L29" s="875"/>
      <c r="M29" s="875"/>
      <c r="N29" s="875"/>
      <c r="O29" s="875"/>
      <c r="P29" s="877"/>
      <c r="Q29" s="877"/>
      <c r="R29" s="875"/>
      <c r="S29" s="875"/>
      <c r="T29" s="875"/>
      <c r="U29" s="875"/>
      <c r="V29" s="875"/>
      <c r="W29" s="875"/>
      <c r="X29" s="877"/>
      <c r="Y29" s="877"/>
      <c r="Z29" s="875"/>
      <c r="AA29" s="875"/>
      <c r="AB29" s="875"/>
      <c r="AC29" s="875"/>
      <c r="AD29" s="879"/>
      <c r="AE29" s="879"/>
      <c r="AF29" s="889"/>
      <c r="AG29" s="881" t="e">
        <f t="shared" si="3"/>
        <v>#DIV/0!</v>
      </c>
      <c r="AH29" s="881" t="e">
        <f t="shared" si="3"/>
        <v>#DIV/0!</v>
      </c>
      <c r="AI29" s="881" t="e">
        <f t="shared" si="4"/>
        <v>#DIV/0!</v>
      </c>
      <c r="AM29" s="881" t="e">
        <f t="shared" si="5"/>
        <v>#DIV/0!</v>
      </c>
      <c r="AQ29" s="881" t="e">
        <f t="shared" si="6"/>
        <v>#DIV/0!</v>
      </c>
      <c r="AR29" s="881" t="e">
        <f t="shared" si="6"/>
        <v>#DIV/0!</v>
      </c>
      <c r="AS29" s="881" t="e">
        <f t="shared" si="6"/>
        <v>#DIV/0!</v>
      </c>
      <c r="AT29" s="881" t="e">
        <f t="shared" si="6"/>
        <v>#DIV/0!</v>
      </c>
      <c r="AU29" s="881" t="e">
        <f t="shared" si="6"/>
        <v>#DIV/0!</v>
      </c>
      <c r="AV29" s="881" t="e">
        <f t="shared" si="6"/>
        <v>#DIV/0!</v>
      </c>
      <c r="AW29" s="881" t="e">
        <f t="shared" si="6"/>
        <v>#DIV/0!</v>
      </c>
    </row>
    <row r="30" spans="1:49" ht="13.5" hidden="1" thickBot="1" x14ac:dyDescent="0.25">
      <c r="A30" s="863"/>
      <c r="B30" s="872" t="s">
        <v>27734</v>
      </c>
      <c r="C30" s="873" t="s">
        <v>27740</v>
      </c>
      <c r="D30" s="875">
        <v>3359.962</v>
      </c>
      <c r="E30" s="875">
        <v>1859.7620835935263</v>
      </c>
      <c r="F30" s="875"/>
      <c r="G30" s="875"/>
      <c r="H30" s="877">
        <v>3532.05</v>
      </c>
      <c r="I30" s="877">
        <v>1945.0468823200135</v>
      </c>
      <c r="J30" s="875"/>
      <c r="K30" s="875"/>
      <c r="L30" s="875">
        <v>4551.3600000000006</v>
      </c>
      <c r="M30" s="875">
        <v>2476.9225605332804</v>
      </c>
      <c r="N30" s="875"/>
      <c r="O30" s="875"/>
      <c r="P30" s="877">
        <v>5471.5499999999993</v>
      </c>
      <c r="Q30" s="877">
        <v>2953.7267634209652</v>
      </c>
      <c r="R30" s="875"/>
      <c r="S30" s="875"/>
      <c r="T30" s="875">
        <v>7039.9093599999997</v>
      </c>
      <c r="U30" s="875">
        <v>3778.3842931489262</v>
      </c>
      <c r="V30" s="875"/>
      <c r="W30" s="875"/>
      <c r="X30" s="877">
        <v>7754.3600000000006</v>
      </c>
      <c r="Y30" s="877">
        <v>4153.1382983188778</v>
      </c>
      <c r="Z30" s="875"/>
      <c r="AA30" s="875"/>
      <c r="AB30" s="875">
        <v>9538.6500000000015</v>
      </c>
      <c r="AC30" s="875">
        <v>5092.8025485741491</v>
      </c>
      <c r="AD30" s="879"/>
      <c r="AE30" s="879"/>
      <c r="AF30" s="889"/>
      <c r="AG30" s="881">
        <f t="shared" si="3"/>
        <v>1.8066622766648257</v>
      </c>
      <c r="AH30" s="881" t="e">
        <f t="shared" si="3"/>
        <v>#DIV/0!</v>
      </c>
      <c r="AI30" s="881">
        <f t="shared" si="4"/>
        <v>1.8159202393039702</v>
      </c>
      <c r="AM30" s="881">
        <f t="shared" si="5"/>
        <v>1.8375059731460053</v>
      </c>
      <c r="AQ30" s="881">
        <f t="shared" si="6"/>
        <v>1.8524225286373226</v>
      </c>
      <c r="AR30" s="881" t="e">
        <f t="shared" si="6"/>
        <v>#DIV/0!</v>
      </c>
      <c r="AS30" s="881" t="e">
        <f t="shared" si="6"/>
        <v>#DIV/0!</v>
      </c>
      <c r="AT30" s="881">
        <f t="shared" si="6"/>
        <v>0</v>
      </c>
      <c r="AU30" s="881">
        <f t="shared" si="6"/>
        <v>1.8632062844335244</v>
      </c>
      <c r="AV30" s="881" t="e">
        <f t="shared" si="6"/>
        <v>#DIV/0!</v>
      </c>
      <c r="AW30" s="881" t="e">
        <f t="shared" si="6"/>
        <v>#DIV/0!</v>
      </c>
    </row>
    <row r="31" spans="1:49" ht="13.5" hidden="1" thickBot="1" x14ac:dyDescent="0.25">
      <c r="A31" s="863"/>
      <c r="B31" s="872"/>
      <c r="C31" s="873"/>
      <c r="D31" s="875"/>
      <c r="E31" s="875"/>
      <c r="F31" s="875"/>
      <c r="G31" s="875"/>
      <c r="H31" s="877"/>
      <c r="I31" s="877"/>
      <c r="J31" s="875"/>
      <c r="K31" s="875"/>
      <c r="L31" s="875"/>
      <c r="M31" s="875"/>
      <c r="N31" s="875"/>
      <c r="O31" s="875"/>
      <c r="P31" s="877"/>
      <c r="Q31" s="877"/>
      <c r="R31" s="875"/>
      <c r="S31" s="875"/>
      <c r="T31" s="875"/>
      <c r="U31" s="875"/>
      <c r="V31" s="875"/>
      <c r="W31" s="875"/>
      <c r="X31" s="877"/>
      <c r="Y31" s="877"/>
      <c r="Z31" s="875"/>
      <c r="AA31" s="875"/>
      <c r="AB31" s="875"/>
      <c r="AC31" s="875"/>
      <c r="AD31" s="879"/>
      <c r="AE31" s="879"/>
      <c r="AF31" s="889"/>
      <c r="AG31" s="881" t="e">
        <f t="shared" si="3"/>
        <v>#DIV/0!</v>
      </c>
      <c r="AH31" s="881" t="e">
        <f t="shared" si="3"/>
        <v>#DIV/0!</v>
      </c>
      <c r="AI31" s="881" t="e">
        <f t="shared" si="4"/>
        <v>#DIV/0!</v>
      </c>
      <c r="AM31" s="881" t="e">
        <f t="shared" si="5"/>
        <v>#DIV/0!</v>
      </c>
      <c r="AQ31" s="881" t="e">
        <f t="shared" si="6"/>
        <v>#DIV/0!</v>
      </c>
      <c r="AR31" s="881" t="e">
        <f t="shared" si="6"/>
        <v>#DIV/0!</v>
      </c>
      <c r="AS31" s="881" t="e">
        <f t="shared" si="6"/>
        <v>#DIV/0!</v>
      </c>
      <c r="AT31" s="881" t="e">
        <f t="shared" si="6"/>
        <v>#DIV/0!</v>
      </c>
      <c r="AU31" s="881" t="e">
        <f t="shared" si="6"/>
        <v>#DIV/0!</v>
      </c>
      <c r="AV31" s="881" t="e">
        <f t="shared" si="6"/>
        <v>#DIV/0!</v>
      </c>
      <c r="AW31" s="881" t="e">
        <f t="shared" si="6"/>
        <v>#DIV/0!</v>
      </c>
    </row>
    <row r="32" spans="1:49" ht="13.5" hidden="1" thickBot="1" x14ac:dyDescent="0.25">
      <c r="A32" s="863"/>
      <c r="B32" s="872" t="s">
        <v>27735</v>
      </c>
      <c r="C32" s="873" t="s">
        <v>27740</v>
      </c>
      <c r="D32" s="875">
        <v>3867.402</v>
      </c>
      <c r="E32" s="875">
        <v>2141.6742563597422</v>
      </c>
      <c r="F32" s="875"/>
      <c r="G32" s="875"/>
      <c r="H32" s="877">
        <v>4083.3400000000006</v>
      </c>
      <c r="I32" s="877">
        <v>2251.3247793995583</v>
      </c>
      <c r="J32" s="875"/>
      <c r="K32" s="875"/>
      <c r="L32" s="875">
        <v>5553.47</v>
      </c>
      <c r="M32" s="875">
        <v>3033.6502486642321</v>
      </c>
      <c r="N32" s="875"/>
      <c r="O32" s="875"/>
      <c r="P32" s="877">
        <v>6994.4</v>
      </c>
      <c r="Q32" s="877">
        <v>3799.7631375066312</v>
      </c>
      <c r="R32" s="875"/>
      <c r="S32" s="875"/>
      <c r="T32" s="875">
        <v>8874.9893599999996</v>
      </c>
      <c r="U32" s="875">
        <v>4797.8733482549378</v>
      </c>
      <c r="V32" s="875"/>
      <c r="W32" s="875"/>
      <c r="X32" s="877">
        <v>9768.7800000000007</v>
      </c>
      <c r="Y32" s="877">
        <v>5272.2553551327692</v>
      </c>
      <c r="Z32" s="875"/>
      <c r="AA32" s="875"/>
      <c r="AB32" s="875">
        <v>13074.024132264978</v>
      </c>
      <c r="AC32" s="875">
        <v>6062.3711635210393</v>
      </c>
      <c r="AD32" s="879"/>
      <c r="AE32" s="879"/>
      <c r="AF32" s="889"/>
      <c r="AG32" s="881">
        <f t="shared" si="3"/>
        <v>1.8057844177356461</v>
      </c>
      <c r="AH32" s="881" t="e">
        <f t="shared" si="3"/>
        <v>#DIV/0!</v>
      </c>
      <c r="AI32" s="881">
        <f t="shared" si="4"/>
        <v>1.8137498584673561</v>
      </c>
      <c r="AM32" s="881">
        <f t="shared" si="5"/>
        <v>1.8306230266476129</v>
      </c>
      <c r="AQ32" s="881">
        <f t="shared" si="6"/>
        <v>1.8407463167795399</v>
      </c>
      <c r="AR32" s="881" t="e">
        <f t="shared" si="6"/>
        <v>#DIV/0!</v>
      </c>
      <c r="AS32" s="881" t="e">
        <f t="shared" si="6"/>
        <v>#DIV/0!</v>
      </c>
      <c r="AT32" s="881">
        <f t="shared" si="6"/>
        <v>0</v>
      </c>
      <c r="AU32" s="881">
        <f t="shared" si="6"/>
        <v>1.8497756643009289</v>
      </c>
      <c r="AV32" s="881" t="e">
        <f t="shared" si="6"/>
        <v>#DIV/0!</v>
      </c>
      <c r="AW32" s="881" t="e">
        <f t="shared" si="6"/>
        <v>#DIV/0!</v>
      </c>
    </row>
    <row r="33" spans="1:49" ht="13.5" hidden="1" thickBot="1" x14ac:dyDescent="0.25">
      <c r="A33" s="863"/>
      <c r="B33" s="872"/>
      <c r="C33" s="873"/>
      <c r="D33" s="875"/>
      <c r="E33" s="875"/>
      <c r="F33" s="875"/>
      <c r="G33" s="875"/>
      <c r="H33" s="877"/>
      <c r="I33" s="877"/>
      <c r="J33" s="875"/>
      <c r="K33" s="875"/>
      <c r="L33" s="875"/>
      <c r="M33" s="875"/>
      <c r="N33" s="875"/>
      <c r="O33" s="875"/>
      <c r="P33" s="877"/>
      <c r="Q33" s="877"/>
      <c r="R33" s="875"/>
      <c r="S33" s="875"/>
      <c r="T33" s="875"/>
      <c r="U33" s="875"/>
      <c r="V33" s="875"/>
      <c r="W33" s="875"/>
      <c r="X33" s="877"/>
      <c r="Y33" s="877"/>
      <c r="Z33" s="875"/>
      <c r="AA33" s="875"/>
      <c r="AB33" s="875"/>
      <c r="AC33" s="875"/>
      <c r="AD33" s="879"/>
      <c r="AE33" s="879"/>
      <c r="AF33" s="889"/>
      <c r="AG33" s="881" t="e">
        <f t="shared" si="3"/>
        <v>#DIV/0!</v>
      </c>
      <c r="AH33" s="881" t="e">
        <f t="shared" si="3"/>
        <v>#DIV/0!</v>
      </c>
      <c r="AI33" s="881" t="e">
        <f t="shared" si="4"/>
        <v>#DIV/0!</v>
      </c>
      <c r="AM33" s="881" t="e">
        <f t="shared" si="5"/>
        <v>#DIV/0!</v>
      </c>
      <c r="AQ33" s="881" t="e">
        <f t="shared" si="6"/>
        <v>#DIV/0!</v>
      </c>
      <c r="AR33" s="881" t="e">
        <f t="shared" si="6"/>
        <v>#DIV/0!</v>
      </c>
      <c r="AS33" s="881" t="e">
        <f t="shared" si="6"/>
        <v>#DIV/0!</v>
      </c>
      <c r="AT33" s="881" t="e">
        <f t="shared" si="6"/>
        <v>#DIV/0!</v>
      </c>
      <c r="AU33" s="881" t="e">
        <f t="shared" si="6"/>
        <v>#DIV/0!</v>
      </c>
      <c r="AV33" s="881" t="e">
        <f t="shared" si="6"/>
        <v>#DIV/0!</v>
      </c>
      <c r="AW33" s="881" t="e">
        <f t="shared" si="6"/>
        <v>#DIV/0!</v>
      </c>
    </row>
    <row r="34" spans="1:49" ht="13.5" hidden="1" thickBot="1" x14ac:dyDescent="0.25">
      <c r="A34" s="863"/>
      <c r="B34" s="872" t="s">
        <v>27736</v>
      </c>
      <c r="C34" s="873" t="s">
        <v>27740</v>
      </c>
      <c r="D34" s="875">
        <v>4613.4120000000003</v>
      </c>
      <c r="E34" s="875">
        <v>2556.1267741382135</v>
      </c>
      <c r="F34" s="875"/>
      <c r="G34" s="875"/>
      <c r="H34" s="877">
        <v>4917.9799999999996</v>
      </c>
      <c r="I34" s="877">
        <v>2715.0058763241414</v>
      </c>
      <c r="J34" s="875"/>
      <c r="K34" s="875"/>
      <c r="L34" s="875">
        <v>6918.55</v>
      </c>
      <c r="M34" s="875">
        <v>3792.0283284860334</v>
      </c>
      <c r="N34" s="875"/>
      <c r="O34" s="875"/>
      <c r="P34" s="877">
        <v>8970.7709497222859</v>
      </c>
      <c r="Q34" s="877">
        <v>4580.9904196745756</v>
      </c>
      <c r="R34" s="875"/>
      <c r="S34" s="875"/>
      <c r="T34" s="875">
        <v>10915.684572066224</v>
      </c>
      <c r="U34" s="875">
        <v>5801.005399376415</v>
      </c>
      <c r="V34" s="875"/>
      <c r="W34" s="875"/>
      <c r="X34" s="877">
        <v>11828.660106859386</v>
      </c>
      <c r="Y34" s="877">
        <v>6385.4841109779427</v>
      </c>
      <c r="Z34" s="875"/>
      <c r="AA34" s="875"/>
      <c r="AB34" s="875">
        <v>15862.242943960189</v>
      </c>
      <c r="AC34" s="875">
        <v>7678.4287650704846</v>
      </c>
      <c r="AD34" s="879"/>
      <c r="AE34" s="879"/>
      <c r="AF34" s="889"/>
      <c r="AG34" s="881">
        <f t="shared" si="3"/>
        <v>1.8048447544450885</v>
      </c>
      <c r="AH34" s="881" t="e">
        <f t="shared" si="3"/>
        <v>#DIV/0!</v>
      </c>
      <c r="AI34" s="881">
        <f t="shared" si="4"/>
        <v>1.8114067608054223</v>
      </c>
      <c r="AM34" s="881">
        <f t="shared" si="5"/>
        <v>1.8244985007172216</v>
      </c>
      <c r="AQ34" s="881">
        <f t="shared" si="6"/>
        <v>1.9582601419977541</v>
      </c>
      <c r="AR34" s="881" t="e">
        <f t="shared" si="6"/>
        <v>#DIV/0!</v>
      </c>
      <c r="AS34" s="881" t="e">
        <f t="shared" si="6"/>
        <v>#DIV/0!</v>
      </c>
      <c r="AT34" s="881">
        <f t="shared" si="6"/>
        <v>0</v>
      </c>
      <c r="AU34" s="881">
        <f t="shared" si="6"/>
        <v>1.8816884006416572</v>
      </c>
      <c r="AV34" s="881" t="e">
        <f t="shared" si="6"/>
        <v>#DIV/0!</v>
      </c>
      <c r="AW34" s="881" t="e">
        <f t="shared" si="6"/>
        <v>#DIV/0!</v>
      </c>
    </row>
    <row r="35" spans="1:49" ht="13.5" hidden="1" thickBot="1" x14ac:dyDescent="0.25">
      <c r="A35" s="863"/>
      <c r="B35" s="872"/>
      <c r="C35" s="873"/>
      <c r="D35" s="875"/>
      <c r="E35" s="875"/>
      <c r="F35" s="875"/>
      <c r="G35" s="875"/>
      <c r="H35" s="877"/>
      <c r="I35" s="877"/>
      <c r="J35" s="875"/>
      <c r="K35" s="875"/>
      <c r="L35" s="875"/>
      <c r="M35" s="875"/>
      <c r="N35" s="875"/>
      <c r="O35" s="875"/>
      <c r="P35" s="877"/>
      <c r="Q35" s="877"/>
      <c r="R35" s="875"/>
      <c r="S35" s="875"/>
      <c r="T35" s="875"/>
      <c r="U35" s="875"/>
      <c r="V35" s="875"/>
      <c r="W35" s="875"/>
      <c r="X35" s="877"/>
      <c r="Y35" s="877"/>
      <c r="Z35" s="875"/>
      <c r="AA35" s="875"/>
      <c r="AB35" s="875"/>
      <c r="AC35" s="875"/>
      <c r="AD35" s="879"/>
      <c r="AE35" s="879"/>
      <c r="AF35" s="889"/>
      <c r="AG35" s="881" t="e">
        <f t="shared" si="3"/>
        <v>#DIV/0!</v>
      </c>
      <c r="AH35" s="881" t="e">
        <f t="shared" si="3"/>
        <v>#DIV/0!</v>
      </c>
      <c r="AI35" s="881" t="e">
        <f t="shared" si="4"/>
        <v>#DIV/0!</v>
      </c>
      <c r="AM35" s="881" t="e">
        <f t="shared" si="5"/>
        <v>#DIV/0!</v>
      </c>
      <c r="AQ35" s="881" t="e">
        <f t="shared" si="6"/>
        <v>#DIV/0!</v>
      </c>
      <c r="AR35" s="881" t="e">
        <f t="shared" si="6"/>
        <v>#DIV/0!</v>
      </c>
      <c r="AS35" s="881" t="e">
        <f t="shared" si="6"/>
        <v>#DIV/0!</v>
      </c>
      <c r="AT35" s="881" t="e">
        <f t="shared" si="6"/>
        <v>#DIV/0!</v>
      </c>
      <c r="AU35" s="881" t="e">
        <f t="shared" si="6"/>
        <v>#DIV/0!</v>
      </c>
      <c r="AV35" s="881" t="e">
        <f t="shared" si="6"/>
        <v>#DIV/0!</v>
      </c>
      <c r="AW35" s="881" t="e">
        <f t="shared" si="6"/>
        <v>#DIV/0!</v>
      </c>
    </row>
    <row r="36" spans="1:49" ht="13.5" hidden="1" thickBot="1" x14ac:dyDescent="0.25">
      <c r="A36" s="863"/>
      <c r="B36" s="882" t="s">
        <v>27737</v>
      </c>
      <c r="C36" s="873" t="s">
        <v>27740</v>
      </c>
      <c r="D36" s="875">
        <v>4984.6419999999998</v>
      </c>
      <c r="E36" s="875">
        <v>2762.363082069553</v>
      </c>
      <c r="F36" s="875"/>
      <c r="G36" s="875"/>
      <c r="H36" s="877">
        <v>5299.08</v>
      </c>
      <c r="I36" s="877">
        <v>2926.7318960328398</v>
      </c>
      <c r="J36" s="875"/>
      <c r="K36" s="875"/>
      <c r="L36" s="875">
        <v>7976.72</v>
      </c>
      <c r="M36" s="875">
        <v>4379.8966708995113</v>
      </c>
      <c r="N36" s="875"/>
      <c r="O36" s="875"/>
      <c r="P36" s="877">
        <v>10034.079738702776</v>
      </c>
      <c r="Q36" s="877">
        <v>5290.9984077227082</v>
      </c>
      <c r="R36" s="875"/>
      <c r="S36" s="875"/>
      <c r="T36" s="875">
        <v>12242.789359999999</v>
      </c>
      <c r="U36" s="875">
        <v>6668.8709264068784</v>
      </c>
      <c r="V36" s="875"/>
      <c r="W36" s="875"/>
      <c r="X36" s="877">
        <v>13817.53</v>
      </c>
      <c r="Y36" s="877">
        <v>7521.574074955126</v>
      </c>
      <c r="Z36" s="875"/>
      <c r="AA36" s="875"/>
      <c r="AB36" s="875">
        <v>17183.640625817534</v>
      </c>
      <c r="AC36" s="875">
        <v>9103.5440897734916</v>
      </c>
      <c r="AD36" s="879"/>
      <c r="AE36" s="879"/>
      <c r="AF36" s="889"/>
      <c r="AG36" s="881">
        <f t="shared" si="3"/>
        <v>1.8044847298876885</v>
      </c>
      <c r="AH36" s="881" t="e">
        <f t="shared" si="3"/>
        <v>#DIV/0!</v>
      </c>
      <c r="AI36" s="881">
        <f t="shared" si="4"/>
        <v>1.8105792358988733</v>
      </c>
      <c r="AM36" s="881">
        <f t="shared" si="5"/>
        <v>1.8212119141983776</v>
      </c>
      <c r="AQ36" s="881">
        <f t="shared" si="6"/>
        <v>1.8964435377748547</v>
      </c>
      <c r="AR36" s="881" t="e">
        <f t="shared" si="6"/>
        <v>#DIV/0!</v>
      </c>
      <c r="AS36" s="881" t="e">
        <f t="shared" si="6"/>
        <v>#DIV/0!</v>
      </c>
      <c r="AT36" s="881">
        <f t="shared" si="6"/>
        <v>0</v>
      </c>
      <c r="AU36" s="881">
        <f t="shared" si="6"/>
        <v>1.8358114132216821</v>
      </c>
      <c r="AV36" s="881" t="e">
        <f t="shared" si="6"/>
        <v>#DIV/0!</v>
      </c>
      <c r="AW36" s="881" t="e">
        <f t="shared" si="6"/>
        <v>#DIV/0!</v>
      </c>
    </row>
    <row r="37" spans="1:49" ht="13.5" hidden="1" thickBot="1" x14ac:dyDescent="0.25">
      <c r="A37" s="863"/>
      <c r="B37" s="872"/>
      <c r="C37" s="873"/>
      <c r="D37" s="875"/>
      <c r="E37" s="875"/>
      <c r="F37" s="875"/>
      <c r="G37" s="875"/>
      <c r="H37" s="877"/>
      <c r="I37" s="877"/>
      <c r="J37" s="877"/>
      <c r="K37" s="877"/>
      <c r="L37" s="875"/>
      <c r="M37" s="875"/>
      <c r="N37" s="875"/>
      <c r="O37" s="875"/>
      <c r="P37" s="877"/>
      <c r="Q37" s="877"/>
      <c r="R37" s="877"/>
      <c r="S37" s="877"/>
      <c r="T37" s="875"/>
      <c r="U37" s="875"/>
      <c r="V37" s="875"/>
      <c r="W37" s="875"/>
      <c r="X37" s="877"/>
      <c r="Y37" s="877"/>
      <c r="Z37" s="877"/>
      <c r="AA37" s="877"/>
      <c r="AB37" s="875"/>
      <c r="AC37" s="875"/>
      <c r="AD37" s="879"/>
      <c r="AE37" s="879"/>
      <c r="AF37" s="889"/>
      <c r="AG37" s="881" t="e">
        <f t="shared" si="3"/>
        <v>#DIV/0!</v>
      </c>
      <c r="AH37" s="881" t="e">
        <f t="shared" si="3"/>
        <v>#DIV/0!</v>
      </c>
      <c r="AI37" s="881" t="e">
        <f t="shared" si="4"/>
        <v>#DIV/0!</v>
      </c>
      <c r="AM37" s="881" t="e">
        <f t="shared" si="5"/>
        <v>#DIV/0!</v>
      </c>
      <c r="AQ37" s="881" t="e">
        <f t="shared" si="6"/>
        <v>#DIV/0!</v>
      </c>
      <c r="AR37" s="881" t="e">
        <f t="shared" si="6"/>
        <v>#DIV/0!</v>
      </c>
      <c r="AS37" s="881" t="e">
        <f t="shared" si="6"/>
        <v>#DIV/0!</v>
      </c>
      <c r="AT37" s="881" t="e">
        <f t="shared" si="6"/>
        <v>#DIV/0!</v>
      </c>
      <c r="AU37" s="881" t="e">
        <f t="shared" si="6"/>
        <v>#DIV/0!</v>
      </c>
      <c r="AV37" s="881" t="e">
        <f t="shared" si="6"/>
        <v>#DIV/0!</v>
      </c>
      <c r="AW37" s="881" t="e">
        <f t="shared" si="6"/>
        <v>#DIV/0!</v>
      </c>
    </row>
    <row r="38" spans="1:49" ht="13.5" hidden="1" thickBot="1" x14ac:dyDescent="0.25">
      <c r="A38" s="863"/>
      <c r="B38" s="882" t="s">
        <v>27741</v>
      </c>
      <c r="C38" s="873" t="s">
        <v>27740</v>
      </c>
      <c r="D38" s="875">
        <v>5220.5320000000002</v>
      </c>
      <c r="E38" s="875">
        <v>2893.4133991763802</v>
      </c>
      <c r="F38" s="875"/>
      <c r="G38" s="875"/>
      <c r="H38" s="877">
        <v>5554.73</v>
      </c>
      <c r="I38" s="877">
        <v>3068.7564097303271</v>
      </c>
      <c r="J38" s="877"/>
      <c r="K38" s="877"/>
      <c r="L38" s="875">
        <v>8300.9500000000007</v>
      </c>
      <c r="M38" s="875">
        <v>4560.0326281173384</v>
      </c>
      <c r="N38" s="875"/>
      <c r="O38" s="875"/>
      <c r="P38" s="877">
        <v>9980.869999999999</v>
      </c>
      <c r="Q38" s="877">
        <v>5458.9121601294664</v>
      </c>
      <c r="R38" s="877"/>
      <c r="S38" s="877"/>
      <c r="T38" s="875">
        <v>13123.57936</v>
      </c>
      <c r="U38" s="875">
        <v>7158.1991137322402</v>
      </c>
      <c r="V38" s="875"/>
      <c r="W38" s="875"/>
      <c r="X38" s="877">
        <v>14524.99</v>
      </c>
      <c r="Y38" s="877">
        <v>7914.601028992015</v>
      </c>
      <c r="Z38" s="877"/>
      <c r="AA38" s="877"/>
      <c r="AB38" s="875"/>
      <c r="AC38" s="875"/>
      <c r="AD38" s="879"/>
      <c r="AE38" s="879"/>
      <c r="AF38" s="889"/>
      <c r="AG38" s="881">
        <f t="shared" si="3"/>
        <v>1.8042814073806537</v>
      </c>
      <c r="AH38" s="881" t="e">
        <f t="shared" si="3"/>
        <v>#DIV/0!</v>
      </c>
      <c r="AI38" s="881">
        <f t="shared" si="4"/>
        <v>1.8100915349250977</v>
      </c>
      <c r="AM38" s="881">
        <f t="shared" si="5"/>
        <v>1.8203707466512455</v>
      </c>
      <c r="AQ38" s="881">
        <f t="shared" si="6"/>
        <v>1.8283624479063403</v>
      </c>
      <c r="AR38" s="881" t="e">
        <f t="shared" si="6"/>
        <v>#DIV/0!</v>
      </c>
      <c r="AS38" s="881" t="e">
        <f t="shared" si="6"/>
        <v>#DIV/0!</v>
      </c>
      <c r="AT38" s="881">
        <f t="shared" si="6"/>
        <v>0</v>
      </c>
      <c r="AU38" s="881">
        <f t="shared" si="6"/>
        <v>1.8333632735674836</v>
      </c>
      <c r="AV38" s="881" t="e">
        <f t="shared" si="6"/>
        <v>#DIV/0!</v>
      </c>
      <c r="AW38" s="881" t="e">
        <f t="shared" si="6"/>
        <v>#DIV/0!</v>
      </c>
    </row>
    <row r="39" spans="1:49" x14ac:dyDescent="0.2">
      <c r="P39" s="940" t="s">
        <v>27767</v>
      </c>
      <c r="AB39" s="855"/>
      <c r="AD39" s="855"/>
      <c r="AE39" s="855"/>
      <c r="AG39" s="881"/>
      <c r="AH39" s="881"/>
      <c r="AI39" s="881" t="e">
        <f t="shared" si="4"/>
        <v>#DIV/0!</v>
      </c>
      <c r="AM39" s="881" t="e">
        <f t="shared" si="5"/>
        <v>#DIV/0!</v>
      </c>
      <c r="AQ39" s="881" t="e">
        <f t="shared" si="6"/>
        <v>#VALUE!</v>
      </c>
      <c r="AR39" s="881" t="e">
        <f t="shared" si="6"/>
        <v>#DIV/0!</v>
      </c>
      <c r="AS39" s="881" t="e">
        <f t="shared" si="6"/>
        <v>#DIV/0!</v>
      </c>
      <c r="AT39" s="881" t="e">
        <f t="shared" si="6"/>
        <v>#DIV/0!</v>
      </c>
      <c r="AU39" s="881" t="e">
        <f t="shared" si="6"/>
        <v>#DIV/0!</v>
      </c>
      <c r="AV39" s="881" t="e">
        <f t="shared" si="6"/>
        <v>#DIV/0!</v>
      </c>
      <c r="AW39" s="881" t="e">
        <f t="shared" si="6"/>
        <v>#DIV/0!</v>
      </c>
    </row>
    <row r="40" spans="1:49" ht="15.75" x14ac:dyDescent="0.25">
      <c r="A40" s="854"/>
      <c r="B40" s="2899" t="s">
        <v>27762</v>
      </c>
      <c r="C40" s="2899"/>
      <c r="D40" s="2899"/>
      <c r="E40" s="2899"/>
      <c r="F40" s="2899"/>
      <c r="G40" s="2899"/>
      <c r="H40" s="2899"/>
      <c r="I40" s="890" t="s">
        <v>27744</v>
      </c>
      <c r="J40" s="857"/>
      <c r="K40" s="857"/>
      <c r="M40" s="857"/>
      <c r="N40" s="857"/>
      <c r="O40" s="857"/>
      <c r="P40" s="858"/>
      <c r="Q40" s="858"/>
      <c r="R40" s="858"/>
      <c r="S40" s="858"/>
      <c r="T40" s="858"/>
      <c r="U40" s="858"/>
      <c r="V40" s="858"/>
      <c r="W40" s="858"/>
      <c r="AB40" s="855"/>
      <c r="AG40" s="881"/>
      <c r="AH40" s="881"/>
      <c r="AI40" s="881" t="e">
        <f t="shared" si="4"/>
        <v>#VALUE!</v>
      </c>
      <c r="AM40" s="881" t="e">
        <f t="shared" si="5"/>
        <v>#DIV/0!</v>
      </c>
      <c r="AQ40" s="881" t="e">
        <f t="shared" si="6"/>
        <v>#DIV/0!</v>
      </c>
      <c r="AR40" s="881" t="e">
        <f t="shared" si="6"/>
        <v>#DIV/0!</v>
      </c>
      <c r="AS40" s="881" t="e">
        <f t="shared" si="6"/>
        <v>#DIV/0!</v>
      </c>
      <c r="AT40" s="881" t="e">
        <f t="shared" si="6"/>
        <v>#DIV/0!</v>
      </c>
      <c r="AU40" s="881" t="e">
        <f t="shared" si="6"/>
        <v>#DIV/0!</v>
      </c>
      <c r="AV40" s="881" t="e">
        <f t="shared" si="6"/>
        <v>#DIV/0!</v>
      </c>
      <c r="AW40" s="881" t="e">
        <f t="shared" si="6"/>
        <v>#DIV/0!</v>
      </c>
    </row>
    <row r="41" spans="1:49" ht="16.5" thickBot="1" x14ac:dyDescent="0.3">
      <c r="A41" s="854"/>
      <c r="B41" s="859" t="s">
        <v>27764</v>
      </c>
      <c r="C41" s="858"/>
      <c r="D41" s="935"/>
      <c r="E41" s="935"/>
      <c r="F41" s="935"/>
      <c r="G41" s="935"/>
      <c r="H41" s="935"/>
      <c r="I41" s="935"/>
      <c r="J41" s="935"/>
      <c r="K41" s="935"/>
      <c r="L41" s="935"/>
      <c r="M41" s="935"/>
      <c r="N41" s="935"/>
      <c r="O41" s="935"/>
      <c r="P41" s="935"/>
      <c r="Q41" s="858"/>
      <c r="R41" s="858"/>
      <c r="S41" s="858"/>
      <c r="T41" s="858"/>
      <c r="U41" s="858"/>
      <c r="V41" s="858"/>
      <c r="W41" s="858"/>
      <c r="AB41" s="855"/>
      <c r="AG41" s="881"/>
      <c r="AH41" s="881"/>
      <c r="AI41" s="881" t="e">
        <f t="shared" si="4"/>
        <v>#DIV/0!</v>
      </c>
      <c r="AM41" s="881" t="e">
        <f t="shared" si="5"/>
        <v>#DIV/0!</v>
      </c>
      <c r="AQ41" s="881" t="e">
        <f t="shared" si="6"/>
        <v>#DIV/0!</v>
      </c>
      <c r="AR41" s="881" t="e">
        <f t="shared" si="6"/>
        <v>#DIV/0!</v>
      </c>
      <c r="AS41" s="881" t="e">
        <f t="shared" si="6"/>
        <v>#DIV/0!</v>
      </c>
      <c r="AT41" s="881" t="e">
        <f t="shared" si="6"/>
        <v>#DIV/0!</v>
      </c>
      <c r="AU41" s="881" t="e">
        <f t="shared" si="6"/>
        <v>#DIV/0!</v>
      </c>
      <c r="AV41" s="881" t="e">
        <f t="shared" si="6"/>
        <v>#DIV/0!</v>
      </c>
      <c r="AW41" s="881" t="e">
        <f t="shared" si="6"/>
        <v>#DIV/0!</v>
      </c>
    </row>
    <row r="42" spans="1:49" ht="21" thickBot="1" x14ac:dyDescent="0.35">
      <c r="A42" s="860"/>
      <c r="B42" s="861" t="s">
        <v>27728</v>
      </c>
      <c r="C42" s="2927" t="s">
        <v>27729</v>
      </c>
      <c r="D42" s="2929" t="s">
        <v>27730</v>
      </c>
      <c r="E42" s="2930"/>
      <c r="F42" s="2930"/>
      <c r="G42" s="2930"/>
      <c r="H42" s="2930"/>
      <c r="I42" s="2930"/>
      <c r="J42" s="2930"/>
      <c r="K42" s="2930"/>
      <c r="L42" s="2930"/>
      <c r="M42" s="2930"/>
      <c r="N42" s="2930"/>
      <c r="O42" s="2930"/>
      <c r="P42" s="2930"/>
      <c r="Q42" s="2930"/>
      <c r="R42" s="2930"/>
      <c r="S42" s="2930"/>
      <c r="T42" s="2930"/>
      <c r="U42" s="2930"/>
      <c r="V42" s="2930"/>
      <c r="W42" s="2930"/>
      <c r="X42" s="2930"/>
      <c r="Y42" s="2930"/>
      <c r="Z42" s="2930"/>
      <c r="AA42" s="2930"/>
      <c r="AB42" s="2930"/>
      <c r="AC42" s="2931"/>
      <c r="AD42" s="862"/>
      <c r="AE42" s="862"/>
      <c r="AF42" s="862"/>
      <c r="AG42" s="881"/>
      <c r="AH42" s="881"/>
      <c r="AI42" s="881" t="e">
        <f t="shared" si="4"/>
        <v>#DIV/0!</v>
      </c>
      <c r="AM42" s="881" t="e">
        <f t="shared" si="5"/>
        <v>#DIV/0!</v>
      </c>
      <c r="AQ42" s="881" t="e">
        <f t="shared" si="6"/>
        <v>#DIV/0!</v>
      </c>
      <c r="AR42" s="881" t="e">
        <f t="shared" si="6"/>
        <v>#DIV/0!</v>
      </c>
      <c r="AS42" s="881" t="e">
        <f t="shared" si="6"/>
        <v>#DIV/0!</v>
      </c>
      <c r="AT42" s="881" t="e">
        <f t="shared" si="6"/>
        <v>#DIV/0!</v>
      </c>
      <c r="AU42" s="881" t="e">
        <f t="shared" si="6"/>
        <v>#DIV/0!</v>
      </c>
      <c r="AV42" s="881" t="e">
        <f t="shared" si="6"/>
        <v>#DIV/0!</v>
      </c>
      <c r="AW42" s="881" t="e">
        <f t="shared" si="6"/>
        <v>#DIV/0!</v>
      </c>
    </row>
    <row r="43" spans="1:49" ht="13.5" thickBot="1" x14ac:dyDescent="0.25">
      <c r="A43" s="863"/>
      <c r="B43" s="864" t="s">
        <v>27731</v>
      </c>
      <c r="C43" s="2928"/>
      <c r="D43" s="2934" t="s">
        <v>27732</v>
      </c>
      <c r="E43" s="2935"/>
      <c r="F43" s="865"/>
      <c r="G43" s="865"/>
      <c r="H43" s="2932" t="s">
        <v>27733</v>
      </c>
      <c r="I43" s="2933"/>
      <c r="J43" s="866"/>
      <c r="K43" s="866"/>
      <c r="L43" s="2934" t="s">
        <v>27734</v>
      </c>
      <c r="M43" s="2935"/>
      <c r="N43" s="865"/>
      <c r="O43" s="865"/>
      <c r="P43" s="2932" t="s">
        <v>27735</v>
      </c>
      <c r="Q43" s="2933"/>
      <c r="R43" s="866"/>
      <c r="S43" s="866"/>
      <c r="T43" s="2934" t="s">
        <v>27736</v>
      </c>
      <c r="U43" s="2935"/>
      <c r="V43" s="865"/>
      <c r="W43" s="865"/>
      <c r="X43" s="2932" t="s">
        <v>27737</v>
      </c>
      <c r="Y43" s="2933"/>
      <c r="Z43" s="866"/>
      <c r="AA43" s="866"/>
      <c r="AB43" s="2934"/>
      <c r="AC43" s="2935"/>
      <c r="AD43" s="867"/>
      <c r="AE43" s="867"/>
      <c r="AF43" s="868"/>
      <c r="AG43" s="881"/>
      <c r="AH43" s="881"/>
      <c r="AI43" s="881" t="e">
        <f t="shared" si="4"/>
        <v>#VALUE!</v>
      </c>
      <c r="AM43" s="881" t="e">
        <f t="shared" si="5"/>
        <v>#VALUE!</v>
      </c>
      <c r="AQ43" s="881" t="e">
        <f t="shared" si="6"/>
        <v>#VALUE!</v>
      </c>
      <c r="AR43" s="881" t="e">
        <f t="shared" si="6"/>
        <v>#DIV/0!</v>
      </c>
      <c r="AS43" s="881" t="e">
        <f t="shared" si="6"/>
        <v>#DIV/0!</v>
      </c>
      <c r="AT43" s="881" t="e">
        <f t="shared" si="6"/>
        <v>#VALUE!</v>
      </c>
      <c r="AU43" s="881" t="e">
        <f t="shared" si="6"/>
        <v>#VALUE!</v>
      </c>
      <c r="AV43" s="881" t="e">
        <f t="shared" si="6"/>
        <v>#DIV/0!</v>
      </c>
      <c r="AW43" s="881" t="e">
        <f t="shared" si="6"/>
        <v>#DIV/0!</v>
      </c>
    </row>
    <row r="44" spans="1:49" ht="13.5" thickBot="1" x14ac:dyDescent="0.25">
      <c r="A44" s="863"/>
      <c r="B44" s="869"/>
      <c r="C44" s="869"/>
      <c r="D44" s="869" t="s">
        <v>27739</v>
      </c>
      <c r="E44" s="869" t="s">
        <v>27725</v>
      </c>
      <c r="F44" s="869"/>
      <c r="G44" s="869"/>
      <c r="H44" s="869" t="s">
        <v>27739</v>
      </c>
      <c r="I44" s="869" t="s">
        <v>27725</v>
      </c>
      <c r="J44" s="869"/>
      <c r="K44" s="869"/>
      <c r="L44" s="869" t="s">
        <v>27739</v>
      </c>
      <c r="M44" s="869" t="s">
        <v>27725</v>
      </c>
      <c r="N44" s="869"/>
      <c r="O44" s="869"/>
      <c r="P44" s="869" t="s">
        <v>27739</v>
      </c>
      <c r="Q44" s="869" t="s">
        <v>27725</v>
      </c>
      <c r="R44" s="869"/>
      <c r="S44" s="869"/>
      <c r="T44" s="869" t="s">
        <v>27739</v>
      </c>
      <c r="U44" s="869" t="s">
        <v>27725</v>
      </c>
      <c r="V44" s="869"/>
      <c r="W44" s="869"/>
      <c r="X44" s="869" t="s">
        <v>27739</v>
      </c>
      <c r="Y44" s="869" t="s">
        <v>27725</v>
      </c>
      <c r="Z44" s="869"/>
      <c r="AA44" s="869"/>
      <c r="AB44" s="869" t="s">
        <v>27739</v>
      </c>
      <c r="AC44" s="869" t="s">
        <v>27725</v>
      </c>
      <c r="AD44" s="870"/>
      <c r="AE44" s="870"/>
      <c r="AF44" s="871"/>
      <c r="AG44" s="881"/>
      <c r="AH44" s="881"/>
      <c r="AI44" s="881" t="e">
        <f t="shared" si="4"/>
        <v>#VALUE!</v>
      </c>
      <c r="AM44" s="881" t="e">
        <f t="shared" si="5"/>
        <v>#VALUE!</v>
      </c>
      <c r="AQ44" s="881" t="e">
        <f t="shared" si="6"/>
        <v>#VALUE!</v>
      </c>
      <c r="AR44" s="881" t="e">
        <f t="shared" si="6"/>
        <v>#VALUE!</v>
      </c>
      <c r="AS44" s="881" t="e">
        <f t="shared" si="6"/>
        <v>#DIV/0!</v>
      </c>
      <c r="AT44" s="881" t="e">
        <f t="shared" si="6"/>
        <v>#VALUE!</v>
      </c>
      <c r="AU44" s="881" t="e">
        <f t="shared" si="6"/>
        <v>#VALUE!</v>
      </c>
      <c r="AV44" s="881" t="e">
        <f t="shared" si="6"/>
        <v>#VALUE!</v>
      </c>
      <c r="AW44" s="881" t="e">
        <f t="shared" si="6"/>
        <v>#DIV/0!</v>
      </c>
    </row>
    <row r="45" spans="1:49" ht="13.5" hidden="1" thickBot="1" x14ac:dyDescent="0.25">
      <c r="A45" s="863"/>
      <c r="B45" s="872" t="s">
        <v>27732</v>
      </c>
      <c r="C45" s="873" t="s">
        <v>27740</v>
      </c>
      <c r="D45" s="875">
        <v>2759.4941269999999</v>
      </c>
      <c r="E45" s="878">
        <v>1508.3478667188469</v>
      </c>
      <c r="F45" s="875"/>
      <c r="G45" s="875"/>
      <c r="H45" s="877">
        <v>2865.1400000000003</v>
      </c>
      <c r="I45" s="877">
        <v>1591.7474120047218</v>
      </c>
      <c r="J45" s="877"/>
      <c r="K45" s="877"/>
      <c r="L45" s="875">
        <v>3232.3500000000004</v>
      </c>
      <c r="M45" s="875">
        <v>1795.7503479072595</v>
      </c>
      <c r="N45" s="875"/>
      <c r="O45" s="875"/>
      <c r="P45" s="877">
        <v>3959.9934451599997</v>
      </c>
      <c r="Q45" s="877">
        <v>2053.7919505804498</v>
      </c>
      <c r="R45" s="877"/>
      <c r="S45" s="877"/>
      <c r="T45" s="875">
        <v>4300.817099679999</v>
      </c>
      <c r="U45" s="875">
        <v>2382.5615992473126</v>
      </c>
      <c r="V45" s="875"/>
      <c r="W45" s="875"/>
      <c r="X45" s="877">
        <v>4510.33</v>
      </c>
      <c r="Y45" s="877">
        <v>2505.7408342226258</v>
      </c>
      <c r="Z45" s="877"/>
      <c r="AA45" s="877"/>
      <c r="AB45" s="875"/>
      <c r="AC45" s="875"/>
      <c r="AD45" s="879"/>
      <c r="AE45" s="879"/>
      <c r="AF45" s="889"/>
      <c r="AG45" s="881">
        <f t="shared" si="3"/>
        <v>1.8294812409572387</v>
      </c>
      <c r="AH45" s="881" t="e">
        <f t="shared" si="3"/>
        <v>#DIV/0!</v>
      </c>
      <c r="AI45" s="881">
        <f t="shared" si="4"/>
        <v>1.7999966441858435</v>
      </c>
      <c r="AM45" s="881">
        <f t="shared" si="5"/>
        <v>1.7999996512694163</v>
      </c>
      <c r="AQ45" s="881">
        <f t="shared" si="6"/>
        <v>1.928137581823131</v>
      </c>
      <c r="AR45" s="881" t="e">
        <f t="shared" si="6"/>
        <v>#DIV/0!</v>
      </c>
      <c r="AS45" s="881" t="e">
        <f t="shared" si="6"/>
        <v>#DIV/0!</v>
      </c>
      <c r="AT45" s="881">
        <f t="shared" si="6"/>
        <v>0</v>
      </c>
      <c r="AU45" s="881">
        <f t="shared" si="6"/>
        <v>1.8051231502424501</v>
      </c>
      <c r="AV45" s="881" t="e">
        <f t="shared" si="6"/>
        <v>#DIV/0!</v>
      </c>
      <c r="AW45" s="881" t="e">
        <f t="shared" si="6"/>
        <v>#DIV/0!</v>
      </c>
    </row>
    <row r="46" spans="1:49" ht="13.5" hidden="1" thickBot="1" x14ac:dyDescent="0.25">
      <c r="A46" s="863"/>
      <c r="B46" s="872"/>
      <c r="C46" s="873"/>
      <c r="D46" s="875"/>
      <c r="E46" s="875"/>
      <c r="F46" s="875"/>
      <c r="G46" s="875"/>
      <c r="H46" s="877"/>
      <c r="I46" s="877"/>
      <c r="J46" s="877"/>
      <c r="K46" s="877"/>
      <c r="L46" s="875"/>
      <c r="M46" s="875"/>
      <c r="N46" s="875"/>
      <c r="O46" s="875"/>
      <c r="P46" s="877"/>
      <c r="Q46" s="877"/>
      <c r="R46" s="877"/>
      <c r="S46" s="877"/>
      <c r="T46" s="875"/>
      <c r="U46" s="875"/>
      <c r="V46" s="875"/>
      <c r="W46" s="875"/>
      <c r="X46" s="877"/>
      <c r="Y46" s="877"/>
      <c r="Z46" s="877"/>
      <c r="AA46" s="877"/>
      <c r="AB46" s="875"/>
      <c r="AC46" s="875"/>
      <c r="AD46" s="879"/>
      <c r="AE46" s="879"/>
      <c r="AF46" s="889"/>
      <c r="AG46" s="881" t="e">
        <f t="shared" si="3"/>
        <v>#DIV/0!</v>
      </c>
      <c r="AH46" s="881" t="e">
        <f t="shared" si="3"/>
        <v>#DIV/0!</v>
      </c>
      <c r="AI46" s="881" t="e">
        <f t="shared" si="4"/>
        <v>#DIV/0!</v>
      </c>
      <c r="AM46" s="881" t="e">
        <f t="shared" si="5"/>
        <v>#DIV/0!</v>
      </c>
      <c r="AQ46" s="881" t="e">
        <f t="shared" si="6"/>
        <v>#DIV/0!</v>
      </c>
      <c r="AR46" s="881" t="e">
        <f t="shared" si="6"/>
        <v>#DIV/0!</v>
      </c>
      <c r="AS46" s="881" t="e">
        <f t="shared" si="6"/>
        <v>#DIV/0!</v>
      </c>
      <c r="AT46" s="881" t="e">
        <f t="shared" si="6"/>
        <v>#DIV/0!</v>
      </c>
      <c r="AU46" s="881" t="e">
        <f t="shared" si="6"/>
        <v>#DIV/0!</v>
      </c>
      <c r="AV46" s="881" t="e">
        <f t="shared" si="6"/>
        <v>#DIV/0!</v>
      </c>
      <c r="AW46" s="881" t="e">
        <f t="shared" si="6"/>
        <v>#DIV/0!</v>
      </c>
    </row>
    <row r="47" spans="1:49" ht="13.5" thickBot="1" x14ac:dyDescent="0.25">
      <c r="A47" s="863"/>
      <c r="B47" s="872" t="s">
        <v>27733</v>
      </c>
      <c r="C47" s="873" t="s">
        <v>27740</v>
      </c>
      <c r="D47" s="875">
        <v>2825.8119999999999</v>
      </c>
      <c r="E47" s="875">
        <v>1569.8932957166417</v>
      </c>
      <c r="F47" s="875"/>
      <c r="G47" s="875"/>
      <c r="H47" s="877">
        <v>2989.0800000000004</v>
      </c>
      <c r="I47" s="876">
        <v>1660.6025582965149</v>
      </c>
      <c r="J47" s="876"/>
      <c r="K47" s="876"/>
      <c r="L47" s="875">
        <v>3545.3900000000003</v>
      </c>
      <c r="M47" s="875">
        <v>1969.6682551258216</v>
      </c>
      <c r="N47" s="875"/>
      <c r="O47" s="875"/>
      <c r="P47" s="877">
        <v>3959.9934451599997</v>
      </c>
      <c r="Q47" s="877">
        <v>2171.3785454988993</v>
      </c>
      <c r="R47" s="877"/>
      <c r="S47" s="877"/>
      <c r="T47" s="875">
        <v>4581.5693599999995</v>
      </c>
      <c r="U47" s="875">
        <v>2545.3228578360063</v>
      </c>
      <c r="V47" s="875"/>
      <c r="W47" s="875"/>
      <c r="X47" s="877">
        <v>4831.5400000000009</v>
      </c>
      <c r="Y47" s="877">
        <v>2684.1936192691032</v>
      </c>
      <c r="Z47" s="877"/>
      <c r="AA47" s="877"/>
      <c r="AB47" s="875"/>
      <c r="AC47" s="875"/>
      <c r="AD47" s="879"/>
      <c r="AE47" s="879"/>
      <c r="AF47" s="889"/>
      <c r="AG47" s="881">
        <f t="shared" si="3"/>
        <v>1.8000025910742188</v>
      </c>
      <c r="AH47" s="881" t="e">
        <f t="shared" si="3"/>
        <v>#DIV/0!</v>
      </c>
      <c r="AI47" s="881">
        <f t="shared" si="4"/>
        <v>1.7999972269501192</v>
      </c>
      <c r="AM47" s="881">
        <f t="shared" si="5"/>
        <v>1.7999934713744585</v>
      </c>
      <c r="AQ47" s="881">
        <f t="shared" si="6"/>
        <v>1.8237232072541021</v>
      </c>
      <c r="AR47" s="881" t="e">
        <f t="shared" si="6"/>
        <v>#DIV/0!</v>
      </c>
      <c r="AS47" s="881" t="e">
        <f t="shared" si="6"/>
        <v>#DIV/0!</v>
      </c>
      <c r="AT47" s="881">
        <f t="shared" si="6"/>
        <v>0</v>
      </c>
      <c r="AU47" s="881">
        <f t="shared" si="6"/>
        <v>1.7999953702907372</v>
      </c>
      <c r="AV47" s="881" t="e">
        <f t="shared" si="6"/>
        <v>#DIV/0!</v>
      </c>
      <c r="AW47" s="881" t="e">
        <f t="shared" si="6"/>
        <v>#DIV/0!</v>
      </c>
    </row>
    <row r="48" spans="1:49" ht="13.5" hidden="1" thickBot="1" x14ac:dyDescent="0.25">
      <c r="A48" s="863"/>
      <c r="B48" s="872"/>
      <c r="C48" s="873"/>
      <c r="D48" s="875"/>
      <c r="E48" s="875"/>
      <c r="F48" s="875"/>
      <c r="G48" s="875"/>
      <c r="H48" s="877"/>
      <c r="I48" s="876"/>
      <c r="J48" s="876"/>
      <c r="K48" s="876"/>
      <c r="L48" s="875"/>
      <c r="M48" s="875"/>
      <c r="N48" s="875"/>
      <c r="O48" s="875"/>
      <c r="P48" s="877"/>
      <c r="Q48" s="877"/>
      <c r="R48" s="877"/>
      <c r="S48" s="877"/>
      <c r="T48" s="875"/>
      <c r="U48" s="875"/>
      <c r="V48" s="875"/>
      <c r="W48" s="875"/>
      <c r="X48" s="877"/>
      <c r="Y48" s="877"/>
      <c r="Z48" s="877"/>
      <c r="AA48" s="877"/>
      <c r="AB48" s="875"/>
      <c r="AC48" s="875"/>
      <c r="AD48" s="879"/>
      <c r="AE48" s="879"/>
      <c r="AF48" s="889"/>
      <c r="AG48" s="881" t="e">
        <f t="shared" si="3"/>
        <v>#DIV/0!</v>
      </c>
      <c r="AH48" s="881" t="e">
        <f t="shared" si="3"/>
        <v>#DIV/0!</v>
      </c>
      <c r="AI48" s="881" t="e">
        <f t="shared" si="4"/>
        <v>#DIV/0!</v>
      </c>
      <c r="AM48" s="881" t="e">
        <f t="shared" si="5"/>
        <v>#DIV/0!</v>
      </c>
      <c r="AQ48" s="881" t="e">
        <f t="shared" si="6"/>
        <v>#DIV/0!</v>
      </c>
      <c r="AR48" s="881" t="e">
        <f t="shared" si="6"/>
        <v>#DIV/0!</v>
      </c>
      <c r="AS48" s="881" t="e">
        <f t="shared" si="6"/>
        <v>#DIV/0!</v>
      </c>
      <c r="AT48" s="881" t="e">
        <f t="shared" si="6"/>
        <v>#DIV/0!</v>
      </c>
      <c r="AU48" s="881" t="e">
        <f t="shared" si="6"/>
        <v>#DIV/0!</v>
      </c>
      <c r="AV48" s="881" t="e">
        <f t="shared" si="6"/>
        <v>#DIV/0!</v>
      </c>
      <c r="AW48" s="881" t="e">
        <f t="shared" si="6"/>
        <v>#DIV/0!</v>
      </c>
    </row>
    <row r="49" spans="1:49" ht="13.5" thickBot="1" x14ac:dyDescent="0.25">
      <c r="A49" s="863"/>
      <c r="B49" s="872" t="s">
        <v>27734</v>
      </c>
      <c r="C49" s="873" t="s">
        <v>27740</v>
      </c>
      <c r="D49" s="875">
        <v>3342.3020000000001</v>
      </c>
      <c r="E49" s="875">
        <v>1856.834994230157</v>
      </c>
      <c r="F49" s="875"/>
      <c r="G49" s="875"/>
      <c r="H49" s="877">
        <v>3694.6800000000003</v>
      </c>
      <c r="I49" s="877">
        <v>2052.6070177367983</v>
      </c>
      <c r="J49" s="877"/>
      <c r="K49" s="877"/>
      <c r="L49" s="875">
        <v>4563.8519733600006</v>
      </c>
      <c r="M49" s="875">
        <v>2441.1653270192428</v>
      </c>
      <c r="N49" s="875"/>
      <c r="O49" s="875"/>
      <c r="P49" s="877">
        <v>6143.8628243199992</v>
      </c>
      <c r="Q49" s="877">
        <v>2815.3166759949736</v>
      </c>
      <c r="R49" s="877"/>
      <c r="S49" s="877"/>
      <c r="T49" s="875">
        <v>7651.4893599999996</v>
      </c>
      <c r="U49" s="875">
        <v>4250.8382682694237</v>
      </c>
      <c r="V49" s="875"/>
      <c r="W49" s="875"/>
      <c r="X49" s="877">
        <v>7946.8000000000011</v>
      </c>
      <c r="Y49" s="877">
        <v>4414.8974872419685</v>
      </c>
      <c r="Z49" s="877"/>
      <c r="AA49" s="877"/>
      <c r="AB49" s="875"/>
      <c r="AC49" s="875"/>
      <c r="AD49" s="879"/>
      <c r="AE49" s="879"/>
      <c r="AF49" s="889"/>
      <c r="AG49" s="881">
        <f t="shared" si="3"/>
        <v>1.7999994670424213</v>
      </c>
      <c r="AH49" s="881" t="e">
        <f t="shared" si="3"/>
        <v>#DIV/0!</v>
      </c>
      <c r="AI49" s="881">
        <f t="shared" si="4"/>
        <v>1.7999938459110159</v>
      </c>
      <c r="AM49" s="881">
        <f t="shared" si="5"/>
        <v>1.8695382581615807</v>
      </c>
      <c r="AQ49" s="881">
        <f t="shared" si="6"/>
        <v>2.1822990204640722</v>
      </c>
      <c r="AR49" s="881" t="e">
        <f t="shared" si="6"/>
        <v>#DIV/0!</v>
      </c>
      <c r="AS49" s="881" t="e">
        <f t="shared" si="6"/>
        <v>#DIV/0!</v>
      </c>
      <c r="AT49" s="881">
        <f t="shared" si="6"/>
        <v>0</v>
      </c>
      <c r="AU49" s="881">
        <f t="shared" si="6"/>
        <v>1.7999954072858737</v>
      </c>
      <c r="AV49" s="881" t="e">
        <f t="shared" si="6"/>
        <v>#DIV/0!</v>
      </c>
      <c r="AW49" s="881" t="e">
        <f t="shared" si="6"/>
        <v>#DIV/0!</v>
      </c>
    </row>
    <row r="50" spans="1:49" ht="13.5" hidden="1" thickBot="1" x14ac:dyDescent="0.25">
      <c r="A50" s="863"/>
      <c r="B50" s="872"/>
      <c r="C50" s="873"/>
      <c r="D50" s="875"/>
      <c r="E50" s="875"/>
      <c r="F50" s="875"/>
      <c r="G50" s="875"/>
      <c r="H50" s="877"/>
      <c r="I50" s="877"/>
      <c r="J50" s="877"/>
      <c r="K50" s="877"/>
      <c r="L50" s="875"/>
      <c r="M50" s="875"/>
      <c r="N50" s="875"/>
      <c r="O50" s="875"/>
      <c r="P50" s="877"/>
      <c r="Q50" s="877"/>
      <c r="R50" s="877"/>
      <c r="S50" s="877"/>
      <c r="T50" s="875"/>
      <c r="U50" s="875"/>
      <c r="V50" s="875"/>
      <c r="W50" s="875"/>
      <c r="X50" s="877"/>
      <c r="Y50" s="877"/>
      <c r="Z50" s="877"/>
      <c r="AA50" s="877"/>
      <c r="AB50" s="875"/>
      <c r="AC50" s="875"/>
      <c r="AD50" s="879"/>
      <c r="AE50" s="879"/>
      <c r="AF50" s="889"/>
      <c r="AG50" s="881" t="e">
        <f t="shared" si="3"/>
        <v>#DIV/0!</v>
      </c>
      <c r="AH50" s="881" t="e">
        <f t="shared" si="3"/>
        <v>#DIV/0!</v>
      </c>
      <c r="AI50" s="881" t="e">
        <f t="shared" si="4"/>
        <v>#DIV/0!</v>
      </c>
      <c r="AM50" s="881" t="e">
        <f t="shared" si="5"/>
        <v>#DIV/0!</v>
      </c>
      <c r="AQ50" s="881" t="e">
        <f t="shared" si="6"/>
        <v>#DIV/0!</v>
      </c>
      <c r="AR50" s="881" t="e">
        <f t="shared" si="6"/>
        <v>#DIV/0!</v>
      </c>
      <c r="AS50" s="881" t="e">
        <f t="shared" si="6"/>
        <v>#DIV/0!</v>
      </c>
      <c r="AT50" s="881" t="e">
        <f t="shared" si="6"/>
        <v>#DIV/0!</v>
      </c>
      <c r="AU50" s="881" t="e">
        <f t="shared" si="6"/>
        <v>#DIV/0!</v>
      </c>
      <c r="AV50" s="881" t="e">
        <f t="shared" si="6"/>
        <v>#DIV/0!</v>
      </c>
      <c r="AW50" s="881" t="e">
        <f t="shared" si="6"/>
        <v>#DIV/0!</v>
      </c>
    </row>
    <row r="51" spans="1:49" ht="13.5" thickBot="1" x14ac:dyDescent="0.25">
      <c r="A51" s="863"/>
      <c r="B51" s="872" t="s">
        <v>27735</v>
      </c>
      <c r="C51" s="873" t="s">
        <v>27740</v>
      </c>
      <c r="D51" s="875">
        <v>4618.2123892399995</v>
      </c>
      <c r="E51" s="875">
        <v>2227.1822338585944</v>
      </c>
      <c r="F51" s="875"/>
      <c r="G51" s="875"/>
      <c r="H51" s="877">
        <v>4599.6303892399992</v>
      </c>
      <c r="I51" s="877">
        <v>2366.6229450651235</v>
      </c>
      <c r="J51" s="877"/>
      <c r="K51" s="877"/>
      <c r="L51" s="875">
        <v>6220.75230096</v>
      </c>
      <c r="M51" s="875">
        <v>3064.84991629661</v>
      </c>
      <c r="N51" s="875"/>
      <c r="O51" s="875"/>
      <c r="P51" s="877">
        <v>8102.2442641599991</v>
      </c>
      <c r="Q51" s="877">
        <v>4182.3254942190151</v>
      </c>
      <c r="R51" s="877"/>
      <c r="S51" s="877"/>
      <c r="T51" s="875">
        <v>10146.062465919998</v>
      </c>
      <c r="U51" s="875">
        <v>5133.6386629526187</v>
      </c>
      <c r="V51" s="875"/>
      <c r="W51" s="875"/>
      <c r="X51" s="877">
        <v>11116.725387699822</v>
      </c>
      <c r="Y51" s="877">
        <v>5478.9173980906353</v>
      </c>
      <c r="Z51" s="877"/>
      <c r="AA51" s="877"/>
      <c r="AB51" s="875"/>
      <c r="AC51" s="875"/>
      <c r="AD51" s="879"/>
      <c r="AE51" s="879"/>
      <c r="AF51" s="889"/>
      <c r="AG51" s="881">
        <f t="shared" si="3"/>
        <v>2.0735673619481707</v>
      </c>
      <c r="AH51" s="881" t="e">
        <f t="shared" si="3"/>
        <v>#DIV/0!</v>
      </c>
      <c r="AI51" s="881">
        <f t="shared" si="4"/>
        <v>1.9435417030968696</v>
      </c>
      <c r="AM51" s="881">
        <f t="shared" si="5"/>
        <v>2.0297086222338754</v>
      </c>
      <c r="AQ51" s="881">
        <f t="shared" si="6"/>
        <v>1.9372581773846296</v>
      </c>
      <c r="AR51" s="881" t="e">
        <f t="shared" si="6"/>
        <v>#DIV/0!</v>
      </c>
      <c r="AS51" s="881" t="e">
        <f t="shared" si="6"/>
        <v>#DIV/0!</v>
      </c>
      <c r="AT51" s="881">
        <f t="shared" si="6"/>
        <v>0</v>
      </c>
      <c r="AU51" s="881">
        <f t="shared" si="6"/>
        <v>1.9763881200170947</v>
      </c>
      <c r="AV51" s="881" t="e">
        <f t="shared" si="6"/>
        <v>#DIV/0!</v>
      </c>
      <c r="AW51" s="881" t="e">
        <f t="shared" si="6"/>
        <v>#DIV/0!</v>
      </c>
    </row>
    <row r="52" spans="1:49" ht="13.5" hidden="1" thickBot="1" x14ac:dyDescent="0.25">
      <c r="A52" s="863"/>
      <c r="B52" s="872"/>
      <c r="C52" s="873"/>
      <c r="D52" s="875"/>
      <c r="E52" s="875"/>
      <c r="F52" s="875"/>
      <c r="G52" s="875"/>
      <c r="H52" s="877"/>
      <c r="I52" s="877"/>
      <c r="J52" s="877"/>
      <c r="K52" s="877"/>
      <c r="L52" s="875"/>
      <c r="M52" s="875"/>
      <c r="N52" s="875"/>
      <c r="O52" s="875"/>
      <c r="P52" s="877"/>
      <c r="Q52" s="877"/>
      <c r="R52" s="877"/>
      <c r="S52" s="877"/>
      <c r="T52" s="875"/>
      <c r="U52" s="875"/>
      <c r="V52" s="875"/>
      <c r="W52" s="875"/>
      <c r="X52" s="877"/>
      <c r="Y52" s="877"/>
      <c r="Z52" s="877"/>
      <c r="AA52" s="877"/>
      <c r="AB52" s="875"/>
      <c r="AC52" s="875"/>
      <c r="AD52" s="879"/>
      <c r="AE52" s="879"/>
      <c r="AF52" s="889"/>
      <c r="AG52" s="881" t="e">
        <f t="shared" si="3"/>
        <v>#DIV/0!</v>
      </c>
      <c r="AH52" s="881" t="e">
        <f t="shared" si="3"/>
        <v>#DIV/0!</v>
      </c>
      <c r="AI52" s="881" t="e">
        <f t="shared" si="4"/>
        <v>#DIV/0!</v>
      </c>
      <c r="AM52" s="881" t="e">
        <f t="shared" si="5"/>
        <v>#DIV/0!</v>
      </c>
      <c r="AQ52" s="881" t="e">
        <f t="shared" si="6"/>
        <v>#DIV/0!</v>
      </c>
      <c r="AR52" s="881" t="e">
        <f t="shared" si="6"/>
        <v>#DIV/0!</v>
      </c>
      <c r="AS52" s="881" t="e">
        <f t="shared" si="6"/>
        <v>#DIV/0!</v>
      </c>
      <c r="AT52" s="881" t="e">
        <f t="shared" si="6"/>
        <v>#DIV/0!</v>
      </c>
      <c r="AU52" s="881" t="e">
        <f t="shared" si="6"/>
        <v>#DIV/0!</v>
      </c>
      <c r="AV52" s="881" t="e">
        <f t="shared" si="6"/>
        <v>#DIV/0!</v>
      </c>
      <c r="AW52" s="881" t="e">
        <f t="shared" si="6"/>
        <v>#DIV/0!</v>
      </c>
    </row>
    <row r="53" spans="1:49" ht="13.5" thickBot="1" x14ac:dyDescent="0.25">
      <c r="A53" s="863"/>
      <c r="B53" s="872" t="s">
        <v>27736</v>
      </c>
      <c r="C53" s="873" t="s">
        <v>27740</v>
      </c>
      <c r="D53" s="875">
        <v>5284.7098894399996</v>
      </c>
      <c r="E53" s="875">
        <v>2623.6455317240921</v>
      </c>
      <c r="F53" s="875"/>
      <c r="G53" s="875"/>
      <c r="H53" s="877">
        <v>5266.1278894399993</v>
      </c>
      <c r="I53" s="877">
        <v>2796.1261650994952</v>
      </c>
      <c r="J53" s="877"/>
      <c r="K53" s="877"/>
      <c r="L53" s="875">
        <v>7799.47</v>
      </c>
      <c r="M53" s="875">
        <v>4333.0455170706318</v>
      </c>
      <c r="N53" s="875"/>
      <c r="O53" s="875"/>
      <c r="P53" s="877">
        <v>10301.063119959999</v>
      </c>
      <c r="Q53" s="877">
        <v>5060.8664665901333</v>
      </c>
      <c r="R53" s="877"/>
      <c r="S53" s="877"/>
      <c r="T53" s="875">
        <v>13099.889359999999</v>
      </c>
      <c r="U53" s="875">
        <v>7277.7219655292338</v>
      </c>
      <c r="V53" s="875"/>
      <c r="W53" s="875"/>
      <c r="X53" s="877">
        <v>14072.79</v>
      </c>
      <c r="Y53" s="877">
        <v>7818.2264801369583</v>
      </c>
      <c r="Z53" s="877"/>
      <c r="AA53" s="877"/>
      <c r="AB53" s="875"/>
      <c r="AC53" s="875"/>
      <c r="AD53" s="879"/>
      <c r="AE53" s="879"/>
      <c r="AF53" s="889"/>
      <c r="AG53" s="881">
        <f t="shared" si="3"/>
        <v>2.0142621499510365</v>
      </c>
      <c r="AH53" s="881" t="e">
        <f t="shared" si="3"/>
        <v>#DIV/0!</v>
      </c>
      <c r="AI53" s="881">
        <f t="shared" si="4"/>
        <v>1.8833656203251521</v>
      </c>
      <c r="AM53" s="881">
        <f t="shared" si="5"/>
        <v>1.7999972465723957</v>
      </c>
      <c r="AQ53" s="881">
        <f t="shared" si="6"/>
        <v>2.035434680595428</v>
      </c>
      <c r="AR53" s="881" t="e">
        <f t="shared" si="6"/>
        <v>#DIV/0!</v>
      </c>
      <c r="AS53" s="881" t="e">
        <f t="shared" si="6"/>
        <v>#DIV/0!</v>
      </c>
      <c r="AT53" s="881">
        <f t="shared" si="6"/>
        <v>0</v>
      </c>
      <c r="AU53" s="881">
        <f t="shared" si="6"/>
        <v>1.7999986014919682</v>
      </c>
      <c r="AV53" s="881" t="e">
        <f t="shared" si="6"/>
        <v>#DIV/0!</v>
      </c>
      <c r="AW53" s="881" t="e">
        <f t="shared" si="6"/>
        <v>#DIV/0!</v>
      </c>
    </row>
    <row r="54" spans="1:49" ht="13.5" hidden="1" thickBot="1" x14ac:dyDescent="0.25">
      <c r="A54" s="863"/>
      <c r="B54" s="872"/>
      <c r="C54" s="873"/>
      <c r="D54" s="875"/>
      <c r="E54" s="875"/>
      <c r="F54" s="875"/>
      <c r="G54" s="875"/>
      <c r="H54" s="877"/>
      <c r="I54" s="877"/>
      <c r="J54" s="877"/>
      <c r="K54" s="877"/>
      <c r="L54" s="875"/>
      <c r="M54" s="875"/>
      <c r="N54" s="875"/>
      <c r="O54" s="875"/>
      <c r="P54" s="877"/>
      <c r="Q54" s="877"/>
      <c r="R54" s="877"/>
      <c r="S54" s="877"/>
      <c r="T54" s="875"/>
      <c r="U54" s="875"/>
      <c r="V54" s="875"/>
      <c r="W54" s="875"/>
      <c r="X54" s="877"/>
      <c r="Y54" s="877"/>
      <c r="Z54" s="877"/>
      <c r="AA54" s="877"/>
      <c r="AB54" s="875"/>
      <c r="AC54" s="875"/>
      <c r="AD54" s="879"/>
      <c r="AE54" s="879"/>
      <c r="AF54" s="889"/>
      <c r="AG54" s="881" t="e">
        <f t="shared" si="3"/>
        <v>#DIV/0!</v>
      </c>
      <c r="AH54" s="881" t="e">
        <f t="shared" si="3"/>
        <v>#DIV/0!</v>
      </c>
      <c r="AI54" s="881" t="e">
        <f t="shared" si="4"/>
        <v>#DIV/0!</v>
      </c>
      <c r="AM54" s="881" t="e">
        <f t="shared" si="5"/>
        <v>#DIV/0!</v>
      </c>
      <c r="AQ54" s="881" t="e">
        <f t="shared" si="6"/>
        <v>#DIV/0!</v>
      </c>
      <c r="AR54" s="881" t="e">
        <f t="shared" si="6"/>
        <v>#DIV/0!</v>
      </c>
      <c r="AS54" s="881" t="e">
        <f t="shared" si="6"/>
        <v>#DIV/0!</v>
      </c>
      <c r="AT54" s="881" t="e">
        <f t="shared" si="6"/>
        <v>#DIV/0!</v>
      </c>
      <c r="AU54" s="881" t="e">
        <f t="shared" si="6"/>
        <v>#DIV/0!</v>
      </c>
      <c r="AV54" s="881" t="e">
        <f t="shared" si="6"/>
        <v>#DIV/0!</v>
      </c>
      <c r="AW54" s="881" t="e">
        <f t="shared" si="6"/>
        <v>#DIV/0!</v>
      </c>
    </row>
    <row r="55" spans="1:49" ht="13.5" thickBot="1" x14ac:dyDescent="0.25">
      <c r="A55" s="863"/>
      <c r="B55" s="882" t="s">
        <v>27737</v>
      </c>
      <c r="C55" s="873" t="s">
        <v>27740</v>
      </c>
      <c r="D55" s="875">
        <v>5601.2470503019458</v>
      </c>
      <c r="E55" s="878">
        <v>2840.5993005974046</v>
      </c>
      <c r="F55" s="875"/>
      <c r="G55" s="875"/>
      <c r="H55" s="877">
        <v>5582.6650503019455</v>
      </c>
      <c r="I55" s="877">
        <v>3037.364455755785</v>
      </c>
      <c r="J55" s="877"/>
      <c r="K55" s="877"/>
      <c r="L55" s="875">
        <v>8838.94</v>
      </c>
      <c r="M55" s="875">
        <v>4910.5218811992672</v>
      </c>
      <c r="N55" s="875"/>
      <c r="O55" s="875"/>
      <c r="P55" s="877">
        <v>12324.039999999999</v>
      </c>
      <c r="Q55" s="877">
        <v>6846.6987332263507</v>
      </c>
      <c r="R55" s="877"/>
      <c r="S55" s="877"/>
      <c r="T55" s="875">
        <v>15026.33936</v>
      </c>
      <c r="U55" s="875">
        <v>8347.9771777242331</v>
      </c>
      <c r="V55" s="875"/>
      <c r="W55" s="875"/>
      <c r="X55" s="877">
        <v>16148.46</v>
      </c>
      <c r="Y55" s="877">
        <v>8971.3752818161975</v>
      </c>
      <c r="Z55" s="877"/>
      <c r="AA55" s="877"/>
      <c r="AB55" s="875"/>
      <c r="AC55" s="875"/>
      <c r="AD55" s="879"/>
      <c r="AE55" s="879"/>
      <c r="AF55" s="889"/>
      <c r="AG55" s="881">
        <f t="shared" si="3"/>
        <v>1.9718539848700065</v>
      </c>
      <c r="AH55" s="881" t="e">
        <f t="shared" si="3"/>
        <v>#DIV/0!</v>
      </c>
      <c r="AI55" s="881">
        <f t="shared" si="4"/>
        <v>1.83799643790617</v>
      </c>
      <c r="AM55" s="881">
        <f t="shared" si="5"/>
        <v>1.8000001250053119</v>
      </c>
      <c r="AQ55" s="881">
        <f t="shared" si="6"/>
        <v>1.799997411919507</v>
      </c>
      <c r="AR55" s="881" t="e">
        <f t="shared" si="6"/>
        <v>#DIV/0!</v>
      </c>
      <c r="AS55" s="881" t="e">
        <f t="shared" si="6"/>
        <v>#DIV/0!</v>
      </c>
      <c r="AT55" s="881">
        <f t="shared" si="6"/>
        <v>0</v>
      </c>
      <c r="AU55" s="881">
        <f t="shared" si="6"/>
        <v>1.7999976569289537</v>
      </c>
      <c r="AV55" s="881" t="e">
        <f t="shared" si="6"/>
        <v>#DIV/0!</v>
      </c>
      <c r="AW55" s="881" t="e">
        <f t="shared" si="6"/>
        <v>#DIV/0!</v>
      </c>
    </row>
    <row r="56" spans="1:49" ht="13.5" hidden="1" thickBot="1" x14ac:dyDescent="0.25">
      <c r="A56" s="863"/>
      <c r="B56" s="872"/>
      <c r="C56" s="873"/>
      <c r="D56" s="875"/>
      <c r="E56" s="875"/>
      <c r="F56" s="875"/>
      <c r="G56" s="875"/>
      <c r="H56" s="877"/>
      <c r="I56" s="877"/>
      <c r="J56" s="877"/>
      <c r="K56" s="877"/>
      <c r="L56" s="875"/>
      <c r="M56" s="875"/>
      <c r="N56" s="875"/>
      <c r="O56" s="875"/>
      <c r="P56" s="877"/>
      <c r="Q56" s="877"/>
      <c r="R56" s="877"/>
      <c r="S56" s="877"/>
      <c r="T56" s="875"/>
      <c r="U56" s="875"/>
      <c r="V56" s="875"/>
      <c r="W56" s="875"/>
      <c r="X56" s="877"/>
      <c r="Y56" s="877"/>
      <c r="Z56" s="877"/>
      <c r="AA56" s="877"/>
      <c r="AB56" s="875"/>
      <c r="AC56" s="875"/>
      <c r="AD56" s="879"/>
      <c r="AE56" s="879"/>
      <c r="AF56" s="889"/>
      <c r="AG56" s="881" t="e">
        <f t="shared" si="3"/>
        <v>#DIV/0!</v>
      </c>
      <c r="AH56" s="881" t="e">
        <f t="shared" si="3"/>
        <v>#DIV/0!</v>
      </c>
      <c r="AI56" s="881" t="e">
        <f t="shared" si="4"/>
        <v>#DIV/0!</v>
      </c>
      <c r="AM56" s="881" t="e">
        <f t="shared" si="5"/>
        <v>#DIV/0!</v>
      </c>
      <c r="AQ56" s="881" t="e">
        <f t="shared" si="6"/>
        <v>#DIV/0!</v>
      </c>
      <c r="AR56" s="881" t="e">
        <f t="shared" si="6"/>
        <v>#DIV/0!</v>
      </c>
      <c r="AS56" s="881" t="e">
        <f t="shared" si="6"/>
        <v>#DIV/0!</v>
      </c>
      <c r="AT56" s="881" t="e">
        <f t="shared" si="6"/>
        <v>#DIV/0!</v>
      </c>
      <c r="AU56" s="881" t="e">
        <f t="shared" si="6"/>
        <v>#DIV/0!</v>
      </c>
      <c r="AV56" s="881" t="e">
        <f t="shared" si="6"/>
        <v>#DIV/0!</v>
      </c>
      <c r="AW56" s="881" t="e">
        <f t="shared" si="6"/>
        <v>#DIV/0!</v>
      </c>
    </row>
    <row r="57" spans="1:49" ht="13.5" thickBot="1" x14ac:dyDescent="0.25">
      <c r="A57" s="863"/>
      <c r="B57" s="882" t="s">
        <v>27741</v>
      </c>
      <c r="C57" s="873" t="s">
        <v>27740</v>
      </c>
      <c r="D57" s="875">
        <v>5343.5420000000004</v>
      </c>
      <c r="E57" s="875">
        <v>2968.6354547713549</v>
      </c>
      <c r="F57" s="875"/>
      <c r="G57" s="875"/>
      <c r="H57" s="877">
        <v>5719.34</v>
      </c>
      <c r="I57" s="877">
        <v>3177.416303091064</v>
      </c>
      <c r="J57" s="877"/>
      <c r="K57" s="877"/>
      <c r="L57" s="875">
        <v>9158.31</v>
      </c>
      <c r="M57" s="875">
        <v>5087.9535207798317</v>
      </c>
      <c r="N57" s="875"/>
      <c r="O57" s="875"/>
      <c r="P57" s="877">
        <v>12835.31</v>
      </c>
      <c r="Q57" s="877">
        <v>7130.7393054958775</v>
      </c>
      <c r="R57" s="877"/>
      <c r="S57" s="877"/>
      <c r="T57" s="875">
        <v>15749.039359999999</v>
      </c>
      <c r="U57" s="875">
        <v>8749.4719726663152</v>
      </c>
      <c r="V57" s="875"/>
      <c r="W57" s="875"/>
      <c r="X57" s="877">
        <v>17044.27</v>
      </c>
      <c r="Y57" s="877">
        <v>9469.0467753882258</v>
      </c>
      <c r="Z57" s="877"/>
      <c r="AA57" s="877"/>
      <c r="AB57" s="875"/>
      <c r="AC57" s="875"/>
      <c r="AD57" s="879"/>
      <c r="AE57" s="879"/>
      <c r="AF57" s="889"/>
      <c r="AG57" s="881">
        <f t="shared" si="3"/>
        <v>1.7999993873992053</v>
      </c>
      <c r="AH57" s="881" t="e">
        <f t="shared" si="3"/>
        <v>#DIV/0!</v>
      </c>
      <c r="AI57" s="881">
        <f t="shared" si="4"/>
        <v>1.7999970587537095</v>
      </c>
      <c r="AM57" s="881">
        <f t="shared" si="5"/>
        <v>1.7999987544297189</v>
      </c>
      <c r="AQ57" s="881">
        <f t="shared" si="6"/>
        <v>1.7999970900783648</v>
      </c>
      <c r="AR57" s="881" t="e">
        <f t="shared" si="6"/>
        <v>#DIV/0!</v>
      </c>
      <c r="AS57" s="881" t="e">
        <f t="shared" si="6"/>
        <v>#DIV/0!</v>
      </c>
      <c r="AT57" s="881">
        <f t="shared" si="6"/>
        <v>0</v>
      </c>
      <c r="AU57" s="881">
        <f t="shared" si="6"/>
        <v>1.7999988352669281</v>
      </c>
      <c r="AV57" s="881" t="e">
        <f t="shared" si="6"/>
        <v>#DIV/0!</v>
      </c>
      <c r="AW57" s="881" t="e">
        <f t="shared" si="6"/>
        <v>#DIV/0!</v>
      </c>
    </row>
    <row r="58" spans="1:49" x14ac:dyDescent="0.2">
      <c r="AB58" s="855"/>
      <c r="AD58" s="855"/>
      <c r="AE58" s="855"/>
    </row>
    <row r="59" spans="1:49" hidden="1" x14ac:dyDescent="0.2">
      <c r="B59" s="891" t="s">
        <v>27745</v>
      </c>
    </row>
    <row r="60" spans="1:49" hidden="1" x14ac:dyDescent="0.2">
      <c r="B60" s="892" t="s">
        <v>27746</v>
      </c>
    </row>
    <row r="61" spans="1:49" hidden="1" x14ac:dyDescent="0.2">
      <c r="B61" s="893" t="s">
        <v>27747</v>
      </c>
      <c r="C61" s="894" t="s">
        <v>27748</v>
      </c>
      <c r="D61" s="895"/>
      <c r="E61" s="895"/>
      <c r="F61" s="895"/>
      <c r="G61" s="895"/>
      <c r="H61" s="896"/>
    </row>
    <row r="62" spans="1:49" hidden="1" x14ac:dyDescent="0.2">
      <c r="B62" s="893" t="s">
        <v>27749</v>
      </c>
      <c r="C62" s="894" t="s">
        <v>27750</v>
      </c>
      <c r="D62" s="895"/>
      <c r="E62" s="895"/>
      <c r="F62" s="895"/>
      <c r="G62" s="895"/>
      <c r="H62" s="896"/>
    </row>
    <row r="63" spans="1:49" hidden="1" x14ac:dyDescent="0.2">
      <c r="B63" s="893" t="s">
        <v>27751</v>
      </c>
      <c r="C63" s="894" t="s">
        <v>27752</v>
      </c>
      <c r="D63" s="895"/>
      <c r="E63" s="895"/>
      <c r="F63" s="895"/>
      <c r="G63" s="895"/>
      <c r="H63" s="896"/>
    </row>
    <row r="64" spans="1:49" hidden="1" x14ac:dyDescent="0.2">
      <c r="B64" s="897"/>
      <c r="C64" s="898"/>
      <c r="D64" s="899"/>
      <c r="E64" s="899"/>
      <c r="F64" s="899"/>
      <c r="G64" s="899"/>
      <c r="H64" s="900"/>
    </row>
    <row r="65" spans="1:35" hidden="1" x14ac:dyDescent="0.2">
      <c r="B65" s="897"/>
      <c r="C65" s="898"/>
      <c r="D65" s="899"/>
      <c r="E65" s="899"/>
      <c r="F65" s="899"/>
      <c r="G65" s="899"/>
      <c r="H65" s="900"/>
    </row>
    <row r="66" spans="1:35" hidden="1" x14ac:dyDescent="0.2">
      <c r="B66" s="897"/>
      <c r="C66" s="898"/>
      <c r="D66" s="899"/>
      <c r="E66" s="899"/>
      <c r="F66" s="899"/>
      <c r="G66" s="899"/>
      <c r="H66" s="900"/>
    </row>
    <row r="67" spans="1:35" hidden="1" x14ac:dyDescent="0.2">
      <c r="B67" s="897"/>
      <c r="C67" s="898"/>
      <c r="D67" s="899"/>
      <c r="E67" s="899"/>
      <c r="F67" s="899"/>
      <c r="G67" s="899"/>
      <c r="H67" s="900"/>
    </row>
    <row r="68" spans="1:35" hidden="1" x14ac:dyDescent="0.2">
      <c r="D68" s="782">
        <v>61.94</v>
      </c>
      <c r="E68" s="782">
        <v>34.409999999999997</v>
      </c>
      <c r="H68" s="782">
        <v>61.94</v>
      </c>
      <c r="I68" s="782">
        <v>34.409999999999997</v>
      </c>
      <c r="L68" s="782">
        <v>61.94</v>
      </c>
      <c r="M68" s="782">
        <v>34.409999999999997</v>
      </c>
      <c r="P68" s="782">
        <v>61.94</v>
      </c>
      <c r="Q68" s="782">
        <v>34.409999999999997</v>
      </c>
      <c r="T68" s="782">
        <v>61.94</v>
      </c>
      <c r="U68" s="782">
        <v>34.409999999999997</v>
      </c>
      <c r="X68" s="782">
        <v>61.94</v>
      </c>
      <c r="Y68" s="782">
        <v>34.409999999999997</v>
      </c>
      <c r="AB68" s="782">
        <v>61.94</v>
      </c>
      <c r="AC68" s="782">
        <v>34.409999999999997</v>
      </c>
    </row>
    <row r="69" spans="1:35" hidden="1" x14ac:dyDescent="0.2">
      <c r="D69" s="782">
        <v>0.2</v>
      </c>
      <c r="E69" s="782">
        <v>0.2</v>
      </c>
      <c r="H69" s="782">
        <v>0.5</v>
      </c>
      <c r="I69" s="782">
        <v>0.5</v>
      </c>
      <c r="L69" s="782">
        <v>1.5</v>
      </c>
      <c r="M69" s="782">
        <v>1.5</v>
      </c>
      <c r="P69" s="782">
        <v>2.5</v>
      </c>
      <c r="Q69" s="782">
        <v>2.5</v>
      </c>
      <c r="T69" s="782">
        <v>3.8559999999999999</v>
      </c>
      <c r="U69" s="782">
        <v>3.8559999999999999</v>
      </c>
      <c r="X69" s="782">
        <v>4.5</v>
      </c>
      <c r="Y69" s="782">
        <v>4.5</v>
      </c>
      <c r="AB69" s="782">
        <v>6</v>
      </c>
      <c r="AC69" s="782">
        <v>6</v>
      </c>
    </row>
    <row r="70" spans="1:35" ht="15.75" hidden="1" x14ac:dyDescent="0.25">
      <c r="A70" s="901"/>
      <c r="B70" s="2922" t="s">
        <v>442</v>
      </c>
      <c r="C70" s="2922"/>
      <c r="D70" s="2922"/>
      <c r="E70" s="2922"/>
      <c r="F70" s="2922"/>
      <c r="G70" s="2922"/>
      <c r="H70" s="2922"/>
      <c r="I70" s="902" t="s">
        <v>27726</v>
      </c>
      <c r="J70" s="903"/>
      <c r="K70" s="903"/>
      <c r="L70" s="901"/>
      <c r="M70" s="903"/>
      <c r="N70" s="903"/>
      <c r="O70" s="903"/>
      <c r="P70" s="904"/>
      <c r="Q70" s="904"/>
      <c r="R70" s="904"/>
      <c r="S70" s="904"/>
      <c r="T70" s="904"/>
      <c r="U70" s="904"/>
      <c r="V70" s="904"/>
      <c r="W70" s="904"/>
      <c r="X70" s="901"/>
      <c r="Y70" s="901"/>
      <c r="Z70" s="901"/>
      <c r="AA70" s="901"/>
      <c r="AB70" s="901"/>
      <c r="AC70" s="901"/>
    </row>
    <row r="71" spans="1:35" ht="16.5" hidden="1" thickBot="1" x14ac:dyDescent="0.3">
      <c r="A71" s="901"/>
      <c r="B71" s="905" t="s">
        <v>27727</v>
      </c>
      <c r="C71" s="904"/>
      <c r="D71" s="2926"/>
      <c r="E71" s="2926"/>
      <c r="F71" s="2926"/>
      <c r="G71" s="2926"/>
      <c r="H71" s="2926"/>
      <c r="I71" s="2926"/>
      <c r="J71" s="2926"/>
      <c r="K71" s="2926"/>
      <c r="L71" s="2926"/>
      <c r="M71" s="2926"/>
      <c r="N71" s="2926"/>
      <c r="O71" s="2926"/>
      <c r="P71" s="2926"/>
      <c r="Q71" s="904"/>
      <c r="R71" s="904"/>
      <c r="S71" s="904"/>
      <c r="T71" s="904"/>
      <c r="U71" s="904"/>
      <c r="V71" s="904"/>
      <c r="W71" s="904"/>
      <c r="X71" s="901"/>
      <c r="Y71" s="901"/>
      <c r="Z71" s="901"/>
      <c r="AA71" s="901"/>
      <c r="AB71" s="901"/>
      <c r="AC71" s="901"/>
    </row>
    <row r="72" spans="1:35" ht="17.45" hidden="1" customHeight="1" thickBot="1" x14ac:dyDescent="0.35">
      <c r="A72" s="906"/>
      <c r="B72" s="907" t="s">
        <v>27728</v>
      </c>
      <c r="C72" s="2915" t="s">
        <v>27729</v>
      </c>
      <c r="D72" s="2917" t="s">
        <v>27730</v>
      </c>
      <c r="E72" s="2918"/>
      <c r="F72" s="2918"/>
      <c r="G72" s="2918"/>
      <c r="H72" s="2918"/>
      <c r="I72" s="2918"/>
      <c r="J72" s="2918"/>
      <c r="K72" s="2918"/>
      <c r="L72" s="2918"/>
      <c r="M72" s="2918"/>
      <c r="N72" s="2918"/>
      <c r="O72" s="2918"/>
      <c r="P72" s="2918"/>
      <c r="Q72" s="2918"/>
      <c r="R72" s="2918"/>
      <c r="S72" s="2918"/>
      <c r="T72" s="2918"/>
      <c r="U72" s="2918"/>
      <c r="V72" s="2918"/>
      <c r="W72" s="2918"/>
      <c r="X72" s="2918"/>
      <c r="Y72" s="2918"/>
      <c r="Z72" s="2918"/>
      <c r="AA72" s="2918"/>
      <c r="AB72" s="2918"/>
      <c r="AC72" s="2919"/>
      <c r="AD72" s="862"/>
      <c r="AE72" s="862"/>
      <c r="AF72" s="862"/>
      <c r="AG72" s="862"/>
      <c r="AH72" s="862"/>
      <c r="AI72" s="862"/>
    </row>
    <row r="73" spans="1:35" ht="21.2" hidden="1" customHeight="1" thickBot="1" x14ac:dyDescent="0.25">
      <c r="A73" s="906"/>
      <c r="B73" s="907" t="s">
        <v>27731</v>
      </c>
      <c r="C73" s="2916"/>
      <c r="D73" s="2920" t="s">
        <v>27732</v>
      </c>
      <c r="E73" s="2921"/>
      <c r="F73" s="908"/>
      <c r="G73" s="908"/>
      <c r="H73" s="2920" t="s">
        <v>27733</v>
      </c>
      <c r="I73" s="2921"/>
      <c r="J73" s="908"/>
      <c r="K73" s="908"/>
      <c r="L73" s="2920" t="s">
        <v>27734</v>
      </c>
      <c r="M73" s="2921"/>
      <c r="N73" s="908"/>
      <c r="O73" s="908"/>
      <c r="P73" s="2920" t="s">
        <v>27735</v>
      </c>
      <c r="Q73" s="2921"/>
      <c r="R73" s="908"/>
      <c r="S73" s="908"/>
      <c r="T73" s="2920" t="s">
        <v>27736</v>
      </c>
      <c r="U73" s="2921"/>
      <c r="V73" s="908"/>
      <c r="W73" s="908"/>
      <c r="X73" s="2920" t="s">
        <v>27737</v>
      </c>
      <c r="Y73" s="2921"/>
      <c r="Z73" s="908"/>
      <c r="AA73" s="908"/>
      <c r="AB73" s="2920" t="s">
        <v>27738</v>
      </c>
      <c r="AC73" s="2921"/>
      <c r="AD73" s="867"/>
      <c r="AE73" s="867"/>
      <c r="AF73" s="868"/>
      <c r="AG73" s="868"/>
      <c r="AH73" s="868"/>
      <c r="AI73" s="868"/>
    </row>
    <row r="74" spans="1:35" ht="13.5" hidden="1" thickBot="1" x14ac:dyDescent="0.25">
      <c r="A74" s="906"/>
      <c r="B74" s="909"/>
      <c r="C74" s="909"/>
      <c r="D74" s="909" t="s">
        <v>27739</v>
      </c>
      <c r="E74" s="909" t="s">
        <v>27725</v>
      </c>
      <c r="F74" s="909"/>
      <c r="G74" s="909"/>
      <c r="H74" s="909" t="s">
        <v>27739</v>
      </c>
      <c r="I74" s="909" t="s">
        <v>27725</v>
      </c>
      <c r="J74" s="909"/>
      <c r="K74" s="909"/>
      <c r="L74" s="909" t="s">
        <v>27739</v>
      </c>
      <c r="M74" s="909" t="s">
        <v>27725</v>
      </c>
      <c r="N74" s="909"/>
      <c r="O74" s="909"/>
      <c r="P74" s="909" t="s">
        <v>27739</v>
      </c>
      <c r="Q74" s="909" t="s">
        <v>27725</v>
      </c>
      <c r="R74" s="909"/>
      <c r="S74" s="909"/>
      <c r="T74" s="909" t="s">
        <v>27739</v>
      </c>
      <c r="U74" s="909" t="s">
        <v>27725</v>
      </c>
      <c r="V74" s="909"/>
      <c r="W74" s="909"/>
      <c r="X74" s="909" t="s">
        <v>27739</v>
      </c>
      <c r="Y74" s="909" t="s">
        <v>27725</v>
      </c>
      <c r="Z74" s="909"/>
      <c r="AA74" s="909"/>
      <c r="AB74" s="909" t="s">
        <v>27739</v>
      </c>
      <c r="AC74" s="909" t="s">
        <v>27725</v>
      </c>
      <c r="AD74" s="870"/>
      <c r="AE74" s="870"/>
      <c r="AF74" s="871"/>
      <c r="AG74" s="871"/>
      <c r="AH74" s="871"/>
      <c r="AI74" s="871"/>
    </row>
    <row r="75" spans="1:35" ht="13.5" hidden="1" thickBot="1" x14ac:dyDescent="0.25">
      <c r="A75" s="906"/>
      <c r="B75" s="910" t="s">
        <v>27732</v>
      </c>
      <c r="C75" s="911" t="s">
        <v>27740</v>
      </c>
      <c r="D75" s="912">
        <f t="shared" ref="D75:E87" si="7">D7-D$69*D$68</f>
        <v>3184.0040000000004</v>
      </c>
      <c r="E75" s="912">
        <f t="shared" si="7"/>
        <v>1768.8957171022023</v>
      </c>
      <c r="F75" s="912"/>
      <c r="G75" s="912"/>
      <c r="H75" s="912">
        <f t="shared" ref="H75:I87" si="8">H7-H$69*H$68</f>
        <v>3299.0900000000006</v>
      </c>
      <c r="I75" s="912">
        <f t="shared" si="8"/>
        <v>1832.8272814629636</v>
      </c>
      <c r="J75" s="912"/>
      <c r="K75" s="912"/>
      <c r="L75" s="912">
        <f t="shared" ref="L75:M87" si="9">L7-L$69*L$68</f>
        <v>3705.15</v>
      </c>
      <c r="M75" s="912">
        <f t="shared" si="9"/>
        <v>2058.4236619422322</v>
      </c>
      <c r="N75" s="912"/>
      <c r="O75" s="912"/>
      <c r="P75" s="912">
        <f t="shared" ref="P75:Q87" si="10">P7-P$69*P$68</f>
        <v>4054.77</v>
      </c>
      <c r="Q75" s="912">
        <f t="shared" si="10"/>
        <v>2252.6615990487921</v>
      </c>
      <c r="R75" s="912"/>
      <c r="S75" s="912"/>
      <c r="T75" s="912">
        <f t="shared" ref="T75:U87" si="11">T7-T$69*T$68</f>
        <v>4661.638719999999</v>
      </c>
      <c r="U75" s="912">
        <f t="shared" si="11"/>
        <v>2589.8051932570893</v>
      </c>
      <c r="V75" s="912"/>
      <c r="W75" s="912"/>
      <c r="X75" s="912">
        <f t="shared" ref="X75:Y87" si="12">X7-X$69*X$68</f>
        <v>4884.4400000000005</v>
      </c>
      <c r="Y75" s="912">
        <f t="shared" si="12"/>
        <v>2713.592758881904</v>
      </c>
      <c r="Z75" s="912"/>
      <c r="AA75" s="912"/>
      <c r="AB75" s="912">
        <f t="shared" ref="AB75:AC86" si="13">AB7-AB$69*AB$68</f>
        <v>5733.0821933989364</v>
      </c>
      <c r="AC75" s="912">
        <f t="shared" si="13"/>
        <v>3056.6160332303161</v>
      </c>
      <c r="AD75" s="879"/>
      <c r="AE75" s="880">
        <f>Q75/P75</f>
        <v>0.55555841614907675</v>
      </c>
      <c r="AF75" s="889"/>
      <c r="AG75" s="889"/>
      <c r="AH75" s="889"/>
      <c r="AI75" s="889"/>
    </row>
    <row r="76" spans="1:35" ht="13.5" hidden="1" thickBot="1" x14ac:dyDescent="0.25">
      <c r="A76" s="906"/>
      <c r="B76" s="910"/>
      <c r="C76" s="911"/>
      <c r="D76" s="912">
        <f t="shared" si="7"/>
        <v>-12.388</v>
      </c>
      <c r="E76" s="912">
        <f t="shared" si="7"/>
        <v>-6.8819999999999997</v>
      </c>
      <c r="F76" s="912"/>
      <c r="G76" s="912"/>
      <c r="H76" s="912">
        <f t="shared" si="8"/>
        <v>-30.97</v>
      </c>
      <c r="I76" s="912">
        <f t="shared" si="8"/>
        <v>-17.204999999999998</v>
      </c>
      <c r="J76" s="912"/>
      <c r="K76" s="912"/>
      <c r="L76" s="912">
        <f t="shared" si="9"/>
        <v>-92.91</v>
      </c>
      <c r="M76" s="912">
        <f t="shared" si="9"/>
        <v>-51.614999999999995</v>
      </c>
      <c r="N76" s="912"/>
      <c r="O76" s="912"/>
      <c r="P76" s="912">
        <f t="shared" si="10"/>
        <v>-154.85</v>
      </c>
      <c r="Q76" s="912">
        <f t="shared" si="10"/>
        <v>-86.024999999999991</v>
      </c>
      <c r="R76" s="912"/>
      <c r="S76" s="912"/>
      <c r="T76" s="912">
        <f t="shared" si="11"/>
        <v>-238.84063999999998</v>
      </c>
      <c r="U76" s="912">
        <f t="shared" si="11"/>
        <v>-132.68495999999999</v>
      </c>
      <c r="V76" s="912"/>
      <c r="W76" s="912"/>
      <c r="X76" s="912">
        <f t="shared" si="12"/>
        <v>-278.73</v>
      </c>
      <c r="Y76" s="912">
        <f t="shared" si="12"/>
        <v>-154.84499999999997</v>
      </c>
      <c r="Z76" s="912"/>
      <c r="AA76" s="912"/>
      <c r="AB76" s="912">
        <f t="shared" si="13"/>
        <v>-371.64</v>
      </c>
      <c r="AC76" s="912">
        <f t="shared" si="13"/>
        <v>-206.45999999999998</v>
      </c>
      <c r="AD76" s="879"/>
      <c r="AE76" s="880">
        <f t="shared" ref="AE76:AE85" si="14">Q76/P76</f>
        <v>0.55553761704875682</v>
      </c>
      <c r="AF76" s="889"/>
      <c r="AG76" s="889"/>
      <c r="AH76" s="889"/>
      <c r="AI76" s="889"/>
    </row>
    <row r="77" spans="1:35" ht="13.5" hidden="1" thickBot="1" x14ac:dyDescent="0.25">
      <c r="A77" s="906"/>
      <c r="B77" s="910" t="s">
        <v>27733</v>
      </c>
      <c r="C77" s="911" t="s">
        <v>27740</v>
      </c>
      <c r="D77" s="912">
        <f t="shared" si="7"/>
        <v>3308.404</v>
      </c>
      <c r="E77" s="912">
        <f t="shared" si="7"/>
        <v>1838.0062643302283</v>
      </c>
      <c r="F77" s="912"/>
      <c r="G77" s="912"/>
      <c r="H77" s="912">
        <f t="shared" si="8"/>
        <v>3436.6400000000003</v>
      </c>
      <c r="I77" s="912">
        <f t="shared" si="8"/>
        <v>1909.2475459849879</v>
      </c>
      <c r="J77" s="912"/>
      <c r="K77" s="912"/>
      <c r="L77" s="912">
        <f t="shared" si="9"/>
        <v>3886.57</v>
      </c>
      <c r="M77" s="912">
        <f t="shared" si="9"/>
        <v>2159.2096507775859</v>
      </c>
      <c r="N77" s="912"/>
      <c r="O77" s="912"/>
      <c r="P77" s="912">
        <f t="shared" si="10"/>
        <v>4280.0399999999991</v>
      </c>
      <c r="Q77" s="912">
        <f t="shared" si="10"/>
        <v>2377.8133121974734</v>
      </c>
      <c r="R77" s="912"/>
      <c r="S77" s="912"/>
      <c r="T77" s="912">
        <f t="shared" si="11"/>
        <v>4933.5087199999989</v>
      </c>
      <c r="U77" s="912">
        <f t="shared" si="11"/>
        <v>2740.8477041280325</v>
      </c>
      <c r="V77" s="912"/>
      <c r="W77" s="912"/>
      <c r="X77" s="912">
        <f t="shared" si="12"/>
        <v>5206.4799999999996</v>
      </c>
      <c r="Y77" s="912">
        <f t="shared" si="12"/>
        <v>2892.5024103428968</v>
      </c>
      <c r="Z77" s="912"/>
      <c r="AA77" s="912"/>
      <c r="AB77" s="912">
        <f t="shared" si="13"/>
        <v>6110.0499999999993</v>
      </c>
      <c r="AC77" s="912">
        <f t="shared" si="13"/>
        <v>3394.4897526625409</v>
      </c>
      <c r="AD77" s="879"/>
      <c r="AE77" s="880">
        <f t="shared" si="14"/>
        <v>0.55555866585299996</v>
      </c>
      <c r="AF77" s="889"/>
      <c r="AG77" s="889"/>
      <c r="AH77" s="889"/>
      <c r="AI77" s="889"/>
    </row>
    <row r="78" spans="1:35" ht="13.5" hidden="1" thickBot="1" x14ac:dyDescent="0.25">
      <c r="A78" s="906"/>
      <c r="B78" s="910"/>
      <c r="C78" s="911"/>
      <c r="D78" s="912">
        <f t="shared" si="7"/>
        <v>-12.388</v>
      </c>
      <c r="E78" s="912">
        <f t="shared" si="7"/>
        <v>-6.8819999999999997</v>
      </c>
      <c r="F78" s="912"/>
      <c r="G78" s="912"/>
      <c r="H78" s="912">
        <f t="shared" si="8"/>
        <v>-30.97</v>
      </c>
      <c r="I78" s="912">
        <f t="shared" si="8"/>
        <v>-17.204999999999998</v>
      </c>
      <c r="J78" s="912"/>
      <c r="K78" s="912"/>
      <c r="L78" s="912">
        <f t="shared" si="9"/>
        <v>-92.91</v>
      </c>
      <c r="M78" s="912">
        <f t="shared" si="9"/>
        <v>-51.614999999999995</v>
      </c>
      <c r="N78" s="912"/>
      <c r="O78" s="912"/>
      <c r="P78" s="912">
        <f t="shared" si="10"/>
        <v>-154.85</v>
      </c>
      <c r="Q78" s="912">
        <f t="shared" si="10"/>
        <v>-86.024999999999991</v>
      </c>
      <c r="R78" s="912"/>
      <c r="S78" s="912"/>
      <c r="T78" s="912">
        <f t="shared" si="11"/>
        <v>-238.84063999999998</v>
      </c>
      <c r="U78" s="912">
        <f t="shared" si="11"/>
        <v>-132.68495999999999</v>
      </c>
      <c r="V78" s="912"/>
      <c r="W78" s="912"/>
      <c r="X78" s="912">
        <f t="shared" si="12"/>
        <v>-278.73</v>
      </c>
      <c r="Y78" s="912">
        <f t="shared" si="12"/>
        <v>-154.84499999999997</v>
      </c>
      <c r="Z78" s="912"/>
      <c r="AA78" s="912"/>
      <c r="AB78" s="912">
        <f t="shared" si="13"/>
        <v>-371.64</v>
      </c>
      <c r="AC78" s="912">
        <f t="shared" si="13"/>
        <v>-206.45999999999998</v>
      </c>
      <c r="AD78" s="879"/>
      <c r="AE78" s="880">
        <f t="shared" si="14"/>
        <v>0.55553761704875682</v>
      </c>
      <c r="AF78" s="889"/>
      <c r="AG78" s="889"/>
      <c r="AH78" s="889"/>
      <c r="AI78" s="889"/>
    </row>
    <row r="79" spans="1:35" ht="13.5" hidden="1" thickBot="1" x14ac:dyDescent="0.25">
      <c r="A79" s="906"/>
      <c r="B79" s="910" t="s">
        <v>27734</v>
      </c>
      <c r="C79" s="911" t="s">
        <v>27740</v>
      </c>
      <c r="D79" s="912">
        <f t="shared" si="7"/>
        <v>3622.384</v>
      </c>
      <c r="E79" s="912">
        <f t="shared" si="7"/>
        <v>2012.4320835935264</v>
      </c>
      <c r="F79" s="912"/>
      <c r="G79" s="912"/>
      <c r="H79" s="912">
        <f t="shared" si="8"/>
        <v>3775.8900000000003</v>
      </c>
      <c r="I79" s="912">
        <f t="shared" si="8"/>
        <v>2097.7168823200136</v>
      </c>
      <c r="J79" s="912"/>
      <c r="K79" s="912"/>
      <c r="L79" s="912">
        <f t="shared" si="9"/>
        <v>4733.25</v>
      </c>
      <c r="M79" s="912">
        <f t="shared" si="9"/>
        <v>2629.5925605332804</v>
      </c>
      <c r="N79" s="912"/>
      <c r="O79" s="912"/>
      <c r="P79" s="912">
        <f t="shared" si="10"/>
        <v>5591.5099999999993</v>
      </c>
      <c r="Q79" s="912">
        <f t="shared" si="10"/>
        <v>3106.3967634209653</v>
      </c>
      <c r="R79" s="912"/>
      <c r="S79" s="912"/>
      <c r="T79" s="912">
        <f t="shared" si="11"/>
        <v>7075.8687199999995</v>
      </c>
      <c r="U79" s="912">
        <f t="shared" si="11"/>
        <v>3931.0542931489263</v>
      </c>
      <c r="V79" s="912"/>
      <c r="W79" s="912"/>
      <c r="X79" s="912">
        <f t="shared" si="12"/>
        <v>7750.4400000000005</v>
      </c>
      <c r="Y79" s="912">
        <f t="shared" si="12"/>
        <v>4305.8082983188779</v>
      </c>
      <c r="Z79" s="912"/>
      <c r="AA79" s="912"/>
      <c r="AB79" s="912">
        <f t="shared" si="13"/>
        <v>9441.8200000000015</v>
      </c>
      <c r="AC79" s="912">
        <f t="shared" si="13"/>
        <v>5245.4725485741492</v>
      </c>
      <c r="AD79" s="879"/>
      <c r="AE79" s="880">
        <f t="shared" si="14"/>
        <v>0.55555597028726866</v>
      </c>
      <c r="AF79" s="889"/>
      <c r="AG79" s="889"/>
      <c r="AH79" s="889"/>
      <c r="AI79" s="889"/>
    </row>
    <row r="80" spans="1:35" ht="13.5" hidden="1" thickBot="1" x14ac:dyDescent="0.25">
      <c r="A80" s="906"/>
      <c r="B80" s="910"/>
      <c r="C80" s="911"/>
      <c r="D80" s="912">
        <f t="shared" si="7"/>
        <v>-12.388</v>
      </c>
      <c r="E80" s="912">
        <f t="shared" si="7"/>
        <v>-6.8819999999999997</v>
      </c>
      <c r="F80" s="912"/>
      <c r="G80" s="912"/>
      <c r="H80" s="912">
        <f t="shared" si="8"/>
        <v>-30.97</v>
      </c>
      <c r="I80" s="912">
        <f t="shared" si="8"/>
        <v>-17.204999999999998</v>
      </c>
      <c r="J80" s="912"/>
      <c r="K80" s="912"/>
      <c r="L80" s="912">
        <f t="shared" si="9"/>
        <v>-92.91</v>
      </c>
      <c r="M80" s="912">
        <f t="shared" si="9"/>
        <v>-51.614999999999995</v>
      </c>
      <c r="N80" s="912"/>
      <c r="O80" s="912"/>
      <c r="P80" s="912">
        <f t="shared" si="10"/>
        <v>-154.85</v>
      </c>
      <c r="Q80" s="912">
        <f t="shared" si="10"/>
        <v>-86.024999999999991</v>
      </c>
      <c r="R80" s="912"/>
      <c r="S80" s="912"/>
      <c r="T80" s="912">
        <f t="shared" si="11"/>
        <v>-238.84063999999998</v>
      </c>
      <c r="U80" s="912">
        <f t="shared" si="11"/>
        <v>-132.68495999999999</v>
      </c>
      <c r="V80" s="912"/>
      <c r="W80" s="912"/>
      <c r="X80" s="912">
        <f t="shared" si="12"/>
        <v>-278.73</v>
      </c>
      <c r="Y80" s="912">
        <f t="shared" si="12"/>
        <v>-154.84499999999997</v>
      </c>
      <c r="Z80" s="912"/>
      <c r="AA80" s="912"/>
      <c r="AB80" s="912">
        <f t="shared" si="13"/>
        <v>-371.64</v>
      </c>
      <c r="AC80" s="912">
        <f t="shared" si="13"/>
        <v>-206.45999999999998</v>
      </c>
      <c r="AD80" s="879"/>
      <c r="AE80" s="880">
        <f t="shared" si="14"/>
        <v>0.55553761704875682</v>
      </c>
      <c r="AF80" s="889"/>
      <c r="AG80" s="889"/>
      <c r="AH80" s="889"/>
      <c r="AI80" s="889"/>
    </row>
    <row r="81" spans="1:35" ht="13.5" hidden="1" thickBot="1" x14ac:dyDescent="0.25">
      <c r="A81" s="906"/>
      <c r="B81" s="910" t="s">
        <v>27735</v>
      </c>
      <c r="C81" s="911" t="s">
        <v>27740</v>
      </c>
      <c r="D81" s="912">
        <f t="shared" si="7"/>
        <v>4129.8140000000003</v>
      </c>
      <c r="E81" s="912">
        <f t="shared" si="7"/>
        <v>2294.3442563597423</v>
      </c>
      <c r="F81" s="912"/>
      <c r="G81" s="912"/>
      <c r="H81" s="912">
        <f t="shared" si="8"/>
        <v>4327.1799999999994</v>
      </c>
      <c r="I81" s="912">
        <f t="shared" si="8"/>
        <v>2403.9947793995584</v>
      </c>
      <c r="J81" s="912"/>
      <c r="K81" s="912"/>
      <c r="L81" s="912">
        <f t="shared" si="9"/>
        <v>5735.37</v>
      </c>
      <c r="M81" s="912">
        <f t="shared" si="9"/>
        <v>3186.3202486642322</v>
      </c>
      <c r="N81" s="912"/>
      <c r="O81" s="912"/>
      <c r="P81" s="912">
        <f t="shared" si="10"/>
        <v>7114.36</v>
      </c>
      <c r="Q81" s="912">
        <f t="shared" si="10"/>
        <v>3952.4331375066313</v>
      </c>
      <c r="R81" s="912"/>
      <c r="S81" s="912"/>
      <c r="T81" s="912">
        <f t="shared" si="11"/>
        <v>8966.6505873199985</v>
      </c>
      <c r="U81" s="912">
        <f t="shared" si="11"/>
        <v>4950.5433482549379</v>
      </c>
      <c r="V81" s="912"/>
      <c r="W81" s="912"/>
      <c r="X81" s="912">
        <f t="shared" si="12"/>
        <v>9896.8324908552222</v>
      </c>
      <c r="Y81" s="912">
        <f t="shared" si="12"/>
        <v>5424.9253551327693</v>
      </c>
      <c r="Z81" s="912"/>
      <c r="AA81" s="912"/>
      <c r="AB81" s="912">
        <f t="shared" si="13"/>
        <v>13195.77665447363</v>
      </c>
      <c r="AC81" s="912">
        <f t="shared" si="13"/>
        <v>6215.0411635210394</v>
      </c>
      <c r="AD81" s="879"/>
      <c r="AE81" s="880">
        <f t="shared" si="14"/>
        <v>0.55555708981646013</v>
      </c>
      <c r="AF81" s="889"/>
      <c r="AG81" s="889"/>
      <c r="AH81" s="889"/>
      <c r="AI81" s="889"/>
    </row>
    <row r="82" spans="1:35" ht="13.5" hidden="1" thickBot="1" x14ac:dyDescent="0.25">
      <c r="A82" s="906"/>
      <c r="B82" s="910"/>
      <c r="C82" s="911"/>
      <c r="D82" s="912">
        <f t="shared" si="7"/>
        <v>-12.388</v>
      </c>
      <c r="E82" s="912">
        <f t="shared" si="7"/>
        <v>-6.8819999999999997</v>
      </c>
      <c r="F82" s="912"/>
      <c r="G82" s="912"/>
      <c r="H82" s="912">
        <f t="shared" si="8"/>
        <v>-30.97</v>
      </c>
      <c r="I82" s="912">
        <f t="shared" si="8"/>
        <v>-17.204999999999998</v>
      </c>
      <c r="J82" s="912"/>
      <c r="K82" s="912"/>
      <c r="L82" s="912">
        <f t="shared" si="9"/>
        <v>-92.91</v>
      </c>
      <c r="M82" s="912">
        <f t="shared" si="9"/>
        <v>-51.614999999999995</v>
      </c>
      <c r="N82" s="912"/>
      <c r="O82" s="912"/>
      <c r="P82" s="912">
        <f t="shared" si="10"/>
        <v>-154.85</v>
      </c>
      <c r="Q82" s="912">
        <f t="shared" si="10"/>
        <v>-86.024999999999991</v>
      </c>
      <c r="R82" s="912"/>
      <c r="S82" s="912"/>
      <c r="T82" s="912">
        <f t="shared" si="11"/>
        <v>-238.84063999999998</v>
      </c>
      <c r="U82" s="912">
        <f t="shared" si="11"/>
        <v>-132.68495999999999</v>
      </c>
      <c r="V82" s="912"/>
      <c r="W82" s="912"/>
      <c r="X82" s="912">
        <f t="shared" si="12"/>
        <v>-278.73</v>
      </c>
      <c r="Y82" s="912">
        <f t="shared" si="12"/>
        <v>-154.84499999999997</v>
      </c>
      <c r="Z82" s="912"/>
      <c r="AA82" s="912"/>
      <c r="AB82" s="912">
        <f t="shared" si="13"/>
        <v>-371.64</v>
      </c>
      <c r="AC82" s="912">
        <f t="shared" si="13"/>
        <v>-206.45999999999998</v>
      </c>
      <c r="AD82" s="879"/>
      <c r="AE82" s="880">
        <f t="shared" si="14"/>
        <v>0.55553761704875682</v>
      </c>
      <c r="AF82" s="889"/>
      <c r="AG82" s="889"/>
      <c r="AH82" s="889"/>
      <c r="AI82" s="889"/>
    </row>
    <row r="83" spans="1:35" ht="13.5" hidden="1" thickBot="1" x14ac:dyDescent="0.25">
      <c r="A83" s="906"/>
      <c r="B83" s="910" t="s">
        <v>27736</v>
      </c>
      <c r="C83" s="911" t="s">
        <v>27740</v>
      </c>
      <c r="D83" s="912">
        <f t="shared" si="7"/>
        <v>4875.8240000000005</v>
      </c>
      <c r="E83" s="912">
        <f t="shared" si="7"/>
        <v>2708.7967741382136</v>
      </c>
      <c r="F83" s="912"/>
      <c r="G83" s="912"/>
      <c r="H83" s="912">
        <f t="shared" si="8"/>
        <v>5161.82</v>
      </c>
      <c r="I83" s="912">
        <f t="shared" si="8"/>
        <v>2867.6758763241414</v>
      </c>
      <c r="J83" s="912"/>
      <c r="K83" s="912"/>
      <c r="L83" s="912">
        <f t="shared" si="9"/>
        <v>7100.4500000000007</v>
      </c>
      <c r="M83" s="912">
        <f t="shared" si="9"/>
        <v>3944.6983284860335</v>
      </c>
      <c r="N83" s="912"/>
      <c r="O83" s="912"/>
      <c r="P83" s="912">
        <f t="shared" si="10"/>
        <v>9282.8808439999993</v>
      </c>
      <c r="Q83" s="912">
        <f t="shared" si="10"/>
        <v>4733.6604196745757</v>
      </c>
      <c r="R83" s="912"/>
      <c r="S83" s="912"/>
      <c r="T83" s="912">
        <f t="shared" si="11"/>
        <v>11114.392064599997</v>
      </c>
      <c r="U83" s="912">
        <f t="shared" si="11"/>
        <v>5953.675399376415</v>
      </c>
      <c r="V83" s="912"/>
      <c r="W83" s="912"/>
      <c r="X83" s="912">
        <f t="shared" si="12"/>
        <v>11768.650000000001</v>
      </c>
      <c r="Y83" s="912">
        <f t="shared" si="12"/>
        <v>6538.1541109779428</v>
      </c>
      <c r="Z83" s="912"/>
      <c r="AA83" s="912"/>
      <c r="AB83" s="912">
        <f t="shared" si="13"/>
        <v>15978.966436247785</v>
      </c>
      <c r="AC83" s="912">
        <f t="shared" si="13"/>
        <v>7831.0987650704847</v>
      </c>
      <c r="AD83" s="879"/>
      <c r="AE83" s="880">
        <f t="shared" si="14"/>
        <v>0.50993441575135401</v>
      </c>
      <c r="AF83" s="889"/>
      <c r="AG83" s="889"/>
      <c r="AH83" s="889"/>
      <c r="AI83" s="889"/>
    </row>
    <row r="84" spans="1:35" ht="13.5" hidden="1" thickBot="1" x14ac:dyDescent="0.25">
      <c r="A84" s="906"/>
      <c r="B84" s="910"/>
      <c r="C84" s="911"/>
      <c r="D84" s="912">
        <f t="shared" si="7"/>
        <v>-12.388</v>
      </c>
      <c r="E84" s="912">
        <f t="shared" si="7"/>
        <v>-6.8819999999999997</v>
      </c>
      <c r="F84" s="912"/>
      <c r="G84" s="912"/>
      <c r="H84" s="912">
        <f t="shared" si="8"/>
        <v>-30.97</v>
      </c>
      <c r="I84" s="912">
        <f t="shared" si="8"/>
        <v>-17.204999999999998</v>
      </c>
      <c r="J84" s="912"/>
      <c r="K84" s="912"/>
      <c r="L84" s="912">
        <f t="shared" si="9"/>
        <v>-92.91</v>
      </c>
      <c r="M84" s="912">
        <f t="shared" si="9"/>
        <v>-51.614999999999995</v>
      </c>
      <c r="N84" s="912"/>
      <c r="O84" s="912"/>
      <c r="P84" s="912">
        <f t="shared" si="10"/>
        <v>-154.85</v>
      </c>
      <c r="Q84" s="912">
        <f t="shared" si="10"/>
        <v>-86.024999999999991</v>
      </c>
      <c r="R84" s="912"/>
      <c r="S84" s="912"/>
      <c r="T84" s="912">
        <f t="shared" si="11"/>
        <v>-238.84063999999998</v>
      </c>
      <c r="U84" s="912">
        <f t="shared" si="11"/>
        <v>-132.68495999999999</v>
      </c>
      <c r="V84" s="912"/>
      <c r="W84" s="912"/>
      <c r="X84" s="912">
        <f t="shared" si="12"/>
        <v>-278.73</v>
      </c>
      <c r="Y84" s="912">
        <f t="shared" si="12"/>
        <v>-154.84499999999997</v>
      </c>
      <c r="Z84" s="912"/>
      <c r="AA84" s="912"/>
      <c r="AB84" s="912">
        <f t="shared" si="13"/>
        <v>-371.64</v>
      </c>
      <c r="AC84" s="912">
        <f t="shared" si="13"/>
        <v>-206.45999999999998</v>
      </c>
      <c r="AD84" s="879"/>
      <c r="AE84" s="880">
        <f t="shared" si="14"/>
        <v>0.55553761704875682</v>
      </c>
      <c r="AF84" s="889"/>
      <c r="AG84" s="889"/>
      <c r="AH84" s="889"/>
      <c r="AI84" s="889"/>
    </row>
    <row r="85" spans="1:35" ht="13.5" hidden="1" thickBot="1" x14ac:dyDescent="0.25">
      <c r="A85" s="906"/>
      <c r="B85" s="913" t="s">
        <v>27737</v>
      </c>
      <c r="C85" s="911" t="s">
        <v>27740</v>
      </c>
      <c r="D85" s="912">
        <f t="shared" si="7"/>
        <v>5247.0640000000003</v>
      </c>
      <c r="E85" s="912">
        <f t="shared" si="7"/>
        <v>2915.0330820695531</v>
      </c>
      <c r="F85" s="912"/>
      <c r="G85" s="912"/>
      <c r="H85" s="912">
        <f t="shared" si="8"/>
        <v>5542.91</v>
      </c>
      <c r="I85" s="912">
        <f t="shared" si="8"/>
        <v>3079.4018960328399</v>
      </c>
      <c r="J85" s="912"/>
      <c r="K85" s="912"/>
      <c r="L85" s="912">
        <f t="shared" si="9"/>
        <v>8158.6200000000008</v>
      </c>
      <c r="M85" s="912">
        <f t="shared" si="9"/>
        <v>4532.5666708995113</v>
      </c>
      <c r="N85" s="912"/>
      <c r="O85" s="912"/>
      <c r="P85" s="912">
        <f t="shared" si="10"/>
        <v>10363.248798642831</v>
      </c>
      <c r="Q85" s="912">
        <f t="shared" si="10"/>
        <v>5443.6684077227083</v>
      </c>
      <c r="R85" s="912"/>
      <c r="S85" s="912"/>
      <c r="T85" s="912">
        <f t="shared" si="11"/>
        <v>12278.74872</v>
      </c>
      <c r="U85" s="912">
        <f t="shared" si="11"/>
        <v>6821.5409264068785</v>
      </c>
      <c r="V85" s="912"/>
      <c r="W85" s="912"/>
      <c r="X85" s="912">
        <f t="shared" si="12"/>
        <v>13813.61</v>
      </c>
      <c r="Y85" s="912">
        <f t="shared" si="12"/>
        <v>7674.2440749551261</v>
      </c>
      <c r="Z85" s="912"/>
      <c r="AA85" s="912"/>
      <c r="AB85" s="912">
        <f t="shared" si="13"/>
        <v>17300.776332606605</v>
      </c>
      <c r="AC85" s="912">
        <f t="shared" si="13"/>
        <v>9256.2140897734917</v>
      </c>
      <c r="AD85" s="879"/>
      <c r="AE85" s="880">
        <f t="shared" si="14"/>
        <v>0.52528589378608859</v>
      </c>
      <c r="AF85" s="889"/>
      <c r="AG85" s="889"/>
      <c r="AH85" s="889"/>
      <c r="AI85" s="889"/>
    </row>
    <row r="86" spans="1:35" ht="13.5" hidden="1" thickBot="1" x14ac:dyDescent="0.25">
      <c r="A86" s="906"/>
      <c r="B86" s="910"/>
      <c r="C86" s="911"/>
      <c r="D86" s="912">
        <f t="shared" si="7"/>
        <v>-12.388</v>
      </c>
      <c r="E86" s="912">
        <f t="shared" si="7"/>
        <v>-6.8819999999999997</v>
      </c>
      <c r="F86" s="912"/>
      <c r="G86" s="912"/>
      <c r="H86" s="912">
        <f t="shared" si="8"/>
        <v>-30.97</v>
      </c>
      <c r="I86" s="912">
        <f t="shared" si="8"/>
        <v>-17.204999999999998</v>
      </c>
      <c r="J86" s="912"/>
      <c r="K86" s="912"/>
      <c r="L86" s="912">
        <f t="shared" si="9"/>
        <v>-92.91</v>
      </c>
      <c r="M86" s="912">
        <f t="shared" si="9"/>
        <v>-51.614999999999995</v>
      </c>
      <c r="N86" s="912"/>
      <c r="O86" s="912"/>
      <c r="P86" s="912">
        <f t="shared" si="10"/>
        <v>-154.85</v>
      </c>
      <c r="Q86" s="912">
        <f t="shared" si="10"/>
        <v>-86.024999999999991</v>
      </c>
      <c r="R86" s="912"/>
      <c r="S86" s="912"/>
      <c r="T86" s="912">
        <f t="shared" si="11"/>
        <v>-238.84063999999998</v>
      </c>
      <c r="U86" s="912">
        <f t="shared" si="11"/>
        <v>-132.68495999999999</v>
      </c>
      <c r="V86" s="912"/>
      <c r="W86" s="912"/>
      <c r="X86" s="912">
        <f t="shared" si="12"/>
        <v>-278.73</v>
      </c>
      <c r="Y86" s="912">
        <f t="shared" si="12"/>
        <v>-154.84499999999997</v>
      </c>
      <c r="Z86" s="912"/>
      <c r="AA86" s="912"/>
      <c r="AB86" s="912">
        <f t="shared" si="13"/>
        <v>-371.64</v>
      </c>
      <c r="AC86" s="912">
        <f t="shared" si="13"/>
        <v>-206.45999999999998</v>
      </c>
      <c r="AD86" s="879"/>
      <c r="AE86" s="879"/>
      <c r="AF86" s="889"/>
      <c r="AG86" s="889"/>
      <c r="AH86" s="889"/>
      <c r="AI86" s="889"/>
    </row>
    <row r="87" spans="1:35" ht="13.5" hidden="1" thickBot="1" x14ac:dyDescent="0.25">
      <c r="A87" s="906"/>
      <c r="B87" s="913" t="s">
        <v>27741</v>
      </c>
      <c r="C87" s="911" t="s">
        <v>27740</v>
      </c>
      <c r="D87" s="912">
        <f t="shared" si="7"/>
        <v>5482.9539999999997</v>
      </c>
      <c r="E87" s="912">
        <f t="shared" si="7"/>
        <v>3046.0833991763802</v>
      </c>
      <c r="F87" s="912"/>
      <c r="G87" s="912"/>
      <c r="H87" s="912">
        <f t="shared" si="8"/>
        <v>5798.57</v>
      </c>
      <c r="I87" s="912">
        <f t="shared" si="8"/>
        <v>3221.4264097303271</v>
      </c>
      <c r="J87" s="912"/>
      <c r="K87" s="912"/>
      <c r="L87" s="912">
        <f t="shared" si="9"/>
        <v>8482.85</v>
      </c>
      <c r="M87" s="912">
        <f t="shared" si="9"/>
        <v>4712.7026281173385</v>
      </c>
      <c r="N87" s="912"/>
      <c r="O87" s="912"/>
      <c r="P87" s="912">
        <f t="shared" si="10"/>
        <v>10100.83</v>
      </c>
      <c r="Q87" s="912">
        <f t="shared" si="10"/>
        <v>5611.5821601294665</v>
      </c>
      <c r="R87" s="912"/>
      <c r="S87" s="912"/>
      <c r="T87" s="912">
        <f t="shared" si="11"/>
        <v>13159.548719999999</v>
      </c>
      <c r="U87" s="912">
        <f t="shared" si="11"/>
        <v>7310.8691137322403</v>
      </c>
      <c r="V87" s="912"/>
      <c r="W87" s="912"/>
      <c r="X87" s="912">
        <f t="shared" si="12"/>
        <v>14521.060000000001</v>
      </c>
      <c r="Y87" s="912">
        <f t="shared" si="12"/>
        <v>8067.2710289920151</v>
      </c>
      <c r="Z87" s="912"/>
      <c r="AA87" s="912"/>
      <c r="AB87" s="912"/>
      <c r="AC87" s="912"/>
      <c r="AD87" s="879"/>
      <c r="AE87" s="879"/>
      <c r="AF87" s="889"/>
      <c r="AG87" s="889"/>
      <c r="AH87" s="889"/>
      <c r="AI87" s="889"/>
    </row>
    <row r="88" spans="1:35" hidden="1" x14ac:dyDescent="0.2">
      <c r="A88" s="901"/>
      <c r="B88" s="901"/>
      <c r="C88" s="901"/>
      <c r="D88" s="901"/>
      <c r="E88" s="901"/>
      <c r="F88" s="901"/>
      <c r="G88" s="901"/>
      <c r="H88" s="901"/>
      <c r="I88" s="901"/>
      <c r="J88" s="901"/>
      <c r="K88" s="901"/>
      <c r="L88" s="901"/>
      <c r="M88" s="901"/>
      <c r="N88" s="901"/>
      <c r="O88" s="901"/>
      <c r="P88" s="901"/>
      <c r="Q88" s="901"/>
      <c r="R88" s="901"/>
      <c r="S88" s="901"/>
      <c r="T88" s="901"/>
      <c r="U88" s="901"/>
      <c r="V88" s="901"/>
      <c r="W88" s="901"/>
      <c r="X88" s="901"/>
      <c r="Y88" s="901"/>
      <c r="Z88" s="901"/>
      <c r="AA88" s="901"/>
      <c r="AB88" s="901"/>
      <c r="AC88" s="901"/>
      <c r="AD88" s="855"/>
      <c r="AE88" s="855"/>
    </row>
    <row r="89" spans="1:35" ht="15.75" hidden="1" x14ac:dyDescent="0.2">
      <c r="A89" s="901"/>
      <c r="B89" s="2922" t="s">
        <v>442</v>
      </c>
      <c r="C89" s="2922"/>
      <c r="D89" s="2922"/>
      <c r="E89" s="2922"/>
      <c r="F89" s="2922"/>
      <c r="G89" s="2922"/>
      <c r="H89" s="2922"/>
      <c r="I89" s="902" t="s">
        <v>27742</v>
      </c>
      <c r="J89" s="901"/>
      <c r="K89" s="901"/>
      <c r="L89" s="901"/>
      <c r="M89" s="901"/>
      <c r="N89" s="901"/>
      <c r="O89" s="901"/>
      <c r="P89" s="901"/>
      <c r="Q89" s="901"/>
      <c r="R89" s="901"/>
      <c r="S89" s="901"/>
      <c r="T89" s="901"/>
      <c r="U89" s="901"/>
      <c r="V89" s="901"/>
      <c r="W89" s="901"/>
      <c r="X89" s="901"/>
      <c r="Y89" s="901"/>
      <c r="Z89" s="901"/>
      <c r="AA89" s="901"/>
      <c r="AB89" s="901"/>
      <c r="AC89" s="901"/>
      <c r="AD89" s="855"/>
      <c r="AE89" s="855"/>
    </row>
    <row r="90" spans="1:35" ht="16.5" hidden="1" thickBot="1" x14ac:dyDescent="0.3">
      <c r="A90" s="901"/>
      <c r="B90" s="905" t="s">
        <v>27743</v>
      </c>
      <c r="C90" s="904"/>
      <c r="D90" s="901"/>
      <c r="E90" s="901"/>
      <c r="F90" s="901"/>
      <c r="G90" s="901"/>
      <c r="H90" s="901"/>
      <c r="I90" s="901"/>
      <c r="J90" s="901"/>
      <c r="K90" s="901"/>
      <c r="L90" s="901"/>
      <c r="M90" s="901"/>
      <c r="N90" s="901"/>
      <c r="O90" s="901"/>
      <c r="P90" s="901"/>
      <c r="Q90" s="901"/>
      <c r="R90" s="901"/>
      <c r="S90" s="901"/>
      <c r="T90" s="901"/>
      <c r="U90" s="901"/>
      <c r="V90" s="901"/>
      <c r="W90" s="901"/>
      <c r="X90" s="901"/>
      <c r="Y90" s="901"/>
      <c r="Z90" s="901"/>
      <c r="AA90" s="901"/>
      <c r="AB90" s="901"/>
      <c r="AC90" s="901"/>
      <c r="AD90" s="855"/>
      <c r="AE90" s="855"/>
    </row>
    <row r="91" spans="1:35" ht="17.45" hidden="1" customHeight="1" thickBot="1" x14ac:dyDescent="0.35">
      <c r="A91" s="906"/>
      <c r="B91" s="907" t="s">
        <v>27728</v>
      </c>
      <c r="C91" s="2923" t="s">
        <v>27729</v>
      </c>
      <c r="D91" s="2924" t="s">
        <v>27730</v>
      </c>
      <c r="E91" s="2924"/>
      <c r="F91" s="2924"/>
      <c r="G91" s="2924"/>
      <c r="H91" s="2924"/>
      <c r="I91" s="2924"/>
      <c r="J91" s="2924"/>
      <c r="K91" s="2924"/>
      <c r="L91" s="2924"/>
      <c r="M91" s="2924"/>
      <c r="N91" s="2924"/>
      <c r="O91" s="2924"/>
      <c r="P91" s="2924"/>
      <c r="Q91" s="2924"/>
      <c r="R91" s="2924"/>
      <c r="S91" s="2924"/>
      <c r="T91" s="2924"/>
      <c r="U91" s="2924"/>
      <c r="V91" s="2924"/>
      <c r="W91" s="2924"/>
      <c r="X91" s="2924"/>
      <c r="Y91" s="2924"/>
      <c r="Z91" s="2924"/>
      <c r="AA91" s="2924"/>
      <c r="AB91" s="2924"/>
      <c r="AC91" s="2924"/>
      <c r="AD91" s="862"/>
      <c r="AE91" s="862"/>
      <c r="AF91" s="862"/>
      <c r="AG91" s="862"/>
      <c r="AH91" s="862"/>
      <c r="AI91" s="862"/>
    </row>
    <row r="92" spans="1:35" ht="21.2" hidden="1" customHeight="1" thickBot="1" x14ac:dyDescent="0.25">
      <c r="A92" s="906"/>
      <c r="B92" s="907" t="s">
        <v>27731</v>
      </c>
      <c r="C92" s="2923"/>
      <c r="D92" s="2925" t="s">
        <v>27732</v>
      </c>
      <c r="E92" s="2925"/>
      <c r="F92" s="910"/>
      <c r="G92" s="910"/>
      <c r="H92" s="2925" t="s">
        <v>27733</v>
      </c>
      <c r="I92" s="2925"/>
      <c r="J92" s="910"/>
      <c r="K92" s="910"/>
      <c r="L92" s="2925" t="s">
        <v>27734</v>
      </c>
      <c r="M92" s="2925"/>
      <c r="N92" s="910"/>
      <c r="O92" s="910"/>
      <c r="P92" s="2925" t="s">
        <v>27735</v>
      </c>
      <c r="Q92" s="2925"/>
      <c r="R92" s="910"/>
      <c r="S92" s="910"/>
      <c r="T92" s="2925" t="s">
        <v>27736</v>
      </c>
      <c r="U92" s="2925"/>
      <c r="V92" s="910"/>
      <c r="W92" s="910"/>
      <c r="X92" s="2925" t="s">
        <v>27737</v>
      </c>
      <c r="Y92" s="2925"/>
      <c r="Z92" s="910"/>
      <c r="AA92" s="910"/>
      <c r="AB92" s="2925" t="s">
        <v>27738</v>
      </c>
      <c r="AC92" s="2925"/>
      <c r="AD92" s="867"/>
      <c r="AE92" s="867"/>
      <c r="AF92" s="868"/>
      <c r="AG92" s="868"/>
      <c r="AH92" s="868"/>
      <c r="AI92" s="868"/>
    </row>
    <row r="93" spans="1:35" ht="13.5" hidden="1" thickBot="1" x14ac:dyDescent="0.25">
      <c r="A93" s="906"/>
      <c r="B93" s="909"/>
      <c r="C93" s="909"/>
      <c r="D93" s="909" t="s">
        <v>27739</v>
      </c>
      <c r="E93" s="909" t="s">
        <v>27725</v>
      </c>
      <c r="F93" s="909"/>
      <c r="G93" s="909"/>
      <c r="H93" s="909" t="s">
        <v>27739</v>
      </c>
      <c r="I93" s="909" t="s">
        <v>27725</v>
      </c>
      <c r="J93" s="909"/>
      <c r="K93" s="909"/>
      <c r="L93" s="909" t="s">
        <v>27739</v>
      </c>
      <c r="M93" s="909" t="s">
        <v>27725</v>
      </c>
      <c r="N93" s="909"/>
      <c r="O93" s="909"/>
      <c r="P93" s="909" t="s">
        <v>27739</v>
      </c>
      <c r="Q93" s="909" t="s">
        <v>27725</v>
      </c>
      <c r="R93" s="909"/>
      <c r="S93" s="909"/>
      <c r="T93" s="909" t="s">
        <v>27739</v>
      </c>
      <c r="U93" s="909" t="s">
        <v>27725</v>
      </c>
      <c r="V93" s="909"/>
      <c r="W93" s="909"/>
      <c r="X93" s="909" t="s">
        <v>27739</v>
      </c>
      <c r="Y93" s="909" t="s">
        <v>27725</v>
      </c>
      <c r="Z93" s="909"/>
      <c r="AA93" s="909"/>
      <c r="AB93" s="909" t="s">
        <v>27739</v>
      </c>
      <c r="AC93" s="909" t="s">
        <v>27725</v>
      </c>
      <c r="AD93" s="870"/>
      <c r="AE93" s="870"/>
      <c r="AF93" s="871"/>
      <c r="AG93" s="871"/>
      <c r="AH93" s="871"/>
      <c r="AI93" s="871"/>
    </row>
    <row r="94" spans="1:35" ht="13.5" hidden="1" thickBot="1" x14ac:dyDescent="0.25">
      <c r="A94" s="906"/>
      <c r="B94" s="910" t="s">
        <v>27732</v>
      </c>
      <c r="C94" s="911" t="s">
        <v>27740</v>
      </c>
      <c r="D94" s="912">
        <f>D26-D$69*D$68</f>
        <v>2909.2040000000002</v>
      </c>
      <c r="E94" s="912">
        <f>E26-E$69*E$68</f>
        <v>1609.3437171022022</v>
      </c>
      <c r="F94" s="912"/>
      <c r="G94" s="912"/>
      <c r="H94" s="912">
        <f t="shared" ref="H94:AC94" si="15">H26-H$69*H$68</f>
        <v>3024.28</v>
      </c>
      <c r="I94" s="912">
        <f t="shared" si="15"/>
        <v>1662.9522814629636</v>
      </c>
      <c r="J94" s="912"/>
      <c r="K94" s="912"/>
      <c r="L94" s="912">
        <f t="shared" si="15"/>
        <v>3430.34</v>
      </c>
      <c r="M94" s="912">
        <f t="shared" si="15"/>
        <v>1854.1386619422319</v>
      </c>
      <c r="N94" s="912"/>
      <c r="O94" s="912"/>
      <c r="P94" s="912">
        <f t="shared" si="15"/>
        <v>3776.9700000000003</v>
      </c>
      <c r="Q94" s="912">
        <f t="shared" si="15"/>
        <v>2013.966599048792</v>
      </c>
      <c r="R94" s="912"/>
      <c r="S94" s="912"/>
      <c r="T94" s="912">
        <f t="shared" si="15"/>
        <v>4386.8287199999995</v>
      </c>
      <c r="U94" s="912">
        <f t="shared" si="15"/>
        <v>2304.4502332570892</v>
      </c>
      <c r="V94" s="912"/>
      <c r="W94" s="912"/>
      <c r="X94" s="912">
        <f t="shared" si="15"/>
        <v>4609.630000000001</v>
      </c>
      <c r="Y94" s="912">
        <f t="shared" si="15"/>
        <v>2406.0777588819042</v>
      </c>
      <c r="Z94" s="912"/>
      <c r="AA94" s="912"/>
      <c r="AB94" s="912">
        <f t="shared" si="15"/>
        <v>5320.99910839532</v>
      </c>
      <c r="AC94" s="912">
        <f t="shared" si="15"/>
        <v>2697.486033230316</v>
      </c>
      <c r="AD94" s="879"/>
      <c r="AE94" s="879"/>
      <c r="AF94" s="889"/>
      <c r="AG94" s="889"/>
      <c r="AH94" s="889"/>
      <c r="AI94" s="889"/>
    </row>
    <row r="95" spans="1:35" ht="13.5" hidden="1" thickBot="1" x14ac:dyDescent="0.25">
      <c r="A95" s="906"/>
      <c r="B95" s="910"/>
      <c r="C95" s="911"/>
      <c r="D95" s="912">
        <f t="shared" ref="D95:AC106" si="16">D27-D$69*D$68</f>
        <v>-12.388</v>
      </c>
      <c r="E95" s="912">
        <f t="shared" si="16"/>
        <v>-6.8819999999999997</v>
      </c>
      <c r="F95" s="912"/>
      <c r="G95" s="912"/>
      <c r="H95" s="912">
        <f t="shared" si="16"/>
        <v>-30.97</v>
      </c>
      <c r="I95" s="912">
        <f t="shared" si="16"/>
        <v>-17.204999999999998</v>
      </c>
      <c r="J95" s="912"/>
      <c r="K95" s="912"/>
      <c r="L95" s="912">
        <f t="shared" si="16"/>
        <v>-92.91</v>
      </c>
      <c r="M95" s="912">
        <f t="shared" si="16"/>
        <v>-51.614999999999995</v>
      </c>
      <c r="N95" s="912"/>
      <c r="O95" s="912"/>
      <c r="P95" s="912">
        <f t="shared" si="16"/>
        <v>-154.85</v>
      </c>
      <c r="Q95" s="912">
        <f t="shared" si="16"/>
        <v>-86.024999999999991</v>
      </c>
      <c r="R95" s="912"/>
      <c r="S95" s="912"/>
      <c r="T95" s="912">
        <f t="shared" si="16"/>
        <v>-238.84063999999998</v>
      </c>
      <c r="U95" s="912">
        <f t="shared" si="16"/>
        <v>-132.68495999999999</v>
      </c>
      <c r="V95" s="912"/>
      <c r="W95" s="912"/>
      <c r="X95" s="912">
        <f t="shared" si="16"/>
        <v>-278.73</v>
      </c>
      <c r="Y95" s="912">
        <f t="shared" si="16"/>
        <v>-154.84499999999997</v>
      </c>
      <c r="Z95" s="912"/>
      <c r="AA95" s="912"/>
      <c r="AB95" s="912">
        <f t="shared" si="16"/>
        <v>-371.64</v>
      </c>
      <c r="AC95" s="912">
        <f t="shared" si="16"/>
        <v>-206.45999999999998</v>
      </c>
      <c r="AD95" s="879"/>
      <c r="AE95" s="879"/>
      <c r="AF95" s="889"/>
      <c r="AG95" s="889"/>
      <c r="AH95" s="889"/>
      <c r="AI95" s="889"/>
    </row>
    <row r="96" spans="1:35" ht="13.5" hidden="1" thickBot="1" x14ac:dyDescent="0.25">
      <c r="A96" s="906"/>
      <c r="B96" s="910" t="s">
        <v>27733</v>
      </c>
      <c r="C96" s="911" t="s">
        <v>27740</v>
      </c>
      <c r="D96" s="912">
        <f t="shared" si="16"/>
        <v>2979.6040000000003</v>
      </c>
      <c r="E96" s="912">
        <f t="shared" si="16"/>
        <v>1678.4542643302282</v>
      </c>
      <c r="F96" s="912"/>
      <c r="G96" s="912"/>
      <c r="H96" s="912">
        <f t="shared" si="16"/>
        <v>3161.8400000000006</v>
      </c>
      <c r="I96" s="912">
        <f t="shared" si="16"/>
        <v>1739.3725459849879</v>
      </c>
      <c r="J96" s="912"/>
      <c r="K96" s="912"/>
      <c r="L96" s="912">
        <f t="shared" si="16"/>
        <v>3611.76</v>
      </c>
      <c r="M96" s="912">
        <f t="shared" si="16"/>
        <v>1954.9246507775856</v>
      </c>
      <c r="N96" s="912"/>
      <c r="O96" s="912"/>
      <c r="P96" s="912">
        <f t="shared" si="16"/>
        <v>4005.2399999999993</v>
      </c>
      <c r="Q96" s="912">
        <f t="shared" si="16"/>
        <v>2139.1183121974732</v>
      </c>
      <c r="R96" s="912"/>
      <c r="S96" s="912"/>
      <c r="T96" s="912">
        <f t="shared" si="16"/>
        <v>4658.7087199999996</v>
      </c>
      <c r="U96" s="912">
        <f t="shared" si="16"/>
        <v>2455.4927441280324</v>
      </c>
      <c r="V96" s="912"/>
      <c r="W96" s="912"/>
      <c r="X96" s="912">
        <f t="shared" si="16"/>
        <v>4931.67</v>
      </c>
      <c r="Y96" s="912">
        <f t="shared" si="16"/>
        <v>2584.987410342897</v>
      </c>
      <c r="Z96" s="912"/>
      <c r="AA96" s="912"/>
      <c r="AB96" s="912">
        <f t="shared" si="16"/>
        <v>5835.2499999999991</v>
      </c>
      <c r="AC96" s="912">
        <f t="shared" si="16"/>
        <v>3035.3597526625408</v>
      </c>
      <c r="AD96" s="879"/>
      <c r="AE96" s="879"/>
      <c r="AF96" s="889"/>
      <c r="AG96" s="889"/>
      <c r="AH96" s="889"/>
      <c r="AI96" s="889"/>
    </row>
    <row r="97" spans="1:35" ht="13.5" hidden="1" thickBot="1" x14ac:dyDescent="0.25">
      <c r="A97" s="906"/>
      <c r="B97" s="910"/>
      <c r="C97" s="911"/>
      <c r="D97" s="912">
        <f t="shared" si="16"/>
        <v>-12.388</v>
      </c>
      <c r="E97" s="912">
        <f t="shared" si="16"/>
        <v>-6.8819999999999997</v>
      </c>
      <c r="F97" s="912"/>
      <c r="G97" s="912"/>
      <c r="H97" s="912">
        <f t="shared" si="16"/>
        <v>-30.97</v>
      </c>
      <c r="I97" s="912">
        <f t="shared" si="16"/>
        <v>-17.204999999999998</v>
      </c>
      <c r="J97" s="912"/>
      <c r="K97" s="912"/>
      <c r="L97" s="912">
        <f t="shared" si="16"/>
        <v>-92.91</v>
      </c>
      <c r="M97" s="912">
        <f t="shared" si="16"/>
        <v>-51.614999999999995</v>
      </c>
      <c r="N97" s="912"/>
      <c r="O97" s="912"/>
      <c r="P97" s="912">
        <f t="shared" si="16"/>
        <v>-154.85</v>
      </c>
      <c r="Q97" s="912">
        <f t="shared" si="16"/>
        <v>-86.024999999999991</v>
      </c>
      <c r="R97" s="912"/>
      <c r="S97" s="912"/>
      <c r="T97" s="912">
        <f t="shared" si="16"/>
        <v>-238.84063999999998</v>
      </c>
      <c r="U97" s="912">
        <f t="shared" si="16"/>
        <v>-132.68495999999999</v>
      </c>
      <c r="V97" s="912"/>
      <c r="W97" s="912"/>
      <c r="X97" s="912">
        <f t="shared" si="16"/>
        <v>-278.73</v>
      </c>
      <c r="Y97" s="912">
        <f t="shared" si="16"/>
        <v>-154.84499999999997</v>
      </c>
      <c r="Z97" s="912"/>
      <c r="AA97" s="912"/>
      <c r="AB97" s="912">
        <f t="shared" si="16"/>
        <v>-371.64</v>
      </c>
      <c r="AC97" s="912">
        <f t="shared" si="16"/>
        <v>-206.45999999999998</v>
      </c>
      <c r="AD97" s="879"/>
      <c r="AE97" s="879"/>
      <c r="AF97" s="889"/>
      <c r="AG97" s="889"/>
      <c r="AH97" s="889"/>
      <c r="AI97" s="889"/>
    </row>
    <row r="98" spans="1:35" ht="13.5" hidden="1" thickBot="1" x14ac:dyDescent="0.25">
      <c r="A98" s="906"/>
      <c r="B98" s="910" t="s">
        <v>27734</v>
      </c>
      <c r="C98" s="911" t="s">
        <v>27740</v>
      </c>
      <c r="D98" s="912">
        <f t="shared" si="16"/>
        <v>3347.5740000000001</v>
      </c>
      <c r="E98" s="912">
        <f t="shared" si="16"/>
        <v>1852.8800835935263</v>
      </c>
      <c r="F98" s="912"/>
      <c r="G98" s="912"/>
      <c r="H98" s="912">
        <f t="shared" si="16"/>
        <v>3501.0800000000004</v>
      </c>
      <c r="I98" s="912">
        <f t="shared" si="16"/>
        <v>1927.8418823200136</v>
      </c>
      <c r="J98" s="912"/>
      <c r="K98" s="912"/>
      <c r="L98" s="912">
        <f t="shared" si="16"/>
        <v>4458.4500000000007</v>
      </c>
      <c r="M98" s="912">
        <f t="shared" si="16"/>
        <v>2425.3075605332806</v>
      </c>
      <c r="N98" s="912"/>
      <c r="O98" s="912"/>
      <c r="P98" s="912">
        <f t="shared" si="16"/>
        <v>5316.6999999999989</v>
      </c>
      <c r="Q98" s="912">
        <f t="shared" si="16"/>
        <v>2867.7017634209651</v>
      </c>
      <c r="R98" s="912"/>
      <c r="S98" s="912"/>
      <c r="T98" s="912">
        <f t="shared" si="16"/>
        <v>6801.0687199999993</v>
      </c>
      <c r="U98" s="912">
        <f t="shared" si="16"/>
        <v>3645.6993331489261</v>
      </c>
      <c r="V98" s="912"/>
      <c r="W98" s="912"/>
      <c r="X98" s="912">
        <f t="shared" si="16"/>
        <v>7475.630000000001</v>
      </c>
      <c r="Y98" s="912">
        <f t="shared" si="16"/>
        <v>3998.293298318878</v>
      </c>
      <c r="Z98" s="912"/>
      <c r="AA98" s="912"/>
      <c r="AB98" s="912">
        <f t="shared" si="16"/>
        <v>9167.010000000002</v>
      </c>
      <c r="AC98" s="912">
        <f t="shared" si="16"/>
        <v>4886.3425485741491</v>
      </c>
      <c r="AD98" s="879"/>
      <c r="AE98" s="879"/>
      <c r="AF98" s="889"/>
      <c r="AG98" s="889"/>
      <c r="AH98" s="889"/>
      <c r="AI98" s="889"/>
    </row>
    <row r="99" spans="1:35" ht="13.5" hidden="1" thickBot="1" x14ac:dyDescent="0.25">
      <c r="A99" s="906"/>
      <c r="B99" s="910"/>
      <c r="C99" s="911"/>
      <c r="D99" s="912">
        <f t="shared" si="16"/>
        <v>-12.388</v>
      </c>
      <c r="E99" s="912">
        <f t="shared" si="16"/>
        <v>-6.8819999999999997</v>
      </c>
      <c r="F99" s="912"/>
      <c r="G99" s="912"/>
      <c r="H99" s="912">
        <f t="shared" si="16"/>
        <v>-30.97</v>
      </c>
      <c r="I99" s="912">
        <f t="shared" si="16"/>
        <v>-17.204999999999998</v>
      </c>
      <c r="J99" s="912"/>
      <c r="K99" s="912"/>
      <c r="L99" s="912">
        <f t="shared" si="16"/>
        <v>-92.91</v>
      </c>
      <c r="M99" s="912">
        <f t="shared" si="16"/>
        <v>-51.614999999999995</v>
      </c>
      <c r="N99" s="912"/>
      <c r="O99" s="912"/>
      <c r="P99" s="912">
        <f t="shared" si="16"/>
        <v>-154.85</v>
      </c>
      <c r="Q99" s="912">
        <f t="shared" si="16"/>
        <v>-86.024999999999991</v>
      </c>
      <c r="R99" s="912"/>
      <c r="S99" s="912"/>
      <c r="T99" s="912">
        <f t="shared" si="16"/>
        <v>-238.84063999999998</v>
      </c>
      <c r="U99" s="912">
        <f t="shared" si="16"/>
        <v>-132.68495999999999</v>
      </c>
      <c r="V99" s="912"/>
      <c r="W99" s="912"/>
      <c r="X99" s="912">
        <f t="shared" si="16"/>
        <v>-278.73</v>
      </c>
      <c r="Y99" s="912">
        <f t="shared" si="16"/>
        <v>-154.84499999999997</v>
      </c>
      <c r="Z99" s="912"/>
      <c r="AA99" s="912"/>
      <c r="AB99" s="912">
        <f t="shared" si="16"/>
        <v>-371.64</v>
      </c>
      <c r="AC99" s="912">
        <f t="shared" si="16"/>
        <v>-206.45999999999998</v>
      </c>
      <c r="AD99" s="879"/>
      <c r="AE99" s="879"/>
      <c r="AF99" s="889"/>
      <c r="AG99" s="889"/>
      <c r="AH99" s="889"/>
      <c r="AI99" s="889"/>
    </row>
    <row r="100" spans="1:35" ht="13.5" hidden="1" thickBot="1" x14ac:dyDescent="0.25">
      <c r="A100" s="906"/>
      <c r="B100" s="910" t="s">
        <v>27735</v>
      </c>
      <c r="C100" s="911" t="s">
        <v>27740</v>
      </c>
      <c r="D100" s="912">
        <f t="shared" si="16"/>
        <v>3855.0140000000001</v>
      </c>
      <c r="E100" s="912">
        <f t="shared" si="16"/>
        <v>2134.7922563597422</v>
      </c>
      <c r="F100" s="912"/>
      <c r="G100" s="912"/>
      <c r="H100" s="912">
        <f t="shared" si="16"/>
        <v>4052.3700000000008</v>
      </c>
      <c r="I100" s="912">
        <f t="shared" si="16"/>
        <v>2234.1197793995584</v>
      </c>
      <c r="J100" s="912"/>
      <c r="K100" s="912"/>
      <c r="L100" s="912">
        <f t="shared" si="16"/>
        <v>5460.56</v>
      </c>
      <c r="M100" s="912">
        <f t="shared" si="16"/>
        <v>2982.0352486642323</v>
      </c>
      <c r="N100" s="912"/>
      <c r="O100" s="912"/>
      <c r="P100" s="912">
        <f t="shared" si="16"/>
        <v>6839.5499999999993</v>
      </c>
      <c r="Q100" s="912">
        <f t="shared" si="16"/>
        <v>3713.7381375066311</v>
      </c>
      <c r="R100" s="912"/>
      <c r="S100" s="912"/>
      <c r="T100" s="912">
        <f t="shared" si="16"/>
        <v>8636.1487199999992</v>
      </c>
      <c r="U100" s="912">
        <f t="shared" si="16"/>
        <v>4665.1883882549382</v>
      </c>
      <c r="V100" s="912"/>
      <c r="W100" s="912"/>
      <c r="X100" s="912">
        <f t="shared" si="16"/>
        <v>9490.0500000000011</v>
      </c>
      <c r="Y100" s="912">
        <f t="shared" si="16"/>
        <v>5117.4103551327689</v>
      </c>
      <c r="Z100" s="912"/>
      <c r="AA100" s="912"/>
      <c r="AB100" s="912">
        <f t="shared" si="16"/>
        <v>12702.384132264979</v>
      </c>
      <c r="AC100" s="912">
        <f t="shared" si="16"/>
        <v>5855.9111635210393</v>
      </c>
      <c r="AD100" s="879"/>
      <c r="AE100" s="879"/>
      <c r="AF100" s="889"/>
      <c r="AG100" s="889"/>
      <c r="AH100" s="889"/>
      <c r="AI100" s="889"/>
    </row>
    <row r="101" spans="1:35" ht="13.5" hidden="1" thickBot="1" x14ac:dyDescent="0.25">
      <c r="A101" s="906"/>
      <c r="B101" s="910"/>
      <c r="C101" s="911"/>
      <c r="D101" s="912">
        <f t="shared" si="16"/>
        <v>-12.388</v>
      </c>
      <c r="E101" s="912">
        <f t="shared" si="16"/>
        <v>-6.8819999999999997</v>
      </c>
      <c r="F101" s="912"/>
      <c r="G101" s="912"/>
      <c r="H101" s="912">
        <f t="shared" si="16"/>
        <v>-30.97</v>
      </c>
      <c r="I101" s="912">
        <f t="shared" si="16"/>
        <v>-17.204999999999998</v>
      </c>
      <c r="J101" s="912"/>
      <c r="K101" s="912"/>
      <c r="L101" s="912">
        <f t="shared" si="16"/>
        <v>-92.91</v>
      </c>
      <c r="M101" s="912">
        <f t="shared" si="16"/>
        <v>-51.614999999999995</v>
      </c>
      <c r="N101" s="912"/>
      <c r="O101" s="912"/>
      <c r="P101" s="912">
        <f t="shared" si="16"/>
        <v>-154.85</v>
      </c>
      <c r="Q101" s="912">
        <f t="shared" si="16"/>
        <v>-86.024999999999991</v>
      </c>
      <c r="R101" s="912"/>
      <c r="S101" s="912"/>
      <c r="T101" s="912">
        <f t="shared" si="16"/>
        <v>-238.84063999999998</v>
      </c>
      <c r="U101" s="912">
        <f t="shared" si="16"/>
        <v>-132.68495999999999</v>
      </c>
      <c r="V101" s="912"/>
      <c r="W101" s="912"/>
      <c r="X101" s="912">
        <f t="shared" si="16"/>
        <v>-278.73</v>
      </c>
      <c r="Y101" s="912">
        <f t="shared" si="16"/>
        <v>-154.84499999999997</v>
      </c>
      <c r="Z101" s="912"/>
      <c r="AA101" s="912"/>
      <c r="AB101" s="912">
        <f t="shared" si="16"/>
        <v>-371.64</v>
      </c>
      <c r="AC101" s="912">
        <f t="shared" si="16"/>
        <v>-206.45999999999998</v>
      </c>
      <c r="AD101" s="879"/>
      <c r="AE101" s="879"/>
      <c r="AF101" s="889"/>
      <c r="AG101" s="889"/>
      <c r="AH101" s="889"/>
      <c r="AI101" s="889"/>
    </row>
    <row r="102" spans="1:35" ht="13.5" hidden="1" thickBot="1" x14ac:dyDescent="0.25">
      <c r="A102" s="906"/>
      <c r="B102" s="910" t="s">
        <v>27736</v>
      </c>
      <c r="C102" s="911" t="s">
        <v>27740</v>
      </c>
      <c r="D102" s="912">
        <f t="shared" si="16"/>
        <v>4601.0240000000003</v>
      </c>
      <c r="E102" s="912">
        <f t="shared" si="16"/>
        <v>2549.2447741382134</v>
      </c>
      <c r="F102" s="912"/>
      <c r="G102" s="912"/>
      <c r="H102" s="912">
        <f t="shared" si="16"/>
        <v>4887.0099999999993</v>
      </c>
      <c r="I102" s="912">
        <f t="shared" si="16"/>
        <v>2697.8008763241414</v>
      </c>
      <c r="J102" s="912"/>
      <c r="K102" s="912"/>
      <c r="L102" s="912">
        <f t="shared" si="16"/>
        <v>6825.64</v>
      </c>
      <c r="M102" s="912">
        <f t="shared" si="16"/>
        <v>3740.4133284860336</v>
      </c>
      <c r="N102" s="912"/>
      <c r="O102" s="912"/>
      <c r="P102" s="912">
        <f t="shared" si="16"/>
        <v>8815.9209497222855</v>
      </c>
      <c r="Q102" s="912">
        <f t="shared" si="16"/>
        <v>4494.965419674576</v>
      </c>
      <c r="R102" s="912"/>
      <c r="S102" s="912"/>
      <c r="T102" s="912">
        <f t="shared" si="16"/>
        <v>10676.843932066224</v>
      </c>
      <c r="U102" s="912">
        <f t="shared" si="16"/>
        <v>5668.3204393764154</v>
      </c>
      <c r="V102" s="912"/>
      <c r="W102" s="912"/>
      <c r="X102" s="912">
        <f t="shared" si="16"/>
        <v>11549.930106859387</v>
      </c>
      <c r="Y102" s="912">
        <f t="shared" si="16"/>
        <v>6230.6391109779424</v>
      </c>
      <c r="Z102" s="912"/>
      <c r="AA102" s="912"/>
      <c r="AB102" s="912">
        <f t="shared" si="16"/>
        <v>15490.60294396019</v>
      </c>
      <c r="AC102" s="912">
        <f t="shared" si="16"/>
        <v>7471.9687650704846</v>
      </c>
      <c r="AD102" s="879"/>
      <c r="AE102" s="879"/>
      <c r="AF102" s="889"/>
      <c r="AG102" s="889"/>
      <c r="AH102" s="889"/>
      <c r="AI102" s="889"/>
    </row>
    <row r="103" spans="1:35" ht="13.5" hidden="1" thickBot="1" x14ac:dyDescent="0.25">
      <c r="A103" s="906"/>
      <c r="B103" s="910"/>
      <c r="C103" s="911"/>
      <c r="D103" s="912">
        <f t="shared" si="16"/>
        <v>-12.388</v>
      </c>
      <c r="E103" s="912">
        <f t="shared" si="16"/>
        <v>-6.8819999999999997</v>
      </c>
      <c r="F103" s="912"/>
      <c r="G103" s="912"/>
      <c r="H103" s="912">
        <f t="shared" si="16"/>
        <v>-30.97</v>
      </c>
      <c r="I103" s="912">
        <f t="shared" si="16"/>
        <v>-17.204999999999998</v>
      </c>
      <c r="J103" s="912"/>
      <c r="K103" s="912"/>
      <c r="L103" s="912">
        <f t="shared" si="16"/>
        <v>-92.91</v>
      </c>
      <c r="M103" s="912">
        <f t="shared" si="16"/>
        <v>-51.614999999999995</v>
      </c>
      <c r="N103" s="912"/>
      <c r="O103" s="912"/>
      <c r="P103" s="912">
        <f t="shared" si="16"/>
        <v>-154.85</v>
      </c>
      <c r="Q103" s="912">
        <f t="shared" si="16"/>
        <v>-86.024999999999991</v>
      </c>
      <c r="R103" s="912"/>
      <c r="S103" s="912"/>
      <c r="T103" s="912">
        <f t="shared" si="16"/>
        <v>-238.84063999999998</v>
      </c>
      <c r="U103" s="912">
        <f t="shared" si="16"/>
        <v>-132.68495999999999</v>
      </c>
      <c r="V103" s="912"/>
      <c r="W103" s="912"/>
      <c r="X103" s="912">
        <f t="shared" si="16"/>
        <v>-278.73</v>
      </c>
      <c r="Y103" s="912">
        <f t="shared" si="16"/>
        <v>-154.84499999999997</v>
      </c>
      <c r="Z103" s="912"/>
      <c r="AA103" s="912"/>
      <c r="AB103" s="912">
        <f t="shared" si="16"/>
        <v>-371.64</v>
      </c>
      <c r="AC103" s="912">
        <f t="shared" si="16"/>
        <v>-206.45999999999998</v>
      </c>
      <c r="AD103" s="879"/>
      <c r="AE103" s="879"/>
      <c r="AF103" s="889"/>
      <c r="AG103" s="889"/>
      <c r="AH103" s="889"/>
      <c r="AI103" s="889"/>
    </row>
    <row r="104" spans="1:35" ht="13.5" hidden="1" thickBot="1" x14ac:dyDescent="0.25">
      <c r="A104" s="906"/>
      <c r="B104" s="913" t="s">
        <v>27737</v>
      </c>
      <c r="C104" s="911" t="s">
        <v>27740</v>
      </c>
      <c r="D104" s="912">
        <f t="shared" si="16"/>
        <v>4972.2539999999999</v>
      </c>
      <c r="E104" s="912">
        <f t="shared" si="16"/>
        <v>2755.4810820695529</v>
      </c>
      <c r="F104" s="912"/>
      <c r="G104" s="912"/>
      <c r="H104" s="912">
        <f t="shared" si="16"/>
        <v>5268.11</v>
      </c>
      <c r="I104" s="912">
        <f t="shared" si="16"/>
        <v>2909.5268960328399</v>
      </c>
      <c r="J104" s="912"/>
      <c r="K104" s="912"/>
      <c r="L104" s="912">
        <f t="shared" si="16"/>
        <v>7883.81</v>
      </c>
      <c r="M104" s="912">
        <f t="shared" si="16"/>
        <v>4328.2816708995115</v>
      </c>
      <c r="N104" s="912"/>
      <c r="O104" s="912"/>
      <c r="P104" s="912">
        <f t="shared" si="16"/>
        <v>9879.2297387027756</v>
      </c>
      <c r="Q104" s="912">
        <f t="shared" si="16"/>
        <v>5204.9734077227085</v>
      </c>
      <c r="R104" s="912"/>
      <c r="S104" s="912"/>
      <c r="T104" s="912">
        <f t="shared" si="16"/>
        <v>12003.948719999999</v>
      </c>
      <c r="U104" s="912">
        <f t="shared" si="16"/>
        <v>6536.1859664068788</v>
      </c>
      <c r="V104" s="912"/>
      <c r="W104" s="912"/>
      <c r="X104" s="912">
        <f t="shared" si="16"/>
        <v>13538.800000000001</v>
      </c>
      <c r="Y104" s="912">
        <f t="shared" si="16"/>
        <v>7366.7290749551257</v>
      </c>
      <c r="Z104" s="912"/>
      <c r="AA104" s="912"/>
      <c r="AB104" s="912">
        <f t="shared" si="16"/>
        <v>16812.000625817534</v>
      </c>
      <c r="AC104" s="912">
        <f t="shared" si="16"/>
        <v>8897.0840897734925</v>
      </c>
      <c r="AD104" s="879"/>
      <c r="AE104" s="879"/>
      <c r="AF104" s="889"/>
      <c r="AG104" s="889"/>
      <c r="AH104" s="889"/>
      <c r="AI104" s="889"/>
    </row>
    <row r="105" spans="1:35" ht="13.5" hidden="1" thickBot="1" x14ac:dyDescent="0.25">
      <c r="A105" s="906"/>
      <c r="B105" s="910"/>
      <c r="C105" s="911"/>
      <c r="D105" s="912">
        <f t="shared" si="16"/>
        <v>-12.388</v>
      </c>
      <c r="E105" s="912">
        <f t="shared" si="16"/>
        <v>-6.8819999999999997</v>
      </c>
      <c r="F105" s="912"/>
      <c r="G105" s="912"/>
      <c r="H105" s="912">
        <f t="shared" si="16"/>
        <v>-30.97</v>
      </c>
      <c r="I105" s="912">
        <f t="shared" si="16"/>
        <v>-17.204999999999998</v>
      </c>
      <c r="J105" s="912"/>
      <c r="K105" s="912"/>
      <c r="L105" s="912">
        <f t="shared" si="16"/>
        <v>-92.91</v>
      </c>
      <c r="M105" s="912">
        <f t="shared" si="16"/>
        <v>-51.614999999999995</v>
      </c>
      <c r="N105" s="912"/>
      <c r="O105" s="912"/>
      <c r="P105" s="912">
        <f t="shared" si="16"/>
        <v>-154.85</v>
      </c>
      <c r="Q105" s="912">
        <f t="shared" si="16"/>
        <v>-86.024999999999991</v>
      </c>
      <c r="R105" s="912"/>
      <c r="S105" s="912"/>
      <c r="T105" s="912">
        <f t="shared" si="16"/>
        <v>-238.84063999999998</v>
      </c>
      <c r="U105" s="912">
        <f t="shared" si="16"/>
        <v>-132.68495999999999</v>
      </c>
      <c r="V105" s="912"/>
      <c r="W105" s="912"/>
      <c r="X105" s="912">
        <f t="shared" si="16"/>
        <v>-278.73</v>
      </c>
      <c r="Y105" s="912">
        <f t="shared" si="16"/>
        <v>-154.84499999999997</v>
      </c>
      <c r="Z105" s="912"/>
      <c r="AA105" s="912"/>
      <c r="AB105" s="912">
        <f t="shared" si="16"/>
        <v>-371.64</v>
      </c>
      <c r="AC105" s="912">
        <f t="shared" si="16"/>
        <v>-206.45999999999998</v>
      </c>
      <c r="AD105" s="879"/>
      <c r="AE105" s="879"/>
      <c r="AF105" s="889"/>
      <c r="AG105" s="889"/>
      <c r="AH105" s="889"/>
      <c r="AI105" s="889"/>
    </row>
    <row r="106" spans="1:35" ht="13.5" hidden="1" thickBot="1" x14ac:dyDescent="0.25">
      <c r="A106" s="906"/>
      <c r="B106" s="913" t="s">
        <v>27741</v>
      </c>
      <c r="C106" s="911" t="s">
        <v>27740</v>
      </c>
      <c r="D106" s="912">
        <f t="shared" si="16"/>
        <v>5208.1440000000002</v>
      </c>
      <c r="E106" s="912">
        <f t="shared" si="16"/>
        <v>2886.5313991763801</v>
      </c>
      <c r="F106" s="912"/>
      <c r="G106" s="912"/>
      <c r="H106" s="912">
        <f t="shared" si="16"/>
        <v>5523.7599999999993</v>
      </c>
      <c r="I106" s="912">
        <f t="shared" si="16"/>
        <v>3051.5514097303271</v>
      </c>
      <c r="J106" s="912"/>
      <c r="K106" s="912"/>
      <c r="L106" s="912">
        <f t="shared" si="16"/>
        <v>8208.0400000000009</v>
      </c>
      <c r="M106" s="912">
        <f t="shared" si="16"/>
        <v>4508.4176281173386</v>
      </c>
      <c r="N106" s="912"/>
      <c r="O106" s="912"/>
      <c r="P106" s="912">
        <f t="shared" si="16"/>
        <v>9826.0199999999986</v>
      </c>
      <c r="Q106" s="912">
        <f t="shared" si="16"/>
        <v>5372.8871601294668</v>
      </c>
      <c r="R106" s="912"/>
      <c r="S106" s="912"/>
      <c r="T106" s="912">
        <f t="shared" si="16"/>
        <v>12884.738719999999</v>
      </c>
      <c r="U106" s="912">
        <f t="shared" si="16"/>
        <v>7025.5141537322406</v>
      </c>
      <c r="V106" s="912"/>
      <c r="W106" s="912"/>
      <c r="X106" s="912">
        <f t="shared" si="16"/>
        <v>14246.26</v>
      </c>
      <c r="Y106" s="912">
        <f t="shared" si="16"/>
        <v>7759.7560289920148</v>
      </c>
      <c r="Z106" s="912"/>
      <c r="AA106" s="912"/>
      <c r="AB106" s="912"/>
      <c r="AC106" s="912"/>
      <c r="AD106" s="879"/>
      <c r="AE106" s="879"/>
      <c r="AF106" s="889"/>
      <c r="AG106" s="889"/>
      <c r="AH106" s="889"/>
      <c r="AI106" s="889"/>
    </row>
    <row r="107" spans="1:35" hidden="1" x14ac:dyDescent="0.2">
      <c r="A107" s="901"/>
      <c r="B107" s="901"/>
      <c r="C107" s="901"/>
      <c r="D107" s="901"/>
      <c r="E107" s="901"/>
      <c r="F107" s="901"/>
      <c r="G107" s="901"/>
      <c r="H107" s="901"/>
      <c r="I107" s="901"/>
      <c r="J107" s="901"/>
      <c r="K107" s="901"/>
      <c r="L107" s="901"/>
      <c r="M107" s="901"/>
      <c r="N107" s="901"/>
      <c r="O107" s="901"/>
      <c r="P107" s="901"/>
      <c r="Q107" s="901"/>
      <c r="R107" s="901"/>
      <c r="S107" s="901"/>
      <c r="T107" s="901"/>
      <c r="U107" s="901"/>
      <c r="V107" s="901"/>
      <c r="W107" s="901"/>
      <c r="X107" s="901"/>
      <c r="Y107" s="901"/>
      <c r="Z107" s="901"/>
      <c r="AA107" s="901"/>
      <c r="AB107" s="901"/>
      <c r="AC107" s="901"/>
      <c r="AD107" s="855"/>
      <c r="AE107" s="855"/>
    </row>
    <row r="108" spans="1:35" ht="15.75" x14ac:dyDescent="0.25">
      <c r="A108" s="901"/>
      <c r="B108" s="2922" t="s">
        <v>27763</v>
      </c>
      <c r="C108" s="2922"/>
      <c r="D108" s="2922"/>
      <c r="E108" s="2922"/>
      <c r="F108" s="2922"/>
      <c r="G108" s="2922"/>
      <c r="H108" s="2922"/>
      <c r="I108" s="903" t="s">
        <v>27744</v>
      </c>
      <c r="J108" s="903"/>
      <c r="K108" s="903"/>
      <c r="L108" s="901"/>
      <c r="M108" s="903"/>
      <c r="N108" s="903"/>
      <c r="O108" s="903"/>
      <c r="P108" s="904"/>
      <c r="Q108" s="904"/>
      <c r="R108" s="904"/>
      <c r="S108" s="904"/>
      <c r="T108" s="904"/>
      <c r="U108" s="904"/>
      <c r="V108" s="904"/>
      <c r="W108" s="904"/>
      <c r="X108" s="901"/>
      <c r="Y108" s="901"/>
      <c r="Z108" s="901"/>
      <c r="AA108" s="901"/>
      <c r="AB108" s="901"/>
      <c r="AC108" s="901"/>
    </row>
    <row r="109" spans="1:35" ht="16.5" thickBot="1" x14ac:dyDescent="0.3">
      <c r="A109" s="901"/>
      <c r="B109" s="905" t="s">
        <v>27765</v>
      </c>
      <c r="C109" s="904"/>
      <c r="D109" s="936"/>
      <c r="E109" s="936"/>
      <c r="F109" s="936"/>
      <c r="G109" s="936"/>
      <c r="H109" s="936"/>
      <c r="I109" s="936"/>
      <c r="J109" s="936"/>
      <c r="K109" s="936"/>
      <c r="L109" s="936"/>
      <c r="M109" s="936"/>
      <c r="N109" s="936"/>
      <c r="O109" s="936"/>
      <c r="P109" s="936"/>
      <c r="Q109" s="904"/>
      <c r="R109" s="904"/>
      <c r="S109" s="904"/>
      <c r="T109" s="904"/>
      <c r="U109" s="904"/>
      <c r="V109" s="904"/>
      <c r="W109" s="904"/>
      <c r="X109" s="901"/>
      <c r="Y109" s="901"/>
      <c r="Z109" s="901"/>
      <c r="AA109" s="901"/>
      <c r="AB109" s="901"/>
      <c r="AC109" s="901"/>
    </row>
    <row r="110" spans="1:35" ht="17.45" customHeight="1" thickBot="1" x14ac:dyDescent="0.35">
      <c r="A110" s="906"/>
      <c r="B110" s="907" t="s">
        <v>27728</v>
      </c>
      <c r="C110" s="2915" t="s">
        <v>27729</v>
      </c>
      <c r="D110" s="2917" t="s">
        <v>27730</v>
      </c>
      <c r="E110" s="2918"/>
      <c r="F110" s="2918"/>
      <c r="G110" s="2918"/>
      <c r="H110" s="2918"/>
      <c r="I110" s="2918"/>
      <c r="J110" s="2918"/>
      <c r="K110" s="2918"/>
      <c r="L110" s="2918"/>
      <c r="M110" s="2918"/>
      <c r="N110" s="2918"/>
      <c r="O110" s="2918"/>
      <c r="P110" s="2918"/>
      <c r="Q110" s="2918"/>
      <c r="R110" s="2918"/>
      <c r="S110" s="2918"/>
      <c r="T110" s="2918"/>
      <c r="U110" s="2918"/>
      <c r="V110" s="2918"/>
      <c r="W110" s="2918"/>
      <c r="X110" s="2918"/>
      <c r="Y110" s="2918"/>
      <c r="Z110" s="2918"/>
      <c r="AA110" s="2918"/>
      <c r="AB110" s="2918"/>
      <c r="AC110" s="2919"/>
      <c r="AD110" s="862"/>
      <c r="AE110" s="862"/>
      <c r="AF110" s="862"/>
      <c r="AG110" s="862"/>
      <c r="AH110" s="862"/>
      <c r="AI110" s="862"/>
    </row>
    <row r="111" spans="1:35" ht="13.5" thickBot="1" x14ac:dyDescent="0.25">
      <c r="A111" s="906"/>
      <c r="B111" s="907" t="s">
        <v>27731</v>
      </c>
      <c r="C111" s="2916"/>
      <c r="D111" s="2920" t="s">
        <v>27732</v>
      </c>
      <c r="E111" s="2921"/>
      <c r="F111" s="908"/>
      <c r="G111" s="908"/>
      <c r="H111" s="2920" t="s">
        <v>27733</v>
      </c>
      <c r="I111" s="2921"/>
      <c r="J111" s="908"/>
      <c r="K111" s="908"/>
      <c r="L111" s="2920" t="s">
        <v>27734</v>
      </c>
      <c r="M111" s="2921"/>
      <c r="N111" s="908"/>
      <c r="O111" s="908"/>
      <c r="P111" s="2920" t="s">
        <v>27735</v>
      </c>
      <c r="Q111" s="2921"/>
      <c r="R111" s="908"/>
      <c r="S111" s="908"/>
      <c r="T111" s="2920" t="s">
        <v>27736</v>
      </c>
      <c r="U111" s="2921"/>
      <c r="V111" s="908"/>
      <c r="W111" s="908"/>
      <c r="X111" s="2920" t="s">
        <v>27737</v>
      </c>
      <c r="Y111" s="2921"/>
      <c r="Z111" s="908"/>
      <c r="AA111" s="908"/>
      <c r="AB111" s="2920"/>
      <c r="AC111" s="2921"/>
      <c r="AD111" s="867"/>
      <c r="AE111" s="867"/>
      <c r="AF111" s="868"/>
      <c r="AG111" s="868"/>
      <c r="AH111" s="868"/>
      <c r="AI111" s="868"/>
    </row>
    <row r="112" spans="1:35" ht="13.5" thickBot="1" x14ac:dyDescent="0.25">
      <c r="A112" s="906"/>
      <c r="B112" s="909"/>
      <c r="C112" s="909"/>
      <c r="D112" s="909" t="s">
        <v>27739</v>
      </c>
      <c r="E112" s="909" t="s">
        <v>27725</v>
      </c>
      <c r="F112" s="909"/>
      <c r="G112" s="909"/>
      <c r="H112" s="909" t="s">
        <v>27739</v>
      </c>
      <c r="I112" s="909" t="s">
        <v>27725</v>
      </c>
      <c r="J112" s="909"/>
      <c r="K112" s="909"/>
      <c r="L112" s="909" t="s">
        <v>27739</v>
      </c>
      <c r="M112" s="909" t="s">
        <v>27725</v>
      </c>
      <c r="N112" s="909"/>
      <c r="O112" s="909"/>
      <c r="P112" s="909" t="s">
        <v>27739</v>
      </c>
      <c r="Q112" s="909" t="s">
        <v>27725</v>
      </c>
      <c r="R112" s="909"/>
      <c r="S112" s="909"/>
      <c r="T112" s="909" t="s">
        <v>27739</v>
      </c>
      <c r="U112" s="909" t="s">
        <v>27725</v>
      </c>
      <c r="V112" s="909"/>
      <c r="W112" s="909"/>
      <c r="X112" s="909" t="s">
        <v>27739</v>
      </c>
      <c r="Y112" s="909" t="s">
        <v>27725</v>
      </c>
      <c r="Z112" s="909"/>
      <c r="AA112" s="909"/>
      <c r="AB112" s="909" t="s">
        <v>27739</v>
      </c>
      <c r="AC112" s="909" t="s">
        <v>27725</v>
      </c>
      <c r="AD112" s="870"/>
      <c r="AE112" s="870"/>
      <c r="AF112" s="871"/>
      <c r="AG112" s="871"/>
      <c r="AH112" s="871"/>
      <c r="AI112" s="871"/>
    </row>
    <row r="113" spans="1:35" ht="13.5" hidden="1" thickBot="1" x14ac:dyDescent="0.25">
      <c r="A113" s="906"/>
      <c r="B113" s="910" t="s">
        <v>27732</v>
      </c>
      <c r="C113" s="911" t="s">
        <v>27740</v>
      </c>
      <c r="D113" s="912"/>
      <c r="E113" s="912"/>
      <c r="F113" s="912"/>
      <c r="G113" s="912"/>
      <c r="H113" s="912"/>
      <c r="I113" s="912"/>
      <c r="J113" s="912"/>
      <c r="K113" s="912"/>
      <c r="L113" s="912"/>
      <c r="M113" s="912"/>
      <c r="N113" s="912"/>
      <c r="O113" s="912"/>
      <c r="P113" s="912"/>
      <c r="Q113" s="912"/>
      <c r="R113" s="912"/>
      <c r="S113" s="912"/>
      <c r="T113" s="912"/>
      <c r="U113" s="912"/>
      <c r="V113" s="912"/>
      <c r="W113" s="912"/>
      <c r="X113" s="912"/>
      <c r="Y113" s="912"/>
      <c r="Z113" s="912"/>
      <c r="AA113" s="912"/>
      <c r="AB113" s="912"/>
      <c r="AC113" s="912"/>
      <c r="AD113" s="879"/>
      <c r="AE113" s="879"/>
      <c r="AF113" s="889"/>
      <c r="AG113" s="889"/>
      <c r="AH113" s="889"/>
      <c r="AI113" s="889"/>
    </row>
    <row r="114" spans="1:35" ht="13.5" hidden="1" thickBot="1" x14ac:dyDescent="0.25">
      <c r="A114" s="906"/>
      <c r="B114" s="910"/>
      <c r="C114" s="911"/>
      <c r="D114" s="912"/>
      <c r="E114" s="912"/>
      <c r="F114" s="912"/>
      <c r="G114" s="912"/>
      <c r="H114" s="912"/>
      <c r="I114" s="912"/>
      <c r="J114" s="912"/>
      <c r="K114" s="912"/>
      <c r="L114" s="912"/>
      <c r="M114" s="912"/>
      <c r="N114" s="912"/>
      <c r="O114" s="912"/>
      <c r="P114" s="912"/>
      <c r="Q114" s="912"/>
      <c r="R114" s="912"/>
      <c r="S114" s="912"/>
      <c r="T114" s="912"/>
      <c r="U114" s="912"/>
      <c r="V114" s="912"/>
      <c r="W114" s="912"/>
      <c r="X114" s="912"/>
      <c r="Y114" s="912"/>
      <c r="Z114" s="912"/>
      <c r="AA114" s="912"/>
      <c r="AB114" s="912"/>
      <c r="AC114" s="912"/>
      <c r="AD114" s="879"/>
      <c r="AE114" s="879"/>
      <c r="AF114" s="889"/>
      <c r="AG114" s="889"/>
      <c r="AH114" s="889"/>
      <c r="AI114" s="889"/>
    </row>
    <row r="115" spans="1:35" ht="13.5" thickBot="1" x14ac:dyDescent="0.25">
      <c r="A115" s="906"/>
      <c r="B115" s="910" t="s">
        <v>27733</v>
      </c>
      <c r="C115" s="911" t="s">
        <v>27740</v>
      </c>
      <c r="D115" s="912"/>
      <c r="E115" s="912"/>
      <c r="F115" s="912"/>
      <c r="G115" s="912"/>
      <c r="H115" s="912"/>
      <c r="I115" s="912">
        <v>1351.9099602130602</v>
      </c>
      <c r="J115" s="912"/>
      <c r="K115" s="912"/>
      <c r="L115" s="912"/>
      <c r="M115" s="912">
        <v>1473.5177762410613</v>
      </c>
      <c r="N115" s="912"/>
      <c r="O115" s="912"/>
      <c r="P115" s="912"/>
      <c r="Q115" s="912">
        <v>1719.3597194261833</v>
      </c>
      <c r="R115" s="912"/>
      <c r="S115" s="912"/>
      <c r="T115" s="912"/>
      <c r="U115" s="912">
        <v>1805.8911753801403</v>
      </c>
      <c r="V115" s="912"/>
      <c r="W115" s="912"/>
      <c r="X115" s="912"/>
      <c r="Y115" s="912"/>
      <c r="Z115" s="912"/>
      <c r="AA115" s="912"/>
      <c r="AB115" s="912"/>
      <c r="AC115" s="912"/>
      <c r="AD115" s="879"/>
      <c r="AE115" s="879"/>
      <c r="AF115" s="889"/>
      <c r="AG115" s="889"/>
      <c r="AH115" s="889"/>
      <c r="AI115" s="889"/>
    </row>
    <row r="116" spans="1:35" ht="13.5" hidden="1" thickBot="1" x14ac:dyDescent="0.25">
      <c r="A116" s="906"/>
      <c r="B116" s="910"/>
      <c r="C116" s="911"/>
      <c r="D116" s="912"/>
      <c r="E116" s="912"/>
      <c r="F116" s="912"/>
      <c r="G116" s="912"/>
      <c r="H116" s="912"/>
      <c r="I116" s="912"/>
      <c r="J116" s="912"/>
      <c r="K116" s="912"/>
      <c r="L116" s="912"/>
      <c r="M116" s="912"/>
      <c r="N116" s="912"/>
      <c r="O116" s="912"/>
      <c r="P116" s="912"/>
      <c r="Q116" s="912"/>
      <c r="R116" s="912"/>
      <c r="S116" s="912"/>
      <c r="T116" s="912"/>
      <c r="U116" s="912"/>
      <c r="V116" s="912"/>
      <c r="W116" s="912"/>
      <c r="X116" s="912"/>
      <c r="Y116" s="912"/>
      <c r="Z116" s="912"/>
      <c r="AA116" s="912"/>
      <c r="AB116" s="912"/>
      <c r="AC116" s="912"/>
      <c r="AD116" s="879"/>
      <c r="AE116" s="879"/>
      <c r="AF116" s="889"/>
      <c r="AG116" s="889"/>
      <c r="AH116" s="889"/>
      <c r="AI116" s="889"/>
    </row>
    <row r="117" spans="1:35" ht="13.5" thickBot="1" x14ac:dyDescent="0.25">
      <c r="A117" s="906"/>
      <c r="B117" s="910" t="s">
        <v>27734</v>
      </c>
      <c r="C117" s="911" t="s">
        <v>27740</v>
      </c>
      <c r="D117" s="912"/>
      <c r="E117" s="912"/>
      <c r="F117" s="912"/>
      <c r="G117" s="912"/>
      <c r="H117" s="912"/>
      <c r="I117" s="912">
        <v>1464.9562576765099</v>
      </c>
      <c r="J117" s="912"/>
      <c r="K117" s="912"/>
      <c r="L117" s="912"/>
      <c r="M117" s="912">
        <v>1721.8789815777761</v>
      </c>
      <c r="N117" s="912"/>
      <c r="O117" s="912"/>
      <c r="P117" s="912"/>
      <c r="Q117" s="912">
        <v>2033.8903934988932</v>
      </c>
      <c r="R117" s="912"/>
      <c r="S117" s="912"/>
      <c r="T117" s="912"/>
      <c r="U117" s="912">
        <v>2386.8977730588595</v>
      </c>
      <c r="V117" s="912"/>
      <c r="W117" s="912"/>
      <c r="X117" s="912"/>
      <c r="Y117" s="912"/>
      <c r="Z117" s="912"/>
      <c r="AA117" s="912"/>
      <c r="AB117" s="912"/>
      <c r="AC117" s="912"/>
      <c r="AD117" s="879"/>
      <c r="AE117" s="879"/>
      <c r="AF117" s="889"/>
      <c r="AG117" s="889"/>
      <c r="AH117" s="889"/>
      <c r="AI117" s="889"/>
    </row>
    <row r="118" spans="1:35" ht="13.5" hidden="1" thickBot="1" x14ac:dyDescent="0.25">
      <c r="A118" s="906"/>
      <c r="B118" s="910"/>
      <c r="C118" s="911"/>
      <c r="D118" s="912"/>
      <c r="E118" s="912"/>
      <c r="F118" s="912"/>
      <c r="G118" s="912"/>
      <c r="H118" s="912"/>
      <c r="I118" s="912"/>
      <c r="J118" s="912"/>
      <c r="K118" s="912"/>
      <c r="L118" s="912"/>
      <c r="M118" s="912"/>
      <c r="N118" s="912"/>
      <c r="O118" s="912"/>
      <c r="P118" s="912"/>
      <c r="Q118" s="912"/>
      <c r="R118" s="912"/>
      <c r="S118" s="912"/>
      <c r="T118" s="912"/>
      <c r="U118" s="912"/>
      <c r="V118" s="912"/>
      <c r="W118" s="912"/>
      <c r="X118" s="912"/>
      <c r="Y118" s="912"/>
      <c r="Z118" s="912"/>
      <c r="AA118" s="912"/>
      <c r="AB118" s="912"/>
      <c r="AC118" s="912"/>
      <c r="AD118" s="879"/>
      <c r="AE118" s="879"/>
      <c r="AF118" s="889"/>
      <c r="AG118" s="889"/>
      <c r="AH118" s="889"/>
      <c r="AI118" s="889"/>
    </row>
    <row r="119" spans="1:35" ht="13.5" thickBot="1" x14ac:dyDescent="0.25">
      <c r="A119" s="906"/>
      <c r="B119" s="910" t="s">
        <v>27735</v>
      </c>
      <c r="C119" s="911" t="s">
        <v>27740</v>
      </c>
      <c r="D119" s="912"/>
      <c r="E119" s="912"/>
      <c r="F119" s="912"/>
      <c r="G119" s="912"/>
      <c r="H119" s="912"/>
      <c r="I119" s="912">
        <v>1641.9382865028285</v>
      </c>
      <c r="J119" s="912"/>
      <c r="K119" s="912"/>
      <c r="L119" s="912"/>
      <c r="M119" s="912">
        <v>1944.6151265127535</v>
      </c>
      <c r="N119" s="912"/>
      <c r="O119" s="912"/>
      <c r="P119" s="912"/>
      <c r="Q119" s="912">
        <v>2496.853272527539</v>
      </c>
      <c r="R119" s="912"/>
      <c r="S119" s="912"/>
      <c r="T119" s="912"/>
      <c r="U119" s="912">
        <v>2759.1848113745214</v>
      </c>
      <c r="V119" s="912"/>
      <c r="W119" s="912"/>
      <c r="X119" s="912"/>
      <c r="Y119" s="912"/>
      <c r="Z119" s="912"/>
      <c r="AA119" s="912"/>
      <c r="AB119" s="912"/>
      <c r="AC119" s="912"/>
      <c r="AD119" s="879"/>
      <c r="AE119" s="879"/>
      <c r="AF119" s="889"/>
      <c r="AG119" s="889"/>
      <c r="AH119" s="889"/>
      <c r="AI119" s="889"/>
    </row>
    <row r="120" spans="1:35" ht="13.5" hidden="1" thickBot="1" x14ac:dyDescent="0.25">
      <c r="A120" s="906"/>
      <c r="B120" s="910"/>
      <c r="C120" s="911"/>
      <c r="D120" s="912"/>
      <c r="E120" s="912"/>
      <c r="F120" s="912"/>
      <c r="G120" s="912"/>
      <c r="H120" s="912"/>
      <c r="I120" s="912"/>
      <c r="J120" s="912"/>
      <c r="K120" s="912"/>
      <c r="L120" s="912"/>
      <c r="M120" s="912"/>
      <c r="N120" s="912"/>
      <c r="O120" s="912"/>
      <c r="P120" s="912"/>
      <c r="Q120" s="912"/>
      <c r="R120" s="912"/>
      <c r="S120" s="912"/>
      <c r="T120" s="912"/>
      <c r="U120" s="912"/>
      <c r="V120" s="912"/>
      <c r="W120" s="912"/>
      <c r="X120" s="912"/>
      <c r="Y120" s="912"/>
      <c r="Z120" s="912"/>
      <c r="AA120" s="912"/>
      <c r="AB120" s="912"/>
      <c r="AC120" s="912"/>
      <c r="AD120" s="879"/>
      <c r="AE120" s="879"/>
      <c r="AF120" s="889"/>
      <c r="AG120" s="889"/>
      <c r="AH120" s="889"/>
      <c r="AI120" s="889"/>
    </row>
    <row r="121" spans="1:35" ht="13.5" thickBot="1" x14ac:dyDescent="0.25">
      <c r="A121" s="906"/>
      <c r="B121" s="910" t="s">
        <v>27736</v>
      </c>
      <c r="C121" s="911" t="s">
        <v>27740</v>
      </c>
      <c r="D121" s="912"/>
      <c r="E121" s="912"/>
      <c r="F121" s="912"/>
      <c r="G121" s="912"/>
      <c r="H121" s="912"/>
      <c r="I121" s="912">
        <v>1793.2462098256347</v>
      </c>
      <c r="J121" s="912"/>
      <c r="K121" s="912"/>
      <c r="L121" s="912"/>
      <c r="M121" s="912">
        <v>2577.1614690376218</v>
      </c>
      <c r="N121" s="912"/>
      <c r="O121" s="912"/>
      <c r="P121" s="912"/>
      <c r="Q121" s="912">
        <v>2872.434335741867</v>
      </c>
      <c r="R121" s="912"/>
      <c r="S121" s="912"/>
      <c r="T121" s="912"/>
      <c r="U121" s="912"/>
      <c r="V121" s="912"/>
      <c r="W121" s="912"/>
      <c r="X121" s="912"/>
      <c r="Y121" s="912"/>
      <c r="Z121" s="912"/>
      <c r="AA121" s="912"/>
      <c r="AB121" s="912"/>
      <c r="AC121" s="912"/>
      <c r="AD121" s="879"/>
      <c r="AE121" s="879"/>
      <c r="AF121" s="889"/>
      <c r="AG121" s="889"/>
      <c r="AH121" s="889"/>
      <c r="AI121" s="889"/>
    </row>
    <row r="122" spans="1:35" ht="13.5" hidden="1" thickBot="1" x14ac:dyDescent="0.25">
      <c r="A122" s="906"/>
      <c r="B122" s="910"/>
      <c r="C122" s="911"/>
      <c r="D122" s="912"/>
      <c r="E122" s="912"/>
      <c r="F122" s="912"/>
      <c r="G122" s="912"/>
      <c r="H122" s="912"/>
      <c r="I122" s="912"/>
      <c r="J122" s="912"/>
      <c r="K122" s="912"/>
      <c r="L122" s="912"/>
      <c r="M122" s="912"/>
      <c r="N122" s="912"/>
      <c r="O122" s="912"/>
      <c r="P122" s="912"/>
      <c r="Q122" s="912"/>
      <c r="R122" s="912"/>
      <c r="S122" s="912"/>
      <c r="T122" s="912"/>
      <c r="U122" s="912"/>
      <c r="V122" s="912"/>
      <c r="W122" s="912"/>
      <c r="X122" s="912"/>
      <c r="Y122" s="912"/>
      <c r="Z122" s="912"/>
      <c r="AA122" s="912"/>
      <c r="AB122" s="912"/>
      <c r="AC122" s="912"/>
      <c r="AD122" s="879"/>
      <c r="AE122" s="879"/>
      <c r="AF122" s="889"/>
      <c r="AG122" s="889"/>
      <c r="AH122" s="889"/>
      <c r="AI122" s="889"/>
    </row>
    <row r="123" spans="1:35" ht="13.5" thickBot="1" x14ac:dyDescent="0.25">
      <c r="A123" s="906"/>
      <c r="B123" s="913" t="s">
        <v>27737</v>
      </c>
      <c r="C123" s="911" t="s">
        <v>27740</v>
      </c>
      <c r="D123" s="912"/>
      <c r="E123" s="912"/>
      <c r="F123" s="912"/>
      <c r="G123" s="912"/>
      <c r="H123" s="912"/>
      <c r="I123" s="912"/>
      <c r="J123" s="912"/>
      <c r="K123" s="912"/>
      <c r="L123" s="912"/>
      <c r="M123" s="912"/>
      <c r="N123" s="912"/>
      <c r="O123" s="912"/>
      <c r="P123" s="912"/>
      <c r="Q123" s="912"/>
      <c r="R123" s="912"/>
      <c r="S123" s="912"/>
      <c r="T123" s="912"/>
      <c r="U123" s="912"/>
      <c r="V123" s="912"/>
      <c r="W123" s="912"/>
      <c r="X123" s="912"/>
      <c r="Y123" s="912"/>
      <c r="Z123" s="912"/>
      <c r="AA123" s="912"/>
      <c r="AB123" s="912"/>
      <c r="AC123" s="912"/>
      <c r="AD123" s="879"/>
      <c r="AE123" s="879"/>
      <c r="AF123" s="889"/>
      <c r="AG123" s="889"/>
      <c r="AH123" s="889"/>
      <c r="AI123" s="889"/>
    </row>
    <row r="124" spans="1:35" ht="13.5" hidden="1" thickBot="1" x14ac:dyDescent="0.25">
      <c r="A124" s="906"/>
      <c r="B124" s="910"/>
      <c r="C124" s="911"/>
      <c r="D124" s="912"/>
      <c r="E124" s="912"/>
      <c r="F124" s="912"/>
      <c r="G124" s="912"/>
      <c r="H124" s="912"/>
      <c r="I124" s="912"/>
      <c r="J124" s="912"/>
      <c r="K124" s="912"/>
      <c r="L124" s="912"/>
      <c r="M124" s="912"/>
      <c r="N124" s="912"/>
      <c r="O124" s="912"/>
      <c r="P124" s="912"/>
      <c r="Q124" s="912"/>
      <c r="R124" s="912"/>
      <c r="S124" s="912"/>
      <c r="T124" s="912"/>
      <c r="U124" s="912"/>
      <c r="V124" s="912"/>
      <c r="W124" s="912"/>
      <c r="X124" s="912"/>
      <c r="Y124" s="912"/>
      <c r="Z124" s="912"/>
      <c r="AA124" s="912"/>
      <c r="AB124" s="912"/>
      <c r="AC124" s="912"/>
      <c r="AD124" s="879"/>
      <c r="AE124" s="879"/>
      <c r="AF124" s="889"/>
      <c r="AG124" s="889"/>
      <c r="AH124" s="889"/>
      <c r="AI124" s="889"/>
    </row>
    <row r="125" spans="1:35" ht="13.5" thickBot="1" x14ac:dyDescent="0.25">
      <c r="A125" s="906"/>
      <c r="B125" s="913" t="s">
        <v>27741</v>
      </c>
      <c r="C125" s="911" t="s">
        <v>27740</v>
      </c>
      <c r="D125" s="912"/>
      <c r="E125" s="912"/>
      <c r="F125" s="912"/>
      <c r="G125" s="912"/>
      <c r="H125" s="912"/>
      <c r="I125" s="912"/>
      <c r="J125" s="912"/>
      <c r="K125" s="912"/>
      <c r="L125" s="912"/>
      <c r="M125" s="912"/>
      <c r="N125" s="912"/>
      <c r="O125" s="912"/>
      <c r="P125" s="912"/>
      <c r="Q125" s="912"/>
      <c r="R125" s="912"/>
      <c r="S125" s="912"/>
      <c r="T125" s="912"/>
      <c r="U125" s="912"/>
      <c r="V125" s="912"/>
      <c r="W125" s="912"/>
      <c r="X125" s="912"/>
      <c r="Y125" s="912"/>
      <c r="Z125" s="912"/>
      <c r="AA125" s="912"/>
      <c r="AB125" s="912"/>
      <c r="AC125" s="912"/>
      <c r="AD125" s="879"/>
      <c r="AE125" s="879"/>
      <c r="AF125" s="889"/>
      <c r="AG125" s="889"/>
      <c r="AH125" s="889"/>
      <c r="AI125" s="889"/>
    </row>
    <row r="126" spans="1:35" ht="15.75" hidden="1" x14ac:dyDescent="0.25">
      <c r="A126" s="914"/>
      <c r="B126" s="2910" t="s">
        <v>442</v>
      </c>
      <c r="C126" s="2910"/>
      <c r="D126" s="2910"/>
      <c r="E126" s="2910"/>
      <c r="F126" s="2910"/>
      <c r="G126" s="2910"/>
      <c r="H126" s="2910"/>
      <c r="I126" s="915" t="s">
        <v>27726</v>
      </c>
      <c r="J126" s="916"/>
      <c r="K126" s="916"/>
      <c r="L126" s="914"/>
      <c r="M126" s="916"/>
      <c r="N126" s="916"/>
      <c r="O126" s="916"/>
      <c r="P126" s="917"/>
      <c r="Q126" s="917"/>
      <c r="R126" s="917"/>
      <c r="S126" s="917"/>
      <c r="T126" s="917"/>
      <c r="U126" s="917"/>
      <c r="V126" s="917"/>
      <c r="W126" s="917"/>
      <c r="X126" s="914"/>
      <c r="Y126" s="914"/>
      <c r="Z126" s="914"/>
      <c r="AA126" s="914"/>
      <c r="AB126" s="914"/>
      <c r="AC126" s="914"/>
    </row>
    <row r="127" spans="1:35" ht="16.5" hidden="1" thickBot="1" x14ac:dyDescent="0.3">
      <c r="A127" s="914"/>
      <c r="B127" s="918" t="s">
        <v>27727</v>
      </c>
      <c r="C127" s="917"/>
      <c r="D127" s="2914"/>
      <c r="E127" s="2914"/>
      <c r="F127" s="2914"/>
      <c r="G127" s="2914"/>
      <c r="H127" s="2914"/>
      <c r="I127" s="2914"/>
      <c r="J127" s="2914"/>
      <c r="K127" s="2914"/>
      <c r="L127" s="2914"/>
      <c r="M127" s="2914"/>
      <c r="N127" s="2914"/>
      <c r="O127" s="2914"/>
      <c r="P127" s="2914"/>
      <c r="Q127" s="917"/>
      <c r="R127" s="917"/>
      <c r="S127" s="917"/>
      <c r="T127" s="917"/>
      <c r="U127" s="917"/>
      <c r="V127" s="917"/>
      <c r="W127" s="917"/>
      <c r="X127" s="914"/>
      <c r="Y127" s="914"/>
      <c r="Z127" s="914"/>
      <c r="AA127" s="914"/>
      <c r="AB127" s="914"/>
      <c r="AC127" s="914"/>
    </row>
    <row r="128" spans="1:35" ht="17.45" hidden="1" customHeight="1" thickBot="1" x14ac:dyDescent="0.35">
      <c r="A128" s="919"/>
      <c r="B128" s="920" t="s">
        <v>27728</v>
      </c>
      <c r="C128" s="2903" t="s">
        <v>27729</v>
      </c>
      <c r="D128" s="2905" t="s">
        <v>27730</v>
      </c>
      <c r="E128" s="2906"/>
      <c r="F128" s="2906"/>
      <c r="G128" s="2906"/>
      <c r="H128" s="2906"/>
      <c r="I128" s="2906"/>
      <c r="J128" s="2906"/>
      <c r="K128" s="2906"/>
      <c r="L128" s="2906"/>
      <c r="M128" s="2906"/>
      <c r="N128" s="2906"/>
      <c r="O128" s="2906"/>
      <c r="P128" s="2906"/>
      <c r="Q128" s="2906"/>
      <c r="R128" s="2906"/>
      <c r="S128" s="2906"/>
      <c r="T128" s="2906"/>
      <c r="U128" s="2906"/>
      <c r="V128" s="2906"/>
      <c r="W128" s="2906"/>
      <c r="X128" s="2906"/>
      <c r="Y128" s="2906"/>
      <c r="Z128" s="2906"/>
      <c r="AA128" s="2906"/>
      <c r="AB128" s="2906"/>
      <c r="AC128" s="2907"/>
      <c r="AD128" s="862"/>
      <c r="AE128" s="862"/>
      <c r="AF128" s="862"/>
      <c r="AG128" s="862"/>
      <c r="AH128" s="862"/>
      <c r="AI128" s="862"/>
    </row>
    <row r="129" spans="1:35" ht="21.2" hidden="1" customHeight="1" thickBot="1" x14ac:dyDescent="0.25">
      <c r="A129" s="919"/>
      <c r="B129" s="920" t="s">
        <v>27731</v>
      </c>
      <c r="C129" s="2904"/>
      <c r="D129" s="2908" t="s">
        <v>27732</v>
      </c>
      <c r="E129" s="2909"/>
      <c r="F129" s="921"/>
      <c r="G129" s="921"/>
      <c r="H129" s="2908" t="s">
        <v>27733</v>
      </c>
      <c r="I129" s="2909"/>
      <c r="J129" s="921"/>
      <c r="K129" s="921"/>
      <c r="L129" s="2908" t="s">
        <v>27734</v>
      </c>
      <c r="M129" s="2909"/>
      <c r="N129" s="921"/>
      <c r="O129" s="921"/>
      <c r="P129" s="2908" t="s">
        <v>27735</v>
      </c>
      <c r="Q129" s="2909"/>
      <c r="R129" s="921"/>
      <c r="S129" s="921"/>
      <c r="T129" s="2908" t="s">
        <v>27736</v>
      </c>
      <c r="U129" s="2909"/>
      <c r="V129" s="921"/>
      <c r="W129" s="921"/>
      <c r="X129" s="2908" t="s">
        <v>27737</v>
      </c>
      <c r="Y129" s="2909"/>
      <c r="Z129" s="921"/>
      <c r="AA129" s="921"/>
      <c r="AB129" s="2908" t="s">
        <v>27738</v>
      </c>
      <c r="AC129" s="2909"/>
      <c r="AD129" s="867"/>
      <c r="AE129" s="867"/>
      <c r="AF129" s="868"/>
      <c r="AG129" s="868"/>
      <c r="AH129" s="868"/>
      <c r="AI129" s="868"/>
    </row>
    <row r="130" spans="1:35" ht="13.5" hidden="1" thickBot="1" x14ac:dyDescent="0.25">
      <c r="A130" s="919"/>
      <c r="B130" s="922"/>
      <c r="C130" s="922"/>
      <c r="D130" s="922" t="s">
        <v>27739</v>
      </c>
      <c r="E130" s="922" t="s">
        <v>27725</v>
      </c>
      <c r="F130" s="922"/>
      <c r="G130" s="922"/>
      <c r="H130" s="922" t="s">
        <v>27739</v>
      </c>
      <c r="I130" s="922" t="s">
        <v>27725</v>
      </c>
      <c r="J130" s="922"/>
      <c r="K130" s="922"/>
      <c r="L130" s="922" t="s">
        <v>27739</v>
      </c>
      <c r="M130" s="922" t="s">
        <v>27725</v>
      </c>
      <c r="N130" s="922"/>
      <c r="O130" s="922"/>
      <c r="P130" s="922" t="s">
        <v>27739</v>
      </c>
      <c r="Q130" s="922" t="s">
        <v>27725</v>
      </c>
      <c r="R130" s="922"/>
      <c r="S130" s="922"/>
      <c r="T130" s="922" t="s">
        <v>27739</v>
      </c>
      <c r="U130" s="922" t="s">
        <v>27725</v>
      </c>
      <c r="V130" s="922"/>
      <c r="W130" s="922"/>
      <c r="X130" s="922" t="s">
        <v>27739</v>
      </c>
      <c r="Y130" s="922" t="s">
        <v>27725</v>
      </c>
      <c r="Z130" s="922"/>
      <c r="AA130" s="922"/>
      <c r="AB130" s="922" t="s">
        <v>27739</v>
      </c>
      <c r="AC130" s="922" t="s">
        <v>27725</v>
      </c>
      <c r="AD130" s="870"/>
      <c r="AE130" s="870"/>
      <c r="AF130" s="871"/>
      <c r="AG130" s="871"/>
      <c r="AH130" s="871"/>
      <c r="AI130" s="871"/>
    </row>
    <row r="131" spans="1:35" ht="13.5" hidden="1" thickBot="1" x14ac:dyDescent="0.25">
      <c r="A131" s="919"/>
      <c r="B131" s="923" t="s">
        <v>27732</v>
      </c>
      <c r="C131" s="924" t="s">
        <v>27740</v>
      </c>
      <c r="D131" s="925">
        <f t="shared" ref="D131:AC131" si="17">D7/D75</f>
        <v>1.0038906986297755</v>
      </c>
      <c r="E131" s="925">
        <f t="shared" si="17"/>
        <v>1.0038905628712098</v>
      </c>
      <c r="F131" s="925" t="e">
        <f t="shared" si="17"/>
        <v>#DIV/0!</v>
      </c>
      <c r="G131" s="925" t="e">
        <f t="shared" si="17"/>
        <v>#DIV/0!</v>
      </c>
      <c r="H131" s="925">
        <f t="shared" si="17"/>
        <v>1.0093874371417573</v>
      </c>
      <c r="I131" s="925">
        <f t="shared" si="17"/>
        <v>1.0093871365698284</v>
      </c>
      <c r="J131" s="925" t="e">
        <f t="shared" si="17"/>
        <v>#DIV/0!</v>
      </c>
      <c r="K131" s="925" t="e">
        <f t="shared" si="17"/>
        <v>#DIV/0!</v>
      </c>
      <c r="L131" s="925">
        <f t="shared" si="17"/>
        <v>1.0250759078579814</v>
      </c>
      <c r="M131" s="925">
        <f t="shared" si="17"/>
        <v>1.0250750129598192</v>
      </c>
      <c r="N131" s="925" t="e">
        <f t="shared" si="17"/>
        <v>#DIV/0!</v>
      </c>
      <c r="O131" s="925" t="e">
        <f t="shared" si="17"/>
        <v>#DIV/0!</v>
      </c>
      <c r="P131" s="925">
        <f t="shared" si="17"/>
        <v>1.0381895890519068</v>
      </c>
      <c r="Q131" s="925">
        <f t="shared" si="17"/>
        <v>1.0381881593028996</v>
      </c>
      <c r="R131" s="925" t="e">
        <f t="shared" si="17"/>
        <v>#DIV/0!</v>
      </c>
      <c r="S131" s="925" t="e">
        <f t="shared" si="17"/>
        <v>#DIV/0!</v>
      </c>
      <c r="T131" s="925">
        <f t="shared" si="17"/>
        <v>1.0512353389753895</v>
      </c>
      <c r="U131" s="925">
        <f t="shared" si="17"/>
        <v>1.0512335678163993</v>
      </c>
      <c r="V131" s="925" t="e">
        <f t="shared" si="17"/>
        <v>#DIV/0!</v>
      </c>
      <c r="W131" s="925" t="e">
        <f t="shared" si="17"/>
        <v>#DIV/0!</v>
      </c>
      <c r="X131" s="925">
        <f t="shared" si="17"/>
        <v>1.0570648835895209</v>
      </c>
      <c r="Y131" s="925">
        <f t="shared" si="17"/>
        <v>1.0570627259721173</v>
      </c>
      <c r="Z131" s="925" t="e">
        <f t="shared" si="17"/>
        <v>#DIV/0!</v>
      </c>
      <c r="AA131" s="925" t="e">
        <f t="shared" si="17"/>
        <v>#DIV/0!</v>
      </c>
      <c r="AB131" s="925">
        <f t="shared" si="17"/>
        <v>1.0648237697390606</v>
      </c>
      <c r="AC131" s="925">
        <f t="shared" si="17"/>
        <v>1.0675452846400886</v>
      </c>
      <c r="AD131" s="879"/>
      <c r="AE131" s="879"/>
      <c r="AF131" s="889"/>
      <c r="AG131" s="889"/>
      <c r="AH131" s="889"/>
      <c r="AI131" s="889"/>
    </row>
    <row r="132" spans="1:35" ht="13.5" hidden="1" thickBot="1" x14ac:dyDescent="0.25">
      <c r="A132" s="919"/>
      <c r="B132" s="923"/>
      <c r="C132" s="924"/>
      <c r="D132" s="925">
        <f t="shared" ref="D132:S143" si="18">D8/D76</f>
        <v>0</v>
      </c>
      <c r="E132" s="925">
        <f t="shared" si="18"/>
        <v>0</v>
      </c>
      <c r="F132" s="925" t="e">
        <f t="shared" si="18"/>
        <v>#DIV/0!</v>
      </c>
      <c r="G132" s="925" t="e">
        <f t="shared" si="18"/>
        <v>#DIV/0!</v>
      </c>
      <c r="H132" s="925">
        <f t="shared" si="18"/>
        <v>0</v>
      </c>
      <c r="I132" s="925">
        <f t="shared" si="18"/>
        <v>0</v>
      </c>
      <c r="J132" s="925" t="e">
        <f t="shared" si="18"/>
        <v>#DIV/0!</v>
      </c>
      <c r="K132" s="925" t="e">
        <f t="shared" si="18"/>
        <v>#DIV/0!</v>
      </c>
      <c r="L132" s="925">
        <f t="shared" si="18"/>
        <v>0</v>
      </c>
      <c r="M132" s="925">
        <f t="shared" si="18"/>
        <v>0</v>
      </c>
      <c r="N132" s="925" t="e">
        <f t="shared" si="18"/>
        <v>#DIV/0!</v>
      </c>
      <c r="O132" s="925" t="e">
        <f t="shared" si="18"/>
        <v>#DIV/0!</v>
      </c>
      <c r="P132" s="925">
        <f t="shared" si="18"/>
        <v>0</v>
      </c>
      <c r="Q132" s="925">
        <f t="shared" si="18"/>
        <v>0</v>
      </c>
      <c r="R132" s="925" t="e">
        <f t="shared" si="18"/>
        <v>#DIV/0!</v>
      </c>
      <c r="S132" s="925" t="e">
        <f t="shared" si="18"/>
        <v>#DIV/0!</v>
      </c>
      <c r="T132" s="925">
        <f t="shared" ref="T132:AC132" si="19">T8/T76</f>
        <v>0</v>
      </c>
      <c r="U132" s="925">
        <f t="shared" si="19"/>
        <v>0</v>
      </c>
      <c r="V132" s="925" t="e">
        <f t="shared" si="19"/>
        <v>#DIV/0!</v>
      </c>
      <c r="W132" s="925" t="e">
        <f t="shared" si="19"/>
        <v>#DIV/0!</v>
      </c>
      <c r="X132" s="925">
        <f t="shared" si="19"/>
        <v>0</v>
      </c>
      <c r="Y132" s="925">
        <f t="shared" si="19"/>
        <v>0</v>
      </c>
      <c r="Z132" s="925" t="e">
        <f t="shared" si="19"/>
        <v>#DIV/0!</v>
      </c>
      <c r="AA132" s="925" t="e">
        <f t="shared" si="19"/>
        <v>#DIV/0!</v>
      </c>
      <c r="AB132" s="925">
        <f t="shared" si="19"/>
        <v>0</v>
      </c>
      <c r="AC132" s="925">
        <f t="shared" si="19"/>
        <v>0</v>
      </c>
      <c r="AD132" s="879"/>
      <c r="AE132" s="879"/>
      <c r="AF132" s="889"/>
      <c r="AG132" s="889"/>
      <c r="AH132" s="889"/>
      <c r="AI132" s="889"/>
    </row>
    <row r="133" spans="1:35" ht="13.5" hidden="1" thickBot="1" x14ac:dyDescent="0.25">
      <c r="A133" s="919"/>
      <c r="B133" s="923" t="s">
        <v>27733</v>
      </c>
      <c r="C133" s="924" t="s">
        <v>27740</v>
      </c>
      <c r="D133" s="925">
        <f t="shared" si="18"/>
        <v>1.0037444036459875</v>
      </c>
      <c r="E133" s="925">
        <f t="shared" si="18"/>
        <v>1.0037442745074145</v>
      </c>
      <c r="F133" s="925" t="e">
        <f t="shared" si="18"/>
        <v>#DIV/0!</v>
      </c>
      <c r="G133" s="925" t="e">
        <f t="shared" si="18"/>
        <v>#DIV/0!</v>
      </c>
      <c r="H133" s="925">
        <f t="shared" si="18"/>
        <v>1.009011709111225</v>
      </c>
      <c r="I133" s="925">
        <f t="shared" si="18"/>
        <v>1.0090114034904383</v>
      </c>
      <c r="J133" s="925" t="e">
        <f t="shared" si="18"/>
        <v>#DIV/0!</v>
      </c>
      <c r="K133" s="925" t="e">
        <f t="shared" si="18"/>
        <v>#DIV/0!</v>
      </c>
      <c r="L133" s="925">
        <f t="shared" si="18"/>
        <v>1.0239053973040495</v>
      </c>
      <c r="M133" s="925">
        <f t="shared" si="18"/>
        <v>1.0239045800769795</v>
      </c>
      <c r="N133" s="925" t="e">
        <f t="shared" si="18"/>
        <v>#DIV/0!</v>
      </c>
      <c r="O133" s="925" t="e">
        <f t="shared" si="18"/>
        <v>#DIV/0!</v>
      </c>
      <c r="P133" s="925">
        <f t="shared" si="18"/>
        <v>1.0361795684152486</v>
      </c>
      <c r="Q133" s="925">
        <f t="shared" si="18"/>
        <v>1.0361781976569471</v>
      </c>
      <c r="R133" s="925" t="e">
        <f t="shared" si="18"/>
        <v>#DIV/0!</v>
      </c>
      <c r="S133" s="925" t="e">
        <f t="shared" si="18"/>
        <v>#DIV/0!</v>
      </c>
      <c r="T133" s="925">
        <f t="shared" ref="T133:AC133" si="20">T9/T77</f>
        <v>1.04841192213399</v>
      </c>
      <c r="U133" s="925">
        <f t="shared" si="20"/>
        <v>1.0484101906866847</v>
      </c>
      <c r="V133" s="925" t="e">
        <f t="shared" si="20"/>
        <v>#DIV/0!</v>
      </c>
      <c r="W133" s="925" t="e">
        <f t="shared" si="20"/>
        <v>#DIV/0!</v>
      </c>
      <c r="X133" s="925">
        <f t="shared" si="20"/>
        <v>1.0535352099691153</v>
      </c>
      <c r="Y133" s="925">
        <f t="shared" si="20"/>
        <v>1.0535332311033903</v>
      </c>
      <c r="Z133" s="925" t="e">
        <f t="shared" si="20"/>
        <v>#DIV/0!</v>
      </c>
      <c r="AA133" s="925" t="e">
        <f t="shared" si="20"/>
        <v>#DIV/0!</v>
      </c>
      <c r="AB133" s="925">
        <f t="shared" si="20"/>
        <v>1.060824379505896</v>
      </c>
      <c r="AC133" s="925">
        <f t="shared" si="20"/>
        <v>1.0608221014183528</v>
      </c>
      <c r="AD133" s="879"/>
      <c r="AE133" s="879"/>
      <c r="AF133" s="889"/>
      <c r="AG133" s="889"/>
      <c r="AH133" s="889"/>
      <c r="AI133" s="889"/>
    </row>
    <row r="134" spans="1:35" ht="13.5" hidden="1" thickBot="1" x14ac:dyDescent="0.25">
      <c r="A134" s="919"/>
      <c r="B134" s="923"/>
      <c r="C134" s="924"/>
      <c r="D134" s="925">
        <f t="shared" si="18"/>
        <v>0</v>
      </c>
      <c r="E134" s="925">
        <f t="shared" si="18"/>
        <v>0</v>
      </c>
      <c r="F134" s="925" t="e">
        <f t="shared" si="18"/>
        <v>#DIV/0!</v>
      </c>
      <c r="G134" s="925" t="e">
        <f t="shared" si="18"/>
        <v>#DIV/0!</v>
      </c>
      <c r="H134" s="925">
        <f t="shared" si="18"/>
        <v>0</v>
      </c>
      <c r="I134" s="925">
        <f t="shared" si="18"/>
        <v>0</v>
      </c>
      <c r="J134" s="925" t="e">
        <f t="shared" si="18"/>
        <v>#DIV/0!</v>
      </c>
      <c r="K134" s="925" t="e">
        <f t="shared" si="18"/>
        <v>#DIV/0!</v>
      </c>
      <c r="L134" s="925">
        <f t="shared" si="18"/>
        <v>0</v>
      </c>
      <c r="M134" s="925">
        <f t="shared" si="18"/>
        <v>0</v>
      </c>
      <c r="N134" s="925" t="e">
        <f t="shared" si="18"/>
        <v>#DIV/0!</v>
      </c>
      <c r="O134" s="925" t="e">
        <f t="shared" si="18"/>
        <v>#DIV/0!</v>
      </c>
      <c r="P134" s="925">
        <f t="shared" si="18"/>
        <v>0</v>
      </c>
      <c r="Q134" s="925">
        <f t="shared" si="18"/>
        <v>0</v>
      </c>
      <c r="R134" s="925" t="e">
        <f t="shared" si="18"/>
        <v>#DIV/0!</v>
      </c>
      <c r="S134" s="925" t="e">
        <f t="shared" si="18"/>
        <v>#DIV/0!</v>
      </c>
      <c r="T134" s="925">
        <f t="shared" ref="T134:AC134" si="21">T10/T78</f>
        <v>0</v>
      </c>
      <c r="U134" s="925">
        <f t="shared" si="21"/>
        <v>0</v>
      </c>
      <c r="V134" s="925" t="e">
        <f t="shared" si="21"/>
        <v>#DIV/0!</v>
      </c>
      <c r="W134" s="925" t="e">
        <f t="shared" si="21"/>
        <v>#DIV/0!</v>
      </c>
      <c r="X134" s="925">
        <f t="shared" si="21"/>
        <v>0</v>
      </c>
      <c r="Y134" s="925">
        <f t="shared" si="21"/>
        <v>0</v>
      </c>
      <c r="Z134" s="925" t="e">
        <f t="shared" si="21"/>
        <v>#DIV/0!</v>
      </c>
      <c r="AA134" s="925" t="e">
        <f t="shared" si="21"/>
        <v>#DIV/0!</v>
      </c>
      <c r="AB134" s="925">
        <f t="shared" si="21"/>
        <v>0</v>
      </c>
      <c r="AC134" s="925">
        <f t="shared" si="21"/>
        <v>0</v>
      </c>
      <c r="AD134" s="879"/>
      <c r="AE134" s="879"/>
      <c r="AF134" s="889"/>
      <c r="AG134" s="889"/>
      <c r="AH134" s="889"/>
      <c r="AI134" s="889"/>
    </row>
    <row r="135" spans="1:35" ht="13.5" hidden="1" thickBot="1" x14ac:dyDescent="0.25">
      <c r="A135" s="919"/>
      <c r="B135" s="923" t="s">
        <v>27734</v>
      </c>
      <c r="C135" s="924" t="s">
        <v>27740</v>
      </c>
      <c r="D135" s="925">
        <f t="shared" si="18"/>
        <v>1.0034198472608093</v>
      </c>
      <c r="E135" s="925">
        <f t="shared" si="18"/>
        <v>1.0034197427362175</v>
      </c>
      <c r="F135" s="925" t="e">
        <f t="shared" si="18"/>
        <v>#DIV/0!</v>
      </c>
      <c r="G135" s="925" t="e">
        <f t="shared" si="18"/>
        <v>#DIV/0!</v>
      </c>
      <c r="H135" s="925">
        <f t="shared" si="18"/>
        <v>1.0082020397839979</v>
      </c>
      <c r="I135" s="925">
        <f t="shared" si="18"/>
        <v>1.0082017741026004</v>
      </c>
      <c r="J135" s="925" t="e">
        <f t="shared" si="18"/>
        <v>#DIV/0!</v>
      </c>
      <c r="K135" s="925" t="e">
        <f t="shared" si="18"/>
        <v>#DIV/0!</v>
      </c>
      <c r="L135" s="925">
        <f t="shared" si="18"/>
        <v>1.019629218824275</v>
      </c>
      <c r="M135" s="925">
        <f t="shared" si="18"/>
        <v>1.0196285161338958</v>
      </c>
      <c r="N135" s="925" t="e">
        <f t="shared" si="18"/>
        <v>#DIV/0!</v>
      </c>
      <c r="O135" s="925" t="e">
        <f t="shared" si="18"/>
        <v>#DIV/0!</v>
      </c>
      <c r="P135" s="925">
        <f t="shared" si="18"/>
        <v>1.0276937714499303</v>
      </c>
      <c r="Q135" s="925">
        <f t="shared" si="18"/>
        <v>1.0276928565639065</v>
      </c>
      <c r="R135" s="925" t="e">
        <f t="shared" si="18"/>
        <v>#DIV/0!</v>
      </c>
      <c r="S135" s="925" t="e">
        <f t="shared" si="18"/>
        <v>#DIV/0!</v>
      </c>
      <c r="T135" s="925">
        <f t="shared" ref="T135:AC135" si="22">T11/T79</f>
        <v>1.0337542497538028</v>
      </c>
      <c r="U135" s="925">
        <f t="shared" si="22"/>
        <v>1.0337530214810933</v>
      </c>
      <c r="V135" s="925" t="e">
        <f t="shared" si="22"/>
        <v>#DIV/0!</v>
      </c>
      <c r="W135" s="925" t="e">
        <f t="shared" si="22"/>
        <v>#DIV/0!</v>
      </c>
      <c r="X135" s="925">
        <f t="shared" si="22"/>
        <v>1.0359631195132146</v>
      </c>
      <c r="Y135" s="925">
        <f t="shared" si="22"/>
        <v>1.0359618889815547</v>
      </c>
      <c r="Z135" s="925" t="e">
        <f t="shared" si="22"/>
        <v>#DIV/0!</v>
      </c>
      <c r="AA135" s="925" t="e">
        <f t="shared" si="22"/>
        <v>#DIV/0!</v>
      </c>
      <c r="AB135" s="925">
        <f t="shared" si="22"/>
        <v>1.0393610553897448</v>
      </c>
      <c r="AC135" s="925">
        <f t="shared" si="22"/>
        <v>1.0393596569399874</v>
      </c>
      <c r="AD135" s="879"/>
      <c r="AE135" s="879"/>
      <c r="AF135" s="889"/>
      <c r="AG135" s="889"/>
      <c r="AH135" s="889"/>
      <c r="AI135" s="889"/>
    </row>
    <row r="136" spans="1:35" ht="13.5" hidden="1" thickBot="1" x14ac:dyDescent="0.25">
      <c r="A136" s="919"/>
      <c r="B136" s="923"/>
      <c r="C136" s="924"/>
      <c r="D136" s="925">
        <f t="shared" si="18"/>
        <v>0</v>
      </c>
      <c r="E136" s="925">
        <f t="shared" si="18"/>
        <v>0</v>
      </c>
      <c r="F136" s="925" t="e">
        <f t="shared" si="18"/>
        <v>#DIV/0!</v>
      </c>
      <c r="G136" s="925" t="e">
        <f t="shared" si="18"/>
        <v>#DIV/0!</v>
      </c>
      <c r="H136" s="925">
        <f t="shared" si="18"/>
        <v>0</v>
      </c>
      <c r="I136" s="925">
        <f t="shared" si="18"/>
        <v>0</v>
      </c>
      <c r="J136" s="925" t="e">
        <f t="shared" si="18"/>
        <v>#DIV/0!</v>
      </c>
      <c r="K136" s="925" t="e">
        <f t="shared" si="18"/>
        <v>#DIV/0!</v>
      </c>
      <c r="L136" s="925">
        <f t="shared" si="18"/>
        <v>0</v>
      </c>
      <c r="M136" s="925">
        <f t="shared" si="18"/>
        <v>0</v>
      </c>
      <c r="N136" s="925" t="e">
        <f t="shared" si="18"/>
        <v>#DIV/0!</v>
      </c>
      <c r="O136" s="925" t="e">
        <f t="shared" si="18"/>
        <v>#DIV/0!</v>
      </c>
      <c r="P136" s="925">
        <f t="shared" si="18"/>
        <v>0</v>
      </c>
      <c r="Q136" s="925">
        <f t="shared" si="18"/>
        <v>0</v>
      </c>
      <c r="R136" s="925" t="e">
        <f t="shared" si="18"/>
        <v>#DIV/0!</v>
      </c>
      <c r="S136" s="925" t="e">
        <f t="shared" si="18"/>
        <v>#DIV/0!</v>
      </c>
      <c r="T136" s="925">
        <f t="shared" ref="T136:AC136" si="23">T12/T80</f>
        <v>0</v>
      </c>
      <c r="U136" s="925">
        <f t="shared" si="23"/>
        <v>0</v>
      </c>
      <c r="V136" s="925" t="e">
        <f t="shared" si="23"/>
        <v>#DIV/0!</v>
      </c>
      <c r="W136" s="925" t="e">
        <f t="shared" si="23"/>
        <v>#DIV/0!</v>
      </c>
      <c r="X136" s="925">
        <f t="shared" si="23"/>
        <v>0</v>
      </c>
      <c r="Y136" s="925">
        <f t="shared" si="23"/>
        <v>0</v>
      </c>
      <c r="Z136" s="925" t="e">
        <f t="shared" si="23"/>
        <v>#DIV/0!</v>
      </c>
      <c r="AA136" s="925" t="e">
        <f t="shared" si="23"/>
        <v>#DIV/0!</v>
      </c>
      <c r="AB136" s="925">
        <f t="shared" si="23"/>
        <v>0</v>
      </c>
      <c r="AC136" s="925">
        <f t="shared" si="23"/>
        <v>0</v>
      </c>
      <c r="AD136" s="879"/>
      <c r="AE136" s="879"/>
      <c r="AF136" s="889"/>
      <c r="AG136" s="889"/>
      <c r="AH136" s="889"/>
      <c r="AI136" s="889"/>
    </row>
    <row r="137" spans="1:35" ht="13.5" hidden="1" thickBot="1" x14ac:dyDescent="0.25">
      <c r="A137" s="919"/>
      <c r="B137" s="923" t="s">
        <v>27735</v>
      </c>
      <c r="C137" s="924" t="s">
        <v>27740</v>
      </c>
      <c r="D137" s="925">
        <f t="shared" si="18"/>
        <v>1.0029996508317323</v>
      </c>
      <c r="E137" s="925">
        <f t="shared" si="18"/>
        <v>1.0029995498630704</v>
      </c>
      <c r="F137" s="925" t="e">
        <f t="shared" si="18"/>
        <v>#DIV/0!</v>
      </c>
      <c r="G137" s="925" t="e">
        <f t="shared" si="18"/>
        <v>#DIV/0!</v>
      </c>
      <c r="H137" s="925">
        <f t="shared" si="18"/>
        <v>1.0071570861392409</v>
      </c>
      <c r="I137" s="925">
        <f t="shared" si="18"/>
        <v>1.007156837505403</v>
      </c>
      <c r="J137" s="925" t="e">
        <f t="shared" si="18"/>
        <v>#DIV/0!</v>
      </c>
      <c r="K137" s="925" t="e">
        <f t="shared" si="18"/>
        <v>#DIV/0!</v>
      </c>
      <c r="L137" s="925">
        <f t="shared" si="18"/>
        <v>1.0161994779761374</v>
      </c>
      <c r="M137" s="925">
        <f t="shared" si="18"/>
        <v>1.0161989366955935</v>
      </c>
      <c r="N137" s="925" t="e">
        <f t="shared" si="18"/>
        <v>#DIV/0!</v>
      </c>
      <c r="O137" s="925" t="e">
        <f t="shared" si="18"/>
        <v>#DIV/0!</v>
      </c>
      <c r="P137" s="925">
        <f t="shared" si="18"/>
        <v>1.0217658369832283</v>
      </c>
      <c r="Q137" s="925">
        <f t="shared" si="18"/>
        <v>1.0217650740713777</v>
      </c>
      <c r="R137" s="925" t="e">
        <f t="shared" si="18"/>
        <v>#DIV/0!</v>
      </c>
      <c r="S137" s="925" t="e">
        <f t="shared" si="18"/>
        <v>#DIV/0!</v>
      </c>
      <c r="T137" s="925">
        <f t="shared" ref="T137:AC137" si="24">T13/T81</f>
        <v>1.0266365503678432</v>
      </c>
      <c r="U137" s="925">
        <f t="shared" si="24"/>
        <v>1.0268021004293946</v>
      </c>
      <c r="V137" s="925" t="e">
        <f t="shared" si="24"/>
        <v>#DIV/0!</v>
      </c>
      <c r="W137" s="925" t="e">
        <f t="shared" si="24"/>
        <v>#DIV/0!</v>
      </c>
      <c r="X137" s="925">
        <f t="shared" si="24"/>
        <v>1.0281635563962055</v>
      </c>
      <c r="Y137" s="925">
        <f t="shared" si="24"/>
        <v>1.0285432498814928</v>
      </c>
      <c r="Z137" s="925" t="e">
        <f t="shared" si="24"/>
        <v>#DIV/0!</v>
      </c>
      <c r="AA137" s="925" t="e">
        <f t="shared" si="24"/>
        <v>#DIV/0!</v>
      </c>
      <c r="AB137" s="925">
        <f t="shared" si="24"/>
        <v>1.0281635563962055</v>
      </c>
      <c r="AC137" s="925">
        <f t="shared" si="24"/>
        <v>1.0332194099070187</v>
      </c>
      <c r="AD137" s="879"/>
      <c r="AE137" s="879"/>
      <c r="AF137" s="889"/>
      <c r="AG137" s="889"/>
      <c r="AH137" s="889"/>
      <c r="AI137" s="889"/>
    </row>
    <row r="138" spans="1:35" ht="13.5" hidden="1" thickBot="1" x14ac:dyDescent="0.25">
      <c r="A138" s="919"/>
      <c r="B138" s="923"/>
      <c r="C138" s="924"/>
      <c r="D138" s="925">
        <f t="shared" si="18"/>
        <v>0</v>
      </c>
      <c r="E138" s="925">
        <f t="shared" si="18"/>
        <v>0</v>
      </c>
      <c r="F138" s="925" t="e">
        <f t="shared" si="18"/>
        <v>#DIV/0!</v>
      </c>
      <c r="G138" s="925" t="e">
        <f t="shared" si="18"/>
        <v>#DIV/0!</v>
      </c>
      <c r="H138" s="925">
        <f t="shared" si="18"/>
        <v>0</v>
      </c>
      <c r="I138" s="925">
        <f t="shared" si="18"/>
        <v>0</v>
      </c>
      <c r="J138" s="925" t="e">
        <f t="shared" si="18"/>
        <v>#DIV/0!</v>
      </c>
      <c r="K138" s="925" t="e">
        <f t="shared" si="18"/>
        <v>#DIV/0!</v>
      </c>
      <c r="L138" s="925">
        <f t="shared" si="18"/>
        <v>0</v>
      </c>
      <c r="M138" s="925">
        <f t="shared" si="18"/>
        <v>0</v>
      </c>
      <c r="N138" s="925" t="e">
        <f t="shared" si="18"/>
        <v>#DIV/0!</v>
      </c>
      <c r="O138" s="925" t="e">
        <f t="shared" si="18"/>
        <v>#DIV/0!</v>
      </c>
      <c r="P138" s="925">
        <f t="shared" si="18"/>
        <v>0</v>
      </c>
      <c r="Q138" s="925">
        <f t="shared" si="18"/>
        <v>0</v>
      </c>
      <c r="R138" s="925" t="e">
        <f t="shared" si="18"/>
        <v>#DIV/0!</v>
      </c>
      <c r="S138" s="925" t="e">
        <f t="shared" si="18"/>
        <v>#DIV/0!</v>
      </c>
      <c r="T138" s="925">
        <f t="shared" ref="T138:AC138" si="25">T14/T82</f>
        <v>0</v>
      </c>
      <c r="U138" s="925">
        <f t="shared" si="25"/>
        <v>0</v>
      </c>
      <c r="V138" s="925" t="e">
        <f t="shared" si="25"/>
        <v>#DIV/0!</v>
      </c>
      <c r="W138" s="925" t="e">
        <f t="shared" si="25"/>
        <v>#DIV/0!</v>
      </c>
      <c r="X138" s="925">
        <f t="shared" si="25"/>
        <v>0</v>
      </c>
      <c r="Y138" s="925">
        <f t="shared" si="25"/>
        <v>0</v>
      </c>
      <c r="Z138" s="925" t="e">
        <f t="shared" si="25"/>
        <v>#DIV/0!</v>
      </c>
      <c r="AA138" s="925" t="e">
        <f t="shared" si="25"/>
        <v>#DIV/0!</v>
      </c>
      <c r="AB138" s="925">
        <f t="shared" si="25"/>
        <v>0</v>
      </c>
      <c r="AC138" s="925">
        <f t="shared" si="25"/>
        <v>0</v>
      </c>
      <c r="AD138" s="879"/>
      <c r="AE138" s="879"/>
      <c r="AF138" s="889"/>
      <c r="AG138" s="889"/>
      <c r="AH138" s="889"/>
      <c r="AI138" s="889"/>
    </row>
    <row r="139" spans="1:35" ht="13.5" hidden="1" thickBot="1" x14ac:dyDescent="0.25">
      <c r="A139" s="919"/>
      <c r="B139" s="923" t="s">
        <v>27736</v>
      </c>
      <c r="C139" s="924" t="s">
        <v>27740</v>
      </c>
      <c r="D139" s="925">
        <f t="shared" si="18"/>
        <v>1.0025406987618912</v>
      </c>
      <c r="E139" s="925">
        <f t="shared" si="18"/>
        <v>1.0025406114130468</v>
      </c>
      <c r="F139" s="925" t="e">
        <f t="shared" si="18"/>
        <v>#DIV/0!</v>
      </c>
      <c r="G139" s="925" t="e">
        <f t="shared" si="18"/>
        <v>#DIV/0!</v>
      </c>
      <c r="H139" s="925">
        <f t="shared" si="18"/>
        <v>1.0059998217682911</v>
      </c>
      <c r="I139" s="925">
        <f t="shared" si="18"/>
        <v>1.005999632016312</v>
      </c>
      <c r="J139" s="925" t="e">
        <f t="shared" si="18"/>
        <v>#DIV/0!</v>
      </c>
      <c r="K139" s="925" t="e">
        <f t="shared" si="18"/>
        <v>#DIV/0!</v>
      </c>
      <c r="L139" s="925">
        <f t="shared" si="18"/>
        <v>1.0130850861565113</v>
      </c>
      <c r="M139" s="925">
        <f t="shared" si="18"/>
        <v>1.013084650764615</v>
      </c>
      <c r="N139" s="925" t="e">
        <f t="shared" si="18"/>
        <v>#DIV/0!</v>
      </c>
      <c r="O139" s="925" t="e">
        <f t="shared" si="18"/>
        <v>#DIV/0!</v>
      </c>
      <c r="P139" s="925">
        <f t="shared" si="18"/>
        <v>1.0166812439588824</v>
      </c>
      <c r="Q139" s="925">
        <f t="shared" si="18"/>
        <v>1.0181730399676439</v>
      </c>
      <c r="R139" s="925" t="e">
        <f t="shared" si="18"/>
        <v>#DIV/0!</v>
      </c>
      <c r="S139" s="925" t="e">
        <f t="shared" si="18"/>
        <v>#DIV/0!</v>
      </c>
      <c r="T139" s="925">
        <f t="shared" ref="T139:AC139" si="26">T15/T83</f>
        <v>1.0214893121109812</v>
      </c>
      <c r="U139" s="925">
        <f t="shared" si="26"/>
        <v>1.0222862267590029</v>
      </c>
      <c r="V139" s="925" t="e">
        <f t="shared" si="26"/>
        <v>#DIV/0!</v>
      </c>
      <c r="W139" s="925" t="e">
        <f t="shared" si="26"/>
        <v>#DIV/0!</v>
      </c>
      <c r="X139" s="925">
        <f t="shared" si="26"/>
        <v>1.0236841099021552</v>
      </c>
      <c r="Y139" s="925">
        <f t="shared" si="26"/>
        <v>1.0236832900191213</v>
      </c>
      <c r="Z139" s="925" t="e">
        <f t="shared" si="26"/>
        <v>#DIV/0!</v>
      </c>
      <c r="AA139" s="925" t="e">
        <f t="shared" si="26"/>
        <v>#DIV/0!</v>
      </c>
      <c r="AB139" s="925">
        <f t="shared" si="26"/>
        <v>1.0232580750127209</v>
      </c>
      <c r="AC139" s="925">
        <f t="shared" si="26"/>
        <v>1.0263641164788888</v>
      </c>
      <c r="AD139" s="879"/>
      <c r="AE139" s="879"/>
      <c r="AF139" s="889"/>
      <c r="AG139" s="889"/>
      <c r="AH139" s="889"/>
      <c r="AI139" s="889"/>
    </row>
    <row r="140" spans="1:35" ht="13.5" hidden="1" thickBot="1" x14ac:dyDescent="0.25">
      <c r="A140" s="919"/>
      <c r="B140" s="923"/>
      <c r="C140" s="924"/>
      <c r="D140" s="925">
        <f t="shared" si="18"/>
        <v>0</v>
      </c>
      <c r="E140" s="925">
        <f t="shared" si="18"/>
        <v>0</v>
      </c>
      <c r="F140" s="925" t="e">
        <f t="shared" si="18"/>
        <v>#DIV/0!</v>
      </c>
      <c r="G140" s="925" t="e">
        <f t="shared" si="18"/>
        <v>#DIV/0!</v>
      </c>
      <c r="H140" s="925">
        <f t="shared" si="18"/>
        <v>0</v>
      </c>
      <c r="I140" s="925">
        <f t="shared" si="18"/>
        <v>0</v>
      </c>
      <c r="J140" s="925" t="e">
        <f t="shared" si="18"/>
        <v>#DIV/0!</v>
      </c>
      <c r="K140" s="925" t="e">
        <f t="shared" si="18"/>
        <v>#DIV/0!</v>
      </c>
      <c r="L140" s="925">
        <f t="shared" si="18"/>
        <v>0</v>
      </c>
      <c r="M140" s="925">
        <f t="shared" si="18"/>
        <v>0</v>
      </c>
      <c r="N140" s="925" t="e">
        <f t="shared" si="18"/>
        <v>#DIV/0!</v>
      </c>
      <c r="O140" s="925" t="e">
        <f t="shared" si="18"/>
        <v>#DIV/0!</v>
      </c>
      <c r="P140" s="925">
        <f t="shared" si="18"/>
        <v>0</v>
      </c>
      <c r="Q140" s="925">
        <f t="shared" si="18"/>
        <v>0</v>
      </c>
      <c r="R140" s="925" t="e">
        <f t="shared" si="18"/>
        <v>#DIV/0!</v>
      </c>
      <c r="S140" s="925" t="e">
        <f t="shared" si="18"/>
        <v>#DIV/0!</v>
      </c>
      <c r="T140" s="925">
        <f t="shared" ref="T140:AC140" si="27">T16/T84</f>
        <v>0</v>
      </c>
      <c r="U140" s="925">
        <f t="shared" si="27"/>
        <v>0</v>
      </c>
      <c r="V140" s="925" t="e">
        <f t="shared" si="27"/>
        <v>#DIV/0!</v>
      </c>
      <c r="W140" s="925" t="e">
        <f t="shared" si="27"/>
        <v>#DIV/0!</v>
      </c>
      <c r="X140" s="925">
        <f t="shared" si="27"/>
        <v>0</v>
      </c>
      <c r="Y140" s="925">
        <f t="shared" si="27"/>
        <v>0</v>
      </c>
      <c r="Z140" s="925" t="e">
        <f t="shared" si="27"/>
        <v>#DIV/0!</v>
      </c>
      <c r="AA140" s="925" t="e">
        <f t="shared" si="27"/>
        <v>#DIV/0!</v>
      </c>
      <c r="AB140" s="925">
        <f t="shared" si="27"/>
        <v>0</v>
      </c>
      <c r="AC140" s="925">
        <f t="shared" si="27"/>
        <v>0</v>
      </c>
      <c r="AD140" s="879"/>
      <c r="AE140" s="879"/>
      <c r="AF140" s="889"/>
      <c r="AG140" s="889"/>
      <c r="AH140" s="889"/>
      <c r="AI140" s="889"/>
    </row>
    <row r="141" spans="1:35" ht="13.5" hidden="1" thickBot="1" x14ac:dyDescent="0.25">
      <c r="A141" s="919"/>
      <c r="B141" s="926" t="s">
        <v>27737</v>
      </c>
      <c r="C141" s="924" t="s">
        <v>27740</v>
      </c>
      <c r="D141" s="925">
        <f t="shared" si="18"/>
        <v>1.002360939374858</v>
      </c>
      <c r="E141" s="925">
        <f t="shared" si="18"/>
        <v>1.0023608651450069</v>
      </c>
      <c r="F141" s="925" t="e">
        <f t="shared" si="18"/>
        <v>#DIV/0!</v>
      </c>
      <c r="G141" s="925" t="e">
        <f t="shared" si="18"/>
        <v>#DIV/0!</v>
      </c>
      <c r="H141" s="925">
        <f t="shared" si="18"/>
        <v>1.0055873178528969</v>
      </c>
      <c r="I141" s="925">
        <f t="shared" si="18"/>
        <v>1.005587123922397</v>
      </c>
      <c r="J141" s="925" t="e">
        <f t="shared" si="18"/>
        <v>#DIV/0!</v>
      </c>
      <c r="K141" s="925" t="e">
        <f t="shared" si="18"/>
        <v>#DIV/0!</v>
      </c>
      <c r="L141" s="925">
        <f t="shared" si="18"/>
        <v>1.0113879553159726</v>
      </c>
      <c r="M141" s="925">
        <f t="shared" si="18"/>
        <v>1.0113875875960929</v>
      </c>
      <c r="N141" s="925" t="e">
        <f t="shared" si="18"/>
        <v>#DIV/0!</v>
      </c>
      <c r="O141" s="925" t="e">
        <f t="shared" si="18"/>
        <v>#DIV/0!</v>
      </c>
      <c r="P141" s="925">
        <f t="shared" si="18"/>
        <v>1.0149422254554266</v>
      </c>
      <c r="Q141" s="925">
        <f t="shared" si="18"/>
        <v>1.0158027626881092</v>
      </c>
      <c r="R141" s="925" t="e">
        <f t="shared" si="18"/>
        <v>#DIV/0!</v>
      </c>
      <c r="S141" s="925" t="e">
        <f t="shared" si="18"/>
        <v>#DIV/0!</v>
      </c>
      <c r="T141" s="925">
        <f t="shared" ref="T141:AC141" si="28">T17/T85</f>
        <v>1.0194515455480386</v>
      </c>
      <c r="U141" s="925">
        <f t="shared" si="28"/>
        <v>1.0194508779513969</v>
      </c>
      <c r="V141" s="925" t="e">
        <f t="shared" si="28"/>
        <v>#DIV/0!</v>
      </c>
      <c r="W141" s="925" t="e">
        <f t="shared" si="28"/>
        <v>#DIV/0!</v>
      </c>
      <c r="X141" s="925">
        <f t="shared" si="28"/>
        <v>1.0201779259730077</v>
      </c>
      <c r="Y141" s="925">
        <f t="shared" si="28"/>
        <v>1.0201772315927944</v>
      </c>
      <c r="Z141" s="925" t="e">
        <f t="shared" si="28"/>
        <v>#DIV/0!</v>
      </c>
      <c r="AA141" s="925" t="e">
        <f t="shared" si="28"/>
        <v>#DIV/0!</v>
      </c>
      <c r="AB141" s="925">
        <f t="shared" si="28"/>
        <v>1.0214811169658076</v>
      </c>
      <c r="AC141" s="925">
        <f t="shared" si="28"/>
        <v>1.0223050156357232</v>
      </c>
      <c r="AD141" s="879"/>
      <c r="AE141" s="879"/>
      <c r="AF141" s="889"/>
      <c r="AG141" s="889"/>
      <c r="AH141" s="889"/>
      <c r="AI141" s="889"/>
    </row>
    <row r="142" spans="1:35" ht="13.5" hidden="1" thickBot="1" x14ac:dyDescent="0.25">
      <c r="A142" s="919"/>
      <c r="B142" s="923"/>
      <c r="C142" s="924"/>
      <c r="D142" s="925">
        <f t="shared" si="18"/>
        <v>0</v>
      </c>
      <c r="E142" s="925">
        <f t="shared" si="18"/>
        <v>0</v>
      </c>
      <c r="F142" s="925" t="e">
        <f t="shared" si="18"/>
        <v>#DIV/0!</v>
      </c>
      <c r="G142" s="925" t="e">
        <f t="shared" si="18"/>
        <v>#DIV/0!</v>
      </c>
      <c r="H142" s="925">
        <f t="shared" si="18"/>
        <v>0</v>
      </c>
      <c r="I142" s="925">
        <f t="shared" si="18"/>
        <v>0</v>
      </c>
      <c r="J142" s="925" t="e">
        <f t="shared" si="18"/>
        <v>#DIV/0!</v>
      </c>
      <c r="K142" s="925" t="e">
        <f t="shared" si="18"/>
        <v>#DIV/0!</v>
      </c>
      <c r="L142" s="925">
        <f t="shared" si="18"/>
        <v>0</v>
      </c>
      <c r="M142" s="925">
        <f t="shared" si="18"/>
        <v>0</v>
      </c>
      <c r="N142" s="925" t="e">
        <f t="shared" si="18"/>
        <v>#DIV/0!</v>
      </c>
      <c r="O142" s="925" t="e">
        <f t="shared" si="18"/>
        <v>#DIV/0!</v>
      </c>
      <c r="P142" s="925">
        <f t="shared" si="18"/>
        <v>0</v>
      </c>
      <c r="Q142" s="925">
        <f t="shared" si="18"/>
        <v>0</v>
      </c>
      <c r="R142" s="925" t="e">
        <f t="shared" si="18"/>
        <v>#DIV/0!</v>
      </c>
      <c r="S142" s="925" t="e">
        <f t="shared" si="18"/>
        <v>#DIV/0!</v>
      </c>
      <c r="T142" s="925">
        <f t="shared" ref="T142:AC142" si="29">T18/T86</f>
        <v>0</v>
      </c>
      <c r="U142" s="925">
        <f t="shared" si="29"/>
        <v>0</v>
      </c>
      <c r="V142" s="925" t="e">
        <f t="shared" si="29"/>
        <v>#DIV/0!</v>
      </c>
      <c r="W142" s="925" t="e">
        <f t="shared" si="29"/>
        <v>#DIV/0!</v>
      </c>
      <c r="X142" s="925">
        <f t="shared" si="29"/>
        <v>0</v>
      </c>
      <c r="Y142" s="925">
        <f t="shared" si="29"/>
        <v>0</v>
      </c>
      <c r="Z142" s="925" t="e">
        <f t="shared" si="29"/>
        <v>#DIV/0!</v>
      </c>
      <c r="AA142" s="925" t="e">
        <f t="shared" si="29"/>
        <v>#DIV/0!</v>
      </c>
      <c r="AB142" s="925">
        <f t="shared" si="29"/>
        <v>0</v>
      </c>
      <c r="AC142" s="925">
        <f t="shared" si="29"/>
        <v>0</v>
      </c>
      <c r="AD142" s="879"/>
      <c r="AE142" s="879"/>
      <c r="AF142" s="889"/>
      <c r="AG142" s="889"/>
      <c r="AH142" s="889"/>
      <c r="AI142" s="889"/>
    </row>
    <row r="143" spans="1:35" ht="13.5" hidden="1" thickBot="1" x14ac:dyDescent="0.25">
      <c r="A143" s="919"/>
      <c r="B143" s="926" t="s">
        <v>27741</v>
      </c>
      <c r="C143" s="924" t="s">
        <v>27740</v>
      </c>
      <c r="D143" s="925">
        <f t="shared" si="18"/>
        <v>1.0022593660278747</v>
      </c>
      <c r="E143" s="925">
        <f t="shared" si="18"/>
        <v>1.0022592946738953</v>
      </c>
      <c r="F143" s="925" t="e">
        <f t="shared" si="18"/>
        <v>#DIV/0!</v>
      </c>
      <c r="G143" s="925" t="e">
        <f t="shared" si="18"/>
        <v>#DIV/0!</v>
      </c>
      <c r="H143" s="925">
        <f t="shared" si="18"/>
        <v>1.0053409719982687</v>
      </c>
      <c r="I143" s="925">
        <f t="shared" si="18"/>
        <v>1.0053408018100405</v>
      </c>
      <c r="J143" s="925" t="e">
        <f t="shared" si="18"/>
        <v>#DIV/0!</v>
      </c>
      <c r="K143" s="925" t="e">
        <f t="shared" si="18"/>
        <v>#DIV/0!</v>
      </c>
      <c r="L143" s="925">
        <f t="shared" si="18"/>
        <v>1.0109526868917875</v>
      </c>
      <c r="M143" s="925">
        <f t="shared" si="18"/>
        <v>1.0109523142181833</v>
      </c>
      <c r="N143" s="925" t="e">
        <f t="shared" si="18"/>
        <v>#DIV/0!</v>
      </c>
      <c r="O143" s="925" t="e">
        <f t="shared" si="18"/>
        <v>#DIV/0!</v>
      </c>
      <c r="P143" s="925">
        <f t="shared" si="18"/>
        <v>1.0153304233414482</v>
      </c>
      <c r="Q143" s="925">
        <f t="shared" si="18"/>
        <v>1.0153299011838783</v>
      </c>
      <c r="R143" s="925" t="e">
        <f t="shared" si="18"/>
        <v>#DIV/0!</v>
      </c>
      <c r="S143" s="925" t="e">
        <f t="shared" si="18"/>
        <v>#DIV/0!</v>
      </c>
      <c r="T143" s="925">
        <f t="shared" ref="T143:AC143" si="30">T19/T87</f>
        <v>1.01814960718501</v>
      </c>
      <c r="U143" s="925">
        <f t="shared" si="30"/>
        <v>1.0181489995150881</v>
      </c>
      <c r="V143" s="925" t="e">
        <f t="shared" si="30"/>
        <v>#DIV/0!</v>
      </c>
      <c r="W143" s="925" t="e">
        <f t="shared" si="30"/>
        <v>#DIV/0!</v>
      </c>
      <c r="X143" s="925">
        <f t="shared" si="30"/>
        <v>1.019194879712638</v>
      </c>
      <c r="Y143" s="925">
        <f t="shared" si="30"/>
        <v>1.0191942231076061</v>
      </c>
      <c r="Z143" s="925" t="e">
        <f t="shared" si="30"/>
        <v>#DIV/0!</v>
      </c>
      <c r="AA143" s="925" t="e">
        <f t="shared" si="30"/>
        <v>#DIV/0!</v>
      </c>
      <c r="AB143" s="925" t="e">
        <f t="shared" si="30"/>
        <v>#DIV/0!</v>
      </c>
      <c r="AC143" s="925" t="e">
        <f t="shared" si="30"/>
        <v>#DIV/0!</v>
      </c>
      <c r="AD143" s="879"/>
      <c r="AE143" s="879"/>
      <c r="AF143" s="889"/>
      <c r="AG143" s="889"/>
      <c r="AH143" s="889"/>
      <c r="AI143" s="889"/>
    </row>
    <row r="144" spans="1:35" ht="15.75" hidden="1" x14ac:dyDescent="0.25">
      <c r="A144" s="914"/>
      <c r="B144" s="2910" t="s">
        <v>442</v>
      </c>
      <c r="C144" s="2910"/>
      <c r="D144" s="2910"/>
      <c r="E144" s="2910"/>
      <c r="F144" s="2910"/>
      <c r="G144" s="2910"/>
      <c r="H144" s="2910"/>
      <c r="I144" s="915" t="s">
        <v>27726</v>
      </c>
      <c r="J144" s="916"/>
      <c r="K144" s="916"/>
      <c r="L144" s="914"/>
      <c r="M144" s="916"/>
      <c r="N144" s="916"/>
      <c r="O144" s="916"/>
      <c r="P144" s="917"/>
      <c r="Q144" s="917"/>
      <c r="R144" s="917"/>
      <c r="S144" s="917"/>
      <c r="T144" s="917"/>
      <c r="U144" s="917"/>
      <c r="V144" s="917"/>
      <c r="W144" s="917"/>
      <c r="X144" s="914"/>
      <c r="Y144" s="914"/>
      <c r="Z144" s="914"/>
      <c r="AA144" s="914"/>
      <c r="AB144" s="914"/>
      <c r="AC144" s="914"/>
    </row>
    <row r="145" spans="1:35" ht="16.5" hidden="1" thickBot="1" x14ac:dyDescent="0.3">
      <c r="A145" s="914"/>
      <c r="B145" s="918" t="s">
        <v>27743</v>
      </c>
      <c r="C145" s="917"/>
      <c r="D145" s="2914"/>
      <c r="E145" s="2914"/>
      <c r="F145" s="2914"/>
      <c r="G145" s="2914"/>
      <c r="H145" s="2914"/>
      <c r="I145" s="2914"/>
      <c r="J145" s="2914"/>
      <c r="K145" s="2914"/>
      <c r="L145" s="2914"/>
      <c r="M145" s="2914"/>
      <c r="N145" s="2914"/>
      <c r="O145" s="2914"/>
      <c r="P145" s="2914"/>
      <c r="Q145" s="917"/>
      <c r="R145" s="917"/>
      <c r="S145" s="917"/>
      <c r="T145" s="917"/>
      <c r="U145" s="917"/>
      <c r="V145" s="917"/>
      <c r="W145" s="917"/>
      <c r="X145" s="914"/>
      <c r="Y145" s="914"/>
      <c r="Z145" s="914"/>
      <c r="AA145" s="914"/>
      <c r="AB145" s="914"/>
      <c r="AC145" s="914"/>
    </row>
    <row r="146" spans="1:35" ht="17.45" hidden="1" customHeight="1" thickBot="1" x14ac:dyDescent="0.35">
      <c r="A146" s="919"/>
      <c r="B146" s="920" t="s">
        <v>27728</v>
      </c>
      <c r="C146" s="2903" t="s">
        <v>27729</v>
      </c>
      <c r="D146" s="2905" t="s">
        <v>27730</v>
      </c>
      <c r="E146" s="2906"/>
      <c r="F146" s="2906"/>
      <c r="G146" s="2906"/>
      <c r="H146" s="2906"/>
      <c r="I146" s="2906"/>
      <c r="J146" s="2906"/>
      <c r="K146" s="2906"/>
      <c r="L146" s="2906"/>
      <c r="M146" s="2906"/>
      <c r="N146" s="2906"/>
      <c r="O146" s="2906"/>
      <c r="P146" s="2906"/>
      <c r="Q146" s="2906"/>
      <c r="R146" s="2906"/>
      <c r="S146" s="2906"/>
      <c r="T146" s="2906"/>
      <c r="U146" s="2906"/>
      <c r="V146" s="2906"/>
      <c r="W146" s="2906"/>
      <c r="X146" s="2906"/>
      <c r="Y146" s="2906"/>
      <c r="Z146" s="2906"/>
      <c r="AA146" s="2906"/>
      <c r="AB146" s="2906"/>
      <c r="AC146" s="2907"/>
      <c r="AD146" s="862"/>
      <c r="AE146" s="862"/>
      <c r="AF146" s="862"/>
      <c r="AG146" s="862"/>
      <c r="AH146" s="862"/>
      <c r="AI146" s="862"/>
    </row>
    <row r="147" spans="1:35" ht="21.2" hidden="1" customHeight="1" thickBot="1" x14ac:dyDescent="0.25">
      <c r="A147" s="919"/>
      <c r="B147" s="920" t="s">
        <v>27731</v>
      </c>
      <c r="C147" s="2904"/>
      <c r="D147" s="2908" t="s">
        <v>27732</v>
      </c>
      <c r="E147" s="2909"/>
      <c r="F147" s="921"/>
      <c r="G147" s="921"/>
      <c r="H147" s="2908" t="s">
        <v>27733</v>
      </c>
      <c r="I147" s="2909"/>
      <c r="J147" s="921"/>
      <c r="K147" s="921"/>
      <c r="L147" s="2908" t="s">
        <v>27734</v>
      </c>
      <c r="M147" s="2909"/>
      <c r="N147" s="921"/>
      <c r="O147" s="921"/>
      <c r="P147" s="2908" t="s">
        <v>27735</v>
      </c>
      <c r="Q147" s="2909"/>
      <c r="R147" s="921"/>
      <c r="S147" s="921"/>
      <c r="T147" s="2908" t="s">
        <v>27736</v>
      </c>
      <c r="U147" s="2909"/>
      <c r="V147" s="921"/>
      <c r="W147" s="921"/>
      <c r="X147" s="2908" t="s">
        <v>27737</v>
      </c>
      <c r="Y147" s="2909"/>
      <c r="Z147" s="921"/>
      <c r="AA147" s="921"/>
      <c r="AB147" s="2908" t="s">
        <v>27738</v>
      </c>
      <c r="AC147" s="2909"/>
      <c r="AD147" s="867"/>
      <c r="AE147" s="867"/>
      <c r="AF147" s="868"/>
      <c r="AG147" s="868"/>
      <c r="AH147" s="868"/>
      <c r="AI147" s="868"/>
    </row>
    <row r="148" spans="1:35" ht="13.5" hidden="1" thickBot="1" x14ac:dyDescent="0.25">
      <c r="A148" s="919"/>
      <c r="B148" s="922"/>
      <c r="C148" s="922"/>
      <c r="D148" s="922" t="s">
        <v>27739</v>
      </c>
      <c r="E148" s="922" t="s">
        <v>27725</v>
      </c>
      <c r="F148" s="922"/>
      <c r="G148" s="922"/>
      <c r="H148" s="922" t="s">
        <v>27739</v>
      </c>
      <c r="I148" s="922" t="s">
        <v>27725</v>
      </c>
      <c r="J148" s="922"/>
      <c r="K148" s="922"/>
      <c r="L148" s="922" t="s">
        <v>27739</v>
      </c>
      <c r="M148" s="922" t="s">
        <v>27725</v>
      </c>
      <c r="N148" s="922"/>
      <c r="O148" s="922"/>
      <c r="P148" s="922" t="s">
        <v>27739</v>
      </c>
      <c r="Q148" s="922" t="s">
        <v>27725</v>
      </c>
      <c r="R148" s="922"/>
      <c r="S148" s="922"/>
      <c r="T148" s="922" t="s">
        <v>27739</v>
      </c>
      <c r="U148" s="922" t="s">
        <v>27725</v>
      </c>
      <c r="V148" s="922"/>
      <c r="W148" s="922"/>
      <c r="X148" s="922" t="s">
        <v>27739</v>
      </c>
      <c r="Y148" s="922" t="s">
        <v>27725</v>
      </c>
      <c r="Z148" s="922"/>
      <c r="AA148" s="922"/>
      <c r="AB148" s="922" t="s">
        <v>27739</v>
      </c>
      <c r="AC148" s="922" t="s">
        <v>27725</v>
      </c>
      <c r="AD148" s="870"/>
      <c r="AE148" s="870"/>
      <c r="AF148" s="871"/>
      <c r="AG148" s="871"/>
      <c r="AH148" s="871"/>
      <c r="AI148" s="871"/>
    </row>
    <row r="149" spans="1:35" ht="13.5" hidden="1" thickBot="1" x14ac:dyDescent="0.25">
      <c r="A149" s="919"/>
      <c r="B149" s="923" t="s">
        <v>27732</v>
      </c>
      <c r="C149" s="924" t="s">
        <v>27740</v>
      </c>
      <c r="D149" s="927">
        <f t="shared" ref="D149:AC158" si="31">D7-D75</f>
        <v>12.38799999999992</v>
      </c>
      <c r="E149" s="927">
        <f t="shared" si="31"/>
        <v>6.8820000000000618</v>
      </c>
      <c r="F149" s="927">
        <f t="shared" si="31"/>
        <v>0</v>
      </c>
      <c r="G149" s="927">
        <f t="shared" si="31"/>
        <v>0</v>
      </c>
      <c r="H149" s="927">
        <f t="shared" si="31"/>
        <v>30.9699999999998</v>
      </c>
      <c r="I149" s="927">
        <f t="shared" si="31"/>
        <v>17.204999999999927</v>
      </c>
      <c r="J149" s="927">
        <f t="shared" si="31"/>
        <v>0</v>
      </c>
      <c r="K149" s="927">
        <f t="shared" si="31"/>
        <v>0</v>
      </c>
      <c r="L149" s="927">
        <f t="shared" si="31"/>
        <v>92.909999999999854</v>
      </c>
      <c r="M149" s="927">
        <f t="shared" si="31"/>
        <v>51.614999999999782</v>
      </c>
      <c r="N149" s="927">
        <f t="shared" si="31"/>
        <v>0</v>
      </c>
      <c r="O149" s="927">
        <f t="shared" si="31"/>
        <v>0</v>
      </c>
      <c r="P149" s="927">
        <f t="shared" si="31"/>
        <v>154.84999999999991</v>
      </c>
      <c r="Q149" s="927">
        <f t="shared" si="31"/>
        <v>86.025000000000091</v>
      </c>
      <c r="R149" s="927">
        <f t="shared" si="31"/>
        <v>0</v>
      </c>
      <c r="S149" s="927">
        <f t="shared" si="31"/>
        <v>0</v>
      </c>
      <c r="T149" s="927">
        <f t="shared" si="31"/>
        <v>238.84064000000035</v>
      </c>
      <c r="U149" s="927">
        <f t="shared" si="31"/>
        <v>132.68496000000005</v>
      </c>
      <c r="V149" s="927">
        <f t="shared" si="31"/>
        <v>0</v>
      </c>
      <c r="W149" s="927">
        <f t="shared" si="31"/>
        <v>0</v>
      </c>
      <c r="X149" s="927">
        <f t="shared" si="31"/>
        <v>278.72999999999956</v>
      </c>
      <c r="Y149" s="927">
        <f t="shared" si="31"/>
        <v>154.8449999999998</v>
      </c>
      <c r="Z149" s="927">
        <f t="shared" si="31"/>
        <v>0</v>
      </c>
      <c r="AA149" s="927">
        <f t="shared" si="31"/>
        <v>0</v>
      </c>
      <c r="AB149" s="927">
        <f t="shared" si="31"/>
        <v>371.64000000000033</v>
      </c>
      <c r="AC149" s="927">
        <f t="shared" si="31"/>
        <v>206.46000000000004</v>
      </c>
      <c r="AD149" s="879"/>
      <c r="AE149" s="879"/>
      <c r="AF149" s="889"/>
      <c r="AG149" s="889"/>
      <c r="AH149" s="889"/>
      <c r="AI149" s="889"/>
    </row>
    <row r="150" spans="1:35" ht="13.5" hidden="1" thickBot="1" x14ac:dyDescent="0.25">
      <c r="A150" s="919"/>
      <c r="B150" s="923"/>
      <c r="C150" s="924"/>
      <c r="D150" s="927">
        <f t="shared" si="31"/>
        <v>12.388</v>
      </c>
      <c r="E150" s="927">
        <f t="shared" si="31"/>
        <v>6.8819999999999997</v>
      </c>
      <c r="F150" s="927">
        <f t="shared" si="31"/>
        <v>0</v>
      </c>
      <c r="G150" s="927">
        <f t="shared" si="31"/>
        <v>0</v>
      </c>
      <c r="H150" s="927">
        <f t="shared" si="31"/>
        <v>30.97</v>
      </c>
      <c r="I150" s="927">
        <f t="shared" si="31"/>
        <v>17.204999999999998</v>
      </c>
      <c r="J150" s="927">
        <f t="shared" si="31"/>
        <v>0</v>
      </c>
      <c r="K150" s="927">
        <f t="shared" si="31"/>
        <v>0</v>
      </c>
      <c r="L150" s="927">
        <f t="shared" si="31"/>
        <v>92.91</v>
      </c>
      <c r="M150" s="927">
        <f t="shared" si="31"/>
        <v>51.614999999999995</v>
      </c>
      <c r="N150" s="927">
        <f t="shared" si="31"/>
        <v>0</v>
      </c>
      <c r="O150" s="927">
        <f t="shared" si="31"/>
        <v>0</v>
      </c>
      <c r="P150" s="927">
        <f t="shared" si="31"/>
        <v>154.85</v>
      </c>
      <c r="Q150" s="927">
        <f t="shared" si="31"/>
        <v>86.024999999999991</v>
      </c>
      <c r="R150" s="927">
        <f t="shared" si="31"/>
        <v>0</v>
      </c>
      <c r="S150" s="927">
        <f t="shared" si="31"/>
        <v>0</v>
      </c>
      <c r="T150" s="927">
        <f t="shared" si="31"/>
        <v>238.84063999999998</v>
      </c>
      <c r="U150" s="927">
        <f t="shared" si="31"/>
        <v>132.68495999999999</v>
      </c>
      <c r="V150" s="927">
        <f t="shared" si="31"/>
        <v>0</v>
      </c>
      <c r="W150" s="927">
        <f t="shared" si="31"/>
        <v>0</v>
      </c>
      <c r="X150" s="927">
        <f t="shared" si="31"/>
        <v>278.73</v>
      </c>
      <c r="Y150" s="927">
        <f t="shared" si="31"/>
        <v>154.84499999999997</v>
      </c>
      <c r="Z150" s="927">
        <f t="shared" si="31"/>
        <v>0</v>
      </c>
      <c r="AA150" s="927">
        <f t="shared" si="31"/>
        <v>0</v>
      </c>
      <c r="AB150" s="927">
        <f t="shared" si="31"/>
        <v>371.64</v>
      </c>
      <c r="AC150" s="927">
        <f t="shared" si="31"/>
        <v>206.45999999999998</v>
      </c>
      <c r="AD150" s="879"/>
      <c r="AE150" s="879"/>
      <c r="AF150" s="889"/>
      <c r="AG150" s="889"/>
      <c r="AH150" s="889"/>
      <c r="AI150" s="889"/>
    </row>
    <row r="151" spans="1:35" ht="13.5" hidden="1" thickBot="1" x14ac:dyDescent="0.25">
      <c r="A151" s="919"/>
      <c r="B151" s="923" t="s">
        <v>27733</v>
      </c>
      <c r="C151" s="924" t="s">
        <v>27740</v>
      </c>
      <c r="D151" s="927">
        <f t="shared" si="31"/>
        <v>12.38799999999992</v>
      </c>
      <c r="E151" s="927">
        <f t="shared" si="31"/>
        <v>6.8820000000000618</v>
      </c>
      <c r="F151" s="927">
        <f t="shared" si="31"/>
        <v>0</v>
      </c>
      <c r="G151" s="927">
        <f t="shared" si="31"/>
        <v>0</v>
      </c>
      <c r="H151" s="927">
        <f t="shared" si="31"/>
        <v>30.9699999999998</v>
      </c>
      <c r="I151" s="927">
        <f t="shared" si="31"/>
        <v>17.204999999999927</v>
      </c>
      <c r="J151" s="927">
        <f t="shared" si="31"/>
        <v>0</v>
      </c>
      <c r="K151" s="927">
        <f t="shared" si="31"/>
        <v>0</v>
      </c>
      <c r="L151" s="927">
        <f t="shared" si="31"/>
        <v>92.909999999999854</v>
      </c>
      <c r="M151" s="927">
        <f t="shared" si="31"/>
        <v>51.614999999999782</v>
      </c>
      <c r="N151" s="927">
        <f t="shared" si="31"/>
        <v>0</v>
      </c>
      <c r="O151" s="927">
        <f t="shared" si="31"/>
        <v>0</v>
      </c>
      <c r="P151" s="927">
        <f t="shared" si="31"/>
        <v>154.85000000000036</v>
      </c>
      <c r="Q151" s="927">
        <f t="shared" si="31"/>
        <v>86.025000000000091</v>
      </c>
      <c r="R151" s="927">
        <f t="shared" si="31"/>
        <v>0</v>
      </c>
      <c r="S151" s="927">
        <f t="shared" si="31"/>
        <v>0</v>
      </c>
      <c r="T151" s="927">
        <f t="shared" si="31"/>
        <v>238.84064000000035</v>
      </c>
      <c r="U151" s="927">
        <f t="shared" si="31"/>
        <v>132.68496000000005</v>
      </c>
      <c r="V151" s="927">
        <f t="shared" si="31"/>
        <v>0</v>
      </c>
      <c r="W151" s="927">
        <f t="shared" si="31"/>
        <v>0</v>
      </c>
      <c r="X151" s="927">
        <f t="shared" si="31"/>
        <v>278.72999999999956</v>
      </c>
      <c r="Y151" s="927">
        <f t="shared" si="31"/>
        <v>154.8449999999998</v>
      </c>
      <c r="Z151" s="927">
        <f t="shared" si="31"/>
        <v>0</v>
      </c>
      <c r="AA151" s="927">
        <f t="shared" si="31"/>
        <v>0</v>
      </c>
      <c r="AB151" s="927">
        <f t="shared" si="31"/>
        <v>371.64000000000033</v>
      </c>
      <c r="AC151" s="927">
        <f t="shared" si="31"/>
        <v>206.46000000000004</v>
      </c>
      <c r="AD151" s="879"/>
      <c r="AE151" s="879"/>
      <c r="AF151" s="889"/>
      <c r="AG151" s="889"/>
      <c r="AH151" s="889"/>
      <c r="AI151" s="889"/>
    </row>
    <row r="152" spans="1:35" ht="13.5" hidden="1" thickBot="1" x14ac:dyDescent="0.25">
      <c r="A152" s="919"/>
      <c r="B152" s="923"/>
      <c r="C152" s="924"/>
      <c r="D152" s="927">
        <f t="shared" si="31"/>
        <v>12.388</v>
      </c>
      <c r="E152" s="927">
        <f t="shared" si="31"/>
        <v>6.8819999999999997</v>
      </c>
      <c r="F152" s="927">
        <f t="shared" si="31"/>
        <v>0</v>
      </c>
      <c r="G152" s="927">
        <f t="shared" si="31"/>
        <v>0</v>
      </c>
      <c r="H152" s="927">
        <f t="shared" si="31"/>
        <v>30.97</v>
      </c>
      <c r="I152" s="927">
        <f t="shared" si="31"/>
        <v>17.204999999999998</v>
      </c>
      <c r="J152" s="927">
        <f t="shared" si="31"/>
        <v>0</v>
      </c>
      <c r="K152" s="927">
        <f t="shared" si="31"/>
        <v>0</v>
      </c>
      <c r="L152" s="927">
        <f t="shared" si="31"/>
        <v>92.91</v>
      </c>
      <c r="M152" s="927">
        <f t="shared" si="31"/>
        <v>51.614999999999995</v>
      </c>
      <c r="N152" s="927">
        <f t="shared" si="31"/>
        <v>0</v>
      </c>
      <c r="O152" s="927">
        <f t="shared" si="31"/>
        <v>0</v>
      </c>
      <c r="P152" s="927">
        <f t="shared" si="31"/>
        <v>154.85</v>
      </c>
      <c r="Q152" s="927">
        <f t="shared" si="31"/>
        <v>86.024999999999991</v>
      </c>
      <c r="R152" s="927">
        <f t="shared" si="31"/>
        <v>0</v>
      </c>
      <c r="S152" s="927">
        <f t="shared" si="31"/>
        <v>0</v>
      </c>
      <c r="T152" s="927">
        <f t="shared" si="31"/>
        <v>238.84063999999998</v>
      </c>
      <c r="U152" s="927">
        <f t="shared" si="31"/>
        <v>132.68495999999999</v>
      </c>
      <c r="V152" s="927">
        <f t="shared" si="31"/>
        <v>0</v>
      </c>
      <c r="W152" s="927">
        <f t="shared" si="31"/>
        <v>0</v>
      </c>
      <c r="X152" s="927">
        <f t="shared" si="31"/>
        <v>278.73</v>
      </c>
      <c r="Y152" s="927">
        <f t="shared" si="31"/>
        <v>154.84499999999997</v>
      </c>
      <c r="Z152" s="927">
        <f t="shared" si="31"/>
        <v>0</v>
      </c>
      <c r="AA152" s="927">
        <f t="shared" si="31"/>
        <v>0</v>
      </c>
      <c r="AB152" s="927">
        <f t="shared" si="31"/>
        <v>371.64</v>
      </c>
      <c r="AC152" s="927">
        <f t="shared" si="31"/>
        <v>206.45999999999998</v>
      </c>
      <c r="AD152" s="879"/>
      <c r="AE152" s="879"/>
      <c r="AF152" s="889"/>
      <c r="AG152" s="889"/>
      <c r="AH152" s="889"/>
      <c r="AI152" s="889"/>
    </row>
    <row r="153" spans="1:35" ht="13.5" hidden="1" thickBot="1" x14ac:dyDescent="0.25">
      <c r="A153" s="919"/>
      <c r="B153" s="923" t="s">
        <v>27734</v>
      </c>
      <c r="C153" s="924" t="s">
        <v>27740</v>
      </c>
      <c r="D153" s="927">
        <f t="shared" si="31"/>
        <v>12.38799999999992</v>
      </c>
      <c r="E153" s="927">
        <f t="shared" si="31"/>
        <v>6.8820000000000618</v>
      </c>
      <c r="F153" s="927">
        <f t="shared" si="31"/>
        <v>0</v>
      </c>
      <c r="G153" s="927">
        <f t="shared" si="31"/>
        <v>0</v>
      </c>
      <c r="H153" s="927">
        <f t="shared" si="31"/>
        <v>30.9699999999998</v>
      </c>
      <c r="I153" s="927">
        <f t="shared" si="31"/>
        <v>17.204999999999927</v>
      </c>
      <c r="J153" s="927">
        <f t="shared" si="31"/>
        <v>0</v>
      </c>
      <c r="K153" s="927">
        <f t="shared" si="31"/>
        <v>0</v>
      </c>
      <c r="L153" s="927">
        <f t="shared" si="31"/>
        <v>92.909999999999854</v>
      </c>
      <c r="M153" s="927">
        <f t="shared" si="31"/>
        <v>51.614999999999782</v>
      </c>
      <c r="N153" s="927">
        <f t="shared" si="31"/>
        <v>0</v>
      </c>
      <c r="O153" s="927">
        <f t="shared" si="31"/>
        <v>0</v>
      </c>
      <c r="P153" s="927">
        <f t="shared" si="31"/>
        <v>154.85000000000036</v>
      </c>
      <c r="Q153" s="927">
        <f t="shared" si="31"/>
        <v>86.025000000000091</v>
      </c>
      <c r="R153" s="927">
        <f t="shared" si="31"/>
        <v>0</v>
      </c>
      <c r="S153" s="927">
        <f t="shared" si="31"/>
        <v>0</v>
      </c>
      <c r="T153" s="927">
        <f t="shared" si="31"/>
        <v>238.84064000000035</v>
      </c>
      <c r="U153" s="927">
        <f t="shared" si="31"/>
        <v>132.68496000000005</v>
      </c>
      <c r="V153" s="927">
        <f t="shared" si="31"/>
        <v>0</v>
      </c>
      <c r="W153" s="927">
        <f t="shared" si="31"/>
        <v>0</v>
      </c>
      <c r="X153" s="927">
        <f t="shared" si="31"/>
        <v>278.72999999999956</v>
      </c>
      <c r="Y153" s="927">
        <f t="shared" si="31"/>
        <v>154.84500000000025</v>
      </c>
      <c r="Z153" s="927">
        <f t="shared" si="31"/>
        <v>0</v>
      </c>
      <c r="AA153" s="927">
        <f t="shared" si="31"/>
        <v>0</v>
      </c>
      <c r="AB153" s="927">
        <f t="shared" si="31"/>
        <v>371.63999999999942</v>
      </c>
      <c r="AC153" s="927">
        <f t="shared" si="31"/>
        <v>206.46000000000004</v>
      </c>
      <c r="AD153" s="879"/>
      <c r="AE153" s="879"/>
      <c r="AF153" s="889"/>
      <c r="AG153" s="889"/>
      <c r="AH153" s="889"/>
      <c r="AI153" s="889"/>
    </row>
    <row r="154" spans="1:35" ht="13.5" hidden="1" thickBot="1" x14ac:dyDescent="0.25">
      <c r="A154" s="919"/>
      <c r="B154" s="923"/>
      <c r="C154" s="924"/>
      <c r="D154" s="927">
        <f t="shared" si="31"/>
        <v>12.388</v>
      </c>
      <c r="E154" s="927">
        <f t="shared" si="31"/>
        <v>6.8819999999999997</v>
      </c>
      <c r="F154" s="927">
        <f t="shared" si="31"/>
        <v>0</v>
      </c>
      <c r="G154" s="927">
        <f t="shared" si="31"/>
        <v>0</v>
      </c>
      <c r="H154" s="927">
        <f t="shared" si="31"/>
        <v>30.97</v>
      </c>
      <c r="I154" s="927">
        <f t="shared" si="31"/>
        <v>17.204999999999998</v>
      </c>
      <c r="J154" s="927">
        <f t="shared" si="31"/>
        <v>0</v>
      </c>
      <c r="K154" s="927">
        <f t="shared" si="31"/>
        <v>0</v>
      </c>
      <c r="L154" s="927">
        <f t="shared" si="31"/>
        <v>92.91</v>
      </c>
      <c r="M154" s="927">
        <f t="shared" si="31"/>
        <v>51.614999999999995</v>
      </c>
      <c r="N154" s="927">
        <f t="shared" si="31"/>
        <v>0</v>
      </c>
      <c r="O154" s="927">
        <f t="shared" si="31"/>
        <v>0</v>
      </c>
      <c r="P154" s="927">
        <f t="shared" si="31"/>
        <v>154.85</v>
      </c>
      <c r="Q154" s="927">
        <f t="shared" si="31"/>
        <v>86.024999999999991</v>
      </c>
      <c r="R154" s="927">
        <f t="shared" si="31"/>
        <v>0</v>
      </c>
      <c r="S154" s="927">
        <f t="shared" si="31"/>
        <v>0</v>
      </c>
      <c r="T154" s="927">
        <f t="shared" si="31"/>
        <v>238.84063999999998</v>
      </c>
      <c r="U154" s="927">
        <f t="shared" si="31"/>
        <v>132.68495999999999</v>
      </c>
      <c r="V154" s="927">
        <f t="shared" si="31"/>
        <v>0</v>
      </c>
      <c r="W154" s="927">
        <f t="shared" si="31"/>
        <v>0</v>
      </c>
      <c r="X154" s="927">
        <f t="shared" si="31"/>
        <v>278.73</v>
      </c>
      <c r="Y154" s="927">
        <f t="shared" si="31"/>
        <v>154.84499999999997</v>
      </c>
      <c r="Z154" s="927">
        <f t="shared" si="31"/>
        <v>0</v>
      </c>
      <c r="AA154" s="927">
        <f t="shared" si="31"/>
        <v>0</v>
      </c>
      <c r="AB154" s="927">
        <f t="shared" si="31"/>
        <v>371.64</v>
      </c>
      <c r="AC154" s="927">
        <f t="shared" si="31"/>
        <v>206.45999999999998</v>
      </c>
      <c r="AD154" s="879"/>
      <c r="AE154" s="879"/>
      <c r="AF154" s="889"/>
      <c r="AG154" s="889"/>
      <c r="AH154" s="889"/>
      <c r="AI154" s="889"/>
    </row>
    <row r="155" spans="1:35" ht="13.5" hidden="1" thickBot="1" x14ac:dyDescent="0.25">
      <c r="A155" s="919"/>
      <c r="B155" s="923" t="s">
        <v>27735</v>
      </c>
      <c r="C155" s="924" t="s">
        <v>27740</v>
      </c>
      <c r="D155" s="927">
        <f t="shared" si="31"/>
        <v>12.38799999999992</v>
      </c>
      <c r="E155" s="927">
        <f t="shared" si="31"/>
        <v>6.8820000000000618</v>
      </c>
      <c r="F155" s="927">
        <f t="shared" si="31"/>
        <v>0</v>
      </c>
      <c r="G155" s="927">
        <f t="shared" si="31"/>
        <v>0</v>
      </c>
      <c r="H155" s="927">
        <f t="shared" si="31"/>
        <v>30.970000000000255</v>
      </c>
      <c r="I155" s="927">
        <f t="shared" si="31"/>
        <v>17.204999999999927</v>
      </c>
      <c r="J155" s="927">
        <f t="shared" si="31"/>
        <v>0</v>
      </c>
      <c r="K155" s="927">
        <f t="shared" si="31"/>
        <v>0</v>
      </c>
      <c r="L155" s="927">
        <f t="shared" si="31"/>
        <v>92.909999999999854</v>
      </c>
      <c r="M155" s="927">
        <f t="shared" si="31"/>
        <v>51.614999999999782</v>
      </c>
      <c r="N155" s="927">
        <f t="shared" si="31"/>
        <v>0</v>
      </c>
      <c r="O155" s="927">
        <f t="shared" si="31"/>
        <v>0</v>
      </c>
      <c r="P155" s="927">
        <f t="shared" si="31"/>
        <v>154.85000000000036</v>
      </c>
      <c r="Q155" s="927">
        <f t="shared" si="31"/>
        <v>86.025000000000091</v>
      </c>
      <c r="R155" s="927">
        <f t="shared" si="31"/>
        <v>0</v>
      </c>
      <c r="S155" s="927">
        <f t="shared" si="31"/>
        <v>0</v>
      </c>
      <c r="T155" s="927">
        <f t="shared" si="31"/>
        <v>238.84064000000035</v>
      </c>
      <c r="U155" s="927">
        <f t="shared" si="31"/>
        <v>132.68495999999959</v>
      </c>
      <c r="V155" s="927">
        <f t="shared" si="31"/>
        <v>0</v>
      </c>
      <c r="W155" s="927">
        <f t="shared" si="31"/>
        <v>0</v>
      </c>
      <c r="X155" s="927">
        <f t="shared" si="31"/>
        <v>278.72999999999956</v>
      </c>
      <c r="Y155" s="927">
        <f t="shared" si="31"/>
        <v>154.84500000000025</v>
      </c>
      <c r="Z155" s="927">
        <f t="shared" si="31"/>
        <v>0</v>
      </c>
      <c r="AA155" s="927">
        <f t="shared" si="31"/>
        <v>0</v>
      </c>
      <c r="AB155" s="927">
        <f t="shared" si="31"/>
        <v>371.63999999999942</v>
      </c>
      <c r="AC155" s="927">
        <f t="shared" si="31"/>
        <v>206.46000000000004</v>
      </c>
      <c r="AD155" s="879"/>
      <c r="AE155" s="879"/>
      <c r="AF155" s="889"/>
      <c r="AG155" s="889"/>
      <c r="AH155" s="889"/>
      <c r="AI155" s="889"/>
    </row>
    <row r="156" spans="1:35" ht="13.5" hidden="1" thickBot="1" x14ac:dyDescent="0.25">
      <c r="A156" s="919"/>
      <c r="B156" s="923"/>
      <c r="C156" s="924"/>
      <c r="D156" s="927">
        <f t="shared" si="31"/>
        <v>12.388</v>
      </c>
      <c r="E156" s="927">
        <f t="shared" si="31"/>
        <v>6.8819999999999997</v>
      </c>
      <c r="F156" s="927">
        <f t="shared" si="31"/>
        <v>0</v>
      </c>
      <c r="G156" s="927">
        <f t="shared" si="31"/>
        <v>0</v>
      </c>
      <c r="H156" s="927">
        <f t="shared" si="31"/>
        <v>30.97</v>
      </c>
      <c r="I156" s="927">
        <f t="shared" si="31"/>
        <v>17.204999999999998</v>
      </c>
      <c r="J156" s="927">
        <f t="shared" si="31"/>
        <v>0</v>
      </c>
      <c r="K156" s="927">
        <f t="shared" si="31"/>
        <v>0</v>
      </c>
      <c r="L156" s="927">
        <f t="shared" si="31"/>
        <v>92.91</v>
      </c>
      <c r="M156" s="927">
        <f t="shared" si="31"/>
        <v>51.614999999999995</v>
      </c>
      <c r="N156" s="927">
        <f t="shared" si="31"/>
        <v>0</v>
      </c>
      <c r="O156" s="927">
        <f t="shared" si="31"/>
        <v>0</v>
      </c>
      <c r="P156" s="927">
        <f t="shared" si="31"/>
        <v>154.85</v>
      </c>
      <c r="Q156" s="927">
        <f t="shared" si="31"/>
        <v>86.024999999999991</v>
      </c>
      <c r="R156" s="927">
        <f t="shared" si="31"/>
        <v>0</v>
      </c>
      <c r="S156" s="927">
        <f t="shared" si="31"/>
        <v>0</v>
      </c>
      <c r="T156" s="927">
        <f t="shared" si="31"/>
        <v>238.84063999999998</v>
      </c>
      <c r="U156" s="927">
        <f t="shared" si="31"/>
        <v>132.68495999999999</v>
      </c>
      <c r="V156" s="927">
        <f t="shared" si="31"/>
        <v>0</v>
      </c>
      <c r="W156" s="927">
        <f t="shared" si="31"/>
        <v>0</v>
      </c>
      <c r="X156" s="927">
        <f t="shared" si="31"/>
        <v>278.73</v>
      </c>
      <c r="Y156" s="927">
        <f t="shared" si="31"/>
        <v>154.84499999999997</v>
      </c>
      <c r="Z156" s="927">
        <f t="shared" si="31"/>
        <v>0</v>
      </c>
      <c r="AA156" s="927">
        <f t="shared" si="31"/>
        <v>0</v>
      </c>
      <c r="AB156" s="927">
        <f t="shared" si="31"/>
        <v>371.64</v>
      </c>
      <c r="AC156" s="927">
        <f t="shared" si="31"/>
        <v>206.45999999999998</v>
      </c>
      <c r="AD156" s="879"/>
      <c r="AE156" s="879"/>
      <c r="AF156" s="889"/>
      <c r="AG156" s="889"/>
      <c r="AH156" s="889"/>
      <c r="AI156" s="889"/>
    </row>
    <row r="157" spans="1:35" ht="13.5" hidden="1" thickBot="1" x14ac:dyDescent="0.25">
      <c r="A157" s="919"/>
      <c r="B157" s="923" t="s">
        <v>27736</v>
      </c>
      <c r="C157" s="924" t="s">
        <v>27740</v>
      </c>
      <c r="D157" s="927">
        <f t="shared" si="31"/>
        <v>12.38799999999992</v>
      </c>
      <c r="E157" s="927">
        <f t="shared" si="31"/>
        <v>6.8820000000000618</v>
      </c>
      <c r="F157" s="927">
        <f t="shared" si="31"/>
        <v>0</v>
      </c>
      <c r="G157" s="927">
        <f t="shared" si="31"/>
        <v>0</v>
      </c>
      <c r="H157" s="927">
        <f t="shared" si="31"/>
        <v>30.970000000000255</v>
      </c>
      <c r="I157" s="927">
        <f t="shared" si="31"/>
        <v>17.204999999999927</v>
      </c>
      <c r="J157" s="927">
        <f t="shared" si="31"/>
        <v>0</v>
      </c>
      <c r="K157" s="927">
        <f t="shared" si="31"/>
        <v>0</v>
      </c>
      <c r="L157" s="927">
        <f t="shared" si="31"/>
        <v>92.909999999999854</v>
      </c>
      <c r="M157" s="927">
        <f t="shared" si="31"/>
        <v>51.614999999999782</v>
      </c>
      <c r="N157" s="927">
        <f t="shared" si="31"/>
        <v>0</v>
      </c>
      <c r="O157" s="927">
        <f t="shared" si="31"/>
        <v>0</v>
      </c>
      <c r="P157" s="927">
        <f t="shared" si="31"/>
        <v>154.85000000000036</v>
      </c>
      <c r="Q157" s="927">
        <f t="shared" si="31"/>
        <v>86.024999999999636</v>
      </c>
      <c r="R157" s="927">
        <f t="shared" si="31"/>
        <v>0</v>
      </c>
      <c r="S157" s="927">
        <f t="shared" si="31"/>
        <v>0</v>
      </c>
      <c r="T157" s="927">
        <f t="shared" si="31"/>
        <v>238.84064000000035</v>
      </c>
      <c r="U157" s="927">
        <f t="shared" si="31"/>
        <v>132.68495999999959</v>
      </c>
      <c r="V157" s="927">
        <f t="shared" si="31"/>
        <v>0</v>
      </c>
      <c r="W157" s="927">
        <f t="shared" si="31"/>
        <v>0</v>
      </c>
      <c r="X157" s="927">
        <f t="shared" si="31"/>
        <v>278.72999999999956</v>
      </c>
      <c r="Y157" s="927">
        <f t="shared" si="31"/>
        <v>154.84500000000025</v>
      </c>
      <c r="Z157" s="927">
        <f t="shared" si="31"/>
        <v>0</v>
      </c>
      <c r="AA157" s="927">
        <f t="shared" si="31"/>
        <v>0</v>
      </c>
      <c r="AB157" s="927">
        <f t="shared" si="31"/>
        <v>371.63999999999942</v>
      </c>
      <c r="AC157" s="927">
        <f t="shared" si="31"/>
        <v>206.46000000000004</v>
      </c>
      <c r="AD157" s="879"/>
      <c r="AE157" s="879"/>
      <c r="AF157" s="889"/>
      <c r="AG157" s="889"/>
      <c r="AH157" s="889"/>
      <c r="AI157" s="889"/>
    </row>
    <row r="158" spans="1:35" ht="13.5" hidden="1" thickBot="1" x14ac:dyDescent="0.25">
      <c r="A158" s="919"/>
      <c r="B158" s="923"/>
      <c r="C158" s="924"/>
      <c r="D158" s="927">
        <f t="shared" si="31"/>
        <v>12.388</v>
      </c>
      <c r="E158" s="927">
        <f t="shared" si="31"/>
        <v>6.8819999999999997</v>
      </c>
      <c r="F158" s="927">
        <f t="shared" si="31"/>
        <v>0</v>
      </c>
      <c r="G158" s="927">
        <f t="shared" si="31"/>
        <v>0</v>
      </c>
      <c r="H158" s="927">
        <f t="shared" si="31"/>
        <v>30.97</v>
      </c>
      <c r="I158" s="927">
        <f t="shared" si="31"/>
        <v>17.204999999999998</v>
      </c>
      <c r="J158" s="927">
        <f t="shared" si="31"/>
        <v>0</v>
      </c>
      <c r="K158" s="927">
        <f t="shared" si="31"/>
        <v>0</v>
      </c>
      <c r="L158" s="927">
        <f t="shared" si="31"/>
        <v>92.91</v>
      </c>
      <c r="M158" s="927">
        <f t="shared" si="31"/>
        <v>51.614999999999995</v>
      </c>
      <c r="N158" s="927">
        <f t="shared" si="31"/>
        <v>0</v>
      </c>
      <c r="O158" s="927">
        <f t="shared" si="31"/>
        <v>0</v>
      </c>
      <c r="P158" s="927">
        <f t="shared" si="31"/>
        <v>154.85</v>
      </c>
      <c r="Q158" s="927">
        <f t="shared" si="31"/>
        <v>86.024999999999991</v>
      </c>
      <c r="R158" s="927">
        <f t="shared" si="31"/>
        <v>0</v>
      </c>
      <c r="S158" s="927">
        <f t="shared" si="31"/>
        <v>0</v>
      </c>
      <c r="T158" s="927">
        <f t="shared" si="31"/>
        <v>238.84063999999998</v>
      </c>
      <c r="U158" s="927">
        <f t="shared" si="31"/>
        <v>132.68495999999999</v>
      </c>
      <c r="V158" s="927">
        <f t="shared" si="31"/>
        <v>0</v>
      </c>
      <c r="W158" s="927">
        <f t="shared" si="31"/>
        <v>0</v>
      </c>
      <c r="X158" s="927">
        <f t="shared" si="31"/>
        <v>278.73</v>
      </c>
      <c r="Y158" s="927">
        <f t="shared" ref="E158:AC161" si="32">Y16-Y84</f>
        <v>154.84499999999997</v>
      </c>
      <c r="Z158" s="927">
        <f t="shared" si="32"/>
        <v>0</v>
      </c>
      <c r="AA158" s="927">
        <f t="shared" si="32"/>
        <v>0</v>
      </c>
      <c r="AB158" s="927">
        <f t="shared" si="32"/>
        <v>371.64</v>
      </c>
      <c r="AC158" s="927">
        <f t="shared" si="32"/>
        <v>206.45999999999998</v>
      </c>
      <c r="AD158" s="879"/>
      <c r="AE158" s="879"/>
      <c r="AF158" s="889"/>
      <c r="AG158" s="889"/>
      <c r="AH158" s="889"/>
      <c r="AI158" s="889"/>
    </row>
    <row r="159" spans="1:35" ht="13.5" hidden="1" thickBot="1" x14ac:dyDescent="0.25">
      <c r="A159" s="919"/>
      <c r="B159" s="926" t="s">
        <v>27737</v>
      </c>
      <c r="C159" s="924" t="s">
        <v>27740</v>
      </c>
      <c r="D159" s="927">
        <f>D17-D85</f>
        <v>12.38799999999992</v>
      </c>
      <c r="E159" s="927">
        <f t="shared" si="32"/>
        <v>6.8820000000000618</v>
      </c>
      <c r="F159" s="927">
        <f t="shared" si="32"/>
        <v>0</v>
      </c>
      <c r="G159" s="927">
        <f t="shared" si="32"/>
        <v>0</v>
      </c>
      <c r="H159" s="927">
        <f t="shared" si="32"/>
        <v>30.970000000000255</v>
      </c>
      <c r="I159" s="927">
        <f t="shared" si="32"/>
        <v>17.204999999999927</v>
      </c>
      <c r="J159" s="927">
        <f t="shared" si="32"/>
        <v>0</v>
      </c>
      <c r="K159" s="927">
        <f t="shared" si="32"/>
        <v>0</v>
      </c>
      <c r="L159" s="927">
        <f t="shared" si="32"/>
        <v>92.909999999999854</v>
      </c>
      <c r="M159" s="927">
        <f t="shared" si="32"/>
        <v>51.614999999999782</v>
      </c>
      <c r="N159" s="927">
        <f t="shared" si="32"/>
        <v>0</v>
      </c>
      <c r="O159" s="927">
        <f t="shared" si="32"/>
        <v>0</v>
      </c>
      <c r="P159" s="927">
        <f t="shared" si="32"/>
        <v>154.85000000000036</v>
      </c>
      <c r="Q159" s="927">
        <f t="shared" si="32"/>
        <v>86.024999999999636</v>
      </c>
      <c r="R159" s="927">
        <f t="shared" si="32"/>
        <v>0</v>
      </c>
      <c r="S159" s="927">
        <f t="shared" si="32"/>
        <v>0</v>
      </c>
      <c r="T159" s="927">
        <f t="shared" si="32"/>
        <v>238.84064000000035</v>
      </c>
      <c r="U159" s="927">
        <f t="shared" si="32"/>
        <v>132.68495999999959</v>
      </c>
      <c r="V159" s="927">
        <f t="shared" si="32"/>
        <v>0</v>
      </c>
      <c r="W159" s="927">
        <f t="shared" si="32"/>
        <v>0</v>
      </c>
      <c r="X159" s="927">
        <f t="shared" si="32"/>
        <v>278.72999999999956</v>
      </c>
      <c r="Y159" s="927">
        <f t="shared" si="32"/>
        <v>154.84500000000025</v>
      </c>
      <c r="Z159" s="927">
        <f t="shared" si="32"/>
        <v>0</v>
      </c>
      <c r="AA159" s="927">
        <f t="shared" si="32"/>
        <v>0</v>
      </c>
      <c r="AB159" s="927">
        <f t="shared" si="32"/>
        <v>371.63999999999942</v>
      </c>
      <c r="AC159" s="927">
        <f t="shared" si="32"/>
        <v>206.45999999999913</v>
      </c>
      <c r="AD159" s="879"/>
      <c r="AE159" s="879"/>
      <c r="AF159" s="889"/>
      <c r="AG159" s="889"/>
      <c r="AH159" s="889"/>
      <c r="AI159" s="889"/>
    </row>
    <row r="160" spans="1:35" ht="13.5" hidden="1" thickBot="1" x14ac:dyDescent="0.25">
      <c r="A160" s="919"/>
      <c r="B160" s="923"/>
      <c r="C160" s="924"/>
      <c r="D160" s="927">
        <f>D18-D86</f>
        <v>12.388</v>
      </c>
      <c r="E160" s="927">
        <f t="shared" si="32"/>
        <v>6.8819999999999997</v>
      </c>
      <c r="F160" s="927">
        <f t="shared" si="32"/>
        <v>0</v>
      </c>
      <c r="G160" s="927">
        <f t="shared" si="32"/>
        <v>0</v>
      </c>
      <c r="H160" s="927">
        <f t="shared" si="32"/>
        <v>30.97</v>
      </c>
      <c r="I160" s="927">
        <f t="shared" si="32"/>
        <v>17.204999999999998</v>
      </c>
      <c r="J160" s="927">
        <f t="shared" si="32"/>
        <v>0</v>
      </c>
      <c r="K160" s="927">
        <f t="shared" si="32"/>
        <v>0</v>
      </c>
      <c r="L160" s="927">
        <f t="shared" si="32"/>
        <v>92.91</v>
      </c>
      <c r="M160" s="927">
        <f t="shared" si="32"/>
        <v>51.614999999999995</v>
      </c>
      <c r="N160" s="927">
        <f t="shared" si="32"/>
        <v>0</v>
      </c>
      <c r="O160" s="927">
        <f t="shared" si="32"/>
        <v>0</v>
      </c>
      <c r="P160" s="927">
        <f t="shared" si="32"/>
        <v>154.85</v>
      </c>
      <c r="Q160" s="927">
        <f t="shared" si="32"/>
        <v>86.024999999999991</v>
      </c>
      <c r="R160" s="927">
        <f t="shared" si="32"/>
        <v>0</v>
      </c>
      <c r="S160" s="927">
        <f t="shared" si="32"/>
        <v>0</v>
      </c>
      <c r="T160" s="927">
        <f t="shared" si="32"/>
        <v>238.84063999999998</v>
      </c>
      <c r="U160" s="927">
        <f t="shared" si="32"/>
        <v>132.68495999999999</v>
      </c>
      <c r="V160" s="927">
        <f t="shared" si="32"/>
        <v>0</v>
      </c>
      <c r="W160" s="927">
        <f t="shared" si="32"/>
        <v>0</v>
      </c>
      <c r="X160" s="927">
        <f t="shared" si="32"/>
        <v>278.73</v>
      </c>
      <c r="Y160" s="927">
        <f t="shared" si="32"/>
        <v>154.84499999999997</v>
      </c>
      <c r="Z160" s="927">
        <f t="shared" si="32"/>
        <v>0</v>
      </c>
      <c r="AA160" s="927">
        <f t="shared" si="32"/>
        <v>0</v>
      </c>
      <c r="AB160" s="927">
        <f t="shared" si="32"/>
        <v>371.64</v>
      </c>
      <c r="AC160" s="927">
        <f t="shared" si="32"/>
        <v>206.45999999999998</v>
      </c>
      <c r="AD160" s="879"/>
      <c r="AE160" s="879"/>
      <c r="AF160" s="889"/>
      <c r="AG160" s="889"/>
      <c r="AH160" s="889"/>
      <c r="AI160" s="889"/>
    </row>
    <row r="161" spans="1:35" ht="13.5" hidden="1" thickBot="1" x14ac:dyDescent="0.25">
      <c r="A161" s="919"/>
      <c r="B161" s="926" t="s">
        <v>27741</v>
      </c>
      <c r="C161" s="924" t="s">
        <v>27740</v>
      </c>
      <c r="D161" s="927">
        <f>D19-D87</f>
        <v>12.38799999999992</v>
      </c>
      <c r="E161" s="927">
        <f t="shared" si="32"/>
        <v>6.8820000000000618</v>
      </c>
      <c r="F161" s="927">
        <f t="shared" si="32"/>
        <v>0</v>
      </c>
      <c r="G161" s="927">
        <f t="shared" si="32"/>
        <v>0</v>
      </c>
      <c r="H161" s="927">
        <f t="shared" si="32"/>
        <v>30.970000000000255</v>
      </c>
      <c r="I161" s="927">
        <f t="shared" si="32"/>
        <v>17.204999999999927</v>
      </c>
      <c r="J161" s="927">
        <f t="shared" si="32"/>
        <v>0</v>
      </c>
      <c r="K161" s="927">
        <f t="shared" si="32"/>
        <v>0</v>
      </c>
      <c r="L161" s="927">
        <f t="shared" si="32"/>
        <v>92.909999999999854</v>
      </c>
      <c r="M161" s="927">
        <f t="shared" si="32"/>
        <v>51.614999999999782</v>
      </c>
      <c r="N161" s="927">
        <f t="shared" si="32"/>
        <v>0</v>
      </c>
      <c r="O161" s="927">
        <f t="shared" si="32"/>
        <v>0</v>
      </c>
      <c r="P161" s="927">
        <f t="shared" si="32"/>
        <v>154.85000000000036</v>
      </c>
      <c r="Q161" s="927">
        <f t="shared" si="32"/>
        <v>86.024999999999636</v>
      </c>
      <c r="R161" s="927">
        <f t="shared" si="32"/>
        <v>0</v>
      </c>
      <c r="S161" s="927">
        <f t="shared" si="32"/>
        <v>0</v>
      </c>
      <c r="T161" s="927">
        <f t="shared" si="32"/>
        <v>238.84064000000035</v>
      </c>
      <c r="U161" s="927">
        <f t="shared" si="32"/>
        <v>132.68495999999959</v>
      </c>
      <c r="V161" s="927">
        <f t="shared" si="32"/>
        <v>0</v>
      </c>
      <c r="W161" s="927">
        <f t="shared" si="32"/>
        <v>0</v>
      </c>
      <c r="X161" s="927">
        <f t="shared" si="32"/>
        <v>278.72999999999956</v>
      </c>
      <c r="Y161" s="927">
        <f t="shared" si="32"/>
        <v>154.84500000000025</v>
      </c>
      <c r="Z161" s="927">
        <f t="shared" si="32"/>
        <v>0</v>
      </c>
      <c r="AA161" s="927">
        <f t="shared" si="32"/>
        <v>0</v>
      </c>
      <c r="AB161" s="927">
        <f t="shared" si="32"/>
        <v>0</v>
      </c>
      <c r="AC161" s="927">
        <f t="shared" si="32"/>
        <v>0</v>
      </c>
      <c r="AD161" s="879"/>
      <c r="AE161" s="879"/>
      <c r="AF161" s="889"/>
      <c r="AG161" s="889"/>
      <c r="AH161" s="889"/>
      <c r="AI161" s="889"/>
    </row>
    <row r="162" spans="1:35" hidden="1" x14ac:dyDescent="0.2">
      <c r="A162" s="914"/>
      <c r="B162" s="914"/>
      <c r="C162" s="914"/>
      <c r="D162" s="914"/>
      <c r="E162" s="914"/>
      <c r="F162" s="914"/>
      <c r="G162" s="914"/>
      <c r="H162" s="914"/>
      <c r="I162" s="914"/>
      <c r="J162" s="914"/>
      <c r="K162" s="914"/>
      <c r="L162" s="914"/>
      <c r="M162" s="914"/>
      <c r="N162" s="914"/>
      <c r="O162" s="914"/>
      <c r="P162" s="914"/>
      <c r="Q162" s="914"/>
      <c r="R162" s="914"/>
      <c r="S162" s="914"/>
      <c r="T162" s="914"/>
      <c r="U162" s="914"/>
      <c r="V162" s="914"/>
      <c r="W162" s="914"/>
      <c r="X162" s="914"/>
      <c r="Y162" s="914"/>
      <c r="Z162" s="914"/>
      <c r="AA162" s="914"/>
      <c r="AB162" s="914"/>
      <c r="AC162" s="914"/>
      <c r="AD162" s="855"/>
      <c r="AE162" s="855"/>
    </row>
    <row r="163" spans="1:35" ht="15.75" hidden="1" x14ac:dyDescent="0.2">
      <c r="A163" s="914"/>
      <c r="B163" s="2910" t="s">
        <v>442</v>
      </c>
      <c r="C163" s="2910"/>
      <c r="D163" s="2910"/>
      <c r="E163" s="2910"/>
      <c r="F163" s="2910"/>
      <c r="G163" s="2910"/>
      <c r="H163" s="2910"/>
      <c r="I163" s="915" t="s">
        <v>27742</v>
      </c>
      <c r="J163" s="914"/>
      <c r="K163" s="914"/>
      <c r="L163" s="914"/>
      <c r="M163" s="914"/>
      <c r="N163" s="914"/>
      <c r="O163" s="914"/>
      <c r="P163" s="914"/>
      <c r="Q163" s="914"/>
      <c r="R163" s="914"/>
      <c r="S163" s="914"/>
      <c r="T163" s="914"/>
      <c r="U163" s="914"/>
      <c r="V163" s="914"/>
      <c r="W163" s="914"/>
      <c r="X163" s="914"/>
      <c r="Y163" s="914"/>
      <c r="Z163" s="914"/>
      <c r="AA163" s="914"/>
      <c r="AB163" s="914"/>
      <c r="AC163" s="914"/>
      <c r="AD163" s="855"/>
      <c r="AE163" s="855"/>
    </row>
    <row r="164" spans="1:35" ht="16.5" hidden="1" thickBot="1" x14ac:dyDescent="0.3">
      <c r="A164" s="914"/>
      <c r="B164" s="918" t="s">
        <v>27727</v>
      </c>
      <c r="C164" s="917"/>
      <c r="D164" s="914"/>
      <c r="E164" s="914"/>
      <c r="F164" s="914"/>
      <c r="G164" s="914"/>
      <c r="H164" s="914"/>
      <c r="I164" s="914"/>
      <c r="J164" s="914"/>
      <c r="K164" s="914"/>
      <c r="L164" s="914"/>
      <c r="M164" s="914"/>
      <c r="N164" s="914"/>
      <c r="O164" s="914"/>
      <c r="P164" s="914"/>
      <c r="Q164" s="914"/>
      <c r="R164" s="914"/>
      <c r="S164" s="914"/>
      <c r="T164" s="914"/>
      <c r="U164" s="914"/>
      <c r="V164" s="914"/>
      <c r="W164" s="914"/>
      <c r="X164" s="914"/>
      <c r="Y164" s="914"/>
      <c r="Z164" s="914"/>
      <c r="AA164" s="914"/>
      <c r="AB164" s="914"/>
      <c r="AC164" s="914"/>
      <c r="AD164" s="855"/>
      <c r="AE164" s="855"/>
    </row>
    <row r="165" spans="1:35" ht="17.45" hidden="1" customHeight="1" thickBot="1" x14ac:dyDescent="0.35">
      <c r="A165" s="919"/>
      <c r="B165" s="920" t="s">
        <v>27728</v>
      </c>
      <c r="C165" s="2911" t="s">
        <v>27729</v>
      </c>
      <c r="D165" s="2912" t="s">
        <v>27730</v>
      </c>
      <c r="E165" s="2912"/>
      <c r="F165" s="2912"/>
      <c r="G165" s="2912"/>
      <c r="H165" s="2912"/>
      <c r="I165" s="2912"/>
      <c r="J165" s="2912"/>
      <c r="K165" s="2912"/>
      <c r="L165" s="2912"/>
      <c r="M165" s="2912"/>
      <c r="N165" s="2912"/>
      <c r="O165" s="2912"/>
      <c r="P165" s="2912"/>
      <c r="Q165" s="2912"/>
      <c r="R165" s="2912"/>
      <c r="S165" s="2912"/>
      <c r="T165" s="2912"/>
      <c r="U165" s="2912"/>
      <c r="V165" s="2912"/>
      <c r="W165" s="2912"/>
      <c r="X165" s="2912"/>
      <c r="Y165" s="2912"/>
      <c r="Z165" s="2912"/>
      <c r="AA165" s="2912"/>
      <c r="AB165" s="2912"/>
      <c r="AC165" s="2912"/>
      <c r="AD165" s="862"/>
      <c r="AE165" s="862"/>
      <c r="AF165" s="862"/>
      <c r="AG165" s="862"/>
      <c r="AH165" s="862"/>
      <c r="AI165" s="862"/>
    </row>
    <row r="166" spans="1:35" ht="21.2" hidden="1" customHeight="1" thickBot="1" x14ac:dyDescent="0.25">
      <c r="A166" s="919"/>
      <c r="B166" s="920" t="s">
        <v>27731</v>
      </c>
      <c r="C166" s="2911"/>
      <c r="D166" s="2913" t="s">
        <v>27732</v>
      </c>
      <c r="E166" s="2913"/>
      <c r="F166" s="923"/>
      <c r="G166" s="923"/>
      <c r="H166" s="2913" t="s">
        <v>27733</v>
      </c>
      <c r="I166" s="2913"/>
      <c r="J166" s="923"/>
      <c r="K166" s="923"/>
      <c r="L166" s="2913" t="s">
        <v>27734</v>
      </c>
      <c r="M166" s="2913"/>
      <c r="N166" s="923"/>
      <c r="O166" s="923"/>
      <c r="P166" s="2913" t="s">
        <v>27735</v>
      </c>
      <c r="Q166" s="2913"/>
      <c r="R166" s="923"/>
      <c r="S166" s="923"/>
      <c r="T166" s="2913" t="s">
        <v>27736</v>
      </c>
      <c r="U166" s="2913"/>
      <c r="V166" s="923"/>
      <c r="W166" s="923"/>
      <c r="X166" s="2913" t="s">
        <v>27737</v>
      </c>
      <c r="Y166" s="2913"/>
      <c r="Z166" s="923"/>
      <c r="AA166" s="923"/>
      <c r="AB166" s="2913" t="s">
        <v>27738</v>
      </c>
      <c r="AC166" s="2913"/>
      <c r="AD166" s="867"/>
      <c r="AE166" s="867"/>
      <c r="AF166" s="868"/>
      <c r="AG166" s="868"/>
      <c r="AH166" s="868"/>
      <c r="AI166" s="868"/>
    </row>
    <row r="167" spans="1:35" ht="13.5" hidden="1" thickBot="1" x14ac:dyDescent="0.25">
      <c r="A167" s="919"/>
      <c r="B167" s="922"/>
      <c r="C167" s="922"/>
      <c r="D167" s="922" t="s">
        <v>27739</v>
      </c>
      <c r="E167" s="922" t="s">
        <v>27725</v>
      </c>
      <c r="F167" s="922"/>
      <c r="G167" s="922"/>
      <c r="H167" s="922" t="s">
        <v>27739</v>
      </c>
      <c r="I167" s="922" t="s">
        <v>27725</v>
      </c>
      <c r="J167" s="922"/>
      <c r="K167" s="922"/>
      <c r="L167" s="922" t="s">
        <v>27739</v>
      </c>
      <c r="M167" s="922" t="s">
        <v>27725</v>
      </c>
      <c r="N167" s="922"/>
      <c r="O167" s="922"/>
      <c r="P167" s="922" t="s">
        <v>27739</v>
      </c>
      <c r="Q167" s="922" t="s">
        <v>27725</v>
      </c>
      <c r="R167" s="922"/>
      <c r="S167" s="922"/>
      <c r="T167" s="922" t="s">
        <v>27739</v>
      </c>
      <c r="U167" s="922" t="s">
        <v>27725</v>
      </c>
      <c r="V167" s="922"/>
      <c r="W167" s="922"/>
      <c r="X167" s="922" t="s">
        <v>27739</v>
      </c>
      <c r="Y167" s="922" t="s">
        <v>27725</v>
      </c>
      <c r="Z167" s="922"/>
      <c r="AA167" s="922"/>
      <c r="AB167" s="922" t="s">
        <v>27739</v>
      </c>
      <c r="AC167" s="922" t="s">
        <v>27725</v>
      </c>
      <c r="AD167" s="870"/>
      <c r="AE167" s="870"/>
      <c r="AF167" s="871"/>
      <c r="AG167" s="871"/>
      <c r="AH167" s="871"/>
      <c r="AI167" s="871"/>
    </row>
    <row r="168" spans="1:35" ht="13.5" hidden="1" thickBot="1" x14ac:dyDescent="0.25">
      <c r="A168" s="919"/>
      <c r="B168" s="923" t="s">
        <v>27732</v>
      </c>
      <c r="C168" s="924" t="s">
        <v>27740</v>
      </c>
      <c r="D168" s="925">
        <f>D26/D94</f>
        <v>1.0042582094621071</v>
      </c>
      <c r="E168" s="925">
        <f t="shared" ref="E168:AC168" si="33">E26/E94</f>
        <v>1.0042762772966809</v>
      </c>
      <c r="F168" s="925" t="e">
        <f t="shared" si="33"/>
        <v>#DIV/0!</v>
      </c>
      <c r="G168" s="925" t="e">
        <f t="shared" si="33"/>
        <v>#DIV/0!</v>
      </c>
      <c r="H168" s="925">
        <f t="shared" si="33"/>
        <v>1.0102404539262237</v>
      </c>
      <c r="I168" s="925">
        <f t="shared" si="33"/>
        <v>1.0103460575458389</v>
      </c>
      <c r="J168" s="925" t="e">
        <f t="shared" si="33"/>
        <v>#DIV/0!</v>
      </c>
      <c r="K168" s="925" t="e">
        <f t="shared" si="33"/>
        <v>#DIV/0!</v>
      </c>
      <c r="L168" s="925">
        <f t="shared" si="33"/>
        <v>1.0270847787682853</v>
      </c>
      <c r="M168" s="925">
        <f t="shared" si="33"/>
        <v>1.0278377238226253</v>
      </c>
      <c r="N168" s="925" t="e">
        <f t="shared" si="33"/>
        <v>#DIV/0!</v>
      </c>
      <c r="O168" s="925" t="e">
        <f t="shared" si="33"/>
        <v>#DIV/0!</v>
      </c>
      <c r="P168" s="925">
        <f t="shared" si="33"/>
        <v>1.0409984723204049</v>
      </c>
      <c r="Q168" s="925">
        <f t="shared" si="33"/>
        <v>1.0427142138507313</v>
      </c>
      <c r="R168" s="925" t="e">
        <f t="shared" si="33"/>
        <v>#DIV/0!</v>
      </c>
      <c r="S168" s="925" t="e">
        <f t="shared" si="33"/>
        <v>#DIV/0!</v>
      </c>
      <c r="T168" s="925">
        <f t="shared" si="33"/>
        <v>1.0544449430886376</v>
      </c>
      <c r="U168" s="925">
        <f t="shared" si="33"/>
        <v>1.0575777068582923</v>
      </c>
      <c r="V168" s="925" t="e">
        <f t="shared" si="33"/>
        <v>#DIV/0!</v>
      </c>
      <c r="W168" s="925" t="e">
        <f t="shared" si="33"/>
        <v>#DIV/0!</v>
      </c>
      <c r="X168" s="925">
        <f t="shared" si="33"/>
        <v>1.0604668921366789</v>
      </c>
      <c r="Y168" s="925">
        <f t="shared" si="33"/>
        <v>1.0643557754641961</v>
      </c>
      <c r="Z168" s="925" t="e">
        <f t="shared" si="33"/>
        <v>#DIV/0!</v>
      </c>
      <c r="AA168" s="925" t="e">
        <f t="shared" si="33"/>
        <v>#DIV/0!</v>
      </c>
      <c r="AB168" s="925">
        <f t="shared" si="33"/>
        <v>1.0698440259863298</v>
      </c>
      <c r="AC168" s="925">
        <f t="shared" si="33"/>
        <v>1.0765379310426895</v>
      </c>
      <c r="AD168" s="879"/>
      <c r="AE168" s="879"/>
      <c r="AF168" s="889"/>
      <c r="AG168" s="889"/>
      <c r="AH168" s="889"/>
      <c r="AI168" s="889"/>
    </row>
    <row r="169" spans="1:35" ht="13.5" hidden="1" thickBot="1" x14ac:dyDescent="0.25">
      <c r="A169" s="919"/>
      <c r="B169" s="923"/>
      <c r="C169" s="924"/>
      <c r="D169" s="925">
        <f t="shared" ref="D169:AC178" si="34">D27/D95</f>
        <v>0</v>
      </c>
      <c r="E169" s="925">
        <f t="shared" si="34"/>
        <v>0</v>
      </c>
      <c r="F169" s="925" t="e">
        <f t="shared" si="34"/>
        <v>#DIV/0!</v>
      </c>
      <c r="G169" s="925" t="e">
        <f t="shared" si="34"/>
        <v>#DIV/0!</v>
      </c>
      <c r="H169" s="925">
        <f t="shared" si="34"/>
        <v>0</v>
      </c>
      <c r="I169" s="925">
        <f t="shared" si="34"/>
        <v>0</v>
      </c>
      <c r="J169" s="925" t="e">
        <f t="shared" si="34"/>
        <v>#DIV/0!</v>
      </c>
      <c r="K169" s="925" t="e">
        <f t="shared" si="34"/>
        <v>#DIV/0!</v>
      </c>
      <c r="L169" s="925">
        <f t="shared" si="34"/>
        <v>0</v>
      </c>
      <c r="M169" s="925">
        <f t="shared" si="34"/>
        <v>0</v>
      </c>
      <c r="N169" s="925" t="e">
        <f t="shared" si="34"/>
        <v>#DIV/0!</v>
      </c>
      <c r="O169" s="925" t="e">
        <f t="shared" si="34"/>
        <v>#DIV/0!</v>
      </c>
      <c r="P169" s="925">
        <f t="shared" si="34"/>
        <v>0</v>
      </c>
      <c r="Q169" s="925">
        <f t="shared" si="34"/>
        <v>0</v>
      </c>
      <c r="R169" s="925" t="e">
        <f t="shared" si="34"/>
        <v>#DIV/0!</v>
      </c>
      <c r="S169" s="925" t="e">
        <f t="shared" si="34"/>
        <v>#DIV/0!</v>
      </c>
      <c r="T169" s="925">
        <f t="shared" si="34"/>
        <v>0</v>
      </c>
      <c r="U169" s="925">
        <f t="shared" si="34"/>
        <v>0</v>
      </c>
      <c r="V169" s="925" t="e">
        <f t="shared" si="34"/>
        <v>#DIV/0!</v>
      </c>
      <c r="W169" s="925" t="e">
        <f t="shared" si="34"/>
        <v>#DIV/0!</v>
      </c>
      <c r="X169" s="925">
        <f t="shared" si="34"/>
        <v>0</v>
      </c>
      <c r="Y169" s="925">
        <f t="shared" si="34"/>
        <v>0</v>
      </c>
      <c r="Z169" s="925" t="e">
        <f t="shared" si="34"/>
        <v>#DIV/0!</v>
      </c>
      <c r="AA169" s="925" t="e">
        <f t="shared" si="34"/>
        <v>#DIV/0!</v>
      </c>
      <c r="AB169" s="925">
        <f t="shared" si="34"/>
        <v>0</v>
      </c>
      <c r="AC169" s="925">
        <f t="shared" si="34"/>
        <v>0</v>
      </c>
      <c r="AD169" s="879"/>
      <c r="AE169" s="879"/>
      <c r="AF169" s="889"/>
      <c r="AG169" s="889"/>
      <c r="AH169" s="889"/>
      <c r="AI169" s="889"/>
    </row>
    <row r="170" spans="1:35" ht="13.5" hidden="1" thickBot="1" x14ac:dyDescent="0.25">
      <c r="A170" s="919"/>
      <c r="B170" s="923" t="s">
        <v>27733</v>
      </c>
      <c r="C170" s="924" t="s">
        <v>27740</v>
      </c>
      <c r="D170" s="925">
        <f t="shared" si="34"/>
        <v>1.0041575994662377</v>
      </c>
      <c r="E170" s="925">
        <f t="shared" si="34"/>
        <v>1.0041002010875442</v>
      </c>
      <c r="F170" s="925" t="e">
        <f t="shared" si="34"/>
        <v>#DIV/0!</v>
      </c>
      <c r="G170" s="925" t="e">
        <f t="shared" si="34"/>
        <v>#DIV/0!</v>
      </c>
      <c r="H170" s="925">
        <f t="shared" si="34"/>
        <v>1.0097949295347013</v>
      </c>
      <c r="I170" s="925">
        <f t="shared" si="34"/>
        <v>1.0098914979655822</v>
      </c>
      <c r="J170" s="925" t="e">
        <f t="shared" si="34"/>
        <v>#DIV/0!</v>
      </c>
      <c r="K170" s="925" t="e">
        <f t="shared" si="34"/>
        <v>#DIV/0!</v>
      </c>
      <c r="L170" s="925">
        <f t="shared" si="34"/>
        <v>1.0257243006179813</v>
      </c>
      <c r="M170" s="925">
        <f t="shared" si="34"/>
        <v>1.0264025521287841</v>
      </c>
      <c r="N170" s="925" t="e">
        <f t="shared" si="34"/>
        <v>#DIV/0!</v>
      </c>
      <c r="O170" s="925" t="e">
        <f t="shared" si="34"/>
        <v>#DIV/0!</v>
      </c>
      <c r="P170" s="925">
        <f t="shared" si="34"/>
        <v>1.0386618529726059</v>
      </c>
      <c r="Q170" s="925">
        <f t="shared" si="34"/>
        <v>1.0402151669262409</v>
      </c>
      <c r="R170" s="925" t="e">
        <f t="shared" si="34"/>
        <v>#DIV/0!</v>
      </c>
      <c r="S170" s="925" t="e">
        <f t="shared" si="34"/>
        <v>#DIV/0!</v>
      </c>
      <c r="T170" s="925">
        <f t="shared" si="34"/>
        <v>1.0512675623987069</v>
      </c>
      <c r="U170" s="925">
        <f t="shared" si="34"/>
        <v>1.0540359812983759</v>
      </c>
      <c r="V170" s="925" t="e">
        <f t="shared" si="34"/>
        <v>#DIV/0!</v>
      </c>
      <c r="W170" s="925" t="e">
        <f t="shared" si="34"/>
        <v>#DIV/0!</v>
      </c>
      <c r="X170" s="925">
        <f t="shared" si="34"/>
        <v>1.0565183801835889</v>
      </c>
      <c r="Y170" s="925">
        <f t="shared" si="34"/>
        <v>1.0599016457025838</v>
      </c>
      <c r="Z170" s="925" t="e">
        <f t="shared" si="34"/>
        <v>#DIV/0!</v>
      </c>
      <c r="AA170" s="925" t="e">
        <f t="shared" si="34"/>
        <v>#DIV/0!</v>
      </c>
      <c r="AB170" s="925">
        <f t="shared" si="34"/>
        <v>1.0636887879696673</v>
      </c>
      <c r="AC170" s="925">
        <f t="shared" si="34"/>
        <v>1.0680182966183493</v>
      </c>
      <c r="AD170" s="879"/>
      <c r="AE170" s="879"/>
      <c r="AF170" s="889"/>
      <c r="AG170" s="889"/>
      <c r="AH170" s="889"/>
      <c r="AI170" s="889"/>
    </row>
    <row r="171" spans="1:35" ht="13.5" hidden="1" thickBot="1" x14ac:dyDescent="0.25">
      <c r="A171" s="919"/>
      <c r="B171" s="923"/>
      <c r="C171" s="924"/>
      <c r="D171" s="925">
        <f t="shared" si="34"/>
        <v>0</v>
      </c>
      <c r="E171" s="925">
        <f t="shared" si="34"/>
        <v>0</v>
      </c>
      <c r="F171" s="925" t="e">
        <f t="shared" si="34"/>
        <v>#DIV/0!</v>
      </c>
      <c r="G171" s="925" t="e">
        <f t="shared" si="34"/>
        <v>#DIV/0!</v>
      </c>
      <c r="H171" s="925">
        <f t="shared" si="34"/>
        <v>0</v>
      </c>
      <c r="I171" s="925">
        <f t="shared" si="34"/>
        <v>0</v>
      </c>
      <c r="J171" s="925" t="e">
        <f t="shared" si="34"/>
        <v>#DIV/0!</v>
      </c>
      <c r="K171" s="925" t="e">
        <f t="shared" si="34"/>
        <v>#DIV/0!</v>
      </c>
      <c r="L171" s="925">
        <f t="shared" si="34"/>
        <v>0</v>
      </c>
      <c r="M171" s="925">
        <f t="shared" si="34"/>
        <v>0</v>
      </c>
      <c r="N171" s="925" t="e">
        <f t="shared" si="34"/>
        <v>#DIV/0!</v>
      </c>
      <c r="O171" s="925" t="e">
        <f t="shared" si="34"/>
        <v>#DIV/0!</v>
      </c>
      <c r="P171" s="925">
        <f t="shared" si="34"/>
        <v>0</v>
      </c>
      <c r="Q171" s="925">
        <f t="shared" si="34"/>
        <v>0</v>
      </c>
      <c r="R171" s="925" t="e">
        <f t="shared" si="34"/>
        <v>#DIV/0!</v>
      </c>
      <c r="S171" s="925" t="e">
        <f t="shared" si="34"/>
        <v>#DIV/0!</v>
      </c>
      <c r="T171" s="925">
        <f t="shared" si="34"/>
        <v>0</v>
      </c>
      <c r="U171" s="925">
        <f t="shared" si="34"/>
        <v>0</v>
      </c>
      <c r="V171" s="925" t="e">
        <f t="shared" si="34"/>
        <v>#DIV/0!</v>
      </c>
      <c r="W171" s="925" t="e">
        <f t="shared" si="34"/>
        <v>#DIV/0!</v>
      </c>
      <c r="X171" s="925">
        <f t="shared" si="34"/>
        <v>0</v>
      </c>
      <c r="Y171" s="925">
        <f t="shared" si="34"/>
        <v>0</v>
      </c>
      <c r="Z171" s="925" t="e">
        <f t="shared" si="34"/>
        <v>#DIV/0!</v>
      </c>
      <c r="AA171" s="925" t="e">
        <f t="shared" si="34"/>
        <v>#DIV/0!</v>
      </c>
      <c r="AB171" s="925">
        <f t="shared" si="34"/>
        <v>0</v>
      </c>
      <c r="AC171" s="925">
        <f t="shared" si="34"/>
        <v>0</v>
      </c>
      <c r="AD171" s="879"/>
      <c r="AE171" s="879"/>
      <c r="AF171" s="889"/>
      <c r="AG171" s="889"/>
      <c r="AH171" s="889"/>
      <c r="AI171" s="889"/>
    </row>
    <row r="172" spans="1:35" ht="13.5" hidden="1" thickBot="1" x14ac:dyDescent="0.25">
      <c r="A172" s="919"/>
      <c r="B172" s="923" t="s">
        <v>27734</v>
      </c>
      <c r="C172" s="924" t="s">
        <v>27740</v>
      </c>
      <c r="D172" s="925">
        <f t="shared" si="34"/>
        <v>1.0037005903379581</v>
      </c>
      <c r="E172" s="925">
        <f t="shared" si="34"/>
        <v>1.003714217698672</v>
      </c>
      <c r="F172" s="925" t="e">
        <f t="shared" si="34"/>
        <v>#DIV/0!</v>
      </c>
      <c r="G172" s="925" t="e">
        <f t="shared" si="34"/>
        <v>#DIV/0!</v>
      </c>
      <c r="H172" s="925">
        <f t="shared" si="34"/>
        <v>1.0088458418545134</v>
      </c>
      <c r="I172" s="925">
        <f t="shared" si="34"/>
        <v>1.0089244870950178</v>
      </c>
      <c r="J172" s="925" t="e">
        <f t="shared" si="34"/>
        <v>#DIV/0!</v>
      </c>
      <c r="K172" s="925" t="e">
        <f t="shared" si="34"/>
        <v>#DIV/0!</v>
      </c>
      <c r="L172" s="925">
        <f t="shared" si="34"/>
        <v>1.0208390808464824</v>
      </c>
      <c r="M172" s="925">
        <f t="shared" si="34"/>
        <v>1.0212818369265506</v>
      </c>
      <c r="N172" s="925" t="e">
        <f t="shared" si="34"/>
        <v>#DIV/0!</v>
      </c>
      <c r="O172" s="925" t="e">
        <f t="shared" si="34"/>
        <v>#DIV/0!</v>
      </c>
      <c r="P172" s="925">
        <f t="shared" si="34"/>
        <v>1.029125209246337</v>
      </c>
      <c r="Q172" s="925">
        <f t="shared" si="34"/>
        <v>1.0299978892844766</v>
      </c>
      <c r="R172" s="925" t="e">
        <f t="shared" si="34"/>
        <v>#DIV/0!</v>
      </c>
      <c r="S172" s="925" t="e">
        <f t="shared" si="34"/>
        <v>#DIV/0!</v>
      </c>
      <c r="T172" s="925">
        <f t="shared" si="34"/>
        <v>1.0351181042028936</v>
      </c>
      <c r="U172" s="925">
        <f t="shared" si="34"/>
        <v>1.0363949266999468</v>
      </c>
      <c r="V172" s="925" t="e">
        <f t="shared" si="34"/>
        <v>#DIV/0!</v>
      </c>
      <c r="W172" s="925" t="e">
        <f t="shared" si="34"/>
        <v>#DIV/0!</v>
      </c>
      <c r="X172" s="925">
        <f t="shared" si="34"/>
        <v>1.0372851518868644</v>
      </c>
      <c r="Y172" s="925">
        <f t="shared" si="34"/>
        <v>1.0387277741893286</v>
      </c>
      <c r="Z172" s="925" t="e">
        <f t="shared" si="34"/>
        <v>#DIV/0!</v>
      </c>
      <c r="AA172" s="925" t="e">
        <f t="shared" si="34"/>
        <v>#DIV/0!</v>
      </c>
      <c r="AB172" s="925">
        <f t="shared" si="34"/>
        <v>1.0405410270088065</v>
      </c>
      <c r="AC172" s="925">
        <f t="shared" si="34"/>
        <v>1.042252461416207</v>
      </c>
      <c r="AD172" s="879"/>
      <c r="AE172" s="879"/>
      <c r="AF172" s="889"/>
      <c r="AG172" s="889"/>
      <c r="AH172" s="889"/>
      <c r="AI172" s="889"/>
    </row>
    <row r="173" spans="1:35" ht="13.5" hidden="1" thickBot="1" x14ac:dyDescent="0.25">
      <c r="A173" s="919"/>
      <c r="B173" s="923"/>
      <c r="C173" s="924"/>
      <c r="D173" s="925">
        <f t="shared" si="34"/>
        <v>0</v>
      </c>
      <c r="E173" s="925">
        <f t="shared" si="34"/>
        <v>0</v>
      </c>
      <c r="F173" s="925" t="e">
        <f t="shared" si="34"/>
        <v>#DIV/0!</v>
      </c>
      <c r="G173" s="925" t="e">
        <f t="shared" si="34"/>
        <v>#DIV/0!</v>
      </c>
      <c r="H173" s="925">
        <f t="shared" si="34"/>
        <v>0</v>
      </c>
      <c r="I173" s="925">
        <f t="shared" si="34"/>
        <v>0</v>
      </c>
      <c r="J173" s="925" t="e">
        <f t="shared" si="34"/>
        <v>#DIV/0!</v>
      </c>
      <c r="K173" s="925" t="e">
        <f t="shared" si="34"/>
        <v>#DIV/0!</v>
      </c>
      <c r="L173" s="925">
        <f t="shared" si="34"/>
        <v>0</v>
      </c>
      <c r="M173" s="925">
        <f t="shared" si="34"/>
        <v>0</v>
      </c>
      <c r="N173" s="925" t="e">
        <f t="shared" si="34"/>
        <v>#DIV/0!</v>
      </c>
      <c r="O173" s="925" t="e">
        <f t="shared" si="34"/>
        <v>#DIV/0!</v>
      </c>
      <c r="P173" s="925">
        <f t="shared" si="34"/>
        <v>0</v>
      </c>
      <c r="Q173" s="925">
        <f t="shared" si="34"/>
        <v>0</v>
      </c>
      <c r="R173" s="925" t="e">
        <f t="shared" si="34"/>
        <v>#DIV/0!</v>
      </c>
      <c r="S173" s="925" t="e">
        <f t="shared" si="34"/>
        <v>#DIV/0!</v>
      </c>
      <c r="T173" s="925">
        <f t="shared" si="34"/>
        <v>0</v>
      </c>
      <c r="U173" s="925">
        <f t="shared" si="34"/>
        <v>0</v>
      </c>
      <c r="V173" s="925" t="e">
        <f t="shared" si="34"/>
        <v>#DIV/0!</v>
      </c>
      <c r="W173" s="925" t="e">
        <f t="shared" si="34"/>
        <v>#DIV/0!</v>
      </c>
      <c r="X173" s="925">
        <f t="shared" si="34"/>
        <v>0</v>
      </c>
      <c r="Y173" s="925">
        <f t="shared" si="34"/>
        <v>0</v>
      </c>
      <c r="Z173" s="925" t="e">
        <f t="shared" si="34"/>
        <v>#DIV/0!</v>
      </c>
      <c r="AA173" s="925" t="e">
        <f t="shared" si="34"/>
        <v>#DIV/0!</v>
      </c>
      <c r="AB173" s="925">
        <f t="shared" si="34"/>
        <v>0</v>
      </c>
      <c r="AC173" s="925">
        <f t="shared" si="34"/>
        <v>0</v>
      </c>
      <c r="AD173" s="879"/>
      <c r="AE173" s="879"/>
      <c r="AF173" s="889"/>
      <c r="AG173" s="889"/>
      <c r="AH173" s="889"/>
      <c r="AI173" s="889"/>
    </row>
    <row r="174" spans="1:35" ht="13.5" hidden="1" thickBot="1" x14ac:dyDescent="0.25">
      <c r="A174" s="919"/>
      <c r="B174" s="923" t="s">
        <v>27735</v>
      </c>
      <c r="C174" s="924" t="s">
        <v>27740</v>
      </c>
      <c r="D174" s="925">
        <f t="shared" si="34"/>
        <v>1.0032134773051407</v>
      </c>
      <c r="E174" s="925">
        <f t="shared" si="34"/>
        <v>1.0032237328852482</v>
      </c>
      <c r="F174" s="925" t="e">
        <f t="shared" si="34"/>
        <v>#DIV/0!</v>
      </c>
      <c r="G174" s="925" t="e">
        <f t="shared" si="34"/>
        <v>#DIV/0!</v>
      </c>
      <c r="H174" s="925">
        <f t="shared" si="34"/>
        <v>1.0076424413367979</v>
      </c>
      <c r="I174" s="925">
        <f t="shared" si="34"/>
        <v>1.0077010195060463</v>
      </c>
      <c r="J174" s="925" t="e">
        <f t="shared" si="34"/>
        <v>#DIV/0!</v>
      </c>
      <c r="K174" s="925" t="e">
        <f t="shared" si="34"/>
        <v>#DIV/0!</v>
      </c>
      <c r="L174" s="925">
        <f t="shared" si="34"/>
        <v>1.0170147384151076</v>
      </c>
      <c r="M174" s="925">
        <f t="shared" si="34"/>
        <v>1.0173086485222198</v>
      </c>
      <c r="N174" s="925" t="e">
        <f t="shared" si="34"/>
        <v>#DIV/0!</v>
      </c>
      <c r="O174" s="925" t="e">
        <f t="shared" si="34"/>
        <v>#DIV/0!</v>
      </c>
      <c r="P174" s="925">
        <f t="shared" si="34"/>
        <v>1.0226403783874671</v>
      </c>
      <c r="Q174" s="925">
        <f t="shared" si="34"/>
        <v>1.0231639918633995</v>
      </c>
      <c r="R174" s="925" t="e">
        <f t="shared" si="34"/>
        <v>#DIV/0!</v>
      </c>
      <c r="S174" s="925" t="e">
        <f t="shared" si="34"/>
        <v>#DIV/0!</v>
      </c>
      <c r="T174" s="925">
        <f t="shared" si="34"/>
        <v>1.0276559202190303</v>
      </c>
      <c r="U174" s="925">
        <f t="shared" si="34"/>
        <v>1.0284415009550412</v>
      </c>
      <c r="V174" s="925" t="e">
        <f t="shared" si="34"/>
        <v>#DIV/0!</v>
      </c>
      <c r="W174" s="925" t="e">
        <f t="shared" si="34"/>
        <v>#DIV/0!</v>
      </c>
      <c r="X174" s="925">
        <f t="shared" si="34"/>
        <v>1.0293707620086301</v>
      </c>
      <c r="Y174" s="925">
        <f t="shared" si="34"/>
        <v>1.0302584684936769</v>
      </c>
      <c r="Z174" s="925" t="e">
        <f t="shared" si="34"/>
        <v>#DIV/0!</v>
      </c>
      <c r="AA174" s="925" t="e">
        <f t="shared" si="34"/>
        <v>#DIV/0!</v>
      </c>
      <c r="AB174" s="925">
        <f t="shared" si="34"/>
        <v>1.0292574997048001</v>
      </c>
      <c r="AC174" s="925">
        <f t="shared" si="34"/>
        <v>1.0352566823906291</v>
      </c>
      <c r="AD174" s="879"/>
      <c r="AE174" s="879"/>
      <c r="AF174" s="889"/>
      <c r="AG174" s="889"/>
      <c r="AH174" s="889"/>
      <c r="AI174" s="889"/>
    </row>
    <row r="175" spans="1:35" ht="13.5" hidden="1" thickBot="1" x14ac:dyDescent="0.25">
      <c r="A175" s="919"/>
      <c r="B175" s="923"/>
      <c r="C175" s="924"/>
      <c r="D175" s="925">
        <f t="shared" si="34"/>
        <v>0</v>
      </c>
      <c r="E175" s="925">
        <f t="shared" si="34"/>
        <v>0</v>
      </c>
      <c r="F175" s="925" t="e">
        <f t="shared" si="34"/>
        <v>#DIV/0!</v>
      </c>
      <c r="G175" s="925" t="e">
        <f t="shared" si="34"/>
        <v>#DIV/0!</v>
      </c>
      <c r="H175" s="925">
        <f t="shared" si="34"/>
        <v>0</v>
      </c>
      <c r="I175" s="925">
        <f t="shared" si="34"/>
        <v>0</v>
      </c>
      <c r="J175" s="925" t="e">
        <f t="shared" si="34"/>
        <v>#DIV/0!</v>
      </c>
      <c r="K175" s="925" t="e">
        <f t="shared" si="34"/>
        <v>#DIV/0!</v>
      </c>
      <c r="L175" s="925">
        <f t="shared" si="34"/>
        <v>0</v>
      </c>
      <c r="M175" s="925">
        <f t="shared" si="34"/>
        <v>0</v>
      </c>
      <c r="N175" s="925" t="e">
        <f t="shared" si="34"/>
        <v>#DIV/0!</v>
      </c>
      <c r="O175" s="925" t="e">
        <f t="shared" si="34"/>
        <v>#DIV/0!</v>
      </c>
      <c r="P175" s="925">
        <f t="shared" si="34"/>
        <v>0</v>
      </c>
      <c r="Q175" s="925">
        <f t="shared" si="34"/>
        <v>0</v>
      </c>
      <c r="R175" s="925" t="e">
        <f t="shared" si="34"/>
        <v>#DIV/0!</v>
      </c>
      <c r="S175" s="925" t="e">
        <f t="shared" si="34"/>
        <v>#DIV/0!</v>
      </c>
      <c r="T175" s="925">
        <f t="shared" si="34"/>
        <v>0</v>
      </c>
      <c r="U175" s="925">
        <f t="shared" si="34"/>
        <v>0</v>
      </c>
      <c r="V175" s="925" t="e">
        <f t="shared" si="34"/>
        <v>#DIV/0!</v>
      </c>
      <c r="W175" s="925" t="e">
        <f t="shared" si="34"/>
        <v>#DIV/0!</v>
      </c>
      <c r="X175" s="925">
        <f t="shared" si="34"/>
        <v>0</v>
      </c>
      <c r="Y175" s="925">
        <f t="shared" si="34"/>
        <v>0</v>
      </c>
      <c r="Z175" s="925" t="e">
        <f t="shared" si="34"/>
        <v>#DIV/0!</v>
      </c>
      <c r="AA175" s="925" t="e">
        <f t="shared" si="34"/>
        <v>#DIV/0!</v>
      </c>
      <c r="AB175" s="925">
        <f t="shared" si="34"/>
        <v>0</v>
      </c>
      <c r="AC175" s="925">
        <f t="shared" si="34"/>
        <v>0</v>
      </c>
      <c r="AD175" s="879"/>
      <c r="AE175" s="879"/>
      <c r="AF175" s="889"/>
      <c r="AG175" s="889"/>
      <c r="AH175" s="889"/>
      <c r="AI175" s="889"/>
    </row>
    <row r="176" spans="1:35" ht="13.5" hidden="1" thickBot="1" x14ac:dyDescent="0.25">
      <c r="A176" s="919"/>
      <c r="B176" s="923" t="s">
        <v>27736</v>
      </c>
      <c r="C176" s="924" t="s">
        <v>27740</v>
      </c>
      <c r="D176" s="925">
        <f t="shared" si="34"/>
        <v>1.0026924441167879</v>
      </c>
      <c r="E176" s="925">
        <f t="shared" si="34"/>
        <v>1.0026996230686898</v>
      </c>
      <c r="F176" s="925" t="e">
        <f t="shared" si="34"/>
        <v>#DIV/0!</v>
      </c>
      <c r="G176" s="925" t="e">
        <f t="shared" si="34"/>
        <v>#DIV/0!</v>
      </c>
      <c r="H176" s="925">
        <f t="shared" si="34"/>
        <v>1.0063372082316182</v>
      </c>
      <c r="I176" s="925">
        <f t="shared" si="34"/>
        <v>1.0063774165658372</v>
      </c>
      <c r="J176" s="925" t="e">
        <f t="shared" si="34"/>
        <v>#DIV/0!</v>
      </c>
      <c r="K176" s="925" t="e">
        <f t="shared" si="34"/>
        <v>#DIV/0!</v>
      </c>
      <c r="L176" s="925">
        <f t="shared" si="34"/>
        <v>1.0136119103849601</v>
      </c>
      <c r="M176" s="925">
        <f t="shared" si="34"/>
        <v>1.0137992771031248</v>
      </c>
      <c r="N176" s="925" t="e">
        <f t="shared" si="34"/>
        <v>#DIV/0!</v>
      </c>
      <c r="O176" s="925" t="e">
        <f t="shared" si="34"/>
        <v>#DIV/0!</v>
      </c>
      <c r="P176" s="925">
        <f t="shared" si="34"/>
        <v>1.0175648126705217</v>
      </c>
      <c r="Q176" s="925">
        <f t="shared" si="34"/>
        <v>1.0191380782649553</v>
      </c>
      <c r="R176" s="925" t="e">
        <f t="shared" si="34"/>
        <v>#DIV/0!</v>
      </c>
      <c r="S176" s="925" t="e">
        <f t="shared" si="34"/>
        <v>#DIV/0!</v>
      </c>
      <c r="T176" s="925">
        <f t="shared" si="34"/>
        <v>1.0223699663982799</v>
      </c>
      <c r="U176" s="925">
        <f t="shared" si="34"/>
        <v>1.0234081614508366</v>
      </c>
      <c r="V176" s="925" t="e">
        <f t="shared" si="34"/>
        <v>#DIV/0!</v>
      </c>
      <c r="W176" s="925" t="e">
        <f t="shared" si="34"/>
        <v>#DIV/0!</v>
      </c>
      <c r="X176" s="925">
        <f t="shared" si="34"/>
        <v>1.0241326135674591</v>
      </c>
      <c r="Y176" s="925">
        <f t="shared" si="34"/>
        <v>1.0248521856653796</v>
      </c>
      <c r="Z176" s="925" t="e">
        <f t="shared" si="34"/>
        <v>#DIV/0!</v>
      </c>
      <c r="AA176" s="925" t="e">
        <f t="shared" si="34"/>
        <v>#DIV/0!</v>
      </c>
      <c r="AB176" s="925">
        <f t="shared" si="34"/>
        <v>1.0239913192110384</v>
      </c>
      <c r="AC176" s="925">
        <f t="shared" si="34"/>
        <v>1.0276312718229159</v>
      </c>
      <c r="AD176" s="879"/>
      <c r="AE176" s="879"/>
      <c r="AF176" s="889"/>
      <c r="AG176" s="889"/>
      <c r="AH176" s="889"/>
      <c r="AI176" s="889"/>
    </row>
    <row r="177" spans="1:35" ht="13.5" hidden="1" thickBot="1" x14ac:dyDescent="0.25">
      <c r="A177" s="919"/>
      <c r="B177" s="923"/>
      <c r="C177" s="924"/>
      <c r="D177" s="925">
        <f t="shared" si="34"/>
        <v>0</v>
      </c>
      <c r="E177" s="925">
        <f t="shared" si="34"/>
        <v>0</v>
      </c>
      <c r="F177" s="925" t="e">
        <f t="shared" si="34"/>
        <v>#DIV/0!</v>
      </c>
      <c r="G177" s="925" t="e">
        <f t="shared" si="34"/>
        <v>#DIV/0!</v>
      </c>
      <c r="H177" s="925">
        <f t="shared" si="34"/>
        <v>0</v>
      </c>
      <c r="I177" s="925">
        <f t="shared" si="34"/>
        <v>0</v>
      </c>
      <c r="J177" s="925" t="e">
        <f t="shared" si="34"/>
        <v>#DIV/0!</v>
      </c>
      <c r="K177" s="925" t="e">
        <f t="shared" si="34"/>
        <v>#DIV/0!</v>
      </c>
      <c r="L177" s="925">
        <f t="shared" si="34"/>
        <v>0</v>
      </c>
      <c r="M177" s="925">
        <f t="shared" si="34"/>
        <v>0</v>
      </c>
      <c r="N177" s="925" t="e">
        <f t="shared" si="34"/>
        <v>#DIV/0!</v>
      </c>
      <c r="O177" s="925" t="e">
        <f t="shared" si="34"/>
        <v>#DIV/0!</v>
      </c>
      <c r="P177" s="925">
        <f t="shared" si="34"/>
        <v>0</v>
      </c>
      <c r="Q177" s="925">
        <f t="shared" si="34"/>
        <v>0</v>
      </c>
      <c r="R177" s="925" t="e">
        <f t="shared" si="34"/>
        <v>#DIV/0!</v>
      </c>
      <c r="S177" s="925" t="e">
        <f t="shared" si="34"/>
        <v>#DIV/0!</v>
      </c>
      <c r="T177" s="925">
        <f t="shared" si="34"/>
        <v>0</v>
      </c>
      <c r="U177" s="925">
        <f t="shared" si="34"/>
        <v>0</v>
      </c>
      <c r="V177" s="925" t="e">
        <f t="shared" si="34"/>
        <v>#DIV/0!</v>
      </c>
      <c r="W177" s="925" t="e">
        <f t="shared" si="34"/>
        <v>#DIV/0!</v>
      </c>
      <c r="X177" s="925">
        <f t="shared" si="34"/>
        <v>0</v>
      </c>
      <c r="Y177" s="925">
        <f t="shared" si="34"/>
        <v>0</v>
      </c>
      <c r="Z177" s="925" t="e">
        <f t="shared" si="34"/>
        <v>#DIV/0!</v>
      </c>
      <c r="AA177" s="925" t="e">
        <f t="shared" si="34"/>
        <v>#DIV/0!</v>
      </c>
      <c r="AB177" s="925">
        <f t="shared" si="34"/>
        <v>0</v>
      </c>
      <c r="AC177" s="925">
        <f t="shared" si="34"/>
        <v>0</v>
      </c>
      <c r="AD177" s="879"/>
      <c r="AE177" s="879"/>
      <c r="AF177" s="889"/>
      <c r="AG177" s="889"/>
      <c r="AH177" s="889"/>
      <c r="AI177" s="889"/>
    </row>
    <row r="178" spans="1:35" ht="13.5" hidden="1" thickBot="1" x14ac:dyDescent="0.25">
      <c r="A178" s="919"/>
      <c r="B178" s="926" t="s">
        <v>27737</v>
      </c>
      <c r="C178" s="924" t="s">
        <v>27740</v>
      </c>
      <c r="D178" s="925">
        <f t="shared" si="34"/>
        <v>1.0024914254179291</v>
      </c>
      <c r="E178" s="925">
        <f t="shared" si="34"/>
        <v>1.0024975675009284</v>
      </c>
      <c r="F178" s="925" t="e">
        <f t="shared" si="34"/>
        <v>#DIV/0!</v>
      </c>
      <c r="G178" s="925" t="e">
        <f t="shared" si="34"/>
        <v>#DIV/0!</v>
      </c>
      <c r="H178" s="925">
        <f t="shared" si="34"/>
        <v>1.0058787686665618</v>
      </c>
      <c r="I178" s="925">
        <f t="shared" si="34"/>
        <v>1.0059133325158325</v>
      </c>
      <c r="J178" s="925" t="e">
        <f t="shared" si="34"/>
        <v>#DIV/0!</v>
      </c>
      <c r="K178" s="925" t="e">
        <f t="shared" si="34"/>
        <v>#DIV/0!</v>
      </c>
      <c r="L178" s="925">
        <f t="shared" si="34"/>
        <v>1.0117849111026267</v>
      </c>
      <c r="M178" s="925">
        <f t="shared" si="34"/>
        <v>1.0119250556975126</v>
      </c>
      <c r="N178" s="925" t="e">
        <f t="shared" si="34"/>
        <v>#DIV/0!</v>
      </c>
      <c r="O178" s="925" t="e">
        <f t="shared" si="34"/>
        <v>#DIV/0!</v>
      </c>
      <c r="P178" s="925">
        <f t="shared" si="34"/>
        <v>1.0156742989175929</v>
      </c>
      <c r="Q178" s="925">
        <f t="shared" si="34"/>
        <v>1.0165274619602018</v>
      </c>
      <c r="R178" s="925" t="e">
        <f t="shared" si="34"/>
        <v>#DIV/0!</v>
      </c>
      <c r="S178" s="925" t="e">
        <f t="shared" si="34"/>
        <v>#DIV/0!</v>
      </c>
      <c r="T178" s="925">
        <f t="shared" si="34"/>
        <v>1.0198968394126895</v>
      </c>
      <c r="U178" s="925">
        <f t="shared" si="34"/>
        <v>1.0203000588847904</v>
      </c>
      <c r="V178" s="925" t="e">
        <f t="shared" si="34"/>
        <v>#DIV/0!</v>
      </c>
      <c r="W178" s="925" t="e">
        <f t="shared" si="34"/>
        <v>#DIV/0!</v>
      </c>
      <c r="X178" s="925">
        <f t="shared" si="34"/>
        <v>1.0205874966762194</v>
      </c>
      <c r="Y178" s="925">
        <f>Y36/Y104</f>
        <v>1.0210195051866955</v>
      </c>
      <c r="Z178" s="925" t="e">
        <f>Z36/Z104</f>
        <v>#DIV/0!</v>
      </c>
      <c r="AA178" s="925" t="e">
        <f>AA36/AA104</f>
        <v>#DIV/0!</v>
      </c>
      <c r="AB178" s="925">
        <f>AB36/AB104</f>
        <v>1.0221056380065372</v>
      </c>
      <c r="AC178" s="925">
        <f>AC36/AC104</f>
        <v>1.0232053555880527</v>
      </c>
      <c r="AD178" s="879"/>
      <c r="AE178" s="879"/>
      <c r="AF178" s="889"/>
      <c r="AG178" s="889"/>
      <c r="AH178" s="889"/>
      <c r="AI178" s="889"/>
    </row>
    <row r="179" spans="1:35" ht="13.5" hidden="1" thickBot="1" x14ac:dyDescent="0.25">
      <c r="A179" s="919"/>
      <c r="B179" s="923"/>
      <c r="C179" s="924"/>
      <c r="D179" s="927"/>
      <c r="E179" s="927"/>
      <c r="F179" s="927"/>
      <c r="G179" s="927"/>
      <c r="H179" s="927"/>
      <c r="I179" s="927"/>
      <c r="J179" s="927"/>
      <c r="K179" s="927"/>
      <c r="L179" s="927"/>
      <c r="M179" s="927"/>
      <c r="N179" s="927"/>
      <c r="O179" s="927"/>
      <c r="P179" s="927"/>
      <c r="Q179" s="927"/>
      <c r="R179" s="927"/>
      <c r="S179" s="927"/>
      <c r="T179" s="927"/>
      <c r="U179" s="927"/>
      <c r="V179" s="927"/>
      <c r="W179" s="927"/>
      <c r="X179" s="927"/>
      <c r="Y179" s="927"/>
      <c r="Z179" s="927"/>
      <c r="AA179" s="927"/>
      <c r="AB179" s="927"/>
      <c r="AC179" s="927"/>
      <c r="AD179" s="879"/>
      <c r="AE179" s="879"/>
      <c r="AF179" s="889"/>
      <c r="AG179" s="889"/>
      <c r="AH179" s="889"/>
      <c r="AI179" s="889"/>
    </row>
    <row r="180" spans="1:35" ht="13.5" hidden="1" thickBot="1" x14ac:dyDescent="0.25">
      <c r="A180" s="919"/>
      <c r="B180" s="926" t="s">
        <v>27741</v>
      </c>
      <c r="C180" s="924" t="s">
        <v>27740</v>
      </c>
      <c r="D180" s="927"/>
      <c r="E180" s="927"/>
      <c r="F180" s="927"/>
      <c r="G180" s="927"/>
      <c r="H180" s="927"/>
      <c r="I180" s="927"/>
      <c r="J180" s="927"/>
      <c r="K180" s="927"/>
      <c r="L180" s="927"/>
      <c r="M180" s="927"/>
      <c r="N180" s="927"/>
      <c r="O180" s="927"/>
      <c r="P180" s="927"/>
      <c r="Q180" s="927"/>
      <c r="R180" s="927"/>
      <c r="S180" s="927"/>
      <c r="T180" s="927"/>
      <c r="U180" s="927"/>
      <c r="V180" s="927"/>
      <c r="W180" s="927"/>
      <c r="X180" s="927"/>
      <c r="Y180" s="927"/>
      <c r="Z180" s="927"/>
      <c r="AA180" s="927"/>
      <c r="AB180" s="927"/>
      <c r="AC180" s="927"/>
      <c r="AD180" s="879"/>
      <c r="AE180" s="879"/>
      <c r="AF180" s="889"/>
      <c r="AG180" s="889"/>
      <c r="AH180" s="889"/>
      <c r="AI180" s="889"/>
    </row>
    <row r="181" spans="1:35" x14ac:dyDescent="0.2">
      <c r="A181" s="914"/>
      <c r="B181" s="914"/>
      <c r="C181" s="914"/>
      <c r="D181" s="914"/>
      <c r="E181" s="914"/>
      <c r="F181" s="914"/>
      <c r="G181" s="914"/>
      <c r="H181" s="914"/>
      <c r="I181" s="914"/>
      <c r="J181" s="914"/>
      <c r="K181" s="914"/>
      <c r="L181" s="914"/>
      <c r="M181" s="914"/>
      <c r="N181" s="914"/>
      <c r="O181" s="914"/>
      <c r="P181" s="914"/>
      <c r="Q181" s="914"/>
      <c r="R181" s="914"/>
      <c r="S181" s="914"/>
      <c r="T181" s="914"/>
      <c r="U181" s="914"/>
      <c r="V181" s="914"/>
      <c r="W181" s="914"/>
      <c r="X181" s="914"/>
      <c r="Y181" s="914"/>
      <c r="Z181" s="914"/>
      <c r="AA181" s="914"/>
      <c r="AB181" s="914"/>
      <c r="AC181" s="914"/>
      <c r="AD181" s="855"/>
      <c r="AE181" s="855"/>
    </row>
    <row r="182" spans="1:35" ht="15.75" x14ac:dyDescent="0.25">
      <c r="A182" s="914"/>
      <c r="B182" s="942" t="s">
        <v>27768</v>
      </c>
      <c r="C182" s="941"/>
      <c r="D182" s="941"/>
      <c r="E182" s="941"/>
      <c r="F182" s="941"/>
      <c r="G182" s="941"/>
      <c r="H182" s="941"/>
      <c r="I182" s="916"/>
      <c r="J182" s="916"/>
      <c r="K182" s="916"/>
      <c r="L182" s="914"/>
      <c r="M182" s="916"/>
      <c r="N182" s="916"/>
      <c r="O182" s="916"/>
      <c r="P182" s="917"/>
      <c r="Q182" s="917"/>
      <c r="R182" s="917"/>
      <c r="S182" s="917"/>
      <c r="T182" s="917"/>
      <c r="U182" s="917"/>
      <c r="V182" s="917"/>
      <c r="W182" s="917"/>
      <c r="X182" s="914"/>
      <c r="Y182" s="914"/>
      <c r="Z182" s="914"/>
      <c r="AA182" s="914"/>
      <c r="AB182" s="914"/>
      <c r="AC182" s="914"/>
    </row>
    <row r="183" spans="1:35" ht="16.5" thickBot="1" x14ac:dyDescent="0.3">
      <c r="A183" s="914"/>
      <c r="B183" s="918" t="s">
        <v>27766</v>
      </c>
      <c r="C183" s="917"/>
      <c r="D183" s="937"/>
      <c r="E183" s="937"/>
      <c r="F183" s="937"/>
      <c r="G183" s="937"/>
      <c r="H183" s="937"/>
      <c r="I183" s="937"/>
      <c r="J183" s="937"/>
      <c r="K183" s="937"/>
      <c r="L183" s="937"/>
      <c r="M183" s="937"/>
      <c r="N183" s="937"/>
      <c r="O183" s="937"/>
      <c r="P183" s="937"/>
      <c r="Q183" s="917"/>
      <c r="R183" s="917"/>
      <c r="S183" s="917"/>
      <c r="T183" s="917"/>
      <c r="U183" s="917"/>
      <c r="V183" s="917"/>
      <c r="W183" s="917"/>
      <c r="X183" s="914"/>
      <c r="Y183" s="914"/>
      <c r="Z183" s="914"/>
      <c r="AA183" s="914"/>
      <c r="AB183" s="914"/>
      <c r="AC183" s="914"/>
    </row>
    <row r="184" spans="1:35" ht="17.45" customHeight="1" thickBot="1" x14ac:dyDescent="0.35">
      <c r="A184" s="919"/>
      <c r="B184" s="920" t="s">
        <v>27728</v>
      </c>
      <c r="C184" s="2903" t="s">
        <v>27729</v>
      </c>
      <c r="D184" s="2905" t="s">
        <v>27730</v>
      </c>
      <c r="E184" s="2906"/>
      <c r="F184" s="2906"/>
      <c r="G184" s="2906"/>
      <c r="H184" s="2906"/>
      <c r="I184" s="2906"/>
      <c r="J184" s="2906"/>
      <c r="K184" s="2906"/>
      <c r="L184" s="2906"/>
      <c r="M184" s="2906"/>
      <c r="N184" s="2906"/>
      <c r="O184" s="2906"/>
      <c r="P184" s="2906"/>
      <c r="Q184" s="2906"/>
      <c r="R184" s="2906"/>
      <c r="S184" s="2906"/>
      <c r="T184" s="2906"/>
      <c r="U184" s="2906"/>
      <c r="V184" s="2906"/>
      <c r="W184" s="2906"/>
      <c r="X184" s="2906"/>
      <c r="Y184" s="2906"/>
      <c r="Z184" s="2906"/>
      <c r="AA184" s="2906"/>
      <c r="AB184" s="2906"/>
      <c r="AC184" s="2907"/>
      <c r="AD184" s="862"/>
      <c r="AE184" s="862"/>
      <c r="AF184" s="862"/>
      <c r="AG184" s="862"/>
      <c r="AH184" s="862"/>
      <c r="AI184" s="862"/>
    </row>
    <row r="185" spans="1:35" ht="13.5" thickBot="1" x14ac:dyDescent="0.25">
      <c r="A185" s="919"/>
      <c r="B185" s="920" t="s">
        <v>27731</v>
      </c>
      <c r="C185" s="2904"/>
      <c r="D185" s="2908" t="s">
        <v>27732</v>
      </c>
      <c r="E185" s="2909"/>
      <c r="F185" s="921"/>
      <c r="G185" s="921"/>
      <c r="H185" s="2908" t="s">
        <v>27733</v>
      </c>
      <c r="I185" s="2909"/>
      <c r="J185" s="921"/>
      <c r="K185" s="921"/>
      <c r="L185" s="2908" t="s">
        <v>27734</v>
      </c>
      <c r="M185" s="2909"/>
      <c r="N185" s="921"/>
      <c r="O185" s="921"/>
      <c r="P185" s="2908" t="s">
        <v>27735</v>
      </c>
      <c r="Q185" s="2909"/>
      <c r="R185" s="921"/>
      <c r="S185" s="921"/>
      <c r="T185" s="2908" t="s">
        <v>27736</v>
      </c>
      <c r="U185" s="2909"/>
      <c r="V185" s="921"/>
      <c r="W185" s="921"/>
      <c r="X185" s="2908" t="s">
        <v>27737</v>
      </c>
      <c r="Y185" s="2909"/>
      <c r="Z185" s="921"/>
      <c r="AA185" s="921"/>
      <c r="AB185" s="2908"/>
      <c r="AC185" s="2909"/>
      <c r="AD185" s="867"/>
      <c r="AE185" s="867"/>
      <c r="AF185" s="868"/>
      <c r="AG185" s="868"/>
      <c r="AH185" s="868"/>
      <c r="AI185" s="868"/>
    </row>
    <row r="186" spans="1:35" ht="13.5" thickBot="1" x14ac:dyDescent="0.25">
      <c r="A186" s="919"/>
      <c r="B186" s="922"/>
      <c r="C186" s="922"/>
      <c r="D186" s="922" t="s">
        <v>27739</v>
      </c>
      <c r="E186" s="922" t="s">
        <v>27725</v>
      </c>
      <c r="F186" s="922"/>
      <c r="G186" s="922"/>
      <c r="H186" s="922" t="s">
        <v>27739</v>
      </c>
      <c r="I186" s="922" t="s">
        <v>27725</v>
      </c>
      <c r="J186" s="922"/>
      <c r="K186" s="922"/>
      <c r="L186" s="922" t="s">
        <v>27739</v>
      </c>
      <c r="M186" s="922" t="s">
        <v>27725</v>
      </c>
      <c r="N186" s="922"/>
      <c r="O186" s="922"/>
      <c r="P186" s="922" t="s">
        <v>27739</v>
      </c>
      <c r="Q186" s="922" t="s">
        <v>27725</v>
      </c>
      <c r="R186" s="922"/>
      <c r="S186" s="922"/>
      <c r="T186" s="922" t="s">
        <v>27739</v>
      </c>
      <c r="U186" s="922" t="s">
        <v>27725</v>
      </c>
      <c r="V186" s="922"/>
      <c r="W186" s="922"/>
      <c r="X186" s="922" t="s">
        <v>27739</v>
      </c>
      <c r="Y186" s="922" t="s">
        <v>27725</v>
      </c>
      <c r="Z186" s="922"/>
      <c r="AA186" s="922"/>
      <c r="AB186" s="922" t="s">
        <v>27739</v>
      </c>
      <c r="AC186" s="922" t="s">
        <v>27725</v>
      </c>
      <c r="AD186" s="870"/>
      <c r="AE186" s="870"/>
      <c r="AF186" s="871"/>
      <c r="AG186" s="871"/>
      <c r="AH186" s="871"/>
      <c r="AI186" s="871"/>
    </row>
    <row r="187" spans="1:35" ht="13.5" hidden="1" thickBot="1" x14ac:dyDescent="0.25">
      <c r="A187" s="919"/>
      <c r="B187" s="923" t="s">
        <v>27732</v>
      </c>
      <c r="C187" s="924" t="s">
        <v>27740</v>
      </c>
      <c r="D187" s="925" t="e">
        <f t="shared" ref="D187:D197" si="35">D45/D113</f>
        <v>#DIV/0!</v>
      </c>
      <c r="E187" s="925" t="e">
        <f t="shared" ref="E187:AC187" si="36">E45/E113</f>
        <v>#DIV/0!</v>
      </c>
      <c r="F187" s="925" t="e">
        <f t="shared" si="36"/>
        <v>#DIV/0!</v>
      </c>
      <c r="G187" s="925" t="e">
        <f t="shared" si="36"/>
        <v>#DIV/0!</v>
      </c>
      <c r="H187" s="925" t="e">
        <f t="shared" si="36"/>
        <v>#DIV/0!</v>
      </c>
      <c r="I187" s="925" t="e">
        <f t="shared" si="36"/>
        <v>#DIV/0!</v>
      </c>
      <c r="J187" s="925" t="e">
        <f t="shared" si="36"/>
        <v>#DIV/0!</v>
      </c>
      <c r="K187" s="925" t="e">
        <f t="shared" si="36"/>
        <v>#DIV/0!</v>
      </c>
      <c r="L187" s="925" t="e">
        <f t="shared" si="36"/>
        <v>#DIV/0!</v>
      </c>
      <c r="M187" s="925" t="e">
        <f t="shared" si="36"/>
        <v>#DIV/0!</v>
      </c>
      <c r="N187" s="925" t="e">
        <f t="shared" si="36"/>
        <v>#DIV/0!</v>
      </c>
      <c r="O187" s="925" t="e">
        <f t="shared" si="36"/>
        <v>#DIV/0!</v>
      </c>
      <c r="P187" s="925" t="e">
        <f t="shared" si="36"/>
        <v>#DIV/0!</v>
      </c>
      <c r="Q187" s="925" t="e">
        <f t="shared" si="36"/>
        <v>#DIV/0!</v>
      </c>
      <c r="R187" s="925" t="e">
        <f t="shared" si="36"/>
        <v>#DIV/0!</v>
      </c>
      <c r="S187" s="925" t="e">
        <f t="shared" si="36"/>
        <v>#DIV/0!</v>
      </c>
      <c r="T187" s="925" t="e">
        <f t="shared" si="36"/>
        <v>#DIV/0!</v>
      </c>
      <c r="U187" s="925" t="e">
        <f t="shared" si="36"/>
        <v>#DIV/0!</v>
      </c>
      <c r="V187" s="925" t="e">
        <f t="shared" si="36"/>
        <v>#DIV/0!</v>
      </c>
      <c r="W187" s="925" t="e">
        <f t="shared" si="36"/>
        <v>#DIV/0!</v>
      </c>
      <c r="X187" s="925" t="e">
        <f t="shared" si="36"/>
        <v>#DIV/0!</v>
      </c>
      <c r="Y187" s="925" t="e">
        <f t="shared" si="36"/>
        <v>#DIV/0!</v>
      </c>
      <c r="Z187" s="925" t="e">
        <f t="shared" si="36"/>
        <v>#DIV/0!</v>
      </c>
      <c r="AA187" s="925" t="e">
        <f t="shared" si="36"/>
        <v>#DIV/0!</v>
      </c>
      <c r="AB187" s="925" t="e">
        <f t="shared" si="36"/>
        <v>#DIV/0!</v>
      </c>
      <c r="AC187" s="925" t="e">
        <f t="shared" si="36"/>
        <v>#DIV/0!</v>
      </c>
      <c r="AD187" s="879"/>
      <c r="AE187" s="879"/>
      <c r="AF187" s="889"/>
      <c r="AG187" s="889"/>
      <c r="AH187" s="889"/>
      <c r="AI187" s="889"/>
    </row>
    <row r="188" spans="1:35" ht="13.5" hidden="1" thickBot="1" x14ac:dyDescent="0.25">
      <c r="A188" s="919"/>
      <c r="B188" s="923"/>
      <c r="C188" s="924"/>
      <c r="D188" s="925" t="e">
        <f t="shared" si="35"/>
        <v>#DIV/0!</v>
      </c>
      <c r="E188" s="925" t="e">
        <f t="shared" ref="E188:AC188" si="37">E46/E114</f>
        <v>#DIV/0!</v>
      </c>
      <c r="F188" s="925" t="e">
        <f t="shared" si="37"/>
        <v>#DIV/0!</v>
      </c>
      <c r="G188" s="925" t="e">
        <f t="shared" si="37"/>
        <v>#DIV/0!</v>
      </c>
      <c r="H188" s="925" t="e">
        <f t="shared" si="37"/>
        <v>#DIV/0!</v>
      </c>
      <c r="I188" s="925" t="e">
        <f t="shared" si="37"/>
        <v>#DIV/0!</v>
      </c>
      <c r="J188" s="925" t="e">
        <f t="shared" si="37"/>
        <v>#DIV/0!</v>
      </c>
      <c r="K188" s="925" t="e">
        <f t="shared" si="37"/>
        <v>#DIV/0!</v>
      </c>
      <c r="L188" s="925" t="e">
        <f t="shared" si="37"/>
        <v>#DIV/0!</v>
      </c>
      <c r="M188" s="925" t="e">
        <f t="shared" si="37"/>
        <v>#DIV/0!</v>
      </c>
      <c r="N188" s="925" t="e">
        <f t="shared" si="37"/>
        <v>#DIV/0!</v>
      </c>
      <c r="O188" s="925" t="e">
        <f t="shared" si="37"/>
        <v>#DIV/0!</v>
      </c>
      <c r="P188" s="925" t="e">
        <f t="shared" si="37"/>
        <v>#DIV/0!</v>
      </c>
      <c r="Q188" s="925" t="e">
        <f t="shared" si="37"/>
        <v>#DIV/0!</v>
      </c>
      <c r="R188" s="925" t="e">
        <f t="shared" si="37"/>
        <v>#DIV/0!</v>
      </c>
      <c r="S188" s="925" t="e">
        <f t="shared" si="37"/>
        <v>#DIV/0!</v>
      </c>
      <c r="T188" s="925" t="e">
        <f t="shared" si="37"/>
        <v>#DIV/0!</v>
      </c>
      <c r="U188" s="925" t="e">
        <f t="shared" si="37"/>
        <v>#DIV/0!</v>
      </c>
      <c r="V188" s="925" t="e">
        <f t="shared" si="37"/>
        <v>#DIV/0!</v>
      </c>
      <c r="W188" s="925" t="e">
        <f t="shared" si="37"/>
        <v>#DIV/0!</v>
      </c>
      <c r="X188" s="925" t="e">
        <f t="shared" si="37"/>
        <v>#DIV/0!</v>
      </c>
      <c r="Y188" s="925" t="e">
        <f t="shared" si="37"/>
        <v>#DIV/0!</v>
      </c>
      <c r="Z188" s="925" t="e">
        <f t="shared" si="37"/>
        <v>#DIV/0!</v>
      </c>
      <c r="AA188" s="925" t="e">
        <f t="shared" si="37"/>
        <v>#DIV/0!</v>
      </c>
      <c r="AB188" s="925" t="e">
        <f t="shared" si="37"/>
        <v>#DIV/0!</v>
      </c>
      <c r="AC188" s="925" t="e">
        <f t="shared" si="37"/>
        <v>#DIV/0!</v>
      </c>
      <c r="AD188" s="879"/>
      <c r="AE188" s="879"/>
      <c r="AF188" s="889"/>
      <c r="AG188" s="889"/>
      <c r="AH188" s="889"/>
      <c r="AI188" s="889"/>
    </row>
    <row r="189" spans="1:35" ht="13.5" thickBot="1" x14ac:dyDescent="0.25">
      <c r="A189" s="919"/>
      <c r="B189" s="923" t="s">
        <v>27733</v>
      </c>
      <c r="C189" s="924" t="s">
        <v>27740</v>
      </c>
      <c r="D189" s="925" t="e">
        <f t="shared" si="35"/>
        <v>#DIV/0!</v>
      </c>
      <c r="E189" s="925" t="e">
        <f t="shared" ref="E189:G197" si="38">E47/E115</f>
        <v>#DIV/0!</v>
      </c>
      <c r="F189" s="925" t="e">
        <f t="shared" si="38"/>
        <v>#DIV/0!</v>
      </c>
      <c r="G189" s="925" t="e">
        <f t="shared" si="38"/>
        <v>#DIV/0!</v>
      </c>
      <c r="H189" s="925"/>
      <c r="I189" s="925">
        <f t="shared" ref="I189:I196" si="39">I115/I47</f>
        <v>0.81410807990075673</v>
      </c>
      <c r="J189" s="925" t="e">
        <f t="shared" ref="J189:W197" si="40">J115/J47</f>
        <v>#DIV/0!</v>
      </c>
      <c r="K189" s="925" t="e">
        <f t="shared" si="40"/>
        <v>#DIV/0!</v>
      </c>
      <c r="L189" s="925"/>
      <c r="M189" s="925">
        <f t="shared" si="40"/>
        <v>0.74810454623838851</v>
      </c>
      <c r="N189" s="925" t="e">
        <f t="shared" si="40"/>
        <v>#DIV/0!</v>
      </c>
      <c r="O189" s="925" t="e">
        <f t="shared" si="40"/>
        <v>#DIV/0!</v>
      </c>
      <c r="P189" s="925"/>
      <c r="Q189" s="925">
        <f t="shared" si="40"/>
        <v>0.79182863945592707</v>
      </c>
      <c r="R189" s="925" t="e">
        <f t="shared" si="40"/>
        <v>#DIV/0!</v>
      </c>
      <c r="S189" s="925" t="e">
        <f t="shared" si="40"/>
        <v>#DIV/0!</v>
      </c>
      <c r="T189" s="925"/>
      <c r="U189" s="925">
        <f t="shared" si="40"/>
        <v>0.70949395273002058</v>
      </c>
      <c r="V189" s="925" t="e">
        <f t="shared" si="40"/>
        <v>#DIV/0!</v>
      </c>
      <c r="W189" s="925" t="e">
        <f t="shared" si="40"/>
        <v>#DIV/0!</v>
      </c>
      <c r="X189" s="925"/>
      <c r="Y189" s="925"/>
      <c r="Z189" s="925" t="e">
        <f t="shared" ref="Z189:AA197" si="41">Z47/Z115</f>
        <v>#DIV/0!</v>
      </c>
      <c r="AA189" s="925" t="e">
        <f t="shared" si="41"/>
        <v>#DIV/0!</v>
      </c>
      <c r="AB189" s="925"/>
      <c r="AC189" s="925"/>
      <c r="AD189" s="879"/>
      <c r="AE189" s="879"/>
      <c r="AF189" s="889"/>
      <c r="AG189" s="889"/>
      <c r="AH189" s="889"/>
      <c r="AI189" s="889"/>
    </row>
    <row r="190" spans="1:35" ht="13.5" hidden="1" thickBot="1" x14ac:dyDescent="0.25">
      <c r="A190" s="919"/>
      <c r="B190" s="923"/>
      <c r="C190" s="924"/>
      <c r="D190" s="925" t="e">
        <f t="shared" si="35"/>
        <v>#DIV/0!</v>
      </c>
      <c r="E190" s="925" t="e">
        <f t="shared" si="38"/>
        <v>#DIV/0!</v>
      </c>
      <c r="F190" s="925" t="e">
        <f t="shared" si="38"/>
        <v>#DIV/0!</v>
      </c>
      <c r="G190" s="925" t="e">
        <f t="shared" si="38"/>
        <v>#DIV/0!</v>
      </c>
      <c r="H190" s="925"/>
      <c r="I190" s="925" t="e">
        <f t="shared" si="39"/>
        <v>#DIV/0!</v>
      </c>
      <c r="J190" s="925" t="e">
        <f>J116/J48</f>
        <v>#DIV/0!</v>
      </c>
      <c r="K190" s="925" t="e">
        <f>K116/K48</f>
        <v>#DIV/0!</v>
      </c>
      <c r="L190" s="925"/>
      <c r="M190" s="925" t="e">
        <f>M116/M48</f>
        <v>#DIV/0!</v>
      </c>
      <c r="N190" s="925" t="e">
        <f>N116/N48</f>
        <v>#DIV/0!</v>
      </c>
      <c r="O190" s="925" t="e">
        <f>O116/O48</f>
        <v>#DIV/0!</v>
      </c>
      <c r="P190" s="925"/>
      <c r="Q190" s="925" t="e">
        <f>Q116/Q48</f>
        <v>#DIV/0!</v>
      </c>
      <c r="R190" s="925" t="e">
        <f>R116/R48</f>
        <v>#DIV/0!</v>
      </c>
      <c r="S190" s="925" t="e">
        <f>S116/S48</f>
        <v>#DIV/0!</v>
      </c>
      <c r="T190" s="925"/>
      <c r="U190" s="925" t="e">
        <f>U116/U48</f>
        <v>#DIV/0!</v>
      </c>
      <c r="V190" s="925" t="e">
        <f>V116/V48</f>
        <v>#DIV/0!</v>
      </c>
      <c r="W190" s="925" t="e">
        <f>W116/W48</f>
        <v>#DIV/0!</v>
      </c>
      <c r="X190" s="925"/>
      <c r="Y190" s="925"/>
      <c r="Z190" s="925" t="e">
        <f t="shared" si="41"/>
        <v>#DIV/0!</v>
      </c>
      <c r="AA190" s="925" t="e">
        <f t="shared" si="41"/>
        <v>#DIV/0!</v>
      </c>
      <c r="AB190" s="925"/>
      <c r="AC190" s="925"/>
      <c r="AD190" s="879"/>
      <c r="AE190" s="879"/>
      <c r="AF190" s="889"/>
      <c r="AG190" s="889"/>
      <c r="AH190" s="889"/>
      <c r="AI190" s="889"/>
    </row>
    <row r="191" spans="1:35" ht="13.5" thickBot="1" x14ac:dyDescent="0.25">
      <c r="A191" s="919"/>
      <c r="B191" s="923" t="s">
        <v>27734</v>
      </c>
      <c r="C191" s="924" t="s">
        <v>27740</v>
      </c>
      <c r="D191" s="925" t="e">
        <f t="shared" si="35"/>
        <v>#DIV/0!</v>
      </c>
      <c r="E191" s="925" t="e">
        <f t="shared" si="38"/>
        <v>#DIV/0!</v>
      </c>
      <c r="F191" s="925" t="e">
        <f t="shared" si="38"/>
        <v>#DIV/0!</v>
      </c>
      <c r="G191" s="925" t="e">
        <f t="shared" si="38"/>
        <v>#DIV/0!</v>
      </c>
      <c r="H191" s="925"/>
      <c r="I191" s="925">
        <f t="shared" si="39"/>
        <v>0.71370517835010072</v>
      </c>
      <c r="J191" s="925" t="e">
        <f t="shared" si="40"/>
        <v>#DIV/0!</v>
      </c>
      <c r="K191" s="925" t="e">
        <f t="shared" si="40"/>
        <v>#DIV/0!</v>
      </c>
      <c r="L191" s="925"/>
      <c r="M191" s="925">
        <f t="shared" si="40"/>
        <v>0.70535123636228969</v>
      </c>
      <c r="N191" s="925" t="e">
        <f t="shared" si="40"/>
        <v>#DIV/0!</v>
      </c>
      <c r="O191" s="925" t="e">
        <f t="shared" si="40"/>
        <v>#DIV/0!</v>
      </c>
      <c r="P191" s="925"/>
      <c r="Q191" s="925">
        <f t="shared" si="40"/>
        <v>0.72243751860706296</v>
      </c>
      <c r="R191" s="925" t="e">
        <f t="shared" si="40"/>
        <v>#DIV/0!</v>
      </c>
      <c r="S191" s="925" t="e">
        <f t="shared" si="40"/>
        <v>#DIV/0!</v>
      </c>
      <c r="T191" s="925"/>
      <c r="U191" s="925">
        <f t="shared" si="40"/>
        <v>0.56151225297748142</v>
      </c>
      <c r="V191" s="925" t="e">
        <f t="shared" si="40"/>
        <v>#DIV/0!</v>
      </c>
      <c r="W191" s="925" t="e">
        <f t="shared" si="40"/>
        <v>#DIV/0!</v>
      </c>
      <c r="X191" s="925"/>
      <c r="Y191" s="925"/>
      <c r="Z191" s="925" t="e">
        <f t="shared" si="41"/>
        <v>#DIV/0!</v>
      </c>
      <c r="AA191" s="925" t="e">
        <f t="shared" si="41"/>
        <v>#DIV/0!</v>
      </c>
      <c r="AB191" s="925"/>
      <c r="AC191" s="925"/>
      <c r="AD191" s="879"/>
      <c r="AE191" s="879"/>
      <c r="AF191" s="889"/>
      <c r="AG191" s="889"/>
      <c r="AH191" s="889"/>
      <c r="AI191" s="889"/>
    </row>
    <row r="192" spans="1:35" ht="13.5" hidden="1" thickBot="1" x14ac:dyDescent="0.25">
      <c r="A192" s="919"/>
      <c r="B192" s="923"/>
      <c r="C192" s="924"/>
      <c r="D192" s="925" t="e">
        <f t="shared" si="35"/>
        <v>#DIV/0!</v>
      </c>
      <c r="E192" s="925" t="e">
        <f t="shared" si="38"/>
        <v>#DIV/0!</v>
      </c>
      <c r="F192" s="925" t="e">
        <f t="shared" si="38"/>
        <v>#DIV/0!</v>
      </c>
      <c r="G192" s="925" t="e">
        <f t="shared" si="38"/>
        <v>#DIV/0!</v>
      </c>
      <c r="H192" s="925"/>
      <c r="I192" s="925" t="e">
        <f t="shared" si="39"/>
        <v>#DIV/0!</v>
      </c>
      <c r="J192" s="925" t="e">
        <f t="shared" si="40"/>
        <v>#DIV/0!</v>
      </c>
      <c r="K192" s="925" t="e">
        <f t="shared" si="40"/>
        <v>#DIV/0!</v>
      </c>
      <c r="L192" s="925"/>
      <c r="M192" s="925" t="e">
        <f t="shared" si="40"/>
        <v>#DIV/0!</v>
      </c>
      <c r="N192" s="925" t="e">
        <f t="shared" si="40"/>
        <v>#DIV/0!</v>
      </c>
      <c r="O192" s="925" t="e">
        <f t="shared" si="40"/>
        <v>#DIV/0!</v>
      </c>
      <c r="P192" s="925"/>
      <c r="Q192" s="925" t="e">
        <f t="shared" si="40"/>
        <v>#DIV/0!</v>
      </c>
      <c r="R192" s="925" t="e">
        <f t="shared" si="40"/>
        <v>#DIV/0!</v>
      </c>
      <c r="S192" s="925" t="e">
        <f t="shared" si="40"/>
        <v>#DIV/0!</v>
      </c>
      <c r="T192" s="925"/>
      <c r="U192" s="925" t="e">
        <f t="shared" si="40"/>
        <v>#DIV/0!</v>
      </c>
      <c r="V192" s="925" t="e">
        <f t="shared" si="40"/>
        <v>#DIV/0!</v>
      </c>
      <c r="W192" s="925" t="e">
        <f t="shared" si="40"/>
        <v>#DIV/0!</v>
      </c>
      <c r="X192" s="925"/>
      <c r="Y192" s="925"/>
      <c r="Z192" s="925" t="e">
        <f t="shared" si="41"/>
        <v>#DIV/0!</v>
      </c>
      <c r="AA192" s="925" t="e">
        <f t="shared" si="41"/>
        <v>#DIV/0!</v>
      </c>
      <c r="AB192" s="925"/>
      <c r="AC192" s="925"/>
      <c r="AD192" s="879"/>
      <c r="AE192" s="879"/>
      <c r="AF192" s="889"/>
      <c r="AG192" s="889"/>
      <c r="AH192" s="889"/>
      <c r="AI192" s="889"/>
    </row>
    <row r="193" spans="1:35" ht="13.5" thickBot="1" x14ac:dyDescent="0.25">
      <c r="A193" s="919"/>
      <c r="B193" s="923" t="s">
        <v>27735</v>
      </c>
      <c r="C193" s="924" t="s">
        <v>27740</v>
      </c>
      <c r="D193" s="925" t="e">
        <f t="shared" si="35"/>
        <v>#DIV/0!</v>
      </c>
      <c r="E193" s="925" t="e">
        <f t="shared" si="38"/>
        <v>#DIV/0!</v>
      </c>
      <c r="F193" s="925" t="e">
        <f t="shared" si="38"/>
        <v>#DIV/0!</v>
      </c>
      <c r="G193" s="925" t="e">
        <f t="shared" si="38"/>
        <v>#DIV/0!</v>
      </c>
      <c r="H193" s="925"/>
      <c r="I193" s="925">
        <f t="shared" si="39"/>
        <v>0.69378955778595586</v>
      </c>
      <c r="J193" s="925" t="e">
        <f t="shared" si="40"/>
        <v>#DIV/0!</v>
      </c>
      <c r="K193" s="925" t="e">
        <f t="shared" si="40"/>
        <v>#DIV/0!</v>
      </c>
      <c r="L193" s="925"/>
      <c r="M193" s="925">
        <f t="shared" si="40"/>
        <v>0.63448951159817824</v>
      </c>
      <c r="N193" s="925" t="e">
        <f t="shared" si="40"/>
        <v>#DIV/0!</v>
      </c>
      <c r="O193" s="925" t="e">
        <f t="shared" si="40"/>
        <v>#DIV/0!</v>
      </c>
      <c r="P193" s="925"/>
      <c r="Q193" s="925">
        <f t="shared" si="40"/>
        <v>0.59700118414475245</v>
      </c>
      <c r="R193" s="925" t="e">
        <f t="shared" si="40"/>
        <v>#DIV/0!</v>
      </c>
      <c r="S193" s="925" t="e">
        <f t="shared" si="40"/>
        <v>#DIV/0!</v>
      </c>
      <c r="T193" s="925"/>
      <c r="U193" s="925">
        <f t="shared" si="40"/>
        <v>0.53747156598426671</v>
      </c>
      <c r="V193" s="925" t="e">
        <f t="shared" si="40"/>
        <v>#DIV/0!</v>
      </c>
      <c r="W193" s="925" t="e">
        <f t="shared" si="40"/>
        <v>#DIV/0!</v>
      </c>
      <c r="X193" s="925"/>
      <c r="Y193" s="925"/>
      <c r="Z193" s="925" t="e">
        <f t="shared" si="41"/>
        <v>#DIV/0!</v>
      </c>
      <c r="AA193" s="925" t="e">
        <f t="shared" si="41"/>
        <v>#DIV/0!</v>
      </c>
      <c r="AB193" s="925"/>
      <c r="AC193" s="925"/>
      <c r="AD193" s="879"/>
      <c r="AE193" s="879"/>
      <c r="AF193" s="889"/>
      <c r="AG193" s="889"/>
      <c r="AH193" s="889"/>
      <c r="AI193" s="889"/>
    </row>
    <row r="194" spans="1:35" ht="13.5" hidden="1" thickBot="1" x14ac:dyDescent="0.25">
      <c r="A194" s="919"/>
      <c r="B194" s="923"/>
      <c r="C194" s="924"/>
      <c r="D194" s="925" t="e">
        <f t="shared" si="35"/>
        <v>#DIV/0!</v>
      </c>
      <c r="E194" s="925" t="e">
        <f t="shared" si="38"/>
        <v>#DIV/0!</v>
      </c>
      <c r="F194" s="925" t="e">
        <f t="shared" si="38"/>
        <v>#DIV/0!</v>
      </c>
      <c r="G194" s="925" t="e">
        <f t="shared" si="38"/>
        <v>#DIV/0!</v>
      </c>
      <c r="H194" s="925"/>
      <c r="I194" s="925" t="e">
        <f t="shared" si="39"/>
        <v>#DIV/0!</v>
      </c>
      <c r="J194" s="925" t="e">
        <f t="shared" si="40"/>
        <v>#DIV/0!</v>
      </c>
      <c r="K194" s="925" t="e">
        <f t="shared" si="40"/>
        <v>#DIV/0!</v>
      </c>
      <c r="L194" s="925"/>
      <c r="M194" s="925" t="e">
        <f t="shared" si="40"/>
        <v>#DIV/0!</v>
      </c>
      <c r="N194" s="925" t="e">
        <f t="shared" si="40"/>
        <v>#DIV/0!</v>
      </c>
      <c r="O194" s="925" t="e">
        <f t="shared" si="40"/>
        <v>#DIV/0!</v>
      </c>
      <c r="P194" s="925"/>
      <c r="Q194" s="925" t="e">
        <f t="shared" si="40"/>
        <v>#DIV/0!</v>
      </c>
      <c r="R194" s="925" t="e">
        <f t="shared" si="40"/>
        <v>#DIV/0!</v>
      </c>
      <c r="S194" s="925" t="e">
        <f t="shared" si="40"/>
        <v>#DIV/0!</v>
      </c>
      <c r="T194" s="925"/>
      <c r="U194" s="925" t="e">
        <f t="shared" si="40"/>
        <v>#DIV/0!</v>
      </c>
      <c r="V194" s="925" t="e">
        <f t="shared" si="40"/>
        <v>#DIV/0!</v>
      </c>
      <c r="W194" s="925" t="e">
        <f t="shared" si="40"/>
        <v>#DIV/0!</v>
      </c>
      <c r="X194" s="925"/>
      <c r="Y194" s="925"/>
      <c r="Z194" s="925" t="e">
        <f t="shared" si="41"/>
        <v>#DIV/0!</v>
      </c>
      <c r="AA194" s="925" t="e">
        <f t="shared" si="41"/>
        <v>#DIV/0!</v>
      </c>
      <c r="AB194" s="925"/>
      <c r="AC194" s="925"/>
      <c r="AD194" s="879"/>
      <c r="AE194" s="879"/>
      <c r="AF194" s="889"/>
      <c r="AG194" s="889"/>
      <c r="AH194" s="889"/>
      <c r="AI194" s="889"/>
    </row>
    <row r="195" spans="1:35" ht="13.5" thickBot="1" x14ac:dyDescent="0.25">
      <c r="A195" s="919"/>
      <c r="B195" s="923" t="s">
        <v>27736</v>
      </c>
      <c r="C195" s="924" t="s">
        <v>27740</v>
      </c>
      <c r="D195" s="925" t="e">
        <f t="shared" si="35"/>
        <v>#DIV/0!</v>
      </c>
      <c r="E195" s="925" t="e">
        <f t="shared" si="38"/>
        <v>#DIV/0!</v>
      </c>
      <c r="F195" s="925" t="e">
        <f t="shared" si="38"/>
        <v>#DIV/0!</v>
      </c>
      <c r="G195" s="925" t="e">
        <f t="shared" si="38"/>
        <v>#DIV/0!</v>
      </c>
      <c r="H195" s="925"/>
      <c r="I195" s="925">
        <f t="shared" si="39"/>
        <v>0.64133236626031331</v>
      </c>
      <c r="J195" s="925" t="e">
        <f t="shared" si="40"/>
        <v>#DIV/0!</v>
      </c>
      <c r="K195" s="925" t="e">
        <f t="shared" si="40"/>
        <v>#DIV/0!</v>
      </c>
      <c r="L195" s="925"/>
      <c r="M195" s="925">
        <f t="shared" si="40"/>
        <v>0.59476907382683564</v>
      </c>
      <c r="N195" s="925" t="e">
        <f t="shared" si="40"/>
        <v>#DIV/0!</v>
      </c>
      <c r="O195" s="925" t="e">
        <f t="shared" si="40"/>
        <v>#DIV/0!</v>
      </c>
      <c r="P195" s="925"/>
      <c r="Q195" s="925">
        <f t="shared" si="40"/>
        <v>0.56757757880089477</v>
      </c>
      <c r="R195" s="925" t="e">
        <f t="shared" si="40"/>
        <v>#DIV/0!</v>
      </c>
      <c r="S195" s="925" t="e">
        <f t="shared" si="40"/>
        <v>#DIV/0!</v>
      </c>
      <c r="T195" s="925"/>
      <c r="U195" s="925"/>
      <c r="V195" s="925" t="e">
        <f t="shared" si="40"/>
        <v>#DIV/0!</v>
      </c>
      <c r="W195" s="925" t="e">
        <f t="shared" si="40"/>
        <v>#DIV/0!</v>
      </c>
      <c r="X195" s="925"/>
      <c r="Y195" s="925"/>
      <c r="Z195" s="925" t="e">
        <f t="shared" si="41"/>
        <v>#DIV/0!</v>
      </c>
      <c r="AA195" s="925" t="e">
        <f t="shared" si="41"/>
        <v>#DIV/0!</v>
      </c>
      <c r="AB195" s="925"/>
      <c r="AC195" s="925"/>
      <c r="AD195" s="879"/>
      <c r="AE195" s="879"/>
      <c r="AF195" s="889"/>
      <c r="AG195" s="889"/>
      <c r="AH195" s="889"/>
      <c r="AI195" s="889"/>
    </row>
    <row r="196" spans="1:35" ht="13.5" hidden="1" thickBot="1" x14ac:dyDescent="0.25">
      <c r="A196" s="919"/>
      <c r="B196" s="923"/>
      <c r="C196" s="924"/>
      <c r="D196" s="925" t="e">
        <f t="shared" si="35"/>
        <v>#DIV/0!</v>
      </c>
      <c r="E196" s="925" t="e">
        <f t="shared" si="38"/>
        <v>#DIV/0!</v>
      </c>
      <c r="F196" s="925" t="e">
        <f t="shared" si="38"/>
        <v>#DIV/0!</v>
      </c>
      <c r="G196" s="925" t="e">
        <f t="shared" si="38"/>
        <v>#DIV/0!</v>
      </c>
      <c r="H196" s="925"/>
      <c r="I196" s="925" t="e">
        <f t="shared" si="39"/>
        <v>#DIV/0!</v>
      </c>
      <c r="J196" s="925" t="e">
        <f t="shared" si="40"/>
        <v>#DIV/0!</v>
      </c>
      <c r="K196" s="925" t="e">
        <f t="shared" si="40"/>
        <v>#DIV/0!</v>
      </c>
      <c r="L196" s="925"/>
      <c r="M196" s="925" t="e">
        <f t="shared" si="40"/>
        <v>#DIV/0!</v>
      </c>
      <c r="N196" s="925" t="e">
        <f t="shared" si="40"/>
        <v>#DIV/0!</v>
      </c>
      <c r="O196" s="925" t="e">
        <f t="shared" si="40"/>
        <v>#DIV/0!</v>
      </c>
      <c r="P196" s="925"/>
      <c r="Q196" s="925" t="e">
        <f t="shared" si="40"/>
        <v>#DIV/0!</v>
      </c>
      <c r="R196" s="925" t="e">
        <f t="shared" si="40"/>
        <v>#DIV/0!</v>
      </c>
      <c r="S196" s="925" t="e">
        <f t="shared" si="40"/>
        <v>#DIV/0!</v>
      </c>
      <c r="T196" s="925"/>
      <c r="U196" s="925"/>
      <c r="V196" s="925" t="e">
        <f t="shared" si="40"/>
        <v>#DIV/0!</v>
      </c>
      <c r="W196" s="925" t="e">
        <f t="shared" si="40"/>
        <v>#DIV/0!</v>
      </c>
      <c r="X196" s="925"/>
      <c r="Y196" s="925"/>
      <c r="Z196" s="925" t="e">
        <f t="shared" si="41"/>
        <v>#DIV/0!</v>
      </c>
      <c r="AA196" s="925" t="e">
        <f t="shared" si="41"/>
        <v>#DIV/0!</v>
      </c>
      <c r="AB196" s="925"/>
      <c r="AC196" s="925"/>
      <c r="AD196" s="879"/>
      <c r="AE196" s="879"/>
      <c r="AF196" s="889"/>
      <c r="AG196" s="889"/>
      <c r="AH196" s="889"/>
      <c r="AI196" s="889"/>
    </row>
    <row r="197" spans="1:35" ht="13.5" thickBot="1" x14ac:dyDescent="0.25">
      <c r="A197" s="919"/>
      <c r="B197" s="926" t="s">
        <v>27737</v>
      </c>
      <c r="C197" s="924" t="s">
        <v>27740</v>
      </c>
      <c r="D197" s="925" t="e">
        <f t="shared" si="35"/>
        <v>#DIV/0!</v>
      </c>
      <c r="E197" s="925" t="e">
        <f t="shared" si="38"/>
        <v>#DIV/0!</v>
      </c>
      <c r="F197" s="925" t="e">
        <f t="shared" si="38"/>
        <v>#DIV/0!</v>
      </c>
      <c r="G197" s="925" t="e">
        <f t="shared" si="38"/>
        <v>#DIV/0!</v>
      </c>
      <c r="H197" s="925"/>
      <c r="I197" s="925"/>
      <c r="J197" s="925" t="e">
        <f t="shared" si="40"/>
        <v>#DIV/0!</v>
      </c>
      <c r="K197" s="925" t="e">
        <f t="shared" si="40"/>
        <v>#DIV/0!</v>
      </c>
      <c r="L197" s="925"/>
      <c r="M197" s="925"/>
      <c r="N197" s="925" t="e">
        <f t="shared" si="40"/>
        <v>#DIV/0!</v>
      </c>
      <c r="O197" s="925" t="e">
        <f t="shared" si="40"/>
        <v>#DIV/0!</v>
      </c>
      <c r="P197" s="925"/>
      <c r="Q197" s="925"/>
      <c r="R197" s="925" t="e">
        <f t="shared" si="40"/>
        <v>#DIV/0!</v>
      </c>
      <c r="S197" s="925" t="e">
        <f t="shared" si="40"/>
        <v>#DIV/0!</v>
      </c>
      <c r="T197" s="925"/>
      <c r="U197" s="925"/>
      <c r="V197" s="925" t="e">
        <f t="shared" si="40"/>
        <v>#DIV/0!</v>
      </c>
      <c r="W197" s="925" t="e">
        <f t="shared" si="40"/>
        <v>#DIV/0!</v>
      </c>
      <c r="X197" s="925"/>
      <c r="Y197" s="925"/>
      <c r="Z197" s="925" t="e">
        <f t="shared" si="41"/>
        <v>#DIV/0!</v>
      </c>
      <c r="AA197" s="925" t="e">
        <f t="shared" si="41"/>
        <v>#DIV/0!</v>
      </c>
      <c r="AB197" s="925"/>
      <c r="AC197" s="925"/>
      <c r="AD197" s="879"/>
      <c r="AE197" s="879"/>
      <c r="AF197" s="889"/>
      <c r="AG197" s="889"/>
      <c r="AH197" s="889"/>
      <c r="AI197" s="889"/>
    </row>
    <row r="198" spans="1:35" ht="13.5" hidden="1" thickBot="1" x14ac:dyDescent="0.25">
      <c r="A198" s="919"/>
      <c r="B198" s="923"/>
      <c r="C198" s="924"/>
      <c r="D198" s="927"/>
      <c r="E198" s="927"/>
      <c r="F198" s="927"/>
      <c r="G198" s="927"/>
      <c r="H198" s="927"/>
      <c r="I198" s="927"/>
      <c r="J198" s="927"/>
      <c r="K198" s="927"/>
      <c r="L198" s="927"/>
      <c r="M198" s="927"/>
      <c r="N198" s="927"/>
      <c r="O198" s="927"/>
      <c r="P198" s="927"/>
      <c r="Q198" s="927"/>
      <c r="R198" s="927"/>
      <c r="S198" s="927"/>
      <c r="T198" s="927"/>
      <c r="U198" s="927"/>
      <c r="V198" s="927"/>
      <c r="W198" s="927"/>
      <c r="X198" s="927"/>
      <c r="Y198" s="927"/>
      <c r="Z198" s="927"/>
      <c r="AA198" s="927"/>
      <c r="AB198" s="927"/>
      <c r="AC198" s="927"/>
      <c r="AD198" s="879"/>
      <c r="AE198" s="879"/>
      <c r="AF198" s="889"/>
      <c r="AG198" s="889"/>
      <c r="AH198" s="889"/>
      <c r="AI198" s="889"/>
    </row>
    <row r="199" spans="1:35" ht="13.5" thickBot="1" x14ac:dyDescent="0.25">
      <c r="A199" s="919"/>
      <c r="B199" s="926" t="s">
        <v>27741</v>
      </c>
      <c r="C199" s="924" t="s">
        <v>27740</v>
      </c>
      <c r="D199" s="927"/>
      <c r="E199" s="927"/>
      <c r="F199" s="927"/>
      <c r="G199" s="927"/>
      <c r="H199" s="927"/>
      <c r="I199" s="927"/>
      <c r="J199" s="927"/>
      <c r="K199" s="927"/>
      <c r="L199" s="927"/>
      <c r="M199" s="927"/>
      <c r="N199" s="927"/>
      <c r="O199" s="927"/>
      <c r="P199" s="927"/>
      <c r="Q199" s="927"/>
      <c r="R199" s="927"/>
      <c r="S199" s="927"/>
      <c r="T199" s="927"/>
      <c r="U199" s="927"/>
      <c r="V199" s="927"/>
      <c r="W199" s="927"/>
      <c r="X199" s="927"/>
      <c r="Y199" s="927"/>
      <c r="Z199" s="927"/>
      <c r="AA199" s="927"/>
      <c r="AB199" s="927"/>
      <c r="AC199" s="927"/>
      <c r="AD199" s="879"/>
      <c r="AE199" s="879"/>
      <c r="AF199" s="889"/>
      <c r="AG199" s="889"/>
      <c r="AH199" s="889"/>
      <c r="AI199" s="889"/>
    </row>
    <row r="200" spans="1:35" ht="109.5" customHeight="1" x14ac:dyDescent="0.2">
      <c r="A200" s="919"/>
      <c r="B200" s="938"/>
      <c r="C200" s="919"/>
      <c r="D200" s="939"/>
      <c r="E200" s="939"/>
      <c r="F200" s="939"/>
      <c r="G200" s="939"/>
      <c r="H200" s="939"/>
      <c r="I200" s="939"/>
      <c r="J200" s="939"/>
      <c r="K200" s="939"/>
      <c r="L200" s="939"/>
      <c r="M200" s="939"/>
      <c r="N200" s="939"/>
      <c r="O200" s="939"/>
      <c r="P200" s="939"/>
      <c r="Q200" s="939"/>
      <c r="R200" s="939"/>
      <c r="S200" s="939"/>
      <c r="T200" s="939"/>
      <c r="U200" s="939"/>
      <c r="V200" s="939"/>
      <c r="W200" s="939"/>
      <c r="X200" s="939"/>
      <c r="Y200" s="939"/>
      <c r="Z200" s="939"/>
      <c r="AA200" s="939"/>
      <c r="AB200" s="939"/>
      <c r="AC200" s="939"/>
      <c r="AD200" s="879"/>
      <c r="AE200" s="879"/>
      <c r="AF200" s="889"/>
      <c r="AG200" s="889"/>
      <c r="AH200" s="889"/>
      <c r="AI200" s="889"/>
    </row>
    <row r="201" spans="1:35" ht="13.5" thickBot="1" x14ac:dyDescent="0.25">
      <c r="C201" s="782" t="s">
        <v>27739</v>
      </c>
      <c r="D201" s="782" t="s">
        <v>27725</v>
      </c>
    </row>
    <row r="202" spans="1:35" ht="16.5" thickBot="1" x14ac:dyDescent="0.3">
      <c r="B202" s="782" t="s">
        <v>27754</v>
      </c>
      <c r="C202" s="928">
        <v>1.1000000000000001</v>
      </c>
      <c r="D202" s="928">
        <f>1/1</f>
        <v>1</v>
      </c>
      <c r="E202" s="2901" t="s">
        <v>27755</v>
      </c>
      <c r="F202" s="2902"/>
      <c r="G202" s="2902"/>
      <c r="H202" s="2902"/>
      <c r="I202" s="2902"/>
      <c r="J202" s="2902"/>
      <c r="K202" s="2902"/>
      <c r="L202" s="2902"/>
      <c r="M202" s="2902"/>
      <c r="N202" s="2902"/>
      <c r="O202" s="2902"/>
      <c r="P202" s="2902"/>
      <c r="Q202" s="2902"/>
      <c r="R202" s="2902"/>
      <c r="S202" s="2902"/>
      <c r="T202" s="2902"/>
      <c r="U202" s="2902"/>
      <c r="V202" s="2902"/>
      <c r="W202" s="2902"/>
      <c r="X202" s="2902"/>
      <c r="Y202" s="2902"/>
      <c r="Z202" s="2902"/>
      <c r="AA202" s="2902"/>
    </row>
    <row r="203" spans="1:35" ht="17.45" customHeight="1" thickBot="1" x14ac:dyDescent="0.35">
      <c r="A203" s="860"/>
      <c r="B203" s="861" t="s">
        <v>27728</v>
      </c>
      <c r="C203" s="2894" t="s">
        <v>27729</v>
      </c>
      <c r="D203" s="2896" t="s">
        <v>27730</v>
      </c>
      <c r="E203" s="2896"/>
      <c r="F203" s="2896"/>
      <c r="G203" s="2896"/>
      <c r="H203" s="2896"/>
      <c r="I203" s="2896"/>
      <c r="J203" s="2896"/>
      <c r="K203" s="2896"/>
      <c r="L203" s="2896"/>
      <c r="M203" s="2896"/>
      <c r="N203" s="2896"/>
      <c r="O203" s="2896"/>
      <c r="P203" s="2896"/>
      <c r="Q203" s="2896"/>
      <c r="R203" s="2896"/>
      <c r="S203" s="2896"/>
      <c r="T203" s="2896"/>
      <c r="U203" s="2896"/>
      <c r="V203" s="2896"/>
      <c r="W203" s="2896"/>
      <c r="X203" s="2896"/>
      <c r="Y203" s="2896"/>
      <c r="Z203" s="2896"/>
      <c r="AA203" s="2896"/>
      <c r="AB203" s="2896"/>
      <c r="AC203" s="2896"/>
      <c r="AD203" s="862"/>
      <c r="AE203" s="862"/>
      <c r="AF203" s="862"/>
      <c r="AG203" s="862"/>
      <c r="AH203" s="862"/>
      <c r="AI203" s="862"/>
    </row>
    <row r="204" spans="1:35" ht="21.2" customHeight="1" thickBot="1" x14ac:dyDescent="0.25">
      <c r="A204" s="863"/>
      <c r="B204" s="864" t="s">
        <v>27731</v>
      </c>
      <c r="C204" s="2895"/>
      <c r="D204" s="2897" t="s">
        <v>27732</v>
      </c>
      <c r="E204" s="2897"/>
      <c r="F204" s="887"/>
      <c r="G204" s="887"/>
      <c r="H204" s="2898" t="s">
        <v>27733</v>
      </c>
      <c r="I204" s="2898"/>
      <c r="J204" s="888"/>
      <c r="K204" s="888"/>
      <c r="L204" s="2897" t="s">
        <v>27734</v>
      </c>
      <c r="M204" s="2897"/>
      <c r="N204" s="887"/>
      <c r="O204" s="887"/>
      <c r="P204" s="2898" t="s">
        <v>27735</v>
      </c>
      <c r="Q204" s="2898"/>
      <c r="R204" s="888"/>
      <c r="S204" s="888"/>
      <c r="T204" s="2897" t="s">
        <v>27736</v>
      </c>
      <c r="U204" s="2897"/>
      <c r="V204" s="887"/>
      <c r="W204" s="887"/>
      <c r="X204" s="2898" t="s">
        <v>27737</v>
      </c>
      <c r="Y204" s="2898"/>
      <c r="Z204" s="888"/>
      <c r="AA204" s="888"/>
      <c r="AB204" s="2897" t="s">
        <v>27738</v>
      </c>
      <c r="AC204" s="2897"/>
      <c r="AD204" s="867"/>
      <c r="AE204" s="867"/>
      <c r="AF204" s="868"/>
      <c r="AG204" s="868"/>
      <c r="AH204" s="868"/>
      <c r="AI204" s="868"/>
    </row>
    <row r="205" spans="1:35" ht="13.5" thickBot="1" x14ac:dyDescent="0.25">
      <c r="A205" s="863"/>
      <c r="B205" s="869"/>
      <c r="C205" s="869"/>
      <c r="D205" s="869" t="s">
        <v>27739</v>
      </c>
      <c r="E205" s="869" t="s">
        <v>27725</v>
      </c>
      <c r="F205" s="869"/>
      <c r="G205" s="869"/>
      <c r="H205" s="869" t="s">
        <v>27739</v>
      </c>
      <c r="I205" s="869" t="s">
        <v>27725</v>
      </c>
      <c r="J205" s="869"/>
      <c r="K205" s="869"/>
      <c r="L205" s="869" t="s">
        <v>27739</v>
      </c>
      <c r="M205" s="869" t="s">
        <v>27725</v>
      </c>
      <c r="N205" s="869"/>
      <c r="O205" s="869"/>
      <c r="P205" s="869" t="s">
        <v>27739</v>
      </c>
      <c r="Q205" s="869" t="s">
        <v>27725</v>
      </c>
      <c r="R205" s="869"/>
      <c r="S205" s="869"/>
      <c r="T205" s="869" t="s">
        <v>27739</v>
      </c>
      <c r="U205" s="869" t="s">
        <v>27725</v>
      </c>
      <c r="V205" s="869"/>
      <c r="W205" s="869"/>
      <c r="X205" s="869" t="s">
        <v>27739</v>
      </c>
      <c r="Y205" s="869" t="s">
        <v>27725</v>
      </c>
      <c r="Z205" s="869"/>
      <c r="AA205" s="869"/>
      <c r="AB205" s="869" t="s">
        <v>27739</v>
      </c>
      <c r="AC205" s="869" t="s">
        <v>27725</v>
      </c>
      <c r="AD205" s="870"/>
      <c r="AE205" s="870"/>
      <c r="AF205" s="871"/>
      <c r="AG205" s="871"/>
      <c r="AH205" s="871"/>
      <c r="AI205" s="871"/>
    </row>
    <row r="206" spans="1:35" ht="13.5" thickBot="1" x14ac:dyDescent="0.25">
      <c r="A206" s="863"/>
      <c r="B206" s="872" t="s">
        <v>27732</v>
      </c>
      <c r="C206" s="873" t="s">
        <v>27740</v>
      </c>
      <c r="D206" s="875">
        <f>D7*$C$202</f>
        <v>3516.0312000000008</v>
      </c>
      <c r="E206" s="875">
        <f>E7*$D$202</f>
        <v>1775.7777171022024</v>
      </c>
      <c r="F206" s="875"/>
      <c r="G206" s="875"/>
      <c r="H206" s="875">
        <f>H7*$C$202</f>
        <v>3663.0660000000007</v>
      </c>
      <c r="I206" s="875">
        <f>I7*$D$202</f>
        <v>1850.0322814629635</v>
      </c>
      <c r="J206" s="875"/>
      <c r="K206" s="875"/>
      <c r="L206" s="875">
        <f>L7*$C$202</f>
        <v>4177.866</v>
      </c>
      <c r="M206" s="875">
        <f>M7*$D$202</f>
        <v>2110.038661942232</v>
      </c>
      <c r="N206" s="875"/>
      <c r="O206" s="875"/>
      <c r="P206" s="875">
        <f>P7*$C$202</f>
        <v>4630.5820000000003</v>
      </c>
      <c r="Q206" s="875">
        <f>Q7*$D$202</f>
        <v>2338.6865990487922</v>
      </c>
      <c r="R206" s="875"/>
      <c r="S206" s="875"/>
      <c r="T206" s="875">
        <f>T7*$C$202</f>
        <v>5390.5272959999993</v>
      </c>
      <c r="U206" s="875">
        <f>U7*$D$202</f>
        <v>2722.4901532570893</v>
      </c>
      <c r="V206" s="875"/>
      <c r="W206" s="875"/>
      <c r="X206" s="875">
        <f>X7*$C$202</f>
        <v>5679.487000000001</v>
      </c>
      <c r="Y206" s="875">
        <f>Y7*$D$202</f>
        <v>2868.4377588819038</v>
      </c>
      <c r="Z206" s="875"/>
      <c r="AA206" s="875"/>
      <c r="AB206" s="875">
        <f>AB7*$C$202</f>
        <v>6715.1944127388306</v>
      </c>
      <c r="AC206" s="875">
        <f>AC7*$D$202</f>
        <v>3263.0760332303162</v>
      </c>
      <c r="AD206" s="879"/>
      <c r="AE206" s="879"/>
      <c r="AF206" s="889"/>
      <c r="AG206" s="889"/>
      <c r="AH206" s="889"/>
      <c r="AI206" s="889"/>
    </row>
    <row r="207" spans="1:35" ht="13.5" hidden="1" thickBot="1" x14ac:dyDescent="0.25">
      <c r="A207" s="863"/>
      <c r="B207" s="872"/>
      <c r="C207" s="873"/>
      <c r="D207" s="875"/>
      <c r="E207" s="875"/>
      <c r="F207" s="875"/>
      <c r="G207" s="875"/>
      <c r="H207" s="875"/>
      <c r="I207" s="875"/>
      <c r="J207" s="875"/>
      <c r="K207" s="875"/>
      <c r="L207" s="875"/>
      <c r="M207" s="875"/>
      <c r="N207" s="875"/>
      <c r="O207" s="875"/>
      <c r="P207" s="875"/>
      <c r="Q207" s="875"/>
      <c r="R207" s="875"/>
      <c r="S207" s="875"/>
      <c r="T207" s="875"/>
      <c r="U207" s="875"/>
      <c r="V207" s="875"/>
      <c r="W207" s="875"/>
      <c r="X207" s="875"/>
      <c r="Y207" s="875"/>
      <c r="Z207" s="875"/>
      <c r="AA207" s="875"/>
      <c r="AB207" s="875"/>
      <c r="AC207" s="875"/>
      <c r="AD207" s="879"/>
      <c r="AE207" s="879"/>
      <c r="AF207" s="889"/>
      <c r="AG207" s="889"/>
      <c r="AH207" s="889"/>
      <c r="AI207" s="889"/>
    </row>
    <row r="208" spans="1:35" ht="13.5" thickBot="1" x14ac:dyDescent="0.25">
      <c r="A208" s="863"/>
      <c r="B208" s="872" t="s">
        <v>27733</v>
      </c>
      <c r="C208" s="873" t="s">
        <v>27740</v>
      </c>
      <c r="D208" s="875">
        <f>D9*$C$202</f>
        <v>3652.8712</v>
      </c>
      <c r="E208" s="875">
        <f>E9*$D$202</f>
        <v>1844.8882643302284</v>
      </c>
      <c r="F208" s="875"/>
      <c r="G208" s="875"/>
      <c r="H208" s="875">
        <f>H9*$C$202</f>
        <v>3814.3710000000005</v>
      </c>
      <c r="I208" s="875">
        <f>I9*$D$202</f>
        <v>1926.4525459849879</v>
      </c>
      <c r="J208" s="875"/>
      <c r="K208" s="875"/>
      <c r="L208" s="875">
        <f>L9*$C$202</f>
        <v>4377.4280000000008</v>
      </c>
      <c r="M208" s="875">
        <f>M9*$D$202</f>
        <v>2210.8246507775857</v>
      </c>
      <c r="N208" s="875"/>
      <c r="O208" s="875"/>
      <c r="P208" s="875">
        <f>P9*$C$202</f>
        <v>4878.3789999999999</v>
      </c>
      <c r="Q208" s="875">
        <f>Q9*$D$202</f>
        <v>2463.8383121974734</v>
      </c>
      <c r="R208" s="875"/>
      <c r="S208" s="875"/>
      <c r="T208" s="875">
        <f>T9*$C$202</f>
        <v>5689.584296</v>
      </c>
      <c r="U208" s="875">
        <f>U9*$D$202</f>
        <v>2873.5326641280326</v>
      </c>
      <c r="V208" s="875"/>
      <c r="W208" s="875"/>
      <c r="X208" s="875">
        <f>X9*$C$202</f>
        <v>6033.7309999999998</v>
      </c>
      <c r="Y208" s="875">
        <f>Y9*$D$202</f>
        <v>3047.3474103428966</v>
      </c>
      <c r="Z208" s="875"/>
      <c r="AA208" s="875"/>
      <c r="AB208" s="875">
        <f>AB9*$C$202</f>
        <v>7129.8590000000004</v>
      </c>
      <c r="AC208" s="875">
        <f>AC9*$D$202</f>
        <v>3600.949752662541</v>
      </c>
      <c r="AD208" s="879"/>
      <c r="AE208" s="879"/>
      <c r="AF208" s="889"/>
      <c r="AG208" s="889"/>
      <c r="AH208" s="889"/>
      <c r="AI208" s="889"/>
    </row>
    <row r="209" spans="1:35" ht="13.5" hidden="1" thickBot="1" x14ac:dyDescent="0.25">
      <c r="A209" s="863"/>
      <c r="B209" s="872"/>
      <c r="C209" s="873"/>
      <c r="D209" s="875"/>
      <c r="E209" s="875"/>
      <c r="F209" s="875"/>
      <c r="G209" s="875"/>
      <c r="H209" s="875"/>
      <c r="I209" s="875"/>
      <c r="J209" s="875"/>
      <c r="K209" s="875"/>
      <c r="L209" s="875"/>
      <c r="M209" s="875"/>
      <c r="N209" s="875"/>
      <c r="O209" s="875"/>
      <c r="P209" s="875"/>
      <c r="Q209" s="875"/>
      <c r="R209" s="875"/>
      <c r="S209" s="875"/>
      <c r="T209" s="875"/>
      <c r="U209" s="875"/>
      <c r="V209" s="875"/>
      <c r="W209" s="875"/>
      <c r="X209" s="875"/>
      <c r="Y209" s="875"/>
      <c r="Z209" s="875"/>
      <c r="AA209" s="875"/>
      <c r="AB209" s="875"/>
      <c r="AC209" s="875"/>
      <c r="AD209" s="879"/>
      <c r="AE209" s="879"/>
      <c r="AF209" s="889"/>
      <c r="AG209" s="889"/>
      <c r="AH209" s="889"/>
      <c r="AI209" s="889"/>
    </row>
    <row r="210" spans="1:35" ht="13.5" thickBot="1" x14ac:dyDescent="0.25">
      <c r="A210" s="863"/>
      <c r="B210" s="872" t="s">
        <v>27734</v>
      </c>
      <c r="C210" s="873" t="s">
        <v>27740</v>
      </c>
      <c r="D210" s="875">
        <f>D11*$C$202</f>
        <v>3998.2492000000002</v>
      </c>
      <c r="E210" s="875">
        <f>E11*$D$202</f>
        <v>2019.3140835935264</v>
      </c>
      <c r="F210" s="875"/>
      <c r="G210" s="875"/>
      <c r="H210" s="875">
        <f>H11*$C$202</f>
        <v>4187.5460000000003</v>
      </c>
      <c r="I210" s="875">
        <f>I11*$D$202</f>
        <v>2114.9218823200135</v>
      </c>
      <c r="J210" s="875"/>
      <c r="K210" s="875"/>
      <c r="L210" s="875">
        <f>L11*$C$202</f>
        <v>5308.7759999999998</v>
      </c>
      <c r="M210" s="875">
        <f>M11*$D$202</f>
        <v>2681.2075605332802</v>
      </c>
      <c r="N210" s="875"/>
      <c r="O210" s="875"/>
      <c r="P210" s="875">
        <f>P11*$C$202</f>
        <v>6320.9960000000001</v>
      </c>
      <c r="Q210" s="875">
        <f>Q11*$D$202</f>
        <v>3192.4217634209654</v>
      </c>
      <c r="R210" s="875"/>
      <c r="S210" s="875"/>
      <c r="T210" s="875">
        <f>T11*$C$202</f>
        <v>8046.1802960000005</v>
      </c>
      <c r="U210" s="875">
        <f>U11*$D$202</f>
        <v>4063.7392531489263</v>
      </c>
      <c r="V210" s="875"/>
      <c r="W210" s="875"/>
      <c r="X210" s="875">
        <f>X11*$C$202</f>
        <v>8832.0870000000014</v>
      </c>
      <c r="Y210" s="875">
        <f>Y11*$D$202</f>
        <v>4460.6532983188781</v>
      </c>
      <c r="Z210" s="875"/>
      <c r="AA210" s="875"/>
      <c r="AB210" s="875">
        <f>AB11*$C$202</f>
        <v>10794.806000000002</v>
      </c>
      <c r="AC210" s="875">
        <f>AC11*$D$202</f>
        <v>5451.9325485741492</v>
      </c>
      <c r="AD210" s="879"/>
      <c r="AE210" s="879"/>
      <c r="AF210" s="889"/>
      <c r="AG210" s="889"/>
      <c r="AH210" s="889"/>
      <c r="AI210" s="889"/>
    </row>
    <row r="211" spans="1:35" ht="13.5" hidden="1" thickBot="1" x14ac:dyDescent="0.25">
      <c r="A211" s="863"/>
      <c r="B211" s="872"/>
      <c r="C211" s="873"/>
      <c r="D211" s="875"/>
      <c r="E211" s="875"/>
      <c r="F211" s="875"/>
      <c r="G211" s="875"/>
      <c r="H211" s="875"/>
      <c r="I211" s="875"/>
      <c r="J211" s="875"/>
      <c r="K211" s="875"/>
      <c r="L211" s="875"/>
      <c r="M211" s="875"/>
      <c r="N211" s="875"/>
      <c r="O211" s="875"/>
      <c r="P211" s="875"/>
      <c r="Q211" s="875"/>
      <c r="R211" s="875"/>
      <c r="S211" s="875"/>
      <c r="T211" s="875"/>
      <c r="U211" s="875"/>
      <c r="V211" s="875"/>
      <c r="W211" s="875"/>
      <c r="X211" s="875"/>
      <c r="Y211" s="875"/>
      <c r="Z211" s="875"/>
      <c r="AA211" s="875"/>
      <c r="AB211" s="875"/>
      <c r="AC211" s="875"/>
      <c r="AD211" s="879"/>
      <c r="AE211" s="879"/>
      <c r="AF211" s="889"/>
      <c r="AG211" s="889"/>
      <c r="AH211" s="889"/>
      <c r="AI211" s="889"/>
    </row>
    <row r="212" spans="1:35" ht="13.5" thickBot="1" x14ac:dyDescent="0.25">
      <c r="A212" s="863"/>
      <c r="B212" s="872" t="s">
        <v>27735</v>
      </c>
      <c r="C212" s="873" t="s">
        <v>27740</v>
      </c>
      <c r="D212" s="875">
        <f>D13*$C$202</f>
        <v>4556.4222000000009</v>
      </c>
      <c r="E212" s="875">
        <f>E13*$D$202</f>
        <v>2301.2262563597424</v>
      </c>
      <c r="F212" s="875"/>
      <c r="G212" s="875"/>
      <c r="H212" s="875">
        <f>H13*$C$202</f>
        <v>4793.9650000000001</v>
      </c>
      <c r="I212" s="875">
        <f>I13*$D$202</f>
        <v>2421.1997793995583</v>
      </c>
      <c r="J212" s="875"/>
      <c r="K212" s="875"/>
      <c r="L212" s="875">
        <f>L13*$C$202</f>
        <v>6411.1080000000002</v>
      </c>
      <c r="M212" s="875">
        <f>M13*$D$202</f>
        <v>3237.9352486642319</v>
      </c>
      <c r="N212" s="875"/>
      <c r="O212" s="875"/>
      <c r="P212" s="875">
        <f>P13*$C$202</f>
        <v>7996.1310000000003</v>
      </c>
      <c r="Q212" s="875">
        <f>Q13*$D$202</f>
        <v>4038.4581375066314</v>
      </c>
      <c r="R212" s="875"/>
      <c r="S212" s="875"/>
      <c r="T212" s="875">
        <f>T13*$C$202</f>
        <v>10126.040350051999</v>
      </c>
      <c r="U212" s="875">
        <f>U13*$D$202</f>
        <v>5083.2283082549375</v>
      </c>
      <c r="V212" s="875"/>
      <c r="W212" s="875"/>
      <c r="X212" s="875">
        <f>X13*$C$202</f>
        <v>11193.118739940744</v>
      </c>
      <c r="Y212" s="875">
        <f>Y13*$D$202</f>
        <v>5579.7703551327695</v>
      </c>
      <c r="Z212" s="875"/>
      <c r="AA212" s="875"/>
      <c r="AB212" s="875">
        <f>AB13*$C$202</f>
        <v>14924.158319920993</v>
      </c>
      <c r="AC212" s="875">
        <f>AC13*$D$202</f>
        <v>6421.5011635210394</v>
      </c>
      <c r="AD212" s="879"/>
      <c r="AE212" s="879"/>
      <c r="AF212" s="889"/>
      <c r="AG212" s="889"/>
      <c r="AH212" s="889"/>
      <c r="AI212" s="889"/>
    </row>
    <row r="213" spans="1:35" ht="13.5" hidden="1" thickBot="1" x14ac:dyDescent="0.25">
      <c r="A213" s="863"/>
      <c r="B213" s="872"/>
      <c r="C213" s="873"/>
      <c r="D213" s="875"/>
      <c r="E213" s="875"/>
      <c r="F213" s="875"/>
      <c r="G213" s="875"/>
      <c r="H213" s="875"/>
      <c r="I213" s="875"/>
      <c r="J213" s="875"/>
      <c r="K213" s="875"/>
      <c r="L213" s="875"/>
      <c r="M213" s="875"/>
      <c r="N213" s="875"/>
      <c r="O213" s="875"/>
      <c r="P213" s="875"/>
      <c r="Q213" s="875"/>
      <c r="R213" s="875"/>
      <c r="S213" s="875"/>
      <c r="T213" s="875"/>
      <c r="U213" s="875"/>
      <c r="V213" s="875"/>
      <c r="W213" s="875"/>
      <c r="X213" s="875"/>
      <c r="Y213" s="875"/>
      <c r="Z213" s="875"/>
      <c r="AA213" s="875"/>
      <c r="AB213" s="875"/>
      <c r="AC213" s="875"/>
      <c r="AD213" s="879"/>
      <c r="AE213" s="879"/>
      <c r="AF213" s="889"/>
      <c r="AG213" s="889"/>
      <c r="AH213" s="889"/>
      <c r="AI213" s="889"/>
    </row>
    <row r="214" spans="1:35" ht="13.5" thickBot="1" x14ac:dyDescent="0.25">
      <c r="A214" s="863"/>
      <c r="B214" s="872" t="s">
        <v>27736</v>
      </c>
      <c r="C214" s="873" t="s">
        <v>27740</v>
      </c>
      <c r="D214" s="875">
        <f>D15*$C$202</f>
        <v>5377.0332000000008</v>
      </c>
      <c r="E214" s="875">
        <f>E15*$D$202</f>
        <v>2715.6787741382136</v>
      </c>
      <c r="F214" s="875"/>
      <c r="G214" s="875"/>
      <c r="H214" s="875">
        <f>H15*$C$202</f>
        <v>5712.0690000000004</v>
      </c>
      <c r="I214" s="875">
        <f>I15*$D$202</f>
        <v>2884.8808763241414</v>
      </c>
      <c r="J214" s="875"/>
      <c r="K214" s="875"/>
      <c r="L214" s="875">
        <f>L15*$C$202</f>
        <v>7912.6960000000017</v>
      </c>
      <c r="M214" s="875">
        <f>M15*$D$202</f>
        <v>3996.3133284860332</v>
      </c>
      <c r="N214" s="875"/>
      <c r="O214" s="875"/>
      <c r="P214" s="875">
        <f>P15*$C$202</f>
        <v>10381.503928400001</v>
      </c>
      <c r="Q214" s="875">
        <f>Q15*$D$202</f>
        <v>4819.6854196745753</v>
      </c>
      <c r="R214" s="875"/>
      <c r="S214" s="875"/>
      <c r="T214" s="875">
        <f>T15*$C$202</f>
        <v>12488.555975059999</v>
      </c>
      <c r="U214" s="875">
        <f>U15*$D$202</f>
        <v>6086.3603593764146</v>
      </c>
      <c r="V214" s="875"/>
      <c r="W214" s="875"/>
      <c r="X214" s="875">
        <f>X15*$C$202</f>
        <v>13252.118000000002</v>
      </c>
      <c r="Y214" s="875">
        <f>Y15*$D$202</f>
        <v>6692.999110977943</v>
      </c>
      <c r="Z214" s="875"/>
      <c r="AA214" s="875"/>
      <c r="AB214" s="875">
        <f>AB15*$C$202</f>
        <v>17985.667079872564</v>
      </c>
      <c r="AC214" s="875">
        <f>AC15*$D$202</f>
        <v>8037.5587650704847</v>
      </c>
      <c r="AD214" s="879"/>
      <c r="AE214" s="879"/>
      <c r="AF214" s="889"/>
      <c r="AG214" s="889"/>
      <c r="AH214" s="889"/>
      <c r="AI214" s="889"/>
    </row>
    <row r="215" spans="1:35" ht="13.5" hidden="1" thickBot="1" x14ac:dyDescent="0.25">
      <c r="A215" s="863"/>
      <c r="B215" s="872"/>
      <c r="C215" s="873"/>
      <c r="D215" s="875"/>
      <c r="E215" s="875"/>
      <c r="F215" s="875"/>
      <c r="G215" s="875"/>
      <c r="H215" s="875"/>
      <c r="I215" s="875"/>
      <c r="J215" s="875"/>
      <c r="K215" s="875"/>
      <c r="L215" s="875"/>
      <c r="M215" s="875"/>
      <c r="N215" s="875"/>
      <c r="O215" s="875"/>
      <c r="P215" s="875"/>
      <c r="Q215" s="875"/>
      <c r="R215" s="875"/>
      <c r="S215" s="875"/>
      <c r="T215" s="875"/>
      <c r="U215" s="875"/>
      <c r="V215" s="875"/>
      <c r="W215" s="875"/>
      <c r="X215" s="875"/>
      <c r="Y215" s="875"/>
      <c r="Z215" s="875"/>
      <c r="AA215" s="875"/>
      <c r="AB215" s="875"/>
      <c r="AC215" s="875"/>
      <c r="AD215" s="879"/>
      <c r="AE215" s="879"/>
      <c r="AF215" s="889"/>
      <c r="AG215" s="889"/>
      <c r="AH215" s="889"/>
      <c r="AI215" s="889"/>
    </row>
    <row r="216" spans="1:35" ht="13.5" thickBot="1" x14ac:dyDescent="0.25">
      <c r="A216" s="863"/>
      <c r="B216" s="882" t="s">
        <v>27737</v>
      </c>
      <c r="C216" s="873" t="s">
        <v>27740</v>
      </c>
      <c r="D216" s="875">
        <f>D17*$C$202</f>
        <v>5785.3972000000003</v>
      </c>
      <c r="E216" s="875">
        <f>E17*$D$202</f>
        <v>2921.9150820695531</v>
      </c>
      <c r="F216" s="875"/>
      <c r="G216" s="875"/>
      <c r="H216" s="875">
        <f>H17*$C$202</f>
        <v>6131.2680000000009</v>
      </c>
      <c r="I216" s="875">
        <f>I17*$D$202</f>
        <v>3096.6068960328398</v>
      </c>
      <c r="J216" s="875"/>
      <c r="K216" s="875"/>
      <c r="L216" s="875">
        <f>L17*$C$202</f>
        <v>9076.6830000000009</v>
      </c>
      <c r="M216" s="875">
        <f>M17*$D$202</f>
        <v>4584.1816708995111</v>
      </c>
      <c r="N216" s="875"/>
      <c r="O216" s="875"/>
      <c r="P216" s="875">
        <f>P17*$C$202</f>
        <v>11569.908678507116</v>
      </c>
      <c r="Q216" s="875">
        <f>Q17*$D$202</f>
        <v>5529.6934077227079</v>
      </c>
      <c r="R216" s="875"/>
      <c r="S216" s="875"/>
      <c r="T216" s="875">
        <f>T17*$C$202</f>
        <v>13769.348296000002</v>
      </c>
      <c r="U216" s="875">
        <f>U17*$D$202</f>
        <v>6954.2258864068781</v>
      </c>
      <c r="V216" s="875"/>
      <c r="W216" s="875"/>
      <c r="X216" s="875">
        <f>X17*$C$202</f>
        <v>15501.574000000001</v>
      </c>
      <c r="Y216" s="875">
        <f>Y17*$D$202</f>
        <v>7829.0890749551263</v>
      </c>
      <c r="Z216" s="875"/>
      <c r="AA216" s="875"/>
      <c r="AB216" s="875">
        <f>AB17*$C$202</f>
        <v>19439.657965867267</v>
      </c>
      <c r="AC216" s="875">
        <f>AC17*$D$202</f>
        <v>9462.6740897734908</v>
      </c>
      <c r="AD216" s="879"/>
      <c r="AE216" s="879"/>
      <c r="AF216" s="889"/>
      <c r="AG216" s="889"/>
      <c r="AH216" s="889"/>
      <c r="AI216" s="889"/>
    </row>
    <row r="217" spans="1:35" x14ac:dyDescent="0.2">
      <c r="AB217" s="855"/>
      <c r="AD217" s="855"/>
      <c r="AE217" s="855"/>
    </row>
    <row r="218" spans="1:35" ht="15.75" x14ac:dyDescent="0.25">
      <c r="A218" s="854"/>
      <c r="B218" s="2899" t="s">
        <v>442</v>
      </c>
      <c r="C218" s="2899"/>
      <c r="D218" s="2899"/>
      <c r="E218" s="2899"/>
      <c r="F218" s="2899"/>
      <c r="G218" s="2899"/>
      <c r="H218" s="2899"/>
      <c r="I218" s="857" t="s">
        <v>27744</v>
      </c>
      <c r="J218" s="857"/>
      <c r="K218" s="857"/>
      <c r="M218" s="857"/>
      <c r="N218" s="857"/>
      <c r="O218" s="857"/>
      <c r="P218" s="858"/>
      <c r="Q218" s="858"/>
      <c r="R218" s="858"/>
      <c r="S218" s="858"/>
      <c r="T218" s="858"/>
      <c r="U218" s="858"/>
      <c r="V218" s="858"/>
      <c r="W218" s="858"/>
      <c r="AB218" s="855"/>
    </row>
    <row r="219" spans="1:35" ht="16.5" thickBot="1" x14ac:dyDescent="0.3">
      <c r="A219" s="854"/>
      <c r="B219" s="859" t="s">
        <v>27753</v>
      </c>
      <c r="C219" s="858"/>
      <c r="D219" s="2900"/>
      <c r="E219" s="2900"/>
      <c r="F219" s="2900"/>
      <c r="G219" s="2900"/>
      <c r="H219" s="2900"/>
      <c r="I219" s="2900"/>
      <c r="J219" s="2900"/>
      <c r="K219" s="2900"/>
      <c r="L219" s="2900"/>
      <c r="M219" s="2900"/>
      <c r="N219" s="2900"/>
      <c r="O219" s="2900"/>
      <c r="P219" s="2900"/>
      <c r="Q219" s="858"/>
      <c r="R219" s="858"/>
      <c r="S219" s="858"/>
      <c r="T219" s="858"/>
      <c r="U219" s="858"/>
      <c r="V219" s="858"/>
      <c r="W219" s="858"/>
      <c r="AB219" s="855"/>
    </row>
    <row r="220" spans="1:35" ht="17.45" customHeight="1" thickBot="1" x14ac:dyDescent="0.35">
      <c r="A220" s="860"/>
      <c r="B220" s="861" t="s">
        <v>27728</v>
      </c>
      <c r="C220" s="2894" t="s">
        <v>27729</v>
      </c>
      <c r="D220" s="2896" t="s">
        <v>27730</v>
      </c>
      <c r="E220" s="2896"/>
      <c r="F220" s="2896"/>
      <c r="G220" s="2896"/>
      <c r="H220" s="2896"/>
      <c r="I220" s="2896"/>
      <c r="J220" s="2896"/>
      <c r="K220" s="2896"/>
      <c r="L220" s="2896"/>
      <c r="M220" s="2896"/>
      <c r="N220" s="2896"/>
      <c r="O220" s="2896"/>
      <c r="P220" s="2896"/>
      <c r="Q220" s="2896"/>
      <c r="R220" s="2896"/>
      <c r="S220" s="2896"/>
      <c r="T220" s="2896"/>
      <c r="U220" s="2896"/>
      <c r="V220" s="2896"/>
      <c r="W220" s="2896"/>
      <c r="X220" s="2896"/>
      <c r="Y220" s="2896"/>
      <c r="Z220" s="2896"/>
      <c r="AA220" s="2896"/>
      <c r="AB220" s="2896"/>
      <c r="AC220" s="2896"/>
      <c r="AD220" s="862"/>
      <c r="AE220" s="862"/>
      <c r="AF220" s="862"/>
      <c r="AG220" s="862"/>
      <c r="AH220" s="862"/>
      <c r="AI220" s="862"/>
    </row>
    <row r="221" spans="1:35" ht="13.5" thickBot="1" x14ac:dyDescent="0.25">
      <c r="A221" s="863"/>
      <c r="B221" s="864" t="s">
        <v>27731</v>
      </c>
      <c r="C221" s="2895"/>
      <c r="D221" s="2897" t="s">
        <v>27732</v>
      </c>
      <c r="E221" s="2897"/>
      <c r="F221" s="887"/>
      <c r="G221" s="887"/>
      <c r="H221" s="2898" t="s">
        <v>27733</v>
      </c>
      <c r="I221" s="2898"/>
      <c r="J221" s="888"/>
      <c r="K221" s="888"/>
      <c r="L221" s="2897" t="s">
        <v>27734</v>
      </c>
      <c r="M221" s="2897"/>
      <c r="N221" s="887"/>
      <c r="O221" s="887"/>
      <c r="P221" s="2898" t="s">
        <v>27735</v>
      </c>
      <c r="Q221" s="2898"/>
      <c r="R221" s="888"/>
      <c r="S221" s="888"/>
      <c r="T221" s="2897" t="s">
        <v>27736</v>
      </c>
      <c r="U221" s="2897"/>
      <c r="V221" s="887"/>
      <c r="W221" s="887"/>
      <c r="X221" s="2898" t="s">
        <v>27737</v>
      </c>
      <c r="Y221" s="2898"/>
      <c r="Z221" s="888"/>
      <c r="AA221" s="888"/>
      <c r="AB221" s="2897"/>
      <c r="AC221" s="2897"/>
      <c r="AD221" s="867"/>
      <c r="AE221" s="867"/>
      <c r="AF221" s="868"/>
      <c r="AG221" s="868"/>
      <c r="AH221" s="868"/>
      <c r="AI221" s="868"/>
    </row>
    <row r="222" spans="1:35" ht="13.5" thickBot="1" x14ac:dyDescent="0.25">
      <c r="A222" s="863"/>
      <c r="B222" s="869"/>
      <c r="C222" s="869"/>
      <c r="D222" s="869" t="s">
        <v>27739</v>
      </c>
      <c r="E222" s="869" t="s">
        <v>27725</v>
      </c>
      <c r="F222" s="869"/>
      <c r="G222" s="869"/>
      <c r="H222" s="869" t="s">
        <v>27739</v>
      </c>
      <c r="I222" s="869" t="s">
        <v>27725</v>
      </c>
      <c r="J222" s="869"/>
      <c r="K222" s="869"/>
      <c r="L222" s="869" t="s">
        <v>27739</v>
      </c>
      <c r="M222" s="869" t="s">
        <v>27725</v>
      </c>
      <c r="N222" s="869"/>
      <c r="O222" s="869"/>
      <c r="P222" s="869" t="s">
        <v>27739</v>
      </c>
      <c r="Q222" s="869" t="s">
        <v>27725</v>
      </c>
      <c r="R222" s="869"/>
      <c r="S222" s="869"/>
      <c r="T222" s="869" t="s">
        <v>27739</v>
      </c>
      <c r="U222" s="869" t="s">
        <v>27725</v>
      </c>
      <c r="V222" s="869"/>
      <c r="W222" s="869"/>
      <c r="X222" s="869" t="s">
        <v>27739</v>
      </c>
      <c r="Y222" s="869" t="s">
        <v>27725</v>
      </c>
      <c r="Z222" s="869"/>
      <c r="AA222" s="869"/>
      <c r="AB222" s="869" t="s">
        <v>27739</v>
      </c>
      <c r="AC222" s="869" t="s">
        <v>27725</v>
      </c>
      <c r="AD222" s="870"/>
      <c r="AE222" s="870"/>
      <c r="AF222" s="871"/>
      <c r="AG222" s="871"/>
      <c r="AH222" s="871"/>
      <c r="AI222" s="871"/>
    </row>
    <row r="223" spans="1:35" ht="13.5" thickBot="1" x14ac:dyDescent="0.25">
      <c r="A223" s="863"/>
      <c r="B223" s="872" t="s">
        <v>27732</v>
      </c>
      <c r="C223" s="873" t="s">
        <v>27740</v>
      </c>
      <c r="D223" s="875">
        <f>D45*$C$202</f>
        <v>3035.4435397000002</v>
      </c>
      <c r="E223" s="875">
        <f>E45*$D$202</f>
        <v>1508.3478667188469</v>
      </c>
      <c r="F223" s="875"/>
      <c r="G223" s="875"/>
      <c r="H223" s="875">
        <f>H45*$C$202</f>
        <v>3151.6540000000005</v>
      </c>
      <c r="I223" s="875">
        <f>I45*$D$202</f>
        <v>1591.7474120047218</v>
      </c>
      <c r="J223" s="875"/>
      <c r="K223" s="875"/>
      <c r="L223" s="875">
        <f>L45*$C$202</f>
        <v>3555.5850000000005</v>
      </c>
      <c r="M223" s="875">
        <f>M45*$D$202</f>
        <v>1795.7503479072595</v>
      </c>
      <c r="N223" s="875"/>
      <c r="O223" s="875"/>
      <c r="P223" s="875">
        <f>P45*$C$202</f>
        <v>4355.992789676</v>
      </c>
      <c r="Q223" s="875">
        <f>Q45*$D$202</f>
        <v>2053.7919505804498</v>
      </c>
      <c r="R223" s="875"/>
      <c r="S223" s="875"/>
      <c r="T223" s="875">
        <f>T45*$C$202</f>
        <v>4730.8988096479998</v>
      </c>
      <c r="U223" s="875">
        <f>U45*$D$202</f>
        <v>2382.5615992473126</v>
      </c>
      <c r="V223" s="875"/>
      <c r="W223" s="875"/>
      <c r="X223" s="875">
        <f>X45*$C$202</f>
        <v>4961.3630000000003</v>
      </c>
      <c r="Y223" s="875">
        <f>Y45*$D$202</f>
        <v>2505.7408342226258</v>
      </c>
      <c r="Z223" s="875"/>
      <c r="AA223" s="875"/>
      <c r="AB223" s="875"/>
      <c r="AC223" s="875"/>
      <c r="AD223" s="879"/>
      <c r="AE223" s="879"/>
      <c r="AF223" s="889"/>
      <c r="AG223" s="889"/>
      <c r="AH223" s="889"/>
      <c r="AI223" s="889"/>
    </row>
    <row r="224" spans="1:35" ht="13.5" hidden="1" thickBot="1" x14ac:dyDescent="0.25">
      <c r="A224" s="863"/>
      <c r="B224" s="872"/>
      <c r="C224" s="873"/>
      <c r="D224" s="875"/>
      <c r="E224" s="875"/>
      <c r="F224" s="875"/>
      <c r="G224" s="875"/>
      <c r="H224" s="875"/>
      <c r="I224" s="875"/>
      <c r="J224" s="875"/>
      <c r="K224" s="875"/>
      <c r="L224" s="875"/>
      <c r="M224" s="875"/>
      <c r="N224" s="875"/>
      <c r="O224" s="875"/>
      <c r="P224" s="875"/>
      <c r="Q224" s="875"/>
      <c r="R224" s="875"/>
      <c r="S224" s="875"/>
      <c r="T224" s="875"/>
      <c r="U224" s="875"/>
      <c r="V224" s="875"/>
      <c r="W224" s="875"/>
      <c r="X224" s="875"/>
      <c r="Y224" s="875"/>
      <c r="Z224" s="875"/>
      <c r="AA224" s="875"/>
      <c r="AB224" s="875"/>
      <c r="AC224" s="875"/>
      <c r="AD224" s="879"/>
      <c r="AE224" s="879"/>
      <c r="AF224" s="889"/>
      <c r="AG224" s="889"/>
      <c r="AH224" s="889"/>
      <c r="AI224" s="889"/>
    </row>
    <row r="225" spans="1:35" ht="13.5" thickBot="1" x14ac:dyDescent="0.25">
      <c r="A225" s="863"/>
      <c r="B225" s="872" t="s">
        <v>27733</v>
      </c>
      <c r="C225" s="873" t="s">
        <v>27740</v>
      </c>
      <c r="D225" s="875">
        <f>D47*$C$202</f>
        <v>3108.3932</v>
      </c>
      <c r="E225" s="875">
        <f>E47*$D$202</f>
        <v>1569.8932957166417</v>
      </c>
      <c r="F225" s="875"/>
      <c r="G225" s="875"/>
      <c r="H225" s="875">
        <f>H47*$C$202</f>
        <v>3287.9880000000007</v>
      </c>
      <c r="I225" s="875">
        <f>I47*$D$202</f>
        <v>1660.6025582965149</v>
      </c>
      <c r="J225" s="875"/>
      <c r="K225" s="875"/>
      <c r="L225" s="875">
        <f>L47*$C$202</f>
        <v>3899.9290000000005</v>
      </c>
      <c r="M225" s="875">
        <f>M47*$D$202</f>
        <v>1969.6682551258216</v>
      </c>
      <c r="N225" s="875"/>
      <c r="O225" s="875"/>
      <c r="P225" s="875">
        <f>P47*$C$202</f>
        <v>4355.992789676</v>
      </c>
      <c r="Q225" s="875">
        <f>Q47*$D$202</f>
        <v>2171.3785454988993</v>
      </c>
      <c r="R225" s="875"/>
      <c r="S225" s="875"/>
      <c r="T225" s="875">
        <f>T47*$C$202</f>
        <v>5039.7262959999998</v>
      </c>
      <c r="U225" s="875">
        <f>U47*$D$202</f>
        <v>2545.3228578360063</v>
      </c>
      <c r="V225" s="875"/>
      <c r="W225" s="875"/>
      <c r="X225" s="875">
        <f>X47*$C$202</f>
        <v>5314.6940000000013</v>
      </c>
      <c r="Y225" s="875">
        <f>Y47*$D$202</f>
        <v>2684.1936192691032</v>
      </c>
      <c r="Z225" s="875"/>
      <c r="AA225" s="875"/>
      <c r="AB225" s="875"/>
      <c r="AC225" s="875"/>
      <c r="AD225" s="879"/>
      <c r="AE225" s="879"/>
      <c r="AF225" s="889"/>
      <c r="AG225" s="889"/>
      <c r="AH225" s="889"/>
      <c r="AI225" s="889"/>
    </row>
    <row r="226" spans="1:35" ht="13.5" hidden="1" thickBot="1" x14ac:dyDescent="0.25">
      <c r="A226" s="863"/>
      <c r="B226" s="872"/>
      <c r="C226" s="873"/>
      <c r="D226" s="875"/>
      <c r="E226" s="875"/>
      <c r="F226" s="875"/>
      <c r="G226" s="875"/>
      <c r="H226" s="875"/>
      <c r="I226" s="875"/>
      <c r="J226" s="875"/>
      <c r="K226" s="875"/>
      <c r="L226" s="875"/>
      <c r="M226" s="875"/>
      <c r="N226" s="875"/>
      <c r="O226" s="875"/>
      <c r="P226" s="875"/>
      <c r="Q226" s="875"/>
      <c r="R226" s="875"/>
      <c r="S226" s="875"/>
      <c r="T226" s="875"/>
      <c r="U226" s="875"/>
      <c r="V226" s="875"/>
      <c r="W226" s="875"/>
      <c r="X226" s="875"/>
      <c r="Y226" s="875"/>
      <c r="Z226" s="875"/>
      <c r="AA226" s="875"/>
      <c r="AB226" s="875"/>
      <c r="AC226" s="875"/>
      <c r="AD226" s="879"/>
      <c r="AE226" s="879"/>
      <c r="AF226" s="889"/>
      <c r="AG226" s="889"/>
      <c r="AH226" s="889"/>
      <c r="AI226" s="889"/>
    </row>
    <row r="227" spans="1:35" ht="13.5" thickBot="1" x14ac:dyDescent="0.25">
      <c r="A227" s="863"/>
      <c r="B227" s="872" t="s">
        <v>27734</v>
      </c>
      <c r="C227" s="873" t="s">
        <v>27740</v>
      </c>
      <c r="D227" s="875">
        <f>D49*$C$202</f>
        <v>3676.5322000000006</v>
      </c>
      <c r="E227" s="875">
        <f>E49*$D$202</f>
        <v>1856.834994230157</v>
      </c>
      <c r="F227" s="875"/>
      <c r="G227" s="875"/>
      <c r="H227" s="875">
        <f>H49*$C$202</f>
        <v>4064.1480000000006</v>
      </c>
      <c r="I227" s="875">
        <f>I49*$D$202</f>
        <v>2052.6070177367983</v>
      </c>
      <c r="J227" s="875"/>
      <c r="K227" s="875"/>
      <c r="L227" s="875">
        <f>L49*$C$202</f>
        <v>5020.2371706960012</v>
      </c>
      <c r="M227" s="875">
        <f>M49*$D$202</f>
        <v>2441.1653270192428</v>
      </c>
      <c r="N227" s="875"/>
      <c r="O227" s="875"/>
      <c r="P227" s="875">
        <f>P49*$C$202</f>
        <v>6758.2491067519995</v>
      </c>
      <c r="Q227" s="875">
        <f>Q49*$D$202</f>
        <v>2815.3166759949736</v>
      </c>
      <c r="R227" s="875"/>
      <c r="S227" s="875"/>
      <c r="T227" s="875">
        <f>T49*$C$202</f>
        <v>8416.638296000001</v>
      </c>
      <c r="U227" s="875">
        <f>U49*$D$202</f>
        <v>4250.8382682694237</v>
      </c>
      <c r="V227" s="875"/>
      <c r="W227" s="875"/>
      <c r="X227" s="875">
        <f>X49*$C$202</f>
        <v>8741.4800000000014</v>
      </c>
      <c r="Y227" s="875">
        <f>Y49*$D$202</f>
        <v>4414.8974872419685</v>
      </c>
      <c r="Z227" s="875"/>
      <c r="AA227" s="875"/>
      <c r="AB227" s="875"/>
      <c r="AC227" s="875"/>
      <c r="AD227" s="879"/>
      <c r="AE227" s="879"/>
      <c r="AF227" s="889"/>
      <c r="AG227" s="889"/>
      <c r="AH227" s="889"/>
      <c r="AI227" s="889"/>
    </row>
    <row r="228" spans="1:35" ht="13.5" hidden="1" thickBot="1" x14ac:dyDescent="0.25">
      <c r="A228" s="863"/>
      <c r="B228" s="872"/>
      <c r="C228" s="873"/>
      <c r="D228" s="875"/>
      <c r="E228" s="875"/>
      <c r="F228" s="875"/>
      <c r="G228" s="875"/>
      <c r="H228" s="875"/>
      <c r="I228" s="875"/>
      <c r="J228" s="875"/>
      <c r="K228" s="875"/>
      <c r="L228" s="875"/>
      <c r="M228" s="875"/>
      <c r="N228" s="875"/>
      <c r="O228" s="875"/>
      <c r="P228" s="875"/>
      <c r="Q228" s="875"/>
      <c r="R228" s="875"/>
      <c r="S228" s="875"/>
      <c r="T228" s="875"/>
      <c r="U228" s="875"/>
      <c r="V228" s="875"/>
      <c r="W228" s="875"/>
      <c r="X228" s="875"/>
      <c r="Y228" s="875"/>
      <c r="Z228" s="875"/>
      <c r="AA228" s="875"/>
      <c r="AB228" s="875"/>
      <c r="AC228" s="875"/>
      <c r="AD228" s="879"/>
      <c r="AE228" s="879"/>
      <c r="AF228" s="889"/>
      <c r="AG228" s="889"/>
      <c r="AH228" s="889"/>
      <c r="AI228" s="889"/>
    </row>
    <row r="229" spans="1:35" ht="13.5" thickBot="1" x14ac:dyDescent="0.25">
      <c r="A229" s="863"/>
      <c r="B229" s="872" t="s">
        <v>27735</v>
      </c>
      <c r="C229" s="873" t="s">
        <v>27740</v>
      </c>
      <c r="D229" s="875">
        <f>D51*$C$202</f>
        <v>5080.0336281640002</v>
      </c>
      <c r="E229" s="875">
        <f>E51*$D$202</f>
        <v>2227.1822338585944</v>
      </c>
      <c r="F229" s="875"/>
      <c r="G229" s="875"/>
      <c r="H229" s="875">
        <f>H51*$C$202</f>
        <v>5059.5934281639993</v>
      </c>
      <c r="I229" s="875">
        <f>I51*$D$202</f>
        <v>2366.6229450651235</v>
      </c>
      <c r="J229" s="875"/>
      <c r="K229" s="875"/>
      <c r="L229" s="875">
        <f>L51*$C$202</f>
        <v>6842.8275310560002</v>
      </c>
      <c r="M229" s="875">
        <f>M51*$D$202</f>
        <v>3064.84991629661</v>
      </c>
      <c r="N229" s="875"/>
      <c r="O229" s="875"/>
      <c r="P229" s="875">
        <f>P51*$C$202</f>
        <v>8912.4686905759991</v>
      </c>
      <c r="Q229" s="875">
        <f>Q51*$D$202</f>
        <v>4182.3254942190151</v>
      </c>
      <c r="R229" s="875"/>
      <c r="S229" s="875"/>
      <c r="T229" s="875">
        <f>T51*$C$202</f>
        <v>11160.668712511999</v>
      </c>
      <c r="U229" s="875">
        <f>U51*$D$202</f>
        <v>5133.6386629526187</v>
      </c>
      <c r="V229" s="875"/>
      <c r="W229" s="875"/>
      <c r="X229" s="875">
        <f>X51*$C$202</f>
        <v>12228.397926469805</v>
      </c>
      <c r="Y229" s="875">
        <f>Y51*$D$202</f>
        <v>5478.9173980906353</v>
      </c>
      <c r="Z229" s="875"/>
      <c r="AA229" s="875"/>
      <c r="AB229" s="875"/>
      <c r="AC229" s="875"/>
      <c r="AD229" s="879"/>
      <c r="AE229" s="879"/>
      <c r="AF229" s="889"/>
      <c r="AG229" s="889"/>
      <c r="AH229" s="889"/>
      <c r="AI229" s="889"/>
    </row>
    <row r="230" spans="1:35" ht="13.5" hidden="1" thickBot="1" x14ac:dyDescent="0.25">
      <c r="A230" s="863"/>
      <c r="B230" s="872"/>
      <c r="C230" s="873"/>
      <c r="D230" s="875"/>
      <c r="E230" s="875"/>
      <c r="F230" s="875"/>
      <c r="G230" s="875"/>
      <c r="H230" s="875"/>
      <c r="I230" s="875"/>
      <c r="J230" s="875"/>
      <c r="K230" s="875"/>
      <c r="L230" s="875"/>
      <c r="M230" s="875"/>
      <c r="N230" s="875"/>
      <c r="O230" s="875"/>
      <c r="P230" s="875"/>
      <c r="Q230" s="875"/>
      <c r="R230" s="875"/>
      <c r="S230" s="875"/>
      <c r="T230" s="875"/>
      <c r="U230" s="875"/>
      <c r="V230" s="875"/>
      <c r="W230" s="875"/>
      <c r="X230" s="875"/>
      <c r="Y230" s="875"/>
      <c r="Z230" s="875"/>
      <c r="AA230" s="875"/>
      <c r="AB230" s="875"/>
      <c r="AC230" s="875"/>
      <c r="AD230" s="879"/>
      <c r="AE230" s="879"/>
      <c r="AF230" s="889"/>
      <c r="AG230" s="889"/>
      <c r="AH230" s="889"/>
      <c r="AI230" s="889"/>
    </row>
    <row r="231" spans="1:35" ht="13.5" thickBot="1" x14ac:dyDescent="0.25">
      <c r="A231" s="863"/>
      <c r="B231" s="872" t="s">
        <v>27736</v>
      </c>
      <c r="C231" s="873" t="s">
        <v>27740</v>
      </c>
      <c r="D231" s="875">
        <f>D53*$C$202</f>
        <v>5813.1808783839997</v>
      </c>
      <c r="E231" s="875">
        <f>E53*$D$202</f>
        <v>2623.6455317240921</v>
      </c>
      <c r="F231" s="875"/>
      <c r="G231" s="875"/>
      <c r="H231" s="875">
        <f>H53*$C$202</f>
        <v>5792.7406783839997</v>
      </c>
      <c r="I231" s="875">
        <f>I53*$D$202</f>
        <v>2796.1261650994952</v>
      </c>
      <c r="J231" s="875"/>
      <c r="K231" s="875"/>
      <c r="L231" s="875">
        <f>L53*$C$202</f>
        <v>8579.4170000000013</v>
      </c>
      <c r="M231" s="875">
        <f>M53*$D$202</f>
        <v>4333.0455170706318</v>
      </c>
      <c r="N231" s="875"/>
      <c r="O231" s="875"/>
      <c r="P231" s="875">
        <f>P53*$C$202</f>
        <v>11331.169431956001</v>
      </c>
      <c r="Q231" s="875">
        <f>Q53*$D$202</f>
        <v>5060.8664665901333</v>
      </c>
      <c r="R231" s="875"/>
      <c r="S231" s="875"/>
      <c r="T231" s="875">
        <f>T53*$C$202</f>
        <v>14409.878296000001</v>
      </c>
      <c r="U231" s="875">
        <f>U53*$D$202</f>
        <v>7277.7219655292338</v>
      </c>
      <c r="V231" s="875"/>
      <c r="W231" s="875"/>
      <c r="X231" s="875">
        <f>X53*$C$202</f>
        <v>15480.069000000001</v>
      </c>
      <c r="Y231" s="875">
        <f>Y53*$D$202</f>
        <v>7818.2264801369583</v>
      </c>
      <c r="Z231" s="875"/>
      <c r="AA231" s="875"/>
      <c r="AB231" s="875"/>
      <c r="AC231" s="875"/>
      <c r="AD231" s="879"/>
      <c r="AE231" s="879"/>
      <c r="AF231" s="889"/>
      <c r="AG231" s="889"/>
      <c r="AH231" s="889"/>
      <c r="AI231" s="889"/>
    </row>
    <row r="232" spans="1:35" ht="13.5" hidden="1" thickBot="1" x14ac:dyDescent="0.25">
      <c r="A232" s="863"/>
      <c r="B232" s="872"/>
      <c r="C232" s="873"/>
      <c r="D232" s="875"/>
      <c r="E232" s="875"/>
      <c r="F232" s="875"/>
      <c r="G232" s="875"/>
      <c r="H232" s="875"/>
      <c r="I232" s="875"/>
      <c r="J232" s="875"/>
      <c r="K232" s="875"/>
      <c r="L232" s="875"/>
      <c r="M232" s="875"/>
      <c r="N232" s="875"/>
      <c r="O232" s="875"/>
      <c r="P232" s="875"/>
      <c r="Q232" s="875"/>
      <c r="R232" s="875"/>
      <c r="S232" s="875"/>
      <c r="T232" s="875"/>
      <c r="U232" s="875"/>
      <c r="V232" s="875"/>
      <c r="W232" s="875"/>
      <c r="X232" s="875"/>
      <c r="Y232" s="875"/>
      <c r="Z232" s="875"/>
      <c r="AA232" s="875"/>
      <c r="AB232" s="875"/>
      <c r="AC232" s="875"/>
      <c r="AD232" s="879"/>
      <c r="AE232" s="879"/>
      <c r="AF232" s="889"/>
      <c r="AG232" s="889"/>
      <c r="AH232" s="889"/>
      <c r="AI232" s="889"/>
    </row>
    <row r="233" spans="1:35" ht="13.5" thickBot="1" x14ac:dyDescent="0.25">
      <c r="A233" s="863"/>
      <c r="B233" s="882" t="s">
        <v>27737</v>
      </c>
      <c r="C233" s="873" t="s">
        <v>27740</v>
      </c>
      <c r="D233" s="875">
        <f>D55*$C$202</f>
        <v>6161.3717553321412</v>
      </c>
      <c r="E233" s="875">
        <f>E55*$D$202</f>
        <v>2840.5993005974046</v>
      </c>
      <c r="F233" s="875"/>
      <c r="G233" s="875"/>
      <c r="H233" s="875">
        <f>H55*$C$202</f>
        <v>6140.9315553321403</v>
      </c>
      <c r="I233" s="875">
        <f>I55*$D$202</f>
        <v>3037.364455755785</v>
      </c>
      <c r="J233" s="875"/>
      <c r="K233" s="875"/>
      <c r="L233" s="875">
        <f>L55*$C$202</f>
        <v>9722.8340000000007</v>
      </c>
      <c r="M233" s="875">
        <f>M55*$D$202</f>
        <v>4910.5218811992672</v>
      </c>
      <c r="N233" s="875"/>
      <c r="O233" s="875"/>
      <c r="P233" s="875">
        <f>P55*$C$202</f>
        <v>13556.444</v>
      </c>
      <c r="Q233" s="875">
        <f>Q55*$D$202</f>
        <v>6846.6987332263507</v>
      </c>
      <c r="R233" s="875"/>
      <c r="S233" s="875"/>
      <c r="T233" s="875">
        <f>T55*$C$202</f>
        <v>16528.973296</v>
      </c>
      <c r="U233" s="875">
        <f>U55*$D$202</f>
        <v>8347.9771777242331</v>
      </c>
      <c r="V233" s="875"/>
      <c r="W233" s="875"/>
      <c r="X233" s="875">
        <f>X55*$C$202</f>
        <v>17763.306</v>
      </c>
      <c r="Y233" s="875">
        <f>Y55*$D$202</f>
        <v>8971.3752818161975</v>
      </c>
      <c r="Z233" s="875"/>
      <c r="AA233" s="875"/>
      <c r="AB233" s="875"/>
      <c r="AC233" s="875"/>
      <c r="AD233" s="879"/>
      <c r="AE233" s="879"/>
      <c r="AF233" s="889"/>
      <c r="AG233" s="889"/>
      <c r="AH233" s="889"/>
      <c r="AI233" s="889"/>
    </row>
    <row r="235" spans="1:35" ht="13.5" thickBot="1" x14ac:dyDescent="0.25"/>
    <row r="236" spans="1:35" ht="15.75" thickBot="1" x14ac:dyDescent="0.25">
      <c r="C236" s="928"/>
      <c r="D236" s="928"/>
      <c r="E236" s="2901" t="s">
        <v>27756</v>
      </c>
      <c r="F236" s="2902"/>
      <c r="G236" s="2902"/>
      <c r="H236" s="2902"/>
      <c r="I236" s="2902"/>
      <c r="J236" s="2902"/>
      <c r="K236" s="2902"/>
      <c r="L236" s="2902"/>
      <c r="M236" s="2902"/>
      <c r="N236" s="2902"/>
      <c r="O236" s="2902"/>
      <c r="P236" s="2902"/>
      <c r="Q236" s="2902"/>
      <c r="R236" s="2902"/>
      <c r="S236" s="2902"/>
      <c r="T236" s="2902"/>
      <c r="U236" s="2902"/>
      <c r="V236" s="2902"/>
      <c r="W236" s="2902"/>
      <c r="X236" s="2902"/>
      <c r="Y236" s="2902"/>
      <c r="Z236" s="2902"/>
      <c r="AA236" s="2902"/>
    </row>
    <row r="237" spans="1:35" ht="17.45" customHeight="1" thickBot="1" x14ac:dyDescent="0.35">
      <c r="A237" s="860"/>
      <c r="B237" s="861" t="s">
        <v>27728</v>
      </c>
      <c r="C237" s="2894" t="s">
        <v>27729</v>
      </c>
      <c r="D237" s="2896" t="s">
        <v>27730</v>
      </c>
      <c r="E237" s="2896"/>
      <c r="F237" s="2896"/>
      <c r="G237" s="2896"/>
      <c r="H237" s="2896"/>
      <c r="I237" s="2896"/>
      <c r="J237" s="2896"/>
      <c r="K237" s="2896"/>
      <c r="L237" s="2896"/>
      <c r="M237" s="2896"/>
      <c r="N237" s="2896"/>
      <c r="O237" s="2896"/>
      <c r="P237" s="2896"/>
      <c r="Q237" s="2896"/>
      <c r="R237" s="2896"/>
      <c r="S237" s="2896"/>
      <c r="T237" s="2896"/>
      <c r="U237" s="2896"/>
      <c r="V237" s="2896"/>
      <c r="W237" s="2896"/>
      <c r="X237" s="2896"/>
      <c r="Y237" s="2896"/>
      <c r="Z237" s="2896"/>
      <c r="AA237" s="2896"/>
      <c r="AB237" s="2896"/>
      <c r="AC237" s="2896"/>
      <c r="AD237" s="862"/>
      <c r="AE237" s="862"/>
      <c r="AF237" s="862"/>
      <c r="AG237" s="862"/>
      <c r="AH237" s="862"/>
      <c r="AI237" s="862"/>
    </row>
    <row r="238" spans="1:35" ht="21.2" customHeight="1" thickBot="1" x14ac:dyDescent="0.25">
      <c r="A238" s="863"/>
      <c r="B238" s="864" t="s">
        <v>27731</v>
      </c>
      <c r="C238" s="2895"/>
      <c r="D238" s="2897" t="s">
        <v>27732</v>
      </c>
      <c r="E238" s="2897"/>
      <c r="F238" s="887"/>
      <c r="G238" s="887"/>
      <c r="H238" s="2898" t="s">
        <v>27733</v>
      </c>
      <c r="I238" s="2898"/>
      <c r="J238" s="888"/>
      <c r="K238" s="888"/>
      <c r="L238" s="2897" t="s">
        <v>27734</v>
      </c>
      <c r="M238" s="2897"/>
      <c r="N238" s="887"/>
      <c r="O238" s="887"/>
      <c r="P238" s="2898" t="s">
        <v>27735</v>
      </c>
      <c r="Q238" s="2898"/>
      <c r="R238" s="888"/>
      <c r="S238" s="888"/>
      <c r="T238" s="2897" t="s">
        <v>27736</v>
      </c>
      <c r="U238" s="2897"/>
      <c r="V238" s="887"/>
      <c r="W238" s="887"/>
      <c r="X238" s="2898" t="s">
        <v>27737</v>
      </c>
      <c r="Y238" s="2898"/>
      <c r="Z238" s="888"/>
      <c r="AA238" s="888"/>
      <c r="AB238" s="2897" t="s">
        <v>27738</v>
      </c>
      <c r="AC238" s="2897"/>
      <c r="AD238" s="867"/>
      <c r="AE238" s="867"/>
      <c r="AF238" s="868"/>
      <c r="AG238" s="868"/>
      <c r="AH238" s="868"/>
      <c r="AI238" s="868"/>
    </row>
    <row r="239" spans="1:35" ht="13.5" thickBot="1" x14ac:dyDescent="0.25">
      <c r="A239" s="863"/>
      <c r="B239" s="869"/>
      <c r="C239" s="869"/>
      <c r="D239" s="869" t="s">
        <v>27757</v>
      </c>
      <c r="E239" s="869" t="s">
        <v>27754</v>
      </c>
      <c r="F239" s="869"/>
      <c r="G239" s="869"/>
      <c r="H239" s="869" t="s">
        <v>27757</v>
      </c>
      <c r="I239" s="869" t="s">
        <v>27754</v>
      </c>
      <c r="J239" s="869"/>
      <c r="K239" s="869"/>
      <c r="L239" s="869" t="s">
        <v>27757</v>
      </c>
      <c r="M239" s="869" t="s">
        <v>27754</v>
      </c>
      <c r="N239" s="869"/>
      <c r="O239" s="869"/>
      <c r="P239" s="869" t="s">
        <v>27757</v>
      </c>
      <c r="Q239" s="869" t="s">
        <v>27754</v>
      </c>
      <c r="R239" s="869"/>
      <c r="S239" s="869"/>
      <c r="T239" s="869" t="s">
        <v>27757</v>
      </c>
      <c r="U239" s="869" t="s">
        <v>27754</v>
      </c>
      <c r="V239" s="869"/>
      <c r="W239" s="869"/>
      <c r="X239" s="869" t="s">
        <v>27757</v>
      </c>
      <c r="Y239" s="869" t="s">
        <v>27754</v>
      </c>
      <c r="Z239" s="869"/>
      <c r="AA239" s="869"/>
      <c r="AB239" s="869" t="s">
        <v>27757</v>
      </c>
      <c r="AC239" s="869" t="s">
        <v>27754</v>
      </c>
      <c r="AD239" s="870"/>
      <c r="AE239" s="870"/>
      <c r="AF239" s="871"/>
      <c r="AG239" s="871"/>
      <c r="AH239" s="871"/>
      <c r="AI239" s="871"/>
    </row>
    <row r="240" spans="1:35" ht="13.5" thickBot="1" x14ac:dyDescent="0.25">
      <c r="A240" s="863"/>
      <c r="B240" s="872" t="s">
        <v>27732</v>
      </c>
      <c r="C240" s="873" t="s">
        <v>27740</v>
      </c>
      <c r="D240" s="875">
        <v>1124.1462598092457</v>
      </c>
      <c r="E240" s="929">
        <v>1.7416767788110237</v>
      </c>
      <c r="F240" s="875"/>
      <c r="G240" s="875"/>
      <c r="H240" s="875">
        <v>1040.2655579034306</v>
      </c>
      <c r="I240" s="929">
        <v>1.650343656203096</v>
      </c>
      <c r="J240" s="875"/>
      <c r="K240" s="875"/>
      <c r="L240" s="875">
        <v>1391.7647938628859</v>
      </c>
      <c r="M240" s="929">
        <v>1.7394466798268196</v>
      </c>
      <c r="N240" s="875"/>
      <c r="O240" s="875"/>
      <c r="P240" s="875">
        <v>2091.3372164058414</v>
      </c>
      <c r="Q240" s="929">
        <v>1.977550598586175</v>
      </c>
      <c r="R240" s="875"/>
      <c r="S240" s="875"/>
      <c r="T240" s="875">
        <v>2100.5261173056533</v>
      </c>
      <c r="U240" s="929">
        <v>1.8221269213462288</v>
      </c>
      <c r="V240" s="875"/>
      <c r="W240" s="875"/>
      <c r="X240" s="875">
        <v>2131.4755691736732</v>
      </c>
      <c r="Y240" s="929">
        <v>1.7819644279475457</v>
      </c>
      <c r="Z240" s="875"/>
      <c r="AA240" s="875"/>
      <c r="AB240" s="875">
        <v>3358.9054196724906</v>
      </c>
      <c r="AC240" s="929">
        <v>2.0774505192761432</v>
      </c>
      <c r="AD240" s="879"/>
      <c r="AE240" s="879"/>
      <c r="AF240" s="889"/>
      <c r="AG240" s="889"/>
      <c r="AH240" s="889"/>
      <c r="AI240" s="889"/>
    </row>
    <row r="241" spans="1:35" ht="13.5" hidden="1" thickBot="1" x14ac:dyDescent="0.25">
      <c r="A241" s="863"/>
      <c r="B241" s="872"/>
      <c r="C241" s="873"/>
      <c r="D241" s="875">
        <v>0</v>
      </c>
      <c r="E241" s="929" t="e">
        <v>#DIV/0!</v>
      </c>
      <c r="F241" s="875"/>
      <c r="G241" s="875"/>
      <c r="H241" s="875">
        <v>0</v>
      </c>
      <c r="I241" s="929" t="e">
        <v>#DIV/0!</v>
      </c>
      <c r="J241" s="875"/>
      <c r="K241" s="875"/>
      <c r="L241" s="875">
        <v>0</v>
      </c>
      <c r="M241" s="929" t="e">
        <v>#DIV/0!</v>
      </c>
      <c r="N241" s="875"/>
      <c r="O241" s="875"/>
      <c r="P241" s="875">
        <v>0</v>
      </c>
      <c r="Q241" s="929" t="e">
        <v>#DIV/0!</v>
      </c>
      <c r="R241" s="875"/>
      <c r="S241" s="875"/>
      <c r="T241" s="875">
        <v>0</v>
      </c>
      <c r="U241" s="929" t="e">
        <v>#DIV/0!</v>
      </c>
      <c r="V241" s="875"/>
      <c r="W241" s="875"/>
      <c r="X241" s="875">
        <v>0</v>
      </c>
      <c r="Y241" s="929" t="e">
        <v>#DIV/0!</v>
      </c>
      <c r="Z241" s="875"/>
      <c r="AA241" s="875"/>
      <c r="AB241" s="875">
        <v>0</v>
      </c>
      <c r="AC241" s="929" t="e">
        <v>#DIV/0!</v>
      </c>
      <c r="AD241" s="879"/>
      <c r="AE241" s="879"/>
      <c r="AF241" s="889"/>
      <c r="AG241" s="889"/>
      <c r="AH241" s="889"/>
      <c r="AI241" s="889"/>
    </row>
    <row r="242" spans="1:35" ht="13.5" thickBot="1" x14ac:dyDescent="0.25">
      <c r="A242" s="863"/>
      <c r="B242" s="872" t="s">
        <v>27733</v>
      </c>
      <c r="C242" s="873" t="s">
        <v>27740</v>
      </c>
      <c r="D242" s="875">
        <v>1065.7741334999846</v>
      </c>
      <c r="E242" s="929">
        <v>1.6770885508134019</v>
      </c>
      <c r="F242" s="875"/>
      <c r="G242" s="875"/>
      <c r="H242" s="875">
        <v>974.65055333522196</v>
      </c>
      <c r="I242" s="929">
        <v>1.5853131817267132</v>
      </c>
      <c r="J242" s="875"/>
      <c r="K242" s="875"/>
      <c r="L242" s="875">
        <v>1302.0068617648528</v>
      </c>
      <c r="M242" s="929">
        <v>1.6602708196458396</v>
      </c>
      <c r="N242" s="875"/>
      <c r="O242" s="875"/>
      <c r="P242" s="875">
        <v>1977.4363567779847</v>
      </c>
      <c r="Q242" s="929">
        <v>1.8775869192489991</v>
      </c>
      <c r="R242" s="875"/>
      <c r="S242" s="875"/>
      <c r="T242" s="875">
        <v>1953.8874479473561</v>
      </c>
      <c r="U242" s="929">
        <v>1.7232257423581254</v>
      </c>
      <c r="V242" s="875"/>
      <c r="W242" s="875"/>
      <c r="X242" s="875">
        <v>1964.1418908752889</v>
      </c>
      <c r="Y242" s="929">
        <v>1.6788986522438631</v>
      </c>
      <c r="Z242" s="875"/>
      <c r="AA242" s="875"/>
      <c r="AB242" s="875">
        <v>2964.9628389755803</v>
      </c>
      <c r="AC242" s="929">
        <v>1.844382122255783</v>
      </c>
      <c r="AD242" s="879"/>
      <c r="AE242" s="879"/>
      <c r="AF242" s="889"/>
      <c r="AG242" s="889"/>
      <c r="AH242" s="889"/>
      <c r="AI242" s="889"/>
    </row>
    <row r="243" spans="1:35" ht="13.5" hidden="1" thickBot="1" x14ac:dyDescent="0.25">
      <c r="A243" s="863"/>
      <c r="B243" s="872"/>
      <c r="C243" s="873"/>
      <c r="D243" s="875">
        <v>0</v>
      </c>
      <c r="E243" s="929" t="e">
        <v>#DIV/0!</v>
      </c>
      <c r="F243" s="875"/>
      <c r="G243" s="875"/>
      <c r="H243" s="875">
        <v>0</v>
      </c>
      <c r="I243" s="929" t="e">
        <v>#DIV/0!</v>
      </c>
      <c r="J243" s="875"/>
      <c r="K243" s="875"/>
      <c r="L243" s="875">
        <v>0</v>
      </c>
      <c r="M243" s="929" t="e">
        <v>#DIV/0!</v>
      </c>
      <c r="N243" s="875"/>
      <c r="O243" s="875"/>
      <c r="P243" s="875">
        <v>0</v>
      </c>
      <c r="Q243" s="929" t="e">
        <v>#DIV/0!</v>
      </c>
      <c r="R243" s="875"/>
      <c r="S243" s="875"/>
      <c r="T243" s="875">
        <v>0</v>
      </c>
      <c r="U243" s="929" t="e">
        <v>#DIV/0!</v>
      </c>
      <c r="V243" s="875"/>
      <c r="W243" s="875"/>
      <c r="X243" s="875">
        <v>0</v>
      </c>
      <c r="Y243" s="929" t="e">
        <v>#DIV/0!</v>
      </c>
      <c r="Z243" s="875"/>
      <c r="AA243" s="875"/>
      <c r="AB243" s="875">
        <v>0</v>
      </c>
      <c r="AC243" s="929" t="e">
        <v>#DIV/0!</v>
      </c>
      <c r="AD243" s="879"/>
      <c r="AE243" s="879"/>
      <c r="AF243" s="889"/>
      <c r="AG243" s="889"/>
      <c r="AH243" s="889"/>
      <c r="AI243" s="889"/>
    </row>
    <row r="244" spans="1:35" ht="13.5" thickBot="1" x14ac:dyDescent="0.25">
      <c r="A244" s="863"/>
      <c r="B244" s="872" t="s">
        <v>27734</v>
      </c>
      <c r="C244" s="873" t="s">
        <v>27740</v>
      </c>
      <c r="D244" s="875">
        <v>1469.847357321481</v>
      </c>
      <c r="E244" s="929">
        <v>1.8890129772193065</v>
      </c>
      <c r="F244" s="875"/>
      <c r="G244" s="875"/>
      <c r="H244" s="875">
        <v>1354.5808496268953</v>
      </c>
      <c r="I244" s="929">
        <v>1.7658996627643404</v>
      </c>
      <c r="J244" s="875"/>
      <c r="K244" s="875"/>
      <c r="L244" s="875">
        <v>1832.8422401532175</v>
      </c>
      <c r="M244" s="929">
        <v>1.7457679512882176</v>
      </c>
      <c r="N244" s="875"/>
      <c r="O244" s="875"/>
      <c r="P244" s="875">
        <v>2560.6468290981384</v>
      </c>
      <c r="Q244" s="929">
        <v>1.8681685829283079</v>
      </c>
      <c r="R244" s="875"/>
      <c r="S244" s="875"/>
      <c r="T244" s="875">
        <v>3106.6397800832297</v>
      </c>
      <c r="U244" s="929">
        <v>1.8440986553727301</v>
      </c>
      <c r="V244" s="875"/>
      <c r="W244" s="875"/>
      <c r="X244" s="875">
        <v>3367.8360829140142</v>
      </c>
      <c r="Y244" s="929">
        <v>1.8365889536493827</v>
      </c>
      <c r="Z244" s="875"/>
      <c r="AA244" s="875"/>
      <c r="AB244" s="875">
        <v>5067.898979109199</v>
      </c>
      <c r="AC244" s="929">
        <v>2.0579906132990686</v>
      </c>
      <c r="AD244" s="879"/>
      <c r="AE244" s="879"/>
      <c r="AF244" s="889"/>
      <c r="AG244" s="889"/>
      <c r="AH244" s="889"/>
      <c r="AI244" s="889"/>
    </row>
    <row r="245" spans="1:35" ht="13.5" hidden="1" thickBot="1" x14ac:dyDescent="0.25">
      <c r="A245" s="863"/>
      <c r="B245" s="872"/>
      <c r="C245" s="873"/>
      <c r="D245" s="875">
        <v>0</v>
      </c>
      <c r="E245" s="929" t="e">
        <v>#DIV/0!</v>
      </c>
      <c r="F245" s="875"/>
      <c r="G245" s="875"/>
      <c r="H245" s="875">
        <v>0</v>
      </c>
      <c r="I245" s="929" t="e">
        <v>#DIV/0!</v>
      </c>
      <c r="J245" s="875"/>
      <c r="K245" s="875"/>
      <c r="L245" s="875">
        <v>0</v>
      </c>
      <c r="M245" s="929" t="e">
        <v>#DIV/0!</v>
      </c>
      <c r="N245" s="875"/>
      <c r="O245" s="875"/>
      <c r="P245" s="875">
        <v>0</v>
      </c>
      <c r="Q245" s="929" t="e">
        <v>#DIV/0!</v>
      </c>
      <c r="R245" s="875"/>
      <c r="S245" s="875"/>
      <c r="T245" s="875">
        <v>0</v>
      </c>
      <c r="U245" s="929" t="e">
        <v>#DIV/0!</v>
      </c>
      <c r="V245" s="875"/>
      <c r="W245" s="875"/>
      <c r="X245" s="875">
        <v>0</v>
      </c>
      <c r="Y245" s="929" t="e">
        <v>#DIV/0!</v>
      </c>
      <c r="Z245" s="875"/>
      <c r="AA245" s="875"/>
      <c r="AB245" s="875">
        <v>0</v>
      </c>
      <c r="AC245" s="929" t="e">
        <v>#DIV/0!</v>
      </c>
      <c r="AD245" s="879"/>
      <c r="AE245" s="879"/>
      <c r="AF245" s="889"/>
      <c r="AG245" s="889"/>
      <c r="AH245" s="889"/>
      <c r="AI245" s="889"/>
    </row>
    <row r="246" spans="1:35" ht="13.5" thickBot="1" x14ac:dyDescent="0.25">
      <c r="A246" s="863"/>
      <c r="B246" s="872" t="s">
        <v>27735</v>
      </c>
      <c r="C246" s="873" t="s">
        <v>27740</v>
      </c>
      <c r="D246" s="875">
        <v>2080.7857366149778</v>
      </c>
      <c r="E246" s="929">
        <v>2.1122085912147925</v>
      </c>
      <c r="F246" s="875"/>
      <c r="G246" s="875"/>
      <c r="H246" s="875">
        <v>1941.3763013905677</v>
      </c>
      <c r="I246" s="929">
        <v>1.9657297607100161</v>
      </c>
      <c r="J246" s="875"/>
      <c r="K246" s="875"/>
      <c r="L246" s="875">
        <v>2771.3184673771643</v>
      </c>
      <c r="M246" s="929">
        <v>1.9767701392513779</v>
      </c>
      <c r="N246" s="875"/>
      <c r="O246" s="875"/>
      <c r="P246" s="875">
        <v>3769.4361334785312</v>
      </c>
      <c r="Q246" s="929">
        <v>2.062311928306793</v>
      </c>
      <c r="R246" s="875"/>
      <c r="S246" s="875"/>
      <c r="T246" s="875">
        <v>5059.1147879352375</v>
      </c>
      <c r="U246" s="929">
        <v>2.1536748800232766</v>
      </c>
      <c r="V246" s="875"/>
      <c r="W246" s="875"/>
      <c r="X246" s="875">
        <v>5674.6356754550116</v>
      </c>
      <c r="Y246" s="929">
        <v>2.1872475147527646</v>
      </c>
      <c r="Z246" s="875"/>
      <c r="AA246" s="875"/>
      <c r="AB246" s="875">
        <v>8335.0980342574221</v>
      </c>
      <c r="AC246" s="929">
        <v>2.4873589544699106</v>
      </c>
      <c r="AD246" s="879"/>
      <c r="AE246" s="879"/>
      <c r="AF246" s="889"/>
      <c r="AG246" s="889"/>
      <c r="AH246" s="889"/>
      <c r="AI246" s="889"/>
    </row>
    <row r="247" spans="1:35" ht="13.5" hidden="1" thickBot="1" x14ac:dyDescent="0.25">
      <c r="A247" s="863"/>
      <c r="B247" s="872"/>
      <c r="C247" s="873"/>
      <c r="D247" s="875">
        <v>0</v>
      </c>
      <c r="E247" s="929" t="e">
        <v>#DIV/0!</v>
      </c>
      <c r="F247" s="875"/>
      <c r="G247" s="875"/>
      <c r="H247" s="875">
        <v>0</v>
      </c>
      <c r="I247" s="929" t="e">
        <v>#DIV/0!</v>
      </c>
      <c r="J247" s="875"/>
      <c r="K247" s="875"/>
      <c r="L247" s="875">
        <v>0</v>
      </c>
      <c r="M247" s="929" t="e">
        <v>#DIV/0!</v>
      </c>
      <c r="N247" s="875"/>
      <c r="O247" s="875"/>
      <c r="P247" s="875">
        <v>0</v>
      </c>
      <c r="Q247" s="929" t="e">
        <v>#DIV/0!</v>
      </c>
      <c r="R247" s="875"/>
      <c r="S247" s="875"/>
      <c r="T247" s="875">
        <v>0</v>
      </c>
      <c r="U247" s="929" t="e">
        <v>#DIV/0!</v>
      </c>
      <c r="V247" s="875"/>
      <c r="W247" s="875"/>
      <c r="X247" s="875">
        <v>0</v>
      </c>
      <c r="Y247" s="929" t="e">
        <v>#DIV/0!</v>
      </c>
      <c r="Z247" s="875"/>
      <c r="AA247" s="875"/>
      <c r="AB247" s="875">
        <v>0</v>
      </c>
      <c r="AC247" s="929" t="e">
        <v>#DIV/0!</v>
      </c>
      <c r="AD247" s="879"/>
      <c r="AE247" s="879"/>
      <c r="AF247" s="889"/>
      <c r="AG247" s="889"/>
      <c r="AH247" s="889"/>
      <c r="AI247" s="889"/>
    </row>
    <row r="248" spans="1:35" ht="13.5" thickBot="1" x14ac:dyDescent="0.25">
      <c r="A248" s="863"/>
      <c r="B248" s="872" t="s">
        <v>27736</v>
      </c>
      <c r="C248" s="873" t="s">
        <v>27740</v>
      </c>
      <c r="D248" s="875">
        <v>2289.8907292435715</v>
      </c>
      <c r="E248" s="929">
        <v>2.0516091592192862</v>
      </c>
      <c r="F248" s="875"/>
      <c r="G248" s="875"/>
      <c r="H248" s="875">
        <v>2085.370726390126</v>
      </c>
      <c r="I248" s="929">
        <v>1.8754590275925489</v>
      </c>
      <c r="J248" s="875"/>
      <c r="K248" s="875"/>
      <c r="L248" s="875">
        <v>3616.1901706419931</v>
      </c>
      <c r="M248" s="929">
        <v>2.0674660117532331</v>
      </c>
      <c r="N248" s="875"/>
      <c r="O248" s="875"/>
      <c r="P248" s="875">
        <v>5517.7462392872249</v>
      </c>
      <c r="Q248" s="929">
        <v>2.3541031169475297</v>
      </c>
      <c r="R248" s="875"/>
      <c r="S248" s="875"/>
      <c r="T248" s="875">
        <v>6336.8716932539892</v>
      </c>
      <c r="U248" s="929">
        <v>2.2058284560081409</v>
      </c>
      <c r="V248" s="875"/>
      <c r="W248" s="875"/>
      <c r="X248" s="875">
        <v>6813.3890734392562</v>
      </c>
      <c r="Y248" s="929">
        <v>2.1894269022305575</v>
      </c>
      <c r="Z248" s="875"/>
      <c r="AA248" s="875"/>
      <c r="AB248" s="875">
        <v>9930.1236517282414</v>
      </c>
      <c r="AC248" s="929">
        <v>2.4620059098991494</v>
      </c>
      <c r="AD248" s="879"/>
      <c r="AE248" s="879"/>
      <c r="AF248" s="889"/>
      <c r="AG248" s="889"/>
      <c r="AH248" s="889"/>
      <c r="AI248" s="889"/>
    </row>
    <row r="249" spans="1:35" ht="13.5" hidden="1" thickBot="1" x14ac:dyDescent="0.25">
      <c r="A249" s="863"/>
      <c r="B249" s="872"/>
      <c r="C249" s="873"/>
      <c r="D249" s="875">
        <v>0</v>
      </c>
      <c r="E249" s="929" t="e">
        <v>#DIV/0!</v>
      </c>
      <c r="F249" s="875"/>
      <c r="G249" s="875"/>
      <c r="H249" s="875">
        <v>0</v>
      </c>
      <c r="I249" s="929" t="e">
        <v>#DIV/0!</v>
      </c>
      <c r="J249" s="875"/>
      <c r="K249" s="875"/>
      <c r="L249" s="875">
        <v>0</v>
      </c>
      <c r="M249" s="929" t="e">
        <v>#DIV/0!</v>
      </c>
      <c r="N249" s="875"/>
      <c r="O249" s="875"/>
      <c r="P249" s="875">
        <v>0</v>
      </c>
      <c r="Q249" s="929" t="e">
        <v>#DIV/0!</v>
      </c>
      <c r="R249" s="875"/>
      <c r="S249" s="875"/>
      <c r="T249" s="875">
        <v>0</v>
      </c>
      <c r="U249" s="929" t="e">
        <v>#DIV/0!</v>
      </c>
      <c r="V249" s="875"/>
      <c r="W249" s="875"/>
      <c r="X249" s="875">
        <v>0</v>
      </c>
      <c r="Y249" s="929" t="e">
        <v>#DIV/0!</v>
      </c>
      <c r="Z249" s="875"/>
      <c r="AA249" s="875"/>
      <c r="AB249" s="875">
        <v>0</v>
      </c>
      <c r="AC249" s="929" t="e">
        <v>#DIV/0!</v>
      </c>
      <c r="AD249" s="879"/>
      <c r="AE249" s="879"/>
      <c r="AF249" s="889"/>
      <c r="AG249" s="889"/>
      <c r="AH249" s="889"/>
      <c r="AI249" s="889"/>
    </row>
    <row r="250" spans="1:35" ht="13.5" thickBot="1" x14ac:dyDescent="0.25">
      <c r="A250" s="863"/>
      <c r="B250" s="882" t="s">
        <v>27737</v>
      </c>
      <c r="C250" s="873" t="s">
        <v>27740</v>
      </c>
      <c r="D250" s="875">
        <v>2402.0510078000057</v>
      </c>
      <c r="E250" s="929">
        <v>2.0397150448125281</v>
      </c>
      <c r="F250" s="875"/>
      <c r="G250" s="875"/>
      <c r="H250" s="875">
        <v>2181.9829596173536</v>
      </c>
      <c r="I250" s="929">
        <v>1.8623192849464867</v>
      </c>
      <c r="J250" s="875"/>
      <c r="K250" s="875"/>
      <c r="L250" s="875">
        <v>4014.1254947286993</v>
      </c>
      <c r="M250" s="929">
        <v>2.0990493260866239</v>
      </c>
      <c r="N250" s="875"/>
      <c r="O250" s="875"/>
      <c r="P250" s="875">
        <v>6298.9761621913285</v>
      </c>
      <c r="Q250" s="929">
        <v>2.4401041537611294</v>
      </c>
      <c r="R250" s="875"/>
      <c r="S250" s="875"/>
      <c r="T250" s="875">
        <v>7101.1674612935949</v>
      </c>
      <c r="U250" s="929">
        <v>2.2885618751349424</v>
      </c>
      <c r="V250" s="875"/>
      <c r="W250" s="875"/>
      <c r="X250" s="875">
        <v>7362.7043151723401</v>
      </c>
      <c r="Y250" s="929">
        <v>2.1932416657870388</v>
      </c>
      <c r="Z250" s="875"/>
      <c r="AA250" s="875"/>
      <c r="AB250" s="875">
        <v>10721.231232216654</v>
      </c>
      <c r="AC250" s="929">
        <v>2.4640840229334078</v>
      </c>
      <c r="AD250" s="879"/>
      <c r="AE250" s="879"/>
      <c r="AF250" s="889"/>
      <c r="AG250" s="889"/>
      <c r="AH250" s="889"/>
      <c r="AI250" s="889"/>
    </row>
    <row r="251" spans="1:35" ht="13.5" thickBot="1" x14ac:dyDescent="0.25">
      <c r="A251" s="863"/>
      <c r="B251" s="930"/>
      <c r="C251" s="931"/>
      <c r="D251" s="932"/>
      <c r="E251" s="933"/>
      <c r="F251" s="934"/>
      <c r="G251" s="934"/>
      <c r="H251" s="934"/>
      <c r="I251" s="933"/>
      <c r="J251" s="934"/>
      <c r="K251" s="934"/>
      <c r="L251" s="934"/>
      <c r="M251" s="933"/>
      <c r="N251" s="934"/>
      <c r="O251" s="934"/>
      <c r="P251" s="934"/>
      <c r="Q251" s="933"/>
      <c r="R251" s="934"/>
      <c r="S251" s="934"/>
      <c r="T251" s="934"/>
      <c r="U251" s="933"/>
      <c r="V251" s="934"/>
      <c r="W251" s="934"/>
      <c r="X251" s="934"/>
      <c r="Y251" s="933"/>
      <c r="Z251" s="934"/>
      <c r="AA251" s="934"/>
      <c r="AB251" s="934"/>
      <c r="AC251" s="933"/>
      <c r="AD251" s="879"/>
      <c r="AE251" s="879"/>
      <c r="AF251" s="889"/>
      <c r="AG251" s="889"/>
      <c r="AH251" s="889"/>
      <c r="AI251" s="889"/>
    </row>
    <row r="252" spans="1:35" ht="15.75" thickBot="1" x14ac:dyDescent="0.25">
      <c r="C252" s="928">
        <v>198.36</v>
      </c>
      <c r="D252" s="928"/>
      <c r="E252" s="2901" t="s">
        <v>27758</v>
      </c>
      <c r="F252" s="2902"/>
      <c r="G252" s="2902"/>
      <c r="H252" s="2902"/>
      <c r="I252" s="2902"/>
      <c r="J252" s="2902"/>
      <c r="K252" s="2902"/>
      <c r="L252" s="2902"/>
      <c r="M252" s="2902"/>
      <c r="N252" s="2902"/>
      <c r="O252" s="2902"/>
      <c r="P252" s="2902"/>
      <c r="Q252" s="2902"/>
      <c r="R252" s="2902"/>
      <c r="S252" s="2902"/>
      <c r="T252" s="2902"/>
      <c r="U252" s="2902"/>
      <c r="V252" s="2902"/>
      <c r="W252" s="2902"/>
      <c r="X252" s="2902"/>
      <c r="Y252" s="2902"/>
      <c r="Z252" s="2902"/>
      <c r="AA252" s="2902"/>
    </row>
    <row r="253" spans="1:35" ht="17.45" customHeight="1" thickBot="1" x14ac:dyDescent="0.35">
      <c r="A253" s="860"/>
      <c r="B253" s="861" t="s">
        <v>27728</v>
      </c>
      <c r="C253" s="2894" t="s">
        <v>27729</v>
      </c>
      <c r="D253" s="2896" t="s">
        <v>27730</v>
      </c>
      <c r="E253" s="2896"/>
      <c r="F253" s="2896"/>
      <c r="G253" s="2896"/>
      <c r="H253" s="2896"/>
      <c r="I253" s="2896"/>
      <c r="J253" s="2896"/>
      <c r="K253" s="2896"/>
      <c r="L253" s="2896"/>
      <c r="M253" s="2896"/>
      <c r="N253" s="2896"/>
      <c r="O253" s="2896"/>
      <c r="P253" s="2896"/>
      <c r="Q253" s="2896"/>
      <c r="R253" s="2896"/>
      <c r="S253" s="2896"/>
      <c r="T253" s="2896"/>
      <c r="U253" s="2896"/>
      <c r="V253" s="2896"/>
      <c r="W253" s="2896"/>
      <c r="X253" s="2896"/>
      <c r="Y253" s="2896"/>
      <c r="Z253" s="2896"/>
      <c r="AA253" s="2896"/>
      <c r="AB253" s="2896"/>
      <c r="AC253" s="2896"/>
      <c r="AD253" s="862"/>
      <c r="AE253" s="862"/>
      <c r="AF253" s="862"/>
      <c r="AG253" s="862"/>
      <c r="AH253" s="862"/>
      <c r="AI253" s="862"/>
    </row>
    <row r="254" spans="1:35" ht="21.2" customHeight="1" thickBot="1" x14ac:dyDescent="0.25">
      <c r="A254" s="863"/>
      <c r="B254" s="864" t="s">
        <v>27731</v>
      </c>
      <c r="C254" s="2895"/>
      <c r="D254" s="2897" t="s">
        <v>27732</v>
      </c>
      <c r="E254" s="2897"/>
      <c r="F254" s="887"/>
      <c r="G254" s="887"/>
      <c r="H254" s="2898" t="s">
        <v>27733</v>
      </c>
      <c r="I254" s="2898"/>
      <c r="J254" s="888"/>
      <c r="K254" s="888"/>
      <c r="L254" s="2897" t="s">
        <v>27734</v>
      </c>
      <c r="M254" s="2897"/>
      <c r="N254" s="887"/>
      <c r="O254" s="887"/>
      <c r="P254" s="2898" t="s">
        <v>27735</v>
      </c>
      <c r="Q254" s="2898"/>
      <c r="R254" s="888"/>
      <c r="S254" s="888"/>
      <c r="T254" s="2897" t="s">
        <v>27736</v>
      </c>
      <c r="U254" s="2897"/>
      <c r="V254" s="887"/>
      <c r="W254" s="887"/>
      <c r="X254" s="2898" t="s">
        <v>27737</v>
      </c>
      <c r="Y254" s="2898"/>
      <c r="Z254" s="888"/>
      <c r="AA254" s="888"/>
      <c r="AB254" s="2897" t="s">
        <v>27738</v>
      </c>
      <c r="AC254" s="2897"/>
      <c r="AD254" s="867"/>
      <c r="AE254" s="867"/>
      <c r="AF254" s="868"/>
      <c r="AG254" s="868"/>
      <c r="AH254" s="868"/>
      <c r="AI254" s="868"/>
    </row>
    <row r="255" spans="1:35" ht="13.5" thickBot="1" x14ac:dyDescent="0.25">
      <c r="A255" s="863"/>
      <c r="B255" s="869"/>
      <c r="C255" s="869"/>
      <c r="D255" s="869" t="s">
        <v>27739</v>
      </c>
      <c r="E255" s="869" t="s">
        <v>27725</v>
      </c>
      <c r="F255" s="869"/>
      <c r="G255" s="869"/>
      <c r="H255" s="869" t="s">
        <v>27739</v>
      </c>
      <c r="I255" s="869" t="s">
        <v>27725</v>
      </c>
      <c r="J255" s="869"/>
      <c r="K255" s="869"/>
      <c r="L255" s="869" t="s">
        <v>27739</v>
      </c>
      <c r="M255" s="869" t="s">
        <v>27725</v>
      </c>
      <c r="N255" s="869"/>
      <c r="O255" s="869"/>
      <c r="P255" s="869" t="s">
        <v>27739</v>
      </c>
      <c r="Q255" s="869" t="s">
        <v>27725</v>
      </c>
      <c r="R255" s="869"/>
      <c r="S255" s="869"/>
      <c r="T255" s="869" t="s">
        <v>27739</v>
      </c>
      <c r="U255" s="869" t="s">
        <v>27725</v>
      </c>
      <c r="V255" s="869"/>
      <c r="W255" s="869"/>
      <c r="X255" s="869" t="s">
        <v>27739</v>
      </c>
      <c r="Y255" s="869" t="s">
        <v>27725</v>
      </c>
      <c r="Z255" s="869"/>
      <c r="AA255" s="869"/>
      <c r="AB255" s="869" t="s">
        <v>27739</v>
      </c>
      <c r="AC255" s="869" t="s">
        <v>27725</v>
      </c>
      <c r="AD255" s="870"/>
      <c r="AE255" s="870"/>
      <c r="AF255" s="871"/>
      <c r="AG255" s="871"/>
      <c r="AH255" s="871"/>
      <c r="AI255" s="871"/>
    </row>
    <row r="256" spans="1:35" ht="13.5" thickBot="1" x14ac:dyDescent="0.25">
      <c r="A256" s="863"/>
      <c r="B256" s="872" t="s">
        <v>27732</v>
      </c>
      <c r="C256" s="873" t="s">
        <v>27740</v>
      </c>
      <c r="D256" s="875">
        <f>E256*E240</f>
        <v>2747.3518083620024</v>
      </c>
      <c r="E256" s="875">
        <f>E206-$C$252</f>
        <v>1577.4177171022025</v>
      </c>
      <c r="F256" s="875"/>
      <c r="G256" s="875"/>
      <c r="H256" s="875">
        <f>I256*I240</f>
        <v>2725.8268718388958</v>
      </c>
      <c r="I256" s="875">
        <f>I206-$C$252</f>
        <v>1651.6722814629634</v>
      </c>
      <c r="J256" s="875"/>
      <c r="K256" s="875"/>
      <c r="L256" s="875">
        <f>M256*M240</f>
        <v>3325.2631014111921</v>
      </c>
      <c r="M256" s="875">
        <f>M206-$C$252</f>
        <v>1911.6786619422319</v>
      </c>
      <c r="N256" s="875"/>
      <c r="O256" s="875"/>
      <c r="P256" s="875">
        <f>Q256*Q240</f>
        <v>4232.604147118851</v>
      </c>
      <c r="Q256" s="875">
        <f>Q206-$C$252</f>
        <v>2140.3265990487921</v>
      </c>
      <c r="R256" s="875"/>
      <c r="S256" s="875"/>
      <c r="T256" s="875">
        <f>U256*U240</f>
        <v>4599.2855052315244</v>
      </c>
      <c r="U256" s="875">
        <f>U206-$C$252</f>
        <v>2524.1301532570892</v>
      </c>
      <c r="V256" s="875"/>
      <c r="W256" s="875"/>
      <c r="X256" s="875">
        <f>Y256*Y240</f>
        <v>4757.9835861814563</v>
      </c>
      <c r="Y256" s="875">
        <f>Y206-$C$252</f>
        <v>2670.0777588819037</v>
      </c>
      <c r="Z256" s="875"/>
      <c r="AA256" s="875"/>
      <c r="AB256" s="875">
        <f>AC256*AC240</f>
        <v>6366.7959146682415</v>
      </c>
      <c r="AC256" s="875">
        <f>AC206-$C$252</f>
        <v>3064.716033230316</v>
      </c>
      <c r="AD256" s="879"/>
      <c r="AE256" s="879"/>
      <c r="AF256" s="889"/>
      <c r="AG256" s="889"/>
      <c r="AH256" s="889"/>
      <c r="AI256" s="889"/>
    </row>
    <row r="257" spans="1:35" ht="13.5" hidden="1" thickBot="1" x14ac:dyDescent="0.25">
      <c r="A257" s="863"/>
      <c r="B257" s="872"/>
      <c r="C257" s="873"/>
      <c r="D257" s="875" t="e">
        <f t="shared" ref="D257:D266" si="42">E257*E241</f>
        <v>#DIV/0!</v>
      </c>
      <c r="E257" s="875">
        <f t="shared" ref="E257:E266" si="43">E207-$C$252</f>
        <v>-198.36</v>
      </c>
      <c r="F257" s="875"/>
      <c r="G257" s="875"/>
      <c r="H257" s="875" t="e">
        <f t="shared" ref="H257:H266" si="44">I257*I241</f>
        <v>#DIV/0!</v>
      </c>
      <c r="I257" s="875">
        <f t="shared" ref="I257:I266" si="45">I207-$C$252</f>
        <v>-198.36</v>
      </c>
      <c r="J257" s="875"/>
      <c r="K257" s="875"/>
      <c r="L257" s="875" t="e">
        <f t="shared" ref="L257:L266" si="46">M257*M241</f>
        <v>#DIV/0!</v>
      </c>
      <c r="M257" s="875">
        <f t="shared" ref="M257:M266" si="47">M207-$C$252</f>
        <v>-198.36</v>
      </c>
      <c r="N257" s="875"/>
      <c r="O257" s="875"/>
      <c r="P257" s="875" t="e">
        <f t="shared" ref="P257:P266" si="48">Q257*Q241</f>
        <v>#DIV/0!</v>
      </c>
      <c r="Q257" s="875">
        <f t="shared" ref="Q257:Q266" si="49">Q207-$C$252</f>
        <v>-198.36</v>
      </c>
      <c r="R257" s="875"/>
      <c r="S257" s="875"/>
      <c r="T257" s="875" t="e">
        <f t="shared" ref="T257:T266" si="50">U257*U241</f>
        <v>#DIV/0!</v>
      </c>
      <c r="U257" s="875">
        <f t="shared" ref="U257:U266" si="51">U207-$C$252</f>
        <v>-198.36</v>
      </c>
      <c r="V257" s="875"/>
      <c r="W257" s="875"/>
      <c r="X257" s="875" t="e">
        <f t="shared" ref="X257:X266" si="52">Y257*Y241</f>
        <v>#DIV/0!</v>
      </c>
      <c r="Y257" s="875">
        <f t="shared" ref="Y257:Y266" si="53">Y207-$C$252</f>
        <v>-198.36</v>
      </c>
      <c r="Z257" s="875"/>
      <c r="AA257" s="875"/>
      <c r="AB257" s="875" t="e">
        <f t="shared" ref="AB257:AB266" si="54">AC257*AC241</f>
        <v>#DIV/0!</v>
      </c>
      <c r="AC257" s="875">
        <f t="shared" ref="AC257:AC266" si="55">AC207-$C$252</f>
        <v>-198.36</v>
      </c>
      <c r="AD257" s="879"/>
      <c r="AE257" s="879"/>
      <c r="AF257" s="889"/>
      <c r="AG257" s="889"/>
      <c r="AH257" s="889"/>
      <c r="AI257" s="889"/>
    </row>
    <row r="258" spans="1:35" ht="13.5" thickBot="1" x14ac:dyDescent="0.25">
      <c r="A258" s="863"/>
      <c r="B258" s="872" t="s">
        <v>27733</v>
      </c>
      <c r="C258" s="873" t="s">
        <v>27740</v>
      </c>
      <c r="D258" s="875">
        <f t="shared" si="42"/>
        <v>2761.373700698889</v>
      </c>
      <c r="E258" s="875">
        <f t="shared" si="43"/>
        <v>1646.5282643302285</v>
      </c>
      <c r="F258" s="875"/>
      <c r="G258" s="875"/>
      <c r="H258" s="875">
        <f t="shared" si="44"/>
        <v>2739.5678923936775</v>
      </c>
      <c r="I258" s="875">
        <f t="shared" si="45"/>
        <v>1728.0925459849877</v>
      </c>
      <c r="J258" s="875"/>
      <c r="K258" s="875"/>
      <c r="L258" s="875">
        <f t="shared" si="46"/>
        <v>3341.2363352547804</v>
      </c>
      <c r="M258" s="875">
        <f t="shared" si="47"/>
        <v>2012.4646507775856</v>
      </c>
      <c r="N258" s="875"/>
      <c r="O258" s="875"/>
      <c r="P258" s="875">
        <f t="shared" si="48"/>
        <v>4253.6324448242758</v>
      </c>
      <c r="Q258" s="875">
        <f t="shared" si="49"/>
        <v>2265.4783121974733</v>
      </c>
      <c r="R258" s="875"/>
      <c r="S258" s="875"/>
      <c r="T258" s="875">
        <f t="shared" si="50"/>
        <v>4609.9264000781932</v>
      </c>
      <c r="U258" s="875">
        <f t="shared" si="51"/>
        <v>2675.1726641280325</v>
      </c>
      <c r="V258" s="875"/>
      <c r="W258" s="875"/>
      <c r="X258" s="875">
        <f t="shared" si="52"/>
        <v>4783.1611234844231</v>
      </c>
      <c r="Y258" s="875">
        <f t="shared" si="53"/>
        <v>2848.9874103428965</v>
      </c>
      <c r="Z258" s="875"/>
      <c r="AA258" s="875"/>
      <c r="AB258" s="875">
        <f t="shared" si="54"/>
        <v>6275.675709181517</v>
      </c>
      <c r="AC258" s="875">
        <f t="shared" si="55"/>
        <v>3402.5897526625408</v>
      </c>
      <c r="AD258" s="879"/>
      <c r="AE258" s="879"/>
      <c r="AF258" s="889"/>
      <c r="AG258" s="889"/>
      <c r="AH258" s="889"/>
      <c r="AI258" s="889"/>
    </row>
    <row r="259" spans="1:35" ht="13.5" hidden="1" thickBot="1" x14ac:dyDescent="0.25">
      <c r="A259" s="863"/>
      <c r="B259" s="872"/>
      <c r="C259" s="873"/>
      <c r="D259" s="875" t="e">
        <f t="shared" si="42"/>
        <v>#DIV/0!</v>
      </c>
      <c r="E259" s="875">
        <f t="shared" si="43"/>
        <v>-198.36</v>
      </c>
      <c r="F259" s="875"/>
      <c r="G259" s="875"/>
      <c r="H259" s="875" t="e">
        <f t="shared" si="44"/>
        <v>#DIV/0!</v>
      </c>
      <c r="I259" s="875">
        <f t="shared" si="45"/>
        <v>-198.36</v>
      </c>
      <c r="J259" s="875"/>
      <c r="K259" s="875"/>
      <c r="L259" s="875" t="e">
        <f t="shared" si="46"/>
        <v>#DIV/0!</v>
      </c>
      <c r="M259" s="875">
        <f t="shared" si="47"/>
        <v>-198.36</v>
      </c>
      <c r="N259" s="875"/>
      <c r="O259" s="875"/>
      <c r="P259" s="875" t="e">
        <f t="shared" si="48"/>
        <v>#DIV/0!</v>
      </c>
      <c r="Q259" s="875">
        <f t="shared" si="49"/>
        <v>-198.36</v>
      </c>
      <c r="R259" s="875"/>
      <c r="S259" s="875"/>
      <c r="T259" s="875" t="e">
        <f t="shared" si="50"/>
        <v>#DIV/0!</v>
      </c>
      <c r="U259" s="875">
        <f t="shared" si="51"/>
        <v>-198.36</v>
      </c>
      <c r="V259" s="875"/>
      <c r="W259" s="875"/>
      <c r="X259" s="875" t="e">
        <f t="shared" si="52"/>
        <v>#DIV/0!</v>
      </c>
      <c r="Y259" s="875">
        <f t="shared" si="53"/>
        <v>-198.36</v>
      </c>
      <c r="Z259" s="875"/>
      <c r="AA259" s="875"/>
      <c r="AB259" s="875" t="e">
        <f t="shared" si="54"/>
        <v>#DIV/0!</v>
      </c>
      <c r="AC259" s="875">
        <f t="shared" si="55"/>
        <v>-198.36</v>
      </c>
      <c r="AD259" s="879"/>
      <c r="AE259" s="879"/>
      <c r="AF259" s="889"/>
      <c r="AG259" s="889"/>
      <c r="AH259" s="889"/>
      <c r="AI259" s="889"/>
    </row>
    <row r="260" spans="1:35" ht="13.5" thickBot="1" x14ac:dyDescent="0.25">
      <c r="A260" s="863"/>
      <c r="B260" s="872" t="s">
        <v>27734</v>
      </c>
      <c r="C260" s="873" t="s">
        <v>27740</v>
      </c>
      <c r="D260" s="875">
        <f t="shared" si="42"/>
        <v>3439.8058948286612</v>
      </c>
      <c r="E260" s="875">
        <f t="shared" si="43"/>
        <v>1820.9540835935263</v>
      </c>
      <c r="F260" s="875"/>
      <c r="G260" s="875"/>
      <c r="H260" s="875">
        <f t="shared" si="44"/>
        <v>3384.4559816559013</v>
      </c>
      <c r="I260" s="875">
        <f t="shared" si="45"/>
        <v>1916.5618823200134</v>
      </c>
      <c r="J260" s="875"/>
      <c r="K260" s="875"/>
      <c r="L260" s="875">
        <f t="shared" si="46"/>
        <v>4334.4756991131335</v>
      </c>
      <c r="M260" s="875">
        <f t="shared" si="47"/>
        <v>2482.8475605332801</v>
      </c>
      <c r="N260" s="875"/>
      <c r="O260" s="875"/>
      <c r="P260" s="875">
        <f t="shared" si="48"/>
        <v>5593.4121217699749</v>
      </c>
      <c r="Q260" s="875">
        <f t="shared" si="49"/>
        <v>2994.0617634209652</v>
      </c>
      <c r="R260" s="875"/>
      <c r="S260" s="875"/>
      <c r="T260" s="875">
        <f t="shared" si="50"/>
        <v>7128.1406832375824</v>
      </c>
      <c r="U260" s="875">
        <f t="shared" si="51"/>
        <v>3865.3792531489262</v>
      </c>
      <c r="V260" s="875"/>
      <c r="W260" s="875"/>
      <c r="X260" s="875">
        <f t="shared" si="52"/>
        <v>7828.0807889062453</v>
      </c>
      <c r="Y260" s="875">
        <f t="shared" si="53"/>
        <v>4262.2932983188784</v>
      </c>
      <c r="Z260" s="875"/>
      <c r="AA260" s="875"/>
      <c r="AB260" s="875">
        <f t="shared" si="54"/>
        <v>10811.802991251265</v>
      </c>
      <c r="AC260" s="875">
        <f t="shared" si="55"/>
        <v>5253.5725485741496</v>
      </c>
      <c r="AD260" s="879"/>
      <c r="AE260" s="879"/>
      <c r="AF260" s="889"/>
      <c r="AG260" s="889"/>
      <c r="AH260" s="889"/>
      <c r="AI260" s="889"/>
    </row>
    <row r="261" spans="1:35" ht="13.5" hidden="1" thickBot="1" x14ac:dyDescent="0.25">
      <c r="A261" s="863"/>
      <c r="B261" s="872"/>
      <c r="C261" s="873"/>
      <c r="D261" s="875" t="e">
        <f t="shared" si="42"/>
        <v>#DIV/0!</v>
      </c>
      <c r="E261" s="875">
        <f t="shared" si="43"/>
        <v>-198.36</v>
      </c>
      <c r="F261" s="875"/>
      <c r="G261" s="875"/>
      <c r="H261" s="875" t="e">
        <f t="shared" si="44"/>
        <v>#DIV/0!</v>
      </c>
      <c r="I261" s="875">
        <f t="shared" si="45"/>
        <v>-198.36</v>
      </c>
      <c r="J261" s="875"/>
      <c r="K261" s="875"/>
      <c r="L261" s="875" t="e">
        <f t="shared" si="46"/>
        <v>#DIV/0!</v>
      </c>
      <c r="M261" s="875">
        <f t="shared" si="47"/>
        <v>-198.36</v>
      </c>
      <c r="N261" s="875"/>
      <c r="O261" s="875"/>
      <c r="P261" s="875" t="e">
        <f t="shared" si="48"/>
        <v>#DIV/0!</v>
      </c>
      <c r="Q261" s="875">
        <f t="shared" si="49"/>
        <v>-198.36</v>
      </c>
      <c r="R261" s="875"/>
      <c r="S261" s="875"/>
      <c r="T261" s="875" t="e">
        <f t="shared" si="50"/>
        <v>#DIV/0!</v>
      </c>
      <c r="U261" s="875">
        <f t="shared" si="51"/>
        <v>-198.36</v>
      </c>
      <c r="V261" s="875"/>
      <c r="W261" s="875"/>
      <c r="X261" s="875" t="e">
        <f t="shared" si="52"/>
        <v>#DIV/0!</v>
      </c>
      <c r="Y261" s="875">
        <f t="shared" si="53"/>
        <v>-198.36</v>
      </c>
      <c r="Z261" s="875"/>
      <c r="AA261" s="875"/>
      <c r="AB261" s="875" t="e">
        <f t="shared" si="54"/>
        <v>#DIV/0!</v>
      </c>
      <c r="AC261" s="875">
        <f t="shared" si="55"/>
        <v>-198.36</v>
      </c>
      <c r="AD261" s="879"/>
      <c r="AE261" s="879"/>
      <c r="AF261" s="889"/>
      <c r="AG261" s="889"/>
      <c r="AH261" s="889"/>
      <c r="AI261" s="889"/>
    </row>
    <row r="262" spans="1:35" ht="13.5" thickBot="1" x14ac:dyDescent="0.25">
      <c r="A262" s="863"/>
      <c r="B262" s="872" t="s">
        <v>27735</v>
      </c>
      <c r="C262" s="873" t="s">
        <v>27740</v>
      </c>
      <c r="D262" s="875">
        <f t="shared" si="42"/>
        <v>4441.6921728587358</v>
      </c>
      <c r="E262" s="875">
        <f t="shared" si="43"/>
        <v>2102.8662563597422</v>
      </c>
      <c r="F262" s="875"/>
      <c r="G262" s="875"/>
      <c r="H262" s="875">
        <f t="shared" si="44"/>
        <v>4369.5023076557991</v>
      </c>
      <c r="I262" s="875">
        <f t="shared" si="45"/>
        <v>2222.8397793995582</v>
      </c>
      <c r="J262" s="875"/>
      <c r="K262" s="875"/>
      <c r="L262" s="875">
        <f t="shared" si="46"/>
        <v>6008.5415875670351</v>
      </c>
      <c r="M262" s="875">
        <f t="shared" si="47"/>
        <v>3039.5752486642318</v>
      </c>
      <c r="N262" s="875"/>
      <c r="O262" s="875"/>
      <c r="P262" s="875">
        <f t="shared" si="48"/>
        <v>7919.4801948486247</v>
      </c>
      <c r="Q262" s="875">
        <f t="shared" si="49"/>
        <v>3840.0981375066312</v>
      </c>
      <c r="R262" s="875"/>
      <c r="S262" s="875"/>
      <c r="T262" s="875">
        <f t="shared" si="50"/>
        <v>10520.418167710459</v>
      </c>
      <c r="U262" s="875">
        <f t="shared" si="51"/>
        <v>4884.8683082549378</v>
      </c>
      <c r="V262" s="875"/>
      <c r="W262" s="875"/>
      <c r="X262" s="875">
        <f t="shared" si="52"/>
        <v>11770.476425128943</v>
      </c>
      <c r="Y262" s="875">
        <f t="shared" si="53"/>
        <v>5381.4103551327698</v>
      </c>
      <c r="Z262" s="875"/>
      <c r="AA262" s="875"/>
      <c r="AB262" s="875">
        <f t="shared" si="54"/>
        <v>15479.185898014357</v>
      </c>
      <c r="AC262" s="875">
        <f t="shared" si="55"/>
        <v>6223.1411635210397</v>
      </c>
      <c r="AD262" s="879"/>
      <c r="AE262" s="879"/>
      <c r="AF262" s="889"/>
      <c r="AG262" s="889"/>
      <c r="AH262" s="889"/>
      <c r="AI262" s="889"/>
    </row>
    <row r="263" spans="1:35" ht="13.5" hidden="1" thickBot="1" x14ac:dyDescent="0.25">
      <c r="A263" s="863"/>
      <c r="B263" s="872"/>
      <c r="C263" s="873"/>
      <c r="D263" s="875" t="e">
        <f t="shared" si="42"/>
        <v>#DIV/0!</v>
      </c>
      <c r="E263" s="875">
        <f t="shared" si="43"/>
        <v>-198.36</v>
      </c>
      <c r="F263" s="875"/>
      <c r="G263" s="875"/>
      <c r="H263" s="875" t="e">
        <f t="shared" si="44"/>
        <v>#DIV/0!</v>
      </c>
      <c r="I263" s="875">
        <f t="shared" si="45"/>
        <v>-198.36</v>
      </c>
      <c r="J263" s="875"/>
      <c r="K263" s="875"/>
      <c r="L263" s="875" t="e">
        <f t="shared" si="46"/>
        <v>#DIV/0!</v>
      </c>
      <c r="M263" s="875">
        <f t="shared" si="47"/>
        <v>-198.36</v>
      </c>
      <c r="N263" s="875"/>
      <c r="O263" s="875"/>
      <c r="P263" s="875" t="e">
        <f t="shared" si="48"/>
        <v>#DIV/0!</v>
      </c>
      <c r="Q263" s="875">
        <f t="shared" si="49"/>
        <v>-198.36</v>
      </c>
      <c r="R263" s="875"/>
      <c r="S263" s="875"/>
      <c r="T263" s="875" t="e">
        <f t="shared" si="50"/>
        <v>#DIV/0!</v>
      </c>
      <c r="U263" s="875">
        <f t="shared" si="51"/>
        <v>-198.36</v>
      </c>
      <c r="V263" s="875"/>
      <c r="W263" s="875"/>
      <c r="X263" s="875" t="e">
        <f t="shared" si="52"/>
        <v>#DIV/0!</v>
      </c>
      <c r="Y263" s="875">
        <f t="shared" si="53"/>
        <v>-198.36</v>
      </c>
      <c r="Z263" s="875"/>
      <c r="AA263" s="875"/>
      <c r="AB263" s="875" t="e">
        <f t="shared" si="54"/>
        <v>#DIV/0!</v>
      </c>
      <c r="AC263" s="875">
        <f t="shared" si="55"/>
        <v>-198.36</v>
      </c>
      <c r="AD263" s="879"/>
      <c r="AE263" s="879"/>
      <c r="AF263" s="889"/>
      <c r="AG263" s="889"/>
      <c r="AH263" s="889"/>
      <c r="AI263" s="889"/>
    </row>
    <row r="264" spans="1:35" ht="13.5" thickBot="1" x14ac:dyDescent="0.25">
      <c r="A264" s="863"/>
      <c r="B264" s="872" t="s">
        <v>27736</v>
      </c>
      <c r="C264" s="873" t="s">
        <v>27740</v>
      </c>
      <c r="D264" s="875">
        <f t="shared" si="42"/>
        <v>5164.5542536966241</v>
      </c>
      <c r="E264" s="875">
        <f t="shared" si="43"/>
        <v>2517.3187741382135</v>
      </c>
      <c r="F264" s="875"/>
      <c r="G264" s="875"/>
      <c r="H264" s="875">
        <f t="shared" si="44"/>
        <v>5038.4598303179564</v>
      </c>
      <c r="I264" s="875">
        <f t="shared" si="45"/>
        <v>2686.5208763241412</v>
      </c>
      <c r="J264" s="875"/>
      <c r="K264" s="875"/>
      <c r="L264" s="875">
        <f t="shared" si="46"/>
        <v>7852.1394208699357</v>
      </c>
      <c r="M264" s="875">
        <f t="shared" si="47"/>
        <v>3797.9533284860331</v>
      </c>
      <c r="N264" s="875"/>
      <c r="O264" s="875"/>
      <c r="P264" s="875">
        <f t="shared" si="48"/>
        <v>10879.07657488477</v>
      </c>
      <c r="Q264" s="875">
        <f t="shared" si="49"/>
        <v>4621.3254196745756</v>
      </c>
      <c r="R264" s="875"/>
      <c r="S264" s="875"/>
      <c r="T264" s="875">
        <f t="shared" si="50"/>
        <v>12987.918741698657</v>
      </c>
      <c r="U264" s="875">
        <f t="shared" si="51"/>
        <v>5888.000359376415</v>
      </c>
      <c r="V264" s="875"/>
      <c r="W264" s="875"/>
      <c r="X264" s="875">
        <f t="shared" si="52"/>
        <v>14219.53758985386</v>
      </c>
      <c r="Y264" s="875">
        <f t="shared" si="53"/>
        <v>6494.6391109779433</v>
      </c>
      <c r="Z264" s="875"/>
      <c r="AA264" s="875"/>
      <c r="AB264" s="875">
        <f t="shared" si="54"/>
        <v>19300.153688477647</v>
      </c>
      <c r="AC264" s="875">
        <f t="shared" si="55"/>
        <v>7839.198765070485</v>
      </c>
      <c r="AD264" s="879"/>
      <c r="AE264" s="879"/>
      <c r="AF264" s="889"/>
      <c r="AG264" s="889"/>
      <c r="AH264" s="889"/>
      <c r="AI264" s="889"/>
    </row>
    <row r="265" spans="1:35" ht="13.5" hidden="1" thickBot="1" x14ac:dyDescent="0.25">
      <c r="A265" s="863"/>
      <c r="B265" s="872"/>
      <c r="C265" s="873"/>
      <c r="D265" s="875" t="e">
        <f t="shared" si="42"/>
        <v>#DIV/0!</v>
      </c>
      <c r="E265" s="875">
        <f t="shared" si="43"/>
        <v>-198.36</v>
      </c>
      <c r="F265" s="875"/>
      <c r="G265" s="875"/>
      <c r="H265" s="875" t="e">
        <f t="shared" si="44"/>
        <v>#DIV/0!</v>
      </c>
      <c r="I265" s="875">
        <f t="shared" si="45"/>
        <v>-198.36</v>
      </c>
      <c r="J265" s="875"/>
      <c r="K265" s="875"/>
      <c r="L265" s="875" t="e">
        <f t="shared" si="46"/>
        <v>#DIV/0!</v>
      </c>
      <c r="M265" s="875">
        <f t="shared" si="47"/>
        <v>-198.36</v>
      </c>
      <c r="N265" s="875"/>
      <c r="O265" s="875"/>
      <c r="P265" s="875" t="e">
        <f t="shared" si="48"/>
        <v>#DIV/0!</v>
      </c>
      <c r="Q265" s="875">
        <f t="shared" si="49"/>
        <v>-198.36</v>
      </c>
      <c r="R265" s="875"/>
      <c r="S265" s="875"/>
      <c r="T265" s="875" t="e">
        <f t="shared" si="50"/>
        <v>#DIV/0!</v>
      </c>
      <c r="U265" s="875">
        <f t="shared" si="51"/>
        <v>-198.36</v>
      </c>
      <c r="V265" s="875"/>
      <c r="W265" s="875"/>
      <c r="X265" s="875" t="e">
        <f t="shared" si="52"/>
        <v>#DIV/0!</v>
      </c>
      <c r="Y265" s="875">
        <f t="shared" si="53"/>
        <v>-198.36</v>
      </c>
      <c r="Z265" s="875"/>
      <c r="AA265" s="875"/>
      <c r="AB265" s="875" t="e">
        <f t="shared" si="54"/>
        <v>#DIV/0!</v>
      </c>
      <c r="AC265" s="875">
        <f t="shared" si="55"/>
        <v>-198.36</v>
      </c>
      <c r="AD265" s="879"/>
      <c r="AE265" s="879"/>
      <c r="AF265" s="889"/>
      <c r="AG265" s="889"/>
      <c r="AH265" s="889"/>
      <c r="AI265" s="889"/>
    </row>
    <row r="266" spans="1:35" ht="13.5" thickBot="1" x14ac:dyDescent="0.25">
      <c r="A266" s="863"/>
      <c r="B266" s="882" t="s">
        <v>27737</v>
      </c>
      <c r="C266" s="873" t="s">
        <v>27740</v>
      </c>
      <c r="D266" s="875">
        <f t="shared" si="42"/>
        <v>5555.2762762728871</v>
      </c>
      <c r="E266" s="875">
        <f t="shared" si="43"/>
        <v>2723.555082069553</v>
      </c>
      <c r="F266" s="875"/>
      <c r="G266" s="875"/>
      <c r="H266" s="875">
        <f t="shared" si="44"/>
        <v>5397.4610870182523</v>
      </c>
      <c r="I266" s="875">
        <f t="shared" si="45"/>
        <v>2898.2468960328397</v>
      </c>
      <c r="J266" s="875"/>
      <c r="K266" s="875"/>
      <c r="L266" s="875">
        <f t="shared" si="46"/>
        <v>9206.0560226377293</v>
      </c>
      <c r="M266" s="875">
        <f t="shared" si="47"/>
        <v>4385.8216708995114</v>
      </c>
      <c r="N266" s="875"/>
      <c r="O266" s="875"/>
      <c r="P266" s="875">
        <f t="shared" si="48"/>
        <v>13009.008793269657</v>
      </c>
      <c r="Q266" s="875">
        <f t="shared" si="49"/>
        <v>5331.3334077227082</v>
      </c>
      <c r="R266" s="875"/>
      <c r="S266" s="875"/>
      <c r="T266" s="875">
        <f t="shared" si="50"/>
        <v>15461.217101155515</v>
      </c>
      <c r="U266" s="875">
        <f t="shared" si="51"/>
        <v>6755.8658864068784</v>
      </c>
      <c r="V266" s="875"/>
      <c r="W266" s="875"/>
      <c r="X266" s="875">
        <f t="shared" si="52"/>
        <v>16736.032947524171</v>
      </c>
      <c r="Y266" s="875">
        <f t="shared" si="53"/>
        <v>7630.7290749551266</v>
      </c>
      <c r="Z266" s="875"/>
      <c r="AA266" s="875"/>
      <c r="AB266" s="875">
        <f t="shared" si="54"/>
        <v>22828.048332047714</v>
      </c>
      <c r="AC266" s="875">
        <f t="shared" si="55"/>
        <v>9264.3140897734902</v>
      </c>
      <c r="AD266" s="879"/>
      <c r="AE266" s="879"/>
      <c r="AF266" s="889"/>
      <c r="AG266" s="889"/>
      <c r="AH266" s="889"/>
      <c r="AI266" s="889"/>
    </row>
    <row r="267" spans="1:35" ht="124.5" customHeight="1" x14ac:dyDescent="0.2">
      <c r="C267" s="782">
        <v>236.63</v>
      </c>
    </row>
    <row r="268" spans="1:35" ht="68.25" customHeight="1" x14ac:dyDescent="0.2"/>
    <row r="269" spans="1:35" ht="30.2" customHeight="1" thickBot="1" x14ac:dyDescent="0.4">
      <c r="A269" s="854"/>
      <c r="B269" s="2892" t="s">
        <v>27759</v>
      </c>
      <c r="C269" s="2893"/>
      <c r="D269" s="2893"/>
      <c r="E269" s="2893"/>
      <c r="F269" s="2893"/>
      <c r="G269" s="2893"/>
      <c r="H269" s="2893"/>
      <c r="I269" s="2893"/>
      <c r="J269" s="2893"/>
      <c r="K269" s="2893"/>
      <c r="L269" s="2893"/>
      <c r="M269" s="2893"/>
      <c r="N269" s="2893"/>
      <c r="O269" s="2893"/>
      <c r="P269" s="2893"/>
      <c r="Q269" s="2893"/>
      <c r="R269" s="2893"/>
      <c r="S269" s="2893"/>
      <c r="T269" s="2893"/>
      <c r="U269" s="2893"/>
      <c r="V269" s="2893"/>
      <c r="W269" s="2893"/>
      <c r="X269" s="2893"/>
      <c r="AB269" s="855"/>
    </row>
    <row r="270" spans="1:35" ht="17.45" customHeight="1" thickBot="1" x14ac:dyDescent="0.35">
      <c r="A270" s="860"/>
      <c r="B270" s="861" t="s">
        <v>27728</v>
      </c>
      <c r="C270" s="2894" t="s">
        <v>27729</v>
      </c>
      <c r="D270" s="2896" t="s">
        <v>27730</v>
      </c>
      <c r="E270" s="2896"/>
      <c r="F270" s="2896"/>
      <c r="G270" s="2896"/>
      <c r="H270" s="2896"/>
      <c r="I270" s="2896"/>
      <c r="J270" s="2896"/>
      <c r="K270" s="2896"/>
      <c r="L270" s="2896"/>
      <c r="M270" s="2896"/>
      <c r="N270" s="2896"/>
      <c r="O270" s="2896"/>
      <c r="P270" s="2896"/>
      <c r="Q270" s="2896"/>
      <c r="R270" s="2896"/>
      <c r="S270" s="2896"/>
      <c r="T270" s="2896"/>
      <c r="U270" s="2896"/>
      <c r="V270" s="2896"/>
      <c r="W270" s="2896"/>
      <c r="X270" s="2896"/>
      <c r="Y270" s="2896"/>
      <c r="Z270" s="2896"/>
      <c r="AA270" s="2896"/>
      <c r="AB270" s="2896"/>
      <c r="AC270" s="2896"/>
      <c r="AD270" s="862"/>
      <c r="AE270" s="862"/>
      <c r="AF270" s="862"/>
      <c r="AG270" s="862"/>
      <c r="AH270" s="862"/>
      <c r="AI270" s="862"/>
    </row>
    <row r="271" spans="1:35" ht="21.2" customHeight="1" thickBot="1" x14ac:dyDescent="0.25">
      <c r="A271" s="863"/>
      <c r="B271" s="864" t="s">
        <v>27731</v>
      </c>
      <c r="C271" s="2895"/>
      <c r="D271" s="2897" t="s">
        <v>27732</v>
      </c>
      <c r="E271" s="2897"/>
      <c r="F271" s="887"/>
      <c r="G271" s="887"/>
      <c r="H271" s="2898" t="s">
        <v>27733</v>
      </c>
      <c r="I271" s="2898"/>
      <c r="J271" s="888"/>
      <c r="K271" s="888"/>
      <c r="L271" s="2897" t="s">
        <v>27734</v>
      </c>
      <c r="M271" s="2897"/>
      <c r="N271" s="887"/>
      <c r="O271" s="887"/>
      <c r="P271" s="2898" t="s">
        <v>27735</v>
      </c>
      <c r="Q271" s="2898"/>
      <c r="R271" s="888"/>
      <c r="S271" s="888"/>
      <c r="T271" s="2897" t="s">
        <v>27736</v>
      </c>
      <c r="U271" s="2897"/>
      <c r="V271" s="887"/>
      <c r="W271" s="887"/>
      <c r="X271" s="2898" t="s">
        <v>27737</v>
      </c>
      <c r="Y271" s="2898"/>
      <c r="Z271" s="888"/>
      <c r="AA271" s="888"/>
      <c r="AB271" s="2897" t="s">
        <v>27738</v>
      </c>
      <c r="AC271" s="2897"/>
      <c r="AD271" s="867"/>
      <c r="AE271" s="867"/>
      <c r="AF271" s="868"/>
      <c r="AG271" s="868"/>
      <c r="AH271" s="868"/>
      <c r="AI271" s="868"/>
    </row>
    <row r="272" spans="1:35" ht="13.5" thickBot="1" x14ac:dyDescent="0.25">
      <c r="A272" s="863"/>
      <c r="B272" s="869"/>
      <c r="C272" s="869"/>
      <c r="D272" s="869" t="s">
        <v>27739</v>
      </c>
      <c r="E272" s="869" t="s">
        <v>27725</v>
      </c>
      <c r="F272" s="869"/>
      <c r="G272" s="869"/>
      <c r="H272" s="869" t="s">
        <v>27739</v>
      </c>
      <c r="I272" s="869" t="s">
        <v>27725</v>
      </c>
      <c r="J272" s="869"/>
      <c r="K272" s="869"/>
      <c r="L272" s="869" t="s">
        <v>27739</v>
      </c>
      <c r="M272" s="869" t="s">
        <v>27725</v>
      </c>
      <c r="N272" s="869"/>
      <c r="O272" s="869"/>
      <c r="P272" s="869" t="s">
        <v>27739</v>
      </c>
      <c r="Q272" s="869" t="s">
        <v>27725</v>
      </c>
      <c r="R272" s="869"/>
      <c r="S272" s="869"/>
      <c r="T272" s="869" t="s">
        <v>27739</v>
      </c>
      <c r="U272" s="869" t="s">
        <v>27725</v>
      </c>
      <c r="V272" s="869"/>
      <c r="W272" s="869"/>
      <c r="X272" s="869" t="s">
        <v>27739</v>
      </c>
      <c r="Y272" s="869" t="s">
        <v>27725</v>
      </c>
      <c r="Z272" s="869"/>
      <c r="AA272" s="869"/>
      <c r="AB272" s="869" t="s">
        <v>27739</v>
      </c>
      <c r="AC272" s="869" t="s">
        <v>27725</v>
      </c>
      <c r="AD272" s="870"/>
      <c r="AE272" s="870"/>
      <c r="AF272" s="871"/>
      <c r="AG272" s="871"/>
      <c r="AH272" s="871"/>
      <c r="AI272" s="871"/>
    </row>
    <row r="273" spans="1:35" ht="13.5" thickBot="1" x14ac:dyDescent="0.25">
      <c r="A273" s="863"/>
      <c r="B273" s="872" t="s">
        <v>27732</v>
      </c>
      <c r="C273" s="873" t="s">
        <v>27740</v>
      </c>
      <c r="D273" s="875">
        <v>2500.42</v>
      </c>
      <c r="E273" s="875">
        <v>1391.41</v>
      </c>
      <c r="F273" s="875"/>
      <c r="G273" s="875"/>
      <c r="H273" s="877">
        <v>2500.42</v>
      </c>
      <c r="I273" s="877">
        <v>1481.9</v>
      </c>
      <c r="J273" s="877"/>
      <c r="K273" s="877"/>
      <c r="L273" s="875">
        <v>3101.04</v>
      </c>
      <c r="M273" s="875">
        <v>1731.56</v>
      </c>
      <c r="N273" s="875"/>
      <c r="O273" s="875"/>
      <c r="P273" s="877">
        <v>4007.28</v>
      </c>
      <c r="Q273" s="877">
        <v>1975.82</v>
      </c>
      <c r="R273" s="877"/>
      <c r="S273" s="877"/>
      <c r="T273" s="875">
        <v>4409.66</v>
      </c>
      <c r="U273" s="875">
        <v>2379.8200000000002</v>
      </c>
      <c r="V273" s="875"/>
      <c r="W273" s="875"/>
      <c r="X273" s="877">
        <v>4600.7608259587014</v>
      </c>
      <c r="Y273" s="877">
        <v>2510.6799999999998</v>
      </c>
      <c r="Z273" s="877"/>
      <c r="AA273" s="877"/>
      <c r="AB273" s="875">
        <v>6134.3477679449352</v>
      </c>
      <c r="AC273" s="875">
        <v>2919.46</v>
      </c>
      <c r="AD273" s="879"/>
      <c r="AE273" s="879"/>
      <c r="AF273" s="889"/>
      <c r="AG273" s="889"/>
      <c r="AH273" s="889"/>
      <c r="AI273" s="889"/>
    </row>
    <row r="274" spans="1:35" ht="13.7" hidden="1" customHeight="1" thickBot="1" x14ac:dyDescent="0.25">
      <c r="A274" s="863"/>
      <c r="B274" s="872"/>
      <c r="C274" s="873"/>
      <c r="D274" s="875"/>
      <c r="E274" s="875"/>
      <c r="F274" s="875"/>
      <c r="G274" s="875"/>
      <c r="H274" s="877"/>
      <c r="I274" s="877"/>
      <c r="J274" s="877"/>
      <c r="K274" s="877"/>
      <c r="L274" s="875"/>
      <c r="M274" s="875"/>
      <c r="N274" s="875"/>
      <c r="O274" s="875"/>
      <c r="P274" s="877"/>
      <c r="Q274" s="877"/>
      <c r="R274" s="877"/>
      <c r="S274" s="877"/>
      <c r="T274" s="875"/>
      <c r="U274" s="875"/>
      <c r="V274" s="875"/>
      <c r="W274" s="875"/>
      <c r="X274" s="877"/>
      <c r="Y274" s="877"/>
      <c r="Z274" s="877"/>
      <c r="AA274" s="877"/>
      <c r="AB274" s="875"/>
      <c r="AC274" s="875"/>
      <c r="AD274" s="879"/>
      <c r="AE274" s="879"/>
      <c r="AF274" s="889"/>
      <c r="AG274" s="889"/>
      <c r="AH274" s="889"/>
      <c r="AI274" s="889"/>
    </row>
    <row r="275" spans="1:35" ht="13.5" thickBot="1" x14ac:dyDescent="0.25">
      <c r="A275" s="863"/>
      <c r="B275" s="872" t="s">
        <v>27733</v>
      </c>
      <c r="C275" s="873" t="s">
        <v>27740</v>
      </c>
      <c r="D275" s="875">
        <v>2500.42</v>
      </c>
      <c r="E275" s="875">
        <v>1447.4</v>
      </c>
      <c r="F275" s="875"/>
      <c r="G275" s="875"/>
      <c r="H275" s="877">
        <v>2500.42</v>
      </c>
      <c r="I275" s="877">
        <v>1527.76</v>
      </c>
      <c r="J275" s="877"/>
      <c r="K275" s="877"/>
      <c r="L275" s="875">
        <v>3101.04</v>
      </c>
      <c r="M275" s="875">
        <v>1818.68</v>
      </c>
      <c r="N275" s="875"/>
      <c r="O275" s="875"/>
      <c r="P275" s="877">
        <v>4007.28</v>
      </c>
      <c r="Q275" s="877">
        <v>2103.0700000000002</v>
      </c>
      <c r="R275" s="877"/>
      <c r="S275" s="877"/>
      <c r="T275" s="875">
        <v>4409.66</v>
      </c>
      <c r="U275" s="875">
        <v>2490.96</v>
      </c>
      <c r="V275" s="875"/>
      <c r="W275" s="875"/>
      <c r="X275" s="877">
        <v>4600.7608259587014</v>
      </c>
      <c r="Y275" s="877">
        <v>2673.97</v>
      </c>
      <c r="Z275" s="877"/>
      <c r="AA275" s="877"/>
      <c r="AB275" s="875">
        <v>6134.3477679449352</v>
      </c>
      <c r="AC275" s="875">
        <v>3328.93</v>
      </c>
      <c r="AD275" s="879"/>
      <c r="AE275" s="879"/>
      <c r="AF275" s="889"/>
      <c r="AG275" s="889"/>
      <c r="AH275" s="889"/>
      <c r="AI275" s="889"/>
    </row>
    <row r="276" spans="1:35" ht="13.7" hidden="1" customHeight="1" thickBot="1" x14ac:dyDescent="0.25">
      <c r="A276" s="863"/>
      <c r="B276" s="872"/>
      <c r="C276" s="873"/>
      <c r="D276" s="875"/>
      <c r="E276" s="875"/>
      <c r="F276" s="875"/>
      <c r="G276" s="875"/>
      <c r="H276" s="877"/>
      <c r="I276" s="877"/>
      <c r="J276" s="877"/>
      <c r="K276" s="877"/>
      <c r="L276" s="875"/>
      <c r="M276" s="875"/>
      <c r="N276" s="875"/>
      <c r="O276" s="875"/>
      <c r="P276" s="877"/>
      <c r="Q276" s="877"/>
      <c r="R276" s="877"/>
      <c r="S276" s="877"/>
      <c r="T276" s="875"/>
      <c r="U276" s="875"/>
      <c r="V276" s="875"/>
      <c r="W276" s="875"/>
      <c r="X276" s="877"/>
      <c r="Y276" s="877"/>
      <c r="Z276" s="877"/>
      <c r="AA276" s="877"/>
      <c r="AB276" s="875"/>
      <c r="AC276" s="875"/>
      <c r="AD276" s="879"/>
      <c r="AE276" s="879"/>
      <c r="AF276" s="889"/>
      <c r="AG276" s="889"/>
      <c r="AH276" s="889"/>
      <c r="AI276" s="889"/>
    </row>
    <row r="277" spans="1:35" ht="13.5" thickBot="1" x14ac:dyDescent="0.25">
      <c r="A277" s="863"/>
      <c r="B277" s="872" t="s">
        <v>27734</v>
      </c>
      <c r="C277" s="873" t="s">
        <v>27740</v>
      </c>
      <c r="D277" s="875">
        <v>2958.26</v>
      </c>
      <c r="E277" s="875">
        <v>1552.47</v>
      </c>
      <c r="F277" s="875"/>
      <c r="G277" s="875"/>
      <c r="H277" s="877">
        <v>2958.26</v>
      </c>
      <c r="I277" s="877">
        <v>1673.72</v>
      </c>
      <c r="J277" s="877"/>
      <c r="K277" s="877"/>
      <c r="L277" s="875">
        <v>4063.92</v>
      </c>
      <c r="M277" s="875">
        <v>2222.4699999999998</v>
      </c>
      <c r="N277" s="875"/>
      <c r="O277" s="875"/>
      <c r="P277" s="877">
        <v>5219.1400000000003</v>
      </c>
      <c r="Q277" s="877">
        <v>2578.9699999999998</v>
      </c>
      <c r="R277" s="877"/>
      <c r="S277" s="877"/>
      <c r="T277" s="875">
        <v>6428.64</v>
      </c>
      <c r="U277" s="875">
        <v>3168.97</v>
      </c>
      <c r="V277" s="875"/>
      <c r="W277" s="875"/>
      <c r="X277" s="877">
        <v>7003.0633038348087</v>
      </c>
      <c r="Y277" s="877">
        <v>3373.14</v>
      </c>
      <c r="Z277" s="877"/>
      <c r="AA277" s="877"/>
      <c r="AB277" s="875">
        <v>9337.417738446411</v>
      </c>
      <c r="AC277" s="875">
        <v>3952.74</v>
      </c>
      <c r="AD277" s="879"/>
      <c r="AE277" s="879"/>
      <c r="AF277" s="889"/>
      <c r="AG277" s="889"/>
      <c r="AH277" s="889"/>
      <c r="AI277" s="889"/>
    </row>
    <row r="278" spans="1:35" ht="13.7" hidden="1" customHeight="1" thickBot="1" x14ac:dyDescent="0.25">
      <c r="A278" s="863"/>
      <c r="B278" s="872"/>
      <c r="C278" s="873"/>
      <c r="D278" s="875"/>
      <c r="E278" s="875"/>
      <c r="F278" s="875"/>
      <c r="G278" s="875"/>
      <c r="H278" s="877"/>
      <c r="I278" s="877"/>
      <c r="J278" s="877"/>
      <c r="K278" s="877"/>
      <c r="L278" s="875"/>
      <c r="M278" s="875"/>
      <c r="N278" s="875"/>
      <c r="O278" s="875"/>
      <c r="P278" s="877"/>
      <c r="Q278" s="877"/>
      <c r="R278" s="877"/>
      <c r="S278" s="877"/>
      <c r="T278" s="875"/>
      <c r="U278" s="875"/>
      <c r="V278" s="875"/>
      <c r="W278" s="875"/>
      <c r="X278" s="877"/>
      <c r="Y278" s="877"/>
      <c r="Z278" s="877"/>
      <c r="AA278" s="877"/>
      <c r="AB278" s="875"/>
      <c r="AC278" s="875"/>
      <c r="AD278" s="879"/>
      <c r="AE278" s="879"/>
      <c r="AF278" s="889"/>
      <c r="AG278" s="889"/>
      <c r="AH278" s="889"/>
      <c r="AI278" s="889"/>
    </row>
    <row r="279" spans="1:35" ht="13.5" thickBot="1" x14ac:dyDescent="0.25">
      <c r="A279" s="863"/>
      <c r="B279" s="872" t="s">
        <v>27735</v>
      </c>
      <c r="C279" s="873" t="s">
        <v>27740</v>
      </c>
      <c r="D279" s="875">
        <v>3742.96</v>
      </c>
      <c r="E279" s="875">
        <v>1785.8</v>
      </c>
      <c r="F279" s="875"/>
      <c r="G279" s="875"/>
      <c r="H279" s="877">
        <v>3742.96</v>
      </c>
      <c r="I279" s="877">
        <v>1918.53</v>
      </c>
      <c r="J279" s="877"/>
      <c r="K279" s="877"/>
      <c r="L279" s="875">
        <v>5312.36</v>
      </c>
      <c r="M279" s="875">
        <v>2704.33</v>
      </c>
      <c r="N279" s="875"/>
      <c r="O279" s="875"/>
      <c r="P279" s="877">
        <v>6931.32</v>
      </c>
      <c r="Q279" s="877">
        <v>3520.12</v>
      </c>
      <c r="R279" s="877"/>
      <c r="S279" s="877"/>
      <c r="T279" s="875">
        <v>8945.58</v>
      </c>
      <c r="U279" s="875">
        <v>4319</v>
      </c>
      <c r="V279" s="875"/>
      <c r="W279" s="875"/>
      <c r="X279" s="877">
        <v>9902.2049557522132</v>
      </c>
      <c r="Y279" s="877">
        <v>4651.43</v>
      </c>
      <c r="Z279" s="877"/>
      <c r="AA279" s="877"/>
      <c r="AB279" s="875">
        <v>13202.939941002951</v>
      </c>
      <c r="AC279" s="875">
        <v>5493.53</v>
      </c>
      <c r="AD279" s="879"/>
      <c r="AE279" s="879"/>
      <c r="AF279" s="889"/>
      <c r="AG279" s="889"/>
      <c r="AH279" s="889"/>
      <c r="AI279" s="889"/>
    </row>
    <row r="280" spans="1:35" ht="13.7" hidden="1" customHeight="1" thickBot="1" x14ac:dyDescent="0.25">
      <c r="A280" s="863"/>
      <c r="B280" s="872"/>
      <c r="C280" s="873"/>
      <c r="D280" s="875"/>
      <c r="E280" s="875"/>
      <c r="F280" s="875"/>
      <c r="G280" s="875"/>
      <c r="H280" s="877"/>
      <c r="I280" s="877"/>
      <c r="J280" s="877"/>
      <c r="K280" s="877"/>
      <c r="L280" s="875"/>
      <c r="M280" s="875"/>
      <c r="N280" s="875"/>
      <c r="O280" s="875"/>
      <c r="P280" s="877"/>
      <c r="Q280" s="877"/>
      <c r="R280" s="877"/>
      <c r="S280" s="877"/>
      <c r="T280" s="875"/>
      <c r="U280" s="875"/>
      <c r="V280" s="875"/>
      <c r="W280" s="875"/>
      <c r="X280" s="877"/>
      <c r="Y280" s="877"/>
      <c r="Z280" s="877"/>
      <c r="AA280" s="877"/>
      <c r="AB280" s="875"/>
      <c r="AC280" s="875"/>
      <c r="AD280" s="879"/>
      <c r="AE280" s="879"/>
      <c r="AF280" s="889"/>
      <c r="AG280" s="889"/>
      <c r="AH280" s="889"/>
      <c r="AI280" s="889"/>
    </row>
    <row r="281" spans="1:35" ht="13.5" thickBot="1" x14ac:dyDescent="0.25">
      <c r="A281" s="863"/>
      <c r="B281" s="872" t="s">
        <v>27736</v>
      </c>
      <c r="C281" s="873" t="s">
        <v>27740</v>
      </c>
      <c r="D281" s="875">
        <v>4231.4799999999996</v>
      </c>
      <c r="E281" s="875">
        <v>2083.96</v>
      </c>
      <c r="F281" s="875"/>
      <c r="G281" s="875"/>
      <c r="H281" s="877">
        <v>4231.4799999999996</v>
      </c>
      <c r="I281" s="877">
        <v>2275.21</v>
      </c>
      <c r="J281" s="877"/>
      <c r="K281" s="877"/>
      <c r="L281" s="875">
        <v>6633.96</v>
      </c>
      <c r="M281" s="875">
        <v>3279.73</v>
      </c>
      <c r="N281" s="875"/>
      <c r="O281" s="875"/>
      <c r="P281" s="877">
        <v>9086</v>
      </c>
      <c r="Q281" s="877">
        <v>4039.4</v>
      </c>
      <c r="R281" s="877"/>
      <c r="S281" s="877"/>
      <c r="T281" s="875">
        <v>10979.9</v>
      </c>
      <c r="U281" s="875">
        <v>5171.46</v>
      </c>
      <c r="V281" s="875"/>
      <c r="W281" s="875"/>
      <c r="X281" s="877">
        <v>11879.362831858407</v>
      </c>
      <c r="Y281" s="877">
        <v>5566.15</v>
      </c>
      <c r="Z281" s="877"/>
      <c r="AA281" s="877"/>
      <c r="AB281" s="875">
        <v>15839.150442477874</v>
      </c>
      <c r="AC281" s="875">
        <v>6699.72</v>
      </c>
      <c r="AD281" s="879"/>
      <c r="AE281" s="879"/>
      <c r="AF281" s="889"/>
      <c r="AG281" s="889"/>
      <c r="AH281" s="889"/>
      <c r="AI281" s="889"/>
    </row>
    <row r="282" spans="1:35" ht="13.7" hidden="1" customHeight="1" thickBot="1" x14ac:dyDescent="0.25">
      <c r="A282" s="863"/>
      <c r="B282" s="872"/>
      <c r="C282" s="873"/>
      <c r="D282" s="875"/>
      <c r="E282" s="875"/>
      <c r="F282" s="875"/>
      <c r="G282" s="875"/>
      <c r="H282" s="877"/>
      <c r="I282" s="877"/>
      <c r="J282" s="877"/>
      <c r="K282" s="877"/>
      <c r="L282" s="875"/>
      <c r="M282" s="875"/>
      <c r="N282" s="875"/>
      <c r="O282" s="875"/>
      <c r="P282" s="877"/>
      <c r="Q282" s="877"/>
      <c r="R282" s="877"/>
      <c r="S282" s="877"/>
      <c r="T282" s="875"/>
      <c r="U282" s="875"/>
      <c r="V282" s="875"/>
      <c r="W282" s="875"/>
      <c r="X282" s="877"/>
      <c r="Y282" s="877"/>
      <c r="Z282" s="877"/>
      <c r="AA282" s="877"/>
      <c r="AB282" s="875"/>
      <c r="AC282" s="875"/>
      <c r="AD282" s="879"/>
      <c r="AE282" s="879"/>
      <c r="AF282" s="889"/>
      <c r="AG282" s="889"/>
      <c r="AH282" s="889"/>
      <c r="AI282" s="889"/>
    </row>
    <row r="283" spans="1:35" ht="13.5" thickBot="1" x14ac:dyDescent="0.25">
      <c r="A283" s="863"/>
      <c r="B283" s="882" t="s">
        <v>27737</v>
      </c>
      <c r="C283" s="873" t="s">
        <v>27740</v>
      </c>
      <c r="D283" s="875">
        <v>4463.4909734513267</v>
      </c>
      <c r="E283" s="875">
        <v>2186.34</v>
      </c>
      <c r="F283" s="875"/>
      <c r="G283" s="875"/>
      <c r="H283" s="877">
        <v>4463.4909734513267</v>
      </c>
      <c r="I283" s="877">
        <v>2425.12</v>
      </c>
      <c r="J283" s="877"/>
      <c r="K283" s="877"/>
      <c r="L283" s="875">
        <v>7261.6225368731566</v>
      </c>
      <c r="M283" s="875">
        <v>3538.81</v>
      </c>
      <c r="N283" s="875"/>
      <c r="O283" s="875"/>
      <c r="P283" s="877">
        <v>10109.314100294985</v>
      </c>
      <c r="Q283" s="877">
        <v>4383.95</v>
      </c>
      <c r="R283" s="877"/>
      <c r="S283" s="877"/>
      <c r="T283" s="875">
        <v>11946.051976401179</v>
      </c>
      <c r="U283" s="875">
        <v>5433.41</v>
      </c>
      <c r="V283" s="875"/>
      <c r="W283" s="875"/>
      <c r="X283" s="877">
        <v>12818.367014905891</v>
      </c>
      <c r="Y283" s="877">
        <v>6033.5</v>
      </c>
      <c r="Z283" s="877"/>
      <c r="AA283" s="877"/>
      <c r="AB283" s="875">
        <v>17091.156019874521</v>
      </c>
      <c r="AC283" s="875">
        <v>7220.14</v>
      </c>
      <c r="AD283" s="879"/>
      <c r="AE283" s="879"/>
      <c r="AF283" s="889"/>
      <c r="AG283" s="889"/>
      <c r="AH283" s="889"/>
      <c r="AI283" s="889"/>
    </row>
    <row r="284" spans="1:35" x14ac:dyDescent="0.2">
      <c r="AB284" s="855"/>
      <c r="AD284" s="855"/>
      <c r="AE284" s="855"/>
    </row>
    <row r="285" spans="1:35" ht="15.75" x14ac:dyDescent="0.25">
      <c r="A285" s="854"/>
      <c r="B285" s="2899" t="s">
        <v>442</v>
      </c>
      <c r="C285" s="2899"/>
      <c r="D285" s="2899"/>
      <c r="E285" s="2899"/>
      <c r="F285" s="2899"/>
      <c r="G285" s="2899"/>
      <c r="H285" s="2899"/>
      <c r="I285" s="857" t="s">
        <v>27744</v>
      </c>
      <c r="J285" s="857"/>
      <c r="K285" s="857"/>
      <c r="M285" s="857"/>
      <c r="N285" s="857"/>
      <c r="O285" s="857"/>
      <c r="P285" s="858"/>
      <c r="Q285" s="858"/>
      <c r="R285" s="858"/>
      <c r="S285" s="858"/>
      <c r="T285" s="858"/>
      <c r="U285" s="858"/>
      <c r="V285" s="858"/>
      <c r="W285" s="858"/>
      <c r="AB285" s="855"/>
    </row>
    <row r="286" spans="1:35" ht="16.5" thickBot="1" x14ac:dyDescent="0.3">
      <c r="A286" s="854"/>
      <c r="B286" s="859" t="s">
        <v>27753</v>
      </c>
      <c r="C286" s="858"/>
      <c r="D286" s="2900"/>
      <c r="E286" s="2900"/>
      <c r="F286" s="2900"/>
      <c r="G286" s="2900"/>
      <c r="H286" s="2900"/>
      <c r="I286" s="2900"/>
      <c r="J286" s="2900"/>
      <c r="K286" s="2900"/>
      <c r="L286" s="2900"/>
      <c r="M286" s="2900"/>
      <c r="N286" s="2900"/>
      <c r="O286" s="2900"/>
      <c r="P286" s="2900"/>
      <c r="Q286" s="858"/>
      <c r="R286" s="858"/>
      <c r="S286" s="858"/>
      <c r="T286" s="858"/>
      <c r="U286" s="858"/>
      <c r="V286" s="858"/>
      <c r="W286" s="858"/>
      <c r="AB286" s="855"/>
    </row>
    <row r="287" spans="1:35" ht="17.45" customHeight="1" thickBot="1" x14ac:dyDescent="0.35">
      <c r="A287" s="860"/>
      <c r="B287" s="861" t="s">
        <v>27728</v>
      </c>
      <c r="C287" s="2894" t="s">
        <v>27729</v>
      </c>
      <c r="D287" s="2896" t="s">
        <v>27730</v>
      </c>
      <c r="E287" s="2896"/>
      <c r="F287" s="2896"/>
      <c r="G287" s="2896"/>
      <c r="H287" s="2896"/>
      <c r="I287" s="2896"/>
      <c r="J287" s="2896"/>
      <c r="K287" s="2896"/>
      <c r="L287" s="2896"/>
      <c r="M287" s="2896"/>
      <c r="N287" s="2896"/>
      <c r="O287" s="2896"/>
      <c r="P287" s="2896"/>
      <c r="Q287" s="2896"/>
      <c r="R287" s="2896"/>
      <c r="S287" s="2896"/>
      <c r="T287" s="2896"/>
      <c r="U287" s="2896"/>
      <c r="V287" s="2896"/>
      <c r="W287" s="2896"/>
      <c r="X287" s="2896"/>
      <c r="Y287" s="2896"/>
      <c r="Z287" s="2896"/>
      <c r="AA287" s="2896"/>
      <c r="AB287" s="2896"/>
      <c r="AC287" s="2896"/>
      <c r="AD287" s="862"/>
      <c r="AE287" s="862"/>
      <c r="AF287" s="862"/>
      <c r="AG287" s="862"/>
      <c r="AH287" s="862"/>
      <c r="AI287" s="862"/>
    </row>
    <row r="288" spans="1:35" ht="13.5" thickBot="1" x14ac:dyDescent="0.25">
      <c r="A288" s="863"/>
      <c r="B288" s="864" t="s">
        <v>27731</v>
      </c>
      <c r="C288" s="2895"/>
      <c r="D288" s="2897" t="s">
        <v>27732</v>
      </c>
      <c r="E288" s="2897"/>
      <c r="F288" s="887"/>
      <c r="G288" s="887"/>
      <c r="H288" s="2898" t="s">
        <v>27733</v>
      </c>
      <c r="I288" s="2898"/>
      <c r="J288" s="888"/>
      <c r="K288" s="888"/>
      <c r="L288" s="2897" t="s">
        <v>27734</v>
      </c>
      <c r="M288" s="2897"/>
      <c r="N288" s="887"/>
      <c r="O288" s="887"/>
      <c r="P288" s="2898" t="s">
        <v>27735</v>
      </c>
      <c r="Q288" s="2898"/>
      <c r="R288" s="888"/>
      <c r="S288" s="888"/>
      <c r="T288" s="2897" t="s">
        <v>27736</v>
      </c>
      <c r="U288" s="2897"/>
      <c r="V288" s="887"/>
      <c r="W288" s="887"/>
      <c r="X288" s="2898" t="s">
        <v>27737</v>
      </c>
      <c r="Y288" s="2898"/>
      <c r="Z288" s="888"/>
      <c r="AA288" s="888"/>
      <c r="AB288" s="2897"/>
      <c r="AC288" s="2897"/>
      <c r="AD288" s="867"/>
      <c r="AE288" s="867"/>
      <c r="AF288" s="868"/>
      <c r="AG288" s="868"/>
      <c r="AH288" s="868"/>
      <c r="AI288" s="868"/>
    </row>
    <row r="289" spans="1:35" ht="13.5" thickBot="1" x14ac:dyDescent="0.25">
      <c r="A289" s="863"/>
      <c r="B289" s="869"/>
      <c r="C289" s="869"/>
      <c r="D289" s="869" t="s">
        <v>27739</v>
      </c>
      <c r="E289" s="869" t="s">
        <v>27725</v>
      </c>
      <c r="F289" s="869"/>
      <c r="G289" s="869"/>
      <c r="H289" s="869" t="s">
        <v>27739</v>
      </c>
      <c r="I289" s="869" t="s">
        <v>27725</v>
      </c>
      <c r="J289" s="869"/>
      <c r="K289" s="869"/>
      <c r="L289" s="869" t="s">
        <v>27739</v>
      </c>
      <c r="M289" s="869" t="s">
        <v>27725</v>
      </c>
      <c r="N289" s="869"/>
      <c r="O289" s="869"/>
      <c r="P289" s="869" t="s">
        <v>27739</v>
      </c>
      <c r="Q289" s="869" t="s">
        <v>27725</v>
      </c>
      <c r="R289" s="869"/>
      <c r="S289" s="869"/>
      <c r="T289" s="869" t="s">
        <v>27739</v>
      </c>
      <c r="U289" s="869" t="s">
        <v>27725</v>
      </c>
      <c r="V289" s="869"/>
      <c r="W289" s="869"/>
      <c r="X289" s="869" t="s">
        <v>27739</v>
      </c>
      <c r="Y289" s="869" t="s">
        <v>27725</v>
      </c>
      <c r="Z289" s="869"/>
      <c r="AA289" s="869"/>
      <c r="AB289" s="869" t="s">
        <v>27739</v>
      </c>
      <c r="AC289" s="869" t="s">
        <v>27725</v>
      </c>
      <c r="AD289" s="870"/>
      <c r="AE289" s="870"/>
      <c r="AF289" s="871"/>
      <c r="AG289" s="871"/>
      <c r="AH289" s="871"/>
      <c r="AI289" s="871"/>
    </row>
    <row r="290" spans="1:35" ht="13.5" thickBot="1" x14ac:dyDescent="0.25">
      <c r="A290" s="863"/>
      <c r="B290" s="872" t="s">
        <v>27732</v>
      </c>
      <c r="C290" s="873" t="s">
        <v>27740</v>
      </c>
      <c r="D290" s="875">
        <v>2625.5</v>
      </c>
      <c r="E290" s="875">
        <v>1150.43</v>
      </c>
      <c r="F290" s="875"/>
      <c r="G290" s="875"/>
      <c r="H290" s="877">
        <v>2625.5</v>
      </c>
      <c r="I290" s="877">
        <v>1220.6099999999999</v>
      </c>
      <c r="J290" s="877"/>
      <c r="K290" s="877"/>
      <c r="L290" s="875">
        <v>3056.2</v>
      </c>
      <c r="M290" s="875">
        <v>1452.19</v>
      </c>
      <c r="N290" s="875"/>
      <c r="O290" s="875"/>
      <c r="P290" s="877">
        <v>3897.54</v>
      </c>
      <c r="Q290" s="877">
        <v>1898.92</v>
      </c>
      <c r="R290" s="877"/>
      <c r="S290" s="877"/>
      <c r="T290" s="875">
        <v>4299.92</v>
      </c>
      <c r="U290" s="875">
        <v>2197.86</v>
      </c>
      <c r="V290" s="875"/>
      <c r="W290" s="875"/>
      <c r="X290" s="877">
        <v>4491.0208259587025</v>
      </c>
      <c r="Y290" s="877">
        <v>2345.58</v>
      </c>
      <c r="Z290" s="877"/>
      <c r="AA290" s="877"/>
      <c r="AB290" s="875"/>
      <c r="AC290" s="875"/>
      <c r="AD290" s="879"/>
      <c r="AE290" s="879"/>
      <c r="AF290" s="889"/>
      <c r="AG290" s="889"/>
      <c r="AH290" s="889"/>
      <c r="AI290" s="889"/>
    </row>
    <row r="291" spans="1:35" ht="13.7" hidden="1" customHeight="1" thickBot="1" x14ac:dyDescent="0.25">
      <c r="A291" s="863"/>
      <c r="B291" s="872"/>
      <c r="C291" s="873"/>
      <c r="D291" s="875"/>
      <c r="E291" s="875"/>
      <c r="F291" s="875"/>
      <c r="G291" s="875"/>
      <c r="H291" s="877"/>
      <c r="I291" s="877"/>
      <c r="J291" s="877"/>
      <c r="K291" s="877"/>
      <c r="L291" s="875"/>
      <c r="M291" s="875"/>
      <c r="N291" s="875"/>
      <c r="O291" s="875"/>
      <c r="P291" s="877"/>
      <c r="Q291" s="877"/>
      <c r="R291" s="877"/>
      <c r="S291" s="877"/>
      <c r="T291" s="875"/>
      <c r="U291" s="875"/>
      <c r="V291" s="875"/>
      <c r="W291" s="875"/>
      <c r="X291" s="877"/>
      <c r="Y291" s="877"/>
      <c r="Z291" s="877"/>
      <c r="AA291" s="877"/>
      <c r="AB291" s="875"/>
      <c r="AC291" s="875"/>
      <c r="AD291" s="879"/>
      <c r="AE291" s="879"/>
      <c r="AF291" s="889"/>
      <c r="AG291" s="889"/>
      <c r="AH291" s="889"/>
      <c r="AI291" s="889"/>
    </row>
    <row r="292" spans="1:35" ht="13.5" thickBot="1" x14ac:dyDescent="0.25">
      <c r="A292" s="863"/>
      <c r="B292" s="872" t="s">
        <v>27733</v>
      </c>
      <c r="C292" s="873" t="s">
        <v>27740</v>
      </c>
      <c r="D292" s="875">
        <v>2625.5</v>
      </c>
      <c r="E292" s="875">
        <v>1214.8699999999999</v>
      </c>
      <c r="F292" s="875"/>
      <c r="G292" s="875"/>
      <c r="H292" s="877">
        <v>2625.5</v>
      </c>
      <c r="I292" s="876">
        <v>1287.4000000000001</v>
      </c>
      <c r="J292" s="876"/>
      <c r="K292" s="876"/>
      <c r="L292" s="875">
        <v>3056.2</v>
      </c>
      <c r="M292" s="875">
        <v>1758.27</v>
      </c>
      <c r="N292" s="875"/>
      <c r="O292" s="875"/>
      <c r="P292" s="877">
        <v>3897.54</v>
      </c>
      <c r="Q292" s="877">
        <v>1981.57</v>
      </c>
      <c r="R292" s="877"/>
      <c r="S292" s="877"/>
      <c r="T292" s="875">
        <v>4299.92</v>
      </c>
      <c r="U292" s="875">
        <v>2344.88</v>
      </c>
      <c r="V292" s="875"/>
      <c r="W292" s="875"/>
      <c r="X292" s="877">
        <v>4491.0208259587025</v>
      </c>
      <c r="Y292" s="877">
        <v>2521.08</v>
      </c>
      <c r="Z292" s="877"/>
      <c r="AA292" s="877"/>
      <c r="AB292" s="875"/>
      <c r="AC292" s="875"/>
      <c r="AD292" s="879"/>
      <c r="AE292" s="879"/>
      <c r="AF292" s="889"/>
      <c r="AG292" s="889"/>
      <c r="AH292" s="889"/>
      <c r="AI292" s="889"/>
    </row>
    <row r="293" spans="1:35" ht="13.7" hidden="1" customHeight="1" thickBot="1" x14ac:dyDescent="0.25">
      <c r="A293" s="863"/>
      <c r="B293" s="872"/>
      <c r="C293" s="873"/>
      <c r="D293" s="875"/>
      <c r="E293" s="875"/>
      <c r="F293" s="875"/>
      <c r="G293" s="875"/>
      <c r="H293" s="877"/>
      <c r="I293" s="876"/>
      <c r="J293" s="876"/>
      <c r="K293" s="876"/>
      <c r="L293" s="875"/>
      <c r="M293" s="875"/>
      <c r="N293" s="875"/>
      <c r="O293" s="875"/>
      <c r="P293" s="877"/>
      <c r="Q293" s="877"/>
      <c r="R293" s="877"/>
      <c r="S293" s="877"/>
      <c r="T293" s="875"/>
      <c r="U293" s="875"/>
      <c r="V293" s="875"/>
      <c r="W293" s="875"/>
      <c r="X293" s="877"/>
      <c r="Y293" s="877"/>
      <c r="Z293" s="877"/>
      <c r="AA293" s="877"/>
      <c r="AB293" s="875"/>
      <c r="AC293" s="875"/>
      <c r="AD293" s="879"/>
      <c r="AE293" s="879"/>
      <c r="AF293" s="889"/>
      <c r="AG293" s="889"/>
      <c r="AH293" s="889"/>
      <c r="AI293" s="889"/>
    </row>
    <row r="294" spans="1:35" ht="13.5" thickBot="1" x14ac:dyDescent="0.25">
      <c r="A294" s="863"/>
      <c r="B294" s="872" t="s">
        <v>27734</v>
      </c>
      <c r="C294" s="873" t="s">
        <v>27740</v>
      </c>
      <c r="D294" s="875">
        <v>3102.22</v>
      </c>
      <c r="E294" s="875">
        <v>1422.71</v>
      </c>
      <c r="F294" s="875"/>
      <c r="G294" s="875"/>
      <c r="H294" s="877">
        <v>3102.22</v>
      </c>
      <c r="I294" s="877">
        <v>1741.33</v>
      </c>
      <c r="J294" s="877"/>
      <c r="K294" s="877"/>
      <c r="L294" s="875">
        <v>4410.84</v>
      </c>
      <c r="M294" s="875">
        <v>2272.3200000000002</v>
      </c>
      <c r="N294" s="875"/>
      <c r="O294" s="875"/>
      <c r="P294" s="877">
        <v>5966.08</v>
      </c>
      <c r="Q294" s="877">
        <v>2591.27</v>
      </c>
      <c r="R294" s="877"/>
      <c r="S294" s="877"/>
      <c r="T294" s="875">
        <v>7175.58</v>
      </c>
      <c r="U294" s="875">
        <v>3883.43</v>
      </c>
      <c r="V294" s="875"/>
      <c r="W294" s="875"/>
      <c r="X294" s="877">
        <v>7750.0033038348083</v>
      </c>
      <c r="Y294" s="877">
        <v>4100.72</v>
      </c>
      <c r="Z294" s="877"/>
      <c r="AA294" s="877"/>
      <c r="AB294" s="875"/>
      <c r="AC294" s="875"/>
      <c r="AD294" s="879"/>
      <c r="AE294" s="879"/>
      <c r="AF294" s="889"/>
      <c r="AG294" s="889"/>
      <c r="AH294" s="889"/>
      <c r="AI294" s="889"/>
    </row>
    <row r="295" spans="1:35" ht="13.7" hidden="1" customHeight="1" thickBot="1" x14ac:dyDescent="0.25">
      <c r="A295" s="863"/>
      <c r="B295" s="872"/>
      <c r="C295" s="873"/>
      <c r="D295" s="875"/>
      <c r="E295" s="875"/>
      <c r="F295" s="875"/>
      <c r="G295" s="875"/>
      <c r="H295" s="877"/>
      <c r="I295" s="877"/>
      <c r="J295" s="877"/>
      <c r="K295" s="877"/>
      <c r="L295" s="875"/>
      <c r="M295" s="875"/>
      <c r="N295" s="875"/>
      <c r="O295" s="875"/>
      <c r="P295" s="877"/>
      <c r="Q295" s="877"/>
      <c r="R295" s="877"/>
      <c r="S295" s="877"/>
      <c r="T295" s="875"/>
      <c r="U295" s="875"/>
      <c r="V295" s="875"/>
      <c r="W295" s="875"/>
      <c r="X295" s="877"/>
      <c r="Y295" s="877"/>
      <c r="Z295" s="877"/>
      <c r="AA295" s="877"/>
      <c r="AB295" s="875"/>
      <c r="AC295" s="875"/>
      <c r="AD295" s="879"/>
      <c r="AE295" s="879"/>
      <c r="AF295" s="889"/>
      <c r="AG295" s="889"/>
      <c r="AH295" s="889"/>
      <c r="AI295" s="889"/>
    </row>
    <row r="296" spans="1:35" ht="13.5" thickBot="1" x14ac:dyDescent="0.25">
      <c r="A296" s="863"/>
      <c r="B296" s="872" t="s">
        <v>27735</v>
      </c>
      <c r="C296" s="873" t="s">
        <v>27740</v>
      </c>
      <c r="D296" s="875">
        <v>4386.0600000000004</v>
      </c>
      <c r="E296" s="875">
        <v>1842.84</v>
      </c>
      <c r="F296" s="875"/>
      <c r="G296" s="875"/>
      <c r="H296" s="877">
        <v>4386.0600000000004</v>
      </c>
      <c r="I296" s="877">
        <v>1968.33</v>
      </c>
      <c r="J296" s="877"/>
      <c r="K296" s="877"/>
      <c r="L296" s="875">
        <v>5980.24</v>
      </c>
      <c r="M296" s="875">
        <v>2663.2</v>
      </c>
      <c r="N296" s="875"/>
      <c r="O296" s="875"/>
      <c r="P296" s="877">
        <v>7821.04</v>
      </c>
      <c r="Q296" s="877">
        <v>3790.78</v>
      </c>
      <c r="R296" s="877"/>
      <c r="S296" s="877"/>
      <c r="T296" s="875">
        <v>9836.48</v>
      </c>
      <c r="U296" s="875">
        <v>4504.7</v>
      </c>
      <c r="V296" s="875"/>
      <c r="W296" s="875"/>
      <c r="X296" s="877">
        <v>10793.665368731563</v>
      </c>
      <c r="Y296" s="877">
        <v>4780.72</v>
      </c>
      <c r="Z296" s="877"/>
      <c r="AA296" s="877"/>
      <c r="AB296" s="875"/>
      <c r="AC296" s="875"/>
      <c r="AD296" s="879"/>
      <c r="AE296" s="879"/>
      <c r="AF296" s="889"/>
      <c r="AG296" s="889"/>
      <c r="AH296" s="889"/>
      <c r="AI296" s="889"/>
    </row>
    <row r="297" spans="1:35" ht="13.7" hidden="1" customHeight="1" thickBot="1" x14ac:dyDescent="0.25">
      <c r="A297" s="863"/>
      <c r="B297" s="872"/>
      <c r="C297" s="873"/>
      <c r="D297" s="875"/>
      <c r="E297" s="875"/>
      <c r="F297" s="875"/>
      <c r="G297" s="875"/>
      <c r="H297" s="877"/>
      <c r="I297" s="877"/>
      <c r="J297" s="877"/>
      <c r="K297" s="877"/>
      <c r="L297" s="875"/>
      <c r="M297" s="875"/>
      <c r="N297" s="875"/>
      <c r="O297" s="875"/>
      <c r="P297" s="877"/>
      <c r="Q297" s="877"/>
      <c r="R297" s="877"/>
      <c r="S297" s="877"/>
      <c r="T297" s="875"/>
      <c r="U297" s="875"/>
      <c r="V297" s="875"/>
      <c r="W297" s="875"/>
      <c r="X297" s="877"/>
      <c r="Y297" s="877"/>
      <c r="Z297" s="877"/>
      <c r="AA297" s="877"/>
      <c r="AB297" s="875"/>
      <c r="AC297" s="875"/>
      <c r="AD297" s="879"/>
      <c r="AE297" s="879"/>
      <c r="AF297" s="889"/>
      <c r="AG297" s="889"/>
      <c r="AH297" s="889"/>
      <c r="AI297" s="889"/>
    </row>
    <row r="298" spans="1:35" ht="13.5" thickBot="1" x14ac:dyDescent="0.25">
      <c r="A298" s="863"/>
      <c r="B298" s="872" t="s">
        <v>27736</v>
      </c>
      <c r="C298" s="873" t="s">
        <v>27740</v>
      </c>
      <c r="D298" s="875">
        <v>5017.3599999999997</v>
      </c>
      <c r="E298" s="875">
        <v>2116.4499999999998</v>
      </c>
      <c r="F298" s="875"/>
      <c r="G298" s="875"/>
      <c r="H298" s="877">
        <v>5017.3599999999997</v>
      </c>
      <c r="I298" s="877">
        <v>2258.79</v>
      </c>
      <c r="J298" s="877"/>
      <c r="K298" s="877"/>
      <c r="L298" s="875">
        <v>7338.42</v>
      </c>
      <c r="M298" s="875">
        <v>3735.87</v>
      </c>
      <c r="N298" s="875"/>
      <c r="O298" s="875"/>
      <c r="P298" s="877">
        <v>9903.74</v>
      </c>
      <c r="Q298" s="877">
        <v>4351.59</v>
      </c>
      <c r="R298" s="877"/>
      <c r="S298" s="877"/>
      <c r="T298" s="875">
        <v>11797.64</v>
      </c>
      <c r="U298" s="875">
        <v>6304.37</v>
      </c>
      <c r="V298" s="875"/>
      <c r="W298" s="875"/>
      <c r="X298" s="877">
        <v>12697.102831858407</v>
      </c>
      <c r="Y298" s="877">
        <v>6775.32</v>
      </c>
      <c r="Z298" s="877"/>
      <c r="AA298" s="877"/>
      <c r="AB298" s="875"/>
      <c r="AC298" s="875"/>
      <c r="AD298" s="879"/>
      <c r="AE298" s="879"/>
      <c r="AF298" s="889"/>
      <c r="AG298" s="889"/>
      <c r="AH298" s="889"/>
      <c r="AI298" s="889"/>
    </row>
    <row r="299" spans="1:35" ht="13.7" hidden="1" customHeight="1" thickBot="1" x14ac:dyDescent="0.25">
      <c r="A299" s="863"/>
      <c r="B299" s="872"/>
      <c r="C299" s="873"/>
      <c r="D299" s="875"/>
      <c r="E299" s="875"/>
      <c r="F299" s="875"/>
      <c r="G299" s="875"/>
      <c r="H299" s="877"/>
      <c r="I299" s="877"/>
      <c r="J299" s="877"/>
      <c r="K299" s="877"/>
      <c r="L299" s="875"/>
      <c r="M299" s="875"/>
      <c r="N299" s="875"/>
      <c r="O299" s="875"/>
      <c r="P299" s="877"/>
      <c r="Q299" s="877"/>
      <c r="R299" s="877"/>
      <c r="S299" s="877"/>
      <c r="T299" s="875"/>
      <c r="U299" s="875"/>
      <c r="V299" s="875"/>
      <c r="W299" s="875"/>
      <c r="X299" s="877"/>
      <c r="Y299" s="877"/>
      <c r="Z299" s="877"/>
      <c r="AA299" s="877"/>
      <c r="AB299" s="875"/>
      <c r="AC299" s="875"/>
      <c r="AD299" s="879"/>
      <c r="AE299" s="879"/>
      <c r="AF299" s="889"/>
      <c r="AG299" s="889"/>
      <c r="AH299" s="889"/>
      <c r="AI299" s="889"/>
    </row>
    <row r="300" spans="1:35" ht="13.5" thickBot="1" x14ac:dyDescent="0.25">
      <c r="A300" s="863"/>
      <c r="B300" s="882" t="s">
        <v>27737</v>
      </c>
      <c r="C300" s="873" t="s">
        <v>27740</v>
      </c>
      <c r="D300" s="875">
        <v>5317.1809439528015</v>
      </c>
      <c r="E300" s="875">
        <v>2244.54</v>
      </c>
      <c r="F300" s="875"/>
      <c r="G300" s="875"/>
      <c r="H300" s="877">
        <v>5317.1809439528015</v>
      </c>
      <c r="I300" s="877">
        <v>2415.27</v>
      </c>
      <c r="J300" s="877"/>
      <c r="K300" s="877"/>
      <c r="L300" s="875">
        <v>7983.455339233039</v>
      </c>
      <c r="M300" s="875">
        <v>4036.27</v>
      </c>
      <c r="N300" s="875"/>
      <c r="O300" s="875"/>
      <c r="P300" s="877">
        <v>10892.868908554572</v>
      </c>
      <c r="Q300" s="877">
        <v>3319.33</v>
      </c>
      <c r="R300" s="877"/>
      <c r="S300" s="877"/>
      <c r="T300" s="875">
        <v>12729.046371681416</v>
      </c>
      <c r="U300" s="875">
        <v>6741.65</v>
      </c>
      <c r="V300" s="875"/>
      <c r="W300" s="875"/>
      <c r="X300" s="877">
        <v>13601.095255349326</v>
      </c>
      <c r="Y300" s="877">
        <v>7225.75</v>
      </c>
      <c r="Z300" s="877"/>
      <c r="AA300" s="877"/>
      <c r="AB300" s="875"/>
      <c r="AC300" s="875"/>
      <c r="AD300" s="879"/>
      <c r="AE300" s="879"/>
      <c r="AF300" s="889"/>
      <c r="AG300" s="889"/>
      <c r="AH300" s="889"/>
      <c r="AI300" s="889"/>
    </row>
    <row r="302" spans="1:35" ht="30.2" customHeight="1" x14ac:dyDescent="0.35">
      <c r="A302" s="854"/>
      <c r="B302" s="2892" t="s">
        <v>27760</v>
      </c>
      <c r="C302" s="2893"/>
      <c r="D302" s="2893"/>
      <c r="E302" s="2893"/>
      <c r="F302" s="2893"/>
      <c r="G302" s="2893"/>
      <c r="H302" s="2893"/>
      <c r="I302" s="2893"/>
      <c r="J302" s="2893"/>
      <c r="K302" s="2893"/>
      <c r="L302" s="2893"/>
      <c r="M302" s="2893"/>
      <c r="N302" s="2893"/>
      <c r="O302" s="2893"/>
      <c r="P302" s="2893"/>
      <c r="Q302" s="2893"/>
      <c r="R302" s="2893"/>
      <c r="S302" s="2893"/>
      <c r="T302" s="2893"/>
      <c r="U302" s="2893"/>
      <c r="V302" s="2893"/>
      <c r="W302" s="2893"/>
      <c r="X302" s="2893"/>
      <c r="AB302" s="855"/>
    </row>
    <row r="303" spans="1:35" ht="13.5" thickBot="1" x14ac:dyDescent="0.25"/>
    <row r="304" spans="1:35" ht="17.45" customHeight="1" thickBot="1" x14ac:dyDescent="0.35">
      <c r="A304" s="860"/>
      <c r="B304" s="861" t="s">
        <v>27728</v>
      </c>
      <c r="C304" s="2894" t="s">
        <v>27729</v>
      </c>
      <c r="D304" s="2896" t="s">
        <v>27730</v>
      </c>
      <c r="E304" s="2896"/>
      <c r="F304" s="2896"/>
      <c r="G304" s="2896"/>
      <c r="H304" s="2896"/>
      <c r="I304" s="2896"/>
      <c r="J304" s="2896"/>
      <c r="K304" s="2896"/>
      <c r="L304" s="2896"/>
      <c r="M304" s="2896"/>
      <c r="N304" s="2896"/>
      <c r="O304" s="2896"/>
      <c r="P304" s="2896"/>
      <c r="Q304" s="2896"/>
      <c r="R304" s="2896"/>
      <c r="S304" s="2896"/>
      <c r="T304" s="2896"/>
      <c r="U304" s="2896"/>
      <c r="V304" s="2896"/>
      <c r="W304" s="2896"/>
      <c r="X304" s="2896"/>
      <c r="Y304" s="2896"/>
      <c r="Z304" s="2896"/>
      <c r="AA304" s="2896"/>
      <c r="AB304" s="2896"/>
      <c r="AC304" s="2896"/>
      <c r="AD304" s="862"/>
      <c r="AE304" s="862"/>
      <c r="AF304" s="862"/>
      <c r="AG304" s="862"/>
      <c r="AH304" s="862"/>
      <c r="AI304" s="862"/>
    </row>
    <row r="305" spans="1:35" ht="21.2" customHeight="1" thickBot="1" x14ac:dyDescent="0.25">
      <c r="A305" s="863"/>
      <c r="B305" s="864" t="s">
        <v>27731</v>
      </c>
      <c r="C305" s="2895"/>
      <c r="D305" s="2897" t="s">
        <v>27732</v>
      </c>
      <c r="E305" s="2897"/>
      <c r="F305" s="887"/>
      <c r="G305" s="887"/>
      <c r="H305" s="2898" t="s">
        <v>27733</v>
      </c>
      <c r="I305" s="2898"/>
      <c r="J305" s="888"/>
      <c r="K305" s="888"/>
      <c r="L305" s="2897" t="s">
        <v>27734</v>
      </c>
      <c r="M305" s="2897"/>
      <c r="N305" s="887"/>
      <c r="O305" s="887"/>
      <c r="P305" s="2898" t="s">
        <v>27735</v>
      </c>
      <c r="Q305" s="2898"/>
      <c r="R305" s="888"/>
      <c r="S305" s="888"/>
      <c r="T305" s="2897" t="s">
        <v>27736</v>
      </c>
      <c r="U305" s="2897"/>
      <c r="V305" s="887"/>
      <c r="W305" s="887"/>
      <c r="X305" s="2898" t="s">
        <v>27737</v>
      </c>
      <c r="Y305" s="2898"/>
      <c r="Z305" s="888"/>
      <c r="AA305" s="888"/>
      <c r="AB305" s="2897" t="s">
        <v>27738</v>
      </c>
      <c r="AC305" s="2897"/>
      <c r="AD305" s="867"/>
      <c r="AE305" s="867"/>
      <c r="AF305" s="868"/>
      <c r="AG305" s="868"/>
      <c r="AH305" s="868"/>
      <c r="AI305" s="868"/>
    </row>
    <row r="306" spans="1:35" ht="13.5" thickBot="1" x14ac:dyDescent="0.25">
      <c r="A306" s="863"/>
      <c r="B306" s="869"/>
      <c r="C306" s="869"/>
      <c r="D306" s="869" t="s">
        <v>27739</v>
      </c>
      <c r="E306" s="869" t="s">
        <v>27725</v>
      </c>
      <c r="F306" s="869"/>
      <c r="G306" s="869"/>
      <c r="H306" s="869" t="s">
        <v>27739</v>
      </c>
      <c r="I306" s="869" t="s">
        <v>27725</v>
      </c>
      <c r="J306" s="869"/>
      <c r="K306" s="869"/>
      <c r="L306" s="869" t="s">
        <v>27739</v>
      </c>
      <c r="M306" s="869" t="s">
        <v>27725</v>
      </c>
      <c r="N306" s="869"/>
      <c r="O306" s="869"/>
      <c r="P306" s="869" t="s">
        <v>27739</v>
      </c>
      <c r="Q306" s="869" t="s">
        <v>27725</v>
      </c>
      <c r="R306" s="869"/>
      <c r="S306" s="869"/>
      <c r="T306" s="869" t="s">
        <v>27739</v>
      </c>
      <c r="U306" s="869" t="s">
        <v>27725</v>
      </c>
      <c r="V306" s="869"/>
      <c r="W306" s="869"/>
      <c r="X306" s="869" t="s">
        <v>27739</v>
      </c>
      <c r="Y306" s="869" t="s">
        <v>27725</v>
      </c>
      <c r="Z306" s="869"/>
      <c r="AA306" s="869"/>
      <c r="AB306" s="869" t="s">
        <v>27739</v>
      </c>
      <c r="AC306" s="869" t="s">
        <v>27725</v>
      </c>
      <c r="AD306" s="870"/>
      <c r="AE306" s="870"/>
      <c r="AF306" s="871"/>
      <c r="AG306" s="871"/>
      <c r="AH306" s="871"/>
      <c r="AI306" s="871"/>
    </row>
    <row r="307" spans="1:35" ht="13.5" thickBot="1" x14ac:dyDescent="0.25">
      <c r="A307" s="863"/>
      <c r="B307" s="872" t="s">
        <v>27732</v>
      </c>
      <c r="C307" s="873" t="s">
        <v>27740</v>
      </c>
      <c r="D307" s="875">
        <f t="shared" ref="D307:AC307" si="56">D7-D273</f>
        <v>695.97200000000021</v>
      </c>
      <c r="E307" s="875">
        <f t="shared" si="56"/>
        <v>384.36771710220228</v>
      </c>
      <c r="F307" s="875">
        <f t="shared" si="56"/>
        <v>0</v>
      </c>
      <c r="G307" s="875">
        <f t="shared" si="56"/>
        <v>0</v>
      </c>
      <c r="H307" s="875">
        <f t="shared" si="56"/>
        <v>829.64000000000033</v>
      </c>
      <c r="I307" s="875">
        <f t="shared" si="56"/>
        <v>368.13228146296342</v>
      </c>
      <c r="J307" s="875">
        <f t="shared" si="56"/>
        <v>0</v>
      </c>
      <c r="K307" s="875">
        <f t="shared" si="56"/>
        <v>0</v>
      </c>
      <c r="L307" s="875">
        <f t="shared" si="56"/>
        <v>697.02</v>
      </c>
      <c r="M307" s="875">
        <f t="shared" si="56"/>
        <v>378.47866194223207</v>
      </c>
      <c r="N307" s="875">
        <f t="shared" si="56"/>
        <v>0</v>
      </c>
      <c r="O307" s="875">
        <f t="shared" si="56"/>
        <v>0</v>
      </c>
      <c r="P307" s="875">
        <f t="shared" si="56"/>
        <v>202.33999999999969</v>
      </c>
      <c r="Q307" s="875">
        <f t="shared" si="56"/>
        <v>362.8665990487923</v>
      </c>
      <c r="R307" s="875">
        <f t="shared" si="56"/>
        <v>0</v>
      </c>
      <c r="S307" s="875">
        <f t="shared" si="56"/>
        <v>0</v>
      </c>
      <c r="T307" s="875">
        <f t="shared" si="56"/>
        <v>490.81935999999951</v>
      </c>
      <c r="U307" s="875">
        <f t="shared" si="56"/>
        <v>342.67015325708917</v>
      </c>
      <c r="V307" s="875">
        <f t="shared" si="56"/>
        <v>0</v>
      </c>
      <c r="W307" s="875">
        <f t="shared" si="56"/>
        <v>0</v>
      </c>
      <c r="X307" s="875">
        <f t="shared" si="56"/>
        <v>562.40917404129868</v>
      </c>
      <c r="Y307" s="875">
        <f t="shared" si="56"/>
        <v>357.75775888190401</v>
      </c>
      <c r="Z307" s="875">
        <f t="shared" si="56"/>
        <v>0</v>
      </c>
      <c r="AA307" s="875">
        <f t="shared" si="56"/>
        <v>0</v>
      </c>
      <c r="AB307" s="875">
        <f t="shared" si="56"/>
        <v>-29.625574545998461</v>
      </c>
      <c r="AC307" s="875">
        <f t="shared" si="56"/>
        <v>343.61603323031613</v>
      </c>
      <c r="AD307" s="879"/>
      <c r="AE307" s="879"/>
      <c r="AF307" s="889"/>
      <c r="AG307" s="889"/>
      <c r="AH307" s="889"/>
      <c r="AI307" s="889"/>
    </row>
    <row r="308" spans="1:35" ht="13.7" hidden="1" customHeight="1" x14ac:dyDescent="0.2">
      <c r="A308" s="863"/>
      <c r="B308" s="872"/>
      <c r="C308" s="873"/>
      <c r="D308" s="875">
        <f t="shared" ref="D308:AC308" si="57">D8-D274</f>
        <v>0</v>
      </c>
      <c r="E308" s="875">
        <f t="shared" si="57"/>
        <v>0</v>
      </c>
      <c r="F308" s="875">
        <f t="shared" si="57"/>
        <v>0</v>
      </c>
      <c r="G308" s="875">
        <f t="shared" si="57"/>
        <v>0</v>
      </c>
      <c r="H308" s="875">
        <f t="shared" si="57"/>
        <v>0</v>
      </c>
      <c r="I308" s="875">
        <f t="shared" si="57"/>
        <v>0</v>
      </c>
      <c r="J308" s="875">
        <f t="shared" si="57"/>
        <v>0</v>
      </c>
      <c r="K308" s="875">
        <f t="shared" si="57"/>
        <v>0</v>
      </c>
      <c r="L308" s="875">
        <f t="shared" si="57"/>
        <v>0</v>
      </c>
      <c r="M308" s="875">
        <f t="shared" si="57"/>
        <v>0</v>
      </c>
      <c r="N308" s="875">
        <f t="shared" si="57"/>
        <v>0</v>
      </c>
      <c r="O308" s="875">
        <f t="shared" si="57"/>
        <v>0</v>
      </c>
      <c r="P308" s="875">
        <f t="shared" si="57"/>
        <v>0</v>
      </c>
      <c r="Q308" s="875">
        <f t="shared" si="57"/>
        <v>0</v>
      </c>
      <c r="R308" s="875">
        <f t="shared" si="57"/>
        <v>0</v>
      </c>
      <c r="S308" s="875">
        <f t="shared" si="57"/>
        <v>0</v>
      </c>
      <c r="T308" s="875">
        <f t="shared" si="57"/>
        <v>0</v>
      </c>
      <c r="U308" s="875">
        <f t="shared" si="57"/>
        <v>0</v>
      </c>
      <c r="V308" s="875">
        <f t="shared" si="57"/>
        <v>0</v>
      </c>
      <c r="W308" s="875">
        <f t="shared" si="57"/>
        <v>0</v>
      </c>
      <c r="X308" s="875">
        <f t="shared" si="57"/>
        <v>0</v>
      </c>
      <c r="Y308" s="875">
        <f t="shared" si="57"/>
        <v>0</v>
      </c>
      <c r="Z308" s="875">
        <f t="shared" si="57"/>
        <v>0</v>
      </c>
      <c r="AA308" s="875">
        <f t="shared" si="57"/>
        <v>0</v>
      </c>
      <c r="AB308" s="875">
        <f t="shared" si="57"/>
        <v>0</v>
      </c>
      <c r="AC308" s="875">
        <f t="shared" si="57"/>
        <v>0</v>
      </c>
      <c r="AD308" s="879"/>
      <c r="AE308" s="879"/>
      <c r="AF308" s="889"/>
      <c r="AG308" s="889"/>
      <c r="AH308" s="889"/>
      <c r="AI308" s="889"/>
    </row>
    <row r="309" spans="1:35" ht="13.5" thickBot="1" x14ac:dyDescent="0.25">
      <c r="A309" s="863"/>
      <c r="B309" s="872" t="s">
        <v>27733</v>
      </c>
      <c r="C309" s="873" t="s">
        <v>27740</v>
      </c>
      <c r="D309" s="875">
        <f t="shared" ref="D309:AC309" si="58">D9-D275</f>
        <v>820.37199999999984</v>
      </c>
      <c r="E309" s="875">
        <f t="shared" si="58"/>
        <v>397.48826433022828</v>
      </c>
      <c r="F309" s="875">
        <f t="shared" si="58"/>
        <v>0</v>
      </c>
      <c r="G309" s="875">
        <f t="shared" si="58"/>
        <v>0</v>
      </c>
      <c r="H309" s="875">
        <f t="shared" si="58"/>
        <v>967.19</v>
      </c>
      <c r="I309" s="875">
        <f t="shared" si="58"/>
        <v>398.69254598498787</v>
      </c>
      <c r="J309" s="875">
        <f t="shared" si="58"/>
        <v>0</v>
      </c>
      <c r="K309" s="875">
        <f t="shared" si="58"/>
        <v>0</v>
      </c>
      <c r="L309" s="875">
        <f t="shared" si="58"/>
        <v>878.44</v>
      </c>
      <c r="M309" s="875">
        <f t="shared" si="58"/>
        <v>392.14465077758564</v>
      </c>
      <c r="N309" s="875">
        <f t="shared" si="58"/>
        <v>0</v>
      </c>
      <c r="O309" s="875">
        <f t="shared" si="58"/>
        <v>0</v>
      </c>
      <c r="P309" s="875">
        <f t="shared" si="58"/>
        <v>427.60999999999922</v>
      </c>
      <c r="Q309" s="875">
        <f t="shared" si="58"/>
        <v>360.76831219747328</v>
      </c>
      <c r="R309" s="875">
        <f t="shared" si="58"/>
        <v>0</v>
      </c>
      <c r="S309" s="875">
        <f t="shared" si="58"/>
        <v>0</v>
      </c>
      <c r="T309" s="875">
        <f t="shared" si="58"/>
        <v>762.6893599999994</v>
      </c>
      <c r="U309" s="875">
        <f t="shared" si="58"/>
        <v>382.57266412803256</v>
      </c>
      <c r="V309" s="875">
        <f t="shared" si="58"/>
        <v>0</v>
      </c>
      <c r="W309" s="875">
        <f t="shared" si="58"/>
        <v>0</v>
      </c>
      <c r="X309" s="875">
        <f t="shared" si="58"/>
        <v>884.44917404129774</v>
      </c>
      <c r="Y309" s="875">
        <f t="shared" si="58"/>
        <v>373.37741034289684</v>
      </c>
      <c r="Z309" s="875">
        <f t="shared" si="58"/>
        <v>0</v>
      </c>
      <c r="AA309" s="875">
        <f t="shared" si="58"/>
        <v>0</v>
      </c>
      <c r="AB309" s="875">
        <f t="shared" si="58"/>
        <v>347.34223205506441</v>
      </c>
      <c r="AC309" s="875">
        <f t="shared" si="58"/>
        <v>272.01975266254112</v>
      </c>
      <c r="AD309" s="879"/>
      <c r="AE309" s="879"/>
      <c r="AF309" s="889"/>
      <c r="AG309" s="889"/>
      <c r="AH309" s="889"/>
      <c r="AI309" s="889"/>
    </row>
    <row r="310" spans="1:35" ht="13.7" hidden="1" customHeight="1" x14ac:dyDescent="0.2">
      <c r="A310" s="863"/>
      <c r="B310" s="872"/>
      <c r="C310" s="873"/>
      <c r="D310" s="875">
        <f t="shared" ref="D310:AC310" si="59">D10-D276</f>
        <v>0</v>
      </c>
      <c r="E310" s="875">
        <f t="shared" si="59"/>
        <v>0</v>
      </c>
      <c r="F310" s="875">
        <f t="shared" si="59"/>
        <v>0</v>
      </c>
      <c r="G310" s="875">
        <f t="shared" si="59"/>
        <v>0</v>
      </c>
      <c r="H310" s="875">
        <f t="shared" si="59"/>
        <v>0</v>
      </c>
      <c r="I310" s="875">
        <f t="shared" si="59"/>
        <v>0</v>
      </c>
      <c r="J310" s="875">
        <f t="shared" si="59"/>
        <v>0</v>
      </c>
      <c r="K310" s="875">
        <f t="shared" si="59"/>
        <v>0</v>
      </c>
      <c r="L310" s="875">
        <f t="shared" si="59"/>
        <v>0</v>
      </c>
      <c r="M310" s="875">
        <f t="shared" si="59"/>
        <v>0</v>
      </c>
      <c r="N310" s="875">
        <f t="shared" si="59"/>
        <v>0</v>
      </c>
      <c r="O310" s="875">
        <f t="shared" si="59"/>
        <v>0</v>
      </c>
      <c r="P310" s="875">
        <f t="shared" si="59"/>
        <v>0</v>
      </c>
      <c r="Q310" s="875">
        <f t="shared" si="59"/>
        <v>0</v>
      </c>
      <c r="R310" s="875">
        <f t="shared" si="59"/>
        <v>0</v>
      </c>
      <c r="S310" s="875">
        <f t="shared" si="59"/>
        <v>0</v>
      </c>
      <c r="T310" s="875">
        <f t="shared" si="59"/>
        <v>0</v>
      </c>
      <c r="U310" s="875">
        <f t="shared" si="59"/>
        <v>0</v>
      </c>
      <c r="V310" s="875">
        <f t="shared" si="59"/>
        <v>0</v>
      </c>
      <c r="W310" s="875">
        <f t="shared" si="59"/>
        <v>0</v>
      </c>
      <c r="X310" s="875">
        <f t="shared" si="59"/>
        <v>0</v>
      </c>
      <c r="Y310" s="875">
        <f t="shared" si="59"/>
        <v>0</v>
      </c>
      <c r="Z310" s="875">
        <f t="shared" si="59"/>
        <v>0</v>
      </c>
      <c r="AA310" s="875">
        <f t="shared" si="59"/>
        <v>0</v>
      </c>
      <c r="AB310" s="875">
        <f t="shared" si="59"/>
        <v>0</v>
      </c>
      <c r="AC310" s="875">
        <f t="shared" si="59"/>
        <v>0</v>
      </c>
      <c r="AD310" s="879"/>
      <c r="AE310" s="879"/>
      <c r="AF310" s="889"/>
      <c r="AG310" s="889"/>
      <c r="AH310" s="889"/>
      <c r="AI310" s="889"/>
    </row>
    <row r="311" spans="1:35" ht="13.5" thickBot="1" x14ac:dyDescent="0.25">
      <c r="A311" s="863"/>
      <c r="B311" s="872" t="s">
        <v>27734</v>
      </c>
      <c r="C311" s="873" t="s">
        <v>27740</v>
      </c>
      <c r="D311" s="875">
        <f t="shared" ref="D311:AC311" si="60">D11-D277</f>
        <v>676.51199999999972</v>
      </c>
      <c r="E311" s="875">
        <f t="shared" si="60"/>
        <v>466.84408359352642</v>
      </c>
      <c r="F311" s="875">
        <f t="shared" si="60"/>
        <v>0</v>
      </c>
      <c r="G311" s="875">
        <f t="shared" si="60"/>
        <v>0</v>
      </c>
      <c r="H311" s="875">
        <f t="shared" si="60"/>
        <v>848.59999999999991</v>
      </c>
      <c r="I311" s="875">
        <f t="shared" si="60"/>
        <v>441.20188232001351</v>
      </c>
      <c r="J311" s="875">
        <f t="shared" si="60"/>
        <v>0</v>
      </c>
      <c r="K311" s="875">
        <f t="shared" si="60"/>
        <v>0</v>
      </c>
      <c r="L311" s="875">
        <f t="shared" si="60"/>
        <v>762.23999999999978</v>
      </c>
      <c r="M311" s="875">
        <f t="shared" si="60"/>
        <v>458.73756053328043</v>
      </c>
      <c r="N311" s="875">
        <f t="shared" si="60"/>
        <v>0</v>
      </c>
      <c r="O311" s="875">
        <f t="shared" si="60"/>
        <v>0</v>
      </c>
      <c r="P311" s="875">
        <f t="shared" si="60"/>
        <v>527.21999999999935</v>
      </c>
      <c r="Q311" s="875">
        <f t="shared" si="60"/>
        <v>613.45176342096556</v>
      </c>
      <c r="R311" s="875">
        <f t="shared" si="60"/>
        <v>0</v>
      </c>
      <c r="S311" s="875">
        <f t="shared" si="60"/>
        <v>0</v>
      </c>
      <c r="T311" s="875">
        <f t="shared" si="60"/>
        <v>886.06935999999951</v>
      </c>
      <c r="U311" s="875">
        <f t="shared" si="60"/>
        <v>894.76925314892651</v>
      </c>
      <c r="V311" s="875">
        <f t="shared" si="60"/>
        <v>0</v>
      </c>
      <c r="W311" s="875">
        <f t="shared" si="60"/>
        <v>0</v>
      </c>
      <c r="X311" s="875">
        <f t="shared" si="60"/>
        <v>1026.1066961651914</v>
      </c>
      <c r="Y311" s="875">
        <f t="shared" si="60"/>
        <v>1087.5132983188782</v>
      </c>
      <c r="Z311" s="875">
        <f t="shared" si="60"/>
        <v>0</v>
      </c>
      <c r="AA311" s="875">
        <f t="shared" si="60"/>
        <v>0</v>
      </c>
      <c r="AB311" s="875">
        <f t="shared" si="60"/>
        <v>476.04226155358992</v>
      </c>
      <c r="AC311" s="875">
        <f t="shared" si="60"/>
        <v>1499.1925485741494</v>
      </c>
      <c r="AD311" s="879"/>
      <c r="AE311" s="879"/>
      <c r="AF311" s="889"/>
      <c r="AG311" s="889"/>
      <c r="AH311" s="889"/>
      <c r="AI311" s="889"/>
    </row>
    <row r="312" spans="1:35" ht="13.7" hidden="1" customHeight="1" x14ac:dyDescent="0.2">
      <c r="A312" s="863"/>
      <c r="B312" s="872"/>
      <c r="C312" s="873"/>
      <c r="D312" s="875">
        <f t="shared" ref="D312:AC312" si="61">D12-D278</f>
        <v>0</v>
      </c>
      <c r="E312" s="875">
        <f t="shared" si="61"/>
        <v>0</v>
      </c>
      <c r="F312" s="875">
        <f t="shared" si="61"/>
        <v>0</v>
      </c>
      <c r="G312" s="875">
        <f t="shared" si="61"/>
        <v>0</v>
      </c>
      <c r="H312" s="875">
        <f t="shared" si="61"/>
        <v>0</v>
      </c>
      <c r="I312" s="875">
        <f t="shared" si="61"/>
        <v>0</v>
      </c>
      <c r="J312" s="875">
        <f t="shared" si="61"/>
        <v>0</v>
      </c>
      <c r="K312" s="875">
        <f t="shared" si="61"/>
        <v>0</v>
      </c>
      <c r="L312" s="875">
        <f t="shared" si="61"/>
        <v>0</v>
      </c>
      <c r="M312" s="875">
        <f t="shared" si="61"/>
        <v>0</v>
      </c>
      <c r="N312" s="875">
        <f t="shared" si="61"/>
        <v>0</v>
      </c>
      <c r="O312" s="875">
        <f t="shared" si="61"/>
        <v>0</v>
      </c>
      <c r="P312" s="875">
        <f t="shared" si="61"/>
        <v>0</v>
      </c>
      <c r="Q312" s="875">
        <f t="shared" si="61"/>
        <v>0</v>
      </c>
      <c r="R312" s="875">
        <f t="shared" si="61"/>
        <v>0</v>
      </c>
      <c r="S312" s="875">
        <f t="shared" si="61"/>
        <v>0</v>
      </c>
      <c r="T312" s="875">
        <f t="shared" si="61"/>
        <v>0</v>
      </c>
      <c r="U312" s="875">
        <f t="shared" si="61"/>
        <v>0</v>
      </c>
      <c r="V312" s="875">
        <f t="shared" si="61"/>
        <v>0</v>
      </c>
      <c r="W312" s="875">
        <f t="shared" si="61"/>
        <v>0</v>
      </c>
      <c r="X312" s="875">
        <f t="shared" si="61"/>
        <v>0</v>
      </c>
      <c r="Y312" s="875">
        <f t="shared" si="61"/>
        <v>0</v>
      </c>
      <c r="Z312" s="875">
        <f t="shared" si="61"/>
        <v>0</v>
      </c>
      <c r="AA312" s="875">
        <f t="shared" si="61"/>
        <v>0</v>
      </c>
      <c r="AB312" s="875">
        <f t="shared" si="61"/>
        <v>0</v>
      </c>
      <c r="AC312" s="875">
        <f t="shared" si="61"/>
        <v>0</v>
      </c>
      <c r="AD312" s="879"/>
      <c r="AE312" s="879"/>
      <c r="AF312" s="889"/>
      <c r="AG312" s="889"/>
      <c r="AH312" s="889"/>
      <c r="AI312" s="889"/>
    </row>
    <row r="313" spans="1:35" ht="13.5" thickBot="1" x14ac:dyDescent="0.25">
      <c r="A313" s="863"/>
      <c r="B313" s="872" t="s">
        <v>27735</v>
      </c>
      <c r="C313" s="873" t="s">
        <v>27740</v>
      </c>
      <c r="D313" s="875">
        <f t="shared" ref="D313:AC313" si="62">D13-D279</f>
        <v>399.24200000000019</v>
      </c>
      <c r="E313" s="875">
        <f t="shared" si="62"/>
        <v>515.42625635974241</v>
      </c>
      <c r="F313" s="875">
        <f t="shared" si="62"/>
        <v>0</v>
      </c>
      <c r="G313" s="875">
        <f t="shared" si="62"/>
        <v>0</v>
      </c>
      <c r="H313" s="875">
        <f t="shared" si="62"/>
        <v>615.1899999999996</v>
      </c>
      <c r="I313" s="875">
        <f t="shared" si="62"/>
        <v>502.66977939955837</v>
      </c>
      <c r="J313" s="875">
        <f t="shared" si="62"/>
        <v>0</v>
      </c>
      <c r="K313" s="875">
        <f t="shared" si="62"/>
        <v>0</v>
      </c>
      <c r="L313" s="875">
        <f t="shared" si="62"/>
        <v>515.92000000000007</v>
      </c>
      <c r="M313" s="875">
        <f t="shared" si="62"/>
        <v>533.60524866423202</v>
      </c>
      <c r="N313" s="875">
        <f t="shared" si="62"/>
        <v>0</v>
      </c>
      <c r="O313" s="875">
        <f t="shared" si="62"/>
        <v>0</v>
      </c>
      <c r="P313" s="875">
        <f t="shared" si="62"/>
        <v>337.89000000000033</v>
      </c>
      <c r="Q313" s="875">
        <f t="shared" si="62"/>
        <v>518.33813750663148</v>
      </c>
      <c r="R313" s="875">
        <f t="shared" si="62"/>
        <v>0</v>
      </c>
      <c r="S313" s="875">
        <f t="shared" si="62"/>
        <v>0</v>
      </c>
      <c r="T313" s="875">
        <f t="shared" si="62"/>
        <v>259.91122731999894</v>
      </c>
      <c r="U313" s="875">
        <f t="shared" si="62"/>
        <v>764.22830825493747</v>
      </c>
      <c r="V313" s="875">
        <f t="shared" si="62"/>
        <v>0</v>
      </c>
      <c r="W313" s="875">
        <f t="shared" si="62"/>
        <v>0</v>
      </c>
      <c r="X313" s="875">
        <f t="shared" si="62"/>
        <v>273.35753510300856</v>
      </c>
      <c r="Y313" s="875">
        <f t="shared" si="62"/>
        <v>928.34035513276922</v>
      </c>
      <c r="Z313" s="875">
        <f t="shared" si="62"/>
        <v>0</v>
      </c>
      <c r="AA313" s="875">
        <f t="shared" si="62"/>
        <v>0</v>
      </c>
      <c r="AB313" s="875">
        <f t="shared" si="62"/>
        <v>364.47671347067808</v>
      </c>
      <c r="AC313" s="875">
        <f t="shared" si="62"/>
        <v>927.97116352103967</v>
      </c>
      <c r="AD313" s="879"/>
      <c r="AE313" s="879"/>
      <c r="AF313" s="889"/>
      <c r="AG313" s="889"/>
      <c r="AH313" s="889"/>
      <c r="AI313" s="889"/>
    </row>
    <row r="314" spans="1:35" ht="13.7" hidden="1" customHeight="1" x14ac:dyDescent="0.2">
      <c r="A314" s="863"/>
      <c r="B314" s="872"/>
      <c r="C314" s="873"/>
      <c r="D314" s="875">
        <f t="shared" ref="D314:AC314" si="63">D14-D280</f>
        <v>0</v>
      </c>
      <c r="E314" s="875">
        <f t="shared" si="63"/>
        <v>0</v>
      </c>
      <c r="F314" s="875">
        <f t="shared" si="63"/>
        <v>0</v>
      </c>
      <c r="G314" s="875">
        <f t="shared" si="63"/>
        <v>0</v>
      </c>
      <c r="H314" s="875">
        <f t="shared" si="63"/>
        <v>0</v>
      </c>
      <c r="I314" s="875">
        <f t="shared" si="63"/>
        <v>0</v>
      </c>
      <c r="J314" s="875">
        <f t="shared" si="63"/>
        <v>0</v>
      </c>
      <c r="K314" s="875">
        <f t="shared" si="63"/>
        <v>0</v>
      </c>
      <c r="L314" s="875">
        <f t="shared" si="63"/>
        <v>0</v>
      </c>
      <c r="M314" s="875">
        <f t="shared" si="63"/>
        <v>0</v>
      </c>
      <c r="N314" s="875">
        <f t="shared" si="63"/>
        <v>0</v>
      </c>
      <c r="O314" s="875">
        <f t="shared" si="63"/>
        <v>0</v>
      </c>
      <c r="P314" s="875">
        <f t="shared" si="63"/>
        <v>0</v>
      </c>
      <c r="Q314" s="875">
        <f t="shared" si="63"/>
        <v>0</v>
      </c>
      <c r="R314" s="875">
        <f t="shared" si="63"/>
        <v>0</v>
      </c>
      <c r="S314" s="875">
        <f t="shared" si="63"/>
        <v>0</v>
      </c>
      <c r="T314" s="875">
        <f t="shared" si="63"/>
        <v>0</v>
      </c>
      <c r="U314" s="875">
        <f t="shared" si="63"/>
        <v>0</v>
      </c>
      <c r="V314" s="875">
        <f t="shared" si="63"/>
        <v>0</v>
      </c>
      <c r="W314" s="875">
        <f t="shared" si="63"/>
        <v>0</v>
      </c>
      <c r="X314" s="875">
        <f t="shared" si="63"/>
        <v>0</v>
      </c>
      <c r="Y314" s="875">
        <f t="shared" si="63"/>
        <v>0</v>
      </c>
      <c r="Z314" s="875">
        <f t="shared" si="63"/>
        <v>0</v>
      </c>
      <c r="AA314" s="875">
        <f t="shared" si="63"/>
        <v>0</v>
      </c>
      <c r="AB314" s="875">
        <f t="shared" si="63"/>
        <v>0</v>
      </c>
      <c r="AC314" s="875">
        <f t="shared" si="63"/>
        <v>0</v>
      </c>
      <c r="AD314" s="879"/>
      <c r="AE314" s="879"/>
      <c r="AF314" s="889"/>
      <c r="AG314" s="889"/>
      <c r="AH314" s="889"/>
      <c r="AI314" s="889"/>
    </row>
    <row r="315" spans="1:35" ht="13.5" thickBot="1" x14ac:dyDescent="0.25">
      <c r="A315" s="863"/>
      <c r="B315" s="872" t="s">
        <v>27736</v>
      </c>
      <c r="C315" s="873" t="s">
        <v>27740</v>
      </c>
      <c r="D315" s="875">
        <f t="shared" ref="D315:AC315" si="64">D15-D281</f>
        <v>656.73200000000088</v>
      </c>
      <c r="E315" s="875">
        <f t="shared" si="64"/>
        <v>631.71877413821358</v>
      </c>
      <c r="F315" s="875">
        <f t="shared" si="64"/>
        <v>0</v>
      </c>
      <c r="G315" s="875">
        <f t="shared" si="64"/>
        <v>0</v>
      </c>
      <c r="H315" s="875">
        <f t="shared" si="64"/>
        <v>961.3100000000004</v>
      </c>
      <c r="I315" s="875">
        <f t="shared" si="64"/>
        <v>609.67087632414132</v>
      </c>
      <c r="J315" s="875">
        <f t="shared" si="64"/>
        <v>0</v>
      </c>
      <c r="K315" s="875">
        <f t="shared" si="64"/>
        <v>0</v>
      </c>
      <c r="L315" s="875">
        <f t="shared" si="64"/>
        <v>559.40000000000055</v>
      </c>
      <c r="M315" s="875">
        <f t="shared" si="64"/>
        <v>716.58332848603322</v>
      </c>
      <c r="N315" s="875">
        <f t="shared" si="64"/>
        <v>0</v>
      </c>
      <c r="O315" s="875">
        <f t="shared" si="64"/>
        <v>0</v>
      </c>
      <c r="P315" s="875">
        <f t="shared" si="64"/>
        <v>351.73084399999971</v>
      </c>
      <c r="Q315" s="875">
        <f t="shared" si="64"/>
        <v>780.28541967457522</v>
      </c>
      <c r="R315" s="875">
        <f t="shared" si="64"/>
        <v>0</v>
      </c>
      <c r="S315" s="875">
        <f t="shared" si="64"/>
        <v>0</v>
      </c>
      <c r="T315" s="875">
        <f t="shared" si="64"/>
        <v>373.33270459999767</v>
      </c>
      <c r="U315" s="875">
        <f t="shared" si="64"/>
        <v>914.9003593764146</v>
      </c>
      <c r="V315" s="875">
        <f t="shared" si="64"/>
        <v>0</v>
      </c>
      <c r="W315" s="875">
        <f t="shared" si="64"/>
        <v>0</v>
      </c>
      <c r="X315" s="875">
        <f t="shared" si="64"/>
        <v>168.01716814159408</v>
      </c>
      <c r="Y315" s="875">
        <f t="shared" si="64"/>
        <v>1126.8491109779434</v>
      </c>
      <c r="Z315" s="875">
        <f t="shared" si="64"/>
        <v>0</v>
      </c>
      <c r="AA315" s="875">
        <f t="shared" si="64"/>
        <v>0</v>
      </c>
      <c r="AB315" s="875">
        <f t="shared" si="64"/>
        <v>511.45599376991049</v>
      </c>
      <c r="AC315" s="875">
        <f t="shared" si="64"/>
        <v>1337.8387650704844</v>
      </c>
      <c r="AD315" s="879"/>
      <c r="AE315" s="879"/>
      <c r="AF315" s="889"/>
      <c r="AG315" s="889"/>
      <c r="AH315" s="889"/>
      <c r="AI315" s="889"/>
    </row>
    <row r="316" spans="1:35" ht="13.7" hidden="1" customHeight="1" x14ac:dyDescent="0.2">
      <c r="A316" s="863"/>
      <c r="B316" s="872"/>
      <c r="C316" s="873"/>
      <c r="D316" s="875">
        <f t="shared" ref="D316:AC316" si="65">D16-D282</f>
        <v>0</v>
      </c>
      <c r="E316" s="875">
        <f t="shared" si="65"/>
        <v>0</v>
      </c>
      <c r="F316" s="875">
        <f t="shared" si="65"/>
        <v>0</v>
      </c>
      <c r="G316" s="875">
        <f t="shared" si="65"/>
        <v>0</v>
      </c>
      <c r="H316" s="875">
        <f t="shared" si="65"/>
        <v>0</v>
      </c>
      <c r="I316" s="875">
        <f t="shared" si="65"/>
        <v>0</v>
      </c>
      <c r="J316" s="875">
        <f t="shared" si="65"/>
        <v>0</v>
      </c>
      <c r="K316" s="875">
        <f t="shared" si="65"/>
        <v>0</v>
      </c>
      <c r="L316" s="875">
        <f t="shared" si="65"/>
        <v>0</v>
      </c>
      <c r="M316" s="875">
        <f t="shared" si="65"/>
        <v>0</v>
      </c>
      <c r="N316" s="875">
        <f t="shared" si="65"/>
        <v>0</v>
      </c>
      <c r="O316" s="875">
        <f t="shared" si="65"/>
        <v>0</v>
      </c>
      <c r="P316" s="875">
        <f t="shared" si="65"/>
        <v>0</v>
      </c>
      <c r="Q316" s="875">
        <f t="shared" si="65"/>
        <v>0</v>
      </c>
      <c r="R316" s="875">
        <f t="shared" si="65"/>
        <v>0</v>
      </c>
      <c r="S316" s="875">
        <f t="shared" si="65"/>
        <v>0</v>
      </c>
      <c r="T316" s="875">
        <f t="shared" si="65"/>
        <v>0</v>
      </c>
      <c r="U316" s="875">
        <f t="shared" si="65"/>
        <v>0</v>
      </c>
      <c r="V316" s="875">
        <f t="shared" si="65"/>
        <v>0</v>
      </c>
      <c r="W316" s="875">
        <f t="shared" si="65"/>
        <v>0</v>
      </c>
      <c r="X316" s="875">
        <f t="shared" si="65"/>
        <v>0</v>
      </c>
      <c r="Y316" s="875">
        <f t="shared" si="65"/>
        <v>0</v>
      </c>
      <c r="Z316" s="875">
        <f t="shared" si="65"/>
        <v>0</v>
      </c>
      <c r="AA316" s="875">
        <f t="shared" si="65"/>
        <v>0</v>
      </c>
      <c r="AB316" s="875">
        <f t="shared" si="65"/>
        <v>0</v>
      </c>
      <c r="AC316" s="875">
        <f t="shared" si="65"/>
        <v>0</v>
      </c>
      <c r="AD316" s="879"/>
      <c r="AE316" s="879"/>
      <c r="AF316" s="889"/>
      <c r="AG316" s="889"/>
      <c r="AH316" s="889"/>
      <c r="AI316" s="889"/>
    </row>
    <row r="317" spans="1:35" ht="13.5" thickBot="1" x14ac:dyDescent="0.25">
      <c r="A317" s="863"/>
      <c r="B317" s="882" t="s">
        <v>27737</v>
      </c>
      <c r="C317" s="873" t="s">
        <v>27740</v>
      </c>
      <c r="D317" s="875">
        <f t="shared" ref="D317:AC317" si="66">D17-D283</f>
        <v>795.96102654867354</v>
      </c>
      <c r="E317" s="875">
        <f t="shared" si="66"/>
        <v>735.57508206955299</v>
      </c>
      <c r="F317" s="875">
        <f t="shared" si="66"/>
        <v>0</v>
      </c>
      <c r="G317" s="875">
        <f t="shared" si="66"/>
        <v>0</v>
      </c>
      <c r="H317" s="875">
        <f t="shared" si="66"/>
        <v>1110.3890265486734</v>
      </c>
      <c r="I317" s="875">
        <f t="shared" si="66"/>
        <v>671.48689603283992</v>
      </c>
      <c r="J317" s="875">
        <f t="shared" si="66"/>
        <v>0</v>
      </c>
      <c r="K317" s="875">
        <f t="shared" si="66"/>
        <v>0</v>
      </c>
      <c r="L317" s="875">
        <f t="shared" si="66"/>
        <v>989.90746312684405</v>
      </c>
      <c r="M317" s="875">
        <f t="shared" si="66"/>
        <v>1045.3716708995112</v>
      </c>
      <c r="N317" s="875">
        <f t="shared" si="66"/>
        <v>0</v>
      </c>
      <c r="O317" s="875">
        <f t="shared" si="66"/>
        <v>0</v>
      </c>
      <c r="P317" s="875">
        <f t="shared" si="66"/>
        <v>408.78469834784664</v>
      </c>
      <c r="Q317" s="875">
        <f t="shared" si="66"/>
        <v>1145.7434077227081</v>
      </c>
      <c r="R317" s="875">
        <f t="shared" si="66"/>
        <v>0</v>
      </c>
      <c r="S317" s="875">
        <f t="shared" si="66"/>
        <v>0</v>
      </c>
      <c r="T317" s="875">
        <f t="shared" si="66"/>
        <v>571.53738359882118</v>
      </c>
      <c r="U317" s="875">
        <f t="shared" si="66"/>
        <v>1520.8158864068782</v>
      </c>
      <c r="V317" s="875">
        <f t="shared" si="66"/>
        <v>0</v>
      </c>
      <c r="W317" s="875">
        <f t="shared" si="66"/>
        <v>0</v>
      </c>
      <c r="X317" s="875">
        <f t="shared" si="66"/>
        <v>1273.9729850941094</v>
      </c>
      <c r="Y317" s="875">
        <f t="shared" si="66"/>
        <v>1795.5890749551263</v>
      </c>
      <c r="Z317" s="875">
        <f t="shared" si="66"/>
        <v>0</v>
      </c>
      <c r="AA317" s="875">
        <f t="shared" si="66"/>
        <v>0</v>
      </c>
      <c r="AB317" s="875">
        <f t="shared" si="66"/>
        <v>581.26031273208355</v>
      </c>
      <c r="AC317" s="875">
        <f t="shared" si="66"/>
        <v>2242.5340897734905</v>
      </c>
      <c r="AD317" s="879"/>
      <c r="AE317" s="879"/>
      <c r="AF317" s="889"/>
      <c r="AG317" s="889"/>
      <c r="AH317" s="889"/>
      <c r="AI317" s="889"/>
    </row>
    <row r="318" spans="1:35" x14ac:dyDescent="0.2">
      <c r="AB318" s="855"/>
      <c r="AD318" s="855"/>
      <c r="AE318" s="855"/>
    </row>
    <row r="319" spans="1:35" ht="15.75" x14ac:dyDescent="0.25">
      <c r="A319" s="854"/>
      <c r="B319" s="2899" t="s">
        <v>442</v>
      </c>
      <c r="C319" s="2899"/>
      <c r="D319" s="2899"/>
      <c r="E319" s="2899"/>
      <c r="F319" s="2899"/>
      <c r="G319" s="2899"/>
      <c r="H319" s="2899"/>
      <c r="I319" s="857" t="s">
        <v>27744</v>
      </c>
      <c r="J319" s="857"/>
      <c r="K319" s="857"/>
      <c r="M319" s="857"/>
      <c r="N319" s="857"/>
      <c r="O319" s="857"/>
      <c r="P319" s="858"/>
      <c r="Q319" s="858"/>
      <c r="R319" s="858"/>
      <c r="S319" s="858"/>
      <c r="T319" s="858"/>
      <c r="U319" s="858"/>
      <c r="V319" s="858"/>
      <c r="W319" s="858"/>
      <c r="AB319" s="855"/>
    </row>
    <row r="320" spans="1:35" ht="16.5" thickBot="1" x14ac:dyDescent="0.3">
      <c r="A320" s="854"/>
      <c r="B320" s="859" t="s">
        <v>27753</v>
      </c>
      <c r="C320" s="858"/>
      <c r="D320" s="2900"/>
      <c r="E320" s="2900"/>
      <c r="F320" s="2900"/>
      <c r="G320" s="2900"/>
      <c r="H320" s="2900"/>
      <c r="I320" s="2900"/>
      <c r="J320" s="2900"/>
      <c r="K320" s="2900"/>
      <c r="L320" s="2900"/>
      <c r="M320" s="2900"/>
      <c r="N320" s="2900"/>
      <c r="O320" s="2900"/>
      <c r="P320" s="2900"/>
      <c r="Q320" s="858"/>
      <c r="R320" s="858"/>
      <c r="S320" s="858"/>
      <c r="T320" s="858"/>
      <c r="U320" s="858"/>
      <c r="V320" s="858"/>
      <c r="W320" s="858"/>
      <c r="AB320" s="855"/>
    </row>
    <row r="321" spans="1:35" ht="17.45" customHeight="1" thickBot="1" x14ac:dyDescent="0.35">
      <c r="A321" s="860"/>
      <c r="B321" s="861" t="s">
        <v>27728</v>
      </c>
      <c r="C321" s="2894" t="s">
        <v>27729</v>
      </c>
      <c r="D321" s="2896" t="s">
        <v>27730</v>
      </c>
      <c r="E321" s="2896"/>
      <c r="F321" s="2896"/>
      <c r="G321" s="2896"/>
      <c r="H321" s="2896"/>
      <c r="I321" s="2896"/>
      <c r="J321" s="2896"/>
      <c r="K321" s="2896"/>
      <c r="L321" s="2896"/>
      <c r="M321" s="2896"/>
      <c r="N321" s="2896"/>
      <c r="O321" s="2896"/>
      <c r="P321" s="2896"/>
      <c r="Q321" s="2896"/>
      <c r="R321" s="2896"/>
      <c r="S321" s="2896"/>
      <c r="T321" s="2896"/>
      <c r="U321" s="2896"/>
      <c r="V321" s="2896"/>
      <c r="W321" s="2896"/>
      <c r="X321" s="2896"/>
      <c r="Y321" s="2896"/>
      <c r="Z321" s="2896"/>
      <c r="AA321" s="2896"/>
      <c r="AB321" s="2896"/>
      <c r="AC321" s="2896"/>
      <c r="AD321" s="862"/>
      <c r="AE321" s="862"/>
      <c r="AF321" s="862"/>
      <c r="AG321" s="862"/>
      <c r="AH321" s="862"/>
      <c r="AI321" s="862"/>
    </row>
    <row r="322" spans="1:35" ht="13.5" thickBot="1" x14ac:dyDescent="0.25">
      <c r="A322" s="863"/>
      <c r="B322" s="864" t="s">
        <v>27731</v>
      </c>
      <c r="C322" s="2895"/>
      <c r="D322" s="2897" t="s">
        <v>27732</v>
      </c>
      <c r="E322" s="2897"/>
      <c r="F322" s="887"/>
      <c r="G322" s="887"/>
      <c r="H322" s="2898" t="s">
        <v>27733</v>
      </c>
      <c r="I322" s="2898"/>
      <c r="J322" s="888"/>
      <c r="K322" s="888"/>
      <c r="L322" s="2897" t="s">
        <v>27734</v>
      </c>
      <c r="M322" s="2897"/>
      <c r="N322" s="887"/>
      <c r="O322" s="887"/>
      <c r="P322" s="2898" t="s">
        <v>27735</v>
      </c>
      <c r="Q322" s="2898"/>
      <c r="R322" s="888"/>
      <c r="S322" s="888"/>
      <c r="T322" s="2897" t="s">
        <v>27736</v>
      </c>
      <c r="U322" s="2897"/>
      <c r="V322" s="887"/>
      <c r="W322" s="887"/>
      <c r="X322" s="2898" t="s">
        <v>27737</v>
      </c>
      <c r="Y322" s="2898"/>
      <c r="Z322" s="888"/>
      <c r="AA322" s="888"/>
      <c r="AB322" s="2897"/>
      <c r="AC322" s="2897"/>
      <c r="AD322" s="867"/>
      <c r="AE322" s="867"/>
      <c r="AF322" s="868"/>
      <c r="AG322" s="868"/>
      <c r="AH322" s="868"/>
      <c r="AI322" s="868"/>
    </row>
    <row r="323" spans="1:35" ht="13.5" thickBot="1" x14ac:dyDescent="0.25">
      <c r="A323" s="863"/>
      <c r="B323" s="869"/>
      <c r="C323" s="869"/>
      <c r="D323" s="869" t="s">
        <v>27739</v>
      </c>
      <c r="E323" s="869" t="s">
        <v>27725</v>
      </c>
      <c r="F323" s="869"/>
      <c r="G323" s="869"/>
      <c r="H323" s="869" t="s">
        <v>27739</v>
      </c>
      <c r="I323" s="869" t="s">
        <v>27725</v>
      </c>
      <c r="J323" s="869"/>
      <c r="K323" s="869"/>
      <c r="L323" s="869" t="s">
        <v>27739</v>
      </c>
      <c r="M323" s="869" t="s">
        <v>27725</v>
      </c>
      <c r="N323" s="869"/>
      <c r="O323" s="869"/>
      <c r="P323" s="869" t="s">
        <v>27739</v>
      </c>
      <c r="Q323" s="869" t="s">
        <v>27725</v>
      </c>
      <c r="R323" s="869"/>
      <c r="S323" s="869"/>
      <c r="T323" s="869" t="s">
        <v>27739</v>
      </c>
      <c r="U323" s="869" t="s">
        <v>27725</v>
      </c>
      <c r="V323" s="869"/>
      <c r="W323" s="869"/>
      <c r="X323" s="869" t="s">
        <v>27739</v>
      </c>
      <c r="Y323" s="869" t="s">
        <v>27725</v>
      </c>
      <c r="Z323" s="869"/>
      <c r="AA323" s="869"/>
      <c r="AB323" s="869" t="s">
        <v>27739</v>
      </c>
      <c r="AC323" s="869" t="s">
        <v>27725</v>
      </c>
      <c r="AD323" s="870"/>
      <c r="AE323" s="870"/>
      <c r="AF323" s="871"/>
      <c r="AG323" s="871"/>
      <c r="AH323" s="871"/>
      <c r="AI323" s="871"/>
    </row>
    <row r="324" spans="1:35" ht="13.5" thickBot="1" x14ac:dyDescent="0.25">
      <c r="A324" s="863"/>
      <c r="B324" s="872" t="s">
        <v>27732</v>
      </c>
      <c r="C324" s="873" t="s">
        <v>27740</v>
      </c>
      <c r="D324" s="875">
        <f t="shared" ref="D324:Y324" si="67">D45-D290</f>
        <v>133.99412699999993</v>
      </c>
      <c r="E324" s="875">
        <f t="shared" si="67"/>
        <v>357.91786671884688</v>
      </c>
      <c r="F324" s="875">
        <f t="shared" si="67"/>
        <v>0</v>
      </c>
      <c r="G324" s="875">
        <f t="shared" si="67"/>
        <v>0</v>
      </c>
      <c r="H324" s="875">
        <f t="shared" si="67"/>
        <v>239.64000000000033</v>
      </c>
      <c r="I324" s="875">
        <f t="shared" si="67"/>
        <v>371.13741200472191</v>
      </c>
      <c r="J324" s="875">
        <f t="shared" si="67"/>
        <v>0</v>
      </c>
      <c r="K324" s="875">
        <f t="shared" si="67"/>
        <v>0</v>
      </c>
      <c r="L324" s="875">
        <f t="shared" si="67"/>
        <v>176.15000000000055</v>
      </c>
      <c r="M324" s="875">
        <f t="shared" si="67"/>
        <v>343.56034790725948</v>
      </c>
      <c r="N324" s="875">
        <f t="shared" si="67"/>
        <v>0</v>
      </c>
      <c r="O324" s="875">
        <f t="shared" si="67"/>
        <v>0</v>
      </c>
      <c r="P324" s="875">
        <f t="shared" si="67"/>
        <v>62.453445159999774</v>
      </c>
      <c r="Q324" s="875">
        <f t="shared" si="67"/>
        <v>154.87195058044972</v>
      </c>
      <c r="R324" s="875">
        <f t="shared" si="67"/>
        <v>0</v>
      </c>
      <c r="S324" s="875">
        <f t="shared" si="67"/>
        <v>0</v>
      </c>
      <c r="T324" s="875">
        <f t="shared" si="67"/>
        <v>0.89709967999897344</v>
      </c>
      <c r="U324" s="875">
        <f t="shared" si="67"/>
        <v>184.70159924731252</v>
      </c>
      <c r="V324" s="875">
        <f t="shared" si="67"/>
        <v>0</v>
      </c>
      <c r="W324" s="875">
        <f t="shared" si="67"/>
        <v>0</v>
      </c>
      <c r="X324" s="875">
        <f t="shared" si="67"/>
        <v>19.30917404129741</v>
      </c>
      <c r="Y324" s="875">
        <f t="shared" si="67"/>
        <v>160.16083422262591</v>
      </c>
      <c r="Z324" s="877"/>
      <c r="AA324" s="877"/>
      <c r="AB324" s="875"/>
      <c r="AC324" s="875"/>
      <c r="AD324" s="879"/>
      <c r="AE324" s="879"/>
      <c r="AF324" s="889"/>
      <c r="AG324" s="889"/>
      <c r="AH324" s="889"/>
      <c r="AI324" s="889"/>
    </row>
    <row r="325" spans="1:35" ht="13.7" hidden="1" customHeight="1" x14ac:dyDescent="0.2">
      <c r="A325" s="863"/>
      <c r="B325" s="872"/>
      <c r="C325" s="873"/>
      <c r="D325" s="875">
        <f t="shared" ref="D325:Y325" si="68">D46-D291</f>
        <v>0</v>
      </c>
      <c r="E325" s="875">
        <f t="shared" si="68"/>
        <v>0</v>
      </c>
      <c r="F325" s="875">
        <f t="shared" si="68"/>
        <v>0</v>
      </c>
      <c r="G325" s="875">
        <f t="shared" si="68"/>
        <v>0</v>
      </c>
      <c r="H325" s="875">
        <f t="shared" si="68"/>
        <v>0</v>
      </c>
      <c r="I325" s="875">
        <f t="shared" si="68"/>
        <v>0</v>
      </c>
      <c r="J325" s="875">
        <f t="shared" si="68"/>
        <v>0</v>
      </c>
      <c r="K325" s="875">
        <f t="shared" si="68"/>
        <v>0</v>
      </c>
      <c r="L325" s="875">
        <f t="shared" si="68"/>
        <v>0</v>
      </c>
      <c r="M325" s="875">
        <f t="shared" si="68"/>
        <v>0</v>
      </c>
      <c r="N325" s="875">
        <f t="shared" si="68"/>
        <v>0</v>
      </c>
      <c r="O325" s="875">
        <f t="shared" si="68"/>
        <v>0</v>
      </c>
      <c r="P325" s="875">
        <f t="shared" si="68"/>
        <v>0</v>
      </c>
      <c r="Q325" s="875">
        <f t="shared" si="68"/>
        <v>0</v>
      </c>
      <c r="R325" s="875">
        <f t="shared" si="68"/>
        <v>0</v>
      </c>
      <c r="S325" s="875">
        <f t="shared" si="68"/>
        <v>0</v>
      </c>
      <c r="T325" s="875">
        <f t="shared" si="68"/>
        <v>0</v>
      </c>
      <c r="U325" s="875">
        <f t="shared" si="68"/>
        <v>0</v>
      </c>
      <c r="V325" s="875">
        <f t="shared" si="68"/>
        <v>0</v>
      </c>
      <c r="W325" s="875">
        <f t="shared" si="68"/>
        <v>0</v>
      </c>
      <c r="X325" s="875">
        <f t="shared" si="68"/>
        <v>0</v>
      </c>
      <c r="Y325" s="875">
        <f t="shared" si="68"/>
        <v>0</v>
      </c>
      <c r="Z325" s="877"/>
      <c r="AA325" s="877"/>
      <c r="AB325" s="875"/>
      <c r="AC325" s="875"/>
      <c r="AD325" s="879"/>
      <c r="AE325" s="879"/>
      <c r="AF325" s="889"/>
      <c r="AG325" s="889"/>
      <c r="AH325" s="889"/>
      <c r="AI325" s="889"/>
    </row>
    <row r="326" spans="1:35" ht="13.5" thickBot="1" x14ac:dyDescent="0.25">
      <c r="A326" s="863"/>
      <c r="B326" s="872" t="s">
        <v>27733</v>
      </c>
      <c r="C326" s="873" t="s">
        <v>27740</v>
      </c>
      <c r="D326" s="875">
        <f t="shared" ref="D326:Y326" si="69">D47-D292</f>
        <v>200.3119999999999</v>
      </c>
      <c r="E326" s="875">
        <f t="shared" si="69"/>
        <v>355.02329571664177</v>
      </c>
      <c r="F326" s="875">
        <f t="shared" si="69"/>
        <v>0</v>
      </c>
      <c r="G326" s="875">
        <f t="shared" si="69"/>
        <v>0</v>
      </c>
      <c r="H326" s="875">
        <f t="shared" si="69"/>
        <v>363.58000000000038</v>
      </c>
      <c r="I326" s="875">
        <f t="shared" si="69"/>
        <v>373.20255829651478</v>
      </c>
      <c r="J326" s="875">
        <f t="shared" si="69"/>
        <v>0</v>
      </c>
      <c r="K326" s="875">
        <f t="shared" si="69"/>
        <v>0</v>
      </c>
      <c r="L326" s="875">
        <f t="shared" si="69"/>
        <v>489.19000000000051</v>
      </c>
      <c r="M326" s="875">
        <f t="shared" si="69"/>
        <v>211.39825512582161</v>
      </c>
      <c r="N326" s="875">
        <f t="shared" si="69"/>
        <v>0</v>
      </c>
      <c r="O326" s="875">
        <f t="shared" si="69"/>
        <v>0</v>
      </c>
      <c r="P326" s="875">
        <f t="shared" si="69"/>
        <v>62.453445159999774</v>
      </c>
      <c r="Q326" s="875">
        <f t="shared" si="69"/>
        <v>189.80854549889932</v>
      </c>
      <c r="R326" s="875">
        <f t="shared" si="69"/>
        <v>0</v>
      </c>
      <c r="S326" s="875">
        <f t="shared" si="69"/>
        <v>0</v>
      </c>
      <c r="T326" s="875">
        <f t="shared" si="69"/>
        <v>281.64935999999943</v>
      </c>
      <c r="U326" s="875">
        <f t="shared" si="69"/>
        <v>200.44285783600617</v>
      </c>
      <c r="V326" s="875">
        <f t="shared" si="69"/>
        <v>0</v>
      </c>
      <c r="W326" s="875">
        <f t="shared" si="69"/>
        <v>0</v>
      </c>
      <c r="X326" s="875">
        <f t="shared" si="69"/>
        <v>340.51917404129836</v>
      </c>
      <c r="Y326" s="875">
        <f t="shared" si="69"/>
        <v>163.11361926910331</v>
      </c>
      <c r="Z326" s="877"/>
      <c r="AA326" s="877"/>
      <c r="AB326" s="875"/>
      <c r="AC326" s="875"/>
      <c r="AD326" s="879"/>
      <c r="AE326" s="879"/>
      <c r="AF326" s="889"/>
      <c r="AG326" s="889"/>
      <c r="AH326" s="889"/>
      <c r="AI326" s="889"/>
    </row>
    <row r="327" spans="1:35" ht="13.7" hidden="1" customHeight="1" x14ac:dyDescent="0.2">
      <c r="A327" s="863"/>
      <c r="B327" s="872"/>
      <c r="C327" s="873"/>
      <c r="D327" s="875">
        <f t="shared" ref="D327:Y327" si="70">D48-D293</f>
        <v>0</v>
      </c>
      <c r="E327" s="875">
        <f t="shared" si="70"/>
        <v>0</v>
      </c>
      <c r="F327" s="875">
        <f t="shared" si="70"/>
        <v>0</v>
      </c>
      <c r="G327" s="875">
        <f t="shared" si="70"/>
        <v>0</v>
      </c>
      <c r="H327" s="875">
        <f t="shared" si="70"/>
        <v>0</v>
      </c>
      <c r="I327" s="875">
        <f t="shared" si="70"/>
        <v>0</v>
      </c>
      <c r="J327" s="875">
        <f t="shared" si="70"/>
        <v>0</v>
      </c>
      <c r="K327" s="875">
        <f t="shared" si="70"/>
        <v>0</v>
      </c>
      <c r="L327" s="875">
        <f t="shared" si="70"/>
        <v>0</v>
      </c>
      <c r="M327" s="875">
        <f t="shared" si="70"/>
        <v>0</v>
      </c>
      <c r="N327" s="875">
        <f t="shared" si="70"/>
        <v>0</v>
      </c>
      <c r="O327" s="875">
        <f t="shared" si="70"/>
        <v>0</v>
      </c>
      <c r="P327" s="875">
        <f t="shared" si="70"/>
        <v>0</v>
      </c>
      <c r="Q327" s="875">
        <f t="shared" si="70"/>
        <v>0</v>
      </c>
      <c r="R327" s="875">
        <f t="shared" si="70"/>
        <v>0</v>
      </c>
      <c r="S327" s="875">
        <f t="shared" si="70"/>
        <v>0</v>
      </c>
      <c r="T327" s="875">
        <f t="shared" si="70"/>
        <v>0</v>
      </c>
      <c r="U327" s="875">
        <f t="shared" si="70"/>
        <v>0</v>
      </c>
      <c r="V327" s="875">
        <f t="shared" si="70"/>
        <v>0</v>
      </c>
      <c r="W327" s="875">
        <f t="shared" si="70"/>
        <v>0</v>
      </c>
      <c r="X327" s="875">
        <f t="shared" si="70"/>
        <v>0</v>
      </c>
      <c r="Y327" s="875">
        <f t="shared" si="70"/>
        <v>0</v>
      </c>
      <c r="Z327" s="877"/>
      <c r="AA327" s="877"/>
      <c r="AB327" s="875"/>
      <c r="AC327" s="875"/>
      <c r="AD327" s="879"/>
      <c r="AE327" s="879"/>
      <c r="AF327" s="889"/>
      <c r="AG327" s="889"/>
      <c r="AH327" s="889"/>
      <c r="AI327" s="889"/>
    </row>
    <row r="328" spans="1:35" ht="13.5" thickBot="1" x14ac:dyDescent="0.25">
      <c r="A328" s="863"/>
      <c r="B328" s="872" t="s">
        <v>27734</v>
      </c>
      <c r="C328" s="873" t="s">
        <v>27740</v>
      </c>
      <c r="D328" s="875">
        <f t="shared" ref="D328:Y328" si="71">D49-D294</f>
        <v>240.08200000000033</v>
      </c>
      <c r="E328" s="875">
        <f t="shared" si="71"/>
        <v>434.12499423015697</v>
      </c>
      <c r="F328" s="875">
        <f t="shared" si="71"/>
        <v>0</v>
      </c>
      <c r="G328" s="875">
        <f t="shared" si="71"/>
        <v>0</v>
      </c>
      <c r="H328" s="875">
        <f t="shared" si="71"/>
        <v>592.46000000000049</v>
      </c>
      <c r="I328" s="875">
        <f t="shared" si="71"/>
        <v>311.27701773679837</v>
      </c>
      <c r="J328" s="875">
        <f t="shared" si="71"/>
        <v>0</v>
      </c>
      <c r="K328" s="875">
        <f t="shared" si="71"/>
        <v>0</v>
      </c>
      <c r="L328" s="875">
        <f t="shared" si="71"/>
        <v>153.01197336000041</v>
      </c>
      <c r="M328" s="875">
        <f t="shared" si="71"/>
        <v>168.84532701924263</v>
      </c>
      <c r="N328" s="875">
        <f t="shared" si="71"/>
        <v>0</v>
      </c>
      <c r="O328" s="875">
        <f t="shared" si="71"/>
        <v>0</v>
      </c>
      <c r="P328" s="875">
        <f t="shared" si="71"/>
        <v>177.78282431999924</v>
      </c>
      <c r="Q328" s="875">
        <f t="shared" si="71"/>
        <v>224.04667599497361</v>
      </c>
      <c r="R328" s="875">
        <f t="shared" si="71"/>
        <v>0</v>
      </c>
      <c r="S328" s="875">
        <f t="shared" si="71"/>
        <v>0</v>
      </c>
      <c r="T328" s="875">
        <f t="shared" si="71"/>
        <v>475.90935999999965</v>
      </c>
      <c r="U328" s="875">
        <f t="shared" si="71"/>
        <v>367.40826826942384</v>
      </c>
      <c r="V328" s="875">
        <f t="shared" si="71"/>
        <v>0</v>
      </c>
      <c r="W328" s="875">
        <f t="shared" si="71"/>
        <v>0</v>
      </c>
      <c r="X328" s="875">
        <f t="shared" si="71"/>
        <v>196.79669616519277</v>
      </c>
      <c r="Y328" s="875">
        <f t="shared" si="71"/>
        <v>314.17748724196827</v>
      </c>
      <c r="Z328" s="877"/>
      <c r="AA328" s="877"/>
      <c r="AB328" s="875"/>
      <c r="AC328" s="875"/>
      <c r="AD328" s="879"/>
      <c r="AE328" s="879"/>
      <c r="AF328" s="889"/>
      <c r="AG328" s="889"/>
      <c r="AH328" s="889"/>
      <c r="AI328" s="889"/>
    </row>
    <row r="329" spans="1:35" ht="13.7" hidden="1" customHeight="1" x14ac:dyDescent="0.2">
      <c r="A329" s="863"/>
      <c r="B329" s="872"/>
      <c r="C329" s="873"/>
      <c r="D329" s="875">
        <f t="shared" ref="D329:Y329" si="72">D50-D295</f>
        <v>0</v>
      </c>
      <c r="E329" s="875">
        <f t="shared" si="72"/>
        <v>0</v>
      </c>
      <c r="F329" s="875">
        <f t="shared" si="72"/>
        <v>0</v>
      </c>
      <c r="G329" s="875">
        <f t="shared" si="72"/>
        <v>0</v>
      </c>
      <c r="H329" s="875">
        <f t="shared" si="72"/>
        <v>0</v>
      </c>
      <c r="I329" s="875">
        <f t="shared" si="72"/>
        <v>0</v>
      </c>
      <c r="J329" s="875">
        <f t="shared" si="72"/>
        <v>0</v>
      </c>
      <c r="K329" s="875">
        <f t="shared" si="72"/>
        <v>0</v>
      </c>
      <c r="L329" s="875">
        <f t="shared" si="72"/>
        <v>0</v>
      </c>
      <c r="M329" s="875">
        <f t="shared" si="72"/>
        <v>0</v>
      </c>
      <c r="N329" s="875">
        <f t="shared" si="72"/>
        <v>0</v>
      </c>
      <c r="O329" s="875">
        <f t="shared" si="72"/>
        <v>0</v>
      </c>
      <c r="P329" s="875">
        <f t="shared" si="72"/>
        <v>0</v>
      </c>
      <c r="Q329" s="875">
        <f t="shared" si="72"/>
        <v>0</v>
      </c>
      <c r="R329" s="875">
        <f t="shared" si="72"/>
        <v>0</v>
      </c>
      <c r="S329" s="875">
        <f t="shared" si="72"/>
        <v>0</v>
      </c>
      <c r="T329" s="875">
        <f t="shared" si="72"/>
        <v>0</v>
      </c>
      <c r="U329" s="875">
        <f t="shared" si="72"/>
        <v>0</v>
      </c>
      <c r="V329" s="875">
        <f t="shared" si="72"/>
        <v>0</v>
      </c>
      <c r="W329" s="875">
        <f t="shared" si="72"/>
        <v>0</v>
      </c>
      <c r="X329" s="875">
        <f t="shared" si="72"/>
        <v>0</v>
      </c>
      <c r="Y329" s="875">
        <f t="shared" si="72"/>
        <v>0</v>
      </c>
      <c r="Z329" s="877"/>
      <c r="AA329" s="877"/>
      <c r="AB329" s="875"/>
      <c r="AC329" s="875"/>
      <c r="AD329" s="879"/>
      <c r="AE329" s="879"/>
      <c r="AF329" s="889"/>
      <c r="AG329" s="889"/>
      <c r="AH329" s="889"/>
      <c r="AI329" s="889"/>
    </row>
    <row r="330" spans="1:35" ht="13.5" thickBot="1" x14ac:dyDescent="0.25">
      <c r="A330" s="863"/>
      <c r="B330" s="872" t="s">
        <v>27735</v>
      </c>
      <c r="C330" s="873" t="s">
        <v>27740</v>
      </c>
      <c r="D330" s="875">
        <f t="shared" ref="D330:Y330" si="73">D51-D296</f>
        <v>232.15238923999914</v>
      </c>
      <c r="E330" s="875">
        <f t="shared" si="73"/>
        <v>384.34223385859445</v>
      </c>
      <c r="F330" s="875">
        <f t="shared" si="73"/>
        <v>0</v>
      </c>
      <c r="G330" s="875">
        <f t="shared" si="73"/>
        <v>0</v>
      </c>
      <c r="H330" s="875">
        <f t="shared" si="73"/>
        <v>213.5703892399988</v>
      </c>
      <c r="I330" s="875">
        <f t="shared" si="73"/>
        <v>398.2929450651236</v>
      </c>
      <c r="J330" s="875">
        <f t="shared" si="73"/>
        <v>0</v>
      </c>
      <c r="K330" s="875">
        <f t="shared" si="73"/>
        <v>0</v>
      </c>
      <c r="L330" s="875">
        <f t="shared" si="73"/>
        <v>240.51230096000018</v>
      </c>
      <c r="M330" s="875">
        <f t="shared" si="73"/>
        <v>401.64991629661017</v>
      </c>
      <c r="N330" s="875">
        <f t="shared" si="73"/>
        <v>0</v>
      </c>
      <c r="O330" s="875">
        <f t="shared" si="73"/>
        <v>0</v>
      </c>
      <c r="P330" s="875">
        <f t="shared" si="73"/>
        <v>281.20426415999918</v>
      </c>
      <c r="Q330" s="875">
        <f t="shared" si="73"/>
        <v>391.54549421901493</v>
      </c>
      <c r="R330" s="875">
        <f t="shared" si="73"/>
        <v>0</v>
      </c>
      <c r="S330" s="875">
        <f t="shared" si="73"/>
        <v>0</v>
      </c>
      <c r="T330" s="875">
        <f t="shared" si="73"/>
        <v>309.58246591999887</v>
      </c>
      <c r="U330" s="875">
        <f t="shared" si="73"/>
        <v>628.93866295261887</v>
      </c>
      <c r="V330" s="875">
        <f t="shared" si="73"/>
        <v>0</v>
      </c>
      <c r="W330" s="875">
        <f t="shared" si="73"/>
        <v>0</v>
      </c>
      <c r="X330" s="875">
        <f t="shared" si="73"/>
        <v>323.0600189682591</v>
      </c>
      <c r="Y330" s="875">
        <f t="shared" si="73"/>
        <v>698.19739809063503</v>
      </c>
      <c r="Z330" s="877"/>
      <c r="AA330" s="877"/>
      <c r="AB330" s="875"/>
      <c r="AC330" s="875"/>
      <c r="AD330" s="879"/>
      <c r="AE330" s="879"/>
      <c r="AF330" s="889"/>
      <c r="AG330" s="889"/>
      <c r="AH330" s="889"/>
      <c r="AI330" s="889"/>
    </row>
    <row r="331" spans="1:35" ht="13.7" hidden="1" customHeight="1" x14ac:dyDescent="0.2">
      <c r="A331" s="863"/>
      <c r="B331" s="872"/>
      <c r="C331" s="873"/>
      <c r="D331" s="875">
        <f t="shared" ref="D331:Y331" si="74">D52-D297</f>
        <v>0</v>
      </c>
      <c r="E331" s="875">
        <f t="shared" si="74"/>
        <v>0</v>
      </c>
      <c r="F331" s="875">
        <f t="shared" si="74"/>
        <v>0</v>
      </c>
      <c r="G331" s="875">
        <f t="shared" si="74"/>
        <v>0</v>
      </c>
      <c r="H331" s="875">
        <f t="shared" si="74"/>
        <v>0</v>
      </c>
      <c r="I331" s="875">
        <f t="shared" si="74"/>
        <v>0</v>
      </c>
      <c r="J331" s="875">
        <f t="shared" si="74"/>
        <v>0</v>
      </c>
      <c r="K331" s="875">
        <f t="shared" si="74"/>
        <v>0</v>
      </c>
      <c r="L331" s="875">
        <f t="shared" si="74"/>
        <v>0</v>
      </c>
      <c r="M331" s="875">
        <f t="shared" si="74"/>
        <v>0</v>
      </c>
      <c r="N331" s="875">
        <f t="shared" si="74"/>
        <v>0</v>
      </c>
      <c r="O331" s="875">
        <f t="shared" si="74"/>
        <v>0</v>
      </c>
      <c r="P331" s="875">
        <f t="shared" si="74"/>
        <v>0</v>
      </c>
      <c r="Q331" s="875">
        <f t="shared" si="74"/>
        <v>0</v>
      </c>
      <c r="R331" s="875">
        <f t="shared" si="74"/>
        <v>0</v>
      </c>
      <c r="S331" s="875">
        <f t="shared" si="74"/>
        <v>0</v>
      </c>
      <c r="T331" s="875">
        <f t="shared" si="74"/>
        <v>0</v>
      </c>
      <c r="U331" s="875">
        <f t="shared" si="74"/>
        <v>0</v>
      </c>
      <c r="V331" s="875">
        <f t="shared" si="74"/>
        <v>0</v>
      </c>
      <c r="W331" s="875">
        <f t="shared" si="74"/>
        <v>0</v>
      </c>
      <c r="X331" s="875">
        <f t="shared" si="74"/>
        <v>0</v>
      </c>
      <c r="Y331" s="875">
        <f t="shared" si="74"/>
        <v>0</v>
      </c>
      <c r="Z331" s="877"/>
      <c r="AA331" s="877"/>
      <c r="AB331" s="875"/>
      <c r="AC331" s="875"/>
      <c r="AD331" s="879"/>
      <c r="AE331" s="879"/>
      <c r="AF331" s="889"/>
      <c r="AG331" s="889"/>
      <c r="AH331" s="889"/>
      <c r="AI331" s="889"/>
    </row>
    <row r="332" spans="1:35" ht="13.5" thickBot="1" x14ac:dyDescent="0.25">
      <c r="A332" s="863"/>
      <c r="B332" s="872" t="s">
        <v>27736</v>
      </c>
      <c r="C332" s="873" t="s">
        <v>27740</v>
      </c>
      <c r="D332" s="875">
        <f t="shared" ref="D332:Y332" si="75">D53-D298</f>
        <v>267.34988943999997</v>
      </c>
      <c r="E332" s="875">
        <f t="shared" si="75"/>
        <v>507.19553172409223</v>
      </c>
      <c r="F332" s="875">
        <f t="shared" si="75"/>
        <v>0</v>
      </c>
      <c r="G332" s="875">
        <f t="shared" si="75"/>
        <v>0</v>
      </c>
      <c r="H332" s="875">
        <f t="shared" si="75"/>
        <v>248.76788943999964</v>
      </c>
      <c r="I332" s="875">
        <f t="shared" si="75"/>
        <v>537.33616509949525</v>
      </c>
      <c r="J332" s="875">
        <f t="shared" si="75"/>
        <v>0</v>
      </c>
      <c r="K332" s="875">
        <f t="shared" si="75"/>
        <v>0</v>
      </c>
      <c r="L332" s="875">
        <f t="shared" si="75"/>
        <v>461.05000000000018</v>
      </c>
      <c r="M332" s="875">
        <f t="shared" si="75"/>
        <v>597.17551707063194</v>
      </c>
      <c r="N332" s="875">
        <f t="shared" si="75"/>
        <v>0</v>
      </c>
      <c r="O332" s="875">
        <f t="shared" si="75"/>
        <v>0</v>
      </c>
      <c r="P332" s="875">
        <f t="shared" si="75"/>
        <v>397.32311995999953</v>
      </c>
      <c r="Q332" s="875">
        <f t="shared" si="75"/>
        <v>709.27646659013317</v>
      </c>
      <c r="R332" s="875">
        <f t="shared" si="75"/>
        <v>0</v>
      </c>
      <c r="S332" s="875">
        <f t="shared" si="75"/>
        <v>0</v>
      </c>
      <c r="T332" s="875">
        <f t="shared" si="75"/>
        <v>1302.2493599999998</v>
      </c>
      <c r="U332" s="875">
        <f t="shared" si="75"/>
        <v>973.35196552923389</v>
      </c>
      <c r="V332" s="875">
        <f t="shared" si="75"/>
        <v>0</v>
      </c>
      <c r="W332" s="875">
        <f t="shared" si="75"/>
        <v>0</v>
      </c>
      <c r="X332" s="875">
        <f t="shared" si="75"/>
        <v>1375.6871681415942</v>
      </c>
      <c r="Y332" s="875">
        <f t="shared" si="75"/>
        <v>1042.9064801369586</v>
      </c>
      <c r="Z332" s="877"/>
      <c r="AA332" s="877"/>
      <c r="AB332" s="875"/>
      <c r="AC332" s="875"/>
      <c r="AD332" s="879"/>
      <c r="AE332" s="879"/>
      <c r="AF332" s="889"/>
      <c r="AG332" s="889"/>
      <c r="AH332" s="889"/>
      <c r="AI332" s="889"/>
    </row>
    <row r="333" spans="1:35" ht="13.7" hidden="1" customHeight="1" x14ac:dyDescent="0.2">
      <c r="A333" s="863"/>
      <c r="B333" s="872"/>
      <c r="C333" s="873"/>
      <c r="D333" s="875">
        <f t="shared" ref="D333:Y333" si="76">D54-D299</f>
        <v>0</v>
      </c>
      <c r="E333" s="875">
        <f t="shared" si="76"/>
        <v>0</v>
      </c>
      <c r="F333" s="875">
        <f t="shared" si="76"/>
        <v>0</v>
      </c>
      <c r="G333" s="875">
        <f t="shared" si="76"/>
        <v>0</v>
      </c>
      <c r="H333" s="875">
        <f t="shared" si="76"/>
        <v>0</v>
      </c>
      <c r="I333" s="875">
        <f t="shared" si="76"/>
        <v>0</v>
      </c>
      <c r="J333" s="875">
        <f t="shared" si="76"/>
        <v>0</v>
      </c>
      <c r="K333" s="875">
        <f t="shared" si="76"/>
        <v>0</v>
      </c>
      <c r="L333" s="875">
        <f t="shared" si="76"/>
        <v>0</v>
      </c>
      <c r="M333" s="875">
        <f t="shared" si="76"/>
        <v>0</v>
      </c>
      <c r="N333" s="875">
        <f t="shared" si="76"/>
        <v>0</v>
      </c>
      <c r="O333" s="875">
        <f t="shared" si="76"/>
        <v>0</v>
      </c>
      <c r="P333" s="875">
        <f t="shared" si="76"/>
        <v>0</v>
      </c>
      <c r="Q333" s="875">
        <f t="shared" si="76"/>
        <v>0</v>
      </c>
      <c r="R333" s="875">
        <f t="shared" si="76"/>
        <v>0</v>
      </c>
      <c r="S333" s="875">
        <f t="shared" si="76"/>
        <v>0</v>
      </c>
      <c r="T333" s="875">
        <f t="shared" si="76"/>
        <v>0</v>
      </c>
      <c r="U333" s="875">
        <f t="shared" si="76"/>
        <v>0</v>
      </c>
      <c r="V333" s="875">
        <f t="shared" si="76"/>
        <v>0</v>
      </c>
      <c r="W333" s="875">
        <f t="shared" si="76"/>
        <v>0</v>
      </c>
      <c r="X333" s="875">
        <f t="shared" si="76"/>
        <v>0</v>
      </c>
      <c r="Y333" s="875">
        <f t="shared" si="76"/>
        <v>0</v>
      </c>
      <c r="Z333" s="877"/>
      <c r="AA333" s="877"/>
      <c r="AB333" s="875"/>
      <c r="AC333" s="875"/>
      <c r="AD333" s="879"/>
      <c r="AE333" s="879"/>
      <c r="AF333" s="889"/>
      <c r="AG333" s="889"/>
      <c r="AH333" s="889"/>
      <c r="AI333" s="889"/>
    </row>
    <row r="334" spans="1:35" ht="13.5" thickBot="1" x14ac:dyDescent="0.25">
      <c r="A334" s="863"/>
      <c r="B334" s="882" t="s">
        <v>27737</v>
      </c>
      <c r="C334" s="873" t="s">
        <v>27740</v>
      </c>
      <c r="D334" s="875">
        <f t="shared" ref="D334:Y334" si="77">D55-D300</f>
        <v>284.06610634914432</v>
      </c>
      <c r="E334" s="875">
        <f t="shared" si="77"/>
        <v>596.05930059740467</v>
      </c>
      <c r="F334" s="875">
        <f t="shared" si="77"/>
        <v>0</v>
      </c>
      <c r="G334" s="875">
        <f t="shared" si="77"/>
        <v>0</v>
      </c>
      <c r="H334" s="875">
        <f t="shared" si="77"/>
        <v>265.48410634914399</v>
      </c>
      <c r="I334" s="875">
        <f t="shared" si="77"/>
        <v>622.09445575578502</v>
      </c>
      <c r="J334" s="875">
        <f t="shared" si="77"/>
        <v>0</v>
      </c>
      <c r="K334" s="875">
        <f t="shared" si="77"/>
        <v>0</v>
      </c>
      <c r="L334" s="875">
        <f t="shared" si="77"/>
        <v>855.4846607669615</v>
      </c>
      <c r="M334" s="875">
        <f t="shared" si="77"/>
        <v>874.25188119926725</v>
      </c>
      <c r="N334" s="875">
        <f t="shared" si="77"/>
        <v>0</v>
      </c>
      <c r="O334" s="875">
        <f t="shared" si="77"/>
        <v>0</v>
      </c>
      <c r="P334" s="875">
        <f t="shared" si="77"/>
        <v>1431.171091445427</v>
      </c>
      <c r="Q334" s="875">
        <f t="shared" si="77"/>
        <v>3527.3687332263507</v>
      </c>
      <c r="R334" s="875">
        <f t="shared" si="77"/>
        <v>0</v>
      </c>
      <c r="S334" s="875">
        <f t="shared" si="77"/>
        <v>0</v>
      </c>
      <c r="T334" s="875">
        <f t="shared" si="77"/>
        <v>2297.2929883185843</v>
      </c>
      <c r="U334" s="875">
        <f t="shared" si="77"/>
        <v>1606.3271777242335</v>
      </c>
      <c r="V334" s="875">
        <f t="shared" si="77"/>
        <v>0</v>
      </c>
      <c r="W334" s="875">
        <f t="shared" si="77"/>
        <v>0</v>
      </c>
      <c r="X334" s="875">
        <f t="shared" si="77"/>
        <v>2547.3647446506729</v>
      </c>
      <c r="Y334" s="875">
        <f t="shared" si="77"/>
        <v>1745.6252818161975</v>
      </c>
      <c r="Z334" s="877"/>
      <c r="AA334" s="877"/>
      <c r="AB334" s="875"/>
      <c r="AC334" s="875"/>
      <c r="AD334" s="879"/>
      <c r="AE334" s="879"/>
      <c r="AF334" s="889"/>
      <c r="AG334" s="889"/>
      <c r="AH334" s="889"/>
      <c r="AI334" s="889"/>
    </row>
  </sheetData>
  <mergeCells count="187">
    <mergeCell ref="B1:X1"/>
    <mergeCell ref="B2:H2"/>
    <mergeCell ref="D3:P3"/>
    <mergeCell ref="C4:C5"/>
    <mergeCell ref="D4:AC4"/>
    <mergeCell ref="D5:E5"/>
    <mergeCell ref="X5:Y5"/>
    <mergeCell ref="AB5:AC5"/>
    <mergeCell ref="X24:Y24"/>
    <mergeCell ref="AB24:AC24"/>
    <mergeCell ref="B40:H40"/>
    <mergeCell ref="C42:C43"/>
    <mergeCell ref="D42:AC42"/>
    <mergeCell ref="C23:C24"/>
    <mergeCell ref="D23:AC23"/>
    <mergeCell ref="D24:E24"/>
    <mergeCell ref="H5:I5"/>
    <mergeCell ref="L5:M5"/>
    <mergeCell ref="P5:Q5"/>
    <mergeCell ref="T5:U5"/>
    <mergeCell ref="T24:U24"/>
    <mergeCell ref="B21:H21"/>
    <mergeCell ref="D43:E43"/>
    <mergeCell ref="H43:I43"/>
    <mergeCell ref="L43:M43"/>
    <mergeCell ref="P43:Q43"/>
    <mergeCell ref="H24:I24"/>
    <mergeCell ref="L24:M24"/>
    <mergeCell ref="P24:Q24"/>
    <mergeCell ref="T43:U43"/>
    <mergeCell ref="X43:Y43"/>
    <mergeCell ref="AB43:AC43"/>
    <mergeCell ref="B70:H70"/>
    <mergeCell ref="D71:P71"/>
    <mergeCell ref="C72:C73"/>
    <mergeCell ref="D72:AC72"/>
    <mergeCell ref="D73:E73"/>
    <mergeCell ref="H73:I73"/>
    <mergeCell ref="L73:M73"/>
    <mergeCell ref="P92:Q92"/>
    <mergeCell ref="T92:U92"/>
    <mergeCell ref="X92:Y92"/>
    <mergeCell ref="AB92:AC92"/>
    <mergeCell ref="B108:H108"/>
    <mergeCell ref="P73:Q73"/>
    <mergeCell ref="T73:U73"/>
    <mergeCell ref="X73:Y73"/>
    <mergeCell ref="AB73:AC73"/>
    <mergeCell ref="B89:H89"/>
    <mergeCell ref="C91:C92"/>
    <mergeCell ref="D91:AC91"/>
    <mergeCell ref="D92:E92"/>
    <mergeCell ref="H92:I92"/>
    <mergeCell ref="L92:M92"/>
    <mergeCell ref="C110:C111"/>
    <mergeCell ref="D110:AC110"/>
    <mergeCell ref="D111:E111"/>
    <mergeCell ref="H111:I111"/>
    <mergeCell ref="L111:M111"/>
    <mergeCell ref="P111:Q111"/>
    <mergeCell ref="T111:U111"/>
    <mergeCell ref="X111:Y111"/>
    <mergeCell ref="AB111:AC111"/>
    <mergeCell ref="B126:H126"/>
    <mergeCell ref="D127:P127"/>
    <mergeCell ref="C128:C129"/>
    <mergeCell ref="D128:AC128"/>
    <mergeCell ref="D129:E129"/>
    <mergeCell ref="H129:I129"/>
    <mergeCell ref="L129:M129"/>
    <mergeCell ref="P129:Q129"/>
    <mergeCell ref="T129:U129"/>
    <mergeCell ref="X129:Y129"/>
    <mergeCell ref="AB129:AC129"/>
    <mergeCell ref="B144:H144"/>
    <mergeCell ref="D145:P145"/>
    <mergeCell ref="C146:C147"/>
    <mergeCell ref="D146:AC146"/>
    <mergeCell ref="D147:E147"/>
    <mergeCell ref="H147:I147"/>
    <mergeCell ref="L147:M147"/>
    <mergeCell ref="P147:Q147"/>
    <mergeCell ref="T147:U147"/>
    <mergeCell ref="X147:Y147"/>
    <mergeCell ref="AB147:AC147"/>
    <mergeCell ref="B163:H163"/>
    <mergeCell ref="C165:C166"/>
    <mergeCell ref="D165:AC165"/>
    <mergeCell ref="D166:E166"/>
    <mergeCell ref="H166:I166"/>
    <mergeCell ref="L166:M166"/>
    <mergeCell ref="P166:Q166"/>
    <mergeCell ref="T166:U166"/>
    <mergeCell ref="X166:Y166"/>
    <mergeCell ref="AB166:AC166"/>
    <mergeCell ref="C184:C185"/>
    <mergeCell ref="D184:AC184"/>
    <mergeCell ref="D185:E185"/>
    <mergeCell ref="H185:I185"/>
    <mergeCell ref="L185:M185"/>
    <mergeCell ref="P185:Q185"/>
    <mergeCell ref="T185:U185"/>
    <mergeCell ref="X185:Y185"/>
    <mergeCell ref="AB185:AC185"/>
    <mergeCell ref="E202:AA202"/>
    <mergeCell ref="C203:C204"/>
    <mergeCell ref="D203:AC203"/>
    <mergeCell ref="D204:E204"/>
    <mergeCell ref="H204:I204"/>
    <mergeCell ref="L204:M204"/>
    <mergeCell ref="P204:Q204"/>
    <mergeCell ref="T204:U204"/>
    <mergeCell ref="X204:Y204"/>
    <mergeCell ref="AB204:AC204"/>
    <mergeCell ref="B218:H218"/>
    <mergeCell ref="D219:P219"/>
    <mergeCell ref="C220:C221"/>
    <mergeCell ref="D220:AC220"/>
    <mergeCell ref="D221:E221"/>
    <mergeCell ref="H221:I221"/>
    <mergeCell ref="L221:M221"/>
    <mergeCell ref="P221:Q221"/>
    <mergeCell ref="T221:U221"/>
    <mergeCell ref="X221:Y221"/>
    <mergeCell ref="AB221:AC221"/>
    <mergeCell ref="B269:X269"/>
    <mergeCell ref="C270:C271"/>
    <mergeCell ref="D270:AC270"/>
    <mergeCell ref="D271:E271"/>
    <mergeCell ref="H271:I271"/>
    <mergeCell ref="L271:M271"/>
    <mergeCell ref="E236:AA236"/>
    <mergeCell ref="C237:C238"/>
    <mergeCell ref="D237:AC237"/>
    <mergeCell ref="D238:E238"/>
    <mergeCell ref="H238:I238"/>
    <mergeCell ref="L238:M238"/>
    <mergeCell ref="P238:Q238"/>
    <mergeCell ref="T238:U238"/>
    <mergeCell ref="X238:Y238"/>
    <mergeCell ref="AB238:AC238"/>
    <mergeCell ref="E252:AA252"/>
    <mergeCell ref="C253:C254"/>
    <mergeCell ref="D253:AC253"/>
    <mergeCell ref="D254:E254"/>
    <mergeCell ref="H254:I254"/>
    <mergeCell ref="L254:M254"/>
    <mergeCell ref="P254:Q254"/>
    <mergeCell ref="T254:U254"/>
    <mergeCell ref="X254:Y254"/>
    <mergeCell ref="AB254:AC254"/>
    <mergeCell ref="AB322:AC322"/>
    <mergeCell ref="B319:H319"/>
    <mergeCell ref="D320:P320"/>
    <mergeCell ref="C321:C322"/>
    <mergeCell ref="D321:AC321"/>
    <mergeCell ref="D322:E322"/>
    <mergeCell ref="P322:Q322"/>
    <mergeCell ref="T322:U322"/>
    <mergeCell ref="T288:U288"/>
    <mergeCell ref="L305:M305"/>
    <mergeCell ref="P305:Q305"/>
    <mergeCell ref="T305:U305"/>
    <mergeCell ref="X288:Y288"/>
    <mergeCell ref="X305:Y305"/>
    <mergeCell ref="AB288:AC288"/>
    <mergeCell ref="X322:Y322"/>
    <mergeCell ref="H305:I305"/>
    <mergeCell ref="H322:I322"/>
    <mergeCell ref="L322:M322"/>
    <mergeCell ref="P288:Q288"/>
    <mergeCell ref="AB305:AC305"/>
    <mergeCell ref="C287:C288"/>
    <mergeCell ref="B302:X302"/>
    <mergeCell ref="C304:C305"/>
    <mergeCell ref="D304:AC304"/>
    <mergeCell ref="D305:E305"/>
    <mergeCell ref="P271:Q271"/>
    <mergeCell ref="T271:U271"/>
    <mergeCell ref="X271:Y271"/>
    <mergeCell ref="AB271:AC271"/>
    <mergeCell ref="D287:AC287"/>
    <mergeCell ref="D288:E288"/>
    <mergeCell ref="H288:I288"/>
    <mergeCell ref="L288:M288"/>
    <mergeCell ref="B285:H285"/>
    <mergeCell ref="D286:P286"/>
  </mergeCells>
  <pageMargins left="0.19685039370078741" right="0.19685039370078741" top="0.19685039370078741" bottom="0.19685039370078741" header="0" footer="0"/>
  <pageSetup paperSize="9" scale="74" orientation="landscape" verticalDpi="1200"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42">
    <tabColor indexed="46"/>
  </sheetPr>
  <dimension ref="A1:Y45"/>
  <sheetViews>
    <sheetView showGridLines="0" view="pageBreakPreview" zoomScale="145" zoomScaleNormal="100" zoomScaleSheetLayoutView="145" workbookViewId="0">
      <selection activeCell="O27" sqref="O26:O27"/>
    </sheetView>
  </sheetViews>
  <sheetFormatPr baseColWidth="10" defaultColWidth="11.42578125" defaultRowHeight="15" x14ac:dyDescent="0.2"/>
  <cols>
    <col min="1" max="1" width="22.7109375" style="1656" customWidth="1"/>
    <col min="2" max="2" width="20.7109375" style="1656" customWidth="1"/>
    <col min="3" max="3" width="16.7109375" style="1656" customWidth="1"/>
    <col min="4" max="4" width="21.140625" style="1656" customWidth="1"/>
    <col min="5" max="5" width="12.7109375" style="1667" customWidth="1"/>
    <col min="6" max="6" width="14.28515625" style="1667" customWidth="1"/>
    <col min="7" max="7" width="7.7109375" style="1667" customWidth="1"/>
    <col min="8" max="8" width="6.5703125" style="1667" customWidth="1"/>
    <col min="9" max="9" width="12.140625" style="1667" customWidth="1"/>
    <col min="10" max="10" width="8.140625" style="1656" hidden="1" customWidth="1"/>
    <col min="11" max="12" width="8.42578125" style="1656" hidden="1" customWidth="1"/>
    <col min="13" max="13" width="10.7109375" style="1656" hidden="1" customWidth="1"/>
    <col min="14" max="14" width="15" style="1656" hidden="1" customWidth="1"/>
    <col min="15" max="15" width="5.42578125" style="1656" customWidth="1"/>
    <col min="16" max="16384" width="11.42578125" style="541"/>
  </cols>
  <sheetData>
    <row r="1" spans="1:16" ht="12.75" customHeight="1" x14ac:dyDescent="0.2">
      <c r="A1" s="1638"/>
      <c r="B1" s="2938" t="str">
        <f>Dateneingabe!F1&amp;"("&amp;Dateneingabe!I1&amp;")"</f>
        <v>Ausschreibung GCC vertikal(Rev. 0563b)</v>
      </c>
      <c r="C1" s="2938"/>
      <c r="D1" s="2938"/>
      <c r="E1" s="2938"/>
      <c r="F1" s="2940"/>
      <c r="G1" s="2940"/>
      <c r="H1" s="2940"/>
      <c r="I1" s="2940"/>
      <c r="J1" s="2940"/>
      <c r="K1" s="2940"/>
      <c r="L1" s="2940"/>
      <c r="M1" s="2940"/>
      <c r="N1" s="2942"/>
      <c r="O1" s="2942"/>
      <c r="P1" s="1535"/>
    </row>
    <row r="2" spans="1:16" ht="18" customHeight="1" x14ac:dyDescent="0.2">
      <c r="A2" s="1639"/>
      <c r="B2" s="2939"/>
      <c r="C2" s="2939"/>
      <c r="D2" s="2939"/>
      <c r="E2" s="2939"/>
      <c r="F2" s="2941"/>
      <c r="G2" s="2941"/>
      <c r="H2" s="2941"/>
      <c r="I2" s="2941"/>
      <c r="J2" s="2941"/>
      <c r="K2" s="2941"/>
      <c r="L2" s="2941"/>
      <c r="M2" s="2941"/>
      <c r="N2" s="2942"/>
      <c r="O2" s="2942"/>
      <c r="P2" s="1535"/>
    </row>
    <row r="3" spans="1:16" ht="15.75" x14ac:dyDescent="0.25">
      <c r="A3" s="1639"/>
      <c r="B3" s="1640"/>
      <c r="C3" s="1640"/>
      <c r="D3" s="1640"/>
      <c r="E3" s="1641"/>
      <c r="F3" s="1641"/>
      <c r="G3" s="1641"/>
      <c r="H3" s="1641"/>
      <c r="I3" s="1641"/>
      <c r="J3" s="1642"/>
      <c r="K3" s="1642"/>
      <c r="L3" s="1642"/>
      <c r="M3" s="1642"/>
      <c r="N3" s="1640"/>
      <c r="O3" s="1643"/>
      <c r="P3" s="1535"/>
    </row>
    <row r="4" spans="1:16" x14ac:dyDescent="0.2">
      <c r="A4" s="1644" t="s">
        <v>81</v>
      </c>
      <c r="B4" s="1645" t="str">
        <f>Dateneingabe!F3</f>
        <v>05217112</v>
      </c>
      <c r="C4" s="1640"/>
      <c r="D4" s="1642" t="s">
        <v>13</v>
      </c>
      <c r="E4" s="1633" t="str">
        <f>Dateneingabe!H3</f>
        <v>200</v>
      </c>
      <c r="F4" s="1641"/>
      <c r="G4" s="1641"/>
      <c r="H4" s="1641"/>
      <c r="I4" s="1641"/>
      <c r="J4" s="1640"/>
      <c r="K4" s="1640"/>
      <c r="L4" s="1640"/>
      <c r="M4" s="1640"/>
      <c r="N4" s="1640"/>
      <c r="O4" s="1640"/>
      <c r="P4" s="1535"/>
    </row>
    <row r="5" spans="1:16" ht="6" customHeight="1" x14ac:dyDescent="0.2">
      <c r="A5" s="1646"/>
      <c r="B5" s="1640"/>
      <c r="C5" s="1640"/>
      <c r="D5" s="1642"/>
      <c r="E5" s="1641"/>
      <c r="F5" s="1641"/>
      <c r="G5" s="1641"/>
      <c r="H5" s="1641"/>
      <c r="I5" s="1641"/>
      <c r="J5" s="1640"/>
      <c r="K5" s="1640"/>
      <c r="L5" s="1640"/>
      <c r="M5" s="1640"/>
      <c r="N5" s="1640"/>
      <c r="O5" s="1640"/>
      <c r="P5" s="1535"/>
    </row>
    <row r="6" spans="1:16" x14ac:dyDescent="0.2">
      <c r="A6" s="1644" t="s">
        <v>29208</v>
      </c>
      <c r="B6" s="1645" t="str">
        <f>Dateneingabe!F5</f>
        <v>5101.002095</v>
      </c>
      <c r="C6" s="1640"/>
      <c r="D6" s="1535"/>
      <c r="E6" s="863"/>
      <c r="F6" s="1641"/>
      <c r="G6" s="1641"/>
      <c r="H6" s="1641"/>
      <c r="I6" s="1641"/>
      <c r="J6" s="1640"/>
      <c r="K6" s="1640"/>
      <c r="L6" s="1640"/>
      <c r="M6" s="1640"/>
      <c r="N6" s="1640"/>
      <c r="O6" s="1640"/>
      <c r="P6" s="1535"/>
    </row>
    <row r="7" spans="1:16" ht="6" customHeight="1" x14ac:dyDescent="0.2">
      <c r="A7" s="1646"/>
      <c r="B7" s="1640"/>
      <c r="C7" s="1640"/>
      <c r="D7" s="1642"/>
      <c r="E7" s="1641"/>
      <c r="F7" s="1641"/>
      <c r="G7" s="2943" t="s">
        <v>29209</v>
      </c>
      <c r="H7" s="2943" t="s">
        <v>29210</v>
      </c>
      <c r="I7" s="1641"/>
      <c r="J7" s="1640"/>
      <c r="K7" s="1640"/>
      <c r="L7" s="1640"/>
      <c r="M7" s="1640"/>
      <c r="N7" s="1640"/>
      <c r="O7" s="1640"/>
      <c r="P7" s="1535"/>
    </row>
    <row r="8" spans="1:16" x14ac:dyDescent="0.2">
      <c r="A8" s="1644" t="s">
        <v>29211</v>
      </c>
      <c r="B8" s="1812" t="str">
        <f>Dateneingabe!F15</f>
        <v>MiWo</v>
      </c>
      <c r="C8" s="1640"/>
      <c r="D8" s="1642" t="s">
        <v>97</v>
      </c>
      <c r="E8" s="1647">
        <f>Dateneingabe!F13</f>
        <v>44594</v>
      </c>
      <c r="F8" s="1641"/>
      <c r="G8" s="2944"/>
      <c r="H8" s="2944"/>
      <c r="I8" s="1641"/>
      <c r="J8" s="1640"/>
      <c r="K8" s="1640"/>
      <c r="L8" s="1640"/>
      <c r="M8" s="1640"/>
      <c r="N8" s="1640"/>
      <c r="O8" s="1640"/>
      <c r="P8" s="1535"/>
    </row>
    <row r="9" spans="1:16" ht="6" customHeight="1" x14ac:dyDescent="0.2">
      <c r="A9" s="1639"/>
      <c r="B9" s="1640"/>
      <c r="C9" s="1640"/>
      <c r="D9" s="1640"/>
      <c r="E9" s="1641"/>
      <c r="F9" s="1641"/>
      <c r="G9" s="2944"/>
      <c r="H9" s="2944"/>
      <c r="I9" s="1641"/>
      <c r="J9" s="1640"/>
      <c r="K9" s="1640"/>
      <c r="L9" s="1640"/>
      <c r="M9" s="1640"/>
      <c r="N9" s="1640"/>
      <c r="O9" s="1640"/>
      <c r="P9" s="1535"/>
    </row>
    <row r="10" spans="1:16" x14ac:dyDescent="0.2">
      <c r="A10" s="1639"/>
      <c r="B10" s="1648"/>
      <c r="C10" s="1640"/>
      <c r="D10" s="1640"/>
      <c r="E10" s="1641"/>
      <c r="F10" s="1641"/>
      <c r="G10" s="2944"/>
      <c r="H10" s="2944"/>
      <c r="I10" s="1641"/>
      <c r="J10" s="1640"/>
      <c r="K10" s="1640"/>
      <c r="L10" s="1640"/>
      <c r="M10" s="1640"/>
      <c r="N10" s="1640"/>
      <c r="O10" s="1640"/>
      <c r="P10" s="1535"/>
    </row>
    <row r="11" spans="1:16" ht="6" customHeight="1" x14ac:dyDescent="0.2">
      <c r="A11" s="1639"/>
      <c r="B11" s="1640"/>
      <c r="C11" s="1640"/>
      <c r="D11" s="1640"/>
      <c r="E11" s="1641"/>
      <c r="F11" s="1641"/>
      <c r="G11" s="2944"/>
      <c r="H11" s="2944"/>
      <c r="I11" s="1641"/>
      <c r="J11" s="1640"/>
      <c r="K11" s="1640"/>
      <c r="L11" s="1640"/>
      <c r="M11" s="1640"/>
      <c r="N11" s="1640"/>
      <c r="O11" s="1640"/>
      <c r="P11" s="1535"/>
    </row>
    <row r="12" spans="1:16" ht="39.75" customHeight="1" x14ac:dyDescent="0.2">
      <c r="A12" s="2946" t="s">
        <v>29212</v>
      </c>
      <c r="B12" s="2947"/>
      <c r="C12" s="2947"/>
      <c r="D12" s="2947"/>
      <c r="E12" s="2947"/>
      <c r="F12" s="2947"/>
      <c r="G12" s="2944"/>
      <c r="H12" s="2944"/>
      <c r="I12" s="1641"/>
      <c r="J12" s="1640"/>
      <c r="K12" s="1640"/>
      <c r="L12" s="1640"/>
      <c r="M12" s="1640"/>
      <c r="N12" s="1640"/>
      <c r="O12" s="1640"/>
      <c r="P12" s="1535"/>
    </row>
    <row r="13" spans="1:16" ht="6" customHeight="1" x14ac:dyDescent="0.2">
      <c r="A13" s="1639"/>
      <c r="B13" s="1640"/>
      <c r="C13" s="1640"/>
      <c r="D13" s="1640"/>
      <c r="E13" s="1641"/>
      <c r="F13" s="1641"/>
      <c r="G13" s="2944"/>
      <c r="H13" s="2944"/>
      <c r="I13" s="1641"/>
      <c r="J13" s="1640"/>
      <c r="K13" s="1640"/>
      <c r="L13" s="1640"/>
      <c r="M13" s="1640"/>
      <c r="N13" s="1640"/>
      <c r="O13" s="1640"/>
      <c r="P13" s="1535"/>
    </row>
    <row r="14" spans="1:16" ht="24" customHeight="1" thickBot="1" x14ac:dyDescent="0.25">
      <c r="A14" s="1649"/>
      <c r="B14" s="1641"/>
      <c r="C14" s="1641"/>
      <c r="D14" s="1641"/>
      <c r="E14" s="1641"/>
      <c r="F14" s="1641"/>
      <c r="G14" s="2944"/>
      <c r="H14" s="2944"/>
      <c r="I14" s="1641"/>
      <c r="J14" s="1640"/>
      <c r="K14" s="1640"/>
      <c r="L14" s="1640"/>
      <c r="M14" s="1640"/>
      <c r="N14" s="1640"/>
      <c r="O14" s="1640"/>
      <c r="P14" s="1535"/>
    </row>
    <row r="15" spans="1:16" ht="19.5" customHeight="1" thickBot="1" x14ac:dyDescent="0.3">
      <c r="A15" s="2948" t="s">
        <v>72</v>
      </c>
      <c r="B15" s="2948"/>
      <c r="C15" s="2948"/>
      <c r="D15" s="2950" t="s">
        <v>29213</v>
      </c>
      <c r="E15" s="2950" t="s">
        <v>61</v>
      </c>
      <c r="F15" s="2952" t="s">
        <v>29214</v>
      </c>
      <c r="G15" s="2945"/>
      <c r="H15" s="2945"/>
      <c r="I15" s="1641"/>
      <c r="J15" s="2957" t="s">
        <v>78</v>
      </c>
      <c r="K15" s="2958"/>
      <c r="L15" s="2957" t="s">
        <v>75</v>
      </c>
      <c r="M15" s="2958"/>
      <c r="N15" s="2959" t="s">
        <v>93</v>
      </c>
      <c r="O15" s="1640"/>
      <c r="P15" s="1535"/>
    </row>
    <row r="16" spans="1:16" ht="9" customHeight="1" thickBot="1" x14ac:dyDescent="0.3">
      <c r="A16" s="2949"/>
      <c r="B16" s="2949"/>
      <c r="C16" s="2949"/>
      <c r="D16" s="2951"/>
      <c r="E16" s="2951"/>
      <c r="F16" s="2953"/>
      <c r="G16" s="1650"/>
      <c r="H16" s="1650"/>
      <c r="I16" s="1641"/>
      <c r="J16" s="1251" t="s">
        <v>79</v>
      </c>
      <c r="K16" s="1251" t="s">
        <v>62</v>
      </c>
      <c r="L16" s="1251" t="s">
        <v>74</v>
      </c>
      <c r="M16" s="1251" t="s">
        <v>111</v>
      </c>
      <c r="N16" s="2960"/>
      <c r="O16" s="1640"/>
      <c r="P16" s="1535"/>
    </row>
    <row r="17" spans="1:25" s="1656" customFormat="1" ht="17.100000000000001" customHeight="1" x14ac:dyDescent="0.2">
      <c r="A17" s="2961"/>
      <c r="B17" s="2962"/>
      <c r="C17" s="2963"/>
      <c r="D17" s="1651"/>
      <c r="E17" s="1652"/>
      <c r="F17" s="1653"/>
      <c r="G17" s="1650">
        <f>IF(AND(A17&lt;&gt;0,D17&lt;&gt;0,E17&lt;&gt;0,F17&lt;&gt;0,H17=1),1,0)</f>
        <v>0</v>
      </c>
      <c r="H17" s="1650">
        <f>IF(LEN(D17)=7,1,0)</f>
        <v>0</v>
      </c>
      <c r="I17" s="1641"/>
      <c r="J17" s="1654"/>
      <c r="K17" s="1654"/>
      <c r="L17" s="1654"/>
      <c r="M17" s="1654"/>
      <c r="N17" s="1655"/>
      <c r="O17" s="1640"/>
      <c r="P17" s="1535"/>
      <c r="Q17" s="541"/>
      <c r="R17" s="541"/>
      <c r="S17" s="541"/>
      <c r="T17" s="541"/>
      <c r="V17" s="541"/>
      <c r="W17" s="541"/>
      <c r="X17" s="541"/>
      <c r="Y17" s="1641" t="s">
        <v>53</v>
      </c>
    </row>
    <row r="18" spans="1:25" s="1656" customFormat="1" ht="17.100000000000001" customHeight="1" x14ac:dyDescent="0.2">
      <c r="A18" s="2964"/>
      <c r="B18" s="2965"/>
      <c r="C18" s="2966"/>
      <c r="D18" s="1657"/>
      <c r="E18" s="1658"/>
      <c r="F18" s="1659"/>
      <c r="G18" s="1650">
        <f>IF(AND(A18&lt;&gt;0,D18&lt;&gt;0,E18&lt;&gt;0,F18&lt;&gt;0,H18=1),1,0)</f>
        <v>0</v>
      </c>
      <c r="H18" s="1650">
        <f>IF(LEN(D18)=7,1,0)</f>
        <v>0</v>
      </c>
      <c r="I18" s="1641"/>
      <c r="J18" s="1660"/>
      <c r="K18" s="1660"/>
      <c r="L18" s="1660"/>
      <c r="M18" s="1660"/>
      <c r="N18" s="1655"/>
      <c r="O18" s="1640"/>
      <c r="P18" s="1535"/>
      <c r="Q18" s="541"/>
      <c r="R18" s="541"/>
      <c r="S18" s="541"/>
      <c r="T18" s="541"/>
      <c r="V18" s="541"/>
      <c r="W18" s="541"/>
      <c r="X18" s="541"/>
      <c r="Y18" s="1641" t="s">
        <v>54</v>
      </c>
    </row>
    <row r="19" spans="1:25" s="1656" customFormat="1" ht="17.100000000000001" customHeight="1" x14ac:dyDescent="0.2">
      <c r="A19" s="2964"/>
      <c r="B19" s="2965"/>
      <c r="C19" s="2966"/>
      <c r="D19" s="1657"/>
      <c r="E19" s="1658"/>
      <c r="F19" s="1659"/>
      <c r="G19" s="1650">
        <f>IF(AND(A19&lt;&gt;0,D19&lt;&gt;0,E19&lt;&gt;0,F19&lt;&gt;0,H19=1),1,0)</f>
        <v>0</v>
      </c>
      <c r="H19" s="1650">
        <f>IF(LEN(D19)=7,1,0)</f>
        <v>0</v>
      </c>
      <c r="I19" s="1641"/>
      <c r="J19" s="1660"/>
      <c r="K19" s="1660"/>
      <c r="L19" s="1660"/>
      <c r="M19" s="1660"/>
      <c r="N19" s="1655"/>
      <c r="O19" s="1640"/>
      <c r="P19" s="1535"/>
      <c r="Q19" s="541"/>
      <c r="R19" s="541"/>
      <c r="S19" s="541"/>
      <c r="T19" s="541"/>
      <c r="V19" s="541"/>
      <c r="W19" s="541"/>
      <c r="X19" s="541"/>
      <c r="Y19" s="1641" t="s">
        <v>17</v>
      </c>
    </row>
    <row r="20" spans="1:25" s="1656" customFormat="1" ht="17.100000000000001" customHeight="1" x14ac:dyDescent="0.2">
      <c r="A20" s="2964"/>
      <c r="B20" s="2965"/>
      <c r="C20" s="2966"/>
      <c r="D20" s="1657"/>
      <c r="E20" s="1658"/>
      <c r="F20" s="1659"/>
      <c r="G20" s="1650">
        <f>IF(AND(A20&lt;&gt;0,D20&lt;&gt;0,E20&lt;&gt;0,F20&lt;&gt;0,H20=1),1,0)</f>
        <v>0</v>
      </c>
      <c r="H20" s="1650">
        <f>IF(LEN(D20)=7,1,0)</f>
        <v>0</v>
      </c>
      <c r="I20" s="1641"/>
      <c r="J20" s="1660"/>
      <c r="K20" s="1660"/>
      <c r="L20" s="1660"/>
      <c r="M20" s="1660"/>
      <c r="N20" s="1655"/>
      <c r="O20" s="1640"/>
      <c r="P20" s="1535"/>
      <c r="Q20" s="541"/>
      <c r="R20" s="541"/>
      <c r="S20" s="541"/>
      <c r="T20" s="541"/>
      <c r="V20" s="541"/>
      <c r="W20" s="541"/>
      <c r="X20" s="541"/>
      <c r="Y20" s="1641" t="s">
        <v>29215</v>
      </c>
    </row>
    <row r="21" spans="1:25" s="1656" customFormat="1" ht="17.100000000000001" customHeight="1" x14ac:dyDescent="0.2">
      <c r="A21" s="2964"/>
      <c r="B21" s="2965"/>
      <c r="C21" s="2966"/>
      <c r="D21" s="1657"/>
      <c r="E21" s="1658"/>
      <c r="F21" s="1659"/>
      <c r="G21" s="1661">
        <f>IF(AND(A21&lt;&gt;0,D21&lt;&gt;0,E21&lt;&gt;0,F21&lt;&gt;0,H21=1),1,0)</f>
        <v>0</v>
      </c>
      <c r="H21" s="1661">
        <f>IF(LEN(D21)=7,1,0)</f>
        <v>0</v>
      </c>
      <c r="I21" s="1641"/>
      <c r="J21" s="1660"/>
      <c r="K21" s="1660"/>
      <c r="L21" s="1660"/>
      <c r="M21" s="1660"/>
      <c r="N21" s="1655"/>
      <c r="O21" s="1640"/>
      <c r="P21" s="1535"/>
      <c r="Q21" s="541"/>
      <c r="V21" s="541"/>
      <c r="W21" s="541"/>
      <c r="X21" s="541"/>
    </row>
    <row r="22" spans="1:25" s="1656" customFormat="1" ht="17.100000000000001" customHeight="1" x14ac:dyDescent="0.25">
      <c r="A22" s="2954"/>
      <c r="B22" s="2955"/>
      <c r="C22" s="2956"/>
      <c r="D22" s="1662"/>
      <c r="E22" s="1663"/>
      <c r="F22" s="1641"/>
      <c r="G22" s="1641"/>
      <c r="H22" s="1641"/>
      <c r="I22" s="1641"/>
      <c r="J22" s="1660"/>
      <c r="K22" s="1660"/>
      <c r="L22" s="1660"/>
      <c r="M22" s="1660"/>
      <c r="N22" s="1655"/>
      <c r="O22" s="1640"/>
      <c r="P22" s="1535"/>
      <c r="Q22" s="541"/>
      <c r="V22" s="541"/>
      <c r="W22" s="541"/>
      <c r="X22" s="541"/>
    </row>
    <row r="23" spans="1:25" s="1656" customFormat="1" ht="17.100000000000001" customHeight="1" x14ac:dyDescent="0.25">
      <c r="A23" s="2954"/>
      <c r="B23" s="2955"/>
      <c r="C23" s="2956"/>
      <c r="D23" s="1662"/>
      <c r="E23" s="1663"/>
      <c r="F23" s="1641"/>
      <c r="G23" s="1641"/>
      <c r="H23" s="1641"/>
      <c r="I23" s="1641"/>
      <c r="J23" s="1660"/>
      <c r="K23" s="1660"/>
      <c r="L23" s="1660"/>
      <c r="M23" s="1660"/>
      <c r="N23" s="1655"/>
      <c r="O23" s="1640"/>
      <c r="P23" s="1535"/>
      <c r="Q23" s="541"/>
      <c r="V23" s="541"/>
      <c r="W23" s="541"/>
      <c r="X23" s="541"/>
    </row>
    <row r="24" spans="1:25" s="1656" customFormat="1" ht="17.100000000000001" customHeight="1" x14ac:dyDescent="0.25">
      <c r="A24" s="2967"/>
      <c r="B24" s="2968"/>
      <c r="C24" s="2969"/>
      <c r="D24" s="1662"/>
      <c r="E24" s="1663"/>
      <c r="F24" s="1641"/>
      <c r="G24" s="1641"/>
      <c r="H24" s="1641"/>
      <c r="I24" s="1641"/>
      <c r="J24" s="1660"/>
      <c r="K24" s="1660"/>
      <c r="L24" s="1660"/>
      <c r="M24" s="1660"/>
      <c r="N24" s="1655"/>
      <c r="O24" s="1640"/>
      <c r="P24" s="1535"/>
      <c r="Q24" s="541"/>
      <c r="V24" s="541"/>
      <c r="W24" s="541"/>
      <c r="X24" s="541"/>
    </row>
    <row r="25" spans="1:25" s="1656" customFormat="1" ht="17.100000000000001" customHeight="1" x14ac:dyDescent="0.25">
      <c r="A25" s="2954"/>
      <c r="B25" s="2955"/>
      <c r="C25" s="2956"/>
      <c r="D25" s="1662"/>
      <c r="E25" s="1663"/>
      <c r="F25" s="1641"/>
      <c r="G25" s="1641"/>
      <c r="H25" s="1641"/>
      <c r="I25" s="1641"/>
      <c r="J25" s="1660"/>
      <c r="K25" s="1660"/>
      <c r="L25" s="1660"/>
      <c r="M25" s="1660"/>
      <c r="N25" s="1655"/>
      <c r="O25" s="1640"/>
      <c r="P25" s="1535"/>
      <c r="Q25" s="541"/>
    </row>
    <row r="26" spans="1:25" s="1656" customFormat="1" ht="17.100000000000001" customHeight="1" x14ac:dyDescent="0.25">
      <c r="A26" s="2954"/>
      <c r="B26" s="2955"/>
      <c r="C26" s="2956"/>
      <c r="D26" s="1662"/>
      <c r="E26" s="1663"/>
      <c r="F26" s="1641"/>
      <c r="G26" s="1641"/>
      <c r="H26" s="1641"/>
      <c r="I26" s="1641"/>
      <c r="J26" s="1660"/>
      <c r="K26" s="1660"/>
      <c r="L26" s="1660"/>
      <c r="M26" s="1660"/>
      <c r="N26" s="1655"/>
      <c r="O26" s="1640"/>
      <c r="P26" s="1535"/>
      <c r="Q26" s="541"/>
    </row>
    <row r="27" spans="1:25" s="1656" customFormat="1" ht="17.100000000000001" customHeight="1" x14ac:dyDescent="0.25">
      <c r="A27" s="2954"/>
      <c r="B27" s="2955"/>
      <c r="C27" s="2956"/>
      <c r="D27" s="1662"/>
      <c r="E27" s="1663"/>
      <c r="F27" s="1641"/>
      <c r="G27" s="1641"/>
      <c r="H27" s="1641"/>
      <c r="I27" s="1641"/>
      <c r="J27" s="1660"/>
      <c r="K27" s="1660"/>
      <c r="L27" s="1660"/>
      <c r="M27" s="1660"/>
      <c r="N27" s="1655"/>
      <c r="O27" s="1640"/>
      <c r="P27" s="1535"/>
      <c r="Q27" s="541"/>
    </row>
    <row r="28" spans="1:25" s="1656" customFormat="1" ht="17.100000000000001" customHeight="1" x14ac:dyDescent="0.25">
      <c r="A28" s="2954"/>
      <c r="B28" s="2955"/>
      <c r="C28" s="2956"/>
      <c r="D28" s="1662"/>
      <c r="E28" s="1663"/>
      <c r="F28" s="1641"/>
      <c r="G28" s="1641"/>
      <c r="H28" s="1641"/>
      <c r="I28" s="1641"/>
      <c r="J28" s="1660"/>
      <c r="K28" s="1660"/>
      <c r="L28" s="1660"/>
      <c r="M28" s="1660"/>
      <c r="N28" s="1655"/>
      <c r="O28" s="1640"/>
      <c r="P28" s="1640"/>
      <c r="Q28" s="541"/>
    </row>
    <row r="29" spans="1:25" s="1656" customFormat="1" ht="17.100000000000001" customHeight="1" x14ac:dyDescent="0.25">
      <c r="A29" s="2954"/>
      <c r="B29" s="2955"/>
      <c r="C29" s="2956"/>
      <c r="D29" s="1662"/>
      <c r="E29" s="1663"/>
      <c r="F29" s="1641"/>
      <c r="G29" s="1641"/>
      <c r="H29" s="1641"/>
      <c r="I29" s="1641"/>
      <c r="J29" s="1660"/>
      <c r="K29" s="1660"/>
      <c r="L29" s="1660"/>
      <c r="M29" s="1660"/>
      <c r="N29" s="1655"/>
      <c r="O29" s="1640"/>
      <c r="P29" s="1640"/>
      <c r="Q29" s="541"/>
    </row>
    <row r="30" spans="1:25" s="1656" customFormat="1" ht="17.100000000000001" customHeight="1" thickBot="1" x14ac:dyDescent="0.3">
      <c r="A30" s="2954"/>
      <c r="B30" s="2955"/>
      <c r="C30" s="2956"/>
      <c r="D30" s="1664"/>
      <c r="E30" s="1665"/>
      <c r="F30" s="1641"/>
      <c r="G30" s="1641"/>
      <c r="H30" s="1641"/>
      <c r="I30" s="1641"/>
      <c r="J30" s="1666"/>
      <c r="K30" s="1666"/>
      <c r="L30" s="1666"/>
      <c r="M30" s="1666"/>
      <c r="N30" s="1655"/>
      <c r="O30" s="1640"/>
      <c r="P30" s="1640"/>
    </row>
    <row r="31" spans="1:25" s="1656" customFormat="1" x14ac:dyDescent="0.2">
      <c r="E31" s="1667"/>
      <c r="F31" s="1641"/>
      <c r="G31" s="1641"/>
      <c r="H31" s="1641"/>
      <c r="I31" s="1641"/>
    </row>
    <row r="32" spans="1:25" s="1656" customFormat="1" x14ac:dyDescent="0.2">
      <c r="E32" s="1667"/>
      <c r="F32" s="1667"/>
      <c r="G32" s="1667"/>
      <c r="H32" s="1667"/>
      <c r="I32" s="1667"/>
    </row>
    <row r="33" spans="5:9" s="1656" customFormat="1" x14ac:dyDescent="0.2">
      <c r="E33" s="1667"/>
      <c r="F33" s="1667"/>
      <c r="G33" s="1667"/>
      <c r="H33" s="1667"/>
      <c r="I33" s="1667"/>
    </row>
    <row r="34" spans="5:9" s="1656" customFormat="1" x14ac:dyDescent="0.2">
      <c r="E34" s="1667"/>
      <c r="F34" s="1667"/>
      <c r="G34" s="1667"/>
      <c r="H34" s="1667"/>
      <c r="I34" s="1667"/>
    </row>
    <row r="35" spans="5:9" s="1656" customFormat="1" x14ac:dyDescent="0.2">
      <c r="E35" s="1667"/>
      <c r="F35" s="1667"/>
      <c r="G35" s="1667"/>
      <c r="H35" s="1667"/>
      <c r="I35" s="1667"/>
    </row>
    <row r="36" spans="5:9" s="1656" customFormat="1" x14ac:dyDescent="0.2">
      <c r="E36" s="1667"/>
      <c r="F36" s="1667"/>
      <c r="G36" s="1667"/>
      <c r="H36" s="1667"/>
      <c r="I36" s="1667"/>
    </row>
    <row r="37" spans="5:9" s="1656" customFormat="1" x14ac:dyDescent="0.2">
      <c r="E37" s="1667"/>
      <c r="F37" s="1667"/>
      <c r="G37" s="1667"/>
      <c r="H37" s="1667"/>
      <c r="I37" s="1667"/>
    </row>
    <row r="38" spans="5:9" s="1656" customFormat="1" x14ac:dyDescent="0.2">
      <c r="E38" s="1667"/>
      <c r="F38" s="1667"/>
      <c r="G38" s="1667"/>
      <c r="H38" s="1667"/>
      <c r="I38" s="1667"/>
    </row>
    <row r="39" spans="5:9" s="1656" customFormat="1" x14ac:dyDescent="0.2">
      <c r="E39" s="1667"/>
      <c r="F39" s="1667"/>
      <c r="G39" s="1667"/>
      <c r="H39" s="1667"/>
      <c r="I39" s="1667"/>
    </row>
    <row r="40" spans="5:9" s="1656" customFormat="1" x14ac:dyDescent="0.2">
      <c r="E40" s="1667"/>
      <c r="F40" s="1667"/>
      <c r="G40" s="1667"/>
      <c r="H40" s="1667"/>
      <c r="I40" s="1667"/>
    </row>
    <row r="41" spans="5:9" s="1656" customFormat="1" x14ac:dyDescent="0.2">
      <c r="E41" s="1667"/>
      <c r="F41" s="1667"/>
      <c r="G41" s="1667"/>
      <c r="H41" s="1667"/>
      <c r="I41" s="1667"/>
    </row>
    <row r="42" spans="5:9" s="1656" customFormat="1" x14ac:dyDescent="0.2">
      <c r="E42" s="1667"/>
      <c r="F42" s="1667"/>
      <c r="G42" s="1667"/>
      <c r="H42" s="1667"/>
      <c r="I42" s="1667"/>
    </row>
    <row r="43" spans="5:9" s="1656" customFormat="1" x14ac:dyDescent="0.2">
      <c r="E43" s="1667"/>
      <c r="F43" s="1667"/>
      <c r="G43" s="1667"/>
      <c r="H43" s="1667"/>
      <c r="I43" s="1667"/>
    </row>
    <row r="44" spans="5:9" s="1656" customFormat="1" x14ac:dyDescent="0.2">
      <c r="E44" s="1667"/>
      <c r="F44" s="1667"/>
      <c r="G44" s="1667"/>
      <c r="H44" s="1667"/>
      <c r="I44" s="1667"/>
    </row>
    <row r="45" spans="5:9" s="1656" customFormat="1" x14ac:dyDescent="0.2">
      <c r="E45" s="1667"/>
      <c r="F45" s="1667"/>
      <c r="G45" s="1667"/>
      <c r="H45" s="1667"/>
      <c r="I45" s="1667"/>
    </row>
  </sheetData>
  <mergeCells count="27">
    <mergeCell ref="A26:C26"/>
    <mergeCell ref="A27:C27"/>
    <mergeCell ref="A28:C28"/>
    <mergeCell ref="A29:C29"/>
    <mergeCell ref="A30:C30"/>
    <mergeCell ref="A25:C25"/>
    <mergeCell ref="J15:K15"/>
    <mergeCell ref="L15:M15"/>
    <mergeCell ref="N15:N16"/>
    <mergeCell ref="A17:C17"/>
    <mergeCell ref="A18:C18"/>
    <mergeCell ref="A19:C19"/>
    <mergeCell ref="A20:C20"/>
    <mergeCell ref="A21:C21"/>
    <mergeCell ref="A22:C22"/>
    <mergeCell ref="A23:C23"/>
    <mergeCell ref="A24:C24"/>
    <mergeCell ref="B1:E2"/>
    <mergeCell ref="F1:M2"/>
    <mergeCell ref="N1:O2"/>
    <mergeCell ref="G7:G15"/>
    <mergeCell ref="H7:H15"/>
    <mergeCell ref="A12:F12"/>
    <mergeCell ref="A15:C16"/>
    <mergeCell ref="D15:D16"/>
    <mergeCell ref="E15:E16"/>
    <mergeCell ref="F15:F16"/>
  </mergeCells>
  <dataValidations count="4">
    <dataValidation type="list" allowBlank="1" showInputMessage="1" showErrorMessage="1" sqref="F17:F21" xr:uid="{00000000-0002-0000-0E00-000000000000}">
      <formula1>$Y$17:$Y$20</formula1>
    </dataValidation>
    <dataValidation type="list" allowBlank="1" showInputMessage="1" showErrorMessage="1" sqref="J17:J30 L17:L30" xr:uid="{00000000-0002-0000-0E00-000001000000}">
      <formula1>$V$23:$V$24</formula1>
    </dataValidation>
    <dataValidation type="list" allowBlank="1" showInputMessage="1" showErrorMessage="1" sqref="N17:N30" xr:uid="{00000000-0002-0000-0E00-000002000000}">
      <formula1>$V$16:$V$22</formula1>
    </dataValidation>
    <dataValidation type="whole" allowBlank="1" showInputMessage="1" showErrorMessage="1" sqref="E17:E30" xr:uid="{00000000-0002-0000-0E00-000003000000}">
      <formula1>1</formula1>
      <formula2>500</formula2>
    </dataValidation>
  </dataValidations>
  <pageMargins left="0.78740157480314965" right="0.78740157480314965" top="0.98425196850393704" bottom="0.98425196850393704" header="0.51181102362204722" footer="0.51181102362204722"/>
  <pageSetup paperSize="9" scale="80" orientation="landscape" r:id="rId1"/>
  <headerFooter alignWithMargins="0"/>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5"/>
  <dimension ref="A1:O15233"/>
  <sheetViews>
    <sheetView zoomScale="85" zoomScaleNormal="85" workbookViewId="0">
      <pane ySplit="1" topLeftCell="A2" activePane="bottomLeft" state="frozen"/>
      <selection pane="bottomLeft" activeCell="O1" sqref="O1"/>
    </sheetView>
  </sheetViews>
  <sheetFormatPr baseColWidth="10" defaultColWidth="11.42578125" defaultRowHeight="15" x14ac:dyDescent="0.25"/>
  <cols>
    <col min="1" max="1" width="8" style="787" bestFit="1" customWidth="1"/>
    <col min="2" max="2" width="13.85546875" style="787" bestFit="1" customWidth="1"/>
    <col min="3" max="3" width="54.140625" style="787" bestFit="1" customWidth="1"/>
    <col min="4" max="4" width="6.5703125" style="787" bestFit="1" customWidth="1"/>
    <col min="5" max="5" width="9.140625" style="787" bestFit="1" customWidth="1"/>
    <col min="6" max="7" width="10.140625" style="787" bestFit="1" customWidth="1"/>
    <col min="8" max="8" width="4.28515625" style="787" bestFit="1" customWidth="1"/>
    <col min="9" max="10" width="10.140625" style="787" bestFit="1" customWidth="1"/>
    <col min="11" max="11" width="14.85546875" style="787" bestFit="1" customWidth="1"/>
    <col min="12" max="12" width="13.7109375" style="787" bestFit="1" customWidth="1"/>
    <col min="13" max="16384" width="11.42578125" style="787"/>
  </cols>
  <sheetData>
    <row r="1" spans="1:15" x14ac:dyDescent="0.25">
      <c r="A1" s="786" t="s">
        <v>913</v>
      </c>
      <c r="B1" s="787" t="s">
        <v>914</v>
      </c>
      <c r="C1" s="787" t="s">
        <v>915</v>
      </c>
      <c r="D1" s="787" t="s">
        <v>916</v>
      </c>
      <c r="E1" s="787" t="s">
        <v>917</v>
      </c>
      <c r="G1" s="787" t="s">
        <v>918</v>
      </c>
      <c r="H1" s="787" t="s">
        <v>919</v>
      </c>
      <c r="I1" s="787" t="s">
        <v>920</v>
      </c>
      <c r="J1" s="787" t="s">
        <v>921</v>
      </c>
      <c r="K1" s="787" t="s">
        <v>922</v>
      </c>
      <c r="L1" s="787" t="s">
        <v>923</v>
      </c>
      <c r="M1" s="787" t="s">
        <v>924</v>
      </c>
      <c r="N1" s="787" t="s">
        <v>925</v>
      </c>
    </row>
    <row r="2" spans="1:15" x14ac:dyDescent="0.25">
      <c r="A2" s="786" t="s">
        <v>926</v>
      </c>
      <c r="B2" s="787">
        <v>4</v>
      </c>
      <c r="C2" s="787" t="s">
        <v>927</v>
      </c>
      <c r="D2" s="787">
        <v>0.02</v>
      </c>
      <c r="E2" s="787">
        <v>0.02</v>
      </c>
      <c r="F2" s="788">
        <v>38624</v>
      </c>
      <c r="G2" s="788">
        <v>38462</v>
      </c>
      <c r="H2" s="787">
        <v>1</v>
      </c>
      <c r="I2" s="788">
        <v>42163</v>
      </c>
      <c r="J2" s="788">
        <v>39155</v>
      </c>
      <c r="K2" s="788">
        <v>41869</v>
      </c>
      <c r="L2" s="787">
        <v>0.02</v>
      </c>
      <c r="M2" s="787">
        <v>20</v>
      </c>
      <c r="N2" s="787">
        <v>0.02</v>
      </c>
      <c r="O2" s="788">
        <v>42164</v>
      </c>
    </row>
    <row r="3" spans="1:15" x14ac:dyDescent="0.25">
      <c r="A3" s="786" t="s">
        <v>928</v>
      </c>
      <c r="B3" s="787">
        <v>4</v>
      </c>
      <c r="C3" s="787" t="s">
        <v>929</v>
      </c>
      <c r="D3" s="787">
        <v>0.02</v>
      </c>
      <c r="E3" s="787">
        <v>0.02</v>
      </c>
      <c r="F3" s="788">
        <v>38047</v>
      </c>
      <c r="G3" s="788">
        <v>38364</v>
      </c>
      <c r="H3" s="787">
        <v>1</v>
      </c>
      <c r="I3" s="788">
        <v>42166</v>
      </c>
      <c r="J3" s="788">
        <v>39155</v>
      </c>
      <c r="K3" s="788">
        <v>41422</v>
      </c>
      <c r="L3" s="787">
        <v>0.03</v>
      </c>
      <c r="M3" s="787">
        <v>20</v>
      </c>
      <c r="N3" s="787">
        <v>0.03</v>
      </c>
      <c r="O3" s="788">
        <v>42144</v>
      </c>
    </row>
    <row r="4" spans="1:15" x14ac:dyDescent="0.25">
      <c r="A4" s="786" t="s">
        <v>930</v>
      </c>
      <c r="B4" s="787">
        <v>4</v>
      </c>
      <c r="C4" s="787" t="s">
        <v>931</v>
      </c>
      <c r="D4" s="787">
        <v>0.01</v>
      </c>
      <c r="E4" s="787">
        <v>0.01</v>
      </c>
      <c r="F4" s="788">
        <v>37635</v>
      </c>
      <c r="G4" s="788">
        <v>38364</v>
      </c>
      <c r="H4" s="787">
        <v>1</v>
      </c>
      <c r="I4" s="788">
        <v>42117</v>
      </c>
      <c r="J4" s="788">
        <v>39155</v>
      </c>
      <c r="L4" s="787">
        <v>0.01</v>
      </c>
      <c r="M4" s="787">
        <v>20</v>
      </c>
      <c r="N4" s="787">
        <v>0.01</v>
      </c>
      <c r="O4" s="788">
        <v>42087</v>
      </c>
    </row>
    <row r="5" spans="1:15" x14ac:dyDescent="0.25">
      <c r="A5" s="786" t="s">
        <v>932</v>
      </c>
      <c r="B5" s="787">
        <v>4</v>
      </c>
      <c r="C5" s="787" t="s">
        <v>933</v>
      </c>
      <c r="D5" s="787">
        <v>0.04</v>
      </c>
      <c r="E5" s="787">
        <v>0.04</v>
      </c>
      <c r="F5" s="788">
        <v>38047</v>
      </c>
      <c r="G5" s="788">
        <v>38658</v>
      </c>
      <c r="H5" s="787">
        <v>1</v>
      </c>
      <c r="I5" s="788">
        <v>42165</v>
      </c>
      <c r="J5" s="788">
        <v>39155</v>
      </c>
      <c r="K5" s="788">
        <v>41422</v>
      </c>
      <c r="L5" s="787">
        <v>7.0000000000000007E-2</v>
      </c>
      <c r="M5" s="787">
        <v>20</v>
      </c>
      <c r="N5" s="787">
        <v>0.08</v>
      </c>
      <c r="O5" s="788">
        <v>42163</v>
      </c>
    </row>
    <row r="6" spans="1:15" x14ac:dyDescent="0.25">
      <c r="A6" s="786" t="s">
        <v>934</v>
      </c>
      <c r="B6" s="787">
        <v>4</v>
      </c>
      <c r="C6" s="787" t="s">
        <v>935</v>
      </c>
      <c r="D6" s="787">
        <v>0</v>
      </c>
      <c r="E6" s="787">
        <v>0</v>
      </c>
      <c r="H6" s="787">
        <v>1</v>
      </c>
      <c r="I6" s="788">
        <v>42049</v>
      </c>
      <c r="L6" s="787">
        <v>0.5</v>
      </c>
      <c r="M6" s="787">
        <v>20</v>
      </c>
      <c r="N6" s="787">
        <v>0.54</v>
      </c>
      <c r="O6" s="788">
        <v>41955</v>
      </c>
    </row>
    <row r="7" spans="1:15" x14ac:dyDescent="0.25">
      <c r="A7" s="786" t="s">
        <v>936</v>
      </c>
      <c r="B7" s="787">
        <v>4</v>
      </c>
      <c r="C7" s="787" t="s">
        <v>937</v>
      </c>
      <c r="D7" s="787">
        <v>0.02</v>
      </c>
      <c r="E7" s="787">
        <v>0.16</v>
      </c>
      <c r="F7" s="788">
        <v>38047</v>
      </c>
      <c r="G7" s="788">
        <v>38624</v>
      </c>
      <c r="H7" s="787">
        <v>1</v>
      </c>
      <c r="I7" s="788">
        <v>42166</v>
      </c>
      <c r="J7" s="788">
        <v>39155</v>
      </c>
      <c r="L7" s="787">
        <v>0.02</v>
      </c>
      <c r="M7" s="787">
        <v>20</v>
      </c>
      <c r="N7" s="787">
        <v>0.02</v>
      </c>
      <c r="O7" s="788">
        <v>42164</v>
      </c>
    </row>
    <row r="8" spans="1:15" x14ac:dyDescent="0.25">
      <c r="A8" s="786" t="s">
        <v>938</v>
      </c>
      <c r="B8" s="787">
        <v>4</v>
      </c>
      <c r="C8" s="787" t="s">
        <v>939</v>
      </c>
      <c r="D8" s="787">
        <v>0.01</v>
      </c>
      <c r="E8" s="787">
        <v>0.01</v>
      </c>
      <c r="F8" s="788">
        <v>38047</v>
      </c>
      <c r="G8" s="788">
        <v>38364</v>
      </c>
      <c r="H8" s="787">
        <v>1</v>
      </c>
      <c r="I8" s="788">
        <v>42163</v>
      </c>
      <c r="J8" s="788">
        <v>39155</v>
      </c>
      <c r="L8" s="787">
        <v>0.01</v>
      </c>
      <c r="M8" s="787">
        <v>20</v>
      </c>
      <c r="N8" s="787">
        <v>0.01</v>
      </c>
      <c r="O8" s="788">
        <v>42023</v>
      </c>
    </row>
    <row r="9" spans="1:15" x14ac:dyDescent="0.25">
      <c r="A9" s="786" t="s">
        <v>940</v>
      </c>
      <c r="B9" s="787">
        <v>4</v>
      </c>
      <c r="C9" s="787" t="s">
        <v>931</v>
      </c>
      <c r="D9" s="787">
        <v>0.04</v>
      </c>
      <c r="E9" s="787">
        <v>0.04</v>
      </c>
      <c r="F9" s="788">
        <v>37635</v>
      </c>
      <c r="G9" s="788">
        <v>38551</v>
      </c>
      <c r="H9" s="787">
        <v>1</v>
      </c>
      <c r="I9" s="788">
        <v>42107</v>
      </c>
      <c r="J9" s="788">
        <v>39155</v>
      </c>
      <c r="L9" s="787">
        <v>0.04</v>
      </c>
      <c r="M9" s="787">
        <v>20</v>
      </c>
      <c r="N9" s="787">
        <v>0.04</v>
      </c>
      <c r="O9" s="788">
        <v>42152</v>
      </c>
    </row>
    <row r="10" spans="1:15" x14ac:dyDescent="0.25">
      <c r="A10" s="786" t="s">
        <v>941</v>
      </c>
      <c r="B10" s="787">
        <v>4</v>
      </c>
      <c r="C10" s="787" t="s">
        <v>942</v>
      </c>
      <c r="D10" s="787">
        <v>0.13</v>
      </c>
      <c r="E10" s="787">
        <v>0.13</v>
      </c>
      <c r="F10" s="788">
        <v>37635</v>
      </c>
      <c r="G10" s="788">
        <v>37635</v>
      </c>
      <c r="H10" s="787">
        <v>1</v>
      </c>
      <c r="I10" s="788">
        <v>42166</v>
      </c>
      <c r="J10" s="788">
        <v>39155</v>
      </c>
      <c r="L10" s="787">
        <v>0.13</v>
      </c>
      <c r="M10" s="787">
        <v>20</v>
      </c>
      <c r="N10" s="787">
        <v>0.14000000000000001</v>
      </c>
      <c r="O10" s="788">
        <v>42159</v>
      </c>
    </row>
    <row r="11" spans="1:15" x14ac:dyDescent="0.25">
      <c r="A11" s="786" t="s">
        <v>614</v>
      </c>
      <c r="B11" s="787">
        <v>4</v>
      </c>
      <c r="C11" s="787" t="s">
        <v>943</v>
      </c>
      <c r="D11" s="787">
        <v>0.09</v>
      </c>
      <c r="E11" s="787">
        <v>0.09</v>
      </c>
      <c r="F11" s="788">
        <v>38047</v>
      </c>
      <c r="G11" s="788">
        <v>38364</v>
      </c>
      <c r="H11" s="787">
        <v>1</v>
      </c>
      <c r="I11" s="788">
        <v>42166</v>
      </c>
      <c r="J11" s="788">
        <v>39155</v>
      </c>
      <c r="K11" s="788">
        <v>41368</v>
      </c>
      <c r="L11" s="787">
        <v>0.1</v>
      </c>
      <c r="M11" s="787">
        <v>20</v>
      </c>
      <c r="N11" s="787">
        <v>0.11</v>
      </c>
      <c r="O11" s="788">
        <v>42162</v>
      </c>
    </row>
    <row r="12" spans="1:15" x14ac:dyDescent="0.25">
      <c r="A12" s="786" t="s">
        <v>944</v>
      </c>
      <c r="B12" s="787">
        <v>4</v>
      </c>
      <c r="C12" s="787" t="s">
        <v>931</v>
      </c>
      <c r="D12" s="787">
        <v>0.04</v>
      </c>
      <c r="E12" s="787">
        <v>0.05</v>
      </c>
      <c r="F12" s="788">
        <v>37635</v>
      </c>
      <c r="G12" s="788">
        <v>38475</v>
      </c>
      <c r="H12" s="787">
        <v>1</v>
      </c>
      <c r="I12" s="788">
        <v>42166</v>
      </c>
      <c r="J12" s="788">
        <v>39155</v>
      </c>
      <c r="L12" s="787">
        <v>0.05</v>
      </c>
      <c r="M12" s="787">
        <v>20</v>
      </c>
      <c r="N12" s="787">
        <v>0.05</v>
      </c>
      <c r="O12" s="788">
        <v>42163</v>
      </c>
    </row>
    <row r="13" spans="1:15" x14ac:dyDescent="0.25">
      <c r="A13" s="786" t="s">
        <v>945</v>
      </c>
      <c r="B13" s="787">
        <v>4</v>
      </c>
      <c r="C13" s="787" t="s">
        <v>946</v>
      </c>
      <c r="D13" s="787">
        <v>0.02</v>
      </c>
      <c r="E13" s="787">
        <v>0.02</v>
      </c>
      <c r="F13" s="788">
        <v>37635</v>
      </c>
      <c r="G13" s="788">
        <v>38364</v>
      </c>
      <c r="H13" s="787">
        <v>1</v>
      </c>
      <c r="I13" s="788">
        <v>42166</v>
      </c>
      <c r="J13" s="788">
        <v>39155</v>
      </c>
      <c r="L13" s="787">
        <v>0.02</v>
      </c>
      <c r="M13" s="787">
        <v>20</v>
      </c>
      <c r="N13" s="787">
        <v>0.02</v>
      </c>
      <c r="O13" s="788">
        <v>42164</v>
      </c>
    </row>
    <row r="14" spans="1:15" x14ac:dyDescent="0.25">
      <c r="A14" s="786" t="s">
        <v>947</v>
      </c>
      <c r="B14" s="787">
        <v>4</v>
      </c>
      <c r="C14" s="787" t="s">
        <v>931</v>
      </c>
      <c r="D14" s="787">
        <v>0</v>
      </c>
      <c r="E14" s="787">
        <v>0</v>
      </c>
      <c r="H14" s="787">
        <v>1</v>
      </c>
      <c r="I14" s="788">
        <v>42160</v>
      </c>
      <c r="K14" s="788">
        <v>40892</v>
      </c>
      <c r="L14" s="787">
        <v>0.02</v>
      </c>
      <c r="M14" s="787">
        <v>20</v>
      </c>
      <c r="N14" s="787">
        <v>0.02</v>
      </c>
      <c r="O14" s="788">
        <v>42164</v>
      </c>
    </row>
    <row r="15" spans="1:15" x14ac:dyDescent="0.25">
      <c r="A15" s="786" t="s">
        <v>948</v>
      </c>
      <c r="B15" s="787">
        <v>4</v>
      </c>
      <c r="C15" s="787" t="s">
        <v>931</v>
      </c>
      <c r="D15" s="787">
        <v>0.08</v>
      </c>
      <c r="E15" s="787">
        <v>0.08</v>
      </c>
      <c r="F15" s="788">
        <v>38047</v>
      </c>
      <c r="G15" s="788">
        <v>38364</v>
      </c>
      <c r="H15" s="787">
        <v>1</v>
      </c>
      <c r="I15" s="788">
        <v>42166</v>
      </c>
      <c r="J15" s="788">
        <v>39155</v>
      </c>
      <c r="L15" s="787">
        <v>0.09</v>
      </c>
      <c r="M15" s="787">
        <v>20</v>
      </c>
      <c r="N15" s="787">
        <v>0.1</v>
      </c>
      <c r="O15" s="788">
        <v>42162</v>
      </c>
    </row>
    <row r="16" spans="1:15" x14ac:dyDescent="0.25">
      <c r="A16" s="786" t="s">
        <v>949</v>
      </c>
      <c r="B16" s="787">
        <v>4</v>
      </c>
      <c r="C16" s="787" t="s">
        <v>950</v>
      </c>
      <c r="D16" s="787">
        <v>7.0000000000000007E-2</v>
      </c>
      <c r="E16" s="787">
        <v>7.0000000000000007E-2</v>
      </c>
      <c r="F16" s="788">
        <v>37635</v>
      </c>
      <c r="G16" s="788">
        <v>38364</v>
      </c>
      <c r="H16" s="787">
        <v>1</v>
      </c>
      <c r="I16" s="788">
        <v>42151</v>
      </c>
      <c r="J16" s="788">
        <v>39155</v>
      </c>
      <c r="L16" s="787">
        <v>7.0000000000000007E-2</v>
      </c>
      <c r="M16" s="787">
        <v>20</v>
      </c>
      <c r="N16" s="787">
        <v>0.08</v>
      </c>
      <c r="O16" s="788">
        <v>42146</v>
      </c>
    </row>
    <row r="17" spans="1:15" x14ac:dyDescent="0.25">
      <c r="A17" s="786" t="s">
        <v>951</v>
      </c>
      <c r="B17" s="787">
        <v>4</v>
      </c>
      <c r="C17" s="787" t="s">
        <v>931</v>
      </c>
      <c r="D17" s="787">
        <v>0.1</v>
      </c>
      <c r="E17" s="787">
        <v>0.1</v>
      </c>
      <c r="F17" s="788">
        <v>37635</v>
      </c>
      <c r="G17" s="788">
        <v>38559</v>
      </c>
      <c r="H17" s="787">
        <v>1</v>
      </c>
      <c r="I17" s="788">
        <v>42166</v>
      </c>
      <c r="J17" s="788">
        <v>39155</v>
      </c>
      <c r="L17" s="787">
        <v>0.11</v>
      </c>
      <c r="M17" s="787">
        <v>20</v>
      </c>
      <c r="N17" s="787">
        <v>0.12</v>
      </c>
      <c r="O17" s="788">
        <v>42163</v>
      </c>
    </row>
    <row r="18" spans="1:15" x14ac:dyDescent="0.25">
      <c r="A18" s="786" t="s">
        <v>952</v>
      </c>
      <c r="B18" s="787">
        <v>4</v>
      </c>
      <c r="C18" s="787" t="s">
        <v>841</v>
      </c>
      <c r="D18" s="787">
        <v>7.0000000000000007E-2</v>
      </c>
      <c r="E18" s="787">
        <v>0.09</v>
      </c>
      <c r="F18" s="788">
        <v>38047</v>
      </c>
      <c r="G18" s="788">
        <v>38635</v>
      </c>
      <c r="H18" s="787">
        <v>1</v>
      </c>
      <c r="I18" s="788">
        <v>42166</v>
      </c>
      <c r="J18" s="788">
        <v>39155</v>
      </c>
      <c r="K18" s="788">
        <v>41422</v>
      </c>
      <c r="L18" s="787">
        <v>0.11</v>
      </c>
      <c r="M18" s="787">
        <v>20</v>
      </c>
      <c r="N18" s="787">
        <v>0.12</v>
      </c>
      <c r="O18" s="788">
        <v>42023</v>
      </c>
    </row>
    <row r="19" spans="1:15" x14ac:dyDescent="0.25">
      <c r="A19" s="786" t="s">
        <v>953</v>
      </c>
      <c r="B19" s="787">
        <v>4</v>
      </c>
      <c r="C19" s="787" t="s">
        <v>931</v>
      </c>
      <c r="D19" s="787">
        <v>0.01</v>
      </c>
      <c r="E19" s="787">
        <v>0.03</v>
      </c>
      <c r="F19" s="788">
        <v>38047</v>
      </c>
      <c r="G19" s="788">
        <v>38566</v>
      </c>
      <c r="H19" s="787">
        <v>1</v>
      </c>
      <c r="I19" s="788">
        <v>42159</v>
      </c>
      <c r="J19" s="788">
        <v>39155</v>
      </c>
      <c r="K19" s="788">
        <v>41865</v>
      </c>
      <c r="L19" s="787">
        <v>0.03</v>
      </c>
      <c r="M19" s="787">
        <v>20</v>
      </c>
      <c r="N19" s="787">
        <v>0.03</v>
      </c>
      <c r="O19" s="788">
        <v>42164</v>
      </c>
    </row>
    <row r="20" spans="1:15" x14ac:dyDescent="0.25">
      <c r="A20" s="786" t="s">
        <v>954</v>
      </c>
      <c r="B20" s="787">
        <v>4</v>
      </c>
      <c r="C20" s="787" t="s">
        <v>931</v>
      </c>
      <c r="D20" s="787">
        <v>0</v>
      </c>
      <c r="E20" s="787">
        <v>0</v>
      </c>
      <c r="H20" s="787">
        <v>1</v>
      </c>
      <c r="I20" s="788">
        <v>41969</v>
      </c>
      <c r="L20" s="787">
        <v>0</v>
      </c>
      <c r="M20" s="787">
        <v>20</v>
      </c>
      <c r="N20" s="787">
        <v>0.01</v>
      </c>
      <c r="O20" s="788">
        <v>42023</v>
      </c>
    </row>
    <row r="21" spans="1:15" x14ac:dyDescent="0.25">
      <c r="A21" s="786" t="s">
        <v>955</v>
      </c>
      <c r="B21" s="787">
        <v>4</v>
      </c>
      <c r="C21" s="787" t="s">
        <v>956</v>
      </c>
      <c r="D21" s="787">
        <v>0.03</v>
      </c>
      <c r="E21" s="787">
        <v>0.03</v>
      </c>
      <c r="F21" s="788">
        <v>37635</v>
      </c>
      <c r="G21" s="788">
        <v>38364</v>
      </c>
      <c r="H21" s="787">
        <v>1</v>
      </c>
      <c r="I21" s="788">
        <v>42130</v>
      </c>
      <c r="J21" s="788">
        <v>39155</v>
      </c>
      <c r="L21" s="787">
        <v>0.03</v>
      </c>
      <c r="M21" s="787">
        <v>20</v>
      </c>
      <c r="N21" s="787">
        <v>0.03</v>
      </c>
      <c r="O21" s="788">
        <v>42146</v>
      </c>
    </row>
    <row r="22" spans="1:15" x14ac:dyDescent="0.25">
      <c r="A22" s="786" t="s">
        <v>957</v>
      </c>
      <c r="B22" s="787">
        <v>4</v>
      </c>
      <c r="C22" s="787" t="s">
        <v>958</v>
      </c>
      <c r="D22" s="787">
        <v>7.0000000000000007E-2</v>
      </c>
      <c r="E22" s="787">
        <v>7.0000000000000007E-2</v>
      </c>
      <c r="F22" s="788">
        <v>37635</v>
      </c>
      <c r="G22" s="788">
        <v>38364</v>
      </c>
      <c r="H22" s="787">
        <v>1</v>
      </c>
      <c r="I22" s="788">
        <v>41222</v>
      </c>
      <c r="J22" s="788">
        <v>39155</v>
      </c>
      <c r="L22" s="787">
        <v>0.08</v>
      </c>
      <c r="M22" s="787">
        <v>20</v>
      </c>
      <c r="N22" s="787">
        <v>0.09</v>
      </c>
      <c r="O22" s="788">
        <v>42083</v>
      </c>
    </row>
    <row r="23" spans="1:15" x14ac:dyDescent="0.25">
      <c r="A23" s="786" t="s">
        <v>959</v>
      </c>
      <c r="B23" s="787">
        <v>4</v>
      </c>
      <c r="C23" s="787" t="s">
        <v>931</v>
      </c>
      <c r="D23" s="787">
        <v>0.03</v>
      </c>
      <c r="E23" s="787">
        <v>0.03</v>
      </c>
      <c r="F23" s="788">
        <v>37635</v>
      </c>
      <c r="G23" s="788">
        <v>37635</v>
      </c>
      <c r="H23" s="787">
        <v>1</v>
      </c>
      <c r="I23" s="788">
        <v>41957</v>
      </c>
      <c r="J23" s="788">
        <v>39155</v>
      </c>
      <c r="L23" s="787">
        <v>0.03</v>
      </c>
      <c r="M23" s="787">
        <v>20</v>
      </c>
      <c r="N23" s="787">
        <v>0.03</v>
      </c>
      <c r="O23" s="788">
        <v>42023</v>
      </c>
    </row>
    <row r="24" spans="1:15" x14ac:dyDescent="0.25">
      <c r="A24" s="786" t="s">
        <v>960</v>
      </c>
      <c r="B24" s="787">
        <v>4</v>
      </c>
      <c r="C24" s="787" t="s">
        <v>931</v>
      </c>
      <c r="D24" s="787">
        <v>0.02</v>
      </c>
      <c r="E24" s="787">
        <v>0.02</v>
      </c>
      <c r="F24" s="788">
        <v>37635</v>
      </c>
      <c r="G24" s="788">
        <v>38364</v>
      </c>
      <c r="H24" s="787">
        <v>1</v>
      </c>
      <c r="I24" s="788">
        <v>39155</v>
      </c>
      <c r="J24" s="788">
        <v>39155</v>
      </c>
      <c r="L24" s="787">
        <v>0.02</v>
      </c>
      <c r="M24" s="787">
        <v>20</v>
      </c>
      <c r="N24" s="787">
        <v>0.02</v>
      </c>
      <c r="O24" s="788">
        <v>41955</v>
      </c>
    </row>
    <row r="25" spans="1:15" x14ac:dyDescent="0.25">
      <c r="A25" s="786" t="s">
        <v>961</v>
      </c>
      <c r="B25" s="787">
        <v>4</v>
      </c>
      <c r="C25" s="787" t="s">
        <v>931</v>
      </c>
      <c r="D25" s="787">
        <v>0.03</v>
      </c>
      <c r="E25" s="787">
        <v>0.03</v>
      </c>
      <c r="F25" s="788">
        <v>37635</v>
      </c>
      <c r="G25" s="788">
        <v>38428</v>
      </c>
      <c r="H25" s="787">
        <v>1</v>
      </c>
      <c r="I25" s="788">
        <v>41848</v>
      </c>
      <c r="J25" s="788">
        <v>39155</v>
      </c>
      <c r="L25" s="787">
        <v>0.03</v>
      </c>
      <c r="M25" s="787">
        <v>20</v>
      </c>
      <c r="N25" s="787">
        <v>0.03</v>
      </c>
      <c r="O25" s="788">
        <v>41955</v>
      </c>
    </row>
    <row r="26" spans="1:15" x14ac:dyDescent="0.25">
      <c r="A26" s="786" t="s">
        <v>962</v>
      </c>
      <c r="B26" s="787">
        <v>4</v>
      </c>
      <c r="C26" s="787" t="s">
        <v>931</v>
      </c>
      <c r="D26" s="787">
        <v>0.14000000000000001</v>
      </c>
      <c r="E26" s="787">
        <v>0.17</v>
      </c>
      <c r="F26" s="788">
        <v>37635</v>
      </c>
      <c r="G26" s="788">
        <v>38364</v>
      </c>
      <c r="H26" s="787">
        <v>1</v>
      </c>
      <c r="I26" s="788">
        <v>41907</v>
      </c>
      <c r="J26" s="788">
        <v>39155</v>
      </c>
      <c r="L26" s="787">
        <v>0.14000000000000001</v>
      </c>
      <c r="M26" s="787">
        <v>20</v>
      </c>
      <c r="N26" s="787">
        <v>0.15</v>
      </c>
      <c r="O26" s="788">
        <v>41955</v>
      </c>
    </row>
    <row r="27" spans="1:15" x14ac:dyDescent="0.25">
      <c r="A27" s="786" t="s">
        <v>963</v>
      </c>
      <c r="B27" s="787">
        <v>4</v>
      </c>
      <c r="C27" s="787" t="s">
        <v>964</v>
      </c>
      <c r="D27" s="787">
        <v>0.02</v>
      </c>
      <c r="E27" s="787">
        <v>0.02</v>
      </c>
      <c r="F27" s="788">
        <v>37635</v>
      </c>
      <c r="G27" s="788">
        <v>38364</v>
      </c>
      <c r="H27" s="787">
        <v>6</v>
      </c>
      <c r="I27" s="788">
        <v>39155</v>
      </c>
      <c r="J27" s="788">
        <v>39155</v>
      </c>
      <c r="L27" s="787">
        <v>0.02</v>
      </c>
      <c r="M27" s="787">
        <v>20</v>
      </c>
      <c r="N27" s="787">
        <v>0.02</v>
      </c>
      <c r="O27" s="788">
        <v>41806</v>
      </c>
    </row>
    <row r="28" spans="1:15" x14ac:dyDescent="0.25">
      <c r="A28" s="786" t="s">
        <v>965</v>
      </c>
      <c r="B28" s="787">
        <v>4</v>
      </c>
      <c r="C28" s="787" t="s">
        <v>966</v>
      </c>
      <c r="D28" s="787">
        <v>0.02</v>
      </c>
      <c r="E28" s="787">
        <v>0.02</v>
      </c>
      <c r="F28" s="788">
        <v>37635</v>
      </c>
      <c r="G28" s="788">
        <v>38364</v>
      </c>
      <c r="H28" s="787">
        <v>1</v>
      </c>
      <c r="I28" s="788">
        <v>42146</v>
      </c>
      <c r="J28" s="788">
        <v>39155</v>
      </c>
      <c r="L28" s="787">
        <v>0.02</v>
      </c>
      <c r="M28" s="787">
        <v>20</v>
      </c>
      <c r="N28" s="787">
        <v>0.02</v>
      </c>
      <c r="O28" s="788">
        <v>42144</v>
      </c>
    </row>
    <row r="29" spans="1:15" x14ac:dyDescent="0.25">
      <c r="A29" s="786" t="s">
        <v>967</v>
      </c>
      <c r="B29" s="787">
        <v>4</v>
      </c>
      <c r="C29" s="787" t="s">
        <v>931</v>
      </c>
      <c r="D29" s="787">
        <v>0</v>
      </c>
      <c r="E29" s="787">
        <v>0</v>
      </c>
      <c r="H29" s="787">
        <v>1</v>
      </c>
      <c r="I29" s="788">
        <v>41885</v>
      </c>
      <c r="L29" s="787">
        <v>0</v>
      </c>
      <c r="M29" s="787">
        <v>20</v>
      </c>
      <c r="N29" s="787">
        <v>0.01</v>
      </c>
      <c r="O29" s="788">
        <v>42146</v>
      </c>
    </row>
    <row r="30" spans="1:15" x14ac:dyDescent="0.25">
      <c r="A30" s="786" t="s">
        <v>968</v>
      </c>
      <c r="B30" s="787">
        <v>4</v>
      </c>
      <c r="C30" s="787" t="s">
        <v>969</v>
      </c>
      <c r="D30" s="787">
        <v>0.02</v>
      </c>
      <c r="E30" s="787">
        <v>0.02</v>
      </c>
      <c r="F30" s="788">
        <v>37635</v>
      </c>
      <c r="G30" s="788">
        <v>38364</v>
      </c>
      <c r="H30" s="787">
        <v>1</v>
      </c>
      <c r="I30" s="788">
        <v>42016</v>
      </c>
      <c r="J30" s="788">
        <v>39155</v>
      </c>
      <c r="K30" s="788">
        <v>41820</v>
      </c>
      <c r="L30" s="787">
        <v>0.02</v>
      </c>
      <c r="M30" s="787">
        <v>20</v>
      </c>
      <c r="N30" s="787">
        <v>0.02</v>
      </c>
      <c r="O30" s="788">
        <v>41955</v>
      </c>
    </row>
    <row r="31" spans="1:15" x14ac:dyDescent="0.25">
      <c r="A31" s="786" t="s">
        <v>970</v>
      </c>
      <c r="B31" s="787">
        <v>4</v>
      </c>
      <c r="C31" s="787" t="s">
        <v>931</v>
      </c>
      <c r="D31" s="787">
        <v>0.03</v>
      </c>
      <c r="E31" s="787">
        <v>0.03</v>
      </c>
      <c r="F31" s="788">
        <v>37635</v>
      </c>
      <c r="G31" s="788">
        <v>38364</v>
      </c>
      <c r="H31" s="787">
        <v>1</v>
      </c>
      <c r="I31" s="788">
        <v>41850</v>
      </c>
      <c r="J31" s="788">
        <v>39155</v>
      </c>
      <c r="L31" s="787">
        <v>0.03</v>
      </c>
      <c r="M31" s="787">
        <v>20</v>
      </c>
      <c r="N31" s="787">
        <v>0.03</v>
      </c>
      <c r="O31" s="788">
        <v>41955</v>
      </c>
    </row>
    <row r="32" spans="1:15" x14ac:dyDescent="0.25">
      <c r="A32" s="786" t="s">
        <v>971</v>
      </c>
      <c r="B32" s="787">
        <v>4</v>
      </c>
      <c r="C32" s="787" t="s">
        <v>931</v>
      </c>
      <c r="D32" s="787">
        <v>0.05</v>
      </c>
      <c r="E32" s="787">
        <v>0.05</v>
      </c>
      <c r="F32" s="788">
        <v>37635</v>
      </c>
      <c r="G32" s="788">
        <v>38364</v>
      </c>
      <c r="H32" s="787">
        <v>1</v>
      </c>
      <c r="I32" s="788">
        <v>39155</v>
      </c>
      <c r="J32" s="788">
        <v>39155</v>
      </c>
      <c r="L32" s="787">
        <v>0.05</v>
      </c>
      <c r="M32" s="787">
        <v>20</v>
      </c>
      <c r="N32" s="787">
        <v>0.05</v>
      </c>
      <c r="O32" s="788">
        <v>41955</v>
      </c>
    </row>
    <row r="33" spans="1:15" x14ac:dyDescent="0.25">
      <c r="A33" s="786" t="s">
        <v>972</v>
      </c>
      <c r="B33" s="787">
        <v>4</v>
      </c>
      <c r="C33" s="787" t="s">
        <v>931</v>
      </c>
      <c r="D33" s="787">
        <v>0.06</v>
      </c>
      <c r="E33" s="787">
        <v>0.08</v>
      </c>
      <c r="F33" s="788">
        <v>37635</v>
      </c>
      <c r="G33" s="788">
        <v>38222</v>
      </c>
      <c r="H33" s="787">
        <v>1</v>
      </c>
      <c r="I33" s="788">
        <v>41942</v>
      </c>
      <c r="J33" s="788">
        <v>38215</v>
      </c>
      <c r="L33" s="787">
        <v>0.08</v>
      </c>
      <c r="M33" s="787">
        <v>20</v>
      </c>
      <c r="N33" s="787">
        <v>0.09</v>
      </c>
      <c r="O33" s="788">
        <v>42144</v>
      </c>
    </row>
    <row r="34" spans="1:15" x14ac:dyDescent="0.25">
      <c r="A34" s="786" t="s">
        <v>973</v>
      </c>
      <c r="B34" s="787">
        <v>4</v>
      </c>
      <c r="C34" s="787" t="s">
        <v>931</v>
      </c>
      <c r="D34" s="787">
        <v>0.1</v>
      </c>
      <c r="E34" s="787">
        <v>0.1</v>
      </c>
      <c r="F34" s="788">
        <v>37635</v>
      </c>
      <c r="G34" s="788">
        <v>38364</v>
      </c>
      <c r="H34" s="787">
        <v>1</v>
      </c>
      <c r="I34" s="788">
        <v>42055</v>
      </c>
      <c r="J34" s="788">
        <v>39155</v>
      </c>
      <c r="L34" s="787">
        <v>0.1</v>
      </c>
      <c r="M34" s="787">
        <v>20</v>
      </c>
      <c r="N34" s="787">
        <v>0.11</v>
      </c>
      <c r="O34" s="788">
        <v>41955</v>
      </c>
    </row>
    <row r="35" spans="1:15" x14ac:dyDescent="0.25">
      <c r="A35" s="786" t="s">
        <v>974</v>
      </c>
      <c r="B35" s="787">
        <v>4</v>
      </c>
      <c r="C35" s="787" t="s">
        <v>931</v>
      </c>
      <c r="D35" s="787">
        <v>0</v>
      </c>
      <c r="E35" s="787">
        <v>0</v>
      </c>
      <c r="H35" s="787">
        <v>1</v>
      </c>
      <c r="I35" s="788">
        <v>42159</v>
      </c>
      <c r="K35" s="788">
        <v>41293</v>
      </c>
      <c r="L35" s="787">
        <v>0.1</v>
      </c>
      <c r="M35" s="787">
        <v>20</v>
      </c>
      <c r="N35" s="787">
        <v>0.11</v>
      </c>
      <c r="O35" s="788">
        <v>42044</v>
      </c>
    </row>
    <row r="36" spans="1:15" x14ac:dyDescent="0.25">
      <c r="A36" s="786" t="s">
        <v>975</v>
      </c>
      <c r="B36" s="787">
        <v>4</v>
      </c>
      <c r="C36" s="787" t="s">
        <v>976</v>
      </c>
      <c r="D36" s="787">
        <v>0.02</v>
      </c>
      <c r="E36" s="787">
        <v>7.0000000000000007E-2</v>
      </c>
      <c r="F36" s="788">
        <v>38047</v>
      </c>
      <c r="G36" s="788">
        <v>38645</v>
      </c>
      <c r="H36" s="787">
        <v>1</v>
      </c>
      <c r="I36" s="788">
        <v>42166</v>
      </c>
      <c r="J36" s="788">
        <v>39155</v>
      </c>
      <c r="K36" s="788">
        <v>41422</v>
      </c>
      <c r="L36" s="787">
        <v>0.04</v>
      </c>
      <c r="M36" s="787">
        <v>20</v>
      </c>
      <c r="N36" s="787">
        <v>0.04</v>
      </c>
      <c r="O36" s="788">
        <v>42163</v>
      </c>
    </row>
    <row r="37" spans="1:15" x14ac:dyDescent="0.25">
      <c r="A37" s="786" t="s">
        <v>977</v>
      </c>
      <c r="B37" s="787">
        <v>4</v>
      </c>
      <c r="C37" s="787" t="s">
        <v>978</v>
      </c>
      <c r="D37" s="787">
        <v>0.03</v>
      </c>
      <c r="E37" s="787">
        <v>0.03</v>
      </c>
      <c r="F37" s="788">
        <v>38047</v>
      </c>
      <c r="G37" s="788">
        <v>38364</v>
      </c>
      <c r="H37" s="787">
        <v>1</v>
      </c>
      <c r="I37" s="788">
        <v>42107</v>
      </c>
      <c r="J37" s="788">
        <v>39155</v>
      </c>
      <c r="K37" s="788">
        <v>41869</v>
      </c>
      <c r="L37" s="787">
        <v>0.03</v>
      </c>
      <c r="M37" s="787">
        <v>20</v>
      </c>
      <c r="N37" s="787">
        <v>0.03</v>
      </c>
      <c r="O37" s="788">
        <v>42162</v>
      </c>
    </row>
    <row r="38" spans="1:15" x14ac:dyDescent="0.25">
      <c r="A38" s="786" t="s">
        <v>979</v>
      </c>
      <c r="B38" s="787">
        <v>4</v>
      </c>
      <c r="C38" s="787" t="s">
        <v>980</v>
      </c>
      <c r="D38" s="787">
        <v>0.03</v>
      </c>
      <c r="E38" s="787">
        <v>0.03</v>
      </c>
      <c r="F38" s="788">
        <v>38047</v>
      </c>
      <c r="G38" s="788">
        <v>38635</v>
      </c>
      <c r="H38" s="787">
        <v>1</v>
      </c>
      <c r="I38" s="788">
        <v>42136</v>
      </c>
      <c r="J38" s="788">
        <v>39155</v>
      </c>
      <c r="L38" s="787">
        <v>0.03</v>
      </c>
      <c r="M38" s="787">
        <v>20</v>
      </c>
      <c r="N38" s="787">
        <v>0.03</v>
      </c>
      <c r="O38" s="788">
        <v>41955</v>
      </c>
    </row>
    <row r="39" spans="1:15" x14ac:dyDescent="0.25">
      <c r="A39" s="786" t="s">
        <v>981</v>
      </c>
      <c r="B39" s="787">
        <v>4</v>
      </c>
      <c r="C39" s="787" t="s">
        <v>931</v>
      </c>
      <c r="D39" s="787">
        <v>0</v>
      </c>
      <c r="E39" s="787">
        <v>0</v>
      </c>
      <c r="H39" s="787">
        <v>1</v>
      </c>
      <c r="I39" s="788">
        <v>42130</v>
      </c>
      <c r="L39" s="787">
        <v>0</v>
      </c>
      <c r="M39" s="787">
        <v>20</v>
      </c>
      <c r="N39" s="787">
        <v>0.01</v>
      </c>
      <c r="O39" s="788">
        <v>41955</v>
      </c>
    </row>
    <row r="40" spans="1:15" x14ac:dyDescent="0.25">
      <c r="A40" s="786" t="s">
        <v>629</v>
      </c>
      <c r="B40" s="787">
        <v>4</v>
      </c>
      <c r="C40" s="787" t="s">
        <v>931</v>
      </c>
      <c r="D40" s="787">
        <v>0.16</v>
      </c>
      <c r="E40" s="787">
        <v>0.16</v>
      </c>
      <c r="F40" s="788">
        <v>41928</v>
      </c>
      <c r="G40" s="788">
        <v>41929</v>
      </c>
      <c r="H40" s="787">
        <v>1</v>
      </c>
      <c r="I40" s="788">
        <v>42090</v>
      </c>
      <c r="J40" s="788">
        <v>41929</v>
      </c>
      <c r="K40" s="788">
        <v>41921</v>
      </c>
      <c r="L40" s="787">
        <v>0.16</v>
      </c>
      <c r="M40" s="787">
        <v>20</v>
      </c>
      <c r="N40" s="787">
        <v>0.17</v>
      </c>
      <c r="O40" s="788">
        <v>42034</v>
      </c>
    </row>
    <row r="41" spans="1:15" x14ac:dyDescent="0.25">
      <c r="A41" s="786" t="s">
        <v>982</v>
      </c>
      <c r="B41" s="787">
        <v>4</v>
      </c>
      <c r="C41" s="787" t="s">
        <v>935</v>
      </c>
      <c r="D41" s="787">
        <v>0</v>
      </c>
      <c r="E41" s="787">
        <v>0</v>
      </c>
      <c r="H41" s="787">
        <v>1</v>
      </c>
      <c r="L41" s="787">
        <v>0.9</v>
      </c>
      <c r="M41" s="787">
        <v>20</v>
      </c>
      <c r="N41" s="787">
        <v>0.97</v>
      </c>
      <c r="O41" s="788">
        <v>41996</v>
      </c>
    </row>
    <row r="42" spans="1:15" x14ac:dyDescent="0.25">
      <c r="A42" s="786" t="s">
        <v>983</v>
      </c>
      <c r="B42" s="787">
        <v>4</v>
      </c>
      <c r="C42" s="787" t="s">
        <v>931</v>
      </c>
      <c r="D42" s="787">
        <v>0.11</v>
      </c>
      <c r="E42" s="787">
        <v>0.11</v>
      </c>
      <c r="F42" s="788">
        <v>37635</v>
      </c>
      <c r="G42" s="788">
        <v>37635</v>
      </c>
      <c r="H42" s="787">
        <v>1</v>
      </c>
      <c r="I42" s="788">
        <v>41957</v>
      </c>
      <c r="J42" s="788">
        <v>39155</v>
      </c>
      <c r="L42" s="787">
        <v>0.11</v>
      </c>
      <c r="M42" s="787">
        <v>20</v>
      </c>
      <c r="N42" s="787">
        <v>0.12</v>
      </c>
      <c r="O42" s="788">
        <v>41955</v>
      </c>
    </row>
    <row r="43" spans="1:15" x14ac:dyDescent="0.25">
      <c r="A43" s="786" t="s">
        <v>984</v>
      </c>
      <c r="B43" s="787">
        <v>4</v>
      </c>
      <c r="C43" s="787" t="s">
        <v>985</v>
      </c>
      <c r="D43" s="787">
        <v>0.13</v>
      </c>
      <c r="E43" s="787">
        <v>0.42</v>
      </c>
      <c r="F43" s="788">
        <v>37635</v>
      </c>
      <c r="G43" s="788">
        <v>38462</v>
      </c>
      <c r="H43" s="787">
        <v>1</v>
      </c>
      <c r="I43" s="788">
        <v>42165</v>
      </c>
      <c r="J43" s="788">
        <v>39155</v>
      </c>
      <c r="K43" s="788">
        <v>41865</v>
      </c>
      <c r="L43" s="787">
        <v>0.42</v>
      </c>
      <c r="M43" s="787">
        <v>20</v>
      </c>
      <c r="N43" s="787">
        <v>0.45</v>
      </c>
      <c r="O43" s="788">
        <v>41955</v>
      </c>
    </row>
    <row r="44" spans="1:15" x14ac:dyDescent="0.25">
      <c r="A44" s="786" t="s">
        <v>986</v>
      </c>
      <c r="B44" s="787">
        <v>4</v>
      </c>
      <c r="C44" s="787" t="s">
        <v>987</v>
      </c>
      <c r="D44" s="787">
        <v>0.03</v>
      </c>
      <c r="E44" s="787">
        <v>0.03</v>
      </c>
      <c r="F44" s="788">
        <v>38076</v>
      </c>
      <c r="G44" s="788">
        <v>38645</v>
      </c>
      <c r="H44" s="787">
        <v>1</v>
      </c>
      <c r="I44" s="788">
        <v>42166</v>
      </c>
      <c r="J44" s="788">
        <v>39155</v>
      </c>
      <c r="L44" s="787">
        <v>0.04</v>
      </c>
      <c r="M44" s="787">
        <v>20</v>
      </c>
      <c r="N44" s="787">
        <v>0.04</v>
      </c>
      <c r="O44" s="788">
        <v>42163</v>
      </c>
    </row>
    <row r="45" spans="1:15" x14ac:dyDescent="0.25">
      <c r="A45" s="786" t="s">
        <v>988</v>
      </c>
      <c r="B45" s="787">
        <v>4</v>
      </c>
      <c r="C45" s="787" t="s">
        <v>931</v>
      </c>
      <c r="D45" s="787">
        <v>0.06</v>
      </c>
      <c r="E45" s="787">
        <v>7.0000000000000007E-2</v>
      </c>
      <c r="F45" s="788">
        <v>38047</v>
      </c>
      <c r="G45" s="788">
        <v>38624</v>
      </c>
      <c r="H45" s="787">
        <v>1</v>
      </c>
      <c r="I45" s="788">
        <v>42166</v>
      </c>
      <c r="J45" s="788">
        <v>39155</v>
      </c>
      <c r="L45" s="787">
        <v>0.06</v>
      </c>
      <c r="M45" s="787">
        <v>20</v>
      </c>
      <c r="N45" s="787">
        <v>0.06</v>
      </c>
      <c r="O45" s="788">
        <v>42163</v>
      </c>
    </row>
    <row r="46" spans="1:15" x14ac:dyDescent="0.25">
      <c r="A46" s="786" t="s">
        <v>989</v>
      </c>
      <c r="B46" s="787">
        <v>4</v>
      </c>
      <c r="C46" s="787" t="s">
        <v>990</v>
      </c>
      <c r="D46" s="787">
        <v>0.16</v>
      </c>
      <c r="E46" s="787">
        <v>0.16</v>
      </c>
      <c r="F46" s="788">
        <v>38538</v>
      </c>
      <c r="G46" s="788">
        <v>38364</v>
      </c>
      <c r="H46" s="787">
        <v>1</v>
      </c>
      <c r="I46" s="788">
        <v>42163</v>
      </c>
      <c r="J46" s="788">
        <v>39155</v>
      </c>
      <c r="L46" s="787">
        <v>0.22</v>
      </c>
      <c r="M46" s="787">
        <v>20</v>
      </c>
      <c r="N46" s="787">
        <v>0.24</v>
      </c>
      <c r="O46" s="788">
        <v>42156</v>
      </c>
    </row>
    <row r="47" spans="1:15" x14ac:dyDescent="0.25">
      <c r="A47" s="786" t="s">
        <v>991</v>
      </c>
      <c r="B47" s="787">
        <v>4</v>
      </c>
      <c r="C47" s="787" t="s">
        <v>931</v>
      </c>
      <c r="D47" s="787">
        <v>7.0000000000000007E-2</v>
      </c>
      <c r="E47" s="787">
        <v>7.0000000000000007E-2</v>
      </c>
      <c r="F47" s="788">
        <v>37635</v>
      </c>
      <c r="G47" s="788">
        <v>37635</v>
      </c>
      <c r="H47" s="787">
        <v>1</v>
      </c>
      <c r="J47" s="788">
        <v>37635</v>
      </c>
      <c r="L47" s="787">
        <v>7.0000000000000007E-2</v>
      </c>
      <c r="M47" s="787">
        <v>20</v>
      </c>
      <c r="N47" s="787">
        <v>0.08</v>
      </c>
      <c r="O47" s="788">
        <v>41955</v>
      </c>
    </row>
    <row r="48" spans="1:15" x14ac:dyDescent="0.25">
      <c r="A48" s="786" t="s">
        <v>992</v>
      </c>
      <c r="B48" s="787">
        <v>4</v>
      </c>
      <c r="C48" s="787" t="s">
        <v>931</v>
      </c>
      <c r="D48" s="787">
        <v>0.06</v>
      </c>
      <c r="E48" s="787">
        <v>0.06</v>
      </c>
      <c r="F48" s="788">
        <v>37635</v>
      </c>
      <c r="G48" s="788">
        <v>38364</v>
      </c>
      <c r="H48" s="787">
        <v>1</v>
      </c>
      <c r="I48" s="788">
        <v>42129</v>
      </c>
      <c r="J48" s="788">
        <v>39155</v>
      </c>
      <c r="L48" s="787">
        <v>0.06</v>
      </c>
      <c r="M48" s="787">
        <v>20</v>
      </c>
      <c r="N48" s="787">
        <v>0.06</v>
      </c>
      <c r="O48" s="788">
        <v>41955</v>
      </c>
    </row>
    <row r="49" spans="1:15" x14ac:dyDescent="0.25">
      <c r="A49" s="786" t="s">
        <v>993</v>
      </c>
      <c r="B49" s="787">
        <v>4</v>
      </c>
      <c r="C49" s="787" t="s">
        <v>994</v>
      </c>
      <c r="D49" s="787">
        <v>0.05</v>
      </c>
      <c r="E49" s="787">
        <v>0.05</v>
      </c>
      <c r="F49" s="788">
        <v>38047</v>
      </c>
      <c r="G49" s="788">
        <v>38364</v>
      </c>
      <c r="H49" s="787">
        <v>1</v>
      </c>
      <c r="I49" s="788">
        <v>42136</v>
      </c>
      <c r="J49" s="788">
        <v>39155</v>
      </c>
      <c r="K49" s="788">
        <v>41865</v>
      </c>
      <c r="L49" s="787">
        <v>0.03</v>
      </c>
      <c r="M49" s="787">
        <v>20</v>
      </c>
      <c r="N49" s="787">
        <v>0.03</v>
      </c>
      <c r="O49" s="788">
        <v>42144</v>
      </c>
    </row>
    <row r="50" spans="1:15" x14ac:dyDescent="0.25">
      <c r="A50" s="786" t="s">
        <v>995</v>
      </c>
      <c r="B50" s="787">
        <v>4</v>
      </c>
      <c r="C50" s="787" t="s">
        <v>931</v>
      </c>
      <c r="D50" s="787">
        <v>0.14000000000000001</v>
      </c>
      <c r="E50" s="787">
        <v>0.17</v>
      </c>
      <c r="F50" s="788">
        <v>38341</v>
      </c>
      <c r="G50" s="788">
        <v>38364</v>
      </c>
      <c r="H50" s="787">
        <v>1</v>
      </c>
      <c r="I50" s="788">
        <v>42110</v>
      </c>
      <c r="J50" s="788">
        <v>39155</v>
      </c>
      <c r="L50" s="787">
        <v>0.19</v>
      </c>
      <c r="M50" s="787">
        <v>20</v>
      </c>
      <c r="N50" s="787">
        <v>0.2</v>
      </c>
      <c r="O50" s="788">
        <v>41955</v>
      </c>
    </row>
    <row r="51" spans="1:15" x14ac:dyDescent="0.25">
      <c r="A51" s="786" t="s">
        <v>996</v>
      </c>
      <c r="B51" s="787">
        <v>4</v>
      </c>
      <c r="C51" s="787" t="s">
        <v>931</v>
      </c>
      <c r="D51" s="787">
        <v>0.16</v>
      </c>
      <c r="E51" s="787">
        <v>0.16</v>
      </c>
      <c r="F51" s="788">
        <v>38450</v>
      </c>
      <c r="G51" s="788">
        <v>38525</v>
      </c>
      <c r="H51" s="787">
        <v>1</v>
      </c>
      <c r="I51" s="788">
        <v>42155</v>
      </c>
      <c r="J51" s="788">
        <v>39155</v>
      </c>
      <c r="L51" s="787">
        <v>0.17</v>
      </c>
      <c r="M51" s="787">
        <v>20</v>
      </c>
      <c r="N51" s="787">
        <v>0.18</v>
      </c>
      <c r="O51" s="788">
        <v>41955</v>
      </c>
    </row>
    <row r="52" spans="1:15" x14ac:dyDescent="0.25">
      <c r="A52" s="786" t="s">
        <v>997</v>
      </c>
      <c r="B52" s="787">
        <v>4</v>
      </c>
      <c r="C52" s="787" t="s">
        <v>931</v>
      </c>
      <c r="D52" s="787">
        <v>0.27</v>
      </c>
      <c r="E52" s="787">
        <v>0.27</v>
      </c>
      <c r="F52" s="788">
        <v>38553</v>
      </c>
      <c r="G52" s="788">
        <v>38553</v>
      </c>
      <c r="H52" s="787">
        <v>1</v>
      </c>
      <c r="I52" s="788">
        <v>42159</v>
      </c>
      <c r="J52" s="788">
        <v>39155</v>
      </c>
      <c r="L52" s="787">
        <v>0.27</v>
      </c>
      <c r="M52" s="787">
        <v>20</v>
      </c>
      <c r="N52" s="787">
        <v>0.28999999999999998</v>
      </c>
      <c r="O52" s="788">
        <v>41955</v>
      </c>
    </row>
    <row r="53" spans="1:15" x14ac:dyDescent="0.25">
      <c r="A53" s="786" t="s">
        <v>998</v>
      </c>
      <c r="B53" s="787">
        <v>4</v>
      </c>
      <c r="C53" s="787" t="s">
        <v>999</v>
      </c>
      <c r="D53" s="787">
        <v>0</v>
      </c>
      <c r="E53" s="787">
        <v>0</v>
      </c>
      <c r="H53" s="787">
        <v>1</v>
      </c>
      <c r="I53" s="788">
        <v>42166</v>
      </c>
      <c r="L53" s="787">
        <v>0.25</v>
      </c>
      <c r="M53" s="787">
        <v>20</v>
      </c>
      <c r="N53" s="787">
        <v>0.27</v>
      </c>
      <c r="O53" s="788">
        <v>42136</v>
      </c>
    </row>
    <row r="54" spans="1:15" x14ac:dyDescent="0.25">
      <c r="A54" s="786" t="s">
        <v>1000</v>
      </c>
      <c r="B54" s="787">
        <v>4</v>
      </c>
      <c r="C54" s="787" t="s">
        <v>1001</v>
      </c>
      <c r="D54" s="787">
        <v>0</v>
      </c>
      <c r="E54" s="787">
        <v>0</v>
      </c>
      <c r="H54" s="787">
        <v>1</v>
      </c>
      <c r="I54" s="788">
        <v>42080</v>
      </c>
      <c r="L54" s="787">
        <v>0.5</v>
      </c>
      <c r="M54" s="787">
        <v>20</v>
      </c>
      <c r="N54" s="787">
        <v>0.54</v>
      </c>
      <c r="O54" s="788">
        <v>41955</v>
      </c>
    </row>
    <row r="55" spans="1:15" x14ac:dyDescent="0.25">
      <c r="A55" s="786" t="s">
        <v>1002</v>
      </c>
      <c r="B55" s="787">
        <v>4</v>
      </c>
      <c r="C55" s="787" t="s">
        <v>1003</v>
      </c>
      <c r="D55" s="787">
        <v>0</v>
      </c>
      <c r="E55" s="787">
        <v>0</v>
      </c>
      <c r="H55" s="787">
        <v>1</v>
      </c>
      <c r="I55" s="788">
        <v>42166</v>
      </c>
      <c r="L55" s="787">
        <v>0.01</v>
      </c>
      <c r="M55" s="787">
        <v>20</v>
      </c>
      <c r="N55" s="787">
        <v>0.01</v>
      </c>
      <c r="O55" s="788">
        <v>42146</v>
      </c>
    </row>
    <row r="56" spans="1:15" x14ac:dyDescent="0.25">
      <c r="A56" s="786" t="s">
        <v>1004</v>
      </c>
      <c r="B56" s="787">
        <v>4</v>
      </c>
      <c r="C56" s="787" t="s">
        <v>1005</v>
      </c>
      <c r="D56" s="787">
        <v>0.05</v>
      </c>
      <c r="E56" s="787">
        <v>0.09</v>
      </c>
      <c r="F56" s="788">
        <v>37635</v>
      </c>
      <c r="G56" s="788">
        <v>38582</v>
      </c>
      <c r="H56" s="787">
        <v>1</v>
      </c>
      <c r="I56" s="788">
        <v>39155</v>
      </c>
      <c r="J56" s="788">
        <v>39155</v>
      </c>
      <c r="K56" s="788">
        <v>41869</v>
      </c>
      <c r="L56" s="787">
        <v>0.09</v>
      </c>
      <c r="M56" s="787">
        <v>20</v>
      </c>
      <c r="N56" s="787">
        <v>0.1</v>
      </c>
      <c r="O56" s="788">
        <v>41955</v>
      </c>
    </row>
    <row r="57" spans="1:15" x14ac:dyDescent="0.25">
      <c r="A57" s="786" t="s">
        <v>1006</v>
      </c>
      <c r="B57" s="787">
        <v>4</v>
      </c>
      <c r="C57" s="787" t="s">
        <v>931</v>
      </c>
      <c r="D57" s="787">
        <v>0.06</v>
      </c>
      <c r="E57" s="787">
        <v>0.06</v>
      </c>
      <c r="F57" s="788">
        <v>37635</v>
      </c>
      <c r="G57" s="788">
        <v>37635</v>
      </c>
      <c r="H57" s="787">
        <v>1</v>
      </c>
      <c r="J57" s="788">
        <v>37635</v>
      </c>
      <c r="L57" s="787">
        <v>0.06</v>
      </c>
      <c r="M57" s="787">
        <v>20</v>
      </c>
      <c r="N57" s="787">
        <v>0.06</v>
      </c>
      <c r="O57" s="788">
        <v>41955</v>
      </c>
    </row>
    <row r="58" spans="1:15" x14ac:dyDescent="0.25">
      <c r="A58" s="786" t="s">
        <v>1007</v>
      </c>
      <c r="B58" s="787">
        <v>4</v>
      </c>
      <c r="C58" s="787" t="s">
        <v>931</v>
      </c>
      <c r="D58" s="787">
        <v>0</v>
      </c>
      <c r="E58" s="787">
        <v>0</v>
      </c>
      <c r="H58" s="787">
        <v>1</v>
      </c>
      <c r="I58" s="788">
        <v>42020</v>
      </c>
      <c r="K58" s="788">
        <v>41512</v>
      </c>
      <c r="L58" s="787">
        <v>0.12</v>
      </c>
      <c r="M58" s="787">
        <v>20</v>
      </c>
      <c r="N58" s="787">
        <v>0.13</v>
      </c>
      <c r="O58" s="788">
        <v>42123</v>
      </c>
    </row>
    <row r="59" spans="1:15" x14ac:dyDescent="0.25">
      <c r="A59" s="786" t="s">
        <v>1008</v>
      </c>
      <c r="B59" s="787">
        <v>4</v>
      </c>
      <c r="C59" s="787" t="s">
        <v>931</v>
      </c>
      <c r="D59" s="787">
        <v>0</v>
      </c>
      <c r="E59" s="787">
        <v>0</v>
      </c>
      <c r="H59" s="787">
        <v>1</v>
      </c>
      <c r="L59" s="787">
        <v>0.23</v>
      </c>
      <c r="M59" s="787">
        <v>20</v>
      </c>
      <c r="N59" s="787">
        <v>0.25</v>
      </c>
      <c r="O59" s="788">
        <v>42061</v>
      </c>
    </row>
    <row r="60" spans="1:15" x14ac:dyDescent="0.25">
      <c r="A60" s="786" t="s">
        <v>1009</v>
      </c>
      <c r="B60" s="787">
        <v>4</v>
      </c>
      <c r="C60" s="787" t="s">
        <v>931</v>
      </c>
      <c r="D60" s="787">
        <v>0.03</v>
      </c>
      <c r="E60" s="787">
        <v>0.03</v>
      </c>
      <c r="F60" s="788">
        <v>37635</v>
      </c>
      <c r="G60" s="788">
        <v>38364</v>
      </c>
      <c r="H60" s="787">
        <v>1</v>
      </c>
      <c r="I60" s="788">
        <v>39155</v>
      </c>
      <c r="J60" s="788">
        <v>39155</v>
      </c>
      <c r="L60" s="787">
        <v>0.03</v>
      </c>
      <c r="M60" s="787">
        <v>20</v>
      </c>
      <c r="N60" s="787">
        <v>0.03</v>
      </c>
      <c r="O60" s="788">
        <v>41955</v>
      </c>
    </row>
    <row r="61" spans="1:15" x14ac:dyDescent="0.25">
      <c r="A61" s="786" t="s">
        <v>1010</v>
      </c>
      <c r="B61" s="787">
        <v>4</v>
      </c>
      <c r="C61" s="787" t="s">
        <v>931</v>
      </c>
      <c r="D61" s="787">
        <v>0.64</v>
      </c>
      <c r="E61" s="787">
        <v>0.64</v>
      </c>
      <c r="F61" s="788">
        <v>37635</v>
      </c>
      <c r="G61" s="788">
        <v>37635</v>
      </c>
      <c r="H61" s="787">
        <v>1</v>
      </c>
      <c r="J61" s="788">
        <v>37635</v>
      </c>
      <c r="L61" s="787">
        <v>0.64</v>
      </c>
      <c r="M61" s="787">
        <v>20</v>
      </c>
      <c r="N61" s="787">
        <v>0.69</v>
      </c>
      <c r="O61" s="788">
        <v>41955</v>
      </c>
    </row>
    <row r="62" spans="1:15" x14ac:dyDescent="0.25">
      <c r="A62" s="786" t="s">
        <v>1011</v>
      </c>
      <c r="B62" s="787">
        <v>4</v>
      </c>
      <c r="C62" s="787" t="s">
        <v>1012</v>
      </c>
      <c r="D62" s="787">
        <v>0.05</v>
      </c>
      <c r="E62" s="787">
        <v>0.05</v>
      </c>
      <c r="F62" s="788">
        <v>41928</v>
      </c>
      <c r="G62" s="788">
        <v>41929</v>
      </c>
      <c r="H62" s="787">
        <v>1</v>
      </c>
      <c r="I62" s="788">
        <v>42040</v>
      </c>
      <c r="J62" s="788">
        <v>41929</v>
      </c>
      <c r="K62" s="788">
        <v>41921</v>
      </c>
      <c r="L62" s="787">
        <v>0.05</v>
      </c>
      <c r="M62" s="787">
        <v>20</v>
      </c>
      <c r="N62" s="787">
        <v>0.05</v>
      </c>
      <c r="O62" s="788">
        <v>42044</v>
      </c>
    </row>
    <row r="63" spans="1:15" x14ac:dyDescent="0.25">
      <c r="A63" s="786" t="s">
        <v>1013</v>
      </c>
      <c r="B63" s="787">
        <v>4</v>
      </c>
      <c r="C63" s="787" t="s">
        <v>931</v>
      </c>
      <c r="D63" s="787">
        <v>0.02</v>
      </c>
      <c r="E63" s="787">
        <v>0.02</v>
      </c>
      <c r="F63" s="788">
        <v>37635</v>
      </c>
      <c r="G63" s="788">
        <v>37635</v>
      </c>
      <c r="H63" s="787">
        <v>1</v>
      </c>
      <c r="J63" s="788">
        <v>37635</v>
      </c>
      <c r="L63" s="787">
        <v>0.02</v>
      </c>
      <c r="M63" s="787">
        <v>20</v>
      </c>
      <c r="N63" s="787">
        <v>0.02</v>
      </c>
      <c r="O63" s="788">
        <v>41955</v>
      </c>
    </row>
    <row r="64" spans="1:15" x14ac:dyDescent="0.25">
      <c r="A64" s="786" t="s">
        <v>615</v>
      </c>
      <c r="B64" s="787">
        <v>4</v>
      </c>
      <c r="C64" s="787" t="s">
        <v>1014</v>
      </c>
      <c r="D64" s="787">
        <v>0.14000000000000001</v>
      </c>
      <c r="E64" s="787">
        <v>0.14000000000000001</v>
      </c>
      <c r="F64" s="788">
        <v>37635</v>
      </c>
      <c r="G64" s="788">
        <v>37635</v>
      </c>
      <c r="H64" s="787">
        <v>1</v>
      </c>
      <c r="I64" s="788">
        <v>42068</v>
      </c>
      <c r="J64" s="788">
        <v>37635</v>
      </c>
      <c r="L64" s="787">
        <v>0.15</v>
      </c>
      <c r="M64" s="787">
        <v>20</v>
      </c>
      <c r="N64" s="787">
        <v>0.16</v>
      </c>
      <c r="O64" s="788">
        <v>42162</v>
      </c>
    </row>
    <row r="65" spans="1:15" x14ac:dyDescent="0.25">
      <c r="A65" s="786" t="s">
        <v>1015</v>
      </c>
      <c r="B65" s="787">
        <v>4</v>
      </c>
      <c r="C65" s="787" t="s">
        <v>931</v>
      </c>
      <c r="D65" s="787">
        <v>0.05</v>
      </c>
      <c r="E65" s="787">
        <v>0.05</v>
      </c>
      <c r="F65" s="788">
        <v>38047</v>
      </c>
      <c r="G65" s="788">
        <v>38364</v>
      </c>
      <c r="H65" s="787">
        <v>1</v>
      </c>
      <c r="I65" s="788">
        <v>42083</v>
      </c>
      <c r="J65" s="788">
        <v>39155</v>
      </c>
      <c r="L65" s="787">
        <v>0.05</v>
      </c>
      <c r="M65" s="787">
        <v>20</v>
      </c>
      <c r="N65" s="787">
        <v>0.05</v>
      </c>
      <c r="O65" s="788">
        <v>42061</v>
      </c>
    </row>
    <row r="66" spans="1:15" x14ac:dyDescent="0.25">
      <c r="A66" s="786" t="s">
        <v>1016</v>
      </c>
      <c r="B66" s="787">
        <v>4</v>
      </c>
      <c r="C66" s="787" t="s">
        <v>931</v>
      </c>
      <c r="D66" s="787">
        <v>7.0000000000000007E-2</v>
      </c>
      <c r="E66" s="787">
        <v>7.0000000000000007E-2</v>
      </c>
      <c r="F66" s="788">
        <v>37635</v>
      </c>
      <c r="G66" s="788">
        <v>37635</v>
      </c>
      <c r="H66" s="787">
        <v>1</v>
      </c>
      <c r="I66" s="788">
        <v>42083</v>
      </c>
      <c r="J66" s="788">
        <v>39155</v>
      </c>
      <c r="L66" s="787">
        <v>0.08</v>
      </c>
      <c r="M66" s="787">
        <v>20</v>
      </c>
      <c r="N66" s="787">
        <v>0.09</v>
      </c>
      <c r="O66" s="788">
        <v>42162</v>
      </c>
    </row>
    <row r="67" spans="1:15" x14ac:dyDescent="0.25">
      <c r="A67" s="786" t="s">
        <v>1017</v>
      </c>
      <c r="B67" s="787">
        <v>4</v>
      </c>
      <c r="C67" s="787" t="s">
        <v>931</v>
      </c>
      <c r="D67" s="787">
        <v>0.08</v>
      </c>
      <c r="E67" s="787">
        <v>0.1</v>
      </c>
      <c r="F67" s="788">
        <v>37635</v>
      </c>
      <c r="G67" s="788">
        <v>38450</v>
      </c>
      <c r="H67" s="787">
        <v>1</v>
      </c>
      <c r="I67" s="788">
        <v>42136</v>
      </c>
      <c r="J67" s="788">
        <v>39155</v>
      </c>
      <c r="L67" s="787">
        <v>0.08</v>
      </c>
      <c r="M67" s="787">
        <v>20</v>
      </c>
      <c r="N67" s="787">
        <v>0.09</v>
      </c>
      <c r="O67" s="788">
        <v>41955</v>
      </c>
    </row>
    <row r="68" spans="1:15" x14ac:dyDescent="0.25">
      <c r="A68" s="786" t="s">
        <v>1018</v>
      </c>
      <c r="B68" s="787">
        <v>4</v>
      </c>
      <c r="C68" s="787" t="s">
        <v>931</v>
      </c>
      <c r="D68" s="787">
        <v>0.27</v>
      </c>
      <c r="E68" s="787">
        <v>0.27</v>
      </c>
      <c r="F68" s="788">
        <v>37635</v>
      </c>
      <c r="G68" s="788">
        <v>38364</v>
      </c>
      <c r="H68" s="787">
        <v>1</v>
      </c>
      <c r="I68" s="788">
        <v>41842</v>
      </c>
      <c r="J68" s="788">
        <v>39155</v>
      </c>
      <c r="L68" s="787">
        <v>0.28999999999999998</v>
      </c>
      <c r="M68" s="787">
        <v>20</v>
      </c>
      <c r="N68" s="787">
        <v>0.31</v>
      </c>
      <c r="O68" s="788">
        <v>42034</v>
      </c>
    </row>
    <row r="69" spans="1:15" x14ac:dyDescent="0.25">
      <c r="A69" s="786" t="s">
        <v>1019</v>
      </c>
      <c r="B69" s="787">
        <v>4</v>
      </c>
      <c r="C69" s="787" t="s">
        <v>931</v>
      </c>
      <c r="D69" s="787">
        <v>0</v>
      </c>
      <c r="E69" s="787">
        <v>0</v>
      </c>
      <c r="H69" s="787">
        <v>1</v>
      </c>
      <c r="I69" s="788">
        <v>42080</v>
      </c>
      <c r="K69" s="788">
        <v>40892</v>
      </c>
      <c r="L69" s="787">
        <v>0.05</v>
      </c>
      <c r="M69" s="787">
        <v>20</v>
      </c>
      <c r="N69" s="787">
        <v>0.05</v>
      </c>
      <c r="O69" s="788">
        <v>42083</v>
      </c>
    </row>
    <row r="70" spans="1:15" x14ac:dyDescent="0.25">
      <c r="A70" s="786" t="s">
        <v>1020</v>
      </c>
      <c r="B70" s="787">
        <v>4</v>
      </c>
      <c r="C70" s="787" t="s">
        <v>931</v>
      </c>
      <c r="D70" s="787">
        <v>0.12</v>
      </c>
      <c r="E70" s="787">
        <v>0.12</v>
      </c>
      <c r="F70" s="788">
        <v>37635</v>
      </c>
      <c r="G70" s="788">
        <v>38364</v>
      </c>
      <c r="H70" s="787">
        <v>1</v>
      </c>
      <c r="I70" s="788">
        <v>41352</v>
      </c>
      <c r="J70" s="788">
        <v>39155</v>
      </c>
      <c r="L70" s="787">
        <v>0.13</v>
      </c>
      <c r="M70" s="787">
        <v>20</v>
      </c>
      <c r="N70" s="787">
        <v>0.14000000000000001</v>
      </c>
      <c r="O70" s="788">
        <v>42061</v>
      </c>
    </row>
    <row r="71" spans="1:15" x14ac:dyDescent="0.25">
      <c r="A71" s="786" t="s">
        <v>1021</v>
      </c>
      <c r="B71" s="787">
        <v>4</v>
      </c>
      <c r="C71" s="787" t="s">
        <v>931</v>
      </c>
      <c r="D71" s="787">
        <v>0.25</v>
      </c>
      <c r="E71" s="787">
        <v>0.25</v>
      </c>
      <c r="F71" s="788">
        <v>38047</v>
      </c>
      <c r="G71" s="788">
        <v>38364</v>
      </c>
      <c r="H71" s="787">
        <v>1</v>
      </c>
      <c r="I71" s="788">
        <v>41416</v>
      </c>
      <c r="J71" s="788">
        <v>39155</v>
      </c>
      <c r="L71" s="787">
        <v>0.25</v>
      </c>
      <c r="M71" s="787">
        <v>20</v>
      </c>
      <c r="N71" s="787">
        <v>0.27</v>
      </c>
      <c r="O71" s="788">
        <v>41955</v>
      </c>
    </row>
    <row r="72" spans="1:15" x14ac:dyDescent="0.25">
      <c r="A72" s="786" t="s">
        <v>1022</v>
      </c>
      <c r="B72" s="787">
        <v>4</v>
      </c>
      <c r="C72" s="787" t="s">
        <v>931</v>
      </c>
      <c r="D72" s="787">
        <v>0.47</v>
      </c>
      <c r="E72" s="787">
        <v>0.47</v>
      </c>
      <c r="F72" s="788">
        <v>37635</v>
      </c>
      <c r="G72" s="788">
        <v>37635</v>
      </c>
      <c r="H72" s="787">
        <v>1</v>
      </c>
      <c r="I72" s="788">
        <v>41780</v>
      </c>
      <c r="J72" s="788">
        <v>37635</v>
      </c>
      <c r="L72" s="787">
        <v>0.51</v>
      </c>
      <c r="M72" s="787">
        <v>20</v>
      </c>
      <c r="N72" s="787">
        <v>0.55000000000000004</v>
      </c>
      <c r="O72" s="788">
        <v>41955</v>
      </c>
    </row>
    <row r="73" spans="1:15" x14ac:dyDescent="0.25">
      <c r="A73" s="786" t="s">
        <v>1023</v>
      </c>
      <c r="B73" s="787">
        <v>4</v>
      </c>
      <c r="C73" s="787" t="s">
        <v>931</v>
      </c>
      <c r="D73" s="787">
        <v>0.27</v>
      </c>
      <c r="E73" s="787">
        <v>0.27</v>
      </c>
      <c r="F73" s="788">
        <v>37635</v>
      </c>
      <c r="G73" s="788">
        <v>38364</v>
      </c>
      <c r="H73" s="787">
        <v>1</v>
      </c>
      <c r="I73" s="788">
        <v>41381</v>
      </c>
      <c r="J73" s="788">
        <v>39155</v>
      </c>
      <c r="L73" s="787">
        <v>0.28999999999999998</v>
      </c>
      <c r="M73" s="787">
        <v>20</v>
      </c>
      <c r="N73" s="787">
        <v>0.31</v>
      </c>
      <c r="O73" s="788">
        <v>41955</v>
      </c>
    </row>
    <row r="74" spans="1:15" x14ac:dyDescent="0.25">
      <c r="A74" s="786" t="s">
        <v>1024</v>
      </c>
      <c r="B74" s="787">
        <v>4</v>
      </c>
      <c r="C74" s="787" t="s">
        <v>931</v>
      </c>
      <c r="D74" s="787">
        <v>0.05</v>
      </c>
      <c r="E74" s="787">
        <v>0.05</v>
      </c>
      <c r="F74" s="788">
        <v>37635</v>
      </c>
      <c r="G74" s="788">
        <v>38364</v>
      </c>
      <c r="H74" s="787">
        <v>1</v>
      </c>
      <c r="I74" s="788">
        <v>41352</v>
      </c>
      <c r="J74" s="788">
        <v>39155</v>
      </c>
      <c r="L74" s="787">
        <v>0.05</v>
      </c>
      <c r="M74" s="787">
        <v>20</v>
      </c>
      <c r="N74" s="787">
        <v>0.05</v>
      </c>
      <c r="O74" s="788">
        <v>41955</v>
      </c>
    </row>
    <row r="75" spans="1:15" x14ac:dyDescent="0.25">
      <c r="A75" s="786" t="s">
        <v>1025</v>
      </c>
      <c r="B75" s="787">
        <v>4</v>
      </c>
      <c r="C75" s="787" t="s">
        <v>1026</v>
      </c>
      <c r="D75" s="787">
        <v>0.2</v>
      </c>
      <c r="E75" s="787">
        <v>0.2</v>
      </c>
      <c r="F75" s="788">
        <v>37635</v>
      </c>
      <c r="G75" s="788">
        <v>38364</v>
      </c>
      <c r="H75" s="787">
        <v>1</v>
      </c>
      <c r="I75" s="788">
        <v>42164</v>
      </c>
      <c r="J75" s="788">
        <v>39155</v>
      </c>
      <c r="L75" s="787">
        <v>0.2</v>
      </c>
      <c r="M75" s="787">
        <v>20</v>
      </c>
      <c r="N75" s="787">
        <v>0.22</v>
      </c>
      <c r="O75" s="788">
        <v>42127</v>
      </c>
    </row>
    <row r="76" spans="1:15" x14ac:dyDescent="0.25">
      <c r="A76" s="786" t="s">
        <v>1027</v>
      </c>
      <c r="B76" s="787">
        <v>4</v>
      </c>
      <c r="C76" s="787" t="s">
        <v>931</v>
      </c>
      <c r="D76" s="787">
        <v>0.28000000000000003</v>
      </c>
      <c r="E76" s="787">
        <v>0.28000000000000003</v>
      </c>
      <c r="F76" s="788">
        <v>38181</v>
      </c>
      <c r="G76" s="788">
        <v>38462</v>
      </c>
      <c r="H76" s="787">
        <v>1</v>
      </c>
      <c r="I76" s="788">
        <v>41963</v>
      </c>
      <c r="J76" s="788">
        <v>39155</v>
      </c>
      <c r="L76" s="787">
        <v>0.33</v>
      </c>
      <c r="M76" s="787">
        <v>20</v>
      </c>
      <c r="N76" s="787">
        <v>0.35</v>
      </c>
      <c r="O76" s="788">
        <v>42144</v>
      </c>
    </row>
    <row r="77" spans="1:15" x14ac:dyDescent="0.25">
      <c r="A77" s="786" t="s">
        <v>1028</v>
      </c>
      <c r="B77" s="787">
        <v>4</v>
      </c>
      <c r="C77" s="787" t="s">
        <v>931</v>
      </c>
      <c r="D77" s="787">
        <v>0.06</v>
      </c>
      <c r="E77" s="787">
        <v>7.0000000000000007E-2</v>
      </c>
      <c r="F77" s="788">
        <v>37635</v>
      </c>
      <c r="G77" s="788">
        <v>38364</v>
      </c>
      <c r="H77" s="787">
        <v>1</v>
      </c>
      <c r="I77" s="788">
        <v>41981</v>
      </c>
      <c r="J77" s="788">
        <v>39155</v>
      </c>
      <c r="L77" s="787">
        <v>7.0000000000000007E-2</v>
      </c>
      <c r="M77" s="787">
        <v>20</v>
      </c>
      <c r="N77" s="787">
        <v>0.08</v>
      </c>
      <c r="O77" s="788">
        <v>41955</v>
      </c>
    </row>
    <row r="78" spans="1:15" x14ac:dyDescent="0.25">
      <c r="A78" s="786" t="s">
        <v>1029</v>
      </c>
      <c r="B78" s="787">
        <v>4</v>
      </c>
      <c r="C78" s="787" t="s">
        <v>931</v>
      </c>
      <c r="D78" s="787">
        <v>0.28999999999999998</v>
      </c>
      <c r="E78" s="787">
        <v>0.28999999999999998</v>
      </c>
      <c r="F78" s="788">
        <v>37635</v>
      </c>
      <c r="G78" s="788">
        <v>38364</v>
      </c>
      <c r="H78" s="787">
        <v>1</v>
      </c>
      <c r="I78" s="788">
        <v>42076</v>
      </c>
      <c r="J78" s="788">
        <v>39155</v>
      </c>
      <c r="L78" s="787">
        <v>0.32</v>
      </c>
      <c r="M78" s="787">
        <v>20</v>
      </c>
      <c r="N78" s="787">
        <v>0.34</v>
      </c>
      <c r="O78" s="788">
        <v>42072</v>
      </c>
    </row>
    <row r="79" spans="1:15" x14ac:dyDescent="0.25">
      <c r="A79" s="786" t="s">
        <v>1030</v>
      </c>
      <c r="B79" s="787">
        <v>4</v>
      </c>
      <c r="C79" s="787" t="s">
        <v>931</v>
      </c>
      <c r="D79" s="787">
        <v>0.03</v>
      </c>
      <c r="E79" s="787">
        <v>0.03</v>
      </c>
      <c r="F79" s="788">
        <v>37635</v>
      </c>
      <c r="G79" s="788">
        <v>38364</v>
      </c>
      <c r="H79" s="787">
        <v>1</v>
      </c>
      <c r="I79" s="788">
        <v>41564</v>
      </c>
      <c r="J79" s="788">
        <v>39155</v>
      </c>
      <c r="L79" s="787">
        <v>0.03</v>
      </c>
      <c r="M79" s="787">
        <v>20</v>
      </c>
      <c r="N79" s="787">
        <v>0.03</v>
      </c>
      <c r="O79" s="788">
        <v>41955</v>
      </c>
    </row>
    <row r="80" spans="1:15" x14ac:dyDescent="0.25">
      <c r="A80" s="786" t="s">
        <v>1031</v>
      </c>
      <c r="B80" s="787">
        <v>4</v>
      </c>
      <c r="C80" s="787" t="s">
        <v>931</v>
      </c>
      <c r="D80" s="787">
        <v>0.04</v>
      </c>
      <c r="E80" s="787">
        <v>0.04</v>
      </c>
      <c r="F80" s="788">
        <v>37635</v>
      </c>
      <c r="G80" s="788">
        <v>38364</v>
      </c>
      <c r="H80" s="787">
        <v>1</v>
      </c>
      <c r="I80" s="788">
        <v>41995</v>
      </c>
      <c r="J80" s="788">
        <v>39155</v>
      </c>
      <c r="L80" s="787">
        <v>0.04</v>
      </c>
      <c r="M80" s="787">
        <v>20</v>
      </c>
      <c r="N80" s="787">
        <v>0.04</v>
      </c>
      <c r="O80" s="788">
        <v>41955</v>
      </c>
    </row>
    <row r="81" spans="1:15" x14ac:dyDescent="0.25">
      <c r="A81" s="786" t="s">
        <v>1032</v>
      </c>
      <c r="B81" s="787">
        <v>4</v>
      </c>
      <c r="C81" s="787" t="s">
        <v>1033</v>
      </c>
      <c r="D81" s="787">
        <v>0.02</v>
      </c>
      <c r="E81" s="787">
        <v>0.02</v>
      </c>
      <c r="F81" s="788">
        <v>39101</v>
      </c>
      <c r="G81" s="788">
        <v>40521</v>
      </c>
      <c r="H81" s="787">
        <v>6</v>
      </c>
      <c r="I81" s="788">
        <v>40646</v>
      </c>
      <c r="J81" s="788">
        <v>40522</v>
      </c>
      <c r="L81" s="787">
        <v>0.03</v>
      </c>
      <c r="M81" s="787">
        <v>20</v>
      </c>
      <c r="N81" s="787">
        <v>0.03</v>
      </c>
      <c r="O81" s="788">
        <v>41858</v>
      </c>
    </row>
    <row r="82" spans="1:15" x14ac:dyDescent="0.25">
      <c r="A82" s="786" t="s">
        <v>1034</v>
      </c>
      <c r="B82" s="787">
        <v>4</v>
      </c>
      <c r="C82" s="787" t="s">
        <v>931</v>
      </c>
      <c r="D82" s="787">
        <v>0.49</v>
      </c>
      <c r="E82" s="787">
        <v>0.49</v>
      </c>
      <c r="F82" s="788">
        <v>38047</v>
      </c>
      <c r="G82" s="788">
        <v>38364</v>
      </c>
      <c r="H82" s="787">
        <v>1</v>
      </c>
      <c r="I82" s="788">
        <v>42160</v>
      </c>
      <c r="J82" s="788">
        <v>39155</v>
      </c>
      <c r="L82" s="787">
        <v>0.49</v>
      </c>
      <c r="M82" s="787">
        <v>20</v>
      </c>
      <c r="N82" s="787">
        <v>0.53</v>
      </c>
      <c r="O82" s="788">
        <v>41955</v>
      </c>
    </row>
    <row r="83" spans="1:15" x14ac:dyDescent="0.25">
      <c r="A83" s="786" t="s">
        <v>1035</v>
      </c>
      <c r="B83" s="787">
        <v>4</v>
      </c>
      <c r="C83" s="787" t="s">
        <v>1036</v>
      </c>
      <c r="D83" s="787">
        <v>0.28999999999999998</v>
      </c>
      <c r="E83" s="787">
        <v>0.33</v>
      </c>
      <c r="F83" s="788">
        <v>38097</v>
      </c>
      <c r="G83" s="788">
        <v>38364</v>
      </c>
      <c r="H83" s="787">
        <v>1</v>
      </c>
      <c r="I83" s="788">
        <v>42164</v>
      </c>
      <c r="J83" s="788">
        <v>39155</v>
      </c>
      <c r="L83" s="787">
        <v>0.28999999999999998</v>
      </c>
      <c r="M83" s="787">
        <v>20</v>
      </c>
      <c r="N83" s="787">
        <v>0.31</v>
      </c>
      <c r="O83" s="788">
        <v>42163</v>
      </c>
    </row>
    <row r="84" spans="1:15" x14ac:dyDescent="0.25">
      <c r="A84" s="786" t="s">
        <v>1037</v>
      </c>
      <c r="B84" s="787">
        <v>4</v>
      </c>
      <c r="C84" s="787" t="s">
        <v>1038</v>
      </c>
      <c r="D84" s="787">
        <v>0</v>
      </c>
      <c r="E84" s="787">
        <v>0.3</v>
      </c>
      <c r="H84" s="787">
        <v>1</v>
      </c>
      <c r="I84" s="788">
        <v>42157</v>
      </c>
      <c r="K84" s="788">
        <v>41772</v>
      </c>
      <c r="L84" s="787">
        <v>0.3</v>
      </c>
      <c r="M84" s="787">
        <v>20</v>
      </c>
      <c r="N84" s="787">
        <v>0.32</v>
      </c>
      <c r="O84" s="788">
        <v>42164</v>
      </c>
    </row>
    <row r="85" spans="1:15" x14ac:dyDescent="0.25">
      <c r="A85" s="786" t="s">
        <v>1039</v>
      </c>
      <c r="B85" s="787">
        <v>4</v>
      </c>
      <c r="C85" s="787" t="s">
        <v>1036</v>
      </c>
      <c r="D85" s="787">
        <v>0</v>
      </c>
      <c r="E85" s="787">
        <v>0</v>
      </c>
      <c r="H85" s="787">
        <v>1</v>
      </c>
      <c r="L85" s="787">
        <v>0.3</v>
      </c>
      <c r="M85" s="787">
        <v>20</v>
      </c>
      <c r="N85" s="787">
        <v>0.32</v>
      </c>
      <c r="O85" s="788">
        <v>41955</v>
      </c>
    </row>
    <row r="86" spans="1:15" x14ac:dyDescent="0.25">
      <c r="A86" s="786" t="s">
        <v>1040</v>
      </c>
      <c r="B86" s="787">
        <v>4</v>
      </c>
      <c r="C86" s="787" t="s">
        <v>1036</v>
      </c>
      <c r="D86" s="787">
        <v>0</v>
      </c>
      <c r="E86" s="787">
        <v>0</v>
      </c>
      <c r="H86" s="787">
        <v>1</v>
      </c>
      <c r="L86" s="787">
        <v>0</v>
      </c>
      <c r="M86" s="787">
        <v>20</v>
      </c>
      <c r="N86" s="787">
        <v>0</v>
      </c>
    </row>
    <row r="87" spans="1:15" x14ac:dyDescent="0.25">
      <c r="A87" s="786" t="s">
        <v>1041</v>
      </c>
      <c r="B87" s="787">
        <v>4</v>
      </c>
      <c r="C87" s="787" t="s">
        <v>1042</v>
      </c>
      <c r="D87" s="787">
        <v>0</v>
      </c>
      <c r="E87" s="787">
        <v>0</v>
      </c>
      <c r="H87" s="787">
        <v>1</v>
      </c>
      <c r="K87" s="788">
        <v>41422</v>
      </c>
      <c r="L87" s="787">
        <v>0.16</v>
      </c>
      <c r="M87" s="787">
        <v>20</v>
      </c>
      <c r="N87" s="787">
        <v>0.17</v>
      </c>
      <c r="O87" s="788">
        <v>41955</v>
      </c>
    </row>
    <row r="88" spans="1:15" x14ac:dyDescent="0.25">
      <c r="A88" s="786" t="s">
        <v>1043</v>
      </c>
      <c r="B88" s="787">
        <v>4</v>
      </c>
      <c r="C88" s="787" t="s">
        <v>1044</v>
      </c>
      <c r="D88" s="787">
        <v>0</v>
      </c>
      <c r="E88" s="787">
        <v>0</v>
      </c>
      <c r="G88" s="788">
        <v>41873</v>
      </c>
      <c r="H88" s="787">
        <v>1</v>
      </c>
      <c r="I88" s="788">
        <v>41872</v>
      </c>
      <c r="J88" s="788">
        <v>41873</v>
      </c>
      <c r="K88" s="788">
        <v>41422</v>
      </c>
      <c r="L88" s="787">
        <v>0.17</v>
      </c>
      <c r="M88" s="787">
        <v>20</v>
      </c>
      <c r="N88" s="787">
        <v>0.18</v>
      </c>
      <c r="O88" s="788">
        <v>41955</v>
      </c>
    </row>
    <row r="89" spans="1:15" x14ac:dyDescent="0.25">
      <c r="A89" s="786" t="s">
        <v>1045</v>
      </c>
      <c r="B89" s="787">
        <v>4</v>
      </c>
      <c r="C89" s="787" t="s">
        <v>1046</v>
      </c>
      <c r="D89" s="787">
        <v>0</v>
      </c>
      <c r="E89" s="787">
        <v>0</v>
      </c>
      <c r="G89" s="788">
        <v>41919</v>
      </c>
      <c r="H89" s="787">
        <v>1</v>
      </c>
      <c r="I89" s="788">
        <v>42095</v>
      </c>
      <c r="J89" s="788">
        <v>42096</v>
      </c>
      <c r="K89" s="788">
        <v>41422</v>
      </c>
      <c r="L89" s="787">
        <v>0.34</v>
      </c>
      <c r="M89" s="787">
        <v>20</v>
      </c>
      <c r="N89" s="787">
        <v>0.37</v>
      </c>
      <c r="O89" s="788">
        <v>41955</v>
      </c>
    </row>
    <row r="90" spans="1:15" x14ac:dyDescent="0.25">
      <c r="A90" s="786" t="s">
        <v>1047</v>
      </c>
      <c r="B90" s="787">
        <v>4</v>
      </c>
      <c r="C90" s="787" t="s">
        <v>1048</v>
      </c>
      <c r="D90" s="787">
        <v>0</v>
      </c>
      <c r="E90" s="787">
        <v>0</v>
      </c>
      <c r="H90" s="787">
        <v>1</v>
      </c>
      <c r="I90" s="788">
        <v>41977</v>
      </c>
      <c r="K90" s="788">
        <v>41422</v>
      </c>
      <c r="L90" s="787">
        <v>0.74</v>
      </c>
      <c r="M90" s="787">
        <v>20</v>
      </c>
      <c r="N90" s="787">
        <v>0.8</v>
      </c>
      <c r="O90" s="788">
        <v>41955</v>
      </c>
    </row>
    <row r="91" spans="1:15" x14ac:dyDescent="0.25">
      <c r="A91" s="786" t="s">
        <v>1049</v>
      </c>
      <c r="B91" s="787">
        <v>4</v>
      </c>
      <c r="C91" s="787" t="s">
        <v>929</v>
      </c>
      <c r="D91" s="787">
        <v>0</v>
      </c>
      <c r="E91" s="787">
        <v>0</v>
      </c>
      <c r="H91" s="787">
        <v>1</v>
      </c>
      <c r="I91" s="788">
        <v>42166</v>
      </c>
      <c r="J91" s="788">
        <v>42025</v>
      </c>
      <c r="K91" s="788">
        <v>41422</v>
      </c>
      <c r="L91" s="787">
        <v>7.0000000000000007E-2</v>
      </c>
      <c r="M91" s="787">
        <v>20</v>
      </c>
      <c r="N91" s="787">
        <v>0.08</v>
      </c>
      <c r="O91" s="788">
        <v>41955</v>
      </c>
    </row>
    <row r="92" spans="1:15" x14ac:dyDescent="0.25">
      <c r="A92" s="786" t="s">
        <v>1050</v>
      </c>
      <c r="B92" s="787">
        <v>4</v>
      </c>
      <c r="C92" s="787" t="s">
        <v>1051</v>
      </c>
      <c r="D92" s="787">
        <v>0</v>
      </c>
      <c r="E92" s="787">
        <v>0</v>
      </c>
      <c r="H92" s="787">
        <v>1</v>
      </c>
      <c r="K92" s="788">
        <v>41422</v>
      </c>
      <c r="L92" s="787">
        <v>0.93</v>
      </c>
      <c r="M92" s="787">
        <v>20</v>
      </c>
      <c r="N92" s="787">
        <v>1</v>
      </c>
      <c r="O92" s="788">
        <v>41955</v>
      </c>
    </row>
    <row r="93" spans="1:15" x14ac:dyDescent="0.25">
      <c r="A93" s="786" t="s">
        <v>1052</v>
      </c>
      <c r="B93" s="787">
        <v>4</v>
      </c>
      <c r="C93" s="787" t="s">
        <v>1014</v>
      </c>
      <c r="D93" s="787">
        <v>0</v>
      </c>
      <c r="E93" s="787">
        <v>0</v>
      </c>
      <c r="H93" s="787">
        <v>1</v>
      </c>
      <c r="I93" s="788">
        <v>42095</v>
      </c>
      <c r="K93" s="788">
        <v>41422</v>
      </c>
      <c r="L93" s="787">
        <v>0.21</v>
      </c>
      <c r="M93" s="787">
        <v>20</v>
      </c>
      <c r="N93" s="787">
        <v>0.23</v>
      </c>
      <c r="O93" s="788">
        <v>41955</v>
      </c>
    </row>
    <row r="94" spans="1:15" x14ac:dyDescent="0.25">
      <c r="A94" s="786" t="s">
        <v>1053</v>
      </c>
      <c r="B94" s="787">
        <v>4</v>
      </c>
      <c r="C94" s="787" t="s">
        <v>1054</v>
      </c>
      <c r="D94" s="787">
        <v>0</v>
      </c>
      <c r="E94" s="787">
        <v>0</v>
      </c>
      <c r="H94" s="787">
        <v>1</v>
      </c>
      <c r="K94" s="788">
        <v>41422</v>
      </c>
      <c r="L94" s="787">
        <v>0.56000000000000005</v>
      </c>
      <c r="M94" s="787">
        <v>20</v>
      </c>
      <c r="N94" s="787">
        <v>0.6</v>
      </c>
      <c r="O94" s="788">
        <v>41955</v>
      </c>
    </row>
    <row r="95" spans="1:15" x14ac:dyDescent="0.25">
      <c r="A95" s="786" t="s">
        <v>1055</v>
      </c>
      <c r="B95" s="787">
        <v>4</v>
      </c>
      <c r="C95" s="787" t="s">
        <v>1056</v>
      </c>
      <c r="D95" s="787">
        <v>0.14000000000000001</v>
      </c>
      <c r="E95" s="787">
        <v>0.14000000000000001</v>
      </c>
      <c r="F95" s="788">
        <v>37635</v>
      </c>
      <c r="G95" s="788">
        <v>37635</v>
      </c>
      <c r="H95" s="787">
        <v>1</v>
      </c>
      <c r="J95" s="788">
        <v>37635</v>
      </c>
      <c r="L95" s="787">
        <v>0.14000000000000001</v>
      </c>
      <c r="M95" s="787">
        <v>20</v>
      </c>
      <c r="N95" s="787">
        <v>0.15</v>
      </c>
      <c r="O95" s="788">
        <v>41955</v>
      </c>
    </row>
    <row r="96" spans="1:15" x14ac:dyDescent="0.25">
      <c r="A96" s="786" t="s">
        <v>1057</v>
      </c>
      <c r="B96" s="787">
        <v>4</v>
      </c>
      <c r="C96" s="787" t="s">
        <v>1058</v>
      </c>
      <c r="D96" s="787">
        <v>0</v>
      </c>
      <c r="E96" s="787">
        <v>0</v>
      </c>
      <c r="H96" s="787">
        <v>1</v>
      </c>
      <c r="I96" s="788">
        <v>42130</v>
      </c>
      <c r="L96" s="787">
        <v>0.02</v>
      </c>
      <c r="M96" s="787">
        <v>20</v>
      </c>
      <c r="N96" s="787">
        <v>0.02</v>
      </c>
      <c r="O96" s="788">
        <v>42146</v>
      </c>
    </row>
    <row r="97" spans="1:15" x14ac:dyDescent="0.25">
      <c r="A97" s="786" t="s">
        <v>1059</v>
      </c>
      <c r="B97" s="787">
        <v>4</v>
      </c>
      <c r="C97" s="787" t="s">
        <v>1060</v>
      </c>
      <c r="D97" s="787">
        <v>0</v>
      </c>
      <c r="E97" s="787">
        <v>0</v>
      </c>
      <c r="H97" s="787">
        <v>1</v>
      </c>
      <c r="I97" s="788">
        <v>42136</v>
      </c>
      <c r="L97" s="787">
        <v>0.15</v>
      </c>
      <c r="M97" s="787">
        <v>20</v>
      </c>
      <c r="N97" s="787">
        <v>0.16</v>
      </c>
      <c r="O97" s="788">
        <v>42027</v>
      </c>
    </row>
    <row r="98" spans="1:15" x14ac:dyDescent="0.25">
      <c r="A98" s="786" t="s">
        <v>1061</v>
      </c>
      <c r="B98" s="787">
        <v>4</v>
      </c>
      <c r="C98" s="787" t="s">
        <v>1062</v>
      </c>
      <c r="D98" s="787">
        <v>0</v>
      </c>
      <c r="E98" s="787">
        <v>0</v>
      </c>
      <c r="H98" s="787">
        <v>1</v>
      </c>
      <c r="I98" s="788">
        <v>42166</v>
      </c>
      <c r="L98" s="787">
        <v>0.1</v>
      </c>
      <c r="M98" s="787">
        <v>20</v>
      </c>
      <c r="N98" s="787">
        <v>0.11</v>
      </c>
      <c r="O98" s="788">
        <v>42146</v>
      </c>
    </row>
    <row r="99" spans="1:15" x14ac:dyDescent="0.25">
      <c r="A99" s="786" t="s">
        <v>1063</v>
      </c>
      <c r="B99" s="787">
        <v>4</v>
      </c>
      <c r="C99" s="787" t="s">
        <v>1064</v>
      </c>
      <c r="D99" s="787">
        <v>0</v>
      </c>
      <c r="E99" s="787">
        <v>0</v>
      </c>
      <c r="H99" s="787">
        <v>1</v>
      </c>
      <c r="L99" s="787">
        <v>0</v>
      </c>
      <c r="M99" s="787">
        <v>20</v>
      </c>
      <c r="N99" s="787">
        <v>0</v>
      </c>
      <c r="O99" s="788">
        <v>40824</v>
      </c>
    </row>
    <row r="100" spans="1:15" x14ac:dyDescent="0.25">
      <c r="A100" s="786" t="s">
        <v>1065</v>
      </c>
      <c r="B100" s="787">
        <v>4</v>
      </c>
      <c r="C100" s="787" t="s">
        <v>1066</v>
      </c>
      <c r="D100" s="787">
        <v>0</v>
      </c>
      <c r="E100" s="787">
        <v>0</v>
      </c>
      <c r="G100" s="787" t="s">
        <v>1067</v>
      </c>
      <c r="H100" s="787">
        <v>1</v>
      </c>
      <c r="L100" s="787">
        <v>0</v>
      </c>
      <c r="M100" s="787">
        <v>10</v>
      </c>
      <c r="N100" s="789">
        <v>1502.72</v>
      </c>
      <c r="O100" s="788">
        <v>40593</v>
      </c>
    </row>
    <row r="101" spans="1:15" x14ac:dyDescent="0.25">
      <c r="A101" s="786" t="s">
        <v>1068</v>
      </c>
      <c r="B101" s="787">
        <v>4</v>
      </c>
      <c r="C101" s="787" t="s">
        <v>1069</v>
      </c>
      <c r="D101" s="787">
        <v>0</v>
      </c>
      <c r="E101" s="787">
        <v>0</v>
      </c>
      <c r="G101" s="787" t="s">
        <v>1067</v>
      </c>
      <c r="H101" s="787">
        <v>1</v>
      </c>
      <c r="L101" s="787">
        <v>0</v>
      </c>
      <c r="M101" s="787">
        <v>10</v>
      </c>
      <c r="N101" s="787">
        <v>558.16</v>
      </c>
      <c r="O101" s="788">
        <v>40600</v>
      </c>
    </row>
    <row r="102" spans="1:15" x14ac:dyDescent="0.25">
      <c r="A102" s="786" t="s">
        <v>1070</v>
      </c>
      <c r="B102" s="787">
        <v>4</v>
      </c>
      <c r="C102" s="787" t="s">
        <v>1071</v>
      </c>
      <c r="D102" s="787">
        <v>0.03</v>
      </c>
      <c r="E102" s="787">
        <v>0.03</v>
      </c>
      <c r="F102" s="788">
        <v>38047</v>
      </c>
      <c r="G102" s="788">
        <v>38364</v>
      </c>
      <c r="H102" s="787">
        <v>1</v>
      </c>
      <c r="I102" s="788">
        <v>39155</v>
      </c>
      <c r="J102" s="788">
        <v>39155</v>
      </c>
      <c r="L102" s="787">
        <v>0.03</v>
      </c>
      <c r="M102" s="787">
        <v>20</v>
      </c>
      <c r="N102" s="787">
        <v>0.03</v>
      </c>
      <c r="O102" s="788">
        <v>42163</v>
      </c>
    </row>
    <row r="103" spans="1:15" x14ac:dyDescent="0.25">
      <c r="A103" s="786" t="s">
        <v>1072</v>
      </c>
      <c r="B103" s="787">
        <v>4</v>
      </c>
      <c r="C103" s="787" t="s">
        <v>1071</v>
      </c>
      <c r="D103" s="787">
        <v>0.02</v>
      </c>
      <c r="E103" s="787">
        <v>0.02</v>
      </c>
      <c r="F103" s="788">
        <v>37635</v>
      </c>
      <c r="G103" s="788">
        <v>37635</v>
      </c>
      <c r="H103" s="787">
        <v>1</v>
      </c>
      <c r="I103" s="788">
        <v>42163</v>
      </c>
      <c r="J103" s="788">
        <v>39155</v>
      </c>
      <c r="L103" s="787">
        <v>0.02</v>
      </c>
      <c r="M103" s="787">
        <v>20</v>
      </c>
      <c r="N103" s="787">
        <v>0.02</v>
      </c>
      <c r="O103" s="788">
        <v>41955</v>
      </c>
    </row>
    <row r="104" spans="1:15" x14ac:dyDescent="0.25">
      <c r="A104" s="786" t="s">
        <v>1073</v>
      </c>
      <c r="B104" s="787">
        <v>4</v>
      </c>
      <c r="C104" s="787" t="s">
        <v>1071</v>
      </c>
      <c r="D104" s="787">
        <v>0.02</v>
      </c>
      <c r="E104" s="787">
        <v>0.02</v>
      </c>
      <c r="F104" s="788">
        <v>37635</v>
      </c>
      <c r="G104" s="788">
        <v>38602</v>
      </c>
      <c r="H104" s="787">
        <v>1</v>
      </c>
      <c r="I104" s="788">
        <v>42130</v>
      </c>
      <c r="J104" s="788">
        <v>39155</v>
      </c>
      <c r="L104" s="787">
        <v>0.02</v>
      </c>
      <c r="M104" s="787">
        <v>20</v>
      </c>
      <c r="N104" s="787">
        <v>0.02</v>
      </c>
      <c r="O104" s="788">
        <v>42164</v>
      </c>
    </row>
    <row r="105" spans="1:15" x14ac:dyDescent="0.25">
      <c r="A105" s="786" t="s">
        <v>1074</v>
      </c>
      <c r="B105" s="787">
        <v>4</v>
      </c>
      <c r="C105" s="787" t="s">
        <v>1075</v>
      </c>
      <c r="D105" s="787">
        <v>0.02</v>
      </c>
      <c r="E105" s="787">
        <v>0.02</v>
      </c>
      <c r="F105" s="788">
        <v>37635</v>
      </c>
      <c r="G105" s="788">
        <v>38364</v>
      </c>
      <c r="H105" s="787">
        <v>1</v>
      </c>
      <c r="I105" s="788">
        <v>42164</v>
      </c>
      <c r="J105" s="788">
        <v>39155</v>
      </c>
      <c r="L105" s="787">
        <v>0.02</v>
      </c>
      <c r="M105" s="787">
        <v>20</v>
      </c>
      <c r="N105" s="787">
        <v>0.02</v>
      </c>
      <c r="O105" s="788">
        <v>42164</v>
      </c>
    </row>
    <row r="106" spans="1:15" x14ac:dyDescent="0.25">
      <c r="A106" s="786" t="s">
        <v>1076</v>
      </c>
      <c r="B106" s="787">
        <v>4</v>
      </c>
      <c r="C106" s="787" t="s">
        <v>1071</v>
      </c>
      <c r="D106" s="787">
        <v>0.02</v>
      </c>
      <c r="E106" s="787">
        <v>0.02</v>
      </c>
      <c r="F106" s="788">
        <v>37635</v>
      </c>
      <c r="G106" s="788">
        <v>38364</v>
      </c>
      <c r="H106" s="787">
        <v>1</v>
      </c>
      <c r="I106" s="788">
        <v>42165</v>
      </c>
      <c r="J106" s="788">
        <v>39155</v>
      </c>
      <c r="L106" s="787">
        <v>0.02</v>
      </c>
      <c r="M106" s="787">
        <v>20</v>
      </c>
      <c r="N106" s="787">
        <v>0.02</v>
      </c>
      <c r="O106" s="788">
        <v>42163</v>
      </c>
    </row>
    <row r="107" spans="1:15" x14ac:dyDescent="0.25">
      <c r="A107" s="786" t="s">
        <v>1077</v>
      </c>
      <c r="B107" s="787">
        <v>4</v>
      </c>
      <c r="C107" s="787" t="s">
        <v>1078</v>
      </c>
      <c r="D107" s="787">
        <v>0.09</v>
      </c>
      <c r="E107" s="787">
        <v>0.1</v>
      </c>
      <c r="F107" s="788">
        <v>38075</v>
      </c>
      <c r="G107" s="788">
        <v>38449</v>
      </c>
      <c r="H107" s="787">
        <v>1</v>
      </c>
      <c r="I107" s="788">
        <v>42151</v>
      </c>
      <c r="J107" s="788">
        <v>39155</v>
      </c>
      <c r="L107" s="787">
        <v>0.11</v>
      </c>
      <c r="M107" s="787">
        <v>20</v>
      </c>
      <c r="N107" s="787">
        <v>0.12</v>
      </c>
      <c r="O107" s="788">
        <v>42162</v>
      </c>
    </row>
    <row r="108" spans="1:15" x14ac:dyDescent="0.25">
      <c r="A108" s="786" t="s">
        <v>1079</v>
      </c>
      <c r="B108" s="787">
        <v>4</v>
      </c>
      <c r="C108" s="787" t="s">
        <v>1071</v>
      </c>
      <c r="D108" s="787">
        <v>0</v>
      </c>
      <c r="E108" s="787">
        <v>0</v>
      </c>
      <c r="H108" s="787">
        <v>1</v>
      </c>
      <c r="L108" s="787">
        <v>0</v>
      </c>
      <c r="M108" s="787">
        <v>20</v>
      </c>
      <c r="N108" s="787">
        <v>0.01</v>
      </c>
      <c r="O108" s="788">
        <v>42123</v>
      </c>
    </row>
    <row r="109" spans="1:15" x14ac:dyDescent="0.25">
      <c r="A109" s="786" t="s">
        <v>1080</v>
      </c>
      <c r="B109" s="787">
        <v>4</v>
      </c>
      <c r="C109" s="787" t="s">
        <v>1081</v>
      </c>
      <c r="D109" s="787">
        <v>0</v>
      </c>
      <c r="E109" s="787">
        <v>0</v>
      </c>
      <c r="H109" s="787">
        <v>1</v>
      </c>
      <c r="L109" s="787">
        <v>0</v>
      </c>
      <c r="M109" s="787">
        <v>20</v>
      </c>
      <c r="N109" s="787">
        <v>0.01</v>
      </c>
      <c r="O109" s="788">
        <v>42038</v>
      </c>
    </row>
    <row r="110" spans="1:15" x14ac:dyDescent="0.25">
      <c r="A110" s="786" t="s">
        <v>1082</v>
      </c>
      <c r="B110" s="787">
        <v>4</v>
      </c>
      <c r="C110" s="787" t="s">
        <v>1078</v>
      </c>
      <c r="D110" s="787">
        <v>0</v>
      </c>
      <c r="E110" s="787">
        <v>0</v>
      </c>
      <c r="H110" s="787">
        <v>1</v>
      </c>
      <c r="I110" s="788">
        <v>42164</v>
      </c>
      <c r="L110" s="787">
        <v>0</v>
      </c>
      <c r="M110" s="787">
        <v>20</v>
      </c>
      <c r="N110" s="787">
        <v>0.01</v>
      </c>
      <c r="O110" s="788">
        <v>42152</v>
      </c>
    </row>
    <row r="111" spans="1:15" x14ac:dyDescent="0.25">
      <c r="A111" s="786" t="s">
        <v>1083</v>
      </c>
      <c r="B111" s="787">
        <v>4</v>
      </c>
      <c r="C111" s="787" t="s">
        <v>1071</v>
      </c>
      <c r="D111" s="787">
        <v>0.01</v>
      </c>
      <c r="E111" s="787">
        <v>0.01</v>
      </c>
      <c r="F111" s="788">
        <v>38047</v>
      </c>
      <c r="G111" s="788">
        <v>38364</v>
      </c>
      <c r="H111" s="787">
        <v>1</v>
      </c>
      <c r="I111" s="788">
        <v>42166</v>
      </c>
      <c r="J111" s="788">
        <v>39155</v>
      </c>
      <c r="L111" s="787">
        <v>0.01</v>
      </c>
      <c r="M111" s="787">
        <v>20</v>
      </c>
      <c r="N111" s="787">
        <v>0.01</v>
      </c>
      <c r="O111" s="788">
        <v>42164</v>
      </c>
    </row>
    <row r="112" spans="1:15" x14ac:dyDescent="0.25">
      <c r="A112" s="786" t="s">
        <v>1084</v>
      </c>
      <c r="B112" s="787">
        <v>4</v>
      </c>
      <c r="C112" s="787" t="s">
        <v>1071</v>
      </c>
      <c r="D112" s="787">
        <v>0.02</v>
      </c>
      <c r="E112" s="787">
        <v>0.02</v>
      </c>
      <c r="F112" s="788">
        <v>37635</v>
      </c>
      <c r="G112" s="788">
        <v>38364</v>
      </c>
      <c r="H112" s="787">
        <v>1</v>
      </c>
      <c r="I112" s="788">
        <v>42163</v>
      </c>
      <c r="J112" s="788">
        <v>39155</v>
      </c>
      <c r="L112" s="787">
        <v>0.02</v>
      </c>
      <c r="M112" s="787">
        <v>20</v>
      </c>
      <c r="N112" s="787">
        <v>0.02</v>
      </c>
      <c r="O112" s="788">
        <v>42163</v>
      </c>
    </row>
    <row r="113" spans="1:15" x14ac:dyDescent="0.25">
      <c r="A113" s="786" t="s">
        <v>1085</v>
      </c>
      <c r="B113" s="787">
        <v>4</v>
      </c>
      <c r="C113" s="787" t="s">
        <v>1071</v>
      </c>
      <c r="D113" s="787">
        <v>0.01</v>
      </c>
      <c r="E113" s="787">
        <v>0.02</v>
      </c>
      <c r="F113" s="788">
        <v>37635</v>
      </c>
      <c r="G113" s="788">
        <v>38635</v>
      </c>
      <c r="H113" s="787">
        <v>1</v>
      </c>
      <c r="I113" s="788">
        <v>39155</v>
      </c>
      <c r="J113" s="788">
        <v>39155</v>
      </c>
      <c r="L113" s="787">
        <v>0.02</v>
      </c>
      <c r="M113" s="787">
        <v>20</v>
      </c>
      <c r="N113" s="787">
        <v>0.02</v>
      </c>
      <c r="O113" s="788">
        <v>42087</v>
      </c>
    </row>
    <row r="114" spans="1:15" x14ac:dyDescent="0.25">
      <c r="A114" s="786" t="s">
        <v>1086</v>
      </c>
      <c r="B114" s="787">
        <v>4</v>
      </c>
      <c r="C114" s="787" t="s">
        <v>1071</v>
      </c>
      <c r="D114" s="787">
        <v>0.02</v>
      </c>
      <c r="E114" s="787">
        <v>0.04</v>
      </c>
      <c r="F114" s="788">
        <v>37635</v>
      </c>
      <c r="G114" s="788">
        <v>38511</v>
      </c>
      <c r="H114" s="787">
        <v>1</v>
      </c>
      <c r="I114" s="788">
        <v>42160</v>
      </c>
      <c r="J114" s="788">
        <v>39155</v>
      </c>
      <c r="L114" s="787">
        <v>0.02</v>
      </c>
      <c r="M114" s="787">
        <v>20</v>
      </c>
      <c r="N114" s="787">
        <v>0.02</v>
      </c>
      <c r="O114" s="788">
        <v>42146</v>
      </c>
    </row>
    <row r="115" spans="1:15" x14ac:dyDescent="0.25">
      <c r="A115" s="786" t="s">
        <v>1087</v>
      </c>
      <c r="B115" s="787">
        <v>4</v>
      </c>
      <c r="C115" s="787" t="s">
        <v>1071</v>
      </c>
      <c r="D115" s="787">
        <v>0.02</v>
      </c>
      <c r="E115" s="787">
        <v>0.02</v>
      </c>
      <c r="F115" s="788">
        <v>37635</v>
      </c>
      <c r="G115" s="788">
        <v>38364</v>
      </c>
      <c r="H115" s="787">
        <v>1</v>
      </c>
      <c r="I115" s="788">
        <v>42153</v>
      </c>
      <c r="J115" s="788">
        <v>39155</v>
      </c>
      <c r="L115" s="787">
        <v>0.02</v>
      </c>
      <c r="M115" s="787">
        <v>20</v>
      </c>
      <c r="N115" s="787">
        <v>0.02</v>
      </c>
      <c r="O115" s="788">
        <v>42164</v>
      </c>
    </row>
    <row r="116" spans="1:15" x14ac:dyDescent="0.25">
      <c r="A116" s="786" t="s">
        <v>1088</v>
      </c>
      <c r="B116" s="787">
        <v>4</v>
      </c>
      <c r="C116" s="787" t="s">
        <v>1071</v>
      </c>
      <c r="D116" s="787">
        <v>0.02</v>
      </c>
      <c r="E116" s="787">
        <v>0.02</v>
      </c>
      <c r="F116" s="788">
        <v>37635</v>
      </c>
      <c r="G116" s="788">
        <v>38364</v>
      </c>
      <c r="H116" s="787">
        <v>1</v>
      </c>
      <c r="I116" s="788">
        <v>39155</v>
      </c>
      <c r="J116" s="788">
        <v>39155</v>
      </c>
      <c r="L116" s="787">
        <v>0.02</v>
      </c>
      <c r="M116" s="787">
        <v>20</v>
      </c>
      <c r="N116" s="787">
        <v>0.02</v>
      </c>
      <c r="O116" s="788">
        <v>42024</v>
      </c>
    </row>
    <row r="117" spans="1:15" x14ac:dyDescent="0.25">
      <c r="A117" s="786" t="s">
        <v>1089</v>
      </c>
      <c r="B117" s="787">
        <v>4</v>
      </c>
      <c r="C117" s="787" t="s">
        <v>1071</v>
      </c>
      <c r="D117" s="787">
        <v>0.02</v>
      </c>
      <c r="E117" s="787">
        <v>0.02</v>
      </c>
      <c r="F117" s="788">
        <v>37635</v>
      </c>
      <c r="G117" s="788">
        <v>38364</v>
      </c>
      <c r="H117" s="787">
        <v>1</v>
      </c>
      <c r="I117" s="788">
        <v>41830</v>
      </c>
      <c r="J117" s="788">
        <v>39155</v>
      </c>
      <c r="L117" s="787">
        <v>0.02</v>
      </c>
      <c r="M117" s="787">
        <v>20</v>
      </c>
      <c r="N117" s="787">
        <v>0.02</v>
      </c>
      <c r="O117" s="788">
        <v>41955</v>
      </c>
    </row>
    <row r="118" spans="1:15" x14ac:dyDescent="0.25">
      <c r="A118" s="786" t="s">
        <v>1090</v>
      </c>
      <c r="B118" s="787">
        <v>4</v>
      </c>
      <c r="C118" s="787" t="s">
        <v>1071</v>
      </c>
      <c r="D118" s="787">
        <v>0.02</v>
      </c>
      <c r="E118" s="787">
        <v>0.02</v>
      </c>
      <c r="F118" s="788">
        <v>37635</v>
      </c>
      <c r="G118" s="788">
        <v>38364</v>
      </c>
      <c r="H118" s="787">
        <v>1</v>
      </c>
      <c r="I118" s="788">
        <v>42157</v>
      </c>
      <c r="J118" s="788">
        <v>39155</v>
      </c>
      <c r="K118" s="788">
        <v>41869</v>
      </c>
      <c r="L118" s="787">
        <v>0.02</v>
      </c>
      <c r="M118" s="787">
        <v>20</v>
      </c>
      <c r="N118" s="787">
        <v>0.02</v>
      </c>
      <c r="O118" s="788">
        <v>42146</v>
      </c>
    </row>
    <row r="119" spans="1:15" x14ac:dyDescent="0.25">
      <c r="A119" s="786" t="s">
        <v>1091</v>
      </c>
      <c r="B119" s="787">
        <v>4</v>
      </c>
      <c r="C119" s="787" t="s">
        <v>1092</v>
      </c>
      <c r="D119" s="787">
        <v>0</v>
      </c>
      <c r="E119" s="787">
        <v>0</v>
      </c>
      <c r="H119" s="787">
        <v>1</v>
      </c>
      <c r="I119" s="788">
        <v>42027</v>
      </c>
      <c r="L119" s="787">
        <v>0.04</v>
      </c>
      <c r="M119" s="787">
        <v>20</v>
      </c>
      <c r="N119" s="787">
        <v>0.04</v>
      </c>
      <c r="O119" s="788">
        <v>42072</v>
      </c>
    </row>
    <row r="120" spans="1:15" x14ac:dyDescent="0.25">
      <c r="A120" s="786" t="s">
        <v>1093</v>
      </c>
      <c r="B120" s="787">
        <v>4</v>
      </c>
      <c r="C120" s="787" t="s">
        <v>1094</v>
      </c>
      <c r="D120" s="787">
        <v>0.05</v>
      </c>
      <c r="E120" s="787">
        <v>0.05</v>
      </c>
      <c r="F120" s="788">
        <v>37635</v>
      </c>
      <c r="G120" s="788">
        <v>38364</v>
      </c>
      <c r="H120" s="787">
        <v>1</v>
      </c>
      <c r="I120" s="788">
        <v>42166</v>
      </c>
      <c r="J120" s="788">
        <v>39155</v>
      </c>
      <c r="L120" s="787">
        <v>0.05</v>
      </c>
      <c r="M120" s="787">
        <v>20</v>
      </c>
      <c r="N120" s="787">
        <v>0.05</v>
      </c>
      <c r="O120" s="788">
        <v>42163</v>
      </c>
    </row>
    <row r="121" spans="1:15" x14ac:dyDescent="0.25">
      <c r="A121" s="786" t="s">
        <v>674</v>
      </c>
      <c r="B121" s="787">
        <v>4</v>
      </c>
      <c r="C121" s="787" t="s">
        <v>1071</v>
      </c>
      <c r="D121" s="787">
        <v>0.02</v>
      </c>
      <c r="E121" s="787">
        <v>0.02</v>
      </c>
      <c r="F121" s="788">
        <v>38047</v>
      </c>
      <c r="G121" s="788">
        <v>38364</v>
      </c>
      <c r="H121" s="787">
        <v>1</v>
      </c>
      <c r="I121" s="788">
        <v>42165</v>
      </c>
      <c r="J121" s="788">
        <v>39155</v>
      </c>
      <c r="L121" s="787">
        <v>0.02</v>
      </c>
      <c r="M121" s="787">
        <v>20</v>
      </c>
      <c r="N121" s="787">
        <v>0.02</v>
      </c>
      <c r="O121" s="788">
        <v>42164</v>
      </c>
    </row>
    <row r="122" spans="1:15" x14ac:dyDescent="0.25">
      <c r="A122" s="786" t="s">
        <v>1095</v>
      </c>
      <c r="B122" s="787">
        <v>4</v>
      </c>
      <c r="C122" s="787" t="s">
        <v>1096</v>
      </c>
      <c r="D122" s="787">
        <v>0.02</v>
      </c>
      <c r="E122" s="787">
        <v>0.02</v>
      </c>
      <c r="F122" s="788">
        <v>37635</v>
      </c>
      <c r="G122" s="788">
        <v>38364</v>
      </c>
      <c r="H122" s="787">
        <v>1</v>
      </c>
      <c r="I122" s="788">
        <v>42044</v>
      </c>
      <c r="J122" s="788">
        <v>39155</v>
      </c>
      <c r="L122" s="787">
        <v>0.02</v>
      </c>
      <c r="M122" s="787">
        <v>20</v>
      </c>
      <c r="N122" s="787">
        <v>0.02</v>
      </c>
      <c r="O122" s="788">
        <v>42080</v>
      </c>
    </row>
    <row r="123" spans="1:15" x14ac:dyDescent="0.25">
      <c r="A123" s="786" t="s">
        <v>1097</v>
      </c>
      <c r="B123" s="787">
        <v>4</v>
      </c>
      <c r="C123" s="787" t="s">
        <v>931</v>
      </c>
      <c r="D123" s="787">
        <v>0</v>
      </c>
      <c r="E123" s="787">
        <v>0</v>
      </c>
      <c r="H123" s="787">
        <v>1</v>
      </c>
      <c r="I123" s="788">
        <v>41813</v>
      </c>
      <c r="L123" s="787">
        <v>0</v>
      </c>
      <c r="M123" s="787">
        <v>20</v>
      </c>
      <c r="N123" s="787">
        <v>0.01</v>
      </c>
      <c r="O123" s="788">
        <v>41955</v>
      </c>
    </row>
    <row r="124" spans="1:15" x14ac:dyDescent="0.25">
      <c r="A124" s="786" t="s">
        <v>1098</v>
      </c>
      <c r="B124" s="787">
        <v>4</v>
      </c>
      <c r="C124" s="787" t="s">
        <v>1071</v>
      </c>
      <c r="D124" s="787">
        <v>0.04</v>
      </c>
      <c r="E124" s="787">
        <v>0.04</v>
      </c>
      <c r="F124" s="788">
        <v>37635</v>
      </c>
      <c r="G124" s="788">
        <v>38364</v>
      </c>
      <c r="H124" s="787">
        <v>1</v>
      </c>
      <c r="I124" s="788">
        <v>42152</v>
      </c>
      <c r="J124" s="788">
        <v>39155</v>
      </c>
      <c r="L124" s="787">
        <v>0.04</v>
      </c>
      <c r="M124" s="787">
        <v>20</v>
      </c>
      <c r="N124" s="787">
        <v>0.04</v>
      </c>
      <c r="O124" s="788">
        <v>41955</v>
      </c>
    </row>
    <row r="125" spans="1:15" x14ac:dyDescent="0.25">
      <c r="A125" s="786" t="s">
        <v>1099</v>
      </c>
      <c r="B125" s="787">
        <v>4</v>
      </c>
      <c r="C125" s="787" t="s">
        <v>1071</v>
      </c>
      <c r="D125" s="787">
        <v>0.02</v>
      </c>
      <c r="E125" s="787">
        <v>0.02</v>
      </c>
      <c r="F125" s="788">
        <v>37635</v>
      </c>
      <c r="G125" s="788">
        <v>38364</v>
      </c>
      <c r="H125" s="787">
        <v>1</v>
      </c>
      <c r="I125" s="788">
        <v>42166</v>
      </c>
      <c r="J125" s="788">
        <v>39155</v>
      </c>
      <c r="L125" s="787">
        <v>0.02</v>
      </c>
      <c r="M125" s="787">
        <v>20</v>
      </c>
      <c r="N125" s="787">
        <v>0.02</v>
      </c>
      <c r="O125" s="788">
        <v>42163</v>
      </c>
    </row>
    <row r="126" spans="1:15" x14ac:dyDescent="0.25">
      <c r="A126" s="786" t="s">
        <v>1100</v>
      </c>
      <c r="B126" s="787">
        <v>4</v>
      </c>
      <c r="C126" s="787" t="s">
        <v>1071</v>
      </c>
      <c r="D126" s="787">
        <v>0.03</v>
      </c>
      <c r="E126" s="787">
        <v>0.03</v>
      </c>
      <c r="F126" s="788">
        <v>37635</v>
      </c>
      <c r="G126" s="788">
        <v>38526</v>
      </c>
      <c r="H126" s="787">
        <v>1</v>
      </c>
      <c r="I126" s="788">
        <v>42166</v>
      </c>
      <c r="J126" s="788">
        <v>39155</v>
      </c>
      <c r="L126" s="787">
        <v>0.03</v>
      </c>
      <c r="M126" s="787">
        <v>20</v>
      </c>
      <c r="N126" s="787">
        <v>0.03</v>
      </c>
      <c r="O126" s="788">
        <v>42076</v>
      </c>
    </row>
    <row r="127" spans="1:15" x14ac:dyDescent="0.25">
      <c r="A127" s="786" t="s">
        <v>695</v>
      </c>
      <c r="B127" s="787">
        <v>4</v>
      </c>
      <c r="C127" s="787" t="s">
        <v>1071</v>
      </c>
      <c r="D127" s="787">
        <v>0.08</v>
      </c>
      <c r="E127" s="787">
        <v>0.08</v>
      </c>
      <c r="F127" s="788">
        <v>37635</v>
      </c>
      <c r="G127" s="788">
        <v>37635</v>
      </c>
      <c r="H127" s="787">
        <v>1</v>
      </c>
      <c r="I127" s="788">
        <v>41879</v>
      </c>
      <c r="J127" s="788">
        <v>37635</v>
      </c>
      <c r="L127" s="787">
        <v>0.09</v>
      </c>
      <c r="M127" s="787">
        <v>20</v>
      </c>
      <c r="N127" s="787">
        <v>0.1</v>
      </c>
      <c r="O127" s="788">
        <v>41955</v>
      </c>
    </row>
    <row r="128" spans="1:15" x14ac:dyDescent="0.25">
      <c r="A128" s="786" t="s">
        <v>1101</v>
      </c>
      <c r="B128" s="787">
        <v>4</v>
      </c>
      <c r="C128" s="787" t="s">
        <v>1081</v>
      </c>
      <c r="D128" s="787">
        <v>0.08</v>
      </c>
      <c r="E128" s="787">
        <v>0.08</v>
      </c>
      <c r="F128" s="788">
        <v>37635</v>
      </c>
      <c r="G128" s="788">
        <v>38364</v>
      </c>
      <c r="H128" s="787">
        <v>1</v>
      </c>
      <c r="I128" s="788">
        <v>42164</v>
      </c>
      <c r="J128" s="788">
        <v>39155</v>
      </c>
      <c r="L128" s="787">
        <v>0.09</v>
      </c>
      <c r="M128" s="787">
        <v>20</v>
      </c>
      <c r="N128" s="787">
        <v>0.1</v>
      </c>
      <c r="O128" s="788">
        <v>42163</v>
      </c>
    </row>
    <row r="129" spans="1:15" x14ac:dyDescent="0.25">
      <c r="A129" s="786" t="s">
        <v>1102</v>
      </c>
      <c r="B129" s="787">
        <v>4</v>
      </c>
      <c r="C129" s="787" t="s">
        <v>1071</v>
      </c>
      <c r="D129" s="787">
        <v>0.08</v>
      </c>
      <c r="E129" s="787">
        <v>0.08</v>
      </c>
      <c r="F129" s="788">
        <v>37635</v>
      </c>
      <c r="G129" s="788">
        <v>38364</v>
      </c>
      <c r="H129" s="787">
        <v>1</v>
      </c>
      <c r="I129" s="788">
        <v>41019</v>
      </c>
      <c r="J129" s="788">
        <v>39155</v>
      </c>
      <c r="L129" s="787">
        <v>0.09</v>
      </c>
      <c r="M129" s="787">
        <v>20</v>
      </c>
      <c r="N129" s="787">
        <v>0.1</v>
      </c>
      <c r="O129" s="788">
        <v>42072</v>
      </c>
    </row>
    <row r="130" spans="1:15" x14ac:dyDescent="0.25">
      <c r="A130" s="786" t="s">
        <v>1103</v>
      </c>
      <c r="B130" s="787">
        <v>4</v>
      </c>
      <c r="C130" s="787" t="s">
        <v>1104</v>
      </c>
      <c r="D130" s="787">
        <v>0</v>
      </c>
      <c r="E130" s="787">
        <v>0</v>
      </c>
      <c r="H130" s="787">
        <v>1</v>
      </c>
      <c r="I130" s="788">
        <v>42082</v>
      </c>
      <c r="K130" s="788">
        <v>40918</v>
      </c>
      <c r="L130" s="787">
        <v>0.04</v>
      </c>
      <c r="M130" s="787">
        <v>20</v>
      </c>
      <c r="N130" s="787">
        <v>0.04</v>
      </c>
      <c r="O130" s="788">
        <v>42080</v>
      </c>
    </row>
    <row r="131" spans="1:15" x14ac:dyDescent="0.25">
      <c r="A131" s="786" t="s">
        <v>1105</v>
      </c>
      <c r="B131" s="787">
        <v>4</v>
      </c>
      <c r="C131" s="787" t="s">
        <v>1106</v>
      </c>
      <c r="D131" s="787">
        <v>0</v>
      </c>
      <c r="E131" s="787">
        <v>0</v>
      </c>
      <c r="H131" s="787">
        <v>1</v>
      </c>
      <c r="I131" s="788">
        <v>41963</v>
      </c>
      <c r="L131" s="787">
        <v>0.03</v>
      </c>
      <c r="M131" s="787">
        <v>20</v>
      </c>
      <c r="N131" s="787">
        <v>0.03</v>
      </c>
      <c r="O131" s="788">
        <v>41955</v>
      </c>
    </row>
    <row r="132" spans="1:15" x14ac:dyDescent="0.25">
      <c r="A132" s="786" t="s">
        <v>1107</v>
      </c>
      <c r="B132" s="787">
        <v>4</v>
      </c>
      <c r="C132" s="787" t="s">
        <v>1108</v>
      </c>
      <c r="D132" s="787">
        <v>0</v>
      </c>
      <c r="E132" s="787">
        <v>0</v>
      </c>
      <c r="H132" s="787">
        <v>1</v>
      </c>
      <c r="I132" s="788">
        <v>42136</v>
      </c>
      <c r="L132" s="787">
        <v>0.15</v>
      </c>
      <c r="M132" s="787">
        <v>20</v>
      </c>
      <c r="N132" s="787">
        <v>0.16</v>
      </c>
      <c r="O132" s="788">
        <v>42146</v>
      </c>
    </row>
    <row r="133" spans="1:15" x14ac:dyDescent="0.25">
      <c r="A133" s="786" t="s">
        <v>1109</v>
      </c>
      <c r="B133" s="787">
        <v>4</v>
      </c>
      <c r="C133" s="787" t="s">
        <v>1071</v>
      </c>
      <c r="D133" s="787">
        <v>0.06</v>
      </c>
      <c r="E133" s="787">
        <v>0.06</v>
      </c>
      <c r="F133" s="788">
        <v>37635</v>
      </c>
      <c r="G133" s="788">
        <v>38364</v>
      </c>
      <c r="H133" s="787">
        <v>1</v>
      </c>
      <c r="I133" s="788">
        <v>42164</v>
      </c>
      <c r="J133" s="788">
        <v>39155</v>
      </c>
      <c r="L133" s="787">
        <v>7.0000000000000007E-2</v>
      </c>
      <c r="M133" s="787">
        <v>20</v>
      </c>
      <c r="N133" s="787">
        <v>0.08</v>
      </c>
      <c r="O133" s="788">
        <v>42163</v>
      </c>
    </row>
    <row r="134" spans="1:15" x14ac:dyDescent="0.25">
      <c r="A134" s="786" t="s">
        <v>1110</v>
      </c>
      <c r="B134" s="787">
        <v>4</v>
      </c>
      <c r="C134" s="787" t="s">
        <v>1081</v>
      </c>
      <c r="D134" s="787">
        <v>0</v>
      </c>
      <c r="E134" s="787">
        <v>0</v>
      </c>
      <c r="H134" s="787">
        <v>1</v>
      </c>
      <c r="I134" s="788">
        <v>42082</v>
      </c>
      <c r="L134" s="787">
        <v>0.02</v>
      </c>
      <c r="M134" s="787">
        <v>20</v>
      </c>
      <c r="N134" s="787">
        <v>0.02</v>
      </c>
      <c r="O134" s="788">
        <v>42080</v>
      </c>
    </row>
    <row r="135" spans="1:15" x14ac:dyDescent="0.25">
      <c r="A135" s="786" t="s">
        <v>1111</v>
      </c>
      <c r="B135" s="787">
        <v>4</v>
      </c>
      <c r="C135" s="787" t="s">
        <v>1106</v>
      </c>
      <c r="D135" s="787">
        <v>0</v>
      </c>
      <c r="E135" s="787">
        <v>0</v>
      </c>
      <c r="H135" s="787">
        <v>1</v>
      </c>
      <c r="L135" s="787">
        <v>0.06</v>
      </c>
      <c r="M135" s="787">
        <v>20</v>
      </c>
      <c r="N135" s="787">
        <v>0.06</v>
      </c>
      <c r="O135" s="788">
        <v>41955</v>
      </c>
    </row>
    <row r="136" spans="1:15" x14ac:dyDescent="0.25">
      <c r="A136" s="786" t="s">
        <v>675</v>
      </c>
      <c r="B136" s="787">
        <v>4</v>
      </c>
      <c r="C136" s="787" t="s">
        <v>1071</v>
      </c>
      <c r="D136" s="787">
        <v>0.03</v>
      </c>
      <c r="E136" s="787">
        <v>0.03</v>
      </c>
      <c r="F136" s="788">
        <v>37635</v>
      </c>
      <c r="G136" s="788">
        <v>37635</v>
      </c>
      <c r="H136" s="787">
        <v>1</v>
      </c>
      <c r="I136" s="788">
        <v>41624</v>
      </c>
      <c r="J136" s="788">
        <v>37635</v>
      </c>
      <c r="L136" s="787">
        <v>0.03</v>
      </c>
      <c r="M136" s="787">
        <v>20</v>
      </c>
      <c r="N136" s="787">
        <v>0.03</v>
      </c>
      <c r="O136" s="788">
        <v>42072</v>
      </c>
    </row>
    <row r="137" spans="1:15" x14ac:dyDescent="0.25">
      <c r="A137" s="786" t="s">
        <v>1112</v>
      </c>
      <c r="B137" s="787">
        <v>4</v>
      </c>
      <c r="C137" s="787" t="s">
        <v>1071</v>
      </c>
      <c r="D137" s="787">
        <v>7.0000000000000007E-2</v>
      </c>
      <c r="E137" s="787">
        <v>7.0000000000000007E-2</v>
      </c>
      <c r="F137" s="788">
        <v>37635</v>
      </c>
      <c r="G137" s="788">
        <v>37635</v>
      </c>
      <c r="H137" s="787">
        <v>1</v>
      </c>
      <c r="I137" s="788">
        <v>41984</v>
      </c>
      <c r="J137" s="788">
        <v>37635</v>
      </c>
      <c r="L137" s="787">
        <v>0.08</v>
      </c>
      <c r="M137" s="787">
        <v>20</v>
      </c>
      <c r="N137" s="787">
        <v>0.09</v>
      </c>
      <c r="O137" s="788">
        <v>41955</v>
      </c>
    </row>
    <row r="138" spans="1:15" x14ac:dyDescent="0.25">
      <c r="A138" s="786" t="s">
        <v>1113</v>
      </c>
      <c r="B138" s="787">
        <v>4</v>
      </c>
      <c r="C138" s="787" t="s">
        <v>1071</v>
      </c>
      <c r="D138" s="787">
        <v>0.02</v>
      </c>
      <c r="E138" s="787">
        <v>0.02</v>
      </c>
      <c r="F138" s="788">
        <v>37635</v>
      </c>
      <c r="G138" s="788">
        <v>38526</v>
      </c>
      <c r="H138" s="787">
        <v>1</v>
      </c>
      <c r="I138" s="788">
        <v>42165</v>
      </c>
      <c r="J138" s="788">
        <v>39155</v>
      </c>
      <c r="L138" s="787">
        <v>0.02</v>
      </c>
      <c r="M138" s="787">
        <v>20</v>
      </c>
      <c r="N138" s="787">
        <v>0.02</v>
      </c>
      <c r="O138" s="788">
        <v>42144</v>
      </c>
    </row>
    <row r="139" spans="1:15" x14ac:dyDescent="0.25">
      <c r="A139" s="786" t="s">
        <v>1114</v>
      </c>
      <c r="B139" s="787">
        <v>4</v>
      </c>
      <c r="C139" s="787" t="s">
        <v>1071</v>
      </c>
      <c r="D139" s="787">
        <v>0.04</v>
      </c>
      <c r="E139" s="787">
        <v>0.04</v>
      </c>
      <c r="F139" s="788">
        <v>37635</v>
      </c>
      <c r="G139" s="788">
        <v>38364</v>
      </c>
      <c r="H139" s="787">
        <v>1</v>
      </c>
      <c r="I139" s="788">
        <v>41310</v>
      </c>
      <c r="J139" s="788">
        <v>39155</v>
      </c>
      <c r="L139" s="787">
        <v>0.04</v>
      </c>
      <c r="M139" s="787">
        <v>20</v>
      </c>
      <c r="N139" s="787">
        <v>0.04</v>
      </c>
      <c r="O139" s="788">
        <v>41955</v>
      </c>
    </row>
    <row r="140" spans="1:15" x14ac:dyDescent="0.25">
      <c r="A140" s="786" t="s">
        <v>1115</v>
      </c>
      <c r="B140" s="787">
        <v>4</v>
      </c>
      <c r="C140" s="787" t="s">
        <v>1071</v>
      </c>
      <c r="D140" s="787">
        <v>0</v>
      </c>
      <c r="E140" s="787">
        <v>0</v>
      </c>
      <c r="H140" s="787">
        <v>1</v>
      </c>
      <c r="I140" s="788">
        <v>42150</v>
      </c>
      <c r="K140" s="788">
        <v>40920</v>
      </c>
      <c r="L140" s="787">
        <v>0.01</v>
      </c>
      <c r="M140" s="787">
        <v>20</v>
      </c>
      <c r="N140" s="787">
        <v>0.01</v>
      </c>
      <c r="O140" s="788">
        <v>42164</v>
      </c>
    </row>
    <row r="141" spans="1:15" x14ac:dyDescent="0.25">
      <c r="A141" s="786" t="s">
        <v>1116</v>
      </c>
      <c r="B141" s="787">
        <v>4</v>
      </c>
      <c r="C141" s="787" t="s">
        <v>1071</v>
      </c>
      <c r="D141" s="787">
        <v>0</v>
      </c>
      <c r="E141" s="787">
        <v>0</v>
      </c>
      <c r="H141" s="787">
        <v>1</v>
      </c>
      <c r="I141" s="788">
        <v>42150</v>
      </c>
      <c r="K141" s="788">
        <v>40920</v>
      </c>
      <c r="L141" s="787">
        <v>0.01</v>
      </c>
      <c r="M141" s="787">
        <v>20</v>
      </c>
      <c r="N141" s="787">
        <v>0.01</v>
      </c>
      <c r="O141" s="788">
        <v>42164</v>
      </c>
    </row>
    <row r="142" spans="1:15" x14ac:dyDescent="0.25">
      <c r="A142" s="786" t="s">
        <v>1117</v>
      </c>
      <c r="B142" s="787">
        <v>4</v>
      </c>
      <c r="C142" s="787" t="s">
        <v>1081</v>
      </c>
      <c r="D142" s="787">
        <v>0</v>
      </c>
      <c r="E142" s="787">
        <v>0</v>
      </c>
      <c r="H142" s="787">
        <v>1</v>
      </c>
      <c r="I142" s="788">
        <v>42159</v>
      </c>
      <c r="L142" s="787">
        <v>0.03</v>
      </c>
      <c r="M142" s="787">
        <v>20</v>
      </c>
      <c r="N142" s="787">
        <v>0.03</v>
      </c>
      <c r="O142" s="788">
        <v>42152</v>
      </c>
    </row>
    <row r="143" spans="1:15" x14ac:dyDescent="0.25">
      <c r="A143" s="786" t="s">
        <v>1118</v>
      </c>
      <c r="B143" s="787">
        <v>4</v>
      </c>
      <c r="C143" s="787" t="s">
        <v>1119</v>
      </c>
      <c r="D143" s="787">
        <v>0</v>
      </c>
      <c r="E143" s="787">
        <v>0</v>
      </c>
      <c r="H143" s="787">
        <v>1</v>
      </c>
      <c r="I143" s="788">
        <v>42027</v>
      </c>
      <c r="L143" s="787">
        <v>0.06</v>
      </c>
      <c r="M143" s="787">
        <v>20</v>
      </c>
      <c r="N143" s="787">
        <v>0.06</v>
      </c>
      <c r="O143" s="788">
        <v>42072</v>
      </c>
    </row>
    <row r="144" spans="1:15" x14ac:dyDescent="0.25">
      <c r="A144" s="786" t="s">
        <v>1120</v>
      </c>
      <c r="B144" s="787">
        <v>4</v>
      </c>
      <c r="C144" s="787" t="s">
        <v>1081</v>
      </c>
      <c r="D144" s="787">
        <v>0</v>
      </c>
      <c r="E144" s="787">
        <v>0</v>
      </c>
      <c r="H144" s="787">
        <v>1</v>
      </c>
      <c r="I144" s="788">
        <v>42082</v>
      </c>
      <c r="L144" s="787">
        <v>0.02</v>
      </c>
      <c r="M144" s="787">
        <v>20</v>
      </c>
      <c r="N144" s="787">
        <v>0.02</v>
      </c>
      <c r="O144" s="788">
        <v>42080</v>
      </c>
    </row>
    <row r="145" spans="1:15" x14ac:dyDescent="0.25">
      <c r="A145" s="786" t="s">
        <v>1121</v>
      </c>
      <c r="B145" s="787">
        <v>4</v>
      </c>
      <c r="C145" s="787" t="s">
        <v>1078</v>
      </c>
      <c r="D145" s="787">
        <v>0</v>
      </c>
      <c r="E145" s="787">
        <v>0</v>
      </c>
      <c r="H145" s="787">
        <v>1</v>
      </c>
      <c r="L145" s="787">
        <v>1</v>
      </c>
      <c r="M145" s="787">
        <v>20</v>
      </c>
      <c r="N145" s="787">
        <v>1.08</v>
      </c>
      <c r="O145" s="788">
        <v>41955</v>
      </c>
    </row>
    <row r="146" spans="1:15" x14ac:dyDescent="0.25">
      <c r="A146" s="786" t="s">
        <v>1122</v>
      </c>
      <c r="B146" s="787">
        <v>4</v>
      </c>
      <c r="C146" s="787" t="s">
        <v>1078</v>
      </c>
      <c r="D146" s="787">
        <v>0</v>
      </c>
      <c r="E146" s="787">
        <v>0</v>
      </c>
      <c r="H146" s="787">
        <v>1</v>
      </c>
      <c r="I146" s="788">
        <v>41886</v>
      </c>
      <c r="L146" s="787">
        <v>0.1</v>
      </c>
      <c r="M146" s="787">
        <v>20</v>
      </c>
      <c r="N146" s="787">
        <v>0.11</v>
      </c>
      <c r="O146" s="788">
        <v>42163</v>
      </c>
    </row>
    <row r="147" spans="1:15" x14ac:dyDescent="0.25">
      <c r="A147" s="786" t="s">
        <v>1123</v>
      </c>
      <c r="B147" s="787">
        <v>4</v>
      </c>
      <c r="C147" s="787" t="s">
        <v>1081</v>
      </c>
      <c r="D147" s="787">
        <v>0</v>
      </c>
      <c r="E147" s="787">
        <v>0</v>
      </c>
      <c r="H147" s="787">
        <v>1</v>
      </c>
      <c r="I147" s="788">
        <v>42156</v>
      </c>
      <c r="L147" s="787">
        <v>0.03</v>
      </c>
      <c r="M147" s="787">
        <v>20</v>
      </c>
      <c r="N147" s="787">
        <v>0.03</v>
      </c>
      <c r="O147" s="788">
        <v>42146</v>
      </c>
    </row>
    <row r="148" spans="1:15" x14ac:dyDescent="0.25">
      <c r="A148" s="786" t="s">
        <v>1124</v>
      </c>
      <c r="B148" s="787">
        <v>4</v>
      </c>
      <c r="C148" s="787" t="s">
        <v>1081</v>
      </c>
      <c r="D148" s="787">
        <v>0</v>
      </c>
      <c r="E148" s="787">
        <v>0</v>
      </c>
      <c r="H148" s="787">
        <v>1</v>
      </c>
      <c r="L148" s="787">
        <v>0.06</v>
      </c>
      <c r="M148" s="787">
        <v>20</v>
      </c>
      <c r="N148" s="787">
        <v>0.06</v>
      </c>
      <c r="O148" s="788">
        <v>41996</v>
      </c>
    </row>
    <row r="149" spans="1:15" x14ac:dyDescent="0.25">
      <c r="A149" s="786" t="s">
        <v>1125</v>
      </c>
      <c r="B149" s="787">
        <v>4</v>
      </c>
      <c r="C149" s="787" t="s">
        <v>1096</v>
      </c>
      <c r="D149" s="787">
        <v>0</v>
      </c>
      <c r="E149" s="787">
        <v>0</v>
      </c>
      <c r="H149" s="787">
        <v>1</v>
      </c>
      <c r="L149" s="787">
        <v>0.04</v>
      </c>
      <c r="M149" s="787">
        <v>20</v>
      </c>
      <c r="N149" s="787">
        <v>0.04</v>
      </c>
      <c r="O149" s="788">
        <v>41996</v>
      </c>
    </row>
    <row r="150" spans="1:15" x14ac:dyDescent="0.25">
      <c r="A150" s="786" t="s">
        <v>1126</v>
      </c>
      <c r="B150" s="787">
        <v>4</v>
      </c>
      <c r="C150" s="787" t="s">
        <v>1081</v>
      </c>
      <c r="D150" s="787">
        <v>0</v>
      </c>
      <c r="E150" s="787">
        <v>0</v>
      </c>
      <c r="H150" s="787">
        <v>1</v>
      </c>
      <c r="L150" s="787">
        <v>0.04</v>
      </c>
      <c r="M150" s="787">
        <v>20</v>
      </c>
      <c r="N150" s="787">
        <v>0.04</v>
      </c>
      <c r="O150" s="788">
        <v>41955</v>
      </c>
    </row>
    <row r="151" spans="1:15" x14ac:dyDescent="0.25">
      <c r="A151" s="786" t="s">
        <v>1127</v>
      </c>
      <c r="B151" s="787">
        <v>4</v>
      </c>
      <c r="C151" s="787" t="s">
        <v>1081</v>
      </c>
      <c r="D151" s="787">
        <v>0</v>
      </c>
      <c r="E151" s="787">
        <v>0</v>
      </c>
      <c r="H151" s="787">
        <v>1</v>
      </c>
      <c r="I151" s="788">
        <v>42073</v>
      </c>
      <c r="L151" s="787">
        <v>0.1</v>
      </c>
      <c r="M151" s="787">
        <v>20</v>
      </c>
      <c r="N151" s="787">
        <v>0.11</v>
      </c>
      <c r="O151" s="788">
        <v>42108</v>
      </c>
    </row>
    <row r="152" spans="1:15" x14ac:dyDescent="0.25">
      <c r="A152" s="786" t="s">
        <v>1128</v>
      </c>
      <c r="B152" s="787">
        <v>4</v>
      </c>
      <c r="C152" s="787" t="s">
        <v>1129</v>
      </c>
      <c r="D152" s="787">
        <v>0</v>
      </c>
      <c r="E152" s="787">
        <v>0</v>
      </c>
      <c r="G152" s="787" t="s">
        <v>1067</v>
      </c>
      <c r="H152" s="787">
        <v>6</v>
      </c>
      <c r="L152" s="787">
        <v>0</v>
      </c>
      <c r="M152" s="787">
        <v>20</v>
      </c>
      <c r="N152" s="787">
        <v>0</v>
      </c>
      <c r="O152" s="788">
        <v>40824</v>
      </c>
    </row>
    <row r="153" spans="1:15" x14ac:dyDescent="0.25">
      <c r="A153" s="786" t="s">
        <v>1130</v>
      </c>
      <c r="B153" s="787">
        <v>4</v>
      </c>
      <c r="C153" s="787" t="s">
        <v>1131</v>
      </c>
      <c r="D153" s="787">
        <v>0.03</v>
      </c>
      <c r="E153" s="787">
        <v>0.03</v>
      </c>
      <c r="F153" s="788">
        <v>38525</v>
      </c>
      <c r="G153" s="788">
        <v>38525</v>
      </c>
      <c r="H153" s="787">
        <v>1</v>
      </c>
      <c r="I153" s="788">
        <v>41975</v>
      </c>
      <c r="J153" s="788">
        <v>39155</v>
      </c>
      <c r="K153" s="788">
        <v>41869</v>
      </c>
      <c r="L153" s="787">
        <v>0.03</v>
      </c>
      <c r="M153" s="787">
        <v>20</v>
      </c>
      <c r="N153" s="787">
        <v>0.03</v>
      </c>
      <c r="O153" s="788">
        <v>41955</v>
      </c>
    </row>
    <row r="154" spans="1:15" x14ac:dyDescent="0.25">
      <c r="A154" s="786" t="s">
        <v>1132</v>
      </c>
      <c r="B154" s="787">
        <v>4</v>
      </c>
      <c r="C154" s="787" t="s">
        <v>1133</v>
      </c>
      <c r="D154" s="787">
        <v>0.04</v>
      </c>
      <c r="E154" s="787">
        <v>0.04</v>
      </c>
      <c r="F154" s="788">
        <v>38047</v>
      </c>
      <c r="G154" s="788">
        <v>38364</v>
      </c>
      <c r="H154" s="787">
        <v>1</v>
      </c>
      <c r="I154" s="788">
        <v>42137</v>
      </c>
      <c r="J154" s="788">
        <v>39155</v>
      </c>
      <c r="L154" s="787">
        <v>0.04</v>
      </c>
      <c r="M154" s="787">
        <v>20</v>
      </c>
      <c r="N154" s="787">
        <v>0.04</v>
      </c>
      <c r="O154" s="788">
        <v>42053</v>
      </c>
    </row>
    <row r="155" spans="1:15" x14ac:dyDescent="0.25">
      <c r="A155" s="786" t="s">
        <v>1134</v>
      </c>
      <c r="B155" s="787">
        <v>4</v>
      </c>
      <c r="C155" s="787" t="s">
        <v>1135</v>
      </c>
      <c r="D155" s="787">
        <v>0</v>
      </c>
      <c r="E155" s="787">
        <v>0</v>
      </c>
      <c r="G155" s="788">
        <v>41932</v>
      </c>
      <c r="H155" s="787">
        <v>1</v>
      </c>
      <c r="I155" s="788">
        <v>42144</v>
      </c>
      <c r="J155" s="788">
        <v>41932</v>
      </c>
      <c r="K155" s="788">
        <v>42023</v>
      </c>
      <c r="L155" s="787">
        <v>0.05</v>
      </c>
      <c r="M155" s="787">
        <v>20</v>
      </c>
      <c r="N155" s="787">
        <v>0.05</v>
      </c>
      <c r="O155" s="788">
        <v>42156</v>
      </c>
    </row>
    <row r="156" spans="1:15" x14ac:dyDescent="0.25">
      <c r="A156" s="786" t="s">
        <v>1136</v>
      </c>
      <c r="B156" s="787">
        <v>4</v>
      </c>
      <c r="C156" s="787" t="s">
        <v>1137</v>
      </c>
      <c r="D156" s="787">
        <v>0.06</v>
      </c>
      <c r="E156" s="787">
        <v>0.06</v>
      </c>
      <c r="F156" s="788">
        <v>37635</v>
      </c>
      <c r="G156" s="788">
        <v>38364</v>
      </c>
      <c r="H156" s="787">
        <v>1</v>
      </c>
      <c r="I156" s="788">
        <v>41967</v>
      </c>
      <c r="J156" s="788">
        <v>37635</v>
      </c>
      <c r="L156" s="787">
        <v>0.06</v>
      </c>
      <c r="M156" s="787">
        <v>20</v>
      </c>
      <c r="N156" s="787">
        <v>0.06</v>
      </c>
      <c r="O156" s="788">
        <v>41955</v>
      </c>
    </row>
    <row r="157" spans="1:15" x14ac:dyDescent="0.25">
      <c r="A157" s="786" t="s">
        <v>1138</v>
      </c>
      <c r="B157" s="787">
        <v>4</v>
      </c>
      <c r="C157" s="787" t="s">
        <v>1137</v>
      </c>
      <c r="D157" s="787">
        <v>0.09</v>
      </c>
      <c r="E157" s="787">
        <v>0.09</v>
      </c>
      <c r="F157" s="788">
        <v>37635</v>
      </c>
      <c r="G157" s="788">
        <v>38364</v>
      </c>
      <c r="H157" s="787">
        <v>1</v>
      </c>
      <c r="I157" s="788">
        <v>42058</v>
      </c>
      <c r="J157" s="788">
        <v>39155</v>
      </c>
      <c r="L157" s="787">
        <v>0.09</v>
      </c>
      <c r="M157" s="787">
        <v>20</v>
      </c>
      <c r="N157" s="787">
        <v>0.1</v>
      </c>
      <c r="O157" s="788">
        <v>41955</v>
      </c>
    </row>
    <row r="158" spans="1:15" x14ac:dyDescent="0.25">
      <c r="A158" s="786" t="s">
        <v>1139</v>
      </c>
      <c r="B158" s="787">
        <v>4</v>
      </c>
      <c r="C158" s="787" t="s">
        <v>1137</v>
      </c>
      <c r="D158" s="787">
        <v>0.04</v>
      </c>
      <c r="E158" s="787">
        <v>0.04</v>
      </c>
      <c r="F158" s="788">
        <v>38047</v>
      </c>
      <c r="G158" s="788">
        <v>38364</v>
      </c>
      <c r="H158" s="787">
        <v>1</v>
      </c>
      <c r="I158" s="788">
        <v>42146</v>
      </c>
      <c r="J158" s="788">
        <v>39155</v>
      </c>
      <c r="L158" s="787">
        <v>0.04</v>
      </c>
      <c r="M158" s="787">
        <v>20</v>
      </c>
      <c r="N158" s="787">
        <v>0.04</v>
      </c>
      <c r="O158" s="788">
        <v>42163</v>
      </c>
    </row>
    <row r="159" spans="1:15" x14ac:dyDescent="0.25">
      <c r="A159" s="786" t="s">
        <v>1140</v>
      </c>
      <c r="B159" s="787">
        <v>4</v>
      </c>
      <c r="C159" s="787" t="s">
        <v>1137</v>
      </c>
      <c r="D159" s="787">
        <v>0</v>
      </c>
      <c r="E159" s="787">
        <v>0</v>
      </c>
      <c r="H159" s="787">
        <v>1</v>
      </c>
      <c r="L159" s="787">
        <v>0</v>
      </c>
      <c r="M159" s="787">
        <v>20</v>
      </c>
      <c r="N159" s="787">
        <v>0.01</v>
      </c>
      <c r="O159" s="788">
        <v>41955</v>
      </c>
    </row>
    <row r="160" spans="1:15" x14ac:dyDescent="0.25">
      <c r="A160" s="786" t="s">
        <v>1141</v>
      </c>
      <c r="B160" s="787">
        <v>4</v>
      </c>
      <c r="C160" s="787" t="s">
        <v>1137</v>
      </c>
      <c r="D160" s="787">
        <v>7.0000000000000007E-2</v>
      </c>
      <c r="E160" s="787">
        <v>7.0000000000000007E-2</v>
      </c>
      <c r="F160" s="788">
        <v>38047</v>
      </c>
      <c r="G160" s="788">
        <v>38364</v>
      </c>
      <c r="H160" s="787">
        <v>1</v>
      </c>
      <c r="I160" s="788">
        <v>42103</v>
      </c>
      <c r="J160" s="788">
        <v>39155</v>
      </c>
      <c r="L160" s="787">
        <v>0.08</v>
      </c>
      <c r="M160" s="787">
        <v>20</v>
      </c>
      <c r="N160" s="787">
        <v>0.09</v>
      </c>
      <c r="O160" s="788">
        <v>42163</v>
      </c>
    </row>
    <row r="161" spans="1:15" x14ac:dyDescent="0.25">
      <c r="A161" s="786" t="s">
        <v>1142</v>
      </c>
      <c r="B161" s="787">
        <v>4</v>
      </c>
      <c r="C161" s="787" t="s">
        <v>1137</v>
      </c>
      <c r="D161" s="787">
        <v>0.04</v>
      </c>
      <c r="E161" s="787">
        <v>0.04</v>
      </c>
      <c r="F161" s="788">
        <v>37635</v>
      </c>
      <c r="G161" s="788">
        <v>38364</v>
      </c>
      <c r="H161" s="787">
        <v>1</v>
      </c>
      <c r="I161" s="788">
        <v>42093</v>
      </c>
      <c r="J161" s="788">
        <v>39155</v>
      </c>
      <c r="L161" s="787">
        <v>0.04</v>
      </c>
      <c r="M161" s="787">
        <v>20</v>
      </c>
      <c r="N161" s="787">
        <v>0.04</v>
      </c>
      <c r="O161" s="788">
        <v>42163</v>
      </c>
    </row>
    <row r="162" spans="1:15" x14ac:dyDescent="0.25">
      <c r="A162" s="786" t="s">
        <v>1143</v>
      </c>
      <c r="B162" s="787">
        <v>4</v>
      </c>
      <c r="C162" s="787" t="s">
        <v>1144</v>
      </c>
      <c r="D162" s="787">
        <v>0.05</v>
      </c>
      <c r="E162" s="787">
        <v>0.05</v>
      </c>
      <c r="F162" s="788">
        <v>38047</v>
      </c>
      <c r="G162" s="788">
        <v>38047</v>
      </c>
      <c r="H162" s="787">
        <v>1</v>
      </c>
      <c r="I162" s="788">
        <v>42166</v>
      </c>
      <c r="J162" s="788">
        <v>39155</v>
      </c>
      <c r="K162" s="788">
        <v>41680</v>
      </c>
      <c r="L162" s="787">
        <v>0.05</v>
      </c>
      <c r="M162" s="787">
        <v>20</v>
      </c>
      <c r="N162" s="787">
        <v>0.05</v>
      </c>
      <c r="O162" s="788">
        <v>42162</v>
      </c>
    </row>
    <row r="163" spans="1:15" x14ac:dyDescent="0.25">
      <c r="A163" s="786" t="s">
        <v>1145</v>
      </c>
      <c r="B163" s="787">
        <v>4</v>
      </c>
      <c r="C163" s="787" t="s">
        <v>1146</v>
      </c>
      <c r="D163" s="787">
        <v>0.02</v>
      </c>
      <c r="E163" s="787">
        <v>0.02</v>
      </c>
      <c r="F163" s="788">
        <v>38047</v>
      </c>
      <c r="G163" s="788">
        <v>38364</v>
      </c>
      <c r="H163" s="787">
        <v>1</v>
      </c>
      <c r="I163" s="788">
        <v>42163</v>
      </c>
      <c r="J163" s="788">
        <v>39155</v>
      </c>
      <c r="L163" s="787">
        <v>0.02</v>
      </c>
      <c r="M163" s="787">
        <v>20</v>
      </c>
      <c r="N163" s="787">
        <v>0.02</v>
      </c>
      <c r="O163" s="788">
        <v>42146</v>
      </c>
    </row>
    <row r="164" spans="1:15" x14ac:dyDescent="0.25">
      <c r="A164" s="786" t="s">
        <v>1147</v>
      </c>
      <c r="B164" s="787">
        <v>4</v>
      </c>
      <c r="C164" s="787" t="s">
        <v>1137</v>
      </c>
      <c r="D164" s="787">
        <v>0.17</v>
      </c>
      <c r="E164" s="787">
        <v>0.17</v>
      </c>
      <c r="F164" s="788">
        <v>38047</v>
      </c>
      <c r="G164" s="788">
        <v>38364</v>
      </c>
      <c r="H164" s="787">
        <v>1</v>
      </c>
      <c r="I164" s="788">
        <v>39155</v>
      </c>
      <c r="J164" s="788">
        <v>39155</v>
      </c>
      <c r="L164" s="787">
        <v>0.17</v>
      </c>
      <c r="M164" s="787">
        <v>20</v>
      </c>
      <c r="N164" s="787">
        <v>0.18</v>
      </c>
      <c r="O164" s="788">
        <v>41955</v>
      </c>
    </row>
    <row r="165" spans="1:15" x14ac:dyDescent="0.25">
      <c r="A165" s="786" t="s">
        <v>1148</v>
      </c>
      <c r="B165" s="787">
        <v>4</v>
      </c>
      <c r="C165" s="787" t="s">
        <v>1149</v>
      </c>
      <c r="D165" s="787">
        <v>0</v>
      </c>
      <c r="E165" s="787">
        <v>0</v>
      </c>
      <c r="H165" s="787">
        <v>1</v>
      </c>
      <c r="I165" s="788">
        <v>42114</v>
      </c>
      <c r="K165" s="788">
        <v>41907</v>
      </c>
      <c r="L165" s="787">
        <v>0.1</v>
      </c>
      <c r="M165" s="787">
        <v>20</v>
      </c>
      <c r="N165" s="787">
        <v>0.11</v>
      </c>
      <c r="O165" s="788">
        <v>42162</v>
      </c>
    </row>
    <row r="166" spans="1:15" x14ac:dyDescent="0.25">
      <c r="A166" s="786" t="s">
        <v>1150</v>
      </c>
      <c r="B166" s="787">
        <v>4</v>
      </c>
      <c r="C166" s="787" t="s">
        <v>1137</v>
      </c>
      <c r="D166" s="787">
        <v>0</v>
      </c>
      <c r="E166" s="787">
        <v>0</v>
      </c>
      <c r="H166" s="787">
        <v>1</v>
      </c>
      <c r="I166" s="788">
        <v>42102</v>
      </c>
      <c r="K166" s="788">
        <v>40892</v>
      </c>
      <c r="L166" s="787">
        <v>0.1</v>
      </c>
      <c r="M166" s="787">
        <v>20</v>
      </c>
      <c r="N166" s="787">
        <v>0.11</v>
      </c>
      <c r="O166" s="788">
        <v>42163</v>
      </c>
    </row>
    <row r="167" spans="1:15" x14ac:dyDescent="0.25">
      <c r="A167" s="786" t="s">
        <v>1151</v>
      </c>
      <c r="B167" s="787">
        <v>4</v>
      </c>
      <c r="C167" s="787" t="s">
        <v>1137</v>
      </c>
      <c r="D167" s="787">
        <v>0.21</v>
      </c>
      <c r="E167" s="787">
        <v>0.21</v>
      </c>
      <c r="F167" s="788">
        <v>37635</v>
      </c>
      <c r="G167" s="788">
        <v>38364</v>
      </c>
      <c r="H167" s="787">
        <v>1</v>
      </c>
      <c r="I167" s="788">
        <v>42096</v>
      </c>
      <c r="J167" s="788">
        <v>39155</v>
      </c>
      <c r="L167" s="787">
        <v>0.21</v>
      </c>
      <c r="M167" s="787">
        <v>20</v>
      </c>
      <c r="N167" s="787">
        <v>0.23</v>
      </c>
      <c r="O167" s="788">
        <v>41955</v>
      </c>
    </row>
    <row r="168" spans="1:15" x14ac:dyDescent="0.25">
      <c r="A168" s="786" t="s">
        <v>1152</v>
      </c>
      <c r="B168" s="787">
        <v>4</v>
      </c>
      <c r="C168" s="787" t="s">
        <v>1137</v>
      </c>
      <c r="D168" s="787">
        <v>0.17</v>
      </c>
      <c r="E168" s="787">
        <v>0.17</v>
      </c>
      <c r="F168" s="788">
        <v>37635</v>
      </c>
      <c r="G168" s="788">
        <v>37635</v>
      </c>
      <c r="H168" s="787">
        <v>1</v>
      </c>
      <c r="I168" s="788">
        <v>42165</v>
      </c>
      <c r="J168" s="788">
        <v>37635</v>
      </c>
      <c r="K168" s="788">
        <v>41781</v>
      </c>
      <c r="L168" s="787">
        <v>0.17</v>
      </c>
      <c r="M168" s="787">
        <v>20</v>
      </c>
      <c r="N168" s="787">
        <v>0.18</v>
      </c>
      <c r="O168" s="788">
        <v>42162</v>
      </c>
    </row>
    <row r="169" spans="1:15" x14ac:dyDescent="0.25">
      <c r="A169" s="786" t="s">
        <v>1153</v>
      </c>
      <c r="B169" s="787">
        <v>4</v>
      </c>
      <c r="C169" s="787" t="s">
        <v>1154</v>
      </c>
      <c r="D169" s="787">
        <v>0.05</v>
      </c>
      <c r="E169" s="787">
        <v>0.17</v>
      </c>
      <c r="F169" s="788">
        <v>38047</v>
      </c>
      <c r="G169" s="788">
        <v>38364</v>
      </c>
      <c r="H169" s="787">
        <v>1</v>
      </c>
      <c r="I169" s="788">
        <v>42065</v>
      </c>
      <c r="J169" s="788">
        <v>39155</v>
      </c>
      <c r="L169" s="787">
        <v>0.19</v>
      </c>
      <c r="M169" s="787">
        <v>20</v>
      </c>
      <c r="N169" s="787">
        <v>0.2</v>
      </c>
      <c r="O169" s="788">
        <v>42162</v>
      </c>
    </row>
    <row r="170" spans="1:15" x14ac:dyDescent="0.25">
      <c r="A170" s="786" t="s">
        <v>1155</v>
      </c>
      <c r="B170" s="787">
        <v>4</v>
      </c>
      <c r="C170" s="787" t="s">
        <v>1156</v>
      </c>
      <c r="D170" s="787">
        <v>0</v>
      </c>
      <c r="E170" s="787">
        <v>0</v>
      </c>
      <c r="H170" s="787">
        <v>1</v>
      </c>
      <c r="I170" s="788">
        <v>42046</v>
      </c>
      <c r="L170" s="787">
        <v>0.01</v>
      </c>
      <c r="M170" s="787">
        <v>20</v>
      </c>
      <c r="N170" s="787">
        <v>0.01</v>
      </c>
      <c r="O170" s="788">
        <v>42165</v>
      </c>
    </row>
    <row r="171" spans="1:15" x14ac:dyDescent="0.25">
      <c r="A171" s="786" t="s">
        <v>1157</v>
      </c>
      <c r="B171" s="787">
        <v>4</v>
      </c>
      <c r="C171" s="787" t="s">
        <v>1158</v>
      </c>
      <c r="D171" s="787">
        <v>0</v>
      </c>
      <c r="E171" s="787">
        <v>0</v>
      </c>
      <c r="H171" s="787">
        <v>1</v>
      </c>
      <c r="I171" s="788">
        <v>42048</v>
      </c>
      <c r="L171" s="787">
        <v>0.2</v>
      </c>
      <c r="M171" s="787">
        <v>20</v>
      </c>
      <c r="N171" s="787">
        <v>0.22</v>
      </c>
      <c r="O171" s="788">
        <v>42047</v>
      </c>
    </row>
    <row r="172" spans="1:15" x14ac:dyDescent="0.25">
      <c r="A172" s="786" t="s">
        <v>1159</v>
      </c>
      <c r="B172" s="787">
        <v>4</v>
      </c>
      <c r="C172" s="787" t="s">
        <v>1137</v>
      </c>
      <c r="D172" s="787">
        <v>0.13</v>
      </c>
      <c r="E172" s="787">
        <v>0.13</v>
      </c>
      <c r="F172" s="788">
        <v>37635</v>
      </c>
      <c r="G172" s="788">
        <v>38364</v>
      </c>
      <c r="H172" s="787">
        <v>1</v>
      </c>
      <c r="I172" s="788">
        <v>42166</v>
      </c>
      <c r="J172" s="788">
        <v>39155</v>
      </c>
      <c r="L172" s="787">
        <v>0.14000000000000001</v>
      </c>
      <c r="M172" s="787">
        <v>20</v>
      </c>
      <c r="N172" s="787">
        <v>0.15</v>
      </c>
      <c r="O172" s="788">
        <v>42163</v>
      </c>
    </row>
    <row r="173" spans="1:15" x14ac:dyDescent="0.25">
      <c r="A173" s="786" t="s">
        <v>1160</v>
      </c>
      <c r="B173" s="787">
        <v>4</v>
      </c>
      <c r="C173" s="787" t="s">
        <v>1137</v>
      </c>
      <c r="D173" s="787">
        <v>0.15</v>
      </c>
      <c r="E173" s="787">
        <v>0.15</v>
      </c>
      <c r="F173" s="788">
        <v>38047</v>
      </c>
      <c r="G173" s="788">
        <v>38364</v>
      </c>
      <c r="H173" s="787">
        <v>1</v>
      </c>
      <c r="I173" s="788">
        <v>41956</v>
      </c>
      <c r="J173" s="788">
        <v>39155</v>
      </c>
      <c r="L173" s="787">
        <v>0.15</v>
      </c>
      <c r="M173" s="787">
        <v>20</v>
      </c>
      <c r="N173" s="787">
        <v>0.16</v>
      </c>
      <c r="O173" s="788">
        <v>41955</v>
      </c>
    </row>
    <row r="174" spans="1:15" x14ac:dyDescent="0.25">
      <c r="A174" s="786" t="s">
        <v>619</v>
      </c>
      <c r="B174" s="787">
        <v>4</v>
      </c>
      <c r="C174" s="787" t="s">
        <v>1161</v>
      </c>
      <c r="D174" s="787">
        <v>0.18</v>
      </c>
      <c r="E174" s="787">
        <v>0.63</v>
      </c>
      <c r="F174" s="788">
        <v>37635</v>
      </c>
      <c r="G174" s="788">
        <v>38646</v>
      </c>
      <c r="H174" s="787">
        <v>1</v>
      </c>
      <c r="I174" s="788">
        <v>42165</v>
      </c>
      <c r="J174" s="788">
        <v>39155</v>
      </c>
      <c r="K174" s="788">
        <v>41865</v>
      </c>
      <c r="L174" s="787">
        <v>0.63</v>
      </c>
      <c r="M174" s="787">
        <v>20</v>
      </c>
      <c r="N174" s="787">
        <v>0.68</v>
      </c>
      <c r="O174" s="788">
        <v>41955</v>
      </c>
    </row>
    <row r="175" spans="1:15" x14ac:dyDescent="0.25">
      <c r="A175" s="786" t="s">
        <v>1162</v>
      </c>
      <c r="B175" s="787">
        <v>4</v>
      </c>
      <c r="C175" s="787" t="s">
        <v>1137</v>
      </c>
      <c r="D175" s="787">
        <v>0</v>
      </c>
      <c r="E175" s="787">
        <v>0</v>
      </c>
      <c r="H175" s="787">
        <v>1</v>
      </c>
      <c r="I175" s="788">
        <v>42144</v>
      </c>
      <c r="L175" s="787">
        <v>0.2</v>
      </c>
      <c r="M175" s="787">
        <v>20</v>
      </c>
      <c r="N175" s="787">
        <v>0</v>
      </c>
    </row>
    <row r="176" spans="1:15" x14ac:dyDescent="0.25">
      <c r="A176" s="786" t="s">
        <v>1163</v>
      </c>
      <c r="B176" s="787">
        <v>4</v>
      </c>
      <c r="C176" s="787" t="s">
        <v>1137</v>
      </c>
      <c r="D176" s="787">
        <v>0.05</v>
      </c>
      <c r="E176" s="787">
        <v>0.05</v>
      </c>
      <c r="F176" s="788">
        <v>37635</v>
      </c>
      <c r="G176" s="788">
        <v>38364</v>
      </c>
      <c r="H176" s="787">
        <v>1</v>
      </c>
      <c r="I176" s="788">
        <v>42016</v>
      </c>
      <c r="J176" s="788">
        <v>39155</v>
      </c>
      <c r="L176" s="787">
        <v>0.05</v>
      </c>
      <c r="M176" s="787">
        <v>20</v>
      </c>
      <c r="N176" s="787">
        <v>0.05</v>
      </c>
      <c r="O176" s="788">
        <v>41955</v>
      </c>
    </row>
    <row r="177" spans="1:15" x14ac:dyDescent="0.25">
      <c r="A177" s="786" t="s">
        <v>1164</v>
      </c>
      <c r="B177" s="787">
        <v>4</v>
      </c>
      <c r="C177" s="787" t="s">
        <v>1137</v>
      </c>
      <c r="D177" s="787">
        <v>0.08</v>
      </c>
      <c r="E177" s="787">
        <v>0.08</v>
      </c>
      <c r="F177" s="788">
        <v>38538</v>
      </c>
      <c r="G177" s="788">
        <v>38553</v>
      </c>
      <c r="H177" s="787">
        <v>1</v>
      </c>
      <c r="I177" s="788">
        <v>41957</v>
      </c>
      <c r="J177" s="788">
        <v>39155</v>
      </c>
      <c r="K177" s="788">
        <v>41869</v>
      </c>
      <c r="L177" s="787">
        <v>0.08</v>
      </c>
      <c r="M177" s="787">
        <v>20</v>
      </c>
      <c r="N177" s="787">
        <v>0.09</v>
      </c>
      <c r="O177" s="788">
        <v>41955</v>
      </c>
    </row>
    <row r="178" spans="1:15" x14ac:dyDescent="0.25">
      <c r="A178" s="786" t="s">
        <v>1165</v>
      </c>
      <c r="B178" s="787">
        <v>4</v>
      </c>
      <c r="C178" s="787" t="s">
        <v>1137</v>
      </c>
      <c r="D178" s="787">
        <v>0.13</v>
      </c>
      <c r="E178" s="787">
        <v>0.13</v>
      </c>
      <c r="F178" s="788">
        <v>37635</v>
      </c>
      <c r="G178" s="788">
        <v>38364</v>
      </c>
      <c r="H178" s="787">
        <v>1</v>
      </c>
      <c r="I178" s="788">
        <v>41957</v>
      </c>
      <c r="J178" s="788">
        <v>39155</v>
      </c>
      <c r="L178" s="787">
        <v>0.14000000000000001</v>
      </c>
      <c r="M178" s="787">
        <v>20</v>
      </c>
      <c r="N178" s="787">
        <v>0.15</v>
      </c>
      <c r="O178" s="788">
        <v>41955</v>
      </c>
    </row>
    <row r="179" spans="1:15" x14ac:dyDescent="0.25">
      <c r="A179" s="786" t="s">
        <v>1166</v>
      </c>
      <c r="B179" s="787">
        <v>4</v>
      </c>
      <c r="C179" s="787" t="s">
        <v>1137</v>
      </c>
      <c r="D179" s="787">
        <v>0.26</v>
      </c>
      <c r="E179" s="787">
        <v>0.26</v>
      </c>
      <c r="F179" s="788">
        <v>37635</v>
      </c>
      <c r="G179" s="788">
        <v>38364</v>
      </c>
      <c r="H179" s="787">
        <v>1</v>
      </c>
      <c r="I179" s="788">
        <v>41957</v>
      </c>
      <c r="J179" s="788">
        <v>39155</v>
      </c>
      <c r="L179" s="787">
        <v>0.28000000000000003</v>
      </c>
      <c r="M179" s="787">
        <v>20</v>
      </c>
      <c r="N179" s="787">
        <v>0.3</v>
      </c>
      <c r="O179" s="788">
        <v>41955</v>
      </c>
    </row>
    <row r="180" spans="1:15" x14ac:dyDescent="0.25">
      <c r="A180" s="786" t="s">
        <v>1167</v>
      </c>
      <c r="B180" s="787">
        <v>4</v>
      </c>
      <c r="C180" s="787" t="s">
        <v>1137</v>
      </c>
      <c r="D180" s="787">
        <v>7.0000000000000007E-2</v>
      </c>
      <c r="E180" s="787">
        <v>7.0000000000000007E-2</v>
      </c>
      <c r="F180" s="788">
        <v>38047</v>
      </c>
      <c r="G180" s="788">
        <v>38364</v>
      </c>
      <c r="H180" s="787">
        <v>1</v>
      </c>
      <c r="I180" s="788">
        <v>39155</v>
      </c>
      <c r="J180" s="788">
        <v>39155</v>
      </c>
      <c r="L180" s="787">
        <v>0.08</v>
      </c>
      <c r="M180" s="787">
        <v>20</v>
      </c>
      <c r="N180" s="787">
        <v>0.09</v>
      </c>
      <c r="O180" s="788">
        <v>41955</v>
      </c>
    </row>
    <row r="181" spans="1:15" x14ac:dyDescent="0.25">
      <c r="A181" s="786" t="s">
        <v>1168</v>
      </c>
      <c r="B181" s="787">
        <v>4</v>
      </c>
      <c r="C181" s="787" t="s">
        <v>1137</v>
      </c>
      <c r="D181" s="787">
        <v>7.0000000000000007E-2</v>
      </c>
      <c r="E181" s="787">
        <v>7.0000000000000007E-2</v>
      </c>
      <c r="F181" s="788">
        <v>37635</v>
      </c>
      <c r="G181" s="788">
        <v>37635</v>
      </c>
      <c r="H181" s="787">
        <v>1</v>
      </c>
      <c r="I181" s="788">
        <v>41969</v>
      </c>
      <c r="J181" s="788">
        <v>37635</v>
      </c>
      <c r="L181" s="787">
        <v>0.08</v>
      </c>
      <c r="M181" s="787">
        <v>20</v>
      </c>
      <c r="N181" s="787">
        <v>0.09</v>
      </c>
      <c r="O181" s="788">
        <v>41955</v>
      </c>
    </row>
    <row r="182" spans="1:15" x14ac:dyDescent="0.25">
      <c r="A182" s="786" t="s">
        <v>1169</v>
      </c>
      <c r="B182" s="787">
        <v>4</v>
      </c>
      <c r="C182" s="787" t="s">
        <v>1137</v>
      </c>
      <c r="D182" s="787">
        <v>0.05</v>
      </c>
      <c r="E182" s="787">
        <v>0.05</v>
      </c>
      <c r="F182" s="788">
        <v>37635</v>
      </c>
      <c r="G182" s="788">
        <v>38364</v>
      </c>
      <c r="H182" s="787">
        <v>1</v>
      </c>
      <c r="I182" s="788">
        <v>41590</v>
      </c>
      <c r="J182" s="788">
        <v>39155</v>
      </c>
      <c r="L182" s="787">
        <v>0.05</v>
      </c>
      <c r="M182" s="787">
        <v>20</v>
      </c>
      <c r="N182" s="787">
        <v>0.05</v>
      </c>
      <c r="O182" s="788">
        <v>42053</v>
      </c>
    </row>
    <row r="183" spans="1:15" x14ac:dyDescent="0.25">
      <c r="A183" s="786" t="s">
        <v>620</v>
      </c>
      <c r="B183" s="787">
        <v>4</v>
      </c>
      <c r="C183" s="787" t="s">
        <v>1137</v>
      </c>
      <c r="D183" s="787">
        <v>0.65</v>
      </c>
      <c r="E183" s="787">
        <v>0.65</v>
      </c>
      <c r="F183" s="788">
        <v>37635</v>
      </c>
      <c r="G183" s="788">
        <v>38364</v>
      </c>
      <c r="H183" s="787">
        <v>1</v>
      </c>
      <c r="I183" s="788">
        <v>42027</v>
      </c>
      <c r="J183" s="788">
        <v>39155</v>
      </c>
      <c r="L183" s="787">
        <v>0.71</v>
      </c>
      <c r="M183" s="787">
        <v>20</v>
      </c>
      <c r="N183" s="787">
        <v>0.76</v>
      </c>
      <c r="O183" s="788">
        <v>41955</v>
      </c>
    </row>
    <row r="184" spans="1:15" x14ac:dyDescent="0.25">
      <c r="A184" s="786" t="s">
        <v>1170</v>
      </c>
      <c r="B184" s="787">
        <v>4</v>
      </c>
      <c r="C184" s="787" t="s">
        <v>1137</v>
      </c>
      <c r="D184" s="787">
        <v>0.2</v>
      </c>
      <c r="E184" s="787">
        <v>0.2</v>
      </c>
      <c r="F184" s="788">
        <v>37635</v>
      </c>
      <c r="G184" s="788">
        <v>38364</v>
      </c>
      <c r="H184" s="787">
        <v>1</v>
      </c>
      <c r="I184" s="788">
        <v>39155</v>
      </c>
      <c r="J184" s="788">
        <v>39155</v>
      </c>
      <c r="L184" s="787">
        <v>0.22</v>
      </c>
      <c r="M184" s="787">
        <v>20</v>
      </c>
      <c r="N184" s="787">
        <v>0.24</v>
      </c>
      <c r="O184" s="788">
        <v>42163</v>
      </c>
    </row>
    <row r="185" spans="1:15" x14ac:dyDescent="0.25">
      <c r="A185" s="786" t="s">
        <v>1171</v>
      </c>
      <c r="B185" s="787">
        <v>4</v>
      </c>
      <c r="C185" s="787" t="s">
        <v>1137</v>
      </c>
      <c r="D185" s="787">
        <v>0.2</v>
      </c>
      <c r="E185" s="787">
        <v>0.2</v>
      </c>
      <c r="F185" s="788">
        <v>37635</v>
      </c>
      <c r="G185" s="788">
        <v>37635</v>
      </c>
      <c r="H185" s="787">
        <v>1</v>
      </c>
      <c r="I185" s="788">
        <v>37440</v>
      </c>
      <c r="J185" s="788">
        <v>37635</v>
      </c>
      <c r="L185" s="787">
        <v>0.22</v>
      </c>
      <c r="M185" s="787">
        <v>20</v>
      </c>
      <c r="N185" s="787">
        <v>0.24</v>
      </c>
      <c r="O185" s="788">
        <v>41955</v>
      </c>
    </row>
    <row r="186" spans="1:15" x14ac:dyDescent="0.25">
      <c r="A186" s="786" t="s">
        <v>1172</v>
      </c>
      <c r="B186" s="787">
        <v>4</v>
      </c>
      <c r="C186" s="787" t="s">
        <v>1137</v>
      </c>
      <c r="D186" s="787">
        <v>0.21</v>
      </c>
      <c r="E186" s="787">
        <v>0.21</v>
      </c>
      <c r="F186" s="788">
        <v>37635</v>
      </c>
      <c r="G186" s="788">
        <v>37635</v>
      </c>
      <c r="H186" s="787">
        <v>1</v>
      </c>
      <c r="I186" s="788">
        <v>41173</v>
      </c>
      <c r="J186" s="788">
        <v>37635</v>
      </c>
      <c r="L186" s="787">
        <v>0.23</v>
      </c>
      <c r="M186" s="787">
        <v>20</v>
      </c>
      <c r="N186" s="787">
        <v>0.25</v>
      </c>
      <c r="O186" s="788">
        <v>41955</v>
      </c>
    </row>
    <row r="187" spans="1:15" x14ac:dyDescent="0.25">
      <c r="A187" s="786" t="s">
        <v>1173</v>
      </c>
      <c r="B187" s="787">
        <v>4</v>
      </c>
      <c r="C187" s="787" t="s">
        <v>1137</v>
      </c>
      <c r="D187" s="787">
        <v>0.21</v>
      </c>
      <c r="E187" s="787">
        <v>0.21</v>
      </c>
      <c r="F187" s="788">
        <v>37635</v>
      </c>
      <c r="G187" s="788">
        <v>37635</v>
      </c>
      <c r="H187" s="787">
        <v>1</v>
      </c>
      <c r="J187" s="788">
        <v>37635</v>
      </c>
      <c r="L187" s="787">
        <v>0.23</v>
      </c>
      <c r="M187" s="787">
        <v>20</v>
      </c>
      <c r="N187" s="787">
        <v>0.25</v>
      </c>
      <c r="O187" s="788">
        <v>41955</v>
      </c>
    </row>
    <row r="188" spans="1:15" x14ac:dyDescent="0.25">
      <c r="A188" s="786" t="s">
        <v>1174</v>
      </c>
      <c r="B188" s="787">
        <v>4</v>
      </c>
      <c r="C188" s="787" t="s">
        <v>1137</v>
      </c>
      <c r="D188" s="787">
        <v>0</v>
      </c>
      <c r="E188" s="787">
        <v>0</v>
      </c>
      <c r="H188" s="787">
        <v>1</v>
      </c>
      <c r="L188" s="787">
        <v>0.01</v>
      </c>
      <c r="M188" s="787">
        <v>20</v>
      </c>
      <c r="N188" s="787">
        <v>0</v>
      </c>
    </row>
    <row r="189" spans="1:15" x14ac:dyDescent="0.25">
      <c r="A189" s="786" t="s">
        <v>1175</v>
      </c>
      <c r="B189" s="787">
        <v>4</v>
      </c>
      <c r="C189" s="787" t="s">
        <v>1176</v>
      </c>
      <c r="D189" s="787">
        <v>0</v>
      </c>
      <c r="E189" s="787">
        <v>0</v>
      </c>
      <c r="H189" s="787">
        <v>1</v>
      </c>
      <c r="L189" s="787">
        <v>0.3</v>
      </c>
      <c r="M189" s="787">
        <v>20</v>
      </c>
      <c r="N189" s="787">
        <v>0.32</v>
      </c>
      <c r="O189" s="788">
        <v>41955</v>
      </c>
    </row>
    <row r="190" spans="1:15" x14ac:dyDescent="0.25">
      <c r="A190" s="786" t="s">
        <v>1177</v>
      </c>
      <c r="B190" s="787">
        <v>4</v>
      </c>
      <c r="C190" s="787" t="s">
        <v>1178</v>
      </c>
      <c r="D190" s="787">
        <v>0</v>
      </c>
      <c r="E190" s="787">
        <v>0</v>
      </c>
      <c r="G190" s="787" t="s">
        <v>1067</v>
      </c>
      <c r="H190" s="787">
        <v>6</v>
      </c>
      <c r="L190" s="787">
        <v>0</v>
      </c>
      <c r="M190" s="787">
        <v>20</v>
      </c>
      <c r="N190" s="787">
        <v>0</v>
      </c>
      <c r="O190" s="788">
        <v>40824</v>
      </c>
    </row>
    <row r="191" spans="1:15" x14ac:dyDescent="0.25">
      <c r="A191" s="786" t="s">
        <v>1179</v>
      </c>
      <c r="B191" s="787">
        <v>4</v>
      </c>
      <c r="C191" s="787" t="s">
        <v>1180</v>
      </c>
      <c r="D191" s="787">
        <v>0.21</v>
      </c>
      <c r="E191" s="787">
        <v>0.21</v>
      </c>
      <c r="F191" s="788">
        <v>37636</v>
      </c>
      <c r="G191" s="788">
        <v>38364</v>
      </c>
      <c r="H191" s="787">
        <v>1</v>
      </c>
      <c r="I191" s="788">
        <v>42131</v>
      </c>
      <c r="J191" s="788">
        <v>39155</v>
      </c>
      <c r="L191" s="787">
        <v>0.23</v>
      </c>
      <c r="M191" s="787">
        <v>20</v>
      </c>
      <c r="N191" s="787">
        <v>0.25</v>
      </c>
      <c r="O191" s="788">
        <v>42164</v>
      </c>
    </row>
    <row r="192" spans="1:15" x14ac:dyDescent="0.25">
      <c r="A192" s="786" t="s">
        <v>1181</v>
      </c>
      <c r="B192" s="787">
        <v>4</v>
      </c>
      <c r="C192" s="787" t="s">
        <v>1182</v>
      </c>
      <c r="D192" s="787">
        <v>0.13</v>
      </c>
      <c r="E192" s="787">
        <v>0.13</v>
      </c>
      <c r="F192" s="788">
        <v>37636</v>
      </c>
      <c r="G192" s="788">
        <v>38364</v>
      </c>
      <c r="H192" s="787">
        <v>1</v>
      </c>
      <c r="I192" s="788">
        <v>42166</v>
      </c>
      <c r="J192" s="788">
        <v>39155</v>
      </c>
      <c r="L192" s="787">
        <v>0.14000000000000001</v>
      </c>
      <c r="M192" s="787">
        <v>20</v>
      </c>
      <c r="N192" s="787">
        <v>0.15</v>
      </c>
      <c r="O192" s="788">
        <v>42156</v>
      </c>
    </row>
    <row r="193" spans="1:15" x14ac:dyDescent="0.25">
      <c r="A193" s="786" t="s">
        <v>1183</v>
      </c>
      <c r="B193" s="787">
        <v>4</v>
      </c>
      <c r="C193" s="787" t="s">
        <v>1184</v>
      </c>
      <c r="D193" s="787">
        <v>0</v>
      </c>
      <c r="E193" s="787">
        <v>0</v>
      </c>
      <c r="G193" s="788">
        <v>38364</v>
      </c>
      <c r="H193" s="787">
        <v>1</v>
      </c>
      <c r="I193" s="788">
        <v>42163</v>
      </c>
      <c r="J193" s="788">
        <v>39155</v>
      </c>
      <c r="L193" s="787">
        <v>0.03</v>
      </c>
      <c r="M193" s="787">
        <v>20</v>
      </c>
      <c r="N193" s="787">
        <v>0.03</v>
      </c>
      <c r="O193" s="788">
        <v>41955</v>
      </c>
    </row>
    <row r="194" spans="1:15" x14ac:dyDescent="0.25">
      <c r="A194" s="786" t="s">
        <v>1185</v>
      </c>
      <c r="B194" s="787">
        <v>4</v>
      </c>
      <c r="C194" s="787" t="s">
        <v>1186</v>
      </c>
      <c r="D194" s="787">
        <v>0.02</v>
      </c>
      <c r="E194" s="787">
        <v>0.06</v>
      </c>
      <c r="F194" s="788">
        <v>38281</v>
      </c>
      <c r="G194" s="788">
        <v>38602</v>
      </c>
      <c r="H194" s="787">
        <v>1</v>
      </c>
      <c r="I194" s="788">
        <v>42163</v>
      </c>
      <c r="J194" s="788">
        <v>39155</v>
      </c>
      <c r="L194" s="787">
        <v>0.06</v>
      </c>
      <c r="M194" s="787">
        <v>20</v>
      </c>
      <c r="N194" s="787">
        <v>0.06</v>
      </c>
      <c r="O194" s="788">
        <v>42127</v>
      </c>
    </row>
    <row r="195" spans="1:15" x14ac:dyDescent="0.25">
      <c r="A195" s="786" t="s">
        <v>1187</v>
      </c>
      <c r="B195" s="787">
        <v>4</v>
      </c>
      <c r="C195" s="787" t="s">
        <v>1188</v>
      </c>
      <c r="D195" s="787">
        <v>0.02</v>
      </c>
      <c r="E195" s="787">
        <v>0.03</v>
      </c>
      <c r="F195" s="788">
        <v>38156</v>
      </c>
      <c r="G195" s="788">
        <v>38602</v>
      </c>
      <c r="H195" s="787">
        <v>1</v>
      </c>
      <c r="I195" s="788">
        <v>42163</v>
      </c>
      <c r="J195" s="788">
        <v>39155</v>
      </c>
      <c r="K195" s="788">
        <v>41869</v>
      </c>
      <c r="L195" s="787">
        <v>0.03</v>
      </c>
      <c r="M195" s="787">
        <v>20</v>
      </c>
      <c r="N195" s="787">
        <v>0.03</v>
      </c>
      <c r="O195" s="788">
        <v>42162</v>
      </c>
    </row>
    <row r="196" spans="1:15" x14ac:dyDescent="0.25">
      <c r="A196" s="786" t="s">
        <v>1189</v>
      </c>
      <c r="B196" s="787">
        <v>4</v>
      </c>
      <c r="C196" s="787" t="s">
        <v>1186</v>
      </c>
      <c r="D196" s="787">
        <v>0.02</v>
      </c>
      <c r="E196" s="787">
        <v>0.02</v>
      </c>
      <c r="F196" s="788">
        <v>38310</v>
      </c>
      <c r="G196" s="788">
        <v>38364</v>
      </c>
      <c r="H196" s="787">
        <v>1</v>
      </c>
      <c r="I196" s="788">
        <v>42166</v>
      </c>
      <c r="J196" s="788">
        <v>39155</v>
      </c>
      <c r="K196" s="788">
        <v>41869</v>
      </c>
      <c r="L196" s="787">
        <v>0.02</v>
      </c>
      <c r="M196" s="787">
        <v>20</v>
      </c>
      <c r="N196" s="787">
        <v>0.02</v>
      </c>
      <c r="O196" s="788">
        <v>42164</v>
      </c>
    </row>
    <row r="197" spans="1:15" x14ac:dyDescent="0.25">
      <c r="A197" s="786" t="s">
        <v>1190</v>
      </c>
      <c r="B197" s="787">
        <v>4</v>
      </c>
      <c r="C197" s="787" t="s">
        <v>1191</v>
      </c>
      <c r="D197" s="787">
        <v>0.02</v>
      </c>
      <c r="E197" s="787">
        <v>0.02</v>
      </c>
      <c r="F197" s="788">
        <v>38281</v>
      </c>
      <c r="G197" s="788">
        <v>38602</v>
      </c>
      <c r="H197" s="787">
        <v>1</v>
      </c>
      <c r="I197" s="788">
        <v>42166</v>
      </c>
      <c r="J197" s="788">
        <v>39155</v>
      </c>
      <c r="L197" s="787">
        <v>0.02</v>
      </c>
      <c r="M197" s="787">
        <v>20</v>
      </c>
      <c r="N197" s="787">
        <v>0.02</v>
      </c>
      <c r="O197" s="788">
        <v>42164</v>
      </c>
    </row>
    <row r="198" spans="1:15" x14ac:dyDescent="0.25">
      <c r="A198" s="786" t="s">
        <v>1192</v>
      </c>
      <c r="B198" s="787">
        <v>4</v>
      </c>
      <c r="C198" s="787" t="s">
        <v>1186</v>
      </c>
      <c r="D198" s="787">
        <v>0.09</v>
      </c>
      <c r="E198" s="787">
        <v>0.09</v>
      </c>
      <c r="F198" s="788">
        <v>37636</v>
      </c>
      <c r="G198" s="788">
        <v>38364</v>
      </c>
      <c r="H198" s="787">
        <v>1</v>
      </c>
      <c r="I198" s="788">
        <v>39155</v>
      </c>
      <c r="J198" s="788">
        <v>39155</v>
      </c>
      <c r="L198" s="787">
        <v>0.09</v>
      </c>
      <c r="M198" s="787">
        <v>20</v>
      </c>
      <c r="N198" s="787">
        <v>0.1</v>
      </c>
      <c r="O198" s="788">
        <v>42156</v>
      </c>
    </row>
    <row r="199" spans="1:15" x14ac:dyDescent="0.25">
      <c r="A199" s="786" t="s">
        <v>1193</v>
      </c>
      <c r="B199" s="787">
        <v>4</v>
      </c>
      <c r="C199" s="787" t="s">
        <v>1186</v>
      </c>
      <c r="D199" s="787">
        <v>0</v>
      </c>
      <c r="E199" s="787">
        <v>0</v>
      </c>
      <c r="H199" s="787">
        <v>1</v>
      </c>
      <c r="I199" s="788">
        <v>41949</v>
      </c>
      <c r="K199" s="788">
        <v>40994</v>
      </c>
      <c r="L199" s="787">
        <v>0.01</v>
      </c>
      <c r="M199" s="787">
        <v>20</v>
      </c>
      <c r="N199" s="787">
        <v>0.01</v>
      </c>
      <c r="O199" s="788">
        <v>41955</v>
      </c>
    </row>
    <row r="200" spans="1:15" x14ac:dyDescent="0.25">
      <c r="A200" s="786" t="s">
        <v>1194</v>
      </c>
      <c r="B200" s="787">
        <v>4</v>
      </c>
      <c r="C200" s="787" t="s">
        <v>1195</v>
      </c>
      <c r="D200" s="787">
        <v>0.03</v>
      </c>
      <c r="E200" s="787">
        <v>0.03</v>
      </c>
      <c r="F200" s="788">
        <v>38602</v>
      </c>
      <c r="G200" s="788">
        <v>38602</v>
      </c>
      <c r="H200" s="787">
        <v>1</v>
      </c>
      <c r="I200" s="788">
        <v>42128</v>
      </c>
      <c r="J200" s="788">
        <v>39155</v>
      </c>
      <c r="K200" s="788">
        <v>41869</v>
      </c>
      <c r="L200" s="787">
        <v>0.03</v>
      </c>
      <c r="M200" s="787">
        <v>20</v>
      </c>
      <c r="N200" s="787">
        <v>0.03</v>
      </c>
      <c r="O200" s="788">
        <v>42163</v>
      </c>
    </row>
    <row r="201" spans="1:15" x14ac:dyDescent="0.25">
      <c r="A201" s="786" t="s">
        <v>1196</v>
      </c>
      <c r="B201" s="787">
        <v>4</v>
      </c>
      <c r="C201" s="787" t="s">
        <v>1197</v>
      </c>
      <c r="D201" s="787">
        <v>0.28999999999999998</v>
      </c>
      <c r="E201" s="787">
        <v>0.28999999999999998</v>
      </c>
      <c r="F201" s="788">
        <v>38047</v>
      </c>
      <c r="G201" s="788">
        <v>38364</v>
      </c>
      <c r="H201" s="787">
        <v>1</v>
      </c>
      <c r="I201" s="788">
        <v>42080</v>
      </c>
      <c r="J201" s="788">
        <v>39155</v>
      </c>
      <c r="L201" s="787">
        <v>0.28999999999999998</v>
      </c>
      <c r="M201" s="787">
        <v>20</v>
      </c>
      <c r="N201" s="787">
        <v>0.31</v>
      </c>
      <c r="O201" s="788">
        <v>41955</v>
      </c>
    </row>
    <row r="202" spans="1:15" x14ac:dyDescent="0.25">
      <c r="A202" s="786" t="s">
        <v>1198</v>
      </c>
      <c r="B202" s="787">
        <v>4</v>
      </c>
      <c r="C202" s="787" t="s">
        <v>1199</v>
      </c>
      <c r="D202" s="787">
        <v>0.88</v>
      </c>
      <c r="E202" s="787">
        <v>0.88</v>
      </c>
      <c r="F202" s="788">
        <v>37937</v>
      </c>
      <c r="G202" s="788">
        <v>38364</v>
      </c>
      <c r="H202" s="787">
        <v>1</v>
      </c>
      <c r="I202" s="788">
        <v>42018</v>
      </c>
      <c r="J202" s="788">
        <v>39155</v>
      </c>
      <c r="L202" s="787">
        <v>0.96</v>
      </c>
      <c r="M202" s="787">
        <v>20</v>
      </c>
      <c r="N202" s="787">
        <v>1.03</v>
      </c>
      <c r="O202" s="788">
        <v>42162</v>
      </c>
    </row>
    <row r="203" spans="1:15" x14ac:dyDescent="0.25">
      <c r="A203" s="786" t="s">
        <v>1200</v>
      </c>
      <c r="B203" s="787">
        <v>4</v>
      </c>
      <c r="C203" s="787" t="s">
        <v>1201</v>
      </c>
      <c r="D203" s="787">
        <v>0</v>
      </c>
      <c r="E203" s="787">
        <v>0</v>
      </c>
      <c r="H203" s="787">
        <v>1</v>
      </c>
      <c r="K203" s="788">
        <v>40669</v>
      </c>
      <c r="L203" s="787">
        <v>0.14000000000000001</v>
      </c>
      <c r="M203" s="787">
        <v>20</v>
      </c>
      <c r="N203" s="787">
        <v>0.15</v>
      </c>
      <c r="O203" s="788">
        <v>42061</v>
      </c>
    </row>
    <row r="204" spans="1:15" x14ac:dyDescent="0.25">
      <c r="A204" s="786" t="s">
        <v>631</v>
      </c>
      <c r="B204" s="787">
        <v>4</v>
      </c>
      <c r="C204" s="787" t="s">
        <v>1202</v>
      </c>
      <c r="D204" s="787">
        <v>0</v>
      </c>
      <c r="E204" s="787">
        <v>0</v>
      </c>
      <c r="H204" s="787">
        <v>1</v>
      </c>
      <c r="I204" s="788">
        <v>42165</v>
      </c>
      <c r="L204" s="787">
        <v>0.03</v>
      </c>
      <c r="M204" s="787">
        <v>20</v>
      </c>
      <c r="N204" s="787">
        <v>0.03</v>
      </c>
      <c r="O204" s="788">
        <v>42156</v>
      </c>
    </row>
    <row r="205" spans="1:15" x14ac:dyDescent="0.25">
      <c r="A205" s="786" t="s">
        <v>637</v>
      </c>
      <c r="B205" s="787">
        <v>4</v>
      </c>
      <c r="C205" s="787" t="s">
        <v>1203</v>
      </c>
      <c r="D205" s="787">
        <v>0.03</v>
      </c>
      <c r="E205" s="787">
        <v>0.03</v>
      </c>
      <c r="F205" s="788">
        <v>41859</v>
      </c>
      <c r="G205" s="788">
        <v>41870</v>
      </c>
      <c r="H205" s="787">
        <v>1</v>
      </c>
      <c r="I205" s="788">
        <v>42166</v>
      </c>
      <c r="J205" s="788">
        <v>41859</v>
      </c>
      <c r="L205" s="787">
        <v>0.04</v>
      </c>
      <c r="M205" s="787">
        <v>20</v>
      </c>
      <c r="N205" s="787">
        <v>0.04</v>
      </c>
      <c r="O205" s="788">
        <v>42162</v>
      </c>
    </row>
    <row r="206" spans="1:15" x14ac:dyDescent="0.25">
      <c r="A206" s="786" t="s">
        <v>1204</v>
      </c>
      <c r="B206" s="787">
        <v>4</v>
      </c>
      <c r="C206" s="787" t="s">
        <v>1205</v>
      </c>
      <c r="D206" s="787">
        <v>0</v>
      </c>
      <c r="E206" s="787">
        <v>0</v>
      </c>
      <c r="H206" s="787">
        <v>1</v>
      </c>
      <c r="I206" s="788">
        <v>42152</v>
      </c>
      <c r="K206" s="788">
        <v>40919</v>
      </c>
      <c r="L206" s="787">
        <v>0.03</v>
      </c>
      <c r="M206" s="787">
        <v>20</v>
      </c>
      <c r="N206" s="787">
        <v>0.03</v>
      </c>
      <c r="O206" s="788">
        <v>42146</v>
      </c>
    </row>
    <row r="207" spans="1:15" x14ac:dyDescent="0.25">
      <c r="A207" s="786" t="s">
        <v>638</v>
      </c>
      <c r="B207" s="787">
        <v>4</v>
      </c>
      <c r="C207" s="787" t="s">
        <v>1206</v>
      </c>
      <c r="D207" s="787">
        <v>0</v>
      </c>
      <c r="E207" s="787">
        <v>0</v>
      </c>
      <c r="H207" s="787">
        <v>1</v>
      </c>
      <c r="I207" s="788">
        <v>42090</v>
      </c>
      <c r="L207" s="787">
        <v>0.08</v>
      </c>
      <c r="M207" s="787">
        <v>20</v>
      </c>
      <c r="N207" s="787">
        <v>0.09</v>
      </c>
      <c r="O207" s="788">
        <v>42054</v>
      </c>
    </row>
    <row r="208" spans="1:15" x14ac:dyDescent="0.25">
      <c r="A208" s="786" t="s">
        <v>1207</v>
      </c>
      <c r="B208" s="787">
        <v>4</v>
      </c>
      <c r="C208" s="787" t="s">
        <v>1208</v>
      </c>
      <c r="D208" s="787">
        <v>0</v>
      </c>
      <c r="E208" s="787">
        <v>0</v>
      </c>
      <c r="H208" s="787">
        <v>1</v>
      </c>
      <c r="I208" s="788">
        <v>42037</v>
      </c>
      <c r="L208" s="787">
        <v>0</v>
      </c>
      <c r="M208" s="787">
        <v>20</v>
      </c>
      <c r="N208" s="787">
        <v>0.01</v>
      </c>
      <c r="O208" s="788">
        <v>42034</v>
      </c>
    </row>
    <row r="209" spans="1:15" x14ac:dyDescent="0.25">
      <c r="A209" s="786" t="s">
        <v>1209</v>
      </c>
      <c r="B209" s="787">
        <v>4</v>
      </c>
      <c r="C209" s="787" t="s">
        <v>1210</v>
      </c>
      <c r="D209" s="787">
        <v>0</v>
      </c>
      <c r="E209" s="787">
        <v>0</v>
      </c>
      <c r="H209" s="787">
        <v>1</v>
      </c>
      <c r="I209" s="788">
        <v>42166</v>
      </c>
      <c r="L209" s="787">
        <v>0.02</v>
      </c>
      <c r="M209" s="787">
        <v>20</v>
      </c>
      <c r="N209" s="787">
        <v>0.02</v>
      </c>
      <c r="O209" s="788">
        <v>42157</v>
      </c>
    </row>
    <row r="210" spans="1:15" x14ac:dyDescent="0.25">
      <c r="A210" s="786" t="s">
        <v>632</v>
      </c>
      <c r="B210" s="787">
        <v>4</v>
      </c>
      <c r="C210" s="787" t="s">
        <v>1211</v>
      </c>
      <c r="D210" s="787">
        <v>0</v>
      </c>
      <c r="E210" s="787">
        <v>0</v>
      </c>
      <c r="H210" s="787">
        <v>1</v>
      </c>
      <c r="I210" s="788">
        <v>42090</v>
      </c>
      <c r="L210" s="787">
        <v>0.1</v>
      </c>
      <c r="M210" s="787">
        <v>20</v>
      </c>
      <c r="N210" s="787">
        <v>0.11</v>
      </c>
      <c r="O210" s="788">
        <v>41955</v>
      </c>
    </row>
    <row r="211" spans="1:15" x14ac:dyDescent="0.25">
      <c r="A211" s="786" t="s">
        <v>1212</v>
      </c>
      <c r="B211" s="787">
        <v>4</v>
      </c>
      <c r="C211" s="787" t="s">
        <v>1213</v>
      </c>
      <c r="D211" s="787">
        <v>0</v>
      </c>
      <c r="E211" s="787">
        <v>0</v>
      </c>
      <c r="H211" s="787">
        <v>1</v>
      </c>
      <c r="L211" s="787">
        <v>0.1</v>
      </c>
      <c r="M211" s="787">
        <v>20</v>
      </c>
      <c r="N211" s="787">
        <v>0.11</v>
      </c>
      <c r="O211" s="788">
        <v>41955</v>
      </c>
    </row>
    <row r="212" spans="1:15" x14ac:dyDescent="0.25">
      <c r="A212" s="786" t="s">
        <v>1214</v>
      </c>
      <c r="B212" s="787">
        <v>4</v>
      </c>
      <c r="C212" s="787" t="s">
        <v>1205</v>
      </c>
      <c r="D212" s="787">
        <v>0.02</v>
      </c>
      <c r="E212" s="787">
        <v>0.02</v>
      </c>
      <c r="F212" s="788">
        <v>39155</v>
      </c>
      <c r="G212" s="788">
        <v>39155</v>
      </c>
      <c r="H212" s="787">
        <v>1</v>
      </c>
      <c r="I212" s="788">
        <v>42074</v>
      </c>
      <c r="J212" s="788">
        <v>39155</v>
      </c>
      <c r="L212" s="787">
        <v>0.02</v>
      </c>
      <c r="M212" s="787">
        <v>20</v>
      </c>
      <c r="N212" s="787">
        <v>0.02</v>
      </c>
      <c r="O212" s="788">
        <v>42144</v>
      </c>
    </row>
    <row r="213" spans="1:15" x14ac:dyDescent="0.25">
      <c r="A213" s="786" t="s">
        <v>1215</v>
      </c>
      <c r="B213" s="787">
        <v>4</v>
      </c>
      <c r="C213" s="787" t="s">
        <v>1205</v>
      </c>
      <c r="D213" s="787">
        <v>0.03</v>
      </c>
      <c r="E213" s="787">
        <v>0.03</v>
      </c>
      <c r="F213" s="788">
        <v>37649</v>
      </c>
      <c r="G213" s="788">
        <v>38364</v>
      </c>
      <c r="H213" s="787">
        <v>1</v>
      </c>
      <c r="I213" s="788">
        <v>41702</v>
      </c>
      <c r="J213" s="788">
        <v>39155</v>
      </c>
      <c r="L213" s="787">
        <v>0.03</v>
      </c>
      <c r="M213" s="787">
        <v>20</v>
      </c>
      <c r="N213" s="787">
        <v>0.03</v>
      </c>
      <c r="O213" s="788">
        <v>41955</v>
      </c>
    </row>
    <row r="214" spans="1:15" x14ac:dyDescent="0.25">
      <c r="A214" s="786" t="s">
        <v>1216</v>
      </c>
      <c r="B214" s="787">
        <v>4</v>
      </c>
      <c r="C214" s="787" t="s">
        <v>1217</v>
      </c>
      <c r="D214" s="787">
        <v>0.04</v>
      </c>
      <c r="E214" s="787">
        <v>0.04</v>
      </c>
      <c r="F214" s="788">
        <v>38075</v>
      </c>
      <c r="G214" s="788">
        <v>38364</v>
      </c>
      <c r="H214" s="787">
        <v>1</v>
      </c>
      <c r="I214" s="788">
        <v>41872</v>
      </c>
      <c r="J214" s="788">
        <v>39155</v>
      </c>
      <c r="L214" s="787">
        <v>0.04</v>
      </c>
      <c r="M214" s="787">
        <v>20</v>
      </c>
      <c r="N214" s="787">
        <v>0.04</v>
      </c>
      <c r="O214" s="788">
        <v>42164</v>
      </c>
    </row>
    <row r="215" spans="1:15" x14ac:dyDescent="0.25">
      <c r="A215" s="786" t="s">
        <v>1218</v>
      </c>
      <c r="B215" s="787">
        <v>4</v>
      </c>
      <c r="C215" s="787" t="s">
        <v>1219</v>
      </c>
      <c r="D215" s="787">
        <v>0.03</v>
      </c>
      <c r="E215" s="787">
        <v>0.03</v>
      </c>
      <c r="F215" s="788">
        <v>37636</v>
      </c>
      <c r="G215" s="788">
        <v>38364</v>
      </c>
      <c r="H215" s="787">
        <v>6</v>
      </c>
      <c r="I215" s="788">
        <v>39155</v>
      </c>
      <c r="J215" s="788">
        <v>39155</v>
      </c>
      <c r="K215" s="788">
        <v>41865</v>
      </c>
      <c r="L215" s="787">
        <v>0.11</v>
      </c>
      <c r="M215" s="787">
        <v>20</v>
      </c>
      <c r="N215" s="787">
        <v>0.03</v>
      </c>
      <c r="O215" s="788">
        <v>41858</v>
      </c>
    </row>
    <row r="216" spans="1:15" x14ac:dyDescent="0.25">
      <c r="A216" s="786" t="s">
        <v>1220</v>
      </c>
      <c r="B216" s="787">
        <v>4</v>
      </c>
      <c r="C216" s="787" t="s">
        <v>1188</v>
      </c>
      <c r="D216" s="787">
        <v>0.04</v>
      </c>
      <c r="E216" s="787">
        <v>0.05</v>
      </c>
      <c r="F216" s="788">
        <v>37649</v>
      </c>
      <c r="G216" s="788">
        <v>38364</v>
      </c>
      <c r="H216" s="787">
        <v>1</v>
      </c>
      <c r="I216" s="788">
        <v>42163</v>
      </c>
      <c r="J216" s="788">
        <v>39155</v>
      </c>
      <c r="L216" s="787">
        <v>0.05</v>
      </c>
      <c r="M216" s="787">
        <v>20</v>
      </c>
      <c r="N216" s="787">
        <v>0.05</v>
      </c>
      <c r="O216" s="788">
        <v>42162</v>
      </c>
    </row>
    <row r="217" spans="1:15" x14ac:dyDescent="0.25">
      <c r="A217" s="786" t="s">
        <v>1221</v>
      </c>
      <c r="B217" s="787">
        <v>4</v>
      </c>
      <c r="C217" s="787" t="s">
        <v>1222</v>
      </c>
      <c r="D217" s="787">
        <v>0.04</v>
      </c>
      <c r="E217" s="787">
        <v>0.11</v>
      </c>
      <c r="F217" s="788">
        <v>37636</v>
      </c>
      <c r="G217" s="788">
        <v>38602</v>
      </c>
      <c r="H217" s="787">
        <v>1</v>
      </c>
      <c r="I217" s="788">
        <v>42163</v>
      </c>
      <c r="J217" s="788">
        <v>39155</v>
      </c>
      <c r="K217" s="788">
        <v>41865</v>
      </c>
      <c r="L217" s="787">
        <v>0.11</v>
      </c>
      <c r="M217" s="787">
        <v>20</v>
      </c>
      <c r="N217" s="787">
        <v>0.12</v>
      </c>
      <c r="O217" s="788">
        <v>42146</v>
      </c>
    </row>
    <row r="218" spans="1:15" x14ac:dyDescent="0.25">
      <c r="A218" s="786" t="s">
        <v>1223</v>
      </c>
      <c r="B218" s="787">
        <v>4</v>
      </c>
      <c r="C218" s="787" t="s">
        <v>1222</v>
      </c>
      <c r="D218" s="787">
        <v>0.06</v>
      </c>
      <c r="E218" s="787">
        <v>0.06</v>
      </c>
      <c r="F218" s="788">
        <v>37636</v>
      </c>
      <c r="G218" s="788">
        <v>38364</v>
      </c>
      <c r="H218" s="787">
        <v>1</v>
      </c>
      <c r="I218" s="788">
        <v>41920</v>
      </c>
      <c r="J218" s="788">
        <v>39155</v>
      </c>
      <c r="L218" s="787">
        <v>0.06</v>
      </c>
      <c r="M218" s="787">
        <v>20</v>
      </c>
      <c r="N218" s="787">
        <v>0.06</v>
      </c>
      <c r="O218" s="788">
        <v>41955</v>
      </c>
    </row>
    <row r="219" spans="1:15" x14ac:dyDescent="0.25">
      <c r="A219" s="786" t="s">
        <v>1224</v>
      </c>
      <c r="B219" s="787">
        <v>4</v>
      </c>
      <c r="C219" s="787" t="s">
        <v>1225</v>
      </c>
      <c r="D219" s="787">
        <v>6.99</v>
      </c>
      <c r="E219" s="787">
        <v>7.09</v>
      </c>
      <c r="F219" s="788">
        <v>41326</v>
      </c>
      <c r="G219" s="788">
        <v>42023</v>
      </c>
      <c r="H219" s="787">
        <v>1</v>
      </c>
      <c r="J219" s="788">
        <v>42023</v>
      </c>
      <c r="L219" s="787">
        <v>7.39</v>
      </c>
      <c r="M219" s="787">
        <v>20</v>
      </c>
      <c r="N219" s="787">
        <v>7.94</v>
      </c>
      <c r="O219" s="788">
        <v>41955</v>
      </c>
    </row>
    <row r="220" spans="1:15" x14ac:dyDescent="0.25">
      <c r="A220" s="786" t="s">
        <v>1226</v>
      </c>
      <c r="B220" s="787">
        <v>4</v>
      </c>
      <c r="C220" s="787" t="s">
        <v>1227</v>
      </c>
      <c r="D220" s="787">
        <v>0.06</v>
      </c>
      <c r="E220" s="787">
        <v>0.06</v>
      </c>
      <c r="F220" s="788">
        <v>37636</v>
      </c>
      <c r="G220" s="788">
        <v>37636</v>
      </c>
      <c r="H220" s="787">
        <v>1</v>
      </c>
      <c r="J220" s="788">
        <v>37636</v>
      </c>
      <c r="L220" s="787">
        <v>7.0000000000000007E-2</v>
      </c>
      <c r="M220" s="787">
        <v>20</v>
      </c>
      <c r="N220" s="787">
        <v>0.08</v>
      </c>
      <c r="O220" s="788">
        <v>42144</v>
      </c>
    </row>
    <row r="221" spans="1:15" x14ac:dyDescent="0.25">
      <c r="A221" s="786" t="s">
        <v>1228</v>
      </c>
      <c r="B221" s="787">
        <v>4</v>
      </c>
      <c r="C221" s="787" t="s">
        <v>1229</v>
      </c>
      <c r="D221" s="787">
        <v>0</v>
      </c>
      <c r="E221" s="787">
        <v>0</v>
      </c>
      <c r="H221" s="787">
        <v>1</v>
      </c>
      <c r="I221" s="788">
        <v>42165</v>
      </c>
      <c r="K221" s="788">
        <v>40918</v>
      </c>
      <c r="L221" s="787">
        <v>0.08</v>
      </c>
      <c r="M221" s="787">
        <v>20</v>
      </c>
      <c r="N221" s="787">
        <v>0.09</v>
      </c>
      <c r="O221" s="788">
        <v>42144</v>
      </c>
    </row>
    <row r="222" spans="1:15" x14ac:dyDescent="0.25">
      <c r="A222" s="786" t="s">
        <v>1230</v>
      </c>
      <c r="B222" s="787">
        <v>4</v>
      </c>
      <c r="C222" s="787" t="s">
        <v>1231</v>
      </c>
      <c r="D222" s="787">
        <v>0</v>
      </c>
      <c r="E222" s="787">
        <v>0</v>
      </c>
      <c r="H222" s="787">
        <v>1</v>
      </c>
      <c r="I222" s="788">
        <v>42080</v>
      </c>
      <c r="L222" s="787">
        <v>0.12</v>
      </c>
      <c r="M222" s="787">
        <v>20</v>
      </c>
      <c r="N222" s="787">
        <v>0.13</v>
      </c>
      <c r="O222" s="788">
        <v>41955</v>
      </c>
    </row>
    <row r="223" spans="1:15" x14ac:dyDescent="0.25">
      <c r="A223" s="786" t="s">
        <v>1232</v>
      </c>
      <c r="B223" s="787">
        <v>4</v>
      </c>
      <c r="C223" s="787" t="s">
        <v>1233</v>
      </c>
      <c r="D223" s="787">
        <v>0</v>
      </c>
      <c r="E223" s="787">
        <v>0</v>
      </c>
      <c r="H223" s="787">
        <v>1</v>
      </c>
      <c r="I223" s="788">
        <v>42146</v>
      </c>
      <c r="K223" s="788">
        <v>41421</v>
      </c>
      <c r="L223" s="787">
        <v>0.03</v>
      </c>
      <c r="M223" s="787">
        <v>20</v>
      </c>
      <c r="N223" s="787">
        <v>0.03</v>
      </c>
      <c r="O223" s="788">
        <v>42060</v>
      </c>
    </row>
    <row r="224" spans="1:15" x14ac:dyDescent="0.25">
      <c r="A224" s="786" t="s">
        <v>1234</v>
      </c>
      <c r="B224" s="787">
        <v>4</v>
      </c>
      <c r="C224" s="787" t="s">
        <v>1235</v>
      </c>
      <c r="D224" s="787">
        <v>0</v>
      </c>
      <c r="E224" s="787">
        <v>0</v>
      </c>
      <c r="H224" s="787">
        <v>1</v>
      </c>
      <c r="I224" s="788">
        <v>42151</v>
      </c>
      <c r="L224" s="787">
        <v>0.15</v>
      </c>
      <c r="M224" s="787">
        <v>20</v>
      </c>
      <c r="N224" s="787">
        <v>0.16</v>
      </c>
      <c r="O224" s="788">
        <v>41955</v>
      </c>
    </row>
    <row r="225" spans="1:15" x14ac:dyDescent="0.25">
      <c r="A225" s="786" t="s">
        <v>1236</v>
      </c>
      <c r="B225" s="787">
        <v>4</v>
      </c>
      <c r="C225" s="787" t="s">
        <v>1237</v>
      </c>
      <c r="D225" s="787">
        <v>0</v>
      </c>
      <c r="E225" s="787">
        <v>0</v>
      </c>
      <c r="H225" s="787">
        <v>1</v>
      </c>
      <c r="L225" s="787">
        <v>0.01</v>
      </c>
      <c r="M225" s="787">
        <v>20</v>
      </c>
      <c r="N225" s="787">
        <v>0.01</v>
      </c>
      <c r="O225" s="788">
        <v>41955</v>
      </c>
    </row>
    <row r="226" spans="1:15" x14ac:dyDescent="0.25">
      <c r="A226" s="786" t="s">
        <v>1238</v>
      </c>
      <c r="B226" s="787">
        <v>4</v>
      </c>
      <c r="C226" s="787" t="s">
        <v>1239</v>
      </c>
      <c r="D226" s="787">
        <v>0</v>
      </c>
      <c r="E226" s="787">
        <v>0</v>
      </c>
      <c r="H226" s="787">
        <v>1</v>
      </c>
      <c r="L226" s="787">
        <v>0.12</v>
      </c>
      <c r="M226" s="787">
        <v>20</v>
      </c>
      <c r="N226" s="787">
        <v>0</v>
      </c>
    </row>
    <row r="227" spans="1:15" x14ac:dyDescent="0.25">
      <c r="A227" s="786" t="s">
        <v>1240</v>
      </c>
      <c r="B227" s="787">
        <v>4</v>
      </c>
      <c r="C227" s="787" t="s">
        <v>1241</v>
      </c>
      <c r="D227" s="787">
        <v>7.0000000000000007E-2</v>
      </c>
      <c r="E227" s="787">
        <v>7.0000000000000007E-2</v>
      </c>
      <c r="F227" s="788">
        <v>37636</v>
      </c>
      <c r="G227" s="788">
        <v>38364</v>
      </c>
      <c r="H227" s="787">
        <v>1</v>
      </c>
      <c r="I227" s="788">
        <v>39155</v>
      </c>
      <c r="J227" s="788">
        <v>39155</v>
      </c>
      <c r="L227" s="787">
        <v>7.0000000000000007E-2</v>
      </c>
      <c r="M227" s="787">
        <v>20</v>
      </c>
      <c r="N227" s="787">
        <v>0.08</v>
      </c>
      <c r="O227" s="788">
        <v>41955</v>
      </c>
    </row>
    <row r="228" spans="1:15" x14ac:dyDescent="0.25">
      <c r="A228" s="786" t="s">
        <v>1242</v>
      </c>
      <c r="B228" s="787">
        <v>4</v>
      </c>
      <c r="C228" s="787" t="s">
        <v>1243</v>
      </c>
      <c r="D228" s="787">
        <v>0.04</v>
      </c>
      <c r="E228" s="787">
        <v>0.15</v>
      </c>
      <c r="F228" s="788">
        <v>37636</v>
      </c>
      <c r="G228" s="788">
        <v>38364</v>
      </c>
      <c r="H228" s="787">
        <v>1</v>
      </c>
      <c r="I228" s="788">
        <v>39155</v>
      </c>
      <c r="J228" s="788">
        <v>39155</v>
      </c>
      <c r="L228" s="787">
        <v>0.15</v>
      </c>
      <c r="M228" s="787">
        <v>20</v>
      </c>
      <c r="N228" s="787">
        <v>0.16</v>
      </c>
      <c r="O228" s="788">
        <v>41955</v>
      </c>
    </row>
    <row r="229" spans="1:15" x14ac:dyDescent="0.25">
      <c r="A229" s="786" t="s">
        <v>1244</v>
      </c>
      <c r="B229" s="787">
        <v>4</v>
      </c>
      <c r="C229" s="787" t="s">
        <v>1245</v>
      </c>
      <c r="D229" s="787">
        <v>0.04</v>
      </c>
      <c r="E229" s="787">
        <v>0.04</v>
      </c>
      <c r="F229" s="788">
        <v>37636</v>
      </c>
      <c r="G229" s="788">
        <v>38364</v>
      </c>
      <c r="H229" s="787">
        <v>1</v>
      </c>
      <c r="I229" s="788">
        <v>39155</v>
      </c>
      <c r="J229" s="788">
        <v>39155</v>
      </c>
      <c r="L229" s="787">
        <v>0.04</v>
      </c>
      <c r="M229" s="787">
        <v>20</v>
      </c>
      <c r="N229" s="787">
        <v>0.04</v>
      </c>
      <c r="O229" s="788">
        <v>41955</v>
      </c>
    </row>
    <row r="230" spans="1:15" x14ac:dyDescent="0.25">
      <c r="A230" s="786" t="s">
        <v>1246</v>
      </c>
      <c r="B230" s="787">
        <v>4</v>
      </c>
      <c r="C230" s="787" t="s">
        <v>1245</v>
      </c>
      <c r="D230" s="787">
        <v>0.05</v>
      </c>
      <c r="E230" s="787">
        <v>0.05</v>
      </c>
      <c r="F230" s="788">
        <v>37636</v>
      </c>
      <c r="G230" s="788">
        <v>37636</v>
      </c>
      <c r="H230" s="787">
        <v>1</v>
      </c>
      <c r="I230" s="788">
        <v>39155</v>
      </c>
      <c r="J230" s="788">
        <v>39155</v>
      </c>
      <c r="L230" s="787">
        <v>0.05</v>
      </c>
      <c r="M230" s="787">
        <v>20</v>
      </c>
      <c r="N230" s="787">
        <v>0.05</v>
      </c>
      <c r="O230" s="788">
        <v>41955</v>
      </c>
    </row>
    <row r="231" spans="1:15" x14ac:dyDescent="0.25">
      <c r="A231" s="786" t="s">
        <v>1247</v>
      </c>
      <c r="B231" s="787">
        <v>4</v>
      </c>
      <c r="C231" s="787" t="s">
        <v>1248</v>
      </c>
      <c r="D231" s="787">
        <v>0.03</v>
      </c>
      <c r="E231" s="787">
        <v>0.03</v>
      </c>
      <c r="F231" s="788">
        <v>37636</v>
      </c>
      <c r="G231" s="788">
        <v>38364</v>
      </c>
      <c r="H231" s="787">
        <v>6</v>
      </c>
      <c r="I231" s="788">
        <v>42058</v>
      </c>
      <c r="J231" s="788">
        <v>39155</v>
      </c>
      <c r="L231" s="787">
        <v>0.03</v>
      </c>
      <c r="M231" s="787">
        <v>20</v>
      </c>
      <c r="N231" s="787">
        <v>0.03</v>
      </c>
      <c r="O231" s="788">
        <v>42146</v>
      </c>
    </row>
    <row r="232" spans="1:15" x14ac:dyDescent="0.25">
      <c r="A232" s="786" t="s">
        <v>1249</v>
      </c>
      <c r="B232" s="787">
        <v>4</v>
      </c>
      <c r="C232" s="787" t="s">
        <v>1250</v>
      </c>
      <c r="D232" s="787">
        <v>0</v>
      </c>
      <c r="E232" s="787">
        <v>0</v>
      </c>
      <c r="H232" s="787">
        <v>1</v>
      </c>
      <c r="I232" s="788">
        <v>42069</v>
      </c>
      <c r="L232" s="787">
        <v>0.01</v>
      </c>
      <c r="M232" s="787">
        <v>20</v>
      </c>
      <c r="N232" s="787">
        <v>0.01</v>
      </c>
      <c r="O232" s="788">
        <v>41955</v>
      </c>
    </row>
    <row r="233" spans="1:15" x14ac:dyDescent="0.25">
      <c r="A233" s="786" t="s">
        <v>1251</v>
      </c>
      <c r="B233" s="787">
        <v>4</v>
      </c>
      <c r="C233" s="787" t="s">
        <v>1252</v>
      </c>
      <c r="D233" s="787">
        <v>0</v>
      </c>
      <c r="E233" s="787">
        <v>0</v>
      </c>
      <c r="G233" s="787" t="s">
        <v>1067</v>
      </c>
      <c r="H233" s="787">
        <v>6</v>
      </c>
      <c r="L233" s="787">
        <v>0</v>
      </c>
      <c r="M233" s="787">
        <v>10</v>
      </c>
      <c r="N233" s="787">
        <v>0</v>
      </c>
      <c r="O233" s="788">
        <v>41543</v>
      </c>
    </row>
    <row r="234" spans="1:15" x14ac:dyDescent="0.25">
      <c r="A234" s="786" t="s">
        <v>1253</v>
      </c>
      <c r="B234" s="787">
        <v>4</v>
      </c>
      <c r="C234" s="787" t="s">
        <v>1254</v>
      </c>
      <c r="D234" s="787">
        <v>0.11</v>
      </c>
      <c r="E234" s="787">
        <v>0.11</v>
      </c>
      <c r="F234" s="788">
        <v>37636</v>
      </c>
      <c r="G234" s="788">
        <v>38364</v>
      </c>
      <c r="H234" s="787">
        <v>1</v>
      </c>
      <c r="I234" s="788">
        <v>42163</v>
      </c>
      <c r="J234" s="788">
        <v>39155</v>
      </c>
      <c r="L234" s="787">
        <v>0.11</v>
      </c>
      <c r="M234" s="787">
        <v>20</v>
      </c>
      <c r="N234" s="787">
        <v>0.12</v>
      </c>
      <c r="O234" s="788">
        <v>42164</v>
      </c>
    </row>
    <row r="235" spans="1:15" x14ac:dyDescent="0.25">
      <c r="A235" s="786" t="s">
        <v>1255</v>
      </c>
      <c r="B235" s="787">
        <v>4</v>
      </c>
      <c r="C235" s="787" t="s">
        <v>1256</v>
      </c>
      <c r="D235" s="787">
        <v>0</v>
      </c>
      <c r="E235" s="787">
        <v>0</v>
      </c>
      <c r="H235" s="787">
        <v>1</v>
      </c>
      <c r="I235" s="788">
        <v>42093</v>
      </c>
      <c r="L235" s="787">
        <v>0.05</v>
      </c>
      <c r="M235" s="787">
        <v>20</v>
      </c>
      <c r="N235" s="787">
        <v>0.05</v>
      </c>
      <c r="O235" s="788">
        <v>42163</v>
      </c>
    </row>
    <row r="236" spans="1:15" x14ac:dyDescent="0.25">
      <c r="A236" s="786" t="s">
        <v>1257</v>
      </c>
      <c r="B236" s="787">
        <v>4</v>
      </c>
      <c r="C236" s="787" t="s">
        <v>1256</v>
      </c>
      <c r="D236" s="787">
        <v>0</v>
      </c>
      <c r="E236" s="787">
        <v>0</v>
      </c>
      <c r="H236" s="787">
        <v>1</v>
      </c>
      <c r="I236" s="788">
        <v>42016</v>
      </c>
      <c r="L236" s="787">
        <v>0.05</v>
      </c>
      <c r="M236" s="787">
        <v>20</v>
      </c>
      <c r="N236" s="787">
        <v>0.05</v>
      </c>
      <c r="O236" s="788">
        <v>42163</v>
      </c>
    </row>
    <row r="237" spans="1:15" x14ac:dyDescent="0.25">
      <c r="A237" s="786" t="s">
        <v>1258</v>
      </c>
      <c r="B237" s="787">
        <v>4</v>
      </c>
      <c r="C237" s="787" t="s">
        <v>1259</v>
      </c>
      <c r="D237" s="787">
        <v>0.15</v>
      </c>
      <c r="E237" s="787">
        <v>0.15</v>
      </c>
      <c r="F237" s="788">
        <v>37648</v>
      </c>
      <c r="G237" s="788">
        <v>38364</v>
      </c>
      <c r="H237" s="787">
        <v>1</v>
      </c>
      <c r="I237" s="788">
        <v>42132</v>
      </c>
      <c r="J237" s="788">
        <v>39155</v>
      </c>
      <c r="L237" s="787">
        <v>0.16</v>
      </c>
      <c r="M237" s="787">
        <v>20</v>
      </c>
      <c r="N237" s="787">
        <v>0.17</v>
      </c>
      <c r="O237" s="788">
        <v>42146</v>
      </c>
    </row>
    <row r="238" spans="1:15" x14ac:dyDescent="0.25">
      <c r="A238" s="786" t="s">
        <v>1260</v>
      </c>
      <c r="B238" s="787">
        <v>4</v>
      </c>
      <c r="C238" s="787" t="s">
        <v>1261</v>
      </c>
      <c r="D238" s="787">
        <v>0.12</v>
      </c>
      <c r="E238" s="787">
        <v>0.12</v>
      </c>
      <c r="F238" s="788">
        <v>37635</v>
      </c>
      <c r="G238" s="788">
        <v>38364</v>
      </c>
      <c r="H238" s="787">
        <v>1</v>
      </c>
      <c r="I238" s="788">
        <v>42166</v>
      </c>
      <c r="J238" s="788">
        <v>39155</v>
      </c>
      <c r="L238" s="787">
        <v>0.12</v>
      </c>
      <c r="M238" s="787">
        <v>20</v>
      </c>
      <c r="N238" s="787">
        <v>0.13</v>
      </c>
      <c r="O238" s="788">
        <v>42163</v>
      </c>
    </row>
    <row r="239" spans="1:15" x14ac:dyDescent="0.25">
      <c r="A239" s="786" t="s">
        <v>1262</v>
      </c>
      <c r="B239" s="787">
        <v>4</v>
      </c>
      <c r="C239" s="787" t="s">
        <v>1259</v>
      </c>
      <c r="D239" s="787">
        <v>0.11</v>
      </c>
      <c r="E239" s="787">
        <v>0.11</v>
      </c>
      <c r="F239" s="788">
        <v>37635</v>
      </c>
      <c r="G239" s="788">
        <v>38364</v>
      </c>
      <c r="H239" s="787">
        <v>1</v>
      </c>
      <c r="I239" s="788">
        <v>42166</v>
      </c>
      <c r="J239" s="788">
        <v>39155</v>
      </c>
      <c r="L239" s="787">
        <v>0.11</v>
      </c>
      <c r="M239" s="787">
        <v>20</v>
      </c>
      <c r="N239" s="787">
        <v>0.12</v>
      </c>
      <c r="O239" s="788">
        <v>42163</v>
      </c>
    </row>
    <row r="240" spans="1:15" x14ac:dyDescent="0.25">
      <c r="A240" s="786" t="s">
        <v>1263</v>
      </c>
      <c r="B240" s="787">
        <v>4</v>
      </c>
      <c r="C240" s="787" t="s">
        <v>1264</v>
      </c>
      <c r="D240" s="787">
        <v>0</v>
      </c>
      <c r="E240" s="787">
        <v>0</v>
      </c>
      <c r="H240" s="787">
        <v>1</v>
      </c>
      <c r="I240" s="788">
        <v>42086</v>
      </c>
      <c r="L240" s="787">
        <v>0.1</v>
      </c>
      <c r="M240" s="787">
        <v>20</v>
      </c>
      <c r="N240" s="787">
        <v>0.11</v>
      </c>
      <c r="O240" s="788">
        <v>41955</v>
      </c>
    </row>
    <row r="241" spans="1:15" x14ac:dyDescent="0.25">
      <c r="A241" s="786" t="s">
        <v>1265</v>
      </c>
      <c r="B241" s="787">
        <v>4</v>
      </c>
      <c r="C241" s="787" t="s">
        <v>1264</v>
      </c>
      <c r="D241" s="787">
        <v>0</v>
      </c>
      <c r="E241" s="787">
        <v>0</v>
      </c>
      <c r="H241" s="787">
        <v>1</v>
      </c>
      <c r="I241" s="788">
        <v>42086</v>
      </c>
      <c r="L241" s="787">
        <v>0.1</v>
      </c>
      <c r="M241" s="787">
        <v>20</v>
      </c>
      <c r="N241" s="787">
        <v>0.11</v>
      </c>
      <c r="O241" s="788">
        <v>42072</v>
      </c>
    </row>
    <row r="242" spans="1:15" x14ac:dyDescent="0.25">
      <c r="A242" s="786" t="s">
        <v>1266</v>
      </c>
      <c r="B242" s="787">
        <v>4</v>
      </c>
      <c r="C242" s="787" t="s">
        <v>1256</v>
      </c>
      <c r="D242" s="787">
        <v>0</v>
      </c>
      <c r="E242" s="787">
        <v>0</v>
      </c>
      <c r="H242" s="787">
        <v>1</v>
      </c>
      <c r="L242" s="787">
        <v>0.06</v>
      </c>
      <c r="M242" s="787">
        <v>20</v>
      </c>
      <c r="N242" s="787">
        <v>0.06</v>
      </c>
      <c r="O242" s="788">
        <v>42163</v>
      </c>
    </row>
    <row r="243" spans="1:15" x14ac:dyDescent="0.25">
      <c r="A243" s="786" t="s">
        <v>1267</v>
      </c>
      <c r="B243" s="787">
        <v>4</v>
      </c>
      <c r="C243" s="787" t="s">
        <v>1256</v>
      </c>
      <c r="D243" s="787">
        <v>0</v>
      </c>
      <c r="E243" s="787">
        <v>0</v>
      </c>
      <c r="H243" s="787">
        <v>1</v>
      </c>
      <c r="I243" s="788">
        <v>42080</v>
      </c>
      <c r="L243" s="787">
        <v>0.02</v>
      </c>
      <c r="M243" s="787">
        <v>20</v>
      </c>
      <c r="N243" s="787">
        <v>0.02</v>
      </c>
      <c r="O243" s="788">
        <v>42163</v>
      </c>
    </row>
    <row r="244" spans="1:15" x14ac:dyDescent="0.25">
      <c r="A244" s="786" t="s">
        <v>1268</v>
      </c>
      <c r="B244" s="787">
        <v>4</v>
      </c>
      <c r="C244" s="787" t="s">
        <v>1256</v>
      </c>
      <c r="D244" s="787">
        <v>0</v>
      </c>
      <c r="E244" s="787">
        <v>0</v>
      </c>
      <c r="H244" s="787">
        <v>1</v>
      </c>
      <c r="L244" s="787">
        <v>0.05</v>
      </c>
      <c r="M244" s="787">
        <v>20</v>
      </c>
      <c r="N244" s="787">
        <v>0.05</v>
      </c>
      <c r="O244" s="788">
        <v>41955</v>
      </c>
    </row>
    <row r="245" spans="1:15" x14ac:dyDescent="0.25">
      <c r="A245" s="786" t="s">
        <v>1269</v>
      </c>
      <c r="B245" s="787">
        <v>4</v>
      </c>
      <c r="C245" s="787" t="s">
        <v>1256</v>
      </c>
      <c r="D245" s="787">
        <v>0</v>
      </c>
      <c r="E245" s="787">
        <v>0</v>
      </c>
      <c r="H245" s="787">
        <v>1</v>
      </c>
      <c r="I245" s="788">
        <v>41814</v>
      </c>
      <c r="L245" s="787">
        <v>0.02</v>
      </c>
      <c r="M245" s="787">
        <v>20</v>
      </c>
      <c r="N245" s="787">
        <v>0.02</v>
      </c>
      <c r="O245" s="788">
        <v>41955</v>
      </c>
    </row>
    <row r="246" spans="1:15" x14ac:dyDescent="0.25">
      <c r="A246" s="786" t="s">
        <v>1270</v>
      </c>
      <c r="B246" s="787">
        <v>4</v>
      </c>
      <c r="C246" s="787" t="s">
        <v>1271</v>
      </c>
      <c r="D246" s="787">
        <v>0.03</v>
      </c>
      <c r="E246" s="787">
        <v>0.03</v>
      </c>
      <c r="F246" s="788">
        <v>38572</v>
      </c>
      <c r="G246" s="788">
        <v>38572</v>
      </c>
      <c r="H246" s="787">
        <v>1</v>
      </c>
      <c r="I246" s="788">
        <v>39155</v>
      </c>
      <c r="J246" s="788">
        <v>39155</v>
      </c>
      <c r="K246" s="788">
        <v>41869</v>
      </c>
      <c r="L246" s="787">
        <v>0.03</v>
      </c>
      <c r="M246" s="787">
        <v>20</v>
      </c>
      <c r="N246" s="787">
        <v>0.03</v>
      </c>
      <c r="O246" s="788">
        <v>41955</v>
      </c>
    </row>
    <row r="247" spans="1:15" x14ac:dyDescent="0.25">
      <c r="A247" s="786" t="s">
        <v>1272</v>
      </c>
      <c r="B247" s="787">
        <v>4</v>
      </c>
      <c r="C247" s="787" t="s">
        <v>1273</v>
      </c>
      <c r="D247" s="787">
        <v>0.04</v>
      </c>
      <c r="E247" s="787">
        <v>0.04</v>
      </c>
      <c r="F247" s="788">
        <v>37635</v>
      </c>
      <c r="G247" s="788">
        <v>37635</v>
      </c>
      <c r="H247" s="787">
        <v>1</v>
      </c>
      <c r="I247" s="788">
        <v>42076</v>
      </c>
      <c r="J247" s="788">
        <v>39155</v>
      </c>
      <c r="L247" s="787">
        <v>0.04</v>
      </c>
      <c r="M247" s="787">
        <v>20</v>
      </c>
      <c r="N247" s="787">
        <v>0.04</v>
      </c>
      <c r="O247" s="788">
        <v>41955</v>
      </c>
    </row>
    <row r="248" spans="1:15" x14ac:dyDescent="0.25">
      <c r="A248" s="786" t="s">
        <v>1274</v>
      </c>
      <c r="B248" s="787">
        <v>4</v>
      </c>
      <c r="C248" s="787" t="s">
        <v>1275</v>
      </c>
      <c r="D248" s="787">
        <v>0.01</v>
      </c>
      <c r="E248" s="787">
        <v>0.01</v>
      </c>
      <c r="F248" s="788">
        <v>38047</v>
      </c>
      <c r="G248" s="788">
        <v>38364</v>
      </c>
      <c r="H248" s="787">
        <v>1</v>
      </c>
      <c r="I248" s="788">
        <v>41782</v>
      </c>
      <c r="J248" s="788">
        <v>39155</v>
      </c>
      <c r="L248" s="787">
        <v>0.01</v>
      </c>
      <c r="M248" s="787">
        <v>20</v>
      </c>
      <c r="N248" s="787">
        <v>0.01</v>
      </c>
      <c r="O248" s="788">
        <v>41955</v>
      </c>
    </row>
    <row r="249" spans="1:15" x14ac:dyDescent="0.25">
      <c r="A249" s="786" t="s">
        <v>1276</v>
      </c>
      <c r="B249" s="787">
        <v>4</v>
      </c>
      <c r="C249" s="787" t="s">
        <v>1275</v>
      </c>
      <c r="D249" s="787">
        <v>0.03</v>
      </c>
      <c r="E249" s="787">
        <v>0.03</v>
      </c>
      <c r="F249" s="788">
        <v>38047</v>
      </c>
      <c r="G249" s="788">
        <v>38364</v>
      </c>
      <c r="H249" s="787">
        <v>1</v>
      </c>
      <c r="I249" s="788">
        <v>41782</v>
      </c>
      <c r="J249" s="788">
        <v>39155</v>
      </c>
      <c r="L249" s="787">
        <v>0.03</v>
      </c>
      <c r="M249" s="787">
        <v>20</v>
      </c>
      <c r="N249" s="787">
        <v>0.03</v>
      </c>
      <c r="O249" s="788">
        <v>41955</v>
      </c>
    </row>
    <row r="250" spans="1:15" x14ac:dyDescent="0.25">
      <c r="A250" s="786" t="s">
        <v>1277</v>
      </c>
      <c r="B250" s="787">
        <v>4</v>
      </c>
      <c r="C250" s="787" t="s">
        <v>1275</v>
      </c>
      <c r="D250" s="787">
        <v>0.02</v>
      </c>
      <c r="E250" s="787">
        <v>0.04</v>
      </c>
      <c r="F250" s="788">
        <v>37635</v>
      </c>
      <c r="G250" s="788">
        <v>38566</v>
      </c>
      <c r="H250" s="787">
        <v>1</v>
      </c>
      <c r="I250" s="788">
        <v>39155</v>
      </c>
      <c r="J250" s="788">
        <v>39155</v>
      </c>
      <c r="L250" s="787">
        <v>0.04</v>
      </c>
      <c r="M250" s="787">
        <v>20</v>
      </c>
      <c r="N250" s="787">
        <v>0.04</v>
      </c>
      <c r="O250" s="788">
        <v>41955</v>
      </c>
    </row>
    <row r="251" spans="1:15" x14ac:dyDescent="0.25">
      <c r="A251" s="786" t="s">
        <v>1278</v>
      </c>
      <c r="B251" s="787">
        <v>4</v>
      </c>
      <c r="C251" s="787" t="s">
        <v>1275</v>
      </c>
      <c r="D251" s="787">
        <v>0.02</v>
      </c>
      <c r="E251" s="787">
        <v>0.02</v>
      </c>
      <c r="F251" s="788">
        <v>37635</v>
      </c>
      <c r="G251" s="788">
        <v>38364</v>
      </c>
      <c r="H251" s="787">
        <v>1</v>
      </c>
      <c r="I251" s="788">
        <v>39155</v>
      </c>
      <c r="J251" s="788">
        <v>39155</v>
      </c>
      <c r="L251" s="787">
        <v>0.02</v>
      </c>
      <c r="M251" s="787">
        <v>20</v>
      </c>
      <c r="N251" s="787">
        <v>0.02</v>
      </c>
      <c r="O251" s="788">
        <v>41955</v>
      </c>
    </row>
    <row r="252" spans="1:15" x14ac:dyDescent="0.25">
      <c r="A252" s="786" t="s">
        <v>1279</v>
      </c>
      <c r="B252" s="787">
        <v>4</v>
      </c>
      <c r="C252" s="787" t="s">
        <v>1280</v>
      </c>
      <c r="D252" s="787">
        <v>0</v>
      </c>
      <c r="E252" s="787">
        <v>0</v>
      </c>
      <c r="H252" s="787">
        <v>1</v>
      </c>
      <c r="I252" s="788">
        <v>42055</v>
      </c>
      <c r="L252" s="787">
        <v>0.15</v>
      </c>
      <c r="M252" s="787">
        <v>20</v>
      </c>
      <c r="N252" s="787">
        <v>0</v>
      </c>
    </row>
    <row r="253" spans="1:15" x14ac:dyDescent="0.25">
      <c r="A253" s="786" t="s">
        <v>1281</v>
      </c>
      <c r="B253" s="787">
        <v>4</v>
      </c>
      <c r="C253" s="787" t="s">
        <v>1275</v>
      </c>
      <c r="D253" s="787">
        <v>0.15</v>
      </c>
      <c r="E253" s="787">
        <v>0.15</v>
      </c>
      <c r="F253" s="788">
        <v>38047</v>
      </c>
      <c r="G253" s="788">
        <v>38364</v>
      </c>
      <c r="H253" s="787">
        <v>1</v>
      </c>
      <c r="I253" s="788">
        <v>39155</v>
      </c>
      <c r="J253" s="788">
        <v>39155</v>
      </c>
      <c r="L253" s="787">
        <v>0.15</v>
      </c>
      <c r="M253" s="787">
        <v>20</v>
      </c>
      <c r="N253" s="787">
        <v>0.16</v>
      </c>
      <c r="O253" s="788">
        <v>41955</v>
      </c>
    </row>
    <row r="254" spans="1:15" x14ac:dyDescent="0.25">
      <c r="A254" s="786" t="s">
        <v>1282</v>
      </c>
      <c r="B254" s="787">
        <v>4</v>
      </c>
      <c r="C254" s="787" t="s">
        <v>1275</v>
      </c>
      <c r="D254" s="787">
        <v>0.02</v>
      </c>
      <c r="E254" s="787">
        <v>0.02</v>
      </c>
      <c r="F254" s="788">
        <v>37648</v>
      </c>
      <c r="G254" s="788">
        <v>37648</v>
      </c>
      <c r="H254" s="787">
        <v>1</v>
      </c>
      <c r="I254" s="788">
        <v>39155</v>
      </c>
      <c r="J254" s="788">
        <v>39155</v>
      </c>
      <c r="L254" s="787">
        <v>0.02</v>
      </c>
      <c r="M254" s="787">
        <v>20</v>
      </c>
      <c r="N254" s="787">
        <v>0.02</v>
      </c>
      <c r="O254" s="788">
        <v>41955</v>
      </c>
    </row>
    <row r="255" spans="1:15" x14ac:dyDescent="0.25">
      <c r="A255" s="786" t="s">
        <v>1283</v>
      </c>
      <c r="B255" s="787">
        <v>4</v>
      </c>
      <c r="C255" s="787" t="s">
        <v>1275</v>
      </c>
      <c r="D255" s="787">
        <v>0.01</v>
      </c>
      <c r="E255" s="787">
        <v>0.01</v>
      </c>
      <c r="F255" s="788">
        <v>38047</v>
      </c>
      <c r="G255" s="788">
        <v>38364</v>
      </c>
      <c r="H255" s="787">
        <v>1</v>
      </c>
      <c r="I255" s="788">
        <v>42040</v>
      </c>
      <c r="J255" s="788">
        <v>39155</v>
      </c>
      <c r="L255" s="787">
        <v>0.01</v>
      </c>
      <c r="M255" s="787">
        <v>20</v>
      </c>
      <c r="N255" s="787">
        <v>0.01</v>
      </c>
      <c r="O255" s="788">
        <v>41955</v>
      </c>
    </row>
    <row r="256" spans="1:15" x14ac:dyDescent="0.25">
      <c r="A256" s="786" t="s">
        <v>1284</v>
      </c>
      <c r="B256" s="787">
        <v>4</v>
      </c>
      <c r="C256" s="787" t="s">
        <v>1275</v>
      </c>
      <c r="D256" s="787">
        <v>0.04</v>
      </c>
      <c r="E256" s="787">
        <v>0.04</v>
      </c>
      <c r="F256" s="788">
        <v>38047</v>
      </c>
      <c r="G256" s="788">
        <v>38364</v>
      </c>
      <c r="H256" s="787">
        <v>1</v>
      </c>
      <c r="I256" s="788">
        <v>42040</v>
      </c>
      <c r="J256" s="788">
        <v>39155</v>
      </c>
      <c r="L256" s="787">
        <v>0.04</v>
      </c>
      <c r="M256" s="787">
        <v>20</v>
      </c>
      <c r="N256" s="787">
        <v>0.04</v>
      </c>
      <c r="O256" s="788">
        <v>41955</v>
      </c>
    </row>
    <row r="257" spans="1:15" x14ac:dyDescent="0.25">
      <c r="A257" s="786" t="s">
        <v>1285</v>
      </c>
      <c r="B257" s="787">
        <v>4</v>
      </c>
      <c r="C257" s="787" t="s">
        <v>1275</v>
      </c>
      <c r="D257" s="787">
        <v>0.05</v>
      </c>
      <c r="E257" s="787">
        <v>0.05</v>
      </c>
      <c r="F257" s="788">
        <v>38047</v>
      </c>
      <c r="G257" s="788">
        <v>38364</v>
      </c>
      <c r="H257" s="787">
        <v>1</v>
      </c>
      <c r="I257" s="788">
        <v>39155</v>
      </c>
      <c r="J257" s="788">
        <v>39155</v>
      </c>
      <c r="L257" s="787">
        <v>0.05</v>
      </c>
      <c r="M257" s="787">
        <v>20</v>
      </c>
      <c r="N257" s="787">
        <v>0.05</v>
      </c>
      <c r="O257" s="788">
        <v>41955</v>
      </c>
    </row>
    <row r="258" spans="1:15" x14ac:dyDescent="0.25">
      <c r="A258" s="786" t="s">
        <v>1286</v>
      </c>
      <c r="B258" s="787">
        <v>4</v>
      </c>
      <c r="C258" s="787" t="s">
        <v>1275</v>
      </c>
      <c r="D258" s="787">
        <v>0.04</v>
      </c>
      <c r="E258" s="787">
        <v>0.04</v>
      </c>
      <c r="F258" s="788">
        <v>38047</v>
      </c>
      <c r="G258" s="788">
        <v>38364</v>
      </c>
      <c r="H258" s="787">
        <v>1</v>
      </c>
      <c r="I258" s="788">
        <v>39155</v>
      </c>
      <c r="J258" s="788">
        <v>39155</v>
      </c>
      <c r="L258" s="787">
        <v>0.04</v>
      </c>
      <c r="M258" s="787">
        <v>20</v>
      </c>
      <c r="N258" s="787">
        <v>0.04</v>
      </c>
      <c r="O258" s="788">
        <v>41955</v>
      </c>
    </row>
    <row r="259" spans="1:15" x14ac:dyDescent="0.25">
      <c r="A259" s="786" t="s">
        <v>1287</v>
      </c>
      <c r="B259" s="787">
        <v>4</v>
      </c>
      <c r="C259" s="787" t="s">
        <v>1275</v>
      </c>
      <c r="D259" s="787">
        <v>0.02</v>
      </c>
      <c r="E259" s="787">
        <v>0.02</v>
      </c>
      <c r="F259" s="788">
        <v>37635</v>
      </c>
      <c r="G259" s="788">
        <v>38364</v>
      </c>
      <c r="H259" s="787">
        <v>1</v>
      </c>
      <c r="I259" s="788">
        <v>39155</v>
      </c>
      <c r="J259" s="788">
        <v>39155</v>
      </c>
      <c r="L259" s="787">
        <v>0.02</v>
      </c>
      <c r="M259" s="787">
        <v>20</v>
      </c>
      <c r="N259" s="787">
        <v>0.02</v>
      </c>
      <c r="O259" s="788">
        <v>42162</v>
      </c>
    </row>
    <row r="260" spans="1:15" x14ac:dyDescent="0.25">
      <c r="A260" s="786" t="s">
        <v>1288</v>
      </c>
      <c r="B260" s="787">
        <v>4</v>
      </c>
      <c r="C260" s="787" t="s">
        <v>1275</v>
      </c>
      <c r="D260" s="787">
        <v>0.01</v>
      </c>
      <c r="E260" s="787">
        <v>0.01</v>
      </c>
      <c r="F260" s="788">
        <v>37635</v>
      </c>
      <c r="G260" s="788">
        <v>38364</v>
      </c>
      <c r="H260" s="787">
        <v>1</v>
      </c>
      <c r="I260" s="788">
        <v>42132</v>
      </c>
      <c r="J260" s="788">
        <v>39155</v>
      </c>
      <c r="L260" s="787">
        <v>0.01</v>
      </c>
      <c r="M260" s="787">
        <v>20</v>
      </c>
      <c r="N260" s="787">
        <v>0.01</v>
      </c>
      <c r="O260" s="788">
        <v>41955</v>
      </c>
    </row>
    <row r="261" spans="1:15" x14ac:dyDescent="0.25">
      <c r="A261" s="786" t="s">
        <v>1289</v>
      </c>
      <c r="B261" s="787">
        <v>4</v>
      </c>
      <c r="C261" s="787" t="s">
        <v>1275</v>
      </c>
      <c r="D261" s="787">
        <v>0.03</v>
      </c>
      <c r="E261" s="787">
        <v>0.03</v>
      </c>
      <c r="F261" s="788">
        <v>38047</v>
      </c>
      <c r="G261" s="788">
        <v>38364</v>
      </c>
      <c r="H261" s="787">
        <v>1</v>
      </c>
      <c r="I261" s="788">
        <v>39155</v>
      </c>
      <c r="J261" s="788">
        <v>39155</v>
      </c>
      <c r="L261" s="787">
        <v>0.03</v>
      </c>
      <c r="M261" s="787">
        <v>20</v>
      </c>
      <c r="N261" s="787">
        <v>0.03</v>
      </c>
      <c r="O261" s="788">
        <v>41955</v>
      </c>
    </row>
    <row r="262" spans="1:15" x14ac:dyDescent="0.25">
      <c r="A262" s="786" t="s">
        <v>1290</v>
      </c>
      <c r="B262" s="787">
        <v>4</v>
      </c>
      <c r="C262" s="787" t="s">
        <v>1275</v>
      </c>
      <c r="D262" s="787">
        <v>0.02</v>
      </c>
      <c r="E262" s="787">
        <v>0.02</v>
      </c>
      <c r="F262" s="788">
        <v>37635</v>
      </c>
      <c r="G262" s="788">
        <v>37635</v>
      </c>
      <c r="H262" s="787">
        <v>1</v>
      </c>
      <c r="I262" s="788">
        <v>39155</v>
      </c>
      <c r="J262" s="788">
        <v>39155</v>
      </c>
      <c r="L262" s="787">
        <v>0.02</v>
      </c>
      <c r="M262" s="787">
        <v>20</v>
      </c>
      <c r="N262" s="787">
        <v>0.02</v>
      </c>
      <c r="O262" s="788">
        <v>41955</v>
      </c>
    </row>
    <row r="263" spans="1:15" x14ac:dyDescent="0.25">
      <c r="A263" s="786" t="s">
        <v>1291</v>
      </c>
      <c r="B263" s="787">
        <v>4</v>
      </c>
      <c r="C263" s="787" t="s">
        <v>1292</v>
      </c>
      <c r="D263" s="787">
        <v>0.02</v>
      </c>
      <c r="E263" s="787">
        <v>0.02</v>
      </c>
      <c r="F263" s="788">
        <v>37635</v>
      </c>
      <c r="G263" s="788">
        <v>37635</v>
      </c>
      <c r="H263" s="787">
        <v>1</v>
      </c>
      <c r="I263" s="788">
        <v>41908</v>
      </c>
      <c r="J263" s="788">
        <v>37635</v>
      </c>
      <c r="L263" s="787">
        <v>0.02</v>
      </c>
      <c r="M263" s="787">
        <v>20</v>
      </c>
      <c r="N263" s="787">
        <v>0.02</v>
      </c>
      <c r="O263" s="788">
        <v>42061</v>
      </c>
    </row>
    <row r="264" spans="1:15" x14ac:dyDescent="0.25">
      <c r="A264" s="786" t="s">
        <v>1293</v>
      </c>
      <c r="B264" s="787">
        <v>4</v>
      </c>
      <c r="C264" s="787" t="s">
        <v>1275</v>
      </c>
      <c r="D264" s="787">
        <v>0.03</v>
      </c>
      <c r="E264" s="787">
        <v>0.03</v>
      </c>
      <c r="F264" s="788">
        <v>37635</v>
      </c>
      <c r="G264" s="788">
        <v>37635</v>
      </c>
      <c r="H264" s="787">
        <v>1</v>
      </c>
      <c r="I264" s="788">
        <v>39155</v>
      </c>
      <c r="J264" s="788">
        <v>39155</v>
      </c>
      <c r="L264" s="787">
        <v>0.03</v>
      </c>
      <c r="M264" s="787">
        <v>20</v>
      </c>
      <c r="N264" s="787">
        <v>0.03</v>
      </c>
      <c r="O264" s="788">
        <v>41955</v>
      </c>
    </row>
    <row r="265" spans="1:15" x14ac:dyDescent="0.25">
      <c r="A265" s="786" t="s">
        <v>1294</v>
      </c>
      <c r="B265" s="787">
        <v>4</v>
      </c>
      <c r="C265" s="787" t="s">
        <v>1275</v>
      </c>
      <c r="D265" s="787">
        <v>0.03</v>
      </c>
      <c r="E265" s="787">
        <v>0.03</v>
      </c>
      <c r="F265" s="788">
        <v>37635</v>
      </c>
      <c r="G265" s="788">
        <v>37635</v>
      </c>
      <c r="H265" s="787">
        <v>1</v>
      </c>
      <c r="I265" s="788">
        <v>39155</v>
      </c>
      <c r="J265" s="788">
        <v>39155</v>
      </c>
      <c r="L265" s="787">
        <v>0.03</v>
      </c>
      <c r="M265" s="787">
        <v>20</v>
      </c>
      <c r="N265" s="787">
        <v>0.03</v>
      </c>
      <c r="O265" s="788">
        <v>41955</v>
      </c>
    </row>
    <row r="266" spans="1:15" x14ac:dyDescent="0.25">
      <c r="A266" s="786" t="s">
        <v>1295</v>
      </c>
      <c r="B266" s="787">
        <v>4</v>
      </c>
      <c r="C266" s="787" t="s">
        <v>1275</v>
      </c>
      <c r="D266" s="787">
        <v>0.02</v>
      </c>
      <c r="E266" s="787">
        <v>0.02</v>
      </c>
      <c r="F266" s="788">
        <v>37635</v>
      </c>
      <c r="G266" s="788">
        <v>38364</v>
      </c>
      <c r="H266" s="787">
        <v>1</v>
      </c>
      <c r="I266" s="788">
        <v>39155</v>
      </c>
      <c r="J266" s="788">
        <v>39155</v>
      </c>
      <c r="L266" s="787">
        <v>0.02</v>
      </c>
      <c r="M266" s="787">
        <v>20</v>
      </c>
      <c r="N266" s="787">
        <v>0.02</v>
      </c>
      <c r="O266" s="788">
        <v>41955</v>
      </c>
    </row>
    <row r="267" spans="1:15" x14ac:dyDescent="0.25">
      <c r="A267" s="786" t="s">
        <v>1296</v>
      </c>
      <c r="B267" s="787">
        <v>4</v>
      </c>
      <c r="C267" s="787" t="s">
        <v>1275</v>
      </c>
      <c r="D267" s="787">
        <v>0.01</v>
      </c>
      <c r="E267" s="787">
        <v>0.01</v>
      </c>
      <c r="F267" s="788">
        <v>38047</v>
      </c>
      <c r="G267" s="788">
        <v>38364</v>
      </c>
      <c r="H267" s="787">
        <v>1</v>
      </c>
      <c r="I267" s="788">
        <v>41576</v>
      </c>
      <c r="J267" s="788">
        <v>39155</v>
      </c>
      <c r="L267" s="787">
        <v>0.01</v>
      </c>
      <c r="M267" s="787">
        <v>20</v>
      </c>
      <c r="N267" s="787">
        <v>0.01</v>
      </c>
      <c r="O267" s="788">
        <v>42146</v>
      </c>
    </row>
    <row r="268" spans="1:15" x14ac:dyDescent="0.25">
      <c r="A268" s="786" t="s">
        <v>1297</v>
      </c>
      <c r="B268" s="787">
        <v>4</v>
      </c>
      <c r="C268" s="787" t="s">
        <v>1275</v>
      </c>
      <c r="D268" s="787">
        <v>0.02</v>
      </c>
      <c r="E268" s="787">
        <v>0.02</v>
      </c>
      <c r="F268" s="788">
        <v>37635</v>
      </c>
      <c r="G268" s="788">
        <v>38364</v>
      </c>
      <c r="H268" s="787">
        <v>1</v>
      </c>
      <c r="I268" s="788">
        <v>39155</v>
      </c>
      <c r="J268" s="788">
        <v>39155</v>
      </c>
      <c r="L268" s="787">
        <v>0.02</v>
      </c>
      <c r="M268" s="787">
        <v>20</v>
      </c>
      <c r="N268" s="787">
        <v>0.02</v>
      </c>
      <c r="O268" s="788">
        <v>41955</v>
      </c>
    </row>
    <row r="269" spans="1:15" x14ac:dyDescent="0.25">
      <c r="A269" s="786" t="s">
        <v>1298</v>
      </c>
      <c r="B269" s="787">
        <v>4</v>
      </c>
      <c r="C269" s="787" t="s">
        <v>1275</v>
      </c>
      <c r="D269" s="787">
        <v>0.01</v>
      </c>
      <c r="E269" s="787">
        <v>0.01</v>
      </c>
      <c r="F269" s="788">
        <v>38047</v>
      </c>
      <c r="G269" s="788">
        <v>38364</v>
      </c>
      <c r="H269" s="787">
        <v>1</v>
      </c>
      <c r="I269" s="788">
        <v>39155</v>
      </c>
      <c r="J269" s="788">
        <v>39155</v>
      </c>
      <c r="L269" s="787">
        <v>0.01</v>
      </c>
      <c r="M269" s="787">
        <v>20</v>
      </c>
      <c r="N269" s="787">
        <v>0.01</v>
      </c>
      <c r="O269" s="788">
        <v>41955</v>
      </c>
    </row>
    <row r="270" spans="1:15" x14ac:dyDescent="0.25">
      <c r="A270" s="786" t="s">
        <v>1299</v>
      </c>
      <c r="B270" s="787">
        <v>4</v>
      </c>
      <c r="C270" s="787" t="s">
        <v>1275</v>
      </c>
      <c r="D270" s="787">
        <v>0.02</v>
      </c>
      <c r="E270" s="787">
        <v>0.02</v>
      </c>
      <c r="F270" s="788">
        <v>38047</v>
      </c>
      <c r="G270" s="788">
        <v>38364</v>
      </c>
      <c r="H270" s="787">
        <v>1</v>
      </c>
      <c r="I270" s="788">
        <v>41960</v>
      </c>
      <c r="J270" s="788">
        <v>39155</v>
      </c>
      <c r="L270" s="787">
        <v>0.02</v>
      </c>
      <c r="M270" s="787">
        <v>20</v>
      </c>
      <c r="N270" s="787">
        <v>0.02</v>
      </c>
      <c r="O270" s="788">
        <v>42156</v>
      </c>
    </row>
    <row r="271" spans="1:15" x14ac:dyDescent="0.25">
      <c r="A271" s="786" t="s">
        <v>1300</v>
      </c>
      <c r="B271" s="787">
        <v>4</v>
      </c>
      <c r="C271" s="787" t="s">
        <v>1275</v>
      </c>
      <c r="D271" s="787">
        <v>0.02</v>
      </c>
      <c r="E271" s="787">
        <v>0.02</v>
      </c>
      <c r="F271" s="788">
        <v>37635</v>
      </c>
      <c r="G271" s="788">
        <v>37635</v>
      </c>
      <c r="H271" s="787">
        <v>1</v>
      </c>
      <c r="I271" s="788">
        <v>41227</v>
      </c>
      <c r="J271" s="788">
        <v>37635</v>
      </c>
      <c r="L271" s="787">
        <v>0.02</v>
      </c>
      <c r="M271" s="787">
        <v>20</v>
      </c>
      <c r="N271" s="787">
        <v>0.02</v>
      </c>
      <c r="O271" s="788">
        <v>41955</v>
      </c>
    </row>
    <row r="272" spans="1:15" x14ac:dyDescent="0.25">
      <c r="A272" s="786" t="s">
        <v>1301</v>
      </c>
      <c r="B272" s="787">
        <v>4</v>
      </c>
      <c r="C272" s="787" t="s">
        <v>1275</v>
      </c>
      <c r="D272" s="787">
        <v>0.02</v>
      </c>
      <c r="E272" s="787">
        <v>0.02</v>
      </c>
      <c r="F272" s="788">
        <v>37635</v>
      </c>
      <c r="G272" s="788">
        <v>38364</v>
      </c>
      <c r="H272" s="787">
        <v>1</v>
      </c>
      <c r="I272" s="788">
        <v>39155</v>
      </c>
      <c r="J272" s="788">
        <v>39155</v>
      </c>
      <c r="L272" s="787">
        <v>0.02</v>
      </c>
      <c r="M272" s="787">
        <v>20</v>
      </c>
      <c r="N272" s="787">
        <v>0.02</v>
      </c>
      <c r="O272" s="788">
        <v>41955</v>
      </c>
    </row>
    <row r="273" spans="1:15" x14ac:dyDescent="0.25">
      <c r="A273" s="786" t="s">
        <v>1302</v>
      </c>
      <c r="B273" s="787">
        <v>4</v>
      </c>
      <c r="C273" s="787" t="s">
        <v>1275</v>
      </c>
      <c r="D273" s="787">
        <v>0.03</v>
      </c>
      <c r="E273" s="787">
        <v>0.03</v>
      </c>
      <c r="F273" s="788">
        <v>38047</v>
      </c>
      <c r="G273" s="788">
        <v>38364</v>
      </c>
      <c r="H273" s="787">
        <v>1</v>
      </c>
      <c r="I273" s="788">
        <v>41865</v>
      </c>
      <c r="J273" s="788">
        <v>39155</v>
      </c>
      <c r="L273" s="787">
        <v>0.03</v>
      </c>
      <c r="M273" s="787">
        <v>20</v>
      </c>
      <c r="N273" s="787">
        <v>0.03</v>
      </c>
      <c r="O273" s="788">
        <v>41955</v>
      </c>
    </row>
    <row r="274" spans="1:15" x14ac:dyDescent="0.25">
      <c r="A274" s="786" t="s">
        <v>1303</v>
      </c>
      <c r="B274" s="787">
        <v>4</v>
      </c>
      <c r="C274" s="787" t="s">
        <v>1275</v>
      </c>
      <c r="D274" s="787">
        <v>0.03</v>
      </c>
      <c r="E274" s="787">
        <v>0.03</v>
      </c>
      <c r="F274" s="788">
        <v>37635</v>
      </c>
      <c r="G274" s="788">
        <v>37635</v>
      </c>
      <c r="H274" s="787">
        <v>1</v>
      </c>
      <c r="I274" s="788">
        <v>37659</v>
      </c>
      <c r="J274" s="788">
        <v>37635</v>
      </c>
      <c r="L274" s="787">
        <v>0.03</v>
      </c>
      <c r="M274" s="787">
        <v>20</v>
      </c>
      <c r="N274" s="787">
        <v>0.03</v>
      </c>
      <c r="O274" s="788">
        <v>41955</v>
      </c>
    </row>
    <row r="275" spans="1:15" x14ac:dyDescent="0.25">
      <c r="A275" s="786" t="s">
        <v>1304</v>
      </c>
      <c r="B275" s="787">
        <v>4</v>
      </c>
      <c r="C275" s="787" t="s">
        <v>1275</v>
      </c>
      <c r="D275" s="787">
        <v>0.03</v>
      </c>
      <c r="E275" s="787">
        <v>0.03</v>
      </c>
      <c r="F275" s="788">
        <v>37635</v>
      </c>
      <c r="G275" s="788">
        <v>37635</v>
      </c>
      <c r="H275" s="787">
        <v>1</v>
      </c>
      <c r="I275" s="788">
        <v>42107</v>
      </c>
      <c r="J275" s="788">
        <v>39155</v>
      </c>
      <c r="L275" s="787">
        <v>0.03</v>
      </c>
      <c r="M275" s="787">
        <v>20</v>
      </c>
      <c r="N275" s="787">
        <v>0.03</v>
      </c>
      <c r="O275" s="788">
        <v>42162</v>
      </c>
    </row>
    <row r="276" spans="1:15" x14ac:dyDescent="0.25">
      <c r="A276" s="786" t="s">
        <v>1305</v>
      </c>
      <c r="B276" s="787">
        <v>4</v>
      </c>
      <c r="C276" s="787" t="s">
        <v>1275</v>
      </c>
      <c r="D276" s="787">
        <v>0.08</v>
      </c>
      <c r="E276" s="787">
        <v>0.08</v>
      </c>
      <c r="F276" s="788">
        <v>38047</v>
      </c>
      <c r="G276" s="788">
        <v>38364</v>
      </c>
      <c r="H276" s="787">
        <v>1</v>
      </c>
      <c r="I276" s="788">
        <v>39155</v>
      </c>
      <c r="J276" s="788">
        <v>39155</v>
      </c>
      <c r="L276" s="787">
        <v>0.08</v>
      </c>
      <c r="M276" s="787">
        <v>20</v>
      </c>
      <c r="N276" s="787">
        <v>0.09</v>
      </c>
      <c r="O276" s="788">
        <v>41955</v>
      </c>
    </row>
    <row r="277" spans="1:15" x14ac:dyDescent="0.25">
      <c r="A277" s="786" t="s">
        <v>1306</v>
      </c>
      <c r="B277" s="787">
        <v>4</v>
      </c>
      <c r="C277" s="787" t="s">
        <v>1275</v>
      </c>
      <c r="D277" s="787">
        <v>0.2</v>
      </c>
      <c r="E277" s="787">
        <v>0.2</v>
      </c>
      <c r="F277" s="788">
        <v>37635</v>
      </c>
      <c r="G277" s="788">
        <v>38364</v>
      </c>
      <c r="H277" s="787">
        <v>1</v>
      </c>
      <c r="I277" s="788">
        <v>39155</v>
      </c>
      <c r="J277" s="788">
        <v>39155</v>
      </c>
      <c r="L277" s="787">
        <v>0.2</v>
      </c>
      <c r="M277" s="787">
        <v>20</v>
      </c>
      <c r="N277" s="787">
        <v>0.22</v>
      </c>
      <c r="O277" s="788">
        <v>41955</v>
      </c>
    </row>
    <row r="278" spans="1:15" x14ac:dyDescent="0.25">
      <c r="A278" s="786" t="s">
        <v>1307</v>
      </c>
      <c r="B278" s="787">
        <v>4</v>
      </c>
      <c r="C278" s="787" t="s">
        <v>1275</v>
      </c>
      <c r="D278" s="787">
        <v>0.04</v>
      </c>
      <c r="E278" s="787">
        <v>0.04</v>
      </c>
      <c r="F278" s="788">
        <v>38645</v>
      </c>
      <c r="G278" s="788">
        <v>38645</v>
      </c>
      <c r="H278" s="787">
        <v>1</v>
      </c>
      <c r="I278" s="788">
        <v>42038</v>
      </c>
      <c r="J278" s="788">
        <v>39155</v>
      </c>
      <c r="K278" s="788">
        <v>41869</v>
      </c>
      <c r="L278" s="787">
        <v>0.04</v>
      </c>
      <c r="M278" s="787">
        <v>20</v>
      </c>
      <c r="N278" s="787">
        <v>0.04</v>
      </c>
      <c r="O278" s="788">
        <v>41955</v>
      </c>
    </row>
    <row r="279" spans="1:15" x14ac:dyDescent="0.25">
      <c r="A279" s="786" t="s">
        <v>1308</v>
      </c>
      <c r="B279" s="787">
        <v>4</v>
      </c>
      <c r="C279" s="787" t="s">
        <v>1275</v>
      </c>
      <c r="D279" s="787">
        <v>0.01</v>
      </c>
      <c r="E279" s="787">
        <v>0.01</v>
      </c>
      <c r="F279" s="788">
        <v>37635</v>
      </c>
      <c r="G279" s="788">
        <v>38364</v>
      </c>
      <c r="H279" s="787">
        <v>1</v>
      </c>
      <c r="I279" s="788">
        <v>41901</v>
      </c>
      <c r="J279" s="788">
        <v>39155</v>
      </c>
      <c r="L279" s="787">
        <v>0.01</v>
      </c>
      <c r="M279" s="787">
        <v>20</v>
      </c>
      <c r="N279" s="787">
        <v>0.01</v>
      </c>
      <c r="O279" s="788">
        <v>41955</v>
      </c>
    </row>
    <row r="280" spans="1:15" x14ac:dyDescent="0.25">
      <c r="A280" s="786" t="s">
        <v>1309</v>
      </c>
      <c r="B280" s="787">
        <v>4</v>
      </c>
      <c r="C280" s="787" t="s">
        <v>1275</v>
      </c>
      <c r="D280" s="787">
        <v>0.15</v>
      </c>
      <c r="E280" s="787">
        <v>0.2</v>
      </c>
      <c r="F280" s="788">
        <v>37635</v>
      </c>
      <c r="G280" s="788">
        <v>38602</v>
      </c>
      <c r="H280" s="787">
        <v>1</v>
      </c>
      <c r="I280" s="788">
        <v>39155</v>
      </c>
      <c r="J280" s="788">
        <v>39155</v>
      </c>
      <c r="L280" s="787">
        <v>0.16</v>
      </c>
      <c r="M280" s="787">
        <v>20</v>
      </c>
      <c r="N280" s="787">
        <v>0.17</v>
      </c>
      <c r="O280" s="788">
        <v>41955</v>
      </c>
    </row>
    <row r="281" spans="1:15" x14ac:dyDescent="0.25">
      <c r="A281" s="786" t="s">
        <v>1310</v>
      </c>
      <c r="B281" s="787">
        <v>4</v>
      </c>
      <c r="C281" s="787" t="s">
        <v>1311</v>
      </c>
      <c r="D281" s="787">
        <v>0.01</v>
      </c>
      <c r="E281" s="787">
        <v>0.01</v>
      </c>
      <c r="F281" s="788">
        <v>38047</v>
      </c>
      <c r="G281" s="788">
        <v>38364</v>
      </c>
      <c r="H281" s="787">
        <v>1</v>
      </c>
      <c r="I281" s="788">
        <v>42136</v>
      </c>
      <c r="J281" s="788">
        <v>39155</v>
      </c>
      <c r="L281" s="787">
        <v>0.01</v>
      </c>
      <c r="M281" s="787">
        <v>20</v>
      </c>
      <c r="N281" s="787">
        <v>0.01</v>
      </c>
      <c r="O281" s="788">
        <v>42164</v>
      </c>
    </row>
    <row r="282" spans="1:15" x14ac:dyDescent="0.25">
      <c r="A282" s="786" t="s">
        <v>1312</v>
      </c>
      <c r="B282" s="787">
        <v>4</v>
      </c>
      <c r="C282" s="787" t="s">
        <v>1275</v>
      </c>
      <c r="D282" s="787">
        <v>0.18</v>
      </c>
      <c r="E282" s="787">
        <v>0.18</v>
      </c>
      <c r="F282" s="788">
        <v>38047</v>
      </c>
      <c r="G282" s="788">
        <v>38364</v>
      </c>
      <c r="H282" s="787">
        <v>1</v>
      </c>
      <c r="I282" s="788">
        <v>39155</v>
      </c>
      <c r="J282" s="788">
        <v>39155</v>
      </c>
      <c r="L282" s="787">
        <v>0.18</v>
      </c>
      <c r="M282" s="787">
        <v>20</v>
      </c>
      <c r="N282" s="787">
        <v>0.19</v>
      </c>
      <c r="O282" s="788">
        <v>41955</v>
      </c>
    </row>
    <row r="283" spans="1:15" x14ac:dyDescent="0.25">
      <c r="A283" s="786" t="s">
        <v>1313</v>
      </c>
      <c r="B283" s="787">
        <v>4</v>
      </c>
      <c r="C283" s="787" t="s">
        <v>1275</v>
      </c>
      <c r="D283" s="787">
        <v>7.0000000000000007E-2</v>
      </c>
      <c r="E283" s="787">
        <v>7.0000000000000007E-2</v>
      </c>
      <c r="F283" s="788">
        <v>37635</v>
      </c>
      <c r="G283" s="788">
        <v>38364</v>
      </c>
      <c r="H283" s="787">
        <v>1</v>
      </c>
      <c r="I283" s="788">
        <v>39155</v>
      </c>
      <c r="J283" s="788">
        <v>39155</v>
      </c>
      <c r="L283" s="787">
        <v>0.08</v>
      </c>
      <c r="M283" s="787">
        <v>20</v>
      </c>
      <c r="N283" s="787">
        <v>0.09</v>
      </c>
      <c r="O283" s="788">
        <v>41955</v>
      </c>
    </row>
    <row r="284" spans="1:15" x14ac:dyDescent="0.25">
      <c r="A284" s="786" t="s">
        <v>1314</v>
      </c>
      <c r="B284" s="787">
        <v>4</v>
      </c>
      <c r="C284" s="787" t="s">
        <v>1275</v>
      </c>
      <c r="D284" s="787">
        <v>0.05</v>
      </c>
      <c r="E284" s="787">
        <v>0.05</v>
      </c>
      <c r="F284" s="788">
        <v>38047</v>
      </c>
      <c r="G284" s="788">
        <v>38364</v>
      </c>
      <c r="H284" s="787">
        <v>1</v>
      </c>
      <c r="I284" s="788">
        <v>42074</v>
      </c>
      <c r="J284" s="788">
        <v>39155</v>
      </c>
      <c r="L284" s="787">
        <v>0.05</v>
      </c>
      <c r="M284" s="787">
        <v>20</v>
      </c>
      <c r="N284" s="787">
        <v>0.05</v>
      </c>
      <c r="O284" s="788">
        <v>42060</v>
      </c>
    </row>
    <row r="285" spans="1:15" x14ac:dyDescent="0.25">
      <c r="A285" s="786" t="s">
        <v>1315</v>
      </c>
      <c r="B285" s="787">
        <v>4</v>
      </c>
      <c r="C285" s="787" t="s">
        <v>1275</v>
      </c>
      <c r="D285" s="787">
        <v>0.02</v>
      </c>
      <c r="E285" s="787">
        <v>0.02</v>
      </c>
      <c r="F285" s="788">
        <v>37635</v>
      </c>
      <c r="G285" s="788">
        <v>37635</v>
      </c>
      <c r="H285" s="787">
        <v>1</v>
      </c>
      <c r="J285" s="788">
        <v>37635</v>
      </c>
      <c r="L285" s="787">
        <v>0.02</v>
      </c>
      <c r="M285" s="787">
        <v>20</v>
      </c>
      <c r="N285" s="787">
        <v>0.02</v>
      </c>
      <c r="O285" s="788">
        <v>41955</v>
      </c>
    </row>
    <row r="286" spans="1:15" x14ac:dyDescent="0.25">
      <c r="A286" s="786" t="s">
        <v>1316</v>
      </c>
      <c r="B286" s="787">
        <v>4</v>
      </c>
      <c r="C286" s="787" t="s">
        <v>1275</v>
      </c>
      <c r="D286" s="787">
        <v>0.08</v>
      </c>
      <c r="E286" s="787">
        <v>0.08</v>
      </c>
      <c r="F286" s="788">
        <v>38047</v>
      </c>
      <c r="G286" s="788">
        <v>38364</v>
      </c>
      <c r="H286" s="787">
        <v>1</v>
      </c>
      <c r="I286" s="788">
        <v>39155</v>
      </c>
      <c r="J286" s="788">
        <v>39155</v>
      </c>
      <c r="L286" s="787">
        <v>0.08</v>
      </c>
      <c r="M286" s="787">
        <v>20</v>
      </c>
      <c r="N286" s="787">
        <v>0.09</v>
      </c>
      <c r="O286" s="788">
        <v>41955</v>
      </c>
    </row>
    <row r="287" spans="1:15" x14ac:dyDescent="0.25">
      <c r="A287" s="786" t="s">
        <v>1317</v>
      </c>
      <c r="B287" s="787">
        <v>4</v>
      </c>
      <c r="C287" s="787" t="s">
        <v>1318</v>
      </c>
      <c r="D287" s="787">
        <v>0</v>
      </c>
      <c r="E287" s="787">
        <v>0</v>
      </c>
      <c r="H287" s="787">
        <v>1</v>
      </c>
      <c r="I287" s="788">
        <v>42073</v>
      </c>
      <c r="K287" s="788">
        <v>41905</v>
      </c>
      <c r="L287" s="787">
        <v>0.05</v>
      </c>
      <c r="M287" s="787">
        <v>20</v>
      </c>
      <c r="N287" s="787">
        <v>0.05</v>
      </c>
      <c r="O287" s="788">
        <v>42162</v>
      </c>
    </row>
    <row r="288" spans="1:15" x14ac:dyDescent="0.25">
      <c r="A288" s="786" t="s">
        <v>1319</v>
      </c>
      <c r="B288" s="787">
        <v>4</v>
      </c>
      <c r="C288" s="787" t="s">
        <v>1066</v>
      </c>
      <c r="D288" s="787">
        <v>0</v>
      </c>
      <c r="E288" s="787">
        <v>0</v>
      </c>
      <c r="G288" s="787" t="s">
        <v>1067</v>
      </c>
      <c r="H288" s="787">
        <v>1</v>
      </c>
      <c r="L288" s="787">
        <v>0</v>
      </c>
      <c r="M288" s="787">
        <v>20</v>
      </c>
      <c r="N288" s="787">
        <v>0</v>
      </c>
      <c r="O288" s="788">
        <v>40824</v>
      </c>
    </row>
    <row r="289" spans="1:15" x14ac:dyDescent="0.25">
      <c r="A289" s="786" t="s">
        <v>1320</v>
      </c>
      <c r="B289" s="787">
        <v>4</v>
      </c>
      <c r="C289" s="787" t="s">
        <v>1321</v>
      </c>
      <c r="D289" s="787">
        <v>0.01</v>
      </c>
      <c r="E289" s="787">
        <v>0.01</v>
      </c>
      <c r="F289" s="788">
        <v>38047</v>
      </c>
      <c r="G289" s="788">
        <v>38364</v>
      </c>
      <c r="H289" s="787">
        <v>1</v>
      </c>
      <c r="I289" s="788">
        <v>39155</v>
      </c>
      <c r="J289" s="788">
        <v>39155</v>
      </c>
      <c r="L289" s="787">
        <v>0.01</v>
      </c>
      <c r="M289" s="787">
        <v>20</v>
      </c>
      <c r="N289" s="787">
        <v>0.01</v>
      </c>
      <c r="O289" s="788">
        <v>41955</v>
      </c>
    </row>
    <row r="290" spans="1:15" x14ac:dyDescent="0.25">
      <c r="A290" s="786" t="s">
        <v>1322</v>
      </c>
      <c r="B290" s="787">
        <v>4</v>
      </c>
      <c r="C290" s="787" t="s">
        <v>1321</v>
      </c>
      <c r="D290" s="787">
        <v>0.01</v>
      </c>
      <c r="E290" s="787">
        <v>0.01</v>
      </c>
      <c r="F290" s="788">
        <v>38047</v>
      </c>
      <c r="G290" s="788">
        <v>38364</v>
      </c>
      <c r="H290" s="787">
        <v>1</v>
      </c>
      <c r="I290" s="788">
        <v>42074</v>
      </c>
      <c r="J290" s="788">
        <v>39155</v>
      </c>
      <c r="L290" s="787">
        <v>0.01</v>
      </c>
      <c r="M290" s="787">
        <v>20</v>
      </c>
      <c r="N290" s="787">
        <v>0.01</v>
      </c>
      <c r="O290" s="788">
        <v>42053</v>
      </c>
    </row>
    <row r="291" spans="1:15" x14ac:dyDescent="0.25">
      <c r="A291" s="786" t="s">
        <v>1323</v>
      </c>
      <c r="B291" s="787">
        <v>4</v>
      </c>
      <c r="C291" s="787" t="s">
        <v>1321</v>
      </c>
      <c r="D291" s="787">
        <v>0.01</v>
      </c>
      <c r="E291" s="787">
        <v>0.01</v>
      </c>
      <c r="F291" s="788">
        <v>38047</v>
      </c>
      <c r="G291" s="788">
        <v>38364</v>
      </c>
      <c r="H291" s="787">
        <v>1</v>
      </c>
      <c r="I291" s="788">
        <v>42163</v>
      </c>
      <c r="J291" s="788">
        <v>39155</v>
      </c>
      <c r="L291" s="787">
        <v>0.01</v>
      </c>
      <c r="M291" s="787">
        <v>20</v>
      </c>
      <c r="N291" s="787">
        <v>0.01</v>
      </c>
      <c r="O291" s="788">
        <v>41955</v>
      </c>
    </row>
    <row r="292" spans="1:15" x14ac:dyDescent="0.25">
      <c r="A292" s="786" t="s">
        <v>1324</v>
      </c>
      <c r="B292" s="787">
        <v>4</v>
      </c>
      <c r="C292" s="787" t="s">
        <v>1321</v>
      </c>
      <c r="D292" s="787">
        <v>0.01</v>
      </c>
      <c r="E292" s="787">
        <v>0.01</v>
      </c>
      <c r="F292" s="788">
        <v>38047</v>
      </c>
      <c r="G292" s="788">
        <v>38364</v>
      </c>
      <c r="H292" s="787">
        <v>1</v>
      </c>
      <c r="I292" s="788">
        <v>39155</v>
      </c>
      <c r="J292" s="788">
        <v>39155</v>
      </c>
      <c r="L292" s="787">
        <v>0.01</v>
      </c>
      <c r="M292" s="787">
        <v>20</v>
      </c>
      <c r="N292" s="787">
        <v>0.01</v>
      </c>
      <c r="O292" s="788">
        <v>41955</v>
      </c>
    </row>
    <row r="293" spans="1:15" x14ac:dyDescent="0.25">
      <c r="A293" s="786" t="s">
        <v>1325</v>
      </c>
      <c r="B293" s="787">
        <v>4</v>
      </c>
      <c r="C293" s="787" t="s">
        <v>1321</v>
      </c>
      <c r="D293" s="787">
        <v>0.04</v>
      </c>
      <c r="E293" s="787">
        <v>0.04</v>
      </c>
      <c r="F293" s="788">
        <v>38047</v>
      </c>
      <c r="G293" s="788">
        <v>38364</v>
      </c>
      <c r="H293" s="787">
        <v>1</v>
      </c>
      <c r="I293" s="788">
        <v>39155</v>
      </c>
      <c r="J293" s="788">
        <v>39155</v>
      </c>
      <c r="L293" s="787">
        <v>0.04</v>
      </c>
      <c r="M293" s="787">
        <v>20</v>
      </c>
      <c r="N293" s="787">
        <v>0.04</v>
      </c>
      <c r="O293" s="788">
        <v>41955</v>
      </c>
    </row>
    <row r="294" spans="1:15" x14ac:dyDescent="0.25">
      <c r="A294" s="786" t="s">
        <v>1326</v>
      </c>
      <c r="B294" s="787">
        <v>4</v>
      </c>
      <c r="C294" s="787" t="s">
        <v>1321</v>
      </c>
      <c r="D294" s="787">
        <v>0.02</v>
      </c>
      <c r="E294" s="787">
        <v>0.02</v>
      </c>
      <c r="F294" s="788">
        <v>38047</v>
      </c>
      <c r="G294" s="788">
        <v>38364</v>
      </c>
      <c r="H294" s="787">
        <v>1</v>
      </c>
      <c r="I294" s="788">
        <v>39155</v>
      </c>
      <c r="J294" s="788">
        <v>39155</v>
      </c>
      <c r="L294" s="787">
        <v>0.02</v>
      </c>
      <c r="M294" s="787">
        <v>20</v>
      </c>
      <c r="N294" s="787">
        <v>0.02</v>
      </c>
      <c r="O294" s="788">
        <v>41955</v>
      </c>
    </row>
    <row r="295" spans="1:15" x14ac:dyDescent="0.25">
      <c r="A295" s="786" t="s">
        <v>1327</v>
      </c>
      <c r="B295" s="787">
        <v>4</v>
      </c>
      <c r="C295" s="787" t="s">
        <v>1321</v>
      </c>
      <c r="D295" s="787">
        <v>0.02</v>
      </c>
      <c r="E295" s="787">
        <v>0.02</v>
      </c>
      <c r="F295" s="788">
        <v>38047</v>
      </c>
      <c r="G295" s="788">
        <v>38364</v>
      </c>
      <c r="H295" s="787">
        <v>1</v>
      </c>
      <c r="I295" s="788">
        <v>39155</v>
      </c>
      <c r="J295" s="788">
        <v>39155</v>
      </c>
      <c r="L295" s="787">
        <v>0.02</v>
      </c>
      <c r="M295" s="787">
        <v>20</v>
      </c>
      <c r="N295" s="787">
        <v>0.02</v>
      </c>
      <c r="O295" s="788">
        <v>41955</v>
      </c>
    </row>
    <row r="296" spans="1:15" x14ac:dyDescent="0.25">
      <c r="A296" s="786" t="s">
        <v>1328</v>
      </c>
      <c r="B296" s="787">
        <v>4</v>
      </c>
      <c r="C296" s="787" t="s">
        <v>1321</v>
      </c>
      <c r="D296" s="787">
        <v>0.02</v>
      </c>
      <c r="E296" s="787">
        <v>0.02</v>
      </c>
      <c r="F296" s="788">
        <v>38047</v>
      </c>
      <c r="G296" s="788">
        <v>38364</v>
      </c>
      <c r="H296" s="787">
        <v>1</v>
      </c>
      <c r="I296" s="788">
        <v>39155</v>
      </c>
      <c r="J296" s="788">
        <v>39155</v>
      </c>
      <c r="L296" s="787">
        <v>0.02</v>
      </c>
      <c r="M296" s="787">
        <v>20</v>
      </c>
      <c r="N296" s="787">
        <v>0.02</v>
      </c>
      <c r="O296" s="788">
        <v>41955</v>
      </c>
    </row>
    <row r="297" spans="1:15" x14ac:dyDescent="0.25">
      <c r="A297" s="786" t="s">
        <v>1329</v>
      </c>
      <c r="B297" s="787">
        <v>4</v>
      </c>
      <c r="C297" s="787" t="s">
        <v>1321</v>
      </c>
      <c r="D297" s="787">
        <v>0.02</v>
      </c>
      <c r="E297" s="787">
        <v>0.02</v>
      </c>
      <c r="F297" s="788">
        <v>37635</v>
      </c>
      <c r="G297" s="788">
        <v>37635</v>
      </c>
      <c r="H297" s="787">
        <v>1</v>
      </c>
      <c r="I297" s="788">
        <v>36907</v>
      </c>
      <c r="J297" s="788">
        <v>37635</v>
      </c>
      <c r="L297" s="787">
        <v>0.02</v>
      </c>
      <c r="M297" s="787">
        <v>20</v>
      </c>
      <c r="N297" s="787">
        <v>0.02</v>
      </c>
      <c r="O297" s="788">
        <v>41955</v>
      </c>
    </row>
    <row r="298" spans="1:15" x14ac:dyDescent="0.25">
      <c r="A298" s="786" t="s">
        <v>1330</v>
      </c>
      <c r="B298" s="787">
        <v>4</v>
      </c>
      <c r="C298" s="787" t="s">
        <v>1321</v>
      </c>
      <c r="D298" s="787">
        <v>0.04</v>
      </c>
      <c r="E298" s="787">
        <v>0.04</v>
      </c>
      <c r="F298" s="788">
        <v>38047</v>
      </c>
      <c r="G298" s="788">
        <v>38364</v>
      </c>
      <c r="H298" s="787">
        <v>1</v>
      </c>
      <c r="I298" s="788">
        <v>39155</v>
      </c>
      <c r="J298" s="788">
        <v>39155</v>
      </c>
      <c r="L298" s="787">
        <v>0.04</v>
      </c>
      <c r="M298" s="787">
        <v>20</v>
      </c>
      <c r="N298" s="787">
        <v>0.04</v>
      </c>
      <c r="O298" s="788">
        <v>41955</v>
      </c>
    </row>
    <row r="299" spans="1:15" x14ac:dyDescent="0.25">
      <c r="A299" s="786" t="s">
        <v>1331</v>
      </c>
      <c r="B299" s="787">
        <v>4</v>
      </c>
      <c r="C299" s="787" t="s">
        <v>1321</v>
      </c>
      <c r="D299" s="787">
        <v>0.02</v>
      </c>
      <c r="E299" s="787">
        <v>0.02</v>
      </c>
      <c r="F299" s="788">
        <v>38047</v>
      </c>
      <c r="G299" s="788">
        <v>38364</v>
      </c>
      <c r="H299" s="787">
        <v>1</v>
      </c>
      <c r="I299" s="788">
        <v>39155</v>
      </c>
      <c r="J299" s="788">
        <v>39155</v>
      </c>
      <c r="L299" s="787">
        <v>0.02</v>
      </c>
      <c r="M299" s="787">
        <v>20</v>
      </c>
      <c r="N299" s="787">
        <v>0.02</v>
      </c>
      <c r="O299" s="788">
        <v>41955</v>
      </c>
    </row>
    <row r="300" spans="1:15" x14ac:dyDescent="0.25">
      <c r="A300" s="786" t="s">
        <v>1332</v>
      </c>
      <c r="B300" s="787">
        <v>4</v>
      </c>
      <c r="C300" s="787" t="s">
        <v>1321</v>
      </c>
      <c r="D300" s="787">
        <v>0.02</v>
      </c>
      <c r="E300" s="787">
        <v>0.02</v>
      </c>
      <c r="F300" s="788">
        <v>37635</v>
      </c>
      <c r="G300" s="788">
        <v>37635</v>
      </c>
      <c r="H300" s="787">
        <v>1</v>
      </c>
      <c r="J300" s="788">
        <v>37635</v>
      </c>
      <c r="L300" s="787">
        <v>0.02</v>
      </c>
      <c r="M300" s="787">
        <v>20</v>
      </c>
      <c r="N300" s="787">
        <v>0.02</v>
      </c>
      <c r="O300" s="788">
        <v>41955</v>
      </c>
    </row>
    <row r="301" spans="1:15" x14ac:dyDescent="0.25">
      <c r="A301" s="786" t="s">
        <v>1333</v>
      </c>
      <c r="B301" s="787">
        <v>4</v>
      </c>
      <c r="C301" s="787" t="s">
        <v>1321</v>
      </c>
      <c r="D301" s="787">
        <v>0.03</v>
      </c>
      <c r="E301" s="787">
        <v>0.03</v>
      </c>
      <c r="F301" s="788">
        <v>37635</v>
      </c>
      <c r="G301" s="788">
        <v>37635</v>
      </c>
      <c r="H301" s="787">
        <v>1</v>
      </c>
      <c r="I301" s="788">
        <v>37769</v>
      </c>
      <c r="J301" s="788">
        <v>37635</v>
      </c>
      <c r="L301" s="787">
        <v>0.03</v>
      </c>
      <c r="M301" s="787">
        <v>20</v>
      </c>
      <c r="N301" s="787">
        <v>0.03</v>
      </c>
      <c r="O301" s="788">
        <v>41955</v>
      </c>
    </row>
    <row r="302" spans="1:15" x14ac:dyDescent="0.25">
      <c r="A302" s="786" t="s">
        <v>1334</v>
      </c>
      <c r="B302" s="787">
        <v>4</v>
      </c>
      <c r="C302" s="787" t="s">
        <v>1321</v>
      </c>
      <c r="D302" s="787">
        <v>0.04</v>
      </c>
      <c r="E302" s="787">
        <v>0.04</v>
      </c>
      <c r="F302" s="788">
        <v>37635</v>
      </c>
      <c r="G302" s="788">
        <v>37635</v>
      </c>
      <c r="H302" s="787">
        <v>1</v>
      </c>
      <c r="J302" s="788">
        <v>37635</v>
      </c>
      <c r="L302" s="787">
        <v>0.04</v>
      </c>
      <c r="M302" s="787">
        <v>20</v>
      </c>
      <c r="N302" s="787">
        <v>0.04</v>
      </c>
      <c r="O302" s="788">
        <v>41955</v>
      </c>
    </row>
    <row r="303" spans="1:15" x14ac:dyDescent="0.25">
      <c r="A303" s="786" t="s">
        <v>1335</v>
      </c>
      <c r="B303" s="787">
        <v>4</v>
      </c>
      <c r="C303" s="787" t="s">
        <v>1321</v>
      </c>
      <c r="D303" s="787">
        <v>0.02</v>
      </c>
      <c r="E303" s="787">
        <v>0.02</v>
      </c>
      <c r="F303" s="788">
        <v>37635</v>
      </c>
      <c r="G303" s="788">
        <v>38364</v>
      </c>
      <c r="H303" s="787">
        <v>1</v>
      </c>
      <c r="I303" s="788">
        <v>39155</v>
      </c>
      <c r="J303" s="788">
        <v>39155</v>
      </c>
      <c r="L303" s="787">
        <v>0.02</v>
      </c>
      <c r="M303" s="787">
        <v>20</v>
      </c>
      <c r="N303" s="787">
        <v>0.02</v>
      </c>
      <c r="O303" s="788">
        <v>41955</v>
      </c>
    </row>
    <row r="304" spans="1:15" x14ac:dyDescent="0.25">
      <c r="A304" s="786" t="s">
        <v>1336</v>
      </c>
      <c r="B304" s="787">
        <v>4</v>
      </c>
      <c r="C304" s="787" t="s">
        <v>1321</v>
      </c>
      <c r="D304" s="787">
        <v>0.02</v>
      </c>
      <c r="E304" s="787">
        <v>0.02</v>
      </c>
      <c r="F304" s="788">
        <v>37635</v>
      </c>
      <c r="G304" s="788">
        <v>38364</v>
      </c>
      <c r="H304" s="787">
        <v>1</v>
      </c>
      <c r="I304" s="788">
        <v>39155</v>
      </c>
      <c r="J304" s="788">
        <v>39155</v>
      </c>
      <c r="L304" s="787">
        <v>0.02</v>
      </c>
      <c r="M304" s="787">
        <v>20</v>
      </c>
      <c r="N304" s="787">
        <v>0.02</v>
      </c>
      <c r="O304" s="788">
        <v>41955</v>
      </c>
    </row>
    <row r="305" spans="1:15" x14ac:dyDescent="0.25">
      <c r="A305" s="786" t="s">
        <v>1337</v>
      </c>
      <c r="B305" s="787">
        <v>4</v>
      </c>
      <c r="C305" s="787" t="s">
        <v>1321</v>
      </c>
      <c r="D305" s="787">
        <v>0.04</v>
      </c>
      <c r="E305" s="787">
        <v>0.04</v>
      </c>
      <c r="F305" s="788">
        <v>38047</v>
      </c>
      <c r="G305" s="788">
        <v>38364</v>
      </c>
      <c r="H305" s="787">
        <v>1</v>
      </c>
      <c r="I305" s="788">
        <v>39155</v>
      </c>
      <c r="J305" s="788">
        <v>39155</v>
      </c>
      <c r="L305" s="787">
        <v>0.04</v>
      </c>
      <c r="M305" s="787">
        <v>20</v>
      </c>
      <c r="N305" s="787">
        <v>0.04</v>
      </c>
      <c r="O305" s="788">
        <v>41955</v>
      </c>
    </row>
    <row r="306" spans="1:15" x14ac:dyDescent="0.25">
      <c r="A306" s="786" t="s">
        <v>1338</v>
      </c>
      <c r="B306" s="787">
        <v>4</v>
      </c>
      <c r="C306" s="787" t="s">
        <v>1321</v>
      </c>
      <c r="D306" s="787">
        <v>0.03</v>
      </c>
      <c r="E306" s="787">
        <v>0.03</v>
      </c>
      <c r="F306" s="788">
        <v>38047</v>
      </c>
      <c r="G306" s="788">
        <v>38364</v>
      </c>
      <c r="H306" s="787">
        <v>1</v>
      </c>
      <c r="I306" s="788">
        <v>39155</v>
      </c>
      <c r="J306" s="788">
        <v>39155</v>
      </c>
      <c r="L306" s="787">
        <v>0.03</v>
      </c>
      <c r="M306" s="787">
        <v>20</v>
      </c>
      <c r="N306" s="787">
        <v>0.03</v>
      </c>
      <c r="O306" s="788">
        <v>41955</v>
      </c>
    </row>
    <row r="307" spans="1:15" x14ac:dyDescent="0.25">
      <c r="A307" s="786" t="s">
        <v>1339</v>
      </c>
      <c r="B307" s="787">
        <v>4</v>
      </c>
      <c r="C307" s="787" t="s">
        <v>1321</v>
      </c>
      <c r="D307" s="787">
        <v>0.03</v>
      </c>
      <c r="E307" s="787">
        <v>0.03</v>
      </c>
      <c r="F307" s="788">
        <v>38047</v>
      </c>
      <c r="G307" s="788">
        <v>38364</v>
      </c>
      <c r="H307" s="787">
        <v>1</v>
      </c>
      <c r="I307" s="788">
        <v>39155</v>
      </c>
      <c r="J307" s="788">
        <v>39155</v>
      </c>
      <c r="L307" s="787">
        <v>0.03</v>
      </c>
      <c r="M307" s="787">
        <v>20</v>
      </c>
      <c r="N307" s="787">
        <v>0.03</v>
      </c>
      <c r="O307" s="788">
        <v>41955</v>
      </c>
    </row>
    <row r="308" spans="1:15" x14ac:dyDescent="0.25">
      <c r="A308" s="786" t="s">
        <v>1340</v>
      </c>
      <c r="B308" s="787">
        <v>4</v>
      </c>
      <c r="C308" s="787" t="s">
        <v>1321</v>
      </c>
      <c r="D308" s="787">
        <v>0.03</v>
      </c>
      <c r="E308" s="787">
        <v>0.03</v>
      </c>
      <c r="F308" s="788">
        <v>37635</v>
      </c>
      <c r="G308" s="788">
        <v>38364</v>
      </c>
      <c r="H308" s="787">
        <v>1</v>
      </c>
      <c r="I308" s="788">
        <v>39155</v>
      </c>
      <c r="J308" s="788">
        <v>39155</v>
      </c>
      <c r="L308" s="787">
        <v>0.03</v>
      </c>
      <c r="M308" s="787">
        <v>20</v>
      </c>
      <c r="N308" s="787">
        <v>0.03</v>
      </c>
      <c r="O308" s="788">
        <v>41955</v>
      </c>
    </row>
    <row r="309" spans="1:15" x14ac:dyDescent="0.25">
      <c r="A309" s="786" t="s">
        <v>1341</v>
      </c>
      <c r="B309" s="787">
        <v>4</v>
      </c>
      <c r="C309" s="787" t="s">
        <v>1321</v>
      </c>
      <c r="D309" s="787">
        <v>0.01</v>
      </c>
      <c r="E309" s="787">
        <v>0.01</v>
      </c>
      <c r="F309" s="788">
        <v>37635</v>
      </c>
      <c r="G309" s="788">
        <v>37635</v>
      </c>
      <c r="H309" s="787">
        <v>1</v>
      </c>
      <c r="J309" s="788">
        <v>37635</v>
      </c>
      <c r="L309" s="787">
        <v>0.01</v>
      </c>
      <c r="M309" s="787">
        <v>20</v>
      </c>
      <c r="N309" s="787">
        <v>0.01</v>
      </c>
      <c r="O309" s="788">
        <v>41955</v>
      </c>
    </row>
    <row r="310" spans="1:15" x14ac:dyDescent="0.25">
      <c r="A310" s="786" t="s">
        <v>1342</v>
      </c>
      <c r="B310" s="787">
        <v>4</v>
      </c>
      <c r="C310" s="787" t="s">
        <v>1321</v>
      </c>
      <c r="D310" s="787">
        <v>0.03</v>
      </c>
      <c r="E310" s="787">
        <v>0.03</v>
      </c>
      <c r="F310" s="788">
        <v>37635</v>
      </c>
      <c r="G310" s="788">
        <v>37635</v>
      </c>
      <c r="H310" s="787">
        <v>1</v>
      </c>
      <c r="J310" s="788">
        <v>37635</v>
      </c>
      <c r="L310" s="787">
        <v>0.03</v>
      </c>
      <c r="M310" s="787">
        <v>20</v>
      </c>
      <c r="N310" s="787">
        <v>0.03</v>
      </c>
      <c r="O310" s="788">
        <v>41955</v>
      </c>
    </row>
    <row r="311" spans="1:15" x14ac:dyDescent="0.25">
      <c r="A311" s="786" t="s">
        <v>1343</v>
      </c>
      <c r="B311" s="787">
        <v>4</v>
      </c>
      <c r="C311" s="787" t="s">
        <v>1321</v>
      </c>
      <c r="D311" s="787">
        <v>0.06</v>
      </c>
      <c r="E311" s="787">
        <v>0.06</v>
      </c>
      <c r="F311" s="788">
        <v>38047</v>
      </c>
      <c r="G311" s="788">
        <v>38364</v>
      </c>
      <c r="H311" s="787">
        <v>1</v>
      </c>
      <c r="I311" s="788">
        <v>39155</v>
      </c>
      <c r="J311" s="788">
        <v>39155</v>
      </c>
      <c r="L311" s="787">
        <v>0.06</v>
      </c>
      <c r="M311" s="787">
        <v>20</v>
      </c>
      <c r="N311" s="787">
        <v>0.06</v>
      </c>
      <c r="O311" s="788">
        <v>41955</v>
      </c>
    </row>
    <row r="312" spans="1:15" x14ac:dyDescent="0.25">
      <c r="A312" s="786" t="s">
        <v>1344</v>
      </c>
      <c r="B312" s="787">
        <v>4</v>
      </c>
      <c r="C312" s="787" t="s">
        <v>1321</v>
      </c>
      <c r="D312" s="787">
        <v>0.03</v>
      </c>
      <c r="E312" s="787">
        <v>0.03</v>
      </c>
      <c r="F312" s="788">
        <v>37635</v>
      </c>
      <c r="G312" s="788">
        <v>38364</v>
      </c>
      <c r="H312" s="787">
        <v>1</v>
      </c>
      <c r="I312" s="788">
        <v>39155</v>
      </c>
      <c r="J312" s="788">
        <v>39155</v>
      </c>
      <c r="L312" s="787">
        <v>0.03</v>
      </c>
      <c r="M312" s="787">
        <v>20</v>
      </c>
      <c r="N312" s="787">
        <v>0.03</v>
      </c>
      <c r="O312" s="788">
        <v>41955</v>
      </c>
    </row>
    <row r="313" spans="1:15" x14ac:dyDescent="0.25">
      <c r="A313" s="786" t="s">
        <v>1345</v>
      </c>
      <c r="B313" s="787">
        <v>4</v>
      </c>
      <c r="C313" s="787" t="s">
        <v>1321</v>
      </c>
      <c r="D313" s="787">
        <v>7.0000000000000007E-2</v>
      </c>
      <c r="E313" s="787">
        <v>7.0000000000000007E-2</v>
      </c>
      <c r="F313" s="788">
        <v>38047</v>
      </c>
      <c r="G313" s="788">
        <v>38364</v>
      </c>
      <c r="H313" s="787">
        <v>1</v>
      </c>
      <c r="I313" s="788">
        <v>41969</v>
      </c>
      <c r="J313" s="788">
        <v>39155</v>
      </c>
      <c r="L313" s="787">
        <v>7.0000000000000007E-2</v>
      </c>
      <c r="M313" s="787">
        <v>20</v>
      </c>
      <c r="N313" s="787">
        <v>0.08</v>
      </c>
      <c r="O313" s="788">
        <v>41955</v>
      </c>
    </row>
    <row r="314" spans="1:15" x14ac:dyDescent="0.25">
      <c r="A314" s="786" t="s">
        <v>1346</v>
      </c>
      <c r="B314" s="787">
        <v>4</v>
      </c>
      <c r="C314" s="787" t="s">
        <v>1347</v>
      </c>
      <c r="D314" s="787">
        <v>0.7</v>
      </c>
      <c r="E314" s="787">
        <v>5.07</v>
      </c>
      <c r="F314" s="788">
        <v>41996</v>
      </c>
      <c r="G314" s="788">
        <v>42016</v>
      </c>
      <c r="H314" s="787">
        <v>1</v>
      </c>
      <c r="I314" s="788">
        <v>42104</v>
      </c>
      <c r="J314" s="788">
        <v>41976</v>
      </c>
      <c r="L314" s="787">
        <v>1.5</v>
      </c>
      <c r="M314" s="787">
        <v>10</v>
      </c>
      <c r="N314" s="787">
        <v>5.09</v>
      </c>
      <c r="O314" s="788">
        <v>41955</v>
      </c>
    </row>
    <row r="315" spans="1:15" x14ac:dyDescent="0.25">
      <c r="A315" s="786" t="s">
        <v>1348</v>
      </c>
      <c r="B315" s="787">
        <v>4</v>
      </c>
      <c r="C315" s="787" t="s">
        <v>1321</v>
      </c>
      <c r="D315" s="787">
        <v>0.08</v>
      </c>
      <c r="E315" s="787">
        <v>0.08</v>
      </c>
      <c r="F315" s="788">
        <v>37635</v>
      </c>
      <c r="G315" s="788">
        <v>37635</v>
      </c>
      <c r="H315" s="787">
        <v>1</v>
      </c>
      <c r="I315" s="788">
        <v>41738</v>
      </c>
      <c r="J315" s="788">
        <v>37635</v>
      </c>
      <c r="L315" s="787">
        <v>0.09</v>
      </c>
      <c r="M315" s="787">
        <v>20</v>
      </c>
      <c r="N315" s="787">
        <v>0.1</v>
      </c>
      <c r="O315" s="788">
        <v>41955</v>
      </c>
    </row>
    <row r="316" spans="1:15" x14ac:dyDescent="0.25">
      <c r="A316" s="786" t="s">
        <v>1349</v>
      </c>
      <c r="B316" s="787">
        <v>4</v>
      </c>
      <c r="C316" s="787" t="s">
        <v>1350</v>
      </c>
      <c r="D316" s="787">
        <v>0.05</v>
      </c>
      <c r="E316" s="787">
        <v>0.05</v>
      </c>
      <c r="F316" s="788">
        <v>37648</v>
      </c>
      <c r="G316" s="788">
        <v>37648</v>
      </c>
      <c r="H316" s="787">
        <v>1</v>
      </c>
      <c r="I316" s="788">
        <v>42137</v>
      </c>
      <c r="J316" s="788">
        <v>37648</v>
      </c>
      <c r="L316" s="787">
        <v>0.05</v>
      </c>
      <c r="M316" s="787">
        <v>20</v>
      </c>
      <c r="N316" s="787">
        <v>0.05</v>
      </c>
      <c r="O316" s="788">
        <v>42060</v>
      </c>
    </row>
    <row r="317" spans="1:15" x14ac:dyDescent="0.25">
      <c r="A317" s="786" t="s">
        <v>1351</v>
      </c>
      <c r="B317" s="787">
        <v>4</v>
      </c>
      <c r="C317" s="787" t="s">
        <v>1352</v>
      </c>
      <c r="D317" s="787">
        <v>7.0000000000000007E-2</v>
      </c>
      <c r="E317" s="787">
        <v>7.0000000000000007E-2</v>
      </c>
      <c r="F317" s="788">
        <v>37635</v>
      </c>
      <c r="G317" s="788">
        <v>37635</v>
      </c>
      <c r="H317" s="787">
        <v>1</v>
      </c>
      <c r="I317" s="788">
        <v>42074</v>
      </c>
      <c r="J317" s="788">
        <v>39155</v>
      </c>
      <c r="L317" s="787">
        <v>7.0000000000000007E-2</v>
      </c>
      <c r="M317" s="787">
        <v>20</v>
      </c>
      <c r="N317" s="787">
        <v>0.08</v>
      </c>
      <c r="O317" s="788">
        <v>41955</v>
      </c>
    </row>
    <row r="318" spans="1:15" x14ac:dyDescent="0.25">
      <c r="A318" s="786" t="s">
        <v>1353</v>
      </c>
      <c r="B318" s="787">
        <v>4</v>
      </c>
      <c r="C318" s="787" t="s">
        <v>1354</v>
      </c>
      <c r="D318" s="787">
        <v>0.06</v>
      </c>
      <c r="E318" s="787">
        <v>0.06</v>
      </c>
      <c r="F318" s="788">
        <v>39101</v>
      </c>
      <c r="G318" s="788">
        <v>39101</v>
      </c>
      <c r="H318" s="787">
        <v>1</v>
      </c>
      <c r="I318" s="788">
        <v>42166</v>
      </c>
      <c r="J318" s="788">
        <v>39149</v>
      </c>
      <c r="L318" s="787">
        <v>7.0000000000000007E-2</v>
      </c>
      <c r="M318" s="787">
        <v>20</v>
      </c>
      <c r="N318" s="787">
        <v>0.08</v>
      </c>
      <c r="O318" s="788">
        <v>42146</v>
      </c>
    </row>
    <row r="319" spans="1:15" x14ac:dyDescent="0.25">
      <c r="A319" s="786" t="s">
        <v>1355</v>
      </c>
      <c r="B319" s="787">
        <v>4</v>
      </c>
      <c r="C319" s="787" t="s">
        <v>1356</v>
      </c>
      <c r="D319" s="787">
        <v>0.06</v>
      </c>
      <c r="E319" s="787">
        <v>0.06</v>
      </c>
      <c r="F319" s="788">
        <v>39101</v>
      </c>
      <c r="G319" s="788">
        <v>39101</v>
      </c>
      <c r="H319" s="787">
        <v>1</v>
      </c>
      <c r="I319" s="788">
        <v>42165</v>
      </c>
      <c r="J319" s="788">
        <v>39149</v>
      </c>
      <c r="L319" s="787">
        <v>7.0000000000000007E-2</v>
      </c>
      <c r="M319" s="787">
        <v>20</v>
      </c>
      <c r="N319" s="787">
        <v>0.08</v>
      </c>
      <c r="O319" s="788">
        <v>42165</v>
      </c>
    </row>
    <row r="320" spans="1:15" x14ac:dyDescent="0.25">
      <c r="A320" s="786" t="s">
        <v>1357</v>
      </c>
      <c r="B320" s="787">
        <v>4</v>
      </c>
      <c r="C320" s="787" t="s">
        <v>1358</v>
      </c>
      <c r="D320" s="787">
        <v>0.1</v>
      </c>
      <c r="E320" s="787">
        <v>0.2</v>
      </c>
      <c r="F320" s="788">
        <v>39101</v>
      </c>
      <c r="G320" s="788">
        <v>41870</v>
      </c>
      <c r="H320" s="787">
        <v>1</v>
      </c>
      <c r="I320" s="788">
        <v>42166</v>
      </c>
      <c r="J320" s="788">
        <v>41870</v>
      </c>
      <c r="K320" s="788">
        <v>41869</v>
      </c>
      <c r="L320" s="787">
        <v>0.1</v>
      </c>
      <c r="M320" s="787">
        <v>20</v>
      </c>
      <c r="N320" s="787">
        <v>0.11</v>
      </c>
      <c r="O320" s="788">
        <v>42162</v>
      </c>
    </row>
    <row r="321" spans="1:15" x14ac:dyDescent="0.25">
      <c r="A321" s="786" t="s">
        <v>1359</v>
      </c>
      <c r="B321" s="787">
        <v>4</v>
      </c>
      <c r="C321" s="787" t="s">
        <v>1360</v>
      </c>
      <c r="D321" s="787">
        <v>0.08</v>
      </c>
      <c r="E321" s="787">
        <v>0.09</v>
      </c>
      <c r="F321" s="788">
        <v>38047</v>
      </c>
      <c r="G321" s="788">
        <v>41311</v>
      </c>
      <c r="H321" s="787">
        <v>1</v>
      </c>
      <c r="I321" s="788">
        <v>42166</v>
      </c>
      <c r="J321" s="788">
        <v>41311</v>
      </c>
      <c r="L321" s="787">
        <v>0.1</v>
      </c>
      <c r="M321" s="787">
        <v>20</v>
      </c>
      <c r="N321" s="787">
        <v>0.11</v>
      </c>
      <c r="O321" s="788">
        <v>42156</v>
      </c>
    </row>
    <row r="322" spans="1:15" x14ac:dyDescent="0.25">
      <c r="A322" s="786" t="s">
        <v>1361</v>
      </c>
      <c r="B322" s="787">
        <v>4</v>
      </c>
      <c r="C322" s="787" t="s">
        <v>1362</v>
      </c>
      <c r="D322" s="787">
        <v>0.77</v>
      </c>
      <c r="E322" s="787">
        <v>0.77</v>
      </c>
      <c r="F322" s="788">
        <v>41866</v>
      </c>
      <c r="G322" s="788">
        <v>41870</v>
      </c>
      <c r="H322" s="787">
        <v>1</v>
      </c>
      <c r="I322" s="788">
        <v>41851</v>
      </c>
      <c r="J322" s="788">
        <v>42115</v>
      </c>
      <c r="K322" s="788">
        <v>41857</v>
      </c>
      <c r="L322" s="787">
        <v>0.77</v>
      </c>
      <c r="M322" s="787">
        <v>20</v>
      </c>
      <c r="N322" s="787">
        <v>0.83</v>
      </c>
      <c r="O322" s="788">
        <v>41955</v>
      </c>
    </row>
    <row r="323" spans="1:15" x14ac:dyDescent="0.25">
      <c r="A323" s="786" t="s">
        <v>1363</v>
      </c>
      <c r="B323" s="787">
        <v>4</v>
      </c>
      <c r="C323" s="787" t="s">
        <v>1364</v>
      </c>
      <c r="D323" s="787">
        <v>5.07</v>
      </c>
      <c r="E323" s="787">
        <v>5.07</v>
      </c>
      <c r="F323" s="788">
        <v>42016</v>
      </c>
      <c r="G323" s="788">
        <v>42016</v>
      </c>
      <c r="H323" s="787">
        <v>1</v>
      </c>
      <c r="I323" s="788">
        <v>41976</v>
      </c>
      <c r="J323" s="788">
        <v>39149</v>
      </c>
      <c r="K323" s="788">
        <v>41278</v>
      </c>
      <c r="L323" s="787">
        <v>0.1</v>
      </c>
      <c r="M323" s="787">
        <v>20</v>
      </c>
      <c r="N323" s="787">
        <v>0.11</v>
      </c>
      <c r="O323" s="788">
        <v>42136</v>
      </c>
    </row>
    <row r="324" spans="1:15" x14ac:dyDescent="0.25">
      <c r="A324" s="786" t="s">
        <v>1365</v>
      </c>
      <c r="B324" s="787">
        <v>4</v>
      </c>
      <c r="C324" s="787" t="s">
        <v>1366</v>
      </c>
      <c r="D324" s="787">
        <v>0.2</v>
      </c>
      <c r="E324" s="787">
        <v>0.2</v>
      </c>
      <c r="F324" s="788">
        <v>39799</v>
      </c>
      <c r="G324" s="788">
        <v>39590</v>
      </c>
      <c r="H324" s="787">
        <v>1</v>
      </c>
      <c r="I324" s="788">
        <v>41988</v>
      </c>
      <c r="J324" s="788">
        <v>41990</v>
      </c>
      <c r="L324" s="787">
        <v>0.11</v>
      </c>
      <c r="M324" s="787">
        <v>20</v>
      </c>
      <c r="N324" s="787">
        <v>0.12</v>
      </c>
      <c r="O324" s="788">
        <v>42046</v>
      </c>
    </row>
    <row r="325" spans="1:15" x14ac:dyDescent="0.25">
      <c r="A325" s="786" t="s">
        <v>1367</v>
      </c>
      <c r="B325" s="787">
        <v>4</v>
      </c>
      <c r="C325" s="787" t="s">
        <v>1368</v>
      </c>
      <c r="D325" s="787">
        <v>0</v>
      </c>
      <c r="E325" s="787">
        <v>0</v>
      </c>
      <c r="F325" s="788">
        <v>39800</v>
      </c>
      <c r="H325" s="787">
        <v>1</v>
      </c>
      <c r="I325" s="788">
        <v>39805</v>
      </c>
      <c r="J325" s="788">
        <v>39101</v>
      </c>
      <c r="K325" s="788">
        <v>41884</v>
      </c>
      <c r="L325" s="787">
        <v>0.1</v>
      </c>
      <c r="M325" s="787">
        <v>20</v>
      </c>
      <c r="N325" s="787">
        <v>0.11</v>
      </c>
      <c r="O325" s="788">
        <v>41955</v>
      </c>
    </row>
    <row r="326" spans="1:15" x14ac:dyDescent="0.25">
      <c r="A326" s="786" t="s">
        <v>1369</v>
      </c>
      <c r="B326" s="787">
        <v>4</v>
      </c>
      <c r="C326" s="787" t="s">
        <v>1370</v>
      </c>
      <c r="D326" s="787">
        <v>2.2000000000000002</v>
      </c>
      <c r="E326" s="787">
        <v>52.93</v>
      </c>
      <c r="F326" s="788">
        <v>38915</v>
      </c>
      <c r="G326" s="788">
        <v>40553</v>
      </c>
      <c r="H326" s="787">
        <v>1</v>
      </c>
      <c r="I326" s="788">
        <v>40673</v>
      </c>
      <c r="J326" s="788">
        <v>39328</v>
      </c>
      <c r="L326" s="787">
        <v>52.93</v>
      </c>
      <c r="M326" s="787">
        <v>20</v>
      </c>
      <c r="N326" s="787">
        <v>56.9</v>
      </c>
      <c r="O326" s="788">
        <v>41955</v>
      </c>
    </row>
    <row r="327" spans="1:15" x14ac:dyDescent="0.25">
      <c r="A327" s="786" t="s">
        <v>1371</v>
      </c>
      <c r="B327" s="787">
        <v>4</v>
      </c>
      <c r="C327" s="787" t="s">
        <v>1372</v>
      </c>
      <c r="D327" s="787">
        <v>0.39</v>
      </c>
      <c r="E327" s="787">
        <v>0.4</v>
      </c>
      <c r="F327" s="788">
        <v>39688</v>
      </c>
      <c r="G327" s="788">
        <v>41282</v>
      </c>
      <c r="H327" s="787">
        <v>1</v>
      </c>
      <c r="I327" s="788">
        <v>42166</v>
      </c>
      <c r="J327" s="788">
        <v>41522</v>
      </c>
      <c r="K327" s="788">
        <v>41522</v>
      </c>
      <c r="L327" s="787">
        <v>0.5</v>
      </c>
      <c r="M327" s="787">
        <v>20</v>
      </c>
      <c r="N327" s="787">
        <v>0.54</v>
      </c>
      <c r="O327" s="788">
        <v>42153</v>
      </c>
    </row>
    <row r="328" spans="1:15" x14ac:dyDescent="0.25">
      <c r="A328" s="786" t="s">
        <v>1373</v>
      </c>
      <c r="B328" s="787">
        <v>4</v>
      </c>
      <c r="C328" s="787" t="s">
        <v>1374</v>
      </c>
      <c r="D328" s="787">
        <v>0</v>
      </c>
      <c r="E328" s="787">
        <v>0</v>
      </c>
      <c r="F328" s="788">
        <v>39800</v>
      </c>
      <c r="H328" s="787">
        <v>1</v>
      </c>
      <c r="I328" s="788">
        <v>41956</v>
      </c>
      <c r="K328" s="788">
        <v>41287</v>
      </c>
      <c r="L328" s="787">
        <v>0.2</v>
      </c>
      <c r="M328" s="787">
        <v>20</v>
      </c>
      <c r="N328" s="787">
        <v>0.22</v>
      </c>
      <c r="O328" s="788">
        <v>42146</v>
      </c>
    </row>
    <row r="329" spans="1:15" x14ac:dyDescent="0.25">
      <c r="A329" s="786" t="s">
        <v>1375</v>
      </c>
      <c r="B329" s="787">
        <v>4</v>
      </c>
      <c r="C329" s="787" t="s">
        <v>1376</v>
      </c>
      <c r="D329" s="787">
        <v>9.15</v>
      </c>
      <c r="E329" s="787">
        <v>60.17</v>
      </c>
      <c r="F329" s="788">
        <v>39742</v>
      </c>
      <c r="G329" s="788">
        <v>42013</v>
      </c>
      <c r="H329" s="787">
        <v>1</v>
      </c>
      <c r="I329" s="788">
        <v>41143</v>
      </c>
      <c r="J329" s="788">
        <v>39742</v>
      </c>
      <c r="L329" s="787">
        <v>60.17</v>
      </c>
      <c r="M329" s="787">
        <v>20</v>
      </c>
      <c r="N329" s="787">
        <v>64.680000000000007</v>
      </c>
      <c r="O329" s="788">
        <v>42156</v>
      </c>
    </row>
    <row r="330" spans="1:15" x14ac:dyDescent="0.25">
      <c r="A330" s="786" t="s">
        <v>1377</v>
      </c>
      <c r="B330" s="787">
        <v>4</v>
      </c>
      <c r="C330" s="787" t="s">
        <v>1378</v>
      </c>
      <c r="D330" s="787">
        <v>0</v>
      </c>
      <c r="E330" s="787">
        <v>130.83000000000001</v>
      </c>
      <c r="H330" s="787">
        <v>1</v>
      </c>
      <c r="I330" s="788">
        <v>42103</v>
      </c>
      <c r="L330" s="787">
        <v>130.83000000000001</v>
      </c>
      <c r="M330" s="787">
        <v>20</v>
      </c>
      <c r="N330" s="787">
        <v>140.63999999999999</v>
      </c>
      <c r="O330" s="788">
        <v>42156</v>
      </c>
    </row>
    <row r="331" spans="1:15" x14ac:dyDescent="0.25">
      <c r="A331" s="786" t="s">
        <v>1379</v>
      </c>
      <c r="B331" s="787">
        <v>4</v>
      </c>
      <c r="C331" s="787" t="s">
        <v>1380</v>
      </c>
      <c r="D331" s="787">
        <v>0</v>
      </c>
      <c r="E331" s="787">
        <v>0</v>
      </c>
      <c r="G331" s="788">
        <v>41806</v>
      </c>
      <c r="H331" s="787">
        <v>1</v>
      </c>
      <c r="I331" s="788">
        <v>42165</v>
      </c>
      <c r="J331" s="788">
        <v>41806</v>
      </c>
      <c r="L331" s="787">
        <v>0.05</v>
      </c>
      <c r="M331" s="787">
        <v>20</v>
      </c>
      <c r="N331" s="787">
        <v>0.05</v>
      </c>
      <c r="O331" s="788">
        <v>42146</v>
      </c>
    </row>
    <row r="332" spans="1:15" x14ac:dyDescent="0.25">
      <c r="A332" s="786" t="s">
        <v>1381</v>
      </c>
      <c r="B332" s="787">
        <v>4</v>
      </c>
      <c r="C332" s="787" t="s">
        <v>1382</v>
      </c>
      <c r="D332" s="787">
        <v>0</v>
      </c>
      <c r="E332" s="787">
        <v>68</v>
      </c>
      <c r="H332" s="787">
        <v>1</v>
      </c>
      <c r="I332" s="788">
        <v>42166</v>
      </c>
      <c r="K332" s="788">
        <v>40017</v>
      </c>
      <c r="L332" s="787">
        <v>68</v>
      </c>
      <c r="M332" s="787">
        <v>20</v>
      </c>
      <c r="N332" s="787">
        <v>73.099999999999994</v>
      </c>
      <c r="O332" s="788">
        <v>42162</v>
      </c>
    </row>
    <row r="333" spans="1:15" x14ac:dyDescent="0.25">
      <c r="A333" s="786" t="s">
        <v>1383</v>
      </c>
      <c r="B333" s="787">
        <v>4</v>
      </c>
      <c r="C333" s="787" t="s">
        <v>1384</v>
      </c>
      <c r="D333" s="787">
        <v>0</v>
      </c>
      <c r="E333" s="787">
        <v>0</v>
      </c>
      <c r="G333" s="788">
        <v>42026</v>
      </c>
      <c r="H333" s="787">
        <v>1</v>
      </c>
      <c r="I333" s="788">
        <v>41240</v>
      </c>
      <c r="L333" s="787">
        <v>0.11</v>
      </c>
      <c r="M333" s="787">
        <v>20</v>
      </c>
      <c r="N333" s="787">
        <v>0.12</v>
      </c>
      <c r="O333" s="788">
        <v>41955</v>
      </c>
    </row>
    <row r="334" spans="1:15" x14ac:dyDescent="0.25">
      <c r="A334" s="786" t="s">
        <v>1385</v>
      </c>
      <c r="B334" s="787">
        <v>4</v>
      </c>
      <c r="C334" s="787" t="s">
        <v>1386</v>
      </c>
      <c r="D334" s="787">
        <v>0</v>
      </c>
      <c r="E334" s="787">
        <v>0</v>
      </c>
      <c r="H334" s="787">
        <v>1</v>
      </c>
      <c r="I334" s="788">
        <v>42166</v>
      </c>
      <c r="K334" s="788">
        <v>40994</v>
      </c>
      <c r="L334" s="787">
        <v>0.01</v>
      </c>
      <c r="M334" s="787">
        <v>20</v>
      </c>
      <c r="N334" s="787">
        <v>0.01</v>
      </c>
      <c r="O334" s="788">
        <v>42136</v>
      </c>
    </row>
    <row r="335" spans="1:15" x14ac:dyDescent="0.25">
      <c r="A335" s="786" t="s">
        <v>1387</v>
      </c>
      <c r="B335" s="787">
        <v>4</v>
      </c>
      <c r="C335" s="787" t="s">
        <v>1388</v>
      </c>
      <c r="D335" s="787">
        <v>0</v>
      </c>
      <c r="E335" s="787">
        <v>0</v>
      </c>
      <c r="H335" s="787">
        <v>1</v>
      </c>
      <c r="K335" s="788">
        <v>41884</v>
      </c>
      <c r="L335" s="787">
        <v>0.1</v>
      </c>
      <c r="M335" s="787">
        <v>20</v>
      </c>
      <c r="N335" s="787">
        <v>0.11</v>
      </c>
      <c r="O335" s="788">
        <v>41955</v>
      </c>
    </row>
    <row r="336" spans="1:15" x14ac:dyDescent="0.25">
      <c r="A336" s="786" t="s">
        <v>1389</v>
      </c>
      <c r="B336" s="787">
        <v>4</v>
      </c>
      <c r="C336" s="787" t="s">
        <v>1390</v>
      </c>
      <c r="D336" s="787">
        <v>0</v>
      </c>
      <c r="E336" s="787">
        <v>0</v>
      </c>
      <c r="H336" s="787">
        <v>1</v>
      </c>
      <c r="I336" s="788">
        <v>42110</v>
      </c>
      <c r="K336" s="788">
        <v>41864</v>
      </c>
      <c r="L336" s="787">
        <v>1.49</v>
      </c>
      <c r="M336" s="787">
        <v>20</v>
      </c>
      <c r="N336" s="787">
        <v>1.6</v>
      </c>
      <c r="O336" s="788">
        <v>41955</v>
      </c>
    </row>
    <row r="337" spans="1:15" x14ac:dyDescent="0.25">
      <c r="A337" s="786" t="s">
        <v>1391</v>
      </c>
      <c r="B337" s="787">
        <v>4</v>
      </c>
      <c r="C337" s="787" t="s">
        <v>1081</v>
      </c>
      <c r="D337" s="787">
        <v>0</v>
      </c>
      <c r="E337" s="787">
        <v>0</v>
      </c>
      <c r="H337" s="787">
        <v>1</v>
      </c>
      <c r="I337" s="788">
        <v>41716</v>
      </c>
      <c r="L337" s="787">
        <v>0</v>
      </c>
      <c r="M337" s="787">
        <v>20</v>
      </c>
      <c r="N337" s="787">
        <v>0.01</v>
      </c>
      <c r="O337" s="788">
        <v>42146</v>
      </c>
    </row>
    <row r="338" spans="1:15" x14ac:dyDescent="0.25">
      <c r="A338" s="786" t="s">
        <v>1392</v>
      </c>
      <c r="B338" s="787">
        <v>4</v>
      </c>
      <c r="C338" s="787" t="s">
        <v>1393</v>
      </c>
      <c r="D338" s="787">
        <v>0</v>
      </c>
      <c r="E338" s="787">
        <v>0</v>
      </c>
      <c r="H338" s="787">
        <v>1</v>
      </c>
      <c r="I338" s="788">
        <v>42086</v>
      </c>
      <c r="L338" s="787">
        <v>0.8</v>
      </c>
      <c r="M338" s="787">
        <v>20</v>
      </c>
      <c r="N338" s="787">
        <v>0.86</v>
      </c>
      <c r="O338" s="788">
        <v>41955</v>
      </c>
    </row>
    <row r="339" spans="1:15" x14ac:dyDescent="0.25">
      <c r="A339" s="786" t="s">
        <v>1394</v>
      </c>
      <c r="B339" s="787">
        <v>4</v>
      </c>
      <c r="C339" s="787" t="s">
        <v>1395</v>
      </c>
      <c r="D339" s="787">
        <v>0</v>
      </c>
      <c r="E339" s="787">
        <v>0</v>
      </c>
      <c r="H339" s="787">
        <v>1</v>
      </c>
      <c r="I339" s="788">
        <v>42157</v>
      </c>
      <c r="K339" s="788">
        <v>41247</v>
      </c>
      <c r="L339" s="787">
        <v>0.4</v>
      </c>
      <c r="M339" s="787">
        <v>20</v>
      </c>
      <c r="N339" s="787">
        <v>0.43</v>
      </c>
      <c r="O339" s="788">
        <v>42165</v>
      </c>
    </row>
    <row r="340" spans="1:15" x14ac:dyDescent="0.25">
      <c r="A340" s="786" t="s">
        <v>1396</v>
      </c>
      <c r="B340" s="787">
        <v>4</v>
      </c>
      <c r="C340" s="787" t="s">
        <v>1366</v>
      </c>
      <c r="D340" s="787">
        <v>0</v>
      </c>
      <c r="E340" s="787">
        <v>0</v>
      </c>
      <c r="H340" s="787">
        <v>1</v>
      </c>
      <c r="L340" s="787">
        <v>0.5</v>
      </c>
      <c r="M340" s="787">
        <v>20</v>
      </c>
      <c r="N340" s="787">
        <v>0.54</v>
      </c>
      <c r="O340" s="788">
        <v>42068</v>
      </c>
    </row>
    <row r="341" spans="1:15" x14ac:dyDescent="0.25">
      <c r="A341" s="786" t="s">
        <v>1397</v>
      </c>
      <c r="B341" s="787">
        <v>4</v>
      </c>
      <c r="C341" s="787" t="s">
        <v>1398</v>
      </c>
      <c r="D341" s="787">
        <v>0</v>
      </c>
      <c r="E341" s="787">
        <v>0</v>
      </c>
      <c r="G341" s="787" t="s">
        <v>1067</v>
      </c>
      <c r="H341" s="787">
        <v>6</v>
      </c>
      <c r="L341" s="787">
        <v>0</v>
      </c>
      <c r="M341" s="787">
        <v>10</v>
      </c>
      <c r="N341" s="787">
        <v>95.94</v>
      </c>
      <c r="O341" s="788">
        <v>40642</v>
      </c>
    </row>
    <row r="342" spans="1:15" x14ac:dyDescent="0.25">
      <c r="A342" s="786" t="s">
        <v>1399</v>
      </c>
      <c r="B342" s="787">
        <v>4</v>
      </c>
      <c r="C342" s="787" t="s">
        <v>1400</v>
      </c>
      <c r="D342" s="787">
        <v>0.62</v>
      </c>
      <c r="E342" s="787">
        <v>3.15</v>
      </c>
      <c r="F342" s="788">
        <v>39101</v>
      </c>
      <c r="G342" s="788">
        <v>42045</v>
      </c>
      <c r="H342" s="787">
        <v>1</v>
      </c>
      <c r="I342" s="788">
        <v>42026</v>
      </c>
      <c r="J342" s="788">
        <v>42027</v>
      </c>
      <c r="K342" s="788">
        <v>41864</v>
      </c>
      <c r="L342" s="787">
        <v>5.25</v>
      </c>
      <c r="M342" s="787">
        <v>20</v>
      </c>
      <c r="N342" s="787">
        <v>5.64</v>
      </c>
      <c r="O342" s="788">
        <v>42053</v>
      </c>
    </row>
    <row r="343" spans="1:15" x14ac:dyDescent="0.25">
      <c r="A343" s="786" t="s">
        <v>1401</v>
      </c>
      <c r="B343" s="787">
        <v>4</v>
      </c>
      <c r="C343" s="787" t="s">
        <v>1400</v>
      </c>
      <c r="D343" s="787">
        <v>3.6</v>
      </c>
      <c r="E343" s="787">
        <v>3.6</v>
      </c>
      <c r="F343" s="788">
        <v>41157</v>
      </c>
      <c r="G343" s="788">
        <v>41984</v>
      </c>
      <c r="H343" s="787">
        <v>1</v>
      </c>
      <c r="I343" s="788">
        <v>42074</v>
      </c>
      <c r="J343" s="788">
        <v>41984</v>
      </c>
      <c r="K343" s="788">
        <v>41869</v>
      </c>
      <c r="L343" s="787">
        <v>3.6</v>
      </c>
      <c r="M343" s="787">
        <v>20</v>
      </c>
      <c r="N343" s="787">
        <v>3.87</v>
      </c>
      <c r="O343" s="788">
        <v>42164</v>
      </c>
    </row>
    <row r="344" spans="1:15" x14ac:dyDescent="0.25">
      <c r="A344" s="786" t="s">
        <v>1402</v>
      </c>
      <c r="B344" s="787">
        <v>4</v>
      </c>
      <c r="C344" s="787" t="s">
        <v>1403</v>
      </c>
      <c r="D344" s="787">
        <v>8.9</v>
      </c>
      <c r="E344" s="787">
        <v>18.899999999999999</v>
      </c>
      <c r="F344" s="788">
        <v>40361</v>
      </c>
      <c r="G344" s="788">
        <v>41151</v>
      </c>
      <c r="H344" s="787">
        <v>1</v>
      </c>
      <c r="I344" s="788">
        <v>39906</v>
      </c>
      <c r="J344" s="788">
        <v>41151</v>
      </c>
      <c r="L344" s="787">
        <v>15.49</v>
      </c>
      <c r="M344" s="787">
        <v>20</v>
      </c>
      <c r="N344" s="787">
        <v>16.649999999999999</v>
      </c>
      <c r="O344" s="788">
        <v>42162</v>
      </c>
    </row>
    <row r="345" spans="1:15" x14ac:dyDescent="0.25">
      <c r="A345" s="786" t="s">
        <v>565</v>
      </c>
      <c r="B345" s="787">
        <v>4</v>
      </c>
      <c r="C345" s="787" t="s">
        <v>1404</v>
      </c>
      <c r="D345" s="787">
        <v>1.01</v>
      </c>
      <c r="E345" s="787">
        <v>1.01</v>
      </c>
      <c r="F345" s="788">
        <v>41032</v>
      </c>
      <c r="G345" s="788">
        <v>42156</v>
      </c>
      <c r="H345" s="787">
        <v>1</v>
      </c>
      <c r="I345" s="788">
        <v>42166</v>
      </c>
      <c r="J345" s="788">
        <v>42146</v>
      </c>
      <c r="K345" s="788">
        <v>41869</v>
      </c>
      <c r="L345" s="787">
        <v>1.01</v>
      </c>
      <c r="M345" s="787">
        <v>20</v>
      </c>
      <c r="N345" s="787">
        <v>1.0900000000000001</v>
      </c>
      <c r="O345" s="788">
        <v>42163</v>
      </c>
    </row>
    <row r="346" spans="1:15" x14ac:dyDescent="0.25">
      <c r="A346" s="786" t="s">
        <v>584</v>
      </c>
      <c r="B346" s="787">
        <v>4</v>
      </c>
      <c r="C346" s="787" t="s">
        <v>1405</v>
      </c>
      <c r="D346" s="787">
        <v>1.43</v>
      </c>
      <c r="E346" s="787">
        <v>1.43</v>
      </c>
      <c r="F346" s="788">
        <v>41043</v>
      </c>
      <c r="G346" s="788">
        <v>42137</v>
      </c>
      <c r="H346" s="787">
        <v>1</v>
      </c>
      <c r="I346" s="788">
        <v>42166</v>
      </c>
      <c r="J346" s="788">
        <v>42150</v>
      </c>
      <c r="K346" s="788">
        <v>41869</v>
      </c>
      <c r="L346" s="787">
        <v>1.43</v>
      </c>
      <c r="M346" s="787">
        <v>20</v>
      </c>
      <c r="N346" s="787">
        <v>1.54</v>
      </c>
      <c r="O346" s="788">
        <v>42162</v>
      </c>
    </row>
    <row r="347" spans="1:15" x14ac:dyDescent="0.25">
      <c r="A347" s="786" t="s">
        <v>1406</v>
      </c>
      <c r="B347" s="787">
        <v>4</v>
      </c>
      <c r="C347" s="787" t="s">
        <v>1407</v>
      </c>
      <c r="D347" s="787">
        <v>2.1</v>
      </c>
      <c r="E347" s="787">
        <v>52.1</v>
      </c>
      <c r="F347" s="788">
        <v>37937</v>
      </c>
      <c r="G347" s="788">
        <v>37937</v>
      </c>
      <c r="H347" s="787">
        <v>1</v>
      </c>
      <c r="I347" s="788">
        <v>37928</v>
      </c>
      <c r="J347" s="788">
        <v>37928</v>
      </c>
      <c r="L347" s="787">
        <v>52.1</v>
      </c>
      <c r="M347" s="787">
        <v>20</v>
      </c>
      <c r="N347" s="787">
        <v>56.01</v>
      </c>
      <c r="O347" s="788">
        <v>41955</v>
      </c>
    </row>
    <row r="348" spans="1:15" x14ac:dyDescent="0.25">
      <c r="A348" s="786" t="s">
        <v>1408</v>
      </c>
      <c r="B348" s="787">
        <v>4</v>
      </c>
      <c r="C348" s="787" t="s">
        <v>1400</v>
      </c>
      <c r="D348" s="787">
        <v>0.14000000000000001</v>
      </c>
      <c r="E348" s="787">
        <v>0.56000000000000005</v>
      </c>
      <c r="F348" s="788">
        <v>38047</v>
      </c>
      <c r="G348" s="788">
        <v>42013</v>
      </c>
      <c r="H348" s="787">
        <v>1</v>
      </c>
      <c r="I348" s="788">
        <v>42156</v>
      </c>
      <c r="J348" s="788">
        <v>41907</v>
      </c>
      <c r="K348" s="788">
        <v>41865</v>
      </c>
      <c r="L348" s="787">
        <v>0.56000000000000005</v>
      </c>
      <c r="M348" s="787">
        <v>20</v>
      </c>
      <c r="N348" s="787">
        <v>0.6</v>
      </c>
      <c r="O348" s="788">
        <v>42046</v>
      </c>
    </row>
    <row r="349" spans="1:15" x14ac:dyDescent="0.25">
      <c r="A349" s="786" t="s">
        <v>730</v>
      </c>
      <c r="B349" s="787">
        <v>4</v>
      </c>
      <c r="C349" s="787" t="s">
        <v>1400</v>
      </c>
      <c r="D349" s="787">
        <v>0.65</v>
      </c>
      <c r="E349" s="787">
        <v>0.65</v>
      </c>
      <c r="F349" s="788">
        <v>41045</v>
      </c>
      <c r="G349" s="788">
        <v>41943</v>
      </c>
      <c r="H349" s="787">
        <v>1</v>
      </c>
      <c r="I349" s="788">
        <v>42153</v>
      </c>
      <c r="J349" s="788">
        <v>42121</v>
      </c>
      <c r="K349" s="788">
        <v>41869</v>
      </c>
      <c r="L349" s="787">
        <v>0.65</v>
      </c>
      <c r="M349" s="787">
        <v>20</v>
      </c>
      <c r="N349" s="787">
        <v>0.7</v>
      </c>
      <c r="O349" s="788">
        <v>41955</v>
      </c>
    </row>
    <row r="350" spans="1:15" x14ac:dyDescent="0.25">
      <c r="A350" s="786" t="s">
        <v>1409</v>
      </c>
      <c r="B350" s="787">
        <v>4</v>
      </c>
      <c r="C350" s="787" t="s">
        <v>1400</v>
      </c>
      <c r="D350" s="787">
        <v>1.99</v>
      </c>
      <c r="E350" s="787">
        <v>1.99</v>
      </c>
      <c r="F350" s="788">
        <v>39101</v>
      </c>
      <c r="G350" s="788">
        <v>39101</v>
      </c>
      <c r="H350" s="787">
        <v>1</v>
      </c>
      <c r="I350" s="788">
        <v>39805</v>
      </c>
      <c r="J350" s="788">
        <v>39101</v>
      </c>
      <c r="L350" s="787">
        <v>1.99</v>
      </c>
      <c r="M350" s="787">
        <v>20</v>
      </c>
      <c r="N350" s="787">
        <v>2.14</v>
      </c>
      <c r="O350" s="788">
        <v>41955</v>
      </c>
    </row>
    <row r="351" spans="1:15" x14ac:dyDescent="0.25">
      <c r="A351" s="786" t="s">
        <v>1410</v>
      </c>
      <c r="B351" s="787">
        <v>4</v>
      </c>
      <c r="C351" s="787" t="s">
        <v>1411</v>
      </c>
      <c r="D351" s="787">
        <v>1.82</v>
      </c>
      <c r="E351" s="787">
        <v>2.69</v>
      </c>
      <c r="F351" s="788">
        <v>39155</v>
      </c>
      <c r="G351" s="788">
        <v>42121</v>
      </c>
      <c r="H351" s="787">
        <v>1</v>
      </c>
      <c r="I351" s="788">
        <v>42090</v>
      </c>
      <c r="J351" s="788">
        <v>42110</v>
      </c>
      <c r="L351" s="787">
        <v>2.69</v>
      </c>
      <c r="M351" s="787">
        <v>20</v>
      </c>
      <c r="N351" s="787">
        <v>2.89</v>
      </c>
      <c r="O351" s="788">
        <v>41955</v>
      </c>
    </row>
    <row r="352" spans="1:15" x14ac:dyDescent="0.25">
      <c r="A352" s="786" t="s">
        <v>1412</v>
      </c>
      <c r="B352" s="787">
        <v>4</v>
      </c>
      <c r="C352" s="787" t="s">
        <v>1400</v>
      </c>
      <c r="D352" s="787">
        <v>7</v>
      </c>
      <c r="E352" s="787">
        <v>7</v>
      </c>
      <c r="F352" s="788">
        <v>40009</v>
      </c>
      <c r="G352" s="788">
        <v>40009</v>
      </c>
      <c r="H352" s="787">
        <v>1</v>
      </c>
      <c r="I352" s="788">
        <v>41401</v>
      </c>
      <c r="J352" s="788">
        <v>40352</v>
      </c>
      <c r="L352" s="787">
        <v>7</v>
      </c>
      <c r="M352" s="787">
        <v>20</v>
      </c>
      <c r="N352" s="787">
        <v>7.53</v>
      </c>
      <c r="O352" s="788">
        <v>41955</v>
      </c>
    </row>
    <row r="353" spans="1:15" x14ac:dyDescent="0.25">
      <c r="A353" s="786" t="s">
        <v>1413</v>
      </c>
      <c r="B353" s="787">
        <v>4</v>
      </c>
      <c r="C353" s="787" t="s">
        <v>1400</v>
      </c>
      <c r="D353" s="787">
        <v>1.27</v>
      </c>
      <c r="E353" s="787">
        <v>1.27</v>
      </c>
      <c r="F353" s="788">
        <v>37635</v>
      </c>
      <c r="G353" s="788">
        <v>37635</v>
      </c>
      <c r="H353" s="787">
        <v>1</v>
      </c>
      <c r="J353" s="788">
        <v>37635</v>
      </c>
      <c r="L353" s="787">
        <v>1.27</v>
      </c>
      <c r="M353" s="787">
        <v>20</v>
      </c>
      <c r="N353" s="787">
        <v>1.37</v>
      </c>
      <c r="O353" s="788">
        <v>41955</v>
      </c>
    </row>
    <row r="354" spans="1:15" x14ac:dyDescent="0.25">
      <c r="A354" s="786" t="s">
        <v>566</v>
      </c>
      <c r="B354" s="787">
        <v>4</v>
      </c>
      <c r="C354" s="787" t="s">
        <v>726</v>
      </c>
      <c r="D354" s="787">
        <v>1.01</v>
      </c>
      <c r="E354" s="787">
        <v>3</v>
      </c>
      <c r="F354" s="788">
        <v>41067</v>
      </c>
      <c r="G354" s="788">
        <v>41985</v>
      </c>
      <c r="H354" s="787">
        <v>1</v>
      </c>
      <c r="I354" s="788">
        <v>42164</v>
      </c>
      <c r="J354" s="788">
        <v>42146</v>
      </c>
      <c r="L354" s="787">
        <v>3.5</v>
      </c>
      <c r="M354" s="787">
        <v>20</v>
      </c>
      <c r="N354" s="787">
        <v>3.76</v>
      </c>
      <c r="O354" s="788">
        <v>42053</v>
      </c>
    </row>
    <row r="355" spans="1:15" x14ac:dyDescent="0.25">
      <c r="A355" s="786" t="s">
        <v>585</v>
      </c>
      <c r="B355" s="787">
        <v>4</v>
      </c>
      <c r="C355" s="787" t="s">
        <v>729</v>
      </c>
      <c r="D355" s="787">
        <v>3.84</v>
      </c>
      <c r="E355" s="787">
        <v>4.0199999999999996</v>
      </c>
      <c r="F355" s="788">
        <v>39101</v>
      </c>
      <c r="G355" s="788">
        <v>41578</v>
      </c>
      <c r="H355" s="787">
        <v>1</v>
      </c>
      <c r="I355" s="788">
        <v>42146</v>
      </c>
      <c r="J355" s="788">
        <v>42082</v>
      </c>
      <c r="L355" s="787">
        <v>4.63</v>
      </c>
      <c r="M355" s="787">
        <v>20</v>
      </c>
      <c r="N355" s="787">
        <v>4.9800000000000004</v>
      </c>
      <c r="O355" s="788">
        <v>42164</v>
      </c>
    </row>
    <row r="356" spans="1:15" x14ac:dyDescent="0.25">
      <c r="A356" s="786" t="s">
        <v>1414</v>
      </c>
      <c r="B356" s="787">
        <v>4</v>
      </c>
      <c r="C356" s="787" t="s">
        <v>1415</v>
      </c>
      <c r="D356" s="787">
        <v>0.78</v>
      </c>
      <c r="E356" s="787">
        <v>0.78</v>
      </c>
      <c r="F356" s="788">
        <v>37635</v>
      </c>
      <c r="G356" s="788">
        <v>37635</v>
      </c>
      <c r="H356" s="787">
        <v>1</v>
      </c>
      <c r="I356" s="788">
        <v>37659</v>
      </c>
      <c r="J356" s="788">
        <v>37635</v>
      </c>
      <c r="L356" s="787">
        <v>0.85</v>
      </c>
      <c r="M356" s="787">
        <v>20</v>
      </c>
      <c r="N356" s="787">
        <v>0.91</v>
      </c>
      <c r="O356" s="788">
        <v>41955</v>
      </c>
    </row>
    <row r="357" spans="1:15" x14ac:dyDescent="0.25">
      <c r="A357" s="786" t="s">
        <v>1416</v>
      </c>
      <c r="B357" s="787">
        <v>4</v>
      </c>
      <c r="C357" s="787" t="s">
        <v>1417</v>
      </c>
      <c r="D357" s="787">
        <v>1.88</v>
      </c>
      <c r="E357" s="787">
        <v>1.88</v>
      </c>
      <c r="F357" s="788">
        <v>42086</v>
      </c>
      <c r="G357" s="788">
        <v>42091</v>
      </c>
      <c r="H357" s="787">
        <v>1</v>
      </c>
      <c r="J357" s="788">
        <v>42082</v>
      </c>
      <c r="K357" s="788">
        <v>42081</v>
      </c>
      <c r="L357" s="787">
        <v>3.5</v>
      </c>
      <c r="M357" s="787">
        <v>20</v>
      </c>
      <c r="N357" s="787">
        <v>0</v>
      </c>
    </row>
    <row r="358" spans="1:15" x14ac:dyDescent="0.25">
      <c r="A358" s="786" t="s">
        <v>1418</v>
      </c>
      <c r="B358" s="787">
        <v>4</v>
      </c>
      <c r="C358" s="787" t="s">
        <v>1419</v>
      </c>
      <c r="D358" s="787">
        <v>2.56</v>
      </c>
      <c r="E358" s="787">
        <v>2.56</v>
      </c>
      <c r="F358" s="788">
        <v>37635</v>
      </c>
      <c r="G358" s="788">
        <v>37635</v>
      </c>
      <c r="H358" s="787">
        <v>1</v>
      </c>
      <c r="J358" s="788">
        <v>37635</v>
      </c>
      <c r="L358" s="787">
        <v>2.56</v>
      </c>
      <c r="M358" s="787">
        <v>20</v>
      </c>
      <c r="N358" s="787">
        <v>2.75</v>
      </c>
      <c r="O358" s="788">
        <v>41955</v>
      </c>
    </row>
    <row r="359" spans="1:15" x14ac:dyDescent="0.25">
      <c r="A359" s="786" t="s">
        <v>1420</v>
      </c>
      <c r="B359" s="787">
        <v>4</v>
      </c>
      <c r="C359" s="787" t="s">
        <v>1419</v>
      </c>
      <c r="D359" s="787">
        <v>2.56</v>
      </c>
      <c r="E359" s="787">
        <v>2.56</v>
      </c>
      <c r="F359" s="788">
        <v>37635</v>
      </c>
      <c r="G359" s="788">
        <v>37635</v>
      </c>
      <c r="H359" s="787">
        <v>1</v>
      </c>
      <c r="J359" s="788">
        <v>37635</v>
      </c>
      <c r="L359" s="787">
        <v>0.17</v>
      </c>
      <c r="M359" s="787">
        <v>10</v>
      </c>
      <c r="N359" s="787">
        <v>0.47</v>
      </c>
      <c r="O359" s="788">
        <v>39897</v>
      </c>
    </row>
    <row r="360" spans="1:15" x14ac:dyDescent="0.25">
      <c r="A360" s="786" t="s">
        <v>1421</v>
      </c>
      <c r="B360" s="787">
        <v>4</v>
      </c>
      <c r="C360" s="787" t="s">
        <v>1419</v>
      </c>
      <c r="D360" s="787">
        <v>2.56</v>
      </c>
      <c r="E360" s="787">
        <v>2.56</v>
      </c>
      <c r="F360" s="788">
        <v>37635</v>
      </c>
      <c r="G360" s="788">
        <v>37635</v>
      </c>
      <c r="H360" s="787">
        <v>1</v>
      </c>
      <c r="J360" s="788">
        <v>37635</v>
      </c>
      <c r="L360" s="787">
        <v>0.17</v>
      </c>
      <c r="M360" s="787">
        <v>10</v>
      </c>
      <c r="N360" s="787">
        <v>0.47</v>
      </c>
      <c r="O360" s="788">
        <v>39897</v>
      </c>
    </row>
    <row r="361" spans="1:15" x14ac:dyDescent="0.25">
      <c r="A361" s="786" t="s">
        <v>1422</v>
      </c>
      <c r="B361" s="787">
        <v>4</v>
      </c>
      <c r="C361" s="787" t="s">
        <v>1423</v>
      </c>
      <c r="D361" s="787">
        <v>0.03</v>
      </c>
      <c r="E361" s="787">
        <v>0.03</v>
      </c>
      <c r="F361" s="788">
        <v>37635</v>
      </c>
      <c r="G361" s="788">
        <v>37635</v>
      </c>
      <c r="H361" s="787">
        <v>1</v>
      </c>
      <c r="I361" s="788">
        <v>37683</v>
      </c>
      <c r="J361" s="788">
        <v>37635</v>
      </c>
      <c r="L361" s="787">
        <v>0.03</v>
      </c>
      <c r="M361" s="787">
        <v>20</v>
      </c>
      <c r="N361" s="787">
        <v>0.03</v>
      </c>
      <c r="O361" s="788">
        <v>41955</v>
      </c>
    </row>
    <row r="362" spans="1:15" x14ac:dyDescent="0.25">
      <c r="A362" s="786" t="s">
        <v>1424</v>
      </c>
      <c r="B362" s="787">
        <v>4</v>
      </c>
      <c r="C362" s="787" t="s">
        <v>1069</v>
      </c>
      <c r="D362" s="787">
        <v>0</v>
      </c>
      <c r="E362" s="787">
        <v>0</v>
      </c>
      <c r="G362" s="787" t="s">
        <v>1067</v>
      </c>
      <c r="H362" s="787">
        <v>1</v>
      </c>
      <c r="L362" s="787">
        <v>0</v>
      </c>
      <c r="M362" s="787">
        <v>10</v>
      </c>
      <c r="N362" s="787">
        <v>558.16</v>
      </c>
      <c r="O362" s="788">
        <v>40642</v>
      </c>
    </row>
    <row r="363" spans="1:15" x14ac:dyDescent="0.25">
      <c r="A363" s="786" t="s">
        <v>1425</v>
      </c>
      <c r="B363" s="787">
        <v>4</v>
      </c>
      <c r="C363" s="787" t="s">
        <v>1426</v>
      </c>
      <c r="D363" s="787">
        <v>0.02</v>
      </c>
      <c r="E363" s="787">
        <v>0.02</v>
      </c>
      <c r="F363" s="788">
        <v>37635</v>
      </c>
      <c r="G363" s="788">
        <v>38364</v>
      </c>
      <c r="H363" s="787">
        <v>1</v>
      </c>
      <c r="I363" s="788">
        <v>42163</v>
      </c>
      <c r="J363" s="788">
        <v>39155</v>
      </c>
      <c r="L363" s="787">
        <v>0.02</v>
      </c>
      <c r="M363" s="787">
        <v>20</v>
      </c>
      <c r="N363" s="787">
        <v>0.02</v>
      </c>
      <c r="O363" s="788">
        <v>41955</v>
      </c>
    </row>
    <row r="364" spans="1:15" x14ac:dyDescent="0.25">
      <c r="A364" s="786" t="s">
        <v>1427</v>
      </c>
      <c r="B364" s="787">
        <v>4</v>
      </c>
      <c r="C364" s="787" t="s">
        <v>1428</v>
      </c>
      <c r="D364" s="787">
        <v>0.03</v>
      </c>
      <c r="E364" s="787">
        <v>0.03</v>
      </c>
      <c r="F364" s="788">
        <v>38047</v>
      </c>
      <c r="G364" s="788">
        <v>38364</v>
      </c>
      <c r="H364" s="787">
        <v>1</v>
      </c>
      <c r="I364" s="788">
        <v>42166</v>
      </c>
      <c r="J364" s="788">
        <v>39155</v>
      </c>
      <c r="K364" s="788">
        <v>41744</v>
      </c>
      <c r="L364" s="787">
        <v>0.03</v>
      </c>
      <c r="M364" s="787">
        <v>20</v>
      </c>
      <c r="N364" s="787">
        <v>0.03</v>
      </c>
      <c r="O364" s="788">
        <v>41955</v>
      </c>
    </row>
    <row r="365" spans="1:15" x14ac:dyDescent="0.25">
      <c r="A365" s="786" t="s">
        <v>1429</v>
      </c>
      <c r="B365" s="787">
        <v>4</v>
      </c>
      <c r="C365" s="787" t="s">
        <v>1430</v>
      </c>
      <c r="D365" s="787">
        <v>0</v>
      </c>
      <c r="E365" s="787">
        <v>0</v>
      </c>
      <c r="H365" s="787">
        <v>1</v>
      </c>
      <c r="I365" s="788">
        <v>42115</v>
      </c>
      <c r="L365" s="787">
        <v>0.06</v>
      </c>
      <c r="M365" s="787">
        <v>20</v>
      </c>
      <c r="N365" s="787">
        <v>0.06</v>
      </c>
      <c r="O365" s="788">
        <v>42060</v>
      </c>
    </row>
    <row r="366" spans="1:15" x14ac:dyDescent="0.25">
      <c r="A366" s="786" t="s">
        <v>1431</v>
      </c>
      <c r="B366" s="787">
        <v>4</v>
      </c>
      <c r="C366" s="787" t="s">
        <v>1432</v>
      </c>
      <c r="D366" s="787">
        <v>0</v>
      </c>
      <c r="E366" s="787">
        <v>0</v>
      </c>
      <c r="G366" s="788">
        <v>38635</v>
      </c>
      <c r="H366" s="787">
        <v>1</v>
      </c>
      <c r="I366" s="788">
        <v>42163</v>
      </c>
      <c r="J366" s="788">
        <v>39155</v>
      </c>
      <c r="K366" s="788">
        <v>40892</v>
      </c>
      <c r="L366" s="787">
        <v>0.01</v>
      </c>
      <c r="M366" s="787">
        <v>20</v>
      </c>
      <c r="N366" s="787">
        <v>0.01</v>
      </c>
      <c r="O366" s="788">
        <v>42146</v>
      </c>
    </row>
    <row r="367" spans="1:15" x14ac:dyDescent="0.25">
      <c r="A367" s="786" t="s">
        <v>1433</v>
      </c>
      <c r="B367" s="787">
        <v>4</v>
      </c>
      <c r="C367" s="787" t="s">
        <v>1434</v>
      </c>
      <c r="D367" s="787">
        <v>0</v>
      </c>
      <c r="E367" s="787">
        <v>0</v>
      </c>
      <c r="H367" s="787">
        <v>1</v>
      </c>
      <c r="I367" s="788">
        <v>42051</v>
      </c>
      <c r="L367" s="787">
        <v>0</v>
      </c>
      <c r="M367" s="787">
        <v>20</v>
      </c>
      <c r="N367" s="787">
        <v>0.01</v>
      </c>
      <c r="O367" s="788">
        <v>42163</v>
      </c>
    </row>
    <row r="368" spans="1:15" x14ac:dyDescent="0.25">
      <c r="A368" s="786" t="s">
        <v>676</v>
      </c>
      <c r="B368" s="787">
        <v>4</v>
      </c>
      <c r="C368" s="787" t="s">
        <v>1435</v>
      </c>
      <c r="D368" s="787">
        <v>0</v>
      </c>
      <c r="E368" s="787">
        <v>0</v>
      </c>
      <c r="G368" s="788">
        <v>38450</v>
      </c>
      <c r="H368" s="787">
        <v>1</v>
      </c>
      <c r="I368" s="788">
        <v>42166</v>
      </c>
      <c r="J368" s="788">
        <v>39155</v>
      </c>
      <c r="K368" s="788">
        <v>40892</v>
      </c>
      <c r="L368" s="787">
        <v>0.01</v>
      </c>
      <c r="M368" s="787">
        <v>20</v>
      </c>
      <c r="N368" s="787">
        <v>0.01</v>
      </c>
      <c r="O368" s="788">
        <v>42164</v>
      </c>
    </row>
    <row r="369" spans="1:15" x14ac:dyDescent="0.25">
      <c r="A369" s="786" t="s">
        <v>621</v>
      </c>
      <c r="B369" s="787">
        <v>4</v>
      </c>
      <c r="C369" s="787" t="s">
        <v>1436</v>
      </c>
      <c r="D369" s="787">
        <v>0.01</v>
      </c>
      <c r="E369" s="787">
        <v>0.03</v>
      </c>
      <c r="F369" s="788">
        <v>38047</v>
      </c>
      <c r="G369" s="788">
        <v>38589</v>
      </c>
      <c r="H369" s="787">
        <v>1</v>
      </c>
      <c r="I369" s="788">
        <v>42166</v>
      </c>
      <c r="J369" s="788">
        <v>39155</v>
      </c>
      <c r="L369" s="787">
        <v>0.02</v>
      </c>
      <c r="M369" s="787">
        <v>20</v>
      </c>
      <c r="N369" s="787">
        <v>0.02</v>
      </c>
      <c r="O369" s="788">
        <v>42164</v>
      </c>
    </row>
    <row r="370" spans="1:15" x14ac:dyDescent="0.25">
      <c r="A370" s="786" t="s">
        <v>1437</v>
      </c>
      <c r="B370" s="787">
        <v>4</v>
      </c>
      <c r="C370" s="787" t="s">
        <v>1438</v>
      </c>
      <c r="D370" s="787">
        <v>2</v>
      </c>
      <c r="E370" s="787">
        <v>8.74</v>
      </c>
      <c r="F370" s="788">
        <v>41836</v>
      </c>
      <c r="G370" s="788">
        <v>41837</v>
      </c>
      <c r="H370" s="787">
        <v>1</v>
      </c>
      <c r="I370" s="788">
        <v>42165</v>
      </c>
      <c r="J370" s="788">
        <v>41837</v>
      </c>
      <c r="K370" s="788">
        <v>41836</v>
      </c>
      <c r="L370" s="787">
        <v>8.74</v>
      </c>
      <c r="M370" s="787">
        <v>20</v>
      </c>
      <c r="N370" s="787">
        <v>9.4</v>
      </c>
      <c r="O370" s="788">
        <v>41955</v>
      </c>
    </row>
    <row r="371" spans="1:15" x14ac:dyDescent="0.25">
      <c r="A371" s="786" t="s">
        <v>1439</v>
      </c>
      <c r="B371" s="787">
        <v>4</v>
      </c>
      <c r="C371" s="787" t="s">
        <v>1440</v>
      </c>
      <c r="D371" s="787">
        <v>0.03</v>
      </c>
      <c r="E371" s="787">
        <v>0.06</v>
      </c>
      <c r="F371" s="788">
        <v>38047</v>
      </c>
      <c r="G371" s="788">
        <v>42121</v>
      </c>
      <c r="H371" s="787">
        <v>1</v>
      </c>
      <c r="I371" s="788">
        <v>42166</v>
      </c>
      <c r="J371" s="788">
        <v>42110</v>
      </c>
      <c r="L371" s="787">
        <v>0.03</v>
      </c>
      <c r="M371" s="787">
        <v>20</v>
      </c>
      <c r="N371" s="787">
        <v>0.03</v>
      </c>
      <c r="O371" s="788">
        <v>42136</v>
      </c>
    </row>
    <row r="372" spans="1:15" x14ac:dyDescent="0.25">
      <c r="A372" s="786" t="s">
        <v>1441</v>
      </c>
      <c r="B372" s="787">
        <v>4</v>
      </c>
      <c r="C372" s="787" t="s">
        <v>1442</v>
      </c>
      <c r="D372" s="787">
        <v>0.05</v>
      </c>
      <c r="E372" s="787">
        <v>0.05</v>
      </c>
      <c r="F372" s="788">
        <v>37635</v>
      </c>
      <c r="G372" s="788">
        <v>38364</v>
      </c>
      <c r="H372" s="787">
        <v>1</v>
      </c>
      <c r="I372" s="788">
        <v>42152</v>
      </c>
      <c r="J372" s="788">
        <v>39155</v>
      </c>
      <c r="L372" s="787">
        <v>0.05</v>
      </c>
      <c r="M372" s="787">
        <v>20</v>
      </c>
      <c r="N372" s="787">
        <v>0.05</v>
      </c>
      <c r="O372" s="788">
        <v>42053</v>
      </c>
    </row>
    <row r="373" spans="1:15" x14ac:dyDescent="0.25">
      <c r="A373" s="786" t="s">
        <v>568</v>
      </c>
      <c r="B373" s="787">
        <v>4</v>
      </c>
      <c r="C373" s="787" t="s">
        <v>1443</v>
      </c>
      <c r="D373" s="787">
        <v>0.01</v>
      </c>
      <c r="E373" s="787">
        <v>0.02</v>
      </c>
      <c r="F373" s="788">
        <v>38047</v>
      </c>
      <c r="G373" s="788">
        <v>38602</v>
      </c>
      <c r="H373" s="787">
        <v>1</v>
      </c>
      <c r="I373" s="788">
        <v>42166</v>
      </c>
      <c r="J373" s="788">
        <v>39155</v>
      </c>
      <c r="L373" s="787">
        <v>0.02</v>
      </c>
      <c r="M373" s="787">
        <v>20</v>
      </c>
      <c r="N373" s="787">
        <v>0.02</v>
      </c>
      <c r="O373" s="788">
        <v>42163</v>
      </c>
    </row>
    <row r="374" spans="1:15" x14ac:dyDescent="0.25">
      <c r="A374" s="786" t="s">
        <v>622</v>
      </c>
      <c r="B374" s="787">
        <v>4</v>
      </c>
      <c r="C374" s="787" t="s">
        <v>1444</v>
      </c>
      <c r="D374" s="787">
        <v>0.06</v>
      </c>
      <c r="E374" s="787">
        <v>0.06</v>
      </c>
      <c r="F374" s="788">
        <v>38047</v>
      </c>
      <c r="G374" s="788">
        <v>38364</v>
      </c>
      <c r="H374" s="787">
        <v>1</v>
      </c>
      <c r="I374" s="788">
        <v>42083</v>
      </c>
      <c r="J374" s="788">
        <v>39155</v>
      </c>
      <c r="L374" s="787">
        <v>7.0000000000000007E-2</v>
      </c>
      <c r="M374" s="787">
        <v>20</v>
      </c>
      <c r="N374" s="787">
        <v>0.08</v>
      </c>
      <c r="O374" s="788">
        <v>42162</v>
      </c>
    </row>
    <row r="375" spans="1:15" x14ac:dyDescent="0.25">
      <c r="A375" s="786" t="s">
        <v>586</v>
      </c>
      <c r="B375" s="787">
        <v>4</v>
      </c>
      <c r="C375" s="787" t="s">
        <v>1445</v>
      </c>
      <c r="D375" s="787">
        <v>0.02</v>
      </c>
      <c r="E375" s="787">
        <v>0.03</v>
      </c>
      <c r="F375" s="788">
        <v>38047</v>
      </c>
      <c r="G375" s="788">
        <v>38602</v>
      </c>
      <c r="H375" s="787">
        <v>1</v>
      </c>
      <c r="I375" s="788">
        <v>42166</v>
      </c>
      <c r="J375" s="788">
        <v>39155</v>
      </c>
      <c r="L375" s="787">
        <v>0.11</v>
      </c>
      <c r="M375" s="787">
        <v>20</v>
      </c>
      <c r="N375" s="787">
        <v>0.12</v>
      </c>
      <c r="O375" s="788">
        <v>42163</v>
      </c>
    </row>
    <row r="376" spans="1:15" x14ac:dyDescent="0.25">
      <c r="A376" s="786" t="s">
        <v>1446</v>
      </c>
      <c r="B376" s="787">
        <v>4</v>
      </c>
      <c r="C376" s="787" t="s">
        <v>1447</v>
      </c>
      <c r="D376" s="787">
        <v>9.8800000000000008</v>
      </c>
      <c r="E376" s="787">
        <v>159.88</v>
      </c>
      <c r="F376" s="788">
        <v>41482</v>
      </c>
      <c r="G376" s="788">
        <v>42013</v>
      </c>
      <c r="H376" s="787">
        <v>1</v>
      </c>
      <c r="I376" s="788">
        <v>42156</v>
      </c>
      <c r="J376" s="788">
        <v>41831</v>
      </c>
      <c r="K376" s="788">
        <v>41477</v>
      </c>
      <c r="L376" s="787">
        <v>159.88</v>
      </c>
      <c r="M376" s="787">
        <v>20</v>
      </c>
      <c r="N376" s="787">
        <v>171.87</v>
      </c>
      <c r="O376" s="788">
        <v>42156</v>
      </c>
    </row>
    <row r="377" spans="1:15" x14ac:dyDescent="0.25">
      <c r="A377" s="786" t="s">
        <v>1448</v>
      </c>
      <c r="B377" s="787">
        <v>4</v>
      </c>
      <c r="C377" s="787" t="s">
        <v>1449</v>
      </c>
      <c r="D377" s="787">
        <v>0</v>
      </c>
      <c r="E377" s="787">
        <v>0</v>
      </c>
      <c r="G377" s="788">
        <v>38450</v>
      </c>
      <c r="H377" s="787">
        <v>1</v>
      </c>
      <c r="I377" s="788">
        <v>39155</v>
      </c>
      <c r="J377" s="788">
        <v>39155</v>
      </c>
      <c r="L377" s="787">
        <v>0.01</v>
      </c>
      <c r="M377" s="787">
        <v>20</v>
      </c>
      <c r="N377" s="787">
        <v>0.01</v>
      </c>
      <c r="O377" s="788">
        <v>41955</v>
      </c>
    </row>
    <row r="378" spans="1:15" x14ac:dyDescent="0.25">
      <c r="A378" s="786" t="s">
        <v>1450</v>
      </c>
      <c r="B378" s="787">
        <v>4</v>
      </c>
      <c r="C378" s="787" t="s">
        <v>1444</v>
      </c>
      <c r="D378" s="787">
        <v>0</v>
      </c>
      <c r="E378" s="787">
        <v>0</v>
      </c>
      <c r="H378" s="787">
        <v>1</v>
      </c>
      <c r="I378" s="788">
        <v>42164</v>
      </c>
      <c r="L378" s="787">
        <v>0</v>
      </c>
      <c r="M378" s="787">
        <v>20</v>
      </c>
      <c r="N378" s="787">
        <v>0.01</v>
      </c>
      <c r="O378" s="788">
        <v>41955</v>
      </c>
    </row>
    <row r="379" spans="1:15" x14ac:dyDescent="0.25">
      <c r="A379" s="786" t="s">
        <v>1451</v>
      </c>
      <c r="B379" s="787">
        <v>4</v>
      </c>
      <c r="C379" s="787" t="s">
        <v>1444</v>
      </c>
      <c r="D379" s="787">
        <v>0</v>
      </c>
      <c r="E379" s="787">
        <v>0</v>
      </c>
      <c r="H379" s="787">
        <v>1</v>
      </c>
      <c r="I379" s="788">
        <v>42164</v>
      </c>
      <c r="L379" s="787">
        <v>0</v>
      </c>
      <c r="M379" s="787">
        <v>20</v>
      </c>
      <c r="N379" s="787">
        <v>0.01</v>
      </c>
      <c r="O379" s="788">
        <v>41955</v>
      </c>
    </row>
    <row r="380" spans="1:15" x14ac:dyDescent="0.25">
      <c r="A380" s="786" t="s">
        <v>1452</v>
      </c>
      <c r="B380" s="787">
        <v>4</v>
      </c>
      <c r="C380" s="787" t="s">
        <v>1453</v>
      </c>
      <c r="D380" s="787">
        <v>0</v>
      </c>
      <c r="E380" s="787">
        <v>0</v>
      </c>
      <c r="H380" s="787">
        <v>1</v>
      </c>
      <c r="I380" s="788">
        <v>42080</v>
      </c>
      <c r="L380" s="787">
        <v>0.06</v>
      </c>
      <c r="M380" s="787">
        <v>20</v>
      </c>
      <c r="N380" s="787">
        <v>0.06</v>
      </c>
      <c r="O380" s="788">
        <v>41955</v>
      </c>
    </row>
    <row r="381" spans="1:15" x14ac:dyDescent="0.25">
      <c r="A381" s="786" t="s">
        <v>1454</v>
      </c>
      <c r="B381" s="787">
        <v>4</v>
      </c>
      <c r="C381" s="787" t="s">
        <v>1455</v>
      </c>
      <c r="D381" s="787">
        <v>0.01</v>
      </c>
      <c r="E381" s="787">
        <v>0.1</v>
      </c>
      <c r="F381" s="788">
        <v>38047</v>
      </c>
      <c r="G381" s="788">
        <v>38538</v>
      </c>
      <c r="H381" s="787">
        <v>1</v>
      </c>
      <c r="I381" s="788">
        <v>42166</v>
      </c>
      <c r="J381" s="788">
        <v>39155</v>
      </c>
      <c r="L381" s="787">
        <v>0.01</v>
      </c>
      <c r="M381" s="787">
        <v>20</v>
      </c>
      <c r="N381" s="787">
        <v>0.01</v>
      </c>
      <c r="O381" s="788">
        <v>42158</v>
      </c>
    </row>
    <row r="382" spans="1:15" x14ac:dyDescent="0.25">
      <c r="A382" s="786" t="s">
        <v>1456</v>
      </c>
      <c r="B382" s="787">
        <v>4</v>
      </c>
      <c r="C382" s="787" t="s">
        <v>1444</v>
      </c>
      <c r="D382" s="787">
        <v>0.03</v>
      </c>
      <c r="E382" s="787">
        <v>0.03</v>
      </c>
      <c r="F382" s="788">
        <v>37635</v>
      </c>
      <c r="G382" s="788">
        <v>38364</v>
      </c>
      <c r="H382" s="787">
        <v>1</v>
      </c>
      <c r="I382" s="788">
        <v>39155</v>
      </c>
      <c r="J382" s="788">
        <v>39155</v>
      </c>
      <c r="L382" s="787">
        <v>0.03</v>
      </c>
      <c r="M382" s="787">
        <v>20</v>
      </c>
      <c r="N382" s="787">
        <v>0.03</v>
      </c>
      <c r="O382" s="788">
        <v>41955</v>
      </c>
    </row>
    <row r="383" spans="1:15" x14ac:dyDescent="0.25">
      <c r="A383" s="786" t="s">
        <v>1457</v>
      </c>
      <c r="B383" s="787">
        <v>4</v>
      </c>
      <c r="C383" s="787" t="s">
        <v>1458</v>
      </c>
      <c r="D383" s="787">
        <v>0.04</v>
      </c>
      <c r="E383" s="787">
        <v>0.04</v>
      </c>
      <c r="F383" s="788">
        <v>37635</v>
      </c>
      <c r="G383" s="788">
        <v>37635</v>
      </c>
      <c r="H383" s="787">
        <v>1</v>
      </c>
      <c r="I383" s="788">
        <v>37769</v>
      </c>
      <c r="J383" s="788">
        <v>37635</v>
      </c>
      <c r="L383" s="787">
        <v>0.04</v>
      </c>
      <c r="M383" s="787">
        <v>20</v>
      </c>
      <c r="N383" s="787">
        <v>0.04</v>
      </c>
      <c r="O383" s="788">
        <v>41955</v>
      </c>
    </row>
    <row r="384" spans="1:15" x14ac:dyDescent="0.25">
      <c r="A384" s="786" t="s">
        <v>1459</v>
      </c>
      <c r="B384" s="787">
        <v>4</v>
      </c>
      <c r="C384" s="787" t="s">
        <v>1460</v>
      </c>
      <c r="D384" s="787">
        <v>0.81</v>
      </c>
      <c r="E384" s="787">
        <v>0.81</v>
      </c>
      <c r="F384" s="788">
        <v>38047</v>
      </c>
      <c r="G384" s="788">
        <v>38364</v>
      </c>
      <c r="H384" s="787">
        <v>1</v>
      </c>
      <c r="I384" s="788">
        <v>40872</v>
      </c>
      <c r="J384" s="788">
        <v>39155</v>
      </c>
      <c r="L384" s="787">
        <v>0.88</v>
      </c>
      <c r="M384" s="787">
        <v>20</v>
      </c>
      <c r="N384" s="787">
        <v>0.95</v>
      </c>
      <c r="O384" s="788">
        <v>42159</v>
      </c>
    </row>
    <row r="385" spans="1:15" x14ac:dyDescent="0.25">
      <c r="A385" s="786" t="s">
        <v>1461</v>
      </c>
      <c r="B385" s="787">
        <v>4</v>
      </c>
      <c r="C385" s="787" t="s">
        <v>1462</v>
      </c>
      <c r="D385" s="787">
        <v>0</v>
      </c>
      <c r="E385" s="787">
        <v>0</v>
      </c>
      <c r="G385" s="788">
        <v>38364</v>
      </c>
      <c r="H385" s="787">
        <v>1</v>
      </c>
      <c r="I385" s="788">
        <v>42129</v>
      </c>
      <c r="J385" s="788">
        <v>39155</v>
      </c>
      <c r="K385" s="788">
        <v>41865</v>
      </c>
      <c r="L385" s="787">
        <v>0.15</v>
      </c>
      <c r="M385" s="787">
        <v>20</v>
      </c>
      <c r="N385" s="787">
        <v>0.16</v>
      </c>
      <c r="O385" s="788">
        <v>42152</v>
      </c>
    </row>
    <row r="386" spans="1:15" x14ac:dyDescent="0.25">
      <c r="A386" s="786" t="s">
        <v>1463</v>
      </c>
      <c r="B386" s="787">
        <v>4</v>
      </c>
      <c r="C386" s="787" t="s">
        <v>1464</v>
      </c>
      <c r="D386" s="787">
        <v>0</v>
      </c>
      <c r="E386" s="787">
        <v>0</v>
      </c>
      <c r="H386" s="787">
        <v>1</v>
      </c>
      <c r="I386" s="788">
        <v>42166</v>
      </c>
      <c r="K386" s="788">
        <v>40988</v>
      </c>
      <c r="L386" s="787">
        <v>0.01</v>
      </c>
      <c r="M386" s="787">
        <v>20</v>
      </c>
      <c r="N386" s="787">
        <v>0.01</v>
      </c>
      <c r="O386" s="788">
        <v>42162</v>
      </c>
    </row>
    <row r="387" spans="1:15" x14ac:dyDescent="0.25">
      <c r="A387" s="786" t="s">
        <v>1465</v>
      </c>
      <c r="B387" s="787">
        <v>4</v>
      </c>
      <c r="C387" s="787" t="s">
        <v>1466</v>
      </c>
      <c r="D387" s="787">
        <v>0</v>
      </c>
      <c r="E387" s="787">
        <v>0</v>
      </c>
      <c r="H387" s="787">
        <v>1</v>
      </c>
      <c r="I387" s="788">
        <v>41956</v>
      </c>
      <c r="L387" s="787">
        <v>0</v>
      </c>
      <c r="M387" s="787">
        <v>20</v>
      </c>
      <c r="N387" s="787">
        <v>0.01</v>
      </c>
      <c r="O387" s="788">
        <v>42146</v>
      </c>
    </row>
    <row r="388" spans="1:15" x14ac:dyDescent="0.25">
      <c r="A388" s="786" t="s">
        <v>1467</v>
      </c>
      <c r="B388" s="787">
        <v>4</v>
      </c>
      <c r="C388" s="787" t="s">
        <v>1434</v>
      </c>
      <c r="D388" s="787">
        <v>0</v>
      </c>
      <c r="E388" s="787">
        <v>0</v>
      </c>
      <c r="H388" s="787">
        <v>1</v>
      </c>
      <c r="L388" s="787">
        <v>0.15</v>
      </c>
      <c r="M388" s="787">
        <v>20</v>
      </c>
      <c r="N388" s="787">
        <v>0.16</v>
      </c>
      <c r="O388" s="788">
        <v>42163</v>
      </c>
    </row>
    <row r="389" spans="1:15" x14ac:dyDescent="0.25">
      <c r="A389" s="786" t="s">
        <v>1468</v>
      </c>
      <c r="B389" s="787">
        <v>4</v>
      </c>
      <c r="C389" s="787" t="s">
        <v>1469</v>
      </c>
      <c r="D389" s="787">
        <v>0</v>
      </c>
      <c r="E389" s="787">
        <v>0</v>
      </c>
      <c r="H389" s="787">
        <v>1</v>
      </c>
      <c r="I389" s="788">
        <v>42151</v>
      </c>
      <c r="K389" s="788">
        <v>41642</v>
      </c>
      <c r="L389" s="787">
        <v>0.1</v>
      </c>
      <c r="M389" s="787">
        <v>20</v>
      </c>
      <c r="N389" s="787">
        <v>0.11</v>
      </c>
      <c r="O389" s="788">
        <v>42146</v>
      </c>
    </row>
    <row r="390" spans="1:15" x14ac:dyDescent="0.25">
      <c r="A390" s="786" t="s">
        <v>1470</v>
      </c>
      <c r="B390" s="787">
        <v>4</v>
      </c>
      <c r="C390" s="787" t="s">
        <v>1471</v>
      </c>
      <c r="D390" s="787">
        <v>0</v>
      </c>
      <c r="E390" s="787">
        <v>0</v>
      </c>
      <c r="H390" s="787">
        <v>1</v>
      </c>
      <c r="I390" s="788">
        <v>42165</v>
      </c>
      <c r="K390" s="788">
        <v>41752</v>
      </c>
      <c r="L390" s="787">
        <v>0.1</v>
      </c>
      <c r="M390" s="787">
        <v>20</v>
      </c>
      <c r="N390" s="787">
        <v>0.11</v>
      </c>
      <c r="O390" s="788">
        <v>42146</v>
      </c>
    </row>
    <row r="391" spans="1:15" x14ac:dyDescent="0.25">
      <c r="A391" s="786" t="s">
        <v>1472</v>
      </c>
      <c r="B391" s="787">
        <v>4</v>
      </c>
      <c r="C391" s="787" t="s">
        <v>1438</v>
      </c>
      <c r="D391" s="787">
        <v>0</v>
      </c>
      <c r="E391" s="787">
        <v>0</v>
      </c>
      <c r="H391" s="787">
        <v>1</v>
      </c>
      <c r="K391" s="788">
        <v>40918</v>
      </c>
      <c r="L391" s="787">
        <v>0.1</v>
      </c>
      <c r="M391" s="787">
        <v>20</v>
      </c>
      <c r="N391" s="787">
        <v>0.11</v>
      </c>
      <c r="O391" s="788">
        <v>41989</v>
      </c>
    </row>
    <row r="392" spans="1:15" x14ac:dyDescent="0.25">
      <c r="A392" s="786" t="s">
        <v>1473</v>
      </c>
      <c r="B392" s="787">
        <v>4</v>
      </c>
      <c r="C392" s="787" t="s">
        <v>1462</v>
      </c>
      <c r="D392" s="787">
        <v>0</v>
      </c>
      <c r="E392" s="787">
        <v>0</v>
      </c>
      <c r="H392" s="787">
        <v>1</v>
      </c>
      <c r="I392" s="788">
        <v>42086</v>
      </c>
      <c r="L392" s="787">
        <v>0.3</v>
      </c>
      <c r="M392" s="787">
        <v>20</v>
      </c>
      <c r="N392" s="787">
        <v>0.32</v>
      </c>
      <c r="O392" s="788">
        <v>42034</v>
      </c>
    </row>
    <row r="393" spans="1:15" x14ac:dyDescent="0.25">
      <c r="A393" s="786" t="s">
        <v>1474</v>
      </c>
      <c r="B393" s="787">
        <v>4</v>
      </c>
      <c r="C393" s="787" t="s">
        <v>1475</v>
      </c>
      <c r="D393" s="787">
        <v>0</v>
      </c>
      <c r="E393" s="787">
        <v>0</v>
      </c>
      <c r="H393" s="787">
        <v>1</v>
      </c>
      <c r="L393" s="787">
        <v>2</v>
      </c>
      <c r="M393" s="787">
        <v>20</v>
      </c>
      <c r="N393" s="787">
        <v>2.15</v>
      </c>
      <c r="O393" s="788">
        <v>42083</v>
      </c>
    </row>
    <row r="394" spans="1:15" x14ac:dyDescent="0.25">
      <c r="A394" s="786" t="s">
        <v>1476</v>
      </c>
      <c r="B394" s="787">
        <v>4</v>
      </c>
      <c r="C394" s="787" t="s">
        <v>1434</v>
      </c>
      <c r="D394" s="787">
        <v>0</v>
      </c>
      <c r="E394" s="787">
        <v>0</v>
      </c>
      <c r="H394" s="787">
        <v>1</v>
      </c>
      <c r="I394" s="788">
        <v>42166</v>
      </c>
      <c r="L394" s="787">
        <v>0.01</v>
      </c>
      <c r="M394" s="787">
        <v>20</v>
      </c>
      <c r="N394" s="787">
        <v>0.01</v>
      </c>
      <c r="O394" s="788">
        <v>42146</v>
      </c>
    </row>
    <row r="395" spans="1:15" x14ac:dyDescent="0.25">
      <c r="A395" s="786" t="s">
        <v>569</v>
      </c>
      <c r="B395" s="787">
        <v>4</v>
      </c>
      <c r="C395" s="787" t="s">
        <v>1477</v>
      </c>
      <c r="D395" s="787">
        <v>0</v>
      </c>
      <c r="E395" s="787">
        <v>0</v>
      </c>
      <c r="H395" s="787">
        <v>1</v>
      </c>
      <c r="I395" s="788">
        <v>42083</v>
      </c>
      <c r="L395" s="787">
        <v>0.5</v>
      </c>
      <c r="M395" s="787">
        <v>20</v>
      </c>
      <c r="N395" s="787">
        <v>0.54</v>
      </c>
      <c r="O395" s="788">
        <v>41955</v>
      </c>
    </row>
    <row r="396" spans="1:15" x14ac:dyDescent="0.25">
      <c r="A396" s="786" t="s">
        <v>677</v>
      </c>
      <c r="B396" s="787">
        <v>4</v>
      </c>
      <c r="C396" s="787" t="s">
        <v>1444</v>
      </c>
      <c r="D396" s="787">
        <v>0.01</v>
      </c>
      <c r="E396" s="787">
        <v>0.01</v>
      </c>
      <c r="F396" s="788">
        <v>38047</v>
      </c>
      <c r="G396" s="788">
        <v>38364</v>
      </c>
      <c r="H396" s="787">
        <v>1</v>
      </c>
      <c r="I396" s="788">
        <v>42080</v>
      </c>
      <c r="J396" s="788">
        <v>39155</v>
      </c>
      <c r="L396" s="787">
        <v>0.01</v>
      </c>
      <c r="M396" s="787">
        <v>20</v>
      </c>
      <c r="N396" s="787">
        <v>0.01</v>
      </c>
      <c r="O396" s="788">
        <v>42083</v>
      </c>
    </row>
    <row r="397" spans="1:15" x14ac:dyDescent="0.25">
      <c r="A397" s="786" t="s">
        <v>587</v>
      </c>
      <c r="B397" s="787">
        <v>4</v>
      </c>
      <c r="C397" s="787" t="s">
        <v>1444</v>
      </c>
      <c r="D397" s="787">
        <v>0.03</v>
      </c>
      <c r="E397" s="787">
        <v>0.03</v>
      </c>
      <c r="F397" s="788">
        <v>38047</v>
      </c>
      <c r="G397" s="788">
        <v>38364</v>
      </c>
      <c r="H397" s="787">
        <v>1</v>
      </c>
      <c r="I397" s="788">
        <v>42150</v>
      </c>
      <c r="J397" s="788">
        <v>39155</v>
      </c>
      <c r="L397" s="787">
        <v>0.03</v>
      </c>
      <c r="M397" s="787">
        <v>20</v>
      </c>
      <c r="N397" s="787">
        <v>0.03</v>
      </c>
      <c r="O397" s="788">
        <v>42158</v>
      </c>
    </row>
    <row r="398" spans="1:15" x14ac:dyDescent="0.25">
      <c r="A398" s="786" t="s">
        <v>1478</v>
      </c>
      <c r="B398" s="787">
        <v>4</v>
      </c>
      <c r="C398" s="787" t="s">
        <v>1444</v>
      </c>
      <c r="D398" s="787">
        <v>0</v>
      </c>
      <c r="E398" s="787">
        <v>0</v>
      </c>
      <c r="H398" s="787">
        <v>1</v>
      </c>
      <c r="I398" s="788">
        <v>41593</v>
      </c>
      <c r="K398" s="788">
        <v>41253</v>
      </c>
      <c r="L398" s="787">
        <v>0.01</v>
      </c>
      <c r="M398" s="787">
        <v>20</v>
      </c>
      <c r="N398" s="787">
        <v>0.01</v>
      </c>
      <c r="O398" s="788">
        <v>42146</v>
      </c>
    </row>
    <row r="399" spans="1:15" x14ac:dyDescent="0.25">
      <c r="A399" s="786" t="s">
        <v>1479</v>
      </c>
      <c r="B399" s="787">
        <v>4</v>
      </c>
      <c r="C399" s="787" t="s">
        <v>1480</v>
      </c>
      <c r="D399" s="787">
        <v>0</v>
      </c>
      <c r="E399" s="787">
        <v>0</v>
      </c>
      <c r="H399" s="787">
        <v>1</v>
      </c>
      <c r="I399" s="788">
        <v>40863</v>
      </c>
      <c r="L399" s="787">
        <v>0</v>
      </c>
      <c r="M399" s="787">
        <v>20</v>
      </c>
      <c r="N399" s="787">
        <v>0.01</v>
      </c>
      <c r="O399" s="788">
        <v>41955</v>
      </c>
    </row>
    <row r="400" spans="1:15" x14ac:dyDescent="0.25">
      <c r="A400" s="786" t="s">
        <v>1481</v>
      </c>
      <c r="B400" s="787">
        <v>4</v>
      </c>
      <c r="C400" s="787" t="s">
        <v>1482</v>
      </c>
      <c r="D400" s="787">
        <v>0</v>
      </c>
      <c r="E400" s="787">
        <v>0</v>
      </c>
      <c r="H400" s="787">
        <v>1</v>
      </c>
      <c r="I400" s="788">
        <v>42166</v>
      </c>
      <c r="L400" s="787">
        <v>0.85</v>
      </c>
      <c r="M400" s="787">
        <v>20</v>
      </c>
      <c r="N400" s="787">
        <v>0.91</v>
      </c>
      <c r="O400" s="788">
        <v>42156</v>
      </c>
    </row>
    <row r="401" spans="1:15" x14ac:dyDescent="0.25">
      <c r="A401" s="786" t="s">
        <v>1483</v>
      </c>
      <c r="B401" s="787">
        <v>4</v>
      </c>
      <c r="C401" s="787" t="s">
        <v>1484</v>
      </c>
      <c r="D401" s="787">
        <v>3.99</v>
      </c>
      <c r="E401" s="787">
        <v>3.99</v>
      </c>
      <c r="F401" s="788">
        <v>41866</v>
      </c>
      <c r="G401" s="788">
        <v>41870</v>
      </c>
      <c r="H401" s="787">
        <v>1</v>
      </c>
      <c r="J401" s="788">
        <v>42166</v>
      </c>
      <c r="K401" s="788">
        <v>41857</v>
      </c>
      <c r="L401" s="787">
        <v>3.99</v>
      </c>
      <c r="M401" s="787">
        <v>20</v>
      </c>
      <c r="N401" s="787">
        <v>4.29</v>
      </c>
      <c r="O401" s="788">
        <v>41955</v>
      </c>
    </row>
    <row r="402" spans="1:15" x14ac:dyDescent="0.25">
      <c r="A402" s="786" t="s">
        <v>1485</v>
      </c>
      <c r="B402" s="787">
        <v>4</v>
      </c>
      <c r="C402" s="787" t="s">
        <v>1486</v>
      </c>
      <c r="D402" s="787">
        <v>0</v>
      </c>
      <c r="E402" s="787">
        <v>0</v>
      </c>
      <c r="H402" s="787">
        <v>1</v>
      </c>
      <c r="I402" s="788">
        <v>42114</v>
      </c>
      <c r="L402" s="787">
        <v>0.1</v>
      </c>
      <c r="M402" s="787">
        <v>20</v>
      </c>
      <c r="N402" s="787">
        <v>0.11</v>
      </c>
      <c r="O402" s="788">
        <v>42163</v>
      </c>
    </row>
    <row r="403" spans="1:15" x14ac:dyDescent="0.25">
      <c r="A403" s="786" t="s">
        <v>1487</v>
      </c>
      <c r="B403" s="787">
        <v>4</v>
      </c>
      <c r="C403" s="787" t="s">
        <v>1488</v>
      </c>
      <c r="D403" s="787">
        <v>0.15</v>
      </c>
      <c r="E403" s="787">
        <v>0.18</v>
      </c>
      <c r="F403" s="788">
        <v>38450</v>
      </c>
      <c r="G403" s="788">
        <v>38432</v>
      </c>
      <c r="H403" s="787">
        <v>1</v>
      </c>
      <c r="I403" s="788">
        <v>41808</v>
      </c>
      <c r="J403" s="788">
        <v>39155</v>
      </c>
      <c r="L403" s="787">
        <v>0.18</v>
      </c>
      <c r="M403" s="787">
        <v>20</v>
      </c>
      <c r="N403" s="787">
        <v>0.19</v>
      </c>
      <c r="O403" s="788">
        <v>41955</v>
      </c>
    </row>
    <row r="404" spans="1:15" x14ac:dyDescent="0.25">
      <c r="A404" s="786" t="s">
        <v>1489</v>
      </c>
      <c r="B404" s="787">
        <v>4</v>
      </c>
      <c r="C404" s="787" t="s">
        <v>1069</v>
      </c>
      <c r="D404" s="787">
        <v>0</v>
      </c>
      <c r="E404" s="787">
        <v>0</v>
      </c>
      <c r="G404" s="787" t="s">
        <v>1067</v>
      </c>
      <c r="H404" s="787">
        <v>1</v>
      </c>
      <c r="L404" s="787">
        <v>0</v>
      </c>
      <c r="M404" s="787">
        <v>10</v>
      </c>
      <c r="N404" s="787">
        <v>558.16</v>
      </c>
      <c r="O404" s="788">
        <v>40642</v>
      </c>
    </row>
    <row r="405" spans="1:15" x14ac:dyDescent="0.25">
      <c r="A405" s="786" t="s">
        <v>1490</v>
      </c>
      <c r="B405" s="787">
        <v>4</v>
      </c>
      <c r="C405" s="787" t="s">
        <v>1491</v>
      </c>
      <c r="D405" s="787">
        <v>0.05</v>
      </c>
      <c r="E405" s="787">
        <v>0.05</v>
      </c>
      <c r="F405" s="788">
        <v>37636</v>
      </c>
      <c r="G405" s="788">
        <v>38364</v>
      </c>
      <c r="H405" s="787">
        <v>1</v>
      </c>
      <c r="I405" s="788">
        <v>39155</v>
      </c>
      <c r="J405" s="788">
        <v>39155</v>
      </c>
      <c r="L405" s="787">
        <v>0.05</v>
      </c>
      <c r="M405" s="787">
        <v>20</v>
      </c>
      <c r="N405" s="787">
        <v>0.05</v>
      </c>
      <c r="O405" s="788">
        <v>41955</v>
      </c>
    </row>
    <row r="406" spans="1:15" x14ac:dyDescent="0.25">
      <c r="A406" s="786" t="s">
        <v>633</v>
      </c>
      <c r="B406" s="787">
        <v>4</v>
      </c>
      <c r="C406" s="787" t="s">
        <v>1492</v>
      </c>
      <c r="D406" s="787">
        <v>0.03</v>
      </c>
      <c r="E406" s="787">
        <v>7.0000000000000007E-2</v>
      </c>
      <c r="F406" s="788">
        <v>37636</v>
      </c>
      <c r="G406" s="788">
        <v>38602</v>
      </c>
      <c r="H406" s="787">
        <v>1</v>
      </c>
      <c r="I406" s="788">
        <v>42163</v>
      </c>
      <c r="J406" s="788">
        <v>39155</v>
      </c>
      <c r="K406" s="788">
        <v>41865</v>
      </c>
      <c r="L406" s="787">
        <v>0.08</v>
      </c>
      <c r="M406" s="787">
        <v>20</v>
      </c>
      <c r="N406" s="787">
        <v>0.09</v>
      </c>
      <c r="O406" s="788">
        <v>41955</v>
      </c>
    </row>
    <row r="407" spans="1:15" x14ac:dyDescent="0.25">
      <c r="A407" s="786" t="s">
        <v>634</v>
      </c>
      <c r="B407" s="787">
        <v>4</v>
      </c>
      <c r="C407" s="787" t="s">
        <v>1493</v>
      </c>
      <c r="D407" s="787">
        <v>0.06</v>
      </c>
      <c r="E407" s="787">
        <v>0.06</v>
      </c>
      <c r="F407" s="788">
        <v>37636</v>
      </c>
      <c r="G407" s="788">
        <v>38364</v>
      </c>
      <c r="H407" s="787">
        <v>1</v>
      </c>
      <c r="I407" s="788">
        <v>42166</v>
      </c>
      <c r="J407" s="788">
        <v>39155</v>
      </c>
      <c r="K407" s="788">
        <v>41869</v>
      </c>
      <c r="L407" s="787">
        <v>0.06</v>
      </c>
      <c r="M407" s="787">
        <v>20</v>
      </c>
      <c r="N407" s="787">
        <v>0.06</v>
      </c>
      <c r="O407" s="788">
        <v>41983</v>
      </c>
    </row>
    <row r="408" spans="1:15" x14ac:dyDescent="0.25">
      <c r="A408" s="786" t="s">
        <v>1494</v>
      </c>
      <c r="B408" s="787">
        <v>4</v>
      </c>
      <c r="C408" s="787" t="s">
        <v>1492</v>
      </c>
      <c r="D408" s="787">
        <v>0.01</v>
      </c>
      <c r="E408" s="787">
        <v>0.01</v>
      </c>
      <c r="F408" s="788">
        <v>37636</v>
      </c>
      <c r="G408" s="788">
        <v>38364</v>
      </c>
      <c r="H408" s="787">
        <v>1</v>
      </c>
      <c r="I408" s="788">
        <v>39155</v>
      </c>
      <c r="J408" s="788">
        <v>39155</v>
      </c>
      <c r="L408" s="787">
        <v>0.01</v>
      </c>
      <c r="M408" s="787">
        <v>20</v>
      </c>
      <c r="N408" s="787">
        <v>0.01</v>
      </c>
      <c r="O408" s="788">
        <v>41955</v>
      </c>
    </row>
    <row r="409" spans="1:15" x14ac:dyDescent="0.25">
      <c r="A409" s="786" t="s">
        <v>644</v>
      </c>
      <c r="B409" s="787">
        <v>4</v>
      </c>
      <c r="C409" s="787" t="s">
        <v>1495</v>
      </c>
      <c r="D409" s="787">
        <v>0.08</v>
      </c>
      <c r="E409" s="787">
        <v>0.08</v>
      </c>
      <c r="F409" s="788">
        <v>37636</v>
      </c>
      <c r="G409" s="788">
        <v>38364</v>
      </c>
      <c r="H409" s="787">
        <v>1</v>
      </c>
      <c r="I409" s="788">
        <v>42117</v>
      </c>
      <c r="J409" s="788">
        <v>39155</v>
      </c>
      <c r="K409" s="788">
        <v>41554</v>
      </c>
      <c r="L409" s="787">
        <v>0.1</v>
      </c>
      <c r="M409" s="787">
        <v>20</v>
      </c>
      <c r="N409" s="787">
        <v>0.11</v>
      </c>
      <c r="O409" s="788">
        <v>41955</v>
      </c>
    </row>
    <row r="410" spans="1:15" x14ac:dyDescent="0.25">
      <c r="A410" s="786" t="s">
        <v>1496</v>
      </c>
      <c r="B410" s="787">
        <v>4</v>
      </c>
      <c r="C410" s="787" t="s">
        <v>1497</v>
      </c>
      <c r="D410" s="787">
        <v>0.1</v>
      </c>
      <c r="E410" s="787">
        <v>0.1</v>
      </c>
      <c r="F410" s="788">
        <v>37636</v>
      </c>
      <c r="G410" s="788">
        <v>37636</v>
      </c>
      <c r="H410" s="787">
        <v>1</v>
      </c>
      <c r="I410" s="788">
        <v>42019</v>
      </c>
      <c r="J410" s="788">
        <v>37636</v>
      </c>
      <c r="L410" s="787">
        <v>0.11</v>
      </c>
      <c r="M410" s="787">
        <v>20</v>
      </c>
      <c r="N410" s="787">
        <v>0.12</v>
      </c>
      <c r="O410" s="788">
        <v>41955</v>
      </c>
    </row>
    <row r="411" spans="1:15" x14ac:dyDescent="0.25">
      <c r="A411" s="786" t="s">
        <v>641</v>
      </c>
      <c r="B411" s="787">
        <v>4</v>
      </c>
      <c r="C411" s="787" t="s">
        <v>1498</v>
      </c>
      <c r="D411" s="787">
        <v>0.03</v>
      </c>
      <c r="E411" s="787">
        <v>0.03</v>
      </c>
      <c r="F411" s="788">
        <v>39155</v>
      </c>
      <c r="G411" s="788">
        <v>39155</v>
      </c>
      <c r="H411" s="787">
        <v>1</v>
      </c>
      <c r="I411" s="788">
        <v>42166</v>
      </c>
      <c r="J411" s="788">
        <v>39155</v>
      </c>
      <c r="K411" s="788">
        <v>41869</v>
      </c>
      <c r="L411" s="787">
        <v>0.03</v>
      </c>
      <c r="M411" s="787">
        <v>20</v>
      </c>
      <c r="N411" s="787">
        <v>0.03</v>
      </c>
      <c r="O411" s="788">
        <v>41955</v>
      </c>
    </row>
    <row r="412" spans="1:15" x14ac:dyDescent="0.25">
      <c r="A412" s="786" t="s">
        <v>1499</v>
      </c>
      <c r="B412" s="787">
        <v>4</v>
      </c>
      <c r="C412" s="787" t="s">
        <v>1497</v>
      </c>
      <c r="D412" s="787">
        <v>0.05</v>
      </c>
      <c r="E412" s="787">
        <v>0.05</v>
      </c>
      <c r="F412" s="788">
        <v>37636</v>
      </c>
      <c r="G412" s="788">
        <v>38364</v>
      </c>
      <c r="H412" s="787">
        <v>1</v>
      </c>
      <c r="I412" s="788">
        <v>39155</v>
      </c>
      <c r="J412" s="788">
        <v>39155</v>
      </c>
      <c r="L412" s="787">
        <v>0.05</v>
      </c>
      <c r="M412" s="787">
        <v>20</v>
      </c>
      <c r="N412" s="787">
        <v>0.05</v>
      </c>
      <c r="O412" s="788">
        <v>41955</v>
      </c>
    </row>
    <row r="413" spans="1:15" x14ac:dyDescent="0.25">
      <c r="A413" s="786" t="s">
        <v>1500</v>
      </c>
      <c r="B413" s="787">
        <v>4</v>
      </c>
      <c r="C413" s="787" t="s">
        <v>1492</v>
      </c>
      <c r="D413" s="787">
        <v>0.1</v>
      </c>
      <c r="E413" s="787">
        <v>0.1</v>
      </c>
      <c r="F413" s="788">
        <v>37636</v>
      </c>
      <c r="G413" s="788">
        <v>38364</v>
      </c>
      <c r="H413" s="787">
        <v>1</v>
      </c>
      <c r="I413" s="788">
        <v>41358</v>
      </c>
      <c r="J413" s="788">
        <v>39155</v>
      </c>
      <c r="L413" s="787">
        <v>0.11</v>
      </c>
      <c r="M413" s="787">
        <v>20</v>
      </c>
      <c r="N413" s="787">
        <v>0.12</v>
      </c>
      <c r="O413" s="788">
        <v>42020</v>
      </c>
    </row>
    <row r="414" spans="1:15" x14ac:dyDescent="0.25">
      <c r="A414" s="786" t="s">
        <v>1501</v>
      </c>
      <c r="B414" s="787">
        <v>4</v>
      </c>
      <c r="C414" s="787" t="s">
        <v>1502</v>
      </c>
      <c r="D414" s="787">
        <v>0</v>
      </c>
      <c r="E414" s="787">
        <v>0</v>
      </c>
      <c r="H414" s="787">
        <v>1</v>
      </c>
      <c r="I414" s="788">
        <v>42165</v>
      </c>
      <c r="L414" s="787">
        <v>0</v>
      </c>
      <c r="M414" s="787">
        <v>20</v>
      </c>
      <c r="N414" s="787">
        <v>0.01</v>
      </c>
      <c r="O414" s="788">
        <v>41955</v>
      </c>
    </row>
    <row r="415" spans="1:15" x14ac:dyDescent="0.25">
      <c r="A415" s="786" t="s">
        <v>1503</v>
      </c>
      <c r="B415" s="787">
        <v>4</v>
      </c>
      <c r="C415" s="787" t="s">
        <v>1504</v>
      </c>
      <c r="D415" s="787">
        <v>0</v>
      </c>
      <c r="E415" s="787">
        <v>0</v>
      </c>
      <c r="H415" s="787">
        <v>1</v>
      </c>
      <c r="I415" s="788">
        <v>42165</v>
      </c>
      <c r="K415" s="788">
        <v>41744</v>
      </c>
      <c r="L415" s="787">
        <v>0.05</v>
      </c>
      <c r="M415" s="787">
        <v>20</v>
      </c>
      <c r="N415" s="787">
        <v>0.05</v>
      </c>
      <c r="O415" s="788">
        <v>42162</v>
      </c>
    </row>
    <row r="416" spans="1:15" x14ac:dyDescent="0.25">
      <c r="A416" s="786" t="s">
        <v>1505</v>
      </c>
      <c r="B416" s="787">
        <v>4</v>
      </c>
      <c r="C416" s="787" t="s">
        <v>1506</v>
      </c>
      <c r="D416" s="787">
        <v>0</v>
      </c>
      <c r="E416" s="787">
        <v>0</v>
      </c>
      <c r="H416" s="787">
        <v>1</v>
      </c>
      <c r="I416" s="788">
        <v>41985</v>
      </c>
      <c r="L416" s="787">
        <v>0</v>
      </c>
      <c r="M416" s="787">
        <v>20</v>
      </c>
      <c r="N416" s="787">
        <v>0.01</v>
      </c>
      <c r="O416" s="788">
        <v>41955</v>
      </c>
    </row>
    <row r="417" spans="1:15" x14ac:dyDescent="0.25">
      <c r="A417" s="786" t="s">
        <v>645</v>
      </c>
      <c r="B417" s="787">
        <v>4</v>
      </c>
      <c r="C417" s="787" t="s">
        <v>1507</v>
      </c>
      <c r="D417" s="787">
        <v>0</v>
      </c>
      <c r="E417" s="787">
        <v>0</v>
      </c>
      <c r="H417" s="787">
        <v>1</v>
      </c>
      <c r="I417" s="788">
        <v>42166</v>
      </c>
      <c r="K417" s="788">
        <v>41772</v>
      </c>
      <c r="L417" s="787">
        <v>0.05</v>
      </c>
      <c r="M417" s="787">
        <v>20</v>
      </c>
      <c r="N417" s="787">
        <v>0.05</v>
      </c>
      <c r="O417" s="788">
        <v>41955</v>
      </c>
    </row>
    <row r="418" spans="1:15" x14ac:dyDescent="0.25">
      <c r="A418" s="786" t="s">
        <v>840</v>
      </c>
      <c r="B418" s="787">
        <v>4</v>
      </c>
      <c r="C418" s="787" t="s">
        <v>1508</v>
      </c>
      <c r="D418" s="787">
        <v>0</v>
      </c>
      <c r="E418" s="787">
        <v>0</v>
      </c>
      <c r="H418" s="787">
        <v>1</v>
      </c>
      <c r="I418" s="788">
        <v>42153</v>
      </c>
      <c r="L418" s="787">
        <v>0.01</v>
      </c>
      <c r="M418" s="787">
        <v>20</v>
      </c>
      <c r="N418" s="787">
        <v>0</v>
      </c>
    </row>
    <row r="419" spans="1:15" x14ac:dyDescent="0.25">
      <c r="A419" s="786" t="s">
        <v>642</v>
      </c>
      <c r="B419" s="787">
        <v>4</v>
      </c>
      <c r="C419" s="787" t="s">
        <v>1509</v>
      </c>
      <c r="D419" s="787">
        <v>0</v>
      </c>
      <c r="E419" s="787">
        <v>0</v>
      </c>
      <c r="H419" s="787">
        <v>1</v>
      </c>
      <c r="I419" s="788">
        <v>42117</v>
      </c>
      <c r="L419" s="787">
        <v>0.1</v>
      </c>
      <c r="M419" s="787">
        <v>20</v>
      </c>
      <c r="N419" s="787">
        <v>0.11</v>
      </c>
      <c r="O419" s="788">
        <v>41955</v>
      </c>
    </row>
    <row r="420" spans="1:15" x14ac:dyDescent="0.25">
      <c r="A420" s="786" t="s">
        <v>643</v>
      </c>
      <c r="B420" s="787">
        <v>4</v>
      </c>
      <c r="C420" s="787" t="s">
        <v>1510</v>
      </c>
      <c r="D420" s="787">
        <v>0</v>
      </c>
      <c r="E420" s="787">
        <v>0</v>
      </c>
      <c r="H420" s="787">
        <v>1</v>
      </c>
      <c r="I420" s="788">
        <v>42166</v>
      </c>
      <c r="L420" s="787">
        <v>0.05</v>
      </c>
      <c r="M420" s="787">
        <v>20</v>
      </c>
      <c r="N420" s="787">
        <v>0.05</v>
      </c>
      <c r="O420" s="788">
        <v>41955</v>
      </c>
    </row>
    <row r="421" spans="1:15" x14ac:dyDescent="0.25">
      <c r="A421" s="786" t="s">
        <v>646</v>
      </c>
      <c r="B421" s="787">
        <v>4</v>
      </c>
      <c r="C421" s="787" t="s">
        <v>1511</v>
      </c>
      <c r="D421" s="787">
        <v>0</v>
      </c>
      <c r="E421" s="787">
        <v>0</v>
      </c>
      <c r="H421" s="787">
        <v>1</v>
      </c>
      <c r="I421" s="788">
        <v>42083</v>
      </c>
      <c r="L421" s="787">
        <v>0.1</v>
      </c>
      <c r="M421" s="787">
        <v>20</v>
      </c>
      <c r="N421" s="787">
        <v>0.11</v>
      </c>
      <c r="O421" s="788">
        <v>41955</v>
      </c>
    </row>
    <row r="422" spans="1:15" x14ac:dyDescent="0.25">
      <c r="A422" s="786" t="s">
        <v>1512</v>
      </c>
      <c r="B422" s="787">
        <v>4</v>
      </c>
      <c r="C422" s="787" t="s">
        <v>1066</v>
      </c>
      <c r="D422" s="787">
        <v>0</v>
      </c>
      <c r="E422" s="787">
        <v>0</v>
      </c>
      <c r="G422" s="787" t="s">
        <v>1067</v>
      </c>
      <c r="H422" s="787">
        <v>1</v>
      </c>
      <c r="L422" s="787">
        <v>0</v>
      </c>
      <c r="M422" s="787">
        <v>20</v>
      </c>
      <c r="N422" s="787">
        <v>0</v>
      </c>
      <c r="O422" s="788">
        <v>40824</v>
      </c>
    </row>
    <row r="423" spans="1:15" x14ac:dyDescent="0.25">
      <c r="A423" s="786" t="s">
        <v>1513</v>
      </c>
      <c r="B423" s="787">
        <v>4</v>
      </c>
      <c r="C423" s="787" t="s">
        <v>1514</v>
      </c>
      <c r="D423" s="787">
        <v>0.03</v>
      </c>
      <c r="E423" s="787">
        <v>0.03</v>
      </c>
      <c r="F423" s="788">
        <v>37636</v>
      </c>
      <c r="G423" s="788">
        <v>38364</v>
      </c>
      <c r="H423" s="787">
        <v>1</v>
      </c>
      <c r="I423" s="788">
        <v>39155</v>
      </c>
      <c r="J423" s="788">
        <v>39155</v>
      </c>
      <c r="L423" s="787">
        <v>0.03</v>
      </c>
      <c r="M423" s="787">
        <v>20</v>
      </c>
      <c r="N423" s="787">
        <v>0.03</v>
      </c>
      <c r="O423" s="788">
        <v>41955</v>
      </c>
    </row>
    <row r="424" spans="1:15" x14ac:dyDescent="0.25">
      <c r="A424" s="786" t="s">
        <v>1515</v>
      </c>
      <c r="B424" s="787">
        <v>4</v>
      </c>
      <c r="C424" s="787" t="s">
        <v>1516</v>
      </c>
      <c r="D424" s="787">
        <v>0</v>
      </c>
      <c r="E424" s="787">
        <v>0</v>
      </c>
      <c r="H424" s="787">
        <v>1</v>
      </c>
      <c r="L424" s="787">
        <v>0.02</v>
      </c>
      <c r="M424" s="787">
        <v>20</v>
      </c>
      <c r="N424" s="787">
        <v>0.02</v>
      </c>
      <c r="O424" s="788">
        <v>42163</v>
      </c>
    </row>
    <row r="425" spans="1:15" x14ac:dyDescent="0.25">
      <c r="A425" s="786" t="s">
        <v>1517</v>
      </c>
      <c r="B425" s="787">
        <v>4</v>
      </c>
      <c r="C425" s="787" t="s">
        <v>1514</v>
      </c>
      <c r="D425" s="787">
        <v>0.01</v>
      </c>
      <c r="E425" s="787">
        <v>0.01</v>
      </c>
      <c r="F425" s="788">
        <v>37636</v>
      </c>
      <c r="G425" s="788">
        <v>37636</v>
      </c>
      <c r="H425" s="787">
        <v>1</v>
      </c>
      <c r="J425" s="788">
        <v>37636</v>
      </c>
      <c r="L425" s="787">
        <v>0.01</v>
      </c>
      <c r="M425" s="787">
        <v>20</v>
      </c>
      <c r="N425" s="787">
        <v>0.01</v>
      </c>
      <c r="O425" s="788">
        <v>41955</v>
      </c>
    </row>
    <row r="426" spans="1:15" x14ac:dyDescent="0.25">
      <c r="A426" s="786" t="s">
        <v>1518</v>
      </c>
      <c r="B426" s="787">
        <v>4</v>
      </c>
      <c r="C426" s="787" t="s">
        <v>1519</v>
      </c>
      <c r="D426" s="787">
        <v>2.04</v>
      </c>
      <c r="E426" s="787">
        <v>2.04</v>
      </c>
      <c r="F426" s="788">
        <v>37636</v>
      </c>
      <c r="G426" s="788">
        <v>38364</v>
      </c>
      <c r="H426" s="787">
        <v>1</v>
      </c>
      <c r="I426" s="788">
        <v>41918</v>
      </c>
      <c r="J426" s="788">
        <v>39155</v>
      </c>
      <c r="K426" s="788">
        <v>41554</v>
      </c>
      <c r="L426" s="787">
        <v>3</v>
      </c>
      <c r="M426" s="787">
        <v>20</v>
      </c>
      <c r="N426" s="787">
        <v>3.23</v>
      </c>
      <c r="O426" s="788">
        <v>41955</v>
      </c>
    </row>
    <row r="427" spans="1:15" x14ac:dyDescent="0.25">
      <c r="A427" s="786" t="s">
        <v>1520</v>
      </c>
      <c r="B427" s="787">
        <v>4</v>
      </c>
      <c r="C427" s="787" t="s">
        <v>1521</v>
      </c>
      <c r="D427" s="787">
        <v>0.22</v>
      </c>
      <c r="E427" s="787">
        <v>0.22</v>
      </c>
      <c r="F427" s="788">
        <v>38450</v>
      </c>
      <c r="G427" s="788">
        <v>38453</v>
      </c>
      <c r="H427" s="787">
        <v>1</v>
      </c>
      <c r="I427" s="788">
        <v>41968</v>
      </c>
      <c r="J427" s="788">
        <v>39155</v>
      </c>
      <c r="K427" s="788">
        <v>41869</v>
      </c>
      <c r="L427" s="787">
        <v>0.22</v>
      </c>
      <c r="M427" s="787">
        <v>20</v>
      </c>
      <c r="N427" s="787">
        <v>0.24</v>
      </c>
      <c r="O427" s="788">
        <v>41955</v>
      </c>
    </row>
    <row r="428" spans="1:15" x14ac:dyDescent="0.25">
      <c r="A428" s="786" t="s">
        <v>1522</v>
      </c>
      <c r="B428" s="787">
        <v>4</v>
      </c>
      <c r="C428" s="787" t="s">
        <v>1523</v>
      </c>
      <c r="D428" s="787">
        <v>0.79</v>
      </c>
      <c r="E428" s="787">
        <v>0.79</v>
      </c>
      <c r="F428" s="788">
        <v>38097</v>
      </c>
      <c r="G428" s="788">
        <v>38364</v>
      </c>
      <c r="H428" s="787">
        <v>1</v>
      </c>
      <c r="I428" s="788">
        <v>42107</v>
      </c>
      <c r="J428" s="788">
        <v>39155</v>
      </c>
      <c r="K428" s="788">
        <v>41554</v>
      </c>
      <c r="L428" s="787">
        <v>1</v>
      </c>
      <c r="M428" s="787">
        <v>20</v>
      </c>
      <c r="N428" s="787">
        <v>1.08</v>
      </c>
      <c r="O428" s="788">
        <v>41955</v>
      </c>
    </row>
    <row r="429" spans="1:15" x14ac:dyDescent="0.25">
      <c r="A429" s="786" t="s">
        <v>1524</v>
      </c>
      <c r="B429" s="787">
        <v>4</v>
      </c>
      <c r="C429" s="787" t="s">
        <v>1525</v>
      </c>
      <c r="D429" s="787">
        <v>0</v>
      </c>
      <c r="E429" s="787">
        <v>0</v>
      </c>
      <c r="H429" s="787">
        <v>1</v>
      </c>
      <c r="I429" s="788">
        <v>41918</v>
      </c>
      <c r="L429" s="787">
        <v>1.8</v>
      </c>
      <c r="M429" s="787">
        <v>20</v>
      </c>
      <c r="N429" s="787">
        <v>1.94</v>
      </c>
      <c r="O429" s="788">
        <v>41955</v>
      </c>
    </row>
    <row r="430" spans="1:15" x14ac:dyDescent="0.25">
      <c r="A430" s="786" t="s">
        <v>1526</v>
      </c>
      <c r="B430" s="787">
        <v>4</v>
      </c>
      <c r="C430" s="787" t="s">
        <v>1527</v>
      </c>
      <c r="D430" s="787">
        <v>0.03</v>
      </c>
      <c r="E430" s="787">
        <v>0.04</v>
      </c>
      <c r="F430" s="788">
        <v>37636</v>
      </c>
      <c r="G430" s="788">
        <v>38147</v>
      </c>
      <c r="H430" s="787">
        <v>1</v>
      </c>
      <c r="I430" s="788">
        <v>42165</v>
      </c>
      <c r="J430" s="788">
        <v>38146</v>
      </c>
      <c r="L430" s="787">
        <v>0.04</v>
      </c>
      <c r="M430" s="787">
        <v>20</v>
      </c>
      <c r="N430" s="787">
        <v>0.04</v>
      </c>
      <c r="O430" s="788">
        <v>42146</v>
      </c>
    </row>
    <row r="431" spans="1:15" x14ac:dyDescent="0.25">
      <c r="A431" s="786" t="s">
        <v>1528</v>
      </c>
      <c r="B431" s="787">
        <v>4</v>
      </c>
      <c r="C431" s="787" t="s">
        <v>1529</v>
      </c>
      <c r="D431" s="787">
        <v>0.04</v>
      </c>
      <c r="E431" s="787">
        <v>0.04</v>
      </c>
      <c r="F431" s="788">
        <v>37636</v>
      </c>
      <c r="G431" s="788">
        <v>38558</v>
      </c>
      <c r="H431" s="787">
        <v>1</v>
      </c>
      <c r="I431" s="788">
        <v>41906</v>
      </c>
      <c r="J431" s="788">
        <v>39155</v>
      </c>
      <c r="L431" s="787">
        <v>0.04</v>
      </c>
      <c r="M431" s="787">
        <v>20</v>
      </c>
      <c r="N431" s="787">
        <v>0.04</v>
      </c>
      <c r="O431" s="788">
        <v>42156</v>
      </c>
    </row>
    <row r="432" spans="1:15" x14ac:dyDescent="0.25">
      <c r="A432" s="786" t="s">
        <v>1530</v>
      </c>
      <c r="B432" s="787">
        <v>4</v>
      </c>
      <c r="C432" s="787" t="s">
        <v>1531</v>
      </c>
      <c r="D432" s="787">
        <v>0.02</v>
      </c>
      <c r="E432" s="787">
        <v>0.02</v>
      </c>
      <c r="F432" s="788">
        <v>37636</v>
      </c>
      <c r="G432" s="788">
        <v>38450</v>
      </c>
      <c r="H432" s="787">
        <v>1</v>
      </c>
      <c r="I432" s="788">
        <v>42166</v>
      </c>
      <c r="J432" s="788">
        <v>39155</v>
      </c>
      <c r="L432" s="787">
        <v>0.02</v>
      </c>
      <c r="M432" s="787">
        <v>20</v>
      </c>
      <c r="N432" s="787">
        <v>0.02</v>
      </c>
      <c r="O432" s="788">
        <v>42162</v>
      </c>
    </row>
    <row r="433" spans="1:15" x14ac:dyDescent="0.25">
      <c r="A433" s="786" t="s">
        <v>1532</v>
      </c>
      <c r="B433" s="787">
        <v>4</v>
      </c>
      <c r="C433" s="787" t="s">
        <v>1533</v>
      </c>
      <c r="D433" s="787">
        <v>0.05</v>
      </c>
      <c r="E433" s="787">
        <v>0.18</v>
      </c>
      <c r="F433" s="788">
        <v>37636</v>
      </c>
      <c r="G433" s="788">
        <v>38364</v>
      </c>
      <c r="H433" s="787">
        <v>1</v>
      </c>
      <c r="I433" s="788">
        <v>42108</v>
      </c>
      <c r="J433" s="788">
        <v>39155</v>
      </c>
      <c r="L433" s="787">
        <v>0.2</v>
      </c>
      <c r="M433" s="787">
        <v>20</v>
      </c>
      <c r="N433" s="787">
        <v>0.22</v>
      </c>
      <c r="O433" s="788">
        <v>41955</v>
      </c>
    </row>
    <row r="434" spans="1:15" x14ac:dyDescent="0.25">
      <c r="A434" s="786" t="s">
        <v>1534</v>
      </c>
      <c r="B434" s="787">
        <v>4</v>
      </c>
      <c r="C434" s="787" t="s">
        <v>1535</v>
      </c>
      <c r="D434" s="787">
        <v>0.48</v>
      </c>
      <c r="E434" s="787">
        <v>0.48</v>
      </c>
      <c r="F434" s="788">
        <v>38097</v>
      </c>
      <c r="G434" s="788">
        <v>38364</v>
      </c>
      <c r="H434" s="787">
        <v>1</v>
      </c>
      <c r="I434" s="788">
        <v>41416</v>
      </c>
      <c r="J434" s="788">
        <v>39155</v>
      </c>
      <c r="L434" s="787">
        <v>0.52</v>
      </c>
      <c r="M434" s="787">
        <v>20</v>
      </c>
      <c r="N434" s="787">
        <v>0.56000000000000005</v>
      </c>
      <c r="O434" s="788">
        <v>42038</v>
      </c>
    </row>
    <row r="435" spans="1:15" x14ac:dyDescent="0.25">
      <c r="A435" s="786" t="s">
        <v>1536</v>
      </c>
      <c r="B435" s="787">
        <v>4</v>
      </c>
      <c r="C435" s="787" t="s">
        <v>1535</v>
      </c>
      <c r="D435" s="787">
        <v>0.48</v>
      </c>
      <c r="E435" s="787">
        <v>0.48</v>
      </c>
      <c r="F435" s="788">
        <v>38047</v>
      </c>
      <c r="G435" s="788">
        <v>38364</v>
      </c>
      <c r="H435" s="787">
        <v>1</v>
      </c>
      <c r="I435" s="788">
        <v>41887</v>
      </c>
      <c r="J435" s="788">
        <v>39155</v>
      </c>
      <c r="L435" s="787">
        <v>0.52</v>
      </c>
      <c r="M435" s="787">
        <v>20</v>
      </c>
      <c r="N435" s="787">
        <v>0.56000000000000005</v>
      </c>
      <c r="O435" s="788">
        <v>42087</v>
      </c>
    </row>
    <row r="436" spans="1:15" x14ac:dyDescent="0.25">
      <c r="A436" s="786" t="s">
        <v>1537</v>
      </c>
      <c r="B436" s="787">
        <v>4</v>
      </c>
      <c r="C436" s="787" t="s">
        <v>1538</v>
      </c>
      <c r="D436" s="787">
        <v>0.11</v>
      </c>
      <c r="E436" s="787">
        <v>0.13</v>
      </c>
      <c r="F436" s="788">
        <v>38047</v>
      </c>
      <c r="G436" s="788">
        <v>42126</v>
      </c>
      <c r="H436" s="787">
        <v>1</v>
      </c>
      <c r="I436" s="788">
        <v>42157</v>
      </c>
      <c r="J436" s="788">
        <v>42069</v>
      </c>
      <c r="L436" s="787">
        <v>0.12</v>
      </c>
      <c r="M436" s="787">
        <v>20</v>
      </c>
      <c r="N436" s="787">
        <v>0.13</v>
      </c>
      <c r="O436" s="788">
        <v>42162</v>
      </c>
    </row>
    <row r="437" spans="1:15" x14ac:dyDescent="0.25">
      <c r="A437" s="786" t="s">
        <v>1539</v>
      </c>
      <c r="B437" s="787">
        <v>4</v>
      </c>
      <c r="C437" s="787" t="s">
        <v>1540</v>
      </c>
      <c r="D437" s="787">
        <v>0.04</v>
      </c>
      <c r="E437" s="787">
        <v>0.04</v>
      </c>
      <c r="F437" s="788">
        <v>37636</v>
      </c>
      <c r="G437" s="788">
        <v>37636</v>
      </c>
      <c r="H437" s="787">
        <v>1</v>
      </c>
      <c r="I437" s="788">
        <v>42166</v>
      </c>
      <c r="J437" s="788">
        <v>39155</v>
      </c>
      <c r="L437" s="787">
        <v>0.04</v>
      </c>
      <c r="M437" s="787">
        <v>20</v>
      </c>
      <c r="N437" s="787">
        <v>0.04</v>
      </c>
      <c r="O437" s="788">
        <v>42164</v>
      </c>
    </row>
    <row r="438" spans="1:15" x14ac:dyDescent="0.25">
      <c r="A438" s="786" t="s">
        <v>1541</v>
      </c>
      <c r="B438" s="787">
        <v>4</v>
      </c>
      <c r="C438" s="787" t="s">
        <v>1542</v>
      </c>
      <c r="D438" s="787">
        <v>0</v>
      </c>
      <c r="E438" s="787">
        <v>0</v>
      </c>
      <c r="G438" s="788">
        <v>42131</v>
      </c>
      <c r="H438" s="787">
        <v>1</v>
      </c>
      <c r="I438" s="788">
        <v>42144</v>
      </c>
      <c r="J438" s="788">
        <v>42131</v>
      </c>
      <c r="K438" s="788">
        <v>41814</v>
      </c>
      <c r="L438" s="787">
        <v>0.1</v>
      </c>
      <c r="M438" s="787">
        <v>20</v>
      </c>
      <c r="N438" s="787">
        <v>0.11</v>
      </c>
      <c r="O438" s="788">
        <v>42162</v>
      </c>
    </row>
    <row r="439" spans="1:15" x14ac:dyDescent="0.25">
      <c r="A439" s="786" t="s">
        <v>1543</v>
      </c>
      <c r="B439" s="787">
        <v>4</v>
      </c>
      <c r="C439" s="787" t="s">
        <v>1544</v>
      </c>
      <c r="D439" s="787">
        <v>0</v>
      </c>
      <c r="E439" s="787">
        <v>0</v>
      </c>
      <c r="H439" s="787">
        <v>1</v>
      </c>
      <c r="I439" s="788">
        <v>41907</v>
      </c>
      <c r="L439" s="787">
        <v>0.95</v>
      </c>
      <c r="M439" s="787">
        <v>20</v>
      </c>
      <c r="N439" s="787">
        <v>1.02</v>
      </c>
      <c r="O439" s="788">
        <v>41955</v>
      </c>
    </row>
    <row r="440" spans="1:15" x14ac:dyDescent="0.25">
      <c r="A440" s="786" t="s">
        <v>1545</v>
      </c>
      <c r="B440" s="787">
        <v>4</v>
      </c>
      <c r="C440" s="787" t="s">
        <v>1546</v>
      </c>
      <c r="D440" s="787">
        <v>0</v>
      </c>
      <c r="E440" s="787">
        <v>0</v>
      </c>
      <c r="H440" s="787">
        <v>1</v>
      </c>
      <c r="I440" s="788">
        <v>41907</v>
      </c>
      <c r="L440" s="787">
        <v>0.55000000000000004</v>
      </c>
      <c r="M440" s="787">
        <v>20</v>
      </c>
      <c r="N440" s="787">
        <v>0.59</v>
      </c>
      <c r="O440" s="788">
        <v>41955</v>
      </c>
    </row>
    <row r="441" spans="1:15" x14ac:dyDescent="0.25">
      <c r="A441" s="786" t="s">
        <v>1547</v>
      </c>
      <c r="B441" s="787">
        <v>4</v>
      </c>
      <c r="C441" s="787" t="s">
        <v>1066</v>
      </c>
      <c r="D441" s="787">
        <v>0</v>
      </c>
      <c r="E441" s="787">
        <v>0</v>
      </c>
      <c r="G441" s="787" t="s">
        <v>1067</v>
      </c>
      <c r="H441" s="787">
        <v>1</v>
      </c>
      <c r="L441" s="787">
        <v>0</v>
      </c>
      <c r="M441" s="787">
        <v>10</v>
      </c>
      <c r="N441" s="787">
        <v>608.23</v>
      </c>
      <c r="O441" s="788">
        <v>40663</v>
      </c>
    </row>
    <row r="442" spans="1:15" x14ac:dyDescent="0.25">
      <c r="A442" s="786" t="s">
        <v>1548</v>
      </c>
      <c r="B442" s="787">
        <v>4</v>
      </c>
      <c r="C442" s="787" t="s">
        <v>1549</v>
      </c>
      <c r="D442" s="787">
        <v>0.03</v>
      </c>
      <c r="E442" s="787">
        <v>0.12</v>
      </c>
      <c r="F442" s="788">
        <v>38156</v>
      </c>
      <c r="G442" s="788">
        <v>38589</v>
      </c>
      <c r="H442" s="787">
        <v>1</v>
      </c>
      <c r="I442" s="788">
        <v>42165</v>
      </c>
      <c r="J442" s="788">
        <v>39155</v>
      </c>
      <c r="K442" s="788">
        <v>41869</v>
      </c>
      <c r="L442" s="787">
        <v>0.12</v>
      </c>
      <c r="M442" s="787">
        <v>20</v>
      </c>
      <c r="N442" s="787">
        <v>0.13</v>
      </c>
      <c r="O442" s="788">
        <v>42053</v>
      </c>
    </row>
    <row r="443" spans="1:15" x14ac:dyDescent="0.25">
      <c r="A443" s="786" t="s">
        <v>626</v>
      </c>
      <c r="B443" s="787">
        <v>4</v>
      </c>
      <c r="C443" s="787" t="s">
        <v>1550</v>
      </c>
      <c r="D443" s="787">
        <v>0.04</v>
      </c>
      <c r="E443" s="787">
        <v>0.04</v>
      </c>
      <c r="F443" s="788">
        <v>37636</v>
      </c>
      <c r="G443" s="788">
        <v>41884</v>
      </c>
      <c r="H443" s="787">
        <v>1</v>
      </c>
      <c r="I443" s="788">
        <v>42165</v>
      </c>
      <c r="J443" s="788">
        <v>41877</v>
      </c>
      <c r="L443" s="787">
        <v>0.04</v>
      </c>
      <c r="M443" s="787">
        <v>20</v>
      </c>
      <c r="N443" s="787">
        <v>0.04</v>
      </c>
      <c r="O443" s="788">
        <v>41955</v>
      </c>
    </row>
    <row r="444" spans="1:15" x14ac:dyDescent="0.25">
      <c r="A444" s="786" t="s">
        <v>1551</v>
      </c>
      <c r="B444" s="787">
        <v>4</v>
      </c>
      <c r="C444" s="787" t="s">
        <v>1552</v>
      </c>
      <c r="D444" s="787">
        <v>0.04</v>
      </c>
      <c r="E444" s="787">
        <v>0.04</v>
      </c>
      <c r="F444" s="788">
        <v>38450</v>
      </c>
      <c r="G444" s="788">
        <v>38511</v>
      </c>
      <c r="H444" s="787">
        <v>1</v>
      </c>
      <c r="I444" s="788">
        <v>42160</v>
      </c>
      <c r="J444" s="788">
        <v>39155</v>
      </c>
      <c r="K444" s="788">
        <v>41422</v>
      </c>
      <c r="L444" s="787">
        <v>0.04</v>
      </c>
      <c r="M444" s="787">
        <v>20</v>
      </c>
      <c r="N444" s="787">
        <v>0.04</v>
      </c>
      <c r="O444" s="788">
        <v>41955</v>
      </c>
    </row>
    <row r="445" spans="1:15" x14ac:dyDescent="0.25">
      <c r="A445" s="786" t="s">
        <v>1553</v>
      </c>
      <c r="B445" s="787">
        <v>4</v>
      </c>
      <c r="C445" s="787" t="s">
        <v>1554</v>
      </c>
      <c r="D445" s="787">
        <v>0.04</v>
      </c>
      <c r="E445" s="787">
        <v>0.06</v>
      </c>
      <c r="F445" s="788">
        <v>38602</v>
      </c>
      <c r="G445" s="788">
        <v>38566</v>
      </c>
      <c r="H445" s="787">
        <v>1</v>
      </c>
      <c r="I445" s="788">
        <v>42159</v>
      </c>
      <c r="J445" s="788">
        <v>39155</v>
      </c>
      <c r="L445" s="787">
        <v>7.0000000000000007E-2</v>
      </c>
      <c r="M445" s="787">
        <v>20</v>
      </c>
      <c r="N445" s="787">
        <v>0.08</v>
      </c>
      <c r="O445" s="788">
        <v>41955</v>
      </c>
    </row>
    <row r="446" spans="1:15" x14ac:dyDescent="0.25">
      <c r="A446" s="786" t="s">
        <v>1555</v>
      </c>
      <c r="B446" s="787">
        <v>4</v>
      </c>
      <c r="C446" s="787" t="s">
        <v>1554</v>
      </c>
      <c r="D446" s="787">
        <v>0.02</v>
      </c>
      <c r="E446" s="787">
        <v>7.0000000000000007E-2</v>
      </c>
      <c r="F446" s="788">
        <v>38511</v>
      </c>
      <c r="G446" s="788">
        <v>38559</v>
      </c>
      <c r="H446" s="787">
        <v>1</v>
      </c>
      <c r="I446" s="788">
        <v>41803</v>
      </c>
      <c r="J446" s="788">
        <v>39155</v>
      </c>
      <c r="L446" s="787">
        <v>0.08</v>
      </c>
      <c r="M446" s="787">
        <v>20</v>
      </c>
      <c r="N446" s="787">
        <v>0.09</v>
      </c>
      <c r="O446" s="788">
        <v>41955</v>
      </c>
    </row>
    <row r="447" spans="1:15" x14ac:dyDescent="0.25">
      <c r="A447" s="786" t="s">
        <v>1556</v>
      </c>
      <c r="B447" s="787">
        <v>4</v>
      </c>
      <c r="C447" s="787" t="s">
        <v>1554</v>
      </c>
      <c r="D447" s="787">
        <v>0.06</v>
      </c>
      <c r="E447" s="787">
        <v>0.08</v>
      </c>
      <c r="F447" s="788">
        <v>37636</v>
      </c>
      <c r="G447" s="788">
        <v>38572</v>
      </c>
      <c r="H447" s="787">
        <v>1</v>
      </c>
      <c r="I447" s="788">
        <v>42166</v>
      </c>
      <c r="J447" s="788">
        <v>39155</v>
      </c>
      <c r="K447" s="788">
        <v>41869</v>
      </c>
      <c r="L447" s="787">
        <v>0.08</v>
      </c>
      <c r="M447" s="787">
        <v>20</v>
      </c>
      <c r="N447" s="787">
        <v>0.09</v>
      </c>
      <c r="O447" s="788">
        <v>41955</v>
      </c>
    </row>
    <row r="448" spans="1:15" x14ac:dyDescent="0.25">
      <c r="A448" s="786" t="s">
        <v>1557</v>
      </c>
      <c r="B448" s="787">
        <v>4</v>
      </c>
      <c r="C448" s="787" t="s">
        <v>1554</v>
      </c>
      <c r="D448" s="787">
        <v>0.04</v>
      </c>
      <c r="E448" s="787">
        <v>0.1</v>
      </c>
      <c r="F448" s="788">
        <v>37636</v>
      </c>
      <c r="G448" s="788">
        <v>38433</v>
      </c>
      <c r="H448" s="787">
        <v>1</v>
      </c>
      <c r="I448" s="788">
        <v>42136</v>
      </c>
      <c r="J448" s="788">
        <v>39155</v>
      </c>
      <c r="K448" s="788">
        <v>41869</v>
      </c>
      <c r="L448" s="787">
        <v>0.1</v>
      </c>
      <c r="M448" s="787">
        <v>20</v>
      </c>
      <c r="N448" s="787">
        <v>0.11</v>
      </c>
      <c r="O448" s="788">
        <v>41955</v>
      </c>
    </row>
    <row r="449" spans="1:15" x14ac:dyDescent="0.25">
      <c r="A449" s="786" t="s">
        <v>1558</v>
      </c>
      <c r="B449" s="787">
        <v>4</v>
      </c>
      <c r="C449" s="787" t="s">
        <v>1554</v>
      </c>
      <c r="D449" s="787">
        <v>0.12</v>
      </c>
      <c r="E449" s="787">
        <v>0.12</v>
      </c>
      <c r="F449" s="788">
        <v>38450</v>
      </c>
      <c r="G449" s="788">
        <v>38450</v>
      </c>
      <c r="H449" s="787">
        <v>1</v>
      </c>
      <c r="I449" s="788">
        <v>41430</v>
      </c>
      <c r="J449" s="788">
        <v>39155</v>
      </c>
      <c r="L449" s="787">
        <v>0.21</v>
      </c>
      <c r="M449" s="787">
        <v>20</v>
      </c>
      <c r="N449" s="787">
        <v>0.23</v>
      </c>
      <c r="O449" s="788">
        <v>41955</v>
      </c>
    </row>
    <row r="450" spans="1:15" x14ac:dyDescent="0.25">
      <c r="A450" s="786" t="s">
        <v>1559</v>
      </c>
      <c r="B450" s="787">
        <v>4</v>
      </c>
      <c r="C450" s="787" t="s">
        <v>1554</v>
      </c>
      <c r="D450" s="787">
        <v>0.27</v>
      </c>
      <c r="E450" s="787">
        <v>0.27</v>
      </c>
      <c r="F450" s="788">
        <v>37636</v>
      </c>
      <c r="G450" s="788">
        <v>38364</v>
      </c>
      <c r="H450" s="787">
        <v>1</v>
      </c>
      <c r="I450" s="788">
        <v>39155</v>
      </c>
      <c r="J450" s="788">
        <v>39155</v>
      </c>
      <c r="L450" s="787">
        <v>0.28999999999999998</v>
      </c>
      <c r="M450" s="787">
        <v>20</v>
      </c>
      <c r="N450" s="787">
        <v>0.31</v>
      </c>
      <c r="O450" s="788">
        <v>41955</v>
      </c>
    </row>
    <row r="451" spans="1:15" x14ac:dyDescent="0.25">
      <c r="A451" s="786" t="s">
        <v>1560</v>
      </c>
      <c r="B451" s="787">
        <v>4</v>
      </c>
      <c r="C451" s="787" t="s">
        <v>1561</v>
      </c>
      <c r="D451" s="787">
        <v>0.02</v>
      </c>
      <c r="E451" s="787">
        <v>0.04</v>
      </c>
      <c r="F451" s="788">
        <v>37636</v>
      </c>
      <c r="G451" s="788">
        <v>38559</v>
      </c>
      <c r="H451" s="787">
        <v>1</v>
      </c>
      <c r="I451" s="788">
        <v>41011</v>
      </c>
      <c r="J451" s="788">
        <v>39155</v>
      </c>
      <c r="K451" s="788">
        <v>41869</v>
      </c>
      <c r="L451" s="787">
        <v>0.04</v>
      </c>
      <c r="M451" s="787">
        <v>20</v>
      </c>
      <c r="N451" s="787">
        <v>0.04</v>
      </c>
      <c r="O451" s="788">
        <v>41955</v>
      </c>
    </row>
    <row r="452" spans="1:15" x14ac:dyDescent="0.25">
      <c r="A452" s="786" t="s">
        <v>627</v>
      </c>
      <c r="B452" s="787">
        <v>4</v>
      </c>
      <c r="C452" s="787" t="s">
        <v>1562</v>
      </c>
      <c r="D452" s="787">
        <v>0</v>
      </c>
      <c r="E452" s="787">
        <v>0</v>
      </c>
      <c r="H452" s="787">
        <v>1</v>
      </c>
      <c r="I452" s="788">
        <v>41977</v>
      </c>
      <c r="L452" s="787">
        <v>0.5</v>
      </c>
      <c r="M452" s="787">
        <v>20</v>
      </c>
      <c r="N452" s="787">
        <v>0.54</v>
      </c>
      <c r="O452" s="788">
        <v>41955</v>
      </c>
    </row>
    <row r="453" spans="1:15" x14ac:dyDescent="0.25">
      <c r="A453" s="786" t="s">
        <v>1563</v>
      </c>
      <c r="B453" s="787">
        <v>4</v>
      </c>
      <c r="C453" s="787" t="s">
        <v>1564</v>
      </c>
      <c r="D453" s="787">
        <v>0.03</v>
      </c>
      <c r="E453" s="787">
        <v>0.04</v>
      </c>
      <c r="F453" s="788">
        <v>37636</v>
      </c>
      <c r="G453" s="788">
        <v>38624</v>
      </c>
      <c r="H453" s="787">
        <v>1</v>
      </c>
      <c r="I453" s="788">
        <v>42165</v>
      </c>
      <c r="J453" s="788">
        <v>39155</v>
      </c>
      <c r="L453" s="787">
        <v>0.04</v>
      </c>
      <c r="M453" s="787">
        <v>20</v>
      </c>
      <c r="N453" s="787">
        <v>0.04</v>
      </c>
      <c r="O453" s="788">
        <v>41955</v>
      </c>
    </row>
    <row r="454" spans="1:15" x14ac:dyDescent="0.25">
      <c r="A454" s="786" t="s">
        <v>1565</v>
      </c>
      <c r="B454" s="787">
        <v>4</v>
      </c>
      <c r="C454" s="787" t="s">
        <v>1566</v>
      </c>
      <c r="D454" s="787">
        <v>7.0000000000000007E-2</v>
      </c>
      <c r="E454" s="787">
        <v>7.0000000000000007E-2</v>
      </c>
      <c r="F454" s="788">
        <v>38645</v>
      </c>
      <c r="G454" s="788">
        <v>38645</v>
      </c>
      <c r="H454" s="787">
        <v>1</v>
      </c>
      <c r="I454" s="788">
        <v>41479</v>
      </c>
      <c r="J454" s="788">
        <v>39155</v>
      </c>
      <c r="L454" s="787">
        <v>7.0000000000000007E-2</v>
      </c>
      <c r="M454" s="787">
        <v>20</v>
      </c>
      <c r="N454" s="787">
        <v>0.08</v>
      </c>
      <c r="O454" s="788">
        <v>41955</v>
      </c>
    </row>
    <row r="455" spans="1:15" x14ac:dyDescent="0.25">
      <c r="A455" s="786" t="s">
        <v>1567</v>
      </c>
      <c r="B455" s="787">
        <v>4</v>
      </c>
      <c r="C455" s="787" t="s">
        <v>1568</v>
      </c>
      <c r="D455" s="787">
        <v>0.1</v>
      </c>
      <c r="E455" s="787">
        <v>0.1</v>
      </c>
      <c r="F455" s="788">
        <v>39155</v>
      </c>
      <c r="G455" s="788">
        <v>39155</v>
      </c>
      <c r="H455" s="787">
        <v>1</v>
      </c>
      <c r="I455" s="788">
        <v>42166</v>
      </c>
      <c r="J455" s="788">
        <v>39155</v>
      </c>
      <c r="L455" s="787">
        <v>0.1</v>
      </c>
      <c r="M455" s="787">
        <v>20</v>
      </c>
      <c r="N455" s="787">
        <v>0.11</v>
      </c>
      <c r="O455" s="788">
        <v>41955</v>
      </c>
    </row>
    <row r="456" spans="1:15" x14ac:dyDescent="0.25">
      <c r="A456" s="786" t="s">
        <v>1569</v>
      </c>
      <c r="B456" s="787">
        <v>4</v>
      </c>
      <c r="C456" s="787" t="s">
        <v>1570</v>
      </c>
      <c r="D456" s="787">
        <v>0.03</v>
      </c>
      <c r="E456" s="787">
        <v>0.03</v>
      </c>
      <c r="F456" s="788">
        <v>37636</v>
      </c>
      <c r="G456" s="788">
        <v>37636</v>
      </c>
      <c r="H456" s="787">
        <v>1</v>
      </c>
      <c r="I456" s="788">
        <v>42151</v>
      </c>
      <c r="J456" s="788">
        <v>39155</v>
      </c>
      <c r="L456" s="787">
        <v>0.03</v>
      </c>
      <c r="M456" s="787">
        <v>20</v>
      </c>
      <c r="N456" s="787">
        <v>0.03</v>
      </c>
      <c r="O456" s="788">
        <v>41955</v>
      </c>
    </row>
    <row r="457" spans="1:15" x14ac:dyDescent="0.25">
      <c r="A457" s="786" t="s">
        <v>1571</v>
      </c>
      <c r="B457" s="787">
        <v>4</v>
      </c>
      <c r="C457" s="787" t="s">
        <v>1572</v>
      </c>
      <c r="D457" s="787">
        <v>0.05</v>
      </c>
      <c r="E457" s="787">
        <v>0.05</v>
      </c>
      <c r="F457" s="788">
        <v>38047</v>
      </c>
      <c r="G457" s="788">
        <v>38364</v>
      </c>
      <c r="H457" s="787">
        <v>1</v>
      </c>
      <c r="I457" s="788">
        <v>42088</v>
      </c>
      <c r="J457" s="788">
        <v>39155</v>
      </c>
      <c r="L457" s="787">
        <v>0.05</v>
      </c>
      <c r="M457" s="787">
        <v>20</v>
      </c>
      <c r="N457" s="787">
        <v>0.05</v>
      </c>
      <c r="O457" s="788">
        <v>41955</v>
      </c>
    </row>
    <row r="458" spans="1:15" x14ac:dyDescent="0.25">
      <c r="A458" s="786" t="s">
        <v>1573</v>
      </c>
      <c r="B458" s="787">
        <v>4</v>
      </c>
      <c r="C458" s="787" t="s">
        <v>1574</v>
      </c>
      <c r="D458" s="787">
        <v>0.14000000000000001</v>
      </c>
      <c r="E458" s="787">
        <v>0.14000000000000001</v>
      </c>
      <c r="F458" s="788">
        <v>38589</v>
      </c>
      <c r="G458" s="788">
        <v>38589</v>
      </c>
      <c r="H458" s="787">
        <v>1</v>
      </c>
      <c r="I458" s="788">
        <v>41530</v>
      </c>
      <c r="J458" s="788">
        <v>39155</v>
      </c>
      <c r="L458" s="787">
        <v>0.38</v>
      </c>
      <c r="M458" s="787">
        <v>20</v>
      </c>
      <c r="N458" s="787">
        <v>0.41</v>
      </c>
      <c r="O458" s="788">
        <v>41955</v>
      </c>
    </row>
    <row r="459" spans="1:15" x14ac:dyDescent="0.25">
      <c r="A459" s="786" t="s">
        <v>1575</v>
      </c>
      <c r="B459" s="787">
        <v>4</v>
      </c>
      <c r="C459" s="787" t="s">
        <v>1576</v>
      </c>
      <c r="D459" s="787">
        <v>0.03</v>
      </c>
      <c r="E459" s="787">
        <v>0.17</v>
      </c>
      <c r="F459" s="788">
        <v>38047</v>
      </c>
      <c r="G459" s="788">
        <v>38624</v>
      </c>
      <c r="H459" s="787">
        <v>6</v>
      </c>
      <c r="I459" s="788">
        <v>42114</v>
      </c>
      <c r="J459" s="788">
        <v>39155</v>
      </c>
      <c r="K459" s="788">
        <v>42108</v>
      </c>
      <c r="L459" s="787">
        <v>393.77</v>
      </c>
      <c r="M459" s="787">
        <v>20</v>
      </c>
      <c r="N459" s="787">
        <v>0.2</v>
      </c>
      <c r="O459" s="788">
        <v>41858</v>
      </c>
    </row>
    <row r="460" spans="1:15" x14ac:dyDescent="0.25">
      <c r="A460" s="786" t="s">
        <v>1577</v>
      </c>
      <c r="B460" s="787">
        <v>4</v>
      </c>
      <c r="C460" s="787" t="s">
        <v>1578</v>
      </c>
      <c r="D460" s="787">
        <v>0.04</v>
      </c>
      <c r="E460" s="787">
        <v>0.04</v>
      </c>
      <c r="F460" s="788">
        <v>38450</v>
      </c>
      <c r="G460" s="788">
        <v>38538</v>
      </c>
      <c r="H460" s="787">
        <v>1</v>
      </c>
      <c r="I460" s="788">
        <v>42165</v>
      </c>
      <c r="J460" s="788">
        <v>39155</v>
      </c>
      <c r="L460" s="787">
        <v>0.06</v>
      </c>
      <c r="M460" s="787">
        <v>20</v>
      </c>
      <c r="N460" s="787">
        <v>0.06</v>
      </c>
      <c r="O460" s="788">
        <v>41955</v>
      </c>
    </row>
    <row r="461" spans="1:15" x14ac:dyDescent="0.25">
      <c r="A461" s="786" t="s">
        <v>1579</v>
      </c>
      <c r="B461" s="787">
        <v>4</v>
      </c>
      <c r="C461" s="787" t="s">
        <v>1580</v>
      </c>
      <c r="D461" s="787">
        <v>0.04</v>
      </c>
      <c r="E461" s="787">
        <v>0.04</v>
      </c>
      <c r="F461" s="788">
        <v>38428</v>
      </c>
      <c r="G461" s="788">
        <v>38540</v>
      </c>
      <c r="H461" s="787">
        <v>1</v>
      </c>
      <c r="I461" s="788">
        <v>39155</v>
      </c>
      <c r="J461" s="788">
        <v>39155</v>
      </c>
      <c r="L461" s="787">
        <v>0.05</v>
      </c>
      <c r="M461" s="787">
        <v>20</v>
      </c>
      <c r="N461" s="787">
        <v>0.05</v>
      </c>
      <c r="O461" s="788">
        <v>41955</v>
      </c>
    </row>
    <row r="462" spans="1:15" x14ac:dyDescent="0.25">
      <c r="A462" s="786" t="s">
        <v>1581</v>
      </c>
      <c r="B462" s="787">
        <v>4</v>
      </c>
      <c r="C462" s="787" t="s">
        <v>1582</v>
      </c>
      <c r="D462" s="787">
        <v>7.0000000000000007E-2</v>
      </c>
      <c r="E462" s="787">
        <v>7.0000000000000007E-2</v>
      </c>
      <c r="F462" s="788">
        <v>37636</v>
      </c>
      <c r="G462" s="788">
        <v>38364</v>
      </c>
      <c r="H462" s="787">
        <v>1</v>
      </c>
      <c r="I462" s="788">
        <v>41894</v>
      </c>
      <c r="J462" s="788">
        <v>39155</v>
      </c>
      <c r="L462" s="787">
        <v>0.08</v>
      </c>
      <c r="M462" s="787">
        <v>20</v>
      </c>
      <c r="N462" s="787">
        <v>0.09</v>
      </c>
      <c r="O462" s="788">
        <v>41955</v>
      </c>
    </row>
    <row r="463" spans="1:15" x14ac:dyDescent="0.25">
      <c r="A463" s="786" t="s">
        <v>1583</v>
      </c>
      <c r="B463" s="787">
        <v>4</v>
      </c>
      <c r="C463" s="787" t="s">
        <v>1582</v>
      </c>
      <c r="D463" s="787">
        <v>0.03</v>
      </c>
      <c r="E463" s="787">
        <v>0.05</v>
      </c>
      <c r="F463" s="788">
        <v>38047</v>
      </c>
      <c r="G463" s="788">
        <v>38547</v>
      </c>
      <c r="H463" s="787">
        <v>1</v>
      </c>
      <c r="I463" s="788">
        <v>42088</v>
      </c>
      <c r="J463" s="788">
        <v>39155</v>
      </c>
      <c r="L463" s="787">
        <v>0.03</v>
      </c>
      <c r="M463" s="787">
        <v>20</v>
      </c>
      <c r="N463" s="787">
        <v>0.03</v>
      </c>
      <c r="O463" s="788">
        <v>41955</v>
      </c>
    </row>
    <row r="464" spans="1:15" x14ac:dyDescent="0.25">
      <c r="A464" s="786" t="s">
        <v>1584</v>
      </c>
      <c r="B464" s="787">
        <v>4</v>
      </c>
      <c r="C464" s="787" t="s">
        <v>1582</v>
      </c>
      <c r="D464" s="787">
        <v>0.02</v>
      </c>
      <c r="E464" s="787">
        <v>0.12</v>
      </c>
      <c r="F464" s="788">
        <v>38047</v>
      </c>
      <c r="G464" s="788">
        <v>38589</v>
      </c>
      <c r="H464" s="787">
        <v>1</v>
      </c>
      <c r="I464" s="788">
        <v>42165</v>
      </c>
      <c r="J464" s="788">
        <v>39155</v>
      </c>
      <c r="L464" s="787">
        <v>0.02</v>
      </c>
      <c r="M464" s="787">
        <v>20</v>
      </c>
      <c r="N464" s="787">
        <v>0.02</v>
      </c>
      <c r="O464" s="788">
        <v>41955</v>
      </c>
    </row>
    <row r="465" spans="1:15" x14ac:dyDescent="0.25">
      <c r="A465" s="786" t="s">
        <v>1585</v>
      </c>
      <c r="B465" s="787">
        <v>4</v>
      </c>
      <c r="C465" s="787" t="s">
        <v>1586</v>
      </c>
      <c r="D465" s="787">
        <v>0</v>
      </c>
      <c r="E465" s="787">
        <v>0</v>
      </c>
      <c r="H465" s="787">
        <v>1</v>
      </c>
      <c r="I465" s="788">
        <v>42166</v>
      </c>
      <c r="K465" s="788">
        <v>41836</v>
      </c>
      <c r="L465" s="787">
        <v>0.01</v>
      </c>
      <c r="M465" s="787">
        <v>20</v>
      </c>
      <c r="N465" s="787">
        <v>0.01</v>
      </c>
      <c r="O465" s="788">
        <v>41955</v>
      </c>
    </row>
    <row r="466" spans="1:15" x14ac:dyDescent="0.25">
      <c r="A466" s="786" t="s">
        <v>1587</v>
      </c>
      <c r="B466" s="787">
        <v>4</v>
      </c>
      <c r="C466" s="787" t="s">
        <v>1588</v>
      </c>
      <c r="D466" s="787">
        <v>0.03</v>
      </c>
      <c r="E466" s="787">
        <v>0.03</v>
      </c>
      <c r="F466" s="788">
        <v>38047</v>
      </c>
      <c r="G466" s="788">
        <v>38364</v>
      </c>
      <c r="H466" s="787">
        <v>1</v>
      </c>
      <c r="I466" s="788">
        <v>39155</v>
      </c>
      <c r="J466" s="788">
        <v>41543</v>
      </c>
      <c r="L466" s="787">
        <v>0.03</v>
      </c>
      <c r="M466" s="787">
        <v>20</v>
      </c>
      <c r="N466" s="787">
        <v>0.03</v>
      </c>
      <c r="O466" s="788">
        <v>41955</v>
      </c>
    </row>
    <row r="467" spans="1:15" x14ac:dyDescent="0.25">
      <c r="A467" s="786" t="s">
        <v>647</v>
      </c>
      <c r="B467" s="787">
        <v>4</v>
      </c>
      <c r="C467" s="787" t="s">
        <v>1582</v>
      </c>
      <c r="D467" s="787">
        <v>0</v>
      </c>
      <c r="E467" s="787">
        <v>0</v>
      </c>
      <c r="H467" s="787">
        <v>1</v>
      </c>
      <c r="I467" s="788">
        <v>42165</v>
      </c>
      <c r="L467" s="787">
        <v>0</v>
      </c>
      <c r="M467" s="787">
        <v>20</v>
      </c>
      <c r="N467" s="787">
        <v>0.01</v>
      </c>
      <c r="O467" s="788">
        <v>41955</v>
      </c>
    </row>
    <row r="468" spans="1:15" x14ac:dyDescent="0.25">
      <c r="A468" s="786" t="s">
        <v>1589</v>
      </c>
      <c r="B468" s="787">
        <v>4</v>
      </c>
      <c r="C468" s="787" t="s">
        <v>1582</v>
      </c>
      <c r="D468" s="787">
        <v>0</v>
      </c>
      <c r="E468" s="787">
        <v>0</v>
      </c>
      <c r="H468" s="787">
        <v>1</v>
      </c>
      <c r="I468" s="788">
        <v>42055</v>
      </c>
      <c r="L468" s="787">
        <v>0</v>
      </c>
      <c r="M468" s="787">
        <v>20</v>
      </c>
      <c r="N468" s="787">
        <v>0.01</v>
      </c>
      <c r="O468" s="788">
        <v>41955</v>
      </c>
    </row>
    <row r="469" spans="1:15" x14ac:dyDescent="0.25">
      <c r="A469" s="786" t="s">
        <v>1590</v>
      </c>
      <c r="B469" s="787">
        <v>4</v>
      </c>
      <c r="C469" s="787" t="s">
        <v>1572</v>
      </c>
      <c r="D469" s="787">
        <v>0</v>
      </c>
      <c r="E469" s="787">
        <v>0</v>
      </c>
      <c r="H469" s="787">
        <v>1</v>
      </c>
      <c r="I469" s="788">
        <v>42037</v>
      </c>
      <c r="L469" s="787">
        <v>0.01</v>
      </c>
      <c r="M469" s="787">
        <v>20</v>
      </c>
      <c r="N469" s="787">
        <v>0.01</v>
      </c>
      <c r="O469" s="788">
        <v>41955</v>
      </c>
    </row>
    <row r="470" spans="1:15" x14ac:dyDescent="0.25">
      <c r="A470" s="786" t="s">
        <v>1591</v>
      </c>
      <c r="B470" s="787">
        <v>4</v>
      </c>
      <c r="C470" s="787" t="s">
        <v>1592</v>
      </c>
      <c r="D470" s="787">
        <v>0</v>
      </c>
      <c r="E470" s="787">
        <v>0</v>
      </c>
      <c r="H470" s="787">
        <v>1</v>
      </c>
      <c r="I470" s="788">
        <v>42166</v>
      </c>
      <c r="L470" s="787">
        <v>0.04</v>
      </c>
      <c r="M470" s="787">
        <v>20</v>
      </c>
      <c r="N470" s="787">
        <v>0.04</v>
      </c>
      <c r="O470" s="788">
        <v>41955</v>
      </c>
    </row>
    <row r="471" spans="1:15" x14ac:dyDescent="0.25">
      <c r="A471" s="786" t="s">
        <v>1593</v>
      </c>
      <c r="B471" s="787">
        <v>4</v>
      </c>
      <c r="C471" s="787" t="s">
        <v>1582</v>
      </c>
      <c r="D471" s="787">
        <v>0</v>
      </c>
      <c r="E471" s="787">
        <v>0</v>
      </c>
      <c r="H471" s="787">
        <v>1</v>
      </c>
      <c r="I471" s="788">
        <v>42033</v>
      </c>
      <c r="L471" s="787">
        <v>0.02</v>
      </c>
      <c r="M471" s="787">
        <v>20</v>
      </c>
      <c r="N471" s="787">
        <v>0.02</v>
      </c>
      <c r="O471" s="788">
        <v>41955</v>
      </c>
    </row>
    <row r="472" spans="1:15" x14ac:dyDescent="0.25">
      <c r="A472" s="786" t="s">
        <v>1594</v>
      </c>
      <c r="B472" s="787">
        <v>4</v>
      </c>
      <c r="C472" s="787" t="s">
        <v>1582</v>
      </c>
      <c r="D472" s="787">
        <v>0</v>
      </c>
      <c r="E472" s="787">
        <v>0</v>
      </c>
      <c r="H472" s="787">
        <v>1</v>
      </c>
      <c r="I472" s="788">
        <v>42083</v>
      </c>
      <c r="L472" s="787">
        <v>0.05</v>
      </c>
      <c r="M472" s="787">
        <v>20</v>
      </c>
      <c r="N472" s="787">
        <v>0.05</v>
      </c>
      <c r="O472" s="788">
        <v>41955</v>
      </c>
    </row>
    <row r="473" spans="1:15" x14ac:dyDescent="0.25">
      <c r="A473" s="786" t="s">
        <v>1595</v>
      </c>
      <c r="B473" s="787">
        <v>4</v>
      </c>
      <c r="C473" s="787" t="s">
        <v>1596</v>
      </c>
      <c r="D473" s="787">
        <v>0</v>
      </c>
      <c r="E473" s="787">
        <v>0</v>
      </c>
      <c r="H473" s="787">
        <v>1</v>
      </c>
      <c r="I473" s="788">
        <v>42166</v>
      </c>
      <c r="L473" s="787">
        <v>0.1</v>
      </c>
      <c r="M473" s="787">
        <v>20</v>
      </c>
      <c r="N473" s="787">
        <v>0.11</v>
      </c>
      <c r="O473" s="788">
        <v>41955</v>
      </c>
    </row>
    <row r="474" spans="1:15" x14ac:dyDescent="0.25">
      <c r="A474" s="786" t="s">
        <v>844</v>
      </c>
      <c r="B474" s="787">
        <v>4</v>
      </c>
      <c r="C474" s="787" t="s">
        <v>1597</v>
      </c>
      <c r="D474" s="787">
        <v>0</v>
      </c>
      <c r="E474" s="787">
        <v>0</v>
      </c>
      <c r="H474" s="787">
        <v>1</v>
      </c>
      <c r="I474" s="788">
        <v>42166</v>
      </c>
      <c r="L474" s="787">
        <v>0.2</v>
      </c>
      <c r="M474" s="787">
        <v>20</v>
      </c>
      <c r="N474" s="787">
        <v>0</v>
      </c>
    </row>
    <row r="475" spans="1:15" x14ac:dyDescent="0.25">
      <c r="A475" s="786" t="s">
        <v>1598</v>
      </c>
      <c r="B475" s="787">
        <v>4</v>
      </c>
      <c r="C475" s="787" t="s">
        <v>1599</v>
      </c>
      <c r="D475" s="787">
        <v>0</v>
      </c>
      <c r="E475" s="787">
        <v>0.25</v>
      </c>
      <c r="H475" s="787">
        <v>1</v>
      </c>
      <c r="I475" s="788">
        <v>42101</v>
      </c>
      <c r="L475" s="787">
        <v>0.25</v>
      </c>
      <c r="M475" s="787">
        <v>20</v>
      </c>
      <c r="N475" s="787">
        <v>0</v>
      </c>
    </row>
    <row r="476" spans="1:15" x14ac:dyDescent="0.25">
      <c r="A476" s="786" t="s">
        <v>1600</v>
      </c>
      <c r="B476" s="787">
        <v>4</v>
      </c>
      <c r="C476" s="787" t="s">
        <v>1601</v>
      </c>
      <c r="D476" s="787">
        <v>0.02</v>
      </c>
      <c r="E476" s="787">
        <v>0.02</v>
      </c>
      <c r="F476" s="788">
        <v>42159</v>
      </c>
      <c r="G476" s="788">
        <v>42157</v>
      </c>
      <c r="H476" s="787">
        <v>1</v>
      </c>
      <c r="I476" s="788">
        <v>42166</v>
      </c>
      <c r="J476" s="788">
        <v>42165</v>
      </c>
      <c r="K476" s="788">
        <v>42156</v>
      </c>
      <c r="L476" s="787">
        <v>0.02</v>
      </c>
      <c r="M476" s="787">
        <v>20</v>
      </c>
      <c r="N476" s="787">
        <v>0</v>
      </c>
    </row>
    <row r="477" spans="1:15" x14ac:dyDescent="0.25">
      <c r="A477" s="786" t="s">
        <v>648</v>
      </c>
      <c r="B477" s="787">
        <v>4</v>
      </c>
      <c r="C477" s="787" t="s">
        <v>1602</v>
      </c>
      <c r="D477" s="787">
        <v>0.17</v>
      </c>
      <c r="E477" s="787">
        <v>0.17</v>
      </c>
      <c r="F477" s="788">
        <v>41884</v>
      </c>
      <c r="G477" s="788">
        <v>41890</v>
      </c>
      <c r="H477" s="787">
        <v>1</v>
      </c>
      <c r="I477" s="788">
        <v>42037</v>
      </c>
      <c r="J477" s="788">
        <v>41866</v>
      </c>
      <c r="L477" s="787">
        <v>0.2</v>
      </c>
      <c r="M477" s="787">
        <v>20</v>
      </c>
      <c r="N477" s="787">
        <v>0.22</v>
      </c>
      <c r="O477" s="788">
        <v>41955</v>
      </c>
    </row>
    <row r="478" spans="1:15" x14ac:dyDescent="0.25">
      <c r="A478" s="786" t="s">
        <v>1603</v>
      </c>
      <c r="B478" s="787">
        <v>4</v>
      </c>
      <c r="C478" s="787" t="s">
        <v>1604</v>
      </c>
      <c r="D478" s="787">
        <v>0.06</v>
      </c>
      <c r="E478" s="787">
        <v>0.06</v>
      </c>
      <c r="F478" s="788">
        <v>37636</v>
      </c>
      <c r="G478" s="788">
        <v>37636</v>
      </c>
      <c r="H478" s="787">
        <v>1</v>
      </c>
      <c r="I478" s="788">
        <v>42074</v>
      </c>
      <c r="J478" s="788">
        <v>39155</v>
      </c>
      <c r="L478" s="787">
        <v>0.06</v>
      </c>
      <c r="M478" s="787">
        <v>20</v>
      </c>
      <c r="N478" s="787">
        <v>0.06</v>
      </c>
      <c r="O478" s="788">
        <v>41955</v>
      </c>
    </row>
    <row r="479" spans="1:15" x14ac:dyDescent="0.25">
      <c r="A479" s="786" t="s">
        <v>1605</v>
      </c>
      <c r="B479" s="787">
        <v>4</v>
      </c>
      <c r="C479" s="787" t="s">
        <v>1604</v>
      </c>
      <c r="D479" s="787">
        <v>0.04</v>
      </c>
      <c r="E479" s="787">
        <v>0.04</v>
      </c>
      <c r="F479" s="788">
        <v>37636</v>
      </c>
      <c r="G479" s="788">
        <v>37636</v>
      </c>
      <c r="H479" s="787">
        <v>1</v>
      </c>
      <c r="I479" s="788">
        <v>41890</v>
      </c>
      <c r="J479" s="788">
        <v>37636</v>
      </c>
      <c r="L479" s="787">
        <v>0.04</v>
      </c>
      <c r="M479" s="787">
        <v>20</v>
      </c>
      <c r="N479" s="787">
        <v>0.04</v>
      </c>
      <c r="O479" s="788">
        <v>41955</v>
      </c>
    </row>
    <row r="480" spans="1:15" x14ac:dyDescent="0.25">
      <c r="A480" s="786" t="s">
        <v>1606</v>
      </c>
      <c r="B480" s="787">
        <v>4</v>
      </c>
      <c r="C480" s="787" t="s">
        <v>1607</v>
      </c>
      <c r="D480" s="787">
        <v>0</v>
      </c>
      <c r="E480" s="787">
        <v>0</v>
      </c>
      <c r="H480" s="787">
        <v>1</v>
      </c>
      <c r="L480" s="787">
        <v>0</v>
      </c>
      <c r="M480" s="787">
        <v>20</v>
      </c>
      <c r="N480" s="787">
        <v>0</v>
      </c>
      <c r="O480" s="788">
        <v>40824</v>
      </c>
    </row>
    <row r="481" spans="1:15" x14ac:dyDescent="0.25">
      <c r="A481" s="786" t="s">
        <v>1608</v>
      </c>
      <c r="B481" s="787">
        <v>4</v>
      </c>
      <c r="C481" s="787" t="s">
        <v>1609</v>
      </c>
      <c r="D481" s="787">
        <v>0</v>
      </c>
      <c r="E481" s="787">
        <v>0</v>
      </c>
      <c r="G481" s="788">
        <v>38414</v>
      </c>
      <c r="H481" s="787">
        <v>1</v>
      </c>
      <c r="I481" s="788">
        <v>41886</v>
      </c>
      <c r="J481" s="788">
        <v>39155</v>
      </c>
      <c r="L481" s="787">
        <v>0.01</v>
      </c>
      <c r="M481" s="787">
        <v>20</v>
      </c>
      <c r="N481" s="787">
        <v>0.01</v>
      </c>
      <c r="O481" s="788">
        <v>41955</v>
      </c>
    </row>
    <row r="482" spans="1:15" x14ac:dyDescent="0.25">
      <c r="A482" s="786" t="s">
        <v>1610</v>
      </c>
      <c r="B482" s="787">
        <v>4</v>
      </c>
      <c r="C482" s="787" t="s">
        <v>1611</v>
      </c>
      <c r="D482" s="787">
        <v>0</v>
      </c>
      <c r="E482" s="787">
        <v>0</v>
      </c>
      <c r="G482" s="788">
        <v>38582</v>
      </c>
      <c r="H482" s="787">
        <v>1</v>
      </c>
      <c r="I482" s="788">
        <v>42163</v>
      </c>
      <c r="J482" s="788">
        <v>39155</v>
      </c>
      <c r="L482" s="787">
        <v>0.01</v>
      </c>
      <c r="M482" s="787">
        <v>20</v>
      </c>
      <c r="N482" s="787">
        <v>0.01</v>
      </c>
      <c r="O482" s="788">
        <v>42162</v>
      </c>
    </row>
    <row r="483" spans="1:15" x14ac:dyDescent="0.25">
      <c r="A483" s="786" t="s">
        <v>1612</v>
      </c>
      <c r="B483" s="787">
        <v>4</v>
      </c>
      <c r="C483" s="787" t="s">
        <v>1613</v>
      </c>
      <c r="D483" s="787">
        <v>0.02</v>
      </c>
      <c r="E483" s="787">
        <v>0.02</v>
      </c>
      <c r="F483" s="788">
        <v>38450</v>
      </c>
      <c r="G483" s="788">
        <v>38450</v>
      </c>
      <c r="H483" s="787">
        <v>1</v>
      </c>
      <c r="I483" s="788">
        <v>42165</v>
      </c>
      <c r="J483" s="788">
        <v>39155</v>
      </c>
      <c r="L483" s="787">
        <v>0.02</v>
      </c>
      <c r="M483" s="787">
        <v>20</v>
      </c>
      <c r="N483" s="787">
        <v>0.02</v>
      </c>
      <c r="O483" s="788">
        <v>42164</v>
      </c>
    </row>
    <row r="484" spans="1:15" x14ac:dyDescent="0.25">
      <c r="A484" s="786" t="s">
        <v>1614</v>
      </c>
      <c r="B484" s="787">
        <v>4</v>
      </c>
      <c r="C484" s="787" t="s">
        <v>1615</v>
      </c>
      <c r="D484" s="787">
        <v>0.04</v>
      </c>
      <c r="E484" s="787">
        <v>0.04</v>
      </c>
      <c r="F484" s="788">
        <v>38414</v>
      </c>
      <c r="G484" s="788">
        <v>38621</v>
      </c>
      <c r="H484" s="787">
        <v>1</v>
      </c>
      <c r="I484" s="788">
        <v>42069</v>
      </c>
      <c r="J484" s="788">
        <v>39155</v>
      </c>
      <c r="L484" s="787">
        <v>7.0000000000000007E-2</v>
      </c>
      <c r="M484" s="787">
        <v>20</v>
      </c>
      <c r="N484" s="787">
        <v>0.08</v>
      </c>
      <c r="O484" s="788">
        <v>41955</v>
      </c>
    </row>
    <row r="485" spans="1:15" x14ac:dyDescent="0.25">
      <c r="A485" s="786" t="s">
        <v>678</v>
      </c>
      <c r="B485" s="787">
        <v>4</v>
      </c>
      <c r="C485" s="787" t="s">
        <v>1616</v>
      </c>
      <c r="D485" s="787">
        <v>0.02</v>
      </c>
      <c r="E485" s="787">
        <v>0.02</v>
      </c>
      <c r="F485" s="788">
        <v>41928</v>
      </c>
      <c r="G485" s="788">
        <v>41929</v>
      </c>
      <c r="H485" s="787">
        <v>1</v>
      </c>
      <c r="I485" s="788">
        <v>42144</v>
      </c>
      <c r="J485" s="788">
        <v>41929</v>
      </c>
      <c r="L485" s="787">
        <v>0.02</v>
      </c>
      <c r="M485" s="787">
        <v>20</v>
      </c>
      <c r="N485" s="787">
        <v>0.02</v>
      </c>
      <c r="O485" s="788">
        <v>42164</v>
      </c>
    </row>
    <row r="486" spans="1:15" x14ac:dyDescent="0.25">
      <c r="A486" s="786" t="s">
        <v>679</v>
      </c>
      <c r="B486" s="787">
        <v>4</v>
      </c>
      <c r="C486" s="787" t="s">
        <v>1617</v>
      </c>
      <c r="D486" s="787">
        <v>0</v>
      </c>
      <c r="E486" s="787">
        <v>0</v>
      </c>
      <c r="G486" s="788">
        <v>38551</v>
      </c>
      <c r="H486" s="787">
        <v>1</v>
      </c>
      <c r="I486" s="788">
        <v>42166</v>
      </c>
      <c r="J486" s="788">
        <v>39155</v>
      </c>
      <c r="L486" s="787">
        <v>0.01</v>
      </c>
      <c r="M486" s="787">
        <v>20</v>
      </c>
      <c r="N486" s="787">
        <v>0.01</v>
      </c>
      <c r="O486" s="788">
        <v>42164</v>
      </c>
    </row>
    <row r="487" spans="1:15" x14ac:dyDescent="0.25">
      <c r="A487" s="786" t="s">
        <v>616</v>
      </c>
      <c r="B487" s="787">
        <v>4</v>
      </c>
      <c r="C487" s="787" t="s">
        <v>1618</v>
      </c>
      <c r="D487" s="787">
        <v>0</v>
      </c>
      <c r="E487" s="787">
        <v>0</v>
      </c>
      <c r="G487" s="788">
        <v>38624</v>
      </c>
      <c r="H487" s="787">
        <v>1</v>
      </c>
      <c r="I487" s="788">
        <v>42166</v>
      </c>
      <c r="J487" s="788">
        <v>39155</v>
      </c>
      <c r="K487" s="788">
        <v>41865</v>
      </c>
      <c r="L487" s="787">
        <v>0.05</v>
      </c>
      <c r="M487" s="787">
        <v>20</v>
      </c>
      <c r="N487" s="787">
        <v>0.05</v>
      </c>
      <c r="O487" s="788">
        <v>42163</v>
      </c>
    </row>
    <row r="488" spans="1:15" x14ac:dyDescent="0.25">
      <c r="A488" s="786" t="s">
        <v>1619</v>
      </c>
      <c r="B488" s="787">
        <v>4</v>
      </c>
      <c r="C488" s="787" t="s">
        <v>1620</v>
      </c>
      <c r="D488" s="787">
        <v>0.01</v>
      </c>
      <c r="E488" s="787">
        <v>0.01</v>
      </c>
      <c r="F488" s="788">
        <v>38047</v>
      </c>
      <c r="G488" s="788">
        <v>38538</v>
      </c>
      <c r="H488" s="787">
        <v>1</v>
      </c>
      <c r="I488" s="788">
        <v>42166</v>
      </c>
      <c r="J488" s="788">
        <v>39155</v>
      </c>
      <c r="L488" s="787">
        <v>0.01</v>
      </c>
      <c r="M488" s="787">
        <v>20</v>
      </c>
      <c r="N488" s="787">
        <v>0.01</v>
      </c>
      <c r="O488" s="788">
        <v>42164</v>
      </c>
    </row>
    <row r="489" spans="1:15" x14ac:dyDescent="0.25">
      <c r="A489" s="786" t="s">
        <v>1621</v>
      </c>
      <c r="B489" s="787">
        <v>4</v>
      </c>
      <c r="C489" s="787" t="s">
        <v>1622</v>
      </c>
      <c r="D489" s="787">
        <v>0.01</v>
      </c>
      <c r="E489" s="787">
        <v>0.03</v>
      </c>
      <c r="F489" s="788">
        <v>38414</v>
      </c>
      <c r="G489" s="788">
        <v>38602</v>
      </c>
      <c r="H489" s="787">
        <v>1</v>
      </c>
      <c r="I489" s="788">
        <v>42165</v>
      </c>
      <c r="J489" s="788">
        <v>39155</v>
      </c>
      <c r="L489" s="787">
        <v>0.02</v>
      </c>
      <c r="M489" s="787">
        <v>20</v>
      </c>
      <c r="N489" s="787">
        <v>0.02</v>
      </c>
      <c r="O489" s="788">
        <v>42158</v>
      </c>
    </row>
    <row r="490" spans="1:15" x14ac:dyDescent="0.25">
      <c r="A490" s="786" t="s">
        <v>1623</v>
      </c>
      <c r="B490" s="787">
        <v>4</v>
      </c>
      <c r="C490" s="787" t="s">
        <v>1624</v>
      </c>
      <c r="D490" s="787">
        <v>0.02</v>
      </c>
      <c r="E490" s="787">
        <v>7.0000000000000007E-2</v>
      </c>
      <c r="F490" s="788">
        <v>38156</v>
      </c>
      <c r="G490" s="788">
        <v>38569</v>
      </c>
      <c r="H490" s="787">
        <v>1</v>
      </c>
      <c r="I490" s="788">
        <v>42163</v>
      </c>
      <c r="J490" s="788">
        <v>39155</v>
      </c>
      <c r="L490" s="787">
        <v>7.0000000000000007E-2</v>
      </c>
      <c r="M490" s="787">
        <v>20</v>
      </c>
      <c r="N490" s="787">
        <v>0.08</v>
      </c>
      <c r="O490" s="788">
        <v>42163</v>
      </c>
    </row>
    <row r="491" spans="1:15" x14ac:dyDescent="0.25">
      <c r="A491" s="786" t="s">
        <v>1625</v>
      </c>
      <c r="B491" s="787">
        <v>4</v>
      </c>
      <c r="C491" s="787" t="s">
        <v>1626</v>
      </c>
      <c r="D491" s="787">
        <v>0.03</v>
      </c>
      <c r="E491" s="787">
        <v>0.03</v>
      </c>
      <c r="F491" s="788">
        <v>38447</v>
      </c>
      <c r="G491" s="788">
        <v>38447</v>
      </c>
      <c r="H491" s="787">
        <v>1</v>
      </c>
      <c r="I491" s="788">
        <v>42166</v>
      </c>
      <c r="J491" s="788">
        <v>39155</v>
      </c>
      <c r="L491" s="787">
        <v>0.03</v>
      </c>
      <c r="M491" s="787">
        <v>20</v>
      </c>
      <c r="N491" s="787">
        <v>0.03</v>
      </c>
      <c r="O491" s="788">
        <v>42146</v>
      </c>
    </row>
    <row r="492" spans="1:15" x14ac:dyDescent="0.25">
      <c r="A492" s="786" t="s">
        <v>1627</v>
      </c>
      <c r="B492" s="787">
        <v>4</v>
      </c>
      <c r="C492" s="787" t="s">
        <v>1611</v>
      </c>
      <c r="D492" s="787">
        <v>0.05</v>
      </c>
      <c r="E492" s="787">
        <v>0.05</v>
      </c>
      <c r="F492" s="788">
        <v>38047</v>
      </c>
      <c r="G492" s="788">
        <v>38364</v>
      </c>
      <c r="H492" s="787">
        <v>1</v>
      </c>
      <c r="I492" s="788">
        <v>42142</v>
      </c>
      <c r="J492" s="788">
        <v>39155</v>
      </c>
      <c r="L492" s="787">
        <v>0.05</v>
      </c>
      <c r="M492" s="787">
        <v>20</v>
      </c>
      <c r="N492" s="787">
        <v>0.05</v>
      </c>
      <c r="O492" s="788">
        <v>42164</v>
      </c>
    </row>
    <row r="493" spans="1:15" x14ac:dyDescent="0.25">
      <c r="A493" s="786" t="s">
        <v>98</v>
      </c>
      <c r="B493" s="787">
        <v>4</v>
      </c>
      <c r="C493" s="787" t="s">
        <v>1628</v>
      </c>
      <c r="D493" s="787">
        <v>0.01</v>
      </c>
      <c r="E493" s="787">
        <v>0.02</v>
      </c>
      <c r="F493" s="788">
        <v>37648</v>
      </c>
      <c r="G493" s="788">
        <v>38566</v>
      </c>
      <c r="H493" s="787">
        <v>1</v>
      </c>
      <c r="I493" s="788">
        <v>42166</v>
      </c>
      <c r="J493" s="788">
        <v>39155</v>
      </c>
      <c r="L493" s="787">
        <v>0.01</v>
      </c>
      <c r="M493" s="787">
        <v>20</v>
      </c>
      <c r="N493" s="787">
        <v>0.01</v>
      </c>
      <c r="O493" s="788">
        <v>42164</v>
      </c>
    </row>
    <row r="494" spans="1:15" x14ac:dyDescent="0.25">
      <c r="A494" s="786" t="s">
        <v>1629</v>
      </c>
      <c r="B494" s="787">
        <v>4</v>
      </c>
      <c r="C494" s="787" t="s">
        <v>1630</v>
      </c>
      <c r="D494" s="787">
        <v>0.01</v>
      </c>
      <c r="E494" s="787">
        <v>0.01</v>
      </c>
      <c r="F494" s="788">
        <v>38131</v>
      </c>
      <c r="G494" s="788">
        <v>38646</v>
      </c>
      <c r="H494" s="787">
        <v>1</v>
      </c>
      <c r="I494" s="788">
        <v>42166</v>
      </c>
      <c r="J494" s="788">
        <v>39155</v>
      </c>
      <c r="L494" s="787">
        <v>0.01</v>
      </c>
      <c r="M494" s="787">
        <v>20</v>
      </c>
      <c r="N494" s="787">
        <v>0.01</v>
      </c>
      <c r="O494" s="788">
        <v>42164</v>
      </c>
    </row>
    <row r="495" spans="1:15" x14ac:dyDescent="0.25">
      <c r="A495" s="786" t="s">
        <v>1631</v>
      </c>
      <c r="B495" s="787">
        <v>4</v>
      </c>
      <c r="C495" s="787" t="s">
        <v>1611</v>
      </c>
      <c r="D495" s="787">
        <v>0.02</v>
      </c>
      <c r="E495" s="787">
        <v>0.02</v>
      </c>
      <c r="F495" s="788">
        <v>37636</v>
      </c>
      <c r="G495" s="788">
        <v>38364</v>
      </c>
      <c r="H495" s="787">
        <v>1</v>
      </c>
      <c r="I495" s="788">
        <v>42159</v>
      </c>
      <c r="J495" s="788">
        <v>39155</v>
      </c>
      <c r="L495" s="787">
        <v>0.02</v>
      </c>
      <c r="M495" s="787">
        <v>20</v>
      </c>
      <c r="N495" s="787">
        <v>0.02</v>
      </c>
      <c r="O495" s="788">
        <v>42163</v>
      </c>
    </row>
    <row r="496" spans="1:15" x14ac:dyDescent="0.25">
      <c r="A496" s="786" t="s">
        <v>1632</v>
      </c>
      <c r="B496" s="787">
        <v>4</v>
      </c>
      <c r="C496" s="787" t="s">
        <v>1611</v>
      </c>
      <c r="D496" s="787">
        <v>0</v>
      </c>
      <c r="E496" s="787">
        <v>0</v>
      </c>
      <c r="H496" s="787">
        <v>1</v>
      </c>
      <c r="I496" s="788">
        <v>42164</v>
      </c>
      <c r="L496" s="787">
        <v>0</v>
      </c>
      <c r="M496" s="787">
        <v>20</v>
      </c>
      <c r="N496" s="787">
        <v>0.01</v>
      </c>
      <c r="O496" s="788">
        <v>42152</v>
      </c>
    </row>
    <row r="497" spans="1:15" x14ac:dyDescent="0.25">
      <c r="A497" s="786" t="s">
        <v>617</v>
      </c>
      <c r="B497" s="787">
        <v>4</v>
      </c>
      <c r="C497" s="787" t="s">
        <v>1611</v>
      </c>
      <c r="D497" s="787">
        <v>0.18</v>
      </c>
      <c r="E497" s="787">
        <v>0.18</v>
      </c>
      <c r="F497" s="788">
        <v>37636</v>
      </c>
      <c r="G497" s="788">
        <v>38364</v>
      </c>
      <c r="H497" s="787">
        <v>1</v>
      </c>
      <c r="I497" s="788">
        <v>42166</v>
      </c>
      <c r="J497" s="788">
        <v>39155</v>
      </c>
      <c r="L497" s="787">
        <v>0.2</v>
      </c>
      <c r="M497" s="787">
        <v>20</v>
      </c>
      <c r="N497" s="787">
        <v>0.22</v>
      </c>
      <c r="O497" s="788">
        <v>42162</v>
      </c>
    </row>
    <row r="498" spans="1:15" x14ac:dyDescent="0.25">
      <c r="A498" s="786" t="s">
        <v>1633</v>
      </c>
      <c r="B498" s="787">
        <v>4</v>
      </c>
      <c r="C498" s="787" t="s">
        <v>1611</v>
      </c>
      <c r="D498" s="787">
        <v>0.02</v>
      </c>
      <c r="E498" s="787">
        <v>0.02</v>
      </c>
      <c r="F498" s="788">
        <v>38456</v>
      </c>
      <c r="G498" s="788">
        <v>38456</v>
      </c>
      <c r="H498" s="787">
        <v>1</v>
      </c>
      <c r="I498" s="788">
        <v>42160</v>
      </c>
      <c r="J498" s="788">
        <v>39155</v>
      </c>
      <c r="K498" s="788">
        <v>41869</v>
      </c>
      <c r="L498" s="787">
        <v>0.02</v>
      </c>
      <c r="M498" s="787">
        <v>20</v>
      </c>
      <c r="N498" s="787">
        <v>0.02</v>
      </c>
      <c r="O498" s="788">
        <v>42163</v>
      </c>
    </row>
    <row r="499" spans="1:15" x14ac:dyDescent="0.25">
      <c r="A499" s="786" t="s">
        <v>1634</v>
      </c>
      <c r="B499" s="787">
        <v>4</v>
      </c>
      <c r="C499" s="787" t="s">
        <v>1611</v>
      </c>
      <c r="D499" s="787">
        <v>0.03</v>
      </c>
      <c r="E499" s="787">
        <v>0.03</v>
      </c>
      <c r="F499" s="788">
        <v>38047</v>
      </c>
      <c r="G499" s="788">
        <v>38364</v>
      </c>
      <c r="H499" s="787">
        <v>1</v>
      </c>
      <c r="I499" s="788">
        <v>41717</v>
      </c>
      <c r="J499" s="788">
        <v>39155</v>
      </c>
      <c r="L499" s="787">
        <v>0.03</v>
      </c>
      <c r="M499" s="787">
        <v>20</v>
      </c>
      <c r="N499" s="787">
        <v>0.03</v>
      </c>
      <c r="O499" s="788">
        <v>41955</v>
      </c>
    </row>
    <row r="500" spans="1:15" x14ac:dyDescent="0.25">
      <c r="A500" s="786" t="s">
        <v>1635</v>
      </c>
      <c r="B500" s="787">
        <v>4</v>
      </c>
      <c r="C500" s="787" t="s">
        <v>1611</v>
      </c>
      <c r="D500" s="787">
        <v>7.0000000000000007E-2</v>
      </c>
      <c r="E500" s="787">
        <v>7.0000000000000007E-2</v>
      </c>
      <c r="F500" s="788">
        <v>38222</v>
      </c>
      <c r="G500" s="788">
        <v>38222</v>
      </c>
      <c r="H500" s="787">
        <v>1</v>
      </c>
      <c r="I500" s="788">
        <v>41942</v>
      </c>
      <c r="J500" s="788">
        <v>39155</v>
      </c>
      <c r="K500" s="788">
        <v>41869</v>
      </c>
      <c r="L500" s="787">
        <v>7.0000000000000007E-2</v>
      </c>
      <c r="M500" s="787">
        <v>20</v>
      </c>
      <c r="N500" s="787">
        <v>0.08</v>
      </c>
      <c r="O500" s="788">
        <v>41955</v>
      </c>
    </row>
    <row r="501" spans="1:15" x14ac:dyDescent="0.25">
      <c r="A501" s="786" t="s">
        <v>1636</v>
      </c>
      <c r="B501" s="787">
        <v>4</v>
      </c>
      <c r="C501" s="787" t="s">
        <v>1611</v>
      </c>
      <c r="D501" s="787">
        <v>0</v>
      </c>
      <c r="E501" s="787">
        <v>0</v>
      </c>
      <c r="H501" s="787">
        <v>1</v>
      </c>
      <c r="I501" s="788">
        <v>42102</v>
      </c>
      <c r="L501" s="787">
        <v>0.1</v>
      </c>
      <c r="M501" s="787">
        <v>20</v>
      </c>
      <c r="N501" s="787">
        <v>0.11</v>
      </c>
      <c r="O501" s="788">
        <v>41995</v>
      </c>
    </row>
    <row r="502" spans="1:15" x14ac:dyDescent="0.25">
      <c r="A502" s="786" t="s">
        <v>1637</v>
      </c>
      <c r="B502" s="787">
        <v>4</v>
      </c>
      <c r="C502" s="787" t="s">
        <v>1611</v>
      </c>
      <c r="D502" s="787">
        <v>0</v>
      </c>
      <c r="E502" s="787">
        <v>0</v>
      </c>
      <c r="H502" s="787">
        <v>1</v>
      </c>
      <c r="L502" s="787">
        <v>0.01</v>
      </c>
      <c r="M502" s="787">
        <v>20</v>
      </c>
      <c r="N502" s="787">
        <v>0.01</v>
      </c>
      <c r="O502" s="788">
        <v>41955</v>
      </c>
    </row>
    <row r="503" spans="1:15" x14ac:dyDescent="0.25">
      <c r="A503" s="786" t="s">
        <v>581</v>
      </c>
      <c r="B503" s="787">
        <v>4</v>
      </c>
      <c r="C503" s="787" t="s">
        <v>1638</v>
      </c>
      <c r="D503" s="787">
        <v>0.03</v>
      </c>
      <c r="E503" s="787">
        <v>0.04</v>
      </c>
      <c r="F503" s="788">
        <v>38450</v>
      </c>
      <c r="G503" s="788">
        <v>38657</v>
      </c>
      <c r="H503" s="787">
        <v>1</v>
      </c>
      <c r="I503" s="788">
        <v>42166</v>
      </c>
      <c r="J503" s="788">
        <v>39155</v>
      </c>
      <c r="K503" s="788">
        <v>41869</v>
      </c>
      <c r="L503" s="787">
        <v>0.04</v>
      </c>
      <c r="M503" s="787">
        <v>20</v>
      </c>
      <c r="N503" s="787">
        <v>0.04</v>
      </c>
      <c r="O503" s="788">
        <v>42163</v>
      </c>
    </row>
    <row r="504" spans="1:15" x14ac:dyDescent="0.25">
      <c r="A504" s="786" t="s">
        <v>843</v>
      </c>
      <c r="B504" s="787">
        <v>4</v>
      </c>
      <c r="C504" s="787" t="s">
        <v>1639</v>
      </c>
      <c r="D504" s="787">
        <v>0</v>
      </c>
      <c r="E504" s="787">
        <v>0</v>
      </c>
      <c r="G504" s="788">
        <v>38646</v>
      </c>
      <c r="H504" s="787">
        <v>1</v>
      </c>
      <c r="I504" s="788">
        <v>42163</v>
      </c>
      <c r="J504" s="788">
        <v>39155</v>
      </c>
      <c r="L504" s="787">
        <v>0.01</v>
      </c>
      <c r="M504" s="787">
        <v>20</v>
      </c>
      <c r="N504" s="787">
        <v>0.01</v>
      </c>
      <c r="O504" s="788">
        <v>41955</v>
      </c>
    </row>
    <row r="505" spans="1:15" x14ac:dyDescent="0.25">
      <c r="A505" s="786" t="s">
        <v>1640</v>
      </c>
      <c r="B505" s="787">
        <v>4</v>
      </c>
      <c r="C505" s="787" t="s">
        <v>1611</v>
      </c>
      <c r="D505" s="787">
        <v>0.03</v>
      </c>
      <c r="E505" s="787">
        <v>0.2</v>
      </c>
      <c r="F505" s="788">
        <v>37636</v>
      </c>
      <c r="G505" s="788">
        <v>38449</v>
      </c>
      <c r="H505" s="787">
        <v>1</v>
      </c>
      <c r="I505" s="788">
        <v>42118</v>
      </c>
      <c r="J505" s="788">
        <v>39155</v>
      </c>
      <c r="L505" s="787">
        <v>0.2</v>
      </c>
      <c r="M505" s="787">
        <v>20</v>
      </c>
      <c r="N505" s="787">
        <v>0.22</v>
      </c>
      <c r="O505" s="788">
        <v>42163</v>
      </c>
    </row>
    <row r="506" spans="1:15" x14ac:dyDescent="0.25">
      <c r="A506" s="786" t="s">
        <v>556</v>
      </c>
      <c r="B506" s="787">
        <v>4</v>
      </c>
      <c r="C506" s="787" t="s">
        <v>1641</v>
      </c>
      <c r="D506" s="787">
        <v>0.02</v>
      </c>
      <c r="E506" s="787">
        <v>0.02</v>
      </c>
      <c r="F506" s="788">
        <v>38076</v>
      </c>
      <c r="G506" s="788">
        <v>38646</v>
      </c>
      <c r="H506" s="787">
        <v>1</v>
      </c>
      <c r="I506" s="788">
        <v>42166</v>
      </c>
      <c r="J506" s="788">
        <v>39155</v>
      </c>
      <c r="L506" s="787">
        <v>0.02</v>
      </c>
      <c r="M506" s="787">
        <v>20</v>
      </c>
      <c r="N506" s="787">
        <v>0.02</v>
      </c>
      <c r="O506" s="788">
        <v>42164</v>
      </c>
    </row>
    <row r="507" spans="1:15" x14ac:dyDescent="0.25">
      <c r="A507" s="786" t="s">
        <v>1642</v>
      </c>
      <c r="B507" s="787">
        <v>4</v>
      </c>
      <c r="C507" s="787" t="s">
        <v>1611</v>
      </c>
      <c r="D507" s="787">
        <v>0.01</v>
      </c>
      <c r="E507" s="787">
        <v>0.01</v>
      </c>
      <c r="F507" s="788">
        <v>37636</v>
      </c>
      <c r="G507" s="788">
        <v>37636</v>
      </c>
      <c r="H507" s="787">
        <v>1</v>
      </c>
      <c r="I507" s="788">
        <v>42076</v>
      </c>
      <c r="J507" s="788">
        <v>39155</v>
      </c>
      <c r="L507" s="787">
        <v>0.01</v>
      </c>
      <c r="M507" s="787">
        <v>20</v>
      </c>
      <c r="N507" s="787">
        <v>0.01</v>
      </c>
      <c r="O507" s="788">
        <v>41955</v>
      </c>
    </row>
    <row r="508" spans="1:15" x14ac:dyDescent="0.25">
      <c r="A508" s="786" t="s">
        <v>680</v>
      </c>
      <c r="B508" s="787">
        <v>4</v>
      </c>
      <c r="C508" s="787" t="s">
        <v>1611</v>
      </c>
      <c r="D508" s="787">
        <v>0.02</v>
      </c>
      <c r="E508" s="787">
        <v>0.02</v>
      </c>
      <c r="F508" s="788">
        <v>38047</v>
      </c>
      <c r="G508" s="788">
        <v>38364</v>
      </c>
      <c r="H508" s="787">
        <v>1</v>
      </c>
      <c r="I508" s="788">
        <v>41977</v>
      </c>
      <c r="J508" s="788">
        <v>39155</v>
      </c>
      <c r="L508" s="787">
        <v>0.02</v>
      </c>
      <c r="M508" s="787">
        <v>20</v>
      </c>
      <c r="N508" s="787">
        <v>0.02</v>
      </c>
      <c r="O508" s="788">
        <v>42072</v>
      </c>
    </row>
    <row r="509" spans="1:15" x14ac:dyDescent="0.25">
      <c r="A509" s="786" t="s">
        <v>694</v>
      </c>
      <c r="B509" s="787">
        <v>4</v>
      </c>
      <c r="C509" s="787" t="s">
        <v>1611</v>
      </c>
      <c r="D509" s="787">
        <v>7.0000000000000007E-2</v>
      </c>
      <c r="E509" s="787">
        <v>7.0000000000000007E-2</v>
      </c>
      <c r="F509" s="788">
        <v>37636</v>
      </c>
      <c r="G509" s="788">
        <v>38364</v>
      </c>
      <c r="H509" s="787">
        <v>1</v>
      </c>
      <c r="I509" s="788">
        <v>42027</v>
      </c>
      <c r="J509" s="788">
        <v>39155</v>
      </c>
      <c r="L509" s="787">
        <v>7.0000000000000007E-2</v>
      </c>
      <c r="M509" s="787">
        <v>20</v>
      </c>
      <c r="N509" s="787">
        <v>0.08</v>
      </c>
      <c r="O509" s="788">
        <v>42072</v>
      </c>
    </row>
    <row r="510" spans="1:15" x14ac:dyDescent="0.25">
      <c r="A510" s="786" t="s">
        <v>557</v>
      </c>
      <c r="B510" s="787">
        <v>4</v>
      </c>
      <c r="C510" s="787" t="s">
        <v>1611</v>
      </c>
      <c r="D510" s="787">
        <v>0.06</v>
      </c>
      <c r="E510" s="787">
        <v>0.06</v>
      </c>
      <c r="F510" s="788">
        <v>38450</v>
      </c>
      <c r="G510" s="788">
        <v>38646</v>
      </c>
      <c r="H510" s="787">
        <v>1</v>
      </c>
      <c r="I510" s="788">
        <v>42146</v>
      </c>
      <c r="J510" s="788">
        <v>39155</v>
      </c>
      <c r="L510" s="787">
        <v>0.08</v>
      </c>
      <c r="M510" s="787">
        <v>20</v>
      </c>
      <c r="N510" s="787">
        <v>0.09</v>
      </c>
      <c r="O510" s="788">
        <v>42158</v>
      </c>
    </row>
    <row r="511" spans="1:15" x14ac:dyDescent="0.25">
      <c r="A511" s="786" t="s">
        <v>582</v>
      </c>
      <c r="B511" s="787">
        <v>4</v>
      </c>
      <c r="C511" s="787" t="s">
        <v>1643</v>
      </c>
      <c r="D511" s="787">
        <v>0.04</v>
      </c>
      <c r="E511" s="787">
        <v>0.04</v>
      </c>
      <c r="F511" s="788">
        <v>38222</v>
      </c>
      <c r="G511" s="788">
        <v>38222</v>
      </c>
      <c r="H511" s="787">
        <v>1</v>
      </c>
      <c r="I511" s="788">
        <v>42146</v>
      </c>
      <c r="J511" s="788">
        <v>39155</v>
      </c>
      <c r="K511" s="788">
        <v>41869</v>
      </c>
      <c r="L511" s="787">
        <v>0.04</v>
      </c>
      <c r="M511" s="787">
        <v>20</v>
      </c>
      <c r="N511" s="787">
        <v>0.04</v>
      </c>
      <c r="O511" s="788">
        <v>42158</v>
      </c>
    </row>
    <row r="512" spans="1:15" x14ac:dyDescent="0.25">
      <c r="A512" s="786" t="s">
        <v>1644</v>
      </c>
      <c r="B512" s="787">
        <v>4</v>
      </c>
      <c r="C512" s="787" t="s">
        <v>1645</v>
      </c>
      <c r="D512" s="787">
        <v>0</v>
      </c>
      <c r="E512" s="787">
        <v>0</v>
      </c>
      <c r="H512" s="787">
        <v>1</v>
      </c>
      <c r="I512" s="788">
        <v>41884</v>
      </c>
      <c r="K512" s="788">
        <v>41869</v>
      </c>
      <c r="L512" s="787">
        <v>0.01</v>
      </c>
      <c r="M512" s="787">
        <v>20</v>
      </c>
      <c r="N512" s="787">
        <v>0.01</v>
      </c>
      <c r="O512" s="788">
        <v>41955</v>
      </c>
    </row>
    <row r="513" spans="1:15" x14ac:dyDescent="0.25">
      <c r="A513" s="786" t="s">
        <v>1646</v>
      </c>
      <c r="B513" s="787">
        <v>4</v>
      </c>
      <c r="C513" s="787" t="s">
        <v>1647</v>
      </c>
      <c r="D513" s="787">
        <v>0</v>
      </c>
      <c r="E513" s="787">
        <v>0</v>
      </c>
      <c r="H513" s="787">
        <v>6</v>
      </c>
      <c r="K513" s="788">
        <v>42117</v>
      </c>
      <c r="L513" s="787">
        <v>62</v>
      </c>
      <c r="M513" s="787">
        <v>20</v>
      </c>
      <c r="N513" s="787">
        <v>0</v>
      </c>
      <c r="O513" s="788">
        <v>40824</v>
      </c>
    </row>
    <row r="514" spans="1:15" x14ac:dyDescent="0.25">
      <c r="A514" s="786" t="s">
        <v>1648</v>
      </c>
      <c r="B514" s="787">
        <v>4</v>
      </c>
      <c r="C514" s="787" t="s">
        <v>1649</v>
      </c>
      <c r="D514" s="787">
        <v>1.53</v>
      </c>
      <c r="E514" s="787">
        <v>1.83</v>
      </c>
      <c r="F514" s="788">
        <v>39092</v>
      </c>
      <c r="G514" s="788">
        <v>42163</v>
      </c>
      <c r="H514" s="787">
        <v>1</v>
      </c>
      <c r="I514" s="788">
        <v>42166</v>
      </c>
      <c r="J514" s="788">
        <v>42163</v>
      </c>
      <c r="L514" s="787">
        <v>1.67</v>
      </c>
      <c r="M514" s="787">
        <v>20</v>
      </c>
      <c r="N514" s="787">
        <v>1.8</v>
      </c>
      <c r="O514" s="788">
        <v>42163</v>
      </c>
    </row>
    <row r="515" spans="1:15" x14ac:dyDescent="0.25">
      <c r="A515" s="786" t="s">
        <v>577</v>
      </c>
      <c r="B515" s="787">
        <v>4</v>
      </c>
      <c r="C515" s="787" t="s">
        <v>1650</v>
      </c>
      <c r="D515" s="787">
        <v>1.36</v>
      </c>
      <c r="E515" s="787">
        <v>1.67</v>
      </c>
      <c r="F515" s="788">
        <v>39101</v>
      </c>
      <c r="G515" s="788">
        <v>42129</v>
      </c>
      <c r="H515" s="787">
        <v>1</v>
      </c>
      <c r="I515" s="788">
        <v>42132</v>
      </c>
      <c r="J515" s="788">
        <v>42121</v>
      </c>
      <c r="L515" s="787">
        <v>2.2200000000000002</v>
      </c>
      <c r="M515" s="787">
        <v>20</v>
      </c>
      <c r="N515" s="787">
        <v>2.39</v>
      </c>
      <c r="O515" s="788">
        <v>42158</v>
      </c>
    </row>
    <row r="516" spans="1:15" x14ac:dyDescent="0.25">
      <c r="A516" s="786" t="s">
        <v>1651</v>
      </c>
      <c r="B516" s="787">
        <v>4</v>
      </c>
      <c r="C516" s="787" t="s">
        <v>1652</v>
      </c>
      <c r="D516" s="787">
        <v>0.85</v>
      </c>
      <c r="E516" s="787">
        <v>1.59</v>
      </c>
      <c r="F516" s="788">
        <v>39101</v>
      </c>
      <c r="G516" s="788">
        <v>42065</v>
      </c>
      <c r="H516" s="787">
        <v>1</v>
      </c>
      <c r="I516" s="788">
        <v>42158</v>
      </c>
      <c r="J516" s="788">
        <v>42153</v>
      </c>
      <c r="L516" s="787">
        <v>0.88</v>
      </c>
      <c r="M516" s="787">
        <v>20</v>
      </c>
      <c r="N516" s="787">
        <v>0.95</v>
      </c>
      <c r="O516" s="788">
        <v>42045</v>
      </c>
    </row>
    <row r="517" spans="1:15" x14ac:dyDescent="0.25">
      <c r="A517" s="786" t="s">
        <v>1653</v>
      </c>
      <c r="B517" s="787">
        <v>4</v>
      </c>
      <c r="C517" s="787" t="s">
        <v>1654</v>
      </c>
      <c r="D517" s="787">
        <v>0.92</v>
      </c>
      <c r="E517" s="787">
        <v>1.67</v>
      </c>
      <c r="F517" s="788">
        <v>39101</v>
      </c>
      <c r="G517" s="788">
        <v>42013</v>
      </c>
      <c r="H517" s="787">
        <v>1</v>
      </c>
      <c r="I517" s="788">
        <v>41975</v>
      </c>
      <c r="J517" s="788">
        <v>41561</v>
      </c>
      <c r="K517" s="788">
        <v>41865</v>
      </c>
      <c r="L517" s="787">
        <v>1.67</v>
      </c>
      <c r="M517" s="787">
        <v>20</v>
      </c>
      <c r="N517" s="787">
        <v>1.8</v>
      </c>
      <c r="O517" s="788">
        <v>41955</v>
      </c>
    </row>
    <row r="518" spans="1:15" x14ac:dyDescent="0.25">
      <c r="A518" s="786" t="s">
        <v>1655</v>
      </c>
      <c r="B518" s="787">
        <v>4</v>
      </c>
      <c r="C518" s="787" t="s">
        <v>1656</v>
      </c>
      <c r="D518" s="787">
        <v>0.65</v>
      </c>
      <c r="E518" s="787">
        <v>0.65</v>
      </c>
      <c r="F518" s="788">
        <v>38181</v>
      </c>
      <c r="G518" s="788">
        <v>38736</v>
      </c>
      <c r="H518" s="787">
        <v>6</v>
      </c>
      <c r="I518" s="788">
        <v>41037</v>
      </c>
      <c r="J518" s="788">
        <v>41022</v>
      </c>
      <c r="K518" s="788">
        <v>41869</v>
      </c>
      <c r="L518" s="787">
        <v>0.65</v>
      </c>
      <c r="M518" s="787">
        <v>20</v>
      </c>
      <c r="N518" s="787">
        <v>0.7</v>
      </c>
      <c r="O518" s="788">
        <v>41806</v>
      </c>
    </row>
    <row r="519" spans="1:15" x14ac:dyDescent="0.25">
      <c r="A519" s="786" t="s">
        <v>578</v>
      </c>
      <c r="B519" s="787">
        <v>4</v>
      </c>
      <c r="C519" s="787" t="s">
        <v>1657</v>
      </c>
      <c r="D519" s="787">
        <v>6.44</v>
      </c>
      <c r="E519" s="787">
        <v>6.67</v>
      </c>
      <c r="F519" s="788">
        <v>39101</v>
      </c>
      <c r="G519" s="788">
        <v>42136</v>
      </c>
      <c r="H519" s="787">
        <v>1</v>
      </c>
      <c r="I519" s="788">
        <v>42146</v>
      </c>
      <c r="J519" s="788">
        <v>42131</v>
      </c>
      <c r="L519" s="787">
        <v>4.3099999999999996</v>
      </c>
      <c r="M519" s="787">
        <v>20</v>
      </c>
      <c r="N519" s="787">
        <v>4.63</v>
      </c>
      <c r="O519" s="788">
        <v>41995</v>
      </c>
    </row>
    <row r="520" spans="1:15" x14ac:dyDescent="0.25">
      <c r="A520" s="786" t="s">
        <v>576</v>
      </c>
      <c r="B520" s="787">
        <v>4</v>
      </c>
      <c r="C520" s="787" t="s">
        <v>1658</v>
      </c>
      <c r="D520" s="787">
        <v>2.04</v>
      </c>
      <c r="E520" s="787">
        <v>2.4300000000000002</v>
      </c>
      <c r="F520" s="788">
        <v>39101</v>
      </c>
      <c r="G520" s="788">
        <v>42064</v>
      </c>
      <c r="H520" s="787">
        <v>1</v>
      </c>
      <c r="I520" s="788">
        <v>42166</v>
      </c>
      <c r="J520" s="788">
        <v>42018</v>
      </c>
      <c r="L520" s="787">
        <v>2.04</v>
      </c>
      <c r="M520" s="787">
        <v>20</v>
      </c>
      <c r="N520" s="787">
        <v>2.19</v>
      </c>
      <c r="O520" s="788">
        <v>41955</v>
      </c>
    </row>
    <row r="521" spans="1:15" x14ac:dyDescent="0.25">
      <c r="A521" s="786" t="s">
        <v>1659</v>
      </c>
      <c r="B521" s="787">
        <v>4</v>
      </c>
      <c r="C521" s="787" t="s">
        <v>1660</v>
      </c>
      <c r="D521" s="787">
        <v>2.04</v>
      </c>
      <c r="E521" s="787">
        <v>2.04</v>
      </c>
      <c r="F521" s="788">
        <v>38310</v>
      </c>
      <c r="G521" s="788">
        <v>38310</v>
      </c>
      <c r="H521" s="787">
        <v>1</v>
      </c>
      <c r="I521" s="788">
        <v>42159</v>
      </c>
      <c r="J521" s="788">
        <v>38306</v>
      </c>
      <c r="L521" s="787">
        <v>2.04</v>
      </c>
      <c r="M521" s="787">
        <v>20</v>
      </c>
      <c r="N521" s="787">
        <v>2.19</v>
      </c>
      <c r="O521" s="788">
        <v>41955</v>
      </c>
    </row>
    <row r="522" spans="1:15" x14ac:dyDescent="0.25">
      <c r="A522" s="786" t="s">
        <v>1661</v>
      </c>
      <c r="B522" s="787">
        <v>4</v>
      </c>
      <c r="C522" s="787" t="s">
        <v>1662</v>
      </c>
      <c r="D522" s="787">
        <v>0.2</v>
      </c>
      <c r="E522" s="787">
        <v>0.2</v>
      </c>
      <c r="F522" s="788">
        <v>38740</v>
      </c>
      <c r="G522" s="788">
        <v>38740</v>
      </c>
      <c r="H522" s="787">
        <v>6</v>
      </c>
      <c r="I522" s="788">
        <v>39134</v>
      </c>
      <c r="J522" s="788">
        <v>38770</v>
      </c>
      <c r="K522" s="788">
        <v>41869</v>
      </c>
      <c r="L522" s="787">
        <v>0.2</v>
      </c>
      <c r="M522" s="787">
        <v>20</v>
      </c>
      <c r="N522" s="787">
        <v>0.6</v>
      </c>
      <c r="O522" s="788">
        <v>41858</v>
      </c>
    </row>
    <row r="523" spans="1:15" x14ac:dyDescent="0.25">
      <c r="A523" s="786" t="s">
        <v>1663</v>
      </c>
      <c r="B523" s="787">
        <v>4</v>
      </c>
      <c r="C523" s="787" t="s">
        <v>1664</v>
      </c>
      <c r="D523" s="787">
        <v>0.8</v>
      </c>
      <c r="E523" s="787">
        <v>0.8</v>
      </c>
      <c r="F523" s="788">
        <v>39101</v>
      </c>
      <c r="G523" s="788">
        <v>39101</v>
      </c>
      <c r="H523" s="787">
        <v>1</v>
      </c>
      <c r="I523" s="788">
        <v>39134</v>
      </c>
      <c r="J523" s="788">
        <v>39149</v>
      </c>
      <c r="L523" s="787">
        <v>0.8</v>
      </c>
      <c r="M523" s="787">
        <v>20</v>
      </c>
      <c r="N523" s="787">
        <v>0.86</v>
      </c>
      <c r="O523" s="788">
        <v>41955</v>
      </c>
    </row>
    <row r="524" spans="1:15" x14ac:dyDescent="0.25">
      <c r="A524" s="786" t="s">
        <v>1665</v>
      </c>
      <c r="B524" s="787">
        <v>4</v>
      </c>
      <c r="C524" s="787" t="s">
        <v>1666</v>
      </c>
      <c r="D524" s="787">
        <v>0.99</v>
      </c>
      <c r="E524" s="787">
        <v>0.99</v>
      </c>
      <c r="F524" s="788">
        <v>37636</v>
      </c>
      <c r="G524" s="788">
        <v>37636</v>
      </c>
      <c r="H524" s="787">
        <v>6</v>
      </c>
      <c r="I524" s="788">
        <v>41107</v>
      </c>
      <c r="J524" s="788">
        <v>37636</v>
      </c>
      <c r="L524" s="787">
        <v>1.08</v>
      </c>
      <c r="M524" s="787">
        <v>20</v>
      </c>
      <c r="N524" s="787">
        <v>1.06</v>
      </c>
      <c r="O524" s="788">
        <v>41806</v>
      </c>
    </row>
    <row r="525" spans="1:15" x14ac:dyDescent="0.25">
      <c r="A525" s="786" t="s">
        <v>1667</v>
      </c>
      <c r="B525" s="787">
        <v>4</v>
      </c>
      <c r="C525" s="787" t="s">
        <v>1668</v>
      </c>
      <c r="D525" s="787">
        <v>1.22</v>
      </c>
      <c r="E525" s="787">
        <v>1.22</v>
      </c>
      <c r="F525" s="788">
        <v>41508</v>
      </c>
      <c r="G525" s="788">
        <v>42163</v>
      </c>
      <c r="H525" s="787">
        <v>1</v>
      </c>
      <c r="I525" s="788">
        <v>42158</v>
      </c>
      <c r="J525" s="788">
        <v>42163</v>
      </c>
      <c r="L525" s="787">
        <v>1.26</v>
      </c>
      <c r="M525" s="787">
        <v>20</v>
      </c>
      <c r="N525" s="787">
        <v>1.35</v>
      </c>
      <c r="O525" s="788">
        <v>41955</v>
      </c>
    </row>
    <row r="526" spans="1:15" x14ac:dyDescent="0.25">
      <c r="A526" s="786" t="s">
        <v>1669</v>
      </c>
      <c r="B526" s="787">
        <v>4</v>
      </c>
      <c r="C526" s="787" t="s">
        <v>1670</v>
      </c>
      <c r="D526" s="787">
        <v>1.63</v>
      </c>
      <c r="E526" s="787">
        <v>1.63</v>
      </c>
      <c r="F526" s="788">
        <v>37636</v>
      </c>
      <c r="G526" s="788">
        <v>37636</v>
      </c>
      <c r="H526" s="787">
        <v>5</v>
      </c>
      <c r="I526" s="788">
        <v>41465</v>
      </c>
      <c r="J526" s="788">
        <v>41605</v>
      </c>
      <c r="L526" s="787">
        <v>1.78</v>
      </c>
      <c r="M526" s="787">
        <v>20</v>
      </c>
      <c r="N526" s="787">
        <v>1.91</v>
      </c>
      <c r="O526" s="788">
        <v>41955</v>
      </c>
    </row>
    <row r="527" spans="1:15" x14ac:dyDescent="0.25">
      <c r="A527" s="786" t="s">
        <v>1671</v>
      </c>
      <c r="B527" s="787">
        <v>4</v>
      </c>
      <c r="C527" s="787" t="s">
        <v>1672</v>
      </c>
      <c r="D527" s="787">
        <v>2.78</v>
      </c>
      <c r="E527" s="787">
        <v>2.78</v>
      </c>
      <c r="F527" s="788">
        <v>41697</v>
      </c>
      <c r="G527" s="788">
        <v>41899</v>
      </c>
      <c r="H527" s="787">
        <v>1</v>
      </c>
      <c r="I527" s="788">
        <v>42165</v>
      </c>
      <c r="J527" s="788">
        <v>42090</v>
      </c>
      <c r="L527" s="787">
        <v>2.5</v>
      </c>
      <c r="M527" s="787">
        <v>20</v>
      </c>
      <c r="N527" s="787">
        <v>2.69</v>
      </c>
      <c r="O527" s="788">
        <v>42164</v>
      </c>
    </row>
    <row r="528" spans="1:15" x14ac:dyDescent="0.25">
      <c r="A528" s="786" t="s">
        <v>1673</v>
      </c>
      <c r="B528" s="787">
        <v>4</v>
      </c>
      <c r="C528" s="787" t="s">
        <v>1674</v>
      </c>
      <c r="D528" s="787">
        <v>0</v>
      </c>
      <c r="E528" s="787">
        <v>0</v>
      </c>
      <c r="H528" s="787">
        <v>6</v>
      </c>
      <c r="I528" s="788">
        <v>41227</v>
      </c>
      <c r="L528" s="787">
        <v>4.54</v>
      </c>
      <c r="M528" s="787">
        <v>20</v>
      </c>
      <c r="N528" s="787">
        <v>4.88</v>
      </c>
      <c r="O528" s="788">
        <v>41543</v>
      </c>
    </row>
    <row r="529" spans="1:15" x14ac:dyDescent="0.25">
      <c r="A529" s="786" t="s">
        <v>1675</v>
      </c>
      <c r="B529" s="787">
        <v>4</v>
      </c>
      <c r="C529" s="787" t="s">
        <v>1676</v>
      </c>
      <c r="D529" s="787">
        <v>0</v>
      </c>
      <c r="E529" s="787">
        <v>0</v>
      </c>
      <c r="H529" s="787">
        <v>6</v>
      </c>
      <c r="I529" s="788">
        <v>41484</v>
      </c>
      <c r="L529" s="787">
        <v>1.3</v>
      </c>
      <c r="M529" s="787">
        <v>20</v>
      </c>
      <c r="N529" s="787">
        <v>1.4</v>
      </c>
      <c r="O529" s="788">
        <v>41554</v>
      </c>
    </row>
    <row r="530" spans="1:15" x14ac:dyDescent="0.25">
      <c r="A530" s="786" t="s">
        <v>1677</v>
      </c>
      <c r="B530" s="787">
        <v>4</v>
      </c>
      <c r="C530" s="787" t="s">
        <v>1678</v>
      </c>
      <c r="D530" s="787">
        <v>0</v>
      </c>
      <c r="E530" s="787">
        <v>0</v>
      </c>
      <c r="H530" s="787">
        <v>6</v>
      </c>
      <c r="L530" s="787">
        <v>0.45</v>
      </c>
      <c r="M530" s="787">
        <v>20</v>
      </c>
      <c r="N530" s="787">
        <v>0.48</v>
      </c>
      <c r="O530" s="788">
        <v>41617</v>
      </c>
    </row>
    <row r="531" spans="1:15" x14ac:dyDescent="0.25">
      <c r="A531" s="786" t="s">
        <v>1679</v>
      </c>
      <c r="B531" s="787">
        <v>4</v>
      </c>
      <c r="C531" s="787" t="s">
        <v>1680</v>
      </c>
      <c r="D531" s="787">
        <v>0</v>
      </c>
      <c r="E531" s="787">
        <v>0</v>
      </c>
      <c r="H531" s="787">
        <v>1</v>
      </c>
      <c r="I531" s="788">
        <v>42124</v>
      </c>
      <c r="L531" s="787">
        <v>2.0099999999999998</v>
      </c>
      <c r="M531" s="787">
        <v>20</v>
      </c>
      <c r="N531" s="787">
        <v>2.16</v>
      </c>
      <c r="O531" s="788">
        <v>41955</v>
      </c>
    </row>
    <row r="532" spans="1:15" x14ac:dyDescent="0.25">
      <c r="A532" s="786" t="s">
        <v>1681</v>
      </c>
      <c r="B532" s="787">
        <v>4</v>
      </c>
      <c r="C532" s="787" t="s">
        <v>1682</v>
      </c>
      <c r="D532" s="787">
        <v>0</v>
      </c>
      <c r="E532" s="787">
        <v>0</v>
      </c>
      <c r="H532" s="787">
        <v>6</v>
      </c>
      <c r="I532" s="788">
        <v>41060</v>
      </c>
      <c r="L532" s="787">
        <v>2.92</v>
      </c>
      <c r="M532" s="787">
        <v>20</v>
      </c>
      <c r="N532" s="787">
        <v>3.14</v>
      </c>
      <c r="O532" s="788">
        <v>41543</v>
      </c>
    </row>
    <row r="533" spans="1:15" x14ac:dyDescent="0.25">
      <c r="A533" s="786" t="s">
        <v>1683</v>
      </c>
      <c r="B533" s="787">
        <v>4</v>
      </c>
      <c r="C533" s="787" t="s">
        <v>1684</v>
      </c>
      <c r="D533" s="787">
        <v>0</v>
      </c>
      <c r="E533" s="787">
        <v>0</v>
      </c>
      <c r="H533" s="787">
        <v>1</v>
      </c>
      <c r="I533" s="788">
        <v>41457</v>
      </c>
      <c r="L533" s="787">
        <v>0.89</v>
      </c>
      <c r="M533" s="787">
        <v>20</v>
      </c>
      <c r="N533" s="787">
        <v>0.96</v>
      </c>
      <c r="O533" s="788">
        <v>41955</v>
      </c>
    </row>
    <row r="534" spans="1:15" x14ac:dyDescent="0.25">
      <c r="A534" s="786" t="s">
        <v>1685</v>
      </c>
      <c r="B534" s="787">
        <v>4</v>
      </c>
      <c r="C534" s="787" t="s">
        <v>1686</v>
      </c>
      <c r="D534" s="787">
        <v>0</v>
      </c>
      <c r="E534" s="787">
        <v>0</v>
      </c>
      <c r="H534" s="787">
        <v>6</v>
      </c>
      <c r="L534" s="787">
        <v>0.51</v>
      </c>
      <c r="M534" s="787">
        <v>20</v>
      </c>
      <c r="N534" s="787">
        <v>0.55000000000000004</v>
      </c>
      <c r="O534" s="788">
        <v>41617</v>
      </c>
    </row>
    <row r="535" spans="1:15" x14ac:dyDescent="0.25">
      <c r="A535" s="786" t="s">
        <v>600</v>
      </c>
      <c r="B535" s="787">
        <v>4</v>
      </c>
      <c r="C535" s="787" t="s">
        <v>1687</v>
      </c>
      <c r="D535" s="787">
        <v>3.65</v>
      </c>
      <c r="E535" s="787">
        <v>3.65</v>
      </c>
      <c r="F535" s="788">
        <v>41502</v>
      </c>
      <c r="G535" s="788">
        <v>41661</v>
      </c>
      <c r="H535" s="787">
        <v>1</v>
      </c>
      <c r="I535" s="788">
        <v>42166</v>
      </c>
      <c r="J535" s="788">
        <v>41661</v>
      </c>
      <c r="K535" s="788">
        <v>40757</v>
      </c>
      <c r="L535" s="787">
        <v>4.37</v>
      </c>
      <c r="M535" s="787">
        <v>20</v>
      </c>
      <c r="N535" s="787">
        <v>4.7</v>
      </c>
      <c r="O535" s="788">
        <v>42060</v>
      </c>
    </row>
    <row r="536" spans="1:15" x14ac:dyDescent="0.25">
      <c r="A536" s="786" t="s">
        <v>601</v>
      </c>
      <c r="B536" s="787">
        <v>4</v>
      </c>
      <c r="C536" s="787" t="s">
        <v>1688</v>
      </c>
      <c r="D536" s="787">
        <v>0</v>
      </c>
      <c r="E536" s="787">
        <v>0</v>
      </c>
      <c r="H536" s="787">
        <v>1</v>
      </c>
      <c r="I536" s="788">
        <v>40889</v>
      </c>
      <c r="K536" s="788">
        <v>40757</v>
      </c>
      <c r="L536" s="787">
        <v>11.47</v>
      </c>
      <c r="M536" s="787">
        <v>20</v>
      </c>
      <c r="N536" s="787">
        <v>12.33</v>
      </c>
      <c r="O536" s="788">
        <v>42060</v>
      </c>
    </row>
    <row r="537" spans="1:15" x14ac:dyDescent="0.25">
      <c r="A537" s="786" t="s">
        <v>1689</v>
      </c>
      <c r="B537" s="787">
        <v>4</v>
      </c>
      <c r="C537" s="787" t="s">
        <v>1690</v>
      </c>
      <c r="D537" s="787">
        <v>0</v>
      </c>
      <c r="E537" s="787">
        <v>0</v>
      </c>
      <c r="H537" s="787">
        <v>1</v>
      </c>
      <c r="I537" s="788">
        <v>41600</v>
      </c>
      <c r="L537" s="787">
        <v>5</v>
      </c>
      <c r="M537" s="787">
        <v>20</v>
      </c>
      <c r="N537" s="787">
        <v>5.38</v>
      </c>
      <c r="O537" s="788">
        <v>41955</v>
      </c>
    </row>
    <row r="538" spans="1:15" x14ac:dyDescent="0.25">
      <c r="A538" s="786" t="s">
        <v>1691</v>
      </c>
      <c r="B538" s="787">
        <v>4</v>
      </c>
      <c r="C538" s="787" t="s">
        <v>1676</v>
      </c>
      <c r="D538" s="787">
        <v>1.1499999999999999</v>
      </c>
      <c r="E538" s="787">
        <v>1.1499999999999999</v>
      </c>
      <c r="F538" s="788">
        <v>41502</v>
      </c>
      <c r="G538" s="788">
        <v>41661</v>
      </c>
      <c r="H538" s="787">
        <v>1</v>
      </c>
      <c r="I538" s="788">
        <v>41652</v>
      </c>
      <c r="J538" s="788">
        <v>41661</v>
      </c>
      <c r="K538" s="788">
        <v>41422</v>
      </c>
      <c r="L538" s="787">
        <v>1.1499999999999999</v>
      </c>
      <c r="M538" s="787">
        <v>20</v>
      </c>
      <c r="N538" s="787">
        <v>1.24</v>
      </c>
      <c r="O538" s="788">
        <v>42164</v>
      </c>
    </row>
    <row r="539" spans="1:15" x14ac:dyDescent="0.25">
      <c r="A539" s="786" t="s">
        <v>1692</v>
      </c>
      <c r="B539" s="787">
        <v>4</v>
      </c>
      <c r="C539" s="787" t="s">
        <v>1693</v>
      </c>
      <c r="D539" s="787">
        <v>4.78</v>
      </c>
      <c r="E539" s="787">
        <v>4.78</v>
      </c>
      <c r="F539" s="788">
        <v>41452</v>
      </c>
      <c r="G539" s="788">
        <v>41971</v>
      </c>
      <c r="H539" s="787">
        <v>1</v>
      </c>
      <c r="I539" s="788">
        <v>42082</v>
      </c>
      <c r="J539" s="788">
        <v>42068</v>
      </c>
      <c r="K539" s="788">
        <v>41422</v>
      </c>
      <c r="L539" s="787">
        <v>4.78</v>
      </c>
      <c r="M539" s="787">
        <v>20</v>
      </c>
      <c r="N539" s="787">
        <v>5.14</v>
      </c>
      <c r="O539" s="788">
        <v>41955</v>
      </c>
    </row>
    <row r="540" spans="1:15" x14ac:dyDescent="0.25">
      <c r="A540" s="786" t="s">
        <v>1694</v>
      </c>
      <c r="B540" s="787">
        <v>4</v>
      </c>
      <c r="C540" s="787" t="s">
        <v>1695</v>
      </c>
      <c r="D540" s="787">
        <v>0.41</v>
      </c>
      <c r="E540" s="787">
        <v>0.42</v>
      </c>
      <c r="F540" s="788">
        <v>42030</v>
      </c>
      <c r="G540" s="788">
        <v>42165</v>
      </c>
      <c r="H540" s="787">
        <v>1</v>
      </c>
      <c r="I540" s="788">
        <v>42166</v>
      </c>
      <c r="J540" s="788">
        <v>42163</v>
      </c>
      <c r="K540" s="788">
        <v>41422</v>
      </c>
      <c r="L540" s="787">
        <v>0.42</v>
      </c>
      <c r="M540" s="787">
        <v>20</v>
      </c>
      <c r="N540" s="787">
        <v>0.45</v>
      </c>
      <c r="O540" s="788">
        <v>42156</v>
      </c>
    </row>
    <row r="541" spans="1:15" x14ac:dyDescent="0.25">
      <c r="A541" s="786" t="s">
        <v>1696</v>
      </c>
      <c r="B541" s="787">
        <v>4</v>
      </c>
      <c r="C541" s="787" t="s">
        <v>1697</v>
      </c>
      <c r="D541" s="787">
        <v>0</v>
      </c>
      <c r="E541" s="787">
        <v>0</v>
      </c>
      <c r="G541" s="788">
        <v>41781</v>
      </c>
      <c r="H541" s="787">
        <v>6</v>
      </c>
      <c r="I541" s="788">
        <v>41697</v>
      </c>
      <c r="J541" s="788">
        <v>41781</v>
      </c>
      <c r="K541" s="788">
        <v>41422</v>
      </c>
      <c r="L541" s="787">
        <v>0.89</v>
      </c>
      <c r="M541" s="787">
        <v>20</v>
      </c>
      <c r="N541" s="787">
        <v>0.96</v>
      </c>
      <c r="O541" s="788">
        <v>41543</v>
      </c>
    </row>
    <row r="542" spans="1:15" x14ac:dyDescent="0.25">
      <c r="A542" s="786" t="s">
        <v>1698</v>
      </c>
      <c r="B542" s="787">
        <v>4</v>
      </c>
      <c r="C542" s="787" t="s">
        <v>1699</v>
      </c>
      <c r="D542" s="787">
        <v>1.1399999999999999</v>
      </c>
      <c r="E542" s="787">
        <v>1.17</v>
      </c>
      <c r="F542" s="788">
        <v>41523</v>
      </c>
      <c r="G542" s="788">
        <v>42142</v>
      </c>
      <c r="H542" s="787">
        <v>1</v>
      </c>
      <c r="I542" s="788">
        <v>42153</v>
      </c>
      <c r="J542" s="788">
        <v>42131</v>
      </c>
      <c r="K542" s="788">
        <v>41869</v>
      </c>
      <c r="L542" s="787">
        <v>1.17</v>
      </c>
      <c r="M542" s="787">
        <v>20</v>
      </c>
      <c r="N542" s="787">
        <v>1.26</v>
      </c>
      <c r="O542" s="788">
        <v>41955</v>
      </c>
    </row>
    <row r="543" spans="1:15" x14ac:dyDescent="0.25">
      <c r="A543" s="786" t="s">
        <v>1700</v>
      </c>
      <c r="B543" s="787">
        <v>4</v>
      </c>
      <c r="C543" s="787" t="s">
        <v>1701</v>
      </c>
      <c r="D543" s="787">
        <v>0.74</v>
      </c>
      <c r="E543" s="787">
        <v>0.74</v>
      </c>
      <c r="F543" s="788">
        <v>41817</v>
      </c>
      <c r="G543" s="788">
        <v>42013</v>
      </c>
      <c r="H543" s="787">
        <v>1</v>
      </c>
      <c r="I543" s="788">
        <v>42128</v>
      </c>
      <c r="J543" s="788">
        <v>41820</v>
      </c>
      <c r="K543" s="788">
        <v>41422</v>
      </c>
      <c r="L543" s="787">
        <v>0.8</v>
      </c>
      <c r="M543" s="787">
        <v>20</v>
      </c>
      <c r="N543" s="787">
        <v>0.86</v>
      </c>
      <c r="O543" s="788">
        <v>42156</v>
      </c>
    </row>
    <row r="544" spans="1:15" x14ac:dyDescent="0.25">
      <c r="A544" s="786" t="s">
        <v>1702</v>
      </c>
      <c r="B544" s="787">
        <v>4</v>
      </c>
      <c r="C544" s="787" t="s">
        <v>1703</v>
      </c>
      <c r="D544" s="787">
        <v>2.79</v>
      </c>
      <c r="E544" s="787">
        <v>2.79</v>
      </c>
      <c r="F544" s="788">
        <v>41516</v>
      </c>
      <c r="G544" s="788">
        <v>42150</v>
      </c>
      <c r="H544" s="787">
        <v>1</v>
      </c>
      <c r="I544" s="788">
        <v>42165</v>
      </c>
      <c r="J544" s="788">
        <v>42150</v>
      </c>
      <c r="K544" s="788">
        <v>41422</v>
      </c>
      <c r="L544" s="787">
        <v>2.79</v>
      </c>
      <c r="M544" s="787">
        <v>20</v>
      </c>
      <c r="N544" s="787">
        <v>3</v>
      </c>
      <c r="O544" s="788">
        <v>41955</v>
      </c>
    </row>
    <row r="545" spans="1:15" x14ac:dyDescent="0.25">
      <c r="A545" s="786" t="s">
        <v>1704</v>
      </c>
      <c r="B545" s="787">
        <v>4</v>
      </c>
      <c r="C545" s="787" t="s">
        <v>1705</v>
      </c>
      <c r="D545" s="787">
        <v>0.27</v>
      </c>
      <c r="E545" s="787">
        <v>0.37</v>
      </c>
      <c r="F545" s="788">
        <v>41585</v>
      </c>
      <c r="G545" s="788">
        <v>42136</v>
      </c>
      <c r="H545" s="787">
        <v>1</v>
      </c>
      <c r="I545" s="788">
        <v>42166</v>
      </c>
      <c r="J545" s="788">
        <v>42129</v>
      </c>
      <c r="K545" s="788">
        <v>41422</v>
      </c>
      <c r="L545" s="787">
        <v>0.37</v>
      </c>
      <c r="M545" s="787">
        <v>20</v>
      </c>
      <c r="N545" s="787">
        <v>0.4</v>
      </c>
      <c r="O545" s="788">
        <v>41955</v>
      </c>
    </row>
    <row r="546" spans="1:15" x14ac:dyDescent="0.25">
      <c r="A546" s="786" t="s">
        <v>1706</v>
      </c>
      <c r="B546" s="787">
        <v>4</v>
      </c>
      <c r="C546" s="787" t="s">
        <v>1707</v>
      </c>
      <c r="D546" s="787">
        <v>0.71</v>
      </c>
      <c r="E546" s="787">
        <v>0.74</v>
      </c>
      <c r="F546" s="788">
        <v>41471</v>
      </c>
      <c r="G546" s="788">
        <v>42150</v>
      </c>
      <c r="H546" s="787">
        <v>1</v>
      </c>
      <c r="I546" s="788">
        <v>42166</v>
      </c>
      <c r="J546" s="788">
        <v>42150</v>
      </c>
      <c r="K546" s="788">
        <v>41422</v>
      </c>
      <c r="L546" s="787">
        <v>0.72</v>
      </c>
      <c r="M546" s="787">
        <v>20</v>
      </c>
      <c r="N546" s="787">
        <v>0.77</v>
      </c>
      <c r="O546" s="788">
        <v>41955</v>
      </c>
    </row>
    <row r="547" spans="1:15" x14ac:dyDescent="0.25">
      <c r="A547" s="786" t="s">
        <v>1708</v>
      </c>
      <c r="B547" s="787">
        <v>4</v>
      </c>
      <c r="C547" s="787" t="s">
        <v>1709</v>
      </c>
      <c r="D547" s="787">
        <v>0.56999999999999995</v>
      </c>
      <c r="E547" s="787">
        <v>0.59</v>
      </c>
      <c r="F547" s="788">
        <v>41523</v>
      </c>
      <c r="G547" s="788">
        <v>42156</v>
      </c>
      <c r="H547" s="787">
        <v>1</v>
      </c>
      <c r="I547" s="788">
        <v>42165</v>
      </c>
      <c r="J547" s="788">
        <v>42145</v>
      </c>
      <c r="K547" s="788">
        <v>41869</v>
      </c>
      <c r="L547" s="787">
        <v>0.57999999999999996</v>
      </c>
      <c r="M547" s="787">
        <v>20</v>
      </c>
      <c r="N547" s="787">
        <v>0.62</v>
      </c>
      <c r="O547" s="788">
        <v>41955</v>
      </c>
    </row>
    <row r="548" spans="1:15" x14ac:dyDescent="0.25">
      <c r="A548" s="786" t="s">
        <v>1710</v>
      </c>
      <c r="B548" s="787">
        <v>4</v>
      </c>
      <c r="C548" s="787" t="s">
        <v>1711</v>
      </c>
      <c r="D548" s="787">
        <v>4.46</v>
      </c>
      <c r="E548" s="787">
        <v>4.46</v>
      </c>
      <c r="F548" s="788">
        <v>41995</v>
      </c>
      <c r="G548" s="788">
        <v>42065</v>
      </c>
      <c r="H548" s="787">
        <v>1</v>
      </c>
      <c r="I548" s="788">
        <v>42102</v>
      </c>
      <c r="J548" s="788">
        <v>42065</v>
      </c>
      <c r="K548" s="788">
        <v>41422</v>
      </c>
      <c r="L548" s="787">
        <v>5.56</v>
      </c>
      <c r="M548" s="787">
        <v>20</v>
      </c>
      <c r="N548" s="787">
        <v>5.98</v>
      </c>
      <c r="O548" s="788">
        <v>41955</v>
      </c>
    </row>
    <row r="549" spans="1:15" x14ac:dyDescent="0.25">
      <c r="A549" s="786" t="s">
        <v>1712</v>
      </c>
      <c r="B549" s="787">
        <v>4</v>
      </c>
      <c r="C549" s="787" t="s">
        <v>1713</v>
      </c>
      <c r="D549" s="787">
        <v>4.78</v>
      </c>
      <c r="E549" s="787">
        <v>8.6199999999999992</v>
      </c>
      <c r="F549" s="788">
        <v>41480</v>
      </c>
      <c r="G549" s="788">
        <v>41943</v>
      </c>
      <c r="H549" s="787">
        <v>1</v>
      </c>
      <c r="I549" s="788">
        <v>41674</v>
      </c>
      <c r="J549" s="788">
        <v>41897</v>
      </c>
      <c r="K549" s="788">
        <v>41869</v>
      </c>
      <c r="L549" s="787">
        <v>4.78</v>
      </c>
      <c r="M549" s="787">
        <v>20</v>
      </c>
      <c r="N549" s="787">
        <v>5.14</v>
      </c>
      <c r="O549" s="788">
        <v>41955</v>
      </c>
    </row>
    <row r="550" spans="1:15" x14ac:dyDescent="0.25">
      <c r="A550" s="786" t="s">
        <v>1714</v>
      </c>
      <c r="B550" s="787">
        <v>4</v>
      </c>
      <c r="C550" s="787" t="s">
        <v>1715</v>
      </c>
      <c r="D550" s="787">
        <v>2.62</v>
      </c>
      <c r="E550" s="787">
        <v>2.62</v>
      </c>
      <c r="F550" s="788">
        <v>41859</v>
      </c>
      <c r="G550" s="788">
        <v>42013</v>
      </c>
      <c r="H550" s="787">
        <v>1</v>
      </c>
      <c r="I550" s="788">
        <v>42107</v>
      </c>
      <c r="J550" s="788">
        <v>41883</v>
      </c>
      <c r="K550" s="788">
        <v>41422</v>
      </c>
      <c r="L550" s="787">
        <v>3.62</v>
      </c>
      <c r="M550" s="787">
        <v>20</v>
      </c>
      <c r="N550" s="787">
        <v>3.89</v>
      </c>
      <c r="O550" s="788">
        <v>41955</v>
      </c>
    </row>
    <row r="551" spans="1:15" x14ac:dyDescent="0.25">
      <c r="A551" s="786" t="s">
        <v>478</v>
      </c>
      <c r="B551" s="787">
        <v>4</v>
      </c>
      <c r="C551" s="787" t="s">
        <v>1716</v>
      </c>
      <c r="D551" s="787">
        <v>0.5</v>
      </c>
      <c r="E551" s="787">
        <v>0.96</v>
      </c>
      <c r="F551" s="788">
        <v>42086</v>
      </c>
      <c r="G551" s="788">
        <v>42165</v>
      </c>
      <c r="H551" s="787">
        <v>1</v>
      </c>
      <c r="I551" s="788">
        <v>42166</v>
      </c>
      <c r="J551" s="788">
        <v>42163</v>
      </c>
      <c r="K551" s="788">
        <v>41869</v>
      </c>
      <c r="L551" s="787">
        <v>0.83</v>
      </c>
      <c r="M551" s="787">
        <v>20</v>
      </c>
      <c r="N551" s="787">
        <v>0.89</v>
      </c>
      <c r="O551" s="788">
        <v>42164</v>
      </c>
    </row>
    <row r="552" spans="1:15" x14ac:dyDescent="0.25">
      <c r="A552" s="786" t="s">
        <v>1717</v>
      </c>
      <c r="B552" s="787">
        <v>4</v>
      </c>
      <c r="C552" s="787" t="s">
        <v>1718</v>
      </c>
      <c r="D552" s="787">
        <v>3.71</v>
      </c>
      <c r="E552" s="787">
        <v>3.8</v>
      </c>
      <c r="F552" s="788">
        <v>41529</v>
      </c>
      <c r="G552" s="788">
        <v>42013</v>
      </c>
      <c r="H552" s="787">
        <v>1</v>
      </c>
      <c r="I552" s="788">
        <v>41953</v>
      </c>
      <c r="J552" s="788">
        <v>41943</v>
      </c>
      <c r="K552" s="788">
        <v>41422</v>
      </c>
      <c r="L552" s="787">
        <v>3.71</v>
      </c>
      <c r="M552" s="787">
        <v>20</v>
      </c>
      <c r="N552" s="787">
        <v>3.99</v>
      </c>
      <c r="O552" s="788">
        <v>41955</v>
      </c>
    </row>
    <row r="553" spans="1:15" x14ac:dyDescent="0.25">
      <c r="A553" s="786" t="s">
        <v>1719</v>
      </c>
      <c r="B553" s="787">
        <v>4</v>
      </c>
      <c r="C553" s="787" t="s">
        <v>1720</v>
      </c>
      <c r="D553" s="787">
        <v>3.07</v>
      </c>
      <c r="E553" s="787">
        <v>3.07</v>
      </c>
      <c r="F553" s="788">
        <v>41802</v>
      </c>
      <c r="G553" s="788">
        <v>42013</v>
      </c>
      <c r="H553" s="787">
        <v>1</v>
      </c>
      <c r="I553" s="788">
        <v>42102</v>
      </c>
      <c r="J553" s="788">
        <v>41914</v>
      </c>
      <c r="K553" s="788">
        <v>41422</v>
      </c>
      <c r="L553" s="787">
        <v>4.03</v>
      </c>
      <c r="M553" s="787">
        <v>20</v>
      </c>
      <c r="N553" s="787">
        <v>4.33</v>
      </c>
      <c r="O553" s="788">
        <v>41955</v>
      </c>
    </row>
    <row r="554" spans="1:15" x14ac:dyDescent="0.25">
      <c r="A554" s="786" t="s">
        <v>1721</v>
      </c>
      <c r="B554" s="787">
        <v>4</v>
      </c>
      <c r="C554" s="787" t="s">
        <v>1722</v>
      </c>
      <c r="D554" s="787">
        <v>0</v>
      </c>
      <c r="E554" s="787">
        <v>0</v>
      </c>
      <c r="G554" s="788">
        <v>42017</v>
      </c>
      <c r="H554" s="787">
        <v>1</v>
      </c>
      <c r="K554" s="788">
        <v>41422</v>
      </c>
      <c r="L554" s="787">
        <v>4.45</v>
      </c>
      <c r="M554" s="787">
        <v>20</v>
      </c>
      <c r="N554" s="787">
        <v>4.78</v>
      </c>
      <c r="O554" s="788">
        <v>41955</v>
      </c>
    </row>
    <row r="555" spans="1:15" x14ac:dyDescent="0.25">
      <c r="A555" s="786" t="s">
        <v>1723</v>
      </c>
      <c r="B555" s="787">
        <v>4</v>
      </c>
      <c r="C555" s="787" t="s">
        <v>1724</v>
      </c>
      <c r="D555" s="787">
        <v>3.21</v>
      </c>
      <c r="E555" s="787">
        <v>3.21</v>
      </c>
      <c r="F555" s="788">
        <v>41677</v>
      </c>
      <c r="G555" s="788">
        <v>42013</v>
      </c>
      <c r="H555" s="787">
        <v>1</v>
      </c>
      <c r="I555" s="788">
        <v>41877</v>
      </c>
      <c r="J555" s="788">
        <v>41806</v>
      </c>
      <c r="K555" s="788">
        <v>41422</v>
      </c>
      <c r="L555" s="787">
        <v>3.21</v>
      </c>
      <c r="M555" s="787">
        <v>20</v>
      </c>
      <c r="N555" s="787">
        <v>3.45</v>
      </c>
      <c r="O555" s="788">
        <v>41955</v>
      </c>
    </row>
    <row r="556" spans="1:15" x14ac:dyDescent="0.25">
      <c r="A556" s="786" t="s">
        <v>1725</v>
      </c>
      <c r="B556" s="787">
        <v>4</v>
      </c>
      <c r="C556" s="787" t="s">
        <v>1726</v>
      </c>
      <c r="D556" s="787">
        <v>2.2400000000000002</v>
      </c>
      <c r="E556" s="787">
        <v>2.2400000000000002</v>
      </c>
      <c r="F556" s="788">
        <v>41536</v>
      </c>
      <c r="G556" s="788">
        <v>42013</v>
      </c>
      <c r="H556" s="787">
        <v>1</v>
      </c>
      <c r="I556" s="788">
        <v>42052</v>
      </c>
      <c r="J556" s="788">
        <v>41897</v>
      </c>
      <c r="K556" s="788">
        <v>41422</v>
      </c>
      <c r="L556" s="787">
        <v>2.2400000000000002</v>
      </c>
      <c r="M556" s="787">
        <v>20</v>
      </c>
      <c r="N556" s="787">
        <v>2.41</v>
      </c>
      <c r="O556" s="788">
        <v>41955</v>
      </c>
    </row>
    <row r="557" spans="1:15" x14ac:dyDescent="0.25">
      <c r="A557" s="786" t="s">
        <v>1727</v>
      </c>
      <c r="B557" s="787">
        <v>4</v>
      </c>
      <c r="C557" s="787" t="s">
        <v>1728</v>
      </c>
      <c r="D557" s="787">
        <v>1.75</v>
      </c>
      <c r="E557" s="787">
        <v>1.79</v>
      </c>
      <c r="F557" s="788">
        <v>41529</v>
      </c>
      <c r="G557" s="788">
        <v>42013</v>
      </c>
      <c r="H557" s="787">
        <v>1</v>
      </c>
      <c r="I557" s="788">
        <v>42052</v>
      </c>
      <c r="J557" s="788">
        <v>41943</v>
      </c>
      <c r="K557" s="788">
        <v>41422</v>
      </c>
      <c r="L557" s="787">
        <v>1.75</v>
      </c>
      <c r="M557" s="787">
        <v>20</v>
      </c>
      <c r="N557" s="787">
        <v>1.88</v>
      </c>
      <c r="O557" s="788">
        <v>41955</v>
      </c>
    </row>
    <row r="558" spans="1:15" x14ac:dyDescent="0.25">
      <c r="A558" s="786" t="s">
        <v>479</v>
      </c>
      <c r="B558" s="787">
        <v>4</v>
      </c>
      <c r="C558" s="787" t="s">
        <v>1729</v>
      </c>
      <c r="D558" s="787">
        <v>3.06</v>
      </c>
      <c r="E558" s="787">
        <v>3.06</v>
      </c>
      <c r="F558" s="788">
        <v>41757</v>
      </c>
      <c r="G558" s="788">
        <v>42068</v>
      </c>
      <c r="H558" s="787">
        <v>1</v>
      </c>
      <c r="I558" s="788">
        <v>42107</v>
      </c>
      <c r="J558" s="788">
        <v>42068</v>
      </c>
      <c r="K558" s="788">
        <v>41869</v>
      </c>
      <c r="L558" s="787">
        <v>3.06</v>
      </c>
      <c r="M558" s="787">
        <v>20</v>
      </c>
      <c r="N558" s="787">
        <v>3.29</v>
      </c>
      <c r="O558" s="788">
        <v>41955</v>
      </c>
    </row>
    <row r="559" spans="1:15" x14ac:dyDescent="0.25">
      <c r="A559" s="786" t="s">
        <v>1730</v>
      </c>
      <c r="B559" s="787">
        <v>4</v>
      </c>
      <c r="C559" s="787" t="s">
        <v>1731</v>
      </c>
      <c r="D559" s="787">
        <v>1.1499999999999999</v>
      </c>
      <c r="E559" s="787">
        <v>1.1499999999999999</v>
      </c>
      <c r="F559" s="788">
        <v>41508</v>
      </c>
      <c r="G559" s="788">
        <v>42013</v>
      </c>
      <c r="H559" s="787">
        <v>1</v>
      </c>
      <c r="I559" s="788">
        <v>42153</v>
      </c>
      <c r="J559" s="788">
        <v>41806</v>
      </c>
      <c r="K559" s="788">
        <v>41869</v>
      </c>
      <c r="L559" s="787">
        <v>1.1499999999999999</v>
      </c>
      <c r="M559" s="787">
        <v>20</v>
      </c>
      <c r="N559" s="787">
        <v>1.24</v>
      </c>
      <c r="O559" s="788">
        <v>41955</v>
      </c>
    </row>
    <row r="560" spans="1:15" x14ac:dyDescent="0.25">
      <c r="A560" s="786" t="s">
        <v>580</v>
      </c>
      <c r="B560" s="787">
        <v>4</v>
      </c>
      <c r="C560" s="787" t="s">
        <v>1732</v>
      </c>
      <c r="D560" s="787">
        <v>4.59</v>
      </c>
      <c r="E560" s="787">
        <v>4.59</v>
      </c>
      <c r="F560" s="788">
        <v>41757</v>
      </c>
      <c r="G560" s="788">
        <v>42013</v>
      </c>
      <c r="H560" s="787">
        <v>1</v>
      </c>
      <c r="I560" s="788">
        <v>42068</v>
      </c>
      <c r="J560" s="788">
        <v>41907</v>
      </c>
      <c r="L560" s="787">
        <v>5</v>
      </c>
      <c r="M560" s="787">
        <v>20</v>
      </c>
      <c r="N560" s="787">
        <v>5.38</v>
      </c>
      <c r="O560" s="788">
        <v>41955</v>
      </c>
    </row>
    <row r="561" spans="1:15" x14ac:dyDescent="0.25">
      <c r="A561" s="786" t="s">
        <v>596</v>
      </c>
      <c r="B561" s="787">
        <v>4</v>
      </c>
      <c r="C561" s="787" t="s">
        <v>1733</v>
      </c>
      <c r="D561" s="787">
        <v>2.5</v>
      </c>
      <c r="E561" s="787">
        <v>2.5</v>
      </c>
      <c r="F561" s="788">
        <v>41502</v>
      </c>
      <c r="G561" s="788">
        <v>42165</v>
      </c>
      <c r="H561" s="787">
        <v>1</v>
      </c>
      <c r="I561" s="788">
        <v>42166</v>
      </c>
      <c r="J561" s="788">
        <v>42163</v>
      </c>
      <c r="K561" s="788">
        <v>41869</v>
      </c>
      <c r="L561" s="787">
        <v>2.5</v>
      </c>
      <c r="M561" s="787">
        <v>20</v>
      </c>
      <c r="N561" s="787">
        <v>2.69</v>
      </c>
      <c r="O561" s="788">
        <v>41955</v>
      </c>
    </row>
    <row r="562" spans="1:15" x14ac:dyDescent="0.25">
      <c r="A562" s="786" t="s">
        <v>1734</v>
      </c>
      <c r="B562" s="787">
        <v>4</v>
      </c>
      <c r="C562" s="787" t="s">
        <v>1735</v>
      </c>
      <c r="D562" s="787">
        <v>7.7</v>
      </c>
      <c r="E562" s="787">
        <v>7.7</v>
      </c>
      <c r="F562" s="788">
        <v>41523</v>
      </c>
      <c r="G562" s="788">
        <v>42013</v>
      </c>
      <c r="H562" s="787">
        <v>1</v>
      </c>
      <c r="I562" s="788">
        <v>42111</v>
      </c>
      <c r="J562" s="788">
        <v>41950</v>
      </c>
      <c r="L562" s="787">
        <v>5</v>
      </c>
      <c r="M562" s="787">
        <v>20</v>
      </c>
      <c r="N562" s="787">
        <v>5.38</v>
      </c>
      <c r="O562" s="788">
        <v>41955</v>
      </c>
    </row>
    <row r="563" spans="1:15" x14ac:dyDescent="0.25">
      <c r="A563" s="786" t="s">
        <v>560</v>
      </c>
      <c r="B563" s="787">
        <v>4</v>
      </c>
      <c r="C563" s="787" t="s">
        <v>1736</v>
      </c>
      <c r="D563" s="787">
        <v>0.83</v>
      </c>
      <c r="E563" s="787">
        <v>0.93</v>
      </c>
      <c r="F563" s="788">
        <v>42127</v>
      </c>
      <c r="G563" s="788">
        <v>42163</v>
      </c>
      <c r="H563" s="787">
        <v>1</v>
      </c>
      <c r="I563" s="788">
        <v>42166</v>
      </c>
      <c r="J563" s="788">
        <v>42163</v>
      </c>
      <c r="L563" s="787">
        <v>1</v>
      </c>
      <c r="M563" s="787">
        <v>20</v>
      </c>
      <c r="N563" s="787">
        <v>1.08</v>
      </c>
      <c r="O563" s="788">
        <v>41955</v>
      </c>
    </row>
    <row r="564" spans="1:15" x14ac:dyDescent="0.25">
      <c r="A564" s="786" t="s">
        <v>561</v>
      </c>
      <c r="B564" s="787">
        <v>4</v>
      </c>
      <c r="C564" s="787" t="s">
        <v>1737</v>
      </c>
      <c r="D564" s="787">
        <v>3.39</v>
      </c>
      <c r="E564" s="787">
        <v>3.46</v>
      </c>
      <c r="F564" s="788">
        <v>41508</v>
      </c>
      <c r="G564" s="788">
        <v>42013</v>
      </c>
      <c r="H564" s="787">
        <v>1</v>
      </c>
      <c r="I564" s="788">
        <v>42082</v>
      </c>
      <c r="J564" s="788">
        <v>41950</v>
      </c>
      <c r="L564" s="787">
        <v>4</v>
      </c>
      <c r="M564" s="787">
        <v>20</v>
      </c>
      <c r="N564" s="787">
        <v>4.3</v>
      </c>
      <c r="O564" s="788">
        <v>41955</v>
      </c>
    </row>
    <row r="565" spans="1:15" x14ac:dyDescent="0.25">
      <c r="A565" s="786" t="s">
        <v>1738</v>
      </c>
      <c r="B565" s="787">
        <v>4</v>
      </c>
      <c r="C565" s="787" t="s">
        <v>1739</v>
      </c>
      <c r="D565" s="787">
        <v>1.22</v>
      </c>
      <c r="E565" s="787">
        <v>1.28</v>
      </c>
      <c r="F565" s="788">
        <v>41431</v>
      </c>
      <c r="G565" s="788">
        <v>41870</v>
      </c>
      <c r="H565" s="787">
        <v>1</v>
      </c>
      <c r="I565" s="788">
        <v>42166</v>
      </c>
      <c r="J565" s="788">
        <v>42163</v>
      </c>
      <c r="L565" s="787">
        <v>1.3</v>
      </c>
      <c r="M565" s="787">
        <v>20</v>
      </c>
      <c r="N565" s="787">
        <v>1.4</v>
      </c>
      <c r="O565" s="788">
        <v>41955</v>
      </c>
    </row>
    <row r="566" spans="1:15" x14ac:dyDescent="0.25">
      <c r="A566" s="786" t="s">
        <v>1740</v>
      </c>
      <c r="B566" s="787">
        <v>4</v>
      </c>
      <c r="C566" s="787" t="s">
        <v>1741</v>
      </c>
      <c r="D566" s="787">
        <v>4.2</v>
      </c>
      <c r="E566" s="787">
        <v>4.34</v>
      </c>
      <c r="F566" s="788">
        <v>41733</v>
      </c>
      <c r="G566" s="788">
        <v>42142</v>
      </c>
      <c r="H566" s="787">
        <v>1</v>
      </c>
      <c r="I566" s="788">
        <v>42145</v>
      </c>
      <c r="J566" s="788">
        <v>42142</v>
      </c>
      <c r="L566" s="787">
        <v>4.1500000000000004</v>
      </c>
      <c r="M566" s="787">
        <v>20</v>
      </c>
      <c r="N566" s="787">
        <v>4.46</v>
      </c>
      <c r="O566" s="788">
        <v>41955</v>
      </c>
    </row>
    <row r="567" spans="1:15" x14ac:dyDescent="0.25">
      <c r="A567" s="786" t="s">
        <v>1742</v>
      </c>
      <c r="B567" s="787">
        <v>4</v>
      </c>
      <c r="C567" s="787" t="s">
        <v>1743</v>
      </c>
      <c r="D567" s="787">
        <v>1.27</v>
      </c>
      <c r="E567" s="787">
        <v>1.3</v>
      </c>
      <c r="F567" s="788">
        <v>41445</v>
      </c>
      <c r="G567" s="788">
        <v>42153</v>
      </c>
      <c r="H567" s="787">
        <v>1</v>
      </c>
      <c r="I567" s="788">
        <v>42156</v>
      </c>
      <c r="J567" s="788">
        <v>42153</v>
      </c>
      <c r="L567" s="787">
        <v>1.3</v>
      </c>
      <c r="M567" s="787">
        <v>20</v>
      </c>
      <c r="N567" s="787">
        <v>1.4</v>
      </c>
      <c r="O567" s="788">
        <v>41955</v>
      </c>
    </row>
    <row r="568" spans="1:15" x14ac:dyDescent="0.25">
      <c r="A568" s="786" t="s">
        <v>1744</v>
      </c>
      <c r="B568" s="787">
        <v>4</v>
      </c>
      <c r="C568" s="787" t="s">
        <v>1745</v>
      </c>
      <c r="D568" s="787">
        <v>4.51</v>
      </c>
      <c r="E568" s="787">
        <v>4.67</v>
      </c>
      <c r="F568" s="788">
        <v>41764</v>
      </c>
      <c r="G568" s="788">
        <v>42165</v>
      </c>
      <c r="H568" s="787">
        <v>1</v>
      </c>
      <c r="I568" s="788">
        <v>42123</v>
      </c>
      <c r="J568" s="788">
        <v>42163</v>
      </c>
      <c r="L568" s="787">
        <v>4.45</v>
      </c>
      <c r="M568" s="787">
        <v>20</v>
      </c>
      <c r="N568" s="787">
        <v>4.78</v>
      </c>
      <c r="O568" s="788">
        <v>41955</v>
      </c>
    </row>
    <row r="569" spans="1:15" x14ac:dyDescent="0.25">
      <c r="A569" s="786" t="s">
        <v>1746</v>
      </c>
      <c r="B569" s="787">
        <v>4</v>
      </c>
      <c r="C569" s="787" t="s">
        <v>1747</v>
      </c>
      <c r="D569" s="787">
        <v>1.36</v>
      </c>
      <c r="E569" s="787">
        <v>1.42</v>
      </c>
      <c r="F569" s="788">
        <v>41445</v>
      </c>
      <c r="G569" s="788">
        <v>42145</v>
      </c>
      <c r="H569" s="787">
        <v>1</v>
      </c>
      <c r="I569" s="788">
        <v>42152</v>
      </c>
      <c r="J569" s="788">
        <v>42145</v>
      </c>
      <c r="L569" s="787">
        <v>1.4</v>
      </c>
      <c r="M569" s="787">
        <v>20</v>
      </c>
      <c r="N569" s="787">
        <v>1.51</v>
      </c>
      <c r="O569" s="788">
        <v>41955</v>
      </c>
    </row>
    <row r="570" spans="1:15" x14ac:dyDescent="0.25">
      <c r="A570" s="786" t="s">
        <v>1748</v>
      </c>
      <c r="B570" s="787">
        <v>4</v>
      </c>
      <c r="C570" s="787" t="s">
        <v>1749</v>
      </c>
      <c r="D570" s="787">
        <v>4.91</v>
      </c>
      <c r="E570" s="787">
        <v>4.91</v>
      </c>
      <c r="F570" s="788">
        <v>41620</v>
      </c>
      <c r="G570" s="788">
        <v>42013</v>
      </c>
      <c r="H570" s="787">
        <v>1</v>
      </c>
      <c r="I570" s="788">
        <v>41992</v>
      </c>
      <c r="J570" s="788">
        <v>41995</v>
      </c>
      <c r="L570" s="787">
        <v>4.95</v>
      </c>
      <c r="M570" s="787">
        <v>20</v>
      </c>
      <c r="N570" s="787">
        <v>5.32</v>
      </c>
      <c r="O570" s="788">
        <v>41995</v>
      </c>
    </row>
    <row r="571" spans="1:15" x14ac:dyDescent="0.25">
      <c r="A571" s="786" t="s">
        <v>591</v>
      </c>
      <c r="B571" s="787">
        <v>4</v>
      </c>
      <c r="C571" s="787" t="s">
        <v>1750</v>
      </c>
      <c r="D571" s="787">
        <v>1.03</v>
      </c>
      <c r="E571" s="787">
        <v>1.03</v>
      </c>
      <c r="F571" s="788">
        <v>41508</v>
      </c>
      <c r="G571" s="788">
        <v>42165</v>
      </c>
      <c r="H571" s="787">
        <v>1</v>
      </c>
      <c r="I571" s="788">
        <v>42163</v>
      </c>
      <c r="J571" s="788">
        <v>42163</v>
      </c>
      <c r="K571" s="788">
        <v>41869</v>
      </c>
      <c r="L571" s="787">
        <v>1.03</v>
      </c>
      <c r="M571" s="787">
        <v>20</v>
      </c>
      <c r="N571" s="787">
        <v>1.1100000000000001</v>
      </c>
      <c r="O571" s="788">
        <v>42136</v>
      </c>
    </row>
    <row r="572" spans="1:15" x14ac:dyDescent="0.25">
      <c r="A572" s="786" t="s">
        <v>592</v>
      </c>
      <c r="B572" s="787">
        <v>4</v>
      </c>
      <c r="C572" s="787" t="s">
        <v>1751</v>
      </c>
      <c r="D572" s="787">
        <v>4.87</v>
      </c>
      <c r="E572" s="787">
        <v>4.87</v>
      </c>
      <c r="F572" s="788">
        <v>41550</v>
      </c>
      <c r="G572" s="788">
        <v>42013</v>
      </c>
      <c r="H572" s="787">
        <v>1</v>
      </c>
      <c r="I572" s="788">
        <v>42068</v>
      </c>
      <c r="J572" s="788">
        <v>41887</v>
      </c>
      <c r="L572" s="787">
        <v>5</v>
      </c>
      <c r="M572" s="787">
        <v>20</v>
      </c>
      <c r="N572" s="787">
        <v>5.38</v>
      </c>
      <c r="O572" s="788">
        <v>41955</v>
      </c>
    </row>
    <row r="573" spans="1:15" x14ac:dyDescent="0.25">
      <c r="A573" s="786" t="s">
        <v>1752</v>
      </c>
      <c r="B573" s="787">
        <v>4</v>
      </c>
      <c r="C573" s="787" t="s">
        <v>1753</v>
      </c>
      <c r="D573" s="787">
        <v>0.56000000000000005</v>
      </c>
      <c r="E573" s="787">
        <v>0.57999999999999996</v>
      </c>
      <c r="F573" s="788">
        <v>41438</v>
      </c>
      <c r="G573" s="788">
        <v>42013</v>
      </c>
      <c r="H573" s="787">
        <v>1</v>
      </c>
      <c r="I573" s="788">
        <v>42166</v>
      </c>
      <c r="J573" s="788">
        <v>42160</v>
      </c>
      <c r="L573" s="787">
        <v>0.6</v>
      </c>
      <c r="M573" s="787">
        <v>20</v>
      </c>
      <c r="N573" s="787">
        <v>0.65</v>
      </c>
      <c r="O573" s="788">
        <v>41955</v>
      </c>
    </row>
    <row r="574" spans="1:15" x14ac:dyDescent="0.25">
      <c r="A574" s="786" t="s">
        <v>1754</v>
      </c>
      <c r="B574" s="787">
        <v>4</v>
      </c>
      <c r="C574" s="787" t="s">
        <v>1755</v>
      </c>
      <c r="D574" s="787">
        <v>1.33</v>
      </c>
      <c r="E574" s="787">
        <v>1.33</v>
      </c>
      <c r="F574" s="788">
        <v>41914</v>
      </c>
      <c r="G574" s="788">
        <v>42013</v>
      </c>
      <c r="H574" s="787">
        <v>1</v>
      </c>
      <c r="I574" s="788">
        <v>42152</v>
      </c>
      <c r="J574" s="788">
        <v>41914</v>
      </c>
      <c r="L574" s="787">
        <v>1.45</v>
      </c>
      <c r="M574" s="787">
        <v>20</v>
      </c>
      <c r="N574" s="787">
        <v>1.56</v>
      </c>
      <c r="O574" s="788">
        <v>41955</v>
      </c>
    </row>
    <row r="575" spans="1:15" x14ac:dyDescent="0.25">
      <c r="A575" s="786" t="s">
        <v>1756</v>
      </c>
      <c r="B575" s="787">
        <v>4</v>
      </c>
      <c r="C575" s="787" t="s">
        <v>1757</v>
      </c>
      <c r="D575" s="787">
        <v>0</v>
      </c>
      <c r="E575" s="787">
        <v>0</v>
      </c>
      <c r="H575" s="787">
        <v>1</v>
      </c>
      <c r="L575" s="787">
        <v>1</v>
      </c>
      <c r="M575" s="787">
        <v>20</v>
      </c>
      <c r="N575" s="787">
        <v>1.08</v>
      </c>
      <c r="O575" s="788">
        <v>41955</v>
      </c>
    </row>
    <row r="576" spans="1:15" x14ac:dyDescent="0.25">
      <c r="A576" s="786" t="s">
        <v>1758</v>
      </c>
      <c r="B576" s="787">
        <v>4</v>
      </c>
      <c r="C576" s="787" t="s">
        <v>1759</v>
      </c>
      <c r="D576" s="787">
        <v>0.33</v>
      </c>
      <c r="E576" s="787">
        <v>0.33</v>
      </c>
      <c r="F576" s="788">
        <v>41499</v>
      </c>
      <c r="G576" s="788">
        <v>41551</v>
      </c>
      <c r="H576" s="787">
        <v>1</v>
      </c>
      <c r="I576" s="788">
        <v>41549</v>
      </c>
      <c r="J576" s="788">
        <v>41540</v>
      </c>
      <c r="K576" s="788">
        <v>41869</v>
      </c>
      <c r="L576" s="787">
        <v>0.33</v>
      </c>
      <c r="M576" s="787">
        <v>20</v>
      </c>
      <c r="N576" s="787">
        <v>0.35</v>
      </c>
      <c r="O576" s="788">
        <v>41955</v>
      </c>
    </row>
    <row r="577" spans="1:15" x14ac:dyDescent="0.25">
      <c r="A577" s="786" t="s">
        <v>579</v>
      </c>
      <c r="B577" s="787">
        <v>4</v>
      </c>
      <c r="C577" s="787" t="s">
        <v>1760</v>
      </c>
      <c r="D577" s="787">
        <v>9.58</v>
      </c>
      <c r="E577" s="787">
        <v>40.17</v>
      </c>
      <c r="F577" s="788">
        <v>41548</v>
      </c>
      <c r="G577" s="788">
        <v>42165</v>
      </c>
      <c r="H577" s="787">
        <v>1</v>
      </c>
      <c r="I577" s="788">
        <v>42166</v>
      </c>
      <c r="J577" s="788">
        <v>42165</v>
      </c>
      <c r="L577" s="787">
        <v>39.58</v>
      </c>
      <c r="M577" s="787">
        <v>20</v>
      </c>
      <c r="N577" s="787">
        <v>42.55</v>
      </c>
      <c r="O577" s="788">
        <v>42162</v>
      </c>
    </row>
    <row r="578" spans="1:15" x14ac:dyDescent="0.25">
      <c r="A578" s="786" t="s">
        <v>1761</v>
      </c>
      <c r="B578" s="787">
        <v>4</v>
      </c>
      <c r="C578" s="787" t="s">
        <v>1762</v>
      </c>
      <c r="D578" s="787">
        <v>9.24</v>
      </c>
      <c r="E578" s="787">
        <v>29.68</v>
      </c>
      <c r="F578" s="788">
        <v>41548</v>
      </c>
      <c r="G578" s="788">
        <v>42158</v>
      </c>
      <c r="H578" s="787">
        <v>1</v>
      </c>
      <c r="I578" s="788">
        <v>42166</v>
      </c>
      <c r="J578" s="788">
        <v>42157</v>
      </c>
      <c r="L578" s="787">
        <v>29.24</v>
      </c>
      <c r="M578" s="787">
        <v>20</v>
      </c>
      <c r="N578" s="787">
        <v>31.43</v>
      </c>
      <c r="O578" s="788">
        <v>42162</v>
      </c>
    </row>
    <row r="579" spans="1:15" x14ac:dyDescent="0.25">
      <c r="A579" s="786" t="s">
        <v>1763</v>
      </c>
      <c r="B579" s="787">
        <v>4</v>
      </c>
      <c r="C579" s="787" t="s">
        <v>1764</v>
      </c>
      <c r="D579" s="787">
        <v>0</v>
      </c>
      <c r="E579" s="787">
        <v>0</v>
      </c>
      <c r="G579" s="788">
        <v>42017</v>
      </c>
      <c r="H579" s="787">
        <v>1</v>
      </c>
      <c r="I579" s="788">
        <v>41901</v>
      </c>
      <c r="L579" s="787">
        <v>6</v>
      </c>
      <c r="M579" s="787">
        <v>20</v>
      </c>
      <c r="N579" s="787">
        <v>6.45</v>
      </c>
      <c r="O579" s="788">
        <v>41955</v>
      </c>
    </row>
    <row r="580" spans="1:15" x14ac:dyDescent="0.25">
      <c r="A580" s="786" t="s">
        <v>598</v>
      </c>
      <c r="B580" s="787">
        <v>4</v>
      </c>
      <c r="C580" s="787" t="s">
        <v>1765</v>
      </c>
      <c r="D580" s="787">
        <v>0</v>
      </c>
      <c r="E580" s="787">
        <v>0</v>
      </c>
      <c r="G580" s="788">
        <v>41766</v>
      </c>
      <c r="H580" s="787">
        <v>1</v>
      </c>
      <c r="I580" s="788">
        <v>42145</v>
      </c>
      <c r="J580" s="788">
        <v>42144</v>
      </c>
      <c r="L580" s="787">
        <v>5</v>
      </c>
      <c r="M580" s="787">
        <v>20</v>
      </c>
      <c r="N580" s="787">
        <v>5.38</v>
      </c>
      <c r="O580" s="788">
        <v>41955</v>
      </c>
    </row>
    <row r="581" spans="1:15" x14ac:dyDescent="0.25">
      <c r="A581" s="786" t="s">
        <v>1766</v>
      </c>
      <c r="B581" s="787">
        <v>4</v>
      </c>
      <c r="C581" s="787" t="s">
        <v>1767</v>
      </c>
      <c r="D581" s="787">
        <v>0.22</v>
      </c>
      <c r="E581" s="787">
        <v>0.24</v>
      </c>
      <c r="F581" s="788">
        <v>41571</v>
      </c>
      <c r="G581" s="788">
        <v>42165</v>
      </c>
      <c r="H581" s="787">
        <v>1</v>
      </c>
      <c r="I581" s="788">
        <v>42160</v>
      </c>
      <c r="J581" s="788">
        <v>42163</v>
      </c>
      <c r="K581" s="788">
        <v>41869</v>
      </c>
      <c r="L581" s="787">
        <v>0.22</v>
      </c>
      <c r="M581" s="787">
        <v>20</v>
      </c>
      <c r="N581" s="787">
        <v>0.24</v>
      </c>
      <c r="O581" s="788">
        <v>41955</v>
      </c>
    </row>
    <row r="582" spans="1:15" x14ac:dyDescent="0.25">
      <c r="A582" s="786" t="s">
        <v>636</v>
      </c>
      <c r="B582" s="787">
        <v>4</v>
      </c>
      <c r="C582" s="787" t="s">
        <v>1768</v>
      </c>
      <c r="D582" s="787">
        <v>0.42</v>
      </c>
      <c r="E582" s="787">
        <v>0.43</v>
      </c>
      <c r="F582" s="788">
        <v>41564</v>
      </c>
      <c r="G582" s="788">
        <v>42063</v>
      </c>
      <c r="H582" s="787">
        <v>1</v>
      </c>
      <c r="I582" s="788">
        <v>42081</v>
      </c>
      <c r="J582" s="788">
        <v>42052</v>
      </c>
      <c r="L582" s="787">
        <v>0.5</v>
      </c>
      <c r="M582" s="787">
        <v>20</v>
      </c>
      <c r="N582" s="787">
        <v>0.54</v>
      </c>
      <c r="O582" s="788">
        <v>41995</v>
      </c>
    </row>
    <row r="583" spans="1:15" x14ac:dyDescent="0.25">
      <c r="A583" s="786" t="s">
        <v>1769</v>
      </c>
      <c r="B583" s="787">
        <v>4</v>
      </c>
      <c r="C583" s="787" t="s">
        <v>1770</v>
      </c>
      <c r="D583" s="787">
        <v>0.27</v>
      </c>
      <c r="E583" s="787">
        <v>0.27</v>
      </c>
      <c r="F583" s="788">
        <v>41557</v>
      </c>
      <c r="G583" s="788">
        <v>42013</v>
      </c>
      <c r="H583" s="787">
        <v>1</v>
      </c>
      <c r="I583" s="788">
        <v>42165</v>
      </c>
      <c r="J583" s="788">
        <v>41936</v>
      </c>
      <c r="L583" s="787">
        <v>0.25</v>
      </c>
      <c r="M583" s="787">
        <v>20</v>
      </c>
      <c r="N583" s="787">
        <v>0.27</v>
      </c>
      <c r="O583" s="788">
        <v>41995</v>
      </c>
    </row>
    <row r="584" spans="1:15" x14ac:dyDescent="0.25">
      <c r="A584" s="786" t="s">
        <v>1771</v>
      </c>
      <c r="B584" s="787">
        <v>4</v>
      </c>
      <c r="C584" s="787" t="s">
        <v>1772</v>
      </c>
      <c r="D584" s="787">
        <v>0.56000000000000005</v>
      </c>
      <c r="E584" s="787">
        <v>0.56000000000000005</v>
      </c>
      <c r="F584" s="788">
        <v>41757</v>
      </c>
      <c r="G584" s="788">
        <v>41813</v>
      </c>
      <c r="H584" s="787">
        <v>1</v>
      </c>
      <c r="I584" s="788">
        <v>41820</v>
      </c>
      <c r="J584" s="788">
        <v>41821</v>
      </c>
      <c r="L584" s="787">
        <v>0.6</v>
      </c>
      <c r="M584" s="787">
        <v>20</v>
      </c>
      <c r="N584" s="787">
        <v>0.65</v>
      </c>
      <c r="O584" s="788">
        <v>41996</v>
      </c>
    </row>
    <row r="585" spans="1:15" x14ac:dyDescent="0.25">
      <c r="A585" s="786" t="s">
        <v>664</v>
      </c>
      <c r="B585" s="787">
        <v>4</v>
      </c>
      <c r="C585" s="787" t="s">
        <v>1773</v>
      </c>
      <c r="D585" s="787">
        <v>0</v>
      </c>
      <c r="E585" s="787">
        <v>0</v>
      </c>
      <c r="G585" s="788">
        <v>41766</v>
      </c>
      <c r="H585" s="787">
        <v>1</v>
      </c>
      <c r="I585" s="788">
        <v>42023</v>
      </c>
      <c r="J585" s="788">
        <v>41848</v>
      </c>
      <c r="L585" s="787">
        <v>0.6</v>
      </c>
      <c r="M585" s="787">
        <v>20</v>
      </c>
      <c r="N585" s="787">
        <v>0.65</v>
      </c>
      <c r="O585" s="788">
        <v>41996</v>
      </c>
    </row>
    <row r="586" spans="1:15" x14ac:dyDescent="0.25">
      <c r="A586" s="786" t="s">
        <v>1774</v>
      </c>
      <c r="B586" s="787">
        <v>4</v>
      </c>
      <c r="C586" s="787" t="s">
        <v>1775</v>
      </c>
      <c r="D586" s="787">
        <v>7.76</v>
      </c>
      <c r="E586" s="787">
        <v>127.76</v>
      </c>
      <c r="F586" s="788">
        <v>41745</v>
      </c>
      <c r="G586" s="788">
        <v>42013</v>
      </c>
      <c r="H586" s="787">
        <v>1</v>
      </c>
      <c r="I586" s="788">
        <v>41800</v>
      </c>
      <c r="J586" s="788">
        <v>41757</v>
      </c>
      <c r="L586" s="787">
        <v>127.76</v>
      </c>
      <c r="M586" s="787">
        <v>20</v>
      </c>
      <c r="N586" s="787">
        <v>137.34</v>
      </c>
      <c r="O586" s="788">
        <v>41955</v>
      </c>
    </row>
    <row r="587" spans="1:15" x14ac:dyDescent="0.25">
      <c r="A587" s="786" t="s">
        <v>1776</v>
      </c>
      <c r="B587" s="787">
        <v>4</v>
      </c>
      <c r="C587" s="787" t="s">
        <v>1777</v>
      </c>
      <c r="D587" s="787">
        <v>0.21</v>
      </c>
      <c r="E587" s="787">
        <v>0.23</v>
      </c>
      <c r="F587" s="788">
        <v>41789</v>
      </c>
      <c r="G587" s="788">
        <v>41974</v>
      </c>
      <c r="H587" s="787">
        <v>1</v>
      </c>
      <c r="I587" s="788">
        <v>41970</v>
      </c>
      <c r="J587" s="788">
        <v>41969</v>
      </c>
      <c r="K587" s="788">
        <v>41786</v>
      </c>
      <c r="L587" s="787">
        <v>0.3</v>
      </c>
      <c r="M587" s="787">
        <v>20</v>
      </c>
      <c r="N587" s="787">
        <v>0.32</v>
      </c>
      <c r="O587" s="788">
        <v>41955</v>
      </c>
    </row>
    <row r="588" spans="1:15" x14ac:dyDescent="0.25">
      <c r="A588" s="786" t="s">
        <v>1778</v>
      </c>
      <c r="B588" s="787">
        <v>4</v>
      </c>
      <c r="C588" s="787" t="s">
        <v>1779</v>
      </c>
      <c r="D588" s="787">
        <v>0</v>
      </c>
      <c r="E588" s="787">
        <v>0</v>
      </c>
      <c r="H588" s="787">
        <v>1</v>
      </c>
      <c r="L588" s="787">
        <v>0.5</v>
      </c>
      <c r="M588" s="787">
        <v>20</v>
      </c>
      <c r="N588" s="787">
        <v>0</v>
      </c>
    </row>
    <row r="589" spans="1:15" x14ac:dyDescent="0.25">
      <c r="A589" s="786" t="s">
        <v>1780</v>
      </c>
      <c r="B589" s="787">
        <v>4</v>
      </c>
      <c r="C589" s="787" t="s">
        <v>1781</v>
      </c>
      <c r="D589" s="787">
        <v>0.94</v>
      </c>
      <c r="E589" s="787">
        <v>0.94</v>
      </c>
      <c r="F589" s="788">
        <v>41767</v>
      </c>
      <c r="G589" s="788">
        <v>42150</v>
      </c>
      <c r="H589" s="787">
        <v>1</v>
      </c>
      <c r="I589" s="788">
        <v>42163</v>
      </c>
      <c r="J589" s="788">
        <v>42150</v>
      </c>
      <c r="K589" s="788">
        <v>41869</v>
      </c>
      <c r="L589" s="787">
        <v>0.94</v>
      </c>
      <c r="M589" s="787">
        <v>20</v>
      </c>
      <c r="N589" s="787">
        <v>1.01</v>
      </c>
      <c r="O589" s="788">
        <v>41955</v>
      </c>
    </row>
    <row r="590" spans="1:15" x14ac:dyDescent="0.25">
      <c r="A590" s="786" t="s">
        <v>1782</v>
      </c>
      <c r="B590" s="787">
        <v>4</v>
      </c>
      <c r="C590" s="787" t="s">
        <v>1783</v>
      </c>
      <c r="D590" s="787">
        <v>0</v>
      </c>
      <c r="E590" s="787">
        <v>0</v>
      </c>
      <c r="G590" s="788">
        <v>42017</v>
      </c>
      <c r="H590" s="787">
        <v>1</v>
      </c>
      <c r="I590" s="788">
        <v>42114</v>
      </c>
      <c r="J590" s="788">
        <v>42088</v>
      </c>
      <c r="L590" s="787">
        <v>1.5</v>
      </c>
      <c r="M590" s="787">
        <v>20</v>
      </c>
      <c r="N590" s="787">
        <v>1.61</v>
      </c>
      <c r="O590" s="788">
        <v>41955</v>
      </c>
    </row>
    <row r="591" spans="1:15" x14ac:dyDescent="0.25">
      <c r="A591" s="786" t="s">
        <v>1784</v>
      </c>
      <c r="B591" s="787">
        <v>4</v>
      </c>
      <c r="C591" s="787" t="s">
        <v>1785</v>
      </c>
      <c r="D591" s="787">
        <v>1.33</v>
      </c>
      <c r="E591" s="787">
        <v>1.33</v>
      </c>
      <c r="F591" s="788">
        <v>41925</v>
      </c>
      <c r="G591" s="788">
        <v>42165</v>
      </c>
      <c r="H591" s="787">
        <v>1</v>
      </c>
      <c r="I591" s="788">
        <v>41946</v>
      </c>
      <c r="J591" s="788">
        <v>42163</v>
      </c>
      <c r="L591" s="787">
        <v>1.7</v>
      </c>
      <c r="M591" s="787">
        <v>20</v>
      </c>
      <c r="N591" s="787">
        <v>1.83</v>
      </c>
      <c r="O591" s="788">
        <v>41955</v>
      </c>
    </row>
    <row r="592" spans="1:15" x14ac:dyDescent="0.25">
      <c r="A592" s="786" t="s">
        <v>1786</v>
      </c>
      <c r="B592" s="787">
        <v>4</v>
      </c>
      <c r="C592" s="787" t="s">
        <v>1787</v>
      </c>
      <c r="D592" s="787">
        <v>1.55</v>
      </c>
      <c r="E592" s="787">
        <v>1.55</v>
      </c>
      <c r="F592" s="788">
        <v>41866</v>
      </c>
      <c r="G592" s="788">
        <v>42142</v>
      </c>
      <c r="H592" s="787">
        <v>1</v>
      </c>
      <c r="I592" s="788">
        <v>42115</v>
      </c>
      <c r="J592" s="788">
        <v>42096</v>
      </c>
      <c r="L592" s="787">
        <v>2</v>
      </c>
      <c r="M592" s="787">
        <v>20</v>
      </c>
      <c r="N592" s="787">
        <v>2.15</v>
      </c>
      <c r="O592" s="788">
        <v>41955</v>
      </c>
    </row>
    <row r="593" spans="1:15" x14ac:dyDescent="0.25">
      <c r="A593" s="786" t="s">
        <v>1788</v>
      </c>
      <c r="B593" s="787">
        <v>4</v>
      </c>
      <c r="C593" s="787" t="s">
        <v>1789</v>
      </c>
      <c r="D593" s="787">
        <v>2.11</v>
      </c>
      <c r="E593" s="787">
        <v>2.11</v>
      </c>
      <c r="F593" s="788">
        <v>41613</v>
      </c>
      <c r="G593" s="788">
        <v>41646</v>
      </c>
      <c r="H593" s="787">
        <v>1</v>
      </c>
      <c r="I593" s="788">
        <v>42090</v>
      </c>
      <c r="J593" s="788">
        <v>41631</v>
      </c>
      <c r="L593" s="787">
        <v>2</v>
      </c>
      <c r="M593" s="787">
        <v>20</v>
      </c>
      <c r="N593" s="787">
        <v>2.15</v>
      </c>
      <c r="O593" s="788">
        <v>41955</v>
      </c>
    </row>
    <row r="594" spans="1:15" x14ac:dyDescent="0.25">
      <c r="A594" s="786" t="s">
        <v>1790</v>
      </c>
      <c r="B594" s="787">
        <v>4</v>
      </c>
      <c r="C594" s="787" t="s">
        <v>1791</v>
      </c>
      <c r="D594" s="787">
        <v>2.0499999999999998</v>
      </c>
      <c r="E594" s="787">
        <v>2.3199999999999998</v>
      </c>
      <c r="F594" s="788">
        <v>41925</v>
      </c>
      <c r="G594" s="788">
        <v>42045</v>
      </c>
      <c r="H594" s="787">
        <v>1</v>
      </c>
      <c r="I594" s="788">
        <v>42041</v>
      </c>
      <c r="J594" s="788">
        <v>42034</v>
      </c>
      <c r="L594" s="787">
        <v>2</v>
      </c>
      <c r="M594" s="787">
        <v>20</v>
      </c>
      <c r="N594" s="787">
        <v>2.15</v>
      </c>
      <c r="O594" s="788">
        <v>41955</v>
      </c>
    </row>
    <row r="595" spans="1:15" x14ac:dyDescent="0.25">
      <c r="A595" s="786" t="s">
        <v>1792</v>
      </c>
      <c r="B595" s="787">
        <v>4</v>
      </c>
      <c r="C595" s="787" t="s">
        <v>1793</v>
      </c>
      <c r="D595" s="787">
        <v>2.81</v>
      </c>
      <c r="E595" s="787">
        <v>2.81</v>
      </c>
      <c r="F595" s="788">
        <v>41787</v>
      </c>
      <c r="G595" s="788">
        <v>42030</v>
      </c>
      <c r="H595" s="787">
        <v>1</v>
      </c>
      <c r="I595" s="788">
        <v>41946</v>
      </c>
      <c r="J595" s="788">
        <v>42024</v>
      </c>
      <c r="L595" s="787">
        <v>2</v>
      </c>
      <c r="M595" s="787">
        <v>20</v>
      </c>
      <c r="N595" s="787">
        <v>2.15</v>
      </c>
      <c r="O595" s="788">
        <v>41955</v>
      </c>
    </row>
    <row r="596" spans="1:15" x14ac:dyDescent="0.25">
      <c r="A596" s="786" t="s">
        <v>1794</v>
      </c>
      <c r="B596" s="787">
        <v>4</v>
      </c>
      <c r="C596" s="787" t="s">
        <v>1795</v>
      </c>
      <c r="D596" s="787">
        <v>0.64</v>
      </c>
      <c r="E596" s="787">
        <v>0.64</v>
      </c>
      <c r="F596" s="788">
        <v>41787</v>
      </c>
      <c r="G596" s="788">
        <v>41800</v>
      </c>
      <c r="H596" s="787">
        <v>1</v>
      </c>
      <c r="I596" s="788">
        <v>42153</v>
      </c>
      <c r="J596" s="788">
        <v>41792</v>
      </c>
      <c r="L596" s="787">
        <v>0.5</v>
      </c>
      <c r="M596" s="787">
        <v>20</v>
      </c>
      <c r="N596" s="787">
        <v>0.54</v>
      </c>
      <c r="O596" s="788">
        <v>41955</v>
      </c>
    </row>
    <row r="597" spans="1:15" x14ac:dyDescent="0.25">
      <c r="A597" s="786" t="s">
        <v>1796</v>
      </c>
      <c r="B597" s="787">
        <v>4</v>
      </c>
      <c r="C597" s="787" t="s">
        <v>1797</v>
      </c>
      <c r="D597" s="787">
        <v>0</v>
      </c>
      <c r="E597" s="787">
        <v>0</v>
      </c>
      <c r="H597" s="787">
        <v>1</v>
      </c>
      <c r="I597" s="788">
        <v>42165</v>
      </c>
      <c r="L597" s="787">
        <v>2</v>
      </c>
      <c r="M597" s="787">
        <v>20</v>
      </c>
      <c r="N597" s="787">
        <v>2.15</v>
      </c>
      <c r="O597" s="788">
        <v>41955</v>
      </c>
    </row>
    <row r="598" spans="1:15" x14ac:dyDescent="0.25">
      <c r="A598" s="786" t="s">
        <v>1798</v>
      </c>
      <c r="B598" s="787">
        <v>4</v>
      </c>
      <c r="C598" s="787" t="s">
        <v>1799</v>
      </c>
      <c r="D598" s="787">
        <v>0</v>
      </c>
      <c r="E598" s="787">
        <v>0</v>
      </c>
      <c r="H598" s="787">
        <v>1</v>
      </c>
      <c r="I598" s="788">
        <v>42039</v>
      </c>
      <c r="L598" s="787">
        <v>2</v>
      </c>
      <c r="M598" s="787">
        <v>20</v>
      </c>
      <c r="N598" s="787">
        <v>2.15</v>
      </c>
      <c r="O598" s="788">
        <v>41955</v>
      </c>
    </row>
    <row r="599" spans="1:15" x14ac:dyDescent="0.25">
      <c r="A599" s="786" t="s">
        <v>1800</v>
      </c>
      <c r="B599" s="787">
        <v>4</v>
      </c>
      <c r="C599" s="787" t="s">
        <v>1699</v>
      </c>
      <c r="D599" s="787">
        <v>0</v>
      </c>
      <c r="E599" s="787">
        <v>0</v>
      </c>
      <c r="H599" s="787">
        <v>6</v>
      </c>
      <c r="L599" s="787">
        <v>2</v>
      </c>
      <c r="M599" s="787">
        <v>20</v>
      </c>
      <c r="N599" s="787">
        <v>2.15</v>
      </c>
      <c r="O599" s="788">
        <v>41663</v>
      </c>
    </row>
    <row r="600" spans="1:15" x14ac:dyDescent="0.25">
      <c r="A600" s="786" t="s">
        <v>1801</v>
      </c>
      <c r="B600" s="787">
        <v>4</v>
      </c>
      <c r="C600" s="787" t="s">
        <v>1802</v>
      </c>
      <c r="D600" s="787">
        <v>0</v>
      </c>
      <c r="E600" s="787">
        <v>1.96</v>
      </c>
      <c r="H600" s="787">
        <v>1</v>
      </c>
      <c r="I600" s="788">
        <v>41919</v>
      </c>
      <c r="L600" s="787">
        <v>2</v>
      </c>
      <c r="M600" s="787">
        <v>20</v>
      </c>
      <c r="N600" s="787">
        <v>2.15</v>
      </c>
      <c r="O600" s="788">
        <v>41955</v>
      </c>
    </row>
    <row r="601" spans="1:15" x14ac:dyDescent="0.25">
      <c r="A601" s="786" t="s">
        <v>1803</v>
      </c>
      <c r="B601" s="787">
        <v>4</v>
      </c>
      <c r="C601" s="787" t="s">
        <v>1804</v>
      </c>
      <c r="D601" s="787">
        <v>0</v>
      </c>
      <c r="E601" s="787">
        <v>0</v>
      </c>
      <c r="H601" s="787">
        <v>1</v>
      </c>
      <c r="I601" s="788">
        <v>41806</v>
      </c>
      <c r="L601" s="787">
        <v>2</v>
      </c>
      <c r="M601" s="787">
        <v>20</v>
      </c>
      <c r="N601" s="787">
        <v>2.15</v>
      </c>
      <c r="O601" s="788">
        <v>41955</v>
      </c>
    </row>
    <row r="602" spans="1:15" x14ac:dyDescent="0.25">
      <c r="A602" s="786" t="s">
        <v>1805</v>
      </c>
      <c r="B602" s="787">
        <v>4</v>
      </c>
      <c r="C602" s="787" t="s">
        <v>1806</v>
      </c>
      <c r="D602" s="787">
        <v>0</v>
      </c>
      <c r="E602" s="787">
        <v>0</v>
      </c>
      <c r="H602" s="787">
        <v>1</v>
      </c>
      <c r="L602" s="787">
        <v>2</v>
      </c>
      <c r="M602" s="787">
        <v>20</v>
      </c>
      <c r="N602" s="787">
        <v>2.15</v>
      </c>
      <c r="O602" s="788">
        <v>41955</v>
      </c>
    </row>
    <row r="603" spans="1:15" x14ac:dyDescent="0.25">
      <c r="A603" s="786" t="s">
        <v>1807</v>
      </c>
      <c r="B603" s="787">
        <v>4</v>
      </c>
      <c r="C603" s="787" t="s">
        <v>1808</v>
      </c>
      <c r="D603" s="787">
        <v>0</v>
      </c>
      <c r="E603" s="787">
        <v>0</v>
      </c>
      <c r="H603" s="787">
        <v>1</v>
      </c>
      <c r="I603" s="788">
        <v>41806</v>
      </c>
      <c r="L603" s="787">
        <v>2</v>
      </c>
      <c r="M603" s="787">
        <v>20</v>
      </c>
      <c r="N603" s="787">
        <v>2.15</v>
      </c>
      <c r="O603" s="788">
        <v>41955</v>
      </c>
    </row>
    <row r="604" spans="1:15" x14ac:dyDescent="0.25">
      <c r="A604" s="786" t="s">
        <v>1809</v>
      </c>
      <c r="B604" s="787">
        <v>4</v>
      </c>
      <c r="C604" s="787" t="s">
        <v>1810</v>
      </c>
      <c r="D604" s="787">
        <v>0</v>
      </c>
      <c r="E604" s="787">
        <v>0</v>
      </c>
      <c r="H604" s="787">
        <v>1</v>
      </c>
      <c r="I604" s="788">
        <v>41884</v>
      </c>
      <c r="L604" s="787">
        <v>2</v>
      </c>
      <c r="M604" s="787">
        <v>20</v>
      </c>
      <c r="N604" s="787">
        <v>2.15</v>
      </c>
      <c r="O604" s="788">
        <v>41955</v>
      </c>
    </row>
    <row r="605" spans="1:15" x14ac:dyDescent="0.25">
      <c r="A605" s="786" t="s">
        <v>1811</v>
      </c>
      <c r="B605" s="787">
        <v>4</v>
      </c>
      <c r="C605" s="787" t="s">
        <v>1812</v>
      </c>
      <c r="D605" s="787">
        <v>0</v>
      </c>
      <c r="E605" s="787">
        <v>0</v>
      </c>
      <c r="H605" s="787">
        <v>1</v>
      </c>
      <c r="L605" s="787">
        <v>2</v>
      </c>
      <c r="M605" s="787">
        <v>20</v>
      </c>
      <c r="N605" s="787">
        <v>2.15</v>
      </c>
      <c r="O605" s="788">
        <v>41955</v>
      </c>
    </row>
    <row r="606" spans="1:15" x14ac:dyDescent="0.25">
      <c r="A606" s="786" t="s">
        <v>1813</v>
      </c>
      <c r="B606" s="787">
        <v>4</v>
      </c>
      <c r="C606" s="787" t="s">
        <v>1814</v>
      </c>
      <c r="D606" s="787">
        <v>0</v>
      </c>
      <c r="E606" s="787">
        <v>0</v>
      </c>
      <c r="H606" s="787">
        <v>1</v>
      </c>
      <c r="I606" s="788">
        <v>42123</v>
      </c>
      <c r="L606" s="787">
        <v>2</v>
      </c>
      <c r="M606" s="787">
        <v>20</v>
      </c>
      <c r="N606" s="787">
        <v>2.15</v>
      </c>
      <c r="O606" s="788">
        <v>41955</v>
      </c>
    </row>
    <row r="607" spans="1:15" x14ac:dyDescent="0.25">
      <c r="A607" s="786" t="s">
        <v>1815</v>
      </c>
      <c r="B607" s="787">
        <v>4</v>
      </c>
      <c r="C607" s="787" t="s">
        <v>1816</v>
      </c>
      <c r="D607" s="787">
        <v>0</v>
      </c>
      <c r="E607" s="787">
        <v>0</v>
      </c>
      <c r="H607" s="787">
        <v>1</v>
      </c>
      <c r="L607" s="787">
        <v>2</v>
      </c>
      <c r="M607" s="787">
        <v>20</v>
      </c>
      <c r="N607" s="787">
        <v>2.15</v>
      </c>
      <c r="O607" s="788">
        <v>41955</v>
      </c>
    </row>
    <row r="608" spans="1:15" x14ac:dyDescent="0.25">
      <c r="A608" s="786" t="s">
        <v>1817</v>
      </c>
      <c r="B608" s="787">
        <v>4</v>
      </c>
      <c r="C608" s="787" t="s">
        <v>1818</v>
      </c>
      <c r="D608" s="787">
        <v>0</v>
      </c>
      <c r="E608" s="787">
        <v>0</v>
      </c>
      <c r="H608" s="787">
        <v>1</v>
      </c>
      <c r="I608" s="788">
        <v>41627</v>
      </c>
      <c r="L608" s="787">
        <v>2</v>
      </c>
      <c r="M608" s="787">
        <v>20</v>
      </c>
      <c r="N608" s="787">
        <v>2.15</v>
      </c>
      <c r="O608" s="788">
        <v>41955</v>
      </c>
    </row>
    <row r="609" spans="1:15" x14ac:dyDescent="0.25">
      <c r="A609" s="786" t="s">
        <v>1819</v>
      </c>
      <c r="B609" s="787">
        <v>4</v>
      </c>
      <c r="C609" s="787" t="s">
        <v>1820</v>
      </c>
      <c r="D609" s="787">
        <v>0</v>
      </c>
      <c r="E609" s="787">
        <v>0</v>
      </c>
      <c r="H609" s="787">
        <v>1</v>
      </c>
      <c r="L609" s="787">
        <v>2.5</v>
      </c>
      <c r="M609" s="787">
        <v>20</v>
      </c>
      <c r="N609" s="787">
        <v>2.69</v>
      </c>
      <c r="O609" s="788">
        <v>41955</v>
      </c>
    </row>
    <row r="610" spans="1:15" x14ac:dyDescent="0.25">
      <c r="A610" s="786" t="s">
        <v>1821</v>
      </c>
      <c r="B610" s="787">
        <v>4</v>
      </c>
      <c r="C610" s="787" t="s">
        <v>1822</v>
      </c>
      <c r="D610" s="787">
        <v>0</v>
      </c>
      <c r="E610" s="787">
        <v>0</v>
      </c>
      <c r="G610" s="788">
        <v>42017</v>
      </c>
      <c r="H610" s="787">
        <v>1</v>
      </c>
      <c r="L610" s="787">
        <v>6</v>
      </c>
      <c r="M610" s="787">
        <v>20</v>
      </c>
      <c r="N610" s="787">
        <v>6.45</v>
      </c>
      <c r="O610" s="788">
        <v>41955</v>
      </c>
    </row>
    <row r="611" spans="1:15" x14ac:dyDescent="0.25">
      <c r="A611" s="786" t="s">
        <v>1823</v>
      </c>
      <c r="B611" s="787">
        <v>4</v>
      </c>
      <c r="C611" s="787" t="s">
        <v>1824</v>
      </c>
      <c r="D611" s="787">
        <v>3.09</v>
      </c>
      <c r="E611" s="787">
        <v>3.09</v>
      </c>
      <c r="F611" s="788">
        <v>41901</v>
      </c>
      <c r="G611" s="788">
        <v>42013</v>
      </c>
      <c r="H611" s="787">
        <v>1</v>
      </c>
      <c r="I611" s="788">
        <v>41946</v>
      </c>
      <c r="J611" s="788">
        <v>41914</v>
      </c>
      <c r="L611" s="787">
        <v>5</v>
      </c>
      <c r="M611" s="787">
        <v>20</v>
      </c>
      <c r="N611" s="787">
        <v>5.38</v>
      </c>
      <c r="O611" s="788">
        <v>41955</v>
      </c>
    </row>
    <row r="612" spans="1:15" x14ac:dyDescent="0.25">
      <c r="A612" s="786" t="s">
        <v>1825</v>
      </c>
      <c r="B612" s="787">
        <v>4</v>
      </c>
      <c r="C612" s="787" t="s">
        <v>1826</v>
      </c>
      <c r="D612" s="787">
        <v>0</v>
      </c>
      <c r="E612" s="787">
        <v>0</v>
      </c>
      <c r="H612" s="787">
        <v>1</v>
      </c>
      <c r="L612" s="787">
        <v>5</v>
      </c>
      <c r="M612" s="787">
        <v>20</v>
      </c>
      <c r="N612" s="787">
        <v>5.38</v>
      </c>
      <c r="O612" s="788">
        <v>41955</v>
      </c>
    </row>
    <row r="613" spans="1:15" x14ac:dyDescent="0.25">
      <c r="A613" s="786" t="s">
        <v>1827</v>
      </c>
      <c r="B613" s="787">
        <v>4</v>
      </c>
      <c r="C613" s="787" t="s">
        <v>1828</v>
      </c>
      <c r="D613" s="787">
        <v>0.49</v>
      </c>
      <c r="E613" s="787">
        <v>0.49</v>
      </c>
      <c r="F613" s="788">
        <v>38887</v>
      </c>
      <c r="G613" s="788">
        <v>42013</v>
      </c>
      <c r="H613" s="787">
        <v>1</v>
      </c>
      <c r="I613" s="788">
        <v>42123</v>
      </c>
      <c r="J613" s="788">
        <v>38883</v>
      </c>
      <c r="K613" s="788">
        <v>41869</v>
      </c>
      <c r="L613" s="787">
        <v>0.49</v>
      </c>
      <c r="M613" s="787">
        <v>20</v>
      </c>
      <c r="N613" s="787">
        <v>0.53</v>
      </c>
      <c r="O613" s="788">
        <v>41995</v>
      </c>
    </row>
    <row r="614" spans="1:15" x14ac:dyDescent="0.25">
      <c r="A614" s="786" t="s">
        <v>558</v>
      </c>
      <c r="B614" s="787">
        <v>4</v>
      </c>
      <c r="C614" s="787" t="s">
        <v>1829</v>
      </c>
      <c r="D614" s="787">
        <v>0.38</v>
      </c>
      <c r="E614" s="787">
        <v>0.38</v>
      </c>
      <c r="F614" s="788">
        <v>41733</v>
      </c>
      <c r="G614" s="788">
        <v>41892</v>
      </c>
      <c r="H614" s="787">
        <v>1</v>
      </c>
      <c r="I614" s="788">
        <v>42160</v>
      </c>
      <c r="J614" s="788">
        <v>41892</v>
      </c>
      <c r="L614" s="787">
        <v>0.37</v>
      </c>
      <c r="M614" s="787">
        <v>20</v>
      </c>
      <c r="N614" s="787">
        <v>0.4</v>
      </c>
      <c r="O614" s="788">
        <v>42163</v>
      </c>
    </row>
    <row r="615" spans="1:15" x14ac:dyDescent="0.25">
      <c r="A615" s="786" t="s">
        <v>1830</v>
      </c>
      <c r="B615" s="787">
        <v>4</v>
      </c>
      <c r="C615" s="787" t="s">
        <v>1831</v>
      </c>
      <c r="D615" s="787">
        <v>0.31</v>
      </c>
      <c r="E615" s="787">
        <v>0.31</v>
      </c>
      <c r="F615" s="788">
        <v>39101</v>
      </c>
      <c r="G615" s="788">
        <v>39101</v>
      </c>
      <c r="H615" s="787">
        <v>6</v>
      </c>
      <c r="I615" s="788">
        <v>41785</v>
      </c>
      <c r="J615" s="788">
        <v>39101</v>
      </c>
      <c r="L615" s="787">
        <v>0.33</v>
      </c>
      <c r="M615" s="787">
        <v>20</v>
      </c>
      <c r="N615" s="787">
        <v>0.33</v>
      </c>
      <c r="O615" s="788">
        <v>41814</v>
      </c>
    </row>
    <row r="616" spans="1:15" x14ac:dyDescent="0.25">
      <c r="A616" s="786" t="s">
        <v>1832</v>
      </c>
      <c r="B616" s="787">
        <v>4</v>
      </c>
      <c r="C616" s="787" t="s">
        <v>1833</v>
      </c>
      <c r="D616" s="787">
        <v>0.32</v>
      </c>
      <c r="E616" s="787">
        <v>0.32</v>
      </c>
      <c r="F616" s="788">
        <v>39101</v>
      </c>
      <c r="G616" s="788">
        <v>39101</v>
      </c>
      <c r="H616" s="787">
        <v>6</v>
      </c>
      <c r="I616" s="788">
        <v>41795</v>
      </c>
      <c r="J616" s="788">
        <v>41806</v>
      </c>
      <c r="L616" s="787">
        <v>0.28999999999999998</v>
      </c>
      <c r="M616" s="787">
        <v>20</v>
      </c>
      <c r="N616" s="787">
        <v>0.34</v>
      </c>
      <c r="O616" s="788">
        <v>41806</v>
      </c>
    </row>
    <row r="617" spans="1:15" x14ac:dyDescent="0.25">
      <c r="A617" s="786" t="s">
        <v>1834</v>
      </c>
      <c r="B617" s="787">
        <v>4</v>
      </c>
      <c r="C617" s="787" t="s">
        <v>1835</v>
      </c>
      <c r="D617" s="787">
        <v>0.27</v>
      </c>
      <c r="E617" s="787">
        <v>0.55000000000000004</v>
      </c>
      <c r="F617" s="788">
        <v>39101</v>
      </c>
      <c r="G617" s="788">
        <v>42013</v>
      </c>
      <c r="H617" s="787">
        <v>1</v>
      </c>
      <c r="I617" s="788">
        <v>42115</v>
      </c>
      <c r="J617" s="788">
        <v>42123</v>
      </c>
      <c r="L617" s="787">
        <v>0.28999999999999998</v>
      </c>
      <c r="M617" s="787">
        <v>20</v>
      </c>
      <c r="N617" s="787">
        <v>0.31</v>
      </c>
      <c r="O617" s="788">
        <v>42158</v>
      </c>
    </row>
    <row r="618" spans="1:15" x14ac:dyDescent="0.25">
      <c r="A618" s="786" t="s">
        <v>1836</v>
      </c>
      <c r="B618" s="787">
        <v>4</v>
      </c>
      <c r="C618" s="787" t="s">
        <v>1837</v>
      </c>
      <c r="D618" s="787">
        <v>0.02</v>
      </c>
      <c r="E618" s="787">
        <v>0.03</v>
      </c>
      <c r="F618" s="788">
        <v>39101</v>
      </c>
      <c r="G618" s="788">
        <v>42013</v>
      </c>
      <c r="H618" s="787">
        <v>1</v>
      </c>
      <c r="I618" s="788">
        <v>42094</v>
      </c>
      <c r="J618" s="788">
        <v>41663</v>
      </c>
      <c r="L618" s="787">
        <v>0.02</v>
      </c>
      <c r="M618" s="787">
        <v>20</v>
      </c>
      <c r="N618" s="787">
        <v>0.02</v>
      </c>
      <c r="O618" s="788">
        <v>41955</v>
      </c>
    </row>
    <row r="619" spans="1:15" x14ac:dyDescent="0.25">
      <c r="A619" s="786" t="s">
        <v>481</v>
      </c>
      <c r="B619" s="787">
        <v>4</v>
      </c>
      <c r="C619" s="787" t="s">
        <v>1838</v>
      </c>
      <c r="D619" s="787">
        <v>0.04</v>
      </c>
      <c r="E619" s="787">
        <v>0.04</v>
      </c>
      <c r="F619" s="788">
        <v>39101</v>
      </c>
      <c r="G619" s="788">
        <v>42013</v>
      </c>
      <c r="H619" s="787">
        <v>1</v>
      </c>
      <c r="I619" s="788">
        <v>42165</v>
      </c>
      <c r="J619" s="788">
        <v>41901</v>
      </c>
      <c r="L619" s="787">
        <v>0.02</v>
      </c>
      <c r="M619" s="787">
        <v>20</v>
      </c>
      <c r="N619" s="787">
        <v>0.02</v>
      </c>
      <c r="O619" s="788">
        <v>42053</v>
      </c>
    </row>
    <row r="620" spans="1:15" x14ac:dyDescent="0.25">
      <c r="A620" s="786" t="s">
        <v>1839</v>
      </c>
      <c r="B620" s="787">
        <v>4</v>
      </c>
      <c r="C620" s="787" t="s">
        <v>1840</v>
      </c>
      <c r="D620" s="787">
        <v>7.0000000000000007E-2</v>
      </c>
      <c r="E620" s="787">
        <v>0.09</v>
      </c>
      <c r="F620" s="788">
        <v>39101</v>
      </c>
      <c r="G620" s="788">
        <v>42013</v>
      </c>
      <c r="H620" s="787">
        <v>1</v>
      </c>
      <c r="I620" s="788">
        <v>42153</v>
      </c>
      <c r="J620" s="788">
        <v>41820</v>
      </c>
      <c r="L620" s="787">
        <v>0.05</v>
      </c>
      <c r="M620" s="787">
        <v>20</v>
      </c>
      <c r="N620" s="787">
        <v>0.05</v>
      </c>
      <c r="O620" s="788">
        <v>41955</v>
      </c>
    </row>
    <row r="621" spans="1:15" x14ac:dyDescent="0.25">
      <c r="A621" s="786" t="s">
        <v>1841</v>
      </c>
      <c r="B621" s="787">
        <v>4</v>
      </c>
      <c r="C621" s="787" t="s">
        <v>1842</v>
      </c>
      <c r="D621" s="787">
        <v>0.11</v>
      </c>
      <c r="E621" s="787">
        <v>0.1</v>
      </c>
      <c r="F621" s="788">
        <v>39101</v>
      </c>
      <c r="G621" s="788">
        <v>39101</v>
      </c>
      <c r="H621" s="787">
        <v>1</v>
      </c>
      <c r="I621" s="788">
        <v>42039</v>
      </c>
      <c r="J621" s="788">
        <v>39101</v>
      </c>
      <c r="L621" s="787">
        <v>0.1</v>
      </c>
      <c r="M621" s="787">
        <v>20</v>
      </c>
      <c r="N621" s="787">
        <v>0.11</v>
      </c>
      <c r="O621" s="788">
        <v>41955</v>
      </c>
    </row>
    <row r="622" spans="1:15" x14ac:dyDescent="0.25">
      <c r="A622" s="786" t="s">
        <v>1843</v>
      </c>
      <c r="B622" s="787">
        <v>4</v>
      </c>
      <c r="C622" s="787" t="s">
        <v>1844</v>
      </c>
      <c r="D622" s="787">
        <v>1.02</v>
      </c>
      <c r="E622" s="787">
        <v>1.02</v>
      </c>
      <c r="F622" s="788">
        <v>38047</v>
      </c>
      <c r="G622" s="788">
        <v>38047</v>
      </c>
      <c r="H622" s="787">
        <v>1</v>
      </c>
      <c r="I622" s="788">
        <v>38254</v>
      </c>
      <c r="J622" s="788">
        <v>38047</v>
      </c>
      <c r="L622" s="787">
        <v>1.02</v>
      </c>
      <c r="M622" s="787">
        <v>20</v>
      </c>
      <c r="N622" s="787">
        <v>1.1000000000000001</v>
      </c>
      <c r="O622" s="788">
        <v>41955</v>
      </c>
    </row>
    <row r="623" spans="1:15" x14ac:dyDescent="0.25">
      <c r="A623" s="786" t="s">
        <v>1845</v>
      </c>
      <c r="B623" s="787">
        <v>4</v>
      </c>
      <c r="C623" s="787" t="s">
        <v>1846</v>
      </c>
      <c r="D623" s="787">
        <v>1.02</v>
      </c>
      <c r="E623" s="787">
        <v>1.02</v>
      </c>
      <c r="F623" s="788">
        <v>38047</v>
      </c>
      <c r="G623" s="788">
        <v>38047</v>
      </c>
      <c r="H623" s="787">
        <v>1</v>
      </c>
      <c r="I623" s="788">
        <v>41027</v>
      </c>
      <c r="J623" s="788">
        <v>38047</v>
      </c>
      <c r="L623" s="787">
        <v>1.02</v>
      </c>
      <c r="M623" s="787">
        <v>20</v>
      </c>
      <c r="N623" s="787">
        <v>1.1000000000000001</v>
      </c>
      <c r="O623" s="788">
        <v>41955</v>
      </c>
    </row>
    <row r="624" spans="1:15" x14ac:dyDescent="0.25">
      <c r="A624" s="786" t="s">
        <v>1847</v>
      </c>
      <c r="B624" s="787">
        <v>4</v>
      </c>
      <c r="C624" s="787" t="s">
        <v>1848</v>
      </c>
      <c r="D624" s="787">
        <v>0.56000000000000005</v>
      </c>
      <c r="E624" s="787">
        <v>0.56000000000000005</v>
      </c>
      <c r="F624" s="788">
        <v>39101</v>
      </c>
      <c r="G624" s="788">
        <v>39101</v>
      </c>
      <c r="H624" s="787">
        <v>6</v>
      </c>
      <c r="I624" s="788">
        <v>40852</v>
      </c>
      <c r="J624" s="788">
        <v>39101</v>
      </c>
      <c r="L624" s="787">
        <v>0.56000000000000005</v>
      </c>
      <c r="M624" s="787">
        <v>20</v>
      </c>
      <c r="N624" s="787">
        <v>0.6</v>
      </c>
      <c r="O624" s="788">
        <v>41626</v>
      </c>
    </row>
    <row r="625" spans="1:15" x14ac:dyDescent="0.25">
      <c r="A625" s="786" t="s">
        <v>1849</v>
      </c>
      <c r="B625" s="787">
        <v>4</v>
      </c>
      <c r="C625" s="787" t="s">
        <v>1850</v>
      </c>
      <c r="D625" s="787">
        <v>1.84</v>
      </c>
      <c r="E625" s="787">
        <v>1.84</v>
      </c>
      <c r="F625" s="788">
        <v>39101</v>
      </c>
      <c r="G625" s="788">
        <v>39101</v>
      </c>
      <c r="H625" s="787">
        <v>1</v>
      </c>
      <c r="I625" s="788">
        <v>40534</v>
      </c>
      <c r="J625" s="788">
        <v>39149</v>
      </c>
      <c r="L625" s="787">
        <v>1.84</v>
      </c>
      <c r="M625" s="787">
        <v>20</v>
      </c>
      <c r="N625" s="787">
        <v>1.98</v>
      </c>
      <c r="O625" s="788">
        <v>41955</v>
      </c>
    </row>
    <row r="626" spans="1:15" x14ac:dyDescent="0.25">
      <c r="A626" s="786" t="s">
        <v>1851</v>
      </c>
      <c r="B626" s="787">
        <v>4</v>
      </c>
      <c r="C626" s="787" t="s">
        <v>1852</v>
      </c>
      <c r="D626" s="787">
        <v>0.26</v>
      </c>
      <c r="E626" s="787">
        <v>0.45</v>
      </c>
      <c r="F626" s="788">
        <v>39101</v>
      </c>
      <c r="G626" s="788">
        <v>42013</v>
      </c>
      <c r="H626" s="787">
        <v>1</v>
      </c>
      <c r="I626" s="788">
        <v>39293</v>
      </c>
      <c r="J626" s="788">
        <v>41677</v>
      </c>
      <c r="L626" s="787">
        <v>0.38</v>
      </c>
      <c r="M626" s="787">
        <v>20</v>
      </c>
      <c r="N626" s="787">
        <v>0.41</v>
      </c>
      <c r="O626" s="788">
        <v>41955</v>
      </c>
    </row>
    <row r="627" spans="1:15" x14ac:dyDescent="0.25">
      <c r="A627" s="786" t="s">
        <v>1853</v>
      </c>
      <c r="B627" s="787">
        <v>4</v>
      </c>
      <c r="C627" s="787" t="s">
        <v>1854</v>
      </c>
      <c r="D627" s="787">
        <v>0.62</v>
      </c>
      <c r="E627" s="787">
        <v>0.62</v>
      </c>
      <c r="F627" s="788">
        <v>39101</v>
      </c>
      <c r="G627" s="788">
        <v>39101</v>
      </c>
      <c r="H627" s="787">
        <v>1</v>
      </c>
      <c r="I627" s="788">
        <v>41227</v>
      </c>
      <c r="J627" s="788">
        <v>39149</v>
      </c>
      <c r="L627" s="787">
        <v>0.65</v>
      </c>
      <c r="M627" s="787">
        <v>20</v>
      </c>
      <c r="N627" s="787">
        <v>0.7</v>
      </c>
      <c r="O627" s="788">
        <v>41955</v>
      </c>
    </row>
    <row r="628" spans="1:15" x14ac:dyDescent="0.25">
      <c r="A628" s="786" t="s">
        <v>1855</v>
      </c>
      <c r="B628" s="787">
        <v>4</v>
      </c>
      <c r="C628" s="787" t="s">
        <v>1856</v>
      </c>
      <c r="D628" s="787">
        <v>0.06</v>
      </c>
      <c r="E628" s="787">
        <v>0.06</v>
      </c>
      <c r="F628" s="788">
        <v>39799</v>
      </c>
      <c r="G628" s="788">
        <v>39590</v>
      </c>
      <c r="H628" s="787">
        <v>1</v>
      </c>
      <c r="I628" s="788">
        <v>40151</v>
      </c>
      <c r="J628" s="788">
        <v>39149</v>
      </c>
      <c r="L628" s="787">
        <v>0.06</v>
      </c>
      <c r="M628" s="787">
        <v>20</v>
      </c>
      <c r="N628" s="787">
        <v>0.06</v>
      </c>
      <c r="O628" s="788">
        <v>41955</v>
      </c>
    </row>
    <row r="629" spans="1:15" x14ac:dyDescent="0.25">
      <c r="A629" s="786" t="s">
        <v>1857</v>
      </c>
      <c r="B629" s="787">
        <v>4</v>
      </c>
      <c r="C629" s="787" t="s">
        <v>1858</v>
      </c>
      <c r="D629" s="787">
        <v>0.15</v>
      </c>
      <c r="E629" s="787">
        <v>0.15</v>
      </c>
      <c r="F629" s="788">
        <v>39101</v>
      </c>
      <c r="G629" s="788">
        <v>39101</v>
      </c>
      <c r="H629" s="787">
        <v>1</v>
      </c>
      <c r="I629" s="788">
        <v>39134</v>
      </c>
      <c r="J629" s="788">
        <v>39149</v>
      </c>
      <c r="L629" s="787">
        <v>0.15</v>
      </c>
      <c r="M629" s="787">
        <v>20</v>
      </c>
      <c r="N629" s="787">
        <v>0.16</v>
      </c>
      <c r="O629" s="788">
        <v>41955</v>
      </c>
    </row>
    <row r="630" spans="1:15" x14ac:dyDescent="0.25">
      <c r="A630" s="786" t="s">
        <v>1859</v>
      </c>
      <c r="B630" s="787">
        <v>4</v>
      </c>
      <c r="C630" s="787" t="s">
        <v>1860</v>
      </c>
      <c r="D630" s="787">
        <v>1.1100000000000001</v>
      </c>
      <c r="E630" s="787">
        <v>1.75</v>
      </c>
      <c r="F630" s="788">
        <v>39101</v>
      </c>
      <c r="G630" s="788">
        <v>42037</v>
      </c>
      <c r="H630" s="787">
        <v>1</v>
      </c>
      <c r="I630" s="788">
        <v>42037</v>
      </c>
      <c r="J630" s="788">
        <v>42037</v>
      </c>
      <c r="K630" s="788">
        <v>41865</v>
      </c>
      <c r="L630" s="787">
        <v>1.74</v>
      </c>
      <c r="M630" s="787">
        <v>20</v>
      </c>
      <c r="N630" s="787">
        <v>1.87</v>
      </c>
      <c r="O630" s="788">
        <v>42037</v>
      </c>
    </row>
    <row r="631" spans="1:15" x14ac:dyDescent="0.25">
      <c r="A631" s="786" t="s">
        <v>1861</v>
      </c>
      <c r="B631" s="787">
        <v>4</v>
      </c>
      <c r="C631" s="787" t="s">
        <v>1862</v>
      </c>
      <c r="D631" s="787">
        <v>0.14000000000000001</v>
      </c>
      <c r="E631" s="787">
        <v>0.14000000000000001</v>
      </c>
      <c r="F631" s="788">
        <v>39101</v>
      </c>
      <c r="G631" s="788">
        <v>39101</v>
      </c>
      <c r="H631" s="787">
        <v>1</v>
      </c>
      <c r="I631" s="788">
        <v>40639</v>
      </c>
      <c r="J631" s="788">
        <v>39149</v>
      </c>
      <c r="L631" s="787">
        <v>0.14000000000000001</v>
      </c>
      <c r="M631" s="787">
        <v>20</v>
      </c>
      <c r="N631" s="787">
        <v>0.15</v>
      </c>
      <c r="O631" s="788">
        <v>41955</v>
      </c>
    </row>
    <row r="632" spans="1:15" x14ac:dyDescent="0.25">
      <c r="A632" s="786" t="s">
        <v>1863</v>
      </c>
      <c r="B632" s="787">
        <v>4</v>
      </c>
      <c r="C632" s="787" t="s">
        <v>1864</v>
      </c>
      <c r="D632" s="787">
        <v>0.2</v>
      </c>
      <c r="E632" s="787">
        <v>0.37</v>
      </c>
      <c r="F632" s="788">
        <v>39101</v>
      </c>
      <c r="G632" s="788">
        <v>42013</v>
      </c>
      <c r="H632" s="787">
        <v>1</v>
      </c>
      <c r="I632" s="788">
        <v>42058</v>
      </c>
      <c r="J632" s="788">
        <v>41537</v>
      </c>
      <c r="K632" s="788">
        <v>41865</v>
      </c>
      <c r="L632" s="787">
        <v>0.37</v>
      </c>
      <c r="M632" s="787">
        <v>20</v>
      </c>
      <c r="N632" s="787">
        <v>0.4</v>
      </c>
      <c r="O632" s="788">
        <v>41955</v>
      </c>
    </row>
    <row r="633" spans="1:15" x14ac:dyDescent="0.25">
      <c r="A633" s="786" t="s">
        <v>1865</v>
      </c>
      <c r="B633" s="787">
        <v>4</v>
      </c>
      <c r="C633" s="787" t="s">
        <v>1866</v>
      </c>
      <c r="D633" s="787">
        <v>0.1</v>
      </c>
      <c r="E633" s="787">
        <v>0.1</v>
      </c>
      <c r="F633" s="788">
        <v>39101</v>
      </c>
      <c r="G633" s="788">
        <v>39101</v>
      </c>
      <c r="H633" s="787">
        <v>1</v>
      </c>
      <c r="I633" s="788">
        <v>41950</v>
      </c>
      <c r="J633" s="788">
        <v>39149</v>
      </c>
      <c r="L633" s="787">
        <v>0.1</v>
      </c>
      <c r="M633" s="787">
        <v>20</v>
      </c>
      <c r="N633" s="787">
        <v>0.11</v>
      </c>
      <c r="O633" s="788">
        <v>41955</v>
      </c>
    </row>
    <row r="634" spans="1:15" x14ac:dyDescent="0.25">
      <c r="A634" s="786" t="s">
        <v>1867</v>
      </c>
      <c r="B634" s="787">
        <v>4</v>
      </c>
      <c r="C634" s="787" t="s">
        <v>1868</v>
      </c>
      <c r="D634" s="787">
        <v>0.72</v>
      </c>
      <c r="E634" s="787">
        <v>0.72</v>
      </c>
      <c r="F634" s="788">
        <v>38047</v>
      </c>
      <c r="G634" s="788">
        <v>38736</v>
      </c>
      <c r="H634" s="787">
        <v>1</v>
      </c>
      <c r="I634" s="788">
        <v>39134</v>
      </c>
      <c r="J634" s="788">
        <v>38047</v>
      </c>
      <c r="L634" s="787">
        <v>0.72</v>
      </c>
      <c r="M634" s="787">
        <v>20</v>
      </c>
      <c r="N634" s="787">
        <v>0.77</v>
      </c>
      <c r="O634" s="788">
        <v>41955</v>
      </c>
    </row>
    <row r="635" spans="1:15" x14ac:dyDescent="0.25">
      <c r="A635" s="786" t="s">
        <v>1869</v>
      </c>
      <c r="B635" s="787">
        <v>4</v>
      </c>
      <c r="C635" s="787" t="s">
        <v>1870</v>
      </c>
      <c r="D635" s="787">
        <v>0.2</v>
      </c>
      <c r="E635" s="787">
        <v>0.2</v>
      </c>
      <c r="F635" s="788">
        <v>38222</v>
      </c>
      <c r="G635" s="788">
        <v>38736</v>
      </c>
      <c r="H635" s="787">
        <v>6</v>
      </c>
      <c r="I635" s="788">
        <v>39727</v>
      </c>
      <c r="J635" s="788">
        <v>38215</v>
      </c>
      <c r="K635" s="788">
        <v>41869</v>
      </c>
      <c r="L635" s="787">
        <v>0.2</v>
      </c>
      <c r="M635" s="787">
        <v>20</v>
      </c>
      <c r="N635" s="787">
        <v>0.91</v>
      </c>
      <c r="O635" s="788">
        <v>41858</v>
      </c>
    </row>
    <row r="636" spans="1:15" x14ac:dyDescent="0.25">
      <c r="A636" s="786" t="s">
        <v>1871</v>
      </c>
      <c r="B636" s="787">
        <v>4</v>
      </c>
      <c r="C636" s="787" t="s">
        <v>1872</v>
      </c>
      <c r="D636" s="787">
        <v>0.28000000000000003</v>
      </c>
      <c r="E636" s="787">
        <v>0.42</v>
      </c>
      <c r="F636" s="788">
        <v>39101</v>
      </c>
      <c r="G636" s="788">
        <v>41564</v>
      </c>
      <c r="H636" s="787">
        <v>1</v>
      </c>
      <c r="I636" s="788">
        <v>42031</v>
      </c>
      <c r="J636" s="788">
        <v>41561</v>
      </c>
      <c r="L636" s="787">
        <v>0.28000000000000003</v>
      </c>
      <c r="M636" s="787">
        <v>20</v>
      </c>
      <c r="N636" s="787">
        <v>0.3</v>
      </c>
      <c r="O636" s="788">
        <v>42053</v>
      </c>
    </row>
    <row r="637" spans="1:15" x14ac:dyDescent="0.25">
      <c r="A637" s="786" t="s">
        <v>1873</v>
      </c>
      <c r="B637" s="787">
        <v>4</v>
      </c>
      <c r="C637" s="787" t="s">
        <v>1874</v>
      </c>
      <c r="D637" s="787">
        <v>0.45</v>
      </c>
      <c r="E637" s="787">
        <v>0.62</v>
      </c>
      <c r="F637" s="788">
        <v>39101</v>
      </c>
      <c r="G637" s="788">
        <v>42013</v>
      </c>
      <c r="H637" s="787">
        <v>1</v>
      </c>
      <c r="I637" s="788">
        <v>41906</v>
      </c>
      <c r="J637" s="788">
        <v>41537</v>
      </c>
      <c r="K637" s="788">
        <v>41865</v>
      </c>
      <c r="L637" s="787">
        <v>0.63</v>
      </c>
      <c r="M637" s="787">
        <v>20</v>
      </c>
      <c r="N637" s="787">
        <v>0.68</v>
      </c>
      <c r="O637" s="788">
        <v>41955</v>
      </c>
    </row>
    <row r="638" spans="1:15" x14ac:dyDescent="0.25">
      <c r="A638" s="786" t="s">
        <v>1875</v>
      </c>
      <c r="B638" s="787">
        <v>4</v>
      </c>
      <c r="C638" s="787" t="s">
        <v>1876</v>
      </c>
      <c r="D638" s="787">
        <v>0.64</v>
      </c>
      <c r="E638" s="787">
        <v>0.64</v>
      </c>
      <c r="F638" s="788">
        <v>38047</v>
      </c>
      <c r="G638" s="788">
        <v>38047</v>
      </c>
      <c r="H638" s="787">
        <v>1</v>
      </c>
      <c r="I638" s="788">
        <v>37330</v>
      </c>
      <c r="J638" s="788">
        <v>38047</v>
      </c>
      <c r="L638" s="787">
        <v>0.64</v>
      </c>
      <c r="M638" s="787">
        <v>20</v>
      </c>
      <c r="N638" s="787">
        <v>0.69</v>
      </c>
      <c r="O638" s="788">
        <v>41955</v>
      </c>
    </row>
    <row r="639" spans="1:15" x14ac:dyDescent="0.25">
      <c r="A639" s="786" t="s">
        <v>1877</v>
      </c>
      <c r="B639" s="787">
        <v>4</v>
      </c>
      <c r="C639" s="787" t="s">
        <v>1878</v>
      </c>
      <c r="D639" s="787">
        <v>1.95</v>
      </c>
      <c r="E639" s="787">
        <v>1.95</v>
      </c>
      <c r="F639" s="788">
        <v>38047</v>
      </c>
      <c r="G639" s="788">
        <v>38047</v>
      </c>
      <c r="H639" s="787">
        <v>1</v>
      </c>
      <c r="I639" s="788">
        <v>39468</v>
      </c>
      <c r="J639" s="788">
        <v>38047</v>
      </c>
      <c r="L639" s="787">
        <v>1.95</v>
      </c>
      <c r="M639" s="787">
        <v>20</v>
      </c>
      <c r="N639" s="787">
        <v>2.1</v>
      </c>
      <c r="O639" s="788">
        <v>41955</v>
      </c>
    </row>
    <row r="640" spans="1:15" x14ac:dyDescent="0.25">
      <c r="A640" s="786" t="s">
        <v>1879</v>
      </c>
      <c r="B640" s="787">
        <v>4</v>
      </c>
      <c r="C640" s="787" t="s">
        <v>1880</v>
      </c>
      <c r="D640" s="787">
        <v>1.18</v>
      </c>
      <c r="E640" s="787">
        <v>1.18</v>
      </c>
      <c r="F640" s="788">
        <v>39101</v>
      </c>
      <c r="G640" s="788">
        <v>39101</v>
      </c>
      <c r="H640" s="787">
        <v>1</v>
      </c>
      <c r="I640" s="788">
        <v>42157</v>
      </c>
      <c r="J640" s="788">
        <v>39149</v>
      </c>
      <c r="L640" s="787">
        <v>0.74</v>
      </c>
      <c r="M640" s="787">
        <v>20</v>
      </c>
      <c r="N640" s="787">
        <v>0.8</v>
      </c>
      <c r="O640" s="788">
        <v>42163</v>
      </c>
    </row>
    <row r="641" spans="1:15" x14ac:dyDescent="0.25">
      <c r="A641" s="786" t="s">
        <v>1881</v>
      </c>
      <c r="B641" s="787">
        <v>4</v>
      </c>
      <c r="C641" s="787" t="s">
        <v>1882</v>
      </c>
      <c r="D641" s="787">
        <v>0.8</v>
      </c>
      <c r="E641" s="787">
        <v>0.8</v>
      </c>
      <c r="F641" s="788">
        <v>39101</v>
      </c>
      <c r="G641" s="788">
        <v>39101</v>
      </c>
      <c r="H641" s="787">
        <v>1</v>
      </c>
      <c r="I641" s="788">
        <v>39134</v>
      </c>
      <c r="J641" s="788">
        <v>39149</v>
      </c>
      <c r="L641" s="787">
        <v>0.8</v>
      </c>
      <c r="M641" s="787">
        <v>20</v>
      </c>
      <c r="N641" s="787">
        <v>0.86</v>
      </c>
      <c r="O641" s="788">
        <v>41955</v>
      </c>
    </row>
    <row r="642" spans="1:15" x14ac:dyDescent="0.25">
      <c r="A642" s="786" t="s">
        <v>1883</v>
      </c>
      <c r="B642" s="787">
        <v>4</v>
      </c>
      <c r="C642" s="787" t="s">
        <v>1884</v>
      </c>
      <c r="D642" s="787">
        <v>0.83</v>
      </c>
      <c r="E642" s="787">
        <v>0.83</v>
      </c>
      <c r="F642" s="788">
        <v>38247</v>
      </c>
      <c r="G642" s="788">
        <v>38247</v>
      </c>
      <c r="H642" s="787">
        <v>1</v>
      </c>
      <c r="J642" s="788">
        <v>38230</v>
      </c>
      <c r="L642" s="787">
        <v>0.83</v>
      </c>
      <c r="M642" s="787">
        <v>20</v>
      </c>
      <c r="N642" s="787">
        <v>0.89</v>
      </c>
      <c r="O642" s="788">
        <v>41955</v>
      </c>
    </row>
    <row r="643" spans="1:15" x14ac:dyDescent="0.25">
      <c r="A643" s="786" t="s">
        <v>563</v>
      </c>
      <c r="B643" s="787">
        <v>4</v>
      </c>
      <c r="C643" s="787" t="s">
        <v>1885</v>
      </c>
      <c r="D643" s="787">
        <v>1.2</v>
      </c>
      <c r="E643" s="787">
        <v>29.25</v>
      </c>
      <c r="F643" s="788">
        <v>39101</v>
      </c>
      <c r="G643" s="788">
        <v>41438</v>
      </c>
      <c r="H643" s="787">
        <v>1</v>
      </c>
      <c r="I643" s="788">
        <v>42166</v>
      </c>
      <c r="J643" s="788">
        <v>42163</v>
      </c>
      <c r="K643" s="788">
        <v>41423</v>
      </c>
      <c r="L643" s="787">
        <v>29.75</v>
      </c>
      <c r="M643" s="787">
        <v>20</v>
      </c>
      <c r="N643" s="787">
        <v>31.98</v>
      </c>
      <c r="O643" s="788">
        <v>42124</v>
      </c>
    </row>
    <row r="644" spans="1:15" x14ac:dyDescent="0.25">
      <c r="A644" s="786" t="s">
        <v>1886</v>
      </c>
      <c r="B644" s="787">
        <v>4</v>
      </c>
      <c r="C644" s="787" t="s">
        <v>1887</v>
      </c>
      <c r="D644" s="787">
        <v>2.5</v>
      </c>
      <c r="E644" s="787">
        <v>2.5</v>
      </c>
      <c r="F644" s="788">
        <v>39101</v>
      </c>
      <c r="G644" s="788">
        <v>39101</v>
      </c>
      <c r="H644" s="787">
        <v>1</v>
      </c>
      <c r="I644" s="788">
        <v>41508</v>
      </c>
      <c r="J644" s="788">
        <v>39149</v>
      </c>
      <c r="L644" s="787">
        <v>2.5</v>
      </c>
      <c r="M644" s="787">
        <v>20</v>
      </c>
      <c r="N644" s="787">
        <v>2.69</v>
      </c>
      <c r="O644" s="788">
        <v>41955</v>
      </c>
    </row>
    <row r="645" spans="1:15" x14ac:dyDescent="0.25">
      <c r="A645" s="786" t="s">
        <v>1888</v>
      </c>
      <c r="B645" s="787">
        <v>4</v>
      </c>
      <c r="C645" s="787" t="s">
        <v>1889</v>
      </c>
      <c r="D645" s="787">
        <v>3.64</v>
      </c>
      <c r="E645" s="787">
        <v>3.64</v>
      </c>
      <c r="F645" s="788">
        <v>39101</v>
      </c>
      <c r="G645" s="788">
        <v>39101</v>
      </c>
      <c r="H645" s="787">
        <v>1</v>
      </c>
      <c r="I645" s="788">
        <v>39968</v>
      </c>
      <c r="J645" s="788">
        <v>39149</v>
      </c>
      <c r="L645" s="787">
        <v>3.64</v>
      </c>
      <c r="M645" s="787">
        <v>20</v>
      </c>
      <c r="N645" s="787">
        <v>3.91</v>
      </c>
      <c r="O645" s="788">
        <v>41955</v>
      </c>
    </row>
    <row r="646" spans="1:15" x14ac:dyDescent="0.25">
      <c r="A646" s="786" t="s">
        <v>1890</v>
      </c>
      <c r="B646" s="787">
        <v>4</v>
      </c>
      <c r="C646" s="787" t="s">
        <v>1891</v>
      </c>
      <c r="D646" s="787">
        <v>0.34</v>
      </c>
      <c r="E646" s="787">
        <v>0.34</v>
      </c>
      <c r="F646" s="788">
        <v>39101</v>
      </c>
      <c r="G646" s="788">
        <v>39101</v>
      </c>
      <c r="H646" s="787">
        <v>1</v>
      </c>
      <c r="I646" s="788">
        <v>42164</v>
      </c>
      <c r="J646" s="788">
        <v>39149</v>
      </c>
      <c r="L646" s="787">
        <v>0.34</v>
      </c>
      <c r="M646" s="787">
        <v>20</v>
      </c>
      <c r="N646" s="787">
        <v>0.37</v>
      </c>
      <c r="O646" s="788">
        <v>41955</v>
      </c>
    </row>
    <row r="647" spans="1:15" x14ac:dyDescent="0.25">
      <c r="A647" s="786" t="s">
        <v>673</v>
      </c>
      <c r="B647" s="787">
        <v>4</v>
      </c>
      <c r="C647" s="787" t="s">
        <v>1892</v>
      </c>
      <c r="D647" s="787">
        <v>0.25</v>
      </c>
      <c r="E647" s="787">
        <v>0.48</v>
      </c>
      <c r="F647" s="788">
        <v>39101</v>
      </c>
      <c r="G647" s="788">
        <v>42163</v>
      </c>
      <c r="H647" s="787">
        <v>1</v>
      </c>
      <c r="I647" s="788">
        <v>42166</v>
      </c>
      <c r="J647" s="788">
        <v>42163</v>
      </c>
      <c r="K647" s="788">
        <v>41530</v>
      </c>
      <c r="L647" s="787">
        <v>0.65</v>
      </c>
      <c r="M647" s="787">
        <v>20</v>
      </c>
      <c r="N647" s="787">
        <v>0.7</v>
      </c>
      <c r="O647" s="788">
        <v>41955</v>
      </c>
    </row>
    <row r="648" spans="1:15" x14ac:dyDescent="0.25">
      <c r="A648" s="786" t="s">
        <v>1893</v>
      </c>
      <c r="B648" s="787">
        <v>4</v>
      </c>
      <c r="C648" s="787" t="s">
        <v>1894</v>
      </c>
      <c r="D648" s="787">
        <v>0</v>
      </c>
      <c r="E648" s="787">
        <v>0</v>
      </c>
      <c r="H648" s="787">
        <v>1</v>
      </c>
      <c r="I648" s="788">
        <v>41065</v>
      </c>
      <c r="L648" s="787">
        <v>0</v>
      </c>
      <c r="M648" s="787">
        <v>20</v>
      </c>
      <c r="N648" s="787">
        <v>0</v>
      </c>
      <c r="O648" s="788">
        <v>40824</v>
      </c>
    </row>
    <row r="649" spans="1:15" x14ac:dyDescent="0.25">
      <c r="A649" s="786" t="s">
        <v>1895</v>
      </c>
      <c r="B649" s="787">
        <v>4</v>
      </c>
      <c r="C649" s="787" t="s">
        <v>1896</v>
      </c>
      <c r="D649" s="787">
        <v>0</v>
      </c>
      <c r="E649" s="787">
        <v>0</v>
      </c>
      <c r="H649" s="787">
        <v>1</v>
      </c>
      <c r="L649" s="787">
        <v>0</v>
      </c>
      <c r="M649" s="787">
        <v>20</v>
      </c>
      <c r="N649" s="787">
        <v>0</v>
      </c>
      <c r="O649" s="788">
        <v>40824</v>
      </c>
    </row>
    <row r="650" spans="1:15" x14ac:dyDescent="0.25">
      <c r="A650" s="786" t="s">
        <v>1897</v>
      </c>
      <c r="B650" s="787">
        <v>4</v>
      </c>
      <c r="C650" s="787" t="s">
        <v>1898</v>
      </c>
      <c r="D650" s="787">
        <v>9.75</v>
      </c>
      <c r="E650" s="787">
        <v>29.75</v>
      </c>
      <c r="F650" s="788">
        <v>41480</v>
      </c>
      <c r="G650" s="788">
        <v>41480</v>
      </c>
      <c r="H650" s="787">
        <v>1</v>
      </c>
      <c r="I650" s="788">
        <v>42165</v>
      </c>
      <c r="J650" s="788">
        <v>42068</v>
      </c>
      <c r="K650" s="788">
        <v>41423</v>
      </c>
      <c r="L650" s="787">
        <v>29.75</v>
      </c>
      <c r="M650" s="787">
        <v>20</v>
      </c>
      <c r="N650" s="787">
        <v>31.98</v>
      </c>
      <c r="O650" s="788">
        <v>41955</v>
      </c>
    </row>
    <row r="651" spans="1:15" x14ac:dyDescent="0.25">
      <c r="A651" s="786" t="s">
        <v>1899</v>
      </c>
      <c r="B651" s="787">
        <v>4</v>
      </c>
      <c r="C651" s="787" t="s">
        <v>1900</v>
      </c>
      <c r="D651" s="787">
        <v>0</v>
      </c>
      <c r="E651" s="787">
        <v>0</v>
      </c>
      <c r="G651" s="788">
        <v>41696</v>
      </c>
      <c r="H651" s="787">
        <v>1</v>
      </c>
      <c r="I651" s="788">
        <v>41719</v>
      </c>
      <c r="J651" s="788">
        <v>41764</v>
      </c>
      <c r="K651" s="788">
        <v>41423</v>
      </c>
      <c r="L651" s="787">
        <v>0.48</v>
      </c>
      <c r="M651" s="787">
        <v>20</v>
      </c>
      <c r="N651" s="787">
        <v>0.52</v>
      </c>
      <c r="O651" s="788">
        <v>41955</v>
      </c>
    </row>
    <row r="652" spans="1:15" x14ac:dyDescent="0.25">
      <c r="A652" s="786" t="s">
        <v>1901</v>
      </c>
      <c r="B652" s="787">
        <v>4</v>
      </c>
      <c r="C652" s="787" t="s">
        <v>1902</v>
      </c>
      <c r="D652" s="787">
        <v>0</v>
      </c>
      <c r="E652" s="787">
        <v>0</v>
      </c>
      <c r="H652" s="787">
        <v>1</v>
      </c>
      <c r="L652" s="787">
        <v>6</v>
      </c>
      <c r="M652" s="787">
        <v>20</v>
      </c>
      <c r="N652" s="787">
        <v>6.45</v>
      </c>
      <c r="O652" s="788">
        <v>41955</v>
      </c>
    </row>
    <row r="653" spans="1:15" x14ac:dyDescent="0.25">
      <c r="A653" s="786" t="s">
        <v>1903</v>
      </c>
      <c r="B653" s="787">
        <v>4</v>
      </c>
      <c r="C653" s="787" t="s">
        <v>1904</v>
      </c>
      <c r="D653" s="787">
        <v>3.95</v>
      </c>
      <c r="E653" s="787">
        <v>108.1</v>
      </c>
      <c r="F653" s="788">
        <v>41617</v>
      </c>
      <c r="G653" s="788">
        <v>41943</v>
      </c>
      <c r="H653" s="787">
        <v>1</v>
      </c>
      <c r="I653" s="788">
        <v>41989</v>
      </c>
      <c r="J653" s="788">
        <v>41845</v>
      </c>
      <c r="K653" s="788">
        <v>41865</v>
      </c>
      <c r="L653" s="787">
        <v>104</v>
      </c>
      <c r="M653" s="787">
        <v>20</v>
      </c>
      <c r="N653" s="787">
        <v>111.8</v>
      </c>
      <c r="O653" s="788">
        <v>41955</v>
      </c>
    </row>
    <row r="654" spans="1:15" x14ac:dyDescent="0.25">
      <c r="A654" s="786" t="s">
        <v>1905</v>
      </c>
      <c r="B654" s="787">
        <v>4</v>
      </c>
      <c r="C654" s="787" t="s">
        <v>1906</v>
      </c>
      <c r="D654" s="787">
        <v>0.28999999999999998</v>
      </c>
      <c r="E654" s="787">
        <v>0.28999999999999998</v>
      </c>
      <c r="F654" s="788">
        <v>42102</v>
      </c>
      <c r="G654" s="788">
        <v>42096</v>
      </c>
      <c r="H654" s="787">
        <v>1</v>
      </c>
      <c r="I654" s="788">
        <v>42131</v>
      </c>
      <c r="J654" s="788">
        <v>42104</v>
      </c>
      <c r="K654" s="788">
        <v>42089</v>
      </c>
      <c r="L654" s="787">
        <v>0.4</v>
      </c>
      <c r="M654" s="787">
        <v>20</v>
      </c>
      <c r="N654" s="787">
        <v>0</v>
      </c>
    </row>
    <row r="655" spans="1:15" x14ac:dyDescent="0.25">
      <c r="A655" s="786" t="s">
        <v>1907</v>
      </c>
      <c r="B655" s="787">
        <v>4</v>
      </c>
      <c r="C655" s="787" t="s">
        <v>1908</v>
      </c>
      <c r="D655" s="787">
        <v>0</v>
      </c>
      <c r="E655" s="787">
        <v>0</v>
      </c>
      <c r="H655" s="787">
        <v>1</v>
      </c>
      <c r="L655" s="787">
        <v>0.05</v>
      </c>
      <c r="M655" s="787">
        <v>20</v>
      </c>
      <c r="N655" s="787">
        <v>0.05</v>
      </c>
      <c r="O655" s="788">
        <v>41955</v>
      </c>
    </row>
    <row r="656" spans="1:15" x14ac:dyDescent="0.25">
      <c r="A656" s="786" t="s">
        <v>1909</v>
      </c>
      <c r="B656" s="787">
        <v>4</v>
      </c>
      <c r="C656" s="787" t="s">
        <v>1910</v>
      </c>
      <c r="D656" s="787">
        <v>0</v>
      </c>
      <c r="E656" s="787">
        <v>0</v>
      </c>
      <c r="H656" s="787">
        <v>1</v>
      </c>
      <c r="I656" s="788">
        <v>42111</v>
      </c>
      <c r="L656" s="787">
        <v>0.05</v>
      </c>
      <c r="M656" s="787">
        <v>20</v>
      </c>
      <c r="N656" s="787">
        <v>0.05</v>
      </c>
      <c r="O656" s="788">
        <v>41955</v>
      </c>
    </row>
    <row r="657" spans="1:15" x14ac:dyDescent="0.25">
      <c r="A657" s="786" t="s">
        <v>1911</v>
      </c>
      <c r="B657" s="787">
        <v>4</v>
      </c>
      <c r="C657" s="787" t="s">
        <v>1912</v>
      </c>
      <c r="D657" s="787">
        <v>0</v>
      </c>
      <c r="E657" s="787">
        <v>0</v>
      </c>
      <c r="H657" s="787">
        <v>1</v>
      </c>
      <c r="I657" s="788">
        <v>42143</v>
      </c>
      <c r="L657" s="787">
        <v>0.05</v>
      </c>
      <c r="M657" s="787">
        <v>20</v>
      </c>
      <c r="N657" s="787">
        <v>0.05</v>
      </c>
      <c r="O657" s="788">
        <v>41955</v>
      </c>
    </row>
    <row r="658" spans="1:15" x14ac:dyDescent="0.25">
      <c r="A658" s="786" t="s">
        <v>1913</v>
      </c>
      <c r="B658" s="787">
        <v>4</v>
      </c>
      <c r="C658" s="787" t="s">
        <v>1914</v>
      </c>
      <c r="D658" s="787">
        <v>0</v>
      </c>
      <c r="E658" s="787">
        <v>0</v>
      </c>
      <c r="H658" s="787">
        <v>1</v>
      </c>
      <c r="L658" s="787">
        <v>0.05</v>
      </c>
      <c r="M658" s="787">
        <v>20</v>
      </c>
      <c r="N658" s="787">
        <v>0.05</v>
      </c>
      <c r="O658" s="788">
        <v>41955</v>
      </c>
    </row>
    <row r="659" spans="1:15" x14ac:dyDescent="0.25">
      <c r="A659" s="786" t="s">
        <v>1915</v>
      </c>
      <c r="B659" s="787">
        <v>4</v>
      </c>
      <c r="C659" s="787" t="s">
        <v>1916</v>
      </c>
      <c r="D659" s="787">
        <v>0</v>
      </c>
      <c r="E659" s="787">
        <v>0</v>
      </c>
      <c r="G659" s="788">
        <v>41845</v>
      </c>
      <c r="H659" s="787">
        <v>1</v>
      </c>
      <c r="I659" s="788">
        <v>41990</v>
      </c>
      <c r="J659" s="788">
        <v>41845</v>
      </c>
      <c r="K659" s="788">
        <v>41781</v>
      </c>
      <c r="L659" s="787">
        <v>0.6</v>
      </c>
      <c r="M659" s="787">
        <v>20</v>
      </c>
      <c r="N659" s="787">
        <v>0.65</v>
      </c>
      <c r="O659" s="788">
        <v>41955</v>
      </c>
    </row>
    <row r="660" spans="1:15" x14ac:dyDescent="0.25">
      <c r="A660" s="786" t="s">
        <v>1917</v>
      </c>
      <c r="B660" s="787">
        <v>4</v>
      </c>
      <c r="C660" s="787" t="s">
        <v>1918</v>
      </c>
      <c r="D660" s="787">
        <v>1.33</v>
      </c>
      <c r="E660" s="787">
        <v>1.33</v>
      </c>
      <c r="F660" s="788">
        <v>41901</v>
      </c>
      <c r="G660" s="788">
        <v>42068</v>
      </c>
      <c r="H660" s="787">
        <v>6</v>
      </c>
      <c r="I660" s="788">
        <v>42108</v>
      </c>
      <c r="J660" s="788">
        <v>42068</v>
      </c>
      <c r="L660" s="787">
        <v>1.33</v>
      </c>
      <c r="M660" s="787">
        <v>20</v>
      </c>
      <c r="N660" s="787">
        <v>1.43</v>
      </c>
      <c r="O660" s="788">
        <v>41955</v>
      </c>
    </row>
    <row r="661" spans="1:15" x14ac:dyDescent="0.25">
      <c r="A661" s="786" t="s">
        <v>1919</v>
      </c>
      <c r="B661" s="787">
        <v>4</v>
      </c>
      <c r="C661" s="787" t="s">
        <v>1920</v>
      </c>
      <c r="D661" s="787">
        <v>1.31</v>
      </c>
      <c r="E661" s="787">
        <v>1.35</v>
      </c>
      <c r="F661" s="788">
        <v>42076</v>
      </c>
      <c r="G661" s="788">
        <v>42165</v>
      </c>
      <c r="H661" s="787">
        <v>1</v>
      </c>
      <c r="I661" s="788">
        <v>42166</v>
      </c>
      <c r="J661" s="788">
        <v>42163</v>
      </c>
      <c r="L661" s="787">
        <v>1.8</v>
      </c>
      <c r="M661" s="787">
        <v>20</v>
      </c>
      <c r="N661" s="787">
        <v>0</v>
      </c>
    </row>
    <row r="662" spans="1:15" x14ac:dyDescent="0.25">
      <c r="A662" s="786" t="s">
        <v>1921</v>
      </c>
      <c r="B662" s="787">
        <v>4</v>
      </c>
      <c r="C662" s="787" t="s">
        <v>1922</v>
      </c>
      <c r="D662" s="787">
        <v>8.0399999999999991</v>
      </c>
      <c r="E662" s="787">
        <v>8.0399999999999991</v>
      </c>
      <c r="F662" s="788">
        <v>42094</v>
      </c>
      <c r="G662" s="788">
        <v>42125</v>
      </c>
      <c r="H662" s="787">
        <v>1</v>
      </c>
      <c r="I662" s="788">
        <v>42136</v>
      </c>
      <c r="J662" s="788">
        <v>42136</v>
      </c>
      <c r="L662" s="787">
        <v>8.0399999999999991</v>
      </c>
      <c r="M662" s="787">
        <v>20</v>
      </c>
      <c r="N662" s="787">
        <v>0</v>
      </c>
    </row>
    <row r="663" spans="1:15" x14ac:dyDescent="0.25">
      <c r="A663" s="786" t="s">
        <v>1923</v>
      </c>
      <c r="B663" s="787">
        <v>4</v>
      </c>
      <c r="C663" s="787" t="s">
        <v>1924</v>
      </c>
      <c r="D663" s="787">
        <v>0</v>
      </c>
      <c r="E663" s="787">
        <v>0</v>
      </c>
      <c r="H663" s="787">
        <v>1</v>
      </c>
      <c r="L663" s="787">
        <v>1.68</v>
      </c>
      <c r="M663" s="787">
        <v>20</v>
      </c>
      <c r="N663" s="787">
        <v>0</v>
      </c>
    </row>
    <row r="664" spans="1:15" x14ac:dyDescent="0.25">
      <c r="A664" s="786" t="s">
        <v>1925</v>
      </c>
      <c r="B664" s="787">
        <v>4</v>
      </c>
      <c r="C664" s="787" t="s">
        <v>1926</v>
      </c>
      <c r="D664" s="787">
        <v>0</v>
      </c>
      <c r="E664" s="787">
        <v>0</v>
      </c>
      <c r="H664" s="787">
        <v>1</v>
      </c>
      <c r="L664" s="787">
        <v>4.03</v>
      </c>
      <c r="M664" s="787">
        <v>20</v>
      </c>
      <c r="N664" s="787">
        <v>0</v>
      </c>
    </row>
    <row r="665" spans="1:15" x14ac:dyDescent="0.25">
      <c r="A665" s="786" t="s">
        <v>1927</v>
      </c>
      <c r="B665" s="787">
        <v>4</v>
      </c>
      <c r="C665" s="787" t="s">
        <v>1928</v>
      </c>
      <c r="D665" s="787">
        <v>0.37</v>
      </c>
      <c r="E665" s="787">
        <v>0.73</v>
      </c>
      <c r="F665" s="788">
        <v>39101</v>
      </c>
      <c r="G665" s="788">
        <v>41724</v>
      </c>
      <c r="H665" s="787">
        <v>1</v>
      </c>
      <c r="I665" s="788">
        <v>42090</v>
      </c>
      <c r="J665" s="788">
        <v>41724</v>
      </c>
      <c r="L665" s="787">
        <v>0.51</v>
      </c>
      <c r="M665" s="787">
        <v>20</v>
      </c>
      <c r="N665" s="787">
        <v>0.55000000000000004</v>
      </c>
      <c r="O665" s="788">
        <v>42053</v>
      </c>
    </row>
    <row r="666" spans="1:15" x14ac:dyDescent="0.25">
      <c r="A666" s="786" t="s">
        <v>681</v>
      </c>
      <c r="B666" s="787">
        <v>4</v>
      </c>
      <c r="C666" s="787" t="s">
        <v>1929</v>
      </c>
      <c r="D666" s="787">
        <v>0.44</v>
      </c>
      <c r="E666" s="787">
        <v>0.73</v>
      </c>
      <c r="F666" s="788">
        <v>39101</v>
      </c>
      <c r="G666" s="788">
        <v>41899</v>
      </c>
      <c r="H666" s="787">
        <v>1</v>
      </c>
      <c r="I666" s="788">
        <v>41911</v>
      </c>
      <c r="J666" s="788">
        <v>41820</v>
      </c>
      <c r="K666" s="788">
        <v>41865</v>
      </c>
      <c r="L666" s="787">
        <v>0.59</v>
      </c>
      <c r="M666" s="787">
        <v>20</v>
      </c>
      <c r="N666" s="787">
        <v>0.63</v>
      </c>
      <c r="O666" s="788">
        <v>42163</v>
      </c>
    </row>
    <row r="667" spans="1:15" x14ac:dyDescent="0.25">
      <c r="A667" s="786" t="s">
        <v>1930</v>
      </c>
      <c r="B667" s="787">
        <v>4</v>
      </c>
      <c r="C667" s="787" t="s">
        <v>1931</v>
      </c>
      <c r="D667" s="787">
        <v>0.2</v>
      </c>
      <c r="E667" s="787">
        <v>0.2</v>
      </c>
      <c r="F667" s="788">
        <v>39101</v>
      </c>
      <c r="G667" s="788">
        <v>39101</v>
      </c>
      <c r="H667" s="787">
        <v>1</v>
      </c>
      <c r="I667" s="788">
        <v>42115</v>
      </c>
      <c r="J667" s="788">
        <v>42123</v>
      </c>
      <c r="L667" s="787">
        <v>0.16</v>
      </c>
      <c r="M667" s="787">
        <v>20</v>
      </c>
      <c r="N667" s="787">
        <v>0.17</v>
      </c>
      <c r="O667" s="788">
        <v>42158</v>
      </c>
    </row>
    <row r="668" spans="1:15" x14ac:dyDescent="0.25">
      <c r="A668" s="786" t="s">
        <v>1932</v>
      </c>
      <c r="B668" s="787">
        <v>4</v>
      </c>
      <c r="C668" s="787" t="s">
        <v>1933</v>
      </c>
      <c r="D668" s="787">
        <v>2.16</v>
      </c>
      <c r="E668" s="787">
        <v>2.16</v>
      </c>
      <c r="F668" s="788">
        <v>39101</v>
      </c>
      <c r="G668" s="788">
        <v>39101</v>
      </c>
      <c r="H668" s="787">
        <v>6</v>
      </c>
      <c r="I668" s="788">
        <v>41004</v>
      </c>
      <c r="J668" s="788">
        <v>41022</v>
      </c>
      <c r="L668" s="787">
        <v>2.0099999999999998</v>
      </c>
      <c r="M668" s="787">
        <v>20</v>
      </c>
      <c r="N668" s="787">
        <v>2.3199999999999998</v>
      </c>
      <c r="O668" s="788">
        <v>41806</v>
      </c>
    </row>
    <row r="669" spans="1:15" x14ac:dyDescent="0.25">
      <c r="A669" s="786" t="s">
        <v>682</v>
      </c>
      <c r="B669" s="787">
        <v>4</v>
      </c>
      <c r="C669" s="787" t="s">
        <v>1929</v>
      </c>
      <c r="D669" s="787">
        <v>2.71</v>
      </c>
      <c r="E669" s="787">
        <v>2.71</v>
      </c>
      <c r="F669" s="788">
        <v>41550</v>
      </c>
      <c r="G669" s="788">
        <v>41551</v>
      </c>
      <c r="H669" s="787">
        <v>1</v>
      </c>
      <c r="I669" s="788">
        <v>42146</v>
      </c>
      <c r="J669" s="788">
        <v>41771</v>
      </c>
      <c r="L669" s="787">
        <v>2.0299999999999998</v>
      </c>
      <c r="M669" s="787">
        <v>20</v>
      </c>
      <c r="N669" s="787">
        <v>2.1800000000000002</v>
      </c>
      <c r="O669" s="788">
        <v>42158</v>
      </c>
    </row>
    <row r="670" spans="1:15" x14ac:dyDescent="0.25">
      <c r="A670" s="786" t="s">
        <v>1934</v>
      </c>
      <c r="B670" s="787">
        <v>4</v>
      </c>
      <c r="C670" s="787" t="s">
        <v>1935</v>
      </c>
      <c r="D670" s="787">
        <v>1.02</v>
      </c>
      <c r="E670" s="787">
        <v>1.1299999999999999</v>
      </c>
      <c r="F670" s="788">
        <v>37636</v>
      </c>
      <c r="G670" s="788">
        <v>39590</v>
      </c>
      <c r="H670" s="787">
        <v>1</v>
      </c>
      <c r="I670" s="788">
        <v>42076</v>
      </c>
      <c r="J670" s="788">
        <v>38792</v>
      </c>
      <c r="L670" s="787">
        <v>1.1100000000000001</v>
      </c>
      <c r="M670" s="787">
        <v>20</v>
      </c>
      <c r="N670" s="787">
        <v>1.19</v>
      </c>
      <c r="O670" s="788">
        <v>41955</v>
      </c>
    </row>
    <row r="671" spans="1:15" x14ac:dyDescent="0.25">
      <c r="A671" s="786" t="s">
        <v>1936</v>
      </c>
      <c r="B671" s="787">
        <v>4</v>
      </c>
      <c r="C671" s="787" t="s">
        <v>1933</v>
      </c>
      <c r="D671" s="787">
        <v>0.4</v>
      </c>
      <c r="E671" s="787">
        <v>0.4</v>
      </c>
      <c r="F671" s="788">
        <v>38047</v>
      </c>
      <c r="G671" s="788">
        <v>38047</v>
      </c>
      <c r="H671" s="787">
        <v>1</v>
      </c>
      <c r="I671" s="788">
        <v>38323</v>
      </c>
      <c r="J671" s="788">
        <v>38047</v>
      </c>
      <c r="L671" s="787">
        <v>0.4</v>
      </c>
      <c r="M671" s="787">
        <v>20</v>
      </c>
      <c r="N671" s="787">
        <v>0.43</v>
      </c>
      <c r="O671" s="788">
        <v>41955</v>
      </c>
    </row>
    <row r="672" spans="1:15" x14ac:dyDescent="0.25">
      <c r="A672" s="786" t="s">
        <v>1937</v>
      </c>
      <c r="B672" s="787">
        <v>4</v>
      </c>
      <c r="C672" s="787" t="s">
        <v>1938</v>
      </c>
      <c r="D672" s="787">
        <v>0.17</v>
      </c>
      <c r="E672" s="787">
        <v>0.17</v>
      </c>
      <c r="F672" s="788">
        <v>38047</v>
      </c>
      <c r="G672" s="788">
        <v>38047</v>
      </c>
      <c r="H672" s="787">
        <v>1</v>
      </c>
      <c r="I672" s="788">
        <v>39155</v>
      </c>
      <c r="J672" s="788">
        <v>39155</v>
      </c>
      <c r="L672" s="787">
        <v>0.17</v>
      </c>
      <c r="M672" s="787">
        <v>20</v>
      </c>
      <c r="N672" s="787">
        <v>0.18</v>
      </c>
      <c r="O672" s="788">
        <v>41955</v>
      </c>
    </row>
    <row r="673" spans="1:15" x14ac:dyDescent="0.25">
      <c r="A673" s="786" t="s">
        <v>1939</v>
      </c>
      <c r="B673" s="787">
        <v>4</v>
      </c>
      <c r="C673" s="787" t="s">
        <v>1940</v>
      </c>
      <c r="D673" s="787">
        <v>0.88</v>
      </c>
      <c r="E673" s="787">
        <v>0.88</v>
      </c>
      <c r="F673" s="788">
        <v>37636</v>
      </c>
      <c r="G673" s="788">
        <v>37636</v>
      </c>
      <c r="H673" s="787">
        <v>1</v>
      </c>
      <c r="I673" s="788">
        <v>39155</v>
      </c>
      <c r="J673" s="788">
        <v>39155</v>
      </c>
      <c r="L673" s="787">
        <v>0.88</v>
      </c>
      <c r="M673" s="787">
        <v>20</v>
      </c>
      <c r="N673" s="787">
        <v>0.95</v>
      </c>
      <c r="O673" s="788">
        <v>41955</v>
      </c>
    </row>
    <row r="674" spans="1:15" x14ac:dyDescent="0.25">
      <c r="A674" s="786" t="s">
        <v>1941</v>
      </c>
      <c r="B674" s="787">
        <v>4</v>
      </c>
      <c r="C674" s="787" t="s">
        <v>1942</v>
      </c>
      <c r="D674" s="787">
        <v>0.09</v>
      </c>
      <c r="E674" s="787">
        <v>0.09</v>
      </c>
      <c r="F674" s="788">
        <v>38047</v>
      </c>
      <c r="G674" s="788">
        <v>38364</v>
      </c>
      <c r="H674" s="787">
        <v>1</v>
      </c>
      <c r="I674" s="788">
        <v>40852</v>
      </c>
      <c r="J674" s="788">
        <v>39155</v>
      </c>
      <c r="L674" s="787">
        <v>0.09</v>
      </c>
      <c r="M674" s="787">
        <v>20</v>
      </c>
      <c r="N674" s="787">
        <v>0.1</v>
      </c>
      <c r="O674" s="788">
        <v>41955</v>
      </c>
    </row>
    <row r="675" spans="1:15" x14ac:dyDescent="0.25">
      <c r="A675" s="786" t="s">
        <v>1943</v>
      </c>
      <c r="B675" s="787">
        <v>4</v>
      </c>
      <c r="C675" s="787" t="s">
        <v>1944</v>
      </c>
      <c r="D675" s="787">
        <v>7.0000000000000007E-2</v>
      </c>
      <c r="E675" s="787">
        <v>0.1</v>
      </c>
      <c r="F675" s="788">
        <v>38447</v>
      </c>
      <c r="G675" s="788">
        <v>38589</v>
      </c>
      <c r="H675" s="787">
        <v>1</v>
      </c>
      <c r="I675" s="788">
        <v>42131</v>
      </c>
      <c r="J675" s="788">
        <v>39155</v>
      </c>
      <c r="L675" s="787">
        <v>0.1</v>
      </c>
      <c r="M675" s="787">
        <v>20</v>
      </c>
      <c r="N675" s="787">
        <v>0.11</v>
      </c>
      <c r="O675" s="788">
        <v>41955</v>
      </c>
    </row>
    <row r="676" spans="1:15" x14ac:dyDescent="0.25">
      <c r="A676" s="786" t="s">
        <v>1945</v>
      </c>
      <c r="B676" s="787">
        <v>4</v>
      </c>
      <c r="C676" s="787" t="s">
        <v>1946</v>
      </c>
      <c r="D676" s="787">
        <v>0</v>
      </c>
      <c r="E676" s="787">
        <v>0</v>
      </c>
      <c r="H676" s="787">
        <v>1</v>
      </c>
      <c r="I676" s="788">
        <v>42137</v>
      </c>
      <c r="K676" s="788">
        <v>41772</v>
      </c>
      <c r="L676" s="787">
        <v>0.02</v>
      </c>
      <c r="M676" s="787">
        <v>20</v>
      </c>
      <c r="N676" s="787">
        <v>0.02</v>
      </c>
      <c r="O676" s="788">
        <v>41955</v>
      </c>
    </row>
    <row r="677" spans="1:15" x14ac:dyDescent="0.25">
      <c r="A677" s="786" t="s">
        <v>1947</v>
      </c>
      <c r="B677" s="787">
        <v>4</v>
      </c>
      <c r="C677" s="787" t="s">
        <v>1948</v>
      </c>
      <c r="D677" s="787">
        <v>0</v>
      </c>
      <c r="E677" s="787">
        <v>0</v>
      </c>
      <c r="H677" s="787">
        <v>1</v>
      </c>
      <c r="I677" s="788">
        <v>41593</v>
      </c>
      <c r="L677" s="787">
        <v>0</v>
      </c>
      <c r="M677" s="787">
        <v>20</v>
      </c>
      <c r="N677" s="787">
        <v>0.01</v>
      </c>
      <c r="O677" s="788">
        <v>41955</v>
      </c>
    </row>
    <row r="678" spans="1:15" x14ac:dyDescent="0.25">
      <c r="A678" s="786" t="s">
        <v>1949</v>
      </c>
      <c r="B678" s="787">
        <v>4</v>
      </c>
      <c r="C678" s="787" t="s">
        <v>1950</v>
      </c>
      <c r="D678" s="787">
        <v>0</v>
      </c>
      <c r="E678" s="787">
        <v>0</v>
      </c>
      <c r="H678" s="787">
        <v>1</v>
      </c>
      <c r="L678" s="787">
        <v>0.08</v>
      </c>
      <c r="M678" s="787">
        <v>20</v>
      </c>
      <c r="N678" s="787">
        <v>0.09</v>
      </c>
      <c r="O678" s="788">
        <v>41955</v>
      </c>
    </row>
    <row r="679" spans="1:15" x14ac:dyDescent="0.25">
      <c r="A679" s="786" t="s">
        <v>1951</v>
      </c>
      <c r="B679" s="787">
        <v>4</v>
      </c>
      <c r="C679" s="787" t="s">
        <v>1952</v>
      </c>
      <c r="D679" s="787">
        <v>0</v>
      </c>
      <c r="E679" s="787">
        <v>0</v>
      </c>
      <c r="H679" s="787">
        <v>1</v>
      </c>
      <c r="I679" s="788">
        <v>41977</v>
      </c>
      <c r="K679" s="788">
        <v>40918</v>
      </c>
      <c r="L679" s="787">
        <v>0.16</v>
      </c>
      <c r="M679" s="787">
        <v>20</v>
      </c>
      <c r="N679" s="787">
        <v>0.17</v>
      </c>
      <c r="O679" s="788">
        <v>41955</v>
      </c>
    </row>
    <row r="680" spans="1:15" x14ac:dyDescent="0.25">
      <c r="A680" s="786" t="s">
        <v>1953</v>
      </c>
      <c r="B680" s="787">
        <v>4</v>
      </c>
      <c r="C680" s="787" t="s">
        <v>1954</v>
      </c>
      <c r="D680" s="787">
        <v>0</v>
      </c>
      <c r="E680" s="787">
        <v>0</v>
      </c>
      <c r="G680" s="788">
        <v>41806</v>
      </c>
      <c r="H680" s="787">
        <v>1</v>
      </c>
      <c r="I680" s="788">
        <v>41803</v>
      </c>
      <c r="J680" s="788">
        <v>41806</v>
      </c>
      <c r="L680" s="787">
        <v>1</v>
      </c>
      <c r="M680" s="787">
        <v>20</v>
      </c>
      <c r="N680" s="789">
        <v>11342.68</v>
      </c>
      <c r="O680" s="788">
        <v>42110</v>
      </c>
    </row>
    <row r="681" spans="1:15" x14ac:dyDescent="0.25">
      <c r="A681" s="786" t="s">
        <v>1955</v>
      </c>
      <c r="B681" s="787">
        <v>4</v>
      </c>
      <c r="C681" s="787" t="s">
        <v>1956</v>
      </c>
      <c r="D681" s="787">
        <v>0</v>
      </c>
      <c r="E681" s="787">
        <v>0</v>
      </c>
      <c r="H681" s="787">
        <v>1</v>
      </c>
      <c r="L681" s="787">
        <v>0</v>
      </c>
      <c r="M681" s="787">
        <v>20</v>
      </c>
      <c r="N681" s="787">
        <v>0</v>
      </c>
      <c r="O681" s="788">
        <v>40824</v>
      </c>
    </row>
    <row r="682" spans="1:15" x14ac:dyDescent="0.25">
      <c r="A682" s="786" t="s">
        <v>1957</v>
      </c>
      <c r="B682" s="787">
        <v>4</v>
      </c>
      <c r="C682" s="787" t="s">
        <v>1958</v>
      </c>
      <c r="D682" s="787">
        <v>0.02</v>
      </c>
      <c r="E682" s="787">
        <v>0.02</v>
      </c>
      <c r="F682" s="788">
        <v>37636</v>
      </c>
      <c r="G682" s="788">
        <v>37636</v>
      </c>
      <c r="H682" s="787">
        <v>1</v>
      </c>
      <c r="I682" s="788">
        <v>37769</v>
      </c>
      <c r="J682" s="788">
        <v>37636</v>
      </c>
      <c r="L682" s="787">
        <v>0.02</v>
      </c>
      <c r="M682" s="787">
        <v>20</v>
      </c>
      <c r="N682" s="787">
        <v>0.02</v>
      </c>
      <c r="O682" s="788">
        <v>41955</v>
      </c>
    </row>
    <row r="683" spans="1:15" x14ac:dyDescent="0.25">
      <c r="A683" s="786" t="s">
        <v>1959</v>
      </c>
      <c r="B683" s="787">
        <v>4</v>
      </c>
      <c r="C683" s="787" t="s">
        <v>1958</v>
      </c>
      <c r="D683" s="787">
        <v>0.02</v>
      </c>
      <c r="E683" s="787">
        <v>0.02</v>
      </c>
      <c r="F683" s="788">
        <v>38047</v>
      </c>
      <c r="G683" s="788">
        <v>38047</v>
      </c>
      <c r="H683" s="787">
        <v>1</v>
      </c>
      <c r="I683" s="788">
        <v>42145</v>
      </c>
      <c r="J683" s="788">
        <v>39155</v>
      </c>
      <c r="L683" s="787">
        <v>0.02</v>
      </c>
      <c r="M683" s="787">
        <v>20</v>
      </c>
      <c r="N683" s="787">
        <v>0.02</v>
      </c>
      <c r="O683" s="788">
        <v>42164</v>
      </c>
    </row>
    <row r="684" spans="1:15" x14ac:dyDescent="0.25">
      <c r="A684" s="786" t="s">
        <v>1960</v>
      </c>
      <c r="B684" s="787">
        <v>4</v>
      </c>
      <c r="C684" s="787" t="s">
        <v>1958</v>
      </c>
      <c r="D684" s="787">
        <v>0.02</v>
      </c>
      <c r="E684" s="787">
        <v>0.02</v>
      </c>
      <c r="F684" s="788">
        <v>37636</v>
      </c>
      <c r="G684" s="788">
        <v>37636</v>
      </c>
      <c r="H684" s="787">
        <v>1</v>
      </c>
      <c r="I684" s="788">
        <v>39155</v>
      </c>
      <c r="J684" s="788">
        <v>39155</v>
      </c>
      <c r="L684" s="787">
        <v>0.02</v>
      </c>
      <c r="M684" s="787">
        <v>20</v>
      </c>
      <c r="N684" s="787">
        <v>0.02</v>
      </c>
      <c r="O684" s="788">
        <v>41955</v>
      </c>
    </row>
    <row r="685" spans="1:15" x14ac:dyDescent="0.25">
      <c r="A685" s="786" t="s">
        <v>1961</v>
      </c>
      <c r="B685" s="787">
        <v>4</v>
      </c>
      <c r="C685" s="787" t="s">
        <v>1958</v>
      </c>
      <c r="D685" s="787">
        <v>0.03</v>
      </c>
      <c r="E685" s="787">
        <v>0.03</v>
      </c>
      <c r="F685" s="788">
        <v>37636</v>
      </c>
      <c r="G685" s="788">
        <v>38364</v>
      </c>
      <c r="H685" s="787">
        <v>1</v>
      </c>
      <c r="I685" s="788">
        <v>42076</v>
      </c>
      <c r="J685" s="788">
        <v>39155</v>
      </c>
      <c r="L685" s="787">
        <v>0.03</v>
      </c>
      <c r="M685" s="787">
        <v>20</v>
      </c>
      <c r="N685" s="787">
        <v>0.03</v>
      </c>
      <c r="O685" s="788">
        <v>41955</v>
      </c>
    </row>
    <row r="686" spans="1:15" x14ac:dyDescent="0.25">
      <c r="A686" s="786" t="s">
        <v>1962</v>
      </c>
      <c r="B686" s="787">
        <v>4</v>
      </c>
      <c r="C686" s="787" t="s">
        <v>1958</v>
      </c>
      <c r="D686" s="787">
        <v>0.02</v>
      </c>
      <c r="E686" s="787">
        <v>0.02</v>
      </c>
      <c r="F686" s="788">
        <v>37636</v>
      </c>
      <c r="G686" s="788">
        <v>38364</v>
      </c>
      <c r="H686" s="787">
        <v>1</v>
      </c>
      <c r="I686" s="788">
        <v>39155</v>
      </c>
      <c r="J686" s="788">
        <v>39155</v>
      </c>
      <c r="L686" s="787">
        <v>0.02</v>
      </c>
      <c r="M686" s="787">
        <v>20</v>
      </c>
      <c r="N686" s="787">
        <v>0.02</v>
      </c>
      <c r="O686" s="788">
        <v>41955</v>
      </c>
    </row>
    <row r="687" spans="1:15" x14ac:dyDescent="0.25">
      <c r="A687" s="786" t="s">
        <v>1963</v>
      </c>
      <c r="B687" s="787">
        <v>4</v>
      </c>
      <c r="C687" s="787" t="s">
        <v>1958</v>
      </c>
      <c r="D687" s="787">
        <v>0.03</v>
      </c>
      <c r="E687" s="787">
        <v>0.18</v>
      </c>
      <c r="F687" s="788">
        <v>37636</v>
      </c>
      <c r="G687" s="788">
        <v>38635</v>
      </c>
      <c r="H687" s="787">
        <v>1</v>
      </c>
      <c r="I687" s="788">
        <v>39155</v>
      </c>
      <c r="J687" s="788">
        <v>39155</v>
      </c>
      <c r="L687" s="787">
        <v>0.18</v>
      </c>
      <c r="M687" s="787">
        <v>20</v>
      </c>
      <c r="N687" s="787">
        <v>0.19</v>
      </c>
      <c r="O687" s="788">
        <v>41955</v>
      </c>
    </row>
    <row r="688" spans="1:15" x14ac:dyDescent="0.25">
      <c r="A688" s="786" t="s">
        <v>1964</v>
      </c>
      <c r="B688" s="787">
        <v>4</v>
      </c>
      <c r="C688" s="787" t="s">
        <v>1958</v>
      </c>
      <c r="D688" s="787">
        <v>0.02</v>
      </c>
      <c r="E688" s="787">
        <v>0.02</v>
      </c>
      <c r="F688" s="788">
        <v>38047</v>
      </c>
      <c r="G688" s="788">
        <v>38364</v>
      </c>
      <c r="H688" s="787">
        <v>1</v>
      </c>
      <c r="I688" s="788">
        <v>42024</v>
      </c>
      <c r="J688" s="788">
        <v>39155</v>
      </c>
      <c r="L688" s="787">
        <v>0.02</v>
      </c>
      <c r="M688" s="787">
        <v>20</v>
      </c>
      <c r="N688" s="787">
        <v>0.02</v>
      </c>
      <c r="O688" s="788">
        <v>42164</v>
      </c>
    </row>
    <row r="689" spans="1:15" x14ac:dyDescent="0.25">
      <c r="A689" s="786" t="s">
        <v>1965</v>
      </c>
      <c r="B689" s="787">
        <v>4</v>
      </c>
      <c r="C689" s="787" t="s">
        <v>1958</v>
      </c>
      <c r="D689" s="787">
        <v>0.04</v>
      </c>
      <c r="E689" s="787">
        <v>0.04</v>
      </c>
      <c r="F689" s="788">
        <v>37636</v>
      </c>
      <c r="G689" s="788">
        <v>37636</v>
      </c>
      <c r="H689" s="787">
        <v>1</v>
      </c>
      <c r="J689" s="788">
        <v>37636</v>
      </c>
      <c r="L689" s="787">
        <v>0.04</v>
      </c>
      <c r="M689" s="787">
        <v>20</v>
      </c>
      <c r="N689" s="787">
        <v>0.04</v>
      </c>
      <c r="O689" s="788">
        <v>41955</v>
      </c>
    </row>
    <row r="690" spans="1:15" x14ac:dyDescent="0.25">
      <c r="A690" s="786" t="s">
        <v>1966</v>
      </c>
      <c r="B690" s="787">
        <v>4</v>
      </c>
      <c r="C690" s="787" t="s">
        <v>1958</v>
      </c>
      <c r="D690" s="787">
        <v>0.02</v>
      </c>
      <c r="E690" s="787">
        <v>0.02</v>
      </c>
      <c r="F690" s="788">
        <v>37636</v>
      </c>
      <c r="G690" s="788">
        <v>38364</v>
      </c>
      <c r="H690" s="787">
        <v>1</v>
      </c>
      <c r="I690" s="788">
        <v>39155</v>
      </c>
      <c r="J690" s="788">
        <v>39155</v>
      </c>
      <c r="L690" s="787">
        <v>0.02</v>
      </c>
      <c r="M690" s="787">
        <v>20</v>
      </c>
      <c r="N690" s="787">
        <v>0.02</v>
      </c>
      <c r="O690" s="788">
        <v>41955</v>
      </c>
    </row>
    <row r="691" spans="1:15" x14ac:dyDescent="0.25">
      <c r="A691" s="786" t="s">
        <v>1967</v>
      </c>
      <c r="B691" s="787">
        <v>4</v>
      </c>
      <c r="C691" s="787" t="s">
        <v>1958</v>
      </c>
      <c r="D691" s="787">
        <v>0.02</v>
      </c>
      <c r="E691" s="787">
        <v>0.02</v>
      </c>
      <c r="F691" s="788">
        <v>37636</v>
      </c>
      <c r="G691" s="788">
        <v>38364</v>
      </c>
      <c r="H691" s="787">
        <v>1</v>
      </c>
      <c r="I691" s="788">
        <v>39155</v>
      </c>
      <c r="J691" s="788">
        <v>39155</v>
      </c>
      <c r="L691" s="787">
        <v>0.02</v>
      </c>
      <c r="M691" s="787">
        <v>20</v>
      </c>
      <c r="N691" s="787">
        <v>0.02</v>
      </c>
      <c r="O691" s="788">
        <v>41955</v>
      </c>
    </row>
    <row r="692" spans="1:15" x14ac:dyDescent="0.25">
      <c r="A692" s="786" t="s">
        <v>1968</v>
      </c>
      <c r="B692" s="787">
        <v>4</v>
      </c>
      <c r="C692" s="787" t="s">
        <v>1958</v>
      </c>
      <c r="D692" s="787">
        <v>0.03</v>
      </c>
      <c r="E692" s="787">
        <v>0.03</v>
      </c>
      <c r="F692" s="788">
        <v>37636</v>
      </c>
      <c r="G692" s="788">
        <v>37636</v>
      </c>
      <c r="H692" s="787">
        <v>1</v>
      </c>
      <c r="J692" s="788">
        <v>37636</v>
      </c>
      <c r="L692" s="787">
        <v>0.03</v>
      </c>
      <c r="M692" s="787">
        <v>20</v>
      </c>
      <c r="N692" s="787">
        <v>0.03</v>
      </c>
      <c r="O692" s="788">
        <v>41955</v>
      </c>
    </row>
    <row r="693" spans="1:15" x14ac:dyDescent="0.25">
      <c r="A693" s="786" t="s">
        <v>1969</v>
      </c>
      <c r="B693" s="787">
        <v>4</v>
      </c>
      <c r="C693" s="787" t="s">
        <v>1958</v>
      </c>
      <c r="D693" s="787">
        <v>0.03</v>
      </c>
      <c r="E693" s="787">
        <v>0.03</v>
      </c>
      <c r="F693" s="788">
        <v>37636</v>
      </c>
      <c r="G693" s="788">
        <v>38364</v>
      </c>
      <c r="H693" s="787">
        <v>1</v>
      </c>
      <c r="I693" s="788">
        <v>42136</v>
      </c>
      <c r="J693" s="788">
        <v>39155</v>
      </c>
      <c r="L693" s="787">
        <v>0.03</v>
      </c>
      <c r="M693" s="787">
        <v>20</v>
      </c>
      <c r="N693" s="787">
        <v>0.03</v>
      </c>
      <c r="O693" s="788">
        <v>42164</v>
      </c>
    </row>
    <row r="694" spans="1:15" x14ac:dyDescent="0.25">
      <c r="A694" s="786" t="s">
        <v>1970</v>
      </c>
      <c r="B694" s="787">
        <v>4</v>
      </c>
      <c r="C694" s="787" t="s">
        <v>1958</v>
      </c>
      <c r="D694" s="787">
        <v>0.02</v>
      </c>
      <c r="E694" s="787">
        <v>0.02</v>
      </c>
      <c r="F694" s="788">
        <v>37636</v>
      </c>
      <c r="G694" s="788">
        <v>38364</v>
      </c>
      <c r="H694" s="787">
        <v>1</v>
      </c>
      <c r="I694" s="788">
        <v>39155</v>
      </c>
      <c r="J694" s="788">
        <v>39155</v>
      </c>
      <c r="L694" s="787">
        <v>0.02</v>
      </c>
      <c r="M694" s="787">
        <v>20</v>
      </c>
      <c r="N694" s="787">
        <v>0.02</v>
      </c>
      <c r="O694" s="788">
        <v>42162</v>
      </c>
    </row>
    <row r="695" spans="1:15" x14ac:dyDescent="0.25">
      <c r="A695" s="786" t="s">
        <v>1971</v>
      </c>
      <c r="B695" s="787">
        <v>4</v>
      </c>
      <c r="C695" s="787" t="s">
        <v>1972</v>
      </c>
      <c r="D695" s="787">
        <v>0.15</v>
      </c>
      <c r="E695" s="787">
        <v>0.15</v>
      </c>
      <c r="F695" s="788">
        <v>38047</v>
      </c>
      <c r="G695" s="788">
        <v>38364</v>
      </c>
      <c r="H695" s="787">
        <v>1</v>
      </c>
      <c r="I695" s="788">
        <v>42151</v>
      </c>
      <c r="J695" s="788">
        <v>39155</v>
      </c>
      <c r="L695" s="787">
        <v>0.16</v>
      </c>
      <c r="M695" s="787">
        <v>20</v>
      </c>
      <c r="N695" s="787">
        <v>0.17</v>
      </c>
      <c r="O695" s="788">
        <v>42162</v>
      </c>
    </row>
    <row r="696" spans="1:15" x14ac:dyDescent="0.25">
      <c r="A696" s="786" t="s">
        <v>1973</v>
      </c>
      <c r="B696" s="787">
        <v>4</v>
      </c>
      <c r="C696" s="787" t="s">
        <v>1958</v>
      </c>
      <c r="D696" s="787">
        <v>0.03</v>
      </c>
      <c r="E696" s="787">
        <v>0.03</v>
      </c>
      <c r="F696" s="788">
        <v>37636</v>
      </c>
      <c r="G696" s="788">
        <v>38364</v>
      </c>
      <c r="H696" s="787">
        <v>1</v>
      </c>
      <c r="I696" s="788">
        <v>39155</v>
      </c>
      <c r="J696" s="788">
        <v>39155</v>
      </c>
      <c r="L696" s="787">
        <v>0.03</v>
      </c>
      <c r="M696" s="787">
        <v>20</v>
      </c>
      <c r="N696" s="787">
        <v>0.03</v>
      </c>
      <c r="O696" s="788">
        <v>42127</v>
      </c>
    </row>
    <row r="697" spans="1:15" x14ac:dyDescent="0.25">
      <c r="A697" s="786" t="s">
        <v>1974</v>
      </c>
      <c r="B697" s="787">
        <v>4</v>
      </c>
      <c r="C697" s="787" t="s">
        <v>1958</v>
      </c>
      <c r="D697" s="787">
        <v>0.02</v>
      </c>
      <c r="E697" s="787">
        <v>0.02</v>
      </c>
      <c r="F697" s="788">
        <v>37636</v>
      </c>
      <c r="G697" s="788">
        <v>37636</v>
      </c>
      <c r="H697" s="787">
        <v>1</v>
      </c>
      <c r="J697" s="788">
        <v>37636</v>
      </c>
      <c r="L697" s="787">
        <v>0.02</v>
      </c>
      <c r="M697" s="787">
        <v>20</v>
      </c>
      <c r="N697" s="787">
        <v>0.02</v>
      </c>
      <c r="O697" s="788">
        <v>42127</v>
      </c>
    </row>
    <row r="698" spans="1:15" x14ac:dyDescent="0.25">
      <c r="A698" s="786" t="s">
        <v>1975</v>
      </c>
      <c r="B698" s="787">
        <v>4</v>
      </c>
      <c r="C698" s="787" t="s">
        <v>1958</v>
      </c>
      <c r="D698" s="787">
        <v>0.03</v>
      </c>
      <c r="E698" s="787">
        <v>0.03</v>
      </c>
      <c r="F698" s="788">
        <v>37636</v>
      </c>
      <c r="G698" s="788">
        <v>37636</v>
      </c>
      <c r="H698" s="787">
        <v>1</v>
      </c>
      <c r="J698" s="788">
        <v>37636</v>
      </c>
      <c r="L698" s="787">
        <v>0.03</v>
      </c>
      <c r="M698" s="787">
        <v>20</v>
      </c>
      <c r="N698" s="787">
        <v>0.03</v>
      </c>
      <c r="O698" s="788">
        <v>42127</v>
      </c>
    </row>
    <row r="699" spans="1:15" x14ac:dyDescent="0.25">
      <c r="A699" s="786" t="s">
        <v>1976</v>
      </c>
      <c r="B699" s="787">
        <v>4</v>
      </c>
      <c r="C699" s="787" t="s">
        <v>1958</v>
      </c>
      <c r="D699" s="787">
        <v>0.04</v>
      </c>
      <c r="E699" s="787">
        <v>0.04</v>
      </c>
      <c r="F699" s="788">
        <v>37636</v>
      </c>
      <c r="G699" s="788">
        <v>38364</v>
      </c>
      <c r="H699" s="787">
        <v>1</v>
      </c>
      <c r="I699" s="788">
        <v>39155</v>
      </c>
      <c r="J699" s="788">
        <v>39155</v>
      </c>
      <c r="L699" s="787">
        <v>0.04</v>
      </c>
      <c r="M699" s="787">
        <v>20</v>
      </c>
      <c r="N699" s="787">
        <v>0.04</v>
      </c>
      <c r="O699" s="788">
        <v>42127</v>
      </c>
    </row>
    <row r="700" spans="1:15" x14ac:dyDescent="0.25">
      <c r="A700" s="786" t="s">
        <v>1977</v>
      </c>
      <c r="B700" s="787">
        <v>4</v>
      </c>
      <c r="C700" s="787" t="s">
        <v>1958</v>
      </c>
      <c r="D700" s="787">
        <v>0.83</v>
      </c>
      <c r="E700" s="787">
        <v>0.83</v>
      </c>
      <c r="F700" s="788">
        <v>37636</v>
      </c>
      <c r="G700" s="788">
        <v>38364</v>
      </c>
      <c r="H700" s="787">
        <v>1</v>
      </c>
      <c r="I700" s="788">
        <v>39155</v>
      </c>
      <c r="J700" s="788">
        <v>39155</v>
      </c>
      <c r="L700" s="787">
        <v>0.9</v>
      </c>
      <c r="M700" s="787">
        <v>20</v>
      </c>
      <c r="N700" s="787">
        <v>0.97</v>
      </c>
      <c r="O700" s="788">
        <v>42127</v>
      </c>
    </row>
    <row r="701" spans="1:15" x14ac:dyDescent="0.25">
      <c r="A701" s="786" t="s">
        <v>1978</v>
      </c>
      <c r="B701" s="787">
        <v>4</v>
      </c>
      <c r="C701" s="787" t="s">
        <v>1979</v>
      </c>
      <c r="D701" s="787">
        <v>0.17</v>
      </c>
      <c r="E701" s="787">
        <v>0.17</v>
      </c>
      <c r="F701" s="788">
        <v>38047</v>
      </c>
      <c r="G701" s="788">
        <v>38364</v>
      </c>
      <c r="H701" s="787">
        <v>1</v>
      </c>
      <c r="I701" s="788">
        <v>39155</v>
      </c>
      <c r="J701" s="788">
        <v>39155</v>
      </c>
      <c r="L701" s="787">
        <v>0.19</v>
      </c>
      <c r="M701" s="787">
        <v>20</v>
      </c>
      <c r="N701" s="787">
        <v>0.2</v>
      </c>
      <c r="O701" s="788">
        <v>42162</v>
      </c>
    </row>
    <row r="702" spans="1:15" x14ac:dyDescent="0.25">
      <c r="A702" s="786" t="s">
        <v>1980</v>
      </c>
      <c r="B702" s="787">
        <v>4</v>
      </c>
      <c r="C702" s="787" t="s">
        <v>1981</v>
      </c>
      <c r="D702" s="787">
        <v>0</v>
      </c>
      <c r="E702" s="787">
        <v>0</v>
      </c>
      <c r="H702" s="787">
        <v>1</v>
      </c>
      <c r="L702" s="787">
        <v>0.01</v>
      </c>
      <c r="M702" s="787">
        <v>20</v>
      </c>
      <c r="N702" s="787">
        <v>0.01</v>
      </c>
      <c r="O702" s="788">
        <v>42053</v>
      </c>
    </row>
    <row r="703" spans="1:15" x14ac:dyDescent="0.25">
      <c r="A703" s="786" t="s">
        <v>1982</v>
      </c>
      <c r="B703" s="787">
        <v>4</v>
      </c>
      <c r="C703" s="787" t="s">
        <v>1983</v>
      </c>
      <c r="D703" s="787">
        <v>0</v>
      </c>
      <c r="E703" s="787">
        <v>0</v>
      </c>
      <c r="H703" s="787">
        <v>1</v>
      </c>
      <c r="L703" s="787">
        <v>0.02</v>
      </c>
      <c r="M703" s="787">
        <v>20</v>
      </c>
      <c r="N703" s="787">
        <v>0.02</v>
      </c>
      <c r="O703" s="788">
        <v>42163</v>
      </c>
    </row>
    <row r="704" spans="1:15" x14ac:dyDescent="0.25">
      <c r="A704" s="786" t="s">
        <v>1984</v>
      </c>
      <c r="B704" s="787">
        <v>4</v>
      </c>
      <c r="C704" s="787" t="s">
        <v>1985</v>
      </c>
      <c r="D704" s="787">
        <v>0</v>
      </c>
      <c r="E704" s="787">
        <v>0</v>
      </c>
      <c r="H704" s="787">
        <v>1</v>
      </c>
      <c r="L704" s="787">
        <v>0.02</v>
      </c>
      <c r="M704" s="787">
        <v>20</v>
      </c>
      <c r="N704" s="787">
        <v>0.02</v>
      </c>
      <c r="O704" s="788">
        <v>42163</v>
      </c>
    </row>
    <row r="705" spans="1:15" x14ac:dyDescent="0.25">
      <c r="A705" s="786" t="s">
        <v>1986</v>
      </c>
      <c r="B705" s="787">
        <v>4</v>
      </c>
      <c r="C705" s="787" t="s">
        <v>1958</v>
      </c>
      <c r="D705" s="787">
        <v>0.01</v>
      </c>
      <c r="E705" s="787">
        <v>0.04</v>
      </c>
      <c r="F705" s="788">
        <v>37636</v>
      </c>
      <c r="G705" s="788">
        <v>38364</v>
      </c>
      <c r="H705" s="787">
        <v>1</v>
      </c>
      <c r="I705" s="788">
        <v>39155</v>
      </c>
      <c r="J705" s="788">
        <v>39155</v>
      </c>
      <c r="L705" s="787">
        <v>0.04</v>
      </c>
      <c r="M705" s="787">
        <v>20</v>
      </c>
      <c r="N705" s="787">
        <v>0.04</v>
      </c>
      <c r="O705" s="788">
        <v>41955</v>
      </c>
    </row>
    <row r="706" spans="1:15" x14ac:dyDescent="0.25">
      <c r="A706" s="786" t="s">
        <v>1987</v>
      </c>
      <c r="B706" s="787">
        <v>4</v>
      </c>
      <c r="C706" s="787" t="s">
        <v>1958</v>
      </c>
      <c r="D706" s="787">
        <v>0.02</v>
      </c>
      <c r="E706" s="787">
        <v>0.02</v>
      </c>
      <c r="F706" s="788">
        <v>37636</v>
      </c>
      <c r="G706" s="788">
        <v>37636</v>
      </c>
      <c r="H706" s="787">
        <v>1</v>
      </c>
      <c r="J706" s="788">
        <v>37636</v>
      </c>
      <c r="L706" s="787">
        <v>0.02</v>
      </c>
      <c r="M706" s="787">
        <v>20</v>
      </c>
      <c r="N706" s="787">
        <v>0.02</v>
      </c>
      <c r="O706" s="788">
        <v>41955</v>
      </c>
    </row>
    <row r="707" spans="1:15" x14ac:dyDescent="0.25">
      <c r="A707" s="786" t="s">
        <v>1988</v>
      </c>
      <c r="B707" s="787">
        <v>4</v>
      </c>
      <c r="C707" s="787" t="s">
        <v>1989</v>
      </c>
      <c r="D707" s="787">
        <v>0</v>
      </c>
      <c r="E707" s="787">
        <v>0</v>
      </c>
      <c r="H707" s="787">
        <v>1</v>
      </c>
      <c r="I707" s="788">
        <v>41968</v>
      </c>
      <c r="L707" s="787">
        <v>0</v>
      </c>
      <c r="M707" s="787">
        <v>20</v>
      </c>
      <c r="N707" s="787">
        <v>0</v>
      </c>
      <c r="O707" s="788">
        <v>40824</v>
      </c>
    </row>
    <row r="708" spans="1:15" x14ac:dyDescent="0.25">
      <c r="A708" s="786" t="s">
        <v>1990</v>
      </c>
      <c r="B708" s="787">
        <v>4</v>
      </c>
      <c r="C708" s="787" t="s">
        <v>1958</v>
      </c>
      <c r="D708" s="787">
        <v>0</v>
      </c>
      <c r="E708" s="787">
        <v>0</v>
      </c>
      <c r="H708" s="787">
        <v>1</v>
      </c>
      <c r="I708" s="788">
        <v>41956</v>
      </c>
      <c r="L708" s="787">
        <v>0.1</v>
      </c>
      <c r="M708" s="787">
        <v>20</v>
      </c>
      <c r="N708" s="787">
        <v>0.11</v>
      </c>
      <c r="O708" s="788">
        <v>41996</v>
      </c>
    </row>
    <row r="709" spans="1:15" x14ac:dyDescent="0.25">
      <c r="A709" s="786" t="s">
        <v>1991</v>
      </c>
      <c r="B709" s="787">
        <v>4</v>
      </c>
      <c r="C709" s="787" t="s">
        <v>1992</v>
      </c>
      <c r="D709" s="787">
        <v>0</v>
      </c>
      <c r="E709" s="787">
        <v>0</v>
      </c>
      <c r="H709" s="787">
        <v>1</v>
      </c>
      <c r="L709" s="787">
        <v>0</v>
      </c>
      <c r="M709" s="787">
        <v>20</v>
      </c>
      <c r="N709" s="787">
        <v>0</v>
      </c>
      <c r="O709" s="788">
        <v>40824</v>
      </c>
    </row>
    <row r="710" spans="1:15" x14ac:dyDescent="0.25">
      <c r="A710" s="786" t="s">
        <v>571</v>
      </c>
      <c r="B710" s="787">
        <v>4</v>
      </c>
      <c r="C710" s="787" t="s">
        <v>1993</v>
      </c>
      <c r="D710" s="787">
        <v>0.01</v>
      </c>
      <c r="E710" s="787">
        <v>0.02</v>
      </c>
      <c r="F710" s="788">
        <v>38047</v>
      </c>
      <c r="G710" s="788">
        <v>38602</v>
      </c>
      <c r="H710" s="787">
        <v>1</v>
      </c>
      <c r="I710" s="788">
        <v>42166</v>
      </c>
      <c r="J710" s="788">
        <v>39155</v>
      </c>
      <c r="L710" s="787">
        <v>0.02</v>
      </c>
      <c r="M710" s="787">
        <v>20</v>
      </c>
      <c r="N710" s="787">
        <v>0.02</v>
      </c>
      <c r="O710" s="788">
        <v>42163</v>
      </c>
    </row>
    <row r="711" spans="1:15" x14ac:dyDescent="0.25">
      <c r="A711" s="786" t="s">
        <v>588</v>
      </c>
      <c r="B711" s="787">
        <v>4</v>
      </c>
      <c r="C711" s="787" t="s">
        <v>1994</v>
      </c>
      <c r="D711" s="787">
        <v>0.01</v>
      </c>
      <c r="E711" s="787">
        <v>0.03</v>
      </c>
      <c r="F711" s="788">
        <v>38047</v>
      </c>
      <c r="G711" s="788">
        <v>38635</v>
      </c>
      <c r="H711" s="787">
        <v>1</v>
      </c>
      <c r="I711" s="788">
        <v>42166</v>
      </c>
      <c r="J711" s="788">
        <v>39155</v>
      </c>
      <c r="L711" s="787">
        <v>0.03</v>
      </c>
      <c r="M711" s="787">
        <v>20</v>
      </c>
      <c r="N711" s="787">
        <v>0.03</v>
      </c>
      <c r="O711" s="788">
        <v>42163</v>
      </c>
    </row>
    <row r="712" spans="1:15" x14ac:dyDescent="0.25">
      <c r="A712" s="786" t="s">
        <v>1995</v>
      </c>
      <c r="B712" s="787">
        <v>4</v>
      </c>
      <c r="C712" s="787" t="s">
        <v>1996</v>
      </c>
      <c r="D712" s="787">
        <v>0</v>
      </c>
      <c r="E712" s="787">
        <v>0</v>
      </c>
      <c r="G712" s="788">
        <v>38646</v>
      </c>
      <c r="H712" s="787">
        <v>1</v>
      </c>
      <c r="I712" s="788">
        <v>42137</v>
      </c>
      <c r="J712" s="788">
        <v>39155</v>
      </c>
      <c r="L712" s="787">
        <v>0.02</v>
      </c>
      <c r="M712" s="787">
        <v>20</v>
      </c>
      <c r="N712" s="787">
        <v>0.02</v>
      </c>
      <c r="O712" s="788">
        <v>41955</v>
      </c>
    </row>
    <row r="713" spans="1:15" x14ac:dyDescent="0.25">
      <c r="A713" s="786" t="s">
        <v>661</v>
      </c>
      <c r="B713" s="787">
        <v>4</v>
      </c>
      <c r="C713" s="787" t="s">
        <v>1997</v>
      </c>
      <c r="D713" s="787">
        <v>0.01</v>
      </c>
      <c r="E713" s="787">
        <v>0.01</v>
      </c>
      <c r="F713" s="788">
        <v>38047</v>
      </c>
      <c r="G713" s="788">
        <v>38364</v>
      </c>
      <c r="H713" s="787">
        <v>1</v>
      </c>
      <c r="I713" s="788">
        <v>42166</v>
      </c>
      <c r="J713" s="788">
        <v>39155</v>
      </c>
      <c r="L713" s="787">
        <v>0.01</v>
      </c>
      <c r="M713" s="787">
        <v>20</v>
      </c>
      <c r="N713" s="787">
        <v>0.01</v>
      </c>
      <c r="O713" s="788">
        <v>42164</v>
      </c>
    </row>
    <row r="714" spans="1:15" x14ac:dyDescent="0.25">
      <c r="A714" s="786" t="s">
        <v>1998</v>
      </c>
      <c r="B714" s="787">
        <v>4</v>
      </c>
      <c r="C714" s="787" t="s">
        <v>1999</v>
      </c>
      <c r="D714" s="787">
        <v>0.01</v>
      </c>
      <c r="E714" s="787">
        <v>0.01</v>
      </c>
      <c r="F714" s="788">
        <v>38047</v>
      </c>
      <c r="G714" s="788">
        <v>38364</v>
      </c>
      <c r="H714" s="787">
        <v>1</v>
      </c>
      <c r="I714" s="788">
        <v>42166</v>
      </c>
      <c r="J714" s="788">
        <v>39155</v>
      </c>
      <c r="L714" s="787">
        <v>0.01</v>
      </c>
      <c r="M714" s="787">
        <v>20</v>
      </c>
      <c r="N714" s="787">
        <v>0.01</v>
      </c>
      <c r="O714" s="788">
        <v>42164</v>
      </c>
    </row>
    <row r="715" spans="1:15" x14ac:dyDescent="0.25">
      <c r="A715" s="786" t="s">
        <v>2000</v>
      </c>
      <c r="B715" s="787">
        <v>4</v>
      </c>
      <c r="C715" s="787" t="s">
        <v>2001</v>
      </c>
      <c r="D715" s="787">
        <v>0</v>
      </c>
      <c r="E715" s="787">
        <v>0</v>
      </c>
      <c r="H715" s="787">
        <v>1</v>
      </c>
      <c r="I715" s="788">
        <v>42080</v>
      </c>
      <c r="L715" s="787">
        <v>0.04</v>
      </c>
      <c r="M715" s="787">
        <v>20</v>
      </c>
      <c r="N715" s="787">
        <v>0.04</v>
      </c>
      <c r="O715" s="788">
        <v>41955</v>
      </c>
    </row>
    <row r="716" spans="1:15" x14ac:dyDescent="0.25">
      <c r="A716" s="786" t="s">
        <v>2002</v>
      </c>
      <c r="B716" s="787">
        <v>4</v>
      </c>
      <c r="C716" s="787" t="s">
        <v>2003</v>
      </c>
      <c r="D716" s="787">
        <v>0.02</v>
      </c>
      <c r="E716" s="787">
        <v>0.02</v>
      </c>
      <c r="F716" s="788">
        <v>37636</v>
      </c>
      <c r="G716" s="788">
        <v>37636</v>
      </c>
      <c r="H716" s="787">
        <v>1</v>
      </c>
      <c r="J716" s="788">
        <v>37636</v>
      </c>
      <c r="L716" s="787">
        <v>0.02</v>
      </c>
      <c r="M716" s="787">
        <v>20</v>
      </c>
      <c r="N716" s="787">
        <v>0.02</v>
      </c>
      <c r="O716" s="788">
        <v>41955</v>
      </c>
    </row>
    <row r="717" spans="1:15" x14ac:dyDescent="0.25">
      <c r="A717" s="786" t="s">
        <v>2004</v>
      </c>
      <c r="B717" s="787">
        <v>4</v>
      </c>
      <c r="C717" s="787" t="s">
        <v>2005</v>
      </c>
      <c r="D717" s="787">
        <v>0.02</v>
      </c>
      <c r="E717" s="787">
        <v>0.02</v>
      </c>
      <c r="F717" s="788">
        <v>37636</v>
      </c>
      <c r="G717" s="788">
        <v>38364</v>
      </c>
      <c r="H717" s="787">
        <v>1</v>
      </c>
      <c r="I717" s="788">
        <v>39155</v>
      </c>
      <c r="J717" s="788">
        <v>39155</v>
      </c>
      <c r="L717" s="787">
        <v>0.02</v>
      </c>
      <c r="M717" s="787">
        <v>20</v>
      </c>
      <c r="N717" s="787">
        <v>0.02</v>
      </c>
      <c r="O717" s="788">
        <v>41955</v>
      </c>
    </row>
    <row r="718" spans="1:15" x14ac:dyDescent="0.25">
      <c r="A718" s="786" t="s">
        <v>2006</v>
      </c>
      <c r="B718" s="787">
        <v>4</v>
      </c>
      <c r="C718" s="787" t="s">
        <v>2003</v>
      </c>
      <c r="D718" s="787">
        <v>0.02</v>
      </c>
      <c r="E718" s="787">
        <v>0.02</v>
      </c>
      <c r="F718" s="788">
        <v>37636</v>
      </c>
      <c r="G718" s="788">
        <v>38364</v>
      </c>
      <c r="H718" s="787">
        <v>1</v>
      </c>
      <c r="I718" s="788">
        <v>42166</v>
      </c>
      <c r="J718" s="788">
        <v>39155</v>
      </c>
      <c r="L718" s="787">
        <v>0.02</v>
      </c>
      <c r="M718" s="787">
        <v>20</v>
      </c>
      <c r="N718" s="787">
        <v>0.02</v>
      </c>
      <c r="O718" s="788">
        <v>42136</v>
      </c>
    </row>
    <row r="719" spans="1:15" x14ac:dyDescent="0.25">
      <c r="A719" s="786" t="s">
        <v>2007</v>
      </c>
      <c r="B719" s="787">
        <v>4</v>
      </c>
      <c r="C719" s="787" t="s">
        <v>2008</v>
      </c>
      <c r="D719" s="787">
        <v>0.02</v>
      </c>
      <c r="E719" s="787">
        <v>0.02</v>
      </c>
      <c r="F719" s="788">
        <v>38047</v>
      </c>
      <c r="G719" s="788">
        <v>38364</v>
      </c>
      <c r="H719" s="787">
        <v>1</v>
      </c>
      <c r="I719" s="788">
        <v>39155</v>
      </c>
      <c r="J719" s="788">
        <v>39155</v>
      </c>
      <c r="L719" s="787">
        <v>0.02</v>
      </c>
      <c r="M719" s="787">
        <v>20</v>
      </c>
      <c r="N719" s="787">
        <v>0.02</v>
      </c>
      <c r="O719" s="788">
        <v>41955</v>
      </c>
    </row>
    <row r="720" spans="1:15" x14ac:dyDescent="0.25">
      <c r="A720" s="786" t="s">
        <v>2009</v>
      </c>
      <c r="B720" s="787">
        <v>4</v>
      </c>
      <c r="C720" s="787" t="s">
        <v>2003</v>
      </c>
      <c r="D720" s="787">
        <v>0.01</v>
      </c>
      <c r="E720" s="787">
        <v>0.01</v>
      </c>
      <c r="F720" s="788">
        <v>37636</v>
      </c>
      <c r="G720" s="788">
        <v>38364</v>
      </c>
      <c r="H720" s="787">
        <v>1</v>
      </c>
      <c r="I720" s="788">
        <v>41564</v>
      </c>
      <c r="J720" s="788">
        <v>39155</v>
      </c>
      <c r="L720" s="787">
        <v>0.01</v>
      </c>
      <c r="M720" s="787">
        <v>20</v>
      </c>
      <c r="N720" s="787">
        <v>0.01</v>
      </c>
      <c r="O720" s="788">
        <v>41955</v>
      </c>
    </row>
    <row r="721" spans="1:15" x14ac:dyDescent="0.25">
      <c r="A721" s="786" t="s">
        <v>2010</v>
      </c>
      <c r="B721" s="787">
        <v>4</v>
      </c>
      <c r="C721" s="787" t="s">
        <v>2003</v>
      </c>
      <c r="D721" s="787">
        <v>0.01</v>
      </c>
      <c r="E721" s="787">
        <v>0.01</v>
      </c>
      <c r="F721" s="788">
        <v>37636</v>
      </c>
      <c r="G721" s="788">
        <v>38364</v>
      </c>
      <c r="H721" s="787">
        <v>1</v>
      </c>
      <c r="I721" s="788">
        <v>42080</v>
      </c>
      <c r="J721" s="788">
        <v>39155</v>
      </c>
      <c r="L721" s="787">
        <v>0.01</v>
      </c>
      <c r="M721" s="787">
        <v>20</v>
      </c>
      <c r="N721" s="787">
        <v>0.01</v>
      </c>
      <c r="O721" s="788">
        <v>42083</v>
      </c>
    </row>
    <row r="722" spans="1:15" x14ac:dyDescent="0.25">
      <c r="A722" s="786" t="s">
        <v>662</v>
      </c>
      <c r="B722" s="787">
        <v>4</v>
      </c>
      <c r="C722" s="787" t="s">
        <v>2003</v>
      </c>
      <c r="D722" s="787">
        <v>0.02</v>
      </c>
      <c r="E722" s="787">
        <v>0.02</v>
      </c>
      <c r="F722" s="788">
        <v>38047</v>
      </c>
      <c r="G722" s="788">
        <v>38621</v>
      </c>
      <c r="H722" s="787">
        <v>1</v>
      </c>
      <c r="I722" s="788">
        <v>42166</v>
      </c>
      <c r="J722" s="788">
        <v>39155</v>
      </c>
      <c r="L722" s="787">
        <v>0.02</v>
      </c>
      <c r="M722" s="787">
        <v>20</v>
      </c>
      <c r="N722" s="787">
        <v>0.02</v>
      </c>
      <c r="O722" s="788">
        <v>42123</v>
      </c>
    </row>
    <row r="723" spans="1:15" x14ac:dyDescent="0.25">
      <c r="A723" s="786" t="s">
        <v>572</v>
      </c>
      <c r="B723" s="787">
        <v>4</v>
      </c>
      <c r="C723" s="787" t="s">
        <v>2003</v>
      </c>
      <c r="D723" s="787">
        <v>0.02</v>
      </c>
      <c r="E723" s="787">
        <v>0.02</v>
      </c>
      <c r="F723" s="788">
        <v>37636</v>
      </c>
      <c r="G723" s="788">
        <v>38364</v>
      </c>
      <c r="H723" s="787">
        <v>1</v>
      </c>
      <c r="I723" s="788">
        <v>42086</v>
      </c>
      <c r="J723" s="788">
        <v>39155</v>
      </c>
      <c r="L723" s="787">
        <v>0.02</v>
      </c>
      <c r="M723" s="787">
        <v>20</v>
      </c>
      <c r="N723" s="787">
        <v>0.02</v>
      </c>
      <c r="O723" s="788">
        <v>42123</v>
      </c>
    </row>
    <row r="724" spans="1:15" x14ac:dyDescent="0.25">
      <c r="A724" s="786" t="s">
        <v>589</v>
      </c>
      <c r="B724" s="787">
        <v>4</v>
      </c>
      <c r="C724" s="787" t="s">
        <v>2003</v>
      </c>
      <c r="D724" s="787">
        <v>0.04</v>
      </c>
      <c r="E724" s="787">
        <v>0.04</v>
      </c>
      <c r="F724" s="788">
        <v>38047</v>
      </c>
      <c r="G724" s="788">
        <v>38364</v>
      </c>
      <c r="H724" s="787">
        <v>1</v>
      </c>
      <c r="I724" s="788">
        <v>42146</v>
      </c>
      <c r="J724" s="788">
        <v>39155</v>
      </c>
      <c r="L724" s="787">
        <v>0.04</v>
      </c>
      <c r="M724" s="787">
        <v>20</v>
      </c>
      <c r="N724" s="787">
        <v>0.04</v>
      </c>
      <c r="O724" s="788">
        <v>42158</v>
      </c>
    </row>
    <row r="725" spans="1:15" x14ac:dyDescent="0.25">
      <c r="A725" s="786" t="s">
        <v>2011</v>
      </c>
      <c r="B725" s="787">
        <v>4</v>
      </c>
      <c r="C725" s="787" t="s">
        <v>2012</v>
      </c>
      <c r="D725" s="787">
        <v>0.32</v>
      </c>
      <c r="E725" s="787">
        <v>0.35</v>
      </c>
      <c r="F725" s="788">
        <v>38258</v>
      </c>
      <c r="G725" s="788">
        <v>41282</v>
      </c>
      <c r="H725" s="787">
        <v>1</v>
      </c>
      <c r="I725" s="788">
        <v>39134</v>
      </c>
      <c r="J725" s="788">
        <v>40059</v>
      </c>
      <c r="L725" s="787">
        <v>0.35</v>
      </c>
      <c r="M725" s="787">
        <v>20</v>
      </c>
      <c r="N725" s="787">
        <v>0.38</v>
      </c>
      <c r="O725" s="788">
        <v>41955</v>
      </c>
    </row>
    <row r="726" spans="1:15" x14ac:dyDescent="0.25">
      <c r="A726" s="786" t="s">
        <v>2013</v>
      </c>
      <c r="B726" s="787">
        <v>4</v>
      </c>
      <c r="C726" s="787" t="s">
        <v>2014</v>
      </c>
      <c r="D726" s="787">
        <v>0.24</v>
      </c>
      <c r="E726" s="787">
        <v>0.27</v>
      </c>
      <c r="F726" s="788">
        <v>38310</v>
      </c>
      <c r="G726" s="788">
        <v>39590</v>
      </c>
      <c r="H726" s="787">
        <v>1</v>
      </c>
      <c r="I726" s="788">
        <v>39134</v>
      </c>
      <c r="J726" s="788">
        <v>39241</v>
      </c>
      <c r="L726" s="787">
        <v>0.27</v>
      </c>
      <c r="M726" s="787">
        <v>20</v>
      </c>
      <c r="N726" s="787">
        <v>0.28999999999999998</v>
      </c>
      <c r="O726" s="788">
        <v>41955</v>
      </c>
    </row>
    <row r="727" spans="1:15" x14ac:dyDescent="0.25">
      <c r="A727" s="786" t="s">
        <v>2015</v>
      </c>
      <c r="B727" s="787">
        <v>4</v>
      </c>
      <c r="C727" s="787" t="s">
        <v>2016</v>
      </c>
      <c r="D727" s="787">
        <v>0</v>
      </c>
      <c r="E727" s="787">
        <v>0</v>
      </c>
      <c r="G727" s="787" t="s">
        <v>1067</v>
      </c>
      <c r="H727" s="787">
        <v>6</v>
      </c>
      <c r="L727" s="787">
        <v>218</v>
      </c>
      <c r="M727" s="787">
        <v>20</v>
      </c>
      <c r="N727" s="787">
        <v>234.35</v>
      </c>
      <c r="O727" s="788">
        <v>41858</v>
      </c>
    </row>
    <row r="728" spans="1:15" x14ac:dyDescent="0.25">
      <c r="A728" s="786" t="s">
        <v>2017</v>
      </c>
      <c r="B728" s="787">
        <v>4</v>
      </c>
      <c r="C728" s="787" t="s">
        <v>2018</v>
      </c>
      <c r="D728" s="787">
        <v>0.01</v>
      </c>
      <c r="E728" s="787">
        <v>0.01</v>
      </c>
      <c r="F728" s="788">
        <v>39155</v>
      </c>
      <c r="G728" s="788">
        <v>39155</v>
      </c>
      <c r="H728" s="787">
        <v>1</v>
      </c>
      <c r="I728" s="788">
        <v>42074</v>
      </c>
      <c r="J728" s="788">
        <v>39155</v>
      </c>
      <c r="L728" s="787">
        <v>0.01</v>
      </c>
      <c r="M728" s="787">
        <v>20</v>
      </c>
      <c r="N728" s="787">
        <v>0.01</v>
      </c>
      <c r="O728" s="788">
        <v>41955</v>
      </c>
    </row>
    <row r="729" spans="1:15" x14ac:dyDescent="0.25">
      <c r="A729" s="786" t="s">
        <v>2019</v>
      </c>
      <c r="B729" s="787">
        <v>4</v>
      </c>
      <c r="C729" s="787" t="s">
        <v>2020</v>
      </c>
      <c r="D729" s="787">
        <v>0.01</v>
      </c>
      <c r="E729" s="787">
        <v>0.01</v>
      </c>
      <c r="F729" s="788">
        <v>39155</v>
      </c>
      <c r="G729" s="788">
        <v>39155</v>
      </c>
      <c r="H729" s="787">
        <v>1</v>
      </c>
      <c r="I729" s="788">
        <v>42074</v>
      </c>
      <c r="J729" s="788">
        <v>39155</v>
      </c>
      <c r="L729" s="787">
        <v>0.01</v>
      </c>
      <c r="M729" s="787">
        <v>20</v>
      </c>
      <c r="N729" s="787">
        <v>0.01</v>
      </c>
      <c r="O729" s="788">
        <v>41955</v>
      </c>
    </row>
    <row r="730" spans="1:15" x14ac:dyDescent="0.25">
      <c r="A730" s="786" t="s">
        <v>2021</v>
      </c>
      <c r="B730" s="787">
        <v>4</v>
      </c>
      <c r="C730" s="787" t="s">
        <v>2022</v>
      </c>
      <c r="D730" s="787">
        <v>0.02</v>
      </c>
      <c r="E730" s="787">
        <v>0.02</v>
      </c>
      <c r="F730" s="788">
        <v>37636</v>
      </c>
      <c r="G730" s="788">
        <v>37636</v>
      </c>
      <c r="H730" s="787">
        <v>1</v>
      </c>
      <c r="I730" s="788">
        <v>42074</v>
      </c>
      <c r="J730" s="788">
        <v>39155</v>
      </c>
      <c r="L730" s="787">
        <v>0.02</v>
      </c>
      <c r="M730" s="787">
        <v>20</v>
      </c>
      <c r="N730" s="787">
        <v>0.02</v>
      </c>
      <c r="O730" s="788">
        <v>42053</v>
      </c>
    </row>
    <row r="731" spans="1:15" x14ac:dyDescent="0.25">
      <c r="A731" s="786" t="s">
        <v>2023</v>
      </c>
      <c r="B731" s="787">
        <v>4</v>
      </c>
      <c r="C731" s="787" t="s">
        <v>2024</v>
      </c>
      <c r="D731" s="787">
        <v>0.02</v>
      </c>
      <c r="E731" s="787">
        <v>0.02</v>
      </c>
      <c r="F731" s="788">
        <v>37791</v>
      </c>
      <c r="G731" s="788">
        <v>38678</v>
      </c>
      <c r="H731" s="787">
        <v>1</v>
      </c>
      <c r="I731" s="788">
        <v>39155</v>
      </c>
      <c r="J731" s="788">
        <v>39155</v>
      </c>
      <c r="L731" s="787">
        <v>0.02</v>
      </c>
      <c r="M731" s="787">
        <v>20</v>
      </c>
      <c r="N731" s="787">
        <v>0.02</v>
      </c>
      <c r="O731" s="788">
        <v>41955</v>
      </c>
    </row>
    <row r="732" spans="1:15" x14ac:dyDescent="0.25">
      <c r="A732" s="786" t="s">
        <v>2025</v>
      </c>
      <c r="B732" s="787">
        <v>4</v>
      </c>
      <c r="C732" s="787" t="s">
        <v>2022</v>
      </c>
      <c r="D732" s="787">
        <v>0.03</v>
      </c>
      <c r="E732" s="787">
        <v>0.03</v>
      </c>
      <c r="F732" s="788">
        <v>37636</v>
      </c>
      <c r="G732" s="788">
        <v>37636</v>
      </c>
      <c r="H732" s="787">
        <v>1</v>
      </c>
      <c r="I732" s="788">
        <v>41922</v>
      </c>
      <c r="J732" s="788">
        <v>39155</v>
      </c>
      <c r="L732" s="787">
        <v>0.03</v>
      </c>
      <c r="M732" s="787">
        <v>20</v>
      </c>
      <c r="N732" s="787">
        <v>0.03</v>
      </c>
      <c r="O732" s="788">
        <v>41955</v>
      </c>
    </row>
    <row r="733" spans="1:15" x14ac:dyDescent="0.25">
      <c r="A733" s="786" t="s">
        <v>2026</v>
      </c>
      <c r="B733" s="787">
        <v>4</v>
      </c>
      <c r="C733" s="787" t="s">
        <v>2027</v>
      </c>
      <c r="D733" s="787">
        <v>0.02</v>
      </c>
      <c r="E733" s="787">
        <v>0.02</v>
      </c>
      <c r="F733" s="788">
        <v>37649</v>
      </c>
      <c r="G733" s="788">
        <v>38364</v>
      </c>
      <c r="H733" s="787">
        <v>1</v>
      </c>
      <c r="I733" s="788">
        <v>41835</v>
      </c>
      <c r="J733" s="788">
        <v>39155</v>
      </c>
      <c r="L733" s="787">
        <v>0.02</v>
      </c>
      <c r="M733" s="787">
        <v>20</v>
      </c>
      <c r="N733" s="787">
        <v>0.02</v>
      </c>
      <c r="O733" s="788">
        <v>42136</v>
      </c>
    </row>
    <row r="734" spans="1:15" x14ac:dyDescent="0.25">
      <c r="A734" s="786" t="s">
        <v>2028</v>
      </c>
      <c r="B734" s="787">
        <v>4</v>
      </c>
      <c r="C734" s="787" t="s">
        <v>2029</v>
      </c>
      <c r="D734" s="787">
        <v>0.02</v>
      </c>
      <c r="E734" s="787">
        <v>0.02</v>
      </c>
      <c r="F734" s="788">
        <v>37636</v>
      </c>
      <c r="G734" s="788">
        <v>37636</v>
      </c>
      <c r="H734" s="787">
        <v>1</v>
      </c>
      <c r="J734" s="788">
        <v>37636</v>
      </c>
      <c r="L734" s="787">
        <v>0.02</v>
      </c>
      <c r="M734" s="787">
        <v>20</v>
      </c>
      <c r="N734" s="787">
        <v>0.02</v>
      </c>
      <c r="O734" s="788">
        <v>41955</v>
      </c>
    </row>
    <row r="735" spans="1:15" x14ac:dyDescent="0.25">
      <c r="A735" s="786" t="s">
        <v>2030</v>
      </c>
      <c r="B735" s="787">
        <v>4</v>
      </c>
      <c r="C735" s="787" t="s">
        <v>2031</v>
      </c>
      <c r="D735" s="787">
        <v>0.03</v>
      </c>
      <c r="E735" s="787">
        <v>0.03</v>
      </c>
      <c r="F735" s="788">
        <v>37636</v>
      </c>
      <c r="G735" s="788">
        <v>37636</v>
      </c>
      <c r="H735" s="787">
        <v>1</v>
      </c>
      <c r="J735" s="788">
        <v>37636</v>
      </c>
      <c r="L735" s="787">
        <v>0.03</v>
      </c>
      <c r="M735" s="787">
        <v>20</v>
      </c>
      <c r="N735" s="787">
        <v>0.03</v>
      </c>
      <c r="O735" s="788">
        <v>41955</v>
      </c>
    </row>
    <row r="736" spans="1:15" x14ac:dyDescent="0.25">
      <c r="A736" s="786" t="s">
        <v>2032</v>
      </c>
      <c r="B736" s="787">
        <v>4</v>
      </c>
      <c r="C736" s="787" t="s">
        <v>2033</v>
      </c>
      <c r="D736" s="787">
        <v>0.01</v>
      </c>
      <c r="E736" s="787">
        <v>0.01</v>
      </c>
      <c r="F736" s="788">
        <v>37789</v>
      </c>
      <c r="G736" s="788">
        <v>38678</v>
      </c>
      <c r="H736" s="787">
        <v>1</v>
      </c>
      <c r="I736" s="788">
        <v>39155</v>
      </c>
      <c r="J736" s="788">
        <v>39155</v>
      </c>
      <c r="L736" s="787">
        <v>0.01</v>
      </c>
      <c r="M736" s="787">
        <v>20</v>
      </c>
      <c r="N736" s="787">
        <v>0.01</v>
      </c>
      <c r="O736" s="788">
        <v>41955</v>
      </c>
    </row>
    <row r="737" spans="1:15" x14ac:dyDescent="0.25">
      <c r="A737" s="786" t="s">
        <v>2034</v>
      </c>
      <c r="B737" s="787">
        <v>4</v>
      </c>
      <c r="C737" s="787" t="s">
        <v>2035</v>
      </c>
      <c r="D737" s="787">
        <v>0.02</v>
      </c>
      <c r="E737" s="787">
        <v>0.02</v>
      </c>
      <c r="F737" s="788">
        <v>37636</v>
      </c>
      <c r="G737" s="788">
        <v>37636</v>
      </c>
      <c r="H737" s="787">
        <v>1</v>
      </c>
      <c r="I737" s="788">
        <v>37498</v>
      </c>
      <c r="J737" s="788">
        <v>37636</v>
      </c>
      <c r="L737" s="787">
        <v>0.02</v>
      </c>
      <c r="M737" s="787">
        <v>20</v>
      </c>
      <c r="N737" s="787">
        <v>0.02</v>
      </c>
      <c r="O737" s="788">
        <v>41955</v>
      </c>
    </row>
    <row r="738" spans="1:15" x14ac:dyDescent="0.25">
      <c r="A738" s="786" t="s">
        <v>2036</v>
      </c>
      <c r="B738" s="787">
        <v>4</v>
      </c>
      <c r="C738" s="787" t="s">
        <v>2037</v>
      </c>
      <c r="D738" s="787">
        <v>0.01</v>
      </c>
      <c r="E738" s="787">
        <v>0.01</v>
      </c>
      <c r="F738" s="788">
        <v>37636</v>
      </c>
      <c r="G738" s="788">
        <v>37636</v>
      </c>
      <c r="H738" s="787">
        <v>1</v>
      </c>
      <c r="J738" s="788">
        <v>37636</v>
      </c>
      <c r="L738" s="787">
        <v>0.01</v>
      </c>
      <c r="M738" s="787">
        <v>20</v>
      </c>
      <c r="N738" s="787">
        <v>0.01</v>
      </c>
      <c r="O738" s="788">
        <v>41955</v>
      </c>
    </row>
    <row r="739" spans="1:15" x14ac:dyDescent="0.25">
      <c r="A739" s="786" t="s">
        <v>2038</v>
      </c>
      <c r="B739" s="787">
        <v>4</v>
      </c>
      <c r="C739" s="787" t="s">
        <v>2039</v>
      </c>
      <c r="D739" s="787">
        <v>0.02</v>
      </c>
      <c r="E739" s="787">
        <v>0.02</v>
      </c>
      <c r="F739" s="788">
        <v>37636</v>
      </c>
      <c r="G739" s="788">
        <v>38364</v>
      </c>
      <c r="H739" s="787">
        <v>1</v>
      </c>
      <c r="I739" s="788">
        <v>39155</v>
      </c>
      <c r="J739" s="788">
        <v>39155</v>
      </c>
      <c r="L739" s="787">
        <v>0.02</v>
      </c>
      <c r="M739" s="787">
        <v>20</v>
      </c>
      <c r="N739" s="787">
        <v>0.02</v>
      </c>
      <c r="O739" s="788">
        <v>41955</v>
      </c>
    </row>
    <row r="740" spans="1:15" x14ac:dyDescent="0.25">
      <c r="A740" s="786" t="s">
        <v>2040</v>
      </c>
      <c r="B740" s="787">
        <v>4</v>
      </c>
      <c r="C740" s="787" t="s">
        <v>2041</v>
      </c>
      <c r="D740" s="787">
        <v>0.02</v>
      </c>
      <c r="E740" s="787">
        <v>0.02</v>
      </c>
      <c r="F740" s="788">
        <v>38364</v>
      </c>
      <c r="G740" s="788">
        <v>38602</v>
      </c>
      <c r="H740" s="787">
        <v>1</v>
      </c>
      <c r="I740" s="788">
        <v>39155</v>
      </c>
      <c r="J740" s="788">
        <v>39155</v>
      </c>
      <c r="L740" s="787">
        <v>0.02</v>
      </c>
      <c r="M740" s="787">
        <v>20</v>
      </c>
      <c r="N740" s="787">
        <v>0.02</v>
      </c>
      <c r="O740" s="788">
        <v>41955</v>
      </c>
    </row>
    <row r="741" spans="1:15" x14ac:dyDescent="0.25">
      <c r="A741" s="786" t="s">
        <v>2042</v>
      </c>
      <c r="B741" s="787">
        <v>4</v>
      </c>
      <c r="C741" s="787" t="s">
        <v>2043</v>
      </c>
      <c r="D741" s="787">
        <v>0.02</v>
      </c>
      <c r="E741" s="787">
        <v>0.02</v>
      </c>
      <c r="F741" s="788">
        <v>37636</v>
      </c>
      <c r="G741" s="788">
        <v>37636</v>
      </c>
      <c r="H741" s="787">
        <v>1</v>
      </c>
      <c r="J741" s="788">
        <v>37636</v>
      </c>
      <c r="L741" s="787">
        <v>0.02</v>
      </c>
      <c r="M741" s="787">
        <v>20</v>
      </c>
      <c r="N741" s="787">
        <v>0.02</v>
      </c>
      <c r="O741" s="788">
        <v>41955</v>
      </c>
    </row>
    <row r="742" spans="1:15" x14ac:dyDescent="0.25">
      <c r="A742" s="786" t="s">
        <v>2044</v>
      </c>
      <c r="B742" s="787">
        <v>4</v>
      </c>
      <c r="C742" s="787" t="s">
        <v>2045</v>
      </c>
      <c r="D742" s="787">
        <v>0.03</v>
      </c>
      <c r="E742" s="787">
        <v>0.03</v>
      </c>
      <c r="F742" s="788">
        <v>37636</v>
      </c>
      <c r="G742" s="788">
        <v>38364</v>
      </c>
      <c r="H742" s="787">
        <v>1</v>
      </c>
      <c r="I742" s="788">
        <v>39155</v>
      </c>
      <c r="J742" s="788">
        <v>39155</v>
      </c>
      <c r="L742" s="787">
        <v>0.03</v>
      </c>
      <c r="M742" s="787">
        <v>20</v>
      </c>
      <c r="N742" s="787">
        <v>0.03</v>
      </c>
      <c r="O742" s="788">
        <v>41955</v>
      </c>
    </row>
    <row r="743" spans="1:15" x14ac:dyDescent="0.25">
      <c r="A743" s="786" t="s">
        <v>2046</v>
      </c>
      <c r="B743" s="787">
        <v>4</v>
      </c>
      <c r="C743" s="787" t="s">
        <v>2047</v>
      </c>
      <c r="D743" s="787">
        <v>0.37</v>
      </c>
      <c r="E743" s="787">
        <v>0.37</v>
      </c>
      <c r="F743" s="788">
        <v>37636</v>
      </c>
      <c r="G743" s="788">
        <v>38364</v>
      </c>
      <c r="H743" s="787">
        <v>1</v>
      </c>
      <c r="I743" s="788">
        <v>39155</v>
      </c>
      <c r="J743" s="788">
        <v>39155</v>
      </c>
      <c r="L743" s="787">
        <v>0.37</v>
      </c>
      <c r="M743" s="787">
        <v>20</v>
      </c>
      <c r="N743" s="787">
        <v>0.4</v>
      </c>
      <c r="O743" s="788">
        <v>41955</v>
      </c>
    </row>
    <row r="744" spans="1:15" x14ac:dyDescent="0.25">
      <c r="A744" s="786" t="s">
        <v>2048</v>
      </c>
      <c r="B744" s="787">
        <v>4</v>
      </c>
      <c r="C744" s="787" t="s">
        <v>2049</v>
      </c>
      <c r="D744" s="787">
        <v>0.12</v>
      </c>
      <c r="E744" s="787">
        <v>0.12</v>
      </c>
      <c r="F744" s="788">
        <v>37636</v>
      </c>
      <c r="G744" s="788">
        <v>37636</v>
      </c>
      <c r="H744" s="787">
        <v>1</v>
      </c>
      <c r="J744" s="788">
        <v>37636</v>
      </c>
      <c r="L744" s="787">
        <v>0.12</v>
      </c>
      <c r="M744" s="787">
        <v>20</v>
      </c>
      <c r="N744" s="787">
        <v>0.13</v>
      </c>
      <c r="O744" s="788">
        <v>41955</v>
      </c>
    </row>
    <row r="745" spans="1:15" x14ac:dyDescent="0.25">
      <c r="A745" s="786" t="s">
        <v>2050</v>
      </c>
      <c r="B745" s="787">
        <v>4</v>
      </c>
      <c r="C745" s="787" t="s">
        <v>2016</v>
      </c>
      <c r="D745" s="787">
        <v>0</v>
      </c>
      <c r="E745" s="787">
        <v>0</v>
      </c>
      <c r="G745" s="787" t="s">
        <v>1067</v>
      </c>
      <c r="H745" s="787">
        <v>6</v>
      </c>
      <c r="K745" s="788">
        <v>41892</v>
      </c>
      <c r="L745" s="787">
        <v>1</v>
      </c>
      <c r="M745" s="787">
        <v>20</v>
      </c>
      <c r="N745" s="787">
        <v>0</v>
      </c>
      <c r="O745" s="788">
        <v>40824</v>
      </c>
    </row>
    <row r="746" spans="1:15" x14ac:dyDescent="0.25">
      <c r="A746" s="786" t="s">
        <v>2051</v>
      </c>
      <c r="B746" s="787">
        <v>4</v>
      </c>
      <c r="C746" s="787" t="s">
        <v>2016</v>
      </c>
      <c r="D746" s="787">
        <v>0</v>
      </c>
      <c r="E746" s="787">
        <v>0</v>
      </c>
      <c r="G746" s="787" t="s">
        <v>1067</v>
      </c>
      <c r="H746" s="787">
        <v>6</v>
      </c>
      <c r="K746" s="788">
        <v>41892</v>
      </c>
      <c r="L746" s="787">
        <v>1</v>
      </c>
      <c r="M746" s="787">
        <v>20</v>
      </c>
      <c r="N746" s="787">
        <v>0</v>
      </c>
      <c r="O746" s="788">
        <v>40824</v>
      </c>
    </row>
    <row r="747" spans="1:15" x14ac:dyDescent="0.25">
      <c r="A747" s="786" t="s">
        <v>2052</v>
      </c>
      <c r="B747" s="787">
        <v>4</v>
      </c>
      <c r="C747" s="787" t="s">
        <v>2053</v>
      </c>
      <c r="D747" s="787">
        <v>0.17</v>
      </c>
      <c r="E747" s="787">
        <v>0.82</v>
      </c>
      <c r="F747" s="788">
        <v>38047</v>
      </c>
      <c r="G747" s="788">
        <v>42137</v>
      </c>
      <c r="H747" s="787">
        <v>1</v>
      </c>
      <c r="I747" s="788">
        <v>42150</v>
      </c>
      <c r="J747" s="788">
        <v>42137</v>
      </c>
      <c r="K747" s="788">
        <v>41865</v>
      </c>
      <c r="L747" s="787">
        <v>0.98</v>
      </c>
      <c r="M747" s="787">
        <v>20</v>
      </c>
      <c r="N747" s="787">
        <v>1.05</v>
      </c>
      <c r="O747" s="788">
        <v>42164</v>
      </c>
    </row>
    <row r="748" spans="1:15" x14ac:dyDescent="0.25">
      <c r="A748" s="786" t="s">
        <v>2054</v>
      </c>
      <c r="B748" s="787">
        <v>4</v>
      </c>
      <c r="C748" s="787" t="s">
        <v>2055</v>
      </c>
      <c r="D748" s="787">
        <v>2.64</v>
      </c>
      <c r="E748" s="787">
        <v>2.64</v>
      </c>
      <c r="F748" s="788">
        <v>41890</v>
      </c>
      <c r="G748" s="788">
        <v>42013</v>
      </c>
      <c r="H748" s="787">
        <v>1</v>
      </c>
      <c r="I748" s="788">
        <v>42082</v>
      </c>
      <c r="J748" s="788">
        <v>41879</v>
      </c>
      <c r="K748" s="788">
        <v>41865</v>
      </c>
      <c r="L748" s="787">
        <v>3.11</v>
      </c>
      <c r="M748" s="787">
        <v>20</v>
      </c>
      <c r="N748" s="787">
        <v>3.34</v>
      </c>
      <c r="O748" s="788">
        <v>42080</v>
      </c>
    </row>
    <row r="749" spans="1:15" x14ac:dyDescent="0.25">
      <c r="A749" s="786" t="s">
        <v>2056</v>
      </c>
      <c r="B749" s="787">
        <v>4</v>
      </c>
      <c r="C749" s="787" t="s">
        <v>2016</v>
      </c>
      <c r="D749" s="787">
        <v>0</v>
      </c>
      <c r="E749" s="787">
        <v>0</v>
      </c>
      <c r="G749" s="787" t="s">
        <v>1067</v>
      </c>
      <c r="H749" s="787">
        <v>1</v>
      </c>
      <c r="K749" s="788">
        <v>41892</v>
      </c>
      <c r="L749" s="787">
        <v>1</v>
      </c>
      <c r="M749" s="787">
        <v>20</v>
      </c>
      <c r="N749" s="787">
        <v>1</v>
      </c>
      <c r="O749" s="788">
        <v>41955</v>
      </c>
    </row>
    <row r="750" spans="1:15" x14ac:dyDescent="0.25">
      <c r="A750" s="786" t="s">
        <v>2057</v>
      </c>
      <c r="B750" s="787">
        <v>4</v>
      </c>
      <c r="C750" s="787" t="s">
        <v>2058</v>
      </c>
      <c r="D750" s="787">
        <v>0.12</v>
      </c>
      <c r="E750" s="787">
        <v>0.2</v>
      </c>
      <c r="F750" s="788">
        <v>39101</v>
      </c>
      <c r="G750" s="788">
        <v>41565</v>
      </c>
      <c r="H750" s="787">
        <v>3</v>
      </c>
      <c r="I750" s="788">
        <v>41176</v>
      </c>
      <c r="J750" s="788">
        <v>41502</v>
      </c>
      <c r="K750" s="788">
        <v>41470</v>
      </c>
      <c r="L750" s="787">
        <v>0.16</v>
      </c>
      <c r="M750" s="787">
        <v>20</v>
      </c>
      <c r="N750" s="787">
        <v>0.17</v>
      </c>
      <c r="O750" s="788">
        <v>41955</v>
      </c>
    </row>
    <row r="751" spans="1:15" x14ac:dyDescent="0.25">
      <c r="A751" s="786" t="s">
        <v>2059</v>
      </c>
      <c r="B751" s="787">
        <v>4</v>
      </c>
      <c r="C751" s="787" t="s">
        <v>2060</v>
      </c>
      <c r="D751" s="787">
        <v>2.36</v>
      </c>
      <c r="E751" s="787">
        <v>12.36</v>
      </c>
      <c r="F751" s="788">
        <v>41592</v>
      </c>
      <c r="G751" s="788">
        <v>42013</v>
      </c>
      <c r="H751" s="787">
        <v>1</v>
      </c>
      <c r="I751" s="788">
        <v>42165</v>
      </c>
      <c r="J751" s="788">
        <v>41659</v>
      </c>
      <c r="K751" s="788">
        <v>41527</v>
      </c>
      <c r="L751" s="787">
        <v>13.6</v>
      </c>
      <c r="M751" s="787">
        <v>20</v>
      </c>
      <c r="N751" s="787">
        <v>14.62</v>
      </c>
      <c r="O751" s="788">
        <v>42075</v>
      </c>
    </row>
    <row r="752" spans="1:15" x14ac:dyDescent="0.25">
      <c r="A752" s="786" t="s">
        <v>2061</v>
      </c>
      <c r="B752" s="787">
        <v>4</v>
      </c>
      <c r="C752" s="787" t="s">
        <v>2016</v>
      </c>
      <c r="D752" s="787">
        <v>0</v>
      </c>
      <c r="E752" s="787">
        <v>0</v>
      </c>
      <c r="G752" s="787" t="s">
        <v>1067</v>
      </c>
      <c r="H752" s="787">
        <v>1</v>
      </c>
      <c r="L752" s="787">
        <v>0</v>
      </c>
      <c r="M752" s="787">
        <v>20</v>
      </c>
      <c r="N752" s="787">
        <v>0</v>
      </c>
      <c r="O752" s="788">
        <v>40824</v>
      </c>
    </row>
    <row r="753" spans="1:15" x14ac:dyDescent="0.25">
      <c r="A753" s="786" t="s">
        <v>2062</v>
      </c>
      <c r="B753" s="787">
        <v>4</v>
      </c>
      <c r="C753" s="787" t="s">
        <v>2063</v>
      </c>
      <c r="D753" s="787">
        <v>0.36</v>
      </c>
      <c r="E753" s="787">
        <v>1.6</v>
      </c>
      <c r="F753" s="788">
        <v>39975</v>
      </c>
      <c r="G753" s="788">
        <v>42013</v>
      </c>
      <c r="H753" s="787">
        <v>5</v>
      </c>
      <c r="I753" s="788">
        <v>41841</v>
      </c>
      <c r="J753" s="788">
        <v>40724</v>
      </c>
      <c r="K753" s="788">
        <v>40725</v>
      </c>
      <c r="L753" s="787">
        <v>1.9</v>
      </c>
      <c r="M753" s="787">
        <v>20</v>
      </c>
      <c r="N753" s="787">
        <v>2.04</v>
      </c>
      <c r="O753" s="788">
        <v>41955</v>
      </c>
    </row>
    <row r="754" spans="1:15" x14ac:dyDescent="0.25">
      <c r="A754" s="786" t="s">
        <v>2064</v>
      </c>
      <c r="B754" s="787">
        <v>4</v>
      </c>
      <c r="C754" s="787" t="s">
        <v>2065</v>
      </c>
      <c r="D754" s="787">
        <v>0.08</v>
      </c>
      <c r="E754" s="787">
        <v>0.24</v>
      </c>
      <c r="F754" s="788">
        <v>39101</v>
      </c>
      <c r="G754" s="788">
        <v>42013</v>
      </c>
      <c r="H754" s="787">
        <v>1</v>
      </c>
      <c r="I754" s="788">
        <v>42051</v>
      </c>
      <c r="J754" s="788">
        <v>40724</v>
      </c>
      <c r="K754" s="788">
        <v>40725</v>
      </c>
      <c r="L754" s="787">
        <v>0.28999999999999998</v>
      </c>
      <c r="M754" s="787">
        <v>20</v>
      </c>
      <c r="N754" s="787">
        <v>0.31</v>
      </c>
      <c r="O754" s="788">
        <v>41955</v>
      </c>
    </row>
    <row r="755" spans="1:15" x14ac:dyDescent="0.25">
      <c r="A755" s="786" t="s">
        <v>2066</v>
      </c>
      <c r="B755" s="787">
        <v>4</v>
      </c>
      <c r="C755" s="787" t="s">
        <v>2067</v>
      </c>
      <c r="D755" s="787">
        <v>1.1399999999999999</v>
      </c>
      <c r="E755" s="787">
        <v>1.52</v>
      </c>
      <c r="F755" s="788">
        <v>39975</v>
      </c>
      <c r="G755" s="788">
        <v>42013</v>
      </c>
      <c r="H755" s="787">
        <v>1</v>
      </c>
      <c r="I755" s="788">
        <v>42051</v>
      </c>
      <c r="J755" s="788">
        <v>40724</v>
      </c>
      <c r="K755" s="788">
        <v>40725</v>
      </c>
      <c r="L755" s="787">
        <v>1.81</v>
      </c>
      <c r="M755" s="787">
        <v>20</v>
      </c>
      <c r="N755" s="787">
        <v>1.95</v>
      </c>
      <c r="O755" s="788">
        <v>41955</v>
      </c>
    </row>
    <row r="756" spans="1:15" x14ac:dyDescent="0.25">
      <c r="A756" s="786" t="s">
        <v>2068</v>
      </c>
      <c r="B756" s="787">
        <v>4</v>
      </c>
      <c r="C756" s="787" t="s">
        <v>2069</v>
      </c>
      <c r="D756" s="787">
        <v>1.22</v>
      </c>
      <c r="E756" s="787">
        <v>1.22</v>
      </c>
      <c r="F756" s="788">
        <v>41318</v>
      </c>
      <c r="G756" s="788">
        <v>42038</v>
      </c>
      <c r="H756" s="787">
        <v>1</v>
      </c>
      <c r="I756" s="788">
        <v>41948</v>
      </c>
      <c r="J756" s="788">
        <v>42079</v>
      </c>
      <c r="K756" s="788">
        <v>41228</v>
      </c>
      <c r="L756" s="787">
        <v>1.45</v>
      </c>
      <c r="M756" s="787">
        <v>20</v>
      </c>
      <c r="N756" s="787">
        <v>1.56</v>
      </c>
      <c r="O756" s="788">
        <v>42026</v>
      </c>
    </row>
    <row r="757" spans="1:15" x14ac:dyDescent="0.25">
      <c r="A757" s="786" t="s">
        <v>2070</v>
      </c>
      <c r="B757" s="787">
        <v>4</v>
      </c>
      <c r="C757" s="787" t="s">
        <v>2016</v>
      </c>
      <c r="D757" s="787">
        <v>0</v>
      </c>
      <c r="E757" s="787">
        <v>0</v>
      </c>
      <c r="G757" s="787" t="s">
        <v>1067</v>
      </c>
      <c r="H757" s="787">
        <v>1</v>
      </c>
      <c r="L757" s="787">
        <v>0</v>
      </c>
      <c r="M757" s="787">
        <v>20</v>
      </c>
      <c r="N757" s="787">
        <v>0</v>
      </c>
      <c r="O757" s="788">
        <v>40824</v>
      </c>
    </row>
    <row r="758" spans="1:15" x14ac:dyDescent="0.25">
      <c r="A758" s="786" t="s">
        <v>2071</v>
      </c>
      <c r="B758" s="787">
        <v>4</v>
      </c>
      <c r="C758" s="787" t="s">
        <v>2072</v>
      </c>
      <c r="D758" s="787">
        <v>0.57999999999999996</v>
      </c>
      <c r="E758" s="787">
        <v>0.57999999999999996</v>
      </c>
      <c r="F758" s="788">
        <v>37636</v>
      </c>
      <c r="G758" s="788">
        <v>37636</v>
      </c>
      <c r="H758" s="787">
        <v>1</v>
      </c>
      <c r="I758" s="788">
        <v>38709</v>
      </c>
      <c r="J758" s="788">
        <v>37636</v>
      </c>
      <c r="L758" s="787">
        <v>0.63</v>
      </c>
      <c r="M758" s="787">
        <v>20</v>
      </c>
      <c r="N758" s="787">
        <v>0.68</v>
      </c>
      <c r="O758" s="788">
        <v>42151</v>
      </c>
    </row>
    <row r="759" spans="1:15" x14ac:dyDescent="0.25">
      <c r="A759" s="786" t="s">
        <v>2073</v>
      </c>
      <c r="B759" s="787">
        <v>4</v>
      </c>
      <c r="C759" s="787" t="s">
        <v>2016</v>
      </c>
      <c r="D759" s="787">
        <v>0</v>
      </c>
      <c r="E759" s="787">
        <v>0</v>
      </c>
      <c r="G759" s="787" t="s">
        <v>1067</v>
      </c>
      <c r="H759" s="787">
        <v>1</v>
      </c>
      <c r="L759" s="789">
        <v>1244.8800000000001</v>
      </c>
      <c r="M759" s="787">
        <v>20</v>
      </c>
      <c r="N759" s="789">
        <v>1338.25</v>
      </c>
      <c r="O759" s="788">
        <v>41955</v>
      </c>
    </row>
    <row r="760" spans="1:15" x14ac:dyDescent="0.25">
      <c r="A760" s="786" t="s">
        <v>2074</v>
      </c>
      <c r="B760" s="787">
        <v>4</v>
      </c>
      <c r="C760" s="787" t="s">
        <v>2075</v>
      </c>
      <c r="D760" s="787">
        <v>0</v>
      </c>
      <c r="E760" s="787">
        <v>0</v>
      </c>
      <c r="H760" s="787">
        <v>1</v>
      </c>
      <c r="I760" s="788">
        <v>41956</v>
      </c>
      <c r="L760" s="787">
        <v>0.6</v>
      </c>
      <c r="M760" s="787">
        <v>20</v>
      </c>
      <c r="N760" s="787">
        <v>0.65</v>
      </c>
      <c r="O760" s="788">
        <v>41996</v>
      </c>
    </row>
    <row r="761" spans="1:15" x14ac:dyDescent="0.25">
      <c r="A761" s="786" t="s">
        <v>2076</v>
      </c>
      <c r="B761" s="787">
        <v>4</v>
      </c>
      <c r="C761" s="787" t="s">
        <v>2016</v>
      </c>
      <c r="D761" s="787">
        <v>0</v>
      </c>
      <c r="E761" s="787">
        <v>0</v>
      </c>
      <c r="G761" s="787" t="s">
        <v>1067</v>
      </c>
      <c r="H761" s="787">
        <v>1</v>
      </c>
      <c r="L761" s="789">
        <v>1244.8800000000001</v>
      </c>
      <c r="M761" s="787">
        <v>20</v>
      </c>
      <c r="N761" s="789">
        <v>1338.25</v>
      </c>
      <c r="O761" s="788">
        <v>41955</v>
      </c>
    </row>
    <row r="762" spans="1:15" x14ac:dyDescent="0.25">
      <c r="A762" s="786" t="s">
        <v>2077</v>
      </c>
      <c r="B762" s="787">
        <v>4</v>
      </c>
      <c r="C762" s="787" t="s">
        <v>2016</v>
      </c>
      <c r="D762" s="787">
        <v>0</v>
      </c>
      <c r="E762" s="787">
        <v>0</v>
      </c>
      <c r="G762" s="787" t="s">
        <v>1067</v>
      </c>
      <c r="H762" s="787">
        <v>1</v>
      </c>
      <c r="L762" s="787">
        <v>240</v>
      </c>
      <c r="M762" s="787">
        <v>20</v>
      </c>
      <c r="N762" s="787">
        <v>258</v>
      </c>
      <c r="O762" s="788">
        <v>41955</v>
      </c>
    </row>
    <row r="763" spans="1:15" x14ac:dyDescent="0.25">
      <c r="A763" s="786" t="s">
        <v>2078</v>
      </c>
      <c r="B763" s="787">
        <v>4</v>
      </c>
      <c r="C763" s="787" t="s">
        <v>2016</v>
      </c>
      <c r="D763" s="787">
        <v>0</v>
      </c>
      <c r="E763" s="787">
        <v>0</v>
      </c>
      <c r="G763" s="787" t="s">
        <v>1067</v>
      </c>
      <c r="H763" s="787">
        <v>1</v>
      </c>
      <c r="L763" s="789">
        <v>3143</v>
      </c>
      <c r="M763" s="787">
        <v>20</v>
      </c>
      <c r="N763" s="789">
        <v>3378.73</v>
      </c>
      <c r="O763" s="788">
        <v>41955</v>
      </c>
    </row>
    <row r="764" spans="1:15" x14ac:dyDescent="0.25">
      <c r="A764" s="786" t="s">
        <v>828</v>
      </c>
      <c r="B764" s="787">
        <v>4</v>
      </c>
      <c r="C764" s="787" t="s">
        <v>2079</v>
      </c>
      <c r="D764" s="787">
        <v>2.65</v>
      </c>
      <c r="E764" s="787">
        <v>3.01</v>
      </c>
      <c r="F764" s="788">
        <v>41796</v>
      </c>
      <c r="G764" s="788">
        <v>42093</v>
      </c>
      <c r="H764" s="787">
        <v>1</v>
      </c>
      <c r="I764" s="788">
        <v>42166</v>
      </c>
      <c r="J764" s="788">
        <v>42089</v>
      </c>
      <c r="K764" s="788">
        <v>40945</v>
      </c>
      <c r="L764" s="787">
        <v>2.65</v>
      </c>
      <c r="M764" s="787">
        <v>20</v>
      </c>
      <c r="N764" s="787">
        <v>2.85</v>
      </c>
      <c r="O764" s="788">
        <v>42164</v>
      </c>
    </row>
    <row r="765" spans="1:15" x14ac:dyDescent="0.25">
      <c r="A765" s="786" t="s">
        <v>2080</v>
      </c>
      <c r="B765" s="787">
        <v>4</v>
      </c>
      <c r="C765" s="787" t="s">
        <v>2081</v>
      </c>
      <c r="D765" s="787">
        <v>0.87</v>
      </c>
      <c r="E765" s="787">
        <v>0.87</v>
      </c>
      <c r="F765" s="788">
        <v>39119</v>
      </c>
      <c r="G765" s="788">
        <v>39084</v>
      </c>
      <c r="H765" s="787">
        <v>1</v>
      </c>
      <c r="I765" s="788">
        <v>39373</v>
      </c>
      <c r="J765" s="788">
        <v>39303</v>
      </c>
      <c r="L765" s="787">
        <v>0.87</v>
      </c>
      <c r="M765" s="787">
        <v>20</v>
      </c>
      <c r="N765" s="787">
        <v>0.94</v>
      </c>
      <c r="O765" s="788">
        <v>41955</v>
      </c>
    </row>
    <row r="766" spans="1:15" x14ac:dyDescent="0.25">
      <c r="A766" s="786" t="s">
        <v>2082</v>
      </c>
      <c r="B766" s="787">
        <v>4</v>
      </c>
      <c r="C766" s="787" t="s">
        <v>2083</v>
      </c>
      <c r="D766" s="787">
        <v>6.93</v>
      </c>
      <c r="E766" s="787">
        <v>42.06</v>
      </c>
      <c r="F766" s="788">
        <v>38047</v>
      </c>
      <c r="G766" s="788">
        <v>42081</v>
      </c>
      <c r="H766" s="787">
        <v>1</v>
      </c>
      <c r="I766" s="788">
        <v>42159</v>
      </c>
      <c r="J766" s="788">
        <v>42166</v>
      </c>
      <c r="K766" s="788">
        <v>40814</v>
      </c>
      <c r="L766" s="787">
        <v>40.04</v>
      </c>
      <c r="M766" s="787">
        <v>20</v>
      </c>
      <c r="N766" s="787">
        <v>43.04</v>
      </c>
      <c r="O766" s="788">
        <v>42164</v>
      </c>
    </row>
    <row r="767" spans="1:15" x14ac:dyDescent="0.25">
      <c r="A767" s="786" t="s">
        <v>655</v>
      </c>
      <c r="B767" s="787">
        <v>4</v>
      </c>
      <c r="C767" s="787" t="s">
        <v>2084</v>
      </c>
      <c r="D767" s="787">
        <v>8.44</v>
      </c>
      <c r="E767" s="787">
        <v>10.25</v>
      </c>
      <c r="F767" s="788">
        <v>39163</v>
      </c>
      <c r="G767" s="788">
        <v>41978</v>
      </c>
      <c r="H767" s="787">
        <v>1</v>
      </c>
      <c r="I767" s="788">
        <v>42166</v>
      </c>
      <c r="J767" s="788">
        <v>42165</v>
      </c>
      <c r="K767" s="788">
        <v>41710</v>
      </c>
      <c r="L767" s="787">
        <v>10.119999999999999</v>
      </c>
      <c r="M767" s="787">
        <v>20</v>
      </c>
      <c r="N767" s="787">
        <v>10.88</v>
      </c>
      <c r="O767" s="788">
        <v>42164</v>
      </c>
    </row>
    <row r="768" spans="1:15" x14ac:dyDescent="0.25">
      <c r="A768" s="786" t="s">
        <v>656</v>
      </c>
      <c r="B768" s="787">
        <v>4</v>
      </c>
      <c r="C768" s="787" t="s">
        <v>2085</v>
      </c>
      <c r="D768" s="787">
        <v>6.8</v>
      </c>
      <c r="E768" s="787">
        <v>46.2</v>
      </c>
      <c r="F768" s="788">
        <v>39101</v>
      </c>
      <c r="G768" s="788">
        <v>42156</v>
      </c>
      <c r="H768" s="787">
        <v>1</v>
      </c>
      <c r="I768" s="788">
        <v>42142</v>
      </c>
      <c r="J768" s="788">
        <v>42137</v>
      </c>
      <c r="L768" s="787">
        <v>35.9</v>
      </c>
      <c r="M768" s="787">
        <v>20</v>
      </c>
      <c r="N768" s="787">
        <v>38.590000000000003</v>
      </c>
      <c r="O768" s="788">
        <v>41969</v>
      </c>
    </row>
    <row r="769" spans="1:15" x14ac:dyDescent="0.25">
      <c r="A769" s="786" t="s">
        <v>2086</v>
      </c>
      <c r="B769" s="787">
        <v>4</v>
      </c>
      <c r="C769" s="787" t="s">
        <v>2087</v>
      </c>
      <c r="D769" s="787">
        <v>1.85</v>
      </c>
      <c r="E769" s="787">
        <v>25</v>
      </c>
      <c r="F769" s="788">
        <v>39101</v>
      </c>
      <c r="G769" s="788">
        <v>42069</v>
      </c>
      <c r="H769" s="787">
        <v>1</v>
      </c>
      <c r="I769" s="788">
        <v>41901</v>
      </c>
      <c r="J769" s="788">
        <v>42069</v>
      </c>
      <c r="K769" s="788">
        <v>40107</v>
      </c>
      <c r="L769" s="787">
        <v>25</v>
      </c>
      <c r="M769" s="787">
        <v>20</v>
      </c>
      <c r="N769" s="787">
        <v>26.88</v>
      </c>
      <c r="O769" s="788">
        <v>41955</v>
      </c>
    </row>
    <row r="770" spans="1:15" x14ac:dyDescent="0.25">
      <c r="A770" s="786" t="s">
        <v>2088</v>
      </c>
      <c r="B770" s="787">
        <v>4</v>
      </c>
      <c r="C770" s="787" t="s">
        <v>2089</v>
      </c>
      <c r="D770" s="787">
        <v>3.59</v>
      </c>
      <c r="E770" s="787">
        <v>3.84</v>
      </c>
      <c r="F770" s="788">
        <v>41291</v>
      </c>
      <c r="G770" s="788">
        <v>42137</v>
      </c>
      <c r="H770" s="787">
        <v>1</v>
      </c>
      <c r="I770" s="788">
        <v>42165</v>
      </c>
      <c r="J770" s="788">
        <v>42111</v>
      </c>
      <c r="K770" s="788">
        <v>38553</v>
      </c>
      <c r="L770" s="787">
        <v>3</v>
      </c>
      <c r="M770" s="787">
        <v>20</v>
      </c>
      <c r="N770" s="787">
        <v>3.23</v>
      </c>
      <c r="O770" s="788">
        <v>41969</v>
      </c>
    </row>
    <row r="771" spans="1:15" x14ac:dyDescent="0.25">
      <c r="A771" s="786" t="s">
        <v>2090</v>
      </c>
      <c r="B771" s="787">
        <v>4</v>
      </c>
      <c r="C771" s="787" t="s">
        <v>2091</v>
      </c>
      <c r="D771" s="787">
        <v>2.2400000000000002</v>
      </c>
      <c r="E771" s="787">
        <v>12.24</v>
      </c>
      <c r="F771" s="788">
        <v>38860</v>
      </c>
      <c r="G771" s="788">
        <v>38860</v>
      </c>
      <c r="H771" s="787">
        <v>1</v>
      </c>
      <c r="I771" s="788">
        <v>39134</v>
      </c>
      <c r="J771" s="788">
        <v>38846</v>
      </c>
      <c r="L771" s="787">
        <v>12.24</v>
      </c>
      <c r="M771" s="787">
        <v>20</v>
      </c>
      <c r="N771" s="787">
        <v>13.16</v>
      </c>
      <c r="O771" s="788">
        <v>41955</v>
      </c>
    </row>
    <row r="772" spans="1:15" x14ac:dyDescent="0.25">
      <c r="A772" s="786" t="s">
        <v>2092</v>
      </c>
      <c r="B772" s="787">
        <v>4</v>
      </c>
      <c r="C772" s="787" t="s">
        <v>2093</v>
      </c>
      <c r="D772" s="787">
        <v>0.61</v>
      </c>
      <c r="E772" s="787">
        <v>0.61</v>
      </c>
      <c r="F772" s="788">
        <v>37636</v>
      </c>
      <c r="G772" s="788">
        <v>37636</v>
      </c>
      <c r="H772" s="787">
        <v>1</v>
      </c>
      <c r="I772" s="788">
        <v>39286</v>
      </c>
      <c r="J772" s="788">
        <v>37636</v>
      </c>
      <c r="L772" s="787">
        <v>0.66</v>
      </c>
      <c r="M772" s="787">
        <v>20</v>
      </c>
      <c r="N772" s="787">
        <v>0.71</v>
      </c>
      <c r="O772" s="788">
        <v>41955</v>
      </c>
    </row>
    <row r="773" spans="1:15" x14ac:dyDescent="0.25">
      <c r="A773" s="786" t="s">
        <v>2094</v>
      </c>
      <c r="B773" s="787">
        <v>4</v>
      </c>
      <c r="C773" s="787" t="s">
        <v>2095</v>
      </c>
      <c r="D773" s="787">
        <v>2.77</v>
      </c>
      <c r="E773" s="787">
        <v>4.3</v>
      </c>
      <c r="F773" s="788">
        <v>39545</v>
      </c>
      <c r="G773" s="788">
        <v>42086</v>
      </c>
      <c r="H773" s="787">
        <v>1</v>
      </c>
      <c r="I773" s="788">
        <v>42066</v>
      </c>
      <c r="J773" s="788">
        <v>42069</v>
      </c>
      <c r="L773" s="787">
        <v>6.08</v>
      </c>
      <c r="M773" s="787">
        <v>20</v>
      </c>
      <c r="N773" s="787">
        <v>6.54</v>
      </c>
      <c r="O773" s="788">
        <v>42060</v>
      </c>
    </row>
    <row r="774" spans="1:15" x14ac:dyDescent="0.25">
      <c r="A774" s="786" t="s">
        <v>2096</v>
      </c>
      <c r="B774" s="787">
        <v>4</v>
      </c>
      <c r="C774" s="787" t="s">
        <v>2097</v>
      </c>
      <c r="D774" s="787">
        <v>7.36</v>
      </c>
      <c r="E774" s="787">
        <v>7.54</v>
      </c>
      <c r="F774" s="788">
        <v>41165</v>
      </c>
      <c r="G774" s="788">
        <v>42158</v>
      </c>
      <c r="H774" s="787">
        <v>1</v>
      </c>
      <c r="I774" s="788">
        <v>42163</v>
      </c>
      <c r="J774" s="788">
        <v>42158</v>
      </c>
      <c r="K774" s="788">
        <v>40891</v>
      </c>
      <c r="L774" s="787">
        <v>10</v>
      </c>
      <c r="M774" s="787">
        <v>20</v>
      </c>
      <c r="N774" s="787">
        <v>10.75</v>
      </c>
      <c r="O774" s="788">
        <v>42163</v>
      </c>
    </row>
    <row r="775" spans="1:15" x14ac:dyDescent="0.25">
      <c r="A775" s="786" t="s">
        <v>2098</v>
      </c>
      <c r="B775" s="787">
        <v>4</v>
      </c>
      <c r="C775" s="787" t="s">
        <v>2099</v>
      </c>
      <c r="D775" s="787">
        <v>1.5</v>
      </c>
      <c r="E775" s="787">
        <v>11.5</v>
      </c>
      <c r="F775" s="788">
        <v>42030</v>
      </c>
      <c r="G775" s="788">
        <v>42083</v>
      </c>
      <c r="H775" s="787">
        <v>1</v>
      </c>
      <c r="I775" s="788">
        <v>42163</v>
      </c>
      <c r="J775" s="788">
        <v>42083</v>
      </c>
      <c r="K775" s="788">
        <v>42019</v>
      </c>
      <c r="L775" s="787">
        <v>11.5</v>
      </c>
      <c r="M775" s="787">
        <v>20</v>
      </c>
      <c r="N775" s="787">
        <v>12.36</v>
      </c>
      <c r="O775" s="788">
        <v>42019</v>
      </c>
    </row>
    <row r="776" spans="1:15" x14ac:dyDescent="0.25">
      <c r="A776" s="786" t="s">
        <v>2100</v>
      </c>
      <c r="B776" s="787">
        <v>4</v>
      </c>
      <c r="C776" s="787" t="s">
        <v>2101</v>
      </c>
      <c r="D776" s="787">
        <v>6.38</v>
      </c>
      <c r="E776" s="787">
        <v>6.64</v>
      </c>
      <c r="F776" s="788">
        <v>38047</v>
      </c>
      <c r="G776" s="788">
        <v>38364</v>
      </c>
      <c r="H776" s="787">
        <v>1</v>
      </c>
      <c r="I776" s="788">
        <v>38469</v>
      </c>
      <c r="J776" s="788">
        <v>38062</v>
      </c>
      <c r="L776" s="787">
        <v>6.38</v>
      </c>
      <c r="M776" s="787">
        <v>20</v>
      </c>
      <c r="N776" s="787">
        <v>6.86</v>
      </c>
      <c r="O776" s="788">
        <v>41955</v>
      </c>
    </row>
    <row r="777" spans="1:15" x14ac:dyDescent="0.25">
      <c r="A777" s="786" t="s">
        <v>2102</v>
      </c>
      <c r="B777" s="787">
        <v>4</v>
      </c>
      <c r="C777" s="787" t="s">
        <v>2103</v>
      </c>
      <c r="D777" s="787">
        <v>7.07</v>
      </c>
      <c r="E777" s="787">
        <v>21.12</v>
      </c>
      <c r="F777" s="788">
        <v>38180</v>
      </c>
      <c r="G777" s="788">
        <v>42081</v>
      </c>
      <c r="H777" s="787">
        <v>1</v>
      </c>
      <c r="I777" s="788">
        <v>42137</v>
      </c>
      <c r="J777" s="788">
        <v>42069</v>
      </c>
      <c r="K777" s="788">
        <v>42068</v>
      </c>
      <c r="L777" s="787">
        <v>21.12</v>
      </c>
      <c r="M777" s="787">
        <v>20</v>
      </c>
      <c r="N777" s="787">
        <v>22.7</v>
      </c>
      <c r="O777" s="788">
        <v>42068</v>
      </c>
    </row>
    <row r="778" spans="1:15" x14ac:dyDescent="0.25">
      <c r="A778" s="786" t="s">
        <v>2104</v>
      </c>
      <c r="B778" s="787">
        <v>4</v>
      </c>
      <c r="C778" s="787" t="s">
        <v>2105</v>
      </c>
      <c r="D778" s="787">
        <v>1.58</v>
      </c>
      <c r="E778" s="787">
        <v>1.7</v>
      </c>
      <c r="F778" s="788">
        <v>39101</v>
      </c>
      <c r="G778" s="788">
        <v>42156</v>
      </c>
      <c r="H778" s="787">
        <v>1</v>
      </c>
      <c r="I778" s="788">
        <v>42165</v>
      </c>
      <c r="J778" s="788">
        <v>42130</v>
      </c>
      <c r="K778" s="788">
        <v>41759</v>
      </c>
      <c r="L778" s="787">
        <v>1.7</v>
      </c>
      <c r="M778" s="787">
        <v>20</v>
      </c>
      <c r="N778" s="787">
        <v>1.83</v>
      </c>
      <c r="O778" s="788">
        <v>41969</v>
      </c>
    </row>
    <row r="779" spans="1:15" x14ac:dyDescent="0.25">
      <c r="A779" s="786" t="s">
        <v>2106</v>
      </c>
      <c r="B779" s="787">
        <v>4</v>
      </c>
      <c r="C779" s="787" t="s">
        <v>2107</v>
      </c>
      <c r="D779" s="787">
        <v>4.75</v>
      </c>
      <c r="E779" s="787">
        <v>32.020000000000003</v>
      </c>
      <c r="F779" s="788">
        <v>39293</v>
      </c>
      <c r="G779" s="788">
        <v>42109</v>
      </c>
      <c r="H779" s="787">
        <v>1</v>
      </c>
      <c r="I779" s="788">
        <v>42131</v>
      </c>
      <c r="J779" s="788">
        <v>42130</v>
      </c>
      <c r="K779" s="788">
        <v>41759</v>
      </c>
      <c r="L779" s="787">
        <v>32.020000000000003</v>
      </c>
      <c r="M779" s="787">
        <v>20</v>
      </c>
      <c r="N779" s="787">
        <v>34.42</v>
      </c>
      <c r="O779" s="788">
        <v>42156</v>
      </c>
    </row>
    <row r="780" spans="1:15" x14ac:dyDescent="0.25">
      <c r="A780" s="786" t="s">
        <v>2108</v>
      </c>
      <c r="B780" s="787">
        <v>4</v>
      </c>
      <c r="C780" s="787" t="s">
        <v>2109</v>
      </c>
      <c r="D780" s="787">
        <v>8.08</v>
      </c>
      <c r="E780" s="787">
        <v>8.08</v>
      </c>
      <c r="F780" s="788">
        <v>37636</v>
      </c>
      <c r="G780" s="788">
        <v>37636</v>
      </c>
      <c r="H780" s="787">
        <v>6</v>
      </c>
      <c r="I780" s="788">
        <v>39856</v>
      </c>
      <c r="J780" s="788">
        <v>37636</v>
      </c>
      <c r="L780" s="787">
        <v>8.81</v>
      </c>
      <c r="M780" s="787">
        <v>20</v>
      </c>
      <c r="N780" s="787">
        <v>8.69</v>
      </c>
      <c r="O780" s="788">
        <v>41806</v>
      </c>
    </row>
    <row r="781" spans="1:15" x14ac:dyDescent="0.25">
      <c r="A781" s="786" t="s">
        <v>2110</v>
      </c>
      <c r="B781" s="787">
        <v>4</v>
      </c>
      <c r="C781" s="787" t="s">
        <v>2111</v>
      </c>
      <c r="D781" s="787">
        <v>4.84</v>
      </c>
      <c r="E781" s="787">
        <v>8.69</v>
      </c>
      <c r="F781" s="788">
        <v>37636</v>
      </c>
      <c r="G781" s="788">
        <v>41828</v>
      </c>
      <c r="H781" s="787">
        <v>1</v>
      </c>
      <c r="I781" s="788">
        <v>41543</v>
      </c>
      <c r="J781" s="788">
        <v>42061</v>
      </c>
      <c r="K781" s="788">
        <v>41505</v>
      </c>
      <c r="L781" s="787">
        <v>8.19</v>
      </c>
      <c r="M781" s="787">
        <v>20</v>
      </c>
      <c r="N781" s="787">
        <v>8.8000000000000007</v>
      </c>
      <c r="O781" s="788">
        <v>42144</v>
      </c>
    </row>
    <row r="782" spans="1:15" x14ac:dyDescent="0.25">
      <c r="A782" s="786" t="s">
        <v>2112</v>
      </c>
      <c r="B782" s="787">
        <v>4</v>
      </c>
      <c r="C782" s="787" t="s">
        <v>2113</v>
      </c>
      <c r="D782" s="787">
        <v>7.52</v>
      </c>
      <c r="E782" s="787">
        <v>61.16</v>
      </c>
      <c r="F782" s="788">
        <v>39101</v>
      </c>
      <c r="G782" s="788">
        <v>41565</v>
      </c>
      <c r="H782" s="787">
        <v>1</v>
      </c>
      <c r="I782" s="788">
        <v>41978</v>
      </c>
      <c r="J782" s="788">
        <v>41374</v>
      </c>
      <c r="K782" s="788">
        <v>41759</v>
      </c>
      <c r="L782" s="787">
        <v>64.03</v>
      </c>
      <c r="M782" s="787">
        <v>20</v>
      </c>
      <c r="N782" s="787">
        <v>68.83</v>
      </c>
      <c r="O782" s="788">
        <v>41955</v>
      </c>
    </row>
    <row r="783" spans="1:15" x14ac:dyDescent="0.25">
      <c r="A783" s="786" t="s">
        <v>2114</v>
      </c>
      <c r="B783" s="787">
        <v>4</v>
      </c>
      <c r="C783" s="787" t="s">
        <v>2115</v>
      </c>
      <c r="D783" s="787">
        <v>5</v>
      </c>
      <c r="E783" s="787">
        <v>7.1</v>
      </c>
      <c r="F783" s="788">
        <v>37636</v>
      </c>
      <c r="G783" s="788">
        <v>40228</v>
      </c>
      <c r="H783" s="787">
        <v>1</v>
      </c>
      <c r="I783" s="788">
        <v>40422</v>
      </c>
      <c r="J783" s="788">
        <v>40228</v>
      </c>
      <c r="L783" s="787">
        <v>5.45</v>
      </c>
      <c r="M783" s="787">
        <v>20</v>
      </c>
      <c r="N783" s="787">
        <v>5.86</v>
      </c>
      <c r="O783" s="788">
        <v>41955</v>
      </c>
    </row>
    <row r="784" spans="1:15" x14ac:dyDescent="0.25">
      <c r="A784" s="786" t="s">
        <v>2116</v>
      </c>
      <c r="B784" s="787">
        <v>4</v>
      </c>
      <c r="C784" s="787" t="s">
        <v>2117</v>
      </c>
      <c r="D784" s="787">
        <v>9.5399999999999991</v>
      </c>
      <c r="E784" s="787">
        <v>316.73</v>
      </c>
      <c r="F784" s="788">
        <v>38247</v>
      </c>
      <c r="G784" s="788">
        <v>42158</v>
      </c>
      <c r="H784" s="787">
        <v>1</v>
      </c>
      <c r="I784" s="788">
        <v>42142</v>
      </c>
      <c r="J784" s="788">
        <v>42150</v>
      </c>
      <c r="K784" s="788">
        <v>42143</v>
      </c>
      <c r="L784" s="787">
        <v>309.77999999999997</v>
      </c>
      <c r="M784" s="787">
        <v>20</v>
      </c>
      <c r="N784" s="787">
        <v>333.01</v>
      </c>
      <c r="O784" s="788">
        <v>42143</v>
      </c>
    </row>
    <row r="785" spans="1:15" x14ac:dyDescent="0.25">
      <c r="A785" s="786" t="s">
        <v>2118</v>
      </c>
      <c r="B785" s="787">
        <v>4</v>
      </c>
      <c r="C785" s="787" t="s">
        <v>2119</v>
      </c>
      <c r="D785" s="787">
        <v>8.2899999999999991</v>
      </c>
      <c r="E785" s="787">
        <v>58.29</v>
      </c>
      <c r="F785" s="788">
        <v>39101</v>
      </c>
      <c r="G785" s="788">
        <v>39101</v>
      </c>
      <c r="H785" s="787">
        <v>1</v>
      </c>
      <c r="I785" s="788">
        <v>39134</v>
      </c>
      <c r="J785" s="788">
        <v>39149</v>
      </c>
      <c r="L785" s="787">
        <v>58.29</v>
      </c>
      <c r="M785" s="787">
        <v>20</v>
      </c>
      <c r="N785" s="787">
        <v>62.66</v>
      </c>
      <c r="O785" s="788">
        <v>41955</v>
      </c>
    </row>
    <row r="786" spans="1:15" x14ac:dyDescent="0.25">
      <c r="A786" s="786" t="s">
        <v>2120</v>
      </c>
      <c r="B786" s="787">
        <v>4</v>
      </c>
      <c r="C786" s="787" t="s">
        <v>2121</v>
      </c>
      <c r="D786" s="787">
        <v>5.5</v>
      </c>
      <c r="E786" s="787">
        <v>15.5</v>
      </c>
      <c r="F786" s="788">
        <v>38141</v>
      </c>
      <c r="G786" s="788">
        <v>38471</v>
      </c>
      <c r="H786" s="787">
        <v>1</v>
      </c>
      <c r="I786" s="788">
        <v>38736</v>
      </c>
      <c r="J786" s="788">
        <v>38491</v>
      </c>
      <c r="L786" s="787">
        <v>15.5</v>
      </c>
      <c r="M786" s="787">
        <v>20</v>
      </c>
      <c r="N786" s="787">
        <v>16.66</v>
      </c>
      <c r="O786" s="788">
        <v>41955</v>
      </c>
    </row>
    <row r="787" spans="1:15" x14ac:dyDescent="0.25">
      <c r="A787" s="786" t="s">
        <v>2122</v>
      </c>
      <c r="B787" s="787">
        <v>4</v>
      </c>
      <c r="C787" s="787" t="s">
        <v>2123</v>
      </c>
      <c r="D787" s="787">
        <v>1.5</v>
      </c>
      <c r="E787" s="787">
        <v>11.5</v>
      </c>
      <c r="F787" s="788">
        <v>42037</v>
      </c>
      <c r="G787" s="788">
        <v>42034</v>
      </c>
      <c r="H787" s="787">
        <v>1</v>
      </c>
      <c r="I787" s="788">
        <v>42131</v>
      </c>
      <c r="J787" s="788">
        <v>42102</v>
      </c>
      <c r="K787" s="788">
        <v>42019</v>
      </c>
      <c r="L787" s="787">
        <v>11.5</v>
      </c>
      <c r="M787" s="787">
        <v>20</v>
      </c>
      <c r="N787" s="787">
        <v>12.36</v>
      </c>
      <c r="O787" s="788">
        <v>42019</v>
      </c>
    </row>
    <row r="788" spans="1:15" x14ac:dyDescent="0.25">
      <c r="A788" s="786" t="s">
        <v>2124</v>
      </c>
      <c r="B788" s="787">
        <v>4</v>
      </c>
      <c r="C788" s="787" t="s">
        <v>2125</v>
      </c>
      <c r="D788" s="787">
        <v>2.5299999999999998</v>
      </c>
      <c r="E788" s="787">
        <v>32.53</v>
      </c>
      <c r="F788" s="788">
        <v>38250</v>
      </c>
      <c r="G788" s="788">
        <v>38250</v>
      </c>
      <c r="H788" s="787">
        <v>1</v>
      </c>
      <c r="I788" s="788">
        <v>42103</v>
      </c>
      <c r="J788" s="788">
        <v>38224</v>
      </c>
      <c r="L788" s="787">
        <v>32.53</v>
      </c>
      <c r="M788" s="787">
        <v>20</v>
      </c>
      <c r="N788" s="787">
        <v>34.97</v>
      </c>
      <c r="O788" s="788">
        <v>41955</v>
      </c>
    </row>
    <row r="789" spans="1:15" x14ac:dyDescent="0.25">
      <c r="A789" s="786" t="s">
        <v>2126</v>
      </c>
      <c r="B789" s="787">
        <v>4</v>
      </c>
      <c r="C789" s="787" t="s">
        <v>2127</v>
      </c>
      <c r="D789" s="787">
        <v>3.72</v>
      </c>
      <c r="E789" s="787">
        <v>16.440000000000001</v>
      </c>
      <c r="F789" s="788">
        <v>39450</v>
      </c>
      <c r="G789" s="788">
        <v>41912</v>
      </c>
      <c r="H789" s="787">
        <v>1</v>
      </c>
      <c r="I789" s="788">
        <v>42117</v>
      </c>
      <c r="J789" s="788">
        <v>42059</v>
      </c>
      <c r="K789" s="788">
        <v>42054</v>
      </c>
      <c r="L789" s="787">
        <v>22.5</v>
      </c>
      <c r="M789" s="787">
        <v>20</v>
      </c>
      <c r="N789" s="787">
        <v>24.19</v>
      </c>
      <c r="O789" s="788">
        <v>42054</v>
      </c>
    </row>
    <row r="790" spans="1:15" x14ac:dyDescent="0.25">
      <c r="A790" s="786" t="s">
        <v>2128</v>
      </c>
      <c r="B790" s="787">
        <v>4</v>
      </c>
      <c r="C790" s="787" t="s">
        <v>2129</v>
      </c>
      <c r="D790" s="787">
        <v>9.8800000000000008</v>
      </c>
      <c r="E790" s="787">
        <v>11.66</v>
      </c>
      <c r="F790" s="788">
        <v>39101</v>
      </c>
      <c r="G790" s="788">
        <v>41309</v>
      </c>
      <c r="H790" s="787">
        <v>1</v>
      </c>
      <c r="I790" s="788">
        <v>41544</v>
      </c>
      <c r="J790" s="788">
        <v>41309</v>
      </c>
      <c r="L790" s="787">
        <v>9.8800000000000008</v>
      </c>
      <c r="M790" s="787">
        <v>20</v>
      </c>
      <c r="N790" s="787">
        <v>10.62</v>
      </c>
      <c r="O790" s="788">
        <v>41955</v>
      </c>
    </row>
    <row r="791" spans="1:15" x14ac:dyDescent="0.25">
      <c r="A791" s="786" t="s">
        <v>2130</v>
      </c>
      <c r="B791" s="787">
        <v>4</v>
      </c>
      <c r="C791" s="787" t="s">
        <v>2131</v>
      </c>
      <c r="D791" s="787">
        <v>2.4500000000000002</v>
      </c>
      <c r="E791" s="787">
        <v>2.5299999999999998</v>
      </c>
      <c r="F791" s="788">
        <v>40470</v>
      </c>
      <c r="G791" s="788">
        <v>40863</v>
      </c>
      <c r="H791" s="787">
        <v>1</v>
      </c>
      <c r="I791" s="788">
        <v>40892</v>
      </c>
      <c r="J791" s="788">
        <v>40862</v>
      </c>
      <c r="K791" s="788">
        <v>41759</v>
      </c>
      <c r="L791" s="787">
        <v>2.65</v>
      </c>
      <c r="M791" s="787">
        <v>20</v>
      </c>
      <c r="N791" s="787">
        <v>2.85</v>
      </c>
      <c r="O791" s="788">
        <v>41955</v>
      </c>
    </row>
    <row r="792" spans="1:15" x14ac:dyDescent="0.25">
      <c r="A792" s="786" t="s">
        <v>2132</v>
      </c>
      <c r="B792" s="787">
        <v>4</v>
      </c>
      <c r="C792" s="787" t="s">
        <v>2133</v>
      </c>
      <c r="D792" s="787">
        <v>9.8000000000000007</v>
      </c>
      <c r="E792" s="787">
        <v>59.8</v>
      </c>
      <c r="F792" s="788">
        <v>41453</v>
      </c>
      <c r="G792" s="788">
        <v>41452</v>
      </c>
      <c r="H792" s="787">
        <v>1</v>
      </c>
      <c r="I792" s="788">
        <v>42128</v>
      </c>
      <c r="J792" s="788">
        <v>42101</v>
      </c>
      <c r="L792" s="787">
        <v>59.8</v>
      </c>
      <c r="M792" s="787">
        <v>20</v>
      </c>
      <c r="N792" s="787">
        <v>64.290000000000006</v>
      </c>
      <c r="O792" s="788">
        <v>42146</v>
      </c>
    </row>
    <row r="793" spans="1:15" x14ac:dyDescent="0.25">
      <c r="A793" s="786" t="s">
        <v>2134</v>
      </c>
      <c r="B793" s="787">
        <v>4</v>
      </c>
      <c r="C793" s="787" t="s">
        <v>2135</v>
      </c>
      <c r="D793" s="787">
        <v>2.65</v>
      </c>
      <c r="E793" s="787">
        <v>2.65</v>
      </c>
      <c r="F793" s="788">
        <v>41724</v>
      </c>
      <c r="G793" s="788">
        <v>42160</v>
      </c>
      <c r="H793" s="787">
        <v>1</v>
      </c>
      <c r="J793" s="788">
        <v>42160</v>
      </c>
      <c r="L793" s="787">
        <v>2.65</v>
      </c>
      <c r="M793" s="787">
        <v>20</v>
      </c>
      <c r="N793" s="787">
        <v>2.85</v>
      </c>
      <c r="O793" s="788">
        <v>41955</v>
      </c>
    </row>
    <row r="794" spans="1:15" x14ac:dyDescent="0.25">
      <c r="A794" s="786" t="s">
        <v>2136</v>
      </c>
      <c r="B794" s="787">
        <v>4</v>
      </c>
      <c r="C794" s="787" t="s">
        <v>2137</v>
      </c>
      <c r="D794" s="787">
        <v>2.58</v>
      </c>
      <c r="E794" s="787">
        <v>3.35</v>
      </c>
      <c r="F794" s="788">
        <v>41071</v>
      </c>
      <c r="G794" s="788">
        <v>42073</v>
      </c>
      <c r="H794" s="787">
        <v>1</v>
      </c>
      <c r="I794" s="788">
        <v>42081</v>
      </c>
      <c r="J794" s="788">
        <v>42095</v>
      </c>
      <c r="K794" s="788">
        <v>38553</v>
      </c>
      <c r="L794" s="787">
        <v>2.8</v>
      </c>
      <c r="M794" s="787">
        <v>20</v>
      </c>
      <c r="N794" s="787">
        <v>3.01</v>
      </c>
      <c r="O794" s="788">
        <v>41955</v>
      </c>
    </row>
    <row r="795" spans="1:15" x14ac:dyDescent="0.25">
      <c r="A795" s="786" t="s">
        <v>2138</v>
      </c>
      <c r="B795" s="787">
        <v>4</v>
      </c>
      <c r="C795" s="787" t="s">
        <v>2139</v>
      </c>
      <c r="D795" s="787">
        <v>1.95</v>
      </c>
      <c r="E795" s="787">
        <v>2.33</v>
      </c>
      <c r="F795" s="788">
        <v>39293</v>
      </c>
      <c r="G795" s="788">
        <v>42013</v>
      </c>
      <c r="H795" s="787">
        <v>1</v>
      </c>
      <c r="I795" s="788">
        <v>42074</v>
      </c>
      <c r="J795" s="788">
        <v>41569</v>
      </c>
      <c r="K795" s="788">
        <v>41869</v>
      </c>
      <c r="L795" s="787">
        <v>2.33</v>
      </c>
      <c r="M795" s="787">
        <v>20</v>
      </c>
      <c r="N795" s="787">
        <v>2.5</v>
      </c>
      <c r="O795" s="788">
        <v>41955</v>
      </c>
    </row>
    <row r="796" spans="1:15" x14ac:dyDescent="0.25">
      <c r="A796" s="786" t="s">
        <v>2140</v>
      </c>
      <c r="B796" s="787">
        <v>4</v>
      </c>
      <c r="C796" s="787" t="s">
        <v>2141</v>
      </c>
      <c r="D796" s="787">
        <v>2.08</v>
      </c>
      <c r="E796" s="787">
        <v>18.36</v>
      </c>
      <c r="F796" s="788">
        <v>38135</v>
      </c>
      <c r="G796" s="788">
        <v>41282</v>
      </c>
      <c r="H796" s="787">
        <v>1</v>
      </c>
      <c r="I796" s="788">
        <v>42163</v>
      </c>
      <c r="J796" s="788">
        <v>41978</v>
      </c>
      <c r="L796" s="787">
        <v>12.08</v>
      </c>
      <c r="M796" s="787">
        <v>20</v>
      </c>
      <c r="N796" s="787">
        <v>12.99</v>
      </c>
      <c r="O796" s="788">
        <v>41969</v>
      </c>
    </row>
    <row r="797" spans="1:15" x14ac:dyDescent="0.25">
      <c r="A797" s="786" t="s">
        <v>2142</v>
      </c>
      <c r="B797" s="787">
        <v>4</v>
      </c>
      <c r="C797" s="787" t="s">
        <v>2143</v>
      </c>
      <c r="D797" s="787">
        <v>2.12</v>
      </c>
      <c r="E797" s="787">
        <v>12.69</v>
      </c>
      <c r="F797" s="788">
        <v>40975</v>
      </c>
      <c r="G797" s="788">
        <v>42166</v>
      </c>
      <c r="H797" s="787">
        <v>1</v>
      </c>
      <c r="I797" s="788">
        <v>42166</v>
      </c>
      <c r="J797" s="788">
        <v>42166</v>
      </c>
      <c r="K797" s="788">
        <v>42108</v>
      </c>
      <c r="L797" s="787">
        <v>12.69</v>
      </c>
      <c r="M797" s="787">
        <v>20</v>
      </c>
      <c r="N797" s="787">
        <v>13.64</v>
      </c>
      <c r="O797" s="788">
        <v>42156</v>
      </c>
    </row>
    <row r="798" spans="1:15" x14ac:dyDescent="0.25">
      <c r="A798" s="786" t="s">
        <v>2144</v>
      </c>
      <c r="B798" s="787">
        <v>4</v>
      </c>
      <c r="C798" s="787" t="s">
        <v>2145</v>
      </c>
      <c r="D798" s="787">
        <v>0</v>
      </c>
      <c r="E798" s="787">
        <v>9.66</v>
      </c>
      <c r="H798" s="787">
        <v>1</v>
      </c>
      <c r="K798" s="788">
        <v>40616</v>
      </c>
      <c r="L798" s="787">
        <v>9.66</v>
      </c>
      <c r="M798" s="787">
        <v>20</v>
      </c>
      <c r="N798" s="787">
        <v>10.38</v>
      </c>
      <c r="O798" s="788">
        <v>41955</v>
      </c>
    </row>
    <row r="799" spans="1:15" x14ac:dyDescent="0.25">
      <c r="A799" s="786" t="s">
        <v>2146</v>
      </c>
      <c r="B799" s="787">
        <v>4</v>
      </c>
      <c r="C799" s="787" t="s">
        <v>2147</v>
      </c>
      <c r="D799" s="787">
        <v>0</v>
      </c>
      <c r="E799" s="787">
        <v>7.13</v>
      </c>
      <c r="H799" s="787">
        <v>1</v>
      </c>
      <c r="L799" s="787">
        <v>7.13</v>
      </c>
      <c r="M799" s="787">
        <v>20</v>
      </c>
      <c r="N799" s="787">
        <v>7.66</v>
      </c>
      <c r="O799" s="788">
        <v>41955</v>
      </c>
    </row>
    <row r="800" spans="1:15" x14ac:dyDescent="0.25">
      <c r="A800" s="786" t="s">
        <v>2148</v>
      </c>
      <c r="B800" s="787">
        <v>4</v>
      </c>
      <c r="C800" s="787" t="s">
        <v>2149</v>
      </c>
      <c r="D800" s="787">
        <v>5.52</v>
      </c>
      <c r="E800" s="787">
        <v>5.62</v>
      </c>
      <c r="F800" s="788">
        <v>41290</v>
      </c>
      <c r="G800" s="788">
        <v>42164</v>
      </c>
      <c r="H800" s="787">
        <v>1</v>
      </c>
      <c r="I800" s="788">
        <v>41606</v>
      </c>
      <c r="J800" s="788">
        <v>42164</v>
      </c>
      <c r="K800" s="788">
        <v>40694</v>
      </c>
      <c r="L800" s="787">
        <v>4.79</v>
      </c>
      <c r="M800" s="787">
        <v>20</v>
      </c>
      <c r="N800" s="787">
        <v>5.15</v>
      </c>
      <c r="O800" s="788">
        <v>41955</v>
      </c>
    </row>
    <row r="801" spans="1:15" x14ac:dyDescent="0.25">
      <c r="A801" s="786" t="s">
        <v>2150</v>
      </c>
      <c r="B801" s="787">
        <v>4</v>
      </c>
      <c r="C801" s="787" t="s">
        <v>2151</v>
      </c>
      <c r="D801" s="787">
        <v>4.5</v>
      </c>
      <c r="E801" s="787">
        <v>14.5</v>
      </c>
      <c r="F801" s="788">
        <v>40975</v>
      </c>
      <c r="G801" s="788">
        <v>40966</v>
      </c>
      <c r="H801" s="787">
        <v>1</v>
      </c>
      <c r="I801" s="788">
        <v>42166</v>
      </c>
      <c r="J801" s="788">
        <v>42088</v>
      </c>
      <c r="L801" s="787">
        <v>14.5</v>
      </c>
      <c r="M801" s="787">
        <v>20</v>
      </c>
      <c r="N801" s="787">
        <v>15.59</v>
      </c>
      <c r="O801" s="788">
        <v>42156</v>
      </c>
    </row>
    <row r="802" spans="1:15" x14ac:dyDescent="0.25">
      <c r="A802" s="786" t="s">
        <v>685</v>
      </c>
      <c r="B802" s="787">
        <v>4</v>
      </c>
      <c r="C802" s="787" t="s">
        <v>2152</v>
      </c>
      <c r="D802" s="787">
        <v>3.1</v>
      </c>
      <c r="E802" s="787">
        <v>3.1</v>
      </c>
      <c r="F802" s="788">
        <v>41015</v>
      </c>
      <c r="G802" s="788">
        <v>40988</v>
      </c>
      <c r="H802" s="787">
        <v>1</v>
      </c>
      <c r="I802" s="788">
        <v>42166</v>
      </c>
      <c r="J802" s="788">
        <v>42089</v>
      </c>
      <c r="L802" s="787">
        <v>3.1</v>
      </c>
      <c r="M802" s="787">
        <v>20</v>
      </c>
      <c r="N802" s="787">
        <v>3.33</v>
      </c>
      <c r="O802" s="788">
        <v>42146</v>
      </c>
    </row>
    <row r="803" spans="1:15" x14ac:dyDescent="0.25">
      <c r="A803" s="786" t="s">
        <v>2153</v>
      </c>
      <c r="B803" s="787">
        <v>4</v>
      </c>
      <c r="C803" s="787" t="s">
        <v>2154</v>
      </c>
      <c r="D803" s="787">
        <v>8.24</v>
      </c>
      <c r="E803" s="787">
        <v>18.239999999999998</v>
      </c>
      <c r="F803" s="788">
        <v>40925</v>
      </c>
      <c r="G803" s="788">
        <v>40926</v>
      </c>
      <c r="H803" s="787">
        <v>1</v>
      </c>
      <c r="J803" s="788">
        <v>40926</v>
      </c>
      <c r="L803" s="787">
        <v>18.420000000000002</v>
      </c>
      <c r="M803" s="787">
        <v>20</v>
      </c>
      <c r="N803" s="787">
        <v>19.8</v>
      </c>
      <c r="O803" s="788">
        <v>41955</v>
      </c>
    </row>
    <row r="804" spans="1:15" x14ac:dyDescent="0.25">
      <c r="A804" s="786" t="s">
        <v>2155</v>
      </c>
      <c r="B804" s="787">
        <v>4</v>
      </c>
      <c r="C804" s="787" t="s">
        <v>2156</v>
      </c>
      <c r="D804" s="787">
        <v>0</v>
      </c>
      <c r="E804" s="787">
        <v>0</v>
      </c>
      <c r="G804" s="788">
        <v>41430</v>
      </c>
      <c r="H804" s="787">
        <v>1</v>
      </c>
      <c r="I804" s="788">
        <v>42163</v>
      </c>
      <c r="J804" s="788">
        <v>42158</v>
      </c>
      <c r="L804" s="787">
        <v>12</v>
      </c>
      <c r="M804" s="787">
        <v>20</v>
      </c>
      <c r="N804" s="787">
        <v>12.9</v>
      </c>
      <c r="O804" s="788">
        <v>42146</v>
      </c>
    </row>
    <row r="805" spans="1:15" x14ac:dyDescent="0.25">
      <c r="A805" s="786" t="s">
        <v>653</v>
      </c>
      <c r="B805" s="787">
        <v>4</v>
      </c>
      <c r="C805" s="787" t="s">
        <v>2157</v>
      </c>
      <c r="D805" s="787">
        <v>3.2</v>
      </c>
      <c r="E805" s="787">
        <v>3.2</v>
      </c>
      <c r="F805" s="788">
        <v>41564</v>
      </c>
      <c r="G805" s="788">
        <v>41565</v>
      </c>
      <c r="H805" s="787">
        <v>1</v>
      </c>
      <c r="I805" s="788">
        <v>42144</v>
      </c>
      <c r="J805" s="788">
        <v>41956</v>
      </c>
      <c r="L805" s="787">
        <v>3.2</v>
      </c>
      <c r="M805" s="787">
        <v>20</v>
      </c>
      <c r="N805" s="787">
        <v>3.44</v>
      </c>
      <c r="O805" s="788">
        <v>42146</v>
      </c>
    </row>
    <row r="806" spans="1:15" x14ac:dyDescent="0.25">
      <c r="A806" s="786" t="s">
        <v>651</v>
      </c>
      <c r="B806" s="787">
        <v>4</v>
      </c>
      <c r="C806" s="787" t="s">
        <v>2158</v>
      </c>
      <c r="D806" s="787">
        <v>4.12</v>
      </c>
      <c r="E806" s="787">
        <v>4.5999999999999996</v>
      </c>
      <c r="F806" s="788">
        <v>41978</v>
      </c>
      <c r="G806" s="788">
        <v>42165</v>
      </c>
      <c r="H806" s="787">
        <v>1</v>
      </c>
      <c r="I806" s="788">
        <v>42166</v>
      </c>
      <c r="J806" s="788">
        <v>42165</v>
      </c>
      <c r="K806" s="788">
        <v>42088</v>
      </c>
      <c r="L806" s="787">
        <v>4.5999999999999996</v>
      </c>
      <c r="M806" s="787">
        <v>20</v>
      </c>
      <c r="N806" s="787">
        <v>5.27</v>
      </c>
      <c r="O806" s="788">
        <v>41969</v>
      </c>
    </row>
    <row r="807" spans="1:15" x14ac:dyDescent="0.25">
      <c r="A807" s="786" t="s">
        <v>2159</v>
      </c>
      <c r="B807" s="787">
        <v>4</v>
      </c>
      <c r="C807" s="787" t="s">
        <v>2160</v>
      </c>
      <c r="D807" s="787">
        <v>1.89</v>
      </c>
      <c r="E807" s="787">
        <v>2.12</v>
      </c>
      <c r="F807" s="788">
        <v>41810</v>
      </c>
      <c r="G807" s="788">
        <v>42143</v>
      </c>
      <c r="H807" s="787">
        <v>1</v>
      </c>
      <c r="I807" s="788">
        <v>42163</v>
      </c>
      <c r="J807" s="788">
        <v>42114</v>
      </c>
      <c r="K807" s="788">
        <v>41893</v>
      </c>
      <c r="L807" s="787">
        <v>2.37</v>
      </c>
      <c r="M807" s="787">
        <v>20</v>
      </c>
      <c r="N807" s="787">
        <v>2.5499999999999998</v>
      </c>
      <c r="O807" s="788">
        <v>41955</v>
      </c>
    </row>
    <row r="808" spans="1:15" x14ac:dyDescent="0.25">
      <c r="A808" s="786" t="s">
        <v>2161</v>
      </c>
      <c r="B808" s="787">
        <v>4</v>
      </c>
      <c r="C808" s="787" t="s">
        <v>2162</v>
      </c>
      <c r="D808" s="787">
        <v>9.9499999999999993</v>
      </c>
      <c r="E808" s="787">
        <v>9.9499999999999993</v>
      </c>
      <c r="F808" s="788">
        <v>42065</v>
      </c>
      <c r="G808" s="788">
        <v>42062</v>
      </c>
      <c r="H808" s="787">
        <v>1</v>
      </c>
      <c r="I808" s="788">
        <v>42062</v>
      </c>
      <c r="J808" s="788">
        <v>42062</v>
      </c>
      <c r="K808" s="788">
        <v>42061</v>
      </c>
      <c r="L808" s="787">
        <v>9.9499999999999993</v>
      </c>
      <c r="M808" s="787">
        <v>20</v>
      </c>
      <c r="N808" s="787">
        <v>10.7</v>
      </c>
      <c r="O808" s="788">
        <v>42061</v>
      </c>
    </row>
    <row r="809" spans="1:15" x14ac:dyDescent="0.25">
      <c r="A809" s="786" t="s">
        <v>2163</v>
      </c>
      <c r="B809" s="787">
        <v>4</v>
      </c>
      <c r="C809" s="787" t="s">
        <v>2164</v>
      </c>
      <c r="D809" s="787">
        <v>7.07</v>
      </c>
      <c r="E809" s="787">
        <v>67.069999999999993</v>
      </c>
      <c r="F809" s="788">
        <v>42152</v>
      </c>
      <c r="G809" s="788">
        <v>42156</v>
      </c>
      <c r="H809" s="787">
        <v>1</v>
      </c>
      <c r="J809" s="788">
        <v>42153</v>
      </c>
      <c r="K809" s="788">
        <v>42114</v>
      </c>
      <c r="L809" s="787">
        <v>66.5</v>
      </c>
      <c r="M809" s="787">
        <v>20</v>
      </c>
      <c r="N809" s="787">
        <v>0</v>
      </c>
    </row>
    <row r="810" spans="1:15" x14ac:dyDescent="0.25">
      <c r="A810" s="786" t="s">
        <v>2165</v>
      </c>
      <c r="B810" s="787">
        <v>4</v>
      </c>
      <c r="C810" s="787" t="s">
        <v>2166</v>
      </c>
      <c r="D810" s="787">
        <v>1.98</v>
      </c>
      <c r="E810" s="787">
        <v>1.98</v>
      </c>
      <c r="F810" s="788">
        <v>42102</v>
      </c>
      <c r="G810" s="788">
        <v>42086</v>
      </c>
      <c r="H810" s="787">
        <v>1</v>
      </c>
      <c r="I810" s="788">
        <v>42166</v>
      </c>
      <c r="J810" s="788">
        <v>42086</v>
      </c>
      <c r="L810" s="787">
        <v>3.5</v>
      </c>
      <c r="M810" s="787">
        <v>20</v>
      </c>
      <c r="N810" s="787">
        <v>3.76</v>
      </c>
      <c r="O810" s="788">
        <v>41969</v>
      </c>
    </row>
    <row r="811" spans="1:15" x14ac:dyDescent="0.25">
      <c r="A811" s="786" t="s">
        <v>2167</v>
      </c>
      <c r="B811" s="787">
        <v>4</v>
      </c>
      <c r="C811" s="787" t="s">
        <v>1066</v>
      </c>
      <c r="D811" s="787">
        <v>0</v>
      </c>
      <c r="E811" s="787">
        <v>0</v>
      </c>
      <c r="G811" s="787" t="s">
        <v>1067</v>
      </c>
      <c r="H811" s="787">
        <v>1</v>
      </c>
      <c r="L811" s="787">
        <v>0</v>
      </c>
      <c r="M811" s="787">
        <v>10</v>
      </c>
      <c r="N811" s="787">
        <v>0</v>
      </c>
      <c r="O811" s="788">
        <v>40824</v>
      </c>
    </row>
    <row r="812" spans="1:15" x14ac:dyDescent="0.25">
      <c r="A812" s="786" t="s">
        <v>2168</v>
      </c>
      <c r="B812" s="787">
        <v>4</v>
      </c>
      <c r="C812" s="787" t="s">
        <v>2016</v>
      </c>
      <c r="D812" s="787">
        <v>0</v>
      </c>
      <c r="E812" s="787">
        <v>0</v>
      </c>
      <c r="G812" s="787" t="s">
        <v>1067</v>
      </c>
      <c r="H812" s="787">
        <v>1</v>
      </c>
      <c r="L812" s="787">
        <v>192</v>
      </c>
      <c r="M812" s="787">
        <v>20</v>
      </c>
      <c r="N812" s="787">
        <v>206.4</v>
      </c>
      <c r="O812" s="788">
        <v>41955</v>
      </c>
    </row>
    <row r="813" spans="1:15" x14ac:dyDescent="0.25">
      <c r="A813" s="786" t="s">
        <v>2169</v>
      </c>
      <c r="B813" s="787">
        <v>4</v>
      </c>
      <c r="C813" s="787" t="s">
        <v>1066</v>
      </c>
      <c r="D813" s="787">
        <v>0</v>
      </c>
      <c r="E813" s="787">
        <v>0</v>
      </c>
      <c r="G813" s="787" t="s">
        <v>1067</v>
      </c>
      <c r="H813" s="787">
        <v>1</v>
      </c>
      <c r="K813" s="788">
        <v>41892</v>
      </c>
      <c r="L813" s="787">
        <v>0.1</v>
      </c>
      <c r="M813" s="787">
        <v>10</v>
      </c>
      <c r="N813" s="787">
        <v>0</v>
      </c>
      <c r="O813" s="788">
        <v>40824</v>
      </c>
    </row>
    <row r="814" spans="1:15" x14ac:dyDescent="0.25">
      <c r="A814" s="786" t="s">
        <v>2170</v>
      </c>
      <c r="B814" s="787">
        <v>4</v>
      </c>
      <c r="C814" s="787" t="s">
        <v>2171</v>
      </c>
      <c r="D814" s="787">
        <v>0.9</v>
      </c>
      <c r="E814" s="787">
        <v>1.1599999999999999</v>
      </c>
      <c r="F814" s="788">
        <v>39456</v>
      </c>
      <c r="G814" s="788">
        <v>41135</v>
      </c>
      <c r="H814" s="787">
        <v>1</v>
      </c>
      <c r="I814" s="788">
        <v>42074</v>
      </c>
      <c r="J814" s="788">
        <v>40578</v>
      </c>
      <c r="L814" s="787">
        <v>0.88</v>
      </c>
      <c r="M814" s="787">
        <v>10</v>
      </c>
      <c r="N814" s="787">
        <v>1.38</v>
      </c>
      <c r="O814" s="788">
        <v>42162</v>
      </c>
    </row>
    <row r="815" spans="1:15" x14ac:dyDescent="0.25">
      <c r="A815" s="786" t="s">
        <v>2172</v>
      </c>
      <c r="B815" s="787">
        <v>4</v>
      </c>
      <c r="C815" s="787" t="s">
        <v>2173</v>
      </c>
      <c r="D815" s="787">
        <v>1.26</v>
      </c>
      <c r="E815" s="787">
        <v>1.26</v>
      </c>
      <c r="F815" s="788">
        <v>39101</v>
      </c>
      <c r="G815" s="788">
        <v>41255</v>
      </c>
      <c r="H815" s="787">
        <v>6</v>
      </c>
      <c r="I815" s="788">
        <v>39134</v>
      </c>
      <c r="J815" s="788">
        <v>39149</v>
      </c>
      <c r="L815" s="787">
        <v>1.32</v>
      </c>
      <c r="M815" s="787">
        <v>10</v>
      </c>
      <c r="N815" s="787">
        <v>2.4</v>
      </c>
      <c r="O815" s="788">
        <v>39897</v>
      </c>
    </row>
    <row r="816" spans="1:15" x14ac:dyDescent="0.25">
      <c r="A816" s="786" t="s">
        <v>2174</v>
      </c>
      <c r="B816" s="787">
        <v>4</v>
      </c>
      <c r="C816" s="787" t="s">
        <v>2175</v>
      </c>
      <c r="D816" s="787">
        <v>2.25</v>
      </c>
      <c r="E816" s="787">
        <v>2.5</v>
      </c>
      <c r="F816" s="788">
        <v>39101</v>
      </c>
      <c r="G816" s="788">
        <v>39136</v>
      </c>
      <c r="H816" s="787">
        <v>1</v>
      </c>
      <c r="I816" s="788">
        <v>39920</v>
      </c>
      <c r="J816" s="788">
        <v>39149</v>
      </c>
      <c r="L816" s="787">
        <v>2.4500000000000002</v>
      </c>
      <c r="M816" s="787">
        <v>20</v>
      </c>
      <c r="N816" s="787">
        <v>2.63</v>
      </c>
      <c r="O816" s="788">
        <v>41955</v>
      </c>
    </row>
    <row r="817" spans="1:15" x14ac:dyDescent="0.25">
      <c r="A817" s="786" t="s">
        <v>2176</v>
      </c>
      <c r="B817" s="787">
        <v>4</v>
      </c>
      <c r="C817" s="787" t="s">
        <v>2177</v>
      </c>
      <c r="D817" s="787">
        <v>2.5099999999999998</v>
      </c>
      <c r="E817" s="787">
        <v>2.7</v>
      </c>
      <c r="F817" s="788">
        <v>39101</v>
      </c>
      <c r="G817" s="788">
        <v>39136</v>
      </c>
      <c r="H817" s="787">
        <v>1</v>
      </c>
      <c r="I817" s="788">
        <v>39920</v>
      </c>
      <c r="J817" s="788">
        <v>39149</v>
      </c>
      <c r="L817" s="787">
        <v>2.74</v>
      </c>
      <c r="M817" s="787">
        <v>20</v>
      </c>
      <c r="N817" s="787">
        <v>2.95</v>
      </c>
      <c r="O817" s="788">
        <v>41955</v>
      </c>
    </row>
    <row r="818" spans="1:15" x14ac:dyDescent="0.25">
      <c r="A818" s="786" t="s">
        <v>2178</v>
      </c>
      <c r="B818" s="787">
        <v>4</v>
      </c>
      <c r="C818" s="787" t="s">
        <v>2179</v>
      </c>
      <c r="D818" s="787">
        <v>4.84</v>
      </c>
      <c r="E818" s="787">
        <v>7.11</v>
      </c>
      <c r="F818" s="788">
        <v>41194</v>
      </c>
      <c r="G818" s="788">
        <v>42013</v>
      </c>
      <c r="H818" s="787">
        <v>1</v>
      </c>
      <c r="I818" s="788">
        <v>42160</v>
      </c>
      <c r="J818" s="788">
        <v>41558</v>
      </c>
      <c r="L818" s="787">
        <v>4.33</v>
      </c>
      <c r="M818" s="787">
        <v>10</v>
      </c>
      <c r="N818" s="787">
        <v>14.28</v>
      </c>
      <c r="O818" s="788">
        <v>42164</v>
      </c>
    </row>
    <row r="819" spans="1:15" x14ac:dyDescent="0.25">
      <c r="A819" s="786" t="s">
        <v>2180</v>
      </c>
      <c r="B819" s="787">
        <v>4</v>
      </c>
      <c r="C819" s="787" t="s">
        <v>2179</v>
      </c>
      <c r="D819" s="787">
        <v>5.82</v>
      </c>
      <c r="E819" s="787">
        <v>8.6199999999999992</v>
      </c>
      <c r="F819" s="788">
        <v>39975</v>
      </c>
      <c r="G819" s="788">
        <v>41943</v>
      </c>
      <c r="H819" s="787">
        <v>1</v>
      </c>
      <c r="I819" s="788">
        <v>42090</v>
      </c>
      <c r="J819" s="788">
        <v>41548</v>
      </c>
      <c r="L819" s="787">
        <v>1.88</v>
      </c>
      <c r="M819" s="787">
        <v>10</v>
      </c>
      <c r="N819" s="787">
        <v>16.18</v>
      </c>
      <c r="O819" s="788">
        <v>42054</v>
      </c>
    </row>
    <row r="820" spans="1:15" x14ac:dyDescent="0.25">
      <c r="A820" s="786" t="s">
        <v>2181</v>
      </c>
      <c r="B820" s="787">
        <v>4</v>
      </c>
      <c r="C820" s="787" t="s">
        <v>2182</v>
      </c>
      <c r="D820" s="787">
        <v>0</v>
      </c>
      <c r="E820" s="787">
        <v>0</v>
      </c>
      <c r="H820" s="787">
        <v>6</v>
      </c>
      <c r="K820" s="788">
        <v>41626</v>
      </c>
      <c r="L820" s="787">
        <v>5.2</v>
      </c>
      <c r="M820" s="787">
        <v>20</v>
      </c>
      <c r="N820" s="787">
        <v>5.59</v>
      </c>
      <c r="O820" s="788">
        <v>41626</v>
      </c>
    </row>
    <row r="821" spans="1:15" x14ac:dyDescent="0.25">
      <c r="A821" s="786" t="s">
        <v>2183</v>
      </c>
      <c r="B821" s="787">
        <v>4</v>
      </c>
      <c r="C821" s="787" t="s">
        <v>2184</v>
      </c>
      <c r="D821" s="787">
        <v>9.92</v>
      </c>
      <c r="E821" s="787">
        <v>10.31</v>
      </c>
      <c r="F821" s="788">
        <v>39101</v>
      </c>
      <c r="G821" s="788">
        <v>42142</v>
      </c>
      <c r="H821" s="787">
        <v>1</v>
      </c>
      <c r="I821" s="788">
        <v>42150</v>
      </c>
      <c r="J821" s="788">
        <v>42142</v>
      </c>
      <c r="L821" s="787">
        <v>10.85</v>
      </c>
      <c r="M821" s="787">
        <v>20</v>
      </c>
      <c r="N821" s="787">
        <v>11.66</v>
      </c>
      <c r="O821" s="788">
        <v>42136</v>
      </c>
    </row>
    <row r="822" spans="1:15" x14ac:dyDescent="0.25">
      <c r="A822" s="786" t="s">
        <v>2185</v>
      </c>
      <c r="B822" s="787">
        <v>4</v>
      </c>
      <c r="C822" s="787" t="s">
        <v>2186</v>
      </c>
      <c r="D822" s="787">
        <v>0.31</v>
      </c>
      <c r="E822" s="787">
        <v>0.33</v>
      </c>
      <c r="F822" s="788">
        <v>39101</v>
      </c>
      <c r="G822" s="788">
        <v>41255</v>
      </c>
      <c r="H822" s="787">
        <v>1</v>
      </c>
      <c r="I822" s="788">
        <v>39974</v>
      </c>
      <c r="J822" s="788">
        <v>39149</v>
      </c>
      <c r="L822" s="787">
        <v>0.31</v>
      </c>
      <c r="M822" s="787">
        <v>10</v>
      </c>
      <c r="N822" s="787">
        <v>0.67</v>
      </c>
      <c r="O822" s="788">
        <v>41955</v>
      </c>
    </row>
    <row r="823" spans="1:15" x14ac:dyDescent="0.25">
      <c r="A823" s="786" t="s">
        <v>2187</v>
      </c>
      <c r="B823" s="787">
        <v>4</v>
      </c>
      <c r="C823" s="787" t="s">
        <v>2188</v>
      </c>
      <c r="D823" s="787">
        <v>0.42</v>
      </c>
      <c r="E823" s="787">
        <v>0.42</v>
      </c>
      <c r="F823" s="788">
        <v>39101</v>
      </c>
      <c r="G823" s="788">
        <v>39101</v>
      </c>
      <c r="H823" s="787">
        <v>6</v>
      </c>
      <c r="I823" s="788">
        <v>41593</v>
      </c>
      <c r="J823" s="788">
        <v>39101</v>
      </c>
      <c r="L823" s="787">
        <v>0.18</v>
      </c>
      <c r="M823" s="787">
        <v>10</v>
      </c>
      <c r="N823" s="787">
        <v>0.38</v>
      </c>
      <c r="O823" s="788">
        <v>41806</v>
      </c>
    </row>
    <row r="824" spans="1:15" x14ac:dyDescent="0.25">
      <c r="A824" s="786" t="s">
        <v>2189</v>
      </c>
      <c r="B824" s="787">
        <v>4</v>
      </c>
      <c r="C824" s="787" t="s">
        <v>2190</v>
      </c>
      <c r="D824" s="787">
        <v>0.28999999999999998</v>
      </c>
      <c r="E824" s="787">
        <v>0.47</v>
      </c>
      <c r="F824" s="788">
        <v>39456</v>
      </c>
      <c r="G824" s="788">
        <v>42095</v>
      </c>
      <c r="H824" s="787">
        <v>1</v>
      </c>
      <c r="I824" s="788">
        <v>42166</v>
      </c>
      <c r="J824" s="788">
        <v>42066</v>
      </c>
      <c r="L824" s="787">
        <v>0.48</v>
      </c>
      <c r="M824" s="787">
        <v>10</v>
      </c>
      <c r="N824" s="787">
        <v>0.68</v>
      </c>
      <c r="O824" s="788">
        <v>42164</v>
      </c>
    </row>
    <row r="825" spans="1:15" x14ac:dyDescent="0.25">
      <c r="A825" s="786" t="s">
        <v>2191</v>
      </c>
      <c r="B825" s="787">
        <v>4</v>
      </c>
      <c r="C825" s="787" t="s">
        <v>2192</v>
      </c>
      <c r="D825" s="787">
        <v>0.13</v>
      </c>
      <c r="E825" s="787">
        <v>0.57999999999999996</v>
      </c>
      <c r="F825" s="788">
        <v>39456</v>
      </c>
      <c r="G825" s="788">
        <v>42095</v>
      </c>
      <c r="H825" s="787">
        <v>1</v>
      </c>
      <c r="I825" s="788">
        <v>42160</v>
      </c>
      <c r="J825" s="788">
        <v>42066</v>
      </c>
      <c r="L825" s="787">
        <v>0.26</v>
      </c>
      <c r="M825" s="787">
        <v>10</v>
      </c>
      <c r="N825" s="787">
        <v>0.56000000000000005</v>
      </c>
      <c r="O825" s="788">
        <v>42162</v>
      </c>
    </row>
    <row r="826" spans="1:15" x14ac:dyDescent="0.25">
      <c r="A826" s="786" t="s">
        <v>2193</v>
      </c>
      <c r="B826" s="787">
        <v>4</v>
      </c>
      <c r="C826" s="787" t="s">
        <v>2194</v>
      </c>
      <c r="D826" s="787">
        <v>0.56999999999999995</v>
      </c>
      <c r="E826" s="787">
        <v>0.66</v>
      </c>
      <c r="F826" s="788">
        <v>39456</v>
      </c>
      <c r="G826" s="788">
        <v>42013</v>
      </c>
      <c r="H826" s="787">
        <v>1</v>
      </c>
      <c r="I826" s="788">
        <v>42157</v>
      </c>
      <c r="J826" s="788">
        <v>39458</v>
      </c>
      <c r="L826" s="787">
        <v>0.63</v>
      </c>
      <c r="M826" s="787">
        <v>10</v>
      </c>
      <c r="N826" s="787">
        <v>0.73</v>
      </c>
      <c r="O826" s="788">
        <v>42164</v>
      </c>
    </row>
    <row r="827" spans="1:15" x14ac:dyDescent="0.25">
      <c r="A827" s="786" t="s">
        <v>2195</v>
      </c>
      <c r="B827" s="787">
        <v>4</v>
      </c>
      <c r="C827" s="787" t="s">
        <v>2196</v>
      </c>
      <c r="D827" s="787">
        <v>0.63</v>
      </c>
      <c r="E827" s="787">
        <v>1.6</v>
      </c>
      <c r="F827" s="788">
        <v>39101</v>
      </c>
      <c r="G827" s="788">
        <v>42013</v>
      </c>
      <c r="H827" s="787">
        <v>1</v>
      </c>
      <c r="I827" s="788">
        <v>41892</v>
      </c>
      <c r="J827" s="788">
        <v>39862</v>
      </c>
      <c r="L827" s="787">
        <v>1.47</v>
      </c>
      <c r="M827" s="787">
        <v>10</v>
      </c>
      <c r="N827" s="787">
        <v>2.81</v>
      </c>
      <c r="O827" s="788">
        <v>42164</v>
      </c>
    </row>
    <row r="828" spans="1:15" x14ac:dyDescent="0.25">
      <c r="A828" s="786" t="s">
        <v>2197</v>
      </c>
      <c r="B828" s="787">
        <v>4</v>
      </c>
      <c r="C828" s="787" t="s">
        <v>2198</v>
      </c>
      <c r="D828" s="787">
        <v>1.74</v>
      </c>
      <c r="E828" s="787">
        <v>1.74</v>
      </c>
      <c r="F828" s="788">
        <v>39101</v>
      </c>
      <c r="G828" s="788">
        <v>41943</v>
      </c>
      <c r="H828" s="787">
        <v>1</v>
      </c>
      <c r="I828" s="788">
        <v>40679</v>
      </c>
      <c r="J828" s="788">
        <v>39149</v>
      </c>
      <c r="L828" s="787">
        <v>0.64</v>
      </c>
      <c r="M828" s="787">
        <v>10</v>
      </c>
      <c r="N828" s="787">
        <v>0.89</v>
      </c>
      <c r="O828" s="788">
        <v>41955</v>
      </c>
    </row>
    <row r="829" spans="1:15" x14ac:dyDescent="0.25">
      <c r="A829" s="786" t="s">
        <v>2199</v>
      </c>
      <c r="B829" s="787">
        <v>4</v>
      </c>
      <c r="C829" s="787" t="s">
        <v>2200</v>
      </c>
      <c r="D829" s="787">
        <v>0.91</v>
      </c>
      <c r="E829" s="787">
        <v>6.89</v>
      </c>
      <c r="F829" s="788">
        <v>39101</v>
      </c>
      <c r="G829" s="788">
        <v>41943</v>
      </c>
      <c r="H829" s="787">
        <v>1</v>
      </c>
      <c r="I829" s="788">
        <v>41487</v>
      </c>
      <c r="J829" s="788">
        <v>41310</v>
      </c>
      <c r="L829" s="787">
        <v>1.07</v>
      </c>
      <c r="M829" s="787">
        <v>10</v>
      </c>
      <c r="N829" s="787">
        <v>3.64</v>
      </c>
      <c r="O829" s="788">
        <v>42146</v>
      </c>
    </row>
    <row r="830" spans="1:15" x14ac:dyDescent="0.25">
      <c r="A830" s="786" t="s">
        <v>2201</v>
      </c>
      <c r="B830" s="787">
        <v>4</v>
      </c>
      <c r="C830" s="787" t="s">
        <v>2202</v>
      </c>
      <c r="D830" s="787">
        <v>6.88</v>
      </c>
      <c r="E830" s="787">
        <v>6.88</v>
      </c>
      <c r="F830" s="788">
        <v>39101</v>
      </c>
      <c r="G830" s="788">
        <v>41943</v>
      </c>
      <c r="H830" s="787">
        <v>1</v>
      </c>
      <c r="I830" s="788">
        <v>41596</v>
      </c>
      <c r="J830" s="788">
        <v>39149</v>
      </c>
      <c r="L830" s="787">
        <v>12.24</v>
      </c>
      <c r="M830" s="787">
        <v>10</v>
      </c>
      <c r="N830" s="787">
        <v>21.84</v>
      </c>
      <c r="O830" s="788">
        <v>42164</v>
      </c>
    </row>
    <row r="831" spans="1:15" x14ac:dyDescent="0.25">
      <c r="A831" s="786" t="s">
        <v>2203</v>
      </c>
      <c r="B831" s="787">
        <v>4</v>
      </c>
      <c r="C831" s="787" t="s">
        <v>2204</v>
      </c>
      <c r="D831" s="787">
        <v>2.16</v>
      </c>
      <c r="E831" s="787">
        <v>2.16</v>
      </c>
      <c r="F831" s="788">
        <v>39101</v>
      </c>
      <c r="G831" s="788">
        <v>41943</v>
      </c>
      <c r="H831" s="787">
        <v>1</v>
      </c>
      <c r="I831" s="788">
        <v>41178</v>
      </c>
      <c r="J831" s="788">
        <v>39149</v>
      </c>
      <c r="L831" s="787">
        <v>2.33</v>
      </c>
      <c r="M831" s="787">
        <v>10</v>
      </c>
      <c r="N831" s="787">
        <v>3.39</v>
      </c>
      <c r="O831" s="788">
        <v>42146</v>
      </c>
    </row>
    <row r="832" spans="1:15" x14ac:dyDescent="0.25">
      <c r="A832" s="786" t="s">
        <v>2205</v>
      </c>
      <c r="B832" s="787">
        <v>4</v>
      </c>
      <c r="C832" s="787" t="s">
        <v>2206</v>
      </c>
      <c r="D832" s="787">
        <v>0.16</v>
      </c>
      <c r="E832" s="787">
        <v>0.16</v>
      </c>
      <c r="F832" s="788">
        <v>39101</v>
      </c>
      <c r="G832" s="788">
        <v>42013</v>
      </c>
      <c r="H832" s="787">
        <v>1</v>
      </c>
      <c r="I832" s="788">
        <v>42074</v>
      </c>
      <c r="J832" s="788">
        <v>39828</v>
      </c>
      <c r="L832" s="787">
        <v>0.48</v>
      </c>
      <c r="M832" s="787">
        <v>10</v>
      </c>
      <c r="N832" s="787">
        <v>0.81</v>
      </c>
      <c r="O832" s="788">
        <v>42162</v>
      </c>
    </row>
    <row r="833" spans="1:15" x14ac:dyDescent="0.25">
      <c r="A833" s="786" t="s">
        <v>2207</v>
      </c>
      <c r="B833" s="787">
        <v>4</v>
      </c>
      <c r="C833" s="787" t="s">
        <v>2208</v>
      </c>
      <c r="D833" s="787">
        <v>1.57</v>
      </c>
      <c r="E833" s="787">
        <v>1.57</v>
      </c>
      <c r="F833" s="788">
        <v>39101</v>
      </c>
      <c r="G833" s="788">
        <v>41943</v>
      </c>
      <c r="H833" s="787">
        <v>1</v>
      </c>
      <c r="I833" s="788">
        <v>39259</v>
      </c>
      <c r="J833" s="788">
        <v>39149</v>
      </c>
      <c r="L833" s="787">
        <v>0.64</v>
      </c>
      <c r="M833" s="787">
        <v>10</v>
      </c>
      <c r="N833" s="787">
        <v>0.96</v>
      </c>
      <c r="O833" s="788">
        <v>41955</v>
      </c>
    </row>
    <row r="834" spans="1:15" x14ac:dyDescent="0.25">
      <c r="A834" s="786" t="s">
        <v>2209</v>
      </c>
      <c r="B834" s="787">
        <v>4</v>
      </c>
      <c r="C834" s="787" t="s">
        <v>2173</v>
      </c>
      <c r="D834" s="787">
        <v>0.71</v>
      </c>
      <c r="E834" s="787">
        <v>0.71</v>
      </c>
      <c r="F834" s="788">
        <v>37636</v>
      </c>
      <c r="G834" s="788">
        <v>37636</v>
      </c>
      <c r="H834" s="787">
        <v>1</v>
      </c>
      <c r="I834" s="788">
        <v>38609</v>
      </c>
      <c r="J834" s="788">
        <v>37636</v>
      </c>
      <c r="L834" s="787">
        <v>0.7</v>
      </c>
      <c r="M834" s="787">
        <v>10</v>
      </c>
      <c r="N834" s="787">
        <v>1.1299999999999999</v>
      </c>
      <c r="O834" s="788">
        <v>41955</v>
      </c>
    </row>
    <row r="835" spans="1:15" x14ac:dyDescent="0.25">
      <c r="A835" s="786" t="s">
        <v>2210</v>
      </c>
      <c r="B835" s="787">
        <v>4</v>
      </c>
      <c r="C835" s="787" t="s">
        <v>2211</v>
      </c>
      <c r="D835" s="787">
        <v>0.69</v>
      </c>
      <c r="E835" s="787">
        <v>0.69</v>
      </c>
      <c r="F835" s="788">
        <v>37636</v>
      </c>
      <c r="G835" s="788">
        <v>37636</v>
      </c>
      <c r="H835" s="787">
        <v>1</v>
      </c>
      <c r="J835" s="788">
        <v>37636</v>
      </c>
      <c r="L835" s="787">
        <v>24.25</v>
      </c>
      <c r="M835" s="787">
        <v>10</v>
      </c>
      <c r="N835" s="787">
        <v>24.19</v>
      </c>
      <c r="O835" s="788">
        <v>41955</v>
      </c>
    </row>
    <row r="836" spans="1:15" x14ac:dyDescent="0.25">
      <c r="A836" s="786" t="s">
        <v>2212</v>
      </c>
      <c r="B836" s="787">
        <v>4</v>
      </c>
      <c r="C836" s="787" t="s">
        <v>2211</v>
      </c>
      <c r="D836" s="787">
        <v>4.75</v>
      </c>
      <c r="E836" s="787">
        <v>4.75</v>
      </c>
      <c r="F836" s="788">
        <v>37636</v>
      </c>
      <c r="G836" s="788">
        <v>37636</v>
      </c>
      <c r="H836" s="787">
        <v>1</v>
      </c>
      <c r="J836" s="788">
        <v>37636</v>
      </c>
      <c r="L836" s="787">
        <v>5.18</v>
      </c>
      <c r="M836" s="787">
        <v>20</v>
      </c>
      <c r="N836" s="787">
        <v>5.57</v>
      </c>
      <c r="O836" s="788">
        <v>41955</v>
      </c>
    </row>
    <row r="837" spans="1:15" x14ac:dyDescent="0.25">
      <c r="A837" s="786" t="s">
        <v>2213</v>
      </c>
      <c r="B837" s="787">
        <v>4</v>
      </c>
      <c r="C837" s="787" t="s">
        <v>2214</v>
      </c>
      <c r="D837" s="787">
        <v>4.2300000000000004</v>
      </c>
      <c r="E837" s="787">
        <v>4.2300000000000004</v>
      </c>
      <c r="F837" s="788">
        <v>39101</v>
      </c>
      <c r="G837" s="788">
        <v>41943</v>
      </c>
      <c r="H837" s="787">
        <v>1</v>
      </c>
      <c r="I837" s="788">
        <v>39134</v>
      </c>
      <c r="J837" s="788">
        <v>39149</v>
      </c>
      <c r="L837" s="787">
        <v>2.2599999999999998</v>
      </c>
      <c r="M837" s="787">
        <v>10</v>
      </c>
      <c r="N837" s="787">
        <v>3.39</v>
      </c>
      <c r="O837" s="788">
        <v>41955</v>
      </c>
    </row>
    <row r="838" spans="1:15" x14ac:dyDescent="0.25">
      <c r="A838" s="786" t="s">
        <v>2215</v>
      </c>
      <c r="B838" s="787">
        <v>4</v>
      </c>
      <c r="C838" s="787" t="s">
        <v>2216</v>
      </c>
      <c r="D838" s="787">
        <v>2.27</v>
      </c>
      <c r="E838" s="787">
        <v>2.27</v>
      </c>
      <c r="F838" s="788">
        <v>39101</v>
      </c>
      <c r="G838" s="788">
        <v>41943</v>
      </c>
      <c r="H838" s="787">
        <v>1</v>
      </c>
      <c r="I838" s="788">
        <v>40946</v>
      </c>
      <c r="J838" s="788">
        <v>39149</v>
      </c>
      <c r="L838" s="787">
        <v>2.2599999999999998</v>
      </c>
      <c r="M838" s="787">
        <v>10</v>
      </c>
      <c r="N838" s="787">
        <v>3.21</v>
      </c>
      <c r="O838" s="788">
        <v>42087</v>
      </c>
    </row>
    <row r="839" spans="1:15" x14ac:dyDescent="0.25">
      <c r="A839" s="786" t="s">
        <v>2217</v>
      </c>
      <c r="B839" s="787">
        <v>4</v>
      </c>
      <c r="C839" s="787" t="s">
        <v>2218</v>
      </c>
      <c r="D839" s="787">
        <v>3.82</v>
      </c>
      <c r="E839" s="787">
        <v>3.82</v>
      </c>
      <c r="F839" s="788">
        <v>37636</v>
      </c>
      <c r="G839" s="788">
        <v>37636</v>
      </c>
      <c r="H839" s="787">
        <v>6</v>
      </c>
      <c r="J839" s="788">
        <v>37636</v>
      </c>
      <c r="L839" s="787">
        <v>1.88</v>
      </c>
      <c r="M839" s="787">
        <v>10</v>
      </c>
      <c r="N839" s="787">
        <v>4.8</v>
      </c>
      <c r="O839" s="788">
        <v>41543</v>
      </c>
    </row>
    <row r="840" spans="1:15" x14ac:dyDescent="0.25">
      <c r="A840" s="786" t="s">
        <v>2219</v>
      </c>
      <c r="B840" s="787">
        <v>4</v>
      </c>
      <c r="C840" s="787" t="s">
        <v>2220</v>
      </c>
      <c r="D840" s="787">
        <v>0.17</v>
      </c>
      <c r="E840" s="787">
        <v>0.17</v>
      </c>
      <c r="F840" s="788">
        <v>42101</v>
      </c>
      <c r="G840" s="788">
        <v>42101</v>
      </c>
      <c r="H840" s="787">
        <v>1</v>
      </c>
      <c r="I840" s="788">
        <v>42163</v>
      </c>
      <c r="J840" s="788">
        <v>42067</v>
      </c>
      <c r="L840" s="787">
        <v>0.33</v>
      </c>
      <c r="M840" s="787">
        <v>10</v>
      </c>
      <c r="N840" s="787">
        <v>0.5</v>
      </c>
      <c r="O840" s="788">
        <v>42118</v>
      </c>
    </row>
    <row r="841" spans="1:15" x14ac:dyDescent="0.25">
      <c r="A841" s="786" t="s">
        <v>2221</v>
      </c>
      <c r="B841" s="787">
        <v>4</v>
      </c>
      <c r="C841" s="787" t="s">
        <v>2222</v>
      </c>
      <c r="D841" s="787">
        <v>2.87</v>
      </c>
      <c r="E841" s="787">
        <v>6.14</v>
      </c>
      <c r="F841" s="788">
        <v>41579</v>
      </c>
      <c r="G841" s="788">
        <v>42128</v>
      </c>
      <c r="H841" s="787">
        <v>1</v>
      </c>
      <c r="I841" s="788">
        <v>42163</v>
      </c>
      <c r="J841" s="788">
        <v>42102</v>
      </c>
      <c r="L841" s="787">
        <v>0.81</v>
      </c>
      <c r="M841" s="787">
        <v>10</v>
      </c>
      <c r="N841" s="787">
        <v>4.74</v>
      </c>
      <c r="O841" s="788">
        <v>42162</v>
      </c>
    </row>
    <row r="842" spans="1:15" x14ac:dyDescent="0.25">
      <c r="A842" s="786" t="s">
        <v>2223</v>
      </c>
      <c r="B842" s="787">
        <v>4</v>
      </c>
      <c r="C842" s="787" t="s">
        <v>2224</v>
      </c>
      <c r="D842" s="787">
        <v>2.2200000000000002</v>
      </c>
      <c r="E842" s="787">
        <v>2.2200000000000002</v>
      </c>
      <c r="F842" s="788">
        <v>37636</v>
      </c>
      <c r="G842" s="788">
        <v>38736</v>
      </c>
      <c r="H842" s="787">
        <v>6</v>
      </c>
      <c r="I842" s="788">
        <v>39134</v>
      </c>
      <c r="J842" s="788">
        <v>37636</v>
      </c>
      <c r="L842" s="787">
        <v>2.2200000000000002</v>
      </c>
      <c r="M842" s="787">
        <v>10</v>
      </c>
      <c r="N842" s="787">
        <v>0</v>
      </c>
      <c r="O842" s="788">
        <v>41806</v>
      </c>
    </row>
    <row r="843" spans="1:15" x14ac:dyDescent="0.25">
      <c r="A843" s="786" t="s">
        <v>2225</v>
      </c>
      <c r="B843" s="787">
        <v>4</v>
      </c>
      <c r="C843" s="787" t="s">
        <v>2226</v>
      </c>
      <c r="D843" s="787">
        <v>0.15</v>
      </c>
      <c r="E843" s="787">
        <v>0.63</v>
      </c>
      <c r="F843" s="788">
        <v>41209</v>
      </c>
      <c r="G843" s="788">
        <v>42013</v>
      </c>
      <c r="H843" s="787">
        <v>1</v>
      </c>
      <c r="I843" s="788">
        <v>42164</v>
      </c>
      <c r="J843" s="788">
        <v>41936</v>
      </c>
      <c r="K843" s="788">
        <v>41932</v>
      </c>
      <c r="L843" s="787">
        <v>0.46</v>
      </c>
      <c r="M843" s="787">
        <v>10</v>
      </c>
      <c r="N843" s="787">
        <v>1</v>
      </c>
      <c r="O843" s="788">
        <v>42159</v>
      </c>
    </row>
    <row r="844" spans="1:15" x14ac:dyDescent="0.25">
      <c r="A844" s="786" t="s">
        <v>2227</v>
      </c>
      <c r="B844" s="787">
        <v>4</v>
      </c>
      <c r="C844" s="787" t="s">
        <v>2228</v>
      </c>
      <c r="D844" s="787">
        <v>0.28999999999999998</v>
      </c>
      <c r="E844" s="787">
        <v>0.28999999999999998</v>
      </c>
      <c r="F844" s="788">
        <v>39101</v>
      </c>
      <c r="G844" s="788">
        <v>41610</v>
      </c>
      <c r="H844" s="787">
        <v>1</v>
      </c>
      <c r="I844" s="788">
        <v>41605</v>
      </c>
      <c r="J844" s="788">
        <v>41610</v>
      </c>
      <c r="L844" s="787">
        <v>0.36</v>
      </c>
      <c r="M844" s="787">
        <v>10</v>
      </c>
      <c r="N844" s="787">
        <v>0.96</v>
      </c>
      <c r="O844" s="788">
        <v>41955</v>
      </c>
    </row>
    <row r="845" spans="1:15" x14ac:dyDescent="0.25">
      <c r="A845" s="786" t="s">
        <v>2229</v>
      </c>
      <c r="B845" s="787">
        <v>4</v>
      </c>
      <c r="C845" s="787" t="s">
        <v>2230</v>
      </c>
      <c r="D845" s="787">
        <v>1.1200000000000001</v>
      </c>
      <c r="E845" s="787">
        <v>1.1200000000000001</v>
      </c>
      <c r="F845" s="788">
        <v>38047</v>
      </c>
      <c r="G845" s="788">
        <v>41611</v>
      </c>
      <c r="H845" s="787">
        <v>1</v>
      </c>
      <c r="I845" s="788">
        <v>42032</v>
      </c>
      <c r="J845" s="788">
        <v>41611</v>
      </c>
      <c r="L845" s="787">
        <v>0.57999999999999996</v>
      </c>
      <c r="M845" s="787">
        <v>10</v>
      </c>
      <c r="N845" s="787">
        <v>1.07</v>
      </c>
      <c r="O845" s="788">
        <v>42087</v>
      </c>
    </row>
    <row r="846" spans="1:15" x14ac:dyDescent="0.25">
      <c r="A846" s="786" t="s">
        <v>2231</v>
      </c>
      <c r="B846" s="787">
        <v>4</v>
      </c>
      <c r="C846" s="787" t="s">
        <v>2232</v>
      </c>
      <c r="D846" s="787">
        <v>0.75</v>
      </c>
      <c r="E846" s="787">
        <v>0.75</v>
      </c>
      <c r="F846" s="788">
        <v>39101</v>
      </c>
      <c r="G846" s="788">
        <v>41565</v>
      </c>
      <c r="H846" s="787">
        <v>1</v>
      </c>
      <c r="I846" s="788">
        <v>39514</v>
      </c>
      <c r="J846" s="788">
        <v>39149</v>
      </c>
      <c r="L846" s="787">
        <v>0.4</v>
      </c>
      <c r="M846" s="787">
        <v>10</v>
      </c>
      <c r="N846" s="787">
        <v>0.83</v>
      </c>
      <c r="O846" s="788">
        <v>41955</v>
      </c>
    </row>
    <row r="847" spans="1:15" x14ac:dyDescent="0.25">
      <c r="A847" s="786" t="s">
        <v>2233</v>
      </c>
      <c r="B847" s="787">
        <v>4</v>
      </c>
      <c r="C847" s="787" t="s">
        <v>2234</v>
      </c>
      <c r="D847" s="787">
        <v>1.1000000000000001</v>
      </c>
      <c r="E847" s="787">
        <v>4.4400000000000004</v>
      </c>
      <c r="F847" s="788">
        <v>39101</v>
      </c>
      <c r="G847" s="788">
        <v>41996</v>
      </c>
      <c r="H847" s="787">
        <v>1</v>
      </c>
      <c r="I847" s="788">
        <v>41970</v>
      </c>
      <c r="J847" s="788">
        <v>41971</v>
      </c>
      <c r="L847" s="787">
        <v>1.1299999999999999</v>
      </c>
      <c r="M847" s="787">
        <v>10</v>
      </c>
      <c r="N847" s="787">
        <v>6.5</v>
      </c>
      <c r="O847" s="788">
        <v>42122</v>
      </c>
    </row>
    <row r="848" spans="1:15" x14ac:dyDescent="0.25">
      <c r="A848" s="786" t="s">
        <v>2235</v>
      </c>
      <c r="B848" s="787">
        <v>4</v>
      </c>
      <c r="C848" s="787" t="s">
        <v>2236</v>
      </c>
      <c r="D848" s="787">
        <v>0.16</v>
      </c>
      <c r="E848" s="787">
        <v>0.4</v>
      </c>
      <c r="F848" s="788">
        <v>39456</v>
      </c>
      <c r="G848" s="788">
        <v>42013</v>
      </c>
      <c r="H848" s="787">
        <v>1</v>
      </c>
      <c r="I848" s="788">
        <v>42146</v>
      </c>
      <c r="J848" s="788">
        <v>41781</v>
      </c>
      <c r="L848" s="787">
        <v>0.59</v>
      </c>
      <c r="M848" s="787">
        <v>10</v>
      </c>
      <c r="N848" s="787">
        <v>0.96</v>
      </c>
      <c r="O848" s="788">
        <v>42087</v>
      </c>
    </row>
    <row r="849" spans="1:15" x14ac:dyDescent="0.25">
      <c r="A849" s="786" t="s">
        <v>2237</v>
      </c>
      <c r="B849" s="787">
        <v>4</v>
      </c>
      <c r="C849" s="787" t="s">
        <v>2238</v>
      </c>
      <c r="D849" s="787">
        <v>0.34</v>
      </c>
      <c r="E849" s="787">
        <v>1.44</v>
      </c>
      <c r="F849" s="788">
        <v>39456</v>
      </c>
      <c r="G849" s="788">
        <v>42013</v>
      </c>
      <c r="H849" s="787">
        <v>1</v>
      </c>
      <c r="I849" s="788">
        <v>42160</v>
      </c>
      <c r="J849" s="788">
        <v>41458</v>
      </c>
      <c r="L849" s="787">
        <v>0.49</v>
      </c>
      <c r="M849" s="787">
        <v>10</v>
      </c>
      <c r="N849" s="787">
        <v>1.39</v>
      </c>
      <c r="O849" s="788">
        <v>42162</v>
      </c>
    </row>
    <row r="850" spans="1:15" x14ac:dyDescent="0.25">
      <c r="A850" s="786" t="s">
        <v>2239</v>
      </c>
      <c r="B850" s="787">
        <v>4</v>
      </c>
      <c r="C850" s="787" t="s">
        <v>2240</v>
      </c>
      <c r="D850" s="787">
        <v>3.67</v>
      </c>
      <c r="E850" s="787">
        <v>10.59</v>
      </c>
      <c r="F850" s="788">
        <v>39101</v>
      </c>
      <c r="G850" s="788">
        <v>42013</v>
      </c>
      <c r="H850" s="787">
        <v>1</v>
      </c>
      <c r="I850" s="788">
        <v>42058</v>
      </c>
      <c r="J850" s="788">
        <v>41107</v>
      </c>
      <c r="L850" s="787">
        <v>1.17</v>
      </c>
      <c r="M850" s="787">
        <v>10</v>
      </c>
      <c r="N850" s="787">
        <v>8.18</v>
      </c>
      <c r="O850" s="788">
        <v>41955</v>
      </c>
    </row>
    <row r="851" spans="1:15" x14ac:dyDescent="0.25">
      <c r="A851" s="786" t="s">
        <v>2241</v>
      </c>
      <c r="B851" s="787">
        <v>4</v>
      </c>
      <c r="C851" s="787" t="s">
        <v>2242</v>
      </c>
      <c r="D851" s="787">
        <v>3.25</v>
      </c>
      <c r="E851" s="787">
        <v>3.25</v>
      </c>
      <c r="F851" s="788">
        <v>41914</v>
      </c>
      <c r="G851" s="788">
        <v>42013</v>
      </c>
      <c r="H851" s="787">
        <v>1</v>
      </c>
      <c r="I851" s="788">
        <v>42151</v>
      </c>
      <c r="J851" s="788">
        <v>41907</v>
      </c>
      <c r="L851" s="787">
        <v>4.58</v>
      </c>
      <c r="M851" s="787">
        <v>20</v>
      </c>
      <c r="N851" s="787">
        <v>4.92</v>
      </c>
      <c r="O851" s="788">
        <v>42164</v>
      </c>
    </row>
    <row r="852" spans="1:15" x14ac:dyDescent="0.25">
      <c r="A852" s="786" t="s">
        <v>2243</v>
      </c>
      <c r="B852" s="787">
        <v>4</v>
      </c>
      <c r="C852" s="787" t="s">
        <v>2244</v>
      </c>
      <c r="D852" s="787">
        <v>0.34</v>
      </c>
      <c r="E852" s="787">
        <v>0.69</v>
      </c>
      <c r="F852" s="788">
        <v>39456</v>
      </c>
      <c r="G852" s="788">
        <v>42013</v>
      </c>
      <c r="H852" s="787">
        <v>1</v>
      </c>
      <c r="I852" s="788">
        <v>42136</v>
      </c>
      <c r="J852" s="788">
        <v>41452</v>
      </c>
      <c r="L852" s="787">
        <v>0.41</v>
      </c>
      <c r="M852" s="787">
        <v>10</v>
      </c>
      <c r="N852" s="787">
        <v>0.3</v>
      </c>
      <c r="O852" s="788">
        <v>42164</v>
      </c>
    </row>
    <row r="853" spans="1:15" x14ac:dyDescent="0.25">
      <c r="A853" s="786" t="s">
        <v>2245</v>
      </c>
      <c r="B853" s="787">
        <v>4</v>
      </c>
      <c r="C853" s="787" t="s">
        <v>2246</v>
      </c>
      <c r="D853" s="787">
        <v>0.75</v>
      </c>
      <c r="E853" s="787">
        <v>0.75</v>
      </c>
      <c r="F853" s="788">
        <v>37636</v>
      </c>
      <c r="G853" s="788">
        <v>37636</v>
      </c>
      <c r="H853" s="787">
        <v>1</v>
      </c>
      <c r="J853" s="788">
        <v>37636</v>
      </c>
      <c r="L853" s="787">
        <v>0.36</v>
      </c>
      <c r="M853" s="787">
        <v>10</v>
      </c>
      <c r="N853" s="787">
        <v>1.17</v>
      </c>
      <c r="O853" s="788">
        <v>41955</v>
      </c>
    </row>
    <row r="854" spans="1:15" x14ac:dyDescent="0.25">
      <c r="A854" s="786" t="s">
        <v>2247</v>
      </c>
      <c r="B854" s="787">
        <v>4</v>
      </c>
      <c r="C854" s="787" t="s">
        <v>2248</v>
      </c>
      <c r="D854" s="787">
        <v>0.75</v>
      </c>
      <c r="E854" s="787">
        <v>0.75</v>
      </c>
      <c r="F854" s="788">
        <v>39101</v>
      </c>
      <c r="G854" s="788">
        <v>41565</v>
      </c>
      <c r="H854" s="787">
        <v>1</v>
      </c>
      <c r="I854" s="788">
        <v>42157</v>
      </c>
      <c r="J854" s="788">
        <v>39149</v>
      </c>
      <c r="L854" s="787">
        <v>0.4</v>
      </c>
      <c r="M854" s="787">
        <v>10</v>
      </c>
      <c r="N854" s="787">
        <v>0.83</v>
      </c>
      <c r="O854" s="788">
        <v>41955</v>
      </c>
    </row>
    <row r="855" spans="1:15" x14ac:dyDescent="0.25">
      <c r="A855" s="786" t="s">
        <v>2249</v>
      </c>
      <c r="B855" s="787">
        <v>4</v>
      </c>
      <c r="C855" s="787" t="s">
        <v>2250</v>
      </c>
      <c r="D855" s="787">
        <v>5.61</v>
      </c>
      <c r="E855" s="787">
        <v>5.71</v>
      </c>
      <c r="F855" s="788">
        <v>41308</v>
      </c>
      <c r="G855" s="788">
        <v>42144</v>
      </c>
      <c r="H855" s="787">
        <v>1</v>
      </c>
      <c r="I855" s="788">
        <v>42137</v>
      </c>
      <c r="J855" s="788">
        <v>42144</v>
      </c>
      <c r="K855" s="788">
        <v>41281</v>
      </c>
      <c r="L855" s="787">
        <v>5.71</v>
      </c>
      <c r="M855" s="787">
        <v>20</v>
      </c>
      <c r="N855" s="787">
        <v>6.14</v>
      </c>
      <c r="O855" s="788">
        <v>42152</v>
      </c>
    </row>
    <row r="856" spans="1:15" x14ac:dyDescent="0.25">
      <c r="A856" s="786" t="s">
        <v>2251</v>
      </c>
      <c r="B856" s="787">
        <v>4</v>
      </c>
      <c r="C856" s="787" t="s">
        <v>2252</v>
      </c>
      <c r="D856" s="787">
        <v>0.04</v>
      </c>
      <c r="E856" s="787">
        <v>1.33</v>
      </c>
      <c r="F856" s="788">
        <v>39456</v>
      </c>
      <c r="G856" s="788">
        <v>42123</v>
      </c>
      <c r="H856" s="787">
        <v>1</v>
      </c>
      <c r="I856" s="788">
        <v>42166</v>
      </c>
      <c r="J856" s="788">
        <v>42103</v>
      </c>
      <c r="L856" s="787">
        <v>0.44</v>
      </c>
      <c r="M856" s="787">
        <v>10</v>
      </c>
      <c r="N856" s="787">
        <v>0.52</v>
      </c>
      <c r="O856" s="788">
        <v>42164</v>
      </c>
    </row>
    <row r="857" spans="1:15" x14ac:dyDescent="0.25">
      <c r="A857" s="786" t="s">
        <v>2253</v>
      </c>
      <c r="B857" s="787">
        <v>4</v>
      </c>
      <c r="C857" s="787" t="s">
        <v>2254</v>
      </c>
      <c r="D857" s="787">
        <v>8.8800000000000008</v>
      </c>
      <c r="E857" s="787">
        <v>11.05</v>
      </c>
      <c r="F857" s="788">
        <v>38047</v>
      </c>
      <c r="G857" s="788">
        <v>42008</v>
      </c>
      <c r="H857" s="787">
        <v>1</v>
      </c>
      <c r="I857" s="788">
        <v>41995</v>
      </c>
      <c r="J857" s="788">
        <v>41956</v>
      </c>
      <c r="L857" s="787">
        <v>9.68</v>
      </c>
      <c r="M857" s="787">
        <v>20</v>
      </c>
      <c r="N857" s="787">
        <v>10.41</v>
      </c>
      <c r="O857" s="788">
        <v>41955</v>
      </c>
    </row>
    <row r="858" spans="1:15" x14ac:dyDescent="0.25">
      <c r="A858" s="786" t="s">
        <v>2255</v>
      </c>
      <c r="B858" s="787">
        <v>4</v>
      </c>
      <c r="C858" s="787" t="s">
        <v>2256</v>
      </c>
      <c r="D858" s="787">
        <v>0.11</v>
      </c>
      <c r="E858" s="787">
        <v>50.11</v>
      </c>
      <c r="F858" s="788">
        <v>39101</v>
      </c>
      <c r="G858" s="788">
        <v>39101</v>
      </c>
      <c r="H858" s="787">
        <v>1</v>
      </c>
      <c r="I858" s="788">
        <v>40084</v>
      </c>
      <c r="J858" s="788">
        <v>39101</v>
      </c>
      <c r="L858" s="787">
        <v>52.61</v>
      </c>
      <c r="M858" s="787">
        <v>10</v>
      </c>
      <c r="N858" s="787">
        <v>54.43</v>
      </c>
      <c r="O858" s="788">
        <v>42087</v>
      </c>
    </row>
    <row r="859" spans="1:15" x14ac:dyDescent="0.25">
      <c r="A859" s="786" t="s">
        <v>2257</v>
      </c>
      <c r="B859" s="787">
        <v>4</v>
      </c>
      <c r="C859" s="787" t="s">
        <v>2258</v>
      </c>
      <c r="D859" s="787">
        <v>2.5</v>
      </c>
      <c r="E859" s="787">
        <v>5.35</v>
      </c>
      <c r="F859" s="788">
        <v>39353</v>
      </c>
      <c r="G859" s="788">
        <v>42131</v>
      </c>
      <c r="H859" s="787">
        <v>1</v>
      </c>
      <c r="I859" s="788">
        <v>42074</v>
      </c>
      <c r="J859" s="788">
        <v>42131</v>
      </c>
      <c r="K859" s="788">
        <v>42115</v>
      </c>
      <c r="L859" s="787">
        <v>5.35</v>
      </c>
      <c r="M859" s="787">
        <v>20</v>
      </c>
      <c r="N859" s="787">
        <v>5.75</v>
      </c>
      <c r="O859" s="788">
        <v>42162</v>
      </c>
    </row>
    <row r="860" spans="1:15" x14ac:dyDescent="0.25">
      <c r="A860" s="786" t="s">
        <v>2259</v>
      </c>
      <c r="B860" s="787">
        <v>4</v>
      </c>
      <c r="C860" s="787" t="s">
        <v>2260</v>
      </c>
      <c r="D860" s="787">
        <v>2.7</v>
      </c>
      <c r="E860" s="787">
        <v>6.7</v>
      </c>
      <c r="F860" s="788">
        <v>39353</v>
      </c>
      <c r="G860" s="788">
        <v>42131</v>
      </c>
      <c r="H860" s="787">
        <v>1</v>
      </c>
      <c r="I860" s="788">
        <v>42074</v>
      </c>
      <c r="J860" s="788">
        <v>42131</v>
      </c>
      <c r="K860" s="788">
        <v>42115</v>
      </c>
      <c r="L860" s="787">
        <v>6.7</v>
      </c>
      <c r="M860" s="787">
        <v>20</v>
      </c>
      <c r="N860" s="787">
        <v>7.2</v>
      </c>
      <c r="O860" s="788">
        <v>42162</v>
      </c>
    </row>
    <row r="861" spans="1:15" x14ac:dyDescent="0.25">
      <c r="A861" s="786" t="s">
        <v>2261</v>
      </c>
      <c r="B861" s="787">
        <v>4</v>
      </c>
      <c r="C861" s="787" t="s">
        <v>2262</v>
      </c>
      <c r="D861" s="787">
        <v>2.91</v>
      </c>
      <c r="E861" s="787">
        <v>12.91</v>
      </c>
      <c r="F861" s="788">
        <v>37636</v>
      </c>
      <c r="G861" s="788">
        <v>37636</v>
      </c>
      <c r="H861" s="787">
        <v>1</v>
      </c>
      <c r="I861" s="788">
        <v>40389</v>
      </c>
      <c r="J861" s="788">
        <v>37636</v>
      </c>
      <c r="L861" s="787">
        <v>8.3699999999999992</v>
      </c>
      <c r="M861" s="787">
        <v>10</v>
      </c>
      <c r="N861" s="787">
        <v>7.06</v>
      </c>
      <c r="O861" s="788">
        <v>41955</v>
      </c>
    </row>
    <row r="862" spans="1:15" x14ac:dyDescent="0.25">
      <c r="A862" s="786" t="s">
        <v>2263</v>
      </c>
      <c r="B862" s="787">
        <v>4</v>
      </c>
      <c r="C862" s="787" t="s">
        <v>2264</v>
      </c>
      <c r="D862" s="787">
        <v>0.73</v>
      </c>
      <c r="E862" s="787">
        <v>20.73</v>
      </c>
      <c r="F862" s="788">
        <v>37636</v>
      </c>
      <c r="G862" s="788">
        <v>37636</v>
      </c>
      <c r="H862" s="787">
        <v>6</v>
      </c>
      <c r="I862" s="788">
        <v>40084</v>
      </c>
      <c r="J862" s="788">
        <v>37636</v>
      </c>
      <c r="L862" s="787">
        <v>25.66</v>
      </c>
      <c r="M862" s="787">
        <v>10</v>
      </c>
      <c r="N862" s="787">
        <v>39.57</v>
      </c>
      <c r="O862" s="788">
        <v>41815</v>
      </c>
    </row>
    <row r="863" spans="1:15" x14ac:dyDescent="0.25">
      <c r="A863" s="786" t="s">
        <v>668</v>
      </c>
      <c r="B863" s="787">
        <v>4</v>
      </c>
      <c r="C863" s="787" t="s">
        <v>2265</v>
      </c>
      <c r="D863" s="787">
        <v>0.06</v>
      </c>
      <c r="E863" s="787">
        <v>0.11</v>
      </c>
      <c r="F863" s="788">
        <v>41813</v>
      </c>
      <c r="G863" s="788">
        <v>42158</v>
      </c>
      <c r="H863" s="787">
        <v>1</v>
      </c>
      <c r="I863" s="788">
        <v>42166</v>
      </c>
      <c r="J863" s="788">
        <v>42165</v>
      </c>
      <c r="L863" s="787">
        <v>1.01</v>
      </c>
      <c r="M863" s="787">
        <v>10</v>
      </c>
      <c r="N863" s="787">
        <v>0.13</v>
      </c>
      <c r="O863" s="788">
        <v>42163</v>
      </c>
    </row>
    <row r="864" spans="1:15" x14ac:dyDescent="0.25">
      <c r="A864" s="786" t="s">
        <v>670</v>
      </c>
      <c r="B864" s="787">
        <v>4</v>
      </c>
      <c r="C864" s="787" t="s">
        <v>2266</v>
      </c>
      <c r="D864" s="787">
        <v>0.01</v>
      </c>
      <c r="E864" s="787">
        <v>0.13</v>
      </c>
      <c r="F864" s="788">
        <v>41813</v>
      </c>
      <c r="G864" s="788">
        <v>42025</v>
      </c>
      <c r="H864" s="787">
        <v>1</v>
      </c>
      <c r="I864" s="788">
        <v>42166</v>
      </c>
      <c r="J864" s="788">
        <v>42166</v>
      </c>
      <c r="L864" s="787">
        <v>1.01</v>
      </c>
      <c r="M864" s="787">
        <v>10</v>
      </c>
      <c r="N864" s="787">
        <v>0.16</v>
      </c>
      <c r="O864" s="788">
        <v>42163</v>
      </c>
    </row>
    <row r="865" spans="1:15" x14ac:dyDescent="0.25">
      <c r="A865" s="786" t="s">
        <v>671</v>
      </c>
      <c r="B865" s="787">
        <v>4</v>
      </c>
      <c r="C865" s="787" t="s">
        <v>2267</v>
      </c>
      <c r="D865" s="787">
        <v>0.19</v>
      </c>
      <c r="E865" s="787">
        <v>0.22</v>
      </c>
      <c r="F865" s="788">
        <v>42017</v>
      </c>
      <c r="G865" s="788">
        <v>42020</v>
      </c>
      <c r="H865" s="787">
        <v>1</v>
      </c>
      <c r="I865" s="788">
        <v>42166</v>
      </c>
      <c r="J865" s="788">
        <v>42159</v>
      </c>
      <c r="L865" s="787">
        <v>1.06</v>
      </c>
      <c r="M865" s="787">
        <v>10</v>
      </c>
      <c r="N865" s="787">
        <v>0.26</v>
      </c>
      <c r="O865" s="788">
        <v>42163</v>
      </c>
    </row>
    <row r="866" spans="1:15" x14ac:dyDescent="0.25">
      <c r="A866" s="786" t="s">
        <v>2268</v>
      </c>
      <c r="B866" s="787">
        <v>4</v>
      </c>
      <c r="C866" s="787" t="s">
        <v>2269</v>
      </c>
      <c r="D866" s="787">
        <v>2.0699999999999998</v>
      </c>
      <c r="E866" s="787">
        <v>2.0699999999999998</v>
      </c>
      <c r="F866" s="788">
        <v>39101</v>
      </c>
      <c r="G866" s="788">
        <v>41943</v>
      </c>
      <c r="H866" s="787">
        <v>1</v>
      </c>
      <c r="I866" s="788">
        <v>41722</v>
      </c>
      <c r="J866" s="788">
        <v>39149</v>
      </c>
      <c r="L866" s="787">
        <v>2.2000000000000002</v>
      </c>
      <c r="M866" s="787">
        <v>10</v>
      </c>
      <c r="N866" s="787">
        <v>3.29</v>
      </c>
      <c r="O866" s="788">
        <v>42146</v>
      </c>
    </row>
    <row r="867" spans="1:15" x14ac:dyDescent="0.25">
      <c r="A867" s="786" t="s">
        <v>2270</v>
      </c>
      <c r="B867" s="787">
        <v>4</v>
      </c>
      <c r="C867" s="787" t="s">
        <v>2271</v>
      </c>
      <c r="D867" s="787">
        <v>0.41</v>
      </c>
      <c r="E867" s="787">
        <v>1.06</v>
      </c>
      <c r="F867" s="788">
        <v>39456</v>
      </c>
      <c r="G867" s="788">
        <v>42013</v>
      </c>
      <c r="H867" s="787">
        <v>1</v>
      </c>
      <c r="I867" s="788">
        <v>42164</v>
      </c>
      <c r="J867" s="788">
        <v>41919</v>
      </c>
      <c r="K867" s="788">
        <v>41898</v>
      </c>
      <c r="L867" s="787">
        <v>1.24</v>
      </c>
      <c r="M867" s="787">
        <v>10</v>
      </c>
      <c r="N867" s="787">
        <v>1.24</v>
      </c>
      <c r="O867" s="788">
        <v>42159</v>
      </c>
    </row>
    <row r="868" spans="1:15" x14ac:dyDescent="0.25">
      <c r="A868" s="786" t="s">
        <v>2272</v>
      </c>
      <c r="B868" s="787">
        <v>4</v>
      </c>
      <c r="C868" s="787" t="s">
        <v>2273</v>
      </c>
      <c r="D868" s="787">
        <v>0.98</v>
      </c>
      <c r="E868" s="787">
        <v>2.69</v>
      </c>
      <c r="F868" s="788">
        <v>39456</v>
      </c>
      <c r="G868" s="788">
        <v>42013</v>
      </c>
      <c r="H868" s="787">
        <v>1</v>
      </c>
      <c r="I868" s="788">
        <v>42164</v>
      </c>
      <c r="J868" s="788">
        <v>41836</v>
      </c>
      <c r="L868" s="787">
        <v>2.12</v>
      </c>
      <c r="M868" s="787">
        <v>10</v>
      </c>
      <c r="N868" s="787">
        <v>3.44</v>
      </c>
      <c r="O868" s="788">
        <v>42159</v>
      </c>
    </row>
    <row r="869" spans="1:15" x14ac:dyDescent="0.25">
      <c r="A869" s="786" t="s">
        <v>2274</v>
      </c>
      <c r="B869" s="787">
        <v>4</v>
      </c>
      <c r="C869" s="787" t="s">
        <v>2275</v>
      </c>
      <c r="D869" s="787">
        <v>3.8</v>
      </c>
      <c r="E869" s="787">
        <v>4.54</v>
      </c>
      <c r="F869" s="788">
        <v>39101</v>
      </c>
      <c r="G869" s="788">
        <v>39101</v>
      </c>
      <c r="H869" s="787">
        <v>6</v>
      </c>
      <c r="I869" s="788">
        <v>40532</v>
      </c>
      <c r="J869" s="788">
        <v>39101</v>
      </c>
      <c r="L869" s="787">
        <v>4.54</v>
      </c>
      <c r="M869" s="787">
        <v>10</v>
      </c>
      <c r="N869" s="787">
        <v>8.33</v>
      </c>
      <c r="O869" s="788">
        <v>41808</v>
      </c>
    </row>
    <row r="870" spans="1:15" x14ac:dyDescent="0.25">
      <c r="A870" s="786" t="s">
        <v>2276</v>
      </c>
      <c r="B870" s="787">
        <v>4</v>
      </c>
      <c r="C870" s="787" t="s">
        <v>2277</v>
      </c>
      <c r="D870" s="787">
        <v>5.34</v>
      </c>
      <c r="E870" s="787">
        <v>8.1199999999999992</v>
      </c>
      <c r="F870" s="788">
        <v>41418</v>
      </c>
      <c r="G870" s="788">
        <v>42163</v>
      </c>
      <c r="H870" s="787">
        <v>1</v>
      </c>
      <c r="I870" s="788">
        <v>42166</v>
      </c>
      <c r="J870" s="788">
        <v>42131</v>
      </c>
      <c r="L870" s="787">
        <v>1.69</v>
      </c>
      <c r="M870" s="787">
        <v>10</v>
      </c>
      <c r="N870" s="787">
        <v>9.4600000000000009</v>
      </c>
      <c r="O870" s="788">
        <v>42152</v>
      </c>
    </row>
    <row r="871" spans="1:15" x14ac:dyDescent="0.25">
      <c r="A871" s="786" t="s">
        <v>2278</v>
      </c>
      <c r="B871" s="787">
        <v>4</v>
      </c>
      <c r="C871" s="787" t="s">
        <v>2279</v>
      </c>
      <c r="D871" s="787">
        <v>0.75</v>
      </c>
      <c r="E871" s="787">
        <v>0.75</v>
      </c>
      <c r="F871" s="788">
        <v>37636</v>
      </c>
      <c r="G871" s="788">
        <v>37636</v>
      </c>
      <c r="H871" s="787">
        <v>1</v>
      </c>
      <c r="J871" s="788">
        <v>37636</v>
      </c>
      <c r="L871" s="787">
        <v>0.38</v>
      </c>
      <c r="M871" s="787">
        <v>10</v>
      </c>
      <c r="N871" s="787">
        <v>0.79</v>
      </c>
      <c r="O871" s="788">
        <v>41955</v>
      </c>
    </row>
    <row r="872" spans="1:15" x14ac:dyDescent="0.25">
      <c r="A872" s="786" t="s">
        <v>2280</v>
      </c>
      <c r="B872" s="787">
        <v>4</v>
      </c>
      <c r="C872" s="787" t="s">
        <v>2281</v>
      </c>
      <c r="D872" s="787">
        <v>0.67</v>
      </c>
      <c r="E872" s="787">
        <v>0.67</v>
      </c>
      <c r="F872" s="788">
        <v>39101</v>
      </c>
      <c r="G872" s="788">
        <v>41943</v>
      </c>
      <c r="H872" s="787">
        <v>1</v>
      </c>
      <c r="I872" s="788">
        <v>41710</v>
      </c>
      <c r="J872" s="788">
        <v>39149</v>
      </c>
      <c r="L872" s="787">
        <v>0.38</v>
      </c>
      <c r="M872" s="787">
        <v>10</v>
      </c>
      <c r="N872" s="787">
        <v>0.79</v>
      </c>
      <c r="O872" s="788">
        <v>42164</v>
      </c>
    </row>
    <row r="873" spans="1:15" x14ac:dyDescent="0.25">
      <c r="A873" s="786" t="s">
        <v>2282</v>
      </c>
      <c r="B873" s="787">
        <v>4</v>
      </c>
      <c r="C873" s="787" t="s">
        <v>2283</v>
      </c>
      <c r="D873" s="787">
        <v>0.67</v>
      </c>
      <c r="E873" s="787">
        <v>0.67</v>
      </c>
      <c r="F873" s="788">
        <v>39101</v>
      </c>
      <c r="G873" s="788">
        <v>39101</v>
      </c>
      <c r="H873" s="787">
        <v>1</v>
      </c>
      <c r="I873" s="788">
        <v>40067</v>
      </c>
      <c r="J873" s="788">
        <v>39101</v>
      </c>
      <c r="L873" s="787">
        <v>0.73</v>
      </c>
      <c r="M873" s="787">
        <v>20</v>
      </c>
      <c r="N873" s="787">
        <v>0.78</v>
      </c>
      <c r="O873" s="788">
        <v>41955</v>
      </c>
    </row>
    <row r="874" spans="1:15" x14ac:dyDescent="0.25">
      <c r="A874" s="786" t="s">
        <v>2284</v>
      </c>
      <c r="B874" s="787">
        <v>4</v>
      </c>
      <c r="C874" s="787" t="s">
        <v>2285</v>
      </c>
      <c r="D874" s="787">
        <v>0.16</v>
      </c>
      <c r="E874" s="787">
        <v>1.3</v>
      </c>
      <c r="F874" s="788">
        <v>39456</v>
      </c>
      <c r="G874" s="788">
        <v>42013</v>
      </c>
      <c r="H874" s="787">
        <v>1</v>
      </c>
      <c r="I874" s="788">
        <v>42146</v>
      </c>
      <c r="J874" s="788">
        <v>41453</v>
      </c>
      <c r="L874" s="787">
        <v>0.46</v>
      </c>
      <c r="M874" s="787">
        <v>10</v>
      </c>
      <c r="N874" s="787">
        <v>1</v>
      </c>
      <c r="O874" s="788">
        <v>42159</v>
      </c>
    </row>
    <row r="875" spans="1:15" x14ac:dyDescent="0.25">
      <c r="A875" s="786" t="s">
        <v>2286</v>
      </c>
      <c r="B875" s="787">
        <v>4</v>
      </c>
      <c r="C875" s="787" t="s">
        <v>2287</v>
      </c>
      <c r="D875" s="787">
        <v>0.9</v>
      </c>
      <c r="E875" s="787">
        <v>0.9</v>
      </c>
      <c r="F875" s="788">
        <v>39101</v>
      </c>
      <c r="G875" s="788">
        <v>39101</v>
      </c>
      <c r="H875" s="787">
        <v>6</v>
      </c>
      <c r="I875" s="788">
        <v>39899</v>
      </c>
      <c r="J875" s="788">
        <v>39101</v>
      </c>
      <c r="L875" s="787">
        <v>0.9</v>
      </c>
      <c r="M875" s="787">
        <v>10</v>
      </c>
      <c r="N875" s="787">
        <v>0</v>
      </c>
      <c r="O875" s="788">
        <v>41806</v>
      </c>
    </row>
    <row r="876" spans="1:15" x14ac:dyDescent="0.25">
      <c r="A876" s="786" t="s">
        <v>2288</v>
      </c>
      <c r="B876" s="787">
        <v>4</v>
      </c>
      <c r="C876" s="787" t="s">
        <v>2289</v>
      </c>
      <c r="D876" s="787">
        <v>0.9</v>
      </c>
      <c r="E876" s="787">
        <v>3.11</v>
      </c>
      <c r="F876" s="788">
        <v>39101</v>
      </c>
      <c r="G876" s="788">
        <v>42013</v>
      </c>
      <c r="H876" s="787">
        <v>1</v>
      </c>
      <c r="I876" s="788">
        <v>42160</v>
      </c>
      <c r="J876" s="788">
        <v>41170</v>
      </c>
      <c r="L876" s="787">
        <v>0.74</v>
      </c>
      <c r="M876" s="787">
        <v>10</v>
      </c>
      <c r="N876" s="787">
        <v>1.1399999999999999</v>
      </c>
      <c r="O876" s="788">
        <v>42159</v>
      </c>
    </row>
    <row r="877" spans="1:15" x14ac:dyDescent="0.25">
      <c r="A877" s="786" t="s">
        <v>2290</v>
      </c>
      <c r="B877" s="787">
        <v>4</v>
      </c>
      <c r="C877" s="787" t="s">
        <v>2291</v>
      </c>
      <c r="D877" s="787">
        <v>0.75</v>
      </c>
      <c r="E877" s="787">
        <v>0.75</v>
      </c>
      <c r="F877" s="788">
        <v>37636</v>
      </c>
      <c r="G877" s="788">
        <v>37636</v>
      </c>
      <c r="H877" s="787">
        <v>1</v>
      </c>
      <c r="J877" s="788">
        <v>37636</v>
      </c>
      <c r="L877" s="787">
        <v>0.46</v>
      </c>
      <c r="M877" s="787">
        <v>10</v>
      </c>
      <c r="N877" s="787">
        <v>1.07</v>
      </c>
      <c r="O877" s="788">
        <v>41955</v>
      </c>
    </row>
    <row r="878" spans="1:15" x14ac:dyDescent="0.25">
      <c r="A878" s="786" t="s">
        <v>574</v>
      </c>
      <c r="B878" s="787">
        <v>4</v>
      </c>
      <c r="C878" s="787" t="s">
        <v>2292</v>
      </c>
      <c r="D878" s="787">
        <v>0.02</v>
      </c>
      <c r="E878" s="787">
        <v>0.31</v>
      </c>
      <c r="F878" s="788">
        <v>41278</v>
      </c>
      <c r="G878" s="788">
        <v>42139</v>
      </c>
      <c r="H878" s="787">
        <v>1</v>
      </c>
      <c r="I878" s="788">
        <v>42165</v>
      </c>
      <c r="J878" s="788">
        <v>42156</v>
      </c>
      <c r="L878" s="787">
        <v>0.39</v>
      </c>
      <c r="M878" s="787">
        <v>10</v>
      </c>
      <c r="N878" s="787">
        <v>0.4</v>
      </c>
      <c r="O878" s="788">
        <v>42158</v>
      </c>
    </row>
    <row r="879" spans="1:15" x14ac:dyDescent="0.25">
      <c r="A879" s="786" t="s">
        <v>2293</v>
      </c>
      <c r="B879" s="787">
        <v>4</v>
      </c>
      <c r="C879" s="787" t="s">
        <v>2294</v>
      </c>
      <c r="D879" s="787">
        <v>5.0999999999999996</v>
      </c>
      <c r="E879" s="787">
        <v>25.1</v>
      </c>
      <c r="F879" s="788">
        <v>38047</v>
      </c>
      <c r="G879" s="788">
        <v>38047</v>
      </c>
      <c r="H879" s="787">
        <v>1</v>
      </c>
      <c r="I879" s="788">
        <v>37769</v>
      </c>
      <c r="J879" s="788">
        <v>38047</v>
      </c>
      <c r="L879" s="787">
        <v>27.36</v>
      </c>
      <c r="M879" s="787">
        <v>20</v>
      </c>
      <c r="N879" s="787">
        <v>29.41</v>
      </c>
      <c r="O879" s="788">
        <v>41955</v>
      </c>
    </row>
    <row r="880" spans="1:15" x14ac:dyDescent="0.25">
      <c r="A880" s="786" t="s">
        <v>2295</v>
      </c>
      <c r="B880" s="787">
        <v>4</v>
      </c>
      <c r="C880" s="787" t="s">
        <v>2296</v>
      </c>
      <c r="D880" s="787">
        <v>0</v>
      </c>
      <c r="E880" s="787">
        <v>0</v>
      </c>
      <c r="H880" s="787">
        <v>1</v>
      </c>
      <c r="J880" s="788">
        <v>37636</v>
      </c>
      <c r="K880" s="788">
        <v>42075</v>
      </c>
      <c r="L880" s="787">
        <v>1</v>
      </c>
      <c r="M880" s="787">
        <v>20</v>
      </c>
      <c r="N880" s="787">
        <v>1.08</v>
      </c>
      <c r="O880" s="788">
        <v>42075</v>
      </c>
    </row>
    <row r="881" spans="1:15" x14ac:dyDescent="0.25">
      <c r="A881" s="786" t="s">
        <v>2297</v>
      </c>
      <c r="B881" s="787">
        <v>4</v>
      </c>
      <c r="C881" s="787" t="s">
        <v>2298</v>
      </c>
      <c r="D881" s="787">
        <v>0</v>
      </c>
      <c r="E881" s="787">
        <v>0</v>
      </c>
      <c r="H881" s="787">
        <v>1</v>
      </c>
      <c r="J881" s="788">
        <v>37636</v>
      </c>
      <c r="K881" s="788">
        <v>42075</v>
      </c>
      <c r="L881" s="787">
        <v>1</v>
      </c>
      <c r="M881" s="787">
        <v>20</v>
      </c>
      <c r="N881" s="787">
        <v>1.08</v>
      </c>
      <c r="O881" s="788">
        <v>42075</v>
      </c>
    </row>
    <row r="882" spans="1:15" x14ac:dyDescent="0.25">
      <c r="A882" s="786" t="s">
        <v>2299</v>
      </c>
      <c r="B882" s="787">
        <v>4</v>
      </c>
      <c r="C882" s="787" t="s">
        <v>2300</v>
      </c>
      <c r="D882" s="787">
        <v>1</v>
      </c>
      <c r="E882" s="787">
        <v>21</v>
      </c>
      <c r="F882" s="788">
        <v>37636</v>
      </c>
      <c r="G882" s="788">
        <v>37636</v>
      </c>
      <c r="H882" s="787">
        <v>1</v>
      </c>
      <c r="I882" s="788">
        <v>37278</v>
      </c>
      <c r="J882" s="788">
        <v>37636</v>
      </c>
      <c r="L882" s="787">
        <v>22.89</v>
      </c>
      <c r="M882" s="787">
        <v>20</v>
      </c>
      <c r="N882" s="787">
        <v>24.61</v>
      </c>
      <c r="O882" s="788">
        <v>41955</v>
      </c>
    </row>
    <row r="883" spans="1:15" x14ac:dyDescent="0.25">
      <c r="A883" s="786" t="s">
        <v>2301</v>
      </c>
      <c r="B883" s="787">
        <v>4</v>
      </c>
      <c r="C883" s="787" t="s">
        <v>2204</v>
      </c>
      <c r="D883" s="787">
        <v>2.14</v>
      </c>
      <c r="E883" s="787">
        <v>2.14</v>
      </c>
      <c r="F883" s="788">
        <v>39101</v>
      </c>
      <c r="G883" s="788">
        <v>42013</v>
      </c>
      <c r="H883" s="787">
        <v>1</v>
      </c>
      <c r="I883" s="788">
        <v>42153</v>
      </c>
      <c r="J883" s="788">
        <v>39149</v>
      </c>
      <c r="L883" s="787">
        <v>2.42</v>
      </c>
      <c r="M883" s="787">
        <v>10</v>
      </c>
      <c r="N883" s="787">
        <v>3.55</v>
      </c>
      <c r="O883" s="788">
        <v>42146</v>
      </c>
    </row>
    <row r="884" spans="1:15" x14ac:dyDescent="0.25">
      <c r="A884" s="786" t="s">
        <v>2302</v>
      </c>
      <c r="B884" s="787">
        <v>4</v>
      </c>
      <c r="C884" s="787" t="s">
        <v>2303</v>
      </c>
      <c r="D884" s="787">
        <v>5.44</v>
      </c>
      <c r="E884" s="787">
        <v>5.44</v>
      </c>
      <c r="F884" s="788">
        <v>38047</v>
      </c>
      <c r="G884" s="788">
        <v>38047</v>
      </c>
      <c r="H884" s="787">
        <v>6</v>
      </c>
      <c r="I884" s="788">
        <v>37573</v>
      </c>
      <c r="J884" s="788">
        <v>38047</v>
      </c>
      <c r="L884" s="787">
        <v>5.44</v>
      </c>
      <c r="M884" s="787">
        <v>10</v>
      </c>
      <c r="N884" s="787">
        <v>13.91</v>
      </c>
      <c r="O884" s="788">
        <v>41806</v>
      </c>
    </row>
    <row r="885" spans="1:15" x14ac:dyDescent="0.25">
      <c r="A885" s="786" t="s">
        <v>2304</v>
      </c>
      <c r="B885" s="787">
        <v>4</v>
      </c>
      <c r="C885" s="787" t="s">
        <v>2305</v>
      </c>
      <c r="D885" s="787">
        <v>0.9</v>
      </c>
      <c r="E885" s="787">
        <v>0.9</v>
      </c>
      <c r="F885" s="788">
        <v>39101</v>
      </c>
      <c r="G885" s="788">
        <v>42013</v>
      </c>
      <c r="H885" s="787">
        <v>1</v>
      </c>
      <c r="I885" s="788">
        <v>42160</v>
      </c>
      <c r="J885" s="788">
        <v>40339</v>
      </c>
      <c r="L885" s="787">
        <v>1.03</v>
      </c>
      <c r="M885" s="787">
        <v>10</v>
      </c>
      <c r="N885" s="787">
        <v>0.46</v>
      </c>
      <c r="O885" s="788">
        <v>42152</v>
      </c>
    </row>
    <row r="886" spans="1:15" x14ac:dyDescent="0.25">
      <c r="A886" s="786" t="s">
        <v>2306</v>
      </c>
      <c r="B886" s="787">
        <v>4</v>
      </c>
      <c r="C886" s="787" t="s">
        <v>2307</v>
      </c>
      <c r="D886" s="787">
        <v>0.87</v>
      </c>
      <c r="E886" s="787">
        <v>2.64</v>
      </c>
      <c r="F886" s="788">
        <v>39456</v>
      </c>
      <c r="G886" s="788">
        <v>42121</v>
      </c>
      <c r="H886" s="787">
        <v>1</v>
      </c>
      <c r="I886" s="788">
        <v>42164</v>
      </c>
      <c r="J886" s="788">
        <v>41843</v>
      </c>
      <c r="L886" s="787">
        <v>3.26</v>
      </c>
      <c r="M886" s="787">
        <v>10</v>
      </c>
      <c r="N886" s="787">
        <v>5.09</v>
      </c>
      <c r="O886" s="788">
        <v>42159</v>
      </c>
    </row>
    <row r="887" spans="1:15" x14ac:dyDescent="0.25">
      <c r="A887" s="786" t="s">
        <v>2308</v>
      </c>
      <c r="B887" s="787">
        <v>4</v>
      </c>
      <c r="C887" s="787" t="s">
        <v>2309</v>
      </c>
      <c r="D887" s="787">
        <v>0.82</v>
      </c>
      <c r="E887" s="787">
        <v>1.39</v>
      </c>
      <c r="F887" s="788">
        <v>39456</v>
      </c>
      <c r="G887" s="788">
        <v>42013</v>
      </c>
      <c r="H887" s="787">
        <v>1</v>
      </c>
      <c r="I887" s="788">
        <v>42016</v>
      </c>
      <c r="J887" s="788">
        <v>41369</v>
      </c>
      <c r="L887" s="787">
        <v>0.9</v>
      </c>
      <c r="M887" s="787">
        <v>10</v>
      </c>
      <c r="N887" s="787">
        <v>1.31</v>
      </c>
      <c r="O887" s="788">
        <v>42159</v>
      </c>
    </row>
    <row r="888" spans="1:15" x14ac:dyDescent="0.25">
      <c r="A888" s="786" t="s">
        <v>2310</v>
      </c>
      <c r="B888" s="787">
        <v>4</v>
      </c>
      <c r="C888" s="787" t="s">
        <v>2311</v>
      </c>
      <c r="D888" s="787">
        <v>1.53</v>
      </c>
      <c r="E888" s="787">
        <v>1.53</v>
      </c>
      <c r="F888" s="788">
        <v>39101</v>
      </c>
      <c r="G888" s="788">
        <v>41565</v>
      </c>
      <c r="H888" s="787">
        <v>1</v>
      </c>
      <c r="I888" s="788">
        <v>39134</v>
      </c>
      <c r="J888" s="788">
        <v>39149</v>
      </c>
      <c r="L888" s="787">
        <v>3.07</v>
      </c>
      <c r="M888" s="787">
        <v>10</v>
      </c>
      <c r="N888" s="787">
        <v>0.85</v>
      </c>
      <c r="O888" s="788">
        <v>41955</v>
      </c>
    </row>
    <row r="889" spans="1:15" x14ac:dyDescent="0.25">
      <c r="A889" s="786" t="s">
        <v>2312</v>
      </c>
      <c r="B889" s="787">
        <v>4</v>
      </c>
      <c r="C889" s="787" t="s">
        <v>2313</v>
      </c>
      <c r="D889" s="787">
        <v>1.53</v>
      </c>
      <c r="E889" s="787">
        <v>1.53</v>
      </c>
      <c r="F889" s="788">
        <v>39101</v>
      </c>
      <c r="G889" s="788">
        <v>41565</v>
      </c>
      <c r="H889" s="787">
        <v>1</v>
      </c>
      <c r="I889" s="788">
        <v>39134</v>
      </c>
      <c r="J889" s="788">
        <v>39149</v>
      </c>
      <c r="L889" s="787">
        <v>3.07</v>
      </c>
      <c r="M889" s="787">
        <v>10</v>
      </c>
      <c r="N889" s="787">
        <v>0.77</v>
      </c>
      <c r="O889" s="788">
        <v>41955</v>
      </c>
    </row>
    <row r="890" spans="1:15" x14ac:dyDescent="0.25">
      <c r="A890" s="786" t="s">
        <v>2314</v>
      </c>
      <c r="B890" s="787">
        <v>4</v>
      </c>
      <c r="C890" s="787" t="s">
        <v>2315</v>
      </c>
      <c r="D890" s="787">
        <v>1.53</v>
      </c>
      <c r="E890" s="787">
        <v>1.53</v>
      </c>
      <c r="F890" s="788">
        <v>37636</v>
      </c>
      <c r="G890" s="788">
        <v>37636</v>
      </c>
      <c r="H890" s="787">
        <v>1</v>
      </c>
      <c r="J890" s="788">
        <v>37636</v>
      </c>
      <c r="K890" s="788">
        <v>42075</v>
      </c>
      <c r="L890" s="787">
        <v>0.77</v>
      </c>
      <c r="M890" s="787">
        <v>10</v>
      </c>
      <c r="N890" s="787">
        <v>0.77</v>
      </c>
      <c r="O890" s="788">
        <v>42075</v>
      </c>
    </row>
    <row r="891" spans="1:15" x14ac:dyDescent="0.25">
      <c r="A891" s="786" t="s">
        <v>2316</v>
      </c>
      <c r="B891" s="787">
        <v>4</v>
      </c>
      <c r="C891" s="787" t="s">
        <v>2317</v>
      </c>
      <c r="D891" s="787">
        <v>2.09</v>
      </c>
      <c r="E891" s="787">
        <v>4.3600000000000003</v>
      </c>
      <c r="F891" s="788">
        <v>39101</v>
      </c>
      <c r="G891" s="788">
        <v>42013</v>
      </c>
      <c r="H891" s="787">
        <v>1</v>
      </c>
      <c r="I891" s="788">
        <v>42016</v>
      </c>
      <c r="J891" s="788">
        <v>41828</v>
      </c>
      <c r="L891" s="787">
        <v>2.27</v>
      </c>
      <c r="M891" s="787">
        <v>10</v>
      </c>
      <c r="N891" s="787">
        <v>2.17</v>
      </c>
      <c r="O891" s="788">
        <v>42159</v>
      </c>
    </row>
    <row r="892" spans="1:15" x14ac:dyDescent="0.25">
      <c r="A892" s="786" t="s">
        <v>2318</v>
      </c>
      <c r="B892" s="787">
        <v>4</v>
      </c>
      <c r="C892" s="787" t="s">
        <v>2319</v>
      </c>
      <c r="D892" s="787">
        <v>3.98</v>
      </c>
      <c r="E892" s="787">
        <v>3.98</v>
      </c>
      <c r="F892" s="788">
        <v>39101</v>
      </c>
      <c r="G892" s="788">
        <v>41565</v>
      </c>
      <c r="H892" s="787">
        <v>6</v>
      </c>
      <c r="I892" s="788">
        <v>39134</v>
      </c>
      <c r="J892" s="788">
        <v>39149</v>
      </c>
      <c r="L892" s="787">
        <v>3.58</v>
      </c>
      <c r="M892" s="787">
        <v>10</v>
      </c>
      <c r="N892" s="787">
        <v>6.89</v>
      </c>
      <c r="O892" s="788">
        <v>41806</v>
      </c>
    </row>
    <row r="893" spans="1:15" x14ac:dyDescent="0.25">
      <c r="A893" s="786" t="s">
        <v>2320</v>
      </c>
      <c r="B893" s="787">
        <v>4</v>
      </c>
      <c r="C893" s="787" t="s">
        <v>2321</v>
      </c>
      <c r="D893" s="787">
        <v>1.27</v>
      </c>
      <c r="E893" s="787">
        <v>1.27</v>
      </c>
      <c r="F893" s="788">
        <v>38698</v>
      </c>
      <c r="G893" s="788">
        <v>38698</v>
      </c>
      <c r="H893" s="787">
        <v>1</v>
      </c>
      <c r="I893" s="788">
        <v>38659</v>
      </c>
      <c r="J893" s="788">
        <v>38659</v>
      </c>
      <c r="L893" s="787">
        <v>3.1</v>
      </c>
      <c r="M893" s="787">
        <v>10</v>
      </c>
      <c r="N893" s="787">
        <v>2.59</v>
      </c>
      <c r="O893" s="788">
        <v>41955</v>
      </c>
    </row>
    <row r="894" spans="1:15" x14ac:dyDescent="0.25">
      <c r="A894" s="786" t="s">
        <v>2322</v>
      </c>
      <c r="B894" s="787">
        <v>4</v>
      </c>
      <c r="C894" s="787" t="s">
        <v>2323</v>
      </c>
      <c r="D894" s="787">
        <v>1.42</v>
      </c>
      <c r="E894" s="787">
        <v>1.87</v>
      </c>
      <c r="F894" s="788">
        <v>37637</v>
      </c>
      <c r="G894" s="788">
        <v>41610</v>
      </c>
      <c r="H894" s="787">
        <v>1</v>
      </c>
      <c r="I894" s="788">
        <v>41600</v>
      </c>
      <c r="J894" s="788">
        <v>41610</v>
      </c>
      <c r="L894" s="787">
        <v>2.04</v>
      </c>
      <c r="M894" s="787">
        <v>20</v>
      </c>
      <c r="N894" s="787">
        <v>2.19</v>
      </c>
      <c r="O894" s="788">
        <v>41955</v>
      </c>
    </row>
    <row r="895" spans="1:15" x14ac:dyDescent="0.25">
      <c r="A895" s="786" t="s">
        <v>2324</v>
      </c>
      <c r="B895" s="787">
        <v>4</v>
      </c>
      <c r="C895" s="787" t="s">
        <v>2175</v>
      </c>
      <c r="D895" s="787">
        <v>3.54</v>
      </c>
      <c r="E895" s="787">
        <v>3.54</v>
      </c>
      <c r="F895" s="788">
        <v>39101</v>
      </c>
      <c r="G895" s="788">
        <v>39101</v>
      </c>
      <c r="H895" s="787">
        <v>1</v>
      </c>
      <c r="I895" s="788">
        <v>42074</v>
      </c>
      <c r="J895" s="788">
        <v>39149</v>
      </c>
      <c r="L895" s="787">
        <v>1.9</v>
      </c>
      <c r="M895" s="787">
        <v>20</v>
      </c>
      <c r="N895" s="787">
        <v>2.04</v>
      </c>
      <c r="O895" s="788">
        <v>42162</v>
      </c>
    </row>
    <row r="896" spans="1:15" x14ac:dyDescent="0.25">
      <c r="A896" s="786" t="s">
        <v>2325</v>
      </c>
      <c r="B896" s="787">
        <v>4</v>
      </c>
      <c r="C896" s="787" t="s">
        <v>2326</v>
      </c>
      <c r="D896" s="787">
        <v>5.09</v>
      </c>
      <c r="E896" s="787">
        <v>5.09</v>
      </c>
      <c r="F896" s="788">
        <v>39101</v>
      </c>
      <c r="G896" s="788">
        <v>39101</v>
      </c>
      <c r="H896" s="787">
        <v>1</v>
      </c>
      <c r="I896" s="788">
        <v>42074</v>
      </c>
      <c r="J896" s="788">
        <v>39149</v>
      </c>
      <c r="L896" s="787">
        <v>5.61</v>
      </c>
      <c r="M896" s="787">
        <v>20</v>
      </c>
      <c r="N896" s="787">
        <v>6.03</v>
      </c>
      <c r="O896" s="788">
        <v>42162</v>
      </c>
    </row>
    <row r="897" spans="1:15" x14ac:dyDescent="0.25">
      <c r="A897" s="786" t="s">
        <v>2327</v>
      </c>
      <c r="B897" s="787">
        <v>4</v>
      </c>
      <c r="C897" s="787" t="s">
        <v>2328</v>
      </c>
      <c r="D897" s="787">
        <v>0</v>
      </c>
      <c r="E897" s="787">
        <v>0</v>
      </c>
      <c r="G897" s="788">
        <v>41610</v>
      </c>
      <c r="H897" s="787">
        <v>1</v>
      </c>
      <c r="I897" s="788">
        <v>41683</v>
      </c>
      <c r="J897" s="788">
        <v>41690</v>
      </c>
      <c r="L897" s="787">
        <v>4.1900000000000004</v>
      </c>
      <c r="M897" s="787">
        <v>10</v>
      </c>
      <c r="N897" s="787">
        <v>8.91</v>
      </c>
      <c r="O897" s="788">
        <v>42159</v>
      </c>
    </row>
    <row r="898" spans="1:15" x14ac:dyDescent="0.25">
      <c r="A898" s="786" t="s">
        <v>2329</v>
      </c>
      <c r="B898" s="787">
        <v>4</v>
      </c>
      <c r="C898" s="787" t="s">
        <v>2330</v>
      </c>
      <c r="D898" s="787">
        <v>3.83</v>
      </c>
      <c r="E898" s="787">
        <v>3.83</v>
      </c>
      <c r="F898" s="788">
        <v>37637</v>
      </c>
      <c r="G898" s="788">
        <v>37637</v>
      </c>
      <c r="H898" s="787">
        <v>1</v>
      </c>
      <c r="I898" s="788">
        <v>37544</v>
      </c>
      <c r="J898" s="788">
        <v>37637</v>
      </c>
      <c r="L898" s="787">
        <v>4.17</v>
      </c>
      <c r="M898" s="787">
        <v>20</v>
      </c>
      <c r="N898" s="787">
        <v>4.4800000000000004</v>
      </c>
      <c r="O898" s="788">
        <v>41955</v>
      </c>
    </row>
    <row r="899" spans="1:15" x14ac:dyDescent="0.25">
      <c r="A899" s="786" t="s">
        <v>2331</v>
      </c>
      <c r="B899" s="787">
        <v>4</v>
      </c>
      <c r="C899" s="787" t="s">
        <v>2332</v>
      </c>
      <c r="D899" s="787">
        <v>0.38</v>
      </c>
      <c r="E899" s="787">
        <v>13.98</v>
      </c>
      <c r="F899" s="788">
        <v>39456</v>
      </c>
      <c r="G899" s="788">
        <v>42013</v>
      </c>
      <c r="H899" s="787">
        <v>1</v>
      </c>
      <c r="I899" s="788">
        <v>42051</v>
      </c>
      <c r="J899" s="788">
        <v>41191</v>
      </c>
      <c r="L899" s="787">
        <v>1.8</v>
      </c>
      <c r="M899" s="787">
        <v>10</v>
      </c>
      <c r="N899" s="787">
        <v>5.26</v>
      </c>
      <c r="O899" s="788">
        <v>42087</v>
      </c>
    </row>
    <row r="900" spans="1:15" x14ac:dyDescent="0.25">
      <c r="A900" s="786" t="s">
        <v>2331</v>
      </c>
      <c r="B900" s="787" t="s">
        <v>2333</v>
      </c>
      <c r="C900" s="787" t="s">
        <v>2334</v>
      </c>
      <c r="D900" s="787">
        <v>2.27</v>
      </c>
      <c r="E900" s="787">
        <v>2.27</v>
      </c>
      <c r="F900" s="788">
        <v>39101</v>
      </c>
      <c r="G900" s="788">
        <v>39101</v>
      </c>
      <c r="H900" s="787">
        <v>6</v>
      </c>
      <c r="I900" s="788">
        <v>39134</v>
      </c>
      <c r="J900" s="788">
        <v>39149</v>
      </c>
      <c r="L900" s="787">
        <v>1.29</v>
      </c>
      <c r="M900" s="787">
        <v>10</v>
      </c>
      <c r="N900" s="787">
        <v>4.8899999999999997</v>
      </c>
      <c r="O900" s="788">
        <v>41806</v>
      </c>
    </row>
    <row r="901" spans="1:15" x14ac:dyDescent="0.25">
      <c r="A901" s="786" t="s">
        <v>2335</v>
      </c>
      <c r="B901" s="787">
        <v>4</v>
      </c>
      <c r="C901" s="787" t="s">
        <v>2336</v>
      </c>
      <c r="D901" s="787">
        <v>0</v>
      </c>
      <c r="E901" s="787">
        <v>0</v>
      </c>
      <c r="H901" s="787">
        <v>1</v>
      </c>
      <c r="J901" s="788">
        <v>37637</v>
      </c>
      <c r="L901" s="787">
        <v>0.23</v>
      </c>
      <c r="M901" s="787">
        <v>10</v>
      </c>
      <c r="N901" s="787">
        <v>1.0900000000000001</v>
      </c>
      <c r="O901" s="788">
        <v>41955</v>
      </c>
    </row>
    <row r="902" spans="1:15" x14ac:dyDescent="0.25">
      <c r="A902" s="786" t="s">
        <v>575</v>
      </c>
      <c r="B902" s="787">
        <v>4</v>
      </c>
      <c r="C902" s="787" t="s">
        <v>2337</v>
      </c>
      <c r="D902" s="787">
        <v>0.28999999999999998</v>
      </c>
      <c r="E902" s="787">
        <v>1.26</v>
      </c>
      <c r="F902" s="788">
        <v>41369</v>
      </c>
      <c r="G902" s="788">
        <v>42044</v>
      </c>
      <c r="H902" s="787">
        <v>1</v>
      </c>
      <c r="I902" s="788">
        <v>42153</v>
      </c>
      <c r="J902" s="788">
        <v>42016</v>
      </c>
      <c r="L902" s="787">
        <v>0.37</v>
      </c>
      <c r="M902" s="787">
        <v>10</v>
      </c>
      <c r="N902" s="787">
        <v>0.83</v>
      </c>
      <c r="O902" s="788">
        <v>42158</v>
      </c>
    </row>
    <row r="903" spans="1:15" x14ac:dyDescent="0.25">
      <c r="A903" s="786" t="s">
        <v>2338</v>
      </c>
      <c r="B903" s="787">
        <v>4</v>
      </c>
      <c r="C903" s="787" t="s">
        <v>2339</v>
      </c>
      <c r="D903" s="787">
        <v>2.48</v>
      </c>
      <c r="E903" s="787">
        <v>2.48</v>
      </c>
      <c r="F903" s="788">
        <v>37637</v>
      </c>
      <c r="G903" s="788">
        <v>37637</v>
      </c>
      <c r="H903" s="787">
        <v>1</v>
      </c>
      <c r="I903" s="788">
        <v>38112</v>
      </c>
      <c r="J903" s="788">
        <v>37637</v>
      </c>
      <c r="L903" s="787">
        <v>2.7</v>
      </c>
      <c r="M903" s="787">
        <v>20</v>
      </c>
      <c r="N903" s="787">
        <v>2.9</v>
      </c>
      <c r="O903" s="788">
        <v>41955</v>
      </c>
    </row>
    <row r="904" spans="1:15" x14ac:dyDescent="0.25">
      <c r="A904" s="786" t="s">
        <v>2340</v>
      </c>
      <c r="B904" s="787">
        <v>4</v>
      </c>
      <c r="C904" s="787" t="s">
        <v>2341</v>
      </c>
      <c r="D904" s="787">
        <v>1.99</v>
      </c>
      <c r="E904" s="787">
        <v>1.99</v>
      </c>
      <c r="F904" s="788">
        <v>37637</v>
      </c>
      <c r="G904" s="788">
        <v>37637</v>
      </c>
      <c r="H904" s="787">
        <v>1</v>
      </c>
      <c r="J904" s="788">
        <v>37637</v>
      </c>
      <c r="L904" s="787">
        <v>2.17</v>
      </c>
      <c r="M904" s="787">
        <v>20</v>
      </c>
      <c r="N904" s="787">
        <v>2.33</v>
      </c>
      <c r="O904" s="788">
        <v>41955</v>
      </c>
    </row>
    <row r="905" spans="1:15" x14ac:dyDescent="0.25">
      <c r="A905" s="786" t="s">
        <v>2342</v>
      </c>
      <c r="B905" s="787">
        <v>4</v>
      </c>
      <c r="C905" s="787" t="s">
        <v>2343</v>
      </c>
      <c r="D905" s="787">
        <v>0</v>
      </c>
      <c r="E905" s="787">
        <v>0</v>
      </c>
      <c r="H905" s="787">
        <v>1</v>
      </c>
      <c r="L905" s="787">
        <v>2.75</v>
      </c>
      <c r="M905" s="787">
        <v>10</v>
      </c>
      <c r="N905" s="787">
        <v>5.63</v>
      </c>
      <c r="O905" s="788">
        <v>41955</v>
      </c>
    </row>
    <row r="906" spans="1:15" x14ac:dyDescent="0.25">
      <c r="A906" s="786" t="s">
        <v>2344</v>
      </c>
      <c r="B906" s="787">
        <v>4</v>
      </c>
      <c r="C906" s="787" t="s">
        <v>2345</v>
      </c>
      <c r="D906" s="787">
        <v>5.07</v>
      </c>
      <c r="E906" s="787">
        <v>13.47</v>
      </c>
      <c r="F906" s="788">
        <v>39101</v>
      </c>
      <c r="G906" s="788">
        <v>42053</v>
      </c>
      <c r="H906" s="787">
        <v>1</v>
      </c>
      <c r="I906" s="788">
        <v>42051</v>
      </c>
      <c r="J906" s="788">
        <v>42023</v>
      </c>
      <c r="L906" s="787">
        <v>6.18</v>
      </c>
      <c r="M906" s="787">
        <v>10</v>
      </c>
      <c r="N906" s="787">
        <v>13.99</v>
      </c>
      <c r="O906" s="788">
        <v>41955</v>
      </c>
    </row>
    <row r="907" spans="1:15" x14ac:dyDescent="0.25">
      <c r="A907" s="786" t="s">
        <v>2344</v>
      </c>
      <c r="B907" s="787" t="s">
        <v>2333</v>
      </c>
      <c r="C907" s="787" t="s">
        <v>2346</v>
      </c>
      <c r="D907" s="787">
        <v>5.52</v>
      </c>
      <c r="E907" s="787">
        <v>45.52</v>
      </c>
      <c r="F907" s="788">
        <v>39975</v>
      </c>
      <c r="G907" s="788">
        <v>39590</v>
      </c>
      <c r="H907" s="787">
        <v>6</v>
      </c>
      <c r="I907" s="788">
        <v>39134</v>
      </c>
      <c r="J907" s="788">
        <v>39149</v>
      </c>
      <c r="L907" s="787">
        <v>1.29</v>
      </c>
      <c r="M907" s="787">
        <v>10</v>
      </c>
      <c r="N907" s="787">
        <v>3.72</v>
      </c>
      <c r="O907" s="788">
        <v>41806</v>
      </c>
    </row>
    <row r="908" spans="1:15" x14ac:dyDescent="0.25">
      <c r="A908" s="786" t="s">
        <v>2347</v>
      </c>
      <c r="B908" s="787">
        <v>4</v>
      </c>
      <c r="C908" s="787" t="s">
        <v>2348</v>
      </c>
      <c r="D908" s="787">
        <v>0.38</v>
      </c>
      <c r="E908" s="787">
        <v>34.22</v>
      </c>
      <c r="F908" s="788">
        <v>39456</v>
      </c>
      <c r="G908" s="788">
        <v>42013</v>
      </c>
      <c r="H908" s="787">
        <v>1</v>
      </c>
      <c r="I908" s="788">
        <v>42051</v>
      </c>
      <c r="J908" s="788">
        <v>41191</v>
      </c>
      <c r="L908" s="787">
        <v>1.8</v>
      </c>
      <c r="M908" s="787">
        <v>10</v>
      </c>
      <c r="N908" s="787">
        <v>5.26</v>
      </c>
      <c r="O908" s="788">
        <v>42087</v>
      </c>
    </row>
    <row r="909" spans="1:15" x14ac:dyDescent="0.25">
      <c r="A909" s="786" t="s">
        <v>2347</v>
      </c>
      <c r="B909" s="787" t="s">
        <v>2333</v>
      </c>
      <c r="C909" s="787" t="s">
        <v>2334</v>
      </c>
      <c r="D909" s="787">
        <v>2.27</v>
      </c>
      <c r="E909" s="787">
        <v>2.27</v>
      </c>
      <c r="F909" s="788">
        <v>39101</v>
      </c>
      <c r="G909" s="788">
        <v>39101</v>
      </c>
      <c r="H909" s="787">
        <v>1</v>
      </c>
      <c r="I909" s="788">
        <v>42151</v>
      </c>
      <c r="J909" s="788">
        <v>39149</v>
      </c>
      <c r="L909" s="787">
        <v>1.6</v>
      </c>
      <c r="M909" s="787">
        <v>10</v>
      </c>
      <c r="N909" s="787">
        <v>4.46</v>
      </c>
      <c r="O909" s="788">
        <v>41543</v>
      </c>
    </row>
    <row r="910" spans="1:15" x14ac:dyDescent="0.25">
      <c r="A910" s="786" t="s">
        <v>2349</v>
      </c>
      <c r="B910" s="787">
        <v>4</v>
      </c>
      <c r="C910" s="787" t="s">
        <v>2350</v>
      </c>
      <c r="D910" s="787">
        <v>1.95</v>
      </c>
      <c r="E910" s="787">
        <v>1.95</v>
      </c>
      <c r="F910" s="788">
        <v>37637</v>
      </c>
      <c r="G910" s="788">
        <v>37637</v>
      </c>
      <c r="H910" s="787">
        <v>1</v>
      </c>
      <c r="J910" s="788">
        <v>37637</v>
      </c>
      <c r="L910" s="787">
        <v>2.13</v>
      </c>
      <c r="M910" s="787">
        <v>20</v>
      </c>
      <c r="N910" s="787">
        <v>2.29</v>
      </c>
      <c r="O910" s="788">
        <v>41955</v>
      </c>
    </row>
    <row r="911" spans="1:15" x14ac:dyDescent="0.25">
      <c r="A911" s="786" t="s">
        <v>2351</v>
      </c>
      <c r="B911" s="787">
        <v>4</v>
      </c>
      <c r="C911" s="787" t="s">
        <v>2352</v>
      </c>
      <c r="D911" s="787">
        <v>1.75</v>
      </c>
      <c r="E911" s="787">
        <v>11.71</v>
      </c>
      <c r="F911" s="788">
        <v>39456</v>
      </c>
      <c r="G911" s="788">
        <v>41943</v>
      </c>
      <c r="H911" s="787">
        <v>1</v>
      </c>
      <c r="I911" s="788">
        <v>42023</v>
      </c>
      <c r="J911" s="788">
        <v>41191</v>
      </c>
      <c r="L911" s="787">
        <v>4.01</v>
      </c>
      <c r="M911" s="787">
        <v>10</v>
      </c>
      <c r="N911" s="787">
        <v>9.32</v>
      </c>
      <c r="O911" s="788">
        <v>41955</v>
      </c>
    </row>
    <row r="912" spans="1:15" x14ac:dyDescent="0.25">
      <c r="A912" s="786" t="s">
        <v>2353</v>
      </c>
      <c r="B912" s="787">
        <v>4</v>
      </c>
      <c r="C912" s="787" t="s">
        <v>2354</v>
      </c>
      <c r="D912" s="787">
        <v>0.4</v>
      </c>
      <c r="E912" s="787">
        <v>6.84</v>
      </c>
      <c r="F912" s="788">
        <v>39456</v>
      </c>
      <c r="G912" s="788">
        <v>42013</v>
      </c>
      <c r="H912" s="787">
        <v>1</v>
      </c>
      <c r="I912" s="788">
        <v>42023</v>
      </c>
      <c r="J912" s="788">
        <v>41191</v>
      </c>
      <c r="L912" s="787">
        <v>1.91</v>
      </c>
      <c r="M912" s="787">
        <v>10</v>
      </c>
      <c r="N912" s="787">
        <v>4.1399999999999997</v>
      </c>
      <c r="O912" s="788">
        <v>41955</v>
      </c>
    </row>
    <row r="913" spans="1:15" x14ac:dyDescent="0.25">
      <c r="A913" s="786" t="s">
        <v>2355</v>
      </c>
      <c r="B913" s="787">
        <v>4</v>
      </c>
      <c r="C913" s="787" t="s">
        <v>2356</v>
      </c>
      <c r="D913" s="787">
        <v>2.36</v>
      </c>
      <c r="E913" s="787">
        <v>2.36</v>
      </c>
      <c r="F913" s="788">
        <v>39101</v>
      </c>
      <c r="G913" s="788">
        <v>41943</v>
      </c>
      <c r="H913" s="787">
        <v>1</v>
      </c>
      <c r="I913" s="788">
        <v>39134</v>
      </c>
      <c r="J913" s="788">
        <v>40058</v>
      </c>
      <c r="L913" s="787">
        <v>1.84</v>
      </c>
      <c r="M913" s="787">
        <v>10</v>
      </c>
      <c r="N913" s="787">
        <v>6.39</v>
      </c>
      <c r="O913" s="788">
        <v>41955</v>
      </c>
    </row>
    <row r="914" spans="1:15" x14ac:dyDescent="0.25">
      <c r="A914" s="786" t="s">
        <v>2357</v>
      </c>
      <c r="B914" s="787">
        <v>4</v>
      </c>
      <c r="C914" s="787" t="s">
        <v>2226</v>
      </c>
      <c r="D914" s="787">
        <v>0</v>
      </c>
      <c r="E914" s="787">
        <v>0</v>
      </c>
      <c r="G914" s="788">
        <v>41766</v>
      </c>
      <c r="H914" s="787">
        <v>1</v>
      </c>
      <c r="I914" s="788">
        <v>41759</v>
      </c>
      <c r="J914" s="788">
        <v>41766</v>
      </c>
      <c r="L914" s="787">
        <v>0.1</v>
      </c>
      <c r="M914" s="787">
        <v>10</v>
      </c>
      <c r="N914" s="787">
        <v>1.57</v>
      </c>
      <c r="O914" s="788">
        <v>41955</v>
      </c>
    </row>
    <row r="915" spans="1:15" x14ac:dyDescent="0.25">
      <c r="A915" s="786" t="s">
        <v>2358</v>
      </c>
      <c r="B915" s="787">
        <v>4</v>
      </c>
      <c r="C915" s="787" t="s">
        <v>2359</v>
      </c>
      <c r="D915" s="787">
        <v>0.3</v>
      </c>
      <c r="E915" s="787">
        <v>0.23</v>
      </c>
      <c r="F915" s="788">
        <v>39101</v>
      </c>
      <c r="G915" s="788">
        <v>41943</v>
      </c>
      <c r="H915" s="787">
        <v>1</v>
      </c>
      <c r="I915" s="788">
        <v>40709</v>
      </c>
      <c r="J915" s="788">
        <v>39149</v>
      </c>
      <c r="L915" s="787">
        <v>0.55000000000000004</v>
      </c>
      <c r="M915" s="787">
        <v>10</v>
      </c>
      <c r="N915" s="787">
        <v>0.79</v>
      </c>
      <c r="O915" s="788">
        <v>41955</v>
      </c>
    </row>
    <row r="916" spans="1:15" x14ac:dyDescent="0.25">
      <c r="A916" s="786" t="s">
        <v>2360</v>
      </c>
      <c r="B916" s="787">
        <v>4</v>
      </c>
      <c r="C916" s="787" t="s">
        <v>2361</v>
      </c>
      <c r="D916" s="787">
        <v>1.17</v>
      </c>
      <c r="E916" s="787">
        <v>1.17</v>
      </c>
      <c r="F916" s="788">
        <v>41432</v>
      </c>
      <c r="G916" s="788">
        <v>42013</v>
      </c>
      <c r="H916" s="787">
        <v>1</v>
      </c>
      <c r="I916" s="788">
        <v>41942</v>
      </c>
      <c r="J916" s="788">
        <v>41400</v>
      </c>
      <c r="L916" s="787">
        <v>1.97</v>
      </c>
      <c r="M916" s="787">
        <v>10</v>
      </c>
      <c r="N916" s="787">
        <v>3.52</v>
      </c>
      <c r="O916" s="788">
        <v>42162</v>
      </c>
    </row>
    <row r="917" spans="1:15" x14ac:dyDescent="0.25">
      <c r="A917" s="786" t="s">
        <v>2362</v>
      </c>
      <c r="B917" s="787">
        <v>4</v>
      </c>
      <c r="C917" s="787" t="s">
        <v>2363</v>
      </c>
      <c r="D917" s="787">
        <v>1.26</v>
      </c>
      <c r="E917" s="787">
        <v>1.26</v>
      </c>
      <c r="F917" s="788">
        <v>40627</v>
      </c>
      <c r="G917" s="788">
        <v>42013</v>
      </c>
      <c r="H917" s="787">
        <v>1</v>
      </c>
      <c r="I917" s="788">
        <v>42072</v>
      </c>
      <c r="J917" s="788">
        <v>40879</v>
      </c>
      <c r="K917" s="788">
        <v>40617</v>
      </c>
      <c r="L917" s="787">
        <v>1.26</v>
      </c>
      <c r="M917" s="787">
        <v>20</v>
      </c>
      <c r="N917" s="787">
        <v>1.35</v>
      </c>
      <c r="O917" s="788">
        <v>42146</v>
      </c>
    </row>
    <row r="918" spans="1:15" x14ac:dyDescent="0.25">
      <c r="A918" s="786" t="s">
        <v>2364</v>
      </c>
      <c r="B918" s="787">
        <v>4</v>
      </c>
      <c r="C918" s="787" t="s">
        <v>2365</v>
      </c>
      <c r="D918" s="787">
        <v>2.4700000000000002</v>
      </c>
      <c r="E918" s="787">
        <v>2.4700000000000002</v>
      </c>
      <c r="F918" s="788">
        <v>39101</v>
      </c>
      <c r="G918" s="788">
        <v>39101</v>
      </c>
      <c r="H918" s="787">
        <v>1</v>
      </c>
      <c r="I918" s="788">
        <v>40862</v>
      </c>
      <c r="J918" s="788">
        <v>39101</v>
      </c>
      <c r="L918" s="787">
        <v>2.4700000000000002</v>
      </c>
      <c r="M918" s="787">
        <v>10</v>
      </c>
      <c r="N918" s="787">
        <v>0</v>
      </c>
      <c r="O918" s="788">
        <v>41955</v>
      </c>
    </row>
    <row r="919" spans="1:15" x14ac:dyDescent="0.25">
      <c r="A919" s="786" t="s">
        <v>2366</v>
      </c>
      <c r="B919" s="787">
        <v>4</v>
      </c>
      <c r="C919" s="787" t="s">
        <v>2367</v>
      </c>
      <c r="D919" s="787">
        <v>0.02</v>
      </c>
      <c r="E919" s="787">
        <v>0.95</v>
      </c>
      <c r="F919" s="788">
        <v>40077</v>
      </c>
      <c r="G919" s="788">
        <v>41855</v>
      </c>
      <c r="H919" s="787">
        <v>1</v>
      </c>
      <c r="I919" s="788">
        <v>42164</v>
      </c>
      <c r="J919" s="788">
        <v>41809</v>
      </c>
      <c r="L919" s="787">
        <v>0.28999999999999998</v>
      </c>
      <c r="M919" s="787">
        <v>10</v>
      </c>
      <c r="N919" s="787">
        <v>1.07</v>
      </c>
      <c r="O919" s="788">
        <v>42159</v>
      </c>
    </row>
    <row r="920" spans="1:15" x14ac:dyDescent="0.25">
      <c r="A920" s="786" t="s">
        <v>2368</v>
      </c>
      <c r="B920" s="787">
        <v>4</v>
      </c>
      <c r="C920" s="787" t="s">
        <v>2369</v>
      </c>
      <c r="D920" s="787">
        <v>0.66</v>
      </c>
      <c r="E920" s="787">
        <v>0.66</v>
      </c>
      <c r="F920" s="788">
        <v>39101</v>
      </c>
      <c r="G920" s="788">
        <v>41565</v>
      </c>
      <c r="H920" s="787">
        <v>1</v>
      </c>
      <c r="I920" s="788">
        <v>39134</v>
      </c>
      <c r="J920" s="788">
        <v>39664</v>
      </c>
      <c r="L920" s="787">
        <v>0.4</v>
      </c>
      <c r="M920" s="787">
        <v>10</v>
      </c>
      <c r="N920" s="787">
        <v>1.31</v>
      </c>
      <c r="O920" s="788">
        <v>41955</v>
      </c>
    </row>
    <row r="921" spans="1:15" x14ac:dyDescent="0.25">
      <c r="A921" s="786" t="s">
        <v>2370</v>
      </c>
      <c r="B921" s="787">
        <v>4</v>
      </c>
      <c r="C921" s="787" t="s">
        <v>2371</v>
      </c>
      <c r="D921" s="787">
        <v>0.75</v>
      </c>
      <c r="E921" s="787">
        <v>0.75</v>
      </c>
      <c r="F921" s="788">
        <v>39101</v>
      </c>
      <c r="G921" s="788">
        <v>41943</v>
      </c>
      <c r="H921" s="787">
        <v>1</v>
      </c>
      <c r="I921" s="788">
        <v>39134</v>
      </c>
      <c r="J921" s="788">
        <v>39664</v>
      </c>
      <c r="L921" s="787">
        <v>0.81</v>
      </c>
      <c r="M921" s="787">
        <v>10</v>
      </c>
      <c r="N921" s="787">
        <v>1.76</v>
      </c>
      <c r="O921" s="788">
        <v>41955</v>
      </c>
    </row>
    <row r="922" spans="1:15" x14ac:dyDescent="0.25">
      <c r="A922" s="786" t="s">
        <v>2372</v>
      </c>
      <c r="B922" s="787">
        <v>4</v>
      </c>
      <c r="C922" s="787" t="s">
        <v>2373</v>
      </c>
      <c r="D922" s="787">
        <v>7.72</v>
      </c>
      <c r="E922" s="787">
        <v>7.72</v>
      </c>
      <c r="F922" s="788">
        <v>39101</v>
      </c>
      <c r="G922" s="788">
        <v>39101</v>
      </c>
      <c r="H922" s="787">
        <v>6</v>
      </c>
      <c r="I922" s="788">
        <v>40532</v>
      </c>
      <c r="J922" s="788">
        <v>39101</v>
      </c>
      <c r="L922" s="787">
        <v>35.17</v>
      </c>
      <c r="M922" s="787">
        <v>10</v>
      </c>
      <c r="N922" s="787">
        <v>41.4</v>
      </c>
      <c r="O922" s="788">
        <v>41808</v>
      </c>
    </row>
    <row r="923" spans="1:15" x14ac:dyDescent="0.25">
      <c r="A923" s="786" t="s">
        <v>2374</v>
      </c>
      <c r="B923" s="787">
        <v>4</v>
      </c>
      <c r="C923" s="787" t="s">
        <v>2375</v>
      </c>
      <c r="D923" s="787">
        <v>2.1</v>
      </c>
      <c r="E923" s="787">
        <v>3.48</v>
      </c>
      <c r="F923" s="788">
        <v>39101</v>
      </c>
      <c r="G923" s="788">
        <v>40095</v>
      </c>
      <c r="H923" s="787">
        <v>1</v>
      </c>
      <c r="I923" s="788">
        <v>42061</v>
      </c>
      <c r="J923" s="788">
        <v>42059</v>
      </c>
      <c r="K923" s="788">
        <v>41808</v>
      </c>
      <c r="L923" s="787">
        <v>3.48</v>
      </c>
      <c r="M923" s="787">
        <v>20</v>
      </c>
      <c r="N923" s="787">
        <v>3.74</v>
      </c>
      <c r="O923" s="788">
        <v>42156</v>
      </c>
    </row>
    <row r="924" spans="1:15" x14ac:dyDescent="0.25">
      <c r="A924" s="786" t="s">
        <v>2376</v>
      </c>
      <c r="B924" s="787">
        <v>4</v>
      </c>
      <c r="C924" s="787" t="s">
        <v>2377</v>
      </c>
      <c r="D924" s="787">
        <v>1.98</v>
      </c>
      <c r="E924" s="787">
        <v>1.98</v>
      </c>
      <c r="F924" s="788">
        <v>37637</v>
      </c>
      <c r="G924" s="788">
        <v>37637</v>
      </c>
      <c r="H924" s="787">
        <v>6</v>
      </c>
      <c r="J924" s="788">
        <v>37637</v>
      </c>
      <c r="L924" s="787">
        <v>1.98</v>
      </c>
      <c r="M924" s="787">
        <v>10</v>
      </c>
      <c r="N924" s="787">
        <v>0</v>
      </c>
      <c r="O924" s="788">
        <v>41806</v>
      </c>
    </row>
    <row r="925" spans="1:15" x14ac:dyDescent="0.25">
      <c r="A925" s="786" t="s">
        <v>2378</v>
      </c>
      <c r="B925" s="787">
        <v>4</v>
      </c>
      <c r="C925" s="787" t="s">
        <v>2379</v>
      </c>
      <c r="D925" s="787">
        <v>8.51</v>
      </c>
      <c r="E925" s="787">
        <v>8.51</v>
      </c>
      <c r="F925" s="788">
        <v>38047</v>
      </c>
      <c r="G925" s="788">
        <v>38047</v>
      </c>
      <c r="H925" s="787">
        <v>1</v>
      </c>
      <c r="I925" s="788">
        <v>39148</v>
      </c>
      <c r="J925" s="788">
        <v>38047</v>
      </c>
      <c r="L925" s="787">
        <v>9.2799999999999994</v>
      </c>
      <c r="M925" s="787">
        <v>20</v>
      </c>
      <c r="N925" s="787">
        <v>9.98</v>
      </c>
      <c r="O925" s="788">
        <v>41955</v>
      </c>
    </row>
    <row r="926" spans="1:15" x14ac:dyDescent="0.25">
      <c r="A926" s="786" t="s">
        <v>2380</v>
      </c>
      <c r="B926" s="787">
        <v>4</v>
      </c>
      <c r="C926" s="787" t="s">
        <v>2381</v>
      </c>
      <c r="D926" s="787">
        <v>0.71</v>
      </c>
      <c r="E926" s="787">
        <v>0.71</v>
      </c>
      <c r="F926" s="788">
        <v>37637</v>
      </c>
      <c r="G926" s="788">
        <v>37637</v>
      </c>
      <c r="H926" s="787">
        <v>1</v>
      </c>
      <c r="I926" s="788">
        <v>36949</v>
      </c>
      <c r="J926" s="788">
        <v>37637</v>
      </c>
      <c r="L926" s="787">
        <v>0.32</v>
      </c>
      <c r="M926" s="787">
        <v>10</v>
      </c>
      <c r="N926" s="787">
        <v>0.76</v>
      </c>
      <c r="O926" s="788">
        <v>41955</v>
      </c>
    </row>
    <row r="927" spans="1:15" x14ac:dyDescent="0.25">
      <c r="A927" s="786" t="s">
        <v>2382</v>
      </c>
      <c r="B927" s="787">
        <v>4</v>
      </c>
      <c r="C927" s="787" t="s">
        <v>2383</v>
      </c>
      <c r="D927" s="787">
        <v>1.5</v>
      </c>
      <c r="E927" s="787">
        <v>1.5</v>
      </c>
      <c r="F927" s="788">
        <v>37637</v>
      </c>
      <c r="G927" s="788">
        <v>42037</v>
      </c>
      <c r="H927" s="787">
        <v>1</v>
      </c>
      <c r="I927" s="788">
        <v>42089</v>
      </c>
      <c r="J927" s="788">
        <v>42090</v>
      </c>
      <c r="L927" s="787">
        <v>0.72</v>
      </c>
      <c r="M927" s="787">
        <v>10</v>
      </c>
      <c r="N927" s="787">
        <v>1.7</v>
      </c>
      <c r="O927" s="788">
        <v>41955</v>
      </c>
    </row>
    <row r="928" spans="1:15" x14ac:dyDescent="0.25">
      <c r="A928" s="786" t="s">
        <v>2384</v>
      </c>
      <c r="B928" s="787">
        <v>4</v>
      </c>
      <c r="C928" s="787" t="s">
        <v>2385</v>
      </c>
      <c r="D928" s="787">
        <v>2.71</v>
      </c>
      <c r="E928" s="787">
        <v>2.71</v>
      </c>
      <c r="F928" s="788">
        <v>39101</v>
      </c>
      <c r="G928" s="788">
        <v>41897</v>
      </c>
      <c r="H928" s="787">
        <v>1</v>
      </c>
      <c r="I928" s="788">
        <v>41894</v>
      </c>
      <c r="J928" s="788">
        <v>41897</v>
      </c>
      <c r="L928" s="787">
        <v>1.1200000000000001</v>
      </c>
      <c r="M928" s="787">
        <v>10</v>
      </c>
      <c r="N928" s="787">
        <v>1.84</v>
      </c>
      <c r="O928" s="788">
        <v>42162</v>
      </c>
    </row>
    <row r="929" spans="1:15" x14ac:dyDescent="0.25">
      <c r="A929" s="786" t="s">
        <v>2386</v>
      </c>
      <c r="B929" s="787">
        <v>4</v>
      </c>
      <c r="C929" s="787" t="s">
        <v>2387</v>
      </c>
      <c r="D929" s="787">
        <v>4.42</v>
      </c>
      <c r="E929" s="787">
        <v>4.5</v>
      </c>
      <c r="F929" s="788">
        <v>40239</v>
      </c>
      <c r="G929" s="788">
        <v>42165</v>
      </c>
      <c r="H929" s="787">
        <v>1</v>
      </c>
      <c r="I929" s="788">
        <v>42163</v>
      </c>
      <c r="J929" s="788">
        <v>42142</v>
      </c>
      <c r="K929" s="788">
        <v>40199</v>
      </c>
      <c r="L929" s="787">
        <v>4.42</v>
      </c>
      <c r="M929" s="787">
        <v>20</v>
      </c>
      <c r="N929" s="787">
        <v>4.75</v>
      </c>
      <c r="O929" s="788">
        <v>42163</v>
      </c>
    </row>
    <row r="930" spans="1:15" x14ac:dyDescent="0.25">
      <c r="A930" s="786" t="s">
        <v>2388</v>
      </c>
      <c r="B930" s="787">
        <v>4</v>
      </c>
      <c r="C930" s="787" t="s">
        <v>2389</v>
      </c>
      <c r="D930" s="787">
        <v>0.77</v>
      </c>
      <c r="E930" s="787">
        <v>0.77</v>
      </c>
      <c r="F930" s="788">
        <v>37637</v>
      </c>
      <c r="G930" s="788">
        <v>37637</v>
      </c>
      <c r="H930" s="787">
        <v>1</v>
      </c>
      <c r="J930" s="788">
        <v>37637</v>
      </c>
      <c r="L930" s="787">
        <v>0</v>
      </c>
      <c r="M930" s="787">
        <v>10</v>
      </c>
      <c r="N930" s="787">
        <v>1.1599999999999999</v>
      </c>
      <c r="O930" s="788">
        <v>41955</v>
      </c>
    </row>
    <row r="931" spans="1:15" x14ac:dyDescent="0.25">
      <c r="A931" s="786" t="s">
        <v>2390</v>
      </c>
      <c r="B931" s="787">
        <v>4</v>
      </c>
      <c r="C931" s="787" t="s">
        <v>2391</v>
      </c>
      <c r="D931" s="787">
        <v>1.05</v>
      </c>
      <c r="E931" s="787">
        <v>1.05</v>
      </c>
      <c r="F931" s="788">
        <v>39101</v>
      </c>
      <c r="G931" s="788">
        <v>41738</v>
      </c>
      <c r="H931" s="787">
        <v>1</v>
      </c>
      <c r="I931" s="788">
        <v>41737</v>
      </c>
      <c r="J931" s="788">
        <v>41738</v>
      </c>
      <c r="L931" s="787">
        <v>20.260000000000002</v>
      </c>
      <c r="M931" s="787">
        <v>10</v>
      </c>
      <c r="N931" s="787">
        <v>22.62</v>
      </c>
      <c r="O931" s="788">
        <v>42162</v>
      </c>
    </row>
    <row r="932" spans="1:15" x14ac:dyDescent="0.25">
      <c r="A932" s="786" t="s">
        <v>2392</v>
      </c>
      <c r="B932" s="787">
        <v>4</v>
      </c>
      <c r="C932" s="787" t="s">
        <v>2393</v>
      </c>
      <c r="D932" s="787">
        <v>3.28</v>
      </c>
      <c r="E932" s="787">
        <v>3.28</v>
      </c>
      <c r="F932" s="788">
        <v>37637</v>
      </c>
      <c r="G932" s="788">
        <v>37637</v>
      </c>
      <c r="H932" s="787">
        <v>6</v>
      </c>
      <c r="J932" s="788">
        <v>37637</v>
      </c>
      <c r="L932" s="787">
        <v>3.28</v>
      </c>
      <c r="M932" s="787">
        <v>10</v>
      </c>
      <c r="N932" s="787">
        <v>0</v>
      </c>
      <c r="O932" s="788">
        <v>41806</v>
      </c>
    </row>
    <row r="933" spans="1:15" x14ac:dyDescent="0.25">
      <c r="A933" s="786" t="s">
        <v>2394</v>
      </c>
      <c r="B933" s="787">
        <v>4</v>
      </c>
      <c r="C933" s="787" t="s">
        <v>2395</v>
      </c>
      <c r="D933" s="787">
        <v>3.51</v>
      </c>
      <c r="E933" s="787">
        <v>3.51</v>
      </c>
      <c r="F933" s="788">
        <v>37637</v>
      </c>
      <c r="G933" s="788">
        <v>37637</v>
      </c>
      <c r="H933" s="787">
        <v>1</v>
      </c>
      <c r="I933" s="788">
        <v>40619</v>
      </c>
      <c r="J933" s="788">
        <v>37637</v>
      </c>
      <c r="L933" s="787">
        <v>1.75</v>
      </c>
      <c r="M933" s="787">
        <v>10</v>
      </c>
      <c r="N933" s="787">
        <v>3.56</v>
      </c>
      <c r="O933" s="788">
        <v>41955</v>
      </c>
    </row>
    <row r="934" spans="1:15" x14ac:dyDescent="0.25">
      <c r="A934" s="786" t="s">
        <v>2396</v>
      </c>
      <c r="B934" s="787">
        <v>4</v>
      </c>
      <c r="C934" s="787" t="s">
        <v>2397</v>
      </c>
      <c r="D934" s="787">
        <v>0.4</v>
      </c>
      <c r="E934" s="787">
        <v>0.41</v>
      </c>
      <c r="F934" s="788">
        <v>39456</v>
      </c>
      <c r="G934" s="788">
        <v>41943</v>
      </c>
      <c r="H934" s="787">
        <v>1</v>
      </c>
      <c r="I934" s="788">
        <v>39134</v>
      </c>
      <c r="J934" s="788">
        <v>39167</v>
      </c>
      <c r="L934" s="787">
        <v>0.4</v>
      </c>
      <c r="M934" s="787">
        <v>10</v>
      </c>
      <c r="N934" s="787">
        <v>0.82</v>
      </c>
      <c r="O934" s="788">
        <v>41955</v>
      </c>
    </row>
    <row r="935" spans="1:15" x14ac:dyDescent="0.25">
      <c r="A935" s="786" t="s">
        <v>2398</v>
      </c>
      <c r="B935" s="787">
        <v>4</v>
      </c>
      <c r="C935" s="787" t="s">
        <v>2399</v>
      </c>
      <c r="D935" s="787">
        <v>0.22</v>
      </c>
      <c r="E935" s="787">
        <v>0.22</v>
      </c>
      <c r="F935" s="788">
        <v>41674</v>
      </c>
      <c r="G935" s="788">
        <v>41666</v>
      </c>
      <c r="H935" s="787">
        <v>1</v>
      </c>
      <c r="J935" s="788">
        <v>41666</v>
      </c>
      <c r="K935" s="788">
        <v>41869</v>
      </c>
      <c r="L935" s="787">
        <v>0.22</v>
      </c>
      <c r="M935" s="787">
        <v>20</v>
      </c>
      <c r="N935" s="787">
        <v>0.24</v>
      </c>
      <c r="O935" s="788">
        <v>41955</v>
      </c>
    </row>
    <row r="936" spans="1:15" x14ac:dyDescent="0.25">
      <c r="A936" s="786" t="s">
        <v>2400</v>
      </c>
      <c r="B936" s="787">
        <v>4</v>
      </c>
      <c r="C936" s="787" t="s">
        <v>2401</v>
      </c>
      <c r="D936" s="787">
        <v>5.81</v>
      </c>
      <c r="E936" s="787">
        <v>34.86</v>
      </c>
      <c r="F936" s="788">
        <v>41674</v>
      </c>
      <c r="G936" s="788">
        <v>41703</v>
      </c>
      <c r="H936" s="787">
        <v>1</v>
      </c>
      <c r="J936" s="788">
        <v>41667</v>
      </c>
      <c r="K936" s="788">
        <v>41698</v>
      </c>
      <c r="L936" s="787">
        <v>34.86</v>
      </c>
      <c r="M936" s="787">
        <v>20</v>
      </c>
      <c r="N936" s="787">
        <v>37.47</v>
      </c>
      <c r="O936" s="788">
        <v>41955</v>
      </c>
    </row>
    <row r="937" spans="1:15" x14ac:dyDescent="0.25">
      <c r="A937" s="786" t="s">
        <v>2402</v>
      </c>
      <c r="B937" s="787">
        <v>4</v>
      </c>
      <c r="C937" s="787" t="s">
        <v>2403</v>
      </c>
      <c r="D937" s="787">
        <v>1.7</v>
      </c>
      <c r="E937" s="787">
        <v>1.7</v>
      </c>
      <c r="F937" s="788">
        <v>39101</v>
      </c>
      <c r="G937" s="788">
        <v>41599</v>
      </c>
      <c r="H937" s="787">
        <v>1</v>
      </c>
      <c r="I937" s="788">
        <v>41491</v>
      </c>
      <c r="J937" s="788">
        <v>41599</v>
      </c>
      <c r="L937" s="787">
        <v>1.03</v>
      </c>
      <c r="M937" s="787">
        <v>10</v>
      </c>
      <c r="N937" s="787">
        <v>1.64</v>
      </c>
      <c r="O937" s="788">
        <v>42144</v>
      </c>
    </row>
    <row r="938" spans="1:15" x14ac:dyDescent="0.25">
      <c r="A938" s="786" t="s">
        <v>2404</v>
      </c>
      <c r="B938" s="787">
        <v>4</v>
      </c>
      <c r="C938" s="787" t="s">
        <v>2405</v>
      </c>
      <c r="D938" s="787">
        <v>1.7</v>
      </c>
      <c r="E938" s="787">
        <v>1.7</v>
      </c>
      <c r="F938" s="788">
        <v>39101</v>
      </c>
      <c r="G938" s="788">
        <v>39101</v>
      </c>
      <c r="H938" s="787">
        <v>1</v>
      </c>
      <c r="I938" s="788">
        <v>40940</v>
      </c>
      <c r="J938" s="788">
        <v>39101</v>
      </c>
      <c r="L938" s="787">
        <v>2.9</v>
      </c>
      <c r="M938" s="787">
        <v>10</v>
      </c>
      <c r="N938" s="787">
        <v>5.23</v>
      </c>
      <c r="O938" s="788">
        <v>42162</v>
      </c>
    </row>
    <row r="939" spans="1:15" x14ac:dyDescent="0.25">
      <c r="A939" s="786" t="s">
        <v>2406</v>
      </c>
      <c r="B939" s="787">
        <v>4</v>
      </c>
      <c r="C939" s="787" t="s">
        <v>2407</v>
      </c>
      <c r="D939" s="787">
        <v>0.28999999999999998</v>
      </c>
      <c r="E939" s="787">
        <v>2.64</v>
      </c>
      <c r="F939" s="788">
        <v>39456</v>
      </c>
      <c r="G939" s="788">
        <v>42118</v>
      </c>
      <c r="H939" s="787">
        <v>1</v>
      </c>
      <c r="I939" s="788">
        <v>42163</v>
      </c>
      <c r="J939" s="788">
        <v>42088</v>
      </c>
      <c r="L939" s="787">
        <v>1.04</v>
      </c>
      <c r="M939" s="787">
        <v>10</v>
      </c>
      <c r="N939" s="787">
        <v>2.0299999999999998</v>
      </c>
      <c r="O939" s="788">
        <v>42163</v>
      </c>
    </row>
    <row r="940" spans="1:15" x14ac:dyDescent="0.25">
      <c r="A940" s="786" t="s">
        <v>2408</v>
      </c>
      <c r="B940" s="787">
        <v>4</v>
      </c>
      <c r="C940" s="787" t="s">
        <v>2409</v>
      </c>
      <c r="D940" s="787">
        <v>8.01</v>
      </c>
      <c r="E940" s="787">
        <v>28.01</v>
      </c>
      <c r="F940" s="788">
        <v>38047</v>
      </c>
      <c r="G940" s="788">
        <v>38047</v>
      </c>
      <c r="H940" s="787">
        <v>1</v>
      </c>
      <c r="I940" s="788">
        <v>37769</v>
      </c>
      <c r="J940" s="788">
        <v>38047</v>
      </c>
      <c r="L940" s="787">
        <v>30.53</v>
      </c>
      <c r="M940" s="787">
        <v>20</v>
      </c>
      <c r="N940" s="787">
        <v>32.82</v>
      </c>
      <c r="O940" s="788">
        <v>41955</v>
      </c>
    </row>
    <row r="941" spans="1:15" x14ac:dyDescent="0.25">
      <c r="A941" s="786" t="s">
        <v>2410</v>
      </c>
      <c r="B941" s="787">
        <v>4</v>
      </c>
      <c r="C941" s="787" t="s">
        <v>2411</v>
      </c>
      <c r="D941" s="787">
        <v>8.01</v>
      </c>
      <c r="E941" s="787">
        <v>28.01</v>
      </c>
      <c r="F941" s="788">
        <v>38047</v>
      </c>
      <c r="G941" s="788">
        <v>38047</v>
      </c>
      <c r="H941" s="787">
        <v>1</v>
      </c>
      <c r="I941" s="788">
        <v>37769</v>
      </c>
      <c r="J941" s="788">
        <v>38047</v>
      </c>
      <c r="L941" s="787">
        <v>30.53</v>
      </c>
      <c r="M941" s="787">
        <v>20</v>
      </c>
      <c r="N941" s="787">
        <v>32.82</v>
      </c>
      <c r="O941" s="788">
        <v>41955</v>
      </c>
    </row>
    <row r="942" spans="1:15" x14ac:dyDescent="0.25">
      <c r="A942" s="786" t="s">
        <v>2412</v>
      </c>
      <c r="B942" s="787">
        <v>4</v>
      </c>
      <c r="C942" s="787" t="s">
        <v>2413</v>
      </c>
      <c r="D942" s="787">
        <v>0</v>
      </c>
      <c r="E942" s="787">
        <v>0</v>
      </c>
      <c r="G942" s="788">
        <v>41870</v>
      </c>
      <c r="H942" s="787">
        <v>1</v>
      </c>
      <c r="I942" s="788">
        <v>41869</v>
      </c>
      <c r="J942" s="788">
        <v>41870</v>
      </c>
      <c r="K942" s="788">
        <v>41415</v>
      </c>
      <c r="L942" s="787">
        <v>0.01</v>
      </c>
      <c r="M942" s="787">
        <v>10</v>
      </c>
      <c r="N942" s="787">
        <v>3.69</v>
      </c>
      <c r="O942" s="788">
        <v>42035</v>
      </c>
    </row>
    <row r="943" spans="1:15" x14ac:dyDescent="0.25">
      <c r="A943" s="786" t="s">
        <v>2414</v>
      </c>
      <c r="B943" s="787">
        <v>4</v>
      </c>
      <c r="C943" s="787" t="s">
        <v>2415</v>
      </c>
      <c r="D943" s="787">
        <v>2.67</v>
      </c>
      <c r="E943" s="787">
        <v>2.67</v>
      </c>
      <c r="F943" s="788">
        <v>37637</v>
      </c>
      <c r="G943" s="788">
        <v>38364</v>
      </c>
      <c r="H943" s="787">
        <v>1</v>
      </c>
      <c r="I943" s="788">
        <v>38736</v>
      </c>
      <c r="J943" s="788">
        <v>37637</v>
      </c>
      <c r="L943" s="787">
        <v>1.31</v>
      </c>
      <c r="M943" s="787">
        <v>10</v>
      </c>
      <c r="N943" s="787">
        <v>3.36</v>
      </c>
      <c r="O943" s="788">
        <v>41955</v>
      </c>
    </row>
    <row r="944" spans="1:15" x14ac:dyDescent="0.25">
      <c r="A944" s="786" t="s">
        <v>2416</v>
      </c>
      <c r="B944" s="787">
        <v>4</v>
      </c>
      <c r="C944" s="787" t="s">
        <v>2415</v>
      </c>
      <c r="D944" s="787">
        <v>3.82</v>
      </c>
      <c r="E944" s="787">
        <v>3.82</v>
      </c>
      <c r="F944" s="788">
        <v>37637</v>
      </c>
      <c r="G944" s="788">
        <v>38364</v>
      </c>
      <c r="H944" s="787">
        <v>1</v>
      </c>
      <c r="I944" s="788">
        <v>38736</v>
      </c>
      <c r="J944" s="788">
        <v>37637</v>
      </c>
      <c r="L944" s="787">
        <v>1.88</v>
      </c>
      <c r="M944" s="787">
        <v>10</v>
      </c>
      <c r="N944" s="787">
        <v>4.8</v>
      </c>
      <c r="O944" s="788">
        <v>41955</v>
      </c>
    </row>
    <row r="945" spans="1:15" x14ac:dyDescent="0.25">
      <c r="A945" s="786" t="s">
        <v>2417</v>
      </c>
      <c r="B945" s="787">
        <v>4</v>
      </c>
      <c r="C945" s="787" t="s">
        <v>2415</v>
      </c>
      <c r="D945" s="787">
        <v>2.67</v>
      </c>
      <c r="E945" s="787">
        <v>2.67</v>
      </c>
      <c r="F945" s="788">
        <v>37637</v>
      </c>
      <c r="G945" s="788">
        <v>37637</v>
      </c>
      <c r="H945" s="787">
        <v>1</v>
      </c>
      <c r="J945" s="788">
        <v>37637</v>
      </c>
      <c r="L945" s="787">
        <v>1.31</v>
      </c>
      <c r="M945" s="787">
        <v>10</v>
      </c>
      <c r="N945" s="787">
        <v>3.36</v>
      </c>
      <c r="O945" s="788">
        <v>41955</v>
      </c>
    </row>
    <row r="946" spans="1:15" x14ac:dyDescent="0.25">
      <c r="A946" s="786" t="s">
        <v>2418</v>
      </c>
      <c r="B946" s="787">
        <v>4</v>
      </c>
      <c r="C946" s="787" t="s">
        <v>2419</v>
      </c>
      <c r="D946" s="787">
        <v>3.8</v>
      </c>
      <c r="E946" s="787">
        <v>3.8</v>
      </c>
      <c r="F946" s="788">
        <v>39101</v>
      </c>
      <c r="G946" s="788">
        <v>39101</v>
      </c>
      <c r="H946" s="787">
        <v>1</v>
      </c>
      <c r="I946" s="788">
        <v>39134</v>
      </c>
      <c r="J946" s="788">
        <v>39149</v>
      </c>
      <c r="L946" s="787">
        <v>3.8</v>
      </c>
      <c r="M946" s="787">
        <v>20</v>
      </c>
      <c r="N946" s="787">
        <v>4.09</v>
      </c>
      <c r="O946" s="788">
        <v>41955</v>
      </c>
    </row>
    <row r="947" spans="1:15" x14ac:dyDescent="0.25">
      <c r="A947" s="786" t="s">
        <v>2420</v>
      </c>
      <c r="B947" s="787">
        <v>4</v>
      </c>
      <c r="C947" s="787" t="s">
        <v>2421</v>
      </c>
      <c r="D947" s="787">
        <v>5.26</v>
      </c>
      <c r="E947" s="787">
        <v>15.26</v>
      </c>
      <c r="F947" s="788">
        <v>37637</v>
      </c>
      <c r="G947" s="788">
        <v>37637</v>
      </c>
      <c r="H947" s="787">
        <v>1</v>
      </c>
      <c r="I947" s="788">
        <v>41108</v>
      </c>
      <c r="J947" s="788">
        <v>37637</v>
      </c>
      <c r="L947" s="787">
        <v>0.92</v>
      </c>
      <c r="M947" s="787">
        <v>10</v>
      </c>
      <c r="N947" s="787">
        <v>1.69</v>
      </c>
      <c r="O947" s="788">
        <v>41955</v>
      </c>
    </row>
    <row r="948" spans="1:15" x14ac:dyDescent="0.25">
      <c r="A948" s="786" t="s">
        <v>2422</v>
      </c>
      <c r="B948" s="787">
        <v>4</v>
      </c>
      <c r="C948" s="787" t="s">
        <v>2423</v>
      </c>
      <c r="D948" s="787">
        <v>0.48</v>
      </c>
      <c r="E948" s="787">
        <v>0.48</v>
      </c>
      <c r="F948" s="788">
        <v>37637</v>
      </c>
      <c r="G948" s="788">
        <v>37637</v>
      </c>
      <c r="H948" s="787">
        <v>1</v>
      </c>
      <c r="J948" s="788">
        <v>37637</v>
      </c>
      <c r="L948" s="787">
        <v>0.12</v>
      </c>
      <c r="M948" s="787">
        <v>10</v>
      </c>
      <c r="N948" s="787">
        <v>0</v>
      </c>
      <c r="O948" s="788">
        <v>41955</v>
      </c>
    </row>
    <row r="949" spans="1:15" x14ac:dyDescent="0.25">
      <c r="A949" s="786" t="s">
        <v>2424</v>
      </c>
      <c r="B949" s="787">
        <v>4</v>
      </c>
      <c r="C949" s="787" t="s">
        <v>2425</v>
      </c>
      <c r="D949" s="787">
        <v>0.37</v>
      </c>
      <c r="E949" s="787">
        <v>0.37</v>
      </c>
      <c r="F949" s="788">
        <v>37637</v>
      </c>
      <c r="G949" s="788">
        <v>37637</v>
      </c>
      <c r="H949" s="787">
        <v>1</v>
      </c>
      <c r="I949" s="788">
        <v>37907</v>
      </c>
      <c r="J949" s="788">
        <v>37637</v>
      </c>
      <c r="L949" s="787">
        <v>1.98</v>
      </c>
      <c r="M949" s="787">
        <v>10</v>
      </c>
      <c r="N949" s="787">
        <v>4.16</v>
      </c>
      <c r="O949" s="788">
        <v>41955</v>
      </c>
    </row>
    <row r="950" spans="1:15" x14ac:dyDescent="0.25">
      <c r="A950" s="786" t="s">
        <v>2426</v>
      </c>
      <c r="B950" s="787">
        <v>4</v>
      </c>
      <c r="C950" s="787" t="s">
        <v>2427</v>
      </c>
      <c r="D950" s="787">
        <v>0.12</v>
      </c>
      <c r="E950" s="787">
        <v>0.48</v>
      </c>
      <c r="F950" s="788">
        <v>39100</v>
      </c>
      <c r="G950" s="788">
        <v>42086</v>
      </c>
      <c r="H950" s="787">
        <v>1</v>
      </c>
      <c r="I950" s="788">
        <v>42166</v>
      </c>
      <c r="J950" s="788">
        <v>42068</v>
      </c>
      <c r="K950" s="788">
        <v>42052</v>
      </c>
      <c r="L950" s="787">
        <v>0.48</v>
      </c>
      <c r="M950" s="787">
        <v>20</v>
      </c>
      <c r="N950" s="787">
        <v>0.52</v>
      </c>
      <c r="O950" s="788">
        <v>42162</v>
      </c>
    </row>
    <row r="951" spans="1:15" x14ac:dyDescent="0.25">
      <c r="A951" s="786" t="s">
        <v>2428</v>
      </c>
      <c r="B951" s="787">
        <v>4</v>
      </c>
      <c r="C951" s="787" t="s">
        <v>2429</v>
      </c>
      <c r="D951" s="787">
        <v>0.69</v>
      </c>
      <c r="E951" s="787">
        <v>0.69</v>
      </c>
      <c r="F951" s="788">
        <v>37637</v>
      </c>
      <c r="G951" s="788">
        <v>37637</v>
      </c>
      <c r="H951" s="787">
        <v>6</v>
      </c>
      <c r="I951" s="788">
        <v>37594</v>
      </c>
      <c r="J951" s="788">
        <v>37637</v>
      </c>
      <c r="L951" s="787">
        <v>0.69</v>
      </c>
      <c r="M951" s="787">
        <v>10</v>
      </c>
      <c r="N951" s="787">
        <v>0</v>
      </c>
      <c r="O951" s="788">
        <v>41806</v>
      </c>
    </row>
    <row r="952" spans="1:15" x14ac:dyDescent="0.25">
      <c r="A952" s="786" t="s">
        <v>2430</v>
      </c>
      <c r="B952" s="787">
        <v>4</v>
      </c>
      <c r="C952" s="787" t="s">
        <v>2431</v>
      </c>
      <c r="D952" s="787">
        <v>1.99</v>
      </c>
      <c r="E952" s="787">
        <v>3.55</v>
      </c>
      <c r="F952" s="788">
        <v>39456</v>
      </c>
      <c r="G952" s="788">
        <v>42013</v>
      </c>
      <c r="H952" s="787">
        <v>1</v>
      </c>
      <c r="I952" s="788">
        <v>42074</v>
      </c>
      <c r="J952" s="788">
        <v>41884</v>
      </c>
      <c r="L952" s="787">
        <v>4.07</v>
      </c>
      <c r="M952" s="787">
        <v>10</v>
      </c>
      <c r="N952" s="787">
        <v>2.91</v>
      </c>
      <c r="O952" s="788">
        <v>42159</v>
      </c>
    </row>
    <row r="953" spans="1:15" x14ac:dyDescent="0.25">
      <c r="A953" s="786" t="s">
        <v>2432</v>
      </c>
      <c r="B953" s="787">
        <v>4</v>
      </c>
      <c r="C953" s="787" t="s">
        <v>2433</v>
      </c>
      <c r="D953" s="787">
        <v>2.13</v>
      </c>
      <c r="E953" s="787">
        <v>412.13</v>
      </c>
      <c r="F953" s="788">
        <v>41695</v>
      </c>
      <c r="G953" s="788">
        <v>41745</v>
      </c>
      <c r="H953" s="787">
        <v>1</v>
      </c>
      <c r="J953" s="788">
        <v>41691</v>
      </c>
      <c r="K953" s="788">
        <v>41695</v>
      </c>
      <c r="L953" s="787">
        <v>334</v>
      </c>
      <c r="M953" s="787">
        <v>20</v>
      </c>
      <c r="N953" s="787">
        <v>359.05</v>
      </c>
      <c r="O953" s="788">
        <v>41955</v>
      </c>
    </row>
    <row r="954" spans="1:15" x14ac:dyDescent="0.25">
      <c r="A954" s="786" t="s">
        <v>2434</v>
      </c>
      <c r="B954" s="787">
        <v>4</v>
      </c>
      <c r="C954" s="787" t="s">
        <v>2435</v>
      </c>
      <c r="D954" s="787">
        <v>0.87</v>
      </c>
      <c r="E954" s="787">
        <v>220.87</v>
      </c>
      <c r="F954" s="788">
        <v>41695</v>
      </c>
      <c r="G954" s="788">
        <v>41745</v>
      </c>
      <c r="H954" s="787">
        <v>1</v>
      </c>
      <c r="J954" s="788">
        <v>41691</v>
      </c>
      <c r="L954" s="787">
        <v>220.87</v>
      </c>
      <c r="M954" s="787">
        <v>20</v>
      </c>
      <c r="N954" s="787">
        <v>237.44</v>
      </c>
      <c r="O954" s="788">
        <v>41955</v>
      </c>
    </row>
    <row r="955" spans="1:15" x14ac:dyDescent="0.25">
      <c r="A955" s="786" t="s">
        <v>2436</v>
      </c>
      <c r="B955" s="787">
        <v>4</v>
      </c>
      <c r="C955" s="787" t="s">
        <v>2437</v>
      </c>
      <c r="D955" s="787">
        <v>4</v>
      </c>
      <c r="E955" s="787">
        <v>314</v>
      </c>
      <c r="F955" s="788">
        <v>41680</v>
      </c>
      <c r="G955" s="788">
        <v>41757</v>
      </c>
      <c r="H955" s="787">
        <v>1</v>
      </c>
      <c r="J955" s="788">
        <v>41680</v>
      </c>
      <c r="K955" s="788">
        <v>41680</v>
      </c>
      <c r="L955" s="787">
        <v>200</v>
      </c>
      <c r="M955" s="787">
        <v>20</v>
      </c>
      <c r="N955" s="787">
        <v>215</v>
      </c>
      <c r="O955" s="788">
        <v>41955</v>
      </c>
    </row>
    <row r="956" spans="1:15" x14ac:dyDescent="0.25">
      <c r="A956" s="786" t="s">
        <v>2438</v>
      </c>
      <c r="B956" s="787">
        <v>4</v>
      </c>
      <c r="C956" s="787" t="s">
        <v>2439</v>
      </c>
      <c r="D956" s="787">
        <v>8</v>
      </c>
      <c r="E956" s="787">
        <v>208</v>
      </c>
      <c r="F956" s="788">
        <v>41680</v>
      </c>
      <c r="G956" s="788">
        <v>41757</v>
      </c>
      <c r="H956" s="787">
        <v>1</v>
      </c>
      <c r="J956" s="788">
        <v>41680</v>
      </c>
      <c r="K956" s="788">
        <v>41680</v>
      </c>
      <c r="L956" s="787">
        <v>200</v>
      </c>
      <c r="M956" s="787">
        <v>20</v>
      </c>
      <c r="N956" s="787">
        <v>215</v>
      </c>
      <c r="O956" s="788">
        <v>41955</v>
      </c>
    </row>
    <row r="957" spans="1:15" x14ac:dyDescent="0.25">
      <c r="A957" s="786" t="s">
        <v>2440</v>
      </c>
      <c r="B957" s="787">
        <v>4</v>
      </c>
      <c r="C957" s="787" t="s">
        <v>2441</v>
      </c>
      <c r="D957" s="787">
        <v>8.42</v>
      </c>
      <c r="E957" s="787">
        <v>38.42</v>
      </c>
      <c r="F957" s="788">
        <v>41674</v>
      </c>
      <c r="G957" s="788">
        <v>41667</v>
      </c>
      <c r="H957" s="787">
        <v>1</v>
      </c>
      <c r="J957" s="788">
        <v>41667</v>
      </c>
      <c r="L957" s="787">
        <v>38.42</v>
      </c>
      <c r="M957" s="787">
        <v>20</v>
      </c>
      <c r="N957" s="787">
        <v>41.3</v>
      </c>
      <c r="O957" s="788">
        <v>41955</v>
      </c>
    </row>
    <row r="958" spans="1:15" x14ac:dyDescent="0.25">
      <c r="A958" s="786" t="s">
        <v>2442</v>
      </c>
      <c r="B958" s="787">
        <v>4</v>
      </c>
      <c r="C958" s="787" t="s">
        <v>2443</v>
      </c>
      <c r="D958" s="787">
        <v>8.41</v>
      </c>
      <c r="E958" s="787">
        <v>8.41</v>
      </c>
      <c r="F958" s="788">
        <v>38047</v>
      </c>
      <c r="G958" s="788">
        <v>38047</v>
      </c>
      <c r="H958" s="787">
        <v>1</v>
      </c>
      <c r="I958" s="788">
        <v>37769</v>
      </c>
      <c r="J958" s="788">
        <v>38047</v>
      </c>
      <c r="L958" s="787">
        <v>9.17</v>
      </c>
      <c r="M958" s="787">
        <v>20</v>
      </c>
      <c r="N958" s="787">
        <v>9.86</v>
      </c>
      <c r="O958" s="788">
        <v>41955</v>
      </c>
    </row>
    <row r="959" spans="1:15" x14ac:dyDescent="0.25">
      <c r="A959" s="786" t="s">
        <v>2444</v>
      </c>
      <c r="B959" s="787">
        <v>4</v>
      </c>
      <c r="C959" s="787" t="s">
        <v>2445</v>
      </c>
      <c r="D959" s="787">
        <v>8.41</v>
      </c>
      <c r="E959" s="787">
        <v>8.41</v>
      </c>
      <c r="F959" s="788">
        <v>38047</v>
      </c>
      <c r="G959" s="788">
        <v>38047</v>
      </c>
      <c r="H959" s="787">
        <v>1</v>
      </c>
      <c r="I959" s="788">
        <v>37769</v>
      </c>
      <c r="J959" s="788">
        <v>38047</v>
      </c>
      <c r="L959" s="787">
        <v>9.17</v>
      </c>
      <c r="M959" s="787">
        <v>20</v>
      </c>
      <c r="N959" s="787">
        <v>9.86</v>
      </c>
      <c r="O959" s="788">
        <v>41955</v>
      </c>
    </row>
    <row r="960" spans="1:15" x14ac:dyDescent="0.25">
      <c r="A960" s="786" t="s">
        <v>2446</v>
      </c>
      <c r="B960" s="787">
        <v>4</v>
      </c>
      <c r="C960" s="787" t="s">
        <v>2443</v>
      </c>
      <c r="D960" s="787">
        <v>8.83</v>
      </c>
      <c r="E960" s="787">
        <v>8.83</v>
      </c>
      <c r="F960" s="788">
        <v>37637</v>
      </c>
      <c r="G960" s="788">
        <v>37637</v>
      </c>
      <c r="H960" s="787">
        <v>1</v>
      </c>
      <c r="J960" s="788">
        <v>37637</v>
      </c>
      <c r="L960" s="787">
        <v>9.6199999999999992</v>
      </c>
      <c r="M960" s="787">
        <v>20</v>
      </c>
      <c r="N960" s="787">
        <v>10.34</v>
      </c>
      <c r="O960" s="788">
        <v>41955</v>
      </c>
    </row>
    <row r="961" spans="1:15" x14ac:dyDescent="0.25">
      <c r="A961" s="786" t="s">
        <v>2447</v>
      </c>
      <c r="B961" s="787">
        <v>4</v>
      </c>
      <c r="C961" s="787" t="s">
        <v>2445</v>
      </c>
      <c r="D961" s="787">
        <v>8.83</v>
      </c>
      <c r="E961" s="787">
        <v>8.83</v>
      </c>
      <c r="F961" s="788">
        <v>38047</v>
      </c>
      <c r="G961" s="788">
        <v>38047</v>
      </c>
      <c r="H961" s="787">
        <v>1</v>
      </c>
      <c r="J961" s="788">
        <v>38047</v>
      </c>
      <c r="L961" s="787">
        <v>9.6199999999999992</v>
      </c>
      <c r="M961" s="787">
        <v>20</v>
      </c>
      <c r="N961" s="787">
        <v>10.34</v>
      </c>
      <c r="O961" s="788">
        <v>41955</v>
      </c>
    </row>
    <row r="962" spans="1:15" x14ac:dyDescent="0.25">
      <c r="A962" s="786" t="s">
        <v>2448</v>
      </c>
      <c r="B962" s="787">
        <v>4</v>
      </c>
      <c r="C962" s="787" t="s">
        <v>2449</v>
      </c>
      <c r="D962" s="787">
        <v>5.26</v>
      </c>
      <c r="E962" s="787">
        <v>15.26</v>
      </c>
      <c r="F962" s="788">
        <v>38133</v>
      </c>
      <c r="G962" s="788">
        <v>38364</v>
      </c>
      <c r="H962" s="787">
        <v>1</v>
      </c>
      <c r="I962" s="788">
        <v>38709</v>
      </c>
      <c r="J962" s="788">
        <v>38133</v>
      </c>
      <c r="L962" s="787">
        <v>20.75</v>
      </c>
      <c r="M962" s="787">
        <v>10</v>
      </c>
      <c r="N962" s="787">
        <v>23.86</v>
      </c>
      <c r="O962" s="788">
        <v>42144</v>
      </c>
    </row>
    <row r="963" spans="1:15" x14ac:dyDescent="0.25">
      <c r="A963" s="786" t="s">
        <v>2450</v>
      </c>
      <c r="B963" s="787">
        <v>4</v>
      </c>
      <c r="C963" s="787" t="s">
        <v>2451</v>
      </c>
      <c r="D963" s="787">
        <v>1.05</v>
      </c>
      <c r="E963" s="787">
        <v>1.05</v>
      </c>
      <c r="F963" s="788">
        <v>37637</v>
      </c>
      <c r="G963" s="788">
        <v>37637</v>
      </c>
      <c r="H963" s="787">
        <v>1</v>
      </c>
      <c r="J963" s="788">
        <v>37637</v>
      </c>
      <c r="L963" s="787">
        <v>1.05</v>
      </c>
      <c r="M963" s="787">
        <v>10</v>
      </c>
      <c r="N963" s="787">
        <v>0</v>
      </c>
      <c r="O963" s="788">
        <v>41955</v>
      </c>
    </row>
    <row r="964" spans="1:15" x14ac:dyDescent="0.25">
      <c r="A964" s="786" t="s">
        <v>2452</v>
      </c>
      <c r="B964" s="787">
        <v>4</v>
      </c>
      <c r="C964" s="787" t="s">
        <v>2453</v>
      </c>
      <c r="D964" s="787">
        <v>0.2</v>
      </c>
      <c r="E964" s="787">
        <v>20.2</v>
      </c>
      <c r="F964" s="788">
        <v>37637</v>
      </c>
      <c r="G964" s="788">
        <v>37637</v>
      </c>
      <c r="H964" s="787">
        <v>1</v>
      </c>
      <c r="J964" s="788">
        <v>37637</v>
      </c>
      <c r="L964" s="787">
        <v>22.02</v>
      </c>
      <c r="M964" s="787">
        <v>20</v>
      </c>
      <c r="N964" s="787">
        <v>23.67</v>
      </c>
      <c r="O964" s="788">
        <v>41955</v>
      </c>
    </row>
    <row r="965" spans="1:15" x14ac:dyDescent="0.25">
      <c r="A965" s="786" t="s">
        <v>2454</v>
      </c>
      <c r="B965" s="787">
        <v>4</v>
      </c>
      <c r="C965" s="787" t="s">
        <v>2455</v>
      </c>
      <c r="D965" s="787">
        <v>0</v>
      </c>
      <c r="E965" s="787">
        <v>0</v>
      </c>
      <c r="H965" s="787">
        <v>1</v>
      </c>
      <c r="I965" s="788">
        <v>38464</v>
      </c>
      <c r="J965" s="788">
        <v>38736</v>
      </c>
      <c r="L965" s="787">
        <v>0.5</v>
      </c>
      <c r="M965" s="787">
        <v>10</v>
      </c>
      <c r="N965" s="787">
        <v>1.42</v>
      </c>
      <c r="O965" s="788">
        <v>41955</v>
      </c>
    </row>
    <row r="966" spans="1:15" x14ac:dyDescent="0.25">
      <c r="A966" s="786" t="s">
        <v>2456</v>
      </c>
      <c r="B966" s="787">
        <v>4</v>
      </c>
      <c r="C966" s="787" t="s">
        <v>2457</v>
      </c>
      <c r="D966" s="787">
        <v>0</v>
      </c>
      <c r="E966" s="787">
        <v>0</v>
      </c>
      <c r="H966" s="787">
        <v>1</v>
      </c>
      <c r="I966" s="788">
        <v>38464</v>
      </c>
      <c r="J966" s="788">
        <v>38736</v>
      </c>
      <c r="L966" s="787">
        <v>0.5</v>
      </c>
      <c r="M966" s="787">
        <v>10</v>
      </c>
      <c r="N966" s="787">
        <v>1.42</v>
      </c>
      <c r="O966" s="788">
        <v>41955</v>
      </c>
    </row>
    <row r="967" spans="1:15" x14ac:dyDescent="0.25">
      <c r="A967" s="786" t="s">
        <v>2458</v>
      </c>
      <c r="B967" s="787">
        <v>4</v>
      </c>
      <c r="C967" s="787" t="s">
        <v>2459</v>
      </c>
      <c r="D967" s="787">
        <v>1.19</v>
      </c>
      <c r="E967" s="787">
        <v>1.19</v>
      </c>
      <c r="F967" s="788">
        <v>38606</v>
      </c>
      <c r="G967" s="788">
        <v>38606</v>
      </c>
      <c r="H967" s="787">
        <v>1</v>
      </c>
      <c r="I967" s="788">
        <v>38464</v>
      </c>
      <c r="J967" s="788">
        <v>38440</v>
      </c>
      <c r="L967" s="787">
        <v>1.18</v>
      </c>
      <c r="M967" s="787">
        <v>10</v>
      </c>
      <c r="N967" s="787">
        <v>2.2200000000000002</v>
      </c>
      <c r="O967" s="788">
        <v>41955</v>
      </c>
    </row>
    <row r="968" spans="1:15" x14ac:dyDescent="0.25">
      <c r="A968" s="786" t="s">
        <v>2460</v>
      </c>
      <c r="B968" s="787">
        <v>4</v>
      </c>
      <c r="C968" s="787" t="s">
        <v>2461</v>
      </c>
      <c r="D968" s="787">
        <v>1.19</v>
      </c>
      <c r="E968" s="787">
        <v>1.19</v>
      </c>
      <c r="F968" s="788">
        <v>38606</v>
      </c>
      <c r="G968" s="788">
        <v>38606</v>
      </c>
      <c r="H968" s="787">
        <v>1</v>
      </c>
      <c r="I968" s="788">
        <v>38464</v>
      </c>
      <c r="J968" s="788">
        <v>38440</v>
      </c>
      <c r="L968" s="787">
        <v>1.18</v>
      </c>
      <c r="M968" s="787">
        <v>10</v>
      </c>
      <c r="N968" s="787">
        <v>2.2200000000000002</v>
      </c>
      <c r="O968" s="788">
        <v>41955</v>
      </c>
    </row>
    <row r="969" spans="1:15" x14ac:dyDescent="0.25">
      <c r="A969" s="786" t="s">
        <v>2462</v>
      </c>
      <c r="B969" s="787">
        <v>4</v>
      </c>
      <c r="C969" s="787" t="s">
        <v>2463</v>
      </c>
      <c r="D969" s="787">
        <v>0.66</v>
      </c>
      <c r="E969" s="787">
        <v>2.2200000000000002</v>
      </c>
      <c r="F969" s="788">
        <v>39101</v>
      </c>
      <c r="G969" s="788">
        <v>41943</v>
      </c>
      <c r="H969" s="787">
        <v>1</v>
      </c>
      <c r="I969" s="788">
        <v>41887</v>
      </c>
      <c r="J969" s="788">
        <v>40990</v>
      </c>
      <c r="L969" s="787">
        <v>0.37</v>
      </c>
      <c r="M969" s="787">
        <v>10</v>
      </c>
      <c r="N969" s="787">
        <v>1.07</v>
      </c>
      <c r="O969" s="788">
        <v>42159</v>
      </c>
    </row>
    <row r="970" spans="1:15" x14ac:dyDescent="0.25">
      <c r="A970" s="786" t="s">
        <v>2464</v>
      </c>
      <c r="B970" s="787">
        <v>4</v>
      </c>
      <c r="C970" s="787" t="s">
        <v>2465</v>
      </c>
      <c r="D970" s="787">
        <v>0.57999999999999996</v>
      </c>
      <c r="E970" s="787">
        <v>1.31</v>
      </c>
      <c r="F970" s="788">
        <v>39101</v>
      </c>
      <c r="G970" s="788">
        <v>42013</v>
      </c>
      <c r="H970" s="787">
        <v>1</v>
      </c>
      <c r="I970" s="788">
        <v>41887</v>
      </c>
      <c r="J970" s="788">
        <v>40990</v>
      </c>
      <c r="L970" s="787">
        <v>0.37</v>
      </c>
      <c r="M970" s="787">
        <v>10</v>
      </c>
      <c r="N970" s="787">
        <v>1.1499999999999999</v>
      </c>
      <c r="O970" s="788">
        <v>42159</v>
      </c>
    </row>
    <row r="971" spans="1:15" x14ac:dyDescent="0.25">
      <c r="A971" s="786" t="s">
        <v>2466</v>
      </c>
      <c r="B971" s="787">
        <v>4</v>
      </c>
      <c r="C971" s="787" t="s">
        <v>2463</v>
      </c>
      <c r="D971" s="787">
        <v>0.49</v>
      </c>
      <c r="E971" s="787">
        <v>1.22</v>
      </c>
      <c r="F971" s="788">
        <v>39101</v>
      </c>
      <c r="G971" s="788">
        <v>42013</v>
      </c>
      <c r="H971" s="787">
        <v>1</v>
      </c>
      <c r="I971" s="788">
        <v>41887</v>
      </c>
      <c r="J971" s="788">
        <v>40990</v>
      </c>
      <c r="L971" s="787">
        <v>0.37</v>
      </c>
      <c r="M971" s="787">
        <v>10</v>
      </c>
      <c r="N971" s="787">
        <v>1.1499999999999999</v>
      </c>
      <c r="O971" s="788">
        <v>42159</v>
      </c>
    </row>
    <row r="972" spans="1:15" x14ac:dyDescent="0.25">
      <c r="A972" s="786" t="s">
        <v>2467</v>
      </c>
      <c r="B972" s="787">
        <v>4</v>
      </c>
      <c r="C972" s="787" t="s">
        <v>2465</v>
      </c>
      <c r="D972" s="787">
        <v>0.45</v>
      </c>
      <c r="E972" s="787">
        <v>0.88</v>
      </c>
      <c r="F972" s="788">
        <v>39101</v>
      </c>
      <c r="G972" s="788">
        <v>42013</v>
      </c>
      <c r="H972" s="787">
        <v>1</v>
      </c>
      <c r="I972" s="788">
        <v>41887</v>
      </c>
      <c r="J972" s="788">
        <v>40990</v>
      </c>
      <c r="L972" s="787">
        <v>0.37</v>
      </c>
      <c r="M972" s="787">
        <v>10</v>
      </c>
      <c r="N972" s="787">
        <v>1.1499999999999999</v>
      </c>
      <c r="O972" s="788">
        <v>42159</v>
      </c>
    </row>
    <row r="973" spans="1:15" x14ac:dyDescent="0.25">
      <c r="A973" s="786" t="s">
        <v>2468</v>
      </c>
      <c r="B973" s="787">
        <v>4</v>
      </c>
      <c r="C973" s="787" t="s">
        <v>2469</v>
      </c>
      <c r="D973" s="787">
        <v>0.65</v>
      </c>
      <c r="E973" s="787">
        <v>0.65</v>
      </c>
      <c r="F973" s="788">
        <v>38606</v>
      </c>
      <c r="G973" s="788">
        <v>41766</v>
      </c>
      <c r="H973" s="787">
        <v>1</v>
      </c>
      <c r="I973" s="788">
        <v>41759</v>
      </c>
      <c r="J973" s="788">
        <v>41766</v>
      </c>
      <c r="L973" s="787">
        <v>0.55000000000000004</v>
      </c>
      <c r="M973" s="787">
        <v>10</v>
      </c>
      <c r="N973" s="787">
        <v>3.86</v>
      </c>
      <c r="O973" s="788">
        <v>41955</v>
      </c>
    </row>
    <row r="974" spans="1:15" x14ac:dyDescent="0.25">
      <c r="A974" s="786" t="s">
        <v>2470</v>
      </c>
      <c r="B974" s="787">
        <v>4</v>
      </c>
      <c r="C974" s="787" t="s">
        <v>2471</v>
      </c>
      <c r="D974" s="787">
        <v>0.56000000000000005</v>
      </c>
      <c r="E974" s="787">
        <v>0.56000000000000005</v>
      </c>
      <c r="F974" s="788">
        <v>38634</v>
      </c>
      <c r="G974" s="788">
        <v>38736</v>
      </c>
      <c r="H974" s="787">
        <v>1</v>
      </c>
      <c r="I974" s="788">
        <v>39134</v>
      </c>
      <c r="J974" s="788">
        <v>38624</v>
      </c>
      <c r="L974" s="787">
        <v>0.63</v>
      </c>
      <c r="M974" s="787">
        <v>10</v>
      </c>
      <c r="N974" s="787">
        <v>2.7</v>
      </c>
      <c r="O974" s="788">
        <v>41955</v>
      </c>
    </row>
    <row r="975" spans="1:15" x14ac:dyDescent="0.25">
      <c r="A975" s="786" t="s">
        <v>2472</v>
      </c>
      <c r="B975" s="787">
        <v>4</v>
      </c>
      <c r="C975" s="787" t="s">
        <v>2473</v>
      </c>
      <c r="D975" s="787">
        <v>1.84</v>
      </c>
      <c r="E975" s="787">
        <v>22.39</v>
      </c>
      <c r="F975" s="788">
        <v>42096</v>
      </c>
      <c r="G975" s="788">
        <v>42156</v>
      </c>
      <c r="H975" s="787">
        <v>1</v>
      </c>
      <c r="I975" s="788">
        <v>42152</v>
      </c>
      <c r="J975" s="788">
        <v>42146</v>
      </c>
      <c r="L975" s="787">
        <v>21.93</v>
      </c>
      <c r="M975" s="787">
        <v>20</v>
      </c>
      <c r="N975" s="787">
        <v>23.57</v>
      </c>
      <c r="O975" s="788">
        <v>42061</v>
      </c>
    </row>
    <row r="976" spans="1:15" x14ac:dyDescent="0.25">
      <c r="A976" s="786" t="s">
        <v>2474</v>
      </c>
      <c r="B976" s="787">
        <v>4</v>
      </c>
      <c r="C976" s="787" t="s">
        <v>2475</v>
      </c>
      <c r="D976" s="787">
        <v>4.7699999999999996</v>
      </c>
      <c r="E976" s="787">
        <v>4.7699999999999996</v>
      </c>
      <c r="F976" s="788">
        <v>37637</v>
      </c>
      <c r="G976" s="788">
        <v>37637</v>
      </c>
      <c r="H976" s="787">
        <v>1</v>
      </c>
      <c r="J976" s="788">
        <v>37637</v>
      </c>
      <c r="L976" s="787">
        <v>2.82</v>
      </c>
      <c r="M976" s="787">
        <v>10</v>
      </c>
      <c r="N976" s="787">
        <v>4.91</v>
      </c>
      <c r="O976" s="788">
        <v>41955</v>
      </c>
    </row>
    <row r="977" spans="1:15" x14ac:dyDescent="0.25">
      <c r="A977" s="786" t="s">
        <v>2476</v>
      </c>
      <c r="B977" s="787">
        <v>4</v>
      </c>
      <c r="C977" s="787" t="s">
        <v>2477</v>
      </c>
      <c r="D977" s="787">
        <v>0.38</v>
      </c>
      <c r="E977" s="787">
        <v>0.38</v>
      </c>
      <c r="F977" s="788">
        <v>41701</v>
      </c>
      <c r="G977" s="788">
        <v>41856</v>
      </c>
      <c r="H977" s="787">
        <v>1</v>
      </c>
      <c r="I977" s="788">
        <v>41894</v>
      </c>
      <c r="J977" s="788">
        <v>41856</v>
      </c>
      <c r="K977" s="788">
        <v>41869</v>
      </c>
      <c r="L977" s="787">
        <v>0.38</v>
      </c>
      <c r="M977" s="787">
        <v>20</v>
      </c>
      <c r="N977" s="787">
        <v>0.41</v>
      </c>
      <c r="O977" s="788">
        <v>41955</v>
      </c>
    </row>
    <row r="978" spans="1:15" x14ac:dyDescent="0.25">
      <c r="A978" s="786" t="s">
        <v>2478</v>
      </c>
      <c r="B978" s="787">
        <v>4</v>
      </c>
      <c r="C978" s="787" t="s">
        <v>2479</v>
      </c>
      <c r="D978" s="787">
        <v>1.49</v>
      </c>
      <c r="E978" s="787">
        <v>1.49</v>
      </c>
      <c r="F978" s="788">
        <v>39101</v>
      </c>
      <c r="G978" s="788">
        <v>41943</v>
      </c>
      <c r="H978" s="787">
        <v>1</v>
      </c>
      <c r="I978" s="788">
        <v>41285</v>
      </c>
      <c r="J978" s="788">
        <v>39149</v>
      </c>
      <c r="L978" s="787">
        <v>1.24</v>
      </c>
      <c r="M978" s="787">
        <v>10</v>
      </c>
      <c r="N978" s="787">
        <v>1.88</v>
      </c>
      <c r="O978" s="788">
        <v>42164</v>
      </c>
    </row>
    <row r="979" spans="1:15" x14ac:dyDescent="0.25">
      <c r="A979" s="786" t="s">
        <v>2480</v>
      </c>
      <c r="B979" s="787">
        <v>4</v>
      </c>
      <c r="C979" s="787" t="s">
        <v>2481</v>
      </c>
      <c r="D979" s="787">
        <v>1.32</v>
      </c>
      <c r="E979" s="787">
        <v>1.32</v>
      </c>
      <c r="F979" s="788">
        <v>38047</v>
      </c>
      <c r="G979" s="788">
        <v>38047</v>
      </c>
      <c r="H979" s="787">
        <v>1</v>
      </c>
      <c r="J979" s="788">
        <v>38047</v>
      </c>
      <c r="L979" s="787">
        <v>1.32</v>
      </c>
      <c r="M979" s="787">
        <v>10</v>
      </c>
      <c r="N979" s="787">
        <v>0</v>
      </c>
      <c r="O979" s="788">
        <v>41955</v>
      </c>
    </row>
    <row r="980" spans="1:15" x14ac:dyDescent="0.25">
      <c r="A980" s="786" t="s">
        <v>2482</v>
      </c>
      <c r="B980" s="787">
        <v>4</v>
      </c>
      <c r="C980" s="787" t="s">
        <v>2483</v>
      </c>
      <c r="D980" s="787">
        <v>3.46</v>
      </c>
      <c r="E980" s="787">
        <v>3.46</v>
      </c>
      <c r="F980" s="788">
        <v>39101</v>
      </c>
      <c r="G980" s="788">
        <v>41943</v>
      </c>
      <c r="H980" s="787">
        <v>1</v>
      </c>
      <c r="I980" s="788">
        <v>41285</v>
      </c>
      <c r="J980" s="788">
        <v>39149</v>
      </c>
      <c r="L980" s="787">
        <v>3.67</v>
      </c>
      <c r="M980" s="787">
        <v>10</v>
      </c>
      <c r="N980" s="787">
        <v>2.16</v>
      </c>
      <c r="O980" s="788">
        <v>42164</v>
      </c>
    </row>
    <row r="981" spans="1:15" x14ac:dyDescent="0.25">
      <c r="A981" s="786" t="s">
        <v>2484</v>
      </c>
      <c r="B981" s="787">
        <v>4</v>
      </c>
      <c r="C981" s="787" t="s">
        <v>2485</v>
      </c>
      <c r="D981" s="787">
        <v>0.54</v>
      </c>
      <c r="E981" s="787">
        <v>0.54</v>
      </c>
      <c r="F981" s="788">
        <v>37637</v>
      </c>
      <c r="G981" s="788">
        <v>37637</v>
      </c>
      <c r="H981" s="787">
        <v>1</v>
      </c>
      <c r="J981" s="788">
        <v>37637</v>
      </c>
      <c r="L981" s="787">
        <v>0.54</v>
      </c>
      <c r="M981" s="787">
        <v>10</v>
      </c>
      <c r="N981" s="787">
        <v>0</v>
      </c>
      <c r="O981" s="788">
        <v>41955</v>
      </c>
    </row>
    <row r="982" spans="1:15" x14ac:dyDescent="0.25">
      <c r="A982" s="786" t="s">
        <v>2486</v>
      </c>
      <c r="B982" s="787">
        <v>4</v>
      </c>
      <c r="C982" s="787" t="s">
        <v>2487</v>
      </c>
      <c r="D982" s="787">
        <v>0.56000000000000005</v>
      </c>
      <c r="E982" s="787">
        <v>0.82</v>
      </c>
      <c r="F982" s="788">
        <v>39456</v>
      </c>
      <c r="G982" s="788">
        <v>41943</v>
      </c>
      <c r="H982" s="787">
        <v>1</v>
      </c>
      <c r="I982" s="788">
        <v>41285</v>
      </c>
      <c r="J982" s="788">
        <v>39330</v>
      </c>
      <c r="L982" s="787">
        <v>1.21</v>
      </c>
      <c r="M982" s="787">
        <v>10</v>
      </c>
      <c r="N982" s="787">
        <v>2.58</v>
      </c>
      <c r="O982" s="788">
        <v>41955</v>
      </c>
    </row>
    <row r="983" spans="1:15" x14ac:dyDescent="0.25">
      <c r="A983" s="786" t="s">
        <v>2488</v>
      </c>
      <c r="B983" s="787">
        <v>4</v>
      </c>
      <c r="C983" s="787" t="s">
        <v>2489</v>
      </c>
      <c r="D983" s="787">
        <v>0.61</v>
      </c>
      <c r="E983" s="787">
        <v>0.62</v>
      </c>
      <c r="F983" s="788">
        <v>41701</v>
      </c>
      <c r="G983" s="788">
        <v>42135</v>
      </c>
      <c r="H983" s="787">
        <v>1</v>
      </c>
      <c r="I983" s="788">
        <v>42114</v>
      </c>
      <c r="J983" s="788">
        <v>42096</v>
      </c>
      <c r="K983" s="788">
        <v>41869</v>
      </c>
      <c r="L983" s="787">
        <v>0.61</v>
      </c>
      <c r="M983" s="787">
        <v>20</v>
      </c>
      <c r="N983" s="787">
        <v>0.66</v>
      </c>
      <c r="O983" s="788">
        <v>42032</v>
      </c>
    </row>
    <row r="984" spans="1:15" x14ac:dyDescent="0.25">
      <c r="A984" s="786" t="s">
        <v>2490</v>
      </c>
      <c r="B984" s="787">
        <v>4</v>
      </c>
      <c r="C984" s="787" t="s">
        <v>2491</v>
      </c>
      <c r="D984" s="787">
        <v>0.85</v>
      </c>
      <c r="E984" s="787">
        <v>6.06</v>
      </c>
      <c r="F984" s="788">
        <v>39101</v>
      </c>
      <c r="G984" s="788">
        <v>42013</v>
      </c>
      <c r="H984" s="787">
        <v>1</v>
      </c>
      <c r="I984" s="788">
        <v>42163</v>
      </c>
      <c r="J984" s="788">
        <v>41919</v>
      </c>
      <c r="L984" s="787">
        <v>0.89</v>
      </c>
      <c r="M984" s="787">
        <v>10</v>
      </c>
      <c r="N984" s="787">
        <v>6.44</v>
      </c>
      <c r="O984" s="788">
        <v>42163</v>
      </c>
    </row>
    <row r="985" spans="1:15" x14ac:dyDescent="0.25">
      <c r="A985" s="786" t="s">
        <v>2492</v>
      </c>
      <c r="B985" s="787">
        <v>4</v>
      </c>
      <c r="C985" s="787" t="s">
        <v>2493</v>
      </c>
      <c r="D985" s="787">
        <v>2.11</v>
      </c>
      <c r="E985" s="787">
        <v>6.18</v>
      </c>
      <c r="F985" s="788">
        <v>41579</v>
      </c>
      <c r="G985" s="788">
        <v>42013</v>
      </c>
      <c r="H985" s="787">
        <v>1</v>
      </c>
      <c r="I985" s="788">
        <v>42163</v>
      </c>
      <c r="J985" s="788">
        <v>41919</v>
      </c>
      <c r="L985" s="787">
        <v>0.89</v>
      </c>
      <c r="M985" s="787">
        <v>10</v>
      </c>
      <c r="N985" s="787">
        <v>6.43</v>
      </c>
      <c r="O985" s="788">
        <v>42163</v>
      </c>
    </row>
    <row r="986" spans="1:15" x14ac:dyDescent="0.25">
      <c r="A986" s="786" t="s">
        <v>2494</v>
      </c>
      <c r="B986" s="787">
        <v>4</v>
      </c>
      <c r="C986" s="787" t="s">
        <v>2495</v>
      </c>
      <c r="D986" s="787">
        <v>1.1200000000000001</v>
      </c>
      <c r="E986" s="787">
        <v>1.1200000000000001</v>
      </c>
      <c r="F986" s="788">
        <v>37637</v>
      </c>
      <c r="G986" s="788">
        <v>38364</v>
      </c>
      <c r="H986" s="787">
        <v>6</v>
      </c>
      <c r="I986" s="788">
        <v>38736</v>
      </c>
      <c r="J986" s="788">
        <v>37637</v>
      </c>
      <c r="L986" s="787">
        <v>0.54</v>
      </c>
      <c r="M986" s="787">
        <v>10</v>
      </c>
      <c r="N986" s="787">
        <v>1.1299999999999999</v>
      </c>
      <c r="O986" s="788">
        <v>41806</v>
      </c>
    </row>
    <row r="987" spans="1:15" x14ac:dyDescent="0.25">
      <c r="A987" s="786" t="s">
        <v>2496</v>
      </c>
      <c r="B987" s="787">
        <v>4</v>
      </c>
      <c r="C987" s="787" t="s">
        <v>2497</v>
      </c>
      <c r="D987" s="787">
        <v>0.95</v>
      </c>
      <c r="E987" s="787">
        <v>0.95</v>
      </c>
      <c r="F987" s="788">
        <v>37637</v>
      </c>
      <c r="G987" s="788">
        <v>37637</v>
      </c>
      <c r="H987" s="787">
        <v>1</v>
      </c>
      <c r="J987" s="788">
        <v>37637</v>
      </c>
      <c r="L987" s="787">
        <v>0.56000000000000005</v>
      </c>
      <c r="M987" s="787">
        <v>10</v>
      </c>
      <c r="N987" s="787">
        <v>0.98</v>
      </c>
      <c r="O987" s="788">
        <v>41955</v>
      </c>
    </row>
    <row r="988" spans="1:15" x14ac:dyDescent="0.25">
      <c r="A988" s="786" t="s">
        <v>2498</v>
      </c>
      <c r="B988" s="787">
        <v>4</v>
      </c>
      <c r="C988" s="787" t="s">
        <v>2499</v>
      </c>
      <c r="D988" s="787">
        <v>1.1200000000000001</v>
      </c>
      <c r="E988" s="787">
        <v>1.1200000000000001</v>
      </c>
      <c r="F988" s="788">
        <v>37637</v>
      </c>
      <c r="G988" s="788">
        <v>37637</v>
      </c>
      <c r="H988" s="787">
        <v>1</v>
      </c>
      <c r="J988" s="788">
        <v>37637</v>
      </c>
      <c r="L988" s="787">
        <v>0.54</v>
      </c>
      <c r="M988" s="787">
        <v>10</v>
      </c>
      <c r="N988" s="787">
        <v>1.1299999999999999</v>
      </c>
      <c r="O988" s="788">
        <v>41955</v>
      </c>
    </row>
    <row r="989" spans="1:15" x14ac:dyDescent="0.25">
      <c r="A989" s="786" t="s">
        <v>2500</v>
      </c>
      <c r="B989" s="787">
        <v>4</v>
      </c>
      <c r="C989" s="787" t="s">
        <v>2501</v>
      </c>
      <c r="D989" s="787">
        <v>6.52</v>
      </c>
      <c r="E989" s="787">
        <v>6.52</v>
      </c>
      <c r="F989" s="788">
        <v>37637</v>
      </c>
      <c r="G989" s="788">
        <v>37637</v>
      </c>
      <c r="H989" s="787">
        <v>1</v>
      </c>
      <c r="J989" s="788">
        <v>37637</v>
      </c>
      <c r="L989" s="787">
        <v>6.82</v>
      </c>
      <c r="M989" s="787">
        <v>10</v>
      </c>
      <c r="N989" s="787">
        <v>7.55</v>
      </c>
      <c r="O989" s="788">
        <v>42162</v>
      </c>
    </row>
    <row r="990" spans="1:15" x14ac:dyDescent="0.25">
      <c r="A990" s="786" t="s">
        <v>2502</v>
      </c>
      <c r="B990" s="787">
        <v>4</v>
      </c>
      <c r="C990" s="787" t="s">
        <v>2503</v>
      </c>
      <c r="D990" s="787">
        <v>5.04</v>
      </c>
      <c r="E990" s="787">
        <v>5.04</v>
      </c>
      <c r="F990" s="788">
        <v>39101</v>
      </c>
      <c r="G990" s="788">
        <v>39101</v>
      </c>
      <c r="H990" s="787">
        <v>1</v>
      </c>
      <c r="I990" s="788">
        <v>39134</v>
      </c>
      <c r="J990" s="788">
        <v>39149</v>
      </c>
      <c r="L990" s="787">
        <v>5.49</v>
      </c>
      <c r="M990" s="787">
        <v>20</v>
      </c>
      <c r="N990" s="787">
        <v>5.9</v>
      </c>
      <c r="O990" s="788">
        <v>42162</v>
      </c>
    </row>
    <row r="991" spans="1:15" x14ac:dyDescent="0.25">
      <c r="A991" s="786" t="s">
        <v>2504</v>
      </c>
      <c r="B991" s="787">
        <v>4</v>
      </c>
      <c r="C991" s="787" t="s">
        <v>2505</v>
      </c>
      <c r="D991" s="787">
        <v>0.49</v>
      </c>
      <c r="E991" s="787">
        <v>0.3</v>
      </c>
      <c r="F991" s="788">
        <v>39101</v>
      </c>
      <c r="G991" s="788">
        <v>39101</v>
      </c>
      <c r="H991" s="787">
        <v>1</v>
      </c>
      <c r="I991" s="788">
        <v>40934</v>
      </c>
      <c r="J991" s="788">
        <v>39149</v>
      </c>
      <c r="L991" s="787">
        <v>1.1200000000000001</v>
      </c>
      <c r="M991" s="787">
        <v>10</v>
      </c>
      <c r="N991" s="787">
        <v>0.42</v>
      </c>
      <c r="O991" s="788">
        <v>42144</v>
      </c>
    </row>
    <row r="992" spans="1:15" x14ac:dyDescent="0.25">
      <c r="A992" s="786" t="s">
        <v>2506</v>
      </c>
      <c r="B992" s="787">
        <v>4</v>
      </c>
      <c r="C992" s="787" t="s">
        <v>2507</v>
      </c>
      <c r="D992" s="787">
        <v>0.06</v>
      </c>
      <c r="E992" s="787">
        <v>0.15</v>
      </c>
      <c r="F992" s="788">
        <v>39456</v>
      </c>
      <c r="G992" s="788">
        <v>42051</v>
      </c>
      <c r="H992" s="787">
        <v>1</v>
      </c>
      <c r="I992" s="788">
        <v>41481</v>
      </c>
      <c r="J992" s="788">
        <v>42025</v>
      </c>
      <c r="L992" s="787">
        <v>0.33</v>
      </c>
      <c r="M992" s="787">
        <v>10</v>
      </c>
      <c r="N992" s="787">
        <v>1.49</v>
      </c>
      <c r="O992" s="788">
        <v>42017</v>
      </c>
    </row>
    <row r="993" spans="1:15" x14ac:dyDescent="0.25">
      <c r="A993" s="786" t="s">
        <v>2508</v>
      </c>
      <c r="B993" s="787">
        <v>4</v>
      </c>
      <c r="C993" s="787" t="s">
        <v>2509</v>
      </c>
      <c r="D993" s="787">
        <v>7.0000000000000007E-2</v>
      </c>
      <c r="E993" s="787">
        <v>0.54</v>
      </c>
      <c r="F993" s="788">
        <v>39456</v>
      </c>
      <c r="G993" s="788">
        <v>42013</v>
      </c>
      <c r="H993" s="787">
        <v>1</v>
      </c>
      <c r="I993" s="788">
        <v>41481</v>
      </c>
      <c r="J993" s="788">
        <v>41946</v>
      </c>
      <c r="K993" s="788">
        <v>41936</v>
      </c>
      <c r="L993" s="787">
        <v>0.56999999999999995</v>
      </c>
      <c r="M993" s="787">
        <v>10</v>
      </c>
      <c r="N993" s="787">
        <v>1.56</v>
      </c>
      <c r="O993" s="788">
        <v>41955</v>
      </c>
    </row>
    <row r="994" spans="1:15" x14ac:dyDescent="0.25">
      <c r="A994" s="786" t="s">
        <v>2510</v>
      </c>
      <c r="B994" s="787">
        <v>4</v>
      </c>
      <c r="C994" s="787" t="s">
        <v>2511</v>
      </c>
      <c r="D994" s="787">
        <v>9</v>
      </c>
      <c r="E994" s="787">
        <v>19</v>
      </c>
      <c r="F994" s="788">
        <v>41376</v>
      </c>
      <c r="G994" s="788">
        <v>41565</v>
      </c>
      <c r="H994" s="787">
        <v>1</v>
      </c>
      <c r="I994" s="788">
        <v>41527</v>
      </c>
      <c r="J994" s="788">
        <v>41523</v>
      </c>
      <c r="L994" s="787">
        <v>10</v>
      </c>
      <c r="M994" s="787">
        <v>20</v>
      </c>
      <c r="N994" s="787">
        <v>10.75</v>
      </c>
      <c r="O994" s="788">
        <v>42072</v>
      </c>
    </row>
    <row r="995" spans="1:15" x14ac:dyDescent="0.25">
      <c r="A995" s="786" t="s">
        <v>2512</v>
      </c>
      <c r="B995" s="787">
        <v>4</v>
      </c>
      <c r="C995" s="787" t="s">
        <v>2513</v>
      </c>
      <c r="D995" s="787">
        <v>3.54</v>
      </c>
      <c r="E995" s="787">
        <v>3.54</v>
      </c>
      <c r="F995" s="788">
        <v>37637</v>
      </c>
      <c r="G995" s="788">
        <v>37637</v>
      </c>
      <c r="H995" s="787">
        <v>1</v>
      </c>
      <c r="J995" s="788">
        <v>37637</v>
      </c>
      <c r="L995" s="787">
        <v>3.86</v>
      </c>
      <c r="M995" s="787">
        <v>20</v>
      </c>
      <c r="N995" s="787">
        <v>4.1500000000000004</v>
      </c>
      <c r="O995" s="788">
        <v>41955</v>
      </c>
    </row>
    <row r="996" spans="1:15" x14ac:dyDescent="0.25">
      <c r="A996" s="786" t="s">
        <v>2514</v>
      </c>
      <c r="B996" s="787">
        <v>4</v>
      </c>
      <c r="C996" s="787" t="s">
        <v>2515</v>
      </c>
      <c r="D996" s="787">
        <v>5.52</v>
      </c>
      <c r="E996" s="787">
        <v>6.18</v>
      </c>
      <c r="F996" s="788">
        <v>40084</v>
      </c>
      <c r="G996" s="788">
        <v>42158</v>
      </c>
      <c r="H996" s="787">
        <v>1</v>
      </c>
      <c r="I996" s="788">
        <v>42166</v>
      </c>
      <c r="J996" s="788">
        <v>42158</v>
      </c>
      <c r="K996" s="788">
        <v>40472</v>
      </c>
      <c r="L996" s="787">
        <v>5.52</v>
      </c>
      <c r="M996" s="787">
        <v>20</v>
      </c>
      <c r="N996" s="787">
        <v>5.93</v>
      </c>
      <c r="O996" s="788">
        <v>42152</v>
      </c>
    </row>
    <row r="997" spans="1:15" x14ac:dyDescent="0.25">
      <c r="A997" s="786" t="s">
        <v>2516</v>
      </c>
      <c r="B997" s="787">
        <v>4</v>
      </c>
      <c r="C997" s="787" t="s">
        <v>2517</v>
      </c>
      <c r="D997" s="787">
        <v>0.4</v>
      </c>
      <c r="E997" s="787">
        <v>0.4</v>
      </c>
      <c r="F997" s="788">
        <v>37637</v>
      </c>
      <c r="G997" s="788">
        <v>37637</v>
      </c>
      <c r="H997" s="787">
        <v>1</v>
      </c>
      <c r="I997" s="788">
        <v>38133</v>
      </c>
      <c r="J997" s="788">
        <v>37637</v>
      </c>
      <c r="L997" s="787">
        <v>0.44</v>
      </c>
      <c r="M997" s="787">
        <v>20</v>
      </c>
      <c r="N997" s="787">
        <v>0.47</v>
      </c>
      <c r="O997" s="788">
        <v>42127</v>
      </c>
    </row>
    <row r="998" spans="1:15" x14ac:dyDescent="0.25">
      <c r="A998" s="786" t="s">
        <v>2518</v>
      </c>
      <c r="B998" s="787">
        <v>4</v>
      </c>
      <c r="C998" s="787" t="s">
        <v>2519</v>
      </c>
      <c r="D998" s="787">
        <v>8.1199999999999992</v>
      </c>
      <c r="E998" s="787">
        <v>12.47</v>
      </c>
      <c r="F998" s="788">
        <v>40065</v>
      </c>
      <c r="G998" s="788">
        <v>42013</v>
      </c>
      <c r="H998" s="787">
        <v>1</v>
      </c>
      <c r="I998" s="788">
        <v>42166</v>
      </c>
      <c r="J998" s="788">
        <v>41954</v>
      </c>
      <c r="L998" s="787">
        <v>13.83</v>
      </c>
      <c r="M998" s="787">
        <v>20</v>
      </c>
      <c r="N998" s="787">
        <v>14.87</v>
      </c>
      <c r="O998" s="788">
        <v>42163</v>
      </c>
    </row>
    <row r="999" spans="1:15" x14ac:dyDescent="0.25">
      <c r="A999" s="786" t="s">
        <v>2520</v>
      </c>
      <c r="B999" s="787">
        <v>4</v>
      </c>
      <c r="C999" s="787" t="s">
        <v>2521</v>
      </c>
      <c r="D999" s="787">
        <v>3.62</v>
      </c>
      <c r="E999" s="787">
        <v>5.01</v>
      </c>
      <c r="F999" s="788">
        <v>40070</v>
      </c>
      <c r="G999" s="788">
        <v>42013</v>
      </c>
      <c r="H999" s="787">
        <v>1</v>
      </c>
      <c r="I999" s="788">
        <v>42166</v>
      </c>
      <c r="J999" s="788">
        <v>41954</v>
      </c>
      <c r="K999" s="788">
        <v>41869</v>
      </c>
      <c r="L999" s="787">
        <v>5.01</v>
      </c>
      <c r="M999" s="787">
        <v>20</v>
      </c>
      <c r="N999" s="787">
        <v>5.39</v>
      </c>
      <c r="O999" s="788">
        <v>42163</v>
      </c>
    </row>
    <row r="1000" spans="1:15" x14ac:dyDescent="0.25">
      <c r="A1000" s="786" t="s">
        <v>2522</v>
      </c>
      <c r="B1000" s="787">
        <v>4</v>
      </c>
      <c r="C1000" s="787" t="s">
        <v>2523</v>
      </c>
      <c r="D1000" s="787">
        <v>0.4</v>
      </c>
      <c r="E1000" s="787">
        <v>0.4</v>
      </c>
      <c r="F1000" s="788">
        <v>37637</v>
      </c>
      <c r="G1000" s="788">
        <v>37637</v>
      </c>
      <c r="H1000" s="787">
        <v>1</v>
      </c>
      <c r="I1000" s="788">
        <v>38133</v>
      </c>
      <c r="J1000" s="788">
        <v>37637</v>
      </c>
      <c r="L1000" s="787">
        <v>0.44</v>
      </c>
      <c r="M1000" s="787">
        <v>20</v>
      </c>
      <c r="N1000" s="787">
        <v>0.47</v>
      </c>
      <c r="O1000" s="788">
        <v>42127</v>
      </c>
    </row>
    <row r="1001" spans="1:15" x14ac:dyDescent="0.25">
      <c r="A1001" s="786" t="s">
        <v>2524</v>
      </c>
      <c r="B1001" s="787">
        <v>4</v>
      </c>
      <c r="C1001" s="787" t="s">
        <v>2525</v>
      </c>
      <c r="D1001" s="787">
        <v>0.4</v>
      </c>
      <c r="E1001" s="787">
        <v>0.4</v>
      </c>
      <c r="F1001" s="788">
        <v>37637</v>
      </c>
      <c r="G1001" s="788">
        <v>37637</v>
      </c>
      <c r="H1001" s="787">
        <v>1</v>
      </c>
      <c r="I1001" s="788">
        <v>38133</v>
      </c>
      <c r="J1001" s="788">
        <v>37637</v>
      </c>
      <c r="L1001" s="787">
        <v>0.44</v>
      </c>
      <c r="M1001" s="787">
        <v>20</v>
      </c>
      <c r="N1001" s="787">
        <v>0.47</v>
      </c>
      <c r="O1001" s="788">
        <v>42127</v>
      </c>
    </row>
    <row r="1002" spans="1:15" x14ac:dyDescent="0.25">
      <c r="A1002" s="786" t="s">
        <v>2526</v>
      </c>
      <c r="B1002" s="787">
        <v>4</v>
      </c>
      <c r="C1002" s="787" t="s">
        <v>2527</v>
      </c>
      <c r="D1002" s="787">
        <v>6.33</v>
      </c>
      <c r="E1002" s="787">
        <v>26.33</v>
      </c>
      <c r="F1002" s="788">
        <v>37637</v>
      </c>
      <c r="G1002" s="788">
        <v>37637</v>
      </c>
      <c r="H1002" s="787">
        <v>1</v>
      </c>
      <c r="I1002" s="788">
        <v>38133</v>
      </c>
      <c r="J1002" s="788">
        <v>37637</v>
      </c>
      <c r="L1002" s="787">
        <v>28.7</v>
      </c>
      <c r="M1002" s="787">
        <v>20</v>
      </c>
      <c r="N1002" s="787">
        <v>30.85</v>
      </c>
      <c r="O1002" s="788">
        <v>41955</v>
      </c>
    </row>
    <row r="1003" spans="1:15" x14ac:dyDescent="0.25">
      <c r="A1003" s="786" t="s">
        <v>2528</v>
      </c>
      <c r="B1003" s="787">
        <v>4</v>
      </c>
      <c r="C1003" s="787" t="s">
        <v>2529</v>
      </c>
      <c r="D1003" s="787">
        <v>0.93</v>
      </c>
      <c r="E1003" s="787">
        <v>0.93</v>
      </c>
      <c r="F1003" s="788">
        <v>38047</v>
      </c>
      <c r="G1003" s="788">
        <v>38047</v>
      </c>
      <c r="H1003" s="787">
        <v>1</v>
      </c>
      <c r="I1003" s="788">
        <v>41017</v>
      </c>
      <c r="J1003" s="788">
        <v>38047</v>
      </c>
      <c r="L1003" s="787">
        <v>1.01</v>
      </c>
      <c r="M1003" s="787">
        <v>20</v>
      </c>
      <c r="N1003" s="787">
        <v>1.0900000000000001</v>
      </c>
      <c r="O1003" s="788">
        <v>41955</v>
      </c>
    </row>
    <row r="1004" spans="1:15" x14ac:dyDescent="0.25">
      <c r="A1004" s="786" t="s">
        <v>2530</v>
      </c>
      <c r="B1004" s="787">
        <v>4</v>
      </c>
      <c r="C1004" s="787" t="s">
        <v>2531</v>
      </c>
      <c r="D1004" s="787">
        <v>1.27</v>
      </c>
      <c r="E1004" s="787">
        <v>1.27</v>
      </c>
      <c r="F1004" s="788">
        <v>37637</v>
      </c>
      <c r="G1004" s="788">
        <v>37637</v>
      </c>
      <c r="H1004" s="787">
        <v>1</v>
      </c>
      <c r="J1004" s="788">
        <v>37637</v>
      </c>
      <c r="L1004" s="787">
        <v>1.27</v>
      </c>
      <c r="M1004" s="787">
        <v>10</v>
      </c>
      <c r="N1004" s="787">
        <v>0</v>
      </c>
      <c r="O1004" s="788">
        <v>41955</v>
      </c>
    </row>
    <row r="1005" spans="1:15" x14ac:dyDescent="0.25">
      <c r="A1005" s="786" t="s">
        <v>2532</v>
      </c>
      <c r="B1005" s="787">
        <v>4</v>
      </c>
      <c r="C1005" s="787" t="s">
        <v>2533</v>
      </c>
      <c r="D1005" s="787">
        <v>0</v>
      </c>
      <c r="E1005" s="787">
        <v>0</v>
      </c>
      <c r="H1005" s="787">
        <v>1</v>
      </c>
      <c r="J1005" s="788">
        <v>37637</v>
      </c>
      <c r="L1005" s="787">
        <v>0</v>
      </c>
      <c r="M1005" s="787">
        <v>20</v>
      </c>
      <c r="N1005" s="787">
        <v>0</v>
      </c>
      <c r="O1005" s="788">
        <v>40824</v>
      </c>
    </row>
    <row r="1006" spans="1:15" x14ac:dyDescent="0.25">
      <c r="A1006" s="786" t="s">
        <v>2534</v>
      </c>
      <c r="B1006" s="787">
        <v>4</v>
      </c>
      <c r="C1006" s="787" t="s">
        <v>2535</v>
      </c>
      <c r="D1006" s="787">
        <v>1</v>
      </c>
      <c r="E1006" s="787">
        <v>21</v>
      </c>
      <c r="F1006" s="788">
        <v>37637</v>
      </c>
      <c r="G1006" s="788">
        <v>37637</v>
      </c>
      <c r="H1006" s="787">
        <v>1</v>
      </c>
      <c r="J1006" s="788">
        <v>37637</v>
      </c>
      <c r="L1006" s="787">
        <v>22.89</v>
      </c>
      <c r="M1006" s="787">
        <v>20</v>
      </c>
      <c r="N1006" s="787">
        <v>24.61</v>
      </c>
      <c r="O1006" s="788">
        <v>41955</v>
      </c>
    </row>
    <row r="1007" spans="1:15" x14ac:dyDescent="0.25">
      <c r="A1007" s="786" t="s">
        <v>2536</v>
      </c>
      <c r="B1007" s="787">
        <v>4</v>
      </c>
      <c r="C1007" s="787" t="s">
        <v>2537</v>
      </c>
      <c r="D1007" s="787">
        <v>0</v>
      </c>
      <c r="E1007" s="787">
        <v>0</v>
      </c>
      <c r="H1007" s="787">
        <v>1</v>
      </c>
      <c r="J1007" s="788">
        <v>37637</v>
      </c>
      <c r="L1007" s="787">
        <v>0</v>
      </c>
      <c r="M1007" s="787">
        <v>20</v>
      </c>
      <c r="N1007" s="787">
        <v>0</v>
      </c>
      <c r="O1007" s="788">
        <v>40824</v>
      </c>
    </row>
    <row r="1008" spans="1:15" x14ac:dyDescent="0.25">
      <c r="A1008" s="786" t="s">
        <v>2538</v>
      </c>
      <c r="B1008" s="787">
        <v>4</v>
      </c>
      <c r="C1008" s="787" t="s">
        <v>2539</v>
      </c>
      <c r="D1008" s="787">
        <v>5.75</v>
      </c>
      <c r="E1008" s="787">
        <v>15.75</v>
      </c>
      <c r="F1008" s="788">
        <v>38047</v>
      </c>
      <c r="G1008" s="788">
        <v>38047</v>
      </c>
      <c r="H1008" s="787">
        <v>1</v>
      </c>
      <c r="J1008" s="788">
        <v>38047</v>
      </c>
      <c r="L1008" s="787">
        <v>17.170000000000002</v>
      </c>
      <c r="M1008" s="787">
        <v>20</v>
      </c>
      <c r="N1008" s="787">
        <v>18.46</v>
      </c>
      <c r="O1008" s="788">
        <v>41955</v>
      </c>
    </row>
    <row r="1009" spans="1:15" x14ac:dyDescent="0.25">
      <c r="A1009" s="786" t="s">
        <v>2540</v>
      </c>
      <c r="B1009" s="787">
        <v>4</v>
      </c>
      <c r="C1009" s="787" t="s">
        <v>2541</v>
      </c>
      <c r="D1009" s="787">
        <v>0</v>
      </c>
      <c r="E1009" s="787">
        <v>0</v>
      </c>
      <c r="H1009" s="787">
        <v>1</v>
      </c>
      <c r="I1009" s="788">
        <v>37544</v>
      </c>
      <c r="J1009" s="788">
        <v>37637</v>
      </c>
      <c r="L1009" s="787">
        <v>0</v>
      </c>
      <c r="M1009" s="787">
        <v>20</v>
      </c>
      <c r="N1009" s="787">
        <v>0</v>
      </c>
      <c r="O1009" s="788">
        <v>40824</v>
      </c>
    </row>
    <row r="1010" spans="1:15" x14ac:dyDescent="0.25">
      <c r="A1010" s="786" t="s">
        <v>2542</v>
      </c>
      <c r="B1010" s="787">
        <v>4</v>
      </c>
      <c r="C1010" s="787" t="s">
        <v>2543</v>
      </c>
      <c r="D1010" s="787">
        <v>0</v>
      </c>
      <c r="E1010" s="787">
        <v>0</v>
      </c>
      <c r="H1010" s="787">
        <v>1</v>
      </c>
      <c r="J1010" s="788">
        <v>37637</v>
      </c>
      <c r="L1010" s="787">
        <v>0</v>
      </c>
      <c r="M1010" s="787">
        <v>20</v>
      </c>
      <c r="N1010" s="787">
        <v>0</v>
      </c>
      <c r="O1010" s="788">
        <v>40824</v>
      </c>
    </row>
    <row r="1011" spans="1:15" x14ac:dyDescent="0.25">
      <c r="A1011" s="786" t="s">
        <v>2544</v>
      </c>
      <c r="B1011" s="787">
        <v>4</v>
      </c>
      <c r="C1011" s="787" t="s">
        <v>2545</v>
      </c>
      <c r="D1011" s="787">
        <v>0</v>
      </c>
      <c r="E1011" s="787">
        <v>0</v>
      </c>
      <c r="H1011" s="787">
        <v>1</v>
      </c>
      <c r="J1011" s="788">
        <v>37637</v>
      </c>
      <c r="L1011" s="787">
        <v>0</v>
      </c>
      <c r="M1011" s="787">
        <v>20</v>
      </c>
      <c r="N1011" s="787">
        <v>0</v>
      </c>
      <c r="O1011" s="788">
        <v>40824</v>
      </c>
    </row>
    <row r="1012" spans="1:15" x14ac:dyDescent="0.25">
      <c r="A1012" s="786" t="s">
        <v>2546</v>
      </c>
      <c r="B1012" s="787">
        <v>4</v>
      </c>
      <c r="C1012" s="787" t="s">
        <v>2547</v>
      </c>
      <c r="D1012" s="787">
        <v>0</v>
      </c>
      <c r="E1012" s="787">
        <v>0</v>
      </c>
      <c r="H1012" s="787">
        <v>1</v>
      </c>
      <c r="J1012" s="788">
        <v>37637</v>
      </c>
      <c r="L1012" s="787">
        <v>0</v>
      </c>
      <c r="M1012" s="787">
        <v>20</v>
      </c>
      <c r="N1012" s="787">
        <v>0</v>
      </c>
      <c r="O1012" s="788">
        <v>40824</v>
      </c>
    </row>
    <row r="1013" spans="1:15" x14ac:dyDescent="0.25">
      <c r="A1013" s="786" t="s">
        <v>2548</v>
      </c>
      <c r="B1013" s="787">
        <v>4</v>
      </c>
      <c r="C1013" s="787" t="s">
        <v>2549</v>
      </c>
      <c r="D1013" s="787">
        <v>6</v>
      </c>
      <c r="E1013" s="787">
        <v>86</v>
      </c>
      <c r="F1013" s="788">
        <v>41690</v>
      </c>
      <c r="G1013" s="788">
        <v>41687</v>
      </c>
      <c r="H1013" s="787">
        <v>1</v>
      </c>
      <c r="J1013" s="788">
        <v>41687</v>
      </c>
      <c r="L1013" s="787">
        <v>86</v>
      </c>
      <c r="M1013" s="787">
        <v>20</v>
      </c>
      <c r="N1013" s="787">
        <v>92.45</v>
      </c>
      <c r="O1013" s="788">
        <v>41955</v>
      </c>
    </row>
    <row r="1014" spans="1:15" x14ac:dyDescent="0.25">
      <c r="A1014" s="786" t="s">
        <v>2550</v>
      </c>
      <c r="B1014" s="787">
        <v>4</v>
      </c>
      <c r="C1014" s="787" t="s">
        <v>2551</v>
      </c>
      <c r="D1014" s="787">
        <v>5</v>
      </c>
      <c r="E1014" s="787">
        <v>185</v>
      </c>
      <c r="F1014" s="788">
        <v>37637</v>
      </c>
      <c r="G1014" s="788">
        <v>37637</v>
      </c>
      <c r="H1014" s="787">
        <v>1</v>
      </c>
      <c r="J1014" s="788">
        <v>37637</v>
      </c>
      <c r="L1014" s="787">
        <v>201.65</v>
      </c>
      <c r="M1014" s="787">
        <v>20</v>
      </c>
      <c r="N1014" s="787">
        <v>216.77</v>
      </c>
      <c r="O1014" s="788">
        <v>41955</v>
      </c>
    </row>
    <row r="1015" spans="1:15" x14ac:dyDescent="0.25">
      <c r="A1015" s="786" t="s">
        <v>2552</v>
      </c>
      <c r="B1015" s="787">
        <v>4</v>
      </c>
      <c r="C1015" s="787" t="s">
        <v>2553</v>
      </c>
      <c r="D1015" s="787">
        <v>8.92</v>
      </c>
      <c r="E1015" s="787">
        <v>18.920000000000002</v>
      </c>
      <c r="F1015" s="788">
        <v>37637</v>
      </c>
      <c r="G1015" s="788">
        <v>37637</v>
      </c>
      <c r="H1015" s="787">
        <v>1</v>
      </c>
      <c r="J1015" s="788">
        <v>37637</v>
      </c>
      <c r="L1015" s="787">
        <v>20.62</v>
      </c>
      <c r="M1015" s="787">
        <v>20</v>
      </c>
      <c r="N1015" s="787">
        <v>22.17</v>
      </c>
      <c r="O1015" s="788">
        <v>41955</v>
      </c>
    </row>
    <row r="1016" spans="1:15" x14ac:dyDescent="0.25">
      <c r="A1016" s="786" t="s">
        <v>2554</v>
      </c>
      <c r="B1016" s="787">
        <v>4</v>
      </c>
      <c r="C1016" s="787" t="s">
        <v>2555</v>
      </c>
      <c r="D1016" s="787">
        <v>5.5</v>
      </c>
      <c r="E1016" s="787">
        <v>205.5</v>
      </c>
      <c r="F1016" s="788">
        <v>37637</v>
      </c>
      <c r="G1016" s="788">
        <v>37637</v>
      </c>
      <c r="H1016" s="787">
        <v>1</v>
      </c>
      <c r="I1016" s="788">
        <v>37357</v>
      </c>
      <c r="J1016" s="788">
        <v>37637</v>
      </c>
      <c r="L1016" s="787">
        <v>224</v>
      </c>
      <c r="M1016" s="787">
        <v>20</v>
      </c>
      <c r="N1016" s="787">
        <v>240.8</v>
      </c>
      <c r="O1016" s="788">
        <v>41955</v>
      </c>
    </row>
    <row r="1017" spans="1:15" x14ac:dyDescent="0.25">
      <c r="A1017" s="786" t="s">
        <v>2556</v>
      </c>
      <c r="B1017" s="787">
        <v>4</v>
      </c>
      <c r="C1017" s="787" t="s">
        <v>2557</v>
      </c>
      <c r="D1017" s="787">
        <v>5.5</v>
      </c>
      <c r="E1017" s="787">
        <v>205.5</v>
      </c>
      <c r="F1017" s="788">
        <v>38047</v>
      </c>
      <c r="G1017" s="788">
        <v>38047</v>
      </c>
      <c r="H1017" s="787">
        <v>1</v>
      </c>
      <c r="I1017" s="788">
        <v>37357</v>
      </c>
      <c r="J1017" s="788">
        <v>38047</v>
      </c>
      <c r="L1017" s="787">
        <v>224</v>
      </c>
      <c r="M1017" s="787">
        <v>20</v>
      </c>
      <c r="N1017" s="787">
        <v>240.8</v>
      </c>
      <c r="O1017" s="788">
        <v>41955</v>
      </c>
    </row>
    <row r="1018" spans="1:15" x14ac:dyDescent="0.25">
      <c r="A1018" s="786" t="s">
        <v>2558</v>
      </c>
      <c r="B1018" s="787">
        <v>4</v>
      </c>
      <c r="C1018" s="787" t="s">
        <v>2559</v>
      </c>
      <c r="D1018" s="787">
        <v>6.85</v>
      </c>
      <c r="E1018" s="787">
        <v>196.85</v>
      </c>
      <c r="F1018" s="788">
        <v>38047</v>
      </c>
      <c r="G1018" s="788">
        <v>38047</v>
      </c>
      <c r="H1018" s="787">
        <v>1</v>
      </c>
      <c r="J1018" s="788">
        <v>38047</v>
      </c>
      <c r="L1018" s="787">
        <v>214.57</v>
      </c>
      <c r="M1018" s="787">
        <v>20</v>
      </c>
      <c r="N1018" s="787">
        <v>230.66</v>
      </c>
      <c r="O1018" s="788">
        <v>41955</v>
      </c>
    </row>
    <row r="1019" spans="1:15" x14ac:dyDescent="0.25">
      <c r="A1019" s="786" t="s">
        <v>2560</v>
      </c>
      <c r="B1019" s="787">
        <v>4</v>
      </c>
      <c r="C1019" s="787" t="s">
        <v>2553</v>
      </c>
      <c r="D1019" s="787">
        <v>2.56</v>
      </c>
      <c r="E1019" s="787">
        <v>12.56</v>
      </c>
      <c r="F1019" s="788">
        <v>38047</v>
      </c>
      <c r="G1019" s="788">
        <v>38047</v>
      </c>
      <c r="H1019" s="787">
        <v>1</v>
      </c>
      <c r="J1019" s="788">
        <v>38047</v>
      </c>
      <c r="L1019" s="787">
        <v>13.69</v>
      </c>
      <c r="M1019" s="787">
        <v>20</v>
      </c>
      <c r="N1019" s="787">
        <v>14.72</v>
      </c>
      <c r="O1019" s="788">
        <v>41955</v>
      </c>
    </row>
    <row r="1020" spans="1:15" x14ac:dyDescent="0.25">
      <c r="A1020" s="786" t="s">
        <v>2561</v>
      </c>
      <c r="B1020" s="787">
        <v>4</v>
      </c>
      <c r="C1020" s="787" t="s">
        <v>2562</v>
      </c>
      <c r="D1020" s="787">
        <v>2.57</v>
      </c>
      <c r="E1020" s="787">
        <v>342.57</v>
      </c>
      <c r="F1020" s="788">
        <v>38047</v>
      </c>
      <c r="G1020" s="788">
        <v>38047</v>
      </c>
      <c r="H1020" s="787">
        <v>1</v>
      </c>
      <c r="I1020" s="788">
        <v>37278</v>
      </c>
      <c r="J1020" s="788">
        <v>38047</v>
      </c>
      <c r="L1020" s="787">
        <v>373.4</v>
      </c>
      <c r="M1020" s="787">
        <v>20</v>
      </c>
      <c r="N1020" s="787">
        <v>401.41</v>
      </c>
      <c r="O1020" s="788">
        <v>41955</v>
      </c>
    </row>
    <row r="1021" spans="1:15" x14ac:dyDescent="0.25">
      <c r="A1021" s="786" t="s">
        <v>2563</v>
      </c>
      <c r="B1021" s="787">
        <v>4</v>
      </c>
      <c r="C1021" s="787" t="s">
        <v>2564</v>
      </c>
      <c r="D1021" s="787">
        <v>8.16</v>
      </c>
      <c r="E1021" s="787">
        <v>188.16</v>
      </c>
      <c r="F1021" s="788">
        <v>37637</v>
      </c>
      <c r="G1021" s="788">
        <v>37637</v>
      </c>
      <c r="H1021" s="787">
        <v>1</v>
      </c>
      <c r="I1021" s="788">
        <v>37278</v>
      </c>
      <c r="J1021" s="788">
        <v>37637</v>
      </c>
      <c r="L1021" s="787">
        <v>205.09</v>
      </c>
      <c r="M1021" s="787">
        <v>20</v>
      </c>
      <c r="N1021" s="787">
        <v>220.47</v>
      </c>
      <c r="O1021" s="788">
        <v>41955</v>
      </c>
    </row>
    <row r="1022" spans="1:15" x14ac:dyDescent="0.25">
      <c r="A1022" s="786" t="s">
        <v>2565</v>
      </c>
      <c r="B1022" s="787">
        <v>4</v>
      </c>
      <c r="C1022" s="787" t="s">
        <v>2566</v>
      </c>
      <c r="D1022" s="787">
        <v>6.85</v>
      </c>
      <c r="E1022" s="787">
        <v>196.85</v>
      </c>
      <c r="F1022" s="788">
        <v>37637</v>
      </c>
      <c r="G1022" s="788">
        <v>37637</v>
      </c>
      <c r="H1022" s="787">
        <v>1</v>
      </c>
      <c r="I1022" s="788">
        <v>37131</v>
      </c>
      <c r="J1022" s="788">
        <v>37637</v>
      </c>
      <c r="L1022" s="787">
        <v>214.57</v>
      </c>
      <c r="M1022" s="787">
        <v>20</v>
      </c>
      <c r="N1022" s="787">
        <v>230.66</v>
      </c>
      <c r="O1022" s="788">
        <v>41955</v>
      </c>
    </row>
    <row r="1023" spans="1:15" x14ac:dyDescent="0.25">
      <c r="A1023" s="786" t="s">
        <v>2567</v>
      </c>
      <c r="B1023" s="787">
        <v>4</v>
      </c>
      <c r="C1023" s="787" t="s">
        <v>2568</v>
      </c>
      <c r="D1023" s="787">
        <v>6.85</v>
      </c>
      <c r="E1023" s="787">
        <v>196.85</v>
      </c>
      <c r="F1023" s="788">
        <v>37637</v>
      </c>
      <c r="G1023" s="788">
        <v>37637</v>
      </c>
      <c r="H1023" s="787">
        <v>1</v>
      </c>
      <c r="I1023" s="788">
        <v>37357</v>
      </c>
      <c r="J1023" s="788">
        <v>37637</v>
      </c>
      <c r="L1023" s="787">
        <v>214.57</v>
      </c>
      <c r="M1023" s="787">
        <v>20</v>
      </c>
      <c r="N1023" s="787">
        <v>230.66</v>
      </c>
      <c r="O1023" s="788">
        <v>41955</v>
      </c>
    </row>
    <row r="1024" spans="1:15" x14ac:dyDescent="0.25">
      <c r="A1024" s="786" t="s">
        <v>2569</v>
      </c>
      <c r="B1024" s="787">
        <v>4</v>
      </c>
      <c r="C1024" s="787" t="s">
        <v>2570</v>
      </c>
      <c r="D1024" s="787">
        <v>0.59</v>
      </c>
      <c r="E1024" s="787">
        <v>190.59</v>
      </c>
      <c r="F1024" s="788">
        <v>37637</v>
      </c>
      <c r="G1024" s="788">
        <v>37637</v>
      </c>
      <c r="H1024" s="787">
        <v>1</v>
      </c>
      <c r="I1024" s="788">
        <v>37131</v>
      </c>
      <c r="J1024" s="788">
        <v>37637</v>
      </c>
      <c r="L1024" s="787">
        <v>207.74</v>
      </c>
      <c r="M1024" s="787">
        <v>20</v>
      </c>
      <c r="N1024" s="787">
        <v>223.32</v>
      </c>
      <c r="O1024" s="788">
        <v>41955</v>
      </c>
    </row>
    <row r="1025" spans="1:15" x14ac:dyDescent="0.25">
      <c r="A1025" s="786" t="s">
        <v>2571</v>
      </c>
      <c r="B1025" s="787">
        <v>4</v>
      </c>
      <c r="C1025" s="787" t="s">
        <v>2572</v>
      </c>
      <c r="D1025" s="787">
        <v>4.6100000000000003</v>
      </c>
      <c r="E1025" s="787">
        <v>11.51</v>
      </c>
      <c r="F1025" s="788">
        <v>39456</v>
      </c>
      <c r="G1025" s="788">
        <v>41565</v>
      </c>
      <c r="H1025" s="787">
        <v>1</v>
      </c>
      <c r="I1025" s="788">
        <v>41043</v>
      </c>
      <c r="J1025" s="788">
        <v>40296</v>
      </c>
      <c r="L1025" s="787">
        <v>6.68</v>
      </c>
      <c r="M1025" s="787">
        <v>10</v>
      </c>
      <c r="N1025" s="787">
        <v>26.7</v>
      </c>
      <c r="O1025" s="788">
        <v>42163</v>
      </c>
    </row>
    <row r="1026" spans="1:15" x14ac:dyDescent="0.25">
      <c r="A1026" s="786" t="s">
        <v>2573</v>
      </c>
      <c r="B1026" s="787">
        <v>4</v>
      </c>
      <c r="C1026" s="787" t="s">
        <v>2574</v>
      </c>
      <c r="D1026" s="787">
        <v>9.3699999999999992</v>
      </c>
      <c r="E1026" s="787">
        <v>12.77</v>
      </c>
      <c r="F1026" s="788">
        <v>39101</v>
      </c>
      <c r="G1026" s="788">
        <v>41565</v>
      </c>
      <c r="H1026" s="787">
        <v>1</v>
      </c>
      <c r="I1026" s="788">
        <v>40799</v>
      </c>
      <c r="J1026" s="788">
        <v>40609</v>
      </c>
      <c r="L1026" s="787">
        <v>7.84</v>
      </c>
      <c r="M1026" s="787">
        <v>10</v>
      </c>
      <c r="N1026" s="787">
        <v>25.72</v>
      </c>
      <c r="O1026" s="788">
        <v>42163</v>
      </c>
    </row>
    <row r="1027" spans="1:15" x14ac:dyDescent="0.25">
      <c r="A1027" s="786" t="s">
        <v>2575</v>
      </c>
      <c r="B1027" s="787">
        <v>4</v>
      </c>
      <c r="C1027" s="787" t="s">
        <v>2576</v>
      </c>
      <c r="D1027" s="787">
        <v>9.2100000000000009</v>
      </c>
      <c r="E1027" s="787">
        <v>9.2100000000000009</v>
      </c>
      <c r="F1027" s="788">
        <v>39101</v>
      </c>
      <c r="G1027" s="788">
        <v>41565</v>
      </c>
      <c r="H1027" s="787">
        <v>1</v>
      </c>
      <c r="I1027" s="788">
        <v>41123</v>
      </c>
      <c r="J1027" s="788">
        <v>39685</v>
      </c>
      <c r="L1027" s="787">
        <v>9</v>
      </c>
      <c r="M1027" s="787">
        <v>10</v>
      </c>
      <c r="N1027" s="787">
        <v>27.85</v>
      </c>
      <c r="O1027" s="788">
        <v>42163</v>
      </c>
    </row>
    <row r="1028" spans="1:15" x14ac:dyDescent="0.25">
      <c r="A1028" s="786" t="s">
        <v>2577</v>
      </c>
      <c r="B1028" s="787">
        <v>4</v>
      </c>
      <c r="C1028" s="787" t="s">
        <v>2578</v>
      </c>
      <c r="D1028" s="787">
        <v>3.74</v>
      </c>
      <c r="E1028" s="787">
        <v>31.6</v>
      </c>
      <c r="F1028" s="788">
        <v>39101</v>
      </c>
      <c r="G1028" s="788">
        <v>41957</v>
      </c>
      <c r="H1028" s="787">
        <v>1</v>
      </c>
      <c r="I1028" s="788">
        <v>42066</v>
      </c>
      <c r="J1028" s="788">
        <v>41932</v>
      </c>
      <c r="L1028" s="787">
        <v>6.99</v>
      </c>
      <c r="M1028" s="787">
        <v>10</v>
      </c>
      <c r="N1028" s="787">
        <v>33.14</v>
      </c>
      <c r="O1028" s="788">
        <v>42163</v>
      </c>
    </row>
    <row r="1029" spans="1:15" x14ac:dyDescent="0.25">
      <c r="A1029" s="786" t="s">
        <v>2579</v>
      </c>
      <c r="B1029" s="787">
        <v>4</v>
      </c>
      <c r="C1029" s="787" t="s">
        <v>2580</v>
      </c>
      <c r="D1029" s="787">
        <v>3.45</v>
      </c>
      <c r="E1029" s="787">
        <v>13.45</v>
      </c>
      <c r="F1029" s="788">
        <v>38047</v>
      </c>
      <c r="G1029" s="788">
        <v>38047</v>
      </c>
      <c r="H1029" s="787">
        <v>1</v>
      </c>
      <c r="I1029" s="788">
        <v>39561</v>
      </c>
      <c r="J1029" s="788">
        <v>38047</v>
      </c>
      <c r="L1029" s="787">
        <v>14.66</v>
      </c>
      <c r="M1029" s="787">
        <v>20</v>
      </c>
      <c r="N1029" s="787">
        <v>15.76</v>
      </c>
      <c r="O1029" s="788">
        <v>41955</v>
      </c>
    </row>
    <row r="1030" spans="1:15" x14ac:dyDescent="0.25">
      <c r="A1030" s="786" t="s">
        <v>2581</v>
      </c>
      <c r="B1030" s="787">
        <v>4</v>
      </c>
      <c r="C1030" s="787" t="s">
        <v>2582</v>
      </c>
      <c r="D1030" s="787">
        <v>3.45</v>
      </c>
      <c r="E1030" s="787">
        <v>13.45</v>
      </c>
      <c r="F1030" s="788">
        <v>38047</v>
      </c>
      <c r="G1030" s="788">
        <v>38047</v>
      </c>
      <c r="H1030" s="787">
        <v>1</v>
      </c>
      <c r="I1030" s="788">
        <v>39561</v>
      </c>
      <c r="J1030" s="788">
        <v>38047</v>
      </c>
      <c r="L1030" s="787">
        <v>14.66</v>
      </c>
      <c r="M1030" s="787">
        <v>20</v>
      </c>
      <c r="N1030" s="787">
        <v>15.76</v>
      </c>
      <c r="O1030" s="788">
        <v>41955</v>
      </c>
    </row>
    <row r="1031" spans="1:15" x14ac:dyDescent="0.25">
      <c r="A1031" s="786" t="s">
        <v>2583</v>
      </c>
      <c r="B1031" s="787">
        <v>4</v>
      </c>
      <c r="C1031" s="787" t="s">
        <v>2584</v>
      </c>
      <c r="D1031" s="787">
        <v>2.72</v>
      </c>
      <c r="E1031" s="787">
        <v>191.86</v>
      </c>
      <c r="F1031" s="788">
        <v>41813</v>
      </c>
      <c r="G1031" s="788">
        <v>42166</v>
      </c>
      <c r="H1031" s="787">
        <v>1</v>
      </c>
      <c r="I1031" s="788">
        <v>42163</v>
      </c>
      <c r="J1031" s="788">
        <v>42166</v>
      </c>
      <c r="L1031" s="787">
        <v>229.61</v>
      </c>
      <c r="M1031" s="787">
        <v>10</v>
      </c>
      <c r="N1031" s="787">
        <v>197.18</v>
      </c>
      <c r="O1031" s="788">
        <v>42163</v>
      </c>
    </row>
    <row r="1032" spans="1:15" x14ac:dyDescent="0.25">
      <c r="A1032" s="786" t="s">
        <v>2585</v>
      </c>
      <c r="B1032" s="787">
        <v>4</v>
      </c>
      <c r="C1032" s="787" t="s">
        <v>2586</v>
      </c>
      <c r="D1032" s="787">
        <v>0.63</v>
      </c>
      <c r="E1032" s="787">
        <v>10.63</v>
      </c>
      <c r="F1032" s="788">
        <v>41551</v>
      </c>
      <c r="G1032" s="788">
        <v>42013</v>
      </c>
      <c r="H1032" s="787">
        <v>1</v>
      </c>
      <c r="I1032" s="788">
        <v>42166</v>
      </c>
      <c r="J1032" s="788">
        <v>41954</v>
      </c>
      <c r="K1032" s="788">
        <v>41869</v>
      </c>
      <c r="L1032" s="787">
        <v>10.63</v>
      </c>
      <c r="M1032" s="787">
        <v>20</v>
      </c>
      <c r="N1032" s="787">
        <v>11.43</v>
      </c>
      <c r="O1032" s="788">
        <v>42163</v>
      </c>
    </row>
    <row r="1033" spans="1:15" x14ac:dyDescent="0.25">
      <c r="A1033" s="786" t="s">
        <v>2587</v>
      </c>
      <c r="B1033" s="787">
        <v>4</v>
      </c>
      <c r="C1033" s="787" t="s">
        <v>2588</v>
      </c>
      <c r="D1033" s="787">
        <v>3.08</v>
      </c>
      <c r="E1033" s="787">
        <v>13.08</v>
      </c>
      <c r="F1033" s="788">
        <v>41551</v>
      </c>
      <c r="G1033" s="788">
        <v>42013</v>
      </c>
      <c r="H1033" s="787">
        <v>1</v>
      </c>
      <c r="I1033" s="788">
        <v>42166</v>
      </c>
      <c r="J1033" s="788">
        <v>41954</v>
      </c>
      <c r="K1033" s="788">
        <v>40596</v>
      </c>
      <c r="L1033" s="787">
        <v>16.8</v>
      </c>
      <c r="M1033" s="787">
        <v>20</v>
      </c>
      <c r="N1033" s="787">
        <v>18.059999999999999</v>
      </c>
      <c r="O1033" s="788">
        <v>42163</v>
      </c>
    </row>
    <row r="1034" spans="1:15" x14ac:dyDescent="0.25">
      <c r="A1034" s="786" t="s">
        <v>2589</v>
      </c>
      <c r="B1034" s="787">
        <v>4</v>
      </c>
      <c r="C1034" s="787" t="s">
        <v>2590</v>
      </c>
      <c r="D1034" s="787">
        <v>5</v>
      </c>
      <c r="E1034" s="787">
        <v>15.21</v>
      </c>
      <c r="F1034" s="788">
        <v>40065</v>
      </c>
      <c r="G1034" s="788">
        <v>42013</v>
      </c>
      <c r="H1034" s="787">
        <v>1</v>
      </c>
      <c r="I1034" s="788">
        <v>42166</v>
      </c>
      <c r="J1034" s="788">
        <v>41954</v>
      </c>
      <c r="K1034" s="788">
        <v>40596</v>
      </c>
      <c r="L1034" s="787">
        <v>17.5</v>
      </c>
      <c r="M1034" s="787">
        <v>20</v>
      </c>
      <c r="N1034" s="787">
        <v>18.809999999999999</v>
      </c>
      <c r="O1034" s="788">
        <v>42163</v>
      </c>
    </row>
    <row r="1035" spans="1:15" x14ac:dyDescent="0.25">
      <c r="A1035" s="786" t="s">
        <v>2591</v>
      </c>
      <c r="B1035" s="787">
        <v>4</v>
      </c>
      <c r="C1035" s="787" t="s">
        <v>2592</v>
      </c>
      <c r="D1035" s="787">
        <v>3.63</v>
      </c>
      <c r="E1035" s="787">
        <v>4.7</v>
      </c>
      <c r="F1035" s="788">
        <v>40059</v>
      </c>
      <c r="G1035" s="788">
        <v>42158</v>
      </c>
      <c r="H1035" s="787">
        <v>1</v>
      </c>
      <c r="I1035" s="788">
        <v>42166</v>
      </c>
      <c r="J1035" s="788">
        <v>42158</v>
      </c>
      <c r="K1035" s="788">
        <v>41807</v>
      </c>
      <c r="L1035" s="787">
        <v>3.63</v>
      </c>
      <c r="M1035" s="787">
        <v>20</v>
      </c>
      <c r="N1035" s="787">
        <v>3.9</v>
      </c>
      <c r="O1035" s="788">
        <v>42163</v>
      </c>
    </row>
    <row r="1036" spans="1:15" x14ac:dyDescent="0.25">
      <c r="A1036" s="786" t="s">
        <v>2593</v>
      </c>
      <c r="B1036" s="787">
        <v>4</v>
      </c>
      <c r="C1036" s="787" t="s">
        <v>2594</v>
      </c>
      <c r="D1036" s="787">
        <v>8.25</v>
      </c>
      <c r="E1036" s="787">
        <v>8.25</v>
      </c>
      <c r="F1036" s="788">
        <v>37637</v>
      </c>
      <c r="G1036" s="788">
        <v>37637</v>
      </c>
      <c r="H1036" s="787">
        <v>1</v>
      </c>
      <c r="I1036" s="788">
        <v>38133</v>
      </c>
      <c r="J1036" s="788">
        <v>37637</v>
      </c>
      <c r="L1036" s="787">
        <v>8.99</v>
      </c>
      <c r="M1036" s="787">
        <v>20</v>
      </c>
      <c r="N1036" s="787">
        <v>9.66</v>
      </c>
      <c r="O1036" s="788">
        <v>41955</v>
      </c>
    </row>
    <row r="1037" spans="1:15" x14ac:dyDescent="0.25">
      <c r="A1037" s="786" t="s">
        <v>2595</v>
      </c>
      <c r="B1037" s="787">
        <v>4</v>
      </c>
      <c r="C1037" s="787" t="s">
        <v>2596</v>
      </c>
      <c r="D1037" s="787">
        <v>1.81</v>
      </c>
      <c r="E1037" s="787">
        <v>31.81</v>
      </c>
      <c r="F1037" s="788">
        <v>41551</v>
      </c>
      <c r="G1037" s="788">
        <v>42013</v>
      </c>
      <c r="H1037" s="787">
        <v>1</v>
      </c>
      <c r="I1037" s="788">
        <v>42166</v>
      </c>
      <c r="J1037" s="788">
        <v>41954</v>
      </c>
      <c r="K1037" s="788">
        <v>40549</v>
      </c>
      <c r="L1037" s="787">
        <v>40.299999999999997</v>
      </c>
      <c r="M1037" s="787">
        <v>20</v>
      </c>
      <c r="N1037" s="787">
        <v>43.32</v>
      </c>
      <c r="O1037" s="788">
        <v>42163</v>
      </c>
    </row>
    <row r="1038" spans="1:15" x14ac:dyDescent="0.25">
      <c r="A1038" s="786" t="s">
        <v>2597</v>
      </c>
      <c r="B1038" s="787">
        <v>4</v>
      </c>
      <c r="C1038" s="787" t="s">
        <v>2598</v>
      </c>
      <c r="D1038" s="787">
        <v>3.87</v>
      </c>
      <c r="E1038" s="787">
        <v>13.87</v>
      </c>
      <c r="F1038" s="788">
        <v>41551</v>
      </c>
      <c r="G1038" s="788">
        <v>42013</v>
      </c>
      <c r="H1038" s="787">
        <v>1</v>
      </c>
      <c r="I1038" s="788">
        <v>42166</v>
      </c>
      <c r="J1038" s="788">
        <v>41954</v>
      </c>
      <c r="K1038" s="788">
        <v>41869</v>
      </c>
      <c r="L1038" s="787">
        <v>13.87</v>
      </c>
      <c r="M1038" s="787">
        <v>20</v>
      </c>
      <c r="N1038" s="787">
        <v>14.91</v>
      </c>
      <c r="O1038" s="788">
        <v>42163</v>
      </c>
    </row>
    <row r="1039" spans="1:15" x14ac:dyDescent="0.25">
      <c r="A1039" s="786" t="s">
        <v>2599</v>
      </c>
      <c r="B1039" s="787">
        <v>4</v>
      </c>
      <c r="C1039" s="787" t="s">
        <v>2600</v>
      </c>
      <c r="D1039" s="787">
        <v>9.43</v>
      </c>
      <c r="E1039" s="787">
        <v>92.51</v>
      </c>
      <c r="F1039" s="788">
        <v>37637</v>
      </c>
      <c r="G1039" s="788">
        <v>41975</v>
      </c>
      <c r="H1039" s="787">
        <v>1</v>
      </c>
      <c r="I1039" s="788">
        <v>42146</v>
      </c>
      <c r="J1039" s="788">
        <v>42146</v>
      </c>
      <c r="L1039" s="787">
        <v>21.18</v>
      </c>
      <c r="M1039" s="787">
        <v>10</v>
      </c>
      <c r="N1039" s="787">
        <v>84.58</v>
      </c>
      <c r="O1039" s="788">
        <v>42163</v>
      </c>
    </row>
    <row r="1040" spans="1:15" x14ac:dyDescent="0.25">
      <c r="A1040" s="786" t="s">
        <v>2601</v>
      </c>
      <c r="B1040" s="787">
        <v>4</v>
      </c>
      <c r="C1040" s="787" t="s">
        <v>2602</v>
      </c>
      <c r="D1040" s="787">
        <v>3.62</v>
      </c>
      <c r="E1040" s="787">
        <v>27.23</v>
      </c>
      <c r="F1040" s="788">
        <v>41548</v>
      </c>
      <c r="G1040" s="788">
        <v>42137</v>
      </c>
      <c r="H1040" s="787">
        <v>1</v>
      </c>
      <c r="I1040" s="788">
        <v>42160</v>
      </c>
      <c r="J1040" s="788">
        <v>42137</v>
      </c>
      <c r="K1040" s="788">
        <v>40983</v>
      </c>
      <c r="L1040" s="787">
        <v>18.66</v>
      </c>
      <c r="M1040" s="787">
        <v>10</v>
      </c>
      <c r="N1040" s="787">
        <v>26.93</v>
      </c>
      <c r="O1040" s="788">
        <v>42152</v>
      </c>
    </row>
    <row r="1041" spans="1:15" x14ac:dyDescent="0.25">
      <c r="A1041" s="786" t="s">
        <v>2603</v>
      </c>
      <c r="B1041" s="787">
        <v>4</v>
      </c>
      <c r="C1041" s="787" t="s">
        <v>2604</v>
      </c>
      <c r="D1041" s="787">
        <v>6.84</v>
      </c>
      <c r="E1041" s="787">
        <v>16.84</v>
      </c>
      <c r="F1041" s="788">
        <v>41681</v>
      </c>
      <c r="G1041" s="788">
        <v>41757</v>
      </c>
      <c r="H1041" s="787">
        <v>1</v>
      </c>
      <c r="I1041" s="788">
        <v>41691</v>
      </c>
      <c r="J1041" s="788">
        <v>41680</v>
      </c>
      <c r="L1041" s="787">
        <v>13.59</v>
      </c>
      <c r="M1041" s="787">
        <v>20</v>
      </c>
      <c r="N1041" s="787">
        <v>14.61</v>
      </c>
      <c r="O1041" s="788">
        <v>41955</v>
      </c>
    </row>
    <row r="1042" spans="1:15" x14ac:dyDescent="0.25">
      <c r="A1042" s="786" t="s">
        <v>2605</v>
      </c>
      <c r="B1042" s="787">
        <v>4</v>
      </c>
      <c r="C1042" s="787" t="s">
        <v>2606</v>
      </c>
      <c r="D1042" s="787">
        <v>2.5499999999999998</v>
      </c>
      <c r="E1042" s="787">
        <v>178.99</v>
      </c>
      <c r="F1042" s="788">
        <v>41779</v>
      </c>
      <c r="G1042" s="788">
        <v>42146</v>
      </c>
      <c r="H1042" s="787">
        <v>1</v>
      </c>
      <c r="J1042" s="788">
        <v>42124</v>
      </c>
      <c r="L1042" s="787">
        <v>172.55</v>
      </c>
      <c r="M1042" s="787">
        <v>20</v>
      </c>
      <c r="N1042" s="787">
        <v>185.49</v>
      </c>
      <c r="O1042" s="788">
        <v>41955</v>
      </c>
    </row>
    <row r="1043" spans="1:15" x14ac:dyDescent="0.25">
      <c r="A1043" s="786" t="s">
        <v>2607</v>
      </c>
      <c r="B1043" s="787">
        <v>4</v>
      </c>
      <c r="C1043" s="787" t="s">
        <v>2608</v>
      </c>
      <c r="D1043" s="787">
        <v>2.56</v>
      </c>
      <c r="E1043" s="787">
        <v>2.56</v>
      </c>
      <c r="F1043" s="788">
        <v>37637</v>
      </c>
      <c r="G1043" s="788">
        <v>37637</v>
      </c>
      <c r="H1043" s="787">
        <v>1</v>
      </c>
      <c r="J1043" s="788">
        <v>37637</v>
      </c>
      <c r="L1043" s="787">
        <v>2.79</v>
      </c>
      <c r="M1043" s="787">
        <v>20</v>
      </c>
      <c r="N1043" s="787">
        <v>3</v>
      </c>
      <c r="O1043" s="788">
        <v>41955</v>
      </c>
    </row>
    <row r="1044" spans="1:15" x14ac:dyDescent="0.25">
      <c r="A1044" s="786" t="s">
        <v>2609</v>
      </c>
      <c r="B1044" s="787">
        <v>4</v>
      </c>
      <c r="C1044" s="787" t="s">
        <v>2610</v>
      </c>
      <c r="D1044" s="787">
        <v>0.2</v>
      </c>
      <c r="E1044" s="787">
        <v>20.2</v>
      </c>
      <c r="F1044" s="788">
        <v>37637</v>
      </c>
      <c r="G1044" s="788">
        <v>37637</v>
      </c>
      <c r="H1044" s="787">
        <v>1</v>
      </c>
      <c r="I1044" s="788">
        <v>38133</v>
      </c>
      <c r="J1044" s="788">
        <v>37637</v>
      </c>
      <c r="L1044" s="787">
        <v>22.02</v>
      </c>
      <c r="M1044" s="787">
        <v>20</v>
      </c>
      <c r="N1044" s="787">
        <v>23.67</v>
      </c>
      <c r="O1044" s="788">
        <v>41955</v>
      </c>
    </row>
    <row r="1045" spans="1:15" x14ac:dyDescent="0.25">
      <c r="A1045" s="786" t="s">
        <v>2611</v>
      </c>
      <c r="B1045" s="787">
        <v>4</v>
      </c>
      <c r="C1045" s="787" t="s">
        <v>2612</v>
      </c>
      <c r="D1045" s="787">
        <v>0.5</v>
      </c>
      <c r="E1045" s="787">
        <v>1.39</v>
      </c>
      <c r="F1045" s="788">
        <v>39456</v>
      </c>
      <c r="G1045" s="788">
        <v>42013</v>
      </c>
      <c r="H1045" s="787">
        <v>1</v>
      </c>
      <c r="I1045" s="788">
        <v>42151</v>
      </c>
      <c r="J1045" s="788">
        <v>40905</v>
      </c>
      <c r="L1045" s="787">
        <v>0.9</v>
      </c>
      <c r="M1045" s="787">
        <v>10</v>
      </c>
      <c r="N1045" s="787">
        <v>0.97</v>
      </c>
      <c r="O1045" s="788">
        <v>42159</v>
      </c>
    </row>
    <row r="1046" spans="1:15" x14ac:dyDescent="0.25">
      <c r="A1046" s="786" t="s">
        <v>2613</v>
      </c>
      <c r="B1046" s="787">
        <v>4</v>
      </c>
      <c r="C1046" s="787" t="s">
        <v>2614</v>
      </c>
      <c r="D1046" s="787">
        <v>8.85</v>
      </c>
      <c r="E1046" s="787">
        <v>198.85</v>
      </c>
      <c r="F1046" s="788">
        <v>37637</v>
      </c>
      <c r="G1046" s="788">
        <v>37637</v>
      </c>
      <c r="H1046" s="787">
        <v>1</v>
      </c>
      <c r="J1046" s="788">
        <v>37637</v>
      </c>
      <c r="L1046" s="787">
        <v>216.75</v>
      </c>
      <c r="M1046" s="787">
        <v>20</v>
      </c>
      <c r="N1046" s="787">
        <v>233.01</v>
      </c>
      <c r="O1046" s="788">
        <v>41955</v>
      </c>
    </row>
    <row r="1047" spans="1:15" x14ac:dyDescent="0.25">
      <c r="A1047" s="786" t="s">
        <v>2615</v>
      </c>
      <c r="B1047" s="787">
        <v>4</v>
      </c>
      <c r="C1047" s="787" t="s">
        <v>2616</v>
      </c>
      <c r="D1047" s="787">
        <v>6.85</v>
      </c>
      <c r="E1047" s="787">
        <v>196.85</v>
      </c>
      <c r="F1047" s="788">
        <v>37637</v>
      </c>
      <c r="G1047" s="788">
        <v>37637</v>
      </c>
      <c r="H1047" s="787">
        <v>1</v>
      </c>
      <c r="J1047" s="788">
        <v>37637</v>
      </c>
      <c r="L1047" s="787">
        <v>214.57</v>
      </c>
      <c r="M1047" s="787">
        <v>20</v>
      </c>
      <c r="N1047" s="787">
        <v>230.66</v>
      </c>
      <c r="O1047" s="788">
        <v>42127</v>
      </c>
    </row>
    <row r="1048" spans="1:15" x14ac:dyDescent="0.25">
      <c r="A1048" s="786" t="s">
        <v>2617</v>
      </c>
      <c r="B1048" s="787">
        <v>4</v>
      </c>
      <c r="C1048" s="787" t="s">
        <v>2618</v>
      </c>
      <c r="D1048" s="787">
        <v>5.5</v>
      </c>
      <c r="E1048" s="787">
        <v>205.5</v>
      </c>
      <c r="F1048" s="788">
        <v>37637</v>
      </c>
      <c r="G1048" s="788">
        <v>37637</v>
      </c>
      <c r="H1048" s="787">
        <v>1</v>
      </c>
      <c r="I1048" s="788">
        <v>37069</v>
      </c>
      <c r="J1048" s="788">
        <v>37637</v>
      </c>
      <c r="L1048" s="787">
        <v>224</v>
      </c>
      <c r="M1048" s="787">
        <v>20</v>
      </c>
      <c r="N1048" s="787">
        <v>240.8</v>
      </c>
      <c r="O1048" s="788">
        <v>41955</v>
      </c>
    </row>
    <row r="1049" spans="1:15" x14ac:dyDescent="0.25">
      <c r="A1049" s="786" t="s">
        <v>2619</v>
      </c>
      <c r="B1049" s="787">
        <v>4</v>
      </c>
      <c r="C1049" s="787" t="s">
        <v>2620</v>
      </c>
      <c r="D1049" s="787">
        <v>5.5</v>
      </c>
      <c r="E1049" s="787">
        <v>205.5</v>
      </c>
      <c r="F1049" s="788">
        <v>37474</v>
      </c>
      <c r="G1049" s="788">
        <v>37552</v>
      </c>
      <c r="H1049" s="787">
        <v>1</v>
      </c>
      <c r="J1049" s="788">
        <v>37637</v>
      </c>
      <c r="L1049" s="787">
        <v>224</v>
      </c>
      <c r="M1049" s="787">
        <v>20</v>
      </c>
      <c r="N1049" s="787">
        <v>240.8</v>
      </c>
      <c r="O1049" s="788">
        <v>41955</v>
      </c>
    </row>
    <row r="1050" spans="1:15" x14ac:dyDescent="0.25">
      <c r="A1050" s="786" t="s">
        <v>2621</v>
      </c>
      <c r="B1050" s="787">
        <v>4</v>
      </c>
      <c r="C1050" s="787" t="s">
        <v>2614</v>
      </c>
      <c r="D1050" s="787">
        <v>6.85</v>
      </c>
      <c r="E1050" s="787">
        <v>196.85</v>
      </c>
      <c r="F1050" s="788">
        <v>37637</v>
      </c>
      <c r="G1050" s="788">
        <v>37637</v>
      </c>
      <c r="H1050" s="787">
        <v>1</v>
      </c>
      <c r="J1050" s="788">
        <v>37637</v>
      </c>
      <c r="L1050" s="787">
        <v>214.57</v>
      </c>
      <c r="M1050" s="787">
        <v>20</v>
      </c>
      <c r="N1050" s="787">
        <v>230.66</v>
      </c>
      <c r="O1050" s="788">
        <v>42030</v>
      </c>
    </row>
    <row r="1051" spans="1:15" x14ac:dyDescent="0.25">
      <c r="A1051" s="786" t="s">
        <v>2622</v>
      </c>
      <c r="B1051" s="787">
        <v>4</v>
      </c>
      <c r="C1051" s="787" t="s">
        <v>2623</v>
      </c>
      <c r="D1051" s="787">
        <v>7.4</v>
      </c>
      <c r="E1051" s="787">
        <v>7.4</v>
      </c>
      <c r="F1051" s="788">
        <v>37637</v>
      </c>
      <c r="G1051" s="788">
        <v>37637</v>
      </c>
      <c r="H1051" s="787">
        <v>1</v>
      </c>
      <c r="J1051" s="788">
        <v>37637</v>
      </c>
      <c r="L1051" s="787">
        <v>8.07</v>
      </c>
      <c r="M1051" s="787">
        <v>20</v>
      </c>
      <c r="N1051" s="787">
        <v>8.68</v>
      </c>
      <c r="O1051" s="788">
        <v>41955</v>
      </c>
    </row>
    <row r="1052" spans="1:15" x14ac:dyDescent="0.25">
      <c r="A1052" s="786" t="s">
        <v>2624</v>
      </c>
      <c r="B1052" s="787">
        <v>4</v>
      </c>
      <c r="C1052" s="787" t="s">
        <v>2625</v>
      </c>
      <c r="D1052" s="787">
        <v>0.95</v>
      </c>
      <c r="E1052" s="787">
        <v>0.99</v>
      </c>
      <c r="F1052" s="788">
        <v>41779</v>
      </c>
      <c r="G1052" s="788">
        <v>42135</v>
      </c>
      <c r="H1052" s="787">
        <v>1</v>
      </c>
      <c r="J1052" s="788">
        <v>42124</v>
      </c>
      <c r="L1052" s="787">
        <v>0.95</v>
      </c>
      <c r="M1052" s="787">
        <v>20</v>
      </c>
      <c r="N1052" s="787">
        <v>1.02</v>
      </c>
      <c r="O1052" s="788">
        <v>41955</v>
      </c>
    </row>
    <row r="1053" spans="1:15" x14ac:dyDescent="0.25">
      <c r="A1053" s="786" t="s">
        <v>2626</v>
      </c>
      <c r="B1053" s="787">
        <v>4</v>
      </c>
      <c r="C1053" s="787" t="s">
        <v>2627</v>
      </c>
      <c r="D1053" s="787">
        <v>0.52</v>
      </c>
      <c r="E1053" s="787">
        <v>0.54</v>
      </c>
      <c r="F1053" s="788">
        <v>41779</v>
      </c>
      <c r="G1053" s="788">
        <v>42135</v>
      </c>
      <c r="H1053" s="787">
        <v>1</v>
      </c>
      <c r="J1053" s="788">
        <v>42124</v>
      </c>
      <c r="L1053" s="787">
        <v>0.52</v>
      </c>
      <c r="M1053" s="787">
        <v>20</v>
      </c>
      <c r="N1053" s="787">
        <v>0.56000000000000005</v>
      </c>
      <c r="O1053" s="788">
        <v>41955</v>
      </c>
    </row>
    <row r="1054" spans="1:15" x14ac:dyDescent="0.25">
      <c r="A1054" s="786" t="s">
        <v>2628</v>
      </c>
      <c r="B1054" s="787">
        <v>4</v>
      </c>
      <c r="C1054" s="787" t="s">
        <v>2629</v>
      </c>
      <c r="D1054" s="787">
        <v>4.3499999999999996</v>
      </c>
      <c r="E1054" s="787">
        <v>97.87</v>
      </c>
      <c r="F1054" s="788">
        <v>41779</v>
      </c>
      <c r="G1054" s="788">
        <v>42135</v>
      </c>
      <c r="H1054" s="787">
        <v>1</v>
      </c>
      <c r="J1054" s="788">
        <v>42124</v>
      </c>
      <c r="L1054" s="787">
        <v>94.35</v>
      </c>
      <c r="M1054" s="787">
        <v>20</v>
      </c>
      <c r="N1054" s="787">
        <v>101.43</v>
      </c>
      <c r="O1054" s="788">
        <v>41955</v>
      </c>
    </row>
    <row r="1055" spans="1:15" x14ac:dyDescent="0.25">
      <c r="A1055" s="786" t="s">
        <v>2630</v>
      </c>
      <c r="B1055" s="787">
        <v>4</v>
      </c>
      <c r="C1055" s="787" t="s">
        <v>2631</v>
      </c>
      <c r="D1055" s="787">
        <v>2.66</v>
      </c>
      <c r="E1055" s="787">
        <v>2.66</v>
      </c>
      <c r="F1055" s="788">
        <v>41705</v>
      </c>
      <c r="G1055" s="788">
        <v>41789</v>
      </c>
      <c r="H1055" s="787">
        <v>1</v>
      </c>
      <c r="I1055" s="788">
        <v>41710</v>
      </c>
      <c r="J1055" s="788">
        <v>41703</v>
      </c>
      <c r="L1055" s="787">
        <v>3.39</v>
      </c>
      <c r="M1055" s="787">
        <v>20</v>
      </c>
      <c r="N1055" s="787">
        <v>3.64</v>
      </c>
      <c r="O1055" s="788">
        <v>41955</v>
      </c>
    </row>
    <row r="1056" spans="1:15" x14ac:dyDescent="0.25">
      <c r="A1056" s="786" t="s">
        <v>2632</v>
      </c>
      <c r="B1056" s="787">
        <v>4</v>
      </c>
      <c r="C1056" s="787" t="s">
        <v>2633</v>
      </c>
      <c r="D1056" s="787">
        <v>4.05</v>
      </c>
      <c r="E1056" s="787">
        <v>7.71</v>
      </c>
      <c r="F1056" s="788">
        <v>41694</v>
      </c>
      <c r="G1056" s="788">
        <v>42121</v>
      </c>
      <c r="H1056" s="787">
        <v>1</v>
      </c>
      <c r="I1056" s="788">
        <v>42075</v>
      </c>
      <c r="J1056" s="788">
        <v>42076</v>
      </c>
      <c r="L1056" s="787">
        <v>4.05</v>
      </c>
      <c r="M1056" s="787">
        <v>20</v>
      </c>
      <c r="N1056" s="787">
        <v>4.3499999999999996</v>
      </c>
      <c r="O1056" s="788">
        <v>41955</v>
      </c>
    </row>
    <row r="1057" spans="1:15" x14ac:dyDescent="0.25">
      <c r="A1057" s="786" t="s">
        <v>2634</v>
      </c>
      <c r="B1057" s="787">
        <v>4</v>
      </c>
      <c r="C1057" s="787" t="s">
        <v>2635</v>
      </c>
      <c r="D1057" s="787">
        <v>6.19</v>
      </c>
      <c r="E1057" s="787">
        <v>6.19</v>
      </c>
      <c r="F1057" s="788">
        <v>41694</v>
      </c>
      <c r="G1057" s="788">
        <v>41691</v>
      </c>
      <c r="H1057" s="787">
        <v>1</v>
      </c>
      <c r="I1057" s="788">
        <v>41702</v>
      </c>
      <c r="J1057" s="788">
        <v>41691</v>
      </c>
      <c r="L1057" s="787">
        <v>6.19</v>
      </c>
      <c r="M1057" s="787">
        <v>20</v>
      </c>
      <c r="N1057" s="787">
        <v>6.65</v>
      </c>
      <c r="O1057" s="788">
        <v>41955</v>
      </c>
    </row>
    <row r="1058" spans="1:15" x14ac:dyDescent="0.25">
      <c r="A1058" s="786" t="s">
        <v>2636</v>
      </c>
      <c r="B1058" s="787">
        <v>4</v>
      </c>
      <c r="C1058" s="787" t="s">
        <v>2637</v>
      </c>
      <c r="D1058" s="787">
        <v>9.7100000000000009</v>
      </c>
      <c r="E1058" s="787">
        <v>9.7100000000000009</v>
      </c>
      <c r="F1058" s="788">
        <v>37637</v>
      </c>
      <c r="G1058" s="788">
        <v>37637</v>
      </c>
      <c r="H1058" s="787">
        <v>6</v>
      </c>
      <c r="I1058" s="788">
        <v>38133</v>
      </c>
      <c r="J1058" s="788">
        <v>37637</v>
      </c>
      <c r="L1058" s="787">
        <v>9.7100000000000009</v>
      </c>
      <c r="M1058" s="787">
        <v>10</v>
      </c>
      <c r="N1058" s="787">
        <v>0</v>
      </c>
      <c r="O1058" s="788">
        <v>41806</v>
      </c>
    </row>
    <row r="1059" spans="1:15" x14ac:dyDescent="0.25">
      <c r="A1059" s="786" t="s">
        <v>2638</v>
      </c>
      <c r="B1059" s="787">
        <v>4</v>
      </c>
      <c r="C1059" s="787" t="s">
        <v>2639</v>
      </c>
      <c r="D1059" s="787">
        <v>0.02</v>
      </c>
      <c r="E1059" s="787">
        <v>10.02</v>
      </c>
      <c r="F1059" s="788">
        <v>37637</v>
      </c>
      <c r="G1059" s="788">
        <v>37637</v>
      </c>
      <c r="H1059" s="787">
        <v>1</v>
      </c>
      <c r="I1059" s="788">
        <v>37441</v>
      </c>
      <c r="J1059" s="788">
        <v>37637</v>
      </c>
      <c r="L1059" s="787">
        <v>10.02</v>
      </c>
      <c r="M1059" s="787">
        <v>10</v>
      </c>
      <c r="N1059" s="787">
        <v>0</v>
      </c>
      <c r="O1059" s="788">
        <v>41955</v>
      </c>
    </row>
    <row r="1060" spans="1:15" x14ac:dyDescent="0.25">
      <c r="A1060" s="786" t="s">
        <v>2640</v>
      </c>
      <c r="B1060" s="787">
        <v>4</v>
      </c>
      <c r="C1060" s="787" t="s">
        <v>2641</v>
      </c>
      <c r="D1060" s="787">
        <v>6.1</v>
      </c>
      <c r="E1060" s="787">
        <v>6.1</v>
      </c>
      <c r="F1060" s="788">
        <v>41488</v>
      </c>
      <c r="G1060" s="788">
        <v>42159</v>
      </c>
      <c r="H1060" s="787">
        <v>1</v>
      </c>
      <c r="I1060" s="788">
        <v>42160</v>
      </c>
      <c r="J1060" s="788">
        <v>42145</v>
      </c>
      <c r="L1060" s="787">
        <v>6.9</v>
      </c>
      <c r="M1060" s="787">
        <v>20</v>
      </c>
      <c r="N1060" s="787">
        <v>7.42</v>
      </c>
      <c r="O1060" s="788">
        <v>42163</v>
      </c>
    </row>
    <row r="1061" spans="1:15" x14ac:dyDescent="0.25">
      <c r="A1061" s="786" t="s">
        <v>2642</v>
      </c>
      <c r="B1061" s="787">
        <v>4</v>
      </c>
      <c r="C1061" s="787" t="s">
        <v>2643</v>
      </c>
      <c r="D1061" s="787">
        <v>9.7200000000000006</v>
      </c>
      <c r="E1061" s="787">
        <v>9.7200000000000006</v>
      </c>
      <c r="F1061" s="788">
        <v>41697</v>
      </c>
      <c r="G1061" s="788">
        <v>41899</v>
      </c>
      <c r="H1061" s="787">
        <v>1</v>
      </c>
      <c r="I1061" s="788">
        <v>41711</v>
      </c>
      <c r="J1061" s="788">
        <v>41701</v>
      </c>
      <c r="K1061" s="788">
        <v>41695</v>
      </c>
      <c r="L1061" s="787">
        <v>9.6999999999999993</v>
      </c>
      <c r="M1061" s="787">
        <v>20</v>
      </c>
      <c r="N1061" s="787">
        <v>10.43</v>
      </c>
      <c r="O1061" s="788">
        <v>41955</v>
      </c>
    </row>
    <row r="1062" spans="1:15" x14ac:dyDescent="0.25">
      <c r="A1062" s="786" t="s">
        <v>2644</v>
      </c>
      <c r="B1062" s="787">
        <v>4</v>
      </c>
      <c r="C1062" s="787" t="s">
        <v>2645</v>
      </c>
      <c r="D1062" s="787">
        <v>3.02</v>
      </c>
      <c r="E1062" s="787">
        <v>363.02</v>
      </c>
      <c r="F1062" s="788">
        <v>37637</v>
      </c>
      <c r="G1062" s="788">
        <v>37637</v>
      </c>
      <c r="H1062" s="787">
        <v>1</v>
      </c>
      <c r="J1062" s="788">
        <v>37637</v>
      </c>
      <c r="L1062" s="787">
        <v>395.69</v>
      </c>
      <c r="M1062" s="787">
        <v>20</v>
      </c>
      <c r="N1062" s="787">
        <v>425.37</v>
      </c>
      <c r="O1062" s="788">
        <v>41955</v>
      </c>
    </row>
    <row r="1063" spans="1:15" x14ac:dyDescent="0.25">
      <c r="A1063" s="786" t="s">
        <v>2646</v>
      </c>
      <c r="B1063" s="787">
        <v>4</v>
      </c>
      <c r="C1063" s="787" t="s">
        <v>2647</v>
      </c>
      <c r="D1063" s="787">
        <v>0</v>
      </c>
      <c r="E1063" s="787">
        <v>139</v>
      </c>
      <c r="G1063" s="788">
        <v>41710</v>
      </c>
      <c r="H1063" s="787">
        <v>1</v>
      </c>
      <c r="I1063" s="788">
        <v>41729</v>
      </c>
      <c r="J1063" s="788">
        <v>41710</v>
      </c>
      <c r="K1063" s="788">
        <v>41696</v>
      </c>
      <c r="L1063" s="787">
        <v>139</v>
      </c>
      <c r="M1063" s="787">
        <v>20</v>
      </c>
      <c r="N1063" s="787">
        <v>149.43</v>
      </c>
      <c r="O1063" s="788">
        <v>41955</v>
      </c>
    </row>
    <row r="1064" spans="1:15" x14ac:dyDescent="0.25">
      <c r="A1064" s="786" t="s">
        <v>2648</v>
      </c>
      <c r="B1064" s="787">
        <v>4</v>
      </c>
      <c r="C1064" s="787" t="s">
        <v>2649</v>
      </c>
      <c r="D1064" s="787">
        <v>4</v>
      </c>
      <c r="E1064" s="787">
        <v>194</v>
      </c>
      <c r="F1064" s="788">
        <v>41710</v>
      </c>
      <c r="G1064" s="788">
        <v>41708</v>
      </c>
      <c r="H1064" s="787">
        <v>1</v>
      </c>
      <c r="I1064" s="788">
        <v>41982</v>
      </c>
      <c r="J1064" s="788">
        <v>41975</v>
      </c>
      <c r="K1064" s="788">
        <v>41704</v>
      </c>
      <c r="L1064" s="787">
        <v>194</v>
      </c>
      <c r="M1064" s="787">
        <v>20</v>
      </c>
      <c r="N1064" s="787">
        <v>208.55</v>
      </c>
      <c r="O1064" s="788">
        <v>41955</v>
      </c>
    </row>
    <row r="1065" spans="1:15" x14ac:dyDescent="0.25">
      <c r="A1065" s="786" t="s">
        <v>2650</v>
      </c>
      <c r="B1065" s="787">
        <v>4</v>
      </c>
      <c r="C1065" s="787" t="s">
        <v>2651</v>
      </c>
      <c r="D1065" s="787">
        <v>7.4</v>
      </c>
      <c r="E1065" s="787">
        <v>7.4</v>
      </c>
      <c r="F1065" s="788">
        <v>37637</v>
      </c>
      <c r="G1065" s="788">
        <v>37637</v>
      </c>
      <c r="H1065" s="787">
        <v>1</v>
      </c>
      <c r="J1065" s="788">
        <v>37637</v>
      </c>
      <c r="L1065" s="787">
        <v>7.4</v>
      </c>
      <c r="M1065" s="787">
        <v>10</v>
      </c>
      <c r="N1065" s="787">
        <v>0</v>
      </c>
      <c r="O1065" s="788">
        <v>41955</v>
      </c>
    </row>
    <row r="1066" spans="1:15" x14ac:dyDescent="0.25">
      <c r="A1066" s="786" t="s">
        <v>2652</v>
      </c>
      <c r="B1066" s="787">
        <v>4</v>
      </c>
      <c r="C1066" s="787" t="s">
        <v>2653</v>
      </c>
      <c r="D1066" s="787">
        <v>7.4</v>
      </c>
      <c r="E1066" s="787">
        <v>7.4</v>
      </c>
      <c r="F1066" s="788">
        <v>37637</v>
      </c>
      <c r="G1066" s="788">
        <v>37637</v>
      </c>
      <c r="H1066" s="787">
        <v>1</v>
      </c>
      <c r="J1066" s="788">
        <v>37637</v>
      </c>
      <c r="L1066" s="787">
        <v>8.07</v>
      </c>
      <c r="M1066" s="787">
        <v>20</v>
      </c>
      <c r="N1066" s="787">
        <v>8.68</v>
      </c>
      <c r="O1066" s="788">
        <v>41955</v>
      </c>
    </row>
    <row r="1067" spans="1:15" x14ac:dyDescent="0.25">
      <c r="A1067" s="786" t="s">
        <v>2654</v>
      </c>
      <c r="B1067" s="787">
        <v>4</v>
      </c>
      <c r="C1067" s="787" t="s">
        <v>2655</v>
      </c>
      <c r="D1067" s="787">
        <v>0.18</v>
      </c>
      <c r="E1067" s="787">
        <v>0.5</v>
      </c>
      <c r="F1067" s="788">
        <v>39456</v>
      </c>
      <c r="G1067" s="788">
        <v>42013</v>
      </c>
      <c r="H1067" s="787">
        <v>1</v>
      </c>
      <c r="I1067" s="788">
        <v>42164</v>
      </c>
      <c r="J1067" s="788">
        <v>41453</v>
      </c>
      <c r="L1067" s="787">
        <v>0.71</v>
      </c>
      <c r="M1067" s="787">
        <v>10</v>
      </c>
      <c r="N1067" s="787">
        <v>0.25</v>
      </c>
      <c r="O1067" s="788">
        <v>42159</v>
      </c>
    </row>
    <row r="1068" spans="1:15" x14ac:dyDescent="0.25">
      <c r="A1068" s="786" t="s">
        <v>2656</v>
      </c>
      <c r="B1068" s="787">
        <v>4</v>
      </c>
      <c r="C1068" s="787" t="s">
        <v>2657</v>
      </c>
      <c r="D1068" s="787">
        <v>5.29</v>
      </c>
      <c r="E1068" s="787">
        <v>5.29</v>
      </c>
      <c r="F1068" s="788">
        <v>37637</v>
      </c>
      <c r="G1068" s="788">
        <v>37637</v>
      </c>
      <c r="H1068" s="787">
        <v>1</v>
      </c>
      <c r="J1068" s="788">
        <v>37637</v>
      </c>
      <c r="L1068" s="787">
        <v>2.61</v>
      </c>
      <c r="M1068" s="787">
        <v>10</v>
      </c>
      <c r="N1068" s="787">
        <v>4.2699999999999996</v>
      </c>
      <c r="O1068" s="788">
        <v>42087</v>
      </c>
    </row>
    <row r="1069" spans="1:15" x14ac:dyDescent="0.25">
      <c r="A1069" s="786" t="s">
        <v>2658</v>
      </c>
      <c r="B1069" s="787">
        <v>4</v>
      </c>
      <c r="C1069" s="787" t="s">
        <v>2659</v>
      </c>
      <c r="D1069" s="787">
        <v>7.13</v>
      </c>
      <c r="E1069" s="787">
        <v>7.13</v>
      </c>
      <c r="F1069" s="788">
        <v>37637</v>
      </c>
      <c r="G1069" s="788">
        <v>37637</v>
      </c>
      <c r="H1069" s="787">
        <v>1</v>
      </c>
      <c r="J1069" s="788">
        <v>37637</v>
      </c>
      <c r="L1069" s="787">
        <v>3.53</v>
      </c>
      <c r="M1069" s="787">
        <v>10</v>
      </c>
      <c r="N1069" s="787">
        <v>4.8899999999999997</v>
      </c>
      <c r="O1069" s="788">
        <v>41955</v>
      </c>
    </row>
    <row r="1070" spans="1:15" x14ac:dyDescent="0.25">
      <c r="A1070" s="786" t="s">
        <v>2660</v>
      </c>
      <c r="B1070" s="787">
        <v>4</v>
      </c>
      <c r="C1070" s="787" t="s">
        <v>2661</v>
      </c>
      <c r="D1070" s="787">
        <v>5.45</v>
      </c>
      <c r="E1070" s="787">
        <v>5.45</v>
      </c>
      <c r="F1070" s="788">
        <v>37637</v>
      </c>
      <c r="G1070" s="788">
        <v>37637</v>
      </c>
      <c r="H1070" s="787">
        <v>1</v>
      </c>
      <c r="J1070" s="788">
        <v>37637</v>
      </c>
      <c r="L1070" s="787">
        <v>2.69</v>
      </c>
      <c r="M1070" s="787">
        <v>10</v>
      </c>
      <c r="N1070" s="787">
        <v>4.32</v>
      </c>
      <c r="O1070" s="788">
        <v>42083</v>
      </c>
    </row>
    <row r="1071" spans="1:15" x14ac:dyDescent="0.25">
      <c r="A1071" s="786" t="s">
        <v>2662</v>
      </c>
      <c r="B1071" s="787">
        <v>4</v>
      </c>
      <c r="C1071" s="787" t="s">
        <v>2663</v>
      </c>
      <c r="D1071" s="787">
        <v>9.7200000000000006</v>
      </c>
      <c r="E1071" s="787">
        <v>23.46</v>
      </c>
      <c r="F1071" s="788">
        <v>39456</v>
      </c>
      <c r="G1071" s="788">
        <v>41610</v>
      </c>
      <c r="H1071" s="787">
        <v>1</v>
      </c>
      <c r="I1071" s="788">
        <v>41464</v>
      </c>
      <c r="J1071" s="788">
        <v>41610</v>
      </c>
      <c r="L1071" s="787">
        <v>19.48</v>
      </c>
      <c r="M1071" s="787">
        <v>10</v>
      </c>
      <c r="N1071" s="787">
        <v>17.190000000000001</v>
      </c>
      <c r="O1071" s="788">
        <v>42163</v>
      </c>
    </row>
    <row r="1072" spans="1:15" x14ac:dyDescent="0.25">
      <c r="A1072" s="786" t="s">
        <v>2664</v>
      </c>
      <c r="B1072" s="787">
        <v>4</v>
      </c>
      <c r="C1072" s="787" t="s">
        <v>2665</v>
      </c>
      <c r="D1072" s="787">
        <v>3.34</v>
      </c>
      <c r="E1072" s="787">
        <v>17.25</v>
      </c>
      <c r="F1072" s="788">
        <v>39456</v>
      </c>
      <c r="G1072" s="788">
        <v>41775</v>
      </c>
      <c r="H1072" s="787">
        <v>1</v>
      </c>
      <c r="I1072" s="788">
        <v>41464</v>
      </c>
      <c r="J1072" s="788">
        <v>41627</v>
      </c>
      <c r="L1072" s="787">
        <v>8.82</v>
      </c>
      <c r="M1072" s="787">
        <v>10</v>
      </c>
      <c r="N1072" s="787">
        <v>11.01</v>
      </c>
      <c r="O1072" s="788">
        <v>42163</v>
      </c>
    </row>
    <row r="1073" spans="1:15" x14ac:dyDescent="0.25">
      <c r="A1073" s="786" t="s">
        <v>2666</v>
      </c>
      <c r="B1073" s="787">
        <v>4</v>
      </c>
      <c r="C1073" s="787" t="s">
        <v>2667</v>
      </c>
      <c r="D1073" s="787">
        <v>9.7200000000000006</v>
      </c>
      <c r="E1073" s="787">
        <v>9.7200000000000006</v>
      </c>
      <c r="F1073" s="788">
        <v>39456</v>
      </c>
      <c r="G1073" s="788">
        <v>42160</v>
      </c>
      <c r="H1073" s="787">
        <v>1</v>
      </c>
      <c r="I1073" s="788">
        <v>42159</v>
      </c>
      <c r="J1073" s="788">
        <v>42160</v>
      </c>
      <c r="L1073" s="787">
        <v>21.83</v>
      </c>
      <c r="M1073" s="787">
        <v>10</v>
      </c>
      <c r="N1073" s="787">
        <v>17.190000000000001</v>
      </c>
      <c r="O1073" s="788">
        <v>42163</v>
      </c>
    </row>
    <row r="1074" spans="1:15" x14ac:dyDescent="0.25">
      <c r="A1074" s="786" t="s">
        <v>2668</v>
      </c>
      <c r="B1074" s="787">
        <v>4</v>
      </c>
      <c r="C1074" s="787" t="s">
        <v>2669</v>
      </c>
      <c r="D1074" s="787">
        <v>3.34</v>
      </c>
      <c r="E1074" s="787">
        <v>17.25</v>
      </c>
      <c r="F1074" s="788">
        <v>39456</v>
      </c>
      <c r="G1074" s="788">
        <v>41775</v>
      </c>
      <c r="H1074" s="787">
        <v>1</v>
      </c>
      <c r="I1074" s="788">
        <v>41464</v>
      </c>
      <c r="J1074" s="788">
        <v>41627</v>
      </c>
      <c r="L1074" s="787">
        <v>8.82</v>
      </c>
      <c r="M1074" s="787">
        <v>10</v>
      </c>
      <c r="N1074" s="787">
        <v>11.63</v>
      </c>
      <c r="O1074" s="788">
        <v>42163</v>
      </c>
    </row>
    <row r="1075" spans="1:15" x14ac:dyDescent="0.25">
      <c r="A1075" s="786" t="s">
        <v>2670</v>
      </c>
      <c r="B1075" s="787">
        <v>4</v>
      </c>
      <c r="C1075" s="787" t="s">
        <v>2671</v>
      </c>
      <c r="D1075" s="787">
        <v>2.48</v>
      </c>
      <c r="E1075" s="787">
        <v>2.48</v>
      </c>
      <c r="F1075" s="788">
        <v>37637</v>
      </c>
      <c r="G1075" s="788">
        <v>37637</v>
      </c>
      <c r="H1075" s="787">
        <v>1</v>
      </c>
      <c r="I1075" s="788">
        <v>39561</v>
      </c>
      <c r="J1075" s="788">
        <v>37637</v>
      </c>
      <c r="L1075" s="787">
        <v>2.48</v>
      </c>
      <c r="M1075" s="787">
        <v>10</v>
      </c>
      <c r="N1075" s="787">
        <v>0</v>
      </c>
      <c r="O1075" s="788">
        <v>41955</v>
      </c>
    </row>
    <row r="1076" spans="1:15" x14ac:dyDescent="0.25">
      <c r="A1076" s="786" t="s">
        <v>2672</v>
      </c>
      <c r="B1076" s="787">
        <v>4</v>
      </c>
      <c r="C1076" s="787" t="s">
        <v>2673</v>
      </c>
      <c r="D1076" s="787">
        <v>0</v>
      </c>
      <c r="E1076" s="787">
        <v>0</v>
      </c>
      <c r="H1076" s="787">
        <v>6</v>
      </c>
      <c r="L1076" s="787">
        <v>0</v>
      </c>
      <c r="M1076" s="787">
        <v>10</v>
      </c>
      <c r="N1076" s="787">
        <v>31.6</v>
      </c>
      <c r="O1076" s="788">
        <v>41543</v>
      </c>
    </row>
    <row r="1077" spans="1:15" x14ac:dyDescent="0.25">
      <c r="A1077" s="786" t="s">
        <v>2674</v>
      </c>
      <c r="B1077" s="787">
        <v>4</v>
      </c>
      <c r="C1077" s="787" t="s">
        <v>2675</v>
      </c>
      <c r="D1077" s="787">
        <v>0.42</v>
      </c>
      <c r="E1077" s="787">
        <v>0.9</v>
      </c>
      <c r="F1077" s="788">
        <v>39456</v>
      </c>
      <c r="G1077" s="788">
        <v>42013</v>
      </c>
      <c r="H1077" s="787">
        <v>1</v>
      </c>
      <c r="I1077" s="788">
        <v>42163</v>
      </c>
      <c r="J1077" s="788">
        <v>41535</v>
      </c>
      <c r="L1077" s="787">
        <v>0.94</v>
      </c>
      <c r="M1077" s="787">
        <v>10</v>
      </c>
      <c r="N1077" s="787">
        <v>1.34</v>
      </c>
      <c r="O1077" s="788">
        <v>42163</v>
      </c>
    </row>
    <row r="1078" spans="1:15" x14ac:dyDescent="0.25">
      <c r="A1078" s="786" t="s">
        <v>2676</v>
      </c>
      <c r="B1078" s="787">
        <v>4</v>
      </c>
      <c r="C1078" s="787" t="s">
        <v>2677</v>
      </c>
      <c r="D1078" s="787">
        <v>6.2</v>
      </c>
      <c r="E1078" s="787">
        <v>6.75</v>
      </c>
      <c r="F1078" s="788">
        <v>39101</v>
      </c>
      <c r="G1078" s="788">
        <v>42013</v>
      </c>
      <c r="H1078" s="787">
        <v>1</v>
      </c>
      <c r="I1078" s="788">
        <v>42163</v>
      </c>
      <c r="J1078" s="788">
        <v>41786</v>
      </c>
      <c r="L1078" s="787">
        <v>6.76</v>
      </c>
      <c r="M1078" s="787">
        <v>20</v>
      </c>
      <c r="N1078" s="787">
        <v>7.27</v>
      </c>
      <c r="O1078" s="788">
        <v>42163</v>
      </c>
    </row>
    <row r="1079" spans="1:15" x14ac:dyDescent="0.25">
      <c r="A1079" s="786" t="s">
        <v>2678</v>
      </c>
      <c r="B1079" s="787">
        <v>4</v>
      </c>
      <c r="C1079" s="787" t="s">
        <v>2679</v>
      </c>
      <c r="D1079" s="787">
        <v>1.1000000000000001</v>
      </c>
      <c r="E1079" s="787">
        <v>4.99</v>
      </c>
      <c r="F1079" s="788">
        <v>39101</v>
      </c>
      <c r="G1079" s="788">
        <v>42013</v>
      </c>
      <c r="H1079" s="787">
        <v>1</v>
      </c>
      <c r="I1079" s="788">
        <v>42151</v>
      </c>
      <c r="J1079" s="788">
        <v>41893</v>
      </c>
      <c r="K1079" s="788">
        <v>41886</v>
      </c>
      <c r="L1079" s="787">
        <v>1.53</v>
      </c>
      <c r="M1079" s="787">
        <v>10</v>
      </c>
      <c r="N1079" s="787">
        <v>2.13</v>
      </c>
      <c r="O1079" s="788">
        <v>42163</v>
      </c>
    </row>
    <row r="1080" spans="1:15" x14ac:dyDescent="0.25">
      <c r="A1080" s="786" t="s">
        <v>2680</v>
      </c>
      <c r="B1080" s="787">
        <v>4</v>
      </c>
      <c r="C1080" s="787" t="s">
        <v>2681</v>
      </c>
      <c r="D1080" s="787">
        <v>0.25</v>
      </c>
      <c r="E1080" s="787">
        <v>5.62</v>
      </c>
      <c r="F1080" s="788">
        <v>39975</v>
      </c>
      <c r="G1080" s="788">
        <v>41857</v>
      </c>
      <c r="H1080" s="787">
        <v>1</v>
      </c>
      <c r="I1080" s="788">
        <v>41988</v>
      </c>
      <c r="J1080" s="788">
        <v>41824</v>
      </c>
      <c r="L1080" s="787">
        <v>0.96</v>
      </c>
      <c r="M1080" s="787">
        <v>10</v>
      </c>
      <c r="N1080" s="787">
        <v>4.58</v>
      </c>
      <c r="O1080" s="788">
        <v>42159</v>
      </c>
    </row>
    <row r="1081" spans="1:15" x14ac:dyDescent="0.25">
      <c r="A1081" s="786" t="s">
        <v>2682</v>
      </c>
      <c r="B1081" s="787">
        <v>4</v>
      </c>
      <c r="C1081" s="787" t="s">
        <v>2683</v>
      </c>
      <c r="D1081" s="787">
        <v>0.81</v>
      </c>
      <c r="E1081" s="787">
        <v>5.52</v>
      </c>
      <c r="F1081" s="788">
        <v>39101</v>
      </c>
      <c r="G1081" s="788">
        <v>42013</v>
      </c>
      <c r="H1081" s="787">
        <v>1</v>
      </c>
      <c r="I1081" s="788">
        <v>41743</v>
      </c>
      <c r="J1081" s="788">
        <v>41824</v>
      </c>
      <c r="L1081" s="787">
        <v>1.0900000000000001</v>
      </c>
      <c r="M1081" s="787">
        <v>10</v>
      </c>
      <c r="N1081" s="787">
        <v>4.5999999999999996</v>
      </c>
      <c r="O1081" s="788">
        <v>42159</v>
      </c>
    </row>
    <row r="1082" spans="1:15" x14ac:dyDescent="0.25">
      <c r="A1082" s="786" t="s">
        <v>2684</v>
      </c>
      <c r="B1082" s="787">
        <v>4</v>
      </c>
      <c r="C1082" s="787" t="s">
        <v>2685</v>
      </c>
      <c r="D1082" s="787">
        <v>3.65</v>
      </c>
      <c r="E1082" s="787">
        <v>3.65</v>
      </c>
      <c r="F1082" s="788">
        <v>41579</v>
      </c>
      <c r="G1082" s="788">
        <v>41579</v>
      </c>
      <c r="H1082" s="787">
        <v>1</v>
      </c>
      <c r="I1082" s="788">
        <v>41491</v>
      </c>
      <c r="J1082" s="788">
        <v>41557</v>
      </c>
      <c r="L1082" s="787">
        <v>3.36</v>
      </c>
      <c r="M1082" s="787">
        <v>10</v>
      </c>
      <c r="N1082" s="787">
        <v>6.4</v>
      </c>
      <c r="O1082" s="788">
        <v>41955</v>
      </c>
    </row>
    <row r="1083" spans="1:15" x14ac:dyDescent="0.25">
      <c r="A1083" s="786" t="s">
        <v>2686</v>
      </c>
      <c r="B1083" s="787">
        <v>4</v>
      </c>
      <c r="C1083" s="787" t="s">
        <v>2687</v>
      </c>
      <c r="D1083" s="787">
        <v>4.45</v>
      </c>
      <c r="E1083" s="787">
        <v>4.45</v>
      </c>
      <c r="F1083" s="788">
        <v>41579</v>
      </c>
      <c r="G1083" s="788">
        <v>41579</v>
      </c>
      <c r="H1083" s="787">
        <v>1</v>
      </c>
      <c r="I1083" s="788">
        <v>41491</v>
      </c>
      <c r="J1083" s="788">
        <v>41556</v>
      </c>
      <c r="L1083" s="787">
        <v>4.51</v>
      </c>
      <c r="M1083" s="787">
        <v>10</v>
      </c>
      <c r="N1083" s="787">
        <v>9.4600000000000009</v>
      </c>
      <c r="O1083" s="788">
        <v>41955</v>
      </c>
    </row>
    <row r="1084" spans="1:15" x14ac:dyDescent="0.25">
      <c r="A1084" s="786" t="s">
        <v>2688</v>
      </c>
      <c r="B1084" s="787">
        <v>4</v>
      </c>
      <c r="C1084" s="787" t="s">
        <v>2689</v>
      </c>
      <c r="D1084" s="787">
        <v>0</v>
      </c>
      <c r="E1084" s="787">
        <v>0</v>
      </c>
      <c r="H1084" s="787">
        <v>1</v>
      </c>
      <c r="K1084" s="788">
        <v>41415</v>
      </c>
      <c r="L1084" s="787">
        <v>0.01</v>
      </c>
      <c r="M1084" s="787">
        <v>10</v>
      </c>
      <c r="N1084" s="787">
        <v>0</v>
      </c>
      <c r="O1084" s="788">
        <v>40824</v>
      </c>
    </row>
    <row r="1085" spans="1:15" x14ac:dyDescent="0.25">
      <c r="A1085" s="786" t="s">
        <v>2690</v>
      </c>
      <c r="B1085" s="787">
        <v>4</v>
      </c>
      <c r="C1085" s="787" t="s">
        <v>2691</v>
      </c>
      <c r="D1085" s="787">
        <v>6.79</v>
      </c>
      <c r="E1085" s="787">
        <v>108.42</v>
      </c>
      <c r="F1085" s="788">
        <v>41723</v>
      </c>
      <c r="G1085" s="788">
        <v>41757</v>
      </c>
      <c r="H1085" s="787">
        <v>1</v>
      </c>
      <c r="I1085" s="788">
        <v>41775</v>
      </c>
      <c r="J1085" s="788">
        <v>41746</v>
      </c>
      <c r="L1085" s="787">
        <v>104.28</v>
      </c>
      <c r="M1085" s="787">
        <v>20</v>
      </c>
      <c r="N1085" s="787">
        <v>112.1</v>
      </c>
      <c r="O1085" s="788">
        <v>41955</v>
      </c>
    </row>
    <row r="1086" spans="1:15" x14ac:dyDescent="0.25">
      <c r="A1086" s="786" t="s">
        <v>2692</v>
      </c>
      <c r="B1086" s="787">
        <v>4</v>
      </c>
      <c r="C1086" s="787" t="s">
        <v>2693</v>
      </c>
      <c r="D1086" s="787">
        <v>2</v>
      </c>
      <c r="E1086" s="787">
        <v>62</v>
      </c>
      <c r="F1086" s="788">
        <v>42051</v>
      </c>
      <c r="G1086" s="788">
        <v>42047</v>
      </c>
      <c r="H1086" s="787">
        <v>1</v>
      </c>
      <c r="I1086" s="788">
        <v>41737</v>
      </c>
      <c r="J1086" s="788">
        <v>42047</v>
      </c>
      <c r="L1086" s="787">
        <v>120</v>
      </c>
      <c r="M1086" s="787">
        <v>20</v>
      </c>
      <c r="N1086" s="787">
        <v>129</v>
      </c>
      <c r="O1086" s="788">
        <v>41955</v>
      </c>
    </row>
    <row r="1087" spans="1:15" x14ac:dyDescent="0.25">
      <c r="A1087" s="786" t="s">
        <v>2694</v>
      </c>
      <c r="B1087" s="787">
        <v>4</v>
      </c>
      <c r="C1087" s="787" t="s">
        <v>2695</v>
      </c>
      <c r="D1087" s="787">
        <v>2</v>
      </c>
      <c r="E1087" s="787">
        <v>14.3</v>
      </c>
      <c r="F1087" s="788">
        <v>41337</v>
      </c>
      <c r="G1087" s="788">
        <v>42081</v>
      </c>
      <c r="H1087" s="787">
        <v>1</v>
      </c>
      <c r="I1087" s="788">
        <v>42163</v>
      </c>
      <c r="J1087" s="788">
        <v>42055</v>
      </c>
      <c r="K1087" s="788">
        <v>40603</v>
      </c>
      <c r="L1087" s="787">
        <v>14.3</v>
      </c>
      <c r="M1087" s="787">
        <v>20</v>
      </c>
      <c r="N1087" s="787">
        <v>15.37</v>
      </c>
      <c r="O1087" s="788">
        <v>42163</v>
      </c>
    </row>
    <row r="1088" spans="1:15" x14ac:dyDescent="0.25">
      <c r="A1088" s="786" t="s">
        <v>2696</v>
      </c>
      <c r="B1088" s="787">
        <v>4</v>
      </c>
      <c r="C1088" s="787" t="s">
        <v>2697</v>
      </c>
      <c r="D1088" s="787">
        <v>2</v>
      </c>
      <c r="E1088" s="787">
        <v>14.3</v>
      </c>
      <c r="F1088" s="788">
        <v>41337</v>
      </c>
      <c r="G1088" s="788">
        <v>42081</v>
      </c>
      <c r="H1088" s="787">
        <v>1</v>
      </c>
      <c r="I1088" s="788">
        <v>42163</v>
      </c>
      <c r="J1088" s="788">
        <v>42055</v>
      </c>
      <c r="K1088" s="788">
        <v>40603</v>
      </c>
      <c r="L1088" s="787">
        <v>14.3</v>
      </c>
      <c r="M1088" s="787">
        <v>20</v>
      </c>
      <c r="N1088" s="787">
        <v>15.37</v>
      </c>
      <c r="O1088" s="788">
        <v>42163</v>
      </c>
    </row>
    <row r="1089" spans="1:15" x14ac:dyDescent="0.25">
      <c r="A1089" s="786" t="s">
        <v>2698</v>
      </c>
      <c r="B1089" s="787">
        <v>4</v>
      </c>
      <c r="C1089" s="787" t="s">
        <v>2699</v>
      </c>
      <c r="D1089" s="787">
        <v>0</v>
      </c>
      <c r="E1089" s="787">
        <v>0</v>
      </c>
      <c r="H1089" s="787">
        <v>1</v>
      </c>
      <c r="J1089" s="788">
        <v>37637</v>
      </c>
      <c r="K1089" s="788">
        <v>41470</v>
      </c>
      <c r="L1089" s="787">
        <v>0.01</v>
      </c>
      <c r="M1089" s="787">
        <v>20</v>
      </c>
      <c r="N1089" s="787">
        <v>0.01</v>
      </c>
      <c r="O1089" s="788">
        <v>41955</v>
      </c>
    </row>
    <row r="1090" spans="1:15" x14ac:dyDescent="0.25">
      <c r="A1090" s="786" t="s">
        <v>2700</v>
      </c>
      <c r="B1090" s="787">
        <v>4</v>
      </c>
      <c r="C1090" s="787" t="s">
        <v>2701</v>
      </c>
      <c r="D1090" s="787">
        <v>6</v>
      </c>
      <c r="E1090" s="787">
        <v>6</v>
      </c>
      <c r="F1090" s="788">
        <v>37872</v>
      </c>
      <c r="G1090" s="788">
        <v>37872</v>
      </c>
      <c r="H1090" s="787">
        <v>1</v>
      </c>
      <c r="J1090" s="788">
        <v>37868</v>
      </c>
      <c r="L1090" s="787">
        <v>6.54</v>
      </c>
      <c r="M1090" s="787">
        <v>20</v>
      </c>
      <c r="N1090" s="787">
        <v>7.03</v>
      </c>
      <c r="O1090" s="788">
        <v>41955</v>
      </c>
    </row>
    <row r="1091" spans="1:15" x14ac:dyDescent="0.25">
      <c r="A1091" s="786" t="s">
        <v>2702</v>
      </c>
      <c r="B1091" s="787">
        <v>4</v>
      </c>
      <c r="C1091" s="787" t="s">
        <v>2703</v>
      </c>
      <c r="D1091" s="787">
        <v>0</v>
      </c>
      <c r="E1091" s="787">
        <v>0</v>
      </c>
      <c r="H1091" s="787">
        <v>1</v>
      </c>
      <c r="J1091" s="788">
        <v>37637</v>
      </c>
      <c r="K1091" s="788">
        <v>41470</v>
      </c>
      <c r="L1091" s="787">
        <v>0.01</v>
      </c>
      <c r="M1091" s="787">
        <v>20</v>
      </c>
      <c r="N1091" s="787">
        <v>0.01</v>
      </c>
      <c r="O1091" s="788">
        <v>41955</v>
      </c>
    </row>
    <row r="1092" spans="1:15" x14ac:dyDescent="0.25">
      <c r="A1092" s="786" t="s">
        <v>2704</v>
      </c>
      <c r="B1092" s="787">
        <v>4</v>
      </c>
      <c r="C1092" s="787" t="s">
        <v>2705</v>
      </c>
      <c r="D1092" s="787">
        <v>0</v>
      </c>
      <c r="E1092" s="787">
        <v>0</v>
      </c>
      <c r="H1092" s="787">
        <v>1</v>
      </c>
      <c r="J1092" s="788">
        <v>37637</v>
      </c>
      <c r="L1092" s="787">
        <v>0</v>
      </c>
      <c r="M1092" s="787">
        <v>10</v>
      </c>
      <c r="N1092" s="787">
        <v>0</v>
      </c>
      <c r="O1092" s="788">
        <v>41955</v>
      </c>
    </row>
    <row r="1093" spans="1:15" x14ac:dyDescent="0.25">
      <c r="A1093" s="786" t="s">
        <v>2706</v>
      </c>
      <c r="B1093" s="787">
        <v>4</v>
      </c>
      <c r="C1093" s="787" t="s">
        <v>2707</v>
      </c>
      <c r="D1093" s="787">
        <v>0.56000000000000005</v>
      </c>
      <c r="E1093" s="787">
        <v>13.95</v>
      </c>
      <c r="F1093" s="788">
        <v>39974</v>
      </c>
      <c r="G1093" s="788">
        <v>42156</v>
      </c>
      <c r="H1093" s="787">
        <v>1</v>
      </c>
      <c r="I1093" s="788">
        <v>42160</v>
      </c>
      <c r="J1093" s="788">
        <v>42129</v>
      </c>
      <c r="L1093" s="787">
        <v>10.77</v>
      </c>
      <c r="M1093" s="787">
        <v>10</v>
      </c>
      <c r="N1093" s="787">
        <v>11</v>
      </c>
      <c r="O1093" s="788">
        <v>42163</v>
      </c>
    </row>
    <row r="1094" spans="1:15" x14ac:dyDescent="0.25">
      <c r="A1094" s="786" t="s">
        <v>2708</v>
      </c>
      <c r="B1094" s="787">
        <v>4</v>
      </c>
      <c r="C1094" s="787" t="s">
        <v>2709</v>
      </c>
      <c r="D1094" s="787">
        <v>0</v>
      </c>
      <c r="E1094" s="787">
        <v>0</v>
      </c>
      <c r="H1094" s="787">
        <v>1</v>
      </c>
      <c r="J1094" s="788">
        <v>37287</v>
      </c>
      <c r="L1094" s="787">
        <v>0</v>
      </c>
      <c r="M1094" s="787">
        <v>10</v>
      </c>
      <c r="N1094" s="787">
        <v>0</v>
      </c>
      <c r="O1094" s="788">
        <v>41955</v>
      </c>
    </row>
    <row r="1095" spans="1:15" x14ac:dyDescent="0.25">
      <c r="A1095" s="786" t="s">
        <v>2710</v>
      </c>
      <c r="B1095" s="787">
        <v>4</v>
      </c>
      <c r="C1095" s="787" t="s">
        <v>2711</v>
      </c>
      <c r="D1095" s="787">
        <v>0</v>
      </c>
      <c r="E1095" s="787">
        <v>0</v>
      </c>
      <c r="H1095" s="787">
        <v>1</v>
      </c>
      <c r="J1095" s="788">
        <v>37637</v>
      </c>
      <c r="L1095" s="787">
        <v>0</v>
      </c>
      <c r="M1095" s="787">
        <v>10</v>
      </c>
      <c r="N1095" s="787">
        <v>0</v>
      </c>
      <c r="O1095" s="788">
        <v>41955</v>
      </c>
    </row>
    <row r="1096" spans="1:15" x14ac:dyDescent="0.25">
      <c r="A1096" s="786" t="s">
        <v>2712</v>
      </c>
      <c r="B1096" s="787">
        <v>4</v>
      </c>
      <c r="C1096" s="787" t="s">
        <v>2713</v>
      </c>
      <c r="D1096" s="787">
        <v>8.0500000000000007</v>
      </c>
      <c r="E1096" s="787">
        <v>8.0500000000000007</v>
      </c>
      <c r="F1096" s="788">
        <v>38047</v>
      </c>
      <c r="G1096" s="788">
        <v>38047</v>
      </c>
      <c r="H1096" s="787">
        <v>1</v>
      </c>
      <c r="J1096" s="788">
        <v>38047</v>
      </c>
      <c r="L1096" s="787">
        <v>4</v>
      </c>
      <c r="M1096" s="787">
        <v>10</v>
      </c>
      <c r="N1096" s="787">
        <v>5.2</v>
      </c>
      <c r="O1096" s="788">
        <v>42127</v>
      </c>
    </row>
    <row r="1097" spans="1:15" x14ac:dyDescent="0.25">
      <c r="A1097" s="786" t="s">
        <v>2714</v>
      </c>
      <c r="B1097" s="787">
        <v>4</v>
      </c>
      <c r="C1097" s="787" t="s">
        <v>2715</v>
      </c>
      <c r="D1097" s="787">
        <v>9.07</v>
      </c>
      <c r="E1097" s="787">
        <v>9.07</v>
      </c>
      <c r="F1097" s="788">
        <v>38047</v>
      </c>
      <c r="G1097" s="788">
        <v>38047</v>
      </c>
      <c r="H1097" s="787">
        <v>1</v>
      </c>
      <c r="J1097" s="788">
        <v>38047</v>
      </c>
      <c r="L1097" s="787">
        <v>4.51</v>
      </c>
      <c r="M1097" s="787">
        <v>10</v>
      </c>
      <c r="N1097" s="787">
        <v>5.54</v>
      </c>
      <c r="O1097" s="788">
        <v>42127</v>
      </c>
    </row>
    <row r="1098" spans="1:15" x14ac:dyDescent="0.25">
      <c r="A1098" s="786" t="s">
        <v>2716</v>
      </c>
      <c r="B1098" s="787">
        <v>4</v>
      </c>
      <c r="C1098" s="787" t="s">
        <v>2717</v>
      </c>
      <c r="D1098" s="787">
        <v>2.2999999999999998</v>
      </c>
      <c r="E1098" s="787">
        <v>24.79</v>
      </c>
      <c r="F1098" s="788">
        <v>39456</v>
      </c>
      <c r="G1098" s="788">
        <v>41579</v>
      </c>
      <c r="H1098" s="787">
        <v>1</v>
      </c>
      <c r="I1098" s="788">
        <v>41421</v>
      </c>
      <c r="J1098" s="788">
        <v>41542</v>
      </c>
      <c r="L1098" s="787">
        <v>26.49</v>
      </c>
      <c r="M1098" s="787">
        <v>10</v>
      </c>
      <c r="N1098" s="787">
        <v>32.67</v>
      </c>
      <c r="O1098" s="788">
        <v>42163</v>
      </c>
    </row>
    <row r="1099" spans="1:15" x14ac:dyDescent="0.25">
      <c r="A1099" s="786" t="s">
        <v>2718</v>
      </c>
      <c r="B1099" s="787">
        <v>4</v>
      </c>
      <c r="C1099" s="787" t="s">
        <v>2719</v>
      </c>
      <c r="D1099" s="787">
        <v>8.42</v>
      </c>
      <c r="E1099" s="787">
        <v>18.420000000000002</v>
      </c>
      <c r="F1099" s="788">
        <v>39101</v>
      </c>
      <c r="G1099" s="788">
        <v>39101</v>
      </c>
      <c r="H1099" s="787">
        <v>1</v>
      </c>
      <c r="I1099" s="788">
        <v>40660</v>
      </c>
      <c r="J1099" s="788">
        <v>40206</v>
      </c>
      <c r="L1099" s="787">
        <v>26.32</v>
      </c>
      <c r="M1099" s="787">
        <v>10</v>
      </c>
      <c r="N1099" s="787">
        <v>30.75</v>
      </c>
      <c r="O1099" s="788">
        <v>42163</v>
      </c>
    </row>
    <row r="1100" spans="1:15" x14ac:dyDescent="0.25">
      <c r="A1100" s="786" t="s">
        <v>2720</v>
      </c>
      <c r="B1100" s="787">
        <v>4</v>
      </c>
      <c r="C1100" s="787" t="s">
        <v>2721</v>
      </c>
      <c r="D1100" s="787">
        <v>4.21</v>
      </c>
      <c r="E1100" s="787">
        <v>16.25</v>
      </c>
      <c r="F1100" s="788">
        <v>39456</v>
      </c>
      <c r="G1100" s="788">
        <v>41579</v>
      </c>
      <c r="H1100" s="787">
        <v>1</v>
      </c>
      <c r="I1100" s="788">
        <v>41421</v>
      </c>
      <c r="J1100" s="788">
        <v>41542</v>
      </c>
      <c r="L1100" s="787">
        <v>9.83</v>
      </c>
      <c r="M1100" s="787">
        <v>10</v>
      </c>
      <c r="N1100" s="787">
        <v>9.98</v>
      </c>
      <c r="O1100" s="788">
        <v>42163</v>
      </c>
    </row>
    <row r="1101" spans="1:15" x14ac:dyDescent="0.25">
      <c r="A1101" s="786" t="s">
        <v>2722</v>
      </c>
      <c r="B1101" s="787">
        <v>4</v>
      </c>
      <c r="C1101" s="787" t="s">
        <v>2723</v>
      </c>
      <c r="D1101" s="787">
        <v>8.57</v>
      </c>
      <c r="E1101" s="787">
        <v>8.91</v>
      </c>
      <c r="F1101" s="788">
        <v>39101</v>
      </c>
      <c r="G1101" s="788">
        <v>39503</v>
      </c>
      <c r="H1101" s="787">
        <v>1</v>
      </c>
      <c r="I1101" s="788">
        <v>40784</v>
      </c>
      <c r="J1101" s="788">
        <v>40206</v>
      </c>
      <c r="L1101" s="787">
        <v>5.82</v>
      </c>
      <c r="M1101" s="787">
        <v>10</v>
      </c>
      <c r="N1101" s="787">
        <v>10.86</v>
      </c>
      <c r="O1101" s="788">
        <v>42163</v>
      </c>
    </row>
    <row r="1102" spans="1:15" x14ac:dyDescent="0.25">
      <c r="A1102" s="786" t="s">
        <v>2724</v>
      </c>
      <c r="B1102" s="787">
        <v>4</v>
      </c>
      <c r="C1102" s="787" t="s">
        <v>2725</v>
      </c>
      <c r="D1102" s="787">
        <v>3.41</v>
      </c>
      <c r="E1102" s="787">
        <v>3.41</v>
      </c>
      <c r="F1102" s="788">
        <v>41775</v>
      </c>
      <c r="G1102" s="788">
        <v>41775</v>
      </c>
      <c r="H1102" s="787">
        <v>1</v>
      </c>
      <c r="I1102" s="788">
        <v>41421</v>
      </c>
      <c r="J1102" s="788">
        <v>41591</v>
      </c>
      <c r="L1102" s="787">
        <v>26.49</v>
      </c>
      <c r="M1102" s="787">
        <v>10</v>
      </c>
      <c r="N1102" s="787">
        <v>32.67</v>
      </c>
      <c r="O1102" s="788">
        <v>42163</v>
      </c>
    </row>
    <row r="1103" spans="1:15" x14ac:dyDescent="0.25">
      <c r="A1103" s="786" t="s">
        <v>2726</v>
      </c>
      <c r="B1103" s="787">
        <v>4</v>
      </c>
      <c r="C1103" s="787" t="s">
        <v>2727</v>
      </c>
      <c r="D1103" s="787">
        <v>8.42</v>
      </c>
      <c r="E1103" s="787">
        <v>18.420000000000002</v>
      </c>
      <c r="F1103" s="788">
        <v>39975</v>
      </c>
      <c r="G1103" s="788">
        <v>39858</v>
      </c>
      <c r="H1103" s="787">
        <v>1</v>
      </c>
      <c r="I1103" s="788">
        <v>40883</v>
      </c>
      <c r="J1103" s="788">
        <v>40206</v>
      </c>
      <c r="L1103" s="787">
        <v>28.82</v>
      </c>
      <c r="M1103" s="787">
        <v>10</v>
      </c>
      <c r="N1103" s="787">
        <v>32.770000000000003</v>
      </c>
      <c r="O1103" s="788">
        <v>42163</v>
      </c>
    </row>
    <row r="1104" spans="1:15" x14ac:dyDescent="0.25">
      <c r="A1104" s="786" t="s">
        <v>2728</v>
      </c>
      <c r="B1104" s="787">
        <v>4</v>
      </c>
      <c r="C1104" s="787" t="s">
        <v>2729</v>
      </c>
      <c r="D1104" s="787">
        <v>4.21</v>
      </c>
      <c r="E1104" s="787">
        <v>9.6199999999999992</v>
      </c>
      <c r="F1104" s="788">
        <v>39456</v>
      </c>
      <c r="G1104" s="788">
        <v>41613</v>
      </c>
      <c r="H1104" s="787">
        <v>1</v>
      </c>
      <c r="I1104" s="788">
        <v>41421</v>
      </c>
      <c r="J1104" s="788">
        <v>41613</v>
      </c>
      <c r="L1104" s="787">
        <v>9.83</v>
      </c>
      <c r="M1104" s="787">
        <v>10</v>
      </c>
      <c r="N1104" s="787">
        <v>19.82</v>
      </c>
      <c r="O1104" s="788">
        <v>42163</v>
      </c>
    </row>
    <row r="1105" spans="1:15" x14ac:dyDescent="0.25">
      <c r="A1105" s="786" t="s">
        <v>2730</v>
      </c>
      <c r="B1105" s="787">
        <v>4</v>
      </c>
      <c r="C1105" s="787" t="s">
        <v>2731</v>
      </c>
      <c r="D1105" s="787">
        <v>8.6300000000000008</v>
      </c>
      <c r="E1105" s="787">
        <v>8.6300000000000008</v>
      </c>
      <c r="F1105" s="788">
        <v>39101</v>
      </c>
      <c r="G1105" s="788">
        <v>40206</v>
      </c>
      <c r="H1105" s="787">
        <v>1</v>
      </c>
      <c r="I1105" s="788">
        <v>40660</v>
      </c>
      <c r="J1105" s="788">
        <v>40206</v>
      </c>
      <c r="L1105" s="787">
        <v>10.95</v>
      </c>
      <c r="M1105" s="787">
        <v>10</v>
      </c>
      <c r="N1105" s="787">
        <v>15.92</v>
      </c>
      <c r="O1105" s="788">
        <v>42163</v>
      </c>
    </row>
    <row r="1106" spans="1:15" x14ac:dyDescent="0.25">
      <c r="A1106" s="786" t="s">
        <v>2732</v>
      </c>
      <c r="B1106" s="787">
        <v>4</v>
      </c>
      <c r="C1106" s="787" t="s">
        <v>2733</v>
      </c>
      <c r="D1106" s="787">
        <v>7.13</v>
      </c>
      <c r="E1106" s="787">
        <v>7.13</v>
      </c>
      <c r="F1106" s="788">
        <v>37637</v>
      </c>
      <c r="G1106" s="788">
        <v>37637</v>
      </c>
      <c r="H1106" s="787">
        <v>1</v>
      </c>
      <c r="J1106" s="788">
        <v>37637</v>
      </c>
      <c r="L1106" s="787">
        <v>3.53</v>
      </c>
      <c r="M1106" s="787">
        <v>10</v>
      </c>
      <c r="N1106" s="787">
        <v>4.8899999999999997</v>
      </c>
      <c r="O1106" s="788">
        <v>42081</v>
      </c>
    </row>
    <row r="1107" spans="1:15" x14ac:dyDescent="0.25">
      <c r="A1107" s="786" t="s">
        <v>2734</v>
      </c>
      <c r="B1107" s="787">
        <v>4</v>
      </c>
      <c r="C1107" s="787" t="s">
        <v>2735</v>
      </c>
      <c r="D1107" s="787">
        <v>8.0500000000000007</v>
      </c>
      <c r="E1107" s="787">
        <v>8.0500000000000007</v>
      </c>
      <c r="F1107" s="788">
        <v>38047</v>
      </c>
      <c r="G1107" s="788">
        <v>38047</v>
      </c>
      <c r="H1107" s="787">
        <v>1</v>
      </c>
      <c r="J1107" s="788">
        <v>38047</v>
      </c>
      <c r="L1107" s="787">
        <v>4</v>
      </c>
      <c r="M1107" s="787">
        <v>10</v>
      </c>
      <c r="N1107" s="787">
        <v>5.2</v>
      </c>
      <c r="O1107" s="788">
        <v>42081</v>
      </c>
    </row>
    <row r="1108" spans="1:15" x14ac:dyDescent="0.25">
      <c r="A1108" s="786" t="s">
        <v>2736</v>
      </c>
      <c r="B1108" s="787">
        <v>4</v>
      </c>
      <c r="C1108" s="787" t="s">
        <v>2737</v>
      </c>
      <c r="D1108" s="787">
        <v>9.07</v>
      </c>
      <c r="E1108" s="787">
        <v>9.07</v>
      </c>
      <c r="F1108" s="788">
        <v>38047</v>
      </c>
      <c r="G1108" s="788">
        <v>38047</v>
      </c>
      <c r="H1108" s="787">
        <v>1</v>
      </c>
      <c r="J1108" s="788">
        <v>38047</v>
      </c>
      <c r="L1108" s="787">
        <v>4.51</v>
      </c>
      <c r="M1108" s="787">
        <v>10</v>
      </c>
      <c r="N1108" s="787">
        <v>5.54</v>
      </c>
      <c r="O1108" s="788">
        <v>42081</v>
      </c>
    </row>
    <row r="1109" spans="1:15" x14ac:dyDescent="0.25">
      <c r="A1109" s="786" t="s">
        <v>2738</v>
      </c>
      <c r="B1109" s="787">
        <v>4</v>
      </c>
      <c r="C1109" s="787" t="s">
        <v>2739</v>
      </c>
      <c r="D1109" s="787">
        <v>3.15</v>
      </c>
      <c r="E1109" s="787">
        <v>3.15</v>
      </c>
      <c r="F1109" s="788">
        <v>37637</v>
      </c>
      <c r="G1109" s="788">
        <v>37637</v>
      </c>
      <c r="H1109" s="787">
        <v>1</v>
      </c>
      <c r="J1109" s="788">
        <v>37637</v>
      </c>
      <c r="L1109" s="787">
        <v>2.62</v>
      </c>
      <c r="M1109" s="787">
        <v>10</v>
      </c>
      <c r="N1109" s="787">
        <v>4.2699999999999996</v>
      </c>
      <c r="O1109" s="788">
        <v>42081</v>
      </c>
    </row>
    <row r="1110" spans="1:15" x14ac:dyDescent="0.25">
      <c r="A1110" s="786" t="s">
        <v>2740</v>
      </c>
      <c r="B1110" s="787">
        <v>4</v>
      </c>
      <c r="C1110" s="787" t="s">
        <v>2661</v>
      </c>
      <c r="D1110" s="787">
        <v>3.27</v>
      </c>
      <c r="E1110" s="787">
        <v>3.27</v>
      </c>
      <c r="F1110" s="788">
        <v>37637</v>
      </c>
      <c r="G1110" s="788">
        <v>37637</v>
      </c>
      <c r="H1110" s="787">
        <v>1</v>
      </c>
      <c r="J1110" s="788">
        <v>37637</v>
      </c>
      <c r="L1110" s="787">
        <v>2.7</v>
      </c>
      <c r="M1110" s="787">
        <v>10</v>
      </c>
      <c r="N1110" s="787">
        <v>4.33</v>
      </c>
      <c r="O1110" s="788">
        <v>42081</v>
      </c>
    </row>
    <row r="1111" spans="1:15" x14ac:dyDescent="0.25">
      <c r="A1111" s="786" t="s">
        <v>2741</v>
      </c>
      <c r="B1111" s="787">
        <v>4</v>
      </c>
      <c r="C1111" s="787" t="s">
        <v>2742</v>
      </c>
      <c r="D1111" s="787">
        <v>9.23</v>
      </c>
      <c r="E1111" s="787">
        <v>468.1</v>
      </c>
      <c r="F1111" s="788">
        <v>41848</v>
      </c>
      <c r="G1111" s="788">
        <v>42159</v>
      </c>
      <c r="H1111" s="787">
        <v>1</v>
      </c>
      <c r="I1111" s="788">
        <v>41775</v>
      </c>
      <c r="J1111" s="788">
        <v>42150</v>
      </c>
      <c r="L1111" s="787">
        <v>435</v>
      </c>
      <c r="M1111" s="787">
        <v>20</v>
      </c>
      <c r="N1111" s="787">
        <v>467.63</v>
      </c>
      <c r="O1111" s="788">
        <v>41955</v>
      </c>
    </row>
    <row r="1112" spans="1:15" x14ac:dyDescent="0.25">
      <c r="A1112" s="786" t="s">
        <v>2743</v>
      </c>
      <c r="B1112" s="787">
        <v>4</v>
      </c>
      <c r="C1112" s="787" t="s">
        <v>2744</v>
      </c>
      <c r="D1112" s="787">
        <v>8</v>
      </c>
      <c r="E1112" s="787">
        <v>158</v>
      </c>
      <c r="F1112" s="788">
        <v>42040</v>
      </c>
      <c r="G1112" s="788">
        <v>42040</v>
      </c>
      <c r="H1112" s="787">
        <v>1</v>
      </c>
      <c r="J1112" s="788">
        <v>42040</v>
      </c>
      <c r="K1112" s="788">
        <v>42030</v>
      </c>
      <c r="L1112" s="787">
        <v>158</v>
      </c>
      <c r="M1112" s="787">
        <v>20</v>
      </c>
      <c r="N1112" s="787">
        <v>169.85</v>
      </c>
      <c r="O1112" s="788">
        <v>42054</v>
      </c>
    </row>
    <row r="1113" spans="1:15" x14ac:dyDescent="0.25">
      <c r="A1113" s="786" t="s">
        <v>2745</v>
      </c>
      <c r="B1113" s="787">
        <v>4</v>
      </c>
      <c r="C1113" s="787" t="s">
        <v>2746</v>
      </c>
      <c r="D1113" s="787">
        <v>4.33</v>
      </c>
      <c r="E1113" s="787">
        <v>5.98</v>
      </c>
      <c r="F1113" s="788">
        <v>41492</v>
      </c>
      <c r="G1113" s="788">
        <v>42159</v>
      </c>
      <c r="H1113" s="787">
        <v>1</v>
      </c>
      <c r="I1113" s="788">
        <v>42164</v>
      </c>
      <c r="J1113" s="788">
        <v>42158</v>
      </c>
      <c r="K1113" s="788">
        <v>42083</v>
      </c>
      <c r="L1113" s="787">
        <v>5.95</v>
      </c>
      <c r="M1113" s="787">
        <v>20</v>
      </c>
      <c r="N1113" s="787">
        <v>6.4</v>
      </c>
      <c r="O1113" s="788">
        <v>42163</v>
      </c>
    </row>
    <row r="1114" spans="1:15" x14ac:dyDescent="0.25">
      <c r="A1114" s="786" t="s">
        <v>2747</v>
      </c>
      <c r="B1114" s="787">
        <v>4</v>
      </c>
      <c r="C1114" s="787" t="s">
        <v>2748</v>
      </c>
      <c r="D1114" s="787">
        <v>2.5099999999999998</v>
      </c>
      <c r="E1114" s="787">
        <v>2.5099999999999998</v>
      </c>
      <c r="F1114" s="788">
        <v>41565</v>
      </c>
      <c r="G1114" s="788">
        <v>42150</v>
      </c>
      <c r="H1114" s="787">
        <v>1</v>
      </c>
      <c r="I1114" s="788">
        <v>42160</v>
      </c>
      <c r="J1114" s="788">
        <v>42136</v>
      </c>
      <c r="K1114" s="788">
        <v>41820</v>
      </c>
      <c r="L1114" s="787">
        <v>2.5099999999999998</v>
      </c>
      <c r="M1114" s="787">
        <v>20</v>
      </c>
      <c r="N1114" s="787">
        <v>2.7</v>
      </c>
      <c r="O1114" s="788">
        <v>42163</v>
      </c>
    </row>
    <row r="1115" spans="1:15" x14ac:dyDescent="0.25">
      <c r="A1115" s="786" t="s">
        <v>2749</v>
      </c>
      <c r="B1115" s="787">
        <v>4</v>
      </c>
      <c r="C1115" s="787" t="s">
        <v>2750</v>
      </c>
      <c r="D1115" s="787">
        <v>4.84</v>
      </c>
      <c r="E1115" s="787">
        <v>24.84</v>
      </c>
      <c r="F1115" s="788">
        <v>38047</v>
      </c>
      <c r="G1115" s="788">
        <v>38047</v>
      </c>
      <c r="H1115" s="787">
        <v>1</v>
      </c>
      <c r="J1115" s="788">
        <v>38047</v>
      </c>
      <c r="L1115" s="787">
        <v>12.31</v>
      </c>
      <c r="M1115" s="787">
        <v>10</v>
      </c>
      <c r="N1115" s="787">
        <v>10.61</v>
      </c>
      <c r="O1115" s="788">
        <v>42087</v>
      </c>
    </row>
    <row r="1116" spans="1:15" x14ac:dyDescent="0.25">
      <c r="A1116" s="786" t="s">
        <v>2751</v>
      </c>
      <c r="B1116" s="787">
        <v>4</v>
      </c>
      <c r="C1116" s="787" t="s">
        <v>2752</v>
      </c>
      <c r="D1116" s="787">
        <v>0.72</v>
      </c>
      <c r="E1116" s="787">
        <v>10.72</v>
      </c>
      <c r="F1116" s="788">
        <v>37637</v>
      </c>
      <c r="G1116" s="788">
        <v>37637</v>
      </c>
      <c r="H1116" s="787">
        <v>1</v>
      </c>
      <c r="J1116" s="788">
        <v>37637</v>
      </c>
      <c r="L1116" s="787">
        <v>5.33</v>
      </c>
      <c r="M1116" s="787">
        <v>10</v>
      </c>
      <c r="N1116" s="787">
        <v>6.09</v>
      </c>
      <c r="O1116" s="788">
        <v>42087</v>
      </c>
    </row>
    <row r="1117" spans="1:15" x14ac:dyDescent="0.25">
      <c r="A1117" s="786" t="s">
        <v>2753</v>
      </c>
      <c r="B1117" s="787">
        <v>4</v>
      </c>
      <c r="C1117" s="787" t="s">
        <v>2754</v>
      </c>
      <c r="D1117" s="787">
        <v>4.84</v>
      </c>
      <c r="E1117" s="787">
        <v>24.84</v>
      </c>
      <c r="F1117" s="788">
        <v>38047</v>
      </c>
      <c r="G1117" s="788">
        <v>38047</v>
      </c>
      <c r="H1117" s="787">
        <v>1</v>
      </c>
      <c r="J1117" s="788">
        <v>38047</v>
      </c>
      <c r="L1117" s="787">
        <v>12.31</v>
      </c>
      <c r="M1117" s="787">
        <v>10</v>
      </c>
      <c r="N1117" s="787">
        <v>10.61</v>
      </c>
      <c r="O1117" s="788">
        <v>42082</v>
      </c>
    </row>
    <row r="1118" spans="1:15" x14ac:dyDescent="0.25">
      <c r="A1118" s="786" t="s">
        <v>2755</v>
      </c>
      <c r="B1118" s="787">
        <v>4</v>
      </c>
      <c r="C1118" s="787" t="s">
        <v>2756</v>
      </c>
      <c r="D1118" s="787">
        <v>0.72</v>
      </c>
      <c r="E1118" s="787">
        <v>10.72</v>
      </c>
      <c r="F1118" s="788">
        <v>37637</v>
      </c>
      <c r="G1118" s="788">
        <v>37637</v>
      </c>
      <c r="H1118" s="787">
        <v>1</v>
      </c>
      <c r="J1118" s="788">
        <v>37637</v>
      </c>
      <c r="L1118" s="787">
        <v>5.33</v>
      </c>
      <c r="M1118" s="787">
        <v>10</v>
      </c>
      <c r="N1118" s="787">
        <v>6.09</v>
      </c>
      <c r="O1118" s="788">
        <v>42082</v>
      </c>
    </row>
    <row r="1119" spans="1:15" x14ac:dyDescent="0.25">
      <c r="A1119" s="786" t="s">
        <v>2757</v>
      </c>
      <c r="B1119" s="787">
        <v>4</v>
      </c>
      <c r="C1119" s="787" t="s">
        <v>2758</v>
      </c>
      <c r="D1119" s="787">
        <v>0.66</v>
      </c>
      <c r="E1119" s="787">
        <v>30.66</v>
      </c>
      <c r="F1119" s="788">
        <v>38047</v>
      </c>
      <c r="G1119" s="788">
        <v>38047</v>
      </c>
      <c r="H1119" s="787">
        <v>1</v>
      </c>
      <c r="J1119" s="788">
        <v>38047</v>
      </c>
      <c r="L1119" s="787">
        <v>15.2</v>
      </c>
      <c r="M1119" s="787">
        <v>10</v>
      </c>
      <c r="N1119" s="787">
        <v>12.5</v>
      </c>
      <c r="O1119" s="788">
        <v>42082</v>
      </c>
    </row>
    <row r="1120" spans="1:15" x14ac:dyDescent="0.25">
      <c r="A1120" s="786" t="s">
        <v>2759</v>
      </c>
      <c r="B1120" s="787">
        <v>4</v>
      </c>
      <c r="C1120" s="787" t="s">
        <v>2760</v>
      </c>
      <c r="D1120" s="787">
        <v>9.5299999999999994</v>
      </c>
      <c r="E1120" s="787">
        <v>19.53</v>
      </c>
      <c r="F1120" s="788">
        <v>38047</v>
      </c>
      <c r="G1120" s="788">
        <v>38047</v>
      </c>
      <c r="H1120" s="787">
        <v>1</v>
      </c>
      <c r="J1120" s="788">
        <v>38047</v>
      </c>
      <c r="L1120" s="787">
        <v>18.079999999999998</v>
      </c>
      <c r="M1120" s="787">
        <v>10</v>
      </c>
      <c r="N1120" s="787">
        <v>14.39</v>
      </c>
      <c r="O1120" s="788">
        <v>42082</v>
      </c>
    </row>
    <row r="1121" spans="1:15" x14ac:dyDescent="0.25">
      <c r="A1121" s="786" t="s">
        <v>2761</v>
      </c>
      <c r="B1121" s="787">
        <v>4</v>
      </c>
      <c r="C1121" s="787" t="s">
        <v>2762</v>
      </c>
      <c r="D1121" s="787">
        <v>0.66</v>
      </c>
      <c r="E1121" s="787">
        <v>30.66</v>
      </c>
      <c r="F1121" s="788">
        <v>38047</v>
      </c>
      <c r="G1121" s="788">
        <v>38047</v>
      </c>
      <c r="H1121" s="787">
        <v>1</v>
      </c>
      <c r="J1121" s="788">
        <v>38047</v>
      </c>
      <c r="L1121" s="787">
        <v>15.2</v>
      </c>
      <c r="M1121" s="787">
        <v>10</v>
      </c>
      <c r="N1121" s="787">
        <v>18.690000000000001</v>
      </c>
      <c r="O1121" s="788">
        <v>42087</v>
      </c>
    </row>
    <row r="1122" spans="1:15" x14ac:dyDescent="0.25">
      <c r="A1122" s="786" t="s">
        <v>2763</v>
      </c>
      <c r="B1122" s="787">
        <v>4</v>
      </c>
      <c r="C1122" s="787" t="s">
        <v>2764</v>
      </c>
      <c r="D1122" s="787">
        <v>9.5299999999999994</v>
      </c>
      <c r="E1122" s="787">
        <v>19.53</v>
      </c>
      <c r="F1122" s="788">
        <v>38047</v>
      </c>
      <c r="G1122" s="788">
        <v>38047</v>
      </c>
      <c r="H1122" s="787">
        <v>1</v>
      </c>
      <c r="J1122" s="788">
        <v>38047</v>
      </c>
      <c r="L1122" s="787">
        <v>18.079999999999998</v>
      </c>
      <c r="M1122" s="787">
        <v>10</v>
      </c>
      <c r="N1122" s="787">
        <v>20.88</v>
      </c>
      <c r="O1122" s="788">
        <v>42082</v>
      </c>
    </row>
    <row r="1123" spans="1:15" x14ac:dyDescent="0.25">
      <c r="A1123" s="786" t="s">
        <v>2765</v>
      </c>
      <c r="B1123" s="787">
        <v>4</v>
      </c>
      <c r="C1123" s="787" t="s">
        <v>2766</v>
      </c>
      <c r="D1123" s="787">
        <v>2.23</v>
      </c>
      <c r="E1123" s="787">
        <v>12.23</v>
      </c>
      <c r="F1123" s="788">
        <v>37637</v>
      </c>
      <c r="G1123" s="788">
        <v>37637</v>
      </c>
      <c r="H1123" s="787">
        <v>1</v>
      </c>
      <c r="J1123" s="788">
        <v>37637</v>
      </c>
      <c r="L1123" s="787">
        <v>6.09</v>
      </c>
      <c r="M1123" s="787">
        <v>10</v>
      </c>
      <c r="N1123" s="787">
        <v>6.6</v>
      </c>
      <c r="O1123" s="788">
        <v>42082</v>
      </c>
    </row>
    <row r="1124" spans="1:15" x14ac:dyDescent="0.25">
      <c r="A1124" s="786" t="s">
        <v>2767</v>
      </c>
      <c r="B1124" s="787">
        <v>4</v>
      </c>
      <c r="C1124" s="787" t="s">
        <v>2768</v>
      </c>
      <c r="D1124" s="787">
        <v>8.98</v>
      </c>
      <c r="E1124" s="787">
        <v>8.98</v>
      </c>
      <c r="F1124" s="788">
        <v>37637</v>
      </c>
      <c r="G1124" s="788">
        <v>38133</v>
      </c>
      <c r="H1124" s="787">
        <v>1</v>
      </c>
      <c r="J1124" s="788">
        <v>38133</v>
      </c>
      <c r="L1124" s="787">
        <v>6.84</v>
      </c>
      <c r="M1124" s="787">
        <v>10</v>
      </c>
      <c r="N1124" s="787">
        <v>7.1</v>
      </c>
      <c r="O1124" s="788">
        <v>42083</v>
      </c>
    </row>
    <row r="1125" spans="1:15" x14ac:dyDescent="0.25">
      <c r="A1125" s="786" t="s">
        <v>2769</v>
      </c>
      <c r="B1125" s="787">
        <v>4</v>
      </c>
      <c r="C1125" s="787" t="s">
        <v>2770</v>
      </c>
      <c r="D1125" s="787">
        <v>2.23</v>
      </c>
      <c r="E1125" s="787">
        <v>12.23</v>
      </c>
      <c r="F1125" s="788">
        <v>37637</v>
      </c>
      <c r="G1125" s="788">
        <v>37637</v>
      </c>
      <c r="H1125" s="787">
        <v>1</v>
      </c>
      <c r="J1125" s="788">
        <v>37637</v>
      </c>
      <c r="L1125" s="787">
        <v>6.09</v>
      </c>
      <c r="M1125" s="787">
        <v>10</v>
      </c>
      <c r="N1125" s="787">
        <v>6.6</v>
      </c>
      <c r="O1125" s="788">
        <v>42083</v>
      </c>
    </row>
    <row r="1126" spans="1:15" x14ac:dyDescent="0.25">
      <c r="A1126" s="786" t="s">
        <v>2771</v>
      </c>
      <c r="B1126" s="787">
        <v>4</v>
      </c>
      <c r="C1126" s="787" t="s">
        <v>2772</v>
      </c>
      <c r="D1126" s="787">
        <v>8.98</v>
      </c>
      <c r="E1126" s="787">
        <v>8.98</v>
      </c>
      <c r="F1126" s="788">
        <v>37637</v>
      </c>
      <c r="G1126" s="788">
        <v>37637</v>
      </c>
      <c r="H1126" s="787">
        <v>1</v>
      </c>
      <c r="J1126" s="788">
        <v>37637</v>
      </c>
      <c r="L1126" s="787">
        <v>6.84</v>
      </c>
      <c r="M1126" s="787">
        <v>10</v>
      </c>
      <c r="N1126" s="787">
        <v>7.1</v>
      </c>
      <c r="O1126" s="788">
        <v>42082</v>
      </c>
    </row>
    <row r="1127" spans="1:15" x14ac:dyDescent="0.25">
      <c r="A1127" s="786" t="s">
        <v>2773</v>
      </c>
      <c r="B1127" s="787">
        <v>4</v>
      </c>
      <c r="C1127" s="787" t="s">
        <v>2774</v>
      </c>
      <c r="D1127" s="787">
        <v>0.16</v>
      </c>
      <c r="E1127" s="787">
        <v>0.16</v>
      </c>
      <c r="F1127" s="788">
        <v>40659</v>
      </c>
      <c r="G1127" s="788">
        <v>40914</v>
      </c>
      <c r="H1127" s="787">
        <v>1</v>
      </c>
      <c r="I1127" s="788">
        <v>42163</v>
      </c>
      <c r="J1127" s="788">
        <v>40633</v>
      </c>
      <c r="L1127" s="787">
        <v>2.66</v>
      </c>
      <c r="M1127" s="787">
        <v>10</v>
      </c>
      <c r="N1127" s="787">
        <v>0.16</v>
      </c>
      <c r="O1127" s="788">
        <v>42163</v>
      </c>
    </row>
    <row r="1128" spans="1:15" x14ac:dyDescent="0.25">
      <c r="A1128" s="786" t="s">
        <v>2775</v>
      </c>
      <c r="B1128" s="787">
        <v>4</v>
      </c>
      <c r="C1128" s="787" t="s">
        <v>2578</v>
      </c>
      <c r="D1128" s="787">
        <v>6.32</v>
      </c>
      <c r="E1128" s="787">
        <v>33.32</v>
      </c>
      <c r="F1128" s="788">
        <v>39456</v>
      </c>
      <c r="G1128" s="788">
        <v>41956</v>
      </c>
      <c r="H1128" s="787">
        <v>1</v>
      </c>
      <c r="I1128" s="788">
        <v>42160</v>
      </c>
      <c r="J1128" s="788">
        <v>41932</v>
      </c>
      <c r="L1128" s="787">
        <v>8.16</v>
      </c>
      <c r="M1128" s="787">
        <v>10</v>
      </c>
      <c r="N1128" s="787">
        <v>33.46</v>
      </c>
      <c r="O1128" s="788">
        <v>42163</v>
      </c>
    </row>
    <row r="1129" spans="1:15" x14ac:dyDescent="0.25">
      <c r="A1129" s="786" t="s">
        <v>2776</v>
      </c>
      <c r="B1129" s="787">
        <v>4</v>
      </c>
      <c r="C1129" s="787" t="s">
        <v>2578</v>
      </c>
      <c r="D1129" s="787">
        <v>8.33</v>
      </c>
      <c r="E1129" s="787">
        <v>29.71</v>
      </c>
      <c r="F1129" s="788">
        <v>39101</v>
      </c>
      <c r="G1129" s="788">
        <v>42013</v>
      </c>
      <c r="H1129" s="787">
        <v>1</v>
      </c>
      <c r="I1129" s="788">
        <v>42157</v>
      </c>
      <c r="J1129" s="788">
        <v>41925</v>
      </c>
      <c r="L1129" s="787">
        <v>9.32</v>
      </c>
      <c r="M1129" s="787">
        <v>10</v>
      </c>
      <c r="N1129" s="787">
        <v>37.33</v>
      </c>
      <c r="O1129" s="788">
        <v>42163</v>
      </c>
    </row>
    <row r="1130" spans="1:15" x14ac:dyDescent="0.25">
      <c r="A1130" s="786" t="s">
        <v>2777</v>
      </c>
      <c r="B1130" s="787">
        <v>4</v>
      </c>
      <c r="C1130" s="787" t="s">
        <v>2778</v>
      </c>
      <c r="D1130" s="787">
        <v>0.11</v>
      </c>
      <c r="E1130" s="787">
        <v>0.54</v>
      </c>
      <c r="F1130" s="788">
        <v>39456</v>
      </c>
      <c r="G1130" s="788">
        <v>42128</v>
      </c>
      <c r="H1130" s="787">
        <v>1</v>
      </c>
      <c r="I1130" s="788">
        <v>42163</v>
      </c>
      <c r="J1130" s="788">
        <v>42128</v>
      </c>
      <c r="L1130" s="787">
        <v>0.43</v>
      </c>
      <c r="M1130" s="787">
        <v>10</v>
      </c>
      <c r="N1130" s="787">
        <v>0.94</v>
      </c>
      <c r="O1130" s="788">
        <v>42163</v>
      </c>
    </row>
    <row r="1131" spans="1:15" x14ac:dyDescent="0.25">
      <c r="A1131" s="786" t="s">
        <v>2779</v>
      </c>
      <c r="B1131" s="787">
        <v>4</v>
      </c>
      <c r="C1131" s="787" t="s">
        <v>2780</v>
      </c>
      <c r="D1131" s="787">
        <v>4.7300000000000004</v>
      </c>
      <c r="E1131" s="787">
        <v>4.7300000000000004</v>
      </c>
      <c r="F1131" s="788">
        <v>37637</v>
      </c>
      <c r="G1131" s="788">
        <v>37637</v>
      </c>
      <c r="H1131" s="787">
        <v>1</v>
      </c>
      <c r="J1131" s="788">
        <v>37637</v>
      </c>
      <c r="L1131" s="787">
        <v>5.16</v>
      </c>
      <c r="M1131" s="787">
        <v>20</v>
      </c>
      <c r="N1131" s="787">
        <v>5.55</v>
      </c>
      <c r="O1131" s="788">
        <v>41955</v>
      </c>
    </row>
    <row r="1132" spans="1:15" x14ac:dyDescent="0.25">
      <c r="A1132" s="786" t="s">
        <v>2781</v>
      </c>
      <c r="B1132" s="787">
        <v>4</v>
      </c>
      <c r="C1132" s="787" t="s">
        <v>2782</v>
      </c>
      <c r="D1132" s="787">
        <v>1.86</v>
      </c>
      <c r="E1132" s="787">
        <v>1.86</v>
      </c>
      <c r="F1132" s="788">
        <v>38047</v>
      </c>
      <c r="G1132" s="788">
        <v>38047</v>
      </c>
      <c r="H1132" s="787">
        <v>1</v>
      </c>
      <c r="J1132" s="788">
        <v>38047</v>
      </c>
      <c r="L1132" s="787">
        <v>2.0299999999999998</v>
      </c>
      <c r="M1132" s="787">
        <v>20</v>
      </c>
      <c r="N1132" s="787">
        <v>2.1800000000000002</v>
      </c>
      <c r="O1132" s="788">
        <v>42087</v>
      </c>
    </row>
    <row r="1133" spans="1:15" x14ac:dyDescent="0.25">
      <c r="A1133" s="786" t="s">
        <v>2783</v>
      </c>
      <c r="B1133" s="787">
        <v>4</v>
      </c>
      <c r="C1133" s="787" t="s">
        <v>2784</v>
      </c>
      <c r="D1133" s="787">
        <v>4.33</v>
      </c>
      <c r="E1133" s="787">
        <v>5.98</v>
      </c>
      <c r="F1133" s="788">
        <v>41492</v>
      </c>
      <c r="G1133" s="788">
        <v>42159</v>
      </c>
      <c r="H1133" s="787">
        <v>1</v>
      </c>
      <c r="I1133" s="788">
        <v>42164</v>
      </c>
      <c r="J1133" s="788">
        <v>42158</v>
      </c>
      <c r="K1133" s="788">
        <v>42083</v>
      </c>
      <c r="L1133" s="787">
        <v>5.95</v>
      </c>
      <c r="M1133" s="787">
        <v>20</v>
      </c>
      <c r="N1133" s="787">
        <v>6.4</v>
      </c>
      <c r="O1133" s="788">
        <v>42163</v>
      </c>
    </row>
    <row r="1134" spans="1:15" x14ac:dyDescent="0.25">
      <c r="A1134" s="786" t="s">
        <v>2785</v>
      </c>
      <c r="B1134" s="787">
        <v>4</v>
      </c>
      <c r="C1134" s="787" t="s">
        <v>2786</v>
      </c>
      <c r="D1134" s="787">
        <v>0.12</v>
      </c>
      <c r="E1134" s="787">
        <v>0.12</v>
      </c>
      <c r="F1134" s="788">
        <v>39456</v>
      </c>
      <c r="G1134" s="788">
        <v>41255</v>
      </c>
      <c r="H1134" s="787">
        <v>1</v>
      </c>
      <c r="I1134" s="788">
        <v>40646</v>
      </c>
      <c r="J1134" s="788">
        <v>39363</v>
      </c>
      <c r="L1134" s="787">
        <v>3.26</v>
      </c>
      <c r="M1134" s="787">
        <v>10</v>
      </c>
      <c r="N1134" s="787">
        <v>0.85</v>
      </c>
      <c r="O1134" s="788">
        <v>42083</v>
      </c>
    </row>
    <row r="1135" spans="1:15" x14ac:dyDescent="0.25">
      <c r="A1135" s="786" t="s">
        <v>2787</v>
      </c>
      <c r="B1135" s="787">
        <v>4</v>
      </c>
      <c r="C1135" s="787" t="s">
        <v>2788</v>
      </c>
      <c r="D1135" s="787">
        <v>1.28</v>
      </c>
      <c r="E1135" s="787">
        <v>34.24</v>
      </c>
      <c r="F1135" s="788">
        <v>39975</v>
      </c>
      <c r="G1135" s="788">
        <v>41565</v>
      </c>
      <c r="H1135" s="787">
        <v>5</v>
      </c>
      <c r="I1135" s="788">
        <v>40862</v>
      </c>
      <c r="J1135" s="788">
        <v>40568</v>
      </c>
      <c r="L1135" s="787">
        <v>13.75</v>
      </c>
      <c r="M1135" s="787">
        <v>10</v>
      </c>
      <c r="N1135" s="787">
        <v>30.44</v>
      </c>
      <c r="O1135" s="788">
        <v>42152</v>
      </c>
    </row>
    <row r="1136" spans="1:15" x14ac:dyDescent="0.25">
      <c r="A1136" s="786" t="s">
        <v>2789</v>
      </c>
      <c r="B1136" s="787">
        <v>4</v>
      </c>
      <c r="C1136" s="787" t="s">
        <v>2790</v>
      </c>
      <c r="D1136" s="787">
        <v>0.42</v>
      </c>
      <c r="E1136" s="787">
        <v>2.31</v>
      </c>
      <c r="F1136" s="788">
        <v>39456</v>
      </c>
      <c r="G1136" s="788">
        <v>42095</v>
      </c>
      <c r="H1136" s="787">
        <v>1</v>
      </c>
      <c r="I1136" s="788">
        <v>42151</v>
      </c>
      <c r="J1136" s="788">
        <v>42065</v>
      </c>
      <c r="L1136" s="787">
        <v>4.63</v>
      </c>
      <c r="M1136" s="787">
        <v>10</v>
      </c>
      <c r="N1136" s="787">
        <v>2.15</v>
      </c>
      <c r="O1136" s="788">
        <v>42163</v>
      </c>
    </row>
    <row r="1137" spans="1:15" x14ac:dyDescent="0.25">
      <c r="A1137" s="786" t="s">
        <v>2791</v>
      </c>
      <c r="B1137" s="787">
        <v>4</v>
      </c>
      <c r="C1137" s="787" t="s">
        <v>2792</v>
      </c>
      <c r="D1137" s="787">
        <v>1.66</v>
      </c>
      <c r="E1137" s="787">
        <v>2.2599999999999998</v>
      </c>
      <c r="F1137" s="788">
        <v>39101</v>
      </c>
      <c r="G1137" s="788">
        <v>42013</v>
      </c>
      <c r="H1137" s="787">
        <v>1</v>
      </c>
      <c r="I1137" s="788">
        <v>42151</v>
      </c>
      <c r="J1137" s="788">
        <v>41540</v>
      </c>
      <c r="K1137" s="788">
        <v>41534</v>
      </c>
      <c r="L1137" s="787">
        <v>1.42</v>
      </c>
      <c r="M1137" s="787">
        <v>10</v>
      </c>
      <c r="N1137" s="787">
        <v>1.4</v>
      </c>
      <c r="O1137" s="788">
        <v>42163</v>
      </c>
    </row>
    <row r="1138" spans="1:15" x14ac:dyDescent="0.25">
      <c r="A1138" s="786" t="s">
        <v>2793</v>
      </c>
      <c r="B1138" s="787">
        <v>4</v>
      </c>
      <c r="C1138" s="787" t="s">
        <v>2794</v>
      </c>
      <c r="D1138" s="787">
        <v>1.67</v>
      </c>
      <c r="E1138" s="787">
        <v>1.67</v>
      </c>
      <c r="F1138" s="788">
        <v>38047</v>
      </c>
      <c r="G1138" s="788">
        <v>38047</v>
      </c>
      <c r="H1138" s="787">
        <v>1</v>
      </c>
      <c r="J1138" s="788">
        <v>38047</v>
      </c>
      <c r="L1138" s="787">
        <v>0.87</v>
      </c>
      <c r="M1138" s="787">
        <v>10</v>
      </c>
      <c r="N1138" s="787">
        <v>1.52</v>
      </c>
      <c r="O1138" s="788">
        <v>41955</v>
      </c>
    </row>
    <row r="1139" spans="1:15" x14ac:dyDescent="0.25">
      <c r="A1139" s="786" t="s">
        <v>2795</v>
      </c>
      <c r="B1139" s="787">
        <v>4</v>
      </c>
      <c r="C1139" s="787" t="s">
        <v>2796</v>
      </c>
      <c r="D1139" s="787">
        <v>0.41</v>
      </c>
      <c r="E1139" s="787">
        <v>1.72</v>
      </c>
      <c r="F1139" s="788">
        <v>40562</v>
      </c>
      <c r="G1139" s="788">
        <v>42013</v>
      </c>
      <c r="H1139" s="787">
        <v>1</v>
      </c>
      <c r="I1139" s="788">
        <v>42151</v>
      </c>
      <c r="J1139" s="788">
        <v>41722</v>
      </c>
      <c r="L1139" s="787">
        <v>0.37</v>
      </c>
      <c r="M1139" s="787">
        <v>10</v>
      </c>
      <c r="N1139" s="787">
        <v>0.61</v>
      </c>
      <c r="O1139" s="788">
        <v>42163</v>
      </c>
    </row>
    <row r="1140" spans="1:15" x14ac:dyDescent="0.25">
      <c r="A1140" s="786" t="s">
        <v>2797</v>
      </c>
      <c r="B1140" s="787">
        <v>4</v>
      </c>
      <c r="C1140" s="787" t="s">
        <v>2798</v>
      </c>
      <c r="D1140" s="787">
        <v>5.14</v>
      </c>
      <c r="E1140" s="787">
        <v>335.14</v>
      </c>
      <c r="F1140" s="788">
        <v>37637</v>
      </c>
      <c r="G1140" s="788">
        <v>37637</v>
      </c>
      <c r="H1140" s="787">
        <v>1</v>
      </c>
      <c r="J1140" s="788">
        <v>37637</v>
      </c>
      <c r="L1140" s="787">
        <v>291.20999999999998</v>
      </c>
      <c r="M1140" s="787">
        <v>10</v>
      </c>
      <c r="N1140" s="787">
        <v>325.43</v>
      </c>
      <c r="O1140" s="788">
        <v>41955</v>
      </c>
    </row>
    <row r="1141" spans="1:15" x14ac:dyDescent="0.25">
      <c r="A1141" s="786" t="s">
        <v>2799</v>
      </c>
      <c r="B1141" s="787">
        <v>4</v>
      </c>
      <c r="C1141" s="787" t="s">
        <v>2800</v>
      </c>
      <c r="D1141" s="787">
        <v>8.43</v>
      </c>
      <c r="E1141" s="787">
        <v>968.43</v>
      </c>
      <c r="F1141" s="788">
        <v>37637</v>
      </c>
      <c r="G1141" s="788">
        <v>37637</v>
      </c>
      <c r="H1141" s="787">
        <v>1</v>
      </c>
      <c r="I1141" s="788">
        <v>40412</v>
      </c>
      <c r="J1141" s="788">
        <v>37637</v>
      </c>
      <c r="L1141" s="787">
        <v>833.38</v>
      </c>
      <c r="M1141" s="787">
        <v>10</v>
      </c>
      <c r="N1141" s="787">
        <v>941.32</v>
      </c>
      <c r="O1141" s="788">
        <v>41955</v>
      </c>
    </row>
    <row r="1142" spans="1:15" x14ac:dyDescent="0.25">
      <c r="A1142" s="786" t="s">
        <v>2801</v>
      </c>
      <c r="B1142" s="787">
        <v>4</v>
      </c>
      <c r="C1142" s="787" t="s">
        <v>2802</v>
      </c>
      <c r="D1142" s="787">
        <v>6.03</v>
      </c>
      <c r="E1142" s="787">
        <v>846.03</v>
      </c>
      <c r="F1142" s="788">
        <v>37637</v>
      </c>
      <c r="G1142" s="788">
        <v>37637</v>
      </c>
      <c r="H1142" s="787">
        <v>1</v>
      </c>
      <c r="J1142" s="788">
        <v>37637</v>
      </c>
      <c r="L1142" s="787">
        <v>727.5</v>
      </c>
      <c r="M1142" s="787">
        <v>10</v>
      </c>
      <c r="N1142" s="787">
        <v>817.73</v>
      </c>
      <c r="O1142" s="788">
        <v>40853</v>
      </c>
    </row>
    <row r="1143" spans="1:15" x14ac:dyDescent="0.25">
      <c r="A1143" s="786" t="s">
        <v>2803</v>
      </c>
      <c r="B1143" s="787">
        <v>4</v>
      </c>
      <c r="C1143" s="787" t="s">
        <v>2804</v>
      </c>
      <c r="D1143" s="787">
        <v>4.88</v>
      </c>
      <c r="E1143" s="787">
        <v>27.45</v>
      </c>
      <c r="F1143" s="788">
        <v>40562</v>
      </c>
      <c r="G1143" s="788">
        <v>40644</v>
      </c>
      <c r="H1143" s="787">
        <v>1</v>
      </c>
      <c r="I1143" s="788">
        <v>41152</v>
      </c>
      <c r="J1143" s="788">
        <v>40584</v>
      </c>
      <c r="L1143" s="787">
        <v>36.89</v>
      </c>
      <c r="M1143" s="787">
        <v>10</v>
      </c>
      <c r="N1143" s="787">
        <v>66.709999999999994</v>
      </c>
      <c r="O1143" s="788">
        <v>42163</v>
      </c>
    </row>
    <row r="1144" spans="1:15" x14ac:dyDescent="0.25">
      <c r="A1144" s="786" t="s">
        <v>2805</v>
      </c>
      <c r="B1144" s="787">
        <v>4</v>
      </c>
      <c r="C1144" s="787" t="s">
        <v>2806</v>
      </c>
      <c r="D1144" s="787">
        <v>0</v>
      </c>
      <c r="E1144" s="787">
        <v>0</v>
      </c>
      <c r="H1144" s="787">
        <v>1</v>
      </c>
      <c r="J1144" s="788">
        <v>37637</v>
      </c>
      <c r="L1144" s="787">
        <v>0</v>
      </c>
      <c r="M1144" s="787">
        <v>10</v>
      </c>
      <c r="N1144" s="787">
        <v>0</v>
      </c>
      <c r="O1144" s="788">
        <v>41955</v>
      </c>
    </row>
    <row r="1145" spans="1:15" x14ac:dyDescent="0.25">
      <c r="A1145" s="786" t="s">
        <v>2807</v>
      </c>
      <c r="B1145" s="787">
        <v>4</v>
      </c>
      <c r="C1145" s="787" t="s">
        <v>2808</v>
      </c>
      <c r="D1145" s="787">
        <v>0</v>
      </c>
      <c r="E1145" s="787">
        <v>0</v>
      </c>
      <c r="H1145" s="787">
        <v>1</v>
      </c>
      <c r="J1145" s="788">
        <v>37637</v>
      </c>
      <c r="L1145" s="787">
        <v>0</v>
      </c>
      <c r="M1145" s="787">
        <v>10</v>
      </c>
      <c r="N1145" s="787">
        <v>0</v>
      </c>
      <c r="O1145" s="788">
        <v>41955</v>
      </c>
    </row>
    <row r="1146" spans="1:15" x14ac:dyDescent="0.25">
      <c r="A1146" s="786" t="s">
        <v>2809</v>
      </c>
      <c r="B1146" s="787">
        <v>4</v>
      </c>
      <c r="C1146" s="787" t="s">
        <v>2806</v>
      </c>
      <c r="D1146" s="787">
        <v>0</v>
      </c>
      <c r="E1146" s="787">
        <v>0</v>
      </c>
      <c r="F1146" s="788">
        <v>41613</v>
      </c>
      <c r="G1146" s="788">
        <v>41613</v>
      </c>
      <c r="H1146" s="787">
        <v>1</v>
      </c>
      <c r="I1146" s="788">
        <v>41491</v>
      </c>
      <c r="J1146" s="788">
        <v>41569</v>
      </c>
      <c r="L1146" s="787">
        <v>227</v>
      </c>
      <c r="M1146" s="787">
        <v>10</v>
      </c>
      <c r="N1146" s="787">
        <v>0</v>
      </c>
      <c r="O1146" s="788">
        <v>41955</v>
      </c>
    </row>
    <row r="1147" spans="1:15" x14ac:dyDescent="0.25">
      <c r="A1147" s="786" t="s">
        <v>2810</v>
      </c>
      <c r="B1147" s="787">
        <v>4</v>
      </c>
      <c r="C1147" s="787" t="s">
        <v>2811</v>
      </c>
      <c r="D1147" s="787">
        <v>7</v>
      </c>
      <c r="E1147" s="787">
        <v>227</v>
      </c>
      <c r="F1147" s="788">
        <v>37637</v>
      </c>
      <c r="G1147" s="788">
        <v>37637</v>
      </c>
      <c r="H1147" s="787">
        <v>1</v>
      </c>
      <c r="J1147" s="788">
        <v>37637</v>
      </c>
      <c r="L1147" s="787">
        <v>227</v>
      </c>
      <c r="M1147" s="787">
        <v>10</v>
      </c>
      <c r="N1147" s="787">
        <v>0</v>
      </c>
      <c r="O1147" s="788">
        <v>41955</v>
      </c>
    </row>
    <row r="1148" spans="1:15" x14ac:dyDescent="0.25">
      <c r="A1148" s="786" t="s">
        <v>2812</v>
      </c>
      <c r="B1148" s="787">
        <v>4</v>
      </c>
      <c r="C1148" s="787" t="s">
        <v>2813</v>
      </c>
      <c r="D1148" s="787">
        <v>0</v>
      </c>
      <c r="E1148" s="787">
        <v>0</v>
      </c>
      <c r="H1148" s="787">
        <v>1</v>
      </c>
      <c r="J1148" s="788">
        <v>37637</v>
      </c>
      <c r="K1148" s="788">
        <v>42165</v>
      </c>
      <c r="L1148" s="787">
        <v>0.01</v>
      </c>
      <c r="M1148" s="787">
        <v>10</v>
      </c>
      <c r="N1148" s="787">
        <v>0</v>
      </c>
      <c r="O1148" s="788">
        <v>42165</v>
      </c>
    </row>
    <row r="1149" spans="1:15" x14ac:dyDescent="0.25">
      <c r="A1149" s="786" t="s">
        <v>2814</v>
      </c>
      <c r="B1149" s="787">
        <v>4</v>
      </c>
      <c r="C1149" s="787" t="s">
        <v>2815</v>
      </c>
      <c r="D1149" s="787">
        <v>0</v>
      </c>
      <c r="E1149" s="787">
        <v>0</v>
      </c>
      <c r="H1149" s="787">
        <v>1</v>
      </c>
      <c r="J1149" s="788">
        <v>37637</v>
      </c>
      <c r="L1149" s="787">
        <v>0</v>
      </c>
      <c r="M1149" s="787">
        <v>10</v>
      </c>
      <c r="N1149" s="787">
        <v>0</v>
      </c>
      <c r="O1149" s="788">
        <v>41955</v>
      </c>
    </row>
    <row r="1150" spans="1:15" x14ac:dyDescent="0.25">
      <c r="A1150" s="786" t="s">
        <v>2816</v>
      </c>
      <c r="B1150" s="787">
        <v>4</v>
      </c>
      <c r="C1150" s="787" t="s">
        <v>2817</v>
      </c>
      <c r="D1150" s="787">
        <v>0</v>
      </c>
      <c r="E1150" s="787">
        <v>0</v>
      </c>
      <c r="H1150" s="787">
        <v>1</v>
      </c>
      <c r="J1150" s="788">
        <v>37637</v>
      </c>
      <c r="L1150" s="787">
        <v>0</v>
      </c>
      <c r="M1150" s="787">
        <v>10</v>
      </c>
      <c r="N1150" s="787">
        <v>0</v>
      </c>
      <c r="O1150" s="788">
        <v>41955</v>
      </c>
    </row>
    <row r="1151" spans="1:15" x14ac:dyDescent="0.25">
      <c r="A1151" s="786" t="s">
        <v>2818</v>
      </c>
      <c r="B1151" s="787">
        <v>4</v>
      </c>
      <c r="C1151" s="787" t="s">
        <v>2815</v>
      </c>
      <c r="D1151" s="787">
        <v>0</v>
      </c>
      <c r="E1151" s="787">
        <v>0</v>
      </c>
      <c r="H1151" s="787">
        <v>1</v>
      </c>
      <c r="J1151" s="788">
        <v>37637</v>
      </c>
      <c r="L1151" s="787">
        <v>0</v>
      </c>
      <c r="M1151" s="787">
        <v>10</v>
      </c>
      <c r="N1151" s="787">
        <v>0</v>
      </c>
      <c r="O1151" s="788">
        <v>41955</v>
      </c>
    </row>
    <row r="1152" spans="1:15" x14ac:dyDescent="0.25">
      <c r="A1152" s="786" t="s">
        <v>2819</v>
      </c>
      <c r="B1152" s="787">
        <v>4</v>
      </c>
      <c r="C1152" s="787" t="s">
        <v>2820</v>
      </c>
      <c r="D1152" s="787">
        <v>4.3099999999999996</v>
      </c>
      <c r="E1152" s="787">
        <v>24.31</v>
      </c>
      <c r="F1152" s="788">
        <v>37637</v>
      </c>
      <c r="G1152" s="788">
        <v>37637</v>
      </c>
      <c r="H1152" s="787">
        <v>1</v>
      </c>
      <c r="I1152" s="788">
        <v>38030</v>
      </c>
      <c r="J1152" s="788">
        <v>37637</v>
      </c>
      <c r="L1152" s="787">
        <v>13.1</v>
      </c>
      <c r="M1152" s="787">
        <v>10</v>
      </c>
      <c r="N1152" s="787">
        <v>23.47</v>
      </c>
      <c r="O1152" s="788">
        <v>42144</v>
      </c>
    </row>
    <row r="1153" spans="1:15" x14ac:dyDescent="0.25">
      <c r="A1153" s="786" t="s">
        <v>2821</v>
      </c>
      <c r="B1153" s="787">
        <v>4</v>
      </c>
      <c r="C1153" s="787" t="s">
        <v>2822</v>
      </c>
      <c r="D1153" s="787">
        <v>4.3099999999999996</v>
      </c>
      <c r="E1153" s="787">
        <v>24.31</v>
      </c>
      <c r="F1153" s="788">
        <v>37637</v>
      </c>
      <c r="G1153" s="788">
        <v>38364</v>
      </c>
      <c r="H1153" s="787">
        <v>1</v>
      </c>
      <c r="I1153" s="788">
        <v>38736</v>
      </c>
      <c r="J1153" s="788">
        <v>37637</v>
      </c>
      <c r="L1153" s="787">
        <v>18.48</v>
      </c>
      <c r="M1153" s="787">
        <v>10</v>
      </c>
      <c r="N1153" s="787">
        <v>29.7</v>
      </c>
      <c r="O1153" s="788">
        <v>42162</v>
      </c>
    </row>
    <row r="1154" spans="1:15" x14ac:dyDescent="0.25">
      <c r="A1154" s="786" t="s">
        <v>2823</v>
      </c>
      <c r="B1154" s="787">
        <v>4</v>
      </c>
      <c r="C1154" s="787" t="s">
        <v>2824</v>
      </c>
      <c r="D1154" s="787">
        <v>6.43</v>
      </c>
      <c r="E1154" s="787">
        <v>26.43</v>
      </c>
      <c r="F1154" s="788">
        <v>38047</v>
      </c>
      <c r="G1154" s="788">
        <v>38047</v>
      </c>
      <c r="H1154" s="787">
        <v>1</v>
      </c>
      <c r="I1154" s="788">
        <v>38146</v>
      </c>
      <c r="J1154" s="788">
        <v>38047</v>
      </c>
      <c r="L1154" s="787">
        <v>14.9</v>
      </c>
      <c r="M1154" s="787">
        <v>10</v>
      </c>
      <c r="N1154" s="787">
        <v>25.55</v>
      </c>
      <c r="O1154" s="788">
        <v>42144</v>
      </c>
    </row>
    <row r="1155" spans="1:15" x14ac:dyDescent="0.25">
      <c r="A1155" s="786" t="s">
        <v>2825</v>
      </c>
      <c r="B1155" s="787">
        <v>4</v>
      </c>
      <c r="C1155" s="787" t="s">
        <v>2826</v>
      </c>
      <c r="D1155" s="787">
        <v>6.43</v>
      </c>
      <c r="E1155" s="787">
        <v>26.43</v>
      </c>
      <c r="F1155" s="788">
        <v>38047</v>
      </c>
      <c r="G1155" s="788">
        <v>38047</v>
      </c>
      <c r="H1155" s="787">
        <v>1</v>
      </c>
      <c r="I1155" s="788">
        <v>38146</v>
      </c>
      <c r="J1155" s="788">
        <v>38047</v>
      </c>
      <c r="L1155" s="787">
        <v>14.9</v>
      </c>
      <c r="M1155" s="787">
        <v>10</v>
      </c>
      <c r="N1155" s="787">
        <v>25.55</v>
      </c>
      <c r="O1155" s="788">
        <v>42144</v>
      </c>
    </row>
    <row r="1156" spans="1:15" x14ac:dyDescent="0.25">
      <c r="A1156" s="786" t="s">
        <v>2827</v>
      </c>
      <c r="B1156" s="787">
        <v>4</v>
      </c>
      <c r="C1156" s="787" t="s">
        <v>2828</v>
      </c>
      <c r="D1156" s="787">
        <v>8.56</v>
      </c>
      <c r="E1156" s="787">
        <v>28.56</v>
      </c>
      <c r="F1156" s="788">
        <v>37637</v>
      </c>
      <c r="G1156" s="788">
        <v>37637</v>
      </c>
      <c r="H1156" s="787">
        <v>1</v>
      </c>
      <c r="J1156" s="788">
        <v>37637</v>
      </c>
      <c r="L1156" s="787">
        <v>16.68</v>
      </c>
      <c r="M1156" s="787">
        <v>10</v>
      </c>
      <c r="N1156" s="787">
        <v>27.62</v>
      </c>
      <c r="O1156" s="788">
        <v>42144</v>
      </c>
    </row>
    <row r="1157" spans="1:15" x14ac:dyDescent="0.25">
      <c r="A1157" s="786" t="s">
        <v>2829</v>
      </c>
      <c r="B1157" s="787">
        <v>4</v>
      </c>
      <c r="C1157" s="787" t="s">
        <v>2830</v>
      </c>
      <c r="D1157" s="787">
        <v>5.56</v>
      </c>
      <c r="E1157" s="787">
        <v>25.56</v>
      </c>
      <c r="F1157" s="788">
        <v>38047</v>
      </c>
      <c r="G1157" s="788">
        <v>38047</v>
      </c>
      <c r="H1157" s="787">
        <v>1</v>
      </c>
      <c r="I1157" s="788">
        <v>38736</v>
      </c>
      <c r="J1157" s="788">
        <v>38047</v>
      </c>
      <c r="L1157" s="787">
        <v>16.68</v>
      </c>
      <c r="M1157" s="787">
        <v>10</v>
      </c>
      <c r="N1157" s="787">
        <v>27.62</v>
      </c>
      <c r="O1157" s="788">
        <v>42144</v>
      </c>
    </row>
    <row r="1158" spans="1:15" x14ac:dyDescent="0.25">
      <c r="A1158" s="786" t="s">
        <v>2831</v>
      </c>
      <c r="B1158" s="787">
        <v>4</v>
      </c>
      <c r="C1158" s="787" t="s">
        <v>2832</v>
      </c>
      <c r="D1158" s="787">
        <v>7.03</v>
      </c>
      <c r="E1158" s="787">
        <v>227.03</v>
      </c>
      <c r="F1158" s="788">
        <v>37637</v>
      </c>
      <c r="G1158" s="788">
        <v>37637</v>
      </c>
      <c r="H1158" s="787">
        <v>1</v>
      </c>
      <c r="J1158" s="788">
        <v>37637</v>
      </c>
      <c r="L1158" s="787">
        <v>178.97</v>
      </c>
      <c r="M1158" s="787">
        <v>10</v>
      </c>
      <c r="N1158" s="787">
        <v>213.4</v>
      </c>
      <c r="O1158" s="788">
        <v>42127</v>
      </c>
    </row>
    <row r="1159" spans="1:15" x14ac:dyDescent="0.25">
      <c r="A1159" s="786" t="s">
        <v>2833</v>
      </c>
      <c r="B1159" s="787">
        <v>4</v>
      </c>
      <c r="C1159" s="787" t="s">
        <v>2834</v>
      </c>
      <c r="D1159" s="787">
        <v>5.57</v>
      </c>
      <c r="E1159" s="787">
        <v>5.57</v>
      </c>
      <c r="F1159" s="788">
        <v>37637</v>
      </c>
      <c r="G1159" s="788">
        <v>37637</v>
      </c>
      <c r="H1159" s="787">
        <v>1</v>
      </c>
      <c r="J1159" s="788">
        <v>37637</v>
      </c>
      <c r="L1159" s="787">
        <v>3.32</v>
      </c>
      <c r="M1159" s="787">
        <v>10</v>
      </c>
      <c r="N1159" s="787">
        <v>4.24</v>
      </c>
      <c r="O1159" s="788">
        <v>42087</v>
      </c>
    </row>
    <row r="1160" spans="1:15" x14ac:dyDescent="0.25">
      <c r="A1160" s="786" t="s">
        <v>2835</v>
      </c>
      <c r="B1160" s="787">
        <v>4</v>
      </c>
      <c r="C1160" s="787" t="s">
        <v>2836</v>
      </c>
      <c r="D1160" s="787">
        <v>2.15</v>
      </c>
      <c r="E1160" s="787">
        <v>4.75</v>
      </c>
      <c r="F1160" s="788">
        <v>40948</v>
      </c>
      <c r="G1160" s="788">
        <v>42069</v>
      </c>
      <c r="H1160" s="787">
        <v>1</v>
      </c>
      <c r="I1160" s="788">
        <v>42160</v>
      </c>
      <c r="J1160" s="788">
        <v>42038</v>
      </c>
      <c r="L1160" s="787">
        <v>1.77</v>
      </c>
      <c r="M1160" s="787">
        <v>10</v>
      </c>
      <c r="N1160" s="787">
        <v>4.2300000000000004</v>
      </c>
      <c r="O1160" s="788">
        <v>42163</v>
      </c>
    </row>
    <row r="1161" spans="1:15" x14ac:dyDescent="0.25">
      <c r="A1161" s="786" t="s">
        <v>2837</v>
      </c>
      <c r="B1161" s="787">
        <v>4</v>
      </c>
      <c r="C1161" s="787" t="s">
        <v>2838</v>
      </c>
      <c r="D1161" s="787">
        <v>2.15</v>
      </c>
      <c r="E1161" s="787">
        <v>4.75</v>
      </c>
      <c r="F1161" s="788">
        <v>40948</v>
      </c>
      <c r="G1161" s="788">
        <v>42069</v>
      </c>
      <c r="H1161" s="787">
        <v>1</v>
      </c>
      <c r="I1161" s="788">
        <v>42160</v>
      </c>
      <c r="J1161" s="788">
        <v>42039</v>
      </c>
      <c r="L1161" s="787">
        <v>1.77</v>
      </c>
      <c r="M1161" s="787">
        <v>10</v>
      </c>
      <c r="N1161" s="787">
        <v>4.2300000000000004</v>
      </c>
      <c r="O1161" s="788">
        <v>42163</v>
      </c>
    </row>
    <row r="1162" spans="1:15" x14ac:dyDescent="0.25">
      <c r="A1162" s="786" t="s">
        <v>2839</v>
      </c>
      <c r="B1162" s="787">
        <v>4</v>
      </c>
      <c r="C1162" s="787" t="s">
        <v>2836</v>
      </c>
      <c r="D1162" s="787">
        <v>1.82</v>
      </c>
      <c r="E1162" s="787">
        <v>4.09</v>
      </c>
      <c r="F1162" s="788">
        <v>40948</v>
      </c>
      <c r="G1162" s="788">
        <v>42058</v>
      </c>
      <c r="H1162" s="787">
        <v>1</v>
      </c>
      <c r="I1162" s="788">
        <v>42151</v>
      </c>
      <c r="J1162" s="788">
        <v>42026</v>
      </c>
      <c r="L1162" s="787">
        <v>8.19</v>
      </c>
      <c r="M1162" s="787">
        <v>10</v>
      </c>
      <c r="N1162" s="787">
        <v>3.76</v>
      </c>
      <c r="O1162" s="788">
        <v>42163</v>
      </c>
    </row>
    <row r="1163" spans="1:15" x14ac:dyDescent="0.25">
      <c r="A1163" s="786" t="s">
        <v>2840</v>
      </c>
      <c r="B1163" s="787">
        <v>4</v>
      </c>
      <c r="C1163" s="787" t="s">
        <v>2838</v>
      </c>
      <c r="D1163" s="787">
        <v>1.73</v>
      </c>
      <c r="E1163" s="787">
        <v>1.73</v>
      </c>
      <c r="F1163" s="788">
        <v>41806</v>
      </c>
      <c r="G1163" s="788">
        <v>42013</v>
      </c>
      <c r="H1163" s="787">
        <v>1</v>
      </c>
      <c r="I1163" s="788">
        <v>42151</v>
      </c>
      <c r="J1163" s="788">
        <v>41772</v>
      </c>
      <c r="L1163" s="787">
        <v>8.19</v>
      </c>
      <c r="M1163" s="787">
        <v>10</v>
      </c>
      <c r="N1163" s="787">
        <v>3.76</v>
      </c>
      <c r="O1163" s="788">
        <v>42163</v>
      </c>
    </row>
    <row r="1164" spans="1:15" x14ac:dyDescent="0.25">
      <c r="A1164" s="786" t="s">
        <v>2841</v>
      </c>
      <c r="B1164" s="787">
        <v>4</v>
      </c>
      <c r="C1164" s="787" t="s">
        <v>2842</v>
      </c>
      <c r="D1164" s="787">
        <v>1.23</v>
      </c>
      <c r="E1164" s="787">
        <v>1.23</v>
      </c>
      <c r="F1164" s="788">
        <v>39101</v>
      </c>
      <c r="G1164" s="788">
        <v>41943</v>
      </c>
      <c r="H1164" s="787">
        <v>1</v>
      </c>
      <c r="I1164" s="788">
        <v>42074</v>
      </c>
      <c r="J1164" s="788">
        <v>39149</v>
      </c>
      <c r="L1164" s="787">
        <v>1.1499999999999999</v>
      </c>
      <c r="M1164" s="787">
        <v>10</v>
      </c>
      <c r="N1164" s="787">
        <v>1.74</v>
      </c>
      <c r="O1164" s="788">
        <v>42162</v>
      </c>
    </row>
    <row r="1165" spans="1:15" x14ac:dyDescent="0.25">
      <c r="A1165" s="786" t="s">
        <v>2843</v>
      </c>
      <c r="B1165" s="787">
        <v>4</v>
      </c>
      <c r="C1165" s="787" t="s">
        <v>2844</v>
      </c>
      <c r="D1165" s="787">
        <v>1.1200000000000001</v>
      </c>
      <c r="E1165" s="787">
        <v>1.1200000000000001</v>
      </c>
      <c r="F1165" s="788">
        <v>39975</v>
      </c>
      <c r="G1165" s="788">
        <v>41565</v>
      </c>
      <c r="H1165" s="787">
        <v>1</v>
      </c>
      <c r="I1165" s="788">
        <v>41214</v>
      </c>
      <c r="J1165" s="788">
        <v>39149</v>
      </c>
      <c r="L1165" s="787">
        <v>0.89</v>
      </c>
      <c r="M1165" s="787">
        <v>10</v>
      </c>
      <c r="N1165" s="787">
        <v>1.1599999999999999</v>
      </c>
      <c r="O1165" s="788">
        <v>42083</v>
      </c>
    </row>
    <row r="1166" spans="1:15" x14ac:dyDescent="0.25">
      <c r="A1166" s="786" t="s">
        <v>2845</v>
      </c>
      <c r="B1166" s="787">
        <v>4</v>
      </c>
      <c r="C1166" s="787" t="s">
        <v>2846</v>
      </c>
      <c r="D1166" s="787">
        <v>3.02</v>
      </c>
      <c r="E1166" s="787">
        <v>13.71</v>
      </c>
      <c r="F1166" s="788">
        <v>39101</v>
      </c>
      <c r="G1166" s="788">
        <v>39506</v>
      </c>
      <c r="H1166" s="787">
        <v>1</v>
      </c>
      <c r="I1166" s="788">
        <v>40876</v>
      </c>
      <c r="J1166" s="788">
        <v>40367</v>
      </c>
      <c r="L1166" s="787">
        <v>18.87</v>
      </c>
      <c r="M1166" s="787">
        <v>10</v>
      </c>
      <c r="N1166" s="787">
        <v>38.15</v>
      </c>
      <c r="O1166" s="788">
        <v>42163</v>
      </c>
    </row>
    <row r="1167" spans="1:15" x14ac:dyDescent="0.25">
      <c r="A1167" s="786" t="s">
        <v>2847</v>
      </c>
      <c r="B1167" s="787">
        <v>4</v>
      </c>
      <c r="C1167" s="787" t="s">
        <v>2848</v>
      </c>
      <c r="D1167" s="787">
        <v>4.66</v>
      </c>
      <c r="E1167" s="787">
        <v>18.64</v>
      </c>
      <c r="F1167" s="788">
        <v>39101</v>
      </c>
      <c r="G1167" s="788">
        <v>40038</v>
      </c>
      <c r="H1167" s="787">
        <v>1</v>
      </c>
      <c r="I1167" s="788">
        <v>40876</v>
      </c>
      <c r="J1167" s="788">
        <v>40367</v>
      </c>
      <c r="L1167" s="787">
        <v>18.87</v>
      </c>
      <c r="M1167" s="787">
        <v>10</v>
      </c>
      <c r="N1167" s="787">
        <v>38.15</v>
      </c>
      <c r="O1167" s="788">
        <v>42163</v>
      </c>
    </row>
    <row r="1168" spans="1:15" x14ac:dyDescent="0.25">
      <c r="A1168" s="786" t="s">
        <v>2849</v>
      </c>
      <c r="B1168" s="787">
        <v>4</v>
      </c>
      <c r="C1168" s="787" t="s">
        <v>2850</v>
      </c>
      <c r="D1168" s="787">
        <v>4.93</v>
      </c>
      <c r="E1168" s="787">
        <v>22.29</v>
      </c>
      <c r="F1168" s="788">
        <v>39101</v>
      </c>
      <c r="G1168" s="788">
        <v>40441</v>
      </c>
      <c r="H1168" s="787">
        <v>1</v>
      </c>
      <c r="I1168" s="788">
        <v>40794</v>
      </c>
      <c r="J1168" s="788">
        <v>40441</v>
      </c>
      <c r="L1168" s="787">
        <v>22.51</v>
      </c>
      <c r="M1168" s="787">
        <v>10</v>
      </c>
      <c r="N1168" s="787">
        <v>23.6</v>
      </c>
      <c r="O1168" s="788">
        <v>42163</v>
      </c>
    </row>
    <row r="1169" spans="1:15" x14ac:dyDescent="0.25">
      <c r="A1169" s="786" t="s">
        <v>2851</v>
      </c>
      <c r="B1169" s="787">
        <v>4</v>
      </c>
      <c r="C1169" s="787" t="s">
        <v>2850</v>
      </c>
      <c r="D1169" s="787">
        <v>4.93</v>
      </c>
      <c r="E1169" s="787">
        <v>22.29</v>
      </c>
      <c r="F1169" s="788">
        <v>39101</v>
      </c>
      <c r="G1169" s="788">
        <v>40446</v>
      </c>
      <c r="H1169" s="787">
        <v>1</v>
      </c>
      <c r="I1169" s="788">
        <v>40794</v>
      </c>
      <c r="J1169" s="788">
        <v>40446</v>
      </c>
      <c r="L1169" s="787">
        <v>22.51</v>
      </c>
      <c r="M1169" s="787">
        <v>10</v>
      </c>
      <c r="N1169" s="787">
        <v>23.6</v>
      </c>
      <c r="O1169" s="788">
        <v>42163</v>
      </c>
    </row>
    <row r="1170" spans="1:15" x14ac:dyDescent="0.25">
      <c r="A1170" s="786" t="s">
        <v>2852</v>
      </c>
      <c r="B1170" s="787">
        <v>4</v>
      </c>
      <c r="C1170" s="787" t="s">
        <v>2853</v>
      </c>
      <c r="D1170" s="787">
        <v>2.3199999999999998</v>
      </c>
      <c r="E1170" s="787">
        <v>142.32</v>
      </c>
      <c r="F1170" s="788">
        <v>39101</v>
      </c>
      <c r="G1170" s="788">
        <v>41565</v>
      </c>
      <c r="H1170" s="787">
        <v>1</v>
      </c>
      <c r="I1170" s="788">
        <v>40749</v>
      </c>
      <c r="J1170" s="788">
        <v>39149</v>
      </c>
      <c r="L1170" s="787">
        <v>26.12</v>
      </c>
      <c r="M1170" s="787">
        <v>10</v>
      </c>
      <c r="N1170" s="787">
        <v>31.53</v>
      </c>
      <c r="O1170" s="788">
        <v>42163</v>
      </c>
    </row>
    <row r="1171" spans="1:15" x14ac:dyDescent="0.25">
      <c r="A1171" s="786" t="s">
        <v>2854</v>
      </c>
      <c r="B1171" s="787">
        <v>4</v>
      </c>
      <c r="C1171" s="787" t="s">
        <v>2855</v>
      </c>
      <c r="D1171" s="787">
        <v>7.57</v>
      </c>
      <c r="E1171" s="787">
        <v>7.57</v>
      </c>
      <c r="F1171" s="788">
        <v>39101</v>
      </c>
      <c r="G1171" s="788">
        <v>41565</v>
      </c>
      <c r="H1171" s="787">
        <v>1</v>
      </c>
      <c r="I1171" s="788">
        <v>40749</v>
      </c>
      <c r="J1171" s="788">
        <v>39149</v>
      </c>
      <c r="L1171" s="787">
        <v>26.12</v>
      </c>
      <c r="M1171" s="787">
        <v>10</v>
      </c>
      <c r="N1171" s="787">
        <v>31.53</v>
      </c>
      <c r="O1171" s="788">
        <v>42163</v>
      </c>
    </row>
    <row r="1172" spans="1:15" x14ac:dyDescent="0.25">
      <c r="A1172" s="786" t="s">
        <v>2856</v>
      </c>
      <c r="B1172" s="787">
        <v>4</v>
      </c>
      <c r="C1172" s="787" t="s">
        <v>2857</v>
      </c>
      <c r="D1172" s="787">
        <v>7.15</v>
      </c>
      <c r="E1172" s="787">
        <v>75.73</v>
      </c>
      <c r="F1172" s="788">
        <v>41519</v>
      </c>
      <c r="G1172" s="788">
        <v>42156</v>
      </c>
      <c r="H1172" s="787">
        <v>1</v>
      </c>
      <c r="I1172" s="788">
        <v>42066</v>
      </c>
      <c r="J1172" s="788">
        <v>42156</v>
      </c>
      <c r="L1172" s="787">
        <v>19.97</v>
      </c>
      <c r="M1172" s="787">
        <v>10</v>
      </c>
      <c r="N1172" s="787">
        <v>31.77</v>
      </c>
      <c r="O1172" s="788">
        <v>42163</v>
      </c>
    </row>
    <row r="1173" spans="1:15" x14ac:dyDescent="0.25">
      <c r="A1173" s="786" t="s">
        <v>2858</v>
      </c>
      <c r="B1173" s="787">
        <v>4</v>
      </c>
      <c r="C1173" s="787" t="s">
        <v>2859</v>
      </c>
      <c r="D1173" s="787">
        <v>1.73</v>
      </c>
      <c r="E1173" s="787">
        <v>8.43</v>
      </c>
      <c r="F1173" s="788">
        <v>41775</v>
      </c>
      <c r="G1173" s="788">
        <v>42156</v>
      </c>
      <c r="H1173" s="787">
        <v>1</v>
      </c>
      <c r="I1173" s="788">
        <v>42066</v>
      </c>
      <c r="J1173" s="788">
        <v>42156</v>
      </c>
      <c r="L1173" s="787">
        <v>19.97</v>
      </c>
      <c r="M1173" s="787">
        <v>10</v>
      </c>
      <c r="N1173" s="787">
        <v>31.77</v>
      </c>
      <c r="O1173" s="788">
        <v>42163</v>
      </c>
    </row>
    <row r="1174" spans="1:15" x14ac:dyDescent="0.25">
      <c r="A1174" s="786" t="s">
        <v>2860</v>
      </c>
      <c r="B1174" s="787">
        <v>4</v>
      </c>
      <c r="C1174" s="787" t="s">
        <v>2850</v>
      </c>
      <c r="D1174" s="787">
        <v>6.15</v>
      </c>
      <c r="E1174" s="787">
        <v>49.43</v>
      </c>
      <c r="F1174" s="788">
        <v>40827</v>
      </c>
      <c r="G1174" s="788">
        <v>42165</v>
      </c>
      <c r="H1174" s="787">
        <v>1</v>
      </c>
      <c r="I1174" s="788">
        <v>42160</v>
      </c>
      <c r="J1174" s="788">
        <v>42136</v>
      </c>
      <c r="L1174" s="787">
        <v>23.91</v>
      </c>
      <c r="M1174" s="787">
        <v>10</v>
      </c>
      <c r="N1174" s="787">
        <v>35.090000000000003</v>
      </c>
      <c r="O1174" s="788">
        <v>42163</v>
      </c>
    </row>
    <row r="1175" spans="1:15" x14ac:dyDescent="0.25">
      <c r="A1175" s="786" t="s">
        <v>2861</v>
      </c>
      <c r="B1175" s="787">
        <v>4</v>
      </c>
      <c r="C1175" s="787" t="s">
        <v>2850</v>
      </c>
      <c r="D1175" s="787">
        <v>6.15</v>
      </c>
      <c r="E1175" s="787">
        <v>38.71</v>
      </c>
      <c r="F1175" s="788">
        <v>40827</v>
      </c>
      <c r="G1175" s="788">
        <v>42165</v>
      </c>
      <c r="H1175" s="787">
        <v>1</v>
      </c>
      <c r="I1175" s="788">
        <v>42160</v>
      </c>
      <c r="J1175" s="788">
        <v>42136</v>
      </c>
      <c r="L1175" s="787">
        <v>23.91</v>
      </c>
      <c r="M1175" s="787">
        <v>10</v>
      </c>
      <c r="N1175" s="787">
        <v>35.090000000000003</v>
      </c>
      <c r="O1175" s="788">
        <v>42163</v>
      </c>
    </row>
    <row r="1176" spans="1:15" x14ac:dyDescent="0.25">
      <c r="A1176" s="786" t="s">
        <v>2862</v>
      </c>
      <c r="B1176" s="787">
        <v>4</v>
      </c>
      <c r="C1176" s="787" t="s">
        <v>2863</v>
      </c>
      <c r="D1176" s="787">
        <v>5.18</v>
      </c>
      <c r="E1176" s="787">
        <v>36.82</v>
      </c>
      <c r="F1176" s="788">
        <v>39101</v>
      </c>
      <c r="G1176" s="788">
        <v>42158</v>
      </c>
      <c r="H1176" s="787">
        <v>1</v>
      </c>
      <c r="I1176" s="788">
        <v>42157</v>
      </c>
      <c r="J1176" s="788">
        <v>42130</v>
      </c>
      <c r="L1176" s="787">
        <v>27.82</v>
      </c>
      <c r="M1176" s="787">
        <v>10</v>
      </c>
      <c r="N1176" s="787">
        <v>38.22</v>
      </c>
      <c r="O1176" s="788">
        <v>42163</v>
      </c>
    </row>
    <row r="1177" spans="1:15" x14ac:dyDescent="0.25">
      <c r="A1177" s="786" t="s">
        <v>2864</v>
      </c>
      <c r="B1177" s="787">
        <v>4</v>
      </c>
      <c r="C1177" s="787" t="s">
        <v>2865</v>
      </c>
      <c r="D1177" s="787">
        <v>3.16</v>
      </c>
      <c r="E1177" s="787">
        <v>70.61</v>
      </c>
      <c r="F1177" s="788">
        <v>41775</v>
      </c>
      <c r="G1177" s="788">
        <v>42158</v>
      </c>
      <c r="H1177" s="787">
        <v>1</v>
      </c>
      <c r="I1177" s="788">
        <v>42157</v>
      </c>
      <c r="J1177" s="788">
        <v>42130</v>
      </c>
      <c r="L1177" s="787">
        <v>28.52</v>
      </c>
      <c r="M1177" s="787">
        <v>10</v>
      </c>
      <c r="N1177" s="787">
        <v>38.22</v>
      </c>
      <c r="O1177" s="788">
        <v>42163</v>
      </c>
    </row>
    <row r="1178" spans="1:15" x14ac:dyDescent="0.25">
      <c r="A1178" s="786" t="s">
        <v>2866</v>
      </c>
      <c r="B1178" s="787">
        <v>4</v>
      </c>
      <c r="C1178" s="787" t="s">
        <v>2867</v>
      </c>
      <c r="D1178" s="787">
        <v>2.4</v>
      </c>
      <c r="E1178" s="787">
        <v>34.24</v>
      </c>
      <c r="F1178" s="788">
        <v>39975</v>
      </c>
      <c r="G1178" s="788">
        <v>40534</v>
      </c>
      <c r="H1178" s="787">
        <v>5</v>
      </c>
      <c r="I1178" s="788">
        <v>40875</v>
      </c>
      <c r="J1178" s="788">
        <v>40568</v>
      </c>
      <c r="L1178" s="787">
        <v>13.75</v>
      </c>
      <c r="M1178" s="787">
        <v>10</v>
      </c>
      <c r="N1178" s="787">
        <v>30.44</v>
      </c>
      <c r="O1178" s="788">
        <v>42152</v>
      </c>
    </row>
    <row r="1179" spans="1:15" x14ac:dyDescent="0.25">
      <c r="A1179" s="786" t="s">
        <v>2868</v>
      </c>
      <c r="B1179" s="787">
        <v>4</v>
      </c>
      <c r="C1179" s="787" t="s">
        <v>2869</v>
      </c>
      <c r="D1179" s="787">
        <v>9.98</v>
      </c>
      <c r="E1179" s="787">
        <v>40.69</v>
      </c>
      <c r="F1179" s="788">
        <v>40494</v>
      </c>
      <c r="G1179" s="788">
        <v>41598</v>
      </c>
      <c r="H1179" s="787">
        <v>1</v>
      </c>
      <c r="I1179" s="788">
        <v>41746</v>
      </c>
      <c r="J1179" s="788">
        <v>41620</v>
      </c>
      <c r="K1179" s="788">
        <v>41599</v>
      </c>
      <c r="L1179" s="787">
        <v>40.69</v>
      </c>
      <c r="M1179" s="787">
        <v>20</v>
      </c>
      <c r="N1179" s="787">
        <v>43.74</v>
      </c>
      <c r="O1179" s="788">
        <v>42163</v>
      </c>
    </row>
    <row r="1180" spans="1:15" x14ac:dyDescent="0.25">
      <c r="A1180" s="786" t="s">
        <v>2870</v>
      </c>
      <c r="B1180" s="787">
        <v>4</v>
      </c>
      <c r="C1180" s="787" t="s">
        <v>2871</v>
      </c>
      <c r="D1180" s="787">
        <v>7.11</v>
      </c>
      <c r="E1180" s="787">
        <v>40.69</v>
      </c>
      <c r="F1180" s="788">
        <v>39101</v>
      </c>
      <c r="G1180" s="788">
        <v>41620</v>
      </c>
      <c r="H1180" s="787">
        <v>1</v>
      </c>
      <c r="I1180" s="788">
        <v>42151</v>
      </c>
      <c r="J1180" s="788">
        <v>41620</v>
      </c>
      <c r="K1180" s="788">
        <v>40932</v>
      </c>
      <c r="L1180" s="787">
        <v>40.69</v>
      </c>
      <c r="M1180" s="787">
        <v>20</v>
      </c>
      <c r="N1180" s="787">
        <v>43.74</v>
      </c>
      <c r="O1180" s="788">
        <v>42163</v>
      </c>
    </row>
    <row r="1181" spans="1:15" x14ac:dyDescent="0.25">
      <c r="A1181" s="786" t="s">
        <v>2872</v>
      </c>
      <c r="B1181" s="787">
        <v>4</v>
      </c>
      <c r="C1181" s="787" t="s">
        <v>2873</v>
      </c>
      <c r="D1181" s="787">
        <v>0.05</v>
      </c>
      <c r="E1181" s="787">
        <v>53.27</v>
      </c>
      <c r="F1181" s="788">
        <v>39101</v>
      </c>
      <c r="G1181" s="788">
        <v>42121</v>
      </c>
      <c r="H1181" s="787">
        <v>1</v>
      </c>
      <c r="I1181" s="788">
        <v>42110</v>
      </c>
      <c r="J1181" s="788">
        <v>42121</v>
      </c>
      <c r="K1181" s="788">
        <v>42082</v>
      </c>
      <c r="L1181" s="787">
        <v>53.27</v>
      </c>
      <c r="M1181" s="787">
        <v>20</v>
      </c>
      <c r="N1181" s="787">
        <v>57.27</v>
      </c>
      <c r="O1181" s="788">
        <v>42163</v>
      </c>
    </row>
    <row r="1182" spans="1:15" x14ac:dyDescent="0.25">
      <c r="A1182" s="786" t="s">
        <v>2874</v>
      </c>
      <c r="B1182" s="787">
        <v>4</v>
      </c>
      <c r="C1182" s="787" t="s">
        <v>2875</v>
      </c>
      <c r="D1182" s="787">
        <v>0.77</v>
      </c>
      <c r="E1182" s="787">
        <v>1.65</v>
      </c>
      <c r="F1182" s="788">
        <v>39456</v>
      </c>
      <c r="G1182" s="788">
        <v>42013</v>
      </c>
      <c r="H1182" s="787">
        <v>1</v>
      </c>
      <c r="I1182" s="788">
        <v>42051</v>
      </c>
      <c r="J1182" s="788">
        <v>40045</v>
      </c>
      <c r="L1182" s="787">
        <v>2.72</v>
      </c>
      <c r="M1182" s="787">
        <v>10</v>
      </c>
      <c r="N1182" s="787">
        <v>7.15</v>
      </c>
      <c r="O1182" s="788">
        <v>42157</v>
      </c>
    </row>
    <row r="1183" spans="1:15" x14ac:dyDescent="0.25">
      <c r="A1183" s="786" t="s">
        <v>2876</v>
      </c>
      <c r="B1183" s="787">
        <v>4</v>
      </c>
      <c r="C1183" s="787" t="s">
        <v>2877</v>
      </c>
      <c r="D1183" s="787">
        <v>1.38</v>
      </c>
      <c r="E1183" s="787">
        <v>1.38</v>
      </c>
      <c r="F1183" s="788">
        <v>39101</v>
      </c>
      <c r="G1183" s="788">
        <v>41565</v>
      </c>
      <c r="H1183" s="787">
        <v>1</v>
      </c>
      <c r="I1183" s="788">
        <v>39727</v>
      </c>
      <c r="J1183" s="788">
        <v>39149</v>
      </c>
      <c r="L1183" s="787">
        <v>1.29</v>
      </c>
      <c r="M1183" s="787">
        <v>10</v>
      </c>
      <c r="N1183" s="787">
        <v>2.65</v>
      </c>
      <c r="O1183" s="788">
        <v>42087</v>
      </c>
    </row>
    <row r="1184" spans="1:15" x14ac:dyDescent="0.25">
      <c r="A1184" s="786" t="s">
        <v>2878</v>
      </c>
      <c r="B1184" s="787">
        <v>4</v>
      </c>
      <c r="C1184" s="787" t="s">
        <v>2879</v>
      </c>
      <c r="D1184" s="787">
        <v>4.58</v>
      </c>
      <c r="E1184" s="787">
        <v>10.62</v>
      </c>
      <c r="F1184" s="788">
        <v>41579</v>
      </c>
      <c r="G1184" s="788">
        <v>42164</v>
      </c>
      <c r="H1184" s="787">
        <v>1</v>
      </c>
      <c r="I1184" s="788">
        <v>42163</v>
      </c>
      <c r="J1184" s="788">
        <v>42164</v>
      </c>
      <c r="L1184" s="787">
        <v>0</v>
      </c>
      <c r="M1184" s="787">
        <v>10</v>
      </c>
      <c r="N1184" s="787">
        <v>10.68</v>
      </c>
      <c r="O1184" s="788">
        <v>42163</v>
      </c>
    </row>
    <row r="1185" spans="1:15" x14ac:dyDescent="0.25">
      <c r="A1185" s="786" t="s">
        <v>2880</v>
      </c>
      <c r="B1185" s="787">
        <v>4</v>
      </c>
      <c r="C1185" s="787" t="s">
        <v>2881</v>
      </c>
      <c r="D1185" s="787">
        <v>4.0599999999999996</v>
      </c>
      <c r="E1185" s="787">
        <v>10.4</v>
      </c>
      <c r="F1185" s="788">
        <v>41180</v>
      </c>
      <c r="G1185" s="788">
        <v>42153</v>
      </c>
      <c r="H1185" s="787">
        <v>1</v>
      </c>
      <c r="I1185" s="788">
        <v>42163</v>
      </c>
      <c r="J1185" s="788">
        <v>42164</v>
      </c>
      <c r="L1185" s="787">
        <v>0</v>
      </c>
      <c r="M1185" s="787">
        <v>10</v>
      </c>
      <c r="N1185" s="787">
        <v>10.68</v>
      </c>
      <c r="O1185" s="788">
        <v>42163</v>
      </c>
    </row>
    <row r="1186" spans="1:15" x14ac:dyDescent="0.25">
      <c r="A1186" s="786" t="s">
        <v>2882</v>
      </c>
      <c r="B1186" s="787">
        <v>4</v>
      </c>
      <c r="C1186" s="787" t="s">
        <v>2883</v>
      </c>
      <c r="D1186" s="787">
        <v>5.83</v>
      </c>
      <c r="E1186" s="787">
        <v>8.73</v>
      </c>
      <c r="F1186" s="788">
        <v>41548</v>
      </c>
      <c r="G1186" s="788">
        <v>42166</v>
      </c>
      <c r="H1186" s="787">
        <v>1</v>
      </c>
      <c r="I1186" s="788">
        <v>42160</v>
      </c>
      <c r="J1186" s="788">
        <v>42164</v>
      </c>
      <c r="L1186" s="787">
        <v>0</v>
      </c>
      <c r="M1186" s="787">
        <v>10</v>
      </c>
      <c r="N1186" s="787">
        <v>10.7</v>
      </c>
      <c r="O1186" s="788">
        <v>42163</v>
      </c>
    </row>
    <row r="1187" spans="1:15" x14ac:dyDescent="0.25">
      <c r="A1187" s="786" t="s">
        <v>2884</v>
      </c>
      <c r="B1187" s="787">
        <v>4</v>
      </c>
      <c r="C1187" s="787" t="s">
        <v>2885</v>
      </c>
      <c r="D1187" s="787">
        <v>5.83</v>
      </c>
      <c r="E1187" s="787">
        <v>8.26</v>
      </c>
      <c r="F1187" s="788">
        <v>41548</v>
      </c>
      <c r="G1187" s="788">
        <v>42166</v>
      </c>
      <c r="H1187" s="787">
        <v>1</v>
      </c>
      <c r="I1187" s="788">
        <v>42160</v>
      </c>
      <c r="J1187" s="788">
        <v>42164</v>
      </c>
      <c r="L1187" s="787">
        <v>0</v>
      </c>
      <c r="M1187" s="787">
        <v>10</v>
      </c>
      <c r="N1187" s="787">
        <v>10.7</v>
      </c>
      <c r="O1187" s="788">
        <v>42163</v>
      </c>
    </row>
    <row r="1188" spans="1:15" x14ac:dyDescent="0.25">
      <c r="A1188" s="786" t="s">
        <v>2886</v>
      </c>
      <c r="B1188" s="787">
        <v>4</v>
      </c>
      <c r="C1188" s="787" t="s">
        <v>2887</v>
      </c>
      <c r="D1188" s="787">
        <v>2</v>
      </c>
      <c r="E1188" s="787">
        <v>62</v>
      </c>
      <c r="F1188" s="788">
        <v>42040</v>
      </c>
      <c r="G1188" s="788">
        <v>42040</v>
      </c>
      <c r="H1188" s="787">
        <v>1</v>
      </c>
      <c r="J1188" s="788">
        <v>42040</v>
      </c>
      <c r="L1188" s="787">
        <v>62</v>
      </c>
      <c r="M1188" s="787">
        <v>20</v>
      </c>
      <c r="N1188" s="787">
        <v>66.650000000000006</v>
      </c>
      <c r="O1188" s="788">
        <v>42054</v>
      </c>
    </row>
    <row r="1189" spans="1:15" x14ac:dyDescent="0.25">
      <c r="A1189" s="786" t="s">
        <v>2888</v>
      </c>
      <c r="B1189" s="787">
        <v>4</v>
      </c>
      <c r="C1189" s="787" t="s">
        <v>2889</v>
      </c>
      <c r="D1189" s="787">
        <v>4.1500000000000004</v>
      </c>
      <c r="E1189" s="787">
        <v>4.1500000000000004</v>
      </c>
      <c r="F1189" s="788">
        <v>39101</v>
      </c>
      <c r="G1189" s="788">
        <v>39101</v>
      </c>
      <c r="H1189" s="787">
        <v>1</v>
      </c>
      <c r="I1189" s="788">
        <v>39134</v>
      </c>
      <c r="J1189" s="788">
        <v>39269</v>
      </c>
      <c r="L1189" s="787">
        <v>4.5199999999999996</v>
      </c>
      <c r="M1189" s="787">
        <v>20</v>
      </c>
      <c r="N1189" s="787">
        <v>4.8600000000000003</v>
      </c>
      <c r="O1189" s="788">
        <v>41955</v>
      </c>
    </row>
    <row r="1190" spans="1:15" x14ac:dyDescent="0.25">
      <c r="A1190" s="786" t="s">
        <v>2890</v>
      </c>
      <c r="B1190" s="787">
        <v>4</v>
      </c>
      <c r="C1190" s="787" t="s">
        <v>2891</v>
      </c>
      <c r="D1190" s="787">
        <v>0</v>
      </c>
      <c r="E1190" s="787">
        <v>0</v>
      </c>
      <c r="H1190" s="787">
        <v>1</v>
      </c>
      <c r="K1190" s="788">
        <v>41087</v>
      </c>
      <c r="L1190" s="787">
        <v>0.01</v>
      </c>
      <c r="M1190" s="787">
        <v>10</v>
      </c>
      <c r="N1190" s="787">
        <v>0</v>
      </c>
      <c r="O1190" s="788">
        <v>41955</v>
      </c>
    </row>
    <row r="1191" spans="1:15" x14ac:dyDescent="0.25">
      <c r="A1191" s="786" t="s">
        <v>2892</v>
      </c>
      <c r="B1191" s="787">
        <v>4</v>
      </c>
      <c r="C1191" s="787" t="s">
        <v>2893</v>
      </c>
      <c r="D1191" s="787">
        <v>2.29</v>
      </c>
      <c r="E1191" s="787">
        <v>2.54</v>
      </c>
      <c r="F1191" s="788">
        <v>41565</v>
      </c>
      <c r="G1191" s="788">
        <v>42013</v>
      </c>
      <c r="H1191" s="787">
        <v>1</v>
      </c>
      <c r="I1191" s="788">
        <v>42151</v>
      </c>
      <c r="J1191" s="788">
        <v>41935</v>
      </c>
      <c r="K1191" s="788">
        <v>40014</v>
      </c>
      <c r="L1191" s="787">
        <v>2.65</v>
      </c>
      <c r="M1191" s="787">
        <v>20</v>
      </c>
      <c r="N1191" s="787">
        <v>2.85</v>
      </c>
      <c r="O1191" s="788">
        <v>42163</v>
      </c>
    </row>
    <row r="1192" spans="1:15" x14ac:dyDescent="0.25">
      <c r="A1192" s="786" t="s">
        <v>2894</v>
      </c>
      <c r="B1192" s="787">
        <v>4</v>
      </c>
      <c r="C1192" s="787" t="s">
        <v>2895</v>
      </c>
      <c r="D1192" s="787">
        <v>0</v>
      </c>
      <c r="E1192" s="787">
        <v>0</v>
      </c>
      <c r="H1192" s="787">
        <v>1</v>
      </c>
      <c r="I1192" s="788">
        <v>40934</v>
      </c>
      <c r="K1192" s="788">
        <v>41292</v>
      </c>
      <c r="L1192" s="787">
        <v>0.45</v>
      </c>
      <c r="M1192" s="787">
        <v>10</v>
      </c>
      <c r="N1192" s="787">
        <v>0.45</v>
      </c>
      <c r="O1192" s="788">
        <v>42144</v>
      </c>
    </row>
    <row r="1193" spans="1:15" x14ac:dyDescent="0.25">
      <c r="A1193" s="786" t="s">
        <v>2896</v>
      </c>
      <c r="B1193" s="787">
        <v>4</v>
      </c>
      <c r="C1193" s="787" t="s">
        <v>2897</v>
      </c>
      <c r="D1193" s="787">
        <v>0.12</v>
      </c>
      <c r="E1193" s="787">
        <v>0.81</v>
      </c>
      <c r="F1193" s="788">
        <v>39456</v>
      </c>
      <c r="G1193" s="788">
        <v>42163</v>
      </c>
      <c r="H1193" s="787">
        <v>1</v>
      </c>
      <c r="I1193" s="788">
        <v>42160</v>
      </c>
      <c r="J1193" s="788">
        <v>42163</v>
      </c>
      <c r="L1193" s="787">
        <v>2.93</v>
      </c>
      <c r="M1193" s="787">
        <v>10</v>
      </c>
      <c r="N1193" s="787">
        <v>1.02</v>
      </c>
      <c r="O1193" s="788">
        <v>42163</v>
      </c>
    </row>
    <row r="1194" spans="1:15" x14ac:dyDescent="0.25">
      <c r="A1194" s="786" t="s">
        <v>2898</v>
      </c>
      <c r="B1194" s="787">
        <v>4</v>
      </c>
      <c r="C1194" s="787" t="s">
        <v>2899</v>
      </c>
      <c r="D1194" s="787">
        <v>1.44</v>
      </c>
      <c r="E1194" s="787">
        <v>2.89</v>
      </c>
      <c r="F1194" s="788">
        <v>40581</v>
      </c>
      <c r="G1194" s="788">
        <v>42013</v>
      </c>
      <c r="H1194" s="787">
        <v>1</v>
      </c>
      <c r="I1194" s="788">
        <v>42151</v>
      </c>
      <c r="J1194" s="788">
        <v>41169</v>
      </c>
      <c r="L1194" s="787">
        <v>0.65</v>
      </c>
      <c r="M1194" s="787">
        <v>10</v>
      </c>
      <c r="N1194" s="787">
        <v>2.13</v>
      </c>
      <c r="O1194" s="788">
        <v>42163</v>
      </c>
    </row>
    <row r="1195" spans="1:15" x14ac:dyDescent="0.25">
      <c r="A1195" s="786" t="s">
        <v>2900</v>
      </c>
      <c r="B1195" s="787">
        <v>4</v>
      </c>
      <c r="C1195" s="787" t="s">
        <v>2901</v>
      </c>
      <c r="D1195" s="787">
        <v>3.73</v>
      </c>
      <c r="E1195" s="787">
        <v>13.01</v>
      </c>
      <c r="F1195" s="788">
        <v>39101</v>
      </c>
      <c r="G1195" s="788">
        <v>42152</v>
      </c>
      <c r="H1195" s="787">
        <v>1</v>
      </c>
      <c r="I1195" s="788">
        <v>42151</v>
      </c>
      <c r="J1195" s="788">
        <v>42152</v>
      </c>
      <c r="L1195" s="787">
        <v>2.59</v>
      </c>
      <c r="M1195" s="787">
        <v>10</v>
      </c>
      <c r="N1195" s="787">
        <v>10.96</v>
      </c>
      <c r="O1195" s="788">
        <v>42163</v>
      </c>
    </row>
    <row r="1196" spans="1:15" x14ac:dyDescent="0.25">
      <c r="A1196" s="786" t="s">
        <v>2902</v>
      </c>
      <c r="B1196" s="787">
        <v>4</v>
      </c>
      <c r="C1196" s="787" t="s">
        <v>2903</v>
      </c>
      <c r="D1196" s="787">
        <v>0</v>
      </c>
      <c r="E1196" s="787">
        <v>0</v>
      </c>
      <c r="F1196" s="788">
        <v>40948</v>
      </c>
      <c r="G1196" s="788">
        <v>42013</v>
      </c>
      <c r="H1196" s="787">
        <v>1</v>
      </c>
      <c r="I1196" s="788">
        <v>42151</v>
      </c>
      <c r="J1196" s="788">
        <v>40883</v>
      </c>
      <c r="L1196" s="787">
        <v>1.95</v>
      </c>
      <c r="M1196" s="787">
        <v>10</v>
      </c>
      <c r="N1196" s="787">
        <v>3.37</v>
      </c>
      <c r="O1196" s="788">
        <v>42163</v>
      </c>
    </row>
    <row r="1197" spans="1:15" x14ac:dyDescent="0.25">
      <c r="A1197" s="786" t="s">
        <v>2904</v>
      </c>
      <c r="B1197" s="787">
        <v>4</v>
      </c>
      <c r="C1197" s="787" t="s">
        <v>2905</v>
      </c>
      <c r="D1197" s="787">
        <v>0.43</v>
      </c>
      <c r="E1197" s="787">
        <v>0.43</v>
      </c>
      <c r="F1197" s="788">
        <v>39456</v>
      </c>
      <c r="G1197" s="788">
        <v>39456</v>
      </c>
      <c r="H1197" s="787">
        <v>1</v>
      </c>
      <c r="I1197" s="788">
        <v>40606</v>
      </c>
      <c r="J1197" s="788">
        <v>39290</v>
      </c>
      <c r="L1197" s="787">
        <v>2.62</v>
      </c>
      <c r="M1197" s="787">
        <v>10</v>
      </c>
      <c r="N1197" s="787">
        <v>0.92</v>
      </c>
      <c r="O1197" s="788">
        <v>42127</v>
      </c>
    </row>
    <row r="1198" spans="1:15" x14ac:dyDescent="0.25">
      <c r="A1198" s="786" t="s">
        <v>2906</v>
      </c>
      <c r="B1198" s="787">
        <v>4</v>
      </c>
      <c r="C1198" s="787" t="s">
        <v>2907</v>
      </c>
      <c r="D1198" s="787">
        <v>0.24</v>
      </c>
      <c r="E1198" s="787">
        <v>2.0499999999999998</v>
      </c>
      <c r="F1198" s="788">
        <v>39456</v>
      </c>
      <c r="G1198" s="788">
        <v>42158</v>
      </c>
      <c r="H1198" s="787">
        <v>1</v>
      </c>
      <c r="I1198" s="788">
        <v>42163</v>
      </c>
      <c r="J1198" s="788">
        <v>42152</v>
      </c>
      <c r="K1198" s="788">
        <v>41886</v>
      </c>
      <c r="L1198" s="787">
        <v>1.02</v>
      </c>
      <c r="M1198" s="787">
        <v>10</v>
      </c>
      <c r="N1198" s="787">
        <v>1.02</v>
      </c>
      <c r="O1198" s="788">
        <v>42163</v>
      </c>
    </row>
    <row r="1199" spans="1:15" x14ac:dyDescent="0.25">
      <c r="A1199" s="786" t="s">
        <v>2908</v>
      </c>
      <c r="B1199" s="787">
        <v>4</v>
      </c>
      <c r="C1199" s="787" t="s">
        <v>2909</v>
      </c>
      <c r="D1199" s="787">
        <v>3.4</v>
      </c>
      <c r="E1199" s="787">
        <v>3.4</v>
      </c>
      <c r="F1199" s="788">
        <v>37637</v>
      </c>
      <c r="G1199" s="788">
        <v>37637</v>
      </c>
      <c r="H1199" s="787">
        <v>1</v>
      </c>
      <c r="J1199" s="788">
        <v>37637</v>
      </c>
      <c r="L1199" s="787">
        <v>3.71</v>
      </c>
      <c r="M1199" s="787">
        <v>20</v>
      </c>
      <c r="N1199" s="787">
        <v>3.99</v>
      </c>
      <c r="O1199" s="788">
        <v>41955</v>
      </c>
    </row>
    <row r="1200" spans="1:15" x14ac:dyDescent="0.25">
      <c r="A1200" s="786" t="s">
        <v>2910</v>
      </c>
      <c r="B1200" s="787">
        <v>4</v>
      </c>
      <c r="C1200" s="787" t="s">
        <v>2911</v>
      </c>
      <c r="D1200" s="787">
        <v>0.26</v>
      </c>
      <c r="E1200" s="787">
        <v>0.28000000000000003</v>
      </c>
      <c r="F1200" s="788">
        <v>39101</v>
      </c>
      <c r="G1200" s="788">
        <v>39101</v>
      </c>
      <c r="H1200" s="787">
        <v>1</v>
      </c>
      <c r="I1200" s="788">
        <v>40946</v>
      </c>
      <c r="J1200" s="788">
        <v>39149</v>
      </c>
      <c r="L1200" s="787">
        <v>0.27</v>
      </c>
      <c r="M1200" s="787">
        <v>10</v>
      </c>
      <c r="N1200" s="787">
        <v>0.37</v>
      </c>
      <c r="O1200" s="788">
        <v>41955</v>
      </c>
    </row>
    <row r="1201" spans="1:15" x14ac:dyDescent="0.25">
      <c r="A1201" s="786" t="s">
        <v>2912</v>
      </c>
      <c r="B1201" s="787">
        <v>4</v>
      </c>
      <c r="C1201" s="787" t="s">
        <v>2913</v>
      </c>
      <c r="D1201" s="787">
        <v>4.47</v>
      </c>
      <c r="E1201" s="787">
        <v>4.3499999999999996</v>
      </c>
      <c r="F1201" s="788">
        <v>39101</v>
      </c>
      <c r="G1201" s="788">
        <v>39101</v>
      </c>
      <c r="H1201" s="787">
        <v>1</v>
      </c>
      <c r="I1201" s="788">
        <v>41211</v>
      </c>
      <c r="J1201" s="788">
        <v>39149</v>
      </c>
      <c r="L1201" s="787">
        <v>4.74</v>
      </c>
      <c r="M1201" s="787">
        <v>20</v>
      </c>
      <c r="N1201" s="787">
        <v>5.0999999999999996</v>
      </c>
      <c r="O1201" s="788">
        <v>41955</v>
      </c>
    </row>
    <row r="1202" spans="1:15" x14ac:dyDescent="0.25">
      <c r="A1202" s="786" t="s">
        <v>2914</v>
      </c>
      <c r="B1202" s="787">
        <v>4</v>
      </c>
      <c r="C1202" s="787" t="s">
        <v>2915</v>
      </c>
      <c r="D1202" s="787">
        <v>6.1</v>
      </c>
      <c r="E1202" s="787">
        <v>19.84</v>
      </c>
      <c r="F1202" s="788">
        <v>39456</v>
      </c>
      <c r="G1202" s="788">
        <v>41282</v>
      </c>
      <c r="H1202" s="787">
        <v>6</v>
      </c>
      <c r="I1202" s="788">
        <v>41509</v>
      </c>
      <c r="J1202" s="788">
        <v>41508</v>
      </c>
      <c r="L1202" s="787">
        <v>19.28</v>
      </c>
      <c r="M1202" s="787">
        <v>10</v>
      </c>
      <c r="N1202" s="787">
        <v>26.04</v>
      </c>
      <c r="O1202" s="788">
        <v>41806</v>
      </c>
    </row>
    <row r="1203" spans="1:15" x14ac:dyDescent="0.25">
      <c r="A1203" s="786" t="s">
        <v>2916</v>
      </c>
      <c r="B1203" s="787">
        <v>4</v>
      </c>
      <c r="C1203" s="787" t="s">
        <v>2915</v>
      </c>
      <c r="D1203" s="787">
        <v>6.1</v>
      </c>
      <c r="E1203" s="787">
        <v>18.16</v>
      </c>
      <c r="F1203" s="788">
        <v>39456</v>
      </c>
      <c r="G1203" s="788">
        <v>41565</v>
      </c>
      <c r="H1203" s="787">
        <v>1</v>
      </c>
      <c r="I1203" s="788">
        <v>39338</v>
      </c>
      <c r="J1203" s="788">
        <v>39659</v>
      </c>
      <c r="L1203" s="787">
        <v>19.28</v>
      </c>
      <c r="M1203" s="787">
        <v>10</v>
      </c>
      <c r="N1203" s="787">
        <v>25.88</v>
      </c>
      <c r="O1203" s="788">
        <v>42087</v>
      </c>
    </row>
    <row r="1204" spans="1:15" x14ac:dyDescent="0.25">
      <c r="A1204" s="786" t="s">
        <v>2917</v>
      </c>
      <c r="B1204" s="787">
        <v>4</v>
      </c>
      <c r="C1204" s="787" t="s">
        <v>2918</v>
      </c>
      <c r="D1204" s="787">
        <v>1.0900000000000001</v>
      </c>
      <c r="E1204" s="787">
        <v>38.409999999999997</v>
      </c>
      <c r="F1204" s="788">
        <v>39975</v>
      </c>
      <c r="G1204" s="788">
        <v>41565</v>
      </c>
      <c r="H1204" s="787">
        <v>1</v>
      </c>
      <c r="I1204" s="788">
        <v>39835</v>
      </c>
      <c r="J1204" s="788">
        <v>40291</v>
      </c>
      <c r="L1204" s="787">
        <v>22.81</v>
      </c>
      <c r="M1204" s="787">
        <v>10</v>
      </c>
      <c r="N1204" s="787">
        <v>23.66</v>
      </c>
      <c r="O1204" s="788">
        <v>42087</v>
      </c>
    </row>
    <row r="1205" spans="1:15" x14ac:dyDescent="0.25">
      <c r="A1205" s="786" t="s">
        <v>2919</v>
      </c>
      <c r="B1205" s="787">
        <v>4</v>
      </c>
      <c r="C1205" s="787" t="s">
        <v>2918</v>
      </c>
      <c r="D1205" s="787">
        <v>0.64</v>
      </c>
      <c r="E1205" s="787">
        <v>0.64</v>
      </c>
      <c r="F1205" s="788">
        <v>40581</v>
      </c>
      <c r="G1205" s="788">
        <v>41565</v>
      </c>
      <c r="H1205" s="787">
        <v>1</v>
      </c>
      <c r="I1205" s="788">
        <v>39835</v>
      </c>
      <c r="J1205" s="788">
        <v>40232</v>
      </c>
      <c r="L1205" s="787">
        <v>22.81</v>
      </c>
      <c r="M1205" s="787">
        <v>10</v>
      </c>
      <c r="N1205" s="787">
        <v>23.66</v>
      </c>
      <c r="O1205" s="788">
        <v>42083</v>
      </c>
    </row>
    <row r="1206" spans="1:15" x14ac:dyDescent="0.25">
      <c r="A1206" s="786" t="s">
        <v>2920</v>
      </c>
      <c r="B1206" s="787">
        <v>4</v>
      </c>
      <c r="C1206" s="787" t="s">
        <v>2921</v>
      </c>
      <c r="D1206" s="787">
        <v>9.2799999999999994</v>
      </c>
      <c r="E1206" s="787">
        <v>54.63</v>
      </c>
      <c r="F1206" s="788">
        <v>38047</v>
      </c>
      <c r="G1206" s="788">
        <v>40644</v>
      </c>
      <c r="H1206" s="787">
        <v>1</v>
      </c>
      <c r="I1206" s="788">
        <v>40588</v>
      </c>
      <c r="J1206" s="788">
        <v>40578</v>
      </c>
      <c r="L1206" s="787">
        <v>26.31</v>
      </c>
      <c r="M1206" s="787">
        <v>10</v>
      </c>
      <c r="N1206" s="787">
        <v>37.61</v>
      </c>
      <c r="O1206" s="788">
        <v>42087</v>
      </c>
    </row>
    <row r="1207" spans="1:15" x14ac:dyDescent="0.25">
      <c r="A1207" s="786" t="s">
        <v>2922</v>
      </c>
      <c r="B1207" s="787">
        <v>4</v>
      </c>
      <c r="C1207" s="787" t="s">
        <v>2855</v>
      </c>
      <c r="D1207" s="787">
        <v>9.2799999999999994</v>
      </c>
      <c r="E1207" s="787">
        <v>69.52</v>
      </c>
      <c r="F1207" s="788">
        <v>39101</v>
      </c>
      <c r="G1207" s="788">
        <v>40644</v>
      </c>
      <c r="H1207" s="787">
        <v>1</v>
      </c>
      <c r="I1207" s="788">
        <v>40591</v>
      </c>
      <c r="J1207" s="788">
        <v>40578</v>
      </c>
      <c r="L1207" s="787">
        <v>26.31</v>
      </c>
      <c r="M1207" s="787">
        <v>10</v>
      </c>
      <c r="N1207" s="787">
        <v>37.61</v>
      </c>
      <c r="O1207" s="788">
        <v>41955</v>
      </c>
    </row>
    <row r="1208" spans="1:15" x14ac:dyDescent="0.25">
      <c r="A1208" s="786" t="s">
        <v>2923</v>
      </c>
      <c r="B1208" s="787">
        <v>4</v>
      </c>
      <c r="C1208" s="787" t="s">
        <v>2924</v>
      </c>
      <c r="D1208" s="787">
        <v>4.62</v>
      </c>
      <c r="E1208" s="787">
        <v>4.62</v>
      </c>
      <c r="F1208" s="788">
        <v>39101</v>
      </c>
      <c r="G1208" s="788">
        <v>41565</v>
      </c>
      <c r="H1208" s="787">
        <v>1</v>
      </c>
      <c r="I1208" s="788">
        <v>41543</v>
      </c>
      <c r="J1208" s="788">
        <v>39149</v>
      </c>
      <c r="L1208" s="787">
        <v>20.23</v>
      </c>
      <c r="M1208" s="787">
        <v>10</v>
      </c>
      <c r="N1208" s="787">
        <v>33.270000000000003</v>
      </c>
      <c r="O1208" s="788">
        <v>42146</v>
      </c>
    </row>
    <row r="1209" spans="1:15" x14ac:dyDescent="0.25">
      <c r="A1209" s="786" t="s">
        <v>2925</v>
      </c>
      <c r="B1209" s="787">
        <v>4</v>
      </c>
      <c r="C1209" s="787" t="s">
        <v>2926</v>
      </c>
      <c r="D1209" s="787">
        <v>4.62</v>
      </c>
      <c r="E1209" s="787">
        <v>4.62</v>
      </c>
      <c r="F1209" s="788">
        <v>39101</v>
      </c>
      <c r="G1209" s="788">
        <v>41565</v>
      </c>
      <c r="H1209" s="787">
        <v>1</v>
      </c>
      <c r="I1209" s="788">
        <v>41543</v>
      </c>
      <c r="J1209" s="788">
        <v>39149</v>
      </c>
      <c r="L1209" s="787">
        <v>20.23</v>
      </c>
      <c r="M1209" s="787">
        <v>10</v>
      </c>
      <c r="N1209" s="787">
        <v>33.270000000000003</v>
      </c>
      <c r="O1209" s="788">
        <v>42146</v>
      </c>
    </row>
    <row r="1210" spans="1:15" x14ac:dyDescent="0.25">
      <c r="A1210" s="786" t="s">
        <v>2927</v>
      </c>
      <c r="B1210" s="787">
        <v>4</v>
      </c>
      <c r="C1210" s="787" t="s">
        <v>2928</v>
      </c>
      <c r="D1210" s="787">
        <v>5.27</v>
      </c>
      <c r="E1210" s="787">
        <v>68.760000000000005</v>
      </c>
      <c r="F1210" s="788">
        <v>39101</v>
      </c>
      <c r="G1210" s="788">
        <v>41943</v>
      </c>
      <c r="H1210" s="787">
        <v>1</v>
      </c>
      <c r="I1210" s="788">
        <v>41711</v>
      </c>
      <c r="J1210" s="788">
        <v>41695</v>
      </c>
      <c r="L1210" s="787">
        <v>23.95</v>
      </c>
      <c r="M1210" s="787">
        <v>10</v>
      </c>
      <c r="N1210" s="787">
        <v>31.15</v>
      </c>
      <c r="O1210" s="788">
        <v>42144</v>
      </c>
    </row>
    <row r="1211" spans="1:15" x14ac:dyDescent="0.25">
      <c r="A1211" s="786" t="s">
        <v>2929</v>
      </c>
      <c r="B1211" s="787">
        <v>4</v>
      </c>
      <c r="C1211" s="787" t="s">
        <v>2930</v>
      </c>
      <c r="D1211" s="787">
        <v>4.93</v>
      </c>
      <c r="E1211" s="787">
        <v>56.13</v>
      </c>
      <c r="F1211" s="788">
        <v>39101</v>
      </c>
      <c r="G1211" s="788">
        <v>41943</v>
      </c>
      <c r="H1211" s="787">
        <v>1</v>
      </c>
      <c r="I1211" s="788">
        <v>41711</v>
      </c>
      <c r="J1211" s="788">
        <v>41695</v>
      </c>
      <c r="L1211" s="787">
        <v>23.95</v>
      </c>
      <c r="M1211" s="787">
        <v>10</v>
      </c>
      <c r="N1211" s="787">
        <v>31.15</v>
      </c>
      <c r="O1211" s="788">
        <v>42144</v>
      </c>
    </row>
    <row r="1212" spans="1:15" x14ac:dyDescent="0.25">
      <c r="A1212" s="786" t="s">
        <v>2931</v>
      </c>
      <c r="B1212" s="787">
        <v>4</v>
      </c>
      <c r="C1212" s="787" t="s">
        <v>2932</v>
      </c>
      <c r="D1212" s="787">
        <v>5.89</v>
      </c>
      <c r="E1212" s="787">
        <v>45.25</v>
      </c>
      <c r="F1212" s="788">
        <v>39101</v>
      </c>
      <c r="G1212" s="788">
        <v>42151</v>
      </c>
      <c r="H1212" s="787">
        <v>1</v>
      </c>
      <c r="I1212" s="788">
        <v>42163</v>
      </c>
      <c r="J1212" s="788">
        <v>42151</v>
      </c>
      <c r="L1212" s="787">
        <v>27.71</v>
      </c>
      <c r="M1212" s="787">
        <v>10</v>
      </c>
      <c r="N1212" s="787">
        <v>32.020000000000003</v>
      </c>
      <c r="O1212" s="788">
        <v>42144</v>
      </c>
    </row>
    <row r="1213" spans="1:15" x14ac:dyDescent="0.25">
      <c r="A1213" s="786" t="s">
        <v>2933</v>
      </c>
      <c r="B1213" s="787">
        <v>4</v>
      </c>
      <c r="C1213" s="787" t="s">
        <v>2865</v>
      </c>
      <c r="D1213" s="787">
        <v>5.89</v>
      </c>
      <c r="E1213" s="787">
        <v>44.21</v>
      </c>
      <c r="F1213" s="788">
        <v>39101</v>
      </c>
      <c r="G1213" s="788">
        <v>42151</v>
      </c>
      <c r="H1213" s="787">
        <v>1</v>
      </c>
      <c r="I1213" s="788">
        <v>42163</v>
      </c>
      <c r="J1213" s="788">
        <v>42151</v>
      </c>
      <c r="L1213" s="787">
        <v>27.71</v>
      </c>
      <c r="M1213" s="787">
        <v>10</v>
      </c>
      <c r="N1213" s="787">
        <v>32.020000000000003</v>
      </c>
      <c r="O1213" s="788">
        <v>42144</v>
      </c>
    </row>
    <row r="1214" spans="1:15" x14ac:dyDescent="0.25">
      <c r="A1214" s="786" t="s">
        <v>2934</v>
      </c>
      <c r="B1214" s="787">
        <v>4</v>
      </c>
      <c r="C1214" s="787" t="s">
        <v>2935</v>
      </c>
      <c r="D1214" s="787">
        <v>6.91</v>
      </c>
      <c r="E1214" s="787">
        <v>356.91</v>
      </c>
      <c r="F1214" s="788">
        <v>41135</v>
      </c>
      <c r="G1214" s="788">
        <v>41135</v>
      </c>
      <c r="H1214" s="787">
        <v>1</v>
      </c>
      <c r="I1214" s="788">
        <v>40746</v>
      </c>
      <c r="J1214" s="788">
        <v>40745</v>
      </c>
      <c r="L1214" s="787">
        <v>173.75</v>
      </c>
      <c r="M1214" s="787">
        <v>10</v>
      </c>
      <c r="N1214" s="787">
        <v>305.83</v>
      </c>
      <c r="O1214" s="788">
        <v>42163</v>
      </c>
    </row>
    <row r="1215" spans="1:15" x14ac:dyDescent="0.25">
      <c r="A1215" s="786" t="s">
        <v>2936</v>
      </c>
      <c r="B1215" s="787">
        <v>4</v>
      </c>
      <c r="C1215" s="787" t="s">
        <v>2937</v>
      </c>
      <c r="D1215" s="787">
        <v>0</v>
      </c>
      <c r="E1215" s="787">
        <v>0</v>
      </c>
      <c r="G1215" s="788">
        <v>40289</v>
      </c>
      <c r="H1215" s="787">
        <v>1</v>
      </c>
      <c r="I1215" s="788">
        <v>40084</v>
      </c>
      <c r="J1215" s="788">
        <v>40289</v>
      </c>
      <c r="L1215" s="787">
        <v>173.75</v>
      </c>
      <c r="M1215" s="787">
        <v>10</v>
      </c>
      <c r="N1215" s="787">
        <v>303.31</v>
      </c>
      <c r="O1215" s="788">
        <v>42163</v>
      </c>
    </row>
    <row r="1216" spans="1:15" x14ac:dyDescent="0.25">
      <c r="A1216" s="786" t="s">
        <v>2938</v>
      </c>
      <c r="B1216" s="787">
        <v>4</v>
      </c>
      <c r="C1216" s="787" t="s">
        <v>2939</v>
      </c>
      <c r="D1216" s="787">
        <v>0.84</v>
      </c>
      <c r="E1216" s="787">
        <v>230.84</v>
      </c>
      <c r="F1216" s="788">
        <v>40718</v>
      </c>
      <c r="G1216" s="788">
        <v>40218</v>
      </c>
      <c r="H1216" s="787">
        <v>1</v>
      </c>
      <c r="I1216" s="788">
        <v>40771</v>
      </c>
      <c r="J1216" s="788">
        <v>40456</v>
      </c>
      <c r="L1216" s="787">
        <v>169.66</v>
      </c>
      <c r="M1216" s="787">
        <v>10</v>
      </c>
      <c r="N1216" s="787">
        <v>220.1</v>
      </c>
      <c r="O1216" s="788">
        <v>42163</v>
      </c>
    </row>
    <row r="1217" spans="1:15" x14ac:dyDescent="0.25">
      <c r="A1217" s="786" t="s">
        <v>2940</v>
      </c>
      <c r="B1217" s="787">
        <v>4</v>
      </c>
      <c r="C1217" s="787" t="s">
        <v>2941</v>
      </c>
      <c r="D1217" s="787">
        <v>4.67</v>
      </c>
      <c r="E1217" s="787">
        <v>234.67</v>
      </c>
      <c r="F1217" s="788">
        <v>40718</v>
      </c>
      <c r="G1217" s="788">
        <v>40218</v>
      </c>
      <c r="H1217" s="787">
        <v>1</v>
      </c>
      <c r="I1217" s="788">
        <v>40771</v>
      </c>
      <c r="J1217" s="788">
        <v>40456</v>
      </c>
      <c r="L1217" s="787">
        <v>179.13</v>
      </c>
      <c r="M1217" s="787">
        <v>10</v>
      </c>
      <c r="N1217" s="787">
        <v>262.58</v>
      </c>
      <c r="O1217" s="788">
        <v>42163</v>
      </c>
    </row>
    <row r="1218" spans="1:15" x14ac:dyDescent="0.25">
      <c r="A1218" s="786" t="s">
        <v>2942</v>
      </c>
      <c r="B1218" s="787">
        <v>4</v>
      </c>
      <c r="C1218" s="787" t="s">
        <v>2943</v>
      </c>
      <c r="D1218" s="787">
        <v>1.96</v>
      </c>
      <c r="E1218" s="787">
        <v>241.96</v>
      </c>
      <c r="F1218" s="788">
        <v>41135</v>
      </c>
      <c r="G1218" s="788">
        <v>41135</v>
      </c>
      <c r="H1218" s="787">
        <v>1</v>
      </c>
      <c r="I1218" s="788">
        <v>40883</v>
      </c>
      <c r="J1218" s="788">
        <v>40576</v>
      </c>
      <c r="L1218" s="787">
        <v>184.49</v>
      </c>
      <c r="M1218" s="787">
        <v>10</v>
      </c>
      <c r="N1218" s="787">
        <v>266.31</v>
      </c>
      <c r="O1218" s="788">
        <v>42163</v>
      </c>
    </row>
    <row r="1219" spans="1:15" x14ac:dyDescent="0.25">
      <c r="A1219" s="786" t="s">
        <v>2944</v>
      </c>
      <c r="B1219" s="787">
        <v>4</v>
      </c>
      <c r="C1219" s="787" t="s">
        <v>2945</v>
      </c>
      <c r="D1219" s="787">
        <v>7.31</v>
      </c>
      <c r="E1219" s="787">
        <v>217.31</v>
      </c>
      <c r="F1219" s="788">
        <v>41135</v>
      </c>
      <c r="G1219" s="788">
        <v>41135</v>
      </c>
      <c r="H1219" s="787">
        <v>1</v>
      </c>
      <c r="I1219" s="788">
        <v>40883</v>
      </c>
      <c r="J1219" s="788">
        <v>40576</v>
      </c>
      <c r="L1219" s="787">
        <v>175.01</v>
      </c>
      <c r="M1219" s="787">
        <v>10</v>
      </c>
      <c r="N1219" s="787">
        <v>239.22</v>
      </c>
      <c r="O1219" s="788">
        <v>42163</v>
      </c>
    </row>
    <row r="1220" spans="1:15" x14ac:dyDescent="0.25">
      <c r="A1220" s="786" t="s">
        <v>2946</v>
      </c>
      <c r="B1220" s="787">
        <v>4</v>
      </c>
      <c r="C1220" s="787" t="s">
        <v>2947</v>
      </c>
      <c r="D1220" s="787">
        <v>0.68</v>
      </c>
      <c r="E1220" s="787">
        <v>1.04</v>
      </c>
      <c r="F1220" s="788">
        <v>39456</v>
      </c>
      <c r="G1220" s="788">
        <v>41565</v>
      </c>
      <c r="H1220" s="787">
        <v>1</v>
      </c>
      <c r="I1220" s="788">
        <v>40876</v>
      </c>
      <c r="J1220" s="788">
        <v>40084</v>
      </c>
      <c r="L1220" s="787">
        <v>2.93</v>
      </c>
      <c r="M1220" s="787">
        <v>10</v>
      </c>
      <c r="N1220" s="787">
        <v>2.5</v>
      </c>
      <c r="O1220" s="788">
        <v>42163</v>
      </c>
    </row>
    <row r="1221" spans="1:15" x14ac:dyDescent="0.25">
      <c r="A1221" s="786" t="s">
        <v>2948</v>
      </c>
      <c r="B1221" s="787">
        <v>4</v>
      </c>
      <c r="C1221" s="787" t="s">
        <v>2949</v>
      </c>
      <c r="D1221" s="787">
        <v>0.48</v>
      </c>
      <c r="E1221" s="787">
        <v>0.49</v>
      </c>
      <c r="F1221" s="788">
        <v>39456</v>
      </c>
      <c r="G1221" s="788">
        <v>39814</v>
      </c>
      <c r="H1221" s="787">
        <v>1</v>
      </c>
      <c r="I1221" s="788">
        <v>40165</v>
      </c>
      <c r="J1221" s="788">
        <v>39405</v>
      </c>
      <c r="L1221" s="787">
        <v>2.4700000000000002</v>
      </c>
      <c r="M1221" s="787">
        <v>10</v>
      </c>
      <c r="N1221" s="787">
        <v>0.83</v>
      </c>
      <c r="O1221" s="788">
        <v>41955</v>
      </c>
    </row>
    <row r="1222" spans="1:15" x14ac:dyDescent="0.25">
      <c r="A1222" s="786" t="s">
        <v>2950</v>
      </c>
      <c r="B1222" s="787">
        <v>4</v>
      </c>
      <c r="C1222" s="787" t="s">
        <v>2951</v>
      </c>
      <c r="D1222" s="787">
        <v>0.73</v>
      </c>
      <c r="E1222" s="787">
        <v>2.33</v>
      </c>
      <c r="F1222" s="788">
        <v>39456</v>
      </c>
      <c r="G1222" s="788">
        <v>41565</v>
      </c>
      <c r="H1222" s="787">
        <v>1</v>
      </c>
      <c r="I1222" s="788">
        <v>40591</v>
      </c>
      <c r="J1222" s="788">
        <v>40064</v>
      </c>
      <c r="L1222" s="787">
        <v>1.72</v>
      </c>
      <c r="M1222" s="787">
        <v>10</v>
      </c>
      <c r="N1222" s="787">
        <v>2.86</v>
      </c>
      <c r="O1222" s="788">
        <v>42087</v>
      </c>
    </row>
    <row r="1223" spans="1:15" x14ac:dyDescent="0.25">
      <c r="A1223" s="786" t="s">
        <v>2952</v>
      </c>
      <c r="B1223" s="787">
        <v>4</v>
      </c>
      <c r="C1223" s="787" t="s">
        <v>2953</v>
      </c>
      <c r="D1223" s="787">
        <v>0.34</v>
      </c>
      <c r="E1223" s="787">
        <v>1</v>
      </c>
      <c r="F1223" s="788">
        <v>39456</v>
      </c>
      <c r="G1223" s="788">
        <v>41565</v>
      </c>
      <c r="H1223" s="787">
        <v>1</v>
      </c>
      <c r="I1223" s="788">
        <v>40876</v>
      </c>
      <c r="J1223" s="788">
        <v>40400</v>
      </c>
      <c r="L1223" s="787">
        <v>0.73</v>
      </c>
      <c r="M1223" s="787">
        <v>10</v>
      </c>
      <c r="N1223" s="787">
        <v>2.88</v>
      </c>
      <c r="O1223" s="788">
        <v>42163</v>
      </c>
    </row>
    <row r="1224" spans="1:15" x14ac:dyDescent="0.25">
      <c r="A1224" s="786" t="s">
        <v>2954</v>
      </c>
      <c r="B1224" s="787">
        <v>4</v>
      </c>
      <c r="C1224" s="787" t="s">
        <v>2955</v>
      </c>
      <c r="D1224" s="787">
        <v>6.4</v>
      </c>
      <c r="E1224" s="787">
        <v>16.399999999999999</v>
      </c>
      <c r="F1224" s="788">
        <v>40450</v>
      </c>
      <c r="G1224" s="788">
        <v>40422</v>
      </c>
      <c r="H1224" s="787">
        <v>1</v>
      </c>
      <c r="I1224" s="788">
        <v>40876</v>
      </c>
      <c r="J1224" s="788">
        <v>40623</v>
      </c>
      <c r="K1224" s="788">
        <v>41928</v>
      </c>
      <c r="L1224" s="787">
        <v>15.6</v>
      </c>
      <c r="M1224" s="787">
        <v>20</v>
      </c>
      <c r="N1224" s="787">
        <v>16.77</v>
      </c>
      <c r="O1224" s="788">
        <v>42163</v>
      </c>
    </row>
    <row r="1225" spans="1:15" x14ac:dyDescent="0.25">
      <c r="A1225" s="786" t="s">
        <v>2956</v>
      </c>
      <c r="B1225" s="787">
        <v>4</v>
      </c>
      <c r="C1225" s="787" t="s">
        <v>2957</v>
      </c>
      <c r="D1225" s="787">
        <v>5.6</v>
      </c>
      <c r="E1225" s="787">
        <v>15.6</v>
      </c>
      <c r="F1225" s="788">
        <v>41978</v>
      </c>
      <c r="G1225" s="788">
        <v>42165</v>
      </c>
      <c r="H1225" s="787">
        <v>1</v>
      </c>
      <c r="I1225" s="788">
        <v>42160</v>
      </c>
      <c r="J1225" s="788">
        <v>42152</v>
      </c>
      <c r="K1225" s="788">
        <v>41661</v>
      </c>
      <c r="L1225" s="787">
        <v>17.600000000000001</v>
      </c>
      <c r="M1225" s="787">
        <v>20</v>
      </c>
      <c r="N1225" s="787">
        <v>18.920000000000002</v>
      </c>
      <c r="O1225" s="788">
        <v>42163</v>
      </c>
    </row>
    <row r="1226" spans="1:15" x14ac:dyDescent="0.25">
      <c r="A1226" s="786" t="s">
        <v>2958</v>
      </c>
      <c r="B1226" s="787">
        <v>4</v>
      </c>
      <c r="C1226" s="787" t="s">
        <v>2959</v>
      </c>
      <c r="D1226" s="787">
        <v>4.5999999999999996</v>
      </c>
      <c r="E1226" s="787">
        <v>16.12</v>
      </c>
      <c r="F1226" s="788">
        <v>39101</v>
      </c>
      <c r="G1226" s="788">
        <v>42013</v>
      </c>
      <c r="H1226" s="787">
        <v>1</v>
      </c>
      <c r="I1226" s="788">
        <v>40591</v>
      </c>
      <c r="J1226" s="788">
        <v>40623</v>
      </c>
      <c r="L1226" s="787">
        <v>17.989999999999998</v>
      </c>
      <c r="M1226" s="787">
        <v>20</v>
      </c>
      <c r="N1226" s="787">
        <v>19.34</v>
      </c>
      <c r="O1226" s="788">
        <v>42087</v>
      </c>
    </row>
    <row r="1227" spans="1:15" x14ac:dyDescent="0.25">
      <c r="A1227" s="786" t="s">
        <v>2960</v>
      </c>
      <c r="B1227" s="787">
        <v>4</v>
      </c>
      <c r="C1227" s="787" t="s">
        <v>2961</v>
      </c>
      <c r="D1227" s="787">
        <v>2.2999999999999998</v>
      </c>
      <c r="E1227" s="787">
        <v>12.3</v>
      </c>
      <c r="F1227" s="788">
        <v>41683</v>
      </c>
      <c r="G1227" s="788">
        <v>42013</v>
      </c>
      <c r="H1227" s="787">
        <v>1</v>
      </c>
      <c r="I1227" s="788">
        <v>42163</v>
      </c>
      <c r="J1227" s="788">
        <v>41684</v>
      </c>
      <c r="K1227" s="788">
        <v>41661</v>
      </c>
      <c r="L1227" s="787">
        <v>18.2</v>
      </c>
      <c r="M1227" s="787">
        <v>20</v>
      </c>
      <c r="N1227" s="787">
        <v>19.57</v>
      </c>
      <c r="O1227" s="788">
        <v>42146</v>
      </c>
    </row>
    <row r="1228" spans="1:15" x14ac:dyDescent="0.25">
      <c r="A1228" s="786" t="s">
        <v>2962</v>
      </c>
      <c r="B1228" s="787">
        <v>4</v>
      </c>
      <c r="C1228" s="787" t="s">
        <v>2963</v>
      </c>
      <c r="D1228" s="787">
        <v>3.74</v>
      </c>
      <c r="E1228" s="787">
        <v>6.34</v>
      </c>
      <c r="F1228" s="788">
        <v>39101</v>
      </c>
      <c r="G1228" s="788">
        <v>41943</v>
      </c>
      <c r="H1228" s="787">
        <v>1</v>
      </c>
      <c r="I1228" s="788">
        <v>42163</v>
      </c>
      <c r="J1228" s="788">
        <v>41689</v>
      </c>
      <c r="L1228" s="787">
        <v>9.98</v>
      </c>
      <c r="M1228" s="787">
        <v>10</v>
      </c>
      <c r="N1228" s="787">
        <v>7.62</v>
      </c>
      <c r="O1228" s="788">
        <v>42146</v>
      </c>
    </row>
    <row r="1229" spans="1:15" x14ac:dyDescent="0.25">
      <c r="A1229" s="786" t="s">
        <v>2964</v>
      </c>
      <c r="B1229" s="787">
        <v>4</v>
      </c>
      <c r="C1229" s="787" t="s">
        <v>2965</v>
      </c>
      <c r="D1229" s="787">
        <v>2.16</v>
      </c>
      <c r="E1229" s="787">
        <v>2.16</v>
      </c>
      <c r="F1229" s="788">
        <v>41135</v>
      </c>
      <c r="G1229" s="788">
        <v>42013</v>
      </c>
      <c r="H1229" s="787">
        <v>1</v>
      </c>
      <c r="I1229" s="788">
        <v>42118</v>
      </c>
      <c r="J1229" s="788">
        <v>40583</v>
      </c>
      <c r="L1229" s="787">
        <v>9.98</v>
      </c>
      <c r="M1229" s="787">
        <v>10</v>
      </c>
      <c r="N1229" s="787">
        <v>7.81</v>
      </c>
      <c r="O1229" s="788">
        <v>42144</v>
      </c>
    </row>
    <row r="1230" spans="1:15" x14ac:dyDescent="0.25">
      <c r="A1230" s="786" t="s">
        <v>2966</v>
      </c>
      <c r="B1230" s="787">
        <v>4</v>
      </c>
      <c r="C1230" s="787" t="s">
        <v>2967</v>
      </c>
      <c r="D1230" s="787">
        <v>6.05</v>
      </c>
      <c r="E1230" s="787">
        <v>9.27</v>
      </c>
      <c r="F1230" s="788">
        <v>41613</v>
      </c>
      <c r="G1230" s="788">
        <v>42101</v>
      </c>
      <c r="H1230" s="787">
        <v>1</v>
      </c>
      <c r="I1230" s="788">
        <v>42157</v>
      </c>
      <c r="J1230" s="788">
        <v>42072</v>
      </c>
      <c r="L1230" s="787">
        <v>10.77</v>
      </c>
      <c r="M1230" s="787">
        <v>10</v>
      </c>
      <c r="N1230" s="787">
        <v>7.62</v>
      </c>
      <c r="O1230" s="788">
        <v>42163</v>
      </c>
    </row>
    <row r="1231" spans="1:15" x14ac:dyDescent="0.25">
      <c r="A1231" s="786" t="s">
        <v>2968</v>
      </c>
      <c r="B1231" s="787">
        <v>4</v>
      </c>
      <c r="C1231" s="787" t="s">
        <v>2969</v>
      </c>
      <c r="D1231" s="787">
        <v>0.52</v>
      </c>
      <c r="E1231" s="787">
        <v>6.33</v>
      </c>
      <c r="F1231" s="788">
        <v>39101</v>
      </c>
      <c r="G1231" s="788">
        <v>42166</v>
      </c>
      <c r="H1231" s="787">
        <v>1</v>
      </c>
      <c r="I1231" s="788">
        <v>42160</v>
      </c>
      <c r="J1231" s="788">
        <v>42137</v>
      </c>
      <c r="L1231" s="787">
        <v>1.38</v>
      </c>
      <c r="M1231" s="787">
        <v>10</v>
      </c>
      <c r="N1231" s="787">
        <v>1.73</v>
      </c>
      <c r="O1231" s="788">
        <v>42163</v>
      </c>
    </row>
    <row r="1232" spans="1:15" x14ac:dyDescent="0.25">
      <c r="A1232" s="786" t="s">
        <v>2970</v>
      </c>
      <c r="B1232" s="787">
        <v>4</v>
      </c>
      <c r="C1232" s="787" t="s">
        <v>2971</v>
      </c>
      <c r="D1232" s="787">
        <v>0.98</v>
      </c>
      <c r="E1232" s="787">
        <v>6.44</v>
      </c>
      <c r="F1232" s="788">
        <v>39101</v>
      </c>
      <c r="G1232" s="788">
        <v>41646</v>
      </c>
      <c r="H1232" s="787">
        <v>1</v>
      </c>
      <c r="I1232" s="788">
        <v>42163</v>
      </c>
      <c r="J1232" s="788">
        <v>40864</v>
      </c>
      <c r="L1232" s="787">
        <v>3.05</v>
      </c>
      <c r="M1232" s="787">
        <v>10</v>
      </c>
      <c r="N1232" s="787">
        <v>1.1299999999999999</v>
      </c>
      <c r="O1232" s="788">
        <v>42146</v>
      </c>
    </row>
    <row r="1233" spans="1:15" x14ac:dyDescent="0.25">
      <c r="A1233" s="786" t="s">
        <v>2972</v>
      </c>
      <c r="B1233" s="787">
        <v>4</v>
      </c>
      <c r="C1233" s="787" t="s">
        <v>2973</v>
      </c>
      <c r="D1233" s="787">
        <v>4.1399999999999997</v>
      </c>
      <c r="E1233" s="787">
        <v>14.14</v>
      </c>
      <c r="F1233" s="788">
        <v>39101</v>
      </c>
      <c r="G1233" s="788">
        <v>39101</v>
      </c>
      <c r="H1233" s="787">
        <v>1</v>
      </c>
      <c r="I1233" s="788">
        <v>39338</v>
      </c>
      <c r="J1233" s="788">
        <v>39149</v>
      </c>
      <c r="L1233" s="787">
        <v>18.63</v>
      </c>
      <c r="M1233" s="787">
        <v>10</v>
      </c>
      <c r="N1233" s="787">
        <v>22.72</v>
      </c>
      <c r="O1233" s="788">
        <v>41955</v>
      </c>
    </row>
    <row r="1234" spans="1:15" x14ac:dyDescent="0.25">
      <c r="A1234" s="786" t="s">
        <v>2974</v>
      </c>
      <c r="B1234" s="787">
        <v>4</v>
      </c>
      <c r="C1234" s="787" t="s">
        <v>2975</v>
      </c>
      <c r="D1234" s="787">
        <v>9.44</v>
      </c>
      <c r="E1234" s="787">
        <v>17.989999999999998</v>
      </c>
      <c r="F1234" s="788">
        <v>39456</v>
      </c>
      <c r="G1234" s="788">
        <v>39659</v>
      </c>
      <c r="H1234" s="787">
        <v>1</v>
      </c>
      <c r="I1234" s="788">
        <v>40666</v>
      </c>
      <c r="J1234" s="788">
        <v>39790</v>
      </c>
      <c r="L1234" s="787">
        <v>21.44</v>
      </c>
      <c r="M1234" s="787">
        <v>10</v>
      </c>
      <c r="N1234" s="787">
        <v>15.72</v>
      </c>
      <c r="O1234" s="788">
        <v>42144</v>
      </c>
    </row>
    <row r="1235" spans="1:15" x14ac:dyDescent="0.25">
      <c r="A1235" s="786" t="s">
        <v>2976</v>
      </c>
      <c r="B1235" s="787">
        <v>4</v>
      </c>
      <c r="C1235" s="787" t="s">
        <v>2977</v>
      </c>
      <c r="D1235" s="787">
        <v>1.85</v>
      </c>
      <c r="E1235" s="787">
        <v>16.79</v>
      </c>
      <c r="F1235" s="788">
        <v>39456</v>
      </c>
      <c r="G1235" s="788">
        <v>39870</v>
      </c>
      <c r="H1235" s="787">
        <v>1</v>
      </c>
      <c r="I1235" s="788">
        <v>40652</v>
      </c>
      <c r="J1235" s="788">
        <v>39884</v>
      </c>
      <c r="L1235" s="787">
        <v>24.63</v>
      </c>
      <c r="M1235" s="787">
        <v>10</v>
      </c>
      <c r="N1235" s="787">
        <v>18.75</v>
      </c>
      <c r="O1235" s="788">
        <v>42144</v>
      </c>
    </row>
    <row r="1236" spans="1:15" x14ac:dyDescent="0.25">
      <c r="A1236" s="786" t="s">
        <v>2978</v>
      </c>
      <c r="B1236" s="787">
        <v>4</v>
      </c>
      <c r="C1236" s="787" t="s">
        <v>2979</v>
      </c>
      <c r="D1236" s="787">
        <v>4.5199999999999996</v>
      </c>
      <c r="E1236" s="787">
        <v>4.5199999999999996</v>
      </c>
      <c r="F1236" s="788">
        <v>39101</v>
      </c>
      <c r="G1236" s="788">
        <v>39101</v>
      </c>
      <c r="H1236" s="787">
        <v>1</v>
      </c>
      <c r="I1236" s="788">
        <v>39338</v>
      </c>
      <c r="J1236" s="788">
        <v>39149</v>
      </c>
      <c r="L1236" s="787">
        <v>6.52</v>
      </c>
      <c r="M1236" s="787">
        <v>10</v>
      </c>
      <c r="N1236" s="787">
        <v>8.67</v>
      </c>
      <c r="O1236" s="788">
        <v>41955</v>
      </c>
    </row>
    <row r="1237" spans="1:15" x14ac:dyDescent="0.25">
      <c r="A1237" s="786" t="s">
        <v>2980</v>
      </c>
      <c r="B1237" s="787">
        <v>4</v>
      </c>
      <c r="C1237" s="787" t="s">
        <v>2981</v>
      </c>
      <c r="D1237" s="787">
        <v>4.91</v>
      </c>
      <c r="E1237" s="787">
        <v>4.91</v>
      </c>
      <c r="F1237" s="788">
        <v>39101</v>
      </c>
      <c r="G1237" s="788">
        <v>39101</v>
      </c>
      <c r="H1237" s="787">
        <v>1</v>
      </c>
      <c r="I1237" s="788">
        <v>40666</v>
      </c>
      <c r="J1237" s="788">
        <v>39790</v>
      </c>
      <c r="L1237" s="787">
        <v>7.5</v>
      </c>
      <c r="M1237" s="787">
        <v>10</v>
      </c>
      <c r="N1237" s="787">
        <v>7.4</v>
      </c>
      <c r="O1237" s="788">
        <v>42144</v>
      </c>
    </row>
    <row r="1238" spans="1:15" x14ac:dyDescent="0.25">
      <c r="A1238" s="786" t="s">
        <v>2982</v>
      </c>
      <c r="B1238" s="787">
        <v>4</v>
      </c>
      <c r="C1238" s="787" t="s">
        <v>2983</v>
      </c>
      <c r="D1238" s="787">
        <v>3.16</v>
      </c>
      <c r="E1238" s="787">
        <v>3.16</v>
      </c>
      <c r="F1238" s="788">
        <v>39456</v>
      </c>
      <c r="G1238" s="788">
        <v>40277</v>
      </c>
      <c r="H1238" s="787">
        <v>1</v>
      </c>
      <c r="I1238" s="788">
        <v>41618</v>
      </c>
      <c r="J1238" s="788">
        <v>40277</v>
      </c>
      <c r="L1238" s="787">
        <v>8.34</v>
      </c>
      <c r="M1238" s="787">
        <v>10</v>
      </c>
      <c r="N1238" s="787">
        <v>8.98</v>
      </c>
      <c r="O1238" s="788">
        <v>42144</v>
      </c>
    </row>
    <row r="1239" spans="1:15" x14ac:dyDescent="0.25">
      <c r="A1239" s="786" t="s">
        <v>2984</v>
      </c>
      <c r="B1239" s="787">
        <v>4</v>
      </c>
      <c r="C1239" s="787" t="s">
        <v>2985</v>
      </c>
      <c r="D1239" s="787">
        <v>3.99</v>
      </c>
      <c r="E1239" s="787">
        <v>13.99</v>
      </c>
      <c r="F1239" s="788">
        <v>39101</v>
      </c>
      <c r="G1239" s="788">
        <v>39101</v>
      </c>
      <c r="H1239" s="787">
        <v>1</v>
      </c>
      <c r="I1239" s="788">
        <v>39338</v>
      </c>
      <c r="J1239" s="788">
        <v>39149</v>
      </c>
      <c r="L1239" s="787">
        <v>16.45</v>
      </c>
      <c r="M1239" s="787">
        <v>10</v>
      </c>
      <c r="N1239" s="787">
        <v>18.61</v>
      </c>
      <c r="O1239" s="788">
        <v>42162</v>
      </c>
    </row>
    <row r="1240" spans="1:15" x14ac:dyDescent="0.25">
      <c r="A1240" s="786" t="s">
        <v>2986</v>
      </c>
      <c r="B1240" s="787">
        <v>4</v>
      </c>
      <c r="C1240" s="787" t="s">
        <v>2987</v>
      </c>
      <c r="D1240" s="787">
        <v>2.87</v>
      </c>
      <c r="E1240" s="787">
        <v>17.66</v>
      </c>
      <c r="F1240" s="788">
        <v>39456</v>
      </c>
      <c r="G1240" s="788">
        <v>40553</v>
      </c>
      <c r="H1240" s="787">
        <v>1</v>
      </c>
      <c r="I1240" s="788">
        <v>40826</v>
      </c>
      <c r="J1240" s="788">
        <v>39790</v>
      </c>
      <c r="L1240" s="787">
        <v>21.7</v>
      </c>
      <c r="M1240" s="787">
        <v>10</v>
      </c>
      <c r="N1240" s="787">
        <v>14.52</v>
      </c>
      <c r="O1240" s="788">
        <v>42144</v>
      </c>
    </row>
    <row r="1241" spans="1:15" x14ac:dyDescent="0.25">
      <c r="A1241" s="786" t="s">
        <v>2988</v>
      </c>
      <c r="B1241" s="787">
        <v>4</v>
      </c>
      <c r="C1241" s="787" t="s">
        <v>2989</v>
      </c>
      <c r="D1241" s="787">
        <v>2.0499999999999998</v>
      </c>
      <c r="E1241" s="787">
        <v>17.53</v>
      </c>
      <c r="F1241" s="788">
        <v>39456</v>
      </c>
      <c r="G1241" s="788">
        <v>39969</v>
      </c>
      <c r="H1241" s="787">
        <v>1</v>
      </c>
      <c r="I1241" s="788">
        <v>40602</v>
      </c>
      <c r="J1241" s="788">
        <v>39969</v>
      </c>
      <c r="L1241" s="787">
        <v>18.079999999999998</v>
      </c>
      <c r="M1241" s="787">
        <v>10</v>
      </c>
      <c r="N1241" s="787">
        <v>17.690000000000001</v>
      </c>
      <c r="O1241" s="788">
        <v>42144</v>
      </c>
    </row>
    <row r="1242" spans="1:15" x14ac:dyDescent="0.25">
      <c r="A1242" s="786" t="s">
        <v>2990</v>
      </c>
      <c r="B1242" s="787">
        <v>4</v>
      </c>
      <c r="C1242" s="787" t="s">
        <v>2991</v>
      </c>
      <c r="D1242" s="787">
        <v>4.59</v>
      </c>
      <c r="E1242" s="787">
        <v>4.59</v>
      </c>
      <c r="F1242" s="788">
        <v>39101</v>
      </c>
      <c r="G1242" s="788">
        <v>39101</v>
      </c>
      <c r="H1242" s="787">
        <v>1</v>
      </c>
      <c r="I1242" s="788">
        <v>39338</v>
      </c>
      <c r="J1242" s="788">
        <v>39149</v>
      </c>
      <c r="L1242" s="787">
        <v>7.7</v>
      </c>
      <c r="M1242" s="787">
        <v>10</v>
      </c>
      <c r="N1242" s="787">
        <v>8.66</v>
      </c>
      <c r="O1242" s="788">
        <v>42162</v>
      </c>
    </row>
    <row r="1243" spans="1:15" x14ac:dyDescent="0.25">
      <c r="A1243" s="786" t="s">
        <v>2992</v>
      </c>
      <c r="B1243" s="787">
        <v>4</v>
      </c>
      <c r="C1243" s="787" t="s">
        <v>2993</v>
      </c>
      <c r="D1243" s="787">
        <v>6.08</v>
      </c>
      <c r="E1243" s="787">
        <v>6.08</v>
      </c>
      <c r="F1243" s="788">
        <v>39101</v>
      </c>
      <c r="G1243" s="788">
        <v>39101</v>
      </c>
      <c r="H1243" s="787">
        <v>1</v>
      </c>
      <c r="I1243" s="788">
        <v>40826</v>
      </c>
      <c r="J1243" s="788">
        <v>40277</v>
      </c>
      <c r="L1243" s="787">
        <v>8.73</v>
      </c>
      <c r="M1243" s="787">
        <v>10</v>
      </c>
      <c r="N1243" s="787">
        <v>10.39</v>
      </c>
      <c r="O1243" s="788">
        <v>42144</v>
      </c>
    </row>
    <row r="1244" spans="1:15" x14ac:dyDescent="0.25">
      <c r="A1244" s="786" t="s">
        <v>2994</v>
      </c>
      <c r="B1244" s="787">
        <v>4</v>
      </c>
      <c r="C1244" s="787" t="s">
        <v>2995</v>
      </c>
      <c r="D1244" s="787">
        <v>4.22</v>
      </c>
      <c r="E1244" s="787">
        <v>9.94</v>
      </c>
      <c r="F1244" s="788">
        <v>39456</v>
      </c>
      <c r="G1244" s="788">
        <v>39969</v>
      </c>
      <c r="H1244" s="787">
        <v>1</v>
      </c>
      <c r="I1244" s="788">
        <v>40602</v>
      </c>
      <c r="J1244" s="788">
        <v>39969</v>
      </c>
      <c r="L1244" s="787">
        <v>9.4700000000000006</v>
      </c>
      <c r="M1244" s="787">
        <v>10</v>
      </c>
      <c r="N1244" s="787">
        <v>11.45</v>
      </c>
      <c r="O1244" s="788">
        <v>42144</v>
      </c>
    </row>
    <row r="1245" spans="1:15" x14ac:dyDescent="0.25">
      <c r="A1245" s="786" t="s">
        <v>2996</v>
      </c>
      <c r="B1245" s="787">
        <v>4</v>
      </c>
      <c r="C1245" s="787" t="s">
        <v>2997</v>
      </c>
      <c r="D1245" s="787">
        <v>1.24</v>
      </c>
      <c r="E1245" s="787">
        <v>6.99</v>
      </c>
      <c r="F1245" s="788">
        <v>39456</v>
      </c>
      <c r="G1245" s="788">
        <v>42165</v>
      </c>
      <c r="H1245" s="787">
        <v>1</v>
      </c>
      <c r="I1245" s="788">
        <v>42163</v>
      </c>
      <c r="J1245" s="788">
        <v>42159</v>
      </c>
      <c r="K1245" s="788">
        <v>41865</v>
      </c>
      <c r="L1245" s="787">
        <v>6.2</v>
      </c>
      <c r="M1245" s="787">
        <v>20</v>
      </c>
      <c r="N1245" s="787">
        <v>6.67</v>
      </c>
      <c r="O1245" s="788">
        <v>42163</v>
      </c>
    </row>
    <row r="1246" spans="1:15" x14ac:dyDescent="0.25">
      <c r="A1246" s="786" t="s">
        <v>2998</v>
      </c>
      <c r="B1246" s="787">
        <v>4</v>
      </c>
      <c r="C1246" s="787" t="s">
        <v>2999</v>
      </c>
      <c r="D1246" s="787">
        <v>0.49</v>
      </c>
      <c r="E1246" s="787">
        <v>3.51</v>
      </c>
      <c r="F1246" s="788">
        <v>39456</v>
      </c>
      <c r="G1246" s="788">
        <v>42159</v>
      </c>
      <c r="H1246" s="787">
        <v>1</v>
      </c>
      <c r="I1246" s="788">
        <v>42163</v>
      </c>
      <c r="J1246" s="788">
        <v>42128</v>
      </c>
      <c r="K1246" s="788">
        <v>41935</v>
      </c>
      <c r="L1246" s="787">
        <v>4.21</v>
      </c>
      <c r="M1246" s="787">
        <v>10</v>
      </c>
      <c r="N1246" s="787">
        <v>4.21</v>
      </c>
      <c r="O1246" s="788">
        <v>42163</v>
      </c>
    </row>
    <row r="1247" spans="1:15" x14ac:dyDescent="0.25">
      <c r="A1247" s="786" t="s">
        <v>3000</v>
      </c>
      <c r="B1247" s="787">
        <v>4</v>
      </c>
      <c r="C1247" s="787" t="s">
        <v>3001</v>
      </c>
      <c r="D1247" s="787">
        <v>1.91</v>
      </c>
      <c r="E1247" s="787">
        <v>7.13</v>
      </c>
      <c r="F1247" s="788">
        <v>41484</v>
      </c>
      <c r="G1247" s="788">
        <v>42165</v>
      </c>
      <c r="H1247" s="787">
        <v>1</v>
      </c>
      <c r="I1247" s="788">
        <v>42163</v>
      </c>
      <c r="J1247" s="788">
        <v>42159</v>
      </c>
      <c r="K1247" s="788">
        <v>41820</v>
      </c>
      <c r="L1247" s="787">
        <v>5.96</v>
      </c>
      <c r="M1247" s="787">
        <v>20</v>
      </c>
      <c r="N1247" s="787">
        <v>6.41</v>
      </c>
      <c r="O1247" s="788">
        <v>42163</v>
      </c>
    </row>
    <row r="1248" spans="1:15" x14ac:dyDescent="0.25">
      <c r="A1248" s="786" t="s">
        <v>3002</v>
      </c>
      <c r="B1248" s="787">
        <v>4</v>
      </c>
      <c r="C1248" s="787" t="s">
        <v>3003</v>
      </c>
      <c r="D1248" s="787">
        <v>2.06</v>
      </c>
      <c r="E1248" s="787">
        <v>2.06</v>
      </c>
      <c r="F1248" s="788">
        <v>42086</v>
      </c>
      <c r="G1248" s="788">
        <v>42086</v>
      </c>
      <c r="H1248" s="787">
        <v>1</v>
      </c>
      <c r="I1248" s="788">
        <v>42160</v>
      </c>
      <c r="J1248" s="788">
        <v>42053</v>
      </c>
      <c r="L1248" s="787">
        <v>1.25</v>
      </c>
      <c r="M1248" s="787">
        <v>10</v>
      </c>
      <c r="N1248" s="787">
        <v>2.65</v>
      </c>
      <c r="O1248" s="788">
        <v>42163</v>
      </c>
    </row>
    <row r="1249" spans="1:15" x14ac:dyDescent="0.25">
      <c r="A1249" s="786" t="s">
        <v>3004</v>
      </c>
      <c r="B1249" s="787">
        <v>4</v>
      </c>
      <c r="C1249" s="787" t="s">
        <v>3005</v>
      </c>
      <c r="D1249" s="787">
        <v>0.32</v>
      </c>
      <c r="E1249" s="787">
        <v>2.35</v>
      </c>
      <c r="F1249" s="788">
        <v>39974</v>
      </c>
      <c r="G1249" s="788">
        <v>42159</v>
      </c>
      <c r="H1249" s="787">
        <v>1</v>
      </c>
      <c r="I1249" s="788">
        <v>42163</v>
      </c>
      <c r="J1249" s="788">
        <v>42129</v>
      </c>
      <c r="K1249" s="788">
        <v>41969</v>
      </c>
      <c r="L1249" s="787">
        <v>2.35</v>
      </c>
      <c r="M1249" s="787">
        <v>10</v>
      </c>
      <c r="N1249" s="787">
        <v>2.35</v>
      </c>
      <c r="O1249" s="788">
        <v>42163</v>
      </c>
    </row>
    <row r="1250" spans="1:15" x14ac:dyDescent="0.25">
      <c r="A1250" s="786" t="s">
        <v>3006</v>
      </c>
      <c r="B1250" s="787">
        <v>4</v>
      </c>
      <c r="C1250" s="787" t="s">
        <v>3007</v>
      </c>
      <c r="D1250" s="787">
        <v>0.72</v>
      </c>
      <c r="E1250" s="787">
        <v>6.49</v>
      </c>
      <c r="F1250" s="788">
        <v>39456</v>
      </c>
      <c r="G1250" s="788">
        <v>42159</v>
      </c>
      <c r="H1250" s="787">
        <v>1</v>
      </c>
      <c r="I1250" s="788">
        <v>42163</v>
      </c>
      <c r="J1250" s="788">
        <v>42143</v>
      </c>
      <c r="L1250" s="787">
        <v>1.1299999999999999</v>
      </c>
      <c r="M1250" s="787">
        <v>10</v>
      </c>
      <c r="N1250" s="787">
        <v>3.01</v>
      </c>
      <c r="O1250" s="788">
        <v>42146</v>
      </c>
    </row>
    <row r="1251" spans="1:15" x14ac:dyDescent="0.25">
      <c r="A1251" s="786" t="s">
        <v>3008</v>
      </c>
      <c r="B1251" s="787">
        <v>4</v>
      </c>
      <c r="C1251" s="787" t="s">
        <v>3009</v>
      </c>
      <c r="D1251" s="787">
        <v>0</v>
      </c>
      <c r="E1251" s="787">
        <v>0</v>
      </c>
      <c r="G1251" s="788">
        <v>38364</v>
      </c>
      <c r="H1251" s="787">
        <v>1</v>
      </c>
      <c r="I1251" s="788">
        <v>39274</v>
      </c>
      <c r="J1251" s="788">
        <v>39149</v>
      </c>
      <c r="L1251" s="787">
        <v>1.28</v>
      </c>
      <c r="M1251" s="787">
        <v>10</v>
      </c>
      <c r="N1251" s="787">
        <v>2.14</v>
      </c>
      <c r="O1251" s="788">
        <v>41955</v>
      </c>
    </row>
    <row r="1252" spans="1:15" x14ac:dyDescent="0.25">
      <c r="A1252" s="786" t="s">
        <v>3010</v>
      </c>
      <c r="B1252" s="787">
        <v>4</v>
      </c>
      <c r="C1252" s="787" t="s">
        <v>3011</v>
      </c>
      <c r="D1252" s="787">
        <v>0</v>
      </c>
      <c r="E1252" s="787">
        <v>0</v>
      </c>
      <c r="H1252" s="787">
        <v>1</v>
      </c>
      <c r="I1252" s="788">
        <v>41491</v>
      </c>
      <c r="L1252" s="787">
        <v>9.84</v>
      </c>
      <c r="M1252" s="787">
        <v>10</v>
      </c>
      <c r="N1252" s="787">
        <v>29.11</v>
      </c>
      <c r="O1252" s="788">
        <v>42163</v>
      </c>
    </row>
    <row r="1253" spans="1:15" x14ac:dyDescent="0.25">
      <c r="A1253" s="786" t="s">
        <v>3012</v>
      </c>
      <c r="B1253" s="787">
        <v>4</v>
      </c>
      <c r="C1253" s="787" t="s">
        <v>2578</v>
      </c>
      <c r="D1253" s="787">
        <v>8.77</v>
      </c>
      <c r="E1253" s="787">
        <v>24.58</v>
      </c>
      <c r="F1253" s="788">
        <v>39101</v>
      </c>
      <c r="G1253" s="788">
        <v>42013</v>
      </c>
      <c r="H1253" s="787">
        <v>1</v>
      </c>
      <c r="I1253" s="788">
        <v>42163</v>
      </c>
      <c r="J1253" s="788">
        <v>41932</v>
      </c>
      <c r="L1253" s="787">
        <v>9.9700000000000006</v>
      </c>
      <c r="M1253" s="787">
        <v>10</v>
      </c>
      <c r="N1253" s="787">
        <v>35.11</v>
      </c>
      <c r="O1253" s="788">
        <v>42163</v>
      </c>
    </row>
    <row r="1254" spans="1:15" x14ac:dyDescent="0.25">
      <c r="A1254" s="786" t="s">
        <v>3013</v>
      </c>
      <c r="B1254" s="787">
        <v>4</v>
      </c>
      <c r="C1254" s="787" t="s">
        <v>3014</v>
      </c>
      <c r="D1254" s="787">
        <v>2.44</v>
      </c>
      <c r="E1254" s="787">
        <v>2.25</v>
      </c>
      <c r="F1254" s="788">
        <v>39101</v>
      </c>
      <c r="G1254" s="788">
        <v>39101</v>
      </c>
      <c r="H1254" s="787">
        <v>1</v>
      </c>
      <c r="I1254" s="788">
        <v>39715</v>
      </c>
      <c r="J1254" s="788">
        <v>39101</v>
      </c>
      <c r="L1254" s="787">
        <v>2.77</v>
      </c>
      <c r="M1254" s="787">
        <v>10</v>
      </c>
      <c r="N1254" s="787">
        <v>4.1100000000000003</v>
      </c>
      <c r="O1254" s="788">
        <v>41955</v>
      </c>
    </row>
    <row r="1255" spans="1:15" x14ac:dyDescent="0.25">
      <c r="A1255" s="786" t="s">
        <v>3015</v>
      </c>
      <c r="B1255" s="787">
        <v>4</v>
      </c>
      <c r="C1255" s="787" t="s">
        <v>3016</v>
      </c>
      <c r="D1255" s="787">
        <v>0</v>
      </c>
      <c r="E1255" s="787">
        <v>0</v>
      </c>
      <c r="H1255" s="787">
        <v>1</v>
      </c>
      <c r="I1255" s="788">
        <v>40351</v>
      </c>
      <c r="J1255" s="788">
        <v>39101</v>
      </c>
      <c r="L1255" s="787">
        <v>0</v>
      </c>
      <c r="M1255" s="787">
        <v>20</v>
      </c>
      <c r="N1255" s="787">
        <v>0</v>
      </c>
      <c r="O1255" s="788">
        <v>40824</v>
      </c>
    </row>
    <row r="1256" spans="1:15" x14ac:dyDescent="0.25">
      <c r="A1256" s="786" t="s">
        <v>3017</v>
      </c>
      <c r="B1256" s="787">
        <v>4</v>
      </c>
      <c r="C1256" s="787" t="s">
        <v>3018</v>
      </c>
      <c r="D1256" s="787">
        <v>1.53</v>
      </c>
      <c r="E1256" s="787">
        <v>1.25</v>
      </c>
      <c r="F1256" s="788">
        <v>39101</v>
      </c>
      <c r="G1256" s="788">
        <v>39101</v>
      </c>
      <c r="H1256" s="787">
        <v>1</v>
      </c>
      <c r="I1256" s="788">
        <v>40351</v>
      </c>
      <c r="J1256" s="788">
        <v>39101</v>
      </c>
      <c r="L1256" s="787">
        <v>1.26</v>
      </c>
      <c r="M1256" s="787">
        <v>10</v>
      </c>
      <c r="N1256" s="787">
        <v>2.02</v>
      </c>
      <c r="O1256" s="788">
        <v>41955</v>
      </c>
    </row>
    <row r="1257" spans="1:15" x14ac:dyDescent="0.25">
      <c r="A1257" s="786" t="s">
        <v>3019</v>
      </c>
      <c r="B1257" s="787">
        <v>4</v>
      </c>
      <c r="C1257" s="787" t="s">
        <v>3020</v>
      </c>
      <c r="D1257" s="787">
        <v>3.18</v>
      </c>
      <c r="E1257" s="787">
        <v>0.68</v>
      </c>
      <c r="F1257" s="788">
        <v>39101</v>
      </c>
      <c r="G1257" s="788">
        <v>39101</v>
      </c>
      <c r="H1257" s="787">
        <v>1</v>
      </c>
      <c r="I1257" s="788">
        <v>40351</v>
      </c>
      <c r="J1257" s="788">
        <v>39101</v>
      </c>
      <c r="L1257" s="787">
        <v>1.02</v>
      </c>
      <c r="M1257" s="787">
        <v>10</v>
      </c>
      <c r="N1257" s="787">
        <v>1.22</v>
      </c>
      <c r="O1257" s="788">
        <v>41955</v>
      </c>
    </row>
    <row r="1258" spans="1:15" x14ac:dyDescent="0.25">
      <c r="A1258" s="786" t="s">
        <v>3021</v>
      </c>
      <c r="B1258" s="787">
        <v>4</v>
      </c>
      <c r="C1258" s="787" t="s">
        <v>3022</v>
      </c>
      <c r="D1258" s="787">
        <v>0.3</v>
      </c>
      <c r="E1258" s="787">
        <v>0.98</v>
      </c>
      <c r="F1258" s="788">
        <v>39456</v>
      </c>
      <c r="G1258" s="788">
        <v>42158</v>
      </c>
      <c r="H1258" s="787">
        <v>1</v>
      </c>
      <c r="I1258" s="788">
        <v>42160</v>
      </c>
      <c r="J1258" s="788">
        <v>42129</v>
      </c>
      <c r="L1258" s="787">
        <v>0.54</v>
      </c>
      <c r="M1258" s="787">
        <v>10</v>
      </c>
      <c r="N1258" s="787">
        <v>1.0900000000000001</v>
      </c>
      <c r="O1258" s="788">
        <v>42163</v>
      </c>
    </row>
    <row r="1259" spans="1:15" x14ac:dyDescent="0.25">
      <c r="A1259" s="786" t="s">
        <v>3023</v>
      </c>
      <c r="B1259" s="787">
        <v>4</v>
      </c>
      <c r="C1259" s="787" t="s">
        <v>3024</v>
      </c>
      <c r="D1259" s="787">
        <v>3.33</v>
      </c>
      <c r="E1259" s="787">
        <v>43.75</v>
      </c>
      <c r="F1259" s="788">
        <v>39101</v>
      </c>
      <c r="G1259" s="788">
        <v>41943</v>
      </c>
      <c r="H1259" s="787">
        <v>1</v>
      </c>
      <c r="I1259" s="788">
        <v>41754</v>
      </c>
      <c r="J1259" s="788">
        <v>41429</v>
      </c>
      <c r="L1259" s="787">
        <v>39.82</v>
      </c>
      <c r="M1259" s="787">
        <v>10</v>
      </c>
      <c r="N1259" s="787">
        <v>30.06</v>
      </c>
      <c r="O1259" s="788">
        <v>42144</v>
      </c>
    </row>
    <row r="1260" spans="1:15" x14ac:dyDescent="0.25">
      <c r="A1260" s="786" t="s">
        <v>3025</v>
      </c>
      <c r="B1260" s="787">
        <v>4</v>
      </c>
      <c r="C1260" s="787" t="s">
        <v>3026</v>
      </c>
      <c r="D1260" s="787">
        <v>3.33</v>
      </c>
      <c r="E1260" s="787">
        <v>42.23</v>
      </c>
      <c r="F1260" s="788">
        <v>39101</v>
      </c>
      <c r="G1260" s="788">
        <v>41943</v>
      </c>
      <c r="H1260" s="787">
        <v>1</v>
      </c>
      <c r="I1260" s="788">
        <v>41754</v>
      </c>
      <c r="J1260" s="788">
        <v>41429</v>
      </c>
      <c r="L1260" s="787">
        <v>39.82</v>
      </c>
      <c r="M1260" s="787">
        <v>10</v>
      </c>
      <c r="N1260" s="787">
        <v>30.06</v>
      </c>
      <c r="O1260" s="788">
        <v>42144</v>
      </c>
    </row>
    <row r="1261" spans="1:15" x14ac:dyDescent="0.25">
      <c r="A1261" s="786" t="s">
        <v>3027</v>
      </c>
      <c r="B1261" s="787">
        <v>4</v>
      </c>
      <c r="C1261" s="787" t="s">
        <v>3028</v>
      </c>
      <c r="D1261" s="787">
        <v>2.29</v>
      </c>
      <c r="E1261" s="787">
        <v>26.86</v>
      </c>
      <c r="F1261" s="788">
        <v>38047</v>
      </c>
      <c r="G1261" s="788">
        <v>38736</v>
      </c>
      <c r="H1261" s="787">
        <v>1</v>
      </c>
      <c r="I1261" s="788">
        <v>39314</v>
      </c>
      <c r="J1261" s="788">
        <v>38453</v>
      </c>
      <c r="L1261" s="787">
        <v>25.86</v>
      </c>
      <c r="M1261" s="787">
        <v>10</v>
      </c>
      <c r="N1261" s="787">
        <v>27.75</v>
      </c>
      <c r="O1261" s="788">
        <v>42144</v>
      </c>
    </row>
    <row r="1262" spans="1:15" x14ac:dyDescent="0.25">
      <c r="A1262" s="786" t="s">
        <v>3029</v>
      </c>
      <c r="B1262" s="787">
        <v>4</v>
      </c>
      <c r="C1262" s="787" t="s">
        <v>3030</v>
      </c>
      <c r="D1262" s="787">
        <v>8.4499999999999993</v>
      </c>
      <c r="E1262" s="787">
        <v>9.02</v>
      </c>
      <c r="F1262" s="788">
        <v>39101</v>
      </c>
      <c r="G1262" s="788">
        <v>39101</v>
      </c>
      <c r="H1262" s="787">
        <v>1</v>
      </c>
      <c r="I1262" s="788">
        <v>39314</v>
      </c>
      <c r="J1262" s="788">
        <v>39149</v>
      </c>
      <c r="L1262" s="787">
        <v>8.9600000000000009</v>
      </c>
      <c r="M1262" s="787">
        <v>10</v>
      </c>
      <c r="N1262" s="787">
        <v>11.63</v>
      </c>
      <c r="O1262" s="788">
        <v>42144</v>
      </c>
    </row>
    <row r="1263" spans="1:15" x14ac:dyDescent="0.25">
      <c r="A1263" s="786" t="s">
        <v>3031</v>
      </c>
      <c r="B1263" s="787">
        <v>4</v>
      </c>
      <c r="C1263" s="787" t="s">
        <v>3032</v>
      </c>
      <c r="D1263" s="787">
        <v>5.16</v>
      </c>
      <c r="E1263" s="787">
        <v>21.63</v>
      </c>
      <c r="F1263" s="788">
        <v>39101</v>
      </c>
      <c r="G1263" s="788">
        <v>39101</v>
      </c>
      <c r="H1263" s="787">
        <v>1</v>
      </c>
      <c r="I1263" s="788">
        <v>39314</v>
      </c>
      <c r="J1263" s="788">
        <v>39149</v>
      </c>
      <c r="L1263" s="787">
        <v>21.55</v>
      </c>
      <c r="M1263" s="787">
        <v>10</v>
      </c>
      <c r="N1263" s="787">
        <v>19.93</v>
      </c>
      <c r="O1263" s="788">
        <v>42144</v>
      </c>
    </row>
    <row r="1264" spans="1:15" x14ac:dyDescent="0.25">
      <c r="A1264" s="786" t="s">
        <v>3033</v>
      </c>
      <c r="B1264" s="787">
        <v>4</v>
      </c>
      <c r="C1264" s="787" t="s">
        <v>3034</v>
      </c>
      <c r="D1264" s="787">
        <v>6.51</v>
      </c>
      <c r="E1264" s="787">
        <v>6.51</v>
      </c>
      <c r="F1264" s="788">
        <v>39101</v>
      </c>
      <c r="G1264" s="788">
        <v>39101</v>
      </c>
      <c r="H1264" s="787">
        <v>1</v>
      </c>
      <c r="I1264" s="788">
        <v>39314</v>
      </c>
      <c r="J1264" s="788">
        <v>39149</v>
      </c>
      <c r="L1264" s="787">
        <v>6.64</v>
      </c>
      <c r="M1264" s="787">
        <v>10</v>
      </c>
      <c r="N1264" s="787">
        <v>6.38</v>
      </c>
      <c r="O1264" s="788">
        <v>42144</v>
      </c>
    </row>
    <row r="1265" spans="1:15" x14ac:dyDescent="0.25">
      <c r="A1265" s="786" t="s">
        <v>3035</v>
      </c>
      <c r="B1265" s="787">
        <v>4</v>
      </c>
      <c r="C1265" s="787" t="s">
        <v>3036</v>
      </c>
      <c r="D1265" s="787">
        <v>0.79</v>
      </c>
      <c r="E1265" s="787">
        <v>3.08</v>
      </c>
      <c r="F1265" s="788">
        <v>39456</v>
      </c>
      <c r="G1265" s="788">
        <v>41565</v>
      </c>
      <c r="H1265" s="787">
        <v>1</v>
      </c>
      <c r="I1265" s="788">
        <v>40876</v>
      </c>
      <c r="J1265" s="788">
        <v>40631</v>
      </c>
      <c r="L1265" s="787">
        <v>1.19</v>
      </c>
      <c r="M1265" s="787">
        <v>10</v>
      </c>
      <c r="N1265" s="787">
        <v>2.89</v>
      </c>
      <c r="O1265" s="788">
        <v>42163</v>
      </c>
    </row>
    <row r="1266" spans="1:15" x14ac:dyDescent="0.25">
      <c r="A1266" s="786" t="s">
        <v>3037</v>
      </c>
      <c r="B1266" s="787">
        <v>4</v>
      </c>
      <c r="C1266" s="787" t="s">
        <v>3038</v>
      </c>
      <c r="D1266" s="787">
        <v>8.74</v>
      </c>
      <c r="E1266" s="787">
        <v>53.23</v>
      </c>
      <c r="F1266" s="788">
        <v>41135</v>
      </c>
      <c r="G1266" s="788">
        <v>42101</v>
      </c>
      <c r="H1266" s="787">
        <v>1</v>
      </c>
      <c r="I1266" s="788">
        <v>42110</v>
      </c>
      <c r="J1266" s="788">
        <v>42068</v>
      </c>
      <c r="L1266" s="787">
        <v>41.04</v>
      </c>
      <c r="M1266" s="787">
        <v>10</v>
      </c>
      <c r="N1266" s="787">
        <v>34.880000000000003</v>
      </c>
      <c r="O1266" s="788">
        <v>42163</v>
      </c>
    </row>
    <row r="1267" spans="1:15" x14ac:dyDescent="0.25">
      <c r="A1267" s="786" t="s">
        <v>3039</v>
      </c>
      <c r="B1267" s="787">
        <v>4</v>
      </c>
      <c r="C1267" s="787" t="s">
        <v>3026</v>
      </c>
      <c r="D1267" s="787">
        <v>0.59</v>
      </c>
      <c r="E1267" s="787">
        <v>36.619999999999997</v>
      </c>
      <c r="F1267" s="788">
        <v>39101</v>
      </c>
      <c r="G1267" s="788">
        <v>42101</v>
      </c>
      <c r="H1267" s="787">
        <v>1</v>
      </c>
      <c r="I1267" s="788">
        <v>42110</v>
      </c>
      <c r="J1267" s="788">
        <v>42068</v>
      </c>
      <c r="L1267" s="787">
        <v>41.04</v>
      </c>
      <c r="M1267" s="787">
        <v>10</v>
      </c>
      <c r="N1267" s="787">
        <v>34.880000000000003</v>
      </c>
      <c r="O1267" s="788">
        <v>42163</v>
      </c>
    </row>
    <row r="1268" spans="1:15" x14ac:dyDescent="0.25">
      <c r="A1268" s="786" t="s">
        <v>3040</v>
      </c>
      <c r="B1268" s="787">
        <v>4</v>
      </c>
      <c r="C1268" s="787" t="s">
        <v>3041</v>
      </c>
      <c r="D1268" s="787">
        <v>9</v>
      </c>
      <c r="E1268" s="787">
        <v>276.75</v>
      </c>
      <c r="F1268" s="788">
        <v>41135</v>
      </c>
      <c r="G1268" s="788">
        <v>41135</v>
      </c>
      <c r="H1268" s="787">
        <v>1</v>
      </c>
      <c r="I1268" s="788">
        <v>40784</v>
      </c>
      <c r="J1268" s="788">
        <v>40777</v>
      </c>
      <c r="L1268" s="787">
        <v>187.16</v>
      </c>
      <c r="M1268" s="787">
        <v>10</v>
      </c>
      <c r="N1268" s="787">
        <v>241.4</v>
      </c>
      <c r="O1268" s="788">
        <v>42163</v>
      </c>
    </row>
    <row r="1269" spans="1:15" x14ac:dyDescent="0.25">
      <c r="A1269" s="786" t="s">
        <v>3042</v>
      </c>
      <c r="B1269" s="787">
        <v>4</v>
      </c>
      <c r="C1269" s="787" t="s">
        <v>3043</v>
      </c>
      <c r="D1269" s="787">
        <v>1.62</v>
      </c>
      <c r="E1269" s="787">
        <v>346.97</v>
      </c>
      <c r="F1269" s="788">
        <v>41135</v>
      </c>
      <c r="G1269" s="788">
        <v>41135</v>
      </c>
      <c r="H1269" s="787">
        <v>1</v>
      </c>
      <c r="I1269" s="788">
        <v>40784</v>
      </c>
      <c r="J1269" s="788">
        <v>40777</v>
      </c>
      <c r="L1269" s="787">
        <v>187.16</v>
      </c>
      <c r="M1269" s="787">
        <v>10</v>
      </c>
      <c r="N1269" s="787">
        <v>238.02</v>
      </c>
      <c r="O1269" s="788">
        <v>42163</v>
      </c>
    </row>
    <row r="1270" spans="1:15" x14ac:dyDescent="0.25">
      <c r="A1270" s="786" t="s">
        <v>3044</v>
      </c>
      <c r="B1270" s="787">
        <v>4</v>
      </c>
      <c r="C1270" s="787" t="s">
        <v>3045</v>
      </c>
      <c r="D1270" s="787">
        <v>0</v>
      </c>
      <c r="E1270" s="787">
        <v>0</v>
      </c>
      <c r="H1270" s="787">
        <v>1</v>
      </c>
      <c r="L1270" s="787">
        <v>13.1</v>
      </c>
      <c r="M1270" s="787">
        <v>10</v>
      </c>
      <c r="N1270" s="787">
        <v>23.95</v>
      </c>
      <c r="O1270" s="788">
        <v>42144</v>
      </c>
    </row>
    <row r="1271" spans="1:15" x14ac:dyDescent="0.25">
      <c r="A1271" s="786" t="s">
        <v>3046</v>
      </c>
      <c r="B1271" s="787">
        <v>4</v>
      </c>
      <c r="C1271" s="787" t="s">
        <v>3047</v>
      </c>
      <c r="D1271" s="787">
        <v>0</v>
      </c>
      <c r="E1271" s="787">
        <v>0</v>
      </c>
      <c r="H1271" s="787">
        <v>1</v>
      </c>
      <c r="L1271" s="787">
        <v>13.1</v>
      </c>
      <c r="M1271" s="787">
        <v>10</v>
      </c>
      <c r="N1271" s="787">
        <v>23.95</v>
      </c>
      <c r="O1271" s="788">
        <v>42144</v>
      </c>
    </row>
    <row r="1272" spans="1:15" x14ac:dyDescent="0.25">
      <c r="A1272" s="786" t="s">
        <v>3048</v>
      </c>
      <c r="B1272" s="787">
        <v>4</v>
      </c>
      <c r="C1272" s="787" t="s">
        <v>3049</v>
      </c>
      <c r="D1272" s="787">
        <v>8.1300000000000008</v>
      </c>
      <c r="E1272" s="787">
        <v>18.13</v>
      </c>
      <c r="F1272" s="788">
        <v>39456</v>
      </c>
      <c r="G1272" s="788">
        <v>39163</v>
      </c>
      <c r="H1272" s="787">
        <v>1</v>
      </c>
      <c r="I1272" s="788">
        <v>39715</v>
      </c>
      <c r="J1272" s="788">
        <v>39345</v>
      </c>
      <c r="L1272" s="787">
        <v>30.69</v>
      </c>
      <c r="M1272" s="787">
        <v>10</v>
      </c>
      <c r="N1272" s="787">
        <v>24.49</v>
      </c>
      <c r="O1272" s="788">
        <v>42163</v>
      </c>
    </row>
    <row r="1273" spans="1:15" x14ac:dyDescent="0.25">
      <c r="A1273" s="786" t="s">
        <v>3050</v>
      </c>
      <c r="B1273" s="787">
        <v>4</v>
      </c>
      <c r="C1273" s="787" t="s">
        <v>3051</v>
      </c>
      <c r="D1273" s="787">
        <v>5.52</v>
      </c>
      <c r="E1273" s="787">
        <v>5.52</v>
      </c>
      <c r="F1273" s="788">
        <v>39456</v>
      </c>
      <c r="G1273" s="788">
        <v>39590</v>
      </c>
      <c r="H1273" s="787">
        <v>1</v>
      </c>
      <c r="I1273" s="788">
        <v>39715</v>
      </c>
      <c r="J1273" s="788">
        <v>39345</v>
      </c>
      <c r="L1273" s="787">
        <v>11.44</v>
      </c>
      <c r="M1273" s="787">
        <v>10</v>
      </c>
      <c r="N1273" s="787">
        <v>10.16</v>
      </c>
      <c r="O1273" s="788">
        <v>42163</v>
      </c>
    </row>
    <row r="1274" spans="1:15" x14ac:dyDescent="0.25">
      <c r="A1274" s="786" t="s">
        <v>3052</v>
      </c>
      <c r="B1274" s="787">
        <v>4</v>
      </c>
      <c r="C1274" s="787" t="s">
        <v>3053</v>
      </c>
      <c r="D1274" s="787">
        <v>7.65</v>
      </c>
      <c r="E1274" s="787">
        <v>28.03</v>
      </c>
      <c r="F1274" s="788">
        <v>39101</v>
      </c>
      <c r="G1274" s="788">
        <v>39456</v>
      </c>
      <c r="H1274" s="787">
        <v>1</v>
      </c>
      <c r="I1274" s="788">
        <v>39575</v>
      </c>
      <c r="J1274" s="788">
        <v>39158</v>
      </c>
      <c r="L1274" s="787">
        <v>31.16</v>
      </c>
      <c r="M1274" s="787">
        <v>10</v>
      </c>
      <c r="N1274" s="787">
        <v>31.86</v>
      </c>
      <c r="O1274" s="788">
        <v>42144</v>
      </c>
    </row>
    <row r="1275" spans="1:15" x14ac:dyDescent="0.25">
      <c r="A1275" s="786" t="s">
        <v>3054</v>
      </c>
      <c r="B1275" s="787">
        <v>4</v>
      </c>
      <c r="C1275" s="787" t="s">
        <v>3055</v>
      </c>
      <c r="D1275" s="787">
        <v>0.27</v>
      </c>
      <c r="E1275" s="787">
        <v>16.329999999999998</v>
      </c>
      <c r="F1275" s="788">
        <v>38606</v>
      </c>
      <c r="G1275" s="788">
        <v>39158</v>
      </c>
      <c r="H1275" s="787">
        <v>1</v>
      </c>
      <c r="I1275" s="788">
        <v>39575</v>
      </c>
      <c r="J1275" s="788">
        <v>39158</v>
      </c>
      <c r="L1275" s="787">
        <v>11.44</v>
      </c>
      <c r="M1275" s="787">
        <v>10</v>
      </c>
      <c r="N1275" s="787">
        <v>25.51</v>
      </c>
      <c r="O1275" s="788">
        <v>42144</v>
      </c>
    </row>
    <row r="1276" spans="1:15" x14ac:dyDescent="0.25">
      <c r="A1276" s="786" t="s">
        <v>3056</v>
      </c>
      <c r="B1276" s="787">
        <v>4</v>
      </c>
      <c r="C1276" s="787" t="s">
        <v>3057</v>
      </c>
      <c r="D1276" s="787">
        <v>1.69</v>
      </c>
      <c r="E1276" s="787">
        <v>21.69</v>
      </c>
      <c r="F1276" s="788">
        <v>39101</v>
      </c>
      <c r="G1276" s="788">
        <v>39101</v>
      </c>
      <c r="H1276" s="787">
        <v>1</v>
      </c>
      <c r="I1276" s="788">
        <v>40728</v>
      </c>
      <c r="J1276" s="788">
        <v>39879</v>
      </c>
      <c r="L1276" s="787">
        <v>25.2</v>
      </c>
      <c r="M1276" s="787">
        <v>10</v>
      </c>
      <c r="N1276" s="787">
        <v>27.19</v>
      </c>
      <c r="O1276" s="788">
        <v>42163</v>
      </c>
    </row>
    <row r="1277" spans="1:15" x14ac:dyDescent="0.25">
      <c r="A1277" s="786" t="s">
        <v>3058</v>
      </c>
      <c r="B1277" s="787">
        <v>4</v>
      </c>
      <c r="C1277" s="787" t="s">
        <v>3059</v>
      </c>
      <c r="D1277" s="787">
        <v>5.76</v>
      </c>
      <c r="E1277" s="787">
        <v>29.58</v>
      </c>
      <c r="F1277" s="788">
        <v>39101</v>
      </c>
      <c r="G1277" s="788">
        <v>39584</v>
      </c>
      <c r="H1277" s="787">
        <v>1</v>
      </c>
      <c r="I1277" s="788">
        <v>40728</v>
      </c>
      <c r="J1277" s="788">
        <v>39884</v>
      </c>
      <c r="L1277" s="787">
        <v>28.82</v>
      </c>
      <c r="M1277" s="787">
        <v>10</v>
      </c>
      <c r="N1277" s="787">
        <v>21.58</v>
      </c>
      <c r="O1277" s="788">
        <v>42163</v>
      </c>
    </row>
    <row r="1278" spans="1:15" x14ac:dyDescent="0.25">
      <c r="A1278" s="786" t="s">
        <v>3060</v>
      </c>
      <c r="B1278" s="787">
        <v>4</v>
      </c>
      <c r="C1278" s="787" t="s">
        <v>3061</v>
      </c>
      <c r="D1278" s="787">
        <v>8.0500000000000007</v>
      </c>
      <c r="E1278" s="787">
        <v>18.05</v>
      </c>
      <c r="F1278" s="788">
        <v>39456</v>
      </c>
      <c r="G1278" s="788">
        <v>39163</v>
      </c>
      <c r="H1278" s="787">
        <v>1</v>
      </c>
      <c r="I1278" s="788">
        <v>39715</v>
      </c>
      <c r="J1278" s="788">
        <v>39345</v>
      </c>
      <c r="L1278" s="787">
        <v>30.69</v>
      </c>
      <c r="M1278" s="787">
        <v>10</v>
      </c>
      <c r="N1278" s="787">
        <v>24.49</v>
      </c>
      <c r="O1278" s="788">
        <v>42163</v>
      </c>
    </row>
    <row r="1279" spans="1:15" x14ac:dyDescent="0.25">
      <c r="A1279" s="786" t="s">
        <v>3062</v>
      </c>
      <c r="B1279" s="787">
        <v>4</v>
      </c>
      <c r="C1279" s="787" t="s">
        <v>3063</v>
      </c>
      <c r="D1279" s="787">
        <v>7.44</v>
      </c>
      <c r="E1279" s="787">
        <v>7.44</v>
      </c>
      <c r="F1279" s="788">
        <v>39101</v>
      </c>
      <c r="G1279" s="788">
        <v>39101</v>
      </c>
      <c r="H1279" s="787">
        <v>1</v>
      </c>
      <c r="I1279" s="788">
        <v>40728</v>
      </c>
      <c r="J1279" s="788">
        <v>39149</v>
      </c>
      <c r="L1279" s="787">
        <v>9.9499999999999993</v>
      </c>
      <c r="M1279" s="787">
        <v>10</v>
      </c>
      <c r="N1279" s="787">
        <v>15.51</v>
      </c>
      <c r="O1279" s="788">
        <v>42163</v>
      </c>
    </row>
    <row r="1280" spans="1:15" x14ac:dyDescent="0.25">
      <c r="A1280" s="786" t="s">
        <v>3064</v>
      </c>
      <c r="B1280" s="787">
        <v>4</v>
      </c>
      <c r="C1280" s="787" t="s">
        <v>3065</v>
      </c>
      <c r="D1280" s="787">
        <v>8.43</v>
      </c>
      <c r="E1280" s="787">
        <v>9.2100000000000009</v>
      </c>
      <c r="F1280" s="788">
        <v>39101</v>
      </c>
      <c r="G1280" s="788">
        <v>40553</v>
      </c>
      <c r="H1280" s="787">
        <v>1</v>
      </c>
      <c r="I1280" s="788">
        <v>40668</v>
      </c>
      <c r="J1280" s="788">
        <v>39884</v>
      </c>
      <c r="L1280" s="787">
        <v>10.95</v>
      </c>
      <c r="M1280" s="787">
        <v>10</v>
      </c>
      <c r="N1280" s="787">
        <v>9.83</v>
      </c>
      <c r="O1280" s="788">
        <v>42163</v>
      </c>
    </row>
    <row r="1281" spans="1:15" x14ac:dyDescent="0.25">
      <c r="A1281" s="786" t="s">
        <v>3066</v>
      </c>
      <c r="B1281" s="787">
        <v>4</v>
      </c>
      <c r="C1281" s="787" t="s">
        <v>3067</v>
      </c>
      <c r="D1281" s="787">
        <v>6.63</v>
      </c>
      <c r="E1281" s="787">
        <v>57.67</v>
      </c>
      <c r="F1281" s="788">
        <v>39101</v>
      </c>
      <c r="G1281" s="788">
        <v>42121</v>
      </c>
      <c r="H1281" s="787">
        <v>1</v>
      </c>
      <c r="I1281" s="788">
        <v>42110</v>
      </c>
      <c r="J1281" s="788">
        <v>42121</v>
      </c>
      <c r="K1281" s="788">
        <v>42082</v>
      </c>
      <c r="L1281" s="787">
        <v>57.67</v>
      </c>
      <c r="M1281" s="787">
        <v>20</v>
      </c>
      <c r="N1281" s="787">
        <v>62</v>
      </c>
      <c r="O1281" s="788">
        <v>42163</v>
      </c>
    </row>
    <row r="1282" spans="1:15" x14ac:dyDescent="0.25">
      <c r="A1282" s="786" t="s">
        <v>3068</v>
      </c>
      <c r="B1282" s="787">
        <v>4</v>
      </c>
      <c r="C1282" s="787" t="s">
        <v>3069</v>
      </c>
      <c r="D1282" s="787">
        <v>5.52</v>
      </c>
      <c r="E1282" s="787">
        <v>5.52</v>
      </c>
      <c r="F1282" s="788">
        <v>39456</v>
      </c>
      <c r="G1282" s="788">
        <v>39590</v>
      </c>
      <c r="H1282" s="787">
        <v>1</v>
      </c>
      <c r="I1282" s="788">
        <v>39715</v>
      </c>
      <c r="J1282" s="788">
        <v>39345</v>
      </c>
      <c r="L1282" s="787">
        <v>11.44</v>
      </c>
      <c r="M1282" s="787">
        <v>10</v>
      </c>
      <c r="N1282" s="787">
        <v>10.16</v>
      </c>
      <c r="O1282" s="788">
        <v>42163</v>
      </c>
    </row>
    <row r="1283" spans="1:15" x14ac:dyDescent="0.25">
      <c r="A1283" s="786" t="s">
        <v>3070</v>
      </c>
      <c r="B1283" s="787">
        <v>4</v>
      </c>
      <c r="C1283" s="787" t="s">
        <v>3071</v>
      </c>
      <c r="D1283" s="787">
        <v>0.2</v>
      </c>
      <c r="E1283" s="787">
        <v>4.42</v>
      </c>
      <c r="F1283" s="788">
        <v>39456</v>
      </c>
      <c r="G1283" s="788">
        <v>42158</v>
      </c>
      <c r="H1283" s="787">
        <v>1</v>
      </c>
      <c r="I1283" s="788">
        <v>42163</v>
      </c>
      <c r="J1283" s="788">
        <v>42151</v>
      </c>
      <c r="L1283" s="787">
        <v>0.9</v>
      </c>
      <c r="M1283" s="787">
        <v>10</v>
      </c>
      <c r="N1283" s="787">
        <v>4.7</v>
      </c>
      <c r="O1283" s="788">
        <v>42163</v>
      </c>
    </row>
    <row r="1284" spans="1:15" x14ac:dyDescent="0.25">
      <c r="A1284" s="786" t="s">
        <v>3072</v>
      </c>
      <c r="B1284" s="787">
        <v>4</v>
      </c>
      <c r="C1284" s="787" t="s">
        <v>3073</v>
      </c>
      <c r="D1284" s="787">
        <v>0.08</v>
      </c>
      <c r="E1284" s="787">
        <v>3.53</v>
      </c>
      <c r="F1284" s="788">
        <v>39456</v>
      </c>
      <c r="G1284" s="788">
        <v>42156</v>
      </c>
      <c r="H1284" s="787">
        <v>1</v>
      </c>
      <c r="I1284" s="788">
        <v>42163</v>
      </c>
      <c r="J1284" s="788">
        <v>42156</v>
      </c>
      <c r="L1284" s="787">
        <v>0.8</v>
      </c>
      <c r="M1284" s="787">
        <v>10</v>
      </c>
      <c r="N1284" s="787">
        <v>5.13</v>
      </c>
      <c r="O1284" s="788">
        <v>42163</v>
      </c>
    </row>
    <row r="1285" spans="1:15" x14ac:dyDescent="0.25">
      <c r="A1285" s="786" t="s">
        <v>3074</v>
      </c>
      <c r="B1285" s="787">
        <v>4</v>
      </c>
      <c r="C1285" s="787" t="s">
        <v>3075</v>
      </c>
      <c r="D1285" s="787">
        <v>3.74</v>
      </c>
      <c r="E1285" s="787">
        <v>7.2</v>
      </c>
      <c r="F1285" s="788">
        <v>39975</v>
      </c>
      <c r="G1285" s="788">
        <v>42072</v>
      </c>
      <c r="H1285" s="787">
        <v>1</v>
      </c>
      <c r="I1285" s="788">
        <v>42066</v>
      </c>
      <c r="J1285" s="788">
        <v>42048</v>
      </c>
      <c r="L1285" s="787">
        <v>5.16</v>
      </c>
      <c r="M1285" s="787">
        <v>10</v>
      </c>
      <c r="N1285" s="787">
        <v>7.03</v>
      </c>
      <c r="O1285" s="788">
        <v>42163</v>
      </c>
    </row>
    <row r="1286" spans="1:15" x14ac:dyDescent="0.25">
      <c r="A1286" s="786" t="s">
        <v>3076</v>
      </c>
      <c r="B1286" s="787">
        <v>4</v>
      </c>
      <c r="C1286" s="787" t="s">
        <v>3077</v>
      </c>
      <c r="D1286" s="787">
        <v>3.72</v>
      </c>
      <c r="E1286" s="787">
        <v>8.98</v>
      </c>
      <c r="F1286" s="788">
        <v>39974</v>
      </c>
      <c r="G1286" s="788">
        <v>42166</v>
      </c>
      <c r="H1286" s="787">
        <v>1</v>
      </c>
      <c r="I1286" s="788">
        <v>42160</v>
      </c>
      <c r="J1286" s="788">
        <v>42137</v>
      </c>
      <c r="L1286" s="787">
        <v>6.61</v>
      </c>
      <c r="M1286" s="787">
        <v>10</v>
      </c>
      <c r="N1286" s="787">
        <v>6.6</v>
      </c>
      <c r="O1286" s="788">
        <v>42163</v>
      </c>
    </row>
    <row r="1287" spans="1:15" x14ac:dyDescent="0.25">
      <c r="A1287" s="786" t="s">
        <v>3078</v>
      </c>
      <c r="B1287" s="787">
        <v>4</v>
      </c>
      <c r="C1287" s="787" t="s">
        <v>3079</v>
      </c>
      <c r="D1287" s="787">
        <v>6</v>
      </c>
      <c r="E1287" s="787">
        <v>9.6</v>
      </c>
      <c r="F1287" s="788">
        <v>39101</v>
      </c>
      <c r="G1287" s="788">
        <v>42128</v>
      </c>
      <c r="H1287" s="787">
        <v>1</v>
      </c>
      <c r="I1287" s="788">
        <v>42157</v>
      </c>
      <c r="J1287" s="788">
        <v>42095</v>
      </c>
      <c r="L1287" s="787">
        <v>8.06</v>
      </c>
      <c r="M1287" s="787">
        <v>10</v>
      </c>
      <c r="N1287" s="787">
        <v>9.4700000000000006</v>
      </c>
      <c r="O1287" s="788">
        <v>42163</v>
      </c>
    </row>
    <row r="1288" spans="1:15" x14ac:dyDescent="0.25">
      <c r="A1288" s="786" t="s">
        <v>3080</v>
      </c>
      <c r="B1288" s="787">
        <v>4</v>
      </c>
      <c r="C1288" s="787" t="s">
        <v>3081</v>
      </c>
      <c r="D1288" s="787">
        <v>3.75</v>
      </c>
      <c r="E1288" s="787">
        <v>7.19</v>
      </c>
      <c r="F1288" s="788">
        <v>39101</v>
      </c>
      <c r="G1288" s="788">
        <v>42128</v>
      </c>
      <c r="H1288" s="787">
        <v>1</v>
      </c>
      <c r="I1288" s="788">
        <v>42108</v>
      </c>
      <c r="J1288" s="788">
        <v>42095</v>
      </c>
      <c r="L1288" s="787">
        <v>8.82</v>
      </c>
      <c r="M1288" s="787">
        <v>10</v>
      </c>
      <c r="N1288" s="787">
        <v>10.81</v>
      </c>
      <c r="O1288" s="788">
        <v>42163</v>
      </c>
    </row>
    <row r="1289" spans="1:15" x14ac:dyDescent="0.25">
      <c r="A1289" s="786" t="s">
        <v>3082</v>
      </c>
      <c r="B1289" s="787">
        <v>4</v>
      </c>
      <c r="C1289" s="787" t="s">
        <v>3083</v>
      </c>
      <c r="D1289" s="787">
        <v>0.13</v>
      </c>
      <c r="E1289" s="787">
        <v>0.26</v>
      </c>
      <c r="F1289" s="788">
        <v>39456</v>
      </c>
      <c r="G1289" s="788">
        <v>40178</v>
      </c>
      <c r="H1289" s="787">
        <v>1</v>
      </c>
      <c r="I1289" s="788">
        <v>40794</v>
      </c>
      <c r="J1289" s="788">
        <v>39828</v>
      </c>
      <c r="L1289" s="787">
        <v>0.37</v>
      </c>
      <c r="M1289" s="787">
        <v>10</v>
      </c>
      <c r="N1289" s="787">
        <v>0.46</v>
      </c>
      <c r="O1289" s="788">
        <v>42163</v>
      </c>
    </row>
    <row r="1290" spans="1:15" x14ac:dyDescent="0.25">
      <c r="A1290" s="786" t="s">
        <v>3084</v>
      </c>
      <c r="B1290" s="787">
        <v>4</v>
      </c>
      <c r="C1290" s="787" t="s">
        <v>3085</v>
      </c>
      <c r="D1290" s="787">
        <v>1.34</v>
      </c>
      <c r="E1290" s="787">
        <v>3.74</v>
      </c>
      <c r="F1290" s="788">
        <v>39101</v>
      </c>
      <c r="G1290" s="788">
        <v>42013</v>
      </c>
      <c r="H1290" s="787">
        <v>1</v>
      </c>
      <c r="I1290" s="788">
        <v>41543</v>
      </c>
      <c r="J1290" s="788">
        <v>41680</v>
      </c>
      <c r="L1290" s="787">
        <v>1.4</v>
      </c>
      <c r="M1290" s="787">
        <v>10</v>
      </c>
      <c r="N1290" s="787">
        <v>2.75</v>
      </c>
      <c r="O1290" s="788">
        <v>42146</v>
      </c>
    </row>
    <row r="1291" spans="1:15" x14ac:dyDescent="0.25">
      <c r="A1291" s="786" t="s">
        <v>3086</v>
      </c>
      <c r="B1291" s="787">
        <v>4</v>
      </c>
      <c r="C1291" s="787" t="s">
        <v>3087</v>
      </c>
      <c r="D1291" s="787">
        <v>2.61</v>
      </c>
      <c r="E1291" s="787">
        <v>5.75</v>
      </c>
      <c r="F1291" s="788">
        <v>39101</v>
      </c>
      <c r="G1291" s="788">
        <v>42013</v>
      </c>
      <c r="H1291" s="787">
        <v>1</v>
      </c>
      <c r="I1291" s="788">
        <v>41711</v>
      </c>
      <c r="J1291" s="788">
        <v>41680</v>
      </c>
      <c r="L1291" s="787">
        <v>1.72</v>
      </c>
      <c r="M1291" s="787">
        <v>10</v>
      </c>
      <c r="N1291" s="787">
        <v>3.45</v>
      </c>
      <c r="O1291" s="788">
        <v>42144</v>
      </c>
    </row>
    <row r="1292" spans="1:15" x14ac:dyDescent="0.25">
      <c r="A1292" s="786" t="s">
        <v>3088</v>
      </c>
      <c r="B1292" s="787">
        <v>4</v>
      </c>
      <c r="C1292" s="787" t="s">
        <v>3089</v>
      </c>
      <c r="D1292" s="787">
        <v>2.87</v>
      </c>
      <c r="E1292" s="787">
        <v>6.22</v>
      </c>
      <c r="F1292" s="788">
        <v>39101</v>
      </c>
      <c r="G1292" s="788">
        <v>41943</v>
      </c>
      <c r="H1292" s="787">
        <v>1</v>
      </c>
      <c r="I1292" s="788">
        <v>42163</v>
      </c>
      <c r="J1292" s="788">
        <v>41680</v>
      </c>
      <c r="L1292" s="787">
        <v>2.04</v>
      </c>
      <c r="M1292" s="787">
        <v>10</v>
      </c>
      <c r="N1292" s="787">
        <v>4.32</v>
      </c>
      <c r="O1292" s="788">
        <v>42144</v>
      </c>
    </row>
    <row r="1293" spans="1:15" x14ac:dyDescent="0.25">
      <c r="A1293" s="786" t="s">
        <v>3090</v>
      </c>
      <c r="B1293" s="787">
        <v>4</v>
      </c>
      <c r="C1293" s="787" t="s">
        <v>3091</v>
      </c>
      <c r="D1293" s="787">
        <v>1.51</v>
      </c>
      <c r="E1293" s="787">
        <v>5.55</v>
      </c>
      <c r="F1293" s="788">
        <v>39101</v>
      </c>
      <c r="G1293" s="788">
        <v>41943</v>
      </c>
      <c r="H1293" s="787">
        <v>1</v>
      </c>
      <c r="I1293" s="788">
        <v>41754</v>
      </c>
      <c r="J1293" s="788">
        <v>41474</v>
      </c>
      <c r="L1293" s="787">
        <v>2.19</v>
      </c>
      <c r="M1293" s="787">
        <v>10</v>
      </c>
      <c r="N1293" s="787">
        <v>4.7699999999999996</v>
      </c>
      <c r="O1293" s="788">
        <v>42144</v>
      </c>
    </row>
    <row r="1294" spans="1:15" x14ac:dyDescent="0.25">
      <c r="A1294" s="786" t="s">
        <v>3092</v>
      </c>
      <c r="B1294" s="787">
        <v>4</v>
      </c>
      <c r="C1294" s="787" t="s">
        <v>3093</v>
      </c>
      <c r="D1294" s="787">
        <v>0.68</v>
      </c>
      <c r="E1294" s="787">
        <v>1.01</v>
      </c>
      <c r="F1294" s="788">
        <v>39456</v>
      </c>
      <c r="G1294" s="788">
        <v>41565</v>
      </c>
      <c r="H1294" s="787">
        <v>1</v>
      </c>
      <c r="I1294" s="788">
        <v>40876</v>
      </c>
      <c r="J1294" s="788">
        <v>40084</v>
      </c>
      <c r="L1294" s="787">
        <v>2.93</v>
      </c>
      <c r="M1294" s="787">
        <v>10</v>
      </c>
      <c r="N1294" s="787">
        <v>2.5</v>
      </c>
      <c r="O1294" s="788">
        <v>42163</v>
      </c>
    </row>
    <row r="1295" spans="1:15" x14ac:dyDescent="0.25">
      <c r="A1295" s="786" t="s">
        <v>3094</v>
      </c>
      <c r="B1295" s="787">
        <v>4</v>
      </c>
      <c r="C1295" s="787" t="s">
        <v>3095</v>
      </c>
      <c r="D1295" s="787">
        <v>1.24</v>
      </c>
      <c r="E1295" s="787">
        <v>7</v>
      </c>
      <c r="F1295" s="788">
        <v>39456</v>
      </c>
      <c r="G1295" s="788">
        <v>42165</v>
      </c>
      <c r="H1295" s="787">
        <v>1</v>
      </c>
      <c r="I1295" s="788">
        <v>42163</v>
      </c>
      <c r="J1295" s="788">
        <v>42159</v>
      </c>
      <c r="K1295" s="788">
        <v>41865</v>
      </c>
      <c r="L1295" s="787">
        <v>6.2</v>
      </c>
      <c r="M1295" s="787">
        <v>20</v>
      </c>
      <c r="N1295" s="787">
        <v>6.67</v>
      </c>
      <c r="O1295" s="788">
        <v>42163</v>
      </c>
    </row>
    <row r="1296" spans="1:15" x14ac:dyDescent="0.25">
      <c r="A1296" s="786" t="s">
        <v>3096</v>
      </c>
      <c r="B1296" s="787">
        <v>4</v>
      </c>
      <c r="C1296" s="787" t="s">
        <v>3014</v>
      </c>
      <c r="D1296" s="787">
        <v>2.57</v>
      </c>
      <c r="E1296" s="787">
        <v>2.25</v>
      </c>
      <c r="F1296" s="788">
        <v>39101</v>
      </c>
      <c r="G1296" s="788">
        <v>39101</v>
      </c>
      <c r="H1296" s="787">
        <v>1</v>
      </c>
      <c r="I1296" s="788">
        <v>40351</v>
      </c>
      <c r="J1296" s="788">
        <v>39101</v>
      </c>
      <c r="L1296" s="787">
        <v>2.77</v>
      </c>
      <c r="M1296" s="787">
        <v>10</v>
      </c>
      <c r="N1296" s="787">
        <v>4.2300000000000004</v>
      </c>
      <c r="O1296" s="788">
        <v>41955</v>
      </c>
    </row>
    <row r="1297" spans="1:15" x14ac:dyDescent="0.25">
      <c r="A1297" s="786" t="s">
        <v>3097</v>
      </c>
      <c r="B1297" s="787">
        <v>4</v>
      </c>
      <c r="C1297" s="787" t="s">
        <v>3098</v>
      </c>
      <c r="D1297" s="787">
        <v>0.22</v>
      </c>
      <c r="E1297" s="787">
        <v>0.75</v>
      </c>
      <c r="F1297" s="788">
        <v>41775</v>
      </c>
      <c r="G1297" s="788">
        <v>42152</v>
      </c>
      <c r="H1297" s="787">
        <v>1</v>
      </c>
      <c r="I1297" s="788">
        <v>42163</v>
      </c>
      <c r="J1297" s="788">
        <v>42152</v>
      </c>
      <c r="L1297" s="787">
        <v>0.56000000000000005</v>
      </c>
      <c r="M1297" s="787">
        <v>10</v>
      </c>
      <c r="N1297" s="787">
        <v>1.77</v>
      </c>
      <c r="O1297" s="788">
        <v>42163</v>
      </c>
    </row>
    <row r="1298" spans="1:15" x14ac:dyDescent="0.25">
      <c r="A1298" s="786" t="s">
        <v>3099</v>
      </c>
      <c r="B1298" s="787">
        <v>4</v>
      </c>
      <c r="C1298" s="787" t="s">
        <v>3100</v>
      </c>
      <c r="D1298" s="787">
        <v>0.28000000000000003</v>
      </c>
      <c r="E1298" s="787">
        <v>0.75</v>
      </c>
      <c r="F1298" s="788">
        <v>41775</v>
      </c>
      <c r="G1298" s="788">
        <v>42152</v>
      </c>
      <c r="H1298" s="787">
        <v>1</v>
      </c>
      <c r="I1298" s="788">
        <v>42163</v>
      </c>
      <c r="J1298" s="788">
        <v>42152</v>
      </c>
      <c r="L1298" s="787">
        <v>0.59</v>
      </c>
      <c r="M1298" s="787">
        <v>10</v>
      </c>
      <c r="N1298" s="787">
        <v>1.82</v>
      </c>
      <c r="O1298" s="788">
        <v>42163</v>
      </c>
    </row>
    <row r="1299" spans="1:15" x14ac:dyDescent="0.25">
      <c r="A1299" s="786" t="s">
        <v>3101</v>
      </c>
      <c r="B1299" s="787">
        <v>4</v>
      </c>
      <c r="C1299" s="787" t="s">
        <v>3102</v>
      </c>
      <c r="D1299" s="787">
        <v>0.08</v>
      </c>
      <c r="E1299" s="787">
        <v>0.55000000000000004</v>
      </c>
      <c r="F1299" s="788">
        <v>39456</v>
      </c>
      <c r="G1299" s="788">
        <v>41255</v>
      </c>
      <c r="H1299" s="787">
        <v>1</v>
      </c>
      <c r="I1299" s="788">
        <v>40877</v>
      </c>
      <c r="J1299" s="788">
        <v>40592</v>
      </c>
      <c r="L1299" s="787">
        <v>0.33</v>
      </c>
      <c r="M1299" s="787">
        <v>10</v>
      </c>
      <c r="N1299" s="787">
        <v>0.74</v>
      </c>
      <c r="O1299" s="788">
        <v>42163</v>
      </c>
    </row>
    <row r="1300" spans="1:15" x14ac:dyDescent="0.25">
      <c r="A1300" s="786" t="s">
        <v>3103</v>
      </c>
      <c r="B1300" s="787">
        <v>4</v>
      </c>
      <c r="C1300" s="787" t="s">
        <v>3104</v>
      </c>
      <c r="D1300" s="787">
        <v>7.0000000000000007E-2</v>
      </c>
      <c r="E1300" s="787">
        <v>0.44</v>
      </c>
      <c r="F1300" s="788">
        <v>39975</v>
      </c>
      <c r="G1300" s="788">
        <v>41255</v>
      </c>
      <c r="H1300" s="787">
        <v>1</v>
      </c>
      <c r="I1300" s="788">
        <v>40877</v>
      </c>
      <c r="J1300" s="788">
        <v>40396</v>
      </c>
      <c r="L1300" s="787">
        <v>0.34</v>
      </c>
      <c r="M1300" s="787">
        <v>10</v>
      </c>
      <c r="N1300" s="787">
        <v>0.76</v>
      </c>
      <c r="O1300" s="788">
        <v>42163</v>
      </c>
    </row>
    <row r="1301" spans="1:15" x14ac:dyDescent="0.25">
      <c r="A1301" s="786" t="s">
        <v>3105</v>
      </c>
      <c r="B1301" s="787">
        <v>4</v>
      </c>
      <c r="C1301" s="787" t="s">
        <v>3106</v>
      </c>
      <c r="D1301" s="787">
        <v>4.3</v>
      </c>
      <c r="E1301" s="787">
        <v>94.3</v>
      </c>
      <c r="F1301" s="788">
        <v>41135</v>
      </c>
      <c r="G1301" s="788">
        <v>41135</v>
      </c>
      <c r="H1301" s="787">
        <v>1</v>
      </c>
      <c r="I1301" s="788">
        <v>40877</v>
      </c>
      <c r="J1301" s="788">
        <v>40876</v>
      </c>
      <c r="L1301" s="787">
        <v>130.49</v>
      </c>
      <c r="M1301" s="787">
        <v>10</v>
      </c>
      <c r="N1301" s="787">
        <v>303.56</v>
      </c>
      <c r="O1301" s="788">
        <v>42163</v>
      </c>
    </row>
    <row r="1302" spans="1:15" x14ac:dyDescent="0.25">
      <c r="A1302" s="786" t="s">
        <v>3107</v>
      </c>
      <c r="B1302" s="787">
        <v>4</v>
      </c>
      <c r="C1302" s="787" t="s">
        <v>3108</v>
      </c>
      <c r="D1302" s="787">
        <v>5.0199999999999996</v>
      </c>
      <c r="E1302" s="787">
        <v>85.02</v>
      </c>
      <c r="F1302" s="788">
        <v>41135</v>
      </c>
      <c r="G1302" s="788">
        <v>41135</v>
      </c>
      <c r="H1302" s="787">
        <v>1</v>
      </c>
      <c r="I1302" s="788">
        <v>40877</v>
      </c>
      <c r="J1302" s="788">
        <v>40876</v>
      </c>
      <c r="L1302" s="787">
        <v>121.9</v>
      </c>
      <c r="M1302" s="787">
        <v>10</v>
      </c>
      <c r="N1302" s="787">
        <v>294.29000000000002</v>
      </c>
      <c r="O1302" s="788">
        <v>42163</v>
      </c>
    </row>
    <row r="1303" spans="1:15" x14ac:dyDescent="0.25">
      <c r="A1303" s="786" t="s">
        <v>3109</v>
      </c>
      <c r="B1303" s="787">
        <v>4</v>
      </c>
      <c r="C1303" s="787" t="s">
        <v>3110</v>
      </c>
      <c r="D1303" s="787">
        <v>8.09</v>
      </c>
      <c r="E1303" s="787">
        <v>208.49</v>
      </c>
      <c r="F1303" s="788">
        <v>41135</v>
      </c>
      <c r="G1303" s="788">
        <v>41135</v>
      </c>
      <c r="H1303" s="787">
        <v>1</v>
      </c>
      <c r="I1303" s="788">
        <v>40799</v>
      </c>
      <c r="J1303" s="788">
        <v>40794</v>
      </c>
      <c r="L1303" s="787">
        <v>132.34</v>
      </c>
      <c r="M1303" s="787">
        <v>10</v>
      </c>
      <c r="N1303" s="787">
        <v>235.69</v>
      </c>
      <c r="O1303" s="788">
        <v>42163</v>
      </c>
    </row>
    <row r="1304" spans="1:15" x14ac:dyDescent="0.25">
      <c r="A1304" s="786" t="s">
        <v>3111</v>
      </c>
      <c r="B1304" s="787">
        <v>4</v>
      </c>
      <c r="C1304" s="787" t="s">
        <v>3112</v>
      </c>
      <c r="D1304" s="787">
        <v>6.16</v>
      </c>
      <c r="E1304" s="787">
        <v>257.86</v>
      </c>
      <c r="F1304" s="788">
        <v>41135</v>
      </c>
      <c r="G1304" s="788">
        <v>41135</v>
      </c>
      <c r="H1304" s="787">
        <v>1</v>
      </c>
      <c r="I1304" s="788">
        <v>40799</v>
      </c>
      <c r="J1304" s="788">
        <v>40794</v>
      </c>
      <c r="L1304" s="787">
        <v>132.22999999999999</v>
      </c>
      <c r="M1304" s="787">
        <v>10</v>
      </c>
      <c r="N1304" s="787">
        <v>268.83</v>
      </c>
      <c r="O1304" s="788">
        <v>42163</v>
      </c>
    </row>
    <row r="1305" spans="1:15" x14ac:dyDescent="0.25">
      <c r="A1305" s="786" t="s">
        <v>3113</v>
      </c>
      <c r="B1305" s="787">
        <v>4</v>
      </c>
      <c r="C1305" s="787" t="s">
        <v>3114</v>
      </c>
      <c r="D1305" s="787">
        <v>0</v>
      </c>
      <c r="E1305" s="787">
        <v>0</v>
      </c>
      <c r="G1305" s="788">
        <v>40201</v>
      </c>
      <c r="H1305" s="787">
        <v>1</v>
      </c>
      <c r="I1305" s="788">
        <v>40201</v>
      </c>
      <c r="J1305" s="788">
        <v>40201</v>
      </c>
      <c r="L1305" s="787">
        <v>140.63999999999999</v>
      </c>
      <c r="M1305" s="787">
        <v>10</v>
      </c>
      <c r="N1305" s="787">
        <v>244</v>
      </c>
      <c r="O1305" s="788">
        <v>42163</v>
      </c>
    </row>
    <row r="1306" spans="1:15" x14ac:dyDescent="0.25">
      <c r="A1306" s="786" t="s">
        <v>3115</v>
      </c>
      <c r="B1306" s="787">
        <v>4</v>
      </c>
      <c r="C1306" s="787" t="s">
        <v>3116</v>
      </c>
      <c r="D1306" s="787">
        <v>0</v>
      </c>
      <c r="E1306" s="787">
        <v>0</v>
      </c>
      <c r="G1306" s="788">
        <v>40201</v>
      </c>
      <c r="H1306" s="787">
        <v>1</v>
      </c>
      <c r="I1306" s="788">
        <v>40201</v>
      </c>
      <c r="J1306" s="788">
        <v>40201</v>
      </c>
      <c r="L1306" s="787">
        <v>132.04</v>
      </c>
      <c r="M1306" s="787">
        <v>10</v>
      </c>
      <c r="N1306" s="787">
        <v>234.73</v>
      </c>
      <c r="O1306" s="788">
        <v>42163</v>
      </c>
    </row>
    <row r="1307" spans="1:15" x14ac:dyDescent="0.25">
      <c r="A1307" s="786" t="s">
        <v>3117</v>
      </c>
      <c r="B1307" s="787">
        <v>4</v>
      </c>
      <c r="C1307" s="787" t="s">
        <v>3118</v>
      </c>
      <c r="D1307" s="787">
        <v>0</v>
      </c>
      <c r="E1307" s="787">
        <v>0</v>
      </c>
      <c r="H1307" s="787">
        <v>1</v>
      </c>
      <c r="L1307" s="787">
        <v>120.87</v>
      </c>
      <c r="M1307" s="787">
        <v>10</v>
      </c>
      <c r="N1307" s="787">
        <v>230.5</v>
      </c>
      <c r="O1307" s="788">
        <v>41955</v>
      </c>
    </row>
    <row r="1308" spans="1:15" x14ac:dyDescent="0.25">
      <c r="A1308" s="786" t="s">
        <v>3119</v>
      </c>
      <c r="B1308" s="787">
        <v>4</v>
      </c>
      <c r="C1308" s="787" t="s">
        <v>3120</v>
      </c>
      <c r="D1308" s="787">
        <v>0</v>
      </c>
      <c r="E1308" s="787">
        <v>0</v>
      </c>
      <c r="H1308" s="787">
        <v>1</v>
      </c>
      <c r="L1308" s="787">
        <v>112.64</v>
      </c>
      <c r="M1308" s="787">
        <v>10</v>
      </c>
      <c r="N1308" s="787">
        <v>223.85</v>
      </c>
      <c r="O1308" s="788">
        <v>42087</v>
      </c>
    </row>
    <row r="1309" spans="1:15" x14ac:dyDescent="0.25">
      <c r="A1309" s="786" t="s">
        <v>3121</v>
      </c>
      <c r="B1309" s="787">
        <v>4</v>
      </c>
      <c r="C1309" s="787" t="s">
        <v>3122</v>
      </c>
      <c r="D1309" s="787">
        <v>0</v>
      </c>
      <c r="E1309" s="787">
        <v>0</v>
      </c>
      <c r="H1309" s="787">
        <v>1</v>
      </c>
      <c r="I1309" s="788">
        <v>40154</v>
      </c>
      <c r="L1309" s="787">
        <v>124.72</v>
      </c>
      <c r="M1309" s="787">
        <v>10</v>
      </c>
      <c r="N1309" s="787">
        <v>258.02</v>
      </c>
      <c r="O1309" s="788">
        <v>42087</v>
      </c>
    </row>
    <row r="1310" spans="1:15" x14ac:dyDescent="0.25">
      <c r="A1310" s="786" t="s">
        <v>3123</v>
      </c>
      <c r="B1310" s="787">
        <v>4</v>
      </c>
      <c r="C1310" s="787" t="s">
        <v>3124</v>
      </c>
      <c r="D1310" s="787">
        <v>0</v>
      </c>
      <c r="E1310" s="787">
        <v>0</v>
      </c>
      <c r="H1310" s="787">
        <v>1</v>
      </c>
      <c r="I1310" s="788">
        <v>40154</v>
      </c>
      <c r="L1310" s="787">
        <v>116.49</v>
      </c>
      <c r="M1310" s="787">
        <v>10</v>
      </c>
      <c r="N1310" s="787">
        <v>251.53</v>
      </c>
      <c r="O1310" s="788">
        <v>42083</v>
      </c>
    </row>
    <row r="1311" spans="1:15" x14ac:dyDescent="0.25">
      <c r="A1311" s="786" t="s">
        <v>3125</v>
      </c>
      <c r="B1311" s="787">
        <v>4</v>
      </c>
      <c r="C1311" s="787" t="s">
        <v>3126</v>
      </c>
      <c r="D1311" s="787">
        <v>1.72</v>
      </c>
      <c r="E1311" s="787">
        <v>486.88</v>
      </c>
      <c r="F1311" s="788">
        <v>41135</v>
      </c>
      <c r="G1311" s="788">
        <v>41135</v>
      </c>
      <c r="H1311" s="787">
        <v>1</v>
      </c>
      <c r="I1311" s="788">
        <v>40602</v>
      </c>
      <c r="J1311" s="788">
        <v>40588</v>
      </c>
      <c r="L1311" s="787">
        <v>128.54</v>
      </c>
      <c r="M1311" s="787">
        <v>10</v>
      </c>
      <c r="N1311" s="787">
        <v>243.64</v>
      </c>
      <c r="O1311" s="788">
        <v>42087</v>
      </c>
    </row>
    <row r="1312" spans="1:15" x14ac:dyDescent="0.25">
      <c r="A1312" s="786" t="s">
        <v>3127</v>
      </c>
      <c r="B1312" s="787">
        <v>4</v>
      </c>
      <c r="C1312" s="787" t="s">
        <v>3128</v>
      </c>
      <c r="D1312" s="787">
        <v>2.64</v>
      </c>
      <c r="E1312" s="787">
        <v>234.44</v>
      </c>
      <c r="F1312" s="788">
        <v>41135</v>
      </c>
      <c r="G1312" s="788">
        <v>41135</v>
      </c>
      <c r="H1312" s="787">
        <v>1</v>
      </c>
      <c r="I1312" s="788">
        <v>40602</v>
      </c>
      <c r="J1312" s="788">
        <v>40591</v>
      </c>
      <c r="L1312" s="787">
        <v>120.31</v>
      </c>
      <c r="M1312" s="787">
        <v>10</v>
      </c>
      <c r="N1312" s="787">
        <v>237.15</v>
      </c>
      <c r="O1312" s="788">
        <v>41955</v>
      </c>
    </row>
    <row r="1313" spans="1:15" x14ac:dyDescent="0.25">
      <c r="A1313" s="786" t="s">
        <v>3129</v>
      </c>
      <c r="B1313" s="787">
        <v>4</v>
      </c>
      <c r="C1313" s="787" t="s">
        <v>3130</v>
      </c>
      <c r="D1313" s="787">
        <v>4.54</v>
      </c>
      <c r="E1313" s="787">
        <v>236.63</v>
      </c>
      <c r="F1313" s="788">
        <v>38105</v>
      </c>
      <c r="G1313" s="788">
        <v>41641</v>
      </c>
      <c r="H1313" s="787">
        <v>1</v>
      </c>
      <c r="I1313" s="788">
        <v>41625</v>
      </c>
      <c r="J1313" s="788">
        <v>41605</v>
      </c>
      <c r="K1313" s="788">
        <v>41586</v>
      </c>
      <c r="L1313" s="787">
        <v>233.5</v>
      </c>
      <c r="M1313" s="787">
        <v>20</v>
      </c>
      <c r="N1313" s="787">
        <v>251.01</v>
      </c>
      <c r="O1313" s="788">
        <v>42163</v>
      </c>
    </row>
    <row r="1314" spans="1:15" x14ac:dyDescent="0.25">
      <c r="A1314" s="786" t="s">
        <v>3131</v>
      </c>
      <c r="B1314" s="787">
        <v>4</v>
      </c>
      <c r="C1314" s="787" t="s">
        <v>3132</v>
      </c>
      <c r="D1314" s="787">
        <v>6.63</v>
      </c>
      <c r="E1314" s="787">
        <v>236.63</v>
      </c>
      <c r="F1314" s="788">
        <v>41606</v>
      </c>
      <c r="G1314" s="788">
        <v>41641</v>
      </c>
      <c r="H1314" s="787">
        <v>1</v>
      </c>
      <c r="I1314" s="788">
        <v>41625</v>
      </c>
      <c r="J1314" s="788">
        <v>41605</v>
      </c>
      <c r="K1314" s="788">
        <v>41586</v>
      </c>
      <c r="L1314" s="787">
        <v>233.5</v>
      </c>
      <c r="M1314" s="787">
        <v>20</v>
      </c>
      <c r="N1314" s="787">
        <v>251.01</v>
      </c>
      <c r="O1314" s="788">
        <v>42163</v>
      </c>
    </row>
    <row r="1315" spans="1:15" x14ac:dyDescent="0.25">
      <c r="A1315" s="786" t="s">
        <v>3133</v>
      </c>
      <c r="B1315" s="787">
        <v>4</v>
      </c>
      <c r="C1315" s="787" t="s">
        <v>3134</v>
      </c>
      <c r="D1315" s="787">
        <v>6</v>
      </c>
      <c r="E1315" s="787">
        <v>242</v>
      </c>
      <c r="F1315" s="788">
        <v>38113</v>
      </c>
      <c r="G1315" s="788">
        <v>41641</v>
      </c>
      <c r="H1315" s="787">
        <v>1</v>
      </c>
      <c r="I1315" s="788">
        <v>41624</v>
      </c>
      <c r="J1315" s="788">
        <v>41627</v>
      </c>
      <c r="K1315" s="788">
        <v>41586</v>
      </c>
      <c r="L1315" s="787">
        <v>242</v>
      </c>
      <c r="M1315" s="787">
        <v>20</v>
      </c>
      <c r="N1315" s="787">
        <v>260.14999999999998</v>
      </c>
      <c r="O1315" s="788">
        <v>42163</v>
      </c>
    </row>
    <row r="1316" spans="1:15" x14ac:dyDescent="0.25">
      <c r="A1316" s="786" t="s">
        <v>3135</v>
      </c>
      <c r="B1316" s="787">
        <v>4</v>
      </c>
      <c r="C1316" s="787" t="s">
        <v>3136</v>
      </c>
      <c r="D1316" s="787">
        <v>6</v>
      </c>
      <c r="E1316" s="787">
        <v>242</v>
      </c>
      <c r="F1316" s="788">
        <v>38113</v>
      </c>
      <c r="G1316" s="788">
        <v>41641</v>
      </c>
      <c r="H1316" s="787">
        <v>1</v>
      </c>
      <c r="I1316" s="788">
        <v>41624</v>
      </c>
      <c r="J1316" s="788">
        <v>41627</v>
      </c>
      <c r="K1316" s="788">
        <v>41586</v>
      </c>
      <c r="L1316" s="787">
        <v>242</v>
      </c>
      <c r="M1316" s="787">
        <v>20</v>
      </c>
      <c r="N1316" s="787">
        <v>260.14999999999998</v>
      </c>
      <c r="O1316" s="788">
        <v>42163</v>
      </c>
    </row>
    <row r="1317" spans="1:15" x14ac:dyDescent="0.25">
      <c r="A1317" s="786" t="s">
        <v>3137</v>
      </c>
      <c r="B1317" s="787">
        <v>4</v>
      </c>
      <c r="C1317" s="787" t="s">
        <v>3138</v>
      </c>
      <c r="D1317" s="787">
        <v>4.1900000000000004</v>
      </c>
      <c r="E1317" s="787">
        <v>233.1</v>
      </c>
      <c r="F1317" s="788">
        <v>41135</v>
      </c>
      <c r="G1317" s="788">
        <v>41907</v>
      </c>
      <c r="H1317" s="787">
        <v>1</v>
      </c>
      <c r="I1317" s="788">
        <v>40896</v>
      </c>
      <c r="J1317" s="788">
        <v>41880</v>
      </c>
      <c r="L1317" s="787">
        <v>149.34</v>
      </c>
      <c r="M1317" s="787">
        <v>10</v>
      </c>
      <c r="N1317" s="787">
        <v>267.14999999999998</v>
      </c>
      <c r="O1317" s="788">
        <v>42163</v>
      </c>
    </row>
    <row r="1318" spans="1:15" x14ac:dyDescent="0.25">
      <c r="A1318" s="786" t="s">
        <v>3139</v>
      </c>
      <c r="B1318" s="787">
        <v>4</v>
      </c>
      <c r="C1318" s="787" t="s">
        <v>3140</v>
      </c>
      <c r="D1318" s="787">
        <v>3.97</v>
      </c>
      <c r="E1318" s="787">
        <v>302.36</v>
      </c>
      <c r="F1318" s="788">
        <v>41135</v>
      </c>
      <c r="G1318" s="788">
        <v>41907</v>
      </c>
      <c r="H1318" s="787">
        <v>1</v>
      </c>
      <c r="I1318" s="788">
        <v>40896</v>
      </c>
      <c r="J1318" s="788">
        <v>41880</v>
      </c>
      <c r="L1318" s="787">
        <v>140.74</v>
      </c>
      <c r="M1318" s="787">
        <v>10</v>
      </c>
      <c r="N1318" s="787">
        <v>324.86</v>
      </c>
      <c r="O1318" s="788">
        <v>42163</v>
      </c>
    </row>
    <row r="1319" spans="1:15" x14ac:dyDescent="0.25">
      <c r="A1319" s="786" t="s">
        <v>3141</v>
      </c>
      <c r="B1319" s="787">
        <v>4</v>
      </c>
      <c r="C1319" s="787" t="s">
        <v>3142</v>
      </c>
      <c r="D1319" s="787">
        <v>0</v>
      </c>
      <c r="E1319" s="787">
        <v>0</v>
      </c>
      <c r="G1319" s="788">
        <v>40206</v>
      </c>
      <c r="H1319" s="787">
        <v>1</v>
      </c>
      <c r="I1319" s="788">
        <v>40212</v>
      </c>
      <c r="J1319" s="788">
        <v>40206</v>
      </c>
      <c r="L1319" s="787">
        <v>152.02000000000001</v>
      </c>
      <c r="M1319" s="787">
        <v>10</v>
      </c>
      <c r="N1319" s="787">
        <v>265.99</v>
      </c>
      <c r="O1319" s="788">
        <v>42163</v>
      </c>
    </row>
    <row r="1320" spans="1:15" x14ac:dyDescent="0.25">
      <c r="A1320" s="786" t="s">
        <v>3143</v>
      </c>
      <c r="B1320" s="787">
        <v>4</v>
      </c>
      <c r="C1320" s="787" t="s">
        <v>3144</v>
      </c>
      <c r="D1320" s="787">
        <v>0</v>
      </c>
      <c r="E1320" s="787">
        <v>0</v>
      </c>
      <c r="G1320" s="788">
        <v>40206</v>
      </c>
      <c r="H1320" s="787">
        <v>1</v>
      </c>
      <c r="I1320" s="788">
        <v>40212</v>
      </c>
      <c r="J1320" s="788">
        <v>40206</v>
      </c>
      <c r="L1320" s="787">
        <v>143.41999999999999</v>
      </c>
      <c r="M1320" s="787">
        <v>10</v>
      </c>
      <c r="N1320" s="787">
        <v>263.47000000000003</v>
      </c>
      <c r="O1320" s="788">
        <v>42163</v>
      </c>
    </row>
    <row r="1321" spans="1:15" x14ac:dyDescent="0.25">
      <c r="A1321" s="786" t="s">
        <v>3145</v>
      </c>
      <c r="B1321" s="787">
        <v>4</v>
      </c>
      <c r="C1321" s="787" t="s">
        <v>3146</v>
      </c>
      <c r="D1321" s="787">
        <v>0</v>
      </c>
      <c r="E1321" s="787">
        <v>0</v>
      </c>
      <c r="H1321" s="787">
        <v>1</v>
      </c>
      <c r="L1321" s="787">
        <v>129.44999999999999</v>
      </c>
      <c r="M1321" s="787">
        <v>10</v>
      </c>
      <c r="N1321" s="787">
        <v>248.15</v>
      </c>
      <c r="O1321" s="788">
        <v>42146</v>
      </c>
    </row>
    <row r="1322" spans="1:15" x14ac:dyDescent="0.25">
      <c r="A1322" s="786" t="s">
        <v>3147</v>
      </c>
      <c r="B1322" s="787">
        <v>4</v>
      </c>
      <c r="C1322" s="787" t="s">
        <v>3148</v>
      </c>
      <c r="D1322" s="787">
        <v>0</v>
      </c>
      <c r="E1322" s="787">
        <v>0</v>
      </c>
      <c r="H1322" s="787">
        <v>1</v>
      </c>
      <c r="L1322" s="787">
        <v>121.23</v>
      </c>
      <c r="M1322" s="787">
        <v>10</v>
      </c>
      <c r="N1322" s="787">
        <v>241.66</v>
      </c>
      <c r="O1322" s="788">
        <v>42146</v>
      </c>
    </row>
    <row r="1323" spans="1:15" x14ac:dyDescent="0.25">
      <c r="A1323" s="786" t="s">
        <v>3149</v>
      </c>
      <c r="B1323" s="787">
        <v>4</v>
      </c>
      <c r="C1323" s="787" t="s">
        <v>3150</v>
      </c>
      <c r="D1323" s="787">
        <v>1.93</v>
      </c>
      <c r="E1323" s="787">
        <v>235.59</v>
      </c>
      <c r="F1323" s="788">
        <v>41135</v>
      </c>
      <c r="G1323" s="788">
        <v>41641</v>
      </c>
      <c r="H1323" s="787">
        <v>1</v>
      </c>
      <c r="I1323" s="788">
        <v>41607</v>
      </c>
      <c r="J1323" s="788">
        <v>41605</v>
      </c>
      <c r="K1323" s="788">
        <v>41586</v>
      </c>
      <c r="L1323" s="787">
        <v>232.48</v>
      </c>
      <c r="M1323" s="787">
        <v>20</v>
      </c>
      <c r="N1323" s="787">
        <v>249.92</v>
      </c>
      <c r="O1323" s="788">
        <v>42144</v>
      </c>
    </row>
    <row r="1324" spans="1:15" x14ac:dyDescent="0.25">
      <c r="A1324" s="786" t="s">
        <v>3151</v>
      </c>
      <c r="B1324" s="787">
        <v>4</v>
      </c>
      <c r="C1324" s="787" t="s">
        <v>3152</v>
      </c>
      <c r="D1324" s="787">
        <v>2.16</v>
      </c>
      <c r="E1324" s="787">
        <v>235.59</v>
      </c>
      <c r="F1324" s="788">
        <v>41135</v>
      </c>
      <c r="G1324" s="788">
        <v>41641</v>
      </c>
      <c r="H1324" s="787">
        <v>1</v>
      </c>
      <c r="I1324" s="788">
        <v>41607</v>
      </c>
      <c r="J1324" s="788">
        <v>41605</v>
      </c>
      <c r="K1324" s="788">
        <v>41586</v>
      </c>
      <c r="L1324" s="787">
        <v>232.48</v>
      </c>
      <c r="M1324" s="787">
        <v>20</v>
      </c>
      <c r="N1324" s="787">
        <v>249.92</v>
      </c>
      <c r="O1324" s="788">
        <v>42144</v>
      </c>
    </row>
    <row r="1325" spans="1:15" x14ac:dyDescent="0.25">
      <c r="A1325" s="786" t="s">
        <v>3153</v>
      </c>
      <c r="B1325" s="787">
        <v>4</v>
      </c>
      <c r="C1325" s="787" t="s">
        <v>3154</v>
      </c>
      <c r="D1325" s="787">
        <v>6.82</v>
      </c>
      <c r="E1325" s="787">
        <v>237.46</v>
      </c>
      <c r="F1325" s="788">
        <v>41135</v>
      </c>
      <c r="G1325" s="788">
        <v>41135</v>
      </c>
      <c r="H1325" s="787">
        <v>1</v>
      </c>
      <c r="I1325" s="788">
        <v>40876</v>
      </c>
      <c r="J1325" s="788">
        <v>40775</v>
      </c>
      <c r="L1325" s="787">
        <v>137.56</v>
      </c>
      <c r="M1325" s="787">
        <v>10</v>
      </c>
      <c r="N1325" s="787">
        <v>266.81</v>
      </c>
      <c r="O1325" s="788">
        <v>42144</v>
      </c>
    </row>
    <row r="1326" spans="1:15" x14ac:dyDescent="0.25">
      <c r="A1326" s="786" t="s">
        <v>3155</v>
      </c>
      <c r="B1326" s="787">
        <v>4</v>
      </c>
      <c r="C1326" s="787" t="s">
        <v>3156</v>
      </c>
      <c r="D1326" s="787">
        <v>7.24</v>
      </c>
      <c r="E1326" s="787">
        <v>227.24</v>
      </c>
      <c r="F1326" s="788">
        <v>41135</v>
      </c>
      <c r="G1326" s="788">
        <v>41135</v>
      </c>
      <c r="H1326" s="787">
        <v>1</v>
      </c>
      <c r="I1326" s="788">
        <v>40876</v>
      </c>
      <c r="J1326" s="788">
        <v>40771</v>
      </c>
      <c r="L1326" s="787">
        <v>129.34</v>
      </c>
      <c r="M1326" s="787">
        <v>10</v>
      </c>
      <c r="N1326" s="787">
        <v>299.08</v>
      </c>
      <c r="O1326" s="788">
        <v>42144</v>
      </c>
    </row>
    <row r="1327" spans="1:15" x14ac:dyDescent="0.25">
      <c r="A1327" s="786" t="s">
        <v>3157</v>
      </c>
      <c r="B1327" s="787">
        <v>4</v>
      </c>
      <c r="C1327" s="787" t="s">
        <v>3158</v>
      </c>
      <c r="D1327" s="787">
        <v>8.2899999999999991</v>
      </c>
      <c r="E1327" s="787">
        <v>373.74</v>
      </c>
      <c r="F1327" s="788">
        <v>41135</v>
      </c>
      <c r="G1327" s="788">
        <v>41135</v>
      </c>
      <c r="H1327" s="787">
        <v>1</v>
      </c>
      <c r="I1327" s="788">
        <v>40868</v>
      </c>
      <c r="J1327" s="788">
        <v>40857</v>
      </c>
      <c r="L1327" s="787">
        <v>139.56</v>
      </c>
      <c r="M1327" s="787">
        <v>10</v>
      </c>
      <c r="N1327" s="787">
        <v>246.97</v>
      </c>
      <c r="O1327" s="788">
        <v>42144</v>
      </c>
    </row>
    <row r="1328" spans="1:15" x14ac:dyDescent="0.25">
      <c r="A1328" s="786" t="s">
        <v>3159</v>
      </c>
      <c r="B1328" s="787">
        <v>4</v>
      </c>
      <c r="C1328" s="787" t="s">
        <v>3160</v>
      </c>
      <c r="D1328" s="787">
        <v>8.74</v>
      </c>
      <c r="E1328" s="787">
        <v>258.74</v>
      </c>
      <c r="F1328" s="788">
        <v>41135</v>
      </c>
      <c r="G1328" s="788">
        <v>41135</v>
      </c>
      <c r="H1328" s="787">
        <v>1</v>
      </c>
      <c r="I1328" s="788">
        <v>40868</v>
      </c>
      <c r="J1328" s="788">
        <v>40857</v>
      </c>
      <c r="L1328" s="787">
        <v>131.34</v>
      </c>
      <c r="M1328" s="787">
        <v>10</v>
      </c>
      <c r="N1328" s="787">
        <v>240.48</v>
      </c>
      <c r="O1328" s="788">
        <v>42144</v>
      </c>
    </row>
    <row r="1329" spans="1:15" x14ac:dyDescent="0.25">
      <c r="A1329" s="786" t="s">
        <v>3161</v>
      </c>
      <c r="B1329" s="787">
        <v>4</v>
      </c>
      <c r="C1329" s="787" t="s">
        <v>3162</v>
      </c>
      <c r="D1329" s="787">
        <v>0</v>
      </c>
      <c r="E1329" s="787">
        <v>0</v>
      </c>
      <c r="H1329" s="787">
        <v>1</v>
      </c>
      <c r="I1329" s="788">
        <v>39002</v>
      </c>
      <c r="J1329" s="788">
        <v>39101</v>
      </c>
      <c r="L1329" s="787">
        <v>109.76</v>
      </c>
      <c r="M1329" s="787">
        <v>10</v>
      </c>
      <c r="N1329" s="787">
        <v>214.53</v>
      </c>
      <c r="O1329" s="788">
        <v>42087</v>
      </c>
    </row>
    <row r="1330" spans="1:15" x14ac:dyDescent="0.25">
      <c r="A1330" s="786" t="s">
        <v>3163</v>
      </c>
      <c r="B1330" s="787">
        <v>4</v>
      </c>
      <c r="C1330" s="787" t="s">
        <v>3164</v>
      </c>
      <c r="D1330" s="787">
        <v>0</v>
      </c>
      <c r="E1330" s="787">
        <v>0</v>
      </c>
      <c r="H1330" s="787">
        <v>1</v>
      </c>
      <c r="I1330" s="788">
        <v>39002</v>
      </c>
      <c r="J1330" s="788">
        <v>39101</v>
      </c>
      <c r="L1330" s="787">
        <v>114.88</v>
      </c>
      <c r="M1330" s="787">
        <v>10</v>
      </c>
      <c r="N1330" s="787">
        <v>171.94</v>
      </c>
      <c r="O1330" s="788">
        <v>42127</v>
      </c>
    </row>
    <row r="1331" spans="1:15" x14ac:dyDescent="0.25">
      <c r="A1331" s="786" t="s">
        <v>3165</v>
      </c>
      <c r="B1331" s="787">
        <v>4</v>
      </c>
      <c r="C1331" s="787" t="s">
        <v>3166</v>
      </c>
      <c r="D1331" s="787">
        <v>0.71</v>
      </c>
      <c r="E1331" s="787">
        <v>2.04</v>
      </c>
      <c r="F1331" s="788">
        <v>39456</v>
      </c>
      <c r="G1331" s="788">
        <v>41565</v>
      </c>
      <c r="H1331" s="787">
        <v>1</v>
      </c>
      <c r="I1331" s="788">
        <v>41043</v>
      </c>
      <c r="J1331" s="788">
        <v>40105</v>
      </c>
      <c r="L1331" s="787">
        <v>2.64</v>
      </c>
      <c r="M1331" s="787">
        <v>10</v>
      </c>
      <c r="N1331" s="787">
        <v>5.13</v>
      </c>
      <c r="O1331" s="788">
        <v>42163</v>
      </c>
    </row>
    <row r="1332" spans="1:15" x14ac:dyDescent="0.25">
      <c r="A1332" s="786" t="s">
        <v>3167</v>
      </c>
      <c r="B1332" s="787">
        <v>4</v>
      </c>
      <c r="C1332" s="787" t="s">
        <v>3168</v>
      </c>
      <c r="D1332" s="787">
        <v>0.71</v>
      </c>
      <c r="E1332" s="787">
        <v>3.77</v>
      </c>
      <c r="F1332" s="788">
        <v>39456</v>
      </c>
      <c r="G1332" s="788">
        <v>41565</v>
      </c>
      <c r="H1332" s="787">
        <v>1</v>
      </c>
      <c r="I1332" s="788">
        <v>41264</v>
      </c>
      <c r="J1332" s="788">
        <v>40105</v>
      </c>
      <c r="L1332" s="787">
        <v>2.1</v>
      </c>
      <c r="M1332" s="787">
        <v>10</v>
      </c>
      <c r="N1332" s="787">
        <v>5.13</v>
      </c>
      <c r="O1332" s="788">
        <v>42163</v>
      </c>
    </row>
    <row r="1333" spans="1:15" x14ac:dyDescent="0.25">
      <c r="A1333" s="786" t="s">
        <v>3169</v>
      </c>
      <c r="B1333" s="787">
        <v>4</v>
      </c>
      <c r="C1333" s="787" t="s">
        <v>3170</v>
      </c>
      <c r="D1333" s="787">
        <v>0.72</v>
      </c>
      <c r="E1333" s="787">
        <v>2.6</v>
      </c>
      <c r="F1333" s="788">
        <v>39456</v>
      </c>
      <c r="G1333" s="788">
        <v>42013</v>
      </c>
      <c r="H1333" s="787">
        <v>1</v>
      </c>
      <c r="I1333" s="788">
        <v>42163</v>
      </c>
      <c r="J1333" s="788">
        <v>41925</v>
      </c>
      <c r="L1333" s="787">
        <v>2.1</v>
      </c>
      <c r="M1333" s="787">
        <v>10</v>
      </c>
      <c r="N1333" s="787">
        <v>2.89</v>
      </c>
      <c r="O1333" s="788">
        <v>42163</v>
      </c>
    </row>
    <row r="1334" spans="1:15" x14ac:dyDescent="0.25">
      <c r="A1334" s="786" t="s">
        <v>3171</v>
      </c>
      <c r="B1334" s="787">
        <v>4</v>
      </c>
      <c r="C1334" s="787" t="s">
        <v>3172</v>
      </c>
      <c r="D1334" s="787">
        <v>0.72</v>
      </c>
      <c r="E1334" s="787">
        <v>1.65</v>
      </c>
      <c r="F1334" s="788">
        <v>39456</v>
      </c>
      <c r="G1334" s="788">
        <v>41947</v>
      </c>
      <c r="H1334" s="787">
        <v>1</v>
      </c>
      <c r="I1334" s="788">
        <v>42163</v>
      </c>
      <c r="J1334" s="788">
        <v>41925</v>
      </c>
      <c r="L1334" s="787">
        <v>2.1</v>
      </c>
      <c r="M1334" s="787">
        <v>10</v>
      </c>
      <c r="N1334" s="787">
        <v>2.89</v>
      </c>
      <c r="O1334" s="788">
        <v>42163</v>
      </c>
    </row>
    <row r="1335" spans="1:15" x14ac:dyDescent="0.25">
      <c r="A1335" s="786" t="s">
        <v>3173</v>
      </c>
      <c r="B1335" s="787">
        <v>4</v>
      </c>
      <c r="C1335" s="787" t="s">
        <v>3174</v>
      </c>
      <c r="D1335" s="787">
        <v>0.72</v>
      </c>
      <c r="E1335" s="787">
        <v>0.98</v>
      </c>
      <c r="F1335" s="788">
        <v>39456</v>
      </c>
      <c r="G1335" s="788">
        <v>42013</v>
      </c>
      <c r="H1335" s="787">
        <v>1</v>
      </c>
      <c r="I1335" s="788">
        <v>42163</v>
      </c>
      <c r="J1335" s="788">
        <v>41556</v>
      </c>
      <c r="L1335" s="787">
        <v>2.1</v>
      </c>
      <c r="M1335" s="787">
        <v>10</v>
      </c>
      <c r="N1335" s="787">
        <v>2.89</v>
      </c>
      <c r="O1335" s="788">
        <v>42163</v>
      </c>
    </row>
    <row r="1336" spans="1:15" x14ac:dyDescent="0.25">
      <c r="A1336" s="786" t="s">
        <v>3175</v>
      </c>
      <c r="B1336" s="787">
        <v>4</v>
      </c>
      <c r="C1336" s="787" t="s">
        <v>3176</v>
      </c>
      <c r="D1336" s="787">
        <v>0.72</v>
      </c>
      <c r="E1336" s="787">
        <v>0.87</v>
      </c>
      <c r="F1336" s="788">
        <v>39456</v>
      </c>
      <c r="G1336" s="788">
        <v>42013</v>
      </c>
      <c r="H1336" s="787">
        <v>1</v>
      </c>
      <c r="I1336" s="788">
        <v>42151</v>
      </c>
      <c r="J1336" s="788">
        <v>41556</v>
      </c>
      <c r="L1336" s="787">
        <v>2.1</v>
      </c>
      <c r="M1336" s="787">
        <v>10</v>
      </c>
      <c r="N1336" s="787">
        <v>2.89</v>
      </c>
      <c r="O1336" s="788">
        <v>42163</v>
      </c>
    </row>
    <row r="1337" spans="1:15" x14ac:dyDescent="0.25">
      <c r="A1337" s="786" t="s">
        <v>3177</v>
      </c>
      <c r="B1337" s="787">
        <v>4</v>
      </c>
      <c r="C1337" s="787" t="s">
        <v>3178</v>
      </c>
      <c r="D1337" s="787">
        <v>0</v>
      </c>
      <c r="E1337" s="787">
        <v>0</v>
      </c>
      <c r="H1337" s="787">
        <v>1</v>
      </c>
      <c r="I1337" s="788">
        <v>39002</v>
      </c>
      <c r="J1337" s="788">
        <v>39101</v>
      </c>
      <c r="K1337" s="788">
        <v>41087</v>
      </c>
      <c r="L1337" s="787">
        <v>0.01</v>
      </c>
      <c r="M1337" s="787">
        <v>10</v>
      </c>
      <c r="N1337" s="787">
        <v>0</v>
      </c>
      <c r="O1337" s="788">
        <v>41955</v>
      </c>
    </row>
    <row r="1338" spans="1:15" x14ac:dyDescent="0.25">
      <c r="A1338" s="786" t="s">
        <v>3179</v>
      </c>
      <c r="B1338" s="787">
        <v>4</v>
      </c>
      <c r="C1338" s="787" t="s">
        <v>3180</v>
      </c>
      <c r="D1338" s="787">
        <v>0</v>
      </c>
      <c r="E1338" s="787">
        <v>0</v>
      </c>
      <c r="H1338" s="787">
        <v>1</v>
      </c>
      <c r="I1338" s="788">
        <v>39002</v>
      </c>
      <c r="J1338" s="788">
        <v>39101</v>
      </c>
      <c r="K1338" s="788">
        <v>41087</v>
      </c>
      <c r="L1338" s="787">
        <v>0.01</v>
      </c>
      <c r="M1338" s="787">
        <v>10</v>
      </c>
      <c r="N1338" s="787">
        <v>0</v>
      </c>
      <c r="O1338" s="788">
        <v>41083</v>
      </c>
    </row>
    <row r="1339" spans="1:15" x14ac:dyDescent="0.25">
      <c r="A1339" s="786" t="s">
        <v>3181</v>
      </c>
      <c r="B1339" s="787">
        <v>4</v>
      </c>
      <c r="C1339" s="787" t="s">
        <v>3182</v>
      </c>
      <c r="D1339" s="787">
        <v>0</v>
      </c>
      <c r="E1339" s="787">
        <v>0</v>
      </c>
      <c r="H1339" s="787">
        <v>1</v>
      </c>
      <c r="I1339" s="788">
        <v>39982</v>
      </c>
      <c r="J1339" s="788">
        <v>39101</v>
      </c>
      <c r="K1339" s="788">
        <v>41087</v>
      </c>
      <c r="L1339" s="787">
        <v>0.01</v>
      </c>
      <c r="M1339" s="787">
        <v>10</v>
      </c>
      <c r="N1339" s="787">
        <v>0</v>
      </c>
      <c r="O1339" s="788">
        <v>41955</v>
      </c>
    </row>
    <row r="1340" spans="1:15" x14ac:dyDescent="0.25">
      <c r="A1340" s="786" t="s">
        <v>3183</v>
      </c>
      <c r="B1340" s="787">
        <v>4</v>
      </c>
      <c r="C1340" s="787" t="s">
        <v>3184</v>
      </c>
      <c r="D1340" s="787">
        <v>0</v>
      </c>
      <c r="E1340" s="787">
        <v>0</v>
      </c>
      <c r="H1340" s="787">
        <v>1</v>
      </c>
      <c r="L1340" s="787">
        <v>127.63</v>
      </c>
      <c r="M1340" s="787">
        <v>10</v>
      </c>
      <c r="N1340" s="787">
        <v>265.07</v>
      </c>
      <c r="O1340" s="788">
        <v>42144</v>
      </c>
    </row>
    <row r="1341" spans="1:15" x14ac:dyDescent="0.25">
      <c r="A1341" s="786" t="s">
        <v>3185</v>
      </c>
      <c r="B1341" s="787">
        <v>4</v>
      </c>
      <c r="C1341" s="787" t="s">
        <v>3186</v>
      </c>
      <c r="D1341" s="787">
        <v>0</v>
      </c>
      <c r="E1341" s="787">
        <v>0</v>
      </c>
      <c r="H1341" s="787">
        <v>1</v>
      </c>
      <c r="L1341" s="787">
        <v>127.63</v>
      </c>
      <c r="M1341" s="787">
        <v>10</v>
      </c>
      <c r="N1341" s="787">
        <v>246.92</v>
      </c>
      <c r="O1341" s="788">
        <v>42144</v>
      </c>
    </row>
    <row r="1342" spans="1:15" x14ac:dyDescent="0.25">
      <c r="A1342" s="786" t="s">
        <v>3187</v>
      </c>
      <c r="B1342" s="787">
        <v>4</v>
      </c>
      <c r="C1342" s="787" t="s">
        <v>3188</v>
      </c>
      <c r="D1342" s="787">
        <v>6.73</v>
      </c>
      <c r="E1342" s="787">
        <v>306.73</v>
      </c>
      <c r="F1342" s="788">
        <v>41135</v>
      </c>
      <c r="G1342" s="788">
        <v>41135</v>
      </c>
      <c r="H1342" s="787">
        <v>1</v>
      </c>
      <c r="I1342" s="788">
        <v>40773</v>
      </c>
      <c r="J1342" s="788">
        <v>40763</v>
      </c>
      <c r="L1342" s="787">
        <v>131.71</v>
      </c>
      <c r="M1342" s="787">
        <v>10</v>
      </c>
      <c r="N1342" s="787">
        <v>282.97000000000003</v>
      </c>
      <c r="O1342" s="788">
        <v>42144</v>
      </c>
    </row>
    <row r="1343" spans="1:15" x14ac:dyDescent="0.25">
      <c r="A1343" s="786" t="s">
        <v>3189</v>
      </c>
      <c r="B1343" s="787">
        <v>4</v>
      </c>
      <c r="C1343" s="787" t="s">
        <v>3190</v>
      </c>
      <c r="D1343" s="787">
        <v>9.86</v>
      </c>
      <c r="E1343" s="787">
        <v>325.27</v>
      </c>
      <c r="F1343" s="788">
        <v>41135</v>
      </c>
      <c r="G1343" s="788">
        <v>41135</v>
      </c>
      <c r="H1343" s="787">
        <v>1</v>
      </c>
      <c r="I1343" s="788">
        <v>40773</v>
      </c>
      <c r="J1343" s="788">
        <v>40763</v>
      </c>
      <c r="L1343" s="787">
        <v>131.71</v>
      </c>
      <c r="M1343" s="787">
        <v>10</v>
      </c>
      <c r="N1343" s="787">
        <v>283.16000000000003</v>
      </c>
      <c r="O1343" s="788">
        <v>42144</v>
      </c>
    </row>
    <row r="1344" spans="1:15" x14ac:dyDescent="0.25">
      <c r="A1344" s="786" t="s">
        <v>3191</v>
      </c>
      <c r="B1344" s="787">
        <v>4</v>
      </c>
      <c r="C1344" s="787" t="s">
        <v>3192</v>
      </c>
      <c r="D1344" s="787">
        <v>2.13</v>
      </c>
      <c r="E1344" s="787">
        <v>242.13</v>
      </c>
      <c r="F1344" s="788">
        <v>39975</v>
      </c>
      <c r="G1344" s="788">
        <v>41565</v>
      </c>
      <c r="H1344" s="787">
        <v>1</v>
      </c>
      <c r="I1344" s="788">
        <v>38519</v>
      </c>
      <c r="J1344" s="788">
        <v>38519</v>
      </c>
      <c r="L1344" s="787">
        <v>140.41999999999999</v>
      </c>
      <c r="M1344" s="787">
        <v>10</v>
      </c>
      <c r="N1344" s="787">
        <v>247.47</v>
      </c>
      <c r="O1344" s="788">
        <v>42144</v>
      </c>
    </row>
    <row r="1345" spans="1:15" x14ac:dyDescent="0.25">
      <c r="A1345" s="786" t="s">
        <v>3193</v>
      </c>
      <c r="B1345" s="787">
        <v>4</v>
      </c>
      <c r="C1345" s="787" t="s">
        <v>3194</v>
      </c>
      <c r="D1345" s="787">
        <v>0.77</v>
      </c>
      <c r="E1345" s="787">
        <v>210.77</v>
      </c>
      <c r="F1345" s="788">
        <v>39975</v>
      </c>
      <c r="G1345" s="788">
        <v>41565</v>
      </c>
      <c r="H1345" s="787">
        <v>1</v>
      </c>
      <c r="I1345" s="788">
        <v>38519</v>
      </c>
      <c r="J1345" s="788">
        <v>38519</v>
      </c>
      <c r="L1345" s="787">
        <v>121.01</v>
      </c>
      <c r="M1345" s="787">
        <v>10</v>
      </c>
      <c r="N1345" s="787">
        <v>223.65</v>
      </c>
      <c r="O1345" s="788">
        <v>42144</v>
      </c>
    </row>
    <row r="1346" spans="1:15" x14ac:dyDescent="0.25">
      <c r="A1346" s="786" t="s">
        <v>3195</v>
      </c>
      <c r="B1346" s="787">
        <v>4</v>
      </c>
      <c r="C1346" s="787" t="s">
        <v>3196</v>
      </c>
      <c r="D1346" s="787">
        <v>0.14000000000000001</v>
      </c>
      <c r="E1346" s="787">
        <v>2.35</v>
      </c>
      <c r="F1346" s="788">
        <v>39975</v>
      </c>
      <c r="G1346" s="788">
        <v>41565</v>
      </c>
      <c r="H1346" s="787">
        <v>1</v>
      </c>
      <c r="I1346" s="788">
        <v>42158</v>
      </c>
      <c r="J1346" s="788">
        <v>40588</v>
      </c>
      <c r="L1346" s="787">
        <v>2.4700000000000002</v>
      </c>
      <c r="M1346" s="787">
        <v>10</v>
      </c>
      <c r="N1346" s="787">
        <v>2.4</v>
      </c>
      <c r="O1346" s="788">
        <v>42163</v>
      </c>
    </row>
    <row r="1347" spans="1:15" x14ac:dyDescent="0.25">
      <c r="A1347" s="786" t="s">
        <v>3197</v>
      </c>
      <c r="B1347" s="787">
        <v>4</v>
      </c>
      <c r="C1347" s="787" t="s">
        <v>3198</v>
      </c>
      <c r="D1347" s="787">
        <v>0.19</v>
      </c>
      <c r="E1347" s="787">
        <v>2.83</v>
      </c>
      <c r="F1347" s="788">
        <v>39975</v>
      </c>
      <c r="G1347" s="788">
        <v>40718</v>
      </c>
      <c r="H1347" s="787">
        <v>1</v>
      </c>
      <c r="I1347" s="788">
        <v>42158</v>
      </c>
      <c r="J1347" s="788">
        <v>40263</v>
      </c>
      <c r="L1347" s="787">
        <v>3.4</v>
      </c>
      <c r="M1347" s="787">
        <v>10</v>
      </c>
      <c r="N1347" s="787">
        <v>2.99</v>
      </c>
      <c r="O1347" s="788">
        <v>42163</v>
      </c>
    </row>
    <row r="1348" spans="1:15" x14ac:dyDescent="0.25">
      <c r="A1348" s="786" t="s">
        <v>3199</v>
      </c>
      <c r="B1348" s="787">
        <v>4</v>
      </c>
      <c r="C1348" s="787" t="s">
        <v>3196</v>
      </c>
      <c r="D1348" s="787">
        <v>1.59</v>
      </c>
      <c r="E1348" s="787">
        <v>1.59</v>
      </c>
      <c r="F1348" s="788">
        <v>39101</v>
      </c>
      <c r="G1348" s="788">
        <v>41565</v>
      </c>
      <c r="H1348" s="787">
        <v>1</v>
      </c>
      <c r="I1348" s="788">
        <v>40602</v>
      </c>
      <c r="J1348" s="788">
        <v>39836</v>
      </c>
      <c r="L1348" s="787">
        <v>1.81</v>
      </c>
      <c r="M1348" s="787">
        <v>10</v>
      </c>
      <c r="N1348" s="787">
        <v>1.81</v>
      </c>
      <c r="O1348" s="788">
        <v>41955</v>
      </c>
    </row>
    <row r="1349" spans="1:15" x14ac:dyDescent="0.25">
      <c r="A1349" s="786" t="s">
        <v>3200</v>
      </c>
      <c r="B1349" s="787">
        <v>4</v>
      </c>
      <c r="C1349" s="787" t="s">
        <v>3198</v>
      </c>
      <c r="D1349" s="787">
        <v>2.1800000000000002</v>
      </c>
      <c r="E1349" s="787">
        <v>2.1800000000000002</v>
      </c>
      <c r="F1349" s="788">
        <v>39101</v>
      </c>
      <c r="G1349" s="788">
        <v>41565</v>
      </c>
      <c r="H1349" s="787">
        <v>1</v>
      </c>
      <c r="I1349" s="788">
        <v>40602</v>
      </c>
      <c r="J1349" s="788">
        <v>40263</v>
      </c>
      <c r="L1349" s="787">
        <v>2.4700000000000002</v>
      </c>
      <c r="M1349" s="787">
        <v>10</v>
      </c>
      <c r="N1349" s="787">
        <v>2.2200000000000002</v>
      </c>
      <c r="O1349" s="788">
        <v>41955</v>
      </c>
    </row>
    <row r="1350" spans="1:15" x14ac:dyDescent="0.25">
      <c r="A1350" s="786" t="s">
        <v>3201</v>
      </c>
      <c r="B1350" s="787">
        <v>4</v>
      </c>
      <c r="C1350" s="787" t="s">
        <v>3202</v>
      </c>
      <c r="D1350" s="787">
        <v>1.64</v>
      </c>
      <c r="E1350" s="787">
        <v>1.69</v>
      </c>
      <c r="F1350" s="788">
        <v>39456</v>
      </c>
      <c r="G1350" s="788">
        <v>42054</v>
      </c>
      <c r="H1350" s="787">
        <v>1</v>
      </c>
      <c r="I1350" s="788">
        <v>42160</v>
      </c>
      <c r="J1350" s="788">
        <v>42024</v>
      </c>
      <c r="L1350" s="787">
        <v>2.76</v>
      </c>
      <c r="M1350" s="787">
        <v>10</v>
      </c>
      <c r="N1350" s="787">
        <v>2.87</v>
      </c>
      <c r="O1350" s="788">
        <v>42163</v>
      </c>
    </row>
    <row r="1351" spans="1:15" x14ac:dyDescent="0.25">
      <c r="A1351" s="786" t="s">
        <v>3203</v>
      </c>
      <c r="B1351" s="787">
        <v>4</v>
      </c>
      <c r="C1351" s="787" t="s">
        <v>3204</v>
      </c>
      <c r="D1351" s="787">
        <v>2.35</v>
      </c>
      <c r="E1351" s="787">
        <v>3.08</v>
      </c>
      <c r="F1351" s="788">
        <v>41947</v>
      </c>
      <c r="G1351" s="788">
        <v>42054</v>
      </c>
      <c r="H1351" s="787">
        <v>1</v>
      </c>
      <c r="I1351" s="788">
        <v>42160</v>
      </c>
      <c r="J1351" s="788">
        <v>42024</v>
      </c>
      <c r="L1351" s="787">
        <v>3.81</v>
      </c>
      <c r="M1351" s="787">
        <v>10</v>
      </c>
      <c r="N1351" s="787">
        <v>3.53</v>
      </c>
      <c r="O1351" s="788">
        <v>42163</v>
      </c>
    </row>
    <row r="1352" spans="1:15" x14ac:dyDescent="0.25">
      <c r="A1352" s="786" t="s">
        <v>3205</v>
      </c>
      <c r="B1352" s="787">
        <v>4</v>
      </c>
      <c r="C1352" s="787" t="s">
        <v>3202</v>
      </c>
      <c r="D1352" s="787">
        <v>1.74</v>
      </c>
      <c r="E1352" s="787">
        <v>2.44</v>
      </c>
      <c r="F1352" s="788">
        <v>39101</v>
      </c>
      <c r="G1352" s="788">
        <v>42013</v>
      </c>
      <c r="H1352" s="787">
        <v>1</v>
      </c>
      <c r="I1352" s="788">
        <v>42163</v>
      </c>
      <c r="J1352" s="788">
        <v>41507</v>
      </c>
      <c r="L1352" s="787">
        <v>2.0099999999999998</v>
      </c>
      <c r="M1352" s="787">
        <v>10</v>
      </c>
      <c r="N1352" s="787">
        <v>1.98</v>
      </c>
      <c r="O1352" s="788">
        <v>41955</v>
      </c>
    </row>
    <row r="1353" spans="1:15" x14ac:dyDescent="0.25">
      <c r="A1353" s="786" t="s">
        <v>3206</v>
      </c>
      <c r="B1353" s="787">
        <v>4</v>
      </c>
      <c r="C1353" s="787" t="s">
        <v>3204</v>
      </c>
      <c r="D1353" s="787">
        <v>1.89</v>
      </c>
      <c r="E1353" s="787">
        <v>3.5</v>
      </c>
      <c r="F1353" s="788">
        <v>39456</v>
      </c>
      <c r="G1353" s="788">
        <v>41943</v>
      </c>
      <c r="H1353" s="787">
        <v>1</v>
      </c>
      <c r="I1353" s="788">
        <v>42163</v>
      </c>
      <c r="J1353" s="788">
        <v>41507</v>
      </c>
      <c r="L1353" s="787">
        <v>2.75</v>
      </c>
      <c r="M1353" s="787">
        <v>10</v>
      </c>
      <c r="N1353" s="787">
        <v>2.4500000000000002</v>
      </c>
      <c r="O1353" s="788">
        <v>41955</v>
      </c>
    </row>
    <row r="1354" spans="1:15" x14ac:dyDescent="0.25">
      <c r="A1354" s="786" t="s">
        <v>3207</v>
      </c>
      <c r="B1354" s="787">
        <v>4</v>
      </c>
      <c r="C1354" s="787" t="s">
        <v>3208</v>
      </c>
      <c r="D1354" s="787">
        <v>0</v>
      </c>
      <c r="E1354" s="787">
        <v>0</v>
      </c>
      <c r="G1354" s="788">
        <v>38364</v>
      </c>
      <c r="H1354" s="787">
        <v>6</v>
      </c>
      <c r="I1354" s="788">
        <v>40633</v>
      </c>
      <c r="J1354" s="788">
        <v>38736</v>
      </c>
      <c r="L1354" s="787">
        <v>2.72</v>
      </c>
      <c r="M1354" s="787">
        <v>10</v>
      </c>
      <c r="N1354" s="787">
        <v>5.0999999999999996</v>
      </c>
      <c r="O1354" s="788">
        <v>41808</v>
      </c>
    </row>
    <row r="1355" spans="1:15" x14ac:dyDescent="0.25">
      <c r="A1355" s="786" t="s">
        <v>3209</v>
      </c>
      <c r="B1355" s="787">
        <v>4</v>
      </c>
      <c r="C1355" s="787" t="s">
        <v>3210</v>
      </c>
      <c r="D1355" s="787">
        <v>0</v>
      </c>
      <c r="E1355" s="787">
        <v>0</v>
      </c>
      <c r="H1355" s="787">
        <v>6</v>
      </c>
      <c r="I1355" s="788">
        <v>40633</v>
      </c>
      <c r="L1355" s="787">
        <v>1.27</v>
      </c>
      <c r="M1355" s="787">
        <v>10</v>
      </c>
      <c r="N1355" s="787">
        <v>0</v>
      </c>
      <c r="O1355" s="788">
        <v>41808</v>
      </c>
    </row>
    <row r="1356" spans="1:15" x14ac:dyDescent="0.25">
      <c r="A1356" s="786" t="s">
        <v>3211</v>
      </c>
      <c r="B1356" s="787">
        <v>4</v>
      </c>
      <c r="C1356" s="787" t="s">
        <v>3212</v>
      </c>
      <c r="D1356" s="787">
        <v>0</v>
      </c>
      <c r="E1356" s="787">
        <v>0</v>
      </c>
      <c r="H1356" s="787">
        <v>1</v>
      </c>
      <c r="I1356" s="788">
        <v>40633</v>
      </c>
      <c r="L1356" s="787">
        <v>2</v>
      </c>
      <c r="M1356" s="787">
        <v>20</v>
      </c>
      <c r="N1356" s="787">
        <v>2.15</v>
      </c>
      <c r="O1356" s="788">
        <v>42144</v>
      </c>
    </row>
    <row r="1357" spans="1:15" x14ac:dyDescent="0.25">
      <c r="A1357" s="786" t="s">
        <v>3213</v>
      </c>
      <c r="B1357" s="787">
        <v>4</v>
      </c>
      <c r="C1357" s="787" t="s">
        <v>3214</v>
      </c>
      <c r="D1357" s="787">
        <v>0</v>
      </c>
      <c r="E1357" s="787">
        <v>0</v>
      </c>
      <c r="G1357" s="788">
        <v>38364</v>
      </c>
      <c r="H1357" s="787">
        <v>1</v>
      </c>
      <c r="I1357" s="788">
        <v>39070</v>
      </c>
      <c r="J1357" s="788">
        <v>39101</v>
      </c>
      <c r="L1357" s="787">
        <v>1.37</v>
      </c>
      <c r="M1357" s="787">
        <v>10</v>
      </c>
      <c r="N1357" s="787">
        <v>2.34</v>
      </c>
      <c r="O1357" s="788">
        <v>42144</v>
      </c>
    </row>
    <row r="1358" spans="1:15" x14ac:dyDescent="0.25">
      <c r="A1358" s="786" t="s">
        <v>3215</v>
      </c>
      <c r="B1358" s="787">
        <v>4</v>
      </c>
      <c r="C1358" s="787" t="s">
        <v>3216</v>
      </c>
      <c r="D1358" s="787">
        <v>0</v>
      </c>
      <c r="E1358" s="787">
        <v>0</v>
      </c>
      <c r="G1358" s="788">
        <v>38736</v>
      </c>
      <c r="H1358" s="787">
        <v>1</v>
      </c>
      <c r="I1358" s="788">
        <v>39134</v>
      </c>
      <c r="J1358" s="788">
        <v>38736</v>
      </c>
      <c r="L1358" s="787">
        <v>3.06</v>
      </c>
      <c r="M1358" s="787">
        <v>10</v>
      </c>
      <c r="N1358" s="787">
        <v>5.73</v>
      </c>
      <c r="O1358" s="788">
        <v>41955</v>
      </c>
    </row>
    <row r="1359" spans="1:15" x14ac:dyDescent="0.25">
      <c r="A1359" s="786" t="s">
        <v>3217</v>
      </c>
      <c r="B1359" s="787">
        <v>4</v>
      </c>
      <c r="C1359" s="787" t="s">
        <v>3216</v>
      </c>
      <c r="D1359" s="787">
        <v>0</v>
      </c>
      <c r="E1359" s="787">
        <v>0</v>
      </c>
      <c r="G1359" s="788">
        <v>38736</v>
      </c>
      <c r="H1359" s="787">
        <v>1</v>
      </c>
      <c r="I1359" s="788">
        <v>39134</v>
      </c>
      <c r="J1359" s="788">
        <v>38736</v>
      </c>
      <c r="L1359" s="787">
        <v>3.06</v>
      </c>
      <c r="M1359" s="787">
        <v>10</v>
      </c>
      <c r="N1359" s="787">
        <v>5.73</v>
      </c>
      <c r="O1359" s="788">
        <v>41955</v>
      </c>
    </row>
    <row r="1360" spans="1:15" x14ac:dyDescent="0.25">
      <c r="A1360" s="786" t="s">
        <v>3218</v>
      </c>
      <c r="B1360" s="787">
        <v>4</v>
      </c>
      <c r="C1360" s="787" t="s">
        <v>3219</v>
      </c>
      <c r="D1360" s="787">
        <v>0</v>
      </c>
      <c r="E1360" s="787">
        <v>0</v>
      </c>
      <c r="H1360" s="787">
        <v>1</v>
      </c>
      <c r="L1360" s="787">
        <v>0</v>
      </c>
      <c r="M1360" s="787">
        <v>20</v>
      </c>
      <c r="N1360" s="787">
        <v>0</v>
      </c>
      <c r="O1360" s="788">
        <v>40824</v>
      </c>
    </row>
    <row r="1361" spans="1:15" x14ac:dyDescent="0.25">
      <c r="A1361" s="786" t="s">
        <v>3220</v>
      </c>
      <c r="B1361" s="787">
        <v>4</v>
      </c>
      <c r="C1361" s="787" t="s">
        <v>3221</v>
      </c>
      <c r="D1361" s="787">
        <v>0</v>
      </c>
      <c r="E1361" s="787">
        <v>0</v>
      </c>
      <c r="G1361" s="788">
        <v>38736</v>
      </c>
      <c r="H1361" s="787">
        <v>1</v>
      </c>
      <c r="I1361" s="788">
        <v>39134</v>
      </c>
      <c r="J1361" s="788">
        <v>38736</v>
      </c>
      <c r="L1361" s="787">
        <v>1.39</v>
      </c>
      <c r="M1361" s="787">
        <v>10</v>
      </c>
      <c r="N1361" s="787">
        <v>2.36</v>
      </c>
      <c r="O1361" s="788">
        <v>41955</v>
      </c>
    </row>
    <row r="1362" spans="1:15" x14ac:dyDescent="0.25">
      <c r="A1362" s="786" t="s">
        <v>3222</v>
      </c>
      <c r="B1362" s="787">
        <v>4</v>
      </c>
      <c r="C1362" s="787" t="s">
        <v>3223</v>
      </c>
      <c r="D1362" s="787">
        <v>5</v>
      </c>
      <c r="E1362" s="787">
        <v>42.11</v>
      </c>
      <c r="F1362" s="788">
        <v>39456</v>
      </c>
      <c r="G1362" s="788">
        <v>41775</v>
      </c>
      <c r="H1362" s="787">
        <v>1</v>
      </c>
      <c r="I1362" s="788">
        <v>41677</v>
      </c>
      <c r="J1362" s="788">
        <v>41655</v>
      </c>
      <c r="L1362" s="787">
        <v>31.5</v>
      </c>
      <c r="M1362" s="787">
        <v>10</v>
      </c>
      <c r="N1362" s="787">
        <v>35.75</v>
      </c>
      <c r="O1362" s="788">
        <v>42163</v>
      </c>
    </row>
    <row r="1363" spans="1:15" x14ac:dyDescent="0.25">
      <c r="A1363" s="786" t="s">
        <v>3224</v>
      </c>
      <c r="B1363" s="787">
        <v>4</v>
      </c>
      <c r="C1363" s="787" t="s">
        <v>3225</v>
      </c>
      <c r="D1363" s="787">
        <v>5</v>
      </c>
      <c r="E1363" s="787">
        <v>53.26</v>
      </c>
      <c r="F1363" s="788">
        <v>39456</v>
      </c>
      <c r="G1363" s="788">
        <v>41775</v>
      </c>
      <c r="H1363" s="787">
        <v>1</v>
      </c>
      <c r="I1363" s="788">
        <v>41677</v>
      </c>
      <c r="J1363" s="788">
        <v>41655</v>
      </c>
      <c r="L1363" s="787">
        <v>31.5</v>
      </c>
      <c r="M1363" s="787">
        <v>10</v>
      </c>
      <c r="N1363" s="787">
        <v>28.43</v>
      </c>
      <c r="O1363" s="788">
        <v>42163</v>
      </c>
    </row>
    <row r="1364" spans="1:15" x14ac:dyDescent="0.25">
      <c r="A1364" s="786" t="s">
        <v>3226</v>
      </c>
      <c r="B1364" s="787">
        <v>4</v>
      </c>
      <c r="C1364" s="787" t="s">
        <v>3227</v>
      </c>
      <c r="D1364" s="787">
        <v>1.22</v>
      </c>
      <c r="E1364" s="787">
        <v>31.22</v>
      </c>
      <c r="F1364" s="788">
        <v>41499</v>
      </c>
      <c r="G1364" s="788">
        <v>42093</v>
      </c>
      <c r="H1364" s="787">
        <v>1</v>
      </c>
      <c r="I1364" s="788">
        <v>42090</v>
      </c>
      <c r="J1364" s="788">
        <v>42093</v>
      </c>
      <c r="L1364" s="787">
        <v>37.909999999999997</v>
      </c>
      <c r="M1364" s="787">
        <v>10</v>
      </c>
      <c r="N1364" s="787">
        <v>36.61</v>
      </c>
      <c r="O1364" s="788">
        <v>42144</v>
      </c>
    </row>
    <row r="1365" spans="1:15" x14ac:dyDescent="0.25">
      <c r="A1365" s="786" t="s">
        <v>3228</v>
      </c>
      <c r="B1365" s="787">
        <v>4</v>
      </c>
      <c r="C1365" s="787" t="s">
        <v>3229</v>
      </c>
      <c r="D1365" s="787">
        <v>7.87</v>
      </c>
      <c r="E1365" s="787">
        <v>45.45</v>
      </c>
      <c r="F1365" s="788">
        <v>41474</v>
      </c>
      <c r="G1365" s="788">
        <v>41943</v>
      </c>
      <c r="H1365" s="787">
        <v>1</v>
      </c>
      <c r="I1365" s="788">
        <v>42090</v>
      </c>
      <c r="J1365" s="788">
        <v>41472</v>
      </c>
      <c r="L1365" s="787">
        <v>37.909999999999997</v>
      </c>
      <c r="M1365" s="787">
        <v>10</v>
      </c>
      <c r="N1365" s="787">
        <v>31.67</v>
      </c>
      <c r="O1365" s="788">
        <v>42144</v>
      </c>
    </row>
    <row r="1366" spans="1:15" x14ac:dyDescent="0.25">
      <c r="A1366" s="786" t="s">
        <v>3230</v>
      </c>
      <c r="B1366" s="787">
        <v>4</v>
      </c>
      <c r="C1366" s="787" t="s">
        <v>3231</v>
      </c>
      <c r="D1366" s="787">
        <v>5.42</v>
      </c>
      <c r="E1366" s="787">
        <v>55.71</v>
      </c>
      <c r="F1366" s="788">
        <v>39456</v>
      </c>
      <c r="G1366" s="788">
        <v>42093</v>
      </c>
      <c r="H1366" s="787">
        <v>1</v>
      </c>
      <c r="I1366" s="788">
        <v>42118</v>
      </c>
      <c r="J1366" s="788">
        <v>42065</v>
      </c>
      <c r="L1366" s="787">
        <v>36.07</v>
      </c>
      <c r="M1366" s="787">
        <v>10</v>
      </c>
      <c r="N1366" s="787">
        <v>30.5</v>
      </c>
      <c r="O1366" s="788">
        <v>42144</v>
      </c>
    </row>
    <row r="1367" spans="1:15" x14ac:dyDescent="0.25">
      <c r="A1367" s="786" t="s">
        <v>3232</v>
      </c>
      <c r="B1367" s="787">
        <v>4</v>
      </c>
      <c r="C1367" s="787" t="s">
        <v>3233</v>
      </c>
      <c r="D1367" s="787">
        <v>5.38</v>
      </c>
      <c r="E1367" s="787">
        <v>45.63</v>
      </c>
      <c r="F1367" s="788">
        <v>39456</v>
      </c>
      <c r="G1367" s="788">
        <v>41806</v>
      </c>
      <c r="H1367" s="787">
        <v>1</v>
      </c>
      <c r="I1367" s="788">
        <v>42118</v>
      </c>
      <c r="J1367" s="788">
        <v>41757</v>
      </c>
      <c r="L1367" s="787">
        <v>36.07</v>
      </c>
      <c r="M1367" s="787">
        <v>10</v>
      </c>
      <c r="N1367" s="787">
        <v>30.5</v>
      </c>
      <c r="O1367" s="788">
        <v>41955</v>
      </c>
    </row>
    <row r="1368" spans="1:15" x14ac:dyDescent="0.25">
      <c r="A1368" s="786" t="s">
        <v>3234</v>
      </c>
      <c r="B1368" s="787">
        <v>4</v>
      </c>
      <c r="C1368" s="787" t="s">
        <v>3235</v>
      </c>
      <c r="D1368" s="787">
        <v>1.1100000000000001</v>
      </c>
      <c r="E1368" s="787">
        <v>91.11</v>
      </c>
      <c r="F1368" s="788">
        <v>40827</v>
      </c>
      <c r="G1368" s="788">
        <v>40827</v>
      </c>
      <c r="H1368" s="787">
        <v>1</v>
      </c>
      <c r="J1368" s="788">
        <v>40744</v>
      </c>
      <c r="K1368" s="788">
        <v>41045</v>
      </c>
      <c r="L1368" s="787">
        <v>0.01</v>
      </c>
      <c r="M1368" s="787">
        <v>10</v>
      </c>
      <c r="N1368" s="787">
        <v>34.17</v>
      </c>
      <c r="O1368" s="788">
        <v>42163</v>
      </c>
    </row>
    <row r="1369" spans="1:15" x14ac:dyDescent="0.25">
      <c r="A1369" s="786" t="s">
        <v>3236</v>
      </c>
      <c r="B1369" s="787">
        <v>4</v>
      </c>
      <c r="C1369" s="787" t="s">
        <v>3237</v>
      </c>
      <c r="D1369" s="787">
        <v>1.9</v>
      </c>
      <c r="E1369" s="787">
        <v>61.9</v>
      </c>
      <c r="F1369" s="788">
        <v>40827</v>
      </c>
      <c r="G1369" s="788">
        <v>40827</v>
      </c>
      <c r="H1369" s="787">
        <v>1</v>
      </c>
      <c r="I1369" s="788">
        <v>40253</v>
      </c>
      <c r="J1369" s="788">
        <v>40744</v>
      </c>
      <c r="K1369" s="788">
        <v>41466</v>
      </c>
      <c r="L1369" s="787">
        <v>32.19</v>
      </c>
      <c r="M1369" s="787">
        <v>10</v>
      </c>
      <c r="N1369" s="787">
        <v>31.42</v>
      </c>
      <c r="O1369" s="788">
        <v>42163</v>
      </c>
    </row>
    <row r="1370" spans="1:15" x14ac:dyDescent="0.25">
      <c r="A1370" s="786" t="s">
        <v>3238</v>
      </c>
      <c r="B1370" s="787">
        <v>4</v>
      </c>
      <c r="C1370" s="787" t="s">
        <v>3239</v>
      </c>
      <c r="D1370" s="787">
        <v>0</v>
      </c>
      <c r="E1370" s="787">
        <v>0</v>
      </c>
      <c r="H1370" s="787">
        <v>1</v>
      </c>
      <c r="K1370" s="788">
        <v>41466</v>
      </c>
      <c r="L1370" s="787">
        <v>282</v>
      </c>
      <c r="M1370" s="787">
        <v>10</v>
      </c>
      <c r="N1370" s="787">
        <v>268.73</v>
      </c>
      <c r="O1370" s="788">
        <v>42163</v>
      </c>
    </row>
    <row r="1371" spans="1:15" x14ac:dyDescent="0.25">
      <c r="A1371" s="786" t="s">
        <v>3240</v>
      </c>
      <c r="B1371" s="787">
        <v>4</v>
      </c>
      <c r="C1371" s="787" t="s">
        <v>3241</v>
      </c>
      <c r="D1371" s="787">
        <v>0</v>
      </c>
      <c r="E1371" s="787">
        <v>0</v>
      </c>
      <c r="H1371" s="787">
        <v>1</v>
      </c>
      <c r="K1371" s="788">
        <v>41466</v>
      </c>
      <c r="L1371" s="787">
        <v>0.01</v>
      </c>
      <c r="M1371" s="787">
        <v>10</v>
      </c>
      <c r="N1371" s="787">
        <v>0</v>
      </c>
      <c r="O1371" s="788">
        <v>42163</v>
      </c>
    </row>
    <row r="1372" spans="1:15" x14ac:dyDescent="0.25">
      <c r="A1372" s="786" t="s">
        <v>3242</v>
      </c>
      <c r="B1372" s="787">
        <v>4</v>
      </c>
      <c r="C1372" s="787" t="s">
        <v>3243</v>
      </c>
      <c r="D1372" s="787">
        <v>0</v>
      </c>
      <c r="E1372" s="787">
        <v>0</v>
      </c>
      <c r="H1372" s="787">
        <v>1</v>
      </c>
      <c r="K1372" s="788">
        <v>41466</v>
      </c>
      <c r="L1372" s="787">
        <v>235</v>
      </c>
      <c r="M1372" s="787">
        <v>10</v>
      </c>
      <c r="N1372" s="787">
        <v>243.41</v>
      </c>
      <c r="O1372" s="788">
        <v>42163</v>
      </c>
    </row>
    <row r="1373" spans="1:15" x14ac:dyDescent="0.25">
      <c r="A1373" s="786" t="s">
        <v>3244</v>
      </c>
      <c r="B1373" s="787">
        <v>4</v>
      </c>
      <c r="C1373" s="787" t="s">
        <v>3245</v>
      </c>
      <c r="D1373" s="787">
        <v>0</v>
      </c>
      <c r="E1373" s="787">
        <v>0</v>
      </c>
      <c r="H1373" s="787">
        <v>1</v>
      </c>
      <c r="K1373" s="788">
        <v>41466</v>
      </c>
      <c r="L1373" s="787">
        <v>0.01</v>
      </c>
      <c r="M1373" s="787">
        <v>10</v>
      </c>
      <c r="N1373" s="787">
        <v>0</v>
      </c>
      <c r="O1373" s="788">
        <v>42163</v>
      </c>
    </row>
    <row r="1374" spans="1:15" x14ac:dyDescent="0.25">
      <c r="A1374" s="786" t="s">
        <v>3246</v>
      </c>
      <c r="B1374" s="787">
        <v>4</v>
      </c>
      <c r="C1374" s="787" t="s">
        <v>3247</v>
      </c>
      <c r="D1374" s="787">
        <v>0</v>
      </c>
      <c r="E1374" s="787">
        <v>0</v>
      </c>
      <c r="H1374" s="787">
        <v>1</v>
      </c>
      <c r="I1374" s="788">
        <v>40899</v>
      </c>
      <c r="L1374" s="787">
        <v>148.57</v>
      </c>
      <c r="M1374" s="787">
        <v>10</v>
      </c>
      <c r="N1374" s="787">
        <v>248.51</v>
      </c>
      <c r="O1374" s="788">
        <v>42144</v>
      </c>
    </row>
    <row r="1375" spans="1:15" x14ac:dyDescent="0.25">
      <c r="A1375" s="786" t="s">
        <v>3248</v>
      </c>
      <c r="B1375" s="787">
        <v>4</v>
      </c>
      <c r="C1375" s="787" t="s">
        <v>3249</v>
      </c>
      <c r="D1375" s="787">
        <v>0</v>
      </c>
      <c r="E1375" s="787">
        <v>0</v>
      </c>
      <c r="H1375" s="787">
        <v>1</v>
      </c>
      <c r="I1375" s="788">
        <v>40899</v>
      </c>
      <c r="K1375" s="788">
        <v>41466</v>
      </c>
      <c r="L1375" s="787">
        <v>0.01</v>
      </c>
      <c r="M1375" s="787">
        <v>10</v>
      </c>
      <c r="N1375" s="787">
        <v>0</v>
      </c>
      <c r="O1375" s="788">
        <v>42144</v>
      </c>
    </row>
    <row r="1376" spans="1:15" x14ac:dyDescent="0.25">
      <c r="A1376" s="786" t="s">
        <v>3250</v>
      </c>
      <c r="B1376" s="787">
        <v>4</v>
      </c>
      <c r="C1376" s="787" t="s">
        <v>3251</v>
      </c>
      <c r="D1376" s="787">
        <v>0</v>
      </c>
      <c r="E1376" s="787">
        <v>0</v>
      </c>
      <c r="G1376" s="788">
        <v>38364</v>
      </c>
      <c r="H1376" s="787">
        <v>1</v>
      </c>
      <c r="I1376" s="788">
        <v>38736</v>
      </c>
      <c r="J1376" s="788">
        <v>38736</v>
      </c>
      <c r="L1376" s="787">
        <v>162.94999999999999</v>
      </c>
      <c r="M1376" s="787">
        <v>10</v>
      </c>
      <c r="N1376" s="787">
        <v>449.76</v>
      </c>
      <c r="O1376" s="788">
        <v>42144</v>
      </c>
    </row>
    <row r="1377" spans="1:15" x14ac:dyDescent="0.25">
      <c r="A1377" s="786" t="s">
        <v>3252</v>
      </c>
      <c r="B1377" s="787">
        <v>4</v>
      </c>
      <c r="C1377" s="787" t="s">
        <v>3253</v>
      </c>
      <c r="D1377" s="787">
        <v>0</v>
      </c>
      <c r="E1377" s="787">
        <v>0</v>
      </c>
      <c r="G1377" s="788">
        <v>38364</v>
      </c>
      <c r="H1377" s="787">
        <v>1</v>
      </c>
      <c r="I1377" s="788">
        <v>38736</v>
      </c>
      <c r="J1377" s="788">
        <v>38736</v>
      </c>
      <c r="L1377" s="787">
        <v>139.21</v>
      </c>
      <c r="M1377" s="787">
        <v>10</v>
      </c>
      <c r="N1377" s="787">
        <v>221.34</v>
      </c>
      <c r="O1377" s="788">
        <v>42144</v>
      </c>
    </row>
    <row r="1378" spans="1:15" x14ac:dyDescent="0.25">
      <c r="A1378" s="786" t="s">
        <v>3254</v>
      </c>
      <c r="B1378" s="787">
        <v>4</v>
      </c>
      <c r="C1378" s="787" t="s">
        <v>3255</v>
      </c>
      <c r="D1378" s="787">
        <v>0</v>
      </c>
      <c r="E1378" s="787">
        <v>0</v>
      </c>
      <c r="G1378" s="788">
        <v>40079</v>
      </c>
      <c r="H1378" s="787">
        <v>1</v>
      </c>
      <c r="I1378" s="788">
        <v>40253</v>
      </c>
      <c r="J1378" s="788">
        <v>40079</v>
      </c>
      <c r="L1378" s="787">
        <v>184.2</v>
      </c>
      <c r="M1378" s="787">
        <v>10</v>
      </c>
      <c r="N1378" s="787">
        <v>309.95999999999998</v>
      </c>
      <c r="O1378" s="788">
        <v>42163</v>
      </c>
    </row>
    <row r="1379" spans="1:15" x14ac:dyDescent="0.25">
      <c r="A1379" s="786" t="s">
        <v>3256</v>
      </c>
      <c r="B1379" s="787">
        <v>4</v>
      </c>
      <c r="C1379" s="787" t="s">
        <v>3257</v>
      </c>
      <c r="D1379" s="787">
        <v>0</v>
      </c>
      <c r="E1379" s="787">
        <v>0</v>
      </c>
      <c r="H1379" s="787">
        <v>1</v>
      </c>
      <c r="I1379" s="788">
        <v>40071</v>
      </c>
      <c r="L1379" s="787">
        <v>119.44</v>
      </c>
      <c r="M1379" s="787">
        <v>10</v>
      </c>
      <c r="N1379" s="787">
        <v>299.26</v>
      </c>
      <c r="O1379" s="788">
        <v>42163</v>
      </c>
    </row>
    <row r="1380" spans="1:15" x14ac:dyDescent="0.25">
      <c r="A1380" s="786" t="s">
        <v>3258</v>
      </c>
      <c r="B1380" s="787">
        <v>4</v>
      </c>
      <c r="C1380" s="787" t="s">
        <v>3259</v>
      </c>
      <c r="D1380" s="787">
        <v>0</v>
      </c>
      <c r="E1380" s="787">
        <v>0</v>
      </c>
      <c r="H1380" s="787">
        <v>1</v>
      </c>
      <c r="L1380" s="787">
        <v>0.01</v>
      </c>
      <c r="M1380" s="787">
        <v>10</v>
      </c>
      <c r="N1380" s="787">
        <v>0</v>
      </c>
    </row>
    <row r="1381" spans="1:15" x14ac:dyDescent="0.25">
      <c r="A1381" s="786" t="s">
        <v>3260</v>
      </c>
      <c r="B1381" s="787">
        <v>4</v>
      </c>
      <c r="C1381" s="787" t="s">
        <v>3261</v>
      </c>
      <c r="D1381" s="787">
        <v>0</v>
      </c>
      <c r="E1381" s="787">
        <v>0</v>
      </c>
      <c r="H1381" s="787">
        <v>1</v>
      </c>
      <c r="L1381" s="787">
        <v>0.01</v>
      </c>
      <c r="M1381" s="787">
        <v>10</v>
      </c>
      <c r="N1381" s="787">
        <v>0</v>
      </c>
    </row>
    <row r="1382" spans="1:15" x14ac:dyDescent="0.25">
      <c r="A1382" s="786" t="s">
        <v>3262</v>
      </c>
      <c r="B1382" s="787">
        <v>4</v>
      </c>
      <c r="C1382" s="787" t="s">
        <v>3263</v>
      </c>
      <c r="D1382" s="787">
        <v>0</v>
      </c>
      <c r="E1382" s="787">
        <v>0</v>
      </c>
      <c r="H1382" s="787">
        <v>1</v>
      </c>
      <c r="I1382" s="788">
        <v>40056</v>
      </c>
      <c r="J1382" s="788">
        <v>40043</v>
      </c>
      <c r="K1382" s="788">
        <v>41466</v>
      </c>
      <c r="L1382" s="787">
        <v>0.01</v>
      </c>
      <c r="M1382" s="787">
        <v>10</v>
      </c>
      <c r="N1382" s="787">
        <v>0</v>
      </c>
      <c r="O1382" s="788">
        <v>42144</v>
      </c>
    </row>
    <row r="1383" spans="1:15" x14ac:dyDescent="0.25">
      <c r="A1383" s="786" t="s">
        <v>3264</v>
      </c>
      <c r="B1383" s="787">
        <v>4</v>
      </c>
      <c r="C1383" s="787" t="s">
        <v>3265</v>
      </c>
      <c r="D1383" s="787">
        <v>0</v>
      </c>
      <c r="E1383" s="787">
        <v>0</v>
      </c>
      <c r="H1383" s="787">
        <v>1</v>
      </c>
      <c r="I1383" s="788">
        <v>40056</v>
      </c>
      <c r="J1383" s="788">
        <v>40043</v>
      </c>
      <c r="K1383" s="788">
        <v>41466</v>
      </c>
      <c r="L1383" s="787">
        <v>0.01</v>
      </c>
      <c r="M1383" s="787">
        <v>10</v>
      </c>
      <c r="N1383" s="787">
        <v>0</v>
      </c>
      <c r="O1383" s="788">
        <v>42144</v>
      </c>
    </row>
    <row r="1384" spans="1:15" x14ac:dyDescent="0.25">
      <c r="A1384" s="786" t="s">
        <v>3266</v>
      </c>
      <c r="B1384" s="787">
        <v>4</v>
      </c>
      <c r="C1384" s="787" t="s">
        <v>3267</v>
      </c>
      <c r="D1384" s="787">
        <v>9.58</v>
      </c>
      <c r="E1384" s="787">
        <v>360.53</v>
      </c>
      <c r="F1384" s="788">
        <v>39975</v>
      </c>
      <c r="G1384" s="788">
        <v>41565</v>
      </c>
      <c r="H1384" s="787">
        <v>1</v>
      </c>
      <c r="I1384" s="788">
        <v>40637</v>
      </c>
      <c r="J1384" s="788">
        <v>40633</v>
      </c>
      <c r="L1384" s="787">
        <v>137.57</v>
      </c>
      <c r="M1384" s="787">
        <v>10</v>
      </c>
      <c r="N1384" s="787">
        <v>306.83999999999997</v>
      </c>
      <c r="O1384" s="788">
        <v>42144</v>
      </c>
    </row>
    <row r="1385" spans="1:15" x14ac:dyDescent="0.25">
      <c r="A1385" s="786" t="s">
        <v>3268</v>
      </c>
      <c r="B1385" s="787">
        <v>4</v>
      </c>
      <c r="C1385" s="787" t="s">
        <v>3269</v>
      </c>
      <c r="D1385" s="787">
        <v>0.4</v>
      </c>
      <c r="E1385" s="787">
        <v>288.70999999999998</v>
      </c>
      <c r="F1385" s="788">
        <v>39975</v>
      </c>
      <c r="G1385" s="788">
        <v>41565</v>
      </c>
      <c r="H1385" s="787">
        <v>1</v>
      </c>
      <c r="I1385" s="788">
        <v>40637</v>
      </c>
      <c r="J1385" s="788">
        <v>40633</v>
      </c>
      <c r="L1385" s="787">
        <v>129.29</v>
      </c>
      <c r="M1385" s="787">
        <v>10</v>
      </c>
      <c r="N1385" s="787">
        <v>302.3</v>
      </c>
      <c r="O1385" s="788">
        <v>41543</v>
      </c>
    </row>
    <row r="1386" spans="1:15" x14ac:dyDescent="0.25">
      <c r="A1386" s="786" t="s">
        <v>3270</v>
      </c>
      <c r="B1386" s="787">
        <v>4</v>
      </c>
      <c r="C1386" s="787" t="s">
        <v>3271</v>
      </c>
      <c r="D1386" s="787">
        <v>3.84</v>
      </c>
      <c r="E1386" s="787">
        <v>33.840000000000003</v>
      </c>
      <c r="F1386" s="788">
        <v>39456</v>
      </c>
      <c r="G1386" s="788">
        <v>41599</v>
      </c>
      <c r="H1386" s="787">
        <v>1</v>
      </c>
      <c r="I1386" s="788">
        <v>41442</v>
      </c>
      <c r="J1386" s="788">
        <v>41599</v>
      </c>
      <c r="L1386" s="787">
        <v>32.51</v>
      </c>
      <c r="M1386" s="787">
        <v>10</v>
      </c>
      <c r="N1386" s="787">
        <v>23.47</v>
      </c>
      <c r="O1386" s="788">
        <v>42163</v>
      </c>
    </row>
    <row r="1387" spans="1:15" x14ac:dyDescent="0.25">
      <c r="A1387" s="786" t="s">
        <v>3272</v>
      </c>
      <c r="B1387" s="787">
        <v>4</v>
      </c>
      <c r="C1387" s="787" t="s">
        <v>3273</v>
      </c>
      <c r="D1387" s="787">
        <v>6.1</v>
      </c>
      <c r="E1387" s="787">
        <v>16.100000000000001</v>
      </c>
      <c r="F1387" s="788">
        <v>39456</v>
      </c>
      <c r="G1387" s="788">
        <v>41599</v>
      </c>
      <c r="H1387" s="787">
        <v>1</v>
      </c>
      <c r="I1387" s="788">
        <v>41442</v>
      </c>
      <c r="J1387" s="788">
        <v>41599</v>
      </c>
      <c r="L1387" s="787">
        <v>12.06</v>
      </c>
      <c r="M1387" s="787">
        <v>10</v>
      </c>
      <c r="N1387" s="787">
        <v>12.07</v>
      </c>
      <c r="O1387" s="788">
        <v>42163</v>
      </c>
    </row>
    <row r="1388" spans="1:15" x14ac:dyDescent="0.25">
      <c r="A1388" s="786" t="s">
        <v>3274</v>
      </c>
      <c r="B1388" s="787">
        <v>4</v>
      </c>
      <c r="C1388" s="787" t="s">
        <v>3275</v>
      </c>
      <c r="D1388" s="787">
        <v>3.84</v>
      </c>
      <c r="E1388" s="787">
        <v>33.840000000000003</v>
      </c>
      <c r="F1388" s="788">
        <v>39456</v>
      </c>
      <c r="G1388" s="788">
        <v>41599</v>
      </c>
      <c r="H1388" s="787">
        <v>1</v>
      </c>
      <c r="I1388" s="788">
        <v>41442</v>
      </c>
      <c r="J1388" s="788">
        <v>41599</v>
      </c>
      <c r="L1388" s="787">
        <v>32.51</v>
      </c>
      <c r="M1388" s="787">
        <v>10</v>
      </c>
      <c r="N1388" s="787">
        <v>22.65</v>
      </c>
      <c r="O1388" s="788">
        <v>42163</v>
      </c>
    </row>
    <row r="1389" spans="1:15" x14ac:dyDescent="0.25">
      <c r="A1389" s="786" t="s">
        <v>3276</v>
      </c>
      <c r="B1389" s="787">
        <v>4</v>
      </c>
      <c r="C1389" s="787" t="s">
        <v>3277</v>
      </c>
      <c r="D1389" s="787">
        <v>6.1</v>
      </c>
      <c r="E1389" s="787">
        <v>16.100000000000001</v>
      </c>
      <c r="F1389" s="788">
        <v>39456</v>
      </c>
      <c r="G1389" s="788">
        <v>41599</v>
      </c>
      <c r="H1389" s="787">
        <v>1</v>
      </c>
      <c r="I1389" s="788">
        <v>41442</v>
      </c>
      <c r="J1389" s="788">
        <v>41599</v>
      </c>
      <c r="L1389" s="787">
        <v>12.06</v>
      </c>
      <c r="M1389" s="787">
        <v>10</v>
      </c>
      <c r="N1389" s="787">
        <v>12.07</v>
      </c>
      <c r="O1389" s="788">
        <v>42163</v>
      </c>
    </row>
    <row r="1390" spans="1:15" x14ac:dyDescent="0.25">
      <c r="A1390" s="786" t="s">
        <v>3278</v>
      </c>
      <c r="B1390" s="787">
        <v>4</v>
      </c>
      <c r="C1390" s="787" t="s">
        <v>3279</v>
      </c>
      <c r="D1390" s="787">
        <v>0</v>
      </c>
      <c r="E1390" s="787">
        <v>0</v>
      </c>
      <c r="H1390" s="787">
        <v>1</v>
      </c>
      <c r="L1390" s="787">
        <v>30.16</v>
      </c>
      <c r="M1390" s="787">
        <v>10</v>
      </c>
      <c r="N1390" s="787">
        <v>28.38</v>
      </c>
      <c r="O1390" s="788">
        <v>42089</v>
      </c>
    </row>
    <row r="1391" spans="1:15" x14ac:dyDescent="0.25">
      <c r="A1391" s="786" t="s">
        <v>3280</v>
      </c>
      <c r="B1391" s="787">
        <v>4</v>
      </c>
      <c r="C1391" s="787" t="s">
        <v>3281</v>
      </c>
      <c r="D1391" s="787">
        <v>0</v>
      </c>
      <c r="E1391" s="787">
        <v>0</v>
      </c>
      <c r="H1391" s="787">
        <v>1</v>
      </c>
      <c r="L1391" s="787">
        <v>12.06</v>
      </c>
      <c r="M1391" s="787">
        <v>10</v>
      </c>
      <c r="N1391" s="787">
        <v>13.71</v>
      </c>
      <c r="O1391" s="788">
        <v>41955</v>
      </c>
    </row>
    <row r="1392" spans="1:15" x14ac:dyDescent="0.25">
      <c r="A1392" s="786" t="s">
        <v>3282</v>
      </c>
      <c r="B1392" s="787">
        <v>4</v>
      </c>
      <c r="C1392" s="787" t="s">
        <v>3283</v>
      </c>
      <c r="D1392" s="787">
        <v>0</v>
      </c>
      <c r="E1392" s="787">
        <v>0</v>
      </c>
      <c r="H1392" s="787">
        <v>1</v>
      </c>
      <c r="K1392" s="788">
        <v>41466</v>
      </c>
      <c r="L1392" s="787">
        <v>29.65</v>
      </c>
      <c r="M1392" s="787">
        <v>10</v>
      </c>
      <c r="N1392" s="787">
        <v>28.63</v>
      </c>
      <c r="O1392" s="788">
        <v>42114</v>
      </c>
    </row>
    <row r="1393" spans="1:15" x14ac:dyDescent="0.25">
      <c r="A1393" s="786" t="s">
        <v>3284</v>
      </c>
      <c r="B1393" s="787">
        <v>4</v>
      </c>
      <c r="C1393" s="787" t="s">
        <v>3285</v>
      </c>
      <c r="D1393" s="787">
        <v>0</v>
      </c>
      <c r="E1393" s="787">
        <v>0</v>
      </c>
      <c r="H1393" s="787">
        <v>1</v>
      </c>
      <c r="K1393" s="788">
        <v>41466</v>
      </c>
      <c r="L1393" s="787">
        <v>8.14</v>
      </c>
      <c r="M1393" s="787">
        <v>10</v>
      </c>
      <c r="N1393" s="787">
        <v>7.98</v>
      </c>
      <c r="O1393" s="788">
        <v>42115</v>
      </c>
    </row>
    <row r="1394" spans="1:15" x14ac:dyDescent="0.25">
      <c r="A1394" s="786" t="s">
        <v>3286</v>
      </c>
      <c r="B1394" s="787">
        <v>4</v>
      </c>
      <c r="C1394" s="787" t="s">
        <v>3287</v>
      </c>
      <c r="D1394" s="787">
        <v>0</v>
      </c>
      <c r="E1394" s="787">
        <v>0</v>
      </c>
      <c r="H1394" s="787">
        <v>1</v>
      </c>
      <c r="K1394" s="788">
        <v>41466</v>
      </c>
      <c r="L1394" s="787">
        <v>23.57</v>
      </c>
      <c r="M1394" s="787">
        <v>10</v>
      </c>
      <c r="N1394" s="787">
        <v>22.56</v>
      </c>
      <c r="O1394" s="788">
        <v>41955</v>
      </c>
    </row>
    <row r="1395" spans="1:15" x14ac:dyDescent="0.25">
      <c r="A1395" s="786" t="s">
        <v>3288</v>
      </c>
      <c r="B1395" s="787">
        <v>4</v>
      </c>
      <c r="C1395" s="787" t="s">
        <v>3289</v>
      </c>
      <c r="D1395" s="787">
        <v>0</v>
      </c>
      <c r="E1395" s="787">
        <v>0</v>
      </c>
      <c r="H1395" s="787">
        <v>1</v>
      </c>
      <c r="K1395" s="788">
        <v>41466</v>
      </c>
      <c r="L1395" s="787">
        <v>21.72</v>
      </c>
      <c r="M1395" s="787">
        <v>10</v>
      </c>
      <c r="N1395" s="787">
        <v>20.85</v>
      </c>
      <c r="O1395" s="788">
        <v>41955</v>
      </c>
    </row>
    <row r="1396" spans="1:15" x14ac:dyDescent="0.25">
      <c r="A1396" s="786" t="s">
        <v>3290</v>
      </c>
      <c r="B1396" s="787">
        <v>4</v>
      </c>
      <c r="C1396" s="787" t="s">
        <v>3291</v>
      </c>
      <c r="D1396" s="787">
        <v>0</v>
      </c>
      <c r="E1396" s="787">
        <v>0</v>
      </c>
      <c r="H1396" s="787">
        <v>1</v>
      </c>
      <c r="K1396" s="788">
        <v>41466</v>
      </c>
      <c r="L1396" s="787">
        <v>21.85</v>
      </c>
      <c r="M1396" s="787">
        <v>10</v>
      </c>
      <c r="N1396" s="787">
        <v>20.82</v>
      </c>
      <c r="O1396" s="788">
        <v>41955</v>
      </c>
    </row>
    <row r="1397" spans="1:15" x14ac:dyDescent="0.25">
      <c r="A1397" s="786" t="s">
        <v>3292</v>
      </c>
      <c r="B1397" s="787">
        <v>4</v>
      </c>
      <c r="C1397" s="787" t="s">
        <v>3293</v>
      </c>
      <c r="D1397" s="787">
        <v>0</v>
      </c>
      <c r="E1397" s="787">
        <v>0</v>
      </c>
      <c r="H1397" s="787">
        <v>1</v>
      </c>
      <c r="K1397" s="788">
        <v>41100</v>
      </c>
      <c r="L1397" s="787">
        <v>0.01</v>
      </c>
      <c r="M1397" s="787">
        <v>10</v>
      </c>
      <c r="N1397" s="787">
        <v>11.96</v>
      </c>
      <c r="O1397" s="788">
        <v>41955</v>
      </c>
    </row>
    <row r="1398" spans="1:15" x14ac:dyDescent="0.25">
      <c r="A1398" s="786" t="s">
        <v>3294</v>
      </c>
      <c r="B1398" s="787">
        <v>4</v>
      </c>
      <c r="C1398" s="787" t="s">
        <v>3295</v>
      </c>
      <c r="D1398" s="787">
        <v>0</v>
      </c>
      <c r="E1398" s="787">
        <v>0</v>
      </c>
      <c r="H1398" s="787">
        <v>1</v>
      </c>
      <c r="K1398" s="788">
        <v>41087</v>
      </c>
      <c r="L1398" s="787">
        <v>0.01</v>
      </c>
      <c r="M1398" s="787">
        <v>10</v>
      </c>
      <c r="N1398" s="787">
        <v>36.11</v>
      </c>
      <c r="O1398" s="788">
        <v>41955</v>
      </c>
    </row>
    <row r="1399" spans="1:15" x14ac:dyDescent="0.25">
      <c r="A1399" s="786" t="s">
        <v>3296</v>
      </c>
      <c r="B1399" s="787">
        <v>4</v>
      </c>
      <c r="C1399" s="787" t="s">
        <v>3297</v>
      </c>
      <c r="D1399" s="787">
        <v>0</v>
      </c>
      <c r="E1399" s="787">
        <v>0</v>
      </c>
      <c r="H1399" s="787">
        <v>1</v>
      </c>
      <c r="K1399" s="788">
        <v>41087</v>
      </c>
      <c r="L1399" s="787">
        <v>0.01</v>
      </c>
      <c r="M1399" s="787">
        <v>10</v>
      </c>
      <c r="N1399" s="787">
        <v>13.77</v>
      </c>
      <c r="O1399" s="788">
        <v>41955</v>
      </c>
    </row>
    <row r="1400" spans="1:15" x14ac:dyDescent="0.25">
      <c r="A1400" s="786" t="s">
        <v>3298</v>
      </c>
      <c r="B1400" s="787">
        <v>4</v>
      </c>
      <c r="C1400" s="787" t="s">
        <v>3299</v>
      </c>
      <c r="D1400" s="787">
        <v>0</v>
      </c>
      <c r="E1400" s="787">
        <v>0</v>
      </c>
      <c r="H1400" s="787">
        <v>1</v>
      </c>
      <c r="K1400" s="788">
        <v>41087</v>
      </c>
      <c r="L1400" s="787">
        <v>0.01</v>
      </c>
      <c r="M1400" s="787">
        <v>10</v>
      </c>
      <c r="N1400" s="787">
        <v>36.11</v>
      </c>
      <c r="O1400" s="788">
        <v>41955</v>
      </c>
    </row>
    <row r="1401" spans="1:15" x14ac:dyDescent="0.25">
      <c r="A1401" s="786" t="s">
        <v>3300</v>
      </c>
      <c r="B1401" s="787">
        <v>4</v>
      </c>
      <c r="C1401" s="787" t="s">
        <v>3301</v>
      </c>
      <c r="D1401" s="787">
        <v>0</v>
      </c>
      <c r="E1401" s="787">
        <v>0</v>
      </c>
      <c r="H1401" s="787">
        <v>1</v>
      </c>
      <c r="K1401" s="788">
        <v>41087</v>
      </c>
      <c r="L1401" s="787">
        <v>0.01</v>
      </c>
      <c r="M1401" s="787">
        <v>10</v>
      </c>
      <c r="N1401" s="787">
        <v>13.77</v>
      </c>
      <c r="O1401" s="788">
        <v>41955</v>
      </c>
    </row>
    <row r="1402" spans="1:15" x14ac:dyDescent="0.25">
      <c r="A1402" s="786" t="s">
        <v>3302</v>
      </c>
      <c r="B1402" s="787">
        <v>4</v>
      </c>
      <c r="C1402" s="787" t="s">
        <v>3303</v>
      </c>
      <c r="D1402" s="787">
        <v>0</v>
      </c>
      <c r="E1402" s="787">
        <v>0</v>
      </c>
      <c r="H1402" s="787">
        <v>1</v>
      </c>
      <c r="K1402" s="788">
        <v>41087</v>
      </c>
      <c r="L1402" s="787">
        <v>0.02</v>
      </c>
      <c r="M1402" s="787">
        <v>10</v>
      </c>
      <c r="N1402" s="787">
        <v>0</v>
      </c>
      <c r="O1402" s="788">
        <v>40824</v>
      </c>
    </row>
    <row r="1403" spans="1:15" x14ac:dyDescent="0.25">
      <c r="A1403" s="786" t="s">
        <v>3304</v>
      </c>
      <c r="B1403" s="787">
        <v>4</v>
      </c>
      <c r="C1403" s="787" t="s">
        <v>3305</v>
      </c>
      <c r="D1403" s="787">
        <v>0</v>
      </c>
      <c r="E1403" s="787">
        <v>0</v>
      </c>
      <c r="H1403" s="787">
        <v>1</v>
      </c>
      <c r="K1403" s="788">
        <v>41087</v>
      </c>
      <c r="L1403" s="787">
        <v>0.01</v>
      </c>
      <c r="M1403" s="787">
        <v>10</v>
      </c>
      <c r="N1403" s="787">
        <v>0</v>
      </c>
      <c r="O1403" s="788">
        <v>40824</v>
      </c>
    </row>
    <row r="1404" spans="1:15" x14ac:dyDescent="0.25">
      <c r="A1404" s="786" t="s">
        <v>3306</v>
      </c>
      <c r="B1404" s="787">
        <v>4</v>
      </c>
      <c r="C1404" s="787" t="s">
        <v>3307</v>
      </c>
      <c r="D1404" s="787">
        <v>2.58</v>
      </c>
      <c r="E1404" s="787">
        <v>32.58</v>
      </c>
      <c r="F1404" s="788">
        <v>39101</v>
      </c>
      <c r="G1404" s="788">
        <v>39101</v>
      </c>
      <c r="H1404" s="787">
        <v>1</v>
      </c>
      <c r="I1404" s="788">
        <v>40777</v>
      </c>
      <c r="J1404" s="788">
        <v>39101</v>
      </c>
      <c r="L1404" s="787">
        <v>29.03</v>
      </c>
      <c r="M1404" s="787">
        <v>10</v>
      </c>
      <c r="N1404" s="787">
        <v>30.33</v>
      </c>
      <c r="O1404" s="788">
        <v>42089</v>
      </c>
    </row>
    <row r="1405" spans="1:15" x14ac:dyDescent="0.25">
      <c r="A1405" s="786" t="s">
        <v>3308</v>
      </c>
      <c r="B1405" s="787">
        <v>4</v>
      </c>
      <c r="C1405" s="787" t="s">
        <v>3309</v>
      </c>
      <c r="D1405" s="787">
        <v>1.1100000000000001</v>
      </c>
      <c r="E1405" s="787">
        <v>11.11</v>
      </c>
      <c r="F1405" s="788">
        <v>39101</v>
      </c>
      <c r="G1405" s="788">
        <v>39101</v>
      </c>
      <c r="H1405" s="787">
        <v>1</v>
      </c>
      <c r="I1405" s="788">
        <v>40777</v>
      </c>
      <c r="J1405" s="788">
        <v>39149</v>
      </c>
      <c r="L1405" s="787">
        <v>10.19</v>
      </c>
      <c r="M1405" s="787">
        <v>10</v>
      </c>
      <c r="N1405" s="787">
        <v>12.96</v>
      </c>
      <c r="O1405" s="788">
        <v>42089</v>
      </c>
    </row>
    <row r="1406" spans="1:15" x14ac:dyDescent="0.25">
      <c r="A1406" s="786" t="s">
        <v>3310</v>
      </c>
      <c r="B1406" s="787">
        <v>4</v>
      </c>
      <c r="C1406" s="787" t="s">
        <v>3311</v>
      </c>
      <c r="D1406" s="787">
        <v>2.58</v>
      </c>
      <c r="E1406" s="787">
        <v>32.58</v>
      </c>
      <c r="F1406" s="788">
        <v>39101</v>
      </c>
      <c r="G1406" s="788">
        <v>39101</v>
      </c>
      <c r="H1406" s="787">
        <v>1</v>
      </c>
      <c r="I1406" s="788">
        <v>40777</v>
      </c>
      <c r="J1406" s="788">
        <v>39149</v>
      </c>
      <c r="L1406" s="787">
        <v>29.03</v>
      </c>
      <c r="M1406" s="787">
        <v>10</v>
      </c>
      <c r="N1406" s="787">
        <v>30.33</v>
      </c>
      <c r="O1406" s="788">
        <v>42089</v>
      </c>
    </row>
    <row r="1407" spans="1:15" x14ac:dyDescent="0.25">
      <c r="A1407" s="786" t="s">
        <v>3312</v>
      </c>
      <c r="B1407" s="787">
        <v>4</v>
      </c>
      <c r="C1407" s="787" t="s">
        <v>3313</v>
      </c>
      <c r="D1407" s="787">
        <v>7.3</v>
      </c>
      <c r="E1407" s="787">
        <v>7.3</v>
      </c>
      <c r="F1407" s="788">
        <v>39975</v>
      </c>
      <c r="G1407" s="788">
        <v>39590</v>
      </c>
      <c r="H1407" s="787">
        <v>1</v>
      </c>
      <c r="I1407" s="788">
        <v>40777</v>
      </c>
      <c r="J1407" s="788">
        <v>39149</v>
      </c>
      <c r="L1407" s="787">
        <v>10.19</v>
      </c>
      <c r="M1407" s="787">
        <v>10</v>
      </c>
      <c r="N1407" s="787">
        <v>12.96</v>
      </c>
      <c r="O1407" s="788">
        <v>42089</v>
      </c>
    </row>
    <row r="1408" spans="1:15" x14ac:dyDescent="0.25">
      <c r="A1408" s="786" t="s">
        <v>3314</v>
      </c>
      <c r="B1408" s="787">
        <v>4</v>
      </c>
      <c r="C1408" s="787" t="s">
        <v>3315</v>
      </c>
      <c r="D1408" s="787">
        <v>0</v>
      </c>
      <c r="E1408" s="787">
        <v>0</v>
      </c>
      <c r="G1408" s="788">
        <v>38364</v>
      </c>
      <c r="H1408" s="787">
        <v>1</v>
      </c>
      <c r="I1408" s="788">
        <v>39070</v>
      </c>
      <c r="J1408" s="788">
        <v>39101</v>
      </c>
      <c r="L1408" s="787">
        <v>26.94</v>
      </c>
      <c r="M1408" s="787">
        <v>10</v>
      </c>
      <c r="N1408" s="787">
        <v>26.41</v>
      </c>
      <c r="O1408" s="788">
        <v>42089</v>
      </c>
    </row>
    <row r="1409" spans="1:15" x14ac:dyDescent="0.25">
      <c r="A1409" s="786" t="s">
        <v>3316</v>
      </c>
      <c r="B1409" s="787">
        <v>4</v>
      </c>
      <c r="C1409" s="787" t="s">
        <v>3317</v>
      </c>
      <c r="D1409" s="787">
        <v>0</v>
      </c>
      <c r="E1409" s="787">
        <v>0</v>
      </c>
      <c r="G1409" s="788">
        <v>38364</v>
      </c>
      <c r="H1409" s="787">
        <v>1</v>
      </c>
      <c r="I1409" s="788">
        <v>39070</v>
      </c>
      <c r="J1409" s="788">
        <v>39101</v>
      </c>
      <c r="L1409" s="787">
        <v>11.32</v>
      </c>
      <c r="M1409" s="787">
        <v>10</v>
      </c>
      <c r="N1409" s="787">
        <v>13.71</v>
      </c>
      <c r="O1409" s="788">
        <v>42089</v>
      </c>
    </row>
    <row r="1410" spans="1:15" x14ac:dyDescent="0.25">
      <c r="A1410" s="786" t="s">
        <v>3318</v>
      </c>
      <c r="B1410" s="787">
        <v>4</v>
      </c>
      <c r="C1410" s="787" t="s">
        <v>3319</v>
      </c>
      <c r="D1410" s="787">
        <v>8.2100000000000009</v>
      </c>
      <c r="E1410" s="787">
        <v>10.82</v>
      </c>
      <c r="F1410" s="788">
        <v>39975</v>
      </c>
      <c r="G1410" s="788">
        <v>42013</v>
      </c>
      <c r="H1410" s="787">
        <v>1</v>
      </c>
      <c r="I1410" s="788">
        <v>42110</v>
      </c>
      <c r="J1410" s="788">
        <v>41680</v>
      </c>
      <c r="L1410" s="787">
        <v>9.5399999999999991</v>
      </c>
      <c r="M1410" s="787">
        <v>10</v>
      </c>
      <c r="N1410" s="787">
        <v>10.74</v>
      </c>
      <c r="O1410" s="788">
        <v>42163</v>
      </c>
    </row>
    <row r="1411" spans="1:15" x14ac:dyDescent="0.25">
      <c r="A1411" s="786" t="s">
        <v>3320</v>
      </c>
      <c r="B1411" s="787">
        <v>4</v>
      </c>
      <c r="C1411" s="787" t="s">
        <v>3321</v>
      </c>
      <c r="D1411" s="787">
        <v>9.5399999999999991</v>
      </c>
      <c r="E1411" s="787">
        <v>12.92</v>
      </c>
      <c r="F1411" s="788">
        <v>39975</v>
      </c>
      <c r="G1411" s="788">
        <v>41943</v>
      </c>
      <c r="H1411" s="787">
        <v>1</v>
      </c>
      <c r="I1411" s="788">
        <v>41583</v>
      </c>
      <c r="J1411" s="788">
        <v>41492</v>
      </c>
      <c r="L1411" s="787">
        <v>10.98</v>
      </c>
      <c r="M1411" s="787">
        <v>10</v>
      </c>
      <c r="N1411" s="787">
        <v>10.71</v>
      </c>
      <c r="O1411" s="788">
        <v>42163</v>
      </c>
    </row>
    <row r="1412" spans="1:15" x14ac:dyDescent="0.25">
      <c r="A1412" s="786" t="s">
        <v>3322</v>
      </c>
      <c r="B1412" s="787">
        <v>4</v>
      </c>
      <c r="C1412" s="787" t="s">
        <v>3323</v>
      </c>
      <c r="D1412" s="787">
        <v>2.35</v>
      </c>
      <c r="E1412" s="787">
        <v>6.68</v>
      </c>
      <c r="F1412" s="788">
        <v>39975</v>
      </c>
      <c r="G1412" s="788">
        <v>42013</v>
      </c>
      <c r="H1412" s="787">
        <v>1</v>
      </c>
      <c r="I1412" s="788">
        <v>42118</v>
      </c>
      <c r="J1412" s="788">
        <v>41179</v>
      </c>
      <c r="L1412" s="787">
        <v>2.35</v>
      </c>
      <c r="M1412" s="787">
        <v>10</v>
      </c>
      <c r="N1412" s="787">
        <v>5.88</v>
      </c>
      <c r="O1412" s="788">
        <v>42144</v>
      </c>
    </row>
    <row r="1413" spans="1:15" x14ac:dyDescent="0.25">
      <c r="A1413" s="786" t="s">
        <v>3324</v>
      </c>
      <c r="B1413" s="787">
        <v>4</v>
      </c>
      <c r="C1413" s="787" t="s">
        <v>3325</v>
      </c>
      <c r="D1413" s="787">
        <v>4.97</v>
      </c>
      <c r="E1413" s="787">
        <v>4.97</v>
      </c>
      <c r="F1413" s="788">
        <v>41495</v>
      </c>
      <c r="G1413" s="788">
        <v>41943</v>
      </c>
      <c r="H1413" s="787">
        <v>1</v>
      </c>
      <c r="I1413" s="788">
        <v>42090</v>
      </c>
      <c r="J1413" s="788">
        <v>41474</v>
      </c>
      <c r="K1413" s="788">
        <v>41459</v>
      </c>
      <c r="L1413" s="787">
        <v>7.38</v>
      </c>
      <c r="M1413" s="787">
        <v>10</v>
      </c>
      <c r="N1413" s="787">
        <v>5.38</v>
      </c>
      <c r="O1413" s="788">
        <v>42144</v>
      </c>
    </row>
    <row r="1414" spans="1:15" x14ac:dyDescent="0.25">
      <c r="A1414" s="786" t="s">
        <v>3326</v>
      </c>
      <c r="B1414" s="787">
        <v>4</v>
      </c>
      <c r="C1414" s="787" t="s">
        <v>3327</v>
      </c>
      <c r="D1414" s="787">
        <v>0</v>
      </c>
      <c r="E1414" s="787">
        <v>0</v>
      </c>
      <c r="H1414" s="787">
        <v>1</v>
      </c>
      <c r="L1414" s="787">
        <v>14</v>
      </c>
      <c r="M1414" s="787">
        <v>10</v>
      </c>
      <c r="N1414" s="787">
        <v>23.34</v>
      </c>
      <c r="O1414" s="788">
        <v>42163</v>
      </c>
    </row>
    <row r="1415" spans="1:15" x14ac:dyDescent="0.25">
      <c r="A1415" s="786" t="s">
        <v>3328</v>
      </c>
      <c r="B1415" s="787">
        <v>4</v>
      </c>
      <c r="C1415" s="787" t="s">
        <v>3329</v>
      </c>
      <c r="D1415" s="787">
        <v>0</v>
      </c>
      <c r="E1415" s="787">
        <v>0</v>
      </c>
      <c r="H1415" s="787">
        <v>1</v>
      </c>
      <c r="L1415" s="787">
        <v>14</v>
      </c>
      <c r="M1415" s="787">
        <v>10</v>
      </c>
      <c r="N1415" s="787">
        <v>23.34</v>
      </c>
      <c r="O1415" s="788">
        <v>42163</v>
      </c>
    </row>
    <row r="1416" spans="1:15" x14ac:dyDescent="0.25">
      <c r="A1416" s="786" t="s">
        <v>3330</v>
      </c>
      <c r="B1416" s="787">
        <v>4</v>
      </c>
      <c r="C1416" s="787" t="s">
        <v>3331</v>
      </c>
      <c r="D1416" s="787">
        <v>0</v>
      </c>
      <c r="E1416" s="787">
        <v>0</v>
      </c>
      <c r="H1416" s="787">
        <v>1</v>
      </c>
      <c r="L1416" s="787">
        <v>14.89</v>
      </c>
      <c r="M1416" s="787">
        <v>10</v>
      </c>
      <c r="N1416" s="787">
        <v>24.37</v>
      </c>
      <c r="O1416" s="788">
        <v>42163</v>
      </c>
    </row>
    <row r="1417" spans="1:15" x14ac:dyDescent="0.25">
      <c r="A1417" s="786" t="s">
        <v>3332</v>
      </c>
      <c r="B1417" s="787">
        <v>4</v>
      </c>
      <c r="C1417" s="787" t="s">
        <v>3333</v>
      </c>
      <c r="D1417" s="787">
        <v>0</v>
      </c>
      <c r="E1417" s="787">
        <v>0</v>
      </c>
      <c r="H1417" s="787">
        <v>1</v>
      </c>
      <c r="L1417" s="787">
        <v>14.89</v>
      </c>
      <c r="M1417" s="787">
        <v>10</v>
      </c>
      <c r="N1417" s="787">
        <v>24.37</v>
      </c>
      <c r="O1417" s="788">
        <v>42163</v>
      </c>
    </row>
    <row r="1418" spans="1:15" x14ac:dyDescent="0.25">
      <c r="A1418" s="786" t="s">
        <v>3334</v>
      </c>
      <c r="B1418" s="787">
        <v>4</v>
      </c>
      <c r="C1418" s="787" t="s">
        <v>3335</v>
      </c>
      <c r="D1418" s="787">
        <v>0</v>
      </c>
      <c r="E1418" s="787">
        <v>0</v>
      </c>
      <c r="H1418" s="787">
        <v>1</v>
      </c>
      <c r="L1418" s="787">
        <v>5.53</v>
      </c>
      <c r="M1418" s="787">
        <v>10</v>
      </c>
      <c r="N1418" s="787">
        <v>9.1199999999999992</v>
      </c>
      <c r="O1418" s="788">
        <v>42144</v>
      </c>
    </row>
    <row r="1419" spans="1:15" x14ac:dyDescent="0.25">
      <c r="A1419" s="786" t="s">
        <v>3336</v>
      </c>
      <c r="B1419" s="787">
        <v>4</v>
      </c>
      <c r="C1419" s="787" t="s">
        <v>3337</v>
      </c>
      <c r="D1419" s="787">
        <v>0</v>
      </c>
      <c r="E1419" s="787">
        <v>0</v>
      </c>
      <c r="H1419" s="787">
        <v>1</v>
      </c>
      <c r="L1419" s="787">
        <v>7.33</v>
      </c>
      <c r="M1419" s="787">
        <v>10</v>
      </c>
      <c r="N1419" s="787">
        <v>11.2</v>
      </c>
      <c r="O1419" s="788">
        <v>42144</v>
      </c>
    </row>
    <row r="1420" spans="1:15" x14ac:dyDescent="0.25">
      <c r="A1420" s="786" t="s">
        <v>3338</v>
      </c>
      <c r="B1420" s="787">
        <v>4</v>
      </c>
      <c r="C1420" s="787" t="s">
        <v>3339</v>
      </c>
      <c r="D1420" s="787">
        <v>0</v>
      </c>
      <c r="E1420" s="787">
        <v>0</v>
      </c>
      <c r="H1420" s="787">
        <v>1</v>
      </c>
      <c r="I1420" s="788">
        <v>41094</v>
      </c>
      <c r="L1420" s="787">
        <v>9.11</v>
      </c>
      <c r="M1420" s="787">
        <v>10</v>
      </c>
      <c r="N1420" s="787">
        <v>13.27</v>
      </c>
      <c r="O1420" s="788">
        <v>42144</v>
      </c>
    </row>
    <row r="1421" spans="1:15" x14ac:dyDescent="0.25">
      <c r="A1421" s="786" t="s">
        <v>3340</v>
      </c>
      <c r="B1421" s="787">
        <v>4</v>
      </c>
      <c r="C1421" s="787" t="s">
        <v>3341</v>
      </c>
      <c r="D1421" s="787">
        <v>0</v>
      </c>
      <c r="E1421" s="787">
        <v>0</v>
      </c>
      <c r="H1421" s="787">
        <v>1</v>
      </c>
      <c r="L1421" s="787">
        <v>10.01</v>
      </c>
      <c r="M1421" s="787">
        <v>10</v>
      </c>
      <c r="N1421" s="787">
        <v>14.31</v>
      </c>
      <c r="O1421" s="788">
        <v>42144</v>
      </c>
    </row>
    <row r="1422" spans="1:15" x14ac:dyDescent="0.25">
      <c r="A1422" s="786" t="s">
        <v>3342</v>
      </c>
      <c r="B1422" s="787">
        <v>4</v>
      </c>
      <c r="C1422" s="787" t="s">
        <v>3343</v>
      </c>
      <c r="D1422" s="787">
        <v>0</v>
      </c>
      <c r="E1422" s="787">
        <v>0</v>
      </c>
      <c r="H1422" s="787">
        <v>1</v>
      </c>
      <c r="L1422" s="787">
        <v>10.91</v>
      </c>
      <c r="M1422" s="787">
        <v>10</v>
      </c>
      <c r="N1422" s="787">
        <v>15.35</v>
      </c>
      <c r="O1422" s="788">
        <v>42163</v>
      </c>
    </row>
    <row r="1423" spans="1:15" x14ac:dyDescent="0.25">
      <c r="A1423" s="786" t="s">
        <v>3344</v>
      </c>
      <c r="B1423" s="787">
        <v>4</v>
      </c>
      <c r="C1423" s="787" t="s">
        <v>3345</v>
      </c>
      <c r="D1423" s="787">
        <v>0</v>
      </c>
      <c r="E1423" s="787">
        <v>0</v>
      </c>
      <c r="H1423" s="787">
        <v>1</v>
      </c>
      <c r="L1423" s="787">
        <v>11.8</v>
      </c>
      <c r="M1423" s="787">
        <v>10</v>
      </c>
      <c r="N1423" s="787">
        <v>16.39</v>
      </c>
      <c r="O1423" s="788">
        <v>42163</v>
      </c>
    </row>
    <row r="1424" spans="1:15" x14ac:dyDescent="0.25">
      <c r="A1424" s="786" t="s">
        <v>3346</v>
      </c>
      <c r="B1424" s="787">
        <v>4</v>
      </c>
      <c r="C1424" s="787" t="s">
        <v>3347</v>
      </c>
      <c r="D1424" s="787">
        <v>1.1599999999999999</v>
      </c>
      <c r="E1424" s="787">
        <v>11.16</v>
      </c>
      <c r="F1424" s="788">
        <v>38634</v>
      </c>
      <c r="G1424" s="788">
        <v>41772</v>
      </c>
      <c r="H1424" s="787">
        <v>1</v>
      </c>
      <c r="I1424" s="788">
        <v>41772</v>
      </c>
      <c r="J1424" s="788">
        <v>41772</v>
      </c>
      <c r="L1424" s="787">
        <v>10.55</v>
      </c>
      <c r="M1424" s="787">
        <v>10</v>
      </c>
      <c r="N1424" s="787">
        <v>26.83</v>
      </c>
      <c r="O1424" s="788">
        <v>42163</v>
      </c>
    </row>
    <row r="1425" spans="1:15" x14ac:dyDescent="0.25">
      <c r="A1425" s="786" t="s">
        <v>3348</v>
      </c>
      <c r="B1425" s="787">
        <v>4</v>
      </c>
      <c r="C1425" s="787" t="s">
        <v>2578</v>
      </c>
      <c r="D1425" s="787">
        <v>5.82</v>
      </c>
      <c r="E1425" s="787">
        <v>38.06</v>
      </c>
      <c r="F1425" s="788">
        <v>39101</v>
      </c>
      <c r="G1425" s="788">
        <v>41519</v>
      </c>
      <c r="H1425" s="787">
        <v>1</v>
      </c>
      <c r="I1425" s="788">
        <v>41772</v>
      </c>
      <c r="J1425" s="788">
        <v>41772</v>
      </c>
      <c r="L1425" s="787">
        <v>15.4</v>
      </c>
      <c r="M1425" s="787">
        <v>10</v>
      </c>
      <c r="N1425" s="787">
        <v>39.04</v>
      </c>
      <c r="O1425" s="788">
        <v>42163</v>
      </c>
    </row>
    <row r="1426" spans="1:15" x14ac:dyDescent="0.25">
      <c r="A1426" s="786" t="s">
        <v>3349</v>
      </c>
      <c r="B1426" s="787">
        <v>4</v>
      </c>
      <c r="C1426" s="787" t="s">
        <v>3350</v>
      </c>
      <c r="D1426" s="787">
        <v>3.64</v>
      </c>
      <c r="E1426" s="787">
        <v>60.91</v>
      </c>
      <c r="F1426" s="788">
        <v>39456</v>
      </c>
      <c r="G1426" s="788">
        <v>42121</v>
      </c>
      <c r="H1426" s="787">
        <v>1</v>
      </c>
      <c r="I1426" s="788">
        <v>42118</v>
      </c>
      <c r="J1426" s="788">
        <v>42121</v>
      </c>
      <c r="K1426" s="788">
        <v>42082</v>
      </c>
      <c r="L1426" s="787">
        <v>60.91</v>
      </c>
      <c r="M1426" s="787">
        <v>20</v>
      </c>
      <c r="N1426" s="787">
        <v>65.48</v>
      </c>
      <c r="O1426" s="788">
        <v>42163</v>
      </c>
    </row>
    <row r="1427" spans="1:15" x14ac:dyDescent="0.25">
      <c r="A1427" s="786" t="s">
        <v>3351</v>
      </c>
      <c r="B1427" s="787">
        <v>4</v>
      </c>
      <c r="C1427" s="787" t="s">
        <v>3352</v>
      </c>
      <c r="D1427" s="787">
        <v>4.2</v>
      </c>
      <c r="E1427" s="787">
        <v>94.2</v>
      </c>
      <c r="F1427" s="788">
        <v>39290</v>
      </c>
      <c r="G1427" s="788">
        <v>39272</v>
      </c>
      <c r="H1427" s="787">
        <v>1</v>
      </c>
      <c r="I1427" s="788">
        <v>42090</v>
      </c>
      <c r="J1427" s="788">
        <v>41598</v>
      </c>
      <c r="K1427" s="788">
        <v>41466</v>
      </c>
      <c r="L1427" s="787">
        <v>94.2</v>
      </c>
      <c r="M1427" s="787">
        <v>20</v>
      </c>
      <c r="N1427" s="787">
        <v>101.27</v>
      </c>
      <c r="O1427" s="788">
        <v>42163</v>
      </c>
    </row>
    <row r="1428" spans="1:15" x14ac:dyDescent="0.25">
      <c r="A1428" s="786" t="s">
        <v>3353</v>
      </c>
      <c r="B1428" s="787">
        <v>4</v>
      </c>
      <c r="C1428" s="787" t="s">
        <v>3354</v>
      </c>
      <c r="D1428" s="787">
        <v>0.88</v>
      </c>
      <c r="E1428" s="787">
        <v>20.88</v>
      </c>
      <c r="F1428" s="788">
        <v>39975</v>
      </c>
      <c r="G1428" s="788">
        <v>39790</v>
      </c>
      <c r="H1428" s="787">
        <v>1</v>
      </c>
      <c r="I1428" s="788">
        <v>40079</v>
      </c>
      <c r="J1428" s="788">
        <v>39790</v>
      </c>
      <c r="L1428" s="787">
        <v>21.44</v>
      </c>
      <c r="M1428" s="787">
        <v>10</v>
      </c>
      <c r="N1428" s="787">
        <v>15.72</v>
      </c>
      <c r="O1428" s="788">
        <v>42089</v>
      </c>
    </row>
    <row r="1429" spans="1:15" x14ac:dyDescent="0.25">
      <c r="A1429" s="786" t="s">
        <v>3355</v>
      </c>
      <c r="B1429" s="787">
        <v>4</v>
      </c>
      <c r="C1429" s="787" t="s">
        <v>3356</v>
      </c>
      <c r="D1429" s="787">
        <v>7.5</v>
      </c>
      <c r="E1429" s="787">
        <v>7.5</v>
      </c>
      <c r="F1429" s="788">
        <v>39975</v>
      </c>
      <c r="G1429" s="788">
        <v>39790</v>
      </c>
      <c r="H1429" s="787">
        <v>1</v>
      </c>
      <c r="I1429" s="788">
        <v>40079</v>
      </c>
      <c r="J1429" s="788">
        <v>39884</v>
      </c>
      <c r="L1429" s="787">
        <v>7.5</v>
      </c>
      <c r="M1429" s="787">
        <v>10</v>
      </c>
      <c r="N1429" s="787">
        <v>9.23</v>
      </c>
      <c r="O1429" s="788">
        <v>41955</v>
      </c>
    </row>
    <row r="1430" spans="1:15" x14ac:dyDescent="0.25">
      <c r="A1430" s="786" t="s">
        <v>3357</v>
      </c>
      <c r="B1430" s="787">
        <v>4</v>
      </c>
      <c r="C1430" s="787" t="s">
        <v>3358</v>
      </c>
      <c r="D1430" s="787">
        <v>2.79</v>
      </c>
      <c r="E1430" s="787">
        <v>12.8</v>
      </c>
      <c r="F1430" s="788">
        <v>39456</v>
      </c>
      <c r="G1430" s="788">
        <v>40553</v>
      </c>
      <c r="H1430" s="787">
        <v>1</v>
      </c>
      <c r="I1430" s="788">
        <v>40652</v>
      </c>
      <c r="J1430" s="788">
        <v>39255</v>
      </c>
      <c r="L1430" s="787">
        <v>24.63</v>
      </c>
      <c r="M1430" s="787">
        <v>10</v>
      </c>
      <c r="N1430" s="787">
        <v>18.88</v>
      </c>
      <c r="O1430" s="788">
        <v>42089</v>
      </c>
    </row>
    <row r="1431" spans="1:15" x14ac:dyDescent="0.25">
      <c r="A1431" s="786" t="s">
        <v>3359</v>
      </c>
      <c r="B1431" s="787">
        <v>4</v>
      </c>
      <c r="C1431" s="787" t="s">
        <v>3360</v>
      </c>
      <c r="D1431" s="787">
        <v>6.83</v>
      </c>
      <c r="E1431" s="787">
        <v>6.92</v>
      </c>
      <c r="F1431" s="788">
        <v>38606</v>
      </c>
      <c r="G1431" s="788">
        <v>39456</v>
      </c>
      <c r="H1431" s="787">
        <v>1</v>
      </c>
      <c r="I1431" s="788">
        <v>41618</v>
      </c>
      <c r="J1431" s="788">
        <v>39226</v>
      </c>
      <c r="L1431" s="787">
        <v>8.34</v>
      </c>
      <c r="M1431" s="787">
        <v>10</v>
      </c>
      <c r="N1431" s="787">
        <v>10.69</v>
      </c>
      <c r="O1431" s="788">
        <v>41955</v>
      </c>
    </row>
    <row r="1432" spans="1:15" x14ac:dyDescent="0.25">
      <c r="A1432" s="786" t="s">
        <v>3361</v>
      </c>
      <c r="B1432" s="787">
        <v>4</v>
      </c>
      <c r="C1432" s="787" t="s">
        <v>3362</v>
      </c>
      <c r="D1432" s="787">
        <v>8.7899999999999991</v>
      </c>
      <c r="E1432" s="787">
        <v>28.79</v>
      </c>
      <c r="F1432" s="788">
        <v>38606</v>
      </c>
      <c r="G1432" s="788">
        <v>38606</v>
      </c>
      <c r="H1432" s="787">
        <v>1</v>
      </c>
      <c r="I1432" s="788">
        <v>38736</v>
      </c>
      <c r="J1432" s="788">
        <v>38453</v>
      </c>
      <c r="L1432" s="787">
        <v>26.1</v>
      </c>
      <c r="M1432" s="787">
        <v>10</v>
      </c>
      <c r="N1432" s="787">
        <v>28.16</v>
      </c>
      <c r="O1432" s="788">
        <v>42088</v>
      </c>
    </row>
    <row r="1433" spans="1:15" x14ac:dyDescent="0.25">
      <c r="A1433" s="786" t="s">
        <v>3363</v>
      </c>
      <c r="B1433" s="787">
        <v>4</v>
      </c>
      <c r="C1433" s="787" t="s">
        <v>3364</v>
      </c>
      <c r="D1433" s="787">
        <v>2.5099999999999998</v>
      </c>
      <c r="E1433" s="787">
        <v>12.51</v>
      </c>
      <c r="F1433" s="788">
        <v>38606</v>
      </c>
      <c r="G1433" s="788">
        <v>38606</v>
      </c>
      <c r="H1433" s="787">
        <v>1</v>
      </c>
      <c r="I1433" s="788">
        <v>38736</v>
      </c>
      <c r="J1433" s="788">
        <v>38453</v>
      </c>
      <c r="L1433" s="787">
        <v>8.9600000000000009</v>
      </c>
      <c r="M1433" s="787">
        <v>10</v>
      </c>
      <c r="N1433" s="787">
        <v>11.63</v>
      </c>
      <c r="O1433" s="788">
        <v>41955</v>
      </c>
    </row>
    <row r="1434" spans="1:15" x14ac:dyDescent="0.25">
      <c r="A1434" s="786" t="s">
        <v>3365</v>
      </c>
      <c r="B1434" s="787">
        <v>4</v>
      </c>
      <c r="C1434" s="787" t="s">
        <v>3366</v>
      </c>
      <c r="D1434" s="787">
        <v>0</v>
      </c>
      <c r="E1434" s="787">
        <v>0</v>
      </c>
      <c r="H1434" s="787">
        <v>1</v>
      </c>
      <c r="I1434" s="788">
        <v>39002</v>
      </c>
      <c r="J1434" s="788">
        <v>39101</v>
      </c>
      <c r="K1434" s="788">
        <v>41466</v>
      </c>
      <c r="L1434" s="787">
        <v>2.2999999999999998</v>
      </c>
      <c r="M1434" s="787">
        <v>10</v>
      </c>
      <c r="N1434" s="787">
        <v>3.04</v>
      </c>
      <c r="O1434" s="788">
        <v>41955</v>
      </c>
    </row>
    <row r="1435" spans="1:15" x14ac:dyDescent="0.25">
      <c r="A1435" s="786" t="s">
        <v>3367</v>
      </c>
      <c r="B1435" s="787">
        <v>4</v>
      </c>
      <c r="C1435" s="787" t="s">
        <v>3368</v>
      </c>
      <c r="D1435" s="787">
        <v>0</v>
      </c>
      <c r="E1435" s="787">
        <v>0</v>
      </c>
      <c r="H1435" s="787">
        <v>1</v>
      </c>
      <c r="I1435" s="788">
        <v>39002</v>
      </c>
      <c r="J1435" s="788">
        <v>39101</v>
      </c>
      <c r="K1435" s="788">
        <v>41466</v>
      </c>
      <c r="L1435" s="787">
        <v>2.67</v>
      </c>
      <c r="M1435" s="787">
        <v>10</v>
      </c>
      <c r="N1435" s="787">
        <v>3.6</v>
      </c>
      <c r="O1435" s="788">
        <v>41955</v>
      </c>
    </row>
    <row r="1436" spans="1:15" x14ac:dyDescent="0.25">
      <c r="A1436" s="786" t="s">
        <v>3369</v>
      </c>
      <c r="B1436" s="787">
        <v>4</v>
      </c>
      <c r="C1436" s="787" t="s">
        <v>3370</v>
      </c>
      <c r="D1436" s="787">
        <v>4</v>
      </c>
      <c r="E1436" s="787">
        <v>84</v>
      </c>
      <c r="F1436" s="788">
        <v>40070</v>
      </c>
      <c r="G1436" s="788">
        <v>40066</v>
      </c>
      <c r="H1436" s="787">
        <v>1</v>
      </c>
      <c r="J1436" s="788">
        <v>40066</v>
      </c>
      <c r="K1436" s="788">
        <v>40042</v>
      </c>
      <c r="L1436" s="787">
        <v>84</v>
      </c>
      <c r="M1436" s="787">
        <v>20</v>
      </c>
      <c r="N1436" s="787">
        <v>90.3</v>
      </c>
      <c r="O1436" s="788">
        <v>41955</v>
      </c>
    </row>
    <row r="1437" spans="1:15" x14ac:dyDescent="0.25">
      <c r="A1437" s="786" t="s">
        <v>3371</v>
      </c>
      <c r="B1437" s="787">
        <v>4</v>
      </c>
      <c r="C1437" s="787" t="s">
        <v>3372</v>
      </c>
      <c r="D1437" s="787">
        <v>0</v>
      </c>
      <c r="E1437" s="787">
        <v>0</v>
      </c>
      <c r="G1437" s="788">
        <v>38364</v>
      </c>
      <c r="H1437" s="787">
        <v>1</v>
      </c>
      <c r="I1437" s="788">
        <v>39134</v>
      </c>
      <c r="J1437" s="788">
        <v>39134</v>
      </c>
      <c r="L1437" s="787">
        <v>0.51</v>
      </c>
      <c r="M1437" s="787">
        <v>10</v>
      </c>
      <c r="N1437" s="787">
        <v>0.77</v>
      </c>
      <c r="O1437" s="788">
        <v>41955</v>
      </c>
    </row>
    <row r="1438" spans="1:15" x14ac:dyDescent="0.25">
      <c r="A1438" s="786" t="s">
        <v>3373</v>
      </c>
      <c r="B1438" s="787">
        <v>4</v>
      </c>
      <c r="C1438" s="787" t="s">
        <v>3374</v>
      </c>
      <c r="D1438" s="787">
        <v>0</v>
      </c>
      <c r="E1438" s="787">
        <v>0</v>
      </c>
      <c r="G1438" s="788">
        <v>38736</v>
      </c>
      <c r="H1438" s="787">
        <v>1</v>
      </c>
      <c r="I1438" s="788">
        <v>39134</v>
      </c>
      <c r="J1438" s="788">
        <v>38736</v>
      </c>
      <c r="L1438" s="787">
        <v>0</v>
      </c>
      <c r="M1438" s="787">
        <v>10</v>
      </c>
      <c r="N1438" s="787">
        <v>1.58</v>
      </c>
      <c r="O1438" s="788">
        <v>41955</v>
      </c>
    </row>
    <row r="1439" spans="1:15" x14ac:dyDescent="0.25">
      <c r="A1439" s="786" t="s">
        <v>3375</v>
      </c>
      <c r="B1439" s="787">
        <v>4</v>
      </c>
      <c r="C1439" s="787" t="s">
        <v>3376</v>
      </c>
      <c r="D1439" s="787">
        <v>2.44</v>
      </c>
      <c r="E1439" s="787">
        <v>2.44</v>
      </c>
      <c r="F1439" s="788">
        <v>39101</v>
      </c>
      <c r="G1439" s="788">
        <v>41943</v>
      </c>
      <c r="H1439" s="787">
        <v>1</v>
      </c>
      <c r="I1439" s="788">
        <v>39134</v>
      </c>
      <c r="J1439" s="788">
        <v>39149</v>
      </c>
      <c r="L1439" s="787">
        <v>2.8</v>
      </c>
      <c r="M1439" s="787">
        <v>10</v>
      </c>
      <c r="N1439" s="787">
        <v>6.08</v>
      </c>
      <c r="O1439" s="788">
        <v>41955</v>
      </c>
    </row>
    <row r="1440" spans="1:15" x14ac:dyDescent="0.25">
      <c r="A1440" s="786" t="s">
        <v>3377</v>
      </c>
      <c r="B1440" s="787">
        <v>4</v>
      </c>
      <c r="C1440" s="787" t="s">
        <v>3378</v>
      </c>
      <c r="D1440" s="787">
        <v>1.6</v>
      </c>
      <c r="E1440" s="787">
        <v>1.6</v>
      </c>
      <c r="F1440" s="788">
        <v>39975</v>
      </c>
      <c r="G1440" s="788">
        <v>39590</v>
      </c>
      <c r="H1440" s="787">
        <v>1</v>
      </c>
      <c r="I1440" s="788">
        <v>39134</v>
      </c>
      <c r="J1440" s="788">
        <v>39149</v>
      </c>
      <c r="K1440" s="788">
        <v>41954</v>
      </c>
      <c r="L1440" s="787">
        <v>4.8</v>
      </c>
      <c r="M1440" s="787">
        <v>10</v>
      </c>
      <c r="N1440" s="787">
        <v>4.8</v>
      </c>
      <c r="O1440" s="788">
        <v>41543</v>
      </c>
    </row>
    <row r="1441" spans="1:15" x14ac:dyDescent="0.25">
      <c r="A1441" s="786" t="s">
        <v>3379</v>
      </c>
      <c r="B1441" s="787">
        <v>4</v>
      </c>
      <c r="C1441" s="787" t="s">
        <v>3380</v>
      </c>
      <c r="D1441" s="787">
        <v>0</v>
      </c>
      <c r="E1441" s="787">
        <v>0</v>
      </c>
      <c r="H1441" s="787">
        <v>1</v>
      </c>
      <c r="L1441" s="787">
        <v>0</v>
      </c>
      <c r="M1441" s="787">
        <v>10</v>
      </c>
      <c r="N1441" s="787">
        <v>0</v>
      </c>
      <c r="O1441" s="788">
        <v>41955</v>
      </c>
    </row>
    <row r="1442" spans="1:15" x14ac:dyDescent="0.25">
      <c r="A1442" s="786" t="s">
        <v>3381</v>
      </c>
      <c r="B1442" s="787">
        <v>4</v>
      </c>
      <c r="C1442" s="787" t="s">
        <v>3382</v>
      </c>
      <c r="D1442" s="787">
        <v>0</v>
      </c>
      <c r="E1442" s="787">
        <v>0</v>
      </c>
      <c r="H1442" s="787">
        <v>1</v>
      </c>
      <c r="I1442" s="788">
        <v>41305</v>
      </c>
      <c r="L1442" s="787">
        <v>0</v>
      </c>
      <c r="M1442" s="787">
        <v>10</v>
      </c>
      <c r="N1442" s="787">
        <v>0</v>
      </c>
      <c r="O1442" s="788">
        <v>41955</v>
      </c>
    </row>
    <row r="1443" spans="1:15" x14ac:dyDescent="0.25">
      <c r="A1443" s="786" t="s">
        <v>3383</v>
      </c>
      <c r="B1443" s="787">
        <v>4</v>
      </c>
      <c r="C1443" s="787" t="s">
        <v>3384</v>
      </c>
      <c r="D1443" s="787">
        <v>0</v>
      </c>
      <c r="E1443" s="787">
        <v>0</v>
      </c>
      <c r="H1443" s="787">
        <v>6</v>
      </c>
      <c r="L1443" s="787">
        <v>0</v>
      </c>
      <c r="M1443" s="787">
        <v>10</v>
      </c>
      <c r="N1443" s="787">
        <v>0</v>
      </c>
      <c r="O1443" s="788">
        <v>41543</v>
      </c>
    </row>
    <row r="1444" spans="1:15" x14ac:dyDescent="0.25">
      <c r="A1444" s="786" t="s">
        <v>3385</v>
      </c>
      <c r="B1444" s="787">
        <v>4</v>
      </c>
      <c r="C1444" s="787" t="s">
        <v>3386</v>
      </c>
      <c r="D1444" s="787">
        <v>0.36</v>
      </c>
      <c r="E1444" s="787">
        <v>1.1499999999999999</v>
      </c>
      <c r="F1444" s="788">
        <v>39456</v>
      </c>
      <c r="G1444" s="788">
        <v>41738</v>
      </c>
      <c r="H1444" s="787">
        <v>1</v>
      </c>
      <c r="I1444" s="788">
        <v>41718</v>
      </c>
      <c r="J1444" s="788">
        <v>41738</v>
      </c>
      <c r="L1444" s="787">
        <v>1.25</v>
      </c>
      <c r="M1444" s="787">
        <v>10</v>
      </c>
      <c r="N1444" s="787">
        <v>5.83</v>
      </c>
      <c r="O1444" s="788">
        <v>42087</v>
      </c>
    </row>
    <row r="1445" spans="1:15" x14ac:dyDescent="0.25">
      <c r="A1445" s="786" t="s">
        <v>3387</v>
      </c>
      <c r="B1445" s="787">
        <v>4</v>
      </c>
      <c r="C1445" s="787" t="s">
        <v>3388</v>
      </c>
      <c r="D1445" s="787">
        <v>0.46</v>
      </c>
      <c r="E1445" s="787">
        <v>1.5</v>
      </c>
      <c r="F1445" s="788">
        <v>39456</v>
      </c>
      <c r="G1445" s="788">
        <v>41255</v>
      </c>
      <c r="H1445" s="787">
        <v>1</v>
      </c>
      <c r="I1445" s="788">
        <v>39134</v>
      </c>
      <c r="J1445" s="788">
        <v>40007</v>
      </c>
      <c r="L1445" s="787">
        <v>2.0499999999999998</v>
      </c>
      <c r="M1445" s="787">
        <v>10</v>
      </c>
      <c r="N1445" s="787">
        <v>9.1300000000000008</v>
      </c>
      <c r="O1445" s="788">
        <v>41955</v>
      </c>
    </row>
    <row r="1446" spans="1:15" x14ac:dyDescent="0.25">
      <c r="A1446" s="786" t="s">
        <v>3389</v>
      </c>
      <c r="B1446" s="787">
        <v>4</v>
      </c>
      <c r="C1446" s="787" t="s">
        <v>3390</v>
      </c>
      <c r="D1446" s="787">
        <v>2.48</v>
      </c>
      <c r="E1446" s="787">
        <v>2.48</v>
      </c>
      <c r="F1446" s="788">
        <v>39975</v>
      </c>
      <c r="G1446" s="788">
        <v>41565</v>
      </c>
      <c r="H1446" s="787">
        <v>1</v>
      </c>
      <c r="I1446" s="788">
        <v>39134</v>
      </c>
      <c r="J1446" s="788">
        <v>39149</v>
      </c>
      <c r="K1446" s="788">
        <v>41954</v>
      </c>
      <c r="L1446" s="787">
        <v>1.51</v>
      </c>
      <c r="M1446" s="787">
        <v>10</v>
      </c>
      <c r="N1446" s="787">
        <v>1.51</v>
      </c>
      <c r="O1446" s="788">
        <v>41955</v>
      </c>
    </row>
    <row r="1447" spans="1:15" x14ac:dyDescent="0.25">
      <c r="A1447" s="786" t="s">
        <v>3391</v>
      </c>
      <c r="B1447" s="787">
        <v>4</v>
      </c>
      <c r="C1447" s="787" t="s">
        <v>3392</v>
      </c>
      <c r="D1447" s="787">
        <v>0</v>
      </c>
      <c r="E1447" s="787">
        <v>0</v>
      </c>
      <c r="G1447" s="788">
        <v>41943</v>
      </c>
      <c r="H1447" s="787">
        <v>1</v>
      </c>
      <c r="I1447" s="788">
        <v>39134</v>
      </c>
      <c r="J1447" s="788">
        <v>38736</v>
      </c>
      <c r="L1447" s="787">
        <v>0</v>
      </c>
      <c r="M1447" s="787">
        <v>10</v>
      </c>
      <c r="N1447" s="787">
        <v>1.31</v>
      </c>
      <c r="O1447" s="788">
        <v>42087</v>
      </c>
    </row>
    <row r="1448" spans="1:15" x14ac:dyDescent="0.25">
      <c r="A1448" s="786" t="s">
        <v>3393</v>
      </c>
      <c r="B1448" s="787">
        <v>4</v>
      </c>
      <c r="C1448" s="787" t="s">
        <v>3394</v>
      </c>
      <c r="D1448" s="787">
        <v>1.82</v>
      </c>
      <c r="E1448" s="787">
        <v>1.82</v>
      </c>
      <c r="F1448" s="788">
        <v>39975</v>
      </c>
      <c r="G1448" s="788">
        <v>41943</v>
      </c>
      <c r="H1448" s="787">
        <v>1</v>
      </c>
      <c r="I1448" s="788">
        <v>39134</v>
      </c>
      <c r="J1448" s="788">
        <v>39149</v>
      </c>
      <c r="L1448" s="787">
        <v>0</v>
      </c>
      <c r="M1448" s="787">
        <v>10</v>
      </c>
      <c r="N1448" s="787">
        <v>3.69</v>
      </c>
      <c r="O1448" s="788">
        <v>41955</v>
      </c>
    </row>
    <row r="1449" spans="1:15" x14ac:dyDescent="0.25">
      <c r="A1449" s="786" t="s">
        <v>3395</v>
      </c>
      <c r="B1449" s="787">
        <v>4</v>
      </c>
      <c r="C1449" s="787" t="s">
        <v>3396</v>
      </c>
      <c r="D1449" s="787">
        <v>0.11</v>
      </c>
      <c r="E1449" s="787">
        <v>0.11</v>
      </c>
      <c r="F1449" s="788">
        <v>41218</v>
      </c>
      <c r="G1449" s="788">
        <v>41943</v>
      </c>
      <c r="H1449" s="787">
        <v>1</v>
      </c>
      <c r="I1449" s="788">
        <v>42086</v>
      </c>
      <c r="J1449" s="788">
        <v>41180</v>
      </c>
      <c r="L1449" s="787">
        <v>0</v>
      </c>
      <c r="M1449" s="787">
        <v>10</v>
      </c>
      <c r="N1449" s="787">
        <v>2.08</v>
      </c>
      <c r="O1449" s="788">
        <v>41955</v>
      </c>
    </row>
    <row r="1450" spans="1:15" x14ac:dyDescent="0.25">
      <c r="A1450" s="786" t="s">
        <v>3397</v>
      </c>
      <c r="B1450" s="787">
        <v>4</v>
      </c>
      <c r="C1450" s="787" t="s">
        <v>3398</v>
      </c>
      <c r="D1450" s="787">
        <v>0.42</v>
      </c>
      <c r="E1450" s="787">
        <v>0.42</v>
      </c>
      <c r="F1450" s="788">
        <v>39975</v>
      </c>
      <c r="G1450" s="788">
        <v>41943</v>
      </c>
      <c r="H1450" s="787">
        <v>1</v>
      </c>
      <c r="I1450" s="788">
        <v>39134</v>
      </c>
      <c r="J1450" s="788">
        <v>39149</v>
      </c>
      <c r="L1450" s="787">
        <v>0</v>
      </c>
      <c r="M1450" s="787">
        <v>10</v>
      </c>
      <c r="N1450" s="787">
        <v>2.62</v>
      </c>
      <c r="O1450" s="788">
        <v>41955</v>
      </c>
    </row>
    <row r="1451" spans="1:15" x14ac:dyDescent="0.25">
      <c r="A1451" s="786" t="s">
        <v>3399</v>
      </c>
      <c r="B1451" s="787">
        <v>4</v>
      </c>
      <c r="C1451" s="787" t="s">
        <v>3400</v>
      </c>
      <c r="D1451" s="787">
        <v>0</v>
      </c>
      <c r="E1451" s="787">
        <v>0</v>
      </c>
      <c r="H1451" s="787">
        <v>1</v>
      </c>
      <c r="K1451" s="788">
        <v>41954</v>
      </c>
      <c r="L1451" s="787">
        <v>1.17</v>
      </c>
      <c r="M1451" s="787">
        <v>10</v>
      </c>
      <c r="N1451" s="787">
        <v>1.17</v>
      </c>
      <c r="O1451" s="788">
        <v>41955</v>
      </c>
    </row>
    <row r="1452" spans="1:15" x14ac:dyDescent="0.25">
      <c r="A1452" s="786" t="s">
        <v>3401</v>
      </c>
      <c r="B1452" s="787">
        <v>4</v>
      </c>
      <c r="C1452" s="787" t="s">
        <v>3402</v>
      </c>
      <c r="D1452" s="787">
        <v>0.17</v>
      </c>
      <c r="E1452" s="787">
        <v>0.17</v>
      </c>
      <c r="F1452" s="788">
        <v>39975</v>
      </c>
      <c r="G1452" s="788">
        <v>41565</v>
      </c>
      <c r="H1452" s="787">
        <v>1</v>
      </c>
      <c r="I1452" s="788">
        <v>39238</v>
      </c>
      <c r="J1452" s="788">
        <v>39238</v>
      </c>
      <c r="L1452" s="787">
        <v>0</v>
      </c>
      <c r="M1452" s="787">
        <v>10</v>
      </c>
      <c r="N1452" s="787">
        <v>0.64</v>
      </c>
      <c r="O1452" s="788">
        <v>41955</v>
      </c>
    </row>
    <row r="1453" spans="1:15" x14ac:dyDescent="0.25">
      <c r="A1453" s="786" t="s">
        <v>3403</v>
      </c>
      <c r="B1453" s="787">
        <v>4</v>
      </c>
      <c r="C1453" s="787" t="s">
        <v>3404</v>
      </c>
      <c r="D1453" s="787">
        <v>0.17</v>
      </c>
      <c r="E1453" s="787">
        <v>0.17</v>
      </c>
      <c r="F1453" s="788">
        <v>39975</v>
      </c>
      <c r="G1453" s="788">
        <v>41565</v>
      </c>
      <c r="H1453" s="787">
        <v>1</v>
      </c>
      <c r="I1453" s="788">
        <v>39238</v>
      </c>
      <c r="J1453" s="788">
        <v>39238</v>
      </c>
      <c r="L1453" s="787">
        <v>0</v>
      </c>
      <c r="M1453" s="787">
        <v>10</v>
      </c>
      <c r="N1453" s="787">
        <v>0.64</v>
      </c>
      <c r="O1453" s="788">
        <v>41955</v>
      </c>
    </row>
    <row r="1454" spans="1:15" x14ac:dyDescent="0.25">
      <c r="A1454" s="786" t="s">
        <v>3405</v>
      </c>
      <c r="B1454" s="787">
        <v>4</v>
      </c>
      <c r="C1454" s="787" t="s">
        <v>3406</v>
      </c>
      <c r="D1454" s="787">
        <v>0.11</v>
      </c>
      <c r="E1454" s="787">
        <v>0.65</v>
      </c>
      <c r="F1454" s="788">
        <v>39975</v>
      </c>
      <c r="G1454" s="788">
        <v>42013</v>
      </c>
      <c r="H1454" s="787">
        <v>1</v>
      </c>
      <c r="I1454" s="788">
        <v>42163</v>
      </c>
      <c r="J1454" s="788">
        <v>41904</v>
      </c>
      <c r="K1454" s="788">
        <v>41072</v>
      </c>
      <c r="L1454" s="787">
        <v>0.1</v>
      </c>
      <c r="M1454" s="787">
        <v>10</v>
      </c>
      <c r="N1454" s="787">
        <v>1.86</v>
      </c>
      <c r="O1454" s="788">
        <v>42163</v>
      </c>
    </row>
    <row r="1455" spans="1:15" x14ac:dyDescent="0.25">
      <c r="A1455" s="786" t="s">
        <v>3407</v>
      </c>
      <c r="B1455" s="787">
        <v>4</v>
      </c>
      <c r="C1455" s="787" t="s">
        <v>3408</v>
      </c>
      <c r="D1455" s="787">
        <v>0.27</v>
      </c>
      <c r="E1455" s="787">
        <v>1.63</v>
      </c>
      <c r="F1455" s="788">
        <v>41775</v>
      </c>
      <c r="G1455" s="788">
        <v>42013</v>
      </c>
      <c r="H1455" s="787">
        <v>1</v>
      </c>
      <c r="I1455" s="788">
        <v>42163</v>
      </c>
      <c r="J1455" s="788">
        <v>41904</v>
      </c>
      <c r="L1455" s="787">
        <v>0.55000000000000004</v>
      </c>
      <c r="M1455" s="787">
        <v>10</v>
      </c>
      <c r="N1455" s="787">
        <v>1.8</v>
      </c>
      <c r="O1455" s="788">
        <v>42163</v>
      </c>
    </row>
    <row r="1456" spans="1:15" x14ac:dyDescent="0.25">
      <c r="A1456" s="786" t="s">
        <v>3409</v>
      </c>
      <c r="B1456" s="787">
        <v>4</v>
      </c>
      <c r="C1456" s="787" t="s">
        <v>3410</v>
      </c>
      <c r="D1456" s="787">
        <v>0</v>
      </c>
      <c r="E1456" s="787">
        <v>0</v>
      </c>
      <c r="G1456" s="788">
        <v>40400</v>
      </c>
      <c r="H1456" s="787">
        <v>1</v>
      </c>
      <c r="I1456" s="788">
        <v>40519</v>
      </c>
      <c r="J1456" s="788">
        <v>40400</v>
      </c>
      <c r="K1456" s="788">
        <v>41466</v>
      </c>
      <c r="L1456" s="787">
        <v>2.85</v>
      </c>
      <c r="M1456" s="787">
        <v>10</v>
      </c>
      <c r="N1456" s="787">
        <v>2.74</v>
      </c>
      <c r="O1456" s="788">
        <v>41955</v>
      </c>
    </row>
    <row r="1457" spans="1:15" x14ac:dyDescent="0.25">
      <c r="A1457" s="786" t="s">
        <v>3411</v>
      </c>
      <c r="B1457" s="787">
        <v>4</v>
      </c>
      <c r="C1457" s="787" t="s">
        <v>3412</v>
      </c>
      <c r="D1457" s="787">
        <v>4.58</v>
      </c>
      <c r="E1457" s="787">
        <v>6.92</v>
      </c>
      <c r="F1457" s="788">
        <v>40659</v>
      </c>
      <c r="G1457" s="788">
        <v>42013</v>
      </c>
      <c r="H1457" s="787">
        <v>1</v>
      </c>
      <c r="I1457" s="788">
        <v>42151</v>
      </c>
      <c r="J1457" s="788">
        <v>41731</v>
      </c>
      <c r="K1457" s="788">
        <v>41466</v>
      </c>
      <c r="L1457" s="787">
        <v>3.25</v>
      </c>
      <c r="M1457" s="787">
        <v>10</v>
      </c>
      <c r="N1457" s="787">
        <v>3.74</v>
      </c>
      <c r="O1457" s="788">
        <v>42163</v>
      </c>
    </row>
    <row r="1458" spans="1:15" x14ac:dyDescent="0.25">
      <c r="A1458" s="786" t="s">
        <v>3413</v>
      </c>
      <c r="B1458" s="787">
        <v>4</v>
      </c>
      <c r="C1458" s="787" t="s">
        <v>3414</v>
      </c>
      <c r="D1458" s="787">
        <v>6.65</v>
      </c>
      <c r="E1458" s="787">
        <v>6.65</v>
      </c>
      <c r="F1458" s="788">
        <v>40948</v>
      </c>
      <c r="G1458" s="788">
        <v>40948</v>
      </c>
      <c r="H1458" s="787">
        <v>1</v>
      </c>
      <c r="I1458" s="788">
        <v>40890</v>
      </c>
      <c r="J1458" s="788">
        <v>40889</v>
      </c>
      <c r="K1458" s="788">
        <v>41466</v>
      </c>
      <c r="L1458" s="787">
        <v>4.4400000000000004</v>
      </c>
      <c r="M1458" s="787">
        <v>10</v>
      </c>
      <c r="N1458" s="787">
        <v>5.21</v>
      </c>
      <c r="O1458" s="788">
        <v>41955</v>
      </c>
    </row>
    <row r="1459" spans="1:15" x14ac:dyDescent="0.25">
      <c r="A1459" s="786" t="s">
        <v>3415</v>
      </c>
      <c r="B1459" s="787">
        <v>4</v>
      </c>
      <c r="C1459" s="787" t="s">
        <v>3416</v>
      </c>
      <c r="D1459" s="787">
        <v>7.16</v>
      </c>
      <c r="E1459" s="787">
        <v>19.23</v>
      </c>
      <c r="F1459" s="788">
        <v>41247</v>
      </c>
      <c r="G1459" s="788">
        <v>42013</v>
      </c>
      <c r="H1459" s="787">
        <v>1</v>
      </c>
      <c r="I1459" s="788">
        <v>42151</v>
      </c>
      <c r="J1459" s="788">
        <v>41694</v>
      </c>
      <c r="K1459" s="788">
        <v>41445</v>
      </c>
      <c r="L1459" s="787">
        <v>1</v>
      </c>
      <c r="M1459" s="787">
        <v>10</v>
      </c>
      <c r="N1459" s="787">
        <v>19.100000000000001</v>
      </c>
      <c r="O1459" s="788">
        <v>42163</v>
      </c>
    </row>
    <row r="1460" spans="1:15" x14ac:dyDescent="0.25">
      <c r="A1460" s="786" t="s">
        <v>3417</v>
      </c>
      <c r="B1460" s="787">
        <v>4</v>
      </c>
      <c r="C1460" s="787" t="s">
        <v>3418</v>
      </c>
      <c r="D1460" s="787">
        <v>0</v>
      </c>
      <c r="E1460" s="787">
        <v>0</v>
      </c>
      <c r="G1460" s="788">
        <v>40745</v>
      </c>
      <c r="H1460" s="787">
        <v>3</v>
      </c>
      <c r="J1460" s="788">
        <v>40745</v>
      </c>
      <c r="L1460" s="787">
        <v>0</v>
      </c>
      <c r="M1460" s="787">
        <v>10</v>
      </c>
      <c r="N1460" s="787">
        <v>26.81</v>
      </c>
      <c r="O1460" s="788">
        <v>41955</v>
      </c>
    </row>
    <row r="1461" spans="1:15" x14ac:dyDescent="0.25">
      <c r="A1461" s="786" t="s">
        <v>3419</v>
      </c>
      <c r="B1461" s="787">
        <v>4</v>
      </c>
      <c r="C1461" s="787" t="s">
        <v>3420</v>
      </c>
      <c r="D1461" s="787">
        <v>0</v>
      </c>
      <c r="E1461" s="787">
        <v>0</v>
      </c>
      <c r="G1461" s="788">
        <v>40745</v>
      </c>
      <c r="H1461" s="787">
        <v>3</v>
      </c>
      <c r="J1461" s="788">
        <v>40745</v>
      </c>
      <c r="L1461" s="787">
        <v>0</v>
      </c>
      <c r="M1461" s="787">
        <v>10</v>
      </c>
      <c r="N1461" s="787">
        <v>26.81</v>
      </c>
      <c r="O1461" s="788">
        <v>41955</v>
      </c>
    </row>
    <row r="1462" spans="1:15" x14ac:dyDescent="0.25">
      <c r="A1462" s="786" t="s">
        <v>3421</v>
      </c>
      <c r="B1462" s="787">
        <v>4</v>
      </c>
      <c r="C1462" s="787" t="s">
        <v>2602</v>
      </c>
      <c r="D1462" s="787">
        <v>2.5099999999999998</v>
      </c>
      <c r="E1462" s="787">
        <v>27.63</v>
      </c>
      <c r="F1462" s="788">
        <v>41579</v>
      </c>
      <c r="G1462" s="788">
        <v>42115</v>
      </c>
      <c r="H1462" s="787">
        <v>1</v>
      </c>
      <c r="I1462" s="788">
        <v>42159</v>
      </c>
      <c r="J1462" s="788">
        <v>42087</v>
      </c>
      <c r="K1462" s="788">
        <v>41279</v>
      </c>
      <c r="L1462" s="787">
        <v>24.23</v>
      </c>
      <c r="M1462" s="787">
        <v>10</v>
      </c>
      <c r="N1462" s="787">
        <v>25.17</v>
      </c>
      <c r="O1462" s="788">
        <v>42152</v>
      </c>
    </row>
    <row r="1463" spans="1:15" x14ac:dyDescent="0.25">
      <c r="A1463" s="786" t="s">
        <v>3422</v>
      </c>
      <c r="B1463" s="787">
        <v>4</v>
      </c>
      <c r="C1463" s="787" t="s">
        <v>3423</v>
      </c>
      <c r="D1463" s="787">
        <v>0</v>
      </c>
      <c r="E1463" s="787">
        <v>0</v>
      </c>
      <c r="H1463" s="787">
        <v>1</v>
      </c>
      <c r="K1463" s="788">
        <v>41470</v>
      </c>
      <c r="L1463" s="787">
        <v>21.31</v>
      </c>
      <c r="M1463" s="787">
        <v>10</v>
      </c>
      <c r="N1463" s="787">
        <v>20.6</v>
      </c>
      <c r="O1463" s="788">
        <v>41955</v>
      </c>
    </row>
    <row r="1464" spans="1:15" x14ac:dyDescent="0.25">
      <c r="A1464" s="786" t="s">
        <v>3424</v>
      </c>
      <c r="B1464" s="787">
        <v>4</v>
      </c>
      <c r="C1464" s="787" t="s">
        <v>3425</v>
      </c>
      <c r="D1464" s="787">
        <v>0</v>
      </c>
      <c r="E1464" s="787">
        <v>0</v>
      </c>
      <c r="H1464" s="787">
        <v>1</v>
      </c>
      <c r="K1464" s="788">
        <v>41470</v>
      </c>
      <c r="L1464" s="787">
        <v>11.5</v>
      </c>
      <c r="M1464" s="787">
        <v>10</v>
      </c>
      <c r="N1464" s="787">
        <v>11.01</v>
      </c>
      <c r="O1464" s="788">
        <v>41955</v>
      </c>
    </row>
    <row r="1465" spans="1:15" x14ac:dyDescent="0.25">
      <c r="A1465" s="786" t="s">
        <v>3426</v>
      </c>
      <c r="B1465" s="787">
        <v>4</v>
      </c>
      <c r="C1465" s="787" t="s">
        <v>3427</v>
      </c>
      <c r="D1465" s="787">
        <v>0</v>
      </c>
      <c r="E1465" s="787">
        <v>0</v>
      </c>
      <c r="H1465" s="787">
        <v>1</v>
      </c>
      <c r="K1465" s="788">
        <v>41470</v>
      </c>
      <c r="L1465" s="787">
        <v>17.899999999999999</v>
      </c>
      <c r="M1465" s="787">
        <v>10</v>
      </c>
      <c r="N1465" s="787">
        <v>17.190000000000001</v>
      </c>
      <c r="O1465" s="788">
        <v>41955</v>
      </c>
    </row>
    <row r="1466" spans="1:15" x14ac:dyDescent="0.25">
      <c r="A1466" s="786" t="s">
        <v>3428</v>
      </c>
      <c r="B1466" s="787">
        <v>4</v>
      </c>
      <c r="C1466" s="787" t="s">
        <v>3429</v>
      </c>
      <c r="D1466" s="787">
        <v>0</v>
      </c>
      <c r="E1466" s="787">
        <v>0</v>
      </c>
      <c r="H1466" s="787">
        <v>1</v>
      </c>
      <c r="K1466" s="788">
        <v>41470</v>
      </c>
      <c r="L1466" s="787">
        <v>12.12</v>
      </c>
      <c r="M1466" s="787">
        <v>10</v>
      </c>
      <c r="N1466" s="787">
        <v>11.63</v>
      </c>
      <c r="O1466" s="788">
        <v>41955</v>
      </c>
    </row>
    <row r="1467" spans="1:15" x14ac:dyDescent="0.25">
      <c r="A1467" s="786" t="s">
        <v>3430</v>
      </c>
      <c r="B1467" s="787">
        <v>4</v>
      </c>
      <c r="C1467" s="787" t="s">
        <v>3431</v>
      </c>
      <c r="D1467" s="787">
        <v>0</v>
      </c>
      <c r="E1467" s="787">
        <v>0</v>
      </c>
      <c r="H1467" s="787">
        <v>1</v>
      </c>
      <c r="K1467" s="788">
        <v>41470</v>
      </c>
      <c r="L1467" s="787">
        <v>33.58</v>
      </c>
      <c r="M1467" s="787">
        <v>10</v>
      </c>
      <c r="N1467" s="787">
        <v>32.67</v>
      </c>
      <c r="O1467" s="788">
        <v>41955</v>
      </c>
    </row>
    <row r="1468" spans="1:15" x14ac:dyDescent="0.25">
      <c r="A1468" s="786" t="s">
        <v>3432</v>
      </c>
      <c r="B1468" s="787">
        <v>4</v>
      </c>
      <c r="C1468" s="787" t="s">
        <v>3433</v>
      </c>
      <c r="D1468" s="787">
        <v>0</v>
      </c>
      <c r="E1468" s="787">
        <v>0</v>
      </c>
      <c r="H1468" s="787">
        <v>1</v>
      </c>
      <c r="K1468" s="788">
        <v>41470</v>
      </c>
      <c r="L1468" s="787">
        <v>10.17</v>
      </c>
      <c r="M1468" s="787">
        <v>10</v>
      </c>
      <c r="N1468" s="787">
        <v>9.98</v>
      </c>
      <c r="O1468" s="788">
        <v>41955</v>
      </c>
    </row>
    <row r="1469" spans="1:15" x14ac:dyDescent="0.25">
      <c r="A1469" s="786" t="s">
        <v>3434</v>
      </c>
      <c r="B1469" s="787">
        <v>4</v>
      </c>
      <c r="C1469" s="787" t="s">
        <v>3435</v>
      </c>
      <c r="D1469" s="787">
        <v>0</v>
      </c>
      <c r="E1469" s="787">
        <v>0</v>
      </c>
      <c r="H1469" s="787">
        <v>1</v>
      </c>
      <c r="K1469" s="788">
        <v>41470</v>
      </c>
      <c r="L1469" s="787">
        <v>31.92</v>
      </c>
      <c r="M1469" s="787">
        <v>10</v>
      </c>
      <c r="N1469" s="787">
        <v>30.75</v>
      </c>
      <c r="O1469" s="788">
        <v>41955</v>
      </c>
    </row>
    <row r="1470" spans="1:15" x14ac:dyDescent="0.25">
      <c r="A1470" s="786" t="s">
        <v>3436</v>
      </c>
      <c r="B1470" s="787">
        <v>4</v>
      </c>
      <c r="C1470" s="787" t="s">
        <v>3437</v>
      </c>
      <c r="D1470" s="787">
        <v>0</v>
      </c>
      <c r="E1470" s="787">
        <v>0</v>
      </c>
      <c r="H1470" s="787">
        <v>1</v>
      </c>
      <c r="K1470" s="788">
        <v>41470</v>
      </c>
      <c r="L1470" s="787">
        <v>11.6</v>
      </c>
      <c r="M1470" s="787">
        <v>10</v>
      </c>
      <c r="N1470" s="787">
        <v>10.86</v>
      </c>
      <c r="O1470" s="788">
        <v>41955</v>
      </c>
    </row>
    <row r="1471" spans="1:15" x14ac:dyDescent="0.25">
      <c r="A1471" s="786" t="s">
        <v>3438</v>
      </c>
      <c r="B1471" s="787">
        <v>4</v>
      </c>
      <c r="C1471" s="787" t="s">
        <v>3439</v>
      </c>
      <c r="D1471" s="787">
        <v>0</v>
      </c>
      <c r="E1471" s="787">
        <v>0</v>
      </c>
      <c r="H1471" s="787">
        <v>1</v>
      </c>
      <c r="K1471" s="788">
        <v>41470</v>
      </c>
      <c r="L1471" s="787">
        <v>23.25</v>
      </c>
      <c r="M1471" s="787">
        <v>10</v>
      </c>
      <c r="N1471" s="787">
        <v>22.72</v>
      </c>
      <c r="O1471" s="788">
        <v>41955</v>
      </c>
    </row>
    <row r="1472" spans="1:15" x14ac:dyDescent="0.25">
      <c r="A1472" s="786" t="s">
        <v>3440</v>
      </c>
      <c r="B1472" s="787">
        <v>4</v>
      </c>
      <c r="C1472" s="787" t="s">
        <v>3441</v>
      </c>
      <c r="D1472" s="787">
        <v>0</v>
      </c>
      <c r="E1472" s="787">
        <v>0</v>
      </c>
      <c r="H1472" s="787">
        <v>1</v>
      </c>
      <c r="K1472" s="788">
        <v>41470</v>
      </c>
      <c r="L1472" s="787">
        <v>8.74</v>
      </c>
      <c r="M1472" s="787">
        <v>10</v>
      </c>
      <c r="N1472" s="787">
        <v>8.67</v>
      </c>
      <c r="O1472" s="788">
        <v>41955</v>
      </c>
    </row>
    <row r="1473" spans="1:15" x14ac:dyDescent="0.25">
      <c r="A1473" s="786" t="s">
        <v>3442</v>
      </c>
      <c r="B1473" s="787">
        <v>4</v>
      </c>
      <c r="C1473" s="787" t="s">
        <v>3443</v>
      </c>
      <c r="D1473" s="787">
        <v>0</v>
      </c>
      <c r="E1473" s="787">
        <v>0</v>
      </c>
      <c r="H1473" s="787">
        <v>1</v>
      </c>
      <c r="K1473" s="788">
        <v>41466</v>
      </c>
      <c r="L1473" s="787">
        <v>19.149999999999999</v>
      </c>
      <c r="M1473" s="787">
        <v>10</v>
      </c>
      <c r="N1473" s="787">
        <v>18.61</v>
      </c>
      <c r="O1473" s="788">
        <v>41955</v>
      </c>
    </row>
    <row r="1474" spans="1:15" x14ac:dyDescent="0.25">
      <c r="A1474" s="786" t="s">
        <v>3444</v>
      </c>
      <c r="B1474" s="787">
        <v>4</v>
      </c>
      <c r="C1474" s="787" t="s">
        <v>3445</v>
      </c>
      <c r="D1474" s="787">
        <v>0</v>
      </c>
      <c r="E1474" s="787">
        <v>0</v>
      </c>
      <c r="H1474" s="787">
        <v>1</v>
      </c>
      <c r="K1474" s="788">
        <v>41466</v>
      </c>
      <c r="L1474" s="787">
        <v>8.77</v>
      </c>
      <c r="M1474" s="787">
        <v>10</v>
      </c>
      <c r="N1474" s="787">
        <v>8.66</v>
      </c>
      <c r="O1474" s="788">
        <v>41955</v>
      </c>
    </row>
    <row r="1475" spans="1:15" x14ac:dyDescent="0.25">
      <c r="A1475" s="786" t="s">
        <v>3446</v>
      </c>
      <c r="B1475" s="787">
        <v>4</v>
      </c>
      <c r="C1475" s="787" t="s">
        <v>3447</v>
      </c>
      <c r="D1475" s="787">
        <v>0</v>
      </c>
      <c r="E1475" s="787">
        <v>0</v>
      </c>
      <c r="H1475" s="787">
        <v>1</v>
      </c>
      <c r="K1475" s="788">
        <v>41466</v>
      </c>
      <c r="L1475" s="787">
        <v>15.22</v>
      </c>
      <c r="M1475" s="787">
        <v>10</v>
      </c>
      <c r="N1475" s="787">
        <v>14.52</v>
      </c>
      <c r="O1475" s="788">
        <v>41955</v>
      </c>
    </row>
    <row r="1476" spans="1:15" x14ac:dyDescent="0.25">
      <c r="A1476" s="786" t="s">
        <v>3448</v>
      </c>
      <c r="B1476" s="787">
        <v>4</v>
      </c>
      <c r="C1476" s="787" t="s">
        <v>3449</v>
      </c>
      <c r="D1476" s="787">
        <v>0</v>
      </c>
      <c r="E1476" s="787">
        <v>0</v>
      </c>
      <c r="H1476" s="787">
        <v>1</v>
      </c>
      <c r="K1476" s="788">
        <v>41466</v>
      </c>
      <c r="L1476" s="787">
        <v>10.53</v>
      </c>
      <c r="M1476" s="787">
        <v>10</v>
      </c>
      <c r="N1476" s="787">
        <v>10.39</v>
      </c>
      <c r="O1476" s="788">
        <v>41955</v>
      </c>
    </row>
    <row r="1477" spans="1:15" x14ac:dyDescent="0.25">
      <c r="A1477" s="786" t="s">
        <v>3450</v>
      </c>
      <c r="B1477" s="787">
        <v>4</v>
      </c>
      <c r="C1477" s="787" t="s">
        <v>3451</v>
      </c>
      <c r="D1477" s="787">
        <v>0</v>
      </c>
      <c r="E1477" s="787">
        <v>0</v>
      </c>
      <c r="H1477" s="787">
        <v>1</v>
      </c>
      <c r="K1477" s="788">
        <v>41466</v>
      </c>
      <c r="L1477" s="787">
        <v>18.559999999999999</v>
      </c>
      <c r="M1477" s="787">
        <v>10</v>
      </c>
      <c r="N1477" s="787">
        <v>17.690000000000001</v>
      </c>
      <c r="O1477" s="788">
        <v>41955</v>
      </c>
    </row>
    <row r="1478" spans="1:15" x14ac:dyDescent="0.25">
      <c r="A1478" s="786" t="s">
        <v>3452</v>
      </c>
      <c r="B1478" s="787">
        <v>4</v>
      </c>
      <c r="C1478" s="787" t="s">
        <v>3453</v>
      </c>
      <c r="D1478" s="787">
        <v>0</v>
      </c>
      <c r="E1478" s="787">
        <v>0</v>
      </c>
      <c r="H1478" s="787">
        <v>1</v>
      </c>
      <c r="K1478" s="788">
        <v>41466</v>
      </c>
      <c r="L1478" s="787">
        <v>11.62</v>
      </c>
      <c r="M1478" s="787">
        <v>10</v>
      </c>
      <c r="N1478" s="787">
        <v>11.45</v>
      </c>
      <c r="O1478" s="788">
        <v>41955</v>
      </c>
    </row>
    <row r="1479" spans="1:15" x14ac:dyDescent="0.25">
      <c r="A1479" s="786" t="s">
        <v>3454</v>
      </c>
      <c r="B1479" s="787">
        <v>4</v>
      </c>
      <c r="C1479" s="787" t="s">
        <v>3455</v>
      </c>
      <c r="D1479" s="787">
        <v>0</v>
      </c>
      <c r="E1479" s="787">
        <v>0</v>
      </c>
      <c r="H1479" s="787">
        <v>1</v>
      </c>
      <c r="L1479" s="787">
        <v>0.1</v>
      </c>
      <c r="M1479" s="787">
        <v>10</v>
      </c>
      <c r="N1479" s="787">
        <v>31.7</v>
      </c>
      <c r="O1479" s="788">
        <v>42163</v>
      </c>
    </row>
    <row r="1480" spans="1:15" x14ac:dyDescent="0.25">
      <c r="A1480" s="786" t="s">
        <v>3456</v>
      </c>
      <c r="B1480" s="787">
        <v>4</v>
      </c>
      <c r="C1480" s="787" t="s">
        <v>3457</v>
      </c>
      <c r="D1480" s="787">
        <v>0</v>
      </c>
      <c r="E1480" s="787">
        <v>0</v>
      </c>
      <c r="H1480" s="787">
        <v>1</v>
      </c>
      <c r="L1480" s="787">
        <v>0.1</v>
      </c>
      <c r="M1480" s="787">
        <v>10</v>
      </c>
      <c r="N1480" s="787">
        <v>31.7</v>
      </c>
      <c r="O1480" s="788">
        <v>42163</v>
      </c>
    </row>
    <row r="1481" spans="1:15" x14ac:dyDescent="0.25">
      <c r="A1481" s="786" t="s">
        <v>3458</v>
      </c>
      <c r="B1481" s="787">
        <v>4</v>
      </c>
      <c r="C1481" s="787" t="s">
        <v>3459</v>
      </c>
      <c r="D1481" s="787">
        <v>0</v>
      </c>
      <c r="E1481" s="787">
        <v>0</v>
      </c>
      <c r="G1481" s="788">
        <v>41599</v>
      </c>
      <c r="H1481" s="787">
        <v>1</v>
      </c>
      <c r="I1481" s="788">
        <v>41583</v>
      </c>
      <c r="J1481" s="788">
        <v>41599</v>
      </c>
      <c r="L1481" s="787">
        <v>0.1</v>
      </c>
      <c r="M1481" s="787">
        <v>10</v>
      </c>
      <c r="N1481" s="787">
        <v>32.96</v>
      </c>
      <c r="O1481" s="788">
        <v>41955</v>
      </c>
    </row>
    <row r="1482" spans="1:15" x14ac:dyDescent="0.25">
      <c r="A1482" s="786" t="s">
        <v>3460</v>
      </c>
      <c r="B1482" s="787">
        <v>4</v>
      </c>
      <c r="C1482" s="787" t="s">
        <v>3461</v>
      </c>
      <c r="D1482" s="787">
        <v>0</v>
      </c>
      <c r="E1482" s="787">
        <v>0</v>
      </c>
      <c r="F1482" s="788">
        <v>41775</v>
      </c>
      <c r="G1482" s="788">
        <v>41775</v>
      </c>
      <c r="H1482" s="787">
        <v>1</v>
      </c>
      <c r="I1482" s="788">
        <v>41583</v>
      </c>
      <c r="J1482" s="788">
        <v>41598</v>
      </c>
      <c r="L1482" s="787">
        <v>0.1</v>
      </c>
      <c r="M1482" s="787">
        <v>10</v>
      </c>
      <c r="N1482" s="787">
        <v>32.96</v>
      </c>
      <c r="O1482" s="788">
        <v>41955</v>
      </c>
    </row>
    <row r="1483" spans="1:15" x14ac:dyDescent="0.25">
      <c r="A1483" s="786" t="s">
        <v>3462</v>
      </c>
      <c r="B1483" s="787">
        <v>4</v>
      </c>
      <c r="C1483" s="787" t="s">
        <v>3463</v>
      </c>
      <c r="D1483" s="787">
        <v>0</v>
      </c>
      <c r="E1483" s="787">
        <v>0</v>
      </c>
      <c r="H1483" s="787">
        <v>1</v>
      </c>
      <c r="L1483" s="787">
        <v>0.1</v>
      </c>
      <c r="M1483" s="787">
        <v>10</v>
      </c>
      <c r="N1483" s="787">
        <v>24.09</v>
      </c>
      <c r="O1483" s="788">
        <v>41955</v>
      </c>
    </row>
    <row r="1484" spans="1:15" x14ac:dyDescent="0.25">
      <c r="A1484" s="786" t="s">
        <v>3464</v>
      </c>
      <c r="B1484" s="787">
        <v>4</v>
      </c>
      <c r="C1484" s="787" t="s">
        <v>3465</v>
      </c>
      <c r="D1484" s="787">
        <v>0</v>
      </c>
      <c r="E1484" s="787">
        <v>0</v>
      </c>
      <c r="H1484" s="787">
        <v>1</v>
      </c>
      <c r="L1484" s="787">
        <v>0.1</v>
      </c>
      <c r="M1484" s="787">
        <v>10</v>
      </c>
      <c r="N1484" s="787">
        <v>24.09</v>
      </c>
      <c r="O1484" s="788">
        <v>41955</v>
      </c>
    </row>
    <row r="1485" spans="1:15" x14ac:dyDescent="0.25">
      <c r="A1485" s="786" t="s">
        <v>3466</v>
      </c>
      <c r="B1485" s="787">
        <v>4</v>
      </c>
      <c r="C1485" s="787" t="s">
        <v>3467</v>
      </c>
      <c r="D1485" s="787">
        <v>0</v>
      </c>
      <c r="E1485" s="787">
        <v>0</v>
      </c>
      <c r="H1485" s="787">
        <v>1</v>
      </c>
      <c r="L1485" s="787">
        <v>0.1</v>
      </c>
      <c r="M1485" s="787">
        <v>10</v>
      </c>
      <c r="N1485" s="787">
        <v>24.89</v>
      </c>
      <c r="O1485" s="788">
        <v>41955</v>
      </c>
    </row>
    <row r="1486" spans="1:15" x14ac:dyDescent="0.25">
      <c r="A1486" s="786" t="s">
        <v>3468</v>
      </c>
      <c r="B1486" s="787">
        <v>4</v>
      </c>
      <c r="C1486" s="787" t="s">
        <v>3469</v>
      </c>
      <c r="D1486" s="787">
        <v>0</v>
      </c>
      <c r="E1486" s="787">
        <v>0</v>
      </c>
      <c r="H1486" s="787">
        <v>1</v>
      </c>
      <c r="L1486" s="787">
        <v>0.1</v>
      </c>
      <c r="M1486" s="787">
        <v>10</v>
      </c>
      <c r="N1486" s="787">
        <v>24.89</v>
      </c>
      <c r="O1486" s="788">
        <v>41955</v>
      </c>
    </row>
    <row r="1487" spans="1:15" x14ac:dyDescent="0.25">
      <c r="A1487" s="786" t="s">
        <v>3470</v>
      </c>
      <c r="B1487" s="787">
        <v>4</v>
      </c>
      <c r="C1487" s="787" t="s">
        <v>3471</v>
      </c>
      <c r="D1487" s="787">
        <v>0</v>
      </c>
      <c r="E1487" s="787">
        <v>0</v>
      </c>
      <c r="H1487" s="787">
        <v>1</v>
      </c>
      <c r="L1487" s="787">
        <v>0.1</v>
      </c>
      <c r="M1487" s="787">
        <v>10</v>
      </c>
      <c r="N1487" s="787">
        <v>29.55</v>
      </c>
      <c r="O1487" s="788">
        <v>41955</v>
      </c>
    </row>
    <row r="1488" spans="1:15" x14ac:dyDescent="0.25">
      <c r="A1488" s="786" t="s">
        <v>3472</v>
      </c>
      <c r="B1488" s="787">
        <v>4</v>
      </c>
      <c r="C1488" s="787" t="s">
        <v>3473</v>
      </c>
      <c r="D1488" s="787">
        <v>0</v>
      </c>
      <c r="E1488" s="787">
        <v>0</v>
      </c>
      <c r="H1488" s="787">
        <v>1</v>
      </c>
      <c r="L1488" s="787">
        <v>0.1</v>
      </c>
      <c r="M1488" s="787">
        <v>10</v>
      </c>
      <c r="N1488" s="787">
        <v>17.11</v>
      </c>
      <c r="O1488" s="788">
        <v>41955</v>
      </c>
    </row>
    <row r="1489" spans="1:15" x14ac:dyDescent="0.25">
      <c r="A1489" s="786" t="s">
        <v>3474</v>
      </c>
      <c r="B1489" s="787">
        <v>4</v>
      </c>
      <c r="C1489" s="787" t="s">
        <v>3475</v>
      </c>
      <c r="D1489" s="787">
        <v>0</v>
      </c>
      <c r="E1489" s="787">
        <v>0</v>
      </c>
      <c r="H1489" s="787">
        <v>1</v>
      </c>
      <c r="L1489" s="787">
        <v>0.1</v>
      </c>
      <c r="M1489" s="787">
        <v>10</v>
      </c>
      <c r="N1489" s="787">
        <v>29.55</v>
      </c>
      <c r="O1489" s="788">
        <v>41955</v>
      </c>
    </row>
    <row r="1490" spans="1:15" x14ac:dyDescent="0.25">
      <c r="A1490" s="786" t="s">
        <v>3476</v>
      </c>
      <c r="B1490" s="787">
        <v>4</v>
      </c>
      <c r="C1490" s="787" t="s">
        <v>3477</v>
      </c>
      <c r="D1490" s="787">
        <v>0</v>
      </c>
      <c r="E1490" s="787">
        <v>0</v>
      </c>
      <c r="H1490" s="787">
        <v>1</v>
      </c>
      <c r="L1490" s="787">
        <v>0.1</v>
      </c>
      <c r="M1490" s="787">
        <v>10</v>
      </c>
      <c r="N1490" s="787">
        <v>17.11</v>
      </c>
      <c r="O1490" s="788">
        <v>41955</v>
      </c>
    </row>
    <row r="1491" spans="1:15" x14ac:dyDescent="0.25">
      <c r="A1491" s="786" t="s">
        <v>3478</v>
      </c>
      <c r="B1491" s="787">
        <v>4</v>
      </c>
      <c r="C1491" s="787" t="s">
        <v>3479</v>
      </c>
      <c r="D1491" s="787">
        <v>0</v>
      </c>
      <c r="E1491" s="787">
        <v>0</v>
      </c>
      <c r="H1491" s="787">
        <v>1</v>
      </c>
      <c r="L1491" s="787">
        <v>0.1</v>
      </c>
      <c r="M1491" s="787">
        <v>10</v>
      </c>
      <c r="N1491" s="787">
        <v>30.67</v>
      </c>
      <c r="O1491" s="788">
        <v>41955</v>
      </c>
    </row>
    <row r="1492" spans="1:15" x14ac:dyDescent="0.25">
      <c r="A1492" s="786" t="s">
        <v>3480</v>
      </c>
      <c r="B1492" s="787">
        <v>4</v>
      </c>
      <c r="C1492" s="787" t="s">
        <v>3481</v>
      </c>
      <c r="D1492" s="787">
        <v>0</v>
      </c>
      <c r="E1492" s="787">
        <v>0</v>
      </c>
      <c r="H1492" s="787">
        <v>1</v>
      </c>
      <c r="L1492" s="787">
        <v>0.1</v>
      </c>
      <c r="M1492" s="787">
        <v>10</v>
      </c>
      <c r="N1492" s="787">
        <v>17.440000000000001</v>
      </c>
      <c r="O1492" s="788">
        <v>41955</v>
      </c>
    </row>
    <row r="1493" spans="1:15" x14ac:dyDescent="0.25">
      <c r="A1493" s="786" t="s">
        <v>3482</v>
      </c>
      <c r="B1493" s="787">
        <v>4</v>
      </c>
      <c r="C1493" s="787" t="s">
        <v>3483</v>
      </c>
      <c r="D1493" s="787">
        <v>0</v>
      </c>
      <c r="E1493" s="787">
        <v>0</v>
      </c>
      <c r="H1493" s="787">
        <v>1</v>
      </c>
      <c r="L1493" s="787">
        <v>0.1</v>
      </c>
      <c r="M1493" s="787">
        <v>10</v>
      </c>
      <c r="N1493" s="787">
        <v>30.67</v>
      </c>
      <c r="O1493" s="788">
        <v>41955</v>
      </c>
    </row>
    <row r="1494" spans="1:15" x14ac:dyDescent="0.25">
      <c r="A1494" s="786" t="s">
        <v>3484</v>
      </c>
      <c r="B1494" s="787">
        <v>4</v>
      </c>
      <c r="C1494" s="787" t="s">
        <v>3485</v>
      </c>
      <c r="D1494" s="787">
        <v>0</v>
      </c>
      <c r="E1494" s="787">
        <v>0</v>
      </c>
      <c r="H1494" s="787">
        <v>1</v>
      </c>
      <c r="L1494" s="787">
        <v>0.1</v>
      </c>
      <c r="M1494" s="787">
        <v>10</v>
      </c>
      <c r="N1494" s="787">
        <v>17.440000000000001</v>
      </c>
      <c r="O1494" s="788">
        <v>41955</v>
      </c>
    </row>
    <row r="1495" spans="1:15" x14ac:dyDescent="0.25">
      <c r="A1495" s="786" t="s">
        <v>3486</v>
      </c>
      <c r="B1495" s="787">
        <v>4</v>
      </c>
      <c r="C1495" s="787" t="s">
        <v>3487</v>
      </c>
      <c r="D1495" s="787">
        <v>0</v>
      </c>
      <c r="E1495" s="787">
        <v>0</v>
      </c>
      <c r="H1495" s="787">
        <v>1</v>
      </c>
      <c r="L1495" s="787">
        <v>0.1</v>
      </c>
      <c r="M1495" s="787">
        <v>10</v>
      </c>
      <c r="N1495" s="787">
        <v>25.84</v>
      </c>
      <c r="O1495" s="788">
        <v>41955</v>
      </c>
    </row>
    <row r="1496" spans="1:15" x14ac:dyDescent="0.25">
      <c r="A1496" s="786" t="s">
        <v>3488</v>
      </c>
      <c r="B1496" s="787">
        <v>4</v>
      </c>
      <c r="C1496" s="787" t="s">
        <v>3489</v>
      </c>
      <c r="D1496" s="787">
        <v>0</v>
      </c>
      <c r="E1496" s="787">
        <v>0</v>
      </c>
      <c r="H1496" s="787">
        <v>1</v>
      </c>
      <c r="L1496" s="787">
        <v>0.1</v>
      </c>
      <c r="M1496" s="787">
        <v>10</v>
      </c>
      <c r="N1496" s="787">
        <v>15.18</v>
      </c>
      <c r="O1496" s="788">
        <v>41955</v>
      </c>
    </row>
    <row r="1497" spans="1:15" x14ac:dyDescent="0.25">
      <c r="A1497" s="786" t="s">
        <v>3490</v>
      </c>
      <c r="B1497" s="787">
        <v>4</v>
      </c>
      <c r="C1497" s="787" t="s">
        <v>3491</v>
      </c>
      <c r="D1497" s="787">
        <v>0</v>
      </c>
      <c r="E1497" s="787">
        <v>0</v>
      </c>
      <c r="H1497" s="787">
        <v>1</v>
      </c>
      <c r="L1497" s="787">
        <v>0.1</v>
      </c>
      <c r="M1497" s="787">
        <v>10</v>
      </c>
      <c r="N1497" s="787">
        <v>25.84</v>
      </c>
      <c r="O1497" s="788">
        <v>41955</v>
      </c>
    </row>
    <row r="1498" spans="1:15" x14ac:dyDescent="0.25">
      <c r="A1498" s="786" t="s">
        <v>3492</v>
      </c>
      <c r="B1498" s="787">
        <v>4</v>
      </c>
      <c r="C1498" s="787" t="s">
        <v>3493</v>
      </c>
      <c r="D1498" s="787">
        <v>0</v>
      </c>
      <c r="E1498" s="787">
        <v>0</v>
      </c>
      <c r="H1498" s="787">
        <v>1</v>
      </c>
      <c r="L1498" s="787">
        <v>0.1</v>
      </c>
      <c r="M1498" s="787">
        <v>10</v>
      </c>
      <c r="N1498" s="787">
        <v>15.18</v>
      </c>
      <c r="O1498" s="788">
        <v>41955</v>
      </c>
    </row>
    <row r="1499" spans="1:15" x14ac:dyDescent="0.25">
      <c r="A1499" s="786" t="s">
        <v>3494</v>
      </c>
      <c r="B1499" s="787">
        <v>4</v>
      </c>
      <c r="C1499" s="787" t="s">
        <v>3495</v>
      </c>
      <c r="D1499" s="787">
        <v>0</v>
      </c>
      <c r="E1499" s="787">
        <v>0</v>
      </c>
      <c r="H1499" s="787">
        <v>1</v>
      </c>
      <c r="L1499" s="787">
        <v>0.1</v>
      </c>
      <c r="M1499" s="787">
        <v>10</v>
      </c>
      <c r="N1499" s="787">
        <v>26.72</v>
      </c>
      <c r="O1499" s="788">
        <v>41955</v>
      </c>
    </row>
    <row r="1500" spans="1:15" x14ac:dyDescent="0.25">
      <c r="A1500" s="786" t="s">
        <v>3496</v>
      </c>
      <c r="B1500" s="787">
        <v>4</v>
      </c>
      <c r="C1500" s="787" t="s">
        <v>3497</v>
      </c>
      <c r="D1500" s="787">
        <v>0</v>
      </c>
      <c r="E1500" s="787">
        <v>0</v>
      </c>
      <c r="H1500" s="787">
        <v>1</v>
      </c>
      <c r="L1500" s="787">
        <v>0.1</v>
      </c>
      <c r="M1500" s="787">
        <v>10</v>
      </c>
      <c r="N1500" s="787">
        <v>15.43</v>
      </c>
      <c r="O1500" s="788">
        <v>41955</v>
      </c>
    </row>
    <row r="1501" spans="1:15" x14ac:dyDescent="0.25">
      <c r="A1501" s="786" t="s">
        <v>3498</v>
      </c>
      <c r="B1501" s="787">
        <v>4</v>
      </c>
      <c r="C1501" s="787" t="s">
        <v>3499</v>
      </c>
      <c r="D1501" s="787">
        <v>0</v>
      </c>
      <c r="E1501" s="787">
        <v>0</v>
      </c>
      <c r="H1501" s="787">
        <v>1</v>
      </c>
      <c r="L1501" s="787">
        <v>0.1</v>
      </c>
      <c r="M1501" s="787">
        <v>10</v>
      </c>
      <c r="N1501" s="787">
        <v>26.72</v>
      </c>
      <c r="O1501" s="788">
        <v>41955</v>
      </c>
    </row>
    <row r="1502" spans="1:15" x14ac:dyDescent="0.25">
      <c r="A1502" s="786" t="s">
        <v>3500</v>
      </c>
      <c r="B1502" s="787">
        <v>4</v>
      </c>
      <c r="C1502" s="787" t="s">
        <v>3501</v>
      </c>
      <c r="D1502" s="787">
        <v>0</v>
      </c>
      <c r="E1502" s="787">
        <v>0</v>
      </c>
      <c r="H1502" s="787">
        <v>1</v>
      </c>
      <c r="L1502" s="787">
        <v>0.1</v>
      </c>
      <c r="M1502" s="787">
        <v>10</v>
      </c>
      <c r="N1502" s="787">
        <v>15.43</v>
      </c>
      <c r="O1502" s="788">
        <v>41955</v>
      </c>
    </row>
    <row r="1503" spans="1:15" x14ac:dyDescent="0.25">
      <c r="A1503" s="786" t="s">
        <v>3502</v>
      </c>
      <c r="B1503" s="787">
        <v>4</v>
      </c>
      <c r="C1503" s="787" t="s">
        <v>3503</v>
      </c>
      <c r="D1503" s="787">
        <v>7.02</v>
      </c>
      <c r="E1503" s="787">
        <v>7.02</v>
      </c>
      <c r="F1503" s="788">
        <v>41586</v>
      </c>
      <c r="G1503" s="788">
        <v>42013</v>
      </c>
      <c r="H1503" s="787">
        <v>1</v>
      </c>
      <c r="I1503" s="788">
        <v>42152</v>
      </c>
      <c r="J1503" s="788">
        <v>41585</v>
      </c>
      <c r="L1503" s="787">
        <v>7.02</v>
      </c>
      <c r="M1503" s="787">
        <v>20</v>
      </c>
      <c r="N1503" s="787">
        <v>7.55</v>
      </c>
      <c r="O1503" s="788">
        <v>41955</v>
      </c>
    </row>
    <row r="1504" spans="1:15" x14ac:dyDescent="0.25">
      <c r="A1504" s="786" t="s">
        <v>3504</v>
      </c>
      <c r="B1504" s="787">
        <v>4</v>
      </c>
      <c r="C1504" s="787" t="s">
        <v>3505</v>
      </c>
      <c r="D1504" s="787">
        <v>7.02</v>
      </c>
      <c r="E1504" s="787">
        <v>7.02</v>
      </c>
      <c r="F1504" s="788">
        <v>41586</v>
      </c>
      <c r="G1504" s="788">
        <v>42013</v>
      </c>
      <c r="H1504" s="787">
        <v>1</v>
      </c>
      <c r="I1504" s="788">
        <v>42152</v>
      </c>
      <c r="J1504" s="788">
        <v>41585</v>
      </c>
      <c r="L1504" s="787">
        <v>7.02</v>
      </c>
      <c r="M1504" s="787">
        <v>20</v>
      </c>
      <c r="N1504" s="787">
        <v>7.55</v>
      </c>
      <c r="O1504" s="788">
        <v>41955</v>
      </c>
    </row>
    <row r="1505" spans="1:15" x14ac:dyDescent="0.25">
      <c r="A1505" s="786" t="s">
        <v>3506</v>
      </c>
      <c r="B1505" s="787">
        <v>4</v>
      </c>
      <c r="C1505" s="787" t="s">
        <v>3507</v>
      </c>
      <c r="D1505" s="787">
        <v>0</v>
      </c>
      <c r="E1505" s="787">
        <v>0</v>
      </c>
      <c r="H1505" s="787">
        <v>1</v>
      </c>
      <c r="K1505" s="788">
        <v>41466</v>
      </c>
      <c r="L1505" s="787">
        <v>21.85</v>
      </c>
      <c r="M1505" s="787">
        <v>10</v>
      </c>
      <c r="N1505" s="787">
        <v>20.82</v>
      </c>
      <c r="O1505" s="788">
        <v>41955</v>
      </c>
    </row>
    <row r="1506" spans="1:15" x14ac:dyDescent="0.25">
      <c r="A1506" s="786" t="s">
        <v>3508</v>
      </c>
      <c r="B1506" s="787">
        <v>4</v>
      </c>
      <c r="C1506" s="787" t="s">
        <v>3285</v>
      </c>
      <c r="D1506" s="787">
        <v>0</v>
      </c>
      <c r="E1506" s="787">
        <v>0</v>
      </c>
      <c r="H1506" s="787">
        <v>1</v>
      </c>
      <c r="L1506" s="787">
        <v>0.01</v>
      </c>
      <c r="M1506" s="787">
        <v>10</v>
      </c>
      <c r="N1506" s="787">
        <v>11.96</v>
      </c>
      <c r="O1506" s="788">
        <v>41955</v>
      </c>
    </row>
    <row r="1507" spans="1:15" x14ac:dyDescent="0.25">
      <c r="A1507" s="786" t="s">
        <v>3509</v>
      </c>
      <c r="B1507" s="787">
        <v>4</v>
      </c>
      <c r="C1507" s="787" t="s">
        <v>3510</v>
      </c>
      <c r="D1507" s="787">
        <v>0</v>
      </c>
      <c r="E1507" s="787">
        <v>0</v>
      </c>
      <c r="H1507" s="787">
        <v>1</v>
      </c>
      <c r="K1507" s="788">
        <v>41466</v>
      </c>
      <c r="L1507" s="787">
        <v>329.36</v>
      </c>
      <c r="M1507" s="787">
        <v>10</v>
      </c>
      <c r="N1507" s="787">
        <v>318.33</v>
      </c>
      <c r="O1507" s="788">
        <v>41955</v>
      </c>
    </row>
    <row r="1508" spans="1:15" x14ac:dyDescent="0.25">
      <c r="A1508" s="786" t="s">
        <v>3511</v>
      </c>
      <c r="B1508" s="787">
        <v>4</v>
      </c>
      <c r="C1508" s="787" t="s">
        <v>3512</v>
      </c>
      <c r="D1508" s="787">
        <v>0</v>
      </c>
      <c r="E1508" s="787">
        <v>0</v>
      </c>
      <c r="H1508" s="787">
        <v>1</v>
      </c>
      <c r="K1508" s="788">
        <v>41466</v>
      </c>
      <c r="L1508" s="787">
        <v>321.32</v>
      </c>
      <c r="M1508" s="787">
        <v>10</v>
      </c>
      <c r="N1508" s="787">
        <v>314.95</v>
      </c>
      <c r="O1508" s="788">
        <v>41955</v>
      </c>
    </row>
    <row r="1509" spans="1:15" x14ac:dyDescent="0.25">
      <c r="A1509" s="786" t="s">
        <v>3513</v>
      </c>
      <c r="B1509" s="787">
        <v>4</v>
      </c>
      <c r="C1509" s="787" t="s">
        <v>3514</v>
      </c>
      <c r="D1509" s="787">
        <v>0</v>
      </c>
      <c r="E1509" s="787">
        <v>0</v>
      </c>
      <c r="H1509" s="787">
        <v>1</v>
      </c>
      <c r="K1509" s="788">
        <v>41466</v>
      </c>
      <c r="L1509" s="787">
        <v>330.92</v>
      </c>
      <c r="M1509" s="787">
        <v>10</v>
      </c>
      <c r="N1509" s="787">
        <v>319.58999999999997</v>
      </c>
      <c r="O1509" s="788">
        <v>41955</v>
      </c>
    </row>
    <row r="1510" spans="1:15" x14ac:dyDescent="0.25">
      <c r="A1510" s="786" t="s">
        <v>3515</v>
      </c>
      <c r="B1510" s="787">
        <v>4</v>
      </c>
      <c r="C1510" s="787" t="s">
        <v>3516</v>
      </c>
      <c r="D1510" s="787">
        <v>0</v>
      </c>
      <c r="E1510" s="787">
        <v>0</v>
      </c>
      <c r="H1510" s="787">
        <v>1</v>
      </c>
      <c r="K1510" s="788">
        <v>41466</v>
      </c>
      <c r="L1510" s="787">
        <v>321.32</v>
      </c>
      <c r="M1510" s="787">
        <v>10</v>
      </c>
      <c r="N1510" s="787">
        <v>314.95</v>
      </c>
      <c r="O1510" s="788">
        <v>41955</v>
      </c>
    </row>
    <row r="1511" spans="1:15" x14ac:dyDescent="0.25">
      <c r="A1511" s="786" t="s">
        <v>3517</v>
      </c>
      <c r="B1511" s="787">
        <v>4</v>
      </c>
      <c r="C1511" s="787" t="s">
        <v>3518</v>
      </c>
      <c r="D1511" s="787">
        <v>0</v>
      </c>
      <c r="E1511" s="787">
        <v>0</v>
      </c>
      <c r="H1511" s="787">
        <v>1</v>
      </c>
      <c r="K1511" s="788">
        <v>41466</v>
      </c>
      <c r="L1511" s="787">
        <v>314.88</v>
      </c>
      <c r="M1511" s="787">
        <v>10</v>
      </c>
      <c r="N1511" s="787">
        <v>301.23</v>
      </c>
      <c r="O1511" s="788">
        <v>41955</v>
      </c>
    </row>
    <row r="1512" spans="1:15" x14ac:dyDescent="0.25">
      <c r="A1512" s="786" t="s">
        <v>3519</v>
      </c>
      <c r="B1512" s="787">
        <v>4</v>
      </c>
      <c r="C1512" s="787" t="s">
        <v>3520</v>
      </c>
      <c r="D1512" s="787">
        <v>0</v>
      </c>
      <c r="E1512" s="787">
        <v>0</v>
      </c>
      <c r="H1512" s="787">
        <v>1</v>
      </c>
      <c r="K1512" s="788">
        <v>41466</v>
      </c>
      <c r="L1512" s="787">
        <v>315.07</v>
      </c>
      <c r="M1512" s="787">
        <v>10</v>
      </c>
      <c r="N1512" s="787">
        <v>301.42</v>
      </c>
      <c r="O1512" s="788">
        <v>41955</v>
      </c>
    </row>
    <row r="1513" spans="1:15" x14ac:dyDescent="0.25">
      <c r="A1513" s="786" t="s">
        <v>3521</v>
      </c>
      <c r="B1513" s="787">
        <v>4</v>
      </c>
      <c r="C1513" s="787" t="s">
        <v>3522</v>
      </c>
      <c r="D1513" s="787">
        <v>0</v>
      </c>
      <c r="E1513" s="787">
        <v>0</v>
      </c>
      <c r="H1513" s="787">
        <v>1</v>
      </c>
      <c r="K1513" s="788">
        <v>41466</v>
      </c>
      <c r="L1513" s="787">
        <v>315.74</v>
      </c>
      <c r="M1513" s="787">
        <v>10</v>
      </c>
      <c r="N1513" s="787">
        <v>302.04000000000002</v>
      </c>
      <c r="O1513" s="788">
        <v>41955</v>
      </c>
    </row>
    <row r="1514" spans="1:15" x14ac:dyDescent="0.25">
      <c r="A1514" s="786" t="s">
        <v>3523</v>
      </c>
      <c r="B1514" s="787">
        <v>4</v>
      </c>
      <c r="C1514" s="787" t="s">
        <v>3524</v>
      </c>
      <c r="D1514" s="787">
        <v>0</v>
      </c>
      <c r="E1514" s="787">
        <v>0</v>
      </c>
      <c r="H1514" s="787">
        <v>1</v>
      </c>
      <c r="K1514" s="788">
        <v>41466</v>
      </c>
      <c r="L1514" s="787">
        <v>315.93</v>
      </c>
      <c r="M1514" s="787">
        <v>10</v>
      </c>
      <c r="N1514" s="787">
        <v>302.23</v>
      </c>
      <c r="O1514" s="788">
        <v>41955</v>
      </c>
    </row>
    <row r="1515" spans="1:15" x14ac:dyDescent="0.25">
      <c r="A1515" s="786" t="s">
        <v>3525</v>
      </c>
      <c r="B1515" s="787">
        <v>4</v>
      </c>
      <c r="C1515" s="787" t="s">
        <v>3526</v>
      </c>
      <c r="D1515" s="787">
        <v>0</v>
      </c>
      <c r="E1515" s="787">
        <v>0</v>
      </c>
      <c r="H1515" s="787">
        <v>1</v>
      </c>
      <c r="K1515" s="788">
        <v>41466</v>
      </c>
      <c r="L1515" s="787">
        <v>314.88</v>
      </c>
      <c r="M1515" s="787">
        <v>10</v>
      </c>
      <c r="N1515" s="787">
        <v>301.23</v>
      </c>
      <c r="O1515" s="788">
        <v>41955</v>
      </c>
    </row>
    <row r="1516" spans="1:15" x14ac:dyDescent="0.25">
      <c r="A1516" s="786" t="s">
        <v>3527</v>
      </c>
      <c r="B1516" s="787">
        <v>4</v>
      </c>
      <c r="C1516" s="787" t="s">
        <v>3528</v>
      </c>
      <c r="D1516" s="787">
        <v>0</v>
      </c>
      <c r="E1516" s="787">
        <v>0</v>
      </c>
      <c r="H1516" s="787">
        <v>1</v>
      </c>
      <c r="K1516" s="788">
        <v>41466</v>
      </c>
      <c r="L1516" s="787">
        <v>315.07</v>
      </c>
      <c r="M1516" s="787">
        <v>10</v>
      </c>
      <c r="N1516" s="787">
        <v>301.42</v>
      </c>
      <c r="O1516" s="788">
        <v>41955</v>
      </c>
    </row>
    <row r="1517" spans="1:15" x14ac:dyDescent="0.25">
      <c r="A1517" s="786" t="s">
        <v>3529</v>
      </c>
      <c r="B1517" s="787">
        <v>4</v>
      </c>
      <c r="C1517" s="787" t="s">
        <v>3530</v>
      </c>
      <c r="D1517" s="787">
        <v>5.31</v>
      </c>
      <c r="E1517" s="787">
        <v>15.31</v>
      </c>
      <c r="F1517" s="788">
        <v>41458</v>
      </c>
      <c r="G1517" s="788">
        <v>41457</v>
      </c>
      <c r="H1517" s="787">
        <v>1</v>
      </c>
      <c r="I1517" s="788">
        <v>41869</v>
      </c>
      <c r="J1517" s="788">
        <v>41463</v>
      </c>
      <c r="K1517" s="788">
        <v>41400</v>
      </c>
      <c r="L1517" s="787">
        <v>15.31</v>
      </c>
      <c r="M1517" s="787">
        <v>20</v>
      </c>
      <c r="N1517" s="787">
        <v>16.46</v>
      </c>
      <c r="O1517" s="788">
        <v>41955</v>
      </c>
    </row>
    <row r="1518" spans="1:15" x14ac:dyDescent="0.25">
      <c r="A1518" s="786" t="s">
        <v>3531</v>
      </c>
      <c r="B1518" s="787">
        <v>4</v>
      </c>
      <c r="C1518" s="787" t="s">
        <v>3532</v>
      </c>
      <c r="D1518" s="787">
        <v>6.8</v>
      </c>
      <c r="E1518" s="787">
        <v>16.8</v>
      </c>
      <c r="F1518" s="788">
        <v>41452</v>
      </c>
      <c r="G1518" s="788">
        <v>41451</v>
      </c>
      <c r="H1518" s="787">
        <v>1</v>
      </c>
      <c r="I1518" s="788">
        <v>41869</v>
      </c>
      <c r="J1518" s="788">
        <v>41451</v>
      </c>
      <c r="L1518" s="787">
        <v>10</v>
      </c>
      <c r="M1518" s="787">
        <v>20</v>
      </c>
      <c r="N1518" s="787">
        <v>10.75</v>
      </c>
      <c r="O1518" s="788">
        <v>41955</v>
      </c>
    </row>
    <row r="1519" spans="1:15" x14ac:dyDescent="0.25">
      <c r="A1519" s="786" t="s">
        <v>3533</v>
      </c>
      <c r="B1519" s="787">
        <v>4</v>
      </c>
      <c r="C1519" s="787" t="s">
        <v>3534</v>
      </c>
      <c r="D1519" s="787">
        <v>1.49</v>
      </c>
      <c r="E1519" s="787">
        <v>30.38</v>
      </c>
      <c r="F1519" s="788">
        <v>41422</v>
      </c>
      <c r="G1519" s="788">
        <v>41457</v>
      </c>
      <c r="H1519" s="787">
        <v>1</v>
      </c>
      <c r="I1519" s="788">
        <v>41869</v>
      </c>
      <c r="J1519" s="788">
        <v>41457</v>
      </c>
      <c r="K1519" s="788">
        <v>41400</v>
      </c>
      <c r="L1519" s="787">
        <v>30.38</v>
      </c>
      <c r="M1519" s="787">
        <v>20</v>
      </c>
      <c r="N1519" s="787">
        <v>32.659999999999997</v>
      </c>
      <c r="O1519" s="788">
        <v>41955</v>
      </c>
    </row>
    <row r="1520" spans="1:15" x14ac:dyDescent="0.25">
      <c r="A1520" s="786" t="s">
        <v>3535</v>
      </c>
      <c r="B1520" s="787">
        <v>4</v>
      </c>
      <c r="C1520" s="787" t="s">
        <v>3536</v>
      </c>
      <c r="D1520" s="787">
        <v>1.87</v>
      </c>
      <c r="E1520" s="787">
        <v>2.5299999999999998</v>
      </c>
      <c r="F1520" s="788">
        <v>41335</v>
      </c>
      <c r="G1520" s="788">
        <v>41943</v>
      </c>
      <c r="H1520" s="787">
        <v>1</v>
      </c>
      <c r="I1520" s="788">
        <v>41865</v>
      </c>
      <c r="J1520" s="788">
        <v>41456</v>
      </c>
      <c r="K1520" s="788">
        <v>41466</v>
      </c>
      <c r="L1520" s="787">
        <v>8.11</v>
      </c>
      <c r="M1520" s="787">
        <v>10</v>
      </c>
      <c r="N1520" s="787">
        <v>8.09</v>
      </c>
      <c r="O1520" s="788">
        <v>41955</v>
      </c>
    </row>
    <row r="1521" spans="1:15" x14ac:dyDescent="0.25">
      <c r="A1521" s="786" t="s">
        <v>3537</v>
      </c>
      <c r="B1521" s="787">
        <v>4</v>
      </c>
      <c r="C1521" s="787" t="s">
        <v>3538</v>
      </c>
      <c r="D1521" s="787">
        <v>2.12</v>
      </c>
      <c r="E1521" s="787">
        <v>4.6900000000000004</v>
      </c>
      <c r="F1521" s="788">
        <v>41335</v>
      </c>
      <c r="G1521" s="788">
        <v>42013</v>
      </c>
      <c r="H1521" s="787">
        <v>1</v>
      </c>
      <c r="I1521" s="788">
        <v>41869</v>
      </c>
      <c r="J1521" s="788">
        <v>41456</v>
      </c>
      <c r="K1521" s="788">
        <v>41466</v>
      </c>
      <c r="L1521" s="787">
        <v>1.85</v>
      </c>
      <c r="M1521" s="787">
        <v>10</v>
      </c>
      <c r="N1521" s="787">
        <v>1.84</v>
      </c>
      <c r="O1521" s="788">
        <v>41955</v>
      </c>
    </row>
    <row r="1522" spans="1:15" x14ac:dyDescent="0.25">
      <c r="A1522" s="786" t="s">
        <v>3539</v>
      </c>
      <c r="B1522" s="787">
        <v>4</v>
      </c>
      <c r="C1522" s="787" t="s">
        <v>3540</v>
      </c>
      <c r="D1522" s="787">
        <v>2.12</v>
      </c>
      <c r="E1522" s="787">
        <v>4.6900000000000004</v>
      </c>
      <c r="F1522" s="788">
        <v>41335</v>
      </c>
      <c r="G1522" s="788">
        <v>42013</v>
      </c>
      <c r="H1522" s="787">
        <v>1</v>
      </c>
      <c r="I1522" s="788">
        <v>41869</v>
      </c>
      <c r="J1522" s="788">
        <v>41456</v>
      </c>
      <c r="K1522" s="788">
        <v>41466</v>
      </c>
      <c r="L1522" s="787">
        <v>1.76</v>
      </c>
      <c r="M1522" s="787">
        <v>10</v>
      </c>
      <c r="N1522" s="787">
        <v>1.76</v>
      </c>
      <c r="O1522" s="788">
        <v>41955</v>
      </c>
    </row>
    <row r="1523" spans="1:15" x14ac:dyDescent="0.25">
      <c r="A1523" s="786" t="s">
        <v>3541</v>
      </c>
      <c r="B1523" s="787">
        <v>4</v>
      </c>
      <c r="C1523" s="787" t="s">
        <v>3542</v>
      </c>
      <c r="D1523" s="787">
        <v>1.56</v>
      </c>
      <c r="E1523" s="787">
        <v>1.56</v>
      </c>
      <c r="F1523" s="788">
        <v>41477</v>
      </c>
      <c r="G1523" s="788">
        <v>41943</v>
      </c>
      <c r="H1523" s="787">
        <v>1</v>
      </c>
      <c r="I1523" s="788">
        <v>41865</v>
      </c>
      <c r="J1523" s="788">
        <v>41456</v>
      </c>
      <c r="K1523" s="788">
        <v>41466</v>
      </c>
      <c r="L1523" s="787">
        <v>1.87</v>
      </c>
      <c r="M1523" s="787">
        <v>10</v>
      </c>
      <c r="N1523" s="787">
        <v>1.85</v>
      </c>
      <c r="O1523" s="788">
        <v>41955</v>
      </c>
    </row>
    <row r="1524" spans="1:15" x14ac:dyDescent="0.25">
      <c r="A1524" s="786" t="s">
        <v>3543</v>
      </c>
      <c r="B1524" s="787">
        <v>4</v>
      </c>
      <c r="C1524" s="787" t="s">
        <v>3544</v>
      </c>
      <c r="D1524" s="787">
        <v>3.12</v>
      </c>
      <c r="E1524" s="787">
        <v>3.12</v>
      </c>
      <c r="F1524" s="788">
        <v>41477</v>
      </c>
      <c r="G1524" s="788">
        <v>41943</v>
      </c>
      <c r="H1524" s="787">
        <v>1</v>
      </c>
      <c r="I1524" s="788">
        <v>41869</v>
      </c>
      <c r="J1524" s="788">
        <v>41445</v>
      </c>
      <c r="K1524" s="788">
        <v>41466</v>
      </c>
      <c r="L1524" s="787">
        <v>4.96</v>
      </c>
      <c r="M1524" s="787">
        <v>10</v>
      </c>
      <c r="N1524" s="787">
        <v>4.95</v>
      </c>
      <c r="O1524" s="788">
        <v>41955</v>
      </c>
    </row>
    <row r="1525" spans="1:15" x14ac:dyDescent="0.25">
      <c r="A1525" s="786" t="s">
        <v>3545</v>
      </c>
      <c r="B1525" s="787">
        <v>4</v>
      </c>
      <c r="C1525" s="787" t="s">
        <v>3546</v>
      </c>
      <c r="D1525" s="787">
        <v>6.18</v>
      </c>
      <c r="E1525" s="787">
        <v>6.18</v>
      </c>
      <c r="F1525" s="788">
        <v>41477</v>
      </c>
      <c r="G1525" s="788">
        <v>41943</v>
      </c>
      <c r="H1525" s="787">
        <v>1</v>
      </c>
      <c r="I1525" s="788">
        <v>41869</v>
      </c>
      <c r="J1525" s="788">
        <v>41445</v>
      </c>
      <c r="K1525" s="788">
        <v>41466</v>
      </c>
      <c r="L1525" s="787">
        <v>6.51</v>
      </c>
      <c r="M1525" s="787">
        <v>10</v>
      </c>
      <c r="N1525" s="787">
        <v>6.5</v>
      </c>
      <c r="O1525" s="788">
        <v>41955</v>
      </c>
    </row>
    <row r="1526" spans="1:15" x14ac:dyDescent="0.25">
      <c r="A1526" s="786" t="s">
        <v>3547</v>
      </c>
      <c r="B1526" s="787">
        <v>4</v>
      </c>
      <c r="C1526" s="787" t="s">
        <v>3548</v>
      </c>
      <c r="D1526" s="787">
        <v>2.63</v>
      </c>
      <c r="E1526" s="787">
        <v>2.63</v>
      </c>
      <c r="F1526" s="788">
        <v>41467</v>
      </c>
      <c r="G1526" s="788">
        <v>41661</v>
      </c>
      <c r="H1526" s="787">
        <v>1</v>
      </c>
      <c r="I1526" s="788">
        <v>41726</v>
      </c>
      <c r="J1526" s="788">
        <v>41661</v>
      </c>
      <c r="L1526" s="787">
        <v>1</v>
      </c>
      <c r="M1526" s="787">
        <v>10</v>
      </c>
      <c r="N1526" s="787">
        <v>1.02</v>
      </c>
      <c r="O1526" s="788">
        <v>41955</v>
      </c>
    </row>
    <row r="1527" spans="1:15" x14ac:dyDescent="0.25">
      <c r="A1527" s="786" t="s">
        <v>3549</v>
      </c>
      <c r="B1527" s="787">
        <v>4</v>
      </c>
      <c r="C1527" s="787" t="s">
        <v>3550</v>
      </c>
      <c r="D1527" s="787">
        <v>6.09</v>
      </c>
      <c r="E1527" s="787">
        <v>27.61</v>
      </c>
      <c r="F1527" s="788">
        <v>41335</v>
      </c>
      <c r="G1527" s="788">
        <v>41646</v>
      </c>
      <c r="H1527" s="787">
        <v>1</v>
      </c>
      <c r="I1527" s="788">
        <v>41865</v>
      </c>
      <c r="J1527" s="788">
        <v>41400</v>
      </c>
      <c r="L1527" s="787">
        <v>0.2</v>
      </c>
      <c r="M1527" s="787">
        <v>10</v>
      </c>
      <c r="N1527" s="787">
        <v>3.37</v>
      </c>
      <c r="O1527" s="788">
        <v>41955</v>
      </c>
    </row>
    <row r="1528" spans="1:15" x14ac:dyDescent="0.25">
      <c r="A1528" s="786" t="s">
        <v>3551</v>
      </c>
      <c r="B1528" s="787">
        <v>4</v>
      </c>
      <c r="C1528" s="787" t="s">
        <v>3552</v>
      </c>
      <c r="D1528" s="787">
        <v>9</v>
      </c>
      <c r="E1528" s="787">
        <v>19</v>
      </c>
      <c r="F1528" s="788">
        <v>41463</v>
      </c>
      <c r="G1528" s="788">
        <v>41463</v>
      </c>
      <c r="H1528" s="787">
        <v>1</v>
      </c>
      <c r="J1528" s="788">
        <v>41463</v>
      </c>
      <c r="L1528" s="787">
        <v>19</v>
      </c>
      <c r="M1528" s="787">
        <v>20</v>
      </c>
      <c r="N1528" s="787">
        <v>20.43</v>
      </c>
      <c r="O1528" s="788">
        <v>41955</v>
      </c>
    </row>
    <row r="1529" spans="1:15" x14ac:dyDescent="0.25">
      <c r="A1529" s="786" t="s">
        <v>3553</v>
      </c>
      <c r="B1529" s="787">
        <v>4</v>
      </c>
      <c r="C1529" s="787" t="s">
        <v>3554</v>
      </c>
      <c r="D1529" s="787">
        <v>7</v>
      </c>
      <c r="E1529" s="787">
        <v>7</v>
      </c>
      <c r="F1529" s="788">
        <v>41463</v>
      </c>
      <c r="G1529" s="788">
        <v>41463</v>
      </c>
      <c r="H1529" s="787">
        <v>1</v>
      </c>
      <c r="J1529" s="788">
        <v>41463</v>
      </c>
      <c r="L1529" s="787">
        <v>7</v>
      </c>
      <c r="M1529" s="787">
        <v>20</v>
      </c>
      <c r="N1529" s="787">
        <v>7.53</v>
      </c>
      <c r="O1529" s="788">
        <v>41955</v>
      </c>
    </row>
    <row r="1530" spans="1:15" x14ac:dyDescent="0.25">
      <c r="A1530" s="786" t="s">
        <v>3555</v>
      </c>
      <c r="B1530" s="787">
        <v>4</v>
      </c>
      <c r="C1530" s="787" t="s">
        <v>3556</v>
      </c>
      <c r="D1530" s="787">
        <v>1</v>
      </c>
      <c r="E1530" s="787">
        <v>61</v>
      </c>
      <c r="F1530" s="788">
        <v>41463</v>
      </c>
      <c r="G1530" s="788">
        <v>41463</v>
      </c>
      <c r="H1530" s="787">
        <v>1</v>
      </c>
      <c r="J1530" s="788">
        <v>41463</v>
      </c>
      <c r="K1530" s="788">
        <v>41466</v>
      </c>
      <c r="L1530" s="787">
        <v>61</v>
      </c>
      <c r="M1530" s="787">
        <v>20</v>
      </c>
      <c r="N1530" s="787">
        <v>65.58</v>
      </c>
      <c r="O1530" s="788">
        <v>41955</v>
      </c>
    </row>
    <row r="1531" spans="1:15" x14ac:dyDescent="0.25">
      <c r="A1531" s="786" t="s">
        <v>3557</v>
      </c>
      <c r="B1531" s="787">
        <v>4</v>
      </c>
      <c r="C1531" s="787" t="s">
        <v>3558</v>
      </c>
      <c r="D1531" s="787">
        <v>0</v>
      </c>
      <c r="E1531" s="787">
        <v>0</v>
      </c>
      <c r="H1531" s="787">
        <v>1</v>
      </c>
      <c r="L1531" s="787">
        <v>90</v>
      </c>
      <c r="M1531" s="787">
        <v>20</v>
      </c>
      <c r="N1531" s="787">
        <v>96.75</v>
      </c>
      <c r="O1531" s="788">
        <v>41955</v>
      </c>
    </row>
    <row r="1532" spans="1:15" x14ac:dyDescent="0.25">
      <c r="A1532" s="786" t="s">
        <v>3559</v>
      </c>
      <c r="B1532" s="787">
        <v>4</v>
      </c>
      <c r="C1532" s="787" t="s">
        <v>3560</v>
      </c>
      <c r="D1532" s="787">
        <v>0</v>
      </c>
      <c r="E1532" s="787">
        <v>0</v>
      </c>
      <c r="H1532" s="787">
        <v>1</v>
      </c>
      <c r="L1532" s="787">
        <v>60</v>
      </c>
      <c r="M1532" s="787">
        <v>10</v>
      </c>
      <c r="N1532" s="787">
        <v>46.19</v>
      </c>
      <c r="O1532" s="788">
        <v>42068</v>
      </c>
    </row>
    <row r="1533" spans="1:15" x14ac:dyDescent="0.25">
      <c r="A1533" s="786" t="s">
        <v>3561</v>
      </c>
      <c r="B1533" s="787">
        <v>4</v>
      </c>
      <c r="C1533" s="787" t="s">
        <v>3562</v>
      </c>
      <c r="D1533" s="787">
        <v>2.76</v>
      </c>
      <c r="E1533" s="787">
        <v>7.81</v>
      </c>
      <c r="F1533" s="788">
        <v>41775</v>
      </c>
      <c r="G1533" s="788">
        <v>42065</v>
      </c>
      <c r="H1533" s="787">
        <v>1</v>
      </c>
      <c r="I1533" s="788">
        <v>42160</v>
      </c>
      <c r="J1533" s="788">
        <v>42033</v>
      </c>
      <c r="K1533" s="788">
        <v>41600</v>
      </c>
      <c r="L1533" s="787">
        <v>3.54</v>
      </c>
      <c r="M1533" s="787">
        <v>10</v>
      </c>
      <c r="N1533" s="787">
        <v>3.52</v>
      </c>
      <c r="O1533" s="788">
        <v>42163</v>
      </c>
    </row>
    <row r="1534" spans="1:15" x14ac:dyDescent="0.25">
      <c r="A1534" s="786" t="s">
        <v>3563</v>
      </c>
      <c r="B1534" s="787">
        <v>4</v>
      </c>
      <c r="C1534" s="787" t="s">
        <v>3564</v>
      </c>
      <c r="D1534" s="787">
        <v>0</v>
      </c>
      <c r="E1534" s="787">
        <v>0</v>
      </c>
      <c r="H1534" s="787">
        <v>1</v>
      </c>
      <c r="K1534" s="788">
        <v>41600</v>
      </c>
      <c r="L1534" s="787">
        <v>3.89</v>
      </c>
      <c r="M1534" s="787">
        <v>10</v>
      </c>
      <c r="N1534" s="787">
        <v>3.88</v>
      </c>
      <c r="O1534" s="788">
        <v>41955</v>
      </c>
    </row>
    <row r="1535" spans="1:15" x14ac:dyDescent="0.25">
      <c r="A1535" s="786" t="s">
        <v>3565</v>
      </c>
      <c r="B1535" s="787">
        <v>4</v>
      </c>
      <c r="C1535" s="787" t="s">
        <v>3566</v>
      </c>
      <c r="D1535" s="787">
        <v>0</v>
      </c>
      <c r="E1535" s="787">
        <v>0</v>
      </c>
      <c r="H1535" s="787">
        <v>1</v>
      </c>
      <c r="L1535" s="787">
        <v>0.01</v>
      </c>
      <c r="M1535" s="787">
        <v>20</v>
      </c>
      <c r="N1535" s="787">
        <v>0.01</v>
      </c>
      <c r="O1535" s="788">
        <v>41955</v>
      </c>
    </row>
    <row r="1536" spans="1:15" x14ac:dyDescent="0.25">
      <c r="A1536" s="786" t="s">
        <v>3567</v>
      </c>
      <c r="B1536" s="787">
        <v>4</v>
      </c>
      <c r="C1536" s="787" t="s">
        <v>3568</v>
      </c>
      <c r="D1536" s="787">
        <v>0</v>
      </c>
      <c r="E1536" s="787">
        <v>0</v>
      </c>
      <c r="H1536" s="787">
        <v>1</v>
      </c>
      <c r="L1536" s="787">
        <v>0.01</v>
      </c>
      <c r="M1536" s="787">
        <v>20</v>
      </c>
      <c r="N1536" s="787">
        <v>0.01</v>
      </c>
      <c r="O1536" s="788">
        <v>41955</v>
      </c>
    </row>
    <row r="1537" spans="1:15" x14ac:dyDescent="0.25">
      <c r="A1537" s="786" t="s">
        <v>3569</v>
      </c>
      <c r="B1537" s="787">
        <v>4</v>
      </c>
      <c r="C1537" s="787" t="s">
        <v>3570</v>
      </c>
      <c r="D1537" s="787">
        <v>3.44</v>
      </c>
      <c r="E1537" s="787">
        <v>3.44</v>
      </c>
      <c r="F1537" s="788">
        <v>42075</v>
      </c>
      <c r="G1537" s="788">
        <v>42075</v>
      </c>
      <c r="H1537" s="787">
        <v>1</v>
      </c>
      <c r="I1537" s="788">
        <v>42160</v>
      </c>
      <c r="J1537" s="788">
        <v>42047</v>
      </c>
      <c r="K1537" s="788">
        <v>42038</v>
      </c>
      <c r="L1537" s="787">
        <v>3.52</v>
      </c>
      <c r="M1537" s="787">
        <v>10</v>
      </c>
      <c r="N1537" s="787">
        <v>3.52</v>
      </c>
      <c r="O1537" s="788">
        <v>42038</v>
      </c>
    </row>
    <row r="1538" spans="1:15" x14ac:dyDescent="0.25">
      <c r="A1538" s="786" t="s">
        <v>3571</v>
      </c>
      <c r="B1538" s="787">
        <v>4</v>
      </c>
      <c r="C1538" s="787" t="s">
        <v>3572</v>
      </c>
      <c r="D1538" s="787">
        <v>1.38</v>
      </c>
      <c r="E1538" s="787">
        <v>1.38</v>
      </c>
      <c r="F1538" s="788">
        <v>42075</v>
      </c>
      <c r="G1538" s="788">
        <v>42075</v>
      </c>
      <c r="H1538" s="787">
        <v>1</v>
      </c>
      <c r="I1538" s="788">
        <v>42158</v>
      </c>
      <c r="J1538" s="788">
        <v>42047</v>
      </c>
      <c r="K1538" s="788">
        <v>42038</v>
      </c>
      <c r="L1538" s="787">
        <v>3.52</v>
      </c>
      <c r="M1538" s="787">
        <v>10</v>
      </c>
      <c r="N1538" s="787">
        <v>3.52</v>
      </c>
      <c r="O1538" s="788">
        <v>42038</v>
      </c>
    </row>
    <row r="1539" spans="1:15" x14ac:dyDescent="0.25">
      <c r="A1539" s="786" t="s">
        <v>3573</v>
      </c>
      <c r="B1539" s="787">
        <v>4</v>
      </c>
      <c r="C1539" s="787" t="s">
        <v>3570</v>
      </c>
      <c r="D1539" s="787">
        <v>2.96</v>
      </c>
      <c r="E1539" s="787">
        <v>2.96</v>
      </c>
      <c r="F1539" s="788">
        <v>42075</v>
      </c>
      <c r="G1539" s="788">
        <v>42075</v>
      </c>
      <c r="H1539" s="787">
        <v>1</v>
      </c>
      <c r="I1539" s="788">
        <v>42144</v>
      </c>
      <c r="J1539" s="788">
        <v>42047</v>
      </c>
      <c r="K1539" s="788">
        <v>42038</v>
      </c>
      <c r="L1539" s="787">
        <v>2.9</v>
      </c>
      <c r="M1539" s="787">
        <v>10</v>
      </c>
      <c r="N1539" s="787">
        <v>2.9</v>
      </c>
      <c r="O1539" s="788">
        <v>42038</v>
      </c>
    </row>
    <row r="1540" spans="1:15" x14ac:dyDescent="0.25">
      <c r="A1540" s="786" t="s">
        <v>3574</v>
      </c>
      <c r="B1540" s="787">
        <v>4</v>
      </c>
      <c r="C1540" s="787" t="s">
        <v>3572</v>
      </c>
      <c r="D1540" s="787">
        <v>0.93</v>
      </c>
      <c r="E1540" s="787">
        <v>0.93</v>
      </c>
      <c r="F1540" s="788">
        <v>42075</v>
      </c>
      <c r="G1540" s="788">
        <v>42075</v>
      </c>
      <c r="H1540" s="787">
        <v>1</v>
      </c>
      <c r="I1540" s="788">
        <v>42144</v>
      </c>
      <c r="J1540" s="788">
        <v>42047</v>
      </c>
      <c r="K1540" s="788">
        <v>42038</v>
      </c>
      <c r="L1540" s="787">
        <v>2.9</v>
      </c>
      <c r="M1540" s="787">
        <v>10</v>
      </c>
      <c r="N1540" s="787">
        <v>2.9</v>
      </c>
      <c r="O1540" s="788">
        <v>42038</v>
      </c>
    </row>
    <row r="1541" spans="1:15" x14ac:dyDescent="0.25">
      <c r="A1541" s="786" t="s">
        <v>3575</v>
      </c>
      <c r="B1541" s="787">
        <v>4</v>
      </c>
      <c r="C1541" s="787" t="s">
        <v>3576</v>
      </c>
      <c r="D1541" s="787">
        <v>2.4</v>
      </c>
      <c r="E1541" s="787">
        <v>72.400000000000006</v>
      </c>
      <c r="F1541" s="788">
        <v>42107</v>
      </c>
      <c r="G1541" s="788">
        <v>42107</v>
      </c>
      <c r="H1541" s="787">
        <v>1</v>
      </c>
      <c r="I1541" s="788">
        <v>42110</v>
      </c>
      <c r="J1541" s="788">
        <v>42080</v>
      </c>
      <c r="L1541" s="787">
        <v>35</v>
      </c>
      <c r="M1541" s="787">
        <v>10</v>
      </c>
      <c r="N1541" s="787">
        <v>35.090000000000003</v>
      </c>
      <c r="O1541" s="788">
        <v>42072</v>
      </c>
    </row>
    <row r="1542" spans="1:15" x14ac:dyDescent="0.25">
      <c r="A1542" s="786" t="s">
        <v>3577</v>
      </c>
      <c r="B1542" s="787">
        <v>4</v>
      </c>
      <c r="C1542" s="787" t="s">
        <v>3576</v>
      </c>
      <c r="D1542" s="787">
        <v>2.8</v>
      </c>
      <c r="E1542" s="787">
        <v>72.8</v>
      </c>
      <c r="F1542" s="788">
        <v>42107</v>
      </c>
      <c r="G1542" s="788">
        <v>42107</v>
      </c>
      <c r="H1542" s="787">
        <v>1</v>
      </c>
      <c r="I1542" s="788">
        <v>42110</v>
      </c>
      <c r="J1542" s="788">
        <v>42080</v>
      </c>
      <c r="L1542" s="787">
        <v>35</v>
      </c>
      <c r="M1542" s="787">
        <v>10</v>
      </c>
      <c r="N1542" s="787">
        <v>35.090000000000003</v>
      </c>
      <c r="O1542" s="788">
        <v>42072</v>
      </c>
    </row>
    <row r="1543" spans="1:15" x14ac:dyDescent="0.25">
      <c r="A1543" s="786" t="s">
        <v>3578</v>
      </c>
      <c r="B1543" s="787">
        <v>4</v>
      </c>
      <c r="C1543" s="787" t="s">
        <v>3579</v>
      </c>
      <c r="D1543" s="787">
        <v>0</v>
      </c>
      <c r="E1543" s="787">
        <v>0</v>
      </c>
      <c r="H1543" s="787">
        <v>1</v>
      </c>
      <c r="L1543" s="787">
        <v>30</v>
      </c>
      <c r="M1543" s="787">
        <v>10</v>
      </c>
      <c r="N1543" s="787">
        <v>0</v>
      </c>
    </row>
    <row r="1544" spans="1:15" x14ac:dyDescent="0.25">
      <c r="A1544" s="786" t="s">
        <v>3580</v>
      </c>
      <c r="B1544" s="787">
        <v>4</v>
      </c>
      <c r="C1544" s="787" t="s">
        <v>3581</v>
      </c>
      <c r="D1544" s="787">
        <v>0</v>
      </c>
      <c r="E1544" s="787">
        <v>0</v>
      </c>
      <c r="H1544" s="787">
        <v>1</v>
      </c>
      <c r="L1544" s="787">
        <v>10</v>
      </c>
      <c r="M1544" s="787">
        <v>10</v>
      </c>
      <c r="N1544" s="787">
        <v>0</v>
      </c>
    </row>
    <row r="1545" spans="1:15" x14ac:dyDescent="0.25">
      <c r="A1545" s="786" t="s">
        <v>3582</v>
      </c>
      <c r="B1545" s="787">
        <v>4</v>
      </c>
      <c r="C1545" s="787" t="s">
        <v>3583</v>
      </c>
      <c r="D1545" s="787">
        <v>0</v>
      </c>
      <c r="E1545" s="787">
        <v>0</v>
      </c>
      <c r="H1545" s="787">
        <v>1</v>
      </c>
      <c r="L1545" s="787">
        <v>30</v>
      </c>
      <c r="M1545" s="787">
        <v>10</v>
      </c>
      <c r="N1545" s="787">
        <v>0</v>
      </c>
    </row>
    <row r="1546" spans="1:15" x14ac:dyDescent="0.25">
      <c r="A1546" s="786" t="s">
        <v>3584</v>
      </c>
      <c r="B1546" s="787">
        <v>4</v>
      </c>
      <c r="C1546" s="787" t="s">
        <v>3585</v>
      </c>
      <c r="D1546" s="787">
        <v>0</v>
      </c>
      <c r="E1546" s="787">
        <v>0</v>
      </c>
      <c r="H1546" s="787">
        <v>1</v>
      </c>
      <c r="L1546" s="787">
        <v>10</v>
      </c>
      <c r="M1546" s="787">
        <v>10</v>
      </c>
      <c r="N1546" s="787">
        <v>0</v>
      </c>
    </row>
    <row r="1547" spans="1:15" x14ac:dyDescent="0.25">
      <c r="A1547" s="786" t="s">
        <v>3586</v>
      </c>
      <c r="B1547" s="787">
        <v>4</v>
      </c>
      <c r="C1547" s="787" t="s">
        <v>3587</v>
      </c>
      <c r="D1547" s="787">
        <v>0</v>
      </c>
      <c r="E1547" s="787">
        <v>0</v>
      </c>
      <c r="H1547" s="787">
        <v>1</v>
      </c>
      <c r="L1547" s="787">
        <v>0.01</v>
      </c>
      <c r="M1547" s="787">
        <v>10</v>
      </c>
      <c r="N1547" s="787">
        <v>0</v>
      </c>
    </row>
    <row r="1548" spans="1:15" x14ac:dyDescent="0.25">
      <c r="A1548" s="786" t="s">
        <v>3588</v>
      </c>
      <c r="B1548" s="787">
        <v>4</v>
      </c>
      <c r="C1548" s="787" t="s">
        <v>3589</v>
      </c>
      <c r="D1548" s="787">
        <v>0</v>
      </c>
      <c r="E1548" s="787">
        <v>0</v>
      </c>
      <c r="H1548" s="787">
        <v>1</v>
      </c>
      <c r="L1548" s="787">
        <v>0.01</v>
      </c>
      <c r="M1548" s="787">
        <v>10</v>
      </c>
      <c r="N1548" s="787">
        <v>0</v>
      </c>
    </row>
    <row r="1549" spans="1:15" x14ac:dyDescent="0.25">
      <c r="A1549" s="786" t="s">
        <v>3590</v>
      </c>
      <c r="B1549" s="787">
        <v>4</v>
      </c>
      <c r="C1549" s="787" t="s">
        <v>3591</v>
      </c>
      <c r="D1549" s="787">
        <v>0</v>
      </c>
      <c r="E1549" s="787">
        <v>0</v>
      </c>
      <c r="H1549" s="787">
        <v>1</v>
      </c>
      <c r="L1549" s="787">
        <v>0</v>
      </c>
      <c r="M1549" s="787">
        <v>20</v>
      </c>
      <c r="N1549" s="787">
        <v>0</v>
      </c>
      <c r="O1549" s="788">
        <v>40824</v>
      </c>
    </row>
    <row r="1550" spans="1:15" x14ac:dyDescent="0.25">
      <c r="A1550" s="786" t="s">
        <v>3592</v>
      </c>
      <c r="B1550" s="787">
        <v>4</v>
      </c>
      <c r="C1550" s="787" t="s">
        <v>3593</v>
      </c>
      <c r="D1550" s="787">
        <v>0.97</v>
      </c>
      <c r="E1550" s="787">
        <v>0.97</v>
      </c>
      <c r="F1550" s="788">
        <v>39101</v>
      </c>
      <c r="G1550" s="788">
        <v>39101</v>
      </c>
      <c r="H1550" s="787">
        <v>1</v>
      </c>
      <c r="I1550" s="788">
        <v>42074</v>
      </c>
      <c r="J1550" s="788">
        <v>39101</v>
      </c>
      <c r="L1550" s="787">
        <v>0.95</v>
      </c>
      <c r="M1550" s="787">
        <v>10</v>
      </c>
      <c r="N1550" s="787">
        <v>1.65</v>
      </c>
      <c r="O1550" s="788">
        <v>42087</v>
      </c>
    </row>
    <row r="1551" spans="1:15" x14ac:dyDescent="0.25">
      <c r="A1551" s="786" t="s">
        <v>3594</v>
      </c>
      <c r="B1551" s="787">
        <v>4</v>
      </c>
      <c r="C1551" s="787" t="s">
        <v>3595</v>
      </c>
      <c r="D1551" s="787">
        <v>0.71</v>
      </c>
      <c r="E1551" s="787">
        <v>2.33</v>
      </c>
      <c r="F1551" s="788">
        <v>39456</v>
      </c>
      <c r="G1551" s="788">
        <v>41928</v>
      </c>
      <c r="H1551" s="787">
        <v>1</v>
      </c>
      <c r="I1551" s="788">
        <v>42076</v>
      </c>
      <c r="J1551" s="788">
        <v>42076</v>
      </c>
      <c r="L1551" s="787">
        <v>0.71</v>
      </c>
      <c r="M1551" s="787">
        <v>10</v>
      </c>
      <c r="N1551" s="787">
        <v>1.1399999999999999</v>
      </c>
      <c r="O1551" s="788">
        <v>42162</v>
      </c>
    </row>
    <row r="1552" spans="1:15" x14ac:dyDescent="0.25">
      <c r="A1552" s="786" t="s">
        <v>3596</v>
      </c>
      <c r="B1552" s="787">
        <v>4</v>
      </c>
      <c r="C1552" s="787" t="s">
        <v>3597</v>
      </c>
      <c r="D1552" s="787">
        <v>3.41</v>
      </c>
      <c r="E1552" s="787">
        <v>3.41</v>
      </c>
      <c r="F1552" s="788">
        <v>39101</v>
      </c>
      <c r="G1552" s="788">
        <v>39101</v>
      </c>
      <c r="H1552" s="787">
        <v>1</v>
      </c>
      <c r="I1552" s="788">
        <v>39938</v>
      </c>
      <c r="J1552" s="788">
        <v>39101</v>
      </c>
      <c r="L1552" s="787">
        <v>3.39</v>
      </c>
      <c r="M1552" s="787">
        <v>10</v>
      </c>
      <c r="N1552" s="787">
        <v>14.7</v>
      </c>
      <c r="O1552" s="788">
        <v>42162</v>
      </c>
    </row>
    <row r="1553" spans="1:15" x14ac:dyDescent="0.25">
      <c r="A1553" s="786" t="s">
        <v>3598</v>
      </c>
      <c r="B1553" s="787">
        <v>4</v>
      </c>
      <c r="C1553" s="787" t="s">
        <v>3599</v>
      </c>
      <c r="D1553" s="787">
        <v>0.46</v>
      </c>
      <c r="E1553" s="787">
        <v>36</v>
      </c>
      <c r="F1553" s="788">
        <v>39101</v>
      </c>
      <c r="G1553" s="788">
        <v>41943</v>
      </c>
      <c r="H1553" s="787">
        <v>1</v>
      </c>
      <c r="I1553" s="788">
        <v>42018</v>
      </c>
      <c r="J1553" s="788">
        <v>41582</v>
      </c>
      <c r="K1553" s="788">
        <v>40851</v>
      </c>
      <c r="L1553" s="787">
        <v>40.5</v>
      </c>
      <c r="M1553" s="787">
        <v>20</v>
      </c>
      <c r="N1553" s="787">
        <v>43.54</v>
      </c>
      <c r="O1553" s="788">
        <v>42162</v>
      </c>
    </row>
    <row r="1554" spans="1:15" x14ac:dyDescent="0.25">
      <c r="A1554" s="786" t="s">
        <v>3600</v>
      </c>
      <c r="B1554" s="787">
        <v>4</v>
      </c>
      <c r="C1554" s="787" t="s">
        <v>3601</v>
      </c>
      <c r="D1554" s="787">
        <v>3.21</v>
      </c>
      <c r="E1554" s="787">
        <v>33.76</v>
      </c>
      <c r="F1554" s="788">
        <v>39101</v>
      </c>
      <c r="G1554" s="788">
        <v>42013</v>
      </c>
      <c r="H1554" s="787">
        <v>1</v>
      </c>
      <c r="I1554" s="788">
        <v>42054</v>
      </c>
      <c r="J1554" s="788">
        <v>41906</v>
      </c>
      <c r="K1554" s="788">
        <v>41894</v>
      </c>
      <c r="L1554" s="787">
        <v>18.5</v>
      </c>
      <c r="M1554" s="787">
        <v>10</v>
      </c>
      <c r="N1554" s="787">
        <v>36.299999999999997</v>
      </c>
      <c r="O1554" s="788">
        <v>42038</v>
      </c>
    </row>
    <row r="1555" spans="1:15" x14ac:dyDescent="0.25">
      <c r="A1555" s="786" t="s">
        <v>3602</v>
      </c>
      <c r="B1555" s="787">
        <v>4</v>
      </c>
      <c r="C1555" s="787" t="s">
        <v>3603</v>
      </c>
      <c r="D1555" s="787">
        <v>6.5</v>
      </c>
      <c r="E1555" s="787">
        <v>26.5</v>
      </c>
      <c r="F1555" s="788">
        <v>39101</v>
      </c>
      <c r="G1555" s="788">
        <v>39101</v>
      </c>
      <c r="H1555" s="787">
        <v>6</v>
      </c>
      <c r="I1555" s="788">
        <v>40032</v>
      </c>
      <c r="J1555" s="788">
        <v>39149</v>
      </c>
      <c r="K1555" s="788">
        <v>41865</v>
      </c>
      <c r="L1555" s="787">
        <v>25</v>
      </c>
      <c r="M1555" s="787">
        <v>20</v>
      </c>
      <c r="N1555" s="787">
        <v>28.49</v>
      </c>
      <c r="O1555" s="788">
        <v>41810</v>
      </c>
    </row>
    <row r="1556" spans="1:15" x14ac:dyDescent="0.25">
      <c r="A1556" s="786" t="s">
        <v>3604</v>
      </c>
      <c r="B1556" s="787">
        <v>4</v>
      </c>
      <c r="C1556" s="787" t="s">
        <v>3605</v>
      </c>
      <c r="D1556" s="787">
        <v>3.55</v>
      </c>
      <c r="E1556" s="787">
        <v>18.77</v>
      </c>
      <c r="F1556" s="788">
        <v>39456</v>
      </c>
      <c r="G1556" s="788">
        <v>41646</v>
      </c>
      <c r="H1556" s="787">
        <v>6</v>
      </c>
      <c r="I1556" s="788">
        <v>41877</v>
      </c>
      <c r="J1556" s="788">
        <v>41572</v>
      </c>
      <c r="L1556" s="787">
        <v>3.8</v>
      </c>
      <c r="M1556" s="787">
        <v>10</v>
      </c>
      <c r="N1556" s="787">
        <v>21.62</v>
      </c>
      <c r="O1556" s="788">
        <v>41821</v>
      </c>
    </row>
    <row r="1557" spans="1:15" x14ac:dyDescent="0.25">
      <c r="A1557" s="786" t="s">
        <v>3606</v>
      </c>
      <c r="B1557" s="787">
        <v>4</v>
      </c>
      <c r="C1557" s="787" t="s">
        <v>3607</v>
      </c>
      <c r="D1557" s="787">
        <v>0.68</v>
      </c>
      <c r="E1557" s="787">
        <v>2.2999999999999998</v>
      </c>
      <c r="F1557" s="788">
        <v>39101</v>
      </c>
      <c r="G1557" s="788">
        <v>42086</v>
      </c>
      <c r="H1557" s="787">
        <v>1</v>
      </c>
      <c r="I1557" s="788">
        <v>41591</v>
      </c>
      <c r="J1557" s="788">
        <v>42055</v>
      </c>
      <c r="L1557" s="787">
        <v>0.7</v>
      </c>
      <c r="M1557" s="787">
        <v>10</v>
      </c>
      <c r="N1557" s="787">
        <v>2.04</v>
      </c>
      <c r="O1557" s="788">
        <v>42162</v>
      </c>
    </row>
    <row r="1558" spans="1:15" x14ac:dyDescent="0.25">
      <c r="A1558" s="786" t="s">
        <v>3608</v>
      </c>
      <c r="B1558" s="787">
        <v>4</v>
      </c>
      <c r="C1558" s="787" t="s">
        <v>3609</v>
      </c>
      <c r="D1558" s="787">
        <v>3.85</v>
      </c>
      <c r="E1558" s="787">
        <v>10.29</v>
      </c>
      <c r="F1558" s="788">
        <v>37937</v>
      </c>
      <c r="G1558" s="788">
        <v>42142</v>
      </c>
      <c r="H1558" s="787">
        <v>1</v>
      </c>
      <c r="I1558" s="788">
        <v>42165</v>
      </c>
      <c r="J1558" s="788">
        <v>42142</v>
      </c>
      <c r="K1558" s="788">
        <v>42121</v>
      </c>
      <c r="L1558" s="787">
        <v>16.68</v>
      </c>
      <c r="M1558" s="787">
        <v>20</v>
      </c>
      <c r="N1558" s="787">
        <v>17.93</v>
      </c>
      <c r="O1558" s="788">
        <v>42156</v>
      </c>
    </row>
    <row r="1559" spans="1:15" x14ac:dyDescent="0.25">
      <c r="A1559" s="786" t="s">
        <v>3610</v>
      </c>
      <c r="B1559" s="787">
        <v>4</v>
      </c>
      <c r="C1559" s="787" t="s">
        <v>3611</v>
      </c>
      <c r="D1559" s="787">
        <v>9</v>
      </c>
      <c r="E1559" s="787">
        <v>59</v>
      </c>
      <c r="F1559" s="788">
        <v>42060</v>
      </c>
      <c r="G1559" s="788">
        <v>42059</v>
      </c>
      <c r="H1559" s="787">
        <v>1</v>
      </c>
      <c r="I1559" s="788">
        <v>42052</v>
      </c>
      <c r="J1559" s="788">
        <v>42059</v>
      </c>
      <c r="K1559" s="788">
        <v>41827</v>
      </c>
      <c r="L1559" s="787">
        <v>115</v>
      </c>
      <c r="M1559" s="787">
        <v>20</v>
      </c>
      <c r="N1559" s="787">
        <v>123.63</v>
      </c>
      <c r="O1559" s="788">
        <v>42053</v>
      </c>
    </row>
    <row r="1560" spans="1:15" x14ac:dyDescent="0.25">
      <c r="A1560" s="786" t="s">
        <v>3612</v>
      </c>
      <c r="B1560" s="787">
        <v>4</v>
      </c>
      <c r="C1560" s="787" t="s">
        <v>3613</v>
      </c>
      <c r="D1560" s="787">
        <v>1</v>
      </c>
      <c r="E1560" s="787">
        <v>1.25</v>
      </c>
      <c r="F1560" s="788">
        <v>39101</v>
      </c>
      <c r="G1560" s="788">
        <v>41255</v>
      </c>
      <c r="H1560" s="787">
        <v>1</v>
      </c>
      <c r="I1560" s="788">
        <v>39714</v>
      </c>
      <c r="J1560" s="788">
        <v>39503</v>
      </c>
      <c r="L1560" s="787">
        <v>1.08</v>
      </c>
      <c r="M1560" s="787">
        <v>10</v>
      </c>
      <c r="N1560" s="787">
        <v>1.26</v>
      </c>
      <c r="O1560" s="788">
        <v>42162</v>
      </c>
    </row>
    <row r="1561" spans="1:15" x14ac:dyDescent="0.25">
      <c r="A1561" s="786" t="s">
        <v>3614</v>
      </c>
      <c r="B1561" s="787">
        <v>4</v>
      </c>
      <c r="C1561" s="787" t="s">
        <v>3615</v>
      </c>
      <c r="D1561" s="787">
        <v>0</v>
      </c>
      <c r="E1561" s="787">
        <v>0</v>
      </c>
      <c r="G1561" s="788">
        <v>39590</v>
      </c>
      <c r="H1561" s="787">
        <v>1</v>
      </c>
      <c r="I1561" s="788">
        <v>39134</v>
      </c>
      <c r="J1561" s="788">
        <v>39149</v>
      </c>
      <c r="K1561" s="788">
        <v>41894</v>
      </c>
      <c r="L1561" s="787">
        <v>55</v>
      </c>
      <c r="M1561" s="787">
        <v>10</v>
      </c>
      <c r="N1561" s="787">
        <v>579.92999999999995</v>
      </c>
      <c r="O1561" s="788">
        <v>41955</v>
      </c>
    </row>
    <row r="1562" spans="1:15" x14ac:dyDescent="0.25">
      <c r="A1562" s="786" t="s">
        <v>3616</v>
      </c>
      <c r="B1562" s="787">
        <v>4</v>
      </c>
      <c r="C1562" s="787" t="s">
        <v>3617</v>
      </c>
      <c r="D1562" s="787">
        <v>0.81</v>
      </c>
      <c r="E1562" s="787">
        <v>2.2200000000000002</v>
      </c>
      <c r="F1562" s="788">
        <v>39456</v>
      </c>
      <c r="G1562" s="788">
        <v>42013</v>
      </c>
      <c r="H1562" s="787">
        <v>1</v>
      </c>
      <c r="I1562" s="788">
        <v>42151</v>
      </c>
      <c r="J1562" s="788">
        <v>41587</v>
      </c>
      <c r="K1562" s="788">
        <v>41470</v>
      </c>
      <c r="L1562" s="787">
        <v>1.99</v>
      </c>
      <c r="M1562" s="787">
        <v>10</v>
      </c>
      <c r="N1562" s="787">
        <v>2.06</v>
      </c>
      <c r="O1562" s="788">
        <v>42163</v>
      </c>
    </row>
    <row r="1563" spans="1:15" x14ac:dyDescent="0.25">
      <c r="A1563" s="786" t="s">
        <v>3618</v>
      </c>
      <c r="B1563" s="787">
        <v>4</v>
      </c>
      <c r="C1563" s="787" t="s">
        <v>3619</v>
      </c>
      <c r="D1563" s="787">
        <v>2.4300000000000002</v>
      </c>
      <c r="E1563" s="787">
        <v>2.4300000000000002</v>
      </c>
      <c r="F1563" s="788">
        <v>37637</v>
      </c>
      <c r="G1563" s="788">
        <v>37637</v>
      </c>
      <c r="H1563" s="787">
        <v>6</v>
      </c>
      <c r="J1563" s="788">
        <v>37637</v>
      </c>
      <c r="L1563" s="787">
        <v>0.96</v>
      </c>
      <c r="M1563" s="787">
        <v>10</v>
      </c>
      <c r="N1563" s="787">
        <v>0.11</v>
      </c>
      <c r="O1563" s="788">
        <v>39897</v>
      </c>
    </row>
    <row r="1564" spans="1:15" x14ac:dyDescent="0.25">
      <c r="A1564" s="786" t="s">
        <v>3620</v>
      </c>
      <c r="B1564" s="787">
        <v>4</v>
      </c>
      <c r="C1564" s="787" t="s">
        <v>3621</v>
      </c>
      <c r="D1564" s="787">
        <v>1.23</v>
      </c>
      <c r="E1564" s="787">
        <v>1.23</v>
      </c>
      <c r="F1564" s="788">
        <v>39101</v>
      </c>
      <c r="G1564" s="788">
        <v>41565</v>
      </c>
      <c r="H1564" s="787">
        <v>1</v>
      </c>
      <c r="I1564" s="788">
        <v>41228</v>
      </c>
      <c r="J1564" s="788">
        <v>39503</v>
      </c>
      <c r="L1564" s="787">
        <v>1.08</v>
      </c>
      <c r="M1564" s="787">
        <v>10</v>
      </c>
      <c r="N1564" s="787">
        <v>1.26</v>
      </c>
      <c r="O1564" s="788">
        <v>42162</v>
      </c>
    </row>
    <row r="1565" spans="1:15" x14ac:dyDescent="0.25">
      <c r="A1565" s="786" t="s">
        <v>3622</v>
      </c>
      <c r="B1565" s="787">
        <v>4</v>
      </c>
      <c r="C1565" s="787" t="s">
        <v>3623</v>
      </c>
      <c r="D1565" s="787">
        <v>2.06</v>
      </c>
      <c r="E1565" s="787">
        <v>2.06</v>
      </c>
      <c r="F1565" s="788">
        <v>39101</v>
      </c>
      <c r="G1565" s="788">
        <v>41943</v>
      </c>
      <c r="H1565" s="787">
        <v>1</v>
      </c>
      <c r="I1565" s="788">
        <v>42109</v>
      </c>
      <c r="J1565" s="788">
        <v>39149</v>
      </c>
      <c r="L1565" s="787">
        <v>2.61</v>
      </c>
      <c r="M1565" s="787">
        <v>10</v>
      </c>
      <c r="N1565" s="787">
        <v>4.3600000000000003</v>
      </c>
      <c r="O1565" s="788">
        <v>42162</v>
      </c>
    </row>
    <row r="1566" spans="1:15" x14ac:dyDescent="0.25">
      <c r="A1566" s="786" t="s">
        <v>3624</v>
      </c>
      <c r="B1566" s="787">
        <v>4</v>
      </c>
      <c r="C1566" s="787" t="s">
        <v>3625</v>
      </c>
      <c r="D1566" s="787">
        <v>1.95</v>
      </c>
      <c r="E1566" s="787">
        <v>1.95</v>
      </c>
      <c r="F1566" s="788">
        <v>39101</v>
      </c>
      <c r="G1566" s="788">
        <v>41943</v>
      </c>
      <c r="H1566" s="787">
        <v>1</v>
      </c>
      <c r="I1566" s="788">
        <v>42109</v>
      </c>
      <c r="J1566" s="788">
        <v>39149</v>
      </c>
      <c r="L1566" s="787">
        <v>2.41</v>
      </c>
      <c r="M1566" s="787">
        <v>10</v>
      </c>
      <c r="N1566" s="787">
        <v>4.37</v>
      </c>
      <c r="O1566" s="788">
        <v>42162</v>
      </c>
    </row>
    <row r="1567" spans="1:15" x14ac:dyDescent="0.25">
      <c r="A1567" s="786" t="s">
        <v>3626</v>
      </c>
      <c r="B1567" s="787">
        <v>4</v>
      </c>
      <c r="C1567" s="787" t="s">
        <v>3623</v>
      </c>
      <c r="D1567" s="787">
        <v>2.11</v>
      </c>
      <c r="E1567" s="787">
        <v>2.11</v>
      </c>
      <c r="F1567" s="788">
        <v>39101</v>
      </c>
      <c r="G1567" s="788">
        <v>41943</v>
      </c>
      <c r="H1567" s="787">
        <v>1</v>
      </c>
      <c r="I1567" s="788">
        <v>41949</v>
      </c>
      <c r="J1567" s="788">
        <v>39149</v>
      </c>
      <c r="L1567" s="787">
        <v>2.61</v>
      </c>
      <c r="M1567" s="787">
        <v>10</v>
      </c>
      <c r="N1567" s="787">
        <v>4.43</v>
      </c>
      <c r="O1567" s="788">
        <v>42162</v>
      </c>
    </row>
    <row r="1568" spans="1:15" x14ac:dyDescent="0.25">
      <c r="A1568" s="786" t="s">
        <v>3627</v>
      </c>
      <c r="B1568" s="787">
        <v>4</v>
      </c>
      <c r="C1568" s="787" t="s">
        <v>3625</v>
      </c>
      <c r="D1568" s="787">
        <v>1.97</v>
      </c>
      <c r="E1568" s="787">
        <v>1.97</v>
      </c>
      <c r="F1568" s="788">
        <v>39101</v>
      </c>
      <c r="G1568" s="788">
        <v>41943</v>
      </c>
      <c r="H1568" s="787">
        <v>1</v>
      </c>
      <c r="I1568" s="788">
        <v>41949</v>
      </c>
      <c r="J1568" s="788">
        <v>39718</v>
      </c>
      <c r="L1568" s="787">
        <v>2.57</v>
      </c>
      <c r="M1568" s="787">
        <v>10</v>
      </c>
      <c r="N1568" s="787">
        <v>4.34</v>
      </c>
      <c r="O1568" s="788">
        <v>42162</v>
      </c>
    </row>
    <row r="1569" spans="1:15" x14ac:dyDescent="0.25">
      <c r="A1569" s="786" t="s">
        <v>3628</v>
      </c>
      <c r="B1569" s="787">
        <v>4</v>
      </c>
      <c r="C1569" s="787" t="s">
        <v>3629</v>
      </c>
      <c r="D1569" s="787">
        <v>2.2400000000000002</v>
      </c>
      <c r="E1569" s="787">
        <v>2.2400000000000002</v>
      </c>
      <c r="F1569" s="788">
        <v>39101</v>
      </c>
      <c r="G1569" s="788">
        <v>41758</v>
      </c>
      <c r="H1569" s="787">
        <v>1</v>
      </c>
      <c r="I1569" s="788">
        <v>41722</v>
      </c>
      <c r="J1569" s="788">
        <v>41758</v>
      </c>
      <c r="L1569" s="787">
        <v>2.42</v>
      </c>
      <c r="M1569" s="787">
        <v>10</v>
      </c>
      <c r="N1569" s="787">
        <v>3.55</v>
      </c>
      <c r="O1569" s="788">
        <v>42146</v>
      </c>
    </row>
    <row r="1570" spans="1:15" x14ac:dyDescent="0.25">
      <c r="A1570" s="786" t="s">
        <v>3630</v>
      </c>
      <c r="B1570" s="787">
        <v>4</v>
      </c>
      <c r="C1570" s="787" t="s">
        <v>3631</v>
      </c>
      <c r="D1570" s="787">
        <v>1.26</v>
      </c>
      <c r="E1570" s="787">
        <v>1.26</v>
      </c>
      <c r="F1570" s="788">
        <v>39101</v>
      </c>
      <c r="G1570" s="788">
        <v>41943</v>
      </c>
      <c r="H1570" s="787">
        <v>1</v>
      </c>
      <c r="I1570" s="788">
        <v>42153</v>
      </c>
      <c r="J1570" s="788">
        <v>39149</v>
      </c>
      <c r="L1570" s="787">
        <v>2.25</v>
      </c>
      <c r="M1570" s="787">
        <v>10</v>
      </c>
      <c r="N1570" s="787">
        <v>3.38</v>
      </c>
      <c r="O1570" s="788">
        <v>42146</v>
      </c>
    </row>
    <row r="1571" spans="1:15" x14ac:dyDescent="0.25">
      <c r="A1571" s="786" t="s">
        <v>3632</v>
      </c>
      <c r="B1571" s="787">
        <v>4</v>
      </c>
      <c r="C1571" s="787" t="s">
        <v>3629</v>
      </c>
      <c r="D1571" s="787">
        <v>1.65</v>
      </c>
      <c r="E1571" s="787">
        <v>1.65</v>
      </c>
      <c r="F1571" s="788">
        <v>39101</v>
      </c>
      <c r="G1571" s="788">
        <v>41883</v>
      </c>
      <c r="H1571" s="787">
        <v>1</v>
      </c>
      <c r="I1571" s="788">
        <v>41877</v>
      </c>
      <c r="J1571" s="788">
        <v>41883</v>
      </c>
      <c r="L1571" s="787">
        <v>2.37</v>
      </c>
      <c r="M1571" s="787">
        <v>10</v>
      </c>
      <c r="N1571" s="787">
        <v>3.47</v>
      </c>
      <c r="O1571" s="788">
        <v>42146</v>
      </c>
    </row>
    <row r="1572" spans="1:15" x14ac:dyDescent="0.25">
      <c r="A1572" s="786" t="s">
        <v>3633</v>
      </c>
      <c r="B1572" s="787">
        <v>4</v>
      </c>
      <c r="C1572" s="787" t="s">
        <v>3634</v>
      </c>
      <c r="D1572" s="787">
        <v>1.7</v>
      </c>
      <c r="E1572" s="787">
        <v>1.7</v>
      </c>
      <c r="F1572" s="788">
        <v>39101</v>
      </c>
      <c r="G1572" s="788">
        <v>41565</v>
      </c>
      <c r="H1572" s="787">
        <v>1</v>
      </c>
      <c r="I1572" s="788">
        <v>40978</v>
      </c>
      <c r="J1572" s="788">
        <v>40375</v>
      </c>
      <c r="L1572" s="787">
        <v>1.7</v>
      </c>
      <c r="M1572" s="787">
        <v>10</v>
      </c>
      <c r="N1572" s="787">
        <v>1.44</v>
      </c>
      <c r="O1572" s="788">
        <v>42162</v>
      </c>
    </row>
    <row r="1573" spans="1:15" x14ac:dyDescent="0.25">
      <c r="A1573" s="786" t="s">
        <v>3635</v>
      </c>
      <c r="B1573" s="787">
        <v>4</v>
      </c>
      <c r="C1573" s="787" t="s">
        <v>3636</v>
      </c>
      <c r="D1573" s="787">
        <v>0.76</v>
      </c>
      <c r="E1573" s="787">
        <v>0.76</v>
      </c>
      <c r="F1573" s="788">
        <v>38047</v>
      </c>
      <c r="G1573" s="788">
        <v>41565</v>
      </c>
      <c r="H1573" s="787">
        <v>1</v>
      </c>
      <c r="I1573" s="788">
        <v>40978</v>
      </c>
      <c r="J1573" s="788">
        <v>38047</v>
      </c>
      <c r="L1573" s="787">
        <v>0.49</v>
      </c>
      <c r="M1573" s="787">
        <v>10</v>
      </c>
      <c r="N1573" s="787">
        <v>0.94</v>
      </c>
      <c r="O1573" s="788">
        <v>42162</v>
      </c>
    </row>
    <row r="1574" spans="1:15" x14ac:dyDescent="0.25">
      <c r="A1574" s="786" t="s">
        <v>3637</v>
      </c>
      <c r="B1574" s="787">
        <v>4</v>
      </c>
      <c r="C1574" s="787" t="s">
        <v>3638</v>
      </c>
      <c r="D1574" s="787">
        <v>0</v>
      </c>
      <c r="E1574" s="787">
        <v>0</v>
      </c>
      <c r="H1574" s="787">
        <v>1</v>
      </c>
      <c r="L1574" s="787">
        <v>39.49</v>
      </c>
      <c r="M1574" s="787">
        <v>10</v>
      </c>
      <c r="N1574" s="787">
        <v>82.41</v>
      </c>
      <c r="O1574" s="788">
        <v>41955</v>
      </c>
    </row>
    <row r="1575" spans="1:15" x14ac:dyDescent="0.25">
      <c r="A1575" s="786" t="s">
        <v>3639</v>
      </c>
      <c r="B1575" s="787">
        <v>4</v>
      </c>
      <c r="C1575" s="787" t="s">
        <v>3640</v>
      </c>
      <c r="D1575" s="787">
        <v>0</v>
      </c>
      <c r="E1575" s="787">
        <v>0</v>
      </c>
      <c r="G1575" s="788">
        <v>41899</v>
      </c>
      <c r="H1575" s="787">
        <v>1</v>
      </c>
      <c r="I1575" s="788">
        <v>41899</v>
      </c>
      <c r="J1575" s="788">
        <v>41899</v>
      </c>
      <c r="L1575" s="787">
        <v>0.77</v>
      </c>
      <c r="M1575" s="787">
        <v>10</v>
      </c>
      <c r="N1575" s="787">
        <v>9.32</v>
      </c>
      <c r="O1575" s="788">
        <v>41955</v>
      </c>
    </row>
    <row r="1576" spans="1:15" x14ac:dyDescent="0.25">
      <c r="A1576" s="786" t="s">
        <v>3641</v>
      </c>
      <c r="B1576" s="787">
        <v>4</v>
      </c>
      <c r="C1576" s="787" t="s">
        <v>3642</v>
      </c>
      <c r="D1576" s="787">
        <v>0</v>
      </c>
      <c r="E1576" s="787">
        <v>0</v>
      </c>
      <c r="G1576" s="788">
        <v>41899</v>
      </c>
      <c r="H1576" s="787">
        <v>1</v>
      </c>
      <c r="I1576" s="788">
        <v>41899</v>
      </c>
      <c r="J1576" s="788">
        <v>41899</v>
      </c>
      <c r="L1576" s="787">
        <v>0.09</v>
      </c>
      <c r="M1576" s="787">
        <v>10</v>
      </c>
      <c r="N1576" s="787">
        <v>0.26</v>
      </c>
      <c r="O1576" s="788">
        <v>41955</v>
      </c>
    </row>
    <row r="1577" spans="1:15" x14ac:dyDescent="0.25">
      <c r="A1577" s="786" t="s">
        <v>3643</v>
      </c>
      <c r="B1577" s="787">
        <v>4</v>
      </c>
      <c r="C1577" s="787" t="s">
        <v>3644</v>
      </c>
      <c r="D1577" s="787">
        <v>0</v>
      </c>
      <c r="E1577" s="787">
        <v>0</v>
      </c>
      <c r="G1577" s="788">
        <v>41778</v>
      </c>
      <c r="H1577" s="787">
        <v>1</v>
      </c>
      <c r="I1577" s="788">
        <v>41899</v>
      </c>
      <c r="J1577" s="788">
        <v>41899</v>
      </c>
      <c r="L1577" s="787">
        <v>0.14000000000000001</v>
      </c>
      <c r="M1577" s="787">
        <v>10</v>
      </c>
      <c r="N1577" s="787">
        <v>1.1200000000000001</v>
      </c>
      <c r="O1577" s="788">
        <v>41955</v>
      </c>
    </row>
    <row r="1578" spans="1:15" x14ac:dyDescent="0.25">
      <c r="A1578" s="786" t="s">
        <v>3645</v>
      </c>
      <c r="B1578" s="787">
        <v>4</v>
      </c>
      <c r="C1578" s="787" t="s">
        <v>3646</v>
      </c>
      <c r="D1578" s="787">
        <v>0</v>
      </c>
      <c r="E1578" s="787">
        <v>0</v>
      </c>
      <c r="G1578" s="788">
        <v>41778</v>
      </c>
      <c r="H1578" s="787">
        <v>1</v>
      </c>
      <c r="I1578" s="788">
        <v>41899</v>
      </c>
      <c r="J1578" s="788">
        <v>41899</v>
      </c>
      <c r="L1578" s="787">
        <v>0.05</v>
      </c>
      <c r="M1578" s="787">
        <v>10</v>
      </c>
      <c r="N1578" s="787">
        <v>0.06</v>
      </c>
      <c r="O1578" s="788">
        <v>41955</v>
      </c>
    </row>
    <row r="1579" spans="1:15" x14ac:dyDescent="0.25">
      <c r="A1579" s="786" t="s">
        <v>3647</v>
      </c>
      <c r="B1579" s="787">
        <v>4</v>
      </c>
      <c r="C1579" s="787" t="s">
        <v>3648</v>
      </c>
      <c r="D1579" s="787">
        <v>0</v>
      </c>
      <c r="E1579" s="787">
        <v>0</v>
      </c>
      <c r="G1579" s="788">
        <v>41899</v>
      </c>
      <c r="H1579" s="787">
        <v>1</v>
      </c>
      <c r="I1579" s="788">
        <v>41899</v>
      </c>
      <c r="J1579" s="788">
        <v>41899</v>
      </c>
      <c r="L1579" s="787">
        <v>0.08</v>
      </c>
      <c r="M1579" s="787">
        <v>10</v>
      </c>
      <c r="N1579" s="787">
        <v>1.72</v>
      </c>
      <c r="O1579" s="788">
        <v>41955</v>
      </c>
    </row>
    <row r="1580" spans="1:15" x14ac:dyDescent="0.25">
      <c r="A1580" s="786" t="s">
        <v>3649</v>
      </c>
      <c r="B1580" s="787">
        <v>4</v>
      </c>
      <c r="C1580" s="787" t="s">
        <v>3650</v>
      </c>
      <c r="D1580" s="787">
        <v>0.01</v>
      </c>
      <c r="E1580" s="787">
        <v>0.17</v>
      </c>
      <c r="F1580" s="788">
        <v>39975</v>
      </c>
      <c r="G1580" s="788">
        <v>41943</v>
      </c>
      <c r="H1580" s="787">
        <v>1</v>
      </c>
      <c r="I1580" s="788">
        <v>39979</v>
      </c>
      <c r="J1580" s="788">
        <v>41172</v>
      </c>
      <c r="L1580" s="787">
        <v>0</v>
      </c>
      <c r="M1580" s="787">
        <v>10</v>
      </c>
      <c r="N1580" s="787">
        <v>3.71</v>
      </c>
      <c r="O1580" s="788">
        <v>41955</v>
      </c>
    </row>
    <row r="1581" spans="1:15" x14ac:dyDescent="0.25">
      <c r="A1581" s="786" t="s">
        <v>3651</v>
      </c>
      <c r="B1581" s="787">
        <v>4</v>
      </c>
      <c r="C1581" s="787" t="s">
        <v>3652</v>
      </c>
      <c r="D1581" s="787">
        <v>4.0999999999999996</v>
      </c>
      <c r="E1581" s="787">
        <v>34.799999999999997</v>
      </c>
      <c r="F1581" s="788">
        <v>41935</v>
      </c>
      <c r="G1581" s="788">
        <v>42125</v>
      </c>
      <c r="H1581" s="787">
        <v>1</v>
      </c>
      <c r="I1581" s="788">
        <v>42143</v>
      </c>
      <c r="J1581" s="788">
        <v>42089</v>
      </c>
      <c r="K1581" s="788">
        <v>42079</v>
      </c>
      <c r="L1581" s="787">
        <v>34.799999999999997</v>
      </c>
      <c r="M1581" s="787">
        <v>20</v>
      </c>
      <c r="N1581" s="787">
        <v>37.409999999999997</v>
      </c>
      <c r="O1581" s="788">
        <v>42156</v>
      </c>
    </row>
    <row r="1582" spans="1:15" x14ac:dyDescent="0.25">
      <c r="A1582" s="786" t="s">
        <v>3653</v>
      </c>
      <c r="B1582" s="787">
        <v>4</v>
      </c>
      <c r="C1582" s="787" t="s">
        <v>3654</v>
      </c>
      <c r="D1582" s="787">
        <v>1.38</v>
      </c>
      <c r="E1582" s="787">
        <v>1.51</v>
      </c>
      <c r="F1582" s="788">
        <v>39101</v>
      </c>
      <c r="G1582" s="788">
        <v>42013</v>
      </c>
      <c r="H1582" s="787">
        <v>1</v>
      </c>
      <c r="I1582" s="788">
        <v>42163</v>
      </c>
      <c r="J1582" s="788">
        <v>40029</v>
      </c>
      <c r="L1582" s="787">
        <v>1.68</v>
      </c>
      <c r="M1582" s="787">
        <v>10</v>
      </c>
      <c r="N1582" s="787">
        <v>1</v>
      </c>
      <c r="O1582" s="788">
        <v>42164</v>
      </c>
    </row>
    <row r="1583" spans="1:15" x14ac:dyDescent="0.25">
      <c r="A1583" s="786" t="s">
        <v>3655</v>
      </c>
      <c r="B1583" s="787">
        <v>4</v>
      </c>
      <c r="C1583" s="787" t="s">
        <v>3656</v>
      </c>
      <c r="D1583" s="787">
        <v>0.28000000000000003</v>
      </c>
      <c r="E1583" s="787">
        <v>0.28000000000000003</v>
      </c>
      <c r="F1583" s="788">
        <v>39101</v>
      </c>
      <c r="G1583" s="788">
        <v>41963</v>
      </c>
      <c r="H1583" s="787">
        <v>1</v>
      </c>
      <c r="I1583" s="788">
        <v>42130</v>
      </c>
      <c r="J1583" s="788">
        <v>42142</v>
      </c>
      <c r="L1583" s="787">
        <v>0.33</v>
      </c>
      <c r="M1583" s="787">
        <v>10</v>
      </c>
      <c r="N1583" s="787">
        <v>0.54</v>
      </c>
      <c r="O1583" s="788">
        <v>41955</v>
      </c>
    </row>
    <row r="1584" spans="1:15" x14ac:dyDescent="0.25">
      <c r="A1584" s="786" t="s">
        <v>3657</v>
      </c>
      <c r="B1584" s="787">
        <v>4</v>
      </c>
      <c r="C1584" s="787" t="s">
        <v>3658</v>
      </c>
      <c r="D1584" s="787">
        <v>0.28000000000000003</v>
      </c>
      <c r="E1584" s="787">
        <v>0.28000000000000003</v>
      </c>
      <c r="F1584" s="788">
        <v>37596</v>
      </c>
      <c r="G1584" s="788">
        <v>41598</v>
      </c>
      <c r="H1584" s="787">
        <v>1</v>
      </c>
      <c r="I1584" s="788">
        <v>42090</v>
      </c>
      <c r="J1584" s="788">
        <v>42093</v>
      </c>
      <c r="L1584" s="787">
        <v>3.04</v>
      </c>
      <c r="M1584" s="787">
        <v>10</v>
      </c>
      <c r="N1584" s="787">
        <v>3.2</v>
      </c>
      <c r="O1584" s="788">
        <v>41955</v>
      </c>
    </row>
    <row r="1585" spans="1:15" x14ac:dyDescent="0.25">
      <c r="A1585" s="786" t="s">
        <v>3659</v>
      </c>
      <c r="B1585" s="787">
        <v>4</v>
      </c>
      <c r="C1585" s="787" t="s">
        <v>3660</v>
      </c>
      <c r="D1585" s="787">
        <v>0.18</v>
      </c>
      <c r="E1585" s="787">
        <v>0.18</v>
      </c>
      <c r="F1585" s="788">
        <v>37637</v>
      </c>
      <c r="G1585" s="788">
        <v>37637</v>
      </c>
      <c r="H1585" s="787">
        <v>1</v>
      </c>
      <c r="J1585" s="788">
        <v>37637</v>
      </c>
      <c r="L1585" s="787">
        <v>0.18</v>
      </c>
      <c r="M1585" s="787">
        <v>10</v>
      </c>
      <c r="N1585" s="787">
        <v>0.42</v>
      </c>
      <c r="O1585" s="788">
        <v>41955</v>
      </c>
    </row>
    <row r="1586" spans="1:15" x14ac:dyDescent="0.25">
      <c r="A1586" s="786" t="s">
        <v>3661</v>
      </c>
      <c r="B1586" s="787">
        <v>4</v>
      </c>
      <c r="C1586" s="787" t="s">
        <v>3662</v>
      </c>
      <c r="D1586" s="787">
        <v>0.73</v>
      </c>
      <c r="E1586" s="787">
        <v>3.44</v>
      </c>
      <c r="F1586" s="788">
        <v>39456</v>
      </c>
      <c r="G1586" s="788">
        <v>42103</v>
      </c>
      <c r="H1586" s="787">
        <v>1</v>
      </c>
      <c r="I1586" s="788">
        <v>42151</v>
      </c>
      <c r="J1586" s="788">
        <v>42069</v>
      </c>
      <c r="K1586" s="788">
        <v>41709</v>
      </c>
      <c r="L1586" s="787">
        <v>5.75</v>
      </c>
      <c r="M1586" s="787">
        <v>10</v>
      </c>
      <c r="N1586" s="787">
        <v>6.24</v>
      </c>
      <c r="O1586" s="788">
        <v>42163</v>
      </c>
    </row>
    <row r="1587" spans="1:15" x14ac:dyDescent="0.25">
      <c r="A1587" s="786" t="s">
        <v>3663</v>
      </c>
      <c r="B1587" s="787">
        <v>4</v>
      </c>
      <c r="C1587" s="787" t="s">
        <v>3664</v>
      </c>
      <c r="D1587" s="787">
        <v>0.42</v>
      </c>
      <c r="E1587" s="787">
        <v>0.42</v>
      </c>
      <c r="F1587" s="788">
        <v>37637</v>
      </c>
      <c r="G1587" s="788">
        <v>37637</v>
      </c>
      <c r="H1587" s="787">
        <v>6</v>
      </c>
      <c r="J1587" s="788">
        <v>37637</v>
      </c>
      <c r="L1587" s="787">
        <v>0.35</v>
      </c>
      <c r="M1587" s="787">
        <v>10</v>
      </c>
      <c r="N1587" s="787">
        <v>0.94</v>
      </c>
      <c r="O1587" s="788">
        <v>41806</v>
      </c>
    </row>
    <row r="1588" spans="1:15" x14ac:dyDescent="0.25">
      <c r="A1588" s="786" t="s">
        <v>3665</v>
      </c>
      <c r="B1588" s="787">
        <v>4</v>
      </c>
      <c r="C1588" s="787" t="s">
        <v>3666</v>
      </c>
      <c r="D1588" s="787">
        <v>0.48</v>
      </c>
      <c r="E1588" s="787">
        <v>1.2</v>
      </c>
      <c r="F1588" s="788">
        <v>39456</v>
      </c>
      <c r="G1588" s="788">
        <v>42013</v>
      </c>
      <c r="H1588" s="787">
        <v>1</v>
      </c>
      <c r="I1588" s="788">
        <v>42164</v>
      </c>
      <c r="J1588" s="788">
        <v>41610</v>
      </c>
      <c r="K1588" s="788">
        <v>41576</v>
      </c>
      <c r="L1588" s="787">
        <v>0.64</v>
      </c>
      <c r="M1588" s="787">
        <v>10</v>
      </c>
      <c r="N1588" s="787">
        <v>4.6100000000000003</v>
      </c>
      <c r="O1588" s="788">
        <v>42159</v>
      </c>
    </row>
    <row r="1589" spans="1:15" x14ac:dyDescent="0.25">
      <c r="A1589" s="786" t="s">
        <v>3667</v>
      </c>
      <c r="B1589" s="787">
        <v>4</v>
      </c>
      <c r="C1589" s="787" t="s">
        <v>3668</v>
      </c>
      <c r="D1589" s="787">
        <v>1.97</v>
      </c>
      <c r="E1589" s="787">
        <v>1.97</v>
      </c>
      <c r="F1589" s="788">
        <v>37637</v>
      </c>
      <c r="G1589" s="788">
        <v>37637</v>
      </c>
      <c r="H1589" s="787">
        <v>1</v>
      </c>
      <c r="I1589" s="788">
        <v>40032</v>
      </c>
      <c r="J1589" s="788">
        <v>37637</v>
      </c>
      <c r="L1589" s="787">
        <v>1.65</v>
      </c>
      <c r="M1589" s="787">
        <v>10</v>
      </c>
      <c r="N1589" s="787">
        <v>3.93</v>
      </c>
      <c r="O1589" s="788">
        <v>42127</v>
      </c>
    </row>
    <row r="1590" spans="1:15" x14ac:dyDescent="0.25">
      <c r="A1590" s="786" t="s">
        <v>3669</v>
      </c>
      <c r="B1590" s="787">
        <v>4</v>
      </c>
      <c r="C1590" s="787" t="s">
        <v>3670</v>
      </c>
      <c r="D1590" s="787">
        <v>0.95</v>
      </c>
      <c r="E1590" s="787">
        <v>0.95</v>
      </c>
      <c r="F1590" s="788">
        <v>37637</v>
      </c>
      <c r="G1590" s="788">
        <v>37637</v>
      </c>
      <c r="H1590" s="787">
        <v>1</v>
      </c>
      <c r="I1590" s="788">
        <v>38133</v>
      </c>
      <c r="J1590" s="788">
        <v>37637</v>
      </c>
      <c r="L1590" s="787">
        <v>0.79</v>
      </c>
      <c r="M1590" s="787">
        <v>10</v>
      </c>
      <c r="N1590" s="787">
        <v>1.89</v>
      </c>
      <c r="O1590" s="788">
        <v>41955</v>
      </c>
    </row>
    <row r="1591" spans="1:15" x14ac:dyDescent="0.25">
      <c r="A1591" s="786" t="s">
        <v>3671</v>
      </c>
      <c r="B1591" s="787">
        <v>4</v>
      </c>
      <c r="C1591" s="787" t="s">
        <v>3672</v>
      </c>
      <c r="D1591" s="787">
        <v>9.18</v>
      </c>
      <c r="E1591" s="787">
        <v>9.86</v>
      </c>
      <c r="F1591" s="788">
        <v>42082</v>
      </c>
      <c r="G1591" s="788">
        <v>42158</v>
      </c>
      <c r="H1591" s="787">
        <v>1</v>
      </c>
      <c r="I1591" s="788">
        <v>42160</v>
      </c>
      <c r="J1591" s="788">
        <v>42129</v>
      </c>
      <c r="L1591" s="787">
        <v>11.73</v>
      </c>
      <c r="M1591" s="787">
        <v>10</v>
      </c>
      <c r="N1591" s="787">
        <v>9.26</v>
      </c>
      <c r="O1591" s="788">
        <v>42163</v>
      </c>
    </row>
    <row r="1592" spans="1:15" x14ac:dyDescent="0.25">
      <c r="A1592" s="786" t="s">
        <v>3673</v>
      </c>
      <c r="B1592" s="787">
        <v>4</v>
      </c>
      <c r="C1592" s="787" t="s">
        <v>3674</v>
      </c>
      <c r="D1592" s="787">
        <v>1.81</v>
      </c>
      <c r="E1592" s="787">
        <v>2.98</v>
      </c>
      <c r="F1592" s="788">
        <v>39456</v>
      </c>
      <c r="G1592" s="788">
        <v>42093</v>
      </c>
      <c r="H1592" s="787">
        <v>1</v>
      </c>
      <c r="I1592" s="788">
        <v>42163</v>
      </c>
      <c r="J1592" s="788">
        <v>42065</v>
      </c>
      <c r="L1592" s="787">
        <v>3.42</v>
      </c>
      <c r="M1592" s="787">
        <v>10</v>
      </c>
      <c r="N1592" s="787">
        <v>3.67</v>
      </c>
      <c r="O1592" s="788">
        <v>42163</v>
      </c>
    </row>
    <row r="1593" spans="1:15" x14ac:dyDescent="0.25">
      <c r="A1593" s="786" t="s">
        <v>3675</v>
      </c>
      <c r="B1593" s="787">
        <v>4</v>
      </c>
      <c r="C1593" s="787" t="s">
        <v>3676</v>
      </c>
      <c r="D1593" s="787">
        <v>1.45</v>
      </c>
      <c r="E1593" s="787">
        <v>3.36</v>
      </c>
      <c r="F1593" s="788">
        <v>39456</v>
      </c>
      <c r="G1593" s="788">
        <v>42166</v>
      </c>
      <c r="H1593" s="787">
        <v>1</v>
      </c>
      <c r="I1593" s="788">
        <v>42163</v>
      </c>
      <c r="J1593" s="788">
        <v>42166</v>
      </c>
      <c r="L1593" s="787">
        <v>2.87</v>
      </c>
      <c r="M1593" s="787">
        <v>10</v>
      </c>
      <c r="N1593" s="787">
        <v>3.27</v>
      </c>
      <c r="O1593" s="788">
        <v>42163</v>
      </c>
    </row>
    <row r="1594" spans="1:15" x14ac:dyDescent="0.25">
      <c r="A1594" s="786" t="s">
        <v>3677</v>
      </c>
      <c r="B1594" s="787">
        <v>4</v>
      </c>
      <c r="C1594" s="787" t="s">
        <v>3678</v>
      </c>
      <c r="D1594" s="787">
        <v>0.43</v>
      </c>
      <c r="E1594" s="787">
        <v>1.49</v>
      </c>
      <c r="F1594" s="788">
        <v>39975</v>
      </c>
      <c r="G1594" s="788">
        <v>42013</v>
      </c>
      <c r="H1594" s="787">
        <v>1</v>
      </c>
      <c r="I1594" s="788">
        <v>42163</v>
      </c>
      <c r="J1594" s="788">
        <v>41967</v>
      </c>
      <c r="L1594" s="787">
        <v>0.83</v>
      </c>
      <c r="M1594" s="787">
        <v>10</v>
      </c>
      <c r="N1594" s="787">
        <v>1.34</v>
      </c>
      <c r="O1594" s="788">
        <v>42163</v>
      </c>
    </row>
    <row r="1595" spans="1:15" x14ac:dyDescent="0.25">
      <c r="A1595" s="786" t="s">
        <v>3679</v>
      </c>
      <c r="B1595" s="787">
        <v>4</v>
      </c>
      <c r="C1595" s="787" t="s">
        <v>3680</v>
      </c>
      <c r="D1595" s="787">
        <v>0.38</v>
      </c>
      <c r="E1595" s="787">
        <v>2.4300000000000002</v>
      </c>
      <c r="F1595" s="788">
        <v>39975</v>
      </c>
      <c r="G1595" s="788">
        <v>42061</v>
      </c>
      <c r="H1595" s="787">
        <v>1</v>
      </c>
      <c r="I1595" s="788">
        <v>42163</v>
      </c>
      <c r="J1595" s="788">
        <v>42037</v>
      </c>
      <c r="K1595" s="788">
        <v>41906</v>
      </c>
      <c r="L1595" s="787">
        <v>2.4</v>
      </c>
      <c r="M1595" s="787">
        <v>10</v>
      </c>
      <c r="N1595" s="787">
        <v>2.4</v>
      </c>
      <c r="O1595" s="788">
        <v>42163</v>
      </c>
    </row>
    <row r="1596" spans="1:15" x14ac:dyDescent="0.25">
      <c r="A1596" s="786" t="s">
        <v>3681</v>
      </c>
      <c r="B1596" s="787">
        <v>4</v>
      </c>
      <c r="C1596" s="787" t="s">
        <v>3682</v>
      </c>
      <c r="D1596" s="787">
        <v>0.16</v>
      </c>
      <c r="E1596" s="787">
        <v>0.25</v>
      </c>
      <c r="F1596" s="788">
        <v>41369</v>
      </c>
      <c r="G1596" s="788">
        <v>42163</v>
      </c>
      <c r="H1596" s="787">
        <v>1</v>
      </c>
      <c r="I1596" s="788">
        <v>42163</v>
      </c>
      <c r="J1596" s="788">
        <v>42163</v>
      </c>
      <c r="L1596" s="787">
        <v>0.47</v>
      </c>
      <c r="M1596" s="787">
        <v>10</v>
      </c>
      <c r="N1596" s="787">
        <v>0.62</v>
      </c>
      <c r="O1596" s="788">
        <v>42163</v>
      </c>
    </row>
    <row r="1597" spans="1:15" x14ac:dyDescent="0.25">
      <c r="A1597" s="786" t="s">
        <v>3683</v>
      </c>
      <c r="B1597" s="787">
        <v>4</v>
      </c>
      <c r="C1597" s="787" t="s">
        <v>3684</v>
      </c>
      <c r="D1597" s="787">
        <v>5.1100000000000003</v>
      </c>
      <c r="E1597" s="787">
        <v>11.34</v>
      </c>
      <c r="F1597" s="788">
        <v>39101</v>
      </c>
      <c r="G1597" s="788">
        <v>41775</v>
      </c>
      <c r="H1597" s="787">
        <v>1</v>
      </c>
      <c r="I1597" s="788">
        <v>41319</v>
      </c>
      <c r="J1597" s="788">
        <v>41591</v>
      </c>
      <c r="L1597" s="787">
        <v>5.3</v>
      </c>
      <c r="M1597" s="787">
        <v>10</v>
      </c>
      <c r="N1597" s="787">
        <v>9.3800000000000008</v>
      </c>
      <c r="O1597" s="788">
        <v>42127</v>
      </c>
    </row>
    <row r="1598" spans="1:15" x14ac:dyDescent="0.25">
      <c r="A1598" s="786" t="s">
        <v>3685</v>
      </c>
      <c r="B1598" s="787">
        <v>4</v>
      </c>
      <c r="C1598" s="787" t="s">
        <v>3686</v>
      </c>
      <c r="D1598" s="787">
        <v>1.21</v>
      </c>
      <c r="E1598" s="787">
        <v>1.6</v>
      </c>
      <c r="F1598" s="788">
        <v>39101</v>
      </c>
      <c r="G1598" s="788">
        <v>41886</v>
      </c>
      <c r="H1598" s="787">
        <v>1</v>
      </c>
      <c r="I1598" s="788">
        <v>42146</v>
      </c>
      <c r="J1598" s="788">
        <v>41844</v>
      </c>
      <c r="L1598" s="787">
        <v>0.35</v>
      </c>
      <c r="M1598" s="787">
        <v>10</v>
      </c>
      <c r="N1598" s="787">
        <v>1.8</v>
      </c>
      <c r="O1598" s="788">
        <v>42163</v>
      </c>
    </row>
    <row r="1599" spans="1:15" x14ac:dyDescent="0.25">
      <c r="A1599" s="786" t="s">
        <v>3687</v>
      </c>
      <c r="B1599" s="787">
        <v>4</v>
      </c>
      <c r="C1599" s="787" t="s">
        <v>3688</v>
      </c>
      <c r="D1599" s="787">
        <v>0.97</v>
      </c>
      <c r="E1599" s="787">
        <v>0.97</v>
      </c>
      <c r="F1599" s="788">
        <v>38047</v>
      </c>
      <c r="G1599" s="788">
        <v>38047</v>
      </c>
      <c r="H1599" s="787">
        <v>1</v>
      </c>
      <c r="I1599" s="788">
        <v>38133</v>
      </c>
      <c r="J1599" s="788">
        <v>38047</v>
      </c>
      <c r="L1599" s="787">
        <v>0.87</v>
      </c>
      <c r="M1599" s="787">
        <v>10</v>
      </c>
      <c r="N1599" s="787">
        <v>1.73</v>
      </c>
      <c r="O1599" s="788">
        <v>41955</v>
      </c>
    </row>
    <row r="1600" spans="1:15" x14ac:dyDescent="0.25">
      <c r="A1600" s="786" t="s">
        <v>3689</v>
      </c>
      <c r="B1600" s="787">
        <v>4</v>
      </c>
      <c r="C1600" s="787" t="s">
        <v>3686</v>
      </c>
      <c r="D1600" s="787">
        <v>1.08</v>
      </c>
      <c r="E1600" s="787">
        <v>1.08</v>
      </c>
      <c r="F1600" s="788">
        <v>40659</v>
      </c>
      <c r="G1600" s="788">
        <v>42013</v>
      </c>
      <c r="H1600" s="787">
        <v>1</v>
      </c>
      <c r="I1600" s="788">
        <v>42163</v>
      </c>
      <c r="J1600" s="788">
        <v>40633</v>
      </c>
      <c r="L1600" s="787">
        <v>0.42</v>
      </c>
      <c r="M1600" s="787">
        <v>10</v>
      </c>
      <c r="N1600" s="787">
        <v>0.68</v>
      </c>
      <c r="O1600" s="788">
        <v>42163</v>
      </c>
    </row>
    <row r="1601" spans="1:15" x14ac:dyDescent="0.25">
      <c r="A1601" s="786" t="s">
        <v>3690</v>
      </c>
      <c r="B1601" s="787">
        <v>4</v>
      </c>
      <c r="C1601" s="787" t="s">
        <v>3691</v>
      </c>
      <c r="D1601" s="787">
        <v>1.25</v>
      </c>
      <c r="E1601" s="787">
        <v>1.25</v>
      </c>
      <c r="F1601" s="788">
        <v>37637</v>
      </c>
      <c r="G1601" s="788">
        <v>37637</v>
      </c>
      <c r="H1601" s="787">
        <v>1</v>
      </c>
      <c r="J1601" s="788">
        <v>37637</v>
      </c>
      <c r="L1601" s="787">
        <v>1.26</v>
      </c>
      <c r="M1601" s="787">
        <v>10</v>
      </c>
      <c r="N1601" s="787">
        <v>2.33</v>
      </c>
      <c r="O1601" s="788">
        <v>42087</v>
      </c>
    </row>
    <row r="1602" spans="1:15" x14ac:dyDescent="0.25">
      <c r="A1602" s="786" t="s">
        <v>3692</v>
      </c>
      <c r="B1602" s="787">
        <v>4</v>
      </c>
      <c r="C1602" s="787" t="s">
        <v>3693</v>
      </c>
      <c r="D1602" s="787">
        <v>0.12</v>
      </c>
      <c r="E1602" s="787">
        <v>0.12</v>
      </c>
      <c r="F1602" s="788">
        <v>42102</v>
      </c>
      <c r="G1602" s="788">
        <v>42158</v>
      </c>
      <c r="H1602" s="787">
        <v>1</v>
      </c>
      <c r="I1602" s="788">
        <v>42163</v>
      </c>
      <c r="J1602" s="788">
        <v>42158</v>
      </c>
      <c r="K1602" s="788">
        <v>40870</v>
      </c>
      <c r="L1602" s="787">
        <v>0.24</v>
      </c>
      <c r="M1602" s="787">
        <v>20</v>
      </c>
      <c r="N1602" s="787">
        <v>0.26</v>
      </c>
      <c r="O1602" s="788">
        <v>42164</v>
      </c>
    </row>
    <row r="1603" spans="1:15" x14ac:dyDescent="0.25">
      <c r="A1603" s="786" t="s">
        <v>3694</v>
      </c>
      <c r="B1603" s="787">
        <v>4</v>
      </c>
      <c r="C1603" s="787" t="s">
        <v>3695</v>
      </c>
      <c r="D1603" s="787">
        <v>4.4800000000000004</v>
      </c>
      <c r="E1603" s="787">
        <v>4.4800000000000004</v>
      </c>
      <c r="F1603" s="788">
        <v>41579</v>
      </c>
      <c r="G1603" s="788">
        <v>41943</v>
      </c>
      <c r="H1603" s="787">
        <v>1</v>
      </c>
      <c r="I1603" s="788">
        <v>42163</v>
      </c>
      <c r="J1603" s="788">
        <v>41537</v>
      </c>
      <c r="K1603" s="788">
        <v>41354</v>
      </c>
      <c r="L1603" s="787">
        <v>9.1300000000000008</v>
      </c>
      <c r="M1603" s="787">
        <v>10</v>
      </c>
      <c r="N1603" s="787">
        <v>7.56</v>
      </c>
      <c r="O1603" s="788">
        <v>42163</v>
      </c>
    </row>
    <row r="1604" spans="1:15" x14ac:dyDescent="0.25">
      <c r="A1604" s="786" t="s">
        <v>3696</v>
      </c>
      <c r="B1604" s="787">
        <v>4</v>
      </c>
      <c r="C1604" s="787" t="s">
        <v>3697</v>
      </c>
      <c r="D1604" s="787">
        <v>2.85</v>
      </c>
      <c r="E1604" s="787">
        <v>6.49</v>
      </c>
      <c r="F1604" s="788">
        <v>40644</v>
      </c>
      <c r="G1604" s="788">
        <v>42013</v>
      </c>
      <c r="H1604" s="787">
        <v>1</v>
      </c>
      <c r="I1604" s="788">
        <v>42160</v>
      </c>
      <c r="J1604" s="788">
        <v>41696</v>
      </c>
      <c r="K1604" s="788">
        <v>41359</v>
      </c>
      <c r="L1604" s="787">
        <v>7.93</v>
      </c>
      <c r="M1604" s="787">
        <v>10</v>
      </c>
      <c r="N1604" s="787">
        <v>6.17</v>
      </c>
      <c r="O1604" s="788">
        <v>42163</v>
      </c>
    </row>
    <row r="1605" spans="1:15" x14ac:dyDescent="0.25">
      <c r="A1605" s="786" t="s">
        <v>3698</v>
      </c>
      <c r="B1605" s="787">
        <v>4</v>
      </c>
      <c r="C1605" s="787" t="s">
        <v>3699</v>
      </c>
      <c r="D1605" s="787">
        <v>2.98</v>
      </c>
      <c r="E1605" s="787">
        <v>22.98</v>
      </c>
      <c r="F1605" s="788">
        <v>41519</v>
      </c>
      <c r="G1605" s="788">
        <v>41943</v>
      </c>
      <c r="H1605" s="787">
        <v>1</v>
      </c>
      <c r="I1605" s="788">
        <v>41984</v>
      </c>
      <c r="J1605" s="788">
        <v>41496</v>
      </c>
      <c r="K1605" s="788">
        <v>41407</v>
      </c>
      <c r="L1605" s="787">
        <v>1.38</v>
      </c>
      <c r="M1605" s="787">
        <v>10</v>
      </c>
      <c r="N1605" s="787">
        <v>2.2799999999999998</v>
      </c>
      <c r="O1605" s="788">
        <v>41955</v>
      </c>
    </row>
    <row r="1606" spans="1:15" x14ac:dyDescent="0.25">
      <c r="A1606" s="786" t="s">
        <v>3700</v>
      </c>
      <c r="B1606" s="787">
        <v>4</v>
      </c>
      <c r="C1606" s="787" t="s">
        <v>3701</v>
      </c>
      <c r="D1606" s="787">
        <v>0</v>
      </c>
      <c r="E1606" s="787">
        <v>0</v>
      </c>
      <c r="H1606" s="787">
        <v>1</v>
      </c>
      <c r="L1606" s="787">
        <v>2.2999999999999998</v>
      </c>
      <c r="M1606" s="787">
        <v>10</v>
      </c>
      <c r="N1606" s="787">
        <v>0</v>
      </c>
    </row>
    <row r="1607" spans="1:15" x14ac:dyDescent="0.25">
      <c r="A1607" s="786" t="s">
        <v>3702</v>
      </c>
      <c r="B1607" s="787">
        <v>4</v>
      </c>
      <c r="C1607" s="787" t="s">
        <v>3703</v>
      </c>
      <c r="D1607" s="787">
        <v>2.25</v>
      </c>
      <c r="E1607" s="787">
        <v>2.66</v>
      </c>
      <c r="F1607" s="788">
        <v>39101</v>
      </c>
      <c r="G1607" s="788">
        <v>42013</v>
      </c>
      <c r="H1607" s="787">
        <v>1</v>
      </c>
      <c r="I1607" s="788">
        <v>41892</v>
      </c>
      <c r="J1607" s="788">
        <v>39149</v>
      </c>
      <c r="L1607" s="787">
        <v>2.4</v>
      </c>
      <c r="M1607" s="787">
        <v>10</v>
      </c>
      <c r="N1607" s="787">
        <v>5.75</v>
      </c>
      <c r="O1607" s="788">
        <v>42146</v>
      </c>
    </row>
    <row r="1608" spans="1:15" x14ac:dyDescent="0.25">
      <c r="A1608" s="786" t="s">
        <v>3704</v>
      </c>
      <c r="B1608" s="787">
        <v>4</v>
      </c>
      <c r="C1608" s="787" t="s">
        <v>3705</v>
      </c>
      <c r="D1608" s="787">
        <v>2.42</v>
      </c>
      <c r="E1608" s="787">
        <v>5.88</v>
      </c>
      <c r="F1608" s="788">
        <v>41218</v>
      </c>
      <c r="G1608" s="788">
        <v>42150</v>
      </c>
      <c r="H1608" s="787">
        <v>1</v>
      </c>
      <c r="I1608" s="788">
        <v>42165</v>
      </c>
      <c r="J1608" s="788">
        <v>42150</v>
      </c>
      <c r="L1608" s="787">
        <v>2.5</v>
      </c>
      <c r="M1608" s="787">
        <v>10</v>
      </c>
      <c r="N1608" s="787">
        <v>4</v>
      </c>
      <c r="O1608" s="788">
        <v>42164</v>
      </c>
    </row>
    <row r="1609" spans="1:15" x14ac:dyDescent="0.25">
      <c r="A1609" s="786" t="s">
        <v>3706</v>
      </c>
      <c r="B1609" s="787">
        <v>4</v>
      </c>
      <c r="C1609" s="787" t="s">
        <v>3707</v>
      </c>
      <c r="D1609" s="787">
        <v>0.57999999999999996</v>
      </c>
      <c r="E1609" s="787">
        <v>0.57999999999999996</v>
      </c>
      <c r="F1609" s="788">
        <v>39101</v>
      </c>
      <c r="G1609" s="788">
        <v>41255</v>
      </c>
      <c r="H1609" s="787">
        <v>6</v>
      </c>
      <c r="I1609" s="788">
        <v>39784</v>
      </c>
      <c r="J1609" s="788">
        <v>39101</v>
      </c>
      <c r="L1609" s="787">
        <v>0.69</v>
      </c>
      <c r="M1609" s="787">
        <v>10</v>
      </c>
      <c r="N1609" s="787">
        <v>1.1000000000000001</v>
      </c>
      <c r="O1609" s="788">
        <v>41810</v>
      </c>
    </row>
    <row r="1610" spans="1:15" x14ac:dyDescent="0.25">
      <c r="A1610" s="786" t="s">
        <v>3708</v>
      </c>
      <c r="B1610" s="787">
        <v>4</v>
      </c>
      <c r="C1610" s="787" t="s">
        <v>3709</v>
      </c>
      <c r="D1610" s="787">
        <v>0</v>
      </c>
      <c r="E1610" s="787">
        <v>0</v>
      </c>
      <c r="H1610" s="787">
        <v>7</v>
      </c>
      <c r="L1610" s="787">
        <v>1</v>
      </c>
      <c r="M1610" s="787">
        <v>10</v>
      </c>
      <c r="N1610" s="787">
        <v>0</v>
      </c>
    </row>
    <row r="1611" spans="1:15" x14ac:dyDescent="0.25">
      <c r="A1611" s="786" t="s">
        <v>3710</v>
      </c>
      <c r="B1611" s="787">
        <v>4</v>
      </c>
      <c r="C1611" s="787" t="s">
        <v>3709</v>
      </c>
      <c r="D1611" s="787">
        <v>0</v>
      </c>
      <c r="E1611" s="787">
        <v>0</v>
      </c>
      <c r="H1611" s="787">
        <v>7</v>
      </c>
      <c r="L1611" s="787">
        <v>1</v>
      </c>
      <c r="M1611" s="787">
        <v>10</v>
      </c>
      <c r="N1611" s="787">
        <v>0</v>
      </c>
    </row>
    <row r="1612" spans="1:15" x14ac:dyDescent="0.25">
      <c r="A1612" s="786" t="s">
        <v>3711</v>
      </c>
      <c r="B1612" s="787">
        <v>4</v>
      </c>
      <c r="C1612" s="787" t="s">
        <v>3712</v>
      </c>
      <c r="D1612" s="787">
        <v>0.57999999999999996</v>
      </c>
      <c r="E1612" s="787">
        <v>1.64</v>
      </c>
      <c r="F1612" s="788">
        <v>39101</v>
      </c>
      <c r="G1612" s="788">
        <v>41943</v>
      </c>
      <c r="H1612" s="787">
        <v>1</v>
      </c>
      <c r="I1612" s="788">
        <v>42137</v>
      </c>
      <c r="J1612" s="788">
        <v>42023</v>
      </c>
      <c r="L1612" s="787">
        <v>1.06</v>
      </c>
      <c r="M1612" s="787">
        <v>10</v>
      </c>
      <c r="N1612" s="787">
        <v>1.1100000000000001</v>
      </c>
      <c r="O1612" s="788">
        <v>42164</v>
      </c>
    </row>
    <row r="1613" spans="1:15" x14ac:dyDescent="0.25">
      <c r="A1613" s="786" t="s">
        <v>3713</v>
      </c>
      <c r="B1613" s="787">
        <v>4</v>
      </c>
      <c r="C1613" s="787" t="s">
        <v>3714</v>
      </c>
      <c r="D1613" s="787">
        <v>0.57999999999999996</v>
      </c>
      <c r="E1613" s="787">
        <v>0.57999999999999996</v>
      </c>
      <c r="F1613" s="788">
        <v>39101</v>
      </c>
      <c r="G1613" s="788">
        <v>41943</v>
      </c>
      <c r="H1613" s="787">
        <v>1</v>
      </c>
      <c r="I1613" s="788">
        <v>39365</v>
      </c>
      <c r="J1613" s="788">
        <v>39149</v>
      </c>
      <c r="L1613" s="787">
        <v>1.06</v>
      </c>
      <c r="M1613" s="787">
        <v>10</v>
      </c>
      <c r="N1613" s="787">
        <v>2.35</v>
      </c>
      <c r="O1613" s="788">
        <v>41955</v>
      </c>
    </row>
    <row r="1614" spans="1:15" x14ac:dyDescent="0.25">
      <c r="A1614" s="786" t="s">
        <v>3715</v>
      </c>
      <c r="B1614" s="787">
        <v>4</v>
      </c>
      <c r="C1614" s="787" t="s">
        <v>3714</v>
      </c>
      <c r="D1614" s="787">
        <v>0.6</v>
      </c>
      <c r="E1614" s="787">
        <v>0.6</v>
      </c>
      <c r="F1614" s="788">
        <v>39101</v>
      </c>
      <c r="G1614" s="788">
        <v>41565</v>
      </c>
      <c r="H1614" s="787">
        <v>1</v>
      </c>
      <c r="I1614" s="788">
        <v>39134</v>
      </c>
      <c r="J1614" s="788">
        <v>39149</v>
      </c>
      <c r="L1614" s="787">
        <v>1.05</v>
      </c>
      <c r="M1614" s="787">
        <v>10</v>
      </c>
      <c r="N1614" s="787">
        <v>2.38</v>
      </c>
      <c r="O1614" s="788">
        <v>41955</v>
      </c>
    </row>
    <row r="1615" spans="1:15" x14ac:dyDescent="0.25">
      <c r="A1615" s="786" t="s">
        <v>3716</v>
      </c>
      <c r="B1615" s="787">
        <v>4</v>
      </c>
      <c r="C1615" s="787" t="s">
        <v>3712</v>
      </c>
      <c r="D1615" s="787">
        <v>0</v>
      </c>
      <c r="E1615" s="787">
        <v>0</v>
      </c>
      <c r="H1615" s="787">
        <v>1</v>
      </c>
      <c r="I1615" s="788">
        <v>40978</v>
      </c>
      <c r="L1615" s="787">
        <v>0</v>
      </c>
      <c r="M1615" s="787">
        <v>10</v>
      </c>
      <c r="N1615" s="787">
        <v>2.52</v>
      </c>
      <c r="O1615" s="788">
        <v>42164</v>
      </c>
    </row>
    <row r="1616" spans="1:15" x14ac:dyDescent="0.25">
      <c r="A1616" s="786" t="s">
        <v>3717</v>
      </c>
      <c r="B1616" s="787">
        <v>4</v>
      </c>
      <c r="C1616" s="787" t="s">
        <v>3709</v>
      </c>
      <c r="D1616" s="787">
        <v>0</v>
      </c>
      <c r="E1616" s="787">
        <v>0</v>
      </c>
      <c r="H1616" s="787">
        <v>7</v>
      </c>
      <c r="L1616" s="787">
        <v>1</v>
      </c>
      <c r="M1616" s="787">
        <v>10</v>
      </c>
      <c r="N1616" s="787">
        <v>0</v>
      </c>
    </row>
    <row r="1617" spans="1:15" x14ac:dyDescent="0.25">
      <c r="A1617" s="786" t="s">
        <v>3718</v>
      </c>
      <c r="B1617" s="787">
        <v>4</v>
      </c>
      <c r="C1617" s="787" t="s">
        <v>3709</v>
      </c>
      <c r="D1617" s="787">
        <v>0</v>
      </c>
      <c r="E1617" s="787">
        <v>0</v>
      </c>
      <c r="H1617" s="787">
        <v>7</v>
      </c>
      <c r="L1617" s="787">
        <v>1</v>
      </c>
      <c r="M1617" s="787">
        <v>10</v>
      </c>
      <c r="N1617" s="787">
        <v>0</v>
      </c>
    </row>
    <row r="1618" spans="1:15" x14ac:dyDescent="0.25">
      <c r="A1618" s="786" t="s">
        <v>3719</v>
      </c>
      <c r="B1618" s="787">
        <v>4</v>
      </c>
      <c r="C1618" s="787" t="s">
        <v>3709</v>
      </c>
      <c r="D1618" s="787">
        <v>0</v>
      </c>
      <c r="E1618" s="787">
        <v>0</v>
      </c>
      <c r="H1618" s="787">
        <v>7</v>
      </c>
      <c r="L1618" s="787">
        <v>1</v>
      </c>
      <c r="M1618" s="787">
        <v>10</v>
      </c>
      <c r="N1618" s="787">
        <v>0</v>
      </c>
    </row>
    <row r="1619" spans="1:15" x14ac:dyDescent="0.25">
      <c r="A1619" s="786" t="s">
        <v>3720</v>
      </c>
      <c r="B1619" s="787">
        <v>4</v>
      </c>
      <c r="C1619" s="787" t="s">
        <v>3721</v>
      </c>
      <c r="D1619" s="787">
        <v>0.56999999999999995</v>
      </c>
      <c r="E1619" s="787">
        <v>0.56999999999999995</v>
      </c>
      <c r="F1619" s="788">
        <v>37637</v>
      </c>
      <c r="G1619" s="788">
        <v>37637</v>
      </c>
      <c r="H1619" s="787">
        <v>1</v>
      </c>
      <c r="J1619" s="788">
        <v>37637</v>
      </c>
      <c r="L1619" s="787">
        <v>0.56000000000000005</v>
      </c>
      <c r="M1619" s="787">
        <v>10</v>
      </c>
      <c r="N1619" s="787">
        <v>1.44</v>
      </c>
      <c r="O1619" s="788">
        <v>41955</v>
      </c>
    </row>
    <row r="1620" spans="1:15" x14ac:dyDescent="0.25">
      <c r="A1620" s="786" t="s">
        <v>3722</v>
      </c>
      <c r="B1620" s="787">
        <v>4</v>
      </c>
      <c r="C1620" s="787" t="s">
        <v>3723</v>
      </c>
      <c r="D1620" s="787">
        <v>0.75</v>
      </c>
      <c r="E1620" s="787">
        <v>0.75</v>
      </c>
      <c r="F1620" s="788">
        <v>37637</v>
      </c>
      <c r="G1620" s="788">
        <v>37637</v>
      </c>
      <c r="H1620" s="787">
        <v>1</v>
      </c>
      <c r="J1620" s="788">
        <v>37637</v>
      </c>
      <c r="L1620" s="787">
        <v>0.75</v>
      </c>
      <c r="M1620" s="787">
        <v>10</v>
      </c>
      <c r="N1620" s="787">
        <v>1.92</v>
      </c>
      <c r="O1620" s="788">
        <v>41955</v>
      </c>
    </row>
    <row r="1621" spans="1:15" x14ac:dyDescent="0.25">
      <c r="A1621" s="786" t="s">
        <v>3724</v>
      </c>
      <c r="B1621" s="787">
        <v>4</v>
      </c>
      <c r="C1621" s="787" t="s">
        <v>3725</v>
      </c>
      <c r="D1621" s="787">
        <v>5.45</v>
      </c>
      <c r="E1621" s="787">
        <v>55.45</v>
      </c>
      <c r="F1621" s="788">
        <v>41953</v>
      </c>
      <c r="G1621" s="788">
        <v>41953</v>
      </c>
      <c r="H1621" s="787">
        <v>1</v>
      </c>
      <c r="I1621" s="788">
        <v>41929</v>
      </c>
      <c r="J1621" s="788">
        <v>41932</v>
      </c>
      <c r="K1621" s="788">
        <v>41897</v>
      </c>
      <c r="L1621" s="787">
        <v>30</v>
      </c>
      <c r="M1621" s="787">
        <v>10</v>
      </c>
      <c r="N1621" s="787">
        <v>57.8</v>
      </c>
      <c r="O1621" s="788">
        <v>42023</v>
      </c>
    </row>
    <row r="1622" spans="1:15" x14ac:dyDescent="0.25">
      <c r="A1622" s="786" t="s">
        <v>3726</v>
      </c>
      <c r="B1622" s="787">
        <v>4</v>
      </c>
      <c r="C1622" s="787" t="s">
        <v>3668</v>
      </c>
      <c r="D1622" s="787">
        <v>4.83</v>
      </c>
      <c r="E1622" s="787">
        <v>4.83</v>
      </c>
      <c r="F1622" s="788">
        <v>37637</v>
      </c>
      <c r="G1622" s="788">
        <v>37637</v>
      </c>
      <c r="H1622" s="787">
        <v>1</v>
      </c>
      <c r="J1622" s="788">
        <v>37637</v>
      </c>
      <c r="L1622" s="787">
        <v>0.98</v>
      </c>
      <c r="M1622" s="787">
        <v>10</v>
      </c>
      <c r="N1622" s="787">
        <v>0.96</v>
      </c>
      <c r="O1622" s="788">
        <v>41955</v>
      </c>
    </row>
    <row r="1623" spans="1:15" x14ac:dyDescent="0.25">
      <c r="A1623" s="786" t="s">
        <v>3727</v>
      </c>
      <c r="B1623" s="787">
        <v>4</v>
      </c>
      <c r="C1623" s="787" t="s">
        <v>3728</v>
      </c>
      <c r="D1623" s="787">
        <v>0.21</v>
      </c>
      <c r="E1623" s="787">
        <v>3.06</v>
      </c>
      <c r="F1623" s="788">
        <v>39456</v>
      </c>
      <c r="G1623" s="788">
        <v>41991</v>
      </c>
      <c r="H1623" s="787">
        <v>1</v>
      </c>
      <c r="I1623" s="788">
        <v>42153</v>
      </c>
      <c r="J1623" s="788">
        <v>42047</v>
      </c>
      <c r="L1623" s="787">
        <v>1.21</v>
      </c>
      <c r="M1623" s="787">
        <v>10</v>
      </c>
      <c r="N1623" s="787">
        <v>1.63</v>
      </c>
      <c r="O1623" s="788">
        <v>42087</v>
      </c>
    </row>
    <row r="1624" spans="1:15" x14ac:dyDescent="0.25">
      <c r="A1624" s="786" t="s">
        <v>3729</v>
      </c>
      <c r="B1624" s="787">
        <v>4</v>
      </c>
      <c r="C1624" s="787" t="s">
        <v>3730</v>
      </c>
      <c r="D1624" s="787">
        <v>1.19</v>
      </c>
      <c r="E1624" s="787">
        <v>1.19</v>
      </c>
      <c r="F1624" s="788">
        <v>37637</v>
      </c>
      <c r="G1624" s="788">
        <v>37637</v>
      </c>
      <c r="H1624" s="787">
        <v>1</v>
      </c>
      <c r="J1624" s="788">
        <v>37637</v>
      </c>
      <c r="L1624" s="787">
        <v>1</v>
      </c>
      <c r="M1624" s="787">
        <v>10</v>
      </c>
      <c r="N1624" s="787">
        <v>1.72</v>
      </c>
      <c r="O1624" s="788">
        <v>42087</v>
      </c>
    </row>
    <row r="1625" spans="1:15" x14ac:dyDescent="0.25">
      <c r="A1625" s="786" t="s">
        <v>3731</v>
      </c>
      <c r="B1625" s="787">
        <v>4</v>
      </c>
      <c r="C1625" s="787" t="s">
        <v>3728</v>
      </c>
      <c r="D1625" s="787">
        <v>1.19</v>
      </c>
      <c r="E1625" s="787">
        <v>1.19</v>
      </c>
      <c r="F1625" s="788">
        <v>37637</v>
      </c>
      <c r="G1625" s="788">
        <v>37637</v>
      </c>
      <c r="H1625" s="787">
        <v>1</v>
      </c>
      <c r="I1625" s="788">
        <v>38485</v>
      </c>
      <c r="J1625" s="788">
        <v>37637</v>
      </c>
      <c r="L1625" s="787">
        <v>0.86</v>
      </c>
      <c r="M1625" s="787">
        <v>10</v>
      </c>
      <c r="N1625" s="787">
        <v>1.41</v>
      </c>
      <c r="O1625" s="788">
        <v>42083</v>
      </c>
    </row>
    <row r="1626" spans="1:15" x14ac:dyDescent="0.25">
      <c r="A1626" s="786" t="s">
        <v>3732</v>
      </c>
      <c r="B1626" s="787">
        <v>4</v>
      </c>
      <c r="C1626" s="787" t="s">
        <v>3733</v>
      </c>
      <c r="D1626" s="787">
        <v>0.25</v>
      </c>
      <c r="E1626" s="787">
        <v>10.25</v>
      </c>
      <c r="F1626" s="788">
        <v>37637</v>
      </c>
      <c r="G1626" s="788">
        <v>37637</v>
      </c>
      <c r="H1626" s="787">
        <v>1</v>
      </c>
      <c r="I1626" s="788">
        <v>40396</v>
      </c>
      <c r="J1626" s="788">
        <v>37637</v>
      </c>
      <c r="L1626" s="787">
        <v>11.92</v>
      </c>
      <c r="M1626" s="787">
        <v>10</v>
      </c>
      <c r="N1626" s="787">
        <v>15.52</v>
      </c>
      <c r="O1626" s="788">
        <v>42019</v>
      </c>
    </row>
    <row r="1627" spans="1:15" x14ac:dyDescent="0.25">
      <c r="A1627" s="786" t="s">
        <v>3734</v>
      </c>
      <c r="B1627" s="787">
        <v>4</v>
      </c>
      <c r="C1627" s="787" t="s">
        <v>3735</v>
      </c>
      <c r="D1627" s="787">
        <v>0.16</v>
      </c>
      <c r="E1627" s="787">
        <v>2.0299999999999998</v>
      </c>
      <c r="F1627" s="788">
        <v>39456</v>
      </c>
      <c r="G1627" s="788">
        <v>42157</v>
      </c>
      <c r="H1627" s="787">
        <v>1</v>
      </c>
      <c r="I1627" s="788">
        <v>42158</v>
      </c>
      <c r="J1627" s="788">
        <v>42157</v>
      </c>
      <c r="L1627" s="787">
        <v>0.46</v>
      </c>
      <c r="M1627" s="787">
        <v>10</v>
      </c>
      <c r="N1627" s="787">
        <v>1.1499999999999999</v>
      </c>
      <c r="O1627" s="788">
        <v>42162</v>
      </c>
    </row>
    <row r="1628" spans="1:15" x14ac:dyDescent="0.25">
      <c r="A1628" s="786" t="s">
        <v>3736</v>
      </c>
      <c r="B1628" s="787">
        <v>4</v>
      </c>
      <c r="C1628" s="787" t="s">
        <v>3737</v>
      </c>
      <c r="D1628" s="787">
        <v>0.18</v>
      </c>
      <c r="E1628" s="787">
        <v>0.28000000000000003</v>
      </c>
      <c r="F1628" s="788">
        <v>39456</v>
      </c>
      <c r="G1628" s="788">
        <v>42051</v>
      </c>
      <c r="H1628" s="787">
        <v>1</v>
      </c>
      <c r="I1628" s="788">
        <v>42160</v>
      </c>
      <c r="J1628" s="788">
        <v>42024</v>
      </c>
      <c r="L1628" s="787">
        <v>1.55</v>
      </c>
      <c r="M1628" s="787">
        <v>10</v>
      </c>
      <c r="N1628" s="787">
        <v>1.03</v>
      </c>
      <c r="O1628" s="788">
        <v>42156</v>
      </c>
    </row>
    <row r="1629" spans="1:15" x14ac:dyDescent="0.25">
      <c r="A1629" s="786" t="s">
        <v>3738</v>
      </c>
      <c r="B1629" s="787">
        <v>4</v>
      </c>
      <c r="C1629" s="787" t="s">
        <v>3739</v>
      </c>
      <c r="D1629" s="787">
        <v>0.03</v>
      </c>
      <c r="E1629" s="787">
        <v>0.71</v>
      </c>
      <c r="F1629" s="788">
        <v>39456</v>
      </c>
      <c r="G1629" s="788">
        <v>41886</v>
      </c>
      <c r="H1629" s="787">
        <v>1</v>
      </c>
      <c r="I1629" s="788">
        <v>41949</v>
      </c>
      <c r="J1629" s="788">
        <v>41843</v>
      </c>
      <c r="L1629" s="787">
        <v>0.33</v>
      </c>
      <c r="M1629" s="787">
        <v>10</v>
      </c>
      <c r="N1629" s="787">
        <v>0.54</v>
      </c>
      <c r="O1629" s="788">
        <v>42162</v>
      </c>
    </row>
    <row r="1630" spans="1:15" x14ac:dyDescent="0.25">
      <c r="A1630" s="786" t="s">
        <v>3740</v>
      </c>
      <c r="B1630" s="787">
        <v>4</v>
      </c>
      <c r="C1630" s="787" t="s">
        <v>3741</v>
      </c>
      <c r="D1630" s="787">
        <v>0.42</v>
      </c>
      <c r="E1630" s="787">
        <v>5.99</v>
      </c>
      <c r="F1630" s="788">
        <v>39101</v>
      </c>
      <c r="G1630" s="788">
        <v>41166</v>
      </c>
      <c r="H1630" s="787">
        <v>1</v>
      </c>
      <c r="I1630" s="788">
        <v>42110</v>
      </c>
      <c r="J1630" s="788">
        <v>41870</v>
      </c>
      <c r="L1630" s="787">
        <v>0.4</v>
      </c>
      <c r="M1630" s="787">
        <v>10</v>
      </c>
      <c r="N1630" s="787">
        <v>1.7</v>
      </c>
      <c r="O1630" s="788">
        <v>42087</v>
      </c>
    </row>
    <row r="1631" spans="1:15" x14ac:dyDescent="0.25">
      <c r="A1631" s="786" t="s">
        <v>3742</v>
      </c>
      <c r="B1631" s="787">
        <v>4</v>
      </c>
      <c r="C1631" s="787" t="s">
        <v>3743</v>
      </c>
      <c r="D1631" s="787">
        <v>0.42</v>
      </c>
      <c r="E1631" s="787">
        <v>0.43</v>
      </c>
      <c r="F1631" s="788">
        <v>39456</v>
      </c>
      <c r="G1631" s="788">
        <v>41255</v>
      </c>
      <c r="H1631" s="787">
        <v>1</v>
      </c>
      <c r="I1631" s="788">
        <v>42110</v>
      </c>
      <c r="J1631" s="788">
        <v>42110</v>
      </c>
      <c r="L1631" s="787">
        <v>0.34</v>
      </c>
      <c r="M1631" s="787">
        <v>10</v>
      </c>
      <c r="N1631" s="787">
        <v>0.43</v>
      </c>
      <c r="O1631" s="788">
        <v>41955</v>
      </c>
    </row>
    <row r="1632" spans="1:15" x14ac:dyDescent="0.25">
      <c r="A1632" s="786" t="s">
        <v>3744</v>
      </c>
      <c r="B1632" s="787">
        <v>4</v>
      </c>
      <c r="C1632" s="787" t="s">
        <v>3735</v>
      </c>
      <c r="D1632" s="787">
        <v>0.42</v>
      </c>
      <c r="E1632" s="787">
        <v>0.43</v>
      </c>
      <c r="F1632" s="788">
        <v>39456</v>
      </c>
      <c r="G1632" s="788">
        <v>41255</v>
      </c>
      <c r="H1632" s="787">
        <v>1</v>
      </c>
      <c r="I1632" s="788">
        <v>41479</v>
      </c>
      <c r="J1632" s="788">
        <v>41485</v>
      </c>
      <c r="L1632" s="787">
        <v>0.34</v>
      </c>
      <c r="M1632" s="787">
        <v>10</v>
      </c>
      <c r="N1632" s="787">
        <v>0.43</v>
      </c>
      <c r="O1632" s="788">
        <v>41955</v>
      </c>
    </row>
    <row r="1633" spans="1:15" x14ac:dyDescent="0.25">
      <c r="A1633" s="786" t="s">
        <v>3745</v>
      </c>
      <c r="B1633" s="787">
        <v>4</v>
      </c>
      <c r="C1633" s="787" t="s">
        <v>3746</v>
      </c>
      <c r="D1633" s="787">
        <v>1.45</v>
      </c>
      <c r="E1633" s="787">
        <v>1.67</v>
      </c>
      <c r="F1633" s="788">
        <v>39456</v>
      </c>
      <c r="G1633" s="788">
        <v>39814</v>
      </c>
      <c r="H1633" s="787">
        <v>1</v>
      </c>
      <c r="I1633" s="788">
        <v>39443</v>
      </c>
      <c r="J1633" s="788">
        <v>39659</v>
      </c>
      <c r="L1633" s="787">
        <v>2.1800000000000002</v>
      </c>
      <c r="M1633" s="787">
        <v>10</v>
      </c>
      <c r="N1633" s="787">
        <v>2.3199999999999998</v>
      </c>
      <c r="O1633" s="788">
        <v>42124</v>
      </c>
    </row>
    <row r="1634" spans="1:15" x14ac:dyDescent="0.25">
      <c r="A1634" s="786" t="s">
        <v>3747</v>
      </c>
      <c r="B1634" s="787">
        <v>4</v>
      </c>
      <c r="C1634" s="787" t="s">
        <v>3748</v>
      </c>
      <c r="D1634" s="787">
        <v>0.22</v>
      </c>
      <c r="E1634" s="787">
        <v>1.97</v>
      </c>
      <c r="F1634" s="788">
        <v>40949</v>
      </c>
      <c r="G1634" s="788">
        <v>42118</v>
      </c>
      <c r="H1634" s="787">
        <v>1</v>
      </c>
      <c r="I1634" s="788">
        <v>41739</v>
      </c>
      <c r="J1634" s="788">
        <v>42094</v>
      </c>
      <c r="K1634" s="788">
        <v>40666</v>
      </c>
      <c r="L1634" s="787">
        <v>0.47</v>
      </c>
      <c r="M1634" s="787">
        <v>10</v>
      </c>
      <c r="N1634" s="787">
        <v>3.34</v>
      </c>
      <c r="O1634" s="788">
        <v>42162</v>
      </c>
    </row>
    <row r="1635" spans="1:15" x14ac:dyDescent="0.25">
      <c r="A1635" s="786" t="s">
        <v>3749</v>
      </c>
      <c r="B1635" s="787">
        <v>4</v>
      </c>
      <c r="C1635" s="787" t="s">
        <v>3591</v>
      </c>
      <c r="D1635" s="787">
        <v>0</v>
      </c>
      <c r="E1635" s="787">
        <v>0</v>
      </c>
      <c r="H1635" s="787">
        <v>1</v>
      </c>
      <c r="L1635" s="787">
        <v>0</v>
      </c>
      <c r="M1635" s="787">
        <v>20</v>
      </c>
      <c r="N1635" s="787">
        <v>0</v>
      </c>
      <c r="O1635" s="788">
        <v>40824</v>
      </c>
    </row>
    <row r="1636" spans="1:15" x14ac:dyDescent="0.25">
      <c r="A1636" s="786" t="s">
        <v>3750</v>
      </c>
      <c r="B1636" s="787">
        <v>4</v>
      </c>
      <c r="C1636" s="787" t="s">
        <v>3751</v>
      </c>
      <c r="D1636" s="787">
        <v>1.31</v>
      </c>
      <c r="E1636" s="787">
        <v>1.31</v>
      </c>
      <c r="F1636" s="788">
        <v>39101</v>
      </c>
      <c r="G1636" s="788">
        <v>39101</v>
      </c>
      <c r="H1636" s="787">
        <v>1</v>
      </c>
      <c r="I1636" s="788">
        <v>39752</v>
      </c>
      <c r="J1636" s="788">
        <v>39101</v>
      </c>
      <c r="L1636" s="787">
        <v>1.43</v>
      </c>
      <c r="M1636" s="787">
        <v>20</v>
      </c>
      <c r="N1636" s="787">
        <v>1.54</v>
      </c>
      <c r="O1636" s="788">
        <v>41955</v>
      </c>
    </row>
    <row r="1637" spans="1:15" x14ac:dyDescent="0.25">
      <c r="A1637" s="786" t="s">
        <v>3752</v>
      </c>
      <c r="B1637" s="787">
        <v>4</v>
      </c>
      <c r="C1637" s="787" t="s">
        <v>3591</v>
      </c>
      <c r="D1637" s="787">
        <v>0</v>
      </c>
      <c r="E1637" s="787">
        <v>0</v>
      </c>
      <c r="H1637" s="787">
        <v>1</v>
      </c>
      <c r="L1637" s="787">
        <v>0</v>
      </c>
      <c r="M1637" s="787">
        <v>20</v>
      </c>
      <c r="N1637" s="787">
        <v>0</v>
      </c>
      <c r="O1637" s="788">
        <v>40824</v>
      </c>
    </row>
    <row r="1638" spans="1:15" x14ac:dyDescent="0.25">
      <c r="A1638" s="786" t="s">
        <v>3753</v>
      </c>
      <c r="B1638" s="787">
        <v>4</v>
      </c>
      <c r="C1638" s="787" t="s">
        <v>3754</v>
      </c>
      <c r="D1638" s="787">
        <v>3.59</v>
      </c>
      <c r="E1638" s="787">
        <v>43.59</v>
      </c>
      <c r="F1638" s="788">
        <v>39101</v>
      </c>
      <c r="G1638" s="788">
        <v>42013</v>
      </c>
      <c r="H1638" s="787">
        <v>1</v>
      </c>
      <c r="I1638" s="788">
        <v>42076</v>
      </c>
      <c r="J1638" s="788">
        <v>39149</v>
      </c>
      <c r="L1638" s="787">
        <v>10.61</v>
      </c>
      <c r="M1638" s="787">
        <v>10</v>
      </c>
      <c r="N1638" s="787">
        <v>9.65</v>
      </c>
      <c r="O1638" s="788">
        <v>42164</v>
      </c>
    </row>
    <row r="1639" spans="1:15" x14ac:dyDescent="0.25">
      <c r="A1639" s="786" t="s">
        <v>3755</v>
      </c>
      <c r="B1639" s="787">
        <v>4</v>
      </c>
      <c r="C1639" s="787" t="s">
        <v>3756</v>
      </c>
      <c r="D1639" s="787">
        <v>0.19</v>
      </c>
      <c r="E1639" s="787">
        <v>0.19</v>
      </c>
      <c r="F1639" s="788">
        <v>38047</v>
      </c>
      <c r="G1639" s="788">
        <v>41943</v>
      </c>
      <c r="H1639" s="787">
        <v>1</v>
      </c>
      <c r="I1639" s="788">
        <v>37902</v>
      </c>
      <c r="J1639" s="788">
        <v>38047</v>
      </c>
      <c r="L1639" s="787">
        <v>140.32</v>
      </c>
      <c r="M1639" s="787">
        <v>10</v>
      </c>
      <c r="N1639" s="787">
        <v>8.49</v>
      </c>
      <c r="O1639" s="788">
        <v>42162</v>
      </c>
    </row>
    <row r="1640" spans="1:15" x14ac:dyDescent="0.25">
      <c r="A1640" s="786" t="s">
        <v>3757</v>
      </c>
      <c r="B1640" s="787">
        <v>4</v>
      </c>
      <c r="C1640" s="787" t="s">
        <v>3758</v>
      </c>
      <c r="D1640" s="787">
        <v>1.23</v>
      </c>
      <c r="E1640" s="787">
        <v>61.34</v>
      </c>
      <c r="F1640" s="788">
        <v>39456</v>
      </c>
      <c r="G1640" s="788">
        <v>42160</v>
      </c>
      <c r="H1640" s="787">
        <v>1</v>
      </c>
      <c r="I1640" s="788">
        <v>42160</v>
      </c>
      <c r="J1640" s="788">
        <v>42136</v>
      </c>
      <c r="L1640" s="787">
        <v>12.3</v>
      </c>
      <c r="M1640" s="787">
        <v>10</v>
      </c>
      <c r="N1640" s="787">
        <v>49.79</v>
      </c>
      <c r="O1640" s="788">
        <v>42164</v>
      </c>
    </row>
    <row r="1641" spans="1:15" x14ac:dyDescent="0.25">
      <c r="A1641" s="786" t="s">
        <v>3759</v>
      </c>
      <c r="B1641" s="787">
        <v>4</v>
      </c>
      <c r="C1641" s="787" t="s">
        <v>3760</v>
      </c>
      <c r="D1641" s="787">
        <v>0</v>
      </c>
      <c r="E1641" s="787">
        <v>0</v>
      </c>
      <c r="H1641" s="787">
        <v>1</v>
      </c>
      <c r="I1641" s="788">
        <v>40304</v>
      </c>
      <c r="J1641" s="788">
        <v>37637</v>
      </c>
      <c r="L1641" s="787">
        <v>23</v>
      </c>
      <c r="M1641" s="787">
        <v>10</v>
      </c>
      <c r="N1641" s="787">
        <v>36.49</v>
      </c>
      <c r="O1641" s="788">
        <v>42162</v>
      </c>
    </row>
    <row r="1642" spans="1:15" x14ac:dyDescent="0.25">
      <c r="A1642" s="786" t="s">
        <v>3761</v>
      </c>
      <c r="B1642" s="787">
        <v>4</v>
      </c>
      <c r="C1642" s="787" t="s">
        <v>3762</v>
      </c>
      <c r="D1642" s="787">
        <v>0.34</v>
      </c>
      <c r="E1642" s="787">
        <v>0.95</v>
      </c>
      <c r="F1642" s="788">
        <v>39456</v>
      </c>
      <c r="G1642" s="788">
        <v>42013</v>
      </c>
      <c r="H1642" s="787">
        <v>1</v>
      </c>
      <c r="I1642" s="788">
        <v>42076</v>
      </c>
      <c r="J1642" s="788">
        <v>39436</v>
      </c>
      <c r="L1642" s="787">
        <v>0.65</v>
      </c>
      <c r="M1642" s="787">
        <v>10</v>
      </c>
      <c r="N1642" s="787">
        <v>1.04</v>
      </c>
      <c r="O1642" s="788">
        <v>42164</v>
      </c>
    </row>
    <row r="1643" spans="1:15" x14ac:dyDescent="0.25">
      <c r="A1643" s="786" t="s">
        <v>3763</v>
      </c>
      <c r="B1643" s="787">
        <v>4</v>
      </c>
      <c r="C1643" s="787" t="s">
        <v>3764</v>
      </c>
      <c r="D1643" s="787">
        <v>2.25</v>
      </c>
      <c r="E1643" s="787">
        <v>18.760000000000002</v>
      </c>
      <c r="F1643" s="788">
        <v>39101</v>
      </c>
      <c r="G1643" s="788">
        <v>42054</v>
      </c>
      <c r="H1643" s="787">
        <v>1</v>
      </c>
      <c r="I1643" s="788">
        <v>42051</v>
      </c>
      <c r="J1643" s="788">
        <v>42024</v>
      </c>
      <c r="L1643" s="787">
        <v>11.06</v>
      </c>
      <c r="M1643" s="787">
        <v>10</v>
      </c>
      <c r="N1643" s="787">
        <v>24.11</v>
      </c>
      <c r="O1643" s="788">
        <v>42018</v>
      </c>
    </row>
    <row r="1644" spans="1:15" x14ac:dyDescent="0.25">
      <c r="A1644" s="786" t="s">
        <v>3765</v>
      </c>
      <c r="B1644" s="787">
        <v>4</v>
      </c>
      <c r="C1644" s="787" t="s">
        <v>3766</v>
      </c>
      <c r="D1644" s="787">
        <v>0.5</v>
      </c>
      <c r="E1644" s="787">
        <v>1.27</v>
      </c>
      <c r="F1644" s="788">
        <v>39975</v>
      </c>
      <c r="G1644" s="788">
        <v>42013</v>
      </c>
      <c r="H1644" s="787">
        <v>1</v>
      </c>
      <c r="I1644" s="788">
        <v>42024</v>
      </c>
      <c r="J1644" s="788">
        <v>41151</v>
      </c>
      <c r="L1644" s="787">
        <v>2.02</v>
      </c>
      <c r="M1644" s="787">
        <v>10</v>
      </c>
      <c r="N1644" s="787">
        <v>1.75</v>
      </c>
      <c r="O1644" s="788">
        <v>42018</v>
      </c>
    </row>
    <row r="1645" spans="1:15" x14ac:dyDescent="0.25">
      <c r="A1645" s="786" t="s">
        <v>3767</v>
      </c>
      <c r="B1645" s="787">
        <v>4</v>
      </c>
      <c r="C1645" s="787" t="s">
        <v>3768</v>
      </c>
      <c r="D1645" s="787">
        <v>0.49</v>
      </c>
      <c r="E1645" s="787">
        <v>0.49</v>
      </c>
      <c r="F1645" s="788">
        <v>37637</v>
      </c>
      <c r="G1645" s="788">
        <v>37637</v>
      </c>
      <c r="H1645" s="787">
        <v>1</v>
      </c>
      <c r="J1645" s="788">
        <v>37637</v>
      </c>
      <c r="L1645" s="787">
        <v>4.09</v>
      </c>
      <c r="M1645" s="787">
        <v>10</v>
      </c>
      <c r="N1645" s="787">
        <v>12.18</v>
      </c>
      <c r="O1645" s="788">
        <v>42024</v>
      </c>
    </row>
    <row r="1646" spans="1:15" x14ac:dyDescent="0.25">
      <c r="A1646" s="786" t="s">
        <v>3769</v>
      </c>
      <c r="B1646" s="787">
        <v>4</v>
      </c>
      <c r="C1646" s="787" t="s">
        <v>3770</v>
      </c>
      <c r="D1646" s="787">
        <v>1.1399999999999999</v>
      </c>
      <c r="E1646" s="787">
        <v>14.58</v>
      </c>
      <c r="F1646" s="788">
        <v>39975</v>
      </c>
      <c r="G1646" s="788">
        <v>42075</v>
      </c>
      <c r="H1646" s="787">
        <v>1</v>
      </c>
      <c r="I1646" s="788">
        <v>42024</v>
      </c>
      <c r="J1646" s="788">
        <v>42044</v>
      </c>
      <c r="L1646" s="787">
        <v>4.09</v>
      </c>
      <c r="M1646" s="787">
        <v>10</v>
      </c>
      <c r="N1646" s="787">
        <v>11.62</v>
      </c>
      <c r="O1646" s="788">
        <v>42018</v>
      </c>
    </row>
    <row r="1647" spans="1:15" x14ac:dyDescent="0.25">
      <c r="A1647" s="786" t="s">
        <v>3769</v>
      </c>
      <c r="B1647" s="787" t="s">
        <v>2333</v>
      </c>
      <c r="C1647" s="787" t="s">
        <v>2334</v>
      </c>
      <c r="D1647" s="787">
        <v>0.18</v>
      </c>
      <c r="E1647" s="787">
        <v>0.18</v>
      </c>
      <c r="F1647" s="788">
        <v>39101</v>
      </c>
      <c r="G1647" s="788">
        <v>39101</v>
      </c>
      <c r="H1647" s="787">
        <v>6</v>
      </c>
      <c r="I1647" s="788">
        <v>39134</v>
      </c>
      <c r="J1647" s="788">
        <v>39149</v>
      </c>
      <c r="L1647" s="787">
        <v>2.1</v>
      </c>
      <c r="M1647" s="787">
        <v>10</v>
      </c>
      <c r="N1647" s="787">
        <v>5.61</v>
      </c>
      <c r="O1647" s="788">
        <v>41806</v>
      </c>
    </row>
    <row r="1648" spans="1:15" x14ac:dyDescent="0.25">
      <c r="A1648" s="786" t="s">
        <v>3771</v>
      </c>
      <c r="B1648" s="787">
        <v>4</v>
      </c>
      <c r="C1648" s="787" t="s">
        <v>3772</v>
      </c>
      <c r="D1648" s="787">
        <v>1.88</v>
      </c>
      <c r="E1648" s="787">
        <v>1.88</v>
      </c>
      <c r="F1648" s="788">
        <v>37637</v>
      </c>
      <c r="G1648" s="788">
        <v>41943</v>
      </c>
      <c r="H1648" s="787">
        <v>1</v>
      </c>
      <c r="I1648" s="788">
        <v>42086</v>
      </c>
      <c r="J1648" s="788">
        <v>37637</v>
      </c>
      <c r="L1648" s="787">
        <v>6.89</v>
      </c>
      <c r="M1648" s="787">
        <v>10</v>
      </c>
      <c r="N1648" s="787">
        <v>13.87</v>
      </c>
      <c r="O1648" s="788">
        <v>42087</v>
      </c>
    </row>
    <row r="1649" spans="1:15" x14ac:dyDescent="0.25">
      <c r="A1649" s="786" t="s">
        <v>3773</v>
      </c>
      <c r="B1649" s="787">
        <v>4</v>
      </c>
      <c r="C1649" s="787" t="s">
        <v>2190</v>
      </c>
      <c r="D1649" s="787">
        <v>6.27</v>
      </c>
      <c r="E1649" s="787">
        <v>6.27</v>
      </c>
      <c r="F1649" s="788">
        <v>41278</v>
      </c>
      <c r="G1649" s="788">
        <v>41943</v>
      </c>
      <c r="H1649" s="787">
        <v>1</v>
      </c>
      <c r="J1649" s="788">
        <v>41234</v>
      </c>
      <c r="K1649" s="788">
        <v>41226</v>
      </c>
      <c r="L1649" s="787">
        <v>1.51</v>
      </c>
      <c r="M1649" s="787">
        <v>10</v>
      </c>
      <c r="N1649" s="787">
        <v>1.43</v>
      </c>
      <c r="O1649" s="788">
        <v>41955</v>
      </c>
    </row>
    <row r="1650" spans="1:15" x14ac:dyDescent="0.25">
      <c r="A1650" s="786" t="s">
        <v>3774</v>
      </c>
      <c r="B1650" s="787">
        <v>4</v>
      </c>
      <c r="C1650" s="787" t="s">
        <v>3775</v>
      </c>
      <c r="D1650" s="787">
        <v>7.12</v>
      </c>
      <c r="E1650" s="787">
        <v>7.65</v>
      </c>
      <c r="F1650" s="788">
        <v>39261</v>
      </c>
      <c r="G1650" s="788">
        <v>41075</v>
      </c>
      <c r="H1650" s="787">
        <v>1</v>
      </c>
      <c r="I1650" s="788">
        <v>42160</v>
      </c>
      <c r="J1650" s="788">
        <v>41647</v>
      </c>
      <c r="L1650" s="787">
        <v>8.34</v>
      </c>
      <c r="M1650" s="787">
        <v>20</v>
      </c>
      <c r="N1650" s="787">
        <v>8.9700000000000006</v>
      </c>
      <c r="O1650" s="788">
        <v>42163</v>
      </c>
    </row>
    <row r="1651" spans="1:15" x14ac:dyDescent="0.25">
      <c r="A1651" s="786" t="s">
        <v>3776</v>
      </c>
      <c r="B1651" s="787">
        <v>4</v>
      </c>
      <c r="C1651" s="787" t="s">
        <v>3777</v>
      </c>
      <c r="D1651" s="787">
        <v>0.55000000000000004</v>
      </c>
      <c r="E1651" s="787">
        <v>1.1100000000000001</v>
      </c>
      <c r="F1651" s="788">
        <v>39101</v>
      </c>
      <c r="G1651" s="788">
        <v>42062</v>
      </c>
      <c r="H1651" s="787">
        <v>1</v>
      </c>
      <c r="I1651" s="788">
        <v>39134</v>
      </c>
      <c r="J1651" s="788">
        <v>42032</v>
      </c>
      <c r="L1651" s="787">
        <v>0.56999999999999995</v>
      </c>
      <c r="M1651" s="787">
        <v>10</v>
      </c>
      <c r="N1651" s="787">
        <v>2.9</v>
      </c>
      <c r="O1651" s="788">
        <v>42164</v>
      </c>
    </row>
    <row r="1652" spans="1:15" x14ac:dyDescent="0.25">
      <c r="A1652" s="786" t="s">
        <v>3778</v>
      </c>
      <c r="B1652" s="787">
        <v>4</v>
      </c>
      <c r="C1652" s="787" t="s">
        <v>3779</v>
      </c>
      <c r="D1652" s="787">
        <v>1.62</v>
      </c>
      <c r="E1652" s="787">
        <v>2.06</v>
      </c>
      <c r="F1652" s="788">
        <v>39101</v>
      </c>
      <c r="G1652" s="788">
        <v>41565</v>
      </c>
      <c r="H1652" s="787">
        <v>1</v>
      </c>
      <c r="I1652" s="788">
        <v>39134</v>
      </c>
      <c r="J1652" s="788">
        <v>39717</v>
      </c>
      <c r="L1652" s="787">
        <v>1.37</v>
      </c>
      <c r="M1652" s="787">
        <v>10</v>
      </c>
      <c r="N1652" s="787">
        <v>1.01</v>
      </c>
      <c r="O1652" s="788">
        <v>42164</v>
      </c>
    </row>
    <row r="1653" spans="1:15" x14ac:dyDescent="0.25">
      <c r="A1653" s="786" t="s">
        <v>3780</v>
      </c>
      <c r="B1653" s="787">
        <v>4</v>
      </c>
      <c r="C1653" s="787" t="s">
        <v>3781</v>
      </c>
      <c r="D1653" s="787">
        <v>1.4</v>
      </c>
      <c r="E1653" s="787">
        <v>10.27</v>
      </c>
      <c r="F1653" s="788">
        <v>39101</v>
      </c>
      <c r="G1653" s="788">
        <v>42013</v>
      </c>
      <c r="H1653" s="787">
        <v>1</v>
      </c>
      <c r="I1653" s="788">
        <v>42024</v>
      </c>
      <c r="J1653" s="788">
        <v>41754</v>
      </c>
      <c r="L1653" s="787">
        <v>1.74</v>
      </c>
      <c r="M1653" s="787">
        <v>10</v>
      </c>
      <c r="N1653" s="787">
        <v>4.26</v>
      </c>
      <c r="O1653" s="788">
        <v>42164</v>
      </c>
    </row>
    <row r="1654" spans="1:15" x14ac:dyDescent="0.25">
      <c r="A1654" s="786" t="s">
        <v>3782</v>
      </c>
      <c r="B1654" s="787">
        <v>4</v>
      </c>
      <c r="C1654" s="787" t="s">
        <v>3783</v>
      </c>
      <c r="D1654" s="787">
        <v>2.37</v>
      </c>
      <c r="E1654" s="787">
        <v>2.4900000000000002</v>
      </c>
      <c r="F1654" s="788">
        <v>39456</v>
      </c>
      <c r="G1654" s="788">
        <v>41943</v>
      </c>
      <c r="H1654" s="787">
        <v>1</v>
      </c>
      <c r="I1654" s="788">
        <v>39134</v>
      </c>
      <c r="J1654" s="788">
        <v>40021</v>
      </c>
      <c r="L1654" s="787">
        <v>1.78</v>
      </c>
      <c r="M1654" s="787">
        <v>10</v>
      </c>
      <c r="N1654" s="787">
        <v>7.09</v>
      </c>
      <c r="O1654" s="788">
        <v>42024</v>
      </c>
    </row>
    <row r="1655" spans="1:15" x14ac:dyDescent="0.25">
      <c r="A1655" s="786" t="s">
        <v>3784</v>
      </c>
      <c r="B1655" s="787">
        <v>4</v>
      </c>
      <c r="C1655" s="787" t="s">
        <v>3785</v>
      </c>
      <c r="D1655" s="787">
        <v>3.18</v>
      </c>
      <c r="E1655" s="787">
        <v>3.18</v>
      </c>
      <c r="F1655" s="788">
        <v>39101</v>
      </c>
      <c r="G1655" s="788">
        <v>39101</v>
      </c>
      <c r="H1655" s="787">
        <v>1</v>
      </c>
      <c r="I1655" s="788">
        <v>39134</v>
      </c>
      <c r="J1655" s="788">
        <v>39149</v>
      </c>
      <c r="L1655" s="787">
        <v>1.53</v>
      </c>
      <c r="M1655" s="787">
        <v>10</v>
      </c>
      <c r="N1655" s="787">
        <v>2.34</v>
      </c>
      <c r="O1655" s="788">
        <v>42162</v>
      </c>
    </row>
    <row r="1656" spans="1:15" x14ac:dyDescent="0.25">
      <c r="A1656" s="786" t="s">
        <v>3786</v>
      </c>
      <c r="B1656" s="787">
        <v>4</v>
      </c>
      <c r="C1656" s="787" t="s">
        <v>3787</v>
      </c>
      <c r="D1656" s="787">
        <v>2.91</v>
      </c>
      <c r="E1656" s="787">
        <v>2.91</v>
      </c>
      <c r="F1656" s="788">
        <v>39101</v>
      </c>
      <c r="G1656" s="788">
        <v>39101</v>
      </c>
      <c r="H1656" s="787">
        <v>1</v>
      </c>
      <c r="I1656" s="788">
        <v>39134</v>
      </c>
      <c r="J1656" s="788">
        <v>39149</v>
      </c>
      <c r="L1656" s="787">
        <v>7.88</v>
      </c>
      <c r="M1656" s="787">
        <v>10</v>
      </c>
      <c r="N1656" s="787">
        <v>3.19</v>
      </c>
      <c r="O1656" s="788">
        <v>42162</v>
      </c>
    </row>
    <row r="1657" spans="1:15" x14ac:dyDescent="0.25">
      <c r="A1657" s="786" t="s">
        <v>3788</v>
      </c>
      <c r="B1657" s="787">
        <v>4</v>
      </c>
      <c r="C1657" s="787" t="s">
        <v>3789</v>
      </c>
      <c r="D1657" s="787">
        <v>0.74</v>
      </c>
      <c r="E1657" s="787">
        <v>0.74</v>
      </c>
      <c r="F1657" s="788">
        <v>37637</v>
      </c>
      <c r="G1657" s="788">
        <v>37637</v>
      </c>
      <c r="H1657" s="787">
        <v>1</v>
      </c>
      <c r="J1657" s="788">
        <v>37637</v>
      </c>
      <c r="L1657" s="787">
        <v>0.75</v>
      </c>
      <c r="M1657" s="787">
        <v>10</v>
      </c>
      <c r="N1657" s="787">
        <v>1.46</v>
      </c>
      <c r="O1657" s="788">
        <v>41955</v>
      </c>
    </row>
    <row r="1658" spans="1:15" x14ac:dyDescent="0.25">
      <c r="A1658" s="786" t="s">
        <v>3790</v>
      </c>
      <c r="B1658" s="787">
        <v>4</v>
      </c>
      <c r="C1658" s="787" t="s">
        <v>3791</v>
      </c>
      <c r="D1658" s="787">
        <v>0.65</v>
      </c>
      <c r="E1658" s="787">
        <v>0.65</v>
      </c>
      <c r="F1658" s="788">
        <v>37637</v>
      </c>
      <c r="G1658" s="788">
        <v>37637</v>
      </c>
      <c r="H1658" s="787">
        <v>1</v>
      </c>
      <c r="J1658" s="788">
        <v>37637</v>
      </c>
      <c r="L1658" s="787">
        <v>0.66</v>
      </c>
      <c r="M1658" s="787">
        <v>10</v>
      </c>
      <c r="N1658" s="787">
        <v>1.39</v>
      </c>
      <c r="O1658" s="788">
        <v>41955</v>
      </c>
    </row>
    <row r="1659" spans="1:15" x14ac:dyDescent="0.25">
      <c r="A1659" s="786" t="s">
        <v>3792</v>
      </c>
      <c r="B1659" s="787">
        <v>4</v>
      </c>
      <c r="C1659" s="787" t="s">
        <v>3793</v>
      </c>
      <c r="D1659" s="787">
        <v>0.95</v>
      </c>
      <c r="E1659" s="787">
        <v>0.95</v>
      </c>
      <c r="F1659" s="788">
        <v>37637</v>
      </c>
      <c r="G1659" s="788">
        <v>37637</v>
      </c>
      <c r="H1659" s="787">
        <v>1</v>
      </c>
      <c r="J1659" s="788">
        <v>37637</v>
      </c>
      <c r="L1659" s="787">
        <v>0.82</v>
      </c>
      <c r="M1659" s="787">
        <v>10</v>
      </c>
      <c r="N1659" s="787">
        <v>1.51</v>
      </c>
      <c r="O1659" s="788">
        <v>41955</v>
      </c>
    </row>
    <row r="1660" spans="1:15" x14ac:dyDescent="0.25">
      <c r="A1660" s="786" t="s">
        <v>3794</v>
      </c>
      <c r="B1660" s="787">
        <v>4</v>
      </c>
      <c r="C1660" s="787" t="s">
        <v>3795</v>
      </c>
      <c r="D1660" s="787">
        <v>0.69</v>
      </c>
      <c r="E1660" s="787">
        <v>0.69</v>
      </c>
      <c r="F1660" s="788">
        <v>39101</v>
      </c>
      <c r="G1660" s="788">
        <v>39101</v>
      </c>
      <c r="H1660" s="787">
        <v>1</v>
      </c>
      <c r="I1660" s="788">
        <v>39134</v>
      </c>
      <c r="J1660" s="788">
        <v>39149</v>
      </c>
      <c r="L1660" s="787">
        <v>0.69</v>
      </c>
      <c r="M1660" s="787">
        <v>10</v>
      </c>
      <c r="N1660" s="787">
        <v>1.55</v>
      </c>
      <c r="O1660" s="788">
        <v>42162</v>
      </c>
    </row>
    <row r="1661" spans="1:15" x14ac:dyDescent="0.25">
      <c r="A1661" s="786" t="s">
        <v>3796</v>
      </c>
      <c r="B1661" s="787">
        <v>4</v>
      </c>
      <c r="C1661" s="787" t="s">
        <v>3797</v>
      </c>
      <c r="D1661" s="787">
        <v>0</v>
      </c>
      <c r="E1661" s="787">
        <v>0</v>
      </c>
      <c r="H1661" s="787">
        <v>1</v>
      </c>
      <c r="J1661" s="788">
        <v>37637</v>
      </c>
      <c r="L1661" s="787">
        <v>2.83</v>
      </c>
      <c r="M1661" s="787">
        <v>10</v>
      </c>
      <c r="N1661" s="787">
        <v>6.36</v>
      </c>
      <c r="O1661" s="788">
        <v>42162</v>
      </c>
    </row>
    <row r="1662" spans="1:15" x14ac:dyDescent="0.25">
      <c r="A1662" s="786" t="s">
        <v>3798</v>
      </c>
      <c r="B1662" s="787">
        <v>4</v>
      </c>
      <c r="C1662" s="787" t="s">
        <v>3799</v>
      </c>
      <c r="D1662" s="787">
        <v>1.69</v>
      </c>
      <c r="E1662" s="787">
        <v>3.83</v>
      </c>
      <c r="F1662" s="788">
        <v>39975</v>
      </c>
      <c r="G1662" s="788">
        <v>42163</v>
      </c>
      <c r="H1662" s="787">
        <v>1</v>
      </c>
      <c r="I1662" s="788">
        <v>42160</v>
      </c>
      <c r="J1662" s="788">
        <v>42136</v>
      </c>
      <c r="L1662" s="787">
        <v>1.68</v>
      </c>
      <c r="M1662" s="787">
        <v>10</v>
      </c>
      <c r="N1662" s="787">
        <v>2.54</v>
      </c>
      <c r="O1662" s="788">
        <v>42162</v>
      </c>
    </row>
    <row r="1663" spans="1:15" x14ac:dyDescent="0.25">
      <c r="A1663" s="786" t="s">
        <v>3800</v>
      </c>
      <c r="B1663" s="787">
        <v>4</v>
      </c>
      <c r="C1663" s="787" t="s">
        <v>3801</v>
      </c>
      <c r="D1663" s="787">
        <v>0</v>
      </c>
      <c r="E1663" s="787">
        <v>0</v>
      </c>
      <c r="H1663" s="787">
        <v>1</v>
      </c>
      <c r="L1663" s="787">
        <v>0</v>
      </c>
      <c r="M1663" s="787">
        <v>10</v>
      </c>
      <c r="N1663" s="787">
        <v>63.42</v>
      </c>
      <c r="O1663" s="788">
        <v>42146</v>
      </c>
    </row>
    <row r="1664" spans="1:15" x14ac:dyDescent="0.25">
      <c r="A1664" s="786" t="s">
        <v>3802</v>
      </c>
      <c r="B1664" s="787">
        <v>4</v>
      </c>
      <c r="C1664" s="787" t="s">
        <v>3803</v>
      </c>
      <c r="D1664" s="787">
        <v>0</v>
      </c>
      <c r="E1664" s="787">
        <v>0</v>
      </c>
      <c r="G1664" s="788">
        <v>41943</v>
      </c>
      <c r="H1664" s="787">
        <v>1</v>
      </c>
      <c r="J1664" s="788">
        <v>40252</v>
      </c>
      <c r="L1664" s="787">
        <v>0</v>
      </c>
      <c r="M1664" s="787">
        <v>10</v>
      </c>
      <c r="N1664" s="787">
        <v>3.85</v>
      </c>
      <c r="O1664" s="788">
        <v>42146</v>
      </c>
    </row>
    <row r="1665" spans="1:15" x14ac:dyDescent="0.25">
      <c r="A1665" s="786" t="s">
        <v>3804</v>
      </c>
      <c r="B1665" s="787">
        <v>4</v>
      </c>
      <c r="C1665" s="787" t="s">
        <v>3805</v>
      </c>
      <c r="D1665" s="787">
        <v>0</v>
      </c>
      <c r="E1665" s="787">
        <v>0</v>
      </c>
      <c r="G1665" s="788">
        <v>41565</v>
      </c>
      <c r="H1665" s="787">
        <v>1</v>
      </c>
      <c r="I1665" s="788">
        <v>41050</v>
      </c>
      <c r="J1665" s="788">
        <v>40248</v>
      </c>
      <c r="L1665" s="787">
        <v>0</v>
      </c>
      <c r="M1665" s="787">
        <v>10</v>
      </c>
      <c r="N1665" s="787">
        <v>18.84</v>
      </c>
      <c r="O1665" s="788">
        <v>42146</v>
      </c>
    </row>
    <row r="1666" spans="1:15" x14ac:dyDescent="0.25">
      <c r="A1666" s="786" t="s">
        <v>3806</v>
      </c>
      <c r="B1666" s="787">
        <v>4</v>
      </c>
      <c r="C1666" s="787" t="s">
        <v>3807</v>
      </c>
      <c r="D1666" s="787">
        <v>0</v>
      </c>
      <c r="E1666" s="787">
        <v>0</v>
      </c>
      <c r="G1666" s="788">
        <v>41565</v>
      </c>
      <c r="H1666" s="787">
        <v>1</v>
      </c>
      <c r="J1666" s="788">
        <v>40248</v>
      </c>
      <c r="K1666" s="788">
        <v>42048</v>
      </c>
      <c r="L1666" s="787">
        <v>21.85</v>
      </c>
      <c r="M1666" s="787">
        <v>10</v>
      </c>
      <c r="N1666" s="787">
        <v>34.340000000000003</v>
      </c>
      <c r="O1666" s="788">
        <v>42146</v>
      </c>
    </row>
    <row r="1667" spans="1:15" x14ac:dyDescent="0.25">
      <c r="A1667" s="786" t="s">
        <v>3808</v>
      </c>
      <c r="B1667" s="787">
        <v>4</v>
      </c>
      <c r="C1667" s="787" t="s">
        <v>3809</v>
      </c>
      <c r="D1667" s="787">
        <v>4.75</v>
      </c>
      <c r="E1667" s="787">
        <v>81.92</v>
      </c>
      <c r="F1667" s="788">
        <v>41180</v>
      </c>
      <c r="G1667" s="788">
        <v>42013</v>
      </c>
      <c r="H1667" s="787">
        <v>1</v>
      </c>
      <c r="I1667" s="788">
        <v>41764</v>
      </c>
      <c r="J1667" s="788">
        <v>41590</v>
      </c>
      <c r="K1667" s="788">
        <v>41025</v>
      </c>
      <c r="L1667" s="787">
        <v>59.89</v>
      </c>
      <c r="M1667" s="787">
        <v>10</v>
      </c>
      <c r="N1667" s="787">
        <v>137.81</v>
      </c>
      <c r="O1667" s="788">
        <v>42053</v>
      </c>
    </row>
    <row r="1668" spans="1:15" x14ac:dyDescent="0.25">
      <c r="A1668" s="786" t="s">
        <v>3810</v>
      </c>
      <c r="B1668" s="787">
        <v>4</v>
      </c>
      <c r="C1668" s="787" t="s">
        <v>3811</v>
      </c>
      <c r="D1668" s="787">
        <v>4.4000000000000004</v>
      </c>
      <c r="E1668" s="787">
        <v>34.99</v>
      </c>
      <c r="F1668" s="788">
        <v>41180</v>
      </c>
      <c r="G1668" s="788">
        <v>41613</v>
      </c>
      <c r="H1668" s="787">
        <v>1</v>
      </c>
      <c r="I1668" s="788">
        <v>41590</v>
      </c>
      <c r="J1668" s="788">
        <v>41582</v>
      </c>
      <c r="K1668" s="788">
        <v>41025</v>
      </c>
      <c r="L1668" s="787">
        <v>14.4</v>
      </c>
      <c r="M1668" s="787">
        <v>10</v>
      </c>
      <c r="N1668" s="787">
        <v>36.43</v>
      </c>
      <c r="O1668" s="788">
        <v>42053</v>
      </c>
    </row>
    <row r="1669" spans="1:15" x14ac:dyDescent="0.25">
      <c r="A1669" s="786" t="s">
        <v>3812</v>
      </c>
      <c r="B1669" s="787">
        <v>4</v>
      </c>
      <c r="C1669" s="787" t="s">
        <v>3813</v>
      </c>
      <c r="D1669" s="787">
        <v>4.22</v>
      </c>
      <c r="E1669" s="787">
        <v>19.28</v>
      </c>
      <c r="F1669" s="788">
        <v>41180</v>
      </c>
      <c r="G1669" s="788">
        <v>41613</v>
      </c>
      <c r="H1669" s="787">
        <v>1</v>
      </c>
      <c r="I1669" s="788">
        <v>41590</v>
      </c>
      <c r="J1669" s="788">
        <v>41578</v>
      </c>
      <c r="K1669" s="788">
        <v>41025</v>
      </c>
      <c r="L1669" s="787">
        <v>13.1</v>
      </c>
      <c r="M1669" s="787">
        <v>10</v>
      </c>
      <c r="N1669" s="787">
        <v>31.85</v>
      </c>
      <c r="O1669" s="788">
        <v>42053</v>
      </c>
    </row>
    <row r="1670" spans="1:15" x14ac:dyDescent="0.25">
      <c r="A1670" s="786" t="s">
        <v>3814</v>
      </c>
      <c r="B1670" s="787">
        <v>4</v>
      </c>
      <c r="C1670" s="787" t="s">
        <v>2238</v>
      </c>
      <c r="D1670" s="787">
        <v>4.2699999999999996</v>
      </c>
      <c r="E1670" s="787">
        <v>4.2699999999999996</v>
      </c>
      <c r="F1670" s="788">
        <v>41404</v>
      </c>
      <c r="G1670" s="788">
        <v>41404</v>
      </c>
      <c r="H1670" s="787">
        <v>1</v>
      </c>
      <c r="I1670" s="788">
        <v>41381</v>
      </c>
      <c r="J1670" s="788">
        <v>41374</v>
      </c>
      <c r="L1670" s="787">
        <v>0</v>
      </c>
      <c r="M1670" s="787">
        <v>10</v>
      </c>
      <c r="N1670" s="787">
        <v>2.2799999999999998</v>
      </c>
      <c r="O1670" s="788">
        <v>41955</v>
      </c>
    </row>
    <row r="1671" spans="1:15" x14ac:dyDescent="0.25">
      <c r="A1671" s="786" t="s">
        <v>3815</v>
      </c>
      <c r="B1671" s="787">
        <v>4</v>
      </c>
      <c r="C1671" s="787" t="s">
        <v>3816</v>
      </c>
      <c r="D1671" s="787">
        <v>2.95</v>
      </c>
      <c r="E1671" s="787">
        <v>14.95</v>
      </c>
      <c r="F1671" s="788">
        <v>40998</v>
      </c>
      <c r="G1671" s="788">
        <v>42064</v>
      </c>
      <c r="H1671" s="787">
        <v>1</v>
      </c>
      <c r="I1671" s="788">
        <v>42076</v>
      </c>
      <c r="J1671" s="788">
        <v>42052</v>
      </c>
      <c r="K1671" s="788">
        <v>42072</v>
      </c>
      <c r="L1671" s="787">
        <v>8.69</v>
      </c>
      <c r="M1671" s="787">
        <v>20</v>
      </c>
      <c r="N1671" s="787">
        <v>9.34</v>
      </c>
      <c r="O1671" s="788">
        <v>42072</v>
      </c>
    </row>
    <row r="1672" spans="1:15" x14ac:dyDescent="0.25">
      <c r="A1672" s="786" t="s">
        <v>3817</v>
      </c>
      <c r="B1672" s="787">
        <v>4</v>
      </c>
      <c r="C1672" s="787" t="s">
        <v>2192</v>
      </c>
      <c r="D1672" s="787">
        <v>5.22</v>
      </c>
      <c r="E1672" s="787">
        <v>5.22</v>
      </c>
      <c r="F1672" s="788">
        <v>41278</v>
      </c>
      <c r="G1672" s="788">
        <v>41565</v>
      </c>
      <c r="H1672" s="787">
        <v>1</v>
      </c>
      <c r="I1672" s="788">
        <v>41625</v>
      </c>
      <c r="J1672" s="788">
        <v>41234</v>
      </c>
      <c r="K1672" s="788">
        <v>41226</v>
      </c>
      <c r="L1672" s="787">
        <v>0.9</v>
      </c>
      <c r="M1672" s="787">
        <v>10</v>
      </c>
      <c r="N1672" s="787">
        <v>0.87</v>
      </c>
      <c r="O1672" s="788">
        <v>41955</v>
      </c>
    </row>
    <row r="1673" spans="1:15" x14ac:dyDescent="0.25">
      <c r="A1673" s="786" t="s">
        <v>669</v>
      </c>
      <c r="B1673" s="787">
        <v>4</v>
      </c>
      <c r="C1673" s="787" t="s">
        <v>2265</v>
      </c>
      <c r="D1673" s="787">
        <v>0.22</v>
      </c>
      <c r="E1673" s="787">
        <v>0.23</v>
      </c>
      <c r="F1673" s="788">
        <v>41932</v>
      </c>
      <c r="G1673" s="788">
        <v>42082</v>
      </c>
      <c r="H1673" s="787">
        <v>1</v>
      </c>
      <c r="I1673" s="788">
        <v>42146</v>
      </c>
      <c r="J1673" s="788">
        <v>42046</v>
      </c>
      <c r="K1673" s="788">
        <v>41053</v>
      </c>
      <c r="L1673" s="787">
        <v>0.37</v>
      </c>
      <c r="M1673" s="787">
        <v>10</v>
      </c>
      <c r="N1673" s="787">
        <v>0.73</v>
      </c>
      <c r="O1673" s="788">
        <v>42035</v>
      </c>
    </row>
    <row r="1674" spans="1:15" x14ac:dyDescent="0.25">
      <c r="A1674" s="786" t="s">
        <v>672</v>
      </c>
      <c r="B1674" s="787">
        <v>4</v>
      </c>
      <c r="C1674" s="787" t="s">
        <v>3818</v>
      </c>
      <c r="D1674" s="787">
        <v>0.13</v>
      </c>
      <c r="E1674" s="787">
        <v>0.22</v>
      </c>
      <c r="F1674" s="788">
        <v>40792</v>
      </c>
      <c r="G1674" s="788">
        <v>42121</v>
      </c>
      <c r="H1674" s="787">
        <v>1</v>
      </c>
      <c r="I1674" s="788">
        <v>42146</v>
      </c>
      <c r="J1674" s="788">
        <v>42121</v>
      </c>
      <c r="K1674" s="788">
        <v>41053</v>
      </c>
      <c r="L1674" s="787">
        <v>1</v>
      </c>
      <c r="M1674" s="787">
        <v>10</v>
      </c>
      <c r="N1674" s="787">
        <v>0.79</v>
      </c>
      <c r="O1674" s="788">
        <v>41955</v>
      </c>
    </row>
    <row r="1675" spans="1:15" x14ac:dyDescent="0.25">
      <c r="A1675" s="786" t="s">
        <v>3819</v>
      </c>
      <c r="B1675" s="787">
        <v>4</v>
      </c>
      <c r="C1675" s="787" t="s">
        <v>3820</v>
      </c>
      <c r="D1675" s="787">
        <v>9.92</v>
      </c>
      <c r="E1675" s="787">
        <v>9.92</v>
      </c>
      <c r="F1675" s="788">
        <v>41467</v>
      </c>
      <c r="G1675" s="788">
        <v>42013</v>
      </c>
      <c r="H1675" s="787">
        <v>1</v>
      </c>
      <c r="I1675" s="788">
        <v>42086</v>
      </c>
      <c r="J1675" s="788">
        <v>41424</v>
      </c>
      <c r="K1675" s="788">
        <v>41419</v>
      </c>
      <c r="L1675" s="787">
        <v>4.97</v>
      </c>
      <c r="M1675" s="787">
        <v>10</v>
      </c>
      <c r="N1675" s="787">
        <v>5.84</v>
      </c>
      <c r="O1675" s="788">
        <v>42024</v>
      </c>
    </row>
    <row r="1676" spans="1:15" x14ac:dyDescent="0.25">
      <c r="A1676" s="786" t="s">
        <v>3821</v>
      </c>
      <c r="B1676" s="787">
        <v>4</v>
      </c>
      <c r="C1676" s="787" t="s">
        <v>3822</v>
      </c>
      <c r="D1676" s="787">
        <v>0</v>
      </c>
      <c r="E1676" s="787">
        <v>0</v>
      </c>
      <c r="H1676" s="787">
        <v>1</v>
      </c>
      <c r="L1676" s="787">
        <v>0</v>
      </c>
      <c r="M1676" s="787">
        <v>10</v>
      </c>
      <c r="N1676" s="787">
        <v>18.46</v>
      </c>
      <c r="O1676" s="788">
        <v>42024</v>
      </c>
    </row>
    <row r="1677" spans="1:15" x14ac:dyDescent="0.25">
      <c r="A1677" s="786" t="s">
        <v>3823</v>
      </c>
      <c r="B1677" s="787">
        <v>4</v>
      </c>
      <c r="C1677" s="787" t="s">
        <v>3824</v>
      </c>
      <c r="D1677" s="787">
        <v>6.19</v>
      </c>
      <c r="E1677" s="787">
        <v>16.190000000000001</v>
      </c>
      <c r="F1677" s="788">
        <v>41278</v>
      </c>
      <c r="G1677" s="788">
        <v>41943</v>
      </c>
      <c r="H1677" s="787">
        <v>1</v>
      </c>
      <c r="J1677" s="788">
        <v>41236</v>
      </c>
      <c r="K1677" s="788">
        <v>41226</v>
      </c>
      <c r="L1677" s="787">
        <v>16.96</v>
      </c>
      <c r="M1677" s="787">
        <v>10</v>
      </c>
      <c r="N1677" s="787">
        <v>15.73</v>
      </c>
      <c r="O1677" s="788">
        <v>41955</v>
      </c>
    </row>
    <row r="1678" spans="1:15" x14ac:dyDescent="0.25">
      <c r="A1678" s="786" t="s">
        <v>3825</v>
      </c>
      <c r="B1678" s="787">
        <v>4</v>
      </c>
      <c r="C1678" s="787" t="s">
        <v>3826</v>
      </c>
      <c r="D1678" s="787">
        <v>8.43</v>
      </c>
      <c r="E1678" s="787">
        <v>8.43</v>
      </c>
      <c r="F1678" s="788">
        <v>41278</v>
      </c>
      <c r="G1678" s="788">
        <v>41943</v>
      </c>
      <c r="H1678" s="787">
        <v>1</v>
      </c>
      <c r="J1678" s="788">
        <v>41243</v>
      </c>
      <c r="K1678" s="788">
        <v>41235</v>
      </c>
      <c r="L1678" s="787">
        <v>3.99</v>
      </c>
      <c r="M1678" s="787">
        <v>10</v>
      </c>
      <c r="N1678" s="787">
        <v>5.3</v>
      </c>
      <c r="O1678" s="788">
        <v>41955</v>
      </c>
    </row>
    <row r="1679" spans="1:15" x14ac:dyDescent="0.25">
      <c r="A1679" s="786" t="s">
        <v>3827</v>
      </c>
      <c r="B1679" s="787">
        <v>4</v>
      </c>
      <c r="C1679" s="787" t="s">
        <v>3672</v>
      </c>
      <c r="D1679" s="787">
        <v>0</v>
      </c>
      <c r="E1679" s="787">
        <v>0</v>
      </c>
      <c r="H1679" s="787">
        <v>1</v>
      </c>
      <c r="L1679" s="787">
        <v>0.01</v>
      </c>
      <c r="M1679" s="787">
        <v>10</v>
      </c>
      <c r="N1679" s="787">
        <v>0</v>
      </c>
    </row>
    <row r="1680" spans="1:15" x14ac:dyDescent="0.25">
      <c r="A1680" s="786" t="s">
        <v>3828</v>
      </c>
      <c r="B1680" s="787">
        <v>4</v>
      </c>
      <c r="C1680" s="787" t="s">
        <v>3674</v>
      </c>
      <c r="D1680" s="787">
        <v>0</v>
      </c>
      <c r="E1680" s="787">
        <v>0</v>
      </c>
      <c r="G1680" s="788">
        <v>42017</v>
      </c>
      <c r="H1680" s="787">
        <v>1</v>
      </c>
      <c r="L1680" s="787">
        <v>0.01</v>
      </c>
      <c r="M1680" s="787">
        <v>10</v>
      </c>
      <c r="N1680" s="787">
        <v>0</v>
      </c>
    </row>
    <row r="1681" spans="1:15" x14ac:dyDescent="0.25">
      <c r="A1681" s="786" t="s">
        <v>3829</v>
      </c>
      <c r="B1681" s="787">
        <v>4</v>
      </c>
      <c r="C1681" s="787" t="s">
        <v>3676</v>
      </c>
      <c r="D1681" s="787">
        <v>0</v>
      </c>
      <c r="E1681" s="787">
        <v>0</v>
      </c>
      <c r="G1681" s="788">
        <v>42017</v>
      </c>
      <c r="H1681" s="787">
        <v>1</v>
      </c>
      <c r="L1681" s="787">
        <v>0.01</v>
      </c>
      <c r="M1681" s="787">
        <v>10</v>
      </c>
      <c r="N1681" s="787">
        <v>0</v>
      </c>
    </row>
    <row r="1682" spans="1:15" x14ac:dyDescent="0.25">
      <c r="A1682" s="786" t="s">
        <v>3830</v>
      </c>
      <c r="B1682" s="787">
        <v>4</v>
      </c>
      <c r="C1682" s="787" t="s">
        <v>3695</v>
      </c>
      <c r="D1682" s="787">
        <v>0</v>
      </c>
      <c r="E1682" s="787">
        <v>0</v>
      </c>
      <c r="H1682" s="787">
        <v>1</v>
      </c>
      <c r="L1682" s="787">
        <v>0.01</v>
      </c>
      <c r="M1682" s="787">
        <v>10</v>
      </c>
      <c r="N1682" s="787">
        <v>0</v>
      </c>
    </row>
    <row r="1683" spans="1:15" x14ac:dyDescent="0.25">
      <c r="A1683" s="786" t="s">
        <v>3831</v>
      </c>
      <c r="B1683" s="787">
        <v>4</v>
      </c>
      <c r="C1683" s="787" t="s">
        <v>3697</v>
      </c>
      <c r="D1683" s="787">
        <v>0</v>
      </c>
      <c r="E1683" s="787">
        <v>0</v>
      </c>
      <c r="H1683" s="787">
        <v>1</v>
      </c>
      <c r="L1683" s="787">
        <v>0.01</v>
      </c>
      <c r="M1683" s="787">
        <v>10</v>
      </c>
      <c r="N1683" s="787">
        <v>0</v>
      </c>
    </row>
    <row r="1684" spans="1:15" x14ac:dyDescent="0.25">
      <c r="A1684" s="786" t="s">
        <v>3832</v>
      </c>
      <c r="B1684" s="787">
        <v>4</v>
      </c>
      <c r="C1684" s="787" t="s">
        <v>3833</v>
      </c>
      <c r="D1684" s="787">
        <v>0.82</v>
      </c>
      <c r="E1684" s="787">
        <v>10.82</v>
      </c>
      <c r="F1684" s="788">
        <v>42065</v>
      </c>
      <c r="G1684" s="788">
        <v>42081</v>
      </c>
      <c r="H1684" s="787">
        <v>1</v>
      </c>
      <c r="I1684" s="788">
        <v>41775</v>
      </c>
      <c r="J1684" s="788">
        <v>42059</v>
      </c>
      <c r="K1684" s="788">
        <v>41215</v>
      </c>
      <c r="L1684" s="787">
        <v>10.8</v>
      </c>
      <c r="M1684" s="787">
        <v>20</v>
      </c>
      <c r="N1684" s="787">
        <v>11.61</v>
      </c>
      <c r="O1684" s="788">
        <v>41955</v>
      </c>
    </row>
    <row r="1685" spans="1:15" x14ac:dyDescent="0.25">
      <c r="A1685" s="786" t="s">
        <v>3834</v>
      </c>
      <c r="B1685" s="787">
        <v>4</v>
      </c>
      <c r="C1685" s="787" t="s">
        <v>2491</v>
      </c>
      <c r="D1685" s="787">
        <v>0</v>
      </c>
      <c r="E1685" s="787">
        <v>0</v>
      </c>
      <c r="H1685" s="787">
        <v>1</v>
      </c>
      <c r="L1685" s="787">
        <v>0.01</v>
      </c>
      <c r="M1685" s="787">
        <v>10</v>
      </c>
      <c r="N1685" s="787">
        <v>4.1500000000000004</v>
      </c>
      <c r="O1685" s="788">
        <v>41955</v>
      </c>
    </row>
    <row r="1686" spans="1:15" x14ac:dyDescent="0.25">
      <c r="A1686" s="786" t="s">
        <v>3835</v>
      </c>
      <c r="B1686" s="787">
        <v>4</v>
      </c>
      <c r="C1686" s="787" t="s">
        <v>2493</v>
      </c>
      <c r="D1686" s="787">
        <v>0</v>
      </c>
      <c r="E1686" s="787">
        <v>0</v>
      </c>
      <c r="H1686" s="787">
        <v>1</v>
      </c>
      <c r="L1686" s="787">
        <v>0.01</v>
      </c>
      <c r="M1686" s="787">
        <v>10</v>
      </c>
      <c r="N1686" s="787">
        <v>4.1500000000000004</v>
      </c>
      <c r="O1686" s="788">
        <v>41955</v>
      </c>
    </row>
    <row r="1687" spans="1:15" x14ac:dyDescent="0.25">
      <c r="A1687" s="786" t="s">
        <v>3836</v>
      </c>
      <c r="B1687" s="787">
        <v>4</v>
      </c>
      <c r="C1687" s="787" t="s">
        <v>3837</v>
      </c>
      <c r="D1687" s="787">
        <v>6.19</v>
      </c>
      <c r="E1687" s="787">
        <v>46.19</v>
      </c>
      <c r="F1687" s="788">
        <v>41463</v>
      </c>
      <c r="G1687" s="788">
        <v>41463</v>
      </c>
      <c r="H1687" s="787">
        <v>1</v>
      </c>
      <c r="I1687" s="788">
        <v>41984</v>
      </c>
      <c r="J1687" s="788">
        <v>41463</v>
      </c>
      <c r="K1687" s="788">
        <v>41428</v>
      </c>
      <c r="L1687" s="787">
        <v>46.19</v>
      </c>
      <c r="M1687" s="787">
        <v>20</v>
      </c>
      <c r="N1687" s="787">
        <v>49.65</v>
      </c>
      <c r="O1687" s="788">
        <v>41955</v>
      </c>
    </row>
    <row r="1688" spans="1:15" x14ac:dyDescent="0.25">
      <c r="A1688" s="786" t="s">
        <v>3838</v>
      </c>
      <c r="B1688" s="787">
        <v>4</v>
      </c>
      <c r="C1688" s="787" t="s">
        <v>3839</v>
      </c>
      <c r="D1688" s="787">
        <v>0.33</v>
      </c>
      <c r="E1688" s="787">
        <v>40.33</v>
      </c>
      <c r="F1688" s="788">
        <v>41463</v>
      </c>
      <c r="G1688" s="788">
        <v>41463</v>
      </c>
      <c r="H1688" s="787">
        <v>1</v>
      </c>
      <c r="I1688" s="788">
        <v>41984</v>
      </c>
      <c r="J1688" s="788">
        <v>41463</v>
      </c>
      <c r="K1688" s="788">
        <v>41428</v>
      </c>
      <c r="L1688" s="787">
        <v>40.33</v>
      </c>
      <c r="M1688" s="787">
        <v>20</v>
      </c>
      <c r="N1688" s="787">
        <v>43.35</v>
      </c>
      <c r="O1688" s="788">
        <v>41955</v>
      </c>
    </row>
    <row r="1689" spans="1:15" x14ac:dyDescent="0.25">
      <c r="A1689" s="786" t="s">
        <v>3840</v>
      </c>
      <c r="B1689" s="787">
        <v>4</v>
      </c>
      <c r="C1689" s="787" t="s">
        <v>3841</v>
      </c>
      <c r="D1689" s="787">
        <v>1.83</v>
      </c>
      <c r="E1689" s="787">
        <v>51.83</v>
      </c>
      <c r="F1689" s="788">
        <v>41463</v>
      </c>
      <c r="G1689" s="788">
        <v>41463</v>
      </c>
      <c r="H1689" s="787">
        <v>1</v>
      </c>
      <c r="I1689" s="788">
        <v>41984</v>
      </c>
      <c r="J1689" s="788">
        <v>41463</v>
      </c>
      <c r="K1689" s="788">
        <v>41428</v>
      </c>
      <c r="L1689" s="787">
        <v>51.83</v>
      </c>
      <c r="M1689" s="787">
        <v>20</v>
      </c>
      <c r="N1689" s="787">
        <v>55.72</v>
      </c>
      <c r="O1689" s="788">
        <v>41955</v>
      </c>
    </row>
    <row r="1690" spans="1:15" x14ac:dyDescent="0.25">
      <c r="A1690" s="786" t="s">
        <v>3842</v>
      </c>
      <c r="B1690" s="787">
        <v>4</v>
      </c>
      <c r="C1690" s="787" t="s">
        <v>3843</v>
      </c>
      <c r="D1690" s="787">
        <v>6.05</v>
      </c>
      <c r="E1690" s="787">
        <v>86.05</v>
      </c>
      <c r="F1690" s="788">
        <v>41463</v>
      </c>
      <c r="G1690" s="788">
        <v>41463</v>
      </c>
      <c r="H1690" s="787">
        <v>1</v>
      </c>
      <c r="I1690" s="788">
        <v>41984</v>
      </c>
      <c r="J1690" s="788">
        <v>41463</v>
      </c>
      <c r="K1690" s="788">
        <v>41428</v>
      </c>
      <c r="L1690" s="787">
        <v>86.05</v>
      </c>
      <c r="M1690" s="787">
        <v>20</v>
      </c>
      <c r="N1690" s="787">
        <v>92.5</v>
      </c>
      <c r="O1690" s="788">
        <v>41955</v>
      </c>
    </row>
    <row r="1691" spans="1:15" x14ac:dyDescent="0.25">
      <c r="A1691" s="786" t="s">
        <v>3844</v>
      </c>
      <c r="B1691" s="787">
        <v>4</v>
      </c>
      <c r="C1691" s="787" t="s">
        <v>3845</v>
      </c>
      <c r="D1691" s="787">
        <v>4.01</v>
      </c>
      <c r="E1691" s="787">
        <v>114.01</v>
      </c>
      <c r="F1691" s="788">
        <v>41463</v>
      </c>
      <c r="G1691" s="788">
        <v>41463</v>
      </c>
      <c r="H1691" s="787">
        <v>1</v>
      </c>
      <c r="I1691" s="788">
        <v>41984</v>
      </c>
      <c r="J1691" s="788">
        <v>41463</v>
      </c>
      <c r="K1691" s="788">
        <v>41428</v>
      </c>
      <c r="L1691" s="787">
        <v>114.01</v>
      </c>
      <c r="M1691" s="787">
        <v>20</v>
      </c>
      <c r="N1691" s="787">
        <v>122.56</v>
      </c>
      <c r="O1691" s="788">
        <v>41955</v>
      </c>
    </row>
    <row r="1692" spans="1:15" x14ac:dyDescent="0.25">
      <c r="A1692" s="786" t="s">
        <v>3846</v>
      </c>
      <c r="B1692" s="787">
        <v>4</v>
      </c>
      <c r="C1692" s="787" t="s">
        <v>3847</v>
      </c>
      <c r="D1692" s="787">
        <v>3.88</v>
      </c>
      <c r="E1692" s="787">
        <v>23.88</v>
      </c>
      <c r="F1692" s="788">
        <v>41463</v>
      </c>
      <c r="G1692" s="788">
        <v>41463</v>
      </c>
      <c r="H1692" s="787">
        <v>1</v>
      </c>
      <c r="I1692" s="788">
        <v>41984</v>
      </c>
      <c r="J1692" s="788">
        <v>41463</v>
      </c>
      <c r="K1692" s="788">
        <v>41428</v>
      </c>
      <c r="L1692" s="787">
        <v>23.88</v>
      </c>
      <c r="M1692" s="787">
        <v>20</v>
      </c>
      <c r="N1692" s="787">
        <v>25.67</v>
      </c>
      <c r="O1692" s="788">
        <v>41955</v>
      </c>
    </row>
    <row r="1693" spans="1:15" x14ac:dyDescent="0.25">
      <c r="A1693" s="786" t="s">
        <v>3848</v>
      </c>
      <c r="B1693" s="787">
        <v>4</v>
      </c>
      <c r="C1693" s="787" t="s">
        <v>3849</v>
      </c>
      <c r="D1693" s="787">
        <v>1.86</v>
      </c>
      <c r="E1693" s="787">
        <v>171.86</v>
      </c>
      <c r="F1693" s="788">
        <v>41463</v>
      </c>
      <c r="G1693" s="788">
        <v>41463</v>
      </c>
      <c r="H1693" s="787">
        <v>1</v>
      </c>
      <c r="I1693" s="788">
        <v>41984</v>
      </c>
      <c r="J1693" s="788">
        <v>41985</v>
      </c>
      <c r="K1693" s="788">
        <v>41428</v>
      </c>
      <c r="L1693" s="787">
        <v>171.86</v>
      </c>
      <c r="M1693" s="787">
        <v>20</v>
      </c>
      <c r="N1693" s="787">
        <v>184.75</v>
      </c>
      <c r="O1693" s="788">
        <v>41955</v>
      </c>
    </row>
    <row r="1694" spans="1:15" x14ac:dyDescent="0.25">
      <c r="A1694" s="786" t="s">
        <v>3850</v>
      </c>
      <c r="B1694" s="787">
        <v>4</v>
      </c>
      <c r="C1694" s="787" t="s">
        <v>3851</v>
      </c>
      <c r="D1694" s="787">
        <v>8.16</v>
      </c>
      <c r="E1694" s="787">
        <v>158.16</v>
      </c>
      <c r="F1694" s="788">
        <v>41463</v>
      </c>
      <c r="G1694" s="788">
        <v>41463</v>
      </c>
      <c r="H1694" s="787">
        <v>1</v>
      </c>
      <c r="I1694" s="788">
        <v>41984</v>
      </c>
      <c r="J1694" s="788">
        <v>41463</v>
      </c>
      <c r="K1694" s="788">
        <v>41428</v>
      </c>
      <c r="L1694" s="787">
        <v>158.16</v>
      </c>
      <c r="M1694" s="787">
        <v>20</v>
      </c>
      <c r="N1694" s="787">
        <v>170.02</v>
      </c>
      <c r="O1694" s="788">
        <v>41955</v>
      </c>
    </row>
    <row r="1695" spans="1:15" x14ac:dyDescent="0.25">
      <c r="A1695" s="786" t="s">
        <v>3852</v>
      </c>
      <c r="B1695" s="787">
        <v>4</v>
      </c>
      <c r="C1695" s="787" t="s">
        <v>3853</v>
      </c>
      <c r="D1695" s="787">
        <v>5.56</v>
      </c>
      <c r="E1695" s="787">
        <v>62.22</v>
      </c>
      <c r="F1695" s="788">
        <v>41134</v>
      </c>
      <c r="G1695" s="788">
        <v>42101</v>
      </c>
      <c r="H1695" s="787">
        <v>1</v>
      </c>
      <c r="I1695" s="788">
        <v>42046</v>
      </c>
      <c r="J1695" s="788">
        <v>42079</v>
      </c>
      <c r="K1695" s="788">
        <v>41894</v>
      </c>
      <c r="L1695" s="787">
        <v>63.92</v>
      </c>
      <c r="M1695" s="787">
        <v>10</v>
      </c>
      <c r="N1695" s="787">
        <v>49.86</v>
      </c>
      <c r="O1695" s="788">
        <v>42095</v>
      </c>
    </row>
    <row r="1696" spans="1:15" x14ac:dyDescent="0.25">
      <c r="A1696" s="786" t="s">
        <v>3854</v>
      </c>
      <c r="B1696" s="787">
        <v>4</v>
      </c>
      <c r="C1696" s="787" t="s">
        <v>3855</v>
      </c>
      <c r="D1696" s="787">
        <v>0</v>
      </c>
      <c r="E1696" s="787">
        <v>0</v>
      </c>
      <c r="H1696" s="787">
        <v>1</v>
      </c>
      <c r="L1696" s="787">
        <v>0.01</v>
      </c>
      <c r="M1696" s="787">
        <v>10</v>
      </c>
      <c r="N1696" s="787">
        <v>0</v>
      </c>
    </row>
    <row r="1697" spans="1:15" x14ac:dyDescent="0.25">
      <c r="A1697" s="786" t="s">
        <v>3856</v>
      </c>
      <c r="B1697" s="787">
        <v>4</v>
      </c>
      <c r="C1697" s="787" t="s">
        <v>2721</v>
      </c>
      <c r="D1697" s="787">
        <v>0</v>
      </c>
      <c r="E1697" s="787">
        <v>0</v>
      </c>
      <c r="H1697" s="787">
        <v>1</v>
      </c>
      <c r="L1697" s="787">
        <v>0.01</v>
      </c>
      <c r="M1697" s="787">
        <v>10</v>
      </c>
      <c r="N1697" s="787">
        <v>0</v>
      </c>
    </row>
    <row r="1698" spans="1:15" x14ac:dyDescent="0.25">
      <c r="A1698" s="786" t="s">
        <v>3857</v>
      </c>
      <c r="B1698" s="787">
        <v>4</v>
      </c>
      <c r="C1698" s="787" t="s">
        <v>2725</v>
      </c>
      <c r="D1698" s="787">
        <v>0</v>
      </c>
      <c r="E1698" s="787">
        <v>0</v>
      </c>
      <c r="H1698" s="787">
        <v>1</v>
      </c>
      <c r="L1698" s="787">
        <v>0.01</v>
      </c>
      <c r="M1698" s="787">
        <v>10</v>
      </c>
      <c r="N1698" s="787">
        <v>0</v>
      </c>
    </row>
    <row r="1699" spans="1:15" x14ac:dyDescent="0.25">
      <c r="A1699" s="786" t="s">
        <v>3858</v>
      </c>
      <c r="B1699" s="787">
        <v>4</v>
      </c>
      <c r="C1699" s="787" t="s">
        <v>2729</v>
      </c>
      <c r="D1699" s="787">
        <v>0</v>
      </c>
      <c r="E1699" s="787">
        <v>0</v>
      </c>
      <c r="H1699" s="787">
        <v>1</v>
      </c>
      <c r="L1699" s="787">
        <v>0.01</v>
      </c>
      <c r="M1699" s="787">
        <v>10</v>
      </c>
      <c r="N1699" s="787">
        <v>0</v>
      </c>
    </row>
    <row r="1700" spans="1:15" x14ac:dyDescent="0.25">
      <c r="A1700" s="786" t="s">
        <v>3859</v>
      </c>
      <c r="B1700" s="787">
        <v>4</v>
      </c>
      <c r="C1700" s="787" t="s">
        <v>3860</v>
      </c>
      <c r="D1700" s="787">
        <v>8.9</v>
      </c>
      <c r="E1700" s="787">
        <v>18.899999999999999</v>
      </c>
      <c r="F1700" s="788">
        <v>41449</v>
      </c>
      <c r="G1700" s="788">
        <v>41444</v>
      </c>
      <c r="H1700" s="787">
        <v>1</v>
      </c>
      <c r="I1700" s="788">
        <v>41792</v>
      </c>
      <c r="J1700" s="788">
        <v>41446</v>
      </c>
      <c r="K1700" s="788">
        <v>41425</v>
      </c>
      <c r="L1700" s="787">
        <v>18.899999999999999</v>
      </c>
      <c r="M1700" s="787">
        <v>20</v>
      </c>
      <c r="N1700" s="787">
        <v>20.32</v>
      </c>
      <c r="O1700" s="788">
        <v>41955</v>
      </c>
    </row>
    <row r="1701" spans="1:15" x14ac:dyDescent="0.25">
      <c r="A1701" s="786" t="s">
        <v>3861</v>
      </c>
      <c r="B1701" s="787">
        <v>4</v>
      </c>
      <c r="C1701" s="787" t="s">
        <v>2748</v>
      </c>
      <c r="D1701" s="787">
        <v>5.43</v>
      </c>
      <c r="E1701" s="787">
        <v>5.43</v>
      </c>
      <c r="F1701" s="788">
        <v>41491</v>
      </c>
      <c r="G1701" s="788">
        <v>42013</v>
      </c>
      <c r="H1701" s="787">
        <v>1</v>
      </c>
      <c r="I1701" s="788">
        <v>41792</v>
      </c>
      <c r="J1701" s="788">
        <v>41485</v>
      </c>
      <c r="K1701" s="788">
        <v>41869</v>
      </c>
      <c r="L1701" s="787">
        <v>5.43</v>
      </c>
      <c r="M1701" s="787">
        <v>20</v>
      </c>
      <c r="N1701" s="787">
        <v>5.84</v>
      </c>
      <c r="O1701" s="788">
        <v>41955</v>
      </c>
    </row>
    <row r="1702" spans="1:15" x14ac:dyDescent="0.25">
      <c r="A1702" s="786" t="s">
        <v>3862</v>
      </c>
      <c r="B1702" s="787">
        <v>4</v>
      </c>
      <c r="C1702" s="787" t="s">
        <v>2774</v>
      </c>
      <c r="D1702" s="787">
        <v>0</v>
      </c>
      <c r="E1702" s="787">
        <v>0</v>
      </c>
      <c r="G1702" s="788">
        <v>42017</v>
      </c>
      <c r="H1702" s="787">
        <v>1</v>
      </c>
      <c r="L1702" s="787">
        <v>0.01</v>
      </c>
      <c r="M1702" s="787">
        <v>10</v>
      </c>
      <c r="N1702" s="787">
        <v>0</v>
      </c>
    </row>
    <row r="1703" spans="1:15" x14ac:dyDescent="0.25">
      <c r="A1703" s="786" t="s">
        <v>3863</v>
      </c>
      <c r="B1703" s="787">
        <v>4</v>
      </c>
      <c r="C1703" s="787" t="s">
        <v>2778</v>
      </c>
      <c r="D1703" s="787">
        <v>0</v>
      </c>
      <c r="E1703" s="787">
        <v>0</v>
      </c>
      <c r="G1703" s="788">
        <v>42017</v>
      </c>
      <c r="H1703" s="787">
        <v>1</v>
      </c>
      <c r="L1703" s="787">
        <v>0.01</v>
      </c>
      <c r="M1703" s="787">
        <v>10</v>
      </c>
      <c r="N1703" s="787">
        <v>0</v>
      </c>
    </row>
    <row r="1704" spans="1:15" x14ac:dyDescent="0.25">
      <c r="A1704" s="786" t="s">
        <v>3864</v>
      </c>
      <c r="B1704" s="787">
        <v>4</v>
      </c>
      <c r="C1704" s="787" t="s">
        <v>3865</v>
      </c>
      <c r="D1704" s="787">
        <v>8.9</v>
      </c>
      <c r="E1704" s="787">
        <v>18.899999999999999</v>
      </c>
      <c r="F1704" s="788">
        <v>41449</v>
      </c>
      <c r="G1704" s="788">
        <v>41444</v>
      </c>
      <c r="H1704" s="787">
        <v>1</v>
      </c>
      <c r="I1704" s="788">
        <v>41792</v>
      </c>
      <c r="J1704" s="788">
        <v>41446</v>
      </c>
      <c r="K1704" s="788">
        <v>41425</v>
      </c>
      <c r="L1704" s="787">
        <v>18.899999999999999</v>
      </c>
      <c r="M1704" s="787">
        <v>20</v>
      </c>
      <c r="N1704" s="787">
        <v>20.32</v>
      </c>
      <c r="O1704" s="788">
        <v>41955</v>
      </c>
    </row>
    <row r="1705" spans="1:15" x14ac:dyDescent="0.25">
      <c r="A1705" s="786" t="s">
        <v>3866</v>
      </c>
      <c r="B1705" s="787">
        <v>4</v>
      </c>
      <c r="C1705" s="787" t="s">
        <v>3867</v>
      </c>
      <c r="D1705" s="787">
        <v>4.25</v>
      </c>
      <c r="E1705" s="787">
        <v>441.63</v>
      </c>
      <c r="F1705" s="788">
        <v>41877</v>
      </c>
      <c r="G1705" s="788">
        <v>41892</v>
      </c>
      <c r="H1705" s="787">
        <v>1</v>
      </c>
      <c r="I1705" s="788">
        <v>41887</v>
      </c>
      <c r="J1705" s="788">
        <v>41876</v>
      </c>
      <c r="K1705" s="788">
        <v>41842</v>
      </c>
      <c r="L1705" s="787">
        <v>264.25</v>
      </c>
      <c r="M1705" s="787">
        <v>20</v>
      </c>
      <c r="N1705" s="787">
        <v>284.07</v>
      </c>
      <c r="O1705" s="788">
        <v>41955</v>
      </c>
    </row>
    <row r="1706" spans="1:15" x14ac:dyDescent="0.25">
      <c r="A1706" s="786" t="s">
        <v>3868</v>
      </c>
      <c r="B1706" s="787">
        <v>4</v>
      </c>
      <c r="C1706" s="787" t="s">
        <v>3869</v>
      </c>
      <c r="D1706" s="787">
        <v>4.25</v>
      </c>
      <c r="E1706" s="787">
        <v>441.63</v>
      </c>
      <c r="F1706" s="788">
        <v>41877</v>
      </c>
      <c r="G1706" s="788">
        <v>41892</v>
      </c>
      <c r="H1706" s="787">
        <v>1</v>
      </c>
      <c r="I1706" s="788">
        <v>41887</v>
      </c>
      <c r="J1706" s="788">
        <v>41876</v>
      </c>
      <c r="K1706" s="788">
        <v>41842</v>
      </c>
      <c r="L1706" s="787">
        <v>264.25</v>
      </c>
      <c r="M1706" s="787">
        <v>20</v>
      </c>
      <c r="N1706" s="787">
        <v>284.07</v>
      </c>
      <c r="O1706" s="788">
        <v>41955</v>
      </c>
    </row>
    <row r="1707" spans="1:15" x14ac:dyDescent="0.25">
      <c r="A1707" s="786" t="s">
        <v>3870</v>
      </c>
      <c r="B1707" s="787">
        <v>4</v>
      </c>
      <c r="C1707" s="787" t="s">
        <v>3871</v>
      </c>
      <c r="D1707" s="787">
        <v>7.48</v>
      </c>
      <c r="E1707" s="787">
        <v>73.760000000000005</v>
      </c>
      <c r="F1707" s="788">
        <v>41467</v>
      </c>
      <c r="G1707" s="788">
        <v>42013</v>
      </c>
      <c r="H1707" s="787">
        <v>1</v>
      </c>
      <c r="I1707" s="788">
        <v>41927</v>
      </c>
      <c r="J1707" s="788">
        <v>41529</v>
      </c>
      <c r="K1707" s="788">
        <v>40998</v>
      </c>
      <c r="L1707" s="787">
        <v>36.630000000000003</v>
      </c>
      <c r="M1707" s="787">
        <v>10</v>
      </c>
      <c r="N1707" s="787">
        <v>54.82</v>
      </c>
      <c r="O1707" s="788">
        <v>42095</v>
      </c>
    </row>
    <row r="1708" spans="1:15" x14ac:dyDescent="0.25">
      <c r="A1708" s="786" t="s">
        <v>3872</v>
      </c>
      <c r="B1708" s="787">
        <v>4</v>
      </c>
      <c r="C1708" s="787" t="s">
        <v>2016</v>
      </c>
      <c r="D1708" s="787">
        <v>0</v>
      </c>
      <c r="E1708" s="787">
        <v>0</v>
      </c>
      <c r="G1708" s="787" t="s">
        <v>1067</v>
      </c>
      <c r="H1708" s="787">
        <v>1</v>
      </c>
      <c r="L1708" s="789">
        <v>1379</v>
      </c>
      <c r="M1708" s="787">
        <v>20</v>
      </c>
      <c r="N1708" s="789">
        <v>1482.43</v>
      </c>
      <c r="O1708" s="788">
        <v>41955</v>
      </c>
    </row>
    <row r="1709" spans="1:15" x14ac:dyDescent="0.25">
      <c r="A1709" s="786" t="s">
        <v>3873</v>
      </c>
      <c r="B1709" s="787">
        <v>4</v>
      </c>
      <c r="C1709" s="787" t="s">
        <v>3874</v>
      </c>
      <c r="D1709" s="787">
        <v>3.5</v>
      </c>
      <c r="E1709" s="787">
        <v>43.5</v>
      </c>
      <c r="F1709" s="788">
        <v>41442</v>
      </c>
      <c r="G1709" s="788">
        <v>41439</v>
      </c>
      <c r="H1709" s="787">
        <v>1</v>
      </c>
      <c r="I1709" s="788">
        <v>41491</v>
      </c>
      <c r="J1709" s="788">
        <v>41444</v>
      </c>
      <c r="K1709" s="788">
        <v>41435</v>
      </c>
      <c r="L1709" s="787">
        <v>43.5</v>
      </c>
      <c r="M1709" s="787">
        <v>20</v>
      </c>
      <c r="N1709" s="787">
        <v>46.76</v>
      </c>
      <c r="O1709" s="788">
        <v>41955</v>
      </c>
    </row>
    <row r="1710" spans="1:15" x14ac:dyDescent="0.25">
      <c r="A1710" s="786" t="s">
        <v>3875</v>
      </c>
      <c r="B1710" s="787">
        <v>4</v>
      </c>
      <c r="C1710" s="787" t="s">
        <v>3876</v>
      </c>
      <c r="D1710" s="787">
        <v>0.03</v>
      </c>
      <c r="E1710" s="787">
        <v>0.03</v>
      </c>
      <c r="F1710" s="788">
        <v>37637</v>
      </c>
      <c r="G1710" s="788">
        <v>37637</v>
      </c>
      <c r="H1710" s="787">
        <v>1</v>
      </c>
      <c r="J1710" s="788">
        <v>37637</v>
      </c>
      <c r="L1710" s="787">
        <v>0.03</v>
      </c>
      <c r="M1710" s="787">
        <v>20</v>
      </c>
      <c r="N1710" s="787">
        <v>0.03</v>
      </c>
      <c r="O1710" s="788">
        <v>41955</v>
      </c>
    </row>
    <row r="1711" spans="1:15" x14ac:dyDescent="0.25">
      <c r="A1711" s="786" t="s">
        <v>3877</v>
      </c>
      <c r="B1711" s="787">
        <v>4</v>
      </c>
      <c r="C1711" s="787" t="s">
        <v>3876</v>
      </c>
      <c r="D1711" s="787">
        <v>0.06</v>
      </c>
      <c r="E1711" s="787">
        <v>0.06</v>
      </c>
      <c r="F1711" s="788">
        <v>39101</v>
      </c>
      <c r="G1711" s="788">
        <v>39101</v>
      </c>
      <c r="H1711" s="787">
        <v>1</v>
      </c>
      <c r="I1711" s="788">
        <v>42163</v>
      </c>
      <c r="J1711" s="788">
        <v>39101</v>
      </c>
      <c r="L1711" s="787">
        <v>7.0000000000000007E-2</v>
      </c>
      <c r="M1711" s="787">
        <v>20</v>
      </c>
      <c r="N1711" s="787">
        <v>0.08</v>
      </c>
      <c r="O1711" s="788">
        <v>42163</v>
      </c>
    </row>
    <row r="1712" spans="1:15" x14ac:dyDescent="0.25">
      <c r="A1712" s="786" t="s">
        <v>3878</v>
      </c>
      <c r="B1712" s="787">
        <v>4</v>
      </c>
      <c r="C1712" s="787" t="s">
        <v>3879</v>
      </c>
      <c r="D1712" s="787">
        <v>0</v>
      </c>
      <c r="E1712" s="787">
        <v>0</v>
      </c>
      <c r="H1712" s="787">
        <v>1</v>
      </c>
      <c r="I1712" s="788">
        <v>41865</v>
      </c>
      <c r="L1712" s="787">
        <v>0.09</v>
      </c>
      <c r="M1712" s="787">
        <v>20</v>
      </c>
      <c r="N1712" s="787">
        <v>0.1</v>
      </c>
      <c r="O1712" s="788">
        <v>42038</v>
      </c>
    </row>
    <row r="1713" spans="1:15" x14ac:dyDescent="0.25">
      <c r="A1713" s="786" t="s">
        <v>3880</v>
      </c>
      <c r="B1713" s="787">
        <v>4</v>
      </c>
      <c r="C1713" s="787" t="s">
        <v>3876</v>
      </c>
      <c r="D1713" s="787">
        <v>0.06</v>
      </c>
      <c r="E1713" s="787">
        <v>0.06</v>
      </c>
      <c r="F1713" s="788">
        <v>37648</v>
      </c>
      <c r="G1713" s="788">
        <v>37648</v>
      </c>
      <c r="H1713" s="787">
        <v>1</v>
      </c>
      <c r="J1713" s="788">
        <v>37648</v>
      </c>
      <c r="L1713" s="787">
        <v>7.0000000000000007E-2</v>
      </c>
      <c r="M1713" s="787">
        <v>20</v>
      </c>
      <c r="N1713" s="787">
        <v>0.08</v>
      </c>
      <c r="O1713" s="788">
        <v>41955</v>
      </c>
    </row>
    <row r="1714" spans="1:15" x14ac:dyDescent="0.25">
      <c r="A1714" s="786" t="s">
        <v>3881</v>
      </c>
      <c r="B1714" s="787">
        <v>4</v>
      </c>
      <c r="C1714" s="787" t="s">
        <v>3876</v>
      </c>
      <c r="D1714" s="787">
        <v>0.08</v>
      </c>
      <c r="E1714" s="787">
        <v>0.08</v>
      </c>
      <c r="F1714" s="788">
        <v>39101</v>
      </c>
      <c r="G1714" s="788">
        <v>39101</v>
      </c>
      <c r="H1714" s="787">
        <v>1</v>
      </c>
      <c r="I1714" s="788">
        <v>42164</v>
      </c>
      <c r="J1714" s="788">
        <v>39149</v>
      </c>
      <c r="L1714" s="787">
        <v>0.09</v>
      </c>
      <c r="M1714" s="787">
        <v>20</v>
      </c>
      <c r="N1714" s="787">
        <v>0.1</v>
      </c>
      <c r="O1714" s="788">
        <v>42164</v>
      </c>
    </row>
    <row r="1715" spans="1:15" x14ac:dyDescent="0.25">
      <c r="A1715" s="786" t="s">
        <v>3882</v>
      </c>
      <c r="B1715" s="787">
        <v>4</v>
      </c>
      <c r="C1715" s="787" t="s">
        <v>3883</v>
      </c>
      <c r="D1715" s="787">
        <v>0.04</v>
      </c>
      <c r="E1715" s="787">
        <v>0.04</v>
      </c>
      <c r="F1715" s="788">
        <v>39101</v>
      </c>
      <c r="G1715" s="788">
        <v>39101</v>
      </c>
      <c r="H1715" s="787">
        <v>1</v>
      </c>
      <c r="I1715" s="788">
        <v>41943</v>
      </c>
      <c r="J1715" s="788">
        <v>41932</v>
      </c>
      <c r="L1715" s="787">
        <v>0.04</v>
      </c>
      <c r="M1715" s="787">
        <v>20</v>
      </c>
      <c r="N1715" s="787">
        <v>0.04</v>
      </c>
      <c r="O1715" s="788">
        <v>42135</v>
      </c>
    </row>
    <row r="1716" spans="1:15" x14ac:dyDescent="0.25">
      <c r="A1716" s="786" t="s">
        <v>3884</v>
      </c>
      <c r="B1716" s="787">
        <v>4</v>
      </c>
      <c r="C1716" s="787" t="s">
        <v>3885</v>
      </c>
      <c r="D1716" s="787">
        <v>0</v>
      </c>
      <c r="E1716" s="787">
        <v>0</v>
      </c>
      <c r="G1716" s="788">
        <v>41648</v>
      </c>
      <c r="H1716" s="787">
        <v>1</v>
      </c>
      <c r="I1716" s="788">
        <v>42166</v>
      </c>
      <c r="J1716" s="788">
        <v>41648</v>
      </c>
      <c r="L1716" s="787">
        <v>0.1</v>
      </c>
      <c r="M1716" s="787">
        <v>20</v>
      </c>
      <c r="N1716" s="787">
        <v>0.11</v>
      </c>
      <c r="O1716" s="788">
        <v>42146</v>
      </c>
    </row>
    <row r="1717" spans="1:15" x14ac:dyDescent="0.25">
      <c r="A1717" s="786" t="s">
        <v>3886</v>
      </c>
      <c r="B1717" s="787">
        <v>4</v>
      </c>
      <c r="C1717" s="787" t="s">
        <v>3876</v>
      </c>
      <c r="D1717" s="787">
        <v>0</v>
      </c>
      <c r="E1717" s="787">
        <v>0</v>
      </c>
      <c r="H1717" s="787">
        <v>1</v>
      </c>
      <c r="I1717" s="788">
        <v>41858</v>
      </c>
      <c r="L1717" s="787">
        <v>0.11</v>
      </c>
      <c r="M1717" s="787">
        <v>20</v>
      </c>
      <c r="N1717" s="787">
        <v>0.11</v>
      </c>
    </row>
    <row r="1718" spans="1:15" x14ac:dyDescent="0.25">
      <c r="A1718" s="786" t="s">
        <v>3887</v>
      </c>
      <c r="B1718" s="787">
        <v>4</v>
      </c>
      <c r="C1718" s="787" t="s">
        <v>3876</v>
      </c>
      <c r="D1718" s="787">
        <v>0</v>
      </c>
      <c r="E1718" s="787">
        <v>0</v>
      </c>
      <c r="H1718" s="787">
        <v>1</v>
      </c>
      <c r="I1718" s="788">
        <v>41876</v>
      </c>
      <c r="L1718" s="787">
        <v>0.18</v>
      </c>
      <c r="M1718" s="787">
        <v>20</v>
      </c>
      <c r="N1718" s="787">
        <v>0.19</v>
      </c>
      <c r="O1718" s="788">
        <v>42060</v>
      </c>
    </row>
    <row r="1719" spans="1:15" x14ac:dyDescent="0.25">
      <c r="A1719" s="786" t="s">
        <v>3888</v>
      </c>
      <c r="B1719" s="787">
        <v>4</v>
      </c>
      <c r="C1719" s="787" t="s">
        <v>3889</v>
      </c>
      <c r="D1719" s="787">
        <v>1.79</v>
      </c>
      <c r="E1719" s="787">
        <v>1.79</v>
      </c>
      <c r="F1719" s="788">
        <v>37637</v>
      </c>
      <c r="G1719" s="788">
        <v>37637</v>
      </c>
      <c r="H1719" s="787">
        <v>1</v>
      </c>
      <c r="J1719" s="788">
        <v>37637</v>
      </c>
      <c r="L1719" s="787">
        <v>1.95</v>
      </c>
      <c r="M1719" s="787">
        <v>20</v>
      </c>
      <c r="N1719" s="787">
        <v>2.1</v>
      </c>
      <c r="O1719" s="788">
        <v>41955</v>
      </c>
    </row>
    <row r="1720" spans="1:15" x14ac:dyDescent="0.25">
      <c r="A1720" s="786" t="s">
        <v>3890</v>
      </c>
      <c r="B1720" s="787">
        <v>4</v>
      </c>
      <c r="C1720" s="787" t="s">
        <v>3891</v>
      </c>
      <c r="D1720" s="787">
        <v>2.63</v>
      </c>
      <c r="E1720" s="787">
        <v>2.63</v>
      </c>
      <c r="F1720" s="788">
        <v>37637</v>
      </c>
      <c r="G1720" s="788">
        <v>37637</v>
      </c>
      <c r="H1720" s="787">
        <v>1</v>
      </c>
      <c r="J1720" s="788">
        <v>37637</v>
      </c>
      <c r="L1720" s="787">
        <v>2.87</v>
      </c>
      <c r="M1720" s="787">
        <v>20</v>
      </c>
      <c r="N1720" s="787">
        <v>3.09</v>
      </c>
      <c r="O1720" s="788">
        <v>41955</v>
      </c>
    </row>
    <row r="1721" spans="1:15" x14ac:dyDescent="0.25">
      <c r="A1721" s="786" t="s">
        <v>3892</v>
      </c>
      <c r="B1721" s="787">
        <v>4</v>
      </c>
      <c r="C1721" s="787" t="s">
        <v>3893</v>
      </c>
      <c r="D1721" s="787">
        <v>1.02</v>
      </c>
      <c r="E1721" s="787">
        <v>1.02</v>
      </c>
      <c r="F1721" s="788">
        <v>37637</v>
      </c>
      <c r="G1721" s="788">
        <v>37637</v>
      </c>
      <c r="H1721" s="787">
        <v>1</v>
      </c>
      <c r="J1721" s="788">
        <v>37637</v>
      </c>
      <c r="L1721" s="787">
        <v>1.1100000000000001</v>
      </c>
      <c r="M1721" s="787">
        <v>20</v>
      </c>
      <c r="N1721" s="787">
        <v>1.19</v>
      </c>
      <c r="O1721" s="788">
        <v>41955</v>
      </c>
    </row>
    <row r="1722" spans="1:15" x14ac:dyDescent="0.25">
      <c r="A1722" s="786" t="s">
        <v>3894</v>
      </c>
      <c r="B1722" s="787">
        <v>4</v>
      </c>
      <c r="C1722" s="787" t="s">
        <v>3895</v>
      </c>
      <c r="D1722" s="787">
        <v>0.01</v>
      </c>
      <c r="E1722" s="787">
        <v>0.05</v>
      </c>
      <c r="F1722" s="788">
        <v>37637</v>
      </c>
      <c r="G1722" s="788">
        <v>41878</v>
      </c>
      <c r="H1722" s="787">
        <v>6</v>
      </c>
      <c r="I1722" s="788">
        <v>41878</v>
      </c>
      <c r="J1722" s="788">
        <v>41878</v>
      </c>
      <c r="K1722" s="788">
        <v>41865</v>
      </c>
      <c r="L1722" s="787">
        <v>0.05</v>
      </c>
      <c r="M1722" s="787">
        <v>20</v>
      </c>
      <c r="N1722" s="787">
        <v>0.01</v>
      </c>
      <c r="O1722" s="788">
        <v>41858</v>
      </c>
    </row>
    <row r="1723" spans="1:15" x14ac:dyDescent="0.25">
      <c r="A1723" s="786" t="s">
        <v>3896</v>
      </c>
      <c r="B1723" s="787">
        <v>4</v>
      </c>
      <c r="C1723" s="787" t="s">
        <v>3897</v>
      </c>
      <c r="D1723" s="787">
        <v>0</v>
      </c>
      <c r="E1723" s="787">
        <v>0</v>
      </c>
      <c r="F1723" s="788">
        <v>39800</v>
      </c>
      <c r="H1723" s="787">
        <v>1</v>
      </c>
      <c r="I1723" s="788">
        <v>39560</v>
      </c>
      <c r="J1723" s="788">
        <v>39101</v>
      </c>
      <c r="L1723" s="787">
        <v>0</v>
      </c>
      <c r="M1723" s="787">
        <v>20</v>
      </c>
      <c r="N1723" s="787">
        <v>0.01</v>
      </c>
      <c r="O1723" s="788">
        <v>41955</v>
      </c>
    </row>
    <row r="1724" spans="1:15" x14ac:dyDescent="0.25">
      <c r="A1724" s="786" t="s">
        <v>3898</v>
      </c>
      <c r="B1724" s="787">
        <v>4</v>
      </c>
      <c r="C1724" s="787" t="s">
        <v>3899</v>
      </c>
      <c r="D1724" s="787">
        <v>0</v>
      </c>
      <c r="E1724" s="787">
        <v>0</v>
      </c>
      <c r="F1724" s="788">
        <v>39799</v>
      </c>
      <c r="G1724" s="788">
        <v>38736</v>
      </c>
      <c r="H1724" s="787">
        <v>1</v>
      </c>
      <c r="I1724" s="788">
        <v>39728</v>
      </c>
      <c r="J1724" s="788">
        <v>39149</v>
      </c>
      <c r="L1724" s="787">
        <v>0</v>
      </c>
      <c r="M1724" s="787">
        <v>20</v>
      </c>
      <c r="N1724" s="787">
        <v>0</v>
      </c>
      <c r="O1724" s="788">
        <v>40824</v>
      </c>
    </row>
    <row r="1725" spans="1:15" x14ac:dyDescent="0.25">
      <c r="A1725" s="786" t="s">
        <v>3900</v>
      </c>
      <c r="B1725" s="787">
        <v>4</v>
      </c>
      <c r="C1725" s="787" t="s">
        <v>1066</v>
      </c>
      <c r="D1725" s="787">
        <v>0</v>
      </c>
      <c r="E1725" s="787">
        <v>0</v>
      </c>
      <c r="G1725" s="787" t="s">
        <v>1067</v>
      </c>
      <c r="H1725" s="787">
        <v>1</v>
      </c>
      <c r="L1725" s="789">
        <v>2875</v>
      </c>
      <c r="M1725" s="787">
        <v>20</v>
      </c>
      <c r="N1725" s="789">
        <v>2875</v>
      </c>
      <c r="O1725" s="788">
        <v>41955</v>
      </c>
    </row>
    <row r="1726" spans="1:15" x14ac:dyDescent="0.25">
      <c r="A1726" s="786" t="s">
        <v>3901</v>
      </c>
      <c r="B1726" s="787">
        <v>4</v>
      </c>
      <c r="C1726" s="787" t="s">
        <v>1066</v>
      </c>
      <c r="D1726" s="787">
        <v>0</v>
      </c>
      <c r="E1726" s="787">
        <v>0</v>
      </c>
      <c r="H1726" s="787">
        <v>1</v>
      </c>
      <c r="L1726" s="787">
        <v>0</v>
      </c>
      <c r="M1726" s="787">
        <v>10</v>
      </c>
      <c r="N1726" s="787">
        <v>0</v>
      </c>
      <c r="O1726" s="788">
        <v>40824</v>
      </c>
    </row>
    <row r="1727" spans="1:15" x14ac:dyDescent="0.25">
      <c r="A1727" s="786" t="s">
        <v>3902</v>
      </c>
      <c r="B1727" s="787">
        <v>4</v>
      </c>
      <c r="C1727" s="787" t="s">
        <v>3903</v>
      </c>
      <c r="D1727" s="787">
        <v>0.43</v>
      </c>
      <c r="E1727" s="787">
        <v>0.43</v>
      </c>
      <c r="F1727" s="788">
        <v>39101</v>
      </c>
      <c r="G1727" s="788">
        <v>39101</v>
      </c>
      <c r="H1727" s="787">
        <v>1</v>
      </c>
      <c r="I1727" s="788">
        <v>42160</v>
      </c>
      <c r="J1727" s="788">
        <v>39149</v>
      </c>
      <c r="L1727" s="787">
        <v>0.47</v>
      </c>
      <c r="M1727" s="787">
        <v>20</v>
      </c>
      <c r="N1727" s="787">
        <v>0.51</v>
      </c>
      <c r="O1727" s="788">
        <v>42146</v>
      </c>
    </row>
    <row r="1728" spans="1:15" x14ac:dyDescent="0.25">
      <c r="A1728" s="786" t="s">
        <v>3904</v>
      </c>
      <c r="B1728" s="787">
        <v>4</v>
      </c>
      <c r="C1728" s="787" t="s">
        <v>3905</v>
      </c>
      <c r="D1728" s="787">
        <v>0.3</v>
      </c>
      <c r="E1728" s="787">
        <v>0.3</v>
      </c>
      <c r="F1728" s="788">
        <v>39101</v>
      </c>
      <c r="G1728" s="788">
        <v>39101</v>
      </c>
      <c r="H1728" s="787">
        <v>1</v>
      </c>
      <c r="I1728" s="788">
        <v>42083</v>
      </c>
      <c r="J1728" s="788">
        <v>39149</v>
      </c>
      <c r="L1728" s="787">
        <v>0.33</v>
      </c>
      <c r="M1728" s="787">
        <v>20</v>
      </c>
      <c r="N1728" s="787">
        <v>0.35</v>
      </c>
      <c r="O1728" s="788">
        <v>42146</v>
      </c>
    </row>
    <row r="1729" spans="1:15" x14ac:dyDescent="0.25">
      <c r="A1729" s="786" t="s">
        <v>3906</v>
      </c>
      <c r="B1729" s="787">
        <v>4</v>
      </c>
      <c r="C1729" s="787" t="s">
        <v>3907</v>
      </c>
      <c r="D1729" s="787">
        <v>0.35</v>
      </c>
      <c r="E1729" s="787">
        <v>0.35</v>
      </c>
      <c r="F1729" s="788">
        <v>37637</v>
      </c>
      <c r="G1729" s="788">
        <v>38736</v>
      </c>
      <c r="H1729" s="787">
        <v>1</v>
      </c>
      <c r="I1729" s="788">
        <v>42076</v>
      </c>
      <c r="J1729" s="788">
        <v>37637</v>
      </c>
      <c r="L1729" s="787">
        <v>0.38</v>
      </c>
      <c r="M1729" s="787">
        <v>20</v>
      </c>
      <c r="N1729" s="787">
        <v>0.41</v>
      </c>
      <c r="O1729" s="788">
        <v>42162</v>
      </c>
    </row>
    <row r="1730" spans="1:15" x14ac:dyDescent="0.25">
      <c r="A1730" s="786" t="s">
        <v>3908</v>
      </c>
      <c r="B1730" s="787">
        <v>4</v>
      </c>
      <c r="C1730" s="787" t="s">
        <v>3909</v>
      </c>
      <c r="D1730" s="787">
        <v>0.34</v>
      </c>
      <c r="E1730" s="787">
        <v>0.34</v>
      </c>
      <c r="F1730" s="788">
        <v>39101</v>
      </c>
      <c r="G1730" s="788">
        <v>39101</v>
      </c>
      <c r="H1730" s="787">
        <v>1</v>
      </c>
      <c r="I1730" s="788">
        <v>41737</v>
      </c>
      <c r="J1730" s="788">
        <v>39149</v>
      </c>
      <c r="L1730" s="787">
        <v>0.37</v>
      </c>
      <c r="M1730" s="787">
        <v>20</v>
      </c>
      <c r="N1730" s="787">
        <v>0.4</v>
      </c>
      <c r="O1730" s="788">
        <v>41955</v>
      </c>
    </row>
    <row r="1731" spans="1:15" x14ac:dyDescent="0.25">
      <c r="A1731" s="786" t="s">
        <v>3910</v>
      </c>
      <c r="B1731" s="787">
        <v>4</v>
      </c>
      <c r="C1731" s="787" t="s">
        <v>3911</v>
      </c>
      <c r="D1731" s="787">
        <v>0.4</v>
      </c>
      <c r="E1731" s="787">
        <v>0.4</v>
      </c>
      <c r="F1731" s="788">
        <v>38946</v>
      </c>
      <c r="G1731" s="788">
        <v>38946</v>
      </c>
      <c r="H1731" s="787">
        <v>1</v>
      </c>
      <c r="I1731" s="788">
        <v>39805</v>
      </c>
      <c r="J1731" s="788">
        <v>38945</v>
      </c>
      <c r="L1731" s="787">
        <v>0.4</v>
      </c>
      <c r="M1731" s="787">
        <v>20</v>
      </c>
      <c r="N1731" s="787">
        <v>0.43</v>
      </c>
      <c r="O1731" s="788">
        <v>42123</v>
      </c>
    </row>
    <row r="1732" spans="1:15" x14ac:dyDescent="0.25">
      <c r="A1732" s="786" t="s">
        <v>3912</v>
      </c>
      <c r="B1732" s="787">
        <v>4</v>
      </c>
      <c r="C1732" s="787" t="s">
        <v>3913</v>
      </c>
      <c r="D1732" s="787">
        <v>0.53</v>
      </c>
      <c r="E1732" s="787">
        <v>0.53</v>
      </c>
      <c r="F1732" s="788">
        <v>39101</v>
      </c>
      <c r="G1732" s="788">
        <v>39101</v>
      </c>
      <c r="H1732" s="787">
        <v>1</v>
      </c>
      <c r="I1732" s="788">
        <v>42165</v>
      </c>
      <c r="J1732" s="788">
        <v>41864</v>
      </c>
      <c r="L1732" s="787">
        <v>0.57999999999999996</v>
      </c>
      <c r="M1732" s="787">
        <v>20</v>
      </c>
      <c r="N1732" s="787">
        <v>0.62</v>
      </c>
      <c r="O1732" s="788">
        <v>42164</v>
      </c>
    </row>
    <row r="1733" spans="1:15" x14ac:dyDescent="0.25">
      <c r="A1733" s="786" t="s">
        <v>3914</v>
      </c>
      <c r="B1733" s="787">
        <v>4</v>
      </c>
      <c r="C1733" s="787" t="s">
        <v>3915</v>
      </c>
      <c r="D1733" s="787">
        <v>0.03</v>
      </c>
      <c r="E1733" s="787">
        <v>0.03</v>
      </c>
      <c r="F1733" s="788">
        <v>37637</v>
      </c>
      <c r="G1733" s="788">
        <v>37637</v>
      </c>
      <c r="H1733" s="787">
        <v>1</v>
      </c>
      <c r="J1733" s="788">
        <v>37637</v>
      </c>
      <c r="L1733" s="787">
        <v>0.03</v>
      </c>
      <c r="M1733" s="787">
        <v>20</v>
      </c>
      <c r="N1733" s="787">
        <v>0.03</v>
      </c>
      <c r="O1733" s="788">
        <v>41955</v>
      </c>
    </row>
    <row r="1734" spans="1:15" x14ac:dyDescent="0.25">
      <c r="A1734" s="786" t="s">
        <v>3916</v>
      </c>
      <c r="B1734" s="787">
        <v>4</v>
      </c>
      <c r="C1734" s="787" t="s">
        <v>3917</v>
      </c>
      <c r="D1734" s="787">
        <v>0.06</v>
      </c>
      <c r="E1734" s="787">
        <v>0.06</v>
      </c>
      <c r="F1734" s="788">
        <v>37637</v>
      </c>
      <c r="G1734" s="788">
        <v>37637</v>
      </c>
      <c r="H1734" s="787">
        <v>1</v>
      </c>
      <c r="J1734" s="788">
        <v>37637</v>
      </c>
      <c r="L1734" s="787">
        <v>7.0000000000000007E-2</v>
      </c>
      <c r="M1734" s="787">
        <v>20</v>
      </c>
      <c r="N1734" s="787">
        <v>0.08</v>
      </c>
      <c r="O1734" s="788">
        <v>41955</v>
      </c>
    </row>
    <row r="1735" spans="1:15" x14ac:dyDescent="0.25">
      <c r="A1735" s="786" t="s">
        <v>3918</v>
      </c>
      <c r="B1735" s="787">
        <v>4</v>
      </c>
      <c r="C1735" s="787" t="s">
        <v>3919</v>
      </c>
      <c r="D1735" s="787">
        <v>2.8</v>
      </c>
      <c r="E1735" s="787">
        <v>2.8</v>
      </c>
      <c r="F1735" s="788">
        <v>38450</v>
      </c>
      <c r="G1735" s="788">
        <v>38736</v>
      </c>
      <c r="H1735" s="787">
        <v>1</v>
      </c>
      <c r="I1735" s="788">
        <v>39134</v>
      </c>
      <c r="J1735" s="788">
        <v>38399</v>
      </c>
      <c r="L1735" s="787">
        <v>3.05</v>
      </c>
      <c r="M1735" s="787">
        <v>20</v>
      </c>
      <c r="N1735" s="787">
        <v>3.28</v>
      </c>
      <c r="O1735" s="788">
        <v>41955</v>
      </c>
    </row>
    <row r="1736" spans="1:15" x14ac:dyDescent="0.25">
      <c r="A1736" s="786" t="s">
        <v>3920</v>
      </c>
      <c r="B1736" s="787">
        <v>4</v>
      </c>
      <c r="C1736" s="787" t="s">
        <v>3921</v>
      </c>
      <c r="D1736" s="787">
        <v>0</v>
      </c>
      <c r="E1736" s="787">
        <v>0</v>
      </c>
      <c r="H1736" s="787">
        <v>1</v>
      </c>
      <c r="L1736" s="787">
        <v>1</v>
      </c>
      <c r="M1736" s="787">
        <v>20</v>
      </c>
      <c r="N1736" s="787">
        <v>1.08</v>
      </c>
      <c r="O1736" s="788">
        <v>41955</v>
      </c>
    </row>
    <row r="1737" spans="1:15" x14ac:dyDescent="0.25">
      <c r="A1737" s="786" t="s">
        <v>3922</v>
      </c>
      <c r="B1737" s="787">
        <v>4</v>
      </c>
      <c r="C1737" s="787" t="s">
        <v>3923</v>
      </c>
      <c r="D1737" s="787">
        <v>0</v>
      </c>
      <c r="E1737" s="787">
        <v>0</v>
      </c>
      <c r="G1737" s="788">
        <v>42128</v>
      </c>
      <c r="H1737" s="787">
        <v>1</v>
      </c>
      <c r="I1737" s="788">
        <v>42166</v>
      </c>
      <c r="J1737" s="788">
        <v>42152</v>
      </c>
      <c r="L1737" s="787">
        <v>2.6</v>
      </c>
      <c r="M1737" s="787">
        <v>20</v>
      </c>
      <c r="N1737" s="787">
        <v>2.8</v>
      </c>
      <c r="O1737" s="788">
        <v>42152</v>
      </c>
    </row>
    <row r="1738" spans="1:15" x14ac:dyDescent="0.25">
      <c r="A1738" s="786" t="s">
        <v>3924</v>
      </c>
      <c r="B1738" s="787">
        <v>4</v>
      </c>
      <c r="C1738" s="787" t="s">
        <v>3903</v>
      </c>
      <c r="D1738" s="787">
        <v>0</v>
      </c>
      <c r="E1738" s="787">
        <v>0</v>
      </c>
      <c r="H1738" s="787">
        <v>1</v>
      </c>
      <c r="L1738" s="787">
        <v>3</v>
      </c>
      <c r="M1738" s="787">
        <v>20</v>
      </c>
      <c r="N1738" s="787">
        <v>3.23</v>
      </c>
      <c r="O1738" s="788">
        <v>41955</v>
      </c>
    </row>
    <row r="1739" spans="1:15" x14ac:dyDescent="0.25">
      <c r="A1739" s="786" t="s">
        <v>3925</v>
      </c>
      <c r="B1739" s="787">
        <v>4</v>
      </c>
      <c r="C1739" s="787" t="s">
        <v>3926</v>
      </c>
      <c r="D1739" s="787">
        <v>0</v>
      </c>
      <c r="E1739" s="787">
        <v>0</v>
      </c>
      <c r="H1739" s="787">
        <v>1</v>
      </c>
      <c r="I1739" s="788">
        <v>42073</v>
      </c>
      <c r="K1739" s="788">
        <v>40981</v>
      </c>
      <c r="L1739" s="787">
        <v>3.5</v>
      </c>
      <c r="M1739" s="787">
        <v>20</v>
      </c>
      <c r="N1739" s="787">
        <v>3.76</v>
      </c>
      <c r="O1739" s="788">
        <v>41995</v>
      </c>
    </row>
    <row r="1740" spans="1:15" x14ac:dyDescent="0.25">
      <c r="A1740" s="786" t="s">
        <v>3927</v>
      </c>
      <c r="B1740" s="787">
        <v>4</v>
      </c>
      <c r="C1740" s="787" t="s">
        <v>3923</v>
      </c>
      <c r="D1740" s="787">
        <v>0</v>
      </c>
      <c r="E1740" s="787">
        <v>0</v>
      </c>
      <c r="H1740" s="787">
        <v>1</v>
      </c>
      <c r="K1740" s="788">
        <v>41360</v>
      </c>
      <c r="L1740" s="787">
        <v>4</v>
      </c>
      <c r="M1740" s="787">
        <v>20</v>
      </c>
      <c r="N1740" s="787">
        <v>4.3</v>
      </c>
      <c r="O1740" s="788">
        <v>41955</v>
      </c>
    </row>
    <row r="1741" spans="1:15" x14ac:dyDescent="0.25">
      <c r="A1741" s="786" t="s">
        <v>3928</v>
      </c>
      <c r="B1741" s="787">
        <v>4</v>
      </c>
      <c r="C1741" s="787" t="s">
        <v>3929</v>
      </c>
      <c r="D1741" s="787">
        <v>0</v>
      </c>
      <c r="E1741" s="787">
        <v>0</v>
      </c>
      <c r="H1741" s="787">
        <v>1</v>
      </c>
      <c r="I1741" s="788">
        <v>41907</v>
      </c>
      <c r="J1741" s="788">
        <v>41908</v>
      </c>
      <c r="L1741" s="787">
        <v>2.9</v>
      </c>
      <c r="M1741" s="787">
        <v>20</v>
      </c>
      <c r="N1741" s="787">
        <v>2.9</v>
      </c>
    </row>
    <row r="1742" spans="1:15" x14ac:dyDescent="0.25">
      <c r="A1742" s="786" t="s">
        <v>3930</v>
      </c>
      <c r="B1742" s="787">
        <v>4</v>
      </c>
      <c r="C1742" s="787" t="s">
        <v>1066</v>
      </c>
      <c r="D1742" s="787">
        <v>0</v>
      </c>
      <c r="E1742" s="787">
        <v>0</v>
      </c>
      <c r="G1742" s="787" t="s">
        <v>1067</v>
      </c>
      <c r="H1742" s="787">
        <v>1</v>
      </c>
      <c r="L1742" s="787">
        <v>0</v>
      </c>
      <c r="M1742" s="787">
        <v>10</v>
      </c>
      <c r="N1742" s="787">
        <v>217.35</v>
      </c>
      <c r="O1742" s="788">
        <v>40705</v>
      </c>
    </row>
    <row r="1743" spans="1:15" x14ac:dyDescent="0.25">
      <c r="A1743" s="786" t="s">
        <v>3931</v>
      </c>
      <c r="B1743" s="787">
        <v>4</v>
      </c>
      <c r="C1743" s="787" t="s">
        <v>3932</v>
      </c>
      <c r="D1743" s="787">
        <v>0.34</v>
      </c>
      <c r="E1743" s="787">
        <v>0.46</v>
      </c>
      <c r="F1743" s="788">
        <v>39101</v>
      </c>
      <c r="G1743" s="788">
        <v>42156</v>
      </c>
      <c r="H1743" s="787">
        <v>1</v>
      </c>
      <c r="I1743" s="788">
        <v>42160</v>
      </c>
      <c r="J1743" s="788">
        <v>42145</v>
      </c>
      <c r="L1743" s="787">
        <v>0.37</v>
      </c>
      <c r="M1743" s="787">
        <v>20</v>
      </c>
      <c r="N1743" s="787">
        <v>0.4</v>
      </c>
      <c r="O1743" s="788">
        <v>42164</v>
      </c>
    </row>
    <row r="1744" spans="1:15" x14ac:dyDescent="0.25">
      <c r="A1744" s="786" t="s">
        <v>3933</v>
      </c>
      <c r="B1744" s="787">
        <v>4</v>
      </c>
      <c r="C1744" s="787" t="s">
        <v>3932</v>
      </c>
      <c r="D1744" s="787">
        <v>0</v>
      </c>
      <c r="E1744" s="787">
        <v>0</v>
      </c>
      <c r="H1744" s="787">
        <v>1</v>
      </c>
      <c r="J1744" s="788">
        <v>37637</v>
      </c>
      <c r="L1744" s="787">
        <v>0</v>
      </c>
      <c r="M1744" s="787">
        <v>20</v>
      </c>
      <c r="N1744" s="787">
        <v>0</v>
      </c>
      <c r="O1744" s="788">
        <v>40824</v>
      </c>
    </row>
    <row r="1745" spans="1:15" x14ac:dyDescent="0.25">
      <c r="A1745" s="786" t="s">
        <v>3934</v>
      </c>
      <c r="B1745" s="787">
        <v>4</v>
      </c>
      <c r="C1745" s="787" t="s">
        <v>3932</v>
      </c>
      <c r="D1745" s="787">
        <v>0.02</v>
      </c>
      <c r="E1745" s="787">
        <v>0.02</v>
      </c>
      <c r="F1745" s="788">
        <v>39101</v>
      </c>
      <c r="G1745" s="788">
        <v>39101</v>
      </c>
      <c r="H1745" s="787">
        <v>1</v>
      </c>
      <c r="I1745" s="788">
        <v>42160</v>
      </c>
      <c r="J1745" s="788">
        <v>39149</v>
      </c>
      <c r="L1745" s="787">
        <v>0.02</v>
      </c>
      <c r="M1745" s="787">
        <v>20</v>
      </c>
      <c r="N1745" s="787">
        <v>0.02</v>
      </c>
      <c r="O1745" s="788">
        <v>42164</v>
      </c>
    </row>
    <row r="1746" spans="1:15" x14ac:dyDescent="0.25">
      <c r="A1746" s="786" t="s">
        <v>3935</v>
      </c>
      <c r="B1746" s="787">
        <v>4</v>
      </c>
      <c r="C1746" s="787" t="s">
        <v>3932</v>
      </c>
      <c r="D1746" s="787">
        <v>0</v>
      </c>
      <c r="E1746" s="787">
        <v>0</v>
      </c>
      <c r="F1746" s="788">
        <v>39975</v>
      </c>
      <c r="G1746" s="788">
        <v>42017</v>
      </c>
      <c r="H1746" s="787">
        <v>1</v>
      </c>
      <c r="I1746" s="788">
        <v>42164</v>
      </c>
      <c r="J1746" s="788">
        <v>39149</v>
      </c>
      <c r="K1746" s="788">
        <v>39854</v>
      </c>
      <c r="L1746" s="787">
        <v>0.2</v>
      </c>
      <c r="M1746" s="787">
        <v>20</v>
      </c>
      <c r="N1746" s="787">
        <v>0.22</v>
      </c>
      <c r="O1746" s="788">
        <v>42152</v>
      </c>
    </row>
    <row r="1747" spans="1:15" x14ac:dyDescent="0.25">
      <c r="A1747" s="786" t="s">
        <v>3936</v>
      </c>
      <c r="B1747" s="787">
        <v>4</v>
      </c>
      <c r="C1747" s="787" t="s">
        <v>3932</v>
      </c>
      <c r="D1747" s="787">
        <v>0</v>
      </c>
      <c r="E1747" s="787">
        <v>0</v>
      </c>
      <c r="G1747" s="788">
        <v>42017</v>
      </c>
      <c r="H1747" s="787">
        <v>1</v>
      </c>
      <c r="I1747" s="788">
        <v>41876</v>
      </c>
      <c r="J1747" s="788">
        <v>41890</v>
      </c>
      <c r="L1747" s="787">
        <v>0.8</v>
      </c>
      <c r="M1747" s="787">
        <v>20</v>
      </c>
      <c r="N1747" s="787">
        <v>0.86</v>
      </c>
      <c r="O1747" s="788">
        <v>42060</v>
      </c>
    </row>
    <row r="1748" spans="1:15" x14ac:dyDescent="0.25">
      <c r="A1748" s="786" t="s">
        <v>3937</v>
      </c>
      <c r="B1748" s="787">
        <v>4</v>
      </c>
      <c r="C1748" s="787" t="s">
        <v>3932</v>
      </c>
      <c r="D1748" s="787">
        <v>0.22</v>
      </c>
      <c r="E1748" s="787">
        <v>0.22</v>
      </c>
      <c r="F1748" s="788">
        <v>37637</v>
      </c>
      <c r="G1748" s="788">
        <v>37637</v>
      </c>
      <c r="H1748" s="787">
        <v>1</v>
      </c>
      <c r="J1748" s="788">
        <v>37637</v>
      </c>
      <c r="L1748" s="787">
        <v>0.24</v>
      </c>
      <c r="M1748" s="787">
        <v>20</v>
      </c>
      <c r="N1748" s="787">
        <v>0.26</v>
      </c>
      <c r="O1748" s="788">
        <v>41955</v>
      </c>
    </row>
    <row r="1749" spans="1:15" x14ac:dyDescent="0.25">
      <c r="A1749" s="786" t="s">
        <v>3938</v>
      </c>
      <c r="B1749" s="787">
        <v>4</v>
      </c>
      <c r="C1749" s="787" t="s">
        <v>3932</v>
      </c>
      <c r="D1749" s="787">
        <v>0.12</v>
      </c>
      <c r="E1749" s="787">
        <v>0.12</v>
      </c>
      <c r="F1749" s="788">
        <v>37637</v>
      </c>
      <c r="G1749" s="788">
        <v>37637</v>
      </c>
      <c r="H1749" s="787">
        <v>1</v>
      </c>
      <c r="J1749" s="788">
        <v>37637</v>
      </c>
      <c r="L1749" s="787">
        <v>0.13</v>
      </c>
      <c r="M1749" s="787">
        <v>20</v>
      </c>
      <c r="N1749" s="787">
        <v>0.14000000000000001</v>
      </c>
      <c r="O1749" s="788">
        <v>41955</v>
      </c>
    </row>
    <row r="1750" spans="1:15" x14ac:dyDescent="0.25">
      <c r="A1750" s="786" t="s">
        <v>3939</v>
      </c>
      <c r="B1750" s="787">
        <v>4</v>
      </c>
      <c r="C1750" s="787" t="s">
        <v>3940</v>
      </c>
      <c r="D1750" s="787">
        <v>0</v>
      </c>
      <c r="E1750" s="787">
        <v>0</v>
      </c>
      <c r="H1750" s="787">
        <v>1</v>
      </c>
      <c r="I1750" s="788">
        <v>42151</v>
      </c>
      <c r="L1750" s="787">
        <v>0.5</v>
      </c>
      <c r="M1750" s="787">
        <v>20</v>
      </c>
      <c r="N1750" s="787">
        <v>0.54</v>
      </c>
      <c r="O1750" s="788">
        <v>42115</v>
      </c>
    </row>
    <row r="1751" spans="1:15" x14ac:dyDescent="0.25">
      <c r="A1751" s="786" t="s">
        <v>3941</v>
      </c>
      <c r="B1751" s="787">
        <v>4</v>
      </c>
      <c r="C1751" s="787" t="s">
        <v>3942</v>
      </c>
      <c r="D1751" s="787">
        <v>0</v>
      </c>
      <c r="E1751" s="787">
        <v>0</v>
      </c>
      <c r="G1751" s="787" t="s">
        <v>1067</v>
      </c>
      <c r="H1751" s="787">
        <v>1</v>
      </c>
      <c r="L1751" s="787">
        <v>0</v>
      </c>
      <c r="M1751" s="787">
        <v>20</v>
      </c>
      <c r="N1751" s="787">
        <v>0</v>
      </c>
      <c r="O1751" s="788">
        <v>40824</v>
      </c>
    </row>
    <row r="1752" spans="1:15" x14ac:dyDescent="0.25">
      <c r="A1752" s="786" t="s">
        <v>3943</v>
      </c>
      <c r="B1752" s="787">
        <v>4</v>
      </c>
      <c r="C1752" s="787" t="s">
        <v>3944</v>
      </c>
      <c r="D1752" s="787">
        <v>0</v>
      </c>
      <c r="E1752" s="787">
        <v>0</v>
      </c>
      <c r="F1752" s="788">
        <v>39898</v>
      </c>
      <c r="G1752" s="788">
        <v>40358</v>
      </c>
      <c r="H1752" s="787">
        <v>1</v>
      </c>
      <c r="I1752" s="788">
        <v>42160</v>
      </c>
      <c r="J1752" s="788">
        <v>39149</v>
      </c>
      <c r="K1752" s="788">
        <v>39854</v>
      </c>
      <c r="L1752" s="787">
        <v>0.19</v>
      </c>
      <c r="M1752" s="787">
        <v>20</v>
      </c>
      <c r="N1752" s="787">
        <v>0.2</v>
      </c>
      <c r="O1752" s="788">
        <v>42164</v>
      </c>
    </row>
    <row r="1753" spans="1:15" x14ac:dyDescent="0.25">
      <c r="A1753" s="786" t="s">
        <v>3945</v>
      </c>
      <c r="B1753" s="787">
        <v>4</v>
      </c>
      <c r="C1753" s="787" t="s">
        <v>3944</v>
      </c>
      <c r="D1753" s="787">
        <v>0.12</v>
      </c>
      <c r="E1753" s="787">
        <v>0.12</v>
      </c>
      <c r="F1753" s="788">
        <v>37637</v>
      </c>
      <c r="G1753" s="788">
        <v>37637</v>
      </c>
      <c r="H1753" s="787">
        <v>1</v>
      </c>
      <c r="J1753" s="788">
        <v>37637</v>
      </c>
      <c r="L1753" s="787">
        <v>0.13</v>
      </c>
      <c r="M1753" s="787">
        <v>20</v>
      </c>
      <c r="N1753" s="787">
        <v>0.14000000000000001</v>
      </c>
      <c r="O1753" s="788">
        <v>41955</v>
      </c>
    </row>
    <row r="1754" spans="1:15" x14ac:dyDescent="0.25">
      <c r="A1754" s="786" t="s">
        <v>3946</v>
      </c>
      <c r="B1754" s="787">
        <v>4</v>
      </c>
      <c r="C1754" s="787" t="s">
        <v>3944</v>
      </c>
      <c r="D1754" s="787">
        <v>0</v>
      </c>
      <c r="E1754" s="787">
        <v>0</v>
      </c>
      <c r="G1754" s="788">
        <v>41766</v>
      </c>
      <c r="H1754" s="787">
        <v>1</v>
      </c>
      <c r="I1754" s="788">
        <v>42160</v>
      </c>
      <c r="J1754" s="788">
        <v>41766</v>
      </c>
      <c r="K1754" s="788">
        <v>40892</v>
      </c>
      <c r="L1754" s="787">
        <v>0.08</v>
      </c>
      <c r="M1754" s="787">
        <v>20</v>
      </c>
      <c r="N1754" s="787">
        <v>0.09</v>
      </c>
      <c r="O1754" s="788">
        <v>42164</v>
      </c>
    </row>
    <row r="1755" spans="1:15" x14ac:dyDescent="0.25">
      <c r="A1755" s="786" t="s">
        <v>3947</v>
      </c>
      <c r="B1755" s="787">
        <v>4</v>
      </c>
      <c r="C1755" s="787" t="s">
        <v>3948</v>
      </c>
      <c r="D1755" s="787">
        <v>0.02</v>
      </c>
      <c r="E1755" s="787">
        <v>0.02</v>
      </c>
      <c r="F1755" s="788">
        <v>39101</v>
      </c>
      <c r="G1755" s="788">
        <v>39101</v>
      </c>
      <c r="H1755" s="787">
        <v>1</v>
      </c>
      <c r="I1755" s="788">
        <v>40693</v>
      </c>
      <c r="J1755" s="788">
        <v>39101</v>
      </c>
      <c r="L1755" s="787">
        <v>0.02</v>
      </c>
      <c r="M1755" s="787">
        <v>20</v>
      </c>
      <c r="N1755" s="787">
        <v>0.02</v>
      </c>
      <c r="O1755" s="788">
        <v>42135</v>
      </c>
    </row>
    <row r="1756" spans="1:15" x14ac:dyDescent="0.25">
      <c r="A1756" s="786" t="s">
        <v>3949</v>
      </c>
      <c r="B1756" s="787">
        <v>4</v>
      </c>
      <c r="C1756" s="787" t="s">
        <v>3950</v>
      </c>
      <c r="D1756" s="787">
        <v>0</v>
      </c>
      <c r="E1756" s="787">
        <v>0</v>
      </c>
      <c r="G1756" s="788">
        <v>41757</v>
      </c>
      <c r="H1756" s="787">
        <v>1</v>
      </c>
      <c r="I1756" s="788">
        <v>42137</v>
      </c>
      <c r="J1756" s="788">
        <v>41757</v>
      </c>
      <c r="K1756" s="788">
        <v>41261</v>
      </c>
      <c r="L1756" s="787">
        <v>0.01</v>
      </c>
      <c r="M1756" s="787">
        <v>20</v>
      </c>
      <c r="N1756" s="787">
        <v>0.01</v>
      </c>
      <c r="O1756" s="788">
        <v>42164</v>
      </c>
    </row>
    <row r="1757" spans="1:15" x14ac:dyDescent="0.25">
      <c r="A1757" s="786" t="s">
        <v>3951</v>
      </c>
      <c r="B1757" s="787">
        <v>4</v>
      </c>
      <c r="C1757" s="787" t="s">
        <v>3944</v>
      </c>
      <c r="D1757" s="787">
        <v>0.02</v>
      </c>
      <c r="E1757" s="787">
        <v>0.02</v>
      </c>
      <c r="F1757" s="788">
        <v>37637</v>
      </c>
      <c r="G1757" s="788">
        <v>37637</v>
      </c>
      <c r="H1757" s="787">
        <v>1</v>
      </c>
      <c r="I1757" s="788">
        <v>37142</v>
      </c>
      <c r="J1757" s="788">
        <v>37637</v>
      </c>
      <c r="L1757" s="787">
        <v>0.02</v>
      </c>
      <c r="M1757" s="787">
        <v>20</v>
      </c>
      <c r="N1757" s="787">
        <v>0.02</v>
      </c>
      <c r="O1757" s="788">
        <v>41955</v>
      </c>
    </row>
    <row r="1758" spans="1:15" x14ac:dyDescent="0.25">
      <c r="A1758" s="786" t="s">
        <v>3952</v>
      </c>
      <c r="B1758" s="787">
        <v>4</v>
      </c>
      <c r="C1758" s="787" t="s">
        <v>3953</v>
      </c>
      <c r="D1758" s="787">
        <v>0.12</v>
      </c>
      <c r="E1758" s="787">
        <v>0.12</v>
      </c>
      <c r="F1758" s="788">
        <v>39101</v>
      </c>
      <c r="G1758" s="788">
        <v>39101</v>
      </c>
      <c r="H1758" s="787">
        <v>6</v>
      </c>
      <c r="I1758" s="788">
        <v>39134</v>
      </c>
      <c r="J1758" s="788">
        <v>39149</v>
      </c>
      <c r="K1758" s="788">
        <v>41869</v>
      </c>
      <c r="L1758" s="787">
        <v>0.12</v>
      </c>
      <c r="M1758" s="787">
        <v>20</v>
      </c>
      <c r="N1758" s="787">
        <v>14.42</v>
      </c>
      <c r="O1758" s="788">
        <v>41858</v>
      </c>
    </row>
    <row r="1759" spans="1:15" x14ac:dyDescent="0.25">
      <c r="A1759" s="786" t="s">
        <v>3954</v>
      </c>
      <c r="B1759" s="787">
        <v>4</v>
      </c>
      <c r="C1759" s="787" t="s">
        <v>3944</v>
      </c>
      <c r="D1759" s="787">
        <v>0.03</v>
      </c>
      <c r="E1759" s="787">
        <v>0.03</v>
      </c>
      <c r="F1759" s="788">
        <v>37637</v>
      </c>
      <c r="G1759" s="788">
        <v>38736</v>
      </c>
      <c r="H1759" s="787">
        <v>1</v>
      </c>
      <c r="I1759" s="788">
        <v>39633</v>
      </c>
      <c r="J1759" s="788">
        <v>37637</v>
      </c>
      <c r="L1759" s="787">
        <v>0.03</v>
      </c>
      <c r="M1759" s="787">
        <v>20</v>
      </c>
      <c r="N1759" s="787">
        <v>0.03</v>
      </c>
      <c r="O1759" s="788">
        <v>41955</v>
      </c>
    </row>
    <row r="1760" spans="1:15" x14ac:dyDescent="0.25">
      <c r="A1760" s="786" t="s">
        <v>3955</v>
      </c>
      <c r="B1760" s="787">
        <v>4</v>
      </c>
      <c r="C1760" s="787" t="s">
        <v>3944</v>
      </c>
      <c r="D1760" s="787">
        <v>0.03</v>
      </c>
      <c r="E1760" s="787">
        <v>0.03</v>
      </c>
      <c r="F1760" s="788">
        <v>39101</v>
      </c>
      <c r="G1760" s="788">
        <v>39101</v>
      </c>
      <c r="H1760" s="787">
        <v>1</v>
      </c>
      <c r="I1760" s="788">
        <v>42163</v>
      </c>
      <c r="J1760" s="788">
        <v>39101</v>
      </c>
      <c r="L1760" s="787">
        <v>0.03</v>
      </c>
      <c r="M1760" s="787">
        <v>20</v>
      </c>
      <c r="N1760" s="787">
        <v>0.03</v>
      </c>
      <c r="O1760" s="788">
        <v>42163</v>
      </c>
    </row>
    <row r="1761" spans="1:15" x14ac:dyDescent="0.25">
      <c r="A1761" s="786" t="s">
        <v>3956</v>
      </c>
      <c r="B1761" s="787">
        <v>4</v>
      </c>
      <c r="C1761" s="787" t="s">
        <v>3944</v>
      </c>
      <c r="D1761" s="787">
        <v>0.14000000000000001</v>
      </c>
      <c r="E1761" s="787">
        <v>0.14000000000000001</v>
      </c>
      <c r="F1761" s="788">
        <v>37637</v>
      </c>
      <c r="G1761" s="788">
        <v>38736</v>
      </c>
      <c r="H1761" s="787">
        <v>1</v>
      </c>
      <c r="I1761" s="788">
        <v>39134</v>
      </c>
      <c r="J1761" s="788">
        <v>37637</v>
      </c>
      <c r="L1761" s="787">
        <v>0.15</v>
      </c>
      <c r="M1761" s="787">
        <v>20</v>
      </c>
      <c r="N1761" s="787">
        <v>0.16</v>
      </c>
      <c r="O1761" s="788">
        <v>41955</v>
      </c>
    </row>
    <row r="1762" spans="1:15" x14ac:dyDescent="0.25">
      <c r="A1762" s="786" t="s">
        <v>3957</v>
      </c>
      <c r="B1762" s="787">
        <v>4</v>
      </c>
      <c r="C1762" s="787" t="s">
        <v>3958</v>
      </c>
      <c r="D1762" s="787">
        <v>0</v>
      </c>
      <c r="E1762" s="787">
        <v>0</v>
      </c>
      <c r="H1762" s="787">
        <v>1</v>
      </c>
      <c r="I1762" s="788">
        <v>42164</v>
      </c>
      <c r="K1762" s="788">
        <v>40892</v>
      </c>
      <c r="L1762" s="787">
        <v>0.02</v>
      </c>
      <c r="M1762" s="787">
        <v>20</v>
      </c>
      <c r="N1762" s="787">
        <v>0.02</v>
      </c>
      <c r="O1762" s="788">
        <v>42164</v>
      </c>
    </row>
    <row r="1763" spans="1:15" x14ac:dyDescent="0.25">
      <c r="A1763" s="786" t="s">
        <v>3959</v>
      </c>
      <c r="B1763" s="787">
        <v>4</v>
      </c>
      <c r="C1763" s="787" t="s">
        <v>3944</v>
      </c>
      <c r="D1763" s="787">
        <v>0</v>
      </c>
      <c r="E1763" s="787">
        <v>0</v>
      </c>
      <c r="H1763" s="787">
        <v>1</v>
      </c>
      <c r="L1763" s="787">
        <v>0</v>
      </c>
      <c r="M1763" s="787">
        <v>20</v>
      </c>
      <c r="N1763" s="787">
        <v>0.01</v>
      </c>
      <c r="O1763" s="788">
        <v>41955</v>
      </c>
    </row>
    <row r="1764" spans="1:15" x14ac:dyDescent="0.25">
      <c r="A1764" s="786" t="s">
        <v>3960</v>
      </c>
      <c r="B1764" s="787">
        <v>4</v>
      </c>
      <c r="C1764" s="787" t="s">
        <v>3944</v>
      </c>
      <c r="D1764" s="787">
        <v>0</v>
      </c>
      <c r="E1764" s="787">
        <v>0</v>
      </c>
      <c r="H1764" s="787">
        <v>1</v>
      </c>
      <c r="L1764" s="787">
        <v>0</v>
      </c>
      <c r="M1764" s="787">
        <v>20</v>
      </c>
      <c r="N1764" s="787">
        <v>0</v>
      </c>
    </row>
    <row r="1765" spans="1:15" x14ac:dyDescent="0.25">
      <c r="A1765" s="786" t="s">
        <v>3961</v>
      </c>
      <c r="B1765" s="787">
        <v>4</v>
      </c>
      <c r="C1765" s="787" t="s">
        <v>3962</v>
      </c>
      <c r="D1765" s="787">
        <v>0.05</v>
      </c>
      <c r="E1765" s="787">
        <v>0.05</v>
      </c>
      <c r="F1765" s="788">
        <v>37637</v>
      </c>
      <c r="G1765" s="788">
        <v>38736</v>
      </c>
      <c r="H1765" s="787">
        <v>1</v>
      </c>
      <c r="I1765" s="788">
        <v>39134</v>
      </c>
      <c r="J1765" s="788">
        <v>37637</v>
      </c>
      <c r="L1765" s="787">
        <v>0.05</v>
      </c>
      <c r="M1765" s="787">
        <v>20</v>
      </c>
      <c r="N1765" s="787">
        <v>0.05</v>
      </c>
      <c r="O1765" s="788">
        <v>41955</v>
      </c>
    </row>
    <row r="1766" spans="1:15" x14ac:dyDescent="0.25">
      <c r="A1766" s="786" t="s">
        <v>3963</v>
      </c>
      <c r="B1766" s="787">
        <v>4</v>
      </c>
      <c r="C1766" s="787" t="s">
        <v>3962</v>
      </c>
      <c r="D1766" s="787">
        <v>0.05</v>
      </c>
      <c r="E1766" s="787">
        <v>0.05</v>
      </c>
      <c r="F1766" s="788">
        <v>39101</v>
      </c>
      <c r="G1766" s="788">
        <v>39101</v>
      </c>
      <c r="H1766" s="787">
        <v>1</v>
      </c>
      <c r="I1766" s="788">
        <v>39134</v>
      </c>
      <c r="J1766" s="788">
        <v>39149</v>
      </c>
      <c r="L1766" s="787">
        <v>0.05</v>
      </c>
      <c r="M1766" s="787">
        <v>20</v>
      </c>
      <c r="N1766" s="787">
        <v>0.05</v>
      </c>
      <c r="O1766" s="788">
        <v>41955</v>
      </c>
    </row>
    <row r="1767" spans="1:15" x14ac:dyDescent="0.25">
      <c r="A1767" s="786" t="s">
        <v>3964</v>
      </c>
      <c r="B1767" s="787">
        <v>4</v>
      </c>
      <c r="C1767" s="787" t="s">
        <v>3962</v>
      </c>
      <c r="D1767" s="787">
        <v>0.05</v>
      </c>
      <c r="E1767" s="787">
        <v>0.05</v>
      </c>
      <c r="F1767" s="788">
        <v>37637</v>
      </c>
      <c r="G1767" s="788">
        <v>37637</v>
      </c>
      <c r="H1767" s="787">
        <v>1</v>
      </c>
      <c r="J1767" s="788">
        <v>37637</v>
      </c>
      <c r="L1767" s="787">
        <v>0.05</v>
      </c>
      <c r="M1767" s="787">
        <v>20</v>
      </c>
      <c r="N1767" s="787">
        <v>0.05</v>
      </c>
      <c r="O1767" s="788">
        <v>41955</v>
      </c>
    </row>
    <row r="1768" spans="1:15" x14ac:dyDescent="0.25">
      <c r="A1768" s="786" t="s">
        <v>3965</v>
      </c>
      <c r="B1768" s="787">
        <v>4</v>
      </c>
      <c r="C1768" s="787" t="s">
        <v>3966</v>
      </c>
      <c r="D1768" s="787">
        <v>1.77</v>
      </c>
      <c r="E1768" s="787">
        <v>1.77</v>
      </c>
      <c r="F1768" s="788">
        <v>39101</v>
      </c>
      <c r="G1768" s="788">
        <v>39101</v>
      </c>
      <c r="H1768" s="787">
        <v>1</v>
      </c>
      <c r="I1768" s="788">
        <v>38946</v>
      </c>
      <c r="J1768" s="788">
        <v>39101</v>
      </c>
      <c r="K1768" s="788">
        <v>38553</v>
      </c>
      <c r="L1768" s="787">
        <v>1.93</v>
      </c>
      <c r="M1768" s="787">
        <v>20</v>
      </c>
      <c r="N1768" s="787">
        <v>2.0699999999999998</v>
      </c>
      <c r="O1768" s="788">
        <v>41955</v>
      </c>
    </row>
    <row r="1769" spans="1:15" x14ac:dyDescent="0.25">
      <c r="A1769" s="786" t="s">
        <v>3967</v>
      </c>
      <c r="B1769" s="787">
        <v>4</v>
      </c>
      <c r="C1769" s="787" t="s">
        <v>3968</v>
      </c>
      <c r="D1769" s="787">
        <v>0</v>
      </c>
      <c r="E1769" s="787">
        <v>0</v>
      </c>
      <c r="H1769" s="787">
        <v>1</v>
      </c>
      <c r="I1769" s="788">
        <v>41731</v>
      </c>
      <c r="K1769" s="788">
        <v>41722</v>
      </c>
      <c r="L1769" s="787">
        <v>28</v>
      </c>
      <c r="M1769" s="787">
        <v>20</v>
      </c>
      <c r="N1769" s="787">
        <v>30.1</v>
      </c>
      <c r="O1769" s="788">
        <v>41955</v>
      </c>
    </row>
    <row r="1770" spans="1:15" x14ac:dyDescent="0.25">
      <c r="A1770" s="786" t="s">
        <v>3969</v>
      </c>
      <c r="B1770" s="787">
        <v>4</v>
      </c>
      <c r="C1770" s="787" t="s">
        <v>1069</v>
      </c>
      <c r="D1770" s="787">
        <v>0</v>
      </c>
      <c r="E1770" s="787">
        <v>0</v>
      </c>
      <c r="G1770" s="787" t="s">
        <v>1067</v>
      </c>
      <c r="H1770" s="787">
        <v>1</v>
      </c>
      <c r="L1770" s="787">
        <v>0</v>
      </c>
      <c r="M1770" s="787">
        <v>10</v>
      </c>
      <c r="N1770" s="787">
        <v>548.09</v>
      </c>
      <c r="O1770" s="788">
        <v>40733</v>
      </c>
    </row>
    <row r="1771" spans="1:15" x14ac:dyDescent="0.25">
      <c r="A1771" s="786" t="s">
        <v>3969</v>
      </c>
      <c r="B1771" s="787">
        <v>4</v>
      </c>
      <c r="C1771" s="787" t="s">
        <v>1069</v>
      </c>
      <c r="D1771" s="787">
        <v>0</v>
      </c>
      <c r="E1771" s="787">
        <v>0</v>
      </c>
      <c r="G1771" s="787" t="s">
        <v>1067</v>
      </c>
      <c r="H1771" s="787">
        <v>1</v>
      </c>
      <c r="L1771" s="787">
        <v>0</v>
      </c>
      <c r="M1771" s="787">
        <v>10</v>
      </c>
      <c r="N1771" s="787">
        <v>548.09</v>
      </c>
      <c r="O1771" s="788">
        <v>40733</v>
      </c>
    </row>
    <row r="1772" spans="1:15" x14ac:dyDescent="0.25">
      <c r="A1772" s="786" t="s">
        <v>3970</v>
      </c>
      <c r="B1772" s="787">
        <v>4</v>
      </c>
      <c r="C1772" s="787" t="s">
        <v>3971</v>
      </c>
      <c r="D1772" s="787">
        <v>0.1</v>
      </c>
      <c r="E1772" s="787">
        <v>0.11</v>
      </c>
      <c r="F1772" s="788">
        <v>40833</v>
      </c>
      <c r="G1772" s="788">
        <v>42013</v>
      </c>
      <c r="H1772" s="787">
        <v>1</v>
      </c>
      <c r="I1772" s="788">
        <v>42160</v>
      </c>
      <c r="J1772" s="788">
        <v>41821</v>
      </c>
      <c r="K1772" s="788">
        <v>40035</v>
      </c>
      <c r="L1772" s="787">
        <v>0.1</v>
      </c>
      <c r="M1772" s="787">
        <v>20</v>
      </c>
      <c r="N1772" s="787">
        <v>0.11</v>
      </c>
      <c r="O1772" s="788">
        <v>42164</v>
      </c>
    </row>
    <row r="1773" spans="1:15" x14ac:dyDescent="0.25">
      <c r="A1773" s="786" t="s">
        <v>3972</v>
      </c>
      <c r="B1773" s="787">
        <v>4</v>
      </c>
      <c r="C1773" s="787" t="s">
        <v>3973</v>
      </c>
      <c r="D1773" s="787">
        <v>0.74</v>
      </c>
      <c r="E1773" s="787">
        <v>1.46</v>
      </c>
      <c r="F1773" s="788">
        <v>39297</v>
      </c>
      <c r="G1773" s="788">
        <v>42013</v>
      </c>
      <c r="H1773" s="787">
        <v>1</v>
      </c>
      <c r="I1773" s="788">
        <v>42160</v>
      </c>
      <c r="J1773" s="788">
        <v>41792</v>
      </c>
      <c r="L1773" s="787">
        <v>1.25</v>
      </c>
      <c r="M1773" s="787">
        <v>20</v>
      </c>
      <c r="N1773" s="787">
        <v>1.34</v>
      </c>
      <c r="O1773" s="788">
        <v>42164</v>
      </c>
    </row>
    <row r="1774" spans="1:15" x14ac:dyDescent="0.25">
      <c r="A1774" s="786" t="s">
        <v>3974</v>
      </c>
      <c r="B1774" s="787">
        <v>4</v>
      </c>
      <c r="C1774" s="787" t="s">
        <v>3975</v>
      </c>
      <c r="D1774" s="787">
        <v>0.1</v>
      </c>
      <c r="E1774" s="787">
        <v>0.12</v>
      </c>
      <c r="F1774" s="788">
        <v>39926</v>
      </c>
      <c r="G1774" s="788">
        <v>42013</v>
      </c>
      <c r="H1774" s="787">
        <v>1</v>
      </c>
      <c r="I1774" s="788">
        <v>42160</v>
      </c>
      <c r="J1774" s="788">
        <v>41936</v>
      </c>
      <c r="K1774" s="788">
        <v>41691</v>
      </c>
      <c r="L1774" s="787">
        <v>0.1</v>
      </c>
      <c r="M1774" s="787">
        <v>20</v>
      </c>
      <c r="N1774" s="787">
        <v>0.11</v>
      </c>
      <c r="O1774" s="788">
        <v>42162</v>
      </c>
    </row>
    <row r="1775" spans="1:15" x14ac:dyDescent="0.25">
      <c r="A1775" s="786" t="s">
        <v>3976</v>
      </c>
      <c r="B1775" s="787">
        <v>4</v>
      </c>
      <c r="C1775" s="787" t="s">
        <v>3977</v>
      </c>
      <c r="D1775" s="787">
        <v>1.95</v>
      </c>
      <c r="E1775" s="787">
        <v>3.79</v>
      </c>
      <c r="F1775" s="788">
        <v>39101</v>
      </c>
      <c r="G1775" s="788">
        <v>42046</v>
      </c>
      <c r="H1775" s="787">
        <v>1</v>
      </c>
      <c r="I1775" s="788">
        <v>42160</v>
      </c>
      <c r="J1775" s="788">
        <v>42041</v>
      </c>
      <c r="L1775" s="787">
        <v>2.61</v>
      </c>
      <c r="M1775" s="787">
        <v>20</v>
      </c>
      <c r="N1775" s="787">
        <v>2.81</v>
      </c>
      <c r="O1775" s="788">
        <v>42164</v>
      </c>
    </row>
    <row r="1776" spans="1:15" x14ac:dyDescent="0.25">
      <c r="A1776" s="786" t="s">
        <v>3978</v>
      </c>
      <c r="B1776" s="787">
        <v>4</v>
      </c>
      <c r="C1776" s="787" t="s">
        <v>3979</v>
      </c>
      <c r="D1776" s="787">
        <v>3.7</v>
      </c>
      <c r="E1776" s="787">
        <v>13.7</v>
      </c>
      <c r="F1776" s="788">
        <v>39456</v>
      </c>
      <c r="G1776" s="788">
        <v>42013</v>
      </c>
      <c r="H1776" s="787">
        <v>1</v>
      </c>
      <c r="I1776" s="788">
        <v>41767</v>
      </c>
      <c r="J1776" s="788">
        <v>40032</v>
      </c>
      <c r="L1776" s="787">
        <v>14.67</v>
      </c>
      <c r="M1776" s="787">
        <v>10</v>
      </c>
      <c r="N1776" s="787">
        <v>21.85</v>
      </c>
      <c r="O1776" s="788">
        <v>42162</v>
      </c>
    </row>
    <row r="1777" spans="1:15" x14ac:dyDescent="0.25">
      <c r="A1777" s="786" t="s">
        <v>3980</v>
      </c>
      <c r="B1777" s="787">
        <v>4</v>
      </c>
      <c r="C1777" s="787" t="s">
        <v>3981</v>
      </c>
      <c r="D1777" s="787">
        <v>0.41</v>
      </c>
      <c r="E1777" s="787">
        <v>0.45</v>
      </c>
      <c r="F1777" s="788">
        <v>39356</v>
      </c>
      <c r="G1777" s="788">
        <v>42145</v>
      </c>
      <c r="H1777" s="787">
        <v>1</v>
      </c>
      <c r="I1777" s="788">
        <v>42166</v>
      </c>
      <c r="J1777" s="788">
        <v>42124</v>
      </c>
      <c r="L1777" s="787">
        <v>0.44</v>
      </c>
      <c r="M1777" s="787">
        <v>20</v>
      </c>
      <c r="N1777" s="787">
        <v>0.47</v>
      </c>
      <c r="O1777" s="788">
        <v>42152</v>
      </c>
    </row>
    <row r="1778" spans="1:15" x14ac:dyDescent="0.25">
      <c r="A1778" s="786" t="s">
        <v>3982</v>
      </c>
      <c r="B1778" s="787">
        <v>4</v>
      </c>
      <c r="C1778" s="787" t="s">
        <v>3983</v>
      </c>
      <c r="D1778" s="787">
        <v>0.28999999999999998</v>
      </c>
      <c r="E1778" s="787">
        <v>1.7</v>
      </c>
      <c r="F1778" s="788">
        <v>39101</v>
      </c>
      <c r="G1778" s="788">
        <v>41943</v>
      </c>
      <c r="H1778" s="787">
        <v>1</v>
      </c>
      <c r="I1778" s="788">
        <v>42074</v>
      </c>
      <c r="J1778" s="788">
        <v>42074</v>
      </c>
      <c r="K1778" s="788">
        <v>40374</v>
      </c>
      <c r="L1778" s="787">
        <v>1.6</v>
      </c>
      <c r="M1778" s="787">
        <v>20</v>
      </c>
      <c r="N1778" s="787">
        <v>1.72</v>
      </c>
      <c r="O1778" s="788">
        <v>42162</v>
      </c>
    </row>
    <row r="1779" spans="1:15" x14ac:dyDescent="0.25">
      <c r="A1779" s="786" t="s">
        <v>3984</v>
      </c>
      <c r="B1779" s="787">
        <v>4</v>
      </c>
      <c r="C1779" s="787" t="s">
        <v>3985</v>
      </c>
      <c r="D1779" s="787">
        <v>0.69</v>
      </c>
      <c r="E1779" s="787">
        <v>15.16</v>
      </c>
      <c r="F1779" s="788">
        <v>39752</v>
      </c>
      <c r="G1779" s="788">
        <v>42013</v>
      </c>
      <c r="H1779" s="787">
        <v>1</v>
      </c>
      <c r="I1779" s="788">
        <v>42027</v>
      </c>
      <c r="J1779" s="788">
        <v>41884</v>
      </c>
      <c r="L1779" s="787">
        <v>21.73</v>
      </c>
      <c r="M1779" s="787">
        <v>20</v>
      </c>
      <c r="N1779" s="787">
        <v>23.36</v>
      </c>
      <c r="O1779" s="788">
        <v>42162</v>
      </c>
    </row>
    <row r="1780" spans="1:15" x14ac:dyDescent="0.25">
      <c r="A1780" s="786" t="s">
        <v>3986</v>
      </c>
      <c r="B1780" s="787">
        <v>4</v>
      </c>
      <c r="C1780" s="787" t="s">
        <v>3987</v>
      </c>
      <c r="D1780" s="787">
        <v>2</v>
      </c>
      <c r="E1780" s="787">
        <v>2.5</v>
      </c>
      <c r="F1780" s="788">
        <v>39101</v>
      </c>
      <c r="G1780" s="788">
        <v>41428</v>
      </c>
      <c r="H1780" s="787">
        <v>1</v>
      </c>
      <c r="I1780" s="788">
        <v>42027</v>
      </c>
      <c r="J1780" s="788">
        <v>41429</v>
      </c>
      <c r="L1780" s="787">
        <v>2.1800000000000002</v>
      </c>
      <c r="M1780" s="787">
        <v>20</v>
      </c>
      <c r="N1780" s="787">
        <v>2.34</v>
      </c>
      <c r="O1780" s="788">
        <v>42162</v>
      </c>
    </row>
    <row r="1781" spans="1:15" x14ac:dyDescent="0.25">
      <c r="A1781" s="786" t="s">
        <v>3988</v>
      </c>
      <c r="B1781" s="787">
        <v>4</v>
      </c>
      <c r="C1781" s="787" t="s">
        <v>3989</v>
      </c>
      <c r="D1781" s="787">
        <v>0.23</v>
      </c>
      <c r="E1781" s="787">
        <v>0.24</v>
      </c>
      <c r="F1781" s="788">
        <v>39626</v>
      </c>
      <c r="G1781" s="788">
        <v>42090</v>
      </c>
      <c r="H1781" s="787">
        <v>1</v>
      </c>
      <c r="I1781" s="788">
        <v>42164</v>
      </c>
      <c r="J1781" s="788">
        <v>42090</v>
      </c>
      <c r="L1781" s="787">
        <v>0.25</v>
      </c>
      <c r="M1781" s="787">
        <v>20</v>
      </c>
      <c r="N1781" s="787">
        <v>0.27</v>
      </c>
      <c r="O1781" s="788">
        <v>42162</v>
      </c>
    </row>
    <row r="1782" spans="1:15" x14ac:dyDescent="0.25">
      <c r="A1782" s="786" t="s">
        <v>3990</v>
      </c>
      <c r="B1782" s="787">
        <v>4</v>
      </c>
      <c r="C1782" s="787" t="s">
        <v>3991</v>
      </c>
      <c r="D1782" s="787">
        <v>0.47</v>
      </c>
      <c r="E1782" s="787">
        <v>0.71</v>
      </c>
      <c r="F1782" s="788">
        <v>39101</v>
      </c>
      <c r="G1782" s="788">
        <v>42013</v>
      </c>
      <c r="H1782" s="787">
        <v>1</v>
      </c>
      <c r="I1782" s="788">
        <v>42111</v>
      </c>
      <c r="J1782" s="788">
        <v>41848</v>
      </c>
      <c r="K1782" s="788">
        <v>41906</v>
      </c>
      <c r="L1782" s="787">
        <v>0.71</v>
      </c>
      <c r="M1782" s="787">
        <v>20</v>
      </c>
      <c r="N1782" s="787">
        <v>0.76</v>
      </c>
      <c r="O1782" s="788">
        <v>41989</v>
      </c>
    </row>
    <row r="1783" spans="1:15" x14ac:dyDescent="0.25">
      <c r="A1783" s="786" t="s">
        <v>3992</v>
      </c>
      <c r="B1783" s="787">
        <v>4</v>
      </c>
      <c r="C1783" s="787" t="s">
        <v>3993</v>
      </c>
      <c r="D1783" s="787">
        <v>0.15</v>
      </c>
      <c r="E1783" s="787">
        <v>0.19</v>
      </c>
      <c r="F1783" s="788">
        <v>39101</v>
      </c>
      <c r="G1783" s="788">
        <v>42131</v>
      </c>
      <c r="H1783" s="787">
        <v>1</v>
      </c>
      <c r="I1783" s="788">
        <v>42165</v>
      </c>
      <c r="J1783" s="788">
        <v>42131</v>
      </c>
      <c r="L1783" s="787">
        <v>0.16</v>
      </c>
      <c r="M1783" s="787">
        <v>20</v>
      </c>
      <c r="N1783" s="787">
        <v>0.17</v>
      </c>
      <c r="O1783" s="788">
        <v>42162</v>
      </c>
    </row>
    <row r="1784" spans="1:15" x14ac:dyDescent="0.25">
      <c r="A1784" s="786" t="s">
        <v>3994</v>
      </c>
      <c r="B1784" s="787">
        <v>4</v>
      </c>
      <c r="C1784" s="787" t="s">
        <v>3995</v>
      </c>
      <c r="D1784" s="787">
        <v>0.53</v>
      </c>
      <c r="E1784" s="787">
        <v>0.54</v>
      </c>
      <c r="F1784" s="788">
        <v>39728</v>
      </c>
      <c r="G1784" s="788">
        <v>42013</v>
      </c>
      <c r="H1784" s="787">
        <v>1</v>
      </c>
      <c r="I1784" s="788">
        <v>42164</v>
      </c>
      <c r="J1784" s="788">
        <v>41908</v>
      </c>
      <c r="L1784" s="787">
        <v>0.56999999999999995</v>
      </c>
      <c r="M1784" s="787">
        <v>20</v>
      </c>
      <c r="N1784" s="787">
        <v>0.61</v>
      </c>
      <c r="O1784" s="788">
        <v>42159</v>
      </c>
    </row>
    <row r="1785" spans="1:15" x14ac:dyDescent="0.25">
      <c r="A1785" s="786" t="s">
        <v>3996</v>
      </c>
      <c r="B1785" s="787">
        <v>4</v>
      </c>
      <c r="C1785" s="787" t="s">
        <v>3997</v>
      </c>
      <c r="D1785" s="787">
        <v>0.13</v>
      </c>
      <c r="E1785" s="787">
        <v>0.14000000000000001</v>
      </c>
      <c r="F1785" s="788">
        <v>39799</v>
      </c>
      <c r="G1785" s="788">
        <v>42013</v>
      </c>
      <c r="H1785" s="787">
        <v>1</v>
      </c>
      <c r="I1785" s="788">
        <v>42108</v>
      </c>
      <c r="J1785" s="788">
        <v>40500</v>
      </c>
      <c r="L1785" s="787">
        <v>0.15</v>
      </c>
      <c r="M1785" s="787">
        <v>20</v>
      </c>
      <c r="N1785" s="787">
        <v>0.16</v>
      </c>
      <c r="O1785" s="788">
        <v>42159</v>
      </c>
    </row>
    <row r="1786" spans="1:15" x14ac:dyDescent="0.25">
      <c r="A1786" s="786" t="s">
        <v>3998</v>
      </c>
      <c r="B1786" s="787">
        <v>4</v>
      </c>
      <c r="C1786" s="787" t="s">
        <v>3999</v>
      </c>
      <c r="D1786" s="787">
        <v>0.09</v>
      </c>
      <c r="E1786" s="787">
        <v>0.09</v>
      </c>
      <c r="F1786" s="788">
        <v>39101</v>
      </c>
      <c r="G1786" s="788">
        <v>39101</v>
      </c>
      <c r="H1786" s="787">
        <v>1</v>
      </c>
      <c r="I1786" s="788">
        <v>42123</v>
      </c>
      <c r="J1786" s="788">
        <v>41605</v>
      </c>
      <c r="L1786" s="787">
        <v>0.1</v>
      </c>
      <c r="M1786" s="787">
        <v>20</v>
      </c>
      <c r="N1786" s="787">
        <v>0.11</v>
      </c>
      <c r="O1786" s="788">
        <v>42159</v>
      </c>
    </row>
    <row r="1787" spans="1:15" x14ac:dyDescent="0.25">
      <c r="A1787" s="786" t="s">
        <v>4000</v>
      </c>
      <c r="B1787" s="787">
        <v>4</v>
      </c>
      <c r="C1787" s="787" t="s">
        <v>4001</v>
      </c>
      <c r="D1787" s="787">
        <v>0.83</v>
      </c>
      <c r="E1787" s="787">
        <v>0.87</v>
      </c>
      <c r="F1787" s="788">
        <v>40494</v>
      </c>
      <c r="G1787" s="788">
        <v>42013</v>
      </c>
      <c r="H1787" s="787">
        <v>1</v>
      </c>
      <c r="I1787" s="788">
        <v>42121</v>
      </c>
      <c r="J1787" s="788">
        <v>41991</v>
      </c>
      <c r="L1787" s="787">
        <v>0.92</v>
      </c>
      <c r="M1787" s="787">
        <v>20</v>
      </c>
      <c r="N1787" s="787">
        <v>0.99</v>
      </c>
      <c r="O1787" s="788">
        <v>42146</v>
      </c>
    </row>
    <row r="1788" spans="1:15" x14ac:dyDescent="0.25">
      <c r="A1788" s="786" t="s">
        <v>4002</v>
      </c>
      <c r="B1788" s="787">
        <v>4</v>
      </c>
      <c r="C1788" s="787" t="s">
        <v>4003</v>
      </c>
      <c r="D1788" s="787">
        <v>0.65</v>
      </c>
      <c r="E1788" s="787">
        <v>0.65</v>
      </c>
      <c r="F1788" s="788">
        <v>37826</v>
      </c>
      <c r="G1788" s="788">
        <v>37826</v>
      </c>
      <c r="H1788" s="787">
        <v>1</v>
      </c>
      <c r="J1788" s="788">
        <v>37825</v>
      </c>
      <c r="L1788" s="787">
        <v>0.71</v>
      </c>
      <c r="M1788" s="787">
        <v>20</v>
      </c>
      <c r="N1788" s="787">
        <v>0.76</v>
      </c>
      <c r="O1788" s="788">
        <v>41955</v>
      </c>
    </row>
    <row r="1789" spans="1:15" x14ac:dyDescent="0.25">
      <c r="A1789" s="786" t="s">
        <v>4004</v>
      </c>
      <c r="B1789" s="787">
        <v>4</v>
      </c>
      <c r="C1789" s="787" t="s">
        <v>4005</v>
      </c>
      <c r="D1789" s="787">
        <v>1.71</v>
      </c>
      <c r="E1789" s="787">
        <v>1.71</v>
      </c>
      <c r="F1789" s="788">
        <v>37637</v>
      </c>
      <c r="G1789" s="788">
        <v>37637</v>
      </c>
      <c r="H1789" s="787">
        <v>6</v>
      </c>
      <c r="I1789" s="788">
        <v>39365</v>
      </c>
      <c r="J1789" s="788">
        <v>37637</v>
      </c>
      <c r="L1789" s="787">
        <v>1.86</v>
      </c>
      <c r="M1789" s="787">
        <v>20</v>
      </c>
      <c r="N1789" s="787">
        <v>1.84</v>
      </c>
      <c r="O1789" s="788">
        <v>41806</v>
      </c>
    </row>
    <row r="1790" spans="1:15" x14ac:dyDescent="0.25">
      <c r="A1790" s="786" t="s">
        <v>4006</v>
      </c>
      <c r="B1790" s="787">
        <v>4</v>
      </c>
      <c r="C1790" s="787" t="s">
        <v>4007</v>
      </c>
      <c r="D1790" s="787">
        <v>0.09</v>
      </c>
      <c r="E1790" s="787">
        <v>0.09</v>
      </c>
      <c r="F1790" s="788">
        <v>39101</v>
      </c>
      <c r="G1790" s="788">
        <v>39101</v>
      </c>
      <c r="H1790" s="787">
        <v>1</v>
      </c>
      <c r="I1790" s="788">
        <v>42164</v>
      </c>
      <c r="J1790" s="788">
        <v>41605</v>
      </c>
      <c r="L1790" s="787">
        <v>0.09</v>
      </c>
      <c r="M1790" s="787">
        <v>20</v>
      </c>
      <c r="N1790" s="787">
        <v>0.1</v>
      </c>
      <c r="O1790" s="788">
        <v>42159</v>
      </c>
    </row>
    <row r="1791" spans="1:15" x14ac:dyDescent="0.25">
      <c r="A1791" s="786" t="s">
        <v>4008</v>
      </c>
      <c r="B1791" s="787">
        <v>4</v>
      </c>
      <c r="C1791" s="787" t="s">
        <v>4009</v>
      </c>
      <c r="D1791" s="787">
        <v>0.55000000000000004</v>
      </c>
      <c r="E1791" s="787">
        <v>0.55000000000000004</v>
      </c>
      <c r="F1791" s="788">
        <v>39101</v>
      </c>
      <c r="G1791" s="788">
        <v>42013</v>
      </c>
      <c r="H1791" s="787">
        <v>1</v>
      </c>
      <c r="I1791" s="788">
        <v>42109</v>
      </c>
      <c r="J1791" s="788">
        <v>39149</v>
      </c>
      <c r="L1791" s="787">
        <v>0.47</v>
      </c>
      <c r="M1791" s="787">
        <v>10</v>
      </c>
      <c r="N1791" s="787">
        <v>1.96</v>
      </c>
      <c r="O1791" s="788">
        <v>42162</v>
      </c>
    </row>
    <row r="1792" spans="1:15" x14ac:dyDescent="0.25">
      <c r="A1792" s="786" t="s">
        <v>4010</v>
      </c>
      <c r="B1792" s="787">
        <v>4</v>
      </c>
      <c r="C1792" s="787" t="s">
        <v>4011</v>
      </c>
      <c r="D1792" s="787">
        <v>0.12</v>
      </c>
      <c r="E1792" s="787">
        <v>0.67</v>
      </c>
      <c r="F1792" s="788">
        <v>39101</v>
      </c>
      <c r="G1792" s="788">
        <v>41605</v>
      </c>
      <c r="H1792" s="787">
        <v>1</v>
      </c>
      <c r="I1792" s="788">
        <v>42164</v>
      </c>
      <c r="J1792" s="788">
        <v>41605</v>
      </c>
      <c r="K1792" s="788">
        <v>41865</v>
      </c>
      <c r="L1792" s="787">
        <v>0.8</v>
      </c>
      <c r="M1792" s="787">
        <v>20</v>
      </c>
      <c r="N1792" s="787">
        <v>0.86</v>
      </c>
      <c r="O1792" s="788">
        <v>42159</v>
      </c>
    </row>
    <row r="1793" spans="1:15" x14ac:dyDescent="0.25">
      <c r="A1793" s="786" t="s">
        <v>4012</v>
      </c>
      <c r="B1793" s="787">
        <v>4</v>
      </c>
      <c r="C1793" s="787" t="s">
        <v>4013</v>
      </c>
      <c r="D1793" s="787">
        <v>0.76</v>
      </c>
      <c r="E1793" s="787">
        <v>0.76</v>
      </c>
      <c r="F1793" s="788">
        <v>37637</v>
      </c>
      <c r="G1793" s="788">
        <v>37637</v>
      </c>
      <c r="H1793" s="787">
        <v>6</v>
      </c>
      <c r="J1793" s="788">
        <v>37637</v>
      </c>
      <c r="L1793" s="787">
        <v>0.45</v>
      </c>
      <c r="M1793" s="787">
        <v>10</v>
      </c>
      <c r="N1793" s="787">
        <v>1.07</v>
      </c>
      <c r="O1793" s="788">
        <v>41806</v>
      </c>
    </row>
    <row r="1794" spans="1:15" x14ac:dyDescent="0.25">
      <c r="A1794" s="786" t="s">
        <v>4014</v>
      </c>
      <c r="B1794" s="787">
        <v>4</v>
      </c>
      <c r="C1794" s="787" t="s">
        <v>4015</v>
      </c>
      <c r="D1794" s="787">
        <v>0.31</v>
      </c>
      <c r="E1794" s="787">
        <v>0.31</v>
      </c>
      <c r="F1794" s="788">
        <v>37637</v>
      </c>
      <c r="G1794" s="788">
        <v>38364</v>
      </c>
      <c r="H1794" s="787">
        <v>1</v>
      </c>
      <c r="I1794" s="788">
        <v>39591</v>
      </c>
      <c r="J1794" s="788">
        <v>37637</v>
      </c>
      <c r="L1794" s="787">
        <v>0.34</v>
      </c>
      <c r="M1794" s="787">
        <v>20</v>
      </c>
      <c r="N1794" s="787">
        <v>0.37</v>
      </c>
      <c r="O1794" s="788">
        <v>41955</v>
      </c>
    </row>
    <row r="1795" spans="1:15" x14ac:dyDescent="0.25">
      <c r="A1795" s="786" t="s">
        <v>4016</v>
      </c>
      <c r="B1795" s="787">
        <v>4</v>
      </c>
      <c r="C1795" s="787" t="s">
        <v>4017</v>
      </c>
      <c r="D1795" s="787">
        <v>0.17</v>
      </c>
      <c r="E1795" s="787">
        <v>0.68</v>
      </c>
      <c r="F1795" s="788">
        <v>38043</v>
      </c>
      <c r="G1795" s="788">
        <v>42013</v>
      </c>
      <c r="H1795" s="787">
        <v>5</v>
      </c>
      <c r="I1795" s="788">
        <v>39997</v>
      </c>
      <c r="J1795" s="788">
        <v>38098</v>
      </c>
      <c r="K1795" s="788">
        <v>41869</v>
      </c>
      <c r="L1795" s="787">
        <v>0.68</v>
      </c>
      <c r="M1795" s="787">
        <v>20</v>
      </c>
      <c r="N1795" s="787">
        <v>0.73</v>
      </c>
      <c r="O1795" s="788">
        <v>41955</v>
      </c>
    </row>
    <row r="1796" spans="1:15" x14ac:dyDescent="0.25">
      <c r="A1796" s="786" t="s">
        <v>4018</v>
      </c>
      <c r="B1796" s="787">
        <v>4</v>
      </c>
      <c r="C1796" s="787" t="s">
        <v>4019</v>
      </c>
      <c r="D1796" s="787">
        <v>1.1200000000000001</v>
      </c>
      <c r="E1796" s="787">
        <v>1.1200000000000001</v>
      </c>
      <c r="F1796" s="788">
        <v>38047</v>
      </c>
      <c r="G1796" s="788">
        <v>38364</v>
      </c>
      <c r="H1796" s="787">
        <v>1</v>
      </c>
      <c r="I1796" s="788">
        <v>41871</v>
      </c>
      <c r="J1796" s="788">
        <v>38047</v>
      </c>
      <c r="L1796" s="787">
        <v>1.22</v>
      </c>
      <c r="M1796" s="787">
        <v>20</v>
      </c>
      <c r="N1796" s="787">
        <v>1.31</v>
      </c>
      <c r="O1796" s="788">
        <v>41955</v>
      </c>
    </row>
    <row r="1797" spans="1:15" x14ac:dyDescent="0.25">
      <c r="A1797" s="786" t="s">
        <v>4020</v>
      </c>
      <c r="B1797" s="787">
        <v>4</v>
      </c>
      <c r="C1797" s="787" t="s">
        <v>4021</v>
      </c>
      <c r="D1797" s="787">
        <v>0.25</v>
      </c>
      <c r="E1797" s="787">
        <v>0.25</v>
      </c>
      <c r="F1797" s="788">
        <v>37663</v>
      </c>
      <c r="G1797" s="788">
        <v>42013</v>
      </c>
      <c r="H1797" s="787">
        <v>1</v>
      </c>
      <c r="I1797" s="788">
        <v>41115</v>
      </c>
      <c r="J1797" s="788">
        <v>37817</v>
      </c>
      <c r="L1797" s="787">
        <v>0.27</v>
      </c>
      <c r="M1797" s="787">
        <v>20</v>
      </c>
      <c r="N1797" s="787">
        <v>0.28999999999999998</v>
      </c>
      <c r="O1797" s="788">
        <v>41955</v>
      </c>
    </row>
    <row r="1798" spans="1:15" x14ac:dyDescent="0.25">
      <c r="A1798" s="786" t="s">
        <v>4022</v>
      </c>
      <c r="B1798" s="787">
        <v>4</v>
      </c>
      <c r="C1798" s="787" t="s">
        <v>4023</v>
      </c>
      <c r="D1798" s="787">
        <v>0.2</v>
      </c>
      <c r="E1798" s="787">
        <v>0.2</v>
      </c>
      <c r="F1798" s="788">
        <v>39975</v>
      </c>
      <c r="G1798" s="788">
        <v>42013</v>
      </c>
      <c r="H1798" s="787">
        <v>1</v>
      </c>
      <c r="I1798" s="788">
        <v>42051</v>
      </c>
      <c r="J1798" s="788">
        <v>39149</v>
      </c>
      <c r="L1798" s="787">
        <v>0.17</v>
      </c>
      <c r="M1798" s="787">
        <v>20</v>
      </c>
      <c r="N1798" s="787">
        <v>0.18</v>
      </c>
      <c r="O1798" s="788">
        <v>41955</v>
      </c>
    </row>
    <row r="1799" spans="1:15" x14ac:dyDescent="0.25">
      <c r="A1799" s="786" t="s">
        <v>4024</v>
      </c>
      <c r="B1799" s="787">
        <v>4</v>
      </c>
      <c r="C1799" s="787" t="s">
        <v>4025</v>
      </c>
      <c r="D1799" s="787">
        <v>0.28000000000000003</v>
      </c>
      <c r="E1799" s="787">
        <v>0.91</v>
      </c>
      <c r="F1799" s="788">
        <v>38047</v>
      </c>
      <c r="G1799" s="788">
        <v>42156</v>
      </c>
      <c r="H1799" s="787">
        <v>1</v>
      </c>
      <c r="I1799" s="788">
        <v>42166</v>
      </c>
      <c r="J1799" s="788">
        <v>42144</v>
      </c>
      <c r="L1799" s="787">
        <v>0.95</v>
      </c>
      <c r="M1799" s="787">
        <v>20</v>
      </c>
      <c r="N1799" s="787">
        <v>1.02</v>
      </c>
      <c r="O1799" s="788">
        <v>42164</v>
      </c>
    </row>
    <row r="1800" spans="1:15" x14ac:dyDescent="0.25">
      <c r="A1800" s="786" t="s">
        <v>4026</v>
      </c>
      <c r="B1800" s="787">
        <v>4</v>
      </c>
      <c r="C1800" s="787" t="s">
        <v>3977</v>
      </c>
      <c r="D1800" s="787">
        <v>2.15</v>
      </c>
      <c r="E1800" s="787">
        <v>11</v>
      </c>
      <c r="F1800" s="788">
        <v>37637</v>
      </c>
      <c r="G1800" s="788">
        <v>42013</v>
      </c>
      <c r="H1800" s="787">
        <v>1</v>
      </c>
      <c r="I1800" s="788">
        <v>42069</v>
      </c>
      <c r="J1800" s="788">
        <v>41989</v>
      </c>
      <c r="L1800" s="787">
        <v>13.3</v>
      </c>
      <c r="M1800" s="787">
        <v>20</v>
      </c>
      <c r="N1800" s="787">
        <v>14.3</v>
      </c>
      <c r="O1800" s="788">
        <v>42164</v>
      </c>
    </row>
    <row r="1801" spans="1:15" x14ac:dyDescent="0.25">
      <c r="A1801" s="786" t="s">
        <v>4027</v>
      </c>
      <c r="B1801" s="787">
        <v>4</v>
      </c>
      <c r="C1801" s="787" t="s">
        <v>4028</v>
      </c>
      <c r="D1801" s="787">
        <v>7.06</v>
      </c>
      <c r="E1801" s="787">
        <v>11.65</v>
      </c>
      <c r="F1801" s="788">
        <v>37637</v>
      </c>
      <c r="G1801" s="788">
        <v>38832</v>
      </c>
      <c r="H1801" s="787">
        <v>1</v>
      </c>
      <c r="I1801" s="788">
        <v>39800</v>
      </c>
      <c r="J1801" s="788">
        <v>38825</v>
      </c>
      <c r="L1801" s="787">
        <v>7.7</v>
      </c>
      <c r="M1801" s="787">
        <v>20</v>
      </c>
      <c r="N1801" s="787">
        <v>8.2799999999999994</v>
      </c>
      <c r="O1801" s="788">
        <v>41955</v>
      </c>
    </row>
    <row r="1802" spans="1:15" x14ac:dyDescent="0.25">
      <c r="A1802" s="786" t="s">
        <v>4029</v>
      </c>
      <c r="B1802" s="787">
        <v>4</v>
      </c>
      <c r="C1802" s="787" t="s">
        <v>4030</v>
      </c>
      <c r="D1802" s="787">
        <v>0.24</v>
      </c>
      <c r="E1802" s="787">
        <v>0.81</v>
      </c>
      <c r="F1802" s="788">
        <v>37743</v>
      </c>
      <c r="G1802" s="788">
        <v>42013</v>
      </c>
      <c r="H1802" s="787">
        <v>1</v>
      </c>
      <c r="I1802" s="788">
        <v>42069</v>
      </c>
      <c r="J1802" s="788">
        <v>41932</v>
      </c>
      <c r="K1802" s="788">
        <v>41401</v>
      </c>
      <c r="L1802" s="787">
        <v>0.8</v>
      </c>
      <c r="M1802" s="787">
        <v>20</v>
      </c>
      <c r="N1802" s="787">
        <v>0.86</v>
      </c>
      <c r="O1802" s="788">
        <v>41989</v>
      </c>
    </row>
    <row r="1803" spans="1:15" x14ac:dyDescent="0.25">
      <c r="A1803" s="786" t="s">
        <v>4031</v>
      </c>
      <c r="B1803" s="787">
        <v>4</v>
      </c>
      <c r="C1803" s="787" t="s">
        <v>4032</v>
      </c>
      <c r="D1803" s="787">
        <v>0</v>
      </c>
      <c r="E1803" s="787">
        <v>0</v>
      </c>
      <c r="H1803" s="787">
        <v>1</v>
      </c>
      <c r="J1803" s="788">
        <v>37637</v>
      </c>
      <c r="L1803" s="787">
        <v>0</v>
      </c>
      <c r="M1803" s="787">
        <v>20</v>
      </c>
      <c r="N1803" s="787">
        <v>0</v>
      </c>
      <c r="O1803" s="788">
        <v>40824</v>
      </c>
    </row>
    <row r="1804" spans="1:15" x14ac:dyDescent="0.25">
      <c r="A1804" s="786" t="s">
        <v>4033</v>
      </c>
      <c r="B1804" s="787">
        <v>4</v>
      </c>
      <c r="C1804" s="787" t="s">
        <v>4034</v>
      </c>
      <c r="D1804" s="787">
        <v>2.25</v>
      </c>
      <c r="E1804" s="787">
        <v>2.27</v>
      </c>
      <c r="F1804" s="788">
        <v>40520</v>
      </c>
      <c r="G1804" s="788">
        <v>42050</v>
      </c>
      <c r="H1804" s="787">
        <v>1</v>
      </c>
      <c r="I1804" s="788">
        <v>42163</v>
      </c>
      <c r="J1804" s="788">
        <v>42046</v>
      </c>
      <c r="L1804" s="787">
        <v>3.03</v>
      </c>
      <c r="M1804" s="787">
        <v>20</v>
      </c>
      <c r="N1804" s="787">
        <v>3.26</v>
      </c>
      <c r="O1804" s="788">
        <v>42163</v>
      </c>
    </row>
    <row r="1805" spans="1:15" x14ac:dyDescent="0.25">
      <c r="A1805" s="786" t="s">
        <v>4035</v>
      </c>
      <c r="B1805" s="787">
        <v>4</v>
      </c>
      <c r="C1805" s="787" t="s">
        <v>4036</v>
      </c>
      <c r="D1805" s="787">
        <v>1.74</v>
      </c>
      <c r="E1805" s="787">
        <v>1.74</v>
      </c>
      <c r="F1805" s="788">
        <v>37637</v>
      </c>
      <c r="G1805" s="788">
        <v>37637</v>
      </c>
      <c r="H1805" s="787">
        <v>1</v>
      </c>
      <c r="J1805" s="788">
        <v>37637</v>
      </c>
      <c r="L1805" s="787">
        <v>1.9</v>
      </c>
      <c r="M1805" s="787">
        <v>20</v>
      </c>
      <c r="N1805" s="787">
        <v>2.04</v>
      </c>
      <c r="O1805" s="788">
        <v>41955</v>
      </c>
    </row>
    <row r="1806" spans="1:15" x14ac:dyDescent="0.25">
      <c r="A1806" s="786" t="s">
        <v>4037</v>
      </c>
      <c r="B1806" s="787">
        <v>4</v>
      </c>
      <c r="C1806" s="787" t="s">
        <v>4038</v>
      </c>
      <c r="D1806" s="787">
        <v>1.25</v>
      </c>
      <c r="E1806" s="787">
        <v>1.25</v>
      </c>
      <c r="F1806" s="788">
        <v>37637</v>
      </c>
      <c r="G1806" s="788">
        <v>37637</v>
      </c>
      <c r="H1806" s="787">
        <v>1</v>
      </c>
      <c r="J1806" s="788">
        <v>37637</v>
      </c>
      <c r="L1806" s="787">
        <v>1.36</v>
      </c>
      <c r="M1806" s="787">
        <v>20</v>
      </c>
      <c r="N1806" s="787">
        <v>1.46</v>
      </c>
      <c r="O1806" s="788">
        <v>41955</v>
      </c>
    </row>
    <row r="1807" spans="1:15" x14ac:dyDescent="0.25">
      <c r="A1807" s="786" t="s">
        <v>4039</v>
      </c>
      <c r="B1807" s="787">
        <v>4</v>
      </c>
      <c r="C1807" s="787" t="s">
        <v>4040</v>
      </c>
      <c r="D1807" s="787">
        <v>0.51</v>
      </c>
      <c r="E1807" s="787">
        <v>0.51</v>
      </c>
      <c r="F1807" s="788">
        <v>37637</v>
      </c>
      <c r="G1807" s="788">
        <v>37637</v>
      </c>
      <c r="H1807" s="787">
        <v>1</v>
      </c>
      <c r="J1807" s="788">
        <v>37637</v>
      </c>
      <c r="L1807" s="787">
        <v>0.56000000000000005</v>
      </c>
      <c r="M1807" s="787">
        <v>20</v>
      </c>
      <c r="N1807" s="787">
        <v>0.6</v>
      </c>
      <c r="O1807" s="788">
        <v>41955</v>
      </c>
    </row>
    <row r="1808" spans="1:15" x14ac:dyDescent="0.25">
      <c r="A1808" s="786" t="s">
        <v>4041</v>
      </c>
      <c r="B1808" s="787">
        <v>4</v>
      </c>
      <c r="C1808" s="787" t="s">
        <v>4042</v>
      </c>
      <c r="D1808" s="787">
        <v>0.53</v>
      </c>
      <c r="E1808" s="787">
        <v>0.79</v>
      </c>
      <c r="F1808" s="788">
        <v>39101</v>
      </c>
      <c r="G1808" s="788">
        <v>42013</v>
      </c>
      <c r="H1808" s="787">
        <v>1</v>
      </c>
      <c r="I1808" s="788">
        <v>41775</v>
      </c>
      <c r="J1808" s="788">
        <v>39864</v>
      </c>
      <c r="L1808" s="787">
        <v>0.55000000000000004</v>
      </c>
      <c r="M1808" s="787">
        <v>20</v>
      </c>
      <c r="N1808" s="787">
        <v>0.59</v>
      </c>
      <c r="O1808" s="788">
        <v>42163</v>
      </c>
    </row>
    <row r="1809" spans="1:15" x14ac:dyDescent="0.25">
      <c r="A1809" s="786" t="s">
        <v>4043</v>
      </c>
      <c r="B1809" s="787">
        <v>4</v>
      </c>
      <c r="C1809" s="787" t="s">
        <v>4044</v>
      </c>
      <c r="D1809" s="787">
        <v>0.85</v>
      </c>
      <c r="E1809" s="787">
        <v>0.88</v>
      </c>
      <c r="F1809" s="788">
        <v>41613</v>
      </c>
      <c r="G1809" s="788">
        <v>42050</v>
      </c>
      <c r="H1809" s="787">
        <v>1</v>
      </c>
      <c r="I1809" s="788">
        <v>42163</v>
      </c>
      <c r="J1809" s="788">
        <v>42046</v>
      </c>
      <c r="K1809" s="788">
        <v>41869</v>
      </c>
      <c r="L1809" s="787">
        <v>0.85</v>
      </c>
      <c r="M1809" s="787">
        <v>20</v>
      </c>
      <c r="N1809" s="787">
        <v>0.91</v>
      </c>
      <c r="O1809" s="788">
        <v>42163</v>
      </c>
    </row>
    <row r="1810" spans="1:15" x14ac:dyDescent="0.25">
      <c r="A1810" s="786" t="s">
        <v>4045</v>
      </c>
      <c r="B1810" s="787">
        <v>4</v>
      </c>
      <c r="C1810" s="787" t="s">
        <v>4046</v>
      </c>
      <c r="D1810" s="787">
        <v>1.83</v>
      </c>
      <c r="E1810" s="787">
        <v>21.83</v>
      </c>
      <c r="F1810" s="788">
        <v>38047</v>
      </c>
      <c r="G1810" s="788">
        <v>38047</v>
      </c>
      <c r="H1810" s="787">
        <v>1</v>
      </c>
      <c r="I1810" s="788">
        <v>38133</v>
      </c>
      <c r="J1810" s="788">
        <v>38047</v>
      </c>
      <c r="L1810" s="787">
        <v>23.79</v>
      </c>
      <c r="M1810" s="787">
        <v>20</v>
      </c>
      <c r="N1810" s="787">
        <v>25.57</v>
      </c>
      <c r="O1810" s="788">
        <v>41955</v>
      </c>
    </row>
    <row r="1811" spans="1:15" x14ac:dyDescent="0.25">
      <c r="A1811" s="786" t="s">
        <v>4047</v>
      </c>
      <c r="B1811" s="787">
        <v>4</v>
      </c>
      <c r="C1811" s="787" t="s">
        <v>4048</v>
      </c>
      <c r="D1811" s="787">
        <v>9.11</v>
      </c>
      <c r="E1811" s="787">
        <v>69.11</v>
      </c>
      <c r="F1811" s="788">
        <v>37637</v>
      </c>
      <c r="G1811" s="788">
        <v>37637</v>
      </c>
      <c r="H1811" s="787">
        <v>1</v>
      </c>
      <c r="I1811" s="788">
        <v>37554</v>
      </c>
      <c r="J1811" s="788">
        <v>37637</v>
      </c>
      <c r="L1811" s="787">
        <v>75.33</v>
      </c>
      <c r="M1811" s="787">
        <v>20</v>
      </c>
      <c r="N1811" s="787">
        <v>80.98</v>
      </c>
      <c r="O1811" s="788">
        <v>41955</v>
      </c>
    </row>
    <row r="1812" spans="1:15" x14ac:dyDescent="0.25">
      <c r="A1812" s="786" t="s">
        <v>4049</v>
      </c>
      <c r="B1812" s="787">
        <v>4</v>
      </c>
      <c r="C1812" s="787" t="s">
        <v>4050</v>
      </c>
      <c r="D1812" s="787">
        <v>2.2000000000000002</v>
      </c>
      <c r="E1812" s="787">
        <v>2.2000000000000002</v>
      </c>
      <c r="F1812" s="788">
        <v>37648</v>
      </c>
      <c r="G1812" s="788">
        <v>37648</v>
      </c>
      <c r="H1812" s="787">
        <v>1</v>
      </c>
      <c r="J1812" s="788">
        <v>37648</v>
      </c>
      <c r="K1812" s="788">
        <v>39981</v>
      </c>
      <c r="L1812" s="787">
        <v>2.4500000000000002</v>
      </c>
      <c r="M1812" s="787">
        <v>20</v>
      </c>
      <c r="N1812" s="787">
        <v>2.63</v>
      </c>
      <c r="O1812" s="788">
        <v>41955</v>
      </c>
    </row>
    <row r="1813" spans="1:15" x14ac:dyDescent="0.25">
      <c r="A1813" s="786" t="s">
        <v>4051</v>
      </c>
      <c r="B1813" s="787">
        <v>4</v>
      </c>
      <c r="C1813" s="787" t="s">
        <v>4052</v>
      </c>
      <c r="D1813" s="787">
        <v>1.2</v>
      </c>
      <c r="E1813" s="787">
        <v>1.2</v>
      </c>
      <c r="F1813" s="788">
        <v>39101</v>
      </c>
      <c r="G1813" s="788">
        <v>39101</v>
      </c>
      <c r="H1813" s="787">
        <v>1</v>
      </c>
      <c r="I1813" s="788">
        <v>39134</v>
      </c>
      <c r="J1813" s="788">
        <v>39149</v>
      </c>
      <c r="L1813" s="787">
        <v>1.31</v>
      </c>
      <c r="M1813" s="787">
        <v>20</v>
      </c>
      <c r="N1813" s="787">
        <v>1.41</v>
      </c>
      <c r="O1813" s="788">
        <v>41955</v>
      </c>
    </row>
    <row r="1814" spans="1:15" x14ac:dyDescent="0.25">
      <c r="A1814" s="786" t="s">
        <v>4053</v>
      </c>
      <c r="B1814" s="787">
        <v>4</v>
      </c>
      <c r="C1814" s="787" t="s">
        <v>4054</v>
      </c>
      <c r="D1814" s="787">
        <v>1.2</v>
      </c>
      <c r="E1814" s="787">
        <v>1.2</v>
      </c>
      <c r="F1814" s="788">
        <v>39101</v>
      </c>
      <c r="G1814" s="788">
        <v>39101</v>
      </c>
      <c r="H1814" s="787">
        <v>1</v>
      </c>
      <c r="I1814" s="788">
        <v>39134</v>
      </c>
      <c r="J1814" s="788">
        <v>39149</v>
      </c>
      <c r="L1814" s="787">
        <v>1.31</v>
      </c>
      <c r="M1814" s="787">
        <v>20</v>
      </c>
      <c r="N1814" s="787">
        <v>1.41</v>
      </c>
      <c r="O1814" s="788">
        <v>41955</v>
      </c>
    </row>
    <row r="1815" spans="1:15" x14ac:dyDescent="0.25">
      <c r="A1815" s="786" t="s">
        <v>4055</v>
      </c>
      <c r="B1815" s="787">
        <v>4</v>
      </c>
      <c r="C1815" s="787" t="s">
        <v>4056</v>
      </c>
      <c r="D1815" s="787">
        <v>1.17</v>
      </c>
      <c r="E1815" s="787">
        <v>1.17</v>
      </c>
      <c r="F1815" s="788">
        <v>39101</v>
      </c>
      <c r="G1815" s="788">
        <v>39101</v>
      </c>
      <c r="H1815" s="787">
        <v>1</v>
      </c>
      <c r="I1815" s="788">
        <v>40577</v>
      </c>
      <c r="J1815" s="788">
        <v>39149</v>
      </c>
      <c r="L1815" s="787">
        <v>1.28</v>
      </c>
      <c r="M1815" s="787">
        <v>20</v>
      </c>
      <c r="N1815" s="787">
        <v>1.38</v>
      </c>
      <c r="O1815" s="788">
        <v>41955</v>
      </c>
    </row>
    <row r="1816" spans="1:15" x14ac:dyDescent="0.25">
      <c r="A1816" s="786" t="s">
        <v>4057</v>
      </c>
      <c r="B1816" s="787">
        <v>4</v>
      </c>
      <c r="C1816" s="787" t="s">
        <v>4058</v>
      </c>
      <c r="D1816" s="787">
        <v>0.75</v>
      </c>
      <c r="E1816" s="787">
        <v>0.75</v>
      </c>
      <c r="F1816" s="788">
        <v>37637</v>
      </c>
      <c r="G1816" s="788">
        <v>37637</v>
      </c>
      <c r="H1816" s="787">
        <v>1</v>
      </c>
      <c r="I1816" s="788">
        <v>40900</v>
      </c>
      <c r="J1816" s="788">
        <v>37637</v>
      </c>
      <c r="L1816" s="787">
        <v>0.82</v>
      </c>
      <c r="M1816" s="787">
        <v>20</v>
      </c>
      <c r="N1816" s="787">
        <v>0.88</v>
      </c>
      <c r="O1816" s="788">
        <v>41955</v>
      </c>
    </row>
    <row r="1817" spans="1:15" x14ac:dyDescent="0.25">
      <c r="A1817" s="786" t="s">
        <v>4059</v>
      </c>
      <c r="B1817" s="787">
        <v>4</v>
      </c>
      <c r="C1817" s="787" t="s">
        <v>4060</v>
      </c>
      <c r="D1817" s="787">
        <v>1.69</v>
      </c>
      <c r="E1817" s="787">
        <v>1.83</v>
      </c>
      <c r="F1817" s="788">
        <v>39171</v>
      </c>
      <c r="G1817" s="788">
        <v>41282</v>
      </c>
      <c r="H1817" s="787">
        <v>1</v>
      </c>
      <c r="I1817" s="788">
        <v>41347</v>
      </c>
      <c r="J1817" s="788">
        <v>42025</v>
      </c>
      <c r="K1817" s="788">
        <v>40617</v>
      </c>
      <c r="L1817" s="787">
        <v>1.8</v>
      </c>
      <c r="M1817" s="787">
        <v>20</v>
      </c>
      <c r="N1817" s="787">
        <v>1.94</v>
      </c>
      <c r="O1817" s="788">
        <v>42162</v>
      </c>
    </row>
    <row r="1818" spans="1:15" x14ac:dyDescent="0.25">
      <c r="A1818" s="786" t="s">
        <v>4061</v>
      </c>
      <c r="B1818" s="787">
        <v>4</v>
      </c>
      <c r="C1818" s="787" t="s">
        <v>4062</v>
      </c>
      <c r="D1818" s="787">
        <v>1.71</v>
      </c>
      <c r="E1818" s="787">
        <v>6.47</v>
      </c>
      <c r="F1818" s="788">
        <v>39101</v>
      </c>
      <c r="G1818" s="788">
        <v>41796</v>
      </c>
      <c r="H1818" s="787">
        <v>1</v>
      </c>
      <c r="I1818" s="788">
        <v>41863</v>
      </c>
      <c r="J1818" s="788">
        <v>41796</v>
      </c>
      <c r="K1818" s="788">
        <v>41001</v>
      </c>
      <c r="L1818" s="787">
        <v>5.75</v>
      </c>
      <c r="M1818" s="787">
        <v>20</v>
      </c>
      <c r="N1818" s="787">
        <v>6.18</v>
      </c>
      <c r="O1818" s="788">
        <v>41955</v>
      </c>
    </row>
    <row r="1819" spans="1:15" x14ac:dyDescent="0.25">
      <c r="A1819" s="786" t="s">
        <v>4063</v>
      </c>
      <c r="B1819" s="787">
        <v>4</v>
      </c>
      <c r="C1819" s="787" t="s">
        <v>4064</v>
      </c>
      <c r="D1819" s="787">
        <v>5.79</v>
      </c>
      <c r="E1819" s="787">
        <v>7.36</v>
      </c>
      <c r="F1819" s="788">
        <v>40242</v>
      </c>
      <c r="G1819" s="788">
        <v>42150</v>
      </c>
      <c r="H1819" s="787">
        <v>1</v>
      </c>
      <c r="I1819" s="788">
        <v>42166</v>
      </c>
      <c r="J1819" s="788">
        <v>42124</v>
      </c>
      <c r="K1819" s="788">
        <v>42103</v>
      </c>
      <c r="L1819" s="787">
        <v>7.1</v>
      </c>
      <c r="M1819" s="787">
        <v>20</v>
      </c>
      <c r="N1819" s="787">
        <v>7.63</v>
      </c>
      <c r="O1819" s="788">
        <v>42163</v>
      </c>
    </row>
    <row r="1820" spans="1:15" x14ac:dyDescent="0.25">
      <c r="A1820" s="786" t="s">
        <v>4065</v>
      </c>
      <c r="B1820" s="787">
        <v>4</v>
      </c>
      <c r="C1820" s="787" t="s">
        <v>4066</v>
      </c>
      <c r="D1820" s="787">
        <v>0.37</v>
      </c>
      <c r="E1820" s="787">
        <v>0.43</v>
      </c>
      <c r="F1820" s="788">
        <v>39232</v>
      </c>
      <c r="G1820" s="788">
        <v>42125</v>
      </c>
      <c r="H1820" s="787">
        <v>1</v>
      </c>
      <c r="I1820" s="788">
        <v>42163</v>
      </c>
      <c r="J1820" s="788">
        <v>42094</v>
      </c>
      <c r="K1820" s="788">
        <v>40039</v>
      </c>
      <c r="L1820" s="787">
        <v>0.4</v>
      </c>
      <c r="M1820" s="787">
        <v>20</v>
      </c>
      <c r="N1820" s="787">
        <v>0.43</v>
      </c>
      <c r="O1820" s="788">
        <v>42163</v>
      </c>
    </row>
    <row r="1821" spans="1:15" x14ac:dyDescent="0.25">
      <c r="A1821" s="786" t="s">
        <v>4067</v>
      </c>
      <c r="B1821" s="787">
        <v>4</v>
      </c>
      <c r="C1821" s="787" t="s">
        <v>4068</v>
      </c>
      <c r="D1821" s="787">
        <v>4.75</v>
      </c>
      <c r="E1821" s="787">
        <v>4.92</v>
      </c>
      <c r="F1821" s="788">
        <v>37637</v>
      </c>
      <c r="G1821" s="788">
        <v>42013</v>
      </c>
      <c r="H1821" s="787">
        <v>1</v>
      </c>
      <c r="I1821" s="788">
        <v>42076</v>
      </c>
      <c r="J1821" s="788">
        <v>38769</v>
      </c>
      <c r="L1821" s="787">
        <v>5.18</v>
      </c>
      <c r="M1821" s="787">
        <v>20</v>
      </c>
      <c r="N1821" s="787">
        <v>5.57</v>
      </c>
      <c r="O1821" s="788">
        <v>41955</v>
      </c>
    </row>
    <row r="1822" spans="1:15" x14ac:dyDescent="0.25">
      <c r="A1822" s="786" t="s">
        <v>4069</v>
      </c>
      <c r="B1822" s="787">
        <v>4</v>
      </c>
      <c r="C1822" s="787" t="s">
        <v>4070</v>
      </c>
      <c r="D1822" s="787">
        <v>5.42</v>
      </c>
      <c r="E1822" s="787">
        <v>5.42</v>
      </c>
      <c r="F1822" s="788">
        <v>39101</v>
      </c>
      <c r="G1822" s="788">
        <v>39101</v>
      </c>
      <c r="H1822" s="787">
        <v>1</v>
      </c>
      <c r="I1822" s="788">
        <v>42165</v>
      </c>
      <c r="J1822" s="788">
        <v>41732</v>
      </c>
      <c r="L1822" s="787">
        <v>2.83</v>
      </c>
      <c r="M1822" s="787">
        <v>20</v>
      </c>
      <c r="N1822" s="787">
        <v>3.04</v>
      </c>
      <c r="O1822" s="788">
        <v>42162</v>
      </c>
    </row>
    <row r="1823" spans="1:15" x14ac:dyDescent="0.25">
      <c r="A1823" s="786" t="s">
        <v>4071</v>
      </c>
      <c r="B1823" s="787">
        <v>4</v>
      </c>
      <c r="C1823" s="787" t="s">
        <v>4072</v>
      </c>
      <c r="D1823" s="787">
        <v>3.15</v>
      </c>
      <c r="E1823" s="787">
        <v>53.15</v>
      </c>
      <c r="F1823" s="788">
        <v>37637</v>
      </c>
      <c r="G1823" s="788">
        <v>37637</v>
      </c>
      <c r="H1823" s="787">
        <v>1</v>
      </c>
      <c r="I1823" s="788">
        <v>40926</v>
      </c>
      <c r="J1823" s="788">
        <v>37637</v>
      </c>
      <c r="L1823" s="787">
        <v>57.93</v>
      </c>
      <c r="M1823" s="787">
        <v>20</v>
      </c>
      <c r="N1823" s="787">
        <v>62.27</v>
      </c>
      <c r="O1823" s="788">
        <v>41955</v>
      </c>
    </row>
    <row r="1824" spans="1:15" x14ac:dyDescent="0.25">
      <c r="A1824" s="786" t="s">
        <v>4073</v>
      </c>
      <c r="B1824" s="787">
        <v>4</v>
      </c>
      <c r="C1824" s="787" t="s">
        <v>4074</v>
      </c>
      <c r="D1824" s="787">
        <v>2.71</v>
      </c>
      <c r="E1824" s="787">
        <v>5.67</v>
      </c>
      <c r="F1824" s="788">
        <v>39324</v>
      </c>
      <c r="G1824" s="788">
        <v>42092</v>
      </c>
      <c r="H1824" s="787">
        <v>1</v>
      </c>
      <c r="I1824" s="788">
        <v>42165</v>
      </c>
      <c r="J1824" s="788">
        <v>42089</v>
      </c>
      <c r="K1824" s="788">
        <v>40695</v>
      </c>
      <c r="L1824" s="787">
        <v>4.76</v>
      </c>
      <c r="M1824" s="787">
        <v>20</v>
      </c>
      <c r="N1824" s="787">
        <v>5.12</v>
      </c>
      <c r="O1824" s="788">
        <v>42038</v>
      </c>
    </row>
    <row r="1825" spans="1:15" x14ac:dyDescent="0.25">
      <c r="A1825" s="786" t="s">
        <v>4075</v>
      </c>
      <c r="B1825" s="787">
        <v>4</v>
      </c>
      <c r="C1825" s="787" t="s">
        <v>4076</v>
      </c>
      <c r="D1825" s="787">
        <v>0.25</v>
      </c>
      <c r="E1825" s="787">
        <v>0.31</v>
      </c>
      <c r="F1825" s="788">
        <v>39283</v>
      </c>
      <c r="G1825" s="788">
        <v>42013</v>
      </c>
      <c r="H1825" s="787">
        <v>1</v>
      </c>
      <c r="I1825" s="788">
        <v>42110</v>
      </c>
      <c r="J1825" s="788">
        <v>41577</v>
      </c>
      <c r="L1825" s="787">
        <v>0.31</v>
      </c>
      <c r="M1825" s="787">
        <v>20</v>
      </c>
      <c r="N1825" s="787">
        <v>0.33</v>
      </c>
      <c r="O1825" s="788">
        <v>42163</v>
      </c>
    </row>
    <row r="1826" spans="1:15" x14ac:dyDescent="0.25">
      <c r="A1826" s="786" t="s">
        <v>4077</v>
      </c>
      <c r="B1826" s="787">
        <v>4</v>
      </c>
      <c r="C1826" s="787" t="s">
        <v>4078</v>
      </c>
      <c r="D1826" s="787">
        <v>0.59</v>
      </c>
      <c r="E1826" s="787">
        <v>0.59</v>
      </c>
      <c r="F1826" s="788">
        <v>38450</v>
      </c>
      <c r="G1826" s="788">
        <v>38450</v>
      </c>
      <c r="H1826" s="787">
        <v>1</v>
      </c>
      <c r="I1826" s="788">
        <v>38736</v>
      </c>
      <c r="J1826" s="788">
        <v>38419</v>
      </c>
      <c r="L1826" s="787">
        <v>0.64</v>
      </c>
      <c r="M1826" s="787">
        <v>20</v>
      </c>
      <c r="N1826" s="787">
        <v>0.69</v>
      </c>
      <c r="O1826" s="788">
        <v>41955</v>
      </c>
    </row>
    <row r="1827" spans="1:15" x14ac:dyDescent="0.25">
      <c r="A1827" s="786" t="s">
        <v>4079</v>
      </c>
      <c r="B1827" s="787">
        <v>4</v>
      </c>
      <c r="C1827" s="787" t="s">
        <v>4078</v>
      </c>
      <c r="D1827" s="787">
        <v>0.61</v>
      </c>
      <c r="E1827" s="787">
        <v>0.61</v>
      </c>
      <c r="F1827" s="788">
        <v>38450</v>
      </c>
      <c r="G1827" s="788">
        <v>38450</v>
      </c>
      <c r="H1827" s="787">
        <v>1</v>
      </c>
      <c r="I1827" s="788">
        <v>38736</v>
      </c>
      <c r="J1827" s="788">
        <v>38419</v>
      </c>
      <c r="L1827" s="787">
        <v>0.66</v>
      </c>
      <c r="M1827" s="787">
        <v>20</v>
      </c>
      <c r="N1827" s="787">
        <v>0.71</v>
      </c>
      <c r="O1827" s="788">
        <v>41955</v>
      </c>
    </row>
    <row r="1828" spans="1:15" x14ac:dyDescent="0.25">
      <c r="A1828" s="786" t="s">
        <v>4080</v>
      </c>
      <c r="B1828" s="787">
        <v>4</v>
      </c>
      <c r="C1828" s="787" t="s">
        <v>4081</v>
      </c>
      <c r="D1828" s="787">
        <v>0.02</v>
      </c>
      <c r="E1828" s="787">
        <v>0.02</v>
      </c>
      <c r="F1828" s="788">
        <v>37637</v>
      </c>
      <c r="G1828" s="788">
        <v>37637</v>
      </c>
      <c r="H1828" s="787">
        <v>1</v>
      </c>
      <c r="I1828" s="788">
        <v>41968</v>
      </c>
      <c r="J1828" s="788">
        <v>41970</v>
      </c>
      <c r="L1828" s="787">
        <v>0.02</v>
      </c>
      <c r="M1828" s="787">
        <v>20</v>
      </c>
      <c r="N1828" s="787">
        <v>0.02</v>
      </c>
      <c r="O1828" s="788">
        <v>41955</v>
      </c>
    </row>
    <row r="1829" spans="1:15" x14ac:dyDescent="0.25">
      <c r="A1829" s="786" t="s">
        <v>4082</v>
      </c>
      <c r="B1829" s="787">
        <v>4</v>
      </c>
      <c r="C1829" s="787" t="s">
        <v>4083</v>
      </c>
      <c r="D1829" s="787">
        <v>7.96</v>
      </c>
      <c r="E1829" s="787">
        <v>20.12</v>
      </c>
      <c r="F1829" s="788">
        <v>39101</v>
      </c>
      <c r="G1829" s="788">
        <v>42013</v>
      </c>
      <c r="H1829" s="787">
        <v>1</v>
      </c>
      <c r="I1829" s="788">
        <v>42163</v>
      </c>
      <c r="J1829" s="788">
        <v>41922</v>
      </c>
      <c r="K1829" s="788">
        <v>40680</v>
      </c>
      <c r="L1829" s="787">
        <v>19.899999999999999</v>
      </c>
      <c r="M1829" s="787">
        <v>20</v>
      </c>
      <c r="N1829" s="787">
        <v>21.39</v>
      </c>
      <c r="O1829" s="788">
        <v>42163</v>
      </c>
    </row>
    <row r="1830" spans="1:15" x14ac:dyDescent="0.25">
      <c r="A1830" s="786" t="s">
        <v>4084</v>
      </c>
      <c r="B1830" s="787">
        <v>4</v>
      </c>
      <c r="C1830" s="787" t="s">
        <v>4083</v>
      </c>
      <c r="D1830" s="787">
        <v>7.95</v>
      </c>
      <c r="E1830" s="787">
        <v>18.32</v>
      </c>
      <c r="F1830" s="788">
        <v>39101</v>
      </c>
      <c r="G1830" s="788">
        <v>40914</v>
      </c>
      <c r="H1830" s="787">
        <v>1</v>
      </c>
      <c r="I1830" s="788">
        <v>41120</v>
      </c>
      <c r="J1830" s="788">
        <v>40641</v>
      </c>
      <c r="L1830" s="787">
        <v>19.45</v>
      </c>
      <c r="M1830" s="787">
        <v>20</v>
      </c>
      <c r="N1830" s="787">
        <v>20.91</v>
      </c>
      <c r="O1830" s="788">
        <v>42163</v>
      </c>
    </row>
    <row r="1831" spans="1:15" x14ac:dyDescent="0.25">
      <c r="A1831" s="786" t="s">
        <v>4085</v>
      </c>
      <c r="B1831" s="787">
        <v>4</v>
      </c>
      <c r="C1831" s="787" t="s">
        <v>4086</v>
      </c>
      <c r="D1831" s="787">
        <v>0.59</v>
      </c>
      <c r="E1831" s="787">
        <v>0.76</v>
      </c>
      <c r="F1831" s="788">
        <v>39101</v>
      </c>
      <c r="G1831" s="788">
        <v>42124</v>
      </c>
      <c r="H1831" s="787">
        <v>1</v>
      </c>
      <c r="I1831" s="788">
        <v>42166</v>
      </c>
      <c r="J1831" s="788">
        <v>42093</v>
      </c>
      <c r="L1831" s="787">
        <v>0.65</v>
      </c>
      <c r="M1831" s="787">
        <v>20</v>
      </c>
      <c r="N1831" s="787">
        <v>0.7</v>
      </c>
      <c r="O1831" s="788">
        <v>42162</v>
      </c>
    </row>
    <row r="1832" spans="1:15" x14ac:dyDescent="0.25">
      <c r="A1832" s="786" t="s">
        <v>4087</v>
      </c>
      <c r="B1832" s="787">
        <v>4</v>
      </c>
      <c r="C1832" s="787" t="s">
        <v>4088</v>
      </c>
      <c r="D1832" s="787">
        <v>8.68</v>
      </c>
      <c r="E1832" s="787">
        <v>28.68</v>
      </c>
      <c r="F1832" s="788">
        <v>38047</v>
      </c>
      <c r="G1832" s="788">
        <v>38047</v>
      </c>
      <c r="H1832" s="787">
        <v>1</v>
      </c>
      <c r="I1832" s="788">
        <v>37554</v>
      </c>
      <c r="J1832" s="788">
        <v>38047</v>
      </c>
      <c r="L1832" s="787">
        <v>31.26</v>
      </c>
      <c r="M1832" s="787">
        <v>20</v>
      </c>
      <c r="N1832" s="787">
        <v>33.6</v>
      </c>
      <c r="O1832" s="788">
        <v>41955</v>
      </c>
    </row>
    <row r="1833" spans="1:15" x14ac:dyDescent="0.25">
      <c r="A1833" s="786" t="s">
        <v>4089</v>
      </c>
      <c r="B1833" s="787">
        <v>4</v>
      </c>
      <c r="C1833" s="787" t="s">
        <v>4088</v>
      </c>
      <c r="D1833" s="787">
        <v>8.68</v>
      </c>
      <c r="E1833" s="787">
        <v>28.68</v>
      </c>
      <c r="F1833" s="788">
        <v>39101</v>
      </c>
      <c r="G1833" s="788">
        <v>39101</v>
      </c>
      <c r="H1833" s="787">
        <v>1</v>
      </c>
      <c r="I1833" s="788">
        <v>39982</v>
      </c>
      <c r="J1833" s="788">
        <v>39101</v>
      </c>
      <c r="L1833" s="787">
        <v>31.26</v>
      </c>
      <c r="M1833" s="787">
        <v>20</v>
      </c>
      <c r="N1833" s="787">
        <v>33.6</v>
      </c>
      <c r="O1833" s="788">
        <v>41955</v>
      </c>
    </row>
    <row r="1834" spans="1:15" x14ac:dyDescent="0.25">
      <c r="A1834" s="786" t="s">
        <v>4090</v>
      </c>
      <c r="B1834" s="787">
        <v>4</v>
      </c>
      <c r="C1834" s="787" t="s">
        <v>4091</v>
      </c>
      <c r="D1834" s="787">
        <v>1.53</v>
      </c>
      <c r="E1834" s="787">
        <v>2.52</v>
      </c>
      <c r="F1834" s="788">
        <v>39101</v>
      </c>
      <c r="G1834" s="788">
        <v>42013</v>
      </c>
      <c r="H1834" s="787">
        <v>1</v>
      </c>
      <c r="I1834" s="788">
        <v>42135</v>
      </c>
      <c r="J1834" s="788">
        <v>41941</v>
      </c>
      <c r="K1834" s="788">
        <v>40016</v>
      </c>
      <c r="L1834" s="787">
        <v>2.48</v>
      </c>
      <c r="M1834" s="787">
        <v>20</v>
      </c>
      <c r="N1834" s="787">
        <v>2.67</v>
      </c>
      <c r="O1834" s="788">
        <v>41955</v>
      </c>
    </row>
    <row r="1835" spans="1:15" x14ac:dyDescent="0.25">
      <c r="A1835" s="786" t="s">
        <v>4092</v>
      </c>
      <c r="B1835" s="787">
        <v>4</v>
      </c>
      <c r="C1835" s="787" t="s">
        <v>4093</v>
      </c>
      <c r="D1835" s="787">
        <v>3.77</v>
      </c>
      <c r="E1835" s="787">
        <v>13.77</v>
      </c>
      <c r="F1835" s="788">
        <v>37637</v>
      </c>
      <c r="G1835" s="788">
        <v>37637</v>
      </c>
      <c r="H1835" s="787">
        <v>1</v>
      </c>
      <c r="I1835" s="788">
        <v>37554</v>
      </c>
      <c r="J1835" s="788">
        <v>37637</v>
      </c>
      <c r="L1835" s="787">
        <v>15.01</v>
      </c>
      <c r="M1835" s="787">
        <v>20</v>
      </c>
      <c r="N1835" s="787">
        <v>16.14</v>
      </c>
      <c r="O1835" s="788">
        <v>42162</v>
      </c>
    </row>
    <row r="1836" spans="1:15" x14ac:dyDescent="0.25">
      <c r="A1836" s="786" t="s">
        <v>4094</v>
      </c>
      <c r="B1836" s="787">
        <v>4</v>
      </c>
      <c r="C1836" s="787" t="s">
        <v>4095</v>
      </c>
      <c r="D1836" s="787">
        <v>1.1200000000000001</v>
      </c>
      <c r="E1836" s="787">
        <v>1.1200000000000001</v>
      </c>
      <c r="F1836" s="788">
        <v>37637</v>
      </c>
      <c r="G1836" s="788">
        <v>37637</v>
      </c>
      <c r="H1836" s="787">
        <v>1</v>
      </c>
      <c r="J1836" s="788">
        <v>37637</v>
      </c>
      <c r="L1836" s="787">
        <v>1.22</v>
      </c>
      <c r="M1836" s="787">
        <v>20</v>
      </c>
      <c r="N1836" s="787">
        <v>1.31</v>
      </c>
      <c r="O1836" s="788">
        <v>41955</v>
      </c>
    </row>
    <row r="1837" spans="1:15" x14ac:dyDescent="0.25">
      <c r="A1837" s="786" t="s">
        <v>4096</v>
      </c>
      <c r="B1837" s="787">
        <v>4</v>
      </c>
      <c r="C1837" s="787" t="s">
        <v>4093</v>
      </c>
      <c r="D1837" s="787">
        <v>3.17</v>
      </c>
      <c r="E1837" s="787">
        <v>13.17</v>
      </c>
      <c r="F1837" s="788">
        <v>37637</v>
      </c>
      <c r="G1837" s="788">
        <v>37637</v>
      </c>
      <c r="H1837" s="787">
        <v>1</v>
      </c>
      <c r="I1837" s="788">
        <v>41123</v>
      </c>
      <c r="J1837" s="788">
        <v>37637</v>
      </c>
      <c r="L1837" s="787">
        <v>14.36</v>
      </c>
      <c r="M1837" s="787">
        <v>20</v>
      </c>
      <c r="N1837" s="787">
        <v>15.44</v>
      </c>
      <c r="O1837" s="788">
        <v>41955</v>
      </c>
    </row>
    <row r="1838" spans="1:15" x14ac:dyDescent="0.25">
      <c r="A1838" s="786" t="s">
        <v>4097</v>
      </c>
      <c r="B1838" s="787">
        <v>4</v>
      </c>
      <c r="C1838" s="787" t="s">
        <v>4098</v>
      </c>
      <c r="D1838" s="787">
        <v>0.59</v>
      </c>
      <c r="E1838" s="787">
        <v>0.81</v>
      </c>
      <c r="F1838" s="788">
        <v>39101</v>
      </c>
      <c r="G1838" s="788">
        <v>39101</v>
      </c>
      <c r="H1838" s="787">
        <v>1</v>
      </c>
      <c r="I1838" s="788">
        <v>39482</v>
      </c>
      <c r="J1838" s="788">
        <v>39101</v>
      </c>
      <c r="L1838" s="787">
        <v>0.88</v>
      </c>
      <c r="M1838" s="787">
        <v>20</v>
      </c>
      <c r="N1838" s="787">
        <v>0.95</v>
      </c>
      <c r="O1838" s="788">
        <v>41955</v>
      </c>
    </row>
    <row r="1839" spans="1:15" x14ac:dyDescent="0.25">
      <c r="A1839" s="786" t="s">
        <v>4099</v>
      </c>
      <c r="B1839" s="787">
        <v>4</v>
      </c>
      <c r="C1839" s="787" t="s">
        <v>4100</v>
      </c>
      <c r="D1839" s="787">
        <v>5.0599999999999996</v>
      </c>
      <c r="E1839" s="787">
        <v>5.0599999999999996</v>
      </c>
      <c r="F1839" s="788">
        <v>38047</v>
      </c>
      <c r="G1839" s="788">
        <v>38047</v>
      </c>
      <c r="H1839" s="787">
        <v>1</v>
      </c>
      <c r="I1839" s="788">
        <v>38709</v>
      </c>
      <c r="J1839" s="788">
        <v>38047</v>
      </c>
      <c r="L1839" s="787">
        <v>5.52</v>
      </c>
      <c r="M1839" s="787">
        <v>20</v>
      </c>
      <c r="N1839" s="787">
        <v>5.93</v>
      </c>
      <c r="O1839" s="788">
        <v>42144</v>
      </c>
    </row>
    <row r="1840" spans="1:15" x14ac:dyDescent="0.25">
      <c r="A1840" s="786" t="s">
        <v>4101</v>
      </c>
      <c r="B1840" s="787">
        <v>4</v>
      </c>
      <c r="C1840" s="787" t="s">
        <v>4102</v>
      </c>
      <c r="D1840" s="787">
        <v>3.2</v>
      </c>
      <c r="E1840" s="787">
        <v>13.2</v>
      </c>
      <c r="F1840" s="788">
        <v>38341</v>
      </c>
      <c r="G1840" s="788">
        <v>38341</v>
      </c>
      <c r="H1840" s="787">
        <v>1</v>
      </c>
      <c r="I1840" s="788">
        <v>38736</v>
      </c>
      <c r="J1840" s="788">
        <v>38335</v>
      </c>
      <c r="L1840" s="787">
        <v>14.39</v>
      </c>
      <c r="M1840" s="787">
        <v>20</v>
      </c>
      <c r="N1840" s="787">
        <v>15.47</v>
      </c>
      <c r="O1840" s="788">
        <v>41955</v>
      </c>
    </row>
    <row r="1841" spans="1:15" x14ac:dyDescent="0.25">
      <c r="A1841" s="786" t="s">
        <v>4103</v>
      </c>
      <c r="B1841" s="787">
        <v>4</v>
      </c>
      <c r="C1841" s="787" t="s">
        <v>4104</v>
      </c>
      <c r="D1841" s="787">
        <v>9.1999999999999993</v>
      </c>
      <c r="E1841" s="787">
        <v>49.2</v>
      </c>
      <c r="F1841" s="788">
        <v>38341</v>
      </c>
      <c r="G1841" s="788">
        <v>38341</v>
      </c>
      <c r="H1841" s="787">
        <v>1</v>
      </c>
      <c r="I1841" s="788">
        <v>38736</v>
      </c>
      <c r="J1841" s="788">
        <v>38335</v>
      </c>
      <c r="L1841" s="787">
        <v>53.63</v>
      </c>
      <c r="M1841" s="787">
        <v>20</v>
      </c>
      <c r="N1841" s="787">
        <v>57.65</v>
      </c>
      <c r="O1841" s="788">
        <v>41955</v>
      </c>
    </row>
    <row r="1842" spans="1:15" x14ac:dyDescent="0.25">
      <c r="A1842" s="786" t="s">
        <v>4105</v>
      </c>
      <c r="B1842" s="787">
        <v>4</v>
      </c>
      <c r="C1842" s="787" t="s">
        <v>4106</v>
      </c>
      <c r="D1842" s="787">
        <v>5.59</v>
      </c>
      <c r="E1842" s="787">
        <v>15.59</v>
      </c>
      <c r="F1842" s="788">
        <v>40064</v>
      </c>
      <c r="G1842" s="788">
        <v>40553</v>
      </c>
      <c r="H1842" s="787">
        <v>1</v>
      </c>
      <c r="I1842" s="788">
        <v>42060</v>
      </c>
      <c r="J1842" s="788">
        <v>42060</v>
      </c>
      <c r="L1842" s="787">
        <v>15.59</v>
      </c>
      <c r="M1842" s="787">
        <v>20</v>
      </c>
      <c r="N1842" s="787">
        <v>16.760000000000002</v>
      </c>
      <c r="O1842" s="788">
        <v>41955</v>
      </c>
    </row>
    <row r="1843" spans="1:15" x14ac:dyDescent="0.25">
      <c r="A1843" s="786" t="s">
        <v>4107</v>
      </c>
      <c r="B1843" s="787">
        <v>4</v>
      </c>
      <c r="C1843" s="787" t="s">
        <v>4108</v>
      </c>
      <c r="D1843" s="787">
        <v>1.65</v>
      </c>
      <c r="E1843" s="787">
        <v>1.65</v>
      </c>
      <c r="F1843" s="788">
        <v>40064</v>
      </c>
      <c r="G1843" s="788">
        <v>40065</v>
      </c>
      <c r="H1843" s="787">
        <v>1</v>
      </c>
      <c r="I1843" s="788">
        <v>42060</v>
      </c>
      <c r="J1843" s="788">
        <v>42060</v>
      </c>
      <c r="L1843" s="787">
        <v>1.65</v>
      </c>
      <c r="M1843" s="787">
        <v>20</v>
      </c>
      <c r="N1843" s="787">
        <v>1.77</v>
      </c>
      <c r="O1843" s="788">
        <v>41955</v>
      </c>
    </row>
    <row r="1844" spans="1:15" x14ac:dyDescent="0.25">
      <c r="A1844" s="786" t="s">
        <v>4109</v>
      </c>
      <c r="B1844" s="787">
        <v>4</v>
      </c>
      <c r="C1844" s="787" t="s">
        <v>4110</v>
      </c>
      <c r="D1844" s="787">
        <v>0.43</v>
      </c>
      <c r="E1844" s="787">
        <v>20.43</v>
      </c>
      <c r="F1844" s="788">
        <v>37637</v>
      </c>
      <c r="G1844" s="788">
        <v>37637</v>
      </c>
      <c r="H1844" s="787">
        <v>1</v>
      </c>
      <c r="J1844" s="788">
        <v>37637</v>
      </c>
      <c r="L1844" s="787">
        <v>22.27</v>
      </c>
      <c r="M1844" s="787">
        <v>20</v>
      </c>
      <c r="N1844" s="787">
        <v>23.94</v>
      </c>
      <c r="O1844" s="788">
        <v>41955</v>
      </c>
    </row>
    <row r="1845" spans="1:15" x14ac:dyDescent="0.25">
      <c r="A1845" s="786" t="s">
        <v>4111</v>
      </c>
      <c r="B1845" s="787">
        <v>4</v>
      </c>
      <c r="C1845" s="787" t="s">
        <v>4112</v>
      </c>
      <c r="D1845" s="787">
        <v>0.25</v>
      </c>
      <c r="E1845" s="787">
        <v>0.28999999999999998</v>
      </c>
      <c r="F1845" s="788">
        <v>40630</v>
      </c>
      <c r="G1845" s="788">
        <v>42013</v>
      </c>
      <c r="H1845" s="787">
        <v>1</v>
      </c>
      <c r="I1845" s="788">
        <v>42136</v>
      </c>
      <c r="J1845" s="788">
        <v>41936</v>
      </c>
      <c r="K1845" s="788">
        <v>39988</v>
      </c>
      <c r="L1845" s="787">
        <v>0.25</v>
      </c>
      <c r="M1845" s="787">
        <v>20</v>
      </c>
      <c r="N1845" s="787">
        <v>0.27</v>
      </c>
      <c r="O1845" s="788">
        <v>42146</v>
      </c>
    </row>
    <row r="1846" spans="1:15" x14ac:dyDescent="0.25">
      <c r="A1846" s="786" t="s">
        <v>4113</v>
      </c>
      <c r="B1846" s="787">
        <v>4</v>
      </c>
      <c r="C1846" s="787" t="s">
        <v>4114</v>
      </c>
      <c r="D1846" s="787">
        <v>6.17</v>
      </c>
      <c r="E1846" s="787">
        <v>6.17</v>
      </c>
      <c r="F1846" s="788">
        <v>40633</v>
      </c>
      <c r="G1846" s="788">
        <v>42013</v>
      </c>
      <c r="H1846" s="787">
        <v>1</v>
      </c>
      <c r="I1846" s="788">
        <v>42037</v>
      </c>
      <c r="J1846" s="788">
        <v>41773</v>
      </c>
      <c r="L1846" s="787">
        <v>6.17</v>
      </c>
      <c r="M1846" s="787">
        <v>20</v>
      </c>
      <c r="N1846" s="787">
        <v>6.63</v>
      </c>
      <c r="O1846" s="788">
        <v>41955</v>
      </c>
    </row>
    <row r="1847" spans="1:15" x14ac:dyDescent="0.25">
      <c r="A1847" s="786" t="s">
        <v>4115</v>
      </c>
      <c r="B1847" s="787">
        <v>4</v>
      </c>
      <c r="C1847" s="787" t="s">
        <v>4116</v>
      </c>
      <c r="D1847" s="787">
        <v>2.5</v>
      </c>
      <c r="E1847" s="787">
        <v>32.5</v>
      </c>
      <c r="F1847" s="788">
        <v>41429</v>
      </c>
      <c r="G1847" s="788">
        <v>42013</v>
      </c>
      <c r="H1847" s="787">
        <v>1</v>
      </c>
      <c r="I1847" s="788">
        <v>41857</v>
      </c>
      <c r="J1847" s="788">
        <v>41428</v>
      </c>
      <c r="K1847" s="788">
        <v>41397</v>
      </c>
      <c r="L1847" s="787">
        <v>32</v>
      </c>
      <c r="M1847" s="787">
        <v>20</v>
      </c>
      <c r="N1847" s="787">
        <v>34.4</v>
      </c>
      <c r="O1847" s="788">
        <v>41955</v>
      </c>
    </row>
    <row r="1848" spans="1:15" x14ac:dyDescent="0.25">
      <c r="A1848" s="786" t="s">
        <v>4117</v>
      </c>
      <c r="B1848" s="787">
        <v>4</v>
      </c>
      <c r="C1848" s="787" t="s">
        <v>4118</v>
      </c>
      <c r="D1848" s="787">
        <v>2.2400000000000002</v>
      </c>
      <c r="E1848" s="787">
        <v>3.58</v>
      </c>
      <c r="F1848" s="788">
        <v>41393</v>
      </c>
      <c r="G1848" s="788">
        <v>42013</v>
      </c>
      <c r="H1848" s="787">
        <v>1</v>
      </c>
      <c r="I1848" s="788">
        <v>41857</v>
      </c>
      <c r="J1848" s="788">
        <v>41435</v>
      </c>
      <c r="K1848" s="788">
        <v>41397</v>
      </c>
      <c r="L1848" s="787">
        <v>2.2000000000000002</v>
      </c>
      <c r="M1848" s="787">
        <v>20</v>
      </c>
      <c r="N1848" s="787">
        <v>2.37</v>
      </c>
      <c r="O1848" s="788">
        <v>41955</v>
      </c>
    </row>
    <row r="1849" spans="1:15" x14ac:dyDescent="0.25">
      <c r="A1849" s="786" t="s">
        <v>4119</v>
      </c>
      <c r="B1849" s="787">
        <v>4</v>
      </c>
      <c r="C1849" s="787" t="s">
        <v>4044</v>
      </c>
      <c r="D1849" s="787">
        <v>4.63</v>
      </c>
      <c r="E1849" s="787">
        <v>4.63</v>
      </c>
      <c r="F1849" s="788">
        <v>41436</v>
      </c>
      <c r="G1849" s="788">
        <v>41480</v>
      </c>
      <c r="H1849" s="787">
        <v>1</v>
      </c>
      <c r="I1849" s="788">
        <v>41857</v>
      </c>
      <c r="J1849" s="788">
        <v>41435</v>
      </c>
      <c r="K1849" s="788">
        <v>41481</v>
      </c>
      <c r="L1849" s="787">
        <v>4.5</v>
      </c>
      <c r="M1849" s="787">
        <v>20</v>
      </c>
      <c r="N1849" s="787">
        <v>4.84</v>
      </c>
      <c r="O1849" s="788">
        <v>41955</v>
      </c>
    </row>
    <row r="1850" spans="1:15" x14ac:dyDescent="0.25">
      <c r="A1850" s="786" t="s">
        <v>4120</v>
      </c>
      <c r="B1850" s="787">
        <v>4</v>
      </c>
      <c r="C1850" s="787" t="s">
        <v>4121</v>
      </c>
      <c r="D1850" s="787">
        <v>0</v>
      </c>
      <c r="E1850" s="787">
        <v>0</v>
      </c>
      <c r="H1850" s="787">
        <v>1</v>
      </c>
      <c r="I1850" s="788">
        <v>37287</v>
      </c>
      <c r="J1850" s="788">
        <v>37637</v>
      </c>
      <c r="K1850" s="788">
        <v>40892</v>
      </c>
      <c r="L1850" s="787">
        <v>4</v>
      </c>
      <c r="M1850" s="787">
        <v>20</v>
      </c>
      <c r="N1850" s="787">
        <v>4.3</v>
      </c>
      <c r="O1850" s="788">
        <v>42162</v>
      </c>
    </row>
    <row r="1851" spans="1:15" x14ac:dyDescent="0.25">
      <c r="A1851" s="786" t="s">
        <v>4122</v>
      </c>
      <c r="B1851" s="787">
        <v>4</v>
      </c>
      <c r="C1851" s="787" t="s">
        <v>4123</v>
      </c>
      <c r="D1851" s="787">
        <v>7.87</v>
      </c>
      <c r="E1851" s="787">
        <v>7.87</v>
      </c>
      <c r="F1851" s="788">
        <v>37637</v>
      </c>
      <c r="G1851" s="788">
        <v>37637</v>
      </c>
      <c r="H1851" s="787">
        <v>1</v>
      </c>
      <c r="I1851" s="788">
        <v>36949</v>
      </c>
      <c r="J1851" s="788">
        <v>37637</v>
      </c>
      <c r="L1851" s="787">
        <v>8.58</v>
      </c>
      <c r="M1851" s="787">
        <v>20</v>
      </c>
      <c r="N1851" s="787">
        <v>9.2200000000000006</v>
      </c>
      <c r="O1851" s="788">
        <v>42162</v>
      </c>
    </row>
    <row r="1852" spans="1:15" x14ac:dyDescent="0.25">
      <c r="A1852" s="786" t="s">
        <v>4124</v>
      </c>
      <c r="B1852" s="787">
        <v>4</v>
      </c>
      <c r="C1852" s="787" t="s">
        <v>4125</v>
      </c>
      <c r="D1852" s="787">
        <v>2.4</v>
      </c>
      <c r="E1852" s="787">
        <v>32.4</v>
      </c>
      <c r="F1852" s="788">
        <v>37637</v>
      </c>
      <c r="G1852" s="788">
        <v>37637</v>
      </c>
      <c r="H1852" s="787">
        <v>1</v>
      </c>
      <c r="I1852" s="788">
        <v>38133</v>
      </c>
      <c r="J1852" s="788">
        <v>37637</v>
      </c>
      <c r="L1852" s="787">
        <v>35.32</v>
      </c>
      <c r="M1852" s="787">
        <v>20</v>
      </c>
      <c r="N1852" s="787">
        <v>37.97</v>
      </c>
      <c r="O1852" s="788">
        <v>42162</v>
      </c>
    </row>
    <row r="1853" spans="1:15" x14ac:dyDescent="0.25">
      <c r="A1853" s="786" t="s">
        <v>4126</v>
      </c>
      <c r="B1853" s="787">
        <v>4</v>
      </c>
      <c r="C1853" s="787" t="s">
        <v>4127</v>
      </c>
      <c r="D1853" s="787">
        <v>0</v>
      </c>
      <c r="E1853" s="787">
        <v>0</v>
      </c>
      <c r="H1853" s="787">
        <v>1</v>
      </c>
      <c r="J1853" s="788">
        <v>37637</v>
      </c>
      <c r="K1853" s="788">
        <v>40892</v>
      </c>
      <c r="L1853" s="787">
        <v>4.2300000000000004</v>
      </c>
      <c r="M1853" s="787">
        <v>20</v>
      </c>
      <c r="N1853" s="787">
        <v>4.55</v>
      </c>
      <c r="O1853" s="788">
        <v>42144</v>
      </c>
    </row>
    <row r="1854" spans="1:15" x14ac:dyDescent="0.25">
      <c r="A1854" s="786" t="s">
        <v>4128</v>
      </c>
      <c r="B1854" s="787">
        <v>4</v>
      </c>
      <c r="C1854" s="787" t="s">
        <v>4129</v>
      </c>
      <c r="D1854" s="787">
        <v>3.63</v>
      </c>
      <c r="E1854" s="787">
        <v>73.63</v>
      </c>
      <c r="F1854" s="788">
        <v>37637</v>
      </c>
      <c r="G1854" s="788">
        <v>37637</v>
      </c>
      <c r="H1854" s="787">
        <v>1</v>
      </c>
      <c r="I1854" s="788">
        <v>36949</v>
      </c>
      <c r="J1854" s="788">
        <v>37637</v>
      </c>
      <c r="L1854" s="787">
        <v>80.260000000000005</v>
      </c>
      <c r="M1854" s="787">
        <v>20</v>
      </c>
      <c r="N1854" s="787">
        <v>86.28</v>
      </c>
      <c r="O1854" s="788">
        <v>42162</v>
      </c>
    </row>
    <row r="1855" spans="1:15" x14ac:dyDescent="0.25">
      <c r="A1855" s="786" t="s">
        <v>4130</v>
      </c>
      <c r="B1855" s="787">
        <v>4</v>
      </c>
      <c r="C1855" s="787" t="s">
        <v>4131</v>
      </c>
      <c r="D1855" s="787">
        <v>3.63</v>
      </c>
      <c r="E1855" s="787">
        <v>73.63</v>
      </c>
      <c r="F1855" s="788">
        <v>37637</v>
      </c>
      <c r="G1855" s="788">
        <v>37637</v>
      </c>
      <c r="H1855" s="787">
        <v>1</v>
      </c>
      <c r="I1855" s="788">
        <v>38133</v>
      </c>
      <c r="J1855" s="788">
        <v>37637</v>
      </c>
      <c r="L1855" s="787">
        <v>80.260000000000005</v>
      </c>
      <c r="M1855" s="787">
        <v>20</v>
      </c>
      <c r="N1855" s="787">
        <v>86.28</v>
      </c>
      <c r="O1855" s="788">
        <v>41955</v>
      </c>
    </row>
    <row r="1856" spans="1:15" x14ac:dyDescent="0.25">
      <c r="A1856" s="786" t="s">
        <v>4132</v>
      </c>
      <c r="B1856" s="787">
        <v>4</v>
      </c>
      <c r="C1856" s="787" t="s">
        <v>4133</v>
      </c>
      <c r="D1856" s="787">
        <v>0.44</v>
      </c>
      <c r="E1856" s="787">
        <v>4</v>
      </c>
      <c r="F1856" s="788">
        <v>39101</v>
      </c>
      <c r="G1856" s="788">
        <v>42013</v>
      </c>
      <c r="H1856" s="787">
        <v>1</v>
      </c>
      <c r="I1856" s="788">
        <v>42160</v>
      </c>
      <c r="J1856" s="788">
        <v>42025</v>
      </c>
      <c r="L1856" s="787">
        <v>0.05</v>
      </c>
      <c r="M1856" s="787">
        <v>10</v>
      </c>
      <c r="N1856" s="787">
        <v>3.26</v>
      </c>
      <c r="O1856" s="788">
        <v>42162</v>
      </c>
    </row>
    <row r="1857" spans="1:15" x14ac:dyDescent="0.25">
      <c r="A1857" s="786" t="s">
        <v>4134</v>
      </c>
      <c r="B1857" s="787">
        <v>4</v>
      </c>
      <c r="C1857" s="787" t="s">
        <v>4135</v>
      </c>
      <c r="D1857" s="787">
        <v>1.43</v>
      </c>
      <c r="E1857" s="787">
        <v>2.1800000000000002</v>
      </c>
      <c r="F1857" s="788">
        <v>40380</v>
      </c>
      <c r="G1857" s="788">
        <v>42165</v>
      </c>
      <c r="H1857" s="787">
        <v>1</v>
      </c>
      <c r="I1857" s="788">
        <v>42143</v>
      </c>
      <c r="J1857" s="788">
        <v>42144</v>
      </c>
      <c r="L1857" s="787">
        <v>1.89</v>
      </c>
      <c r="M1857" s="787">
        <v>20</v>
      </c>
      <c r="N1857" s="787">
        <v>2.0299999999999998</v>
      </c>
      <c r="O1857" s="788">
        <v>42144</v>
      </c>
    </row>
    <row r="1858" spans="1:15" x14ac:dyDescent="0.25">
      <c r="A1858" s="786" t="s">
        <v>4136</v>
      </c>
      <c r="B1858" s="787">
        <v>4</v>
      </c>
      <c r="C1858" s="787" t="s">
        <v>4137</v>
      </c>
      <c r="D1858" s="787">
        <v>1.01</v>
      </c>
      <c r="E1858" s="787">
        <v>1.01</v>
      </c>
      <c r="F1858" s="788">
        <v>40679</v>
      </c>
      <c r="G1858" s="788">
        <v>40679</v>
      </c>
      <c r="H1858" s="787">
        <v>1</v>
      </c>
      <c r="I1858" s="788">
        <v>40712</v>
      </c>
      <c r="J1858" s="788">
        <v>40676</v>
      </c>
      <c r="K1858" s="788">
        <v>40669</v>
      </c>
      <c r="L1858" s="787">
        <v>1.01</v>
      </c>
      <c r="M1858" s="787">
        <v>20</v>
      </c>
      <c r="N1858" s="787">
        <v>1.0900000000000001</v>
      </c>
      <c r="O1858" s="788">
        <v>41955</v>
      </c>
    </row>
    <row r="1859" spans="1:15" x14ac:dyDescent="0.25">
      <c r="A1859" s="786" t="s">
        <v>4138</v>
      </c>
      <c r="B1859" s="787">
        <v>4</v>
      </c>
      <c r="C1859" s="787" t="s">
        <v>4091</v>
      </c>
      <c r="D1859" s="787">
        <v>7.25</v>
      </c>
      <c r="E1859" s="787">
        <v>7.25</v>
      </c>
      <c r="F1859" s="788">
        <v>41451</v>
      </c>
      <c r="G1859" s="788">
        <v>41480</v>
      </c>
      <c r="H1859" s="787">
        <v>1</v>
      </c>
      <c r="I1859" s="788">
        <v>41494</v>
      </c>
      <c r="J1859" s="788">
        <v>41450</v>
      </c>
      <c r="L1859" s="787">
        <v>7.25</v>
      </c>
      <c r="M1859" s="787">
        <v>20</v>
      </c>
      <c r="N1859" s="787">
        <v>7.79</v>
      </c>
      <c r="O1859" s="788">
        <v>41955</v>
      </c>
    </row>
    <row r="1860" spans="1:15" x14ac:dyDescent="0.25">
      <c r="A1860" s="786" t="s">
        <v>4139</v>
      </c>
      <c r="B1860" s="787">
        <v>4</v>
      </c>
      <c r="C1860" s="787" t="s">
        <v>4140</v>
      </c>
      <c r="D1860" s="787">
        <v>0.14000000000000001</v>
      </c>
      <c r="E1860" s="787">
        <v>0.14000000000000001</v>
      </c>
      <c r="F1860" s="788">
        <v>41794</v>
      </c>
      <c r="G1860" s="788">
        <v>41800</v>
      </c>
      <c r="H1860" s="787">
        <v>1</v>
      </c>
      <c r="I1860" s="788">
        <v>41795</v>
      </c>
      <c r="J1860" s="788">
        <v>41792</v>
      </c>
      <c r="K1860" s="788">
        <v>41865</v>
      </c>
      <c r="L1860" s="787">
        <v>0.14000000000000001</v>
      </c>
      <c r="M1860" s="787">
        <v>20</v>
      </c>
      <c r="N1860" s="787">
        <v>0.15</v>
      </c>
      <c r="O1860" s="788">
        <v>41955</v>
      </c>
    </row>
    <row r="1861" spans="1:15" x14ac:dyDescent="0.25">
      <c r="A1861" s="786" t="s">
        <v>4141</v>
      </c>
      <c r="B1861" s="787">
        <v>4</v>
      </c>
      <c r="C1861" s="787" t="s">
        <v>4142</v>
      </c>
      <c r="D1861" s="787">
        <v>0.15</v>
      </c>
      <c r="E1861" s="787">
        <v>0.15</v>
      </c>
      <c r="F1861" s="788">
        <v>41794</v>
      </c>
      <c r="G1861" s="788">
        <v>41800</v>
      </c>
      <c r="H1861" s="787">
        <v>1</v>
      </c>
      <c r="I1861" s="788">
        <v>41795</v>
      </c>
      <c r="J1861" s="788">
        <v>41792</v>
      </c>
      <c r="K1861" s="788">
        <v>41865</v>
      </c>
      <c r="L1861" s="787">
        <v>0.15</v>
      </c>
      <c r="M1861" s="787">
        <v>20</v>
      </c>
      <c r="N1861" s="787">
        <v>0.16</v>
      </c>
      <c r="O1861" s="788">
        <v>41955</v>
      </c>
    </row>
    <row r="1862" spans="1:15" x14ac:dyDescent="0.25">
      <c r="A1862" s="786" t="s">
        <v>4143</v>
      </c>
      <c r="B1862" s="787">
        <v>4</v>
      </c>
      <c r="C1862" s="787" t="s">
        <v>4144</v>
      </c>
      <c r="D1862" s="787">
        <v>0.06</v>
      </c>
      <c r="E1862" s="787">
        <v>0.06</v>
      </c>
      <c r="F1862" s="788">
        <v>39101</v>
      </c>
      <c r="G1862" s="788">
        <v>39101</v>
      </c>
      <c r="H1862" s="787">
        <v>1</v>
      </c>
      <c r="I1862" s="788">
        <v>39560</v>
      </c>
      <c r="J1862" s="788">
        <v>39101</v>
      </c>
      <c r="L1862" s="787">
        <v>7.0000000000000007E-2</v>
      </c>
      <c r="M1862" s="787">
        <v>20</v>
      </c>
      <c r="N1862" s="787">
        <v>0.08</v>
      </c>
      <c r="O1862" s="788">
        <v>41955</v>
      </c>
    </row>
    <row r="1863" spans="1:15" x14ac:dyDescent="0.25">
      <c r="A1863" s="786" t="s">
        <v>4145</v>
      </c>
      <c r="B1863" s="787">
        <v>4</v>
      </c>
      <c r="C1863" s="787" t="s">
        <v>4146</v>
      </c>
      <c r="D1863" s="787">
        <v>0</v>
      </c>
      <c r="E1863" s="787">
        <v>0</v>
      </c>
      <c r="F1863" s="788">
        <v>39800</v>
      </c>
      <c r="H1863" s="787">
        <v>1</v>
      </c>
      <c r="I1863" s="788">
        <v>39800</v>
      </c>
      <c r="L1863" s="787">
        <v>0.25</v>
      </c>
      <c r="M1863" s="787">
        <v>20</v>
      </c>
      <c r="N1863" s="787">
        <v>0.27</v>
      </c>
      <c r="O1863" s="788">
        <v>41955</v>
      </c>
    </row>
    <row r="1864" spans="1:15" x14ac:dyDescent="0.25">
      <c r="A1864" s="786" t="s">
        <v>4147</v>
      </c>
      <c r="B1864" s="787">
        <v>4</v>
      </c>
      <c r="C1864" s="787" t="s">
        <v>4148</v>
      </c>
      <c r="D1864" s="787">
        <v>6.66</v>
      </c>
      <c r="E1864" s="787">
        <v>16.66</v>
      </c>
      <c r="F1864" s="788">
        <v>39101</v>
      </c>
      <c r="G1864" s="788">
        <v>41949</v>
      </c>
      <c r="H1864" s="787">
        <v>1</v>
      </c>
      <c r="I1864" s="788">
        <v>41949</v>
      </c>
      <c r="J1864" s="788">
        <v>41949</v>
      </c>
      <c r="L1864" s="787">
        <v>16.71</v>
      </c>
      <c r="M1864" s="787">
        <v>10</v>
      </c>
      <c r="N1864" s="787">
        <v>29.6</v>
      </c>
      <c r="O1864" s="788">
        <v>42162</v>
      </c>
    </row>
    <row r="1865" spans="1:15" x14ac:dyDescent="0.25">
      <c r="A1865" s="786" t="s">
        <v>4149</v>
      </c>
      <c r="B1865" s="787">
        <v>4</v>
      </c>
      <c r="C1865" s="787" t="s">
        <v>4150</v>
      </c>
      <c r="D1865" s="787">
        <v>0.39</v>
      </c>
      <c r="E1865" s="787">
        <v>0.39</v>
      </c>
      <c r="F1865" s="788">
        <v>38307</v>
      </c>
      <c r="G1865" s="788">
        <v>38364</v>
      </c>
      <c r="H1865" s="787">
        <v>1</v>
      </c>
      <c r="I1865" s="788">
        <v>38736</v>
      </c>
      <c r="J1865" s="788">
        <v>38295</v>
      </c>
      <c r="L1865" s="787">
        <v>0.43</v>
      </c>
      <c r="M1865" s="787">
        <v>20</v>
      </c>
      <c r="N1865" s="787">
        <v>0.46</v>
      </c>
      <c r="O1865" s="788">
        <v>41955</v>
      </c>
    </row>
    <row r="1866" spans="1:15" x14ac:dyDescent="0.25">
      <c r="A1866" s="786" t="s">
        <v>4151</v>
      </c>
      <c r="B1866" s="787">
        <v>4</v>
      </c>
      <c r="C1866" s="787" t="s">
        <v>4152</v>
      </c>
      <c r="D1866" s="787">
        <v>0.95</v>
      </c>
      <c r="E1866" s="787">
        <v>1.36</v>
      </c>
      <c r="F1866" s="788">
        <v>37637</v>
      </c>
      <c r="G1866" s="788">
        <v>42013</v>
      </c>
      <c r="H1866" s="787">
        <v>1</v>
      </c>
      <c r="I1866" s="788">
        <v>41935</v>
      </c>
      <c r="J1866" s="788">
        <v>41912</v>
      </c>
      <c r="L1866" s="787">
        <v>1.04</v>
      </c>
      <c r="M1866" s="787">
        <v>20</v>
      </c>
      <c r="N1866" s="787">
        <v>1.1200000000000001</v>
      </c>
      <c r="O1866" s="788">
        <v>42159</v>
      </c>
    </row>
    <row r="1867" spans="1:15" x14ac:dyDescent="0.25">
      <c r="A1867" s="786" t="s">
        <v>4153</v>
      </c>
      <c r="B1867" s="787">
        <v>4</v>
      </c>
      <c r="C1867" s="787" t="s">
        <v>4154</v>
      </c>
      <c r="D1867" s="787">
        <v>0.38</v>
      </c>
      <c r="E1867" s="787">
        <v>0.38</v>
      </c>
      <c r="F1867" s="788">
        <v>38635</v>
      </c>
      <c r="G1867" s="788">
        <v>38736</v>
      </c>
      <c r="H1867" s="787">
        <v>1</v>
      </c>
      <c r="I1867" s="788">
        <v>41935</v>
      </c>
      <c r="J1867" s="788">
        <v>38645</v>
      </c>
      <c r="L1867" s="787">
        <v>0.38</v>
      </c>
      <c r="M1867" s="787">
        <v>20</v>
      </c>
      <c r="N1867" s="787">
        <v>0.41</v>
      </c>
      <c r="O1867" s="788">
        <v>42159</v>
      </c>
    </row>
    <row r="1868" spans="1:15" x14ac:dyDescent="0.25">
      <c r="A1868" s="786" t="s">
        <v>4155</v>
      </c>
      <c r="B1868" s="787">
        <v>4</v>
      </c>
      <c r="C1868" s="787" t="s">
        <v>1069</v>
      </c>
      <c r="D1868" s="787">
        <v>0</v>
      </c>
      <c r="E1868" s="787">
        <v>0</v>
      </c>
      <c r="G1868" s="787" t="s">
        <v>1067</v>
      </c>
      <c r="H1868" s="787">
        <v>1</v>
      </c>
      <c r="L1868" s="787">
        <v>0</v>
      </c>
      <c r="M1868" s="787">
        <v>10</v>
      </c>
      <c r="N1868" s="787">
        <v>548.09</v>
      </c>
      <c r="O1868" s="788">
        <v>40740</v>
      </c>
    </row>
    <row r="1869" spans="1:15" x14ac:dyDescent="0.25">
      <c r="A1869" s="786" t="s">
        <v>4156</v>
      </c>
      <c r="B1869" s="787">
        <v>4</v>
      </c>
      <c r="C1869" s="787" t="s">
        <v>4157</v>
      </c>
      <c r="D1869" s="787">
        <v>0.33</v>
      </c>
      <c r="E1869" s="787">
        <v>0.33</v>
      </c>
      <c r="F1869" s="788">
        <v>37637</v>
      </c>
      <c r="G1869" s="788">
        <v>37637</v>
      </c>
      <c r="H1869" s="787">
        <v>1</v>
      </c>
      <c r="J1869" s="788">
        <v>37637</v>
      </c>
      <c r="L1869" s="787">
        <v>0.36</v>
      </c>
      <c r="M1869" s="787">
        <v>20</v>
      </c>
      <c r="N1869" s="787">
        <v>0.39</v>
      </c>
      <c r="O1869" s="788">
        <v>41955</v>
      </c>
    </row>
    <row r="1870" spans="1:15" x14ac:dyDescent="0.25">
      <c r="A1870" s="786" t="s">
        <v>4158</v>
      </c>
      <c r="B1870" s="787">
        <v>4</v>
      </c>
      <c r="C1870" s="787" t="s">
        <v>4157</v>
      </c>
      <c r="D1870" s="787">
        <v>0.12</v>
      </c>
      <c r="E1870" s="787">
        <v>0.12</v>
      </c>
      <c r="F1870" s="788">
        <v>37637</v>
      </c>
      <c r="G1870" s="788">
        <v>38364</v>
      </c>
      <c r="H1870" s="787">
        <v>1</v>
      </c>
      <c r="I1870" s="788">
        <v>38736</v>
      </c>
      <c r="J1870" s="788">
        <v>37637</v>
      </c>
      <c r="L1870" s="787">
        <v>0.13</v>
      </c>
      <c r="M1870" s="787">
        <v>20</v>
      </c>
      <c r="N1870" s="787">
        <v>0.14000000000000001</v>
      </c>
      <c r="O1870" s="788">
        <v>41955</v>
      </c>
    </row>
    <row r="1871" spans="1:15" x14ac:dyDescent="0.25">
      <c r="A1871" s="786" t="s">
        <v>4159</v>
      </c>
      <c r="B1871" s="787">
        <v>4</v>
      </c>
      <c r="C1871" s="787" t="s">
        <v>4157</v>
      </c>
      <c r="D1871" s="787">
        <v>0.57999999999999996</v>
      </c>
      <c r="E1871" s="787">
        <v>0.57999999999999996</v>
      </c>
      <c r="F1871" s="788">
        <v>39101</v>
      </c>
      <c r="G1871" s="788">
        <v>39101</v>
      </c>
      <c r="H1871" s="787">
        <v>1</v>
      </c>
      <c r="I1871" s="788">
        <v>39134</v>
      </c>
      <c r="J1871" s="788">
        <v>39149</v>
      </c>
      <c r="L1871" s="787">
        <v>0.63</v>
      </c>
      <c r="M1871" s="787">
        <v>20</v>
      </c>
      <c r="N1871" s="787">
        <v>0.68</v>
      </c>
      <c r="O1871" s="788">
        <v>41955</v>
      </c>
    </row>
    <row r="1872" spans="1:15" x14ac:dyDescent="0.25">
      <c r="A1872" s="786" t="s">
        <v>4160</v>
      </c>
      <c r="B1872" s="787">
        <v>4</v>
      </c>
      <c r="C1872" s="787" t="s">
        <v>4157</v>
      </c>
      <c r="D1872" s="787">
        <v>0.33</v>
      </c>
      <c r="E1872" s="787">
        <v>0.33</v>
      </c>
      <c r="F1872" s="788">
        <v>39101</v>
      </c>
      <c r="G1872" s="788">
        <v>39101</v>
      </c>
      <c r="H1872" s="787">
        <v>1</v>
      </c>
      <c r="I1872" s="788">
        <v>42142</v>
      </c>
      <c r="J1872" s="788">
        <v>41535</v>
      </c>
      <c r="L1872" s="787">
        <v>0.36</v>
      </c>
      <c r="M1872" s="787">
        <v>20</v>
      </c>
      <c r="N1872" s="787">
        <v>0.39</v>
      </c>
      <c r="O1872" s="788">
        <v>42164</v>
      </c>
    </row>
    <row r="1873" spans="1:15" x14ac:dyDescent="0.25">
      <c r="A1873" s="786" t="s">
        <v>4161</v>
      </c>
      <c r="B1873" s="787">
        <v>4</v>
      </c>
      <c r="C1873" s="787" t="s">
        <v>4162</v>
      </c>
      <c r="D1873" s="787">
        <v>0.45</v>
      </c>
      <c r="E1873" s="787">
        <v>0.45</v>
      </c>
      <c r="F1873" s="788">
        <v>39101</v>
      </c>
      <c r="G1873" s="788">
        <v>39101</v>
      </c>
      <c r="H1873" s="787">
        <v>1</v>
      </c>
      <c r="I1873" s="788">
        <v>39134</v>
      </c>
      <c r="J1873" s="788">
        <v>39149</v>
      </c>
      <c r="L1873" s="787">
        <v>0.55000000000000004</v>
      </c>
      <c r="M1873" s="787">
        <v>20</v>
      </c>
      <c r="N1873" s="787">
        <v>0.59</v>
      </c>
      <c r="O1873" s="788">
        <v>41955</v>
      </c>
    </row>
    <row r="1874" spans="1:15" x14ac:dyDescent="0.25">
      <c r="A1874" s="786" t="s">
        <v>4163</v>
      </c>
      <c r="B1874" s="787">
        <v>4</v>
      </c>
      <c r="C1874" s="787" t="s">
        <v>4157</v>
      </c>
      <c r="D1874" s="787">
        <v>0.5</v>
      </c>
      <c r="E1874" s="787">
        <v>0.5</v>
      </c>
      <c r="F1874" s="788">
        <v>39101</v>
      </c>
      <c r="G1874" s="788">
        <v>39101</v>
      </c>
      <c r="H1874" s="787">
        <v>1</v>
      </c>
      <c r="I1874" s="788">
        <v>39134</v>
      </c>
      <c r="J1874" s="788">
        <v>39149</v>
      </c>
      <c r="L1874" s="787">
        <v>0.55000000000000004</v>
      </c>
      <c r="M1874" s="787">
        <v>20</v>
      </c>
      <c r="N1874" s="787">
        <v>0.59</v>
      </c>
      <c r="O1874" s="788">
        <v>41955</v>
      </c>
    </row>
    <row r="1875" spans="1:15" x14ac:dyDescent="0.25">
      <c r="A1875" s="786" t="s">
        <v>4164</v>
      </c>
      <c r="B1875" s="787">
        <v>4</v>
      </c>
      <c r="C1875" s="787" t="s">
        <v>4157</v>
      </c>
      <c r="D1875" s="787">
        <v>2.56</v>
      </c>
      <c r="E1875" s="787">
        <v>2.56</v>
      </c>
      <c r="F1875" s="788">
        <v>39101</v>
      </c>
      <c r="G1875" s="788">
        <v>39101</v>
      </c>
      <c r="H1875" s="787">
        <v>1</v>
      </c>
      <c r="I1875" s="788">
        <v>41985</v>
      </c>
      <c r="J1875" s="788">
        <v>39149</v>
      </c>
      <c r="L1875" s="787">
        <v>2.79</v>
      </c>
      <c r="M1875" s="787">
        <v>20</v>
      </c>
      <c r="N1875" s="787">
        <v>3</v>
      </c>
      <c r="O1875" s="788">
        <v>41955</v>
      </c>
    </row>
    <row r="1876" spans="1:15" x14ac:dyDescent="0.25">
      <c r="A1876" s="786" t="s">
        <v>4165</v>
      </c>
      <c r="B1876" s="787">
        <v>4</v>
      </c>
      <c r="C1876" s="787" t="s">
        <v>4166</v>
      </c>
      <c r="D1876" s="787">
        <v>0.35</v>
      </c>
      <c r="E1876" s="787">
        <v>0.35</v>
      </c>
      <c r="F1876" s="788">
        <v>39101</v>
      </c>
      <c r="G1876" s="788">
        <v>39101</v>
      </c>
      <c r="H1876" s="787">
        <v>1</v>
      </c>
      <c r="I1876" s="788">
        <v>42083</v>
      </c>
      <c r="J1876" s="788">
        <v>42086</v>
      </c>
      <c r="L1876" s="787">
        <v>0.38</v>
      </c>
      <c r="M1876" s="787">
        <v>20</v>
      </c>
      <c r="N1876" s="787">
        <v>0.41</v>
      </c>
      <c r="O1876" s="788">
        <v>42164</v>
      </c>
    </row>
    <row r="1877" spans="1:15" x14ac:dyDescent="0.25">
      <c r="A1877" s="786" t="s">
        <v>4167</v>
      </c>
      <c r="B1877" s="787">
        <v>4</v>
      </c>
      <c r="C1877" s="787" t="s">
        <v>4168</v>
      </c>
      <c r="D1877" s="787">
        <v>0.32</v>
      </c>
      <c r="E1877" s="787">
        <v>0.32</v>
      </c>
      <c r="F1877" s="788">
        <v>39101</v>
      </c>
      <c r="G1877" s="788">
        <v>39101</v>
      </c>
      <c r="H1877" s="787">
        <v>1</v>
      </c>
      <c r="I1877" s="788">
        <v>39134</v>
      </c>
      <c r="J1877" s="788">
        <v>39149</v>
      </c>
      <c r="L1877" s="787">
        <v>0.35</v>
      </c>
      <c r="M1877" s="787">
        <v>20</v>
      </c>
      <c r="N1877" s="787">
        <v>0.38</v>
      </c>
      <c r="O1877" s="788">
        <v>41955</v>
      </c>
    </row>
    <row r="1878" spans="1:15" x14ac:dyDescent="0.25">
      <c r="A1878" s="786" t="s">
        <v>4169</v>
      </c>
      <c r="B1878" s="787">
        <v>4</v>
      </c>
      <c r="C1878" s="787" t="s">
        <v>4157</v>
      </c>
      <c r="D1878" s="787">
        <v>0.11</v>
      </c>
      <c r="E1878" s="787">
        <v>0.11</v>
      </c>
      <c r="F1878" s="788">
        <v>37637</v>
      </c>
      <c r="G1878" s="788">
        <v>38364</v>
      </c>
      <c r="H1878" s="787">
        <v>1</v>
      </c>
      <c r="I1878" s="788">
        <v>38736</v>
      </c>
      <c r="J1878" s="788">
        <v>37637</v>
      </c>
      <c r="L1878" s="787">
        <v>0.12</v>
      </c>
      <c r="M1878" s="787">
        <v>20</v>
      </c>
      <c r="N1878" s="787">
        <v>0.13</v>
      </c>
      <c r="O1878" s="788">
        <v>41955</v>
      </c>
    </row>
    <row r="1879" spans="1:15" x14ac:dyDescent="0.25">
      <c r="A1879" s="786" t="s">
        <v>4170</v>
      </c>
      <c r="B1879" s="787">
        <v>4</v>
      </c>
      <c r="C1879" s="787" t="s">
        <v>4171</v>
      </c>
      <c r="D1879" s="787">
        <v>0.02</v>
      </c>
      <c r="E1879" s="787">
        <v>0.02</v>
      </c>
      <c r="F1879" s="788">
        <v>39101</v>
      </c>
      <c r="G1879" s="788">
        <v>39101</v>
      </c>
      <c r="H1879" s="787">
        <v>1</v>
      </c>
      <c r="I1879" s="788">
        <v>39134</v>
      </c>
      <c r="J1879" s="788">
        <v>39149</v>
      </c>
      <c r="L1879" s="787">
        <v>0.02</v>
      </c>
      <c r="M1879" s="787">
        <v>20</v>
      </c>
      <c r="N1879" s="787">
        <v>0.02</v>
      </c>
      <c r="O1879" s="788">
        <v>41955</v>
      </c>
    </row>
    <row r="1880" spans="1:15" x14ac:dyDescent="0.25">
      <c r="A1880" s="786" t="s">
        <v>4172</v>
      </c>
      <c r="B1880" s="787">
        <v>4</v>
      </c>
      <c r="C1880" s="787" t="s">
        <v>4173</v>
      </c>
      <c r="D1880" s="787">
        <v>0.41</v>
      </c>
      <c r="E1880" s="787">
        <v>0.41</v>
      </c>
      <c r="F1880" s="788">
        <v>38047</v>
      </c>
      <c r="G1880" s="788">
        <v>38736</v>
      </c>
      <c r="H1880" s="787">
        <v>1</v>
      </c>
      <c r="I1880" s="788">
        <v>42166</v>
      </c>
      <c r="J1880" s="788">
        <v>38047</v>
      </c>
      <c r="L1880" s="787">
        <v>0.45</v>
      </c>
      <c r="M1880" s="787">
        <v>20</v>
      </c>
      <c r="N1880" s="787">
        <v>0.48</v>
      </c>
      <c r="O1880" s="788">
        <v>42115</v>
      </c>
    </row>
    <row r="1881" spans="1:15" x14ac:dyDescent="0.25">
      <c r="A1881" s="786" t="s">
        <v>4174</v>
      </c>
      <c r="B1881" s="787">
        <v>4</v>
      </c>
      <c r="C1881" s="787" t="s">
        <v>4173</v>
      </c>
      <c r="D1881" s="787">
        <v>0.04</v>
      </c>
      <c r="E1881" s="787">
        <v>0.04</v>
      </c>
      <c r="F1881" s="788">
        <v>39101</v>
      </c>
      <c r="G1881" s="788">
        <v>39101</v>
      </c>
      <c r="H1881" s="787">
        <v>1</v>
      </c>
      <c r="I1881" s="788">
        <v>40339</v>
      </c>
      <c r="J1881" s="788">
        <v>39149</v>
      </c>
      <c r="L1881" s="787">
        <v>0.04</v>
      </c>
      <c r="M1881" s="787">
        <v>20</v>
      </c>
      <c r="N1881" s="787">
        <v>0.04</v>
      </c>
      <c r="O1881" s="788">
        <v>41955</v>
      </c>
    </row>
    <row r="1882" spans="1:15" x14ac:dyDescent="0.25">
      <c r="A1882" s="786" t="s">
        <v>4175</v>
      </c>
      <c r="B1882" s="787">
        <v>4</v>
      </c>
      <c r="C1882" s="787" t="s">
        <v>4173</v>
      </c>
      <c r="D1882" s="787">
        <v>0.46</v>
      </c>
      <c r="E1882" s="787">
        <v>0.46</v>
      </c>
      <c r="F1882" s="788">
        <v>38047</v>
      </c>
      <c r="G1882" s="788">
        <v>38736</v>
      </c>
      <c r="H1882" s="787">
        <v>1</v>
      </c>
      <c r="I1882" s="788">
        <v>40339</v>
      </c>
      <c r="J1882" s="788">
        <v>38047</v>
      </c>
      <c r="L1882" s="787">
        <v>0.5</v>
      </c>
      <c r="M1882" s="787">
        <v>20</v>
      </c>
      <c r="N1882" s="787">
        <v>0.54</v>
      </c>
      <c r="O1882" s="788">
        <v>41955</v>
      </c>
    </row>
    <row r="1883" spans="1:15" x14ac:dyDescent="0.25">
      <c r="A1883" s="786" t="s">
        <v>4176</v>
      </c>
      <c r="B1883" s="787">
        <v>4</v>
      </c>
      <c r="C1883" s="787" t="s">
        <v>4173</v>
      </c>
      <c r="D1883" s="787">
        <v>0</v>
      </c>
      <c r="E1883" s="787">
        <v>0</v>
      </c>
      <c r="H1883" s="787">
        <v>1</v>
      </c>
      <c r="I1883" s="788">
        <v>42159</v>
      </c>
      <c r="K1883" s="788">
        <v>42052</v>
      </c>
      <c r="L1883" s="787">
        <v>0.04</v>
      </c>
      <c r="M1883" s="787">
        <v>20</v>
      </c>
      <c r="N1883" s="787">
        <v>0.04</v>
      </c>
      <c r="O1883" s="788">
        <v>42146</v>
      </c>
    </row>
    <row r="1884" spans="1:15" x14ac:dyDescent="0.25">
      <c r="A1884" s="786" t="s">
        <v>4177</v>
      </c>
      <c r="B1884" s="787">
        <v>4</v>
      </c>
      <c r="C1884" s="787" t="s">
        <v>4178</v>
      </c>
      <c r="D1884" s="787">
        <v>0</v>
      </c>
      <c r="E1884" s="787">
        <v>0.05</v>
      </c>
      <c r="H1884" s="787">
        <v>1</v>
      </c>
      <c r="L1884" s="787">
        <v>0.05</v>
      </c>
      <c r="M1884" s="787">
        <v>20</v>
      </c>
      <c r="N1884" s="787">
        <v>0.05</v>
      </c>
      <c r="O1884" s="788">
        <v>41955</v>
      </c>
    </row>
    <row r="1885" spans="1:15" x14ac:dyDescent="0.25">
      <c r="A1885" s="786" t="s">
        <v>4179</v>
      </c>
      <c r="B1885" s="787">
        <v>4</v>
      </c>
      <c r="C1885" s="787" t="s">
        <v>4180</v>
      </c>
      <c r="D1885" s="787">
        <v>0</v>
      </c>
      <c r="E1885" s="787">
        <v>0</v>
      </c>
      <c r="H1885" s="787">
        <v>1</v>
      </c>
      <c r="I1885" s="788">
        <v>42058</v>
      </c>
      <c r="L1885" s="787">
        <v>0</v>
      </c>
      <c r="M1885" s="787">
        <v>20</v>
      </c>
      <c r="N1885" s="787">
        <v>0.01</v>
      </c>
      <c r="O1885" s="788">
        <v>41955</v>
      </c>
    </row>
    <row r="1886" spans="1:15" x14ac:dyDescent="0.25">
      <c r="A1886" s="786" t="s">
        <v>4181</v>
      </c>
      <c r="B1886" s="787">
        <v>4</v>
      </c>
      <c r="C1886" s="787" t="s">
        <v>4157</v>
      </c>
      <c r="D1886" s="787">
        <v>0.44</v>
      </c>
      <c r="E1886" s="787">
        <v>0.44</v>
      </c>
      <c r="F1886" s="788">
        <v>38047</v>
      </c>
      <c r="G1886" s="788">
        <v>38047</v>
      </c>
      <c r="H1886" s="787">
        <v>1</v>
      </c>
      <c r="I1886" s="788">
        <v>38233</v>
      </c>
      <c r="J1886" s="788">
        <v>38047</v>
      </c>
      <c r="L1886" s="787">
        <v>0.48</v>
      </c>
      <c r="M1886" s="787">
        <v>20</v>
      </c>
      <c r="N1886" s="787">
        <v>0.52</v>
      </c>
      <c r="O1886" s="788">
        <v>41955</v>
      </c>
    </row>
    <row r="1887" spans="1:15" x14ac:dyDescent="0.25">
      <c r="A1887" s="786" t="s">
        <v>4182</v>
      </c>
      <c r="B1887" s="787">
        <v>4</v>
      </c>
      <c r="C1887" s="787" t="s">
        <v>4183</v>
      </c>
      <c r="D1887" s="787">
        <v>1.5</v>
      </c>
      <c r="E1887" s="787">
        <v>11.5</v>
      </c>
      <c r="F1887" s="788">
        <v>38047</v>
      </c>
      <c r="G1887" s="788">
        <v>38047</v>
      </c>
      <c r="H1887" s="787">
        <v>1</v>
      </c>
      <c r="I1887" s="788">
        <v>39561</v>
      </c>
      <c r="J1887" s="788">
        <v>38047</v>
      </c>
      <c r="L1887" s="787">
        <v>12.54</v>
      </c>
      <c r="M1887" s="787">
        <v>20</v>
      </c>
      <c r="N1887" s="787">
        <v>13.48</v>
      </c>
      <c r="O1887" s="788">
        <v>41955</v>
      </c>
    </row>
    <row r="1888" spans="1:15" x14ac:dyDescent="0.25">
      <c r="A1888" s="786" t="s">
        <v>4184</v>
      </c>
      <c r="B1888" s="787">
        <v>4</v>
      </c>
      <c r="C1888" s="787" t="s">
        <v>4185</v>
      </c>
      <c r="D1888" s="787">
        <v>0</v>
      </c>
      <c r="E1888" s="787">
        <v>0</v>
      </c>
      <c r="H1888" s="787">
        <v>1</v>
      </c>
      <c r="L1888" s="787">
        <v>0</v>
      </c>
      <c r="M1888" s="787">
        <v>20</v>
      </c>
      <c r="N1888" s="787">
        <v>0.01</v>
      </c>
      <c r="O1888" s="788">
        <v>42082</v>
      </c>
    </row>
    <row r="1889" spans="1:15" x14ac:dyDescent="0.25">
      <c r="A1889" s="786" t="s">
        <v>4186</v>
      </c>
      <c r="B1889" s="787">
        <v>4</v>
      </c>
      <c r="C1889" s="787" t="s">
        <v>4173</v>
      </c>
      <c r="D1889" s="787">
        <v>0</v>
      </c>
      <c r="E1889" s="787">
        <v>0</v>
      </c>
      <c r="H1889" s="787">
        <v>1</v>
      </c>
      <c r="I1889" s="788">
        <v>41593</v>
      </c>
      <c r="L1889" s="787">
        <v>0</v>
      </c>
      <c r="M1889" s="787">
        <v>20</v>
      </c>
      <c r="N1889" s="787">
        <v>0.01</v>
      </c>
      <c r="O1889" s="788">
        <v>41955</v>
      </c>
    </row>
    <row r="1890" spans="1:15" x14ac:dyDescent="0.25">
      <c r="A1890" s="786" t="s">
        <v>4187</v>
      </c>
      <c r="B1890" s="787">
        <v>4</v>
      </c>
      <c r="C1890" s="787" t="s">
        <v>4188</v>
      </c>
      <c r="D1890" s="787">
        <v>0</v>
      </c>
      <c r="E1890" s="787">
        <v>0</v>
      </c>
      <c r="H1890" s="787">
        <v>1</v>
      </c>
      <c r="I1890" s="788">
        <v>41593</v>
      </c>
      <c r="K1890" s="788">
        <v>39854</v>
      </c>
      <c r="L1890" s="787">
        <v>0.36</v>
      </c>
      <c r="M1890" s="787">
        <v>20</v>
      </c>
      <c r="N1890" s="787">
        <v>0.39</v>
      </c>
      <c r="O1890" s="788">
        <v>41955</v>
      </c>
    </row>
    <row r="1891" spans="1:15" x14ac:dyDescent="0.25">
      <c r="A1891" s="786" t="s">
        <v>4189</v>
      </c>
      <c r="B1891" s="787">
        <v>4</v>
      </c>
      <c r="C1891" s="787" t="s">
        <v>4173</v>
      </c>
      <c r="D1891" s="787">
        <v>0</v>
      </c>
      <c r="E1891" s="787">
        <v>0</v>
      </c>
      <c r="H1891" s="787">
        <v>1</v>
      </c>
      <c r="I1891" s="788">
        <v>40339</v>
      </c>
      <c r="L1891" s="787">
        <v>0</v>
      </c>
      <c r="M1891" s="787">
        <v>20</v>
      </c>
      <c r="N1891" s="787">
        <v>0.01</v>
      </c>
      <c r="O1891" s="788">
        <v>41955</v>
      </c>
    </row>
    <row r="1892" spans="1:15" x14ac:dyDescent="0.25">
      <c r="A1892" s="786" t="s">
        <v>4190</v>
      </c>
      <c r="B1892" s="787">
        <v>4</v>
      </c>
      <c r="C1892" s="787" t="s">
        <v>4173</v>
      </c>
      <c r="D1892" s="787">
        <v>0</v>
      </c>
      <c r="E1892" s="787">
        <v>0</v>
      </c>
      <c r="H1892" s="787">
        <v>1</v>
      </c>
      <c r="I1892" s="788">
        <v>42152</v>
      </c>
      <c r="L1892" s="787">
        <v>0.01</v>
      </c>
      <c r="M1892" s="787">
        <v>20</v>
      </c>
      <c r="N1892" s="787">
        <v>0.01</v>
      </c>
      <c r="O1892" s="788">
        <v>42146</v>
      </c>
    </row>
    <row r="1893" spans="1:15" x14ac:dyDescent="0.25">
      <c r="A1893" s="786" t="s">
        <v>4191</v>
      </c>
      <c r="B1893" s="787">
        <v>4</v>
      </c>
      <c r="C1893" s="787" t="s">
        <v>1069</v>
      </c>
      <c r="D1893" s="787">
        <v>0</v>
      </c>
      <c r="E1893" s="787">
        <v>0</v>
      </c>
      <c r="G1893" s="787" t="s">
        <v>1067</v>
      </c>
      <c r="H1893" s="787">
        <v>1</v>
      </c>
      <c r="L1893" s="787">
        <v>0</v>
      </c>
      <c r="M1893" s="787">
        <v>10</v>
      </c>
      <c r="N1893" s="787">
        <v>548.09</v>
      </c>
      <c r="O1893" s="788">
        <v>40740</v>
      </c>
    </row>
    <row r="1894" spans="1:15" x14ac:dyDescent="0.25">
      <c r="A1894" s="786" t="s">
        <v>4192</v>
      </c>
      <c r="B1894" s="787">
        <v>4</v>
      </c>
      <c r="C1894" s="787" t="s">
        <v>4193</v>
      </c>
      <c r="D1894" s="787">
        <v>0</v>
      </c>
      <c r="E1894" s="787">
        <v>0</v>
      </c>
      <c r="H1894" s="787">
        <v>1</v>
      </c>
      <c r="K1894" s="788">
        <v>40918</v>
      </c>
      <c r="L1894" s="787">
        <v>10</v>
      </c>
      <c r="M1894" s="787">
        <v>20</v>
      </c>
      <c r="N1894" s="787">
        <v>10.75</v>
      </c>
      <c r="O1894" s="788">
        <v>41955</v>
      </c>
    </row>
    <row r="1895" spans="1:15" x14ac:dyDescent="0.25">
      <c r="A1895" s="786" t="s">
        <v>4194</v>
      </c>
      <c r="B1895" s="787">
        <v>4</v>
      </c>
      <c r="C1895" s="787" t="s">
        <v>4195</v>
      </c>
      <c r="D1895" s="787">
        <v>0</v>
      </c>
      <c r="E1895" s="787">
        <v>0</v>
      </c>
      <c r="G1895" s="788">
        <v>41598</v>
      </c>
      <c r="H1895" s="787">
        <v>1</v>
      </c>
      <c r="I1895" s="788">
        <v>41520</v>
      </c>
      <c r="J1895" s="788">
        <v>41598</v>
      </c>
      <c r="L1895" s="787">
        <v>10</v>
      </c>
      <c r="M1895" s="787">
        <v>20</v>
      </c>
      <c r="N1895" s="787">
        <v>10.75</v>
      </c>
      <c r="O1895" s="788">
        <v>41989</v>
      </c>
    </row>
    <row r="1896" spans="1:15" x14ac:dyDescent="0.25">
      <c r="A1896" s="786" t="s">
        <v>4196</v>
      </c>
      <c r="B1896" s="787">
        <v>4</v>
      </c>
      <c r="C1896" s="787" t="s">
        <v>1069</v>
      </c>
      <c r="D1896" s="787">
        <v>0</v>
      </c>
      <c r="E1896" s="787">
        <v>0</v>
      </c>
      <c r="G1896" s="787" t="s">
        <v>1067</v>
      </c>
      <c r="H1896" s="787">
        <v>1</v>
      </c>
      <c r="L1896" s="787">
        <v>0</v>
      </c>
      <c r="M1896" s="787">
        <v>10</v>
      </c>
      <c r="N1896" s="787">
        <v>548.09</v>
      </c>
      <c r="O1896" s="788">
        <v>40740</v>
      </c>
    </row>
    <row r="1897" spans="1:15" x14ac:dyDescent="0.25">
      <c r="A1897" s="786" t="s">
        <v>4197</v>
      </c>
      <c r="B1897" s="787">
        <v>4</v>
      </c>
      <c r="C1897" s="787" t="s">
        <v>4198</v>
      </c>
      <c r="D1897" s="787">
        <v>2.46</v>
      </c>
      <c r="E1897" s="787">
        <v>2.46</v>
      </c>
      <c r="F1897" s="788">
        <v>37637</v>
      </c>
      <c r="G1897" s="788">
        <v>37637</v>
      </c>
      <c r="H1897" s="787">
        <v>1</v>
      </c>
      <c r="J1897" s="788">
        <v>37637</v>
      </c>
      <c r="L1897" s="787">
        <v>2.87</v>
      </c>
      <c r="M1897" s="787">
        <v>10</v>
      </c>
      <c r="N1897" s="787">
        <v>4.01</v>
      </c>
      <c r="O1897" s="788">
        <v>42053</v>
      </c>
    </row>
    <row r="1898" spans="1:15" x14ac:dyDescent="0.25">
      <c r="A1898" s="786" t="s">
        <v>4199</v>
      </c>
      <c r="B1898" s="787">
        <v>4</v>
      </c>
      <c r="C1898" s="787" t="s">
        <v>4200</v>
      </c>
      <c r="D1898" s="787">
        <v>4.01</v>
      </c>
      <c r="E1898" s="787">
        <v>4.01</v>
      </c>
      <c r="F1898" s="788">
        <v>37637</v>
      </c>
      <c r="G1898" s="788">
        <v>37637</v>
      </c>
      <c r="H1898" s="787">
        <v>1</v>
      </c>
      <c r="J1898" s="788">
        <v>37637</v>
      </c>
      <c r="L1898" s="787">
        <v>1.42</v>
      </c>
      <c r="M1898" s="787">
        <v>10</v>
      </c>
      <c r="N1898" s="787">
        <v>6.59</v>
      </c>
      <c r="O1898" s="788">
        <v>42053</v>
      </c>
    </row>
    <row r="1899" spans="1:15" x14ac:dyDescent="0.25">
      <c r="A1899" s="786" t="s">
        <v>4201</v>
      </c>
      <c r="B1899" s="787">
        <v>4</v>
      </c>
      <c r="C1899" s="787" t="s">
        <v>4202</v>
      </c>
      <c r="D1899" s="787">
        <v>2.46</v>
      </c>
      <c r="E1899" s="787">
        <v>2.46</v>
      </c>
      <c r="F1899" s="788">
        <v>37637</v>
      </c>
      <c r="G1899" s="788">
        <v>37637</v>
      </c>
      <c r="H1899" s="787">
        <v>1</v>
      </c>
      <c r="J1899" s="788">
        <v>37637</v>
      </c>
      <c r="L1899" s="787">
        <v>2.87</v>
      </c>
      <c r="M1899" s="787">
        <v>10</v>
      </c>
      <c r="N1899" s="787">
        <v>4.08</v>
      </c>
      <c r="O1899" s="788">
        <v>42053</v>
      </c>
    </row>
    <row r="1900" spans="1:15" x14ac:dyDescent="0.25">
      <c r="A1900" s="786" t="s">
        <v>4203</v>
      </c>
      <c r="B1900" s="787">
        <v>4</v>
      </c>
      <c r="C1900" s="787" t="s">
        <v>4204</v>
      </c>
      <c r="D1900" s="787">
        <v>4.01</v>
      </c>
      <c r="E1900" s="787">
        <v>4.01</v>
      </c>
      <c r="F1900" s="788">
        <v>37637</v>
      </c>
      <c r="G1900" s="788">
        <v>37637</v>
      </c>
      <c r="H1900" s="787">
        <v>1</v>
      </c>
      <c r="J1900" s="788">
        <v>37637</v>
      </c>
      <c r="L1900" s="787">
        <v>1.42</v>
      </c>
      <c r="M1900" s="787">
        <v>10</v>
      </c>
      <c r="N1900" s="787">
        <v>6.66</v>
      </c>
      <c r="O1900" s="788">
        <v>42053</v>
      </c>
    </row>
    <row r="1901" spans="1:15" x14ac:dyDescent="0.25">
      <c r="A1901" s="786" t="s">
        <v>4205</v>
      </c>
      <c r="B1901" s="787">
        <v>4</v>
      </c>
      <c r="C1901" s="787" t="s">
        <v>4206</v>
      </c>
      <c r="D1901" s="787">
        <v>6.41</v>
      </c>
      <c r="E1901" s="787">
        <v>6.41</v>
      </c>
      <c r="F1901" s="788">
        <v>37637</v>
      </c>
      <c r="G1901" s="788">
        <v>37637</v>
      </c>
      <c r="H1901" s="787">
        <v>1</v>
      </c>
      <c r="J1901" s="788">
        <v>37637</v>
      </c>
      <c r="L1901" s="787">
        <v>13.16</v>
      </c>
      <c r="M1901" s="787">
        <v>10</v>
      </c>
      <c r="N1901" s="787">
        <v>15.77</v>
      </c>
      <c r="O1901" s="788">
        <v>42053</v>
      </c>
    </row>
    <row r="1902" spans="1:15" x14ac:dyDescent="0.25">
      <c r="A1902" s="786" t="s">
        <v>4207</v>
      </c>
      <c r="B1902" s="787">
        <v>4</v>
      </c>
      <c r="C1902" s="787" t="s">
        <v>4208</v>
      </c>
      <c r="D1902" s="787">
        <v>1.17</v>
      </c>
      <c r="E1902" s="787">
        <v>1.17</v>
      </c>
      <c r="F1902" s="788">
        <v>37637</v>
      </c>
      <c r="G1902" s="788">
        <v>37637</v>
      </c>
      <c r="H1902" s="787">
        <v>1</v>
      </c>
      <c r="J1902" s="788">
        <v>37637</v>
      </c>
      <c r="L1902" s="787">
        <v>0.59</v>
      </c>
      <c r="M1902" s="787">
        <v>10</v>
      </c>
      <c r="N1902" s="787">
        <v>11.15</v>
      </c>
      <c r="O1902" s="788">
        <v>42053</v>
      </c>
    </row>
    <row r="1903" spans="1:15" x14ac:dyDescent="0.25">
      <c r="A1903" s="786" t="s">
        <v>4209</v>
      </c>
      <c r="B1903" s="787">
        <v>4</v>
      </c>
      <c r="C1903" s="787" t="s">
        <v>4210</v>
      </c>
      <c r="D1903" s="787">
        <v>2.46</v>
      </c>
      <c r="E1903" s="787">
        <v>2.46</v>
      </c>
      <c r="F1903" s="788">
        <v>37637</v>
      </c>
      <c r="G1903" s="788">
        <v>37637</v>
      </c>
      <c r="H1903" s="787">
        <v>1</v>
      </c>
      <c r="J1903" s="788">
        <v>37637</v>
      </c>
      <c r="L1903" s="787">
        <v>2.87</v>
      </c>
      <c r="M1903" s="787">
        <v>10</v>
      </c>
      <c r="N1903" s="787">
        <v>4.08</v>
      </c>
      <c r="O1903" s="788">
        <v>42053</v>
      </c>
    </row>
    <row r="1904" spans="1:15" x14ac:dyDescent="0.25">
      <c r="A1904" s="786" t="s">
        <v>4211</v>
      </c>
      <c r="B1904" s="787">
        <v>4</v>
      </c>
      <c r="C1904" s="787" t="s">
        <v>4212</v>
      </c>
      <c r="D1904" s="787">
        <v>1.17</v>
      </c>
      <c r="E1904" s="787">
        <v>1.17</v>
      </c>
      <c r="F1904" s="788">
        <v>37637</v>
      </c>
      <c r="G1904" s="788">
        <v>37637</v>
      </c>
      <c r="H1904" s="787">
        <v>1</v>
      </c>
      <c r="J1904" s="788">
        <v>37637</v>
      </c>
      <c r="L1904" s="787">
        <v>0.59</v>
      </c>
      <c r="M1904" s="787">
        <v>10</v>
      </c>
      <c r="N1904" s="787">
        <v>11.15</v>
      </c>
      <c r="O1904" s="788">
        <v>42053</v>
      </c>
    </row>
    <row r="1905" spans="1:15" x14ac:dyDescent="0.25">
      <c r="A1905" s="786" t="s">
        <v>4213</v>
      </c>
      <c r="B1905" s="787">
        <v>4</v>
      </c>
      <c r="C1905" s="787" t="s">
        <v>4214</v>
      </c>
      <c r="D1905" s="787">
        <v>2.46</v>
      </c>
      <c r="E1905" s="787">
        <v>2.46</v>
      </c>
      <c r="F1905" s="788">
        <v>37637</v>
      </c>
      <c r="G1905" s="788">
        <v>37637</v>
      </c>
      <c r="H1905" s="787">
        <v>1</v>
      </c>
      <c r="J1905" s="788">
        <v>37637</v>
      </c>
      <c r="L1905" s="787">
        <v>2.87</v>
      </c>
      <c r="M1905" s="787">
        <v>10</v>
      </c>
      <c r="N1905" s="787">
        <v>4.08</v>
      </c>
      <c r="O1905" s="788">
        <v>42053</v>
      </c>
    </row>
    <row r="1906" spans="1:15" x14ac:dyDescent="0.25">
      <c r="A1906" s="786" t="s">
        <v>4215</v>
      </c>
      <c r="B1906" s="787">
        <v>4</v>
      </c>
      <c r="C1906" s="787" t="s">
        <v>4216</v>
      </c>
      <c r="D1906" s="787">
        <v>1.17</v>
      </c>
      <c r="E1906" s="787">
        <v>1.17</v>
      </c>
      <c r="F1906" s="788">
        <v>37637</v>
      </c>
      <c r="G1906" s="788">
        <v>37637</v>
      </c>
      <c r="H1906" s="787">
        <v>1</v>
      </c>
      <c r="J1906" s="788">
        <v>37637</v>
      </c>
      <c r="L1906" s="787">
        <v>0.59</v>
      </c>
      <c r="M1906" s="787">
        <v>10</v>
      </c>
      <c r="N1906" s="787">
        <v>11.07</v>
      </c>
      <c r="O1906" s="788">
        <v>42053</v>
      </c>
    </row>
    <row r="1907" spans="1:15" x14ac:dyDescent="0.25">
      <c r="A1907" s="786" t="s">
        <v>4217</v>
      </c>
      <c r="B1907" s="787">
        <v>4</v>
      </c>
      <c r="C1907" s="787" t="s">
        <v>4218</v>
      </c>
      <c r="D1907" s="787">
        <v>2.46</v>
      </c>
      <c r="E1907" s="787">
        <v>2.46</v>
      </c>
      <c r="F1907" s="788">
        <v>37637</v>
      </c>
      <c r="G1907" s="788">
        <v>37637</v>
      </c>
      <c r="H1907" s="787">
        <v>1</v>
      </c>
      <c r="J1907" s="788">
        <v>37637</v>
      </c>
      <c r="L1907" s="787">
        <v>2.87</v>
      </c>
      <c r="M1907" s="787">
        <v>10</v>
      </c>
      <c r="N1907" s="787">
        <v>4.08</v>
      </c>
      <c r="O1907" s="788">
        <v>42053</v>
      </c>
    </row>
    <row r="1908" spans="1:15" x14ac:dyDescent="0.25">
      <c r="A1908" s="786" t="s">
        <v>4219</v>
      </c>
      <c r="B1908" s="787">
        <v>4</v>
      </c>
      <c r="C1908" s="787" t="s">
        <v>4220</v>
      </c>
      <c r="D1908" s="787">
        <v>4.01</v>
      </c>
      <c r="E1908" s="787">
        <v>4.01</v>
      </c>
      <c r="F1908" s="788">
        <v>37637</v>
      </c>
      <c r="G1908" s="788">
        <v>37637</v>
      </c>
      <c r="H1908" s="787">
        <v>1</v>
      </c>
      <c r="J1908" s="788">
        <v>37637</v>
      </c>
      <c r="L1908" s="787">
        <v>1.42</v>
      </c>
      <c r="M1908" s="787">
        <v>10</v>
      </c>
      <c r="N1908" s="787">
        <v>6.66</v>
      </c>
      <c r="O1908" s="788">
        <v>42053</v>
      </c>
    </row>
    <row r="1909" spans="1:15" x14ac:dyDescent="0.25">
      <c r="A1909" s="786" t="s">
        <v>4221</v>
      </c>
      <c r="B1909" s="787">
        <v>4</v>
      </c>
      <c r="C1909" s="787" t="s">
        <v>4222</v>
      </c>
      <c r="D1909" s="787">
        <v>2.46</v>
      </c>
      <c r="E1909" s="787">
        <v>2.46</v>
      </c>
      <c r="F1909" s="788">
        <v>37637</v>
      </c>
      <c r="G1909" s="788">
        <v>37637</v>
      </c>
      <c r="H1909" s="787">
        <v>1</v>
      </c>
      <c r="J1909" s="788">
        <v>37637</v>
      </c>
      <c r="L1909" s="787">
        <v>2.87</v>
      </c>
      <c r="M1909" s="787">
        <v>10</v>
      </c>
      <c r="N1909" s="787">
        <v>4.01</v>
      </c>
      <c r="O1909" s="788">
        <v>42053</v>
      </c>
    </row>
    <row r="1910" spans="1:15" x14ac:dyDescent="0.25">
      <c r="A1910" s="786" t="s">
        <v>4223</v>
      </c>
      <c r="B1910" s="787">
        <v>4</v>
      </c>
      <c r="C1910" s="787" t="s">
        <v>4224</v>
      </c>
      <c r="D1910" s="787">
        <v>4.01</v>
      </c>
      <c r="E1910" s="787">
        <v>4.01</v>
      </c>
      <c r="F1910" s="788">
        <v>37637</v>
      </c>
      <c r="G1910" s="788">
        <v>37637</v>
      </c>
      <c r="H1910" s="787">
        <v>1</v>
      </c>
      <c r="J1910" s="788">
        <v>37637</v>
      </c>
      <c r="L1910" s="787">
        <v>1.42</v>
      </c>
      <c r="M1910" s="787">
        <v>10</v>
      </c>
      <c r="N1910" s="787">
        <v>6.59</v>
      </c>
      <c r="O1910" s="788">
        <v>42053</v>
      </c>
    </row>
    <row r="1911" spans="1:15" x14ac:dyDescent="0.25">
      <c r="A1911" s="786" t="s">
        <v>4225</v>
      </c>
      <c r="B1911" s="787">
        <v>4</v>
      </c>
      <c r="C1911" s="787" t="s">
        <v>4226</v>
      </c>
      <c r="D1911" s="787">
        <v>2.46</v>
      </c>
      <c r="E1911" s="787">
        <v>2.46</v>
      </c>
      <c r="F1911" s="788">
        <v>37637</v>
      </c>
      <c r="G1911" s="788">
        <v>37637</v>
      </c>
      <c r="H1911" s="787">
        <v>1</v>
      </c>
      <c r="J1911" s="788">
        <v>37637</v>
      </c>
      <c r="L1911" s="787">
        <v>2.87</v>
      </c>
      <c r="M1911" s="787">
        <v>10</v>
      </c>
      <c r="N1911" s="787">
        <v>4.01</v>
      </c>
      <c r="O1911" s="788">
        <v>42053</v>
      </c>
    </row>
    <row r="1912" spans="1:15" x14ac:dyDescent="0.25">
      <c r="A1912" s="786" t="s">
        <v>4227</v>
      </c>
      <c r="B1912" s="787">
        <v>4</v>
      </c>
      <c r="C1912" s="787" t="s">
        <v>4228</v>
      </c>
      <c r="D1912" s="787">
        <v>4.01</v>
      </c>
      <c r="E1912" s="787">
        <v>4.01</v>
      </c>
      <c r="F1912" s="788">
        <v>37637</v>
      </c>
      <c r="G1912" s="788">
        <v>37637</v>
      </c>
      <c r="H1912" s="787">
        <v>1</v>
      </c>
      <c r="I1912" s="788">
        <v>41176</v>
      </c>
      <c r="J1912" s="788">
        <v>37637</v>
      </c>
      <c r="L1912" s="787">
        <v>1.42</v>
      </c>
      <c r="M1912" s="787">
        <v>10</v>
      </c>
      <c r="N1912" s="787">
        <v>6.59</v>
      </c>
      <c r="O1912" s="788">
        <v>42053</v>
      </c>
    </row>
    <row r="1913" spans="1:15" x14ac:dyDescent="0.25">
      <c r="A1913" s="786" t="s">
        <v>4229</v>
      </c>
      <c r="B1913" s="787">
        <v>4</v>
      </c>
      <c r="C1913" s="787" t="s">
        <v>4230</v>
      </c>
      <c r="D1913" s="787">
        <v>2.46</v>
      </c>
      <c r="E1913" s="787">
        <v>2.46</v>
      </c>
      <c r="F1913" s="788">
        <v>37637</v>
      </c>
      <c r="G1913" s="788">
        <v>37637</v>
      </c>
      <c r="H1913" s="787">
        <v>1</v>
      </c>
      <c r="I1913" s="788">
        <v>37243</v>
      </c>
      <c r="J1913" s="788">
        <v>37637</v>
      </c>
      <c r="L1913" s="787">
        <v>2.87</v>
      </c>
      <c r="M1913" s="787">
        <v>10</v>
      </c>
      <c r="N1913" s="787">
        <v>4.01</v>
      </c>
      <c r="O1913" s="788">
        <v>42053</v>
      </c>
    </row>
    <row r="1914" spans="1:15" x14ac:dyDescent="0.25">
      <c r="A1914" s="786" t="s">
        <v>4231</v>
      </c>
      <c r="B1914" s="787">
        <v>4</v>
      </c>
      <c r="C1914" s="787" t="s">
        <v>4232</v>
      </c>
      <c r="D1914" s="787">
        <v>1.17</v>
      </c>
      <c r="E1914" s="787">
        <v>1.17</v>
      </c>
      <c r="F1914" s="788">
        <v>37637</v>
      </c>
      <c r="G1914" s="788">
        <v>37637</v>
      </c>
      <c r="H1914" s="787">
        <v>1</v>
      </c>
      <c r="I1914" s="788">
        <v>40900</v>
      </c>
      <c r="J1914" s="788">
        <v>37637</v>
      </c>
      <c r="L1914" s="787">
        <v>0.59</v>
      </c>
      <c r="M1914" s="787">
        <v>10</v>
      </c>
      <c r="N1914" s="787">
        <v>11.07</v>
      </c>
      <c r="O1914" s="788">
        <v>42053</v>
      </c>
    </row>
    <row r="1915" spans="1:15" x14ac:dyDescent="0.25">
      <c r="A1915" s="786" t="s">
        <v>4233</v>
      </c>
      <c r="B1915" s="787">
        <v>4</v>
      </c>
      <c r="C1915" s="787" t="s">
        <v>4234</v>
      </c>
      <c r="D1915" s="787">
        <v>2.46</v>
      </c>
      <c r="E1915" s="787">
        <v>2.46</v>
      </c>
      <c r="F1915" s="788">
        <v>37637</v>
      </c>
      <c r="G1915" s="788">
        <v>37637</v>
      </c>
      <c r="H1915" s="787">
        <v>1</v>
      </c>
      <c r="J1915" s="788">
        <v>37637</v>
      </c>
      <c r="L1915" s="787">
        <v>2.87</v>
      </c>
      <c r="M1915" s="787">
        <v>10</v>
      </c>
      <c r="N1915" s="787">
        <v>4.01</v>
      </c>
      <c r="O1915" s="788">
        <v>42053</v>
      </c>
    </row>
    <row r="1916" spans="1:15" x14ac:dyDescent="0.25">
      <c r="A1916" s="786" t="s">
        <v>4235</v>
      </c>
      <c r="B1916" s="787">
        <v>4</v>
      </c>
      <c r="C1916" s="787" t="s">
        <v>4236</v>
      </c>
      <c r="D1916" s="787">
        <v>1.17</v>
      </c>
      <c r="E1916" s="787">
        <v>1.17</v>
      </c>
      <c r="F1916" s="788">
        <v>37637</v>
      </c>
      <c r="G1916" s="788">
        <v>37637</v>
      </c>
      <c r="H1916" s="787">
        <v>1</v>
      </c>
      <c r="J1916" s="788">
        <v>37637</v>
      </c>
      <c r="L1916" s="787">
        <v>0.59</v>
      </c>
      <c r="M1916" s="787">
        <v>10</v>
      </c>
      <c r="N1916" s="787">
        <v>11.07</v>
      </c>
      <c r="O1916" s="788">
        <v>42053</v>
      </c>
    </row>
    <row r="1917" spans="1:15" x14ac:dyDescent="0.25">
      <c r="A1917" s="786" t="s">
        <v>4237</v>
      </c>
      <c r="B1917" s="787">
        <v>4</v>
      </c>
      <c r="C1917" s="787" t="s">
        <v>4238</v>
      </c>
      <c r="D1917" s="787">
        <v>2.46</v>
      </c>
      <c r="E1917" s="787">
        <v>2.46</v>
      </c>
      <c r="F1917" s="788">
        <v>37637</v>
      </c>
      <c r="G1917" s="788">
        <v>37637</v>
      </c>
      <c r="H1917" s="787">
        <v>1</v>
      </c>
      <c r="J1917" s="788">
        <v>37637</v>
      </c>
      <c r="L1917" s="787">
        <v>2.87</v>
      </c>
      <c r="M1917" s="787">
        <v>10</v>
      </c>
      <c r="N1917" s="787">
        <v>4.01</v>
      </c>
      <c r="O1917" s="788">
        <v>42053</v>
      </c>
    </row>
    <row r="1918" spans="1:15" x14ac:dyDescent="0.25">
      <c r="A1918" s="786" t="s">
        <v>4239</v>
      </c>
      <c r="B1918" s="787">
        <v>4</v>
      </c>
      <c r="C1918" s="787" t="s">
        <v>4240</v>
      </c>
      <c r="D1918" s="787">
        <v>1.17</v>
      </c>
      <c r="E1918" s="787">
        <v>1.17</v>
      </c>
      <c r="F1918" s="788">
        <v>37637</v>
      </c>
      <c r="G1918" s="788">
        <v>37637</v>
      </c>
      <c r="H1918" s="787">
        <v>1</v>
      </c>
      <c r="I1918" s="788">
        <v>40704</v>
      </c>
      <c r="J1918" s="788">
        <v>37637</v>
      </c>
      <c r="L1918" s="787">
        <v>0.59</v>
      </c>
      <c r="M1918" s="787">
        <v>10</v>
      </c>
      <c r="N1918" s="787">
        <v>11.07</v>
      </c>
      <c r="O1918" s="788">
        <v>42053</v>
      </c>
    </row>
    <row r="1919" spans="1:15" x14ac:dyDescent="0.25">
      <c r="A1919" s="786" t="s">
        <v>4241</v>
      </c>
      <c r="B1919" s="787">
        <v>4</v>
      </c>
      <c r="C1919" s="787" t="s">
        <v>4242</v>
      </c>
      <c r="D1919" s="787">
        <v>2.46</v>
      </c>
      <c r="E1919" s="787">
        <v>2.46</v>
      </c>
      <c r="F1919" s="788">
        <v>37637</v>
      </c>
      <c r="G1919" s="788">
        <v>37637</v>
      </c>
      <c r="H1919" s="787">
        <v>1</v>
      </c>
      <c r="J1919" s="788">
        <v>37637</v>
      </c>
      <c r="L1919" s="787">
        <v>2.87</v>
      </c>
      <c r="M1919" s="787">
        <v>10</v>
      </c>
      <c r="N1919" s="787">
        <v>4.01</v>
      </c>
      <c r="O1919" s="788">
        <v>42053</v>
      </c>
    </row>
    <row r="1920" spans="1:15" x14ac:dyDescent="0.25">
      <c r="A1920" s="786" t="s">
        <v>4243</v>
      </c>
      <c r="B1920" s="787">
        <v>4</v>
      </c>
      <c r="C1920" s="787" t="s">
        <v>4244</v>
      </c>
      <c r="D1920" s="787">
        <v>4.01</v>
      </c>
      <c r="E1920" s="787">
        <v>4.01</v>
      </c>
      <c r="F1920" s="788">
        <v>37637</v>
      </c>
      <c r="G1920" s="788">
        <v>37637</v>
      </c>
      <c r="H1920" s="787">
        <v>1</v>
      </c>
      <c r="J1920" s="788">
        <v>37637</v>
      </c>
      <c r="L1920" s="787">
        <v>1.42</v>
      </c>
      <c r="M1920" s="787">
        <v>10</v>
      </c>
      <c r="N1920" s="787">
        <v>6.59</v>
      </c>
      <c r="O1920" s="788">
        <v>42053</v>
      </c>
    </row>
    <row r="1921" spans="1:15" x14ac:dyDescent="0.25">
      <c r="A1921" s="786" t="s">
        <v>4245</v>
      </c>
      <c r="B1921" s="787">
        <v>4</v>
      </c>
      <c r="C1921" s="787" t="s">
        <v>4246</v>
      </c>
      <c r="D1921" s="787">
        <v>2</v>
      </c>
      <c r="E1921" s="787">
        <v>2</v>
      </c>
      <c r="F1921" s="788">
        <v>37637</v>
      </c>
      <c r="G1921" s="788">
        <v>37637</v>
      </c>
      <c r="H1921" s="787">
        <v>1</v>
      </c>
      <c r="J1921" s="788">
        <v>37637</v>
      </c>
      <c r="L1921" s="787">
        <v>1.87</v>
      </c>
      <c r="M1921" s="787">
        <v>10</v>
      </c>
      <c r="N1921" s="787">
        <v>2.25</v>
      </c>
      <c r="O1921" s="788">
        <v>41955</v>
      </c>
    </row>
    <row r="1922" spans="1:15" x14ac:dyDescent="0.25">
      <c r="A1922" s="786" t="s">
        <v>4247</v>
      </c>
      <c r="B1922" s="787">
        <v>4</v>
      </c>
      <c r="C1922" s="787" t="s">
        <v>4248</v>
      </c>
      <c r="D1922" s="787">
        <v>2.06</v>
      </c>
      <c r="E1922" s="787">
        <v>2.06</v>
      </c>
      <c r="F1922" s="788">
        <v>37637</v>
      </c>
      <c r="G1922" s="788">
        <v>37637</v>
      </c>
      <c r="H1922" s="787">
        <v>1</v>
      </c>
      <c r="J1922" s="788">
        <v>37637</v>
      </c>
      <c r="L1922" s="787">
        <v>1.93</v>
      </c>
      <c r="M1922" s="787">
        <v>10</v>
      </c>
      <c r="N1922" s="787">
        <v>2.5</v>
      </c>
      <c r="O1922" s="788">
        <v>42045</v>
      </c>
    </row>
    <row r="1923" spans="1:15" x14ac:dyDescent="0.25">
      <c r="A1923" s="786" t="s">
        <v>4249</v>
      </c>
      <c r="B1923" s="787">
        <v>4</v>
      </c>
      <c r="C1923" s="787" t="s">
        <v>4250</v>
      </c>
      <c r="D1923" s="787">
        <v>2.06</v>
      </c>
      <c r="E1923" s="787">
        <v>2.06</v>
      </c>
      <c r="F1923" s="788">
        <v>37637</v>
      </c>
      <c r="G1923" s="788">
        <v>37637</v>
      </c>
      <c r="H1923" s="787">
        <v>1</v>
      </c>
      <c r="J1923" s="788">
        <v>37637</v>
      </c>
      <c r="L1923" s="787">
        <v>1.93</v>
      </c>
      <c r="M1923" s="787">
        <v>10</v>
      </c>
      <c r="N1923" s="787">
        <v>2.42</v>
      </c>
      <c r="O1923" s="788">
        <v>42045</v>
      </c>
    </row>
    <row r="1924" spans="1:15" x14ac:dyDescent="0.25">
      <c r="A1924" s="786" t="s">
        <v>4251</v>
      </c>
      <c r="B1924" s="787">
        <v>4</v>
      </c>
      <c r="C1924" s="787" t="s">
        <v>4252</v>
      </c>
      <c r="D1924" s="787">
        <v>0.51</v>
      </c>
      <c r="E1924" s="787">
        <v>0.51</v>
      </c>
      <c r="F1924" s="788">
        <v>37637</v>
      </c>
      <c r="G1924" s="788">
        <v>37637</v>
      </c>
      <c r="H1924" s="787">
        <v>1</v>
      </c>
      <c r="J1924" s="788">
        <v>37637</v>
      </c>
      <c r="L1924" s="787">
        <v>0.37</v>
      </c>
      <c r="M1924" s="787">
        <v>10</v>
      </c>
      <c r="N1924" s="787">
        <v>0.94</v>
      </c>
      <c r="O1924" s="788">
        <v>41955</v>
      </c>
    </row>
    <row r="1925" spans="1:15" x14ac:dyDescent="0.25">
      <c r="A1925" s="786" t="s">
        <v>4253</v>
      </c>
      <c r="B1925" s="787">
        <v>4</v>
      </c>
      <c r="C1925" s="787" t="s">
        <v>4254</v>
      </c>
      <c r="D1925" s="787">
        <v>3.35</v>
      </c>
      <c r="E1925" s="787">
        <v>3.35</v>
      </c>
      <c r="F1925" s="788">
        <v>37637</v>
      </c>
      <c r="G1925" s="788">
        <v>37637</v>
      </c>
      <c r="H1925" s="787">
        <v>1</v>
      </c>
      <c r="J1925" s="788">
        <v>37637</v>
      </c>
      <c r="L1925" s="787">
        <v>4.25</v>
      </c>
      <c r="M1925" s="787">
        <v>10</v>
      </c>
      <c r="N1925" s="787">
        <v>5.0199999999999996</v>
      </c>
      <c r="O1925" s="788">
        <v>41955</v>
      </c>
    </row>
    <row r="1926" spans="1:15" x14ac:dyDescent="0.25">
      <c r="A1926" s="786" t="s">
        <v>4255</v>
      </c>
      <c r="B1926" s="787">
        <v>4</v>
      </c>
      <c r="C1926" s="787" t="s">
        <v>4256</v>
      </c>
      <c r="D1926" s="787">
        <v>0.37</v>
      </c>
      <c r="E1926" s="787">
        <v>0.37</v>
      </c>
      <c r="F1926" s="788">
        <v>37637</v>
      </c>
      <c r="G1926" s="788">
        <v>37637</v>
      </c>
      <c r="H1926" s="787">
        <v>1</v>
      </c>
      <c r="J1926" s="788">
        <v>37637</v>
      </c>
      <c r="L1926" s="787">
        <v>0.17</v>
      </c>
      <c r="M1926" s="787">
        <v>10</v>
      </c>
      <c r="N1926" s="787">
        <v>1.44</v>
      </c>
      <c r="O1926" s="788">
        <v>41955</v>
      </c>
    </row>
    <row r="1927" spans="1:15" x14ac:dyDescent="0.25">
      <c r="A1927" s="786" t="s">
        <v>4257</v>
      </c>
      <c r="B1927" s="787">
        <v>4</v>
      </c>
      <c r="C1927" s="787" t="s">
        <v>4258</v>
      </c>
      <c r="D1927" s="787">
        <v>0.37</v>
      </c>
      <c r="E1927" s="787">
        <v>0.37</v>
      </c>
      <c r="F1927" s="788">
        <v>37637</v>
      </c>
      <c r="G1927" s="788">
        <v>37637</v>
      </c>
      <c r="H1927" s="787">
        <v>1</v>
      </c>
      <c r="J1927" s="788">
        <v>37637</v>
      </c>
      <c r="L1927" s="787">
        <v>0.17</v>
      </c>
      <c r="M1927" s="787">
        <v>10</v>
      </c>
      <c r="N1927" s="787">
        <v>2.15</v>
      </c>
      <c r="O1927" s="788">
        <v>41955</v>
      </c>
    </row>
    <row r="1928" spans="1:15" x14ac:dyDescent="0.25">
      <c r="A1928" s="786" t="s">
        <v>4259</v>
      </c>
      <c r="B1928" s="787">
        <v>4</v>
      </c>
      <c r="C1928" s="787" t="s">
        <v>4260</v>
      </c>
      <c r="D1928" s="787">
        <v>0.37</v>
      </c>
      <c r="E1928" s="787">
        <v>0.37</v>
      </c>
      <c r="F1928" s="788">
        <v>37637</v>
      </c>
      <c r="G1928" s="788">
        <v>37637</v>
      </c>
      <c r="H1928" s="787">
        <v>1</v>
      </c>
      <c r="J1928" s="788">
        <v>37637</v>
      </c>
      <c r="L1928" s="787">
        <v>0.17</v>
      </c>
      <c r="M1928" s="787">
        <v>10</v>
      </c>
      <c r="N1928" s="787">
        <v>2</v>
      </c>
      <c r="O1928" s="788">
        <v>41955</v>
      </c>
    </row>
    <row r="1929" spans="1:15" x14ac:dyDescent="0.25">
      <c r="A1929" s="786" t="s">
        <v>4261</v>
      </c>
      <c r="B1929" s="787">
        <v>4</v>
      </c>
      <c r="C1929" s="787" t="s">
        <v>4252</v>
      </c>
      <c r="D1929" s="787">
        <v>0.37</v>
      </c>
      <c r="E1929" s="787">
        <v>0.37</v>
      </c>
      <c r="F1929" s="788">
        <v>37637</v>
      </c>
      <c r="G1929" s="788">
        <v>37637</v>
      </c>
      <c r="H1929" s="787">
        <v>1</v>
      </c>
      <c r="I1929" s="788">
        <v>37278</v>
      </c>
      <c r="J1929" s="788">
        <v>37637</v>
      </c>
      <c r="L1929" s="787">
        <v>0.17</v>
      </c>
      <c r="M1929" s="787">
        <v>10</v>
      </c>
      <c r="N1929" s="787">
        <v>1.83</v>
      </c>
      <c r="O1929" s="788">
        <v>41955</v>
      </c>
    </row>
    <row r="1930" spans="1:15" x14ac:dyDescent="0.25">
      <c r="A1930" s="786" t="s">
        <v>4262</v>
      </c>
      <c r="B1930" s="787">
        <v>4</v>
      </c>
      <c r="C1930" s="787" t="s">
        <v>4263</v>
      </c>
      <c r="D1930" s="787">
        <v>0.63</v>
      </c>
      <c r="E1930" s="787">
        <v>0.63</v>
      </c>
      <c r="F1930" s="788">
        <v>41810</v>
      </c>
      <c r="G1930" s="788">
        <v>41995</v>
      </c>
      <c r="H1930" s="787">
        <v>1</v>
      </c>
      <c r="I1930" s="788">
        <v>42166</v>
      </c>
      <c r="J1930" s="788">
        <v>42096</v>
      </c>
      <c r="L1930" s="787">
        <v>5.42</v>
      </c>
      <c r="M1930" s="787">
        <v>10</v>
      </c>
      <c r="N1930" s="787">
        <v>5.68</v>
      </c>
      <c r="O1930" s="788">
        <v>42162</v>
      </c>
    </row>
    <row r="1931" spans="1:15" x14ac:dyDescent="0.25">
      <c r="A1931" s="786" t="s">
        <v>4264</v>
      </c>
      <c r="B1931" s="787">
        <v>4</v>
      </c>
      <c r="C1931" s="787" t="s">
        <v>4265</v>
      </c>
      <c r="D1931" s="787">
        <v>0.35</v>
      </c>
      <c r="E1931" s="787">
        <v>0.35</v>
      </c>
      <c r="F1931" s="788">
        <v>41810</v>
      </c>
      <c r="G1931" s="788">
        <v>42129</v>
      </c>
      <c r="H1931" s="787">
        <v>1</v>
      </c>
      <c r="I1931" s="788">
        <v>42166</v>
      </c>
      <c r="J1931" s="788">
        <v>42121</v>
      </c>
      <c r="K1931" s="788">
        <v>41416</v>
      </c>
      <c r="L1931" s="787">
        <v>1</v>
      </c>
      <c r="M1931" s="787">
        <v>10</v>
      </c>
      <c r="N1931" s="787">
        <v>9.34</v>
      </c>
      <c r="O1931" s="788">
        <v>42156</v>
      </c>
    </row>
    <row r="1932" spans="1:15" x14ac:dyDescent="0.25">
      <c r="A1932" s="786" t="s">
        <v>4266</v>
      </c>
      <c r="B1932" s="787">
        <v>4</v>
      </c>
      <c r="C1932" s="787" t="s">
        <v>4267</v>
      </c>
      <c r="D1932" s="787">
        <v>0.63</v>
      </c>
      <c r="E1932" s="787">
        <v>0.63</v>
      </c>
      <c r="F1932" s="788">
        <v>41883</v>
      </c>
      <c r="G1932" s="788">
        <v>42129</v>
      </c>
      <c r="H1932" s="787">
        <v>1</v>
      </c>
      <c r="I1932" s="788">
        <v>42166</v>
      </c>
      <c r="J1932" s="788">
        <v>42121</v>
      </c>
      <c r="K1932" s="788">
        <v>41170</v>
      </c>
      <c r="L1932" s="787">
        <v>20.100000000000001</v>
      </c>
      <c r="M1932" s="787">
        <v>10</v>
      </c>
      <c r="N1932" s="787">
        <v>20.190000000000001</v>
      </c>
      <c r="O1932" s="788">
        <v>42162</v>
      </c>
    </row>
    <row r="1933" spans="1:15" x14ac:dyDescent="0.25">
      <c r="A1933" s="786" t="s">
        <v>4268</v>
      </c>
      <c r="B1933" s="787">
        <v>4</v>
      </c>
      <c r="C1933" s="787" t="s">
        <v>4269</v>
      </c>
      <c r="D1933" s="787">
        <v>0.93</v>
      </c>
      <c r="E1933" s="787">
        <v>1.01</v>
      </c>
      <c r="F1933" s="788">
        <v>41425</v>
      </c>
      <c r="G1933" s="788">
        <v>41726</v>
      </c>
      <c r="H1933" s="787">
        <v>6</v>
      </c>
      <c r="I1933" s="788">
        <v>41928</v>
      </c>
      <c r="J1933" s="788">
        <v>41806</v>
      </c>
      <c r="K1933" s="788">
        <v>41554</v>
      </c>
      <c r="L1933" s="787">
        <v>1.44</v>
      </c>
      <c r="M1933" s="787">
        <v>10</v>
      </c>
      <c r="N1933" s="787">
        <v>3.61</v>
      </c>
      <c r="O1933" s="788">
        <v>41821</v>
      </c>
    </row>
    <row r="1934" spans="1:15" x14ac:dyDescent="0.25">
      <c r="A1934" s="786" t="s">
        <v>4270</v>
      </c>
      <c r="B1934" s="787">
        <v>4</v>
      </c>
      <c r="C1934" s="787" t="s">
        <v>4271</v>
      </c>
      <c r="D1934" s="787">
        <v>0.81</v>
      </c>
      <c r="E1934" s="787">
        <v>1.01</v>
      </c>
      <c r="F1934" s="788">
        <v>41425</v>
      </c>
      <c r="G1934" s="788">
        <v>41758</v>
      </c>
      <c r="H1934" s="787">
        <v>5</v>
      </c>
      <c r="I1934" s="788">
        <v>41814</v>
      </c>
      <c r="J1934" s="788">
        <v>41758</v>
      </c>
      <c r="K1934" s="788">
        <v>41554</v>
      </c>
      <c r="L1934" s="787">
        <v>1.44</v>
      </c>
      <c r="M1934" s="787">
        <v>10</v>
      </c>
      <c r="N1934" s="787">
        <v>1.73</v>
      </c>
      <c r="O1934" s="788">
        <v>42156</v>
      </c>
    </row>
    <row r="1935" spans="1:15" x14ac:dyDescent="0.25">
      <c r="A1935" s="786" t="s">
        <v>4272</v>
      </c>
      <c r="B1935" s="787">
        <v>4</v>
      </c>
      <c r="C1935" s="787" t="s">
        <v>4273</v>
      </c>
      <c r="D1935" s="787">
        <v>0.12</v>
      </c>
      <c r="E1935" s="787">
        <v>0.12</v>
      </c>
      <c r="F1935" s="788">
        <v>41677</v>
      </c>
      <c r="G1935" s="788">
        <v>41960</v>
      </c>
      <c r="H1935" s="787">
        <v>1</v>
      </c>
      <c r="I1935" s="788">
        <v>42166</v>
      </c>
      <c r="J1935" s="788">
        <v>42146</v>
      </c>
      <c r="K1935" s="788">
        <v>41803</v>
      </c>
      <c r="L1935" s="787">
        <v>0.43</v>
      </c>
      <c r="M1935" s="787">
        <v>10</v>
      </c>
      <c r="N1935" s="787">
        <v>0.5</v>
      </c>
      <c r="O1935" s="788">
        <v>42156</v>
      </c>
    </row>
    <row r="1936" spans="1:15" x14ac:dyDescent="0.25">
      <c r="A1936" s="786" t="s">
        <v>4274</v>
      </c>
      <c r="B1936" s="787">
        <v>4</v>
      </c>
      <c r="C1936" s="787" t="s">
        <v>4275</v>
      </c>
      <c r="D1936" s="787">
        <v>0.3</v>
      </c>
      <c r="E1936" s="787">
        <v>0.3</v>
      </c>
      <c r="F1936" s="788">
        <v>39951</v>
      </c>
      <c r="G1936" s="788">
        <v>41565</v>
      </c>
      <c r="H1936" s="787">
        <v>1</v>
      </c>
      <c r="I1936" s="788">
        <v>40719</v>
      </c>
      <c r="J1936" s="788">
        <v>40521</v>
      </c>
      <c r="L1936" s="787">
        <v>0</v>
      </c>
      <c r="M1936" s="787">
        <v>10</v>
      </c>
      <c r="N1936" s="787">
        <v>0.54</v>
      </c>
      <c r="O1936" s="788">
        <v>41955</v>
      </c>
    </row>
    <row r="1937" spans="1:15" x14ac:dyDescent="0.25">
      <c r="A1937" s="786" t="s">
        <v>4276</v>
      </c>
      <c r="B1937" s="787">
        <v>4</v>
      </c>
      <c r="C1937" s="787" t="s">
        <v>4277</v>
      </c>
      <c r="D1937" s="787">
        <v>0.05</v>
      </c>
      <c r="E1937" s="787">
        <v>0.05</v>
      </c>
      <c r="F1937" s="788">
        <v>41787</v>
      </c>
      <c r="G1937" s="788">
        <v>42142</v>
      </c>
      <c r="H1937" s="787">
        <v>1</v>
      </c>
      <c r="I1937" s="788">
        <v>42166</v>
      </c>
      <c r="J1937" s="788">
        <v>42137</v>
      </c>
      <c r="K1937" s="788">
        <v>41668</v>
      </c>
      <c r="L1937" s="787">
        <v>14.96</v>
      </c>
      <c r="M1937" s="787">
        <v>10</v>
      </c>
      <c r="N1937" s="787">
        <v>13.84</v>
      </c>
      <c r="O1937" s="788">
        <v>42162</v>
      </c>
    </row>
    <row r="1938" spans="1:15" x14ac:dyDescent="0.25">
      <c r="A1938" s="786" t="s">
        <v>4278</v>
      </c>
      <c r="B1938" s="787">
        <v>4</v>
      </c>
      <c r="C1938" s="787" t="s">
        <v>4279</v>
      </c>
      <c r="D1938" s="787">
        <v>0.93</v>
      </c>
      <c r="E1938" s="787">
        <v>0.93</v>
      </c>
      <c r="F1938" s="788">
        <v>41578</v>
      </c>
      <c r="G1938" s="788">
        <v>42142</v>
      </c>
      <c r="H1938" s="787">
        <v>1</v>
      </c>
      <c r="I1938" s="788">
        <v>42166</v>
      </c>
      <c r="J1938" s="788">
        <v>42137</v>
      </c>
      <c r="K1938" s="788">
        <v>41869</v>
      </c>
      <c r="L1938" s="787">
        <v>0.93</v>
      </c>
      <c r="M1938" s="787">
        <v>20</v>
      </c>
      <c r="N1938" s="787">
        <v>1</v>
      </c>
      <c r="O1938" s="788">
        <v>42156</v>
      </c>
    </row>
    <row r="1939" spans="1:15" x14ac:dyDescent="0.25">
      <c r="A1939" s="786" t="s">
        <v>4280</v>
      </c>
      <c r="B1939" s="787">
        <v>4</v>
      </c>
      <c r="C1939" s="787" t="s">
        <v>4281</v>
      </c>
      <c r="D1939" s="787">
        <v>0.81</v>
      </c>
      <c r="E1939" s="787">
        <v>0.81</v>
      </c>
      <c r="F1939" s="788">
        <v>41578</v>
      </c>
      <c r="G1939" s="788">
        <v>42152</v>
      </c>
      <c r="H1939" s="787">
        <v>1</v>
      </c>
      <c r="I1939" s="788">
        <v>42166</v>
      </c>
      <c r="J1939" s="788">
        <v>42137</v>
      </c>
      <c r="K1939" s="788">
        <v>41869</v>
      </c>
      <c r="L1939" s="787">
        <v>0.81</v>
      </c>
      <c r="M1939" s="787">
        <v>20</v>
      </c>
      <c r="N1939" s="787">
        <v>0.87</v>
      </c>
      <c r="O1939" s="788">
        <v>42156</v>
      </c>
    </row>
    <row r="1940" spans="1:15" x14ac:dyDescent="0.25">
      <c r="A1940" s="786" t="s">
        <v>4282</v>
      </c>
      <c r="B1940" s="787">
        <v>4</v>
      </c>
      <c r="C1940" s="787" t="s">
        <v>4283</v>
      </c>
      <c r="D1940" s="787">
        <v>7.0000000000000007E-2</v>
      </c>
      <c r="E1940" s="787">
        <v>10.07</v>
      </c>
      <c r="F1940" s="788">
        <v>37637</v>
      </c>
      <c r="G1940" s="788">
        <v>37637</v>
      </c>
      <c r="H1940" s="787">
        <v>1</v>
      </c>
      <c r="J1940" s="788">
        <v>37637</v>
      </c>
      <c r="L1940" s="787">
        <v>15.58</v>
      </c>
      <c r="M1940" s="787">
        <v>10</v>
      </c>
      <c r="N1940" s="787">
        <v>26.2</v>
      </c>
      <c r="O1940" s="788">
        <v>41955</v>
      </c>
    </row>
    <row r="1941" spans="1:15" x14ac:dyDescent="0.25">
      <c r="A1941" s="786" t="s">
        <v>4284</v>
      </c>
      <c r="B1941" s="787">
        <v>4</v>
      </c>
      <c r="C1941" s="787" t="s">
        <v>4285</v>
      </c>
      <c r="D1941" s="787">
        <v>0.15</v>
      </c>
      <c r="E1941" s="787">
        <v>10.15</v>
      </c>
      <c r="F1941" s="788">
        <v>37637</v>
      </c>
      <c r="G1941" s="788">
        <v>37637</v>
      </c>
      <c r="H1941" s="787">
        <v>1</v>
      </c>
      <c r="J1941" s="788">
        <v>37637</v>
      </c>
      <c r="L1941" s="787">
        <v>15.67</v>
      </c>
      <c r="M1941" s="787">
        <v>10</v>
      </c>
      <c r="N1941" s="787">
        <v>26.8</v>
      </c>
      <c r="O1941" s="788">
        <v>41955</v>
      </c>
    </row>
    <row r="1942" spans="1:15" x14ac:dyDescent="0.25">
      <c r="A1942" s="786" t="s">
        <v>4286</v>
      </c>
      <c r="B1942" s="787">
        <v>4</v>
      </c>
      <c r="C1942" s="787" t="s">
        <v>4258</v>
      </c>
      <c r="D1942" s="787">
        <v>7.92</v>
      </c>
      <c r="E1942" s="787">
        <v>7.92</v>
      </c>
      <c r="F1942" s="788">
        <v>37637</v>
      </c>
      <c r="G1942" s="788">
        <v>37637</v>
      </c>
      <c r="H1942" s="787">
        <v>1</v>
      </c>
      <c r="J1942" s="788">
        <v>37637</v>
      </c>
      <c r="L1942" s="787">
        <v>12.29</v>
      </c>
      <c r="M1942" s="787">
        <v>10</v>
      </c>
      <c r="N1942" s="787">
        <v>19.62</v>
      </c>
      <c r="O1942" s="788">
        <v>41955</v>
      </c>
    </row>
    <row r="1943" spans="1:15" x14ac:dyDescent="0.25">
      <c r="A1943" s="786" t="s">
        <v>4287</v>
      </c>
      <c r="B1943" s="787">
        <v>4</v>
      </c>
      <c r="C1943" s="787" t="s">
        <v>4260</v>
      </c>
      <c r="D1943" s="787">
        <v>8.01</v>
      </c>
      <c r="E1943" s="787">
        <v>8.01</v>
      </c>
      <c r="F1943" s="788">
        <v>37637</v>
      </c>
      <c r="G1943" s="788">
        <v>37637</v>
      </c>
      <c r="H1943" s="787">
        <v>1</v>
      </c>
      <c r="I1943" s="788">
        <v>36978</v>
      </c>
      <c r="J1943" s="788">
        <v>37637</v>
      </c>
      <c r="L1943" s="787">
        <v>12.38</v>
      </c>
      <c r="M1943" s="787">
        <v>10</v>
      </c>
      <c r="N1943" s="787">
        <v>20.22</v>
      </c>
      <c r="O1943" s="788">
        <v>41955</v>
      </c>
    </row>
    <row r="1944" spans="1:15" x14ac:dyDescent="0.25">
      <c r="A1944" s="786" t="s">
        <v>4288</v>
      </c>
      <c r="B1944" s="787">
        <v>4</v>
      </c>
      <c r="C1944" s="787" t="s">
        <v>4289</v>
      </c>
      <c r="D1944" s="787">
        <v>0.01</v>
      </c>
      <c r="E1944" s="787">
        <v>0.01</v>
      </c>
      <c r="F1944" s="788">
        <v>39101</v>
      </c>
      <c r="G1944" s="788">
        <v>41961</v>
      </c>
      <c r="H1944" s="787">
        <v>1</v>
      </c>
      <c r="I1944" s="788">
        <v>42065</v>
      </c>
      <c r="J1944" s="788">
        <v>41975</v>
      </c>
      <c r="L1944" s="787">
        <v>0.46</v>
      </c>
      <c r="M1944" s="787">
        <v>10</v>
      </c>
      <c r="N1944" s="787">
        <v>0.49</v>
      </c>
      <c r="O1944" s="788">
        <v>41955</v>
      </c>
    </row>
    <row r="1945" spans="1:15" x14ac:dyDescent="0.25">
      <c r="A1945" s="786" t="s">
        <v>4290</v>
      </c>
      <c r="B1945" s="787">
        <v>4</v>
      </c>
      <c r="C1945" s="787" t="s">
        <v>4291</v>
      </c>
      <c r="D1945" s="787">
        <v>0.01</v>
      </c>
      <c r="E1945" s="787">
        <v>0.01</v>
      </c>
      <c r="F1945" s="788">
        <v>39101</v>
      </c>
      <c r="G1945" s="788">
        <v>39101</v>
      </c>
      <c r="H1945" s="787">
        <v>1</v>
      </c>
      <c r="I1945" s="788">
        <v>42016</v>
      </c>
      <c r="J1945" s="788">
        <v>39101</v>
      </c>
      <c r="L1945" s="787">
        <v>0.46</v>
      </c>
      <c r="M1945" s="787">
        <v>10</v>
      </c>
      <c r="N1945" s="787">
        <v>0.49</v>
      </c>
      <c r="O1945" s="788">
        <v>41955</v>
      </c>
    </row>
    <row r="1946" spans="1:15" x14ac:dyDescent="0.25">
      <c r="A1946" s="786" t="s">
        <v>4292</v>
      </c>
      <c r="B1946" s="787">
        <v>4</v>
      </c>
      <c r="C1946" s="787" t="s">
        <v>4293</v>
      </c>
      <c r="D1946" s="787">
        <v>0</v>
      </c>
      <c r="E1946" s="787">
        <v>0</v>
      </c>
      <c r="G1946" s="788">
        <v>41961</v>
      </c>
      <c r="H1946" s="787">
        <v>1</v>
      </c>
      <c r="I1946" s="788">
        <v>41975</v>
      </c>
      <c r="J1946" s="788">
        <v>41975</v>
      </c>
      <c r="L1946" s="787">
        <v>5.05</v>
      </c>
      <c r="M1946" s="787">
        <v>10</v>
      </c>
      <c r="N1946" s="787">
        <v>1.05</v>
      </c>
      <c r="O1946" s="788">
        <v>42158</v>
      </c>
    </row>
    <row r="1947" spans="1:15" x14ac:dyDescent="0.25">
      <c r="A1947" s="786" t="s">
        <v>4294</v>
      </c>
      <c r="B1947" s="787">
        <v>4</v>
      </c>
      <c r="C1947" s="787" t="s">
        <v>4295</v>
      </c>
      <c r="D1947" s="787">
        <v>0.03</v>
      </c>
      <c r="E1947" s="787">
        <v>0.03</v>
      </c>
      <c r="F1947" s="788">
        <v>39101</v>
      </c>
      <c r="G1947" s="788">
        <v>41778</v>
      </c>
      <c r="H1947" s="787">
        <v>1</v>
      </c>
      <c r="I1947" s="788">
        <v>41779</v>
      </c>
      <c r="J1947" s="788">
        <v>41782</v>
      </c>
      <c r="L1947" s="787">
        <v>0.39</v>
      </c>
      <c r="M1947" s="787">
        <v>10</v>
      </c>
      <c r="N1947" s="787">
        <v>0.55000000000000004</v>
      </c>
      <c r="O1947" s="788">
        <v>41955</v>
      </c>
    </row>
    <row r="1948" spans="1:15" x14ac:dyDescent="0.25">
      <c r="A1948" s="786" t="s">
        <v>4296</v>
      </c>
      <c r="B1948" s="787">
        <v>4</v>
      </c>
      <c r="C1948" s="787" t="s">
        <v>4297</v>
      </c>
      <c r="D1948" s="787">
        <v>2.84</v>
      </c>
      <c r="E1948" s="787">
        <v>2.84</v>
      </c>
      <c r="F1948" s="788">
        <v>41713</v>
      </c>
      <c r="G1948" s="788">
        <v>42104</v>
      </c>
      <c r="H1948" s="787">
        <v>1</v>
      </c>
      <c r="I1948" s="788">
        <v>42166</v>
      </c>
      <c r="J1948" s="788">
        <v>42104</v>
      </c>
      <c r="K1948" s="788">
        <v>41865</v>
      </c>
      <c r="L1948" s="787">
        <v>2.83</v>
      </c>
      <c r="M1948" s="787">
        <v>20</v>
      </c>
      <c r="N1948" s="787">
        <v>3.04</v>
      </c>
      <c r="O1948" s="788">
        <v>42156</v>
      </c>
    </row>
    <row r="1949" spans="1:15" x14ac:dyDescent="0.25">
      <c r="A1949" s="786" t="s">
        <v>4298</v>
      </c>
      <c r="B1949" s="787">
        <v>4</v>
      </c>
      <c r="C1949" s="787" t="s">
        <v>4299</v>
      </c>
      <c r="D1949" s="787">
        <v>5.67</v>
      </c>
      <c r="E1949" s="787">
        <v>5.67</v>
      </c>
      <c r="F1949" s="788">
        <v>41564</v>
      </c>
      <c r="G1949" s="788">
        <v>42156</v>
      </c>
      <c r="H1949" s="787">
        <v>1</v>
      </c>
      <c r="I1949" s="788">
        <v>42166</v>
      </c>
      <c r="J1949" s="788">
        <v>42156</v>
      </c>
      <c r="K1949" s="788">
        <v>41865</v>
      </c>
      <c r="L1949" s="787">
        <v>5.67</v>
      </c>
      <c r="M1949" s="787">
        <v>20</v>
      </c>
      <c r="N1949" s="787">
        <v>6.1</v>
      </c>
      <c r="O1949" s="788">
        <v>42156</v>
      </c>
    </row>
    <row r="1950" spans="1:15" x14ac:dyDescent="0.25">
      <c r="A1950" s="786" t="s">
        <v>4300</v>
      </c>
      <c r="B1950" s="787">
        <v>4</v>
      </c>
      <c r="C1950" s="787" t="s">
        <v>4301</v>
      </c>
      <c r="D1950" s="787">
        <v>8.52</v>
      </c>
      <c r="E1950" s="787">
        <v>8.52</v>
      </c>
      <c r="F1950" s="788">
        <v>41684</v>
      </c>
      <c r="G1950" s="788">
        <v>42142</v>
      </c>
      <c r="H1950" s="787">
        <v>1</v>
      </c>
      <c r="I1950" s="788">
        <v>42166</v>
      </c>
      <c r="J1950" s="788">
        <v>42137</v>
      </c>
      <c r="K1950" s="788">
        <v>41865</v>
      </c>
      <c r="L1950" s="787">
        <v>8.52</v>
      </c>
      <c r="M1950" s="787">
        <v>20</v>
      </c>
      <c r="N1950" s="787">
        <v>9.16</v>
      </c>
      <c r="O1950" s="788">
        <v>42156</v>
      </c>
    </row>
    <row r="1951" spans="1:15" x14ac:dyDescent="0.25">
      <c r="A1951" s="786" t="s">
        <v>4302</v>
      </c>
      <c r="B1951" s="787">
        <v>4</v>
      </c>
      <c r="C1951" s="787" t="s">
        <v>4303</v>
      </c>
      <c r="D1951" s="787">
        <v>5.32</v>
      </c>
      <c r="E1951" s="787">
        <v>24.05</v>
      </c>
      <c r="F1951" s="788">
        <v>40644</v>
      </c>
      <c r="G1951" s="788">
        <v>40049</v>
      </c>
      <c r="H1951" s="787">
        <v>1</v>
      </c>
      <c r="I1951" s="788">
        <v>40877</v>
      </c>
      <c r="J1951" s="788">
        <v>40703</v>
      </c>
      <c r="L1951" s="787">
        <v>0</v>
      </c>
      <c r="M1951" s="787">
        <v>10</v>
      </c>
      <c r="N1951" s="787">
        <v>23.4</v>
      </c>
      <c r="O1951" s="788">
        <v>42163</v>
      </c>
    </row>
    <row r="1952" spans="1:15" x14ac:dyDescent="0.25">
      <c r="A1952" s="786" t="s">
        <v>4304</v>
      </c>
      <c r="B1952" s="787">
        <v>4</v>
      </c>
      <c r="C1952" s="787" t="s">
        <v>4305</v>
      </c>
      <c r="D1952" s="787">
        <v>3.34</v>
      </c>
      <c r="E1952" s="787">
        <v>13.34</v>
      </c>
      <c r="F1952" s="788">
        <v>42044</v>
      </c>
      <c r="G1952" s="788">
        <v>42044</v>
      </c>
      <c r="H1952" s="787">
        <v>1</v>
      </c>
      <c r="I1952" s="788">
        <v>42160</v>
      </c>
      <c r="J1952" s="788">
        <v>42016</v>
      </c>
      <c r="L1952" s="787">
        <v>0</v>
      </c>
      <c r="M1952" s="787">
        <v>10</v>
      </c>
      <c r="N1952" s="787">
        <v>13.67</v>
      </c>
      <c r="O1952" s="788">
        <v>42163</v>
      </c>
    </row>
    <row r="1953" spans="1:15" x14ac:dyDescent="0.25">
      <c r="A1953" s="786" t="s">
        <v>4306</v>
      </c>
      <c r="B1953" s="787">
        <v>4</v>
      </c>
      <c r="C1953" s="787" t="s">
        <v>4307</v>
      </c>
      <c r="D1953" s="787">
        <v>8.9499999999999993</v>
      </c>
      <c r="E1953" s="787">
        <v>18.95</v>
      </c>
      <c r="F1953" s="788">
        <v>41410</v>
      </c>
      <c r="G1953" s="788">
        <v>42013</v>
      </c>
      <c r="H1953" s="787">
        <v>1</v>
      </c>
      <c r="I1953" s="788">
        <v>42107</v>
      </c>
      <c r="J1953" s="788">
        <v>41415</v>
      </c>
      <c r="L1953" s="787">
        <v>18.95</v>
      </c>
      <c r="M1953" s="787">
        <v>20</v>
      </c>
      <c r="N1953" s="787">
        <v>20.37</v>
      </c>
      <c r="O1953" s="788">
        <v>41955</v>
      </c>
    </row>
    <row r="1954" spans="1:15" x14ac:dyDescent="0.25">
      <c r="A1954" s="786" t="s">
        <v>4308</v>
      </c>
      <c r="B1954" s="787">
        <v>4</v>
      </c>
      <c r="C1954" s="787" t="s">
        <v>4309</v>
      </c>
      <c r="D1954" s="787">
        <v>2.4500000000000002</v>
      </c>
      <c r="E1954" s="787">
        <v>20.74</v>
      </c>
      <c r="F1954" s="788">
        <v>39101</v>
      </c>
      <c r="G1954" s="788">
        <v>42158</v>
      </c>
      <c r="H1954" s="787">
        <v>1</v>
      </c>
      <c r="I1954" s="788">
        <v>42124</v>
      </c>
      <c r="J1954" s="788">
        <v>42124</v>
      </c>
      <c r="K1954" s="788">
        <v>41870</v>
      </c>
      <c r="L1954" s="787">
        <v>19.989999999999998</v>
      </c>
      <c r="M1954" s="787">
        <v>10</v>
      </c>
      <c r="N1954" s="787">
        <v>22.07</v>
      </c>
      <c r="O1954" s="788">
        <v>42162</v>
      </c>
    </row>
    <row r="1955" spans="1:15" x14ac:dyDescent="0.25">
      <c r="A1955" s="786" t="s">
        <v>4310</v>
      </c>
      <c r="B1955" s="787">
        <v>4</v>
      </c>
      <c r="C1955" s="787" t="s">
        <v>4311</v>
      </c>
      <c r="D1955" s="787">
        <v>3.62</v>
      </c>
      <c r="E1955" s="787">
        <v>37.840000000000003</v>
      </c>
      <c r="F1955" s="788">
        <v>39101</v>
      </c>
      <c r="G1955" s="788">
        <v>42150</v>
      </c>
      <c r="H1955" s="787">
        <v>1</v>
      </c>
      <c r="I1955" s="788">
        <v>42153</v>
      </c>
      <c r="J1955" s="788">
        <v>42164</v>
      </c>
      <c r="K1955" s="788">
        <v>41870</v>
      </c>
      <c r="L1955" s="787">
        <v>38.479999999999997</v>
      </c>
      <c r="M1955" s="787">
        <v>10</v>
      </c>
      <c r="N1955" s="787">
        <v>40.99</v>
      </c>
      <c r="O1955" s="788">
        <v>42162</v>
      </c>
    </row>
    <row r="1956" spans="1:15" x14ac:dyDescent="0.25">
      <c r="A1956" s="786" t="s">
        <v>4312</v>
      </c>
      <c r="B1956" s="787">
        <v>4</v>
      </c>
      <c r="C1956" s="787" t="s">
        <v>4313</v>
      </c>
      <c r="D1956" s="787">
        <v>5.26</v>
      </c>
      <c r="E1956" s="787">
        <v>58.69</v>
      </c>
      <c r="F1956" s="788">
        <v>39101</v>
      </c>
      <c r="G1956" s="788">
        <v>42150</v>
      </c>
      <c r="H1956" s="787">
        <v>1</v>
      </c>
      <c r="I1956" s="788">
        <v>42137</v>
      </c>
      <c r="J1956" s="788">
        <v>42137</v>
      </c>
      <c r="K1956" s="788">
        <v>41870</v>
      </c>
      <c r="L1956" s="787">
        <v>56.97</v>
      </c>
      <c r="M1956" s="787">
        <v>10</v>
      </c>
      <c r="N1956" s="787">
        <v>59.91</v>
      </c>
      <c r="O1956" s="788">
        <v>42162</v>
      </c>
    </row>
    <row r="1957" spans="1:15" x14ac:dyDescent="0.25">
      <c r="A1957" s="786" t="s">
        <v>4314</v>
      </c>
      <c r="B1957" s="787">
        <v>4</v>
      </c>
      <c r="C1957" s="787" t="s">
        <v>4315</v>
      </c>
      <c r="D1957" s="787">
        <v>0</v>
      </c>
      <c r="E1957" s="787">
        <v>0</v>
      </c>
      <c r="H1957" s="787">
        <v>1</v>
      </c>
      <c r="I1957" s="788">
        <v>39589</v>
      </c>
      <c r="J1957" s="788">
        <v>39101</v>
      </c>
      <c r="L1957" s="787">
        <v>264.94</v>
      </c>
      <c r="M1957" s="787">
        <v>10</v>
      </c>
      <c r="N1957" s="787">
        <v>264.20999999999998</v>
      </c>
      <c r="O1957" s="788">
        <v>42118</v>
      </c>
    </row>
    <row r="1958" spans="1:15" x14ac:dyDescent="0.25">
      <c r="A1958" s="786" t="s">
        <v>4316</v>
      </c>
      <c r="B1958" s="787">
        <v>4</v>
      </c>
      <c r="C1958" s="787" t="s">
        <v>4317</v>
      </c>
      <c r="D1958" s="787">
        <v>0</v>
      </c>
      <c r="E1958" s="787">
        <v>0</v>
      </c>
      <c r="H1958" s="787">
        <v>1</v>
      </c>
      <c r="I1958" s="788">
        <v>39561</v>
      </c>
      <c r="J1958" s="788">
        <v>39101</v>
      </c>
      <c r="L1958" s="787">
        <v>339.22</v>
      </c>
      <c r="M1958" s="787">
        <v>10</v>
      </c>
      <c r="N1958" s="787">
        <v>341.17</v>
      </c>
      <c r="O1958" s="788">
        <v>42030</v>
      </c>
    </row>
    <row r="1959" spans="1:15" x14ac:dyDescent="0.25">
      <c r="A1959" s="786" t="s">
        <v>4318</v>
      </c>
      <c r="B1959" s="787">
        <v>4</v>
      </c>
      <c r="C1959" s="787" t="s">
        <v>4319</v>
      </c>
      <c r="D1959" s="787">
        <v>0</v>
      </c>
      <c r="E1959" s="787">
        <v>0</v>
      </c>
      <c r="H1959" s="787">
        <v>1</v>
      </c>
      <c r="I1959" s="788">
        <v>39561</v>
      </c>
      <c r="J1959" s="788">
        <v>39101</v>
      </c>
      <c r="L1959" s="787">
        <v>351.11</v>
      </c>
      <c r="M1959" s="787">
        <v>10</v>
      </c>
      <c r="N1959" s="787">
        <v>359.9</v>
      </c>
      <c r="O1959" s="788">
        <v>42030</v>
      </c>
    </row>
    <row r="1960" spans="1:15" x14ac:dyDescent="0.25">
      <c r="A1960" s="786" t="s">
        <v>4320</v>
      </c>
      <c r="B1960" s="787">
        <v>4</v>
      </c>
      <c r="C1960" s="787" t="s">
        <v>4321</v>
      </c>
      <c r="D1960" s="787">
        <v>0</v>
      </c>
      <c r="E1960" s="787">
        <v>0</v>
      </c>
      <c r="H1960" s="787">
        <v>1</v>
      </c>
      <c r="I1960" s="788">
        <v>38939</v>
      </c>
      <c r="J1960" s="788">
        <v>39101</v>
      </c>
      <c r="L1960" s="787">
        <v>357.57</v>
      </c>
      <c r="M1960" s="787">
        <v>10</v>
      </c>
      <c r="N1960" s="787">
        <v>359.45</v>
      </c>
      <c r="O1960" s="788">
        <v>42031</v>
      </c>
    </row>
    <row r="1961" spans="1:15" x14ac:dyDescent="0.25">
      <c r="A1961" s="786" t="s">
        <v>4322</v>
      </c>
      <c r="B1961" s="787">
        <v>4</v>
      </c>
      <c r="C1961" s="787" t="s">
        <v>4323</v>
      </c>
      <c r="D1961" s="787">
        <v>0</v>
      </c>
      <c r="E1961" s="787">
        <v>0</v>
      </c>
      <c r="H1961" s="787">
        <v>1</v>
      </c>
      <c r="I1961" s="788">
        <v>38093</v>
      </c>
      <c r="L1961" s="787">
        <v>369.46</v>
      </c>
      <c r="M1961" s="787">
        <v>10</v>
      </c>
      <c r="N1961" s="787">
        <v>378.18</v>
      </c>
      <c r="O1961" s="788">
        <v>42031</v>
      </c>
    </row>
    <row r="1962" spans="1:15" x14ac:dyDescent="0.25">
      <c r="A1962" s="786" t="s">
        <v>4324</v>
      </c>
      <c r="B1962" s="787">
        <v>4</v>
      </c>
      <c r="C1962" s="787" t="s">
        <v>4325</v>
      </c>
      <c r="D1962" s="787">
        <v>0</v>
      </c>
      <c r="E1962" s="787">
        <v>0</v>
      </c>
      <c r="H1962" s="787">
        <v>1</v>
      </c>
      <c r="I1962" s="788">
        <v>39198</v>
      </c>
      <c r="J1962" s="788">
        <v>39101</v>
      </c>
      <c r="L1962" s="787">
        <v>480.41</v>
      </c>
      <c r="M1962" s="787">
        <v>10</v>
      </c>
      <c r="N1962" s="787">
        <v>492.95</v>
      </c>
      <c r="O1962" s="788">
        <v>42030</v>
      </c>
    </row>
    <row r="1963" spans="1:15" x14ac:dyDescent="0.25">
      <c r="A1963" s="786" t="s">
        <v>4326</v>
      </c>
      <c r="B1963" s="787">
        <v>4</v>
      </c>
      <c r="C1963" s="787" t="s">
        <v>4327</v>
      </c>
      <c r="D1963" s="787">
        <v>0</v>
      </c>
      <c r="E1963" s="787">
        <v>0</v>
      </c>
      <c r="H1963" s="787">
        <v>1</v>
      </c>
      <c r="I1963" s="788">
        <v>38861</v>
      </c>
      <c r="J1963" s="788">
        <v>39101</v>
      </c>
      <c r="L1963" s="787">
        <v>492.29</v>
      </c>
      <c r="M1963" s="787">
        <v>10</v>
      </c>
      <c r="N1963" s="787">
        <v>511.67</v>
      </c>
      <c r="O1963" s="788">
        <v>42030</v>
      </c>
    </row>
    <row r="1964" spans="1:15" x14ac:dyDescent="0.25">
      <c r="A1964" s="786" t="s">
        <v>4328</v>
      </c>
      <c r="B1964" s="787">
        <v>4</v>
      </c>
      <c r="C1964" s="787" t="s">
        <v>4329</v>
      </c>
      <c r="D1964" s="787">
        <v>0</v>
      </c>
      <c r="E1964" s="787">
        <v>0</v>
      </c>
      <c r="H1964" s="787">
        <v>1</v>
      </c>
      <c r="I1964" s="788">
        <v>38523</v>
      </c>
      <c r="J1964" s="788">
        <v>38736</v>
      </c>
      <c r="L1964" s="787">
        <v>498.76</v>
      </c>
      <c r="M1964" s="787">
        <v>10</v>
      </c>
      <c r="N1964" s="787">
        <v>511.23</v>
      </c>
      <c r="O1964" s="788">
        <v>42031</v>
      </c>
    </row>
    <row r="1965" spans="1:15" x14ac:dyDescent="0.25">
      <c r="A1965" s="786" t="s">
        <v>4330</v>
      </c>
      <c r="B1965" s="787">
        <v>4</v>
      </c>
      <c r="C1965" s="787" t="s">
        <v>4331</v>
      </c>
      <c r="D1965" s="787">
        <v>0</v>
      </c>
      <c r="E1965" s="787">
        <v>0</v>
      </c>
      <c r="H1965" s="787">
        <v>1</v>
      </c>
      <c r="I1965" s="788">
        <v>38791</v>
      </c>
      <c r="J1965" s="788">
        <v>39101</v>
      </c>
      <c r="L1965" s="787">
        <v>510.65</v>
      </c>
      <c r="M1965" s="787">
        <v>10</v>
      </c>
      <c r="N1965" s="787">
        <v>529.96</v>
      </c>
      <c r="O1965" s="788">
        <v>42031</v>
      </c>
    </row>
    <row r="1966" spans="1:15" x14ac:dyDescent="0.25">
      <c r="A1966" s="786" t="s">
        <v>4332</v>
      </c>
      <c r="B1966" s="787">
        <v>4</v>
      </c>
      <c r="C1966" s="787" t="s">
        <v>4333</v>
      </c>
      <c r="D1966" s="787">
        <v>0</v>
      </c>
      <c r="E1966" s="787">
        <v>0</v>
      </c>
      <c r="H1966" s="787">
        <v>1</v>
      </c>
      <c r="I1966" s="788">
        <v>39071</v>
      </c>
      <c r="J1966" s="788">
        <v>39101</v>
      </c>
      <c r="L1966" s="787">
        <v>261.5</v>
      </c>
      <c r="M1966" s="787">
        <v>10</v>
      </c>
      <c r="N1966" s="787">
        <v>279.39999999999998</v>
      </c>
      <c r="O1966" s="788">
        <v>41590</v>
      </c>
    </row>
    <row r="1967" spans="1:15" x14ac:dyDescent="0.25">
      <c r="A1967" s="786" t="s">
        <v>4334</v>
      </c>
      <c r="B1967" s="787">
        <v>4</v>
      </c>
      <c r="C1967" s="787" t="s">
        <v>4335</v>
      </c>
      <c r="D1967" s="787">
        <v>0</v>
      </c>
      <c r="E1967" s="787">
        <v>0</v>
      </c>
      <c r="H1967" s="787">
        <v>1</v>
      </c>
      <c r="L1967" s="787">
        <v>361.18</v>
      </c>
      <c r="M1967" s="787">
        <v>10</v>
      </c>
      <c r="N1967" s="787">
        <v>390.96</v>
      </c>
      <c r="O1967" s="788">
        <v>42122</v>
      </c>
    </row>
    <row r="1968" spans="1:15" x14ac:dyDescent="0.25">
      <c r="A1968" s="786" t="s">
        <v>4336</v>
      </c>
      <c r="B1968" s="787">
        <v>4</v>
      </c>
      <c r="C1968" s="787" t="s">
        <v>4337</v>
      </c>
      <c r="D1968" s="787">
        <v>0</v>
      </c>
      <c r="E1968" s="787">
        <v>0</v>
      </c>
      <c r="H1968" s="787">
        <v>1</v>
      </c>
      <c r="I1968" s="788">
        <v>39024</v>
      </c>
      <c r="J1968" s="788">
        <v>39101</v>
      </c>
      <c r="L1968" s="787">
        <v>373.07</v>
      </c>
      <c r="M1968" s="787">
        <v>10</v>
      </c>
      <c r="N1968" s="787">
        <v>409.68</v>
      </c>
      <c r="O1968" s="788">
        <v>42122</v>
      </c>
    </row>
    <row r="1969" spans="1:15" x14ac:dyDescent="0.25">
      <c r="A1969" s="786" t="s">
        <v>4338</v>
      </c>
      <c r="B1969" s="787">
        <v>4</v>
      </c>
      <c r="C1969" s="787" t="s">
        <v>4339</v>
      </c>
      <c r="D1969" s="787">
        <v>0</v>
      </c>
      <c r="E1969" s="787">
        <v>0</v>
      </c>
      <c r="H1969" s="787">
        <v>1</v>
      </c>
      <c r="L1969" s="787">
        <v>379.54</v>
      </c>
      <c r="M1969" s="787">
        <v>10</v>
      </c>
      <c r="N1969" s="787">
        <v>409.24</v>
      </c>
      <c r="O1969" s="788">
        <v>42122</v>
      </c>
    </row>
    <row r="1970" spans="1:15" x14ac:dyDescent="0.25">
      <c r="A1970" s="786" t="s">
        <v>4340</v>
      </c>
      <c r="B1970" s="787">
        <v>4</v>
      </c>
      <c r="C1970" s="787" t="s">
        <v>4341</v>
      </c>
      <c r="D1970" s="787">
        <v>0</v>
      </c>
      <c r="E1970" s="787">
        <v>0</v>
      </c>
      <c r="H1970" s="787">
        <v>1</v>
      </c>
      <c r="I1970" s="788">
        <v>37810</v>
      </c>
      <c r="L1970" s="787">
        <v>391.42</v>
      </c>
      <c r="M1970" s="787">
        <v>10</v>
      </c>
      <c r="N1970" s="787">
        <v>427.96</v>
      </c>
      <c r="O1970" s="788">
        <v>42122</v>
      </c>
    </row>
    <row r="1971" spans="1:15" x14ac:dyDescent="0.25">
      <c r="A1971" s="786" t="s">
        <v>4342</v>
      </c>
      <c r="B1971" s="787">
        <v>4</v>
      </c>
      <c r="C1971" s="787" t="s">
        <v>4343</v>
      </c>
      <c r="D1971" s="787">
        <v>0</v>
      </c>
      <c r="E1971" s="787">
        <v>0</v>
      </c>
      <c r="H1971" s="787">
        <v>1</v>
      </c>
      <c r="I1971" s="788">
        <v>38093</v>
      </c>
      <c r="L1971" s="787">
        <v>502.37</v>
      </c>
      <c r="M1971" s="787">
        <v>10</v>
      </c>
      <c r="N1971" s="787">
        <v>542.74</v>
      </c>
      <c r="O1971" s="788">
        <v>42122</v>
      </c>
    </row>
    <row r="1972" spans="1:15" x14ac:dyDescent="0.25">
      <c r="A1972" s="786" t="s">
        <v>4344</v>
      </c>
      <c r="B1972" s="787">
        <v>4</v>
      </c>
      <c r="C1972" s="787" t="s">
        <v>4345</v>
      </c>
      <c r="D1972" s="787">
        <v>0</v>
      </c>
      <c r="E1972" s="787">
        <v>0</v>
      </c>
      <c r="H1972" s="787">
        <v>1</v>
      </c>
      <c r="I1972" s="788">
        <v>38660</v>
      </c>
      <c r="J1972" s="788">
        <v>38736</v>
      </c>
      <c r="L1972" s="787">
        <v>514.26</v>
      </c>
      <c r="M1972" s="787">
        <v>10</v>
      </c>
      <c r="N1972" s="787">
        <v>561.46</v>
      </c>
      <c r="O1972" s="788">
        <v>42122</v>
      </c>
    </row>
    <row r="1973" spans="1:15" x14ac:dyDescent="0.25">
      <c r="A1973" s="786" t="s">
        <v>4346</v>
      </c>
      <c r="B1973" s="787">
        <v>4</v>
      </c>
      <c r="C1973" s="787" t="s">
        <v>4347</v>
      </c>
      <c r="D1973" s="787">
        <v>0</v>
      </c>
      <c r="E1973" s="787">
        <v>0</v>
      </c>
      <c r="H1973" s="787">
        <v>1</v>
      </c>
      <c r="I1973" s="788">
        <v>38631</v>
      </c>
      <c r="J1973" s="788">
        <v>38736</v>
      </c>
      <c r="L1973" s="787">
        <v>520.72</v>
      </c>
      <c r="M1973" s="787">
        <v>10</v>
      </c>
      <c r="N1973" s="787">
        <v>561.02</v>
      </c>
      <c r="O1973" s="788">
        <v>42122</v>
      </c>
    </row>
    <row r="1974" spans="1:15" x14ac:dyDescent="0.25">
      <c r="A1974" s="786" t="s">
        <v>4348</v>
      </c>
      <c r="B1974" s="787">
        <v>4</v>
      </c>
      <c r="C1974" s="787" t="s">
        <v>4349</v>
      </c>
      <c r="D1974" s="787">
        <v>0</v>
      </c>
      <c r="E1974" s="787">
        <v>0</v>
      </c>
      <c r="H1974" s="787">
        <v>1</v>
      </c>
      <c r="I1974" s="788">
        <v>38693</v>
      </c>
      <c r="J1974" s="788">
        <v>38736</v>
      </c>
      <c r="L1974" s="787">
        <v>532.61</v>
      </c>
      <c r="M1974" s="787">
        <v>10</v>
      </c>
      <c r="N1974" s="787">
        <v>579.74</v>
      </c>
      <c r="O1974" s="788">
        <v>42122</v>
      </c>
    </row>
    <row r="1975" spans="1:15" x14ac:dyDescent="0.25">
      <c r="A1975" s="786" t="s">
        <v>4350</v>
      </c>
      <c r="B1975" s="787">
        <v>4</v>
      </c>
      <c r="C1975" s="787" t="s">
        <v>4351</v>
      </c>
      <c r="D1975" s="787">
        <v>0</v>
      </c>
      <c r="E1975" s="787">
        <v>0</v>
      </c>
      <c r="H1975" s="787">
        <v>1</v>
      </c>
      <c r="I1975" s="788">
        <v>39071</v>
      </c>
      <c r="J1975" s="788">
        <v>39101</v>
      </c>
      <c r="L1975" s="787">
        <v>289.92</v>
      </c>
      <c r="M1975" s="787">
        <v>10</v>
      </c>
      <c r="N1975" s="787">
        <v>303.89999999999998</v>
      </c>
      <c r="O1975" s="788">
        <v>42059</v>
      </c>
    </row>
    <row r="1976" spans="1:15" x14ac:dyDescent="0.25">
      <c r="A1976" s="786" t="s">
        <v>4352</v>
      </c>
      <c r="B1976" s="787">
        <v>4</v>
      </c>
      <c r="C1976" s="787" t="s">
        <v>4353</v>
      </c>
      <c r="D1976" s="787">
        <v>0</v>
      </c>
      <c r="E1976" s="787">
        <v>0</v>
      </c>
      <c r="H1976" s="787">
        <v>1</v>
      </c>
      <c r="I1976" s="788">
        <v>38632</v>
      </c>
      <c r="J1976" s="788">
        <v>38736</v>
      </c>
      <c r="L1976" s="787">
        <v>379.46</v>
      </c>
      <c r="M1976" s="787">
        <v>10</v>
      </c>
      <c r="N1976" s="787">
        <v>367.8</v>
      </c>
      <c r="O1976" s="788">
        <v>42088</v>
      </c>
    </row>
    <row r="1977" spans="1:15" x14ac:dyDescent="0.25">
      <c r="A1977" s="786" t="s">
        <v>4354</v>
      </c>
      <c r="B1977" s="787">
        <v>4</v>
      </c>
      <c r="C1977" s="787" t="s">
        <v>4355</v>
      </c>
      <c r="D1977" s="787">
        <v>0</v>
      </c>
      <c r="E1977" s="787">
        <v>0</v>
      </c>
      <c r="H1977" s="787">
        <v>1</v>
      </c>
      <c r="I1977" s="788">
        <v>38660</v>
      </c>
      <c r="J1977" s="788">
        <v>38736</v>
      </c>
      <c r="L1977" s="787">
        <v>379.19</v>
      </c>
      <c r="M1977" s="787">
        <v>10</v>
      </c>
      <c r="N1977" s="787">
        <v>368.15</v>
      </c>
      <c r="O1977" s="788">
        <v>42088</v>
      </c>
    </row>
    <row r="1978" spans="1:15" x14ac:dyDescent="0.25">
      <c r="A1978" s="786" t="s">
        <v>4356</v>
      </c>
      <c r="B1978" s="787">
        <v>4</v>
      </c>
      <c r="C1978" s="787" t="s">
        <v>4357</v>
      </c>
      <c r="D1978" s="787">
        <v>0</v>
      </c>
      <c r="E1978" s="787">
        <v>0</v>
      </c>
      <c r="H1978" s="787">
        <v>1</v>
      </c>
      <c r="I1978" s="788">
        <v>38464</v>
      </c>
      <c r="J1978" s="788">
        <v>38736</v>
      </c>
      <c r="L1978" s="787">
        <v>555.63</v>
      </c>
      <c r="M1978" s="787">
        <v>10</v>
      </c>
      <c r="N1978" s="787">
        <v>557.19000000000005</v>
      </c>
      <c r="O1978" s="788">
        <v>42088</v>
      </c>
    </row>
    <row r="1979" spans="1:15" x14ac:dyDescent="0.25">
      <c r="A1979" s="786" t="s">
        <v>4358</v>
      </c>
      <c r="B1979" s="787">
        <v>4</v>
      </c>
      <c r="C1979" s="787" t="s">
        <v>4359</v>
      </c>
      <c r="D1979" s="787">
        <v>0</v>
      </c>
      <c r="E1979" s="787">
        <v>0</v>
      </c>
      <c r="H1979" s="787">
        <v>1</v>
      </c>
      <c r="I1979" s="788">
        <v>38485</v>
      </c>
      <c r="J1979" s="788">
        <v>38736</v>
      </c>
      <c r="L1979" s="787">
        <v>555.37</v>
      </c>
      <c r="M1979" s="787">
        <v>10</v>
      </c>
      <c r="N1979" s="787">
        <v>557.53</v>
      </c>
      <c r="O1979" s="788">
        <v>42088</v>
      </c>
    </row>
    <row r="1980" spans="1:15" x14ac:dyDescent="0.25">
      <c r="A1980" s="786" t="s">
        <v>4360</v>
      </c>
      <c r="B1980" s="787">
        <v>4</v>
      </c>
      <c r="C1980" s="787" t="s">
        <v>4361</v>
      </c>
      <c r="D1980" s="787">
        <v>0</v>
      </c>
      <c r="E1980" s="787">
        <v>0</v>
      </c>
      <c r="H1980" s="787">
        <v>1</v>
      </c>
      <c r="I1980" s="788">
        <v>39170</v>
      </c>
      <c r="J1980" s="788">
        <v>39101</v>
      </c>
      <c r="L1980" s="787">
        <v>334.61</v>
      </c>
      <c r="M1980" s="787">
        <v>10</v>
      </c>
      <c r="N1980" s="787">
        <v>359.85</v>
      </c>
      <c r="O1980" s="788">
        <v>42059</v>
      </c>
    </row>
    <row r="1981" spans="1:15" x14ac:dyDescent="0.25">
      <c r="A1981" s="786" t="s">
        <v>4362</v>
      </c>
      <c r="B1981" s="787">
        <v>4</v>
      </c>
      <c r="C1981" s="787" t="s">
        <v>4363</v>
      </c>
      <c r="D1981" s="787">
        <v>0</v>
      </c>
      <c r="E1981" s="787">
        <v>0</v>
      </c>
      <c r="H1981" s="787">
        <v>1</v>
      </c>
      <c r="I1981" s="788">
        <v>38709</v>
      </c>
      <c r="J1981" s="788">
        <v>38736</v>
      </c>
      <c r="L1981" s="787">
        <v>424.15</v>
      </c>
      <c r="M1981" s="787">
        <v>10</v>
      </c>
      <c r="N1981" s="787">
        <v>423.75</v>
      </c>
      <c r="O1981" s="788">
        <v>42088</v>
      </c>
    </row>
    <row r="1982" spans="1:15" x14ac:dyDescent="0.25">
      <c r="A1982" s="786" t="s">
        <v>4364</v>
      </c>
      <c r="B1982" s="787">
        <v>4</v>
      </c>
      <c r="C1982" s="787" t="s">
        <v>4365</v>
      </c>
      <c r="D1982" s="787">
        <v>0</v>
      </c>
      <c r="E1982" s="787">
        <v>0</v>
      </c>
      <c r="H1982" s="787">
        <v>1</v>
      </c>
      <c r="I1982" s="788">
        <v>39024</v>
      </c>
      <c r="J1982" s="788">
        <v>39101</v>
      </c>
      <c r="L1982" s="787">
        <v>423.89</v>
      </c>
      <c r="M1982" s="787">
        <v>10</v>
      </c>
      <c r="N1982" s="787">
        <v>424.09</v>
      </c>
      <c r="O1982" s="788">
        <v>42088</v>
      </c>
    </row>
    <row r="1983" spans="1:15" x14ac:dyDescent="0.25">
      <c r="A1983" s="786" t="s">
        <v>4366</v>
      </c>
      <c r="B1983" s="787">
        <v>4</v>
      </c>
      <c r="C1983" s="787" t="s">
        <v>4367</v>
      </c>
      <c r="D1983" s="787">
        <v>0</v>
      </c>
      <c r="E1983" s="787">
        <v>0</v>
      </c>
      <c r="H1983" s="787">
        <v>1</v>
      </c>
      <c r="I1983" s="788">
        <v>38939</v>
      </c>
      <c r="J1983" s="788">
        <v>39101</v>
      </c>
      <c r="L1983" s="787">
        <v>565.34</v>
      </c>
      <c r="M1983" s="787">
        <v>10</v>
      </c>
      <c r="N1983" s="787">
        <v>575.53</v>
      </c>
      <c r="O1983" s="788">
        <v>42088</v>
      </c>
    </row>
    <row r="1984" spans="1:15" x14ac:dyDescent="0.25">
      <c r="A1984" s="786" t="s">
        <v>4368</v>
      </c>
      <c r="B1984" s="787">
        <v>4</v>
      </c>
      <c r="C1984" s="787" t="s">
        <v>4369</v>
      </c>
      <c r="D1984" s="787">
        <v>0</v>
      </c>
      <c r="E1984" s="787">
        <v>0</v>
      </c>
      <c r="H1984" s="787">
        <v>1</v>
      </c>
      <c r="I1984" s="788">
        <v>38986</v>
      </c>
      <c r="J1984" s="788">
        <v>39101</v>
      </c>
      <c r="L1984" s="787">
        <v>565.08000000000004</v>
      </c>
      <c r="M1984" s="787">
        <v>10</v>
      </c>
      <c r="N1984" s="787">
        <v>575.87</v>
      </c>
      <c r="O1984" s="788">
        <v>42088</v>
      </c>
    </row>
    <row r="1985" spans="1:15" x14ac:dyDescent="0.25">
      <c r="A1985" s="786" t="s">
        <v>4370</v>
      </c>
      <c r="B1985" s="787">
        <v>4</v>
      </c>
      <c r="C1985" s="787" t="s">
        <v>4371</v>
      </c>
      <c r="D1985" s="787">
        <v>0</v>
      </c>
      <c r="E1985" s="787">
        <v>0</v>
      </c>
      <c r="H1985" s="787">
        <v>1</v>
      </c>
      <c r="I1985" s="788">
        <v>38839</v>
      </c>
      <c r="J1985" s="788">
        <v>39101</v>
      </c>
      <c r="L1985" s="787">
        <v>490.73</v>
      </c>
      <c r="M1985" s="787">
        <v>10</v>
      </c>
      <c r="N1985" s="787">
        <v>500.75</v>
      </c>
      <c r="O1985" s="788">
        <v>42087</v>
      </c>
    </row>
    <row r="1986" spans="1:15" x14ac:dyDescent="0.25">
      <c r="A1986" s="786" t="s">
        <v>4372</v>
      </c>
      <c r="B1986" s="787">
        <v>4</v>
      </c>
      <c r="C1986" s="787" t="s">
        <v>4373</v>
      </c>
      <c r="D1986" s="787">
        <v>0</v>
      </c>
      <c r="E1986" s="787">
        <v>0</v>
      </c>
      <c r="H1986" s="787">
        <v>1</v>
      </c>
      <c r="L1986" s="787">
        <v>509.09</v>
      </c>
      <c r="M1986" s="787">
        <v>10</v>
      </c>
      <c r="N1986" s="787">
        <v>519.03</v>
      </c>
      <c r="O1986" s="788">
        <v>42087</v>
      </c>
    </row>
    <row r="1987" spans="1:15" x14ac:dyDescent="0.25">
      <c r="A1987" s="786" t="s">
        <v>4374</v>
      </c>
      <c r="B1987" s="787">
        <v>4</v>
      </c>
      <c r="C1987" s="787" t="s">
        <v>4375</v>
      </c>
      <c r="D1987" s="787">
        <v>0</v>
      </c>
      <c r="E1987" s="787">
        <v>0</v>
      </c>
      <c r="G1987" s="788">
        <v>38736</v>
      </c>
      <c r="H1987" s="787">
        <v>1</v>
      </c>
      <c r="I1987" s="788">
        <v>41479</v>
      </c>
      <c r="J1987" s="788">
        <v>38736</v>
      </c>
      <c r="L1987" s="787">
        <v>66.650000000000006</v>
      </c>
      <c r="M1987" s="787">
        <v>10</v>
      </c>
      <c r="N1987" s="787">
        <v>71.52</v>
      </c>
      <c r="O1987" s="788">
        <v>42164</v>
      </c>
    </row>
    <row r="1988" spans="1:15" x14ac:dyDescent="0.25">
      <c r="A1988" s="786" t="s">
        <v>4376</v>
      </c>
      <c r="B1988" s="787">
        <v>4</v>
      </c>
      <c r="C1988" s="787" t="s">
        <v>4377</v>
      </c>
      <c r="D1988" s="787">
        <v>0.96</v>
      </c>
      <c r="E1988" s="787">
        <v>1.3</v>
      </c>
      <c r="F1988" s="788">
        <v>39101</v>
      </c>
      <c r="G1988" s="788">
        <v>40105</v>
      </c>
      <c r="H1988" s="787">
        <v>1</v>
      </c>
      <c r="I1988" s="788">
        <v>41477</v>
      </c>
      <c r="J1988" s="788">
        <v>40816</v>
      </c>
      <c r="L1988" s="787">
        <v>1.3</v>
      </c>
      <c r="M1988" s="787">
        <v>20</v>
      </c>
      <c r="N1988" s="787">
        <v>1.4</v>
      </c>
      <c r="O1988" s="788">
        <v>42123</v>
      </c>
    </row>
    <row r="1989" spans="1:15" x14ac:dyDescent="0.25">
      <c r="A1989" s="786" t="s">
        <v>4378</v>
      </c>
      <c r="B1989" s="787">
        <v>4</v>
      </c>
      <c r="C1989" s="787" t="s">
        <v>4379</v>
      </c>
      <c r="D1989" s="787">
        <v>0.96</v>
      </c>
      <c r="E1989" s="787">
        <v>1.4</v>
      </c>
      <c r="F1989" s="788">
        <v>39101</v>
      </c>
      <c r="G1989" s="788">
        <v>42013</v>
      </c>
      <c r="H1989" s="787">
        <v>1</v>
      </c>
      <c r="I1989" s="788">
        <v>41593</v>
      </c>
      <c r="J1989" s="788">
        <v>40224</v>
      </c>
      <c r="L1989" s="787">
        <v>1.4</v>
      </c>
      <c r="M1989" s="787">
        <v>20</v>
      </c>
      <c r="N1989" s="787">
        <v>1.51</v>
      </c>
      <c r="O1989" s="788">
        <v>42123</v>
      </c>
    </row>
    <row r="1990" spans="1:15" x14ac:dyDescent="0.25">
      <c r="A1990" s="786" t="s">
        <v>4380</v>
      </c>
      <c r="B1990" s="787">
        <v>4</v>
      </c>
      <c r="C1990" s="787" t="s">
        <v>4381</v>
      </c>
      <c r="D1990" s="787">
        <v>3.11</v>
      </c>
      <c r="E1990" s="787">
        <v>3.85</v>
      </c>
      <c r="F1990" s="788">
        <v>39101</v>
      </c>
      <c r="G1990" s="788">
        <v>41646</v>
      </c>
      <c r="H1990" s="787">
        <v>1</v>
      </c>
      <c r="I1990" s="788">
        <v>41477</v>
      </c>
      <c r="J1990" s="788">
        <v>40816</v>
      </c>
      <c r="L1990" s="787">
        <v>3.85</v>
      </c>
      <c r="M1990" s="787">
        <v>20</v>
      </c>
      <c r="N1990" s="787">
        <v>4.1399999999999997</v>
      </c>
      <c r="O1990" s="788">
        <v>42123</v>
      </c>
    </row>
    <row r="1991" spans="1:15" x14ac:dyDescent="0.25">
      <c r="A1991" s="786" t="s">
        <v>4382</v>
      </c>
      <c r="B1991" s="787">
        <v>4</v>
      </c>
      <c r="C1991" s="787" t="s">
        <v>4383</v>
      </c>
      <c r="D1991" s="787">
        <v>3.08</v>
      </c>
      <c r="E1991" s="787">
        <v>4.3</v>
      </c>
      <c r="F1991" s="788">
        <v>39101</v>
      </c>
      <c r="G1991" s="788">
        <v>42013</v>
      </c>
      <c r="H1991" s="787">
        <v>1</v>
      </c>
      <c r="I1991" s="788">
        <v>41127</v>
      </c>
      <c r="J1991" s="788">
        <v>40450</v>
      </c>
      <c r="L1991" s="787">
        <v>4.3</v>
      </c>
      <c r="M1991" s="787">
        <v>20</v>
      </c>
      <c r="N1991" s="787">
        <v>4.62</v>
      </c>
      <c r="O1991" s="788">
        <v>42123</v>
      </c>
    </row>
    <row r="1992" spans="1:15" x14ac:dyDescent="0.25">
      <c r="A1992" s="786" t="s">
        <v>4384</v>
      </c>
      <c r="B1992" s="787">
        <v>4</v>
      </c>
      <c r="C1992" s="787" t="s">
        <v>4385</v>
      </c>
      <c r="D1992" s="787">
        <v>0.25</v>
      </c>
      <c r="E1992" s="787">
        <v>0.26</v>
      </c>
      <c r="F1992" s="788">
        <v>39538</v>
      </c>
      <c r="G1992" s="788">
        <v>42013</v>
      </c>
      <c r="H1992" s="787">
        <v>1</v>
      </c>
      <c r="I1992" s="788">
        <v>41593</v>
      </c>
      <c r="J1992" s="788">
        <v>40646</v>
      </c>
      <c r="L1992" s="787">
        <v>0.26</v>
      </c>
      <c r="M1992" s="787">
        <v>20</v>
      </c>
      <c r="N1992" s="787">
        <v>0.28000000000000003</v>
      </c>
      <c r="O1992" s="788">
        <v>42123</v>
      </c>
    </row>
    <row r="1993" spans="1:15" x14ac:dyDescent="0.25">
      <c r="A1993" s="786" t="s">
        <v>4386</v>
      </c>
      <c r="B1993" s="787">
        <v>4</v>
      </c>
      <c r="C1993" s="787" t="s">
        <v>4387</v>
      </c>
      <c r="D1993" s="787">
        <v>2.21</v>
      </c>
      <c r="E1993" s="787">
        <v>5.2</v>
      </c>
      <c r="F1993" s="788">
        <v>39101</v>
      </c>
      <c r="G1993" s="788">
        <v>40914</v>
      </c>
      <c r="H1993" s="787">
        <v>1</v>
      </c>
      <c r="I1993" s="788">
        <v>40441</v>
      </c>
      <c r="J1993" s="788">
        <v>40485</v>
      </c>
      <c r="L1993" s="787">
        <v>5.2</v>
      </c>
      <c r="M1993" s="787">
        <v>20</v>
      </c>
      <c r="N1993" s="787">
        <v>5.59</v>
      </c>
      <c r="O1993" s="788">
        <v>42123</v>
      </c>
    </row>
    <row r="1994" spans="1:15" x14ac:dyDescent="0.25">
      <c r="A1994" s="786" t="s">
        <v>4388</v>
      </c>
      <c r="B1994" s="787">
        <v>4</v>
      </c>
      <c r="C1994" s="787" t="s">
        <v>4389</v>
      </c>
      <c r="D1994" s="787">
        <v>4.2</v>
      </c>
      <c r="E1994" s="787">
        <v>4.2</v>
      </c>
      <c r="F1994" s="788">
        <v>39101</v>
      </c>
      <c r="G1994" s="788">
        <v>39101</v>
      </c>
      <c r="H1994" s="787">
        <v>1</v>
      </c>
      <c r="I1994" s="788">
        <v>39419</v>
      </c>
      <c r="J1994" s="788">
        <v>39122</v>
      </c>
      <c r="L1994" s="787">
        <v>4.2</v>
      </c>
      <c r="M1994" s="787">
        <v>20</v>
      </c>
      <c r="N1994" s="787">
        <v>4.5199999999999996</v>
      </c>
      <c r="O1994" s="788">
        <v>42123</v>
      </c>
    </row>
    <row r="1995" spans="1:15" x14ac:dyDescent="0.25">
      <c r="A1995" s="786" t="s">
        <v>4390</v>
      </c>
      <c r="B1995" s="787">
        <v>4</v>
      </c>
      <c r="C1995" s="787" t="s">
        <v>4391</v>
      </c>
      <c r="D1995" s="787">
        <v>3.72</v>
      </c>
      <c r="E1995" s="787">
        <v>15.02</v>
      </c>
      <c r="F1995" s="788">
        <v>39101</v>
      </c>
      <c r="G1995" s="788">
        <v>41646</v>
      </c>
      <c r="H1995" s="787">
        <v>1</v>
      </c>
      <c r="I1995" s="788">
        <v>40441</v>
      </c>
      <c r="J1995" s="788">
        <v>40504</v>
      </c>
      <c r="L1995" s="787">
        <v>15.02</v>
      </c>
      <c r="M1995" s="787">
        <v>20</v>
      </c>
      <c r="N1995" s="787">
        <v>16.149999999999999</v>
      </c>
      <c r="O1995" s="788">
        <v>42123</v>
      </c>
    </row>
    <row r="1996" spans="1:15" x14ac:dyDescent="0.25">
      <c r="A1996" s="786" t="s">
        <v>4392</v>
      </c>
      <c r="B1996" s="787">
        <v>4</v>
      </c>
      <c r="C1996" s="787" t="s">
        <v>4393</v>
      </c>
      <c r="D1996" s="787">
        <v>9.9600000000000009</v>
      </c>
      <c r="E1996" s="787">
        <v>19.96</v>
      </c>
      <c r="F1996" s="788">
        <v>39101</v>
      </c>
      <c r="G1996" s="788">
        <v>39101</v>
      </c>
      <c r="H1996" s="787">
        <v>1</v>
      </c>
      <c r="I1996" s="788">
        <v>39419</v>
      </c>
      <c r="J1996" s="788">
        <v>39149</v>
      </c>
      <c r="L1996" s="787">
        <v>19.96</v>
      </c>
      <c r="M1996" s="787">
        <v>20</v>
      </c>
      <c r="N1996" s="787">
        <v>21.46</v>
      </c>
      <c r="O1996" s="788">
        <v>42123</v>
      </c>
    </row>
    <row r="1997" spans="1:15" x14ac:dyDescent="0.25">
      <c r="A1997" s="786" t="s">
        <v>4394</v>
      </c>
      <c r="B1997" s="787">
        <v>4</v>
      </c>
      <c r="C1997" s="787" t="s">
        <v>4395</v>
      </c>
      <c r="D1997" s="787">
        <v>2.0299999999999998</v>
      </c>
      <c r="E1997" s="787">
        <v>2.09</v>
      </c>
      <c r="F1997" s="788">
        <v>40428</v>
      </c>
      <c r="G1997" s="788">
        <v>40914</v>
      </c>
      <c r="H1997" s="787">
        <v>1</v>
      </c>
      <c r="I1997" s="788">
        <v>40441</v>
      </c>
      <c r="J1997" s="788">
        <v>40490</v>
      </c>
      <c r="K1997" s="788">
        <v>40407</v>
      </c>
      <c r="L1997" s="787">
        <v>1.97</v>
      </c>
      <c r="M1997" s="787">
        <v>20</v>
      </c>
      <c r="N1997" s="787">
        <v>2.12</v>
      </c>
      <c r="O1997" s="788">
        <v>42123</v>
      </c>
    </row>
    <row r="1998" spans="1:15" x14ac:dyDescent="0.25">
      <c r="A1998" s="786" t="s">
        <v>4396</v>
      </c>
      <c r="B1998" s="787">
        <v>4</v>
      </c>
      <c r="C1998" s="787" t="s">
        <v>4263</v>
      </c>
      <c r="D1998" s="787">
        <v>0</v>
      </c>
      <c r="E1998" s="787">
        <v>0</v>
      </c>
      <c r="G1998" s="788">
        <v>40486</v>
      </c>
      <c r="H1998" s="787">
        <v>1</v>
      </c>
      <c r="J1998" s="788">
        <v>40486</v>
      </c>
      <c r="L1998" s="787">
        <v>0</v>
      </c>
      <c r="M1998" s="787">
        <v>10</v>
      </c>
      <c r="N1998" s="787">
        <v>8.14</v>
      </c>
      <c r="O1998" s="788">
        <v>42087</v>
      </c>
    </row>
    <row r="1999" spans="1:15" x14ac:dyDescent="0.25">
      <c r="A1999" s="786" t="s">
        <v>4397</v>
      </c>
      <c r="B1999" s="787">
        <v>4</v>
      </c>
      <c r="C1999" s="787" t="s">
        <v>4398</v>
      </c>
      <c r="D1999" s="787">
        <v>0.11</v>
      </c>
      <c r="E1999" s="787">
        <v>0.77</v>
      </c>
      <c r="F1999" s="788">
        <v>39209</v>
      </c>
      <c r="G1999" s="788">
        <v>40889</v>
      </c>
      <c r="H1999" s="787">
        <v>6</v>
      </c>
      <c r="I1999" s="788">
        <v>39007</v>
      </c>
      <c r="J1999" s="788">
        <v>41327</v>
      </c>
      <c r="L1999" s="787">
        <v>131.46</v>
      </c>
      <c r="M1999" s="787">
        <v>20</v>
      </c>
      <c r="N1999" s="787">
        <v>141.32</v>
      </c>
      <c r="O1999" s="788">
        <v>41858</v>
      </c>
    </row>
    <row r="2000" spans="1:15" x14ac:dyDescent="0.25">
      <c r="A2000" s="786" t="s">
        <v>4397</v>
      </c>
      <c r="B2000" s="787" t="s">
        <v>4399</v>
      </c>
      <c r="C2000" s="787" t="s">
        <v>4398</v>
      </c>
      <c r="D2000" s="787">
        <v>0</v>
      </c>
      <c r="E2000" s="787">
        <v>0</v>
      </c>
      <c r="H2000" s="787">
        <v>6</v>
      </c>
      <c r="K2000" s="788">
        <v>41865</v>
      </c>
      <c r="L2000" s="787">
        <v>0.01</v>
      </c>
      <c r="M2000" s="787">
        <v>20</v>
      </c>
      <c r="N2000" s="787">
        <v>0</v>
      </c>
      <c r="O2000" s="788">
        <v>40824</v>
      </c>
    </row>
    <row r="2001" spans="1:15" x14ac:dyDescent="0.25">
      <c r="A2001" s="786" t="s">
        <v>4397</v>
      </c>
      <c r="B2001" s="787" t="s">
        <v>4400</v>
      </c>
      <c r="C2001" s="787" t="s">
        <v>4398</v>
      </c>
      <c r="D2001" s="787">
        <v>0</v>
      </c>
      <c r="E2001" s="787">
        <v>0.69</v>
      </c>
      <c r="H2001" s="787">
        <v>6</v>
      </c>
      <c r="L2001" s="787">
        <v>0.69</v>
      </c>
      <c r="M2001" s="787">
        <v>20</v>
      </c>
      <c r="N2001" s="787">
        <v>0.74</v>
      </c>
      <c r="O2001" s="788">
        <v>41858</v>
      </c>
    </row>
    <row r="2002" spans="1:15" x14ac:dyDescent="0.25">
      <c r="A2002" s="786" t="s">
        <v>4401</v>
      </c>
      <c r="B2002" s="787">
        <v>4</v>
      </c>
      <c r="C2002" s="787" t="s">
        <v>4402</v>
      </c>
      <c r="D2002" s="787">
        <v>3.81</v>
      </c>
      <c r="E2002" s="787">
        <v>3.81</v>
      </c>
      <c r="F2002" s="788">
        <v>37635</v>
      </c>
      <c r="G2002" s="788">
        <v>37635</v>
      </c>
      <c r="H2002" s="787">
        <v>1</v>
      </c>
      <c r="J2002" s="788">
        <v>37635</v>
      </c>
      <c r="L2002" s="787">
        <v>4.6500000000000004</v>
      </c>
      <c r="M2002" s="787">
        <v>20</v>
      </c>
      <c r="N2002" s="787">
        <v>5.6</v>
      </c>
      <c r="O2002" s="788">
        <v>41955</v>
      </c>
    </row>
    <row r="2003" spans="1:15" x14ac:dyDescent="0.25">
      <c r="A2003" s="786" t="s">
        <v>4403</v>
      </c>
      <c r="B2003" s="787">
        <v>4</v>
      </c>
      <c r="C2003" s="787" t="s">
        <v>4404</v>
      </c>
      <c r="D2003" s="787">
        <v>0.43</v>
      </c>
      <c r="E2003" s="787">
        <v>0.46</v>
      </c>
      <c r="F2003" s="788">
        <v>40491</v>
      </c>
      <c r="G2003" s="788">
        <v>42008</v>
      </c>
      <c r="H2003" s="787">
        <v>1</v>
      </c>
      <c r="I2003" s="788">
        <v>42163</v>
      </c>
      <c r="J2003" s="788">
        <v>41956</v>
      </c>
      <c r="K2003" s="788">
        <v>41869</v>
      </c>
      <c r="L2003" s="787">
        <v>0.47</v>
      </c>
      <c r="M2003" s="787">
        <v>20</v>
      </c>
      <c r="N2003" s="787">
        <v>0.51</v>
      </c>
      <c r="O2003" s="788">
        <v>42159</v>
      </c>
    </row>
    <row r="2004" spans="1:15" x14ac:dyDescent="0.25">
      <c r="A2004" s="786" t="s">
        <v>4405</v>
      </c>
      <c r="B2004" s="787">
        <v>4</v>
      </c>
      <c r="C2004" s="787" t="s">
        <v>4406</v>
      </c>
      <c r="D2004" s="787">
        <v>2.5099999999999998</v>
      </c>
      <c r="E2004" s="787">
        <v>3.17</v>
      </c>
      <c r="F2004" s="788">
        <v>39101</v>
      </c>
      <c r="G2004" s="788">
        <v>41646</v>
      </c>
      <c r="H2004" s="787">
        <v>1</v>
      </c>
      <c r="I2004" s="788">
        <v>42163</v>
      </c>
      <c r="J2004" s="788">
        <v>41506</v>
      </c>
      <c r="K2004" s="788">
        <v>39974</v>
      </c>
      <c r="L2004" s="787">
        <v>2.68</v>
      </c>
      <c r="M2004" s="787">
        <v>20</v>
      </c>
      <c r="N2004" s="787">
        <v>3.23</v>
      </c>
      <c r="O2004" s="788">
        <v>42163</v>
      </c>
    </row>
    <row r="2005" spans="1:15" x14ac:dyDescent="0.25">
      <c r="A2005" s="786" t="s">
        <v>4407</v>
      </c>
      <c r="B2005" s="787">
        <v>4</v>
      </c>
      <c r="C2005" s="787" t="s">
        <v>4408</v>
      </c>
      <c r="D2005" s="787">
        <v>0.93</v>
      </c>
      <c r="E2005" s="787">
        <v>1.34</v>
      </c>
      <c r="F2005" s="788">
        <v>39101</v>
      </c>
      <c r="G2005" s="788">
        <v>42013</v>
      </c>
      <c r="H2005" s="787">
        <v>1</v>
      </c>
      <c r="I2005" s="788">
        <v>41955</v>
      </c>
      <c r="J2005" s="788">
        <v>41949</v>
      </c>
      <c r="L2005" s="787">
        <v>1.38</v>
      </c>
      <c r="M2005" s="787">
        <v>20</v>
      </c>
      <c r="N2005" s="787">
        <v>1.66</v>
      </c>
      <c r="O2005" s="788">
        <v>41989</v>
      </c>
    </row>
    <row r="2006" spans="1:15" x14ac:dyDescent="0.25">
      <c r="A2006" s="786" t="s">
        <v>4409</v>
      </c>
      <c r="B2006" s="787">
        <v>4</v>
      </c>
      <c r="C2006" s="787" t="s">
        <v>4410</v>
      </c>
      <c r="D2006" s="787">
        <v>2.2000000000000002</v>
      </c>
      <c r="E2006" s="787">
        <v>2.2200000000000002</v>
      </c>
      <c r="F2006" s="788">
        <v>37635</v>
      </c>
      <c r="G2006" s="788">
        <v>38364</v>
      </c>
      <c r="H2006" s="787">
        <v>1</v>
      </c>
      <c r="I2006" s="788">
        <v>42020</v>
      </c>
      <c r="J2006" s="788">
        <v>37791</v>
      </c>
      <c r="L2006" s="787">
        <v>2.71</v>
      </c>
      <c r="M2006" s="787">
        <v>20</v>
      </c>
      <c r="N2006" s="787">
        <v>3.26</v>
      </c>
      <c r="O2006" s="788">
        <v>41955</v>
      </c>
    </row>
    <row r="2007" spans="1:15" x14ac:dyDescent="0.25">
      <c r="A2007" s="786" t="s">
        <v>4411</v>
      </c>
      <c r="B2007" s="787">
        <v>4</v>
      </c>
      <c r="C2007" s="787" t="s">
        <v>4412</v>
      </c>
      <c r="D2007" s="787">
        <v>8.68</v>
      </c>
      <c r="E2007" s="787">
        <v>20.56</v>
      </c>
      <c r="F2007" s="788">
        <v>37635</v>
      </c>
      <c r="G2007" s="788">
        <v>37791</v>
      </c>
      <c r="H2007" s="787">
        <v>1</v>
      </c>
      <c r="I2007" s="788">
        <v>37483</v>
      </c>
      <c r="J2007" s="788">
        <v>37791</v>
      </c>
      <c r="L2007" s="787">
        <v>25.1</v>
      </c>
      <c r="M2007" s="787">
        <v>20</v>
      </c>
      <c r="N2007" s="787">
        <v>30.22</v>
      </c>
      <c r="O2007" s="788">
        <v>41955</v>
      </c>
    </row>
    <row r="2008" spans="1:15" x14ac:dyDescent="0.25">
      <c r="A2008" s="786" t="s">
        <v>4413</v>
      </c>
      <c r="B2008" s="787">
        <v>4</v>
      </c>
      <c r="C2008" s="787" t="s">
        <v>4414</v>
      </c>
      <c r="D2008" s="787">
        <v>2.2000000000000002</v>
      </c>
      <c r="E2008" s="787">
        <v>2.33</v>
      </c>
      <c r="F2008" s="788">
        <v>37872</v>
      </c>
      <c r="G2008" s="788">
        <v>37995</v>
      </c>
      <c r="H2008" s="787">
        <v>1</v>
      </c>
      <c r="I2008" s="788">
        <v>40660</v>
      </c>
      <c r="J2008" s="788">
        <v>37972</v>
      </c>
      <c r="L2008" s="787">
        <v>2.84</v>
      </c>
      <c r="M2008" s="787">
        <v>20</v>
      </c>
      <c r="N2008" s="787">
        <v>3.42</v>
      </c>
      <c r="O2008" s="788">
        <v>41955</v>
      </c>
    </row>
    <row r="2009" spans="1:15" x14ac:dyDescent="0.25">
      <c r="A2009" s="786" t="s">
        <v>4415</v>
      </c>
      <c r="B2009" s="787">
        <v>4</v>
      </c>
      <c r="C2009" s="787" t="s">
        <v>4416</v>
      </c>
      <c r="D2009" s="787">
        <v>3.94</v>
      </c>
      <c r="E2009" s="787">
        <v>3.97</v>
      </c>
      <c r="F2009" s="788">
        <v>37995</v>
      </c>
      <c r="G2009" s="788">
        <v>38117</v>
      </c>
      <c r="H2009" s="787">
        <v>1</v>
      </c>
      <c r="I2009" s="788">
        <v>37978</v>
      </c>
      <c r="J2009" s="788">
        <v>38112</v>
      </c>
      <c r="L2009" s="787">
        <v>4.8499999999999996</v>
      </c>
      <c r="M2009" s="787">
        <v>20</v>
      </c>
      <c r="N2009" s="787">
        <v>5.84</v>
      </c>
      <c r="O2009" s="788">
        <v>41955</v>
      </c>
    </row>
    <row r="2010" spans="1:15" x14ac:dyDescent="0.25">
      <c r="A2010" s="786" t="s">
        <v>4417</v>
      </c>
      <c r="B2010" s="787">
        <v>4</v>
      </c>
      <c r="C2010" s="787" t="s">
        <v>4418</v>
      </c>
      <c r="D2010" s="787">
        <v>0.9</v>
      </c>
      <c r="E2010" s="787">
        <v>1.25</v>
      </c>
      <c r="F2010" s="788">
        <v>37995</v>
      </c>
      <c r="G2010" s="788">
        <v>41872</v>
      </c>
      <c r="H2010" s="787">
        <v>1</v>
      </c>
      <c r="I2010" s="788">
        <v>42164</v>
      </c>
      <c r="J2010" s="788">
        <v>42166</v>
      </c>
      <c r="K2010" s="788">
        <v>41869</v>
      </c>
      <c r="L2010" s="787">
        <v>1.25</v>
      </c>
      <c r="M2010" s="787">
        <v>20</v>
      </c>
      <c r="N2010" s="787">
        <v>1.51</v>
      </c>
      <c r="O2010" s="788">
        <v>42146</v>
      </c>
    </row>
    <row r="2011" spans="1:15" x14ac:dyDescent="0.25">
      <c r="A2011" s="786" t="s">
        <v>4419</v>
      </c>
      <c r="B2011" s="787">
        <v>4</v>
      </c>
      <c r="C2011" s="787" t="s">
        <v>4420</v>
      </c>
      <c r="D2011" s="787">
        <v>2.27</v>
      </c>
      <c r="E2011" s="787">
        <v>2.27</v>
      </c>
      <c r="F2011" s="788">
        <v>41137</v>
      </c>
      <c r="G2011" s="788">
        <v>41137</v>
      </c>
      <c r="H2011" s="787">
        <v>1</v>
      </c>
      <c r="I2011" s="788">
        <v>41593</v>
      </c>
      <c r="J2011" s="788">
        <v>41123</v>
      </c>
      <c r="K2011" s="788">
        <v>40183</v>
      </c>
      <c r="L2011" s="787">
        <v>2.27</v>
      </c>
      <c r="M2011" s="787">
        <v>20</v>
      </c>
      <c r="N2011" s="787">
        <v>2.44</v>
      </c>
      <c r="O2011" s="788">
        <v>41955</v>
      </c>
    </row>
    <row r="2012" spans="1:15" x14ac:dyDescent="0.25">
      <c r="A2012" s="786" t="s">
        <v>4421</v>
      </c>
      <c r="B2012" s="787">
        <v>4</v>
      </c>
      <c r="C2012" s="787" t="s">
        <v>4422</v>
      </c>
      <c r="D2012" s="787">
        <v>1.54</v>
      </c>
      <c r="E2012" s="787">
        <v>1.93</v>
      </c>
      <c r="F2012" s="788">
        <v>40156</v>
      </c>
      <c r="G2012" s="788">
        <v>42086</v>
      </c>
      <c r="H2012" s="787">
        <v>1</v>
      </c>
      <c r="I2012" s="788">
        <v>42165</v>
      </c>
      <c r="J2012" s="788">
        <v>42059</v>
      </c>
      <c r="K2012" s="788">
        <v>42037</v>
      </c>
      <c r="L2012" s="787">
        <v>1.87</v>
      </c>
      <c r="M2012" s="787">
        <v>20</v>
      </c>
      <c r="N2012" s="787">
        <v>2.0099999999999998</v>
      </c>
      <c r="O2012" s="788">
        <v>42146</v>
      </c>
    </row>
    <row r="2013" spans="1:15" x14ac:dyDescent="0.25">
      <c r="A2013" s="786" t="s">
        <v>4423</v>
      </c>
      <c r="B2013" s="787">
        <v>4</v>
      </c>
      <c r="C2013" s="787" t="s">
        <v>4424</v>
      </c>
      <c r="D2013" s="787">
        <v>0</v>
      </c>
      <c r="E2013" s="787">
        <v>0</v>
      </c>
      <c r="H2013" s="787">
        <v>1</v>
      </c>
      <c r="J2013" s="788">
        <v>37635</v>
      </c>
      <c r="L2013" s="787">
        <v>0</v>
      </c>
      <c r="M2013" s="787">
        <v>20</v>
      </c>
      <c r="N2013" s="787">
        <v>0</v>
      </c>
      <c r="O2013" s="788">
        <v>40824</v>
      </c>
    </row>
    <row r="2014" spans="1:15" x14ac:dyDescent="0.25">
      <c r="A2014" s="786" t="s">
        <v>4425</v>
      </c>
      <c r="B2014" s="787">
        <v>4</v>
      </c>
      <c r="C2014" s="787" t="s">
        <v>4426</v>
      </c>
      <c r="D2014" s="787">
        <v>7.0000000000000007E-2</v>
      </c>
      <c r="E2014" s="787">
        <v>7.0000000000000007E-2</v>
      </c>
      <c r="F2014" s="788">
        <v>41779</v>
      </c>
      <c r="G2014" s="788">
        <v>41746</v>
      </c>
      <c r="H2014" s="787">
        <v>1</v>
      </c>
      <c r="J2014" s="788">
        <v>42166</v>
      </c>
      <c r="L2014" s="787">
        <v>7.0000000000000007E-2</v>
      </c>
      <c r="M2014" s="787">
        <v>20</v>
      </c>
      <c r="N2014" s="787">
        <v>0.08</v>
      </c>
      <c r="O2014" s="788">
        <v>41955</v>
      </c>
    </row>
    <row r="2015" spans="1:15" x14ac:dyDescent="0.25">
      <c r="A2015" s="786" t="s">
        <v>4427</v>
      </c>
      <c r="B2015" s="787">
        <v>4</v>
      </c>
      <c r="C2015" s="787" t="s">
        <v>4428</v>
      </c>
      <c r="D2015" s="787">
        <v>2.09</v>
      </c>
      <c r="E2015" s="787">
        <v>2.09</v>
      </c>
      <c r="F2015" s="788">
        <v>37635</v>
      </c>
      <c r="G2015" s="788">
        <v>37635</v>
      </c>
      <c r="H2015" s="787">
        <v>1</v>
      </c>
      <c r="J2015" s="788">
        <v>37635</v>
      </c>
      <c r="L2015" s="787">
        <v>2.2799999999999998</v>
      </c>
      <c r="M2015" s="787">
        <v>20</v>
      </c>
      <c r="N2015" s="787">
        <v>2.4500000000000002</v>
      </c>
      <c r="O2015" s="788">
        <v>41955</v>
      </c>
    </row>
    <row r="2016" spans="1:15" x14ac:dyDescent="0.25">
      <c r="A2016" s="786" t="s">
        <v>4429</v>
      </c>
      <c r="B2016" s="787">
        <v>4</v>
      </c>
      <c r="C2016" s="787" t="s">
        <v>4402</v>
      </c>
      <c r="D2016" s="787">
        <v>1.78</v>
      </c>
      <c r="E2016" s="787">
        <v>1.8</v>
      </c>
      <c r="F2016" s="788">
        <v>39176</v>
      </c>
      <c r="G2016" s="788">
        <v>42013</v>
      </c>
      <c r="H2016" s="787">
        <v>1</v>
      </c>
      <c r="I2016" s="788">
        <v>41593</v>
      </c>
      <c r="J2016" s="788">
        <v>39512</v>
      </c>
      <c r="L2016" s="787">
        <v>1.8</v>
      </c>
      <c r="M2016" s="787">
        <v>20</v>
      </c>
      <c r="N2016" s="787">
        <v>2.17</v>
      </c>
      <c r="O2016" s="788">
        <v>41955</v>
      </c>
    </row>
    <row r="2017" spans="1:15" x14ac:dyDescent="0.25">
      <c r="A2017" s="786" t="s">
        <v>4430</v>
      </c>
      <c r="B2017" s="787">
        <v>4</v>
      </c>
      <c r="C2017" s="787" t="s">
        <v>4431</v>
      </c>
      <c r="D2017" s="787">
        <v>0</v>
      </c>
      <c r="E2017" s="787">
        <v>0</v>
      </c>
      <c r="H2017" s="787">
        <v>1</v>
      </c>
      <c r="J2017" s="788">
        <v>37635</v>
      </c>
      <c r="L2017" s="787">
        <v>0</v>
      </c>
      <c r="M2017" s="787">
        <v>20</v>
      </c>
      <c r="N2017" s="787">
        <v>0</v>
      </c>
      <c r="O2017" s="788">
        <v>40824</v>
      </c>
    </row>
    <row r="2018" spans="1:15" x14ac:dyDescent="0.25">
      <c r="A2018" s="786" t="s">
        <v>4432</v>
      </c>
      <c r="B2018" s="787">
        <v>4</v>
      </c>
      <c r="C2018" s="787" t="s">
        <v>4433</v>
      </c>
      <c r="D2018" s="787">
        <v>0</v>
      </c>
      <c r="E2018" s="787">
        <v>0</v>
      </c>
      <c r="G2018" s="788">
        <v>38154</v>
      </c>
      <c r="H2018" s="787">
        <v>6</v>
      </c>
      <c r="I2018" s="788">
        <v>38154</v>
      </c>
      <c r="J2018" s="788">
        <v>38154</v>
      </c>
      <c r="L2018" s="787">
        <v>0</v>
      </c>
      <c r="M2018" s="787">
        <v>10</v>
      </c>
      <c r="N2018" s="787">
        <v>0</v>
      </c>
      <c r="O2018" s="788">
        <v>41543</v>
      </c>
    </row>
    <row r="2019" spans="1:15" x14ac:dyDescent="0.25">
      <c r="A2019" s="786" t="s">
        <v>4434</v>
      </c>
      <c r="B2019" s="787">
        <v>4</v>
      </c>
      <c r="C2019" s="787" t="s">
        <v>4435</v>
      </c>
      <c r="D2019" s="787">
        <v>4.1900000000000004</v>
      </c>
      <c r="E2019" s="787">
        <v>14.19</v>
      </c>
      <c r="F2019" s="788">
        <v>37635</v>
      </c>
      <c r="G2019" s="788">
        <v>37635</v>
      </c>
      <c r="H2019" s="787">
        <v>1</v>
      </c>
      <c r="J2019" s="788">
        <v>37635</v>
      </c>
      <c r="L2019" s="787">
        <v>17.32</v>
      </c>
      <c r="M2019" s="787">
        <v>20</v>
      </c>
      <c r="N2019" s="787">
        <v>20.85</v>
      </c>
      <c r="O2019" s="788">
        <v>41955</v>
      </c>
    </row>
    <row r="2020" spans="1:15" x14ac:dyDescent="0.25">
      <c r="A2020" s="786" t="s">
        <v>4436</v>
      </c>
      <c r="B2020" s="787">
        <v>4</v>
      </c>
      <c r="C2020" s="787" t="s">
        <v>4437</v>
      </c>
      <c r="D2020" s="787">
        <v>0.06</v>
      </c>
      <c r="E2020" s="787">
        <v>7.0000000000000007E-2</v>
      </c>
      <c r="F2020" s="788">
        <v>39101</v>
      </c>
      <c r="G2020" s="788">
        <v>42013</v>
      </c>
      <c r="H2020" s="787">
        <v>1</v>
      </c>
      <c r="I2020" s="788">
        <v>42163</v>
      </c>
      <c r="J2020" s="788">
        <v>41619</v>
      </c>
      <c r="K2020" s="788">
        <v>40500</v>
      </c>
      <c r="L2020" s="787">
        <v>7.0000000000000007E-2</v>
      </c>
      <c r="M2020" s="787">
        <v>20</v>
      </c>
      <c r="N2020" s="787">
        <v>0.08</v>
      </c>
      <c r="O2020" s="788">
        <v>42163</v>
      </c>
    </row>
    <row r="2021" spans="1:15" x14ac:dyDescent="0.25">
      <c r="A2021" s="786" t="s">
        <v>4438</v>
      </c>
      <c r="B2021" s="787">
        <v>4</v>
      </c>
      <c r="C2021" s="787" t="s">
        <v>4439</v>
      </c>
      <c r="D2021" s="787">
        <v>1.8</v>
      </c>
      <c r="E2021" s="787">
        <v>1.8</v>
      </c>
      <c r="F2021" s="788">
        <v>39101</v>
      </c>
      <c r="G2021" s="788">
        <v>41928</v>
      </c>
      <c r="H2021" s="787">
        <v>1</v>
      </c>
      <c r="I2021" s="788">
        <v>42074</v>
      </c>
      <c r="J2021" s="788">
        <v>41935</v>
      </c>
      <c r="L2021" s="787">
        <v>1.69</v>
      </c>
      <c r="M2021" s="787">
        <v>10</v>
      </c>
      <c r="N2021" s="787">
        <v>1.96</v>
      </c>
      <c r="O2021" s="788">
        <v>42162</v>
      </c>
    </row>
    <row r="2022" spans="1:15" x14ac:dyDescent="0.25">
      <c r="A2022" s="786" t="s">
        <v>4440</v>
      </c>
      <c r="B2022" s="787">
        <v>4</v>
      </c>
      <c r="C2022" s="787" t="s">
        <v>4441</v>
      </c>
      <c r="D2022" s="787">
        <v>1.8</v>
      </c>
      <c r="E2022" s="787">
        <v>1.8</v>
      </c>
      <c r="F2022" s="788">
        <v>37635</v>
      </c>
      <c r="G2022" s="788">
        <v>39486</v>
      </c>
      <c r="H2022" s="787">
        <v>6</v>
      </c>
      <c r="I2022" s="788">
        <v>40319</v>
      </c>
      <c r="J2022" s="788">
        <v>39149</v>
      </c>
      <c r="L2022" s="787">
        <v>40.19</v>
      </c>
      <c r="M2022" s="787">
        <v>10</v>
      </c>
      <c r="N2022" s="787">
        <v>0</v>
      </c>
      <c r="O2022" s="788">
        <v>41806</v>
      </c>
    </row>
    <row r="2023" spans="1:15" x14ac:dyDescent="0.25">
      <c r="A2023" s="786" t="s">
        <v>832</v>
      </c>
      <c r="B2023" s="787">
        <v>4</v>
      </c>
      <c r="C2023" s="787" t="s">
        <v>4442</v>
      </c>
      <c r="D2023" s="787">
        <v>7.31</v>
      </c>
      <c r="E2023" s="787">
        <v>9.6999999999999993</v>
      </c>
      <c r="F2023" s="788">
        <v>39101</v>
      </c>
      <c r="G2023" s="788">
        <v>42027</v>
      </c>
      <c r="H2023" s="787">
        <v>1</v>
      </c>
      <c r="I2023" s="788">
        <v>42164</v>
      </c>
      <c r="J2023" s="788">
        <v>41978</v>
      </c>
      <c r="K2023" s="788">
        <v>41725</v>
      </c>
      <c r="L2023" s="787">
        <v>9.6999999999999993</v>
      </c>
      <c r="M2023" s="787">
        <v>20</v>
      </c>
      <c r="N2023" s="787">
        <v>12.51</v>
      </c>
      <c r="O2023" s="788">
        <v>42163</v>
      </c>
    </row>
    <row r="2024" spans="1:15" x14ac:dyDescent="0.25">
      <c r="A2024" s="786" t="s">
        <v>4443</v>
      </c>
      <c r="B2024" s="787">
        <v>4</v>
      </c>
      <c r="C2024" s="787" t="s">
        <v>4444</v>
      </c>
      <c r="D2024" s="787">
        <v>1.65</v>
      </c>
      <c r="E2024" s="787">
        <v>1.65</v>
      </c>
      <c r="F2024" s="788">
        <v>41813</v>
      </c>
      <c r="G2024" s="788">
        <v>41935</v>
      </c>
      <c r="H2024" s="787">
        <v>1</v>
      </c>
      <c r="I2024" s="788">
        <v>41949</v>
      </c>
      <c r="J2024" s="788">
        <v>41935</v>
      </c>
      <c r="L2024" s="787">
        <v>2.92</v>
      </c>
      <c r="M2024" s="787">
        <v>10</v>
      </c>
      <c r="N2024" s="787">
        <v>3.59</v>
      </c>
      <c r="O2024" s="788">
        <v>42162</v>
      </c>
    </row>
    <row r="2025" spans="1:15" x14ac:dyDescent="0.25">
      <c r="A2025" s="786" t="s">
        <v>4445</v>
      </c>
      <c r="B2025" s="787">
        <v>4</v>
      </c>
      <c r="C2025" s="787" t="s">
        <v>4446</v>
      </c>
      <c r="D2025" s="787">
        <v>4.68</v>
      </c>
      <c r="E2025" s="787">
        <v>4.68</v>
      </c>
      <c r="F2025" s="788">
        <v>37635</v>
      </c>
      <c r="G2025" s="788">
        <v>37635</v>
      </c>
      <c r="H2025" s="787">
        <v>1</v>
      </c>
      <c r="I2025" s="788">
        <v>37131</v>
      </c>
      <c r="J2025" s="788">
        <v>37635</v>
      </c>
      <c r="L2025" s="787">
        <v>0.19</v>
      </c>
      <c r="M2025" s="787">
        <v>10</v>
      </c>
      <c r="N2025" s="787">
        <v>0.48</v>
      </c>
      <c r="O2025" s="788">
        <v>41955</v>
      </c>
    </row>
    <row r="2026" spans="1:15" x14ac:dyDescent="0.25">
      <c r="A2026" s="786" t="s">
        <v>4447</v>
      </c>
      <c r="B2026" s="787">
        <v>4</v>
      </c>
      <c r="C2026" s="787" t="s">
        <v>4448</v>
      </c>
      <c r="D2026" s="787">
        <v>1.47</v>
      </c>
      <c r="E2026" s="787">
        <v>1.47</v>
      </c>
      <c r="F2026" s="788">
        <v>41813</v>
      </c>
      <c r="G2026" s="788">
        <v>42013</v>
      </c>
      <c r="H2026" s="787">
        <v>1</v>
      </c>
      <c r="I2026" s="788">
        <v>41949</v>
      </c>
      <c r="J2026" s="788">
        <v>41312</v>
      </c>
      <c r="L2026" s="787">
        <v>32.15</v>
      </c>
      <c r="M2026" s="787">
        <v>10</v>
      </c>
      <c r="N2026" s="787">
        <v>4.5599999999999996</v>
      </c>
      <c r="O2026" s="788">
        <v>41955</v>
      </c>
    </row>
    <row r="2027" spans="1:15" x14ac:dyDescent="0.25">
      <c r="A2027" s="786" t="s">
        <v>4449</v>
      </c>
      <c r="B2027" s="787">
        <v>4</v>
      </c>
      <c r="C2027" s="787" t="s">
        <v>4450</v>
      </c>
      <c r="D2027" s="787">
        <v>0.25</v>
      </c>
      <c r="E2027" s="787">
        <v>0.47</v>
      </c>
      <c r="F2027" s="788">
        <v>41775</v>
      </c>
      <c r="G2027" s="788">
        <v>42017</v>
      </c>
      <c r="H2027" s="787">
        <v>1</v>
      </c>
      <c r="I2027" s="788">
        <v>42163</v>
      </c>
      <c r="J2027" s="788">
        <v>41978</v>
      </c>
      <c r="K2027" s="788">
        <v>41572</v>
      </c>
      <c r="L2027" s="787">
        <v>0.27</v>
      </c>
      <c r="M2027" s="787">
        <v>10</v>
      </c>
      <c r="N2027" s="787">
        <v>0.28000000000000003</v>
      </c>
      <c r="O2027" s="788">
        <v>42163</v>
      </c>
    </row>
    <row r="2028" spans="1:15" x14ac:dyDescent="0.25">
      <c r="A2028" s="786" t="s">
        <v>4451</v>
      </c>
      <c r="B2028" s="787">
        <v>4</v>
      </c>
      <c r="C2028" s="787" t="s">
        <v>4452</v>
      </c>
      <c r="D2028" s="787">
        <v>0.97</v>
      </c>
      <c r="E2028" s="787">
        <v>0.97</v>
      </c>
      <c r="F2028" s="788">
        <v>41813</v>
      </c>
      <c r="G2028" s="788">
        <v>41936</v>
      </c>
      <c r="H2028" s="787">
        <v>1</v>
      </c>
      <c r="I2028" s="788">
        <v>41949</v>
      </c>
      <c r="J2028" s="788">
        <v>41936</v>
      </c>
      <c r="L2028" s="787">
        <v>4.5199999999999996</v>
      </c>
      <c r="M2028" s="787">
        <v>10</v>
      </c>
      <c r="N2028" s="787">
        <v>4.91</v>
      </c>
      <c r="O2028" s="788">
        <v>42162</v>
      </c>
    </row>
    <row r="2029" spans="1:15" x14ac:dyDescent="0.25">
      <c r="A2029" s="786" t="s">
        <v>4453</v>
      </c>
      <c r="B2029" s="787">
        <v>4</v>
      </c>
      <c r="C2029" s="787" t="s">
        <v>4454</v>
      </c>
      <c r="D2029" s="787">
        <v>0.83</v>
      </c>
      <c r="E2029" s="787">
        <v>2.99</v>
      </c>
      <c r="F2029" s="788">
        <v>41813</v>
      </c>
      <c r="G2029" s="788">
        <v>42159</v>
      </c>
      <c r="H2029" s="787">
        <v>1</v>
      </c>
      <c r="I2029" s="788">
        <v>42163</v>
      </c>
      <c r="J2029" s="788">
        <v>42129</v>
      </c>
      <c r="K2029" s="788">
        <v>41410</v>
      </c>
      <c r="L2029" s="787">
        <v>2.91</v>
      </c>
      <c r="M2029" s="787">
        <v>10</v>
      </c>
      <c r="N2029" s="787">
        <v>3.54</v>
      </c>
      <c r="O2029" s="788">
        <v>42163</v>
      </c>
    </row>
    <row r="2030" spans="1:15" x14ac:dyDescent="0.25">
      <c r="A2030" s="786" t="s">
        <v>4455</v>
      </c>
      <c r="B2030" s="787">
        <v>4</v>
      </c>
      <c r="C2030" s="787" t="s">
        <v>4456</v>
      </c>
      <c r="D2030" s="787">
        <v>1.84</v>
      </c>
      <c r="E2030" s="787">
        <v>15.05</v>
      </c>
      <c r="F2030" s="788">
        <v>39835</v>
      </c>
      <c r="G2030" s="788">
        <v>42158</v>
      </c>
      <c r="H2030" s="787">
        <v>1</v>
      </c>
      <c r="I2030" s="788">
        <v>42164</v>
      </c>
      <c r="J2030" s="788">
        <v>42129</v>
      </c>
      <c r="K2030" s="788">
        <v>41725</v>
      </c>
      <c r="L2030" s="787">
        <v>15.05</v>
      </c>
      <c r="M2030" s="787">
        <v>20</v>
      </c>
      <c r="N2030" s="787">
        <v>19.41</v>
      </c>
      <c r="O2030" s="788">
        <v>42164</v>
      </c>
    </row>
    <row r="2031" spans="1:15" x14ac:dyDescent="0.25">
      <c r="A2031" s="786" t="s">
        <v>4457</v>
      </c>
      <c r="B2031" s="787">
        <v>4</v>
      </c>
      <c r="C2031" s="787" t="s">
        <v>4458</v>
      </c>
      <c r="D2031" s="787">
        <v>1.67</v>
      </c>
      <c r="E2031" s="787">
        <v>13.09</v>
      </c>
      <c r="F2031" s="788">
        <v>40757</v>
      </c>
      <c r="G2031" s="788">
        <v>42166</v>
      </c>
      <c r="H2031" s="787">
        <v>1</v>
      </c>
      <c r="I2031" s="788">
        <v>42165</v>
      </c>
      <c r="J2031" s="788">
        <v>42156</v>
      </c>
      <c r="K2031" s="788">
        <v>42107</v>
      </c>
      <c r="L2031" s="787">
        <v>12.66</v>
      </c>
      <c r="M2031" s="787">
        <v>20</v>
      </c>
      <c r="N2031" s="787">
        <v>14.29</v>
      </c>
      <c r="O2031" s="788">
        <v>42163</v>
      </c>
    </row>
    <row r="2032" spans="1:15" x14ac:dyDescent="0.25">
      <c r="A2032" s="786" t="s">
        <v>4459</v>
      </c>
      <c r="B2032" s="787">
        <v>4</v>
      </c>
      <c r="C2032" s="787" t="s">
        <v>4460</v>
      </c>
      <c r="D2032" s="787">
        <v>4.6500000000000004</v>
      </c>
      <c r="E2032" s="787">
        <v>18.93</v>
      </c>
      <c r="F2032" s="788">
        <v>39101</v>
      </c>
      <c r="G2032" s="788">
        <v>42013</v>
      </c>
      <c r="H2032" s="787">
        <v>1</v>
      </c>
      <c r="I2032" s="788">
        <v>42157</v>
      </c>
      <c r="J2032" s="788">
        <v>41725</v>
      </c>
      <c r="L2032" s="787">
        <v>19.2</v>
      </c>
      <c r="M2032" s="787">
        <v>20</v>
      </c>
      <c r="N2032" s="787">
        <v>24.77</v>
      </c>
      <c r="O2032" s="788">
        <v>42146</v>
      </c>
    </row>
    <row r="2033" spans="1:15" x14ac:dyDescent="0.25">
      <c r="A2033" s="786" t="s">
        <v>4461</v>
      </c>
      <c r="B2033" s="787">
        <v>4</v>
      </c>
      <c r="C2033" s="787" t="s">
        <v>4456</v>
      </c>
      <c r="D2033" s="787">
        <v>2</v>
      </c>
      <c r="E2033" s="787">
        <v>12</v>
      </c>
      <c r="F2033" s="788">
        <v>38763</v>
      </c>
      <c r="G2033" s="788">
        <v>38763</v>
      </c>
      <c r="H2033" s="787">
        <v>1</v>
      </c>
      <c r="I2033" s="788">
        <v>39202</v>
      </c>
      <c r="J2033" s="788">
        <v>38743</v>
      </c>
      <c r="L2033" s="787">
        <v>15.79</v>
      </c>
      <c r="M2033" s="787">
        <v>20</v>
      </c>
      <c r="N2033" s="787">
        <v>20.37</v>
      </c>
      <c r="O2033" s="788">
        <v>42144</v>
      </c>
    </row>
    <row r="2034" spans="1:15" x14ac:dyDescent="0.25">
      <c r="A2034" s="786" t="s">
        <v>4462</v>
      </c>
      <c r="B2034" s="787">
        <v>4</v>
      </c>
      <c r="C2034" s="787" t="s">
        <v>4463</v>
      </c>
      <c r="D2034" s="787">
        <v>8.27</v>
      </c>
      <c r="E2034" s="787">
        <v>24.01</v>
      </c>
      <c r="F2034" s="788">
        <v>39101</v>
      </c>
      <c r="G2034" s="788">
        <v>42158</v>
      </c>
      <c r="H2034" s="787">
        <v>1</v>
      </c>
      <c r="I2034" s="788">
        <v>42166</v>
      </c>
      <c r="J2034" s="788">
        <v>42142</v>
      </c>
      <c r="K2034" s="788">
        <v>41725</v>
      </c>
      <c r="L2034" s="787">
        <v>24.01</v>
      </c>
      <c r="M2034" s="787">
        <v>20</v>
      </c>
      <c r="N2034" s="787">
        <v>30.97</v>
      </c>
      <c r="O2034" s="788">
        <v>42162</v>
      </c>
    </row>
    <row r="2035" spans="1:15" x14ac:dyDescent="0.25">
      <c r="A2035" s="786" t="s">
        <v>4464</v>
      </c>
      <c r="B2035" s="787">
        <v>4</v>
      </c>
      <c r="C2035" s="787" t="s">
        <v>4463</v>
      </c>
      <c r="D2035" s="787">
        <v>8.33</v>
      </c>
      <c r="E2035" s="787">
        <v>18.329999999999998</v>
      </c>
      <c r="F2035" s="788">
        <v>37635</v>
      </c>
      <c r="G2035" s="788">
        <v>37635</v>
      </c>
      <c r="H2035" s="787">
        <v>1</v>
      </c>
      <c r="I2035" s="788">
        <v>41516</v>
      </c>
      <c r="J2035" s="788">
        <v>37635</v>
      </c>
      <c r="L2035" s="787">
        <v>23.98</v>
      </c>
      <c r="M2035" s="787">
        <v>20</v>
      </c>
      <c r="N2035" s="787">
        <v>30.93</v>
      </c>
      <c r="O2035" s="788">
        <v>41955</v>
      </c>
    </row>
    <row r="2036" spans="1:15" x14ac:dyDescent="0.25">
      <c r="A2036" s="786" t="s">
        <v>280</v>
      </c>
      <c r="B2036" s="787">
        <v>4</v>
      </c>
      <c r="C2036" s="787" t="s">
        <v>4465</v>
      </c>
      <c r="D2036" s="787">
        <v>3.85</v>
      </c>
      <c r="E2036" s="787">
        <v>24.35</v>
      </c>
      <c r="F2036" s="788">
        <v>40926</v>
      </c>
      <c r="G2036" s="788">
        <v>42165</v>
      </c>
      <c r="H2036" s="787">
        <v>1</v>
      </c>
      <c r="I2036" s="788">
        <v>42166</v>
      </c>
      <c r="J2036" s="788">
        <v>42165</v>
      </c>
      <c r="K2036" s="788">
        <v>41725</v>
      </c>
      <c r="L2036" s="787">
        <v>24.35</v>
      </c>
      <c r="M2036" s="787">
        <v>20</v>
      </c>
      <c r="N2036" s="787">
        <v>31.41</v>
      </c>
      <c r="O2036" s="788">
        <v>42162</v>
      </c>
    </row>
    <row r="2037" spans="1:15" x14ac:dyDescent="0.25">
      <c r="A2037" s="786" t="s">
        <v>4466</v>
      </c>
      <c r="B2037" s="787">
        <v>4</v>
      </c>
      <c r="C2037" s="787" t="s">
        <v>4465</v>
      </c>
      <c r="D2037" s="787">
        <v>3.85</v>
      </c>
      <c r="E2037" s="787">
        <v>24.35</v>
      </c>
      <c r="F2037" s="788">
        <v>40926</v>
      </c>
      <c r="G2037" s="788">
        <v>42150</v>
      </c>
      <c r="H2037" s="787">
        <v>1</v>
      </c>
      <c r="I2037" s="788">
        <v>42121</v>
      </c>
      <c r="J2037" s="788">
        <v>42150</v>
      </c>
      <c r="K2037" s="788">
        <v>41725</v>
      </c>
      <c r="L2037" s="787">
        <v>24.35</v>
      </c>
      <c r="M2037" s="787">
        <v>20</v>
      </c>
      <c r="N2037" s="787">
        <v>31.41</v>
      </c>
      <c r="O2037" s="788">
        <v>42162</v>
      </c>
    </row>
    <row r="2038" spans="1:15" x14ac:dyDescent="0.25">
      <c r="A2038" s="786" t="s">
        <v>434</v>
      </c>
      <c r="B2038" s="787">
        <v>4</v>
      </c>
      <c r="C2038" s="787" t="s">
        <v>4467</v>
      </c>
      <c r="D2038" s="787">
        <v>0.65</v>
      </c>
      <c r="E2038" s="787">
        <v>32.35</v>
      </c>
      <c r="F2038" s="788">
        <v>39101</v>
      </c>
      <c r="G2038" s="788">
        <v>42164</v>
      </c>
      <c r="H2038" s="787">
        <v>1</v>
      </c>
      <c r="I2038" s="788">
        <v>42166</v>
      </c>
      <c r="J2038" s="788">
        <v>42164</v>
      </c>
      <c r="K2038" s="788">
        <v>41869</v>
      </c>
      <c r="L2038" s="787">
        <v>31.4</v>
      </c>
      <c r="M2038" s="787">
        <v>20</v>
      </c>
      <c r="N2038" s="787">
        <v>40.51</v>
      </c>
      <c r="O2038" s="788">
        <v>42146</v>
      </c>
    </row>
    <row r="2039" spans="1:15" x14ac:dyDescent="0.25">
      <c r="A2039" s="786" t="s">
        <v>4468</v>
      </c>
      <c r="B2039" s="787">
        <v>4</v>
      </c>
      <c r="C2039" s="787" t="s">
        <v>4469</v>
      </c>
      <c r="D2039" s="787">
        <v>3.11</v>
      </c>
      <c r="E2039" s="787">
        <v>56.33</v>
      </c>
      <c r="F2039" s="788">
        <v>39101</v>
      </c>
      <c r="G2039" s="788">
        <v>41831</v>
      </c>
      <c r="H2039" s="787">
        <v>1</v>
      </c>
      <c r="I2039" s="788">
        <v>42034</v>
      </c>
      <c r="J2039" s="788">
        <v>42081</v>
      </c>
      <c r="K2039" s="788">
        <v>40499</v>
      </c>
      <c r="L2039" s="787">
        <v>47.61</v>
      </c>
      <c r="M2039" s="787">
        <v>20</v>
      </c>
      <c r="N2039" s="787">
        <v>61.42</v>
      </c>
      <c r="O2039" s="788">
        <v>41858</v>
      </c>
    </row>
    <row r="2040" spans="1:15" x14ac:dyDescent="0.25">
      <c r="A2040" s="786" t="s">
        <v>4470</v>
      </c>
      <c r="B2040" s="787">
        <v>4</v>
      </c>
      <c r="C2040" s="787" t="s">
        <v>4471</v>
      </c>
      <c r="D2040" s="787">
        <v>4.8899999999999997</v>
      </c>
      <c r="E2040" s="787">
        <v>53.54</v>
      </c>
      <c r="F2040" s="788">
        <v>39975</v>
      </c>
      <c r="G2040" s="788">
        <v>42054</v>
      </c>
      <c r="H2040" s="787">
        <v>1</v>
      </c>
      <c r="I2040" s="788">
        <v>42160</v>
      </c>
      <c r="J2040" s="788">
        <v>42054</v>
      </c>
      <c r="K2040" s="788">
        <v>42102</v>
      </c>
      <c r="L2040" s="787">
        <v>54.63</v>
      </c>
      <c r="M2040" s="787">
        <v>20</v>
      </c>
      <c r="N2040" s="787">
        <v>70.47</v>
      </c>
      <c r="O2040" s="788">
        <v>42163</v>
      </c>
    </row>
    <row r="2041" spans="1:15" x14ac:dyDescent="0.25">
      <c r="A2041" s="786" t="s">
        <v>4472</v>
      </c>
      <c r="B2041" s="787">
        <v>4</v>
      </c>
      <c r="C2041" s="787" t="s">
        <v>4473</v>
      </c>
      <c r="D2041" s="787">
        <v>0.43</v>
      </c>
      <c r="E2041" s="787">
        <v>0.85</v>
      </c>
      <c r="F2041" s="788">
        <v>41418</v>
      </c>
      <c r="G2041" s="788">
        <v>41943</v>
      </c>
      <c r="H2041" s="787">
        <v>1</v>
      </c>
      <c r="I2041" s="788">
        <v>41464</v>
      </c>
      <c r="J2041" s="788">
        <v>41436</v>
      </c>
      <c r="K2041" s="788">
        <v>41379</v>
      </c>
      <c r="L2041" s="787">
        <v>1.46</v>
      </c>
      <c r="M2041" s="787">
        <v>10</v>
      </c>
      <c r="N2041" s="787">
        <v>1.47</v>
      </c>
      <c r="O2041" s="788">
        <v>42163</v>
      </c>
    </row>
    <row r="2042" spans="1:15" x14ac:dyDescent="0.25">
      <c r="A2042" s="786" t="s">
        <v>4474</v>
      </c>
      <c r="B2042" s="787">
        <v>4</v>
      </c>
      <c r="C2042" s="787" t="s">
        <v>4475</v>
      </c>
      <c r="D2042" s="787">
        <v>0.64</v>
      </c>
      <c r="E2042" s="787">
        <v>1.18</v>
      </c>
      <c r="F2042" s="788">
        <v>41467</v>
      </c>
      <c r="G2042" s="788">
        <v>42013</v>
      </c>
      <c r="H2042" s="787">
        <v>1</v>
      </c>
      <c r="I2042" s="788">
        <v>41464</v>
      </c>
      <c r="J2042" s="788">
        <v>41593</v>
      </c>
      <c r="K2042" s="788">
        <v>41379</v>
      </c>
      <c r="L2042" s="787">
        <v>1.46</v>
      </c>
      <c r="M2042" s="787">
        <v>10</v>
      </c>
      <c r="N2042" s="787">
        <v>1.47</v>
      </c>
      <c r="O2042" s="788">
        <v>42163</v>
      </c>
    </row>
    <row r="2043" spans="1:15" x14ac:dyDescent="0.25">
      <c r="A2043" s="786" t="s">
        <v>4476</v>
      </c>
      <c r="B2043" s="787">
        <v>4</v>
      </c>
      <c r="C2043" s="787" t="s">
        <v>4477</v>
      </c>
      <c r="D2043" s="787">
        <v>3.56</v>
      </c>
      <c r="E2043" s="787">
        <v>3.56</v>
      </c>
      <c r="F2043" s="788">
        <v>41418</v>
      </c>
      <c r="G2043" s="788">
        <v>42013</v>
      </c>
      <c r="H2043" s="787">
        <v>1</v>
      </c>
      <c r="I2043" s="788">
        <v>41591</v>
      </c>
      <c r="J2043" s="788">
        <v>41389</v>
      </c>
      <c r="K2043" s="788">
        <v>41379</v>
      </c>
      <c r="L2043" s="787">
        <v>3.39</v>
      </c>
      <c r="M2043" s="787">
        <v>10</v>
      </c>
      <c r="N2043" s="787">
        <v>4.01</v>
      </c>
      <c r="O2043" s="788">
        <v>42163</v>
      </c>
    </row>
    <row r="2044" spans="1:15" x14ac:dyDescent="0.25">
      <c r="A2044" s="786" t="s">
        <v>4478</v>
      </c>
      <c r="B2044" s="787">
        <v>4</v>
      </c>
      <c r="C2044" s="787" t="s">
        <v>4479</v>
      </c>
      <c r="D2044" s="787">
        <v>1.1399999999999999</v>
      </c>
      <c r="E2044" s="787">
        <v>1.1399999999999999</v>
      </c>
      <c r="F2044" s="788">
        <v>41467</v>
      </c>
      <c r="G2044" s="788">
        <v>42013</v>
      </c>
      <c r="H2044" s="787">
        <v>1</v>
      </c>
      <c r="I2044" s="788">
        <v>41591</v>
      </c>
      <c r="J2044" s="788">
        <v>41436</v>
      </c>
      <c r="K2044" s="788">
        <v>41432</v>
      </c>
      <c r="L2044" s="787">
        <v>1</v>
      </c>
      <c r="M2044" s="787">
        <v>10</v>
      </c>
      <c r="N2044" s="787">
        <v>1.46</v>
      </c>
      <c r="O2044" s="788">
        <v>42163</v>
      </c>
    </row>
    <row r="2045" spans="1:15" x14ac:dyDescent="0.25">
      <c r="A2045" s="786" t="s">
        <v>4480</v>
      </c>
      <c r="B2045" s="787">
        <v>4</v>
      </c>
      <c r="C2045" s="787" t="s">
        <v>4481</v>
      </c>
      <c r="D2045" s="787">
        <v>0</v>
      </c>
      <c r="E2045" s="787">
        <v>0</v>
      </c>
      <c r="H2045" s="787">
        <v>1</v>
      </c>
      <c r="I2045" s="788">
        <v>41591</v>
      </c>
      <c r="L2045" s="787">
        <v>0</v>
      </c>
      <c r="M2045" s="787">
        <v>10</v>
      </c>
      <c r="N2045" s="787">
        <v>0.8</v>
      </c>
      <c r="O2045" s="788">
        <v>42163</v>
      </c>
    </row>
    <row r="2046" spans="1:15" x14ac:dyDescent="0.25">
      <c r="A2046" s="786" t="s">
        <v>4482</v>
      </c>
      <c r="B2046" s="787">
        <v>4</v>
      </c>
      <c r="C2046" s="787" t="s">
        <v>4483</v>
      </c>
      <c r="D2046" s="787">
        <v>2.35</v>
      </c>
      <c r="E2046" s="787">
        <v>2.35</v>
      </c>
      <c r="F2046" s="788">
        <v>41418</v>
      </c>
      <c r="G2046" s="788">
        <v>41943</v>
      </c>
      <c r="H2046" s="787">
        <v>1</v>
      </c>
      <c r="I2046" s="788">
        <v>41591</v>
      </c>
      <c r="J2046" s="788">
        <v>41383</v>
      </c>
      <c r="K2046" s="788">
        <v>41379</v>
      </c>
      <c r="L2046" s="787">
        <v>2.79</v>
      </c>
      <c r="M2046" s="787">
        <v>10</v>
      </c>
      <c r="N2046" s="787">
        <v>3.41</v>
      </c>
      <c r="O2046" s="788">
        <v>42163</v>
      </c>
    </row>
    <row r="2047" spans="1:15" x14ac:dyDescent="0.25">
      <c r="A2047" s="786" t="s">
        <v>4484</v>
      </c>
      <c r="B2047" s="787">
        <v>4</v>
      </c>
      <c r="C2047" s="787" t="s">
        <v>4485</v>
      </c>
      <c r="D2047" s="787">
        <v>1.28</v>
      </c>
      <c r="E2047" s="787">
        <v>1.28</v>
      </c>
      <c r="F2047" s="788">
        <v>41306</v>
      </c>
      <c r="G2047" s="788">
        <v>42013</v>
      </c>
      <c r="H2047" s="787">
        <v>1</v>
      </c>
      <c r="I2047" s="788">
        <v>41591</v>
      </c>
      <c r="J2047" s="788">
        <v>41263</v>
      </c>
      <c r="L2047" s="787">
        <v>0</v>
      </c>
      <c r="M2047" s="787">
        <v>10</v>
      </c>
      <c r="N2047" s="787">
        <v>1.52</v>
      </c>
      <c r="O2047" s="788">
        <v>42163</v>
      </c>
    </row>
    <row r="2048" spans="1:15" x14ac:dyDescent="0.25">
      <c r="A2048" s="786" t="s">
        <v>4486</v>
      </c>
      <c r="B2048" s="787">
        <v>4</v>
      </c>
      <c r="C2048" s="787" t="s">
        <v>4487</v>
      </c>
      <c r="D2048" s="787">
        <v>3.63</v>
      </c>
      <c r="E2048" s="787">
        <v>3.67</v>
      </c>
      <c r="F2048" s="788">
        <v>41418</v>
      </c>
      <c r="G2048" s="788">
        <v>41943</v>
      </c>
      <c r="H2048" s="787">
        <v>1</v>
      </c>
      <c r="I2048" s="788">
        <v>41591</v>
      </c>
      <c r="J2048" s="788">
        <v>41591</v>
      </c>
      <c r="K2048" s="788">
        <v>41379</v>
      </c>
      <c r="L2048" s="787">
        <v>3.6</v>
      </c>
      <c r="M2048" s="787">
        <v>10</v>
      </c>
      <c r="N2048" s="787">
        <v>4.25</v>
      </c>
      <c r="O2048" s="788">
        <v>42163</v>
      </c>
    </row>
    <row r="2049" spans="1:15" x14ac:dyDescent="0.25">
      <c r="A2049" s="786" t="s">
        <v>4488</v>
      </c>
      <c r="B2049" s="787">
        <v>4</v>
      </c>
      <c r="C2049" s="787" t="s">
        <v>4489</v>
      </c>
      <c r="D2049" s="787">
        <v>2.4700000000000002</v>
      </c>
      <c r="E2049" s="787">
        <v>2.4700000000000002</v>
      </c>
      <c r="F2049" s="788">
        <v>41418</v>
      </c>
      <c r="G2049" s="788">
        <v>41943</v>
      </c>
      <c r="H2049" s="787">
        <v>1</v>
      </c>
      <c r="I2049" s="788">
        <v>41591</v>
      </c>
      <c r="J2049" s="788">
        <v>41389</v>
      </c>
      <c r="K2049" s="788">
        <v>41379</v>
      </c>
      <c r="L2049" s="787">
        <v>2.16</v>
      </c>
      <c r="M2049" s="787">
        <v>10</v>
      </c>
      <c r="N2049" s="787">
        <v>2.77</v>
      </c>
      <c r="O2049" s="788">
        <v>42163</v>
      </c>
    </row>
    <row r="2050" spans="1:15" x14ac:dyDescent="0.25">
      <c r="A2050" s="786" t="s">
        <v>4490</v>
      </c>
      <c r="B2050" s="787">
        <v>4</v>
      </c>
      <c r="C2050" s="787" t="s">
        <v>4491</v>
      </c>
      <c r="D2050" s="787">
        <v>0.38</v>
      </c>
      <c r="E2050" s="787">
        <v>0.38</v>
      </c>
      <c r="F2050" s="788">
        <v>37635</v>
      </c>
      <c r="G2050" s="788">
        <v>37635</v>
      </c>
      <c r="H2050" s="787">
        <v>1</v>
      </c>
      <c r="I2050" s="788">
        <v>37481</v>
      </c>
      <c r="J2050" s="788">
        <v>37635</v>
      </c>
      <c r="L2050" s="787">
        <v>0.19</v>
      </c>
      <c r="M2050" s="787">
        <v>10</v>
      </c>
      <c r="N2050" s="787">
        <v>0.4</v>
      </c>
      <c r="O2050" s="788">
        <v>41858</v>
      </c>
    </row>
    <row r="2051" spans="1:15" x14ac:dyDescent="0.25">
      <c r="A2051" s="786" t="s">
        <v>4492</v>
      </c>
      <c r="B2051" s="787">
        <v>4</v>
      </c>
      <c r="C2051" s="787" t="s">
        <v>4493</v>
      </c>
      <c r="D2051" s="787">
        <v>0.61</v>
      </c>
      <c r="E2051" s="787">
        <v>10.61</v>
      </c>
      <c r="F2051" s="788">
        <v>39101</v>
      </c>
      <c r="G2051" s="788">
        <v>39101</v>
      </c>
      <c r="H2051" s="787">
        <v>1</v>
      </c>
      <c r="I2051" s="788">
        <v>41775</v>
      </c>
      <c r="J2051" s="788">
        <v>39101</v>
      </c>
      <c r="L2051" s="787">
        <v>11.56</v>
      </c>
      <c r="M2051" s="787">
        <v>20</v>
      </c>
      <c r="N2051" s="787">
        <v>12.43</v>
      </c>
      <c r="O2051" s="788">
        <v>41858</v>
      </c>
    </row>
    <row r="2052" spans="1:15" x14ac:dyDescent="0.25">
      <c r="A2052" s="786" t="s">
        <v>4494</v>
      </c>
      <c r="B2052" s="787">
        <v>4</v>
      </c>
      <c r="C2052" s="787" t="s">
        <v>4495</v>
      </c>
      <c r="D2052" s="787">
        <v>0.22</v>
      </c>
      <c r="E2052" s="787">
        <v>0.22</v>
      </c>
      <c r="F2052" s="788">
        <v>41813</v>
      </c>
      <c r="G2052" s="788">
        <v>41935</v>
      </c>
      <c r="H2052" s="787">
        <v>1</v>
      </c>
      <c r="I2052" s="788">
        <v>41949</v>
      </c>
      <c r="J2052" s="788">
        <v>41935</v>
      </c>
      <c r="L2052" s="787">
        <v>2.74</v>
      </c>
      <c r="M2052" s="787">
        <v>10</v>
      </c>
      <c r="N2052" s="787">
        <v>4.09</v>
      </c>
      <c r="O2052" s="788">
        <v>42162</v>
      </c>
    </row>
    <row r="2053" spans="1:15" x14ac:dyDescent="0.25">
      <c r="A2053" s="786" t="s">
        <v>4496</v>
      </c>
      <c r="B2053" s="787">
        <v>4</v>
      </c>
      <c r="C2053" s="787" t="s">
        <v>4497</v>
      </c>
      <c r="D2053" s="787">
        <v>0.46</v>
      </c>
      <c r="E2053" s="787">
        <v>0.46</v>
      </c>
      <c r="F2053" s="788">
        <v>37635</v>
      </c>
      <c r="G2053" s="788">
        <v>38736</v>
      </c>
      <c r="H2053" s="787">
        <v>1</v>
      </c>
      <c r="I2053" s="788">
        <v>39134</v>
      </c>
      <c r="J2053" s="788">
        <v>37635</v>
      </c>
      <c r="L2053" s="787">
        <v>3.14</v>
      </c>
      <c r="M2053" s="787">
        <v>10</v>
      </c>
      <c r="N2053" s="787">
        <v>3.3</v>
      </c>
      <c r="O2053" s="788">
        <v>41858</v>
      </c>
    </row>
    <row r="2054" spans="1:15" x14ac:dyDescent="0.25">
      <c r="A2054" s="786" t="s">
        <v>4498</v>
      </c>
      <c r="B2054" s="787">
        <v>4</v>
      </c>
      <c r="C2054" s="787" t="s">
        <v>4499</v>
      </c>
      <c r="D2054" s="787">
        <v>1.42</v>
      </c>
      <c r="E2054" s="787">
        <v>1.42</v>
      </c>
      <c r="F2054" s="788">
        <v>41467</v>
      </c>
      <c r="G2054" s="788">
        <v>41943</v>
      </c>
      <c r="H2054" s="787">
        <v>1</v>
      </c>
      <c r="I2054" s="788">
        <v>41591</v>
      </c>
      <c r="J2054" s="788">
        <v>41436</v>
      </c>
      <c r="K2054" s="788">
        <v>41428</v>
      </c>
      <c r="L2054" s="787">
        <v>1</v>
      </c>
      <c r="M2054" s="787">
        <v>10</v>
      </c>
      <c r="N2054" s="787">
        <v>2.04</v>
      </c>
      <c r="O2054" s="788">
        <v>42163</v>
      </c>
    </row>
    <row r="2055" spans="1:15" x14ac:dyDescent="0.25">
      <c r="A2055" s="786" t="s">
        <v>4500</v>
      </c>
      <c r="B2055" s="787">
        <v>4</v>
      </c>
      <c r="C2055" s="787" t="s">
        <v>4501</v>
      </c>
      <c r="D2055" s="787">
        <v>0</v>
      </c>
      <c r="E2055" s="787">
        <v>0</v>
      </c>
      <c r="H2055" s="787">
        <v>1</v>
      </c>
      <c r="I2055" s="788">
        <v>41591</v>
      </c>
      <c r="L2055" s="787">
        <v>0</v>
      </c>
      <c r="M2055" s="787">
        <v>10</v>
      </c>
      <c r="N2055" s="787">
        <v>0.97</v>
      </c>
      <c r="O2055" s="788">
        <v>42163</v>
      </c>
    </row>
    <row r="2056" spans="1:15" x14ac:dyDescent="0.25">
      <c r="A2056" s="786" t="s">
        <v>4502</v>
      </c>
      <c r="B2056" s="787">
        <v>4</v>
      </c>
      <c r="C2056" s="787" t="s">
        <v>4503</v>
      </c>
      <c r="D2056" s="787">
        <v>3.56</v>
      </c>
      <c r="E2056" s="787">
        <v>3.56</v>
      </c>
      <c r="F2056" s="788">
        <v>41418</v>
      </c>
      <c r="G2056" s="788">
        <v>42013</v>
      </c>
      <c r="H2056" s="787">
        <v>1</v>
      </c>
      <c r="I2056" s="788">
        <v>41591</v>
      </c>
      <c r="J2056" s="788">
        <v>41383</v>
      </c>
      <c r="K2056" s="788">
        <v>41379</v>
      </c>
      <c r="L2056" s="787">
        <v>2.68</v>
      </c>
      <c r="M2056" s="787">
        <v>10</v>
      </c>
      <c r="N2056" s="787">
        <v>3.31</v>
      </c>
      <c r="O2056" s="788">
        <v>42163</v>
      </c>
    </row>
    <row r="2057" spans="1:15" x14ac:dyDescent="0.25">
      <c r="A2057" s="786" t="s">
        <v>4504</v>
      </c>
      <c r="B2057" s="787">
        <v>4</v>
      </c>
      <c r="C2057" s="787" t="s">
        <v>4505</v>
      </c>
      <c r="D2057" s="787">
        <v>7.18</v>
      </c>
      <c r="E2057" s="787">
        <v>7.41</v>
      </c>
      <c r="F2057" s="788">
        <v>41335</v>
      </c>
      <c r="G2057" s="788">
        <v>41646</v>
      </c>
      <c r="H2057" s="787">
        <v>1</v>
      </c>
      <c r="I2057" s="788">
        <v>41591</v>
      </c>
      <c r="J2057" s="788">
        <v>41562</v>
      </c>
      <c r="K2057" s="788">
        <v>41379</v>
      </c>
      <c r="L2057" s="787">
        <v>8.6</v>
      </c>
      <c r="M2057" s="787">
        <v>10</v>
      </c>
      <c r="N2057" s="787">
        <v>9.02</v>
      </c>
      <c r="O2057" s="788">
        <v>42163</v>
      </c>
    </row>
    <row r="2058" spans="1:15" x14ac:dyDescent="0.25">
      <c r="A2058" s="786" t="s">
        <v>4506</v>
      </c>
      <c r="B2058" s="787">
        <v>4</v>
      </c>
      <c r="C2058" s="787" t="s">
        <v>4507</v>
      </c>
      <c r="D2058" s="787">
        <v>6.95</v>
      </c>
      <c r="E2058" s="787">
        <v>6.95</v>
      </c>
      <c r="F2058" s="788">
        <v>37635</v>
      </c>
      <c r="G2058" s="788">
        <v>38364</v>
      </c>
      <c r="H2058" s="787">
        <v>1</v>
      </c>
      <c r="I2058" s="788">
        <v>41151</v>
      </c>
      <c r="J2058" s="788">
        <v>37635</v>
      </c>
      <c r="L2058" s="787">
        <v>9.09</v>
      </c>
      <c r="M2058" s="787">
        <v>20</v>
      </c>
      <c r="N2058" s="787">
        <v>11.73</v>
      </c>
      <c r="O2058" s="788">
        <v>41858</v>
      </c>
    </row>
    <row r="2059" spans="1:15" x14ac:dyDescent="0.25">
      <c r="A2059" s="786" t="s">
        <v>4508</v>
      </c>
      <c r="B2059" s="787">
        <v>4</v>
      </c>
      <c r="C2059" s="787" t="s">
        <v>4509</v>
      </c>
      <c r="D2059" s="787">
        <v>5.99</v>
      </c>
      <c r="E2059" s="787">
        <v>15.99</v>
      </c>
      <c r="F2059" s="788">
        <v>38047</v>
      </c>
      <c r="G2059" s="788">
        <v>38047</v>
      </c>
      <c r="H2059" s="787">
        <v>1</v>
      </c>
      <c r="I2059" s="788">
        <v>37355</v>
      </c>
      <c r="J2059" s="788">
        <v>38047</v>
      </c>
      <c r="L2059" s="787">
        <v>20.91</v>
      </c>
      <c r="M2059" s="787">
        <v>20</v>
      </c>
      <c r="N2059" s="787">
        <v>26.97</v>
      </c>
      <c r="O2059" s="788">
        <v>41858</v>
      </c>
    </row>
    <row r="2060" spans="1:15" x14ac:dyDescent="0.25">
      <c r="A2060" s="786" t="s">
        <v>4510</v>
      </c>
      <c r="B2060" s="787">
        <v>4</v>
      </c>
      <c r="C2060" s="787" t="s">
        <v>4511</v>
      </c>
      <c r="D2060" s="787">
        <v>6.05</v>
      </c>
      <c r="E2060" s="787">
        <v>26.05</v>
      </c>
      <c r="F2060" s="788">
        <v>38047</v>
      </c>
      <c r="G2060" s="788">
        <v>38047</v>
      </c>
      <c r="H2060" s="787">
        <v>1</v>
      </c>
      <c r="I2060" s="788">
        <v>38120</v>
      </c>
      <c r="J2060" s="788">
        <v>38047</v>
      </c>
      <c r="L2060" s="787">
        <v>34.07</v>
      </c>
      <c r="M2060" s="787">
        <v>20</v>
      </c>
      <c r="N2060" s="787">
        <v>43.95</v>
      </c>
      <c r="O2060" s="788">
        <v>41858</v>
      </c>
    </row>
    <row r="2061" spans="1:15" x14ac:dyDescent="0.25">
      <c r="A2061" s="786" t="s">
        <v>4512</v>
      </c>
      <c r="B2061" s="787">
        <v>4</v>
      </c>
      <c r="C2061" s="787" t="s">
        <v>4511</v>
      </c>
      <c r="D2061" s="787">
        <v>6.05</v>
      </c>
      <c r="E2061" s="787">
        <v>26.05</v>
      </c>
      <c r="F2061" s="788">
        <v>37635</v>
      </c>
      <c r="G2061" s="788">
        <v>37635</v>
      </c>
      <c r="H2061" s="787">
        <v>1</v>
      </c>
      <c r="I2061" s="788">
        <v>37343</v>
      </c>
      <c r="J2061" s="788">
        <v>37635</v>
      </c>
      <c r="L2061" s="787">
        <v>34.07</v>
      </c>
      <c r="M2061" s="787">
        <v>20</v>
      </c>
      <c r="N2061" s="787">
        <v>43.95</v>
      </c>
      <c r="O2061" s="788">
        <v>41858</v>
      </c>
    </row>
    <row r="2062" spans="1:15" x14ac:dyDescent="0.25">
      <c r="A2062" s="786" t="s">
        <v>4513</v>
      </c>
      <c r="B2062" s="787">
        <v>4</v>
      </c>
      <c r="C2062" s="787" t="s">
        <v>4514</v>
      </c>
      <c r="D2062" s="787">
        <v>2.74</v>
      </c>
      <c r="E2062" s="787">
        <v>32.74</v>
      </c>
      <c r="F2062" s="788">
        <v>37635</v>
      </c>
      <c r="G2062" s="788">
        <v>37635</v>
      </c>
      <c r="H2062" s="787">
        <v>1</v>
      </c>
      <c r="I2062" s="788">
        <v>37844</v>
      </c>
      <c r="J2062" s="788">
        <v>37635</v>
      </c>
      <c r="L2062" s="787">
        <v>42.82</v>
      </c>
      <c r="M2062" s="787">
        <v>20</v>
      </c>
      <c r="N2062" s="787">
        <v>55.24</v>
      </c>
      <c r="O2062" s="788">
        <v>41858</v>
      </c>
    </row>
    <row r="2063" spans="1:15" x14ac:dyDescent="0.25">
      <c r="A2063" s="786" t="s">
        <v>4515</v>
      </c>
      <c r="B2063" s="787">
        <v>4</v>
      </c>
      <c r="C2063" s="787" t="s">
        <v>4509</v>
      </c>
      <c r="D2063" s="787">
        <v>8.52</v>
      </c>
      <c r="E2063" s="787">
        <v>18.52</v>
      </c>
      <c r="F2063" s="788">
        <v>38047</v>
      </c>
      <c r="G2063" s="788">
        <v>38047</v>
      </c>
      <c r="H2063" s="787">
        <v>1</v>
      </c>
      <c r="I2063" s="788">
        <v>37243</v>
      </c>
      <c r="J2063" s="788">
        <v>38047</v>
      </c>
      <c r="L2063" s="787">
        <v>24.22</v>
      </c>
      <c r="M2063" s="787">
        <v>20</v>
      </c>
      <c r="N2063" s="787">
        <v>31.24</v>
      </c>
      <c r="O2063" s="788">
        <v>41858</v>
      </c>
    </row>
    <row r="2064" spans="1:15" x14ac:dyDescent="0.25">
      <c r="A2064" s="786" t="s">
        <v>4516</v>
      </c>
      <c r="B2064" s="787">
        <v>4</v>
      </c>
      <c r="C2064" s="787" t="s">
        <v>4517</v>
      </c>
      <c r="D2064" s="787">
        <v>5.55</v>
      </c>
      <c r="E2064" s="787">
        <v>15.55</v>
      </c>
      <c r="F2064" s="788">
        <v>37635</v>
      </c>
      <c r="G2064" s="788">
        <v>38364</v>
      </c>
      <c r="H2064" s="787">
        <v>1</v>
      </c>
      <c r="I2064" s="788">
        <v>38736</v>
      </c>
      <c r="J2064" s="788">
        <v>37635</v>
      </c>
      <c r="L2064" s="787">
        <v>20.34</v>
      </c>
      <c r="M2064" s="787">
        <v>20</v>
      </c>
      <c r="N2064" s="787">
        <v>26.24</v>
      </c>
      <c r="O2064" s="788">
        <v>41858</v>
      </c>
    </row>
    <row r="2065" spans="1:15" x14ac:dyDescent="0.25">
      <c r="A2065" s="786" t="s">
        <v>4518</v>
      </c>
      <c r="B2065" s="787">
        <v>4</v>
      </c>
      <c r="C2065" s="787" t="s">
        <v>4519</v>
      </c>
      <c r="D2065" s="787">
        <v>1.84</v>
      </c>
      <c r="E2065" s="787">
        <v>31.84</v>
      </c>
      <c r="F2065" s="788">
        <v>37635</v>
      </c>
      <c r="G2065" s="788">
        <v>37635</v>
      </c>
      <c r="H2065" s="787">
        <v>1</v>
      </c>
      <c r="I2065" s="788">
        <v>36978</v>
      </c>
      <c r="J2065" s="788">
        <v>37635</v>
      </c>
      <c r="L2065" s="787">
        <v>41.65</v>
      </c>
      <c r="M2065" s="787">
        <v>20</v>
      </c>
      <c r="N2065" s="787">
        <v>53.73</v>
      </c>
      <c r="O2065" s="788">
        <v>41955</v>
      </c>
    </row>
    <row r="2066" spans="1:15" x14ac:dyDescent="0.25">
      <c r="A2066" s="786" t="s">
        <v>4520</v>
      </c>
      <c r="B2066" s="787">
        <v>4</v>
      </c>
      <c r="C2066" s="787" t="s">
        <v>4491</v>
      </c>
      <c r="D2066" s="787">
        <v>0.38</v>
      </c>
      <c r="E2066" s="787">
        <v>0.38</v>
      </c>
      <c r="F2066" s="788">
        <v>37635</v>
      </c>
      <c r="G2066" s="788">
        <v>37635</v>
      </c>
      <c r="H2066" s="787">
        <v>1</v>
      </c>
      <c r="J2066" s="788">
        <v>37635</v>
      </c>
      <c r="L2066" s="787">
        <v>0.18</v>
      </c>
      <c r="M2066" s="787">
        <v>10</v>
      </c>
      <c r="N2066" s="787">
        <v>6.36</v>
      </c>
      <c r="O2066" s="788">
        <v>41858</v>
      </c>
    </row>
    <row r="2067" spans="1:15" x14ac:dyDescent="0.25">
      <c r="A2067" s="786" t="s">
        <v>4521</v>
      </c>
      <c r="B2067" s="787">
        <v>4</v>
      </c>
      <c r="C2067" s="787" t="s">
        <v>4491</v>
      </c>
      <c r="D2067" s="787">
        <v>0.38</v>
      </c>
      <c r="E2067" s="787">
        <v>0.38</v>
      </c>
      <c r="F2067" s="788">
        <v>37635</v>
      </c>
      <c r="G2067" s="788">
        <v>37635</v>
      </c>
      <c r="H2067" s="787">
        <v>1</v>
      </c>
      <c r="J2067" s="788">
        <v>37635</v>
      </c>
      <c r="L2067" s="787">
        <v>0.18</v>
      </c>
      <c r="M2067" s="787">
        <v>10</v>
      </c>
      <c r="N2067" s="787">
        <v>0.48</v>
      </c>
      <c r="O2067" s="788">
        <v>41858</v>
      </c>
    </row>
    <row r="2068" spans="1:15" x14ac:dyDescent="0.25">
      <c r="A2068" s="786" t="s">
        <v>4522</v>
      </c>
      <c r="B2068" s="787">
        <v>4</v>
      </c>
      <c r="C2068" s="787" t="s">
        <v>4491</v>
      </c>
      <c r="D2068" s="787">
        <v>0.38</v>
      </c>
      <c r="E2068" s="787">
        <v>0.38</v>
      </c>
      <c r="F2068" s="788">
        <v>37635</v>
      </c>
      <c r="G2068" s="788">
        <v>37635</v>
      </c>
      <c r="H2068" s="787">
        <v>1</v>
      </c>
      <c r="J2068" s="788">
        <v>37635</v>
      </c>
      <c r="L2068" s="787">
        <v>0.18</v>
      </c>
      <c r="M2068" s="787">
        <v>10</v>
      </c>
      <c r="N2068" s="787">
        <v>0.48</v>
      </c>
      <c r="O2068" s="788">
        <v>41858</v>
      </c>
    </row>
    <row r="2069" spans="1:15" x14ac:dyDescent="0.25">
      <c r="A2069" s="786" t="s">
        <v>4523</v>
      </c>
      <c r="B2069" s="787">
        <v>4</v>
      </c>
      <c r="C2069" s="787" t="s">
        <v>4491</v>
      </c>
      <c r="D2069" s="787">
        <v>0.38</v>
      </c>
      <c r="E2069" s="787">
        <v>0.38</v>
      </c>
      <c r="F2069" s="788">
        <v>37635</v>
      </c>
      <c r="G2069" s="788">
        <v>37635</v>
      </c>
      <c r="H2069" s="787">
        <v>1</v>
      </c>
      <c r="I2069" s="788">
        <v>37009</v>
      </c>
      <c r="J2069" s="788">
        <v>37635</v>
      </c>
      <c r="L2069" s="787">
        <v>0.18</v>
      </c>
      <c r="M2069" s="787">
        <v>10</v>
      </c>
      <c r="N2069" s="787">
        <v>0.48</v>
      </c>
      <c r="O2069" s="788">
        <v>41858</v>
      </c>
    </row>
    <row r="2070" spans="1:15" x14ac:dyDescent="0.25">
      <c r="A2070" s="786" t="s">
        <v>4524</v>
      </c>
      <c r="B2070" s="787">
        <v>4</v>
      </c>
      <c r="C2070" s="787" t="s">
        <v>4491</v>
      </c>
      <c r="D2070" s="787">
        <v>6.27</v>
      </c>
      <c r="E2070" s="787">
        <v>6.27</v>
      </c>
      <c r="F2070" s="788">
        <v>37635</v>
      </c>
      <c r="G2070" s="788">
        <v>37635</v>
      </c>
      <c r="H2070" s="787">
        <v>1</v>
      </c>
      <c r="I2070" s="788">
        <v>37568</v>
      </c>
      <c r="J2070" s="788">
        <v>37635</v>
      </c>
      <c r="L2070" s="787">
        <v>0.18</v>
      </c>
      <c r="M2070" s="787">
        <v>10</v>
      </c>
      <c r="N2070" s="787">
        <v>0.48</v>
      </c>
      <c r="O2070" s="788">
        <v>41858</v>
      </c>
    </row>
    <row r="2071" spans="1:15" x14ac:dyDescent="0.25">
      <c r="A2071" s="786" t="s">
        <v>4525</v>
      </c>
      <c r="B2071" s="787">
        <v>4</v>
      </c>
      <c r="C2071" s="787" t="s">
        <v>4491</v>
      </c>
      <c r="D2071" s="787">
        <v>2.08</v>
      </c>
      <c r="E2071" s="787">
        <v>2.08</v>
      </c>
      <c r="F2071" s="788">
        <v>37635</v>
      </c>
      <c r="G2071" s="788">
        <v>38364</v>
      </c>
      <c r="H2071" s="787">
        <v>1</v>
      </c>
      <c r="I2071" s="788">
        <v>37568</v>
      </c>
      <c r="J2071" s="788">
        <v>37635</v>
      </c>
      <c r="L2071" s="787">
        <v>2.86</v>
      </c>
      <c r="M2071" s="787">
        <v>10</v>
      </c>
      <c r="N2071" s="787">
        <v>3.01</v>
      </c>
      <c r="O2071" s="788">
        <v>41858</v>
      </c>
    </row>
    <row r="2072" spans="1:15" x14ac:dyDescent="0.25">
      <c r="A2072" s="786" t="s">
        <v>4526</v>
      </c>
      <c r="B2072" s="787">
        <v>4</v>
      </c>
      <c r="C2072" s="787" t="s">
        <v>4491</v>
      </c>
      <c r="D2072" s="787">
        <v>5.33</v>
      </c>
      <c r="E2072" s="787">
        <v>5.33</v>
      </c>
      <c r="F2072" s="788">
        <v>37635</v>
      </c>
      <c r="G2072" s="788">
        <v>37635</v>
      </c>
      <c r="H2072" s="787">
        <v>1</v>
      </c>
      <c r="I2072" s="788">
        <v>37568</v>
      </c>
      <c r="J2072" s="788">
        <v>37635</v>
      </c>
      <c r="L2072" s="787">
        <v>0.18</v>
      </c>
      <c r="M2072" s="787">
        <v>10</v>
      </c>
      <c r="N2072" s="787">
        <v>0.48</v>
      </c>
      <c r="O2072" s="788">
        <v>41858</v>
      </c>
    </row>
    <row r="2073" spans="1:15" x14ac:dyDescent="0.25">
      <c r="A2073" s="786" t="s">
        <v>4527</v>
      </c>
      <c r="B2073" s="787">
        <v>4</v>
      </c>
      <c r="C2073" s="787" t="s">
        <v>4491</v>
      </c>
      <c r="D2073" s="787">
        <v>0.38</v>
      </c>
      <c r="E2073" s="787">
        <v>0.38</v>
      </c>
      <c r="F2073" s="788">
        <v>37635</v>
      </c>
      <c r="G2073" s="788">
        <v>37635</v>
      </c>
      <c r="H2073" s="787">
        <v>1</v>
      </c>
      <c r="J2073" s="788">
        <v>37635</v>
      </c>
      <c r="L2073" s="787">
        <v>0.18</v>
      </c>
      <c r="M2073" s="787">
        <v>10</v>
      </c>
      <c r="N2073" s="787">
        <v>0.48</v>
      </c>
      <c r="O2073" s="788">
        <v>41858</v>
      </c>
    </row>
    <row r="2074" spans="1:15" x14ac:dyDescent="0.25">
      <c r="A2074" s="786" t="s">
        <v>4528</v>
      </c>
      <c r="B2074" s="787">
        <v>4</v>
      </c>
      <c r="C2074" s="787" t="s">
        <v>4491</v>
      </c>
      <c r="D2074" s="787">
        <v>0.38</v>
      </c>
      <c r="E2074" s="787">
        <v>0.38</v>
      </c>
      <c r="F2074" s="788">
        <v>37635</v>
      </c>
      <c r="G2074" s="788">
        <v>37635</v>
      </c>
      <c r="H2074" s="787">
        <v>1</v>
      </c>
      <c r="J2074" s="788">
        <v>37635</v>
      </c>
      <c r="L2074" s="787">
        <v>0.18</v>
      </c>
      <c r="M2074" s="787">
        <v>10</v>
      </c>
      <c r="N2074" s="787">
        <v>0.48</v>
      </c>
      <c r="O2074" s="788">
        <v>41858</v>
      </c>
    </row>
    <row r="2075" spans="1:15" x14ac:dyDescent="0.25">
      <c r="A2075" s="786" t="s">
        <v>4529</v>
      </c>
      <c r="B2075" s="787">
        <v>4</v>
      </c>
      <c r="C2075" s="787" t="s">
        <v>4491</v>
      </c>
      <c r="D2075" s="787">
        <v>0.38</v>
      </c>
      <c r="E2075" s="787">
        <v>0.38</v>
      </c>
      <c r="F2075" s="788">
        <v>37635</v>
      </c>
      <c r="G2075" s="788">
        <v>37635</v>
      </c>
      <c r="H2075" s="787">
        <v>1</v>
      </c>
      <c r="J2075" s="788">
        <v>37635</v>
      </c>
      <c r="L2075" s="787">
        <v>0.18</v>
      </c>
      <c r="M2075" s="787">
        <v>10</v>
      </c>
      <c r="N2075" s="787">
        <v>0.48</v>
      </c>
      <c r="O2075" s="788">
        <v>41858</v>
      </c>
    </row>
    <row r="2076" spans="1:15" x14ac:dyDescent="0.25">
      <c r="A2076" s="786" t="s">
        <v>4530</v>
      </c>
      <c r="B2076" s="787">
        <v>4</v>
      </c>
      <c r="C2076" s="787" t="s">
        <v>4491</v>
      </c>
      <c r="D2076" s="787">
        <v>5.45</v>
      </c>
      <c r="E2076" s="787">
        <v>5.45</v>
      </c>
      <c r="F2076" s="788">
        <v>37635</v>
      </c>
      <c r="G2076" s="788">
        <v>37635</v>
      </c>
      <c r="H2076" s="787">
        <v>1</v>
      </c>
      <c r="I2076" s="788">
        <v>37568</v>
      </c>
      <c r="J2076" s="788">
        <v>37635</v>
      </c>
      <c r="L2076" s="787">
        <v>0.18</v>
      </c>
      <c r="M2076" s="787">
        <v>10</v>
      </c>
      <c r="N2076" s="787">
        <v>0.48</v>
      </c>
      <c r="O2076" s="788">
        <v>41858</v>
      </c>
    </row>
    <row r="2077" spans="1:15" x14ac:dyDescent="0.25">
      <c r="A2077" s="786" t="s">
        <v>4531</v>
      </c>
      <c r="B2077" s="787">
        <v>4</v>
      </c>
      <c r="C2077" s="787" t="s">
        <v>4491</v>
      </c>
      <c r="D2077" s="787">
        <v>2.86</v>
      </c>
      <c r="E2077" s="787">
        <v>2.86</v>
      </c>
      <c r="F2077" s="788">
        <v>37635</v>
      </c>
      <c r="G2077" s="788">
        <v>37635</v>
      </c>
      <c r="H2077" s="787">
        <v>1</v>
      </c>
      <c r="I2077" s="788">
        <v>37568</v>
      </c>
      <c r="J2077" s="788">
        <v>37635</v>
      </c>
      <c r="L2077" s="787">
        <v>3.88</v>
      </c>
      <c r="M2077" s="787">
        <v>10</v>
      </c>
      <c r="N2077" s="787">
        <v>4.0199999999999996</v>
      </c>
      <c r="O2077" s="788">
        <v>41858</v>
      </c>
    </row>
    <row r="2078" spans="1:15" x14ac:dyDescent="0.25">
      <c r="A2078" s="786" t="s">
        <v>4532</v>
      </c>
      <c r="B2078" s="787">
        <v>4</v>
      </c>
      <c r="C2078" s="787" t="s">
        <v>4491</v>
      </c>
      <c r="D2078" s="787">
        <v>3.38</v>
      </c>
      <c r="E2078" s="787">
        <v>3.38</v>
      </c>
      <c r="F2078" s="788">
        <v>37635</v>
      </c>
      <c r="G2078" s="788">
        <v>37635</v>
      </c>
      <c r="H2078" s="787">
        <v>1</v>
      </c>
      <c r="I2078" s="788">
        <v>37568</v>
      </c>
      <c r="J2078" s="788">
        <v>37635</v>
      </c>
      <c r="L2078" s="787">
        <v>4.1100000000000003</v>
      </c>
      <c r="M2078" s="787">
        <v>10</v>
      </c>
      <c r="N2078" s="787">
        <v>4.34</v>
      </c>
      <c r="O2078" s="788">
        <v>42083</v>
      </c>
    </row>
    <row r="2079" spans="1:15" x14ac:dyDescent="0.25">
      <c r="A2079" s="786" t="s">
        <v>4533</v>
      </c>
      <c r="B2079" s="787">
        <v>4</v>
      </c>
      <c r="C2079" s="787" t="s">
        <v>4491</v>
      </c>
      <c r="D2079" s="787">
        <v>6.48</v>
      </c>
      <c r="E2079" s="787">
        <v>6.48</v>
      </c>
      <c r="F2079" s="788">
        <v>37287</v>
      </c>
      <c r="G2079" s="788">
        <v>37287</v>
      </c>
      <c r="H2079" s="787">
        <v>1</v>
      </c>
      <c r="J2079" s="788">
        <v>37287</v>
      </c>
      <c r="L2079" s="787">
        <v>0.18</v>
      </c>
      <c r="M2079" s="787">
        <v>10</v>
      </c>
      <c r="N2079" s="787">
        <v>0.48</v>
      </c>
      <c r="O2079" s="788">
        <v>41858</v>
      </c>
    </row>
    <row r="2080" spans="1:15" x14ac:dyDescent="0.25">
      <c r="A2080" s="786" t="s">
        <v>4534</v>
      </c>
      <c r="B2080" s="787">
        <v>4</v>
      </c>
      <c r="C2080" s="787" t="s">
        <v>4491</v>
      </c>
      <c r="D2080" s="787">
        <v>0.38</v>
      </c>
      <c r="E2080" s="787">
        <v>0.38</v>
      </c>
      <c r="F2080" s="788">
        <v>37635</v>
      </c>
      <c r="G2080" s="788">
        <v>37635</v>
      </c>
      <c r="H2080" s="787">
        <v>1</v>
      </c>
      <c r="J2080" s="788">
        <v>37635</v>
      </c>
      <c r="L2080" s="787">
        <v>0.18</v>
      </c>
      <c r="M2080" s="787">
        <v>10</v>
      </c>
      <c r="N2080" s="787">
        <v>0.48</v>
      </c>
      <c r="O2080" s="788">
        <v>41858</v>
      </c>
    </row>
    <row r="2081" spans="1:15" x14ac:dyDescent="0.25">
      <c r="A2081" s="786" t="s">
        <v>4535</v>
      </c>
      <c r="B2081" s="787">
        <v>4</v>
      </c>
      <c r="C2081" s="787" t="s">
        <v>4491</v>
      </c>
      <c r="D2081" s="787">
        <v>0.38</v>
      </c>
      <c r="E2081" s="787">
        <v>0.38</v>
      </c>
      <c r="F2081" s="788">
        <v>37635</v>
      </c>
      <c r="G2081" s="788">
        <v>37635</v>
      </c>
      <c r="H2081" s="787">
        <v>1</v>
      </c>
      <c r="J2081" s="788">
        <v>37635</v>
      </c>
      <c r="L2081" s="787">
        <v>0.18</v>
      </c>
      <c r="M2081" s="787">
        <v>10</v>
      </c>
      <c r="N2081" s="787">
        <v>0.48</v>
      </c>
      <c r="O2081" s="788">
        <v>41858</v>
      </c>
    </row>
    <row r="2082" spans="1:15" x14ac:dyDescent="0.25">
      <c r="A2082" s="786" t="s">
        <v>4536</v>
      </c>
      <c r="B2082" s="787">
        <v>4</v>
      </c>
      <c r="C2082" s="787" t="s">
        <v>4491</v>
      </c>
      <c r="D2082" s="787">
        <v>0.38</v>
      </c>
      <c r="E2082" s="787">
        <v>0.38</v>
      </c>
      <c r="F2082" s="788">
        <v>37635</v>
      </c>
      <c r="G2082" s="788">
        <v>37635</v>
      </c>
      <c r="H2082" s="787">
        <v>1</v>
      </c>
      <c r="J2082" s="788">
        <v>37635</v>
      </c>
      <c r="L2082" s="787">
        <v>0.18</v>
      </c>
      <c r="M2082" s="787">
        <v>10</v>
      </c>
      <c r="N2082" s="787">
        <v>0.48</v>
      </c>
      <c r="O2082" s="788">
        <v>41858</v>
      </c>
    </row>
    <row r="2083" spans="1:15" x14ac:dyDescent="0.25">
      <c r="A2083" s="786" t="s">
        <v>4537</v>
      </c>
      <c r="B2083" s="787">
        <v>4</v>
      </c>
      <c r="C2083" s="787" t="s">
        <v>4491</v>
      </c>
      <c r="D2083" s="787">
        <v>0.38</v>
      </c>
      <c r="E2083" s="787">
        <v>0.38</v>
      </c>
      <c r="F2083" s="788">
        <v>37635</v>
      </c>
      <c r="G2083" s="788">
        <v>37635</v>
      </c>
      <c r="H2083" s="787">
        <v>1</v>
      </c>
      <c r="J2083" s="788">
        <v>37635</v>
      </c>
      <c r="L2083" s="787">
        <v>0.18</v>
      </c>
      <c r="M2083" s="787">
        <v>10</v>
      </c>
      <c r="N2083" s="787">
        <v>0.48</v>
      </c>
      <c r="O2083" s="788">
        <v>41858</v>
      </c>
    </row>
    <row r="2084" spans="1:15" x14ac:dyDescent="0.25">
      <c r="A2084" s="786" t="s">
        <v>4538</v>
      </c>
      <c r="B2084" s="787">
        <v>4</v>
      </c>
      <c r="C2084" s="787" t="s">
        <v>4491</v>
      </c>
      <c r="D2084" s="787">
        <v>3.12</v>
      </c>
      <c r="E2084" s="787">
        <v>3.12</v>
      </c>
      <c r="F2084" s="788">
        <v>37635</v>
      </c>
      <c r="G2084" s="788">
        <v>37635</v>
      </c>
      <c r="H2084" s="787">
        <v>1</v>
      </c>
      <c r="I2084" s="788">
        <v>37568</v>
      </c>
      <c r="J2084" s="788">
        <v>37635</v>
      </c>
      <c r="L2084" s="787">
        <v>0.18</v>
      </c>
      <c r="M2084" s="787">
        <v>10</v>
      </c>
      <c r="N2084" s="787">
        <v>0.48</v>
      </c>
      <c r="O2084" s="788">
        <v>41858</v>
      </c>
    </row>
    <row r="2085" spans="1:15" x14ac:dyDescent="0.25">
      <c r="A2085" s="786" t="s">
        <v>4539</v>
      </c>
      <c r="B2085" s="787">
        <v>4</v>
      </c>
      <c r="C2085" s="787" t="s">
        <v>4491</v>
      </c>
      <c r="D2085" s="787">
        <v>0.38</v>
      </c>
      <c r="E2085" s="787">
        <v>0.38</v>
      </c>
      <c r="F2085" s="788">
        <v>37635</v>
      </c>
      <c r="G2085" s="788">
        <v>37635</v>
      </c>
      <c r="H2085" s="787">
        <v>1</v>
      </c>
      <c r="J2085" s="788">
        <v>37635</v>
      </c>
      <c r="L2085" s="787">
        <v>0.18</v>
      </c>
      <c r="M2085" s="787">
        <v>10</v>
      </c>
      <c r="N2085" s="787">
        <v>0.48</v>
      </c>
      <c r="O2085" s="788">
        <v>41858</v>
      </c>
    </row>
    <row r="2086" spans="1:15" x14ac:dyDescent="0.25">
      <c r="A2086" s="786" t="s">
        <v>4540</v>
      </c>
      <c r="B2086" s="787">
        <v>4</v>
      </c>
      <c r="C2086" s="787" t="s">
        <v>4491</v>
      </c>
      <c r="D2086" s="787">
        <v>0.38</v>
      </c>
      <c r="E2086" s="787">
        <v>0.38</v>
      </c>
      <c r="F2086" s="788">
        <v>37635</v>
      </c>
      <c r="G2086" s="788">
        <v>37635</v>
      </c>
      <c r="H2086" s="787">
        <v>1</v>
      </c>
      <c r="J2086" s="788">
        <v>37635</v>
      </c>
      <c r="L2086" s="787">
        <v>0.18</v>
      </c>
      <c r="M2086" s="787">
        <v>10</v>
      </c>
      <c r="N2086" s="787">
        <v>0.48</v>
      </c>
      <c r="O2086" s="788">
        <v>41858</v>
      </c>
    </row>
    <row r="2087" spans="1:15" x14ac:dyDescent="0.25">
      <c r="A2087" s="786" t="s">
        <v>4541</v>
      </c>
      <c r="B2087" s="787">
        <v>4</v>
      </c>
      <c r="C2087" s="787" t="s">
        <v>4491</v>
      </c>
      <c r="D2087" s="787">
        <v>0.38</v>
      </c>
      <c r="E2087" s="787">
        <v>0.38</v>
      </c>
      <c r="F2087" s="788">
        <v>37635</v>
      </c>
      <c r="G2087" s="788">
        <v>37635</v>
      </c>
      <c r="H2087" s="787">
        <v>1</v>
      </c>
      <c r="J2087" s="788">
        <v>37635</v>
      </c>
      <c r="L2087" s="787">
        <v>0.18</v>
      </c>
      <c r="M2087" s="787">
        <v>10</v>
      </c>
      <c r="N2087" s="787">
        <v>0.48</v>
      </c>
      <c r="O2087" s="788">
        <v>41858</v>
      </c>
    </row>
    <row r="2088" spans="1:15" x14ac:dyDescent="0.25">
      <c r="A2088" s="786" t="s">
        <v>4542</v>
      </c>
      <c r="B2088" s="787">
        <v>4</v>
      </c>
      <c r="C2088" s="787" t="s">
        <v>4491</v>
      </c>
      <c r="D2088" s="787">
        <v>0.38</v>
      </c>
      <c r="E2088" s="787">
        <v>0.38</v>
      </c>
      <c r="F2088" s="788">
        <v>37635</v>
      </c>
      <c r="G2088" s="788">
        <v>37635</v>
      </c>
      <c r="H2088" s="787">
        <v>1</v>
      </c>
      <c r="I2088" s="788">
        <v>37009</v>
      </c>
      <c r="J2088" s="788">
        <v>37635</v>
      </c>
      <c r="L2088" s="787">
        <v>0.18</v>
      </c>
      <c r="M2088" s="787">
        <v>10</v>
      </c>
      <c r="N2088" s="787">
        <v>0.48</v>
      </c>
      <c r="O2088" s="788">
        <v>41858</v>
      </c>
    </row>
    <row r="2089" spans="1:15" x14ac:dyDescent="0.25">
      <c r="A2089" s="786" t="s">
        <v>4543</v>
      </c>
      <c r="B2089" s="787">
        <v>4</v>
      </c>
      <c r="C2089" s="787" t="s">
        <v>4491</v>
      </c>
      <c r="D2089" s="787">
        <v>4.93</v>
      </c>
      <c r="E2089" s="787">
        <v>4.93</v>
      </c>
      <c r="F2089" s="788">
        <v>37635</v>
      </c>
      <c r="G2089" s="788">
        <v>37635</v>
      </c>
      <c r="H2089" s="787">
        <v>1</v>
      </c>
      <c r="I2089" s="788">
        <v>37568</v>
      </c>
      <c r="J2089" s="788">
        <v>37635</v>
      </c>
      <c r="L2089" s="787">
        <v>0.18</v>
      </c>
      <c r="M2089" s="787">
        <v>10</v>
      </c>
      <c r="N2089" s="787">
        <v>0.48</v>
      </c>
      <c r="O2089" s="788">
        <v>41858</v>
      </c>
    </row>
    <row r="2090" spans="1:15" x14ac:dyDescent="0.25">
      <c r="A2090" s="786" t="s">
        <v>4544</v>
      </c>
      <c r="B2090" s="787">
        <v>4</v>
      </c>
      <c r="C2090" s="787" t="s">
        <v>4491</v>
      </c>
      <c r="D2090" s="787">
        <v>0.38</v>
      </c>
      <c r="E2090" s="787">
        <v>0.38</v>
      </c>
      <c r="F2090" s="788">
        <v>37635</v>
      </c>
      <c r="G2090" s="788">
        <v>37635</v>
      </c>
      <c r="H2090" s="787">
        <v>1</v>
      </c>
      <c r="J2090" s="788">
        <v>37635</v>
      </c>
      <c r="L2090" s="787">
        <v>0.18</v>
      </c>
      <c r="M2090" s="787">
        <v>10</v>
      </c>
      <c r="N2090" s="787">
        <v>0.48</v>
      </c>
      <c r="O2090" s="788">
        <v>41858</v>
      </c>
    </row>
    <row r="2091" spans="1:15" x14ac:dyDescent="0.25">
      <c r="A2091" s="786" t="s">
        <v>4545</v>
      </c>
      <c r="B2091" s="787">
        <v>4</v>
      </c>
      <c r="C2091" s="787" t="s">
        <v>4491</v>
      </c>
      <c r="D2091" s="787">
        <v>0.38</v>
      </c>
      <c r="E2091" s="787">
        <v>0.38</v>
      </c>
      <c r="F2091" s="788">
        <v>37635</v>
      </c>
      <c r="G2091" s="788">
        <v>37635</v>
      </c>
      <c r="H2091" s="787">
        <v>1</v>
      </c>
      <c r="I2091" s="788">
        <v>36949</v>
      </c>
      <c r="J2091" s="788">
        <v>37635</v>
      </c>
      <c r="L2091" s="787">
        <v>0.18</v>
      </c>
      <c r="M2091" s="787">
        <v>10</v>
      </c>
      <c r="N2091" s="787">
        <v>0.48</v>
      </c>
      <c r="O2091" s="788">
        <v>41858</v>
      </c>
    </row>
    <row r="2092" spans="1:15" x14ac:dyDescent="0.25">
      <c r="A2092" s="786" t="s">
        <v>4546</v>
      </c>
      <c r="B2092" s="787">
        <v>4</v>
      </c>
      <c r="C2092" s="787" t="s">
        <v>4491</v>
      </c>
      <c r="D2092" s="787">
        <v>0.38</v>
      </c>
      <c r="E2092" s="787">
        <v>0.38</v>
      </c>
      <c r="F2092" s="788">
        <v>37635</v>
      </c>
      <c r="G2092" s="788">
        <v>37635</v>
      </c>
      <c r="H2092" s="787">
        <v>1</v>
      </c>
      <c r="J2092" s="788">
        <v>37635</v>
      </c>
      <c r="L2092" s="787">
        <v>0.18</v>
      </c>
      <c r="M2092" s="787">
        <v>10</v>
      </c>
      <c r="N2092" s="787">
        <v>0.48</v>
      </c>
      <c r="O2092" s="788">
        <v>41858</v>
      </c>
    </row>
    <row r="2093" spans="1:15" x14ac:dyDescent="0.25">
      <c r="A2093" s="786" t="s">
        <v>4547</v>
      </c>
      <c r="B2093" s="787">
        <v>4</v>
      </c>
      <c r="C2093" s="787" t="s">
        <v>4548</v>
      </c>
      <c r="D2093" s="787">
        <v>2.86</v>
      </c>
      <c r="E2093" s="787">
        <v>2.86</v>
      </c>
      <c r="F2093" s="788">
        <v>37635</v>
      </c>
      <c r="G2093" s="788">
        <v>37635</v>
      </c>
      <c r="H2093" s="787">
        <v>1</v>
      </c>
      <c r="J2093" s="788">
        <v>37635</v>
      </c>
      <c r="L2093" s="787">
        <v>0.18</v>
      </c>
      <c r="M2093" s="787">
        <v>10</v>
      </c>
      <c r="N2093" s="787">
        <v>0.48</v>
      </c>
      <c r="O2093" s="788">
        <v>41858</v>
      </c>
    </row>
    <row r="2094" spans="1:15" x14ac:dyDescent="0.25">
      <c r="A2094" s="786" t="s">
        <v>4549</v>
      </c>
      <c r="B2094" s="787">
        <v>4</v>
      </c>
      <c r="C2094" s="787" t="s">
        <v>4548</v>
      </c>
      <c r="D2094" s="787">
        <v>2.74</v>
      </c>
      <c r="E2094" s="787">
        <v>2.74</v>
      </c>
      <c r="F2094" s="788">
        <v>37635</v>
      </c>
      <c r="G2094" s="788">
        <v>37635</v>
      </c>
      <c r="H2094" s="787">
        <v>1</v>
      </c>
      <c r="I2094" s="788">
        <v>37568</v>
      </c>
      <c r="J2094" s="788">
        <v>37635</v>
      </c>
      <c r="L2094" s="787">
        <v>0.18</v>
      </c>
      <c r="M2094" s="787">
        <v>10</v>
      </c>
      <c r="N2094" s="787">
        <v>4.2</v>
      </c>
      <c r="O2094" s="788">
        <v>41858</v>
      </c>
    </row>
    <row r="2095" spans="1:15" x14ac:dyDescent="0.25">
      <c r="A2095" s="786" t="s">
        <v>4550</v>
      </c>
      <c r="B2095" s="787">
        <v>4</v>
      </c>
      <c r="C2095" s="787" t="s">
        <v>4551</v>
      </c>
      <c r="D2095" s="787">
        <v>1.75</v>
      </c>
      <c r="E2095" s="787">
        <v>1.75</v>
      </c>
      <c r="F2095" s="788">
        <v>37635</v>
      </c>
      <c r="G2095" s="788">
        <v>37635</v>
      </c>
      <c r="H2095" s="787">
        <v>1</v>
      </c>
      <c r="J2095" s="788">
        <v>37635</v>
      </c>
      <c r="L2095" s="787">
        <v>0.18</v>
      </c>
      <c r="M2095" s="787">
        <v>10</v>
      </c>
      <c r="N2095" s="787">
        <v>0.48</v>
      </c>
      <c r="O2095" s="788">
        <v>41858</v>
      </c>
    </row>
    <row r="2096" spans="1:15" x14ac:dyDescent="0.25">
      <c r="A2096" s="786" t="s">
        <v>4552</v>
      </c>
      <c r="B2096" s="787">
        <v>4</v>
      </c>
      <c r="C2096" s="787" t="s">
        <v>4551</v>
      </c>
      <c r="D2096" s="787">
        <v>0.38</v>
      </c>
      <c r="E2096" s="787">
        <v>0.38</v>
      </c>
      <c r="F2096" s="788">
        <v>37635</v>
      </c>
      <c r="G2096" s="788">
        <v>37635</v>
      </c>
      <c r="H2096" s="787">
        <v>1</v>
      </c>
      <c r="J2096" s="788">
        <v>37635</v>
      </c>
      <c r="L2096" s="787">
        <v>0.18</v>
      </c>
      <c r="M2096" s="787">
        <v>10</v>
      </c>
      <c r="N2096" s="787">
        <v>0.48</v>
      </c>
      <c r="O2096" s="788">
        <v>41858</v>
      </c>
    </row>
    <row r="2097" spans="1:15" x14ac:dyDescent="0.25">
      <c r="A2097" s="786" t="s">
        <v>4553</v>
      </c>
      <c r="B2097" s="787">
        <v>4</v>
      </c>
      <c r="C2097" s="787" t="s">
        <v>4551</v>
      </c>
      <c r="D2097" s="787">
        <v>1.9</v>
      </c>
      <c r="E2097" s="787">
        <v>1.9</v>
      </c>
      <c r="F2097" s="788">
        <v>37635</v>
      </c>
      <c r="G2097" s="788">
        <v>37635</v>
      </c>
      <c r="H2097" s="787">
        <v>1</v>
      </c>
      <c r="I2097" s="788">
        <v>37568</v>
      </c>
      <c r="J2097" s="788">
        <v>37635</v>
      </c>
      <c r="L2097" s="787">
        <v>0.18</v>
      </c>
      <c r="M2097" s="787">
        <v>10</v>
      </c>
      <c r="N2097" s="787">
        <v>0.48</v>
      </c>
      <c r="O2097" s="788">
        <v>41858</v>
      </c>
    </row>
    <row r="2098" spans="1:15" x14ac:dyDescent="0.25">
      <c r="A2098" s="786" t="s">
        <v>4554</v>
      </c>
      <c r="B2098" s="787">
        <v>4</v>
      </c>
      <c r="C2098" s="787" t="s">
        <v>4555</v>
      </c>
      <c r="D2098" s="787">
        <v>2.86</v>
      </c>
      <c r="E2098" s="787">
        <v>2.86</v>
      </c>
      <c r="F2098" s="788">
        <v>37635</v>
      </c>
      <c r="G2098" s="788">
        <v>37635</v>
      </c>
      <c r="H2098" s="787">
        <v>1</v>
      </c>
      <c r="I2098" s="788">
        <v>37571</v>
      </c>
      <c r="J2098" s="788">
        <v>37635</v>
      </c>
      <c r="L2098" s="787">
        <v>0.18</v>
      </c>
      <c r="M2098" s="787">
        <v>10</v>
      </c>
      <c r="N2098" s="787">
        <v>0.48</v>
      </c>
      <c r="O2098" s="788">
        <v>41858</v>
      </c>
    </row>
    <row r="2099" spans="1:15" x14ac:dyDescent="0.25">
      <c r="A2099" s="786" t="s">
        <v>4556</v>
      </c>
      <c r="B2099" s="787">
        <v>4</v>
      </c>
      <c r="C2099" s="787" t="s">
        <v>4557</v>
      </c>
      <c r="D2099" s="787">
        <v>0.72</v>
      </c>
      <c r="E2099" s="787">
        <v>0.72</v>
      </c>
      <c r="F2099" s="788">
        <v>37635</v>
      </c>
      <c r="G2099" s="788">
        <v>37635</v>
      </c>
      <c r="H2099" s="787">
        <v>1</v>
      </c>
      <c r="J2099" s="788">
        <v>37635</v>
      </c>
      <c r="L2099" s="787">
        <v>0.19</v>
      </c>
      <c r="M2099" s="787">
        <v>10</v>
      </c>
      <c r="N2099" s="787">
        <v>0.27</v>
      </c>
      <c r="O2099" s="788">
        <v>41858</v>
      </c>
    </row>
    <row r="2100" spans="1:15" x14ac:dyDescent="0.25">
      <c r="A2100" s="786" t="s">
        <v>4558</v>
      </c>
      <c r="B2100" s="787">
        <v>4</v>
      </c>
      <c r="C2100" s="787" t="s">
        <v>4559</v>
      </c>
      <c r="D2100" s="787">
        <v>1.04</v>
      </c>
      <c r="E2100" s="787">
        <v>1.04</v>
      </c>
      <c r="F2100" s="788">
        <v>37635</v>
      </c>
      <c r="G2100" s="788">
        <v>37635</v>
      </c>
      <c r="H2100" s="787">
        <v>1</v>
      </c>
      <c r="I2100" s="788">
        <v>37243</v>
      </c>
      <c r="J2100" s="788">
        <v>37635</v>
      </c>
      <c r="L2100" s="787">
        <v>0.19</v>
      </c>
      <c r="M2100" s="787">
        <v>10</v>
      </c>
      <c r="N2100" s="787">
        <v>0.27</v>
      </c>
      <c r="O2100" s="788">
        <v>41858</v>
      </c>
    </row>
    <row r="2101" spans="1:15" x14ac:dyDescent="0.25">
      <c r="A2101" s="786" t="s">
        <v>4560</v>
      </c>
      <c r="B2101" s="787">
        <v>4</v>
      </c>
      <c r="C2101" s="787" t="s">
        <v>4561</v>
      </c>
      <c r="D2101" s="787">
        <v>3.88</v>
      </c>
      <c r="E2101" s="787">
        <v>3.88</v>
      </c>
      <c r="F2101" s="788">
        <v>38047</v>
      </c>
      <c r="G2101" s="788">
        <v>38364</v>
      </c>
      <c r="H2101" s="787">
        <v>1</v>
      </c>
      <c r="I2101" s="788">
        <v>38709</v>
      </c>
      <c r="J2101" s="788">
        <v>38047</v>
      </c>
      <c r="L2101" s="787">
        <v>0.65</v>
      </c>
      <c r="M2101" s="787">
        <v>10</v>
      </c>
      <c r="N2101" s="787">
        <v>1</v>
      </c>
      <c r="O2101" s="788">
        <v>42127</v>
      </c>
    </row>
    <row r="2102" spans="1:15" x14ac:dyDescent="0.25">
      <c r="A2102" s="786" t="s">
        <v>4562</v>
      </c>
      <c r="B2102" s="787">
        <v>4</v>
      </c>
      <c r="C2102" s="787" t="s">
        <v>4563</v>
      </c>
      <c r="D2102" s="787">
        <v>0.81</v>
      </c>
      <c r="E2102" s="787">
        <v>3.93</v>
      </c>
      <c r="F2102" s="788">
        <v>41813</v>
      </c>
      <c r="G2102" s="788">
        <v>42128</v>
      </c>
      <c r="H2102" s="787">
        <v>1</v>
      </c>
      <c r="I2102" s="788">
        <v>42151</v>
      </c>
      <c r="J2102" s="788">
        <v>42096</v>
      </c>
      <c r="L2102" s="787">
        <v>3.89</v>
      </c>
      <c r="M2102" s="787">
        <v>10</v>
      </c>
      <c r="N2102" s="787">
        <v>4.1900000000000004</v>
      </c>
      <c r="O2102" s="788">
        <v>42163</v>
      </c>
    </row>
    <row r="2103" spans="1:15" x14ac:dyDescent="0.25">
      <c r="A2103" s="786" t="s">
        <v>4564</v>
      </c>
      <c r="B2103" s="787">
        <v>4</v>
      </c>
      <c r="C2103" s="787" t="s">
        <v>4565</v>
      </c>
      <c r="D2103" s="787">
        <v>2.76</v>
      </c>
      <c r="E2103" s="787">
        <v>2.76</v>
      </c>
      <c r="F2103" s="788">
        <v>42128</v>
      </c>
      <c r="G2103" s="788">
        <v>42128</v>
      </c>
      <c r="H2103" s="787">
        <v>1</v>
      </c>
      <c r="I2103" s="788">
        <v>42159</v>
      </c>
      <c r="J2103" s="788">
        <v>42101</v>
      </c>
      <c r="L2103" s="787">
        <v>3.21</v>
      </c>
      <c r="M2103" s="787">
        <v>10</v>
      </c>
      <c r="N2103" s="787">
        <v>3.33</v>
      </c>
      <c r="O2103" s="788">
        <v>42163</v>
      </c>
    </row>
    <row r="2104" spans="1:15" x14ac:dyDescent="0.25">
      <c r="A2104" s="786" t="s">
        <v>4566</v>
      </c>
      <c r="B2104" s="787">
        <v>4</v>
      </c>
      <c r="C2104" s="787" t="s">
        <v>4567</v>
      </c>
      <c r="D2104" s="787">
        <v>0.54</v>
      </c>
      <c r="E2104" s="787">
        <v>0.67</v>
      </c>
      <c r="F2104" s="788">
        <v>41813</v>
      </c>
      <c r="G2104" s="788">
        <v>42058</v>
      </c>
      <c r="H2104" s="787">
        <v>1</v>
      </c>
      <c r="I2104" s="788">
        <v>42039</v>
      </c>
      <c r="J2104" s="788">
        <v>42026</v>
      </c>
      <c r="K2104" s="788">
        <v>41010</v>
      </c>
      <c r="L2104" s="787">
        <v>0.59</v>
      </c>
      <c r="M2104" s="787">
        <v>10</v>
      </c>
      <c r="N2104" s="787">
        <v>0.97</v>
      </c>
      <c r="O2104" s="788">
        <v>42163</v>
      </c>
    </row>
    <row r="2105" spans="1:15" x14ac:dyDescent="0.25">
      <c r="A2105" s="786" t="s">
        <v>4568</v>
      </c>
      <c r="B2105" s="787">
        <v>4</v>
      </c>
      <c r="C2105" s="787" t="s">
        <v>4569</v>
      </c>
      <c r="D2105" s="787">
        <v>0.16</v>
      </c>
      <c r="E2105" s="787">
        <v>0.54</v>
      </c>
      <c r="F2105" s="788">
        <v>41499</v>
      </c>
      <c r="G2105" s="788">
        <v>42058</v>
      </c>
      <c r="H2105" s="787">
        <v>1</v>
      </c>
      <c r="I2105" s="788">
        <v>42118</v>
      </c>
      <c r="J2105" s="788">
        <v>42026</v>
      </c>
      <c r="K2105" s="788">
        <v>41010</v>
      </c>
      <c r="L2105" s="787">
        <v>0.46</v>
      </c>
      <c r="M2105" s="787">
        <v>10</v>
      </c>
      <c r="N2105" s="787">
        <v>0.63</v>
      </c>
      <c r="O2105" s="788">
        <v>42163</v>
      </c>
    </row>
    <row r="2106" spans="1:15" x14ac:dyDescent="0.25">
      <c r="A2106" s="786" t="s">
        <v>4570</v>
      </c>
      <c r="B2106" s="787">
        <v>4</v>
      </c>
      <c r="C2106" s="787" t="s">
        <v>4571</v>
      </c>
      <c r="D2106" s="787">
        <v>0.49</v>
      </c>
      <c r="E2106" s="787">
        <v>0.49</v>
      </c>
      <c r="F2106" s="788">
        <v>41914</v>
      </c>
      <c r="G2106" s="788">
        <v>41943</v>
      </c>
      <c r="H2106" s="787">
        <v>1</v>
      </c>
      <c r="I2106" s="788">
        <v>42118</v>
      </c>
      <c r="J2106" s="788">
        <v>41894</v>
      </c>
      <c r="K2106" s="788">
        <v>41010</v>
      </c>
      <c r="L2106" s="787">
        <v>0.44</v>
      </c>
      <c r="M2106" s="787">
        <v>10</v>
      </c>
      <c r="N2106" s="787">
        <v>0.46</v>
      </c>
      <c r="O2106" s="788">
        <v>42163</v>
      </c>
    </row>
    <row r="2107" spans="1:15" x14ac:dyDescent="0.25">
      <c r="A2107" s="786" t="s">
        <v>4572</v>
      </c>
      <c r="B2107" s="787">
        <v>4</v>
      </c>
      <c r="C2107" s="787" t="s">
        <v>4573</v>
      </c>
      <c r="D2107" s="787">
        <v>0.51</v>
      </c>
      <c r="E2107" s="787">
        <v>1.44</v>
      </c>
      <c r="F2107" s="788">
        <v>41806</v>
      </c>
      <c r="G2107" s="788">
        <v>42058</v>
      </c>
      <c r="H2107" s="787">
        <v>1</v>
      </c>
      <c r="I2107" s="788">
        <v>42039</v>
      </c>
      <c r="J2107" s="788">
        <v>42026</v>
      </c>
      <c r="K2107" s="788">
        <v>41010</v>
      </c>
      <c r="L2107" s="787">
        <v>0.66</v>
      </c>
      <c r="M2107" s="787">
        <v>10</v>
      </c>
      <c r="N2107" s="787">
        <v>1.05</v>
      </c>
      <c r="O2107" s="788">
        <v>42163</v>
      </c>
    </row>
    <row r="2108" spans="1:15" x14ac:dyDescent="0.25">
      <c r="A2108" s="786" t="s">
        <v>4574</v>
      </c>
      <c r="B2108" s="787">
        <v>4</v>
      </c>
      <c r="C2108" s="787" t="s">
        <v>4575</v>
      </c>
      <c r="D2108" s="787">
        <v>0.36</v>
      </c>
      <c r="E2108" s="787">
        <v>0.74</v>
      </c>
      <c r="F2108" s="788">
        <v>41813</v>
      </c>
      <c r="G2108" s="788">
        <v>42013</v>
      </c>
      <c r="H2108" s="787">
        <v>1</v>
      </c>
      <c r="I2108" s="788">
        <v>42118</v>
      </c>
      <c r="J2108" s="788">
        <v>41894</v>
      </c>
      <c r="K2108" s="788">
        <v>41010</v>
      </c>
      <c r="L2108" s="787">
        <v>0.54</v>
      </c>
      <c r="M2108" s="787">
        <v>10</v>
      </c>
      <c r="N2108" s="787">
        <v>0.89</v>
      </c>
      <c r="O2108" s="788">
        <v>42163</v>
      </c>
    </row>
    <row r="2109" spans="1:15" x14ac:dyDescent="0.25">
      <c r="A2109" s="786" t="s">
        <v>4576</v>
      </c>
      <c r="B2109" s="787">
        <v>4</v>
      </c>
      <c r="C2109" s="787" t="s">
        <v>4577</v>
      </c>
      <c r="D2109" s="787">
        <v>0</v>
      </c>
      <c r="E2109" s="787">
        <v>0</v>
      </c>
      <c r="G2109" s="788">
        <v>42013</v>
      </c>
      <c r="H2109" s="787">
        <v>1</v>
      </c>
      <c r="I2109" s="788">
        <v>42118</v>
      </c>
      <c r="J2109" s="788">
        <v>41767</v>
      </c>
      <c r="L2109" s="787">
        <v>0</v>
      </c>
      <c r="M2109" s="787">
        <v>10</v>
      </c>
      <c r="N2109" s="787">
        <v>0.49</v>
      </c>
      <c r="O2109" s="788">
        <v>42163</v>
      </c>
    </row>
    <row r="2110" spans="1:15" x14ac:dyDescent="0.25">
      <c r="A2110" s="786" t="s">
        <v>4578</v>
      </c>
      <c r="B2110" s="787">
        <v>4</v>
      </c>
      <c r="C2110" s="787" t="s">
        <v>4579</v>
      </c>
      <c r="D2110" s="787">
        <v>0.19</v>
      </c>
      <c r="E2110" s="787">
        <v>2.5099999999999998</v>
      </c>
      <c r="F2110" s="788">
        <v>41813</v>
      </c>
      <c r="G2110" s="788">
        <v>42159</v>
      </c>
      <c r="H2110" s="787">
        <v>1</v>
      </c>
      <c r="I2110" s="788">
        <v>42160</v>
      </c>
      <c r="J2110" s="788">
        <v>42159</v>
      </c>
      <c r="K2110" s="788">
        <v>41422</v>
      </c>
      <c r="L2110" s="787">
        <v>1</v>
      </c>
      <c r="M2110" s="787">
        <v>10</v>
      </c>
      <c r="N2110" s="787">
        <v>3.2</v>
      </c>
      <c r="O2110" s="788">
        <v>42163</v>
      </c>
    </row>
    <row r="2111" spans="1:15" x14ac:dyDescent="0.25">
      <c r="A2111" s="786" t="s">
        <v>4580</v>
      </c>
      <c r="B2111" s="787">
        <v>4</v>
      </c>
      <c r="C2111" s="787" t="s">
        <v>4581</v>
      </c>
      <c r="D2111" s="787">
        <v>0.13</v>
      </c>
      <c r="E2111" s="787">
        <v>3.26</v>
      </c>
      <c r="F2111" s="788">
        <v>41813</v>
      </c>
      <c r="G2111" s="788">
        <v>42158</v>
      </c>
      <c r="H2111" s="787">
        <v>1</v>
      </c>
      <c r="I2111" s="788">
        <v>42160</v>
      </c>
      <c r="J2111" s="788">
        <v>42158</v>
      </c>
      <c r="K2111" s="788">
        <v>41388</v>
      </c>
      <c r="L2111" s="787">
        <v>3.51</v>
      </c>
      <c r="M2111" s="787">
        <v>10</v>
      </c>
      <c r="N2111" s="787">
        <v>4.2699999999999996</v>
      </c>
      <c r="O2111" s="788">
        <v>42163</v>
      </c>
    </row>
    <row r="2112" spans="1:15" x14ac:dyDescent="0.25">
      <c r="A2112" s="786" t="s">
        <v>4582</v>
      </c>
      <c r="B2112" s="787">
        <v>4</v>
      </c>
      <c r="C2112" s="787" t="s">
        <v>4583</v>
      </c>
      <c r="D2112" s="787">
        <v>0.2</v>
      </c>
      <c r="E2112" s="787">
        <v>6.39</v>
      </c>
      <c r="F2112" s="788">
        <v>41775</v>
      </c>
      <c r="G2112" s="788">
        <v>42163</v>
      </c>
      <c r="H2112" s="787">
        <v>1</v>
      </c>
      <c r="I2112" s="788">
        <v>42166</v>
      </c>
      <c r="J2112" s="788">
        <v>42160</v>
      </c>
      <c r="K2112" s="788">
        <v>41289</v>
      </c>
      <c r="L2112" s="787">
        <v>7.21</v>
      </c>
      <c r="M2112" s="787">
        <v>10</v>
      </c>
      <c r="N2112" s="787">
        <v>8.1199999999999992</v>
      </c>
      <c r="O2112" s="788">
        <v>42153</v>
      </c>
    </row>
    <row r="2113" spans="1:15" x14ac:dyDescent="0.25">
      <c r="A2113" s="786" t="s">
        <v>4584</v>
      </c>
      <c r="B2113" s="787">
        <v>4</v>
      </c>
      <c r="C2113" s="787" t="s">
        <v>4585</v>
      </c>
      <c r="D2113" s="787">
        <v>0.1</v>
      </c>
      <c r="E2113" s="787">
        <v>0.27</v>
      </c>
      <c r="F2113" s="788">
        <v>41775</v>
      </c>
      <c r="G2113" s="788">
        <v>42163</v>
      </c>
      <c r="H2113" s="787">
        <v>1</v>
      </c>
      <c r="I2113" s="788">
        <v>42163</v>
      </c>
      <c r="J2113" s="788">
        <v>42153</v>
      </c>
      <c r="K2113" s="788">
        <v>41347</v>
      </c>
      <c r="L2113" s="787">
        <v>0.72</v>
      </c>
      <c r="M2113" s="787">
        <v>10</v>
      </c>
      <c r="N2113" s="787">
        <v>0.32</v>
      </c>
      <c r="O2113" s="788">
        <v>42163</v>
      </c>
    </row>
    <row r="2114" spans="1:15" x14ac:dyDescent="0.25">
      <c r="A2114" s="786" t="s">
        <v>4586</v>
      </c>
      <c r="B2114" s="787">
        <v>4</v>
      </c>
      <c r="C2114" s="787" t="s">
        <v>4587</v>
      </c>
      <c r="D2114" s="787">
        <v>0.1</v>
      </c>
      <c r="E2114" s="787">
        <v>1.37</v>
      </c>
      <c r="F2114" s="788">
        <v>41813</v>
      </c>
      <c r="G2114" s="788">
        <v>42158</v>
      </c>
      <c r="H2114" s="787">
        <v>1</v>
      </c>
      <c r="I2114" s="788">
        <v>42163</v>
      </c>
      <c r="J2114" s="788">
        <v>42158</v>
      </c>
      <c r="K2114" s="788">
        <v>41388</v>
      </c>
      <c r="L2114" s="787">
        <v>1.86</v>
      </c>
      <c r="M2114" s="787">
        <v>10</v>
      </c>
      <c r="N2114" s="787">
        <v>2.2599999999999998</v>
      </c>
      <c r="O2114" s="788">
        <v>42163</v>
      </c>
    </row>
    <row r="2115" spans="1:15" x14ac:dyDescent="0.25">
      <c r="A2115" s="786" t="s">
        <v>4588</v>
      </c>
      <c r="B2115" s="787">
        <v>4</v>
      </c>
      <c r="C2115" s="787" t="s">
        <v>4589</v>
      </c>
      <c r="D2115" s="787">
        <v>0</v>
      </c>
      <c r="E2115" s="787">
        <v>0</v>
      </c>
      <c r="H2115" s="787">
        <v>1</v>
      </c>
      <c r="L2115" s="787">
        <v>0</v>
      </c>
      <c r="M2115" s="787">
        <v>10</v>
      </c>
      <c r="N2115" s="787">
        <v>4.96</v>
      </c>
      <c r="O2115" s="788">
        <v>41858</v>
      </c>
    </row>
    <row r="2116" spans="1:15" x14ac:dyDescent="0.25">
      <c r="A2116" s="786" t="s">
        <v>4590</v>
      </c>
      <c r="B2116" s="787">
        <v>4</v>
      </c>
      <c r="C2116" s="787" t="s">
        <v>4591</v>
      </c>
      <c r="D2116" s="787">
        <v>0</v>
      </c>
      <c r="E2116" s="787">
        <v>0</v>
      </c>
      <c r="H2116" s="787">
        <v>1</v>
      </c>
      <c r="L2116" s="787">
        <v>0</v>
      </c>
      <c r="M2116" s="787">
        <v>10</v>
      </c>
      <c r="N2116" s="787">
        <v>0.27</v>
      </c>
      <c r="O2116" s="788">
        <v>41858</v>
      </c>
    </row>
    <row r="2117" spans="1:15" x14ac:dyDescent="0.25">
      <c r="A2117" s="786" t="s">
        <v>4592</v>
      </c>
      <c r="B2117" s="787">
        <v>4</v>
      </c>
      <c r="C2117" s="787" t="s">
        <v>4593</v>
      </c>
      <c r="D2117" s="787">
        <v>0</v>
      </c>
      <c r="E2117" s="787">
        <v>0</v>
      </c>
      <c r="H2117" s="787">
        <v>1</v>
      </c>
      <c r="L2117" s="787">
        <v>0</v>
      </c>
      <c r="M2117" s="787">
        <v>10</v>
      </c>
      <c r="N2117" s="787">
        <v>21.3</v>
      </c>
      <c r="O2117" s="788">
        <v>42146</v>
      </c>
    </row>
    <row r="2118" spans="1:15" x14ac:dyDescent="0.25">
      <c r="A2118" s="786" t="s">
        <v>4594</v>
      </c>
      <c r="B2118" s="787">
        <v>4</v>
      </c>
      <c r="C2118" s="787" t="s">
        <v>4595</v>
      </c>
      <c r="D2118" s="787">
        <v>0</v>
      </c>
      <c r="E2118" s="787">
        <v>0</v>
      </c>
      <c r="H2118" s="787">
        <v>1</v>
      </c>
      <c r="L2118" s="787">
        <v>0</v>
      </c>
      <c r="M2118" s="787">
        <v>10</v>
      </c>
      <c r="N2118" s="787">
        <v>29.5</v>
      </c>
      <c r="O2118" s="788">
        <v>42146</v>
      </c>
    </row>
    <row r="2119" spans="1:15" x14ac:dyDescent="0.25">
      <c r="A2119" s="786" t="s">
        <v>4596</v>
      </c>
      <c r="B2119" s="787">
        <v>4</v>
      </c>
      <c r="C2119" s="787" t="s">
        <v>4551</v>
      </c>
      <c r="D2119" s="787">
        <v>1.42</v>
      </c>
      <c r="E2119" s="787">
        <v>1.42</v>
      </c>
      <c r="F2119" s="788">
        <v>38047</v>
      </c>
      <c r="G2119" s="788">
        <v>38047</v>
      </c>
      <c r="H2119" s="787">
        <v>6</v>
      </c>
      <c r="I2119" s="788">
        <v>38133</v>
      </c>
      <c r="J2119" s="788">
        <v>38047</v>
      </c>
      <c r="L2119" s="787">
        <v>15.98</v>
      </c>
      <c r="M2119" s="787">
        <v>10</v>
      </c>
      <c r="N2119" s="787">
        <v>15.92</v>
      </c>
      <c r="O2119" s="788">
        <v>41814</v>
      </c>
    </row>
    <row r="2120" spans="1:15" x14ac:dyDescent="0.25">
      <c r="A2120" s="786" t="s">
        <v>4597</v>
      </c>
      <c r="B2120" s="787">
        <v>4</v>
      </c>
      <c r="C2120" s="787" t="s">
        <v>4598</v>
      </c>
      <c r="D2120" s="787">
        <v>0.82</v>
      </c>
      <c r="E2120" s="787">
        <v>1.25</v>
      </c>
      <c r="F2120" s="788">
        <v>41813</v>
      </c>
      <c r="G2120" s="788">
        <v>42160</v>
      </c>
      <c r="H2120" s="787">
        <v>1</v>
      </c>
      <c r="I2120" s="788">
        <v>42163</v>
      </c>
      <c r="J2120" s="788">
        <v>42160</v>
      </c>
      <c r="L2120" s="787">
        <v>1.17</v>
      </c>
      <c r="M2120" s="787">
        <v>10</v>
      </c>
      <c r="N2120" s="787">
        <v>1.95</v>
      </c>
      <c r="O2120" s="788">
        <v>42163</v>
      </c>
    </row>
    <row r="2121" spans="1:15" x14ac:dyDescent="0.25">
      <c r="A2121" s="786" t="s">
        <v>4599</v>
      </c>
      <c r="B2121" s="787">
        <v>4</v>
      </c>
      <c r="C2121" s="787" t="s">
        <v>4600</v>
      </c>
      <c r="D2121" s="787">
        <v>0.37</v>
      </c>
      <c r="E2121" s="787">
        <v>0.37</v>
      </c>
      <c r="F2121" s="788">
        <v>37635</v>
      </c>
      <c r="G2121" s="788">
        <v>37635</v>
      </c>
      <c r="H2121" s="787">
        <v>1</v>
      </c>
      <c r="I2121" s="788">
        <v>37278</v>
      </c>
      <c r="J2121" s="788">
        <v>37635</v>
      </c>
      <c r="L2121" s="787">
        <v>0.18</v>
      </c>
      <c r="M2121" s="787">
        <v>10</v>
      </c>
      <c r="N2121" s="787">
        <v>0.42</v>
      </c>
      <c r="O2121" s="788">
        <v>41858</v>
      </c>
    </row>
    <row r="2122" spans="1:15" x14ac:dyDescent="0.25">
      <c r="A2122" s="786" t="s">
        <v>4601</v>
      </c>
      <c r="B2122" s="787">
        <v>4</v>
      </c>
      <c r="C2122" s="787" t="s">
        <v>4602</v>
      </c>
      <c r="D2122" s="787">
        <v>0.82</v>
      </c>
      <c r="E2122" s="787">
        <v>3.19</v>
      </c>
      <c r="F2122" s="788">
        <v>41813</v>
      </c>
      <c r="G2122" s="788">
        <v>42156</v>
      </c>
      <c r="H2122" s="787">
        <v>1</v>
      </c>
      <c r="I2122" s="788">
        <v>42163</v>
      </c>
      <c r="J2122" s="788">
        <v>42156</v>
      </c>
      <c r="L2122" s="787">
        <v>3.03</v>
      </c>
      <c r="M2122" s="787">
        <v>10</v>
      </c>
      <c r="N2122" s="787">
        <v>3.94</v>
      </c>
      <c r="O2122" s="788">
        <v>42163</v>
      </c>
    </row>
    <row r="2123" spans="1:15" x14ac:dyDescent="0.25">
      <c r="A2123" s="786" t="s">
        <v>4603</v>
      </c>
      <c r="B2123" s="787">
        <v>4</v>
      </c>
      <c r="C2123" s="787" t="s">
        <v>4604</v>
      </c>
      <c r="D2123" s="787">
        <v>2.21</v>
      </c>
      <c r="E2123" s="787">
        <v>2.8</v>
      </c>
      <c r="F2123" s="788">
        <v>41886</v>
      </c>
      <c r="G2123" s="788">
        <v>42158</v>
      </c>
      <c r="H2123" s="787">
        <v>1</v>
      </c>
      <c r="I2123" s="788">
        <v>42163</v>
      </c>
      <c r="J2123" s="788">
        <v>42158</v>
      </c>
      <c r="L2123" s="787">
        <v>2.57</v>
      </c>
      <c r="M2123" s="787">
        <v>10</v>
      </c>
      <c r="N2123" s="787">
        <v>3.15</v>
      </c>
      <c r="O2123" s="788">
        <v>42163</v>
      </c>
    </row>
    <row r="2124" spans="1:15" x14ac:dyDescent="0.25">
      <c r="A2124" s="786" t="s">
        <v>4605</v>
      </c>
      <c r="B2124" s="787">
        <v>4</v>
      </c>
      <c r="C2124" s="787" t="s">
        <v>4606</v>
      </c>
      <c r="D2124" s="787">
        <v>0.36</v>
      </c>
      <c r="E2124" s="787">
        <v>2.4</v>
      </c>
      <c r="F2124" s="788">
        <v>41813</v>
      </c>
      <c r="G2124" s="788">
        <v>42160</v>
      </c>
      <c r="H2124" s="787">
        <v>1</v>
      </c>
      <c r="I2124" s="788">
        <v>42163</v>
      </c>
      <c r="J2124" s="788">
        <v>42143</v>
      </c>
      <c r="L2124" s="787">
        <v>2.2799999999999998</v>
      </c>
      <c r="M2124" s="787">
        <v>10</v>
      </c>
      <c r="N2124" s="787">
        <v>3.06</v>
      </c>
      <c r="O2124" s="788">
        <v>42163</v>
      </c>
    </row>
    <row r="2125" spans="1:15" x14ac:dyDescent="0.25">
      <c r="A2125" s="786" t="s">
        <v>4607</v>
      </c>
      <c r="B2125" s="787">
        <v>4</v>
      </c>
      <c r="C2125" s="787" t="s">
        <v>4608</v>
      </c>
      <c r="D2125" s="787">
        <v>4.57</v>
      </c>
      <c r="E2125" s="787">
        <v>4.57</v>
      </c>
      <c r="F2125" s="788">
        <v>39101</v>
      </c>
      <c r="G2125" s="788">
        <v>39101</v>
      </c>
      <c r="H2125" s="787">
        <v>6</v>
      </c>
      <c r="I2125" s="788">
        <v>39780</v>
      </c>
      <c r="J2125" s="788">
        <v>39101</v>
      </c>
      <c r="L2125" s="787">
        <v>5.98</v>
      </c>
      <c r="M2125" s="787">
        <v>20</v>
      </c>
      <c r="N2125" s="787">
        <v>5.9</v>
      </c>
      <c r="O2125" s="788">
        <v>41822</v>
      </c>
    </row>
    <row r="2126" spans="1:15" x14ac:dyDescent="0.25">
      <c r="A2126" s="786" t="s">
        <v>4609</v>
      </c>
      <c r="B2126" s="787">
        <v>4</v>
      </c>
      <c r="C2126" s="787" t="s">
        <v>4610</v>
      </c>
      <c r="D2126" s="787">
        <v>0.28000000000000003</v>
      </c>
      <c r="E2126" s="787">
        <v>0.84</v>
      </c>
      <c r="F2126" s="788">
        <v>40659</v>
      </c>
      <c r="G2126" s="788">
        <v>42143</v>
      </c>
      <c r="H2126" s="787">
        <v>1</v>
      </c>
      <c r="I2126" s="788">
        <v>42163</v>
      </c>
      <c r="J2126" s="788">
        <v>42143</v>
      </c>
      <c r="L2126" s="787">
        <v>0.61</v>
      </c>
      <c r="M2126" s="787">
        <v>10</v>
      </c>
      <c r="N2126" s="787">
        <v>1.53</v>
      </c>
      <c r="O2126" s="788">
        <v>42163</v>
      </c>
    </row>
    <row r="2127" spans="1:15" x14ac:dyDescent="0.25">
      <c r="A2127" s="786" t="s">
        <v>4611</v>
      </c>
      <c r="B2127" s="787">
        <v>4</v>
      </c>
      <c r="C2127" s="787" t="s">
        <v>4612</v>
      </c>
      <c r="D2127" s="787">
        <v>0.14000000000000001</v>
      </c>
      <c r="E2127" s="787">
        <v>3.16</v>
      </c>
      <c r="F2127" s="788">
        <v>41813</v>
      </c>
      <c r="G2127" s="788">
        <v>42165</v>
      </c>
      <c r="H2127" s="787">
        <v>1</v>
      </c>
      <c r="I2127" s="788">
        <v>42160</v>
      </c>
      <c r="J2127" s="788">
        <v>42165</v>
      </c>
      <c r="L2127" s="787">
        <v>2.17</v>
      </c>
      <c r="M2127" s="787">
        <v>10</v>
      </c>
      <c r="N2127" s="787">
        <v>3.34</v>
      </c>
      <c r="O2127" s="788">
        <v>42163</v>
      </c>
    </row>
    <row r="2128" spans="1:15" x14ac:dyDescent="0.25">
      <c r="A2128" s="786" t="s">
        <v>4613</v>
      </c>
      <c r="B2128" s="787">
        <v>4</v>
      </c>
      <c r="C2128" s="787" t="s">
        <v>4614</v>
      </c>
      <c r="D2128" s="787">
        <v>0.4</v>
      </c>
      <c r="E2128" s="787">
        <v>3.09</v>
      </c>
      <c r="F2128" s="788">
        <v>41180</v>
      </c>
      <c r="G2128" s="788">
        <v>42146</v>
      </c>
      <c r="H2128" s="787">
        <v>1</v>
      </c>
      <c r="I2128" s="788">
        <v>42160</v>
      </c>
      <c r="J2128" s="788">
        <v>42146</v>
      </c>
      <c r="L2128" s="787">
        <v>2.46</v>
      </c>
      <c r="M2128" s="787">
        <v>10</v>
      </c>
      <c r="N2128" s="787">
        <v>3.57</v>
      </c>
      <c r="O2128" s="788">
        <v>42163</v>
      </c>
    </row>
    <row r="2129" spans="1:15" x14ac:dyDescent="0.25">
      <c r="A2129" s="786" t="s">
        <v>4615</v>
      </c>
      <c r="B2129" s="787">
        <v>4</v>
      </c>
      <c r="C2129" s="787" t="s">
        <v>4616</v>
      </c>
      <c r="D2129" s="787">
        <v>0.48</v>
      </c>
      <c r="E2129" s="787">
        <v>0.48</v>
      </c>
      <c r="F2129" s="788">
        <v>38047</v>
      </c>
      <c r="G2129" s="788">
        <v>38047</v>
      </c>
      <c r="H2129" s="787">
        <v>1</v>
      </c>
      <c r="J2129" s="788">
        <v>38047</v>
      </c>
      <c r="L2129" s="787">
        <v>0.28000000000000003</v>
      </c>
      <c r="M2129" s="787">
        <v>10</v>
      </c>
      <c r="N2129" s="787">
        <v>0.49</v>
      </c>
      <c r="O2129" s="788">
        <v>41858</v>
      </c>
    </row>
    <row r="2130" spans="1:15" x14ac:dyDescent="0.25">
      <c r="A2130" s="786" t="s">
        <v>4617</v>
      </c>
      <c r="B2130" s="787">
        <v>4</v>
      </c>
      <c r="C2130" s="787" t="s">
        <v>4618</v>
      </c>
      <c r="D2130" s="787">
        <v>0</v>
      </c>
      <c r="E2130" s="787">
        <v>0</v>
      </c>
      <c r="F2130" s="788">
        <v>41806</v>
      </c>
      <c r="G2130" s="788">
        <v>41806</v>
      </c>
      <c r="H2130" s="787">
        <v>1</v>
      </c>
      <c r="I2130" s="788">
        <v>37355</v>
      </c>
      <c r="J2130" s="788">
        <v>41758</v>
      </c>
      <c r="L2130" s="787">
        <v>0.28000000000000003</v>
      </c>
      <c r="M2130" s="787">
        <v>10</v>
      </c>
      <c r="N2130" s="787">
        <v>0.49</v>
      </c>
      <c r="O2130" s="788">
        <v>41858</v>
      </c>
    </row>
    <row r="2131" spans="1:15" x14ac:dyDescent="0.25">
      <c r="A2131" s="786" t="s">
        <v>4619</v>
      </c>
      <c r="B2131" s="787">
        <v>4</v>
      </c>
      <c r="C2131" s="787" t="s">
        <v>4620</v>
      </c>
      <c r="D2131" s="787">
        <v>4.9800000000000004</v>
      </c>
      <c r="E2131" s="787">
        <v>4.9800000000000004</v>
      </c>
      <c r="F2131" s="788">
        <v>38047</v>
      </c>
      <c r="G2131" s="788">
        <v>38736</v>
      </c>
      <c r="H2131" s="787">
        <v>1</v>
      </c>
      <c r="I2131" s="788">
        <v>40998</v>
      </c>
      <c r="J2131" s="788">
        <v>38047</v>
      </c>
      <c r="L2131" s="787">
        <v>1.87</v>
      </c>
      <c r="M2131" s="787">
        <v>10</v>
      </c>
      <c r="N2131" s="787">
        <v>2.21</v>
      </c>
      <c r="O2131" s="788">
        <v>42127</v>
      </c>
    </row>
    <row r="2132" spans="1:15" x14ac:dyDescent="0.25">
      <c r="A2132" s="786" t="s">
        <v>4621</v>
      </c>
      <c r="B2132" s="787">
        <v>4</v>
      </c>
      <c r="C2132" s="787" t="s">
        <v>4618</v>
      </c>
      <c r="D2132" s="787">
        <v>5.12</v>
      </c>
      <c r="E2132" s="787">
        <v>5.12</v>
      </c>
      <c r="F2132" s="788">
        <v>37635</v>
      </c>
      <c r="G2132" s="788">
        <v>37635</v>
      </c>
      <c r="H2132" s="787">
        <v>1</v>
      </c>
      <c r="J2132" s="788">
        <v>37635</v>
      </c>
      <c r="L2132" s="787">
        <v>5.12</v>
      </c>
      <c r="M2132" s="787">
        <v>10</v>
      </c>
      <c r="N2132" s="787">
        <v>0</v>
      </c>
      <c r="O2132" s="788">
        <v>41858</v>
      </c>
    </row>
    <row r="2133" spans="1:15" x14ac:dyDescent="0.25">
      <c r="A2133" s="786" t="s">
        <v>4622</v>
      </c>
      <c r="B2133" s="787">
        <v>4</v>
      </c>
      <c r="C2133" s="787" t="s">
        <v>4551</v>
      </c>
      <c r="D2133" s="787">
        <v>1.1599999999999999</v>
      </c>
      <c r="E2133" s="787">
        <v>1.1599999999999999</v>
      </c>
      <c r="F2133" s="788">
        <v>37635</v>
      </c>
      <c r="G2133" s="788">
        <v>37635</v>
      </c>
      <c r="H2133" s="787">
        <v>1</v>
      </c>
      <c r="I2133" s="788">
        <v>38133</v>
      </c>
      <c r="J2133" s="788">
        <v>37635</v>
      </c>
      <c r="L2133" s="787">
        <v>1.1100000000000001</v>
      </c>
      <c r="M2133" s="787">
        <v>10</v>
      </c>
      <c r="N2133" s="787">
        <v>1.63</v>
      </c>
      <c r="O2133" s="788">
        <v>42144</v>
      </c>
    </row>
    <row r="2134" spans="1:15" x14ac:dyDescent="0.25">
      <c r="A2134" s="786" t="s">
        <v>4623</v>
      </c>
      <c r="B2134" s="787">
        <v>4</v>
      </c>
      <c r="C2134" s="787" t="s">
        <v>4551</v>
      </c>
      <c r="D2134" s="787">
        <v>1.48</v>
      </c>
      <c r="E2134" s="787">
        <v>1.48</v>
      </c>
      <c r="F2134" s="788">
        <v>38047</v>
      </c>
      <c r="G2134" s="788">
        <v>38736</v>
      </c>
      <c r="H2134" s="787">
        <v>1</v>
      </c>
      <c r="I2134" s="788">
        <v>39134</v>
      </c>
      <c r="J2134" s="788">
        <v>38047</v>
      </c>
      <c r="L2134" s="787">
        <v>0.96</v>
      </c>
      <c r="M2134" s="787">
        <v>10</v>
      </c>
      <c r="N2134" s="787">
        <v>1.39</v>
      </c>
      <c r="O2134" s="788">
        <v>41858</v>
      </c>
    </row>
    <row r="2135" spans="1:15" x14ac:dyDescent="0.25">
      <c r="A2135" s="786" t="s">
        <v>4624</v>
      </c>
      <c r="B2135" s="787">
        <v>4</v>
      </c>
      <c r="C2135" s="787" t="s">
        <v>4625</v>
      </c>
      <c r="D2135" s="787">
        <v>1.49</v>
      </c>
      <c r="E2135" s="787">
        <v>16.47</v>
      </c>
      <c r="F2135" s="788">
        <v>39741</v>
      </c>
      <c r="G2135" s="788">
        <v>42064</v>
      </c>
      <c r="H2135" s="787">
        <v>1</v>
      </c>
      <c r="I2135" s="788">
        <v>41953</v>
      </c>
      <c r="J2135" s="788">
        <v>42055</v>
      </c>
      <c r="K2135" s="788">
        <v>41563</v>
      </c>
      <c r="L2135" s="787">
        <v>14.2</v>
      </c>
      <c r="M2135" s="787">
        <v>20</v>
      </c>
      <c r="N2135" s="787">
        <v>15.27</v>
      </c>
      <c r="O2135" s="788">
        <v>41858</v>
      </c>
    </row>
    <row r="2136" spans="1:15" x14ac:dyDescent="0.25">
      <c r="A2136" s="786" t="s">
        <v>4626</v>
      </c>
      <c r="B2136" s="787">
        <v>4</v>
      </c>
      <c r="C2136" s="787" t="s">
        <v>4627</v>
      </c>
      <c r="D2136" s="787">
        <v>0.18</v>
      </c>
      <c r="E2136" s="787">
        <v>1.0900000000000001</v>
      </c>
      <c r="F2136" s="788">
        <v>41813</v>
      </c>
      <c r="G2136" s="788">
        <v>42058</v>
      </c>
      <c r="H2136" s="787">
        <v>1</v>
      </c>
      <c r="I2136" s="788">
        <v>42039</v>
      </c>
      <c r="J2136" s="788">
        <v>42027</v>
      </c>
      <c r="L2136" s="787">
        <v>0.59</v>
      </c>
      <c r="M2136" s="787">
        <v>10</v>
      </c>
      <c r="N2136" s="787">
        <v>0.84</v>
      </c>
      <c r="O2136" s="788">
        <v>42163</v>
      </c>
    </row>
    <row r="2137" spans="1:15" x14ac:dyDescent="0.25">
      <c r="A2137" s="786" t="s">
        <v>4628</v>
      </c>
      <c r="B2137" s="787">
        <v>4</v>
      </c>
      <c r="C2137" s="787" t="s">
        <v>4629</v>
      </c>
      <c r="D2137" s="787">
        <v>0.18</v>
      </c>
      <c r="E2137" s="787">
        <v>0.55000000000000004</v>
      </c>
      <c r="F2137" s="788">
        <v>41813</v>
      </c>
      <c r="G2137" s="788">
        <v>42160</v>
      </c>
      <c r="H2137" s="787">
        <v>1</v>
      </c>
      <c r="I2137" s="788">
        <v>42163</v>
      </c>
      <c r="J2137" s="788">
        <v>42156</v>
      </c>
      <c r="L2137" s="787">
        <v>0.56000000000000005</v>
      </c>
      <c r="M2137" s="787">
        <v>10</v>
      </c>
      <c r="N2137" s="787">
        <v>1.17</v>
      </c>
      <c r="O2137" s="788">
        <v>42163</v>
      </c>
    </row>
    <row r="2138" spans="1:15" x14ac:dyDescent="0.25">
      <c r="A2138" s="786" t="s">
        <v>4630</v>
      </c>
      <c r="B2138" s="787">
        <v>4</v>
      </c>
      <c r="C2138" s="787" t="s">
        <v>4631</v>
      </c>
      <c r="D2138" s="787">
        <v>0.19</v>
      </c>
      <c r="E2138" s="787">
        <v>0.56000000000000005</v>
      </c>
      <c r="F2138" s="788">
        <v>42118</v>
      </c>
      <c r="G2138" s="788">
        <v>42160</v>
      </c>
      <c r="H2138" s="787">
        <v>1</v>
      </c>
      <c r="I2138" s="788">
        <v>42163</v>
      </c>
      <c r="J2138" s="788">
        <v>42156</v>
      </c>
      <c r="L2138" s="787">
        <v>8.6999999999999993</v>
      </c>
      <c r="M2138" s="787">
        <v>10</v>
      </c>
      <c r="N2138" s="787">
        <v>1.21</v>
      </c>
      <c r="O2138" s="788">
        <v>42163</v>
      </c>
    </row>
    <row r="2139" spans="1:15" x14ac:dyDescent="0.25">
      <c r="A2139" s="786" t="s">
        <v>4632</v>
      </c>
      <c r="B2139" s="787">
        <v>4</v>
      </c>
      <c r="C2139" s="787" t="s">
        <v>4600</v>
      </c>
      <c r="D2139" s="787">
        <v>0.38</v>
      </c>
      <c r="E2139" s="787">
        <v>0.38</v>
      </c>
      <c r="F2139" s="788">
        <v>37635</v>
      </c>
      <c r="G2139" s="788">
        <v>37635</v>
      </c>
      <c r="H2139" s="787">
        <v>1</v>
      </c>
      <c r="J2139" s="788">
        <v>37635</v>
      </c>
      <c r="L2139" s="787">
        <v>2.74</v>
      </c>
      <c r="M2139" s="787">
        <v>10</v>
      </c>
      <c r="N2139" s="787">
        <v>3.7</v>
      </c>
      <c r="O2139" s="788">
        <v>41858</v>
      </c>
    </row>
    <row r="2140" spans="1:15" x14ac:dyDescent="0.25">
      <c r="A2140" s="786" t="s">
        <v>4633</v>
      </c>
      <c r="B2140" s="787">
        <v>4</v>
      </c>
      <c r="C2140" s="787" t="s">
        <v>4600</v>
      </c>
      <c r="D2140" s="787">
        <v>0.38</v>
      </c>
      <c r="E2140" s="787">
        <v>0.38</v>
      </c>
      <c r="F2140" s="788">
        <v>37635</v>
      </c>
      <c r="G2140" s="788">
        <v>37635</v>
      </c>
      <c r="H2140" s="787">
        <v>1</v>
      </c>
      <c r="J2140" s="788">
        <v>37635</v>
      </c>
      <c r="L2140" s="787">
        <v>10.34</v>
      </c>
      <c r="M2140" s="787">
        <v>10</v>
      </c>
      <c r="N2140" s="787">
        <v>13.5</v>
      </c>
      <c r="O2140" s="788">
        <v>41858</v>
      </c>
    </row>
    <row r="2141" spans="1:15" x14ac:dyDescent="0.25">
      <c r="A2141" s="786" t="s">
        <v>4634</v>
      </c>
      <c r="B2141" s="787">
        <v>4</v>
      </c>
      <c r="C2141" s="787" t="s">
        <v>4600</v>
      </c>
      <c r="D2141" s="787">
        <v>0.38</v>
      </c>
      <c r="E2141" s="787">
        <v>0.38</v>
      </c>
      <c r="F2141" s="788">
        <v>37635</v>
      </c>
      <c r="G2141" s="788">
        <v>37635</v>
      </c>
      <c r="H2141" s="787">
        <v>1</v>
      </c>
      <c r="J2141" s="788">
        <v>37635</v>
      </c>
      <c r="L2141" s="787">
        <v>1.34</v>
      </c>
      <c r="M2141" s="787">
        <v>10</v>
      </c>
      <c r="N2141" s="787">
        <v>1.9</v>
      </c>
      <c r="O2141" s="788">
        <v>41858</v>
      </c>
    </row>
    <row r="2142" spans="1:15" x14ac:dyDescent="0.25">
      <c r="A2142" s="786" t="s">
        <v>4635</v>
      </c>
      <c r="B2142" s="787">
        <v>4</v>
      </c>
      <c r="C2142" s="787" t="s">
        <v>4600</v>
      </c>
      <c r="D2142" s="787">
        <v>0.38</v>
      </c>
      <c r="E2142" s="787">
        <v>0.38</v>
      </c>
      <c r="F2142" s="788">
        <v>37635</v>
      </c>
      <c r="G2142" s="788">
        <v>37635</v>
      </c>
      <c r="H2142" s="787">
        <v>1</v>
      </c>
      <c r="J2142" s="788">
        <v>37635</v>
      </c>
      <c r="L2142" s="787">
        <v>0.9</v>
      </c>
      <c r="M2142" s="787">
        <v>10</v>
      </c>
      <c r="N2142" s="787">
        <v>1.32</v>
      </c>
      <c r="O2142" s="788">
        <v>41858</v>
      </c>
    </row>
    <row r="2143" spans="1:15" x14ac:dyDescent="0.25">
      <c r="A2143" s="786" t="s">
        <v>4636</v>
      </c>
      <c r="B2143" s="787">
        <v>4</v>
      </c>
      <c r="C2143" s="787" t="s">
        <v>4600</v>
      </c>
      <c r="D2143" s="787">
        <v>0.38</v>
      </c>
      <c r="E2143" s="787">
        <v>0.38</v>
      </c>
      <c r="F2143" s="788">
        <v>37635</v>
      </c>
      <c r="G2143" s="788">
        <v>37635</v>
      </c>
      <c r="H2143" s="787">
        <v>1</v>
      </c>
      <c r="J2143" s="788">
        <v>37635</v>
      </c>
      <c r="L2143" s="787">
        <v>6.93</v>
      </c>
      <c r="M2143" s="787">
        <v>10</v>
      </c>
      <c r="N2143" s="787">
        <v>9.1</v>
      </c>
      <c r="O2143" s="788">
        <v>41858</v>
      </c>
    </row>
    <row r="2144" spans="1:15" x14ac:dyDescent="0.25">
      <c r="A2144" s="786" t="s">
        <v>4637</v>
      </c>
      <c r="B2144" s="787">
        <v>4</v>
      </c>
      <c r="C2144" s="787" t="s">
        <v>4600</v>
      </c>
      <c r="D2144" s="787">
        <v>0.38</v>
      </c>
      <c r="E2144" s="787">
        <v>0.38</v>
      </c>
      <c r="F2144" s="788">
        <v>37635</v>
      </c>
      <c r="G2144" s="788">
        <v>37635</v>
      </c>
      <c r="H2144" s="787">
        <v>1</v>
      </c>
      <c r="I2144" s="788">
        <v>37039</v>
      </c>
      <c r="J2144" s="788">
        <v>37635</v>
      </c>
      <c r="L2144" s="787">
        <v>3.73</v>
      </c>
      <c r="M2144" s="787">
        <v>10</v>
      </c>
      <c r="N2144" s="787">
        <v>4.97</v>
      </c>
      <c r="O2144" s="788">
        <v>41858</v>
      </c>
    </row>
    <row r="2145" spans="1:15" x14ac:dyDescent="0.25">
      <c r="A2145" s="786" t="s">
        <v>4638</v>
      </c>
      <c r="B2145" s="787">
        <v>4</v>
      </c>
      <c r="C2145" s="787" t="s">
        <v>4600</v>
      </c>
      <c r="D2145" s="787">
        <v>0.38</v>
      </c>
      <c r="E2145" s="787">
        <v>0.38</v>
      </c>
      <c r="F2145" s="788">
        <v>37635</v>
      </c>
      <c r="G2145" s="788">
        <v>37635</v>
      </c>
      <c r="H2145" s="787">
        <v>1</v>
      </c>
      <c r="J2145" s="788">
        <v>37635</v>
      </c>
      <c r="L2145" s="787">
        <v>4.38</v>
      </c>
      <c r="M2145" s="787">
        <v>10</v>
      </c>
      <c r="N2145" s="787">
        <v>5.81</v>
      </c>
      <c r="O2145" s="788">
        <v>41858</v>
      </c>
    </row>
    <row r="2146" spans="1:15" x14ac:dyDescent="0.25">
      <c r="A2146" s="786" t="s">
        <v>4639</v>
      </c>
      <c r="B2146" s="787">
        <v>4</v>
      </c>
      <c r="C2146" s="787" t="s">
        <v>4600</v>
      </c>
      <c r="D2146" s="787">
        <v>0.38</v>
      </c>
      <c r="E2146" s="787">
        <v>0.38</v>
      </c>
      <c r="F2146" s="788">
        <v>37635</v>
      </c>
      <c r="G2146" s="788">
        <v>37635</v>
      </c>
      <c r="H2146" s="787">
        <v>1</v>
      </c>
      <c r="J2146" s="788">
        <v>37635</v>
      </c>
      <c r="L2146" s="787">
        <v>4.04</v>
      </c>
      <c r="M2146" s="787">
        <v>10</v>
      </c>
      <c r="N2146" s="787">
        <v>5.37</v>
      </c>
      <c r="O2146" s="788">
        <v>41858</v>
      </c>
    </row>
    <row r="2147" spans="1:15" x14ac:dyDescent="0.25">
      <c r="A2147" s="786" t="s">
        <v>4640</v>
      </c>
      <c r="B2147" s="787">
        <v>4</v>
      </c>
      <c r="C2147" s="787" t="s">
        <v>4600</v>
      </c>
      <c r="D2147" s="787">
        <v>0.38</v>
      </c>
      <c r="E2147" s="787">
        <v>0.38</v>
      </c>
      <c r="F2147" s="788">
        <v>37635</v>
      </c>
      <c r="G2147" s="788">
        <v>37635</v>
      </c>
      <c r="H2147" s="787">
        <v>1</v>
      </c>
      <c r="J2147" s="788">
        <v>37635</v>
      </c>
      <c r="L2147" s="787">
        <v>6.25</v>
      </c>
      <c r="M2147" s="787">
        <v>10</v>
      </c>
      <c r="N2147" s="787">
        <v>8.2200000000000006</v>
      </c>
      <c r="O2147" s="788">
        <v>41858</v>
      </c>
    </row>
    <row r="2148" spans="1:15" x14ac:dyDescent="0.25">
      <c r="A2148" s="786" t="s">
        <v>4641</v>
      </c>
      <c r="B2148" s="787">
        <v>4</v>
      </c>
      <c r="C2148" s="787" t="s">
        <v>4642</v>
      </c>
      <c r="D2148" s="787">
        <v>0.38</v>
      </c>
      <c r="E2148" s="787">
        <v>0.38</v>
      </c>
      <c r="F2148" s="788">
        <v>37635</v>
      </c>
      <c r="G2148" s="788">
        <v>37635</v>
      </c>
      <c r="H2148" s="787">
        <v>1</v>
      </c>
      <c r="J2148" s="788">
        <v>37635</v>
      </c>
      <c r="L2148" s="787">
        <v>2.92</v>
      </c>
      <c r="M2148" s="787">
        <v>10</v>
      </c>
      <c r="N2148" s="787">
        <v>3.93</v>
      </c>
      <c r="O2148" s="788">
        <v>41858</v>
      </c>
    </row>
    <row r="2149" spans="1:15" x14ac:dyDescent="0.25">
      <c r="A2149" s="786" t="s">
        <v>4643</v>
      </c>
      <c r="B2149" s="787">
        <v>4</v>
      </c>
      <c r="C2149" s="787" t="s">
        <v>4644</v>
      </c>
      <c r="D2149" s="787">
        <v>0.38</v>
      </c>
      <c r="E2149" s="787">
        <v>0.38</v>
      </c>
      <c r="F2149" s="788">
        <v>37635</v>
      </c>
      <c r="G2149" s="788">
        <v>37635</v>
      </c>
      <c r="H2149" s="787">
        <v>1</v>
      </c>
      <c r="I2149" s="788">
        <v>37039</v>
      </c>
      <c r="J2149" s="788">
        <v>37635</v>
      </c>
      <c r="L2149" s="787">
        <v>2.5499999999999998</v>
      </c>
      <c r="M2149" s="787">
        <v>10</v>
      </c>
      <c r="N2149" s="787">
        <v>3.45</v>
      </c>
      <c r="O2149" s="788">
        <v>41858</v>
      </c>
    </row>
    <row r="2150" spans="1:15" x14ac:dyDescent="0.25">
      <c r="A2150" s="786" t="s">
        <v>4645</v>
      </c>
      <c r="B2150" s="787">
        <v>4</v>
      </c>
      <c r="C2150" s="787" t="s">
        <v>4646</v>
      </c>
      <c r="D2150" s="787">
        <v>0.38</v>
      </c>
      <c r="E2150" s="787">
        <v>2.87</v>
      </c>
      <c r="F2150" s="788">
        <v>37636</v>
      </c>
      <c r="G2150" s="788">
        <v>41565</v>
      </c>
      <c r="H2150" s="787">
        <v>1</v>
      </c>
      <c r="I2150" s="788">
        <v>39134</v>
      </c>
      <c r="J2150" s="788">
        <v>40984</v>
      </c>
      <c r="L2150" s="787">
        <v>1.98</v>
      </c>
      <c r="M2150" s="787">
        <v>10</v>
      </c>
      <c r="N2150" s="787">
        <v>1.9</v>
      </c>
      <c r="O2150" s="788">
        <v>41858</v>
      </c>
    </row>
    <row r="2151" spans="1:15" x14ac:dyDescent="0.25">
      <c r="A2151" s="786" t="s">
        <v>4647</v>
      </c>
      <c r="B2151" s="787">
        <v>4</v>
      </c>
      <c r="C2151" s="787" t="s">
        <v>4648</v>
      </c>
      <c r="D2151" s="787">
        <v>0.38</v>
      </c>
      <c r="E2151" s="787">
        <v>0.77</v>
      </c>
      <c r="F2151" s="788">
        <v>37636</v>
      </c>
      <c r="G2151" s="788">
        <v>41862</v>
      </c>
      <c r="H2151" s="787">
        <v>1</v>
      </c>
      <c r="I2151" s="788">
        <v>41936</v>
      </c>
      <c r="J2151" s="788">
        <v>41935</v>
      </c>
      <c r="L2151" s="787">
        <v>3.04</v>
      </c>
      <c r="M2151" s="787">
        <v>10</v>
      </c>
      <c r="N2151" s="787">
        <v>5.47</v>
      </c>
      <c r="O2151" s="788">
        <v>41858</v>
      </c>
    </row>
    <row r="2152" spans="1:15" x14ac:dyDescent="0.25">
      <c r="A2152" s="786" t="s">
        <v>4649</v>
      </c>
      <c r="B2152" s="787">
        <v>4</v>
      </c>
      <c r="C2152" s="787" t="s">
        <v>4600</v>
      </c>
      <c r="D2152" s="787">
        <v>0.38</v>
      </c>
      <c r="E2152" s="787">
        <v>0.38</v>
      </c>
      <c r="F2152" s="788">
        <v>37636</v>
      </c>
      <c r="G2152" s="788">
        <v>37636</v>
      </c>
      <c r="H2152" s="787">
        <v>1</v>
      </c>
      <c r="I2152" s="788">
        <v>37223</v>
      </c>
      <c r="J2152" s="788">
        <v>37636</v>
      </c>
      <c r="L2152" s="787">
        <v>7.95</v>
      </c>
      <c r="M2152" s="787">
        <v>10</v>
      </c>
      <c r="N2152" s="787">
        <v>10.42</v>
      </c>
      <c r="O2152" s="788">
        <v>41858</v>
      </c>
    </row>
    <row r="2153" spans="1:15" x14ac:dyDescent="0.25">
      <c r="A2153" s="786" t="s">
        <v>4650</v>
      </c>
      <c r="B2153" s="787">
        <v>4</v>
      </c>
      <c r="C2153" s="787" t="s">
        <v>4600</v>
      </c>
      <c r="D2153" s="787">
        <v>0.38</v>
      </c>
      <c r="E2153" s="787">
        <v>0.38</v>
      </c>
      <c r="F2153" s="788">
        <v>37636</v>
      </c>
      <c r="G2153" s="788">
        <v>37636</v>
      </c>
      <c r="H2153" s="787">
        <v>1</v>
      </c>
      <c r="J2153" s="788">
        <v>37636</v>
      </c>
      <c r="L2153" s="787">
        <v>2.91</v>
      </c>
      <c r="M2153" s="787">
        <v>10</v>
      </c>
      <c r="N2153" s="787">
        <v>3.92</v>
      </c>
      <c r="O2153" s="788">
        <v>41858</v>
      </c>
    </row>
    <row r="2154" spans="1:15" x14ac:dyDescent="0.25">
      <c r="A2154" s="786" t="s">
        <v>4651</v>
      </c>
      <c r="B2154" s="787">
        <v>4</v>
      </c>
      <c r="C2154" s="787" t="s">
        <v>4600</v>
      </c>
      <c r="D2154" s="787">
        <v>0.38</v>
      </c>
      <c r="E2154" s="787">
        <v>0.38</v>
      </c>
      <c r="F2154" s="788">
        <v>37636</v>
      </c>
      <c r="G2154" s="788">
        <v>37636</v>
      </c>
      <c r="H2154" s="787">
        <v>1</v>
      </c>
      <c r="J2154" s="788">
        <v>37636</v>
      </c>
      <c r="L2154" s="787">
        <v>8.5299999999999994</v>
      </c>
      <c r="M2154" s="787">
        <v>10</v>
      </c>
      <c r="N2154" s="787">
        <v>11.17</v>
      </c>
      <c r="O2154" s="788">
        <v>41858</v>
      </c>
    </row>
    <row r="2155" spans="1:15" x14ac:dyDescent="0.25">
      <c r="A2155" s="786" t="s">
        <v>4652</v>
      </c>
      <c r="B2155" s="787">
        <v>4</v>
      </c>
      <c r="C2155" s="787" t="s">
        <v>4600</v>
      </c>
      <c r="D2155" s="787">
        <v>0.38</v>
      </c>
      <c r="E2155" s="787">
        <v>0.38</v>
      </c>
      <c r="F2155" s="788">
        <v>37636</v>
      </c>
      <c r="G2155" s="788">
        <v>37636</v>
      </c>
      <c r="H2155" s="787">
        <v>1</v>
      </c>
      <c r="J2155" s="788">
        <v>37636</v>
      </c>
      <c r="L2155" s="787">
        <v>7.61</v>
      </c>
      <c r="M2155" s="787">
        <v>10</v>
      </c>
      <c r="N2155" s="787">
        <v>9.98</v>
      </c>
      <c r="O2155" s="788">
        <v>41858</v>
      </c>
    </row>
    <row r="2156" spans="1:15" x14ac:dyDescent="0.25">
      <c r="A2156" s="786" t="s">
        <v>4653</v>
      </c>
      <c r="B2156" s="787">
        <v>4</v>
      </c>
      <c r="C2156" s="787" t="s">
        <v>4644</v>
      </c>
      <c r="D2156" s="787">
        <v>0.38</v>
      </c>
      <c r="E2156" s="787">
        <v>0.38</v>
      </c>
      <c r="F2156" s="788">
        <v>37636</v>
      </c>
      <c r="G2156" s="788">
        <v>37636</v>
      </c>
      <c r="H2156" s="787">
        <v>1</v>
      </c>
      <c r="J2156" s="788">
        <v>37636</v>
      </c>
      <c r="L2156" s="787">
        <v>2.36</v>
      </c>
      <c r="M2156" s="787">
        <v>10</v>
      </c>
      <c r="N2156" s="787">
        <v>3.21</v>
      </c>
      <c r="O2156" s="788">
        <v>41858</v>
      </c>
    </row>
    <row r="2157" spans="1:15" x14ac:dyDescent="0.25">
      <c r="A2157" s="786" t="s">
        <v>4654</v>
      </c>
      <c r="B2157" s="787">
        <v>4</v>
      </c>
      <c r="C2157" s="787" t="s">
        <v>4655</v>
      </c>
      <c r="D2157" s="787">
        <v>0.83</v>
      </c>
      <c r="E2157" s="787">
        <v>0.83</v>
      </c>
      <c r="F2157" s="788">
        <v>40948</v>
      </c>
      <c r="G2157" s="788">
        <v>41627</v>
      </c>
      <c r="H2157" s="787">
        <v>1</v>
      </c>
      <c r="I2157" s="788">
        <v>41600</v>
      </c>
      <c r="J2157" s="788">
        <v>41627</v>
      </c>
      <c r="L2157" s="787">
        <v>0</v>
      </c>
      <c r="M2157" s="787">
        <v>10</v>
      </c>
      <c r="N2157" s="787">
        <v>4.0199999999999996</v>
      </c>
      <c r="O2157" s="788">
        <v>42121</v>
      </c>
    </row>
    <row r="2158" spans="1:15" x14ac:dyDescent="0.25">
      <c r="A2158" s="786" t="s">
        <v>4656</v>
      </c>
      <c r="B2158" s="787">
        <v>4</v>
      </c>
      <c r="C2158" s="787" t="s">
        <v>4657</v>
      </c>
      <c r="D2158" s="787">
        <v>0.34</v>
      </c>
      <c r="E2158" s="787">
        <v>1.3</v>
      </c>
      <c r="F2158" s="788">
        <v>39974</v>
      </c>
      <c r="G2158" s="788">
        <v>42122</v>
      </c>
      <c r="H2158" s="787">
        <v>1</v>
      </c>
      <c r="J2158" s="788">
        <v>42093</v>
      </c>
      <c r="K2158" s="788">
        <v>41717</v>
      </c>
      <c r="L2158" s="787">
        <v>1</v>
      </c>
      <c r="M2158" s="787">
        <v>10</v>
      </c>
      <c r="N2158" s="787">
        <v>0.42</v>
      </c>
      <c r="O2158" s="788">
        <v>41858</v>
      </c>
    </row>
    <row r="2159" spans="1:15" x14ac:dyDescent="0.25">
      <c r="A2159" s="786" t="s">
        <v>4658</v>
      </c>
      <c r="B2159" s="787">
        <v>4</v>
      </c>
      <c r="C2159" s="787" t="s">
        <v>4657</v>
      </c>
      <c r="D2159" s="787">
        <v>0</v>
      </c>
      <c r="E2159" s="787">
        <v>0</v>
      </c>
      <c r="H2159" s="787">
        <v>1</v>
      </c>
      <c r="L2159" s="787">
        <v>0</v>
      </c>
      <c r="M2159" s="787">
        <v>10</v>
      </c>
      <c r="N2159" s="787">
        <v>0.55000000000000004</v>
      </c>
      <c r="O2159" s="788">
        <v>41858</v>
      </c>
    </row>
    <row r="2160" spans="1:15" x14ac:dyDescent="0.25">
      <c r="A2160" s="786" t="s">
        <v>4659</v>
      </c>
      <c r="B2160" s="787">
        <v>4</v>
      </c>
      <c r="C2160" s="787" t="s">
        <v>4657</v>
      </c>
      <c r="D2160" s="787">
        <v>2.62</v>
      </c>
      <c r="E2160" s="787">
        <v>2.62</v>
      </c>
      <c r="F2160" s="788">
        <v>42082</v>
      </c>
      <c r="G2160" s="788">
        <v>42082</v>
      </c>
      <c r="H2160" s="787">
        <v>1</v>
      </c>
      <c r="J2160" s="788">
        <v>42052</v>
      </c>
      <c r="K2160" s="788">
        <v>42042</v>
      </c>
      <c r="L2160" s="787">
        <v>0.43</v>
      </c>
      <c r="M2160" s="787">
        <v>10</v>
      </c>
      <c r="N2160" s="787">
        <v>0.43</v>
      </c>
      <c r="O2160" s="788">
        <v>42044</v>
      </c>
    </row>
    <row r="2161" spans="1:15" x14ac:dyDescent="0.25">
      <c r="A2161" s="786" t="s">
        <v>4660</v>
      </c>
      <c r="B2161" s="787">
        <v>4</v>
      </c>
      <c r="C2161" s="787" t="s">
        <v>4657</v>
      </c>
      <c r="D2161" s="787">
        <v>0</v>
      </c>
      <c r="E2161" s="787">
        <v>0</v>
      </c>
      <c r="H2161" s="787">
        <v>1</v>
      </c>
      <c r="L2161" s="787">
        <v>0</v>
      </c>
      <c r="M2161" s="787">
        <v>10</v>
      </c>
      <c r="N2161" s="787">
        <v>0.6</v>
      </c>
      <c r="O2161" s="788">
        <v>41858</v>
      </c>
    </row>
    <row r="2162" spans="1:15" x14ac:dyDescent="0.25">
      <c r="A2162" s="786" t="s">
        <v>4661</v>
      </c>
      <c r="B2162" s="787">
        <v>4</v>
      </c>
      <c r="C2162" s="787" t="s">
        <v>4657</v>
      </c>
      <c r="D2162" s="787">
        <v>0</v>
      </c>
      <c r="E2162" s="787">
        <v>0</v>
      </c>
      <c r="H2162" s="787">
        <v>1</v>
      </c>
      <c r="L2162" s="787">
        <v>0</v>
      </c>
      <c r="M2162" s="787">
        <v>10</v>
      </c>
      <c r="N2162" s="787">
        <v>0.45</v>
      </c>
      <c r="O2162" s="788">
        <v>41858</v>
      </c>
    </row>
    <row r="2163" spans="1:15" x14ac:dyDescent="0.25">
      <c r="A2163" s="786" t="s">
        <v>4662</v>
      </c>
      <c r="B2163" s="787">
        <v>4</v>
      </c>
      <c r="C2163" s="787" t="s">
        <v>4657</v>
      </c>
      <c r="D2163" s="787">
        <v>0</v>
      </c>
      <c r="E2163" s="787">
        <v>0</v>
      </c>
      <c r="H2163" s="787">
        <v>1</v>
      </c>
      <c r="L2163" s="787">
        <v>0</v>
      </c>
      <c r="M2163" s="787">
        <v>10</v>
      </c>
      <c r="N2163" s="787">
        <v>0.47</v>
      </c>
      <c r="O2163" s="788">
        <v>41858</v>
      </c>
    </row>
    <row r="2164" spans="1:15" x14ac:dyDescent="0.25">
      <c r="A2164" s="786" t="s">
        <v>4663</v>
      </c>
      <c r="B2164" s="787">
        <v>4</v>
      </c>
      <c r="C2164" s="787" t="s">
        <v>4657</v>
      </c>
      <c r="D2164" s="787">
        <v>0.13</v>
      </c>
      <c r="E2164" s="787">
        <v>2.5</v>
      </c>
      <c r="F2164" s="788">
        <v>41855</v>
      </c>
      <c r="G2164" s="788">
        <v>42158</v>
      </c>
      <c r="H2164" s="787">
        <v>1</v>
      </c>
      <c r="J2164" s="788">
        <v>42129</v>
      </c>
      <c r="K2164" s="788">
        <v>41284</v>
      </c>
      <c r="L2164" s="787">
        <v>0.49</v>
      </c>
      <c r="M2164" s="787">
        <v>10</v>
      </c>
      <c r="N2164" s="787">
        <v>1.24</v>
      </c>
      <c r="O2164" s="788">
        <v>41858</v>
      </c>
    </row>
    <row r="2165" spans="1:15" x14ac:dyDescent="0.25">
      <c r="A2165" s="786" t="s">
        <v>4664</v>
      </c>
      <c r="B2165" s="787">
        <v>4</v>
      </c>
      <c r="C2165" s="787" t="s">
        <v>4657</v>
      </c>
      <c r="D2165" s="787">
        <v>0</v>
      </c>
      <c r="E2165" s="787">
        <v>0</v>
      </c>
      <c r="H2165" s="787">
        <v>1</v>
      </c>
      <c r="L2165" s="787">
        <v>0</v>
      </c>
      <c r="M2165" s="787">
        <v>10</v>
      </c>
      <c r="N2165" s="787">
        <v>0.7</v>
      </c>
      <c r="O2165" s="788">
        <v>41858</v>
      </c>
    </row>
    <row r="2166" spans="1:15" x14ac:dyDescent="0.25">
      <c r="A2166" s="786" t="s">
        <v>4665</v>
      </c>
      <c r="B2166" s="787">
        <v>4</v>
      </c>
      <c r="C2166" s="787" t="s">
        <v>4657</v>
      </c>
      <c r="D2166" s="787">
        <v>0.7</v>
      </c>
      <c r="E2166" s="787">
        <v>0.7</v>
      </c>
      <c r="F2166" s="788">
        <v>42165</v>
      </c>
      <c r="G2166" s="788">
        <v>42165</v>
      </c>
      <c r="H2166" s="787">
        <v>1</v>
      </c>
      <c r="J2166" s="788">
        <v>42136</v>
      </c>
      <c r="K2166" s="788">
        <v>41885</v>
      </c>
      <c r="L2166" s="787">
        <v>0.51</v>
      </c>
      <c r="M2166" s="787">
        <v>10</v>
      </c>
      <c r="N2166" s="787">
        <v>0.51</v>
      </c>
      <c r="O2166" s="788">
        <v>41858</v>
      </c>
    </row>
    <row r="2167" spans="1:15" x14ac:dyDescent="0.25">
      <c r="A2167" s="786" t="s">
        <v>4666</v>
      </c>
      <c r="B2167" s="787">
        <v>4</v>
      </c>
      <c r="C2167" s="787" t="s">
        <v>4657</v>
      </c>
      <c r="D2167" s="787">
        <v>1.92</v>
      </c>
      <c r="E2167" s="787">
        <v>1.92</v>
      </c>
      <c r="F2167" s="788">
        <v>41960</v>
      </c>
      <c r="G2167" s="788">
        <v>41960</v>
      </c>
      <c r="H2167" s="787">
        <v>1</v>
      </c>
      <c r="J2167" s="788">
        <v>41933</v>
      </c>
      <c r="L2167" s="787">
        <v>0</v>
      </c>
      <c r="M2167" s="787">
        <v>10</v>
      </c>
      <c r="N2167" s="787">
        <v>0.56000000000000005</v>
      </c>
      <c r="O2167" s="788">
        <v>41858</v>
      </c>
    </row>
    <row r="2168" spans="1:15" x14ac:dyDescent="0.25">
      <c r="A2168" s="786" t="s">
        <v>4667</v>
      </c>
      <c r="B2168" s="787">
        <v>4</v>
      </c>
      <c r="C2168" s="787" t="s">
        <v>4657</v>
      </c>
      <c r="D2168" s="787">
        <v>0</v>
      </c>
      <c r="E2168" s="787">
        <v>0</v>
      </c>
      <c r="G2168" s="788">
        <v>40443</v>
      </c>
      <c r="H2168" s="787">
        <v>1</v>
      </c>
      <c r="J2168" s="788">
        <v>40443</v>
      </c>
      <c r="L2168" s="787">
        <v>0</v>
      </c>
      <c r="M2168" s="787">
        <v>10</v>
      </c>
      <c r="N2168" s="787">
        <v>0.62</v>
      </c>
      <c r="O2168" s="788">
        <v>41858</v>
      </c>
    </row>
    <row r="2169" spans="1:15" x14ac:dyDescent="0.25">
      <c r="A2169" s="786" t="s">
        <v>4668</v>
      </c>
      <c r="B2169" s="787">
        <v>4</v>
      </c>
      <c r="C2169" s="787" t="s">
        <v>4657</v>
      </c>
      <c r="D2169" s="787">
        <v>0</v>
      </c>
      <c r="E2169" s="787">
        <v>0</v>
      </c>
      <c r="H2169" s="787">
        <v>1</v>
      </c>
      <c r="L2169" s="787">
        <v>0</v>
      </c>
      <c r="M2169" s="787">
        <v>10</v>
      </c>
      <c r="N2169" s="787">
        <v>0.6</v>
      </c>
      <c r="O2169" s="788">
        <v>41858</v>
      </c>
    </row>
    <row r="2170" spans="1:15" x14ac:dyDescent="0.25">
      <c r="A2170" s="786" t="s">
        <v>4669</v>
      </c>
      <c r="B2170" s="787">
        <v>4</v>
      </c>
      <c r="C2170" s="787" t="s">
        <v>4657</v>
      </c>
      <c r="D2170" s="787">
        <v>2.3199999999999998</v>
      </c>
      <c r="E2170" s="787">
        <v>2.3199999999999998</v>
      </c>
      <c r="F2170" s="788">
        <v>40827</v>
      </c>
      <c r="G2170" s="788">
        <v>40827</v>
      </c>
      <c r="H2170" s="787">
        <v>1</v>
      </c>
      <c r="J2170" s="788">
        <v>40779</v>
      </c>
      <c r="L2170" s="787">
        <v>0</v>
      </c>
      <c r="M2170" s="787">
        <v>10</v>
      </c>
      <c r="N2170" s="787">
        <v>0.7</v>
      </c>
      <c r="O2170" s="788">
        <v>41858</v>
      </c>
    </row>
    <row r="2171" spans="1:15" x14ac:dyDescent="0.25">
      <c r="A2171" s="786" t="s">
        <v>4670</v>
      </c>
      <c r="B2171" s="787">
        <v>4</v>
      </c>
      <c r="C2171" s="787" t="s">
        <v>4657</v>
      </c>
      <c r="D2171" s="787">
        <v>0</v>
      </c>
      <c r="E2171" s="787">
        <v>0</v>
      </c>
      <c r="H2171" s="787">
        <v>1</v>
      </c>
      <c r="L2171" s="787">
        <v>0</v>
      </c>
      <c r="M2171" s="787">
        <v>10</v>
      </c>
      <c r="N2171" s="787">
        <v>0.74</v>
      </c>
      <c r="O2171" s="788">
        <v>41858</v>
      </c>
    </row>
    <row r="2172" spans="1:15" x14ac:dyDescent="0.25">
      <c r="A2172" s="786" t="s">
        <v>4671</v>
      </c>
      <c r="B2172" s="787">
        <v>4</v>
      </c>
      <c r="C2172" s="787" t="s">
        <v>4657</v>
      </c>
      <c r="D2172" s="787">
        <v>0</v>
      </c>
      <c r="E2172" s="787">
        <v>0</v>
      </c>
      <c r="H2172" s="787">
        <v>1</v>
      </c>
      <c r="L2172" s="787">
        <v>0</v>
      </c>
      <c r="M2172" s="787">
        <v>10</v>
      </c>
      <c r="N2172" s="787">
        <v>0.79</v>
      </c>
      <c r="O2172" s="788">
        <v>41858</v>
      </c>
    </row>
    <row r="2173" spans="1:15" x14ac:dyDescent="0.25">
      <c r="A2173" s="786" t="s">
        <v>4672</v>
      </c>
      <c r="B2173" s="787">
        <v>4</v>
      </c>
      <c r="C2173" s="787" t="s">
        <v>4657</v>
      </c>
      <c r="D2173" s="787">
        <v>0</v>
      </c>
      <c r="E2173" s="787">
        <v>0</v>
      </c>
      <c r="H2173" s="787">
        <v>1</v>
      </c>
      <c r="L2173" s="787">
        <v>0</v>
      </c>
      <c r="M2173" s="787">
        <v>10</v>
      </c>
      <c r="N2173" s="787">
        <v>0.82</v>
      </c>
      <c r="O2173" s="788">
        <v>41858</v>
      </c>
    </row>
    <row r="2174" spans="1:15" x14ac:dyDescent="0.25">
      <c r="A2174" s="786" t="s">
        <v>4673</v>
      </c>
      <c r="B2174" s="787">
        <v>4</v>
      </c>
      <c r="C2174" s="787" t="s">
        <v>4657</v>
      </c>
      <c r="D2174" s="787">
        <v>0</v>
      </c>
      <c r="E2174" s="787">
        <v>0</v>
      </c>
      <c r="H2174" s="787">
        <v>1</v>
      </c>
      <c r="L2174" s="787">
        <v>0</v>
      </c>
      <c r="M2174" s="787">
        <v>10</v>
      </c>
      <c r="N2174" s="787">
        <v>0.91</v>
      </c>
      <c r="O2174" s="788">
        <v>41858</v>
      </c>
    </row>
    <row r="2175" spans="1:15" x14ac:dyDescent="0.25">
      <c r="A2175" s="786" t="s">
        <v>4674</v>
      </c>
      <c r="B2175" s="787">
        <v>4</v>
      </c>
      <c r="C2175" s="787" t="s">
        <v>4657</v>
      </c>
      <c r="D2175" s="787">
        <v>0</v>
      </c>
      <c r="E2175" s="787">
        <v>0</v>
      </c>
      <c r="H2175" s="787">
        <v>1</v>
      </c>
      <c r="L2175" s="787">
        <v>0</v>
      </c>
      <c r="M2175" s="787">
        <v>10</v>
      </c>
      <c r="N2175" s="787">
        <v>1.1100000000000001</v>
      </c>
      <c r="O2175" s="788">
        <v>41858</v>
      </c>
    </row>
    <row r="2176" spans="1:15" x14ac:dyDescent="0.25">
      <c r="A2176" s="786" t="s">
        <v>4675</v>
      </c>
      <c r="B2176" s="787">
        <v>4</v>
      </c>
      <c r="C2176" s="787" t="s">
        <v>4657</v>
      </c>
      <c r="D2176" s="787">
        <v>0</v>
      </c>
      <c r="E2176" s="787">
        <v>0</v>
      </c>
      <c r="H2176" s="787">
        <v>1</v>
      </c>
      <c r="L2176" s="787">
        <v>0</v>
      </c>
      <c r="M2176" s="787">
        <v>10</v>
      </c>
      <c r="N2176" s="787">
        <v>1.3</v>
      </c>
      <c r="O2176" s="788">
        <v>41858</v>
      </c>
    </row>
    <row r="2177" spans="1:15" x14ac:dyDescent="0.25">
      <c r="A2177" s="786" t="s">
        <v>4676</v>
      </c>
      <c r="B2177" s="787">
        <v>4</v>
      </c>
      <c r="C2177" s="787" t="s">
        <v>4657</v>
      </c>
      <c r="D2177" s="787">
        <v>0</v>
      </c>
      <c r="E2177" s="787">
        <v>0</v>
      </c>
      <c r="H2177" s="787">
        <v>1</v>
      </c>
      <c r="L2177" s="787">
        <v>0</v>
      </c>
      <c r="M2177" s="787">
        <v>10</v>
      </c>
      <c r="N2177" s="787">
        <v>1.21</v>
      </c>
      <c r="O2177" s="788">
        <v>41858</v>
      </c>
    </row>
    <row r="2178" spans="1:15" x14ac:dyDescent="0.25">
      <c r="A2178" s="786" t="s">
        <v>4677</v>
      </c>
      <c r="B2178" s="787">
        <v>4</v>
      </c>
      <c r="C2178" s="787" t="s">
        <v>4657</v>
      </c>
      <c r="D2178" s="787">
        <v>0</v>
      </c>
      <c r="E2178" s="787">
        <v>0</v>
      </c>
      <c r="H2178" s="787">
        <v>1</v>
      </c>
      <c r="L2178" s="787">
        <v>0</v>
      </c>
      <c r="M2178" s="787">
        <v>10</v>
      </c>
      <c r="N2178" s="787">
        <v>0.8</v>
      </c>
      <c r="O2178" s="788">
        <v>41858</v>
      </c>
    </row>
    <row r="2179" spans="1:15" x14ac:dyDescent="0.25">
      <c r="A2179" s="786" t="s">
        <v>4678</v>
      </c>
      <c r="B2179" s="787">
        <v>4</v>
      </c>
      <c r="C2179" s="787" t="s">
        <v>4657</v>
      </c>
      <c r="D2179" s="787">
        <v>0</v>
      </c>
      <c r="E2179" s="787">
        <v>0</v>
      </c>
      <c r="H2179" s="787">
        <v>1</v>
      </c>
      <c r="L2179" s="787">
        <v>0</v>
      </c>
      <c r="M2179" s="787">
        <v>10</v>
      </c>
      <c r="N2179" s="787">
        <v>1.22</v>
      </c>
      <c r="O2179" s="788">
        <v>41858</v>
      </c>
    </row>
    <row r="2180" spans="1:15" x14ac:dyDescent="0.25">
      <c r="A2180" s="786" t="s">
        <v>4679</v>
      </c>
      <c r="B2180" s="787">
        <v>4</v>
      </c>
      <c r="C2180" s="787" t="s">
        <v>4680</v>
      </c>
      <c r="D2180" s="787">
        <v>1.1399999999999999</v>
      </c>
      <c r="E2180" s="787">
        <v>1.1399999999999999</v>
      </c>
      <c r="F2180" s="788">
        <v>41613</v>
      </c>
      <c r="G2180" s="788">
        <v>42013</v>
      </c>
      <c r="H2180" s="787">
        <v>1</v>
      </c>
      <c r="I2180" s="788">
        <v>41464</v>
      </c>
      <c r="J2180" s="788">
        <v>41576</v>
      </c>
      <c r="K2180" s="788">
        <v>41383</v>
      </c>
      <c r="L2180" s="787">
        <v>0.99</v>
      </c>
      <c r="M2180" s="787">
        <v>10</v>
      </c>
      <c r="N2180" s="787">
        <v>1.74</v>
      </c>
      <c r="O2180" s="788">
        <v>42163</v>
      </c>
    </row>
    <row r="2181" spans="1:15" x14ac:dyDescent="0.25">
      <c r="A2181" s="786" t="s">
        <v>4681</v>
      </c>
      <c r="B2181" s="787">
        <v>4</v>
      </c>
      <c r="C2181" s="787" t="s">
        <v>4682</v>
      </c>
      <c r="D2181" s="787">
        <v>0</v>
      </c>
      <c r="E2181" s="787">
        <v>0</v>
      </c>
      <c r="H2181" s="787">
        <v>1</v>
      </c>
      <c r="L2181" s="787">
        <v>0</v>
      </c>
      <c r="M2181" s="787">
        <v>10</v>
      </c>
      <c r="N2181" s="787">
        <v>1.43</v>
      </c>
      <c r="O2181" s="788">
        <v>41858</v>
      </c>
    </row>
    <row r="2182" spans="1:15" x14ac:dyDescent="0.25">
      <c r="A2182" s="786" t="s">
        <v>4683</v>
      </c>
      <c r="B2182" s="787">
        <v>4</v>
      </c>
      <c r="C2182" s="787" t="s">
        <v>4684</v>
      </c>
      <c r="D2182" s="787">
        <v>0.71</v>
      </c>
      <c r="E2182" s="787">
        <v>0.71</v>
      </c>
      <c r="F2182" s="788">
        <v>41775</v>
      </c>
      <c r="G2182" s="788">
        <v>42013</v>
      </c>
      <c r="H2182" s="787">
        <v>1</v>
      </c>
      <c r="I2182" s="788">
        <v>41591</v>
      </c>
      <c r="J2182" s="788">
        <v>41593</v>
      </c>
      <c r="K2182" s="788">
        <v>41621</v>
      </c>
      <c r="L2182" s="787">
        <v>1</v>
      </c>
      <c r="M2182" s="787">
        <v>10</v>
      </c>
      <c r="N2182" s="787">
        <v>1.23</v>
      </c>
      <c r="O2182" s="788">
        <v>42163</v>
      </c>
    </row>
    <row r="2183" spans="1:15" x14ac:dyDescent="0.25">
      <c r="A2183" s="786" t="s">
        <v>4685</v>
      </c>
      <c r="B2183" s="787">
        <v>4</v>
      </c>
      <c r="C2183" s="787" t="s">
        <v>4686</v>
      </c>
      <c r="D2183" s="787">
        <v>0.4</v>
      </c>
      <c r="E2183" s="787">
        <v>0.4</v>
      </c>
      <c r="F2183" s="788">
        <v>41425</v>
      </c>
      <c r="G2183" s="788">
        <v>41425</v>
      </c>
      <c r="H2183" s="787">
        <v>1</v>
      </c>
      <c r="I2183" s="788">
        <v>41464</v>
      </c>
      <c r="J2183" s="788">
        <v>41389</v>
      </c>
      <c r="K2183" s="788">
        <v>41383</v>
      </c>
      <c r="L2183" s="787">
        <v>0.65</v>
      </c>
      <c r="M2183" s="787">
        <v>10</v>
      </c>
      <c r="N2183" s="787">
        <v>0.94</v>
      </c>
      <c r="O2183" s="788">
        <v>42163</v>
      </c>
    </row>
    <row r="2184" spans="1:15" x14ac:dyDescent="0.25">
      <c r="A2184" s="786" t="s">
        <v>4687</v>
      </c>
      <c r="B2184" s="787">
        <v>4</v>
      </c>
      <c r="C2184" s="787" t="s">
        <v>4688</v>
      </c>
      <c r="D2184" s="787">
        <v>0</v>
      </c>
      <c r="E2184" s="787">
        <v>0</v>
      </c>
      <c r="H2184" s="787">
        <v>1</v>
      </c>
      <c r="I2184" s="788">
        <v>41464</v>
      </c>
      <c r="L2184" s="787">
        <v>0</v>
      </c>
      <c r="M2184" s="787">
        <v>10</v>
      </c>
      <c r="N2184" s="787">
        <v>2.04</v>
      </c>
      <c r="O2184" s="788">
        <v>42163</v>
      </c>
    </row>
    <row r="2185" spans="1:15" x14ac:dyDescent="0.25">
      <c r="A2185" s="786" t="s">
        <v>4689</v>
      </c>
      <c r="B2185" s="787">
        <v>4</v>
      </c>
      <c r="C2185" s="787" t="s">
        <v>4690</v>
      </c>
      <c r="D2185" s="787">
        <v>0</v>
      </c>
      <c r="E2185" s="787">
        <v>0</v>
      </c>
      <c r="H2185" s="787">
        <v>1</v>
      </c>
      <c r="I2185" s="788">
        <v>41464</v>
      </c>
      <c r="L2185" s="787">
        <v>0</v>
      </c>
      <c r="M2185" s="787">
        <v>10</v>
      </c>
      <c r="N2185" s="787">
        <v>2.5299999999999998</v>
      </c>
      <c r="O2185" s="788">
        <v>42163</v>
      </c>
    </row>
    <row r="2186" spans="1:15" x14ac:dyDescent="0.25">
      <c r="A2186" s="786" t="s">
        <v>4691</v>
      </c>
      <c r="B2186" s="787">
        <v>4</v>
      </c>
      <c r="C2186" s="787" t="s">
        <v>4692</v>
      </c>
      <c r="D2186" s="787">
        <v>0.76</v>
      </c>
      <c r="E2186" s="787">
        <v>0.76</v>
      </c>
      <c r="F2186" s="788">
        <v>41376</v>
      </c>
      <c r="G2186" s="788">
        <v>41376</v>
      </c>
      <c r="H2186" s="787">
        <v>1</v>
      </c>
      <c r="J2186" s="788">
        <v>41348</v>
      </c>
      <c r="L2186" s="787">
        <v>1</v>
      </c>
      <c r="M2186" s="787">
        <v>10</v>
      </c>
      <c r="N2186" s="787">
        <v>4.4000000000000004</v>
      </c>
      <c r="O2186" s="788">
        <v>41963</v>
      </c>
    </row>
    <row r="2187" spans="1:15" x14ac:dyDescent="0.25">
      <c r="A2187" s="786" t="s">
        <v>4693</v>
      </c>
      <c r="B2187" s="787">
        <v>4</v>
      </c>
      <c r="C2187" s="787" t="s">
        <v>4692</v>
      </c>
      <c r="D2187" s="787">
        <v>1.81</v>
      </c>
      <c r="E2187" s="787">
        <v>1.81</v>
      </c>
      <c r="F2187" s="788">
        <v>41418</v>
      </c>
      <c r="G2187" s="788">
        <v>41418</v>
      </c>
      <c r="H2187" s="787">
        <v>1</v>
      </c>
      <c r="I2187" s="788">
        <v>41382</v>
      </c>
      <c r="J2187" s="788">
        <v>41381</v>
      </c>
      <c r="K2187" s="788">
        <v>41379</v>
      </c>
      <c r="L2187" s="787">
        <v>2.35</v>
      </c>
      <c r="M2187" s="787">
        <v>10</v>
      </c>
      <c r="N2187" s="787">
        <v>3.13</v>
      </c>
      <c r="O2187" s="788">
        <v>41963</v>
      </c>
    </row>
    <row r="2188" spans="1:15" x14ac:dyDescent="0.25">
      <c r="A2188" s="786" t="s">
        <v>4694</v>
      </c>
      <c r="B2188" s="787">
        <v>4</v>
      </c>
      <c r="C2188" s="787" t="s">
        <v>4695</v>
      </c>
      <c r="D2188" s="787">
        <v>2.54</v>
      </c>
      <c r="E2188" s="787">
        <v>19.350000000000001</v>
      </c>
      <c r="F2188" s="788">
        <v>41548</v>
      </c>
      <c r="G2188" s="788">
        <v>42044</v>
      </c>
      <c r="H2188" s="787">
        <v>1</v>
      </c>
      <c r="J2188" s="788">
        <v>42016</v>
      </c>
      <c r="L2188" s="787">
        <v>1</v>
      </c>
      <c r="M2188" s="787">
        <v>10</v>
      </c>
      <c r="N2188" s="787">
        <v>10.24</v>
      </c>
      <c r="O2188" s="788">
        <v>41963</v>
      </c>
    </row>
    <row r="2189" spans="1:15" x14ac:dyDescent="0.25">
      <c r="A2189" s="786" t="s">
        <v>4696</v>
      </c>
      <c r="B2189" s="787">
        <v>4</v>
      </c>
      <c r="C2189" s="787" t="s">
        <v>4695</v>
      </c>
      <c r="D2189" s="787">
        <v>2.0699999999999998</v>
      </c>
      <c r="E2189" s="787">
        <v>12.07</v>
      </c>
      <c r="F2189" s="788">
        <v>41886</v>
      </c>
      <c r="G2189" s="788">
        <v>41886</v>
      </c>
      <c r="H2189" s="787">
        <v>1</v>
      </c>
      <c r="J2189" s="788">
        <v>41849</v>
      </c>
      <c r="K2189" s="788">
        <v>41522</v>
      </c>
      <c r="L2189" s="787">
        <v>8.52</v>
      </c>
      <c r="M2189" s="787">
        <v>10</v>
      </c>
      <c r="N2189" s="787">
        <v>8.26</v>
      </c>
      <c r="O2189" s="788">
        <v>41963</v>
      </c>
    </row>
    <row r="2190" spans="1:15" x14ac:dyDescent="0.25">
      <c r="A2190" s="786" t="s">
        <v>4697</v>
      </c>
      <c r="B2190" s="787">
        <v>4</v>
      </c>
      <c r="C2190" s="787" t="s">
        <v>4692</v>
      </c>
      <c r="D2190" s="787">
        <v>3.36</v>
      </c>
      <c r="E2190" s="787">
        <v>9.7799999999999994</v>
      </c>
      <c r="F2190" s="788">
        <v>41775</v>
      </c>
      <c r="G2190" s="788">
        <v>41907</v>
      </c>
      <c r="H2190" s="787">
        <v>1</v>
      </c>
      <c r="J2190" s="788">
        <v>41879</v>
      </c>
      <c r="K2190" s="788">
        <v>41542</v>
      </c>
      <c r="L2190" s="787">
        <v>10.68</v>
      </c>
      <c r="M2190" s="787">
        <v>10</v>
      </c>
      <c r="N2190" s="787">
        <v>10.06</v>
      </c>
      <c r="O2190" s="788">
        <v>41963</v>
      </c>
    </row>
    <row r="2191" spans="1:15" x14ac:dyDescent="0.25">
      <c r="A2191" s="786" t="s">
        <v>4698</v>
      </c>
      <c r="B2191" s="787">
        <v>4</v>
      </c>
      <c r="C2191" s="787" t="s">
        <v>4699</v>
      </c>
      <c r="D2191" s="787">
        <v>8.0399999999999991</v>
      </c>
      <c r="E2191" s="787">
        <v>38.04</v>
      </c>
      <c r="F2191" s="788">
        <v>41963</v>
      </c>
      <c r="G2191" s="788">
        <v>41963</v>
      </c>
      <c r="H2191" s="787">
        <v>1</v>
      </c>
      <c r="J2191" s="788">
        <v>41932</v>
      </c>
      <c r="K2191" s="788">
        <v>41927</v>
      </c>
      <c r="L2191" s="787">
        <v>24.18</v>
      </c>
      <c r="M2191" s="787">
        <v>10</v>
      </c>
      <c r="N2191" s="787">
        <v>18.89</v>
      </c>
      <c r="O2191" s="788">
        <v>41963</v>
      </c>
    </row>
    <row r="2192" spans="1:15" x14ac:dyDescent="0.25">
      <c r="A2192" s="786" t="s">
        <v>4700</v>
      </c>
      <c r="B2192" s="787">
        <v>4</v>
      </c>
      <c r="C2192" s="787" t="s">
        <v>4692</v>
      </c>
      <c r="D2192" s="787">
        <v>8.69</v>
      </c>
      <c r="E2192" s="787">
        <v>18.47</v>
      </c>
      <c r="F2192" s="788">
        <v>42044</v>
      </c>
      <c r="G2192" s="788">
        <v>42114</v>
      </c>
      <c r="H2192" s="787">
        <v>1</v>
      </c>
      <c r="J2192" s="788">
        <v>42087</v>
      </c>
      <c r="K2192" s="788">
        <v>41593</v>
      </c>
      <c r="L2192" s="787">
        <v>10.1</v>
      </c>
      <c r="M2192" s="787">
        <v>10</v>
      </c>
      <c r="N2192" s="787">
        <v>10.1</v>
      </c>
      <c r="O2192" s="788">
        <v>41963</v>
      </c>
    </row>
    <row r="2193" spans="1:15" x14ac:dyDescent="0.25">
      <c r="A2193" s="786" t="s">
        <v>4701</v>
      </c>
      <c r="B2193" s="787">
        <v>4</v>
      </c>
      <c r="C2193" s="787" t="s">
        <v>4702</v>
      </c>
      <c r="D2193" s="787">
        <v>2.2200000000000002</v>
      </c>
      <c r="E2193" s="787">
        <v>22.22</v>
      </c>
      <c r="F2193" s="788">
        <v>42086</v>
      </c>
      <c r="G2193" s="788">
        <v>42086</v>
      </c>
      <c r="H2193" s="787">
        <v>1</v>
      </c>
      <c r="J2193" s="788">
        <v>42055</v>
      </c>
      <c r="K2193" s="788">
        <v>42044</v>
      </c>
      <c r="L2193" s="787">
        <v>13.71</v>
      </c>
      <c r="M2193" s="787">
        <v>10</v>
      </c>
      <c r="N2193" s="787">
        <v>12.83</v>
      </c>
      <c r="O2193" s="788">
        <v>42053</v>
      </c>
    </row>
    <row r="2194" spans="1:15" x14ac:dyDescent="0.25">
      <c r="A2194" s="786" t="s">
        <v>4703</v>
      </c>
      <c r="B2194" s="787">
        <v>4</v>
      </c>
      <c r="C2194" s="787" t="s">
        <v>4692</v>
      </c>
      <c r="D2194" s="787">
        <v>6.3</v>
      </c>
      <c r="E2194" s="787">
        <v>35.83</v>
      </c>
      <c r="F2194" s="788">
        <v>41526</v>
      </c>
      <c r="G2194" s="788">
        <v>41579</v>
      </c>
      <c r="H2194" s="787">
        <v>1</v>
      </c>
      <c r="J2194" s="788">
        <v>41537</v>
      </c>
      <c r="L2194" s="787">
        <v>1</v>
      </c>
      <c r="M2194" s="787">
        <v>10</v>
      </c>
      <c r="N2194" s="787">
        <v>15.51</v>
      </c>
      <c r="O2194" s="788">
        <v>41963</v>
      </c>
    </row>
    <row r="2195" spans="1:15" x14ac:dyDescent="0.25">
      <c r="A2195" s="786" t="s">
        <v>4704</v>
      </c>
      <c r="B2195" s="787">
        <v>4</v>
      </c>
      <c r="C2195" s="787" t="s">
        <v>4695</v>
      </c>
      <c r="D2195" s="787">
        <v>7.72</v>
      </c>
      <c r="E2195" s="787">
        <v>21.19</v>
      </c>
      <c r="F2195" s="788">
        <v>41886</v>
      </c>
      <c r="G2195" s="788">
        <v>42156</v>
      </c>
      <c r="H2195" s="787">
        <v>1</v>
      </c>
      <c r="I2195" s="788">
        <v>41396</v>
      </c>
      <c r="J2195" s="788">
        <v>42123</v>
      </c>
      <c r="K2195" s="788">
        <v>41388</v>
      </c>
      <c r="L2195" s="787">
        <v>18.73</v>
      </c>
      <c r="M2195" s="787">
        <v>10</v>
      </c>
      <c r="N2195" s="787">
        <v>17.350000000000001</v>
      </c>
      <c r="O2195" s="788">
        <v>41963</v>
      </c>
    </row>
    <row r="2196" spans="1:15" x14ac:dyDescent="0.25">
      <c r="A2196" s="786" t="s">
        <v>4705</v>
      </c>
      <c r="B2196" s="787">
        <v>4</v>
      </c>
      <c r="C2196" s="787" t="s">
        <v>4692</v>
      </c>
      <c r="D2196" s="787">
        <v>0</v>
      </c>
      <c r="E2196" s="787">
        <v>0</v>
      </c>
      <c r="G2196" s="788">
        <v>42137</v>
      </c>
      <c r="H2196" s="787">
        <v>1</v>
      </c>
      <c r="J2196" s="788">
        <v>42137</v>
      </c>
      <c r="L2196" s="787">
        <v>1</v>
      </c>
      <c r="M2196" s="787">
        <v>10</v>
      </c>
      <c r="N2196" s="787">
        <v>29.4</v>
      </c>
      <c r="O2196" s="788">
        <v>41963</v>
      </c>
    </row>
    <row r="2197" spans="1:15" x14ac:dyDescent="0.25">
      <c r="A2197" s="786" t="s">
        <v>4706</v>
      </c>
      <c r="B2197" s="787">
        <v>4</v>
      </c>
      <c r="C2197" s="787" t="s">
        <v>4707</v>
      </c>
      <c r="D2197" s="787">
        <v>0.03</v>
      </c>
      <c r="E2197" s="787">
        <v>0.03</v>
      </c>
      <c r="F2197" s="788">
        <v>37636</v>
      </c>
      <c r="G2197" s="788">
        <v>37636</v>
      </c>
      <c r="H2197" s="787">
        <v>1</v>
      </c>
      <c r="I2197" s="788">
        <v>37449</v>
      </c>
      <c r="J2197" s="788">
        <v>37636</v>
      </c>
      <c r="L2197" s="787">
        <v>0.55000000000000004</v>
      </c>
      <c r="M2197" s="787">
        <v>10</v>
      </c>
      <c r="N2197" s="787">
        <v>0.54</v>
      </c>
      <c r="O2197" s="788">
        <v>40853</v>
      </c>
    </row>
    <row r="2198" spans="1:15" x14ac:dyDescent="0.25">
      <c r="A2198" s="786" t="s">
        <v>4708</v>
      </c>
      <c r="B2198" s="787">
        <v>4</v>
      </c>
      <c r="C2198" s="787" t="s">
        <v>4709</v>
      </c>
      <c r="D2198" s="787">
        <v>2.5299999999999998</v>
      </c>
      <c r="E2198" s="787">
        <v>2.5299999999999998</v>
      </c>
      <c r="F2198" s="788">
        <v>37636</v>
      </c>
      <c r="G2198" s="788">
        <v>37636</v>
      </c>
      <c r="H2198" s="787">
        <v>1</v>
      </c>
      <c r="J2198" s="788">
        <v>37636</v>
      </c>
      <c r="L2198" s="787">
        <v>2.76</v>
      </c>
      <c r="M2198" s="787">
        <v>20</v>
      </c>
      <c r="N2198" s="787">
        <v>2.97</v>
      </c>
      <c r="O2198" s="788">
        <v>41858</v>
      </c>
    </row>
    <row r="2199" spans="1:15" x14ac:dyDescent="0.25">
      <c r="A2199" s="786" t="s">
        <v>4710</v>
      </c>
      <c r="B2199" s="787">
        <v>4</v>
      </c>
      <c r="C2199" s="787" t="s">
        <v>4711</v>
      </c>
      <c r="D2199" s="787">
        <v>0</v>
      </c>
      <c r="E2199" s="787">
        <v>0</v>
      </c>
      <c r="H2199" s="787">
        <v>1</v>
      </c>
      <c r="J2199" s="788">
        <v>37636</v>
      </c>
      <c r="L2199" s="787">
        <v>0</v>
      </c>
      <c r="M2199" s="787">
        <v>20</v>
      </c>
      <c r="N2199" s="787">
        <v>0</v>
      </c>
      <c r="O2199" s="788">
        <v>40824</v>
      </c>
    </row>
    <row r="2200" spans="1:15" x14ac:dyDescent="0.25">
      <c r="A2200" s="786" t="s">
        <v>660</v>
      </c>
      <c r="B2200" s="787">
        <v>4</v>
      </c>
      <c r="C2200" s="787" t="s">
        <v>4712</v>
      </c>
      <c r="D2200" s="787">
        <v>3.75</v>
      </c>
      <c r="E2200" s="787">
        <v>4.1500000000000004</v>
      </c>
      <c r="F2200" s="788">
        <v>39101</v>
      </c>
      <c r="G2200" s="788">
        <v>42158</v>
      </c>
      <c r="H2200" s="787">
        <v>1</v>
      </c>
      <c r="I2200" s="788">
        <v>42165</v>
      </c>
      <c r="J2200" s="788">
        <v>42152</v>
      </c>
      <c r="L2200" s="787">
        <v>4.09</v>
      </c>
      <c r="M2200" s="787">
        <v>20</v>
      </c>
      <c r="N2200" s="787">
        <v>4.4000000000000004</v>
      </c>
      <c r="O2200" s="788">
        <v>42164</v>
      </c>
    </row>
    <row r="2201" spans="1:15" x14ac:dyDescent="0.25">
      <c r="A2201" s="786" t="s">
        <v>4713</v>
      </c>
      <c r="B2201" s="787">
        <v>4</v>
      </c>
      <c r="C2201" s="787" t="s">
        <v>4714</v>
      </c>
      <c r="D2201" s="787">
        <v>2.85</v>
      </c>
      <c r="E2201" s="787">
        <v>2.85</v>
      </c>
      <c r="F2201" s="788">
        <v>41946</v>
      </c>
      <c r="G2201" s="788">
        <v>41963</v>
      </c>
      <c r="H2201" s="787">
        <v>1</v>
      </c>
      <c r="I2201" s="788">
        <v>39490</v>
      </c>
      <c r="J2201" s="788">
        <v>42031</v>
      </c>
      <c r="L2201" s="787">
        <v>4.29</v>
      </c>
      <c r="M2201" s="787">
        <v>20</v>
      </c>
      <c r="N2201" s="787">
        <v>4.6100000000000003</v>
      </c>
      <c r="O2201" s="788">
        <v>41858</v>
      </c>
    </row>
    <row r="2202" spans="1:15" x14ac:dyDescent="0.25">
      <c r="A2202" s="786" t="s">
        <v>4715</v>
      </c>
      <c r="B2202" s="787">
        <v>4</v>
      </c>
      <c r="C2202" s="787" t="s">
        <v>4716</v>
      </c>
      <c r="D2202" s="787">
        <v>8.39</v>
      </c>
      <c r="E2202" s="787">
        <v>9.61</v>
      </c>
      <c r="F2202" s="788">
        <v>39101</v>
      </c>
      <c r="G2202" s="788">
        <v>41862</v>
      </c>
      <c r="H2202" s="787">
        <v>1</v>
      </c>
      <c r="I2202" s="788">
        <v>42074</v>
      </c>
      <c r="J2202" s="788">
        <v>41935</v>
      </c>
      <c r="L2202" s="787">
        <v>9.27</v>
      </c>
      <c r="M2202" s="787">
        <v>10</v>
      </c>
      <c r="N2202" s="787">
        <v>7.32</v>
      </c>
      <c r="O2202" s="788">
        <v>42162</v>
      </c>
    </row>
    <row r="2203" spans="1:15" x14ac:dyDescent="0.25">
      <c r="A2203" s="786" t="s">
        <v>4717</v>
      </c>
      <c r="B2203" s="787">
        <v>4</v>
      </c>
      <c r="C2203" s="787" t="s">
        <v>4718</v>
      </c>
      <c r="D2203" s="787">
        <v>0.25</v>
      </c>
      <c r="E2203" s="787">
        <v>10.25</v>
      </c>
      <c r="F2203" s="788">
        <v>39101</v>
      </c>
      <c r="G2203" s="788">
        <v>39101</v>
      </c>
      <c r="H2203" s="787">
        <v>1</v>
      </c>
      <c r="I2203" s="788">
        <v>41479</v>
      </c>
      <c r="J2203" s="788">
        <v>41611</v>
      </c>
      <c r="L2203" s="787">
        <v>11.17</v>
      </c>
      <c r="M2203" s="787">
        <v>20</v>
      </c>
      <c r="N2203" s="787">
        <v>12.01</v>
      </c>
      <c r="O2203" s="788">
        <v>41858</v>
      </c>
    </row>
    <row r="2204" spans="1:15" x14ac:dyDescent="0.25">
      <c r="A2204" s="786" t="s">
        <v>4719</v>
      </c>
      <c r="B2204" s="787">
        <v>4</v>
      </c>
      <c r="C2204" s="787" t="s">
        <v>4720</v>
      </c>
      <c r="D2204" s="787">
        <v>7.42</v>
      </c>
      <c r="E2204" s="787">
        <v>41.09</v>
      </c>
      <c r="F2204" s="788">
        <v>39101</v>
      </c>
      <c r="G2204" s="788">
        <v>42166</v>
      </c>
      <c r="H2204" s="787">
        <v>1</v>
      </c>
      <c r="I2204" s="788">
        <v>42166</v>
      </c>
      <c r="J2204" s="788">
        <v>42166</v>
      </c>
      <c r="K2204" s="788">
        <v>41730</v>
      </c>
      <c r="L2204" s="787">
        <v>38.9</v>
      </c>
      <c r="M2204" s="787">
        <v>20</v>
      </c>
      <c r="N2204" s="787">
        <v>43.91</v>
      </c>
      <c r="O2204" s="788">
        <v>42165</v>
      </c>
    </row>
    <row r="2205" spans="1:15" x14ac:dyDescent="0.25">
      <c r="A2205" s="786" t="s">
        <v>4721</v>
      </c>
      <c r="B2205" s="787">
        <v>4</v>
      </c>
      <c r="C2205" s="787" t="s">
        <v>4722</v>
      </c>
      <c r="D2205" s="787">
        <v>6.56</v>
      </c>
      <c r="E2205" s="787">
        <v>58.45</v>
      </c>
      <c r="F2205" s="788">
        <v>39101</v>
      </c>
      <c r="G2205" s="788">
        <v>42013</v>
      </c>
      <c r="H2205" s="787">
        <v>1</v>
      </c>
      <c r="I2205" s="788">
        <v>42150</v>
      </c>
      <c r="J2205" s="788">
        <v>40949</v>
      </c>
      <c r="K2205" s="788">
        <v>41730</v>
      </c>
      <c r="L2205" s="787">
        <v>58.45</v>
      </c>
      <c r="M2205" s="787">
        <v>20</v>
      </c>
      <c r="N2205" s="787">
        <v>75.400000000000006</v>
      </c>
      <c r="O2205" s="788">
        <v>42164</v>
      </c>
    </row>
    <row r="2206" spans="1:15" x14ac:dyDescent="0.25">
      <c r="A2206" s="786" t="s">
        <v>4723</v>
      </c>
      <c r="B2206" s="787">
        <v>4</v>
      </c>
      <c r="C2206" s="787" t="s">
        <v>4724</v>
      </c>
      <c r="D2206" s="787">
        <v>2.27</v>
      </c>
      <c r="E2206" s="787">
        <v>86.11</v>
      </c>
      <c r="F2206" s="788">
        <v>39101</v>
      </c>
      <c r="G2206" s="788">
        <v>41572</v>
      </c>
      <c r="H2206" s="787">
        <v>6</v>
      </c>
      <c r="I2206" s="788">
        <v>41666</v>
      </c>
      <c r="J2206" s="788">
        <v>41673</v>
      </c>
      <c r="K2206" s="788">
        <v>41730</v>
      </c>
      <c r="L2206" s="787">
        <v>85.05</v>
      </c>
      <c r="M2206" s="787">
        <v>20</v>
      </c>
      <c r="N2206" s="787">
        <v>111.08</v>
      </c>
      <c r="O2206" s="788">
        <v>41822</v>
      </c>
    </row>
    <row r="2207" spans="1:15" x14ac:dyDescent="0.25">
      <c r="A2207" s="786" t="s">
        <v>4725</v>
      </c>
      <c r="B2207" s="787">
        <v>4</v>
      </c>
      <c r="C2207" s="787" t="s">
        <v>4726</v>
      </c>
      <c r="D2207" s="787">
        <v>0.37</v>
      </c>
      <c r="E2207" s="787">
        <v>0.37</v>
      </c>
      <c r="F2207" s="788">
        <v>37637</v>
      </c>
      <c r="G2207" s="788">
        <v>37637</v>
      </c>
      <c r="H2207" s="787">
        <v>1</v>
      </c>
      <c r="I2207" s="788">
        <v>42146</v>
      </c>
      <c r="J2207" s="788">
        <v>37637</v>
      </c>
      <c r="L2207" s="787">
        <v>0.17</v>
      </c>
      <c r="M2207" s="787">
        <v>10</v>
      </c>
      <c r="N2207" s="787">
        <v>0.47</v>
      </c>
      <c r="O2207" s="788">
        <v>41858</v>
      </c>
    </row>
    <row r="2208" spans="1:15" x14ac:dyDescent="0.25">
      <c r="A2208" s="786" t="s">
        <v>519</v>
      </c>
      <c r="B2208" s="787">
        <v>4</v>
      </c>
      <c r="C2208" s="787" t="s">
        <v>4727</v>
      </c>
      <c r="D2208" s="787">
        <v>8.5</v>
      </c>
      <c r="E2208" s="787">
        <v>69.290000000000006</v>
      </c>
      <c r="F2208" s="788">
        <v>39932</v>
      </c>
      <c r="G2208" s="788">
        <v>42118</v>
      </c>
      <c r="H2208" s="787">
        <v>1</v>
      </c>
      <c r="I2208" s="788">
        <v>42166</v>
      </c>
      <c r="J2208" s="788">
        <v>42096</v>
      </c>
      <c r="K2208" s="788">
        <v>41730</v>
      </c>
      <c r="L2208" s="787">
        <v>66.2</v>
      </c>
      <c r="M2208" s="787">
        <v>20</v>
      </c>
      <c r="N2208" s="787">
        <v>85.4</v>
      </c>
      <c r="O2208" s="788">
        <v>42162</v>
      </c>
    </row>
    <row r="2209" spans="1:15" x14ac:dyDescent="0.25">
      <c r="A2209" s="786" t="s">
        <v>4728</v>
      </c>
      <c r="B2209" s="787">
        <v>4</v>
      </c>
      <c r="C2209" s="787" t="s">
        <v>4729</v>
      </c>
      <c r="D2209" s="787">
        <v>1.62</v>
      </c>
      <c r="E2209" s="787">
        <v>4.24</v>
      </c>
      <c r="F2209" s="788">
        <v>39101</v>
      </c>
      <c r="G2209" s="788">
        <v>41886</v>
      </c>
      <c r="H2209" s="787">
        <v>1</v>
      </c>
      <c r="I2209" s="788">
        <v>42130</v>
      </c>
      <c r="J2209" s="788">
        <v>41838</v>
      </c>
      <c r="L2209" s="787">
        <v>2.57</v>
      </c>
      <c r="M2209" s="787">
        <v>10</v>
      </c>
      <c r="N2209" s="787">
        <v>2.4700000000000002</v>
      </c>
      <c r="O2209" s="788">
        <v>42162</v>
      </c>
    </row>
    <row r="2210" spans="1:15" x14ac:dyDescent="0.25">
      <c r="A2210" s="786" t="s">
        <v>4730</v>
      </c>
      <c r="B2210" s="787">
        <v>4</v>
      </c>
      <c r="C2210" s="787" t="s">
        <v>4731</v>
      </c>
      <c r="D2210" s="787">
        <v>0.34</v>
      </c>
      <c r="E2210" s="787">
        <v>0.34</v>
      </c>
      <c r="F2210" s="788">
        <v>41775</v>
      </c>
      <c r="G2210" s="788">
        <v>41775</v>
      </c>
      <c r="H2210" s="787">
        <v>1</v>
      </c>
      <c r="I2210" s="788">
        <v>39134</v>
      </c>
      <c r="J2210" s="788">
        <v>41219</v>
      </c>
      <c r="L2210" s="787">
        <v>4.1900000000000004</v>
      </c>
      <c r="M2210" s="787">
        <v>10</v>
      </c>
      <c r="N2210" s="787">
        <v>4.59</v>
      </c>
      <c r="O2210" s="788">
        <v>41858</v>
      </c>
    </row>
    <row r="2211" spans="1:15" x14ac:dyDescent="0.25">
      <c r="A2211" s="786" t="s">
        <v>4732</v>
      </c>
      <c r="B2211" s="787">
        <v>4</v>
      </c>
      <c r="C2211" s="787" t="s">
        <v>4733</v>
      </c>
      <c r="D2211" s="787">
        <v>8.81</v>
      </c>
      <c r="E2211" s="787">
        <v>8.85</v>
      </c>
      <c r="F2211" s="788">
        <v>39101</v>
      </c>
      <c r="G2211" s="788">
        <v>41611</v>
      </c>
      <c r="H2211" s="787">
        <v>1</v>
      </c>
      <c r="I2211" s="788">
        <v>42076</v>
      </c>
      <c r="J2211" s="788">
        <v>42076</v>
      </c>
      <c r="L2211" s="787">
        <v>9.65</v>
      </c>
      <c r="M2211" s="787">
        <v>20</v>
      </c>
      <c r="N2211" s="787">
        <v>10.37</v>
      </c>
      <c r="O2211" s="788">
        <v>41858</v>
      </c>
    </row>
    <row r="2212" spans="1:15" x14ac:dyDescent="0.25">
      <c r="A2212" s="786" t="s">
        <v>4734</v>
      </c>
      <c r="B2212" s="787">
        <v>4</v>
      </c>
      <c r="C2212" s="787" t="s">
        <v>4733</v>
      </c>
      <c r="D2212" s="787">
        <v>4.2300000000000004</v>
      </c>
      <c r="E2212" s="787">
        <v>4.2300000000000004</v>
      </c>
      <c r="F2212" s="788">
        <v>39101</v>
      </c>
      <c r="G2212" s="788">
        <v>41922</v>
      </c>
      <c r="H2212" s="787">
        <v>1</v>
      </c>
      <c r="I2212" s="788">
        <v>42076</v>
      </c>
      <c r="J2212" s="788">
        <v>42076</v>
      </c>
      <c r="L2212" s="787">
        <v>4.6100000000000003</v>
      </c>
      <c r="M2212" s="787">
        <v>20</v>
      </c>
      <c r="N2212" s="787">
        <v>4.96</v>
      </c>
      <c r="O2212" s="788">
        <v>41858</v>
      </c>
    </row>
    <row r="2213" spans="1:15" x14ac:dyDescent="0.25">
      <c r="A2213" s="786" t="s">
        <v>4735</v>
      </c>
      <c r="B2213" s="787">
        <v>4</v>
      </c>
      <c r="C2213" s="787" t="s">
        <v>4733</v>
      </c>
      <c r="D2213" s="787">
        <v>7.37</v>
      </c>
      <c r="E2213" s="787">
        <v>7.37</v>
      </c>
      <c r="F2213" s="788">
        <v>39975</v>
      </c>
      <c r="G2213" s="788">
        <v>41611</v>
      </c>
      <c r="H2213" s="787">
        <v>1</v>
      </c>
      <c r="I2213" s="788">
        <v>42076</v>
      </c>
      <c r="J2213" s="788">
        <v>42076</v>
      </c>
      <c r="L2213" s="787">
        <v>8.0399999999999991</v>
      </c>
      <c r="M2213" s="787">
        <v>20</v>
      </c>
      <c r="N2213" s="787">
        <v>8.64</v>
      </c>
      <c r="O2213" s="788">
        <v>41858</v>
      </c>
    </row>
    <row r="2214" spans="1:15" x14ac:dyDescent="0.25">
      <c r="A2214" s="786" t="s">
        <v>4736</v>
      </c>
      <c r="B2214" s="787">
        <v>4</v>
      </c>
      <c r="C2214" s="787" t="s">
        <v>4737</v>
      </c>
      <c r="D2214" s="787">
        <v>1.69</v>
      </c>
      <c r="E2214" s="787">
        <v>13.75</v>
      </c>
      <c r="F2214" s="788">
        <v>37637</v>
      </c>
      <c r="G2214" s="788">
        <v>41792</v>
      </c>
      <c r="H2214" s="787">
        <v>1</v>
      </c>
      <c r="I2214" s="788">
        <v>41787</v>
      </c>
      <c r="J2214" s="788">
        <v>41792</v>
      </c>
      <c r="L2214" s="787">
        <v>16.79</v>
      </c>
      <c r="M2214" s="787">
        <v>20</v>
      </c>
      <c r="N2214" s="787">
        <v>20.22</v>
      </c>
      <c r="O2214" s="788">
        <v>41858</v>
      </c>
    </row>
    <row r="2215" spans="1:15" x14ac:dyDescent="0.25">
      <c r="A2215" s="786" t="s">
        <v>4738</v>
      </c>
      <c r="B2215" s="787">
        <v>4</v>
      </c>
      <c r="C2215" s="787" t="s">
        <v>4739</v>
      </c>
      <c r="D2215" s="787">
        <v>7.74</v>
      </c>
      <c r="E2215" s="787">
        <v>8.92</v>
      </c>
      <c r="F2215" s="788">
        <v>39101</v>
      </c>
      <c r="G2215" s="788">
        <v>42013</v>
      </c>
      <c r="H2215" s="787">
        <v>1</v>
      </c>
      <c r="I2215" s="788">
        <v>42016</v>
      </c>
      <c r="J2215" s="788">
        <v>40634</v>
      </c>
      <c r="L2215" s="787">
        <v>9.66</v>
      </c>
      <c r="M2215" s="787">
        <v>20</v>
      </c>
      <c r="N2215" s="787">
        <v>11.63</v>
      </c>
      <c r="O2215" s="788">
        <v>41858</v>
      </c>
    </row>
    <row r="2216" spans="1:15" x14ac:dyDescent="0.25">
      <c r="A2216" s="786" t="s">
        <v>4740</v>
      </c>
      <c r="B2216" s="787">
        <v>4</v>
      </c>
      <c r="C2216" s="787" t="s">
        <v>4741</v>
      </c>
      <c r="D2216" s="787">
        <v>4.1900000000000004</v>
      </c>
      <c r="E2216" s="787">
        <v>4.22</v>
      </c>
      <c r="F2216" s="788">
        <v>39101</v>
      </c>
      <c r="G2216" s="788">
        <v>39101</v>
      </c>
      <c r="H2216" s="787">
        <v>1</v>
      </c>
      <c r="I2216" s="788">
        <v>39581</v>
      </c>
      <c r="J2216" s="788">
        <v>39149</v>
      </c>
      <c r="L2216" s="787">
        <v>5.15</v>
      </c>
      <c r="M2216" s="787">
        <v>20</v>
      </c>
      <c r="N2216" s="787">
        <v>6.2</v>
      </c>
      <c r="O2216" s="788">
        <v>41955</v>
      </c>
    </row>
    <row r="2217" spans="1:15" x14ac:dyDescent="0.25">
      <c r="A2217" s="786" t="s">
        <v>4742</v>
      </c>
      <c r="B2217" s="787">
        <v>4</v>
      </c>
      <c r="C2217" s="787" t="s">
        <v>4743</v>
      </c>
      <c r="D2217" s="787">
        <v>6.43</v>
      </c>
      <c r="E2217" s="787">
        <v>6.45</v>
      </c>
      <c r="F2217" s="788">
        <v>39101</v>
      </c>
      <c r="G2217" s="788">
        <v>39101</v>
      </c>
      <c r="H2217" s="787">
        <v>1</v>
      </c>
      <c r="I2217" s="788">
        <v>40724</v>
      </c>
      <c r="J2217" s="788">
        <v>39149</v>
      </c>
      <c r="L2217" s="787">
        <v>7.87</v>
      </c>
      <c r="M2217" s="787">
        <v>20</v>
      </c>
      <c r="N2217" s="787">
        <v>9.48</v>
      </c>
      <c r="O2217" s="788">
        <v>41858</v>
      </c>
    </row>
    <row r="2218" spans="1:15" x14ac:dyDescent="0.25">
      <c r="A2218" s="786" t="s">
        <v>4744</v>
      </c>
      <c r="B2218" s="787">
        <v>4</v>
      </c>
      <c r="C2218" s="787" t="s">
        <v>4745</v>
      </c>
      <c r="D2218" s="787">
        <v>3.17</v>
      </c>
      <c r="E2218" s="787">
        <v>5.7</v>
      </c>
      <c r="F2218" s="788">
        <v>39822</v>
      </c>
      <c r="G2218" s="788">
        <v>42013</v>
      </c>
      <c r="H2218" s="787">
        <v>1</v>
      </c>
      <c r="I2218" s="788">
        <v>41627</v>
      </c>
      <c r="J2218" s="788">
        <v>41261</v>
      </c>
      <c r="K2218" s="788">
        <v>41135</v>
      </c>
      <c r="L2218" s="787">
        <v>5.33</v>
      </c>
      <c r="M2218" s="787">
        <v>20</v>
      </c>
      <c r="N2218" s="787">
        <v>6.42</v>
      </c>
      <c r="O2218" s="788">
        <v>42159</v>
      </c>
    </row>
    <row r="2219" spans="1:15" x14ac:dyDescent="0.25">
      <c r="A2219" s="786" t="s">
        <v>4746</v>
      </c>
      <c r="B2219" s="787">
        <v>4</v>
      </c>
      <c r="C2219" s="787" t="s">
        <v>4747</v>
      </c>
      <c r="D2219" s="787">
        <v>1.51</v>
      </c>
      <c r="E2219" s="787">
        <v>1.66</v>
      </c>
      <c r="F2219" s="788">
        <v>39293</v>
      </c>
      <c r="G2219" s="788">
        <v>42013</v>
      </c>
      <c r="H2219" s="787">
        <v>1</v>
      </c>
      <c r="I2219" s="788">
        <v>41593</v>
      </c>
      <c r="J2219" s="788">
        <v>40813</v>
      </c>
      <c r="L2219" s="787">
        <v>1.66</v>
      </c>
      <c r="M2219" s="787">
        <v>20</v>
      </c>
      <c r="N2219" s="787">
        <v>2</v>
      </c>
      <c r="O2219" s="788">
        <v>42123</v>
      </c>
    </row>
    <row r="2220" spans="1:15" x14ac:dyDescent="0.25">
      <c r="A2220" s="786" t="s">
        <v>4748</v>
      </c>
      <c r="B2220" s="787">
        <v>4</v>
      </c>
      <c r="C2220" s="787" t="s">
        <v>4749</v>
      </c>
      <c r="D2220" s="787">
        <v>5.2</v>
      </c>
      <c r="E2220" s="787">
        <v>5.4</v>
      </c>
      <c r="F2220" s="788">
        <v>39261</v>
      </c>
      <c r="G2220" s="788">
        <v>41330</v>
      </c>
      <c r="H2220" s="787">
        <v>1</v>
      </c>
      <c r="I2220" s="788">
        <v>41719</v>
      </c>
      <c r="J2220" s="788">
        <v>41584</v>
      </c>
      <c r="L2220" s="787">
        <v>5.4</v>
      </c>
      <c r="M2220" s="787">
        <v>20</v>
      </c>
      <c r="N2220" s="787">
        <v>5.81</v>
      </c>
      <c r="O2220" s="788">
        <v>41858</v>
      </c>
    </row>
    <row r="2221" spans="1:15" x14ac:dyDescent="0.25">
      <c r="A2221" s="786" t="s">
        <v>4750</v>
      </c>
      <c r="B2221" s="787">
        <v>4</v>
      </c>
      <c r="C2221" s="787" t="s">
        <v>4751</v>
      </c>
      <c r="D2221" s="787">
        <v>0</v>
      </c>
      <c r="E2221" s="787">
        <v>0</v>
      </c>
      <c r="F2221" s="788">
        <v>39975</v>
      </c>
      <c r="G2221" s="788">
        <v>38736</v>
      </c>
      <c r="H2221" s="787">
        <v>1</v>
      </c>
      <c r="I2221" s="788">
        <v>39220</v>
      </c>
      <c r="J2221" s="788">
        <v>39149</v>
      </c>
      <c r="L2221" s="787">
        <v>0</v>
      </c>
      <c r="M2221" s="787">
        <v>20</v>
      </c>
      <c r="N2221" s="787">
        <v>0</v>
      </c>
      <c r="O2221" s="788">
        <v>40824</v>
      </c>
    </row>
    <row r="2222" spans="1:15" x14ac:dyDescent="0.25">
      <c r="A2222" s="786" t="s">
        <v>4752</v>
      </c>
      <c r="B2222" s="787">
        <v>4</v>
      </c>
      <c r="C2222" s="787" t="s">
        <v>4753</v>
      </c>
      <c r="D2222" s="787">
        <v>2.63</v>
      </c>
      <c r="E2222" s="787">
        <v>2.74</v>
      </c>
      <c r="F2222" s="788">
        <v>41072</v>
      </c>
      <c r="G2222" s="788">
        <v>42150</v>
      </c>
      <c r="H2222" s="787">
        <v>1</v>
      </c>
      <c r="I2222" s="788">
        <v>42163</v>
      </c>
      <c r="J2222" s="788">
        <v>42144</v>
      </c>
      <c r="K2222" s="788">
        <v>41869</v>
      </c>
      <c r="L2222" s="787">
        <v>2.74</v>
      </c>
      <c r="M2222" s="787">
        <v>20</v>
      </c>
      <c r="N2222" s="787">
        <v>3</v>
      </c>
      <c r="O2222" s="788">
        <v>42163</v>
      </c>
    </row>
    <row r="2223" spans="1:15" x14ac:dyDescent="0.25">
      <c r="A2223" s="786" t="s">
        <v>4754</v>
      </c>
      <c r="B2223" s="787">
        <v>4</v>
      </c>
      <c r="C2223" s="787" t="s">
        <v>4755</v>
      </c>
      <c r="D2223" s="787">
        <v>0.31</v>
      </c>
      <c r="E2223" s="787">
        <v>10.84</v>
      </c>
      <c r="F2223" s="788">
        <v>39591</v>
      </c>
      <c r="G2223" s="788">
        <v>42013</v>
      </c>
      <c r="H2223" s="787">
        <v>1</v>
      </c>
      <c r="I2223" s="788">
        <v>42158</v>
      </c>
      <c r="J2223" s="788">
        <v>41892</v>
      </c>
      <c r="K2223" s="788">
        <v>41869</v>
      </c>
      <c r="L2223" s="787">
        <v>10.88</v>
      </c>
      <c r="M2223" s="787">
        <v>20</v>
      </c>
      <c r="N2223" s="787">
        <v>13.1</v>
      </c>
      <c r="O2223" s="788">
        <v>41991</v>
      </c>
    </row>
    <row r="2224" spans="1:15" x14ac:dyDescent="0.25">
      <c r="A2224" s="786" t="s">
        <v>4756</v>
      </c>
      <c r="B2224" s="787">
        <v>4</v>
      </c>
      <c r="C2224" s="787" t="s">
        <v>4755</v>
      </c>
      <c r="D2224" s="787">
        <v>4.2</v>
      </c>
      <c r="E2224" s="787">
        <v>16.079999999999998</v>
      </c>
      <c r="F2224" s="788">
        <v>39771</v>
      </c>
      <c r="G2224" s="788">
        <v>42013</v>
      </c>
      <c r="H2224" s="787">
        <v>1</v>
      </c>
      <c r="I2224" s="788">
        <v>42144</v>
      </c>
      <c r="J2224" s="788">
        <v>41964</v>
      </c>
      <c r="K2224" s="788">
        <v>41869</v>
      </c>
      <c r="L2224" s="787">
        <v>15.17</v>
      </c>
      <c r="M2224" s="787">
        <v>20</v>
      </c>
      <c r="N2224" s="787">
        <v>18.260000000000002</v>
      </c>
      <c r="O2224" s="788">
        <v>41991</v>
      </c>
    </row>
    <row r="2225" spans="1:15" x14ac:dyDescent="0.25">
      <c r="A2225" s="786" t="s">
        <v>4757</v>
      </c>
      <c r="B2225" s="787">
        <v>4</v>
      </c>
      <c r="C2225" s="787" t="s">
        <v>4758</v>
      </c>
      <c r="D2225" s="787">
        <v>9.07</v>
      </c>
      <c r="E2225" s="787">
        <v>31.37</v>
      </c>
      <c r="F2225" s="788">
        <v>39771</v>
      </c>
      <c r="G2225" s="788">
        <v>42091</v>
      </c>
      <c r="H2225" s="787">
        <v>1</v>
      </c>
      <c r="I2225" s="788">
        <v>42136</v>
      </c>
      <c r="J2225" s="788">
        <v>42074</v>
      </c>
      <c r="K2225" s="788">
        <v>41869</v>
      </c>
      <c r="L2225" s="787">
        <v>31.06</v>
      </c>
      <c r="M2225" s="787">
        <v>20</v>
      </c>
      <c r="N2225" s="787">
        <v>37.4</v>
      </c>
      <c r="O2225" s="788">
        <v>41991</v>
      </c>
    </row>
    <row r="2226" spans="1:15" x14ac:dyDescent="0.25">
      <c r="A2226" s="786" t="s">
        <v>4759</v>
      </c>
      <c r="B2226" s="787">
        <v>4</v>
      </c>
      <c r="C2226" s="787" t="s">
        <v>4760</v>
      </c>
      <c r="D2226" s="787">
        <v>2.94</v>
      </c>
      <c r="E2226" s="787">
        <v>32.04</v>
      </c>
      <c r="F2226" s="788">
        <v>39101</v>
      </c>
      <c r="G2226" s="788">
        <v>42135</v>
      </c>
      <c r="H2226" s="787">
        <v>1</v>
      </c>
      <c r="I2226" s="788">
        <v>42163</v>
      </c>
      <c r="J2226" s="788">
        <v>42124</v>
      </c>
      <c r="K2226" s="788">
        <v>40596</v>
      </c>
      <c r="L2226" s="787">
        <v>26.23</v>
      </c>
      <c r="M2226" s="787">
        <v>20</v>
      </c>
      <c r="N2226" s="787">
        <v>28.2</v>
      </c>
      <c r="O2226" s="788">
        <v>42162</v>
      </c>
    </row>
    <row r="2227" spans="1:15" x14ac:dyDescent="0.25">
      <c r="A2227" s="786" t="s">
        <v>4761</v>
      </c>
      <c r="B2227" s="787">
        <v>4</v>
      </c>
      <c r="C2227" s="787" t="s">
        <v>4762</v>
      </c>
      <c r="D2227" s="787">
        <v>1.05</v>
      </c>
      <c r="E2227" s="787">
        <v>31.05</v>
      </c>
      <c r="F2227" s="788">
        <v>39975</v>
      </c>
      <c r="G2227" s="788">
        <v>42013</v>
      </c>
      <c r="H2227" s="787">
        <v>1</v>
      </c>
      <c r="I2227" s="788">
        <v>42115</v>
      </c>
      <c r="J2227" s="788">
        <v>41610</v>
      </c>
      <c r="L2227" s="787">
        <v>37.75</v>
      </c>
      <c r="M2227" s="787">
        <v>20</v>
      </c>
      <c r="N2227" s="787">
        <v>48.7</v>
      </c>
      <c r="O2227" s="788">
        <v>41858</v>
      </c>
    </row>
    <row r="2228" spans="1:15" x14ac:dyDescent="0.25">
      <c r="A2228" s="786" t="s">
        <v>4763</v>
      </c>
      <c r="B2228" s="787">
        <v>4</v>
      </c>
      <c r="C2228" s="787" t="s">
        <v>4764</v>
      </c>
      <c r="D2228" s="787">
        <v>5.16</v>
      </c>
      <c r="E2228" s="787">
        <v>105.78</v>
      </c>
      <c r="F2228" s="788">
        <v>39101</v>
      </c>
      <c r="G2228" s="788">
        <v>42109</v>
      </c>
      <c r="H2228" s="787">
        <v>1</v>
      </c>
      <c r="I2228" s="788">
        <v>42163</v>
      </c>
      <c r="J2228" s="788">
        <v>42096</v>
      </c>
      <c r="K2228" s="788">
        <v>40596</v>
      </c>
      <c r="L2228" s="787">
        <v>87.91</v>
      </c>
      <c r="M2228" s="787">
        <v>20</v>
      </c>
      <c r="N2228" s="787">
        <v>113.4</v>
      </c>
      <c r="O2228" s="788">
        <v>42123</v>
      </c>
    </row>
    <row r="2229" spans="1:15" x14ac:dyDescent="0.25">
      <c r="A2229" s="786" t="s">
        <v>435</v>
      </c>
      <c r="B2229" s="787">
        <v>4</v>
      </c>
      <c r="C2229" s="787" t="s">
        <v>4765</v>
      </c>
      <c r="D2229" s="787">
        <v>7.68</v>
      </c>
      <c r="E2229" s="787">
        <v>38.67</v>
      </c>
      <c r="F2229" s="788">
        <v>39101</v>
      </c>
      <c r="G2229" s="788">
        <v>42166</v>
      </c>
      <c r="H2229" s="787">
        <v>1</v>
      </c>
      <c r="I2229" s="788">
        <v>42166</v>
      </c>
      <c r="J2229" s="788">
        <v>42160</v>
      </c>
      <c r="K2229" s="788">
        <v>41815</v>
      </c>
      <c r="L2229" s="787">
        <v>37.93</v>
      </c>
      <c r="M2229" s="787">
        <v>20</v>
      </c>
      <c r="N2229" s="787">
        <v>48.93</v>
      </c>
      <c r="O2229" s="788">
        <v>42162</v>
      </c>
    </row>
    <row r="2230" spans="1:15" x14ac:dyDescent="0.25">
      <c r="A2230" s="786" t="s">
        <v>4766</v>
      </c>
      <c r="B2230" s="787">
        <v>4</v>
      </c>
      <c r="C2230" s="787" t="s">
        <v>4767</v>
      </c>
      <c r="D2230" s="787">
        <v>4.4000000000000004</v>
      </c>
      <c r="E2230" s="787">
        <v>116.01</v>
      </c>
      <c r="F2230" s="788">
        <v>39101</v>
      </c>
      <c r="G2230" s="788">
        <v>42013</v>
      </c>
      <c r="H2230" s="787">
        <v>1</v>
      </c>
      <c r="I2230" s="788">
        <v>42159</v>
      </c>
      <c r="J2230" s="788">
        <v>41843</v>
      </c>
      <c r="K2230" s="788">
        <v>41870</v>
      </c>
      <c r="L2230" s="787">
        <v>114.51</v>
      </c>
      <c r="M2230" s="787">
        <v>20</v>
      </c>
      <c r="N2230" s="787">
        <v>123.1</v>
      </c>
      <c r="O2230" s="788">
        <v>42163</v>
      </c>
    </row>
    <row r="2231" spans="1:15" x14ac:dyDescent="0.25">
      <c r="A2231" s="786" t="s">
        <v>4768</v>
      </c>
      <c r="B2231" s="787">
        <v>4</v>
      </c>
      <c r="C2231" s="787" t="s">
        <v>4769</v>
      </c>
      <c r="D2231" s="787">
        <v>4.38</v>
      </c>
      <c r="E2231" s="787">
        <v>34.380000000000003</v>
      </c>
      <c r="F2231" s="788">
        <v>42128</v>
      </c>
      <c r="G2231" s="788">
        <v>42142</v>
      </c>
      <c r="H2231" s="787">
        <v>1</v>
      </c>
      <c r="I2231" s="788">
        <v>42160</v>
      </c>
      <c r="J2231" s="788">
        <v>42128</v>
      </c>
      <c r="K2231" s="788">
        <v>40716</v>
      </c>
      <c r="L2231" s="787">
        <v>33.799999999999997</v>
      </c>
      <c r="M2231" s="787">
        <v>20</v>
      </c>
      <c r="N2231" s="787">
        <v>36.340000000000003</v>
      </c>
      <c r="O2231" s="788">
        <v>42146</v>
      </c>
    </row>
    <row r="2232" spans="1:15" x14ac:dyDescent="0.25">
      <c r="A2232" s="786" t="s">
        <v>4770</v>
      </c>
      <c r="B2232" s="787">
        <v>4</v>
      </c>
      <c r="C2232" s="787" t="s">
        <v>4771</v>
      </c>
      <c r="D2232" s="787">
        <v>2.69</v>
      </c>
      <c r="E2232" s="787">
        <v>2.69</v>
      </c>
      <c r="F2232" s="788">
        <v>37637</v>
      </c>
      <c r="G2232" s="788">
        <v>37637</v>
      </c>
      <c r="H2232" s="787">
        <v>1</v>
      </c>
      <c r="I2232" s="788">
        <v>37447</v>
      </c>
      <c r="J2232" s="788">
        <v>37637</v>
      </c>
      <c r="L2232" s="787">
        <v>3.19</v>
      </c>
      <c r="M2232" s="787">
        <v>10</v>
      </c>
      <c r="N2232" s="787">
        <v>4.24</v>
      </c>
      <c r="O2232" s="788">
        <v>41858</v>
      </c>
    </row>
    <row r="2233" spans="1:15" x14ac:dyDescent="0.25">
      <c r="A2233" s="786" t="s">
        <v>4772</v>
      </c>
      <c r="B2233" s="787">
        <v>4</v>
      </c>
      <c r="C2233" s="787" t="s">
        <v>4773</v>
      </c>
      <c r="D2233" s="787">
        <v>0.25</v>
      </c>
      <c r="E2233" s="787">
        <v>1.37</v>
      </c>
      <c r="F2233" s="788">
        <v>41775</v>
      </c>
      <c r="G2233" s="788">
        <v>42055</v>
      </c>
      <c r="H2233" s="787">
        <v>1</v>
      </c>
      <c r="I2233" s="788">
        <v>42164</v>
      </c>
      <c r="J2233" s="788">
        <v>42025</v>
      </c>
      <c r="L2233" s="787">
        <v>1.36</v>
      </c>
      <c r="M2233" s="787">
        <v>10</v>
      </c>
      <c r="N2233" s="787">
        <v>2.12</v>
      </c>
      <c r="O2233" s="788">
        <v>41962</v>
      </c>
    </row>
    <row r="2234" spans="1:15" x14ac:dyDescent="0.25">
      <c r="A2234" s="786" t="s">
        <v>4774</v>
      </c>
      <c r="B2234" s="787">
        <v>4</v>
      </c>
      <c r="C2234" s="787" t="s">
        <v>4775</v>
      </c>
      <c r="D2234" s="787">
        <v>0</v>
      </c>
      <c r="E2234" s="787">
        <v>0</v>
      </c>
      <c r="G2234" s="788">
        <v>40044</v>
      </c>
      <c r="H2234" s="787">
        <v>1</v>
      </c>
      <c r="J2234" s="788">
        <v>40044</v>
      </c>
      <c r="L2234" s="787">
        <v>0</v>
      </c>
      <c r="M2234" s="787">
        <v>10</v>
      </c>
      <c r="N2234" s="787">
        <v>3.03</v>
      </c>
      <c r="O2234" s="788">
        <v>41858</v>
      </c>
    </row>
    <row r="2235" spans="1:15" x14ac:dyDescent="0.25">
      <c r="A2235" s="786" t="s">
        <v>4776</v>
      </c>
      <c r="B2235" s="787">
        <v>4</v>
      </c>
      <c r="C2235" s="787" t="s">
        <v>4777</v>
      </c>
      <c r="D2235" s="787">
        <v>0.38</v>
      </c>
      <c r="E2235" s="787">
        <v>0.38</v>
      </c>
      <c r="F2235" s="788">
        <v>37637</v>
      </c>
      <c r="G2235" s="788">
        <v>37637</v>
      </c>
      <c r="H2235" s="787">
        <v>1</v>
      </c>
      <c r="I2235" s="788">
        <v>37511</v>
      </c>
      <c r="J2235" s="788">
        <v>37637</v>
      </c>
      <c r="L2235" s="787">
        <v>37.97</v>
      </c>
      <c r="M2235" s="787">
        <v>10</v>
      </c>
      <c r="N2235" s="787">
        <v>49.15</v>
      </c>
      <c r="O2235" s="788">
        <v>41858</v>
      </c>
    </row>
    <row r="2236" spans="1:15" x14ac:dyDescent="0.25">
      <c r="A2236" s="786" t="s">
        <v>4778</v>
      </c>
      <c r="B2236" s="787">
        <v>4</v>
      </c>
      <c r="C2236" s="787" t="s">
        <v>4779</v>
      </c>
      <c r="D2236" s="787">
        <v>0</v>
      </c>
      <c r="E2236" s="787">
        <v>0</v>
      </c>
      <c r="G2236" s="788">
        <v>40914</v>
      </c>
      <c r="H2236" s="787">
        <v>1</v>
      </c>
      <c r="I2236" s="788">
        <v>41103</v>
      </c>
      <c r="J2236" s="788">
        <v>40506</v>
      </c>
      <c r="L2236" s="787">
        <v>0</v>
      </c>
      <c r="M2236" s="787">
        <v>10</v>
      </c>
      <c r="N2236" s="787">
        <v>2.64</v>
      </c>
      <c r="O2236" s="788">
        <v>41858</v>
      </c>
    </row>
    <row r="2237" spans="1:15" x14ac:dyDescent="0.25">
      <c r="A2237" s="786" t="s">
        <v>4780</v>
      </c>
      <c r="B2237" s="787">
        <v>4</v>
      </c>
      <c r="C2237" s="787" t="s">
        <v>4781</v>
      </c>
      <c r="D2237" s="787">
        <v>8.9499999999999993</v>
      </c>
      <c r="E2237" s="787">
        <v>8.9499999999999993</v>
      </c>
      <c r="F2237" s="788">
        <v>39101</v>
      </c>
      <c r="G2237" s="788">
        <v>40178</v>
      </c>
      <c r="H2237" s="787">
        <v>1</v>
      </c>
      <c r="I2237" s="788">
        <v>39948</v>
      </c>
      <c r="J2237" s="788">
        <v>39149</v>
      </c>
      <c r="L2237" s="787">
        <v>11.76</v>
      </c>
      <c r="M2237" s="787">
        <v>20</v>
      </c>
      <c r="N2237" s="787">
        <v>15.17</v>
      </c>
      <c r="O2237" s="788">
        <v>42127</v>
      </c>
    </row>
    <row r="2238" spans="1:15" x14ac:dyDescent="0.25">
      <c r="A2238" s="786" t="s">
        <v>4782</v>
      </c>
      <c r="B2238" s="787">
        <v>4</v>
      </c>
      <c r="C2238" s="787" t="s">
        <v>4783</v>
      </c>
      <c r="D2238" s="787">
        <v>2.35</v>
      </c>
      <c r="E2238" s="787">
        <v>2.35</v>
      </c>
      <c r="F2238" s="788">
        <v>39101</v>
      </c>
      <c r="G2238" s="788">
        <v>39101</v>
      </c>
      <c r="H2238" s="787">
        <v>1</v>
      </c>
      <c r="I2238" s="788">
        <v>40731</v>
      </c>
      <c r="J2238" s="788">
        <v>39101</v>
      </c>
      <c r="L2238" s="787">
        <v>3.07</v>
      </c>
      <c r="M2238" s="787">
        <v>20</v>
      </c>
      <c r="N2238" s="787">
        <v>3.96</v>
      </c>
      <c r="O2238" s="788">
        <v>41858</v>
      </c>
    </row>
    <row r="2239" spans="1:15" x14ac:dyDescent="0.25">
      <c r="A2239" s="786" t="s">
        <v>4784</v>
      </c>
      <c r="B2239" s="787">
        <v>4</v>
      </c>
      <c r="C2239" s="787" t="s">
        <v>4785</v>
      </c>
      <c r="D2239" s="787">
        <v>9.35</v>
      </c>
      <c r="E2239" s="787">
        <v>15.51</v>
      </c>
      <c r="F2239" s="788">
        <v>39101</v>
      </c>
      <c r="G2239" s="788">
        <v>42013</v>
      </c>
      <c r="H2239" s="787">
        <v>1</v>
      </c>
      <c r="I2239" s="788">
        <v>42160</v>
      </c>
      <c r="J2239" s="788">
        <v>41956</v>
      </c>
      <c r="K2239" s="788">
        <v>40996</v>
      </c>
      <c r="L2239" s="787">
        <v>14.49</v>
      </c>
      <c r="M2239" s="787">
        <v>20</v>
      </c>
      <c r="N2239" s="787">
        <v>15.58</v>
      </c>
      <c r="O2239" s="788">
        <v>41858</v>
      </c>
    </row>
    <row r="2240" spans="1:15" x14ac:dyDescent="0.25">
      <c r="A2240" s="786" t="s">
        <v>4786</v>
      </c>
      <c r="B2240" s="787">
        <v>4</v>
      </c>
      <c r="C2240" s="787" t="s">
        <v>4787</v>
      </c>
      <c r="D2240" s="787">
        <v>3.13</v>
      </c>
      <c r="E2240" s="787">
        <v>4.1500000000000004</v>
      </c>
      <c r="F2240" s="788">
        <v>39101</v>
      </c>
      <c r="G2240" s="788">
        <v>42109</v>
      </c>
      <c r="H2240" s="787">
        <v>1</v>
      </c>
      <c r="I2240" s="788">
        <v>42157</v>
      </c>
      <c r="J2240" s="788">
        <v>42158</v>
      </c>
      <c r="K2240" s="788">
        <v>40294</v>
      </c>
      <c r="L2240" s="787">
        <v>4.1500000000000004</v>
      </c>
      <c r="M2240" s="787">
        <v>20</v>
      </c>
      <c r="N2240" s="787">
        <v>5.35</v>
      </c>
      <c r="O2240" s="788">
        <v>42146</v>
      </c>
    </row>
    <row r="2241" spans="1:15" x14ac:dyDescent="0.25">
      <c r="A2241" s="786" t="s">
        <v>4788</v>
      </c>
      <c r="B2241" s="787">
        <v>4</v>
      </c>
      <c r="C2241" s="787" t="s">
        <v>4789</v>
      </c>
      <c r="D2241" s="787">
        <v>0.87</v>
      </c>
      <c r="E2241" s="787">
        <v>1.33</v>
      </c>
      <c r="F2241" s="788">
        <v>41855</v>
      </c>
      <c r="G2241" s="788">
        <v>42157</v>
      </c>
      <c r="H2241" s="787">
        <v>1</v>
      </c>
      <c r="I2241" s="788">
        <v>42166</v>
      </c>
      <c r="J2241" s="788">
        <v>42157</v>
      </c>
      <c r="L2241" s="787">
        <v>2.5</v>
      </c>
      <c r="M2241" s="787">
        <v>10</v>
      </c>
      <c r="N2241" s="787">
        <v>1.67</v>
      </c>
      <c r="O2241" s="788">
        <v>42068</v>
      </c>
    </row>
    <row r="2242" spans="1:15" x14ac:dyDescent="0.25">
      <c r="A2242" s="786" t="s">
        <v>4790</v>
      </c>
      <c r="B2242" s="787">
        <v>4</v>
      </c>
      <c r="C2242" s="787" t="s">
        <v>4791</v>
      </c>
      <c r="D2242" s="787">
        <v>1.61</v>
      </c>
      <c r="E2242" s="787">
        <v>2.19</v>
      </c>
      <c r="F2242" s="788">
        <v>42146</v>
      </c>
      <c r="G2242" s="788">
        <v>42116</v>
      </c>
      <c r="H2242" s="787">
        <v>1</v>
      </c>
      <c r="I2242" s="788">
        <v>42165</v>
      </c>
      <c r="J2242" s="788">
        <v>42152</v>
      </c>
      <c r="K2242" s="788">
        <v>41961</v>
      </c>
      <c r="L2242" s="787">
        <v>2.5</v>
      </c>
      <c r="M2242" s="787">
        <v>10</v>
      </c>
      <c r="N2242" s="787">
        <v>2.5</v>
      </c>
      <c r="O2242" s="788">
        <v>41961</v>
      </c>
    </row>
    <row r="2243" spans="1:15" x14ac:dyDescent="0.25">
      <c r="A2243" s="786" t="s">
        <v>4792</v>
      </c>
      <c r="B2243" s="787">
        <v>4</v>
      </c>
      <c r="C2243" s="787" t="s">
        <v>4793</v>
      </c>
      <c r="D2243" s="787">
        <v>5.92</v>
      </c>
      <c r="E2243" s="787">
        <v>5.92</v>
      </c>
      <c r="F2243" s="788">
        <v>37637</v>
      </c>
      <c r="G2243" s="788">
        <v>37637</v>
      </c>
      <c r="H2243" s="787">
        <v>1</v>
      </c>
      <c r="I2243" s="788">
        <v>41848</v>
      </c>
      <c r="J2243" s="788">
        <v>41848</v>
      </c>
      <c r="L2243" s="787">
        <v>7.74</v>
      </c>
      <c r="M2243" s="787">
        <v>20</v>
      </c>
      <c r="N2243" s="787">
        <v>9.98</v>
      </c>
      <c r="O2243" s="788">
        <v>41858</v>
      </c>
    </row>
    <row r="2244" spans="1:15" x14ac:dyDescent="0.25">
      <c r="A2244" s="786" t="s">
        <v>4794</v>
      </c>
      <c r="B2244" s="787">
        <v>4</v>
      </c>
      <c r="C2244" s="787" t="s">
        <v>4795</v>
      </c>
      <c r="D2244" s="787">
        <v>7.73</v>
      </c>
      <c r="E2244" s="787">
        <v>7.73</v>
      </c>
      <c r="F2244" s="788">
        <v>39975</v>
      </c>
      <c r="G2244" s="788">
        <v>42013</v>
      </c>
      <c r="H2244" s="787">
        <v>6</v>
      </c>
      <c r="I2244" s="788">
        <v>41074</v>
      </c>
      <c r="J2244" s="788">
        <v>39149</v>
      </c>
      <c r="K2244" s="788">
        <v>41869</v>
      </c>
      <c r="L2244" s="787">
        <v>7.73</v>
      </c>
      <c r="M2244" s="787">
        <v>20</v>
      </c>
      <c r="N2244" s="787">
        <v>15.6</v>
      </c>
      <c r="O2244" s="788">
        <v>41858</v>
      </c>
    </row>
    <row r="2245" spans="1:15" x14ac:dyDescent="0.25">
      <c r="A2245" s="786" t="s">
        <v>4796</v>
      </c>
      <c r="B2245" s="787">
        <v>4</v>
      </c>
      <c r="C2245" s="787" t="s">
        <v>4797</v>
      </c>
      <c r="D2245" s="787">
        <v>8.4700000000000006</v>
      </c>
      <c r="E2245" s="787">
        <v>8.7799999999999994</v>
      </c>
      <c r="F2245" s="788">
        <v>39101</v>
      </c>
      <c r="G2245" s="788">
        <v>42013</v>
      </c>
      <c r="H2245" s="787">
        <v>1</v>
      </c>
      <c r="I2245" s="788">
        <v>42076</v>
      </c>
      <c r="J2245" s="788">
        <v>40092</v>
      </c>
      <c r="L2245" s="787">
        <v>10.76</v>
      </c>
      <c r="M2245" s="787">
        <v>20</v>
      </c>
      <c r="N2245" s="787">
        <v>13.88</v>
      </c>
      <c r="O2245" s="788">
        <v>42162</v>
      </c>
    </row>
    <row r="2246" spans="1:15" x14ac:dyDescent="0.25">
      <c r="A2246" s="786" t="s">
        <v>4798</v>
      </c>
      <c r="B2246" s="787">
        <v>4</v>
      </c>
      <c r="C2246" s="787" t="s">
        <v>4799</v>
      </c>
      <c r="D2246" s="787">
        <v>5.55</v>
      </c>
      <c r="E2246" s="787">
        <v>5.55</v>
      </c>
      <c r="F2246" s="788">
        <v>38047</v>
      </c>
      <c r="G2246" s="788">
        <v>38047</v>
      </c>
      <c r="H2246" s="787">
        <v>1</v>
      </c>
      <c r="I2246" s="788">
        <v>37391</v>
      </c>
      <c r="J2246" s="788">
        <v>38047</v>
      </c>
      <c r="L2246" s="787">
        <v>7.26</v>
      </c>
      <c r="M2246" s="787">
        <v>20</v>
      </c>
      <c r="N2246" s="787">
        <v>9.3699999999999992</v>
      </c>
      <c r="O2246" s="788">
        <v>41858</v>
      </c>
    </row>
    <row r="2247" spans="1:15" x14ac:dyDescent="0.25">
      <c r="A2247" s="786" t="s">
        <v>4800</v>
      </c>
      <c r="B2247" s="787">
        <v>4</v>
      </c>
      <c r="C2247" s="787" t="s">
        <v>4801</v>
      </c>
      <c r="D2247" s="787">
        <v>5.05</v>
      </c>
      <c r="E2247" s="787">
        <v>25.05</v>
      </c>
      <c r="F2247" s="788">
        <v>39661</v>
      </c>
      <c r="G2247" s="788">
        <v>40178</v>
      </c>
      <c r="H2247" s="787">
        <v>1</v>
      </c>
      <c r="I2247" s="788">
        <v>40423</v>
      </c>
      <c r="J2247" s="788">
        <v>39647</v>
      </c>
      <c r="L2247" s="787">
        <v>25.05</v>
      </c>
      <c r="M2247" s="787">
        <v>20</v>
      </c>
      <c r="N2247" s="787">
        <v>32.31</v>
      </c>
      <c r="O2247" s="788">
        <v>41858</v>
      </c>
    </row>
    <row r="2248" spans="1:15" x14ac:dyDescent="0.25">
      <c r="A2248" s="786" t="s">
        <v>4802</v>
      </c>
      <c r="B2248" s="787">
        <v>4</v>
      </c>
      <c r="C2248" s="787" t="s">
        <v>4801</v>
      </c>
      <c r="D2248" s="787">
        <v>5.28</v>
      </c>
      <c r="E2248" s="787">
        <v>25.28</v>
      </c>
      <c r="F2248" s="788">
        <v>40451</v>
      </c>
      <c r="G2248" s="788">
        <v>40553</v>
      </c>
      <c r="H2248" s="787">
        <v>1</v>
      </c>
      <c r="I2248" s="788">
        <v>40535</v>
      </c>
      <c r="J2248" s="788">
        <v>40421</v>
      </c>
      <c r="K2248" s="788">
        <v>40399</v>
      </c>
      <c r="L2248" s="787">
        <v>24.65</v>
      </c>
      <c r="M2248" s="787">
        <v>20</v>
      </c>
      <c r="N2248" s="787">
        <v>31.8</v>
      </c>
      <c r="O2248" s="788">
        <v>41858</v>
      </c>
    </row>
    <row r="2249" spans="1:15" x14ac:dyDescent="0.25">
      <c r="A2249" s="786" t="s">
        <v>4803</v>
      </c>
      <c r="B2249" s="787">
        <v>4</v>
      </c>
      <c r="C2249" s="787" t="s">
        <v>4804</v>
      </c>
      <c r="D2249" s="787">
        <v>9.16</v>
      </c>
      <c r="E2249" s="787">
        <v>11.54</v>
      </c>
      <c r="F2249" s="788">
        <v>40638</v>
      </c>
      <c r="G2249" s="788">
        <v>42150</v>
      </c>
      <c r="H2249" s="787">
        <v>1</v>
      </c>
      <c r="I2249" s="788">
        <v>42165</v>
      </c>
      <c r="J2249" s="788">
        <v>42124</v>
      </c>
      <c r="K2249" s="788">
        <v>40996</v>
      </c>
      <c r="L2249" s="787">
        <v>10.039999999999999</v>
      </c>
      <c r="M2249" s="787">
        <v>20</v>
      </c>
      <c r="N2249" s="787">
        <v>12.95</v>
      </c>
      <c r="O2249" s="788">
        <v>42152</v>
      </c>
    </row>
    <row r="2250" spans="1:15" x14ac:dyDescent="0.25">
      <c r="A2250" s="786" t="s">
        <v>4805</v>
      </c>
      <c r="B2250" s="787">
        <v>4</v>
      </c>
      <c r="C2250" s="787" t="s">
        <v>4806</v>
      </c>
      <c r="D2250" s="787">
        <v>5.2</v>
      </c>
      <c r="E2250" s="787">
        <v>5.2</v>
      </c>
      <c r="F2250" s="788">
        <v>40723</v>
      </c>
      <c r="G2250" s="788">
        <v>40914</v>
      </c>
      <c r="H2250" s="787">
        <v>1</v>
      </c>
      <c r="I2250" s="788">
        <v>42157</v>
      </c>
      <c r="J2250" s="788">
        <v>40723</v>
      </c>
      <c r="K2250" s="788">
        <v>40996</v>
      </c>
      <c r="L2250" s="787">
        <v>6.8</v>
      </c>
      <c r="M2250" s="787">
        <v>20</v>
      </c>
      <c r="N2250" s="787">
        <v>8.77</v>
      </c>
      <c r="O2250" s="788">
        <v>42163</v>
      </c>
    </row>
    <row r="2251" spans="1:15" x14ac:dyDescent="0.25">
      <c r="A2251" s="786" t="s">
        <v>4807</v>
      </c>
      <c r="B2251" s="787">
        <v>4</v>
      </c>
      <c r="C2251" s="787" t="s">
        <v>4808</v>
      </c>
      <c r="D2251" s="787">
        <v>4.32</v>
      </c>
      <c r="E2251" s="787">
        <v>19.5</v>
      </c>
      <c r="F2251" s="788">
        <v>41071</v>
      </c>
      <c r="G2251" s="788">
        <v>42013</v>
      </c>
      <c r="H2251" s="787">
        <v>1</v>
      </c>
      <c r="I2251" s="788">
        <v>42164</v>
      </c>
      <c r="J2251" s="788">
        <v>41908</v>
      </c>
      <c r="K2251" s="788">
        <v>41928</v>
      </c>
      <c r="L2251" s="787">
        <v>17.100000000000001</v>
      </c>
      <c r="M2251" s="787">
        <v>20</v>
      </c>
      <c r="N2251" s="787">
        <v>20.12</v>
      </c>
      <c r="O2251" s="788">
        <v>41858</v>
      </c>
    </row>
    <row r="2252" spans="1:15" x14ac:dyDescent="0.25">
      <c r="A2252" s="786" t="s">
        <v>4809</v>
      </c>
      <c r="B2252" s="787">
        <v>4</v>
      </c>
      <c r="C2252" s="787" t="s">
        <v>4810</v>
      </c>
      <c r="D2252" s="787">
        <v>9.01</v>
      </c>
      <c r="E2252" s="787">
        <v>9.01</v>
      </c>
      <c r="F2252" s="788">
        <v>39101</v>
      </c>
      <c r="G2252" s="788">
        <v>42013</v>
      </c>
      <c r="H2252" s="787">
        <v>1</v>
      </c>
      <c r="I2252" s="788">
        <v>42164</v>
      </c>
      <c r="J2252" s="788">
        <v>41844</v>
      </c>
      <c r="L2252" s="787">
        <v>11.79</v>
      </c>
      <c r="M2252" s="787">
        <v>20</v>
      </c>
      <c r="N2252" s="787">
        <v>15.21</v>
      </c>
      <c r="O2252" s="788">
        <v>41858</v>
      </c>
    </row>
    <row r="2253" spans="1:15" x14ac:dyDescent="0.25">
      <c r="A2253" s="786" t="s">
        <v>4811</v>
      </c>
      <c r="B2253" s="787">
        <v>4</v>
      </c>
      <c r="C2253" s="787" t="s">
        <v>4812</v>
      </c>
      <c r="D2253" s="787">
        <v>4.58</v>
      </c>
      <c r="E2253" s="787">
        <v>23.3</v>
      </c>
      <c r="F2253" s="788">
        <v>38047</v>
      </c>
      <c r="G2253" s="788">
        <v>42064</v>
      </c>
      <c r="H2253" s="787">
        <v>1</v>
      </c>
      <c r="I2253" s="788">
        <v>42144</v>
      </c>
      <c r="J2253" s="788">
        <v>42046</v>
      </c>
      <c r="K2253" s="788">
        <v>42038</v>
      </c>
      <c r="L2253" s="787">
        <v>20.9</v>
      </c>
      <c r="M2253" s="787">
        <v>20</v>
      </c>
      <c r="N2253" s="787">
        <v>26.96</v>
      </c>
      <c r="O2253" s="788">
        <v>42038</v>
      </c>
    </row>
    <row r="2254" spans="1:15" x14ac:dyDescent="0.25">
      <c r="A2254" s="786" t="s">
        <v>4813</v>
      </c>
      <c r="B2254" s="787">
        <v>4</v>
      </c>
      <c r="C2254" s="787" t="s">
        <v>4814</v>
      </c>
      <c r="D2254" s="787">
        <v>1.93</v>
      </c>
      <c r="E2254" s="787">
        <v>25.15</v>
      </c>
      <c r="F2254" s="788">
        <v>39975</v>
      </c>
      <c r="G2254" s="788">
        <v>40030</v>
      </c>
      <c r="H2254" s="787">
        <v>1</v>
      </c>
      <c r="I2254" s="788">
        <v>40392</v>
      </c>
      <c r="J2254" s="788">
        <v>40030</v>
      </c>
      <c r="K2254" s="788">
        <v>40023</v>
      </c>
      <c r="L2254" s="787">
        <v>33.65</v>
      </c>
      <c r="M2254" s="787">
        <v>20</v>
      </c>
      <c r="N2254" s="787">
        <v>43.41</v>
      </c>
      <c r="O2254" s="788">
        <v>41858</v>
      </c>
    </row>
    <row r="2255" spans="1:15" x14ac:dyDescent="0.25">
      <c r="A2255" s="786" t="s">
        <v>4815</v>
      </c>
      <c r="B2255" s="787">
        <v>4</v>
      </c>
      <c r="C2255" s="787" t="s">
        <v>4816</v>
      </c>
      <c r="D2255" s="787">
        <v>3.07</v>
      </c>
      <c r="E2255" s="787">
        <v>3.07</v>
      </c>
      <c r="F2255" s="788">
        <v>37637</v>
      </c>
      <c r="G2255" s="788">
        <v>37637</v>
      </c>
      <c r="H2255" s="787">
        <v>1</v>
      </c>
      <c r="J2255" s="788">
        <v>37637</v>
      </c>
      <c r="L2255" s="787">
        <v>2.63</v>
      </c>
      <c r="M2255" s="787">
        <v>10</v>
      </c>
      <c r="N2255" s="787">
        <v>4.2300000000000004</v>
      </c>
      <c r="O2255" s="788">
        <v>41858</v>
      </c>
    </row>
    <row r="2256" spans="1:15" x14ac:dyDescent="0.25">
      <c r="A2256" s="786" t="s">
        <v>4817</v>
      </c>
      <c r="B2256" s="787">
        <v>4</v>
      </c>
      <c r="C2256" s="787" t="s">
        <v>4818</v>
      </c>
      <c r="D2256" s="787">
        <v>2.65</v>
      </c>
      <c r="E2256" s="787">
        <v>2.65</v>
      </c>
      <c r="F2256" s="788">
        <v>37637</v>
      </c>
      <c r="G2256" s="788">
        <v>37637</v>
      </c>
      <c r="H2256" s="787">
        <v>1</v>
      </c>
      <c r="J2256" s="788">
        <v>37637</v>
      </c>
      <c r="L2256" s="787">
        <v>2.29</v>
      </c>
      <c r="M2256" s="787">
        <v>10</v>
      </c>
      <c r="N2256" s="787">
        <v>3.79</v>
      </c>
      <c r="O2256" s="788">
        <v>41858</v>
      </c>
    </row>
    <row r="2257" spans="1:15" x14ac:dyDescent="0.25">
      <c r="A2257" s="786" t="s">
        <v>4819</v>
      </c>
      <c r="B2257" s="787">
        <v>4</v>
      </c>
      <c r="C2257" s="787" t="s">
        <v>4820</v>
      </c>
      <c r="D2257" s="787">
        <v>5.47</v>
      </c>
      <c r="E2257" s="787">
        <v>26.09</v>
      </c>
      <c r="F2257" s="788">
        <v>39101</v>
      </c>
      <c r="G2257" s="788">
        <v>42013</v>
      </c>
      <c r="H2257" s="787">
        <v>1</v>
      </c>
      <c r="I2257" s="788">
        <v>42160</v>
      </c>
      <c r="J2257" s="788">
        <v>41949</v>
      </c>
      <c r="K2257" s="788">
        <v>40564</v>
      </c>
      <c r="L2257" s="787">
        <v>18.600000000000001</v>
      </c>
      <c r="M2257" s="787">
        <v>20</v>
      </c>
      <c r="N2257" s="787">
        <v>23.99</v>
      </c>
      <c r="O2257" s="788">
        <v>41858</v>
      </c>
    </row>
    <row r="2258" spans="1:15" x14ac:dyDescent="0.25">
      <c r="A2258" s="786" t="s">
        <v>4821</v>
      </c>
      <c r="B2258" s="787">
        <v>4</v>
      </c>
      <c r="C2258" s="787" t="s">
        <v>4820</v>
      </c>
      <c r="D2258" s="787">
        <v>9.23</v>
      </c>
      <c r="E2258" s="787">
        <v>21.84</v>
      </c>
      <c r="F2258" s="788">
        <v>39101</v>
      </c>
      <c r="G2258" s="788">
        <v>42013</v>
      </c>
      <c r="H2258" s="787">
        <v>1</v>
      </c>
      <c r="I2258" s="788">
        <v>42160</v>
      </c>
      <c r="J2258" s="788">
        <v>41870</v>
      </c>
      <c r="K2258" s="788">
        <v>41877</v>
      </c>
      <c r="L2258" s="787">
        <v>21.84</v>
      </c>
      <c r="M2258" s="787">
        <v>20</v>
      </c>
      <c r="N2258" s="787">
        <v>28.17</v>
      </c>
      <c r="O2258" s="788">
        <v>42164</v>
      </c>
    </row>
    <row r="2259" spans="1:15" x14ac:dyDescent="0.25">
      <c r="A2259" s="786" t="s">
        <v>4822</v>
      </c>
      <c r="B2259" s="787">
        <v>4</v>
      </c>
      <c r="C2259" s="787" t="s">
        <v>4823</v>
      </c>
      <c r="D2259" s="787">
        <v>4.32</v>
      </c>
      <c r="E2259" s="787">
        <v>29.52</v>
      </c>
      <c r="F2259" s="788">
        <v>39975</v>
      </c>
      <c r="G2259" s="788">
        <v>42013</v>
      </c>
      <c r="H2259" s="787">
        <v>1</v>
      </c>
      <c r="I2259" s="788">
        <v>42160</v>
      </c>
      <c r="J2259" s="788">
        <v>41753</v>
      </c>
      <c r="K2259" s="788">
        <v>41746</v>
      </c>
      <c r="L2259" s="787">
        <v>27.8</v>
      </c>
      <c r="M2259" s="787">
        <v>20</v>
      </c>
      <c r="N2259" s="787">
        <v>35.86</v>
      </c>
      <c r="O2259" s="788">
        <v>41858</v>
      </c>
    </row>
    <row r="2260" spans="1:15" x14ac:dyDescent="0.25">
      <c r="A2260" s="786" t="s">
        <v>4824</v>
      </c>
      <c r="B2260" s="787">
        <v>4</v>
      </c>
      <c r="C2260" s="787" t="s">
        <v>4823</v>
      </c>
      <c r="D2260" s="787">
        <v>7.48</v>
      </c>
      <c r="E2260" s="787">
        <v>31.12</v>
      </c>
      <c r="F2260" s="788">
        <v>39821</v>
      </c>
      <c r="G2260" s="788">
        <v>42150</v>
      </c>
      <c r="H2260" s="787">
        <v>1</v>
      </c>
      <c r="I2260" s="788">
        <v>42166</v>
      </c>
      <c r="J2260" s="788">
        <v>42131</v>
      </c>
      <c r="K2260" s="788">
        <v>41555</v>
      </c>
      <c r="L2260" s="787">
        <v>31.12</v>
      </c>
      <c r="M2260" s="787">
        <v>20</v>
      </c>
      <c r="N2260" s="787">
        <v>33.450000000000003</v>
      </c>
      <c r="O2260" s="788">
        <v>42164</v>
      </c>
    </row>
    <row r="2261" spans="1:15" x14ac:dyDescent="0.25">
      <c r="A2261" s="786" t="s">
        <v>4825</v>
      </c>
      <c r="B2261" s="787">
        <v>4</v>
      </c>
      <c r="C2261" s="787" t="s">
        <v>4826</v>
      </c>
      <c r="D2261" s="787">
        <v>3.08</v>
      </c>
      <c r="E2261" s="787">
        <v>36.92</v>
      </c>
      <c r="F2261" s="788">
        <v>39741</v>
      </c>
      <c r="G2261" s="788">
        <v>42142</v>
      </c>
      <c r="H2261" s="787">
        <v>1</v>
      </c>
      <c r="I2261" s="788">
        <v>42160</v>
      </c>
      <c r="J2261" s="788">
        <v>42131</v>
      </c>
      <c r="K2261" s="788">
        <v>41555</v>
      </c>
      <c r="L2261" s="787">
        <v>36.92</v>
      </c>
      <c r="M2261" s="787">
        <v>20</v>
      </c>
      <c r="N2261" s="787">
        <v>39.69</v>
      </c>
      <c r="O2261" s="788">
        <v>42164</v>
      </c>
    </row>
    <row r="2262" spans="1:15" x14ac:dyDescent="0.25">
      <c r="A2262" s="786" t="s">
        <v>4827</v>
      </c>
      <c r="B2262" s="787">
        <v>4</v>
      </c>
      <c r="C2262" s="787" t="s">
        <v>4828</v>
      </c>
      <c r="D2262" s="787">
        <v>1.1599999999999999</v>
      </c>
      <c r="E2262" s="787">
        <v>1.66</v>
      </c>
      <c r="F2262" s="788">
        <v>39101</v>
      </c>
      <c r="G2262" s="788">
        <v>41646</v>
      </c>
      <c r="H2262" s="787">
        <v>1</v>
      </c>
      <c r="I2262" s="788">
        <v>41575</v>
      </c>
      <c r="J2262" s="788">
        <v>41421</v>
      </c>
      <c r="L2262" s="787">
        <v>1.26</v>
      </c>
      <c r="M2262" s="787">
        <v>20</v>
      </c>
      <c r="N2262" s="787">
        <v>1.35</v>
      </c>
      <c r="O2262" s="788">
        <v>41858</v>
      </c>
    </row>
    <row r="2263" spans="1:15" x14ac:dyDescent="0.25">
      <c r="A2263" s="786" t="s">
        <v>4829</v>
      </c>
      <c r="B2263" s="787">
        <v>4</v>
      </c>
      <c r="C2263" s="787" t="s">
        <v>4830</v>
      </c>
      <c r="D2263" s="787">
        <v>3.42</v>
      </c>
      <c r="E2263" s="787">
        <v>13.42</v>
      </c>
      <c r="F2263" s="788">
        <v>39770</v>
      </c>
      <c r="G2263" s="788">
        <v>42030</v>
      </c>
      <c r="H2263" s="787">
        <v>1</v>
      </c>
      <c r="I2263" s="788">
        <v>42016</v>
      </c>
      <c r="J2263" s="788">
        <v>42030</v>
      </c>
      <c r="L2263" s="787">
        <v>13.42</v>
      </c>
      <c r="M2263" s="787">
        <v>20</v>
      </c>
      <c r="N2263" s="787">
        <v>14.43</v>
      </c>
      <c r="O2263" s="788">
        <v>42159</v>
      </c>
    </row>
    <row r="2264" spans="1:15" x14ac:dyDescent="0.25">
      <c r="A2264" s="786" t="s">
        <v>4831</v>
      </c>
      <c r="B2264" s="787">
        <v>4</v>
      </c>
      <c r="C2264" s="787" t="s">
        <v>4832</v>
      </c>
      <c r="D2264" s="787">
        <v>6.47</v>
      </c>
      <c r="E2264" s="787">
        <v>16.47</v>
      </c>
      <c r="F2264" s="788">
        <v>39975</v>
      </c>
      <c r="G2264" s="788">
        <v>42013</v>
      </c>
      <c r="H2264" s="787">
        <v>1</v>
      </c>
      <c r="I2264" s="788">
        <v>42016</v>
      </c>
      <c r="J2264" s="788">
        <v>39773</v>
      </c>
      <c r="L2264" s="787">
        <v>16.47</v>
      </c>
      <c r="M2264" s="787">
        <v>20</v>
      </c>
      <c r="N2264" s="787">
        <v>17.71</v>
      </c>
      <c r="O2264" s="788">
        <v>42159</v>
      </c>
    </row>
    <row r="2265" spans="1:15" x14ac:dyDescent="0.25">
      <c r="A2265" s="786" t="s">
        <v>4833</v>
      </c>
      <c r="B2265" s="787">
        <v>4</v>
      </c>
      <c r="C2265" s="787" t="s">
        <v>4834</v>
      </c>
      <c r="D2265" s="787">
        <v>2</v>
      </c>
      <c r="E2265" s="787">
        <v>292</v>
      </c>
      <c r="F2265" s="788">
        <v>41232</v>
      </c>
      <c r="G2265" s="788">
        <v>42013</v>
      </c>
      <c r="H2265" s="787">
        <v>1</v>
      </c>
      <c r="I2265" s="788">
        <v>41968</v>
      </c>
      <c r="J2265" s="788">
        <v>41984</v>
      </c>
      <c r="L2265" s="787">
        <v>292</v>
      </c>
      <c r="M2265" s="787">
        <v>20</v>
      </c>
      <c r="N2265" s="787">
        <v>376.68</v>
      </c>
      <c r="O2265" s="788">
        <v>42128</v>
      </c>
    </row>
    <row r="2266" spans="1:15" x14ac:dyDescent="0.25">
      <c r="A2266" s="786" t="s">
        <v>4835</v>
      </c>
      <c r="B2266" s="787">
        <v>4</v>
      </c>
      <c r="C2266" s="787" t="s">
        <v>4836</v>
      </c>
      <c r="D2266" s="787">
        <v>0.48</v>
      </c>
      <c r="E2266" s="787">
        <v>0.48</v>
      </c>
      <c r="F2266" s="788">
        <v>39101</v>
      </c>
      <c r="G2266" s="788">
        <v>39101</v>
      </c>
      <c r="H2266" s="787">
        <v>1</v>
      </c>
      <c r="I2266" s="788">
        <v>42164</v>
      </c>
      <c r="J2266" s="788">
        <v>41806</v>
      </c>
      <c r="L2266" s="787">
        <v>0.28999999999999998</v>
      </c>
      <c r="M2266" s="787">
        <v>20</v>
      </c>
      <c r="N2266" s="787">
        <v>0.31</v>
      </c>
      <c r="O2266" s="788">
        <v>41858</v>
      </c>
    </row>
    <row r="2267" spans="1:15" x14ac:dyDescent="0.25">
      <c r="A2267" s="786" t="s">
        <v>4837</v>
      </c>
      <c r="B2267" s="787">
        <v>4</v>
      </c>
      <c r="C2267" s="787" t="s">
        <v>4838</v>
      </c>
      <c r="D2267" s="787">
        <v>4.9000000000000004</v>
      </c>
      <c r="E2267" s="787">
        <v>7.71</v>
      </c>
      <c r="F2267" s="788">
        <v>37637</v>
      </c>
      <c r="G2267" s="788">
        <v>41646</v>
      </c>
      <c r="H2267" s="787">
        <v>1</v>
      </c>
      <c r="I2267" s="788">
        <v>41974</v>
      </c>
      <c r="J2267" s="788">
        <v>41974</v>
      </c>
      <c r="L2267" s="787">
        <v>6.41</v>
      </c>
      <c r="M2267" s="787">
        <v>20</v>
      </c>
      <c r="N2267" s="787">
        <v>8.27</v>
      </c>
      <c r="O2267" s="788">
        <v>42059</v>
      </c>
    </row>
    <row r="2268" spans="1:15" x14ac:dyDescent="0.25">
      <c r="A2268" s="786" t="s">
        <v>4839</v>
      </c>
      <c r="B2268" s="787">
        <v>4</v>
      </c>
      <c r="C2268" s="787" t="s">
        <v>4840</v>
      </c>
      <c r="D2268" s="787">
        <v>4.7</v>
      </c>
      <c r="E2268" s="787">
        <v>36.36</v>
      </c>
      <c r="F2268" s="788">
        <v>37637</v>
      </c>
      <c r="G2268" s="788">
        <v>38736</v>
      </c>
      <c r="H2268" s="787">
        <v>1</v>
      </c>
      <c r="I2268" s="788">
        <v>39134</v>
      </c>
      <c r="J2268" s="788">
        <v>38296</v>
      </c>
      <c r="L2268" s="787">
        <v>47.56</v>
      </c>
      <c r="M2268" s="787">
        <v>20</v>
      </c>
      <c r="N2268" s="787">
        <v>61.35</v>
      </c>
      <c r="O2268" s="788">
        <v>41858</v>
      </c>
    </row>
    <row r="2269" spans="1:15" x14ac:dyDescent="0.25">
      <c r="A2269" s="786" t="s">
        <v>4841</v>
      </c>
      <c r="B2269" s="787">
        <v>4</v>
      </c>
      <c r="C2269" s="787" t="s">
        <v>4842</v>
      </c>
      <c r="D2269" s="787">
        <v>0.35</v>
      </c>
      <c r="E2269" s="787">
        <v>15.42</v>
      </c>
      <c r="F2269" s="788">
        <v>37832</v>
      </c>
      <c r="G2269" s="788">
        <v>38736</v>
      </c>
      <c r="H2269" s="787">
        <v>1</v>
      </c>
      <c r="I2269" s="788">
        <v>39134</v>
      </c>
      <c r="J2269" s="788">
        <v>38713</v>
      </c>
      <c r="L2269" s="787">
        <v>13.54</v>
      </c>
      <c r="M2269" s="787">
        <v>20</v>
      </c>
      <c r="N2269" s="787">
        <v>17.47</v>
      </c>
      <c r="O2269" s="788">
        <v>41858</v>
      </c>
    </row>
    <row r="2270" spans="1:15" x14ac:dyDescent="0.25">
      <c r="A2270" s="786" t="s">
        <v>4843</v>
      </c>
      <c r="B2270" s="787">
        <v>4</v>
      </c>
      <c r="C2270" s="787" t="s">
        <v>4844</v>
      </c>
      <c r="D2270" s="787">
        <v>0.36</v>
      </c>
      <c r="E2270" s="787">
        <v>0.42</v>
      </c>
      <c r="F2270" s="788">
        <v>38364</v>
      </c>
      <c r="G2270" s="788">
        <v>39814</v>
      </c>
      <c r="H2270" s="787">
        <v>1</v>
      </c>
      <c r="I2270" s="788">
        <v>39134</v>
      </c>
      <c r="J2270" s="788">
        <v>38449</v>
      </c>
      <c r="L2270" s="787">
        <v>0.45</v>
      </c>
      <c r="M2270" s="787">
        <v>20</v>
      </c>
      <c r="N2270" s="787">
        <v>0.48</v>
      </c>
      <c r="O2270" s="788">
        <v>41858</v>
      </c>
    </row>
    <row r="2271" spans="1:15" x14ac:dyDescent="0.25">
      <c r="A2271" s="786" t="s">
        <v>4845</v>
      </c>
      <c r="B2271" s="787">
        <v>4</v>
      </c>
      <c r="C2271" s="787" t="s">
        <v>4846</v>
      </c>
      <c r="D2271" s="787">
        <v>1.38</v>
      </c>
      <c r="E2271" s="787">
        <v>1.38</v>
      </c>
      <c r="F2271" s="788">
        <v>37637</v>
      </c>
      <c r="G2271" s="788">
        <v>38736</v>
      </c>
      <c r="H2271" s="787">
        <v>1</v>
      </c>
      <c r="I2271" s="788">
        <v>39134</v>
      </c>
      <c r="J2271" s="788">
        <v>37637</v>
      </c>
      <c r="L2271" s="787">
        <v>1.5</v>
      </c>
      <c r="M2271" s="787">
        <v>20</v>
      </c>
      <c r="N2271" s="787">
        <v>1.61</v>
      </c>
      <c r="O2271" s="788">
        <v>41858</v>
      </c>
    </row>
    <row r="2272" spans="1:15" x14ac:dyDescent="0.25">
      <c r="A2272" s="786" t="s">
        <v>4847</v>
      </c>
      <c r="B2272" s="787">
        <v>4</v>
      </c>
      <c r="C2272" s="787" t="s">
        <v>4848</v>
      </c>
      <c r="D2272" s="787">
        <v>0.11</v>
      </c>
      <c r="E2272" s="787">
        <v>0.11</v>
      </c>
      <c r="F2272" s="788">
        <v>39101</v>
      </c>
      <c r="G2272" s="788">
        <v>39101</v>
      </c>
      <c r="H2272" s="787">
        <v>1</v>
      </c>
      <c r="I2272" s="788">
        <v>40107</v>
      </c>
      <c r="J2272" s="788">
        <v>39149</v>
      </c>
      <c r="L2272" s="787">
        <v>0.12</v>
      </c>
      <c r="M2272" s="787">
        <v>20</v>
      </c>
      <c r="N2272" s="787">
        <v>0.13</v>
      </c>
      <c r="O2272" s="788">
        <v>41858</v>
      </c>
    </row>
    <row r="2273" spans="1:15" x14ac:dyDescent="0.25">
      <c r="A2273" s="786" t="s">
        <v>4849</v>
      </c>
      <c r="B2273" s="787">
        <v>4</v>
      </c>
      <c r="C2273" s="787" t="s">
        <v>4846</v>
      </c>
      <c r="D2273" s="787">
        <v>0.99</v>
      </c>
      <c r="E2273" s="787">
        <v>0.99</v>
      </c>
      <c r="F2273" s="788">
        <v>37637</v>
      </c>
      <c r="G2273" s="788">
        <v>38364</v>
      </c>
      <c r="H2273" s="787">
        <v>1</v>
      </c>
      <c r="I2273" s="788">
        <v>39933</v>
      </c>
      <c r="J2273" s="788">
        <v>37637</v>
      </c>
      <c r="L2273" s="787">
        <v>1.08</v>
      </c>
      <c r="M2273" s="787">
        <v>20</v>
      </c>
      <c r="N2273" s="787">
        <v>1.1599999999999999</v>
      </c>
      <c r="O2273" s="788">
        <v>41858</v>
      </c>
    </row>
    <row r="2274" spans="1:15" x14ac:dyDescent="0.25">
      <c r="A2274" s="786" t="s">
        <v>4850</v>
      </c>
      <c r="B2274" s="787">
        <v>4</v>
      </c>
      <c r="C2274" s="787" t="s">
        <v>4846</v>
      </c>
      <c r="D2274" s="787">
        <v>0.45</v>
      </c>
      <c r="E2274" s="787">
        <v>0.45</v>
      </c>
      <c r="F2274" s="788">
        <v>37637</v>
      </c>
      <c r="G2274" s="788">
        <v>37637</v>
      </c>
      <c r="H2274" s="787">
        <v>1</v>
      </c>
      <c r="I2274" s="788">
        <v>36893</v>
      </c>
      <c r="J2274" s="788">
        <v>37637</v>
      </c>
      <c r="L2274" s="787">
        <v>0.49</v>
      </c>
      <c r="M2274" s="787">
        <v>20</v>
      </c>
      <c r="N2274" s="787">
        <v>0.53</v>
      </c>
      <c r="O2274" s="788">
        <v>41858</v>
      </c>
    </row>
    <row r="2275" spans="1:15" x14ac:dyDescent="0.25">
      <c r="A2275" s="786" t="s">
        <v>4851</v>
      </c>
      <c r="B2275" s="787">
        <v>4</v>
      </c>
      <c r="C2275" s="787" t="s">
        <v>4852</v>
      </c>
      <c r="D2275" s="787">
        <v>1.0900000000000001</v>
      </c>
      <c r="E2275" s="787">
        <v>1.0900000000000001</v>
      </c>
      <c r="F2275" s="788">
        <v>39101</v>
      </c>
      <c r="G2275" s="788">
        <v>39101</v>
      </c>
      <c r="H2275" s="787">
        <v>1</v>
      </c>
      <c r="I2275" s="788">
        <v>41222</v>
      </c>
      <c r="J2275" s="788">
        <v>39101</v>
      </c>
      <c r="L2275" s="787">
        <v>1.19</v>
      </c>
      <c r="M2275" s="787">
        <v>20</v>
      </c>
      <c r="N2275" s="787">
        <v>1.28</v>
      </c>
      <c r="O2275" s="788">
        <v>42146</v>
      </c>
    </row>
    <row r="2276" spans="1:15" x14ac:dyDescent="0.25">
      <c r="A2276" s="786" t="s">
        <v>4853</v>
      </c>
      <c r="B2276" s="787">
        <v>4</v>
      </c>
      <c r="C2276" s="787" t="s">
        <v>4846</v>
      </c>
      <c r="D2276" s="787">
        <v>0.2</v>
      </c>
      <c r="E2276" s="787">
        <v>0.2</v>
      </c>
      <c r="F2276" s="788">
        <v>37637</v>
      </c>
      <c r="G2276" s="788">
        <v>37637</v>
      </c>
      <c r="H2276" s="787">
        <v>1</v>
      </c>
      <c r="J2276" s="788">
        <v>37637</v>
      </c>
      <c r="L2276" s="787">
        <v>0.22</v>
      </c>
      <c r="M2276" s="787">
        <v>20</v>
      </c>
      <c r="N2276" s="787">
        <v>0.24</v>
      </c>
      <c r="O2276" s="788">
        <v>41858</v>
      </c>
    </row>
    <row r="2277" spans="1:15" x14ac:dyDescent="0.25">
      <c r="A2277" s="786" t="s">
        <v>4854</v>
      </c>
      <c r="B2277" s="787">
        <v>4</v>
      </c>
      <c r="C2277" s="787" t="s">
        <v>4855</v>
      </c>
      <c r="D2277" s="787">
        <v>0.36</v>
      </c>
      <c r="E2277" s="787">
        <v>0.36</v>
      </c>
      <c r="F2277" s="788">
        <v>37648</v>
      </c>
      <c r="G2277" s="788">
        <v>37648</v>
      </c>
      <c r="H2277" s="787">
        <v>1</v>
      </c>
      <c r="J2277" s="788">
        <v>37648</v>
      </c>
      <c r="L2277" s="787">
        <v>0.39</v>
      </c>
      <c r="M2277" s="787">
        <v>20</v>
      </c>
      <c r="N2277" s="787">
        <v>0.42</v>
      </c>
      <c r="O2277" s="788">
        <v>41858</v>
      </c>
    </row>
    <row r="2278" spans="1:15" x14ac:dyDescent="0.25">
      <c r="A2278" s="786" t="s">
        <v>4856</v>
      </c>
      <c r="B2278" s="787">
        <v>4</v>
      </c>
      <c r="C2278" s="787" t="s">
        <v>4857</v>
      </c>
      <c r="D2278" s="787">
        <v>2.25</v>
      </c>
      <c r="E2278" s="787">
        <v>30.22</v>
      </c>
      <c r="F2278" s="788">
        <v>37637</v>
      </c>
      <c r="G2278" s="788">
        <v>42081</v>
      </c>
      <c r="H2278" s="787">
        <v>1</v>
      </c>
      <c r="I2278" s="788">
        <v>42123</v>
      </c>
      <c r="J2278" s="788">
        <v>42066</v>
      </c>
      <c r="L2278" s="787">
        <v>16.02</v>
      </c>
      <c r="M2278" s="787">
        <v>20</v>
      </c>
      <c r="N2278" s="787">
        <v>20.67</v>
      </c>
      <c r="O2278" s="788">
        <v>42123</v>
      </c>
    </row>
    <row r="2279" spans="1:15" x14ac:dyDescent="0.25">
      <c r="A2279" s="786" t="s">
        <v>4858</v>
      </c>
      <c r="B2279" s="787">
        <v>4</v>
      </c>
      <c r="C2279" s="787" t="s">
        <v>4859</v>
      </c>
      <c r="D2279" s="787">
        <v>4.5</v>
      </c>
      <c r="E2279" s="787">
        <v>24.5</v>
      </c>
      <c r="F2279" s="788">
        <v>37637</v>
      </c>
      <c r="G2279" s="788">
        <v>37637</v>
      </c>
      <c r="H2279" s="787">
        <v>1</v>
      </c>
      <c r="J2279" s="788">
        <v>37637</v>
      </c>
      <c r="L2279" s="787">
        <v>32.049999999999997</v>
      </c>
      <c r="M2279" s="787">
        <v>20</v>
      </c>
      <c r="N2279" s="787">
        <v>41.34</v>
      </c>
      <c r="O2279" s="788">
        <v>41858</v>
      </c>
    </row>
    <row r="2280" spans="1:15" x14ac:dyDescent="0.25">
      <c r="A2280" s="786" t="s">
        <v>4860</v>
      </c>
      <c r="B2280" s="787">
        <v>4</v>
      </c>
      <c r="C2280" s="787" t="s">
        <v>4861</v>
      </c>
      <c r="D2280" s="787">
        <v>0.31</v>
      </c>
      <c r="E2280" s="787">
        <v>0.31</v>
      </c>
      <c r="F2280" s="788">
        <v>37637</v>
      </c>
      <c r="G2280" s="788">
        <v>37637</v>
      </c>
      <c r="H2280" s="787">
        <v>1</v>
      </c>
      <c r="J2280" s="788">
        <v>37637</v>
      </c>
      <c r="L2280" s="787">
        <v>0.34</v>
      </c>
      <c r="M2280" s="787">
        <v>20</v>
      </c>
      <c r="N2280" s="787">
        <v>0.37</v>
      </c>
      <c r="O2280" s="788">
        <v>41858</v>
      </c>
    </row>
    <row r="2281" spans="1:15" x14ac:dyDescent="0.25">
      <c r="A2281" s="786" t="s">
        <v>4862</v>
      </c>
      <c r="B2281" s="787">
        <v>4</v>
      </c>
      <c r="C2281" s="787" t="s">
        <v>4863</v>
      </c>
      <c r="D2281" s="787">
        <v>0.43</v>
      </c>
      <c r="E2281" s="787">
        <v>26.89</v>
      </c>
      <c r="F2281" s="788">
        <v>37637</v>
      </c>
      <c r="G2281" s="788">
        <v>41646</v>
      </c>
      <c r="H2281" s="787">
        <v>1</v>
      </c>
      <c r="I2281" s="788">
        <v>41894</v>
      </c>
      <c r="J2281" s="788">
        <v>41451</v>
      </c>
      <c r="L2281" s="787">
        <v>27.38</v>
      </c>
      <c r="M2281" s="787">
        <v>20</v>
      </c>
      <c r="N2281" s="787">
        <v>35.32</v>
      </c>
      <c r="O2281" s="788">
        <v>42019</v>
      </c>
    </row>
    <row r="2282" spans="1:15" x14ac:dyDescent="0.25">
      <c r="A2282" s="786" t="s">
        <v>4864</v>
      </c>
      <c r="B2282" s="787">
        <v>4</v>
      </c>
      <c r="C2282" s="787" t="s">
        <v>4838</v>
      </c>
      <c r="D2282" s="787">
        <v>6.69</v>
      </c>
      <c r="E2282" s="787">
        <v>9.06</v>
      </c>
      <c r="F2282" s="788">
        <v>37637</v>
      </c>
      <c r="G2282" s="788">
        <v>40868</v>
      </c>
      <c r="H2282" s="787">
        <v>1</v>
      </c>
      <c r="I2282" s="788">
        <v>40165</v>
      </c>
      <c r="J2282" s="788">
        <v>40864</v>
      </c>
      <c r="L2282" s="787">
        <v>8.75</v>
      </c>
      <c r="M2282" s="787">
        <v>20</v>
      </c>
      <c r="N2282" s="787">
        <v>11.29</v>
      </c>
      <c r="O2282" s="788">
        <v>41858</v>
      </c>
    </row>
    <row r="2283" spans="1:15" x14ac:dyDescent="0.25">
      <c r="A2283" s="786" t="s">
        <v>4865</v>
      </c>
      <c r="B2283" s="787">
        <v>4</v>
      </c>
      <c r="C2283" s="787" t="s">
        <v>4866</v>
      </c>
      <c r="D2283" s="787">
        <v>2.2400000000000002</v>
      </c>
      <c r="E2283" s="787">
        <v>3.5</v>
      </c>
      <c r="F2283" s="788">
        <v>39101</v>
      </c>
      <c r="G2283" s="788">
        <v>41899</v>
      </c>
      <c r="H2283" s="787">
        <v>1</v>
      </c>
      <c r="I2283" s="788">
        <v>42164</v>
      </c>
      <c r="J2283" s="788">
        <v>42062</v>
      </c>
      <c r="K2283" s="788">
        <v>41865</v>
      </c>
      <c r="L2283" s="787">
        <v>2.6</v>
      </c>
      <c r="M2283" s="787">
        <v>20</v>
      </c>
      <c r="N2283" s="787">
        <v>3.35</v>
      </c>
      <c r="O2283" s="788">
        <v>42159</v>
      </c>
    </row>
    <row r="2284" spans="1:15" x14ac:dyDescent="0.25">
      <c r="A2284" s="786" t="s">
        <v>4867</v>
      </c>
      <c r="B2284" s="787">
        <v>4</v>
      </c>
      <c r="C2284" s="787" t="s">
        <v>4868</v>
      </c>
      <c r="D2284" s="787">
        <v>3.44</v>
      </c>
      <c r="E2284" s="787">
        <v>26.25</v>
      </c>
      <c r="F2284" s="788">
        <v>40319</v>
      </c>
      <c r="G2284" s="788">
        <v>41904</v>
      </c>
      <c r="H2284" s="787">
        <v>1</v>
      </c>
      <c r="I2284" s="788">
        <v>42123</v>
      </c>
      <c r="J2284" s="788">
        <v>42124</v>
      </c>
      <c r="L2284" s="787">
        <v>26.25</v>
      </c>
      <c r="M2284" s="787">
        <v>20</v>
      </c>
      <c r="N2284" s="787">
        <v>28.22</v>
      </c>
      <c r="O2284" s="788">
        <v>42164</v>
      </c>
    </row>
    <row r="2285" spans="1:15" x14ac:dyDescent="0.25">
      <c r="A2285" s="786" t="s">
        <v>4869</v>
      </c>
      <c r="B2285" s="787">
        <v>4</v>
      </c>
      <c r="C2285" s="787" t="s">
        <v>4870</v>
      </c>
      <c r="D2285" s="787">
        <v>1.62</v>
      </c>
      <c r="E2285" s="787">
        <v>12.33</v>
      </c>
      <c r="F2285" s="788">
        <v>39101</v>
      </c>
      <c r="G2285" s="788">
        <v>42013</v>
      </c>
      <c r="H2285" s="787">
        <v>1</v>
      </c>
      <c r="I2285" s="788">
        <v>41542</v>
      </c>
      <c r="J2285" s="788">
        <v>39610</v>
      </c>
      <c r="L2285" s="787">
        <v>12.33</v>
      </c>
      <c r="M2285" s="787">
        <v>20</v>
      </c>
      <c r="N2285" s="787">
        <v>13.25</v>
      </c>
      <c r="O2285" s="788">
        <v>41858</v>
      </c>
    </row>
    <row r="2286" spans="1:15" x14ac:dyDescent="0.25">
      <c r="A2286" s="786" t="s">
        <v>4871</v>
      </c>
      <c r="B2286" s="787">
        <v>4</v>
      </c>
      <c r="C2286" s="787" t="s">
        <v>4749</v>
      </c>
      <c r="D2286" s="787">
        <v>8.07</v>
      </c>
      <c r="E2286" s="787">
        <v>11.63</v>
      </c>
      <c r="F2286" s="788">
        <v>38537</v>
      </c>
      <c r="G2286" s="788">
        <v>42013</v>
      </c>
      <c r="H2286" s="787">
        <v>1</v>
      </c>
      <c r="I2286" s="788">
        <v>41593</v>
      </c>
      <c r="J2286" s="788">
        <v>39944</v>
      </c>
      <c r="L2286" s="787">
        <v>11.63</v>
      </c>
      <c r="M2286" s="787">
        <v>20</v>
      </c>
      <c r="N2286" s="787">
        <v>12.5</v>
      </c>
      <c r="O2286" s="788">
        <v>42123</v>
      </c>
    </row>
    <row r="2287" spans="1:15" x14ac:dyDescent="0.25">
      <c r="A2287" s="786" t="s">
        <v>4872</v>
      </c>
      <c r="B2287" s="787">
        <v>4</v>
      </c>
      <c r="C2287" s="787" t="s">
        <v>4873</v>
      </c>
      <c r="D2287" s="787">
        <v>0.13</v>
      </c>
      <c r="E2287" s="787">
        <v>0.14000000000000001</v>
      </c>
      <c r="F2287" s="788">
        <v>39171</v>
      </c>
      <c r="G2287" s="788">
        <v>41646</v>
      </c>
      <c r="H2287" s="787">
        <v>1</v>
      </c>
      <c r="I2287" s="788">
        <v>41593</v>
      </c>
      <c r="J2287" s="788">
        <v>40389</v>
      </c>
      <c r="L2287" s="787">
        <v>0.13</v>
      </c>
      <c r="M2287" s="787">
        <v>20</v>
      </c>
      <c r="N2287" s="787">
        <v>0.16</v>
      </c>
      <c r="O2287" s="788">
        <v>42123</v>
      </c>
    </row>
    <row r="2288" spans="1:15" x14ac:dyDescent="0.25">
      <c r="A2288" s="786" t="s">
        <v>4874</v>
      </c>
      <c r="B2288" s="787">
        <v>4</v>
      </c>
      <c r="C2288" s="787" t="s">
        <v>4875</v>
      </c>
      <c r="D2288" s="787">
        <v>0</v>
      </c>
      <c r="E2288" s="787">
        <v>0</v>
      </c>
      <c r="H2288" s="787">
        <v>1</v>
      </c>
      <c r="I2288" s="788">
        <v>42137</v>
      </c>
      <c r="L2288" s="787">
        <v>0.5</v>
      </c>
      <c r="M2288" s="787">
        <v>20</v>
      </c>
      <c r="N2288" s="787">
        <v>0</v>
      </c>
    </row>
    <row r="2289" spans="1:15" x14ac:dyDescent="0.25">
      <c r="A2289" s="786" t="s">
        <v>4876</v>
      </c>
      <c r="B2289" s="787">
        <v>4</v>
      </c>
      <c r="C2289" s="787" t="s">
        <v>4877</v>
      </c>
      <c r="D2289" s="787">
        <v>3.71</v>
      </c>
      <c r="E2289" s="787">
        <v>3.71</v>
      </c>
      <c r="F2289" s="788">
        <v>37637</v>
      </c>
      <c r="G2289" s="788">
        <v>38364</v>
      </c>
      <c r="H2289" s="787">
        <v>1</v>
      </c>
      <c r="I2289" s="788">
        <v>41956</v>
      </c>
      <c r="J2289" s="788">
        <v>41509</v>
      </c>
      <c r="L2289" s="787">
        <v>4.04</v>
      </c>
      <c r="M2289" s="787">
        <v>20</v>
      </c>
      <c r="N2289" s="787">
        <v>4.34</v>
      </c>
      <c r="O2289" s="788">
        <v>41858</v>
      </c>
    </row>
    <row r="2290" spans="1:15" x14ac:dyDescent="0.25">
      <c r="A2290" s="786" t="s">
        <v>4878</v>
      </c>
      <c r="B2290" s="787">
        <v>4</v>
      </c>
      <c r="C2290" s="787" t="s">
        <v>4879</v>
      </c>
      <c r="D2290" s="787">
        <v>0.64</v>
      </c>
      <c r="E2290" s="787">
        <v>0.72</v>
      </c>
      <c r="F2290" s="788">
        <v>39301</v>
      </c>
      <c r="G2290" s="788">
        <v>41323</v>
      </c>
      <c r="H2290" s="787">
        <v>1</v>
      </c>
      <c r="I2290" s="788">
        <v>41323</v>
      </c>
      <c r="J2290" s="788">
        <v>41323</v>
      </c>
      <c r="K2290" s="788">
        <v>41869</v>
      </c>
      <c r="L2290" s="787">
        <v>0.72</v>
      </c>
      <c r="M2290" s="787">
        <v>20</v>
      </c>
      <c r="N2290" s="787">
        <v>4.95</v>
      </c>
      <c r="O2290" s="788">
        <v>41858</v>
      </c>
    </row>
    <row r="2291" spans="1:15" x14ac:dyDescent="0.25">
      <c r="A2291" s="786" t="s">
        <v>4880</v>
      </c>
      <c r="B2291" s="787">
        <v>4</v>
      </c>
      <c r="C2291" s="787" t="s">
        <v>4881</v>
      </c>
      <c r="D2291" s="787">
        <v>4</v>
      </c>
      <c r="E2291" s="787">
        <v>4</v>
      </c>
      <c r="F2291" s="788">
        <v>39101</v>
      </c>
      <c r="G2291" s="788">
        <v>39101</v>
      </c>
      <c r="H2291" s="787">
        <v>1</v>
      </c>
      <c r="I2291" s="788">
        <v>40688</v>
      </c>
      <c r="J2291" s="788">
        <v>39149</v>
      </c>
      <c r="L2291" s="787">
        <v>4.3600000000000003</v>
      </c>
      <c r="M2291" s="787">
        <v>20</v>
      </c>
      <c r="N2291" s="787">
        <v>4.6900000000000004</v>
      </c>
      <c r="O2291" s="788">
        <v>41858</v>
      </c>
    </row>
    <row r="2292" spans="1:15" x14ac:dyDescent="0.25">
      <c r="A2292" s="786" t="s">
        <v>4882</v>
      </c>
      <c r="B2292" s="787">
        <v>4</v>
      </c>
      <c r="C2292" s="787" t="s">
        <v>4883</v>
      </c>
      <c r="D2292" s="787">
        <v>7.9</v>
      </c>
      <c r="E2292" s="787">
        <v>29.06</v>
      </c>
      <c r="F2292" s="788">
        <v>37637</v>
      </c>
      <c r="G2292" s="788">
        <v>42150</v>
      </c>
      <c r="H2292" s="787">
        <v>1</v>
      </c>
      <c r="I2292" s="788">
        <v>42160</v>
      </c>
      <c r="J2292" s="788">
        <v>42135</v>
      </c>
      <c r="K2292" s="788">
        <v>42123</v>
      </c>
      <c r="L2292" s="787">
        <v>25.42</v>
      </c>
      <c r="M2292" s="787">
        <v>20</v>
      </c>
      <c r="N2292" s="787">
        <v>27.33</v>
      </c>
      <c r="O2292" s="788">
        <v>42146</v>
      </c>
    </row>
    <row r="2293" spans="1:15" x14ac:dyDescent="0.25">
      <c r="A2293" s="786" t="s">
        <v>4884</v>
      </c>
      <c r="B2293" s="787">
        <v>4</v>
      </c>
      <c r="C2293" s="787" t="s">
        <v>4885</v>
      </c>
      <c r="D2293" s="787">
        <v>0</v>
      </c>
      <c r="E2293" s="787">
        <v>0</v>
      </c>
      <c r="F2293" s="788">
        <v>41135</v>
      </c>
      <c r="G2293" s="788">
        <v>41943</v>
      </c>
      <c r="H2293" s="787">
        <v>1</v>
      </c>
      <c r="I2293" s="788">
        <v>40807</v>
      </c>
      <c r="J2293" s="788">
        <v>40647</v>
      </c>
      <c r="L2293" s="787">
        <v>0</v>
      </c>
      <c r="M2293" s="787">
        <v>10</v>
      </c>
      <c r="N2293" s="787">
        <v>1.9</v>
      </c>
      <c r="O2293" s="788">
        <v>42123</v>
      </c>
    </row>
    <row r="2294" spans="1:15" x14ac:dyDescent="0.25">
      <c r="A2294" s="786" t="s">
        <v>4886</v>
      </c>
      <c r="B2294" s="787">
        <v>4</v>
      </c>
      <c r="C2294" s="787" t="s">
        <v>4887</v>
      </c>
      <c r="D2294" s="787">
        <v>0</v>
      </c>
      <c r="E2294" s="787">
        <v>0</v>
      </c>
      <c r="F2294" s="788">
        <v>41135</v>
      </c>
      <c r="G2294" s="788">
        <v>41255</v>
      </c>
      <c r="H2294" s="787">
        <v>1</v>
      </c>
      <c r="I2294" s="788">
        <v>41065</v>
      </c>
      <c r="J2294" s="788">
        <v>40647</v>
      </c>
      <c r="L2294" s="787">
        <v>0</v>
      </c>
      <c r="M2294" s="787">
        <v>10</v>
      </c>
      <c r="N2294" s="787">
        <v>2.12</v>
      </c>
      <c r="O2294" s="788">
        <v>42123</v>
      </c>
    </row>
    <row r="2295" spans="1:15" x14ac:dyDescent="0.25">
      <c r="A2295" s="786" t="s">
        <v>4888</v>
      </c>
      <c r="B2295" s="787">
        <v>4</v>
      </c>
      <c r="C2295" s="787" t="s">
        <v>4889</v>
      </c>
      <c r="D2295" s="787">
        <v>0</v>
      </c>
      <c r="E2295" s="787">
        <v>0</v>
      </c>
      <c r="F2295" s="788">
        <v>41135</v>
      </c>
      <c r="G2295" s="788">
        <v>41255</v>
      </c>
      <c r="H2295" s="787">
        <v>1</v>
      </c>
      <c r="I2295" s="788">
        <v>41320</v>
      </c>
      <c r="J2295" s="788">
        <v>40647</v>
      </c>
      <c r="L2295" s="787">
        <v>0</v>
      </c>
      <c r="M2295" s="787">
        <v>10</v>
      </c>
      <c r="N2295" s="787">
        <v>2.34</v>
      </c>
      <c r="O2295" s="788">
        <v>42123</v>
      </c>
    </row>
    <row r="2296" spans="1:15" x14ac:dyDescent="0.25">
      <c r="A2296" s="786" t="s">
        <v>4890</v>
      </c>
      <c r="B2296" s="787">
        <v>4</v>
      </c>
      <c r="C2296" s="787" t="s">
        <v>4891</v>
      </c>
      <c r="D2296" s="787">
        <v>0</v>
      </c>
      <c r="E2296" s="787">
        <v>0</v>
      </c>
      <c r="F2296" s="788">
        <v>41135</v>
      </c>
      <c r="G2296" s="788">
        <v>41135</v>
      </c>
      <c r="H2296" s="787">
        <v>1</v>
      </c>
      <c r="I2296" s="788">
        <v>41477</v>
      </c>
      <c r="J2296" s="788">
        <v>40647</v>
      </c>
      <c r="L2296" s="787">
        <v>0</v>
      </c>
      <c r="M2296" s="787">
        <v>10</v>
      </c>
      <c r="N2296" s="787">
        <v>2.5499999999999998</v>
      </c>
      <c r="O2296" s="788">
        <v>42123</v>
      </c>
    </row>
    <row r="2297" spans="1:15" x14ac:dyDescent="0.25">
      <c r="A2297" s="786" t="s">
        <v>665</v>
      </c>
      <c r="B2297" s="787">
        <v>4</v>
      </c>
      <c r="C2297" s="787" t="s">
        <v>4892</v>
      </c>
      <c r="D2297" s="787">
        <v>3.22</v>
      </c>
      <c r="E2297" s="787">
        <v>3.22</v>
      </c>
      <c r="F2297" s="788">
        <v>41165</v>
      </c>
      <c r="G2297" s="788">
        <v>42124</v>
      </c>
      <c r="H2297" s="787">
        <v>1</v>
      </c>
      <c r="I2297" s="788">
        <v>42153</v>
      </c>
      <c r="J2297" s="788">
        <v>42153</v>
      </c>
      <c r="K2297" s="788">
        <v>40948</v>
      </c>
      <c r="L2297" s="787">
        <v>3.52</v>
      </c>
      <c r="M2297" s="787">
        <v>20</v>
      </c>
      <c r="N2297" s="787">
        <v>3.78</v>
      </c>
      <c r="O2297" s="788">
        <v>42163</v>
      </c>
    </row>
    <row r="2298" spans="1:15" x14ac:dyDescent="0.25">
      <c r="A2298" s="786" t="s">
        <v>4893</v>
      </c>
      <c r="B2298" s="787">
        <v>4</v>
      </c>
      <c r="C2298" s="787" t="s">
        <v>4894</v>
      </c>
      <c r="D2298" s="787">
        <v>0.95</v>
      </c>
      <c r="E2298" s="787">
        <v>1.08</v>
      </c>
      <c r="F2298" s="788">
        <v>39175</v>
      </c>
      <c r="G2298" s="788">
        <v>40767</v>
      </c>
      <c r="H2298" s="787">
        <v>5</v>
      </c>
      <c r="I2298" s="788">
        <v>41144</v>
      </c>
      <c r="J2298" s="788">
        <v>40770</v>
      </c>
      <c r="L2298" s="787">
        <v>1.04</v>
      </c>
      <c r="M2298" s="787">
        <v>20</v>
      </c>
      <c r="N2298" s="787">
        <v>1.1200000000000001</v>
      </c>
      <c r="O2298" s="788">
        <v>41858</v>
      </c>
    </row>
    <row r="2299" spans="1:15" x14ac:dyDescent="0.25">
      <c r="A2299" s="786" t="s">
        <v>4895</v>
      </c>
      <c r="B2299" s="787">
        <v>4</v>
      </c>
      <c r="C2299" s="787" t="s">
        <v>4896</v>
      </c>
      <c r="D2299" s="787">
        <v>1.02</v>
      </c>
      <c r="E2299" s="787">
        <v>3.51</v>
      </c>
      <c r="F2299" s="788">
        <v>39154</v>
      </c>
      <c r="G2299" s="788">
        <v>40598</v>
      </c>
      <c r="H2299" s="787">
        <v>5</v>
      </c>
      <c r="I2299" s="788">
        <v>40973</v>
      </c>
      <c r="J2299" s="788">
        <v>40599</v>
      </c>
      <c r="K2299" s="788">
        <v>41865</v>
      </c>
      <c r="L2299" s="787">
        <v>3.51</v>
      </c>
      <c r="M2299" s="787">
        <v>20</v>
      </c>
      <c r="N2299" s="787">
        <v>1.1200000000000001</v>
      </c>
      <c r="O2299" s="788">
        <v>41858</v>
      </c>
    </row>
    <row r="2300" spans="1:15" x14ac:dyDescent="0.25">
      <c r="A2300" s="786" t="s">
        <v>4897</v>
      </c>
      <c r="B2300" s="787">
        <v>4</v>
      </c>
      <c r="C2300" s="787" t="s">
        <v>4898</v>
      </c>
      <c r="D2300" s="787">
        <v>9.4</v>
      </c>
      <c r="E2300" s="787">
        <v>19.399999999999999</v>
      </c>
      <c r="F2300" s="788">
        <v>37637</v>
      </c>
      <c r="G2300" s="788">
        <v>37637</v>
      </c>
      <c r="H2300" s="787">
        <v>1</v>
      </c>
      <c r="J2300" s="788">
        <v>37637</v>
      </c>
      <c r="L2300" s="787">
        <v>21.15</v>
      </c>
      <c r="M2300" s="787">
        <v>20</v>
      </c>
      <c r="N2300" s="787">
        <v>22.74</v>
      </c>
      <c r="O2300" s="788">
        <v>41858</v>
      </c>
    </row>
    <row r="2301" spans="1:15" x14ac:dyDescent="0.25">
      <c r="A2301" s="786" t="s">
        <v>4899</v>
      </c>
      <c r="B2301" s="787">
        <v>4</v>
      </c>
      <c r="C2301" s="787" t="s">
        <v>4900</v>
      </c>
      <c r="D2301" s="787">
        <v>4.42</v>
      </c>
      <c r="E2301" s="787">
        <v>21.59</v>
      </c>
      <c r="F2301" s="788">
        <v>39101</v>
      </c>
      <c r="G2301" s="788">
        <v>41507</v>
      </c>
      <c r="H2301" s="787">
        <v>6</v>
      </c>
      <c r="I2301" s="788">
        <v>41425</v>
      </c>
      <c r="J2301" s="788">
        <v>41507</v>
      </c>
      <c r="L2301" s="787">
        <v>15.72</v>
      </c>
      <c r="M2301" s="787">
        <v>20</v>
      </c>
      <c r="N2301" s="787">
        <v>23.21</v>
      </c>
      <c r="O2301" s="788">
        <v>41806</v>
      </c>
    </row>
    <row r="2302" spans="1:15" x14ac:dyDescent="0.25">
      <c r="A2302" s="786" t="s">
        <v>4901</v>
      </c>
      <c r="B2302" s="787">
        <v>4</v>
      </c>
      <c r="C2302" s="787" t="s">
        <v>4902</v>
      </c>
      <c r="D2302" s="787">
        <v>2.94</v>
      </c>
      <c r="E2302" s="787">
        <v>3.61</v>
      </c>
      <c r="F2302" s="788">
        <v>39101</v>
      </c>
      <c r="G2302" s="788">
        <v>40487</v>
      </c>
      <c r="H2302" s="787">
        <v>1</v>
      </c>
      <c r="I2302" s="788">
        <v>41950</v>
      </c>
      <c r="J2302" s="788">
        <v>40490</v>
      </c>
      <c r="L2302" s="787">
        <v>2.42</v>
      </c>
      <c r="M2302" s="787">
        <v>20</v>
      </c>
      <c r="N2302" s="787">
        <v>2.6</v>
      </c>
      <c r="O2302" s="788">
        <v>41858</v>
      </c>
    </row>
    <row r="2303" spans="1:15" x14ac:dyDescent="0.25">
      <c r="A2303" s="786" t="s">
        <v>4903</v>
      </c>
      <c r="B2303" s="787">
        <v>4</v>
      </c>
      <c r="C2303" s="787" t="s">
        <v>4904</v>
      </c>
      <c r="D2303" s="787">
        <v>2.79</v>
      </c>
      <c r="E2303" s="787">
        <v>17.36</v>
      </c>
      <c r="F2303" s="788">
        <v>39210</v>
      </c>
      <c r="G2303" s="788">
        <v>42139</v>
      </c>
      <c r="H2303" s="787">
        <v>1</v>
      </c>
      <c r="I2303" s="788">
        <v>41507</v>
      </c>
      <c r="J2303" s="788">
        <v>42139</v>
      </c>
      <c r="K2303" s="788">
        <v>41704</v>
      </c>
      <c r="L2303" s="787">
        <v>17.36</v>
      </c>
      <c r="M2303" s="787">
        <v>20</v>
      </c>
      <c r="N2303" s="787">
        <v>18.66</v>
      </c>
      <c r="O2303" s="788">
        <v>41858</v>
      </c>
    </row>
    <row r="2304" spans="1:15" x14ac:dyDescent="0.25">
      <c r="A2304" s="786" t="s">
        <v>4905</v>
      </c>
      <c r="B2304" s="787">
        <v>4</v>
      </c>
      <c r="C2304" s="787" t="s">
        <v>4906</v>
      </c>
      <c r="D2304" s="787">
        <v>7.25</v>
      </c>
      <c r="E2304" s="787">
        <v>7.29</v>
      </c>
      <c r="F2304" s="788">
        <v>41488</v>
      </c>
      <c r="G2304" s="788">
        <v>42008</v>
      </c>
      <c r="H2304" s="787">
        <v>1</v>
      </c>
      <c r="I2304" s="788">
        <v>41963</v>
      </c>
      <c r="J2304" s="788">
        <v>41963</v>
      </c>
      <c r="K2304" s="788">
        <v>41865</v>
      </c>
      <c r="L2304" s="787">
        <v>7.25</v>
      </c>
      <c r="M2304" s="787">
        <v>20</v>
      </c>
      <c r="N2304" s="787">
        <v>2.69</v>
      </c>
      <c r="O2304" s="788">
        <v>41858</v>
      </c>
    </row>
    <row r="2305" spans="1:15" x14ac:dyDescent="0.25">
      <c r="A2305" s="786" t="s">
        <v>4907</v>
      </c>
      <c r="B2305" s="787">
        <v>4</v>
      </c>
      <c r="C2305" s="787" t="s">
        <v>4906</v>
      </c>
      <c r="D2305" s="787">
        <v>6.2</v>
      </c>
      <c r="E2305" s="787">
        <v>6.2</v>
      </c>
      <c r="F2305" s="788">
        <v>41642</v>
      </c>
      <c r="G2305" s="788">
        <v>41668</v>
      </c>
      <c r="H2305" s="787">
        <v>1</v>
      </c>
      <c r="I2305" s="788">
        <v>42111</v>
      </c>
      <c r="J2305" s="788">
        <v>42110</v>
      </c>
      <c r="K2305" s="788">
        <v>41865</v>
      </c>
      <c r="L2305" s="787">
        <v>6.2</v>
      </c>
      <c r="M2305" s="787">
        <v>20</v>
      </c>
      <c r="N2305" s="787">
        <v>2.69</v>
      </c>
      <c r="O2305" s="788">
        <v>41858</v>
      </c>
    </row>
    <row r="2306" spans="1:15" x14ac:dyDescent="0.25">
      <c r="A2306" s="786" t="s">
        <v>4908</v>
      </c>
      <c r="B2306" s="787">
        <v>4</v>
      </c>
      <c r="C2306" s="787" t="s">
        <v>4909</v>
      </c>
      <c r="D2306" s="787">
        <v>3.23</v>
      </c>
      <c r="E2306" s="787">
        <v>3.23</v>
      </c>
      <c r="F2306" s="788">
        <v>42159</v>
      </c>
      <c r="G2306" s="788">
        <v>42165</v>
      </c>
      <c r="H2306" s="787">
        <v>1</v>
      </c>
      <c r="I2306" s="788">
        <v>42165</v>
      </c>
      <c r="J2306" s="788">
        <v>42156</v>
      </c>
      <c r="K2306" s="788">
        <v>41865</v>
      </c>
      <c r="L2306" s="787">
        <v>6</v>
      </c>
      <c r="M2306" s="787">
        <v>20</v>
      </c>
      <c r="N2306" s="787">
        <v>6.45</v>
      </c>
      <c r="O2306" s="788">
        <v>41946</v>
      </c>
    </row>
    <row r="2307" spans="1:15" x14ac:dyDescent="0.25">
      <c r="A2307" s="786" t="s">
        <v>4910</v>
      </c>
      <c r="B2307" s="787">
        <v>4</v>
      </c>
      <c r="C2307" s="787" t="s">
        <v>4911</v>
      </c>
      <c r="D2307" s="787">
        <v>0</v>
      </c>
      <c r="E2307" s="787">
        <v>0</v>
      </c>
      <c r="H2307" s="787">
        <v>6</v>
      </c>
      <c r="K2307" s="788">
        <v>40969</v>
      </c>
      <c r="L2307" s="787">
        <v>2.5</v>
      </c>
      <c r="M2307" s="787">
        <v>20</v>
      </c>
      <c r="N2307" s="787">
        <v>2.69</v>
      </c>
      <c r="O2307" s="788">
        <v>41543</v>
      </c>
    </row>
    <row r="2308" spans="1:15" x14ac:dyDescent="0.25">
      <c r="A2308" s="786" t="s">
        <v>667</v>
      </c>
      <c r="B2308" s="787">
        <v>4</v>
      </c>
      <c r="C2308" s="787" t="s">
        <v>4912</v>
      </c>
      <c r="D2308" s="787">
        <v>3.22</v>
      </c>
      <c r="E2308" s="787">
        <v>3.23</v>
      </c>
      <c r="F2308" s="788">
        <v>41765</v>
      </c>
      <c r="G2308" s="788">
        <v>42124</v>
      </c>
      <c r="H2308" s="787">
        <v>1</v>
      </c>
      <c r="I2308" s="788">
        <v>42160</v>
      </c>
      <c r="J2308" s="788">
        <v>42142</v>
      </c>
      <c r="K2308" s="788">
        <v>41529</v>
      </c>
      <c r="L2308" s="787">
        <v>3.52</v>
      </c>
      <c r="M2308" s="787">
        <v>20</v>
      </c>
      <c r="N2308" s="787">
        <v>3.78</v>
      </c>
      <c r="O2308" s="788">
        <v>42156</v>
      </c>
    </row>
    <row r="2309" spans="1:15" x14ac:dyDescent="0.25">
      <c r="A2309" s="786" t="s">
        <v>4913</v>
      </c>
      <c r="B2309" s="787">
        <v>4</v>
      </c>
      <c r="C2309" s="787" t="s">
        <v>4914</v>
      </c>
      <c r="D2309" s="787">
        <v>5.77</v>
      </c>
      <c r="E2309" s="787">
        <v>5.77</v>
      </c>
      <c r="F2309" s="788">
        <v>42139</v>
      </c>
      <c r="G2309" s="788">
        <v>42139</v>
      </c>
      <c r="H2309" s="787">
        <v>1</v>
      </c>
      <c r="I2309" s="788">
        <v>42166</v>
      </c>
      <c r="J2309" s="788">
        <v>42163</v>
      </c>
      <c r="L2309" s="787">
        <v>5.77</v>
      </c>
      <c r="M2309" s="787">
        <v>20</v>
      </c>
      <c r="N2309" s="787">
        <v>0</v>
      </c>
    </row>
    <row r="2310" spans="1:15" x14ac:dyDescent="0.25">
      <c r="A2310" s="786" t="s">
        <v>4915</v>
      </c>
      <c r="B2310" s="787">
        <v>4</v>
      </c>
      <c r="C2310" s="787" t="s">
        <v>4916</v>
      </c>
      <c r="D2310" s="787">
        <v>5.77</v>
      </c>
      <c r="E2310" s="787">
        <v>5.77</v>
      </c>
      <c r="F2310" s="788">
        <v>42139</v>
      </c>
      <c r="G2310" s="788">
        <v>42139</v>
      </c>
      <c r="H2310" s="787">
        <v>1</v>
      </c>
      <c r="I2310" s="788">
        <v>42166</v>
      </c>
      <c r="J2310" s="788">
        <v>42163</v>
      </c>
      <c r="L2310" s="787">
        <v>5.77</v>
      </c>
      <c r="M2310" s="787">
        <v>20</v>
      </c>
      <c r="N2310" s="787">
        <v>0</v>
      </c>
    </row>
    <row r="2311" spans="1:15" x14ac:dyDescent="0.25">
      <c r="A2311" s="786" t="s">
        <v>4917</v>
      </c>
      <c r="B2311" s="787">
        <v>4</v>
      </c>
      <c r="C2311" s="787" t="s">
        <v>4918</v>
      </c>
      <c r="D2311" s="787">
        <v>2.09</v>
      </c>
      <c r="E2311" s="787">
        <v>2.41</v>
      </c>
      <c r="F2311" s="788">
        <v>40821</v>
      </c>
      <c r="G2311" s="788">
        <v>42013</v>
      </c>
      <c r="H2311" s="787">
        <v>1</v>
      </c>
      <c r="I2311" s="788">
        <v>42143</v>
      </c>
      <c r="J2311" s="788">
        <v>41820</v>
      </c>
      <c r="K2311" s="788">
        <v>40527</v>
      </c>
      <c r="L2311" s="787">
        <v>2.13</v>
      </c>
      <c r="M2311" s="787">
        <v>20</v>
      </c>
      <c r="N2311" s="787">
        <v>2.75</v>
      </c>
      <c r="O2311" s="788">
        <v>42146</v>
      </c>
    </row>
    <row r="2312" spans="1:15" x14ac:dyDescent="0.25">
      <c r="A2312" s="786" t="s">
        <v>4919</v>
      </c>
      <c r="B2312" s="787">
        <v>4</v>
      </c>
      <c r="C2312" s="787" t="s">
        <v>4918</v>
      </c>
      <c r="D2312" s="787">
        <v>1.23</v>
      </c>
      <c r="E2312" s="787">
        <v>2.14</v>
      </c>
      <c r="F2312" s="788">
        <v>41492</v>
      </c>
      <c r="G2312" s="788">
        <v>42165</v>
      </c>
      <c r="H2312" s="787">
        <v>1</v>
      </c>
      <c r="I2312" s="788">
        <v>42157</v>
      </c>
      <c r="J2312" s="788">
        <v>42144</v>
      </c>
      <c r="K2312" s="788">
        <v>41590</v>
      </c>
      <c r="L2312" s="787">
        <v>1.95</v>
      </c>
      <c r="M2312" s="787">
        <v>20</v>
      </c>
      <c r="N2312" s="787">
        <v>2.52</v>
      </c>
      <c r="O2312" s="788">
        <v>42163</v>
      </c>
    </row>
    <row r="2313" spans="1:15" x14ac:dyDescent="0.25">
      <c r="A2313" s="786" t="s">
        <v>4920</v>
      </c>
      <c r="B2313" s="787">
        <v>4</v>
      </c>
      <c r="C2313" s="787" t="s">
        <v>4921</v>
      </c>
      <c r="D2313" s="787">
        <v>6.35</v>
      </c>
      <c r="E2313" s="787">
        <v>7.32</v>
      </c>
      <c r="F2313" s="788">
        <v>39101</v>
      </c>
      <c r="G2313" s="788">
        <v>42013</v>
      </c>
      <c r="H2313" s="787">
        <v>1</v>
      </c>
      <c r="I2313" s="788">
        <v>41827</v>
      </c>
      <c r="J2313" s="788">
        <v>40648</v>
      </c>
      <c r="L2313" s="787">
        <v>6.76</v>
      </c>
      <c r="M2313" s="787">
        <v>20</v>
      </c>
      <c r="N2313" s="787">
        <v>7.27</v>
      </c>
      <c r="O2313" s="788">
        <v>41858</v>
      </c>
    </row>
    <row r="2314" spans="1:15" x14ac:dyDescent="0.25">
      <c r="A2314" s="786" t="s">
        <v>4922</v>
      </c>
      <c r="B2314" s="787">
        <v>4</v>
      </c>
      <c r="C2314" s="787" t="s">
        <v>4923</v>
      </c>
      <c r="D2314" s="787">
        <v>6.28</v>
      </c>
      <c r="E2314" s="787">
        <v>7.26</v>
      </c>
      <c r="F2314" s="788">
        <v>39799</v>
      </c>
      <c r="G2314" s="788">
        <v>42013</v>
      </c>
      <c r="H2314" s="787">
        <v>1</v>
      </c>
      <c r="I2314" s="788">
        <v>41521</v>
      </c>
      <c r="J2314" s="788">
        <v>40632</v>
      </c>
      <c r="L2314" s="787">
        <v>6.76</v>
      </c>
      <c r="M2314" s="787">
        <v>20</v>
      </c>
      <c r="N2314" s="787">
        <v>7.27</v>
      </c>
      <c r="O2314" s="788">
        <v>41858</v>
      </c>
    </row>
    <row r="2315" spans="1:15" x14ac:dyDescent="0.25">
      <c r="A2315" s="786" t="s">
        <v>4924</v>
      </c>
      <c r="B2315" s="787">
        <v>4</v>
      </c>
      <c r="C2315" s="787" t="s">
        <v>4923</v>
      </c>
      <c r="D2315" s="787">
        <v>9.1999999999999993</v>
      </c>
      <c r="E2315" s="787">
        <v>9.1999999999999993</v>
      </c>
      <c r="F2315" s="788">
        <v>37637</v>
      </c>
      <c r="G2315" s="788">
        <v>37637</v>
      </c>
      <c r="H2315" s="787">
        <v>1</v>
      </c>
      <c r="I2315" s="788">
        <v>41352</v>
      </c>
      <c r="J2315" s="788">
        <v>37637</v>
      </c>
      <c r="L2315" s="787">
        <v>10.029999999999999</v>
      </c>
      <c r="M2315" s="787">
        <v>20</v>
      </c>
      <c r="N2315" s="787">
        <v>10.78</v>
      </c>
      <c r="O2315" s="788">
        <v>41858</v>
      </c>
    </row>
    <row r="2316" spans="1:15" x14ac:dyDescent="0.25">
      <c r="A2316" s="786" t="s">
        <v>4925</v>
      </c>
      <c r="B2316" s="787">
        <v>4</v>
      </c>
      <c r="C2316" s="787" t="s">
        <v>4926</v>
      </c>
      <c r="D2316" s="787">
        <v>5.7</v>
      </c>
      <c r="E2316" s="787">
        <v>22.7</v>
      </c>
      <c r="F2316" s="788">
        <v>39101</v>
      </c>
      <c r="G2316" s="788">
        <v>40567</v>
      </c>
      <c r="H2316" s="787">
        <v>1</v>
      </c>
      <c r="I2316" s="788">
        <v>41751</v>
      </c>
      <c r="J2316" s="788">
        <v>41484</v>
      </c>
      <c r="L2316" s="787">
        <v>17.11</v>
      </c>
      <c r="M2316" s="787">
        <v>20</v>
      </c>
      <c r="N2316" s="787">
        <v>18.39</v>
      </c>
      <c r="O2316" s="788">
        <v>41858</v>
      </c>
    </row>
    <row r="2317" spans="1:15" x14ac:dyDescent="0.25">
      <c r="A2317" s="786" t="s">
        <v>4927</v>
      </c>
      <c r="B2317" s="787">
        <v>4</v>
      </c>
      <c r="C2317" s="787" t="s">
        <v>4928</v>
      </c>
      <c r="D2317" s="787">
        <v>0.32</v>
      </c>
      <c r="E2317" s="787">
        <v>0.34</v>
      </c>
      <c r="F2317" s="788">
        <v>39101</v>
      </c>
      <c r="G2317" s="788">
        <v>40647</v>
      </c>
      <c r="H2317" s="787">
        <v>1</v>
      </c>
      <c r="I2317" s="788">
        <v>41827</v>
      </c>
      <c r="J2317" s="788">
        <v>40648</v>
      </c>
      <c r="L2317" s="787">
        <v>0.35</v>
      </c>
      <c r="M2317" s="787">
        <v>20</v>
      </c>
      <c r="N2317" s="787">
        <v>0.38</v>
      </c>
      <c r="O2317" s="788">
        <v>41858</v>
      </c>
    </row>
    <row r="2318" spans="1:15" x14ac:dyDescent="0.25">
      <c r="A2318" s="786" t="s">
        <v>4929</v>
      </c>
      <c r="B2318" s="787">
        <v>4</v>
      </c>
      <c r="C2318" s="787" t="s">
        <v>4930</v>
      </c>
      <c r="D2318" s="787">
        <v>8.84</v>
      </c>
      <c r="E2318" s="787">
        <v>8.84</v>
      </c>
      <c r="F2318" s="788">
        <v>41353</v>
      </c>
      <c r="G2318" s="788">
        <v>41372</v>
      </c>
      <c r="H2318" s="787">
        <v>1</v>
      </c>
      <c r="I2318" s="788">
        <v>41352</v>
      </c>
      <c r="J2318" s="788">
        <v>41352</v>
      </c>
      <c r="L2318" s="787">
        <v>10.029999999999999</v>
      </c>
      <c r="M2318" s="787">
        <v>20</v>
      </c>
      <c r="N2318" s="787">
        <v>10.78</v>
      </c>
      <c r="O2318" s="788">
        <v>41858</v>
      </c>
    </row>
    <row r="2319" spans="1:15" x14ac:dyDescent="0.25">
      <c r="A2319" s="786" t="s">
        <v>4931</v>
      </c>
      <c r="B2319" s="787">
        <v>4</v>
      </c>
      <c r="C2319" s="787" t="s">
        <v>4932</v>
      </c>
      <c r="D2319" s="787">
        <v>0.43</v>
      </c>
      <c r="E2319" s="787">
        <v>0.43</v>
      </c>
      <c r="F2319" s="788">
        <v>41353</v>
      </c>
      <c r="G2319" s="788">
        <v>41372</v>
      </c>
      <c r="H2319" s="787">
        <v>1</v>
      </c>
      <c r="I2319" s="788">
        <v>41352</v>
      </c>
      <c r="J2319" s="788">
        <v>41352</v>
      </c>
      <c r="K2319" s="788">
        <v>41869</v>
      </c>
      <c r="L2319" s="787">
        <v>0.43</v>
      </c>
      <c r="M2319" s="787">
        <v>20</v>
      </c>
      <c r="N2319" s="787">
        <v>1.04</v>
      </c>
      <c r="O2319" s="788">
        <v>41858</v>
      </c>
    </row>
    <row r="2320" spans="1:15" x14ac:dyDescent="0.25">
      <c r="A2320" s="786" t="s">
        <v>4933</v>
      </c>
      <c r="B2320" s="787">
        <v>4</v>
      </c>
      <c r="C2320" s="787" t="s">
        <v>4934</v>
      </c>
      <c r="D2320" s="787">
        <v>0.05</v>
      </c>
      <c r="E2320" s="787">
        <v>0.05</v>
      </c>
      <c r="F2320" s="788">
        <v>39101</v>
      </c>
      <c r="G2320" s="788">
        <v>42013</v>
      </c>
      <c r="H2320" s="787">
        <v>1</v>
      </c>
      <c r="I2320" s="788">
        <v>42163</v>
      </c>
      <c r="J2320" s="788">
        <v>41771</v>
      </c>
      <c r="L2320" s="787">
        <v>0.05</v>
      </c>
      <c r="M2320" s="787">
        <v>20</v>
      </c>
      <c r="N2320" s="787">
        <v>0.05</v>
      </c>
      <c r="O2320" s="788">
        <v>42146</v>
      </c>
    </row>
    <row r="2321" spans="1:15" x14ac:dyDescent="0.25">
      <c r="A2321" s="786" t="s">
        <v>4935</v>
      </c>
      <c r="B2321" s="787">
        <v>4</v>
      </c>
      <c r="C2321" s="787" t="s">
        <v>4936</v>
      </c>
      <c r="D2321" s="787">
        <v>0.56999999999999995</v>
      </c>
      <c r="E2321" s="787">
        <v>0.85</v>
      </c>
      <c r="F2321" s="788">
        <v>39101</v>
      </c>
      <c r="G2321" s="788">
        <v>42063</v>
      </c>
      <c r="H2321" s="787">
        <v>1</v>
      </c>
      <c r="I2321" s="788">
        <v>42163</v>
      </c>
      <c r="J2321" s="788">
        <v>42053</v>
      </c>
      <c r="K2321" s="788">
        <v>41239</v>
      </c>
      <c r="L2321" s="787">
        <v>0.82</v>
      </c>
      <c r="M2321" s="787">
        <v>20</v>
      </c>
      <c r="N2321" s="787">
        <v>0.88</v>
      </c>
      <c r="O2321" s="788">
        <v>42146</v>
      </c>
    </row>
    <row r="2322" spans="1:15" x14ac:dyDescent="0.25">
      <c r="A2322" s="786" t="s">
        <v>4937</v>
      </c>
      <c r="B2322" s="787">
        <v>4</v>
      </c>
      <c r="C2322" s="787" t="s">
        <v>4938</v>
      </c>
      <c r="D2322" s="787">
        <v>0.51</v>
      </c>
      <c r="E2322" s="787">
        <v>0.72</v>
      </c>
      <c r="F2322" s="788">
        <v>39101</v>
      </c>
      <c r="G2322" s="788">
        <v>42013</v>
      </c>
      <c r="H2322" s="787">
        <v>1</v>
      </c>
      <c r="I2322" s="788">
        <v>42163</v>
      </c>
      <c r="J2322" s="788">
        <v>41901</v>
      </c>
      <c r="K2322" s="788">
        <v>41064</v>
      </c>
      <c r="L2322" s="787">
        <v>0.59</v>
      </c>
      <c r="M2322" s="787">
        <v>20</v>
      </c>
      <c r="N2322" s="787">
        <v>0.63</v>
      </c>
      <c r="O2322" s="788">
        <v>42146</v>
      </c>
    </row>
    <row r="2323" spans="1:15" x14ac:dyDescent="0.25">
      <c r="A2323" s="786" t="s">
        <v>4939</v>
      </c>
      <c r="B2323" s="787">
        <v>4</v>
      </c>
      <c r="C2323" s="787" t="s">
        <v>4940</v>
      </c>
      <c r="D2323" s="787">
        <v>1.98</v>
      </c>
      <c r="E2323" s="787">
        <v>2.39</v>
      </c>
      <c r="F2323" s="788">
        <v>39101</v>
      </c>
      <c r="G2323" s="788">
        <v>42146</v>
      </c>
      <c r="H2323" s="787">
        <v>1</v>
      </c>
      <c r="I2323" s="788">
        <v>42163</v>
      </c>
      <c r="J2323" s="788">
        <v>42146</v>
      </c>
      <c r="K2323" s="788">
        <v>41064</v>
      </c>
      <c r="L2323" s="787">
        <v>2.39</v>
      </c>
      <c r="M2323" s="787">
        <v>20</v>
      </c>
      <c r="N2323" s="787">
        <v>2.57</v>
      </c>
      <c r="O2323" s="788">
        <v>42146</v>
      </c>
    </row>
    <row r="2324" spans="1:15" x14ac:dyDescent="0.25">
      <c r="A2324" s="786" t="s">
        <v>4941</v>
      </c>
      <c r="B2324" s="787">
        <v>4</v>
      </c>
      <c r="C2324" s="787" t="s">
        <v>4942</v>
      </c>
      <c r="D2324" s="787">
        <v>0.7</v>
      </c>
      <c r="E2324" s="787">
        <v>0.85</v>
      </c>
      <c r="F2324" s="788">
        <v>39101</v>
      </c>
      <c r="G2324" s="788">
        <v>42081</v>
      </c>
      <c r="H2324" s="787">
        <v>1</v>
      </c>
      <c r="I2324" s="788">
        <v>42163</v>
      </c>
      <c r="J2324" s="788">
        <v>42060</v>
      </c>
      <c r="K2324" s="788">
        <v>42083</v>
      </c>
      <c r="L2324" s="787">
        <v>0.67</v>
      </c>
      <c r="M2324" s="787">
        <v>20</v>
      </c>
      <c r="N2324" s="787">
        <v>0.72</v>
      </c>
      <c r="O2324" s="788">
        <v>42146</v>
      </c>
    </row>
    <row r="2325" spans="1:15" x14ac:dyDescent="0.25">
      <c r="A2325" s="786" t="s">
        <v>4943</v>
      </c>
      <c r="B2325" s="787">
        <v>4</v>
      </c>
      <c r="C2325" s="787" t="s">
        <v>4944</v>
      </c>
      <c r="D2325" s="787">
        <v>8.74</v>
      </c>
      <c r="E2325" s="787">
        <v>12.59</v>
      </c>
      <c r="F2325" s="788">
        <v>39101</v>
      </c>
      <c r="G2325" s="788">
        <v>42143</v>
      </c>
      <c r="H2325" s="787">
        <v>1</v>
      </c>
      <c r="I2325" s="788">
        <v>42163</v>
      </c>
      <c r="J2325" s="788">
        <v>42111</v>
      </c>
      <c r="K2325" s="788">
        <v>41865</v>
      </c>
      <c r="L2325" s="787">
        <v>12.59</v>
      </c>
      <c r="M2325" s="787">
        <v>20</v>
      </c>
      <c r="N2325" s="787">
        <v>13.53</v>
      </c>
      <c r="O2325" s="788">
        <v>42146</v>
      </c>
    </row>
    <row r="2326" spans="1:15" x14ac:dyDescent="0.25">
      <c r="A2326" s="786" t="s">
        <v>4945</v>
      </c>
      <c r="B2326" s="787">
        <v>4</v>
      </c>
      <c r="C2326" s="787" t="s">
        <v>4946</v>
      </c>
      <c r="D2326" s="787">
        <v>1.23</v>
      </c>
      <c r="E2326" s="787">
        <v>1.23</v>
      </c>
      <c r="F2326" s="788">
        <v>39101</v>
      </c>
      <c r="G2326" s="788">
        <v>39101</v>
      </c>
      <c r="H2326" s="787">
        <v>6</v>
      </c>
      <c r="I2326" s="788">
        <v>40695</v>
      </c>
      <c r="J2326" s="788">
        <v>39101</v>
      </c>
      <c r="L2326" s="787">
        <v>1.34</v>
      </c>
      <c r="M2326" s="787">
        <v>20</v>
      </c>
      <c r="N2326" s="787">
        <v>1.32</v>
      </c>
      <c r="O2326" s="788">
        <v>41815</v>
      </c>
    </row>
    <row r="2327" spans="1:15" x14ac:dyDescent="0.25">
      <c r="A2327" s="786" t="s">
        <v>4947</v>
      </c>
      <c r="B2327" s="787">
        <v>4</v>
      </c>
      <c r="C2327" s="787" t="s">
        <v>4948</v>
      </c>
      <c r="D2327" s="787">
        <v>3.9</v>
      </c>
      <c r="E2327" s="787">
        <v>3.9</v>
      </c>
      <c r="F2327" s="788">
        <v>38047</v>
      </c>
      <c r="G2327" s="788">
        <v>38736</v>
      </c>
      <c r="H2327" s="787">
        <v>1</v>
      </c>
      <c r="I2327" s="788">
        <v>40392</v>
      </c>
      <c r="J2327" s="788">
        <v>38047</v>
      </c>
      <c r="L2327" s="787">
        <v>4.01</v>
      </c>
      <c r="M2327" s="787">
        <v>10</v>
      </c>
      <c r="N2327" s="787">
        <v>8.5299999999999994</v>
      </c>
      <c r="O2327" s="788">
        <v>42144</v>
      </c>
    </row>
    <row r="2328" spans="1:15" x14ac:dyDescent="0.25">
      <c r="A2328" s="786" t="s">
        <v>4949</v>
      </c>
      <c r="B2328" s="787">
        <v>4</v>
      </c>
      <c r="C2328" s="787" t="s">
        <v>4950</v>
      </c>
      <c r="D2328" s="787">
        <v>0.93</v>
      </c>
      <c r="E2328" s="787">
        <v>1.0900000000000001</v>
      </c>
      <c r="F2328" s="788">
        <v>39101</v>
      </c>
      <c r="G2328" s="788">
        <v>42163</v>
      </c>
      <c r="H2328" s="787">
        <v>1</v>
      </c>
      <c r="I2328" s="788">
        <v>42163</v>
      </c>
      <c r="J2328" s="788">
        <v>42163</v>
      </c>
      <c r="L2328" s="787">
        <v>1.01</v>
      </c>
      <c r="M2328" s="787">
        <v>20</v>
      </c>
      <c r="N2328" s="787">
        <v>1.0900000000000001</v>
      </c>
      <c r="O2328" s="788">
        <v>42146</v>
      </c>
    </row>
    <row r="2329" spans="1:15" x14ac:dyDescent="0.25">
      <c r="A2329" s="786" t="s">
        <v>4951</v>
      </c>
      <c r="B2329" s="787">
        <v>4</v>
      </c>
      <c r="C2329" s="787" t="s">
        <v>4946</v>
      </c>
      <c r="D2329" s="787">
        <v>1.1399999999999999</v>
      </c>
      <c r="E2329" s="787">
        <v>1.67</v>
      </c>
      <c r="F2329" s="788">
        <v>39101</v>
      </c>
      <c r="G2329" s="788">
        <v>42158</v>
      </c>
      <c r="H2329" s="787">
        <v>1</v>
      </c>
      <c r="I2329" s="788">
        <v>42163</v>
      </c>
      <c r="J2329" s="788">
        <v>42158</v>
      </c>
      <c r="K2329" s="788">
        <v>40752</v>
      </c>
      <c r="L2329" s="787">
        <v>1.67</v>
      </c>
      <c r="M2329" s="787">
        <v>20</v>
      </c>
      <c r="N2329" s="787">
        <v>1.8</v>
      </c>
      <c r="O2329" s="788">
        <v>42163</v>
      </c>
    </row>
    <row r="2330" spans="1:15" x14ac:dyDescent="0.25">
      <c r="A2330" s="786" t="s">
        <v>4952</v>
      </c>
      <c r="B2330" s="787">
        <v>4</v>
      </c>
      <c r="C2330" s="787" t="s">
        <v>4953</v>
      </c>
      <c r="D2330" s="787">
        <v>0.56000000000000005</v>
      </c>
      <c r="E2330" s="787">
        <v>0.57999999999999996</v>
      </c>
      <c r="F2330" s="788">
        <v>39101</v>
      </c>
      <c r="G2330" s="788">
        <v>40178</v>
      </c>
      <c r="H2330" s="787">
        <v>1</v>
      </c>
      <c r="I2330" s="788">
        <v>41043</v>
      </c>
      <c r="J2330" s="788">
        <v>39231</v>
      </c>
      <c r="L2330" s="787">
        <v>0.57999999999999996</v>
      </c>
      <c r="M2330" s="787">
        <v>20</v>
      </c>
      <c r="N2330" s="787">
        <v>0.62</v>
      </c>
      <c r="O2330" s="788">
        <v>41858</v>
      </c>
    </row>
    <row r="2331" spans="1:15" x14ac:dyDescent="0.25">
      <c r="A2331" s="786" t="s">
        <v>4954</v>
      </c>
      <c r="B2331" s="787">
        <v>4</v>
      </c>
      <c r="C2331" s="787" t="s">
        <v>4955</v>
      </c>
      <c r="D2331" s="787">
        <v>2.87</v>
      </c>
      <c r="E2331" s="787">
        <v>2.87</v>
      </c>
      <c r="F2331" s="788">
        <v>37637</v>
      </c>
      <c r="G2331" s="788">
        <v>37637</v>
      </c>
      <c r="H2331" s="787">
        <v>1</v>
      </c>
      <c r="J2331" s="788">
        <v>37637</v>
      </c>
      <c r="L2331" s="787">
        <v>3.13</v>
      </c>
      <c r="M2331" s="787">
        <v>20</v>
      </c>
      <c r="N2331" s="787">
        <v>3.36</v>
      </c>
      <c r="O2331" s="788">
        <v>41858</v>
      </c>
    </row>
    <row r="2332" spans="1:15" x14ac:dyDescent="0.25">
      <c r="A2332" s="786" t="s">
        <v>4956</v>
      </c>
      <c r="B2332" s="787">
        <v>4</v>
      </c>
      <c r="C2332" s="787" t="s">
        <v>4957</v>
      </c>
      <c r="D2332" s="787">
        <v>6.3</v>
      </c>
      <c r="E2332" s="787">
        <v>25.63</v>
      </c>
      <c r="F2332" s="788">
        <v>37637</v>
      </c>
      <c r="G2332" s="788">
        <v>40428</v>
      </c>
      <c r="H2332" s="787">
        <v>1</v>
      </c>
      <c r="I2332" s="788">
        <v>38736</v>
      </c>
      <c r="J2332" s="788">
        <v>40413</v>
      </c>
      <c r="K2332" s="788">
        <v>41865</v>
      </c>
      <c r="L2332" s="787">
        <v>6.3</v>
      </c>
      <c r="M2332" s="787">
        <v>20</v>
      </c>
      <c r="N2332" s="787">
        <v>7.39</v>
      </c>
      <c r="O2332" s="788">
        <v>41858</v>
      </c>
    </row>
    <row r="2333" spans="1:15" x14ac:dyDescent="0.25">
      <c r="A2333" s="786" t="s">
        <v>4958</v>
      </c>
      <c r="B2333" s="787">
        <v>4</v>
      </c>
      <c r="C2333" s="787" t="s">
        <v>4959</v>
      </c>
      <c r="D2333" s="787">
        <v>9.56</v>
      </c>
      <c r="E2333" s="787">
        <v>9.56</v>
      </c>
      <c r="F2333" s="788">
        <v>37637</v>
      </c>
      <c r="G2333" s="788">
        <v>37637</v>
      </c>
      <c r="H2333" s="787">
        <v>1</v>
      </c>
      <c r="I2333" s="788">
        <v>38688</v>
      </c>
      <c r="J2333" s="788">
        <v>37637</v>
      </c>
      <c r="L2333" s="787">
        <v>10.9</v>
      </c>
      <c r="M2333" s="787">
        <v>10</v>
      </c>
      <c r="N2333" s="787">
        <v>11.22</v>
      </c>
      <c r="O2333" s="788">
        <v>41858</v>
      </c>
    </row>
    <row r="2334" spans="1:15" x14ac:dyDescent="0.25">
      <c r="A2334" s="786" t="s">
        <v>4960</v>
      </c>
      <c r="B2334" s="787">
        <v>4</v>
      </c>
      <c r="C2334" s="787" t="s">
        <v>4961</v>
      </c>
      <c r="D2334" s="787">
        <v>0.47</v>
      </c>
      <c r="E2334" s="787">
        <v>0.47</v>
      </c>
      <c r="F2334" s="788">
        <v>37637</v>
      </c>
      <c r="G2334" s="788">
        <v>37637</v>
      </c>
      <c r="H2334" s="787">
        <v>1</v>
      </c>
      <c r="J2334" s="788">
        <v>37637</v>
      </c>
      <c r="L2334" s="787">
        <v>0.56999999999999995</v>
      </c>
      <c r="M2334" s="787">
        <v>20</v>
      </c>
      <c r="N2334" s="787">
        <v>0.69</v>
      </c>
      <c r="O2334" s="788">
        <v>41858</v>
      </c>
    </row>
    <row r="2335" spans="1:15" x14ac:dyDescent="0.25">
      <c r="A2335" s="786" t="s">
        <v>4962</v>
      </c>
      <c r="B2335" s="787">
        <v>4</v>
      </c>
      <c r="C2335" s="787" t="s">
        <v>4963</v>
      </c>
      <c r="D2335" s="787">
        <v>6.63</v>
      </c>
      <c r="E2335" s="787">
        <v>346.65</v>
      </c>
      <c r="F2335" s="788">
        <v>39101</v>
      </c>
      <c r="G2335" s="788">
        <v>39101</v>
      </c>
      <c r="H2335" s="787">
        <v>1</v>
      </c>
      <c r="I2335" s="788">
        <v>38758</v>
      </c>
      <c r="J2335" s="788">
        <v>39101</v>
      </c>
      <c r="L2335" s="787">
        <v>378.65</v>
      </c>
      <c r="M2335" s="787">
        <v>10</v>
      </c>
      <c r="N2335" s="787">
        <v>175.19</v>
      </c>
      <c r="O2335" s="788">
        <v>42144</v>
      </c>
    </row>
    <row r="2336" spans="1:15" x14ac:dyDescent="0.25">
      <c r="A2336" s="786" t="s">
        <v>4964</v>
      </c>
      <c r="B2336" s="787">
        <v>4</v>
      </c>
      <c r="C2336" s="787" t="s">
        <v>4965</v>
      </c>
      <c r="D2336" s="787">
        <v>0.84</v>
      </c>
      <c r="E2336" s="787">
        <v>1.2</v>
      </c>
      <c r="F2336" s="788">
        <v>40862</v>
      </c>
      <c r="G2336" s="788">
        <v>42165</v>
      </c>
      <c r="H2336" s="787">
        <v>1</v>
      </c>
      <c r="I2336" s="788">
        <v>42164</v>
      </c>
      <c r="J2336" s="788">
        <v>42165</v>
      </c>
      <c r="K2336" s="788">
        <v>41002</v>
      </c>
      <c r="L2336" s="787">
        <v>1.1599999999999999</v>
      </c>
      <c r="M2336" s="787">
        <v>20</v>
      </c>
      <c r="N2336" s="787">
        <v>1.25</v>
      </c>
      <c r="O2336" s="788">
        <v>42164</v>
      </c>
    </row>
    <row r="2337" spans="1:15" x14ac:dyDescent="0.25">
      <c r="A2337" s="786" t="s">
        <v>821</v>
      </c>
      <c r="B2337" s="787">
        <v>4</v>
      </c>
      <c r="C2337" s="787" t="s">
        <v>4966</v>
      </c>
      <c r="D2337" s="787">
        <v>1.73</v>
      </c>
      <c r="E2337" s="787">
        <v>2.99</v>
      </c>
      <c r="F2337" s="788">
        <v>40853</v>
      </c>
      <c r="G2337" s="788">
        <v>42165</v>
      </c>
      <c r="H2337" s="787">
        <v>1</v>
      </c>
      <c r="I2337" s="788">
        <v>42166</v>
      </c>
      <c r="J2337" s="788">
        <v>42165</v>
      </c>
      <c r="K2337" s="788">
        <v>42018</v>
      </c>
      <c r="L2337" s="787">
        <v>2.89</v>
      </c>
      <c r="M2337" s="787">
        <v>20</v>
      </c>
      <c r="N2337" s="787">
        <v>3.11</v>
      </c>
      <c r="O2337" s="788">
        <v>42164</v>
      </c>
    </row>
    <row r="2338" spans="1:15" x14ac:dyDescent="0.25">
      <c r="A2338" s="786" t="s">
        <v>4967</v>
      </c>
      <c r="B2338" s="787">
        <v>4</v>
      </c>
      <c r="C2338" s="787" t="s">
        <v>4968</v>
      </c>
      <c r="D2338" s="787">
        <v>8.1199999999999992</v>
      </c>
      <c r="E2338" s="787">
        <v>148</v>
      </c>
      <c r="F2338" s="788">
        <v>38946</v>
      </c>
      <c r="G2338" s="788">
        <v>41583</v>
      </c>
      <c r="H2338" s="787">
        <v>6</v>
      </c>
      <c r="I2338" s="788">
        <v>38992</v>
      </c>
      <c r="J2338" s="788">
        <v>41583</v>
      </c>
      <c r="K2338" s="788">
        <v>41865</v>
      </c>
      <c r="L2338" s="787">
        <v>150</v>
      </c>
      <c r="M2338" s="787">
        <v>20</v>
      </c>
      <c r="N2338" s="787">
        <v>76.33</v>
      </c>
      <c r="O2338" s="788">
        <v>41858</v>
      </c>
    </row>
    <row r="2339" spans="1:15" x14ac:dyDescent="0.25">
      <c r="A2339" s="786" t="s">
        <v>4967</v>
      </c>
      <c r="B2339" s="787" t="s">
        <v>4399</v>
      </c>
      <c r="C2339" s="787" t="s">
        <v>4969</v>
      </c>
      <c r="D2339" s="787">
        <v>0</v>
      </c>
      <c r="E2339" s="787">
        <v>0</v>
      </c>
      <c r="H2339" s="787">
        <v>6</v>
      </c>
      <c r="K2339" s="788">
        <v>41865</v>
      </c>
      <c r="L2339" s="787">
        <v>0.01</v>
      </c>
      <c r="M2339" s="787">
        <v>20</v>
      </c>
      <c r="N2339" s="787">
        <v>0</v>
      </c>
      <c r="O2339" s="788">
        <v>40824</v>
      </c>
    </row>
    <row r="2340" spans="1:15" x14ac:dyDescent="0.25">
      <c r="A2340" s="786" t="s">
        <v>4967</v>
      </c>
      <c r="B2340" s="787" t="s">
        <v>4400</v>
      </c>
      <c r="C2340" s="787" t="s">
        <v>4969</v>
      </c>
      <c r="D2340" s="787">
        <v>6.34</v>
      </c>
      <c r="E2340" s="787">
        <v>6.34</v>
      </c>
      <c r="F2340" s="788">
        <v>41499</v>
      </c>
      <c r="G2340" s="788">
        <v>41563</v>
      </c>
      <c r="H2340" s="787">
        <v>6</v>
      </c>
      <c r="J2340" s="788">
        <v>41491</v>
      </c>
      <c r="L2340" s="787">
        <v>6.34</v>
      </c>
      <c r="M2340" s="787">
        <v>20</v>
      </c>
      <c r="N2340" s="787">
        <v>6.82</v>
      </c>
      <c r="O2340" s="788">
        <v>41858</v>
      </c>
    </row>
    <row r="2341" spans="1:15" x14ac:dyDescent="0.25">
      <c r="A2341" s="786" t="s">
        <v>4967</v>
      </c>
      <c r="B2341" s="787" t="s">
        <v>4970</v>
      </c>
      <c r="C2341" s="787" t="s">
        <v>4969</v>
      </c>
      <c r="D2341" s="787">
        <v>0</v>
      </c>
      <c r="E2341" s="787">
        <v>38.840000000000003</v>
      </c>
      <c r="H2341" s="787">
        <v>6</v>
      </c>
      <c r="K2341" s="788">
        <v>41865</v>
      </c>
      <c r="L2341" s="787">
        <v>38.840000000000003</v>
      </c>
      <c r="M2341" s="787">
        <v>20</v>
      </c>
      <c r="N2341" s="787">
        <v>41.75</v>
      </c>
      <c r="O2341" s="788">
        <v>41858</v>
      </c>
    </row>
    <row r="2342" spans="1:15" x14ac:dyDescent="0.25">
      <c r="A2342" s="786" t="s">
        <v>4967</v>
      </c>
      <c r="B2342" s="787" t="s">
        <v>4971</v>
      </c>
      <c r="C2342" s="787" t="s">
        <v>4969</v>
      </c>
      <c r="D2342" s="787">
        <v>0</v>
      </c>
      <c r="E2342" s="787">
        <v>0</v>
      </c>
      <c r="H2342" s="787">
        <v>6</v>
      </c>
      <c r="K2342" s="788">
        <v>41865</v>
      </c>
      <c r="L2342" s="787">
        <v>0.01</v>
      </c>
      <c r="M2342" s="787">
        <v>20</v>
      </c>
      <c r="N2342" s="787">
        <v>0</v>
      </c>
      <c r="O2342" s="788">
        <v>40824</v>
      </c>
    </row>
    <row r="2343" spans="1:15" x14ac:dyDescent="0.25">
      <c r="A2343" s="786" t="s">
        <v>4972</v>
      </c>
      <c r="B2343" s="787">
        <v>4</v>
      </c>
      <c r="C2343" s="787" t="s">
        <v>4973</v>
      </c>
      <c r="D2343" s="787">
        <v>0.95</v>
      </c>
      <c r="E2343" s="787">
        <v>4.09</v>
      </c>
      <c r="F2343" s="788">
        <v>39456</v>
      </c>
      <c r="G2343" s="788">
        <v>42124</v>
      </c>
      <c r="H2343" s="787">
        <v>1</v>
      </c>
      <c r="I2343" s="788">
        <v>42160</v>
      </c>
      <c r="J2343" s="788">
        <v>42096</v>
      </c>
      <c r="L2343" s="787">
        <v>2.1</v>
      </c>
      <c r="M2343" s="787">
        <v>10</v>
      </c>
      <c r="N2343" s="787">
        <v>5.48</v>
      </c>
      <c r="O2343" s="788">
        <v>42162</v>
      </c>
    </row>
    <row r="2344" spans="1:15" x14ac:dyDescent="0.25">
      <c r="A2344" s="786" t="s">
        <v>4974</v>
      </c>
      <c r="B2344" s="787">
        <v>4</v>
      </c>
      <c r="C2344" s="787" t="s">
        <v>4975</v>
      </c>
      <c r="D2344" s="787">
        <v>7.6</v>
      </c>
      <c r="E2344" s="787">
        <v>7.6</v>
      </c>
      <c r="F2344" s="788">
        <v>39101</v>
      </c>
      <c r="G2344" s="788">
        <v>39101</v>
      </c>
      <c r="H2344" s="787">
        <v>1</v>
      </c>
      <c r="I2344" s="788">
        <v>39134</v>
      </c>
      <c r="J2344" s="788">
        <v>39149</v>
      </c>
      <c r="L2344" s="787">
        <v>8.2799999999999994</v>
      </c>
      <c r="M2344" s="787">
        <v>20</v>
      </c>
      <c r="N2344" s="787">
        <v>8.9</v>
      </c>
      <c r="O2344" s="788">
        <v>41858</v>
      </c>
    </row>
    <row r="2345" spans="1:15" x14ac:dyDescent="0.25">
      <c r="A2345" s="786" t="s">
        <v>4976</v>
      </c>
      <c r="B2345" s="787">
        <v>4</v>
      </c>
      <c r="C2345" s="787" t="s">
        <v>4977</v>
      </c>
      <c r="D2345" s="787">
        <v>8.9700000000000006</v>
      </c>
      <c r="E2345" s="787">
        <v>8.9700000000000006</v>
      </c>
      <c r="F2345" s="788">
        <v>38047</v>
      </c>
      <c r="G2345" s="788">
        <v>38364</v>
      </c>
      <c r="H2345" s="787">
        <v>1</v>
      </c>
      <c r="I2345" s="788">
        <v>38506</v>
      </c>
      <c r="J2345" s="788">
        <v>38047</v>
      </c>
      <c r="L2345" s="787">
        <v>9.7799999999999994</v>
      </c>
      <c r="M2345" s="787">
        <v>20</v>
      </c>
      <c r="N2345" s="787">
        <v>10.51</v>
      </c>
      <c r="O2345" s="788">
        <v>41858</v>
      </c>
    </row>
    <row r="2346" spans="1:15" x14ac:dyDescent="0.25">
      <c r="A2346" s="786" t="s">
        <v>4978</v>
      </c>
      <c r="B2346" s="787">
        <v>4</v>
      </c>
      <c r="C2346" s="787" t="s">
        <v>4979</v>
      </c>
      <c r="D2346" s="787">
        <v>0.21</v>
      </c>
      <c r="E2346" s="787">
        <v>0.6</v>
      </c>
      <c r="F2346" s="788">
        <v>39456</v>
      </c>
      <c r="G2346" s="788">
        <v>42013</v>
      </c>
      <c r="H2346" s="787">
        <v>1</v>
      </c>
      <c r="I2346" s="788">
        <v>42160</v>
      </c>
      <c r="J2346" s="788">
        <v>41856</v>
      </c>
      <c r="L2346" s="787">
        <v>0.61</v>
      </c>
      <c r="M2346" s="787">
        <v>10</v>
      </c>
      <c r="N2346" s="787">
        <v>1.26</v>
      </c>
      <c r="O2346" s="788">
        <v>42162</v>
      </c>
    </row>
    <row r="2347" spans="1:15" x14ac:dyDescent="0.25">
      <c r="A2347" s="786" t="s">
        <v>4980</v>
      </c>
      <c r="B2347" s="787">
        <v>4</v>
      </c>
      <c r="C2347" s="787" t="s">
        <v>4981</v>
      </c>
      <c r="D2347" s="787">
        <v>0.43</v>
      </c>
      <c r="E2347" s="787">
        <v>0.69</v>
      </c>
      <c r="F2347" s="788">
        <v>41579</v>
      </c>
      <c r="G2347" s="788">
        <v>42159</v>
      </c>
      <c r="H2347" s="787">
        <v>1</v>
      </c>
      <c r="I2347" s="788">
        <v>42165</v>
      </c>
      <c r="J2347" s="788">
        <v>42150</v>
      </c>
      <c r="L2347" s="787">
        <v>0.93</v>
      </c>
      <c r="M2347" s="787">
        <v>10</v>
      </c>
      <c r="N2347" s="787">
        <v>1.31</v>
      </c>
      <c r="O2347" s="788">
        <v>42162</v>
      </c>
    </row>
    <row r="2348" spans="1:15" x14ac:dyDescent="0.25">
      <c r="A2348" s="786" t="s">
        <v>4982</v>
      </c>
      <c r="B2348" s="787">
        <v>4</v>
      </c>
      <c r="C2348" s="787" t="s">
        <v>4983</v>
      </c>
      <c r="D2348" s="787">
        <v>1.6</v>
      </c>
      <c r="E2348" s="787">
        <v>1.6</v>
      </c>
      <c r="F2348" s="788">
        <v>39101</v>
      </c>
      <c r="G2348" s="788">
        <v>39101</v>
      </c>
      <c r="H2348" s="787">
        <v>6</v>
      </c>
      <c r="I2348" s="788">
        <v>38959</v>
      </c>
      <c r="J2348" s="788">
        <v>39101</v>
      </c>
      <c r="L2348" s="787">
        <v>4</v>
      </c>
      <c r="M2348" s="787">
        <v>10</v>
      </c>
      <c r="N2348" s="787">
        <v>5.74</v>
      </c>
      <c r="O2348" s="788">
        <v>41822</v>
      </c>
    </row>
    <row r="2349" spans="1:15" x14ac:dyDescent="0.25">
      <c r="A2349" s="786" t="s">
        <v>4984</v>
      </c>
      <c r="B2349" s="787">
        <v>4</v>
      </c>
      <c r="C2349" s="787" t="s">
        <v>4985</v>
      </c>
      <c r="D2349" s="787">
        <v>0</v>
      </c>
      <c r="E2349" s="787">
        <v>0</v>
      </c>
      <c r="G2349" s="788">
        <v>38736</v>
      </c>
      <c r="H2349" s="787">
        <v>1</v>
      </c>
      <c r="I2349" s="788">
        <v>39891</v>
      </c>
      <c r="J2349" s="788">
        <v>39101</v>
      </c>
      <c r="L2349" s="787">
        <v>4.7699999999999996</v>
      </c>
      <c r="M2349" s="787">
        <v>10</v>
      </c>
      <c r="N2349" s="787">
        <v>6.14</v>
      </c>
      <c r="O2349" s="788">
        <v>42087</v>
      </c>
    </row>
    <row r="2350" spans="1:15" x14ac:dyDescent="0.25">
      <c r="A2350" s="786" t="s">
        <v>4986</v>
      </c>
      <c r="B2350" s="787">
        <v>4</v>
      </c>
      <c r="C2350" s="787" t="s">
        <v>4987</v>
      </c>
      <c r="D2350" s="787">
        <v>6.81</v>
      </c>
      <c r="E2350" s="787">
        <v>54.75</v>
      </c>
      <c r="F2350" s="788">
        <v>39975</v>
      </c>
      <c r="G2350" s="788">
        <v>41775</v>
      </c>
      <c r="H2350" s="787">
        <v>1</v>
      </c>
      <c r="I2350" s="788">
        <v>42110</v>
      </c>
      <c r="J2350" s="788">
        <v>41717</v>
      </c>
      <c r="K2350" s="788">
        <v>41709</v>
      </c>
      <c r="L2350" s="787">
        <v>7.05</v>
      </c>
      <c r="M2350" s="787">
        <v>10</v>
      </c>
      <c r="N2350" s="787">
        <v>6.9</v>
      </c>
      <c r="O2350" s="788">
        <v>42083</v>
      </c>
    </row>
    <row r="2351" spans="1:15" x14ac:dyDescent="0.25">
      <c r="A2351" s="786" t="s">
        <v>4988</v>
      </c>
      <c r="B2351" s="787">
        <v>4</v>
      </c>
      <c r="C2351" s="787" t="s">
        <v>4989</v>
      </c>
      <c r="D2351" s="787">
        <v>3.4</v>
      </c>
      <c r="E2351" s="787">
        <v>3.4</v>
      </c>
      <c r="F2351" s="788">
        <v>39975</v>
      </c>
      <c r="G2351" s="788">
        <v>39975</v>
      </c>
      <c r="H2351" s="787">
        <v>1</v>
      </c>
      <c r="I2351" s="788">
        <v>40651</v>
      </c>
      <c r="J2351" s="788">
        <v>39101</v>
      </c>
      <c r="L2351" s="787">
        <v>5.1100000000000003</v>
      </c>
      <c r="M2351" s="787">
        <v>10</v>
      </c>
      <c r="N2351" s="787">
        <v>6.48</v>
      </c>
      <c r="O2351" s="788">
        <v>42087</v>
      </c>
    </row>
    <row r="2352" spans="1:15" x14ac:dyDescent="0.25">
      <c r="A2352" s="786" t="s">
        <v>4990</v>
      </c>
      <c r="B2352" s="787">
        <v>4</v>
      </c>
      <c r="C2352" s="787" t="s">
        <v>4991</v>
      </c>
      <c r="D2352" s="787">
        <v>6.77</v>
      </c>
      <c r="E2352" s="787">
        <v>6.77</v>
      </c>
      <c r="F2352" s="788">
        <v>39975</v>
      </c>
      <c r="G2352" s="788">
        <v>39975</v>
      </c>
      <c r="H2352" s="787">
        <v>1</v>
      </c>
      <c r="I2352" s="788">
        <v>41018</v>
      </c>
      <c r="J2352" s="788">
        <v>39149</v>
      </c>
      <c r="L2352" s="787">
        <v>8.98</v>
      </c>
      <c r="M2352" s="787">
        <v>10</v>
      </c>
      <c r="N2352" s="787">
        <v>10.27</v>
      </c>
      <c r="O2352" s="788">
        <v>42087</v>
      </c>
    </row>
    <row r="2353" spans="1:15" x14ac:dyDescent="0.25">
      <c r="A2353" s="786" t="s">
        <v>4992</v>
      </c>
      <c r="B2353" s="787">
        <v>4</v>
      </c>
      <c r="C2353" s="787" t="s">
        <v>4993</v>
      </c>
      <c r="D2353" s="787">
        <v>0.55000000000000004</v>
      </c>
      <c r="E2353" s="787">
        <v>2.52</v>
      </c>
      <c r="F2353" s="788">
        <v>39456</v>
      </c>
      <c r="G2353" s="788">
        <v>40553</v>
      </c>
      <c r="H2353" s="787">
        <v>1</v>
      </c>
      <c r="I2353" s="788">
        <v>40570</v>
      </c>
      <c r="J2353" s="788">
        <v>39891</v>
      </c>
      <c r="L2353" s="787">
        <v>0.93</v>
      </c>
      <c r="M2353" s="787">
        <v>10</v>
      </c>
      <c r="N2353" s="787">
        <v>1.44</v>
      </c>
      <c r="O2353" s="788">
        <v>42152</v>
      </c>
    </row>
    <row r="2354" spans="1:15" x14ac:dyDescent="0.25">
      <c r="A2354" s="786" t="s">
        <v>4994</v>
      </c>
      <c r="B2354" s="787">
        <v>4</v>
      </c>
      <c r="C2354" s="787" t="s">
        <v>4995</v>
      </c>
      <c r="D2354" s="787">
        <v>5.44</v>
      </c>
      <c r="E2354" s="787">
        <v>6.56</v>
      </c>
      <c r="F2354" s="788">
        <v>39975</v>
      </c>
      <c r="G2354" s="788">
        <v>42013</v>
      </c>
      <c r="H2354" s="787">
        <v>1</v>
      </c>
      <c r="I2354" s="788">
        <v>42145</v>
      </c>
      <c r="J2354" s="788">
        <v>41506</v>
      </c>
      <c r="L2354" s="787">
        <v>7.53</v>
      </c>
      <c r="M2354" s="787">
        <v>10</v>
      </c>
      <c r="N2354" s="787">
        <v>6.38</v>
      </c>
      <c r="O2354" s="788">
        <v>42162</v>
      </c>
    </row>
    <row r="2355" spans="1:15" x14ac:dyDescent="0.25">
      <c r="A2355" s="786" t="s">
        <v>4996</v>
      </c>
      <c r="B2355" s="787">
        <v>4</v>
      </c>
      <c r="C2355" s="787" t="s">
        <v>4997</v>
      </c>
      <c r="D2355" s="787">
        <v>1.39</v>
      </c>
      <c r="E2355" s="787">
        <v>1.39</v>
      </c>
      <c r="F2355" s="788">
        <v>37636</v>
      </c>
      <c r="G2355" s="788">
        <v>37636</v>
      </c>
      <c r="H2355" s="787">
        <v>1</v>
      </c>
      <c r="J2355" s="788">
        <v>37636</v>
      </c>
      <c r="L2355" s="787">
        <v>1.65</v>
      </c>
      <c r="M2355" s="787">
        <v>10</v>
      </c>
      <c r="N2355" s="787">
        <v>2.34</v>
      </c>
      <c r="O2355" s="788">
        <v>42087</v>
      </c>
    </row>
    <row r="2356" spans="1:15" x14ac:dyDescent="0.25">
      <c r="A2356" s="786" t="s">
        <v>4996</v>
      </c>
      <c r="B2356" s="787" t="s">
        <v>2333</v>
      </c>
      <c r="C2356" s="787" t="s">
        <v>2334</v>
      </c>
      <c r="D2356" s="787">
        <v>2.58</v>
      </c>
      <c r="E2356" s="787">
        <v>2.58</v>
      </c>
      <c r="F2356" s="788">
        <v>37636</v>
      </c>
      <c r="G2356" s="788">
        <v>38364</v>
      </c>
      <c r="H2356" s="787">
        <v>1</v>
      </c>
      <c r="I2356" s="788">
        <v>38736</v>
      </c>
      <c r="J2356" s="788">
        <v>37636</v>
      </c>
      <c r="L2356" s="787">
        <v>2.0299999999999998</v>
      </c>
      <c r="M2356" s="787">
        <v>10</v>
      </c>
      <c r="N2356" s="787">
        <v>0</v>
      </c>
      <c r="O2356" s="788">
        <v>40824</v>
      </c>
    </row>
    <row r="2357" spans="1:15" x14ac:dyDescent="0.25">
      <c r="A2357" s="786" t="s">
        <v>4998</v>
      </c>
      <c r="B2357" s="787">
        <v>4</v>
      </c>
      <c r="C2357" s="787" t="s">
        <v>4999</v>
      </c>
      <c r="D2357" s="787">
        <v>2.25</v>
      </c>
      <c r="E2357" s="787">
        <v>2.25</v>
      </c>
      <c r="F2357" s="788">
        <v>37636</v>
      </c>
      <c r="G2357" s="788">
        <v>37636</v>
      </c>
      <c r="H2357" s="787">
        <v>6</v>
      </c>
      <c r="J2357" s="788">
        <v>37636</v>
      </c>
      <c r="L2357" s="787">
        <v>1.8</v>
      </c>
      <c r="M2357" s="787">
        <v>10</v>
      </c>
      <c r="N2357" s="787">
        <v>1.55</v>
      </c>
      <c r="O2357" s="788">
        <v>41815</v>
      </c>
    </row>
    <row r="2358" spans="1:15" x14ac:dyDescent="0.25">
      <c r="A2358" s="786" t="s">
        <v>4998</v>
      </c>
      <c r="B2358" s="787" t="s">
        <v>2333</v>
      </c>
      <c r="C2358" s="787" t="s">
        <v>2334</v>
      </c>
      <c r="D2358" s="787">
        <v>1.67</v>
      </c>
      <c r="E2358" s="787">
        <v>1.67</v>
      </c>
      <c r="F2358" s="788">
        <v>37636</v>
      </c>
      <c r="G2358" s="788">
        <v>37636</v>
      </c>
      <c r="H2358" s="787">
        <v>6</v>
      </c>
      <c r="J2358" s="788">
        <v>37636</v>
      </c>
      <c r="L2358" s="787">
        <v>1.49</v>
      </c>
      <c r="M2358" s="787">
        <v>10</v>
      </c>
      <c r="N2358" s="787">
        <v>2.52</v>
      </c>
      <c r="O2358" s="788">
        <v>41815</v>
      </c>
    </row>
    <row r="2359" spans="1:15" x14ac:dyDescent="0.25">
      <c r="A2359" s="786" t="s">
        <v>5000</v>
      </c>
      <c r="B2359" s="787">
        <v>4</v>
      </c>
      <c r="C2359" s="787" t="s">
        <v>5001</v>
      </c>
      <c r="D2359" s="787">
        <v>0</v>
      </c>
      <c r="E2359" s="787">
        <v>0</v>
      </c>
      <c r="H2359" s="787">
        <v>6</v>
      </c>
      <c r="J2359" s="788">
        <v>37636</v>
      </c>
      <c r="L2359" s="787">
        <v>2.4300000000000002</v>
      </c>
      <c r="M2359" s="787">
        <v>10</v>
      </c>
      <c r="N2359" s="787">
        <v>1.69</v>
      </c>
      <c r="O2359" s="788">
        <v>41806</v>
      </c>
    </row>
    <row r="2360" spans="1:15" x14ac:dyDescent="0.25">
      <c r="A2360" s="786" t="s">
        <v>5002</v>
      </c>
      <c r="B2360" s="787">
        <v>4</v>
      </c>
      <c r="C2360" s="787" t="s">
        <v>5003</v>
      </c>
      <c r="D2360" s="787">
        <v>0</v>
      </c>
      <c r="E2360" s="787">
        <v>0</v>
      </c>
      <c r="G2360" s="788">
        <v>37658</v>
      </c>
      <c r="H2360" s="787">
        <v>6</v>
      </c>
      <c r="J2360" s="788">
        <v>37658</v>
      </c>
      <c r="L2360" s="787">
        <v>4.95</v>
      </c>
      <c r="M2360" s="787">
        <v>20</v>
      </c>
      <c r="N2360" s="787">
        <v>5.32</v>
      </c>
      <c r="O2360" s="788">
        <v>41806</v>
      </c>
    </row>
    <row r="2361" spans="1:15" x14ac:dyDescent="0.25">
      <c r="A2361" s="786" t="s">
        <v>5004</v>
      </c>
      <c r="B2361" s="787">
        <v>4</v>
      </c>
      <c r="C2361" s="787" t="s">
        <v>5005</v>
      </c>
      <c r="D2361" s="787">
        <v>0.36</v>
      </c>
      <c r="E2361" s="787">
        <v>3.06</v>
      </c>
      <c r="F2361" s="788">
        <v>41135</v>
      </c>
      <c r="G2361" s="788">
        <v>42152</v>
      </c>
      <c r="H2361" s="787">
        <v>1</v>
      </c>
      <c r="I2361" s="788">
        <v>42165</v>
      </c>
      <c r="J2361" s="788">
        <v>42128</v>
      </c>
      <c r="L2361" s="787">
        <v>0</v>
      </c>
      <c r="M2361" s="787">
        <v>10</v>
      </c>
      <c r="N2361" s="787">
        <v>3.96</v>
      </c>
      <c r="O2361" s="788">
        <v>41858</v>
      </c>
    </row>
    <row r="2362" spans="1:15" x14ac:dyDescent="0.25">
      <c r="A2362" s="786" t="s">
        <v>5006</v>
      </c>
      <c r="B2362" s="787">
        <v>4</v>
      </c>
      <c r="C2362" s="787" t="s">
        <v>5007</v>
      </c>
      <c r="D2362" s="787">
        <v>0.48</v>
      </c>
      <c r="E2362" s="787">
        <v>7.13</v>
      </c>
      <c r="F2362" s="788">
        <v>41813</v>
      </c>
      <c r="G2362" s="788">
        <v>42065</v>
      </c>
      <c r="H2362" s="787">
        <v>1</v>
      </c>
      <c r="I2362" s="788">
        <v>42130</v>
      </c>
      <c r="J2362" s="788">
        <v>42034</v>
      </c>
      <c r="K2362" s="788">
        <v>41317</v>
      </c>
      <c r="L2362" s="787">
        <v>5.69</v>
      </c>
      <c r="M2362" s="787">
        <v>10</v>
      </c>
      <c r="N2362" s="787">
        <v>7.7</v>
      </c>
      <c r="O2362" s="788">
        <v>41963</v>
      </c>
    </row>
    <row r="2363" spans="1:15" x14ac:dyDescent="0.25">
      <c r="A2363" s="786" t="s">
        <v>5008</v>
      </c>
      <c r="B2363" s="787">
        <v>4</v>
      </c>
      <c r="C2363" s="787" t="s">
        <v>5007</v>
      </c>
      <c r="D2363" s="787">
        <v>0.32</v>
      </c>
      <c r="E2363" s="787">
        <v>9.4499999999999993</v>
      </c>
      <c r="F2363" s="788">
        <v>40827</v>
      </c>
      <c r="G2363" s="788">
        <v>41775</v>
      </c>
      <c r="H2363" s="787">
        <v>1</v>
      </c>
      <c r="I2363" s="788">
        <v>41733</v>
      </c>
      <c r="J2363" s="788">
        <v>41744</v>
      </c>
      <c r="L2363" s="787">
        <v>0</v>
      </c>
      <c r="M2363" s="787">
        <v>10</v>
      </c>
      <c r="N2363" s="787">
        <v>8.31</v>
      </c>
      <c r="O2363" s="788">
        <v>41858</v>
      </c>
    </row>
    <row r="2364" spans="1:15" x14ac:dyDescent="0.25">
      <c r="A2364" s="786" t="s">
        <v>5009</v>
      </c>
      <c r="B2364" s="787">
        <v>4</v>
      </c>
      <c r="C2364" s="787" t="s">
        <v>5010</v>
      </c>
      <c r="D2364" s="787">
        <v>0.65</v>
      </c>
      <c r="E2364" s="787">
        <v>6.74</v>
      </c>
      <c r="F2364" s="788">
        <v>41813</v>
      </c>
      <c r="G2364" s="788">
        <v>42152</v>
      </c>
      <c r="H2364" s="787">
        <v>1</v>
      </c>
      <c r="I2364" s="788">
        <v>42160</v>
      </c>
      <c r="J2364" s="788">
        <v>42128</v>
      </c>
      <c r="L2364" s="787">
        <v>14.18</v>
      </c>
      <c r="M2364" s="787">
        <v>10</v>
      </c>
      <c r="N2364" s="787">
        <v>8.23</v>
      </c>
      <c r="O2364" s="788">
        <v>42127</v>
      </c>
    </row>
    <row r="2365" spans="1:15" x14ac:dyDescent="0.25">
      <c r="A2365" s="786" t="s">
        <v>5011</v>
      </c>
      <c r="B2365" s="787">
        <v>4</v>
      </c>
      <c r="C2365" s="787" t="s">
        <v>5012</v>
      </c>
      <c r="D2365" s="787">
        <v>0</v>
      </c>
      <c r="E2365" s="787">
        <v>0</v>
      </c>
      <c r="H2365" s="787">
        <v>6</v>
      </c>
      <c r="I2365" s="788">
        <v>38071</v>
      </c>
      <c r="L2365" s="787">
        <v>19.61</v>
      </c>
      <c r="M2365" s="787">
        <v>10</v>
      </c>
      <c r="N2365" s="787">
        <v>20.11</v>
      </c>
      <c r="O2365" s="788">
        <v>41821</v>
      </c>
    </row>
    <row r="2366" spans="1:15" x14ac:dyDescent="0.25">
      <c r="A2366" s="786" t="s">
        <v>5013</v>
      </c>
      <c r="B2366" s="787">
        <v>4</v>
      </c>
      <c r="C2366" s="787" t="s">
        <v>5014</v>
      </c>
      <c r="D2366" s="787">
        <v>0.18</v>
      </c>
      <c r="E2366" s="787">
        <v>7.55</v>
      </c>
      <c r="F2366" s="788">
        <v>41813</v>
      </c>
      <c r="G2366" s="788">
        <v>42153</v>
      </c>
      <c r="H2366" s="787">
        <v>1</v>
      </c>
      <c r="I2366" s="788">
        <v>42160</v>
      </c>
      <c r="J2366" s="788">
        <v>42128</v>
      </c>
      <c r="L2366" s="787">
        <v>7.07</v>
      </c>
      <c r="M2366" s="787">
        <v>10</v>
      </c>
      <c r="N2366" s="787">
        <v>7.79</v>
      </c>
      <c r="O2366" s="788">
        <v>42127</v>
      </c>
    </row>
    <row r="2367" spans="1:15" x14ac:dyDescent="0.25">
      <c r="A2367" s="786" t="s">
        <v>5015</v>
      </c>
      <c r="B2367" s="787">
        <v>4</v>
      </c>
      <c r="C2367" s="787" t="s">
        <v>5016</v>
      </c>
      <c r="D2367" s="787">
        <v>0.75</v>
      </c>
      <c r="E2367" s="787">
        <v>2.4</v>
      </c>
      <c r="F2367" s="788">
        <v>41813</v>
      </c>
      <c r="G2367" s="788">
        <v>42013</v>
      </c>
      <c r="H2367" s="787">
        <v>1</v>
      </c>
      <c r="I2367" s="788">
        <v>42160</v>
      </c>
      <c r="J2367" s="788">
        <v>41946</v>
      </c>
      <c r="L2367" s="787">
        <v>2.19</v>
      </c>
      <c r="M2367" s="787">
        <v>10</v>
      </c>
      <c r="N2367" s="787">
        <v>3.01</v>
      </c>
      <c r="O2367" s="788">
        <v>42127</v>
      </c>
    </row>
    <row r="2368" spans="1:15" x14ac:dyDescent="0.25">
      <c r="A2368" s="786" t="s">
        <v>5017</v>
      </c>
      <c r="B2368" s="787">
        <v>4</v>
      </c>
      <c r="C2368" s="787" t="s">
        <v>5018</v>
      </c>
      <c r="D2368" s="787">
        <v>0.55000000000000004</v>
      </c>
      <c r="E2368" s="787">
        <v>2.5299999999999998</v>
      </c>
      <c r="F2368" s="788">
        <v>41135</v>
      </c>
      <c r="G2368" s="788">
        <v>42153</v>
      </c>
      <c r="H2368" s="787">
        <v>1</v>
      </c>
      <c r="I2368" s="788">
        <v>42160</v>
      </c>
      <c r="J2368" s="788">
        <v>42128</v>
      </c>
      <c r="L2368" s="787">
        <v>1.83</v>
      </c>
      <c r="M2368" s="787">
        <v>10</v>
      </c>
      <c r="N2368" s="787">
        <v>2.69</v>
      </c>
      <c r="O2368" s="788">
        <v>42127</v>
      </c>
    </row>
    <row r="2369" spans="1:15" x14ac:dyDescent="0.25">
      <c r="A2369" s="786" t="s">
        <v>5019</v>
      </c>
      <c r="B2369" s="787">
        <v>4</v>
      </c>
      <c r="C2369" s="787" t="s">
        <v>5020</v>
      </c>
      <c r="D2369" s="787">
        <v>0.56999999999999995</v>
      </c>
      <c r="E2369" s="787">
        <v>2.85</v>
      </c>
      <c r="F2369" s="788">
        <v>41775</v>
      </c>
      <c r="G2369" s="788">
        <v>42146</v>
      </c>
      <c r="H2369" s="787">
        <v>1</v>
      </c>
      <c r="I2369" s="788">
        <v>42160</v>
      </c>
      <c r="J2369" s="788">
        <v>42122</v>
      </c>
      <c r="L2369" s="787">
        <v>8.82</v>
      </c>
      <c r="M2369" s="787">
        <v>10</v>
      </c>
      <c r="N2369" s="787">
        <v>7.61</v>
      </c>
      <c r="O2369" s="788">
        <v>41858</v>
      </c>
    </row>
    <row r="2370" spans="1:15" x14ac:dyDescent="0.25">
      <c r="A2370" s="786" t="s">
        <v>5021</v>
      </c>
      <c r="B2370" s="787">
        <v>4</v>
      </c>
      <c r="C2370" s="787" t="s">
        <v>5022</v>
      </c>
      <c r="D2370" s="787">
        <v>0.6</v>
      </c>
      <c r="E2370" s="787">
        <v>3.34</v>
      </c>
      <c r="F2370" s="788">
        <v>41775</v>
      </c>
      <c r="G2370" s="788">
        <v>42153</v>
      </c>
      <c r="H2370" s="787">
        <v>1</v>
      </c>
      <c r="I2370" s="788">
        <v>42160</v>
      </c>
      <c r="J2370" s="788">
        <v>42128</v>
      </c>
      <c r="L2370" s="787">
        <v>2.8</v>
      </c>
      <c r="M2370" s="787">
        <v>10</v>
      </c>
      <c r="N2370" s="787">
        <v>4.2</v>
      </c>
      <c r="O2370" s="788">
        <v>42127</v>
      </c>
    </row>
    <row r="2371" spans="1:15" x14ac:dyDescent="0.25">
      <c r="A2371" s="786" t="s">
        <v>5023</v>
      </c>
      <c r="B2371" s="787">
        <v>4</v>
      </c>
      <c r="C2371" s="787" t="s">
        <v>5024</v>
      </c>
      <c r="D2371" s="787">
        <v>0</v>
      </c>
      <c r="E2371" s="787">
        <v>0</v>
      </c>
      <c r="H2371" s="787">
        <v>6</v>
      </c>
      <c r="I2371" s="788">
        <v>38709</v>
      </c>
      <c r="J2371" s="788">
        <v>38736</v>
      </c>
      <c r="L2371" s="787">
        <v>14.57</v>
      </c>
      <c r="M2371" s="787">
        <v>10</v>
      </c>
      <c r="N2371" s="787">
        <v>18.73</v>
      </c>
      <c r="O2371" s="788">
        <v>41806</v>
      </c>
    </row>
    <row r="2372" spans="1:15" x14ac:dyDescent="0.25">
      <c r="A2372" s="786" t="s">
        <v>5025</v>
      </c>
      <c r="B2372" s="787">
        <v>4</v>
      </c>
      <c r="C2372" s="787" t="s">
        <v>5026</v>
      </c>
      <c r="D2372" s="787">
        <v>0.48</v>
      </c>
      <c r="E2372" s="787">
        <v>2.37</v>
      </c>
      <c r="F2372" s="788">
        <v>41775</v>
      </c>
      <c r="G2372" s="788">
        <v>42165</v>
      </c>
      <c r="H2372" s="787">
        <v>1</v>
      </c>
      <c r="I2372" s="788">
        <v>42160</v>
      </c>
      <c r="J2372" s="788">
        <v>42135</v>
      </c>
      <c r="L2372" s="787">
        <v>2.0499999999999998</v>
      </c>
      <c r="M2372" s="787">
        <v>10</v>
      </c>
      <c r="N2372" s="787">
        <v>3.36</v>
      </c>
      <c r="O2372" s="788">
        <v>41978</v>
      </c>
    </row>
    <row r="2373" spans="1:15" x14ac:dyDescent="0.25">
      <c r="A2373" s="786" t="s">
        <v>5027</v>
      </c>
      <c r="B2373" s="787">
        <v>4</v>
      </c>
      <c r="C2373" s="787" t="s">
        <v>5028</v>
      </c>
      <c r="D2373" s="787">
        <v>0.03</v>
      </c>
      <c r="E2373" s="787">
        <v>5.57</v>
      </c>
      <c r="F2373" s="788">
        <v>41775</v>
      </c>
      <c r="G2373" s="788">
        <v>42158</v>
      </c>
      <c r="H2373" s="787">
        <v>1</v>
      </c>
      <c r="I2373" s="788">
        <v>42160</v>
      </c>
      <c r="J2373" s="788">
        <v>42158</v>
      </c>
      <c r="L2373" s="787">
        <v>3.25</v>
      </c>
      <c r="M2373" s="787">
        <v>10</v>
      </c>
      <c r="N2373" s="787">
        <v>5.33</v>
      </c>
      <c r="O2373" s="788">
        <v>42127</v>
      </c>
    </row>
    <row r="2374" spans="1:15" x14ac:dyDescent="0.25">
      <c r="A2374" s="786" t="s">
        <v>5029</v>
      </c>
      <c r="B2374" s="787">
        <v>4</v>
      </c>
      <c r="C2374" s="787" t="s">
        <v>5030</v>
      </c>
      <c r="D2374" s="787">
        <v>7.0000000000000007E-2</v>
      </c>
      <c r="E2374" s="787">
        <v>4.1100000000000003</v>
      </c>
      <c r="F2374" s="788">
        <v>41775</v>
      </c>
      <c r="G2374" s="788">
        <v>42166</v>
      </c>
      <c r="H2374" s="787">
        <v>1</v>
      </c>
      <c r="I2374" s="788">
        <v>42163</v>
      </c>
      <c r="J2374" s="788">
        <v>42151</v>
      </c>
      <c r="L2374" s="787">
        <v>2.94</v>
      </c>
      <c r="M2374" s="787">
        <v>10</v>
      </c>
      <c r="N2374" s="787">
        <v>4.83</v>
      </c>
      <c r="O2374" s="788">
        <v>42146</v>
      </c>
    </row>
    <row r="2375" spans="1:15" x14ac:dyDescent="0.25">
      <c r="A2375" s="786" t="s">
        <v>5031</v>
      </c>
      <c r="B2375" s="787">
        <v>4</v>
      </c>
      <c r="C2375" s="787" t="s">
        <v>5032</v>
      </c>
      <c r="D2375" s="787">
        <v>0.41</v>
      </c>
      <c r="E2375" s="787">
        <v>0.64</v>
      </c>
      <c r="F2375" s="788">
        <v>41813</v>
      </c>
      <c r="G2375" s="788">
        <v>42142</v>
      </c>
      <c r="H2375" s="787">
        <v>1</v>
      </c>
      <c r="I2375" s="788">
        <v>42160</v>
      </c>
      <c r="J2375" s="788">
        <v>42114</v>
      </c>
      <c r="L2375" s="787">
        <v>5.8</v>
      </c>
      <c r="M2375" s="787">
        <v>10</v>
      </c>
      <c r="N2375" s="787">
        <v>1.2</v>
      </c>
      <c r="O2375" s="788">
        <v>42128</v>
      </c>
    </row>
    <row r="2376" spans="1:15" x14ac:dyDescent="0.25">
      <c r="A2376" s="786" t="s">
        <v>5033</v>
      </c>
      <c r="B2376" s="787">
        <v>4</v>
      </c>
      <c r="C2376" s="787" t="s">
        <v>5034</v>
      </c>
      <c r="D2376" s="787">
        <v>0.19</v>
      </c>
      <c r="E2376" s="787">
        <v>0.56999999999999995</v>
      </c>
      <c r="F2376" s="788">
        <v>41813</v>
      </c>
      <c r="G2376" s="788">
        <v>42142</v>
      </c>
      <c r="H2376" s="787">
        <v>1</v>
      </c>
      <c r="I2376" s="788">
        <v>42160</v>
      </c>
      <c r="J2376" s="788">
        <v>42114</v>
      </c>
      <c r="L2376" s="787">
        <v>0.22</v>
      </c>
      <c r="M2376" s="787">
        <v>10</v>
      </c>
      <c r="N2376" s="787">
        <v>1.0900000000000001</v>
      </c>
      <c r="O2376" s="788">
        <v>42165</v>
      </c>
    </row>
    <row r="2377" spans="1:15" x14ac:dyDescent="0.25">
      <c r="A2377" s="786" t="s">
        <v>5035</v>
      </c>
      <c r="B2377" s="787">
        <v>4</v>
      </c>
      <c r="C2377" s="787" t="s">
        <v>5036</v>
      </c>
      <c r="D2377" s="787">
        <v>0.22</v>
      </c>
      <c r="E2377" s="787">
        <v>0.34</v>
      </c>
      <c r="F2377" s="788">
        <v>41813</v>
      </c>
      <c r="G2377" s="788">
        <v>42144</v>
      </c>
      <c r="H2377" s="787">
        <v>1</v>
      </c>
      <c r="I2377" s="788">
        <v>42160</v>
      </c>
      <c r="J2377" s="788">
        <v>42117</v>
      </c>
      <c r="K2377" s="788">
        <v>41460</v>
      </c>
      <c r="L2377" s="787">
        <v>1.1100000000000001</v>
      </c>
      <c r="M2377" s="787">
        <v>10</v>
      </c>
      <c r="N2377" s="787">
        <v>1.1000000000000001</v>
      </c>
      <c r="O2377" s="788">
        <v>42127</v>
      </c>
    </row>
    <row r="2378" spans="1:15" x14ac:dyDescent="0.25">
      <c r="A2378" s="786" t="s">
        <v>5037</v>
      </c>
      <c r="B2378" s="787">
        <v>4</v>
      </c>
      <c r="C2378" s="787" t="s">
        <v>5038</v>
      </c>
      <c r="D2378" s="787">
        <v>0</v>
      </c>
      <c r="E2378" s="787">
        <v>0</v>
      </c>
      <c r="H2378" s="787">
        <v>1</v>
      </c>
      <c r="I2378" s="788">
        <v>38673</v>
      </c>
      <c r="J2378" s="788">
        <v>38736</v>
      </c>
      <c r="L2378" s="787">
        <v>5.94</v>
      </c>
      <c r="M2378" s="787">
        <v>10</v>
      </c>
      <c r="N2378" s="787">
        <v>6.07</v>
      </c>
      <c r="O2378" s="788">
        <v>42127</v>
      </c>
    </row>
    <row r="2379" spans="1:15" x14ac:dyDescent="0.25">
      <c r="A2379" s="786" t="s">
        <v>5039</v>
      </c>
      <c r="B2379" s="787">
        <v>4</v>
      </c>
      <c r="C2379" s="787" t="s">
        <v>5040</v>
      </c>
      <c r="D2379" s="787">
        <v>0</v>
      </c>
      <c r="E2379" s="787">
        <v>0</v>
      </c>
      <c r="G2379" s="788">
        <v>38736</v>
      </c>
      <c r="H2379" s="787">
        <v>1</v>
      </c>
      <c r="I2379" s="788">
        <v>39134</v>
      </c>
      <c r="J2379" s="788">
        <v>38673</v>
      </c>
      <c r="L2379" s="787">
        <v>5.56</v>
      </c>
      <c r="M2379" s="787">
        <v>10</v>
      </c>
      <c r="N2379" s="787">
        <v>1.39</v>
      </c>
      <c r="O2379" s="788">
        <v>40853</v>
      </c>
    </row>
    <row r="2380" spans="1:15" x14ac:dyDescent="0.25">
      <c r="A2380" s="786" t="s">
        <v>5041</v>
      </c>
      <c r="B2380" s="787">
        <v>4</v>
      </c>
      <c r="C2380" s="787" t="s">
        <v>5042</v>
      </c>
      <c r="D2380" s="787">
        <v>0</v>
      </c>
      <c r="E2380" s="787">
        <v>0</v>
      </c>
      <c r="G2380" s="788">
        <v>38736</v>
      </c>
      <c r="H2380" s="787">
        <v>1</v>
      </c>
      <c r="I2380" s="788">
        <v>39134</v>
      </c>
      <c r="J2380" s="788">
        <v>38572</v>
      </c>
      <c r="L2380" s="787">
        <v>1.63</v>
      </c>
      <c r="M2380" s="787">
        <v>10</v>
      </c>
      <c r="N2380" s="787">
        <v>1.73</v>
      </c>
      <c r="O2380" s="788">
        <v>42127</v>
      </c>
    </row>
    <row r="2381" spans="1:15" x14ac:dyDescent="0.25">
      <c r="A2381" s="786" t="s">
        <v>5043</v>
      </c>
      <c r="B2381" s="787">
        <v>4</v>
      </c>
      <c r="C2381" s="787" t="s">
        <v>5044</v>
      </c>
      <c r="D2381" s="787">
        <v>0.14000000000000001</v>
      </c>
      <c r="E2381" s="787">
        <v>0.14000000000000001</v>
      </c>
      <c r="F2381" s="788">
        <v>42086</v>
      </c>
      <c r="G2381" s="788">
        <v>42118</v>
      </c>
      <c r="H2381" s="787">
        <v>1</v>
      </c>
      <c r="I2381" s="788">
        <v>42117</v>
      </c>
      <c r="J2381" s="788">
        <v>42118</v>
      </c>
      <c r="L2381" s="787">
        <v>0.21</v>
      </c>
      <c r="M2381" s="787">
        <v>10</v>
      </c>
      <c r="N2381" s="787">
        <v>0.32</v>
      </c>
      <c r="O2381" s="788">
        <v>41978</v>
      </c>
    </row>
    <row r="2382" spans="1:15" x14ac:dyDescent="0.25">
      <c r="A2382" s="786" t="s">
        <v>5045</v>
      </c>
      <c r="B2382" s="787">
        <v>4</v>
      </c>
      <c r="C2382" s="787" t="s">
        <v>5046</v>
      </c>
      <c r="D2382" s="787">
        <v>0.06</v>
      </c>
      <c r="E2382" s="787">
        <v>0.06</v>
      </c>
      <c r="F2382" s="788">
        <v>42086</v>
      </c>
      <c r="G2382" s="788">
        <v>42118</v>
      </c>
      <c r="H2382" s="787">
        <v>1</v>
      </c>
      <c r="I2382" s="788">
        <v>42117</v>
      </c>
      <c r="J2382" s="788">
        <v>42118</v>
      </c>
      <c r="L2382" s="787">
        <v>0.12</v>
      </c>
      <c r="M2382" s="787">
        <v>10</v>
      </c>
      <c r="N2382" s="787">
        <v>0.24</v>
      </c>
      <c r="O2382" s="788">
        <v>41978</v>
      </c>
    </row>
    <row r="2383" spans="1:15" x14ac:dyDescent="0.25">
      <c r="A2383" s="786" t="s">
        <v>5047</v>
      </c>
      <c r="B2383" s="787">
        <v>4</v>
      </c>
      <c r="C2383" s="787" t="s">
        <v>5048</v>
      </c>
      <c r="D2383" s="787">
        <v>0.11</v>
      </c>
      <c r="E2383" s="787">
        <v>7.99</v>
      </c>
      <c r="F2383" s="788">
        <v>41775</v>
      </c>
      <c r="G2383" s="788">
        <v>42060</v>
      </c>
      <c r="H2383" s="787">
        <v>1</v>
      </c>
      <c r="I2383" s="788">
        <v>42160</v>
      </c>
      <c r="J2383" s="788">
        <v>42027</v>
      </c>
      <c r="K2383" s="788">
        <v>41408</v>
      </c>
      <c r="L2383" s="787">
        <v>6.31</v>
      </c>
      <c r="M2383" s="787">
        <v>10</v>
      </c>
      <c r="N2383" s="787">
        <v>9.34</v>
      </c>
      <c r="O2383" s="788">
        <v>41963</v>
      </c>
    </row>
    <row r="2384" spans="1:15" x14ac:dyDescent="0.25">
      <c r="A2384" s="786" t="s">
        <v>5049</v>
      </c>
      <c r="B2384" s="787">
        <v>4</v>
      </c>
      <c r="C2384" s="787" t="s">
        <v>5050</v>
      </c>
      <c r="D2384" s="787">
        <v>0</v>
      </c>
      <c r="E2384" s="787">
        <v>0</v>
      </c>
      <c r="G2384" s="788">
        <v>38736</v>
      </c>
      <c r="H2384" s="787">
        <v>1</v>
      </c>
      <c r="I2384" s="788">
        <v>39134</v>
      </c>
      <c r="J2384" s="788">
        <v>38736</v>
      </c>
      <c r="L2384" s="787">
        <v>12.39</v>
      </c>
      <c r="M2384" s="787">
        <v>10</v>
      </c>
      <c r="N2384" s="787">
        <v>14.07</v>
      </c>
      <c r="O2384" s="788">
        <v>42165</v>
      </c>
    </row>
    <row r="2385" spans="1:15" x14ac:dyDescent="0.25">
      <c r="A2385" s="786" t="s">
        <v>5051</v>
      </c>
      <c r="B2385" s="787">
        <v>4</v>
      </c>
      <c r="C2385" s="787" t="s">
        <v>5052</v>
      </c>
      <c r="D2385" s="787">
        <v>8.33</v>
      </c>
      <c r="E2385" s="787">
        <v>18.329999999999998</v>
      </c>
      <c r="F2385" s="788">
        <v>42114</v>
      </c>
      <c r="G2385" s="788">
        <v>42114</v>
      </c>
      <c r="H2385" s="787">
        <v>1</v>
      </c>
      <c r="I2385" s="788">
        <v>39134</v>
      </c>
      <c r="J2385" s="788">
        <v>42082</v>
      </c>
      <c r="L2385" s="787">
        <v>18.12</v>
      </c>
      <c r="M2385" s="787">
        <v>10</v>
      </c>
      <c r="N2385" s="787">
        <v>30.19</v>
      </c>
      <c r="O2385" s="788">
        <v>42165</v>
      </c>
    </row>
    <row r="2386" spans="1:15" x14ac:dyDescent="0.25">
      <c r="A2386" s="786" t="s">
        <v>5053</v>
      </c>
      <c r="B2386" s="787">
        <v>4</v>
      </c>
      <c r="C2386" s="787" t="s">
        <v>5054</v>
      </c>
      <c r="D2386" s="787">
        <v>2.1</v>
      </c>
      <c r="E2386" s="787">
        <v>24.73</v>
      </c>
      <c r="F2386" s="788">
        <v>41453</v>
      </c>
      <c r="G2386" s="788">
        <v>42086</v>
      </c>
      <c r="H2386" s="787">
        <v>1</v>
      </c>
      <c r="I2386" s="788">
        <v>39134</v>
      </c>
      <c r="J2386" s="788">
        <v>42054</v>
      </c>
      <c r="L2386" s="787">
        <v>23.85</v>
      </c>
      <c r="M2386" s="787">
        <v>10</v>
      </c>
      <c r="N2386" s="787">
        <v>24.17</v>
      </c>
      <c r="O2386" s="788">
        <v>41978</v>
      </c>
    </row>
    <row r="2387" spans="1:15" x14ac:dyDescent="0.25">
      <c r="A2387" s="786" t="s">
        <v>5055</v>
      </c>
      <c r="B2387" s="787">
        <v>4</v>
      </c>
      <c r="C2387" s="787" t="s">
        <v>5056</v>
      </c>
      <c r="D2387" s="787">
        <v>3.6</v>
      </c>
      <c r="E2387" s="787">
        <v>19.71</v>
      </c>
      <c r="F2387" s="788">
        <v>41813</v>
      </c>
      <c r="G2387" s="788">
        <v>42086</v>
      </c>
      <c r="H2387" s="787">
        <v>1</v>
      </c>
      <c r="I2387" s="788">
        <v>39134</v>
      </c>
      <c r="J2387" s="788">
        <v>42054</v>
      </c>
      <c r="L2387" s="787">
        <v>17.47</v>
      </c>
      <c r="M2387" s="787">
        <v>10</v>
      </c>
      <c r="N2387" s="787">
        <v>18.79</v>
      </c>
      <c r="O2387" s="788">
        <v>41978</v>
      </c>
    </row>
    <row r="2388" spans="1:15" x14ac:dyDescent="0.25">
      <c r="A2388" s="786" t="s">
        <v>5057</v>
      </c>
      <c r="B2388" s="787">
        <v>4</v>
      </c>
      <c r="C2388" s="787" t="s">
        <v>5058</v>
      </c>
      <c r="D2388" s="787">
        <v>8.93</v>
      </c>
      <c r="E2388" s="787">
        <v>22.72</v>
      </c>
      <c r="F2388" s="788">
        <v>40948</v>
      </c>
      <c r="G2388" s="788">
        <v>42150</v>
      </c>
      <c r="H2388" s="787">
        <v>1</v>
      </c>
      <c r="I2388" s="788">
        <v>39134</v>
      </c>
      <c r="J2388" s="788">
        <v>42117</v>
      </c>
      <c r="L2388" s="787">
        <v>23.2</v>
      </c>
      <c r="M2388" s="787">
        <v>10</v>
      </c>
      <c r="N2388" s="787">
        <v>23.58</v>
      </c>
      <c r="O2388" s="788">
        <v>41978</v>
      </c>
    </row>
    <row r="2389" spans="1:15" x14ac:dyDescent="0.25">
      <c r="A2389" s="786" t="s">
        <v>5059</v>
      </c>
      <c r="B2389" s="787">
        <v>4</v>
      </c>
      <c r="C2389" s="787" t="s">
        <v>5060</v>
      </c>
      <c r="D2389" s="787">
        <v>0</v>
      </c>
      <c r="E2389" s="787">
        <v>0</v>
      </c>
      <c r="G2389" s="788">
        <v>38736</v>
      </c>
      <c r="H2389" s="787">
        <v>1</v>
      </c>
      <c r="I2389" s="788">
        <v>39134</v>
      </c>
      <c r="J2389" s="788">
        <v>38736</v>
      </c>
      <c r="L2389" s="787">
        <v>12.27</v>
      </c>
      <c r="M2389" s="787">
        <v>10</v>
      </c>
      <c r="N2389" s="787">
        <v>17.190000000000001</v>
      </c>
      <c r="O2389" s="788">
        <v>42127</v>
      </c>
    </row>
    <row r="2390" spans="1:15" x14ac:dyDescent="0.25">
      <c r="A2390" s="786" t="s">
        <v>5061</v>
      </c>
      <c r="B2390" s="787">
        <v>4</v>
      </c>
      <c r="C2390" s="787" t="s">
        <v>5062</v>
      </c>
      <c r="D2390" s="787">
        <v>3.13</v>
      </c>
      <c r="E2390" s="787">
        <v>23.42</v>
      </c>
      <c r="F2390" s="788">
        <v>41135</v>
      </c>
      <c r="G2390" s="788">
        <v>42150</v>
      </c>
      <c r="H2390" s="787">
        <v>1</v>
      </c>
      <c r="I2390" s="788">
        <v>39134</v>
      </c>
      <c r="J2390" s="788">
        <v>42117</v>
      </c>
      <c r="L2390" s="787">
        <v>19.3</v>
      </c>
      <c r="M2390" s="787">
        <v>10</v>
      </c>
      <c r="N2390" s="787">
        <v>24.19</v>
      </c>
      <c r="O2390" s="788">
        <v>42127</v>
      </c>
    </row>
    <row r="2391" spans="1:15" x14ac:dyDescent="0.25">
      <c r="A2391" s="786" t="s">
        <v>5063</v>
      </c>
      <c r="B2391" s="787">
        <v>4</v>
      </c>
      <c r="C2391" s="787" t="s">
        <v>5064</v>
      </c>
      <c r="D2391" s="787">
        <v>8.27</v>
      </c>
      <c r="E2391" s="787">
        <v>28.27</v>
      </c>
      <c r="F2391" s="788">
        <v>42150</v>
      </c>
      <c r="G2391" s="788">
        <v>42150</v>
      </c>
      <c r="H2391" s="787">
        <v>1</v>
      </c>
      <c r="I2391" s="788">
        <v>39134</v>
      </c>
      <c r="J2391" s="788">
        <v>42117</v>
      </c>
      <c r="L2391" s="787">
        <v>23.44</v>
      </c>
      <c r="M2391" s="787">
        <v>10</v>
      </c>
      <c r="N2391" s="787">
        <v>30.42</v>
      </c>
      <c r="O2391" s="788">
        <v>42165</v>
      </c>
    </row>
    <row r="2392" spans="1:15" x14ac:dyDescent="0.25">
      <c r="A2392" s="786" t="s">
        <v>5065</v>
      </c>
      <c r="B2392" s="787">
        <v>4</v>
      </c>
      <c r="C2392" s="787" t="s">
        <v>5066</v>
      </c>
      <c r="D2392" s="787">
        <v>0</v>
      </c>
      <c r="E2392" s="787">
        <v>0</v>
      </c>
      <c r="G2392" s="788">
        <v>41943</v>
      </c>
      <c r="H2392" s="787">
        <v>1</v>
      </c>
      <c r="I2392" s="788">
        <v>39134</v>
      </c>
      <c r="J2392" s="788">
        <v>40064</v>
      </c>
      <c r="L2392" s="787">
        <v>18.82</v>
      </c>
      <c r="M2392" s="787">
        <v>10</v>
      </c>
      <c r="N2392" s="787">
        <v>22.31</v>
      </c>
      <c r="O2392" s="788">
        <v>42165</v>
      </c>
    </row>
    <row r="2393" spans="1:15" x14ac:dyDescent="0.25">
      <c r="A2393" s="786" t="s">
        <v>5067</v>
      </c>
      <c r="B2393" s="787">
        <v>4</v>
      </c>
      <c r="C2393" s="787" t="s">
        <v>5068</v>
      </c>
      <c r="D2393" s="787">
        <v>0.16</v>
      </c>
      <c r="E2393" s="787">
        <v>30.31</v>
      </c>
      <c r="F2393" s="788">
        <v>41775</v>
      </c>
      <c r="G2393" s="788">
        <v>42150</v>
      </c>
      <c r="H2393" s="787">
        <v>1</v>
      </c>
      <c r="I2393" s="788">
        <v>39134</v>
      </c>
      <c r="J2393" s="788">
        <v>42117</v>
      </c>
      <c r="L2393" s="787">
        <v>22.97</v>
      </c>
      <c r="M2393" s="787">
        <v>10</v>
      </c>
      <c r="N2393" s="787">
        <v>29.29</v>
      </c>
      <c r="O2393" s="788">
        <v>42165</v>
      </c>
    </row>
    <row r="2394" spans="1:15" x14ac:dyDescent="0.25">
      <c r="A2394" s="786" t="s">
        <v>5069</v>
      </c>
      <c r="B2394" s="787">
        <v>4</v>
      </c>
      <c r="C2394" s="787" t="s">
        <v>5048</v>
      </c>
      <c r="D2394" s="787">
        <v>0.32</v>
      </c>
      <c r="E2394" s="787">
        <v>0.32</v>
      </c>
      <c r="F2394" s="788">
        <v>40827</v>
      </c>
      <c r="G2394" s="788">
        <v>40827</v>
      </c>
      <c r="H2394" s="787">
        <v>1</v>
      </c>
      <c r="J2394" s="788">
        <v>40737</v>
      </c>
      <c r="L2394" s="787">
        <v>0</v>
      </c>
      <c r="M2394" s="787">
        <v>10</v>
      </c>
      <c r="N2394" s="787">
        <v>9.2200000000000006</v>
      </c>
      <c r="O2394" s="788">
        <v>41858</v>
      </c>
    </row>
    <row r="2395" spans="1:15" x14ac:dyDescent="0.25">
      <c r="A2395" s="786" t="s">
        <v>5070</v>
      </c>
      <c r="B2395" s="787">
        <v>4</v>
      </c>
      <c r="C2395" s="787" t="s">
        <v>4731</v>
      </c>
      <c r="D2395" s="787">
        <v>4.79</v>
      </c>
      <c r="E2395" s="787">
        <v>5.41</v>
      </c>
      <c r="F2395" s="788">
        <v>40644</v>
      </c>
      <c r="G2395" s="788">
        <v>42160</v>
      </c>
      <c r="H2395" s="787">
        <v>1</v>
      </c>
      <c r="I2395" s="788">
        <v>42160</v>
      </c>
      <c r="J2395" s="788">
        <v>42160</v>
      </c>
      <c r="L2395" s="787">
        <v>0</v>
      </c>
      <c r="M2395" s="787">
        <v>10</v>
      </c>
      <c r="N2395" s="787">
        <v>2.2799999999999998</v>
      </c>
      <c r="O2395" s="788">
        <v>41858</v>
      </c>
    </row>
    <row r="2396" spans="1:15" x14ac:dyDescent="0.25">
      <c r="A2396" s="786" t="s">
        <v>5071</v>
      </c>
      <c r="B2396" s="787">
        <v>4</v>
      </c>
      <c r="C2396" s="787" t="s">
        <v>5072</v>
      </c>
      <c r="D2396" s="787">
        <v>0.15</v>
      </c>
      <c r="E2396" s="787">
        <v>2.42</v>
      </c>
      <c r="F2396" s="788">
        <v>41775</v>
      </c>
      <c r="G2396" s="788">
        <v>42150</v>
      </c>
      <c r="H2396" s="787">
        <v>1</v>
      </c>
      <c r="J2396" s="788">
        <v>42117</v>
      </c>
      <c r="K2396" s="788">
        <v>41582</v>
      </c>
      <c r="L2396" s="787">
        <v>2.46</v>
      </c>
      <c r="M2396" s="787">
        <v>10</v>
      </c>
      <c r="N2396" s="787">
        <v>2.9</v>
      </c>
      <c r="O2396" s="788">
        <v>41962</v>
      </c>
    </row>
    <row r="2397" spans="1:15" x14ac:dyDescent="0.25">
      <c r="A2397" s="786" t="s">
        <v>5073</v>
      </c>
      <c r="B2397" s="787">
        <v>4</v>
      </c>
      <c r="C2397" s="787" t="s">
        <v>5074</v>
      </c>
      <c r="D2397" s="787">
        <v>0</v>
      </c>
      <c r="E2397" s="787">
        <v>0</v>
      </c>
      <c r="G2397" s="788">
        <v>41892</v>
      </c>
      <c r="H2397" s="787">
        <v>1</v>
      </c>
      <c r="I2397" s="788">
        <v>41891</v>
      </c>
      <c r="J2397" s="788">
        <v>41892</v>
      </c>
      <c r="L2397" s="787">
        <v>0</v>
      </c>
      <c r="M2397" s="787">
        <v>10</v>
      </c>
      <c r="N2397" s="787">
        <v>13.05</v>
      </c>
      <c r="O2397" s="788">
        <v>41858</v>
      </c>
    </row>
    <row r="2398" spans="1:15" x14ac:dyDescent="0.25">
      <c r="A2398" s="786" t="s">
        <v>5075</v>
      </c>
      <c r="B2398" s="787">
        <v>4</v>
      </c>
      <c r="C2398" s="787" t="s">
        <v>5076</v>
      </c>
      <c r="D2398" s="787">
        <v>0.43</v>
      </c>
      <c r="E2398" s="787">
        <v>1.17</v>
      </c>
      <c r="F2398" s="788">
        <v>41135</v>
      </c>
      <c r="G2398" s="788">
        <v>42013</v>
      </c>
      <c r="H2398" s="787">
        <v>1</v>
      </c>
      <c r="I2398" s="788">
        <v>42160</v>
      </c>
      <c r="J2398" s="788">
        <v>41904</v>
      </c>
      <c r="K2398" s="788">
        <v>41703</v>
      </c>
      <c r="L2398" s="787">
        <v>0.66</v>
      </c>
      <c r="M2398" s="787">
        <v>10</v>
      </c>
      <c r="N2398" s="787">
        <v>0.88</v>
      </c>
      <c r="O2398" s="788">
        <v>41858</v>
      </c>
    </row>
    <row r="2399" spans="1:15" x14ac:dyDescent="0.25">
      <c r="A2399" s="786" t="s">
        <v>5077</v>
      </c>
      <c r="B2399" s="787">
        <v>4</v>
      </c>
      <c r="C2399" s="787" t="s">
        <v>5078</v>
      </c>
      <c r="D2399" s="787">
        <v>0.45</v>
      </c>
      <c r="E2399" s="787">
        <v>4.1500000000000004</v>
      </c>
      <c r="F2399" s="788">
        <v>41775</v>
      </c>
      <c r="G2399" s="788">
        <v>42145</v>
      </c>
      <c r="H2399" s="787">
        <v>1</v>
      </c>
      <c r="I2399" s="788">
        <v>42160</v>
      </c>
      <c r="J2399" s="788">
        <v>42117</v>
      </c>
      <c r="K2399" s="788">
        <v>41352</v>
      </c>
      <c r="L2399" s="787">
        <v>4.54</v>
      </c>
      <c r="M2399" s="787">
        <v>10</v>
      </c>
      <c r="N2399" s="787">
        <v>5.0999999999999996</v>
      </c>
      <c r="O2399" s="788">
        <v>41858</v>
      </c>
    </row>
    <row r="2400" spans="1:15" x14ac:dyDescent="0.25">
      <c r="A2400" s="786" t="s">
        <v>5079</v>
      </c>
      <c r="B2400" s="787">
        <v>4</v>
      </c>
      <c r="C2400" s="787" t="s">
        <v>5080</v>
      </c>
      <c r="D2400" s="787">
        <v>0.55000000000000004</v>
      </c>
      <c r="E2400" s="787">
        <v>16.57</v>
      </c>
      <c r="F2400" s="788">
        <v>41579</v>
      </c>
      <c r="G2400" s="788">
        <v>42152</v>
      </c>
      <c r="H2400" s="787">
        <v>1</v>
      </c>
      <c r="J2400" s="788">
        <v>42122</v>
      </c>
      <c r="K2400" s="788">
        <v>41520</v>
      </c>
      <c r="L2400" s="787">
        <v>5.91</v>
      </c>
      <c r="M2400" s="787">
        <v>10</v>
      </c>
      <c r="N2400" s="787">
        <v>8.17</v>
      </c>
      <c r="O2400" s="788">
        <v>41858</v>
      </c>
    </row>
    <row r="2401" spans="1:15" x14ac:dyDescent="0.25">
      <c r="A2401" s="786" t="s">
        <v>5081</v>
      </c>
      <c r="B2401" s="787">
        <v>4</v>
      </c>
      <c r="C2401" s="787" t="s">
        <v>5082</v>
      </c>
      <c r="D2401" s="787">
        <v>3.91</v>
      </c>
      <c r="E2401" s="787">
        <v>4.38</v>
      </c>
      <c r="F2401" s="788">
        <v>41180</v>
      </c>
      <c r="G2401" s="788">
        <v>41613</v>
      </c>
      <c r="H2401" s="787">
        <v>1</v>
      </c>
      <c r="I2401" s="788">
        <v>41590</v>
      </c>
      <c r="J2401" s="788">
        <v>41578</v>
      </c>
      <c r="K2401" s="788">
        <v>41025</v>
      </c>
      <c r="L2401" s="787">
        <v>3.4</v>
      </c>
      <c r="M2401" s="787">
        <v>10</v>
      </c>
      <c r="N2401" s="787">
        <v>10.029999999999999</v>
      </c>
      <c r="O2401" s="788">
        <v>42053</v>
      </c>
    </row>
    <row r="2402" spans="1:15" x14ac:dyDescent="0.25">
      <c r="A2402" s="786" t="s">
        <v>5083</v>
      </c>
      <c r="B2402" s="787">
        <v>4</v>
      </c>
      <c r="C2402" s="787" t="s">
        <v>5084</v>
      </c>
      <c r="D2402" s="787">
        <v>7.48</v>
      </c>
      <c r="E2402" s="787">
        <v>25.48</v>
      </c>
      <c r="F2402" s="788">
        <v>41180</v>
      </c>
      <c r="G2402" s="788">
        <v>41613</v>
      </c>
      <c r="H2402" s="787">
        <v>1</v>
      </c>
      <c r="I2402" s="788">
        <v>41590</v>
      </c>
      <c r="J2402" s="788">
        <v>41578</v>
      </c>
      <c r="K2402" s="788">
        <v>41025</v>
      </c>
      <c r="L2402" s="787">
        <v>8.19</v>
      </c>
      <c r="M2402" s="787">
        <v>10</v>
      </c>
      <c r="N2402" s="787">
        <v>22.71</v>
      </c>
      <c r="O2402" s="788">
        <v>42053</v>
      </c>
    </row>
    <row r="2403" spans="1:15" x14ac:dyDescent="0.25">
      <c r="A2403" s="786" t="s">
        <v>5085</v>
      </c>
      <c r="B2403" s="787">
        <v>4</v>
      </c>
      <c r="C2403" s="787" t="s">
        <v>5086</v>
      </c>
      <c r="D2403" s="787">
        <v>3.41</v>
      </c>
      <c r="E2403" s="787">
        <v>103.41</v>
      </c>
      <c r="F2403" s="788">
        <v>38047</v>
      </c>
      <c r="G2403" s="788">
        <v>38364</v>
      </c>
      <c r="H2403" s="787">
        <v>6</v>
      </c>
      <c r="I2403" s="788">
        <v>38226</v>
      </c>
      <c r="J2403" s="788">
        <v>38047</v>
      </c>
      <c r="L2403" s="787">
        <v>109.04</v>
      </c>
      <c r="M2403" s="787">
        <v>10</v>
      </c>
      <c r="N2403" s="787">
        <v>119.13</v>
      </c>
      <c r="O2403" s="788">
        <v>41815</v>
      </c>
    </row>
    <row r="2404" spans="1:15" x14ac:dyDescent="0.25">
      <c r="A2404" s="786" t="s">
        <v>5085</v>
      </c>
      <c r="B2404" s="787" t="s">
        <v>2333</v>
      </c>
      <c r="C2404" s="787" t="s">
        <v>2334</v>
      </c>
      <c r="D2404" s="787">
        <v>0</v>
      </c>
      <c r="E2404" s="787">
        <v>0</v>
      </c>
      <c r="H2404" s="787">
        <v>6</v>
      </c>
      <c r="L2404" s="787">
        <v>106.26</v>
      </c>
      <c r="M2404" s="787">
        <v>10</v>
      </c>
      <c r="N2404" s="787">
        <v>92.18</v>
      </c>
      <c r="O2404" s="788">
        <v>41577</v>
      </c>
    </row>
    <row r="2405" spans="1:15" x14ac:dyDescent="0.25">
      <c r="A2405" s="786" t="s">
        <v>5087</v>
      </c>
      <c r="B2405" s="787">
        <v>4</v>
      </c>
      <c r="C2405" s="787" t="s">
        <v>5088</v>
      </c>
      <c r="D2405" s="787">
        <v>4.38</v>
      </c>
      <c r="E2405" s="787">
        <v>34.380000000000003</v>
      </c>
      <c r="F2405" s="788">
        <v>38047</v>
      </c>
      <c r="G2405" s="788">
        <v>38364</v>
      </c>
      <c r="H2405" s="787">
        <v>1</v>
      </c>
      <c r="I2405" s="788">
        <v>37844</v>
      </c>
      <c r="J2405" s="788">
        <v>38047</v>
      </c>
      <c r="L2405" s="787">
        <v>37.47</v>
      </c>
      <c r="M2405" s="787">
        <v>20</v>
      </c>
      <c r="N2405" s="787">
        <v>40.28</v>
      </c>
      <c r="O2405" s="788">
        <v>41858</v>
      </c>
    </row>
    <row r="2406" spans="1:15" x14ac:dyDescent="0.25">
      <c r="A2406" s="786" t="s">
        <v>5089</v>
      </c>
      <c r="B2406" s="787">
        <v>4</v>
      </c>
      <c r="C2406" s="787" t="s">
        <v>5088</v>
      </c>
      <c r="D2406" s="787">
        <v>5.15</v>
      </c>
      <c r="E2406" s="787">
        <v>35.15</v>
      </c>
      <c r="F2406" s="788">
        <v>39101</v>
      </c>
      <c r="G2406" s="788">
        <v>39101</v>
      </c>
      <c r="H2406" s="787">
        <v>1</v>
      </c>
      <c r="I2406" s="788">
        <v>39062</v>
      </c>
      <c r="J2406" s="788">
        <v>39101</v>
      </c>
      <c r="L2406" s="787">
        <v>38.31</v>
      </c>
      <c r="M2406" s="787">
        <v>20</v>
      </c>
      <c r="N2406" s="787">
        <v>41.18</v>
      </c>
      <c r="O2406" s="788">
        <v>41858</v>
      </c>
    </row>
    <row r="2407" spans="1:15" x14ac:dyDescent="0.25">
      <c r="A2407" s="786" t="s">
        <v>5090</v>
      </c>
      <c r="B2407" s="787">
        <v>4</v>
      </c>
      <c r="C2407" s="787" t="s">
        <v>5091</v>
      </c>
      <c r="D2407" s="787">
        <v>0</v>
      </c>
      <c r="E2407" s="787">
        <v>0</v>
      </c>
      <c r="H2407" s="787">
        <v>1</v>
      </c>
      <c r="I2407" s="788">
        <v>37844</v>
      </c>
      <c r="L2407" s="787">
        <v>2.93</v>
      </c>
      <c r="M2407" s="787">
        <v>10</v>
      </c>
      <c r="N2407" s="787">
        <v>4.37</v>
      </c>
      <c r="O2407" s="788">
        <v>42087</v>
      </c>
    </row>
    <row r="2408" spans="1:15" x14ac:dyDescent="0.25">
      <c r="A2408" s="786" t="s">
        <v>5090</v>
      </c>
      <c r="B2408" s="787" t="s">
        <v>2333</v>
      </c>
      <c r="C2408" s="787" t="s">
        <v>2334</v>
      </c>
      <c r="D2408" s="787">
        <v>0</v>
      </c>
      <c r="E2408" s="787">
        <v>0</v>
      </c>
      <c r="H2408" s="787">
        <v>6</v>
      </c>
      <c r="L2408" s="787">
        <v>1.9</v>
      </c>
      <c r="M2408" s="787">
        <v>10</v>
      </c>
      <c r="N2408" s="787">
        <v>0</v>
      </c>
      <c r="O2408" s="788">
        <v>41815</v>
      </c>
    </row>
    <row r="2409" spans="1:15" x14ac:dyDescent="0.25">
      <c r="A2409" s="786" t="s">
        <v>5092</v>
      </c>
      <c r="B2409" s="787">
        <v>4</v>
      </c>
      <c r="C2409" s="787" t="s">
        <v>5093</v>
      </c>
      <c r="D2409" s="787">
        <v>0.72</v>
      </c>
      <c r="E2409" s="787">
        <v>10.039999999999999</v>
      </c>
      <c r="F2409" s="788">
        <v>39456</v>
      </c>
      <c r="G2409" s="788">
        <v>42165</v>
      </c>
      <c r="H2409" s="787">
        <v>1</v>
      </c>
      <c r="I2409" s="788">
        <v>42137</v>
      </c>
      <c r="J2409" s="788">
        <v>42136</v>
      </c>
      <c r="L2409" s="787">
        <v>1.5</v>
      </c>
      <c r="M2409" s="787">
        <v>10</v>
      </c>
      <c r="N2409" s="787">
        <v>10.44</v>
      </c>
      <c r="O2409" s="788">
        <v>42152</v>
      </c>
    </row>
    <row r="2410" spans="1:15" x14ac:dyDescent="0.25">
      <c r="A2410" s="786" t="s">
        <v>5092</v>
      </c>
      <c r="B2410" s="787" t="s">
        <v>2333</v>
      </c>
      <c r="C2410" s="787" t="s">
        <v>2334</v>
      </c>
      <c r="D2410" s="787">
        <v>0</v>
      </c>
      <c r="E2410" s="787">
        <v>0</v>
      </c>
      <c r="H2410" s="787">
        <v>6</v>
      </c>
      <c r="L2410" s="787">
        <v>1.9</v>
      </c>
      <c r="M2410" s="787">
        <v>10</v>
      </c>
      <c r="N2410" s="787">
        <v>0</v>
      </c>
      <c r="O2410" s="788">
        <v>41815</v>
      </c>
    </row>
    <row r="2411" spans="1:15" x14ac:dyDescent="0.25">
      <c r="A2411" s="786" t="s">
        <v>5094</v>
      </c>
      <c r="B2411" s="787">
        <v>4</v>
      </c>
      <c r="C2411" s="787" t="s">
        <v>5095</v>
      </c>
      <c r="D2411" s="787">
        <v>0</v>
      </c>
      <c r="E2411" s="787">
        <v>0</v>
      </c>
      <c r="H2411" s="787">
        <v>1</v>
      </c>
      <c r="L2411" s="787">
        <v>2.97</v>
      </c>
      <c r="M2411" s="787">
        <v>10</v>
      </c>
      <c r="N2411" s="787">
        <v>4.42</v>
      </c>
      <c r="O2411" s="788">
        <v>42083</v>
      </c>
    </row>
    <row r="2412" spans="1:15" x14ac:dyDescent="0.25">
      <c r="A2412" s="786" t="s">
        <v>5094</v>
      </c>
      <c r="B2412" s="787" t="s">
        <v>2333</v>
      </c>
      <c r="C2412" s="787" t="s">
        <v>2334</v>
      </c>
      <c r="D2412" s="787">
        <v>0</v>
      </c>
      <c r="E2412" s="787">
        <v>0</v>
      </c>
      <c r="H2412" s="787">
        <v>6</v>
      </c>
      <c r="L2412" s="787">
        <v>1.9</v>
      </c>
      <c r="M2412" s="787">
        <v>10</v>
      </c>
      <c r="N2412" s="787">
        <v>0</v>
      </c>
      <c r="O2412" s="788">
        <v>41815</v>
      </c>
    </row>
    <row r="2413" spans="1:15" x14ac:dyDescent="0.25">
      <c r="A2413" s="786" t="s">
        <v>5096</v>
      </c>
      <c r="B2413" s="787">
        <v>4</v>
      </c>
      <c r="C2413" s="787" t="s">
        <v>5097</v>
      </c>
      <c r="D2413" s="787">
        <v>0</v>
      </c>
      <c r="E2413" s="787">
        <v>0</v>
      </c>
      <c r="H2413" s="787">
        <v>1</v>
      </c>
      <c r="L2413" s="787">
        <v>2.97</v>
      </c>
      <c r="M2413" s="787">
        <v>10</v>
      </c>
      <c r="N2413" s="787">
        <v>4.42</v>
      </c>
      <c r="O2413" s="788">
        <v>42087</v>
      </c>
    </row>
    <row r="2414" spans="1:15" x14ac:dyDescent="0.25">
      <c r="A2414" s="786" t="s">
        <v>5096</v>
      </c>
      <c r="B2414" s="787" t="s">
        <v>2333</v>
      </c>
      <c r="C2414" s="787" t="s">
        <v>2334</v>
      </c>
      <c r="D2414" s="787">
        <v>0</v>
      </c>
      <c r="E2414" s="787">
        <v>0</v>
      </c>
      <c r="H2414" s="787">
        <v>6</v>
      </c>
      <c r="L2414" s="787">
        <v>1.9</v>
      </c>
      <c r="M2414" s="787">
        <v>10</v>
      </c>
      <c r="N2414" s="787">
        <v>0</v>
      </c>
      <c r="O2414" s="788">
        <v>41815</v>
      </c>
    </row>
    <row r="2415" spans="1:15" x14ac:dyDescent="0.25">
      <c r="A2415" s="786" t="s">
        <v>5098</v>
      </c>
      <c r="B2415" s="787">
        <v>4</v>
      </c>
      <c r="C2415" s="787" t="s">
        <v>5099</v>
      </c>
      <c r="D2415" s="787">
        <v>1.28</v>
      </c>
      <c r="E2415" s="787">
        <v>705</v>
      </c>
      <c r="F2415" s="788">
        <v>38606</v>
      </c>
      <c r="G2415" s="788">
        <v>40644</v>
      </c>
      <c r="H2415" s="787">
        <v>1</v>
      </c>
      <c r="I2415" s="788">
        <v>40584</v>
      </c>
      <c r="J2415" s="788">
        <v>40577</v>
      </c>
      <c r="L2415" s="787">
        <v>157.66</v>
      </c>
      <c r="M2415" s="787">
        <v>10</v>
      </c>
      <c r="N2415" s="787">
        <v>226.53</v>
      </c>
      <c r="O2415" s="788">
        <v>42162</v>
      </c>
    </row>
    <row r="2416" spans="1:15" x14ac:dyDescent="0.25">
      <c r="A2416" s="786" t="s">
        <v>5100</v>
      </c>
      <c r="B2416" s="787">
        <v>4</v>
      </c>
      <c r="C2416" s="787" t="s">
        <v>5101</v>
      </c>
      <c r="D2416" s="787">
        <v>1</v>
      </c>
      <c r="E2416" s="787">
        <v>62.19</v>
      </c>
      <c r="F2416" s="788">
        <v>39654</v>
      </c>
      <c r="G2416" s="788">
        <v>42013</v>
      </c>
      <c r="H2416" s="787">
        <v>1</v>
      </c>
      <c r="I2416" s="788">
        <v>42016</v>
      </c>
      <c r="J2416" s="788">
        <v>39654</v>
      </c>
      <c r="K2416" s="788">
        <v>41869</v>
      </c>
      <c r="L2416" s="787">
        <v>62.19</v>
      </c>
      <c r="M2416" s="787">
        <v>20</v>
      </c>
      <c r="N2416" s="787">
        <v>66.849999999999994</v>
      </c>
      <c r="O2416" s="788">
        <v>42162</v>
      </c>
    </row>
    <row r="2417" spans="1:15" x14ac:dyDescent="0.25">
      <c r="A2417" s="786" t="s">
        <v>5102</v>
      </c>
      <c r="B2417" s="787">
        <v>4</v>
      </c>
      <c r="C2417" s="787" t="s">
        <v>5103</v>
      </c>
      <c r="D2417" s="787">
        <v>2.46</v>
      </c>
      <c r="E2417" s="787">
        <v>2.46</v>
      </c>
      <c r="F2417" s="788">
        <v>39456</v>
      </c>
      <c r="G2417" s="788">
        <v>41943</v>
      </c>
      <c r="H2417" s="787">
        <v>1</v>
      </c>
      <c r="I2417" s="788">
        <v>42039</v>
      </c>
      <c r="J2417" s="788">
        <v>40371</v>
      </c>
      <c r="L2417" s="787">
        <v>2.5099999999999998</v>
      </c>
      <c r="M2417" s="787">
        <v>10</v>
      </c>
      <c r="N2417" s="787">
        <v>20.49</v>
      </c>
      <c r="O2417" s="788">
        <v>42162</v>
      </c>
    </row>
    <row r="2418" spans="1:15" x14ac:dyDescent="0.25">
      <c r="A2418" s="786" t="s">
        <v>5104</v>
      </c>
      <c r="B2418" s="787">
        <v>4</v>
      </c>
      <c r="C2418" s="787" t="s">
        <v>5105</v>
      </c>
      <c r="D2418" s="787">
        <v>1.81</v>
      </c>
      <c r="E2418" s="787">
        <v>10.18</v>
      </c>
      <c r="F2418" s="788">
        <v>39456</v>
      </c>
      <c r="G2418" s="788">
        <v>42044</v>
      </c>
      <c r="H2418" s="787">
        <v>1</v>
      </c>
      <c r="I2418" s="788">
        <v>42016</v>
      </c>
      <c r="J2418" s="788">
        <v>41991</v>
      </c>
      <c r="L2418" s="787">
        <v>1.85</v>
      </c>
      <c r="M2418" s="787">
        <v>10</v>
      </c>
      <c r="N2418" s="787">
        <v>13.18</v>
      </c>
      <c r="O2418" s="788">
        <v>42162</v>
      </c>
    </row>
    <row r="2419" spans="1:15" x14ac:dyDescent="0.25">
      <c r="A2419" s="786" t="s">
        <v>5106</v>
      </c>
      <c r="B2419" s="787">
        <v>4</v>
      </c>
      <c r="C2419" s="787" t="s">
        <v>5107</v>
      </c>
      <c r="D2419" s="787">
        <v>1.95</v>
      </c>
      <c r="E2419" s="787">
        <v>21.2</v>
      </c>
      <c r="F2419" s="788">
        <v>39456</v>
      </c>
      <c r="G2419" s="788">
        <v>42044</v>
      </c>
      <c r="H2419" s="787">
        <v>1</v>
      </c>
      <c r="I2419" s="788">
        <v>42016</v>
      </c>
      <c r="J2419" s="788">
        <v>41996</v>
      </c>
      <c r="L2419" s="787">
        <v>2.14</v>
      </c>
      <c r="M2419" s="787">
        <v>10</v>
      </c>
      <c r="N2419" s="787">
        <v>10.91</v>
      </c>
      <c r="O2419" s="788">
        <v>42162</v>
      </c>
    </row>
    <row r="2420" spans="1:15" x14ac:dyDescent="0.25">
      <c r="A2420" s="786" t="s">
        <v>5108</v>
      </c>
      <c r="B2420" s="787">
        <v>4</v>
      </c>
      <c r="C2420" s="787" t="s">
        <v>5109</v>
      </c>
      <c r="D2420" s="787">
        <v>2.11</v>
      </c>
      <c r="E2420" s="787">
        <v>2.11</v>
      </c>
      <c r="F2420" s="788">
        <v>38606</v>
      </c>
      <c r="G2420" s="788">
        <v>38606</v>
      </c>
      <c r="H2420" s="787">
        <v>1</v>
      </c>
      <c r="I2420" s="788">
        <v>39114</v>
      </c>
      <c r="J2420" s="788">
        <v>38516</v>
      </c>
      <c r="L2420" s="787">
        <v>2.14</v>
      </c>
      <c r="M2420" s="787">
        <v>10</v>
      </c>
      <c r="N2420" s="787">
        <v>2.88</v>
      </c>
      <c r="O2420" s="788">
        <v>41858</v>
      </c>
    </row>
    <row r="2421" spans="1:15" x14ac:dyDescent="0.25">
      <c r="A2421" s="786" t="s">
        <v>5110</v>
      </c>
      <c r="B2421" s="787">
        <v>4</v>
      </c>
      <c r="C2421" s="787" t="s">
        <v>5111</v>
      </c>
      <c r="D2421" s="787">
        <v>1.71</v>
      </c>
      <c r="E2421" s="787">
        <v>1.71</v>
      </c>
      <c r="F2421" s="788">
        <v>39975</v>
      </c>
      <c r="G2421" s="788">
        <v>42013</v>
      </c>
      <c r="H2421" s="787">
        <v>1</v>
      </c>
      <c r="I2421" s="788">
        <v>42016</v>
      </c>
      <c r="J2421" s="788">
        <v>40266</v>
      </c>
      <c r="L2421" s="787">
        <v>0.27</v>
      </c>
      <c r="M2421" s="787">
        <v>10</v>
      </c>
      <c r="N2421" s="787">
        <v>1.1000000000000001</v>
      </c>
      <c r="O2421" s="788">
        <v>42162</v>
      </c>
    </row>
    <row r="2422" spans="1:15" x14ac:dyDescent="0.25">
      <c r="A2422" s="786" t="s">
        <v>5112</v>
      </c>
      <c r="B2422" s="787">
        <v>4</v>
      </c>
      <c r="C2422" s="787" t="s">
        <v>5113</v>
      </c>
      <c r="D2422" s="787">
        <v>6.63</v>
      </c>
      <c r="E2422" s="787">
        <v>243.85</v>
      </c>
      <c r="F2422" s="788">
        <v>39101</v>
      </c>
      <c r="G2422" s="788">
        <v>41449</v>
      </c>
      <c r="H2422" s="787">
        <v>1</v>
      </c>
      <c r="I2422" s="788">
        <v>41809</v>
      </c>
      <c r="J2422" s="788">
        <v>41810</v>
      </c>
      <c r="L2422" s="787">
        <v>100.27</v>
      </c>
      <c r="M2422" s="787">
        <v>10</v>
      </c>
      <c r="N2422" s="787">
        <v>186.36</v>
      </c>
      <c r="O2422" s="788">
        <v>42162</v>
      </c>
    </row>
    <row r="2423" spans="1:15" x14ac:dyDescent="0.25">
      <c r="A2423" s="786" t="s">
        <v>5114</v>
      </c>
      <c r="B2423" s="787">
        <v>4</v>
      </c>
      <c r="C2423" s="787" t="s">
        <v>5115</v>
      </c>
      <c r="D2423" s="787">
        <v>3.84</v>
      </c>
      <c r="E2423" s="787">
        <v>114.34</v>
      </c>
      <c r="F2423" s="788">
        <v>39456</v>
      </c>
      <c r="G2423" s="788">
        <v>42061</v>
      </c>
      <c r="H2423" s="787">
        <v>1</v>
      </c>
      <c r="I2423" s="788">
        <v>42033</v>
      </c>
      <c r="J2423" s="788">
        <v>42031</v>
      </c>
      <c r="L2423" s="787">
        <v>94.05</v>
      </c>
      <c r="M2423" s="787">
        <v>10</v>
      </c>
      <c r="N2423" s="787">
        <v>186.97</v>
      </c>
      <c r="O2423" s="788">
        <v>42162</v>
      </c>
    </row>
    <row r="2424" spans="1:15" x14ac:dyDescent="0.25">
      <c r="A2424" s="786" t="s">
        <v>5116</v>
      </c>
      <c r="B2424" s="787">
        <v>4</v>
      </c>
      <c r="C2424" s="787" t="s">
        <v>5117</v>
      </c>
      <c r="D2424" s="787">
        <v>6.5</v>
      </c>
      <c r="E2424" s="787">
        <v>17.95</v>
      </c>
      <c r="F2424" s="788">
        <v>39987</v>
      </c>
      <c r="G2424" s="788">
        <v>42013</v>
      </c>
      <c r="H2424" s="787">
        <v>1</v>
      </c>
      <c r="I2424" s="788">
        <v>42158</v>
      </c>
      <c r="J2424" s="788">
        <v>41844</v>
      </c>
      <c r="K2424" s="788">
        <v>39960</v>
      </c>
      <c r="L2424" s="787">
        <v>16.5</v>
      </c>
      <c r="M2424" s="787">
        <v>20</v>
      </c>
      <c r="N2424" s="787">
        <v>17.739999999999998</v>
      </c>
      <c r="O2424" s="788">
        <v>42162</v>
      </c>
    </row>
    <row r="2425" spans="1:15" x14ac:dyDescent="0.25">
      <c r="A2425" s="786" t="s">
        <v>5118</v>
      </c>
      <c r="B2425" s="787">
        <v>4</v>
      </c>
      <c r="C2425" s="787" t="s">
        <v>5119</v>
      </c>
      <c r="D2425" s="787">
        <v>4.5</v>
      </c>
      <c r="E2425" s="787">
        <v>17.95</v>
      </c>
      <c r="F2425" s="788">
        <v>40008</v>
      </c>
      <c r="G2425" s="788">
        <v>42013</v>
      </c>
      <c r="H2425" s="787">
        <v>1</v>
      </c>
      <c r="I2425" s="788">
        <v>42131</v>
      </c>
      <c r="J2425" s="788">
        <v>41844</v>
      </c>
      <c r="K2425" s="788">
        <v>41067</v>
      </c>
      <c r="L2425" s="787">
        <v>17.149999999999999</v>
      </c>
      <c r="M2425" s="787">
        <v>20</v>
      </c>
      <c r="N2425" s="787">
        <v>18.440000000000001</v>
      </c>
      <c r="O2425" s="788">
        <v>42162</v>
      </c>
    </row>
    <row r="2426" spans="1:15" x14ac:dyDescent="0.25">
      <c r="A2426" s="786" t="s">
        <v>5120</v>
      </c>
      <c r="B2426" s="787">
        <v>4</v>
      </c>
      <c r="C2426" s="787" t="s">
        <v>5121</v>
      </c>
      <c r="D2426" s="787">
        <v>1.37</v>
      </c>
      <c r="E2426" s="787">
        <v>2.46</v>
      </c>
      <c r="F2426" s="788">
        <v>39456</v>
      </c>
      <c r="G2426" s="788">
        <v>42135</v>
      </c>
      <c r="H2426" s="787">
        <v>1</v>
      </c>
      <c r="I2426" s="788">
        <v>42109</v>
      </c>
      <c r="J2426" s="788">
        <v>42103</v>
      </c>
      <c r="L2426" s="787">
        <v>2.54</v>
      </c>
      <c r="M2426" s="787">
        <v>10</v>
      </c>
      <c r="N2426" s="787">
        <v>11.79</v>
      </c>
      <c r="O2426" s="788">
        <v>42162</v>
      </c>
    </row>
    <row r="2427" spans="1:15" x14ac:dyDescent="0.25">
      <c r="A2427" s="786" t="s">
        <v>5122</v>
      </c>
      <c r="B2427" s="787">
        <v>4</v>
      </c>
      <c r="C2427" s="787" t="s">
        <v>5123</v>
      </c>
      <c r="D2427" s="787">
        <v>0.8</v>
      </c>
      <c r="E2427" s="787">
        <v>6.55</v>
      </c>
      <c r="F2427" s="788">
        <v>39456</v>
      </c>
      <c r="G2427" s="788">
        <v>41646</v>
      </c>
      <c r="H2427" s="787">
        <v>1</v>
      </c>
      <c r="I2427" s="788">
        <v>42109</v>
      </c>
      <c r="J2427" s="788">
        <v>41393</v>
      </c>
      <c r="L2427" s="787">
        <v>1.67</v>
      </c>
      <c r="M2427" s="787">
        <v>10</v>
      </c>
      <c r="N2427" s="787">
        <v>8.77</v>
      </c>
      <c r="O2427" s="788">
        <v>42162</v>
      </c>
    </row>
    <row r="2428" spans="1:15" x14ac:dyDescent="0.25">
      <c r="A2428" s="786" t="s">
        <v>5124</v>
      </c>
      <c r="B2428" s="787">
        <v>4</v>
      </c>
      <c r="C2428" s="787" t="s">
        <v>5125</v>
      </c>
      <c r="D2428" s="787">
        <v>3.41</v>
      </c>
      <c r="E2428" s="787">
        <v>13.41</v>
      </c>
      <c r="F2428" s="788">
        <v>37811</v>
      </c>
      <c r="G2428" s="788">
        <v>38364</v>
      </c>
      <c r="H2428" s="787">
        <v>1</v>
      </c>
      <c r="I2428" s="788">
        <v>38736</v>
      </c>
      <c r="J2428" s="788">
        <v>37811</v>
      </c>
      <c r="L2428" s="787">
        <v>14.62</v>
      </c>
      <c r="M2428" s="787">
        <v>20</v>
      </c>
      <c r="N2428" s="787">
        <v>15.72</v>
      </c>
      <c r="O2428" s="788">
        <v>41858</v>
      </c>
    </row>
    <row r="2429" spans="1:15" x14ac:dyDescent="0.25">
      <c r="A2429" s="786" t="s">
        <v>5126</v>
      </c>
      <c r="B2429" s="787">
        <v>4</v>
      </c>
      <c r="C2429" s="787" t="s">
        <v>5127</v>
      </c>
      <c r="D2429" s="787">
        <v>1.07</v>
      </c>
      <c r="E2429" s="787">
        <v>9.85</v>
      </c>
      <c r="F2429" s="788">
        <v>39456</v>
      </c>
      <c r="G2429" s="788">
        <v>42135</v>
      </c>
      <c r="H2429" s="787">
        <v>1</v>
      </c>
      <c r="I2429" s="788">
        <v>42109</v>
      </c>
      <c r="J2429" s="788">
        <v>42102</v>
      </c>
      <c r="L2429" s="787">
        <v>2.0699999999999998</v>
      </c>
      <c r="M2429" s="787">
        <v>10</v>
      </c>
      <c r="N2429" s="787">
        <v>11.56</v>
      </c>
      <c r="O2429" s="788">
        <v>42162</v>
      </c>
    </row>
    <row r="2430" spans="1:15" x14ac:dyDescent="0.25">
      <c r="A2430" s="786" t="s">
        <v>5128</v>
      </c>
      <c r="B2430" s="787">
        <v>4</v>
      </c>
      <c r="C2430" s="787" t="s">
        <v>5129</v>
      </c>
      <c r="D2430" s="787">
        <v>1.74</v>
      </c>
      <c r="E2430" s="787">
        <v>1.85</v>
      </c>
      <c r="F2430" s="788">
        <v>38606</v>
      </c>
      <c r="G2430" s="788">
        <v>38606</v>
      </c>
      <c r="H2430" s="787">
        <v>1</v>
      </c>
      <c r="I2430" s="788">
        <v>38576</v>
      </c>
      <c r="J2430" s="788">
        <v>38582</v>
      </c>
      <c r="L2430" s="787">
        <v>2.0699999999999998</v>
      </c>
      <c r="M2430" s="787">
        <v>10</v>
      </c>
      <c r="N2430" s="787">
        <v>2.79</v>
      </c>
      <c r="O2430" s="788">
        <v>41858</v>
      </c>
    </row>
    <row r="2431" spans="1:15" x14ac:dyDescent="0.25">
      <c r="A2431" s="786" t="s">
        <v>5130</v>
      </c>
      <c r="B2431" s="787">
        <v>4</v>
      </c>
      <c r="C2431" s="787" t="s">
        <v>5131</v>
      </c>
      <c r="D2431" s="787">
        <v>9.18</v>
      </c>
      <c r="E2431" s="787">
        <v>9.4499999999999993</v>
      </c>
      <c r="F2431" s="788">
        <v>39626</v>
      </c>
      <c r="G2431" s="788">
        <v>42146</v>
      </c>
      <c r="H2431" s="787">
        <v>1</v>
      </c>
      <c r="I2431" s="788">
        <v>42158</v>
      </c>
      <c r="J2431" s="788">
        <v>42128</v>
      </c>
      <c r="K2431" s="788">
        <v>40723</v>
      </c>
      <c r="L2431" s="787">
        <v>10.5</v>
      </c>
      <c r="M2431" s="787">
        <v>20</v>
      </c>
      <c r="N2431" s="787">
        <v>11.29</v>
      </c>
      <c r="O2431" s="788">
        <v>42164</v>
      </c>
    </row>
    <row r="2432" spans="1:15" x14ac:dyDescent="0.25">
      <c r="A2432" s="786" t="s">
        <v>5132</v>
      </c>
      <c r="B2432" s="787">
        <v>4</v>
      </c>
      <c r="C2432" s="787" t="s">
        <v>5133</v>
      </c>
      <c r="D2432" s="787">
        <v>1.31</v>
      </c>
      <c r="E2432" s="787">
        <v>183.47</v>
      </c>
      <c r="F2432" s="788">
        <v>39456</v>
      </c>
      <c r="G2432" s="788">
        <v>42065</v>
      </c>
      <c r="H2432" s="787">
        <v>1</v>
      </c>
      <c r="I2432" s="788">
        <v>42040</v>
      </c>
      <c r="J2432" s="788">
        <v>42033</v>
      </c>
      <c r="L2432" s="787">
        <v>76.7</v>
      </c>
      <c r="M2432" s="787">
        <v>10</v>
      </c>
      <c r="N2432" s="787">
        <v>163.43</v>
      </c>
      <c r="O2432" s="788">
        <v>42152</v>
      </c>
    </row>
    <row r="2433" spans="1:15" x14ac:dyDescent="0.25">
      <c r="A2433" s="786" t="s">
        <v>5134</v>
      </c>
      <c r="B2433" s="787">
        <v>4</v>
      </c>
      <c r="C2433" s="787" t="s">
        <v>5135</v>
      </c>
      <c r="D2433" s="787">
        <v>0.63</v>
      </c>
      <c r="E2433" s="787">
        <v>10.63</v>
      </c>
      <c r="F2433" s="788">
        <v>41137</v>
      </c>
      <c r="G2433" s="788">
        <v>41582</v>
      </c>
      <c r="H2433" s="787">
        <v>1</v>
      </c>
      <c r="I2433" s="788">
        <v>42164</v>
      </c>
      <c r="J2433" s="788">
        <v>42135</v>
      </c>
      <c r="K2433" s="788">
        <v>41577</v>
      </c>
      <c r="L2433" s="787">
        <v>10.63</v>
      </c>
      <c r="M2433" s="787">
        <v>20</v>
      </c>
      <c r="N2433" s="787">
        <v>11.43</v>
      </c>
      <c r="O2433" s="788">
        <v>42152</v>
      </c>
    </row>
    <row r="2434" spans="1:15" x14ac:dyDescent="0.25">
      <c r="A2434" s="786" t="s">
        <v>5136</v>
      </c>
      <c r="B2434" s="787">
        <v>4</v>
      </c>
      <c r="C2434" s="787" t="s">
        <v>5137</v>
      </c>
      <c r="D2434" s="787">
        <v>1.22</v>
      </c>
      <c r="E2434" s="787">
        <v>7.58</v>
      </c>
      <c r="F2434" s="788">
        <v>39456</v>
      </c>
      <c r="G2434" s="788">
        <v>42165</v>
      </c>
      <c r="H2434" s="787">
        <v>1</v>
      </c>
      <c r="I2434" s="788">
        <v>42137</v>
      </c>
      <c r="J2434" s="788">
        <v>42136</v>
      </c>
      <c r="L2434" s="787">
        <v>2.4700000000000002</v>
      </c>
      <c r="M2434" s="787">
        <v>10</v>
      </c>
      <c r="N2434" s="787">
        <v>10.82</v>
      </c>
      <c r="O2434" s="788">
        <v>42152</v>
      </c>
    </row>
    <row r="2435" spans="1:15" x14ac:dyDescent="0.25">
      <c r="A2435" s="786" t="s">
        <v>5138</v>
      </c>
      <c r="B2435" s="787">
        <v>4</v>
      </c>
      <c r="C2435" s="787" t="s">
        <v>5139</v>
      </c>
      <c r="D2435" s="787">
        <v>0.93</v>
      </c>
      <c r="E2435" s="787">
        <v>5.1100000000000003</v>
      </c>
      <c r="F2435" s="788">
        <v>39456</v>
      </c>
      <c r="G2435" s="788">
        <v>42142</v>
      </c>
      <c r="H2435" s="787">
        <v>1</v>
      </c>
      <c r="I2435" s="788">
        <v>42137</v>
      </c>
      <c r="J2435" s="788">
        <v>42110</v>
      </c>
      <c r="L2435" s="787">
        <v>1.77</v>
      </c>
      <c r="M2435" s="787">
        <v>10</v>
      </c>
      <c r="N2435" s="787">
        <v>10.6</v>
      </c>
      <c r="O2435" s="788">
        <v>42152</v>
      </c>
    </row>
    <row r="2436" spans="1:15" x14ac:dyDescent="0.25">
      <c r="A2436" s="786" t="s">
        <v>5140</v>
      </c>
      <c r="B2436" s="787">
        <v>4</v>
      </c>
      <c r="C2436" s="787" t="s">
        <v>5141</v>
      </c>
      <c r="D2436" s="787">
        <v>0.93</v>
      </c>
      <c r="E2436" s="787">
        <v>7.9</v>
      </c>
      <c r="F2436" s="788">
        <v>39456</v>
      </c>
      <c r="G2436" s="788">
        <v>42165</v>
      </c>
      <c r="H2436" s="787">
        <v>1</v>
      </c>
      <c r="I2436" s="788">
        <v>42137</v>
      </c>
      <c r="J2436" s="788">
        <v>42136</v>
      </c>
      <c r="L2436" s="787">
        <v>1.77</v>
      </c>
      <c r="M2436" s="787">
        <v>10</v>
      </c>
      <c r="N2436" s="787">
        <v>10.6</v>
      </c>
      <c r="O2436" s="788">
        <v>42152</v>
      </c>
    </row>
    <row r="2437" spans="1:15" x14ac:dyDescent="0.25">
      <c r="A2437" s="786" t="s">
        <v>5142</v>
      </c>
      <c r="B2437" s="787">
        <v>4</v>
      </c>
      <c r="C2437" s="787" t="s">
        <v>5143</v>
      </c>
      <c r="D2437" s="787">
        <v>0</v>
      </c>
      <c r="E2437" s="787">
        <v>0</v>
      </c>
      <c r="G2437" s="788">
        <v>38364</v>
      </c>
      <c r="H2437" s="787">
        <v>6</v>
      </c>
      <c r="I2437" s="788">
        <v>38736</v>
      </c>
      <c r="J2437" s="788">
        <v>38736</v>
      </c>
      <c r="L2437" s="787">
        <v>103.31</v>
      </c>
      <c r="M2437" s="787">
        <v>10</v>
      </c>
      <c r="N2437" s="787">
        <v>0</v>
      </c>
      <c r="O2437" s="788">
        <v>41806</v>
      </c>
    </row>
    <row r="2438" spans="1:15" x14ac:dyDescent="0.25">
      <c r="A2438" s="786" t="s">
        <v>5144</v>
      </c>
      <c r="B2438" s="787">
        <v>4</v>
      </c>
      <c r="C2438" s="787" t="s">
        <v>5091</v>
      </c>
      <c r="D2438" s="787">
        <v>0</v>
      </c>
      <c r="E2438" s="787">
        <v>0</v>
      </c>
      <c r="H2438" s="787">
        <v>1</v>
      </c>
      <c r="L2438" s="787">
        <v>2.3199999999999998</v>
      </c>
      <c r="M2438" s="787">
        <v>10</v>
      </c>
      <c r="N2438" s="787">
        <v>4.6900000000000004</v>
      </c>
      <c r="O2438" s="788">
        <v>41858</v>
      </c>
    </row>
    <row r="2439" spans="1:15" x14ac:dyDescent="0.25">
      <c r="A2439" s="786" t="s">
        <v>5145</v>
      </c>
      <c r="B2439" s="787">
        <v>4</v>
      </c>
      <c r="C2439" s="787" t="s">
        <v>5146</v>
      </c>
      <c r="D2439" s="787">
        <v>4.93</v>
      </c>
      <c r="E2439" s="787">
        <v>16.53</v>
      </c>
      <c r="F2439" s="788">
        <v>39456</v>
      </c>
      <c r="G2439" s="788">
        <v>41932</v>
      </c>
      <c r="H2439" s="787">
        <v>1</v>
      </c>
      <c r="I2439" s="788">
        <v>41914</v>
      </c>
      <c r="J2439" s="788">
        <v>41908</v>
      </c>
      <c r="L2439" s="787">
        <v>3.43</v>
      </c>
      <c r="M2439" s="787">
        <v>10</v>
      </c>
      <c r="N2439" s="787">
        <v>12.26</v>
      </c>
      <c r="O2439" s="788">
        <v>42087</v>
      </c>
    </row>
    <row r="2440" spans="1:15" x14ac:dyDescent="0.25">
      <c r="A2440" s="786" t="s">
        <v>5147</v>
      </c>
      <c r="B2440" s="787">
        <v>4</v>
      </c>
      <c r="C2440" s="787" t="s">
        <v>5148</v>
      </c>
      <c r="D2440" s="787">
        <v>0</v>
      </c>
      <c r="E2440" s="787">
        <v>0</v>
      </c>
      <c r="H2440" s="787">
        <v>1</v>
      </c>
      <c r="L2440" s="787">
        <v>2.1</v>
      </c>
      <c r="M2440" s="787">
        <v>10</v>
      </c>
      <c r="N2440" s="787">
        <v>4.4400000000000004</v>
      </c>
      <c r="O2440" s="788">
        <v>41858</v>
      </c>
    </row>
    <row r="2441" spans="1:15" x14ac:dyDescent="0.25">
      <c r="A2441" s="786" t="s">
        <v>5149</v>
      </c>
      <c r="B2441" s="787">
        <v>4</v>
      </c>
      <c r="C2441" s="787" t="s">
        <v>5150</v>
      </c>
      <c r="D2441" s="787">
        <v>9.59</v>
      </c>
      <c r="E2441" s="787">
        <v>182.6</v>
      </c>
      <c r="F2441" s="788">
        <v>38606</v>
      </c>
      <c r="G2441" s="788">
        <v>39407</v>
      </c>
      <c r="H2441" s="787">
        <v>1</v>
      </c>
      <c r="I2441" s="788">
        <v>40422</v>
      </c>
      <c r="J2441" s="788">
        <v>39407</v>
      </c>
      <c r="L2441" s="787">
        <v>160.08000000000001</v>
      </c>
      <c r="M2441" s="787">
        <v>10</v>
      </c>
      <c r="N2441" s="787">
        <v>285.94</v>
      </c>
      <c r="O2441" s="788">
        <v>42114</v>
      </c>
    </row>
    <row r="2442" spans="1:15" x14ac:dyDescent="0.25">
      <c r="A2442" s="786" t="s">
        <v>5151</v>
      </c>
      <c r="B2442" s="787">
        <v>4</v>
      </c>
      <c r="C2442" s="787" t="s">
        <v>5152</v>
      </c>
      <c r="D2442" s="787">
        <v>5.13</v>
      </c>
      <c r="E2442" s="787">
        <v>5.13</v>
      </c>
      <c r="F2442" s="788">
        <v>39975</v>
      </c>
      <c r="G2442" s="788">
        <v>40382</v>
      </c>
      <c r="H2442" s="787">
        <v>1</v>
      </c>
      <c r="I2442" s="788">
        <v>39407</v>
      </c>
      <c r="J2442" s="788">
        <v>40382</v>
      </c>
      <c r="L2442" s="787">
        <v>5.69</v>
      </c>
      <c r="M2442" s="787">
        <v>10</v>
      </c>
      <c r="N2442" s="787">
        <v>8.64</v>
      </c>
      <c r="O2442" s="788">
        <v>42114</v>
      </c>
    </row>
    <row r="2443" spans="1:15" x14ac:dyDescent="0.25">
      <c r="A2443" s="786" t="s">
        <v>5153</v>
      </c>
      <c r="B2443" s="787">
        <v>4</v>
      </c>
      <c r="C2443" s="787" t="s">
        <v>5154</v>
      </c>
      <c r="D2443" s="787">
        <v>3.38</v>
      </c>
      <c r="E2443" s="787">
        <v>3.38</v>
      </c>
      <c r="F2443" s="788">
        <v>39975</v>
      </c>
      <c r="G2443" s="788">
        <v>40382</v>
      </c>
      <c r="H2443" s="787">
        <v>1</v>
      </c>
      <c r="I2443" s="788">
        <v>39407</v>
      </c>
      <c r="J2443" s="788">
        <v>40382</v>
      </c>
      <c r="L2443" s="787">
        <v>3.58</v>
      </c>
      <c r="M2443" s="787">
        <v>10</v>
      </c>
      <c r="N2443" s="787">
        <v>6.11</v>
      </c>
      <c r="O2443" s="788">
        <v>42114</v>
      </c>
    </row>
    <row r="2444" spans="1:15" x14ac:dyDescent="0.25">
      <c r="A2444" s="786" t="s">
        <v>5155</v>
      </c>
      <c r="B2444" s="787">
        <v>4</v>
      </c>
      <c r="C2444" s="787" t="s">
        <v>5156</v>
      </c>
      <c r="D2444" s="787">
        <v>3.91</v>
      </c>
      <c r="E2444" s="787">
        <v>3.91</v>
      </c>
      <c r="F2444" s="788">
        <v>39975</v>
      </c>
      <c r="G2444" s="788">
        <v>40385</v>
      </c>
      <c r="H2444" s="787">
        <v>1</v>
      </c>
      <c r="I2444" s="788">
        <v>39407</v>
      </c>
      <c r="J2444" s="788">
        <v>40385</v>
      </c>
      <c r="L2444" s="787">
        <v>4.33</v>
      </c>
      <c r="M2444" s="787">
        <v>10</v>
      </c>
      <c r="N2444" s="787">
        <v>5.69</v>
      </c>
      <c r="O2444" s="788">
        <v>42114</v>
      </c>
    </row>
    <row r="2445" spans="1:15" x14ac:dyDescent="0.25">
      <c r="A2445" s="786" t="s">
        <v>5157</v>
      </c>
      <c r="B2445" s="787">
        <v>4</v>
      </c>
      <c r="C2445" s="787" t="s">
        <v>5158</v>
      </c>
      <c r="D2445" s="787">
        <v>2.04</v>
      </c>
      <c r="E2445" s="787">
        <v>731.93</v>
      </c>
      <c r="F2445" s="788">
        <v>39456</v>
      </c>
      <c r="G2445" s="788">
        <v>40827</v>
      </c>
      <c r="H2445" s="787">
        <v>1</v>
      </c>
      <c r="I2445" s="788">
        <v>40724</v>
      </c>
      <c r="J2445" s="788">
        <v>40716</v>
      </c>
      <c r="L2445" s="787">
        <v>109.64</v>
      </c>
      <c r="M2445" s="787">
        <v>10</v>
      </c>
      <c r="N2445" s="787">
        <v>304.08</v>
      </c>
      <c r="O2445" s="788">
        <v>42114</v>
      </c>
    </row>
    <row r="2446" spans="1:15" x14ac:dyDescent="0.25">
      <c r="A2446" s="786" t="s">
        <v>5159</v>
      </c>
      <c r="B2446" s="787">
        <v>4</v>
      </c>
      <c r="C2446" s="787" t="s">
        <v>5160</v>
      </c>
      <c r="D2446" s="787">
        <v>3.32</v>
      </c>
      <c r="E2446" s="787">
        <v>4.29</v>
      </c>
      <c r="F2446" s="788">
        <v>39456</v>
      </c>
      <c r="G2446" s="788">
        <v>42053</v>
      </c>
      <c r="H2446" s="787">
        <v>1</v>
      </c>
      <c r="I2446" s="788">
        <v>42110</v>
      </c>
      <c r="J2446" s="788">
        <v>42024</v>
      </c>
      <c r="L2446" s="787">
        <v>4.66</v>
      </c>
      <c r="M2446" s="787">
        <v>10</v>
      </c>
      <c r="N2446" s="787">
        <v>13.63</v>
      </c>
      <c r="O2446" s="788">
        <v>42114</v>
      </c>
    </row>
    <row r="2447" spans="1:15" x14ac:dyDescent="0.25">
      <c r="A2447" s="786" t="s">
        <v>5161</v>
      </c>
      <c r="B2447" s="787">
        <v>4</v>
      </c>
      <c r="C2447" s="787" t="s">
        <v>5162</v>
      </c>
      <c r="D2447" s="787">
        <v>2.34</v>
      </c>
      <c r="E2447" s="787">
        <v>3.01</v>
      </c>
      <c r="F2447" s="788">
        <v>39456</v>
      </c>
      <c r="G2447" s="788">
        <v>42053</v>
      </c>
      <c r="H2447" s="787">
        <v>1</v>
      </c>
      <c r="I2447" s="788">
        <v>42110</v>
      </c>
      <c r="J2447" s="788">
        <v>42024</v>
      </c>
      <c r="L2447" s="787">
        <v>3.42</v>
      </c>
      <c r="M2447" s="787">
        <v>10</v>
      </c>
      <c r="N2447" s="787">
        <v>11.92</v>
      </c>
      <c r="O2447" s="788">
        <v>42114</v>
      </c>
    </row>
    <row r="2448" spans="1:15" x14ac:dyDescent="0.25">
      <c r="A2448" s="786" t="s">
        <v>5163</v>
      </c>
      <c r="B2448" s="787">
        <v>4</v>
      </c>
      <c r="C2448" s="787" t="s">
        <v>5164</v>
      </c>
      <c r="D2448" s="787">
        <v>3.07</v>
      </c>
      <c r="E2448" s="787">
        <v>4.5999999999999996</v>
      </c>
      <c r="F2448" s="788">
        <v>39456</v>
      </c>
      <c r="G2448" s="788">
        <v>42053</v>
      </c>
      <c r="H2448" s="787">
        <v>1</v>
      </c>
      <c r="I2448" s="788">
        <v>42110</v>
      </c>
      <c r="J2448" s="788">
        <v>42024</v>
      </c>
      <c r="L2448" s="787">
        <v>4.17</v>
      </c>
      <c r="M2448" s="787">
        <v>10</v>
      </c>
      <c r="N2448" s="787">
        <v>12.55</v>
      </c>
      <c r="O2448" s="788">
        <v>42114</v>
      </c>
    </row>
    <row r="2449" spans="1:15" x14ac:dyDescent="0.25">
      <c r="A2449" s="786" t="s">
        <v>5165</v>
      </c>
      <c r="B2449" s="787">
        <v>4</v>
      </c>
      <c r="C2449" s="787" t="s">
        <v>5133</v>
      </c>
      <c r="D2449" s="787">
        <v>2.4</v>
      </c>
      <c r="E2449" s="787">
        <v>463.86</v>
      </c>
      <c r="F2449" s="788">
        <v>39456</v>
      </c>
      <c r="G2449" s="788">
        <v>40827</v>
      </c>
      <c r="H2449" s="787">
        <v>1</v>
      </c>
      <c r="I2449" s="788">
        <v>41026</v>
      </c>
      <c r="J2449" s="788">
        <v>40716</v>
      </c>
      <c r="L2449" s="787">
        <v>100.56</v>
      </c>
      <c r="M2449" s="787">
        <v>10</v>
      </c>
      <c r="N2449" s="787">
        <v>282.63</v>
      </c>
      <c r="O2449" s="788">
        <v>42087</v>
      </c>
    </row>
    <row r="2450" spans="1:15" x14ac:dyDescent="0.25">
      <c r="A2450" s="786" t="s">
        <v>5166</v>
      </c>
      <c r="B2450" s="787">
        <v>4</v>
      </c>
      <c r="C2450" s="787" t="s">
        <v>5167</v>
      </c>
      <c r="D2450" s="787">
        <v>3.82</v>
      </c>
      <c r="E2450" s="787">
        <v>15.34</v>
      </c>
      <c r="F2450" s="788">
        <v>38889</v>
      </c>
      <c r="G2450" s="788">
        <v>41932</v>
      </c>
      <c r="H2450" s="787">
        <v>1</v>
      </c>
      <c r="I2450" s="788">
        <v>41914</v>
      </c>
      <c r="J2450" s="788">
        <v>41908</v>
      </c>
      <c r="L2450" s="787">
        <v>9.92</v>
      </c>
      <c r="M2450" s="787">
        <v>10</v>
      </c>
      <c r="N2450" s="787">
        <v>5.35</v>
      </c>
      <c r="O2450" s="788">
        <v>42087</v>
      </c>
    </row>
    <row r="2451" spans="1:15" x14ac:dyDescent="0.25">
      <c r="A2451" s="786" t="s">
        <v>5168</v>
      </c>
      <c r="B2451" s="787">
        <v>4</v>
      </c>
      <c r="C2451" s="787" t="s">
        <v>5169</v>
      </c>
      <c r="D2451" s="787">
        <v>2.7</v>
      </c>
      <c r="E2451" s="787">
        <v>9.4600000000000009</v>
      </c>
      <c r="F2451" s="788">
        <v>39101</v>
      </c>
      <c r="G2451" s="788">
        <v>41932</v>
      </c>
      <c r="H2451" s="787">
        <v>1</v>
      </c>
      <c r="I2451" s="788">
        <v>41914</v>
      </c>
      <c r="J2451" s="788">
        <v>41908</v>
      </c>
      <c r="L2451" s="787">
        <v>7.98</v>
      </c>
      <c r="M2451" s="787">
        <v>10</v>
      </c>
      <c r="N2451" s="787">
        <v>12.64</v>
      </c>
      <c r="O2451" s="788">
        <v>42087</v>
      </c>
    </row>
    <row r="2452" spans="1:15" x14ac:dyDescent="0.25">
      <c r="A2452" s="786" t="s">
        <v>5170</v>
      </c>
      <c r="B2452" s="787">
        <v>4</v>
      </c>
      <c r="C2452" s="787" t="s">
        <v>5171</v>
      </c>
      <c r="D2452" s="787">
        <v>0</v>
      </c>
      <c r="E2452" s="787">
        <v>0</v>
      </c>
      <c r="H2452" s="787">
        <v>1</v>
      </c>
      <c r="I2452" s="788">
        <v>41192</v>
      </c>
      <c r="L2452" s="787">
        <v>7.98</v>
      </c>
      <c r="M2452" s="787">
        <v>10</v>
      </c>
      <c r="N2452" s="787">
        <v>9.85</v>
      </c>
      <c r="O2452" s="788">
        <v>41858</v>
      </c>
    </row>
    <row r="2453" spans="1:15" x14ac:dyDescent="0.25">
      <c r="A2453" s="786" t="s">
        <v>5172</v>
      </c>
      <c r="B2453" s="787">
        <v>4</v>
      </c>
      <c r="C2453" s="787" t="s">
        <v>5173</v>
      </c>
      <c r="D2453" s="787">
        <v>7.61</v>
      </c>
      <c r="E2453" s="787">
        <v>54.17</v>
      </c>
      <c r="F2453" s="788">
        <v>39456</v>
      </c>
      <c r="G2453" s="788">
        <v>42142</v>
      </c>
      <c r="H2453" s="787">
        <v>1</v>
      </c>
      <c r="I2453" s="788">
        <v>42158</v>
      </c>
      <c r="J2453" s="788">
        <v>42109</v>
      </c>
      <c r="L2453" s="787">
        <v>8.89</v>
      </c>
      <c r="M2453" s="787">
        <v>10</v>
      </c>
      <c r="N2453" s="787">
        <v>48.35</v>
      </c>
      <c r="O2453" s="788">
        <v>42162</v>
      </c>
    </row>
    <row r="2454" spans="1:15" x14ac:dyDescent="0.25">
      <c r="A2454" s="786" t="s">
        <v>5174</v>
      </c>
      <c r="B2454" s="787">
        <v>4</v>
      </c>
      <c r="C2454" s="787" t="s">
        <v>5175</v>
      </c>
      <c r="D2454" s="787">
        <v>0.02</v>
      </c>
      <c r="E2454" s="787">
        <v>54.81</v>
      </c>
      <c r="F2454" s="788">
        <v>39975</v>
      </c>
      <c r="G2454" s="788">
        <v>42144</v>
      </c>
      <c r="H2454" s="787">
        <v>1</v>
      </c>
      <c r="I2454" s="788">
        <v>42164</v>
      </c>
      <c r="J2454" s="788">
        <v>42137</v>
      </c>
      <c r="K2454" s="788">
        <v>41533</v>
      </c>
      <c r="L2454" s="787">
        <v>14.79</v>
      </c>
      <c r="M2454" s="787">
        <v>10</v>
      </c>
      <c r="N2454" s="787">
        <v>46.91</v>
      </c>
      <c r="O2454" s="788">
        <v>42152</v>
      </c>
    </row>
    <row r="2455" spans="1:15" x14ac:dyDescent="0.25">
      <c r="A2455" s="786" t="s">
        <v>5176</v>
      </c>
      <c r="B2455" s="787">
        <v>4</v>
      </c>
      <c r="C2455" s="787" t="s">
        <v>5177</v>
      </c>
      <c r="D2455" s="787">
        <v>8.1</v>
      </c>
      <c r="E2455" s="787">
        <v>17.809999999999999</v>
      </c>
      <c r="F2455" s="788">
        <v>39101</v>
      </c>
      <c r="G2455" s="788">
        <v>42046</v>
      </c>
      <c r="H2455" s="787">
        <v>1</v>
      </c>
      <c r="I2455" s="788">
        <v>42016</v>
      </c>
      <c r="J2455" s="788">
        <v>42016</v>
      </c>
      <c r="L2455" s="787">
        <v>9.18</v>
      </c>
      <c r="M2455" s="787">
        <v>10</v>
      </c>
      <c r="N2455" s="787">
        <v>63.44</v>
      </c>
      <c r="O2455" s="788">
        <v>42162</v>
      </c>
    </row>
    <row r="2456" spans="1:15" x14ac:dyDescent="0.25">
      <c r="A2456" s="786" t="s">
        <v>5178</v>
      </c>
      <c r="B2456" s="787">
        <v>4</v>
      </c>
      <c r="C2456" s="787" t="s">
        <v>5179</v>
      </c>
      <c r="D2456" s="787">
        <v>6.07</v>
      </c>
      <c r="E2456" s="787">
        <v>32.9</v>
      </c>
      <c r="F2456" s="788">
        <v>39101</v>
      </c>
      <c r="G2456" s="788">
        <v>42058</v>
      </c>
      <c r="H2456" s="787">
        <v>1</v>
      </c>
      <c r="I2456" s="788">
        <v>42111</v>
      </c>
      <c r="J2456" s="788">
        <v>42024</v>
      </c>
      <c r="L2456" s="787">
        <v>16.96</v>
      </c>
      <c r="M2456" s="787">
        <v>10</v>
      </c>
      <c r="N2456" s="787">
        <v>63.57</v>
      </c>
      <c r="O2456" s="788">
        <v>42114</v>
      </c>
    </row>
    <row r="2457" spans="1:15" x14ac:dyDescent="0.25">
      <c r="A2457" s="786" t="s">
        <v>5180</v>
      </c>
      <c r="B2457" s="787">
        <v>4</v>
      </c>
      <c r="C2457" s="787" t="s">
        <v>5181</v>
      </c>
      <c r="D2457" s="787">
        <v>0.04</v>
      </c>
      <c r="E2457" s="787">
        <v>40.18</v>
      </c>
      <c r="F2457" s="788">
        <v>41218</v>
      </c>
      <c r="G2457" s="788">
        <v>42013</v>
      </c>
      <c r="H2457" s="787">
        <v>1</v>
      </c>
      <c r="I2457" s="788">
        <v>42115</v>
      </c>
      <c r="J2457" s="788">
        <v>41914</v>
      </c>
      <c r="L2457" s="787">
        <v>29.3</v>
      </c>
      <c r="M2457" s="787">
        <v>10</v>
      </c>
      <c r="N2457" s="787">
        <v>46.8</v>
      </c>
      <c r="O2457" s="788">
        <v>42087</v>
      </c>
    </row>
    <row r="2458" spans="1:15" x14ac:dyDescent="0.25">
      <c r="A2458" s="786" t="s">
        <v>5182</v>
      </c>
      <c r="B2458" s="787">
        <v>4</v>
      </c>
      <c r="C2458" s="787" t="s">
        <v>5183</v>
      </c>
      <c r="D2458" s="787">
        <v>0.84</v>
      </c>
      <c r="E2458" s="787">
        <v>90.84</v>
      </c>
      <c r="F2458" s="788">
        <v>39975</v>
      </c>
      <c r="G2458" s="788">
        <v>41565</v>
      </c>
      <c r="H2458" s="787">
        <v>1</v>
      </c>
      <c r="I2458" s="788">
        <v>39134</v>
      </c>
      <c r="J2458" s="788">
        <v>39149</v>
      </c>
      <c r="L2458" s="787">
        <v>18.079999999999998</v>
      </c>
      <c r="M2458" s="787">
        <v>10</v>
      </c>
      <c r="N2458" s="787">
        <v>35.43</v>
      </c>
      <c r="O2458" s="788">
        <v>42114</v>
      </c>
    </row>
    <row r="2459" spans="1:15" x14ac:dyDescent="0.25">
      <c r="A2459" s="786" t="s">
        <v>5184</v>
      </c>
      <c r="B2459" s="787">
        <v>4</v>
      </c>
      <c r="C2459" s="787" t="s">
        <v>5185</v>
      </c>
      <c r="D2459" s="787">
        <v>0</v>
      </c>
      <c r="E2459" s="787">
        <v>0</v>
      </c>
      <c r="H2459" s="787">
        <v>1</v>
      </c>
      <c r="I2459" s="788">
        <v>38569</v>
      </c>
      <c r="J2459" s="788">
        <v>38736</v>
      </c>
      <c r="L2459" s="787">
        <v>0.22</v>
      </c>
      <c r="M2459" s="787">
        <v>10</v>
      </c>
      <c r="N2459" s="787">
        <v>0</v>
      </c>
      <c r="O2459" s="788">
        <v>41858</v>
      </c>
    </row>
    <row r="2460" spans="1:15" x14ac:dyDescent="0.25">
      <c r="A2460" s="786" t="s">
        <v>5186</v>
      </c>
      <c r="B2460" s="787">
        <v>4</v>
      </c>
      <c r="C2460" s="787" t="s">
        <v>5187</v>
      </c>
      <c r="D2460" s="787">
        <v>0.01</v>
      </c>
      <c r="E2460" s="787">
        <v>1.69</v>
      </c>
      <c r="F2460" s="788">
        <v>39456</v>
      </c>
      <c r="G2460" s="788">
        <v>42013</v>
      </c>
      <c r="H2460" s="787">
        <v>1</v>
      </c>
      <c r="I2460" s="788">
        <v>42016</v>
      </c>
      <c r="J2460" s="788">
        <v>40266</v>
      </c>
      <c r="L2460" s="787">
        <v>0.27</v>
      </c>
      <c r="M2460" s="787">
        <v>10</v>
      </c>
      <c r="N2460" s="787">
        <v>1.0900000000000001</v>
      </c>
      <c r="O2460" s="788">
        <v>42162</v>
      </c>
    </row>
    <row r="2461" spans="1:15" x14ac:dyDescent="0.25">
      <c r="A2461" s="786" t="s">
        <v>5188</v>
      </c>
      <c r="B2461" s="787">
        <v>4</v>
      </c>
      <c r="C2461" s="787" t="s">
        <v>5189</v>
      </c>
      <c r="D2461" s="787">
        <v>0.01</v>
      </c>
      <c r="E2461" s="787">
        <v>0.35</v>
      </c>
      <c r="F2461" s="788">
        <v>39975</v>
      </c>
      <c r="G2461" s="788">
        <v>42117</v>
      </c>
      <c r="H2461" s="787">
        <v>1</v>
      </c>
      <c r="I2461" s="788">
        <v>42158</v>
      </c>
      <c r="J2461" s="788">
        <v>42117</v>
      </c>
      <c r="L2461" s="787">
        <v>0.28000000000000003</v>
      </c>
      <c r="M2461" s="787">
        <v>10</v>
      </c>
      <c r="N2461" s="787">
        <v>1.55</v>
      </c>
      <c r="O2461" s="788">
        <v>42164</v>
      </c>
    </row>
    <row r="2462" spans="1:15" x14ac:dyDescent="0.25">
      <c r="A2462" s="786" t="s">
        <v>5190</v>
      </c>
      <c r="B2462" s="787">
        <v>4</v>
      </c>
      <c r="C2462" s="787" t="s">
        <v>5191</v>
      </c>
      <c r="D2462" s="787">
        <v>0.02</v>
      </c>
      <c r="E2462" s="787">
        <v>0.3</v>
      </c>
      <c r="F2462" s="788">
        <v>39975</v>
      </c>
      <c r="G2462" s="788">
        <v>42013</v>
      </c>
      <c r="H2462" s="787">
        <v>1</v>
      </c>
      <c r="I2462" s="788">
        <v>42160</v>
      </c>
      <c r="J2462" s="788">
        <v>41487</v>
      </c>
      <c r="K2462" s="788">
        <v>41474</v>
      </c>
      <c r="L2462" s="787">
        <v>0.28999999999999998</v>
      </c>
      <c r="M2462" s="787">
        <v>10</v>
      </c>
      <c r="N2462" s="787">
        <v>1.06</v>
      </c>
      <c r="O2462" s="788">
        <v>42152</v>
      </c>
    </row>
    <row r="2463" spans="1:15" x14ac:dyDescent="0.25">
      <c r="A2463" s="786" t="s">
        <v>5192</v>
      </c>
      <c r="B2463" s="787">
        <v>4</v>
      </c>
      <c r="C2463" s="787" t="s">
        <v>5193</v>
      </c>
      <c r="D2463" s="787">
        <v>6.73</v>
      </c>
      <c r="E2463" s="787">
        <v>107.49</v>
      </c>
      <c r="F2463" s="788">
        <v>39456</v>
      </c>
      <c r="G2463" s="788">
        <v>42107</v>
      </c>
      <c r="H2463" s="787">
        <v>1</v>
      </c>
      <c r="I2463" s="788">
        <v>42076</v>
      </c>
      <c r="J2463" s="788">
        <v>42076</v>
      </c>
      <c r="K2463" s="788">
        <v>38930</v>
      </c>
      <c r="L2463" s="787">
        <v>153.71</v>
      </c>
      <c r="M2463" s="787">
        <v>10</v>
      </c>
      <c r="N2463" s="787">
        <v>162.38999999999999</v>
      </c>
      <c r="O2463" s="788">
        <v>42047</v>
      </c>
    </row>
    <row r="2464" spans="1:15" x14ac:dyDescent="0.25">
      <c r="A2464" s="786" t="s">
        <v>466</v>
      </c>
      <c r="B2464" s="787">
        <v>4</v>
      </c>
      <c r="C2464" s="787" t="s">
        <v>5194</v>
      </c>
      <c r="D2464" s="787">
        <v>7.98</v>
      </c>
      <c r="E2464" s="787">
        <v>579.08000000000004</v>
      </c>
      <c r="F2464" s="788">
        <v>41775</v>
      </c>
      <c r="G2464" s="788">
        <v>42077</v>
      </c>
      <c r="H2464" s="787">
        <v>1</v>
      </c>
      <c r="I2464" s="788">
        <v>42165</v>
      </c>
      <c r="J2464" s="788">
        <v>42164</v>
      </c>
      <c r="K2464" s="788">
        <v>41025</v>
      </c>
      <c r="L2464" s="787">
        <v>458.42</v>
      </c>
      <c r="M2464" s="787">
        <v>10</v>
      </c>
      <c r="N2464" s="787">
        <v>552.44000000000005</v>
      </c>
      <c r="O2464" s="788">
        <v>42152</v>
      </c>
    </row>
    <row r="2465" spans="1:15" x14ac:dyDescent="0.25">
      <c r="A2465" s="786" t="s">
        <v>5195</v>
      </c>
      <c r="B2465" s="787">
        <v>4</v>
      </c>
      <c r="C2465" s="787" t="s">
        <v>5196</v>
      </c>
      <c r="D2465" s="787">
        <v>3.1</v>
      </c>
      <c r="E2465" s="787">
        <v>567.28</v>
      </c>
      <c r="F2465" s="788">
        <v>41166</v>
      </c>
      <c r="G2465" s="788">
        <v>42165</v>
      </c>
      <c r="H2465" s="787">
        <v>1</v>
      </c>
      <c r="I2465" s="788">
        <v>42164</v>
      </c>
      <c r="J2465" s="788">
        <v>42158</v>
      </c>
      <c r="K2465" s="788">
        <v>41025</v>
      </c>
      <c r="L2465" s="787">
        <v>500.34</v>
      </c>
      <c r="M2465" s="787">
        <v>10</v>
      </c>
      <c r="N2465" s="787">
        <v>636.80999999999995</v>
      </c>
      <c r="O2465" s="788">
        <v>42060</v>
      </c>
    </row>
    <row r="2466" spans="1:15" x14ac:dyDescent="0.25">
      <c r="A2466" s="786" t="s">
        <v>5197</v>
      </c>
      <c r="B2466" s="787">
        <v>4</v>
      </c>
      <c r="C2466" s="787" t="s">
        <v>5198</v>
      </c>
      <c r="D2466" s="787">
        <v>5.2</v>
      </c>
      <c r="E2466" s="787">
        <v>756.76</v>
      </c>
      <c r="F2466" s="788">
        <v>41775</v>
      </c>
      <c r="G2466" s="788">
        <v>42160</v>
      </c>
      <c r="H2466" s="787">
        <v>1</v>
      </c>
      <c r="I2466" s="788">
        <v>42137</v>
      </c>
      <c r="J2466" s="788">
        <v>42131</v>
      </c>
      <c r="K2466" s="788">
        <v>41025</v>
      </c>
      <c r="L2466" s="787">
        <v>622.95000000000005</v>
      </c>
      <c r="M2466" s="787">
        <v>10</v>
      </c>
      <c r="N2466" s="787">
        <v>640.96</v>
      </c>
      <c r="O2466" s="788">
        <v>42060</v>
      </c>
    </row>
    <row r="2467" spans="1:15" x14ac:dyDescent="0.25">
      <c r="A2467" s="786" t="s">
        <v>5199</v>
      </c>
      <c r="B2467" s="787">
        <v>4</v>
      </c>
      <c r="C2467" s="787" t="s">
        <v>5200</v>
      </c>
      <c r="D2467" s="787">
        <v>5.71</v>
      </c>
      <c r="E2467" s="787">
        <v>775.71</v>
      </c>
      <c r="F2467" s="788">
        <v>42044</v>
      </c>
      <c r="G2467" s="788">
        <v>42044</v>
      </c>
      <c r="H2467" s="787">
        <v>1</v>
      </c>
      <c r="I2467" s="788">
        <v>42017</v>
      </c>
      <c r="J2467" s="788">
        <v>42016</v>
      </c>
      <c r="K2467" s="788">
        <v>41025</v>
      </c>
      <c r="L2467" s="787">
        <v>771.11</v>
      </c>
      <c r="M2467" s="787">
        <v>10</v>
      </c>
      <c r="N2467" s="787">
        <v>818.14</v>
      </c>
      <c r="O2467" s="788">
        <v>42060</v>
      </c>
    </row>
    <row r="2468" spans="1:15" x14ac:dyDescent="0.25">
      <c r="A2468" s="786" t="s">
        <v>5201</v>
      </c>
      <c r="B2468" s="787">
        <v>4</v>
      </c>
      <c r="C2468" s="787" t="s">
        <v>5202</v>
      </c>
      <c r="D2468" s="787">
        <v>3.9</v>
      </c>
      <c r="E2468" s="787">
        <v>13.9</v>
      </c>
      <c r="F2468" s="788">
        <v>38047</v>
      </c>
      <c r="G2468" s="788">
        <v>38364</v>
      </c>
      <c r="H2468" s="787">
        <v>6</v>
      </c>
      <c r="I2468" s="788">
        <v>38189</v>
      </c>
      <c r="J2468" s="788">
        <v>38114</v>
      </c>
      <c r="L2468" s="787">
        <v>13.9</v>
      </c>
      <c r="M2468" s="787">
        <v>10</v>
      </c>
      <c r="N2468" s="787">
        <v>0</v>
      </c>
      <c r="O2468" s="788">
        <v>40824</v>
      </c>
    </row>
    <row r="2469" spans="1:15" x14ac:dyDescent="0.25">
      <c r="A2469" s="786" t="s">
        <v>5203</v>
      </c>
      <c r="B2469" s="787">
        <v>4</v>
      </c>
      <c r="C2469" s="787" t="s">
        <v>5204</v>
      </c>
      <c r="D2469" s="787">
        <v>5.4</v>
      </c>
      <c r="E2469" s="787">
        <v>5.4</v>
      </c>
      <c r="F2469" s="788">
        <v>38047</v>
      </c>
      <c r="G2469" s="788">
        <v>38364</v>
      </c>
      <c r="H2469" s="787">
        <v>1</v>
      </c>
      <c r="I2469" s="788">
        <v>40392</v>
      </c>
      <c r="J2469" s="788">
        <v>38047</v>
      </c>
      <c r="L2469" s="787">
        <v>5.89</v>
      </c>
      <c r="M2469" s="787">
        <v>20</v>
      </c>
      <c r="N2469" s="787">
        <v>6.33</v>
      </c>
      <c r="O2469" s="788">
        <v>41858</v>
      </c>
    </row>
    <row r="2470" spans="1:15" x14ac:dyDescent="0.25">
      <c r="A2470" s="786" t="s">
        <v>5205</v>
      </c>
      <c r="B2470" s="787">
        <v>4</v>
      </c>
      <c r="C2470" s="787" t="s">
        <v>5206</v>
      </c>
      <c r="D2470" s="787">
        <v>2.0099999999999998</v>
      </c>
      <c r="E2470" s="787">
        <v>2.0099999999999998</v>
      </c>
      <c r="F2470" s="788">
        <v>38047</v>
      </c>
      <c r="G2470" s="788">
        <v>38364</v>
      </c>
      <c r="H2470" s="787">
        <v>6</v>
      </c>
      <c r="I2470" s="788">
        <v>38071</v>
      </c>
      <c r="J2470" s="788">
        <v>38082</v>
      </c>
      <c r="L2470" s="787">
        <v>2.16</v>
      </c>
      <c r="M2470" s="787">
        <v>10</v>
      </c>
      <c r="N2470" s="787">
        <v>3.42</v>
      </c>
      <c r="O2470" s="788">
        <v>41806</v>
      </c>
    </row>
    <row r="2471" spans="1:15" x14ac:dyDescent="0.25">
      <c r="A2471" s="786" t="s">
        <v>5207</v>
      </c>
      <c r="B2471" s="787">
        <v>4</v>
      </c>
      <c r="C2471" s="787" t="s">
        <v>5208</v>
      </c>
      <c r="D2471" s="787">
        <v>0.88</v>
      </c>
      <c r="E2471" s="787">
        <v>0.88</v>
      </c>
      <c r="F2471" s="788">
        <v>38047</v>
      </c>
      <c r="G2471" s="788">
        <v>38082</v>
      </c>
      <c r="H2471" s="787">
        <v>1</v>
      </c>
      <c r="I2471" s="788">
        <v>38071</v>
      </c>
      <c r="J2471" s="788">
        <v>38082</v>
      </c>
      <c r="L2471" s="787">
        <v>0.94</v>
      </c>
      <c r="M2471" s="787">
        <v>10</v>
      </c>
      <c r="N2471" s="787">
        <v>1.66</v>
      </c>
      <c r="O2471" s="788">
        <v>42083</v>
      </c>
    </row>
    <row r="2472" spans="1:15" x14ac:dyDescent="0.25">
      <c r="A2472" s="786" t="s">
        <v>5209</v>
      </c>
      <c r="B2472" s="787">
        <v>4</v>
      </c>
      <c r="C2472" s="787" t="s">
        <v>5210</v>
      </c>
      <c r="D2472" s="787">
        <v>0</v>
      </c>
      <c r="E2472" s="787">
        <v>0</v>
      </c>
      <c r="H2472" s="787">
        <v>1</v>
      </c>
      <c r="I2472" s="788">
        <v>41332</v>
      </c>
      <c r="L2472" s="787">
        <v>0.68</v>
      </c>
      <c r="M2472" s="787">
        <v>10</v>
      </c>
      <c r="N2472" s="787">
        <v>1.34</v>
      </c>
      <c r="O2472" s="788">
        <v>41858</v>
      </c>
    </row>
    <row r="2473" spans="1:15" x14ac:dyDescent="0.25">
      <c r="A2473" s="786" t="s">
        <v>5211</v>
      </c>
      <c r="B2473" s="787">
        <v>4</v>
      </c>
      <c r="C2473" s="787" t="s">
        <v>5212</v>
      </c>
      <c r="D2473" s="787">
        <v>2.2599999999999998</v>
      </c>
      <c r="E2473" s="787">
        <v>22.6</v>
      </c>
      <c r="F2473" s="788">
        <v>37970</v>
      </c>
      <c r="G2473" s="788">
        <v>38364</v>
      </c>
      <c r="H2473" s="787">
        <v>1</v>
      </c>
      <c r="I2473" s="788">
        <v>38208</v>
      </c>
      <c r="J2473" s="788">
        <v>38147</v>
      </c>
      <c r="L2473" s="787">
        <v>24.63</v>
      </c>
      <c r="M2473" s="787">
        <v>20</v>
      </c>
      <c r="N2473" s="787">
        <v>26.48</v>
      </c>
      <c r="O2473" s="788">
        <v>41858</v>
      </c>
    </row>
    <row r="2474" spans="1:15" x14ac:dyDescent="0.25">
      <c r="A2474" s="786" t="s">
        <v>5213</v>
      </c>
      <c r="B2474" s="787">
        <v>4</v>
      </c>
      <c r="C2474" s="787" t="s">
        <v>5214</v>
      </c>
      <c r="D2474" s="787">
        <v>8.56</v>
      </c>
      <c r="E2474" s="787">
        <v>34.81</v>
      </c>
      <c r="F2474" s="788">
        <v>39975</v>
      </c>
      <c r="G2474" s="788">
        <v>42086</v>
      </c>
      <c r="H2474" s="787">
        <v>1</v>
      </c>
      <c r="I2474" s="788">
        <v>42164</v>
      </c>
      <c r="J2474" s="788">
        <v>42150</v>
      </c>
      <c r="L2474" s="787">
        <v>31.51</v>
      </c>
      <c r="M2474" s="787">
        <v>10</v>
      </c>
      <c r="N2474" s="787">
        <v>34.729999999999997</v>
      </c>
      <c r="O2474" s="788">
        <v>42162</v>
      </c>
    </row>
    <row r="2475" spans="1:15" x14ac:dyDescent="0.25">
      <c r="A2475" s="786" t="s">
        <v>5215</v>
      </c>
      <c r="B2475" s="787">
        <v>4</v>
      </c>
      <c r="C2475" s="787" t="s">
        <v>5216</v>
      </c>
      <c r="D2475" s="787">
        <v>9.91</v>
      </c>
      <c r="E2475" s="787">
        <v>35.26</v>
      </c>
      <c r="F2475" s="788">
        <v>39975</v>
      </c>
      <c r="G2475" s="788">
        <v>42086</v>
      </c>
      <c r="H2475" s="787">
        <v>1</v>
      </c>
      <c r="I2475" s="788">
        <v>42164</v>
      </c>
      <c r="J2475" s="788">
        <v>42150</v>
      </c>
      <c r="L2475" s="787">
        <v>31.38</v>
      </c>
      <c r="M2475" s="787">
        <v>10</v>
      </c>
      <c r="N2475" s="787">
        <v>34.729999999999997</v>
      </c>
      <c r="O2475" s="788">
        <v>42162</v>
      </c>
    </row>
    <row r="2476" spans="1:15" x14ac:dyDescent="0.25">
      <c r="A2476" s="786" t="s">
        <v>5217</v>
      </c>
      <c r="B2476" s="787">
        <v>4</v>
      </c>
      <c r="C2476" s="787" t="s">
        <v>5218</v>
      </c>
      <c r="D2476" s="787">
        <v>7.47</v>
      </c>
      <c r="E2476" s="787">
        <v>9.5</v>
      </c>
      <c r="F2476" s="788">
        <v>39101</v>
      </c>
      <c r="G2476" s="788">
        <v>40914</v>
      </c>
      <c r="H2476" s="787">
        <v>1</v>
      </c>
      <c r="I2476" s="788">
        <v>42055</v>
      </c>
      <c r="J2476" s="788">
        <v>42045</v>
      </c>
      <c r="K2476" s="788">
        <v>40347</v>
      </c>
      <c r="L2476" s="787">
        <v>9.5</v>
      </c>
      <c r="M2476" s="787">
        <v>20</v>
      </c>
      <c r="N2476" s="787">
        <v>10.210000000000001</v>
      </c>
      <c r="O2476" s="788">
        <v>42162</v>
      </c>
    </row>
    <row r="2477" spans="1:15" x14ac:dyDescent="0.25">
      <c r="A2477" s="786" t="s">
        <v>5219</v>
      </c>
      <c r="B2477" s="787">
        <v>4</v>
      </c>
      <c r="C2477" s="787" t="s">
        <v>5220</v>
      </c>
      <c r="D2477" s="787">
        <v>7.38</v>
      </c>
      <c r="E2477" s="787">
        <v>7.47</v>
      </c>
      <c r="F2477" s="788">
        <v>39101</v>
      </c>
      <c r="G2477" s="788">
        <v>39590</v>
      </c>
      <c r="H2477" s="787">
        <v>6</v>
      </c>
      <c r="I2477" s="788">
        <v>40317</v>
      </c>
      <c r="J2477" s="788">
        <v>39408</v>
      </c>
      <c r="L2477" s="787">
        <v>5.4</v>
      </c>
      <c r="M2477" s="787">
        <v>20</v>
      </c>
      <c r="N2477" s="787">
        <v>8.0299999999999994</v>
      </c>
      <c r="O2477" s="788">
        <v>41807</v>
      </c>
    </row>
    <row r="2478" spans="1:15" x14ac:dyDescent="0.25">
      <c r="A2478" s="786" t="s">
        <v>5221</v>
      </c>
      <c r="B2478" s="787">
        <v>4</v>
      </c>
      <c r="C2478" s="787" t="s">
        <v>5222</v>
      </c>
      <c r="D2478" s="787">
        <v>0.48</v>
      </c>
      <c r="E2478" s="787">
        <v>3.01</v>
      </c>
      <c r="F2478" s="788">
        <v>39456</v>
      </c>
      <c r="G2478" s="788">
        <v>42116</v>
      </c>
      <c r="H2478" s="787">
        <v>1</v>
      </c>
      <c r="I2478" s="788">
        <v>42164</v>
      </c>
      <c r="J2478" s="788">
        <v>42086</v>
      </c>
      <c r="L2478" s="787">
        <v>1.17</v>
      </c>
      <c r="M2478" s="787">
        <v>10</v>
      </c>
      <c r="N2478" s="787">
        <v>2.5299999999999998</v>
      </c>
      <c r="O2478" s="788">
        <v>42164</v>
      </c>
    </row>
    <row r="2479" spans="1:15" x14ac:dyDescent="0.25">
      <c r="A2479" s="786" t="s">
        <v>5223</v>
      </c>
      <c r="B2479" s="787">
        <v>4</v>
      </c>
      <c r="C2479" s="787" t="s">
        <v>5224</v>
      </c>
      <c r="D2479" s="787">
        <v>0.18</v>
      </c>
      <c r="E2479" s="787">
        <v>1.81</v>
      </c>
      <c r="F2479" s="788">
        <v>39456</v>
      </c>
      <c r="G2479" s="788">
        <v>42144</v>
      </c>
      <c r="H2479" s="787">
        <v>1</v>
      </c>
      <c r="I2479" s="788">
        <v>42164</v>
      </c>
      <c r="J2479" s="788">
        <v>42144</v>
      </c>
      <c r="L2479" s="787">
        <v>0.68</v>
      </c>
      <c r="M2479" s="787">
        <v>10</v>
      </c>
      <c r="N2479" s="787">
        <v>2.09</v>
      </c>
      <c r="O2479" s="788">
        <v>42164</v>
      </c>
    </row>
    <row r="2480" spans="1:15" x14ac:dyDescent="0.25">
      <c r="A2480" s="786" t="s">
        <v>5225</v>
      </c>
      <c r="B2480" s="787">
        <v>4</v>
      </c>
      <c r="C2480" s="787" t="s">
        <v>5226</v>
      </c>
      <c r="D2480" s="787">
        <v>0.17</v>
      </c>
      <c r="E2480" s="787">
        <v>2.19</v>
      </c>
      <c r="F2480" s="788">
        <v>38656</v>
      </c>
      <c r="G2480" s="788">
        <v>42144</v>
      </c>
      <c r="H2480" s="787">
        <v>1</v>
      </c>
      <c r="I2480" s="788">
        <v>42164</v>
      </c>
      <c r="J2480" s="788">
        <v>42144</v>
      </c>
      <c r="L2480" s="787">
        <v>0.27</v>
      </c>
      <c r="M2480" s="787">
        <v>10</v>
      </c>
      <c r="N2480" s="787">
        <v>1.63</v>
      </c>
      <c r="O2480" s="788">
        <v>42164</v>
      </c>
    </row>
    <row r="2481" spans="1:15" x14ac:dyDescent="0.25">
      <c r="A2481" s="786" t="s">
        <v>5227</v>
      </c>
      <c r="B2481" s="787">
        <v>4</v>
      </c>
      <c r="C2481" s="787" t="s">
        <v>5228</v>
      </c>
      <c r="D2481" s="787">
        <v>0.15</v>
      </c>
      <c r="E2481" s="787">
        <v>0.86</v>
      </c>
      <c r="F2481" s="788">
        <v>39456</v>
      </c>
      <c r="G2481" s="788">
        <v>42013</v>
      </c>
      <c r="H2481" s="787">
        <v>1</v>
      </c>
      <c r="I2481" s="788">
        <v>42164</v>
      </c>
      <c r="J2481" s="788">
        <v>41348</v>
      </c>
      <c r="L2481" s="787">
        <v>0.54</v>
      </c>
      <c r="M2481" s="787">
        <v>10</v>
      </c>
      <c r="N2481" s="787">
        <v>0.75</v>
      </c>
      <c r="O2481" s="788">
        <v>42164</v>
      </c>
    </row>
    <row r="2482" spans="1:15" x14ac:dyDescent="0.25">
      <c r="A2482" s="786" t="s">
        <v>5229</v>
      </c>
      <c r="B2482" s="787">
        <v>4</v>
      </c>
      <c r="C2482" s="787" t="s">
        <v>5230</v>
      </c>
      <c r="D2482" s="787">
        <v>5.34</v>
      </c>
      <c r="E2482" s="787">
        <v>5.61</v>
      </c>
      <c r="F2482" s="788">
        <v>40805</v>
      </c>
      <c r="G2482" s="788">
        <v>42013</v>
      </c>
      <c r="H2482" s="787">
        <v>1</v>
      </c>
      <c r="I2482" s="788">
        <v>42164</v>
      </c>
      <c r="J2482" s="788">
        <v>41782</v>
      </c>
      <c r="K2482" s="788">
        <v>41869</v>
      </c>
      <c r="L2482" s="787">
        <v>5.61</v>
      </c>
      <c r="M2482" s="787">
        <v>20</v>
      </c>
      <c r="N2482" s="787">
        <v>6.03</v>
      </c>
      <c r="O2482" s="788">
        <v>42164</v>
      </c>
    </row>
    <row r="2483" spans="1:15" x14ac:dyDescent="0.25">
      <c r="A2483" s="786" t="s">
        <v>5231</v>
      </c>
      <c r="B2483" s="787">
        <v>4</v>
      </c>
      <c r="C2483" s="787" t="s">
        <v>5232</v>
      </c>
      <c r="D2483" s="787">
        <v>0</v>
      </c>
      <c r="E2483" s="787">
        <v>0</v>
      </c>
      <c r="H2483" s="787">
        <v>1</v>
      </c>
      <c r="I2483" s="788">
        <v>38559</v>
      </c>
      <c r="J2483" s="788">
        <v>38736</v>
      </c>
      <c r="L2483" s="787">
        <v>1.39</v>
      </c>
      <c r="M2483" s="787">
        <v>10</v>
      </c>
      <c r="N2483" s="787">
        <v>2.2400000000000002</v>
      </c>
      <c r="O2483" s="788">
        <v>41858</v>
      </c>
    </row>
    <row r="2484" spans="1:15" x14ac:dyDescent="0.25">
      <c r="A2484" s="786" t="s">
        <v>5233</v>
      </c>
      <c r="B2484" s="787">
        <v>4</v>
      </c>
      <c r="C2484" s="787" t="s">
        <v>5234</v>
      </c>
      <c r="D2484" s="787">
        <v>4.58</v>
      </c>
      <c r="E2484" s="787">
        <v>36.44</v>
      </c>
      <c r="F2484" s="788">
        <v>39456</v>
      </c>
      <c r="G2484" s="788">
        <v>42013</v>
      </c>
      <c r="H2484" s="787">
        <v>1</v>
      </c>
      <c r="I2484" s="788">
        <v>42111</v>
      </c>
      <c r="J2484" s="788">
        <v>41766</v>
      </c>
      <c r="L2484" s="787">
        <v>32.770000000000003</v>
      </c>
      <c r="M2484" s="787">
        <v>10</v>
      </c>
      <c r="N2484" s="787">
        <v>33.71</v>
      </c>
      <c r="O2484" s="788">
        <v>42162</v>
      </c>
    </row>
    <row r="2485" spans="1:15" x14ac:dyDescent="0.25">
      <c r="A2485" s="786" t="s">
        <v>5235</v>
      </c>
      <c r="B2485" s="787">
        <v>4</v>
      </c>
      <c r="C2485" s="787" t="s">
        <v>5236</v>
      </c>
      <c r="D2485" s="787">
        <v>4.58</v>
      </c>
      <c r="E2485" s="787">
        <v>36.340000000000003</v>
      </c>
      <c r="F2485" s="788">
        <v>39456</v>
      </c>
      <c r="G2485" s="788">
        <v>42013</v>
      </c>
      <c r="H2485" s="787">
        <v>1</v>
      </c>
      <c r="I2485" s="788">
        <v>42111</v>
      </c>
      <c r="J2485" s="788">
        <v>41766</v>
      </c>
      <c r="L2485" s="787">
        <v>32.770000000000003</v>
      </c>
      <c r="M2485" s="787">
        <v>10</v>
      </c>
      <c r="N2485" s="787">
        <v>33.71</v>
      </c>
      <c r="O2485" s="788">
        <v>42162</v>
      </c>
    </row>
    <row r="2486" spans="1:15" x14ac:dyDescent="0.25">
      <c r="A2486" s="786" t="s">
        <v>5237</v>
      </c>
      <c r="B2486" s="787">
        <v>4</v>
      </c>
      <c r="C2486" s="787" t="s">
        <v>5238</v>
      </c>
      <c r="D2486" s="787">
        <v>9.5</v>
      </c>
      <c r="E2486" s="787">
        <v>10.4</v>
      </c>
      <c r="F2486" s="788">
        <v>39752</v>
      </c>
      <c r="G2486" s="788">
        <v>40065</v>
      </c>
      <c r="H2486" s="787">
        <v>1</v>
      </c>
      <c r="I2486" s="788">
        <v>42130</v>
      </c>
      <c r="J2486" s="788">
        <v>41759</v>
      </c>
      <c r="K2486" s="788">
        <v>40347</v>
      </c>
      <c r="L2486" s="787">
        <v>10.4</v>
      </c>
      <c r="M2486" s="787">
        <v>20</v>
      </c>
      <c r="N2486" s="787">
        <v>11.18</v>
      </c>
      <c r="O2486" s="788">
        <v>42162</v>
      </c>
    </row>
    <row r="2487" spans="1:15" x14ac:dyDescent="0.25">
      <c r="A2487" s="786" t="s">
        <v>5239</v>
      </c>
      <c r="B2487" s="787">
        <v>4</v>
      </c>
      <c r="C2487" s="787" t="s">
        <v>5240</v>
      </c>
      <c r="D2487" s="787">
        <v>0.4</v>
      </c>
      <c r="E2487" s="787">
        <v>10.4</v>
      </c>
      <c r="F2487" s="788">
        <v>38516</v>
      </c>
      <c r="G2487" s="788">
        <v>38736</v>
      </c>
      <c r="H2487" s="787">
        <v>1</v>
      </c>
      <c r="I2487" s="788">
        <v>41319</v>
      </c>
      <c r="J2487" s="788">
        <v>39300</v>
      </c>
      <c r="L2487" s="787">
        <v>10.4</v>
      </c>
      <c r="M2487" s="787">
        <v>20</v>
      </c>
      <c r="N2487" s="787">
        <v>11.18</v>
      </c>
      <c r="O2487" s="788">
        <v>41858</v>
      </c>
    </row>
    <row r="2488" spans="1:15" x14ac:dyDescent="0.25">
      <c r="A2488" s="786" t="s">
        <v>5241</v>
      </c>
      <c r="B2488" s="787">
        <v>4</v>
      </c>
      <c r="C2488" s="787" t="s">
        <v>5242</v>
      </c>
      <c r="D2488" s="787">
        <v>1.0900000000000001</v>
      </c>
      <c r="E2488" s="787">
        <v>8.26</v>
      </c>
      <c r="F2488" s="788">
        <v>39975</v>
      </c>
      <c r="G2488" s="788">
        <v>42150</v>
      </c>
      <c r="H2488" s="787">
        <v>1</v>
      </c>
      <c r="I2488" s="788">
        <v>42151</v>
      </c>
      <c r="J2488" s="788">
        <v>42150</v>
      </c>
      <c r="K2488" s="788">
        <v>41333</v>
      </c>
      <c r="L2488" s="787">
        <v>11.81</v>
      </c>
      <c r="M2488" s="787">
        <v>10</v>
      </c>
      <c r="N2488" s="787">
        <v>15.25</v>
      </c>
      <c r="O2488" s="788">
        <v>42162</v>
      </c>
    </row>
    <row r="2489" spans="1:15" x14ac:dyDescent="0.25">
      <c r="A2489" s="786" t="s">
        <v>5243</v>
      </c>
      <c r="B2489" s="787">
        <v>4</v>
      </c>
      <c r="C2489" s="787" t="s">
        <v>5244</v>
      </c>
      <c r="D2489" s="787">
        <v>6.75</v>
      </c>
      <c r="E2489" s="787">
        <v>6.75</v>
      </c>
      <c r="F2489" s="788">
        <v>39975</v>
      </c>
      <c r="G2489" s="788">
        <v>39975</v>
      </c>
      <c r="H2489" s="787">
        <v>1</v>
      </c>
      <c r="I2489" s="788">
        <v>41151</v>
      </c>
      <c r="K2489" s="788">
        <v>41164</v>
      </c>
      <c r="L2489" s="787">
        <v>6.75</v>
      </c>
      <c r="M2489" s="787">
        <v>10</v>
      </c>
      <c r="N2489" s="787">
        <v>10.74</v>
      </c>
      <c r="O2489" s="788">
        <v>41858</v>
      </c>
    </row>
    <row r="2490" spans="1:15" x14ac:dyDescent="0.25">
      <c r="A2490" s="786" t="s">
        <v>5245</v>
      </c>
      <c r="B2490" s="787">
        <v>4</v>
      </c>
      <c r="C2490" s="787" t="s">
        <v>5246</v>
      </c>
      <c r="D2490" s="787">
        <v>0</v>
      </c>
      <c r="E2490" s="787">
        <v>0</v>
      </c>
      <c r="H2490" s="787">
        <v>1</v>
      </c>
      <c r="L2490" s="787">
        <v>0</v>
      </c>
      <c r="M2490" s="787">
        <v>10</v>
      </c>
      <c r="N2490" s="787">
        <v>6.75</v>
      </c>
      <c r="O2490" s="788">
        <v>39897</v>
      </c>
    </row>
    <row r="2491" spans="1:15" x14ac:dyDescent="0.25">
      <c r="A2491" s="786" t="s">
        <v>5247</v>
      </c>
      <c r="B2491" s="787">
        <v>4</v>
      </c>
      <c r="C2491" s="787" t="s">
        <v>5248</v>
      </c>
      <c r="D2491" s="787">
        <v>1.79</v>
      </c>
      <c r="E2491" s="787">
        <v>1.79</v>
      </c>
      <c r="F2491" s="788">
        <v>39975</v>
      </c>
      <c r="G2491" s="788">
        <v>39975</v>
      </c>
      <c r="H2491" s="787">
        <v>1</v>
      </c>
      <c r="I2491" s="788">
        <v>41151</v>
      </c>
      <c r="K2491" s="788">
        <v>41164</v>
      </c>
      <c r="L2491" s="787">
        <v>1.79</v>
      </c>
      <c r="M2491" s="787">
        <v>10</v>
      </c>
      <c r="N2491" s="787">
        <v>4.49</v>
      </c>
      <c r="O2491" s="788">
        <v>42164</v>
      </c>
    </row>
    <row r="2492" spans="1:15" x14ac:dyDescent="0.25">
      <c r="A2492" s="786" t="s">
        <v>5249</v>
      </c>
      <c r="B2492" s="787">
        <v>4</v>
      </c>
      <c r="C2492" s="787" t="s">
        <v>5250</v>
      </c>
      <c r="D2492" s="787">
        <v>3.83</v>
      </c>
      <c r="E2492" s="787">
        <v>3.83</v>
      </c>
      <c r="F2492" s="788">
        <v>41180</v>
      </c>
      <c r="G2492" s="788">
        <v>41943</v>
      </c>
      <c r="H2492" s="787">
        <v>1</v>
      </c>
      <c r="I2492" s="788">
        <v>41031</v>
      </c>
      <c r="J2492" s="788">
        <v>41080</v>
      </c>
      <c r="K2492" s="788">
        <v>41060</v>
      </c>
      <c r="L2492" s="787">
        <v>2.25</v>
      </c>
      <c r="M2492" s="787">
        <v>10</v>
      </c>
      <c r="N2492" s="787">
        <v>2.1800000000000002</v>
      </c>
      <c r="O2492" s="788">
        <v>41858</v>
      </c>
    </row>
    <row r="2493" spans="1:15" x14ac:dyDescent="0.25">
      <c r="A2493" s="786" t="s">
        <v>5251</v>
      </c>
      <c r="B2493" s="787">
        <v>4</v>
      </c>
      <c r="C2493" s="787" t="s">
        <v>5252</v>
      </c>
      <c r="D2493" s="787">
        <v>0.39</v>
      </c>
      <c r="E2493" s="787">
        <v>0.39</v>
      </c>
      <c r="F2493" s="788">
        <v>40051</v>
      </c>
      <c r="G2493" s="788">
        <v>41943</v>
      </c>
      <c r="H2493" s="787">
        <v>1</v>
      </c>
      <c r="I2493" s="788">
        <v>41031</v>
      </c>
      <c r="J2493" s="788">
        <v>40231</v>
      </c>
      <c r="L2493" s="787">
        <v>0</v>
      </c>
      <c r="M2493" s="787">
        <v>10</v>
      </c>
      <c r="N2493" s="787">
        <v>2.89</v>
      </c>
      <c r="O2493" s="788">
        <v>42162</v>
      </c>
    </row>
    <row r="2494" spans="1:15" x14ac:dyDescent="0.25">
      <c r="A2494" s="786" t="s">
        <v>5253</v>
      </c>
      <c r="B2494" s="787">
        <v>4</v>
      </c>
      <c r="C2494" s="787" t="s">
        <v>5254</v>
      </c>
      <c r="D2494" s="787">
        <v>2.85</v>
      </c>
      <c r="E2494" s="787">
        <v>2.85</v>
      </c>
      <c r="F2494" s="788">
        <v>41906</v>
      </c>
      <c r="G2494" s="788">
        <v>42013</v>
      </c>
      <c r="H2494" s="787">
        <v>1</v>
      </c>
      <c r="I2494" s="788">
        <v>41031</v>
      </c>
      <c r="J2494" s="788">
        <v>41864</v>
      </c>
      <c r="K2494" s="788">
        <v>41863</v>
      </c>
      <c r="L2494" s="787">
        <v>13.79</v>
      </c>
      <c r="M2494" s="787">
        <v>10</v>
      </c>
      <c r="N2494" s="787">
        <v>10.48</v>
      </c>
      <c r="O2494" s="788">
        <v>41863</v>
      </c>
    </row>
    <row r="2495" spans="1:15" x14ac:dyDescent="0.25">
      <c r="A2495" s="786" t="s">
        <v>5255</v>
      </c>
      <c r="B2495" s="787">
        <v>4</v>
      </c>
      <c r="C2495" s="787" t="s">
        <v>5256</v>
      </c>
      <c r="D2495" s="787">
        <v>0</v>
      </c>
      <c r="E2495" s="787">
        <v>0</v>
      </c>
      <c r="H2495" s="787">
        <v>1</v>
      </c>
      <c r="L2495" s="787">
        <v>0</v>
      </c>
      <c r="M2495" s="787">
        <v>10</v>
      </c>
      <c r="N2495" s="787">
        <v>25.05</v>
      </c>
      <c r="O2495" s="788">
        <v>41858</v>
      </c>
    </row>
    <row r="2496" spans="1:15" x14ac:dyDescent="0.25">
      <c r="A2496" s="786" t="s">
        <v>5257</v>
      </c>
      <c r="B2496" s="787">
        <v>4</v>
      </c>
      <c r="C2496" s="787" t="s">
        <v>5256</v>
      </c>
      <c r="D2496" s="787">
        <v>0</v>
      </c>
      <c r="E2496" s="787">
        <v>0</v>
      </c>
      <c r="H2496" s="787">
        <v>1</v>
      </c>
      <c r="L2496" s="787">
        <v>0</v>
      </c>
      <c r="M2496" s="787">
        <v>10</v>
      </c>
      <c r="N2496" s="787">
        <v>25.7</v>
      </c>
      <c r="O2496" s="788">
        <v>41858</v>
      </c>
    </row>
    <row r="2497" spans="1:15" x14ac:dyDescent="0.25">
      <c r="A2497" s="786" t="s">
        <v>5258</v>
      </c>
      <c r="B2497" s="787">
        <v>4</v>
      </c>
      <c r="C2497" s="787" t="s">
        <v>5256</v>
      </c>
      <c r="D2497" s="787">
        <v>0</v>
      </c>
      <c r="E2497" s="787">
        <v>0</v>
      </c>
      <c r="H2497" s="787">
        <v>1</v>
      </c>
      <c r="L2497" s="787">
        <v>0</v>
      </c>
      <c r="M2497" s="787">
        <v>10</v>
      </c>
      <c r="N2497" s="787">
        <v>25.43</v>
      </c>
      <c r="O2497" s="788">
        <v>41858</v>
      </c>
    </row>
    <row r="2498" spans="1:15" x14ac:dyDescent="0.25">
      <c r="A2498" s="786" t="s">
        <v>5259</v>
      </c>
      <c r="B2498" s="787">
        <v>4</v>
      </c>
      <c r="C2498" s="787" t="s">
        <v>5256</v>
      </c>
      <c r="D2498" s="787">
        <v>0</v>
      </c>
      <c r="E2498" s="787">
        <v>0</v>
      </c>
      <c r="H2498" s="787">
        <v>1</v>
      </c>
      <c r="L2498" s="787">
        <v>0</v>
      </c>
      <c r="M2498" s="787">
        <v>10</v>
      </c>
      <c r="N2498" s="787">
        <v>25.17</v>
      </c>
      <c r="O2498" s="788">
        <v>41858</v>
      </c>
    </row>
    <row r="2499" spans="1:15" x14ac:dyDescent="0.25">
      <c r="A2499" s="786" t="s">
        <v>5260</v>
      </c>
      <c r="B2499" s="787">
        <v>4</v>
      </c>
      <c r="C2499" s="787" t="s">
        <v>5256</v>
      </c>
      <c r="D2499" s="787">
        <v>0</v>
      </c>
      <c r="E2499" s="787">
        <v>0</v>
      </c>
      <c r="H2499" s="787">
        <v>1</v>
      </c>
      <c r="L2499" s="787">
        <v>0</v>
      </c>
      <c r="M2499" s="787">
        <v>10</v>
      </c>
      <c r="N2499" s="787">
        <v>25.67</v>
      </c>
      <c r="O2499" s="788">
        <v>41858</v>
      </c>
    </row>
    <row r="2500" spans="1:15" x14ac:dyDescent="0.25">
      <c r="A2500" s="786" t="s">
        <v>5261</v>
      </c>
      <c r="B2500" s="787">
        <v>4</v>
      </c>
      <c r="C2500" s="787" t="s">
        <v>5256</v>
      </c>
      <c r="D2500" s="787">
        <v>0</v>
      </c>
      <c r="E2500" s="787">
        <v>0</v>
      </c>
      <c r="H2500" s="787">
        <v>1</v>
      </c>
      <c r="L2500" s="787">
        <v>0</v>
      </c>
      <c r="M2500" s="787">
        <v>10</v>
      </c>
      <c r="N2500" s="787">
        <v>25.4</v>
      </c>
      <c r="O2500" s="788">
        <v>41858</v>
      </c>
    </row>
    <row r="2501" spans="1:15" x14ac:dyDescent="0.25">
      <c r="A2501" s="786" t="s">
        <v>5262</v>
      </c>
      <c r="B2501" s="787">
        <v>4</v>
      </c>
      <c r="C2501" s="787" t="s">
        <v>5256</v>
      </c>
      <c r="D2501" s="787">
        <v>0</v>
      </c>
      <c r="E2501" s="787">
        <v>0</v>
      </c>
      <c r="H2501" s="787">
        <v>1</v>
      </c>
      <c r="L2501" s="787">
        <v>0</v>
      </c>
      <c r="M2501" s="787">
        <v>10</v>
      </c>
      <c r="N2501" s="787">
        <v>25.42</v>
      </c>
      <c r="O2501" s="788">
        <v>41858</v>
      </c>
    </row>
    <row r="2502" spans="1:15" x14ac:dyDescent="0.25">
      <c r="A2502" s="786" t="s">
        <v>5263</v>
      </c>
      <c r="B2502" s="787">
        <v>4</v>
      </c>
      <c r="C2502" s="787" t="s">
        <v>5256</v>
      </c>
      <c r="D2502" s="787">
        <v>0</v>
      </c>
      <c r="E2502" s="787">
        <v>0</v>
      </c>
      <c r="H2502" s="787">
        <v>1</v>
      </c>
      <c r="L2502" s="787">
        <v>0</v>
      </c>
      <c r="M2502" s="787">
        <v>10</v>
      </c>
      <c r="N2502" s="787">
        <v>25.42</v>
      </c>
      <c r="O2502" s="788">
        <v>41858</v>
      </c>
    </row>
    <row r="2503" spans="1:15" x14ac:dyDescent="0.25">
      <c r="A2503" s="786" t="s">
        <v>5264</v>
      </c>
      <c r="B2503" s="787">
        <v>4</v>
      </c>
      <c r="C2503" s="787" t="s">
        <v>5265</v>
      </c>
      <c r="D2503" s="787">
        <v>0</v>
      </c>
      <c r="E2503" s="787">
        <v>0</v>
      </c>
      <c r="H2503" s="787">
        <v>1</v>
      </c>
      <c r="L2503" s="787">
        <v>0</v>
      </c>
      <c r="M2503" s="787">
        <v>10</v>
      </c>
      <c r="N2503" s="787">
        <v>25.12</v>
      </c>
      <c r="O2503" s="788">
        <v>41858</v>
      </c>
    </row>
    <row r="2504" spans="1:15" x14ac:dyDescent="0.25">
      <c r="A2504" s="786" t="s">
        <v>5266</v>
      </c>
      <c r="B2504" s="787">
        <v>4</v>
      </c>
      <c r="C2504" s="787" t="s">
        <v>5265</v>
      </c>
      <c r="D2504" s="787">
        <v>0</v>
      </c>
      <c r="E2504" s="787">
        <v>0</v>
      </c>
      <c r="H2504" s="787">
        <v>1</v>
      </c>
      <c r="L2504" s="787">
        <v>0</v>
      </c>
      <c r="M2504" s="787">
        <v>10</v>
      </c>
      <c r="N2504" s="787">
        <v>25.13</v>
      </c>
      <c r="O2504" s="788">
        <v>41858</v>
      </c>
    </row>
    <row r="2505" spans="1:15" x14ac:dyDescent="0.25">
      <c r="A2505" s="786" t="s">
        <v>5267</v>
      </c>
      <c r="B2505" s="787">
        <v>4</v>
      </c>
      <c r="C2505" s="787" t="s">
        <v>5265</v>
      </c>
      <c r="D2505" s="787">
        <v>0</v>
      </c>
      <c r="E2505" s="787">
        <v>0</v>
      </c>
      <c r="H2505" s="787">
        <v>1</v>
      </c>
      <c r="L2505" s="787">
        <v>0</v>
      </c>
      <c r="M2505" s="787">
        <v>10</v>
      </c>
      <c r="N2505" s="787">
        <v>25.2</v>
      </c>
      <c r="O2505" s="788">
        <v>41858</v>
      </c>
    </row>
    <row r="2506" spans="1:15" x14ac:dyDescent="0.25">
      <c r="A2506" s="786" t="s">
        <v>5268</v>
      </c>
      <c r="B2506" s="787">
        <v>4</v>
      </c>
      <c r="C2506" s="787" t="s">
        <v>5265</v>
      </c>
      <c r="D2506" s="787">
        <v>0</v>
      </c>
      <c r="E2506" s="787">
        <v>0</v>
      </c>
      <c r="H2506" s="787">
        <v>1</v>
      </c>
      <c r="L2506" s="787">
        <v>0</v>
      </c>
      <c r="M2506" s="787">
        <v>10</v>
      </c>
      <c r="N2506" s="787">
        <v>25.26</v>
      </c>
      <c r="O2506" s="788">
        <v>41858</v>
      </c>
    </row>
    <row r="2507" spans="1:15" x14ac:dyDescent="0.25">
      <c r="A2507" s="786" t="s">
        <v>5269</v>
      </c>
      <c r="B2507" s="787">
        <v>4</v>
      </c>
      <c r="C2507" s="787" t="s">
        <v>5265</v>
      </c>
      <c r="D2507" s="787">
        <v>0</v>
      </c>
      <c r="E2507" s="787">
        <v>0</v>
      </c>
      <c r="H2507" s="787">
        <v>1</v>
      </c>
      <c r="L2507" s="787">
        <v>0</v>
      </c>
      <c r="M2507" s="787">
        <v>10</v>
      </c>
      <c r="N2507" s="787">
        <v>25.33</v>
      </c>
      <c r="O2507" s="788">
        <v>41858</v>
      </c>
    </row>
    <row r="2508" spans="1:15" x14ac:dyDescent="0.25">
      <c r="A2508" s="786" t="s">
        <v>5270</v>
      </c>
      <c r="B2508" s="787">
        <v>4</v>
      </c>
      <c r="C2508" s="787" t="s">
        <v>5271</v>
      </c>
      <c r="D2508" s="787">
        <v>0</v>
      </c>
      <c r="E2508" s="787">
        <v>0</v>
      </c>
      <c r="H2508" s="787">
        <v>1</v>
      </c>
      <c r="L2508" s="787">
        <v>0</v>
      </c>
      <c r="M2508" s="787">
        <v>10</v>
      </c>
      <c r="N2508" s="787">
        <v>25.35</v>
      </c>
      <c r="O2508" s="788">
        <v>41858</v>
      </c>
    </row>
    <row r="2509" spans="1:15" x14ac:dyDescent="0.25">
      <c r="A2509" s="786" t="s">
        <v>5272</v>
      </c>
      <c r="B2509" s="787">
        <v>4</v>
      </c>
      <c r="C2509" s="787" t="s">
        <v>5271</v>
      </c>
      <c r="D2509" s="787">
        <v>0</v>
      </c>
      <c r="E2509" s="787">
        <v>0</v>
      </c>
      <c r="H2509" s="787">
        <v>1</v>
      </c>
      <c r="L2509" s="787">
        <v>0</v>
      </c>
      <c r="M2509" s="787">
        <v>10</v>
      </c>
      <c r="N2509" s="787">
        <v>25.18</v>
      </c>
      <c r="O2509" s="788">
        <v>41858</v>
      </c>
    </row>
    <row r="2510" spans="1:15" x14ac:dyDescent="0.25">
      <c r="A2510" s="786" t="s">
        <v>5273</v>
      </c>
      <c r="B2510" s="787">
        <v>4</v>
      </c>
      <c r="C2510" s="787" t="s">
        <v>5271</v>
      </c>
      <c r="D2510" s="787">
        <v>0</v>
      </c>
      <c r="E2510" s="787">
        <v>0</v>
      </c>
      <c r="H2510" s="787">
        <v>1</v>
      </c>
      <c r="L2510" s="787">
        <v>0</v>
      </c>
      <c r="M2510" s="787">
        <v>10</v>
      </c>
      <c r="N2510" s="787">
        <v>24.97</v>
      </c>
      <c r="O2510" s="788">
        <v>41858</v>
      </c>
    </row>
    <row r="2511" spans="1:15" x14ac:dyDescent="0.25">
      <c r="A2511" s="786" t="s">
        <v>5274</v>
      </c>
      <c r="B2511" s="787">
        <v>4</v>
      </c>
      <c r="C2511" s="787" t="s">
        <v>5275</v>
      </c>
      <c r="D2511" s="787">
        <v>0</v>
      </c>
      <c r="E2511" s="787">
        <v>0</v>
      </c>
      <c r="H2511" s="787">
        <v>1</v>
      </c>
      <c r="L2511" s="787">
        <v>0</v>
      </c>
      <c r="M2511" s="787">
        <v>10</v>
      </c>
      <c r="N2511" s="787">
        <v>25.33</v>
      </c>
      <c r="O2511" s="788">
        <v>41858</v>
      </c>
    </row>
    <row r="2512" spans="1:15" x14ac:dyDescent="0.25">
      <c r="A2512" s="786" t="s">
        <v>5276</v>
      </c>
      <c r="B2512" s="787">
        <v>4</v>
      </c>
      <c r="C2512" s="787" t="s">
        <v>5265</v>
      </c>
      <c r="D2512" s="787">
        <v>0</v>
      </c>
      <c r="E2512" s="787">
        <v>0</v>
      </c>
      <c r="H2512" s="787">
        <v>1</v>
      </c>
      <c r="L2512" s="787">
        <v>0</v>
      </c>
      <c r="M2512" s="787">
        <v>10</v>
      </c>
      <c r="N2512" s="787">
        <v>25.33</v>
      </c>
      <c r="O2512" s="788">
        <v>41858</v>
      </c>
    </row>
    <row r="2513" spans="1:15" x14ac:dyDescent="0.25">
      <c r="A2513" s="786" t="s">
        <v>5277</v>
      </c>
      <c r="B2513" s="787">
        <v>4</v>
      </c>
      <c r="C2513" s="787" t="s">
        <v>5265</v>
      </c>
      <c r="D2513" s="787">
        <v>0</v>
      </c>
      <c r="E2513" s="787">
        <v>0</v>
      </c>
      <c r="H2513" s="787">
        <v>1</v>
      </c>
      <c r="L2513" s="787">
        <v>0</v>
      </c>
      <c r="M2513" s="787">
        <v>10</v>
      </c>
      <c r="N2513" s="787">
        <v>25.33</v>
      </c>
      <c r="O2513" s="788">
        <v>41858</v>
      </c>
    </row>
    <row r="2514" spans="1:15" x14ac:dyDescent="0.25">
      <c r="A2514" s="786" t="s">
        <v>5278</v>
      </c>
      <c r="B2514" s="787">
        <v>4</v>
      </c>
      <c r="C2514" s="787" t="s">
        <v>5265</v>
      </c>
      <c r="D2514" s="787">
        <v>0</v>
      </c>
      <c r="E2514" s="787">
        <v>0</v>
      </c>
      <c r="H2514" s="787">
        <v>1</v>
      </c>
      <c r="L2514" s="787">
        <v>0</v>
      </c>
      <c r="M2514" s="787">
        <v>10</v>
      </c>
      <c r="N2514" s="787">
        <v>25.26</v>
      </c>
      <c r="O2514" s="788">
        <v>41858</v>
      </c>
    </row>
    <row r="2515" spans="1:15" x14ac:dyDescent="0.25">
      <c r="A2515" s="786" t="s">
        <v>5279</v>
      </c>
      <c r="B2515" s="787">
        <v>4</v>
      </c>
      <c r="C2515" s="787" t="s">
        <v>5265</v>
      </c>
      <c r="D2515" s="787">
        <v>0</v>
      </c>
      <c r="E2515" s="787">
        <v>0</v>
      </c>
      <c r="H2515" s="787">
        <v>1</v>
      </c>
      <c r="L2515" s="787">
        <v>0</v>
      </c>
      <c r="M2515" s="787">
        <v>10</v>
      </c>
      <c r="N2515" s="787">
        <v>25.61</v>
      </c>
      <c r="O2515" s="788">
        <v>41858</v>
      </c>
    </row>
    <row r="2516" spans="1:15" x14ac:dyDescent="0.25">
      <c r="A2516" s="786" t="s">
        <v>5280</v>
      </c>
      <c r="B2516" s="787">
        <v>4</v>
      </c>
      <c r="C2516" s="787" t="s">
        <v>5265</v>
      </c>
      <c r="D2516" s="787">
        <v>0</v>
      </c>
      <c r="E2516" s="787">
        <v>0</v>
      </c>
      <c r="H2516" s="787">
        <v>1</v>
      </c>
      <c r="L2516" s="787">
        <v>0</v>
      </c>
      <c r="M2516" s="787">
        <v>10</v>
      </c>
      <c r="N2516" s="787">
        <v>25.61</v>
      </c>
      <c r="O2516" s="788">
        <v>41858</v>
      </c>
    </row>
    <row r="2517" spans="1:15" x14ac:dyDescent="0.25">
      <c r="A2517" s="786" t="s">
        <v>5281</v>
      </c>
      <c r="B2517" s="787">
        <v>4</v>
      </c>
      <c r="C2517" s="787" t="s">
        <v>5282</v>
      </c>
      <c r="D2517" s="787">
        <v>0.09</v>
      </c>
      <c r="E2517" s="787">
        <v>10.89</v>
      </c>
      <c r="F2517" s="788">
        <v>39456</v>
      </c>
      <c r="G2517" s="788">
        <v>42013</v>
      </c>
      <c r="H2517" s="787">
        <v>1</v>
      </c>
      <c r="I2517" s="788">
        <v>41942</v>
      </c>
      <c r="J2517" s="788">
        <v>41884</v>
      </c>
      <c r="K2517" s="788">
        <v>41569</v>
      </c>
      <c r="L2517" s="787">
        <v>6.91</v>
      </c>
      <c r="M2517" s="787">
        <v>10</v>
      </c>
      <c r="N2517" s="787">
        <v>9.82</v>
      </c>
      <c r="O2517" s="788">
        <v>41858</v>
      </c>
    </row>
    <row r="2518" spans="1:15" x14ac:dyDescent="0.25">
      <c r="A2518" s="786" t="s">
        <v>5283</v>
      </c>
      <c r="B2518" s="787">
        <v>4</v>
      </c>
      <c r="C2518" s="787" t="s">
        <v>5284</v>
      </c>
      <c r="D2518" s="787">
        <v>0</v>
      </c>
      <c r="E2518" s="787">
        <v>0</v>
      </c>
      <c r="H2518" s="787">
        <v>1</v>
      </c>
      <c r="L2518" s="787">
        <v>0</v>
      </c>
      <c r="M2518" s="787">
        <v>10</v>
      </c>
      <c r="N2518" s="787">
        <v>1.29</v>
      </c>
      <c r="O2518" s="788">
        <v>39897</v>
      </c>
    </row>
    <row r="2519" spans="1:15" x14ac:dyDescent="0.25">
      <c r="A2519" s="786" t="s">
        <v>5285</v>
      </c>
      <c r="B2519" s="787">
        <v>4</v>
      </c>
      <c r="C2519" s="787" t="s">
        <v>5286</v>
      </c>
      <c r="D2519" s="787">
        <v>0</v>
      </c>
      <c r="E2519" s="787">
        <v>0</v>
      </c>
      <c r="H2519" s="787">
        <v>1</v>
      </c>
      <c r="L2519" s="787">
        <v>0</v>
      </c>
      <c r="M2519" s="787">
        <v>10</v>
      </c>
      <c r="N2519" s="787">
        <v>0</v>
      </c>
      <c r="O2519" s="788">
        <v>40824</v>
      </c>
    </row>
    <row r="2520" spans="1:15" x14ac:dyDescent="0.25">
      <c r="A2520" s="786" t="s">
        <v>5287</v>
      </c>
      <c r="B2520" s="787">
        <v>4</v>
      </c>
      <c r="C2520" s="787" t="s">
        <v>5288</v>
      </c>
      <c r="D2520" s="787">
        <v>0</v>
      </c>
      <c r="E2520" s="787">
        <v>0</v>
      </c>
      <c r="H2520" s="787">
        <v>1</v>
      </c>
      <c r="I2520" s="788">
        <v>38189</v>
      </c>
      <c r="L2520" s="787">
        <v>7.5</v>
      </c>
      <c r="M2520" s="787">
        <v>10</v>
      </c>
      <c r="N2520" s="787">
        <v>9.15</v>
      </c>
      <c r="O2520" s="788">
        <v>42083</v>
      </c>
    </row>
    <row r="2521" spans="1:15" x14ac:dyDescent="0.25">
      <c r="A2521" s="786" t="s">
        <v>5289</v>
      </c>
      <c r="B2521" s="787">
        <v>4</v>
      </c>
      <c r="C2521" s="787" t="s">
        <v>5290</v>
      </c>
      <c r="D2521" s="787">
        <v>0</v>
      </c>
      <c r="E2521" s="787">
        <v>0</v>
      </c>
      <c r="H2521" s="787">
        <v>1</v>
      </c>
      <c r="I2521" s="788">
        <v>38189</v>
      </c>
      <c r="L2521" s="787">
        <v>7.5</v>
      </c>
      <c r="M2521" s="787">
        <v>10</v>
      </c>
      <c r="N2521" s="787">
        <v>9.15</v>
      </c>
      <c r="O2521" s="788">
        <v>42083</v>
      </c>
    </row>
    <row r="2522" spans="1:15" x14ac:dyDescent="0.25">
      <c r="A2522" s="786" t="s">
        <v>5291</v>
      </c>
      <c r="B2522" s="787">
        <v>4</v>
      </c>
      <c r="C2522" s="787" t="s">
        <v>5292</v>
      </c>
      <c r="D2522" s="787">
        <v>0</v>
      </c>
      <c r="E2522" s="787">
        <v>0</v>
      </c>
      <c r="G2522" s="788">
        <v>38736</v>
      </c>
      <c r="H2522" s="787">
        <v>1</v>
      </c>
      <c r="I2522" s="788">
        <v>39948</v>
      </c>
      <c r="J2522" s="788">
        <v>39101</v>
      </c>
      <c r="L2522" s="787">
        <v>7.63</v>
      </c>
      <c r="M2522" s="787">
        <v>10</v>
      </c>
      <c r="N2522" s="787">
        <v>8.56</v>
      </c>
      <c r="O2522" s="788">
        <v>42083</v>
      </c>
    </row>
    <row r="2523" spans="1:15" x14ac:dyDescent="0.25">
      <c r="A2523" s="786" t="s">
        <v>5293</v>
      </c>
      <c r="B2523" s="787">
        <v>4</v>
      </c>
      <c r="C2523" s="787" t="s">
        <v>5294</v>
      </c>
      <c r="D2523" s="787">
        <v>1.43</v>
      </c>
      <c r="E2523" s="787">
        <v>1.43</v>
      </c>
      <c r="F2523" s="788">
        <v>38047</v>
      </c>
      <c r="G2523" s="788">
        <v>38047</v>
      </c>
      <c r="H2523" s="787">
        <v>6</v>
      </c>
      <c r="I2523" s="788">
        <v>38319</v>
      </c>
      <c r="J2523" s="788">
        <v>38047</v>
      </c>
      <c r="L2523" s="787">
        <v>1.24</v>
      </c>
      <c r="M2523" s="787">
        <v>10</v>
      </c>
      <c r="N2523" s="787">
        <v>1.86</v>
      </c>
      <c r="O2523" s="788">
        <v>41806</v>
      </c>
    </row>
    <row r="2524" spans="1:15" x14ac:dyDescent="0.25">
      <c r="A2524" s="786" t="s">
        <v>5295</v>
      </c>
      <c r="B2524" s="787">
        <v>4</v>
      </c>
      <c r="C2524" s="787" t="s">
        <v>5296</v>
      </c>
      <c r="D2524" s="787">
        <v>1.43</v>
      </c>
      <c r="E2524" s="787">
        <v>1.43</v>
      </c>
      <c r="F2524" s="788">
        <v>39101</v>
      </c>
      <c r="G2524" s="788">
        <v>39101</v>
      </c>
      <c r="H2524" s="787">
        <v>6</v>
      </c>
      <c r="I2524" s="788">
        <v>39134</v>
      </c>
      <c r="J2524" s="788">
        <v>39149</v>
      </c>
      <c r="L2524" s="787">
        <v>1.53</v>
      </c>
      <c r="M2524" s="787">
        <v>10</v>
      </c>
      <c r="N2524" s="787">
        <v>0</v>
      </c>
      <c r="O2524" s="788">
        <v>40824</v>
      </c>
    </row>
    <row r="2525" spans="1:15" x14ac:dyDescent="0.25">
      <c r="A2525" s="786" t="s">
        <v>5297</v>
      </c>
      <c r="B2525" s="787">
        <v>4</v>
      </c>
      <c r="C2525" s="787" t="s">
        <v>5288</v>
      </c>
      <c r="D2525" s="787">
        <v>0</v>
      </c>
      <c r="E2525" s="787">
        <v>0</v>
      </c>
      <c r="G2525" s="788">
        <v>38736</v>
      </c>
      <c r="H2525" s="787">
        <v>1</v>
      </c>
      <c r="I2525" s="788">
        <v>39948</v>
      </c>
      <c r="J2525" s="788">
        <v>39101</v>
      </c>
      <c r="L2525" s="787">
        <v>7.57</v>
      </c>
      <c r="M2525" s="787">
        <v>10</v>
      </c>
      <c r="N2525" s="787">
        <v>9.2200000000000006</v>
      </c>
      <c r="O2525" s="788">
        <v>42083</v>
      </c>
    </row>
    <row r="2526" spans="1:15" x14ac:dyDescent="0.25">
      <c r="A2526" s="786" t="s">
        <v>5298</v>
      </c>
      <c r="B2526" s="787">
        <v>4</v>
      </c>
      <c r="C2526" s="787" t="s">
        <v>5290</v>
      </c>
      <c r="D2526" s="787">
        <v>0</v>
      </c>
      <c r="E2526" s="787">
        <v>0</v>
      </c>
      <c r="G2526" s="788">
        <v>38736</v>
      </c>
      <c r="H2526" s="787">
        <v>1</v>
      </c>
      <c r="I2526" s="788">
        <v>39948</v>
      </c>
      <c r="J2526" s="788">
        <v>39101</v>
      </c>
      <c r="L2526" s="787">
        <v>7.57</v>
      </c>
      <c r="M2526" s="787">
        <v>10</v>
      </c>
      <c r="N2526" s="787">
        <v>9.2200000000000006</v>
      </c>
      <c r="O2526" s="788">
        <v>42083</v>
      </c>
    </row>
    <row r="2527" spans="1:15" x14ac:dyDescent="0.25">
      <c r="A2527" s="786" t="s">
        <v>5299</v>
      </c>
      <c r="B2527" s="787">
        <v>4</v>
      </c>
      <c r="C2527" s="787" t="s">
        <v>5300</v>
      </c>
      <c r="D2527" s="787">
        <v>0.28999999999999998</v>
      </c>
      <c r="E2527" s="787">
        <v>0.9</v>
      </c>
      <c r="F2527" s="788">
        <v>39456</v>
      </c>
      <c r="G2527" s="788">
        <v>42117</v>
      </c>
      <c r="H2527" s="787">
        <v>1</v>
      </c>
      <c r="I2527" s="788">
        <v>42136</v>
      </c>
      <c r="J2527" s="788">
        <v>42117</v>
      </c>
      <c r="L2527" s="787">
        <v>0.62</v>
      </c>
      <c r="M2527" s="787">
        <v>10</v>
      </c>
      <c r="N2527" s="787">
        <v>3.45</v>
      </c>
      <c r="O2527" s="788">
        <v>42083</v>
      </c>
    </row>
    <row r="2528" spans="1:15" x14ac:dyDescent="0.25">
      <c r="A2528" s="786" t="s">
        <v>5301</v>
      </c>
      <c r="B2528" s="787">
        <v>4</v>
      </c>
      <c r="C2528" s="787" t="s">
        <v>5302</v>
      </c>
      <c r="D2528" s="787">
        <v>0.1</v>
      </c>
      <c r="E2528" s="787">
        <v>2.19</v>
      </c>
      <c r="F2528" s="788">
        <v>39456</v>
      </c>
      <c r="G2528" s="788">
        <v>42160</v>
      </c>
      <c r="H2528" s="787">
        <v>1</v>
      </c>
      <c r="I2528" s="788">
        <v>42160</v>
      </c>
      <c r="J2528" s="788">
        <v>42122</v>
      </c>
      <c r="K2528" s="788">
        <v>41575</v>
      </c>
      <c r="L2528" s="787">
        <v>1.68</v>
      </c>
      <c r="M2528" s="787">
        <v>10</v>
      </c>
      <c r="N2528" s="787">
        <v>2.88</v>
      </c>
      <c r="O2528" s="788">
        <v>42162</v>
      </c>
    </row>
    <row r="2529" spans="1:15" x14ac:dyDescent="0.25">
      <c r="A2529" s="786" t="s">
        <v>5303</v>
      </c>
      <c r="B2529" s="787">
        <v>4</v>
      </c>
      <c r="C2529" s="787" t="s">
        <v>5304</v>
      </c>
      <c r="D2529" s="787">
        <v>0.1</v>
      </c>
      <c r="E2529" s="787">
        <v>3.11</v>
      </c>
      <c r="F2529" s="788">
        <v>39456</v>
      </c>
      <c r="G2529" s="788">
        <v>42160</v>
      </c>
      <c r="H2529" s="787">
        <v>1</v>
      </c>
      <c r="I2529" s="788">
        <v>42160</v>
      </c>
      <c r="J2529" s="788">
        <v>42122</v>
      </c>
      <c r="K2529" s="788">
        <v>41575</v>
      </c>
      <c r="L2529" s="787">
        <v>2.68</v>
      </c>
      <c r="M2529" s="787">
        <v>10</v>
      </c>
      <c r="N2529" s="787">
        <v>3.59</v>
      </c>
      <c r="O2529" s="788">
        <v>42162</v>
      </c>
    </row>
    <row r="2530" spans="1:15" x14ac:dyDescent="0.25">
      <c r="A2530" s="786" t="s">
        <v>5305</v>
      </c>
      <c r="B2530" s="787">
        <v>4</v>
      </c>
      <c r="C2530" s="787" t="s">
        <v>5306</v>
      </c>
      <c r="D2530" s="787">
        <v>1.79</v>
      </c>
      <c r="E2530" s="787">
        <v>1.79</v>
      </c>
      <c r="F2530" s="788">
        <v>39101</v>
      </c>
      <c r="G2530" s="788">
        <v>39101</v>
      </c>
      <c r="H2530" s="787">
        <v>1</v>
      </c>
      <c r="I2530" s="788">
        <v>39226</v>
      </c>
      <c r="J2530" s="788">
        <v>39149</v>
      </c>
      <c r="L2530" s="787">
        <v>1.79</v>
      </c>
      <c r="M2530" s="787">
        <v>10</v>
      </c>
      <c r="N2530" s="787">
        <v>2.48</v>
      </c>
      <c r="O2530" s="788">
        <v>42081</v>
      </c>
    </row>
    <row r="2531" spans="1:15" x14ac:dyDescent="0.25">
      <c r="A2531" s="786" t="s">
        <v>5307</v>
      </c>
      <c r="B2531" s="787">
        <v>4</v>
      </c>
      <c r="C2531" s="787" t="s">
        <v>5308</v>
      </c>
      <c r="D2531" s="787">
        <v>0</v>
      </c>
      <c r="E2531" s="787">
        <v>0</v>
      </c>
      <c r="G2531" s="788">
        <v>38364</v>
      </c>
      <c r="H2531" s="787">
        <v>6</v>
      </c>
      <c r="I2531" s="788">
        <v>38071</v>
      </c>
      <c r="J2531" s="788">
        <v>38736</v>
      </c>
      <c r="L2531" s="787">
        <v>1.79</v>
      </c>
      <c r="M2531" s="787">
        <v>10</v>
      </c>
      <c r="N2531" s="787">
        <v>2.21</v>
      </c>
      <c r="O2531" s="788">
        <v>41543</v>
      </c>
    </row>
    <row r="2532" spans="1:15" x14ac:dyDescent="0.25">
      <c r="A2532" s="786" t="s">
        <v>5309</v>
      </c>
      <c r="B2532" s="787">
        <v>4</v>
      </c>
      <c r="C2532" s="787" t="s">
        <v>5310</v>
      </c>
      <c r="D2532" s="787">
        <v>0.56000000000000005</v>
      </c>
      <c r="E2532" s="787">
        <v>15.05</v>
      </c>
      <c r="F2532" s="788">
        <v>39456</v>
      </c>
      <c r="G2532" s="788">
        <v>42160</v>
      </c>
      <c r="H2532" s="787">
        <v>1</v>
      </c>
      <c r="I2532" s="788">
        <v>42160</v>
      </c>
      <c r="J2532" s="788">
        <v>42135</v>
      </c>
      <c r="K2532" s="788">
        <v>42123</v>
      </c>
      <c r="L2532" s="787">
        <v>8.5</v>
      </c>
      <c r="M2532" s="787">
        <v>10</v>
      </c>
      <c r="N2532" s="787">
        <v>8.5500000000000007</v>
      </c>
      <c r="O2532" s="788">
        <v>42152</v>
      </c>
    </row>
    <row r="2533" spans="1:15" x14ac:dyDescent="0.25">
      <c r="A2533" s="786" t="s">
        <v>5311</v>
      </c>
      <c r="B2533" s="787">
        <v>4</v>
      </c>
      <c r="C2533" s="787" t="s">
        <v>5312</v>
      </c>
      <c r="D2533" s="787">
        <v>4.91</v>
      </c>
      <c r="E2533" s="787">
        <v>4.91</v>
      </c>
      <c r="F2533" s="788">
        <v>39975</v>
      </c>
      <c r="G2533" s="788">
        <v>39975</v>
      </c>
      <c r="H2533" s="787">
        <v>1</v>
      </c>
      <c r="I2533" s="788">
        <v>39134</v>
      </c>
      <c r="J2533" s="788">
        <v>39149</v>
      </c>
      <c r="L2533" s="787">
        <v>4.79</v>
      </c>
      <c r="M2533" s="787">
        <v>10</v>
      </c>
      <c r="N2533" s="787">
        <v>5.78</v>
      </c>
      <c r="O2533" s="788">
        <v>42083</v>
      </c>
    </row>
    <row r="2534" spans="1:15" x14ac:dyDescent="0.25">
      <c r="A2534" s="786" t="s">
        <v>5313</v>
      </c>
      <c r="B2534" s="787">
        <v>4</v>
      </c>
      <c r="C2534" s="787" t="s">
        <v>5314</v>
      </c>
      <c r="D2534" s="787">
        <v>4.33</v>
      </c>
      <c r="E2534" s="787">
        <v>4.33</v>
      </c>
      <c r="F2534" s="788">
        <v>39975</v>
      </c>
      <c r="G2534" s="788">
        <v>39975</v>
      </c>
      <c r="H2534" s="787">
        <v>1</v>
      </c>
      <c r="I2534" s="788">
        <v>38959</v>
      </c>
      <c r="J2534" s="788">
        <v>39101</v>
      </c>
      <c r="L2534" s="787">
        <v>7.57</v>
      </c>
      <c r="M2534" s="787">
        <v>10</v>
      </c>
      <c r="N2534" s="787">
        <v>9.2200000000000006</v>
      </c>
      <c r="O2534" s="788">
        <v>42083</v>
      </c>
    </row>
    <row r="2535" spans="1:15" x14ac:dyDescent="0.25">
      <c r="A2535" s="786" t="s">
        <v>5315</v>
      </c>
      <c r="B2535" s="787">
        <v>4</v>
      </c>
      <c r="C2535" s="787" t="s">
        <v>5316</v>
      </c>
      <c r="D2535" s="787">
        <v>7.31</v>
      </c>
      <c r="E2535" s="787">
        <v>7.31</v>
      </c>
      <c r="F2535" s="788">
        <v>39975</v>
      </c>
      <c r="G2535" s="788">
        <v>39975</v>
      </c>
      <c r="H2535" s="787">
        <v>1</v>
      </c>
      <c r="I2535" s="788">
        <v>38959</v>
      </c>
      <c r="J2535" s="788">
        <v>39101</v>
      </c>
      <c r="L2535" s="787">
        <v>6.77</v>
      </c>
      <c r="M2535" s="787">
        <v>10</v>
      </c>
      <c r="N2535" s="787">
        <v>8.43</v>
      </c>
      <c r="O2535" s="788">
        <v>42083</v>
      </c>
    </row>
    <row r="2536" spans="1:15" x14ac:dyDescent="0.25">
      <c r="A2536" s="786" t="s">
        <v>5317</v>
      </c>
      <c r="B2536" s="787">
        <v>4</v>
      </c>
      <c r="C2536" s="787" t="s">
        <v>5318</v>
      </c>
      <c r="D2536" s="787">
        <v>4.5999999999999996</v>
      </c>
      <c r="E2536" s="787">
        <v>4.5999999999999996</v>
      </c>
      <c r="F2536" s="788">
        <v>39975</v>
      </c>
      <c r="G2536" s="788">
        <v>39975</v>
      </c>
      <c r="H2536" s="787">
        <v>1</v>
      </c>
      <c r="I2536" s="788">
        <v>40651</v>
      </c>
      <c r="J2536" s="788">
        <v>39101</v>
      </c>
      <c r="L2536" s="787">
        <v>7.76</v>
      </c>
      <c r="M2536" s="787">
        <v>10</v>
      </c>
      <c r="N2536" s="787">
        <v>9.41</v>
      </c>
      <c r="O2536" s="788">
        <v>41858</v>
      </c>
    </row>
    <row r="2537" spans="1:15" x14ac:dyDescent="0.25">
      <c r="A2537" s="786" t="s">
        <v>5319</v>
      </c>
      <c r="B2537" s="787">
        <v>4</v>
      </c>
      <c r="C2537" s="787" t="s">
        <v>5320</v>
      </c>
      <c r="D2537" s="787">
        <v>3.24</v>
      </c>
      <c r="E2537" s="787">
        <v>6.75</v>
      </c>
      <c r="F2537" s="788">
        <v>39101</v>
      </c>
      <c r="G2537" s="788">
        <v>41943</v>
      </c>
      <c r="H2537" s="787">
        <v>1</v>
      </c>
      <c r="I2537" s="788">
        <v>41835</v>
      </c>
      <c r="J2537" s="788">
        <v>41836</v>
      </c>
      <c r="L2537" s="787">
        <v>7.76</v>
      </c>
      <c r="M2537" s="787">
        <v>10</v>
      </c>
      <c r="N2537" s="787">
        <v>5</v>
      </c>
      <c r="O2537" s="788">
        <v>42083</v>
      </c>
    </row>
    <row r="2538" spans="1:15" x14ac:dyDescent="0.25">
      <c r="A2538" s="786" t="s">
        <v>5321</v>
      </c>
      <c r="B2538" s="787">
        <v>4</v>
      </c>
      <c r="C2538" s="787" t="s">
        <v>5322</v>
      </c>
      <c r="D2538" s="787">
        <v>4.28</v>
      </c>
      <c r="E2538" s="787">
        <v>10.29</v>
      </c>
      <c r="F2538" s="788">
        <v>39456</v>
      </c>
      <c r="G2538" s="788">
        <v>42118</v>
      </c>
      <c r="H2538" s="787">
        <v>1</v>
      </c>
      <c r="I2538" s="788">
        <v>42117</v>
      </c>
      <c r="J2538" s="788">
        <v>42118</v>
      </c>
      <c r="L2538" s="787">
        <v>7.76</v>
      </c>
      <c r="M2538" s="787">
        <v>10</v>
      </c>
      <c r="N2538" s="787">
        <v>6.04</v>
      </c>
      <c r="O2538" s="788">
        <v>42165</v>
      </c>
    </row>
    <row r="2539" spans="1:15" x14ac:dyDescent="0.25">
      <c r="A2539" s="786" t="s">
        <v>5323</v>
      </c>
      <c r="B2539" s="787">
        <v>4</v>
      </c>
      <c r="C2539" s="787" t="s">
        <v>5324</v>
      </c>
      <c r="D2539" s="787">
        <v>0.66</v>
      </c>
      <c r="E2539" s="787">
        <v>4.58</v>
      </c>
      <c r="F2539" s="788">
        <v>39975</v>
      </c>
      <c r="G2539" s="788">
        <v>42115</v>
      </c>
      <c r="H2539" s="787">
        <v>1</v>
      </c>
      <c r="I2539" s="788">
        <v>42160</v>
      </c>
      <c r="J2539" s="788">
        <v>42150</v>
      </c>
      <c r="L2539" s="787">
        <v>7.76</v>
      </c>
      <c r="M2539" s="787">
        <v>10</v>
      </c>
      <c r="N2539" s="787">
        <v>5.89</v>
      </c>
      <c r="O2539" s="788">
        <v>42127</v>
      </c>
    </row>
    <row r="2540" spans="1:15" x14ac:dyDescent="0.25">
      <c r="A2540" s="786" t="s">
        <v>5325</v>
      </c>
      <c r="B2540" s="787">
        <v>4</v>
      </c>
      <c r="C2540" s="787" t="s">
        <v>5322</v>
      </c>
      <c r="D2540" s="787">
        <v>0.43</v>
      </c>
      <c r="E2540" s="787">
        <v>7.11</v>
      </c>
      <c r="F2540" s="788">
        <v>39975</v>
      </c>
      <c r="G2540" s="788">
        <v>42153</v>
      </c>
      <c r="H2540" s="787">
        <v>1</v>
      </c>
      <c r="I2540" s="788">
        <v>42132</v>
      </c>
      <c r="J2540" s="788">
        <v>42128</v>
      </c>
      <c r="L2540" s="787">
        <v>7.76</v>
      </c>
      <c r="M2540" s="787">
        <v>10</v>
      </c>
      <c r="N2540" s="787">
        <v>6.54</v>
      </c>
      <c r="O2540" s="788">
        <v>42165</v>
      </c>
    </row>
    <row r="2541" spans="1:15" x14ac:dyDescent="0.25">
      <c r="A2541" s="786" t="s">
        <v>5326</v>
      </c>
      <c r="B2541" s="787">
        <v>4</v>
      </c>
      <c r="C2541" s="787" t="s">
        <v>5327</v>
      </c>
      <c r="D2541" s="787">
        <v>2.41</v>
      </c>
      <c r="E2541" s="787">
        <v>2.41</v>
      </c>
      <c r="F2541" s="788">
        <v>39101</v>
      </c>
      <c r="G2541" s="788">
        <v>41838</v>
      </c>
      <c r="H2541" s="787">
        <v>1</v>
      </c>
      <c r="I2541" s="788">
        <v>41835</v>
      </c>
      <c r="J2541" s="788">
        <v>41838</v>
      </c>
      <c r="L2541" s="787">
        <v>4.1900000000000004</v>
      </c>
      <c r="M2541" s="787">
        <v>10</v>
      </c>
      <c r="N2541" s="787">
        <v>3.71</v>
      </c>
      <c r="O2541" s="788">
        <v>42127</v>
      </c>
    </row>
    <row r="2542" spans="1:15" x14ac:dyDescent="0.25">
      <c r="A2542" s="786" t="s">
        <v>5328</v>
      </c>
      <c r="B2542" s="787">
        <v>4</v>
      </c>
      <c r="C2542" s="787" t="s">
        <v>5329</v>
      </c>
      <c r="D2542" s="787">
        <v>8.5299999999999994</v>
      </c>
      <c r="E2542" s="787">
        <v>26.53</v>
      </c>
      <c r="F2542" s="788">
        <v>40659</v>
      </c>
      <c r="G2542" s="788">
        <v>41943</v>
      </c>
      <c r="H2542" s="787">
        <v>1</v>
      </c>
      <c r="I2542" s="788">
        <v>40396</v>
      </c>
      <c r="J2542" s="788">
        <v>40856</v>
      </c>
      <c r="L2542" s="787">
        <v>0</v>
      </c>
      <c r="M2542" s="787">
        <v>10</v>
      </c>
      <c r="N2542" s="787">
        <v>4.4000000000000004</v>
      </c>
      <c r="O2542" s="788">
        <v>41858</v>
      </c>
    </row>
    <row r="2543" spans="1:15" x14ac:dyDescent="0.25">
      <c r="A2543" s="786" t="s">
        <v>5330</v>
      </c>
      <c r="B2543" s="787">
        <v>4</v>
      </c>
      <c r="C2543" s="787" t="s">
        <v>5331</v>
      </c>
      <c r="D2543" s="787">
        <v>9.8699999999999992</v>
      </c>
      <c r="E2543" s="787">
        <v>38.81</v>
      </c>
      <c r="F2543" s="788">
        <v>40659</v>
      </c>
      <c r="G2543" s="788">
        <v>41943</v>
      </c>
      <c r="H2543" s="787">
        <v>1</v>
      </c>
      <c r="I2543" s="788">
        <v>42160</v>
      </c>
      <c r="J2543" s="788">
        <v>40856</v>
      </c>
      <c r="L2543" s="787">
        <v>0</v>
      </c>
      <c r="M2543" s="787">
        <v>10</v>
      </c>
      <c r="N2543" s="787">
        <v>8.99</v>
      </c>
      <c r="O2543" s="788">
        <v>41955</v>
      </c>
    </row>
    <row r="2544" spans="1:15" x14ac:dyDescent="0.25">
      <c r="A2544" s="786" t="s">
        <v>5332</v>
      </c>
      <c r="B2544" s="787">
        <v>4</v>
      </c>
      <c r="C2544" s="787" t="s">
        <v>5333</v>
      </c>
      <c r="D2544" s="787">
        <v>8.5299999999999994</v>
      </c>
      <c r="E2544" s="787">
        <v>12.69</v>
      </c>
      <c r="F2544" s="788">
        <v>40659</v>
      </c>
      <c r="G2544" s="788">
        <v>41943</v>
      </c>
      <c r="H2544" s="787">
        <v>1</v>
      </c>
      <c r="I2544" s="788">
        <v>39651</v>
      </c>
      <c r="J2544" s="788">
        <v>41298</v>
      </c>
      <c r="K2544" s="788">
        <v>41263</v>
      </c>
      <c r="L2544" s="787">
        <v>4.49</v>
      </c>
      <c r="M2544" s="787">
        <v>10</v>
      </c>
      <c r="N2544" s="787">
        <v>6.26</v>
      </c>
      <c r="O2544" s="788">
        <v>41858</v>
      </c>
    </row>
    <row r="2545" spans="1:15" x14ac:dyDescent="0.25">
      <c r="A2545" s="786" t="s">
        <v>5334</v>
      </c>
      <c r="B2545" s="787">
        <v>4</v>
      </c>
      <c r="C2545" s="787" t="s">
        <v>5335</v>
      </c>
      <c r="D2545" s="787">
        <v>9.8699999999999992</v>
      </c>
      <c r="E2545" s="787">
        <v>16.54</v>
      </c>
      <c r="F2545" s="788">
        <v>40659</v>
      </c>
      <c r="G2545" s="788">
        <v>42013</v>
      </c>
      <c r="H2545" s="787">
        <v>1</v>
      </c>
      <c r="I2545" s="788">
        <v>42160</v>
      </c>
      <c r="J2545" s="788">
        <v>41298</v>
      </c>
      <c r="K2545" s="788">
        <v>41263</v>
      </c>
      <c r="L2545" s="787">
        <v>11.69</v>
      </c>
      <c r="M2545" s="787">
        <v>10</v>
      </c>
      <c r="N2545" s="787">
        <v>10.86</v>
      </c>
      <c r="O2545" s="788">
        <v>41955</v>
      </c>
    </row>
    <row r="2546" spans="1:15" x14ac:dyDescent="0.25">
      <c r="A2546" s="786" t="s">
        <v>5336</v>
      </c>
      <c r="B2546" s="787">
        <v>4</v>
      </c>
      <c r="C2546" s="787" t="s">
        <v>5337</v>
      </c>
      <c r="D2546" s="787">
        <v>0.72</v>
      </c>
      <c r="E2546" s="787">
        <v>1</v>
      </c>
      <c r="F2546" s="788">
        <v>39975</v>
      </c>
      <c r="G2546" s="788">
        <v>42013</v>
      </c>
      <c r="H2546" s="787">
        <v>1</v>
      </c>
      <c r="I2546" s="788">
        <v>41764</v>
      </c>
      <c r="J2546" s="788">
        <v>40842</v>
      </c>
      <c r="L2546" s="787">
        <v>0</v>
      </c>
      <c r="M2546" s="787">
        <v>10</v>
      </c>
      <c r="N2546" s="787">
        <v>2.76</v>
      </c>
      <c r="O2546" s="788">
        <v>42162</v>
      </c>
    </row>
    <row r="2547" spans="1:15" x14ac:dyDescent="0.25">
      <c r="A2547" s="786" t="s">
        <v>5338</v>
      </c>
      <c r="B2547" s="787">
        <v>4</v>
      </c>
      <c r="C2547" s="787" t="s">
        <v>5339</v>
      </c>
      <c r="D2547" s="787">
        <v>0.48</v>
      </c>
      <c r="E2547" s="787">
        <v>0.79</v>
      </c>
      <c r="F2547" s="788">
        <v>39456</v>
      </c>
      <c r="G2547" s="788">
        <v>41883</v>
      </c>
      <c r="H2547" s="787">
        <v>1</v>
      </c>
      <c r="I2547" s="788">
        <v>42160</v>
      </c>
      <c r="J2547" s="788">
        <v>42160</v>
      </c>
      <c r="L2547" s="787">
        <v>0.78</v>
      </c>
      <c r="M2547" s="787">
        <v>10</v>
      </c>
      <c r="N2547" s="787">
        <v>0.96</v>
      </c>
      <c r="O2547" s="788">
        <v>41955</v>
      </c>
    </row>
    <row r="2548" spans="1:15" x14ac:dyDescent="0.25">
      <c r="A2548" s="786" t="s">
        <v>5340</v>
      </c>
      <c r="B2548" s="787">
        <v>4</v>
      </c>
      <c r="C2548" s="787" t="s">
        <v>5341</v>
      </c>
      <c r="D2548" s="787">
        <v>1.67</v>
      </c>
      <c r="E2548" s="787">
        <v>1.67</v>
      </c>
      <c r="F2548" s="788">
        <v>41209</v>
      </c>
      <c r="G2548" s="788">
        <v>42013</v>
      </c>
      <c r="H2548" s="787">
        <v>1</v>
      </c>
      <c r="I2548" s="788">
        <v>42109</v>
      </c>
      <c r="J2548" s="788">
        <v>41166</v>
      </c>
      <c r="L2548" s="787">
        <v>0</v>
      </c>
      <c r="M2548" s="787">
        <v>10</v>
      </c>
      <c r="N2548" s="787">
        <v>1.02</v>
      </c>
      <c r="O2548" s="788">
        <v>42162</v>
      </c>
    </row>
    <row r="2549" spans="1:15" x14ac:dyDescent="0.25">
      <c r="A2549" s="786" t="s">
        <v>5342</v>
      </c>
      <c r="B2549" s="787">
        <v>4</v>
      </c>
      <c r="C2549" s="787" t="s">
        <v>5343</v>
      </c>
      <c r="D2549" s="787">
        <v>0.43</v>
      </c>
      <c r="E2549" s="787">
        <v>0.43</v>
      </c>
      <c r="F2549" s="788">
        <v>39975</v>
      </c>
      <c r="G2549" s="788">
        <v>42013</v>
      </c>
      <c r="H2549" s="787">
        <v>1</v>
      </c>
      <c r="I2549" s="788">
        <v>42109</v>
      </c>
      <c r="J2549" s="788">
        <v>39879</v>
      </c>
      <c r="L2549" s="787">
        <v>0</v>
      </c>
      <c r="M2549" s="787">
        <v>10</v>
      </c>
      <c r="N2549" s="787">
        <v>0.97</v>
      </c>
      <c r="O2549" s="788">
        <v>42162</v>
      </c>
    </row>
    <row r="2550" spans="1:15" x14ac:dyDescent="0.25">
      <c r="A2550" s="786" t="s">
        <v>5344</v>
      </c>
      <c r="B2550" s="787">
        <v>4</v>
      </c>
      <c r="C2550" s="787" t="s">
        <v>5345</v>
      </c>
      <c r="D2550" s="787">
        <v>0.78</v>
      </c>
      <c r="E2550" s="787">
        <v>60.78</v>
      </c>
      <c r="F2550" s="788">
        <v>41180</v>
      </c>
      <c r="G2550" s="788">
        <v>41943</v>
      </c>
      <c r="H2550" s="787">
        <v>1</v>
      </c>
      <c r="J2550" s="788">
        <v>41086</v>
      </c>
      <c r="K2550" s="788">
        <v>41040</v>
      </c>
      <c r="L2550" s="787">
        <v>34.799999999999997</v>
      </c>
      <c r="M2550" s="787">
        <v>10</v>
      </c>
      <c r="N2550" s="787">
        <v>59.72</v>
      </c>
      <c r="O2550" s="788">
        <v>42053</v>
      </c>
    </row>
    <row r="2551" spans="1:15" x14ac:dyDescent="0.25">
      <c r="A2551" s="786" t="s">
        <v>5346</v>
      </c>
      <c r="B2551" s="787">
        <v>4</v>
      </c>
      <c r="C2551" s="787" t="s">
        <v>5347</v>
      </c>
      <c r="D2551" s="787">
        <v>7.45</v>
      </c>
      <c r="E2551" s="787">
        <v>67.45</v>
      </c>
      <c r="F2551" s="788">
        <v>41180</v>
      </c>
      <c r="G2551" s="788">
        <v>41943</v>
      </c>
      <c r="H2551" s="787">
        <v>1</v>
      </c>
      <c r="J2551" s="788">
        <v>41086</v>
      </c>
      <c r="K2551" s="788">
        <v>41040</v>
      </c>
      <c r="L2551" s="787">
        <v>34.799999999999997</v>
      </c>
      <c r="M2551" s="787">
        <v>10</v>
      </c>
      <c r="N2551" s="787">
        <v>74.61</v>
      </c>
      <c r="O2551" s="788">
        <v>42053</v>
      </c>
    </row>
    <row r="2552" spans="1:15" x14ac:dyDescent="0.25">
      <c r="A2552" s="786" t="s">
        <v>5348</v>
      </c>
      <c r="B2552" s="787">
        <v>4</v>
      </c>
      <c r="C2552" s="787" t="s">
        <v>5349</v>
      </c>
      <c r="D2552" s="787">
        <v>3.58</v>
      </c>
      <c r="E2552" s="787">
        <v>3.58</v>
      </c>
      <c r="F2552" s="788">
        <v>41180</v>
      </c>
      <c r="G2552" s="788">
        <v>41180</v>
      </c>
      <c r="H2552" s="787">
        <v>1</v>
      </c>
      <c r="I2552" s="788">
        <v>41075</v>
      </c>
      <c r="J2552" s="788">
        <v>41054</v>
      </c>
      <c r="K2552" s="788">
        <v>41040</v>
      </c>
      <c r="L2552" s="787">
        <v>10.81</v>
      </c>
      <c r="M2552" s="787">
        <v>10</v>
      </c>
      <c r="N2552" s="787">
        <v>13.01</v>
      </c>
      <c r="O2552" s="788">
        <v>42053</v>
      </c>
    </row>
    <row r="2553" spans="1:15" x14ac:dyDescent="0.25">
      <c r="A2553" s="786" t="s">
        <v>5350</v>
      </c>
      <c r="B2553" s="787">
        <v>4</v>
      </c>
      <c r="C2553" s="787" t="s">
        <v>5351</v>
      </c>
      <c r="D2553" s="787">
        <v>4.38</v>
      </c>
      <c r="E2553" s="787">
        <v>4.38</v>
      </c>
      <c r="F2553" s="788">
        <v>41180</v>
      </c>
      <c r="G2553" s="788">
        <v>41180</v>
      </c>
      <c r="H2553" s="787">
        <v>1</v>
      </c>
      <c r="I2553" s="788">
        <v>41075</v>
      </c>
      <c r="J2553" s="788">
        <v>41054</v>
      </c>
      <c r="K2553" s="788">
        <v>41040</v>
      </c>
      <c r="L2553" s="787">
        <v>10.81</v>
      </c>
      <c r="M2553" s="787">
        <v>10</v>
      </c>
      <c r="N2553" s="787">
        <v>27.9</v>
      </c>
      <c r="O2553" s="788">
        <v>42053</v>
      </c>
    </row>
    <row r="2554" spans="1:15" x14ac:dyDescent="0.25">
      <c r="A2554" s="786" t="s">
        <v>5352</v>
      </c>
      <c r="B2554" s="787">
        <v>4</v>
      </c>
      <c r="C2554" s="787" t="s">
        <v>5353</v>
      </c>
      <c r="D2554" s="787">
        <v>2.27</v>
      </c>
      <c r="E2554" s="787">
        <v>2.27</v>
      </c>
      <c r="F2554" s="788">
        <v>41180</v>
      </c>
      <c r="G2554" s="788">
        <v>41180</v>
      </c>
      <c r="H2554" s="787">
        <v>1</v>
      </c>
      <c r="I2554" s="788">
        <v>41075</v>
      </c>
      <c r="J2554" s="788">
        <v>41054</v>
      </c>
      <c r="K2554" s="788">
        <v>41040</v>
      </c>
      <c r="L2554" s="787">
        <v>1.93</v>
      </c>
      <c r="M2554" s="787">
        <v>10</v>
      </c>
      <c r="N2554" s="787">
        <v>10.25</v>
      </c>
      <c r="O2554" s="788">
        <v>42053</v>
      </c>
    </row>
    <row r="2555" spans="1:15" x14ac:dyDescent="0.25">
      <c r="A2555" s="786" t="s">
        <v>5354</v>
      </c>
      <c r="B2555" s="787">
        <v>4</v>
      </c>
      <c r="C2555" s="787" t="s">
        <v>5355</v>
      </c>
      <c r="D2555" s="787">
        <v>4.08</v>
      </c>
      <c r="E2555" s="787">
        <v>4.08</v>
      </c>
      <c r="F2555" s="788">
        <v>41180</v>
      </c>
      <c r="G2555" s="788">
        <v>41180</v>
      </c>
      <c r="H2555" s="787">
        <v>1</v>
      </c>
      <c r="I2555" s="788">
        <v>41075</v>
      </c>
      <c r="J2555" s="788">
        <v>41054</v>
      </c>
      <c r="K2555" s="788">
        <v>41040</v>
      </c>
      <c r="L2555" s="787">
        <v>4.3600000000000003</v>
      </c>
      <c r="M2555" s="787">
        <v>10</v>
      </c>
      <c r="N2555" s="787">
        <v>15.5</v>
      </c>
      <c r="O2555" s="788">
        <v>42053</v>
      </c>
    </row>
    <row r="2556" spans="1:15" x14ac:dyDescent="0.25">
      <c r="A2556" s="786" t="s">
        <v>5356</v>
      </c>
      <c r="B2556" s="787">
        <v>4</v>
      </c>
      <c r="C2556" s="787" t="s">
        <v>5357</v>
      </c>
      <c r="D2556" s="787">
        <v>0</v>
      </c>
      <c r="E2556" s="787">
        <v>0</v>
      </c>
      <c r="G2556" s="788">
        <v>38736</v>
      </c>
      <c r="H2556" s="787">
        <v>1</v>
      </c>
      <c r="I2556" s="788">
        <v>38959</v>
      </c>
      <c r="J2556" s="788">
        <v>39101</v>
      </c>
      <c r="L2556" s="787">
        <v>7.25</v>
      </c>
      <c r="M2556" s="787">
        <v>10</v>
      </c>
      <c r="N2556" s="787">
        <v>9.23</v>
      </c>
      <c r="O2556" s="788">
        <v>42083</v>
      </c>
    </row>
    <row r="2557" spans="1:15" x14ac:dyDescent="0.25">
      <c r="A2557" s="786" t="s">
        <v>5358</v>
      </c>
      <c r="B2557" s="787">
        <v>4</v>
      </c>
      <c r="C2557" s="787" t="s">
        <v>5359</v>
      </c>
      <c r="D2557" s="787">
        <v>0</v>
      </c>
      <c r="E2557" s="787">
        <v>0</v>
      </c>
      <c r="G2557" s="788">
        <v>38736</v>
      </c>
      <c r="H2557" s="787">
        <v>1</v>
      </c>
      <c r="I2557" s="788">
        <v>38959</v>
      </c>
      <c r="J2557" s="788">
        <v>39101</v>
      </c>
      <c r="L2557" s="787">
        <v>7.25</v>
      </c>
      <c r="M2557" s="787">
        <v>10</v>
      </c>
      <c r="N2557" s="787">
        <v>9.23</v>
      </c>
      <c r="O2557" s="788">
        <v>42083</v>
      </c>
    </row>
    <row r="2558" spans="1:15" x14ac:dyDescent="0.25">
      <c r="A2558" s="786" t="s">
        <v>5360</v>
      </c>
      <c r="B2558" s="787">
        <v>4</v>
      </c>
      <c r="C2558" s="787" t="s">
        <v>5361</v>
      </c>
      <c r="D2558" s="787">
        <v>0</v>
      </c>
      <c r="E2558" s="787">
        <v>0</v>
      </c>
      <c r="G2558" s="788">
        <v>38736</v>
      </c>
      <c r="H2558" s="787">
        <v>1</v>
      </c>
      <c r="I2558" s="788">
        <v>39057</v>
      </c>
      <c r="J2558" s="788">
        <v>39101</v>
      </c>
      <c r="L2558" s="787">
        <v>2.58</v>
      </c>
      <c r="M2558" s="787">
        <v>10</v>
      </c>
      <c r="N2558" s="787">
        <v>3.99</v>
      </c>
      <c r="O2558" s="788">
        <v>42083</v>
      </c>
    </row>
    <row r="2559" spans="1:15" x14ac:dyDescent="0.25">
      <c r="A2559" s="786" t="s">
        <v>5362</v>
      </c>
      <c r="B2559" s="787">
        <v>4</v>
      </c>
      <c r="C2559" s="787" t="s">
        <v>5363</v>
      </c>
      <c r="D2559" s="787">
        <v>0</v>
      </c>
      <c r="E2559" s="787">
        <v>0</v>
      </c>
      <c r="G2559" s="788">
        <v>38736</v>
      </c>
      <c r="H2559" s="787">
        <v>1</v>
      </c>
      <c r="I2559" s="788">
        <v>39057</v>
      </c>
      <c r="J2559" s="788">
        <v>39101</v>
      </c>
      <c r="L2559" s="787">
        <v>2.58</v>
      </c>
      <c r="M2559" s="787">
        <v>10</v>
      </c>
      <c r="N2559" s="787">
        <v>3.99</v>
      </c>
      <c r="O2559" s="788">
        <v>42083</v>
      </c>
    </row>
    <row r="2560" spans="1:15" x14ac:dyDescent="0.25">
      <c r="A2560" s="786" t="s">
        <v>5364</v>
      </c>
      <c r="B2560" s="787">
        <v>4</v>
      </c>
      <c r="C2560" s="787" t="s">
        <v>5365</v>
      </c>
      <c r="D2560" s="787">
        <v>0</v>
      </c>
      <c r="E2560" s="787">
        <v>0</v>
      </c>
      <c r="G2560" s="788">
        <v>38736</v>
      </c>
      <c r="H2560" s="787">
        <v>1</v>
      </c>
      <c r="I2560" s="788">
        <v>39948</v>
      </c>
      <c r="J2560" s="788">
        <v>39101</v>
      </c>
      <c r="L2560" s="787">
        <v>4.43</v>
      </c>
      <c r="M2560" s="787">
        <v>10</v>
      </c>
      <c r="N2560" s="787">
        <v>5.09</v>
      </c>
      <c r="O2560" s="788">
        <v>42083</v>
      </c>
    </row>
    <row r="2561" spans="1:15" x14ac:dyDescent="0.25">
      <c r="A2561" s="786" t="s">
        <v>5366</v>
      </c>
      <c r="B2561" s="787">
        <v>4</v>
      </c>
      <c r="C2561" s="787" t="s">
        <v>5367</v>
      </c>
      <c r="D2561" s="787">
        <v>6.4</v>
      </c>
      <c r="E2561" s="787">
        <v>6.4</v>
      </c>
      <c r="F2561" s="788">
        <v>39975</v>
      </c>
      <c r="G2561" s="788">
        <v>39975</v>
      </c>
      <c r="H2561" s="787">
        <v>1</v>
      </c>
      <c r="I2561" s="788">
        <v>38959</v>
      </c>
      <c r="J2561" s="788">
        <v>39101</v>
      </c>
      <c r="L2561" s="787">
        <v>7.25</v>
      </c>
      <c r="M2561" s="787">
        <v>10</v>
      </c>
      <c r="N2561" s="787">
        <v>9.23</v>
      </c>
      <c r="O2561" s="788">
        <v>42081</v>
      </c>
    </row>
    <row r="2562" spans="1:15" x14ac:dyDescent="0.25">
      <c r="A2562" s="786" t="s">
        <v>5368</v>
      </c>
      <c r="B2562" s="787">
        <v>4</v>
      </c>
      <c r="C2562" s="787" t="s">
        <v>5369</v>
      </c>
      <c r="D2562" s="787">
        <v>8.36</v>
      </c>
      <c r="E2562" s="787">
        <v>12.47</v>
      </c>
      <c r="F2562" s="788">
        <v>39975</v>
      </c>
      <c r="G2562" s="788">
        <v>39975</v>
      </c>
      <c r="H2562" s="787">
        <v>1</v>
      </c>
      <c r="I2562" s="788">
        <v>38959</v>
      </c>
      <c r="J2562" s="788">
        <v>39101</v>
      </c>
      <c r="L2562" s="787">
        <v>7.25</v>
      </c>
      <c r="M2562" s="787">
        <v>10</v>
      </c>
      <c r="N2562" s="787">
        <v>9.23</v>
      </c>
      <c r="O2562" s="788">
        <v>42081</v>
      </c>
    </row>
    <row r="2563" spans="1:15" x14ac:dyDescent="0.25">
      <c r="A2563" s="786" t="s">
        <v>5370</v>
      </c>
      <c r="B2563" s="787">
        <v>4</v>
      </c>
      <c r="C2563" s="787" t="s">
        <v>5371</v>
      </c>
      <c r="D2563" s="787">
        <v>4.3</v>
      </c>
      <c r="E2563" s="787">
        <v>4.3</v>
      </c>
      <c r="F2563" s="788">
        <v>39975</v>
      </c>
      <c r="G2563" s="788">
        <v>39975</v>
      </c>
      <c r="H2563" s="787">
        <v>1</v>
      </c>
      <c r="I2563" s="788">
        <v>38959</v>
      </c>
      <c r="J2563" s="788">
        <v>39101</v>
      </c>
      <c r="L2563" s="787">
        <v>3</v>
      </c>
      <c r="M2563" s="787">
        <v>10</v>
      </c>
      <c r="N2563" s="787">
        <v>4.4000000000000004</v>
      </c>
      <c r="O2563" s="788">
        <v>42081</v>
      </c>
    </row>
    <row r="2564" spans="1:15" x14ac:dyDescent="0.25">
      <c r="A2564" s="786" t="s">
        <v>5372</v>
      </c>
      <c r="B2564" s="787">
        <v>4</v>
      </c>
      <c r="C2564" s="787" t="s">
        <v>5373</v>
      </c>
      <c r="D2564" s="787">
        <v>4.3</v>
      </c>
      <c r="E2564" s="787">
        <v>4.3</v>
      </c>
      <c r="F2564" s="788">
        <v>39975</v>
      </c>
      <c r="G2564" s="788">
        <v>39975</v>
      </c>
      <c r="H2564" s="787">
        <v>1</v>
      </c>
      <c r="I2564" s="788">
        <v>38959</v>
      </c>
      <c r="J2564" s="788">
        <v>39101</v>
      </c>
      <c r="L2564" s="787">
        <v>3</v>
      </c>
      <c r="M2564" s="787">
        <v>10</v>
      </c>
      <c r="N2564" s="787">
        <v>4.4000000000000004</v>
      </c>
      <c r="O2564" s="788">
        <v>42081</v>
      </c>
    </row>
    <row r="2565" spans="1:15" x14ac:dyDescent="0.25">
      <c r="A2565" s="786" t="s">
        <v>5374</v>
      </c>
      <c r="B2565" s="787">
        <v>4</v>
      </c>
      <c r="C2565" s="787" t="s">
        <v>5375</v>
      </c>
      <c r="D2565" s="787">
        <v>3.7</v>
      </c>
      <c r="E2565" s="787">
        <v>4.59</v>
      </c>
      <c r="F2565" s="788">
        <v>39975</v>
      </c>
      <c r="G2565" s="788">
        <v>39975</v>
      </c>
      <c r="H2565" s="787">
        <v>1</v>
      </c>
      <c r="I2565" s="788">
        <v>39064</v>
      </c>
      <c r="J2565" s="788">
        <v>39101</v>
      </c>
      <c r="L2565" s="787">
        <v>3.21</v>
      </c>
      <c r="M2565" s="787">
        <v>10</v>
      </c>
      <c r="N2565" s="787">
        <v>3.89</v>
      </c>
      <c r="O2565" s="788">
        <v>42081</v>
      </c>
    </row>
    <row r="2566" spans="1:15" x14ac:dyDescent="0.25">
      <c r="A2566" s="786" t="s">
        <v>5376</v>
      </c>
      <c r="B2566" s="787">
        <v>4</v>
      </c>
      <c r="C2566" s="787" t="s">
        <v>5377</v>
      </c>
      <c r="D2566" s="787">
        <v>0.37</v>
      </c>
      <c r="E2566" s="787">
        <v>1.35</v>
      </c>
      <c r="F2566" s="788">
        <v>39456</v>
      </c>
      <c r="G2566" s="788">
        <v>42144</v>
      </c>
      <c r="H2566" s="787">
        <v>1</v>
      </c>
      <c r="I2566" s="788">
        <v>42132</v>
      </c>
      <c r="J2566" s="788">
        <v>42114</v>
      </c>
      <c r="L2566" s="787">
        <v>0.57999999999999996</v>
      </c>
      <c r="M2566" s="787">
        <v>10</v>
      </c>
      <c r="N2566" s="787">
        <v>1.98</v>
      </c>
      <c r="O2566" s="788">
        <v>41858</v>
      </c>
    </row>
    <row r="2567" spans="1:15" x14ac:dyDescent="0.25">
      <c r="A2567" s="786" t="s">
        <v>5378</v>
      </c>
      <c r="B2567" s="787">
        <v>4</v>
      </c>
      <c r="C2567" s="787" t="s">
        <v>5379</v>
      </c>
      <c r="D2567" s="787">
        <v>0</v>
      </c>
      <c r="E2567" s="787">
        <v>0</v>
      </c>
      <c r="H2567" s="787">
        <v>1</v>
      </c>
      <c r="I2567" s="788">
        <v>39948</v>
      </c>
      <c r="J2567" s="788">
        <v>39101</v>
      </c>
      <c r="L2567" s="787">
        <v>7.25</v>
      </c>
      <c r="M2567" s="787">
        <v>10</v>
      </c>
      <c r="N2567" s="787">
        <v>9.23</v>
      </c>
      <c r="O2567" s="788">
        <v>42124</v>
      </c>
    </row>
    <row r="2568" spans="1:15" x14ac:dyDescent="0.25">
      <c r="A2568" s="786" t="s">
        <v>5380</v>
      </c>
      <c r="B2568" s="787">
        <v>4</v>
      </c>
      <c r="C2568" s="787" t="s">
        <v>5381</v>
      </c>
      <c r="D2568" s="787">
        <v>0</v>
      </c>
      <c r="E2568" s="787">
        <v>0</v>
      </c>
      <c r="H2568" s="787">
        <v>1</v>
      </c>
      <c r="I2568" s="788">
        <v>39948</v>
      </c>
      <c r="J2568" s="788">
        <v>39101</v>
      </c>
      <c r="L2568" s="787">
        <v>7.25</v>
      </c>
      <c r="M2568" s="787">
        <v>10</v>
      </c>
      <c r="N2568" s="787">
        <v>9.23</v>
      </c>
      <c r="O2568" s="788">
        <v>42124</v>
      </c>
    </row>
    <row r="2569" spans="1:15" x14ac:dyDescent="0.25">
      <c r="A2569" s="786" t="s">
        <v>5382</v>
      </c>
      <c r="B2569" s="787">
        <v>4</v>
      </c>
      <c r="C2569" s="787" t="s">
        <v>5383</v>
      </c>
      <c r="D2569" s="787">
        <v>0</v>
      </c>
      <c r="E2569" s="787">
        <v>0</v>
      </c>
      <c r="H2569" s="787">
        <v>1</v>
      </c>
      <c r="I2569" s="788">
        <v>39948</v>
      </c>
      <c r="J2569" s="788">
        <v>39101</v>
      </c>
      <c r="L2569" s="787">
        <v>3.93</v>
      </c>
      <c r="M2569" s="787">
        <v>10</v>
      </c>
      <c r="N2569" s="787">
        <v>5.32</v>
      </c>
      <c r="O2569" s="788">
        <v>42124</v>
      </c>
    </row>
    <row r="2570" spans="1:15" x14ac:dyDescent="0.25">
      <c r="A2570" s="786" t="s">
        <v>5384</v>
      </c>
      <c r="B2570" s="787">
        <v>4</v>
      </c>
      <c r="C2570" s="787" t="s">
        <v>5385</v>
      </c>
      <c r="D2570" s="787">
        <v>0</v>
      </c>
      <c r="E2570" s="787">
        <v>0</v>
      </c>
      <c r="H2570" s="787">
        <v>1</v>
      </c>
      <c r="I2570" s="788">
        <v>39948</v>
      </c>
      <c r="J2570" s="788">
        <v>39101</v>
      </c>
      <c r="L2570" s="787">
        <v>3.93</v>
      </c>
      <c r="M2570" s="787">
        <v>10</v>
      </c>
      <c r="N2570" s="787">
        <v>5.32</v>
      </c>
      <c r="O2570" s="788">
        <v>42124</v>
      </c>
    </row>
    <row r="2571" spans="1:15" x14ac:dyDescent="0.25">
      <c r="A2571" s="786" t="s">
        <v>5386</v>
      </c>
      <c r="B2571" s="787">
        <v>4</v>
      </c>
      <c r="C2571" s="787" t="s">
        <v>5387</v>
      </c>
      <c r="D2571" s="787">
        <v>0</v>
      </c>
      <c r="E2571" s="787">
        <v>0</v>
      </c>
      <c r="H2571" s="787">
        <v>1</v>
      </c>
      <c r="I2571" s="788">
        <v>38959</v>
      </c>
      <c r="J2571" s="788">
        <v>39101</v>
      </c>
      <c r="K2571" s="788">
        <v>41374</v>
      </c>
      <c r="L2571" s="787">
        <v>9.56</v>
      </c>
      <c r="M2571" s="787">
        <v>10</v>
      </c>
      <c r="N2571" s="787">
        <v>10.8</v>
      </c>
      <c r="O2571" s="788">
        <v>42124</v>
      </c>
    </row>
    <row r="2572" spans="1:15" x14ac:dyDescent="0.25">
      <c r="A2572" s="786" t="s">
        <v>5388</v>
      </c>
      <c r="B2572" s="787">
        <v>4</v>
      </c>
      <c r="C2572" s="787" t="s">
        <v>5389</v>
      </c>
      <c r="D2572" s="787">
        <v>0</v>
      </c>
      <c r="E2572" s="787">
        <v>0</v>
      </c>
      <c r="H2572" s="787">
        <v>1</v>
      </c>
      <c r="I2572" s="788">
        <v>38959</v>
      </c>
      <c r="J2572" s="788">
        <v>39101</v>
      </c>
      <c r="K2572" s="788">
        <v>41374</v>
      </c>
      <c r="L2572" s="787">
        <v>9.56</v>
      </c>
      <c r="M2572" s="787">
        <v>10</v>
      </c>
      <c r="N2572" s="787">
        <v>10.8</v>
      </c>
      <c r="O2572" s="788">
        <v>42124</v>
      </c>
    </row>
    <row r="2573" spans="1:15" x14ac:dyDescent="0.25">
      <c r="A2573" s="786" t="s">
        <v>5390</v>
      </c>
      <c r="B2573" s="787">
        <v>4</v>
      </c>
      <c r="C2573" s="787" t="s">
        <v>5391</v>
      </c>
      <c r="D2573" s="787">
        <v>0</v>
      </c>
      <c r="E2573" s="787">
        <v>0</v>
      </c>
      <c r="H2573" s="787">
        <v>1</v>
      </c>
      <c r="I2573" s="788">
        <v>38959</v>
      </c>
      <c r="J2573" s="788">
        <v>39101</v>
      </c>
      <c r="K2573" s="788">
        <v>41374</v>
      </c>
      <c r="L2573" s="787">
        <v>7.48</v>
      </c>
      <c r="M2573" s="787">
        <v>10</v>
      </c>
      <c r="N2573" s="787">
        <v>8.1199999999999992</v>
      </c>
      <c r="O2573" s="788">
        <v>41858</v>
      </c>
    </row>
    <row r="2574" spans="1:15" x14ac:dyDescent="0.25">
      <c r="A2574" s="786" t="s">
        <v>5392</v>
      </c>
      <c r="B2574" s="787">
        <v>4</v>
      </c>
      <c r="C2574" s="787" t="s">
        <v>5393</v>
      </c>
      <c r="D2574" s="787">
        <v>0</v>
      </c>
      <c r="E2574" s="787">
        <v>0</v>
      </c>
      <c r="H2574" s="787">
        <v>1</v>
      </c>
      <c r="I2574" s="788">
        <v>38959</v>
      </c>
      <c r="J2574" s="788">
        <v>39101</v>
      </c>
      <c r="K2574" s="788">
        <v>41374</v>
      </c>
      <c r="L2574" s="787">
        <v>7.48</v>
      </c>
      <c r="M2574" s="787">
        <v>10</v>
      </c>
      <c r="N2574" s="787">
        <v>8.1199999999999992</v>
      </c>
      <c r="O2574" s="788">
        <v>42124</v>
      </c>
    </row>
    <row r="2575" spans="1:15" x14ac:dyDescent="0.25">
      <c r="A2575" s="786" t="s">
        <v>5394</v>
      </c>
      <c r="B2575" s="787">
        <v>4</v>
      </c>
      <c r="C2575" s="787" t="s">
        <v>5395</v>
      </c>
      <c r="D2575" s="787">
        <v>0</v>
      </c>
      <c r="E2575" s="787">
        <v>0</v>
      </c>
      <c r="H2575" s="787">
        <v>1</v>
      </c>
      <c r="I2575" s="788">
        <v>38902</v>
      </c>
      <c r="J2575" s="788">
        <v>39101</v>
      </c>
      <c r="L2575" s="787">
        <v>7.4</v>
      </c>
      <c r="M2575" s="787">
        <v>10</v>
      </c>
      <c r="N2575" s="787">
        <v>9.5500000000000007</v>
      </c>
      <c r="O2575" s="788">
        <v>42083</v>
      </c>
    </row>
    <row r="2576" spans="1:15" x14ac:dyDescent="0.25">
      <c r="A2576" s="786" t="s">
        <v>5396</v>
      </c>
      <c r="B2576" s="787">
        <v>4</v>
      </c>
      <c r="C2576" s="787" t="s">
        <v>5397</v>
      </c>
      <c r="D2576" s="787">
        <v>0</v>
      </c>
      <c r="E2576" s="787">
        <v>0</v>
      </c>
      <c r="H2576" s="787">
        <v>1</v>
      </c>
      <c r="I2576" s="788">
        <v>38902</v>
      </c>
      <c r="J2576" s="788">
        <v>39101</v>
      </c>
      <c r="L2576" s="787">
        <v>7.23</v>
      </c>
      <c r="M2576" s="787">
        <v>10</v>
      </c>
      <c r="N2576" s="787">
        <v>9.36</v>
      </c>
      <c r="O2576" s="788">
        <v>42083</v>
      </c>
    </row>
    <row r="2577" spans="1:15" x14ac:dyDescent="0.25">
      <c r="A2577" s="786" t="s">
        <v>5398</v>
      </c>
      <c r="B2577" s="787">
        <v>4</v>
      </c>
      <c r="C2577" s="787" t="s">
        <v>5399</v>
      </c>
      <c r="D2577" s="787">
        <v>1.04</v>
      </c>
      <c r="E2577" s="787">
        <v>2.42</v>
      </c>
      <c r="F2577" s="788">
        <v>39456</v>
      </c>
      <c r="G2577" s="788">
        <v>41943</v>
      </c>
      <c r="H2577" s="787">
        <v>1</v>
      </c>
      <c r="I2577" s="788">
        <v>41900</v>
      </c>
      <c r="J2577" s="788">
        <v>41507</v>
      </c>
      <c r="L2577" s="787">
        <v>2.09</v>
      </c>
      <c r="M2577" s="787">
        <v>10</v>
      </c>
      <c r="N2577" s="787">
        <v>2.91</v>
      </c>
      <c r="O2577" s="788">
        <v>41978</v>
      </c>
    </row>
    <row r="2578" spans="1:15" x14ac:dyDescent="0.25">
      <c r="A2578" s="786" t="s">
        <v>5400</v>
      </c>
      <c r="B2578" s="787">
        <v>4</v>
      </c>
      <c r="C2578" s="787" t="s">
        <v>5401</v>
      </c>
      <c r="D2578" s="787">
        <v>0</v>
      </c>
      <c r="E2578" s="787">
        <v>0</v>
      </c>
      <c r="G2578" s="788">
        <v>38736</v>
      </c>
      <c r="H2578" s="787">
        <v>1</v>
      </c>
      <c r="I2578" s="788">
        <v>38959</v>
      </c>
      <c r="J2578" s="788">
        <v>39101</v>
      </c>
      <c r="L2578" s="787">
        <v>9.24</v>
      </c>
      <c r="M2578" s="787">
        <v>10</v>
      </c>
      <c r="N2578" s="787">
        <v>11.52</v>
      </c>
      <c r="O2578" s="788">
        <v>42082</v>
      </c>
    </row>
    <row r="2579" spans="1:15" x14ac:dyDescent="0.25">
      <c r="A2579" s="786" t="s">
        <v>5402</v>
      </c>
      <c r="B2579" s="787">
        <v>4</v>
      </c>
      <c r="C2579" s="787" t="s">
        <v>5403</v>
      </c>
      <c r="D2579" s="787">
        <v>0</v>
      </c>
      <c r="E2579" s="787">
        <v>0</v>
      </c>
      <c r="G2579" s="788">
        <v>38736</v>
      </c>
      <c r="H2579" s="787">
        <v>1</v>
      </c>
      <c r="I2579" s="788">
        <v>39134</v>
      </c>
      <c r="J2579" s="788">
        <v>39149</v>
      </c>
      <c r="L2579" s="787">
        <v>9.24</v>
      </c>
      <c r="M2579" s="787">
        <v>10</v>
      </c>
      <c r="N2579" s="787">
        <v>11.52</v>
      </c>
      <c r="O2579" s="788">
        <v>42083</v>
      </c>
    </row>
    <row r="2580" spans="1:15" x14ac:dyDescent="0.25">
      <c r="A2580" s="786" t="s">
        <v>5404</v>
      </c>
      <c r="B2580" s="787">
        <v>4</v>
      </c>
      <c r="C2580" s="787" t="s">
        <v>5405</v>
      </c>
      <c r="D2580" s="787">
        <v>1.51</v>
      </c>
      <c r="E2580" s="787">
        <v>2.65</v>
      </c>
      <c r="F2580" s="788">
        <v>39456</v>
      </c>
      <c r="G2580" s="788">
        <v>42013</v>
      </c>
      <c r="H2580" s="787">
        <v>1</v>
      </c>
      <c r="I2580" s="788">
        <v>42143</v>
      </c>
      <c r="J2580" s="788">
        <v>40018</v>
      </c>
      <c r="L2580" s="787">
        <v>2.92</v>
      </c>
      <c r="M2580" s="787">
        <v>10</v>
      </c>
      <c r="N2580" s="787">
        <v>3.79</v>
      </c>
      <c r="O2580" s="788">
        <v>41978</v>
      </c>
    </row>
    <row r="2581" spans="1:15" x14ac:dyDescent="0.25">
      <c r="A2581" s="786" t="s">
        <v>5406</v>
      </c>
      <c r="B2581" s="787">
        <v>4</v>
      </c>
      <c r="C2581" s="787" t="s">
        <v>5407</v>
      </c>
      <c r="D2581" s="787">
        <v>0</v>
      </c>
      <c r="E2581" s="787">
        <v>0</v>
      </c>
      <c r="H2581" s="787">
        <v>1</v>
      </c>
      <c r="I2581" s="788">
        <v>38939</v>
      </c>
      <c r="J2581" s="788">
        <v>39101</v>
      </c>
      <c r="L2581" s="787">
        <v>7.4</v>
      </c>
      <c r="M2581" s="787">
        <v>10</v>
      </c>
      <c r="N2581" s="787">
        <v>9.5500000000000007</v>
      </c>
      <c r="O2581" s="788">
        <v>42081</v>
      </c>
    </row>
    <row r="2582" spans="1:15" x14ac:dyDescent="0.25">
      <c r="A2582" s="786" t="s">
        <v>5408</v>
      </c>
      <c r="B2582" s="787">
        <v>4</v>
      </c>
      <c r="C2582" s="787" t="s">
        <v>5409</v>
      </c>
      <c r="D2582" s="787">
        <v>0</v>
      </c>
      <c r="E2582" s="787">
        <v>0</v>
      </c>
      <c r="H2582" s="787">
        <v>6</v>
      </c>
      <c r="I2582" s="788">
        <v>38939</v>
      </c>
      <c r="J2582" s="788">
        <v>39101</v>
      </c>
      <c r="L2582" s="787">
        <v>7.23</v>
      </c>
      <c r="M2582" s="787">
        <v>10</v>
      </c>
      <c r="N2582" s="787">
        <v>8.26</v>
      </c>
      <c r="O2582" s="788">
        <v>41806</v>
      </c>
    </row>
    <row r="2583" spans="1:15" x14ac:dyDescent="0.25">
      <c r="A2583" s="786" t="s">
        <v>5410</v>
      </c>
      <c r="B2583" s="787">
        <v>4</v>
      </c>
      <c r="C2583" s="787" t="s">
        <v>5411</v>
      </c>
      <c r="D2583" s="787">
        <v>2.17</v>
      </c>
      <c r="E2583" s="787">
        <v>2.17</v>
      </c>
      <c r="F2583" s="788">
        <v>41855</v>
      </c>
      <c r="G2583" s="788">
        <v>41943</v>
      </c>
      <c r="H2583" s="787">
        <v>1</v>
      </c>
      <c r="I2583" s="788">
        <v>41835</v>
      </c>
      <c r="J2583" s="788">
        <v>41821</v>
      </c>
      <c r="L2583" s="787">
        <v>3.46</v>
      </c>
      <c r="M2583" s="787">
        <v>10</v>
      </c>
      <c r="N2583" s="787">
        <v>3.65</v>
      </c>
      <c r="O2583" s="788">
        <v>42165</v>
      </c>
    </row>
    <row r="2584" spans="1:15" x14ac:dyDescent="0.25">
      <c r="A2584" s="786" t="s">
        <v>5412</v>
      </c>
      <c r="B2584" s="787">
        <v>4</v>
      </c>
      <c r="C2584" s="787" t="s">
        <v>5413</v>
      </c>
      <c r="D2584" s="787">
        <v>2.75</v>
      </c>
      <c r="E2584" s="787">
        <v>2.75</v>
      </c>
      <c r="F2584" s="788">
        <v>39456</v>
      </c>
      <c r="G2584" s="788">
        <v>41943</v>
      </c>
      <c r="H2584" s="787">
        <v>1</v>
      </c>
      <c r="I2584" s="788">
        <v>41835</v>
      </c>
      <c r="J2584" s="788">
        <v>41821</v>
      </c>
      <c r="L2584" s="787">
        <v>3.46</v>
      </c>
      <c r="M2584" s="787">
        <v>10</v>
      </c>
      <c r="N2584" s="787">
        <v>3.65</v>
      </c>
      <c r="O2584" s="788">
        <v>42165</v>
      </c>
    </row>
    <row r="2585" spans="1:15" x14ac:dyDescent="0.25">
      <c r="A2585" s="786" t="s">
        <v>5414</v>
      </c>
      <c r="B2585" s="787">
        <v>4</v>
      </c>
      <c r="C2585" s="787" t="s">
        <v>5415</v>
      </c>
      <c r="D2585" s="787">
        <v>0.65</v>
      </c>
      <c r="E2585" s="787">
        <v>0.65</v>
      </c>
      <c r="F2585" s="788">
        <v>39975</v>
      </c>
      <c r="G2585" s="788">
        <v>41943</v>
      </c>
      <c r="H2585" s="787">
        <v>1</v>
      </c>
      <c r="I2585" s="788">
        <v>41900</v>
      </c>
      <c r="J2585" s="788">
        <v>39149</v>
      </c>
      <c r="L2585" s="787">
        <v>2.27</v>
      </c>
      <c r="M2585" s="787">
        <v>10</v>
      </c>
      <c r="N2585" s="787">
        <v>1.44</v>
      </c>
      <c r="O2585" s="788">
        <v>42165</v>
      </c>
    </row>
    <row r="2586" spans="1:15" x14ac:dyDescent="0.25">
      <c r="A2586" s="786" t="s">
        <v>5416</v>
      </c>
      <c r="B2586" s="787">
        <v>4</v>
      </c>
      <c r="C2586" s="787" t="s">
        <v>5417</v>
      </c>
      <c r="D2586" s="787">
        <v>0</v>
      </c>
      <c r="E2586" s="787">
        <v>0</v>
      </c>
      <c r="H2586" s="787">
        <v>1</v>
      </c>
      <c r="I2586" s="788">
        <v>38959</v>
      </c>
      <c r="J2586" s="788">
        <v>39101</v>
      </c>
      <c r="L2586" s="787">
        <v>7.06</v>
      </c>
      <c r="M2586" s="787">
        <v>10</v>
      </c>
      <c r="N2586" s="787">
        <v>9.18</v>
      </c>
      <c r="O2586" s="788">
        <v>42083</v>
      </c>
    </row>
    <row r="2587" spans="1:15" x14ac:dyDescent="0.25">
      <c r="A2587" s="786" t="s">
        <v>5418</v>
      </c>
      <c r="B2587" s="787">
        <v>4</v>
      </c>
      <c r="C2587" s="787" t="s">
        <v>5419</v>
      </c>
      <c r="D2587" s="787">
        <v>0</v>
      </c>
      <c r="E2587" s="787">
        <v>0</v>
      </c>
      <c r="H2587" s="787">
        <v>1</v>
      </c>
      <c r="I2587" s="788">
        <v>38959</v>
      </c>
      <c r="J2587" s="788">
        <v>39101</v>
      </c>
      <c r="L2587" s="787">
        <v>7.06</v>
      </c>
      <c r="M2587" s="787">
        <v>10</v>
      </c>
      <c r="N2587" s="787">
        <v>9.18</v>
      </c>
      <c r="O2587" s="788">
        <v>42082</v>
      </c>
    </row>
    <row r="2588" spans="1:15" x14ac:dyDescent="0.25">
      <c r="A2588" s="786" t="s">
        <v>5420</v>
      </c>
      <c r="B2588" s="787">
        <v>4</v>
      </c>
      <c r="C2588" s="787" t="s">
        <v>5421</v>
      </c>
      <c r="D2588" s="787">
        <v>0.88</v>
      </c>
      <c r="E2588" s="787">
        <v>2.3199999999999998</v>
      </c>
      <c r="F2588" s="788">
        <v>39456</v>
      </c>
      <c r="G2588" s="788">
        <v>42150</v>
      </c>
      <c r="H2588" s="787">
        <v>1</v>
      </c>
      <c r="I2588" s="788">
        <v>42160</v>
      </c>
      <c r="J2588" s="788">
        <v>42117</v>
      </c>
      <c r="L2588" s="787">
        <v>1.96</v>
      </c>
      <c r="M2588" s="787">
        <v>10</v>
      </c>
      <c r="N2588" s="787">
        <v>2.82</v>
      </c>
      <c r="O2588" s="788">
        <v>42165</v>
      </c>
    </row>
    <row r="2589" spans="1:15" x14ac:dyDescent="0.25">
      <c r="A2589" s="786" t="s">
        <v>5422</v>
      </c>
      <c r="B2589" s="787">
        <v>4</v>
      </c>
      <c r="C2589" s="787" t="s">
        <v>5423</v>
      </c>
      <c r="D2589" s="787">
        <v>0</v>
      </c>
      <c r="E2589" s="787">
        <v>0</v>
      </c>
      <c r="H2589" s="787">
        <v>1</v>
      </c>
      <c r="I2589" s="788">
        <v>38660</v>
      </c>
      <c r="J2589" s="788">
        <v>38736</v>
      </c>
      <c r="L2589" s="787">
        <v>4.29</v>
      </c>
      <c r="M2589" s="787">
        <v>10</v>
      </c>
      <c r="N2589" s="787">
        <v>5.67</v>
      </c>
      <c r="O2589" s="788">
        <v>42081</v>
      </c>
    </row>
    <row r="2590" spans="1:15" x14ac:dyDescent="0.25">
      <c r="A2590" s="786" t="s">
        <v>5424</v>
      </c>
      <c r="B2590" s="787">
        <v>4</v>
      </c>
      <c r="C2590" s="787" t="s">
        <v>5425</v>
      </c>
      <c r="D2590" s="787">
        <v>0</v>
      </c>
      <c r="E2590" s="787">
        <v>0</v>
      </c>
      <c r="G2590" s="788">
        <v>38736</v>
      </c>
      <c r="H2590" s="787">
        <v>1</v>
      </c>
      <c r="I2590" s="788">
        <v>38939</v>
      </c>
      <c r="J2590" s="788">
        <v>39101</v>
      </c>
      <c r="L2590" s="787">
        <v>8.89</v>
      </c>
      <c r="M2590" s="787">
        <v>10</v>
      </c>
      <c r="N2590" s="787">
        <v>11.15</v>
      </c>
      <c r="O2590" s="788">
        <v>42114</v>
      </c>
    </row>
    <row r="2591" spans="1:15" x14ac:dyDescent="0.25">
      <c r="A2591" s="786" t="s">
        <v>5426</v>
      </c>
      <c r="B2591" s="787">
        <v>4</v>
      </c>
      <c r="C2591" s="787" t="s">
        <v>5427</v>
      </c>
      <c r="D2591" s="787">
        <v>0</v>
      </c>
      <c r="E2591" s="787">
        <v>0</v>
      </c>
      <c r="G2591" s="788">
        <v>38736</v>
      </c>
      <c r="H2591" s="787">
        <v>1</v>
      </c>
      <c r="I2591" s="788">
        <v>38939</v>
      </c>
      <c r="J2591" s="788">
        <v>39101</v>
      </c>
      <c r="L2591" s="787">
        <v>8.89</v>
      </c>
      <c r="M2591" s="787">
        <v>10</v>
      </c>
      <c r="N2591" s="787">
        <v>11.15</v>
      </c>
      <c r="O2591" s="788">
        <v>42082</v>
      </c>
    </row>
    <row r="2592" spans="1:15" x14ac:dyDescent="0.25">
      <c r="A2592" s="786" t="s">
        <v>5428</v>
      </c>
      <c r="B2592" s="787">
        <v>4</v>
      </c>
      <c r="C2592" s="787" t="s">
        <v>5429</v>
      </c>
      <c r="D2592" s="787">
        <v>1.47</v>
      </c>
      <c r="E2592" s="787">
        <v>3.84</v>
      </c>
      <c r="F2592" s="788">
        <v>39456</v>
      </c>
      <c r="G2592" s="788">
        <v>41943</v>
      </c>
      <c r="H2592" s="787">
        <v>1</v>
      </c>
      <c r="I2592" s="788">
        <v>42143</v>
      </c>
      <c r="J2592" s="788">
        <v>41589</v>
      </c>
      <c r="K2592" s="788">
        <v>41582</v>
      </c>
      <c r="L2592" s="787">
        <v>3.64</v>
      </c>
      <c r="M2592" s="787">
        <v>10</v>
      </c>
      <c r="N2592" s="787">
        <v>3.4</v>
      </c>
      <c r="O2592" s="788">
        <v>41978</v>
      </c>
    </row>
    <row r="2593" spans="1:15" x14ac:dyDescent="0.25">
      <c r="A2593" s="786" t="s">
        <v>5430</v>
      </c>
      <c r="B2593" s="787">
        <v>4</v>
      </c>
      <c r="C2593" s="787" t="s">
        <v>5431</v>
      </c>
      <c r="D2593" s="787">
        <v>6.39</v>
      </c>
      <c r="E2593" s="787">
        <v>6.39</v>
      </c>
      <c r="F2593" s="788">
        <v>39975</v>
      </c>
      <c r="G2593" s="788">
        <v>39975</v>
      </c>
      <c r="H2593" s="787">
        <v>1</v>
      </c>
      <c r="I2593" s="788">
        <v>38939</v>
      </c>
      <c r="J2593" s="788">
        <v>39101</v>
      </c>
      <c r="L2593" s="787">
        <v>7.06</v>
      </c>
      <c r="M2593" s="787">
        <v>10</v>
      </c>
      <c r="N2593" s="787">
        <v>9.18</v>
      </c>
      <c r="O2593" s="788">
        <v>42081</v>
      </c>
    </row>
    <row r="2594" spans="1:15" x14ac:dyDescent="0.25">
      <c r="A2594" s="786" t="s">
        <v>5432</v>
      </c>
      <c r="B2594" s="787">
        <v>4</v>
      </c>
      <c r="C2594" s="787" t="s">
        <v>5433</v>
      </c>
      <c r="D2594" s="787">
        <v>6.27</v>
      </c>
      <c r="E2594" s="787">
        <v>6.27</v>
      </c>
      <c r="F2594" s="788">
        <v>39975</v>
      </c>
      <c r="G2594" s="788">
        <v>39975</v>
      </c>
      <c r="H2594" s="787">
        <v>1</v>
      </c>
      <c r="I2594" s="788">
        <v>38939</v>
      </c>
      <c r="J2594" s="788">
        <v>39101</v>
      </c>
      <c r="L2594" s="787">
        <v>7.06</v>
      </c>
      <c r="M2594" s="787">
        <v>10</v>
      </c>
      <c r="N2594" s="787">
        <v>9.18</v>
      </c>
      <c r="O2594" s="788">
        <v>42081</v>
      </c>
    </row>
    <row r="2595" spans="1:15" x14ac:dyDescent="0.25">
      <c r="A2595" s="786" t="s">
        <v>5434</v>
      </c>
      <c r="B2595" s="787">
        <v>4</v>
      </c>
      <c r="C2595" s="787" t="s">
        <v>5435</v>
      </c>
      <c r="D2595" s="787">
        <v>0.63</v>
      </c>
      <c r="E2595" s="787">
        <v>2.4300000000000002</v>
      </c>
      <c r="F2595" s="788">
        <v>41775</v>
      </c>
      <c r="G2595" s="788">
        <v>42151</v>
      </c>
      <c r="H2595" s="787">
        <v>1</v>
      </c>
      <c r="I2595" s="788">
        <v>42160</v>
      </c>
      <c r="J2595" s="788">
        <v>42122</v>
      </c>
      <c r="L2595" s="787">
        <v>2.4500000000000002</v>
      </c>
      <c r="M2595" s="787">
        <v>10</v>
      </c>
      <c r="N2595" s="787">
        <v>4</v>
      </c>
      <c r="O2595" s="788">
        <v>42127</v>
      </c>
    </row>
    <row r="2596" spans="1:15" x14ac:dyDescent="0.25">
      <c r="A2596" s="786" t="s">
        <v>5436</v>
      </c>
      <c r="B2596" s="787">
        <v>4</v>
      </c>
      <c r="C2596" s="787" t="s">
        <v>5437</v>
      </c>
      <c r="D2596" s="787">
        <v>1.51</v>
      </c>
      <c r="E2596" s="787">
        <v>2.82</v>
      </c>
      <c r="F2596" s="788">
        <v>39456</v>
      </c>
      <c r="G2596" s="788">
        <v>42151</v>
      </c>
      <c r="H2596" s="787">
        <v>1</v>
      </c>
      <c r="I2596" s="788">
        <v>42160</v>
      </c>
      <c r="J2596" s="788">
        <v>42122</v>
      </c>
      <c r="L2596" s="787">
        <v>2.4500000000000002</v>
      </c>
      <c r="M2596" s="787">
        <v>10</v>
      </c>
      <c r="N2596" s="787">
        <v>4</v>
      </c>
      <c r="O2596" s="788">
        <v>42127</v>
      </c>
    </row>
    <row r="2597" spans="1:15" x14ac:dyDescent="0.25">
      <c r="A2597" s="786" t="s">
        <v>5438</v>
      </c>
      <c r="B2597" s="787">
        <v>4</v>
      </c>
      <c r="C2597" s="787" t="s">
        <v>5439</v>
      </c>
      <c r="D2597" s="787">
        <v>5.15</v>
      </c>
      <c r="E2597" s="787">
        <v>5.15</v>
      </c>
      <c r="F2597" s="788">
        <v>39975</v>
      </c>
      <c r="G2597" s="788">
        <v>39975</v>
      </c>
      <c r="H2597" s="787">
        <v>1</v>
      </c>
      <c r="I2597" s="788">
        <v>41446</v>
      </c>
      <c r="J2597" s="788">
        <v>39101</v>
      </c>
      <c r="L2597" s="787">
        <v>3.95</v>
      </c>
      <c r="M2597" s="787">
        <v>10</v>
      </c>
      <c r="N2597" s="787">
        <v>5.33</v>
      </c>
      <c r="O2597" s="788">
        <v>42083</v>
      </c>
    </row>
    <row r="2598" spans="1:15" x14ac:dyDescent="0.25">
      <c r="A2598" s="786" t="s">
        <v>5440</v>
      </c>
      <c r="B2598" s="787">
        <v>4</v>
      </c>
      <c r="C2598" s="787" t="s">
        <v>5441</v>
      </c>
      <c r="D2598" s="787">
        <v>0.04</v>
      </c>
      <c r="E2598" s="787">
        <v>10.68</v>
      </c>
      <c r="F2598" s="788">
        <v>39975</v>
      </c>
      <c r="G2598" s="788">
        <v>39975</v>
      </c>
      <c r="H2598" s="787">
        <v>1</v>
      </c>
      <c r="I2598" s="788">
        <v>38959</v>
      </c>
      <c r="J2598" s="788">
        <v>39101</v>
      </c>
      <c r="L2598" s="787">
        <v>8.89</v>
      </c>
      <c r="M2598" s="787">
        <v>10</v>
      </c>
      <c r="N2598" s="787">
        <v>11.15</v>
      </c>
      <c r="O2598" s="788">
        <v>42083</v>
      </c>
    </row>
    <row r="2599" spans="1:15" x14ac:dyDescent="0.25">
      <c r="A2599" s="786" t="s">
        <v>5442</v>
      </c>
      <c r="B2599" s="787">
        <v>4</v>
      </c>
      <c r="C2599" s="787" t="s">
        <v>5443</v>
      </c>
      <c r="D2599" s="787">
        <v>0.04</v>
      </c>
      <c r="E2599" s="787">
        <v>10.52</v>
      </c>
      <c r="F2599" s="788">
        <v>39975</v>
      </c>
      <c r="G2599" s="788">
        <v>39975</v>
      </c>
      <c r="H2599" s="787">
        <v>1</v>
      </c>
      <c r="I2599" s="788">
        <v>38959</v>
      </c>
      <c r="J2599" s="788">
        <v>39101</v>
      </c>
      <c r="L2599" s="787">
        <v>8.89</v>
      </c>
      <c r="M2599" s="787">
        <v>10</v>
      </c>
      <c r="N2599" s="787">
        <v>11.15</v>
      </c>
      <c r="O2599" s="788">
        <v>42083</v>
      </c>
    </row>
    <row r="2600" spans="1:15" x14ac:dyDescent="0.25">
      <c r="A2600" s="786" t="s">
        <v>5444</v>
      </c>
      <c r="B2600" s="787">
        <v>4</v>
      </c>
      <c r="C2600" s="787" t="s">
        <v>5445</v>
      </c>
      <c r="D2600" s="787">
        <v>2.27</v>
      </c>
      <c r="E2600" s="787">
        <v>6.93</v>
      </c>
      <c r="F2600" s="788">
        <v>39456</v>
      </c>
      <c r="G2600" s="788">
        <v>42013</v>
      </c>
      <c r="H2600" s="787">
        <v>1</v>
      </c>
      <c r="I2600" s="788">
        <v>42132</v>
      </c>
      <c r="J2600" s="788">
        <v>41752</v>
      </c>
      <c r="L2600" s="787">
        <v>4.1399999999999997</v>
      </c>
      <c r="M2600" s="787">
        <v>10</v>
      </c>
      <c r="N2600" s="787">
        <v>4.41</v>
      </c>
      <c r="O2600" s="788">
        <v>42165</v>
      </c>
    </row>
    <row r="2601" spans="1:15" x14ac:dyDescent="0.25">
      <c r="A2601" s="786" t="s">
        <v>5446</v>
      </c>
      <c r="B2601" s="787">
        <v>4</v>
      </c>
      <c r="C2601" s="787" t="s">
        <v>5447</v>
      </c>
      <c r="D2601" s="787">
        <v>2.27</v>
      </c>
      <c r="E2601" s="787">
        <v>3.19</v>
      </c>
      <c r="F2601" s="788">
        <v>39456</v>
      </c>
      <c r="G2601" s="788">
        <v>42013</v>
      </c>
      <c r="H2601" s="787">
        <v>1</v>
      </c>
      <c r="I2601" s="788">
        <v>42132</v>
      </c>
      <c r="J2601" s="788">
        <v>41752</v>
      </c>
      <c r="L2601" s="787">
        <v>4.1399999999999997</v>
      </c>
      <c r="M2601" s="787">
        <v>10</v>
      </c>
      <c r="N2601" s="787">
        <v>4.41</v>
      </c>
      <c r="O2601" s="788">
        <v>42165</v>
      </c>
    </row>
    <row r="2602" spans="1:15" x14ac:dyDescent="0.25">
      <c r="A2602" s="786" t="s">
        <v>5448</v>
      </c>
      <c r="B2602" s="787">
        <v>4</v>
      </c>
      <c r="C2602" s="787" t="s">
        <v>5449</v>
      </c>
      <c r="D2602" s="787">
        <v>0.35</v>
      </c>
      <c r="E2602" s="787">
        <v>11.86</v>
      </c>
      <c r="F2602" s="788">
        <v>39975</v>
      </c>
      <c r="G2602" s="788">
        <v>39975</v>
      </c>
      <c r="H2602" s="787">
        <v>1</v>
      </c>
      <c r="I2602" s="788">
        <v>38902</v>
      </c>
      <c r="J2602" s="788">
        <v>39101</v>
      </c>
      <c r="L2602" s="787">
        <v>9.24</v>
      </c>
      <c r="M2602" s="787">
        <v>10</v>
      </c>
      <c r="N2602" s="787">
        <v>11.52</v>
      </c>
      <c r="O2602" s="788">
        <v>42082</v>
      </c>
    </row>
    <row r="2603" spans="1:15" x14ac:dyDescent="0.25">
      <c r="A2603" s="786" t="s">
        <v>5450</v>
      </c>
      <c r="B2603" s="787">
        <v>4</v>
      </c>
      <c r="C2603" s="787" t="s">
        <v>5451</v>
      </c>
      <c r="D2603" s="787">
        <v>0.35</v>
      </c>
      <c r="E2603" s="787">
        <v>11.29</v>
      </c>
      <c r="F2603" s="788">
        <v>39975</v>
      </c>
      <c r="G2603" s="788">
        <v>39975</v>
      </c>
      <c r="H2603" s="787">
        <v>1</v>
      </c>
      <c r="I2603" s="788">
        <v>38902</v>
      </c>
      <c r="J2603" s="788">
        <v>39101</v>
      </c>
      <c r="L2603" s="787">
        <v>9.24</v>
      </c>
      <c r="M2603" s="787">
        <v>10</v>
      </c>
      <c r="N2603" s="787">
        <v>11.52</v>
      </c>
      <c r="O2603" s="788">
        <v>42083</v>
      </c>
    </row>
    <row r="2604" spans="1:15" x14ac:dyDescent="0.25">
      <c r="A2604" s="786" t="s">
        <v>5452</v>
      </c>
      <c r="B2604" s="787">
        <v>4</v>
      </c>
      <c r="C2604" s="787" t="s">
        <v>5453</v>
      </c>
      <c r="D2604" s="787">
        <v>2.4500000000000002</v>
      </c>
      <c r="E2604" s="787">
        <v>3.69</v>
      </c>
      <c r="F2604" s="788">
        <v>39456</v>
      </c>
      <c r="G2604" s="788">
        <v>41943</v>
      </c>
      <c r="H2604" s="787">
        <v>1</v>
      </c>
      <c r="I2604" s="788">
        <v>42132</v>
      </c>
      <c r="J2604" s="788">
        <v>41711</v>
      </c>
      <c r="L2604" s="787">
        <v>4.3899999999999997</v>
      </c>
      <c r="M2604" s="787">
        <v>10</v>
      </c>
      <c r="N2604" s="787">
        <v>4.54</v>
      </c>
      <c r="O2604" s="788">
        <v>42165</v>
      </c>
    </row>
    <row r="2605" spans="1:15" x14ac:dyDescent="0.25">
      <c r="A2605" s="786" t="s">
        <v>5454</v>
      </c>
      <c r="B2605" s="787">
        <v>4</v>
      </c>
      <c r="C2605" s="787" t="s">
        <v>5455</v>
      </c>
      <c r="D2605" s="787">
        <v>1.05</v>
      </c>
      <c r="E2605" s="787">
        <v>4.7699999999999996</v>
      </c>
      <c r="F2605" s="788">
        <v>41775</v>
      </c>
      <c r="G2605" s="788">
        <v>41943</v>
      </c>
      <c r="H2605" s="787">
        <v>1</v>
      </c>
      <c r="I2605" s="788">
        <v>42132</v>
      </c>
      <c r="J2605" s="788">
        <v>41711</v>
      </c>
      <c r="L2605" s="787">
        <v>4.3899999999999997</v>
      </c>
      <c r="M2605" s="787">
        <v>10</v>
      </c>
      <c r="N2605" s="787">
        <v>5.44</v>
      </c>
      <c r="O2605" s="788">
        <v>42165</v>
      </c>
    </row>
    <row r="2606" spans="1:15" x14ac:dyDescent="0.25">
      <c r="A2606" s="786" t="s">
        <v>5456</v>
      </c>
      <c r="B2606" s="787">
        <v>4</v>
      </c>
      <c r="C2606" s="787" t="s">
        <v>5457</v>
      </c>
      <c r="D2606" s="787">
        <v>0</v>
      </c>
      <c r="E2606" s="787">
        <v>0</v>
      </c>
      <c r="H2606" s="787">
        <v>1</v>
      </c>
      <c r="I2606" s="788">
        <v>39002</v>
      </c>
      <c r="J2606" s="788">
        <v>39101</v>
      </c>
      <c r="L2606" s="787">
        <v>0</v>
      </c>
      <c r="M2606" s="787">
        <v>10</v>
      </c>
      <c r="N2606" s="787">
        <v>8.7799999999999994</v>
      </c>
      <c r="O2606" s="788">
        <v>42124</v>
      </c>
    </row>
    <row r="2607" spans="1:15" x14ac:dyDescent="0.25">
      <c r="A2607" s="786" t="s">
        <v>5458</v>
      </c>
      <c r="B2607" s="787">
        <v>4</v>
      </c>
      <c r="C2607" s="787" t="s">
        <v>5459</v>
      </c>
      <c r="D2607" s="787">
        <v>0</v>
      </c>
      <c r="E2607" s="787">
        <v>0</v>
      </c>
      <c r="H2607" s="787">
        <v>1</v>
      </c>
      <c r="I2607" s="788">
        <v>39002</v>
      </c>
      <c r="J2607" s="788">
        <v>39101</v>
      </c>
      <c r="L2607" s="787">
        <v>0</v>
      </c>
      <c r="M2607" s="787">
        <v>10</v>
      </c>
      <c r="N2607" s="787">
        <v>8.68</v>
      </c>
      <c r="O2607" s="788">
        <v>42124</v>
      </c>
    </row>
    <row r="2608" spans="1:15" x14ac:dyDescent="0.25">
      <c r="A2608" s="786" t="s">
        <v>5460</v>
      </c>
      <c r="B2608" s="787">
        <v>4</v>
      </c>
      <c r="C2608" s="787" t="s">
        <v>5461</v>
      </c>
      <c r="D2608" s="787">
        <v>1.77</v>
      </c>
      <c r="E2608" s="787">
        <v>1.77</v>
      </c>
      <c r="F2608" s="788">
        <v>39101</v>
      </c>
      <c r="G2608" s="788">
        <v>41943</v>
      </c>
      <c r="H2608" s="787">
        <v>1</v>
      </c>
      <c r="I2608" s="788">
        <v>41835</v>
      </c>
      <c r="J2608" s="788">
        <v>39149</v>
      </c>
      <c r="L2608" s="787">
        <v>2.77</v>
      </c>
      <c r="M2608" s="787">
        <v>10</v>
      </c>
      <c r="N2608" s="787">
        <v>1.8</v>
      </c>
      <c r="O2608" s="788">
        <v>42127</v>
      </c>
    </row>
    <row r="2609" spans="1:15" x14ac:dyDescent="0.25">
      <c r="A2609" s="786" t="s">
        <v>5462</v>
      </c>
      <c r="B2609" s="787">
        <v>4</v>
      </c>
      <c r="C2609" s="787" t="s">
        <v>5463</v>
      </c>
      <c r="D2609" s="787">
        <v>1.77</v>
      </c>
      <c r="E2609" s="787">
        <v>1.77</v>
      </c>
      <c r="F2609" s="788">
        <v>39101</v>
      </c>
      <c r="G2609" s="788">
        <v>41943</v>
      </c>
      <c r="H2609" s="787">
        <v>1</v>
      </c>
      <c r="I2609" s="788">
        <v>41835</v>
      </c>
      <c r="J2609" s="788">
        <v>39149</v>
      </c>
      <c r="L2609" s="787">
        <v>2.77</v>
      </c>
      <c r="M2609" s="787">
        <v>10</v>
      </c>
      <c r="N2609" s="787">
        <v>1.8</v>
      </c>
      <c r="O2609" s="788">
        <v>42127</v>
      </c>
    </row>
    <row r="2610" spans="1:15" x14ac:dyDescent="0.25">
      <c r="A2610" s="786" t="s">
        <v>5464</v>
      </c>
      <c r="B2610" s="787">
        <v>4</v>
      </c>
      <c r="C2610" s="787" t="s">
        <v>5465</v>
      </c>
      <c r="D2610" s="787">
        <v>0.37</v>
      </c>
      <c r="E2610" s="787">
        <v>1.36</v>
      </c>
      <c r="F2610" s="788">
        <v>39456</v>
      </c>
      <c r="G2610" s="788">
        <v>42061</v>
      </c>
      <c r="H2610" s="787">
        <v>1</v>
      </c>
      <c r="I2610" s="788">
        <v>42163</v>
      </c>
      <c r="J2610" s="788">
        <v>42032</v>
      </c>
      <c r="L2610" s="787">
        <v>0.83</v>
      </c>
      <c r="M2610" s="787">
        <v>10</v>
      </c>
      <c r="N2610" s="787">
        <v>2.2400000000000002</v>
      </c>
      <c r="O2610" s="788">
        <v>42163</v>
      </c>
    </row>
    <row r="2611" spans="1:15" x14ac:dyDescent="0.25">
      <c r="A2611" s="786" t="s">
        <v>5466</v>
      </c>
      <c r="B2611" s="787">
        <v>4</v>
      </c>
      <c r="C2611" s="787" t="s">
        <v>5467</v>
      </c>
      <c r="D2611" s="787">
        <v>0.43</v>
      </c>
      <c r="E2611" s="787">
        <v>2.25</v>
      </c>
      <c r="F2611" s="788">
        <v>39456</v>
      </c>
      <c r="G2611" s="788">
        <v>42150</v>
      </c>
      <c r="H2611" s="787">
        <v>1</v>
      </c>
      <c r="I2611" s="788">
        <v>42160</v>
      </c>
      <c r="J2611" s="788">
        <v>42150</v>
      </c>
      <c r="L2611" s="787">
        <v>1.39</v>
      </c>
      <c r="M2611" s="787">
        <v>10</v>
      </c>
      <c r="N2611" s="787">
        <v>3.64</v>
      </c>
      <c r="O2611" s="788">
        <v>42152</v>
      </c>
    </row>
    <row r="2612" spans="1:15" x14ac:dyDescent="0.25">
      <c r="A2612" s="786" t="s">
        <v>5468</v>
      </c>
      <c r="B2612" s="787">
        <v>4</v>
      </c>
      <c r="C2612" s="787" t="s">
        <v>5469</v>
      </c>
      <c r="D2612" s="787">
        <v>0.48</v>
      </c>
      <c r="E2612" s="787">
        <v>1.03</v>
      </c>
      <c r="F2612" s="788">
        <v>39456</v>
      </c>
      <c r="G2612" s="788">
        <v>42013</v>
      </c>
      <c r="H2612" s="787">
        <v>1</v>
      </c>
      <c r="I2612" s="788">
        <v>42132</v>
      </c>
      <c r="J2612" s="788">
        <v>40470</v>
      </c>
      <c r="L2612" s="787">
        <v>1.03</v>
      </c>
      <c r="M2612" s="787">
        <v>10</v>
      </c>
      <c r="N2612" s="787">
        <v>1.94</v>
      </c>
      <c r="O2612" s="788">
        <v>42152</v>
      </c>
    </row>
    <row r="2613" spans="1:15" x14ac:dyDescent="0.25">
      <c r="A2613" s="786" t="s">
        <v>5470</v>
      </c>
      <c r="B2613" s="787">
        <v>4</v>
      </c>
      <c r="C2613" s="787" t="s">
        <v>5471</v>
      </c>
      <c r="D2613" s="787">
        <v>0</v>
      </c>
      <c r="E2613" s="787">
        <v>0</v>
      </c>
      <c r="H2613" s="787">
        <v>1</v>
      </c>
      <c r="I2613" s="788">
        <v>38071</v>
      </c>
      <c r="L2613" s="787">
        <v>1.62</v>
      </c>
      <c r="M2613" s="787">
        <v>10</v>
      </c>
      <c r="N2613" s="787">
        <v>2.3199999999999998</v>
      </c>
      <c r="O2613" s="788">
        <v>42083</v>
      </c>
    </row>
    <row r="2614" spans="1:15" x14ac:dyDescent="0.25">
      <c r="A2614" s="786" t="s">
        <v>5472</v>
      </c>
      <c r="B2614" s="787">
        <v>4</v>
      </c>
      <c r="C2614" s="787" t="s">
        <v>5473</v>
      </c>
      <c r="D2614" s="787">
        <v>1.87</v>
      </c>
      <c r="E2614" s="787">
        <v>1.87</v>
      </c>
      <c r="F2614" s="788">
        <v>38047</v>
      </c>
      <c r="G2614" s="788">
        <v>38364</v>
      </c>
      <c r="H2614" s="787">
        <v>1</v>
      </c>
      <c r="I2614" s="788">
        <v>37844</v>
      </c>
      <c r="J2614" s="788">
        <v>38047</v>
      </c>
      <c r="L2614" s="787">
        <v>2.04</v>
      </c>
      <c r="M2614" s="787">
        <v>20</v>
      </c>
      <c r="N2614" s="787">
        <v>2.19</v>
      </c>
      <c r="O2614" s="788">
        <v>41858</v>
      </c>
    </row>
    <row r="2615" spans="1:15" x14ac:dyDescent="0.25">
      <c r="A2615" s="786" t="s">
        <v>5474</v>
      </c>
      <c r="B2615" s="787">
        <v>4</v>
      </c>
      <c r="C2615" s="787" t="s">
        <v>5475</v>
      </c>
      <c r="D2615" s="787">
        <v>4.51</v>
      </c>
      <c r="E2615" s="787">
        <v>4.51</v>
      </c>
      <c r="F2615" s="788">
        <v>38047</v>
      </c>
      <c r="G2615" s="788">
        <v>38047</v>
      </c>
      <c r="H2615" s="787">
        <v>6</v>
      </c>
      <c r="I2615" s="788">
        <v>37994</v>
      </c>
      <c r="J2615" s="788">
        <v>38047</v>
      </c>
      <c r="L2615" s="787">
        <v>4.92</v>
      </c>
      <c r="M2615" s="787">
        <v>20</v>
      </c>
      <c r="N2615" s="787">
        <v>4.8499999999999996</v>
      </c>
      <c r="O2615" s="788">
        <v>41815</v>
      </c>
    </row>
    <row r="2616" spans="1:15" x14ac:dyDescent="0.25">
      <c r="A2616" s="786" t="s">
        <v>5476</v>
      </c>
      <c r="B2616" s="787">
        <v>4</v>
      </c>
      <c r="C2616" s="787" t="s">
        <v>5477</v>
      </c>
      <c r="D2616" s="787">
        <v>0</v>
      </c>
      <c r="E2616" s="787">
        <v>0</v>
      </c>
      <c r="H2616" s="787">
        <v>1</v>
      </c>
      <c r="I2616" s="788">
        <v>38156</v>
      </c>
      <c r="L2616" s="787">
        <v>0.54</v>
      </c>
      <c r="M2616" s="787">
        <v>10</v>
      </c>
      <c r="N2616" s="787">
        <v>0.75</v>
      </c>
      <c r="O2616" s="788">
        <v>41858</v>
      </c>
    </row>
    <row r="2617" spans="1:15" x14ac:dyDescent="0.25">
      <c r="A2617" s="786" t="s">
        <v>5478</v>
      </c>
      <c r="B2617" s="787">
        <v>4</v>
      </c>
      <c r="C2617" s="787" t="s">
        <v>5479</v>
      </c>
      <c r="D2617" s="787">
        <v>0</v>
      </c>
      <c r="E2617" s="787">
        <v>0</v>
      </c>
      <c r="H2617" s="787">
        <v>6</v>
      </c>
      <c r="L2617" s="787">
        <v>1.24</v>
      </c>
      <c r="M2617" s="787">
        <v>10</v>
      </c>
      <c r="N2617" s="787">
        <v>1.2</v>
      </c>
      <c r="O2617" s="788">
        <v>41806</v>
      </c>
    </row>
    <row r="2618" spans="1:15" x14ac:dyDescent="0.25">
      <c r="A2618" s="786" t="s">
        <v>5480</v>
      </c>
      <c r="B2618" s="787">
        <v>4</v>
      </c>
      <c r="C2618" s="787" t="s">
        <v>5481</v>
      </c>
      <c r="D2618" s="787">
        <v>0</v>
      </c>
      <c r="E2618" s="787">
        <v>0</v>
      </c>
      <c r="G2618" s="788">
        <v>38364</v>
      </c>
      <c r="H2618" s="787">
        <v>6</v>
      </c>
      <c r="I2618" s="788">
        <v>38131</v>
      </c>
      <c r="J2618" s="788">
        <v>38114</v>
      </c>
      <c r="L2618" s="787">
        <v>1.43</v>
      </c>
      <c r="M2618" s="787">
        <v>10</v>
      </c>
      <c r="N2618" s="787">
        <v>0</v>
      </c>
      <c r="O2618" s="788">
        <v>40824</v>
      </c>
    </row>
    <row r="2619" spans="1:15" x14ac:dyDescent="0.25">
      <c r="A2619" s="786" t="s">
        <v>5482</v>
      </c>
      <c r="B2619" s="787">
        <v>4</v>
      </c>
      <c r="C2619" s="787" t="s">
        <v>5483</v>
      </c>
      <c r="D2619" s="787">
        <v>0</v>
      </c>
      <c r="E2619" s="787">
        <v>0</v>
      </c>
      <c r="G2619" s="788">
        <v>38364</v>
      </c>
      <c r="H2619" s="787">
        <v>6</v>
      </c>
      <c r="I2619" s="788">
        <v>38131</v>
      </c>
      <c r="J2619" s="788">
        <v>38736</v>
      </c>
      <c r="L2619" s="787">
        <v>0</v>
      </c>
      <c r="M2619" s="787">
        <v>10</v>
      </c>
      <c r="N2619" s="787">
        <v>0</v>
      </c>
      <c r="O2619" s="788">
        <v>40824</v>
      </c>
    </row>
    <row r="2620" spans="1:15" x14ac:dyDescent="0.25">
      <c r="A2620" s="786" t="s">
        <v>5484</v>
      </c>
      <c r="B2620" s="787">
        <v>4</v>
      </c>
      <c r="C2620" s="787" t="s">
        <v>5485</v>
      </c>
      <c r="D2620" s="787">
        <v>0</v>
      </c>
      <c r="E2620" s="787">
        <v>0</v>
      </c>
      <c r="G2620" s="788">
        <v>38364</v>
      </c>
      <c r="H2620" s="787">
        <v>6</v>
      </c>
      <c r="I2620" s="788">
        <v>38131</v>
      </c>
      <c r="J2620" s="788">
        <v>38110</v>
      </c>
      <c r="L2620" s="787">
        <v>0.23</v>
      </c>
      <c r="M2620" s="787">
        <v>10</v>
      </c>
      <c r="N2620" s="787">
        <v>0.23</v>
      </c>
      <c r="O2620" s="788">
        <v>39897</v>
      </c>
    </row>
    <row r="2621" spans="1:15" x14ac:dyDescent="0.25">
      <c r="A2621" s="786" t="s">
        <v>5486</v>
      </c>
      <c r="B2621" s="787">
        <v>4</v>
      </c>
      <c r="C2621" s="787" t="s">
        <v>5487</v>
      </c>
      <c r="D2621" s="787">
        <v>0</v>
      </c>
      <c r="E2621" s="787">
        <v>0</v>
      </c>
      <c r="H2621" s="787">
        <v>1</v>
      </c>
      <c r="L2621" s="787">
        <v>0.48</v>
      </c>
      <c r="M2621" s="787">
        <v>10</v>
      </c>
      <c r="N2621" s="787">
        <v>0.74</v>
      </c>
      <c r="O2621" s="788">
        <v>41858</v>
      </c>
    </row>
    <row r="2622" spans="1:15" x14ac:dyDescent="0.25">
      <c r="A2622" s="786" t="s">
        <v>5488</v>
      </c>
      <c r="B2622" s="787">
        <v>4</v>
      </c>
      <c r="C2622" s="787" t="s">
        <v>5489</v>
      </c>
      <c r="D2622" s="787">
        <v>0</v>
      </c>
      <c r="E2622" s="787">
        <v>0</v>
      </c>
      <c r="H2622" s="787">
        <v>6</v>
      </c>
      <c r="I2622" s="788">
        <v>38131</v>
      </c>
      <c r="L2622" s="787">
        <v>0.48</v>
      </c>
      <c r="M2622" s="787">
        <v>10</v>
      </c>
      <c r="N2622" s="787">
        <v>0.7</v>
      </c>
      <c r="O2622" s="788">
        <v>41806</v>
      </c>
    </row>
    <row r="2623" spans="1:15" x14ac:dyDescent="0.25">
      <c r="A2623" s="786" t="s">
        <v>5490</v>
      </c>
      <c r="B2623" s="787">
        <v>4</v>
      </c>
      <c r="C2623" s="787" t="s">
        <v>5491</v>
      </c>
      <c r="D2623" s="787">
        <v>0</v>
      </c>
      <c r="E2623" s="787">
        <v>0</v>
      </c>
      <c r="H2623" s="787">
        <v>6</v>
      </c>
      <c r="I2623" s="788">
        <v>38156</v>
      </c>
      <c r="L2623" s="787">
        <v>0.48</v>
      </c>
      <c r="M2623" s="787">
        <v>10</v>
      </c>
      <c r="N2623" s="787">
        <v>0.7</v>
      </c>
      <c r="O2623" s="788">
        <v>41806</v>
      </c>
    </row>
    <row r="2624" spans="1:15" x14ac:dyDescent="0.25">
      <c r="A2624" s="786" t="s">
        <v>5492</v>
      </c>
      <c r="B2624" s="787">
        <v>4</v>
      </c>
      <c r="C2624" s="787" t="s">
        <v>5493</v>
      </c>
      <c r="D2624" s="787">
        <v>1.56</v>
      </c>
      <c r="E2624" s="787">
        <v>3.2</v>
      </c>
      <c r="F2624" s="788">
        <v>41913</v>
      </c>
      <c r="G2624" s="788">
        <v>42150</v>
      </c>
      <c r="H2624" s="787">
        <v>1</v>
      </c>
      <c r="I2624" s="788">
        <v>42160</v>
      </c>
      <c r="J2624" s="788">
        <v>42121</v>
      </c>
      <c r="L2624" s="787">
        <v>0.77</v>
      </c>
      <c r="M2624" s="787">
        <v>10</v>
      </c>
      <c r="N2624" s="787">
        <v>3.19</v>
      </c>
      <c r="O2624" s="788">
        <v>42152</v>
      </c>
    </row>
    <row r="2625" spans="1:15" x14ac:dyDescent="0.25">
      <c r="A2625" s="786" t="s">
        <v>5494</v>
      </c>
      <c r="B2625" s="787">
        <v>4</v>
      </c>
      <c r="C2625" s="787" t="s">
        <v>5495</v>
      </c>
      <c r="D2625" s="787">
        <v>0.01</v>
      </c>
      <c r="E2625" s="787">
        <v>1.62</v>
      </c>
      <c r="F2625" s="788">
        <v>39975</v>
      </c>
      <c r="G2625" s="788">
        <v>42013</v>
      </c>
      <c r="H2625" s="787">
        <v>1</v>
      </c>
      <c r="I2625" s="788">
        <v>42165</v>
      </c>
      <c r="J2625" s="788">
        <v>41506</v>
      </c>
      <c r="L2625" s="787">
        <v>0.5</v>
      </c>
      <c r="M2625" s="787">
        <v>10</v>
      </c>
      <c r="N2625" s="787">
        <v>3.4</v>
      </c>
      <c r="O2625" s="788">
        <v>42152</v>
      </c>
    </row>
    <row r="2626" spans="1:15" x14ac:dyDescent="0.25">
      <c r="A2626" s="786" t="s">
        <v>5496</v>
      </c>
      <c r="B2626" s="787">
        <v>4</v>
      </c>
      <c r="C2626" s="787" t="s">
        <v>5497</v>
      </c>
      <c r="D2626" s="787">
        <v>0</v>
      </c>
      <c r="E2626" s="787">
        <v>0</v>
      </c>
      <c r="H2626" s="787">
        <v>1</v>
      </c>
      <c r="I2626" s="788">
        <v>40008</v>
      </c>
      <c r="J2626" s="788">
        <v>39101</v>
      </c>
      <c r="L2626" s="787">
        <v>13.24</v>
      </c>
      <c r="M2626" s="787">
        <v>10</v>
      </c>
      <c r="N2626" s="787">
        <v>18.489999999999998</v>
      </c>
      <c r="O2626" s="788">
        <v>41858</v>
      </c>
    </row>
    <row r="2627" spans="1:15" x14ac:dyDescent="0.25">
      <c r="A2627" s="786" t="s">
        <v>5498</v>
      </c>
      <c r="B2627" s="787">
        <v>4</v>
      </c>
      <c r="C2627" s="787" t="s">
        <v>5499</v>
      </c>
      <c r="D2627" s="787">
        <v>0.66</v>
      </c>
      <c r="E2627" s="787">
        <v>0.66</v>
      </c>
      <c r="F2627" s="788">
        <v>39456</v>
      </c>
      <c r="G2627" s="788">
        <v>40178</v>
      </c>
      <c r="H2627" s="787">
        <v>1</v>
      </c>
      <c r="I2627" s="788">
        <v>39974</v>
      </c>
      <c r="J2627" s="788">
        <v>39209</v>
      </c>
      <c r="L2627" s="787">
        <v>0.73</v>
      </c>
      <c r="M2627" s="787">
        <v>10</v>
      </c>
      <c r="N2627" s="787">
        <v>1.01</v>
      </c>
      <c r="O2627" s="788">
        <v>41858</v>
      </c>
    </row>
    <row r="2628" spans="1:15" x14ac:dyDescent="0.25">
      <c r="A2628" s="786" t="s">
        <v>5500</v>
      </c>
      <c r="B2628" s="787">
        <v>4</v>
      </c>
      <c r="C2628" s="787" t="s">
        <v>5501</v>
      </c>
      <c r="D2628" s="787">
        <v>0</v>
      </c>
      <c r="E2628" s="787">
        <v>0</v>
      </c>
      <c r="H2628" s="787">
        <v>1</v>
      </c>
      <c r="L2628" s="787">
        <v>0.42</v>
      </c>
      <c r="M2628" s="787">
        <v>10</v>
      </c>
      <c r="N2628" s="787">
        <v>0.78</v>
      </c>
      <c r="O2628" s="788">
        <v>41955</v>
      </c>
    </row>
    <row r="2629" spans="1:15" x14ac:dyDescent="0.25">
      <c r="A2629" s="786" t="s">
        <v>5502</v>
      </c>
      <c r="B2629" s="787">
        <v>4</v>
      </c>
      <c r="C2629" s="787" t="s">
        <v>5503</v>
      </c>
      <c r="D2629" s="787">
        <v>0.76</v>
      </c>
      <c r="E2629" s="787">
        <v>0.76</v>
      </c>
      <c r="F2629" s="788">
        <v>39456</v>
      </c>
      <c r="G2629" s="788">
        <v>40886</v>
      </c>
      <c r="H2629" s="787">
        <v>6</v>
      </c>
      <c r="I2629" s="788">
        <v>40896</v>
      </c>
      <c r="J2629" s="788">
        <v>40886</v>
      </c>
      <c r="L2629" s="787">
        <v>9.73</v>
      </c>
      <c r="M2629" s="787">
        <v>10</v>
      </c>
      <c r="N2629" s="787">
        <v>6.29</v>
      </c>
      <c r="O2629" s="788">
        <v>41786</v>
      </c>
    </row>
    <row r="2630" spans="1:15" x14ac:dyDescent="0.25">
      <c r="A2630" s="786" t="s">
        <v>5504</v>
      </c>
      <c r="B2630" s="787">
        <v>4</v>
      </c>
      <c r="C2630" s="787" t="s">
        <v>5505</v>
      </c>
      <c r="D2630" s="787">
        <v>0.4</v>
      </c>
      <c r="E2630" s="787">
        <v>7.64</v>
      </c>
      <c r="F2630" s="788">
        <v>39456</v>
      </c>
      <c r="G2630" s="788">
        <v>41943</v>
      </c>
      <c r="H2630" s="787">
        <v>1</v>
      </c>
      <c r="I2630" s="788">
        <v>41514</v>
      </c>
      <c r="J2630" s="788">
        <v>41318</v>
      </c>
      <c r="L2630" s="787">
        <v>2.1800000000000002</v>
      </c>
      <c r="M2630" s="787">
        <v>10</v>
      </c>
      <c r="N2630" s="787">
        <v>7.83</v>
      </c>
      <c r="O2630" s="788">
        <v>41858</v>
      </c>
    </row>
    <row r="2631" spans="1:15" x14ac:dyDescent="0.25">
      <c r="A2631" s="786" t="s">
        <v>5506</v>
      </c>
      <c r="B2631" s="787">
        <v>4</v>
      </c>
      <c r="C2631" s="787" t="s">
        <v>5507</v>
      </c>
      <c r="D2631" s="787">
        <v>0</v>
      </c>
      <c r="E2631" s="787">
        <v>0</v>
      </c>
      <c r="H2631" s="787">
        <v>1</v>
      </c>
      <c r="L2631" s="787">
        <v>1.02</v>
      </c>
      <c r="M2631" s="787">
        <v>10</v>
      </c>
      <c r="N2631" s="787">
        <v>2</v>
      </c>
      <c r="O2631" s="788">
        <v>41858</v>
      </c>
    </row>
    <row r="2632" spans="1:15" x14ac:dyDescent="0.25">
      <c r="A2632" s="786" t="s">
        <v>5508</v>
      </c>
      <c r="B2632" s="787">
        <v>4</v>
      </c>
      <c r="C2632" s="787" t="s">
        <v>5509</v>
      </c>
      <c r="D2632" s="787">
        <v>0</v>
      </c>
      <c r="E2632" s="787">
        <v>0</v>
      </c>
      <c r="G2632" s="788">
        <v>38364</v>
      </c>
      <c r="H2632" s="787">
        <v>1</v>
      </c>
      <c r="I2632" s="788">
        <v>38736</v>
      </c>
      <c r="J2632" s="788">
        <v>38736</v>
      </c>
      <c r="L2632" s="787">
        <v>1.1599999999999999</v>
      </c>
      <c r="M2632" s="787">
        <v>10</v>
      </c>
      <c r="N2632" s="787">
        <v>2.35</v>
      </c>
      <c r="O2632" s="788">
        <v>41858</v>
      </c>
    </row>
    <row r="2633" spans="1:15" x14ac:dyDescent="0.25">
      <c r="A2633" s="786" t="s">
        <v>5510</v>
      </c>
      <c r="B2633" s="787">
        <v>4</v>
      </c>
      <c r="C2633" s="787" t="s">
        <v>5511</v>
      </c>
      <c r="D2633" s="787">
        <v>3.18</v>
      </c>
      <c r="E2633" s="787">
        <v>3.18</v>
      </c>
      <c r="F2633" s="788">
        <v>39975</v>
      </c>
      <c r="G2633" s="788">
        <v>39975</v>
      </c>
      <c r="H2633" s="787">
        <v>1</v>
      </c>
      <c r="I2633" s="788">
        <v>41018</v>
      </c>
      <c r="J2633" s="788">
        <v>39101</v>
      </c>
      <c r="L2633" s="787">
        <v>4.09</v>
      </c>
      <c r="M2633" s="787">
        <v>10</v>
      </c>
      <c r="N2633" s="787">
        <v>3.53</v>
      </c>
      <c r="O2633" s="788">
        <v>42124</v>
      </c>
    </row>
    <row r="2634" spans="1:15" x14ac:dyDescent="0.25">
      <c r="A2634" s="786" t="s">
        <v>5512</v>
      </c>
      <c r="B2634" s="787">
        <v>4</v>
      </c>
      <c r="C2634" s="787" t="s">
        <v>5513</v>
      </c>
      <c r="D2634" s="787">
        <v>0.28999999999999998</v>
      </c>
      <c r="E2634" s="787">
        <v>1.69</v>
      </c>
      <c r="F2634" s="788">
        <v>39456</v>
      </c>
      <c r="G2634" s="788">
        <v>41943</v>
      </c>
      <c r="H2634" s="787">
        <v>1</v>
      </c>
      <c r="I2634" s="788">
        <v>39974</v>
      </c>
      <c r="J2634" s="788">
        <v>41360</v>
      </c>
      <c r="L2634" s="787">
        <v>1.1299999999999999</v>
      </c>
      <c r="M2634" s="787">
        <v>10</v>
      </c>
      <c r="N2634" s="787">
        <v>2.37</v>
      </c>
      <c r="O2634" s="788">
        <v>42124</v>
      </c>
    </row>
    <row r="2635" spans="1:15" x14ac:dyDescent="0.25">
      <c r="A2635" s="786" t="s">
        <v>5514</v>
      </c>
      <c r="B2635" s="787">
        <v>4</v>
      </c>
      <c r="C2635" s="787" t="s">
        <v>5515</v>
      </c>
      <c r="D2635" s="787">
        <v>0.28999999999999998</v>
      </c>
      <c r="E2635" s="787">
        <v>1.69</v>
      </c>
      <c r="F2635" s="788">
        <v>39456</v>
      </c>
      <c r="G2635" s="788">
        <v>41943</v>
      </c>
      <c r="H2635" s="787">
        <v>1</v>
      </c>
      <c r="I2635" s="788">
        <v>41218</v>
      </c>
      <c r="J2635" s="788">
        <v>41360</v>
      </c>
      <c r="L2635" s="787">
        <v>1.1299999999999999</v>
      </c>
      <c r="M2635" s="787">
        <v>10</v>
      </c>
      <c r="N2635" s="787">
        <v>2.37</v>
      </c>
      <c r="O2635" s="788">
        <v>42124</v>
      </c>
    </row>
    <row r="2636" spans="1:15" x14ac:dyDescent="0.25">
      <c r="A2636" s="786" t="s">
        <v>5516</v>
      </c>
      <c r="B2636" s="787">
        <v>4</v>
      </c>
      <c r="C2636" s="787" t="s">
        <v>5517</v>
      </c>
      <c r="D2636" s="787">
        <v>0</v>
      </c>
      <c r="E2636" s="787">
        <v>0</v>
      </c>
      <c r="H2636" s="787">
        <v>1</v>
      </c>
      <c r="L2636" s="787">
        <v>0</v>
      </c>
      <c r="M2636" s="787">
        <v>10</v>
      </c>
      <c r="N2636" s="787">
        <v>8.08</v>
      </c>
      <c r="O2636" s="788">
        <v>41869</v>
      </c>
    </row>
    <row r="2637" spans="1:15" x14ac:dyDescent="0.25">
      <c r="A2637" s="786" t="s">
        <v>5518</v>
      </c>
      <c r="B2637" s="787">
        <v>4</v>
      </c>
      <c r="C2637" s="787" t="s">
        <v>5519</v>
      </c>
      <c r="D2637" s="787">
        <v>4.34</v>
      </c>
      <c r="E2637" s="787">
        <v>4.34</v>
      </c>
      <c r="F2637" s="788">
        <v>39975</v>
      </c>
      <c r="G2637" s="788">
        <v>41703</v>
      </c>
      <c r="H2637" s="787">
        <v>1</v>
      </c>
      <c r="I2637" s="788">
        <v>41696</v>
      </c>
      <c r="J2637" s="788">
        <v>41703</v>
      </c>
      <c r="K2637" s="788">
        <v>41689</v>
      </c>
      <c r="L2637" s="787">
        <v>9.0500000000000007</v>
      </c>
      <c r="M2637" s="787">
        <v>10</v>
      </c>
      <c r="N2637" s="787">
        <v>8.91</v>
      </c>
      <c r="O2637" s="788">
        <v>41858</v>
      </c>
    </row>
    <row r="2638" spans="1:15" x14ac:dyDescent="0.25">
      <c r="A2638" s="786" t="s">
        <v>5520</v>
      </c>
      <c r="B2638" s="787">
        <v>4</v>
      </c>
      <c r="C2638" s="787" t="s">
        <v>5519</v>
      </c>
      <c r="D2638" s="787">
        <v>3.35</v>
      </c>
      <c r="E2638" s="787">
        <v>4.87</v>
      </c>
      <c r="F2638" s="788">
        <v>39975</v>
      </c>
      <c r="G2638" s="788">
        <v>41982</v>
      </c>
      <c r="H2638" s="787">
        <v>1</v>
      </c>
      <c r="I2638" s="788">
        <v>41982</v>
      </c>
      <c r="J2638" s="788">
        <v>41982</v>
      </c>
      <c r="K2638" s="788">
        <v>41982</v>
      </c>
      <c r="L2638" s="787">
        <v>8.01</v>
      </c>
      <c r="M2638" s="787">
        <v>10</v>
      </c>
      <c r="N2638" s="787">
        <v>8.01</v>
      </c>
      <c r="O2638" s="788">
        <v>42164</v>
      </c>
    </row>
    <row r="2639" spans="1:15" x14ac:dyDescent="0.25">
      <c r="A2639" s="786" t="s">
        <v>5521</v>
      </c>
      <c r="B2639" s="787">
        <v>4</v>
      </c>
      <c r="C2639" s="787" t="s">
        <v>5522</v>
      </c>
      <c r="D2639" s="787">
        <v>0.3</v>
      </c>
      <c r="E2639" s="787">
        <v>4.0999999999999996</v>
      </c>
      <c r="F2639" s="788">
        <v>39456</v>
      </c>
      <c r="G2639" s="788">
        <v>42013</v>
      </c>
      <c r="H2639" s="787">
        <v>1</v>
      </c>
      <c r="I2639" s="788">
        <v>39974</v>
      </c>
      <c r="J2639" s="788">
        <v>41864</v>
      </c>
      <c r="K2639" s="788">
        <v>41863</v>
      </c>
      <c r="L2639" s="787">
        <v>2.36</v>
      </c>
      <c r="M2639" s="787">
        <v>10</v>
      </c>
      <c r="N2639" s="787">
        <v>2.34</v>
      </c>
      <c r="O2639" s="788">
        <v>41863</v>
      </c>
    </row>
    <row r="2640" spans="1:15" x14ac:dyDescent="0.25">
      <c r="A2640" s="786" t="s">
        <v>5523</v>
      </c>
      <c r="B2640" s="787">
        <v>4</v>
      </c>
      <c r="C2640" s="787" t="s">
        <v>5524</v>
      </c>
      <c r="D2640" s="787">
        <v>0.16</v>
      </c>
      <c r="E2640" s="787">
        <v>2.83</v>
      </c>
      <c r="F2640" s="788">
        <v>39975</v>
      </c>
      <c r="G2640" s="788">
        <v>41943</v>
      </c>
      <c r="H2640" s="787">
        <v>1</v>
      </c>
      <c r="I2640" s="788">
        <v>41618</v>
      </c>
      <c r="J2640" s="788">
        <v>41725</v>
      </c>
      <c r="L2640" s="787">
        <v>1.42</v>
      </c>
      <c r="M2640" s="787">
        <v>10</v>
      </c>
      <c r="N2640" s="787">
        <v>3.19</v>
      </c>
      <c r="O2640" s="788">
        <v>41858</v>
      </c>
    </row>
    <row r="2641" spans="1:15" x14ac:dyDescent="0.25">
      <c r="A2641" s="786" t="s">
        <v>5525</v>
      </c>
      <c r="B2641" s="787">
        <v>4</v>
      </c>
      <c r="C2641" s="787" t="s">
        <v>5526</v>
      </c>
      <c r="D2641" s="787">
        <v>1.75</v>
      </c>
      <c r="E2641" s="787">
        <v>2.65</v>
      </c>
      <c r="F2641" s="788">
        <v>39975</v>
      </c>
      <c r="G2641" s="788">
        <v>42013</v>
      </c>
      <c r="H2641" s="787">
        <v>1</v>
      </c>
      <c r="I2641" s="788">
        <v>42160</v>
      </c>
      <c r="J2641" s="788">
        <v>41758</v>
      </c>
      <c r="L2641" s="787">
        <v>0</v>
      </c>
      <c r="M2641" s="787">
        <v>10</v>
      </c>
      <c r="N2641" s="787">
        <v>3.01</v>
      </c>
      <c r="O2641" s="788">
        <v>42152</v>
      </c>
    </row>
    <row r="2642" spans="1:15" x14ac:dyDescent="0.25">
      <c r="A2642" s="786" t="s">
        <v>5527</v>
      </c>
      <c r="B2642" s="787">
        <v>4</v>
      </c>
      <c r="C2642" s="787" t="s">
        <v>5517</v>
      </c>
      <c r="D2642" s="787">
        <v>0</v>
      </c>
      <c r="E2642" s="787">
        <v>0</v>
      </c>
      <c r="H2642" s="787">
        <v>1</v>
      </c>
      <c r="L2642" s="787">
        <v>0</v>
      </c>
      <c r="M2642" s="787">
        <v>10</v>
      </c>
      <c r="N2642" s="787">
        <v>8.08</v>
      </c>
      <c r="O2642" s="788">
        <v>41869</v>
      </c>
    </row>
    <row r="2643" spans="1:15" x14ac:dyDescent="0.25">
      <c r="A2643" s="786" t="s">
        <v>5528</v>
      </c>
      <c r="B2643" s="787">
        <v>4</v>
      </c>
      <c r="C2643" s="787" t="s">
        <v>5529</v>
      </c>
      <c r="D2643" s="787">
        <v>7.24</v>
      </c>
      <c r="E2643" s="787">
        <v>9.64</v>
      </c>
      <c r="F2643" s="788">
        <v>41883</v>
      </c>
      <c r="G2643" s="788">
        <v>42150</v>
      </c>
      <c r="H2643" s="787">
        <v>1</v>
      </c>
      <c r="I2643" s="788">
        <v>42165</v>
      </c>
      <c r="J2643" s="788">
        <v>42132</v>
      </c>
      <c r="K2643" s="788">
        <v>42020</v>
      </c>
      <c r="L2643" s="787">
        <v>8.6199999999999992</v>
      </c>
      <c r="M2643" s="787">
        <v>20</v>
      </c>
      <c r="N2643" s="787">
        <v>9.27</v>
      </c>
      <c r="O2643" s="788">
        <v>42164</v>
      </c>
    </row>
    <row r="2644" spans="1:15" x14ac:dyDescent="0.25">
      <c r="A2644" s="786" t="s">
        <v>5530</v>
      </c>
      <c r="B2644" s="787">
        <v>4</v>
      </c>
      <c r="C2644" s="787" t="s">
        <v>5531</v>
      </c>
      <c r="D2644" s="787">
        <v>6.73</v>
      </c>
      <c r="E2644" s="787">
        <v>12.13</v>
      </c>
      <c r="F2644" s="788">
        <v>41831</v>
      </c>
      <c r="G2644" s="788">
        <v>42150</v>
      </c>
      <c r="H2644" s="787">
        <v>1</v>
      </c>
      <c r="I2644" s="788">
        <v>42165</v>
      </c>
      <c r="J2644" s="788">
        <v>42132</v>
      </c>
      <c r="K2644" s="788">
        <v>42020</v>
      </c>
      <c r="L2644" s="787">
        <v>11.15</v>
      </c>
      <c r="M2644" s="787">
        <v>20</v>
      </c>
      <c r="N2644" s="787">
        <v>11.99</v>
      </c>
      <c r="O2644" s="788">
        <v>42164</v>
      </c>
    </row>
    <row r="2645" spans="1:15" x14ac:dyDescent="0.25">
      <c r="A2645" s="786" t="s">
        <v>5532</v>
      </c>
      <c r="B2645" s="787">
        <v>4</v>
      </c>
      <c r="C2645" s="787" t="s">
        <v>5533</v>
      </c>
      <c r="D2645" s="787">
        <v>2.5299999999999998</v>
      </c>
      <c r="E2645" s="787">
        <v>4.05</v>
      </c>
      <c r="F2645" s="788">
        <v>41579</v>
      </c>
      <c r="G2645" s="788">
        <v>42159</v>
      </c>
      <c r="H2645" s="787">
        <v>1</v>
      </c>
      <c r="I2645" s="788">
        <v>42164</v>
      </c>
      <c r="J2645" s="788">
        <v>42159</v>
      </c>
      <c r="K2645" s="788">
        <v>41410</v>
      </c>
      <c r="L2645" s="787">
        <v>5.84</v>
      </c>
      <c r="M2645" s="787">
        <v>10</v>
      </c>
      <c r="N2645" s="787">
        <v>5.58</v>
      </c>
      <c r="O2645" s="788">
        <v>42164</v>
      </c>
    </row>
    <row r="2646" spans="1:15" x14ac:dyDescent="0.25">
      <c r="A2646" s="786" t="s">
        <v>5534</v>
      </c>
      <c r="B2646" s="787">
        <v>4</v>
      </c>
      <c r="C2646" s="787" t="s">
        <v>5535</v>
      </c>
      <c r="D2646" s="787">
        <v>1.91</v>
      </c>
      <c r="E2646" s="787">
        <v>2.87</v>
      </c>
      <c r="F2646" s="788">
        <v>39975</v>
      </c>
      <c r="G2646" s="788">
        <v>42013</v>
      </c>
      <c r="H2646" s="787">
        <v>1</v>
      </c>
      <c r="I2646" s="788">
        <v>42159</v>
      </c>
      <c r="J2646" s="788">
        <v>41330</v>
      </c>
      <c r="K2646" s="788">
        <v>41654</v>
      </c>
      <c r="L2646" s="787">
        <v>4.22</v>
      </c>
      <c r="M2646" s="787">
        <v>10</v>
      </c>
      <c r="N2646" s="787">
        <v>4.18</v>
      </c>
      <c r="O2646" s="788">
        <v>42152</v>
      </c>
    </row>
    <row r="2647" spans="1:15" x14ac:dyDescent="0.25">
      <c r="A2647" s="786" t="s">
        <v>5536</v>
      </c>
      <c r="B2647" s="787">
        <v>4</v>
      </c>
      <c r="C2647" s="787" t="s">
        <v>5535</v>
      </c>
      <c r="D2647" s="787">
        <v>1.91</v>
      </c>
      <c r="E2647" s="787">
        <v>12.06</v>
      </c>
      <c r="F2647" s="788">
        <v>39975</v>
      </c>
      <c r="G2647" s="788">
        <v>42101</v>
      </c>
      <c r="H2647" s="787">
        <v>1</v>
      </c>
      <c r="I2647" s="788">
        <v>42160</v>
      </c>
      <c r="J2647" s="788">
        <v>42068</v>
      </c>
      <c r="K2647" s="788">
        <v>41569</v>
      </c>
      <c r="L2647" s="787">
        <v>2.5299999999999998</v>
      </c>
      <c r="M2647" s="787">
        <v>10</v>
      </c>
      <c r="N2647" s="787">
        <v>3.69</v>
      </c>
      <c r="O2647" s="788">
        <v>42152</v>
      </c>
    </row>
    <row r="2648" spans="1:15" x14ac:dyDescent="0.25">
      <c r="A2648" s="786" t="s">
        <v>5537</v>
      </c>
      <c r="B2648" s="787">
        <v>4</v>
      </c>
      <c r="C2648" s="787" t="s">
        <v>5538</v>
      </c>
      <c r="D2648" s="787">
        <v>1.34</v>
      </c>
      <c r="E2648" s="787">
        <v>1.98</v>
      </c>
      <c r="F2648" s="788">
        <v>41855</v>
      </c>
      <c r="G2648" s="788">
        <v>42164</v>
      </c>
      <c r="H2648" s="787">
        <v>1</v>
      </c>
      <c r="I2648" s="788">
        <v>42164</v>
      </c>
      <c r="J2648" s="788">
        <v>42164</v>
      </c>
      <c r="K2648" s="788">
        <v>41160</v>
      </c>
      <c r="L2648" s="787">
        <v>3.13</v>
      </c>
      <c r="M2648" s="787">
        <v>10</v>
      </c>
      <c r="N2648" s="787">
        <v>2.82</v>
      </c>
      <c r="O2648" s="788">
        <v>42144</v>
      </c>
    </row>
    <row r="2649" spans="1:15" x14ac:dyDescent="0.25">
      <c r="A2649" s="786" t="s">
        <v>5539</v>
      </c>
      <c r="B2649" s="787">
        <v>4</v>
      </c>
      <c r="C2649" s="787" t="s">
        <v>5540</v>
      </c>
      <c r="D2649" s="787">
        <v>7.0000000000000007E-2</v>
      </c>
      <c r="E2649" s="787">
        <v>0.57999999999999996</v>
      </c>
      <c r="F2649" s="788">
        <v>41775</v>
      </c>
      <c r="G2649" s="788">
        <v>42166</v>
      </c>
      <c r="H2649" s="787">
        <v>1</v>
      </c>
      <c r="I2649" s="788">
        <v>42164</v>
      </c>
      <c r="J2649" s="788">
        <v>42137</v>
      </c>
      <c r="K2649" s="788">
        <v>41345</v>
      </c>
      <c r="L2649" s="787">
        <v>1.85</v>
      </c>
      <c r="M2649" s="787">
        <v>10</v>
      </c>
      <c r="N2649" s="787">
        <v>1.1299999999999999</v>
      </c>
      <c r="O2649" s="788">
        <v>42144</v>
      </c>
    </row>
    <row r="2650" spans="1:15" x14ac:dyDescent="0.25">
      <c r="A2650" s="786" t="s">
        <v>5541</v>
      </c>
      <c r="B2650" s="787">
        <v>4</v>
      </c>
      <c r="C2650" s="787" t="s">
        <v>5542</v>
      </c>
      <c r="D2650" s="787">
        <v>3.46</v>
      </c>
      <c r="E2650" s="787">
        <v>3.46</v>
      </c>
      <c r="F2650" s="788">
        <v>41775</v>
      </c>
      <c r="G2650" s="788">
        <v>42013</v>
      </c>
      <c r="H2650" s="787">
        <v>1</v>
      </c>
      <c r="I2650" s="788">
        <v>42165</v>
      </c>
      <c r="J2650" s="788">
        <v>41682</v>
      </c>
      <c r="K2650" s="788">
        <v>41160</v>
      </c>
      <c r="L2650" s="787">
        <v>2.81</v>
      </c>
      <c r="M2650" s="787">
        <v>10</v>
      </c>
      <c r="N2650" s="787">
        <v>2.65</v>
      </c>
      <c r="O2650" s="788">
        <v>42152</v>
      </c>
    </row>
    <row r="2651" spans="1:15" x14ac:dyDescent="0.25">
      <c r="A2651" s="786" t="s">
        <v>5543</v>
      </c>
      <c r="B2651" s="787">
        <v>4</v>
      </c>
      <c r="C2651" s="787" t="s">
        <v>5544</v>
      </c>
      <c r="D2651" s="787">
        <v>7.53</v>
      </c>
      <c r="E2651" s="787">
        <v>17.53</v>
      </c>
      <c r="F2651" s="788">
        <v>41775</v>
      </c>
      <c r="G2651" s="788">
        <v>41943</v>
      </c>
      <c r="H2651" s="787">
        <v>1</v>
      </c>
      <c r="I2651" s="788">
        <v>41891</v>
      </c>
      <c r="J2651" s="788">
        <v>41597</v>
      </c>
      <c r="K2651" s="788">
        <v>41018</v>
      </c>
      <c r="L2651" s="787">
        <v>25</v>
      </c>
      <c r="M2651" s="787">
        <v>10</v>
      </c>
      <c r="N2651" s="787">
        <v>24.38</v>
      </c>
      <c r="O2651" s="788">
        <v>42152</v>
      </c>
    </row>
    <row r="2652" spans="1:15" x14ac:dyDescent="0.25">
      <c r="A2652" s="786" t="s">
        <v>5545</v>
      </c>
      <c r="B2652" s="787">
        <v>4</v>
      </c>
      <c r="C2652" s="787" t="s">
        <v>5544</v>
      </c>
      <c r="D2652" s="787">
        <v>5.09</v>
      </c>
      <c r="E2652" s="787">
        <v>15.09</v>
      </c>
      <c r="F2652" s="788">
        <v>41775</v>
      </c>
      <c r="G2652" s="788">
        <v>42013</v>
      </c>
      <c r="H2652" s="787">
        <v>1</v>
      </c>
      <c r="I2652" s="788">
        <v>41957</v>
      </c>
      <c r="J2652" s="788">
        <v>41597</v>
      </c>
      <c r="K2652" s="788">
        <v>41018</v>
      </c>
      <c r="L2652" s="787">
        <v>20.93</v>
      </c>
      <c r="M2652" s="787">
        <v>10</v>
      </c>
      <c r="N2652" s="787">
        <v>20.77</v>
      </c>
      <c r="O2652" s="788">
        <v>42152</v>
      </c>
    </row>
    <row r="2653" spans="1:15" x14ac:dyDescent="0.25">
      <c r="A2653" s="786" t="s">
        <v>609</v>
      </c>
      <c r="B2653" s="787">
        <v>4</v>
      </c>
      <c r="C2653" s="787" t="s">
        <v>5546</v>
      </c>
      <c r="D2653" s="787">
        <v>1.45</v>
      </c>
      <c r="E2653" s="787">
        <v>1.89</v>
      </c>
      <c r="F2653" s="788">
        <v>40333</v>
      </c>
      <c r="G2653" s="788">
        <v>42150</v>
      </c>
      <c r="H2653" s="787">
        <v>1</v>
      </c>
      <c r="I2653" s="788">
        <v>42166</v>
      </c>
      <c r="J2653" s="788">
        <v>42136</v>
      </c>
      <c r="K2653" s="788">
        <v>40954</v>
      </c>
      <c r="L2653" s="787">
        <v>1.8</v>
      </c>
      <c r="M2653" s="787">
        <v>20</v>
      </c>
      <c r="N2653" s="787">
        <v>1.94</v>
      </c>
      <c r="O2653" s="788">
        <v>42152</v>
      </c>
    </row>
    <row r="2654" spans="1:15" x14ac:dyDescent="0.25">
      <c r="A2654" s="786" t="s">
        <v>5547</v>
      </c>
      <c r="B2654" s="787">
        <v>4</v>
      </c>
      <c r="C2654" s="787" t="s">
        <v>5548</v>
      </c>
      <c r="D2654" s="787">
        <v>3.7</v>
      </c>
      <c r="E2654" s="787">
        <v>6.33</v>
      </c>
      <c r="F2654" s="788">
        <v>41920</v>
      </c>
      <c r="G2654" s="788">
        <v>42152</v>
      </c>
      <c r="H2654" s="787">
        <v>1</v>
      </c>
      <c r="I2654" s="788">
        <v>42165</v>
      </c>
      <c r="J2654" s="788">
        <v>42152</v>
      </c>
      <c r="K2654" s="788">
        <v>41388</v>
      </c>
      <c r="L2654" s="787">
        <v>6.18</v>
      </c>
      <c r="M2654" s="787">
        <v>10</v>
      </c>
      <c r="N2654" s="787">
        <v>6.2</v>
      </c>
      <c r="O2654" s="788">
        <v>42152</v>
      </c>
    </row>
    <row r="2655" spans="1:15" x14ac:dyDescent="0.25">
      <c r="A2655" s="786" t="s">
        <v>5549</v>
      </c>
      <c r="B2655" s="787">
        <v>4</v>
      </c>
      <c r="C2655" s="787" t="s">
        <v>5548</v>
      </c>
      <c r="D2655" s="787">
        <v>0.65</v>
      </c>
      <c r="E2655" s="787">
        <v>0.65</v>
      </c>
      <c r="F2655" s="788">
        <v>42135</v>
      </c>
      <c r="G2655" s="788">
        <v>42152</v>
      </c>
      <c r="H2655" s="787">
        <v>1</v>
      </c>
      <c r="I2655" s="788">
        <v>42151</v>
      </c>
      <c r="J2655" s="788">
        <v>42152</v>
      </c>
      <c r="K2655" s="788">
        <v>41289</v>
      </c>
      <c r="L2655" s="787">
        <v>2.08</v>
      </c>
      <c r="M2655" s="787">
        <v>10</v>
      </c>
      <c r="N2655" s="787">
        <v>3.59</v>
      </c>
      <c r="O2655" s="788">
        <v>42152</v>
      </c>
    </row>
    <row r="2656" spans="1:15" x14ac:dyDescent="0.25">
      <c r="A2656" s="786" t="s">
        <v>5550</v>
      </c>
      <c r="B2656" s="787">
        <v>4</v>
      </c>
      <c r="C2656" s="787" t="s">
        <v>5551</v>
      </c>
      <c r="D2656" s="787">
        <v>0.32</v>
      </c>
      <c r="E2656" s="787">
        <v>2.59</v>
      </c>
      <c r="F2656" s="788">
        <v>40948</v>
      </c>
      <c r="G2656" s="788">
        <v>42152</v>
      </c>
      <c r="H2656" s="787">
        <v>1</v>
      </c>
      <c r="I2656" s="788">
        <v>42151</v>
      </c>
      <c r="J2656" s="788">
        <v>42152</v>
      </c>
      <c r="K2656" s="788">
        <v>41328</v>
      </c>
      <c r="L2656" s="787">
        <v>0.53</v>
      </c>
      <c r="M2656" s="787">
        <v>10</v>
      </c>
      <c r="N2656" s="787">
        <v>1.7</v>
      </c>
      <c r="O2656" s="788">
        <v>42163</v>
      </c>
    </row>
    <row r="2657" spans="1:15" x14ac:dyDescent="0.25">
      <c r="A2657" s="786" t="s">
        <v>5552</v>
      </c>
      <c r="B2657" s="787">
        <v>4</v>
      </c>
      <c r="C2657" s="787" t="s">
        <v>5553</v>
      </c>
      <c r="D2657" s="787">
        <v>0.4</v>
      </c>
      <c r="E2657" s="787">
        <v>2.31</v>
      </c>
      <c r="F2657" s="788">
        <v>40644</v>
      </c>
      <c r="G2657" s="788">
        <v>42152</v>
      </c>
      <c r="H2657" s="787">
        <v>1</v>
      </c>
      <c r="I2657" s="788">
        <v>42164</v>
      </c>
      <c r="J2657" s="788">
        <v>42152</v>
      </c>
      <c r="K2657" s="788">
        <v>41394</v>
      </c>
      <c r="L2657" s="787">
        <v>1.88</v>
      </c>
      <c r="M2657" s="787">
        <v>10</v>
      </c>
      <c r="N2657" s="787">
        <v>4.97</v>
      </c>
      <c r="O2657" s="788">
        <v>42144</v>
      </c>
    </row>
    <row r="2658" spans="1:15" x14ac:dyDescent="0.25">
      <c r="A2658" s="786" t="s">
        <v>5554</v>
      </c>
      <c r="B2658" s="787">
        <v>4</v>
      </c>
      <c r="C2658" s="787" t="s">
        <v>5555</v>
      </c>
      <c r="D2658" s="787">
        <v>0.39</v>
      </c>
      <c r="E2658" s="787">
        <v>0.47</v>
      </c>
      <c r="F2658" s="788">
        <v>40332</v>
      </c>
      <c r="G2658" s="788">
        <v>42016</v>
      </c>
      <c r="H2658" s="787">
        <v>1</v>
      </c>
      <c r="I2658" s="788">
        <v>42160</v>
      </c>
      <c r="J2658" s="788">
        <v>42016</v>
      </c>
      <c r="K2658" s="788">
        <v>41421</v>
      </c>
      <c r="L2658" s="787">
        <v>0.47</v>
      </c>
      <c r="M2658" s="787">
        <v>20</v>
      </c>
      <c r="N2658" s="787">
        <v>0.51</v>
      </c>
      <c r="O2658" s="788">
        <v>42144</v>
      </c>
    </row>
    <row r="2659" spans="1:15" x14ac:dyDescent="0.25">
      <c r="A2659" s="786" t="s">
        <v>5556</v>
      </c>
      <c r="B2659" s="787">
        <v>4</v>
      </c>
      <c r="C2659" s="787" t="s">
        <v>5557</v>
      </c>
      <c r="D2659" s="787">
        <v>0.39</v>
      </c>
      <c r="E2659" s="787">
        <v>0.46</v>
      </c>
      <c r="F2659" s="788">
        <v>40332</v>
      </c>
      <c r="G2659" s="788">
        <v>42016</v>
      </c>
      <c r="H2659" s="787">
        <v>1</v>
      </c>
      <c r="I2659" s="788">
        <v>42160</v>
      </c>
      <c r="J2659" s="788">
        <v>42016</v>
      </c>
      <c r="K2659" s="788">
        <v>41421</v>
      </c>
      <c r="L2659" s="787">
        <v>0.46</v>
      </c>
      <c r="M2659" s="787">
        <v>20</v>
      </c>
      <c r="N2659" s="787">
        <v>0.49</v>
      </c>
      <c r="O2659" s="788">
        <v>42144</v>
      </c>
    </row>
    <row r="2660" spans="1:15" x14ac:dyDescent="0.25">
      <c r="A2660" s="786" t="s">
        <v>5558</v>
      </c>
      <c r="B2660" s="787">
        <v>4</v>
      </c>
      <c r="C2660" s="787" t="s">
        <v>5559</v>
      </c>
      <c r="D2660" s="787">
        <v>0.32</v>
      </c>
      <c r="E2660" s="787">
        <v>0.44</v>
      </c>
      <c r="F2660" s="788">
        <v>40332</v>
      </c>
      <c r="G2660" s="788">
        <v>42016</v>
      </c>
      <c r="H2660" s="787">
        <v>1</v>
      </c>
      <c r="I2660" s="788">
        <v>42160</v>
      </c>
      <c r="J2660" s="788">
        <v>42016</v>
      </c>
      <c r="K2660" s="788">
        <v>41421</v>
      </c>
      <c r="L2660" s="787">
        <v>0.44</v>
      </c>
      <c r="M2660" s="787">
        <v>20</v>
      </c>
      <c r="N2660" s="787">
        <v>0.47</v>
      </c>
      <c r="O2660" s="788">
        <v>42144</v>
      </c>
    </row>
    <row r="2661" spans="1:15" x14ac:dyDescent="0.25">
      <c r="A2661" s="786" t="s">
        <v>5560</v>
      </c>
      <c r="B2661" s="787">
        <v>4</v>
      </c>
      <c r="C2661" s="787" t="s">
        <v>5561</v>
      </c>
      <c r="D2661" s="787">
        <v>5.12</v>
      </c>
      <c r="E2661" s="787">
        <v>25.19</v>
      </c>
      <c r="F2661" s="788">
        <v>40948</v>
      </c>
      <c r="G2661" s="788">
        <v>42013</v>
      </c>
      <c r="H2661" s="787">
        <v>1</v>
      </c>
      <c r="I2661" s="788">
        <v>41942</v>
      </c>
      <c r="J2661" s="788">
        <v>41975</v>
      </c>
      <c r="K2661" s="788">
        <v>41160</v>
      </c>
      <c r="L2661" s="787">
        <v>6.39</v>
      </c>
      <c r="M2661" s="787">
        <v>10</v>
      </c>
      <c r="N2661" s="787">
        <v>4.59</v>
      </c>
      <c r="O2661" s="788">
        <v>42144</v>
      </c>
    </row>
    <row r="2662" spans="1:15" x14ac:dyDescent="0.25">
      <c r="A2662" s="786" t="s">
        <v>5562</v>
      </c>
      <c r="B2662" s="787">
        <v>4</v>
      </c>
      <c r="C2662" s="787" t="s">
        <v>5561</v>
      </c>
      <c r="D2662" s="787">
        <v>0.63</v>
      </c>
      <c r="E2662" s="787">
        <v>1.03</v>
      </c>
      <c r="F2662" s="788">
        <v>41813</v>
      </c>
      <c r="G2662" s="788">
        <v>42018</v>
      </c>
      <c r="H2662" s="787">
        <v>1</v>
      </c>
      <c r="I2662" s="788">
        <v>41942</v>
      </c>
      <c r="J2662" s="788">
        <v>41975</v>
      </c>
      <c r="K2662" s="788">
        <v>41160</v>
      </c>
      <c r="L2662" s="787">
        <v>5.75</v>
      </c>
      <c r="M2662" s="787">
        <v>10</v>
      </c>
      <c r="N2662" s="787">
        <v>4.59</v>
      </c>
      <c r="O2662" s="788">
        <v>42144</v>
      </c>
    </row>
    <row r="2663" spans="1:15" x14ac:dyDescent="0.25">
      <c r="A2663" s="786" t="s">
        <v>5563</v>
      </c>
      <c r="B2663" s="787">
        <v>4</v>
      </c>
      <c r="C2663" s="787" t="s">
        <v>5564</v>
      </c>
      <c r="D2663" s="787">
        <v>1.0900000000000001</v>
      </c>
      <c r="E2663" s="787">
        <v>3.26</v>
      </c>
      <c r="F2663" s="788">
        <v>41579</v>
      </c>
      <c r="G2663" s="788">
        <v>42135</v>
      </c>
      <c r="H2663" s="787">
        <v>1</v>
      </c>
      <c r="I2663" s="788">
        <v>42165</v>
      </c>
      <c r="J2663" s="788">
        <v>42103</v>
      </c>
      <c r="K2663" s="788">
        <v>41940</v>
      </c>
      <c r="L2663" s="787">
        <v>3.76</v>
      </c>
      <c r="M2663" s="787">
        <v>10</v>
      </c>
      <c r="N2663" s="787">
        <v>3.76</v>
      </c>
      <c r="O2663" s="788">
        <v>42152</v>
      </c>
    </row>
    <row r="2664" spans="1:15" x14ac:dyDescent="0.25">
      <c r="A2664" s="786" t="s">
        <v>5565</v>
      </c>
      <c r="B2664" s="787">
        <v>4</v>
      </c>
      <c r="C2664" s="787" t="s">
        <v>5566</v>
      </c>
      <c r="D2664" s="787">
        <v>1.53</v>
      </c>
      <c r="E2664" s="787">
        <v>2.5</v>
      </c>
      <c r="F2664" s="788">
        <v>41209</v>
      </c>
      <c r="G2664" s="788">
        <v>42152</v>
      </c>
      <c r="H2664" s="787">
        <v>1</v>
      </c>
      <c r="I2664" s="788">
        <v>42163</v>
      </c>
      <c r="J2664" s="788">
        <v>42152</v>
      </c>
      <c r="K2664" s="788">
        <v>41160</v>
      </c>
      <c r="L2664" s="787">
        <v>1.93</v>
      </c>
      <c r="M2664" s="787">
        <v>10</v>
      </c>
      <c r="N2664" s="787">
        <v>3.95</v>
      </c>
      <c r="O2664" s="788">
        <v>42152</v>
      </c>
    </row>
    <row r="2665" spans="1:15" x14ac:dyDescent="0.25">
      <c r="A2665" s="786" t="s">
        <v>5567</v>
      </c>
      <c r="B2665" s="787">
        <v>4</v>
      </c>
      <c r="C2665" s="787" t="s">
        <v>5568</v>
      </c>
      <c r="D2665" s="787">
        <v>0.84</v>
      </c>
      <c r="E2665" s="787">
        <v>1.1299999999999999</v>
      </c>
      <c r="F2665" s="788">
        <v>41813</v>
      </c>
      <c r="G2665" s="788">
        <v>42144</v>
      </c>
      <c r="H2665" s="787">
        <v>1</v>
      </c>
      <c r="I2665" s="788">
        <v>42165</v>
      </c>
      <c r="J2665" s="788">
        <v>42144</v>
      </c>
      <c r="K2665" s="788">
        <v>41160</v>
      </c>
      <c r="L2665" s="787">
        <v>2.9</v>
      </c>
      <c r="M2665" s="787">
        <v>10</v>
      </c>
      <c r="N2665" s="787">
        <v>2.75</v>
      </c>
      <c r="O2665" s="788">
        <v>42152</v>
      </c>
    </row>
    <row r="2666" spans="1:15" x14ac:dyDescent="0.25">
      <c r="A2666" s="786" t="s">
        <v>5569</v>
      </c>
      <c r="B2666" s="787">
        <v>4</v>
      </c>
      <c r="C2666" s="787" t="s">
        <v>5570</v>
      </c>
      <c r="D2666" s="787">
        <v>0.88</v>
      </c>
      <c r="E2666" s="787">
        <v>1.5</v>
      </c>
      <c r="F2666" s="788">
        <v>41613</v>
      </c>
      <c r="G2666" s="788">
        <v>42166</v>
      </c>
      <c r="H2666" s="787">
        <v>1</v>
      </c>
      <c r="I2666" s="788">
        <v>42165</v>
      </c>
      <c r="J2666" s="788">
        <v>42160</v>
      </c>
      <c r="K2666" s="788">
        <v>41940</v>
      </c>
      <c r="L2666" s="787">
        <v>3.55</v>
      </c>
      <c r="M2666" s="787">
        <v>10</v>
      </c>
      <c r="N2666" s="787">
        <v>3.55</v>
      </c>
      <c r="O2666" s="788">
        <v>42152</v>
      </c>
    </row>
    <row r="2667" spans="1:15" x14ac:dyDescent="0.25">
      <c r="A2667" s="786" t="s">
        <v>5571</v>
      </c>
      <c r="B2667" s="787">
        <v>4</v>
      </c>
      <c r="C2667" s="787" t="s">
        <v>5570</v>
      </c>
      <c r="D2667" s="787">
        <v>0</v>
      </c>
      <c r="E2667" s="787">
        <v>0</v>
      </c>
      <c r="H2667" s="787">
        <v>1</v>
      </c>
      <c r="I2667" s="788">
        <v>40687</v>
      </c>
      <c r="K2667" s="788">
        <v>41160</v>
      </c>
      <c r="L2667" s="787">
        <v>2.46</v>
      </c>
      <c r="M2667" s="787">
        <v>10</v>
      </c>
      <c r="N2667" s="787">
        <v>2.33</v>
      </c>
      <c r="O2667" s="788">
        <v>41858</v>
      </c>
    </row>
    <row r="2668" spans="1:15" x14ac:dyDescent="0.25">
      <c r="A2668" s="786" t="s">
        <v>5572</v>
      </c>
      <c r="B2668" s="787">
        <v>4</v>
      </c>
      <c r="C2668" s="787" t="s">
        <v>5570</v>
      </c>
      <c r="D2668" s="787">
        <v>1.29</v>
      </c>
      <c r="E2668" s="787">
        <v>2.4900000000000002</v>
      </c>
      <c r="F2668" s="788">
        <v>41548</v>
      </c>
      <c r="G2668" s="788">
        <v>42157</v>
      </c>
      <c r="H2668" s="787">
        <v>1</v>
      </c>
      <c r="I2668" s="788">
        <v>42165</v>
      </c>
      <c r="J2668" s="788">
        <v>42157</v>
      </c>
      <c r="K2668" s="788">
        <v>41160</v>
      </c>
      <c r="L2668" s="787">
        <v>2.71</v>
      </c>
      <c r="M2668" s="787">
        <v>10</v>
      </c>
      <c r="N2668" s="787">
        <v>3.44</v>
      </c>
      <c r="O2668" s="788">
        <v>42152</v>
      </c>
    </row>
    <row r="2669" spans="1:15" x14ac:dyDescent="0.25">
      <c r="A2669" s="786" t="s">
        <v>5573</v>
      </c>
      <c r="B2669" s="787">
        <v>4</v>
      </c>
      <c r="C2669" s="787" t="s">
        <v>5574</v>
      </c>
      <c r="D2669" s="787">
        <v>0</v>
      </c>
      <c r="E2669" s="787">
        <v>0</v>
      </c>
      <c r="H2669" s="787">
        <v>1</v>
      </c>
      <c r="I2669" s="788">
        <v>42165</v>
      </c>
      <c r="K2669" s="788">
        <v>41160</v>
      </c>
      <c r="L2669" s="787">
        <v>28.28</v>
      </c>
      <c r="M2669" s="787">
        <v>10</v>
      </c>
      <c r="N2669" s="787">
        <v>7.45</v>
      </c>
      <c r="O2669" s="788">
        <v>41858</v>
      </c>
    </row>
    <row r="2670" spans="1:15" x14ac:dyDescent="0.25">
      <c r="A2670" s="786" t="s">
        <v>5575</v>
      </c>
      <c r="B2670" s="787">
        <v>4</v>
      </c>
      <c r="C2670" s="787" t="s">
        <v>5576</v>
      </c>
      <c r="D2670" s="787">
        <v>0</v>
      </c>
      <c r="E2670" s="787">
        <v>0</v>
      </c>
      <c r="H2670" s="787">
        <v>1</v>
      </c>
      <c r="I2670" s="788">
        <v>42026</v>
      </c>
      <c r="K2670" s="788">
        <v>41160</v>
      </c>
      <c r="L2670" s="787">
        <v>0.01</v>
      </c>
      <c r="M2670" s="787">
        <v>10</v>
      </c>
      <c r="N2670" s="787">
        <v>0</v>
      </c>
      <c r="O2670" s="788">
        <v>41858</v>
      </c>
    </row>
    <row r="2671" spans="1:15" x14ac:dyDescent="0.25">
      <c r="A2671" s="786" t="s">
        <v>5577</v>
      </c>
      <c r="B2671" s="787">
        <v>4</v>
      </c>
      <c r="C2671" s="787" t="s">
        <v>5578</v>
      </c>
      <c r="D2671" s="787">
        <v>0</v>
      </c>
      <c r="E2671" s="787">
        <v>0</v>
      </c>
      <c r="H2671" s="787">
        <v>1</v>
      </c>
      <c r="I2671" s="788">
        <v>41982</v>
      </c>
      <c r="K2671" s="788">
        <v>41160</v>
      </c>
      <c r="L2671" s="787">
        <v>0.01</v>
      </c>
      <c r="M2671" s="787">
        <v>10</v>
      </c>
      <c r="N2671" s="787">
        <v>0</v>
      </c>
      <c r="O2671" s="788">
        <v>42136</v>
      </c>
    </row>
    <row r="2672" spans="1:15" x14ac:dyDescent="0.25">
      <c r="A2672" s="786" t="s">
        <v>5579</v>
      </c>
      <c r="B2672" s="787">
        <v>4</v>
      </c>
      <c r="C2672" s="787" t="s">
        <v>5580</v>
      </c>
      <c r="D2672" s="787">
        <v>0</v>
      </c>
      <c r="E2672" s="787">
        <v>0</v>
      </c>
      <c r="H2672" s="787">
        <v>1</v>
      </c>
      <c r="I2672" s="788">
        <v>42026</v>
      </c>
      <c r="K2672" s="788">
        <v>41160</v>
      </c>
      <c r="L2672" s="787">
        <v>0.01</v>
      </c>
      <c r="M2672" s="787">
        <v>10</v>
      </c>
      <c r="N2672" s="787">
        <v>0</v>
      </c>
      <c r="O2672" s="788">
        <v>41858</v>
      </c>
    </row>
    <row r="2673" spans="1:15" x14ac:dyDescent="0.25">
      <c r="A2673" s="786" t="s">
        <v>5581</v>
      </c>
      <c r="B2673" s="787">
        <v>4</v>
      </c>
      <c r="C2673" s="787" t="s">
        <v>5582</v>
      </c>
      <c r="D2673" s="787">
        <v>2.86</v>
      </c>
      <c r="E2673" s="787">
        <v>3.31</v>
      </c>
      <c r="F2673" s="788">
        <v>40644</v>
      </c>
      <c r="G2673" s="788">
        <v>42132</v>
      </c>
      <c r="H2673" s="787">
        <v>1</v>
      </c>
      <c r="I2673" s="788">
        <v>42164</v>
      </c>
      <c r="J2673" s="788">
        <v>42101</v>
      </c>
      <c r="K2673" s="788">
        <v>41464</v>
      </c>
      <c r="L2673" s="787">
        <v>5.5</v>
      </c>
      <c r="M2673" s="787">
        <v>10</v>
      </c>
      <c r="N2673" s="787">
        <v>5.32</v>
      </c>
      <c r="O2673" s="788">
        <v>41858</v>
      </c>
    </row>
    <row r="2674" spans="1:15" x14ac:dyDescent="0.25">
      <c r="A2674" s="786" t="s">
        <v>5583</v>
      </c>
      <c r="B2674" s="787">
        <v>4</v>
      </c>
      <c r="C2674" s="787" t="s">
        <v>5582</v>
      </c>
      <c r="D2674" s="787">
        <v>2.86</v>
      </c>
      <c r="E2674" s="787">
        <v>3.87</v>
      </c>
      <c r="F2674" s="788">
        <v>40644</v>
      </c>
      <c r="G2674" s="788">
        <v>42132</v>
      </c>
      <c r="H2674" s="787">
        <v>1</v>
      </c>
      <c r="I2674" s="788">
        <v>42164</v>
      </c>
      <c r="J2674" s="788">
        <v>42101</v>
      </c>
      <c r="K2674" s="788">
        <v>41464</v>
      </c>
      <c r="L2674" s="787">
        <v>5.5</v>
      </c>
      <c r="M2674" s="787">
        <v>10</v>
      </c>
      <c r="N2674" s="787">
        <v>5.32</v>
      </c>
      <c r="O2674" s="788">
        <v>41858</v>
      </c>
    </row>
    <row r="2675" spans="1:15" x14ac:dyDescent="0.25">
      <c r="A2675" s="786" t="s">
        <v>5584</v>
      </c>
      <c r="B2675" s="787">
        <v>4</v>
      </c>
      <c r="C2675" s="787" t="s">
        <v>5582</v>
      </c>
      <c r="D2675" s="787">
        <v>2.87</v>
      </c>
      <c r="E2675" s="787">
        <v>5.1100000000000003</v>
      </c>
      <c r="F2675" s="788">
        <v>41548</v>
      </c>
      <c r="G2675" s="788">
        <v>42150</v>
      </c>
      <c r="H2675" s="787">
        <v>1</v>
      </c>
      <c r="I2675" s="788">
        <v>42163</v>
      </c>
      <c r="J2675" s="788">
        <v>42145</v>
      </c>
      <c r="K2675" s="788">
        <v>41278</v>
      </c>
      <c r="L2675" s="787">
        <v>3.23</v>
      </c>
      <c r="M2675" s="787">
        <v>10</v>
      </c>
      <c r="N2675" s="787">
        <v>3.73</v>
      </c>
      <c r="O2675" s="788">
        <v>42144</v>
      </c>
    </row>
    <row r="2676" spans="1:15" x14ac:dyDescent="0.25">
      <c r="A2676" s="786" t="s">
        <v>5585</v>
      </c>
      <c r="B2676" s="787">
        <v>4</v>
      </c>
      <c r="C2676" s="787" t="s">
        <v>5582</v>
      </c>
      <c r="D2676" s="787">
        <v>2.59</v>
      </c>
      <c r="E2676" s="787">
        <v>8.7100000000000009</v>
      </c>
      <c r="F2676" s="788">
        <v>41383</v>
      </c>
      <c r="G2676" s="788">
        <v>42150</v>
      </c>
      <c r="H2676" s="787">
        <v>1</v>
      </c>
      <c r="I2676" s="788">
        <v>42163</v>
      </c>
      <c r="J2676" s="788">
        <v>42145</v>
      </c>
      <c r="K2676" s="788">
        <v>41278</v>
      </c>
      <c r="L2676" s="787">
        <v>3.23</v>
      </c>
      <c r="M2676" s="787">
        <v>10</v>
      </c>
      <c r="N2676" s="787">
        <v>3.73</v>
      </c>
      <c r="O2676" s="788">
        <v>42144</v>
      </c>
    </row>
    <row r="2677" spans="1:15" x14ac:dyDescent="0.25">
      <c r="A2677" s="786" t="s">
        <v>5586</v>
      </c>
      <c r="B2677" s="787">
        <v>4</v>
      </c>
      <c r="C2677" s="787" t="s">
        <v>5582</v>
      </c>
      <c r="D2677" s="787">
        <v>1.95</v>
      </c>
      <c r="E2677" s="787">
        <v>9.32</v>
      </c>
      <c r="F2677" s="788">
        <v>40644</v>
      </c>
      <c r="G2677" s="788">
        <v>42159</v>
      </c>
      <c r="H2677" s="787">
        <v>1</v>
      </c>
      <c r="I2677" s="788">
        <v>42163</v>
      </c>
      <c r="J2677" s="788">
        <v>42143</v>
      </c>
      <c r="K2677" s="788">
        <v>41373</v>
      </c>
      <c r="L2677" s="787">
        <v>6.33</v>
      </c>
      <c r="M2677" s="787">
        <v>10</v>
      </c>
      <c r="N2677" s="787">
        <v>4.72</v>
      </c>
      <c r="O2677" s="788">
        <v>42144</v>
      </c>
    </row>
    <row r="2678" spans="1:15" x14ac:dyDescent="0.25">
      <c r="A2678" s="786" t="s">
        <v>5587</v>
      </c>
      <c r="B2678" s="787">
        <v>4</v>
      </c>
      <c r="C2678" s="787" t="s">
        <v>5582</v>
      </c>
      <c r="D2678" s="787">
        <v>2.68</v>
      </c>
      <c r="E2678" s="787">
        <v>3.55</v>
      </c>
      <c r="F2678" s="788">
        <v>40948</v>
      </c>
      <c r="G2678" s="788">
        <v>42136</v>
      </c>
      <c r="H2678" s="787">
        <v>1</v>
      </c>
      <c r="I2678" s="788">
        <v>42163</v>
      </c>
      <c r="J2678" s="788">
        <v>42137</v>
      </c>
      <c r="K2678" s="788">
        <v>41278</v>
      </c>
      <c r="L2678" s="787">
        <v>3.3</v>
      </c>
      <c r="M2678" s="787">
        <v>10</v>
      </c>
      <c r="N2678" s="787">
        <v>3.99</v>
      </c>
      <c r="O2678" s="788">
        <v>42144</v>
      </c>
    </row>
    <row r="2679" spans="1:15" x14ac:dyDescent="0.25">
      <c r="A2679" s="786" t="s">
        <v>5588</v>
      </c>
      <c r="B2679" s="787">
        <v>4</v>
      </c>
      <c r="C2679" s="787" t="s">
        <v>5582</v>
      </c>
      <c r="D2679" s="787">
        <v>3.3</v>
      </c>
      <c r="E2679" s="787">
        <v>8.7899999999999991</v>
      </c>
      <c r="F2679" s="788">
        <v>40644</v>
      </c>
      <c r="G2679" s="788">
        <v>42142</v>
      </c>
      <c r="H2679" s="787">
        <v>1</v>
      </c>
      <c r="I2679" s="788">
        <v>42164</v>
      </c>
      <c r="J2679" s="788">
        <v>42142</v>
      </c>
      <c r="K2679" s="788">
        <v>41347</v>
      </c>
      <c r="L2679" s="787">
        <v>3.23</v>
      </c>
      <c r="M2679" s="787">
        <v>10</v>
      </c>
      <c r="N2679" s="787">
        <v>5.0599999999999996</v>
      </c>
      <c r="O2679" s="788">
        <v>42144</v>
      </c>
    </row>
    <row r="2680" spans="1:15" x14ac:dyDescent="0.25">
      <c r="A2680" s="786" t="s">
        <v>5589</v>
      </c>
      <c r="B2680" s="787">
        <v>4</v>
      </c>
      <c r="C2680" s="787" t="s">
        <v>5582</v>
      </c>
      <c r="D2680" s="787">
        <v>3.3</v>
      </c>
      <c r="E2680" s="787">
        <v>5.26</v>
      </c>
      <c r="F2680" s="788">
        <v>40644</v>
      </c>
      <c r="G2680" s="788">
        <v>42142</v>
      </c>
      <c r="H2680" s="787">
        <v>1</v>
      </c>
      <c r="I2680" s="788">
        <v>42164</v>
      </c>
      <c r="J2680" s="788">
        <v>42142</v>
      </c>
      <c r="K2680" s="788">
        <v>41347</v>
      </c>
      <c r="L2680" s="787">
        <v>3.84</v>
      </c>
      <c r="M2680" s="787">
        <v>10</v>
      </c>
      <c r="N2680" s="787">
        <v>5.0599999999999996</v>
      </c>
      <c r="O2680" s="788">
        <v>42144</v>
      </c>
    </row>
    <row r="2681" spans="1:15" x14ac:dyDescent="0.25">
      <c r="A2681" s="786" t="s">
        <v>5590</v>
      </c>
      <c r="B2681" s="787">
        <v>4</v>
      </c>
      <c r="C2681" s="787" t="s">
        <v>5582</v>
      </c>
      <c r="D2681" s="787">
        <v>3.14</v>
      </c>
      <c r="E2681" s="787">
        <v>3.14</v>
      </c>
      <c r="F2681" s="788">
        <v>42095</v>
      </c>
      <c r="G2681" s="788">
        <v>42137</v>
      </c>
      <c r="H2681" s="787">
        <v>1</v>
      </c>
      <c r="I2681" s="788">
        <v>42163</v>
      </c>
      <c r="J2681" s="788">
        <v>42137</v>
      </c>
      <c r="K2681" s="788">
        <v>41354</v>
      </c>
      <c r="L2681" s="787">
        <v>7.19</v>
      </c>
      <c r="M2681" s="787">
        <v>10</v>
      </c>
      <c r="N2681" s="787">
        <v>4.82</v>
      </c>
      <c r="O2681" s="788">
        <v>42144</v>
      </c>
    </row>
    <row r="2682" spans="1:15" x14ac:dyDescent="0.25">
      <c r="A2682" s="786" t="s">
        <v>5591</v>
      </c>
      <c r="B2682" s="787">
        <v>4</v>
      </c>
      <c r="C2682" s="787" t="s">
        <v>5582</v>
      </c>
      <c r="D2682" s="787">
        <v>1.26</v>
      </c>
      <c r="E2682" s="787">
        <v>1.26</v>
      </c>
      <c r="F2682" s="788">
        <v>41806</v>
      </c>
      <c r="G2682" s="788">
        <v>42013</v>
      </c>
      <c r="H2682" s="787">
        <v>1</v>
      </c>
      <c r="I2682" s="788">
        <v>41942</v>
      </c>
      <c r="J2682" s="788">
        <v>41772</v>
      </c>
      <c r="K2682" s="788">
        <v>41688</v>
      </c>
      <c r="L2682" s="787">
        <v>0.56000000000000005</v>
      </c>
      <c r="M2682" s="787">
        <v>10</v>
      </c>
      <c r="N2682" s="787">
        <v>0.67</v>
      </c>
      <c r="O2682" s="788">
        <v>42144</v>
      </c>
    </row>
    <row r="2683" spans="1:15" x14ac:dyDescent="0.25">
      <c r="A2683" s="786" t="s">
        <v>5592</v>
      </c>
      <c r="B2683" s="787">
        <v>4</v>
      </c>
      <c r="C2683" s="787" t="s">
        <v>5582</v>
      </c>
      <c r="D2683" s="787">
        <v>0.65</v>
      </c>
      <c r="E2683" s="787">
        <v>2.2799999999999998</v>
      </c>
      <c r="F2683" s="788">
        <v>41548</v>
      </c>
      <c r="G2683" s="788">
        <v>42165</v>
      </c>
      <c r="H2683" s="787">
        <v>1</v>
      </c>
      <c r="I2683" s="788">
        <v>42143</v>
      </c>
      <c r="J2683" s="788">
        <v>42136</v>
      </c>
      <c r="K2683" s="788">
        <v>41437</v>
      </c>
      <c r="L2683" s="787">
        <v>1</v>
      </c>
      <c r="M2683" s="787">
        <v>10</v>
      </c>
      <c r="N2683" s="787">
        <v>3.62</v>
      </c>
      <c r="O2683" s="788">
        <v>42136</v>
      </c>
    </row>
    <row r="2684" spans="1:15" x14ac:dyDescent="0.25">
      <c r="A2684" s="786" t="s">
        <v>5593</v>
      </c>
      <c r="B2684" s="787">
        <v>4</v>
      </c>
      <c r="C2684" s="787" t="s">
        <v>5582</v>
      </c>
      <c r="D2684" s="787">
        <v>0.25</v>
      </c>
      <c r="E2684" s="787">
        <v>2.37</v>
      </c>
      <c r="F2684" s="788">
        <v>41813</v>
      </c>
      <c r="G2684" s="788">
        <v>42165</v>
      </c>
      <c r="H2684" s="787">
        <v>1</v>
      </c>
      <c r="I2684" s="788">
        <v>42143</v>
      </c>
      <c r="J2684" s="788">
        <v>42136</v>
      </c>
      <c r="K2684" s="788">
        <v>41278</v>
      </c>
      <c r="L2684" s="787">
        <v>1.55</v>
      </c>
      <c r="M2684" s="787">
        <v>10</v>
      </c>
      <c r="N2684" s="787">
        <v>3.62</v>
      </c>
      <c r="O2684" s="788">
        <v>42136</v>
      </c>
    </row>
    <row r="2685" spans="1:15" x14ac:dyDescent="0.25">
      <c r="A2685" s="786" t="s">
        <v>5594</v>
      </c>
      <c r="B2685" s="787">
        <v>4</v>
      </c>
      <c r="C2685" s="787" t="s">
        <v>5595</v>
      </c>
      <c r="D2685" s="787">
        <v>0</v>
      </c>
      <c r="E2685" s="787">
        <v>0</v>
      </c>
      <c r="G2685" s="788">
        <v>40084</v>
      </c>
      <c r="H2685" s="787">
        <v>1</v>
      </c>
      <c r="I2685" s="788">
        <v>40163</v>
      </c>
      <c r="J2685" s="788">
        <v>40084</v>
      </c>
      <c r="L2685" s="787">
        <v>0</v>
      </c>
      <c r="M2685" s="787">
        <v>10</v>
      </c>
      <c r="N2685" s="787">
        <v>3.04</v>
      </c>
      <c r="O2685" s="788">
        <v>41858</v>
      </c>
    </row>
    <row r="2686" spans="1:15" x14ac:dyDescent="0.25">
      <c r="A2686" s="786" t="s">
        <v>5596</v>
      </c>
      <c r="B2686" s="787">
        <v>4</v>
      </c>
      <c r="C2686" s="787" t="s">
        <v>5595</v>
      </c>
      <c r="D2686" s="787">
        <v>0</v>
      </c>
      <c r="E2686" s="787">
        <v>0</v>
      </c>
      <c r="G2686" s="788">
        <v>40084</v>
      </c>
      <c r="H2686" s="787">
        <v>1</v>
      </c>
      <c r="I2686" s="788">
        <v>40163</v>
      </c>
      <c r="J2686" s="788">
        <v>40084</v>
      </c>
      <c r="L2686" s="787">
        <v>0</v>
      </c>
      <c r="M2686" s="787">
        <v>10</v>
      </c>
      <c r="N2686" s="787">
        <v>3.42</v>
      </c>
      <c r="O2686" s="788">
        <v>41858</v>
      </c>
    </row>
    <row r="2687" spans="1:15" x14ac:dyDescent="0.25">
      <c r="A2687" s="786" t="s">
        <v>5597</v>
      </c>
      <c r="B2687" s="787">
        <v>4</v>
      </c>
      <c r="C2687" s="787" t="s">
        <v>5595</v>
      </c>
      <c r="D2687" s="787">
        <v>0</v>
      </c>
      <c r="E2687" s="787">
        <v>0</v>
      </c>
      <c r="G2687" s="788">
        <v>40084</v>
      </c>
      <c r="H2687" s="787">
        <v>1</v>
      </c>
      <c r="I2687" s="788">
        <v>40163</v>
      </c>
      <c r="J2687" s="788">
        <v>40084</v>
      </c>
      <c r="L2687" s="787">
        <v>0</v>
      </c>
      <c r="M2687" s="787">
        <v>10</v>
      </c>
      <c r="N2687" s="787">
        <v>3.42</v>
      </c>
      <c r="O2687" s="788">
        <v>41858</v>
      </c>
    </row>
    <row r="2688" spans="1:15" x14ac:dyDescent="0.25">
      <c r="A2688" s="786" t="s">
        <v>5598</v>
      </c>
      <c r="B2688" s="787">
        <v>4</v>
      </c>
      <c r="C2688" s="787" t="s">
        <v>5595</v>
      </c>
      <c r="D2688" s="787">
        <v>0</v>
      </c>
      <c r="E2688" s="787">
        <v>0</v>
      </c>
      <c r="G2688" s="788">
        <v>40084</v>
      </c>
      <c r="H2688" s="787">
        <v>1</v>
      </c>
      <c r="I2688" s="788">
        <v>40163</v>
      </c>
      <c r="J2688" s="788">
        <v>40084</v>
      </c>
      <c r="L2688" s="787">
        <v>0</v>
      </c>
      <c r="M2688" s="787">
        <v>10</v>
      </c>
      <c r="N2688" s="787">
        <v>2.85</v>
      </c>
      <c r="O2688" s="788">
        <v>41858</v>
      </c>
    </row>
    <row r="2689" spans="1:15" x14ac:dyDescent="0.25">
      <c r="A2689" s="786" t="s">
        <v>5599</v>
      </c>
      <c r="B2689" s="787">
        <v>4</v>
      </c>
      <c r="C2689" s="787" t="s">
        <v>5600</v>
      </c>
      <c r="D2689" s="787">
        <v>0.28999999999999998</v>
      </c>
      <c r="E2689" s="787">
        <v>1.34</v>
      </c>
      <c r="F2689" s="788">
        <v>41369</v>
      </c>
      <c r="G2689" s="788">
        <v>42166</v>
      </c>
      <c r="H2689" s="787">
        <v>1</v>
      </c>
      <c r="I2689" s="788">
        <v>42159</v>
      </c>
      <c r="J2689" s="788">
        <v>42137</v>
      </c>
      <c r="K2689" s="788">
        <v>41330</v>
      </c>
      <c r="L2689" s="787">
        <v>0.33</v>
      </c>
      <c r="M2689" s="787">
        <v>10</v>
      </c>
      <c r="N2689" s="787">
        <v>1.08</v>
      </c>
      <c r="O2689" s="788">
        <v>42136</v>
      </c>
    </row>
    <row r="2690" spans="1:15" x14ac:dyDescent="0.25">
      <c r="A2690" s="786" t="s">
        <v>5601</v>
      </c>
      <c r="B2690" s="787">
        <v>4</v>
      </c>
      <c r="C2690" s="787" t="s">
        <v>5602</v>
      </c>
      <c r="D2690" s="787">
        <v>0.17</v>
      </c>
      <c r="E2690" s="787">
        <v>0.81</v>
      </c>
      <c r="F2690" s="788">
        <v>41278</v>
      </c>
      <c r="G2690" s="788">
        <v>42013</v>
      </c>
      <c r="H2690" s="787">
        <v>1</v>
      </c>
      <c r="I2690" s="788">
        <v>42159</v>
      </c>
      <c r="J2690" s="788">
        <v>41929</v>
      </c>
      <c r="K2690" s="788">
        <v>41484</v>
      </c>
      <c r="L2690" s="787">
        <v>0.48</v>
      </c>
      <c r="M2690" s="787">
        <v>10</v>
      </c>
      <c r="N2690" s="787">
        <v>0.46</v>
      </c>
      <c r="O2690" s="788">
        <v>42144</v>
      </c>
    </row>
    <row r="2691" spans="1:15" x14ac:dyDescent="0.25">
      <c r="A2691" s="786" t="s">
        <v>5603</v>
      </c>
      <c r="B2691" s="787">
        <v>4</v>
      </c>
      <c r="C2691" s="787" t="s">
        <v>5602</v>
      </c>
      <c r="D2691" s="787">
        <v>0</v>
      </c>
      <c r="E2691" s="787">
        <v>0</v>
      </c>
      <c r="H2691" s="787">
        <v>1</v>
      </c>
      <c r="L2691" s="787">
        <v>0</v>
      </c>
      <c r="M2691" s="787">
        <v>10</v>
      </c>
      <c r="N2691" s="787">
        <v>0.34</v>
      </c>
      <c r="O2691" s="788">
        <v>41858</v>
      </c>
    </row>
    <row r="2692" spans="1:15" x14ac:dyDescent="0.25">
      <c r="A2692" s="786" t="s">
        <v>5604</v>
      </c>
      <c r="B2692" s="787">
        <v>4</v>
      </c>
      <c r="C2692" s="787" t="s">
        <v>5605</v>
      </c>
      <c r="D2692" s="787">
        <v>0.71</v>
      </c>
      <c r="E2692" s="787">
        <v>2.14</v>
      </c>
      <c r="F2692" s="788">
        <v>41499</v>
      </c>
      <c r="G2692" s="788">
        <v>42013</v>
      </c>
      <c r="H2692" s="787">
        <v>1</v>
      </c>
      <c r="I2692" s="788">
        <v>41942</v>
      </c>
      <c r="J2692" s="788">
        <v>41781</v>
      </c>
      <c r="K2692" s="788">
        <v>41452</v>
      </c>
      <c r="L2692" s="787">
        <v>1.1100000000000001</v>
      </c>
      <c r="M2692" s="787">
        <v>10</v>
      </c>
      <c r="N2692" s="787">
        <v>1.87</v>
      </c>
      <c r="O2692" s="788">
        <v>42144</v>
      </c>
    </row>
    <row r="2693" spans="1:15" x14ac:dyDescent="0.25">
      <c r="A2693" s="786" t="s">
        <v>5606</v>
      </c>
      <c r="B2693" s="787">
        <v>4</v>
      </c>
      <c r="C2693" s="787" t="s">
        <v>5607</v>
      </c>
      <c r="D2693" s="787">
        <v>1.46</v>
      </c>
      <c r="E2693" s="787">
        <v>1.46</v>
      </c>
      <c r="F2693" s="788">
        <v>41548</v>
      </c>
      <c r="G2693" s="788">
        <v>41943</v>
      </c>
      <c r="H2693" s="787">
        <v>1</v>
      </c>
      <c r="I2693" s="788">
        <v>41942</v>
      </c>
      <c r="J2693" s="788">
        <v>41508</v>
      </c>
      <c r="K2693" s="788">
        <v>41491</v>
      </c>
      <c r="L2693" s="787">
        <v>30.63</v>
      </c>
      <c r="M2693" s="787">
        <v>10</v>
      </c>
      <c r="N2693" s="787">
        <v>29.97</v>
      </c>
      <c r="O2693" s="788">
        <v>42144</v>
      </c>
    </row>
    <row r="2694" spans="1:15" x14ac:dyDescent="0.25">
      <c r="A2694" s="786" t="s">
        <v>5608</v>
      </c>
      <c r="B2694" s="787">
        <v>4</v>
      </c>
      <c r="C2694" s="787" t="s">
        <v>5602</v>
      </c>
      <c r="D2694" s="787">
        <v>0.84</v>
      </c>
      <c r="E2694" s="787">
        <v>0.84</v>
      </c>
      <c r="F2694" s="788">
        <v>40827</v>
      </c>
      <c r="G2694" s="788">
        <v>42013</v>
      </c>
      <c r="H2694" s="787">
        <v>1</v>
      </c>
      <c r="I2694" s="788">
        <v>42159</v>
      </c>
      <c r="J2694" s="788">
        <v>40709</v>
      </c>
      <c r="L2694" s="787">
        <v>0</v>
      </c>
      <c r="M2694" s="787">
        <v>10</v>
      </c>
      <c r="N2694" s="787">
        <v>0.75</v>
      </c>
      <c r="O2694" s="788">
        <v>41929</v>
      </c>
    </row>
    <row r="2695" spans="1:15" x14ac:dyDescent="0.25">
      <c r="A2695" s="786" t="s">
        <v>5609</v>
      </c>
      <c r="B2695" s="787">
        <v>4</v>
      </c>
      <c r="C2695" s="787" t="s">
        <v>5602</v>
      </c>
      <c r="D2695" s="787">
        <v>0.96</v>
      </c>
      <c r="E2695" s="787">
        <v>0.96</v>
      </c>
      <c r="F2695" s="788">
        <v>40827</v>
      </c>
      <c r="G2695" s="788">
        <v>41943</v>
      </c>
      <c r="H2695" s="787">
        <v>1</v>
      </c>
      <c r="I2695" s="788">
        <v>42159</v>
      </c>
      <c r="J2695" s="788">
        <v>40709</v>
      </c>
      <c r="L2695" s="787">
        <v>0</v>
      </c>
      <c r="M2695" s="787">
        <v>10</v>
      </c>
      <c r="N2695" s="787">
        <v>3.39</v>
      </c>
      <c r="O2695" s="788">
        <v>41929</v>
      </c>
    </row>
    <row r="2696" spans="1:15" x14ac:dyDescent="0.25">
      <c r="A2696" s="786" t="s">
        <v>5610</v>
      </c>
      <c r="B2696" s="787">
        <v>4</v>
      </c>
      <c r="C2696" s="787" t="s">
        <v>5611</v>
      </c>
      <c r="D2696" s="787">
        <v>0</v>
      </c>
      <c r="E2696" s="787">
        <v>0</v>
      </c>
      <c r="H2696" s="787">
        <v>6</v>
      </c>
      <c r="I2696" s="788">
        <v>40637</v>
      </c>
      <c r="K2696" s="788">
        <v>40977</v>
      </c>
      <c r="L2696" s="787">
        <v>5.86</v>
      </c>
      <c r="M2696" s="787">
        <v>10</v>
      </c>
      <c r="N2696" s="787">
        <v>5.32</v>
      </c>
      <c r="O2696" s="788">
        <v>41543</v>
      </c>
    </row>
    <row r="2697" spans="1:15" x14ac:dyDescent="0.25">
      <c r="A2697" s="786" t="s">
        <v>5612</v>
      </c>
      <c r="B2697" s="787">
        <v>4</v>
      </c>
      <c r="C2697" s="787" t="s">
        <v>5611</v>
      </c>
      <c r="D2697" s="787">
        <v>0</v>
      </c>
      <c r="E2697" s="787">
        <v>0</v>
      </c>
      <c r="H2697" s="787">
        <v>6</v>
      </c>
      <c r="I2697" s="788">
        <v>40637</v>
      </c>
      <c r="K2697" s="788">
        <v>40977</v>
      </c>
      <c r="L2697" s="787">
        <v>5.8</v>
      </c>
      <c r="M2697" s="787">
        <v>10</v>
      </c>
      <c r="N2697" s="787">
        <v>28.54</v>
      </c>
      <c r="O2697" s="788">
        <v>41543</v>
      </c>
    </row>
    <row r="2698" spans="1:15" x14ac:dyDescent="0.25">
      <c r="A2698" s="786" t="s">
        <v>5613</v>
      </c>
      <c r="B2698" s="787">
        <v>4</v>
      </c>
      <c r="C2698" s="787" t="s">
        <v>5611</v>
      </c>
      <c r="D2698" s="787">
        <v>2.48</v>
      </c>
      <c r="E2698" s="787">
        <v>3.94</v>
      </c>
      <c r="F2698" s="788">
        <v>41579</v>
      </c>
      <c r="G2698" s="788">
        <v>42164</v>
      </c>
      <c r="H2698" s="787">
        <v>1</v>
      </c>
      <c r="I2698" s="788">
        <v>42159</v>
      </c>
      <c r="J2698" s="788">
        <v>42164</v>
      </c>
      <c r="K2698" s="788">
        <v>40988</v>
      </c>
      <c r="L2698" s="787">
        <v>3.08</v>
      </c>
      <c r="M2698" s="787">
        <v>10</v>
      </c>
      <c r="N2698" s="787">
        <v>3.4</v>
      </c>
      <c r="O2698" s="788">
        <v>42152</v>
      </c>
    </row>
    <row r="2699" spans="1:15" x14ac:dyDescent="0.25">
      <c r="A2699" s="786" t="s">
        <v>5614</v>
      </c>
      <c r="B2699" s="787">
        <v>4</v>
      </c>
      <c r="C2699" s="787" t="s">
        <v>5615</v>
      </c>
      <c r="D2699" s="787">
        <v>2.0499999999999998</v>
      </c>
      <c r="E2699" s="787">
        <v>5.52</v>
      </c>
      <c r="F2699" s="788">
        <v>40948</v>
      </c>
      <c r="G2699" s="788">
        <v>42165</v>
      </c>
      <c r="H2699" s="787">
        <v>1</v>
      </c>
      <c r="I2699" s="788">
        <v>42129</v>
      </c>
      <c r="J2699" s="788">
        <v>42135</v>
      </c>
      <c r="K2699" s="788">
        <v>40984</v>
      </c>
      <c r="L2699" s="787">
        <v>3.69</v>
      </c>
      <c r="M2699" s="787">
        <v>10</v>
      </c>
      <c r="N2699" s="787">
        <v>3.19</v>
      </c>
      <c r="O2699" s="788">
        <v>41858</v>
      </c>
    </row>
    <row r="2700" spans="1:15" x14ac:dyDescent="0.25">
      <c r="A2700" s="786" t="s">
        <v>5616</v>
      </c>
      <c r="B2700" s="787">
        <v>4</v>
      </c>
      <c r="C2700" s="787" t="s">
        <v>5617</v>
      </c>
      <c r="D2700" s="787">
        <v>2.3199999999999998</v>
      </c>
      <c r="E2700" s="787">
        <v>3.5</v>
      </c>
      <c r="F2700" s="788">
        <v>41209</v>
      </c>
      <c r="G2700" s="788">
        <v>42013</v>
      </c>
      <c r="H2700" s="787">
        <v>1</v>
      </c>
      <c r="I2700" s="788">
        <v>42165</v>
      </c>
      <c r="J2700" s="788">
        <v>41928</v>
      </c>
      <c r="K2700" s="788">
        <v>41521</v>
      </c>
      <c r="L2700" s="787">
        <v>3.82</v>
      </c>
      <c r="M2700" s="787">
        <v>10</v>
      </c>
      <c r="N2700" s="787">
        <v>3.3</v>
      </c>
      <c r="O2700" s="788">
        <v>41858</v>
      </c>
    </row>
    <row r="2701" spans="1:15" x14ac:dyDescent="0.25">
      <c r="A2701" s="786" t="s">
        <v>5618</v>
      </c>
      <c r="B2701" s="787">
        <v>4</v>
      </c>
      <c r="C2701" s="787">
        <v>306065</v>
      </c>
      <c r="D2701" s="787">
        <v>2.0699999999999998</v>
      </c>
      <c r="E2701" s="787">
        <v>4.0599999999999996</v>
      </c>
      <c r="F2701" s="788">
        <v>41425</v>
      </c>
      <c r="G2701" s="788">
        <v>42013</v>
      </c>
      <c r="H2701" s="787">
        <v>1</v>
      </c>
      <c r="I2701" s="788">
        <v>42159</v>
      </c>
      <c r="J2701" s="788">
        <v>41928</v>
      </c>
      <c r="K2701" s="788">
        <v>41387</v>
      </c>
      <c r="L2701" s="787">
        <v>3.82</v>
      </c>
      <c r="M2701" s="787">
        <v>10</v>
      </c>
      <c r="N2701" s="787">
        <v>2.84</v>
      </c>
      <c r="O2701" s="788">
        <v>41858</v>
      </c>
    </row>
    <row r="2702" spans="1:15" x14ac:dyDescent="0.25">
      <c r="A2702" s="786" t="s">
        <v>5619</v>
      </c>
      <c r="B2702" s="787">
        <v>4</v>
      </c>
      <c r="C2702" s="787" t="s">
        <v>5620</v>
      </c>
      <c r="D2702" s="787">
        <v>2.67</v>
      </c>
      <c r="E2702" s="787">
        <v>6.91</v>
      </c>
      <c r="F2702" s="788">
        <v>41813</v>
      </c>
      <c r="G2702" s="788">
        <v>42137</v>
      </c>
      <c r="H2702" s="787">
        <v>1</v>
      </c>
      <c r="I2702" s="788">
        <v>42165</v>
      </c>
      <c r="J2702" s="788">
        <v>42137</v>
      </c>
      <c r="K2702" s="788">
        <v>41387</v>
      </c>
      <c r="L2702" s="787">
        <v>4.6100000000000003</v>
      </c>
      <c r="M2702" s="787">
        <v>10</v>
      </c>
      <c r="N2702" s="787">
        <v>3.53</v>
      </c>
      <c r="O2702" s="788">
        <v>42152</v>
      </c>
    </row>
    <row r="2703" spans="1:15" x14ac:dyDescent="0.25">
      <c r="A2703" s="786" t="s">
        <v>5621</v>
      </c>
      <c r="B2703" s="787">
        <v>4</v>
      </c>
      <c r="C2703" s="787" t="s">
        <v>5622</v>
      </c>
      <c r="D2703" s="787">
        <v>4.0599999999999996</v>
      </c>
      <c r="E2703" s="787">
        <v>7.55</v>
      </c>
      <c r="F2703" s="788">
        <v>41579</v>
      </c>
      <c r="G2703" s="788">
        <v>42013</v>
      </c>
      <c r="H2703" s="787">
        <v>1</v>
      </c>
      <c r="I2703" s="788">
        <v>42165</v>
      </c>
      <c r="J2703" s="788">
        <v>41970</v>
      </c>
      <c r="K2703" s="788">
        <v>42156</v>
      </c>
      <c r="L2703" s="787">
        <v>4.9000000000000004</v>
      </c>
      <c r="M2703" s="787">
        <v>10</v>
      </c>
      <c r="N2703" s="787">
        <v>4.9000000000000004</v>
      </c>
      <c r="O2703" s="788">
        <v>42152</v>
      </c>
    </row>
    <row r="2704" spans="1:15" x14ac:dyDescent="0.25">
      <c r="A2704" s="786" t="s">
        <v>5623</v>
      </c>
      <c r="B2704" s="787">
        <v>4</v>
      </c>
      <c r="C2704" s="787" t="s">
        <v>5615</v>
      </c>
      <c r="D2704" s="787">
        <v>3.25</v>
      </c>
      <c r="E2704" s="787">
        <v>3.25</v>
      </c>
      <c r="F2704" s="788">
        <v>42060</v>
      </c>
      <c r="G2704" s="788">
        <v>42060</v>
      </c>
      <c r="H2704" s="787">
        <v>1</v>
      </c>
      <c r="I2704" s="788">
        <v>42129</v>
      </c>
      <c r="J2704" s="788">
        <v>42027</v>
      </c>
      <c r="K2704" s="788">
        <v>40984</v>
      </c>
      <c r="L2704" s="787">
        <v>4.1399999999999997</v>
      </c>
      <c r="M2704" s="787">
        <v>10</v>
      </c>
      <c r="N2704" s="787">
        <v>5.55</v>
      </c>
      <c r="O2704" s="788">
        <v>41858</v>
      </c>
    </row>
    <row r="2705" spans="1:15" x14ac:dyDescent="0.25">
      <c r="A2705" s="786" t="s">
        <v>5624</v>
      </c>
      <c r="B2705" s="787">
        <v>4</v>
      </c>
      <c r="C2705" s="787" t="s">
        <v>5625</v>
      </c>
      <c r="D2705" s="787">
        <v>1.91</v>
      </c>
      <c r="E2705" s="787">
        <v>2.1800000000000002</v>
      </c>
      <c r="F2705" s="788">
        <v>41613</v>
      </c>
      <c r="G2705" s="788">
        <v>42166</v>
      </c>
      <c r="H2705" s="787">
        <v>1</v>
      </c>
      <c r="I2705" s="788">
        <v>42165</v>
      </c>
      <c r="J2705" s="788">
        <v>42166</v>
      </c>
      <c r="K2705" s="788">
        <v>41521</v>
      </c>
      <c r="L2705" s="787">
        <v>3.97</v>
      </c>
      <c r="M2705" s="787">
        <v>10</v>
      </c>
      <c r="N2705" s="787">
        <v>3.43</v>
      </c>
      <c r="O2705" s="788">
        <v>41858</v>
      </c>
    </row>
    <row r="2706" spans="1:15" x14ac:dyDescent="0.25">
      <c r="A2706" s="786" t="s">
        <v>5626</v>
      </c>
      <c r="B2706" s="787">
        <v>4</v>
      </c>
      <c r="C2706" s="787" t="s">
        <v>5625</v>
      </c>
      <c r="D2706" s="787">
        <v>1.74</v>
      </c>
      <c r="E2706" s="787">
        <v>2.35</v>
      </c>
      <c r="F2706" s="788">
        <v>41335</v>
      </c>
      <c r="G2706" s="788">
        <v>42166</v>
      </c>
      <c r="H2706" s="787">
        <v>1</v>
      </c>
      <c r="I2706" s="788">
        <v>42159</v>
      </c>
      <c r="J2706" s="788">
        <v>42166</v>
      </c>
      <c r="K2706" s="788">
        <v>41521</v>
      </c>
      <c r="L2706" s="787">
        <v>3.77</v>
      </c>
      <c r="M2706" s="787">
        <v>10</v>
      </c>
      <c r="N2706" s="787">
        <v>3.65</v>
      </c>
      <c r="O2706" s="788">
        <v>41858</v>
      </c>
    </row>
    <row r="2707" spans="1:15" x14ac:dyDescent="0.25">
      <c r="A2707" s="786" t="s">
        <v>5627</v>
      </c>
      <c r="B2707" s="787">
        <v>4</v>
      </c>
      <c r="C2707" s="787" t="s">
        <v>5625</v>
      </c>
      <c r="D2707" s="787">
        <v>2.54</v>
      </c>
      <c r="E2707" s="787">
        <v>3.65</v>
      </c>
      <c r="F2707" s="788">
        <v>41775</v>
      </c>
      <c r="G2707" s="788">
        <v>42152</v>
      </c>
      <c r="H2707" s="787">
        <v>1</v>
      </c>
      <c r="I2707" s="788">
        <v>42165</v>
      </c>
      <c r="J2707" s="788">
        <v>42152</v>
      </c>
      <c r="K2707" s="788">
        <v>41478</v>
      </c>
      <c r="L2707" s="787">
        <v>4.8</v>
      </c>
      <c r="M2707" s="787">
        <v>10</v>
      </c>
      <c r="N2707" s="787">
        <v>3.74</v>
      </c>
      <c r="O2707" s="788">
        <v>42152</v>
      </c>
    </row>
    <row r="2708" spans="1:15" x14ac:dyDescent="0.25">
      <c r="A2708" s="786" t="s">
        <v>5628</v>
      </c>
      <c r="B2708" s="787">
        <v>4</v>
      </c>
      <c r="C2708" s="787" t="s">
        <v>5629</v>
      </c>
      <c r="D2708" s="787">
        <v>2.38</v>
      </c>
      <c r="E2708" s="787">
        <v>7.45</v>
      </c>
      <c r="F2708" s="788">
        <v>41806</v>
      </c>
      <c r="G2708" s="788">
        <v>42090</v>
      </c>
      <c r="H2708" s="787">
        <v>1</v>
      </c>
      <c r="I2708" s="788">
        <v>42165</v>
      </c>
      <c r="J2708" s="788">
        <v>42062</v>
      </c>
      <c r="K2708" s="788">
        <v>41422</v>
      </c>
      <c r="L2708" s="787">
        <v>1</v>
      </c>
      <c r="M2708" s="787">
        <v>10</v>
      </c>
      <c r="N2708" s="787">
        <v>3.97</v>
      </c>
      <c r="O2708" s="788">
        <v>42152</v>
      </c>
    </row>
    <row r="2709" spans="1:15" x14ac:dyDescent="0.25">
      <c r="A2709" s="786" t="s">
        <v>5630</v>
      </c>
      <c r="B2709" s="787">
        <v>4</v>
      </c>
      <c r="C2709" s="787" t="s">
        <v>5631</v>
      </c>
      <c r="D2709" s="787">
        <v>0</v>
      </c>
      <c r="E2709" s="787">
        <v>0</v>
      </c>
      <c r="H2709" s="787">
        <v>6</v>
      </c>
      <c r="I2709" s="788">
        <v>40595</v>
      </c>
      <c r="L2709" s="787">
        <v>0</v>
      </c>
      <c r="M2709" s="787">
        <v>10</v>
      </c>
      <c r="N2709" s="787">
        <v>28.17</v>
      </c>
      <c r="O2709" s="788">
        <v>41543</v>
      </c>
    </row>
    <row r="2710" spans="1:15" x14ac:dyDescent="0.25">
      <c r="A2710" s="786" t="s">
        <v>5632</v>
      </c>
      <c r="B2710" s="787">
        <v>4</v>
      </c>
      <c r="C2710" s="787" t="s">
        <v>5631</v>
      </c>
      <c r="D2710" s="787">
        <v>0</v>
      </c>
      <c r="E2710" s="787">
        <v>0</v>
      </c>
      <c r="H2710" s="787">
        <v>6</v>
      </c>
      <c r="I2710" s="788">
        <v>40595</v>
      </c>
      <c r="L2710" s="787">
        <v>0</v>
      </c>
      <c r="M2710" s="787">
        <v>10</v>
      </c>
      <c r="N2710" s="787">
        <v>28.17</v>
      </c>
      <c r="O2710" s="788">
        <v>41543</v>
      </c>
    </row>
    <row r="2711" spans="1:15" x14ac:dyDescent="0.25">
      <c r="A2711" s="786" t="s">
        <v>5633</v>
      </c>
      <c r="B2711" s="787">
        <v>4</v>
      </c>
      <c r="C2711" s="787" t="s">
        <v>5634</v>
      </c>
      <c r="D2711" s="787">
        <v>2.83</v>
      </c>
      <c r="E2711" s="787">
        <v>5.01</v>
      </c>
      <c r="F2711" s="788">
        <v>41913</v>
      </c>
      <c r="G2711" s="788">
        <v>42165</v>
      </c>
      <c r="H2711" s="787">
        <v>1</v>
      </c>
      <c r="I2711" s="788">
        <v>42159</v>
      </c>
      <c r="J2711" s="788">
        <v>42135</v>
      </c>
      <c r="K2711" s="788">
        <v>41422</v>
      </c>
      <c r="L2711" s="787">
        <v>4.8</v>
      </c>
      <c r="M2711" s="787">
        <v>10</v>
      </c>
      <c r="N2711" s="787">
        <v>3.99</v>
      </c>
      <c r="O2711" s="788">
        <v>42152</v>
      </c>
    </row>
    <row r="2712" spans="1:15" x14ac:dyDescent="0.25">
      <c r="A2712" s="786" t="s">
        <v>5635</v>
      </c>
      <c r="B2712" s="787">
        <v>4</v>
      </c>
      <c r="C2712" s="787" t="s">
        <v>5631</v>
      </c>
      <c r="D2712" s="787">
        <v>0</v>
      </c>
      <c r="E2712" s="787">
        <v>0</v>
      </c>
      <c r="H2712" s="787">
        <v>1</v>
      </c>
      <c r="L2712" s="787">
        <v>0</v>
      </c>
      <c r="M2712" s="787">
        <v>10</v>
      </c>
      <c r="N2712" s="787">
        <v>8.09</v>
      </c>
      <c r="O2712" s="788">
        <v>41858</v>
      </c>
    </row>
    <row r="2713" spans="1:15" x14ac:dyDescent="0.25">
      <c r="A2713" s="786" t="s">
        <v>5636</v>
      </c>
      <c r="B2713" s="787">
        <v>4</v>
      </c>
      <c r="C2713" s="787" t="s">
        <v>5631</v>
      </c>
      <c r="D2713" s="787">
        <v>0</v>
      </c>
      <c r="E2713" s="787">
        <v>0</v>
      </c>
      <c r="H2713" s="787">
        <v>1</v>
      </c>
      <c r="L2713" s="787">
        <v>0</v>
      </c>
      <c r="M2713" s="787">
        <v>10</v>
      </c>
      <c r="N2713" s="787">
        <v>8.09</v>
      </c>
      <c r="O2713" s="788">
        <v>41858</v>
      </c>
    </row>
    <row r="2714" spans="1:15" x14ac:dyDescent="0.25">
      <c r="A2714" s="786" t="s">
        <v>5637</v>
      </c>
      <c r="B2714" s="787">
        <v>4</v>
      </c>
      <c r="C2714" s="787" t="s">
        <v>5574</v>
      </c>
      <c r="D2714" s="787">
        <v>0</v>
      </c>
      <c r="E2714" s="787">
        <v>0</v>
      </c>
      <c r="H2714" s="787">
        <v>1</v>
      </c>
      <c r="L2714" s="787">
        <v>0</v>
      </c>
      <c r="M2714" s="787">
        <v>10</v>
      </c>
      <c r="N2714" s="787">
        <v>7.51</v>
      </c>
      <c r="O2714" s="788">
        <v>41858</v>
      </c>
    </row>
    <row r="2715" spans="1:15" x14ac:dyDescent="0.25">
      <c r="A2715" s="786" t="s">
        <v>5638</v>
      </c>
      <c r="B2715" s="787">
        <v>4</v>
      </c>
      <c r="C2715" s="787" t="s">
        <v>5574</v>
      </c>
      <c r="D2715" s="787">
        <v>0</v>
      </c>
      <c r="E2715" s="787">
        <v>0</v>
      </c>
      <c r="H2715" s="787">
        <v>1</v>
      </c>
      <c r="L2715" s="787">
        <v>0</v>
      </c>
      <c r="M2715" s="787">
        <v>10</v>
      </c>
      <c r="N2715" s="787">
        <v>7.51</v>
      </c>
      <c r="O2715" s="788">
        <v>41858</v>
      </c>
    </row>
    <row r="2716" spans="1:15" x14ac:dyDescent="0.25">
      <c r="A2716" s="786" t="s">
        <v>5639</v>
      </c>
      <c r="B2716" s="787">
        <v>4</v>
      </c>
      <c r="C2716" s="787" t="s">
        <v>5640</v>
      </c>
      <c r="D2716" s="787">
        <v>0.38</v>
      </c>
      <c r="E2716" s="787">
        <v>0.53</v>
      </c>
      <c r="F2716" s="788">
        <v>41806</v>
      </c>
      <c r="G2716" s="788">
        <v>42013</v>
      </c>
      <c r="H2716" s="787">
        <v>1</v>
      </c>
      <c r="I2716" s="788">
        <v>42159</v>
      </c>
      <c r="J2716" s="788">
        <v>41941</v>
      </c>
      <c r="K2716" s="788">
        <v>40997</v>
      </c>
      <c r="L2716" s="787">
        <v>0.67</v>
      </c>
      <c r="M2716" s="787">
        <v>10</v>
      </c>
      <c r="N2716" s="787">
        <v>1.27</v>
      </c>
      <c r="O2716" s="788">
        <v>42152</v>
      </c>
    </row>
    <row r="2717" spans="1:15" x14ac:dyDescent="0.25">
      <c r="A2717" s="786" t="s">
        <v>5641</v>
      </c>
      <c r="B2717" s="787">
        <v>4</v>
      </c>
      <c r="C2717" s="787" t="s">
        <v>5640</v>
      </c>
      <c r="D2717" s="787">
        <v>0</v>
      </c>
      <c r="E2717" s="787">
        <v>0</v>
      </c>
      <c r="H2717" s="787">
        <v>1</v>
      </c>
      <c r="L2717" s="787">
        <v>0</v>
      </c>
      <c r="M2717" s="787">
        <v>10</v>
      </c>
      <c r="N2717" s="787">
        <v>0.62</v>
      </c>
      <c r="O2717" s="788">
        <v>41858</v>
      </c>
    </row>
    <row r="2718" spans="1:15" x14ac:dyDescent="0.25">
      <c r="A2718" s="786" t="s">
        <v>5642</v>
      </c>
      <c r="B2718" s="787">
        <v>4</v>
      </c>
      <c r="C2718" s="787" t="s">
        <v>5643</v>
      </c>
      <c r="D2718" s="787">
        <v>1.4</v>
      </c>
      <c r="E2718" s="787">
        <v>2.75</v>
      </c>
      <c r="F2718" s="788">
        <v>41467</v>
      </c>
      <c r="G2718" s="788">
        <v>42160</v>
      </c>
      <c r="H2718" s="787">
        <v>1</v>
      </c>
      <c r="I2718" s="788">
        <v>42165</v>
      </c>
      <c r="J2718" s="788">
        <v>42164</v>
      </c>
      <c r="K2718" s="788">
        <v>41003</v>
      </c>
      <c r="L2718" s="787">
        <v>2.76</v>
      </c>
      <c r="M2718" s="787">
        <v>10</v>
      </c>
      <c r="N2718" s="787">
        <v>3.54</v>
      </c>
      <c r="O2718" s="788">
        <v>42152</v>
      </c>
    </row>
    <row r="2719" spans="1:15" x14ac:dyDescent="0.25">
      <c r="A2719" s="786" t="s">
        <v>5644</v>
      </c>
      <c r="B2719" s="787">
        <v>4</v>
      </c>
      <c r="C2719" s="787" t="s">
        <v>5645</v>
      </c>
      <c r="D2719" s="787">
        <v>1.1399999999999999</v>
      </c>
      <c r="E2719" s="787">
        <v>1.1399999999999999</v>
      </c>
      <c r="F2719" s="788">
        <v>42082</v>
      </c>
      <c r="G2719" s="788">
        <v>42082</v>
      </c>
      <c r="H2719" s="787">
        <v>1</v>
      </c>
      <c r="I2719" s="788">
        <v>42165</v>
      </c>
      <c r="J2719" s="788">
        <v>42053</v>
      </c>
      <c r="K2719" s="788">
        <v>41191</v>
      </c>
      <c r="L2719" s="787">
        <v>2.36</v>
      </c>
      <c r="M2719" s="787">
        <v>10</v>
      </c>
      <c r="N2719" s="787">
        <v>3.08</v>
      </c>
      <c r="O2719" s="788">
        <v>42152</v>
      </c>
    </row>
    <row r="2720" spans="1:15" x14ac:dyDescent="0.25">
      <c r="A2720" s="786" t="s">
        <v>5646</v>
      </c>
      <c r="B2720" s="787">
        <v>4</v>
      </c>
      <c r="C2720" s="787" t="s">
        <v>5645</v>
      </c>
      <c r="D2720" s="787">
        <v>0.45</v>
      </c>
      <c r="E2720" s="787">
        <v>1.95</v>
      </c>
      <c r="F2720" s="788">
        <v>41579</v>
      </c>
      <c r="G2720" s="788">
        <v>42135</v>
      </c>
      <c r="H2720" s="787">
        <v>1</v>
      </c>
      <c r="I2720" s="788">
        <v>42165</v>
      </c>
      <c r="J2720" s="788">
        <v>42107</v>
      </c>
      <c r="K2720" s="788">
        <v>41472</v>
      </c>
      <c r="L2720" s="787">
        <v>3.46</v>
      </c>
      <c r="M2720" s="787">
        <v>10</v>
      </c>
      <c r="N2720" s="787">
        <v>2.08</v>
      </c>
      <c r="O2720" s="788">
        <v>42152</v>
      </c>
    </row>
    <row r="2721" spans="1:15" x14ac:dyDescent="0.25">
      <c r="A2721" s="786" t="s">
        <v>5647</v>
      </c>
      <c r="B2721" s="787">
        <v>4</v>
      </c>
      <c r="C2721" s="787" t="s">
        <v>5648</v>
      </c>
      <c r="D2721" s="787">
        <v>1.84</v>
      </c>
      <c r="E2721" s="787">
        <v>2.76</v>
      </c>
      <c r="F2721" s="788">
        <v>41806</v>
      </c>
      <c r="G2721" s="788">
        <v>42076</v>
      </c>
      <c r="H2721" s="787">
        <v>1</v>
      </c>
      <c r="I2721" s="788">
        <v>42165</v>
      </c>
      <c r="J2721" s="788">
        <v>42046</v>
      </c>
      <c r="K2721" s="788">
        <v>41527</v>
      </c>
      <c r="L2721" s="787">
        <v>2.0099999999999998</v>
      </c>
      <c r="M2721" s="787">
        <v>10</v>
      </c>
      <c r="N2721" s="787">
        <v>2.5299999999999998</v>
      </c>
      <c r="O2721" s="788">
        <v>42152</v>
      </c>
    </row>
    <row r="2722" spans="1:15" x14ac:dyDescent="0.25">
      <c r="A2722" s="786" t="s">
        <v>5649</v>
      </c>
      <c r="B2722" s="787">
        <v>4</v>
      </c>
      <c r="C2722" s="787" t="s">
        <v>5640</v>
      </c>
      <c r="D2722" s="787">
        <v>0.18</v>
      </c>
      <c r="E2722" s="787">
        <v>0.7</v>
      </c>
      <c r="F2722" s="788">
        <v>41209</v>
      </c>
      <c r="G2722" s="788">
        <v>42013</v>
      </c>
      <c r="H2722" s="787">
        <v>1</v>
      </c>
      <c r="I2722" s="788">
        <v>41494</v>
      </c>
      <c r="J2722" s="788">
        <v>41835</v>
      </c>
      <c r="K2722" s="788">
        <v>40996</v>
      </c>
      <c r="L2722" s="787">
        <v>0.13</v>
      </c>
      <c r="M2722" s="787">
        <v>10</v>
      </c>
      <c r="N2722" s="787">
        <v>0.54</v>
      </c>
      <c r="O2722" s="788">
        <v>42152</v>
      </c>
    </row>
    <row r="2723" spans="1:15" x14ac:dyDescent="0.25">
      <c r="A2723" s="786" t="s">
        <v>5650</v>
      </c>
      <c r="B2723" s="787">
        <v>4</v>
      </c>
      <c r="C2723" s="787" t="s">
        <v>5640</v>
      </c>
      <c r="D2723" s="787">
        <v>0</v>
      </c>
      <c r="E2723" s="787">
        <v>0</v>
      </c>
      <c r="H2723" s="787">
        <v>1</v>
      </c>
      <c r="L2723" s="787">
        <v>0</v>
      </c>
      <c r="M2723" s="787">
        <v>10</v>
      </c>
      <c r="N2723" s="787">
        <v>0.35</v>
      </c>
      <c r="O2723" s="788">
        <v>41858</v>
      </c>
    </row>
    <row r="2724" spans="1:15" x14ac:dyDescent="0.25">
      <c r="A2724" s="786" t="s">
        <v>5651</v>
      </c>
      <c r="B2724" s="787">
        <v>4</v>
      </c>
      <c r="C2724" s="787" t="s">
        <v>5640</v>
      </c>
      <c r="D2724" s="787">
        <v>0.36</v>
      </c>
      <c r="E2724" s="787">
        <v>1.7</v>
      </c>
      <c r="F2724" s="788">
        <v>41526</v>
      </c>
      <c r="G2724" s="788">
        <v>42145</v>
      </c>
      <c r="H2724" s="787">
        <v>1</v>
      </c>
      <c r="I2724" s="788">
        <v>42159</v>
      </c>
      <c r="J2724" s="788">
        <v>42145</v>
      </c>
      <c r="K2724" s="788">
        <v>40996</v>
      </c>
      <c r="L2724" s="787">
        <v>0.41</v>
      </c>
      <c r="M2724" s="787">
        <v>10</v>
      </c>
      <c r="N2724" s="787">
        <v>1.03</v>
      </c>
      <c r="O2724" s="788">
        <v>42152</v>
      </c>
    </row>
    <row r="2725" spans="1:15" x14ac:dyDescent="0.25">
      <c r="A2725" s="786" t="s">
        <v>5652</v>
      </c>
      <c r="B2725" s="787">
        <v>4</v>
      </c>
      <c r="C2725" s="787" t="s">
        <v>5640</v>
      </c>
      <c r="D2725" s="787">
        <v>0</v>
      </c>
      <c r="E2725" s="787">
        <v>0</v>
      </c>
      <c r="H2725" s="787">
        <v>1</v>
      </c>
      <c r="L2725" s="787">
        <v>0</v>
      </c>
      <c r="M2725" s="787">
        <v>10</v>
      </c>
      <c r="N2725" s="787">
        <v>0.45</v>
      </c>
      <c r="O2725" s="788">
        <v>41858</v>
      </c>
    </row>
    <row r="2726" spans="1:15" x14ac:dyDescent="0.25">
      <c r="A2726" s="786" t="s">
        <v>5653</v>
      </c>
      <c r="B2726" s="787">
        <v>4</v>
      </c>
      <c r="C2726" s="787" t="s">
        <v>5654</v>
      </c>
      <c r="D2726" s="787">
        <v>2.44</v>
      </c>
      <c r="E2726" s="787">
        <v>5.33</v>
      </c>
      <c r="F2726" s="788">
        <v>41499</v>
      </c>
      <c r="G2726" s="788">
        <v>42122</v>
      </c>
      <c r="H2726" s="787">
        <v>1</v>
      </c>
      <c r="I2726" s="788">
        <v>42164</v>
      </c>
      <c r="J2726" s="788">
        <v>42122</v>
      </c>
      <c r="K2726" s="788">
        <v>41053</v>
      </c>
      <c r="L2726" s="787">
        <v>4.8499999999999996</v>
      </c>
      <c r="M2726" s="787">
        <v>10</v>
      </c>
      <c r="N2726" s="787">
        <v>12.17</v>
      </c>
      <c r="O2726" s="788">
        <v>42152</v>
      </c>
    </row>
    <row r="2727" spans="1:15" x14ac:dyDescent="0.25">
      <c r="A2727" s="786" t="s">
        <v>5655</v>
      </c>
      <c r="B2727" s="787">
        <v>4</v>
      </c>
      <c r="C2727" s="787" t="s">
        <v>5654</v>
      </c>
      <c r="D2727" s="787">
        <v>3.83</v>
      </c>
      <c r="E2727" s="787">
        <v>18.66</v>
      </c>
      <c r="F2727" s="788">
        <v>40644</v>
      </c>
      <c r="G2727" s="788">
        <v>42129</v>
      </c>
      <c r="H2727" s="787">
        <v>1</v>
      </c>
      <c r="I2727" s="788">
        <v>42164</v>
      </c>
      <c r="J2727" s="788">
        <v>42129</v>
      </c>
      <c r="K2727" s="788">
        <v>41065</v>
      </c>
      <c r="L2727" s="787">
        <v>5.69</v>
      </c>
      <c r="M2727" s="787">
        <v>10</v>
      </c>
      <c r="N2727" s="787">
        <v>4.6100000000000003</v>
      </c>
      <c r="O2727" s="788">
        <v>42152</v>
      </c>
    </row>
    <row r="2728" spans="1:15" x14ac:dyDescent="0.25">
      <c r="A2728" s="786" t="s">
        <v>5656</v>
      </c>
      <c r="B2728" s="787">
        <v>4</v>
      </c>
      <c r="C2728" s="787" t="s">
        <v>5654</v>
      </c>
      <c r="D2728" s="787">
        <v>3.83</v>
      </c>
      <c r="E2728" s="787">
        <v>44.67</v>
      </c>
      <c r="F2728" s="788">
        <v>40644</v>
      </c>
      <c r="G2728" s="788">
        <v>41970</v>
      </c>
      <c r="H2728" s="787">
        <v>1</v>
      </c>
      <c r="I2728" s="788">
        <v>42124</v>
      </c>
      <c r="J2728" s="788">
        <v>41950</v>
      </c>
      <c r="K2728" s="788">
        <v>41065</v>
      </c>
      <c r="L2728" s="787">
        <v>5.69</v>
      </c>
      <c r="M2728" s="787">
        <v>10</v>
      </c>
      <c r="N2728" s="787">
        <v>13.66</v>
      </c>
      <c r="O2728" s="788">
        <v>42152</v>
      </c>
    </row>
    <row r="2729" spans="1:15" x14ac:dyDescent="0.25">
      <c r="A2729" s="786" t="s">
        <v>5657</v>
      </c>
      <c r="B2729" s="787">
        <v>4</v>
      </c>
      <c r="C2729" s="787" t="s">
        <v>5658</v>
      </c>
      <c r="D2729" s="787">
        <v>2.5499999999999998</v>
      </c>
      <c r="E2729" s="787">
        <v>23.82</v>
      </c>
      <c r="F2729" s="788">
        <v>40644</v>
      </c>
      <c r="G2729" s="788">
        <v>42122</v>
      </c>
      <c r="H2729" s="787">
        <v>1</v>
      </c>
      <c r="I2729" s="788">
        <v>42164</v>
      </c>
      <c r="J2729" s="788">
        <v>42129</v>
      </c>
      <c r="K2729" s="788">
        <v>41053</v>
      </c>
      <c r="L2729" s="787">
        <v>4.83</v>
      </c>
      <c r="M2729" s="787">
        <v>10</v>
      </c>
      <c r="N2729" s="787">
        <v>12.44</v>
      </c>
      <c r="O2729" s="788">
        <v>42152</v>
      </c>
    </row>
    <row r="2730" spans="1:15" x14ac:dyDescent="0.25">
      <c r="A2730" s="786" t="s">
        <v>5659</v>
      </c>
      <c r="B2730" s="787">
        <v>4</v>
      </c>
      <c r="C2730" s="787" t="s">
        <v>5660</v>
      </c>
      <c r="D2730" s="787">
        <v>3.42</v>
      </c>
      <c r="E2730" s="787">
        <v>101.95</v>
      </c>
      <c r="F2730" s="788">
        <v>41813</v>
      </c>
      <c r="G2730" s="788">
        <v>42165</v>
      </c>
      <c r="H2730" s="787">
        <v>1</v>
      </c>
      <c r="I2730" s="788">
        <v>41928</v>
      </c>
      <c r="J2730" s="788">
        <v>42129</v>
      </c>
      <c r="K2730" s="788">
        <v>41003</v>
      </c>
      <c r="L2730" s="787">
        <v>46.33</v>
      </c>
      <c r="M2730" s="787">
        <v>10</v>
      </c>
      <c r="N2730" s="787">
        <v>78.86</v>
      </c>
      <c r="O2730" s="788">
        <v>42152</v>
      </c>
    </row>
    <row r="2731" spans="1:15" x14ac:dyDescent="0.25">
      <c r="A2731" s="786" t="s">
        <v>5661</v>
      </c>
      <c r="B2731" s="787">
        <v>4</v>
      </c>
      <c r="C2731" s="787" t="s">
        <v>5660</v>
      </c>
      <c r="D2731" s="787">
        <v>9.7899999999999991</v>
      </c>
      <c r="E2731" s="787">
        <v>98.53</v>
      </c>
      <c r="F2731" s="788">
        <v>40644</v>
      </c>
      <c r="G2731" s="788">
        <v>42156</v>
      </c>
      <c r="H2731" s="787">
        <v>1</v>
      </c>
      <c r="I2731" s="788">
        <v>41928</v>
      </c>
      <c r="J2731" s="788">
        <v>42124</v>
      </c>
      <c r="K2731" s="788">
        <v>41003</v>
      </c>
      <c r="L2731" s="787">
        <v>46.33</v>
      </c>
      <c r="M2731" s="787">
        <v>10</v>
      </c>
      <c r="N2731" s="787">
        <v>88.87</v>
      </c>
      <c r="O2731" s="788">
        <v>42152</v>
      </c>
    </row>
    <row r="2732" spans="1:15" x14ac:dyDescent="0.25">
      <c r="A2732" s="786" t="s">
        <v>5662</v>
      </c>
      <c r="B2732" s="787">
        <v>4</v>
      </c>
      <c r="C2732" s="787" t="s">
        <v>5663</v>
      </c>
      <c r="D2732" s="787">
        <v>3.29</v>
      </c>
      <c r="E2732" s="787">
        <v>5.76</v>
      </c>
      <c r="F2732" s="788">
        <v>41613</v>
      </c>
      <c r="G2732" s="788">
        <v>42013</v>
      </c>
      <c r="H2732" s="787">
        <v>1</v>
      </c>
      <c r="I2732" s="788">
        <v>42159</v>
      </c>
      <c r="J2732" s="788">
        <v>41941</v>
      </c>
      <c r="K2732" s="788">
        <v>41402</v>
      </c>
      <c r="L2732" s="787">
        <v>1</v>
      </c>
      <c r="M2732" s="787">
        <v>10</v>
      </c>
      <c r="N2732" s="787">
        <v>3.82</v>
      </c>
      <c r="O2732" s="788">
        <v>42152</v>
      </c>
    </row>
    <row r="2733" spans="1:15" x14ac:dyDescent="0.25">
      <c r="A2733" s="786" t="s">
        <v>5664</v>
      </c>
      <c r="B2733" s="787">
        <v>4</v>
      </c>
      <c r="C2733" s="787" t="s">
        <v>5663</v>
      </c>
      <c r="D2733" s="787">
        <v>3.3</v>
      </c>
      <c r="E2733" s="787">
        <v>6.99</v>
      </c>
      <c r="F2733" s="788">
        <v>41613</v>
      </c>
      <c r="G2733" s="788">
        <v>42013</v>
      </c>
      <c r="H2733" s="787">
        <v>1</v>
      </c>
      <c r="I2733" s="788">
        <v>42017</v>
      </c>
      <c r="J2733" s="788">
        <v>41941</v>
      </c>
      <c r="K2733" s="788">
        <v>41402</v>
      </c>
      <c r="L2733" s="787">
        <v>1</v>
      </c>
      <c r="M2733" s="787">
        <v>10</v>
      </c>
      <c r="N2733" s="787">
        <v>3.82</v>
      </c>
      <c r="O2733" s="788">
        <v>42152</v>
      </c>
    </row>
    <row r="2734" spans="1:15" x14ac:dyDescent="0.25">
      <c r="A2734" s="786" t="s">
        <v>5665</v>
      </c>
      <c r="B2734" s="787">
        <v>4</v>
      </c>
      <c r="C2734" s="787" t="s">
        <v>5666</v>
      </c>
      <c r="D2734" s="787">
        <v>0</v>
      </c>
      <c r="E2734" s="787">
        <v>0</v>
      </c>
      <c r="H2734" s="787">
        <v>1</v>
      </c>
      <c r="I2734" s="788">
        <v>42165</v>
      </c>
      <c r="K2734" s="788">
        <v>41404</v>
      </c>
      <c r="L2734" s="787">
        <v>9.6999999999999993</v>
      </c>
      <c r="M2734" s="787">
        <v>10</v>
      </c>
      <c r="N2734" s="787">
        <v>9.02</v>
      </c>
      <c r="O2734" s="788">
        <v>41858</v>
      </c>
    </row>
    <row r="2735" spans="1:15" x14ac:dyDescent="0.25">
      <c r="A2735" s="786" t="s">
        <v>5667</v>
      </c>
      <c r="B2735" s="787">
        <v>4</v>
      </c>
      <c r="C2735" s="787" t="s">
        <v>5668</v>
      </c>
      <c r="D2735" s="787">
        <v>3.23</v>
      </c>
      <c r="E2735" s="787">
        <v>6.37</v>
      </c>
      <c r="F2735" s="788">
        <v>41548</v>
      </c>
      <c r="G2735" s="788">
        <v>42163</v>
      </c>
      <c r="H2735" s="787">
        <v>1</v>
      </c>
      <c r="I2735" s="788">
        <v>42165</v>
      </c>
      <c r="J2735" s="788">
        <v>42163</v>
      </c>
      <c r="K2735" s="788">
        <v>41425</v>
      </c>
      <c r="L2735" s="787">
        <v>1</v>
      </c>
      <c r="M2735" s="787">
        <v>10</v>
      </c>
      <c r="N2735" s="787">
        <v>3.34</v>
      </c>
      <c r="O2735" s="788">
        <v>42152</v>
      </c>
    </row>
    <row r="2736" spans="1:15" x14ac:dyDescent="0.25">
      <c r="A2736" s="786" t="s">
        <v>5669</v>
      </c>
      <c r="B2736" s="787">
        <v>4</v>
      </c>
      <c r="C2736" s="787" t="s">
        <v>5631</v>
      </c>
      <c r="D2736" s="787">
        <v>2.64</v>
      </c>
      <c r="E2736" s="787">
        <v>6.58</v>
      </c>
      <c r="F2736" s="788">
        <v>41135</v>
      </c>
      <c r="G2736" s="788">
        <v>42163</v>
      </c>
      <c r="H2736" s="787">
        <v>1</v>
      </c>
      <c r="I2736" s="788">
        <v>42165</v>
      </c>
      <c r="J2736" s="788">
        <v>42163</v>
      </c>
      <c r="K2736" s="788">
        <v>41425</v>
      </c>
      <c r="L2736" s="787">
        <v>1</v>
      </c>
      <c r="M2736" s="787">
        <v>10</v>
      </c>
      <c r="N2736" s="787">
        <v>3.86</v>
      </c>
      <c r="O2736" s="788">
        <v>42152</v>
      </c>
    </row>
    <row r="2737" spans="1:15" x14ac:dyDescent="0.25">
      <c r="A2737" s="786" t="s">
        <v>5670</v>
      </c>
      <c r="B2737" s="787">
        <v>4</v>
      </c>
      <c r="C2737" s="787" t="s">
        <v>5671</v>
      </c>
      <c r="D2737" s="787">
        <v>0</v>
      </c>
      <c r="E2737" s="787">
        <v>0</v>
      </c>
      <c r="H2737" s="787">
        <v>1</v>
      </c>
      <c r="I2737" s="788">
        <v>41731</v>
      </c>
      <c r="K2737" s="788">
        <v>40970</v>
      </c>
      <c r="L2737" s="787">
        <v>9.77</v>
      </c>
      <c r="M2737" s="787">
        <v>10</v>
      </c>
      <c r="N2737" s="787">
        <v>8.07</v>
      </c>
      <c r="O2737" s="788">
        <v>41858</v>
      </c>
    </row>
    <row r="2738" spans="1:15" x14ac:dyDescent="0.25">
      <c r="A2738" s="786" t="s">
        <v>5672</v>
      </c>
      <c r="B2738" s="787">
        <v>4</v>
      </c>
      <c r="C2738" s="787" t="s">
        <v>5673</v>
      </c>
      <c r="D2738" s="787">
        <v>0.45</v>
      </c>
      <c r="E2738" s="787">
        <v>1.04</v>
      </c>
      <c r="F2738" s="788">
        <v>41477</v>
      </c>
      <c r="G2738" s="788">
        <v>42142</v>
      </c>
      <c r="H2738" s="787">
        <v>1</v>
      </c>
      <c r="I2738" s="788">
        <v>42153</v>
      </c>
      <c r="J2738" s="788">
        <v>42142</v>
      </c>
      <c r="K2738" s="788">
        <v>41330</v>
      </c>
      <c r="L2738" s="787">
        <v>0.47</v>
      </c>
      <c r="M2738" s="787">
        <v>10</v>
      </c>
      <c r="N2738" s="787">
        <v>1.1299999999999999</v>
      </c>
      <c r="O2738" s="788">
        <v>42164</v>
      </c>
    </row>
    <row r="2739" spans="1:15" x14ac:dyDescent="0.25">
      <c r="A2739" s="786" t="s">
        <v>5674</v>
      </c>
      <c r="B2739" s="787">
        <v>4</v>
      </c>
      <c r="C2739" s="787" t="s">
        <v>5675</v>
      </c>
      <c r="D2739" s="787">
        <v>0.17</v>
      </c>
      <c r="E2739" s="787">
        <v>8.5299999999999994</v>
      </c>
      <c r="F2739" s="788">
        <v>41135</v>
      </c>
      <c r="G2739" s="788">
        <v>42104</v>
      </c>
      <c r="H2739" s="787">
        <v>1</v>
      </c>
      <c r="I2739" s="788">
        <v>42020</v>
      </c>
      <c r="J2739" s="788">
        <v>42076</v>
      </c>
      <c r="K2739" s="788">
        <v>41348</v>
      </c>
      <c r="L2739" s="787">
        <v>2.85</v>
      </c>
      <c r="M2739" s="787">
        <v>10</v>
      </c>
      <c r="N2739" s="787">
        <v>3.18</v>
      </c>
      <c r="O2739" s="788">
        <v>42013</v>
      </c>
    </row>
    <row r="2740" spans="1:15" x14ac:dyDescent="0.25">
      <c r="A2740" s="786" t="s">
        <v>5676</v>
      </c>
      <c r="B2740" s="787">
        <v>4</v>
      </c>
      <c r="C2740" s="787" t="s">
        <v>5677</v>
      </c>
      <c r="D2740" s="787">
        <v>6.91</v>
      </c>
      <c r="E2740" s="787">
        <v>26.91</v>
      </c>
      <c r="F2740" s="788">
        <v>41758</v>
      </c>
      <c r="G2740" s="788">
        <v>42116</v>
      </c>
      <c r="H2740" s="787">
        <v>1</v>
      </c>
      <c r="I2740" s="788">
        <v>42163</v>
      </c>
      <c r="J2740" s="788">
        <v>42145</v>
      </c>
      <c r="K2740" s="788">
        <v>41549</v>
      </c>
      <c r="L2740" s="787">
        <v>26.91</v>
      </c>
      <c r="M2740" s="787">
        <v>20</v>
      </c>
      <c r="N2740" s="787">
        <v>28.93</v>
      </c>
      <c r="O2740" s="788">
        <v>42136</v>
      </c>
    </row>
    <row r="2741" spans="1:15" x14ac:dyDescent="0.25">
      <c r="A2741" s="786" t="s">
        <v>5678</v>
      </c>
      <c r="B2741" s="787">
        <v>4</v>
      </c>
      <c r="C2741" s="787" t="s">
        <v>5679</v>
      </c>
      <c r="D2741" s="787">
        <v>6.54</v>
      </c>
      <c r="E2741" s="787">
        <v>6.92</v>
      </c>
      <c r="F2741" s="788">
        <v>41913</v>
      </c>
      <c r="G2741" s="788">
        <v>42137</v>
      </c>
      <c r="H2741" s="787">
        <v>1</v>
      </c>
      <c r="I2741" s="788">
        <v>42163</v>
      </c>
      <c r="J2741" s="788">
        <v>42137</v>
      </c>
      <c r="K2741" s="788">
        <v>41148</v>
      </c>
      <c r="L2741" s="787">
        <v>4.7300000000000004</v>
      </c>
      <c r="M2741" s="787">
        <v>10</v>
      </c>
      <c r="N2741" s="787">
        <v>8.3000000000000007</v>
      </c>
      <c r="O2741" s="788">
        <v>42136</v>
      </c>
    </row>
    <row r="2742" spans="1:15" x14ac:dyDescent="0.25">
      <c r="A2742" s="786" t="s">
        <v>5680</v>
      </c>
      <c r="B2742" s="787">
        <v>4</v>
      </c>
      <c r="C2742" s="787" t="s">
        <v>5681</v>
      </c>
      <c r="D2742" s="787">
        <v>1.35</v>
      </c>
      <c r="E2742" s="787">
        <v>4.42</v>
      </c>
      <c r="F2742" s="788">
        <v>41519</v>
      </c>
      <c r="G2742" s="788">
        <v>42118</v>
      </c>
      <c r="H2742" s="787">
        <v>1</v>
      </c>
      <c r="I2742" s="788">
        <v>42136</v>
      </c>
      <c r="J2742" s="788">
        <v>42089</v>
      </c>
      <c r="K2742" s="788">
        <v>41328</v>
      </c>
      <c r="L2742" s="787">
        <v>2.33</v>
      </c>
      <c r="M2742" s="787">
        <v>10</v>
      </c>
      <c r="N2742" s="787">
        <v>3.77</v>
      </c>
      <c r="O2742" s="788">
        <v>42136</v>
      </c>
    </row>
    <row r="2743" spans="1:15" x14ac:dyDescent="0.25">
      <c r="A2743" s="786" t="s">
        <v>5682</v>
      </c>
      <c r="B2743" s="787">
        <v>4</v>
      </c>
      <c r="C2743" s="787" t="s">
        <v>5683</v>
      </c>
      <c r="D2743" s="787">
        <v>0.14000000000000001</v>
      </c>
      <c r="E2743" s="787">
        <v>0.37</v>
      </c>
      <c r="F2743" s="788">
        <v>40792</v>
      </c>
      <c r="G2743" s="788">
        <v>42163</v>
      </c>
      <c r="H2743" s="787">
        <v>1</v>
      </c>
      <c r="I2743" s="788">
        <v>42166</v>
      </c>
      <c r="J2743" s="788">
        <v>42144</v>
      </c>
      <c r="K2743" s="788">
        <v>41470</v>
      </c>
      <c r="L2743" s="787">
        <v>0.18</v>
      </c>
      <c r="M2743" s="787">
        <v>10</v>
      </c>
      <c r="N2743" s="787">
        <v>0.46</v>
      </c>
      <c r="O2743" s="788">
        <v>42136</v>
      </c>
    </row>
    <row r="2744" spans="1:15" x14ac:dyDescent="0.25">
      <c r="A2744" s="786" t="s">
        <v>5684</v>
      </c>
      <c r="B2744" s="787">
        <v>4</v>
      </c>
      <c r="C2744" s="787" t="s">
        <v>5685</v>
      </c>
      <c r="D2744" s="787">
        <v>2.13</v>
      </c>
      <c r="E2744" s="787">
        <v>5.64</v>
      </c>
      <c r="F2744" s="788">
        <v>41180</v>
      </c>
      <c r="G2744" s="788">
        <v>42166</v>
      </c>
      <c r="H2744" s="787">
        <v>1</v>
      </c>
      <c r="I2744" s="788">
        <v>42166</v>
      </c>
      <c r="J2744" s="788">
        <v>42166</v>
      </c>
      <c r="K2744" s="788">
        <v>40994</v>
      </c>
      <c r="L2744" s="787">
        <v>4.75</v>
      </c>
      <c r="M2744" s="787">
        <v>10</v>
      </c>
      <c r="N2744" s="787">
        <v>5.0199999999999996</v>
      </c>
      <c r="O2744" s="788">
        <v>42136</v>
      </c>
    </row>
    <row r="2745" spans="1:15" x14ac:dyDescent="0.25">
      <c r="A2745" s="786" t="s">
        <v>5686</v>
      </c>
      <c r="B2745" s="787">
        <v>4</v>
      </c>
      <c r="C2745" s="787" t="s">
        <v>5687</v>
      </c>
      <c r="D2745" s="787">
        <v>0.59</v>
      </c>
      <c r="E2745" s="787">
        <v>3.56</v>
      </c>
      <c r="F2745" s="788">
        <v>41425</v>
      </c>
      <c r="G2745" s="788">
        <v>42163</v>
      </c>
      <c r="H2745" s="787">
        <v>1</v>
      </c>
      <c r="I2745" s="788">
        <v>42166</v>
      </c>
      <c r="J2745" s="788">
        <v>42163</v>
      </c>
      <c r="K2745" s="788">
        <v>41452</v>
      </c>
      <c r="L2745" s="787">
        <v>1.63</v>
      </c>
      <c r="M2745" s="787">
        <v>10</v>
      </c>
      <c r="N2745" s="787">
        <v>1.59</v>
      </c>
      <c r="O2745" s="788">
        <v>42144</v>
      </c>
    </row>
    <row r="2746" spans="1:15" x14ac:dyDescent="0.25">
      <c r="A2746" s="786" t="s">
        <v>700</v>
      </c>
      <c r="B2746" s="787">
        <v>4</v>
      </c>
      <c r="C2746" s="787" t="s">
        <v>5688</v>
      </c>
      <c r="D2746" s="787">
        <v>1.5</v>
      </c>
      <c r="E2746" s="787">
        <v>3.37</v>
      </c>
      <c r="F2746" s="788">
        <v>42124</v>
      </c>
      <c r="G2746" s="788">
        <v>42163</v>
      </c>
      <c r="H2746" s="787">
        <v>1</v>
      </c>
      <c r="I2746" s="788">
        <v>42166</v>
      </c>
      <c r="J2746" s="788">
        <v>42163</v>
      </c>
      <c r="K2746" s="788">
        <v>42153</v>
      </c>
      <c r="L2746" s="787">
        <v>0.96</v>
      </c>
      <c r="M2746" s="787">
        <v>20</v>
      </c>
      <c r="N2746" s="787">
        <v>6.73</v>
      </c>
      <c r="O2746" s="788">
        <v>42136</v>
      </c>
    </row>
    <row r="2747" spans="1:15" x14ac:dyDescent="0.25">
      <c r="A2747" s="786" t="s">
        <v>5689</v>
      </c>
      <c r="B2747" s="787">
        <v>4</v>
      </c>
      <c r="C2747" s="787" t="s">
        <v>5690</v>
      </c>
      <c r="D2747" s="787">
        <v>3.43</v>
      </c>
      <c r="E2747" s="787">
        <v>13.47</v>
      </c>
      <c r="F2747" s="788">
        <v>41135</v>
      </c>
      <c r="G2747" s="788">
        <v>42158</v>
      </c>
      <c r="H2747" s="787">
        <v>1</v>
      </c>
      <c r="I2747" s="788">
        <v>42166</v>
      </c>
      <c r="J2747" s="788">
        <v>42130</v>
      </c>
      <c r="K2747" s="788">
        <v>41127</v>
      </c>
      <c r="L2747" s="787">
        <v>6.73</v>
      </c>
      <c r="M2747" s="787">
        <v>10</v>
      </c>
      <c r="N2747" s="787">
        <v>6.01</v>
      </c>
      <c r="O2747" s="788">
        <v>42136</v>
      </c>
    </row>
    <row r="2748" spans="1:15" x14ac:dyDescent="0.25">
      <c r="A2748" s="786" t="s">
        <v>5691</v>
      </c>
      <c r="B2748" s="787">
        <v>4</v>
      </c>
      <c r="C2748" s="787" t="s">
        <v>5692</v>
      </c>
      <c r="D2748" s="787">
        <v>3.04</v>
      </c>
      <c r="E2748" s="787">
        <v>23.24</v>
      </c>
      <c r="F2748" s="788">
        <v>41135</v>
      </c>
      <c r="G2748" s="788">
        <v>42145</v>
      </c>
      <c r="H2748" s="787">
        <v>1</v>
      </c>
      <c r="I2748" s="788">
        <v>42152</v>
      </c>
      <c r="J2748" s="788">
        <v>42159</v>
      </c>
      <c r="K2748" s="788">
        <v>40983</v>
      </c>
      <c r="L2748" s="787">
        <v>3.3</v>
      </c>
      <c r="M2748" s="787">
        <v>10</v>
      </c>
      <c r="N2748" s="787">
        <v>5.09</v>
      </c>
      <c r="O2748" s="788">
        <v>42136</v>
      </c>
    </row>
    <row r="2749" spans="1:15" x14ac:dyDescent="0.25">
      <c r="A2749" s="786" t="s">
        <v>5693</v>
      </c>
      <c r="B2749" s="787">
        <v>4</v>
      </c>
      <c r="C2749" s="787" t="s">
        <v>5694</v>
      </c>
      <c r="D2749" s="787">
        <v>5.91</v>
      </c>
      <c r="E2749" s="787">
        <v>25.91</v>
      </c>
      <c r="F2749" s="788">
        <v>41842</v>
      </c>
      <c r="G2749" s="788">
        <v>42054</v>
      </c>
      <c r="H2749" s="787">
        <v>1</v>
      </c>
      <c r="I2749" s="788">
        <v>42152</v>
      </c>
      <c r="J2749" s="788">
        <v>42054</v>
      </c>
      <c r="K2749" s="788">
        <v>41549</v>
      </c>
      <c r="L2749" s="787">
        <v>25.91</v>
      </c>
      <c r="M2749" s="787">
        <v>20</v>
      </c>
      <c r="N2749" s="787">
        <v>27.85</v>
      </c>
      <c r="O2749" s="788">
        <v>42082</v>
      </c>
    </row>
    <row r="2750" spans="1:15" x14ac:dyDescent="0.25">
      <c r="A2750" s="786" t="s">
        <v>5695</v>
      </c>
      <c r="B2750" s="787">
        <v>4</v>
      </c>
      <c r="C2750" s="787" t="s">
        <v>5696</v>
      </c>
      <c r="D2750" s="787">
        <v>0</v>
      </c>
      <c r="E2750" s="787">
        <v>0</v>
      </c>
      <c r="G2750" s="788">
        <v>40115</v>
      </c>
      <c r="H2750" s="787">
        <v>1</v>
      </c>
      <c r="J2750" s="788">
        <v>40115</v>
      </c>
      <c r="L2750" s="787">
        <v>0</v>
      </c>
      <c r="M2750" s="787">
        <v>10</v>
      </c>
      <c r="N2750" s="787">
        <v>0.25</v>
      </c>
      <c r="O2750" s="788">
        <v>42082</v>
      </c>
    </row>
    <row r="2751" spans="1:15" x14ac:dyDescent="0.25">
      <c r="A2751" s="786" t="s">
        <v>5697</v>
      </c>
      <c r="B2751" s="787">
        <v>4</v>
      </c>
      <c r="C2751" s="787" t="s">
        <v>5698</v>
      </c>
      <c r="D2751" s="787">
        <v>2.39</v>
      </c>
      <c r="E2751" s="787">
        <v>6.12</v>
      </c>
      <c r="F2751" s="788">
        <v>41306</v>
      </c>
      <c r="G2751" s="788">
        <v>42156</v>
      </c>
      <c r="H2751" s="787">
        <v>1</v>
      </c>
      <c r="I2751" s="788">
        <v>42153</v>
      </c>
      <c r="J2751" s="788">
        <v>42156</v>
      </c>
      <c r="K2751" s="788">
        <v>40983</v>
      </c>
      <c r="L2751" s="787">
        <v>1.37</v>
      </c>
      <c r="M2751" s="787">
        <v>10</v>
      </c>
      <c r="N2751" s="787">
        <v>1.96</v>
      </c>
      <c r="O2751" s="788">
        <v>42144</v>
      </c>
    </row>
    <row r="2752" spans="1:15" x14ac:dyDescent="0.25">
      <c r="A2752" s="786" t="s">
        <v>5699</v>
      </c>
      <c r="B2752" s="787">
        <v>4</v>
      </c>
      <c r="C2752" s="787" t="s">
        <v>5700</v>
      </c>
      <c r="D2752" s="787">
        <v>0</v>
      </c>
      <c r="E2752" s="787">
        <v>0</v>
      </c>
      <c r="G2752" s="788">
        <v>42013</v>
      </c>
      <c r="H2752" s="787">
        <v>1</v>
      </c>
      <c r="I2752" s="788">
        <v>42153</v>
      </c>
      <c r="J2752" s="788">
        <v>40115</v>
      </c>
      <c r="K2752" s="788">
        <v>40983</v>
      </c>
      <c r="L2752" s="787">
        <v>0.54</v>
      </c>
      <c r="M2752" s="787">
        <v>10</v>
      </c>
      <c r="N2752" s="787">
        <v>0.5</v>
      </c>
      <c r="O2752" s="788">
        <v>42144</v>
      </c>
    </row>
    <row r="2753" spans="1:15" x14ac:dyDescent="0.25">
      <c r="A2753" s="786" t="s">
        <v>5701</v>
      </c>
      <c r="B2753" s="787">
        <v>4</v>
      </c>
      <c r="C2753" s="787" t="s">
        <v>5702</v>
      </c>
      <c r="D2753" s="787">
        <v>4.1399999999999997</v>
      </c>
      <c r="E2753" s="787">
        <v>4.4400000000000004</v>
      </c>
      <c r="F2753" s="788">
        <v>41135</v>
      </c>
      <c r="G2753" s="788">
        <v>42013</v>
      </c>
      <c r="H2753" s="787">
        <v>1</v>
      </c>
      <c r="I2753" s="788">
        <v>42153</v>
      </c>
      <c r="J2753" s="788">
        <v>41589</v>
      </c>
      <c r="K2753" s="788">
        <v>40983</v>
      </c>
      <c r="L2753" s="787">
        <v>6.18</v>
      </c>
      <c r="M2753" s="787">
        <v>10</v>
      </c>
      <c r="N2753" s="787">
        <v>6.4</v>
      </c>
      <c r="O2753" s="788">
        <v>42144</v>
      </c>
    </row>
    <row r="2754" spans="1:15" x14ac:dyDescent="0.25">
      <c r="A2754" s="786" t="s">
        <v>5703</v>
      </c>
      <c r="B2754" s="787">
        <v>4</v>
      </c>
      <c r="C2754" s="787" t="s">
        <v>5704</v>
      </c>
      <c r="D2754" s="787">
        <v>4.62</v>
      </c>
      <c r="E2754" s="787">
        <v>4.8899999999999997</v>
      </c>
      <c r="F2754" s="788">
        <v>40948</v>
      </c>
      <c r="G2754" s="788">
        <v>41775</v>
      </c>
      <c r="H2754" s="787">
        <v>1</v>
      </c>
      <c r="I2754" s="788">
        <v>42153</v>
      </c>
      <c r="J2754" s="788">
        <v>41589</v>
      </c>
      <c r="K2754" s="788">
        <v>40983</v>
      </c>
      <c r="L2754" s="787">
        <v>5.42</v>
      </c>
      <c r="M2754" s="787">
        <v>10</v>
      </c>
      <c r="N2754" s="787">
        <v>7.7</v>
      </c>
      <c r="O2754" s="788">
        <v>42144</v>
      </c>
    </row>
    <row r="2755" spans="1:15" x14ac:dyDescent="0.25">
      <c r="A2755" s="786" t="s">
        <v>5705</v>
      </c>
      <c r="B2755" s="787">
        <v>4</v>
      </c>
      <c r="C2755" s="787" t="s">
        <v>5706</v>
      </c>
      <c r="D2755" s="787">
        <v>0</v>
      </c>
      <c r="E2755" s="787">
        <v>0</v>
      </c>
      <c r="G2755" s="788">
        <v>41255</v>
      </c>
      <c r="H2755" s="787">
        <v>1</v>
      </c>
      <c r="J2755" s="788">
        <v>40115</v>
      </c>
      <c r="K2755" s="788">
        <v>41291</v>
      </c>
      <c r="L2755" s="787">
        <v>6.13</v>
      </c>
      <c r="M2755" s="787">
        <v>10</v>
      </c>
      <c r="N2755" s="787">
        <v>6.01</v>
      </c>
      <c r="O2755" s="788">
        <v>42082</v>
      </c>
    </row>
    <row r="2756" spans="1:15" x14ac:dyDescent="0.25">
      <c r="A2756" s="786" t="s">
        <v>5707</v>
      </c>
      <c r="B2756" s="787">
        <v>4</v>
      </c>
      <c r="C2756" s="787" t="s">
        <v>5708</v>
      </c>
      <c r="D2756" s="787">
        <v>0</v>
      </c>
      <c r="E2756" s="787">
        <v>0</v>
      </c>
      <c r="G2756" s="788">
        <v>41255</v>
      </c>
      <c r="H2756" s="787">
        <v>1</v>
      </c>
      <c r="J2756" s="788">
        <v>40115</v>
      </c>
      <c r="K2756" s="788">
        <v>41291</v>
      </c>
      <c r="L2756" s="787">
        <v>6.33</v>
      </c>
      <c r="M2756" s="787">
        <v>10</v>
      </c>
      <c r="N2756" s="787">
        <v>6.21</v>
      </c>
      <c r="O2756" s="788">
        <v>42082</v>
      </c>
    </row>
    <row r="2757" spans="1:15" x14ac:dyDescent="0.25">
      <c r="A2757" s="786" t="s">
        <v>5709</v>
      </c>
      <c r="B2757" s="787">
        <v>4</v>
      </c>
      <c r="C2757" s="787" t="s">
        <v>5710</v>
      </c>
      <c r="D2757" s="787">
        <v>3</v>
      </c>
      <c r="E2757" s="787">
        <v>3</v>
      </c>
      <c r="F2757" s="788">
        <v>41278</v>
      </c>
      <c r="G2757" s="788">
        <v>42013</v>
      </c>
      <c r="H2757" s="787">
        <v>1</v>
      </c>
      <c r="I2757" s="788">
        <v>42051</v>
      </c>
      <c r="J2757" s="788">
        <v>41206</v>
      </c>
      <c r="K2757" s="788">
        <v>41491</v>
      </c>
      <c r="L2757" s="787">
        <v>1.37</v>
      </c>
      <c r="M2757" s="787">
        <v>10</v>
      </c>
      <c r="N2757" s="787">
        <v>3.2</v>
      </c>
      <c r="O2757" s="788">
        <v>42144</v>
      </c>
    </row>
    <row r="2758" spans="1:15" x14ac:dyDescent="0.25">
      <c r="A2758" s="786" t="s">
        <v>5711</v>
      </c>
      <c r="B2758" s="787">
        <v>4</v>
      </c>
      <c r="C2758" s="787" t="s">
        <v>5712</v>
      </c>
      <c r="D2758" s="787">
        <v>1.67</v>
      </c>
      <c r="E2758" s="787">
        <v>6.16</v>
      </c>
      <c r="F2758" s="788">
        <v>40827</v>
      </c>
      <c r="G2758" s="788">
        <v>42013</v>
      </c>
      <c r="H2758" s="787">
        <v>1</v>
      </c>
      <c r="I2758" s="788">
        <v>42145</v>
      </c>
      <c r="J2758" s="788">
        <v>41887</v>
      </c>
      <c r="K2758" s="788">
        <v>41453</v>
      </c>
      <c r="L2758" s="787">
        <v>5.18</v>
      </c>
      <c r="M2758" s="787">
        <v>10</v>
      </c>
      <c r="N2758" s="787">
        <v>6.16</v>
      </c>
      <c r="O2758" s="788">
        <v>42144</v>
      </c>
    </row>
    <row r="2759" spans="1:15" x14ac:dyDescent="0.25">
      <c r="A2759" s="786" t="s">
        <v>5713</v>
      </c>
      <c r="B2759" s="787">
        <v>4</v>
      </c>
      <c r="C2759" s="787" t="s">
        <v>5714</v>
      </c>
      <c r="D2759" s="787">
        <v>6</v>
      </c>
      <c r="E2759" s="787">
        <v>26</v>
      </c>
      <c r="F2759" s="788">
        <v>41758</v>
      </c>
      <c r="G2759" s="788">
        <v>42013</v>
      </c>
      <c r="H2759" s="787">
        <v>1</v>
      </c>
      <c r="I2759" s="788">
        <v>42145</v>
      </c>
      <c r="J2759" s="788">
        <v>41751</v>
      </c>
      <c r="K2759" s="788">
        <v>41549</v>
      </c>
      <c r="L2759" s="787">
        <v>26</v>
      </c>
      <c r="M2759" s="787">
        <v>20</v>
      </c>
      <c r="N2759" s="787">
        <v>27.95</v>
      </c>
      <c r="O2759" s="788">
        <v>42144</v>
      </c>
    </row>
    <row r="2760" spans="1:15" x14ac:dyDescent="0.25">
      <c r="A2760" s="786" t="s">
        <v>5715</v>
      </c>
      <c r="B2760" s="787">
        <v>4</v>
      </c>
      <c r="C2760" s="787" t="s">
        <v>5716</v>
      </c>
      <c r="D2760" s="787">
        <v>8</v>
      </c>
      <c r="E2760" s="787">
        <v>68</v>
      </c>
      <c r="F2760" s="788">
        <v>40343</v>
      </c>
      <c r="G2760" s="788">
        <v>40316</v>
      </c>
      <c r="H2760" s="787">
        <v>1</v>
      </c>
      <c r="I2760" s="788">
        <v>42145</v>
      </c>
      <c r="J2760" s="788">
        <v>41719</v>
      </c>
      <c r="K2760" s="788">
        <v>41865</v>
      </c>
      <c r="L2760" s="787">
        <v>68</v>
      </c>
      <c r="M2760" s="787">
        <v>20</v>
      </c>
      <c r="N2760" s="787">
        <v>73.099999999999994</v>
      </c>
      <c r="O2760" s="788">
        <v>42144</v>
      </c>
    </row>
    <row r="2761" spans="1:15" x14ac:dyDescent="0.25">
      <c r="A2761" s="786" t="s">
        <v>5717</v>
      </c>
      <c r="B2761" s="787">
        <v>4</v>
      </c>
      <c r="C2761" s="787" t="s">
        <v>5718</v>
      </c>
      <c r="D2761" s="787">
        <v>4.37</v>
      </c>
      <c r="E2761" s="787">
        <v>4.7699999999999996</v>
      </c>
      <c r="F2761" s="788">
        <v>41519</v>
      </c>
      <c r="G2761" s="788">
        <v>41976</v>
      </c>
      <c r="H2761" s="787">
        <v>1</v>
      </c>
      <c r="I2761" s="788">
        <v>42143</v>
      </c>
      <c r="J2761" s="788">
        <v>41956</v>
      </c>
      <c r="K2761" s="788">
        <v>41288</v>
      </c>
      <c r="L2761" s="787">
        <v>0.01</v>
      </c>
      <c r="M2761" s="787">
        <v>10</v>
      </c>
      <c r="N2761" s="787">
        <v>4.5</v>
      </c>
      <c r="O2761" s="788">
        <v>42144</v>
      </c>
    </row>
    <row r="2762" spans="1:15" x14ac:dyDescent="0.25">
      <c r="A2762" s="786" t="s">
        <v>5719</v>
      </c>
      <c r="B2762" s="787">
        <v>4</v>
      </c>
      <c r="C2762" s="787" t="s">
        <v>5720</v>
      </c>
      <c r="D2762" s="787">
        <v>5.9</v>
      </c>
      <c r="E2762" s="787">
        <v>7.17</v>
      </c>
      <c r="F2762" s="788">
        <v>40827</v>
      </c>
      <c r="G2762" s="788">
        <v>42013</v>
      </c>
      <c r="H2762" s="787">
        <v>1</v>
      </c>
      <c r="I2762" s="788">
        <v>42145</v>
      </c>
      <c r="J2762" s="788">
        <v>41619</v>
      </c>
      <c r="K2762" s="788">
        <v>42153</v>
      </c>
      <c r="L2762" s="787">
        <v>1.66</v>
      </c>
      <c r="M2762" s="787">
        <v>20</v>
      </c>
      <c r="N2762" s="787">
        <v>5.91</v>
      </c>
      <c r="O2762" s="788">
        <v>42144</v>
      </c>
    </row>
    <row r="2763" spans="1:15" x14ac:dyDescent="0.25">
      <c r="A2763" s="786" t="s">
        <v>5721</v>
      </c>
      <c r="B2763" s="787">
        <v>4</v>
      </c>
      <c r="C2763" s="787" t="s">
        <v>5722</v>
      </c>
      <c r="D2763" s="787">
        <v>0.78</v>
      </c>
      <c r="E2763" s="787">
        <v>1.56</v>
      </c>
      <c r="F2763" s="788">
        <v>41180</v>
      </c>
      <c r="G2763" s="788">
        <v>42013</v>
      </c>
      <c r="H2763" s="787">
        <v>1</v>
      </c>
      <c r="I2763" s="788">
        <v>42051</v>
      </c>
      <c r="J2763" s="788">
        <v>41506</v>
      </c>
      <c r="K2763" s="788">
        <v>41491</v>
      </c>
      <c r="L2763" s="787">
        <v>0.91</v>
      </c>
      <c r="M2763" s="787">
        <v>10</v>
      </c>
      <c r="N2763" s="787">
        <v>0.67</v>
      </c>
      <c r="O2763" s="788">
        <v>42144</v>
      </c>
    </row>
    <row r="2764" spans="1:15" x14ac:dyDescent="0.25">
      <c r="A2764" s="786" t="s">
        <v>5723</v>
      </c>
      <c r="B2764" s="787">
        <v>4</v>
      </c>
      <c r="C2764" s="787" t="s">
        <v>5720</v>
      </c>
      <c r="D2764" s="787">
        <v>1.1299999999999999</v>
      </c>
      <c r="E2764" s="787">
        <v>6.34</v>
      </c>
      <c r="F2764" s="788">
        <v>41180</v>
      </c>
      <c r="G2764" s="788">
        <v>42013</v>
      </c>
      <c r="H2764" s="787">
        <v>1</v>
      </c>
      <c r="I2764" s="788">
        <v>42145</v>
      </c>
      <c r="J2764" s="788">
        <v>41514</v>
      </c>
      <c r="K2764" s="788">
        <v>42153</v>
      </c>
      <c r="L2764" s="789">
        <v>1643.23</v>
      </c>
      <c r="M2764" s="787">
        <v>20</v>
      </c>
      <c r="N2764" s="787">
        <v>4.49</v>
      </c>
      <c r="O2764" s="788">
        <v>42144</v>
      </c>
    </row>
    <row r="2765" spans="1:15" x14ac:dyDescent="0.25">
      <c r="A2765" s="786" t="s">
        <v>5724</v>
      </c>
      <c r="B2765" s="787">
        <v>4</v>
      </c>
      <c r="C2765" s="787" t="s">
        <v>5725</v>
      </c>
      <c r="D2765" s="787">
        <v>0.24</v>
      </c>
      <c r="E2765" s="787">
        <v>2.84</v>
      </c>
      <c r="F2765" s="788">
        <v>41824</v>
      </c>
      <c r="G2765" s="788">
        <v>41943</v>
      </c>
      <c r="H2765" s="787">
        <v>1</v>
      </c>
      <c r="I2765" s="788">
        <v>41942</v>
      </c>
      <c r="J2765" s="788">
        <v>41787</v>
      </c>
      <c r="K2765" s="788">
        <v>41452</v>
      </c>
      <c r="L2765" s="787">
        <v>1.57</v>
      </c>
      <c r="M2765" s="787">
        <v>10</v>
      </c>
      <c r="N2765" s="787">
        <v>2.59</v>
      </c>
      <c r="O2765" s="788">
        <v>42144</v>
      </c>
    </row>
    <row r="2766" spans="1:15" x14ac:dyDescent="0.25">
      <c r="A2766" s="786" t="s">
        <v>5726</v>
      </c>
      <c r="B2766" s="787">
        <v>4</v>
      </c>
      <c r="C2766" s="787" t="s">
        <v>5727</v>
      </c>
      <c r="D2766" s="787">
        <v>0.35</v>
      </c>
      <c r="E2766" s="787">
        <v>0.35</v>
      </c>
      <c r="F2766" s="788">
        <v>42145</v>
      </c>
      <c r="G2766" s="788">
        <v>42145</v>
      </c>
      <c r="H2766" s="787">
        <v>1</v>
      </c>
      <c r="I2766" s="788">
        <v>42160</v>
      </c>
      <c r="J2766" s="788">
        <v>42143</v>
      </c>
      <c r="K2766" s="788">
        <v>41290</v>
      </c>
      <c r="L2766" s="787">
        <v>2.2999999999999998</v>
      </c>
      <c r="M2766" s="787">
        <v>10</v>
      </c>
      <c r="N2766" s="787">
        <v>2.78</v>
      </c>
      <c r="O2766" s="788">
        <v>42164</v>
      </c>
    </row>
    <row r="2767" spans="1:15" x14ac:dyDescent="0.25">
      <c r="A2767" s="786" t="s">
        <v>701</v>
      </c>
      <c r="B2767" s="787">
        <v>4</v>
      </c>
      <c r="C2767" s="787" t="s">
        <v>5727</v>
      </c>
      <c r="D2767" s="787">
        <v>7.0000000000000007E-2</v>
      </c>
      <c r="E2767" s="787">
        <v>1.1599999999999999</v>
      </c>
      <c r="F2767" s="788">
        <v>40948</v>
      </c>
      <c r="G2767" s="788">
        <v>42163</v>
      </c>
      <c r="H2767" s="787">
        <v>1</v>
      </c>
      <c r="I2767" s="788">
        <v>42164</v>
      </c>
      <c r="J2767" s="788">
        <v>42156</v>
      </c>
      <c r="K2767" s="788">
        <v>41425</v>
      </c>
      <c r="L2767" s="787">
        <v>1</v>
      </c>
      <c r="M2767" s="787">
        <v>10</v>
      </c>
      <c r="N2767" s="787">
        <v>1.61</v>
      </c>
      <c r="O2767" s="788">
        <v>42164</v>
      </c>
    </row>
    <row r="2768" spans="1:15" x14ac:dyDescent="0.25">
      <c r="A2768" s="786" t="s">
        <v>5728</v>
      </c>
      <c r="B2768" s="787">
        <v>4</v>
      </c>
      <c r="C2768" s="787" t="s">
        <v>5631</v>
      </c>
      <c r="D2768" s="787">
        <v>0</v>
      </c>
      <c r="E2768" s="787">
        <v>0</v>
      </c>
      <c r="H2768" s="787">
        <v>1</v>
      </c>
      <c r="I2768" s="788">
        <v>40990</v>
      </c>
      <c r="K2768" s="788">
        <v>42156</v>
      </c>
      <c r="L2768" s="787">
        <v>3.95</v>
      </c>
      <c r="M2768" s="787">
        <v>10</v>
      </c>
      <c r="N2768" s="787">
        <v>3.95</v>
      </c>
      <c r="O2768" s="788">
        <v>42082</v>
      </c>
    </row>
    <row r="2769" spans="1:15" x14ac:dyDescent="0.25">
      <c r="A2769" s="786" t="s">
        <v>5729</v>
      </c>
      <c r="B2769" s="787">
        <v>4</v>
      </c>
      <c r="C2769" s="787" t="s">
        <v>5611</v>
      </c>
      <c r="D2769" s="787">
        <v>0</v>
      </c>
      <c r="E2769" s="787">
        <v>0</v>
      </c>
      <c r="H2769" s="787">
        <v>1</v>
      </c>
      <c r="K2769" s="788">
        <v>40988</v>
      </c>
      <c r="L2769" s="787">
        <v>4.99</v>
      </c>
      <c r="M2769" s="787">
        <v>10</v>
      </c>
      <c r="N2769" s="787">
        <v>4.5599999999999996</v>
      </c>
      <c r="O2769" s="788">
        <v>42082</v>
      </c>
    </row>
    <row r="2770" spans="1:15" x14ac:dyDescent="0.25">
      <c r="A2770" s="786" t="s">
        <v>5730</v>
      </c>
      <c r="B2770" s="787">
        <v>4</v>
      </c>
      <c r="C2770" s="787" t="s">
        <v>5640</v>
      </c>
      <c r="D2770" s="787">
        <v>0</v>
      </c>
      <c r="E2770" s="787">
        <v>0</v>
      </c>
      <c r="H2770" s="787">
        <v>1</v>
      </c>
      <c r="L2770" s="787">
        <v>0</v>
      </c>
      <c r="M2770" s="787">
        <v>10</v>
      </c>
      <c r="N2770" s="787">
        <v>0.66</v>
      </c>
      <c r="O2770" s="788">
        <v>42082</v>
      </c>
    </row>
    <row r="2771" spans="1:15" x14ac:dyDescent="0.25">
      <c r="A2771" s="786" t="s">
        <v>5731</v>
      </c>
      <c r="B2771" s="787">
        <v>4</v>
      </c>
      <c r="C2771" s="787" t="s">
        <v>5732</v>
      </c>
      <c r="D2771" s="787">
        <v>1.78</v>
      </c>
      <c r="E2771" s="787">
        <v>1.94</v>
      </c>
      <c r="F2771" s="788">
        <v>41519</v>
      </c>
      <c r="G2771" s="788">
        <v>42142</v>
      </c>
      <c r="H2771" s="787">
        <v>1</v>
      </c>
      <c r="I2771" s="788">
        <v>42136</v>
      </c>
      <c r="J2771" s="788">
        <v>42142</v>
      </c>
      <c r="K2771" s="788">
        <v>41491</v>
      </c>
      <c r="L2771" s="787">
        <v>1.62</v>
      </c>
      <c r="M2771" s="787">
        <v>10</v>
      </c>
      <c r="N2771" s="787">
        <v>2.0299999999999998</v>
      </c>
      <c r="O2771" s="788">
        <v>42164</v>
      </c>
    </row>
    <row r="2772" spans="1:15" x14ac:dyDescent="0.25">
      <c r="A2772" s="786" t="s">
        <v>5733</v>
      </c>
      <c r="B2772" s="787">
        <v>4</v>
      </c>
      <c r="C2772" s="787" t="s">
        <v>5734</v>
      </c>
      <c r="D2772" s="787">
        <v>1.24</v>
      </c>
      <c r="E2772" s="787">
        <v>1.49</v>
      </c>
      <c r="F2772" s="788">
        <v>40499</v>
      </c>
      <c r="G2772" s="788">
        <v>41255</v>
      </c>
      <c r="H2772" s="787">
        <v>1</v>
      </c>
      <c r="J2772" s="788">
        <v>40939</v>
      </c>
      <c r="K2772" s="788">
        <v>40921</v>
      </c>
      <c r="L2772" s="787">
        <v>1.36</v>
      </c>
      <c r="M2772" s="787">
        <v>20</v>
      </c>
      <c r="N2772" s="787">
        <v>1.46</v>
      </c>
      <c r="O2772" s="788">
        <v>42082</v>
      </c>
    </row>
    <row r="2773" spans="1:15" x14ac:dyDescent="0.25">
      <c r="A2773" s="786" t="s">
        <v>5735</v>
      </c>
      <c r="B2773" s="787">
        <v>4</v>
      </c>
      <c r="C2773" s="787" t="s">
        <v>5734</v>
      </c>
      <c r="D2773" s="787">
        <v>4.83</v>
      </c>
      <c r="E2773" s="787">
        <v>4.83</v>
      </c>
      <c r="F2773" s="788">
        <v>41893</v>
      </c>
      <c r="G2773" s="788">
        <v>42013</v>
      </c>
      <c r="H2773" s="787">
        <v>1</v>
      </c>
      <c r="I2773" s="788">
        <v>42034</v>
      </c>
      <c r="J2773" s="788">
        <v>41892</v>
      </c>
      <c r="K2773" s="788">
        <v>41053</v>
      </c>
      <c r="L2773" s="787">
        <v>5.05</v>
      </c>
      <c r="M2773" s="787">
        <v>20</v>
      </c>
      <c r="N2773" s="787">
        <v>5.43</v>
      </c>
      <c r="O2773" s="788">
        <v>42163</v>
      </c>
    </row>
    <row r="2774" spans="1:15" x14ac:dyDescent="0.25">
      <c r="A2774" s="786" t="s">
        <v>5736</v>
      </c>
      <c r="B2774" s="787">
        <v>4</v>
      </c>
      <c r="C2774" s="787" t="s">
        <v>5737</v>
      </c>
      <c r="D2774" s="787">
        <v>1.44</v>
      </c>
      <c r="E2774" s="787">
        <v>1.44</v>
      </c>
      <c r="F2774" s="788">
        <v>41613</v>
      </c>
      <c r="G2774" s="788">
        <v>42013</v>
      </c>
      <c r="H2774" s="787">
        <v>1</v>
      </c>
      <c r="I2774" s="788">
        <v>42159</v>
      </c>
      <c r="J2774" s="788">
        <v>41579</v>
      </c>
      <c r="K2774" s="788">
        <v>41572</v>
      </c>
      <c r="L2774" s="787">
        <v>1.23</v>
      </c>
      <c r="M2774" s="787">
        <v>10</v>
      </c>
      <c r="N2774" s="787">
        <v>2.23</v>
      </c>
      <c r="O2774" s="788">
        <v>42152</v>
      </c>
    </row>
    <row r="2775" spans="1:15" x14ac:dyDescent="0.25">
      <c r="A2775" s="786" t="s">
        <v>5738</v>
      </c>
      <c r="B2775" s="787">
        <v>4</v>
      </c>
      <c r="C2775" s="787" t="s">
        <v>5739</v>
      </c>
      <c r="D2775" s="787">
        <v>0</v>
      </c>
      <c r="E2775" s="787">
        <v>0</v>
      </c>
      <c r="H2775" s="787">
        <v>1</v>
      </c>
      <c r="I2775" s="788">
        <v>41191</v>
      </c>
      <c r="L2775" s="787">
        <v>0</v>
      </c>
      <c r="M2775" s="787">
        <v>10</v>
      </c>
      <c r="N2775" s="787">
        <v>11.23</v>
      </c>
      <c r="O2775" s="788">
        <v>42082</v>
      </c>
    </row>
    <row r="2776" spans="1:15" x14ac:dyDescent="0.25">
      <c r="A2776" s="786" t="s">
        <v>5740</v>
      </c>
      <c r="B2776" s="787">
        <v>4</v>
      </c>
      <c r="C2776" s="787" t="s">
        <v>5741</v>
      </c>
      <c r="D2776" s="787">
        <v>0</v>
      </c>
      <c r="E2776" s="787">
        <v>0</v>
      </c>
      <c r="H2776" s="787">
        <v>1</v>
      </c>
      <c r="L2776" s="787">
        <v>0</v>
      </c>
      <c r="M2776" s="787">
        <v>10</v>
      </c>
      <c r="N2776" s="787">
        <v>10.94</v>
      </c>
      <c r="O2776" s="788">
        <v>42082</v>
      </c>
    </row>
    <row r="2777" spans="1:15" x14ac:dyDescent="0.25">
      <c r="A2777" s="786" t="s">
        <v>5742</v>
      </c>
      <c r="B2777" s="787">
        <v>4</v>
      </c>
      <c r="C2777" s="787" t="s">
        <v>5743</v>
      </c>
      <c r="D2777" s="787">
        <v>2.0099999999999998</v>
      </c>
      <c r="E2777" s="787">
        <v>2.0099999999999998</v>
      </c>
      <c r="F2777" s="788">
        <v>41813</v>
      </c>
      <c r="G2777" s="788">
        <v>42013</v>
      </c>
      <c r="H2777" s="787">
        <v>1</v>
      </c>
      <c r="I2777" s="788">
        <v>42151</v>
      </c>
      <c r="J2777" s="788">
        <v>41436</v>
      </c>
      <c r="K2777" s="788">
        <v>41430</v>
      </c>
      <c r="L2777" s="787">
        <v>1</v>
      </c>
      <c r="M2777" s="787">
        <v>10</v>
      </c>
      <c r="N2777" s="787">
        <v>2.04</v>
      </c>
      <c r="O2777" s="788">
        <v>42164</v>
      </c>
    </row>
    <row r="2778" spans="1:15" x14ac:dyDescent="0.25">
      <c r="A2778" s="786" t="s">
        <v>5744</v>
      </c>
      <c r="B2778" s="787">
        <v>4</v>
      </c>
      <c r="C2778" s="787" t="s">
        <v>5745</v>
      </c>
      <c r="D2778" s="787">
        <v>0.56999999999999995</v>
      </c>
      <c r="E2778" s="787">
        <v>0.56999999999999995</v>
      </c>
      <c r="F2778" s="788">
        <v>40948</v>
      </c>
      <c r="G2778" s="788">
        <v>42013</v>
      </c>
      <c r="H2778" s="787">
        <v>1</v>
      </c>
      <c r="I2778" s="788">
        <v>42151</v>
      </c>
      <c r="J2778" s="788">
        <v>40855</v>
      </c>
      <c r="L2778" s="787">
        <v>0</v>
      </c>
      <c r="M2778" s="787">
        <v>10</v>
      </c>
      <c r="N2778" s="787">
        <v>2.2799999999999998</v>
      </c>
      <c r="O2778" s="788">
        <v>42164</v>
      </c>
    </row>
    <row r="2779" spans="1:15" x14ac:dyDescent="0.25">
      <c r="A2779" s="786" t="s">
        <v>5746</v>
      </c>
      <c r="B2779" s="787">
        <v>4</v>
      </c>
      <c r="C2779" s="787" t="s">
        <v>5747</v>
      </c>
      <c r="D2779" s="787">
        <v>0.81</v>
      </c>
      <c r="E2779" s="787">
        <v>0.81</v>
      </c>
      <c r="F2779" s="788">
        <v>41813</v>
      </c>
      <c r="G2779" s="788">
        <v>42013</v>
      </c>
      <c r="H2779" s="787">
        <v>1</v>
      </c>
      <c r="I2779" s="788">
        <v>42151</v>
      </c>
      <c r="J2779" s="788">
        <v>41436</v>
      </c>
      <c r="K2779" s="788">
        <v>41430</v>
      </c>
      <c r="L2779" s="787">
        <v>1</v>
      </c>
      <c r="M2779" s="787">
        <v>10</v>
      </c>
      <c r="N2779" s="787">
        <v>2.48</v>
      </c>
      <c r="O2779" s="788">
        <v>42164</v>
      </c>
    </row>
    <row r="2780" spans="1:15" x14ac:dyDescent="0.25">
      <c r="A2780" s="786" t="s">
        <v>5748</v>
      </c>
      <c r="B2780" s="787">
        <v>4</v>
      </c>
      <c r="C2780" s="787" t="s">
        <v>5749</v>
      </c>
      <c r="D2780" s="787">
        <v>4.54</v>
      </c>
      <c r="E2780" s="787">
        <v>4.54</v>
      </c>
      <c r="F2780" s="788">
        <v>41467</v>
      </c>
      <c r="G2780" s="788">
        <v>42013</v>
      </c>
      <c r="H2780" s="787">
        <v>1</v>
      </c>
      <c r="I2780" s="788">
        <v>41687</v>
      </c>
      <c r="J2780" s="788">
        <v>41436</v>
      </c>
      <c r="K2780" s="788">
        <v>41430</v>
      </c>
      <c r="L2780" s="787">
        <v>1</v>
      </c>
      <c r="M2780" s="787">
        <v>10</v>
      </c>
      <c r="N2780" s="787">
        <v>2.3199999999999998</v>
      </c>
      <c r="O2780" s="788">
        <v>42082</v>
      </c>
    </row>
    <row r="2781" spans="1:15" x14ac:dyDescent="0.25">
      <c r="A2781" s="786" t="s">
        <v>5750</v>
      </c>
      <c r="B2781" s="787">
        <v>4</v>
      </c>
      <c r="C2781" s="787" t="s">
        <v>5751</v>
      </c>
      <c r="D2781" s="787">
        <v>0</v>
      </c>
      <c r="E2781" s="787">
        <v>0</v>
      </c>
      <c r="H2781" s="787">
        <v>1</v>
      </c>
      <c r="I2781" s="788">
        <v>41690</v>
      </c>
      <c r="L2781" s="787">
        <v>0</v>
      </c>
      <c r="M2781" s="787">
        <v>10</v>
      </c>
      <c r="N2781" s="787">
        <v>32.24</v>
      </c>
      <c r="O2781" s="788">
        <v>42164</v>
      </c>
    </row>
    <row r="2782" spans="1:15" x14ac:dyDescent="0.25">
      <c r="A2782" s="786" t="s">
        <v>5752</v>
      </c>
      <c r="B2782" s="787">
        <v>4</v>
      </c>
      <c r="C2782" s="787" t="s">
        <v>5602</v>
      </c>
      <c r="D2782" s="787">
        <v>0</v>
      </c>
      <c r="E2782" s="787">
        <v>0</v>
      </c>
      <c r="G2782" s="788">
        <v>42013</v>
      </c>
      <c r="H2782" s="787">
        <v>1</v>
      </c>
      <c r="I2782" s="788">
        <v>42151</v>
      </c>
      <c r="J2782" s="788">
        <v>40332</v>
      </c>
      <c r="L2782" s="787">
        <v>0</v>
      </c>
      <c r="M2782" s="787">
        <v>10</v>
      </c>
      <c r="N2782" s="787">
        <v>0.44</v>
      </c>
      <c r="O2782" s="788">
        <v>41955</v>
      </c>
    </row>
    <row r="2783" spans="1:15" x14ac:dyDescent="0.25">
      <c r="A2783" s="786" t="s">
        <v>5753</v>
      </c>
      <c r="B2783" s="787">
        <v>4</v>
      </c>
      <c r="C2783" s="787" t="s">
        <v>5602</v>
      </c>
      <c r="D2783" s="787">
        <v>5.18</v>
      </c>
      <c r="E2783" s="787">
        <v>5.18</v>
      </c>
      <c r="F2783" s="788">
        <v>40827</v>
      </c>
      <c r="G2783" s="788">
        <v>40914</v>
      </c>
      <c r="H2783" s="787">
        <v>6</v>
      </c>
      <c r="I2783" s="788">
        <v>40925</v>
      </c>
      <c r="J2783" s="788">
        <v>40681</v>
      </c>
      <c r="L2783" s="787">
        <v>0</v>
      </c>
      <c r="M2783" s="787">
        <v>10</v>
      </c>
      <c r="N2783" s="787">
        <v>15.24</v>
      </c>
      <c r="O2783" s="788">
        <v>40853</v>
      </c>
    </row>
    <row r="2784" spans="1:15" x14ac:dyDescent="0.25">
      <c r="A2784" s="786" t="s">
        <v>5754</v>
      </c>
      <c r="B2784" s="787">
        <v>4</v>
      </c>
      <c r="C2784" s="787" t="s">
        <v>5602</v>
      </c>
      <c r="D2784" s="787">
        <v>9.5399999999999991</v>
      </c>
      <c r="E2784" s="787">
        <v>9.5399999999999991</v>
      </c>
      <c r="F2784" s="788">
        <v>41477</v>
      </c>
      <c r="G2784" s="788">
        <v>42013</v>
      </c>
      <c r="H2784" s="787">
        <v>1</v>
      </c>
      <c r="I2784" s="788">
        <v>42151</v>
      </c>
      <c r="J2784" s="788">
        <v>41451</v>
      </c>
      <c r="K2784" s="788">
        <v>41430</v>
      </c>
      <c r="L2784" s="787">
        <v>1</v>
      </c>
      <c r="M2784" s="787">
        <v>10</v>
      </c>
      <c r="N2784" s="787">
        <v>11.58</v>
      </c>
      <c r="O2784" s="788">
        <v>41955</v>
      </c>
    </row>
    <row r="2785" spans="1:15" x14ac:dyDescent="0.25">
      <c r="A2785" s="786" t="s">
        <v>5755</v>
      </c>
      <c r="B2785" s="787">
        <v>4</v>
      </c>
      <c r="C2785" s="787" t="s">
        <v>5574</v>
      </c>
      <c r="D2785" s="787">
        <v>0</v>
      </c>
      <c r="E2785" s="787">
        <v>0</v>
      </c>
      <c r="H2785" s="787">
        <v>1</v>
      </c>
      <c r="I2785" s="788">
        <v>42150</v>
      </c>
      <c r="L2785" s="787">
        <v>0</v>
      </c>
      <c r="M2785" s="787">
        <v>10</v>
      </c>
      <c r="N2785" s="787">
        <v>4.47</v>
      </c>
      <c r="O2785" s="788">
        <v>42082</v>
      </c>
    </row>
    <row r="2786" spans="1:15" x14ac:dyDescent="0.25">
      <c r="A2786" s="786" t="s">
        <v>5756</v>
      </c>
      <c r="B2786" s="787">
        <v>4</v>
      </c>
      <c r="C2786" s="787" t="s">
        <v>5574</v>
      </c>
      <c r="D2786" s="787">
        <v>0</v>
      </c>
      <c r="E2786" s="787">
        <v>0</v>
      </c>
      <c r="H2786" s="787">
        <v>1</v>
      </c>
      <c r="I2786" s="788">
        <v>42150</v>
      </c>
      <c r="L2786" s="787">
        <v>0</v>
      </c>
      <c r="M2786" s="787">
        <v>10</v>
      </c>
      <c r="N2786" s="787">
        <v>4.47</v>
      </c>
      <c r="O2786" s="788">
        <v>42082</v>
      </c>
    </row>
    <row r="2787" spans="1:15" x14ac:dyDescent="0.25">
      <c r="A2787" s="786" t="s">
        <v>5757</v>
      </c>
      <c r="B2787" s="787">
        <v>4</v>
      </c>
      <c r="C2787" s="787" t="s">
        <v>5758</v>
      </c>
      <c r="D2787" s="787">
        <v>0</v>
      </c>
      <c r="E2787" s="787">
        <v>0</v>
      </c>
      <c r="H2787" s="787">
        <v>1</v>
      </c>
      <c r="K2787" s="788">
        <v>41160</v>
      </c>
      <c r="L2787" s="787">
        <v>28.28</v>
      </c>
      <c r="M2787" s="787">
        <v>10</v>
      </c>
      <c r="N2787" s="787">
        <v>11.54</v>
      </c>
      <c r="O2787" s="788">
        <v>42082</v>
      </c>
    </row>
    <row r="2788" spans="1:15" x14ac:dyDescent="0.25">
      <c r="A2788" s="786" t="s">
        <v>5759</v>
      </c>
      <c r="B2788" s="787">
        <v>4</v>
      </c>
      <c r="C2788" s="787" t="s">
        <v>5758</v>
      </c>
      <c r="D2788" s="787">
        <v>0</v>
      </c>
      <c r="E2788" s="787">
        <v>0</v>
      </c>
      <c r="H2788" s="787">
        <v>1</v>
      </c>
      <c r="K2788" s="788">
        <v>41160</v>
      </c>
      <c r="L2788" s="787">
        <v>5.09</v>
      </c>
      <c r="M2788" s="787">
        <v>10</v>
      </c>
      <c r="N2788" s="787">
        <v>4.72</v>
      </c>
      <c r="O2788" s="788">
        <v>42082</v>
      </c>
    </row>
    <row r="2789" spans="1:15" x14ac:dyDescent="0.25">
      <c r="A2789" s="786" t="s">
        <v>5760</v>
      </c>
      <c r="B2789" s="787">
        <v>4</v>
      </c>
      <c r="C2789" s="787" t="s">
        <v>5761</v>
      </c>
      <c r="D2789" s="787">
        <v>0.15</v>
      </c>
      <c r="E2789" s="787">
        <v>4.08</v>
      </c>
      <c r="F2789" s="788">
        <v>41813</v>
      </c>
      <c r="G2789" s="788">
        <v>42159</v>
      </c>
      <c r="H2789" s="787">
        <v>1</v>
      </c>
      <c r="I2789" s="788">
        <v>42165</v>
      </c>
      <c r="J2789" s="788">
        <v>42159</v>
      </c>
      <c r="K2789" s="788">
        <v>41368</v>
      </c>
      <c r="L2789" s="787">
        <v>4.24</v>
      </c>
      <c r="M2789" s="787">
        <v>10</v>
      </c>
      <c r="N2789" s="787">
        <v>5.09</v>
      </c>
      <c r="O2789" s="788">
        <v>42152</v>
      </c>
    </row>
    <row r="2790" spans="1:15" x14ac:dyDescent="0.25">
      <c r="A2790" s="786" t="s">
        <v>5762</v>
      </c>
      <c r="B2790" s="787">
        <v>4</v>
      </c>
      <c r="C2790" s="787" t="s">
        <v>5763</v>
      </c>
      <c r="D2790" s="787">
        <v>3.42</v>
      </c>
      <c r="E2790" s="787">
        <v>3.42</v>
      </c>
      <c r="F2790" s="788">
        <v>40644</v>
      </c>
      <c r="G2790" s="788">
        <v>42083</v>
      </c>
      <c r="H2790" s="787">
        <v>1</v>
      </c>
      <c r="I2790" s="788">
        <v>42083</v>
      </c>
      <c r="J2790" s="788">
        <v>42083</v>
      </c>
      <c r="L2790" s="787">
        <v>0</v>
      </c>
      <c r="M2790" s="787">
        <v>10</v>
      </c>
      <c r="N2790" s="787">
        <v>3.97</v>
      </c>
      <c r="O2790" s="788">
        <v>42082</v>
      </c>
    </row>
    <row r="2791" spans="1:15" x14ac:dyDescent="0.25">
      <c r="A2791" s="786" t="s">
        <v>5764</v>
      </c>
      <c r="B2791" s="787">
        <v>4</v>
      </c>
      <c r="C2791" s="787" t="s">
        <v>5765</v>
      </c>
      <c r="D2791" s="787">
        <v>0.1</v>
      </c>
      <c r="E2791" s="787">
        <v>4.74</v>
      </c>
      <c r="F2791" s="788">
        <v>41813</v>
      </c>
      <c r="G2791" s="788">
        <v>42163</v>
      </c>
      <c r="H2791" s="787">
        <v>1</v>
      </c>
      <c r="I2791" s="788">
        <v>42165</v>
      </c>
      <c r="J2791" s="788">
        <v>42158</v>
      </c>
      <c r="K2791" s="788">
        <v>41331</v>
      </c>
      <c r="L2791" s="787">
        <v>7.67</v>
      </c>
      <c r="M2791" s="787">
        <v>10</v>
      </c>
      <c r="N2791" s="787">
        <v>6.02</v>
      </c>
      <c r="O2791" s="788">
        <v>42152</v>
      </c>
    </row>
    <row r="2792" spans="1:15" x14ac:dyDescent="0.25">
      <c r="A2792" s="786" t="s">
        <v>5766</v>
      </c>
      <c r="B2792" s="787">
        <v>4</v>
      </c>
      <c r="C2792" s="787" t="s">
        <v>5767</v>
      </c>
      <c r="D2792" s="787">
        <v>0</v>
      </c>
      <c r="E2792" s="787">
        <v>0</v>
      </c>
      <c r="G2792" s="788">
        <v>40553</v>
      </c>
      <c r="H2792" s="787">
        <v>1</v>
      </c>
      <c r="I2792" s="788">
        <v>40823</v>
      </c>
      <c r="J2792" s="788">
        <v>40465</v>
      </c>
      <c r="L2792" s="787">
        <v>0</v>
      </c>
      <c r="M2792" s="787">
        <v>10</v>
      </c>
      <c r="N2792" s="787">
        <v>6.08</v>
      </c>
      <c r="O2792" s="788">
        <v>42082</v>
      </c>
    </row>
    <row r="2793" spans="1:15" x14ac:dyDescent="0.25">
      <c r="A2793" s="786" t="s">
        <v>5768</v>
      </c>
      <c r="B2793" s="787">
        <v>4</v>
      </c>
      <c r="C2793" s="787" t="s">
        <v>5769</v>
      </c>
      <c r="D2793" s="787">
        <v>0.51</v>
      </c>
      <c r="E2793" s="787">
        <v>6.62</v>
      </c>
      <c r="F2793" s="788">
        <v>41813</v>
      </c>
      <c r="G2793" s="788">
        <v>42166</v>
      </c>
      <c r="H2793" s="787">
        <v>1</v>
      </c>
      <c r="I2793" s="788">
        <v>42165</v>
      </c>
      <c r="J2793" s="788">
        <v>42166</v>
      </c>
      <c r="K2793" s="788">
        <v>41401</v>
      </c>
      <c r="L2793" s="787">
        <v>6.71</v>
      </c>
      <c r="M2793" s="787">
        <v>10</v>
      </c>
      <c r="N2793" s="787">
        <v>7.73</v>
      </c>
      <c r="O2793" s="788">
        <v>42152</v>
      </c>
    </row>
    <row r="2794" spans="1:15" x14ac:dyDescent="0.25">
      <c r="A2794" s="786" t="s">
        <v>5770</v>
      </c>
      <c r="B2794" s="787">
        <v>4</v>
      </c>
      <c r="C2794" s="787" t="s">
        <v>5771</v>
      </c>
      <c r="D2794" s="787">
        <v>0.32</v>
      </c>
      <c r="E2794" s="787">
        <v>4.76</v>
      </c>
      <c r="F2794" s="788">
        <v>41813</v>
      </c>
      <c r="G2794" s="788">
        <v>42166</v>
      </c>
      <c r="H2794" s="787">
        <v>1</v>
      </c>
      <c r="I2794" s="788">
        <v>42165</v>
      </c>
      <c r="J2794" s="788">
        <v>42164</v>
      </c>
      <c r="K2794" s="788">
        <v>41135</v>
      </c>
      <c r="L2794" s="787">
        <v>5.32</v>
      </c>
      <c r="M2794" s="787">
        <v>10</v>
      </c>
      <c r="N2794" s="787">
        <v>6.02</v>
      </c>
      <c r="O2794" s="788">
        <v>42152</v>
      </c>
    </row>
    <row r="2795" spans="1:15" x14ac:dyDescent="0.25">
      <c r="A2795" s="786" t="s">
        <v>5772</v>
      </c>
      <c r="B2795" s="787">
        <v>4</v>
      </c>
      <c r="C2795" s="787" t="s">
        <v>5773</v>
      </c>
      <c r="D2795" s="787">
        <v>0.05</v>
      </c>
      <c r="E2795" s="787">
        <v>4.79</v>
      </c>
      <c r="F2795" s="788">
        <v>41813</v>
      </c>
      <c r="G2795" s="788">
        <v>42166</v>
      </c>
      <c r="H2795" s="787">
        <v>1</v>
      </c>
      <c r="I2795" s="788">
        <v>42165</v>
      </c>
      <c r="J2795" s="788">
        <v>42158</v>
      </c>
      <c r="K2795" s="788">
        <v>41354</v>
      </c>
      <c r="L2795" s="787">
        <v>5.37</v>
      </c>
      <c r="M2795" s="787">
        <v>10</v>
      </c>
      <c r="N2795" s="787">
        <v>5.46</v>
      </c>
      <c r="O2795" s="788">
        <v>42152</v>
      </c>
    </row>
    <row r="2796" spans="1:15" x14ac:dyDescent="0.25">
      <c r="A2796" s="786" t="s">
        <v>5774</v>
      </c>
      <c r="B2796" s="787">
        <v>4</v>
      </c>
      <c r="C2796" s="787" t="s">
        <v>5775</v>
      </c>
      <c r="D2796" s="787">
        <v>0.13</v>
      </c>
      <c r="E2796" s="787">
        <v>1.5</v>
      </c>
      <c r="F2796" s="788">
        <v>41813</v>
      </c>
      <c r="G2796" s="788">
        <v>42150</v>
      </c>
      <c r="H2796" s="787">
        <v>1</v>
      </c>
      <c r="I2796" s="788">
        <v>42165</v>
      </c>
      <c r="J2796" s="788">
        <v>42150</v>
      </c>
      <c r="K2796" s="788">
        <v>41387</v>
      </c>
      <c r="L2796" s="787">
        <v>3.31</v>
      </c>
      <c r="M2796" s="787">
        <v>10</v>
      </c>
      <c r="N2796" s="787">
        <v>1.64</v>
      </c>
      <c r="O2796" s="788">
        <v>42152</v>
      </c>
    </row>
    <row r="2797" spans="1:15" x14ac:dyDescent="0.25">
      <c r="A2797" s="786" t="s">
        <v>5776</v>
      </c>
      <c r="B2797" s="787">
        <v>4</v>
      </c>
      <c r="C2797" s="787" t="s">
        <v>5777</v>
      </c>
      <c r="D2797" s="787">
        <v>0.51</v>
      </c>
      <c r="E2797" s="787">
        <v>1.65</v>
      </c>
      <c r="F2797" s="788">
        <v>41775</v>
      </c>
      <c r="G2797" s="788">
        <v>42137</v>
      </c>
      <c r="H2797" s="787">
        <v>1</v>
      </c>
      <c r="I2797" s="788">
        <v>42165</v>
      </c>
      <c r="J2797" s="788">
        <v>42110</v>
      </c>
      <c r="K2797" s="788">
        <v>41059</v>
      </c>
      <c r="L2797" s="787">
        <v>1.1100000000000001</v>
      </c>
      <c r="M2797" s="787">
        <v>10</v>
      </c>
      <c r="N2797" s="787">
        <v>1.73</v>
      </c>
      <c r="O2797" s="788">
        <v>42152</v>
      </c>
    </row>
    <row r="2798" spans="1:15" x14ac:dyDescent="0.25">
      <c r="A2798" s="786" t="s">
        <v>5778</v>
      </c>
      <c r="B2798" s="787">
        <v>4</v>
      </c>
      <c r="C2798" s="787" t="s">
        <v>4452</v>
      </c>
      <c r="D2798" s="787">
        <v>0.6</v>
      </c>
      <c r="E2798" s="787">
        <v>3.62</v>
      </c>
      <c r="F2798" s="788">
        <v>41775</v>
      </c>
      <c r="G2798" s="788">
        <v>42163</v>
      </c>
      <c r="H2798" s="787">
        <v>1</v>
      </c>
      <c r="I2798" s="788">
        <v>42160</v>
      </c>
      <c r="J2798" s="788">
        <v>42152</v>
      </c>
      <c r="K2798" s="788">
        <v>41372</v>
      </c>
      <c r="L2798" s="787">
        <v>4.25</v>
      </c>
      <c r="M2798" s="787">
        <v>10</v>
      </c>
      <c r="N2798" s="787">
        <v>5</v>
      </c>
      <c r="O2798" s="788">
        <v>42082</v>
      </c>
    </row>
    <row r="2799" spans="1:15" x14ac:dyDescent="0.25">
      <c r="A2799" s="786" t="s">
        <v>5779</v>
      </c>
      <c r="B2799" s="787">
        <v>4</v>
      </c>
      <c r="C2799" s="787" t="s">
        <v>5780</v>
      </c>
      <c r="D2799" s="787">
        <v>0.03</v>
      </c>
      <c r="E2799" s="787">
        <v>2.02</v>
      </c>
      <c r="F2799" s="788">
        <v>41813</v>
      </c>
      <c r="G2799" s="788">
        <v>42165</v>
      </c>
      <c r="H2799" s="787">
        <v>1</v>
      </c>
      <c r="I2799" s="788">
        <v>42165</v>
      </c>
      <c r="J2799" s="788">
        <v>42165</v>
      </c>
      <c r="K2799" s="788">
        <v>41338</v>
      </c>
      <c r="L2799" s="787">
        <v>2.65</v>
      </c>
      <c r="M2799" s="787">
        <v>10</v>
      </c>
      <c r="N2799" s="787">
        <v>2.39</v>
      </c>
      <c r="O2799" s="788">
        <v>42163</v>
      </c>
    </row>
    <row r="2800" spans="1:15" x14ac:dyDescent="0.25">
      <c r="A2800" s="786" t="s">
        <v>5781</v>
      </c>
      <c r="B2800" s="787">
        <v>4</v>
      </c>
      <c r="C2800" s="787" t="s">
        <v>5782</v>
      </c>
      <c r="D2800" s="787">
        <v>0.16</v>
      </c>
      <c r="E2800" s="787">
        <v>0.35</v>
      </c>
      <c r="F2800" s="788">
        <v>41135</v>
      </c>
      <c r="G2800" s="788">
        <v>42083</v>
      </c>
      <c r="H2800" s="787">
        <v>1</v>
      </c>
      <c r="I2800" s="788">
        <v>42083</v>
      </c>
      <c r="J2800" s="788">
        <v>42083</v>
      </c>
      <c r="L2800" s="787">
        <v>0</v>
      </c>
      <c r="M2800" s="787">
        <v>10</v>
      </c>
      <c r="N2800" s="787">
        <v>5.64</v>
      </c>
      <c r="O2800" s="788">
        <v>42163</v>
      </c>
    </row>
    <row r="2801" spans="1:15" x14ac:dyDescent="0.25">
      <c r="A2801" s="786" t="s">
        <v>5783</v>
      </c>
      <c r="B2801" s="787">
        <v>4</v>
      </c>
      <c r="C2801" s="787" t="s">
        <v>5784</v>
      </c>
      <c r="D2801" s="787">
        <v>0.02</v>
      </c>
      <c r="E2801" s="787">
        <v>6.35</v>
      </c>
      <c r="F2801" s="788">
        <v>41813</v>
      </c>
      <c r="G2801" s="788">
        <v>42150</v>
      </c>
      <c r="H2801" s="787">
        <v>1</v>
      </c>
      <c r="I2801" s="788">
        <v>42165</v>
      </c>
      <c r="J2801" s="788">
        <v>42150</v>
      </c>
      <c r="K2801" s="788">
        <v>41331</v>
      </c>
      <c r="L2801" s="787">
        <v>6.88</v>
      </c>
      <c r="M2801" s="787">
        <v>10</v>
      </c>
      <c r="N2801" s="787">
        <v>7.77</v>
      </c>
      <c r="O2801" s="788">
        <v>42152</v>
      </c>
    </row>
    <row r="2802" spans="1:15" x14ac:dyDescent="0.25">
      <c r="A2802" s="786" t="s">
        <v>5785</v>
      </c>
      <c r="B2802" s="787">
        <v>4</v>
      </c>
      <c r="C2802" s="787" t="s">
        <v>5786</v>
      </c>
      <c r="D2802" s="787">
        <v>0.31</v>
      </c>
      <c r="E2802" s="787">
        <v>6.95</v>
      </c>
      <c r="F2802" s="788">
        <v>41135</v>
      </c>
      <c r="G2802" s="788">
        <v>41673</v>
      </c>
      <c r="H2802" s="787">
        <v>1</v>
      </c>
      <c r="I2802" s="788">
        <v>41744</v>
      </c>
      <c r="J2802" s="788">
        <v>41744</v>
      </c>
      <c r="L2802" s="787">
        <v>0</v>
      </c>
      <c r="M2802" s="787">
        <v>10</v>
      </c>
      <c r="N2802" s="787">
        <v>8.49</v>
      </c>
      <c r="O2802" s="788">
        <v>42144</v>
      </c>
    </row>
    <row r="2803" spans="1:15" x14ac:dyDescent="0.25">
      <c r="A2803" s="786" t="s">
        <v>5787</v>
      </c>
      <c r="B2803" s="787">
        <v>4</v>
      </c>
      <c r="C2803" s="787" t="s">
        <v>5788</v>
      </c>
      <c r="D2803" s="787">
        <v>7.0000000000000007E-2</v>
      </c>
      <c r="E2803" s="787">
        <v>9.17</v>
      </c>
      <c r="F2803" s="788">
        <v>41775</v>
      </c>
      <c r="G2803" s="788">
        <v>42160</v>
      </c>
      <c r="H2803" s="787">
        <v>1</v>
      </c>
      <c r="I2803" s="788">
        <v>42165</v>
      </c>
      <c r="J2803" s="788">
        <v>42160</v>
      </c>
      <c r="K2803" s="788">
        <v>41390</v>
      </c>
      <c r="L2803" s="787">
        <v>8.93</v>
      </c>
      <c r="M2803" s="787">
        <v>10</v>
      </c>
      <c r="N2803" s="787">
        <v>10.58</v>
      </c>
      <c r="O2803" s="788">
        <v>42152</v>
      </c>
    </row>
    <row r="2804" spans="1:15" x14ac:dyDescent="0.25">
      <c r="A2804" s="786" t="s">
        <v>5789</v>
      </c>
      <c r="B2804" s="787">
        <v>4</v>
      </c>
      <c r="C2804" s="787" t="s">
        <v>4731</v>
      </c>
      <c r="D2804" s="787">
        <v>0.01</v>
      </c>
      <c r="E2804" s="787">
        <v>3.48</v>
      </c>
      <c r="F2804" s="788">
        <v>41813</v>
      </c>
      <c r="G2804" s="788">
        <v>42165</v>
      </c>
      <c r="H2804" s="787">
        <v>1</v>
      </c>
      <c r="I2804" s="788">
        <v>42165</v>
      </c>
      <c r="J2804" s="788">
        <v>42165</v>
      </c>
      <c r="K2804" s="788">
        <v>41335</v>
      </c>
      <c r="L2804" s="787">
        <v>4.29</v>
      </c>
      <c r="M2804" s="787">
        <v>10</v>
      </c>
      <c r="N2804" s="787">
        <v>5.0199999999999996</v>
      </c>
      <c r="O2804" s="788">
        <v>42152</v>
      </c>
    </row>
    <row r="2805" spans="1:15" x14ac:dyDescent="0.25">
      <c r="A2805" s="786" t="s">
        <v>5790</v>
      </c>
      <c r="B2805" s="787">
        <v>4</v>
      </c>
      <c r="C2805" s="787" t="s">
        <v>5791</v>
      </c>
      <c r="D2805" s="787">
        <v>0.02</v>
      </c>
      <c r="E2805" s="787">
        <v>3.52</v>
      </c>
      <c r="F2805" s="788">
        <v>41813</v>
      </c>
      <c r="G2805" s="788">
        <v>42163</v>
      </c>
      <c r="H2805" s="787">
        <v>1</v>
      </c>
      <c r="I2805" s="788">
        <v>42165</v>
      </c>
      <c r="J2805" s="788">
        <v>42163</v>
      </c>
      <c r="K2805" s="788">
        <v>41347</v>
      </c>
      <c r="L2805" s="787">
        <v>2.7</v>
      </c>
      <c r="M2805" s="787">
        <v>10</v>
      </c>
      <c r="N2805" s="787">
        <v>2.7</v>
      </c>
      <c r="O2805" s="788">
        <v>42152</v>
      </c>
    </row>
    <row r="2806" spans="1:15" x14ac:dyDescent="0.25">
      <c r="A2806" s="786" t="s">
        <v>5792</v>
      </c>
      <c r="B2806" s="787">
        <v>4</v>
      </c>
      <c r="C2806" s="787" t="s">
        <v>5793</v>
      </c>
      <c r="D2806" s="787">
        <v>6.56</v>
      </c>
      <c r="E2806" s="787">
        <v>6.56</v>
      </c>
      <c r="F2806" s="788">
        <v>41418</v>
      </c>
      <c r="G2806" s="788">
        <v>41418</v>
      </c>
      <c r="H2806" s="787">
        <v>1</v>
      </c>
      <c r="I2806" s="788">
        <v>41386</v>
      </c>
      <c r="J2806" s="788">
        <v>41379</v>
      </c>
      <c r="K2806" s="788">
        <v>41081</v>
      </c>
      <c r="L2806" s="787">
        <v>2.11</v>
      </c>
      <c r="M2806" s="787">
        <v>10</v>
      </c>
      <c r="N2806" s="787">
        <v>2.4300000000000002</v>
      </c>
      <c r="O2806" s="788">
        <v>42082</v>
      </c>
    </row>
    <row r="2807" spans="1:15" x14ac:dyDescent="0.25">
      <c r="A2807" s="786" t="s">
        <v>5794</v>
      </c>
      <c r="B2807" s="787">
        <v>4</v>
      </c>
      <c r="C2807" s="787" t="s">
        <v>5795</v>
      </c>
      <c r="D2807" s="787">
        <v>0</v>
      </c>
      <c r="E2807" s="787">
        <v>0</v>
      </c>
      <c r="H2807" s="787">
        <v>1</v>
      </c>
      <c r="L2807" s="787">
        <v>0</v>
      </c>
      <c r="M2807" s="787">
        <v>10</v>
      </c>
      <c r="N2807" s="787">
        <v>5.39</v>
      </c>
      <c r="O2807" s="788">
        <v>42082</v>
      </c>
    </row>
    <row r="2808" spans="1:15" x14ac:dyDescent="0.25">
      <c r="A2808" s="786" t="s">
        <v>5796</v>
      </c>
      <c r="B2808" s="787">
        <v>4</v>
      </c>
      <c r="C2808" s="787" t="s">
        <v>5797</v>
      </c>
      <c r="D2808" s="787">
        <v>9.7200000000000006</v>
      </c>
      <c r="E2808" s="787">
        <v>9.7200000000000006</v>
      </c>
      <c r="F2808" s="788">
        <v>41449</v>
      </c>
      <c r="G2808" s="788">
        <v>41449</v>
      </c>
      <c r="H2808" s="787">
        <v>1</v>
      </c>
      <c r="I2808" s="788">
        <v>41415</v>
      </c>
      <c r="J2808" s="788">
        <v>41415</v>
      </c>
      <c r="L2808" s="787">
        <v>0</v>
      </c>
      <c r="M2808" s="787">
        <v>10</v>
      </c>
      <c r="N2808" s="787">
        <v>7.64</v>
      </c>
      <c r="O2808" s="788">
        <v>42082</v>
      </c>
    </row>
    <row r="2809" spans="1:15" x14ac:dyDescent="0.25">
      <c r="A2809" s="786" t="s">
        <v>5798</v>
      </c>
      <c r="B2809" s="787">
        <v>4</v>
      </c>
      <c r="C2809" s="787" t="s">
        <v>5799</v>
      </c>
      <c r="D2809" s="787">
        <v>0.63</v>
      </c>
      <c r="E2809" s="787">
        <v>30.52</v>
      </c>
      <c r="F2809" s="788">
        <v>40948</v>
      </c>
      <c r="G2809" s="788">
        <v>42013</v>
      </c>
      <c r="H2809" s="787">
        <v>1</v>
      </c>
      <c r="I2809" s="788">
        <v>41676</v>
      </c>
      <c r="J2809" s="788">
        <v>41415</v>
      </c>
      <c r="K2809" s="788">
        <v>41408</v>
      </c>
      <c r="L2809" s="787">
        <v>15.39</v>
      </c>
      <c r="M2809" s="787">
        <v>10</v>
      </c>
      <c r="N2809" s="787">
        <v>18.57</v>
      </c>
      <c r="O2809" s="788">
        <v>42082</v>
      </c>
    </row>
    <row r="2810" spans="1:15" x14ac:dyDescent="0.25">
      <c r="A2810" s="786" t="s">
        <v>5800</v>
      </c>
      <c r="B2810" s="787">
        <v>4</v>
      </c>
      <c r="C2810" s="787" t="s">
        <v>5801</v>
      </c>
      <c r="D2810" s="787">
        <v>0.01</v>
      </c>
      <c r="E2810" s="787">
        <v>5.54</v>
      </c>
      <c r="F2810" s="788">
        <v>41813</v>
      </c>
      <c r="G2810" s="788">
        <v>42142</v>
      </c>
      <c r="H2810" s="787">
        <v>1</v>
      </c>
      <c r="I2810" s="788">
        <v>42165</v>
      </c>
      <c r="J2810" s="788">
        <v>42107</v>
      </c>
      <c r="K2810" s="788">
        <v>41299</v>
      </c>
      <c r="L2810" s="787">
        <v>6.23</v>
      </c>
      <c r="M2810" s="787">
        <v>10</v>
      </c>
      <c r="N2810" s="787">
        <v>6.8</v>
      </c>
      <c r="O2810" s="788">
        <v>42082</v>
      </c>
    </row>
    <row r="2811" spans="1:15" x14ac:dyDescent="0.25">
      <c r="A2811" s="786" t="s">
        <v>5802</v>
      </c>
      <c r="B2811" s="787">
        <v>4</v>
      </c>
      <c r="C2811" s="787" t="s">
        <v>5801</v>
      </c>
      <c r="D2811" s="787">
        <v>0.16</v>
      </c>
      <c r="E2811" s="787">
        <v>16.57</v>
      </c>
      <c r="F2811" s="788">
        <v>41775</v>
      </c>
      <c r="G2811" s="788">
        <v>42142</v>
      </c>
      <c r="H2811" s="787">
        <v>1</v>
      </c>
      <c r="I2811" s="788">
        <v>42158</v>
      </c>
      <c r="J2811" s="788">
        <v>42142</v>
      </c>
      <c r="K2811" s="788">
        <v>41423</v>
      </c>
      <c r="L2811" s="787">
        <v>1</v>
      </c>
      <c r="M2811" s="787">
        <v>10</v>
      </c>
      <c r="N2811" s="787">
        <v>15.79</v>
      </c>
      <c r="O2811" s="788">
        <v>42082</v>
      </c>
    </row>
    <row r="2812" spans="1:15" x14ac:dyDescent="0.25">
      <c r="A2812" s="786" t="s">
        <v>5803</v>
      </c>
      <c r="B2812" s="787">
        <v>4</v>
      </c>
      <c r="C2812" s="787" t="s">
        <v>4583</v>
      </c>
      <c r="D2812" s="787">
        <v>0.04</v>
      </c>
      <c r="E2812" s="787">
        <v>2.95</v>
      </c>
      <c r="F2812" s="788">
        <v>41813</v>
      </c>
      <c r="G2812" s="788">
        <v>42013</v>
      </c>
      <c r="H2812" s="787">
        <v>1</v>
      </c>
      <c r="I2812" s="788">
        <v>42163</v>
      </c>
      <c r="J2812" s="788">
        <v>41898</v>
      </c>
      <c r="K2812" s="788">
        <v>41409</v>
      </c>
      <c r="L2812" s="787">
        <v>2.95</v>
      </c>
      <c r="M2812" s="787">
        <v>10</v>
      </c>
      <c r="N2812" s="787">
        <v>3.88</v>
      </c>
      <c r="O2812" s="788">
        <v>42082</v>
      </c>
    </row>
    <row r="2813" spans="1:15" x14ac:dyDescent="0.25">
      <c r="A2813" s="786" t="s">
        <v>5804</v>
      </c>
      <c r="B2813" s="787">
        <v>4</v>
      </c>
      <c r="C2813" s="787" t="s">
        <v>5805</v>
      </c>
      <c r="D2813" s="787">
        <v>0.33</v>
      </c>
      <c r="E2813" s="787">
        <v>3.57</v>
      </c>
      <c r="F2813" s="788">
        <v>41813</v>
      </c>
      <c r="G2813" s="788">
        <v>42072</v>
      </c>
      <c r="H2813" s="787">
        <v>1</v>
      </c>
      <c r="I2813" s="788">
        <v>42160</v>
      </c>
      <c r="J2813" s="788">
        <v>42039</v>
      </c>
      <c r="K2813" s="788">
        <v>41514</v>
      </c>
      <c r="L2813" s="787">
        <v>4.18</v>
      </c>
      <c r="M2813" s="787">
        <v>10</v>
      </c>
      <c r="N2813" s="787">
        <v>4.18</v>
      </c>
      <c r="O2813" s="788">
        <v>42082</v>
      </c>
    </row>
    <row r="2814" spans="1:15" x14ac:dyDescent="0.25">
      <c r="A2814" s="786" t="s">
        <v>5806</v>
      </c>
      <c r="B2814" s="787">
        <v>4</v>
      </c>
      <c r="C2814" s="787" t="s">
        <v>5807</v>
      </c>
      <c r="D2814" s="787">
        <v>0.35</v>
      </c>
      <c r="E2814" s="787">
        <v>0.35</v>
      </c>
      <c r="F2814" s="788">
        <v>41813</v>
      </c>
      <c r="G2814" s="788">
        <v>41813</v>
      </c>
      <c r="H2814" s="787">
        <v>1</v>
      </c>
      <c r="J2814" s="788">
        <v>41409</v>
      </c>
      <c r="K2814" s="788">
        <v>41408</v>
      </c>
      <c r="L2814" s="787">
        <v>5.44</v>
      </c>
      <c r="M2814" s="787">
        <v>10</v>
      </c>
      <c r="N2814" s="787">
        <v>5.92</v>
      </c>
      <c r="O2814" s="788">
        <v>42082</v>
      </c>
    </row>
    <row r="2815" spans="1:15" x14ac:dyDescent="0.25">
      <c r="A2815" s="786" t="s">
        <v>5808</v>
      </c>
      <c r="B2815" s="787">
        <v>4</v>
      </c>
      <c r="C2815" s="787" t="s">
        <v>5809</v>
      </c>
      <c r="D2815" s="787">
        <v>0.18</v>
      </c>
      <c r="E2815" s="787">
        <v>10.18</v>
      </c>
      <c r="F2815" s="788">
        <v>41906</v>
      </c>
      <c r="G2815" s="788">
        <v>41906</v>
      </c>
      <c r="H2815" s="787">
        <v>1</v>
      </c>
      <c r="J2815" s="788">
        <v>41873</v>
      </c>
      <c r="K2815" s="788">
        <v>41873</v>
      </c>
      <c r="L2815" s="787">
        <v>11.34</v>
      </c>
      <c r="M2815" s="787">
        <v>10</v>
      </c>
      <c r="N2815" s="787">
        <v>11.34</v>
      </c>
      <c r="O2815" s="788">
        <v>42082</v>
      </c>
    </row>
    <row r="2816" spans="1:15" x14ac:dyDescent="0.25">
      <c r="A2816" s="786" t="s">
        <v>5810</v>
      </c>
      <c r="B2816" s="787">
        <v>4</v>
      </c>
      <c r="C2816" s="787" t="s">
        <v>5014</v>
      </c>
      <c r="D2816" s="787">
        <v>0</v>
      </c>
      <c r="E2816" s="787">
        <v>0</v>
      </c>
      <c r="H2816" s="787">
        <v>1</v>
      </c>
      <c r="I2816" s="788">
        <v>41164</v>
      </c>
      <c r="L2816" s="787">
        <v>0</v>
      </c>
      <c r="M2816" s="787">
        <v>10</v>
      </c>
      <c r="N2816" s="787">
        <v>7.72</v>
      </c>
      <c r="O2816" s="788">
        <v>42152</v>
      </c>
    </row>
    <row r="2817" spans="1:15" x14ac:dyDescent="0.25">
      <c r="A2817" s="786" t="s">
        <v>5811</v>
      </c>
      <c r="B2817" s="787">
        <v>4</v>
      </c>
      <c r="C2817" s="787" t="s">
        <v>5812</v>
      </c>
      <c r="D2817" s="787">
        <v>1.77</v>
      </c>
      <c r="E2817" s="787">
        <v>38.57</v>
      </c>
      <c r="F2817" s="788">
        <v>41806</v>
      </c>
      <c r="G2817" s="788">
        <v>42160</v>
      </c>
      <c r="H2817" s="787">
        <v>1</v>
      </c>
      <c r="I2817" s="788">
        <v>42159</v>
      </c>
      <c r="J2817" s="788">
        <v>42156</v>
      </c>
      <c r="K2817" s="788">
        <v>41276</v>
      </c>
      <c r="L2817" s="787">
        <v>36.340000000000003</v>
      </c>
      <c r="M2817" s="787">
        <v>10</v>
      </c>
      <c r="N2817" s="787">
        <v>45.55</v>
      </c>
      <c r="O2817" s="788">
        <v>42152</v>
      </c>
    </row>
    <row r="2818" spans="1:15" x14ac:dyDescent="0.25">
      <c r="A2818" s="786" t="s">
        <v>5813</v>
      </c>
      <c r="B2818" s="787">
        <v>4</v>
      </c>
      <c r="C2818" s="787" t="s">
        <v>5814</v>
      </c>
      <c r="D2818" s="787">
        <v>0.97</v>
      </c>
      <c r="E2818" s="787">
        <v>40.82</v>
      </c>
      <c r="F2818" s="788">
        <v>41135</v>
      </c>
      <c r="G2818" s="788">
        <v>42166</v>
      </c>
      <c r="H2818" s="787">
        <v>1</v>
      </c>
      <c r="I2818" s="788">
        <v>42165</v>
      </c>
      <c r="J2818" s="788">
        <v>42163</v>
      </c>
      <c r="K2818" s="788">
        <v>41276</v>
      </c>
      <c r="L2818" s="787">
        <v>45.04</v>
      </c>
      <c r="M2818" s="787">
        <v>10</v>
      </c>
      <c r="N2818" s="787">
        <v>55.34</v>
      </c>
      <c r="O2818" s="788">
        <v>42152</v>
      </c>
    </row>
    <row r="2819" spans="1:15" x14ac:dyDescent="0.25">
      <c r="A2819" s="786" t="s">
        <v>5815</v>
      </c>
      <c r="B2819" s="787">
        <v>4</v>
      </c>
      <c r="C2819" s="787" t="s">
        <v>5816</v>
      </c>
      <c r="D2819" s="787">
        <v>3.15</v>
      </c>
      <c r="E2819" s="787">
        <v>43.78</v>
      </c>
      <c r="F2819" s="788">
        <v>41135</v>
      </c>
      <c r="G2819" s="788">
        <v>42165</v>
      </c>
      <c r="H2819" s="787">
        <v>1</v>
      </c>
      <c r="I2819" s="788">
        <v>42163</v>
      </c>
      <c r="J2819" s="788">
        <v>42158</v>
      </c>
      <c r="K2819" s="788">
        <v>41276</v>
      </c>
      <c r="L2819" s="787">
        <v>46.41</v>
      </c>
      <c r="M2819" s="787">
        <v>10</v>
      </c>
      <c r="N2819" s="787">
        <v>56.62</v>
      </c>
      <c r="O2819" s="788">
        <v>42144</v>
      </c>
    </row>
    <row r="2820" spans="1:15" x14ac:dyDescent="0.25">
      <c r="A2820" s="786" t="s">
        <v>5817</v>
      </c>
      <c r="B2820" s="787">
        <v>4</v>
      </c>
      <c r="C2820" s="787" t="s">
        <v>5818</v>
      </c>
      <c r="D2820" s="787">
        <v>0</v>
      </c>
      <c r="E2820" s="787">
        <v>0</v>
      </c>
      <c r="H2820" s="787">
        <v>1</v>
      </c>
      <c r="L2820" s="787">
        <v>0</v>
      </c>
      <c r="M2820" s="787">
        <v>10</v>
      </c>
      <c r="N2820" s="787">
        <v>12.28</v>
      </c>
      <c r="O2820" s="788">
        <v>42082</v>
      </c>
    </row>
    <row r="2821" spans="1:15" x14ac:dyDescent="0.25">
      <c r="A2821" s="786" t="s">
        <v>5819</v>
      </c>
      <c r="B2821" s="787">
        <v>4</v>
      </c>
      <c r="C2821" s="787" t="s">
        <v>5818</v>
      </c>
      <c r="D2821" s="787">
        <v>0</v>
      </c>
      <c r="E2821" s="787">
        <v>0</v>
      </c>
      <c r="H2821" s="787">
        <v>1</v>
      </c>
      <c r="L2821" s="787">
        <v>0</v>
      </c>
      <c r="M2821" s="787">
        <v>10</v>
      </c>
      <c r="N2821" s="787">
        <v>12.28</v>
      </c>
      <c r="O2821" s="788">
        <v>42082</v>
      </c>
    </row>
    <row r="2822" spans="1:15" x14ac:dyDescent="0.25">
      <c r="A2822" s="786" t="s">
        <v>5820</v>
      </c>
      <c r="B2822" s="787">
        <v>4</v>
      </c>
      <c r="C2822" s="787" t="s">
        <v>5821</v>
      </c>
      <c r="D2822" s="787">
        <v>7.03</v>
      </c>
      <c r="E2822" s="787">
        <v>37.03</v>
      </c>
      <c r="F2822" s="788">
        <v>41335</v>
      </c>
      <c r="G2822" s="788">
        <v>41971</v>
      </c>
      <c r="H2822" s="787">
        <v>1</v>
      </c>
      <c r="I2822" s="788">
        <v>42145</v>
      </c>
      <c r="J2822" s="788">
        <v>41971</v>
      </c>
      <c r="K2822" s="788">
        <v>41654</v>
      </c>
      <c r="L2822" s="787">
        <v>11.41</v>
      </c>
      <c r="M2822" s="787">
        <v>10</v>
      </c>
      <c r="N2822" s="787">
        <v>11.04</v>
      </c>
      <c r="O2822" s="788">
        <v>42082</v>
      </c>
    </row>
    <row r="2823" spans="1:15" x14ac:dyDescent="0.25">
      <c r="A2823" s="786" t="s">
        <v>5822</v>
      </c>
      <c r="B2823" s="787">
        <v>4</v>
      </c>
      <c r="C2823" s="787" t="s">
        <v>5823</v>
      </c>
      <c r="D2823" s="787">
        <v>6.27</v>
      </c>
      <c r="E2823" s="787">
        <v>19.489999999999998</v>
      </c>
      <c r="F2823" s="788">
        <v>41278</v>
      </c>
      <c r="G2823" s="788">
        <v>41971</v>
      </c>
      <c r="H2823" s="787">
        <v>1</v>
      </c>
      <c r="I2823" s="788">
        <v>42145</v>
      </c>
      <c r="J2823" s="788">
        <v>41971</v>
      </c>
      <c r="K2823" s="788">
        <v>41654</v>
      </c>
      <c r="L2823" s="787">
        <v>11.41</v>
      </c>
      <c r="M2823" s="787">
        <v>10</v>
      </c>
      <c r="N2823" s="787">
        <v>11.04</v>
      </c>
      <c r="O2823" s="788">
        <v>42082</v>
      </c>
    </row>
    <row r="2824" spans="1:15" x14ac:dyDescent="0.25">
      <c r="A2824" s="786" t="s">
        <v>5824</v>
      </c>
      <c r="B2824" s="787">
        <v>4</v>
      </c>
      <c r="C2824" s="787" t="s">
        <v>5825</v>
      </c>
      <c r="D2824" s="787">
        <v>8.1300000000000008</v>
      </c>
      <c r="E2824" s="787">
        <v>8.1300000000000008</v>
      </c>
      <c r="F2824" s="788">
        <v>41499</v>
      </c>
      <c r="G2824" s="788">
        <v>42013</v>
      </c>
      <c r="H2824" s="787">
        <v>1</v>
      </c>
      <c r="I2824" s="788">
        <v>42146</v>
      </c>
      <c r="J2824" s="788">
        <v>41467</v>
      </c>
      <c r="K2824" s="788">
        <v>41404</v>
      </c>
      <c r="L2824" s="787">
        <v>3.13</v>
      </c>
      <c r="M2824" s="787">
        <v>10</v>
      </c>
      <c r="N2824" s="787">
        <v>4.0999999999999996</v>
      </c>
      <c r="O2824" s="788">
        <v>42082</v>
      </c>
    </row>
    <row r="2825" spans="1:15" x14ac:dyDescent="0.25">
      <c r="A2825" s="786" t="s">
        <v>5826</v>
      </c>
      <c r="B2825" s="787">
        <v>4</v>
      </c>
      <c r="C2825" s="787" t="s">
        <v>5825</v>
      </c>
      <c r="D2825" s="787">
        <v>1.55</v>
      </c>
      <c r="E2825" s="787">
        <v>1.55</v>
      </c>
      <c r="F2825" s="788">
        <v>41499</v>
      </c>
      <c r="G2825" s="788">
        <v>42013</v>
      </c>
      <c r="H2825" s="787">
        <v>1</v>
      </c>
      <c r="I2825" s="788">
        <v>42146</v>
      </c>
      <c r="J2825" s="788">
        <v>41467</v>
      </c>
      <c r="K2825" s="788">
        <v>41404</v>
      </c>
      <c r="L2825" s="787">
        <v>3.13</v>
      </c>
      <c r="M2825" s="787">
        <v>10</v>
      </c>
      <c r="N2825" s="787">
        <v>4.0999999999999996</v>
      </c>
      <c r="O2825" s="788">
        <v>41955</v>
      </c>
    </row>
    <row r="2826" spans="1:15" x14ac:dyDescent="0.25">
      <c r="A2826" s="786" t="s">
        <v>5827</v>
      </c>
      <c r="B2826" s="787">
        <v>4</v>
      </c>
      <c r="C2826" s="787" t="s">
        <v>5828</v>
      </c>
      <c r="D2826" s="787">
        <v>2.52</v>
      </c>
      <c r="E2826" s="787">
        <v>6.07</v>
      </c>
      <c r="F2826" s="788">
        <v>40946</v>
      </c>
      <c r="G2826" s="788">
        <v>42163</v>
      </c>
      <c r="H2826" s="787">
        <v>1</v>
      </c>
      <c r="I2826" s="788">
        <v>42164</v>
      </c>
      <c r="J2826" s="788">
        <v>42153</v>
      </c>
      <c r="K2826" s="788">
        <v>40919</v>
      </c>
      <c r="L2826" s="787">
        <v>2.59</v>
      </c>
      <c r="M2826" s="787">
        <v>10</v>
      </c>
      <c r="N2826" s="787">
        <v>4.04</v>
      </c>
      <c r="O2826" s="788">
        <v>42136</v>
      </c>
    </row>
    <row r="2827" spans="1:15" x14ac:dyDescent="0.25">
      <c r="A2827" s="786" t="s">
        <v>5829</v>
      </c>
      <c r="B2827" s="787">
        <v>4</v>
      </c>
      <c r="C2827" s="787" t="s">
        <v>5830</v>
      </c>
      <c r="D2827" s="787">
        <v>9.36</v>
      </c>
      <c r="E2827" s="787">
        <v>391.93</v>
      </c>
      <c r="F2827" s="788">
        <v>40946</v>
      </c>
      <c r="G2827" s="788">
        <v>42166</v>
      </c>
      <c r="H2827" s="787">
        <v>1</v>
      </c>
      <c r="I2827" s="788">
        <v>42107</v>
      </c>
      <c r="J2827" s="788">
        <v>42166</v>
      </c>
      <c r="K2827" s="788">
        <v>41025</v>
      </c>
      <c r="L2827" s="787">
        <v>372.13</v>
      </c>
      <c r="M2827" s="787">
        <v>10</v>
      </c>
      <c r="N2827" s="787">
        <v>456.61</v>
      </c>
      <c r="O2827" s="788">
        <v>42080</v>
      </c>
    </row>
    <row r="2828" spans="1:15" x14ac:dyDescent="0.25">
      <c r="A2828" s="786" t="s">
        <v>5831</v>
      </c>
      <c r="B2828" s="787">
        <v>4</v>
      </c>
      <c r="C2828" s="787" t="s">
        <v>5832</v>
      </c>
      <c r="D2828" s="787">
        <v>1.64</v>
      </c>
      <c r="E2828" s="787">
        <v>423.07</v>
      </c>
      <c r="F2828" s="788">
        <v>42132</v>
      </c>
      <c r="G2828" s="788">
        <v>42166</v>
      </c>
      <c r="H2828" s="787">
        <v>1</v>
      </c>
      <c r="I2828" s="788">
        <v>42157</v>
      </c>
      <c r="J2828" s="788">
        <v>42166</v>
      </c>
      <c r="K2828" s="788">
        <v>41025</v>
      </c>
      <c r="L2828" s="787">
        <v>532.96</v>
      </c>
      <c r="M2828" s="787">
        <v>10</v>
      </c>
      <c r="N2828" s="787">
        <v>492.04</v>
      </c>
      <c r="O2828" s="788">
        <v>42136</v>
      </c>
    </row>
    <row r="2829" spans="1:15" x14ac:dyDescent="0.25">
      <c r="A2829" s="786" t="s">
        <v>5833</v>
      </c>
      <c r="B2829" s="787">
        <v>4</v>
      </c>
      <c r="C2829" s="787" t="s">
        <v>5834</v>
      </c>
      <c r="D2829" s="787">
        <v>4.82</v>
      </c>
      <c r="E2829" s="787">
        <v>836.11</v>
      </c>
      <c r="F2829" s="788">
        <v>40827</v>
      </c>
      <c r="G2829" s="788">
        <v>42152</v>
      </c>
      <c r="H2829" s="787">
        <v>1</v>
      </c>
      <c r="I2829" s="788">
        <v>42145</v>
      </c>
      <c r="J2829" s="788">
        <v>42143</v>
      </c>
      <c r="K2829" s="788">
        <v>41512</v>
      </c>
      <c r="L2829" s="787">
        <v>857.61</v>
      </c>
      <c r="M2829" s="787">
        <v>10</v>
      </c>
      <c r="N2829" s="787">
        <v>810.23</v>
      </c>
      <c r="O2829" s="788">
        <v>42144</v>
      </c>
    </row>
    <row r="2830" spans="1:15" x14ac:dyDescent="0.25">
      <c r="A2830" s="786" t="s">
        <v>5835</v>
      </c>
      <c r="B2830" s="787">
        <v>4</v>
      </c>
      <c r="C2830" s="787" t="s">
        <v>5836</v>
      </c>
      <c r="D2830" s="787">
        <v>8.67</v>
      </c>
      <c r="E2830" s="787">
        <v>440.03</v>
      </c>
      <c r="F2830" s="788">
        <v>40948</v>
      </c>
      <c r="G2830" s="788">
        <v>42163</v>
      </c>
      <c r="H2830" s="787">
        <v>1</v>
      </c>
      <c r="I2830" s="788">
        <v>42135</v>
      </c>
      <c r="J2830" s="788">
        <v>42132</v>
      </c>
      <c r="K2830" s="788">
        <v>41025</v>
      </c>
      <c r="L2830" s="787">
        <v>545.96</v>
      </c>
      <c r="M2830" s="787">
        <v>10</v>
      </c>
      <c r="N2830" s="787">
        <v>553.94000000000005</v>
      </c>
      <c r="O2830" s="788">
        <v>42123</v>
      </c>
    </row>
    <row r="2831" spans="1:15" x14ac:dyDescent="0.25">
      <c r="A2831" s="786" t="s">
        <v>5837</v>
      </c>
      <c r="B2831" s="787">
        <v>4</v>
      </c>
      <c r="C2831" s="787" t="s">
        <v>5838</v>
      </c>
      <c r="D2831" s="787">
        <v>4.08</v>
      </c>
      <c r="E2831" s="787">
        <v>883.44</v>
      </c>
      <c r="F2831" s="788">
        <v>40948</v>
      </c>
      <c r="G2831" s="788">
        <v>41907</v>
      </c>
      <c r="H2831" s="787">
        <v>1</v>
      </c>
      <c r="I2831" s="788">
        <v>41807</v>
      </c>
      <c r="J2831" s="788">
        <v>41807</v>
      </c>
      <c r="K2831" s="788">
        <v>41025</v>
      </c>
      <c r="L2831" s="787">
        <v>833.71</v>
      </c>
      <c r="M2831" s="787">
        <v>10</v>
      </c>
      <c r="N2831" s="787">
        <v>858.14</v>
      </c>
      <c r="O2831" s="788">
        <v>42123</v>
      </c>
    </row>
    <row r="2832" spans="1:15" x14ac:dyDescent="0.25">
      <c r="A2832" s="786" t="s">
        <v>5839</v>
      </c>
      <c r="B2832" s="787">
        <v>4</v>
      </c>
      <c r="C2832" s="787" t="s">
        <v>5840</v>
      </c>
      <c r="D2832" s="787">
        <v>7.9</v>
      </c>
      <c r="E2832" s="787">
        <v>603.99</v>
      </c>
      <c r="F2832" s="788">
        <v>42065</v>
      </c>
      <c r="G2832" s="788">
        <v>42146</v>
      </c>
      <c r="H2832" s="787">
        <v>1</v>
      </c>
      <c r="I2832" s="788">
        <v>42145</v>
      </c>
      <c r="J2832" s="788">
        <v>42145</v>
      </c>
      <c r="K2832" s="788">
        <v>41011</v>
      </c>
      <c r="L2832" s="787">
        <v>483.65</v>
      </c>
      <c r="M2832" s="787">
        <v>10</v>
      </c>
      <c r="N2832" s="787">
        <v>543.20000000000005</v>
      </c>
      <c r="O2832" s="788">
        <v>42164</v>
      </c>
    </row>
    <row r="2833" spans="1:15" x14ac:dyDescent="0.25">
      <c r="A2833" s="786" t="s">
        <v>5841</v>
      </c>
      <c r="B2833" s="787">
        <v>4</v>
      </c>
      <c r="C2833" s="787" t="s">
        <v>5842</v>
      </c>
      <c r="D2833" s="787">
        <v>2.12</v>
      </c>
      <c r="E2833" s="787">
        <v>676.48</v>
      </c>
      <c r="F2833" s="788">
        <v>42146</v>
      </c>
      <c r="G2833" s="788">
        <v>42146</v>
      </c>
      <c r="H2833" s="787">
        <v>1</v>
      </c>
      <c r="I2833" s="788">
        <v>42160</v>
      </c>
      <c r="J2833" s="788">
        <v>42145</v>
      </c>
      <c r="K2833" s="788">
        <v>42086</v>
      </c>
      <c r="L2833" s="787">
        <v>610.25</v>
      </c>
      <c r="M2833" s="787">
        <v>10</v>
      </c>
      <c r="N2833" s="787">
        <v>637.75</v>
      </c>
      <c r="O2833" s="788">
        <v>42164</v>
      </c>
    </row>
    <row r="2834" spans="1:15" x14ac:dyDescent="0.25">
      <c r="A2834" s="786" t="s">
        <v>5843</v>
      </c>
      <c r="B2834" s="787">
        <v>4</v>
      </c>
      <c r="C2834" s="787" t="s">
        <v>5844</v>
      </c>
      <c r="D2834" s="787">
        <v>8.16</v>
      </c>
      <c r="E2834" s="787">
        <v>479.22</v>
      </c>
      <c r="F2834" s="788">
        <v>41166</v>
      </c>
      <c r="G2834" s="788">
        <v>42145</v>
      </c>
      <c r="H2834" s="787">
        <v>1</v>
      </c>
      <c r="I2834" s="788">
        <v>42152</v>
      </c>
      <c r="J2834" s="788">
        <v>42151</v>
      </c>
      <c r="K2834" s="788">
        <v>41011</v>
      </c>
      <c r="L2834" s="787">
        <v>608.14</v>
      </c>
      <c r="M2834" s="787">
        <v>10</v>
      </c>
      <c r="N2834" s="787">
        <v>582.54999999999995</v>
      </c>
      <c r="O2834" s="788">
        <v>42164</v>
      </c>
    </row>
    <row r="2835" spans="1:15" x14ac:dyDescent="0.25">
      <c r="A2835" s="786" t="s">
        <v>5845</v>
      </c>
      <c r="B2835" s="787">
        <v>4</v>
      </c>
      <c r="C2835" s="787" t="s">
        <v>5846</v>
      </c>
      <c r="D2835" s="787">
        <v>6.75</v>
      </c>
      <c r="E2835" s="787">
        <v>704.22</v>
      </c>
      <c r="F2835" s="788">
        <v>42086</v>
      </c>
      <c r="G2835" s="788">
        <v>42152</v>
      </c>
      <c r="H2835" s="787">
        <v>1</v>
      </c>
      <c r="I2835" s="788">
        <v>42156</v>
      </c>
      <c r="J2835" s="788">
        <v>42152</v>
      </c>
      <c r="K2835" s="788">
        <v>41232</v>
      </c>
      <c r="L2835" s="787">
        <v>664.61</v>
      </c>
      <c r="M2835" s="787">
        <v>10</v>
      </c>
      <c r="N2835" s="787">
        <v>677.1</v>
      </c>
      <c r="O2835" s="788">
        <v>42164</v>
      </c>
    </row>
    <row r="2836" spans="1:15" x14ac:dyDescent="0.25">
      <c r="A2836" s="786" t="s">
        <v>5847</v>
      </c>
      <c r="B2836" s="787">
        <v>4</v>
      </c>
      <c r="C2836" s="787" t="s">
        <v>5848</v>
      </c>
      <c r="D2836" s="787">
        <v>0</v>
      </c>
      <c r="E2836" s="787">
        <v>0</v>
      </c>
      <c r="H2836" s="787">
        <v>1</v>
      </c>
      <c r="K2836" s="788">
        <v>41011</v>
      </c>
      <c r="L2836" s="787">
        <v>620.39</v>
      </c>
      <c r="M2836" s="787">
        <v>10</v>
      </c>
      <c r="N2836" s="787">
        <v>570.9</v>
      </c>
      <c r="O2836" s="788">
        <v>42164</v>
      </c>
    </row>
    <row r="2837" spans="1:15" x14ac:dyDescent="0.25">
      <c r="A2837" s="786" t="s">
        <v>5849</v>
      </c>
      <c r="B2837" s="787">
        <v>4</v>
      </c>
      <c r="C2837" s="787" t="s">
        <v>5850</v>
      </c>
      <c r="D2837" s="787">
        <v>0</v>
      </c>
      <c r="E2837" s="787">
        <v>0</v>
      </c>
      <c r="H2837" s="787">
        <v>1</v>
      </c>
      <c r="K2837" s="788">
        <v>42086</v>
      </c>
      <c r="L2837" s="787">
        <v>639.99</v>
      </c>
      <c r="M2837" s="787">
        <v>10</v>
      </c>
      <c r="N2837" s="787">
        <v>665.45</v>
      </c>
      <c r="O2837" s="788">
        <v>42164</v>
      </c>
    </row>
    <row r="2838" spans="1:15" x14ac:dyDescent="0.25">
      <c r="A2838" s="786" t="s">
        <v>5851</v>
      </c>
      <c r="B2838" s="787">
        <v>4</v>
      </c>
      <c r="C2838" s="787" t="s">
        <v>5852</v>
      </c>
      <c r="D2838" s="787">
        <v>0</v>
      </c>
      <c r="E2838" s="787">
        <v>0</v>
      </c>
      <c r="H2838" s="787">
        <v>1</v>
      </c>
      <c r="I2838" s="788">
        <v>41471</v>
      </c>
      <c r="K2838" s="788">
        <v>41820</v>
      </c>
      <c r="L2838" s="787">
        <v>8.02</v>
      </c>
      <c r="M2838" s="787">
        <v>10</v>
      </c>
      <c r="N2838" s="787">
        <v>7.65</v>
      </c>
      <c r="O2838" s="788">
        <v>42123</v>
      </c>
    </row>
    <row r="2839" spans="1:15" x14ac:dyDescent="0.25">
      <c r="A2839" s="786" t="s">
        <v>5853</v>
      </c>
      <c r="B2839" s="787">
        <v>4</v>
      </c>
      <c r="C2839" s="787" t="s">
        <v>5854</v>
      </c>
      <c r="D2839" s="787">
        <v>0</v>
      </c>
      <c r="E2839" s="787">
        <v>0</v>
      </c>
      <c r="H2839" s="787">
        <v>1</v>
      </c>
      <c r="I2839" s="788">
        <v>41471</v>
      </c>
      <c r="K2839" s="788">
        <v>41820</v>
      </c>
      <c r="L2839" s="787">
        <v>8.02</v>
      </c>
      <c r="M2839" s="787">
        <v>10</v>
      </c>
      <c r="N2839" s="787">
        <v>7.65</v>
      </c>
      <c r="O2839" s="788">
        <v>42123</v>
      </c>
    </row>
    <row r="2840" spans="1:15" x14ac:dyDescent="0.25">
      <c r="A2840" s="786" t="s">
        <v>5855</v>
      </c>
      <c r="B2840" s="787">
        <v>4</v>
      </c>
      <c r="C2840" s="787" t="s">
        <v>5856</v>
      </c>
      <c r="D2840" s="787">
        <v>6.71</v>
      </c>
      <c r="E2840" s="787">
        <v>55.11</v>
      </c>
      <c r="F2840" s="788">
        <v>41180</v>
      </c>
      <c r="G2840" s="788">
        <v>41943</v>
      </c>
      <c r="H2840" s="787">
        <v>1</v>
      </c>
      <c r="I2840" s="788">
        <v>41257</v>
      </c>
      <c r="J2840" s="788">
        <v>41382</v>
      </c>
      <c r="K2840" s="788">
        <v>41353</v>
      </c>
      <c r="L2840" s="787">
        <v>24.86</v>
      </c>
      <c r="M2840" s="787">
        <v>10</v>
      </c>
      <c r="N2840" s="787">
        <v>30.11</v>
      </c>
      <c r="O2840" s="788">
        <v>42082</v>
      </c>
    </row>
    <row r="2841" spans="1:15" x14ac:dyDescent="0.25">
      <c r="A2841" s="786" t="s">
        <v>5857</v>
      </c>
      <c r="B2841" s="787">
        <v>4</v>
      </c>
      <c r="C2841" s="787" t="s">
        <v>5858</v>
      </c>
      <c r="D2841" s="787">
        <v>8.5500000000000007</v>
      </c>
      <c r="E2841" s="787">
        <v>48.55</v>
      </c>
      <c r="F2841" s="788">
        <v>41418</v>
      </c>
      <c r="G2841" s="788">
        <v>41943</v>
      </c>
      <c r="H2841" s="787">
        <v>1</v>
      </c>
      <c r="I2841" s="788">
        <v>41257</v>
      </c>
      <c r="J2841" s="788">
        <v>41382</v>
      </c>
      <c r="K2841" s="788">
        <v>41353</v>
      </c>
      <c r="L2841" s="787">
        <v>24.86</v>
      </c>
      <c r="M2841" s="787">
        <v>10</v>
      </c>
      <c r="N2841" s="787">
        <v>30.11</v>
      </c>
      <c r="O2841" s="788">
        <v>42082</v>
      </c>
    </row>
    <row r="2842" spans="1:15" x14ac:dyDescent="0.25">
      <c r="A2842" s="786" t="s">
        <v>5859</v>
      </c>
      <c r="B2842" s="787">
        <v>4</v>
      </c>
      <c r="C2842" s="787" t="s">
        <v>5860</v>
      </c>
      <c r="D2842" s="787">
        <v>0.55000000000000004</v>
      </c>
      <c r="E2842" s="787">
        <v>0.55000000000000004</v>
      </c>
      <c r="F2842" s="788">
        <v>41813</v>
      </c>
      <c r="G2842" s="788">
        <v>41813</v>
      </c>
      <c r="H2842" s="787">
        <v>1</v>
      </c>
      <c r="I2842" s="788">
        <v>41456</v>
      </c>
      <c r="J2842" s="788">
        <v>41499</v>
      </c>
      <c r="K2842" s="788">
        <v>41419</v>
      </c>
      <c r="L2842" s="787">
        <v>0.87</v>
      </c>
      <c r="M2842" s="787">
        <v>10</v>
      </c>
      <c r="N2842" s="787">
        <v>1.54</v>
      </c>
      <c r="O2842" s="788">
        <v>42082</v>
      </c>
    </row>
    <row r="2843" spans="1:15" x14ac:dyDescent="0.25">
      <c r="A2843" s="786" t="s">
        <v>5861</v>
      </c>
      <c r="B2843" s="787">
        <v>4</v>
      </c>
      <c r="C2843" s="787" t="s">
        <v>5862</v>
      </c>
      <c r="D2843" s="787">
        <v>0.74</v>
      </c>
      <c r="E2843" s="787">
        <v>20.74</v>
      </c>
      <c r="F2843" s="788">
        <v>41813</v>
      </c>
      <c r="G2843" s="788">
        <v>41813</v>
      </c>
      <c r="H2843" s="787">
        <v>1</v>
      </c>
      <c r="I2843" s="788">
        <v>42145</v>
      </c>
      <c r="J2843" s="788">
        <v>41781</v>
      </c>
      <c r="K2843" s="788">
        <v>41445</v>
      </c>
      <c r="L2843" s="787">
        <v>1</v>
      </c>
      <c r="M2843" s="787">
        <v>10</v>
      </c>
      <c r="N2843" s="787">
        <v>31</v>
      </c>
      <c r="O2843" s="788">
        <v>42082</v>
      </c>
    </row>
    <row r="2844" spans="1:15" x14ac:dyDescent="0.25">
      <c r="A2844" s="786" t="s">
        <v>5863</v>
      </c>
      <c r="B2844" s="787">
        <v>4</v>
      </c>
      <c r="C2844" s="787" t="s">
        <v>5864</v>
      </c>
      <c r="D2844" s="787">
        <v>4.8899999999999997</v>
      </c>
      <c r="E2844" s="787">
        <v>924.67</v>
      </c>
      <c r="F2844" s="788">
        <v>41218</v>
      </c>
      <c r="G2844" s="788">
        <v>41499</v>
      </c>
      <c r="H2844" s="787">
        <v>1</v>
      </c>
      <c r="I2844" s="788">
        <v>41473</v>
      </c>
      <c r="J2844" s="788">
        <v>41471</v>
      </c>
      <c r="K2844" s="788">
        <v>40910</v>
      </c>
      <c r="L2844" s="787">
        <v>730.85</v>
      </c>
      <c r="M2844" s="787">
        <v>10</v>
      </c>
      <c r="N2844" s="787">
        <v>824.96</v>
      </c>
      <c r="O2844" s="788">
        <v>42082</v>
      </c>
    </row>
    <row r="2845" spans="1:15" x14ac:dyDescent="0.25">
      <c r="A2845" s="786" t="s">
        <v>5865</v>
      </c>
      <c r="B2845" s="787">
        <v>4</v>
      </c>
      <c r="C2845" s="787" t="s">
        <v>5866</v>
      </c>
      <c r="D2845" s="787">
        <v>0</v>
      </c>
      <c r="E2845" s="787">
        <v>0</v>
      </c>
      <c r="H2845" s="787">
        <v>1</v>
      </c>
      <c r="K2845" s="788">
        <v>41025</v>
      </c>
      <c r="L2845" s="787">
        <v>812.2</v>
      </c>
      <c r="M2845" s="787">
        <v>10</v>
      </c>
      <c r="N2845" s="787">
        <v>837.06</v>
      </c>
      <c r="O2845" s="788">
        <v>42123</v>
      </c>
    </row>
    <row r="2846" spans="1:15" x14ac:dyDescent="0.25">
      <c r="A2846" s="786" t="s">
        <v>5867</v>
      </c>
      <c r="B2846" s="787">
        <v>4</v>
      </c>
      <c r="C2846" s="787" t="s">
        <v>5868</v>
      </c>
      <c r="D2846" s="787">
        <v>4.5199999999999996</v>
      </c>
      <c r="E2846" s="787">
        <v>6.8</v>
      </c>
      <c r="F2846" s="788">
        <v>42068</v>
      </c>
      <c r="G2846" s="788">
        <v>42159</v>
      </c>
      <c r="H2846" s="787">
        <v>1</v>
      </c>
      <c r="I2846" s="788">
        <v>42160</v>
      </c>
      <c r="J2846" s="788">
        <v>42131</v>
      </c>
      <c r="K2846" s="788">
        <v>41786</v>
      </c>
      <c r="L2846" s="787">
        <v>23.56</v>
      </c>
      <c r="M2846" s="787">
        <v>10</v>
      </c>
      <c r="N2846" s="787">
        <v>5.33</v>
      </c>
      <c r="O2846" s="788">
        <v>42082</v>
      </c>
    </row>
    <row r="2847" spans="1:15" x14ac:dyDescent="0.25">
      <c r="A2847" s="786" t="s">
        <v>5869</v>
      </c>
      <c r="B2847" s="787">
        <v>4</v>
      </c>
      <c r="C2847" s="787" t="s">
        <v>5868</v>
      </c>
      <c r="D2847" s="787">
        <v>5.57</v>
      </c>
      <c r="E2847" s="787">
        <v>5.57</v>
      </c>
      <c r="F2847" s="788">
        <v>42159</v>
      </c>
      <c r="G2847" s="788">
        <v>42159</v>
      </c>
      <c r="H2847" s="787">
        <v>1</v>
      </c>
      <c r="I2847" s="788">
        <v>42160</v>
      </c>
      <c r="J2847" s="788">
        <v>42131</v>
      </c>
      <c r="K2847" s="788">
        <v>41786</v>
      </c>
      <c r="L2847" s="787">
        <v>23.56</v>
      </c>
      <c r="M2847" s="787">
        <v>10</v>
      </c>
      <c r="N2847" s="787">
        <v>5.33</v>
      </c>
      <c r="O2847" s="788">
        <v>42082</v>
      </c>
    </row>
    <row r="2848" spans="1:15" x14ac:dyDescent="0.25">
      <c r="A2848" s="786" t="s">
        <v>5870</v>
      </c>
      <c r="B2848" s="787">
        <v>4</v>
      </c>
      <c r="C2848" s="787" t="s">
        <v>5868</v>
      </c>
      <c r="D2848" s="787">
        <v>4.75</v>
      </c>
      <c r="E2848" s="787">
        <v>4.75</v>
      </c>
      <c r="F2848" s="788">
        <v>42068</v>
      </c>
      <c r="G2848" s="788">
        <v>42068</v>
      </c>
      <c r="H2848" s="787">
        <v>1</v>
      </c>
      <c r="I2848" s="788">
        <v>42156</v>
      </c>
      <c r="J2848" s="788">
        <v>42038</v>
      </c>
      <c r="K2848" s="788">
        <v>41786</v>
      </c>
      <c r="L2848" s="787">
        <v>21.87</v>
      </c>
      <c r="M2848" s="787">
        <v>10</v>
      </c>
      <c r="N2848" s="787">
        <v>3.28</v>
      </c>
      <c r="O2848" s="788">
        <v>42082</v>
      </c>
    </row>
    <row r="2849" spans="1:15" x14ac:dyDescent="0.25">
      <c r="A2849" s="786" t="s">
        <v>5871</v>
      </c>
      <c r="B2849" s="787">
        <v>4</v>
      </c>
      <c r="C2849" s="787" t="s">
        <v>5868</v>
      </c>
      <c r="D2849" s="787">
        <v>5.74</v>
      </c>
      <c r="E2849" s="787">
        <v>9.36</v>
      </c>
      <c r="F2849" s="788">
        <v>42142</v>
      </c>
      <c r="G2849" s="788">
        <v>42159</v>
      </c>
      <c r="H2849" s="787">
        <v>1</v>
      </c>
      <c r="I2849" s="788">
        <v>42160</v>
      </c>
      <c r="J2849" s="788">
        <v>42131</v>
      </c>
      <c r="K2849" s="788">
        <v>41786</v>
      </c>
      <c r="L2849" s="787">
        <v>23.04</v>
      </c>
      <c r="M2849" s="787">
        <v>10</v>
      </c>
      <c r="N2849" s="787">
        <v>4.83</v>
      </c>
      <c r="O2849" s="788">
        <v>42082</v>
      </c>
    </row>
    <row r="2850" spans="1:15" x14ac:dyDescent="0.25">
      <c r="A2850" s="786" t="s">
        <v>5872</v>
      </c>
      <c r="B2850" s="787">
        <v>4</v>
      </c>
      <c r="C2850" s="787" t="s">
        <v>5873</v>
      </c>
      <c r="D2850" s="787">
        <v>5.72</v>
      </c>
      <c r="E2850" s="787">
        <v>11.54</v>
      </c>
      <c r="F2850" s="788">
        <v>41824</v>
      </c>
      <c r="G2850" s="788">
        <v>42159</v>
      </c>
      <c r="H2850" s="787">
        <v>1</v>
      </c>
      <c r="I2850" s="788">
        <v>42160</v>
      </c>
      <c r="J2850" s="788">
        <v>42152</v>
      </c>
      <c r="K2850" s="788">
        <v>41786</v>
      </c>
      <c r="L2850" s="787">
        <v>23.53</v>
      </c>
      <c r="M2850" s="787">
        <v>10</v>
      </c>
      <c r="N2850" s="787">
        <v>5.73</v>
      </c>
      <c r="O2850" s="788">
        <v>42082</v>
      </c>
    </row>
    <row r="2851" spans="1:15" x14ac:dyDescent="0.25">
      <c r="A2851" s="786" t="s">
        <v>5874</v>
      </c>
      <c r="B2851" s="787">
        <v>4</v>
      </c>
      <c r="C2851" s="787" t="s">
        <v>5873</v>
      </c>
      <c r="D2851" s="787">
        <v>4.09</v>
      </c>
      <c r="E2851" s="787">
        <v>4.6500000000000004</v>
      </c>
      <c r="F2851" s="788">
        <v>42068</v>
      </c>
      <c r="G2851" s="788">
        <v>42159</v>
      </c>
      <c r="H2851" s="787">
        <v>1</v>
      </c>
      <c r="I2851" s="788">
        <v>42160</v>
      </c>
      <c r="J2851" s="788">
        <v>42152</v>
      </c>
      <c r="K2851" s="788">
        <v>42128</v>
      </c>
      <c r="L2851" s="787">
        <v>23.53</v>
      </c>
      <c r="M2851" s="787">
        <v>10</v>
      </c>
      <c r="N2851" s="787">
        <v>13.1</v>
      </c>
      <c r="O2851" s="788">
        <v>42082</v>
      </c>
    </row>
    <row r="2852" spans="1:15" x14ac:dyDescent="0.25">
      <c r="A2852" s="786" t="s">
        <v>5875</v>
      </c>
      <c r="B2852" s="787">
        <v>4</v>
      </c>
      <c r="C2852" s="787" t="s">
        <v>5876</v>
      </c>
      <c r="D2852" s="787">
        <v>3.48</v>
      </c>
      <c r="E2852" s="787">
        <v>3.48</v>
      </c>
      <c r="F2852" s="788">
        <v>41824</v>
      </c>
      <c r="G2852" s="788">
        <v>42013</v>
      </c>
      <c r="H2852" s="787">
        <v>1</v>
      </c>
      <c r="I2852" s="788">
        <v>41834</v>
      </c>
      <c r="J2852" s="788">
        <v>41795</v>
      </c>
      <c r="K2852" s="788">
        <v>41786</v>
      </c>
      <c r="L2852" s="787">
        <v>22.3</v>
      </c>
      <c r="M2852" s="787">
        <v>10</v>
      </c>
      <c r="N2852" s="787">
        <v>3.7</v>
      </c>
      <c r="O2852" s="788">
        <v>42082</v>
      </c>
    </row>
    <row r="2853" spans="1:15" x14ac:dyDescent="0.25">
      <c r="A2853" s="786" t="s">
        <v>5877</v>
      </c>
      <c r="B2853" s="787">
        <v>4</v>
      </c>
      <c r="C2853" s="787" t="s">
        <v>5876</v>
      </c>
      <c r="D2853" s="787">
        <v>3.53</v>
      </c>
      <c r="E2853" s="787">
        <v>3.53</v>
      </c>
      <c r="F2853" s="788">
        <v>41824</v>
      </c>
      <c r="G2853" s="788">
        <v>42013</v>
      </c>
      <c r="H2853" s="787">
        <v>1</v>
      </c>
      <c r="I2853" s="788">
        <v>41834</v>
      </c>
      <c r="J2853" s="788">
        <v>41795</v>
      </c>
      <c r="K2853" s="788">
        <v>41786</v>
      </c>
      <c r="L2853" s="787">
        <v>22.3</v>
      </c>
      <c r="M2853" s="787">
        <v>10</v>
      </c>
      <c r="N2853" s="787">
        <v>3.7</v>
      </c>
      <c r="O2853" s="788">
        <v>42082</v>
      </c>
    </row>
    <row r="2854" spans="1:15" x14ac:dyDescent="0.25">
      <c r="A2854" s="786" t="s">
        <v>5878</v>
      </c>
      <c r="B2854" s="787">
        <v>4</v>
      </c>
      <c r="C2854" s="787" t="s">
        <v>5879</v>
      </c>
      <c r="D2854" s="787">
        <v>8.42</v>
      </c>
      <c r="E2854" s="787">
        <v>8.42</v>
      </c>
      <c r="F2854" s="788">
        <v>41824</v>
      </c>
      <c r="G2854" s="788">
        <v>42013</v>
      </c>
      <c r="H2854" s="787">
        <v>1</v>
      </c>
      <c r="I2854" s="788">
        <v>41834</v>
      </c>
      <c r="J2854" s="788">
        <v>41795</v>
      </c>
      <c r="K2854" s="788">
        <v>41786</v>
      </c>
      <c r="L2854" s="787">
        <v>24.69</v>
      </c>
      <c r="M2854" s="787">
        <v>10</v>
      </c>
      <c r="N2854" s="787">
        <v>7.08</v>
      </c>
      <c r="O2854" s="788">
        <v>42082</v>
      </c>
    </row>
    <row r="2855" spans="1:15" x14ac:dyDescent="0.25">
      <c r="A2855" s="786" t="s">
        <v>5880</v>
      </c>
      <c r="B2855" s="787">
        <v>4</v>
      </c>
      <c r="C2855" s="787" t="s">
        <v>5881</v>
      </c>
      <c r="D2855" s="787">
        <v>2.11</v>
      </c>
      <c r="E2855" s="787">
        <v>12.11</v>
      </c>
      <c r="F2855" s="788">
        <v>41829</v>
      </c>
      <c r="G2855" s="788">
        <v>42013</v>
      </c>
      <c r="H2855" s="787">
        <v>1</v>
      </c>
      <c r="I2855" s="788">
        <v>41834</v>
      </c>
      <c r="J2855" s="788">
        <v>41801</v>
      </c>
      <c r="K2855" s="788">
        <v>41786</v>
      </c>
      <c r="L2855" s="787">
        <v>24.69</v>
      </c>
      <c r="M2855" s="787">
        <v>10</v>
      </c>
      <c r="N2855" s="787">
        <v>7.08</v>
      </c>
      <c r="O2855" s="788">
        <v>42082</v>
      </c>
    </row>
    <row r="2856" spans="1:15" x14ac:dyDescent="0.25">
      <c r="A2856" s="786" t="s">
        <v>5882</v>
      </c>
      <c r="B2856" s="787">
        <v>4</v>
      </c>
      <c r="C2856" s="787" t="s">
        <v>5883</v>
      </c>
      <c r="D2856" s="787">
        <v>6.25</v>
      </c>
      <c r="E2856" s="787">
        <v>6.25</v>
      </c>
      <c r="F2856" s="788">
        <v>41824</v>
      </c>
      <c r="G2856" s="788">
        <v>41824</v>
      </c>
      <c r="H2856" s="787">
        <v>1</v>
      </c>
      <c r="J2856" s="788">
        <v>41795</v>
      </c>
      <c r="K2856" s="788">
        <v>41786</v>
      </c>
      <c r="L2856" s="787">
        <v>23.24</v>
      </c>
      <c r="M2856" s="787">
        <v>10</v>
      </c>
      <c r="N2856" s="787">
        <v>5.26</v>
      </c>
      <c r="O2856" s="788">
        <v>42082</v>
      </c>
    </row>
    <row r="2857" spans="1:15" x14ac:dyDescent="0.25">
      <c r="A2857" s="786" t="s">
        <v>5884</v>
      </c>
      <c r="B2857" s="787">
        <v>4</v>
      </c>
      <c r="C2857" s="787" t="s">
        <v>5885</v>
      </c>
      <c r="D2857" s="787">
        <v>0.83</v>
      </c>
      <c r="E2857" s="787">
        <v>3.13</v>
      </c>
      <c r="F2857" s="788">
        <v>41449</v>
      </c>
      <c r="G2857" s="788">
        <v>42159</v>
      </c>
      <c r="H2857" s="787">
        <v>1</v>
      </c>
      <c r="I2857" s="788">
        <v>42160</v>
      </c>
      <c r="J2857" s="788">
        <v>42131</v>
      </c>
      <c r="K2857" s="788">
        <v>41293</v>
      </c>
      <c r="L2857" s="787">
        <v>22.02</v>
      </c>
      <c r="M2857" s="787">
        <v>10</v>
      </c>
      <c r="N2857" s="787">
        <v>2.82</v>
      </c>
      <c r="O2857" s="788">
        <v>42082</v>
      </c>
    </row>
    <row r="2858" spans="1:15" x14ac:dyDescent="0.25">
      <c r="A2858" s="786" t="s">
        <v>5886</v>
      </c>
      <c r="B2858" s="787">
        <v>4</v>
      </c>
      <c r="C2858" s="787" t="s">
        <v>5885</v>
      </c>
      <c r="D2858" s="787">
        <v>1.69</v>
      </c>
      <c r="E2858" s="787">
        <v>6.14</v>
      </c>
      <c r="F2858" s="788">
        <v>42144</v>
      </c>
      <c r="G2858" s="788">
        <v>42159</v>
      </c>
      <c r="H2858" s="787">
        <v>1</v>
      </c>
      <c r="I2858" s="788">
        <v>42160</v>
      </c>
      <c r="J2858" s="788">
        <v>42131</v>
      </c>
      <c r="K2858" s="788">
        <v>41293</v>
      </c>
      <c r="L2858" s="787">
        <v>22.02</v>
      </c>
      <c r="M2858" s="787">
        <v>10</v>
      </c>
      <c r="N2858" s="787">
        <v>2.82</v>
      </c>
      <c r="O2858" s="788">
        <v>42082</v>
      </c>
    </row>
    <row r="2859" spans="1:15" x14ac:dyDescent="0.25">
      <c r="A2859" s="786" t="s">
        <v>5887</v>
      </c>
      <c r="B2859" s="787">
        <v>4</v>
      </c>
      <c r="C2859" s="787" t="s">
        <v>5885</v>
      </c>
      <c r="D2859" s="787">
        <v>0</v>
      </c>
      <c r="E2859" s="787">
        <v>0</v>
      </c>
      <c r="H2859" s="787">
        <v>1</v>
      </c>
      <c r="I2859" s="788">
        <v>41393</v>
      </c>
      <c r="L2859" s="787">
        <v>0</v>
      </c>
      <c r="M2859" s="787">
        <v>10</v>
      </c>
      <c r="N2859" s="787">
        <v>27.25</v>
      </c>
      <c r="O2859" s="788">
        <v>42082</v>
      </c>
    </row>
    <row r="2860" spans="1:15" x14ac:dyDescent="0.25">
      <c r="A2860" s="786" t="s">
        <v>5888</v>
      </c>
      <c r="B2860" s="787">
        <v>4</v>
      </c>
      <c r="C2860" s="787" t="s">
        <v>5885</v>
      </c>
      <c r="D2860" s="787">
        <v>0</v>
      </c>
      <c r="E2860" s="787">
        <v>0</v>
      </c>
      <c r="H2860" s="787">
        <v>1</v>
      </c>
      <c r="L2860" s="787">
        <v>0</v>
      </c>
      <c r="M2860" s="787">
        <v>10</v>
      </c>
      <c r="N2860" s="787">
        <v>27.25</v>
      </c>
      <c r="O2860" s="788">
        <v>42082</v>
      </c>
    </row>
    <row r="2861" spans="1:15" x14ac:dyDescent="0.25">
      <c r="A2861" s="786" t="s">
        <v>5889</v>
      </c>
      <c r="B2861" s="787">
        <v>4</v>
      </c>
      <c r="C2861" s="787" t="s">
        <v>5890</v>
      </c>
      <c r="D2861" s="787">
        <v>0</v>
      </c>
      <c r="E2861" s="787">
        <v>0</v>
      </c>
      <c r="H2861" s="787">
        <v>1</v>
      </c>
      <c r="L2861" s="787">
        <v>0</v>
      </c>
      <c r="M2861" s="787">
        <v>10</v>
      </c>
      <c r="N2861" s="787">
        <v>20.28</v>
      </c>
      <c r="O2861" s="788">
        <v>42082</v>
      </c>
    </row>
    <row r="2862" spans="1:15" x14ac:dyDescent="0.25">
      <c r="A2862" s="786" t="s">
        <v>5891</v>
      </c>
      <c r="B2862" s="787">
        <v>4</v>
      </c>
      <c r="C2862" s="787" t="s">
        <v>5892</v>
      </c>
      <c r="D2862" s="787">
        <v>3.15</v>
      </c>
      <c r="E2862" s="787">
        <v>6.48</v>
      </c>
      <c r="F2862" s="788">
        <v>41134</v>
      </c>
      <c r="G2862" s="788">
        <v>42013</v>
      </c>
      <c r="H2862" s="787">
        <v>1</v>
      </c>
      <c r="I2862" s="788">
        <v>42164</v>
      </c>
      <c r="J2862" s="788">
        <v>41841</v>
      </c>
      <c r="K2862" s="788">
        <v>41603</v>
      </c>
      <c r="L2862" s="787">
        <v>4.0599999999999996</v>
      </c>
      <c r="M2862" s="787">
        <v>10</v>
      </c>
      <c r="N2862" s="787">
        <v>5.7</v>
      </c>
      <c r="O2862" s="788">
        <v>42082</v>
      </c>
    </row>
    <row r="2863" spans="1:15" x14ac:dyDescent="0.25">
      <c r="A2863" s="786" t="s">
        <v>5893</v>
      </c>
      <c r="B2863" s="787">
        <v>4</v>
      </c>
      <c r="C2863" s="787" t="s">
        <v>5818</v>
      </c>
      <c r="D2863" s="787">
        <v>3.37</v>
      </c>
      <c r="E2863" s="787">
        <v>4.1100000000000003</v>
      </c>
      <c r="F2863" s="788">
        <v>41775</v>
      </c>
      <c r="G2863" s="788">
        <v>42163</v>
      </c>
      <c r="H2863" s="787">
        <v>1</v>
      </c>
      <c r="I2863" s="788">
        <v>42165</v>
      </c>
      <c r="J2863" s="788">
        <v>42163</v>
      </c>
      <c r="K2863" s="788">
        <v>40988</v>
      </c>
      <c r="L2863" s="787">
        <v>2.33</v>
      </c>
      <c r="M2863" s="787">
        <v>10</v>
      </c>
      <c r="N2863" s="787">
        <v>3.07</v>
      </c>
      <c r="O2863" s="788">
        <v>42082</v>
      </c>
    </row>
    <row r="2864" spans="1:15" x14ac:dyDescent="0.25">
      <c r="A2864" s="786" t="s">
        <v>5894</v>
      </c>
      <c r="B2864" s="787">
        <v>4</v>
      </c>
      <c r="C2864" s="787" t="s">
        <v>5818</v>
      </c>
      <c r="D2864" s="787">
        <v>3.14</v>
      </c>
      <c r="E2864" s="787">
        <v>3.14</v>
      </c>
      <c r="F2864" s="788">
        <v>42142</v>
      </c>
      <c r="G2864" s="788">
        <v>42163</v>
      </c>
      <c r="H2864" s="787">
        <v>1</v>
      </c>
      <c r="I2864" s="788">
        <v>42165</v>
      </c>
      <c r="J2864" s="788">
        <v>42163</v>
      </c>
      <c r="K2864" s="788">
        <v>40988</v>
      </c>
      <c r="L2864" s="787">
        <v>2.33</v>
      </c>
      <c r="M2864" s="787">
        <v>10</v>
      </c>
      <c r="N2864" s="787">
        <v>3.07</v>
      </c>
      <c r="O2864" s="788">
        <v>42082</v>
      </c>
    </row>
    <row r="2865" spans="1:15" x14ac:dyDescent="0.25">
      <c r="A2865" s="786" t="s">
        <v>5895</v>
      </c>
      <c r="B2865" s="787">
        <v>4</v>
      </c>
      <c r="C2865" s="787" t="s">
        <v>5896</v>
      </c>
      <c r="D2865" s="787">
        <v>6.81</v>
      </c>
      <c r="E2865" s="787">
        <v>10.75</v>
      </c>
      <c r="F2865" s="788">
        <v>41886</v>
      </c>
      <c r="G2865" s="788">
        <v>42159</v>
      </c>
      <c r="H2865" s="787">
        <v>1</v>
      </c>
      <c r="I2865" s="788">
        <v>42160</v>
      </c>
      <c r="J2865" s="788">
        <v>42130</v>
      </c>
      <c r="K2865" s="788">
        <v>41289</v>
      </c>
      <c r="L2865" s="787">
        <v>24.55</v>
      </c>
      <c r="M2865" s="787">
        <v>10</v>
      </c>
      <c r="N2865" s="787">
        <v>5.66</v>
      </c>
      <c r="O2865" s="788">
        <v>42164</v>
      </c>
    </row>
    <row r="2866" spans="1:15" x14ac:dyDescent="0.25">
      <c r="A2866" s="786" t="s">
        <v>5897</v>
      </c>
      <c r="B2866" s="787">
        <v>4</v>
      </c>
      <c r="C2866" s="787" t="s">
        <v>5896</v>
      </c>
      <c r="D2866" s="787">
        <v>3.15</v>
      </c>
      <c r="E2866" s="787">
        <v>3.15</v>
      </c>
      <c r="F2866" s="788">
        <v>42159</v>
      </c>
      <c r="G2866" s="788">
        <v>42159</v>
      </c>
      <c r="H2866" s="787">
        <v>1</v>
      </c>
      <c r="I2866" s="788">
        <v>42160</v>
      </c>
      <c r="J2866" s="788">
        <v>42130</v>
      </c>
      <c r="K2866" s="788">
        <v>41289</v>
      </c>
      <c r="L2866" s="787">
        <v>24.55</v>
      </c>
      <c r="M2866" s="787">
        <v>10</v>
      </c>
      <c r="N2866" s="787">
        <v>5.66</v>
      </c>
      <c r="O2866" s="788">
        <v>42164</v>
      </c>
    </row>
    <row r="2867" spans="1:15" x14ac:dyDescent="0.25">
      <c r="A2867" s="786" t="s">
        <v>5898</v>
      </c>
      <c r="B2867" s="787">
        <v>4</v>
      </c>
      <c r="C2867" s="787" t="s">
        <v>5899</v>
      </c>
      <c r="D2867" s="787">
        <v>2.4700000000000002</v>
      </c>
      <c r="E2867" s="787">
        <v>2.4700000000000002</v>
      </c>
      <c r="F2867" s="788">
        <v>42152</v>
      </c>
      <c r="G2867" s="788">
        <v>42152</v>
      </c>
      <c r="H2867" s="787">
        <v>1</v>
      </c>
      <c r="I2867" s="788">
        <v>42160</v>
      </c>
      <c r="J2867" s="788">
        <v>42124</v>
      </c>
      <c r="K2867" s="788">
        <v>41740</v>
      </c>
      <c r="L2867" s="787">
        <v>1.98</v>
      </c>
      <c r="M2867" s="787">
        <v>10</v>
      </c>
      <c r="N2867" s="787">
        <v>1.77</v>
      </c>
      <c r="O2867" s="788">
        <v>42164</v>
      </c>
    </row>
    <row r="2868" spans="1:15" x14ac:dyDescent="0.25">
      <c r="A2868" s="786" t="s">
        <v>5900</v>
      </c>
      <c r="B2868" s="787">
        <v>4</v>
      </c>
      <c r="C2868" s="787" t="s">
        <v>5901</v>
      </c>
      <c r="D2868" s="787">
        <v>4.25</v>
      </c>
      <c r="E2868" s="787">
        <v>22.31</v>
      </c>
      <c r="F2868" s="788">
        <v>41306</v>
      </c>
      <c r="G2868" s="788">
        <v>41376</v>
      </c>
      <c r="H2868" s="787">
        <v>1</v>
      </c>
      <c r="I2868" s="788">
        <v>41442</v>
      </c>
      <c r="J2868" s="788">
        <v>41347</v>
      </c>
      <c r="K2868" s="788">
        <v>41429</v>
      </c>
      <c r="L2868" s="787">
        <v>1</v>
      </c>
      <c r="M2868" s="787">
        <v>10</v>
      </c>
      <c r="N2868" s="787">
        <v>27.41</v>
      </c>
      <c r="O2868" s="788">
        <v>42164</v>
      </c>
    </row>
    <row r="2869" spans="1:15" x14ac:dyDescent="0.25">
      <c r="A2869" s="786" t="s">
        <v>5902</v>
      </c>
      <c r="B2869" s="787">
        <v>4</v>
      </c>
      <c r="C2869" s="787" t="s">
        <v>5899</v>
      </c>
      <c r="D2869" s="787">
        <v>5.48</v>
      </c>
      <c r="E2869" s="787">
        <v>19.55</v>
      </c>
      <c r="F2869" s="788">
        <v>41335</v>
      </c>
      <c r="G2869" s="788">
        <v>41565</v>
      </c>
      <c r="H2869" s="787">
        <v>1</v>
      </c>
      <c r="I2869" s="788">
        <v>41612</v>
      </c>
      <c r="J2869" s="788">
        <v>41387</v>
      </c>
      <c r="K2869" s="788">
        <v>41379</v>
      </c>
      <c r="L2869" s="787">
        <v>11.96</v>
      </c>
      <c r="M2869" s="787">
        <v>10</v>
      </c>
      <c r="N2869" s="787">
        <v>11.31</v>
      </c>
      <c r="O2869" s="788">
        <v>42164</v>
      </c>
    </row>
    <row r="2870" spans="1:15" x14ac:dyDescent="0.25">
      <c r="A2870" s="786" t="s">
        <v>5903</v>
      </c>
      <c r="B2870" s="787">
        <v>4</v>
      </c>
      <c r="C2870" s="787" t="s">
        <v>5904</v>
      </c>
      <c r="D2870" s="787">
        <v>3</v>
      </c>
      <c r="E2870" s="787">
        <v>3</v>
      </c>
      <c r="F2870" s="788">
        <v>41995</v>
      </c>
      <c r="G2870" s="788">
        <v>41995</v>
      </c>
      <c r="H2870" s="787">
        <v>1</v>
      </c>
      <c r="I2870" s="788">
        <v>42160</v>
      </c>
      <c r="J2870" s="788">
        <v>42016</v>
      </c>
      <c r="K2870" s="788">
        <v>41982</v>
      </c>
      <c r="L2870" s="787">
        <v>3.2</v>
      </c>
      <c r="M2870" s="787">
        <v>20</v>
      </c>
      <c r="N2870" s="787">
        <v>3.44</v>
      </c>
      <c r="O2870" s="788">
        <v>42082</v>
      </c>
    </row>
    <row r="2871" spans="1:15" x14ac:dyDescent="0.25">
      <c r="A2871" s="786" t="s">
        <v>5905</v>
      </c>
      <c r="B2871" s="787">
        <v>4</v>
      </c>
      <c r="C2871" s="787" t="s">
        <v>5899</v>
      </c>
      <c r="D2871" s="787">
        <v>2.19</v>
      </c>
      <c r="E2871" s="787">
        <v>2.19</v>
      </c>
      <c r="F2871" s="788">
        <v>42075</v>
      </c>
      <c r="G2871" s="788">
        <v>42075</v>
      </c>
      <c r="H2871" s="787">
        <v>1</v>
      </c>
      <c r="I2871" s="788">
        <v>42160</v>
      </c>
      <c r="J2871" s="788">
        <v>42033</v>
      </c>
      <c r="K2871" s="788">
        <v>41289</v>
      </c>
      <c r="L2871" s="787">
        <v>1</v>
      </c>
      <c r="M2871" s="787">
        <v>10</v>
      </c>
      <c r="N2871" s="787">
        <v>1.38</v>
      </c>
      <c r="O2871" s="788">
        <v>42164</v>
      </c>
    </row>
    <row r="2872" spans="1:15" x14ac:dyDescent="0.25">
      <c r="A2872" s="786" t="s">
        <v>5906</v>
      </c>
      <c r="B2872" s="787">
        <v>4</v>
      </c>
      <c r="C2872" s="787" t="s">
        <v>5907</v>
      </c>
      <c r="D2872" s="787">
        <v>3.49</v>
      </c>
      <c r="E2872" s="787">
        <v>25.25</v>
      </c>
      <c r="F2872" s="788">
        <v>41376</v>
      </c>
      <c r="G2872" s="788">
        <v>42145</v>
      </c>
      <c r="H2872" s="787">
        <v>1</v>
      </c>
      <c r="I2872" s="788">
        <v>42160</v>
      </c>
      <c r="J2872" s="788">
        <v>42145</v>
      </c>
      <c r="K2872" s="788">
        <v>40994</v>
      </c>
      <c r="L2872" s="787">
        <v>24.19</v>
      </c>
      <c r="M2872" s="787">
        <v>10</v>
      </c>
      <c r="N2872" s="787">
        <v>24.12</v>
      </c>
      <c r="O2872" s="788">
        <v>42164</v>
      </c>
    </row>
    <row r="2873" spans="1:15" x14ac:dyDescent="0.25">
      <c r="A2873" s="786" t="s">
        <v>5908</v>
      </c>
      <c r="B2873" s="787">
        <v>4</v>
      </c>
      <c r="C2873" s="787" t="s">
        <v>5909</v>
      </c>
      <c r="D2873" s="787">
        <v>1.74</v>
      </c>
      <c r="E2873" s="787">
        <v>7.92</v>
      </c>
      <c r="F2873" s="788">
        <v>41813</v>
      </c>
      <c r="G2873" s="788">
        <v>42082</v>
      </c>
      <c r="H2873" s="787">
        <v>1</v>
      </c>
      <c r="I2873" s="788">
        <v>42088</v>
      </c>
      <c r="J2873" s="788">
        <v>42047</v>
      </c>
      <c r="K2873" s="788">
        <v>41003</v>
      </c>
      <c r="L2873" s="787">
        <v>14.18</v>
      </c>
      <c r="M2873" s="787">
        <v>10</v>
      </c>
      <c r="N2873" s="787">
        <v>14.57</v>
      </c>
      <c r="O2873" s="788">
        <v>42082</v>
      </c>
    </row>
    <row r="2874" spans="1:15" x14ac:dyDescent="0.25">
      <c r="A2874" s="786" t="s">
        <v>5910</v>
      </c>
      <c r="B2874" s="787">
        <v>4</v>
      </c>
      <c r="C2874" s="787" t="s">
        <v>5911</v>
      </c>
      <c r="D2874" s="787">
        <v>5.8</v>
      </c>
      <c r="E2874" s="787">
        <v>15.8</v>
      </c>
      <c r="F2874" s="788">
        <v>41906</v>
      </c>
      <c r="G2874" s="788">
        <v>42013</v>
      </c>
      <c r="H2874" s="787">
        <v>1</v>
      </c>
      <c r="I2874" s="788">
        <v>41976</v>
      </c>
      <c r="J2874" s="788">
        <v>41911</v>
      </c>
      <c r="K2874" s="788">
        <v>41003</v>
      </c>
      <c r="L2874" s="787">
        <v>19.79</v>
      </c>
      <c r="M2874" s="787">
        <v>10</v>
      </c>
      <c r="N2874" s="787">
        <v>19.96</v>
      </c>
      <c r="O2874" s="788">
        <v>42082</v>
      </c>
    </row>
    <row r="2875" spans="1:15" x14ac:dyDescent="0.25">
      <c r="A2875" s="786" t="s">
        <v>5912</v>
      </c>
      <c r="B2875" s="787">
        <v>4</v>
      </c>
      <c r="C2875" s="787" t="s">
        <v>5913</v>
      </c>
      <c r="D2875" s="787">
        <v>0.9</v>
      </c>
      <c r="E2875" s="787">
        <v>10.9</v>
      </c>
      <c r="F2875" s="788">
        <v>41335</v>
      </c>
      <c r="G2875" s="788">
        <v>41943</v>
      </c>
      <c r="H2875" s="787">
        <v>1</v>
      </c>
      <c r="I2875" s="788">
        <v>41290</v>
      </c>
      <c r="J2875" s="788">
        <v>41283</v>
      </c>
      <c r="K2875" s="788">
        <v>41228</v>
      </c>
      <c r="L2875" s="787">
        <v>7.38</v>
      </c>
      <c r="M2875" s="787">
        <v>10</v>
      </c>
      <c r="N2875" s="787">
        <v>30.53</v>
      </c>
      <c r="O2875" s="788">
        <v>42164</v>
      </c>
    </row>
    <row r="2876" spans="1:15" x14ac:dyDescent="0.25">
      <c r="A2876" s="786" t="s">
        <v>5914</v>
      </c>
      <c r="B2876" s="787">
        <v>4</v>
      </c>
      <c r="C2876" s="787" t="s">
        <v>5915</v>
      </c>
      <c r="D2876" s="787">
        <v>0.74</v>
      </c>
      <c r="E2876" s="787">
        <v>30.74</v>
      </c>
      <c r="F2876" s="788">
        <v>41335</v>
      </c>
      <c r="G2876" s="788">
        <v>42013</v>
      </c>
      <c r="H2876" s="787">
        <v>1</v>
      </c>
      <c r="I2876" s="788">
        <v>41547</v>
      </c>
      <c r="J2876" s="788">
        <v>41291</v>
      </c>
      <c r="K2876" s="788">
        <v>41228</v>
      </c>
      <c r="L2876" s="787">
        <v>28.57</v>
      </c>
      <c r="M2876" s="787">
        <v>10</v>
      </c>
      <c r="N2876" s="787">
        <v>55.24</v>
      </c>
      <c r="O2876" s="788">
        <v>42164</v>
      </c>
    </row>
    <row r="2877" spans="1:15" x14ac:dyDescent="0.25">
      <c r="A2877" s="786" t="s">
        <v>5916</v>
      </c>
      <c r="B2877" s="787">
        <v>4</v>
      </c>
      <c r="C2877" s="787" t="s">
        <v>5917</v>
      </c>
      <c r="D2877" s="787">
        <v>0.52</v>
      </c>
      <c r="E2877" s="787">
        <v>0.86</v>
      </c>
      <c r="F2877" s="788">
        <v>42142</v>
      </c>
      <c r="G2877" s="788">
        <v>42145</v>
      </c>
      <c r="H2877" s="787">
        <v>1</v>
      </c>
      <c r="I2877" s="788">
        <v>42160</v>
      </c>
      <c r="J2877" s="788">
        <v>42145</v>
      </c>
      <c r="K2877" s="788">
        <v>41173</v>
      </c>
      <c r="L2877" s="787">
        <v>0.72</v>
      </c>
      <c r="M2877" s="787">
        <v>10</v>
      </c>
      <c r="N2877" s="787">
        <v>1.18</v>
      </c>
      <c r="O2877" s="788">
        <v>42082</v>
      </c>
    </row>
    <row r="2878" spans="1:15" x14ac:dyDescent="0.25">
      <c r="A2878" s="786" t="s">
        <v>5918</v>
      </c>
      <c r="B2878" s="787">
        <v>4</v>
      </c>
      <c r="C2878" s="787" t="s">
        <v>5919</v>
      </c>
      <c r="D2878" s="787">
        <v>0.3</v>
      </c>
      <c r="E2878" s="787">
        <v>0.98</v>
      </c>
      <c r="F2878" s="788">
        <v>41813</v>
      </c>
      <c r="G2878" s="788">
        <v>42145</v>
      </c>
      <c r="H2878" s="787">
        <v>1</v>
      </c>
      <c r="I2878" s="788">
        <v>42160</v>
      </c>
      <c r="J2878" s="788">
        <v>42145</v>
      </c>
      <c r="K2878" s="788">
        <v>41173</v>
      </c>
      <c r="L2878" s="787">
        <v>0.76</v>
      </c>
      <c r="M2878" s="787">
        <v>10</v>
      </c>
      <c r="N2878" s="787">
        <v>1.22</v>
      </c>
      <c r="O2878" s="788">
        <v>42082</v>
      </c>
    </row>
    <row r="2879" spans="1:15" x14ac:dyDescent="0.25">
      <c r="A2879" s="786" t="s">
        <v>5920</v>
      </c>
      <c r="B2879" s="787">
        <v>4</v>
      </c>
      <c r="C2879" s="787" t="s">
        <v>5921</v>
      </c>
      <c r="D2879" s="787">
        <v>5.07</v>
      </c>
      <c r="E2879" s="787">
        <v>5.07</v>
      </c>
      <c r="F2879" s="788">
        <v>41418</v>
      </c>
      <c r="G2879" s="788">
        <v>41943</v>
      </c>
      <c r="H2879" s="787">
        <v>1</v>
      </c>
      <c r="I2879" s="788">
        <v>41830</v>
      </c>
      <c r="J2879" s="788">
        <v>41387</v>
      </c>
      <c r="K2879" s="788">
        <v>41368</v>
      </c>
      <c r="L2879" s="787">
        <v>5.73</v>
      </c>
      <c r="M2879" s="787">
        <v>10</v>
      </c>
      <c r="N2879" s="787">
        <v>6.48</v>
      </c>
      <c r="O2879" s="788">
        <v>42082</v>
      </c>
    </row>
    <row r="2880" spans="1:15" x14ac:dyDescent="0.25">
      <c r="A2880" s="786" t="s">
        <v>5922</v>
      </c>
      <c r="B2880" s="787">
        <v>4</v>
      </c>
      <c r="C2880" s="787" t="s">
        <v>5923</v>
      </c>
      <c r="D2880" s="787">
        <v>1.21</v>
      </c>
      <c r="E2880" s="787">
        <v>1.62</v>
      </c>
      <c r="F2880" s="788">
        <v>41806</v>
      </c>
      <c r="G2880" s="788">
        <v>42143</v>
      </c>
      <c r="H2880" s="787">
        <v>1</v>
      </c>
      <c r="I2880" s="788">
        <v>42159</v>
      </c>
      <c r="J2880" s="788">
        <v>42143</v>
      </c>
      <c r="K2880" s="788">
        <v>41456</v>
      </c>
      <c r="L2880" s="787">
        <v>2.33</v>
      </c>
      <c r="M2880" s="787">
        <v>10</v>
      </c>
      <c r="N2880" s="787">
        <v>2.27</v>
      </c>
      <c r="O2880" s="788">
        <v>42082</v>
      </c>
    </row>
    <row r="2881" spans="1:15" x14ac:dyDescent="0.25">
      <c r="A2881" s="786" t="s">
        <v>5924</v>
      </c>
      <c r="B2881" s="787">
        <v>4</v>
      </c>
      <c r="C2881" s="787" t="s">
        <v>5925</v>
      </c>
      <c r="D2881" s="787">
        <v>0.99</v>
      </c>
      <c r="E2881" s="787">
        <v>20.14</v>
      </c>
      <c r="F2881" s="788">
        <v>41369</v>
      </c>
      <c r="G2881" s="788">
        <v>42151</v>
      </c>
      <c r="H2881" s="787">
        <v>1</v>
      </c>
      <c r="I2881" s="788">
        <v>42151</v>
      </c>
      <c r="J2881" s="788">
        <v>42122</v>
      </c>
      <c r="K2881" s="788">
        <v>41293</v>
      </c>
      <c r="L2881" s="787">
        <v>7.28</v>
      </c>
      <c r="M2881" s="787">
        <v>10</v>
      </c>
      <c r="N2881" s="787">
        <v>10.93</v>
      </c>
      <c r="O2881" s="788">
        <v>42164</v>
      </c>
    </row>
    <row r="2882" spans="1:15" x14ac:dyDescent="0.25">
      <c r="A2882" s="786" t="s">
        <v>5926</v>
      </c>
      <c r="B2882" s="787">
        <v>4</v>
      </c>
      <c r="C2882" s="787" t="s">
        <v>5927</v>
      </c>
      <c r="D2882" s="787">
        <v>4.25</v>
      </c>
      <c r="E2882" s="787">
        <v>12.57</v>
      </c>
      <c r="F2882" s="788">
        <v>41824</v>
      </c>
      <c r="G2882" s="788">
        <v>42165</v>
      </c>
      <c r="H2882" s="787">
        <v>1</v>
      </c>
      <c r="I2882" s="788">
        <v>42151</v>
      </c>
      <c r="J2882" s="788">
        <v>42137</v>
      </c>
      <c r="K2882" s="788">
        <v>41293</v>
      </c>
      <c r="L2882" s="787">
        <v>3.89</v>
      </c>
      <c r="M2882" s="787">
        <v>10</v>
      </c>
      <c r="N2882" s="787">
        <v>5.91</v>
      </c>
      <c r="O2882" s="788">
        <v>42164</v>
      </c>
    </row>
    <row r="2883" spans="1:15" x14ac:dyDescent="0.25">
      <c r="A2883" s="786" t="s">
        <v>5928</v>
      </c>
      <c r="B2883" s="787">
        <v>4</v>
      </c>
      <c r="C2883" s="787" t="s">
        <v>5929</v>
      </c>
      <c r="D2883" s="787">
        <v>1.95</v>
      </c>
      <c r="E2883" s="787">
        <v>1.95</v>
      </c>
      <c r="F2883" s="788">
        <v>42086</v>
      </c>
      <c r="G2883" s="788">
        <v>42130</v>
      </c>
      <c r="H2883" s="787">
        <v>1</v>
      </c>
      <c r="I2883" s="788">
        <v>42151</v>
      </c>
      <c r="J2883" s="788">
        <v>42130</v>
      </c>
      <c r="K2883" s="788">
        <v>41293</v>
      </c>
      <c r="L2883" s="787">
        <v>1.01</v>
      </c>
      <c r="M2883" s="787">
        <v>10</v>
      </c>
      <c r="N2883" s="787">
        <v>2.2799999999999998</v>
      </c>
      <c r="O2883" s="788">
        <v>42164</v>
      </c>
    </row>
    <row r="2884" spans="1:15" x14ac:dyDescent="0.25">
      <c r="A2884" s="786" t="s">
        <v>5930</v>
      </c>
      <c r="B2884" s="787">
        <v>4</v>
      </c>
      <c r="C2884" s="787" t="s">
        <v>5931</v>
      </c>
      <c r="D2884" s="787">
        <v>0</v>
      </c>
      <c r="E2884" s="787">
        <v>0</v>
      </c>
      <c r="H2884" s="787">
        <v>1</v>
      </c>
      <c r="I2884" s="788">
        <v>42152</v>
      </c>
      <c r="L2884" s="787">
        <v>0</v>
      </c>
      <c r="M2884" s="787">
        <v>10</v>
      </c>
      <c r="N2884" s="787">
        <v>33.08</v>
      </c>
      <c r="O2884" s="788">
        <v>42164</v>
      </c>
    </row>
    <row r="2885" spans="1:15" x14ac:dyDescent="0.25">
      <c r="A2885" s="786" t="s">
        <v>5932</v>
      </c>
      <c r="B2885" s="787">
        <v>4</v>
      </c>
      <c r="C2885" s="787" t="s">
        <v>5933</v>
      </c>
      <c r="D2885" s="787">
        <v>0</v>
      </c>
      <c r="E2885" s="787">
        <v>0</v>
      </c>
      <c r="H2885" s="787">
        <v>1</v>
      </c>
      <c r="L2885" s="787">
        <v>0</v>
      </c>
      <c r="M2885" s="787">
        <v>10</v>
      </c>
      <c r="N2885" s="787">
        <v>30.53</v>
      </c>
      <c r="O2885" s="788">
        <v>42164</v>
      </c>
    </row>
    <row r="2886" spans="1:15" x14ac:dyDescent="0.25">
      <c r="A2886" s="786" t="s">
        <v>5934</v>
      </c>
      <c r="B2886" s="787">
        <v>4</v>
      </c>
      <c r="C2886" s="787" t="s">
        <v>5935</v>
      </c>
      <c r="D2886" s="787">
        <v>6.01</v>
      </c>
      <c r="E2886" s="787">
        <v>7.02</v>
      </c>
      <c r="F2886" s="788">
        <v>41369</v>
      </c>
      <c r="G2886" s="788">
        <v>42159</v>
      </c>
      <c r="H2886" s="787">
        <v>1</v>
      </c>
      <c r="I2886" s="788">
        <v>42152</v>
      </c>
      <c r="J2886" s="788">
        <v>42137</v>
      </c>
      <c r="K2886" s="788">
        <v>41293</v>
      </c>
      <c r="L2886" s="787">
        <v>23.45</v>
      </c>
      <c r="M2886" s="787">
        <v>10</v>
      </c>
      <c r="N2886" s="787">
        <v>4.55</v>
      </c>
      <c r="O2886" s="788">
        <v>42164</v>
      </c>
    </row>
    <row r="2887" spans="1:15" x14ac:dyDescent="0.25">
      <c r="A2887" s="786" t="s">
        <v>5934</v>
      </c>
      <c r="B2887" s="787" t="s">
        <v>5936</v>
      </c>
      <c r="C2887" s="787" t="s">
        <v>5937</v>
      </c>
      <c r="D2887" s="787">
        <v>0</v>
      </c>
      <c r="E2887" s="787">
        <v>0</v>
      </c>
      <c r="H2887" s="787">
        <v>6</v>
      </c>
      <c r="L2887" s="787">
        <v>7.73</v>
      </c>
      <c r="M2887" s="787">
        <v>10</v>
      </c>
      <c r="N2887" s="787">
        <v>0</v>
      </c>
      <c r="O2887" s="788">
        <v>41543</v>
      </c>
    </row>
    <row r="2888" spans="1:15" x14ac:dyDescent="0.25">
      <c r="A2888" s="786" t="s">
        <v>5934</v>
      </c>
      <c r="B2888" s="787" t="s">
        <v>5938</v>
      </c>
      <c r="C2888" s="787" t="s">
        <v>5927</v>
      </c>
      <c r="D2888" s="787">
        <v>0</v>
      </c>
      <c r="E2888" s="787">
        <v>0</v>
      </c>
      <c r="H2888" s="787">
        <v>6</v>
      </c>
      <c r="L2888" s="787">
        <v>0</v>
      </c>
      <c r="M2888" s="787">
        <v>10</v>
      </c>
      <c r="N2888" s="787">
        <v>0</v>
      </c>
      <c r="O2888" s="788">
        <v>41543</v>
      </c>
    </row>
    <row r="2889" spans="1:15" x14ac:dyDescent="0.25">
      <c r="A2889" s="786" t="s">
        <v>5939</v>
      </c>
      <c r="B2889" s="787">
        <v>4</v>
      </c>
      <c r="C2889" s="787" t="s">
        <v>5940</v>
      </c>
      <c r="D2889" s="787">
        <v>5.45</v>
      </c>
      <c r="E2889" s="787">
        <v>5.45</v>
      </c>
      <c r="F2889" s="788">
        <v>42137</v>
      </c>
      <c r="G2889" s="788">
        <v>42137</v>
      </c>
      <c r="H2889" s="787">
        <v>1</v>
      </c>
      <c r="I2889" s="788">
        <v>42152</v>
      </c>
      <c r="J2889" s="788">
        <v>42137</v>
      </c>
      <c r="K2889" s="788">
        <v>41293</v>
      </c>
      <c r="L2889" s="787">
        <v>23.45</v>
      </c>
      <c r="M2889" s="787">
        <v>10</v>
      </c>
      <c r="N2889" s="787">
        <v>4.55</v>
      </c>
      <c r="O2889" s="788">
        <v>42164</v>
      </c>
    </row>
    <row r="2890" spans="1:15" x14ac:dyDescent="0.25">
      <c r="A2890" s="786" t="s">
        <v>5941</v>
      </c>
      <c r="B2890" s="787">
        <v>4</v>
      </c>
      <c r="C2890" s="787" t="s">
        <v>5942</v>
      </c>
      <c r="D2890" s="787">
        <v>3.3</v>
      </c>
      <c r="E2890" s="787">
        <v>23.3</v>
      </c>
      <c r="F2890" s="788">
        <v>41086</v>
      </c>
      <c r="G2890" s="788">
        <v>41079</v>
      </c>
      <c r="H2890" s="787">
        <v>1</v>
      </c>
      <c r="I2890" s="788">
        <v>42145</v>
      </c>
      <c r="J2890" s="788">
        <v>41372</v>
      </c>
      <c r="K2890" s="788">
        <v>41201</v>
      </c>
      <c r="L2890" s="787">
        <v>23.3</v>
      </c>
      <c r="M2890" s="787">
        <v>20</v>
      </c>
      <c r="N2890" s="787">
        <v>25.05</v>
      </c>
      <c r="O2890" s="788">
        <v>42164</v>
      </c>
    </row>
    <row r="2891" spans="1:15" x14ac:dyDescent="0.25">
      <c r="A2891" s="786" t="s">
        <v>5943</v>
      </c>
      <c r="B2891" s="787">
        <v>4</v>
      </c>
      <c r="C2891" s="787" t="s">
        <v>5944</v>
      </c>
      <c r="D2891" s="787">
        <v>1</v>
      </c>
      <c r="E2891" s="787">
        <v>23.8</v>
      </c>
      <c r="F2891" s="788">
        <v>41264</v>
      </c>
      <c r="G2891" s="788">
        <v>42082</v>
      </c>
      <c r="H2891" s="787">
        <v>1</v>
      </c>
      <c r="I2891" s="788">
        <v>42151</v>
      </c>
      <c r="J2891" s="788">
        <v>42082</v>
      </c>
      <c r="K2891" s="788">
        <v>41201</v>
      </c>
      <c r="L2891" s="787">
        <v>23.8</v>
      </c>
      <c r="M2891" s="787">
        <v>20</v>
      </c>
      <c r="N2891" s="787">
        <v>25.59</v>
      </c>
      <c r="O2891" s="788">
        <v>42164</v>
      </c>
    </row>
    <row r="2892" spans="1:15" x14ac:dyDescent="0.25">
      <c r="A2892" s="786" t="s">
        <v>5945</v>
      </c>
      <c r="B2892" s="787">
        <v>4</v>
      </c>
      <c r="C2892" s="787" t="s">
        <v>5946</v>
      </c>
      <c r="D2892" s="787">
        <v>1.03</v>
      </c>
      <c r="E2892" s="787">
        <v>1.03</v>
      </c>
      <c r="F2892" s="788">
        <v>41369</v>
      </c>
      <c r="G2892" s="788">
        <v>41758</v>
      </c>
      <c r="H2892" s="787">
        <v>1</v>
      </c>
      <c r="I2892" s="788">
        <v>42152</v>
      </c>
      <c r="J2892" s="788">
        <v>41758</v>
      </c>
      <c r="K2892" s="788">
        <v>41293</v>
      </c>
      <c r="L2892" s="787">
        <v>1.07</v>
      </c>
      <c r="M2892" s="787">
        <v>10</v>
      </c>
      <c r="N2892" s="787">
        <v>2.67</v>
      </c>
      <c r="O2892" s="788">
        <v>42164</v>
      </c>
    </row>
    <row r="2893" spans="1:15" x14ac:dyDescent="0.25">
      <c r="A2893" s="786" t="s">
        <v>5947</v>
      </c>
      <c r="B2893" s="787">
        <v>4</v>
      </c>
      <c r="C2893" s="787" t="s">
        <v>5948</v>
      </c>
      <c r="D2893" s="787">
        <v>3.33</v>
      </c>
      <c r="E2893" s="787">
        <v>3.33</v>
      </c>
      <c r="F2893" s="788">
        <v>41389</v>
      </c>
      <c r="G2893" s="788">
        <v>41900</v>
      </c>
      <c r="H2893" s="787">
        <v>1</v>
      </c>
      <c r="I2893" s="788">
        <v>42156</v>
      </c>
      <c r="J2893" s="788">
        <v>41900</v>
      </c>
      <c r="K2893" s="788">
        <v>41206</v>
      </c>
      <c r="L2893" s="787">
        <v>1.52</v>
      </c>
      <c r="M2893" s="787">
        <v>10</v>
      </c>
      <c r="N2893" s="787">
        <v>10.36</v>
      </c>
      <c r="O2893" s="788">
        <v>42164</v>
      </c>
    </row>
    <row r="2894" spans="1:15" x14ac:dyDescent="0.25">
      <c r="A2894" s="786" t="s">
        <v>5949</v>
      </c>
      <c r="B2894" s="787">
        <v>4</v>
      </c>
      <c r="C2894" s="787" t="s">
        <v>5950</v>
      </c>
      <c r="D2894" s="787">
        <v>6.54</v>
      </c>
      <c r="E2894" s="787">
        <v>8.39</v>
      </c>
      <c r="F2894" s="788">
        <v>42142</v>
      </c>
      <c r="G2894" s="788">
        <v>42163</v>
      </c>
      <c r="H2894" s="787">
        <v>1</v>
      </c>
      <c r="I2894" s="788">
        <v>42156</v>
      </c>
      <c r="J2894" s="788">
        <v>42157</v>
      </c>
      <c r="K2894" s="788">
        <v>41209</v>
      </c>
      <c r="L2894" s="787">
        <v>8.91</v>
      </c>
      <c r="M2894" s="787">
        <v>10</v>
      </c>
      <c r="N2894" s="787">
        <v>8.91</v>
      </c>
      <c r="O2894" s="788">
        <v>42164</v>
      </c>
    </row>
    <row r="2895" spans="1:15" x14ac:dyDescent="0.25">
      <c r="A2895" s="786" t="s">
        <v>5951</v>
      </c>
      <c r="B2895" s="787">
        <v>4</v>
      </c>
      <c r="C2895" s="787" t="s">
        <v>5952</v>
      </c>
      <c r="D2895" s="787">
        <v>0</v>
      </c>
      <c r="E2895" s="787">
        <v>0</v>
      </c>
      <c r="H2895" s="787">
        <v>1</v>
      </c>
      <c r="K2895" s="788">
        <v>41456</v>
      </c>
      <c r="L2895" s="787">
        <v>4.38</v>
      </c>
      <c r="M2895" s="787">
        <v>10</v>
      </c>
      <c r="N2895" s="787">
        <v>4.3</v>
      </c>
      <c r="O2895" s="788">
        <v>42164</v>
      </c>
    </row>
    <row r="2896" spans="1:15" x14ac:dyDescent="0.25">
      <c r="A2896" s="786" t="s">
        <v>5953</v>
      </c>
      <c r="B2896" s="787">
        <v>4</v>
      </c>
      <c r="C2896" s="787" t="s">
        <v>5954</v>
      </c>
      <c r="D2896" s="787">
        <v>0.49</v>
      </c>
      <c r="E2896" s="787">
        <v>32.42</v>
      </c>
      <c r="F2896" s="788">
        <v>41813</v>
      </c>
      <c r="G2896" s="788">
        <v>42128</v>
      </c>
      <c r="H2896" s="787">
        <v>1</v>
      </c>
      <c r="I2896" s="788">
        <v>42163</v>
      </c>
      <c r="J2896" s="788">
        <v>42164</v>
      </c>
      <c r="K2896" s="788">
        <v>40919</v>
      </c>
      <c r="L2896" s="787">
        <v>14.24</v>
      </c>
      <c r="M2896" s="787">
        <v>10</v>
      </c>
      <c r="N2896" s="787">
        <v>26.3</v>
      </c>
      <c r="O2896" s="788">
        <v>42136</v>
      </c>
    </row>
    <row r="2897" spans="1:15" x14ac:dyDescent="0.25">
      <c r="A2897" s="786" t="s">
        <v>5955</v>
      </c>
      <c r="B2897" s="787">
        <v>4</v>
      </c>
      <c r="C2897" s="787" t="s">
        <v>5956</v>
      </c>
      <c r="D2897" s="787">
        <v>0.61</v>
      </c>
      <c r="E2897" s="787">
        <v>103.89</v>
      </c>
      <c r="F2897" s="788">
        <v>41813</v>
      </c>
      <c r="G2897" s="788">
        <v>42013</v>
      </c>
      <c r="H2897" s="787">
        <v>1</v>
      </c>
      <c r="I2897" s="788">
        <v>42145</v>
      </c>
      <c r="J2897" s="788">
        <v>41942</v>
      </c>
      <c r="K2897" s="788">
        <v>41270</v>
      </c>
      <c r="L2897" s="787">
        <v>90.85</v>
      </c>
      <c r="M2897" s="787">
        <v>10</v>
      </c>
      <c r="N2897" s="787">
        <v>94.67</v>
      </c>
      <c r="O2897" s="788">
        <v>42144</v>
      </c>
    </row>
    <row r="2898" spans="1:15" x14ac:dyDescent="0.25">
      <c r="A2898" s="786" t="s">
        <v>5957</v>
      </c>
      <c r="B2898" s="787">
        <v>4</v>
      </c>
      <c r="C2898" s="787" t="s">
        <v>5958</v>
      </c>
      <c r="D2898" s="787">
        <v>3.92</v>
      </c>
      <c r="E2898" s="787">
        <v>16.739999999999998</v>
      </c>
      <c r="F2898" s="788">
        <v>41134</v>
      </c>
      <c r="G2898" s="788">
        <v>42159</v>
      </c>
      <c r="H2898" s="787">
        <v>1</v>
      </c>
      <c r="I2898" s="788">
        <v>42164</v>
      </c>
      <c r="J2898" s="788">
        <v>42159</v>
      </c>
      <c r="K2898" s="788">
        <v>40919</v>
      </c>
      <c r="L2898" s="787">
        <v>14.11</v>
      </c>
      <c r="M2898" s="787">
        <v>10</v>
      </c>
      <c r="N2898" s="787">
        <v>16.89</v>
      </c>
      <c r="O2898" s="788">
        <v>42082</v>
      </c>
    </row>
    <row r="2899" spans="1:15" x14ac:dyDescent="0.25">
      <c r="A2899" s="786" t="s">
        <v>5959</v>
      </c>
      <c r="B2899" s="787">
        <v>4</v>
      </c>
      <c r="C2899" s="787" t="s">
        <v>5960</v>
      </c>
      <c r="D2899" s="787">
        <v>1.4</v>
      </c>
      <c r="E2899" s="787">
        <v>21.4</v>
      </c>
      <c r="F2899" s="788">
        <v>41971</v>
      </c>
      <c r="G2899" s="788">
        <v>42151</v>
      </c>
      <c r="H2899" s="787">
        <v>1</v>
      </c>
      <c r="I2899" s="788">
        <v>42151</v>
      </c>
      <c r="J2899" s="788">
        <v>42151</v>
      </c>
      <c r="L2899" s="787">
        <v>0</v>
      </c>
      <c r="M2899" s="787">
        <v>10</v>
      </c>
      <c r="N2899" s="787">
        <v>21.56</v>
      </c>
      <c r="O2899" s="788">
        <v>42082</v>
      </c>
    </row>
    <row r="2900" spans="1:15" x14ac:dyDescent="0.25">
      <c r="A2900" s="786" t="s">
        <v>5961</v>
      </c>
      <c r="B2900" s="787">
        <v>4</v>
      </c>
      <c r="C2900" s="787" t="s">
        <v>5962</v>
      </c>
      <c r="D2900" s="787">
        <v>0.22</v>
      </c>
      <c r="E2900" s="787">
        <v>21.62</v>
      </c>
      <c r="F2900" s="788">
        <v>41775</v>
      </c>
      <c r="G2900" s="788">
        <v>42160</v>
      </c>
      <c r="H2900" s="787">
        <v>1</v>
      </c>
      <c r="I2900" s="788">
        <v>42152</v>
      </c>
      <c r="J2900" s="788">
        <v>42146</v>
      </c>
      <c r="L2900" s="787">
        <v>0</v>
      </c>
      <c r="M2900" s="787">
        <v>10</v>
      </c>
      <c r="N2900" s="787">
        <v>21.78</v>
      </c>
      <c r="O2900" s="788">
        <v>42082</v>
      </c>
    </row>
    <row r="2901" spans="1:15" x14ac:dyDescent="0.25">
      <c r="A2901" s="786" t="s">
        <v>5963</v>
      </c>
      <c r="B2901" s="787">
        <v>4</v>
      </c>
      <c r="C2901" s="787" t="s">
        <v>5964</v>
      </c>
      <c r="D2901" s="787">
        <v>0.31</v>
      </c>
      <c r="E2901" s="787">
        <v>15.79</v>
      </c>
      <c r="F2901" s="788">
        <v>41813</v>
      </c>
      <c r="G2901" s="788">
        <v>42152</v>
      </c>
      <c r="H2901" s="787">
        <v>1</v>
      </c>
      <c r="I2901" s="788">
        <v>42163</v>
      </c>
      <c r="J2901" s="788">
        <v>42152</v>
      </c>
      <c r="K2901" s="788">
        <v>40983</v>
      </c>
      <c r="L2901" s="787">
        <v>12.04</v>
      </c>
      <c r="M2901" s="787">
        <v>10</v>
      </c>
      <c r="N2901" s="787">
        <v>15.79</v>
      </c>
      <c r="O2901" s="788">
        <v>42136</v>
      </c>
    </row>
    <row r="2902" spans="1:15" x14ac:dyDescent="0.25">
      <c r="A2902" s="786" t="s">
        <v>5965</v>
      </c>
      <c r="B2902" s="787">
        <v>4</v>
      </c>
      <c r="C2902" s="787" t="s">
        <v>5966</v>
      </c>
      <c r="D2902" s="787">
        <v>4.7300000000000004</v>
      </c>
      <c r="E2902" s="787">
        <v>37.11</v>
      </c>
      <c r="F2902" s="788">
        <v>41813</v>
      </c>
      <c r="G2902" s="788">
        <v>42153</v>
      </c>
      <c r="H2902" s="787">
        <v>1</v>
      </c>
      <c r="I2902" s="788">
        <v>42145</v>
      </c>
      <c r="J2902" s="788">
        <v>42153</v>
      </c>
      <c r="K2902" s="788">
        <v>40919</v>
      </c>
      <c r="L2902" s="787">
        <v>23.46</v>
      </c>
      <c r="M2902" s="787">
        <v>10</v>
      </c>
      <c r="N2902" s="787">
        <v>22.35</v>
      </c>
      <c r="O2902" s="788">
        <v>42082</v>
      </c>
    </row>
    <row r="2903" spans="1:15" x14ac:dyDescent="0.25">
      <c r="A2903" s="786" t="s">
        <v>712</v>
      </c>
      <c r="B2903" s="787">
        <v>4</v>
      </c>
      <c r="C2903" s="787" t="s">
        <v>732</v>
      </c>
      <c r="D2903" s="787">
        <v>1.19</v>
      </c>
      <c r="E2903" s="787">
        <v>28.54</v>
      </c>
      <c r="F2903" s="788">
        <v>41813</v>
      </c>
      <c r="G2903" s="788">
        <v>42163</v>
      </c>
      <c r="H2903" s="787">
        <v>1</v>
      </c>
      <c r="I2903" s="788">
        <v>42163</v>
      </c>
      <c r="J2903" s="788">
        <v>42153</v>
      </c>
      <c r="K2903" s="788">
        <v>41254</v>
      </c>
      <c r="L2903" s="787">
        <v>30.8</v>
      </c>
      <c r="M2903" s="787">
        <v>10</v>
      </c>
      <c r="N2903" s="787">
        <v>32.44</v>
      </c>
      <c r="O2903" s="788">
        <v>42136</v>
      </c>
    </row>
    <row r="2904" spans="1:15" x14ac:dyDescent="0.25">
      <c r="A2904" s="786" t="s">
        <v>5967</v>
      </c>
      <c r="B2904" s="787">
        <v>4</v>
      </c>
      <c r="C2904" s="787" t="s">
        <v>5968</v>
      </c>
      <c r="D2904" s="787">
        <v>1.35</v>
      </c>
      <c r="E2904" s="787">
        <v>35.33</v>
      </c>
      <c r="F2904" s="788">
        <v>41907</v>
      </c>
      <c r="G2904" s="788">
        <v>42163</v>
      </c>
      <c r="H2904" s="787">
        <v>1</v>
      </c>
      <c r="I2904" s="788">
        <v>42163</v>
      </c>
      <c r="J2904" s="788">
        <v>42132</v>
      </c>
      <c r="L2904" s="787">
        <v>1</v>
      </c>
      <c r="M2904" s="787">
        <v>10</v>
      </c>
      <c r="N2904" s="787">
        <v>34.880000000000003</v>
      </c>
      <c r="O2904" s="788">
        <v>42164</v>
      </c>
    </row>
    <row r="2905" spans="1:15" x14ac:dyDescent="0.25">
      <c r="A2905" s="786" t="s">
        <v>5969</v>
      </c>
      <c r="B2905" s="787">
        <v>4</v>
      </c>
      <c r="C2905" s="787" t="s">
        <v>5663</v>
      </c>
      <c r="D2905" s="787">
        <v>0.23</v>
      </c>
      <c r="E2905" s="787">
        <v>34.770000000000003</v>
      </c>
      <c r="F2905" s="788">
        <v>41813</v>
      </c>
      <c r="G2905" s="788">
        <v>41913</v>
      </c>
      <c r="H2905" s="787">
        <v>1</v>
      </c>
      <c r="I2905" s="788">
        <v>42165</v>
      </c>
      <c r="J2905" s="788">
        <v>41879</v>
      </c>
      <c r="K2905" s="788">
        <v>40997</v>
      </c>
      <c r="L2905" s="787">
        <v>28.21</v>
      </c>
      <c r="M2905" s="787">
        <v>10</v>
      </c>
      <c r="N2905" s="787">
        <v>36.6</v>
      </c>
      <c r="O2905" s="788">
        <v>42082</v>
      </c>
    </row>
    <row r="2906" spans="1:15" x14ac:dyDescent="0.25">
      <c r="A2906" s="786" t="s">
        <v>5970</v>
      </c>
      <c r="B2906" s="787">
        <v>4</v>
      </c>
      <c r="C2906" s="787" t="s">
        <v>5663</v>
      </c>
      <c r="D2906" s="787">
        <v>0.23</v>
      </c>
      <c r="E2906" s="787">
        <v>8.93</v>
      </c>
      <c r="F2906" s="788">
        <v>41813</v>
      </c>
      <c r="G2906" s="788">
        <v>41913</v>
      </c>
      <c r="H2906" s="787">
        <v>1</v>
      </c>
      <c r="I2906" s="788">
        <v>42165</v>
      </c>
      <c r="J2906" s="788">
        <v>41879</v>
      </c>
      <c r="K2906" s="788">
        <v>40997</v>
      </c>
      <c r="L2906" s="787">
        <v>28.21</v>
      </c>
      <c r="M2906" s="787">
        <v>10</v>
      </c>
      <c r="N2906" s="787">
        <v>36.6</v>
      </c>
      <c r="O2906" s="788">
        <v>42082</v>
      </c>
    </row>
    <row r="2907" spans="1:15" x14ac:dyDescent="0.25">
      <c r="A2907" s="786" t="s">
        <v>5971</v>
      </c>
      <c r="B2907" s="787">
        <v>4</v>
      </c>
      <c r="C2907" s="787" t="s">
        <v>5972</v>
      </c>
      <c r="D2907" s="787">
        <v>1.24</v>
      </c>
      <c r="E2907" s="787">
        <v>34.82</v>
      </c>
      <c r="F2907" s="788">
        <v>41579</v>
      </c>
      <c r="G2907" s="788">
        <v>42159</v>
      </c>
      <c r="H2907" s="787">
        <v>1</v>
      </c>
      <c r="I2907" s="788">
        <v>42159</v>
      </c>
      <c r="J2907" s="788">
        <v>42159</v>
      </c>
      <c r="K2907" s="788">
        <v>40998</v>
      </c>
      <c r="L2907" s="787">
        <v>29.82</v>
      </c>
      <c r="M2907" s="787">
        <v>10</v>
      </c>
      <c r="N2907" s="787">
        <v>34.61</v>
      </c>
      <c r="O2907" s="788">
        <v>42082</v>
      </c>
    </row>
    <row r="2908" spans="1:15" x14ac:dyDescent="0.25">
      <c r="A2908" s="786" t="s">
        <v>5973</v>
      </c>
      <c r="B2908" s="787">
        <v>4</v>
      </c>
      <c r="C2908" s="787" t="s">
        <v>5663</v>
      </c>
      <c r="D2908" s="787">
        <v>0.88</v>
      </c>
      <c r="E2908" s="787">
        <v>34.82</v>
      </c>
      <c r="F2908" s="788">
        <v>41813</v>
      </c>
      <c r="G2908" s="788">
        <v>42051</v>
      </c>
      <c r="H2908" s="787">
        <v>1</v>
      </c>
      <c r="I2908" s="788">
        <v>42159</v>
      </c>
      <c r="J2908" s="788">
        <v>42017</v>
      </c>
      <c r="K2908" s="788">
        <v>40998</v>
      </c>
      <c r="L2908" s="787">
        <v>29.82</v>
      </c>
      <c r="M2908" s="787">
        <v>10</v>
      </c>
      <c r="N2908" s="787">
        <v>34.61</v>
      </c>
      <c r="O2908" s="788">
        <v>42082</v>
      </c>
    </row>
    <row r="2909" spans="1:15" x14ac:dyDescent="0.25">
      <c r="A2909" s="786" t="s">
        <v>5974</v>
      </c>
      <c r="B2909" s="787">
        <v>4</v>
      </c>
      <c r="C2909" s="787" t="s">
        <v>5975</v>
      </c>
      <c r="D2909" s="787">
        <v>9.27</v>
      </c>
      <c r="E2909" s="787">
        <v>69.27</v>
      </c>
      <c r="F2909" s="788">
        <v>41948</v>
      </c>
      <c r="G2909" s="788">
        <v>41948</v>
      </c>
      <c r="H2909" s="787">
        <v>1</v>
      </c>
      <c r="I2909" s="788">
        <v>42159</v>
      </c>
      <c r="J2909" s="788">
        <v>41928</v>
      </c>
      <c r="K2909" s="788">
        <v>41003</v>
      </c>
      <c r="L2909" s="787">
        <v>49.31</v>
      </c>
      <c r="M2909" s="787">
        <v>10</v>
      </c>
      <c r="N2909" s="787">
        <v>84.96</v>
      </c>
      <c r="O2909" s="788">
        <v>42082</v>
      </c>
    </row>
    <row r="2910" spans="1:15" x14ac:dyDescent="0.25">
      <c r="A2910" s="786" t="s">
        <v>5976</v>
      </c>
      <c r="B2910" s="787">
        <v>4</v>
      </c>
      <c r="C2910" s="787" t="s">
        <v>5977</v>
      </c>
      <c r="D2910" s="787">
        <v>3.96</v>
      </c>
      <c r="E2910" s="787">
        <v>73.959999999999994</v>
      </c>
      <c r="F2910" s="788">
        <v>41948</v>
      </c>
      <c r="G2910" s="788">
        <v>41948</v>
      </c>
      <c r="H2910" s="787">
        <v>1</v>
      </c>
      <c r="I2910" s="788">
        <v>42159</v>
      </c>
      <c r="J2910" s="788">
        <v>41928</v>
      </c>
      <c r="K2910" s="788">
        <v>41003</v>
      </c>
      <c r="L2910" s="787">
        <v>51.77</v>
      </c>
      <c r="M2910" s="787">
        <v>10</v>
      </c>
      <c r="N2910" s="787">
        <v>97.43</v>
      </c>
      <c r="O2910" s="788">
        <v>42144</v>
      </c>
    </row>
    <row r="2911" spans="1:15" x14ac:dyDescent="0.25">
      <c r="A2911" s="786" t="s">
        <v>5978</v>
      </c>
      <c r="B2911" s="787">
        <v>4</v>
      </c>
      <c r="C2911" s="787" t="s">
        <v>5979</v>
      </c>
      <c r="D2911" s="787">
        <v>0</v>
      </c>
      <c r="E2911" s="787">
        <v>0</v>
      </c>
      <c r="H2911" s="787">
        <v>1</v>
      </c>
      <c r="K2911" s="788">
        <v>41977</v>
      </c>
      <c r="L2911" s="787">
        <v>3.19</v>
      </c>
      <c r="M2911" s="787">
        <v>10</v>
      </c>
      <c r="N2911" s="787">
        <v>3.19</v>
      </c>
      <c r="O2911" s="788">
        <v>42082</v>
      </c>
    </row>
    <row r="2912" spans="1:15" x14ac:dyDescent="0.25">
      <c r="A2912" s="786" t="s">
        <v>5980</v>
      </c>
      <c r="B2912" s="787">
        <v>4</v>
      </c>
      <c r="C2912" s="787" t="s">
        <v>5981</v>
      </c>
      <c r="D2912" s="787">
        <v>0</v>
      </c>
      <c r="E2912" s="787">
        <v>0</v>
      </c>
      <c r="H2912" s="787">
        <v>1</v>
      </c>
      <c r="K2912" s="788">
        <v>41982</v>
      </c>
      <c r="L2912" s="787">
        <v>6.14</v>
      </c>
      <c r="M2912" s="787">
        <v>10</v>
      </c>
      <c r="N2912" s="787">
        <v>6.14</v>
      </c>
      <c r="O2912" s="788">
        <v>42082</v>
      </c>
    </row>
    <row r="2913" spans="1:15" x14ac:dyDescent="0.25">
      <c r="A2913" s="786" t="s">
        <v>5982</v>
      </c>
      <c r="B2913" s="787">
        <v>4</v>
      </c>
      <c r="C2913" s="787" t="s">
        <v>5983</v>
      </c>
      <c r="D2913" s="787">
        <v>0</v>
      </c>
      <c r="E2913" s="787">
        <v>0</v>
      </c>
      <c r="H2913" s="787">
        <v>1</v>
      </c>
      <c r="K2913" s="788">
        <v>41982</v>
      </c>
      <c r="L2913" s="787">
        <v>6.26</v>
      </c>
      <c r="M2913" s="787">
        <v>10</v>
      </c>
      <c r="N2913" s="787">
        <v>6.26</v>
      </c>
      <c r="O2913" s="788">
        <v>42082</v>
      </c>
    </row>
    <row r="2914" spans="1:15" x14ac:dyDescent="0.25">
      <c r="A2914" s="786" t="s">
        <v>5984</v>
      </c>
      <c r="B2914" s="787">
        <v>4</v>
      </c>
      <c r="C2914" s="787" t="s">
        <v>5985</v>
      </c>
      <c r="D2914" s="787">
        <v>0</v>
      </c>
      <c r="E2914" s="787">
        <v>0</v>
      </c>
      <c r="H2914" s="787">
        <v>1</v>
      </c>
      <c r="K2914" s="788">
        <v>41176</v>
      </c>
      <c r="L2914" s="787">
        <v>4.8</v>
      </c>
      <c r="M2914" s="787">
        <v>10</v>
      </c>
      <c r="N2914" s="787">
        <v>4.7</v>
      </c>
      <c r="O2914" s="788">
        <v>42082</v>
      </c>
    </row>
    <row r="2915" spans="1:15" x14ac:dyDescent="0.25">
      <c r="A2915" s="786" t="s">
        <v>5986</v>
      </c>
      <c r="B2915" s="787">
        <v>4</v>
      </c>
      <c r="C2915" s="787" t="s">
        <v>5987</v>
      </c>
      <c r="D2915" s="787">
        <v>0</v>
      </c>
      <c r="E2915" s="787">
        <v>0</v>
      </c>
      <c r="H2915" s="787">
        <v>1</v>
      </c>
      <c r="K2915" s="788">
        <v>41176</v>
      </c>
      <c r="L2915" s="787">
        <v>4.59</v>
      </c>
      <c r="M2915" s="787">
        <v>10</v>
      </c>
      <c r="N2915" s="787">
        <v>4.53</v>
      </c>
      <c r="O2915" s="788">
        <v>42082</v>
      </c>
    </row>
    <row r="2916" spans="1:15" x14ac:dyDescent="0.25">
      <c r="A2916" s="786" t="s">
        <v>5988</v>
      </c>
      <c r="B2916" s="787">
        <v>4</v>
      </c>
      <c r="C2916" s="787" t="s">
        <v>5989</v>
      </c>
      <c r="D2916" s="787">
        <v>0</v>
      </c>
      <c r="E2916" s="787">
        <v>0</v>
      </c>
      <c r="H2916" s="787">
        <v>1</v>
      </c>
      <c r="I2916" s="788">
        <v>41904</v>
      </c>
      <c r="K2916" s="788">
        <v>41176</v>
      </c>
      <c r="L2916" s="787">
        <v>2.33</v>
      </c>
      <c r="M2916" s="787">
        <v>10</v>
      </c>
      <c r="N2916" s="787">
        <v>2.25</v>
      </c>
      <c r="O2916" s="788">
        <v>42082</v>
      </c>
    </row>
    <row r="2917" spans="1:15" x14ac:dyDescent="0.25">
      <c r="A2917" s="786" t="s">
        <v>5990</v>
      </c>
      <c r="B2917" s="787">
        <v>4</v>
      </c>
      <c r="C2917" s="787" t="s">
        <v>5991</v>
      </c>
      <c r="D2917" s="787">
        <v>0</v>
      </c>
      <c r="E2917" s="787">
        <v>0</v>
      </c>
      <c r="H2917" s="787">
        <v>1</v>
      </c>
      <c r="K2917" s="788">
        <v>41176</v>
      </c>
      <c r="L2917" s="787">
        <v>8.09</v>
      </c>
      <c r="M2917" s="787">
        <v>10</v>
      </c>
      <c r="N2917" s="787">
        <v>7.46</v>
      </c>
      <c r="O2917" s="788">
        <v>42082</v>
      </c>
    </row>
    <row r="2918" spans="1:15" x14ac:dyDescent="0.25">
      <c r="A2918" s="786" t="s">
        <v>5992</v>
      </c>
      <c r="B2918" s="787">
        <v>4</v>
      </c>
      <c r="C2918" s="787" t="s">
        <v>5993</v>
      </c>
      <c r="D2918" s="787">
        <v>0</v>
      </c>
      <c r="E2918" s="787">
        <v>0</v>
      </c>
      <c r="H2918" s="787">
        <v>1</v>
      </c>
      <c r="K2918" s="788">
        <v>41176</v>
      </c>
      <c r="L2918" s="787">
        <v>13.46</v>
      </c>
      <c r="M2918" s="787">
        <v>10</v>
      </c>
      <c r="N2918" s="787">
        <v>12.11</v>
      </c>
      <c r="O2918" s="788">
        <v>42082</v>
      </c>
    </row>
    <row r="2919" spans="1:15" x14ac:dyDescent="0.25">
      <c r="A2919" s="786" t="s">
        <v>5994</v>
      </c>
      <c r="B2919" s="787">
        <v>4</v>
      </c>
      <c r="C2919" s="787" t="s">
        <v>5995</v>
      </c>
      <c r="D2919" s="787">
        <v>0</v>
      </c>
      <c r="E2919" s="787">
        <v>0</v>
      </c>
      <c r="H2919" s="787">
        <v>1</v>
      </c>
      <c r="I2919" s="788">
        <v>41596</v>
      </c>
      <c r="K2919" s="788">
        <v>41176</v>
      </c>
      <c r="L2919" s="787">
        <v>12.79</v>
      </c>
      <c r="M2919" s="787">
        <v>10</v>
      </c>
      <c r="N2919" s="787">
        <v>11.27</v>
      </c>
      <c r="O2919" s="788">
        <v>42082</v>
      </c>
    </row>
    <row r="2920" spans="1:15" x14ac:dyDescent="0.25">
      <c r="A2920" s="786" t="s">
        <v>5996</v>
      </c>
      <c r="B2920" s="787">
        <v>4</v>
      </c>
      <c r="C2920" s="787" t="s">
        <v>5997</v>
      </c>
      <c r="D2920" s="787">
        <v>5.92</v>
      </c>
      <c r="E2920" s="787">
        <v>5.92</v>
      </c>
      <c r="F2920" s="788">
        <v>41613</v>
      </c>
      <c r="G2920" s="788">
        <v>41613</v>
      </c>
      <c r="H2920" s="787">
        <v>1</v>
      </c>
      <c r="I2920" s="788">
        <v>42145</v>
      </c>
      <c r="J2920" s="788">
        <v>41562</v>
      </c>
      <c r="K2920" s="788">
        <v>41279</v>
      </c>
      <c r="L2920" s="787">
        <v>3.44</v>
      </c>
      <c r="M2920" s="787">
        <v>10</v>
      </c>
      <c r="N2920" s="787">
        <v>3.32</v>
      </c>
      <c r="O2920" s="788">
        <v>42082</v>
      </c>
    </row>
    <row r="2921" spans="1:15" x14ac:dyDescent="0.25">
      <c r="A2921" s="786" t="s">
        <v>5998</v>
      </c>
      <c r="B2921" s="787">
        <v>4</v>
      </c>
      <c r="C2921" s="787" t="s">
        <v>5999</v>
      </c>
      <c r="D2921" s="787">
        <v>0</v>
      </c>
      <c r="E2921" s="787">
        <v>0</v>
      </c>
      <c r="H2921" s="787">
        <v>1</v>
      </c>
      <c r="I2921" s="788">
        <v>42145</v>
      </c>
      <c r="L2921" s="787">
        <v>0.01</v>
      </c>
      <c r="M2921" s="787">
        <v>10</v>
      </c>
      <c r="N2921" s="787">
        <v>8.0399999999999991</v>
      </c>
      <c r="O2921" s="788">
        <v>42082</v>
      </c>
    </row>
    <row r="2922" spans="1:15" x14ac:dyDescent="0.25">
      <c r="A2922" s="786" t="s">
        <v>6000</v>
      </c>
      <c r="B2922" s="787">
        <v>4</v>
      </c>
      <c r="C2922" s="787" t="s">
        <v>5999</v>
      </c>
      <c r="D2922" s="787">
        <v>0</v>
      </c>
      <c r="E2922" s="787">
        <v>0</v>
      </c>
      <c r="H2922" s="787">
        <v>1</v>
      </c>
      <c r="I2922" s="788">
        <v>42145</v>
      </c>
      <c r="L2922" s="787">
        <v>0.01</v>
      </c>
      <c r="M2922" s="787">
        <v>10</v>
      </c>
      <c r="N2922" s="787">
        <v>8.0399999999999991</v>
      </c>
      <c r="O2922" s="788">
        <v>42082</v>
      </c>
    </row>
    <row r="2923" spans="1:15" x14ac:dyDescent="0.25">
      <c r="A2923" s="786" t="s">
        <v>6001</v>
      </c>
      <c r="B2923" s="787">
        <v>4</v>
      </c>
      <c r="C2923" s="787" t="s">
        <v>5999</v>
      </c>
      <c r="D2923" s="787">
        <v>0</v>
      </c>
      <c r="E2923" s="787">
        <v>0</v>
      </c>
      <c r="H2923" s="787">
        <v>1</v>
      </c>
      <c r="I2923" s="788">
        <v>41551</v>
      </c>
      <c r="L2923" s="787">
        <v>0.01</v>
      </c>
      <c r="M2923" s="787">
        <v>10</v>
      </c>
      <c r="N2923" s="787">
        <v>4.5599999999999996</v>
      </c>
      <c r="O2923" s="788">
        <v>42082</v>
      </c>
    </row>
    <row r="2924" spans="1:15" x14ac:dyDescent="0.25">
      <c r="A2924" s="786" t="s">
        <v>6002</v>
      </c>
      <c r="B2924" s="787">
        <v>4</v>
      </c>
      <c r="C2924" s="787" t="s">
        <v>5999</v>
      </c>
      <c r="D2924" s="787">
        <v>0</v>
      </c>
      <c r="E2924" s="787">
        <v>0</v>
      </c>
      <c r="H2924" s="787">
        <v>1</v>
      </c>
      <c r="I2924" s="788">
        <v>41551</v>
      </c>
      <c r="L2924" s="787">
        <v>0.01</v>
      </c>
      <c r="M2924" s="787">
        <v>10</v>
      </c>
      <c r="N2924" s="787">
        <v>4.58</v>
      </c>
      <c r="O2924" s="788">
        <v>42082</v>
      </c>
    </row>
    <row r="2925" spans="1:15" x14ac:dyDescent="0.25">
      <c r="A2925" s="786" t="s">
        <v>6003</v>
      </c>
      <c r="B2925" s="787">
        <v>4</v>
      </c>
      <c r="C2925" s="787" t="s">
        <v>6004</v>
      </c>
      <c r="D2925" s="787">
        <v>0</v>
      </c>
      <c r="E2925" s="787">
        <v>0</v>
      </c>
      <c r="H2925" s="787">
        <v>1</v>
      </c>
      <c r="I2925" s="788">
        <v>42145</v>
      </c>
      <c r="K2925" s="788">
        <v>41279</v>
      </c>
      <c r="L2925" s="787">
        <v>6.29</v>
      </c>
      <c r="M2925" s="787">
        <v>10</v>
      </c>
      <c r="N2925" s="787">
        <v>6.21</v>
      </c>
      <c r="O2925" s="788">
        <v>42082</v>
      </c>
    </row>
    <row r="2926" spans="1:15" x14ac:dyDescent="0.25">
      <c r="A2926" s="786" t="s">
        <v>6005</v>
      </c>
      <c r="B2926" s="787">
        <v>4</v>
      </c>
      <c r="C2926" s="787" t="s">
        <v>6006</v>
      </c>
      <c r="D2926" s="787">
        <v>0.67</v>
      </c>
      <c r="E2926" s="787">
        <v>0.88</v>
      </c>
      <c r="F2926" s="788">
        <v>41813</v>
      </c>
      <c r="G2926" s="788">
        <v>41913</v>
      </c>
      <c r="H2926" s="787">
        <v>1</v>
      </c>
      <c r="I2926" s="788">
        <v>41887</v>
      </c>
      <c r="J2926" s="788">
        <v>41887</v>
      </c>
      <c r="L2926" s="787">
        <v>1</v>
      </c>
      <c r="M2926" s="787">
        <v>10</v>
      </c>
      <c r="N2926" s="787">
        <v>1.44</v>
      </c>
      <c r="O2926" s="788">
        <v>42144</v>
      </c>
    </row>
    <row r="2927" spans="1:15" x14ac:dyDescent="0.25">
      <c r="A2927" s="786" t="s">
        <v>6007</v>
      </c>
      <c r="B2927" s="787">
        <v>4</v>
      </c>
      <c r="C2927" s="787" t="s">
        <v>6008</v>
      </c>
      <c r="D2927" s="787">
        <v>0.19</v>
      </c>
      <c r="E2927" s="787">
        <v>0.19</v>
      </c>
      <c r="F2927" s="788">
        <v>41775</v>
      </c>
      <c r="G2927" s="788">
        <v>41775</v>
      </c>
      <c r="H2927" s="787">
        <v>1</v>
      </c>
      <c r="I2927" s="788">
        <v>41828</v>
      </c>
      <c r="J2927" s="788">
        <v>41584</v>
      </c>
      <c r="L2927" s="787">
        <v>1.5</v>
      </c>
      <c r="M2927" s="787">
        <v>10</v>
      </c>
      <c r="N2927" s="787">
        <v>0.97</v>
      </c>
      <c r="O2927" s="788">
        <v>42082</v>
      </c>
    </row>
    <row r="2928" spans="1:15" x14ac:dyDescent="0.25">
      <c r="A2928" s="786" t="s">
        <v>6009</v>
      </c>
      <c r="B2928" s="787">
        <v>4</v>
      </c>
      <c r="C2928" s="787" t="s">
        <v>6010</v>
      </c>
      <c r="D2928" s="787">
        <v>0.46</v>
      </c>
      <c r="E2928" s="787">
        <v>0.46</v>
      </c>
      <c r="F2928" s="788">
        <v>41775</v>
      </c>
      <c r="G2928" s="788">
        <v>41775</v>
      </c>
      <c r="H2928" s="787">
        <v>1</v>
      </c>
      <c r="I2928" s="788">
        <v>41828</v>
      </c>
      <c r="J2928" s="788">
        <v>41584</v>
      </c>
      <c r="L2928" s="787">
        <v>1.5</v>
      </c>
      <c r="M2928" s="787">
        <v>10</v>
      </c>
      <c r="N2928" s="787">
        <v>0.92</v>
      </c>
      <c r="O2928" s="788">
        <v>42082</v>
      </c>
    </row>
    <row r="2929" spans="1:15" x14ac:dyDescent="0.25">
      <c r="A2929" s="786" t="s">
        <v>6011</v>
      </c>
      <c r="B2929" s="787">
        <v>4</v>
      </c>
      <c r="C2929" s="787" t="s">
        <v>6012</v>
      </c>
      <c r="D2929" s="787">
        <v>0.18</v>
      </c>
      <c r="E2929" s="787">
        <v>0.18</v>
      </c>
      <c r="F2929" s="788">
        <v>41775</v>
      </c>
      <c r="G2929" s="788">
        <v>41775</v>
      </c>
      <c r="H2929" s="787">
        <v>1</v>
      </c>
      <c r="J2929" s="788">
        <v>41584</v>
      </c>
      <c r="L2929" s="787">
        <v>1.5</v>
      </c>
      <c r="M2929" s="787">
        <v>10</v>
      </c>
      <c r="N2929" s="787">
        <v>0.91</v>
      </c>
      <c r="O2929" s="788">
        <v>42082</v>
      </c>
    </row>
    <row r="2930" spans="1:15" x14ac:dyDescent="0.25">
      <c r="A2930" s="786" t="s">
        <v>6013</v>
      </c>
      <c r="B2930" s="787">
        <v>4</v>
      </c>
      <c r="C2930" s="787" t="s">
        <v>6014</v>
      </c>
      <c r="D2930" s="787">
        <v>0.54</v>
      </c>
      <c r="E2930" s="787">
        <v>840.54</v>
      </c>
      <c r="F2930" s="788">
        <v>41907</v>
      </c>
      <c r="G2930" s="788">
        <v>41907</v>
      </c>
      <c r="H2930" s="787">
        <v>1</v>
      </c>
      <c r="I2930" s="788">
        <v>41849</v>
      </c>
      <c r="J2930" s="788">
        <v>41824</v>
      </c>
      <c r="K2930" s="788">
        <v>41512</v>
      </c>
      <c r="L2930" s="787">
        <v>871.05</v>
      </c>
      <c r="M2930" s="787">
        <v>10</v>
      </c>
      <c r="N2930" s="787">
        <v>858.14</v>
      </c>
      <c r="O2930" s="788">
        <v>42123</v>
      </c>
    </row>
    <row r="2931" spans="1:15" x14ac:dyDescent="0.25">
      <c r="A2931" s="786" t="s">
        <v>6015</v>
      </c>
      <c r="B2931" s="787">
        <v>4</v>
      </c>
      <c r="C2931" s="787" t="s">
        <v>6016</v>
      </c>
      <c r="D2931" s="787">
        <v>8.0299999999999994</v>
      </c>
      <c r="E2931" s="787">
        <v>580.04</v>
      </c>
      <c r="F2931" s="788">
        <v>42110</v>
      </c>
      <c r="G2931" s="788">
        <v>42137</v>
      </c>
      <c r="H2931" s="787">
        <v>1</v>
      </c>
      <c r="I2931" s="788">
        <v>42110</v>
      </c>
      <c r="J2931" s="788">
        <v>42110</v>
      </c>
      <c r="K2931" s="788">
        <v>41512</v>
      </c>
      <c r="L2931" s="787">
        <v>568.03</v>
      </c>
      <c r="M2931" s="787">
        <v>10</v>
      </c>
      <c r="N2931" s="787">
        <v>553.94000000000005</v>
      </c>
      <c r="O2931" s="788">
        <v>42123</v>
      </c>
    </row>
    <row r="2932" spans="1:15" x14ac:dyDescent="0.25">
      <c r="A2932" s="786" t="s">
        <v>6017</v>
      </c>
      <c r="B2932" s="787">
        <v>4</v>
      </c>
      <c r="C2932" s="787" t="s">
        <v>6018</v>
      </c>
      <c r="D2932" s="787">
        <v>8.7899999999999991</v>
      </c>
      <c r="E2932" s="787">
        <v>868.79</v>
      </c>
      <c r="F2932" s="788">
        <v>41978</v>
      </c>
      <c r="G2932" s="788">
        <v>41978</v>
      </c>
      <c r="H2932" s="787">
        <v>1</v>
      </c>
      <c r="I2932" s="788">
        <v>41971</v>
      </c>
      <c r="J2932" s="788">
        <v>41960</v>
      </c>
      <c r="K2932" s="788">
        <v>41512</v>
      </c>
      <c r="L2932" s="787">
        <v>857.61</v>
      </c>
      <c r="M2932" s="787">
        <v>10</v>
      </c>
      <c r="N2932" s="787">
        <v>846.04</v>
      </c>
      <c r="O2932" s="788">
        <v>42082</v>
      </c>
    </row>
    <row r="2933" spans="1:15" x14ac:dyDescent="0.25">
      <c r="A2933" s="786" t="s">
        <v>6019</v>
      </c>
      <c r="B2933" s="787">
        <v>4</v>
      </c>
      <c r="C2933" s="787" t="s">
        <v>6020</v>
      </c>
      <c r="D2933" s="787">
        <v>1.84</v>
      </c>
      <c r="E2933" s="787">
        <v>424.29</v>
      </c>
      <c r="F2933" s="788">
        <v>42132</v>
      </c>
      <c r="G2933" s="788">
        <v>42152</v>
      </c>
      <c r="H2933" s="787">
        <v>1</v>
      </c>
      <c r="I2933" s="788">
        <v>42163</v>
      </c>
      <c r="J2933" s="788">
        <v>42156</v>
      </c>
      <c r="K2933" s="788">
        <v>41512</v>
      </c>
      <c r="L2933" s="787">
        <v>554.29</v>
      </c>
      <c r="M2933" s="787">
        <v>10</v>
      </c>
      <c r="N2933" s="787">
        <v>542.24</v>
      </c>
      <c r="O2933" s="788">
        <v>42082</v>
      </c>
    </row>
    <row r="2934" spans="1:15" x14ac:dyDescent="0.25">
      <c r="A2934" s="786" t="s">
        <v>6021</v>
      </c>
      <c r="B2934" s="787">
        <v>4</v>
      </c>
      <c r="C2934" s="787" t="s">
        <v>6022</v>
      </c>
      <c r="D2934" s="787">
        <v>4.84</v>
      </c>
      <c r="E2934" s="787">
        <v>390.09</v>
      </c>
      <c r="F2934" s="788">
        <v>41813</v>
      </c>
      <c r="G2934" s="788">
        <v>42160</v>
      </c>
      <c r="H2934" s="787">
        <v>1</v>
      </c>
      <c r="I2934" s="788">
        <v>42152</v>
      </c>
      <c r="J2934" s="788">
        <v>42150</v>
      </c>
      <c r="K2934" s="788">
        <v>41512</v>
      </c>
      <c r="L2934" s="787">
        <v>391.31</v>
      </c>
      <c r="M2934" s="787">
        <v>10</v>
      </c>
      <c r="N2934" s="787">
        <v>458.4</v>
      </c>
      <c r="O2934" s="788">
        <v>42082</v>
      </c>
    </row>
    <row r="2935" spans="1:15" x14ac:dyDescent="0.25">
      <c r="A2935" s="786" t="s">
        <v>6023</v>
      </c>
      <c r="B2935" s="787">
        <v>4</v>
      </c>
      <c r="C2935" s="787" t="s">
        <v>6024</v>
      </c>
      <c r="D2935" s="787">
        <v>0</v>
      </c>
      <c r="E2935" s="787">
        <v>0</v>
      </c>
      <c r="H2935" s="787">
        <v>1</v>
      </c>
      <c r="K2935" s="788">
        <v>41512</v>
      </c>
      <c r="L2935" s="787">
        <v>859.54</v>
      </c>
      <c r="M2935" s="787">
        <v>10</v>
      </c>
      <c r="N2935" s="787">
        <v>848.15</v>
      </c>
      <c r="O2935" s="788">
        <v>42082</v>
      </c>
    </row>
    <row r="2936" spans="1:15" x14ac:dyDescent="0.25">
      <c r="A2936" s="786" t="s">
        <v>6025</v>
      </c>
      <c r="B2936" s="787">
        <v>4</v>
      </c>
      <c r="C2936" s="787" t="s">
        <v>6026</v>
      </c>
      <c r="D2936" s="787">
        <v>1.65</v>
      </c>
      <c r="E2936" s="787">
        <v>910.55</v>
      </c>
      <c r="F2936" s="788">
        <v>41813</v>
      </c>
      <c r="G2936" s="788">
        <v>42122</v>
      </c>
      <c r="H2936" s="787">
        <v>1</v>
      </c>
      <c r="I2936" s="788">
        <v>42095</v>
      </c>
      <c r="J2936" s="788">
        <v>42095</v>
      </c>
      <c r="K2936" s="788">
        <v>41512</v>
      </c>
      <c r="L2936" s="787">
        <v>859.54</v>
      </c>
      <c r="M2936" s="787">
        <v>10</v>
      </c>
      <c r="N2936" s="787">
        <v>881.02</v>
      </c>
      <c r="O2936" s="788">
        <v>42082</v>
      </c>
    </row>
    <row r="2937" spans="1:15" x14ac:dyDescent="0.25">
      <c r="A2937" s="786" t="s">
        <v>6027</v>
      </c>
      <c r="B2937" s="787">
        <v>4</v>
      </c>
      <c r="C2937" s="787" t="s">
        <v>6028</v>
      </c>
      <c r="D2937" s="787">
        <v>0</v>
      </c>
      <c r="E2937" s="787">
        <v>0</v>
      </c>
      <c r="H2937" s="787">
        <v>1</v>
      </c>
      <c r="K2937" s="788">
        <v>41544</v>
      </c>
      <c r="L2937" s="787">
        <v>863.63</v>
      </c>
      <c r="M2937" s="787">
        <v>10</v>
      </c>
      <c r="N2937" s="787">
        <v>853.38</v>
      </c>
      <c r="O2937" s="788">
        <v>42082</v>
      </c>
    </row>
    <row r="2938" spans="1:15" x14ac:dyDescent="0.25">
      <c r="A2938" s="786" t="s">
        <v>6029</v>
      </c>
      <c r="B2938" s="787">
        <v>4</v>
      </c>
      <c r="C2938" s="787" t="s">
        <v>6030</v>
      </c>
      <c r="D2938" s="787">
        <v>0</v>
      </c>
      <c r="E2938" s="787">
        <v>0</v>
      </c>
      <c r="H2938" s="787">
        <v>1</v>
      </c>
      <c r="K2938" s="788">
        <v>41544</v>
      </c>
      <c r="L2938" s="787">
        <v>864.6</v>
      </c>
      <c r="M2938" s="787">
        <v>10</v>
      </c>
      <c r="N2938" s="787">
        <v>854.44</v>
      </c>
      <c r="O2938" s="788">
        <v>42082</v>
      </c>
    </row>
    <row r="2939" spans="1:15" x14ac:dyDescent="0.25">
      <c r="A2939" s="786" t="s">
        <v>6031</v>
      </c>
      <c r="B2939" s="787">
        <v>4</v>
      </c>
      <c r="C2939" s="787" t="s">
        <v>6032</v>
      </c>
      <c r="D2939" s="787">
        <v>0</v>
      </c>
      <c r="E2939" s="787">
        <v>0</v>
      </c>
      <c r="H2939" s="787">
        <v>1</v>
      </c>
      <c r="K2939" s="788">
        <v>41544</v>
      </c>
      <c r="L2939" s="787">
        <v>864.6</v>
      </c>
      <c r="M2939" s="787">
        <v>10</v>
      </c>
      <c r="N2939" s="787">
        <v>854.44</v>
      </c>
      <c r="O2939" s="788">
        <v>42082</v>
      </c>
    </row>
    <row r="2940" spans="1:15" x14ac:dyDescent="0.25">
      <c r="A2940" s="786" t="s">
        <v>6033</v>
      </c>
      <c r="B2940" s="787">
        <v>4</v>
      </c>
      <c r="C2940" s="787" t="s">
        <v>6034</v>
      </c>
      <c r="D2940" s="787">
        <v>0</v>
      </c>
      <c r="E2940" s="787">
        <v>0</v>
      </c>
      <c r="G2940" s="788">
        <v>42160</v>
      </c>
      <c r="H2940" s="787">
        <v>1</v>
      </c>
      <c r="I2940" s="788">
        <v>42160</v>
      </c>
      <c r="J2940" s="788">
        <v>42160</v>
      </c>
      <c r="K2940" s="788">
        <v>42086</v>
      </c>
      <c r="L2940" s="787">
        <v>3.53</v>
      </c>
      <c r="M2940" s="787">
        <v>10</v>
      </c>
      <c r="N2940" s="787">
        <v>3.53</v>
      </c>
      <c r="O2940" s="788">
        <v>42086</v>
      </c>
    </row>
    <row r="2941" spans="1:15" x14ac:dyDescent="0.25">
      <c r="A2941" s="786" t="s">
        <v>6035</v>
      </c>
      <c r="B2941" s="787">
        <v>4</v>
      </c>
      <c r="C2941" s="787" t="s">
        <v>6036</v>
      </c>
      <c r="D2941" s="787">
        <v>0</v>
      </c>
      <c r="E2941" s="787">
        <v>0</v>
      </c>
      <c r="G2941" s="788">
        <v>42163</v>
      </c>
      <c r="H2941" s="787">
        <v>1</v>
      </c>
      <c r="J2941" s="788">
        <v>42163</v>
      </c>
      <c r="K2941" s="788">
        <v>42086</v>
      </c>
      <c r="L2941" s="787">
        <v>12.37</v>
      </c>
      <c r="M2941" s="787">
        <v>10</v>
      </c>
      <c r="N2941" s="787">
        <v>12.37</v>
      </c>
      <c r="O2941" s="788">
        <v>42086</v>
      </c>
    </row>
    <row r="2942" spans="1:15" x14ac:dyDescent="0.25">
      <c r="A2942" s="786" t="s">
        <v>6037</v>
      </c>
      <c r="B2942" s="787">
        <v>4</v>
      </c>
      <c r="C2942" s="787" t="s">
        <v>6038</v>
      </c>
      <c r="D2942" s="787">
        <v>0</v>
      </c>
      <c r="E2942" s="787">
        <v>0</v>
      </c>
      <c r="G2942" s="788">
        <v>42165</v>
      </c>
      <c r="H2942" s="787">
        <v>1</v>
      </c>
      <c r="I2942" s="788">
        <v>42163</v>
      </c>
      <c r="J2942" s="788">
        <v>42165</v>
      </c>
      <c r="K2942" s="788">
        <v>42086</v>
      </c>
      <c r="L2942" s="787">
        <v>3.03</v>
      </c>
      <c r="M2942" s="787">
        <v>10</v>
      </c>
      <c r="N2942" s="787">
        <v>3.03</v>
      </c>
      <c r="O2942" s="788">
        <v>42086</v>
      </c>
    </row>
    <row r="2943" spans="1:15" x14ac:dyDescent="0.25">
      <c r="A2943" s="786" t="s">
        <v>6039</v>
      </c>
      <c r="B2943" s="787">
        <v>4</v>
      </c>
      <c r="C2943" s="787" t="s">
        <v>6038</v>
      </c>
      <c r="D2943" s="787">
        <v>0</v>
      </c>
      <c r="E2943" s="787">
        <v>0</v>
      </c>
      <c r="G2943" s="788">
        <v>42163</v>
      </c>
      <c r="H2943" s="787">
        <v>1</v>
      </c>
      <c r="J2943" s="788">
        <v>42163</v>
      </c>
      <c r="K2943" s="788">
        <v>42086</v>
      </c>
      <c r="L2943" s="787">
        <v>12.14</v>
      </c>
      <c r="M2943" s="787">
        <v>10</v>
      </c>
      <c r="N2943" s="787">
        <v>12.14</v>
      </c>
      <c r="O2943" s="788">
        <v>42086</v>
      </c>
    </row>
    <row r="2944" spans="1:15" x14ac:dyDescent="0.25">
      <c r="A2944" s="786" t="s">
        <v>6040</v>
      </c>
      <c r="B2944" s="787">
        <v>4</v>
      </c>
      <c r="C2944" s="787" t="s">
        <v>6041</v>
      </c>
      <c r="D2944" s="787">
        <v>0</v>
      </c>
      <c r="E2944" s="787">
        <v>0</v>
      </c>
      <c r="G2944" s="788">
        <v>42160</v>
      </c>
      <c r="H2944" s="787">
        <v>1</v>
      </c>
      <c r="I2944" s="788">
        <v>42163</v>
      </c>
      <c r="J2944" s="788">
        <v>42160</v>
      </c>
      <c r="K2944" s="788">
        <v>42086</v>
      </c>
      <c r="L2944" s="787">
        <v>4.45</v>
      </c>
      <c r="M2944" s="787">
        <v>10</v>
      </c>
      <c r="N2944" s="787">
        <v>4.45</v>
      </c>
      <c r="O2944" s="788">
        <v>42086</v>
      </c>
    </row>
    <row r="2945" spans="1:15" x14ac:dyDescent="0.25">
      <c r="A2945" s="786" t="s">
        <v>6042</v>
      </c>
      <c r="B2945" s="787">
        <v>4</v>
      </c>
      <c r="C2945" s="787" t="s">
        <v>6041</v>
      </c>
      <c r="D2945" s="787">
        <v>0</v>
      </c>
      <c r="E2945" s="787">
        <v>0</v>
      </c>
      <c r="G2945" s="788">
        <v>42160</v>
      </c>
      <c r="H2945" s="787">
        <v>1</v>
      </c>
      <c r="I2945" s="788">
        <v>42160</v>
      </c>
      <c r="J2945" s="788">
        <v>42160</v>
      </c>
      <c r="K2945" s="788">
        <v>42086</v>
      </c>
      <c r="L2945" s="787">
        <v>4.45</v>
      </c>
      <c r="M2945" s="787">
        <v>10</v>
      </c>
      <c r="N2945" s="787">
        <v>4.45</v>
      </c>
      <c r="O2945" s="788">
        <v>42086</v>
      </c>
    </row>
    <row r="2946" spans="1:15" x14ac:dyDescent="0.25">
      <c r="A2946" s="786" t="s">
        <v>6043</v>
      </c>
      <c r="B2946" s="787">
        <v>4</v>
      </c>
      <c r="C2946" s="787" t="s">
        <v>6044</v>
      </c>
      <c r="D2946" s="787">
        <v>0</v>
      </c>
      <c r="E2946" s="787">
        <v>0</v>
      </c>
      <c r="G2946" s="788">
        <v>42163</v>
      </c>
      <c r="H2946" s="787">
        <v>1</v>
      </c>
      <c r="J2946" s="788">
        <v>42163</v>
      </c>
      <c r="K2946" s="788">
        <v>42086</v>
      </c>
      <c r="L2946" s="787">
        <v>13.56</v>
      </c>
      <c r="M2946" s="787">
        <v>10</v>
      </c>
      <c r="N2946" s="787">
        <v>13.56</v>
      </c>
      <c r="O2946" s="788">
        <v>42086</v>
      </c>
    </row>
    <row r="2947" spans="1:15" x14ac:dyDescent="0.25">
      <c r="A2947" s="786" t="s">
        <v>6045</v>
      </c>
      <c r="B2947" s="787">
        <v>4</v>
      </c>
      <c r="C2947" s="787" t="s">
        <v>6044</v>
      </c>
      <c r="D2947" s="787">
        <v>0</v>
      </c>
      <c r="E2947" s="787">
        <v>0</v>
      </c>
      <c r="G2947" s="788">
        <v>42163</v>
      </c>
      <c r="H2947" s="787">
        <v>1</v>
      </c>
      <c r="J2947" s="788">
        <v>42163</v>
      </c>
      <c r="K2947" s="788">
        <v>42086</v>
      </c>
      <c r="L2947" s="787">
        <v>13.56</v>
      </c>
      <c r="M2947" s="787">
        <v>10</v>
      </c>
      <c r="N2947" s="787">
        <v>13.56</v>
      </c>
      <c r="O2947" s="788">
        <v>42086</v>
      </c>
    </row>
    <row r="2948" spans="1:15" x14ac:dyDescent="0.25">
      <c r="A2948" s="786" t="s">
        <v>6046</v>
      </c>
      <c r="B2948" s="787">
        <v>4</v>
      </c>
      <c r="C2948" s="787" t="s">
        <v>6047</v>
      </c>
      <c r="D2948" s="787">
        <v>0</v>
      </c>
      <c r="E2948" s="787">
        <v>0</v>
      </c>
      <c r="H2948" s="787">
        <v>1</v>
      </c>
      <c r="L2948" s="787">
        <v>6</v>
      </c>
      <c r="M2948" s="787">
        <v>10</v>
      </c>
      <c r="N2948" s="787">
        <v>0</v>
      </c>
    </row>
    <row r="2949" spans="1:15" x14ac:dyDescent="0.25">
      <c r="A2949" s="786" t="s">
        <v>6048</v>
      </c>
      <c r="B2949" s="787">
        <v>4</v>
      </c>
      <c r="C2949" s="787" t="s">
        <v>6049</v>
      </c>
      <c r="D2949" s="787">
        <v>0</v>
      </c>
      <c r="E2949" s="787">
        <v>0</v>
      </c>
      <c r="H2949" s="787">
        <v>1</v>
      </c>
      <c r="L2949" s="787">
        <v>2.5</v>
      </c>
      <c r="M2949" s="787">
        <v>10</v>
      </c>
      <c r="N2949" s="787">
        <v>2.86</v>
      </c>
      <c r="O2949" s="788">
        <v>42082</v>
      </c>
    </row>
    <row r="2950" spans="1:15" x14ac:dyDescent="0.25">
      <c r="A2950" s="786" t="s">
        <v>6050</v>
      </c>
      <c r="B2950" s="787">
        <v>4</v>
      </c>
      <c r="C2950" s="787" t="s">
        <v>6051</v>
      </c>
      <c r="D2950" s="787">
        <v>0</v>
      </c>
      <c r="E2950" s="787">
        <v>0</v>
      </c>
      <c r="H2950" s="787">
        <v>1</v>
      </c>
      <c r="K2950" s="788">
        <v>41982</v>
      </c>
      <c r="L2950" s="787">
        <v>4</v>
      </c>
      <c r="M2950" s="787">
        <v>10</v>
      </c>
      <c r="N2950" s="787">
        <v>4</v>
      </c>
      <c r="O2950" s="788">
        <v>42082</v>
      </c>
    </row>
    <row r="2951" spans="1:15" x14ac:dyDescent="0.25">
      <c r="A2951" s="786" t="s">
        <v>6052</v>
      </c>
      <c r="B2951" s="787">
        <v>4</v>
      </c>
      <c r="C2951" s="787" t="s">
        <v>6053</v>
      </c>
      <c r="D2951" s="787">
        <v>0</v>
      </c>
      <c r="E2951" s="787">
        <v>0</v>
      </c>
      <c r="H2951" s="787">
        <v>1</v>
      </c>
      <c r="K2951" s="788">
        <v>41670</v>
      </c>
      <c r="L2951" s="787">
        <v>7.3</v>
      </c>
      <c r="M2951" s="787">
        <v>10</v>
      </c>
      <c r="N2951" s="787">
        <v>7.23</v>
      </c>
      <c r="O2951" s="788">
        <v>42082</v>
      </c>
    </row>
    <row r="2952" spans="1:15" x14ac:dyDescent="0.25">
      <c r="A2952" s="786" t="s">
        <v>6054</v>
      </c>
      <c r="B2952" s="787">
        <v>4</v>
      </c>
      <c r="C2952" s="787" t="s">
        <v>6055</v>
      </c>
      <c r="D2952" s="787">
        <v>0</v>
      </c>
      <c r="E2952" s="787">
        <v>0</v>
      </c>
      <c r="H2952" s="787">
        <v>1</v>
      </c>
      <c r="K2952" s="788">
        <v>41670</v>
      </c>
      <c r="L2952" s="787">
        <v>1.94</v>
      </c>
      <c r="M2952" s="787">
        <v>10</v>
      </c>
      <c r="N2952" s="787">
        <v>1.93</v>
      </c>
      <c r="O2952" s="788">
        <v>42082</v>
      </c>
    </row>
    <row r="2953" spans="1:15" x14ac:dyDescent="0.25">
      <c r="A2953" s="786" t="s">
        <v>6056</v>
      </c>
      <c r="B2953" s="787">
        <v>4</v>
      </c>
      <c r="C2953" s="787" t="s">
        <v>6057</v>
      </c>
      <c r="D2953" s="787">
        <v>0</v>
      </c>
      <c r="E2953" s="787">
        <v>0</v>
      </c>
      <c r="H2953" s="787">
        <v>1</v>
      </c>
      <c r="K2953" s="788">
        <v>41670</v>
      </c>
      <c r="L2953" s="787">
        <v>5.86</v>
      </c>
      <c r="M2953" s="787">
        <v>10</v>
      </c>
      <c r="N2953" s="787">
        <v>5.8</v>
      </c>
      <c r="O2953" s="788">
        <v>42082</v>
      </c>
    </row>
    <row r="2954" spans="1:15" x14ac:dyDescent="0.25">
      <c r="A2954" s="786" t="s">
        <v>6058</v>
      </c>
      <c r="B2954" s="787">
        <v>4</v>
      </c>
      <c r="C2954" s="787" t="s">
        <v>6059</v>
      </c>
      <c r="D2954" s="787">
        <v>0</v>
      </c>
      <c r="E2954" s="787">
        <v>0</v>
      </c>
      <c r="H2954" s="787">
        <v>1</v>
      </c>
      <c r="K2954" s="788">
        <v>41670</v>
      </c>
      <c r="L2954" s="787">
        <v>2.83</v>
      </c>
      <c r="M2954" s="787">
        <v>10</v>
      </c>
      <c r="N2954" s="787">
        <v>2.82</v>
      </c>
      <c r="O2954" s="788">
        <v>42082</v>
      </c>
    </row>
    <row r="2955" spans="1:15" x14ac:dyDescent="0.25">
      <c r="A2955" s="786" t="s">
        <v>6060</v>
      </c>
      <c r="B2955" s="787">
        <v>4</v>
      </c>
      <c r="C2955" s="787" t="s">
        <v>6053</v>
      </c>
      <c r="D2955" s="787">
        <v>0</v>
      </c>
      <c r="E2955" s="787">
        <v>0</v>
      </c>
      <c r="H2955" s="787">
        <v>1</v>
      </c>
      <c r="K2955" s="788">
        <v>41670</v>
      </c>
      <c r="L2955" s="787">
        <v>7.3</v>
      </c>
      <c r="M2955" s="787">
        <v>10</v>
      </c>
      <c r="N2955" s="787">
        <v>7.23</v>
      </c>
      <c r="O2955" s="788">
        <v>42082</v>
      </c>
    </row>
    <row r="2956" spans="1:15" x14ac:dyDescent="0.25">
      <c r="A2956" s="786" t="s">
        <v>6061</v>
      </c>
      <c r="B2956" s="787">
        <v>4</v>
      </c>
      <c r="C2956" s="787" t="s">
        <v>6062</v>
      </c>
      <c r="D2956" s="787">
        <v>0</v>
      </c>
      <c r="E2956" s="787">
        <v>0</v>
      </c>
      <c r="H2956" s="787">
        <v>1</v>
      </c>
      <c r="K2956" s="788">
        <v>41698</v>
      </c>
      <c r="L2956" s="787">
        <v>4.8</v>
      </c>
      <c r="M2956" s="787">
        <v>10</v>
      </c>
      <c r="N2956" s="787">
        <v>4.7</v>
      </c>
      <c r="O2956" s="788">
        <v>42082</v>
      </c>
    </row>
    <row r="2957" spans="1:15" x14ac:dyDescent="0.25">
      <c r="A2957" s="786" t="s">
        <v>6063</v>
      </c>
      <c r="B2957" s="787">
        <v>4</v>
      </c>
      <c r="C2957" s="787" t="s">
        <v>6062</v>
      </c>
      <c r="D2957" s="787">
        <v>0</v>
      </c>
      <c r="E2957" s="787">
        <v>0</v>
      </c>
      <c r="H2957" s="787">
        <v>1</v>
      </c>
      <c r="K2957" s="788">
        <v>41698</v>
      </c>
      <c r="L2957" s="787">
        <v>4.8</v>
      </c>
      <c r="M2957" s="787">
        <v>10</v>
      </c>
      <c r="N2957" s="787">
        <v>4.7</v>
      </c>
      <c r="O2957" s="788">
        <v>42082</v>
      </c>
    </row>
    <row r="2958" spans="1:15" x14ac:dyDescent="0.25">
      <c r="A2958" s="786" t="s">
        <v>6064</v>
      </c>
      <c r="B2958" s="787">
        <v>4</v>
      </c>
      <c r="C2958" s="787" t="s">
        <v>6062</v>
      </c>
      <c r="D2958" s="787">
        <v>0</v>
      </c>
      <c r="E2958" s="787">
        <v>0</v>
      </c>
      <c r="H2958" s="787">
        <v>1</v>
      </c>
      <c r="K2958" s="788">
        <v>41698</v>
      </c>
      <c r="L2958" s="787">
        <v>8.51</v>
      </c>
      <c r="M2958" s="787">
        <v>10</v>
      </c>
      <c r="N2958" s="787">
        <v>8.3000000000000007</v>
      </c>
      <c r="O2958" s="788">
        <v>42082</v>
      </c>
    </row>
    <row r="2959" spans="1:15" x14ac:dyDescent="0.25">
      <c r="A2959" s="786" t="s">
        <v>6065</v>
      </c>
      <c r="B2959" s="787">
        <v>4</v>
      </c>
      <c r="C2959" s="787" t="s">
        <v>6062</v>
      </c>
      <c r="D2959" s="787">
        <v>0</v>
      </c>
      <c r="E2959" s="787">
        <v>0</v>
      </c>
      <c r="H2959" s="787">
        <v>1</v>
      </c>
      <c r="K2959" s="788">
        <v>41698</v>
      </c>
      <c r="L2959" s="787">
        <v>8.51</v>
      </c>
      <c r="M2959" s="787">
        <v>10</v>
      </c>
      <c r="N2959" s="787">
        <v>8.3000000000000007</v>
      </c>
      <c r="O2959" s="788">
        <v>42082</v>
      </c>
    </row>
    <row r="2960" spans="1:15" x14ac:dyDescent="0.25">
      <c r="A2960" s="786" t="s">
        <v>6066</v>
      </c>
      <c r="B2960" s="787">
        <v>4</v>
      </c>
      <c r="C2960" s="787" t="s">
        <v>6067</v>
      </c>
      <c r="D2960" s="787">
        <v>0</v>
      </c>
      <c r="E2960" s="787">
        <v>0</v>
      </c>
      <c r="H2960" s="787">
        <v>1</v>
      </c>
      <c r="K2960" s="788">
        <v>42060</v>
      </c>
      <c r="L2960" s="787">
        <v>6.99</v>
      </c>
      <c r="M2960" s="787">
        <v>10</v>
      </c>
      <c r="N2960" s="787">
        <v>6.99</v>
      </c>
      <c r="O2960" s="788">
        <v>42082</v>
      </c>
    </row>
    <row r="2961" spans="1:15" x14ac:dyDescent="0.25">
      <c r="A2961" s="786" t="s">
        <v>6068</v>
      </c>
      <c r="B2961" s="787">
        <v>4</v>
      </c>
      <c r="C2961" s="787" t="s">
        <v>6069</v>
      </c>
      <c r="D2961" s="787">
        <v>0</v>
      </c>
      <c r="E2961" s="787">
        <v>0</v>
      </c>
      <c r="H2961" s="787">
        <v>1</v>
      </c>
      <c r="K2961" s="788">
        <v>42060</v>
      </c>
      <c r="L2961" s="787">
        <v>16.13</v>
      </c>
      <c r="M2961" s="787">
        <v>10</v>
      </c>
      <c r="N2961" s="787">
        <v>16.13</v>
      </c>
      <c r="O2961" s="788">
        <v>42082</v>
      </c>
    </row>
    <row r="2962" spans="1:15" x14ac:dyDescent="0.25">
      <c r="A2962" s="786" t="s">
        <v>6070</v>
      </c>
      <c r="B2962" s="787">
        <v>4</v>
      </c>
      <c r="C2962" s="787" t="s">
        <v>6071</v>
      </c>
      <c r="D2962" s="787">
        <v>0</v>
      </c>
      <c r="E2962" s="787">
        <v>0</v>
      </c>
      <c r="H2962" s="787">
        <v>1</v>
      </c>
      <c r="K2962" s="788">
        <v>42060</v>
      </c>
      <c r="L2962" s="787">
        <v>16.13</v>
      </c>
      <c r="M2962" s="787">
        <v>10</v>
      </c>
      <c r="N2962" s="787">
        <v>16.13</v>
      </c>
      <c r="O2962" s="788">
        <v>42082</v>
      </c>
    </row>
    <row r="2963" spans="1:15" x14ac:dyDescent="0.25">
      <c r="A2963" s="786" t="s">
        <v>6072</v>
      </c>
      <c r="B2963" s="787">
        <v>4</v>
      </c>
      <c r="C2963" s="787" t="s">
        <v>6073</v>
      </c>
      <c r="D2963" s="787">
        <v>0</v>
      </c>
      <c r="E2963" s="787">
        <v>0</v>
      </c>
      <c r="H2963" s="787">
        <v>1</v>
      </c>
      <c r="K2963" s="788">
        <v>42060</v>
      </c>
      <c r="L2963" s="787">
        <v>4.75</v>
      </c>
      <c r="M2963" s="787">
        <v>10</v>
      </c>
      <c r="N2963" s="787">
        <v>4.75</v>
      </c>
      <c r="O2963" s="788">
        <v>42082</v>
      </c>
    </row>
    <row r="2964" spans="1:15" x14ac:dyDescent="0.25">
      <c r="A2964" s="786" t="s">
        <v>6074</v>
      </c>
      <c r="B2964" s="787">
        <v>4</v>
      </c>
      <c r="C2964" s="787" t="s">
        <v>6075</v>
      </c>
      <c r="D2964" s="787">
        <v>0</v>
      </c>
      <c r="E2964" s="787">
        <v>0</v>
      </c>
      <c r="H2964" s="787">
        <v>1</v>
      </c>
      <c r="K2964" s="788">
        <v>42060</v>
      </c>
      <c r="L2964" s="787">
        <v>13.87</v>
      </c>
      <c r="M2964" s="787">
        <v>10</v>
      </c>
      <c r="N2964" s="787">
        <v>13.87</v>
      </c>
      <c r="O2964" s="788">
        <v>42082</v>
      </c>
    </row>
    <row r="2965" spans="1:15" x14ac:dyDescent="0.25">
      <c r="A2965" s="786" t="s">
        <v>6076</v>
      </c>
      <c r="B2965" s="787">
        <v>4</v>
      </c>
      <c r="C2965" s="787" t="s">
        <v>6077</v>
      </c>
      <c r="D2965" s="787">
        <v>0</v>
      </c>
      <c r="E2965" s="787">
        <v>0</v>
      </c>
      <c r="H2965" s="787">
        <v>1</v>
      </c>
      <c r="K2965" s="788">
        <v>42060</v>
      </c>
      <c r="L2965" s="787">
        <v>13.87</v>
      </c>
      <c r="M2965" s="787">
        <v>10</v>
      </c>
      <c r="N2965" s="787">
        <v>13.87</v>
      </c>
      <c r="O2965" s="788">
        <v>42082</v>
      </c>
    </row>
    <row r="2966" spans="1:15" x14ac:dyDescent="0.25">
      <c r="A2966" s="786" t="s">
        <v>6078</v>
      </c>
      <c r="B2966" s="787">
        <v>4</v>
      </c>
      <c r="C2966" s="787" t="s">
        <v>6079</v>
      </c>
      <c r="D2966" s="787">
        <v>0</v>
      </c>
      <c r="E2966" s="787">
        <v>0</v>
      </c>
      <c r="H2966" s="787">
        <v>1</v>
      </c>
      <c r="K2966" s="788">
        <v>42119</v>
      </c>
      <c r="L2966" s="787">
        <v>1.65</v>
      </c>
      <c r="M2966" s="787">
        <v>10</v>
      </c>
      <c r="N2966" s="787">
        <v>1.65</v>
      </c>
      <c r="O2966" s="788">
        <v>42119</v>
      </c>
    </row>
    <row r="2967" spans="1:15" x14ac:dyDescent="0.25">
      <c r="A2967" s="786" t="s">
        <v>6080</v>
      </c>
      <c r="B2967" s="787">
        <v>4</v>
      </c>
      <c r="C2967" s="787" t="s">
        <v>6081</v>
      </c>
      <c r="D2967" s="787">
        <v>0</v>
      </c>
      <c r="E2967" s="787">
        <v>0</v>
      </c>
      <c r="H2967" s="787">
        <v>1</v>
      </c>
      <c r="K2967" s="788">
        <v>42119</v>
      </c>
      <c r="L2967" s="787">
        <v>1.29</v>
      </c>
      <c r="M2967" s="787">
        <v>10</v>
      </c>
      <c r="N2967" s="787">
        <v>1.29</v>
      </c>
      <c r="O2967" s="788">
        <v>42119</v>
      </c>
    </row>
    <row r="2968" spans="1:15" x14ac:dyDescent="0.25">
      <c r="A2968" s="786" t="s">
        <v>6082</v>
      </c>
      <c r="B2968" s="787">
        <v>4</v>
      </c>
      <c r="C2968" s="787" t="s">
        <v>6083</v>
      </c>
      <c r="D2968" s="787">
        <v>5.19</v>
      </c>
      <c r="E2968" s="787">
        <v>135.19</v>
      </c>
      <c r="F2968" s="788">
        <v>41907</v>
      </c>
      <c r="G2968" s="788">
        <v>41943</v>
      </c>
      <c r="H2968" s="787">
        <v>1</v>
      </c>
      <c r="I2968" s="788">
        <v>42150</v>
      </c>
      <c r="J2968" s="788">
        <v>41863</v>
      </c>
      <c r="K2968" s="788">
        <v>41579</v>
      </c>
      <c r="L2968" s="787">
        <v>171.62</v>
      </c>
      <c r="M2968" s="787">
        <v>10</v>
      </c>
      <c r="N2968" s="787">
        <v>94.05</v>
      </c>
      <c r="O2968" s="788">
        <v>42144</v>
      </c>
    </row>
    <row r="2969" spans="1:15" x14ac:dyDescent="0.25">
      <c r="A2969" s="786" t="s">
        <v>6084</v>
      </c>
      <c r="B2969" s="787">
        <v>4</v>
      </c>
      <c r="C2969" s="787" t="s">
        <v>6085</v>
      </c>
      <c r="D2969" s="787">
        <v>7.69</v>
      </c>
      <c r="E2969" s="787">
        <v>148.71</v>
      </c>
      <c r="F2969" s="788">
        <v>41775</v>
      </c>
      <c r="G2969" s="788">
        <v>42013</v>
      </c>
      <c r="H2969" s="787">
        <v>1</v>
      </c>
      <c r="I2969" s="788">
        <v>42150</v>
      </c>
      <c r="J2969" s="788">
        <v>41863</v>
      </c>
      <c r="K2969" s="788">
        <v>41579</v>
      </c>
      <c r="L2969" s="787">
        <v>171.62</v>
      </c>
      <c r="M2969" s="787">
        <v>10</v>
      </c>
      <c r="N2969" s="787">
        <v>94.05</v>
      </c>
      <c r="O2969" s="788">
        <v>42144</v>
      </c>
    </row>
    <row r="2970" spans="1:15" x14ac:dyDescent="0.25">
      <c r="A2970" s="786" t="s">
        <v>6086</v>
      </c>
      <c r="B2970" s="787">
        <v>4</v>
      </c>
      <c r="C2970" s="787" t="s">
        <v>6087</v>
      </c>
      <c r="D2970" s="787">
        <v>7.4</v>
      </c>
      <c r="E2970" s="787">
        <v>17.399999999999999</v>
      </c>
      <c r="F2970" s="788">
        <v>41592</v>
      </c>
      <c r="G2970" s="788">
        <v>41597</v>
      </c>
      <c r="H2970" s="787">
        <v>1</v>
      </c>
      <c r="I2970" s="788">
        <v>41598</v>
      </c>
      <c r="J2970" s="788">
        <v>41591</v>
      </c>
      <c r="L2970" s="787">
        <v>16.3</v>
      </c>
      <c r="M2970" s="787">
        <v>20</v>
      </c>
      <c r="N2970" s="787">
        <v>16.3</v>
      </c>
    </row>
    <row r="2971" spans="1:15" x14ac:dyDescent="0.25">
      <c r="A2971" s="786" t="s">
        <v>6088</v>
      </c>
      <c r="B2971" s="787">
        <v>4</v>
      </c>
      <c r="C2971" s="787" t="s">
        <v>6087</v>
      </c>
      <c r="D2971" s="787">
        <v>7.4</v>
      </c>
      <c r="E2971" s="787">
        <v>17.399999999999999</v>
      </c>
      <c r="F2971" s="788">
        <v>41592</v>
      </c>
      <c r="G2971" s="788">
        <v>41597</v>
      </c>
      <c r="H2971" s="787">
        <v>1</v>
      </c>
      <c r="I2971" s="788">
        <v>41598</v>
      </c>
      <c r="J2971" s="788">
        <v>41591</v>
      </c>
      <c r="L2971" s="787">
        <v>16.3</v>
      </c>
      <c r="M2971" s="787">
        <v>20</v>
      </c>
      <c r="N2971" s="787">
        <v>16.3</v>
      </c>
    </row>
    <row r="2972" spans="1:15" x14ac:dyDescent="0.25">
      <c r="A2972" s="786" t="s">
        <v>6089</v>
      </c>
      <c r="B2972" s="787">
        <v>4</v>
      </c>
      <c r="C2972" s="787" t="s">
        <v>6090</v>
      </c>
      <c r="D2972" s="787">
        <v>4.38</v>
      </c>
      <c r="E2972" s="787">
        <v>24.38</v>
      </c>
      <c r="F2972" s="788">
        <v>41858</v>
      </c>
      <c r="G2972" s="788">
        <v>42165</v>
      </c>
      <c r="H2972" s="787">
        <v>1</v>
      </c>
      <c r="I2972" s="788">
        <v>41858</v>
      </c>
      <c r="J2972" s="788">
        <v>42165</v>
      </c>
      <c r="K2972" s="788">
        <v>41918</v>
      </c>
      <c r="L2972" s="787">
        <v>10.19</v>
      </c>
      <c r="M2972" s="787">
        <v>20</v>
      </c>
      <c r="N2972" s="787">
        <v>24.8</v>
      </c>
    </row>
    <row r="2973" spans="1:15" x14ac:dyDescent="0.25">
      <c r="A2973" s="786" t="s">
        <v>6091</v>
      </c>
      <c r="B2973" s="787">
        <v>4</v>
      </c>
      <c r="C2973" s="787" t="s">
        <v>6090</v>
      </c>
      <c r="D2973" s="787">
        <v>2.41</v>
      </c>
      <c r="E2973" s="787">
        <v>22.41</v>
      </c>
      <c r="F2973" s="788">
        <v>41858</v>
      </c>
      <c r="G2973" s="788">
        <v>42165</v>
      </c>
      <c r="H2973" s="787">
        <v>1</v>
      </c>
      <c r="I2973" s="788">
        <v>41858</v>
      </c>
      <c r="J2973" s="788">
        <v>42165</v>
      </c>
      <c r="K2973" s="788">
        <v>41918</v>
      </c>
      <c r="L2973" s="787">
        <v>10.19</v>
      </c>
      <c r="M2973" s="787">
        <v>20</v>
      </c>
      <c r="N2973" s="787">
        <v>24.8</v>
      </c>
    </row>
    <row r="2974" spans="1:15" x14ac:dyDescent="0.25">
      <c r="A2974" s="786" t="s">
        <v>6092</v>
      </c>
      <c r="B2974" s="787">
        <v>4</v>
      </c>
      <c r="C2974" s="787" t="s">
        <v>6093</v>
      </c>
      <c r="D2974" s="787">
        <v>8.41</v>
      </c>
      <c r="E2974" s="787">
        <v>28.41</v>
      </c>
      <c r="F2974" s="788">
        <v>41858</v>
      </c>
      <c r="G2974" s="788">
        <v>42165</v>
      </c>
      <c r="H2974" s="787">
        <v>1</v>
      </c>
      <c r="I2974" s="788">
        <v>41858</v>
      </c>
      <c r="J2974" s="788">
        <v>42165</v>
      </c>
      <c r="K2974" s="788">
        <v>41918</v>
      </c>
      <c r="L2974" s="787">
        <v>7.52</v>
      </c>
      <c r="M2974" s="787">
        <v>20</v>
      </c>
      <c r="N2974" s="787">
        <v>28.9</v>
      </c>
    </row>
    <row r="2975" spans="1:15" x14ac:dyDescent="0.25">
      <c r="A2975" s="786" t="s">
        <v>6094</v>
      </c>
      <c r="B2975" s="787">
        <v>4</v>
      </c>
      <c r="C2975" s="787" t="s">
        <v>6095</v>
      </c>
      <c r="D2975" s="787">
        <v>4.4000000000000004</v>
      </c>
      <c r="E2975" s="787">
        <v>34.4</v>
      </c>
      <c r="F2975" s="788">
        <v>41858</v>
      </c>
      <c r="G2975" s="788">
        <v>41859</v>
      </c>
      <c r="H2975" s="787">
        <v>1</v>
      </c>
      <c r="I2975" s="788">
        <v>41858</v>
      </c>
      <c r="J2975" s="788">
        <v>41857</v>
      </c>
      <c r="K2975" s="788">
        <v>41918</v>
      </c>
      <c r="L2975" s="787">
        <v>8.26</v>
      </c>
      <c r="M2975" s="787">
        <v>20</v>
      </c>
      <c r="N2975" s="787">
        <v>35</v>
      </c>
    </row>
    <row r="2976" spans="1:15" x14ac:dyDescent="0.25">
      <c r="A2976" s="786" t="s">
        <v>477</v>
      </c>
      <c r="B2976" s="787">
        <v>4</v>
      </c>
      <c r="C2976" s="787" t="s">
        <v>6096</v>
      </c>
      <c r="D2976" s="787">
        <v>0</v>
      </c>
      <c r="E2976" s="787">
        <v>0</v>
      </c>
      <c r="H2976" s="787">
        <v>1</v>
      </c>
      <c r="K2976" s="788">
        <v>41705</v>
      </c>
      <c r="L2976" s="787">
        <v>472.43</v>
      </c>
      <c r="M2976" s="787">
        <v>10</v>
      </c>
      <c r="N2976" s="787">
        <v>588.42999999999995</v>
      </c>
      <c r="O2976" s="788">
        <v>42082</v>
      </c>
    </row>
    <row r="2977" spans="1:15" x14ac:dyDescent="0.25">
      <c r="A2977" s="786" t="s">
        <v>6097</v>
      </c>
      <c r="B2977" s="787">
        <v>4</v>
      </c>
      <c r="C2977" s="787" t="s">
        <v>732</v>
      </c>
      <c r="D2977" s="787">
        <v>0</v>
      </c>
      <c r="E2977" s="787">
        <v>0</v>
      </c>
      <c r="H2977" s="787">
        <v>1</v>
      </c>
      <c r="K2977" s="788">
        <v>41701</v>
      </c>
      <c r="L2977" s="787">
        <v>25.65</v>
      </c>
      <c r="M2977" s="787">
        <v>10</v>
      </c>
      <c r="N2977" s="787">
        <v>25.76</v>
      </c>
      <c r="O2977" s="788">
        <v>41955</v>
      </c>
    </row>
    <row r="2978" spans="1:15" x14ac:dyDescent="0.25">
      <c r="A2978" s="786" t="s">
        <v>6098</v>
      </c>
      <c r="B2978" s="787">
        <v>4</v>
      </c>
      <c r="C2978" s="787" t="s">
        <v>5968</v>
      </c>
      <c r="D2978" s="787">
        <v>0</v>
      </c>
      <c r="E2978" s="787">
        <v>0</v>
      </c>
      <c r="H2978" s="787">
        <v>1</v>
      </c>
      <c r="K2978" s="788">
        <v>41701</v>
      </c>
      <c r="L2978" s="787">
        <v>29.13</v>
      </c>
      <c r="M2978" s="787">
        <v>10</v>
      </c>
      <c r="N2978" s="787">
        <v>29.23</v>
      </c>
      <c r="O2978" s="788">
        <v>42082</v>
      </c>
    </row>
    <row r="2979" spans="1:15" x14ac:dyDescent="0.25">
      <c r="A2979" s="786" t="s">
        <v>6099</v>
      </c>
      <c r="B2979" s="787">
        <v>4</v>
      </c>
      <c r="C2979" s="787" t="s">
        <v>6100</v>
      </c>
      <c r="D2979" s="787">
        <v>0</v>
      </c>
      <c r="E2979" s="787">
        <v>0</v>
      </c>
      <c r="H2979" s="787">
        <v>1</v>
      </c>
      <c r="K2979" s="788">
        <v>42137</v>
      </c>
      <c r="L2979" s="787">
        <v>3.63</v>
      </c>
      <c r="M2979" s="787">
        <v>10</v>
      </c>
      <c r="N2979" s="787">
        <v>3.63</v>
      </c>
      <c r="O2979" s="788">
        <v>42137</v>
      </c>
    </row>
    <row r="2980" spans="1:15" x14ac:dyDescent="0.25">
      <c r="A2980" s="786" t="s">
        <v>6101</v>
      </c>
      <c r="B2980" s="787">
        <v>4</v>
      </c>
      <c r="C2980" s="787" t="s">
        <v>6102</v>
      </c>
      <c r="D2980" s="787">
        <v>0</v>
      </c>
      <c r="E2980" s="787">
        <v>0</v>
      </c>
      <c r="H2980" s="787">
        <v>1</v>
      </c>
      <c r="K2980" s="788">
        <v>42142</v>
      </c>
      <c r="L2980" s="787">
        <v>3.65</v>
      </c>
      <c r="M2980" s="787">
        <v>10</v>
      </c>
      <c r="N2980" s="787">
        <v>3.65</v>
      </c>
      <c r="O2980" s="788">
        <v>42142</v>
      </c>
    </row>
    <row r="2981" spans="1:15" x14ac:dyDescent="0.25">
      <c r="A2981" s="786" t="s">
        <v>623</v>
      </c>
      <c r="B2981" s="787">
        <v>4</v>
      </c>
      <c r="C2981" s="787" t="s">
        <v>6103</v>
      </c>
      <c r="D2981" s="787">
        <v>7.69</v>
      </c>
      <c r="E2981" s="787">
        <v>20.7</v>
      </c>
      <c r="F2981" s="788">
        <v>41495</v>
      </c>
      <c r="G2981" s="788">
        <v>42150</v>
      </c>
      <c r="H2981" s="787">
        <v>1</v>
      </c>
      <c r="I2981" s="788">
        <v>42111</v>
      </c>
      <c r="J2981" s="788">
        <v>42111</v>
      </c>
      <c r="L2981" s="787">
        <v>1</v>
      </c>
      <c r="M2981" s="787">
        <v>10</v>
      </c>
      <c r="N2981" s="787">
        <v>11.23</v>
      </c>
      <c r="O2981" s="788">
        <v>42082</v>
      </c>
    </row>
    <row r="2982" spans="1:15" x14ac:dyDescent="0.25">
      <c r="A2982" s="786" t="s">
        <v>6104</v>
      </c>
      <c r="B2982" s="787">
        <v>4</v>
      </c>
      <c r="C2982" s="787" t="s">
        <v>6105</v>
      </c>
      <c r="D2982" s="787">
        <v>0</v>
      </c>
      <c r="E2982" s="787">
        <v>0</v>
      </c>
      <c r="H2982" s="787">
        <v>1</v>
      </c>
      <c r="K2982" s="788">
        <v>41598</v>
      </c>
      <c r="L2982" s="787">
        <v>54.43</v>
      </c>
      <c r="M2982" s="787">
        <v>10</v>
      </c>
      <c r="N2982" s="787">
        <v>55.14</v>
      </c>
      <c r="O2982" s="788">
        <v>42082</v>
      </c>
    </row>
    <row r="2983" spans="1:15" x14ac:dyDescent="0.25">
      <c r="A2983" s="786" t="s">
        <v>6106</v>
      </c>
      <c r="B2983" s="787">
        <v>4</v>
      </c>
      <c r="C2983" s="787" t="s">
        <v>6105</v>
      </c>
      <c r="D2983" s="787">
        <v>0</v>
      </c>
      <c r="E2983" s="787">
        <v>0</v>
      </c>
      <c r="H2983" s="787">
        <v>1</v>
      </c>
      <c r="K2983" s="788">
        <v>41598</v>
      </c>
      <c r="L2983" s="787">
        <v>14.43</v>
      </c>
      <c r="M2983" s="787">
        <v>10</v>
      </c>
      <c r="N2983" s="787">
        <v>15.22</v>
      </c>
      <c r="O2983" s="788">
        <v>42082</v>
      </c>
    </row>
    <row r="2984" spans="1:15" x14ac:dyDescent="0.25">
      <c r="A2984" s="786" t="s">
        <v>6107</v>
      </c>
      <c r="B2984" s="787">
        <v>4</v>
      </c>
      <c r="C2984" s="787" t="s">
        <v>6108</v>
      </c>
      <c r="D2984" s="787">
        <v>4.29</v>
      </c>
      <c r="E2984" s="787">
        <v>6.65</v>
      </c>
      <c r="F2984" s="788">
        <v>41775</v>
      </c>
      <c r="G2984" s="788">
        <v>42145</v>
      </c>
      <c r="H2984" s="787">
        <v>1</v>
      </c>
      <c r="I2984" s="788">
        <v>42152</v>
      </c>
      <c r="J2984" s="788">
        <v>42152</v>
      </c>
      <c r="K2984" s="788">
        <v>41670</v>
      </c>
      <c r="L2984" s="787">
        <v>2.94</v>
      </c>
      <c r="M2984" s="787">
        <v>10</v>
      </c>
      <c r="N2984" s="787">
        <v>2.92</v>
      </c>
      <c r="O2984" s="788">
        <v>42082</v>
      </c>
    </row>
    <row r="2985" spans="1:15" x14ac:dyDescent="0.25">
      <c r="A2985" s="786" t="s">
        <v>6109</v>
      </c>
      <c r="B2985" s="787">
        <v>4</v>
      </c>
      <c r="C2985" s="787" t="s">
        <v>6108</v>
      </c>
      <c r="D2985" s="787">
        <v>3.17</v>
      </c>
      <c r="E2985" s="787">
        <v>3.17</v>
      </c>
      <c r="F2985" s="788">
        <v>41886</v>
      </c>
      <c r="G2985" s="788">
        <v>42013</v>
      </c>
      <c r="H2985" s="787">
        <v>1</v>
      </c>
      <c r="I2985" s="788">
        <v>42118</v>
      </c>
      <c r="J2985" s="788">
        <v>41844</v>
      </c>
      <c r="K2985" s="788">
        <v>41670</v>
      </c>
      <c r="L2985" s="787">
        <v>3.81</v>
      </c>
      <c r="M2985" s="787">
        <v>10</v>
      </c>
      <c r="N2985" s="787">
        <v>3.8</v>
      </c>
      <c r="O2985" s="788">
        <v>41955</v>
      </c>
    </row>
    <row r="2986" spans="1:15" x14ac:dyDescent="0.25">
      <c r="A2986" s="786" t="s">
        <v>6110</v>
      </c>
      <c r="B2986" s="787">
        <v>4</v>
      </c>
      <c r="C2986" s="787" t="s">
        <v>6108</v>
      </c>
      <c r="D2986" s="787">
        <v>2.12</v>
      </c>
      <c r="E2986" s="787">
        <v>2.12</v>
      </c>
      <c r="F2986" s="788">
        <v>41775</v>
      </c>
      <c r="G2986" s="788">
        <v>41775</v>
      </c>
      <c r="H2986" s="787">
        <v>1</v>
      </c>
      <c r="J2986" s="788">
        <v>41695</v>
      </c>
      <c r="K2986" s="788">
        <v>41670</v>
      </c>
      <c r="L2986" s="787">
        <v>1.72</v>
      </c>
      <c r="M2986" s="787">
        <v>10</v>
      </c>
      <c r="N2986" s="787">
        <v>1.72</v>
      </c>
      <c r="O2986" s="788">
        <v>42082</v>
      </c>
    </row>
    <row r="2987" spans="1:15" x14ac:dyDescent="0.25">
      <c r="A2987" s="786" t="s">
        <v>6111</v>
      </c>
      <c r="B2987" s="787">
        <v>4</v>
      </c>
      <c r="C2987" s="787" t="s">
        <v>6108</v>
      </c>
      <c r="D2987" s="787">
        <v>0</v>
      </c>
      <c r="E2987" s="787">
        <v>0</v>
      </c>
      <c r="H2987" s="787">
        <v>1</v>
      </c>
      <c r="K2987" s="788">
        <v>41670</v>
      </c>
      <c r="L2987" s="787">
        <v>177.87</v>
      </c>
      <c r="M2987" s="787">
        <v>10</v>
      </c>
      <c r="N2987" s="787">
        <v>177.63</v>
      </c>
      <c r="O2987" s="788">
        <v>42082</v>
      </c>
    </row>
    <row r="2988" spans="1:15" x14ac:dyDescent="0.25">
      <c r="A2988" s="786" t="s">
        <v>6112</v>
      </c>
      <c r="B2988" s="787">
        <v>4</v>
      </c>
      <c r="C2988" s="787" t="s">
        <v>6113</v>
      </c>
      <c r="D2988" s="787">
        <v>3.86</v>
      </c>
      <c r="E2988" s="787">
        <v>183.86</v>
      </c>
      <c r="F2988" s="788">
        <v>42150</v>
      </c>
      <c r="G2988" s="788">
        <v>42150</v>
      </c>
      <c r="H2988" s="787">
        <v>1</v>
      </c>
      <c r="I2988" s="788">
        <v>42118</v>
      </c>
      <c r="J2988" s="788">
        <v>42118</v>
      </c>
      <c r="K2988" s="788">
        <v>41670</v>
      </c>
      <c r="L2988" s="787">
        <v>181.15</v>
      </c>
      <c r="M2988" s="787">
        <v>10</v>
      </c>
      <c r="N2988" s="787">
        <v>181.51</v>
      </c>
      <c r="O2988" s="788">
        <v>42082</v>
      </c>
    </row>
    <row r="2989" spans="1:15" x14ac:dyDescent="0.25">
      <c r="A2989" s="786" t="s">
        <v>6114</v>
      </c>
      <c r="B2989" s="787">
        <v>4</v>
      </c>
      <c r="C2989" s="787" t="s">
        <v>6115</v>
      </c>
      <c r="D2989" s="787">
        <v>8</v>
      </c>
      <c r="E2989" s="787">
        <v>183.86</v>
      </c>
      <c r="F2989" s="788">
        <v>42065</v>
      </c>
      <c r="G2989" s="788">
        <v>42152</v>
      </c>
      <c r="H2989" s="787">
        <v>1</v>
      </c>
      <c r="I2989" s="788">
        <v>42152</v>
      </c>
      <c r="J2989" s="788">
        <v>42152</v>
      </c>
      <c r="K2989" s="788">
        <v>41670</v>
      </c>
      <c r="L2989" s="787">
        <v>181.15</v>
      </c>
      <c r="M2989" s="787">
        <v>10</v>
      </c>
      <c r="N2989" s="787">
        <v>181.51</v>
      </c>
      <c r="O2989" s="788">
        <v>42082</v>
      </c>
    </row>
    <row r="2990" spans="1:15" x14ac:dyDescent="0.25">
      <c r="A2990" s="786" t="s">
        <v>6116</v>
      </c>
      <c r="B2990" s="787">
        <v>4</v>
      </c>
      <c r="C2990" s="787" t="s">
        <v>6108</v>
      </c>
      <c r="D2990" s="787">
        <v>1.63</v>
      </c>
      <c r="E2990" s="787">
        <v>1.63</v>
      </c>
      <c r="F2990" s="788">
        <v>41886</v>
      </c>
      <c r="G2990" s="788">
        <v>42146</v>
      </c>
      <c r="H2990" s="787">
        <v>1</v>
      </c>
      <c r="I2990" s="788">
        <v>42152</v>
      </c>
      <c r="J2990" s="788">
        <v>42164</v>
      </c>
      <c r="K2990" s="788">
        <v>41670</v>
      </c>
      <c r="L2990" s="787">
        <v>3.81</v>
      </c>
      <c r="M2990" s="787">
        <v>10</v>
      </c>
      <c r="N2990" s="787">
        <v>3.8</v>
      </c>
      <c r="O2990" s="788">
        <v>41955</v>
      </c>
    </row>
    <row r="2991" spans="1:15" x14ac:dyDescent="0.25">
      <c r="A2991" s="786" t="s">
        <v>6117</v>
      </c>
      <c r="B2991" s="787">
        <v>4</v>
      </c>
      <c r="C2991" s="787" t="s">
        <v>6118</v>
      </c>
      <c r="D2991" s="787">
        <v>0</v>
      </c>
      <c r="E2991" s="787">
        <v>0</v>
      </c>
      <c r="H2991" s="787">
        <v>1</v>
      </c>
      <c r="K2991" s="788">
        <v>41698</v>
      </c>
      <c r="L2991" s="787">
        <v>2.77</v>
      </c>
      <c r="M2991" s="787">
        <v>10</v>
      </c>
      <c r="N2991" s="787">
        <v>2.76</v>
      </c>
      <c r="O2991" s="788">
        <v>42082</v>
      </c>
    </row>
    <row r="2992" spans="1:15" x14ac:dyDescent="0.25">
      <c r="A2992" s="786" t="s">
        <v>6119</v>
      </c>
      <c r="B2992" s="787">
        <v>4</v>
      </c>
      <c r="C2992" s="787" t="s">
        <v>6120</v>
      </c>
      <c r="D2992" s="787">
        <v>0</v>
      </c>
      <c r="E2992" s="787">
        <v>0</v>
      </c>
      <c r="H2992" s="787">
        <v>1</v>
      </c>
      <c r="L2992" s="787">
        <v>1</v>
      </c>
      <c r="M2992" s="787">
        <v>20</v>
      </c>
      <c r="N2992" s="787">
        <v>1.08</v>
      </c>
      <c r="O2992" s="788">
        <v>42082</v>
      </c>
    </row>
    <row r="2993" spans="1:15" x14ac:dyDescent="0.25">
      <c r="A2993" s="786" t="s">
        <v>6121</v>
      </c>
      <c r="B2993" s="787">
        <v>4</v>
      </c>
      <c r="C2993" s="787" t="s">
        <v>6122</v>
      </c>
      <c r="D2993" s="787">
        <v>9.9</v>
      </c>
      <c r="E2993" s="787">
        <v>9.9</v>
      </c>
      <c r="F2993" s="788">
        <v>41789</v>
      </c>
      <c r="G2993" s="788">
        <v>41773</v>
      </c>
      <c r="H2993" s="787">
        <v>1</v>
      </c>
      <c r="J2993" s="788">
        <v>41773</v>
      </c>
      <c r="K2993" s="788">
        <v>41759</v>
      </c>
      <c r="L2993" s="787">
        <v>9.9</v>
      </c>
      <c r="M2993" s="787">
        <v>20</v>
      </c>
      <c r="N2993" s="787">
        <v>10.64</v>
      </c>
      <c r="O2993" s="788">
        <v>42082</v>
      </c>
    </row>
    <row r="2994" spans="1:15" x14ac:dyDescent="0.25">
      <c r="A2994" s="786" t="s">
        <v>6123</v>
      </c>
      <c r="B2994" s="787">
        <v>4</v>
      </c>
      <c r="C2994" s="787" t="s">
        <v>6124</v>
      </c>
      <c r="D2994" s="787">
        <v>0</v>
      </c>
      <c r="E2994" s="787">
        <v>0</v>
      </c>
      <c r="H2994" s="787">
        <v>1</v>
      </c>
      <c r="K2994" s="788">
        <v>41729</v>
      </c>
      <c r="L2994" s="787">
        <v>6.46</v>
      </c>
      <c r="M2994" s="787">
        <v>10</v>
      </c>
      <c r="N2994" s="787">
        <v>6.26</v>
      </c>
      <c r="O2994" s="788">
        <v>42082</v>
      </c>
    </row>
    <row r="2995" spans="1:15" x14ac:dyDescent="0.25">
      <c r="A2995" s="786" t="s">
        <v>6125</v>
      </c>
      <c r="B2995" s="787">
        <v>4</v>
      </c>
      <c r="C2995" s="787" t="s">
        <v>6126</v>
      </c>
      <c r="D2995" s="787">
        <v>0</v>
      </c>
      <c r="E2995" s="787">
        <v>0</v>
      </c>
      <c r="H2995" s="787">
        <v>1</v>
      </c>
      <c r="K2995" s="788">
        <v>41729</v>
      </c>
      <c r="L2995" s="787">
        <v>15.68</v>
      </c>
      <c r="M2995" s="787">
        <v>10</v>
      </c>
      <c r="N2995" s="787">
        <v>15.28</v>
      </c>
      <c r="O2995" s="788">
        <v>42082</v>
      </c>
    </row>
    <row r="2996" spans="1:15" x14ac:dyDescent="0.25">
      <c r="A2996" s="786" t="s">
        <v>6127</v>
      </c>
      <c r="B2996" s="787">
        <v>4</v>
      </c>
      <c r="C2996" s="787" t="s">
        <v>6128</v>
      </c>
      <c r="D2996" s="787">
        <v>0</v>
      </c>
      <c r="E2996" s="787">
        <v>0</v>
      </c>
      <c r="H2996" s="787">
        <v>1</v>
      </c>
      <c r="K2996" s="788">
        <v>41729</v>
      </c>
      <c r="L2996" s="787">
        <v>10.039999999999999</v>
      </c>
      <c r="M2996" s="787">
        <v>10</v>
      </c>
      <c r="N2996" s="787">
        <v>9.7100000000000009</v>
      </c>
      <c r="O2996" s="788">
        <v>42082</v>
      </c>
    </row>
    <row r="2997" spans="1:15" x14ac:dyDescent="0.25">
      <c r="A2997" s="786" t="s">
        <v>6129</v>
      </c>
      <c r="B2997" s="787">
        <v>4</v>
      </c>
      <c r="C2997" s="787" t="s">
        <v>6130</v>
      </c>
      <c r="D2997" s="787">
        <v>0</v>
      </c>
      <c r="E2997" s="787">
        <v>0</v>
      </c>
      <c r="H2997" s="787">
        <v>1</v>
      </c>
      <c r="K2997" s="788">
        <v>41729</v>
      </c>
      <c r="L2997" s="787">
        <v>8.7100000000000009</v>
      </c>
      <c r="M2997" s="787">
        <v>10</v>
      </c>
      <c r="N2997" s="787">
        <v>8.4499999999999993</v>
      </c>
      <c r="O2997" s="788">
        <v>42082</v>
      </c>
    </row>
    <row r="2998" spans="1:15" x14ac:dyDescent="0.25">
      <c r="A2998" s="786" t="s">
        <v>6131</v>
      </c>
      <c r="B2998" s="787">
        <v>4</v>
      </c>
      <c r="C2998" s="787" t="s">
        <v>6130</v>
      </c>
      <c r="D2998" s="787">
        <v>0</v>
      </c>
      <c r="E2998" s="787">
        <v>0</v>
      </c>
      <c r="H2998" s="787">
        <v>1</v>
      </c>
      <c r="K2998" s="788">
        <v>41729</v>
      </c>
      <c r="L2998" s="787">
        <v>8.7100000000000009</v>
      </c>
      <c r="M2998" s="787">
        <v>10</v>
      </c>
      <c r="N2998" s="787">
        <v>8.4499999999999993</v>
      </c>
      <c r="O2998" s="788">
        <v>42082</v>
      </c>
    </row>
    <row r="2999" spans="1:15" x14ac:dyDescent="0.25">
      <c r="A2999" s="786" t="s">
        <v>6132</v>
      </c>
      <c r="B2999" s="787">
        <v>4</v>
      </c>
      <c r="C2999" s="787" t="s">
        <v>6130</v>
      </c>
      <c r="D2999" s="787">
        <v>0</v>
      </c>
      <c r="E2999" s="787">
        <v>0</v>
      </c>
      <c r="H2999" s="787">
        <v>1</v>
      </c>
      <c r="K2999" s="788">
        <v>41729</v>
      </c>
      <c r="L2999" s="787">
        <v>5.51</v>
      </c>
      <c r="M2999" s="787">
        <v>10</v>
      </c>
      <c r="N2999" s="787">
        <v>5.43</v>
      </c>
      <c r="O2999" s="788">
        <v>42082</v>
      </c>
    </row>
    <row r="3000" spans="1:15" x14ac:dyDescent="0.25">
      <c r="A3000" s="786" t="s">
        <v>6133</v>
      </c>
      <c r="B3000" s="787">
        <v>4</v>
      </c>
      <c r="C3000" s="787" t="s">
        <v>6134</v>
      </c>
      <c r="D3000" s="787">
        <v>0</v>
      </c>
      <c r="E3000" s="787">
        <v>0</v>
      </c>
      <c r="H3000" s="787">
        <v>1</v>
      </c>
      <c r="K3000" s="788">
        <v>41729</v>
      </c>
      <c r="L3000" s="787">
        <v>2.12</v>
      </c>
      <c r="M3000" s="787">
        <v>10</v>
      </c>
      <c r="N3000" s="787">
        <v>2.12</v>
      </c>
      <c r="O3000" s="788">
        <v>42082</v>
      </c>
    </row>
    <row r="3001" spans="1:15" x14ac:dyDescent="0.25">
      <c r="A3001" s="786" t="s">
        <v>6135</v>
      </c>
      <c r="B3001" s="787">
        <v>4</v>
      </c>
      <c r="C3001" s="787" t="s">
        <v>6136</v>
      </c>
      <c r="D3001" s="787">
        <v>0</v>
      </c>
      <c r="E3001" s="787">
        <v>0</v>
      </c>
      <c r="H3001" s="787">
        <v>1</v>
      </c>
      <c r="K3001" s="788">
        <v>42128</v>
      </c>
      <c r="L3001" s="787">
        <v>2.27</v>
      </c>
      <c r="M3001" s="787">
        <v>10</v>
      </c>
      <c r="N3001" s="787">
        <v>2.27</v>
      </c>
      <c r="O3001" s="788">
        <v>42128</v>
      </c>
    </row>
    <row r="3002" spans="1:15" x14ac:dyDescent="0.25">
      <c r="A3002" s="786" t="s">
        <v>6137</v>
      </c>
      <c r="B3002" s="787">
        <v>4</v>
      </c>
      <c r="C3002" s="787" t="s">
        <v>6138</v>
      </c>
      <c r="D3002" s="787">
        <v>0</v>
      </c>
      <c r="E3002" s="787">
        <v>0</v>
      </c>
      <c r="H3002" s="787">
        <v>1</v>
      </c>
      <c r="K3002" s="788">
        <v>42128</v>
      </c>
      <c r="L3002" s="787">
        <v>7.77</v>
      </c>
      <c r="M3002" s="787">
        <v>10</v>
      </c>
      <c r="N3002" s="787">
        <v>7.77</v>
      </c>
      <c r="O3002" s="788">
        <v>42128</v>
      </c>
    </row>
    <row r="3003" spans="1:15" x14ac:dyDescent="0.25">
      <c r="A3003" s="786" t="s">
        <v>6139</v>
      </c>
      <c r="B3003" s="787">
        <v>4</v>
      </c>
      <c r="C3003" s="787" t="s">
        <v>6140</v>
      </c>
      <c r="D3003" s="787">
        <v>0</v>
      </c>
      <c r="E3003" s="787">
        <v>0</v>
      </c>
      <c r="H3003" s="787">
        <v>1</v>
      </c>
      <c r="K3003" s="788">
        <v>42119</v>
      </c>
      <c r="L3003" s="787">
        <v>0.96</v>
      </c>
      <c r="M3003" s="787">
        <v>10</v>
      </c>
      <c r="N3003" s="787">
        <v>0.96</v>
      </c>
      <c r="O3003" s="788">
        <v>42119</v>
      </c>
    </row>
    <row r="3004" spans="1:15" x14ac:dyDescent="0.25">
      <c r="A3004" s="786" t="s">
        <v>6141</v>
      </c>
      <c r="B3004" s="787">
        <v>4</v>
      </c>
      <c r="C3004" s="787" t="s">
        <v>6142</v>
      </c>
      <c r="D3004" s="787">
        <v>0</v>
      </c>
      <c r="E3004" s="787">
        <v>0</v>
      </c>
      <c r="H3004" s="787">
        <v>1</v>
      </c>
      <c r="K3004" s="788">
        <v>42119</v>
      </c>
      <c r="L3004" s="787">
        <v>1.01</v>
      </c>
      <c r="M3004" s="787">
        <v>10</v>
      </c>
      <c r="N3004" s="787">
        <v>1.01</v>
      </c>
      <c r="O3004" s="788">
        <v>42119</v>
      </c>
    </row>
    <row r="3005" spans="1:15" x14ac:dyDescent="0.25">
      <c r="A3005" s="786" t="s">
        <v>6143</v>
      </c>
      <c r="B3005" s="787">
        <v>4</v>
      </c>
      <c r="C3005" s="787" t="s">
        <v>6144</v>
      </c>
      <c r="D3005" s="787">
        <v>0</v>
      </c>
      <c r="E3005" s="787">
        <v>0</v>
      </c>
      <c r="H3005" s="787">
        <v>1</v>
      </c>
      <c r="K3005" s="788">
        <v>41989</v>
      </c>
      <c r="L3005" s="787">
        <v>5.4</v>
      </c>
      <c r="M3005" s="787">
        <v>10</v>
      </c>
      <c r="N3005" s="787">
        <v>5.4</v>
      </c>
      <c r="O3005" s="788">
        <v>42082</v>
      </c>
    </row>
    <row r="3006" spans="1:15" x14ac:dyDescent="0.25">
      <c r="A3006" s="786" t="s">
        <v>6145</v>
      </c>
      <c r="B3006" s="787">
        <v>4</v>
      </c>
      <c r="C3006" s="787" t="s">
        <v>6146</v>
      </c>
      <c r="D3006" s="787">
        <v>0</v>
      </c>
      <c r="E3006" s="787">
        <v>0</v>
      </c>
      <c r="H3006" s="787">
        <v>1</v>
      </c>
      <c r="K3006" s="788">
        <v>41989</v>
      </c>
      <c r="L3006" s="787">
        <v>8.02</v>
      </c>
      <c r="M3006" s="787">
        <v>10</v>
      </c>
      <c r="N3006" s="787">
        <v>8.02</v>
      </c>
      <c r="O3006" s="788">
        <v>42082</v>
      </c>
    </row>
    <row r="3007" spans="1:15" x14ac:dyDescent="0.25">
      <c r="A3007" s="786" t="s">
        <v>6147</v>
      </c>
      <c r="B3007" s="787">
        <v>4</v>
      </c>
      <c r="C3007" s="787" t="s">
        <v>6148</v>
      </c>
      <c r="D3007" s="787">
        <v>0</v>
      </c>
      <c r="E3007" s="787">
        <v>0</v>
      </c>
      <c r="H3007" s="787">
        <v>1</v>
      </c>
      <c r="K3007" s="788">
        <v>41989</v>
      </c>
      <c r="L3007" s="787">
        <v>8.02</v>
      </c>
      <c r="M3007" s="787">
        <v>10</v>
      </c>
      <c r="N3007" s="787">
        <v>8.02</v>
      </c>
      <c r="O3007" s="788">
        <v>42082</v>
      </c>
    </row>
    <row r="3008" spans="1:15" x14ac:dyDescent="0.25">
      <c r="A3008" s="786" t="s">
        <v>6149</v>
      </c>
      <c r="B3008" s="787">
        <v>4</v>
      </c>
      <c r="C3008" s="787" t="s">
        <v>6150</v>
      </c>
      <c r="D3008" s="787">
        <v>0</v>
      </c>
      <c r="E3008" s="787">
        <v>0</v>
      </c>
      <c r="H3008" s="787">
        <v>1</v>
      </c>
      <c r="K3008" s="788">
        <v>41989</v>
      </c>
      <c r="L3008" s="787">
        <v>8.02</v>
      </c>
      <c r="M3008" s="787">
        <v>10</v>
      </c>
      <c r="N3008" s="787">
        <v>8.02</v>
      </c>
      <c r="O3008" s="788">
        <v>42082</v>
      </c>
    </row>
    <row r="3009" spans="1:15" x14ac:dyDescent="0.25">
      <c r="A3009" s="786" t="s">
        <v>6151</v>
      </c>
      <c r="B3009" s="787">
        <v>4</v>
      </c>
      <c r="C3009" s="787" t="s">
        <v>6152</v>
      </c>
      <c r="D3009" s="787">
        <v>0</v>
      </c>
      <c r="E3009" s="787">
        <v>0</v>
      </c>
      <c r="H3009" s="787">
        <v>1</v>
      </c>
      <c r="K3009" s="788">
        <v>42059</v>
      </c>
      <c r="L3009" s="787">
        <v>3.91</v>
      </c>
      <c r="M3009" s="787">
        <v>10</v>
      </c>
      <c r="N3009" s="787">
        <v>3.91</v>
      </c>
      <c r="O3009" s="788">
        <v>42082</v>
      </c>
    </row>
    <row r="3010" spans="1:15" x14ac:dyDescent="0.25">
      <c r="A3010" s="786" t="s">
        <v>6153</v>
      </c>
      <c r="B3010" s="787">
        <v>4</v>
      </c>
      <c r="C3010" s="787" t="s">
        <v>6154</v>
      </c>
      <c r="D3010" s="787">
        <v>0</v>
      </c>
      <c r="E3010" s="787">
        <v>0</v>
      </c>
      <c r="H3010" s="787">
        <v>1</v>
      </c>
      <c r="K3010" s="788">
        <v>42059</v>
      </c>
      <c r="L3010" s="787">
        <v>3.91</v>
      </c>
      <c r="M3010" s="787">
        <v>10</v>
      </c>
      <c r="N3010" s="787">
        <v>3.91</v>
      </c>
      <c r="O3010" s="788">
        <v>42082</v>
      </c>
    </row>
    <row r="3011" spans="1:15" x14ac:dyDescent="0.25">
      <c r="A3011" s="786" t="s">
        <v>6155</v>
      </c>
      <c r="B3011" s="787">
        <v>4</v>
      </c>
      <c r="C3011" s="787" t="s">
        <v>6156</v>
      </c>
      <c r="D3011" s="787">
        <v>0</v>
      </c>
      <c r="E3011" s="787">
        <v>0</v>
      </c>
      <c r="H3011" s="787">
        <v>1</v>
      </c>
      <c r="K3011" s="788">
        <v>42021</v>
      </c>
      <c r="L3011" s="787">
        <v>1.35</v>
      </c>
      <c r="M3011" s="787">
        <v>10</v>
      </c>
      <c r="N3011" s="787">
        <v>1.35</v>
      </c>
      <c r="O3011" s="788">
        <v>42082</v>
      </c>
    </row>
    <row r="3012" spans="1:15" x14ac:dyDescent="0.25">
      <c r="A3012" s="786" t="s">
        <v>6157</v>
      </c>
      <c r="B3012" s="787">
        <v>4</v>
      </c>
      <c r="C3012" s="787" t="s">
        <v>6158</v>
      </c>
      <c r="D3012" s="787">
        <v>0</v>
      </c>
      <c r="E3012" s="787">
        <v>0</v>
      </c>
      <c r="H3012" s="787">
        <v>1</v>
      </c>
      <c r="K3012" s="788">
        <v>42023</v>
      </c>
      <c r="L3012" s="787">
        <v>2.94</v>
      </c>
      <c r="M3012" s="787">
        <v>10</v>
      </c>
      <c r="N3012" s="787">
        <v>2.94</v>
      </c>
      <c r="O3012" s="788">
        <v>42082</v>
      </c>
    </row>
    <row r="3013" spans="1:15" x14ac:dyDescent="0.25">
      <c r="A3013" s="786" t="s">
        <v>6159</v>
      </c>
      <c r="B3013" s="787">
        <v>4</v>
      </c>
      <c r="C3013" s="787" t="s">
        <v>6160</v>
      </c>
      <c r="D3013" s="787">
        <v>0</v>
      </c>
      <c r="E3013" s="787">
        <v>0</v>
      </c>
      <c r="H3013" s="787">
        <v>1</v>
      </c>
      <c r="K3013" s="788">
        <v>42023</v>
      </c>
      <c r="L3013" s="787">
        <v>3.18</v>
      </c>
      <c r="M3013" s="787">
        <v>10</v>
      </c>
      <c r="N3013" s="787">
        <v>3.18</v>
      </c>
      <c r="O3013" s="788">
        <v>42082</v>
      </c>
    </row>
    <row r="3014" spans="1:15" x14ac:dyDescent="0.25">
      <c r="A3014" s="786" t="s">
        <v>6161</v>
      </c>
      <c r="B3014" s="787">
        <v>4</v>
      </c>
      <c r="C3014" s="787" t="s">
        <v>6162</v>
      </c>
      <c r="D3014" s="787">
        <v>5.62</v>
      </c>
      <c r="E3014" s="787">
        <v>5.62</v>
      </c>
      <c r="F3014" s="788">
        <v>42051</v>
      </c>
      <c r="G3014" s="788">
        <v>42051</v>
      </c>
      <c r="H3014" s="787">
        <v>1</v>
      </c>
      <c r="J3014" s="788">
        <v>42016</v>
      </c>
      <c r="K3014" s="788">
        <v>41977</v>
      </c>
      <c r="L3014" s="787">
        <v>3.12</v>
      </c>
      <c r="M3014" s="787">
        <v>10</v>
      </c>
      <c r="N3014" s="787">
        <v>3.12</v>
      </c>
      <c r="O3014" s="788">
        <v>42082</v>
      </c>
    </row>
    <row r="3015" spans="1:15" x14ac:dyDescent="0.25">
      <c r="A3015" s="786" t="s">
        <v>6163</v>
      </c>
      <c r="B3015" s="787">
        <v>4</v>
      </c>
      <c r="C3015" s="787" t="s">
        <v>6162</v>
      </c>
      <c r="D3015" s="787">
        <v>4.59</v>
      </c>
      <c r="E3015" s="787">
        <v>4.59</v>
      </c>
      <c r="F3015" s="788">
        <v>42051</v>
      </c>
      <c r="G3015" s="788">
        <v>42051</v>
      </c>
      <c r="H3015" s="787">
        <v>1</v>
      </c>
      <c r="J3015" s="788">
        <v>42016</v>
      </c>
      <c r="K3015" s="788">
        <v>41977</v>
      </c>
      <c r="L3015" s="787">
        <v>3.98</v>
      </c>
      <c r="M3015" s="787">
        <v>10</v>
      </c>
      <c r="N3015" s="787">
        <v>3.98</v>
      </c>
      <c r="O3015" s="788">
        <v>42082</v>
      </c>
    </row>
    <row r="3016" spans="1:15" x14ac:dyDescent="0.25">
      <c r="A3016" s="786" t="s">
        <v>6164</v>
      </c>
      <c r="B3016" s="787">
        <v>4</v>
      </c>
      <c r="C3016" s="787" t="s">
        <v>6165</v>
      </c>
      <c r="D3016" s="787">
        <v>1.33</v>
      </c>
      <c r="E3016" s="787">
        <v>1.33</v>
      </c>
      <c r="F3016" s="788">
        <v>42051</v>
      </c>
      <c r="G3016" s="788">
        <v>42051</v>
      </c>
      <c r="H3016" s="787">
        <v>1</v>
      </c>
      <c r="J3016" s="788">
        <v>42016</v>
      </c>
      <c r="K3016" s="788">
        <v>41977</v>
      </c>
      <c r="L3016" s="787">
        <v>1.58</v>
      </c>
      <c r="M3016" s="787">
        <v>10</v>
      </c>
      <c r="N3016" s="787">
        <v>1.58</v>
      </c>
      <c r="O3016" s="788">
        <v>42082</v>
      </c>
    </row>
    <row r="3017" spans="1:15" x14ac:dyDescent="0.25">
      <c r="A3017" s="786" t="s">
        <v>6166</v>
      </c>
      <c r="B3017" s="787">
        <v>4</v>
      </c>
      <c r="C3017" s="787" t="s">
        <v>6167</v>
      </c>
      <c r="D3017" s="787">
        <v>0</v>
      </c>
      <c r="E3017" s="787">
        <v>0</v>
      </c>
      <c r="H3017" s="787">
        <v>1</v>
      </c>
      <c r="K3017" s="788">
        <v>42060</v>
      </c>
      <c r="L3017" s="787">
        <v>14.94</v>
      </c>
      <c r="M3017" s="787">
        <v>10</v>
      </c>
      <c r="N3017" s="787">
        <v>14.94</v>
      </c>
      <c r="O3017" s="788">
        <v>42082</v>
      </c>
    </row>
    <row r="3018" spans="1:15" x14ac:dyDescent="0.25">
      <c r="A3018" s="786" t="s">
        <v>6168</v>
      </c>
      <c r="B3018" s="787">
        <v>4</v>
      </c>
      <c r="C3018" s="787" t="s">
        <v>6169</v>
      </c>
      <c r="D3018" s="787">
        <v>0</v>
      </c>
      <c r="E3018" s="787">
        <v>0</v>
      </c>
      <c r="H3018" s="787">
        <v>1</v>
      </c>
      <c r="K3018" s="788">
        <v>42059</v>
      </c>
      <c r="L3018" s="787">
        <v>1.41</v>
      </c>
      <c r="M3018" s="787">
        <v>10</v>
      </c>
      <c r="N3018" s="787">
        <v>1.41</v>
      </c>
      <c r="O3018" s="788">
        <v>42082</v>
      </c>
    </row>
    <row r="3019" spans="1:15" x14ac:dyDescent="0.25">
      <c r="A3019" s="786" t="s">
        <v>6170</v>
      </c>
      <c r="B3019" s="787">
        <v>4</v>
      </c>
      <c r="C3019" s="787" t="s">
        <v>6171</v>
      </c>
      <c r="D3019" s="787">
        <v>0</v>
      </c>
      <c r="E3019" s="787">
        <v>0</v>
      </c>
      <c r="H3019" s="787">
        <v>1</v>
      </c>
      <c r="K3019" s="788">
        <v>41977</v>
      </c>
      <c r="L3019" s="787">
        <v>4.79</v>
      </c>
      <c r="M3019" s="787">
        <v>10</v>
      </c>
      <c r="N3019" s="787">
        <v>4.79</v>
      </c>
      <c r="O3019" s="788">
        <v>42082</v>
      </c>
    </row>
    <row r="3020" spans="1:15" x14ac:dyDescent="0.25">
      <c r="A3020" s="786" t="s">
        <v>6172</v>
      </c>
      <c r="B3020" s="787">
        <v>4</v>
      </c>
      <c r="C3020" s="787" t="s">
        <v>6173</v>
      </c>
      <c r="D3020" s="787">
        <v>0</v>
      </c>
      <c r="E3020" s="787">
        <v>0</v>
      </c>
      <c r="H3020" s="787">
        <v>1</v>
      </c>
      <c r="K3020" s="788">
        <v>42023</v>
      </c>
      <c r="L3020" s="787">
        <v>3.18</v>
      </c>
      <c r="M3020" s="787">
        <v>10</v>
      </c>
      <c r="N3020" s="787">
        <v>3.18</v>
      </c>
      <c r="O3020" s="788">
        <v>42082</v>
      </c>
    </row>
    <row r="3021" spans="1:15" x14ac:dyDescent="0.25">
      <c r="A3021" s="786" t="s">
        <v>6174</v>
      </c>
      <c r="B3021" s="787">
        <v>4</v>
      </c>
      <c r="C3021" s="787" t="s">
        <v>6175</v>
      </c>
      <c r="D3021" s="787">
        <v>0</v>
      </c>
      <c r="E3021" s="787">
        <v>0</v>
      </c>
      <c r="H3021" s="787">
        <v>1</v>
      </c>
      <c r="K3021" s="788">
        <v>41971</v>
      </c>
      <c r="L3021" s="787">
        <v>2.09</v>
      </c>
      <c r="M3021" s="787">
        <v>10</v>
      </c>
      <c r="N3021" s="787">
        <v>2.09</v>
      </c>
      <c r="O3021" s="788">
        <v>42082</v>
      </c>
    </row>
    <row r="3022" spans="1:15" x14ac:dyDescent="0.25">
      <c r="A3022" s="786" t="s">
        <v>6176</v>
      </c>
      <c r="B3022" s="787">
        <v>4</v>
      </c>
      <c r="C3022" s="787" t="s">
        <v>6177</v>
      </c>
      <c r="D3022" s="787">
        <v>0</v>
      </c>
      <c r="E3022" s="787">
        <v>0</v>
      </c>
      <c r="H3022" s="787">
        <v>1</v>
      </c>
      <c r="K3022" s="788">
        <v>41971</v>
      </c>
      <c r="L3022" s="787">
        <v>6.13</v>
      </c>
      <c r="M3022" s="787">
        <v>10</v>
      </c>
      <c r="N3022" s="787">
        <v>6.13</v>
      </c>
      <c r="O3022" s="788">
        <v>42082</v>
      </c>
    </row>
    <row r="3023" spans="1:15" x14ac:dyDescent="0.25">
      <c r="A3023" s="786" t="s">
        <v>6178</v>
      </c>
      <c r="B3023" s="787">
        <v>4</v>
      </c>
      <c r="C3023" s="787" t="s">
        <v>6179</v>
      </c>
      <c r="D3023" s="787">
        <v>0</v>
      </c>
      <c r="E3023" s="787">
        <v>0</v>
      </c>
      <c r="H3023" s="787">
        <v>1</v>
      </c>
      <c r="K3023" s="788">
        <v>42021</v>
      </c>
      <c r="L3023" s="787">
        <v>3.74</v>
      </c>
      <c r="M3023" s="787">
        <v>10</v>
      </c>
      <c r="N3023" s="787">
        <v>3.74</v>
      </c>
      <c r="O3023" s="788">
        <v>42082</v>
      </c>
    </row>
    <row r="3024" spans="1:15" x14ac:dyDescent="0.25">
      <c r="A3024" s="786" t="s">
        <v>6180</v>
      </c>
      <c r="B3024" s="787">
        <v>4</v>
      </c>
      <c r="C3024" s="787" t="s">
        <v>6181</v>
      </c>
      <c r="D3024" s="787">
        <v>0</v>
      </c>
      <c r="E3024" s="787">
        <v>0</v>
      </c>
      <c r="H3024" s="787">
        <v>1</v>
      </c>
      <c r="K3024" s="788">
        <v>41955</v>
      </c>
      <c r="L3024" s="787">
        <v>27.59</v>
      </c>
      <c r="M3024" s="787">
        <v>10</v>
      </c>
      <c r="N3024" s="787">
        <v>27.59</v>
      </c>
      <c r="O3024" s="788">
        <v>42082</v>
      </c>
    </row>
    <row r="3025" spans="1:15" x14ac:dyDescent="0.25">
      <c r="A3025" s="786" t="s">
        <v>6182</v>
      </c>
      <c r="B3025" s="787">
        <v>4</v>
      </c>
      <c r="C3025" s="787" t="s">
        <v>6183</v>
      </c>
      <c r="D3025" s="787">
        <v>0</v>
      </c>
      <c r="E3025" s="787">
        <v>0</v>
      </c>
      <c r="H3025" s="787">
        <v>1</v>
      </c>
      <c r="K3025" s="788">
        <v>41955</v>
      </c>
      <c r="L3025" s="787">
        <v>27.59</v>
      </c>
      <c r="M3025" s="787">
        <v>10</v>
      </c>
      <c r="N3025" s="787">
        <v>27.59</v>
      </c>
      <c r="O3025" s="788">
        <v>42082</v>
      </c>
    </row>
    <row r="3026" spans="1:15" x14ac:dyDescent="0.25">
      <c r="A3026" s="786" t="s">
        <v>6184</v>
      </c>
      <c r="B3026" s="787">
        <v>4</v>
      </c>
      <c r="C3026" s="787" t="s">
        <v>6185</v>
      </c>
      <c r="D3026" s="787">
        <v>1.27</v>
      </c>
      <c r="E3026" s="787">
        <v>36.590000000000003</v>
      </c>
      <c r="F3026" s="788">
        <v>42017</v>
      </c>
      <c r="G3026" s="788">
        <v>42165</v>
      </c>
      <c r="H3026" s="787">
        <v>1</v>
      </c>
      <c r="I3026" s="788">
        <v>42160</v>
      </c>
      <c r="J3026" s="788">
        <v>42132</v>
      </c>
      <c r="K3026" s="788">
        <v>41961</v>
      </c>
      <c r="L3026" s="787">
        <v>31.03</v>
      </c>
      <c r="M3026" s="787">
        <v>10</v>
      </c>
      <c r="N3026" s="787">
        <v>31.78</v>
      </c>
      <c r="O3026" s="788">
        <v>42082</v>
      </c>
    </row>
    <row r="3027" spans="1:15" x14ac:dyDescent="0.25">
      <c r="A3027" s="786" t="s">
        <v>6186</v>
      </c>
      <c r="B3027" s="787">
        <v>4</v>
      </c>
      <c r="C3027" s="787" t="s">
        <v>6187</v>
      </c>
      <c r="D3027" s="787">
        <v>0</v>
      </c>
      <c r="E3027" s="787">
        <v>0</v>
      </c>
      <c r="H3027" s="787">
        <v>1</v>
      </c>
      <c r="K3027" s="788">
        <v>42060</v>
      </c>
      <c r="L3027" s="787">
        <v>15.35</v>
      </c>
      <c r="M3027" s="787">
        <v>10</v>
      </c>
      <c r="N3027" s="787">
        <v>15.35</v>
      </c>
      <c r="O3027" s="788">
        <v>42082</v>
      </c>
    </row>
    <row r="3028" spans="1:15" x14ac:dyDescent="0.25">
      <c r="A3028" s="786" t="s">
        <v>6188</v>
      </c>
      <c r="B3028" s="787">
        <v>4</v>
      </c>
      <c r="C3028" s="787" t="s">
        <v>6189</v>
      </c>
      <c r="D3028" s="787">
        <v>0</v>
      </c>
      <c r="E3028" s="787">
        <v>0</v>
      </c>
      <c r="H3028" s="787">
        <v>1</v>
      </c>
      <c r="K3028" s="788">
        <v>42164</v>
      </c>
      <c r="L3028" s="787">
        <v>8.64</v>
      </c>
      <c r="M3028" s="787">
        <v>10</v>
      </c>
      <c r="N3028" s="787">
        <v>8.64</v>
      </c>
      <c r="O3028" s="788">
        <v>42164</v>
      </c>
    </row>
    <row r="3029" spans="1:15" x14ac:dyDescent="0.25">
      <c r="A3029" s="786" t="s">
        <v>6190</v>
      </c>
      <c r="B3029" s="787">
        <v>4</v>
      </c>
      <c r="C3029" s="787" t="s">
        <v>6191</v>
      </c>
      <c r="D3029" s="787">
        <v>0</v>
      </c>
      <c r="E3029" s="787">
        <v>0</v>
      </c>
      <c r="H3029" s="787">
        <v>1</v>
      </c>
      <c r="K3029" s="788">
        <v>42164</v>
      </c>
      <c r="L3029" s="787">
        <v>21.76</v>
      </c>
      <c r="M3029" s="787">
        <v>10</v>
      </c>
      <c r="N3029" s="787">
        <v>21.76</v>
      </c>
      <c r="O3029" s="788">
        <v>42164</v>
      </c>
    </row>
    <row r="3030" spans="1:15" x14ac:dyDescent="0.25">
      <c r="A3030" s="786" t="s">
        <v>6192</v>
      </c>
      <c r="B3030" s="787">
        <v>4</v>
      </c>
      <c r="C3030" s="787" t="s">
        <v>6193</v>
      </c>
      <c r="D3030" s="787">
        <v>0</v>
      </c>
      <c r="E3030" s="787">
        <v>0</v>
      </c>
      <c r="H3030" s="787">
        <v>1</v>
      </c>
      <c r="I3030" s="788">
        <v>40833</v>
      </c>
      <c r="J3030" s="788">
        <v>39101</v>
      </c>
      <c r="L3030" s="787">
        <v>0</v>
      </c>
      <c r="M3030" s="787">
        <v>10</v>
      </c>
      <c r="N3030" s="787">
        <v>4.0999999999999996</v>
      </c>
      <c r="O3030" s="788">
        <v>42082</v>
      </c>
    </row>
    <row r="3031" spans="1:15" x14ac:dyDescent="0.25">
      <c r="A3031" s="786" t="s">
        <v>6194</v>
      </c>
      <c r="B3031" s="787">
        <v>4</v>
      </c>
      <c r="C3031" s="787" t="s">
        <v>6195</v>
      </c>
      <c r="D3031" s="787">
        <v>0</v>
      </c>
      <c r="E3031" s="787">
        <v>0</v>
      </c>
      <c r="H3031" s="787">
        <v>1</v>
      </c>
      <c r="I3031" s="788">
        <v>41477</v>
      </c>
      <c r="J3031" s="788">
        <v>39101</v>
      </c>
      <c r="L3031" s="787">
        <v>0</v>
      </c>
      <c r="M3031" s="787">
        <v>10</v>
      </c>
      <c r="N3031" s="787">
        <v>4.47</v>
      </c>
      <c r="O3031" s="788">
        <v>42082</v>
      </c>
    </row>
    <row r="3032" spans="1:15" x14ac:dyDescent="0.25">
      <c r="A3032" s="786" t="s">
        <v>6196</v>
      </c>
      <c r="B3032" s="787">
        <v>4</v>
      </c>
      <c r="C3032" s="787" t="s">
        <v>6197</v>
      </c>
      <c r="D3032" s="787">
        <v>0</v>
      </c>
      <c r="E3032" s="787">
        <v>0</v>
      </c>
      <c r="H3032" s="787">
        <v>1</v>
      </c>
      <c r="I3032" s="788">
        <v>39888</v>
      </c>
      <c r="J3032" s="788">
        <v>39101</v>
      </c>
      <c r="L3032" s="787">
        <v>0</v>
      </c>
      <c r="M3032" s="787">
        <v>10</v>
      </c>
      <c r="N3032" s="787">
        <v>4.5599999999999996</v>
      </c>
      <c r="O3032" s="788">
        <v>42082</v>
      </c>
    </row>
    <row r="3033" spans="1:15" x14ac:dyDescent="0.25">
      <c r="A3033" s="786" t="s">
        <v>6198</v>
      </c>
      <c r="B3033" s="787">
        <v>4</v>
      </c>
      <c r="C3033" s="787" t="s">
        <v>6199</v>
      </c>
      <c r="D3033" s="787">
        <v>0</v>
      </c>
      <c r="E3033" s="787">
        <v>0</v>
      </c>
      <c r="H3033" s="787">
        <v>1</v>
      </c>
      <c r="I3033" s="788">
        <v>41207</v>
      </c>
      <c r="J3033" s="788">
        <v>39101</v>
      </c>
      <c r="L3033" s="787">
        <v>0</v>
      </c>
      <c r="M3033" s="787">
        <v>10</v>
      </c>
      <c r="N3033" s="787">
        <v>4.84</v>
      </c>
      <c r="O3033" s="788">
        <v>42082</v>
      </c>
    </row>
    <row r="3034" spans="1:15" x14ac:dyDescent="0.25">
      <c r="A3034" s="786" t="s">
        <v>6200</v>
      </c>
      <c r="B3034" s="787">
        <v>4</v>
      </c>
      <c r="C3034" s="787" t="s">
        <v>6201</v>
      </c>
      <c r="D3034" s="787">
        <v>0</v>
      </c>
      <c r="E3034" s="787">
        <v>0</v>
      </c>
      <c r="H3034" s="787">
        <v>1</v>
      </c>
      <c r="I3034" s="788">
        <v>39990</v>
      </c>
      <c r="J3034" s="788">
        <v>39101</v>
      </c>
      <c r="L3034" s="787">
        <v>0</v>
      </c>
      <c r="M3034" s="787">
        <v>10</v>
      </c>
      <c r="N3034" s="787">
        <v>4.95</v>
      </c>
      <c r="O3034" s="788">
        <v>42082</v>
      </c>
    </row>
    <row r="3035" spans="1:15" x14ac:dyDescent="0.25">
      <c r="A3035" s="786" t="s">
        <v>6202</v>
      </c>
      <c r="B3035" s="787">
        <v>4</v>
      </c>
      <c r="C3035" s="787" t="s">
        <v>6203</v>
      </c>
      <c r="D3035" s="787">
        <v>0</v>
      </c>
      <c r="E3035" s="787">
        <v>0</v>
      </c>
      <c r="H3035" s="787">
        <v>1</v>
      </c>
      <c r="I3035" s="788">
        <v>40024</v>
      </c>
      <c r="J3035" s="788">
        <v>39457</v>
      </c>
      <c r="L3035" s="787">
        <v>0</v>
      </c>
      <c r="M3035" s="787">
        <v>10</v>
      </c>
      <c r="N3035" s="787">
        <v>5.27</v>
      </c>
      <c r="O3035" s="788">
        <v>42082</v>
      </c>
    </row>
    <row r="3036" spans="1:15" x14ac:dyDescent="0.25">
      <c r="A3036" s="786" t="s">
        <v>6204</v>
      </c>
      <c r="B3036" s="787">
        <v>4</v>
      </c>
      <c r="C3036" s="787" t="s">
        <v>6205</v>
      </c>
      <c r="D3036" s="787">
        <v>0</v>
      </c>
      <c r="E3036" s="787">
        <v>0</v>
      </c>
      <c r="H3036" s="787">
        <v>1</v>
      </c>
      <c r="I3036" s="788">
        <v>39888</v>
      </c>
      <c r="J3036" s="788">
        <v>39101</v>
      </c>
      <c r="L3036" s="787">
        <v>0</v>
      </c>
      <c r="M3036" s="787">
        <v>10</v>
      </c>
      <c r="N3036" s="787">
        <v>5.48</v>
      </c>
      <c r="O3036" s="788">
        <v>42082</v>
      </c>
    </row>
    <row r="3037" spans="1:15" x14ac:dyDescent="0.25">
      <c r="A3037" s="786" t="s">
        <v>6206</v>
      </c>
      <c r="B3037" s="787">
        <v>4</v>
      </c>
      <c r="C3037" s="787" t="s">
        <v>6207</v>
      </c>
      <c r="D3037" s="787">
        <v>0</v>
      </c>
      <c r="E3037" s="787">
        <v>0</v>
      </c>
      <c r="H3037" s="787">
        <v>1</v>
      </c>
      <c r="I3037" s="788">
        <v>41127</v>
      </c>
      <c r="J3037" s="788">
        <v>39101</v>
      </c>
      <c r="L3037" s="787">
        <v>0</v>
      </c>
      <c r="M3037" s="787">
        <v>10</v>
      </c>
      <c r="N3037" s="787">
        <v>5.8</v>
      </c>
      <c r="O3037" s="788">
        <v>42082</v>
      </c>
    </row>
    <row r="3038" spans="1:15" x14ac:dyDescent="0.25">
      <c r="A3038" s="786" t="s">
        <v>6208</v>
      </c>
      <c r="B3038" s="787">
        <v>4</v>
      </c>
      <c r="C3038" s="787" t="s">
        <v>6209</v>
      </c>
      <c r="D3038" s="787">
        <v>0</v>
      </c>
      <c r="E3038" s="787">
        <v>0</v>
      </c>
      <c r="H3038" s="787">
        <v>1</v>
      </c>
      <c r="I3038" s="788">
        <v>39959</v>
      </c>
      <c r="L3038" s="787">
        <v>0</v>
      </c>
      <c r="M3038" s="787">
        <v>10</v>
      </c>
      <c r="N3038" s="787">
        <v>5.91</v>
      </c>
      <c r="O3038" s="788">
        <v>42082</v>
      </c>
    </row>
    <row r="3039" spans="1:15" x14ac:dyDescent="0.25">
      <c r="A3039" s="786" t="s">
        <v>6210</v>
      </c>
      <c r="B3039" s="787">
        <v>4</v>
      </c>
      <c r="C3039" s="787" t="s">
        <v>6211</v>
      </c>
      <c r="D3039" s="787">
        <v>6.29</v>
      </c>
      <c r="E3039" s="787">
        <v>6.29</v>
      </c>
      <c r="F3039" s="788">
        <v>38889</v>
      </c>
      <c r="G3039" s="788">
        <v>38889</v>
      </c>
      <c r="H3039" s="787">
        <v>1</v>
      </c>
      <c r="I3039" s="788">
        <v>41127</v>
      </c>
      <c r="J3039" s="788">
        <v>38841</v>
      </c>
      <c r="L3039" s="787">
        <v>0</v>
      </c>
      <c r="M3039" s="787">
        <v>10</v>
      </c>
      <c r="N3039" s="787">
        <v>7.67</v>
      </c>
      <c r="O3039" s="788">
        <v>42082</v>
      </c>
    </row>
    <row r="3040" spans="1:15" x14ac:dyDescent="0.25">
      <c r="A3040" s="786" t="s">
        <v>6212</v>
      </c>
      <c r="B3040" s="787">
        <v>4</v>
      </c>
      <c r="C3040" s="787" t="s">
        <v>6213</v>
      </c>
      <c r="D3040" s="787">
        <v>0</v>
      </c>
      <c r="E3040" s="787">
        <v>0</v>
      </c>
      <c r="H3040" s="787">
        <v>1</v>
      </c>
      <c r="I3040" s="788">
        <v>40833</v>
      </c>
      <c r="J3040" s="788">
        <v>39101</v>
      </c>
      <c r="L3040" s="787">
        <v>0</v>
      </c>
      <c r="M3040" s="787">
        <v>10</v>
      </c>
      <c r="N3040" s="787">
        <v>6.98</v>
      </c>
      <c r="O3040" s="788">
        <v>42082</v>
      </c>
    </row>
    <row r="3041" spans="1:15" x14ac:dyDescent="0.25">
      <c r="A3041" s="786" t="s">
        <v>6214</v>
      </c>
      <c r="B3041" s="787">
        <v>4</v>
      </c>
      <c r="C3041" s="787" t="s">
        <v>6215</v>
      </c>
      <c r="D3041" s="787">
        <v>0</v>
      </c>
      <c r="E3041" s="787">
        <v>0</v>
      </c>
      <c r="H3041" s="787">
        <v>1</v>
      </c>
      <c r="I3041" s="788">
        <v>41477</v>
      </c>
      <c r="J3041" s="788">
        <v>39101</v>
      </c>
      <c r="L3041" s="787">
        <v>0</v>
      </c>
      <c r="M3041" s="787">
        <v>10</v>
      </c>
      <c r="N3041" s="787">
        <v>7.38</v>
      </c>
      <c r="O3041" s="788">
        <v>42082</v>
      </c>
    </row>
    <row r="3042" spans="1:15" x14ac:dyDescent="0.25">
      <c r="A3042" s="786" t="s">
        <v>6216</v>
      </c>
      <c r="B3042" s="787">
        <v>4</v>
      </c>
      <c r="C3042" s="787" t="s">
        <v>6217</v>
      </c>
      <c r="D3042" s="787">
        <v>0</v>
      </c>
      <c r="E3042" s="787">
        <v>0</v>
      </c>
      <c r="H3042" s="787">
        <v>1</v>
      </c>
      <c r="I3042" s="788">
        <v>39888</v>
      </c>
      <c r="J3042" s="788">
        <v>39101</v>
      </c>
      <c r="L3042" s="787">
        <v>0</v>
      </c>
      <c r="M3042" s="787">
        <v>10</v>
      </c>
      <c r="N3042" s="787">
        <v>7.8</v>
      </c>
      <c r="O3042" s="788">
        <v>42082</v>
      </c>
    </row>
    <row r="3043" spans="1:15" x14ac:dyDescent="0.25">
      <c r="A3043" s="786" t="s">
        <v>6218</v>
      </c>
      <c r="B3043" s="787">
        <v>4</v>
      </c>
      <c r="C3043" s="787" t="s">
        <v>6219</v>
      </c>
      <c r="D3043" s="787">
        <v>0</v>
      </c>
      <c r="E3043" s="787">
        <v>0</v>
      </c>
      <c r="H3043" s="787">
        <v>1</v>
      </c>
      <c r="I3043" s="788">
        <v>41207</v>
      </c>
      <c r="J3043" s="788">
        <v>39101</v>
      </c>
      <c r="L3043" s="787">
        <v>0</v>
      </c>
      <c r="M3043" s="787">
        <v>10</v>
      </c>
      <c r="N3043" s="787">
        <v>8.26</v>
      </c>
      <c r="O3043" s="788">
        <v>42082</v>
      </c>
    </row>
    <row r="3044" spans="1:15" x14ac:dyDescent="0.25">
      <c r="A3044" s="786" t="s">
        <v>6220</v>
      </c>
      <c r="B3044" s="787">
        <v>4</v>
      </c>
      <c r="C3044" s="787" t="s">
        <v>6221</v>
      </c>
      <c r="D3044" s="787">
        <v>0</v>
      </c>
      <c r="E3044" s="787">
        <v>0</v>
      </c>
      <c r="H3044" s="787">
        <v>1</v>
      </c>
      <c r="I3044" s="788">
        <v>39990</v>
      </c>
      <c r="J3044" s="788">
        <v>39101</v>
      </c>
      <c r="L3044" s="787">
        <v>0</v>
      </c>
      <c r="M3044" s="787">
        <v>10</v>
      </c>
      <c r="N3044" s="787">
        <v>8.6199999999999992</v>
      </c>
      <c r="O3044" s="788">
        <v>42082</v>
      </c>
    </row>
    <row r="3045" spans="1:15" x14ac:dyDescent="0.25">
      <c r="A3045" s="786" t="s">
        <v>6222</v>
      </c>
      <c r="B3045" s="787">
        <v>4</v>
      </c>
      <c r="C3045" s="787" t="s">
        <v>6223</v>
      </c>
      <c r="D3045" s="787">
        <v>0</v>
      </c>
      <c r="E3045" s="787">
        <v>0</v>
      </c>
      <c r="H3045" s="787">
        <v>1</v>
      </c>
      <c r="I3045" s="788">
        <v>40024</v>
      </c>
      <c r="J3045" s="788">
        <v>39457</v>
      </c>
      <c r="L3045" s="787">
        <v>0</v>
      </c>
      <c r="M3045" s="787">
        <v>10</v>
      </c>
      <c r="N3045" s="787">
        <v>7.25</v>
      </c>
      <c r="O3045" s="788">
        <v>42082</v>
      </c>
    </row>
    <row r="3046" spans="1:15" x14ac:dyDescent="0.25">
      <c r="A3046" s="786" t="s">
        <v>6224</v>
      </c>
      <c r="B3046" s="787">
        <v>4</v>
      </c>
      <c r="C3046" s="787" t="s">
        <v>6225</v>
      </c>
      <c r="D3046" s="787">
        <v>0</v>
      </c>
      <c r="E3046" s="787">
        <v>0</v>
      </c>
      <c r="H3046" s="787">
        <v>1</v>
      </c>
      <c r="I3046" s="788">
        <v>39888</v>
      </c>
      <c r="J3046" s="788">
        <v>39101</v>
      </c>
      <c r="L3046" s="787">
        <v>0</v>
      </c>
      <c r="M3046" s="787">
        <v>10</v>
      </c>
      <c r="N3046" s="787">
        <v>9.5299999999999994</v>
      </c>
      <c r="O3046" s="788">
        <v>42082</v>
      </c>
    </row>
    <row r="3047" spans="1:15" x14ac:dyDescent="0.25">
      <c r="A3047" s="786" t="s">
        <v>6226</v>
      </c>
      <c r="B3047" s="787">
        <v>4</v>
      </c>
      <c r="C3047" s="787" t="s">
        <v>6227</v>
      </c>
      <c r="D3047" s="787">
        <v>0</v>
      </c>
      <c r="E3047" s="787">
        <v>0</v>
      </c>
      <c r="H3047" s="787">
        <v>1</v>
      </c>
      <c r="I3047" s="788">
        <v>41127</v>
      </c>
      <c r="J3047" s="788">
        <v>39101</v>
      </c>
      <c r="L3047" s="787">
        <v>0</v>
      </c>
      <c r="M3047" s="787">
        <v>10</v>
      </c>
      <c r="N3047" s="787">
        <v>9.93</v>
      </c>
      <c r="O3047" s="788">
        <v>42082</v>
      </c>
    </row>
    <row r="3048" spans="1:15" x14ac:dyDescent="0.25">
      <c r="A3048" s="786" t="s">
        <v>6228</v>
      </c>
      <c r="B3048" s="787">
        <v>4</v>
      </c>
      <c r="C3048" s="787" t="s">
        <v>6229</v>
      </c>
      <c r="D3048" s="787">
        <v>0</v>
      </c>
      <c r="E3048" s="787">
        <v>0</v>
      </c>
      <c r="H3048" s="787">
        <v>1</v>
      </c>
      <c r="I3048" s="788">
        <v>39959</v>
      </c>
      <c r="L3048" s="787">
        <v>0</v>
      </c>
      <c r="M3048" s="787">
        <v>10</v>
      </c>
      <c r="N3048" s="787">
        <v>10.28</v>
      </c>
      <c r="O3048" s="788">
        <v>42082</v>
      </c>
    </row>
    <row r="3049" spans="1:15" x14ac:dyDescent="0.25">
      <c r="A3049" s="786" t="s">
        <v>6230</v>
      </c>
      <c r="B3049" s="787">
        <v>4</v>
      </c>
      <c r="C3049" s="787" t="s">
        <v>6231</v>
      </c>
      <c r="D3049" s="787">
        <v>9.82</v>
      </c>
      <c r="E3049" s="787">
        <v>9.82</v>
      </c>
      <c r="F3049" s="788">
        <v>38889</v>
      </c>
      <c r="G3049" s="788">
        <v>38889</v>
      </c>
      <c r="H3049" s="787">
        <v>1</v>
      </c>
      <c r="I3049" s="788">
        <v>41127</v>
      </c>
      <c r="J3049" s="788">
        <v>38835</v>
      </c>
      <c r="L3049" s="787">
        <v>0</v>
      </c>
      <c r="M3049" s="787">
        <v>10</v>
      </c>
      <c r="N3049" s="787">
        <v>13.23</v>
      </c>
      <c r="O3049" s="788">
        <v>42082</v>
      </c>
    </row>
    <row r="3050" spans="1:15" x14ac:dyDescent="0.25">
      <c r="A3050" s="786" t="s">
        <v>6232</v>
      </c>
      <c r="B3050" s="787">
        <v>4</v>
      </c>
      <c r="C3050" s="787" t="s">
        <v>6233</v>
      </c>
      <c r="D3050" s="787">
        <v>0.47</v>
      </c>
      <c r="E3050" s="787">
        <v>0.47</v>
      </c>
      <c r="F3050" s="788">
        <v>39975</v>
      </c>
      <c r="G3050" s="788">
        <v>41943</v>
      </c>
      <c r="H3050" s="787">
        <v>1</v>
      </c>
      <c r="I3050" s="788">
        <v>40444</v>
      </c>
      <c r="J3050" s="788">
        <v>39624</v>
      </c>
      <c r="L3050" s="787">
        <v>0</v>
      </c>
      <c r="M3050" s="787">
        <v>10</v>
      </c>
      <c r="N3050" s="787">
        <v>2.17</v>
      </c>
      <c r="O3050" s="788">
        <v>42123</v>
      </c>
    </row>
    <row r="3051" spans="1:15" x14ac:dyDescent="0.25">
      <c r="A3051" s="786" t="s">
        <v>6234</v>
      </c>
      <c r="B3051" s="787">
        <v>4</v>
      </c>
      <c r="C3051" s="787" t="s">
        <v>6235</v>
      </c>
      <c r="D3051" s="787">
        <v>0.39</v>
      </c>
      <c r="E3051" s="787">
        <v>0.39</v>
      </c>
      <c r="F3051" s="788">
        <v>39975</v>
      </c>
      <c r="G3051" s="788">
        <v>41943</v>
      </c>
      <c r="H3051" s="787">
        <v>1</v>
      </c>
      <c r="I3051" s="788">
        <v>40444</v>
      </c>
      <c r="J3051" s="788">
        <v>39624</v>
      </c>
      <c r="L3051" s="787">
        <v>0</v>
      </c>
      <c r="M3051" s="787">
        <v>10</v>
      </c>
      <c r="N3051" s="787">
        <v>1.85</v>
      </c>
      <c r="O3051" s="788">
        <v>42123</v>
      </c>
    </row>
    <row r="3052" spans="1:15" x14ac:dyDescent="0.25">
      <c r="A3052" s="786" t="s">
        <v>6236</v>
      </c>
      <c r="B3052" s="787">
        <v>4</v>
      </c>
      <c r="C3052" s="787" t="s">
        <v>6237</v>
      </c>
      <c r="D3052" s="787">
        <v>0.59</v>
      </c>
      <c r="E3052" s="787">
        <v>0.59</v>
      </c>
      <c r="F3052" s="788">
        <v>39975</v>
      </c>
      <c r="G3052" s="788">
        <v>41943</v>
      </c>
      <c r="H3052" s="787">
        <v>1</v>
      </c>
      <c r="I3052" s="788">
        <v>40444</v>
      </c>
      <c r="J3052" s="788">
        <v>39624</v>
      </c>
      <c r="L3052" s="787">
        <v>0</v>
      </c>
      <c r="M3052" s="787">
        <v>10</v>
      </c>
      <c r="N3052" s="787">
        <v>2.12</v>
      </c>
      <c r="O3052" s="788">
        <v>42123</v>
      </c>
    </row>
    <row r="3053" spans="1:15" x14ac:dyDescent="0.25">
      <c r="A3053" s="786" t="s">
        <v>6238</v>
      </c>
      <c r="B3053" s="787">
        <v>4</v>
      </c>
      <c r="C3053" s="787" t="s">
        <v>6239</v>
      </c>
      <c r="D3053" s="787">
        <v>0.17</v>
      </c>
      <c r="E3053" s="787">
        <v>0.17</v>
      </c>
      <c r="F3053" s="788">
        <v>39975</v>
      </c>
      <c r="G3053" s="788">
        <v>41943</v>
      </c>
      <c r="H3053" s="787">
        <v>1</v>
      </c>
      <c r="I3053" s="788">
        <v>40444</v>
      </c>
      <c r="J3053" s="788">
        <v>39624</v>
      </c>
      <c r="L3053" s="787">
        <v>0</v>
      </c>
      <c r="M3053" s="787">
        <v>10</v>
      </c>
      <c r="N3053" s="787">
        <v>4.25</v>
      </c>
      <c r="O3053" s="788">
        <v>42123</v>
      </c>
    </row>
    <row r="3054" spans="1:15" x14ac:dyDescent="0.25">
      <c r="A3054" s="786" t="s">
        <v>6240</v>
      </c>
      <c r="B3054" s="787">
        <v>4</v>
      </c>
      <c r="C3054" s="787" t="s">
        <v>6241</v>
      </c>
      <c r="D3054" s="787">
        <v>0.56999999999999995</v>
      </c>
      <c r="E3054" s="787">
        <v>0.56999999999999995</v>
      </c>
      <c r="F3054" s="788">
        <v>39975</v>
      </c>
      <c r="G3054" s="788">
        <v>41943</v>
      </c>
      <c r="H3054" s="787">
        <v>1</v>
      </c>
      <c r="I3054" s="788">
        <v>40574</v>
      </c>
      <c r="J3054" s="788">
        <v>39948</v>
      </c>
      <c r="L3054" s="787">
        <v>0</v>
      </c>
      <c r="M3054" s="787">
        <v>10</v>
      </c>
      <c r="N3054" s="787">
        <v>2.35</v>
      </c>
      <c r="O3054" s="788">
        <v>42123</v>
      </c>
    </row>
    <row r="3055" spans="1:15" x14ac:dyDescent="0.25">
      <c r="A3055" s="786" t="s">
        <v>6242</v>
      </c>
      <c r="B3055" s="787">
        <v>4</v>
      </c>
      <c r="C3055" s="787" t="s">
        <v>6243</v>
      </c>
      <c r="D3055" s="787">
        <v>0.48</v>
      </c>
      <c r="E3055" s="787">
        <v>0.54</v>
      </c>
      <c r="F3055" s="788">
        <v>39456</v>
      </c>
      <c r="G3055" s="788">
        <v>41943</v>
      </c>
      <c r="H3055" s="787">
        <v>1</v>
      </c>
      <c r="I3055" s="788">
        <v>40574</v>
      </c>
      <c r="J3055" s="788">
        <v>39948</v>
      </c>
      <c r="L3055" s="787">
        <v>0</v>
      </c>
      <c r="M3055" s="787">
        <v>10</v>
      </c>
      <c r="N3055" s="787">
        <v>1.97</v>
      </c>
      <c r="O3055" s="788">
        <v>42123</v>
      </c>
    </row>
    <row r="3056" spans="1:15" x14ac:dyDescent="0.25">
      <c r="A3056" s="786" t="s">
        <v>6244</v>
      </c>
      <c r="B3056" s="787">
        <v>4</v>
      </c>
      <c r="C3056" s="787" t="s">
        <v>6245</v>
      </c>
      <c r="D3056" s="787">
        <v>0.57999999999999996</v>
      </c>
      <c r="E3056" s="787">
        <v>0.59</v>
      </c>
      <c r="F3056" s="788">
        <v>39456</v>
      </c>
      <c r="G3056" s="788">
        <v>41943</v>
      </c>
      <c r="H3056" s="787">
        <v>1</v>
      </c>
      <c r="I3056" s="788">
        <v>40574</v>
      </c>
      <c r="J3056" s="788">
        <v>39948</v>
      </c>
      <c r="L3056" s="787">
        <v>0</v>
      </c>
      <c r="M3056" s="787">
        <v>10</v>
      </c>
      <c r="N3056" s="787">
        <v>2.35</v>
      </c>
      <c r="O3056" s="788">
        <v>42123</v>
      </c>
    </row>
    <row r="3057" spans="1:15" x14ac:dyDescent="0.25">
      <c r="A3057" s="786" t="s">
        <v>6246</v>
      </c>
      <c r="B3057" s="787">
        <v>4</v>
      </c>
      <c r="C3057" s="787" t="s">
        <v>6247</v>
      </c>
      <c r="D3057" s="787">
        <v>1.95</v>
      </c>
      <c r="E3057" s="787">
        <v>5.07</v>
      </c>
      <c r="F3057" s="788">
        <v>39456</v>
      </c>
      <c r="G3057" s="788">
        <v>41943</v>
      </c>
      <c r="H3057" s="787">
        <v>1</v>
      </c>
      <c r="I3057" s="788">
        <v>40574</v>
      </c>
      <c r="J3057" s="788">
        <v>39953</v>
      </c>
      <c r="L3057" s="787">
        <v>0</v>
      </c>
      <c r="M3057" s="787">
        <v>10</v>
      </c>
      <c r="N3057" s="787">
        <v>5.33</v>
      </c>
      <c r="O3057" s="788">
        <v>41989</v>
      </c>
    </row>
    <row r="3058" spans="1:15" x14ac:dyDescent="0.25">
      <c r="A3058" s="786" t="s">
        <v>6248</v>
      </c>
      <c r="B3058" s="787">
        <v>4</v>
      </c>
      <c r="C3058" s="787" t="s">
        <v>6249</v>
      </c>
      <c r="D3058" s="787">
        <v>0.77</v>
      </c>
      <c r="E3058" s="787">
        <v>0.77</v>
      </c>
      <c r="F3058" s="788">
        <v>40644</v>
      </c>
      <c r="G3058" s="788">
        <v>41943</v>
      </c>
      <c r="H3058" s="787">
        <v>1</v>
      </c>
      <c r="I3058" s="788">
        <v>40637</v>
      </c>
      <c r="J3058" s="788">
        <v>40560</v>
      </c>
      <c r="L3058" s="787">
        <v>0</v>
      </c>
      <c r="M3058" s="787">
        <v>10</v>
      </c>
      <c r="N3058" s="787">
        <v>2.68</v>
      </c>
      <c r="O3058" s="788">
        <v>42123</v>
      </c>
    </row>
    <row r="3059" spans="1:15" x14ac:dyDescent="0.25">
      <c r="A3059" s="786" t="s">
        <v>6250</v>
      </c>
      <c r="B3059" s="787">
        <v>4</v>
      </c>
      <c r="C3059" s="787" t="s">
        <v>6251</v>
      </c>
      <c r="D3059" s="787">
        <v>0.54</v>
      </c>
      <c r="E3059" s="787">
        <v>0.67</v>
      </c>
      <c r="F3059" s="788">
        <v>39456</v>
      </c>
      <c r="G3059" s="788">
        <v>41943</v>
      </c>
      <c r="H3059" s="787">
        <v>1</v>
      </c>
      <c r="I3059" s="788">
        <v>40637</v>
      </c>
      <c r="J3059" s="788">
        <v>40574</v>
      </c>
      <c r="L3059" s="787">
        <v>0</v>
      </c>
      <c r="M3059" s="787">
        <v>10</v>
      </c>
      <c r="N3059" s="787">
        <v>2.16</v>
      </c>
      <c r="O3059" s="788">
        <v>42123</v>
      </c>
    </row>
    <row r="3060" spans="1:15" x14ac:dyDescent="0.25">
      <c r="A3060" s="786" t="s">
        <v>6252</v>
      </c>
      <c r="B3060" s="787">
        <v>4</v>
      </c>
      <c r="C3060" s="787" t="s">
        <v>6253</v>
      </c>
      <c r="D3060" s="787">
        <v>0</v>
      </c>
      <c r="E3060" s="787">
        <v>0</v>
      </c>
      <c r="F3060" s="788">
        <v>41135</v>
      </c>
      <c r="G3060" s="788">
        <v>41943</v>
      </c>
      <c r="H3060" s="787">
        <v>1</v>
      </c>
      <c r="I3060" s="788">
        <v>40637</v>
      </c>
      <c r="J3060" s="788">
        <v>40574</v>
      </c>
      <c r="L3060" s="787">
        <v>0</v>
      </c>
      <c r="M3060" s="787">
        <v>10</v>
      </c>
      <c r="N3060" s="787">
        <v>2.59</v>
      </c>
      <c r="O3060" s="788">
        <v>42123</v>
      </c>
    </row>
    <row r="3061" spans="1:15" x14ac:dyDescent="0.25">
      <c r="A3061" s="786" t="s">
        <v>6254</v>
      </c>
      <c r="B3061" s="787">
        <v>4</v>
      </c>
      <c r="C3061" s="787" t="s">
        <v>6255</v>
      </c>
      <c r="D3061" s="787">
        <v>0</v>
      </c>
      <c r="E3061" s="787">
        <v>0</v>
      </c>
      <c r="F3061" s="788">
        <v>41135</v>
      </c>
      <c r="G3061" s="788">
        <v>41943</v>
      </c>
      <c r="H3061" s="787">
        <v>1</v>
      </c>
      <c r="I3061" s="788">
        <v>40637</v>
      </c>
      <c r="J3061" s="788">
        <v>40574</v>
      </c>
      <c r="L3061" s="787">
        <v>0</v>
      </c>
      <c r="M3061" s="787">
        <v>10</v>
      </c>
      <c r="N3061" s="787">
        <v>5.42</v>
      </c>
      <c r="O3061" s="788">
        <v>42123</v>
      </c>
    </row>
    <row r="3062" spans="1:15" x14ac:dyDescent="0.25">
      <c r="A3062" s="786" t="s">
        <v>6256</v>
      </c>
      <c r="B3062" s="787">
        <v>4</v>
      </c>
      <c r="C3062" s="787" t="s">
        <v>6257</v>
      </c>
      <c r="D3062" s="787">
        <v>0.19</v>
      </c>
      <c r="E3062" s="787">
        <v>0.19</v>
      </c>
      <c r="F3062" s="788">
        <v>39975</v>
      </c>
      <c r="G3062" s="788">
        <v>41943</v>
      </c>
      <c r="H3062" s="787">
        <v>1</v>
      </c>
      <c r="I3062" s="788">
        <v>40637</v>
      </c>
      <c r="J3062" s="788">
        <v>40403</v>
      </c>
      <c r="L3062" s="787">
        <v>0</v>
      </c>
      <c r="M3062" s="787">
        <v>10</v>
      </c>
      <c r="N3062" s="787">
        <v>1.54</v>
      </c>
      <c r="O3062" s="788">
        <v>42123</v>
      </c>
    </row>
    <row r="3063" spans="1:15" x14ac:dyDescent="0.25">
      <c r="A3063" s="786" t="s">
        <v>6258</v>
      </c>
      <c r="B3063" s="787">
        <v>4</v>
      </c>
      <c r="C3063" s="787" t="s">
        <v>6259</v>
      </c>
      <c r="D3063" s="787">
        <v>0</v>
      </c>
      <c r="E3063" s="787">
        <v>0</v>
      </c>
      <c r="F3063" s="788">
        <v>39975</v>
      </c>
      <c r="G3063" s="788">
        <v>41943</v>
      </c>
      <c r="H3063" s="787">
        <v>1</v>
      </c>
      <c r="I3063" s="788">
        <v>41388</v>
      </c>
      <c r="J3063" s="788">
        <v>40247</v>
      </c>
      <c r="L3063" s="787">
        <v>0</v>
      </c>
      <c r="M3063" s="787">
        <v>10</v>
      </c>
      <c r="N3063" s="787">
        <v>0.17</v>
      </c>
      <c r="O3063" s="788">
        <v>42123</v>
      </c>
    </row>
    <row r="3064" spans="1:15" x14ac:dyDescent="0.25">
      <c r="A3064" s="786" t="s">
        <v>6260</v>
      </c>
      <c r="B3064" s="787">
        <v>4</v>
      </c>
      <c r="C3064" s="787" t="s">
        <v>6261</v>
      </c>
      <c r="D3064" s="787">
        <v>0.02</v>
      </c>
      <c r="E3064" s="787">
        <v>0.02</v>
      </c>
      <c r="F3064" s="788">
        <v>39975</v>
      </c>
      <c r="G3064" s="788">
        <v>41565</v>
      </c>
      <c r="H3064" s="787">
        <v>1</v>
      </c>
      <c r="I3064" s="788">
        <v>40675</v>
      </c>
      <c r="J3064" s="788">
        <v>40399</v>
      </c>
      <c r="L3064" s="787">
        <v>0</v>
      </c>
      <c r="M3064" s="787">
        <v>10</v>
      </c>
      <c r="N3064" s="787">
        <v>0.76</v>
      </c>
      <c r="O3064" s="788">
        <v>42123</v>
      </c>
    </row>
    <row r="3065" spans="1:15" x14ac:dyDescent="0.25">
      <c r="A3065" s="786" t="s">
        <v>6262</v>
      </c>
      <c r="B3065" s="787">
        <v>4</v>
      </c>
      <c r="C3065" s="787" t="s">
        <v>6263</v>
      </c>
      <c r="D3065" s="787">
        <v>0.2</v>
      </c>
      <c r="E3065" s="787">
        <v>16.350000000000001</v>
      </c>
      <c r="F3065" s="788">
        <v>39456</v>
      </c>
      <c r="G3065" s="788">
        <v>41943</v>
      </c>
      <c r="H3065" s="787">
        <v>1</v>
      </c>
      <c r="I3065" s="788">
        <v>40637</v>
      </c>
      <c r="J3065" s="788">
        <v>41390</v>
      </c>
      <c r="K3065" s="788">
        <v>41383</v>
      </c>
      <c r="L3065" s="787">
        <v>6.61</v>
      </c>
      <c r="M3065" s="787">
        <v>10</v>
      </c>
      <c r="N3065" s="787">
        <v>11.67</v>
      </c>
      <c r="O3065" s="788">
        <v>42123</v>
      </c>
    </row>
    <row r="3066" spans="1:15" x14ac:dyDescent="0.25">
      <c r="A3066" s="786" t="s">
        <v>6264</v>
      </c>
      <c r="B3066" s="787">
        <v>4</v>
      </c>
      <c r="C3066" s="787" t="s">
        <v>6265</v>
      </c>
      <c r="D3066" s="787">
        <v>0.04</v>
      </c>
      <c r="E3066" s="787">
        <v>0.04</v>
      </c>
      <c r="F3066" s="788">
        <v>39975</v>
      </c>
      <c r="G3066" s="788">
        <v>41565</v>
      </c>
      <c r="H3066" s="787">
        <v>1</v>
      </c>
      <c r="I3066" s="788">
        <v>40637</v>
      </c>
      <c r="J3066" s="788">
        <v>40451</v>
      </c>
      <c r="L3066" s="787">
        <v>0</v>
      </c>
      <c r="M3066" s="787">
        <v>10</v>
      </c>
      <c r="N3066" s="787">
        <v>0.37</v>
      </c>
      <c r="O3066" s="788">
        <v>42123</v>
      </c>
    </row>
    <row r="3067" spans="1:15" x14ac:dyDescent="0.25">
      <c r="A3067" s="786" t="s">
        <v>6266</v>
      </c>
      <c r="B3067" s="787">
        <v>4</v>
      </c>
      <c r="C3067" s="787" t="s">
        <v>6267</v>
      </c>
      <c r="D3067" s="787">
        <v>0.06</v>
      </c>
      <c r="E3067" s="787">
        <v>0.72</v>
      </c>
      <c r="F3067" s="788">
        <v>39456</v>
      </c>
      <c r="G3067" s="788">
        <v>41943</v>
      </c>
      <c r="H3067" s="787">
        <v>1</v>
      </c>
      <c r="I3067" s="788">
        <v>40637</v>
      </c>
      <c r="J3067" s="788">
        <v>40652</v>
      </c>
      <c r="L3067" s="787">
        <v>0</v>
      </c>
      <c r="M3067" s="787">
        <v>10</v>
      </c>
      <c r="N3067" s="787">
        <v>0.36</v>
      </c>
      <c r="O3067" s="788">
        <v>42123</v>
      </c>
    </row>
    <row r="3068" spans="1:15" x14ac:dyDescent="0.25">
      <c r="A3068" s="786" t="s">
        <v>6268</v>
      </c>
      <c r="B3068" s="787">
        <v>4</v>
      </c>
      <c r="C3068" s="787" t="s">
        <v>6269</v>
      </c>
      <c r="D3068" s="787">
        <v>0.02</v>
      </c>
      <c r="E3068" s="787">
        <v>0.74</v>
      </c>
      <c r="F3068" s="788">
        <v>39975</v>
      </c>
      <c r="G3068" s="788">
        <v>41943</v>
      </c>
      <c r="H3068" s="787">
        <v>1</v>
      </c>
      <c r="I3068" s="788">
        <v>40637</v>
      </c>
      <c r="J3068" s="788">
        <v>40652</v>
      </c>
      <c r="L3068" s="787">
        <v>0</v>
      </c>
      <c r="M3068" s="787">
        <v>10</v>
      </c>
      <c r="N3068" s="787">
        <v>0.31</v>
      </c>
      <c r="O3068" s="788">
        <v>42123</v>
      </c>
    </row>
    <row r="3069" spans="1:15" x14ac:dyDescent="0.25">
      <c r="A3069" s="786" t="s">
        <v>6270</v>
      </c>
      <c r="B3069" s="787">
        <v>4</v>
      </c>
      <c r="C3069" s="787" t="s">
        <v>6271</v>
      </c>
      <c r="D3069" s="787">
        <v>0.05</v>
      </c>
      <c r="E3069" s="787">
        <v>0.9</v>
      </c>
      <c r="F3069" s="788">
        <v>39975</v>
      </c>
      <c r="G3069" s="788">
        <v>41943</v>
      </c>
      <c r="H3069" s="787">
        <v>1</v>
      </c>
      <c r="I3069" s="788">
        <v>40637</v>
      </c>
      <c r="J3069" s="788">
        <v>40652</v>
      </c>
      <c r="L3069" s="787">
        <v>0</v>
      </c>
      <c r="M3069" s="787">
        <v>10</v>
      </c>
      <c r="N3069" s="787">
        <v>0.38</v>
      </c>
      <c r="O3069" s="788">
        <v>42123</v>
      </c>
    </row>
    <row r="3070" spans="1:15" x14ac:dyDescent="0.25">
      <c r="A3070" s="786" t="s">
        <v>6272</v>
      </c>
      <c r="B3070" s="787">
        <v>4</v>
      </c>
      <c r="C3070" s="787" t="s">
        <v>6273</v>
      </c>
      <c r="D3070" s="787">
        <v>0.03</v>
      </c>
      <c r="E3070" s="787">
        <v>0.03</v>
      </c>
      <c r="F3070" s="788">
        <v>39975</v>
      </c>
      <c r="G3070" s="788">
        <v>41943</v>
      </c>
      <c r="H3070" s="787">
        <v>1</v>
      </c>
      <c r="I3070" s="788">
        <v>40637</v>
      </c>
      <c r="J3070" s="788">
        <v>40366</v>
      </c>
      <c r="L3070" s="787">
        <v>0</v>
      </c>
      <c r="M3070" s="787">
        <v>10</v>
      </c>
      <c r="N3070" s="787">
        <v>0.61</v>
      </c>
      <c r="O3070" s="788">
        <v>42123</v>
      </c>
    </row>
    <row r="3071" spans="1:15" x14ac:dyDescent="0.25">
      <c r="A3071" s="786" t="s">
        <v>6274</v>
      </c>
      <c r="B3071" s="787">
        <v>4</v>
      </c>
      <c r="C3071" s="787" t="s">
        <v>6275</v>
      </c>
      <c r="D3071" s="787">
        <v>0.26</v>
      </c>
      <c r="E3071" s="787">
        <v>0.26</v>
      </c>
      <c r="F3071" s="788">
        <v>39456</v>
      </c>
      <c r="G3071" s="788">
        <v>41565</v>
      </c>
      <c r="H3071" s="787">
        <v>1</v>
      </c>
      <c r="I3071" s="788">
        <v>40637</v>
      </c>
      <c r="J3071" s="788">
        <v>40415</v>
      </c>
      <c r="L3071" s="787">
        <v>0.6</v>
      </c>
      <c r="M3071" s="787">
        <v>10</v>
      </c>
      <c r="N3071" s="787">
        <v>0.54</v>
      </c>
      <c r="O3071" s="788">
        <v>42123</v>
      </c>
    </row>
    <row r="3072" spans="1:15" x14ac:dyDescent="0.25">
      <c r="A3072" s="786" t="s">
        <v>6276</v>
      </c>
      <c r="B3072" s="787">
        <v>4</v>
      </c>
      <c r="C3072" s="787" t="s">
        <v>6277</v>
      </c>
      <c r="D3072" s="787">
        <v>7.0000000000000007E-2</v>
      </c>
      <c r="E3072" s="787">
        <v>7.0000000000000007E-2</v>
      </c>
      <c r="F3072" s="788">
        <v>39975</v>
      </c>
      <c r="G3072" s="788">
        <v>41565</v>
      </c>
      <c r="H3072" s="787">
        <v>1</v>
      </c>
      <c r="I3072" s="788">
        <v>40637</v>
      </c>
      <c r="J3072" s="788">
        <v>40415</v>
      </c>
      <c r="L3072" s="787">
        <v>0.48</v>
      </c>
      <c r="M3072" s="787">
        <v>10</v>
      </c>
      <c r="N3072" s="787">
        <v>0.49</v>
      </c>
      <c r="O3072" s="788">
        <v>42123</v>
      </c>
    </row>
    <row r="3073" spans="1:15" x14ac:dyDescent="0.25">
      <c r="A3073" s="786" t="s">
        <v>6278</v>
      </c>
      <c r="B3073" s="787">
        <v>4</v>
      </c>
      <c r="C3073" s="787" t="s">
        <v>6279</v>
      </c>
      <c r="D3073" s="787">
        <v>0</v>
      </c>
      <c r="E3073" s="787">
        <v>0</v>
      </c>
      <c r="H3073" s="787">
        <v>1</v>
      </c>
      <c r="I3073" s="788">
        <v>39975</v>
      </c>
      <c r="J3073" s="788">
        <v>39101</v>
      </c>
      <c r="L3073" s="787">
        <v>0</v>
      </c>
      <c r="M3073" s="787">
        <v>10</v>
      </c>
      <c r="N3073" s="787">
        <v>9.17</v>
      </c>
      <c r="O3073" s="788">
        <v>42123</v>
      </c>
    </row>
    <row r="3074" spans="1:15" x14ac:dyDescent="0.25">
      <c r="A3074" s="786" t="s">
        <v>6280</v>
      </c>
      <c r="B3074" s="787">
        <v>4</v>
      </c>
      <c r="C3074" s="787" t="s">
        <v>6281</v>
      </c>
      <c r="D3074" s="787">
        <v>0</v>
      </c>
      <c r="E3074" s="787">
        <v>0</v>
      </c>
      <c r="H3074" s="787">
        <v>1</v>
      </c>
      <c r="I3074" s="788">
        <v>41065</v>
      </c>
      <c r="J3074" s="788">
        <v>39101</v>
      </c>
      <c r="L3074" s="787">
        <v>0</v>
      </c>
      <c r="M3074" s="787">
        <v>10</v>
      </c>
      <c r="N3074" s="787">
        <v>9.4</v>
      </c>
      <c r="O3074" s="788">
        <v>42123</v>
      </c>
    </row>
    <row r="3075" spans="1:15" x14ac:dyDescent="0.25">
      <c r="A3075" s="786" t="s">
        <v>6282</v>
      </c>
      <c r="B3075" s="787">
        <v>4</v>
      </c>
      <c r="C3075" s="787" t="s">
        <v>6283</v>
      </c>
      <c r="D3075" s="787">
        <v>0</v>
      </c>
      <c r="E3075" s="787">
        <v>0</v>
      </c>
      <c r="H3075" s="787">
        <v>1</v>
      </c>
      <c r="I3075" s="788">
        <v>41320</v>
      </c>
      <c r="J3075" s="788">
        <v>39101</v>
      </c>
      <c r="L3075" s="787">
        <v>0</v>
      </c>
      <c r="M3075" s="787">
        <v>10</v>
      </c>
      <c r="N3075" s="787">
        <v>9.65</v>
      </c>
      <c r="O3075" s="788">
        <v>42123</v>
      </c>
    </row>
    <row r="3076" spans="1:15" x14ac:dyDescent="0.25">
      <c r="A3076" s="786" t="s">
        <v>6284</v>
      </c>
      <c r="B3076" s="787">
        <v>4</v>
      </c>
      <c r="C3076" s="787" t="s">
        <v>6285</v>
      </c>
      <c r="D3076" s="787">
        <v>0</v>
      </c>
      <c r="E3076" s="787">
        <v>0</v>
      </c>
      <c r="H3076" s="787">
        <v>1</v>
      </c>
      <c r="I3076" s="788">
        <v>41477</v>
      </c>
      <c r="J3076" s="788">
        <v>39101</v>
      </c>
      <c r="L3076" s="787">
        <v>0</v>
      </c>
      <c r="M3076" s="787">
        <v>10</v>
      </c>
      <c r="N3076" s="787">
        <v>8.77</v>
      </c>
      <c r="O3076" s="788">
        <v>42123</v>
      </c>
    </row>
    <row r="3077" spans="1:15" x14ac:dyDescent="0.25">
      <c r="A3077" s="786" t="s">
        <v>6286</v>
      </c>
      <c r="B3077" s="787">
        <v>4</v>
      </c>
      <c r="C3077" s="787" t="s">
        <v>6287</v>
      </c>
      <c r="D3077" s="787">
        <v>0</v>
      </c>
      <c r="E3077" s="787">
        <v>0</v>
      </c>
      <c r="H3077" s="787">
        <v>1</v>
      </c>
      <c r="I3077" s="788">
        <v>39975</v>
      </c>
      <c r="J3077" s="788">
        <v>39101</v>
      </c>
      <c r="L3077" s="787">
        <v>0</v>
      </c>
      <c r="M3077" s="787">
        <v>10</v>
      </c>
      <c r="N3077" s="787">
        <v>4.3899999999999997</v>
      </c>
      <c r="O3077" s="788">
        <v>42082</v>
      </c>
    </row>
    <row r="3078" spans="1:15" x14ac:dyDescent="0.25">
      <c r="A3078" s="786" t="s">
        <v>6288</v>
      </c>
      <c r="B3078" s="787">
        <v>4</v>
      </c>
      <c r="C3078" s="787" t="s">
        <v>6289</v>
      </c>
      <c r="D3078" s="787">
        <v>0</v>
      </c>
      <c r="E3078" s="787">
        <v>0</v>
      </c>
      <c r="H3078" s="787">
        <v>1</v>
      </c>
      <c r="I3078" s="788">
        <v>41320</v>
      </c>
      <c r="J3078" s="788">
        <v>39101</v>
      </c>
      <c r="L3078" s="787">
        <v>0</v>
      </c>
      <c r="M3078" s="787">
        <v>10</v>
      </c>
      <c r="N3078" s="787">
        <v>4.79</v>
      </c>
      <c r="O3078" s="788">
        <v>42082</v>
      </c>
    </row>
    <row r="3079" spans="1:15" x14ac:dyDescent="0.25">
      <c r="A3079" s="786" t="s">
        <v>6290</v>
      </c>
      <c r="B3079" s="787">
        <v>4</v>
      </c>
      <c r="C3079" s="787" t="s">
        <v>6291</v>
      </c>
      <c r="D3079" s="787">
        <v>0</v>
      </c>
      <c r="E3079" s="787">
        <v>0</v>
      </c>
      <c r="H3079" s="787">
        <v>1</v>
      </c>
      <c r="I3079" s="788">
        <v>41593</v>
      </c>
      <c r="J3079" s="788">
        <v>39101</v>
      </c>
      <c r="L3079" s="787">
        <v>0</v>
      </c>
      <c r="M3079" s="787">
        <v>10</v>
      </c>
      <c r="N3079" s="787">
        <v>4.8</v>
      </c>
      <c r="O3079" s="788">
        <v>42082</v>
      </c>
    </row>
    <row r="3080" spans="1:15" x14ac:dyDescent="0.25">
      <c r="A3080" s="786" t="s">
        <v>6292</v>
      </c>
      <c r="B3080" s="787">
        <v>4</v>
      </c>
      <c r="C3080" s="787" t="s">
        <v>6293</v>
      </c>
      <c r="D3080" s="787">
        <v>0.37</v>
      </c>
      <c r="E3080" s="787">
        <v>0.7</v>
      </c>
      <c r="F3080" s="788">
        <v>39456</v>
      </c>
      <c r="G3080" s="788">
        <v>39976</v>
      </c>
      <c r="H3080" s="787">
        <v>1</v>
      </c>
      <c r="I3080" s="788">
        <v>39975</v>
      </c>
      <c r="J3080" s="788">
        <v>39759</v>
      </c>
      <c r="L3080" s="787">
        <v>0.9</v>
      </c>
      <c r="M3080" s="787">
        <v>10</v>
      </c>
      <c r="N3080" s="787">
        <v>1.3</v>
      </c>
      <c r="O3080" s="788">
        <v>42082</v>
      </c>
    </row>
    <row r="3081" spans="1:15" x14ac:dyDescent="0.25">
      <c r="A3081" s="786" t="s">
        <v>6294</v>
      </c>
      <c r="B3081" s="787">
        <v>4</v>
      </c>
      <c r="C3081" s="787" t="s">
        <v>6295</v>
      </c>
      <c r="D3081" s="787">
        <v>0.37</v>
      </c>
      <c r="E3081" s="787">
        <v>0.68</v>
      </c>
      <c r="F3081" s="788">
        <v>39456</v>
      </c>
      <c r="G3081" s="788">
        <v>39975</v>
      </c>
      <c r="H3081" s="787">
        <v>1</v>
      </c>
      <c r="I3081" s="788">
        <v>39975</v>
      </c>
      <c r="J3081" s="788">
        <v>39759</v>
      </c>
      <c r="L3081" s="787">
        <v>0.9</v>
      </c>
      <c r="M3081" s="787">
        <v>10</v>
      </c>
      <c r="N3081" s="787">
        <v>1.3</v>
      </c>
      <c r="O3081" s="788">
        <v>42082</v>
      </c>
    </row>
    <row r="3082" spans="1:15" x14ac:dyDescent="0.25">
      <c r="A3082" s="786" t="s">
        <v>6296</v>
      </c>
      <c r="B3082" s="787">
        <v>4</v>
      </c>
      <c r="C3082" s="787" t="s">
        <v>6297</v>
      </c>
      <c r="D3082" s="787">
        <v>0</v>
      </c>
      <c r="E3082" s="787">
        <v>0</v>
      </c>
      <c r="F3082" s="788">
        <v>39975</v>
      </c>
      <c r="G3082" s="788">
        <v>39975</v>
      </c>
      <c r="H3082" s="787">
        <v>1</v>
      </c>
      <c r="I3082" s="788">
        <v>41320</v>
      </c>
      <c r="J3082" s="788">
        <v>39552</v>
      </c>
      <c r="L3082" s="787">
        <v>1.04</v>
      </c>
      <c r="M3082" s="787">
        <v>10</v>
      </c>
      <c r="N3082" s="787">
        <v>1.42</v>
      </c>
      <c r="O3082" s="788">
        <v>42082</v>
      </c>
    </row>
    <row r="3083" spans="1:15" x14ac:dyDescent="0.25">
      <c r="A3083" s="786" t="s">
        <v>6298</v>
      </c>
      <c r="B3083" s="787">
        <v>4</v>
      </c>
      <c r="C3083" s="787" t="s">
        <v>6299</v>
      </c>
      <c r="D3083" s="787">
        <v>0.21</v>
      </c>
      <c r="E3083" s="787">
        <v>0.21</v>
      </c>
      <c r="F3083" s="788">
        <v>39975</v>
      </c>
      <c r="G3083" s="788">
        <v>39975</v>
      </c>
      <c r="H3083" s="787">
        <v>1</v>
      </c>
      <c r="I3083" s="788">
        <v>41320</v>
      </c>
      <c r="J3083" s="788">
        <v>39577</v>
      </c>
      <c r="L3083" s="787">
        <v>1.04</v>
      </c>
      <c r="M3083" s="787">
        <v>10</v>
      </c>
      <c r="N3083" s="787">
        <v>1.5</v>
      </c>
      <c r="O3083" s="788">
        <v>42082</v>
      </c>
    </row>
    <row r="3084" spans="1:15" x14ac:dyDescent="0.25">
      <c r="A3084" s="786" t="s">
        <v>6300</v>
      </c>
      <c r="B3084" s="787">
        <v>4</v>
      </c>
      <c r="C3084" s="787" t="s">
        <v>6301</v>
      </c>
      <c r="D3084" s="787">
        <v>0.51</v>
      </c>
      <c r="E3084" s="787">
        <v>1.53</v>
      </c>
      <c r="F3084" s="788">
        <v>39456</v>
      </c>
      <c r="G3084" s="788">
        <v>39975</v>
      </c>
      <c r="H3084" s="787">
        <v>1</v>
      </c>
      <c r="I3084" s="788">
        <v>41477</v>
      </c>
      <c r="J3084" s="788">
        <v>39969</v>
      </c>
      <c r="L3084" s="787">
        <v>1.1000000000000001</v>
      </c>
      <c r="M3084" s="787">
        <v>10</v>
      </c>
      <c r="N3084" s="787">
        <v>1.95</v>
      </c>
      <c r="O3084" s="788">
        <v>42082</v>
      </c>
    </row>
    <row r="3085" spans="1:15" x14ac:dyDescent="0.25">
      <c r="A3085" s="786" t="s">
        <v>6302</v>
      </c>
      <c r="B3085" s="787">
        <v>4</v>
      </c>
      <c r="C3085" s="787" t="s">
        <v>6303</v>
      </c>
      <c r="D3085" s="787">
        <v>0.51</v>
      </c>
      <c r="E3085" s="787">
        <v>1.53</v>
      </c>
      <c r="F3085" s="788">
        <v>39456</v>
      </c>
      <c r="G3085" s="788">
        <v>39975</v>
      </c>
      <c r="H3085" s="787">
        <v>1</v>
      </c>
      <c r="I3085" s="788">
        <v>41477</v>
      </c>
      <c r="J3085" s="788">
        <v>39969</v>
      </c>
      <c r="L3085" s="787">
        <v>1.1000000000000001</v>
      </c>
      <c r="M3085" s="787">
        <v>10</v>
      </c>
      <c r="N3085" s="787">
        <v>1.57</v>
      </c>
      <c r="O3085" s="788">
        <v>42082</v>
      </c>
    </row>
    <row r="3086" spans="1:15" x14ac:dyDescent="0.25">
      <c r="A3086" s="786" t="s">
        <v>6304</v>
      </c>
      <c r="B3086" s="787">
        <v>4</v>
      </c>
      <c r="C3086" s="787" t="s">
        <v>6305</v>
      </c>
      <c r="D3086" s="787">
        <v>0.42</v>
      </c>
      <c r="E3086" s="787">
        <v>0.69</v>
      </c>
      <c r="F3086" s="788">
        <v>39456</v>
      </c>
      <c r="G3086" s="788">
        <v>41943</v>
      </c>
      <c r="H3086" s="787">
        <v>1</v>
      </c>
      <c r="I3086" s="788">
        <v>41477</v>
      </c>
      <c r="J3086" s="788">
        <v>40344</v>
      </c>
      <c r="L3086" s="787">
        <v>0</v>
      </c>
      <c r="M3086" s="787">
        <v>10</v>
      </c>
      <c r="N3086" s="787">
        <v>0.78</v>
      </c>
      <c r="O3086" s="788">
        <v>42082</v>
      </c>
    </row>
    <row r="3087" spans="1:15" x14ac:dyDescent="0.25">
      <c r="A3087" s="786" t="s">
        <v>6306</v>
      </c>
      <c r="B3087" s="787">
        <v>4</v>
      </c>
      <c r="C3087" s="787" t="s">
        <v>6307</v>
      </c>
      <c r="D3087" s="787">
        <v>1.4</v>
      </c>
      <c r="E3087" s="787">
        <v>1.4</v>
      </c>
      <c r="F3087" s="788">
        <v>39975</v>
      </c>
      <c r="G3087" s="788">
        <v>41565</v>
      </c>
      <c r="H3087" s="787">
        <v>1</v>
      </c>
      <c r="I3087" s="788">
        <v>40212</v>
      </c>
      <c r="J3087" s="788">
        <v>39884</v>
      </c>
      <c r="K3087" s="788">
        <v>42046</v>
      </c>
      <c r="L3087" s="787">
        <v>1.98</v>
      </c>
      <c r="M3087" s="787">
        <v>10</v>
      </c>
      <c r="N3087" s="787">
        <v>18.29</v>
      </c>
      <c r="O3087" s="788">
        <v>42123</v>
      </c>
    </row>
    <row r="3088" spans="1:15" x14ac:dyDescent="0.25">
      <c r="A3088" s="786" t="s">
        <v>6308</v>
      </c>
      <c r="B3088" s="787">
        <v>4</v>
      </c>
      <c r="C3088" s="787" t="s">
        <v>6309</v>
      </c>
      <c r="D3088" s="787">
        <v>6.36</v>
      </c>
      <c r="E3088" s="787">
        <v>66.36</v>
      </c>
      <c r="F3088" s="788">
        <v>39975</v>
      </c>
      <c r="G3088" s="788">
        <v>39590</v>
      </c>
      <c r="H3088" s="787">
        <v>1</v>
      </c>
      <c r="I3088" s="788">
        <v>39134</v>
      </c>
      <c r="J3088" s="788">
        <v>39149</v>
      </c>
      <c r="L3088" s="787">
        <v>0</v>
      </c>
      <c r="M3088" s="787">
        <v>10</v>
      </c>
      <c r="N3088" s="787">
        <v>93.98</v>
      </c>
      <c r="O3088" s="788">
        <v>42082</v>
      </c>
    </row>
    <row r="3089" spans="1:15" x14ac:dyDescent="0.25">
      <c r="A3089" s="786" t="s">
        <v>6310</v>
      </c>
      <c r="B3089" s="787">
        <v>4</v>
      </c>
      <c r="C3089" s="787" t="s">
        <v>6311</v>
      </c>
      <c r="D3089" s="787">
        <v>6.36</v>
      </c>
      <c r="E3089" s="787">
        <v>66.36</v>
      </c>
      <c r="F3089" s="788">
        <v>39975</v>
      </c>
      <c r="G3089" s="788">
        <v>41943</v>
      </c>
      <c r="H3089" s="787">
        <v>1</v>
      </c>
      <c r="I3089" s="788">
        <v>40807</v>
      </c>
      <c r="J3089" s="788">
        <v>40444</v>
      </c>
      <c r="L3089" s="787">
        <v>0</v>
      </c>
      <c r="M3089" s="787">
        <v>10</v>
      </c>
      <c r="N3089" s="787">
        <v>95.28</v>
      </c>
      <c r="O3089" s="788">
        <v>42123</v>
      </c>
    </row>
    <row r="3090" spans="1:15" x14ac:dyDescent="0.25">
      <c r="A3090" s="786" t="s">
        <v>6312</v>
      </c>
      <c r="B3090" s="787">
        <v>4</v>
      </c>
      <c r="C3090" s="787" t="s">
        <v>6313</v>
      </c>
      <c r="D3090" s="787">
        <v>2.66</v>
      </c>
      <c r="E3090" s="787">
        <v>62.66</v>
      </c>
      <c r="F3090" s="788">
        <v>39975</v>
      </c>
      <c r="G3090" s="788">
        <v>40178</v>
      </c>
      <c r="H3090" s="787">
        <v>1</v>
      </c>
      <c r="I3090" s="788">
        <v>39134</v>
      </c>
      <c r="J3090" s="788">
        <v>40049</v>
      </c>
      <c r="L3090" s="787">
        <v>0</v>
      </c>
      <c r="M3090" s="787">
        <v>10</v>
      </c>
      <c r="N3090" s="787">
        <v>94.76</v>
      </c>
      <c r="O3090" s="788">
        <v>42082</v>
      </c>
    </row>
    <row r="3091" spans="1:15" x14ac:dyDescent="0.25">
      <c r="A3091" s="786" t="s">
        <v>6314</v>
      </c>
      <c r="B3091" s="787">
        <v>4</v>
      </c>
      <c r="C3091" s="787" t="s">
        <v>6315</v>
      </c>
      <c r="D3091" s="787">
        <v>8.34</v>
      </c>
      <c r="E3091" s="787">
        <v>88.34</v>
      </c>
      <c r="F3091" s="788">
        <v>39975</v>
      </c>
      <c r="G3091" s="788">
        <v>41943</v>
      </c>
      <c r="H3091" s="787">
        <v>1</v>
      </c>
      <c r="I3091" s="788">
        <v>41065</v>
      </c>
      <c r="J3091" s="788">
        <v>40241</v>
      </c>
      <c r="L3091" s="787">
        <v>0</v>
      </c>
      <c r="M3091" s="787">
        <v>10</v>
      </c>
      <c r="N3091" s="787">
        <v>97.05</v>
      </c>
      <c r="O3091" s="788">
        <v>42123</v>
      </c>
    </row>
    <row r="3092" spans="1:15" x14ac:dyDescent="0.25">
      <c r="A3092" s="786" t="s">
        <v>6316</v>
      </c>
      <c r="B3092" s="787">
        <v>4</v>
      </c>
      <c r="C3092" s="787" t="s">
        <v>6317</v>
      </c>
      <c r="D3092" s="787">
        <v>8.5500000000000007</v>
      </c>
      <c r="E3092" s="787">
        <v>78.55</v>
      </c>
      <c r="F3092" s="788">
        <v>39975</v>
      </c>
      <c r="G3092" s="788">
        <v>40178</v>
      </c>
      <c r="H3092" s="787">
        <v>1</v>
      </c>
      <c r="I3092" s="788">
        <v>39134</v>
      </c>
      <c r="J3092" s="788">
        <v>40043</v>
      </c>
      <c r="L3092" s="787">
        <v>0</v>
      </c>
      <c r="M3092" s="787">
        <v>10</v>
      </c>
      <c r="N3092" s="787">
        <v>95.54</v>
      </c>
      <c r="O3092" s="788">
        <v>42082</v>
      </c>
    </row>
    <row r="3093" spans="1:15" x14ac:dyDescent="0.25">
      <c r="A3093" s="786" t="s">
        <v>6318</v>
      </c>
      <c r="B3093" s="787">
        <v>4</v>
      </c>
      <c r="C3093" s="787" t="s">
        <v>6319</v>
      </c>
      <c r="D3093" s="787">
        <v>8.5500000000000007</v>
      </c>
      <c r="E3093" s="787">
        <v>81.86</v>
      </c>
      <c r="F3093" s="788">
        <v>39975</v>
      </c>
      <c r="G3093" s="788">
        <v>41943</v>
      </c>
      <c r="H3093" s="787">
        <v>1</v>
      </c>
      <c r="I3093" s="788">
        <v>41477</v>
      </c>
      <c r="J3093" s="788">
        <v>40637</v>
      </c>
      <c r="L3093" s="787">
        <v>0</v>
      </c>
      <c r="M3093" s="787">
        <v>10</v>
      </c>
      <c r="N3093" s="787">
        <v>97.04</v>
      </c>
      <c r="O3093" s="788">
        <v>42123</v>
      </c>
    </row>
    <row r="3094" spans="1:15" x14ac:dyDescent="0.25">
      <c r="A3094" s="786" t="s">
        <v>6320</v>
      </c>
      <c r="B3094" s="787">
        <v>4</v>
      </c>
      <c r="C3094" s="787" t="s">
        <v>6321</v>
      </c>
      <c r="D3094" s="787">
        <v>2.21</v>
      </c>
      <c r="E3094" s="787">
        <v>2.21</v>
      </c>
      <c r="F3094" s="788">
        <v>39975</v>
      </c>
      <c r="G3094" s="788">
        <v>41943</v>
      </c>
      <c r="H3094" s="787">
        <v>1</v>
      </c>
      <c r="I3094" s="788">
        <v>40241</v>
      </c>
      <c r="J3094" s="788">
        <v>39848</v>
      </c>
      <c r="L3094" s="787">
        <v>0</v>
      </c>
      <c r="M3094" s="787">
        <v>10</v>
      </c>
      <c r="N3094" s="787">
        <v>5.13</v>
      </c>
      <c r="O3094" s="788">
        <v>42123</v>
      </c>
    </row>
    <row r="3095" spans="1:15" x14ac:dyDescent="0.25">
      <c r="A3095" s="786" t="s">
        <v>6322</v>
      </c>
      <c r="B3095" s="787">
        <v>4</v>
      </c>
      <c r="C3095" s="787" t="s">
        <v>6323</v>
      </c>
      <c r="D3095" s="787">
        <v>6.26</v>
      </c>
      <c r="E3095" s="787">
        <v>66.260000000000005</v>
      </c>
      <c r="F3095" s="788">
        <v>39975</v>
      </c>
      <c r="G3095" s="788">
        <v>40178</v>
      </c>
      <c r="H3095" s="787">
        <v>1</v>
      </c>
      <c r="I3095" s="788">
        <v>39134</v>
      </c>
      <c r="J3095" s="788">
        <v>40025</v>
      </c>
      <c r="L3095" s="787">
        <v>0</v>
      </c>
      <c r="M3095" s="787">
        <v>10</v>
      </c>
      <c r="N3095" s="787">
        <v>94.95</v>
      </c>
      <c r="O3095" s="788">
        <v>42082</v>
      </c>
    </row>
    <row r="3096" spans="1:15" x14ac:dyDescent="0.25">
      <c r="A3096" s="786" t="s">
        <v>6324</v>
      </c>
      <c r="B3096" s="787">
        <v>4</v>
      </c>
      <c r="C3096" s="787" t="s">
        <v>6325</v>
      </c>
      <c r="D3096" s="787">
        <v>3.51</v>
      </c>
      <c r="E3096" s="787">
        <v>83.51</v>
      </c>
      <c r="F3096" s="788">
        <v>40644</v>
      </c>
      <c r="G3096" s="788">
        <v>41255</v>
      </c>
      <c r="H3096" s="787">
        <v>1</v>
      </c>
      <c r="I3096" s="788">
        <v>41320</v>
      </c>
      <c r="J3096" s="788">
        <v>41557</v>
      </c>
      <c r="K3096" s="788">
        <v>41557</v>
      </c>
      <c r="L3096" s="787">
        <v>100</v>
      </c>
      <c r="M3096" s="787">
        <v>10</v>
      </c>
      <c r="N3096" s="787">
        <v>97.25</v>
      </c>
      <c r="O3096" s="788">
        <v>42082</v>
      </c>
    </row>
    <row r="3097" spans="1:15" x14ac:dyDescent="0.25">
      <c r="A3097" s="786" t="s">
        <v>6326</v>
      </c>
      <c r="B3097" s="787">
        <v>4</v>
      </c>
      <c r="C3097" s="787" t="s">
        <v>6327</v>
      </c>
      <c r="D3097" s="787">
        <v>9.8000000000000007</v>
      </c>
      <c r="E3097" s="787">
        <v>9.8000000000000007</v>
      </c>
      <c r="F3097" s="788">
        <v>39101</v>
      </c>
      <c r="G3097" s="788">
        <v>39101</v>
      </c>
      <c r="H3097" s="787">
        <v>1</v>
      </c>
      <c r="I3097" s="788">
        <v>40833</v>
      </c>
      <c r="J3097" s="788">
        <v>39842</v>
      </c>
      <c r="L3097" s="787">
        <v>9.8000000000000007</v>
      </c>
      <c r="M3097" s="787">
        <v>20</v>
      </c>
      <c r="N3097" s="787">
        <v>10.54</v>
      </c>
      <c r="O3097" s="788">
        <v>42123</v>
      </c>
    </row>
    <row r="3098" spans="1:15" x14ac:dyDescent="0.25">
      <c r="A3098" s="786" t="s">
        <v>6328</v>
      </c>
      <c r="B3098" s="787">
        <v>4</v>
      </c>
      <c r="C3098" s="787" t="s">
        <v>6329</v>
      </c>
      <c r="D3098" s="787">
        <v>9.8000000000000007</v>
      </c>
      <c r="E3098" s="787">
        <v>16.45</v>
      </c>
      <c r="F3098" s="788">
        <v>39100</v>
      </c>
      <c r="G3098" s="788">
        <v>40731</v>
      </c>
      <c r="H3098" s="787">
        <v>1</v>
      </c>
      <c r="I3098" s="788">
        <v>41477</v>
      </c>
      <c r="J3098" s="788">
        <v>40731</v>
      </c>
      <c r="K3098" s="788">
        <v>40704</v>
      </c>
      <c r="L3098" s="787">
        <v>16.45</v>
      </c>
      <c r="M3098" s="787">
        <v>20</v>
      </c>
      <c r="N3098" s="787">
        <v>17.68</v>
      </c>
      <c r="O3098" s="788">
        <v>42123</v>
      </c>
    </row>
    <row r="3099" spans="1:15" x14ac:dyDescent="0.25">
      <c r="A3099" s="786" t="s">
        <v>6330</v>
      </c>
      <c r="B3099" s="787">
        <v>4</v>
      </c>
      <c r="C3099" s="787" t="s">
        <v>6331</v>
      </c>
      <c r="D3099" s="787">
        <v>9.73</v>
      </c>
      <c r="E3099" s="787">
        <v>10.050000000000001</v>
      </c>
      <c r="F3099" s="788">
        <v>40038</v>
      </c>
      <c r="G3099" s="788">
        <v>40914</v>
      </c>
      <c r="H3099" s="787">
        <v>1</v>
      </c>
      <c r="I3099" s="788">
        <v>40822</v>
      </c>
      <c r="J3099" s="788">
        <v>40387</v>
      </c>
      <c r="K3099" s="788">
        <v>40030</v>
      </c>
      <c r="L3099" s="787">
        <v>9.73</v>
      </c>
      <c r="M3099" s="787">
        <v>20</v>
      </c>
      <c r="N3099" s="787">
        <v>10.46</v>
      </c>
      <c r="O3099" s="788">
        <v>42123</v>
      </c>
    </row>
    <row r="3100" spans="1:15" x14ac:dyDescent="0.25">
      <c r="A3100" s="786" t="s">
        <v>6332</v>
      </c>
      <c r="B3100" s="787">
        <v>4</v>
      </c>
      <c r="C3100" s="787" t="s">
        <v>6333</v>
      </c>
      <c r="D3100" s="787">
        <v>9.8000000000000007</v>
      </c>
      <c r="E3100" s="787">
        <v>10.119999999999999</v>
      </c>
      <c r="F3100" s="788">
        <v>39101</v>
      </c>
      <c r="G3100" s="788">
        <v>40914</v>
      </c>
      <c r="H3100" s="787">
        <v>1</v>
      </c>
      <c r="I3100" s="788">
        <v>41207</v>
      </c>
      <c r="J3100" s="788">
        <v>40387</v>
      </c>
      <c r="L3100" s="787">
        <v>10.119999999999999</v>
      </c>
      <c r="M3100" s="787">
        <v>20</v>
      </c>
      <c r="N3100" s="787">
        <v>10.88</v>
      </c>
      <c r="O3100" s="788">
        <v>42123</v>
      </c>
    </row>
    <row r="3101" spans="1:15" x14ac:dyDescent="0.25">
      <c r="A3101" s="786" t="s">
        <v>6334</v>
      </c>
      <c r="B3101" s="787">
        <v>4</v>
      </c>
      <c r="C3101" s="787" t="s">
        <v>6335</v>
      </c>
      <c r="D3101" s="787">
        <v>9.8000000000000007</v>
      </c>
      <c r="E3101" s="787">
        <v>10.17</v>
      </c>
      <c r="F3101" s="788">
        <v>39101</v>
      </c>
      <c r="G3101" s="788">
        <v>41282</v>
      </c>
      <c r="H3101" s="787">
        <v>1</v>
      </c>
      <c r="I3101" s="788">
        <v>40430</v>
      </c>
      <c r="J3101" s="788">
        <v>40123</v>
      </c>
      <c r="L3101" s="787">
        <v>10.17</v>
      </c>
      <c r="M3101" s="787">
        <v>20</v>
      </c>
      <c r="N3101" s="787">
        <v>10.93</v>
      </c>
      <c r="O3101" s="788">
        <v>42123</v>
      </c>
    </row>
    <row r="3102" spans="1:15" x14ac:dyDescent="0.25">
      <c r="A3102" s="786" t="s">
        <v>6336</v>
      </c>
      <c r="B3102" s="787">
        <v>4</v>
      </c>
      <c r="C3102" s="787" t="s">
        <v>6337</v>
      </c>
      <c r="D3102" s="787">
        <v>9.8000000000000007</v>
      </c>
      <c r="E3102" s="787">
        <v>10.67</v>
      </c>
      <c r="F3102" s="788">
        <v>39101</v>
      </c>
      <c r="G3102" s="788">
        <v>41255</v>
      </c>
      <c r="H3102" s="787">
        <v>1</v>
      </c>
      <c r="I3102" s="788">
        <v>40798</v>
      </c>
      <c r="J3102" s="788">
        <v>40472</v>
      </c>
      <c r="L3102" s="787">
        <v>10.67</v>
      </c>
      <c r="M3102" s="787">
        <v>20</v>
      </c>
      <c r="N3102" s="787">
        <v>11.47</v>
      </c>
      <c r="O3102" s="788">
        <v>42123</v>
      </c>
    </row>
    <row r="3103" spans="1:15" x14ac:dyDescent="0.25">
      <c r="A3103" s="786" t="s">
        <v>6338</v>
      </c>
      <c r="B3103" s="787">
        <v>4</v>
      </c>
      <c r="C3103" s="787" t="s">
        <v>6339</v>
      </c>
      <c r="D3103" s="787">
        <v>0.8</v>
      </c>
      <c r="E3103" s="787">
        <v>12.25</v>
      </c>
      <c r="F3103" s="788">
        <v>39101</v>
      </c>
      <c r="G3103" s="788">
        <v>41282</v>
      </c>
      <c r="H3103" s="787">
        <v>1</v>
      </c>
      <c r="I3103" s="788">
        <v>40507</v>
      </c>
      <c r="J3103" s="788">
        <v>40123</v>
      </c>
      <c r="L3103" s="787">
        <v>12.25</v>
      </c>
      <c r="M3103" s="787">
        <v>20</v>
      </c>
      <c r="N3103" s="787">
        <v>13.17</v>
      </c>
      <c r="O3103" s="788">
        <v>42123</v>
      </c>
    </row>
    <row r="3104" spans="1:15" x14ac:dyDescent="0.25">
      <c r="A3104" s="786" t="s">
        <v>6340</v>
      </c>
      <c r="B3104" s="787">
        <v>4</v>
      </c>
      <c r="C3104" s="787" t="s">
        <v>6341</v>
      </c>
      <c r="D3104" s="787">
        <v>9.8000000000000007</v>
      </c>
      <c r="E3104" s="787">
        <v>12.18</v>
      </c>
      <c r="F3104" s="788">
        <v>39101</v>
      </c>
      <c r="G3104" s="788">
        <v>41646</v>
      </c>
      <c r="H3104" s="787">
        <v>1</v>
      </c>
      <c r="I3104" s="788">
        <v>41486</v>
      </c>
      <c r="J3104" s="788">
        <v>40387</v>
      </c>
      <c r="L3104" s="787">
        <v>12.18</v>
      </c>
      <c r="M3104" s="787">
        <v>20</v>
      </c>
      <c r="N3104" s="787">
        <v>13.09</v>
      </c>
      <c r="O3104" s="788">
        <v>42123</v>
      </c>
    </row>
    <row r="3105" spans="1:15" x14ac:dyDescent="0.25">
      <c r="A3105" s="786" t="s">
        <v>6342</v>
      </c>
      <c r="B3105" s="787">
        <v>4</v>
      </c>
      <c r="C3105" s="787" t="s">
        <v>6343</v>
      </c>
      <c r="D3105" s="787">
        <v>9.8000000000000007</v>
      </c>
      <c r="E3105" s="787">
        <v>12.25</v>
      </c>
      <c r="F3105" s="788">
        <v>39101</v>
      </c>
      <c r="G3105" s="788">
        <v>40914</v>
      </c>
      <c r="H3105" s="787">
        <v>1</v>
      </c>
      <c r="I3105" s="788">
        <v>40497</v>
      </c>
      <c r="J3105" s="788">
        <v>40123</v>
      </c>
      <c r="L3105" s="787">
        <v>12.25</v>
      </c>
      <c r="M3105" s="787">
        <v>20</v>
      </c>
      <c r="N3105" s="787">
        <v>13.17</v>
      </c>
      <c r="O3105" s="788">
        <v>42123</v>
      </c>
    </row>
    <row r="3106" spans="1:15" x14ac:dyDescent="0.25">
      <c r="A3106" s="786" t="s">
        <v>6344</v>
      </c>
      <c r="B3106" s="787">
        <v>4</v>
      </c>
      <c r="C3106" s="787" t="s">
        <v>6345</v>
      </c>
      <c r="D3106" s="787">
        <v>1.47</v>
      </c>
      <c r="E3106" s="787">
        <v>11.8</v>
      </c>
      <c r="F3106" s="788">
        <v>39101</v>
      </c>
      <c r="G3106" s="788">
        <v>42013</v>
      </c>
      <c r="H3106" s="787">
        <v>1</v>
      </c>
      <c r="I3106" s="788">
        <v>41127</v>
      </c>
      <c r="J3106" s="788">
        <v>40472</v>
      </c>
      <c r="L3106" s="787">
        <v>11.8</v>
      </c>
      <c r="M3106" s="787">
        <v>20</v>
      </c>
      <c r="N3106" s="787">
        <v>12.69</v>
      </c>
      <c r="O3106" s="788">
        <v>42123</v>
      </c>
    </row>
    <row r="3107" spans="1:15" x14ac:dyDescent="0.25">
      <c r="A3107" s="786" t="s">
        <v>6346</v>
      </c>
      <c r="B3107" s="787">
        <v>4</v>
      </c>
      <c r="C3107" s="787" t="s">
        <v>6347</v>
      </c>
      <c r="D3107" s="787">
        <v>0</v>
      </c>
      <c r="E3107" s="787">
        <v>0</v>
      </c>
      <c r="H3107" s="787">
        <v>6</v>
      </c>
      <c r="I3107" s="788">
        <v>39843</v>
      </c>
      <c r="K3107" s="788">
        <v>39854</v>
      </c>
      <c r="L3107" s="787">
        <v>9.8000000000000007</v>
      </c>
      <c r="M3107" s="787">
        <v>20</v>
      </c>
      <c r="N3107" s="787">
        <v>10.54</v>
      </c>
      <c r="O3107" s="788">
        <v>41543</v>
      </c>
    </row>
    <row r="3108" spans="1:15" x14ac:dyDescent="0.25">
      <c r="A3108" s="786" t="s">
        <v>6348</v>
      </c>
      <c r="B3108" s="787">
        <v>4</v>
      </c>
      <c r="C3108" s="787" t="s">
        <v>6349</v>
      </c>
      <c r="D3108" s="787">
        <v>0</v>
      </c>
      <c r="E3108" s="787">
        <v>0</v>
      </c>
      <c r="H3108" s="787">
        <v>1</v>
      </c>
      <c r="I3108" s="788">
        <v>39800</v>
      </c>
      <c r="L3108" s="787">
        <v>0</v>
      </c>
      <c r="M3108" s="787">
        <v>20</v>
      </c>
      <c r="N3108" s="787">
        <v>0</v>
      </c>
      <c r="O3108" s="788">
        <v>40824</v>
      </c>
    </row>
    <row r="3109" spans="1:15" x14ac:dyDescent="0.25">
      <c r="A3109" s="786" t="s">
        <v>6350</v>
      </c>
      <c r="B3109" s="787">
        <v>4</v>
      </c>
      <c r="C3109" s="787" t="s">
        <v>6351</v>
      </c>
      <c r="D3109" s="787">
        <v>0.68</v>
      </c>
      <c r="E3109" s="787">
        <v>10.68</v>
      </c>
      <c r="F3109" s="788">
        <v>39974</v>
      </c>
      <c r="H3109" s="787">
        <v>6</v>
      </c>
      <c r="I3109" s="788">
        <v>39829</v>
      </c>
      <c r="K3109" s="788">
        <v>39854</v>
      </c>
      <c r="L3109" s="787">
        <v>9.8000000000000007</v>
      </c>
      <c r="M3109" s="787">
        <v>20</v>
      </c>
      <c r="N3109" s="787">
        <v>11.48</v>
      </c>
      <c r="O3109" s="788">
        <v>41543</v>
      </c>
    </row>
    <row r="3110" spans="1:15" x14ac:dyDescent="0.25">
      <c r="A3110" s="786" t="s">
        <v>6352</v>
      </c>
      <c r="B3110" s="787">
        <v>4</v>
      </c>
      <c r="C3110" s="787" t="s">
        <v>6353</v>
      </c>
      <c r="D3110" s="787">
        <v>0</v>
      </c>
      <c r="E3110" s="787">
        <v>0</v>
      </c>
      <c r="H3110" s="787">
        <v>6</v>
      </c>
      <c r="I3110" s="788">
        <v>39829</v>
      </c>
      <c r="K3110" s="788">
        <v>39854</v>
      </c>
      <c r="L3110" s="787">
        <v>9.8000000000000007</v>
      </c>
      <c r="M3110" s="787">
        <v>20</v>
      </c>
      <c r="N3110" s="787">
        <v>10.54</v>
      </c>
      <c r="O3110" s="788">
        <v>41543</v>
      </c>
    </row>
    <row r="3111" spans="1:15" x14ac:dyDescent="0.25">
      <c r="A3111" s="786" t="s">
        <v>6354</v>
      </c>
      <c r="B3111" s="787">
        <v>4</v>
      </c>
      <c r="C3111" s="787" t="s">
        <v>6355</v>
      </c>
      <c r="D3111" s="787">
        <v>0</v>
      </c>
      <c r="E3111" s="787">
        <v>0</v>
      </c>
      <c r="H3111" s="787">
        <v>1</v>
      </c>
      <c r="L3111" s="787">
        <v>0</v>
      </c>
      <c r="M3111" s="787">
        <v>20</v>
      </c>
      <c r="N3111" s="787">
        <v>0</v>
      </c>
      <c r="O3111" s="788">
        <v>40824</v>
      </c>
    </row>
    <row r="3112" spans="1:15" x14ac:dyDescent="0.25">
      <c r="A3112" s="786" t="s">
        <v>6356</v>
      </c>
      <c r="B3112" s="787">
        <v>4</v>
      </c>
      <c r="C3112" s="787" t="s">
        <v>6357</v>
      </c>
      <c r="D3112" s="787">
        <v>0</v>
      </c>
      <c r="E3112" s="787">
        <v>0</v>
      </c>
      <c r="H3112" s="787">
        <v>6</v>
      </c>
      <c r="I3112" s="788">
        <v>39829</v>
      </c>
      <c r="K3112" s="788">
        <v>39854</v>
      </c>
      <c r="L3112" s="787">
        <v>9.8000000000000007</v>
      </c>
      <c r="M3112" s="787">
        <v>20</v>
      </c>
      <c r="N3112" s="787">
        <v>10.54</v>
      </c>
      <c r="O3112" s="788">
        <v>41543</v>
      </c>
    </row>
    <row r="3113" spans="1:15" x14ac:dyDescent="0.25">
      <c r="A3113" s="786" t="s">
        <v>6358</v>
      </c>
      <c r="B3113" s="787">
        <v>4</v>
      </c>
      <c r="C3113" s="787" t="s">
        <v>6359</v>
      </c>
      <c r="D3113" s="787">
        <v>0</v>
      </c>
      <c r="E3113" s="787">
        <v>0</v>
      </c>
      <c r="H3113" s="787">
        <v>6</v>
      </c>
      <c r="I3113" s="788">
        <v>39856</v>
      </c>
      <c r="L3113" s="787">
        <v>0.01</v>
      </c>
      <c r="M3113" s="787">
        <v>20</v>
      </c>
      <c r="N3113" s="787">
        <v>0.01</v>
      </c>
      <c r="O3113" s="788">
        <v>41543</v>
      </c>
    </row>
    <row r="3114" spans="1:15" x14ac:dyDescent="0.25">
      <c r="A3114" s="786" t="s">
        <v>6360</v>
      </c>
      <c r="B3114" s="787">
        <v>4</v>
      </c>
      <c r="C3114" s="787" t="s">
        <v>6361</v>
      </c>
      <c r="D3114" s="787">
        <v>0</v>
      </c>
      <c r="E3114" s="787">
        <v>0</v>
      </c>
      <c r="H3114" s="787">
        <v>6</v>
      </c>
      <c r="I3114" s="788">
        <v>39888</v>
      </c>
      <c r="L3114" s="787">
        <v>0.01</v>
      </c>
      <c r="M3114" s="787">
        <v>20</v>
      </c>
      <c r="N3114" s="787">
        <v>0.01</v>
      </c>
      <c r="O3114" s="788">
        <v>41543</v>
      </c>
    </row>
    <row r="3115" spans="1:15" x14ac:dyDescent="0.25">
      <c r="A3115" s="786" t="s">
        <v>6362</v>
      </c>
      <c r="B3115" s="787">
        <v>4</v>
      </c>
      <c r="C3115" s="787" t="s">
        <v>6363</v>
      </c>
      <c r="D3115" s="787">
        <v>0</v>
      </c>
      <c r="E3115" s="787">
        <v>0</v>
      </c>
      <c r="H3115" s="787">
        <v>6</v>
      </c>
      <c r="I3115" s="788">
        <v>39860</v>
      </c>
      <c r="L3115" s="787">
        <v>0.01</v>
      </c>
      <c r="M3115" s="787">
        <v>20</v>
      </c>
      <c r="N3115" s="787">
        <v>0.01</v>
      </c>
      <c r="O3115" s="788">
        <v>41543</v>
      </c>
    </row>
    <row r="3116" spans="1:15" x14ac:dyDescent="0.25">
      <c r="A3116" s="786" t="s">
        <v>6364</v>
      </c>
      <c r="B3116" s="787">
        <v>4</v>
      </c>
      <c r="C3116" s="787" t="s">
        <v>6365</v>
      </c>
      <c r="D3116" s="787">
        <v>0</v>
      </c>
      <c r="E3116" s="787">
        <v>0</v>
      </c>
      <c r="H3116" s="787">
        <v>6</v>
      </c>
      <c r="I3116" s="788">
        <v>40151</v>
      </c>
      <c r="K3116" s="788">
        <v>39854</v>
      </c>
      <c r="L3116" s="787">
        <v>11.8</v>
      </c>
      <c r="M3116" s="787">
        <v>20</v>
      </c>
      <c r="N3116" s="787">
        <v>12.69</v>
      </c>
      <c r="O3116" s="788">
        <v>41543</v>
      </c>
    </row>
    <row r="3117" spans="1:15" x14ac:dyDescent="0.25">
      <c r="A3117" s="786" t="s">
        <v>6366</v>
      </c>
      <c r="B3117" s="787">
        <v>4</v>
      </c>
      <c r="C3117" s="787" t="s">
        <v>6367</v>
      </c>
      <c r="D3117" s="787">
        <v>0</v>
      </c>
      <c r="E3117" s="787">
        <v>0</v>
      </c>
      <c r="H3117" s="787">
        <v>1</v>
      </c>
      <c r="I3117" s="788">
        <v>41065</v>
      </c>
      <c r="L3117" s="787">
        <v>0</v>
      </c>
      <c r="M3117" s="787">
        <v>10</v>
      </c>
      <c r="N3117" s="787">
        <v>3.19</v>
      </c>
      <c r="O3117" s="788">
        <v>42082</v>
      </c>
    </row>
    <row r="3118" spans="1:15" x14ac:dyDescent="0.25">
      <c r="A3118" s="786" t="s">
        <v>6368</v>
      </c>
      <c r="B3118" s="787">
        <v>4</v>
      </c>
      <c r="C3118" s="787" t="s">
        <v>6369</v>
      </c>
      <c r="D3118" s="787">
        <v>0</v>
      </c>
      <c r="E3118" s="787">
        <v>0</v>
      </c>
      <c r="H3118" s="787">
        <v>1</v>
      </c>
      <c r="I3118" s="788">
        <v>40833</v>
      </c>
      <c r="J3118" s="788">
        <v>39101</v>
      </c>
      <c r="L3118" s="787">
        <v>0</v>
      </c>
      <c r="M3118" s="787">
        <v>10</v>
      </c>
      <c r="N3118" s="787">
        <v>3.22</v>
      </c>
      <c r="O3118" s="788">
        <v>42082</v>
      </c>
    </row>
    <row r="3119" spans="1:15" x14ac:dyDescent="0.25">
      <c r="A3119" s="786" t="s">
        <v>6370</v>
      </c>
      <c r="B3119" s="787">
        <v>4</v>
      </c>
      <c r="C3119" s="787" t="s">
        <v>6371</v>
      </c>
      <c r="D3119" s="787">
        <v>0</v>
      </c>
      <c r="E3119" s="787">
        <v>0</v>
      </c>
      <c r="H3119" s="787">
        <v>1</v>
      </c>
      <c r="I3119" s="788">
        <v>41477</v>
      </c>
      <c r="J3119" s="788">
        <v>39101</v>
      </c>
      <c r="L3119" s="787">
        <v>0</v>
      </c>
      <c r="M3119" s="787">
        <v>10</v>
      </c>
      <c r="N3119" s="787">
        <v>3.27</v>
      </c>
      <c r="O3119" s="788">
        <v>42082</v>
      </c>
    </row>
    <row r="3120" spans="1:15" x14ac:dyDescent="0.25">
      <c r="A3120" s="786" t="s">
        <v>6372</v>
      </c>
      <c r="B3120" s="787">
        <v>4</v>
      </c>
      <c r="C3120" s="787" t="s">
        <v>6373</v>
      </c>
      <c r="D3120" s="787">
        <v>0</v>
      </c>
      <c r="E3120" s="787">
        <v>0</v>
      </c>
      <c r="H3120" s="787">
        <v>1</v>
      </c>
      <c r="I3120" s="788">
        <v>39888</v>
      </c>
      <c r="J3120" s="788">
        <v>39101</v>
      </c>
      <c r="L3120" s="787">
        <v>0</v>
      </c>
      <c r="M3120" s="787">
        <v>10</v>
      </c>
      <c r="N3120" s="787">
        <v>3.33</v>
      </c>
      <c r="O3120" s="788">
        <v>42082</v>
      </c>
    </row>
    <row r="3121" spans="1:15" x14ac:dyDescent="0.25">
      <c r="A3121" s="786" t="s">
        <v>6374</v>
      </c>
      <c r="B3121" s="787">
        <v>4</v>
      </c>
      <c r="C3121" s="787" t="s">
        <v>6375</v>
      </c>
      <c r="D3121" s="787">
        <v>0</v>
      </c>
      <c r="E3121" s="787">
        <v>0</v>
      </c>
      <c r="H3121" s="787">
        <v>1</v>
      </c>
      <c r="I3121" s="788">
        <v>41207</v>
      </c>
      <c r="J3121" s="788">
        <v>39101</v>
      </c>
      <c r="L3121" s="787">
        <v>0</v>
      </c>
      <c r="M3121" s="787">
        <v>10</v>
      </c>
      <c r="N3121" s="787">
        <v>3.39</v>
      </c>
      <c r="O3121" s="788">
        <v>42082</v>
      </c>
    </row>
    <row r="3122" spans="1:15" x14ac:dyDescent="0.25">
      <c r="A3122" s="786" t="s">
        <v>6376</v>
      </c>
      <c r="B3122" s="787">
        <v>4</v>
      </c>
      <c r="C3122" s="787" t="s">
        <v>6377</v>
      </c>
      <c r="D3122" s="787">
        <v>0</v>
      </c>
      <c r="E3122" s="787">
        <v>0</v>
      </c>
      <c r="H3122" s="787">
        <v>1</v>
      </c>
      <c r="I3122" s="788">
        <v>39990</v>
      </c>
      <c r="J3122" s="788">
        <v>39101</v>
      </c>
      <c r="L3122" s="787">
        <v>0</v>
      </c>
      <c r="M3122" s="787">
        <v>10</v>
      </c>
      <c r="N3122" s="787">
        <v>3.44</v>
      </c>
      <c r="O3122" s="788">
        <v>42082</v>
      </c>
    </row>
    <row r="3123" spans="1:15" x14ac:dyDescent="0.25">
      <c r="A3123" s="786" t="s">
        <v>6378</v>
      </c>
      <c r="B3123" s="787">
        <v>4</v>
      </c>
      <c r="C3123" s="787" t="s">
        <v>6379</v>
      </c>
      <c r="D3123" s="787">
        <v>0</v>
      </c>
      <c r="E3123" s="787">
        <v>0</v>
      </c>
      <c r="H3123" s="787">
        <v>1</v>
      </c>
      <c r="I3123" s="788">
        <v>40024</v>
      </c>
      <c r="L3123" s="787">
        <v>0</v>
      </c>
      <c r="M3123" s="787">
        <v>10</v>
      </c>
      <c r="N3123" s="787">
        <v>3.5</v>
      </c>
      <c r="O3123" s="788">
        <v>42082</v>
      </c>
    </row>
    <row r="3124" spans="1:15" x14ac:dyDescent="0.25">
      <c r="A3124" s="786" t="s">
        <v>6380</v>
      </c>
      <c r="B3124" s="787">
        <v>4</v>
      </c>
      <c r="C3124" s="787" t="s">
        <v>6381</v>
      </c>
      <c r="D3124" s="787">
        <v>0</v>
      </c>
      <c r="E3124" s="787">
        <v>0</v>
      </c>
      <c r="H3124" s="787">
        <v>1</v>
      </c>
      <c r="I3124" s="788">
        <v>39888</v>
      </c>
      <c r="J3124" s="788">
        <v>39101</v>
      </c>
      <c r="L3124" s="787">
        <v>0</v>
      </c>
      <c r="M3124" s="787">
        <v>10</v>
      </c>
      <c r="N3124" s="787">
        <v>3.55</v>
      </c>
      <c r="O3124" s="788">
        <v>42082</v>
      </c>
    </row>
    <row r="3125" spans="1:15" x14ac:dyDescent="0.25">
      <c r="A3125" s="786" t="s">
        <v>6382</v>
      </c>
      <c r="B3125" s="787">
        <v>4</v>
      </c>
      <c r="C3125" s="787" t="s">
        <v>6383</v>
      </c>
      <c r="D3125" s="787">
        <v>0</v>
      </c>
      <c r="E3125" s="787">
        <v>0</v>
      </c>
      <c r="H3125" s="787">
        <v>1</v>
      </c>
      <c r="I3125" s="788">
        <v>41127</v>
      </c>
      <c r="J3125" s="788">
        <v>39101</v>
      </c>
      <c r="L3125" s="787">
        <v>0</v>
      </c>
      <c r="M3125" s="787">
        <v>10</v>
      </c>
      <c r="N3125" s="787">
        <v>3.61</v>
      </c>
      <c r="O3125" s="788">
        <v>42082</v>
      </c>
    </row>
    <row r="3126" spans="1:15" x14ac:dyDescent="0.25">
      <c r="A3126" s="786" t="s">
        <v>6384</v>
      </c>
      <c r="B3126" s="787">
        <v>4</v>
      </c>
      <c r="C3126" s="787" t="s">
        <v>6385</v>
      </c>
      <c r="D3126" s="787">
        <v>0</v>
      </c>
      <c r="E3126" s="787">
        <v>0</v>
      </c>
      <c r="H3126" s="787">
        <v>1</v>
      </c>
      <c r="I3126" s="788">
        <v>39959</v>
      </c>
      <c r="L3126" s="787">
        <v>0</v>
      </c>
      <c r="M3126" s="787">
        <v>10</v>
      </c>
      <c r="N3126" s="787">
        <v>3.66</v>
      </c>
      <c r="O3126" s="788">
        <v>42082</v>
      </c>
    </row>
    <row r="3127" spans="1:15" x14ac:dyDescent="0.25">
      <c r="A3127" s="786" t="s">
        <v>6386</v>
      </c>
      <c r="B3127" s="787">
        <v>4</v>
      </c>
      <c r="C3127" s="787" t="s">
        <v>6387</v>
      </c>
      <c r="D3127" s="787">
        <v>0</v>
      </c>
      <c r="E3127" s="787">
        <v>0</v>
      </c>
      <c r="H3127" s="787">
        <v>1</v>
      </c>
      <c r="I3127" s="788">
        <v>41127</v>
      </c>
      <c r="J3127" s="788">
        <v>39101</v>
      </c>
      <c r="L3127" s="787">
        <v>0</v>
      </c>
      <c r="M3127" s="787">
        <v>10</v>
      </c>
      <c r="N3127" s="787">
        <v>3.72</v>
      </c>
      <c r="O3127" s="788">
        <v>42082</v>
      </c>
    </row>
    <row r="3128" spans="1:15" x14ac:dyDescent="0.25">
      <c r="A3128" s="786" t="s">
        <v>6388</v>
      </c>
      <c r="B3128" s="787">
        <v>4</v>
      </c>
      <c r="C3128" s="787" t="s">
        <v>6389</v>
      </c>
      <c r="D3128" s="787">
        <v>1.3</v>
      </c>
      <c r="E3128" s="787">
        <v>1.3</v>
      </c>
      <c r="F3128" s="788">
        <v>39975</v>
      </c>
      <c r="G3128" s="788">
        <v>41943</v>
      </c>
      <c r="H3128" s="787">
        <v>1</v>
      </c>
      <c r="I3128" s="788">
        <v>41065</v>
      </c>
      <c r="J3128" s="788">
        <v>40457</v>
      </c>
      <c r="L3128" s="787">
        <v>0</v>
      </c>
      <c r="M3128" s="787">
        <v>10</v>
      </c>
      <c r="N3128" s="787">
        <v>6.61</v>
      </c>
      <c r="O3128" s="788">
        <v>42123</v>
      </c>
    </row>
    <row r="3129" spans="1:15" x14ac:dyDescent="0.25">
      <c r="A3129" s="786" t="s">
        <v>6390</v>
      </c>
      <c r="B3129" s="787">
        <v>4</v>
      </c>
      <c r="C3129" s="787" t="s">
        <v>6391</v>
      </c>
      <c r="D3129" s="787">
        <v>1.35</v>
      </c>
      <c r="E3129" s="787">
        <v>1.35</v>
      </c>
      <c r="F3129" s="788">
        <v>39975</v>
      </c>
      <c r="G3129" s="788">
        <v>41943</v>
      </c>
      <c r="H3129" s="787">
        <v>1</v>
      </c>
      <c r="I3129" s="788">
        <v>41023</v>
      </c>
      <c r="J3129" s="788">
        <v>40499</v>
      </c>
      <c r="L3129" s="787">
        <v>0</v>
      </c>
      <c r="M3129" s="787">
        <v>10</v>
      </c>
      <c r="N3129" s="787">
        <v>4.38</v>
      </c>
      <c r="O3129" s="788">
        <v>42123</v>
      </c>
    </row>
    <row r="3130" spans="1:15" x14ac:dyDescent="0.25">
      <c r="A3130" s="786" t="s">
        <v>6392</v>
      </c>
      <c r="B3130" s="787">
        <v>4</v>
      </c>
      <c r="C3130" s="787" t="s">
        <v>6393</v>
      </c>
      <c r="D3130" s="787">
        <v>1.48</v>
      </c>
      <c r="E3130" s="787">
        <v>1.48</v>
      </c>
      <c r="F3130" s="788">
        <v>39975</v>
      </c>
      <c r="G3130" s="788">
        <v>41943</v>
      </c>
      <c r="H3130" s="787">
        <v>1</v>
      </c>
      <c r="I3130" s="788">
        <v>41477</v>
      </c>
      <c r="J3130" s="788">
        <v>40457</v>
      </c>
      <c r="L3130" s="787">
        <v>0</v>
      </c>
      <c r="M3130" s="787">
        <v>10</v>
      </c>
      <c r="N3130" s="787">
        <v>11.04</v>
      </c>
      <c r="O3130" s="788">
        <v>42123</v>
      </c>
    </row>
    <row r="3131" spans="1:15" x14ac:dyDescent="0.25">
      <c r="A3131" s="786" t="s">
        <v>6394</v>
      </c>
      <c r="B3131" s="787">
        <v>4</v>
      </c>
      <c r="C3131" s="787" t="s">
        <v>6395</v>
      </c>
      <c r="D3131" s="787">
        <v>1.61</v>
      </c>
      <c r="E3131" s="787">
        <v>1.61</v>
      </c>
      <c r="F3131" s="788">
        <v>39975</v>
      </c>
      <c r="G3131" s="788">
        <v>41943</v>
      </c>
      <c r="H3131" s="787">
        <v>1</v>
      </c>
      <c r="I3131" s="788">
        <v>40822</v>
      </c>
      <c r="J3131" s="788">
        <v>40218</v>
      </c>
      <c r="L3131" s="787">
        <v>0</v>
      </c>
      <c r="M3131" s="787">
        <v>10</v>
      </c>
      <c r="N3131" s="787">
        <v>5.65</v>
      </c>
      <c r="O3131" s="788">
        <v>42123</v>
      </c>
    </row>
    <row r="3132" spans="1:15" x14ac:dyDescent="0.25">
      <c r="A3132" s="786" t="s">
        <v>6396</v>
      </c>
      <c r="B3132" s="787">
        <v>4</v>
      </c>
      <c r="C3132" s="787" t="s">
        <v>6393</v>
      </c>
      <c r="D3132" s="787">
        <v>1.74</v>
      </c>
      <c r="E3132" s="787">
        <v>1.74</v>
      </c>
      <c r="F3132" s="788">
        <v>39975</v>
      </c>
      <c r="G3132" s="788">
        <v>41943</v>
      </c>
      <c r="H3132" s="787">
        <v>1</v>
      </c>
      <c r="I3132" s="788">
        <v>41207</v>
      </c>
      <c r="J3132" s="788">
        <v>40457</v>
      </c>
      <c r="L3132" s="787">
        <v>0</v>
      </c>
      <c r="M3132" s="787">
        <v>10</v>
      </c>
      <c r="N3132" s="787">
        <v>11.24</v>
      </c>
      <c r="O3132" s="788">
        <v>42123</v>
      </c>
    </row>
    <row r="3133" spans="1:15" x14ac:dyDescent="0.25">
      <c r="A3133" s="786" t="s">
        <v>6397</v>
      </c>
      <c r="B3133" s="787">
        <v>4</v>
      </c>
      <c r="C3133" s="787" t="s">
        <v>6393</v>
      </c>
      <c r="D3133" s="787">
        <v>1.87</v>
      </c>
      <c r="E3133" s="787">
        <v>1.87</v>
      </c>
      <c r="F3133" s="788">
        <v>39975</v>
      </c>
      <c r="G3133" s="788">
        <v>41943</v>
      </c>
      <c r="H3133" s="787">
        <v>1</v>
      </c>
      <c r="I3133" s="788">
        <v>40430</v>
      </c>
      <c r="J3133" s="788">
        <v>40499</v>
      </c>
      <c r="L3133" s="787">
        <v>0</v>
      </c>
      <c r="M3133" s="787">
        <v>10</v>
      </c>
      <c r="N3133" s="787">
        <v>6.05</v>
      </c>
      <c r="O3133" s="788">
        <v>42123</v>
      </c>
    </row>
    <row r="3134" spans="1:15" x14ac:dyDescent="0.25">
      <c r="A3134" s="786" t="s">
        <v>6398</v>
      </c>
      <c r="B3134" s="787">
        <v>4</v>
      </c>
      <c r="C3134" s="787" t="s">
        <v>6399</v>
      </c>
      <c r="D3134" s="787">
        <v>1.98</v>
      </c>
      <c r="E3134" s="787">
        <v>1.98</v>
      </c>
      <c r="F3134" s="788">
        <v>39975</v>
      </c>
      <c r="G3134" s="788">
        <v>41943</v>
      </c>
      <c r="H3134" s="787">
        <v>1</v>
      </c>
      <c r="I3134" s="788">
        <v>40798</v>
      </c>
      <c r="J3134" s="788">
        <v>40499</v>
      </c>
      <c r="L3134" s="787">
        <v>0</v>
      </c>
      <c r="M3134" s="787">
        <v>10</v>
      </c>
      <c r="N3134" s="787">
        <v>4.87</v>
      </c>
      <c r="O3134" s="788">
        <v>42123</v>
      </c>
    </row>
    <row r="3135" spans="1:15" x14ac:dyDescent="0.25">
      <c r="A3135" s="786" t="s">
        <v>6400</v>
      </c>
      <c r="B3135" s="787">
        <v>4</v>
      </c>
      <c r="C3135" s="787" t="s">
        <v>6401</v>
      </c>
      <c r="D3135" s="787">
        <v>2.11</v>
      </c>
      <c r="E3135" s="787">
        <v>2.11</v>
      </c>
      <c r="F3135" s="788">
        <v>39975</v>
      </c>
      <c r="G3135" s="788">
        <v>41943</v>
      </c>
      <c r="H3135" s="787">
        <v>1</v>
      </c>
      <c r="I3135" s="788">
        <v>40924</v>
      </c>
      <c r="J3135" s="788">
        <v>40499</v>
      </c>
      <c r="L3135" s="787">
        <v>0</v>
      </c>
      <c r="M3135" s="787">
        <v>10</v>
      </c>
      <c r="N3135" s="787">
        <v>4.9800000000000004</v>
      </c>
      <c r="O3135" s="788">
        <v>42123</v>
      </c>
    </row>
    <row r="3136" spans="1:15" x14ac:dyDescent="0.25">
      <c r="A3136" s="786" t="s">
        <v>6402</v>
      </c>
      <c r="B3136" s="787">
        <v>4</v>
      </c>
      <c r="C3136" s="787" t="s">
        <v>6393</v>
      </c>
      <c r="D3136" s="787">
        <v>2.2400000000000002</v>
      </c>
      <c r="E3136" s="787">
        <v>2.2400000000000002</v>
      </c>
      <c r="F3136" s="788">
        <v>39975</v>
      </c>
      <c r="G3136" s="788">
        <v>41943</v>
      </c>
      <c r="H3136" s="787">
        <v>1</v>
      </c>
      <c r="I3136" s="788">
        <v>41127</v>
      </c>
      <c r="J3136" s="788">
        <v>40499</v>
      </c>
      <c r="L3136" s="787">
        <v>0</v>
      </c>
      <c r="M3136" s="787">
        <v>10</v>
      </c>
      <c r="N3136" s="787">
        <v>11.64</v>
      </c>
      <c r="O3136" s="788">
        <v>42123</v>
      </c>
    </row>
    <row r="3137" spans="1:15" x14ac:dyDescent="0.25">
      <c r="A3137" s="786" t="s">
        <v>6403</v>
      </c>
      <c r="B3137" s="787">
        <v>4</v>
      </c>
      <c r="C3137" s="787" t="s">
        <v>6404</v>
      </c>
      <c r="D3137" s="787">
        <v>2.37</v>
      </c>
      <c r="E3137" s="787">
        <v>2.37</v>
      </c>
      <c r="F3137" s="788">
        <v>39975</v>
      </c>
      <c r="G3137" s="788">
        <v>41943</v>
      </c>
      <c r="H3137" s="787">
        <v>1</v>
      </c>
      <c r="I3137" s="788">
        <v>40497</v>
      </c>
      <c r="J3137" s="788">
        <v>40499</v>
      </c>
      <c r="L3137" s="787">
        <v>0</v>
      </c>
      <c r="M3137" s="787">
        <v>10</v>
      </c>
      <c r="N3137" s="787">
        <v>5.18</v>
      </c>
      <c r="O3137" s="788">
        <v>42123</v>
      </c>
    </row>
    <row r="3138" spans="1:15" x14ac:dyDescent="0.25">
      <c r="A3138" s="786" t="s">
        <v>6405</v>
      </c>
      <c r="B3138" s="787">
        <v>4</v>
      </c>
      <c r="C3138" s="787" t="s">
        <v>6406</v>
      </c>
      <c r="D3138" s="787">
        <v>2.5</v>
      </c>
      <c r="E3138" s="787">
        <v>2.5</v>
      </c>
      <c r="F3138" s="788">
        <v>39975</v>
      </c>
      <c r="G3138" s="788">
        <v>41943</v>
      </c>
      <c r="H3138" s="787">
        <v>1</v>
      </c>
      <c r="I3138" s="788">
        <v>41593</v>
      </c>
      <c r="J3138" s="788">
        <v>40499</v>
      </c>
      <c r="L3138" s="787">
        <v>0</v>
      </c>
      <c r="M3138" s="787">
        <v>10</v>
      </c>
      <c r="N3138" s="787">
        <v>11.21</v>
      </c>
      <c r="O3138" s="788">
        <v>42123</v>
      </c>
    </row>
    <row r="3139" spans="1:15" x14ac:dyDescent="0.25">
      <c r="A3139" s="786" t="s">
        <v>6407</v>
      </c>
      <c r="B3139" s="787">
        <v>4</v>
      </c>
      <c r="C3139" s="787" t="s">
        <v>6408</v>
      </c>
      <c r="D3139" s="787">
        <v>0</v>
      </c>
      <c r="E3139" s="787">
        <v>0</v>
      </c>
      <c r="H3139" s="787">
        <v>1</v>
      </c>
      <c r="I3139" s="788">
        <v>39975</v>
      </c>
      <c r="J3139" s="788">
        <v>39101</v>
      </c>
      <c r="L3139" s="787">
        <v>0</v>
      </c>
      <c r="M3139" s="787">
        <v>10</v>
      </c>
      <c r="N3139" s="787">
        <v>3.64</v>
      </c>
      <c r="O3139" s="788">
        <v>42082</v>
      </c>
    </row>
    <row r="3140" spans="1:15" x14ac:dyDescent="0.25">
      <c r="A3140" s="786" t="s">
        <v>6409</v>
      </c>
      <c r="B3140" s="787">
        <v>4</v>
      </c>
      <c r="C3140" s="787" t="s">
        <v>6410</v>
      </c>
      <c r="D3140" s="787">
        <v>0</v>
      </c>
      <c r="E3140" s="787">
        <v>0</v>
      </c>
      <c r="H3140" s="787">
        <v>1</v>
      </c>
      <c r="I3140" s="788">
        <v>41065</v>
      </c>
      <c r="J3140" s="788">
        <v>39101</v>
      </c>
      <c r="L3140" s="787">
        <v>0</v>
      </c>
      <c r="M3140" s="787">
        <v>10</v>
      </c>
      <c r="N3140" s="787">
        <v>3.72</v>
      </c>
      <c r="O3140" s="788">
        <v>42082</v>
      </c>
    </row>
    <row r="3141" spans="1:15" x14ac:dyDescent="0.25">
      <c r="A3141" s="786" t="s">
        <v>6411</v>
      </c>
      <c r="B3141" s="787">
        <v>4</v>
      </c>
      <c r="C3141" s="787" t="s">
        <v>6412</v>
      </c>
      <c r="D3141" s="787">
        <v>0</v>
      </c>
      <c r="E3141" s="787">
        <v>0</v>
      </c>
      <c r="H3141" s="787">
        <v>1</v>
      </c>
      <c r="I3141" s="788">
        <v>41320</v>
      </c>
      <c r="J3141" s="788">
        <v>39101</v>
      </c>
      <c r="L3141" s="787">
        <v>0</v>
      </c>
      <c r="M3141" s="787">
        <v>10</v>
      </c>
      <c r="N3141" s="787">
        <v>3.79</v>
      </c>
      <c r="O3141" s="788">
        <v>42082</v>
      </c>
    </row>
    <row r="3142" spans="1:15" x14ac:dyDescent="0.25">
      <c r="A3142" s="786" t="s">
        <v>6413</v>
      </c>
      <c r="B3142" s="787">
        <v>4</v>
      </c>
      <c r="C3142" s="787" t="s">
        <v>6414</v>
      </c>
      <c r="D3142" s="787">
        <v>0</v>
      </c>
      <c r="E3142" s="787">
        <v>0</v>
      </c>
      <c r="H3142" s="787">
        <v>1</v>
      </c>
      <c r="I3142" s="788">
        <v>41593</v>
      </c>
      <c r="J3142" s="788">
        <v>39101</v>
      </c>
      <c r="L3142" s="787">
        <v>0</v>
      </c>
      <c r="M3142" s="787">
        <v>10</v>
      </c>
      <c r="N3142" s="787">
        <v>3.87</v>
      </c>
      <c r="O3142" s="788">
        <v>42082</v>
      </c>
    </row>
    <row r="3143" spans="1:15" x14ac:dyDescent="0.25">
      <c r="A3143" s="786" t="s">
        <v>6415</v>
      </c>
      <c r="B3143" s="787">
        <v>4</v>
      </c>
      <c r="C3143" s="787" t="s">
        <v>6416</v>
      </c>
      <c r="D3143" s="787">
        <v>0</v>
      </c>
      <c r="E3143" s="787">
        <v>0</v>
      </c>
      <c r="H3143" s="787">
        <v>1</v>
      </c>
      <c r="I3143" s="788">
        <v>40024</v>
      </c>
      <c r="J3143" s="788">
        <v>39457</v>
      </c>
      <c r="L3143" s="787">
        <v>0</v>
      </c>
      <c r="M3143" s="787">
        <v>10</v>
      </c>
      <c r="N3143" s="787">
        <v>4.1100000000000003</v>
      </c>
      <c r="O3143" s="788">
        <v>42082</v>
      </c>
    </row>
    <row r="3144" spans="1:15" x14ac:dyDescent="0.25">
      <c r="A3144" s="786" t="s">
        <v>6417</v>
      </c>
      <c r="B3144" s="787">
        <v>4</v>
      </c>
      <c r="C3144" s="787" t="s">
        <v>6418</v>
      </c>
      <c r="D3144" s="787">
        <v>0</v>
      </c>
      <c r="E3144" s="787">
        <v>0</v>
      </c>
      <c r="H3144" s="787">
        <v>1</v>
      </c>
      <c r="I3144" s="788">
        <v>40833</v>
      </c>
      <c r="J3144" s="788">
        <v>39101</v>
      </c>
      <c r="L3144" s="787">
        <v>0</v>
      </c>
      <c r="M3144" s="787">
        <v>10</v>
      </c>
      <c r="N3144" s="787">
        <v>4.25</v>
      </c>
      <c r="O3144" s="788">
        <v>42082</v>
      </c>
    </row>
    <row r="3145" spans="1:15" x14ac:dyDescent="0.25">
      <c r="A3145" s="786" t="s">
        <v>6419</v>
      </c>
      <c r="B3145" s="787">
        <v>4</v>
      </c>
      <c r="C3145" s="787" t="s">
        <v>6420</v>
      </c>
      <c r="D3145" s="787">
        <v>0</v>
      </c>
      <c r="E3145" s="787">
        <v>0</v>
      </c>
      <c r="H3145" s="787">
        <v>1</v>
      </c>
      <c r="I3145" s="788">
        <v>41477</v>
      </c>
      <c r="J3145" s="788">
        <v>39101</v>
      </c>
      <c r="L3145" s="787">
        <v>0</v>
      </c>
      <c r="M3145" s="787">
        <v>10</v>
      </c>
      <c r="N3145" s="787">
        <v>4.53</v>
      </c>
      <c r="O3145" s="788">
        <v>42082</v>
      </c>
    </row>
    <row r="3146" spans="1:15" x14ac:dyDescent="0.25">
      <c r="A3146" s="786" t="s">
        <v>6421</v>
      </c>
      <c r="B3146" s="787">
        <v>4</v>
      </c>
      <c r="C3146" s="787" t="s">
        <v>6422</v>
      </c>
      <c r="D3146" s="787">
        <v>0</v>
      </c>
      <c r="E3146" s="787">
        <v>0</v>
      </c>
      <c r="H3146" s="787">
        <v>1</v>
      </c>
      <c r="I3146" s="788">
        <v>39888</v>
      </c>
      <c r="J3146" s="788">
        <v>39101</v>
      </c>
      <c r="L3146" s="787">
        <v>0</v>
      </c>
      <c r="M3146" s="787">
        <v>10</v>
      </c>
      <c r="N3146" s="787">
        <v>4.8</v>
      </c>
      <c r="O3146" s="788">
        <v>42082</v>
      </c>
    </row>
    <row r="3147" spans="1:15" x14ac:dyDescent="0.25">
      <c r="A3147" s="786" t="s">
        <v>6423</v>
      </c>
      <c r="B3147" s="787">
        <v>4</v>
      </c>
      <c r="C3147" s="787" t="s">
        <v>6424</v>
      </c>
      <c r="D3147" s="787">
        <v>0</v>
      </c>
      <c r="E3147" s="787">
        <v>0</v>
      </c>
      <c r="H3147" s="787">
        <v>1</v>
      </c>
      <c r="I3147" s="788">
        <v>41207</v>
      </c>
      <c r="J3147" s="788">
        <v>39101</v>
      </c>
      <c r="L3147" s="787">
        <v>0</v>
      </c>
      <c r="M3147" s="787">
        <v>10</v>
      </c>
      <c r="N3147" s="787">
        <v>5.0999999999999996</v>
      </c>
      <c r="O3147" s="788">
        <v>42082</v>
      </c>
    </row>
    <row r="3148" spans="1:15" x14ac:dyDescent="0.25">
      <c r="A3148" s="786" t="s">
        <v>6425</v>
      </c>
      <c r="B3148" s="787">
        <v>4</v>
      </c>
      <c r="C3148" s="787" t="s">
        <v>6426</v>
      </c>
      <c r="D3148" s="787">
        <v>0</v>
      </c>
      <c r="E3148" s="787">
        <v>0</v>
      </c>
      <c r="H3148" s="787">
        <v>1</v>
      </c>
      <c r="I3148" s="788">
        <v>39986</v>
      </c>
      <c r="J3148" s="788">
        <v>39101</v>
      </c>
      <c r="L3148" s="787">
        <v>0</v>
      </c>
      <c r="M3148" s="787">
        <v>10</v>
      </c>
      <c r="N3148" s="787">
        <v>5.38</v>
      </c>
      <c r="O3148" s="788">
        <v>42082</v>
      </c>
    </row>
    <row r="3149" spans="1:15" x14ac:dyDescent="0.25">
      <c r="A3149" s="786" t="s">
        <v>6427</v>
      </c>
      <c r="B3149" s="787">
        <v>4</v>
      </c>
      <c r="C3149" s="787" t="s">
        <v>6428</v>
      </c>
      <c r="D3149" s="787">
        <v>0</v>
      </c>
      <c r="E3149" s="787">
        <v>0</v>
      </c>
      <c r="H3149" s="787">
        <v>1</v>
      </c>
      <c r="I3149" s="788">
        <v>40024</v>
      </c>
      <c r="J3149" s="788">
        <v>39457</v>
      </c>
      <c r="L3149" s="787">
        <v>0</v>
      </c>
      <c r="M3149" s="787">
        <v>10</v>
      </c>
      <c r="N3149" s="787">
        <v>5.68</v>
      </c>
      <c r="O3149" s="788">
        <v>42082</v>
      </c>
    </row>
    <row r="3150" spans="1:15" x14ac:dyDescent="0.25">
      <c r="A3150" s="786" t="s">
        <v>6429</v>
      </c>
      <c r="B3150" s="787">
        <v>4</v>
      </c>
      <c r="C3150" s="787" t="s">
        <v>6430</v>
      </c>
      <c r="D3150" s="787">
        <v>0</v>
      </c>
      <c r="E3150" s="787">
        <v>0</v>
      </c>
      <c r="H3150" s="787">
        <v>1</v>
      </c>
      <c r="I3150" s="788">
        <v>39888</v>
      </c>
      <c r="J3150" s="788">
        <v>39101</v>
      </c>
      <c r="L3150" s="787">
        <v>0</v>
      </c>
      <c r="M3150" s="787">
        <v>10</v>
      </c>
      <c r="N3150" s="787">
        <v>5.96</v>
      </c>
      <c r="O3150" s="788">
        <v>42082</v>
      </c>
    </row>
    <row r="3151" spans="1:15" x14ac:dyDescent="0.25">
      <c r="A3151" s="786" t="s">
        <v>6431</v>
      </c>
      <c r="B3151" s="787">
        <v>4</v>
      </c>
      <c r="C3151" s="787" t="s">
        <v>6432</v>
      </c>
      <c r="D3151" s="787">
        <v>0</v>
      </c>
      <c r="E3151" s="787">
        <v>0</v>
      </c>
      <c r="H3151" s="787">
        <v>1</v>
      </c>
      <c r="I3151" s="788">
        <v>41127</v>
      </c>
      <c r="J3151" s="788">
        <v>39101</v>
      </c>
      <c r="L3151" s="787">
        <v>0</v>
      </c>
      <c r="M3151" s="787">
        <v>10</v>
      </c>
      <c r="N3151" s="787">
        <v>6.24</v>
      </c>
      <c r="O3151" s="788">
        <v>42082</v>
      </c>
    </row>
    <row r="3152" spans="1:15" x14ac:dyDescent="0.25">
      <c r="A3152" s="786" t="s">
        <v>6433</v>
      </c>
      <c r="B3152" s="787">
        <v>4</v>
      </c>
      <c r="C3152" s="787" t="s">
        <v>6434</v>
      </c>
      <c r="D3152" s="787">
        <v>0</v>
      </c>
      <c r="E3152" s="787">
        <v>0</v>
      </c>
      <c r="H3152" s="787">
        <v>1</v>
      </c>
      <c r="I3152" s="788">
        <v>39959</v>
      </c>
      <c r="L3152" s="787">
        <v>0</v>
      </c>
      <c r="M3152" s="787">
        <v>10</v>
      </c>
      <c r="N3152" s="787">
        <v>6.54</v>
      </c>
      <c r="O3152" s="788">
        <v>42082</v>
      </c>
    </row>
    <row r="3153" spans="1:15" x14ac:dyDescent="0.25">
      <c r="A3153" s="786" t="s">
        <v>6435</v>
      </c>
      <c r="B3153" s="787">
        <v>4</v>
      </c>
      <c r="C3153" s="787" t="s">
        <v>6436</v>
      </c>
      <c r="D3153" s="787">
        <v>0</v>
      </c>
      <c r="E3153" s="787">
        <v>0</v>
      </c>
      <c r="H3153" s="787">
        <v>1</v>
      </c>
      <c r="I3153" s="788">
        <v>41127</v>
      </c>
      <c r="J3153" s="788">
        <v>39101</v>
      </c>
      <c r="L3153" s="787">
        <v>0</v>
      </c>
      <c r="M3153" s="787">
        <v>10</v>
      </c>
      <c r="N3153" s="787">
        <v>6.82</v>
      </c>
      <c r="O3153" s="788">
        <v>42082</v>
      </c>
    </row>
    <row r="3154" spans="1:15" x14ac:dyDescent="0.25">
      <c r="A3154" s="786" t="s">
        <v>6437</v>
      </c>
      <c r="B3154" s="787">
        <v>4</v>
      </c>
      <c r="C3154" s="787" t="s">
        <v>6438</v>
      </c>
      <c r="D3154" s="787">
        <v>0</v>
      </c>
      <c r="E3154" s="787">
        <v>0</v>
      </c>
      <c r="H3154" s="787">
        <v>1</v>
      </c>
      <c r="L3154" s="787">
        <v>0</v>
      </c>
      <c r="M3154" s="787">
        <v>10</v>
      </c>
      <c r="N3154" s="787">
        <v>18.25</v>
      </c>
      <c r="O3154" s="788">
        <v>42123</v>
      </c>
    </row>
    <row r="3155" spans="1:15" x14ac:dyDescent="0.25">
      <c r="A3155" s="786" t="s">
        <v>6439</v>
      </c>
      <c r="B3155" s="787">
        <v>4</v>
      </c>
      <c r="C3155" s="787" t="s">
        <v>6440</v>
      </c>
      <c r="D3155" s="787">
        <v>0</v>
      </c>
      <c r="E3155" s="787">
        <v>0</v>
      </c>
      <c r="H3155" s="787">
        <v>1</v>
      </c>
      <c r="L3155" s="787">
        <v>0</v>
      </c>
      <c r="M3155" s="787">
        <v>10</v>
      </c>
      <c r="N3155" s="787">
        <v>18.920000000000002</v>
      </c>
      <c r="O3155" s="788">
        <v>42123</v>
      </c>
    </row>
    <row r="3156" spans="1:15" x14ac:dyDescent="0.25">
      <c r="A3156" s="786" t="s">
        <v>6441</v>
      </c>
      <c r="B3156" s="787">
        <v>4</v>
      </c>
      <c r="C3156" s="787" t="s">
        <v>6442</v>
      </c>
      <c r="D3156" s="787">
        <v>0</v>
      </c>
      <c r="E3156" s="787">
        <v>0</v>
      </c>
      <c r="H3156" s="787">
        <v>1</v>
      </c>
      <c r="L3156" s="787">
        <v>0</v>
      </c>
      <c r="M3156" s="787">
        <v>10</v>
      </c>
      <c r="N3156" s="787">
        <v>20.25</v>
      </c>
      <c r="O3156" s="788">
        <v>42123</v>
      </c>
    </row>
    <row r="3157" spans="1:15" x14ac:dyDescent="0.25">
      <c r="A3157" s="786" t="s">
        <v>6443</v>
      </c>
      <c r="B3157" s="787">
        <v>4</v>
      </c>
      <c r="C3157" s="787" t="s">
        <v>6444</v>
      </c>
      <c r="D3157" s="787">
        <v>0</v>
      </c>
      <c r="E3157" s="787">
        <v>0</v>
      </c>
      <c r="H3157" s="787">
        <v>1</v>
      </c>
      <c r="L3157" s="787">
        <v>0</v>
      </c>
      <c r="M3157" s="787">
        <v>10</v>
      </c>
      <c r="N3157" s="787">
        <v>21.59</v>
      </c>
      <c r="O3157" s="788">
        <v>42123</v>
      </c>
    </row>
    <row r="3158" spans="1:15" x14ac:dyDescent="0.25">
      <c r="A3158" s="786" t="s">
        <v>6445</v>
      </c>
      <c r="B3158" s="787">
        <v>4</v>
      </c>
      <c r="C3158" s="787" t="s">
        <v>6446</v>
      </c>
      <c r="D3158" s="787">
        <v>0</v>
      </c>
      <c r="E3158" s="787">
        <v>0</v>
      </c>
      <c r="H3158" s="787">
        <v>1</v>
      </c>
      <c r="L3158" s="787">
        <v>0</v>
      </c>
      <c r="M3158" s="787">
        <v>10</v>
      </c>
      <c r="N3158" s="787">
        <v>22.92</v>
      </c>
      <c r="O3158" s="788">
        <v>42123</v>
      </c>
    </row>
    <row r="3159" spans="1:15" x14ac:dyDescent="0.25">
      <c r="A3159" s="786" t="s">
        <v>6447</v>
      </c>
      <c r="B3159" s="787">
        <v>4</v>
      </c>
      <c r="C3159" s="787" t="s">
        <v>6448</v>
      </c>
      <c r="D3159" s="787">
        <v>0</v>
      </c>
      <c r="E3159" s="787">
        <v>0</v>
      </c>
      <c r="H3159" s="787">
        <v>1</v>
      </c>
      <c r="L3159" s="787">
        <v>0</v>
      </c>
      <c r="M3159" s="787">
        <v>10</v>
      </c>
      <c r="N3159" s="787">
        <v>24.26</v>
      </c>
      <c r="O3159" s="788">
        <v>42123</v>
      </c>
    </row>
    <row r="3160" spans="1:15" x14ac:dyDescent="0.25">
      <c r="A3160" s="786" t="s">
        <v>6449</v>
      </c>
      <c r="B3160" s="787">
        <v>4</v>
      </c>
      <c r="C3160" s="787" t="s">
        <v>6450</v>
      </c>
      <c r="D3160" s="787">
        <v>0</v>
      </c>
      <c r="E3160" s="787">
        <v>0</v>
      </c>
      <c r="H3160" s="787">
        <v>1</v>
      </c>
      <c r="L3160" s="787">
        <v>0</v>
      </c>
      <c r="M3160" s="787">
        <v>10</v>
      </c>
      <c r="N3160" s="787">
        <v>25.59</v>
      </c>
      <c r="O3160" s="788">
        <v>42123</v>
      </c>
    </row>
    <row r="3161" spans="1:15" x14ac:dyDescent="0.25">
      <c r="A3161" s="786" t="s">
        <v>6451</v>
      </c>
      <c r="B3161" s="787">
        <v>4</v>
      </c>
      <c r="C3161" s="787" t="s">
        <v>6452</v>
      </c>
      <c r="D3161" s="787">
        <v>0</v>
      </c>
      <c r="E3161" s="787">
        <v>0</v>
      </c>
      <c r="H3161" s="787">
        <v>1</v>
      </c>
      <c r="L3161" s="787">
        <v>0</v>
      </c>
      <c r="M3161" s="787">
        <v>10</v>
      </c>
      <c r="N3161" s="787">
        <v>26.93</v>
      </c>
      <c r="O3161" s="788">
        <v>42123</v>
      </c>
    </row>
    <row r="3162" spans="1:15" x14ac:dyDescent="0.25">
      <c r="A3162" s="786" t="s">
        <v>6453</v>
      </c>
      <c r="B3162" s="787">
        <v>4</v>
      </c>
      <c r="C3162" s="787" t="s">
        <v>6454</v>
      </c>
      <c r="D3162" s="787">
        <v>0</v>
      </c>
      <c r="E3162" s="787">
        <v>0</v>
      </c>
      <c r="H3162" s="787">
        <v>1</v>
      </c>
      <c r="L3162" s="787">
        <v>0</v>
      </c>
      <c r="M3162" s="787">
        <v>10</v>
      </c>
      <c r="N3162" s="787">
        <v>28.26</v>
      </c>
      <c r="O3162" s="788">
        <v>42123</v>
      </c>
    </row>
    <row r="3163" spans="1:15" x14ac:dyDescent="0.25">
      <c r="A3163" s="786" t="s">
        <v>6455</v>
      </c>
      <c r="B3163" s="787">
        <v>4</v>
      </c>
      <c r="C3163" s="787" t="s">
        <v>6456</v>
      </c>
      <c r="D3163" s="787">
        <v>0</v>
      </c>
      <c r="E3163" s="787">
        <v>0</v>
      </c>
      <c r="H3163" s="787">
        <v>1</v>
      </c>
      <c r="L3163" s="787">
        <v>0</v>
      </c>
      <c r="M3163" s="787">
        <v>10</v>
      </c>
      <c r="N3163" s="787">
        <v>29.6</v>
      </c>
      <c r="O3163" s="788">
        <v>42123</v>
      </c>
    </row>
    <row r="3164" spans="1:15" x14ac:dyDescent="0.25">
      <c r="A3164" s="786" t="s">
        <v>6457</v>
      </c>
      <c r="B3164" s="787">
        <v>4</v>
      </c>
      <c r="C3164" s="787" t="s">
        <v>6458</v>
      </c>
      <c r="D3164" s="787">
        <v>0</v>
      </c>
      <c r="E3164" s="787">
        <v>0</v>
      </c>
      <c r="H3164" s="787">
        <v>1</v>
      </c>
      <c r="L3164" s="787">
        <v>0</v>
      </c>
      <c r="M3164" s="787">
        <v>10</v>
      </c>
      <c r="N3164" s="787">
        <v>30.93</v>
      </c>
      <c r="O3164" s="788">
        <v>42123</v>
      </c>
    </row>
    <row r="3165" spans="1:15" x14ac:dyDescent="0.25">
      <c r="A3165" s="786" t="s">
        <v>6459</v>
      </c>
      <c r="B3165" s="787">
        <v>4</v>
      </c>
      <c r="C3165" s="787" t="s">
        <v>6460</v>
      </c>
      <c r="D3165" s="787">
        <v>0</v>
      </c>
      <c r="E3165" s="787">
        <v>0</v>
      </c>
      <c r="H3165" s="787">
        <v>1</v>
      </c>
      <c r="I3165" s="788">
        <v>39975</v>
      </c>
      <c r="J3165" s="788">
        <v>39101</v>
      </c>
      <c r="L3165" s="787">
        <v>0</v>
      </c>
      <c r="M3165" s="787">
        <v>10</v>
      </c>
      <c r="N3165" s="787">
        <v>5.4</v>
      </c>
      <c r="O3165" s="788">
        <v>42123</v>
      </c>
    </row>
    <row r="3166" spans="1:15" x14ac:dyDescent="0.25">
      <c r="A3166" s="786" t="s">
        <v>6461</v>
      </c>
      <c r="B3166" s="787">
        <v>4</v>
      </c>
      <c r="C3166" s="787" t="s">
        <v>6462</v>
      </c>
      <c r="D3166" s="787">
        <v>0</v>
      </c>
      <c r="E3166" s="787">
        <v>0</v>
      </c>
      <c r="H3166" s="787">
        <v>1</v>
      </c>
      <c r="I3166" s="788">
        <v>40024</v>
      </c>
      <c r="J3166" s="788">
        <v>39101</v>
      </c>
      <c r="L3166" s="787">
        <v>0</v>
      </c>
      <c r="M3166" s="787">
        <v>10</v>
      </c>
      <c r="N3166" s="787">
        <v>5.57</v>
      </c>
      <c r="O3166" s="788">
        <v>42123</v>
      </c>
    </row>
    <row r="3167" spans="1:15" x14ac:dyDescent="0.25">
      <c r="A3167" s="786" t="s">
        <v>6463</v>
      </c>
      <c r="B3167" s="787">
        <v>4</v>
      </c>
      <c r="C3167" s="787" t="s">
        <v>6464</v>
      </c>
      <c r="D3167" s="787">
        <v>0</v>
      </c>
      <c r="E3167" s="787">
        <v>0</v>
      </c>
      <c r="H3167" s="787">
        <v>1</v>
      </c>
      <c r="I3167" s="788">
        <v>41320</v>
      </c>
      <c r="J3167" s="788">
        <v>39101</v>
      </c>
      <c r="L3167" s="787">
        <v>0</v>
      </c>
      <c r="M3167" s="787">
        <v>10</v>
      </c>
      <c r="N3167" s="787">
        <v>5.75</v>
      </c>
      <c r="O3167" s="788">
        <v>42123</v>
      </c>
    </row>
    <row r="3168" spans="1:15" x14ac:dyDescent="0.25">
      <c r="A3168" s="786" t="s">
        <v>6465</v>
      </c>
      <c r="B3168" s="787">
        <v>4</v>
      </c>
      <c r="C3168" s="787" t="s">
        <v>6466</v>
      </c>
      <c r="D3168" s="787">
        <v>0</v>
      </c>
      <c r="E3168" s="787">
        <v>0</v>
      </c>
      <c r="H3168" s="787">
        <v>1</v>
      </c>
      <c r="I3168" s="788">
        <v>41477</v>
      </c>
      <c r="J3168" s="788">
        <v>39101</v>
      </c>
      <c r="L3168" s="787">
        <v>0</v>
      </c>
      <c r="M3168" s="787">
        <v>10</v>
      </c>
      <c r="N3168" s="787">
        <v>5.91</v>
      </c>
      <c r="O3168" s="788">
        <v>42123</v>
      </c>
    </row>
    <row r="3169" spans="1:15" x14ac:dyDescent="0.25">
      <c r="A3169" s="786" t="s">
        <v>6467</v>
      </c>
      <c r="B3169" s="787">
        <v>4</v>
      </c>
      <c r="C3169" s="787" t="s">
        <v>6468</v>
      </c>
      <c r="D3169" s="787">
        <v>0</v>
      </c>
      <c r="E3169" s="787">
        <v>0</v>
      </c>
      <c r="H3169" s="787">
        <v>1</v>
      </c>
      <c r="L3169" s="787">
        <v>0</v>
      </c>
      <c r="M3169" s="787">
        <v>10</v>
      </c>
      <c r="N3169" s="787">
        <v>2.78</v>
      </c>
      <c r="O3169" s="788">
        <v>42123</v>
      </c>
    </row>
    <row r="3170" spans="1:15" x14ac:dyDescent="0.25">
      <c r="A3170" s="786" t="s">
        <v>6469</v>
      </c>
      <c r="B3170" s="787">
        <v>4</v>
      </c>
      <c r="C3170" s="787" t="s">
        <v>6470</v>
      </c>
      <c r="D3170" s="787">
        <v>0</v>
      </c>
      <c r="E3170" s="787">
        <v>0</v>
      </c>
      <c r="H3170" s="787">
        <v>1</v>
      </c>
      <c r="L3170" s="787">
        <v>0</v>
      </c>
      <c r="M3170" s="787">
        <v>10</v>
      </c>
      <c r="N3170" s="787">
        <v>2.98</v>
      </c>
      <c r="O3170" s="788">
        <v>42123</v>
      </c>
    </row>
    <row r="3171" spans="1:15" x14ac:dyDescent="0.25">
      <c r="A3171" s="786" t="s">
        <v>6471</v>
      </c>
      <c r="B3171" s="787">
        <v>4</v>
      </c>
      <c r="C3171" s="787" t="s">
        <v>6472</v>
      </c>
      <c r="D3171" s="787">
        <v>0</v>
      </c>
      <c r="E3171" s="787">
        <v>0</v>
      </c>
      <c r="H3171" s="787">
        <v>1</v>
      </c>
      <c r="L3171" s="787">
        <v>0</v>
      </c>
      <c r="M3171" s="787">
        <v>10</v>
      </c>
      <c r="N3171" s="787">
        <v>3.17</v>
      </c>
      <c r="O3171" s="788">
        <v>42123</v>
      </c>
    </row>
    <row r="3172" spans="1:15" x14ac:dyDescent="0.25">
      <c r="A3172" s="786" t="s">
        <v>6473</v>
      </c>
      <c r="B3172" s="787">
        <v>4</v>
      </c>
      <c r="C3172" s="787" t="s">
        <v>6474</v>
      </c>
      <c r="D3172" s="787">
        <v>0</v>
      </c>
      <c r="E3172" s="787">
        <v>0</v>
      </c>
      <c r="H3172" s="787">
        <v>1</v>
      </c>
      <c r="L3172" s="787">
        <v>0</v>
      </c>
      <c r="M3172" s="787">
        <v>10</v>
      </c>
      <c r="N3172" s="787">
        <v>3.36</v>
      </c>
      <c r="O3172" s="788">
        <v>42123</v>
      </c>
    </row>
    <row r="3173" spans="1:15" x14ac:dyDescent="0.25">
      <c r="A3173" s="786" t="s">
        <v>6475</v>
      </c>
      <c r="B3173" s="787">
        <v>4</v>
      </c>
      <c r="C3173" s="787" t="s">
        <v>6476</v>
      </c>
      <c r="D3173" s="787">
        <v>0</v>
      </c>
      <c r="E3173" s="787">
        <v>0</v>
      </c>
      <c r="H3173" s="787">
        <v>1</v>
      </c>
      <c r="I3173" s="788">
        <v>41065</v>
      </c>
      <c r="L3173" s="787">
        <v>0</v>
      </c>
      <c r="M3173" s="787">
        <v>10</v>
      </c>
      <c r="N3173" s="787">
        <v>1.32</v>
      </c>
      <c r="O3173" s="788">
        <v>42123</v>
      </c>
    </row>
    <row r="3174" spans="1:15" x14ac:dyDescent="0.25">
      <c r="A3174" s="786" t="s">
        <v>6477</v>
      </c>
      <c r="B3174" s="787">
        <v>4</v>
      </c>
      <c r="C3174" s="787" t="s">
        <v>6478</v>
      </c>
      <c r="D3174" s="787">
        <v>0</v>
      </c>
      <c r="E3174" s="787">
        <v>0</v>
      </c>
      <c r="H3174" s="787">
        <v>1</v>
      </c>
      <c r="I3174" s="788">
        <v>40833</v>
      </c>
      <c r="J3174" s="788">
        <v>39101</v>
      </c>
      <c r="L3174" s="787">
        <v>0</v>
      </c>
      <c r="M3174" s="787">
        <v>10</v>
      </c>
      <c r="N3174" s="787">
        <v>1.34</v>
      </c>
      <c r="O3174" s="788">
        <v>42123</v>
      </c>
    </row>
    <row r="3175" spans="1:15" x14ac:dyDescent="0.25">
      <c r="A3175" s="786" t="s">
        <v>6479</v>
      </c>
      <c r="B3175" s="787">
        <v>4</v>
      </c>
      <c r="C3175" s="787" t="s">
        <v>6480</v>
      </c>
      <c r="D3175" s="787">
        <v>0</v>
      </c>
      <c r="E3175" s="787">
        <v>0</v>
      </c>
      <c r="H3175" s="787">
        <v>1</v>
      </c>
      <c r="I3175" s="788">
        <v>41477</v>
      </c>
      <c r="J3175" s="788">
        <v>39101</v>
      </c>
      <c r="L3175" s="787">
        <v>0</v>
      </c>
      <c r="M3175" s="787">
        <v>10</v>
      </c>
      <c r="N3175" s="787">
        <v>1.38</v>
      </c>
      <c r="O3175" s="788">
        <v>42123</v>
      </c>
    </row>
    <row r="3176" spans="1:15" x14ac:dyDescent="0.25">
      <c r="A3176" s="786" t="s">
        <v>6481</v>
      </c>
      <c r="B3176" s="787">
        <v>4</v>
      </c>
      <c r="C3176" s="787" t="s">
        <v>6482</v>
      </c>
      <c r="D3176" s="787">
        <v>0</v>
      </c>
      <c r="E3176" s="787">
        <v>0</v>
      </c>
      <c r="H3176" s="787">
        <v>1</v>
      </c>
      <c r="I3176" s="788">
        <v>39888</v>
      </c>
      <c r="J3176" s="788">
        <v>39101</v>
      </c>
      <c r="L3176" s="787">
        <v>0</v>
      </c>
      <c r="M3176" s="787">
        <v>10</v>
      </c>
      <c r="N3176" s="787">
        <v>1.41</v>
      </c>
      <c r="O3176" s="788">
        <v>42123</v>
      </c>
    </row>
    <row r="3177" spans="1:15" x14ac:dyDescent="0.25">
      <c r="A3177" s="786" t="s">
        <v>6483</v>
      </c>
      <c r="B3177" s="787">
        <v>4</v>
      </c>
      <c r="C3177" s="787" t="s">
        <v>6484</v>
      </c>
      <c r="D3177" s="787">
        <v>0</v>
      </c>
      <c r="E3177" s="787">
        <v>0</v>
      </c>
      <c r="H3177" s="787">
        <v>1</v>
      </c>
      <c r="I3177" s="788">
        <v>41207</v>
      </c>
      <c r="J3177" s="788">
        <v>39101</v>
      </c>
      <c r="L3177" s="787">
        <v>0</v>
      </c>
      <c r="M3177" s="787">
        <v>10</v>
      </c>
      <c r="N3177" s="787">
        <v>1.45</v>
      </c>
      <c r="O3177" s="788">
        <v>42123</v>
      </c>
    </row>
    <row r="3178" spans="1:15" x14ac:dyDescent="0.25">
      <c r="A3178" s="786" t="s">
        <v>6485</v>
      </c>
      <c r="B3178" s="787">
        <v>4</v>
      </c>
      <c r="C3178" s="787" t="s">
        <v>6486</v>
      </c>
      <c r="D3178" s="787">
        <v>0</v>
      </c>
      <c r="E3178" s="787">
        <v>0</v>
      </c>
      <c r="H3178" s="787">
        <v>1</v>
      </c>
      <c r="I3178" s="788">
        <v>39990</v>
      </c>
      <c r="J3178" s="788">
        <v>39101</v>
      </c>
      <c r="L3178" s="787">
        <v>0</v>
      </c>
      <c r="M3178" s="787">
        <v>10</v>
      </c>
      <c r="N3178" s="787">
        <v>1.48</v>
      </c>
      <c r="O3178" s="788">
        <v>42123</v>
      </c>
    </row>
    <row r="3179" spans="1:15" x14ac:dyDescent="0.25">
      <c r="A3179" s="786" t="s">
        <v>6487</v>
      </c>
      <c r="B3179" s="787">
        <v>4</v>
      </c>
      <c r="C3179" s="787" t="s">
        <v>6488</v>
      </c>
      <c r="D3179" s="787">
        <v>0</v>
      </c>
      <c r="E3179" s="787">
        <v>0</v>
      </c>
      <c r="H3179" s="787">
        <v>1</v>
      </c>
      <c r="I3179" s="788">
        <v>40024</v>
      </c>
      <c r="L3179" s="787">
        <v>0</v>
      </c>
      <c r="M3179" s="787">
        <v>10</v>
      </c>
      <c r="N3179" s="787">
        <v>1.52</v>
      </c>
      <c r="O3179" s="788">
        <v>42123</v>
      </c>
    </row>
    <row r="3180" spans="1:15" x14ac:dyDescent="0.25">
      <c r="A3180" s="786" t="s">
        <v>6489</v>
      </c>
      <c r="B3180" s="787">
        <v>4</v>
      </c>
      <c r="C3180" s="787" t="s">
        <v>6490</v>
      </c>
      <c r="D3180" s="787">
        <v>0</v>
      </c>
      <c r="E3180" s="787">
        <v>0</v>
      </c>
      <c r="H3180" s="787">
        <v>1</v>
      </c>
      <c r="I3180" s="788">
        <v>39888</v>
      </c>
      <c r="J3180" s="788">
        <v>39101</v>
      </c>
      <c r="L3180" s="787">
        <v>0</v>
      </c>
      <c r="M3180" s="787">
        <v>10</v>
      </c>
      <c r="N3180" s="787">
        <v>1.56</v>
      </c>
      <c r="O3180" s="788">
        <v>42123</v>
      </c>
    </row>
    <row r="3181" spans="1:15" x14ac:dyDescent="0.25">
      <c r="A3181" s="786" t="s">
        <v>6491</v>
      </c>
      <c r="B3181" s="787">
        <v>4</v>
      </c>
      <c r="C3181" s="787" t="s">
        <v>6492</v>
      </c>
      <c r="D3181" s="787">
        <v>0</v>
      </c>
      <c r="E3181" s="787">
        <v>0</v>
      </c>
      <c r="H3181" s="787">
        <v>1</v>
      </c>
      <c r="I3181" s="788">
        <v>41127</v>
      </c>
      <c r="J3181" s="788">
        <v>39101</v>
      </c>
      <c r="L3181" s="787">
        <v>0</v>
      </c>
      <c r="M3181" s="787">
        <v>10</v>
      </c>
      <c r="N3181" s="787">
        <v>1.6</v>
      </c>
      <c r="O3181" s="788">
        <v>42123</v>
      </c>
    </row>
    <row r="3182" spans="1:15" x14ac:dyDescent="0.25">
      <c r="A3182" s="786" t="s">
        <v>6493</v>
      </c>
      <c r="B3182" s="787">
        <v>4</v>
      </c>
      <c r="C3182" s="787" t="s">
        <v>6494</v>
      </c>
      <c r="D3182" s="787">
        <v>0</v>
      </c>
      <c r="E3182" s="787">
        <v>0</v>
      </c>
      <c r="H3182" s="787">
        <v>1</v>
      </c>
      <c r="I3182" s="788">
        <v>39959</v>
      </c>
      <c r="L3182" s="787">
        <v>0</v>
      </c>
      <c r="M3182" s="787">
        <v>10</v>
      </c>
      <c r="N3182" s="787">
        <v>1.63</v>
      </c>
      <c r="O3182" s="788">
        <v>42123</v>
      </c>
    </row>
    <row r="3183" spans="1:15" x14ac:dyDescent="0.25">
      <c r="A3183" s="786" t="s">
        <v>6495</v>
      </c>
      <c r="B3183" s="787">
        <v>4</v>
      </c>
      <c r="C3183" s="787" t="s">
        <v>6496</v>
      </c>
      <c r="D3183" s="787">
        <v>0</v>
      </c>
      <c r="E3183" s="787">
        <v>0</v>
      </c>
      <c r="H3183" s="787">
        <v>1</v>
      </c>
      <c r="I3183" s="788">
        <v>41593</v>
      </c>
      <c r="J3183" s="788">
        <v>39101</v>
      </c>
      <c r="L3183" s="787">
        <v>0</v>
      </c>
      <c r="M3183" s="787">
        <v>10</v>
      </c>
      <c r="N3183" s="787">
        <v>1.67</v>
      </c>
      <c r="O3183" s="788">
        <v>42123</v>
      </c>
    </row>
    <row r="3184" spans="1:15" x14ac:dyDescent="0.25">
      <c r="A3184" s="786" t="s">
        <v>6497</v>
      </c>
      <c r="B3184" s="787">
        <v>4</v>
      </c>
      <c r="C3184" s="787" t="s">
        <v>6498</v>
      </c>
      <c r="D3184" s="787">
        <v>0</v>
      </c>
      <c r="E3184" s="787">
        <v>0</v>
      </c>
      <c r="H3184" s="787">
        <v>1</v>
      </c>
      <c r="I3184" s="788">
        <v>41065</v>
      </c>
      <c r="L3184" s="787">
        <v>0</v>
      </c>
      <c r="M3184" s="787">
        <v>10</v>
      </c>
      <c r="N3184" s="787">
        <v>4.12</v>
      </c>
      <c r="O3184" s="788">
        <v>42082</v>
      </c>
    </row>
    <row r="3185" spans="1:15" x14ac:dyDescent="0.25">
      <c r="A3185" s="786" t="s">
        <v>6499</v>
      </c>
      <c r="B3185" s="787">
        <v>4</v>
      </c>
      <c r="C3185" s="787" t="s">
        <v>6500</v>
      </c>
      <c r="D3185" s="787">
        <v>0</v>
      </c>
      <c r="E3185" s="787">
        <v>0</v>
      </c>
      <c r="H3185" s="787">
        <v>1</v>
      </c>
      <c r="I3185" s="788">
        <v>40833</v>
      </c>
      <c r="J3185" s="788">
        <v>39101</v>
      </c>
      <c r="L3185" s="787">
        <v>0</v>
      </c>
      <c r="M3185" s="787">
        <v>10</v>
      </c>
      <c r="N3185" s="787">
        <v>4.1900000000000004</v>
      </c>
      <c r="O3185" s="788">
        <v>42082</v>
      </c>
    </row>
    <row r="3186" spans="1:15" x14ac:dyDescent="0.25">
      <c r="A3186" s="786" t="s">
        <v>6501</v>
      </c>
      <c r="B3186" s="787">
        <v>4</v>
      </c>
      <c r="C3186" s="787" t="s">
        <v>6502</v>
      </c>
      <c r="D3186" s="787">
        <v>0</v>
      </c>
      <c r="E3186" s="787">
        <v>0</v>
      </c>
      <c r="H3186" s="787">
        <v>1</v>
      </c>
      <c r="I3186" s="788">
        <v>41477</v>
      </c>
      <c r="J3186" s="788">
        <v>39101</v>
      </c>
      <c r="L3186" s="787">
        <v>0</v>
      </c>
      <c r="M3186" s="787">
        <v>10</v>
      </c>
      <c r="N3186" s="787">
        <v>4.34</v>
      </c>
      <c r="O3186" s="788">
        <v>42082</v>
      </c>
    </row>
    <row r="3187" spans="1:15" x14ac:dyDescent="0.25">
      <c r="A3187" s="786" t="s">
        <v>6503</v>
      </c>
      <c r="B3187" s="787">
        <v>4</v>
      </c>
      <c r="C3187" s="787" t="s">
        <v>6504</v>
      </c>
      <c r="D3187" s="787">
        <v>0</v>
      </c>
      <c r="E3187" s="787">
        <v>0</v>
      </c>
      <c r="H3187" s="787">
        <v>1</v>
      </c>
      <c r="I3187" s="788">
        <v>39888</v>
      </c>
      <c r="J3187" s="788">
        <v>39101</v>
      </c>
      <c r="L3187" s="787">
        <v>0</v>
      </c>
      <c r="M3187" s="787">
        <v>10</v>
      </c>
      <c r="N3187" s="787">
        <v>4.49</v>
      </c>
      <c r="O3187" s="788">
        <v>42082</v>
      </c>
    </row>
    <row r="3188" spans="1:15" x14ac:dyDescent="0.25">
      <c r="A3188" s="786" t="s">
        <v>6505</v>
      </c>
      <c r="B3188" s="787">
        <v>4</v>
      </c>
      <c r="C3188" s="787" t="s">
        <v>6506</v>
      </c>
      <c r="D3188" s="787">
        <v>0</v>
      </c>
      <c r="E3188" s="787">
        <v>0</v>
      </c>
      <c r="H3188" s="787">
        <v>1</v>
      </c>
      <c r="I3188" s="788">
        <v>41207</v>
      </c>
      <c r="J3188" s="788">
        <v>39101</v>
      </c>
      <c r="L3188" s="787">
        <v>0</v>
      </c>
      <c r="M3188" s="787">
        <v>10</v>
      </c>
      <c r="N3188" s="787">
        <v>4.6399999999999997</v>
      </c>
      <c r="O3188" s="788">
        <v>42082</v>
      </c>
    </row>
    <row r="3189" spans="1:15" x14ac:dyDescent="0.25">
      <c r="A3189" s="786" t="s">
        <v>6507</v>
      </c>
      <c r="B3189" s="787">
        <v>4</v>
      </c>
      <c r="C3189" s="787" t="s">
        <v>6508</v>
      </c>
      <c r="D3189" s="787">
        <v>0</v>
      </c>
      <c r="E3189" s="787">
        <v>0</v>
      </c>
      <c r="H3189" s="787">
        <v>1</v>
      </c>
      <c r="I3189" s="788">
        <v>39990</v>
      </c>
      <c r="J3189" s="788">
        <v>39101</v>
      </c>
      <c r="L3189" s="787">
        <v>0</v>
      </c>
      <c r="M3189" s="787">
        <v>10</v>
      </c>
      <c r="N3189" s="787">
        <v>4.79</v>
      </c>
      <c r="O3189" s="788">
        <v>42082</v>
      </c>
    </row>
    <row r="3190" spans="1:15" x14ac:dyDescent="0.25">
      <c r="A3190" s="786" t="s">
        <v>6509</v>
      </c>
      <c r="B3190" s="787">
        <v>4</v>
      </c>
      <c r="C3190" s="787" t="s">
        <v>6510</v>
      </c>
      <c r="D3190" s="787">
        <v>0</v>
      </c>
      <c r="E3190" s="787">
        <v>0</v>
      </c>
      <c r="H3190" s="787">
        <v>1</v>
      </c>
      <c r="I3190" s="788">
        <v>40024</v>
      </c>
      <c r="L3190" s="787">
        <v>0</v>
      </c>
      <c r="M3190" s="787">
        <v>10</v>
      </c>
      <c r="N3190" s="787">
        <v>4.95</v>
      </c>
      <c r="O3190" s="788">
        <v>42082</v>
      </c>
    </row>
    <row r="3191" spans="1:15" x14ac:dyDescent="0.25">
      <c r="A3191" s="786" t="s">
        <v>6511</v>
      </c>
      <c r="B3191" s="787">
        <v>4</v>
      </c>
      <c r="C3191" s="787" t="s">
        <v>6512</v>
      </c>
      <c r="D3191" s="787">
        <v>0</v>
      </c>
      <c r="E3191" s="787">
        <v>0</v>
      </c>
      <c r="H3191" s="787">
        <v>1</v>
      </c>
      <c r="I3191" s="788">
        <v>39888</v>
      </c>
      <c r="J3191" s="788">
        <v>39101</v>
      </c>
      <c r="L3191" s="787">
        <v>0</v>
      </c>
      <c r="M3191" s="787">
        <v>10</v>
      </c>
      <c r="N3191" s="787">
        <v>5.0999999999999996</v>
      </c>
      <c r="O3191" s="788">
        <v>42082</v>
      </c>
    </row>
    <row r="3192" spans="1:15" x14ac:dyDescent="0.25">
      <c r="A3192" s="786" t="s">
        <v>6513</v>
      </c>
      <c r="B3192" s="787">
        <v>4</v>
      </c>
      <c r="C3192" s="787" t="s">
        <v>6514</v>
      </c>
      <c r="D3192" s="787">
        <v>0</v>
      </c>
      <c r="E3192" s="787">
        <v>0</v>
      </c>
      <c r="H3192" s="787">
        <v>1</v>
      </c>
      <c r="I3192" s="788">
        <v>41127</v>
      </c>
      <c r="J3192" s="788">
        <v>39101</v>
      </c>
      <c r="L3192" s="787">
        <v>0</v>
      </c>
      <c r="M3192" s="787">
        <v>10</v>
      </c>
      <c r="N3192" s="787">
        <v>5.25</v>
      </c>
      <c r="O3192" s="788">
        <v>42082</v>
      </c>
    </row>
    <row r="3193" spans="1:15" x14ac:dyDescent="0.25">
      <c r="A3193" s="786" t="s">
        <v>6515</v>
      </c>
      <c r="B3193" s="787">
        <v>4</v>
      </c>
      <c r="C3193" s="787" t="s">
        <v>6516</v>
      </c>
      <c r="D3193" s="787">
        <v>0</v>
      </c>
      <c r="E3193" s="787">
        <v>0</v>
      </c>
      <c r="H3193" s="787">
        <v>1</v>
      </c>
      <c r="I3193" s="788">
        <v>39959</v>
      </c>
      <c r="L3193" s="787">
        <v>0</v>
      </c>
      <c r="M3193" s="787">
        <v>10</v>
      </c>
      <c r="N3193" s="787">
        <v>5.39</v>
      </c>
      <c r="O3193" s="788">
        <v>42082</v>
      </c>
    </row>
    <row r="3194" spans="1:15" x14ac:dyDescent="0.25">
      <c r="A3194" s="786" t="s">
        <v>6517</v>
      </c>
      <c r="B3194" s="787">
        <v>4</v>
      </c>
      <c r="C3194" s="787" t="s">
        <v>6518</v>
      </c>
      <c r="D3194" s="787">
        <v>0</v>
      </c>
      <c r="E3194" s="787">
        <v>0</v>
      </c>
      <c r="H3194" s="787">
        <v>1</v>
      </c>
      <c r="I3194" s="788">
        <v>41593</v>
      </c>
      <c r="J3194" s="788">
        <v>39101</v>
      </c>
      <c r="L3194" s="787">
        <v>0</v>
      </c>
      <c r="M3194" s="787">
        <v>10</v>
      </c>
      <c r="N3194" s="787">
        <v>5.54</v>
      </c>
      <c r="O3194" s="788">
        <v>42082</v>
      </c>
    </row>
    <row r="3195" spans="1:15" x14ac:dyDescent="0.25">
      <c r="A3195" s="786" t="s">
        <v>6519</v>
      </c>
      <c r="B3195" s="787">
        <v>4</v>
      </c>
      <c r="C3195" s="787" t="s">
        <v>6520</v>
      </c>
      <c r="D3195" s="787">
        <v>0</v>
      </c>
      <c r="E3195" s="787">
        <v>0</v>
      </c>
      <c r="H3195" s="787">
        <v>1</v>
      </c>
      <c r="I3195" s="788">
        <v>41065</v>
      </c>
      <c r="L3195" s="787">
        <v>0</v>
      </c>
      <c r="M3195" s="787">
        <v>10</v>
      </c>
      <c r="N3195" s="787">
        <v>4.12</v>
      </c>
      <c r="O3195" s="788">
        <v>42082</v>
      </c>
    </row>
    <row r="3196" spans="1:15" x14ac:dyDescent="0.25">
      <c r="A3196" s="786" t="s">
        <v>6521</v>
      </c>
      <c r="B3196" s="787">
        <v>4</v>
      </c>
      <c r="C3196" s="787" t="s">
        <v>6522</v>
      </c>
      <c r="D3196" s="787">
        <v>0</v>
      </c>
      <c r="E3196" s="787">
        <v>0</v>
      </c>
      <c r="H3196" s="787">
        <v>1</v>
      </c>
      <c r="I3196" s="788">
        <v>40833</v>
      </c>
      <c r="J3196" s="788">
        <v>39101</v>
      </c>
      <c r="L3196" s="787">
        <v>0</v>
      </c>
      <c r="M3196" s="787">
        <v>10</v>
      </c>
      <c r="N3196" s="787">
        <v>4.1900000000000004</v>
      </c>
      <c r="O3196" s="788">
        <v>42082</v>
      </c>
    </row>
    <row r="3197" spans="1:15" x14ac:dyDescent="0.25">
      <c r="A3197" s="786" t="s">
        <v>6523</v>
      </c>
      <c r="B3197" s="787">
        <v>4</v>
      </c>
      <c r="C3197" s="787" t="s">
        <v>6524</v>
      </c>
      <c r="D3197" s="787">
        <v>0</v>
      </c>
      <c r="E3197" s="787">
        <v>0</v>
      </c>
      <c r="H3197" s="787">
        <v>1</v>
      </c>
      <c r="I3197" s="788">
        <v>41477</v>
      </c>
      <c r="J3197" s="788">
        <v>39101</v>
      </c>
      <c r="L3197" s="787">
        <v>0</v>
      </c>
      <c r="M3197" s="787">
        <v>10</v>
      </c>
      <c r="N3197" s="787">
        <v>4.34</v>
      </c>
      <c r="O3197" s="788">
        <v>42082</v>
      </c>
    </row>
    <row r="3198" spans="1:15" x14ac:dyDescent="0.25">
      <c r="A3198" s="786" t="s">
        <v>6525</v>
      </c>
      <c r="B3198" s="787">
        <v>4</v>
      </c>
      <c r="C3198" s="787" t="s">
        <v>6526</v>
      </c>
      <c r="D3198" s="787">
        <v>0</v>
      </c>
      <c r="E3198" s="787">
        <v>0</v>
      </c>
      <c r="H3198" s="787">
        <v>1</v>
      </c>
      <c r="I3198" s="788">
        <v>39888</v>
      </c>
      <c r="J3198" s="788">
        <v>39101</v>
      </c>
      <c r="L3198" s="787">
        <v>0</v>
      </c>
      <c r="M3198" s="787">
        <v>10</v>
      </c>
      <c r="N3198" s="787">
        <v>4.49</v>
      </c>
      <c r="O3198" s="788">
        <v>42082</v>
      </c>
    </row>
    <row r="3199" spans="1:15" x14ac:dyDescent="0.25">
      <c r="A3199" s="786" t="s">
        <v>6527</v>
      </c>
      <c r="B3199" s="787">
        <v>4</v>
      </c>
      <c r="C3199" s="787" t="s">
        <v>6528</v>
      </c>
      <c r="D3199" s="787">
        <v>0</v>
      </c>
      <c r="E3199" s="787">
        <v>0</v>
      </c>
      <c r="H3199" s="787">
        <v>1</v>
      </c>
      <c r="I3199" s="788">
        <v>41207</v>
      </c>
      <c r="J3199" s="788">
        <v>39101</v>
      </c>
      <c r="L3199" s="787">
        <v>0</v>
      </c>
      <c r="M3199" s="787">
        <v>10</v>
      </c>
      <c r="N3199" s="787">
        <v>4.6399999999999997</v>
      </c>
      <c r="O3199" s="788">
        <v>42082</v>
      </c>
    </row>
    <row r="3200" spans="1:15" x14ac:dyDescent="0.25">
      <c r="A3200" s="786" t="s">
        <v>6529</v>
      </c>
      <c r="B3200" s="787">
        <v>4</v>
      </c>
      <c r="C3200" s="787" t="s">
        <v>6530</v>
      </c>
      <c r="D3200" s="787">
        <v>0</v>
      </c>
      <c r="E3200" s="787">
        <v>0</v>
      </c>
      <c r="H3200" s="787">
        <v>1</v>
      </c>
      <c r="I3200" s="788">
        <v>39990</v>
      </c>
      <c r="J3200" s="788">
        <v>39101</v>
      </c>
      <c r="L3200" s="787">
        <v>0</v>
      </c>
      <c r="M3200" s="787">
        <v>10</v>
      </c>
      <c r="N3200" s="787">
        <v>4.79</v>
      </c>
      <c r="O3200" s="788">
        <v>42082</v>
      </c>
    </row>
    <row r="3201" spans="1:15" x14ac:dyDescent="0.25">
      <c r="A3201" s="786" t="s">
        <v>6531</v>
      </c>
      <c r="B3201" s="787">
        <v>4</v>
      </c>
      <c r="C3201" s="787" t="s">
        <v>6532</v>
      </c>
      <c r="D3201" s="787">
        <v>0</v>
      </c>
      <c r="E3201" s="787">
        <v>0</v>
      </c>
      <c r="H3201" s="787">
        <v>1</v>
      </c>
      <c r="I3201" s="788">
        <v>40024</v>
      </c>
      <c r="L3201" s="787">
        <v>0</v>
      </c>
      <c r="M3201" s="787">
        <v>10</v>
      </c>
      <c r="N3201" s="787">
        <v>4.95</v>
      </c>
      <c r="O3201" s="788">
        <v>42082</v>
      </c>
    </row>
    <row r="3202" spans="1:15" x14ac:dyDescent="0.25">
      <c r="A3202" s="786" t="s">
        <v>6533</v>
      </c>
      <c r="B3202" s="787">
        <v>4</v>
      </c>
      <c r="C3202" s="787" t="s">
        <v>6534</v>
      </c>
      <c r="D3202" s="787">
        <v>0</v>
      </c>
      <c r="E3202" s="787">
        <v>0</v>
      </c>
      <c r="H3202" s="787">
        <v>1</v>
      </c>
      <c r="I3202" s="788">
        <v>39888</v>
      </c>
      <c r="J3202" s="788">
        <v>39101</v>
      </c>
      <c r="L3202" s="787">
        <v>0</v>
      </c>
      <c r="M3202" s="787">
        <v>10</v>
      </c>
      <c r="N3202" s="787">
        <v>5.0999999999999996</v>
      </c>
      <c r="O3202" s="788">
        <v>42082</v>
      </c>
    </row>
    <row r="3203" spans="1:15" x14ac:dyDescent="0.25">
      <c r="A3203" s="786" t="s">
        <v>6535</v>
      </c>
      <c r="B3203" s="787">
        <v>4</v>
      </c>
      <c r="C3203" s="787" t="s">
        <v>6536</v>
      </c>
      <c r="D3203" s="787">
        <v>0</v>
      </c>
      <c r="E3203" s="787">
        <v>0</v>
      </c>
      <c r="H3203" s="787">
        <v>1</v>
      </c>
      <c r="I3203" s="788">
        <v>41127</v>
      </c>
      <c r="J3203" s="788">
        <v>39101</v>
      </c>
      <c r="L3203" s="787">
        <v>0</v>
      </c>
      <c r="M3203" s="787">
        <v>10</v>
      </c>
      <c r="N3203" s="787">
        <v>5.25</v>
      </c>
      <c r="O3203" s="788">
        <v>42082</v>
      </c>
    </row>
    <row r="3204" spans="1:15" x14ac:dyDescent="0.25">
      <c r="A3204" s="786" t="s">
        <v>6537</v>
      </c>
      <c r="B3204" s="787">
        <v>4</v>
      </c>
      <c r="C3204" s="787" t="s">
        <v>6538</v>
      </c>
      <c r="D3204" s="787">
        <v>0</v>
      </c>
      <c r="E3204" s="787">
        <v>0</v>
      </c>
      <c r="H3204" s="787">
        <v>1</v>
      </c>
      <c r="I3204" s="788">
        <v>39959</v>
      </c>
      <c r="L3204" s="787">
        <v>0</v>
      </c>
      <c r="M3204" s="787">
        <v>10</v>
      </c>
      <c r="N3204" s="787">
        <v>5.39</v>
      </c>
      <c r="O3204" s="788">
        <v>42082</v>
      </c>
    </row>
    <row r="3205" spans="1:15" x14ac:dyDescent="0.25">
      <c r="A3205" s="786" t="s">
        <v>6539</v>
      </c>
      <c r="B3205" s="787">
        <v>4</v>
      </c>
      <c r="C3205" s="787" t="s">
        <v>6540</v>
      </c>
      <c r="D3205" s="787">
        <v>0</v>
      </c>
      <c r="E3205" s="787">
        <v>0</v>
      </c>
      <c r="H3205" s="787">
        <v>1</v>
      </c>
      <c r="I3205" s="788">
        <v>41593</v>
      </c>
      <c r="J3205" s="788">
        <v>39101</v>
      </c>
      <c r="L3205" s="787">
        <v>0</v>
      </c>
      <c r="M3205" s="787">
        <v>10</v>
      </c>
      <c r="N3205" s="787">
        <v>5.54</v>
      </c>
      <c r="O3205" s="788">
        <v>42082</v>
      </c>
    </row>
    <row r="3206" spans="1:15" x14ac:dyDescent="0.25">
      <c r="A3206" s="786" t="s">
        <v>6541</v>
      </c>
      <c r="B3206" s="787">
        <v>4</v>
      </c>
      <c r="C3206" s="787" t="s">
        <v>6542</v>
      </c>
      <c r="D3206" s="787">
        <v>0</v>
      </c>
      <c r="E3206" s="787">
        <v>0</v>
      </c>
      <c r="H3206" s="787">
        <v>1</v>
      </c>
      <c r="I3206" s="788">
        <v>41065</v>
      </c>
      <c r="L3206" s="787">
        <v>0</v>
      </c>
      <c r="M3206" s="787">
        <v>10</v>
      </c>
      <c r="N3206" s="787">
        <v>2.1</v>
      </c>
      <c r="O3206" s="788">
        <v>42123</v>
      </c>
    </row>
    <row r="3207" spans="1:15" x14ac:dyDescent="0.25">
      <c r="A3207" s="786" t="s">
        <v>6543</v>
      </c>
      <c r="B3207" s="787">
        <v>4</v>
      </c>
      <c r="C3207" s="787" t="s">
        <v>6544</v>
      </c>
      <c r="D3207" s="787">
        <v>0</v>
      </c>
      <c r="E3207" s="787">
        <v>0</v>
      </c>
      <c r="H3207" s="787">
        <v>1</v>
      </c>
      <c r="I3207" s="788">
        <v>40833</v>
      </c>
      <c r="J3207" s="788">
        <v>39101</v>
      </c>
      <c r="L3207" s="787">
        <v>0</v>
      </c>
      <c r="M3207" s="787">
        <v>10</v>
      </c>
      <c r="N3207" s="787">
        <v>2.19</v>
      </c>
      <c r="O3207" s="788">
        <v>42123</v>
      </c>
    </row>
    <row r="3208" spans="1:15" x14ac:dyDescent="0.25">
      <c r="A3208" s="786" t="s">
        <v>6545</v>
      </c>
      <c r="B3208" s="787">
        <v>4</v>
      </c>
      <c r="C3208" s="787" t="s">
        <v>6546</v>
      </c>
      <c r="D3208" s="787">
        <v>0</v>
      </c>
      <c r="E3208" s="787">
        <v>0</v>
      </c>
      <c r="H3208" s="787">
        <v>1</v>
      </c>
      <c r="I3208" s="788">
        <v>41477</v>
      </c>
      <c r="J3208" s="788">
        <v>39101</v>
      </c>
      <c r="L3208" s="787">
        <v>0</v>
      </c>
      <c r="M3208" s="787">
        <v>10</v>
      </c>
      <c r="N3208" s="787">
        <v>2.37</v>
      </c>
      <c r="O3208" s="788">
        <v>42123</v>
      </c>
    </row>
    <row r="3209" spans="1:15" x14ac:dyDescent="0.25">
      <c r="A3209" s="786" t="s">
        <v>6547</v>
      </c>
      <c r="B3209" s="787">
        <v>4</v>
      </c>
      <c r="C3209" s="787" t="s">
        <v>6548</v>
      </c>
      <c r="D3209" s="787">
        <v>0</v>
      </c>
      <c r="E3209" s="787">
        <v>0</v>
      </c>
      <c r="H3209" s="787">
        <v>1</v>
      </c>
      <c r="I3209" s="788">
        <v>39888</v>
      </c>
      <c r="J3209" s="788">
        <v>39101</v>
      </c>
      <c r="L3209" s="787">
        <v>0</v>
      </c>
      <c r="M3209" s="787">
        <v>10</v>
      </c>
      <c r="N3209" s="787">
        <v>2.56</v>
      </c>
      <c r="O3209" s="788">
        <v>42123</v>
      </c>
    </row>
    <row r="3210" spans="1:15" x14ac:dyDescent="0.25">
      <c r="A3210" s="786" t="s">
        <v>6549</v>
      </c>
      <c r="B3210" s="787">
        <v>4</v>
      </c>
      <c r="C3210" s="787" t="s">
        <v>6550</v>
      </c>
      <c r="D3210" s="787">
        <v>0</v>
      </c>
      <c r="E3210" s="787">
        <v>0</v>
      </c>
      <c r="H3210" s="787">
        <v>1</v>
      </c>
      <c r="I3210" s="788">
        <v>41207</v>
      </c>
      <c r="J3210" s="788">
        <v>39101</v>
      </c>
      <c r="L3210" s="787">
        <v>0</v>
      </c>
      <c r="M3210" s="787">
        <v>10</v>
      </c>
      <c r="N3210" s="787">
        <v>2.74</v>
      </c>
      <c r="O3210" s="788">
        <v>42123</v>
      </c>
    </row>
    <row r="3211" spans="1:15" x14ac:dyDescent="0.25">
      <c r="A3211" s="786" t="s">
        <v>6551</v>
      </c>
      <c r="B3211" s="787">
        <v>4</v>
      </c>
      <c r="C3211" s="787" t="s">
        <v>6552</v>
      </c>
      <c r="D3211" s="787">
        <v>0</v>
      </c>
      <c r="E3211" s="787">
        <v>0</v>
      </c>
      <c r="H3211" s="787">
        <v>1</v>
      </c>
      <c r="I3211" s="788">
        <v>39990</v>
      </c>
      <c r="J3211" s="788">
        <v>39101</v>
      </c>
      <c r="L3211" s="787">
        <v>0</v>
      </c>
      <c r="M3211" s="787">
        <v>10</v>
      </c>
      <c r="N3211" s="787">
        <v>2.93</v>
      </c>
      <c r="O3211" s="788">
        <v>42123</v>
      </c>
    </row>
    <row r="3212" spans="1:15" x14ac:dyDescent="0.25">
      <c r="A3212" s="786" t="s">
        <v>6553</v>
      </c>
      <c r="B3212" s="787">
        <v>4</v>
      </c>
      <c r="C3212" s="787" t="s">
        <v>6554</v>
      </c>
      <c r="D3212" s="787">
        <v>0</v>
      </c>
      <c r="E3212" s="787">
        <v>0</v>
      </c>
      <c r="H3212" s="787">
        <v>1</v>
      </c>
      <c r="I3212" s="788">
        <v>40024</v>
      </c>
      <c r="L3212" s="787">
        <v>0</v>
      </c>
      <c r="M3212" s="787">
        <v>10</v>
      </c>
      <c r="N3212" s="787">
        <v>3.11</v>
      </c>
      <c r="O3212" s="788">
        <v>42123</v>
      </c>
    </row>
    <row r="3213" spans="1:15" x14ac:dyDescent="0.25">
      <c r="A3213" s="786" t="s">
        <v>6555</v>
      </c>
      <c r="B3213" s="787">
        <v>4</v>
      </c>
      <c r="C3213" s="787" t="s">
        <v>6556</v>
      </c>
      <c r="D3213" s="787">
        <v>0</v>
      </c>
      <c r="E3213" s="787">
        <v>0</v>
      </c>
      <c r="H3213" s="787">
        <v>1</v>
      </c>
      <c r="I3213" s="788">
        <v>39888</v>
      </c>
      <c r="J3213" s="788">
        <v>39101</v>
      </c>
      <c r="L3213" s="787">
        <v>0</v>
      </c>
      <c r="M3213" s="787">
        <v>10</v>
      </c>
      <c r="N3213" s="787">
        <v>3.3</v>
      </c>
      <c r="O3213" s="788">
        <v>42123</v>
      </c>
    </row>
    <row r="3214" spans="1:15" x14ac:dyDescent="0.25">
      <c r="A3214" s="786" t="s">
        <v>6557</v>
      </c>
      <c r="B3214" s="787">
        <v>4</v>
      </c>
      <c r="C3214" s="787" t="s">
        <v>6558</v>
      </c>
      <c r="D3214" s="787">
        <v>0</v>
      </c>
      <c r="E3214" s="787">
        <v>0</v>
      </c>
      <c r="H3214" s="787">
        <v>1</v>
      </c>
      <c r="I3214" s="788">
        <v>41127</v>
      </c>
      <c r="J3214" s="788">
        <v>39101</v>
      </c>
      <c r="L3214" s="787">
        <v>0</v>
      </c>
      <c r="M3214" s="787">
        <v>10</v>
      </c>
      <c r="N3214" s="787">
        <v>3.48</v>
      </c>
      <c r="O3214" s="788">
        <v>42123</v>
      </c>
    </row>
    <row r="3215" spans="1:15" x14ac:dyDescent="0.25">
      <c r="A3215" s="786" t="s">
        <v>6559</v>
      </c>
      <c r="B3215" s="787">
        <v>4</v>
      </c>
      <c r="C3215" s="787" t="s">
        <v>6560</v>
      </c>
      <c r="D3215" s="787">
        <v>0</v>
      </c>
      <c r="E3215" s="787">
        <v>0</v>
      </c>
      <c r="H3215" s="787">
        <v>1</v>
      </c>
      <c r="I3215" s="788">
        <v>39959</v>
      </c>
      <c r="L3215" s="787">
        <v>0</v>
      </c>
      <c r="M3215" s="787">
        <v>10</v>
      </c>
      <c r="N3215" s="787">
        <v>3.66</v>
      </c>
      <c r="O3215" s="788">
        <v>42123</v>
      </c>
    </row>
    <row r="3216" spans="1:15" x14ac:dyDescent="0.25">
      <c r="A3216" s="786" t="s">
        <v>6561</v>
      </c>
      <c r="B3216" s="787">
        <v>4</v>
      </c>
      <c r="C3216" s="787" t="s">
        <v>6562</v>
      </c>
      <c r="D3216" s="787">
        <v>0</v>
      </c>
      <c r="E3216" s="787">
        <v>0</v>
      </c>
      <c r="H3216" s="787">
        <v>1</v>
      </c>
      <c r="I3216" s="788">
        <v>41593</v>
      </c>
      <c r="J3216" s="788">
        <v>39101</v>
      </c>
      <c r="L3216" s="787">
        <v>0</v>
      </c>
      <c r="M3216" s="787">
        <v>10</v>
      </c>
      <c r="N3216" s="787">
        <v>3.85</v>
      </c>
      <c r="O3216" s="788">
        <v>42123</v>
      </c>
    </row>
    <row r="3217" spans="1:15" x14ac:dyDescent="0.25">
      <c r="A3217" s="786" t="s">
        <v>6563</v>
      </c>
      <c r="B3217" s="787">
        <v>4</v>
      </c>
      <c r="C3217" s="787" t="s">
        <v>6564</v>
      </c>
      <c r="D3217" s="787">
        <v>0</v>
      </c>
      <c r="E3217" s="787">
        <v>0</v>
      </c>
      <c r="H3217" s="787">
        <v>1</v>
      </c>
      <c r="I3217" s="788">
        <v>39975</v>
      </c>
      <c r="L3217" s="787">
        <v>0</v>
      </c>
      <c r="M3217" s="787">
        <v>10</v>
      </c>
      <c r="N3217" s="787">
        <v>3.96</v>
      </c>
      <c r="O3217" s="788">
        <v>42123</v>
      </c>
    </row>
    <row r="3218" spans="1:15" x14ac:dyDescent="0.25">
      <c r="A3218" s="786" t="s">
        <v>6565</v>
      </c>
      <c r="B3218" s="787">
        <v>4</v>
      </c>
      <c r="C3218" s="787" t="s">
        <v>6566</v>
      </c>
      <c r="D3218" s="787">
        <v>0</v>
      </c>
      <c r="E3218" s="787">
        <v>0</v>
      </c>
      <c r="H3218" s="787">
        <v>1</v>
      </c>
      <c r="I3218" s="788">
        <v>41065</v>
      </c>
      <c r="J3218" s="788">
        <v>39457</v>
      </c>
      <c r="L3218" s="787">
        <v>0</v>
      </c>
      <c r="M3218" s="787">
        <v>10</v>
      </c>
      <c r="N3218" s="787">
        <v>3.99</v>
      </c>
      <c r="O3218" s="788">
        <v>42123</v>
      </c>
    </row>
    <row r="3219" spans="1:15" x14ac:dyDescent="0.25">
      <c r="A3219" s="786" t="s">
        <v>6567</v>
      </c>
      <c r="B3219" s="787">
        <v>4</v>
      </c>
      <c r="C3219" s="787" t="s">
        <v>6568</v>
      </c>
      <c r="D3219" s="787">
        <v>0</v>
      </c>
      <c r="E3219" s="787">
        <v>0</v>
      </c>
      <c r="H3219" s="787">
        <v>1</v>
      </c>
      <c r="L3219" s="787">
        <v>0</v>
      </c>
      <c r="M3219" s="787">
        <v>10</v>
      </c>
      <c r="N3219" s="787">
        <v>4.6900000000000004</v>
      </c>
      <c r="O3219" s="788">
        <v>42123</v>
      </c>
    </row>
    <row r="3220" spans="1:15" x14ac:dyDescent="0.25">
      <c r="A3220" s="786" t="s">
        <v>6569</v>
      </c>
      <c r="B3220" s="787">
        <v>4</v>
      </c>
      <c r="C3220" s="787" t="s">
        <v>6570</v>
      </c>
      <c r="D3220" s="787">
        <v>0</v>
      </c>
      <c r="E3220" s="787">
        <v>0</v>
      </c>
      <c r="H3220" s="787">
        <v>1</v>
      </c>
      <c r="I3220" s="788">
        <v>40084</v>
      </c>
      <c r="L3220" s="787">
        <v>0</v>
      </c>
      <c r="M3220" s="787">
        <v>10</v>
      </c>
      <c r="N3220" s="787">
        <v>4.78</v>
      </c>
      <c r="O3220" s="788">
        <v>42123</v>
      </c>
    </row>
    <row r="3221" spans="1:15" x14ac:dyDescent="0.25">
      <c r="A3221" s="786" t="s">
        <v>6571</v>
      </c>
      <c r="B3221" s="787">
        <v>4</v>
      </c>
      <c r="C3221" s="787" t="s">
        <v>6572</v>
      </c>
      <c r="D3221" s="787">
        <v>0</v>
      </c>
      <c r="E3221" s="787">
        <v>0</v>
      </c>
      <c r="H3221" s="787">
        <v>1</v>
      </c>
      <c r="I3221" s="788">
        <v>39871</v>
      </c>
      <c r="L3221" s="787">
        <v>0</v>
      </c>
      <c r="M3221" s="787">
        <v>10</v>
      </c>
      <c r="N3221" s="787">
        <v>3.99</v>
      </c>
      <c r="O3221" s="788">
        <v>42123</v>
      </c>
    </row>
    <row r="3222" spans="1:15" x14ac:dyDescent="0.25">
      <c r="A3222" s="786" t="s">
        <v>6573</v>
      </c>
      <c r="B3222" s="787">
        <v>4</v>
      </c>
      <c r="C3222" s="787" t="s">
        <v>6574</v>
      </c>
      <c r="D3222" s="787">
        <v>0</v>
      </c>
      <c r="E3222" s="787">
        <v>0</v>
      </c>
      <c r="H3222" s="787">
        <v>1</v>
      </c>
      <c r="I3222" s="788">
        <v>39924</v>
      </c>
      <c r="J3222" s="788">
        <v>39101</v>
      </c>
      <c r="L3222" s="787">
        <v>0</v>
      </c>
      <c r="M3222" s="787">
        <v>10</v>
      </c>
      <c r="N3222" s="787">
        <v>4.0199999999999996</v>
      </c>
      <c r="O3222" s="788">
        <v>42123</v>
      </c>
    </row>
    <row r="3223" spans="1:15" x14ac:dyDescent="0.25">
      <c r="A3223" s="786" t="s">
        <v>6575</v>
      </c>
      <c r="B3223" s="787">
        <v>4</v>
      </c>
      <c r="C3223" s="787" t="s">
        <v>6576</v>
      </c>
      <c r="D3223" s="787">
        <v>0</v>
      </c>
      <c r="E3223" s="787">
        <v>0</v>
      </c>
      <c r="H3223" s="787">
        <v>1</v>
      </c>
      <c r="I3223" s="788">
        <v>39843</v>
      </c>
      <c r="L3223" s="787">
        <v>0</v>
      </c>
      <c r="M3223" s="787">
        <v>10</v>
      </c>
      <c r="N3223" s="787">
        <v>4.05</v>
      </c>
      <c r="O3223" s="788">
        <v>42123</v>
      </c>
    </row>
    <row r="3224" spans="1:15" x14ac:dyDescent="0.25">
      <c r="A3224" s="786" t="s">
        <v>6577</v>
      </c>
      <c r="B3224" s="787">
        <v>4</v>
      </c>
      <c r="C3224" s="787" t="s">
        <v>6578</v>
      </c>
      <c r="D3224" s="787">
        <v>0</v>
      </c>
      <c r="E3224" s="787">
        <v>0</v>
      </c>
      <c r="H3224" s="787">
        <v>1</v>
      </c>
      <c r="I3224" s="788">
        <v>41023</v>
      </c>
      <c r="L3224" s="787">
        <v>0</v>
      </c>
      <c r="M3224" s="787">
        <v>10</v>
      </c>
      <c r="N3224" s="787">
        <v>4.07</v>
      </c>
      <c r="O3224" s="788">
        <v>42123</v>
      </c>
    </row>
    <row r="3225" spans="1:15" x14ac:dyDescent="0.25">
      <c r="A3225" s="786" t="s">
        <v>6579</v>
      </c>
      <c r="B3225" s="787">
        <v>4</v>
      </c>
      <c r="C3225" s="787" t="s">
        <v>6580</v>
      </c>
      <c r="D3225" s="787">
        <v>0</v>
      </c>
      <c r="E3225" s="787">
        <v>0</v>
      </c>
      <c r="H3225" s="787">
        <v>1</v>
      </c>
      <c r="I3225" s="788">
        <v>40807</v>
      </c>
      <c r="J3225" s="788">
        <v>39101</v>
      </c>
      <c r="L3225" s="787">
        <v>0</v>
      </c>
      <c r="M3225" s="787">
        <v>10</v>
      </c>
      <c r="N3225" s="787">
        <v>4.05</v>
      </c>
      <c r="O3225" s="788">
        <v>42123</v>
      </c>
    </row>
    <row r="3226" spans="1:15" x14ac:dyDescent="0.25">
      <c r="A3226" s="786" t="s">
        <v>6581</v>
      </c>
      <c r="B3226" s="787">
        <v>4</v>
      </c>
      <c r="C3226" s="787" t="s">
        <v>6582</v>
      </c>
      <c r="D3226" s="787">
        <v>0</v>
      </c>
      <c r="E3226" s="787">
        <v>0</v>
      </c>
      <c r="H3226" s="787">
        <v>1</v>
      </c>
      <c r="I3226" s="788">
        <v>40602</v>
      </c>
      <c r="L3226" s="787">
        <v>0</v>
      </c>
      <c r="M3226" s="787">
        <v>10</v>
      </c>
      <c r="N3226" s="787">
        <v>4.07</v>
      </c>
      <c r="O3226" s="788">
        <v>42123</v>
      </c>
    </row>
    <row r="3227" spans="1:15" x14ac:dyDescent="0.25">
      <c r="A3227" s="786" t="s">
        <v>6583</v>
      </c>
      <c r="B3227" s="787">
        <v>4</v>
      </c>
      <c r="C3227" s="787" t="s">
        <v>6584</v>
      </c>
      <c r="D3227" s="787">
        <v>0</v>
      </c>
      <c r="E3227" s="787">
        <v>0</v>
      </c>
      <c r="H3227" s="787">
        <v>1</v>
      </c>
      <c r="I3227" s="788">
        <v>41320</v>
      </c>
      <c r="L3227" s="787">
        <v>0</v>
      </c>
      <c r="M3227" s="787">
        <v>10</v>
      </c>
      <c r="N3227" s="787">
        <v>4.0999999999999996</v>
      </c>
      <c r="O3227" s="788">
        <v>42123</v>
      </c>
    </row>
    <row r="3228" spans="1:15" x14ac:dyDescent="0.25">
      <c r="A3228" s="786" t="s">
        <v>6585</v>
      </c>
      <c r="B3228" s="787">
        <v>4</v>
      </c>
      <c r="C3228" s="787" t="s">
        <v>6586</v>
      </c>
      <c r="D3228" s="787">
        <v>0</v>
      </c>
      <c r="E3228" s="787">
        <v>0</v>
      </c>
      <c r="H3228" s="787">
        <v>1</v>
      </c>
      <c r="I3228" s="788">
        <v>41477</v>
      </c>
      <c r="J3228" s="788">
        <v>39457</v>
      </c>
      <c r="L3228" s="787">
        <v>0</v>
      </c>
      <c r="M3228" s="787">
        <v>10</v>
      </c>
      <c r="N3228" s="787">
        <v>4.13</v>
      </c>
      <c r="O3228" s="788">
        <v>42123</v>
      </c>
    </row>
    <row r="3229" spans="1:15" x14ac:dyDescent="0.25">
      <c r="A3229" s="786" t="s">
        <v>6587</v>
      </c>
      <c r="B3229" s="787">
        <v>4</v>
      </c>
      <c r="C3229" s="787" t="s">
        <v>6588</v>
      </c>
      <c r="D3229" s="787">
        <v>0</v>
      </c>
      <c r="E3229" s="787">
        <v>0</v>
      </c>
      <c r="H3229" s="787">
        <v>1</v>
      </c>
      <c r="I3229" s="788">
        <v>40239</v>
      </c>
      <c r="L3229" s="787">
        <v>0</v>
      </c>
      <c r="M3229" s="787">
        <v>10</v>
      </c>
      <c r="N3229" s="787">
        <v>4.0999999999999996</v>
      </c>
      <c r="O3229" s="788">
        <v>42123</v>
      </c>
    </row>
    <row r="3230" spans="1:15" x14ac:dyDescent="0.25">
      <c r="A3230" s="786" t="s">
        <v>6589</v>
      </c>
      <c r="B3230" s="787">
        <v>4</v>
      </c>
      <c r="C3230" s="787" t="s">
        <v>6590</v>
      </c>
      <c r="D3230" s="787">
        <v>0</v>
      </c>
      <c r="E3230" s="787">
        <v>0</v>
      </c>
      <c r="H3230" s="787">
        <v>1</v>
      </c>
      <c r="I3230" s="788">
        <v>40037</v>
      </c>
      <c r="L3230" s="787">
        <v>0</v>
      </c>
      <c r="M3230" s="787">
        <v>10</v>
      </c>
      <c r="N3230" s="787">
        <v>4.13</v>
      </c>
      <c r="O3230" s="788">
        <v>42123</v>
      </c>
    </row>
    <row r="3231" spans="1:15" x14ac:dyDescent="0.25">
      <c r="A3231" s="786" t="s">
        <v>6591</v>
      </c>
      <c r="B3231" s="787">
        <v>4</v>
      </c>
      <c r="C3231" s="787" t="s">
        <v>6592</v>
      </c>
      <c r="D3231" s="787">
        <v>0</v>
      </c>
      <c r="E3231" s="787">
        <v>0</v>
      </c>
      <c r="H3231" s="787">
        <v>1</v>
      </c>
      <c r="I3231" s="788">
        <v>39888</v>
      </c>
      <c r="J3231" s="788">
        <v>39457</v>
      </c>
      <c r="L3231" s="787">
        <v>0</v>
      </c>
      <c r="M3231" s="787">
        <v>10</v>
      </c>
      <c r="N3231" s="787">
        <v>4.17</v>
      </c>
      <c r="O3231" s="788">
        <v>42123</v>
      </c>
    </row>
    <row r="3232" spans="1:15" x14ac:dyDescent="0.25">
      <c r="A3232" s="786" t="s">
        <v>6593</v>
      </c>
      <c r="B3232" s="787">
        <v>4</v>
      </c>
      <c r="C3232" s="787" t="s">
        <v>6594</v>
      </c>
      <c r="D3232" s="787">
        <v>0</v>
      </c>
      <c r="E3232" s="787">
        <v>0</v>
      </c>
      <c r="H3232" s="787">
        <v>1</v>
      </c>
      <c r="I3232" s="788">
        <v>39888</v>
      </c>
      <c r="J3232" s="788">
        <v>39101</v>
      </c>
      <c r="L3232" s="787">
        <v>0</v>
      </c>
      <c r="M3232" s="787">
        <v>10</v>
      </c>
      <c r="N3232" s="787">
        <v>4.1900000000000004</v>
      </c>
      <c r="O3232" s="788">
        <v>42123</v>
      </c>
    </row>
    <row r="3233" spans="1:15" x14ac:dyDescent="0.25">
      <c r="A3233" s="786" t="s">
        <v>6595</v>
      </c>
      <c r="B3233" s="787">
        <v>4</v>
      </c>
      <c r="C3233" s="787" t="s">
        <v>6596</v>
      </c>
      <c r="D3233" s="787">
        <v>0</v>
      </c>
      <c r="E3233" s="787">
        <v>0</v>
      </c>
      <c r="H3233" s="787">
        <v>1</v>
      </c>
      <c r="I3233" s="788">
        <v>40114</v>
      </c>
      <c r="L3233" s="787">
        <v>0</v>
      </c>
      <c r="M3233" s="787">
        <v>10</v>
      </c>
      <c r="N3233" s="787">
        <v>4.17</v>
      </c>
      <c r="O3233" s="788">
        <v>42123</v>
      </c>
    </row>
    <row r="3234" spans="1:15" x14ac:dyDescent="0.25">
      <c r="A3234" s="786" t="s">
        <v>6597</v>
      </c>
      <c r="B3234" s="787">
        <v>4</v>
      </c>
      <c r="C3234" s="787" t="s">
        <v>6598</v>
      </c>
      <c r="D3234" s="787">
        <v>0</v>
      </c>
      <c r="E3234" s="787">
        <v>0</v>
      </c>
      <c r="H3234" s="787">
        <v>1</v>
      </c>
      <c r="I3234" s="788">
        <v>40374</v>
      </c>
      <c r="L3234" s="787">
        <v>0</v>
      </c>
      <c r="M3234" s="787">
        <v>10</v>
      </c>
      <c r="N3234" s="787">
        <v>4.1900000000000004</v>
      </c>
      <c r="O3234" s="788">
        <v>42123</v>
      </c>
    </row>
    <row r="3235" spans="1:15" x14ac:dyDescent="0.25">
      <c r="A3235" s="786" t="s">
        <v>6599</v>
      </c>
      <c r="B3235" s="787">
        <v>4</v>
      </c>
      <c r="C3235" s="787" t="s">
        <v>6600</v>
      </c>
      <c r="D3235" s="787">
        <v>0</v>
      </c>
      <c r="E3235" s="787">
        <v>0</v>
      </c>
      <c r="H3235" s="787">
        <v>1</v>
      </c>
      <c r="I3235" s="788">
        <v>39906</v>
      </c>
      <c r="L3235" s="787">
        <v>0</v>
      </c>
      <c r="M3235" s="787">
        <v>10</v>
      </c>
      <c r="N3235" s="787">
        <v>4.22</v>
      </c>
      <c r="O3235" s="788">
        <v>42123</v>
      </c>
    </row>
    <row r="3236" spans="1:15" x14ac:dyDescent="0.25">
      <c r="A3236" s="786" t="s">
        <v>6601</v>
      </c>
      <c r="B3236" s="787">
        <v>4</v>
      </c>
      <c r="C3236" s="787" t="s">
        <v>6602</v>
      </c>
      <c r="D3236" s="787">
        <v>0</v>
      </c>
      <c r="E3236" s="787">
        <v>0</v>
      </c>
      <c r="H3236" s="787">
        <v>1</v>
      </c>
      <c r="I3236" s="788">
        <v>41207</v>
      </c>
      <c r="J3236" s="788">
        <v>39101</v>
      </c>
      <c r="L3236" s="787">
        <v>0</v>
      </c>
      <c r="M3236" s="787">
        <v>10</v>
      </c>
      <c r="N3236" s="787">
        <v>4.25</v>
      </c>
      <c r="O3236" s="788">
        <v>42123</v>
      </c>
    </row>
    <row r="3237" spans="1:15" x14ac:dyDescent="0.25">
      <c r="A3237" s="786" t="s">
        <v>6603</v>
      </c>
      <c r="B3237" s="787">
        <v>4</v>
      </c>
      <c r="C3237" s="787" t="s">
        <v>6604</v>
      </c>
      <c r="D3237" s="787">
        <v>0</v>
      </c>
      <c r="E3237" s="787">
        <v>0</v>
      </c>
      <c r="H3237" s="787">
        <v>1</v>
      </c>
      <c r="I3237" s="788">
        <v>39805</v>
      </c>
      <c r="L3237" s="787">
        <v>0</v>
      </c>
      <c r="M3237" s="787">
        <v>10</v>
      </c>
      <c r="N3237" s="787">
        <v>4.22</v>
      </c>
      <c r="O3237" s="788">
        <v>42123</v>
      </c>
    </row>
    <row r="3238" spans="1:15" x14ac:dyDescent="0.25">
      <c r="A3238" s="786" t="s">
        <v>6605</v>
      </c>
      <c r="B3238" s="787">
        <v>4</v>
      </c>
      <c r="C3238" s="787" t="s">
        <v>6606</v>
      </c>
      <c r="D3238" s="787">
        <v>0</v>
      </c>
      <c r="E3238" s="787">
        <v>0</v>
      </c>
      <c r="H3238" s="787">
        <v>1</v>
      </c>
      <c r="I3238" s="788">
        <v>40142</v>
      </c>
      <c r="L3238" s="787">
        <v>0</v>
      </c>
      <c r="M3238" s="787">
        <v>10</v>
      </c>
      <c r="N3238" s="787">
        <v>4.25</v>
      </c>
      <c r="O3238" s="788">
        <v>42123</v>
      </c>
    </row>
    <row r="3239" spans="1:15" x14ac:dyDescent="0.25">
      <c r="A3239" s="786" t="s">
        <v>6607</v>
      </c>
      <c r="B3239" s="787">
        <v>4</v>
      </c>
      <c r="C3239" s="787" t="s">
        <v>6608</v>
      </c>
      <c r="D3239" s="787">
        <v>0</v>
      </c>
      <c r="E3239" s="787">
        <v>0</v>
      </c>
      <c r="H3239" s="787">
        <v>1</v>
      </c>
      <c r="I3239" s="788">
        <v>39986</v>
      </c>
      <c r="J3239" s="788">
        <v>39101</v>
      </c>
      <c r="L3239" s="787">
        <v>0</v>
      </c>
      <c r="M3239" s="787">
        <v>10</v>
      </c>
      <c r="N3239" s="787">
        <v>4.28</v>
      </c>
      <c r="O3239" s="788">
        <v>42123</v>
      </c>
    </row>
    <row r="3240" spans="1:15" x14ac:dyDescent="0.25">
      <c r="A3240" s="786" t="s">
        <v>6609</v>
      </c>
      <c r="B3240" s="787">
        <v>4</v>
      </c>
      <c r="C3240" s="787" t="s">
        <v>6610</v>
      </c>
      <c r="D3240" s="787">
        <v>0</v>
      </c>
      <c r="E3240" s="787">
        <v>0</v>
      </c>
      <c r="H3240" s="787">
        <v>1</v>
      </c>
      <c r="I3240" s="788">
        <v>39990</v>
      </c>
      <c r="J3240" s="788">
        <v>39457</v>
      </c>
      <c r="L3240" s="787">
        <v>0</v>
      </c>
      <c r="M3240" s="787">
        <v>10</v>
      </c>
      <c r="N3240" s="787">
        <v>4.3099999999999996</v>
      </c>
      <c r="O3240" s="788">
        <v>42123</v>
      </c>
    </row>
    <row r="3241" spans="1:15" x14ac:dyDescent="0.25">
      <c r="A3241" s="786" t="s">
        <v>6611</v>
      </c>
      <c r="B3241" s="787">
        <v>4</v>
      </c>
      <c r="C3241" s="787" t="s">
        <v>6612</v>
      </c>
      <c r="D3241" s="787">
        <v>0</v>
      </c>
      <c r="E3241" s="787">
        <v>0</v>
      </c>
      <c r="H3241" s="787">
        <v>1</v>
      </c>
      <c r="I3241" s="788">
        <v>40421</v>
      </c>
      <c r="L3241" s="787">
        <v>0</v>
      </c>
      <c r="M3241" s="787">
        <v>10</v>
      </c>
      <c r="N3241" s="787">
        <v>4.28</v>
      </c>
      <c r="O3241" s="788">
        <v>42123</v>
      </c>
    </row>
    <row r="3242" spans="1:15" x14ac:dyDescent="0.25">
      <c r="A3242" s="786" t="s">
        <v>6613</v>
      </c>
      <c r="B3242" s="787">
        <v>4</v>
      </c>
      <c r="C3242" s="787" t="s">
        <v>6614</v>
      </c>
      <c r="D3242" s="787">
        <v>0</v>
      </c>
      <c r="E3242" s="787">
        <v>0</v>
      </c>
      <c r="H3242" s="787">
        <v>1</v>
      </c>
      <c r="I3242" s="788">
        <v>39899</v>
      </c>
      <c r="L3242" s="787">
        <v>0</v>
      </c>
      <c r="M3242" s="787">
        <v>10</v>
      </c>
      <c r="N3242" s="787">
        <v>4.3099999999999996</v>
      </c>
      <c r="O3242" s="788">
        <v>42123</v>
      </c>
    </row>
    <row r="3243" spans="1:15" x14ac:dyDescent="0.25">
      <c r="A3243" s="786" t="s">
        <v>6615</v>
      </c>
      <c r="B3243" s="787">
        <v>4</v>
      </c>
      <c r="C3243" s="787" t="s">
        <v>6616</v>
      </c>
      <c r="D3243" s="787">
        <v>0</v>
      </c>
      <c r="E3243" s="787">
        <v>0</v>
      </c>
      <c r="H3243" s="787">
        <v>1</v>
      </c>
      <c r="I3243" s="788">
        <v>39924</v>
      </c>
      <c r="L3243" s="787">
        <v>0</v>
      </c>
      <c r="M3243" s="787">
        <v>10</v>
      </c>
      <c r="N3243" s="787">
        <v>4.34</v>
      </c>
      <c r="O3243" s="788">
        <v>42123</v>
      </c>
    </row>
    <row r="3244" spans="1:15" x14ac:dyDescent="0.25">
      <c r="A3244" s="786" t="s">
        <v>6617</v>
      </c>
      <c r="B3244" s="787">
        <v>4</v>
      </c>
      <c r="C3244" s="787" t="s">
        <v>6618</v>
      </c>
      <c r="D3244" s="787">
        <v>0</v>
      </c>
      <c r="E3244" s="787">
        <v>0</v>
      </c>
      <c r="H3244" s="787">
        <v>1</v>
      </c>
      <c r="I3244" s="788">
        <v>40024</v>
      </c>
      <c r="J3244" s="788">
        <v>39457</v>
      </c>
      <c r="L3244" s="787">
        <v>0</v>
      </c>
      <c r="M3244" s="787">
        <v>10</v>
      </c>
      <c r="N3244" s="787">
        <v>4.37</v>
      </c>
      <c r="O3244" s="788">
        <v>42123</v>
      </c>
    </row>
    <row r="3245" spans="1:15" x14ac:dyDescent="0.25">
      <c r="A3245" s="786" t="s">
        <v>6619</v>
      </c>
      <c r="B3245" s="787">
        <v>4</v>
      </c>
      <c r="C3245" s="787" t="s">
        <v>6620</v>
      </c>
      <c r="D3245" s="787">
        <v>0</v>
      </c>
      <c r="E3245" s="787">
        <v>0</v>
      </c>
      <c r="H3245" s="787">
        <v>1</v>
      </c>
      <c r="I3245" s="788">
        <v>39871</v>
      </c>
      <c r="L3245" s="787">
        <v>0</v>
      </c>
      <c r="M3245" s="787">
        <v>10</v>
      </c>
      <c r="N3245" s="787">
        <v>4.34</v>
      </c>
      <c r="O3245" s="788">
        <v>42123</v>
      </c>
    </row>
    <row r="3246" spans="1:15" x14ac:dyDescent="0.25">
      <c r="A3246" s="786" t="s">
        <v>6621</v>
      </c>
      <c r="B3246" s="787">
        <v>4</v>
      </c>
      <c r="C3246" s="787" t="s">
        <v>6622</v>
      </c>
      <c r="D3246" s="787">
        <v>0</v>
      </c>
      <c r="E3246" s="787">
        <v>0</v>
      </c>
      <c r="H3246" s="787">
        <v>1</v>
      </c>
      <c r="I3246" s="788">
        <v>40319</v>
      </c>
      <c r="L3246" s="787">
        <v>0</v>
      </c>
      <c r="M3246" s="787">
        <v>10</v>
      </c>
      <c r="N3246" s="787">
        <v>4.37</v>
      </c>
      <c r="O3246" s="788">
        <v>42123</v>
      </c>
    </row>
    <row r="3247" spans="1:15" x14ac:dyDescent="0.25">
      <c r="A3247" s="786" t="s">
        <v>6623</v>
      </c>
      <c r="B3247" s="787">
        <v>4</v>
      </c>
      <c r="C3247" s="787" t="s">
        <v>6624</v>
      </c>
      <c r="D3247" s="787">
        <v>0</v>
      </c>
      <c r="E3247" s="787">
        <v>0</v>
      </c>
      <c r="H3247" s="787">
        <v>1</v>
      </c>
      <c r="I3247" s="788">
        <v>39871</v>
      </c>
      <c r="L3247" s="787">
        <v>0</v>
      </c>
      <c r="M3247" s="787">
        <v>10</v>
      </c>
      <c r="N3247" s="787">
        <v>4.4000000000000004</v>
      </c>
      <c r="O3247" s="788">
        <v>42123</v>
      </c>
    </row>
    <row r="3248" spans="1:15" x14ac:dyDescent="0.25">
      <c r="A3248" s="786" t="s">
        <v>6625</v>
      </c>
      <c r="B3248" s="787">
        <v>4</v>
      </c>
      <c r="C3248" s="787" t="s">
        <v>6626</v>
      </c>
      <c r="D3248" s="787">
        <v>0</v>
      </c>
      <c r="E3248" s="787">
        <v>0</v>
      </c>
      <c r="H3248" s="787">
        <v>1</v>
      </c>
      <c r="I3248" s="788">
        <v>39888</v>
      </c>
      <c r="J3248" s="788">
        <v>39101</v>
      </c>
      <c r="L3248" s="787">
        <v>0</v>
      </c>
      <c r="M3248" s="787">
        <v>10</v>
      </c>
      <c r="N3248" s="787">
        <v>4.43</v>
      </c>
      <c r="O3248" s="788">
        <v>42123</v>
      </c>
    </row>
    <row r="3249" spans="1:15" x14ac:dyDescent="0.25">
      <c r="A3249" s="786" t="s">
        <v>6627</v>
      </c>
      <c r="B3249" s="787">
        <v>4</v>
      </c>
      <c r="C3249" s="787" t="s">
        <v>6628</v>
      </c>
      <c r="D3249" s="787">
        <v>0</v>
      </c>
      <c r="E3249" s="787">
        <v>0</v>
      </c>
      <c r="H3249" s="787">
        <v>1</v>
      </c>
      <c r="L3249" s="787">
        <v>0</v>
      </c>
      <c r="M3249" s="787">
        <v>10</v>
      </c>
      <c r="N3249" s="787">
        <v>4.4000000000000004</v>
      </c>
      <c r="O3249" s="788">
        <v>42123</v>
      </c>
    </row>
    <row r="3250" spans="1:15" x14ac:dyDescent="0.25">
      <c r="A3250" s="786" t="s">
        <v>6629</v>
      </c>
      <c r="B3250" s="787">
        <v>4</v>
      </c>
      <c r="C3250" s="787" t="s">
        <v>6630</v>
      </c>
      <c r="D3250" s="787">
        <v>0</v>
      </c>
      <c r="E3250" s="787">
        <v>0</v>
      </c>
      <c r="H3250" s="787">
        <v>1</v>
      </c>
      <c r="I3250" s="788">
        <v>40009</v>
      </c>
      <c r="J3250" s="788">
        <v>39101</v>
      </c>
      <c r="L3250" s="787">
        <v>0</v>
      </c>
      <c r="M3250" s="787">
        <v>10</v>
      </c>
      <c r="N3250" s="787">
        <v>4.43</v>
      </c>
      <c r="O3250" s="788">
        <v>42123</v>
      </c>
    </row>
    <row r="3251" spans="1:15" x14ac:dyDescent="0.25">
      <c r="A3251" s="786" t="s">
        <v>6631</v>
      </c>
      <c r="B3251" s="787">
        <v>4</v>
      </c>
      <c r="C3251" s="787" t="s">
        <v>6632</v>
      </c>
      <c r="D3251" s="787">
        <v>0</v>
      </c>
      <c r="E3251" s="787">
        <v>0</v>
      </c>
      <c r="H3251" s="787">
        <v>1</v>
      </c>
      <c r="I3251" s="788">
        <v>40009</v>
      </c>
      <c r="L3251" s="787">
        <v>0</v>
      </c>
      <c r="M3251" s="787">
        <v>10</v>
      </c>
      <c r="N3251" s="787">
        <v>4.46</v>
      </c>
      <c r="O3251" s="788">
        <v>42123</v>
      </c>
    </row>
    <row r="3252" spans="1:15" x14ac:dyDescent="0.25">
      <c r="A3252" s="786" t="s">
        <v>6633</v>
      </c>
      <c r="B3252" s="787">
        <v>4</v>
      </c>
      <c r="C3252" s="787" t="s">
        <v>6634</v>
      </c>
      <c r="D3252" s="787">
        <v>0</v>
      </c>
      <c r="E3252" s="787">
        <v>0</v>
      </c>
      <c r="H3252" s="787">
        <v>1</v>
      </c>
      <c r="I3252" s="788">
        <v>41127</v>
      </c>
      <c r="J3252" s="788">
        <v>39457</v>
      </c>
      <c r="L3252" s="787">
        <v>0</v>
      </c>
      <c r="M3252" s="787">
        <v>10</v>
      </c>
      <c r="N3252" s="787">
        <v>4.49</v>
      </c>
      <c r="O3252" s="788">
        <v>42123</v>
      </c>
    </row>
    <row r="3253" spans="1:15" x14ac:dyDescent="0.25">
      <c r="A3253" s="786" t="s">
        <v>6635</v>
      </c>
      <c r="B3253" s="787">
        <v>4</v>
      </c>
      <c r="C3253" s="787" t="s">
        <v>6636</v>
      </c>
      <c r="D3253" s="787">
        <v>0</v>
      </c>
      <c r="E3253" s="787">
        <v>0</v>
      </c>
      <c r="H3253" s="787">
        <v>1</v>
      </c>
      <c r="L3253" s="787">
        <v>0</v>
      </c>
      <c r="M3253" s="787">
        <v>10</v>
      </c>
      <c r="N3253" s="787">
        <v>4.46</v>
      </c>
      <c r="O3253" s="788">
        <v>42123</v>
      </c>
    </row>
    <row r="3254" spans="1:15" x14ac:dyDescent="0.25">
      <c r="A3254" s="786" t="s">
        <v>6637</v>
      </c>
      <c r="B3254" s="787">
        <v>4</v>
      </c>
      <c r="C3254" s="787" t="s">
        <v>6638</v>
      </c>
      <c r="D3254" s="787">
        <v>0</v>
      </c>
      <c r="E3254" s="787">
        <v>0</v>
      </c>
      <c r="H3254" s="787">
        <v>1</v>
      </c>
      <c r="I3254" s="788">
        <v>39959</v>
      </c>
      <c r="L3254" s="787">
        <v>0</v>
      </c>
      <c r="M3254" s="787">
        <v>10</v>
      </c>
      <c r="N3254" s="787">
        <v>4.49</v>
      </c>
      <c r="O3254" s="788">
        <v>42123</v>
      </c>
    </row>
    <row r="3255" spans="1:15" x14ac:dyDescent="0.25">
      <c r="A3255" s="786" t="s">
        <v>6639</v>
      </c>
      <c r="B3255" s="787">
        <v>4</v>
      </c>
      <c r="C3255" s="787" t="s">
        <v>6640</v>
      </c>
      <c r="D3255" s="787">
        <v>0</v>
      </c>
      <c r="E3255" s="787">
        <v>0</v>
      </c>
      <c r="H3255" s="787">
        <v>1</v>
      </c>
      <c r="I3255" s="788">
        <v>40374</v>
      </c>
      <c r="L3255" s="787">
        <v>0</v>
      </c>
      <c r="M3255" s="787">
        <v>10</v>
      </c>
      <c r="N3255" s="787">
        <v>4.5199999999999996</v>
      </c>
      <c r="O3255" s="788">
        <v>42123</v>
      </c>
    </row>
    <row r="3256" spans="1:15" x14ac:dyDescent="0.25">
      <c r="A3256" s="786" t="s">
        <v>6641</v>
      </c>
      <c r="B3256" s="787">
        <v>4</v>
      </c>
      <c r="C3256" s="787" t="s">
        <v>6642</v>
      </c>
      <c r="D3256" s="787">
        <v>0</v>
      </c>
      <c r="E3256" s="787">
        <v>0</v>
      </c>
      <c r="H3256" s="787">
        <v>1</v>
      </c>
      <c r="I3256" s="788">
        <v>39899</v>
      </c>
      <c r="L3256" s="787">
        <v>0</v>
      </c>
      <c r="M3256" s="787">
        <v>10</v>
      </c>
      <c r="N3256" s="787">
        <v>4.55</v>
      </c>
      <c r="O3256" s="788">
        <v>42123</v>
      </c>
    </row>
    <row r="3257" spans="1:15" x14ac:dyDescent="0.25">
      <c r="A3257" s="786" t="s">
        <v>6643</v>
      </c>
      <c r="B3257" s="787">
        <v>4</v>
      </c>
      <c r="C3257" s="787" t="s">
        <v>6644</v>
      </c>
      <c r="D3257" s="787">
        <v>0</v>
      </c>
      <c r="E3257" s="787">
        <v>0</v>
      </c>
      <c r="H3257" s="787">
        <v>1</v>
      </c>
      <c r="I3257" s="788">
        <v>39629</v>
      </c>
      <c r="L3257" s="787">
        <v>0</v>
      </c>
      <c r="M3257" s="787">
        <v>10</v>
      </c>
      <c r="N3257" s="787">
        <v>4.5199999999999996</v>
      </c>
      <c r="O3257" s="788">
        <v>42123</v>
      </c>
    </row>
    <row r="3258" spans="1:15" x14ac:dyDescent="0.25">
      <c r="A3258" s="786" t="s">
        <v>6645</v>
      </c>
      <c r="B3258" s="787">
        <v>4</v>
      </c>
      <c r="C3258" s="787" t="s">
        <v>6646</v>
      </c>
      <c r="D3258" s="787">
        <v>0</v>
      </c>
      <c r="E3258" s="787">
        <v>0</v>
      </c>
      <c r="H3258" s="787">
        <v>1</v>
      </c>
      <c r="I3258" s="788">
        <v>39871</v>
      </c>
      <c r="L3258" s="787">
        <v>0</v>
      </c>
      <c r="M3258" s="787">
        <v>10</v>
      </c>
      <c r="N3258" s="787">
        <v>4.55</v>
      </c>
      <c r="O3258" s="788">
        <v>42123</v>
      </c>
    </row>
    <row r="3259" spans="1:15" x14ac:dyDescent="0.25">
      <c r="A3259" s="786" t="s">
        <v>6647</v>
      </c>
      <c r="B3259" s="787">
        <v>4</v>
      </c>
      <c r="C3259" s="787" t="s">
        <v>6648</v>
      </c>
      <c r="D3259" s="787">
        <v>0</v>
      </c>
      <c r="E3259" s="787">
        <v>0</v>
      </c>
      <c r="H3259" s="787">
        <v>1</v>
      </c>
      <c r="I3259" s="788">
        <v>39931</v>
      </c>
      <c r="J3259" s="788">
        <v>39457</v>
      </c>
      <c r="L3259" s="787">
        <v>0</v>
      </c>
      <c r="M3259" s="787">
        <v>10</v>
      </c>
      <c r="N3259" s="787">
        <v>4.57</v>
      </c>
      <c r="O3259" s="788">
        <v>42123</v>
      </c>
    </row>
    <row r="3260" spans="1:15" x14ac:dyDescent="0.25">
      <c r="A3260" s="786" t="s">
        <v>6649</v>
      </c>
      <c r="B3260" s="787">
        <v>4</v>
      </c>
      <c r="C3260" s="787" t="s">
        <v>6650</v>
      </c>
      <c r="D3260" s="787">
        <v>0</v>
      </c>
      <c r="E3260" s="787">
        <v>0</v>
      </c>
      <c r="H3260" s="787">
        <v>1</v>
      </c>
      <c r="I3260" s="788">
        <v>41127</v>
      </c>
      <c r="J3260" s="788">
        <v>39101</v>
      </c>
      <c r="L3260" s="787">
        <v>0</v>
      </c>
      <c r="M3260" s="787">
        <v>10</v>
      </c>
      <c r="N3260" s="787">
        <v>4.6100000000000003</v>
      </c>
      <c r="O3260" s="788">
        <v>42123</v>
      </c>
    </row>
    <row r="3261" spans="1:15" x14ac:dyDescent="0.25">
      <c r="A3261" s="786" t="s">
        <v>6651</v>
      </c>
      <c r="B3261" s="787">
        <v>4</v>
      </c>
      <c r="C3261" s="787" t="s">
        <v>6652</v>
      </c>
      <c r="D3261" s="787">
        <v>0</v>
      </c>
      <c r="E3261" s="787">
        <v>0</v>
      </c>
      <c r="H3261" s="787">
        <v>1</v>
      </c>
      <c r="I3261" s="788">
        <v>39975</v>
      </c>
      <c r="L3261" s="787">
        <v>0</v>
      </c>
      <c r="M3261" s="787">
        <v>10</v>
      </c>
      <c r="N3261" s="787">
        <v>17.96</v>
      </c>
      <c r="O3261" s="788">
        <v>42082</v>
      </c>
    </row>
    <row r="3262" spans="1:15" x14ac:dyDescent="0.25">
      <c r="A3262" s="786" t="s">
        <v>6653</v>
      </c>
      <c r="B3262" s="787">
        <v>4</v>
      </c>
      <c r="C3262" s="787" t="s">
        <v>6654</v>
      </c>
      <c r="D3262" s="787">
        <v>0</v>
      </c>
      <c r="E3262" s="787">
        <v>0</v>
      </c>
      <c r="H3262" s="787">
        <v>1</v>
      </c>
      <c r="I3262" s="788">
        <v>41065</v>
      </c>
      <c r="J3262" s="788">
        <v>39457</v>
      </c>
      <c r="L3262" s="787">
        <v>0</v>
      </c>
      <c r="M3262" s="787">
        <v>10</v>
      </c>
      <c r="N3262" s="787">
        <v>18.63</v>
      </c>
      <c r="O3262" s="788">
        <v>42082</v>
      </c>
    </row>
    <row r="3263" spans="1:15" x14ac:dyDescent="0.25">
      <c r="A3263" s="786" t="s">
        <v>6655</v>
      </c>
      <c r="B3263" s="787">
        <v>4</v>
      </c>
      <c r="C3263" s="787" t="s">
        <v>6656</v>
      </c>
      <c r="D3263" s="787">
        <v>0</v>
      </c>
      <c r="E3263" s="787">
        <v>0</v>
      </c>
      <c r="H3263" s="787">
        <v>1</v>
      </c>
      <c r="L3263" s="787">
        <v>0</v>
      </c>
      <c r="M3263" s="787">
        <v>10</v>
      </c>
      <c r="N3263" s="787">
        <v>19.28</v>
      </c>
      <c r="O3263" s="788">
        <v>42082</v>
      </c>
    </row>
    <row r="3264" spans="1:15" x14ac:dyDescent="0.25">
      <c r="A3264" s="786" t="s">
        <v>6657</v>
      </c>
      <c r="B3264" s="787">
        <v>4</v>
      </c>
      <c r="C3264" s="787" t="s">
        <v>6658</v>
      </c>
      <c r="D3264" s="787">
        <v>0</v>
      </c>
      <c r="E3264" s="787">
        <v>0</v>
      </c>
      <c r="H3264" s="787">
        <v>1</v>
      </c>
      <c r="I3264" s="788">
        <v>40084</v>
      </c>
      <c r="L3264" s="787">
        <v>0</v>
      </c>
      <c r="M3264" s="787">
        <v>10</v>
      </c>
      <c r="N3264" s="787">
        <v>19.95</v>
      </c>
      <c r="O3264" s="788">
        <v>42082</v>
      </c>
    </row>
    <row r="3265" spans="1:15" x14ac:dyDescent="0.25">
      <c r="A3265" s="786" t="s">
        <v>6659</v>
      </c>
      <c r="B3265" s="787">
        <v>4</v>
      </c>
      <c r="C3265" s="787" t="s">
        <v>6660</v>
      </c>
      <c r="D3265" s="787">
        <v>0</v>
      </c>
      <c r="E3265" s="787">
        <v>0</v>
      </c>
      <c r="H3265" s="787">
        <v>1</v>
      </c>
      <c r="I3265" s="788">
        <v>39871</v>
      </c>
      <c r="L3265" s="787">
        <v>0</v>
      </c>
      <c r="M3265" s="787">
        <v>10</v>
      </c>
      <c r="N3265" s="787">
        <v>18.86</v>
      </c>
      <c r="O3265" s="788">
        <v>42082</v>
      </c>
    </row>
    <row r="3266" spans="1:15" x14ac:dyDescent="0.25">
      <c r="A3266" s="786" t="s">
        <v>6661</v>
      </c>
      <c r="B3266" s="787">
        <v>4</v>
      </c>
      <c r="C3266" s="787" t="s">
        <v>6662</v>
      </c>
      <c r="D3266" s="787">
        <v>0</v>
      </c>
      <c r="E3266" s="787">
        <v>0</v>
      </c>
      <c r="H3266" s="787">
        <v>1</v>
      </c>
      <c r="I3266" s="788">
        <v>39924</v>
      </c>
      <c r="J3266" s="788">
        <v>39101</v>
      </c>
      <c r="L3266" s="787">
        <v>0</v>
      </c>
      <c r="M3266" s="787">
        <v>10</v>
      </c>
      <c r="N3266" s="787">
        <v>19.579999999999998</v>
      </c>
      <c r="O3266" s="788">
        <v>42082</v>
      </c>
    </row>
    <row r="3267" spans="1:15" x14ac:dyDescent="0.25">
      <c r="A3267" s="786" t="s">
        <v>6663</v>
      </c>
      <c r="B3267" s="787">
        <v>4</v>
      </c>
      <c r="C3267" s="787" t="s">
        <v>6664</v>
      </c>
      <c r="D3267" s="787">
        <v>0</v>
      </c>
      <c r="E3267" s="787">
        <v>0</v>
      </c>
      <c r="H3267" s="787">
        <v>1</v>
      </c>
      <c r="I3267" s="788">
        <v>39843</v>
      </c>
      <c r="L3267" s="787">
        <v>0</v>
      </c>
      <c r="M3267" s="787">
        <v>10</v>
      </c>
      <c r="N3267" s="787">
        <v>20.32</v>
      </c>
      <c r="O3267" s="788">
        <v>42082</v>
      </c>
    </row>
    <row r="3268" spans="1:15" x14ac:dyDescent="0.25">
      <c r="A3268" s="786" t="s">
        <v>6665</v>
      </c>
      <c r="B3268" s="787">
        <v>4</v>
      </c>
      <c r="C3268" s="787" t="s">
        <v>6666</v>
      </c>
      <c r="D3268" s="787">
        <v>0</v>
      </c>
      <c r="E3268" s="787">
        <v>0</v>
      </c>
      <c r="H3268" s="787">
        <v>1</v>
      </c>
      <c r="I3268" s="788">
        <v>40833</v>
      </c>
      <c r="L3268" s="787">
        <v>0</v>
      </c>
      <c r="M3268" s="787">
        <v>10</v>
      </c>
      <c r="N3268" s="787">
        <v>17.41</v>
      </c>
      <c r="O3268" s="788">
        <v>42082</v>
      </c>
    </row>
    <row r="3269" spans="1:15" x14ac:dyDescent="0.25">
      <c r="A3269" s="786" t="s">
        <v>6667</v>
      </c>
      <c r="B3269" s="787">
        <v>4</v>
      </c>
      <c r="C3269" s="787" t="s">
        <v>6668</v>
      </c>
      <c r="D3269" s="787">
        <v>0</v>
      </c>
      <c r="E3269" s="787">
        <v>0</v>
      </c>
      <c r="H3269" s="787">
        <v>1</v>
      </c>
      <c r="I3269" s="788">
        <v>40807</v>
      </c>
      <c r="J3269" s="788">
        <v>39101</v>
      </c>
      <c r="L3269" s="787">
        <v>0</v>
      </c>
      <c r="M3269" s="787">
        <v>10</v>
      </c>
      <c r="N3269" s="787">
        <v>17.41</v>
      </c>
      <c r="O3269" s="788">
        <v>42082</v>
      </c>
    </row>
    <row r="3270" spans="1:15" x14ac:dyDescent="0.25">
      <c r="A3270" s="786" t="s">
        <v>6669</v>
      </c>
      <c r="B3270" s="787">
        <v>4</v>
      </c>
      <c r="C3270" s="787" t="s">
        <v>6670</v>
      </c>
      <c r="D3270" s="787">
        <v>0</v>
      </c>
      <c r="E3270" s="787">
        <v>0</v>
      </c>
      <c r="H3270" s="787">
        <v>1</v>
      </c>
      <c r="I3270" s="788">
        <v>40602</v>
      </c>
      <c r="L3270" s="787">
        <v>0</v>
      </c>
      <c r="M3270" s="787">
        <v>10</v>
      </c>
      <c r="N3270" s="787">
        <v>18.09</v>
      </c>
      <c r="O3270" s="788">
        <v>42082</v>
      </c>
    </row>
    <row r="3271" spans="1:15" x14ac:dyDescent="0.25">
      <c r="A3271" s="786" t="s">
        <v>6671</v>
      </c>
      <c r="B3271" s="787">
        <v>4</v>
      </c>
      <c r="C3271" s="787" t="s">
        <v>6672</v>
      </c>
      <c r="D3271" s="787">
        <v>0</v>
      </c>
      <c r="E3271" s="787">
        <v>0</v>
      </c>
      <c r="H3271" s="787">
        <v>1</v>
      </c>
      <c r="I3271" s="788">
        <v>41320</v>
      </c>
      <c r="L3271" s="787">
        <v>0</v>
      </c>
      <c r="M3271" s="787">
        <v>10</v>
      </c>
      <c r="N3271" s="787">
        <v>18.82</v>
      </c>
      <c r="O3271" s="788">
        <v>42082</v>
      </c>
    </row>
    <row r="3272" spans="1:15" x14ac:dyDescent="0.25">
      <c r="A3272" s="786" t="s">
        <v>6673</v>
      </c>
      <c r="B3272" s="787">
        <v>4</v>
      </c>
      <c r="C3272" s="787" t="s">
        <v>6674</v>
      </c>
      <c r="D3272" s="787">
        <v>0</v>
      </c>
      <c r="E3272" s="787">
        <v>0</v>
      </c>
      <c r="H3272" s="787">
        <v>1</v>
      </c>
      <c r="I3272" s="788">
        <v>41477</v>
      </c>
      <c r="J3272" s="788">
        <v>39457</v>
      </c>
      <c r="L3272" s="787">
        <v>0</v>
      </c>
      <c r="M3272" s="787">
        <v>10</v>
      </c>
      <c r="N3272" s="787">
        <v>19.41</v>
      </c>
      <c r="O3272" s="788">
        <v>42082</v>
      </c>
    </row>
    <row r="3273" spans="1:15" x14ac:dyDescent="0.25">
      <c r="A3273" s="786" t="s">
        <v>6675</v>
      </c>
      <c r="B3273" s="787">
        <v>4</v>
      </c>
      <c r="C3273" s="787" t="s">
        <v>6676</v>
      </c>
      <c r="D3273" s="787">
        <v>0</v>
      </c>
      <c r="E3273" s="787">
        <v>0</v>
      </c>
      <c r="H3273" s="787">
        <v>1</v>
      </c>
      <c r="I3273" s="788">
        <v>40239</v>
      </c>
      <c r="L3273" s="787">
        <v>0</v>
      </c>
      <c r="M3273" s="787">
        <v>10</v>
      </c>
      <c r="N3273" s="787">
        <v>19.2</v>
      </c>
      <c r="O3273" s="788">
        <v>42082</v>
      </c>
    </row>
    <row r="3274" spans="1:15" x14ac:dyDescent="0.25">
      <c r="A3274" s="786" t="s">
        <v>6677</v>
      </c>
      <c r="B3274" s="787">
        <v>4</v>
      </c>
      <c r="C3274" s="787" t="s">
        <v>6678</v>
      </c>
      <c r="D3274" s="787">
        <v>0</v>
      </c>
      <c r="E3274" s="787">
        <v>0</v>
      </c>
      <c r="H3274" s="787">
        <v>1</v>
      </c>
      <c r="I3274" s="788">
        <v>40037</v>
      </c>
      <c r="L3274" s="787">
        <v>0</v>
      </c>
      <c r="M3274" s="787">
        <v>10</v>
      </c>
      <c r="N3274" s="787">
        <v>20.329999999999998</v>
      </c>
      <c r="O3274" s="788">
        <v>42082</v>
      </c>
    </row>
    <row r="3275" spans="1:15" x14ac:dyDescent="0.25">
      <c r="A3275" s="786" t="s">
        <v>6679</v>
      </c>
      <c r="B3275" s="787">
        <v>4</v>
      </c>
      <c r="C3275" s="787" t="s">
        <v>6680</v>
      </c>
      <c r="D3275" s="787">
        <v>0</v>
      </c>
      <c r="E3275" s="787">
        <v>0</v>
      </c>
      <c r="H3275" s="787">
        <v>1</v>
      </c>
      <c r="I3275" s="788">
        <v>39888</v>
      </c>
      <c r="J3275" s="788">
        <v>39457</v>
      </c>
      <c r="L3275" s="787">
        <v>0</v>
      </c>
      <c r="M3275" s="787">
        <v>10</v>
      </c>
      <c r="N3275" s="787">
        <v>21.38</v>
      </c>
      <c r="O3275" s="788">
        <v>42082</v>
      </c>
    </row>
    <row r="3276" spans="1:15" x14ac:dyDescent="0.25">
      <c r="A3276" s="786" t="s">
        <v>6681</v>
      </c>
      <c r="B3276" s="787">
        <v>4</v>
      </c>
      <c r="C3276" s="787" t="s">
        <v>6682</v>
      </c>
      <c r="D3276" s="787">
        <v>0</v>
      </c>
      <c r="E3276" s="787">
        <v>0</v>
      </c>
      <c r="H3276" s="787">
        <v>1</v>
      </c>
      <c r="I3276" s="788">
        <v>39888</v>
      </c>
      <c r="J3276" s="788">
        <v>39101</v>
      </c>
      <c r="L3276" s="787">
        <v>0</v>
      </c>
      <c r="M3276" s="787">
        <v>10</v>
      </c>
      <c r="N3276" s="787">
        <v>21.96</v>
      </c>
      <c r="O3276" s="788">
        <v>42082</v>
      </c>
    </row>
    <row r="3277" spans="1:15" x14ac:dyDescent="0.25">
      <c r="A3277" s="786" t="s">
        <v>6683</v>
      </c>
      <c r="B3277" s="787">
        <v>4</v>
      </c>
      <c r="C3277" s="787" t="s">
        <v>6684</v>
      </c>
      <c r="D3277" s="787">
        <v>0</v>
      </c>
      <c r="E3277" s="787">
        <v>0</v>
      </c>
      <c r="H3277" s="787">
        <v>1</v>
      </c>
      <c r="I3277" s="788">
        <v>40114</v>
      </c>
      <c r="L3277" s="787">
        <v>0</v>
      </c>
      <c r="M3277" s="787">
        <v>10</v>
      </c>
      <c r="N3277" s="787">
        <v>20.65</v>
      </c>
      <c r="O3277" s="788">
        <v>42082</v>
      </c>
    </row>
    <row r="3278" spans="1:15" x14ac:dyDescent="0.25">
      <c r="A3278" s="786" t="s">
        <v>6685</v>
      </c>
      <c r="B3278" s="787">
        <v>4</v>
      </c>
      <c r="C3278" s="787" t="s">
        <v>6686</v>
      </c>
      <c r="D3278" s="787">
        <v>0</v>
      </c>
      <c r="E3278" s="787">
        <v>0</v>
      </c>
      <c r="H3278" s="787">
        <v>1</v>
      </c>
      <c r="I3278" s="788">
        <v>40374</v>
      </c>
      <c r="L3278" s="787">
        <v>0</v>
      </c>
      <c r="M3278" s="787">
        <v>10</v>
      </c>
      <c r="N3278" s="787">
        <v>22.03</v>
      </c>
      <c r="O3278" s="788">
        <v>42082</v>
      </c>
    </row>
    <row r="3279" spans="1:15" x14ac:dyDescent="0.25">
      <c r="A3279" s="786" t="s">
        <v>6687</v>
      </c>
      <c r="B3279" s="787">
        <v>4</v>
      </c>
      <c r="C3279" s="787" t="s">
        <v>6688</v>
      </c>
      <c r="D3279" s="787">
        <v>0</v>
      </c>
      <c r="E3279" s="787">
        <v>0</v>
      </c>
      <c r="H3279" s="787">
        <v>1</v>
      </c>
      <c r="I3279" s="788">
        <v>39906</v>
      </c>
      <c r="L3279" s="787">
        <v>0</v>
      </c>
      <c r="M3279" s="787">
        <v>10</v>
      </c>
      <c r="N3279" s="787">
        <v>22.82</v>
      </c>
      <c r="O3279" s="788">
        <v>42082</v>
      </c>
    </row>
    <row r="3280" spans="1:15" x14ac:dyDescent="0.25">
      <c r="A3280" s="786" t="s">
        <v>6689</v>
      </c>
      <c r="B3280" s="787">
        <v>4</v>
      </c>
      <c r="C3280" s="787" t="s">
        <v>6690</v>
      </c>
      <c r="D3280" s="787">
        <v>0</v>
      </c>
      <c r="E3280" s="787">
        <v>0</v>
      </c>
      <c r="H3280" s="787">
        <v>1</v>
      </c>
      <c r="I3280" s="788">
        <v>41207</v>
      </c>
      <c r="J3280" s="788">
        <v>39101</v>
      </c>
      <c r="L3280" s="787">
        <v>0</v>
      </c>
      <c r="M3280" s="787">
        <v>10</v>
      </c>
      <c r="N3280" s="787">
        <v>23.37</v>
      </c>
      <c r="O3280" s="788">
        <v>42082</v>
      </c>
    </row>
    <row r="3281" spans="1:15" x14ac:dyDescent="0.25">
      <c r="A3281" s="786" t="s">
        <v>6691</v>
      </c>
      <c r="B3281" s="787">
        <v>4</v>
      </c>
      <c r="C3281" s="787" t="s">
        <v>6692</v>
      </c>
      <c r="D3281" s="787">
        <v>0</v>
      </c>
      <c r="E3281" s="787">
        <v>0</v>
      </c>
      <c r="H3281" s="787">
        <v>1</v>
      </c>
      <c r="I3281" s="788">
        <v>39805</v>
      </c>
      <c r="L3281" s="787">
        <v>0</v>
      </c>
      <c r="M3281" s="787">
        <v>10</v>
      </c>
      <c r="N3281" s="787">
        <v>22.82</v>
      </c>
      <c r="O3281" s="788">
        <v>42082</v>
      </c>
    </row>
    <row r="3282" spans="1:15" x14ac:dyDescent="0.25">
      <c r="A3282" s="786" t="s">
        <v>6693</v>
      </c>
      <c r="B3282" s="787">
        <v>4</v>
      </c>
      <c r="C3282" s="787" t="s">
        <v>6694</v>
      </c>
      <c r="D3282" s="787">
        <v>0</v>
      </c>
      <c r="E3282" s="787">
        <v>0</v>
      </c>
      <c r="H3282" s="787">
        <v>1</v>
      </c>
      <c r="I3282" s="788">
        <v>40142</v>
      </c>
      <c r="L3282" s="787">
        <v>0</v>
      </c>
      <c r="M3282" s="787">
        <v>10</v>
      </c>
      <c r="N3282" s="787">
        <v>23.74</v>
      </c>
      <c r="O3282" s="788">
        <v>42082</v>
      </c>
    </row>
    <row r="3283" spans="1:15" x14ac:dyDescent="0.25">
      <c r="A3283" s="786" t="s">
        <v>6695</v>
      </c>
      <c r="B3283" s="787">
        <v>4</v>
      </c>
      <c r="C3283" s="787" t="s">
        <v>6696</v>
      </c>
      <c r="D3283" s="787">
        <v>0</v>
      </c>
      <c r="E3283" s="787">
        <v>0</v>
      </c>
      <c r="H3283" s="787">
        <v>1</v>
      </c>
      <c r="I3283" s="788">
        <v>39986</v>
      </c>
      <c r="J3283" s="788">
        <v>39101</v>
      </c>
      <c r="L3283" s="787">
        <v>0</v>
      </c>
      <c r="M3283" s="787">
        <v>10</v>
      </c>
      <c r="N3283" s="787">
        <v>24.52</v>
      </c>
      <c r="O3283" s="788">
        <v>42082</v>
      </c>
    </row>
    <row r="3284" spans="1:15" x14ac:dyDescent="0.25">
      <c r="A3284" s="786" t="s">
        <v>6697</v>
      </c>
      <c r="B3284" s="787">
        <v>4</v>
      </c>
      <c r="C3284" s="787" t="s">
        <v>6698</v>
      </c>
      <c r="D3284" s="787">
        <v>0</v>
      </c>
      <c r="E3284" s="787">
        <v>0</v>
      </c>
      <c r="H3284" s="787">
        <v>1</v>
      </c>
      <c r="I3284" s="788">
        <v>39990</v>
      </c>
      <c r="J3284" s="788">
        <v>39457</v>
      </c>
      <c r="L3284" s="787">
        <v>0</v>
      </c>
      <c r="M3284" s="787">
        <v>10</v>
      </c>
      <c r="N3284" s="787">
        <v>25.49</v>
      </c>
      <c r="O3284" s="788">
        <v>42082</v>
      </c>
    </row>
    <row r="3285" spans="1:15" x14ac:dyDescent="0.25">
      <c r="A3285" s="786" t="s">
        <v>6699</v>
      </c>
      <c r="B3285" s="787">
        <v>4</v>
      </c>
      <c r="C3285" s="787" t="s">
        <v>6700</v>
      </c>
      <c r="D3285" s="787">
        <v>0</v>
      </c>
      <c r="E3285" s="787">
        <v>0</v>
      </c>
      <c r="H3285" s="787">
        <v>1</v>
      </c>
      <c r="I3285" s="788">
        <v>40421</v>
      </c>
      <c r="L3285" s="787">
        <v>0</v>
      </c>
      <c r="M3285" s="787">
        <v>10</v>
      </c>
      <c r="N3285" s="787">
        <v>30.03</v>
      </c>
      <c r="O3285" s="788">
        <v>42082</v>
      </c>
    </row>
    <row r="3286" spans="1:15" x14ac:dyDescent="0.25">
      <c r="A3286" s="786" t="s">
        <v>6701</v>
      </c>
      <c r="B3286" s="787">
        <v>4</v>
      </c>
      <c r="C3286" s="787" t="s">
        <v>6702</v>
      </c>
      <c r="D3286" s="787">
        <v>0</v>
      </c>
      <c r="E3286" s="787">
        <v>0</v>
      </c>
      <c r="H3286" s="787">
        <v>1</v>
      </c>
      <c r="I3286" s="788">
        <v>39899</v>
      </c>
      <c r="L3286" s="787">
        <v>0</v>
      </c>
      <c r="M3286" s="787">
        <v>10</v>
      </c>
      <c r="N3286" s="787">
        <v>31.47</v>
      </c>
      <c r="O3286" s="788">
        <v>42082</v>
      </c>
    </row>
    <row r="3287" spans="1:15" x14ac:dyDescent="0.25">
      <c r="A3287" s="786" t="s">
        <v>6703</v>
      </c>
      <c r="B3287" s="787">
        <v>4</v>
      </c>
      <c r="C3287" s="787" t="s">
        <v>6704</v>
      </c>
      <c r="D3287" s="787">
        <v>0</v>
      </c>
      <c r="E3287" s="787">
        <v>0</v>
      </c>
      <c r="H3287" s="787">
        <v>1</v>
      </c>
      <c r="I3287" s="788">
        <v>39924</v>
      </c>
      <c r="L3287" s="787">
        <v>0</v>
      </c>
      <c r="M3287" s="787">
        <v>10</v>
      </c>
      <c r="N3287" s="787">
        <v>32.880000000000003</v>
      </c>
      <c r="O3287" s="788">
        <v>42082</v>
      </c>
    </row>
    <row r="3288" spans="1:15" x14ac:dyDescent="0.25">
      <c r="A3288" s="786" t="s">
        <v>6705</v>
      </c>
      <c r="B3288" s="787">
        <v>4</v>
      </c>
      <c r="C3288" s="787" t="s">
        <v>6706</v>
      </c>
      <c r="D3288" s="787">
        <v>0</v>
      </c>
      <c r="E3288" s="787">
        <v>0</v>
      </c>
      <c r="H3288" s="787">
        <v>1</v>
      </c>
      <c r="I3288" s="788">
        <v>40024</v>
      </c>
      <c r="J3288" s="788">
        <v>39457</v>
      </c>
      <c r="L3288" s="787">
        <v>0</v>
      </c>
      <c r="M3288" s="787">
        <v>10</v>
      </c>
      <c r="N3288" s="787">
        <v>34.32</v>
      </c>
      <c r="O3288" s="788">
        <v>42082</v>
      </c>
    </row>
    <row r="3289" spans="1:15" x14ac:dyDescent="0.25">
      <c r="A3289" s="786" t="s">
        <v>6707</v>
      </c>
      <c r="B3289" s="787">
        <v>4</v>
      </c>
      <c r="C3289" s="787" t="s">
        <v>6708</v>
      </c>
      <c r="D3289" s="787">
        <v>0</v>
      </c>
      <c r="E3289" s="787">
        <v>0</v>
      </c>
      <c r="H3289" s="787">
        <v>1</v>
      </c>
      <c r="I3289" s="788">
        <v>39871</v>
      </c>
      <c r="L3289" s="787">
        <v>0</v>
      </c>
      <c r="M3289" s="787">
        <v>10</v>
      </c>
      <c r="N3289" s="787">
        <v>31.84</v>
      </c>
      <c r="O3289" s="788">
        <v>42082</v>
      </c>
    </row>
    <row r="3290" spans="1:15" x14ac:dyDescent="0.25">
      <c r="A3290" s="786" t="s">
        <v>6709</v>
      </c>
      <c r="B3290" s="787">
        <v>4</v>
      </c>
      <c r="C3290" s="787" t="s">
        <v>6710</v>
      </c>
      <c r="D3290" s="787">
        <v>0</v>
      </c>
      <c r="E3290" s="787">
        <v>0</v>
      </c>
      <c r="H3290" s="787">
        <v>1</v>
      </c>
      <c r="I3290" s="788">
        <v>40319</v>
      </c>
      <c r="L3290" s="787">
        <v>0</v>
      </c>
      <c r="M3290" s="787">
        <v>10</v>
      </c>
      <c r="N3290" s="787">
        <v>33.39</v>
      </c>
      <c r="O3290" s="788">
        <v>42082</v>
      </c>
    </row>
    <row r="3291" spans="1:15" x14ac:dyDescent="0.25">
      <c r="A3291" s="786" t="s">
        <v>6711</v>
      </c>
      <c r="B3291" s="787">
        <v>4</v>
      </c>
      <c r="C3291" s="787" t="s">
        <v>6712</v>
      </c>
      <c r="D3291" s="787">
        <v>0</v>
      </c>
      <c r="E3291" s="787">
        <v>0</v>
      </c>
      <c r="H3291" s="787">
        <v>1</v>
      </c>
      <c r="I3291" s="788">
        <v>39871</v>
      </c>
      <c r="L3291" s="787">
        <v>0</v>
      </c>
      <c r="M3291" s="787">
        <v>10</v>
      </c>
      <c r="N3291" s="787">
        <v>34.97</v>
      </c>
      <c r="O3291" s="788">
        <v>42082</v>
      </c>
    </row>
    <row r="3292" spans="1:15" x14ac:dyDescent="0.25">
      <c r="A3292" s="786" t="s">
        <v>6713</v>
      </c>
      <c r="B3292" s="787">
        <v>4</v>
      </c>
      <c r="C3292" s="787" t="s">
        <v>6714</v>
      </c>
      <c r="D3292" s="787">
        <v>0</v>
      </c>
      <c r="E3292" s="787">
        <v>0</v>
      </c>
      <c r="H3292" s="787">
        <v>1</v>
      </c>
      <c r="I3292" s="788">
        <v>39888</v>
      </c>
      <c r="J3292" s="788">
        <v>39101</v>
      </c>
      <c r="L3292" s="787">
        <v>0</v>
      </c>
      <c r="M3292" s="787">
        <v>10</v>
      </c>
      <c r="N3292" s="787">
        <v>36.54</v>
      </c>
      <c r="O3292" s="788">
        <v>42082</v>
      </c>
    </row>
    <row r="3293" spans="1:15" x14ac:dyDescent="0.25">
      <c r="A3293" s="786" t="s">
        <v>6715</v>
      </c>
      <c r="B3293" s="787">
        <v>4</v>
      </c>
      <c r="C3293" s="787" t="s">
        <v>6716</v>
      </c>
      <c r="D3293" s="787">
        <v>0</v>
      </c>
      <c r="E3293" s="787">
        <v>0</v>
      </c>
      <c r="H3293" s="787">
        <v>1</v>
      </c>
      <c r="L3293" s="787">
        <v>0</v>
      </c>
      <c r="M3293" s="787">
        <v>10</v>
      </c>
      <c r="N3293" s="787">
        <v>33.619999999999997</v>
      </c>
      <c r="O3293" s="788">
        <v>42082</v>
      </c>
    </row>
    <row r="3294" spans="1:15" x14ac:dyDescent="0.25">
      <c r="A3294" s="786" t="s">
        <v>6717</v>
      </c>
      <c r="B3294" s="787">
        <v>4</v>
      </c>
      <c r="C3294" s="787" t="s">
        <v>6718</v>
      </c>
      <c r="D3294" s="787">
        <v>0</v>
      </c>
      <c r="E3294" s="787">
        <v>0</v>
      </c>
      <c r="H3294" s="787">
        <v>1</v>
      </c>
      <c r="I3294" s="788">
        <v>40009</v>
      </c>
      <c r="J3294" s="788">
        <v>39101</v>
      </c>
      <c r="L3294" s="787">
        <v>0</v>
      </c>
      <c r="M3294" s="787">
        <v>10</v>
      </c>
      <c r="N3294" s="787">
        <v>35.340000000000003</v>
      </c>
      <c r="O3294" s="788">
        <v>42082</v>
      </c>
    </row>
    <row r="3295" spans="1:15" x14ac:dyDescent="0.25">
      <c r="A3295" s="786" t="s">
        <v>6719</v>
      </c>
      <c r="B3295" s="787">
        <v>4</v>
      </c>
      <c r="C3295" s="787" t="s">
        <v>6720</v>
      </c>
      <c r="D3295" s="787">
        <v>0</v>
      </c>
      <c r="E3295" s="787">
        <v>0</v>
      </c>
      <c r="H3295" s="787">
        <v>1</v>
      </c>
      <c r="I3295" s="788">
        <v>40009</v>
      </c>
      <c r="L3295" s="787">
        <v>0</v>
      </c>
      <c r="M3295" s="787">
        <v>10</v>
      </c>
      <c r="N3295" s="787">
        <v>37.049999999999997</v>
      </c>
      <c r="O3295" s="788">
        <v>42082</v>
      </c>
    </row>
    <row r="3296" spans="1:15" x14ac:dyDescent="0.25">
      <c r="A3296" s="786" t="s">
        <v>6721</v>
      </c>
      <c r="B3296" s="787">
        <v>4</v>
      </c>
      <c r="C3296" s="787" t="s">
        <v>6722</v>
      </c>
      <c r="D3296" s="787">
        <v>0</v>
      </c>
      <c r="E3296" s="787">
        <v>0</v>
      </c>
      <c r="H3296" s="787">
        <v>1</v>
      </c>
      <c r="I3296" s="788">
        <v>41127</v>
      </c>
      <c r="J3296" s="788">
        <v>39457</v>
      </c>
      <c r="L3296" s="787">
        <v>0</v>
      </c>
      <c r="M3296" s="787">
        <v>10</v>
      </c>
      <c r="N3296" s="787">
        <v>31.98</v>
      </c>
      <c r="O3296" s="788">
        <v>42082</v>
      </c>
    </row>
    <row r="3297" spans="1:15" x14ac:dyDescent="0.25">
      <c r="A3297" s="786" t="s">
        <v>6723</v>
      </c>
      <c r="B3297" s="787">
        <v>4</v>
      </c>
      <c r="C3297" s="787" t="s">
        <v>6724</v>
      </c>
      <c r="D3297" s="787">
        <v>0</v>
      </c>
      <c r="E3297" s="787">
        <v>0</v>
      </c>
      <c r="H3297" s="787">
        <v>1</v>
      </c>
      <c r="L3297" s="787">
        <v>0</v>
      </c>
      <c r="M3297" s="787">
        <v>10</v>
      </c>
      <c r="N3297" s="787">
        <v>37.659999999999997</v>
      </c>
      <c r="O3297" s="788">
        <v>42082</v>
      </c>
    </row>
    <row r="3298" spans="1:15" x14ac:dyDescent="0.25">
      <c r="A3298" s="786" t="s">
        <v>6725</v>
      </c>
      <c r="B3298" s="787">
        <v>4</v>
      </c>
      <c r="C3298" s="787" t="s">
        <v>6726</v>
      </c>
      <c r="D3298" s="787">
        <v>0</v>
      </c>
      <c r="E3298" s="787">
        <v>0</v>
      </c>
      <c r="H3298" s="787">
        <v>1</v>
      </c>
      <c r="I3298" s="788">
        <v>39959</v>
      </c>
      <c r="L3298" s="787">
        <v>0</v>
      </c>
      <c r="M3298" s="787">
        <v>10</v>
      </c>
      <c r="N3298" s="787">
        <v>39.479999999999997</v>
      </c>
      <c r="O3298" s="788">
        <v>42082</v>
      </c>
    </row>
    <row r="3299" spans="1:15" x14ac:dyDescent="0.25">
      <c r="A3299" s="786" t="s">
        <v>6727</v>
      </c>
      <c r="B3299" s="787">
        <v>4</v>
      </c>
      <c r="C3299" s="787" t="s">
        <v>6728</v>
      </c>
      <c r="D3299" s="787">
        <v>0</v>
      </c>
      <c r="E3299" s="787">
        <v>0</v>
      </c>
      <c r="H3299" s="787">
        <v>1</v>
      </c>
      <c r="I3299" s="788">
        <v>40374</v>
      </c>
      <c r="L3299" s="787">
        <v>0</v>
      </c>
      <c r="M3299" s="787">
        <v>10</v>
      </c>
      <c r="N3299" s="787">
        <v>41.34</v>
      </c>
      <c r="O3299" s="788">
        <v>42082</v>
      </c>
    </row>
    <row r="3300" spans="1:15" x14ac:dyDescent="0.25">
      <c r="A3300" s="786" t="s">
        <v>6729</v>
      </c>
      <c r="B3300" s="787">
        <v>4</v>
      </c>
      <c r="C3300" s="787" t="s">
        <v>6730</v>
      </c>
      <c r="D3300" s="787">
        <v>0</v>
      </c>
      <c r="E3300" s="787">
        <v>0</v>
      </c>
      <c r="H3300" s="787">
        <v>1</v>
      </c>
      <c r="I3300" s="788">
        <v>39899</v>
      </c>
      <c r="L3300" s="787">
        <v>0</v>
      </c>
      <c r="M3300" s="787">
        <v>10</v>
      </c>
      <c r="N3300" s="787">
        <v>43.19</v>
      </c>
      <c r="O3300" s="788">
        <v>42082</v>
      </c>
    </row>
    <row r="3301" spans="1:15" x14ac:dyDescent="0.25">
      <c r="A3301" s="786" t="s">
        <v>6731</v>
      </c>
      <c r="B3301" s="787">
        <v>4</v>
      </c>
      <c r="C3301" s="787" t="s">
        <v>6732</v>
      </c>
      <c r="D3301" s="787">
        <v>0</v>
      </c>
      <c r="E3301" s="787">
        <v>0</v>
      </c>
      <c r="H3301" s="787">
        <v>1</v>
      </c>
      <c r="I3301" s="788">
        <v>39629</v>
      </c>
      <c r="L3301" s="787">
        <v>0</v>
      </c>
      <c r="M3301" s="787">
        <v>10</v>
      </c>
      <c r="N3301" s="787">
        <v>39.44</v>
      </c>
      <c r="O3301" s="788">
        <v>42082</v>
      </c>
    </row>
    <row r="3302" spans="1:15" x14ac:dyDescent="0.25">
      <c r="A3302" s="786" t="s">
        <v>6733</v>
      </c>
      <c r="B3302" s="787">
        <v>4</v>
      </c>
      <c r="C3302" s="787" t="s">
        <v>6734</v>
      </c>
      <c r="D3302" s="787">
        <v>0</v>
      </c>
      <c r="E3302" s="787">
        <v>0</v>
      </c>
      <c r="H3302" s="787">
        <v>1</v>
      </c>
      <c r="I3302" s="788">
        <v>39871</v>
      </c>
      <c r="L3302" s="787">
        <v>0</v>
      </c>
      <c r="M3302" s="787">
        <v>10</v>
      </c>
      <c r="N3302" s="787">
        <v>41.43</v>
      </c>
      <c r="O3302" s="788">
        <v>42082</v>
      </c>
    </row>
    <row r="3303" spans="1:15" x14ac:dyDescent="0.25">
      <c r="A3303" s="786" t="s">
        <v>6735</v>
      </c>
      <c r="B3303" s="787">
        <v>4</v>
      </c>
      <c r="C3303" s="787" t="s">
        <v>6736</v>
      </c>
      <c r="D3303" s="787">
        <v>0</v>
      </c>
      <c r="E3303" s="787">
        <v>0</v>
      </c>
      <c r="H3303" s="787">
        <v>1</v>
      </c>
      <c r="I3303" s="788">
        <v>39931</v>
      </c>
      <c r="J3303" s="788">
        <v>39457</v>
      </c>
      <c r="L3303" s="787">
        <v>0</v>
      </c>
      <c r="M3303" s="787">
        <v>10</v>
      </c>
      <c r="N3303" s="787">
        <v>43.42</v>
      </c>
      <c r="O3303" s="788">
        <v>42082</v>
      </c>
    </row>
    <row r="3304" spans="1:15" x14ac:dyDescent="0.25">
      <c r="A3304" s="786" t="s">
        <v>6737</v>
      </c>
      <c r="B3304" s="787">
        <v>4</v>
      </c>
      <c r="C3304" s="787" t="s">
        <v>6738</v>
      </c>
      <c r="D3304" s="787">
        <v>0</v>
      </c>
      <c r="E3304" s="787">
        <v>0</v>
      </c>
      <c r="H3304" s="787">
        <v>1</v>
      </c>
      <c r="I3304" s="788">
        <v>41127</v>
      </c>
      <c r="J3304" s="788">
        <v>39101</v>
      </c>
      <c r="L3304" s="787">
        <v>0</v>
      </c>
      <c r="M3304" s="787">
        <v>10</v>
      </c>
      <c r="N3304" s="787">
        <v>45.39</v>
      </c>
      <c r="O3304" s="788">
        <v>42082</v>
      </c>
    </row>
    <row r="3305" spans="1:15" x14ac:dyDescent="0.25">
      <c r="A3305" s="786" t="s">
        <v>6739</v>
      </c>
      <c r="B3305" s="787">
        <v>4</v>
      </c>
      <c r="C3305" s="787" t="s">
        <v>6740</v>
      </c>
      <c r="D3305" s="787">
        <v>0</v>
      </c>
      <c r="E3305" s="787">
        <v>0</v>
      </c>
      <c r="H3305" s="787">
        <v>1</v>
      </c>
      <c r="I3305" s="788">
        <v>39975</v>
      </c>
      <c r="L3305" s="787">
        <v>0</v>
      </c>
      <c r="M3305" s="787">
        <v>10</v>
      </c>
      <c r="N3305" s="787">
        <v>3.53</v>
      </c>
      <c r="O3305" s="788">
        <v>42123</v>
      </c>
    </row>
    <row r="3306" spans="1:15" x14ac:dyDescent="0.25">
      <c r="A3306" s="786" t="s">
        <v>6741</v>
      </c>
      <c r="B3306" s="787">
        <v>4</v>
      </c>
      <c r="C3306" s="787" t="s">
        <v>6742</v>
      </c>
      <c r="D3306" s="787">
        <v>0</v>
      </c>
      <c r="E3306" s="787">
        <v>0</v>
      </c>
      <c r="H3306" s="787">
        <v>1</v>
      </c>
      <c r="I3306" s="788">
        <v>41065</v>
      </c>
      <c r="L3306" s="787">
        <v>0</v>
      </c>
      <c r="M3306" s="787">
        <v>10</v>
      </c>
      <c r="N3306" s="787">
        <v>3.56</v>
      </c>
      <c r="O3306" s="788">
        <v>42123</v>
      </c>
    </row>
    <row r="3307" spans="1:15" x14ac:dyDescent="0.25">
      <c r="A3307" s="786" t="s">
        <v>6743</v>
      </c>
      <c r="B3307" s="787">
        <v>4</v>
      </c>
      <c r="C3307" s="787" t="s">
        <v>6744</v>
      </c>
      <c r="D3307" s="787">
        <v>0</v>
      </c>
      <c r="E3307" s="787">
        <v>0</v>
      </c>
      <c r="H3307" s="787">
        <v>1</v>
      </c>
      <c r="L3307" s="787">
        <v>0</v>
      </c>
      <c r="M3307" s="787">
        <v>10</v>
      </c>
      <c r="N3307" s="787">
        <v>3.6</v>
      </c>
      <c r="O3307" s="788">
        <v>42123</v>
      </c>
    </row>
    <row r="3308" spans="1:15" x14ac:dyDescent="0.25">
      <c r="A3308" s="786" t="s">
        <v>6745</v>
      </c>
      <c r="B3308" s="787">
        <v>4</v>
      </c>
      <c r="C3308" s="787" t="s">
        <v>6746</v>
      </c>
      <c r="D3308" s="787">
        <v>0</v>
      </c>
      <c r="E3308" s="787">
        <v>0</v>
      </c>
      <c r="H3308" s="787">
        <v>1</v>
      </c>
      <c r="I3308" s="788">
        <v>40084</v>
      </c>
      <c r="L3308" s="787">
        <v>0</v>
      </c>
      <c r="M3308" s="787">
        <v>10</v>
      </c>
      <c r="N3308" s="787">
        <v>3.63</v>
      </c>
      <c r="O3308" s="788">
        <v>42123</v>
      </c>
    </row>
    <row r="3309" spans="1:15" x14ac:dyDescent="0.25">
      <c r="A3309" s="786" t="s">
        <v>6747</v>
      </c>
      <c r="B3309" s="787">
        <v>4</v>
      </c>
      <c r="C3309" s="787" t="s">
        <v>6748</v>
      </c>
      <c r="D3309" s="787">
        <v>0</v>
      </c>
      <c r="E3309" s="787">
        <v>0</v>
      </c>
      <c r="H3309" s="787">
        <v>1</v>
      </c>
      <c r="I3309" s="788">
        <v>39871</v>
      </c>
      <c r="L3309" s="787">
        <v>0</v>
      </c>
      <c r="M3309" s="787">
        <v>10</v>
      </c>
      <c r="N3309" s="787">
        <v>3.54</v>
      </c>
      <c r="O3309" s="788">
        <v>42123</v>
      </c>
    </row>
    <row r="3310" spans="1:15" x14ac:dyDescent="0.25">
      <c r="A3310" s="786" t="s">
        <v>6749</v>
      </c>
      <c r="B3310" s="787">
        <v>4</v>
      </c>
      <c r="C3310" s="787" t="s">
        <v>6750</v>
      </c>
      <c r="D3310" s="787">
        <v>0</v>
      </c>
      <c r="E3310" s="787">
        <v>0</v>
      </c>
      <c r="H3310" s="787">
        <v>1</v>
      </c>
      <c r="I3310" s="788">
        <v>39924</v>
      </c>
      <c r="J3310" s="788">
        <v>39101</v>
      </c>
      <c r="L3310" s="787">
        <v>0</v>
      </c>
      <c r="M3310" s="787">
        <v>10</v>
      </c>
      <c r="N3310" s="787">
        <v>5.38</v>
      </c>
      <c r="O3310" s="788">
        <v>42123</v>
      </c>
    </row>
    <row r="3311" spans="1:15" x14ac:dyDescent="0.25">
      <c r="A3311" s="786" t="s">
        <v>6751</v>
      </c>
      <c r="B3311" s="787">
        <v>4</v>
      </c>
      <c r="C3311" s="787" t="s">
        <v>6752</v>
      </c>
      <c r="D3311" s="787">
        <v>0</v>
      </c>
      <c r="E3311" s="787">
        <v>0</v>
      </c>
      <c r="H3311" s="787">
        <v>1</v>
      </c>
      <c r="I3311" s="788">
        <v>39843</v>
      </c>
      <c r="L3311" s="787">
        <v>0</v>
      </c>
      <c r="M3311" s="787">
        <v>10</v>
      </c>
      <c r="N3311" s="787">
        <v>5.42</v>
      </c>
      <c r="O3311" s="788">
        <v>42123</v>
      </c>
    </row>
    <row r="3312" spans="1:15" x14ac:dyDescent="0.25">
      <c r="A3312" s="786" t="s">
        <v>6753</v>
      </c>
      <c r="B3312" s="787">
        <v>4</v>
      </c>
      <c r="C3312" s="787" t="s">
        <v>6754</v>
      </c>
      <c r="D3312" s="787">
        <v>0</v>
      </c>
      <c r="E3312" s="787">
        <v>0</v>
      </c>
      <c r="H3312" s="787">
        <v>1</v>
      </c>
      <c r="I3312" s="788">
        <v>40833</v>
      </c>
      <c r="L3312" s="787">
        <v>0</v>
      </c>
      <c r="M3312" s="787">
        <v>10</v>
      </c>
      <c r="N3312" s="787">
        <v>5.54</v>
      </c>
      <c r="O3312" s="788">
        <v>42123</v>
      </c>
    </row>
    <row r="3313" spans="1:15" x14ac:dyDescent="0.25">
      <c r="A3313" s="786" t="s">
        <v>6755</v>
      </c>
      <c r="B3313" s="787">
        <v>4</v>
      </c>
      <c r="C3313" s="787" t="s">
        <v>6756</v>
      </c>
      <c r="D3313" s="787">
        <v>0</v>
      </c>
      <c r="E3313" s="787">
        <v>0</v>
      </c>
      <c r="H3313" s="787">
        <v>1</v>
      </c>
      <c r="I3313" s="788">
        <v>40807</v>
      </c>
      <c r="J3313" s="788">
        <v>39101</v>
      </c>
      <c r="L3313" s="787">
        <v>0</v>
      </c>
      <c r="M3313" s="787">
        <v>10</v>
      </c>
      <c r="N3313" s="787">
        <v>5.46</v>
      </c>
      <c r="O3313" s="788">
        <v>42123</v>
      </c>
    </row>
    <row r="3314" spans="1:15" x14ac:dyDescent="0.25">
      <c r="A3314" s="786" t="s">
        <v>6757</v>
      </c>
      <c r="B3314" s="787">
        <v>4</v>
      </c>
      <c r="C3314" s="787" t="s">
        <v>6758</v>
      </c>
      <c r="D3314" s="787">
        <v>0</v>
      </c>
      <c r="E3314" s="787">
        <v>0</v>
      </c>
      <c r="H3314" s="787">
        <v>1</v>
      </c>
      <c r="I3314" s="788">
        <v>40602</v>
      </c>
      <c r="L3314" s="787">
        <v>0</v>
      </c>
      <c r="M3314" s="787">
        <v>10</v>
      </c>
      <c r="N3314" s="787">
        <v>5.66</v>
      </c>
      <c r="O3314" s="788">
        <v>42123</v>
      </c>
    </row>
    <row r="3315" spans="1:15" x14ac:dyDescent="0.25">
      <c r="A3315" s="786" t="s">
        <v>6759</v>
      </c>
      <c r="B3315" s="787">
        <v>4</v>
      </c>
      <c r="C3315" s="787" t="s">
        <v>6760</v>
      </c>
      <c r="D3315" s="787">
        <v>0</v>
      </c>
      <c r="E3315" s="787">
        <v>0</v>
      </c>
      <c r="H3315" s="787">
        <v>1</v>
      </c>
      <c r="I3315" s="788">
        <v>41320</v>
      </c>
      <c r="L3315" s="787">
        <v>0</v>
      </c>
      <c r="M3315" s="787">
        <v>10</v>
      </c>
      <c r="N3315" s="787">
        <v>5.7</v>
      </c>
      <c r="O3315" s="788">
        <v>42123</v>
      </c>
    </row>
    <row r="3316" spans="1:15" x14ac:dyDescent="0.25">
      <c r="A3316" s="786" t="s">
        <v>6761</v>
      </c>
      <c r="B3316" s="787">
        <v>4</v>
      </c>
      <c r="C3316" s="787" t="s">
        <v>6762</v>
      </c>
      <c r="D3316" s="787">
        <v>0</v>
      </c>
      <c r="E3316" s="787">
        <v>0</v>
      </c>
      <c r="H3316" s="787">
        <v>1</v>
      </c>
      <c r="I3316" s="788">
        <v>41477</v>
      </c>
      <c r="L3316" s="787">
        <v>0</v>
      </c>
      <c r="M3316" s="787">
        <v>10</v>
      </c>
      <c r="N3316" s="787">
        <v>4.0999999999999996</v>
      </c>
      <c r="O3316" s="788">
        <v>42123</v>
      </c>
    </row>
    <row r="3317" spans="1:15" x14ac:dyDescent="0.25">
      <c r="A3317" s="786" t="s">
        <v>6763</v>
      </c>
      <c r="B3317" s="787">
        <v>4</v>
      </c>
      <c r="C3317" s="787" t="s">
        <v>6764</v>
      </c>
      <c r="D3317" s="787">
        <v>0</v>
      </c>
      <c r="E3317" s="787">
        <v>0</v>
      </c>
      <c r="H3317" s="787">
        <v>1</v>
      </c>
      <c r="I3317" s="788">
        <v>40239</v>
      </c>
      <c r="L3317" s="787">
        <v>0</v>
      </c>
      <c r="M3317" s="787">
        <v>10</v>
      </c>
      <c r="N3317" s="787">
        <v>4.03</v>
      </c>
      <c r="O3317" s="788">
        <v>42123</v>
      </c>
    </row>
    <row r="3318" spans="1:15" x14ac:dyDescent="0.25">
      <c r="A3318" s="786" t="s">
        <v>6765</v>
      </c>
      <c r="B3318" s="787">
        <v>4</v>
      </c>
      <c r="C3318" s="787" t="s">
        <v>6766</v>
      </c>
      <c r="D3318" s="787">
        <v>0</v>
      </c>
      <c r="E3318" s="787">
        <v>0</v>
      </c>
      <c r="H3318" s="787">
        <v>1</v>
      </c>
      <c r="I3318" s="788">
        <v>40037</v>
      </c>
      <c r="L3318" s="787">
        <v>0</v>
      </c>
      <c r="M3318" s="787">
        <v>10</v>
      </c>
      <c r="N3318" s="787">
        <v>4.0599999999999996</v>
      </c>
      <c r="O3318" s="788">
        <v>42123</v>
      </c>
    </row>
    <row r="3319" spans="1:15" x14ac:dyDescent="0.25">
      <c r="A3319" s="786" t="s">
        <v>6767</v>
      </c>
      <c r="B3319" s="787">
        <v>4</v>
      </c>
      <c r="C3319" s="787" t="s">
        <v>6768</v>
      </c>
      <c r="D3319" s="787">
        <v>0</v>
      </c>
      <c r="E3319" s="787">
        <v>0</v>
      </c>
      <c r="H3319" s="787">
        <v>1</v>
      </c>
      <c r="I3319" s="788">
        <v>39888</v>
      </c>
      <c r="L3319" s="787">
        <v>0</v>
      </c>
      <c r="M3319" s="787">
        <v>10</v>
      </c>
      <c r="N3319" s="787">
        <v>4.0999999999999996</v>
      </c>
      <c r="O3319" s="788">
        <v>42123</v>
      </c>
    </row>
    <row r="3320" spans="1:15" x14ac:dyDescent="0.25">
      <c r="A3320" s="786" t="s">
        <v>6769</v>
      </c>
      <c r="B3320" s="787">
        <v>4</v>
      </c>
      <c r="C3320" s="787" t="s">
        <v>6770</v>
      </c>
      <c r="D3320" s="787">
        <v>0</v>
      </c>
      <c r="E3320" s="787">
        <v>0</v>
      </c>
      <c r="H3320" s="787">
        <v>1</v>
      </c>
      <c r="I3320" s="788">
        <v>39888</v>
      </c>
      <c r="J3320" s="788">
        <v>39101</v>
      </c>
      <c r="L3320" s="787">
        <v>0</v>
      </c>
      <c r="M3320" s="787">
        <v>10</v>
      </c>
      <c r="N3320" s="787">
        <v>4.13</v>
      </c>
      <c r="O3320" s="788">
        <v>42123</v>
      </c>
    </row>
    <row r="3321" spans="1:15" x14ac:dyDescent="0.25">
      <c r="A3321" s="786" t="s">
        <v>6771</v>
      </c>
      <c r="B3321" s="787">
        <v>4</v>
      </c>
      <c r="C3321" s="787" t="s">
        <v>6772</v>
      </c>
      <c r="D3321" s="787">
        <v>0</v>
      </c>
      <c r="E3321" s="787">
        <v>0</v>
      </c>
      <c r="H3321" s="787">
        <v>1</v>
      </c>
      <c r="I3321" s="788">
        <v>40114</v>
      </c>
      <c r="L3321" s="787">
        <v>0</v>
      </c>
      <c r="M3321" s="787">
        <v>10</v>
      </c>
      <c r="N3321" s="787">
        <v>4.0599999999999996</v>
      </c>
      <c r="O3321" s="788">
        <v>42123</v>
      </c>
    </row>
    <row r="3322" spans="1:15" x14ac:dyDescent="0.25">
      <c r="A3322" s="786" t="s">
        <v>6773</v>
      </c>
      <c r="B3322" s="787">
        <v>4</v>
      </c>
      <c r="C3322" s="787" t="s">
        <v>6774</v>
      </c>
      <c r="D3322" s="787">
        <v>0</v>
      </c>
      <c r="E3322" s="787">
        <v>0</v>
      </c>
      <c r="H3322" s="787">
        <v>1</v>
      </c>
      <c r="I3322" s="788">
        <v>40374</v>
      </c>
      <c r="L3322" s="787">
        <v>0</v>
      </c>
      <c r="M3322" s="787">
        <v>10</v>
      </c>
      <c r="N3322" s="787">
        <v>4.0999999999999996</v>
      </c>
      <c r="O3322" s="788">
        <v>42123</v>
      </c>
    </row>
    <row r="3323" spans="1:15" x14ac:dyDescent="0.25">
      <c r="A3323" s="786" t="s">
        <v>6775</v>
      </c>
      <c r="B3323" s="787">
        <v>4</v>
      </c>
      <c r="C3323" s="787" t="s">
        <v>6776</v>
      </c>
      <c r="D3323" s="787">
        <v>0</v>
      </c>
      <c r="E3323" s="787">
        <v>0</v>
      </c>
      <c r="H3323" s="787">
        <v>1</v>
      </c>
      <c r="I3323" s="788">
        <v>39906</v>
      </c>
      <c r="L3323" s="787">
        <v>0</v>
      </c>
      <c r="M3323" s="787">
        <v>10</v>
      </c>
      <c r="N3323" s="787">
        <v>4.13</v>
      </c>
      <c r="O3323" s="788">
        <v>42123</v>
      </c>
    </row>
    <row r="3324" spans="1:15" x14ac:dyDescent="0.25">
      <c r="A3324" s="786" t="s">
        <v>6777</v>
      </c>
      <c r="B3324" s="787">
        <v>4</v>
      </c>
      <c r="C3324" s="787" t="s">
        <v>6778</v>
      </c>
      <c r="D3324" s="787">
        <v>0</v>
      </c>
      <c r="E3324" s="787">
        <v>0</v>
      </c>
      <c r="H3324" s="787">
        <v>1</v>
      </c>
      <c r="I3324" s="788">
        <v>41207</v>
      </c>
      <c r="J3324" s="788">
        <v>39101</v>
      </c>
      <c r="L3324" s="787">
        <v>0</v>
      </c>
      <c r="M3324" s="787">
        <v>10</v>
      </c>
      <c r="N3324" s="787">
        <v>4.18</v>
      </c>
      <c r="O3324" s="788">
        <v>42123</v>
      </c>
    </row>
    <row r="3325" spans="1:15" x14ac:dyDescent="0.25">
      <c r="A3325" s="786" t="s">
        <v>6779</v>
      </c>
      <c r="B3325" s="787">
        <v>4</v>
      </c>
      <c r="C3325" s="787" t="s">
        <v>6780</v>
      </c>
      <c r="D3325" s="787">
        <v>0</v>
      </c>
      <c r="E3325" s="787">
        <v>0</v>
      </c>
      <c r="H3325" s="787">
        <v>1</v>
      </c>
      <c r="L3325" s="787">
        <v>0</v>
      </c>
      <c r="M3325" s="787">
        <v>10</v>
      </c>
      <c r="N3325" s="787">
        <v>4.0999999999999996</v>
      </c>
      <c r="O3325" s="788">
        <v>42123</v>
      </c>
    </row>
    <row r="3326" spans="1:15" x14ac:dyDescent="0.25">
      <c r="A3326" s="786" t="s">
        <v>6781</v>
      </c>
      <c r="B3326" s="787">
        <v>4</v>
      </c>
      <c r="C3326" s="787" t="s">
        <v>6782</v>
      </c>
      <c r="D3326" s="787">
        <v>0</v>
      </c>
      <c r="E3326" s="787">
        <v>0</v>
      </c>
      <c r="H3326" s="787">
        <v>1</v>
      </c>
      <c r="I3326" s="788">
        <v>40142</v>
      </c>
      <c r="L3326" s="787">
        <v>0</v>
      </c>
      <c r="M3326" s="787">
        <v>10</v>
      </c>
      <c r="N3326" s="787">
        <v>4.13</v>
      </c>
      <c r="O3326" s="788">
        <v>42123</v>
      </c>
    </row>
    <row r="3327" spans="1:15" x14ac:dyDescent="0.25">
      <c r="A3327" s="786" t="s">
        <v>6783</v>
      </c>
      <c r="B3327" s="787">
        <v>4</v>
      </c>
      <c r="C3327" s="787" t="s">
        <v>6784</v>
      </c>
      <c r="D3327" s="787">
        <v>0</v>
      </c>
      <c r="E3327" s="787">
        <v>0</v>
      </c>
      <c r="H3327" s="787">
        <v>1</v>
      </c>
      <c r="I3327" s="788">
        <v>39986</v>
      </c>
      <c r="J3327" s="788">
        <v>39101</v>
      </c>
      <c r="L3327" s="787">
        <v>0</v>
      </c>
      <c r="M3327" s="787">
        <v>10</v>
      </c>
      <c r="N3327" s="787">
        <v>4.18</v>
      </c>
      <c r="O3327" s="788">
        <v>42123</v>
      </c>
    </row>
    <row r="3328" spans="1:15" x14ac:dyDescent="0.25">
      <c r="A3328" s="786" t="s">
        <v>6785</v>
      </c>
      <c r="B3328" s="787">
        <v>4</v>
      </c>
      <c r="C3328" s="787" t="s">
        <v>6786</v>
      </c>
      <c r="D3328" s="787">
        <v>0</v>
      </c>
      <c r="E3328" s="787">
        <v>0</v>
      </c>
      <c r="H3328" s="787">
        <v>1</v>
      </c>
      <c r="I3328" s="788">
        <v>39990</v>
      </c>
      <c r="L3328" s="787">
        <v>0</v>
      </c>
      <c r="M3328" s="787">
        <v>10</v>
      </c>
      <c r="N3328" s="787">
        <v>4.21</v>
      </c>
      <c r="O3328" s="788">
        <v>42123</v>
      </c>
    </row>
    <row r="3329" spans="1:15" x14ac:dyDescent="0.25">
      <c r="A3329" s="786" t="s">
        <v>6787</v>
      </c>
      <c r="B3329" s="787">
        <v>4</v>
      </c>
      <c r="C3329" s="787" t="s">
        <v>6788</v>
      </c>
      <c r="D3329" s="787">
        <v>0</v>
      </c>
      <c r="E3329" s="787">
        <v>0</v>
      </c>
      <c r="H3329" s="787">
        <v>1</v>
      </c>
      <c r="I3329" s="788">
        <v>40421</v>
      </c>
      <c r="L3329" s="787">
        <v>0</v>
      </c>
      <c r="M3329" s="787">
        <v>10</v>
      </c>
      <c r="N3329" s="787">
        <v>4.13</v>
      </c>
      <c r="O3329" s="788">
        <v>42123</v>
      </c>
    </row>
    <row r="3330" spans="1:15" x14ac:dyDescent="0.25">
      <c r="A3330" s="786" t="s">
        <v>6789</v>
      </c>
      <c r="B3330" s="787">
        <v>4</v>
      </c>
      <c r="C3330" s="787" t="s">
        <v>6790</v>
      </c>
      <c r="D3330" s="787">
        <v>0</v>
      </c>
      <c r="E3330" s="787">
        <v>0</v>
      </c>
      <c r="H3330" s="787">
        <v>1</v>
      </c>
      <c r="I3330" s="788">
        <v>39899</v>
      </c>
      <c r="L3330" s="787">
        <v>0</v>
      </c>
      <c r="M3330" s="787">
        <v>10</v>
      </c>
      <c r="N3330" s="787">
        <v>4.18</v>
      </c>
      <c r="O3330" s="788">
        <v>42123</v>
      </c>
    </row>
    <row r="3331" spans="1:15" x14ac:dyDescent="0.25">
      <c r="A3331" s="786" t="s">
        <v>6791</v>
      </c>
      <c r="B3331" s="787">
        <v>4</v>
      </c>
      <c r="C3331" s="787" t="s">
        <v>6792</v>
      </c>
      <c r="D3331" s="787">
        <v>0</v>
      </c>
      <c r="E3331" s="787">
        <v>0</v>
      </c>
      <c r="H3331" s="787">
        <v>1</v>
      </c>
      <c r="I3331" s="788">
        <v>39924</v>
      </c>
      <c r="L3331" s="787">
        <v>0</v>
      </c>
      <c r="M3331" s="787">
        <v>10</v>
      </c>
      <c r="N3331" s="787">
        <v>4.21</v>
      </c>
      <c r="O3331" s="788">
        <v>42123</v>
      </c>
    </row>
    <row r="3332" spans="1:15" x14ac:dyDescent="0.25">
      <c r="A3332" s="786" t="s">
        <v>6793</v>
      </c>
      <c r="B3332" s="787">
        <v>4</v>
      </c>
      <c r="C3332" s="787" t="s">
        <v>6794</v>
      </c>
      <c r="D3332" s="787">
        <v>0</v>
      </c>
      <c r="E3332" s="787">
        <v>0</v>
      </c>
      <c r="H3332" s="787">
        <v>1</v>
      </c>
      <c r="I3332" s="788">
        <v>40024</v>
      </c>
      <c r="L3332" s="787">
        <v>0</v>
      </c>
      <c r="M3332" s="787">
        <v>10</v>
      </c>
      <c r="N3332" s="787">
        <v>4.25</v>
      </c>
      <c r="O3332" s="788">
        <v>42123</v>
      </c>
    </row>
    <row r="3333" spans="1:15" x14ac:dyDescent="0.25">
      <c r="A3333" s="786" t="s">
        <v>6795</v>
      </c>
      <c r="B3333" s="787">
        <v>4</v>
      </c>
      <c r="C3333" s="787" t="s">
        <v>6796</v>
      </c>
      <c r="D3333" s="787">
        <v>0</v>
      </c>
      <c r="E3333" s="787">
        <v>0</v>
      </c>
      <c r="H3333" s="787">
        <v>1</v>
      </c>
      <c r="I3333" s="788">
        <v>39871</v>
      </c>
      <c r="L3333" s="787">
        <v>0</v>
      </c>
      <c r="M3333" s="787">
        <v>10</v>
      </c>
      <c r="N3333" s="787">
        <v>4.18</v>
      </c>
      <c r="O3333" s="788">
        <v>42123</v>
      </c>
    </row>
    <row r="3334" spans="1:15" x14ac:dyDescent="0.25">
      <c r="A3334" s="786" t="s">
        <v>6797</v>
      </c>
      <c r="B3334" s="787">
        <v>4</v>
      </c>
      <c r="C3334" s="787" t="s">
        <v>6798</v>
      </c>
      <c r="D3334" s="787">
        <v>0</v>
      </c>
      <c r="E3334" s="787">
        <v>0</v>
      </c>
      <c r="H3334" s="787">
        <v>1</v>
      </c>
      <c r="I3334" s="788">
        <v>40319</v>
      </c>
      <c r="L3334" s="787">
        <v>0</v>
      </c>
      <c r="M3334" s="787">
        <v>10</v>
      </c>
      <c r="N3334" s="787">
        <v>4.21</v>
      </c>
      <c r="O3334" s="788">
        <v>42123</v>
      </c>
    </row>
    <row r="3335" spans="1:15" x14ac:dyDescent="0.25">
      <c r="A3335" s="786" t="s">
        <v>6799</v>
      </c>
      <c r="B3335" s="787">
        <v>4</v>
      </c>
      <c r="C3335" s="787" t="s">
        <v>6800</v>
      </c>
      <c r="D3335" s="787">
        <v>0</v>
      </c>
      <c r="E3335" s="787">
        <v>0</v>
      </c>
      <c r="H3335" s="787">
        <v>1</v>
      </c>
      <c r="I3335" s="788">
        <v>39871</v>
      </c>
      <c r="L3335" s="787">
        <v>0</v>
      </c>
      <c r="M3335" s="787">
        <v>10</v>
      </c>
      <c r="N3335" s="787">
        <v>4.25</v>
      </c>
      <c r="O3335" s="788">
        <v>42123</v>
      </c>
    </row>
    <row r="3336" spans="1:15" x14ac:dyDescent="0.25">
      <c r="A3336" s="786" t="s">
        <v>6801</v>
      </c>
      <c r="B3336" s="787">
        <v>4</v>
      </c>
      <c r="C3336" s="787" t="s">
        <v>6802</v>
      </c>
      <c r="D3336" s="787">
        <v>0</v>
      </c>
      <c r="E3336" s="787">
        <v>0</v>
      </c>
      <c r="H3336" s="787">
        <v>1</v>
      </c>
      <c r="I3336" s="788">
        <v>39888</v>
      </c>
      <c r="J3336" s="788">
        <v>39101</v>
      </c>
      <c r="L3336" s="787">
        <v>0</v>
      </c>
      <c r="M3336" s="787">
        <v>10</v>
      </c>
      <c r="N3336" s="787">
        <v>4.28</v>
      </c>
      <c r="O3336" s="788">
        <v>42123</v>
      </c>
    </row>
    <row r="3337" spans="1:15" x14ac:dyDescent="0.25">
      <c r="A3337" s="786" t="s">
        <v>6803</v>
      </c>
      <c r="B3337" s="787">
        <v>4</v>
      </c>
      <c r="C3337" s="787" t="s">
        <v>6804</v>
      </c>
      <c r="D3337" s="787">
        <v>0</v>
      </c>
      <c r="E3337" s="787">
        <v>0</v>
      </c>
      <c r="H3337" s="787">
        <v>1</v>
      </c>
      <c r="L3337" s="787">
        <v>0</v>
      </c>
      <c r="M3337" s="787">
        <v>10</v>
      </c>
      <c r="N3337" s="787">
        <v>4.21</v>
      </c>
      <c r="O3337" s="788">
        <v>42123</v>
      </c>
    </row>
    <row r="3338" spans="1:15" x14ac:dyDescent="0.25">
      <c r="A3338" s="786" t="s">
        <v>6805</v>
      </c>
      <c r="B3338" s="787">
        <v>4</v>
      </c>
      <c r="C3338" s="787" t="s">
        <v>6806</v>
      </c>
      <c r="D3338" s="787">
        <v>0</v>
      </c>
      <c r="E3338" s="787">
        <v>0</v>
      </c>
      <c r="H3338" s="787">
        <v>1</v>
      </c>
      <c r="I3338" s="788">
        <v>40009</v>
      </c>
      <c r="J3338" s="788">
        <v>39101</v>
      </c>
      <c r="L3338" s="787">
        <v>0</v>
      </c>
      <c r="M3338" s="787">
        <v>10</v>
      </c>
      <c r="N3338" s="787">
        <v>4.25</v>
      </c>
      <c r="O3338" s="788">
        <v>42123</v>
      </c>
    </row>
    <row r="3339" spans="1:15" x14ac:dyDescent="0.25">
      <c r="A3339" s="786" t="s">
        <v>6807</v>
      </c>
      <c r="B3339" s="787">
        <v>4</v>
      </c>
      <c r="C3339" s="787" t="s">
        <v>6808</v>
      </c>
      <c r="D3339" s="787">
        <v>0</v>
      </c>
      <c r="E3339" s="787">
        <v>0</v>
      </c>
      <c r="H3339" s="787">
        <v>1</v>
      </c>
      <c r="I3339" s="788">
        <v>40009</v>
      </c>
      <c r="L3339" s="787">
        <v>0</v>
      </c>
      <c r="M3339" s="787">
        <v>10</v>
      </c>
      <c r="N3339" s="787">
        <v>4.28</v>
      </c>
      <c r="O3339" s="788">
        <v>42123</v>
      </c>
    </row>
    <row r="3340" spans="1:15" x14ac:dyDescent="0.25">
      <c r="A3340" s="786" t="s">
        <v>6809</v>
      </c>
      <c r="B3340" s="787">
        <v>4</v>
      </c>
      <c r="C3340" s="787" t="s">
        <v>6810</v>
      </c>
      <c r="D3340" s="787">
        <v>0</v>
      </c>
      <c r="E3340" s="787">
        <v>0</v>
      </c>
      <c r="H3340" s="787">
        <v>1</v>
      </c>
      <c r="I3340" s="788">
        <v>41127</v>
      </c>
      <c r="L3340" s="787">
        <v>0</v>
      </c>
      <c r="M3340" s="787">
        <v>10</v>
      </c>
      <c r="N3340" s="787">
        <v>4.32</v>
      </c>
      <c r="O3340" s="788">
        <v>42123</v>
      </c>
    </row>
    <row r="3341" spans="1:15" x14ac:dyDescent="0.25">
      <c r="A3341" s="786" t="s">
        <v>6811</v>
      </c>
      <c r="B3341" s="787">
        <v>4</v>
      </c>
      <c r="C3341" s="787" t="s">
        <v>6812</v>
      </c>
      <c r="D3341" s="787">
        <v>0</v>
      </c>
      <c r="E3341" s="787">
        <v>0</v>
      </c>
      <c r="H3341" s="787">
        <v>1</v>
      </c>
      <c r="L3341" s="787">
        <v>0</v>
      </c>
      <c r="M3341" s="787">
        <v>10</v>
      </c>
      <c r="N3341" s="787">
        <v>4.25</v>
      </c>
      <c r="O3341" s="788">
        <v>42123</v>
      </c>
    </row>
    <row r="3342" spans="1:15" x14ac:dyDescent="0.25">
      <c r="A3342" s="786" t="s">
        <v>6813</v>
      </c>
      <c r="B3342" s="787">
        <v>4</v>
      </c>
      <c r="C3342" s="787" t="s">
        <v>6814</v>
      </c>
      <c r="D3342" s="787">
        <v>0</v>
      </c>
      <c r="E3342" s="787">
        <v>0</v>
      </c>
      <c r="H3342" s="787">
        <v>1</v>
      </c>
      <c r="I3342" s="788">
        <v>39959</v>
      </c>
      <c r="L3342" s="787">
        <v>0</v>
      </c>
      <c r="M3342" s="787">
        <v>10</v>
      </c>
      <c r="N3342" s="787">
        <v>4.28</v>
      </c>
      <c r="O3342" s="788">
        <v>42123</v>
      </c>
    </row>
    <row r="3343" spans="1:15" x14ac:dyDescent="0.25">
      <c r="A3343" s="786" t="s">
        <v>6815</v>
      </c>
      <c r="B3343" s="787">
        <v>4</v>
      </c>
      <c r="C3343" s="787" t="s">
        <v>6816</v>
      </c>
      <c r="D3343" s="787">
        <v>0</v>
      </c>
      <c r="E3343" s="787">
        <v>0</v>
      </c>
      <c r="H3343" s="787">
        <v>1</v>
      </c>
      <c r="I3343" s="788">
        <v>40374</v>
      </c>
      <c r="L3343" s="787">
        <v>0</v>
      </c>
      <c r="M3343" s="787">
        <v>10</v>
      </c>
      <c r="N3343" s="787">
        <v>4.32</v>
      </c>
      <c r="O3343" s="788">
        <v>42123</v>
      </c>
    </row>
    <row r="3344" spans="1:15" x14ac:dyDescent="0.25">
      <c r="A3344" s="786" t="s">
        <v>6817</v>
      </c>
      <c r="B3344" s="787">
        <v>4</v>
      </c>
      <c r="C3344" s="787" t="s">
        <v>6818</v>
      </c>
      <c r="D3344" s="787">
        <v>0</v>
      </c>
      <c r="E3344" s="787">
        <v>0</v>
      </c>
      <c r="H3344" s="787">
        <v>1</v>
      </c>
      <c r="I3344" s="788">
        <v>39899</v>
      </c>
      <c r="L3344" s="787">
        <v>0</v>
      </c>
      <c r="M3344" s="787">
        <v>10</v>
      </c>
      <c r="N3344" s="787">
        <v>4.3600000000000003</v>
      </c>
      <c r="O3344" s="788">
        <v>42123</v>
      </c>
    </row>
    <row r="3345" spans="1:15" x14ac:dyDescent="0.25">
      <c r="A3345" s="786" t="s">
        <v>6819</v>
      </c>
      <c r="B3345" s="787">
        <v>4</v>
      </c>
      <c r="C3345" s="787" t="s">
        <v>6820</v>
      </c>
      <c r="D3345" s="787">
        <v>0</v>
      </c>
      <c r="E3345" s="787">
        <v>0</v>
      </c>
      <c r="H3345" s="787">
        <v>1</v>
      </c>
      <c r="L3345" s="787">
        <v>0</v>
      </c>
      <c r="M3345" s="787">
        <v>10</v>
      </c>
      <c r="N3345" s="787">
        <v>4.28</v>
      </c>
      <c r="O3345" s="788">
        <v>42123</v>
      </c>
    </row>
    <row r="3346" spans="1:15" x14ac:dyDescent="0.25">
      <c r="A3346" s="786" t="s">
        <v>6821</v>
      </c>
      <c r="B3346" s="787">
        <v>4</v>
      </c>
      <c r="C3346" s="787" t="s">
        <v>6822</v>
      </c>
      <c r="D3346" s="787">
        <v>0</v>
      </c>
      <c r="E3346" s="787">
        <v>0</v>
      </c>
      <c r="H3346" s="787">
        <v>1</v>
      </c>
      <c r="I3346" s="788">
        <v>39871</v>
      </c>
      <c r="L3346" s="787">
        <v>0</v>
      </c>
      <c r="M3346" s="787">
        <v>10</v>
      </c>
      <c r="N3346" s="787">
        <v>4.32</v>
      </c>
      <c r="O3346" s="788">
        <v>42123</v>
      </c>
    </row>
    <row r="3347" spans="1:15" x14ac:dyDescent="0.25">
      <c r="A3347" s="786" t="s">
        <v>6823</v>
      </c>
      <c r="B3347" s="787">
        <v>4</v>
      </c>
      <c r="C3347" s="787" t="s">
        <v>6824</v>
      </c>
      <c r="D3347" s="787">
        <v>0</v>
      </c>
      <c r="E3347" s="787">
        <v>0</v>
      </c>
      <c r="H3347" s="787">
        <v>1</v>
      </c>
      <c r="I3347" s="788">
        <v>39931</v>
      </c>
      <c r="L3347" s="787">
        <v>0</v>
      </c>
      <c r="M3347" s="787">
        <v>10</v>
      </c>
      <c r="N3347" s="787">
        <v>4.3600000000000003</v>
      </c>
      <c r="O3347" s="788">
        <v>42123</v>
      </c>
    </row>
    <row r="3348" spans="1:15" x14ac:dyDescent="0.25">
      <c r="A3348" s="786" t="s">
        <v>6825</v>
      </c>
      <c r="B3348" s="787">
        <v>4</v>
      </c>
      <c r="C3348" s="787" t="s">
        <v>6826</v>
      </c>
      <c r="D3348" s="787">
        <v>0</v>
      </c>
      <c r="E3348" s="787">
        <v>0</v>
      </c>
      <c r="H3348" s="787">
        <v>1</v>
      </c>
      <c r="I3348" s="788">
        <v>41593</v>
      </c>
      <c r="J3348" s="788">
        <v>39101</v>
      </c>
      <c r="L3348" s="787">
        <v>0</v>
      </c>
      <c r="M3348" s="787">
        <v>10</v>
      </c>
      <c r="N3348" s="787">
        <v>4.8</v>
      </c>
      <c r="O3348" s="788">
        <v>42123</v>
      </c>
    </row>
    <row r="3349" spans="1:15" x14ac:dyDescent="0.25">
      <c r="A3349" s="786" t="s">
        <v>6827</v>
      </c>
      <c r="B3349" s="787">
        <v>4</v>
      </c>
      <c r="C3349" s="787" t="s">
        <v>6828</v>
      </c>
      <c r="D3349" s="787">
        <v>0</v>
      </c>
      <c r="E3349" s="787">
        <v>0</v>
      </c>
      <c r="H3349" s="787">
        <v>1</v>
      </c>
      <c r="I3349" s="788">
        <v>39910</v>
      </c>
      <c r="L3349" s="787">
        <v>0</v>
      </c>
      <c r="M3349" s="787">
        <v>10</v>
      </c>
      <c r="N3349" s="787">
        <v>5.34</v>
      </c>
      <c r="O3349" s="788">
        <v>42123</v>
      </c>
    </row>
    <row r="3350" spans="1:15" x14ac:dyDescent="0.25">
      <c r="A3350" s="786" t="s">
        <v>6829</v>
      </c>
      <c r="B3350" s="787">
        <v>4</v>
      </c>
      <c r="C3350" s="787" t="s">
        <v>6830</v>
      </c>
      <c r="D3350" s="787">
        <v>0</v>
      </c>
      <c r="E3350" s="787">
        <v>0</v>
      </c>
      <c r="H3350" s="787">
        <v>1</v>
      </c>
      <c r="I3350" s="788">
        <v>40024</v>
      </c>
      <c r="L3350" s="787">
        <v>0</v>
      </c>
      <c r="M3350" s="787">
        <v>10</v>
      </c>
      <c r="N3350" s="787">
        <v>5.53</v>
      </c>
      <c r="O3350" s="788">
        <v>42123</v>
      </c>
    </row>
    <row r="3351" spans="1:15" x14ac:dyDescent="0.25">
      <c r="A3351" s="786" t="s">
        <v>6831</v>
      </c>
      <c r="B3351" s="787">
        <v>4</v>
      </c>
      <c r="C3351" s="787" t="s">
        <v>6832</v>
      </c>
      <c r="D3351" s="787">
        <v>0</v>
      </c>
      <c r="E3351" s="787">
        <v>0</v>
      </c>
      <c r="H3351" s="787">
        <v>1</v>
      </c>
      <c r="L3351" s="787">
        <v>0</v>
      </c>
      <c r="M3351" s="787">
        <v>10</v>
      </c>
      <c r="N3351" s="787">
        <v>5.71</v>
      </c>
      <c r="O3351" s="788">
        <v>42123</v>
      </c>
    </row>
    <row r="3352" spans="1:15" x14ac:dyDescent="0.25">
      <c r="A3352" s="786" t="s">
        <v>6833</v>
      </c>
      <c r="B3352" s="787">
        <v>4</v>
      </c>
      <c r="C3352" s="787" t="s">
        <v>6834</v>
      </c>
      <c r="D3352" s="787">
        <v>0</v>
      </c>
      <c r="E3352" s="787">
        <v>0</v>
      </c>
      <c r="H3352" s="787">
        <v>1</v>
      </c>
      <c r="L3352" s="787">
        <v>0</v>
      </c>
      <c r="M3352" s="787">
        <v>10</v>
      </c>
      <c r="N3352" s="787">
        <v>5.89</v>
      </c>
      <c r="O3352" s="788">
        <v>42123</v>
      </c>
    </row>
    <row r="3353" spans="1:15" x14ac:dyDescent="0.25">
      <c r="A3353" s="786" t="s">
        <v>6835</v>
      </c>
      <c r="B3353" s="787">
        <v>4</v>
      </c>
      <c r="C3353" s="787" t="s">
        <v>6836</v>
      </c>
      <c r="D3353" s="787">
        <v>0</v>
      </c>
      <c r="E3353" s="787">
        <v>0</v>
      </c>
      <c r="H3353" s="787">
        <v>1</v>
      </c>
      <c r="I3353" s="788">
        <v>39871</v>
      </c>
      <c r="L3353" s="787">
        <v>0</v>
      </c>
      <c r="M3353" s="787">
        <v>10</v>
      </c>
      <c r="N3353" s="787">
        <v>5.43</v>
      </c>
      <c r="O3353" s="788">
        <v>42123</v>
      </c>
    </row>
    <row r="3354" spans="1:15" x14ac:dyDescent="0.25">
      <c r="A3354" s="786" t="s">
        <v>6837</v>
      </c>
      <c r="B3354" s="787">
        <v>4</v>
      </c>
      <c r="C3354" s="787" t="s">
        <v>6838</v>
      </c>
      <c r="D3354" s="787">
        <v>0</v>
      </c>
      <c r="E3354" s="787">
        <v>0</v>
      </c>
      <c r="H3354" s="787">
        <v>1</v>
      </c>
      <c r="I3354" s="788">
        <v>39829</v>
      </c>
      <c r="J3354" s="788">
        <v>39101</v>
      </c>
      <c r="L3354" s="787">
        <v>0</v>
      </c>
      <c r="M3354" s="787">
        <v>10</v>
      </c>
      <c r="N3354" s="787">
        <v>5.62</v>
      </c>
      <c r="O3354" s="788">
        <v>42123</v>
      </c>
    </row>
    <row r="3355" spans="1:15" x14ac:dyDescent="0.25">
      <c r="A3355" s="786" t="s">
        <v>6839</v>
      </c>
      <c r="B3355" s="787">
        <v>4</v>
      </c>
      <c r="C3355" s="787" t="s">
        <v>6840</v>
      </c>
      <c r="D3355" s="787">
        <v>0</v>
      </c>
      <c r="E3355" s="787">
        <v>0</v>
      </c>
      <c r="H3355" s="787">
        <v>1</v>
      </c>
      <c r="I3355" s="788">
        <v>39843</v>
      </c>
      <c r="L3355" s="787">
        <v>0</v>
      </c>
      <c r="M3355" s="787">
        <v>10</v>
      </c>
      <c r="N3355" s="787">
        <v>5.8</v>
      </c>
      <c r="O3355" s="788">
        <v>42123</v>
      </c>
    </row>
    <row r="3356" spans="1:15" x14ac:dyDescent="0.25">
      <c r="A3356" s="786" t="s">
        <v>6841</v>
      </c>
      <c r="B3356" s="787">
        <v>4</v>
      </c>
      <c r="C3356" s="787" t="s">
        <v>6842</v>
      </c>
      <c r="D3356" s="787">
        <v>0</v>
      </c>
      <c r="E3356" s="787">
        <v>0</v>
      </c>
      <c r="H3356" s="787">
        <v>1</v>
      </c>
      <c r="I3356" s="788">
        <v>40833</v>
      </c>
      <c r="L3356" s="787">
        <v>0</v>
      </c>
      <c r="M3356" s="787">
        <v>10</v>
      </c>
      <c r="N3356" s="787">
        <v>5.99</v>
      </c>
      <c r="O3356" s="788">
        <v>42123</v>
      </c>
    </row>
    <row r="3357" spans="1:15" x14ac:dyDescent="0.25">
      <c r="A3357" s="786" t="s">
        <v>6843</v>
      </c>
      <c r="B3357" s="787">
        <v>4</v>
      </c>
      <c r="C3357" s="787" t="s">
        <v>6844</v>
      </c>
      <c r="D3357" s="787">
        <v>0</v>
      </c>
      <c r="E3357" s="787">
        <v>0</v>
      </c>
      <c r="H3357" s="787">
        <v>1</v>
      </c>
      <c r="I3357" s="788">
        <v>39022</v>
      </c>
      <c r="J3357" s="788">
        <v>39101</v>
      </c>
      <c r="L3357" s="787">
        <v>0</v>
      </c>
      <c r="M3357" s="787">
        <v>10</v>
      </c>
      <c r="N3357" s="787">
        <v>5.62</v>
      </c>
      <c r="O3357" s="788">
        <v>42123</v>
      </c>
    </row>
    <row r="3358" spans="1:15" x14ac:dyDescent="0.25">
      <c r="A3358" s="786" t="s">
        <v>6845</v>
      </c>
      <c r="B3358" s="787">
        <v>4</v>
      </c>
      <c r="C3358" s="787" t="s">
        <v>6846</v>
      </c>
      <c r="D3358" s="787">
        <v>0</v>
      </c>
      <c r="E3358" s="787">
        <v>0</v>
      </c>
      <c r="H3358" s="787">
        <v>1</v>
      </c>
      <c r="I3358" s="788">
        <v>40602</v>
      </c>
      <c r="L3358" s="787">
        <v>0</v>
      </c>
      <c r="M3358" s="787">
        <v>10</v>
      </c>
      <c r="N3358" s="787">
        <v>5.8</v>
      </c>
      <c r="O3358" s="788">
        <v>42123</v>
      </c>
    </row>
    <row r="3359" spans="1:15" x14ac:dyDescent="0.25">
      <c r="A3359" s="786" t="s">
        <v>6847</v>
      </c>
      <c r="B3359" s="787">
        <v>4</v>
      </c>
      <c r="C3359" s="787" t="s">
        <v>6848</v>
      </c>
      <c r="D3359" s="787">
        <v>0</v>
      </c>
      <c r="E3359" s="787">
        <v>0</v>
      </c>
      <c r="H3359" s="787">
        <v>1</v>
      </c>
      <c r="I3359" s="788">
        <v>41320</v>
      </c>
      <c r="L3359" s="787">
        <v>0</v>
      </c>
      <c r="M3359" s="787">
        <v>10</v>
      </c>
      <c r="N3359" s="787">
        <v>5.99</v>
      </c>
      <c r="O3359" s="788">
        <v>42123</v>
      </c>
    </row>
    <row r="3360" spans="1:15" x14ac:dyDescent="0.25">
      <c r="A3360" s="786" t="s">
        <v>6849</v>
      </c>
      <c r="B3360" s="787">
        <v>4</v>
      </c>
      <c r="C3360" s="787" t="s">
        <v>6850</v>
      </c>
      <c r="D3360" s="787">
        <v>0</v>
      </c>
      <c r="E3360" s="787">
        <v>0</v>
      </c>
      <c r="H3360" s="787">
        <v>1</v>
      </c>
      <c r="I3360" s="788">
        <v>41477</v>
      </c>
      <c r="L3360" s="787">
        <v>0</v>
      </c>
      <c r="M3360" s="787">
        <v>10</v>
      </c>
      <c r="N3360" s="787">
        <v>6.17</v>
      </c>
      <c r="O3360" s="788">
        <v>42123</v>
      </c>
    </row>
    <row r="3361" spans="1:15" x14ac:dyDescent="0.25">
      <c r="A3361" s="786" t="s">
        <v>6851</v>
      </c>
      <c r="B3361" s="787">
        <v>4</v>
      </c>
      <c r="C3361" s="787" t="s">
        <v>6852</v>
      </c>
      <c r="D3361" s="787">
        <v>0</v>
      </c>
      <c r="E3361" s="787">
        <v>0</v>
      </c>
      <c r="H3361" s="787">
        <v>1</v>
      </c>
      <c r="I3361" s="788">
        <v>40239</v>
      </c>
      <c r="L3361" s="787">
        <v>0</v>
      </c>
      <c r="M3361" s="787">
        <v>10</v>
      </c>
      <c r="N3361" s="787">
        <v>5.8</v>
      </c>
      <c r="O3361" s="788">
        <v>42123</v>
      </c>
    </row>
    <row r="3362" spans="1:15" x14ac:dyDescent="0.25">
      <c r="A3362" s="786" t="s">
        <v>6853</v>
      </c>
      <c r="B3362" s="787">
        <v>4</v>
      </c>
      <c r="C3362" s="787" t="s">
        <v>6854</v>
      </c>
      <c r="D3362" s="787">
        <v>0</v>
      </c>
      <c r="E3362" s="787">
        <v>0</v>
      </c>
      <c r="H3362" s="787">
        <v>1</v>
      </c>
      <c r="I3362" s="788">
        <v>40037</v>
      </c>
      <c r="L3362" s="787">
        <v>0</v>
      </c>
      <c r="M3362" s="787">
        <v>10</v>
      </c>
      <c r="N3362" s="787">
        <v>5.99</v>
      </c>
      <c r="O3362" s="788">
        <v>42123</v>
      </c>
    </row>
    <row r="3363" spans="1:15" x14ac:dyDescent="0.25">
      <c r="A3363" s="786" t="s">
        <v>6855</v>
      </c>
      <c r="B3363" s="787">
        <v>4</v>
      </c>
      <c r="C3363" s="787" t="s">
        <v>6856</v>
      </c>
      <c r="D3363" s="787">
        <v>0</v>
      </c>
      <c r="E3363" s="787">
        <v>0</v>
      </c>
      <c r="H3363" s="787">
        <v>1</v>
      </c>
      <c r="I3363" s="788">
        <v>39888</v>
      </c>
      <c r="L3363" s="787">
        <v>0</v>
      </c>
      <c r="M3363" s="787">
        <v>10</v>
      </c>
      <c r="N3363" s="787">
        <v>6.17</v>
      </c>
      <c r="O3363" s="788">
        <v>42123</v>
      </c>
    </row>
    <row r="3364" spans="1:15" x14ac:dyDescent="0.25">
      <c r="A3364" s="786" t="s">
        <v>6857</v>
      </c>
      <c r="B3364" s="787">
        <v>4</v>
      </c>
      <c r="C3364" s="787" t="s">
        <v>6858</v>
      </c>
      <c r="D3364" s="787">
        <v>0</v>
      </c>
      <c r="E3364" s="787">
        <v>0</v>
      </c>
      <c r="H3364" s="787">
        <v>1</v>
      </c>
      <c r="I3364" s="788">
        <v>39888</v>
      </c>
      <c r="J3364" s="788">
        <v>39101</v>
      </c>
      <c r="L3364" s="787">
        <v>0</v>
      </c>
      <c r="M3364" s="787">
        <v>10</v>
      </c>
      <c r="N3364" s="787">
        <v>6.36</v>
      </c>
      <c r="O3364" s="788">
        <v>42123</v>
      </c>
    </row>
    <row r="3365" spans="1:15" x14ac:dyDescent="0.25">
      <c r="A3365" s="786" t="s">
        <v>6859</v>
      </c>
      <c r="B3365" s="787">
        <v>4</v>
      </c>
      <c r="C3365" s="787" t="s">
        <v>6860</v>
      </c>
      <c r="D3365" s="787">
        <v>0</v>
      </c>
      <c r="E3365" s="787">
        <v>0</v>
      </c>
      <c r="H3365" s="787">
        <v>1</v>
      </c>
      <c r="I3365" s="788">
        <v>40114</v>
      </c>
      <c r="L3365" s="787">
        <v>0</v>
      </c>
      <c r="M3365" s="787">
        <v>10</v>
      </c>
      <c r="N3365" s="787">
        <v>5.99</v>
      </c>
      <c r="O3365" s="788">
        <v>42123</v>
      </c>
    </row>
    <row r="3366" spans="1:15" x14ac:dyDescent="0.25">
      <c r="A3366" s="786" t="s">
        <v>6861</v>
      </c>
      <c r="B3366" s="787">
        <v>4</v>
      </c>
      <c r="C3366" s="787" t="s">
        <v>6862</v>
      </c>
      <c r="D3366" s="787">
        <v>0</v>
      </c>
      <c r="E3366" s="787">
        <v>0</v>
      </c>
      <c r="H3366" s="787">
        <v>1</v>
      </c>
      <c r="L3366" s="787">
        <v>0</v>
      </c>
      <c r="M3366" s="787">
        <v>10</v>
      </c>
      <c r="N3366" s="787">
        <v>6.17</v>
      </c>
      <c r="O3366" s="788">
        <v>42123</v>
      </c>
    </row>
    <row r="3367" spans="1:15" x14ac:dyDescent="0.25">
      <c r="A3367" s="786" t="s">
        <v>6863</v>
      </c>
      <c r="B3367" s="787">
        <v>4</v>
      </c>
      <c r="C3367" s="787" t="s">
        <v>6864</v>
      </c>
      <c r="D3367" s="787">
        <v>0</v>
      </c>
      <c r="E3367" s="787">
        <v>0</v>
      </c>
      <c r="H3367" s="787">
        <v>1</v>
      </c>
      <c r="I3367" s="788">
        <v>39906</v>
      </c>
      <c r="L3367" s="787">
        <v>0</v>
      </c>
      <c r="M3367" s="787">
        <v>10</v>
      </c>
      <c r="N3367" s="787">
        <v>6.36</v>
      </c>
      <c r="O3367" s="788">
        <v>42123</v>
      </c>
    </row>
    <row r="3368" spans="1:15" x14ac:dyDescent="0.25">
      <c r="A3368" s="786" t="s">
        <v>6865</v>
      </c>
      <c r="B3368" s="787">
        <v>4</v>
      </c>
      <c r="C3368" s="787" t="s">
        <v>6866</v>
      </c>
      <c r="D3368" s="787">
        <v>0</v>
      </c>
      <c r="E3368" s="787">
        <v>0</v>
      </c>
      <c r="H3368" s="787">
        <v>1</v>
      </c>
      <c r="I3368" s="788">
        <v>41207</v>
      </c>
      <c r="J3368" s="788">
        <v>39101</v>
      </c>
      <c r="L3368" s="787">
        <v>0</v>
      </c>
      <c r="M3368" s="787">
        <v>10</v>
      </c>
      <c r="N3368" s="787">
        <v>6.54</v>
      </c>
      <c r="O3368" s="788">
        <v>42123</v>
      </c>
    </row>
    <row r="3369" spans="1:15" x14ac:dyDescent="0.25">
      <c r="A3369" s="786" t="s">
        <v>6867</v>
      </c>
      <c r="B3369" s="787">
        <v>4</v>
      </c>
      <c r="C3369" s="787" t="s">
        <v>6868</v>
      </c>
      <c r="D3369" s="787">
        <v>0</v>
      </c>
      <c r="E3369" s="787">
        <v>0</v>
      </c>
      <c r="H3369" s="787">
        <v>1</v>
      </c>
      <c r="L3369" s="787">
        <v>0</v>
      </c>
      <c r="M3369" s="787">
        <v>10</v>
      </c>
      <c r="N3369" s="787">
        <v>6.17</v>
      </c>
      <c r="O3369" s="788">
        <v>42123</v>
      </c>
    </row>
    <row r="3370" spans="1:15" x14ac:dyDescent="0.25">
      <c r="A3370" s="786" t="s">
        <v>6869</v>
      </c>
      <c r="B3370" s="787">
        <v>4</v>
      </c>
      <c r="C3370" s="787" t="s">
        <v>6870</v>
      </c>
      <c r="D3370" s="787">
        <v>0</v>
      </c>
      <c r="E3370" s="787">
        <v>0</v>
      </c>
      <c r="H3370" s="787">
        <v>1</v>
      </c>
      <c r="I3370" s="788">
        <v>40142</v>
      </c>
      <c r="L3370" s="787">
        <v>0</v>
      </c>
      <c r="M3370" s="787">
        <v>10</v>
      </c>
      <c r="N3370" s="787">
        <v>6.36</v>
      </c>
      <c r="O3370" s="788">
        <v>42123</v>
      </c>
    </row>
    <row r="3371" spans="1:15" x14ac:dyDescent="0.25">
      <c r="A3371" s="786" t="s">
        <v>6871</v>
      </c>
      <c r="B3371" s="787">
        <v>4</v>
      </c>
      <c r="C3371" s="787" t="s">
        <v>6872</v>
      </c>
      <c r="D3371" s="787">
        <v>0</v>
      </c>
      <c r="E3371" s="787">
        <v>0</v>
      </c>
      <c r="H3371" s="787">
        <v>1</v>
      </c>
      <c r="I3371" s="788">
        <v>39986</v>
      </c>
      <c r="J3371" s="788">
        <v>39101</v>
      </c>
      <c r="L3371" s="787">
        <v>0</v>
      </c>
      <c r="M3371" s="787">
        <v>10</v>
      </c>
      <c r="N3371" s="787">
        <v>6.54</v>
      </c>
      <c r="O3371" s="788">
        <v>42123</v>
      </c>
    </row>
    <row r="3372" spans="1:15" x14ac:dyDescent="0.25">
      <c r="A3372" s="786" t="s">
        <v>6873</v>
      </c>
      <c r="B3372" s="787">
        <v>4</v>
      </c>
      <c r="C3372" s="787" t="s">
        <v>6874</v>
      </c>
      <c r="D3372" s="787">
        <v>0</v>
      </c>
      <c r="E3372" s="787">
        <v>0</v>
      </c>
      <c r="H3372" s="787">
        <v>1</v>
      </c>
      <c r="I3372" s="788">
        <v>39892</v>
      </c>
      <c r="L3372" s="787">
        <v>0</v>
      </c>
      <c r="M3372" s="787">
        <v>10</v>
      </c>
      <c r="N3372" s="787">
        <v>6.72</v>
      </c>
      <c r="O3372" s="788">
        <v>42123</v>
      </c>
    </row>
    <row r="3373" spans="1:15" x14ac:dyDescent="0.25">
      <c r="A3373" s="786" t="s">
        <v>6875</v>
      </c>
      <c r="B3373" s="787">
        <v>4</v>
      </c>
      <c r="C3373" s="787" t="s">
        <v>6876</v>
      </c>
      <c r="D3373" s="787">
        <v>0</v>
      </c>
      <c r="E3373" s="787">
        <v>0</v>
      </c>
      <c r="H3373" s="787">
        <v>1</v>
      </c>
      <c r="I3373" s="788">
        <v>40421</v>
      </c>
      <c r="L3373" s="787">
        <v>0</v>
      </c>
      <c r="M3373" s="787">
        <v>10</v>
      </c>
      <c r="N3373" s="787">
        <v>6.36</v>
      </c>
      <c r="O3373" s="788">
        <v>42123</v>
      </c>
    </row>
    <row r="3374" spans="1:15" x14ac:dyDescent="0.25">
      <c r="A3374" s="786" t="s">
        <v>6877</v>
      </c>
      <c r="B3374" s="787">
        <v>4</v>
      </c>
      <c r="C3374" s="787" t="s">
        <v>6878</v>
      </c>
      <c r="D3374" s="787">
        <v>0</v>
      </c>
      <c r="E3374" s="787">
        <v>0</v>
      </c>
      <c r="H3374" s="787">
        <v>1</v>
      </c>
      <c r="I3374" s="788">
        <v>39899</v>
      </c>
      <c r="L3374" s="787">
        <v>0</v>
      </c>
      <c r="M3374" s="787">
        <v>10</v>
      </c>
      <c r="N3374" s="787">
        <v>6.54</v>
      </c>
      <c r="O3374" s="788">
        <v>42123</v>
      </c>
    </row>
    <row r="3375" spans="1:15" x14ac:dyDescent="0.25">
      <c r="A3375" s="786" t="s">
        <v>6879</v>
      </c>
      <c r="B3375" s="787">
        <v>4</v>
      </c>
      <c r="C3375" s="787" t="s">
        <v>6880</v>
      </c>
      <c r="D3375" s="787">
        <v>0</v>
      </c>
      <c r="E3375" s="787">
        <v>0</v>
      </c>
      <c r="H3375" s="787">
        <v>1</v>
      </c>
      <c r="I3375" s="788">
        <v>39871</v>
      </c>
      <c r="L3375" s="787">
        <v>0</v>
      </c>
      <c r="M3375" s="787">
        <v>10</v>
      </c>
      <c r="N3375" s="787">
        <v>6.07</v>
      </c>
      <c r="O3375" s="788">
        <v>42123</v>
      </c>
    </row>
    <row r="3376" spans="1:15" x14ac:dyDescent="0.25">
      <c r="A3376" s="786" t="s">
        <v>6881</v>
      </c>
      <c r="B3376" s="787">
        <v>4</v>
      </c>
      <c r="C3376" s="787" t="s">
        <v>6882</v>
      </c>
      <c r="D3376" s="787">
        <v>0</v>
      </c>
      <c r="E3376" s="787">
        <v>0</v>
      </c>
      <c r="H3376" s="787">
        <v>1</v>
      </c>
      <c r="I3376" s="788">
        <v>40024</v>
      </c>
      <c r="L3376" s="787">
        <v>0</v>
      </c>
      <c r="M3376" s="787">
        <v>10</v>
      </c>
      <c r="N3376" s="787">
        <v>6.91</v>
      </c>
      <c r="O3376" s="788">
        <v>42123</v>
      </c>
    </row>
    <row r="3377" spans="1:15" x14ac:dyDescent="0.25">
      <c r="A3377" s="786" t="s">
        <v>6883</v>
      </c>
      <c r="B3377" s="787">
        <v>4</v>
      </c>
      <c r="C3377" s="787" t="s">
        <v>6884</v>
      </c>
      <c r="D3377" s="787">
        <v>0</v>
      </c>
      <c r="E3377" s="787">
        <v>0</v>
      </c>
      <c r="H3377" s="787">
        <v>1</v>
      </c>
      <c r="I3377" s="788">
        <v>39871</v>
      </c>
      <c r="L3377" s="787">
        <v>0</v>
      </c>
      <c r="M3377" s="787">
        <v>10</v>
      </c>
      <c r="N3377" s="787">
        <v>6.54</v>
      </c>
      <c r="O3377" s="788">
        <v>42123</v>
      </c>
    </row>
    <row r="3378" spans="1:15" x14ac:dyDescent="0.25">
      <c r="A3378" s="786" t="s">
        <v>6885</v>
      </c>
      <c r="B3378" s="787">
        <v>4</v>
      </c>
      <c r="C3378" s="787" t="s">
        <v>6886</v>
      </c>
      <c r="D3378" s="787">
        <v>0</v>
      </c>
      <c r="E3378" s="787">
        <v>0</v>
      </c>
      <c r="H3378" s="787">
        <v>1</v>
      </c>
      <c r="L3378" s="787">
        <v>0</v>
      </c>
      <c r="M3378" s="787">
        <v>10</v>
      </c>
      <c r="N3378" s="787">
        <v>6.72</v>
      </c>
      <c r="O3378" s="788">
        <v>42123</v>
      </c>
    </row>
    <row r="3379" spans="1:15" x14ac:dyDescent="0.25">
      <c r="A3379" s="786" t="s">
        <v>6887</v>
      </c>
      <c r="B3379" s="787">
        <v>4</v>
      </c>
      <c r="C3379" s="787" t="s">
        <v>6888</v>
      </c>
      <c r="D3379" s="787">
        <v>0</v>
      </c>
      <c r="E3379" s="787">
        <v>0</v>
      </c>
      <c r="H3379" s="787">
        <v>1</v>
      </c>
      <c r="I3379" s="788">
        <v>39871</v>
      </c>
      <c r="L3379" s="787">
        <v>0</v>
      </c>
      <c r="M3379" s="787">
        <v>10</v>
      </c>
      <c r="N3379" s="787">
        <v>6.91</v>
      </c>
      <c r="O3379" s="788">
        <v>42123</v>
      </c>
    </row>
    <row r="3380" spans="1:15" x14ac:dyDescent="0.25">
      <c r="A3380" s="786" t="s">
        <v>6889</v>
      </c>
      <c r="B3380" s="787">
        <v>4</v>
      </c>
      <c r="C3380" s="787" t="s">
        <v>6890</v>
      </c>
      <c r="D3380" s="787">
        <v>0</v>
      </c>
      <c r="E3380" s="787">
        <v>0</v>
      </c>
      <c r="H3380" s="787">
        <v>1</v>
      </c>
      <c r="I3380" s="788">
        <v>39888</v>
      </c>
      <c r="J3380" s="788">
        <v>39101</v>
      </c>
      <c r="L3380" s="787">
        <v>0</v>
      </c>
      <c r="M3380" s="787">
        <v>10</v>
      </c>
      <c r="N3380" s="787">
        <v>7.09</v>
      </c>
      <c r="O3380" s="788">
        <v>42123</v>
      </c>
    </row>
    <row r="3381" spans="1:15" x14ac:dyDescent="0.25">
      <c r="A3381" s="786" t="s">
        <v>6891</v>
      </c>
      <c r="B3381" s="787">
        <v>4</v>
      </c>
      <c r="C3381" s="787" t="s">
        <v>6892</v>
      </c>
      <c r="D3381" s="787">
        <v>0</v>
      </c>
      <c r="E3381" s="787">
        <v>0</v>
      </c>
      <c r="H3381" s="787">
        <v>1</v>
      </c>
      <c r="L3381" s="787">
        <v>0</v>
      </c>
      <c r="M3381" s="787">
        <v>10</v>
      </c>
      <c r="N3381" s="787">
        <v>6.72</v>
      </c>
      <c r="O3381" s="788">
        <v>42123</v>
      </c>
    </row>
    <row r="3382" spans="1:15" x14ac:dyDescent="0.25">
      <c r="A3382" s="786" t="s">
        <v>6893</v>
      </c>
      <c r="B3382" s="787">
        <v>4</v>
      </c>
      <c r="C3382" s="787" t="s">
        <v>6894</v>
      </c>
      <c r="D3382" s="787">
        <v>0</v>
      </c>
      <c r="E3382" s="787">
        <v>0</v>
      </c>
      <c r="H3382" s="787">
        <v>1</v>
      </c>
      <c r="I3382" s="788">
        <v>38959</v>
      </c>
      <c r="J3382" s="788">
        <v>39101</v>
      </c>
      <c r="L3382" s="787">
        <v>0</v>
      </c>
      <c r="M3382" s="787">
        <v>10</v>
      </c>
      <c r="N3382" s="787">
        <v>6.91</v>
      </c>
      <c r="O3382" s="788">
        <v>42123</v>
      </c>
    </row>
    <row r="3383" spans="1:15" x14ac:dyDescent="0.25">
      <c r="A3383" s="786" t="s">
        <v>6895</v>
      </c>
      <c r="B3383" s="787">
        <v>4</v>
      </c>
      <c r="C3383" s="787" t="s">
        <v>6896</v>
      </c>
      <c r="D3383" s="787">
        <v>0</v>
      </c>
      <c r="E3383" s="787">
        <v>0</v>
      </c>
      <c r="H3383" s="787">
        <v>1</v>
      </c>
      <c r="I3383" s="788">
        <v>40009</v>
      </c>
      <c r="L3383" s="787">
        <v>0</v>
      </c>
      <c r="M3383" s="787">
        <v>10</v>
      </c>
      <c r="N3383" s="787">
        <v>7.09</v>
      </c>
      <c r="O3383" s="788">
        <v>42123</v>
      </c>
    </row>
    <row r="3384" spans="1:15" x14ac:dyDescent="0.25">
      <c r="A3384" s="786" t="s">
        <v>6897</v>
      </c>
      <c r="B3384" s="787">
        <v>4</v>
      </c>
      <c r="C3384" s="787" t="s">
        <v>6898</v>
      </c>
      <c r="D3384" s="787">
        <v>0</v>
      </c>
      <c r="E3384" s="787">
        <v>0</v>
      </c>
      <c r="H3384" s="787">
        <v>1</v>
      </c>
      <c r="I3384" s="788">
        <v>41127</v>
      </c>
      <c r="L3384" s="787">
        <v>0</v>
      </c>
      <c r="M3384" s="787">
        <v>10</v>
      </c>
      <c r="N3384" s="787">
        <v>7.28</v>
      </c>
      <c r="O3384" s="788">
        <v>42123</v>
      </c>
    </row>
    <row r="3385" spans="1:15" x14ac:dyDescent="0.25">
      <c r="A3385" s="786" t="s">
        <v>6899</v>
      </c>
      <c r="B3385" s="787">
        <v>4</v>
      </c>
      <c r="C3385" s="787" t="s">
        <v>6900</v>
      </c>
      <c r="D3385" s="787">
        <v>0</v>
      </c>
      <c r="E3385" s="787">
        <v>0</v>
      </c>
      <c r="H3385" s="787">
        <v>1</v>
      </c>
      <c r="L3385" s="787">
        <v>0</v>
      </c>
      <c r="M3385" s="787">
        <v>10</v>
      </c>
      <c r="N3385" s="787">
        <v>6.91</v>
      </c>
      <c r="O3385" s="788">
        <v>42123</v>
      </c>
    </row>
    <row r="3386" spans="1:15" x14ac:dyDescent="0.25">
      <c r="A3386" s="786" t="s">
        <v>6901</v>
      </c>
      <c r="B3386" s="787">
        <v>4</v>
      </c>
      <c r="C3386" s="787" t="s">
        <v>6902</v>
      </c>
      <c r="D3386" s="787">
        <v>0</v>
      </c>
      <c r="E3386" s="787">
        <v>0</v>
      </c>
      <c r="H3386" s="787">
        <v>1</v>
      </c>
      <c r="I3386" s="788">
        <v>39959</v>
      </c>
      <c r="L3386" s="787">
        <v>0</v>
      </c>
      <c r="M3386" s="787">
        <v>10</v>
      </c>
      <c r="N3386" s="787">
        <v>7.09</v>
      </c>
      <c r="O3386" s="788">
        <v>42123</v>
      </c>
    </row>
    <row r="3387" spans="1:15" x14ac:dyDescent="0.25">
      <c r="A3387" s="786" t="s">
        <v>6903</v>
      </c>
      <c r="B3387" s="787">
        <v>4</v>
      </c>
      <c r="C3387" s="787" t="s">
        <v>6904</v>
      </c>
      <c r="D3387" s="787">
        <v>0</v>
      </c>
      <c r="E3387" s="787">
        <v>0</v>
      </c>
      <c r="H3387" s="787">
        <v>1</v>
      </c>
      <c r="L3387" s="787">
        <v>0</v>
      </c>
      <c r="M3387" s="787">
        <v>10</v>
      </c>
      <c r="N3387" s="787">
        <v>7.28</v>
      </c>
      <c r="O3387" s="788">
        <v>42123</v>
      </c>
    </row>
    <row r="3388" spans="1:15" x14ac:dyDescent="0.25">
      <c r="A3388" s="786" t="s">
        <v>6905</v>
      </c>
      <c r="B3388" s="787">
        <v>4</v>
      </c>
      <c r="C3388" s="787" t="s">
        <v>6906</v>
      </c>
      <c r="D3388" s="787">
        <v>0</v>
      </c>
      <c r="E3388" s="787">
        <v>0</v>
      </c>
      <c r="H3388" s="787">
        <v>1</v>
      </c>
      <c r="I3388" s="788">
        <v>39899</v>
      </c>
      <c r="L3388" s="787">
        <v>0</v>
      </c>
      <c r="M3388" s="787">
        <v>10</v>
      </c>
      <c r="N3388" s="787">
        <v>7.46</v>
      </c>
      <c r="O3388" s="788">
        <v>42123</v>
      </c>
    </row>
    <row r="3389" spans="1:15" x14ac:dyDescent="0.25">
      <c r="A3389" s="786" t="s">
        <v>6907</v>
      </c>
      <c r="B3389" s="787">
        <v>4</v>
      </c>
      <c r="C3389" s="787" t="s">
        <v>6908</v>
      </c>
      <c r="D3389" s="787">
        <v>0</v>
      </c>
      <c r="E3389" s="787">
        <v>0</v>
      </c>
      <c r="H3389" s="787">
        <v>1</v>
      </c>
      <c r="L3389" s="787">
        <v>0</v>
      </c>
      <c r="M3389" s="787">
        <v>10</v>
      </c>
      <c r="N3389" s="787">
        <v>7.09</v>
      </c>
      <c r="O3389" s="788">
        <v>42123</v>
      </c>
    </row>
    <row r="3390" spans="1:15" x14ac:dyDescent="0.25">
      <c r="A3390" s="786" t="s">
        <v>6909</v>
      </c>
      <c r="B3390" s="787">
        <v>4</v>
      </c>
      <c r="C3390" s="787" t="s">
        <v>6910</v>
      </c>
      <c r="D3390" s="787">
        <v>0</v>
      </c>
      <c r="E3390" s="787">
        <v>0</v>
      </c>
      <c r="H3390" s="787">
        <v>1</v>
      </c>
      <c r="I3390" s="788">
        <v>39871</v>
      </c>
      <c r="L3390" s="787">
        <v>0</v>
      </c>
      <c r="M3390" s="787">
        <v>10</v>
      </c>
      <c r="N3390" s="787">
        <v>7.28</v>
      </c>
      <c r="O3390" s="788">
        <v>42123</v>
      </c>
    </row>
    <row r="3391" spans="1:15" x14ac:dyDescent="0.25">
      <c r="A3391" s="786" t="s">
        <v>6911</v>
      </c>
      <c r="B3391" s="787">
        <v>4</v>
      </c>
      <c r="C3391" s="787" t="s">
        <v>6912</v>
      </c>
      <c r="D3391" s="787">
        <v>0</v>
      </c>
      <c r="E3391" s="787">
        <v>0</v>
      </c>
      <c r="H3391" s="787">
        <v>1</v>
      </c>
      <c r="I3391" s="788">
        <v>39931</v>
      </c>
      <c r="L3391" s="787">
        <v>0</v>
      </c>
      <c r="M3391" s="787">
        <v>10</v>
      </c>
      <c r="N3391" s="787">
        <v>7.46</v>
      </c>
      <c r="O3391" s="788">
        <v>42123</v>
      </c>
    </row>
    <row r="3392" spans="1:15" x14ac:dyDescent="0.25">
      <c r="A3392" s="786" t="s">
        <v>6913</v>
      </c>
      <c r="B3392" s="787">
        <v>4</v>
      </c>
      <c r="C3392" s="787" t="s">
        <v>6914</v>
      </c>
      <c r="D3392" s="787">
        <v>0</v>
      </c>
      <c r="E3392" s="787">
        <v>0</v>
      </c>
      <c r="H3392" s="787">
        <v>1</v>
      </c>
      <c r="I3392" s="788">
        <v>41127</v>
      </c>
      <c r="J3392" s="788">
        <v>39101</v>
      </c>
      <c r="L3392" s="787">
        <v>0</v>
      </c>
      <c r="M3392" s="787">
        <v>10</v>
      </c>
      <c r="N3392" s="787">
        <v>7.64</v>
      </c>
      <c r="O3392" s="788">
        <v>42123</v>
      </c>
    </row>
    <row r="3393" spans="1:15" x14ac:dyDescent="0.25">
      <c r="A3393" s="786" t="s">
        <v>6915</v>
      </c>
      <c r="B3393" s="787">
        <v>4</v>
      </c>
      <c r="C3393" s="787" t="s">
        <v>6916</v>
      </c>
      <c r="D3393" s="787">
        <v>0</v>
      </c>
      <c r="E3393" s="787">
        <v>0</v>
      </c>
      <c r="H3393" s="787">
        <v>1</v>
      </c>
      <c r="L3393" s="787">
        <v>0</v>
      </c>
      <c r="M3393" s="787">
        <v>10</v>
      </c>
      <c r="N3393" s="787">
        <v>4.83</v>
      </c>
      <c r="O3393" s="788">
        <v>42082</v>
      </c>
    </row>
    <row r="3394" spans="1:15" x14ac:dyDescent="0.25">
      <c r="A3394" s="786" t="s">
        <v>6917</v>
      </c>
      <c r="B3394" s="787">
        <v>4</v>
      </c>
      <c r="C3394" s="787" t="s">
        <v>6918</v>
      </c>
      <c r="D3394" s="787">
        <v>0</v>
      </c>
      <c r="E3394" s="787">
        <v>0</v>
      </c>
      <c r="H3394" s="787">
        <v>1</v>
      </c>
      <c r="L3394" s="787">
        <v>0</v>
      </c>
      <c r="M3394" s="787">
        <v>10</v>
      </c>
      <c r="N3394" s="787">
        <v>6.5</v>
      </c>
      <c r="O3394" s="788">
        <v>42082</v>
      </c>
    </row>
    <row r="3395" spans="1:15" x14ac:dyDescent="0.25">
      <c r="A3395" s="786" t="s">
        <v>6919</v>
      </c>
      <c r="B3395" s="787">
        <v>4</v>
      </c>
      <c r="C3395" s="787" t="s">
        <v>6920</v>
      </c>
      <c r="D3395" s="787">
        <v>0</v>
      </c>
      <c r="E3395" s="787">
        <v>0</v>
      </c>
      <c r="H3395" s="787">
        <v>1</v>
      </c>
      <c r="L3395" s="787">
        <v>0</v>
      </c>
      <c r="M3395" s="787">
        <v>10</v>
      </c>
      <c r="N3395" s="787">
        <v>8.0399999999999991</v>
      </c>
      <c r="O3395" s="788">
        <v>42082</v>
      </c>
    </row>
    <row r="3396" spans="1:15" x14ac:dyDescent="0.25">
      <c r="A3396" s="786" t="s">
        <v>6921</v>
      </c>
      <c r="B3396" s="787">
        <v>4</v>
      </c>
      <c r="C3396" s="787" t="s">
        <v>6916</v>
      </c>
      <c r="D3396" s="787">
        <v>0</v>
      </c>
      <c r="E3396" s="787">
        <v>0</v>
      </c>
      <c r="H3396" s="787">
        <v>1</v>
      </c>
      <c r="L3396" s="787">
        <v>0</v>
      </c>
      <c r="M3396" s="787">
        <v>10</v>
      </c>
      <c r="N3396" s="787">
        <v>4.83</v>
      </c>
      <c r="O3396" s="788">
        <v>42082</v>
      </c>
    </row>
    <row r="3397" spans="1:15" x14ac:dyDescent="0.25">
      <c r="A3397" s="786" t="s">
        <v>6922</v>
      </c>
      <c r="B3397" s="787">
        <v>4</v>
      </c>
      <c r="C3397" s="787" t="s">
        <v>6918</v>
      </c>
      <c r="D3397" s="787">
        <v>0</v>
      </c>
      <c r="E3397" s="787">
        <v>0</v>
      </c>
      <c r="H3397" s="787">
        <v>1</v>
      </c>
      <c r="L3397" s="787">
        <v>0</v>
      </c>
      <c r="M3397" s="787">
        <v>10</v>
      </c>
      <c r="N3397" s="787">
        <v>6.5</v>
      </c>
      <c r="O3397" s="788">
        <v>42082</v>
      </c>
    </row>
    <row r="3398" spans="1:15" x14ac:dyDescent="0.25">
      <c r="A3398" s="786" t="s">
        <v>6923</v>
      </c>
      <c r="B3398" s="787">
        <v>4</v>
      </c>
      <c r="C3398" s="787" t="s">
        <v>6920</v>
      </c>
      <c r="D3398" s="787">
        <v>0</v>
      </c>
      <c r="E3398" s="787">
        <v>0</v>
      </c>
      <c r="H3398" s="787">
        <v>1</v>
      </c>
      <c r="L3398" s="787">
        <v>0</v>
      </c>
      <c r="M3398" s="787">
        <v>10</v>
      </c>
      <c r="N3398" s="787">
        <v>8.0399999999999991</v>
      </c>
      <c r="O3398" s="788">
        <v>42082</v>
      </c>
    </row>
    <row r="3399" spans="1:15" x14ac:dyDescent="0.25">
      <c r="A3399" s="786" t="s">
        <v>6924</v>
      </c>
      <c r="B3399" s="787">
        <v>4</v>
      </c>
      <c r="C3399" s="787" t="s">
        <v>6925</v>
      </c>
      <c r="D3399" s="787">
        <v>0</v>
      </c>
      <c r="E3399" s="787">
        <v>0</v>
      </c>
      <c r="H3399" s="787">
        <v>1</v>
      </c>
      <c r="I3399" s="788">
        <v>39975</v>
      </c>
      <c r="J3399" s="788">
        <v>39101</v>
      </c>
      <c r="L3399" s="787">
        <v>0</v>
      </c>
      <c r="M3399" s="787">
        <v>10</v>
      </c>
      <c r="N3399" s="787">
        <v>7.03</v>
      </c>
      <c r="O3399" s="788">
        <v>42123</v>
      </c>
    </row>
    <row r="3400" spans="1:15" x14ac:dyDescent="0.25">
      <c r="A3400" s="786" t="s">
        <v>6926</v>
      </c>
      <c r="B3400" s="787">
        <v>4</v>
      </c>
      <c r="C3400" s="787" t="s">
        <v>6927</v>
      </c>
      <c r="D3400" s="787">
        <v>0</v>
      </c>
      <c r="E3400" s="787">
        <v>0</v>
      </c>
      <c r="H3400" s="787">
        <v>1</v>
      </c>
      <c r="I3400" s="788">
        <v>41065</v>
      </c>
      <c r="J3400" s="788">
        <v>39101</v>
      </c>
      <c r="L3400" s="787">
        <v>0</v>
      </c>
      <c r="M3400" s="787">
        <v>10</v>
      </c>
      <c r="N3400" s="787">
        <v>7.39</v>
      </c>
      <c r="O3400" s="788">
        <v>42123</v>
      </c>
    </row>
    <row r="3401" spans="1:15" x14ac:dyDescent="0.25">
      <c r="A3401" s="786" t="s">
        <v>6928</v>
      </c>
      <c r="B3401" s="787">
        <v>4</v>
      </c>
      <c r="C3401" s="787" t="s">
        <v>6929</v>
      </c>
      <c r="D3401" s="787">
        <v>0</v>
      </c>
      <c r="E3401" s="787">
        <v>0</v>
      </c>
      <c r="H3401" s="787">
        <v>1</v>
      </c>
      <c r="I3401" s="788">
        <v>41320</v>
      </c>
      <c r="J3401" s="788">
        <v>39101</v>
      </c>
      <c r="L3401" s="787">
        <v>0</v>
      </c>
      <c r="M3401" s="787">
        <v>10</v>
      </c>
      <c r="N3401" s="787">
        <v>7.76</v>
      </c>
      <c r="O3401" s="788">
        <v>42123</v>
      </c>
    </row>
    <row r="3402" spans="1:15" x14ac:dyDescent="0.25">
      <c r="A3402" s="786" t="s">
        <v>6930</v>
      </c>
      <c r="B3402" s="787">
        <v>4</v>
      </c>
      <c r="C3402" s="787" t="s">
        <v>6931</v>
      </c>
      <c r="D3402" s="787">
        <v>0</v>
      </c>
      <c r="E3402" s="787">
        <v>0</v>
      </c>
      <c r="H3402" s="787">
        <v>1</v>
      </c>
      <c r="I3402" s="788">
        <v>41477</v>
      </c>
      <c r="J3402" s="788">
        <v>39101</v>
      </c>
      <c r="L3402" s="787">
        <v>0</v>
      </c>
      <c r="M3402" s="787">
        <v>10</v>
      </c>
      <c r="N3402" s="787">
        <v>8.1199999999999992</v>
      </c>
      <c r="O3402" s="788">
        <v>42123</v>
      </c>
    </row>
    <row r="3403" spans="1:15" x14ac:dyDescent="0.25">
      <c r="A3403" s="786" t="s">
        <v>6932</v>
      </c>
      <c r="B3403" s="787">
        <v>4</v>
      </c>
      <c r="C3403" s="787" t="s">
        <v>6933</v>
      </c>
      <c r="D3403" s="787">
        <v>0</v>
      </c>
      <c r="E3403" s="787">
        <v>0</v>
      </c>
      <c r="H3403" s="787">
        <v>1</v>
      </c>
      <c r="I3403" s="788">
        <v>39975</v>
      </c>
      <c r="J3403" s="788">
        <v>39101</v>
      </c>
      <c r="L3403" s="787">
        <v>0</v>
      </c>
      <c r="M3403" s="787">
        <v>10</v>
      </c>
      <c r="N3403" s="787">
        <v>5.22</v>
      </c>
      <c r="O3403" s="788">
        <v>42123</v>
      </c>
    </row>
    <row r="3404" spans="1:15" x14ac:dyDescent="0.25">
      <c r="A3404" s="786" t="s">
        <v>6934</v>
      </c>
      <c r="B3404" s="787">
        <v>4</v>
      </c>
      <c r="C3404" s="787" t="s">
        <v>6935</v>
      </c>
      <c r="D3404" s="787">
        <v>0</v>
      </c>
      <c r="E3404" s="787">
        <v>0</v>
      </c>
      <c r="H3404" s="787">
        <v>1</v>
      </c>
      <c r="I3404" s="788">
        <v>41065</v>
      </c>
      <c r="J3404" s="788">
        <v>39101</v>
      </c>
      <c r="L3404" s="787">
        <v>0</v>
      </c>
      <c r="M3404" s="787">
        <v>10</v>
      </c>
      <c r="N3404" s="787">
        <v>5.38</v>
      </c>
      <c r="O3404" s="788">
        <v>42123</v>
      </c>
    </row>
    <row r="3405" spans="1:15" x14ac:dyDescent="0.25">
      <c r="A3405" s="786" t="s">
        <v>6936</v>
      </c>
      <c r="B3405" s="787">
        <v>4</v>
      </c>
      <c r="C3405" s="787" t="s">
        <v>6937</v>
      </c>
      <c r="D3405" s="787">
        <v>0</v>
      </c>
      <c r="E3405" s="787">
        <v>0</v>
      </c>
      <c r="H3405" s="787">
        <v>1</v>
      </c>
      <c r="I3405" s="788">
        <v>41320</v>
      </c>
      <c r="J3405" s="788">
        <v>39101</v>
      </c>
      <c r="L3405" s="787">
        <v>0</v>
      </c>
      <c r="M3405" s="787">
        <v>10</v>
      </c>
      <c r="N3405" s="787">
        <v>5.55</v>
      </c>
      <c r="O3405" s="788">
        <v>42123</v>
      </c>
    </row>
    <row r="3406" spans="1:15" x14ac:dyDescent="0.25">
      <c r="A3406" s="786" t="s">
        <v>6938</v>
      </c>
      <c r="B3406" s="787">
        <v>4</v>
      </c>
      <c r="C3406" s="787" t="s">
        <v>6939</v>
      </c>
      <c r="D3406" s="787">
        <v>0</v>
      </c>
      <c r="E3406" s="787">
        <v>0</v>
      </c>
      <c r="H3406" s="787">
        <v>1</v>
      </c>
      <c r="I3406" s="788">
        <v>41477</v>
      </c>
      <c r="J3406" s="788">
        <v>39101</v>
      </c>
      <c r="L3406" s="787">
        <v>0</v>
      </c>
      <c r="M3406" s="787">
        <v>10</v>
      </c>
      <c r="N3406" s="787">
        <v>5.72</v>
      </c>
      <c r="O3406" s="788">
        <v>42123</v>
      </c>
    </row>
    <row r="3407" spans="1:15" x14ac:dyDescent="0.25">
      <c r="A3407" s="786" t="s">
        <v>6940</v>
      </c>
      <c r="B3407" s="787">
        <v>4</v>
      </c>
      <c r="C3407" s="787" t="s">
        <v>6941</v>
      </c>
      <c r="D3407" s="787">
        <v>0.46</v>
      </c>
      <c r="E3407" s="787">
        <v>0.48</v>
      </c>
      <c r="F3407" s="788">
        <v>39456</v>
      </c>
      <c r="G3407" s="788">
        <v>41943</v>
      </c>
      <c r="H3407" s="787">
        <v>1</v>
      </c>
      <c r="I3407" s="788">
        <v>41593</v>
      </c>
      <c r="J3407" s="788">
        <v>40212</v>
      </c>
      <c r="L3407" s="787">
        <v>0</v>
      </c>
      <c r="M3407" s="787">
        <v>10</v>
      </c>
      <c r="N3407" s="787">
        <v>21.88</v>
      </c>
      <c r="O3407" s="788">
        <v>42123</v>
      </c>
    </row>
    <row r="3408" spans="1:15" x14ac:dyDescent="0.25">
      <c r="A3408" s="786" t="s">
        <v>6942</v>
      </c>
      <c r="B3408" s="787">
        <v>4</v>
      </c>
      <c r="C3408" s="787" t="s">
        <v>6943</v>
      </c>
      <c r="D3408" s="787">
        <v>0</v>
      </c>
      <c r="E3408" s="787">
        <v>0</v>
      </c>
      <c r="G3408" s="788">
        <v>39878</v>
      </c>
      <c r="H3408" s="787">
        <v>1</v>
      </c>
      <c r="I3408" s="788">
        <v>40212</v>
      </c>
      <c r="J3408" s="788">
        <v>40211</v>
      </c>
      <c r="L3408" s="787">
        <v>0</v>
      </c>
      <c r="M3408" s="787">
        <v>10</v>
      </c>
      <c r="N3408" s="787">
        <v>0.97</v>
      </c>
      <c r="O3408" s="788">
        <v>42123</v>
      </c>
    </row>
    <row r="3409" spans="1:15" x14ac:dyDescent="0.25">
      <c r="A3409" s="786" t="s">
        <v>6944</v>
      </c>
      <c r="B3409" s="787">
        <v>4</v>
      </c>
      <c r="C3409" s="787" t="s">
        <v>6945</v>
      </c>
      <c r="D3409" s="787">
        <v>0</v>
      </c>
      <c r="E3409" s="787">
        <v>0</v>
      </c>
      <c r="H3409" s="787">
        <v>1</v>
      </c>
      <c r="L3409" s="787">
        <v>0</v>
      </c>
      <c r="M3409" s="787">
        <v>10</v>
      </c>
      <c r="N3409" s="787">
        <v>6.42</v>
      </c>
      <c r="O3409" s="788">
        <v>42082</v>
      </c>
    </row>
    <row r="3410" spans="1:15" x14ac:dyDescent="0.25">
      <c r="A3410" s="786" t="s">
        <v>6946</v>
      </c>
      <c r="B3410" s="787">
        <v>4</v>
      </c>
      <c r="C3410" s="787" t="s">
        <v>6945</v>
      </c>
      <c r="D3410" s="787">
        <v>0</v>
      </c>
      <c r="E3410" s="787">
        <v>0</v>
      </c>
      <c r="H3410" s="787">
        <v>1</v>
      </c>
      <c r="L3410" s="787">
        <v>0</v>
      </c>
      <c r="M3410" s="787">
        <v>10</v>
      </c>
      <c r="N3410" s="787">
        <v>6.42</v>
      </c>
      <c r="O3410" s="788">
        <v>42082</v>
      </c>
    </row>
    <row r="3411" spans="1:15" x14ac:dyDescent="0.25">
      <c r="A3411" s="786" t="s">
        <v>6947</v>
      </c>
      <c r="B3411" s="787">
        <v>4</v>
      </c>
      <c r="C3411" s="787" t="s">
        <v>6948</v>
      </c>
      <c r="D3411" s="787">
        <v>4.4000000000000004</v>
      </c>
      <c r="E3411" s="787">
        <v>4.95</v>
      </c>
      <c r="F3411" s="788">
        <v>39343</v>
      </c>
      <c r="G3411" s="788">
        <v>41943</v>
      </c>
      <c r="H3411" s="787">
        <v>1</v>
      </c>
      <c r="I3411" s="788">
        <v>41477</v>
      </c>
      <c r="J3411" s="788">
        <v>40247</v>
      </c>
      <c r="L3411" s="787">
        <v>4.95</v>
      </c>
      <c r="M3411" s="787">
        <v>20</v>
      </c>
      <c r="N3411" s="787">
        <v>5.32</v>
      </c>
      <c r="O3411" s="788">
        <v>42123</v>
      </c>
    </row>
    <row r="3412" spans="1:15" x14ac:dyDescent="0.25">
      <c r="A3412" s="786" t="s">
        <v>6949</v>
      </c>
      <c r="B3412" s="787">
        <v>4</v>
      </c>
      <c r="C3412" s="787" t="s">
        <v>6950</v>
      </c>
      <c r="D3412" s="787">
        <v>0.28999999999999998</v>
      </c>
      <c r="E3412" s="787">
        <v>0.65</v>
      </c>
      <c r="F3412" s="788">
        <v>38896</v>
      </c>
      <c r="G3412" s="788">
        <v>41943</v>
      </c>
      <c r="H3412" s="787">
        <v>1</v>
      </c>
      <c r="I3412" s="788">
        <v>41352</v>
      </c>
      <c r="J3412" s="788">
        <v>40344</v>
      </c>
      <c r="L3412" s="787">
        <v>1.03</v>
      </c>
      <c r="M3412" s="787">
        <v>10</v>
      </c>
      <c r="N3412" s="787">
        <v>2.64</v>
      </c>
      <c r="O3412" s="788">
        <v>42082</v>
      </c>
    </row>
    <row r="3413" spans="1:15" x14ac:dyDescent="0.25">
      <c r="A3413" s="786" t="s">
        <v>6951</v>
      </c>
      <c r="B3413" s="787">
        <v>4</v>
      </c>
      <c r="C3413" s="787" t="s">
        <v>6952</v>
      </c>
      <c r="D3413" s="787">
        <v>0.37</v>
      </c>
      <c r="E3413" s="787">
        <v>8.0500000000000007</v>
      </c>
      <c r="F3413" s="788">
        <v>41209</v>
      </c>
      <c r="G3413" s="788">
        <v>42013</v>
      </c>
      <c r="H3413" s="787">
        <v>1</v>
      </c>
      <c r="I3413" s="788">
        <v>41737</v>
      </c>
      <c r="J3413" s="788">
        <v>41137</v>
      </c>
      <c r="L3413" s="787">
        <v>0.57999999999999996</v>
      </c>
      <c r="M3413" s="787">
        <v>10</v>
      </c>
      <c r="N3413" s="787">
        <v>0.08</v>
      </c>
      <c r="O3413" s="788">
        <v>42082</v>
      </c>
    </row>
    <row r="3414" spans="1:15" x14ac:dyDescent="0.25">
      <c r="A3414" s="786" t="s">
        <v>6953</v>
      </c>
      <c r="B3414" s="787">
        <v>4</v>
      </c>
      <c r="C3414" s="787" t="s">
        <v>6954</v>
      </c>
      <c r="D3414" s="787">
        <v>0.36</v>
      </c>
      <c r="E3414" s="787">
        <v>0.36</v>
      </c>
      <c r="F3414" s="788">
        <v>39975</v>
      </c>
      <c r="G3414" s="788">
        <v>41943</v>
      </c>
      <c r="H3414" s="787">
        <v>1</v>
      </c>
      <c r="I3414" s="788">
        <v>41593</v>
      </c>
      <c r="J3414" s="788">
        <v>39910</v>
      </c>
      <c r="L3414" s="787">
        <v>0.76</v>
      </c>
      <c r="M3414" s="787">
        <v>10</v>
      </c>
      <c r="N3414" s="787">
        <v>1.92</v>
      </c>
      <c r="O3414" s="788">
        <v>42123</v>
      </c>
    </row>
    <row r="3415" spans="1:15" x14ac:dyDescent="0.25">
      <c r="A3415" s="786" t="s">
        <v>6955</v>
      </c>
      <c r="B3415" s="787">
        <v>4</v>
      </c>
      <c r="C3415" s="787" t="s">
        <v>6956</v>
      </c>
      <c r="D3415" s="787">
        <v>0</v>
      </c>
      <c r="E3415" s="787">
        <v>0</v>
      </c>
      <c r="H3415" s="787">
        <v>1</v>
      </c>
      <c r="I3415" s="788">
        <v>41065</v>
      </c>
      <c r="L3415" s="787">
        <v>0</v>
      </c>
      <c r="M3415" s="787">
        <v>10</v>
      </c>
      <c r="N3415" s="787">
        <v>5.9</v>
      </c>
      <c r="O3415" s="788">
        <v>42082</v>
      </c>
    </row>
    <row r="3416" spans="1:15" x14ac:dyDescent="0.25">
      <c r="A3416" s="786" t="s">
        <v>6957</v>
      </c>
      <c r="B3416" s="787">
        <v>4</v>
      </c>
      <c r="C3416" s="787" t="s">
        <v>6958</v>
      </c>
      <c r="D3416" s="787">
        <v>0</v>
      </c>
      <c r="E3416" s="787">
        <v>0</v>
      </c>
      <c r="H3416" s="787">
        <v>1</v>
      </c>
      <c r="I3416" s="788">
        <v>40382</v>
      </c>
      <c r="L3416" s="787">
        <v>0</v>
      </c>
      <c r="M3416" s="787">
        <v>10</v>
      </c>
      <c r="N3416" s="787">
        <v>5.99</v>
      </c>
      <c r="O3416" s="788">
        <v>42082</v>
      </c>
    </row>
    <row r="3417" spans="1:15" x14ac:dyDescent="0.25">
      <c r="A3417" s="786" t="s">
        <v>6959</v>
      </c>
      <c r="B3417" s="787">
        <v>4</v>
      </c>
      <c r="C3417" s="787" t="s">
        <v>6960</v>
      </c>
      <c r="D3417" s="787">
        <v>0</v>
      </c>
      <c r="E3417" s="787">
        <v>0</v>
      </c>
      <c r="H3417" s="787">
        <v>1</v>
      </c>
      <c r="I3417" s="788">
        <v>40807</v>
      </c>
      <c r="L3417" s="787">
        <v>0</v>
      </c>
      <c r="M3417" s="787">
        <v>10</v>
      </c>
      <c r="N3417" s="787">
        <v>6.15</v>
      </c>
      <c r="O3417" s="788">
        <v>42082</v>
      </c>
    </row>
    <row r="3418" spans="1:15" x14ac:dyDescent="0.25">
      <c r="A3418" s="786" t="s">
        <v>6961</v>
      </c>
      <c r="B3418" s="787">
        <v>4</v>
      </c>
      <c r="C3418" s="787" t="s">
        <v>6962</v>
      </c>
      <c r="D3418" s="787">
        <v>0</v>
      </c>
      <c r="E3418" s="787">
        <v>0</v>
      </c>
      <c r="H3418" s="787">
        <v>1</v>
      </c>
      <c r="I3418" s="788">
        <v>40233</v>
      </c>
      <c r="L3418" s="787">
        <v>0</v>
      </c>
      <c r="M3418" s="787">
        <v>10</v>
      </c>
      <c r="N3418" s="787">
        <v>6.34</v>
      </c>
      <c r="O3418" s="788">
        <v>42082</v>
      </c>
    </row>
    <row r="3419" spans="1:15" x14ac:dyDescent="0.25">
      <c r="A3419" s="786" t="s">
        <v>6963</v>
      </c>
      <c r="B3419" s="787">
        <v>4</v>
      </c>
      <c r="C3419" s="787" t="s">
        <v>6964</v>
      </c>
      <c r="D3419" s="787">
        <v>0</v>
      </c>
      <c r="E3419" s="787">
        <v>0</v>
      </c>
      <c r="H3419" s="787">
        <v>1</v>
      </c>
      <c r="I3419" s="788">
        <v>40374</v>
      </c>
      <c r="L3419" s="787">
        <v>0</v>
      </c>
      <c r="M3419" s="787">
        <v>10</v>
      </c>
      <c r="N3419" s="787">
        <v>6.5</v>
      </c>
      <c r="O3419" s="788">
        <v>42082</v>
      </c>
    </row>
    <row r="3420" spans="1:15" x14ac:dyDescent="0.25">
      <c r="A3420" s="786" t="s">
        <v>6965</v>
      </c>
      <c r="B3420" s="787">
        <v>4</v>
      </c>
      <c r="C3420" s="787" t="s">
        <v>6966</v>
      </c>
      <c r="D3420" s="787">
        <v>0</v>
      </c>
      <c r="E3420" s="787">
        <v>0</v>
      </c>
      <c r="H3420" s="787">
        <v>1</v>
      </c>
      <c r="I3420" s="788">
        <v>40351</v>
      </c>
      <c r="L3420" s="787">
        <v>0</v>
      </c>
      <c r="M3420" s="787">
        <v>10</v>
      </c>
      <c r="N3420" s="787">
        <v>6.68</v>
      </c>
      <c r="O3420" s="788">
        <v>42082</v>
      </c>
    </row>
    <row r="3421" spans="1:15" x14ac:dyDescent="0.25">
      <c r="A3421" s="786" t="s">
        <v>6967</v>
      </c>
      <c r="B3421" s="787">
        <v>4</v>
      </c>
      <c r="C3421" s="787" t="s">
        <v>6968</v>
      </c>
      <c r="D3421" s="787">
        <v>0</v>
      </c>
      <c r="E3421" s="787">
        <v>0</v>
      </c>
      <c r="H3421" s="787">
        <v>1</v>
      </c>
      <c r="I3421" s="788">
        <v>40441</v>
      </c>
      <c r="L3421" s="787">
        <v>0</v>
      </c>
      <c r="M3421" s="787">
        <v>10</v>
      </c>
      <c r="N3421" s="787">
        <v>6.85</v>
      </c>
      <c r="O3421" s="788">
        <v>42082</v>
      </c>
    </row>
    <row r="3422" spans="1:15" x14ac:dyDescent="0.25">
      <c r="A3422" s="786" t="s">
        <v>6969</v>
      </c>
      <c r="B3422" s="787">
        <v>4</v>
      </c>
      <c r="C3422" s="787" t="s">
        <v>6970</v>
      </c>
      <c r="D3422" s="787">
        <v>0</v>
      </c>
      <c r="E3422" s="787">
        <v>0</v>
      </c>
      <c r="H3422" s="787">
        <v>1</v>
      </c>
      <c r="I3422" s="788">
        <v>40319</v>
      </c>
      <c r="L3422" s="787">
        <v>0</v>
      </c>
      <c r="M3422" s="787">
        <v>10</v>
      </c>
      <c r="N3422" s="787">
        <v>7.03</v>
      </c>
      <c r="O3422" s="788">
        <v>42082</v>
      </c>
    </row>
    <row r="3423" spans="1:15" x14ac:dyDescent="0.25">
      <c r="A3423" s="786" t="s">
        <v>6971</v>
      </c>
      <c r="B3423" s="787">
        <v>4</v>
      </c>
      <c r="C3423" s="787" t="s">
        <v>6972</v>
      </c>
      <c r="D3423" s="787">
        <v>0</v>
      </c>
      <c r="E3423" s="787">
        <v>0</v>
      </c>
      <c r="H3423" s="787">
        <v>1</v>
      </c>
      <c r="I3423" s="788">
        <v>40528</v>
      </c>
      <c r="L3423" s="787">
        <v>0</v>
      </c>
      <c r="M3423" s="787">
        <v>10</v>
      </c>
      <c r="N3423" s="787">
        <v>7.19</v>
      </c>
      <c r="O3423" s="788">
        <v>42082</v>
      </c>
    </row>
    <row r="3424" spans="1:15" x14ac:dyDescent="0.25">
      <c r="A3424" s="786" t="s">
        <v>6973</v>
      </c>
      <c r="B3424" s="787">
        <v>4</v>
      </c>
      <c r="C3424" s="787" t="s">
        <v>6974</v>
      </c>
      <c r="D3424" s="787">
        <v>0</v>
      </c>
      <c r="E3424" s="787">
        <v>0</v>
      </c>
      <c r="H3424" s="787">
        <v>1</v>
      </c>
      <c r="I3424" s="788">
        <v>40374</v>
      </c>
      <c r="L3424" s="787">
        <v>0</v>
      </c>
      <c r="M3424" s="787">
        <v>10</v>
      </c>
      <c r="N3424" s="787">
        <v>7.38</v>
      </c>
      <c r="O3424" s="788">
        <v>42082</v>
      </c>
    </row>
    <row r="3425" spans="1:15" x14ac:dyDescent="0.25">
      <c r="A3425" s="786" t="s">
        <v>6975</v>
      </c>
      <c r="B3425" s="787">
        <v>4</v>
      </c>
      <c r="C3425" s="787" t="s">
        <v>6976</v>
      </c>
      <c r="D3425" s="787">
        <v>0</v>
      </c>
      <c r="E3425" s="787">
        <v>0</v>
      </c>
      <c r="H3425" s="787">
        <v>1</v>
      </c>
      <c r="I3425" s="788">
        <v>40838</v>
      </c>
      <c r="L3425" s="787">
        <v>0</v>
      </c>
      <c r="M3425" s="787">
        <v>10</v>
      </c>
      <c r="N3425" s="787">
        <v>7.56</v>
      </c>
      <c r="O3425" s="788">
        <v>42082</v>
      </c>
    </row>
    <row r="3426" spans="1:15" x14ac:dyDescent="0.25">
      <c r="A3426" s="786" t="s">
        <v>6977</v>
      </c>
      <c r="B3426" s="787">
        <v>4</v>
      </c>
      <c r="C3426" s="787" t="s">
        <v>6978</v>
      </c>
      <c r="D3426" s="787">
        <v>0</v>
      </c>
      <c r="E3426" s="787">
        <v>0</v>
      </c>
      <c r="H3426" s="787">
        <v>1</v>
      </c>
      <c r="I3426" s="788">
        <v>41065</v>
      </c>
      <c r="L3426" s="787">
        <v>0</v>
      </c>
      <c r="M3426" s="787">
        <v>10</v>
      </c>
      <c r="N3426" s="787">
        <v>3.88</v>
      </c>
      <c r="O3426" s="788">
        <v>42082</v>
      </c>
    </row>
    <row r="3427" spans="1:15" x14ac:dyDescent="0.25">
      <c r="A3427" s="786" t="s">
        <v>6979</v>
      </c>
      <c r="B3427" s="787">
        <v>4</v>
      </c>
      <c r="C3427" s="787" t="s">
        <v>6980</v>
      </c>
      <c r="D3427" s="787">
        <v>0</v>
      </c>
      <c r="E3427" s="787">
        <v>0</v>
      </c>
      <c r="H3427" s="787">
        <v>1</v>
      </c>
      <c r="I3427" s="788">
        <v>41065</v>
      </c>
      <c r="L3427" s="787">
        <v>0</v>
      </c>
      <c r="M3427" s="787">
        <v>10</v>
      </c>
      <c r="N3427" s="787">
        <v>1.85</v>
      </c>
      <c r="O3427" s="788">
        <v>39897</v>
      </c>
    </row>
    <row r="3428" spans="1:15" x14ac:dyDescent="0.25">
      <c r="A3428" s="786" t="s">
        <v>6981</v>
      </c>
      <c r="B3428" s="787">
        <v>4</v>
      </c>
      <c r="C3428" s="787" t="s">
        <v>6982</v>
      </c>
      <c r="D3428" s="787">
        <v>9.7799999999999994</v>
      </c>
      <c r="E3428" s="787">
        <v>15.85</v>
      </c>
      <c r="F3428" s="788">
        <v>40038</v>
      </c>
      <c r="G3428" s="788">
        <v>41282</v>
      </c>
      <c r="H3428" s="787">
        <v>1</v>
      </c>
      <c r="I3428" s="788">
        <v>41065</v>
      </c>
      <c r="J3428" s="788">
        <v>40731</v>
      </c>
      <c r="K3428" s="788">
        <v>40704</v>
      </c>
      <c r="L3428" s="787">
        <v>15.85</v>
      </c>
      <c r="M3428" s="787">
        <v>20</v>
      </c>
      <c r="N3428" s="787">
        <v>17.04</v>
      </c>
      <c r="O3428" s="788">
        <v>42123</v>
      </c>
    </row>
    <row r="3429" spans="1:15" x14ac:dyDescent="0.25">
      <c r="A3429" s="786" t="s">
        <v>6983</v>
      </c>
      <c r="B3429" s="787">
        <v>4</v>
      </c>
      <c r="C3429" s="787" t="s">
        <v>6984</v>
      </c>
      <c r="D3429" s="787">
        <v>0.46</v>
      </c>
      <c r="E3429" s="787">
        <v>0.46</v>
      </c>
      <c r="F3429" s="788">
        <v>40644</v>
      </c>
      <c r="G3429" s="788">
        <v>41565</v>
      </c>
      <c r="H3429" s="787">
        <v>1</v>
      </c>
      <c r="I3429" s="788">
        <v>40637</v>
      </c>
      <c r="J3429" s="788">
        <v>40555</v>
      </c>
      <c r="L3429" s="787">
        <v>0</v>
      </c>
      <c r="M3429" s="787">
        <v>10</v>
      </c>
      <c r="N3429" s="787">
        <v>0.63</v>
      </c>
      <c r="O3429" s="788">
        <v>42123</v>
      </c>
    </row>
    <row r="3430" spans="1:15" x14ac:dyDescent="0.25">
      <c r="A3430" s="786" t="s">
        <v>6985</v>
      </c>
      <c r="B3430" s="787">
        <v>4</v>
      </c>
      <c r="C3430" s="787" t="s">
        <v>6986</v>
      </c>
      <c r="D3430" s="787">
        <v>0</v>
      </c>
      <c r="E3430" s="787">
        <v>0</v>
      </c>
      <c r="F3430" s="788">
        <v>39975</v>
      </c>
      <c r="G3430" s="788">
        <v>41565</v>
      </c>
      <c r="H3430" s="787">
        <v>1</v>
      </c>
      <c r="I3430" s="788">
        <v>40637</v>
      </c>
      <c r="J3430" s="788">
        <v>40445</v>
      </c>
      <c r="L3430" s="787">
        <v>0</v>
      </c>
      <c r="M3430" s="787">
        <v>10</v>
      </c>
      <c r="N3430" s="787">
        <v>0.39</v>
      </c>
      <c r="O3430" s="788">
        <v>42123</v>
      </c>
    </row>
    <row r="3431" spans="1:15" x14ac:dyDescent="0.25">
      <c r="A3431" s="786" t="s">
        <v>6987</v>
      </c>
      <c r="B3431" s="787">
        <v>4</v>
      </c>
      <c r="C3431" s="787" t="s">
        <v>6988</v>
      </c>
      <c r="D3431" s="787">
        <v>0.66</v>
      </c>
      <c r="E3431" s="787">
        <v>0.66</v>
      </c>
      <c r="F3431" s="788">
        <v>39975</v>
      </c>
      <c r="G3431" s="788">
        <v>39975</v>
      </c>
      <c r="H3431" s="787">
        <v>1</v>
      </c>
      <c r="I3431" s="788">
        <v>39527</v>
      </c>
      <c r="J3431" s="788">
        <v>39527</v>
      </c>
      <c r="L3431" s="787">
        <v>0</v>
      </c>
      <c r="M3431" s="787">
        <v>10</v>
      </c>
      <c r="N3431" s="787">
        <v>0.69</v>
      </c>
      <c r="O3431" s="788">
        <v>42082</v>
      </c>
    </row>
    <row r="3432" spans="1:15" x14ac:dyDescent="0.25">
      <c r="A3432" s="786" t="s">
        <v>6989</v>
      </c>
      <c r="B3432" s="787">
        <v>4</v>
      </c>
      <c r="C3432" s="787" t="s">
        <v>6990</v>
      </c>
      <c r="D3432" s="787">
        <v>0</v>
      </c>
      <c r="E3432" s="787">
        <v>0</v>
      </c>
      <c r="H3432" s="787">
        <v>1</v>
      </c>
      <c r="I3432" s="788">
        <v>40252</v>
      </c>
      <c r="J3432" s="788">
        <v>40197</v>
      </c>
      <c r="L3432" s="787">
        <v>0</v>
      </c>
      <c r="M3432" s="787">
        <v>10</v>
      </c>
      <c r="N3432" s="787">
        <v>2.4900000000000002</v>
      </c>
      <c r="O3432" s="788">
        <v>42082</v>
      </c>
    </row>
    <row r="3433" spans="1:15" x14ac:dyDescent="0.25">
      <c r="A3433" s="786" t="s">
        <v>6991</v>
      </c>
      <c r="B3433" s="787">
        <v>4</v>
      </c>
      <c r="C3433" s="787" t="s">
        <v>6992</v>
      </c>
      <c r="D3433" s="787">
        <v>2.87</v>
      </c>
      <c r="E3433" s="787">
        <v>2.87</v>
      </c>
      <c r="F3433" s="788">
        <v>40056</v>
      </c>
      <c r="H3433" s="787">
        <v>1</v>
      </c>
      <c r="I3433" s="788">
        <v>40252</v>
      </c>
      <c r="J3433" s="788">
        <v>40197</v>
      </c>
      <c r="L3433" s="787">
        <v>0</v>
      </c>
      <c r="M3433" s="787">
        <v>10</v>
      </c>
      <c r="N3433" s="787">
        <v>2.91</v>
      </c>
      <c r="O3433" s="788">
        <v>41989</v>
      </c>
    </row>
    <row r="3434" spans="1:15" x14ac:dyDescent="0.25">
      <c r="A3434" s="786" t="s">
        <v>6993</v>
      </c>
      <c r="B3434" s="787">
        <v>4</v>
      </c>
      <c r="C3434" s="787" t="s">
        <v>6994</v>
      </c>
      <c r="D3434" s="787">
        <v>0</v>
      </c>
      <c r="E3434" s="787">
        <v>0</v>
      </c>
      <c r="H3434" s="787">
        <v>1</v>
      </c>
      <c r="I3434" s="788">
        <v>40252</v>
      </c>
      <c r="J3434" s="788">
        <v>40197</v>
      </c>
      <c r="L3434" s="787">
        <v>0</v>
      </c>
      <c r="M3434" s="787">
        <v>10</v>
      </c>
      <c r="N3434" s="787">
        <v>2.83</v>
      </c>
      <c r="O3434" s="788">
        <v>41989</v>
      </c>
    </row>
    <row r="3435" spans="1:15" x14ac:dyDescent="0.25">
      <c r="A3435" s="786" t="s">
        <v>6995</v>
      </c>
      <c r="B3435" s="787">
        <v>4</v>
      </c>
      <c r="C3435" s="787" t="s">
        <v>6996</v>
      </c>
      <c r="D3435" s="787">
        <v>0</v>
      </c>
      <c r="E3435" s="787">
        <v>0</v>
      </c>
      <c r="H3435" s="787">
        <v>1</v>
      </c>
      <c r="I3435" s="788">
        <v>40252</v>
      </c>
      <c r="J3435" s="788">
        <v>40197</v>
      </c>
      <c r="L3435" s="787">
        <v>0</v>
      </c>
      <c r="M3435" s="787">
        <v>10</v>
      </c>
      <c r="N3435" s="787">
        <v>8.4600000000000009</v>
      </c>
      <c r="O3435" s="788">
        <v>41989</v>
      </c>
    </row>
    <row r="3436" spans="1:15" x14ac:dyDescent="0.25">
      <c r="A3436" s="786" t="s">
        <v>6997</v>
      </c>
      <c r="B3436" s="787">
        <v>4</v>
      </c>
      <c r="C3436" s="787" t="s">
        <v>6998</v>
      </c>
      <c r="D3436" s="787">
        <v>0</v>
      </c>
      <c r="E3436" s="787">
        <v>0</v>
      </c>
      <c r="H3436" s="787">
        <v>1</v>
      </c>
      <c r="I3436" s="788">
        <v>40863</v>
      </c>
      <c r="L3436" s="787">
        <v>0</v>
      </c>
      <c r="M3436" s="787">
        <v>10</v>
      </c>
      <c r="N3436" s="787">
        <v>12.38</v>
      </c>
      <c r="O3436" s="788">
        <v>42082</v>
      </c>
    </row>
    <row r="3437" spans="1:15" x14ac:dyDescent="0.25">
      <c r="A3437" s="786" t="s">
        <v>6999</v>
      </c>
      <c r="B3437" s="787">
        <v>4</v>
      </c>
      <c r="C3437" s="787" t="s">
        <v>7000</v>
      </c>
      <c r="D3437" s="787">
        <v>0</v>
      </c>
      <c r="E3437" s="787">
        <v>0</v>
      </c>
      <c r="G3437" s="788">
        <v>41565</v>
      </c>
      <c r="H3437" s="787">
        <v>1</v>
      </c>
      <c r="J3437" s="788">
        <v>40165</v>
      </c>
      <c r="L3437" s="787">
        <v>0</v>
      </c>
      <c r="M3437" s="787">
        <v>10</v>
      </c>
      <c r="N3437" s="787">
        <v>1.56</v>
      </c>
      <c r="O3437" s="788">
        <v>42082</v>
      </c>
    </row>
    <row r="3438" spans="1:15" x14ac:dyDescent="0.25">
      <c r="A3438" s="786" t="s">
        <v>7001</v>
      </c>
      <c r="B3438" s="787">
        <v>4</v>
      </c>
      <c r="C3438" s="787" t="s">
        <v>7002</v>
      </c>
      <c r="D3438" s="787">
        <v>0</v>
      </c>
      <c r="E3438" s="787">
        <v>0</v>
      </c>
      <c r="H3438" s="787">
        <v>1</v>
      </c>
      <c r="I3438" s="788">
        <v>40207</v>
      </c>
      <c r="L3438" s="787">
        <v>0</v>
      </c>
      <c r="M3438" s="787">
        <v>10</v>
      </c>
      <c r="N3438" s="787">
        <v>2.39</v>
      </c>
      <c r="O3438" s="788">
        <v>42082</v>
      </c>
    </row>
    <row r="3439" spans="1:15" x14ac:dyDescent="0.25">
      <c r="A3439" s="786" t="s">
        <v>7003</v>
      </c>
      <c r="B3439" s="787">
        <v>4</v>
      </c>
      <c r="C3439" s="787" t="s">
        <v>7004</v>
      </c>
      <c r="D3439" s="787">
        <v>0</v>
      </c>
      <c r="E3439" s="787">
        <v>0</v>
      </c>
      <c r="G3439" s="788">
        <v>41255</v>
      </c>
      <c r="H3439" s="787">
        <v>1</v>
      </c>
      <c r="L3439" s="787">
        <v>0</v>
      </c>
      <c r="M3439" s="787">
        <v>10</v>
      </c>
      <c r="N3439" s="787">
        <v>3.28</v>
      </c>
      <c r="O3439" s="788">
        <v>40148</v>
      </c>
    </row>
    <row r="3440" spans="1:15" x14ac:dyDescent="0.25">
      <c r="A3440" s="786" t="s">
        <v>7005</v>
      </c>
      <c r="B3440" s="787">
        <v>4</v>
      </c>
      <c r="C3440" s="787" t="s">
        <v>7006</v>
      </c>
      <c r="D3440" s="787">
        <v>0</v>
      </c>
      <c r="E3440" s="787">
        <v>0</v>
      </c>
      <c r="H3440" s="787">
        <v>1</v>
      </c>
      <c r="I3440" s="788">
        <v>40863</v>
      </c>
      <c r="L3440" s="787">
        <v>0</v>
      </c>
      <c r="M3440" s="787">
        <v>10</v>
      </c>
      <c r="N3440" s="787">
        <v>2.04</v>
      </c>
      <c r="O3440" s="788">
        <v>42082</v>
      </c>
    </row>
    <row r="3441" spans="1:15" x14ac:dyDescent="0.25">
      <c r="A3441" s="786" t="s">
        <v>7007</v>
      </c>
      <c r="B3441" s="787">
        <v>4</v>
      </c>
      <c r="C3441" s="787" t="s">
        <v>7008</v>
      </c>
      <c r="D3441" s="787">
        <v>0</v>
      </c>
      <c r="E3441" s="787">
        <v>0</v>
      </c>
      <c r="H3441" s="787">
        <v>1</v>
      </c>
      <c r="I3441" s="788">
        <v>40863</v>
      </c>
      <c r="L3441" s="787">
        <v>0</v>
      </c>
      <c r="M3441" s="787">
        <v>10</v>
      </c>
      <c r="N3441" s="787">
        <v>2.04</v>
      </c>
      <c r="O3441" s="788">
        <v>42082</v>
      </c>
    </row>
    <row r="3442" spans="1:15" x14ac:dyDescent="0.25">
      <c r="A3442" s="786" t="s">
        <v>7009</v>
      </c>
      <c r="B3442" s="787">
        <v>4</v>
      </c>
      <c r="C3442" s="787" t="s">
        <v>7010</v>
      </c>
      <c r="D3442" s="787">
        <v>3.8</v>
      </c>
      <c r="E3442" s="787">
        <v>13.8</v>
      </c>
      <c r="F3442" s="788">
        <v>40056</v>
      </c>
      <c r="G3442" s="788">
        <v>40052</v>
      </c>
      <c r="H3442" s="787">
        <v>1</v>
      </c>
      <c r="I3442" s="788">
        <v>40207</v>
      </c>
      <c r="J3442" s="788">
        <v>40052</v>
      </c>
      <c r="K3442" s="788">
        <v>40032</v>
      </c>
      <c r="L3442" s="787">
        <v>13.8</v>
      </c>
      <c r="M3442" s="787">
        <v>20</v>
      </c>
      <c r="N3442" s="787">
        <v>14.84</v>
      </c>
      <c r="O3442" s="788">
        <v>42082</v>
      </c>
    </row>
    <row r="3443" spans="1:15" x14ac:dyDescent="0.25">
      <c r="A3443" s="786" t="s">
        <v>7011</v>
      </c>
      <c r="B3443" s="787">
        <v>4</v>
      </c>
      <c r="C3443" s="787" t="s">
        <v>7012</v>
      </c>
      <c r="D3443" s="787">
        <v>0</v>
      </c>
      <c r="E3443" s="787">
        <v>0</v>
      </c>
      <c r="H3443" s="787">
        <v>1</v>
      </c>
      <c r="I3443" s="788">
        <v>40863</v>
      </c>
      <c r="J3443" s="788">
        <v>40252</v>
      </c>
      <c r="L3443" s="787">
        <v>0</v>
      </c>
      <c r="M3443" s="787">
        <v>10</v>
      </c>
      <c r="N3443" s="787">
        <v>114.37</v>
      </c>
      <c r="O3443" s="788">
        <v>42082</v>
      </c>
    </row>
    <row r="3444" spans="1:15" x14ac:dyDescent="0.25">
      <c r="A3444" s="786" t="s">
        <v>7013</v>
      </c>
      <c r="B3444" s="787">
        <v>4</v>
      </c>
      <c r="C3444" s="787" t="s">
        <v>7014</v>
      </c>
      <c r="D3444" s="787">
        <v>0</v>
      </c>
      <c r="E3444" s="787">
        <v>0</v>
      </c>
      <c r="F3444" s="788">
        <v>41135</v>
      </c>
      <c r="G3444" s="788">
        <v>41943</v>
      </c>
      <c r="H3444" s="787">
        <v>1</v>
      </c>
      <c r="I3444" s="788">
        <v>41477</v>
      </c>
      <c r="J3444" s="788">
        <v>40609</v>
      </c>
      <c r="L3444" s="787">
        <v>0</v>
      </c>
      <c r="M3444" s="787">
        <v>10</v>
      </c>
      <c r="N3444" s="787">
        <v>7.66</v>
      </c>
      <c r="O3444" s="788">
        <v>42082</v>
      </c>
    </row>
    <row r="3445" spans="1:15" x14ac:dyDescent="0.25">
      <c r="A3445" s="786" t="s">
        <v>7015</v>
      </c>
      <c r="B3445" s="787">
        <v>4</v>
      </c>
      <c r="C3445" s="787" t="s">
        <v>7016</v>
      </c>
      <c r="D3445" s="787">
        <v>3.15</v>
      </c>
      <c r="E3445" s="787">
        <v>3.15</v>
      </c>
      <c r="F3445" s="788">
        <v>40644</v>
      </c>
      <c r="G3445" s="788">
        <v>41565</v>
      </c>
      <c r="H3445" s="787">
        <v>1</v>
      </c>
      <c r="I3445" s="788">
        <v>41477</v>
      </c>
      <c r="J3445" s="788">
        <v>40574</v>
      </c>
      <c r="L3445" s="787">
        <v>0</v>
      </c>
      <c r="M3445" s="787">
        <v>10</v>
      </c>
      <c r="N3445" s="787">
        <v>4.1399999999999997</v>
      </c>
      <c r="O3445" s="788">
        <v>42123</v>
      </c>
    </row>
    <row r="3446" spans="1:15" x14ac:dyDescent="0.25">
      <c r="A3446" s="786" t="s">
        <v>7017</v>
      </c>
      <c r="B3446" s="787">
        <v>4</v>
      </c>
      <c r="C3446" s="787" t="s">
        <v>7018</v>
      </c>
      <c r="D3446" s="787">
        <v>0</v>
      </c>
      <c r="E3446" s="787">
        <v>0</v>
      </c>
      <c r="F3446" s="788">
        <v>39975</v>
      </c>
      <c r="G3446" s="788">
        <v>41943</v>
      </c>
      <c r="H3446" s="787">
        <v>1</v>
      </c>
      <c r="I3446" s="788">
        <v>41477</v>
      </c>
      <c r="J3446" s="788">
        <v>40399</v>
      </c>
      <c r="L3446" s="787">
        <v>0</v>
      </c>
      <c r="M3446" s="787">
        <v>10</v>
      </c>
      <c r="N3446" s="787">
        <v>2.33</v>
      </c>
      <c r="O3446" s="788">
        <v>42082</v>
      </c>
    </row>
    <row r="3447" spans="1:15" x14ac:dyDescent="0.25">
      <c r="A3447" s="786" t="s">
        <v>7019</v>
      </c>
      <c r="B3447" s="787">
        <v>4</v>
      </c>
      <c r="C3447" s="787" t="s">
        <v>7020</v>
      </c>
      <c r="D3447" s="787">
        <v>1.97</v>
      </c>
      <c r="E3447" s="787">
        <v>1.97</v>
      </c>
      <c r="F3447" s="788">
        <v>39975</v>
      </c>
      <c r="G3447" s="788">
        <v>41943</v>
      </c>
      <c r="H3447" s="787">
        <v>1</v>
      </c>
      <c r="I3447" s="788">
        <v>41477</v>
      </c>
      <c r="J3447" s="788">
        <v>40430</v>
      </c>
      <c r="L3447" s="787">
        <v>0</v>
      </c>
      <c r="M3447" s="787">
        <v>10</v>
      </c>
      <c r="N3447" s="787">
        <v>2.0299999999999998</v>
      </c>
      <c r="O3447" s="788">
        <v>42082</v>
      </c>
    </row>
    <row r="3448" spans="1:15" x14ac:dyDescent="0.25">
      <c r="A3448" s="786" t="s">
        <v>7021</v>
      </c>
      <c r="B3448" s="787">
        <v>4</v>
      </c>
      <c r="C3448" s="787" t="s">
        <v>7022</v>
      </c>
      <c r="D3448" s="787">
        <v>0</v>
      </c>
      <c r="E3448" s="787">
        <v>0</v>
      </c>
      <c r="F3448" s="788">
        <v>41135</v>
      </c>
      <c r="G3448" s="788">
        <v>41135</v>
      </c>
      <c r="H3448" s="787">
        <v>1</v>
      </c>
      <c r="I3448" s="788">
        <v>41477</v>
      </c>
      <c r="J3448" s="788">
        <v>40609</v>
      </c>
      <c r="L3448" s="787">
        <v>0</v>
      </c>
      <c r="M3448" s="787">
        <v>10</v>
      </c>
      <c r="N3448" s="787">
        <v>1.49</v>
      </c>
      <c r="O3448" s="788">
        <v>42082</v>
      </c>
    </row>
    <row r="3449" spans="1:15" x14ac:dyDescent="0.25">
      <c r="A3449" s="786" t="s">
        <v>7023</v>
      </c>
      <c r="B3449" s="787">
        <v>4</v>
      </c>
      <c r="C3449" s="787" t="s">
        <v>7024</v>
      </c>
      <c r="D3449" s="787">
        <v>5.64</v>
      </c>
      <c r="E3449" s="787">
        <v>5.64</v>
      </c>
      <c r="F3449" s="788">
        <v>41135</v>
      </c>
      <c r="G3449" s="788">
        <v>41646</v>
      </c>
      <c r="H3449" s="787">
        <v>1</v>
      </c>
      <c r="I3449" s="788">
        <v>41477</v>
      </c>
      <c r="J3449" s="788">
        <v>40638</v>
      </c>
      <c r="L3449" s="787">
        <v>0</v>
      </c>
      <c r="M3449" s="787">
        <v>10</v>
      </c>
      <c r="N3449" s="787">
        <v>1.3</v>
      </c>
      <c r="O3449" s="788">
        <v>42082</v>
      </c>
    </row>
    <row r="3450" spans="1:15" x14ac:dyDescent="0.25">
      <c r="A3450" s="786" t="s">
        <v>7025</v>
      </c>
      <c r="B3450" s="787">
        <v>4</v>
      </c>
      <c r="C3450" s="787" t="s">
        <v>7026</v>
      </c>
      <c r="D3450" s="787">
        <v>3.43</v>
      </c>
      <c r="E3450" s="787">
        <v>3.43</v>
      </c>
      <c r="F3450" s="788">
        <v>39975</v>
      </c>
      <c r="G3450" s="788">
        <v>42013</v>
      </c>
      <c r="H3450" s="787">
        <v>1</v>
      </c>
      <c r="I3450" s="788">
        <v>41477</v>
      </c>
      <c r="J3450" s="788">
        <v>40430</v>
      </c>
      <c r="L3450" s="787">
        <v>0</v>
      </c>
      <c r="M3450" s="787">
        <v>10</v>
      </c>
      <c r="N3450" s="787">
        <v>3.45</v>
      </c>
      <c r="O3450" s="788">
        <v>42082</v>
      </c>
    </row>
    <row r="3451" spans="1:15" x14ac:dyDescent="0.25">
      <c r="A3451" s="786" t="s">
        <v>7027</v>
      </c>
      <c r="B3451" s="787">
        <v>4</v>
      </c>
      <c r="C3451" s="787" t="s">
        <v>7028</v>
      </c>
      <c r="D3451" s="787">
        <v>0</v>
      </c>
      <c r="E3451" s="787">
        <v>0</v>
      </c>
      <c r="F3451" s="788">
        <v>41135</v>
      </c>
      <c r="G3451" s="788">
        <v>42013</v>
      </c>
      <c r="H3451" s="787">
        <v>1</v>
      </c>
      <c r="I3451" s="788">
        <v>41477</v>
      </c>
      <c r="J3451" s="788">
        <v>40638</v>
      </c>
      <c r="L3451" s="787">
        <v>0</v>
      </c>
      <c r="M3451" s="787">
        <v>10</v>
      </c>
      <c r="N3451" s="787">
        <v>2.77</v>
      </c>
      <c r="O3451" s="788">
        <v>42082</v>
      </c>
    </row>
    <row r="3452" spans="1:15" x14ac:dyDescent="0.25">
      <c r="A3452" s="786" t="s">
        <v>7029</v>
      </c>
      <c r="B3452" s="787">
        <v>4</v>
      </c>
      <c r="C3452" s="787" t="s">
        <v>7030</v>
      </c>
      <c r="D3452" s="787">
        <v>0</v>
      </c>
      <c r="E3452" s="787">
        <v>0</v>
      </c>
      <c r="G3452" s="788">
        <v>40553</v>
      </c>
      <c r="H3452" s="787">
        <v>1</v>
      </c>
      <c r="I3452" s="788">
        <v>40863</v>
      </c>
      <c r="J3452" s="788">
        <v>40399</v>
      </c>
      <c r="L3452" s="787">
        <v>0</v>
      </c>
      <c r="M3452" s="787">
        <v>10</v>
      </c>
      <c r="N3452" s="787">
        <v>4.72</v>
      </c>
      <c r="O3452" s="788">
        <v>42123</v>
      </c>
    </row>
    <row r="3453" spans="1:15" x14ac:dyDescent="0.25">
      <c r="A3453" s="786" t="s">
        <v>7031</v>
      </c>
      <c r="B3453" s="787">
        <v>4</v>
      </c>
      <c r="C3453" s="787" t="s">
        <v>7032</v>
      </c>
      <c r="D3453" s="787">
        <v>1.1499999999999999</v>
      </c>
      <c r="E3453" s="787">
        <v>1.1499999999999999</v>
      </c>
      <c r="F3453" s="788">
        <v>40659</v>
      </c>
      <c r="G3453" s="788">
        <v>41255</v>
      </c>
      <c r="H3453" s="787">
        <v>1</v>
      </c>
      <c r="J3453" s="788">
        <v>40626</v>
      </c>
      <c r="L3453" s="787">
        <v>0</v>
      </c>
      <c r="M3453" s="787">
        <v>10</v>
      </c>
      <c r="N3453" s="787">
        <v>1.32</v>
      </c>
      <c r="O3453" s="788">
        <v>42082</v>
      </c>
    </row>
    <row r="3454" spans="1:15" x14ac:dyDescent="0.25">
      <c r="A3454" s="786" t="s">
        <v>7033</v>
      </c>
      <c r="B3454" s="787">
        <v>4</v>
      </c>
      <c r="C3454" s="787" t="s">
        <v>7034</v>
      </c>
      <c r="D3454" s="787">
        <v>0</v>
      </c>
      <c r="E3454" s="787">
        <v>0</v>
      </c>
      <c r="G3454" s="788">
        <v>40399</v>
      </c>
      <c r="H3454" s="787">
        <v>1</v>
      </c>
      <c r="J3454" s="788">
        <v>40399</v>
      </c>
      <c r="L3454" s="787">
        <v>0</v>
      </c>
      <c r="M3454" s="787">
        <v>10</v>
      </c>
      <c r="N3454" s="787">
        <v>0.18</v>
      </c>
      <c r="O3454" s="788">
        <v>42082</v>
      </c>
    </row>
    <row r="3455" spans="1:15" x14ac:dyDescent="0.25">
      <c r="A3455" s="786" t="s">
        <v>7035</v>
      </c>
      <c r="B3455" s="787">
        <v>4</v>
      </c>
      <c r="C3455" s="787" t="s">
        <v>7036</v>
      </c>
      <c r="D3455" s="787">
        <v>1.89</v>
      </c>
      <c r="E3455" s="787">
        <v>1.89</v>
      </c>
      <c r="F3455" s="788">
        <v>42069</v>
      </c>
      <c r="G3455" s="788">
        <v>42069</v>
      </c>
      <c r="H3455" s="787">
        <v>1</v>
      </c>
      <c r="I3455" s="788">
        <v>42160</v>
      </c>
      <c r="J3455" s="788">
        <v>42044</v>
      </c>
      <c r="K3455" s="788">
        <v>41843</v>
      </c>
      <c r="L3455" s="787">
        <v>2.27</v>
      </c>
      <c r="M3455" s="787">
        <v>10</v>
      </c>
      <c r="N3455" s="787">
        <v>2.2599999999999998</v>
      </c>
      <c r="O3455" s="788">
        <v>42082</v>
      </c>
    </row>
    <row r="3456" spans="1:15" x14ac:dyDescent="0.25">
      <c r="A3456" s="786" t="s">
        <v>7037</v>
      </c>
      <c r="B3456" s="787">
        <v>4</v>
      </c>
      <c r="C3456" s="787" t="s">
        <v>7038</v>
      </c>
      <c r="D3456" s="787">
        <v>6.83</v>
      </c>
      <c r="E3456" s="787">
        <v>6.83</v>
      </c>
      <c r="F3456" s="788">
        <v>42069</v>
      </c>
      <c r="G3456" s="788">
        <v>42069</v>
      </c>
      <c r="H3456" s="787">
        <v>1</v>
      </c>
      <c r="I3456" s="788">
        <v>42160</v>
      </c>
      <c r="J3456" s="788">
        <v>42040</v>
      </c>
      <c r="L3456" s="787">
        <v>1</v>
      </c>
      <c r="M3456" s="787">
        <v>10</v>
      </c>
      <c r="N3456" s="787">
        <v>3.19</v>
      </c>
      <c r="O3456" s="788">
        <v>42082</v>
      </c>
    </row>
    <row r="3457" spans="1:15" x14ac:dyDescent="0.25">
      <c r="A3457" s="786" t="s">
        <v>7039</v>
      </c>
      <c r="B3457" s="787">
        <v>4</v>
      </c>
      <c r="C3457" s="787" t="s">
        <v>7040</v>
      </c>
      <c r="D3457" s="787">
        <v>2.82</v>
      </c>
      <c r="E3457" s="787">
        <v>2.82</v>
      </c>
      <c r="F3457" s="788">
        <v>42090</v>
      </c>
      <c r="G3457" s="788">
        <v>42090</v>
      </c>
      <c r="H3457" s="787">
        <v>1</v>
      </c>
      <c r="I3457" s="788">
        <v>42160</v>
      </c>
      <c r="J3457" s="788">
        <v>42072</v>
      </c>
      <c r="K3457" s="788">
        <v>41842</v>
      </c>
      <c r="L3457" s="787">
        <v>2.85</v>
      </c>
      <c r="M3457" s="787">
        <v>10</v>
      </c>
      <c r="N3457" s="787">
        <v>10.82</v>
      </c>
      <c r="O3457" s="788">
        <v>42082</v>
      </c>
    </row>
    <row r="3458" spans="1:15" x14ac:dyDescent="0.25">
      <c r="A3458" s="786" t="s">
        <v>7041</v>
      </c>
      <c r="B3458" s="787">
        <v>4</v>
      </c>
      <c r="C3458" s="787" t="s">
        <v>7042</v>
      </c>
      <c r="D3458" s="787">
        <v>3.82</v>
      </c>
      <c r="E3458" s="787">
        <v>13.82</v>
      </c>
      <c r="F3458" s="788">
        <v>42069</v>
      </c>
      <c r="G3458" s="788">
        <v>42069</v>
      </c>
      <c r="H3458" s="787">
        <v>1</v>
      </c>
      <c r="I3458" s="788">
        <v>42136</v>
      </c>
      <c r="J3458" s="788">
        <v>42046</v>
      </c>
      <c r="K3458" s="788">
        <v>41843</v>
      </c>
      <c r="L3458" s="787">
        <v>15.14</v>
      </c>
      <c r="M3458" s="787">
        <v>10</v>
      </c>
      <c r="N3458" s="787">
        <v>23.45</v>
      </c>
      <c r="O3458" s="788">
        <v>42082</v>
      </c>
    </row>
    <row r="3459" spans="1:15" x14ac:dyDescent="0.25">
      <c r="A3459" s="786" t="s">
        <v>7043</v>
      </c>
      <c r="B3459" s="787">
        <v>4</v>
      </c>
      <c r="C3459" s="787" t="s">
        <v>7044</v>
      </c>
      <c r="D3459" s="787">
        <v>0.83</v>
      </c>
      <c r="E3459" s="787">
        <v>16.71</v>
      </c>
      <c r="F3459" s="788">
        <v>42075</v>
      </c>
      <c r="G3459" s="788">
        <v>42093</v>
      </c>
      <c r="H3459" s="787">
        <v>1</v>
      </c>
      <c r="I3459" s="788">
        <v>42066</v>
      </c>
      <c r="J3459" s="788">
        <v>42066</v>
      </c>
      <c r="K3459" s="788">
        <v>41842</v>
      </c>
      <c r="L3459" s="787">
        <v>4.21</v>
      </c>
      <c r="M3459" s="787">
        <v>10</v>
      </c>
      <c r="N3459" s="787">
        <v>11.95</v>
      </c>
      <c r="O3459" s="788">
        <v>42082</v>
      </c>
    </row>
    <row r="3460" spans="1:15" x14ac:dyDescent="0.25">
      <c r="A3460" s="786" t="s">
        <v>7045</v>
      </c>
      <c r="B3460" s="787">
        <v>4</v>
      </c>
      <c r="C3460" s="787" t="s">
        <v>7046</v>
      </c>
      <c r="D3460" s="787">
        <v>7.28</v>
      </c>
      <c r="E3460" s="787">
        <v>8.49</v>
      </c>
      <c r="F3460" s="788">
        <v>42075</v>
      </c>
      <c r="G3460" s="788">
        <v>42093</v>
      </c>
      <c r="H3460" s="787">
        <v>1</v>
      </c>
      <c r="I3460" s="788">
        <v>42066</v>
      </c>
      <c r="J3460" s="788">
        <v>42066</v>
      </c>
      <c r="K3460" s="788">
        <v>41842</v>
      </c>
      <c r="L3460" s="787">
        <v>4.6100000000000003</v>
      </c>
      <c r="M3460" s="787">
        <v>10</v>
      </c>
      <c r="N3460" s="787">
        <v>12.36</v>
      </c>
      <c r="O3460" s="788">
        <v>42060</v>
      </c>
    </row>
    <row r="3461" spans="1:15" x14ac:dyDescent="0.25">
      <c r="A3461" s="786" t="s">
        <v>7047</v>
      </c>
      <c r="B3461" s="787">
        <v>4</v>
      </c>
      <c r="C3461" s="787" t="s">
        <v>7048</v>
      </c>
      <c r="D3461" s="787">
        <v>2.56</v>
      </c>
      <c r="E3461" s="787">
        <v>26.61</v>
      </c>
      <c r="F3461" s="788">
        <v>42076</v>
      </c>
      <c r="G3461" s="788">
        <v>42101</v>
      </c>
      <c r="H3461" s="787">
        <v>1</v>
      </c>
      <c r="I3461" s="788">
        <v>42156</v>
      </c>
      <c r="J3461" s="788">
        <v>42066</v>
      </c>
      <c r="K3461" s="788">
        <v>41842</v>
      </c>
      <c r="L3461" s="787">
        <v>10.84</v>
      </c>
      <c r="M3461" s="787">
        <v>10</v>
      </c>
      <c r="N3461" s="787">
        <v>26.32</v>
      </c>
      <c r="O3461" s="788">
        <v>42082</v>
      </c>
    </row>
    <row r="3462" spans="1:15" x14ac:dyDescent="0.25">
      <c r="A3462" s="786" t="s">
        <v>7049</v>
      </c>
      <c r="B3462" s="787">
        <v>4</v>
      </c>
      <c r="C3462" s="787" t="s">
        <v>7050</v>
      </c>
      <c r="D3462" s="787">
        <v>2.79</v>
      </c>
      <c r="E3462" s="787">
        <v>563.94000000000005</v>
      </c>
      <c r="F3462" s="788">
        <v>42074</v>
      </c>
      <c r="G3462" s="788">
        <v>42156</v>
      </c>
      <c r="H3462" s="787">
        <v>1</v>
      </c>
      <c r="I3462" s="788">
        <v>42160</v>
      </c>
      <c r="J3462" s="788">
        <v>42156</v>
      </c>
      <c r="K3462" s="788">
        <v>41849</v>
      </c>
      <c r="L3462" s="787">
        <v>520.11</v>
      </c>
      <c r="M3462" s="787">
        <v>10</v>
      </c>
      <c r="N3462" s="787">
        <v>512</v>
      </c>
      <c r="O3462" s="788">
        <v>42082</v>
      </c>
    </row>
    <row r="3463" spans="1:15" x14ac:dyDescent="0.25">
      <c r="A3463" s="786" t="s">
        <v>7051</v>
      </c>
      <c r="B3463" s="787">
        <v>4</v>
      </c>
      <c r="C3463" s="787" t="s">
        <v>7052</v>
      </c>
      <c r="D3463" s="787">
        <v>2.63</v>
      </c>
      <c r="E3463" s="787">
        <v>2.63</v>
      </c>
      <c r="F3463" s="788">
        <v>42069</v>
      </c>
      <c r="G3463" s="788">
        <v>42152</v>
      </c>
      <c r="H3463" s="787">
        <v>1</v>
      </c>
      <c r="I3463" s="788">
        <v>42160</v>
      </c>
      <c r="J3463" s="788">
        <v>42152</v>
      </c>
      <c r="K3463" s="788">
        <v>41848</v>
      </c>
      <c r="L3463" s="787">
        <v>2.13</v>
      </c>
      <c r="M3463" s="787">
        <v>10</v>
      </c>
      <c r="N3463" s="787">
        <v>2.13</v>
      </c>
      <c r="O3463" s="788">
        <v>42082</v>
      </c>
    </row>
    <row r="3464" spans="1:15" x14ac:dyDescent="0.25">
      <c r="A3464" s="786" t="s">
        <v>7053</v>
      </c>
      <c r="B3464" s="787">
        <v>4</v>
      </c>
      <c r="C3464" s="787" t="s">
        <v>7054</v>
      </c>
      <c r="D3464" s="787">
        <v>2.85</v>
      </c>
      <c r="E3464" s="787">
        <v>2.85</v>
      </c>
      <c r="F3464" s="788">
        <v>42069</v>
      </c>
      <c r="G3464" s="788">
        <v>42152</v>
      </c>
      <c r="H3464" s="787">
        <v>1</v>
      </c>
      <c r="I3464" s="788">
        <v>42160</v>
      </c>
      <c r="J3464" s="788">
        <v>42152</v>
      </c>
      <c r="K3464" s="788">
        <v>41848</v>
      </c>
      <c r="L3464" s="787">
        <v>2.19</v>
      </c>
      <c r="M3464" s="787">
        <v>10</v>
      </c>
      <c r="N3464" s="787">
        <v>2.19</v>
      </c>
      <c r="O3464" s="788">
        <v>42082</v>
      </c>
    </row>
    <row r="3465" spans="1:15" x14ac:dyDescent="0.25">
      <c r="A3465" s="786" t="s">
        <v>7055</v>
      </c>
      <c r="B3465" s="787">
        <v>4</v>
      </c>
      <c r="C3465" s="787" t="s">
        <v>7056</v>
      </c>
      <c r="D3465" s="787">
        <v>0</v>
      </c>
      <c r="E3465" s="787">
        <v>0</v>
      </c>
      <c r="H3465" s="787">
        <v>1</v>
      </c>
      <c r="K3465" s="788">
        <v>41849</v>
      </c>
      <c r="L3465" s="787">
        <v>2.75</v>
      </c>
      <c r="M3465" s="787">
        <v>10</v>
      </c>
      <c r="N3465" s="787">
        <v>2.75</v>
      </c>
      <c r="O3465" s="788">
        <v>42082</v>
      </c>
    </row>
    <row r="3466" spans="1:15" x14ac:dyDescent="0.25">
      <c r="A3466" s="786" t="s">
        <v>7057</v>
      </c>
      <c r="B3466" s="787">
        <v>4</v>
      </c>
      <c r="C3466" s="787" t="s">
        <v>7058</v>
      </c>
      <c r="D3466" s="787">
        <v>3.6</v>
      </c>
      <c r="E3466" s="787">
        <v>3.6</v>
      </c>
      <c r="F3466" s="788">
        <v>42069</v>
      </c>
      <c r="G3466" s="788">
        <v>42150</v>
      </c>
      <c r="H3466" s="787">
        <v>1</v>
      </c>
      <c r="I3466" s="788">
        <v>42160</v>
      </c>
      <c r="J3466" s="788">
        <v>42150</v>
      </c>
      <c r="K3466" s="788">
        <v>41849</v>
      </c>
      <c r="L3466" s="787">
        <v>2.19</v>
      </c>
      <c r="M3466" s="787">
        <v>10</v>
      </c>
      <c r="N3466" s="787">
        <v>2.19</v>
      </c>
      <c r="O3466" s="788">
        <v>42082</v>
      </c>
    </row>
    <row r="3467" spans="1:15" x14ac:dyDescent="0.25">
      <c r="A3467" s="786" t="s">
        <v>7059</v>
      </c>
      <c r="B3467" s="787">
        <v>4</v>
      </c>
      <c r="C3467" s="787" t="s">
        <v>7060</v>
      </c>
      <c r="D3467" s="787">
        <v>4.92</v>
      </c>
      <c r="E3467" s="787">
        <v>4.92</v>
      </c>
      <c r="F3467" s="788">
        <v>42072</v>
      </c>
      <c r="G3467" s="788">
        <v>42072</v>
      </c>
      <c r="H3467" s="787">
        <v>1</v>
      </c>
      <c r="I3467" s="788">
        <v>42049</v>
      </c>
      <c r="J3467" s="788">
        <v>42051</v>
      </c>
      <c r="K3467" s="788">
        <v>41849</v>
      </c>
      <c r="L3467" s="787">
        <v>3.66</v>
      </c>
      <c r="M3467" s="787">
        <v>10</v>
      </c>
      <c r="N3467" s="787">
        <v>3.66</v>
      </c>
      <c r="O3467" s="788">
        <v>42082</v>
      </c>
    </row>
    <row r="3468" spans="1:15" x14ac:dyDescent="0.25">
      <c r="A3468" s="786" t="s">
        <v>7061</v>
      </c>
      <c r="B3468" s="787">
        <v>4</v>
      </c>
      <c r="C3468" s="787" t="s">
        <v>7062</v>
      </c>
      <c r="D3468" s="787">
        <v>4.82</v>
      </c>
      <c r="E3468" s="787">
        <v>4.82</v>
      </c>
      <c r="F3468" s="788">
        <v>42072</v>
      </c>
      <c r="G3468" s="788">
        <v>42072</v>
      </c>
      <c r="H3468" s="787">
        <v>1</v>
      </c>
      <c r="I3468" s="788">
        <v>42049</v>
      </c>
      <c r="J3468" s="788">
        <v>42051</v>
      </c>
      <c r="K3468" s="788">
        <v>41849</v>
      </c>
      <c r="L3468" s="787">
        <v>3.18</v>
      </c>
      <c r="M3468" s="787">
        <v>10</v>
      </c>
      <c r="N3468" s="787">
        <v>3.18</v>
      </c>
      <c r="O3468" s="788">
        <v>41955</v>
      </c>
    </row>
    <row r="3469" spans="1:15" x14ac:dyDescent="0.25">
      <c r="A3469" s="786" t="s">
        <v>7063</v>
      </c>
      <c r="B3469" s="787">
        <v>4</v>
      </c>
      <c r="C3469" s="787" t="s">
        <v>7064</v>
      </c>
      <c r="D3469" s="787">
        <v>5.55</v>
      </c>
      <c r="E3469" s="787">
        <v>25.55</v>
      </c>
      <c r="F3469" s="788">
        <v>42069</v>
      </c>
      <c r="G3469" s="788">
        <v>42069</v>
      </c>
      <c r="H3469" s="787">
        <v>1</v>
      </c>
      <c r="I3469" s="788">
        <v>42160</v>
      </c>
      <c r="J3469" s="788">
        <v>42051</v>
      </c>
      <c r="K3469" s="788">
        <v>41849</v>
      </c>
      <c r="L3469" s="787">
        <v>22.74</v>
      </c>
      <c r="M3469" s="787">
        <v>10</v>
      </c>
      <c r="N3469" s="787">
        <v>22.65</v>
      </c>
      <c r="O3469" s="788">
        <v>42082</v>
      </c>
    </row>
    <row r="3470" spans="1:15" x14ac:dyDescent="0.25">
      <c r="A3470" s="786" t="s">
        <v>7065</v>
      </c>
      <c r="B3470" s="787">
        <v>4</v>
      </c>
      <c r="C3470" s="787" t="s">
        <v>7066</v>
      </c>
      <c r="D3470" s="787">
        <v>0.12</v>
      </c>
      <c r="E3470" s="787">
        <v>10.119999999999999</v>
      </c>
      <c r="F3470" s="788">
        <v>42069</v>
      </c>
      <c r="G3470" s="788">
        <v>42069</v>
      </c>
      <c r="H3470" s="787">
        <v>1</v>
      </c>
      <c r="I3470" s="788">
        <v>42160</v>
      </c>
      <c r="J3470" s="788">
        <v>42047</v>
      </c>
      <c r="L3470" s="787">
        <v>1</v>
      </c>
      <c r="M3470" s="787">
        <v>10</v>
      </c>
      <c r="N3470" s="787">
        <v>10.01</v>
      </c>
      <c r="O3470" s="788">
        <v>42082</v>
      </c>
    </row>
    <row r="3471" spans="1:15" x14ac:dyDescent="0.25">
      <c r="A3471" s="786" t="s">
        <v>7067</v>
      </c>
      <c r="B3471" s="787">
        <v>4</v>
      </c>
      <c r="C3471" s="787" t="s">
        <v>7068</v>
      </c>
      <c r="D3471" s="787">
        <v>1.19</v>
      </c>
      <c r="E3471" s="787">
        <v>1.19</v>
      </c>
      <c r="F3471" s="788">
        <v>42075</v>
      </c>
      <c r="G3471" s="788">
        <v>42160</v>
      </c>
      <c r="H3471" s="787">
        <v>1</v>
      </c>
      <c r="I3471" s="788">
        <v>42163</v>
      </c>
      <c r="J3471" s="788">
        <v>42160</v>
      </c>
      <c r="L3471" s="787">
        <v>1</v>
      </c>
      <c r="M3471" s="787">
        <v>10</v>
      </c>
      <c r="N3471" s="787">
        <v>1</v>
      </c>
      <c r="O3471" s="788">
        <v>41955</v>
      </c>
    </row>
    <row r="3472" spans="1:15" x14ac:dyDescent="0.25">
      <c r="A3472" s="786" t="s">
        <v>7069</v>
      </c>
      <c r="B3472" s="787">
        <v>4</v>
      </c>
      <c r="C3472" s="787" t="s">
        <v>7070</v>
      </c>
      <c r="D3472" s="787">
        <v>3.66</v>
      </c>
      <c r="E3472" s="787">
        <v>3.66</v>
      </c>
      <c r="F3472" s="788">
        <v>42072</v>
      </c>
      <c r="G3472" s="788">
        <v>42072</v>
      </c>
      <c r="H3472" s="787">
        <v>1</v>
      </c>
      <c r="I3472" s="788">
        <v>42163</v>
      </c>
      <c r="J3472" s="788">
        <v>42165</v>
      </c>
      <c r="K3472" s="788">
        <v>41849</v>
      </c>
      <c r="L3472" s="787">
        <v>2.7</v>
      </c>
      <c r="M3472" s="787">
        <v>10</v>
      </c>
      <c r="N3472" s="787">
        <v>2.7</v>
      </c>
      <c r="O3472" s="788">
        <v>41955</v>
      </c>
    </row>
    <row r="3473" spans="1:15" x14ac:dyDescent="0.25">
      <c r="A3473" s="786" t="s">
        <v>510</v>
      </c>
      <c r="B3473" s="787">
        <v>4</v>
      </c>
      <c r="C3473" s="787" t="s">
        <v>7071</v>
      </c>
      <c r="D3473" s="787">
        <v>0</v>
      </c>
      <c r="E3473" s="787">
        <v>0</v>
      </c>
      <c r="H3473" s="787">
        <v>1</v>
      </c>
      <c r="I3473" s="788">
        <v>42108</v>
      </c>
      <c r="K3473" s="788">
        <v>41849</v>
      </c>
      <c r="L3473" s="787">
        <v>6.8</v>
      </c>
      <c r="M3473" s="787">
        <v>10</v>
      </c>
      <c r="N3473" s="787">
        <v>6.8</v>
      </c>
      <c r="O3473" s="788">
        <v>42082</v>
      </c>
    </row>
    <row r="3474" spans="1:15" x14ac:dyDescent="0.25">
      <c r="A3474" s="786" t="s">
        <v>7072</v>
      </c>
      <c r="B3474" s="787">
        <v>4</v>
      </c>
      <c r="C3474" s="787" t="s">
        <v>7073</v>
      </c>
      <c r="D3474" s="787">
        <v>2.5</v>
      </c>
      <c r="E3474" s="787">
        <v>2.5</v>
      </c>
      <c r="F3474" s="788">
        <v>42069</v>
      </c>
      <c r="G3474" s="788">
        <v>42069</v>
      </c>
      <c r="H3474" s="787">
        <v>1</v>
      </c>
      <c r="I3474" s="788">
        <v>42160</v>
      </c>
      <c r="J3474" s="788">
        <v>42040</v>
      </c>
      <c r="K3474" s="788">
        <v>41849</v>
      </c>
      <c r="L3474" s="787">
        <v>2.78</v>
      </c>
      <c r="M3474" s="787">
        <v>10</v>
      </c>
      <c r="N3474" s="787">
        <v>2.37</v>
      </c>
      <c r="O3474" s="788">
        <v>42082</v>
      </c>
    </row>
    <row r="3475" spans="1:15" x14ac:dyDescent="0.25">
      <c r="A3475" s="786" t="s">
        <v>7074</v>
      </c>
      <c r="B3475" s="787">
        <v>4</v>
      </c>
      <c r="C3475" s="787" t="s">
        <v>7075</v>
      </c>
      <c r="D3475" s="787">
        <v>0</v>
      </c>
      <c r="E3475" s="787">
        <v>0</v>
      </c>
      <c r="H3475" s="787">
        <v>1</v>
      </c>
      <c r="K3475" s="788">
        <v>41849</v>
      </c>
      <c r="L3475" s="787">
        <v>2.0499999999999998</v>
      </c>
      <c r="M3475" s="787">
        <v>10</v>
      </c>
      <c r="N3475" s="787">
        <v>2.0499999999999998</v>
      </c>
      <c r="O3475" s="788">
        <v>42082</v>
      </c>
    </row>
    <row r="3476" spans="1:15" x14ac:dyDescent="0.25">
      <c r="A3476" s="786" t="s">
        <v>7076</v>
      </c>
      <c r="B3476" s="787">
        <v>4</v>
      </c>
      <c r="C3476" s="787" t="s">
        <v>7077</v>
      </c>
      <c r="D3476" s="787">
        <v>0.68</v>
      </c>
      <c r="E3476" s="787">
        <v>0.68</v>
      </c>
      <c r="F3476" s="788">
        <v>42069</v>
      </c>
      <c r="G3476" s="788">
        <v>42069</v>
      </c>
      <c r="H3476" s="787">
        <v>1</v>
      </c>
      <c r="I3476" s="788">
        <v>42160</v>
      </c>
      <c r="J3476" s="788">
        <v>42044</v>
      </c>
      <c r="K3476" s="788">
        <v>41849</v>
      </c>
      <c r="L3476" s="787">
        <v>1.43</v>
      </c>
      <c r="M3476" s="787">
        <v>10</v>
      </c>
      <c r="N3476" s="787">
        <v>1.43</v>
      </c>
      <c r="O3476" s="788">
        <v>42082</v>
      </c>
    </row>
    <row r="3477" spans="1:15" x14ac:dyDescent="0.25">
      <c r="A3477" s="786" t="s">
        <v>7078</v>
      </c>
      <c r="B3477" s="787">
        <v>4</v>
      </c>
      <c r="C3477" s="787" t="s">
        <v>7079</v>
      </c>
      <c r="D3477" s="787">
        <v>0</v>
      </c>
      <c r="E3477" s="787">
        <v>0</v>
      </c>
      <c r="H3477" s="787">
        <v>1</v>
      </c>
      <c r="K3477" s="788">
        <v>41849</v>
      </c>
      <c r="L3477" s="787">
        <v>5.18</v>
      </c>
      <c r="M3477" s="787">
        <v>10</v>
      </c>
      <c r="N3477" s="787">
        <v>5.2</v>
      </c>
      <c r="O3477" s="788">
        <v>42082</v>
      </c>
    </row>
    <row r="3478" spans="1:15" x14ac:dyDescent="0.25">
      <c r="A3478" s="786" t="s">
        <v>7080</v>
      </c>
      <c r="B3478" s="787">
        <v>4</v>
      </c>
      <c r="C3478" s="787" t="s">
        <v>7081</v>
      </c>
      <c r="D3478" s="787">
        <v>0</v>
      </c>
      <c r="E3478" s="787">
        <v>0</v>
      </c>
      <c r="H3478" s="787">
        <v>1</v>
      </c>
      <c r="K3478" s="788">
        <v>41849</v>
      </c>
      <c r="L3478" s="787">
        <v>1.53</v>
      </c>
      <c r="M3478" s="787">
        <v>10</v>
      </c>
      <c r="N3478" s="787">
        <v>1.54</v>
      </c>
      <c r="O3478" s="788">
        <v>42082</v>
      </c>
    </row>
    <row r="3479" spans="1:15" x14ac:dyDescent="0.25">
      <c r="A3479" s="786" t="s">
        <v>7082</v>
      </c>
      <c r="B3479" s="787">
        <v>4</v>
      </c>
      <c r="C3479" s="787" t="s">
        <v>7083</v>
      </c>
      <c r="D3479" s="787">
        <v>0</v>
      </c>
      <c r="E3479" s="787">
        <v>0</v>
      </c>
      <c r="H3479" s="787">
        <v>1</v>
      </c>
      <c r="K3479" s="788">
        <v>41849</v>
      </c>
      <c r="L3479" s="787">
        <v>1.47</v>
      </c>
      <c r="M3479" s="787">
        <v>10</v>
      </c>
      <c r="N3479" s="787">
        <v>1.47</v>
      </c>
      <c r="O3479" s="788">
        <v>42082</v>
      </c>
    </row>
    <row r="3480" spans="1:15" x14ac:dyDescent="0.25">
      <c r="A3480" s="786" t="s">
        <v>512</v>
      </c>
      <c r="B3480" s="787">
        <v>4</v>
      </c>
      <c r="C3480" s="787" t="s">
        <v>7084</v>
      </c>
      <c r="D3480" s="787">
        <v>5.75</v>
      </c>
      <c r="E3480" s="787">
        <v>5.75</v>
      </c>
      <c r="F3480" s="788">
        <v>42069</v>
      </c>
      <c r="G3480" s="788">
        <v>42152</v>
      </c>
      <c r="H3480" s="787">
        <v>1</v>
      </c>
      <c r="I3480" s="788">
        <v>42158</v>
      </c>
      <c r="J3480" s="788">
        <v>42152</v>
      </c>
      <c r="K3480" s="788">
        <v>41849</v>
      </c>
      <c r="L3480" s="787">
        <v>7.9</v>
      </c>
      <c r="M3480" s="787">
        <v>10</v>
      </c>
      <c r="N3480" s="787">
        <v>7.9</v>
      </c>
      <c r="O3480" s="788">
        <v>42082</v>
      </c>
    </row>
    <row r="3481" spans="1:15" x14ac:dyDescent="0.25">
      <c r="A3481" s="786" t="s">
        <v>514</v>
      </c>
      <c r="B3481" s="787">
        <v>4</v>
      </c>
      <c r="C3481" s="787" t="s">
        <v>7085</v>
      </c>
      <c r="D3481" s="787">
        <v>0</v>
      </c>
      <c r="E3481" s="787">
        <v>0</v>
      </c>
      <c r="G3481" s="788">
        <v>42152</v>
      </c>
      <c r="H3481" s="787">
        <v>1</v>
      </c>
      <c r="I3481" s="788">
        <v>42160</v>
      </c>
      <c r="J3481" s="788">
        <v>42152</v>
      </c>
      <c r="K3481" s="788">
        <v>41849</v>
      </c>
      <c r="L3481" s="787">
        <v>9.0299999999999994</v>
      </c>
      <c r="M3481" s="787">
        <v>10</v>
      </c>
      <c r="N3481" s="787">
        <v>9.02</v>
      </c>
      <c r="O3481" s="788">
        <v>42082</v>
      </c>
    </row>
    <row r="3482" spans="1:15" x14ac:dyDescent="0.25">
      <c r="A3482" s="786" t="s">
        <v>7086</v>
      </c>
      <c r="B3482" s="787">
        <v>4</v>
      </c>
      <c r="C3482" s="787" t="s">
        <v>7087</v>
      </c>
      <c r="D3482" s="787">
        <v>0</v>
      </c>
      <c r="E3482" s="787">
        <v>0</v>
      </c>
      <c r="H3482" s="787">
        <v>1</v>
      </c>
      <c r="K3482" s="788">
        <v>41849</v>
      </c>
      <c r="L3482" s="787">
        <v>2.23</v>
      </c>
      <c r="M3482" s="787">
        <v>10</v>
      </c>
      <c r="N3482" s="787">
        <v>2.2200000000000002</v>
      </c>
      <c r="O3482" s="788">
        <v>42082</v>
      </c>
    </row>
    <row r="3483" spans="1:15" x14ac:dyDescent="0.25">
      <c r="A3483" s="786" t="s">
        <v>7088</v>
      </c>
      <c r="B3483" s="787">
        <v>4</v>
      </c>
      <c r="C3483" s="787" t="s">
        <v>7089</v>
      </c>
      <c r="D3483" s="787">
        <v>0</v>
      </c>
      <c r="E3483" s="787">
        <v>0</v>
      </c>
      <c r="H3483" s="787">
        <v>1</v>
      </c>
      <c r="K3483" s="788">
        <v>41849</v>
      </c>
      <c r="L3483" s="787">
        <v>7.99</v>
      </c>
      <c r="M3483" s="787">
        <v>10</v>
      </c>
      <c r="N3483" s="787">
        <v>7.98</v>
      </c>
      <c r="O3483" s="788">
        <v>42082</v>
      </c>
    </row>
    <row r="3484" spans="1:15" x14ac:dyDescent="0.25">
      <c r="A3484" s="786" t="s">
        <v>7090</v>
      </c>
      <c r="B3484" s="787">
        <v>4</v>
      </c>
      <c r="C3484" s="787" t="s">
        <v>7091</v>
      </c>
      <c r="D3484" s="787">
        <v>3.81</v>
      </c>
      <c r="E3484" s="787">
        <v>3.81</v>
      </c>
      <c r="F3484" s="788">
        <v>42069</v>
      </c>
      <c r="G3484" s="788">
        <v>42069</v>
      </c>
      <c r="H3484" s="787">
        <v>1</v>
      </c>
      <c r="I3484" s="788">
        <v>42160</v>
      </c>
      <c r="J3484" s="788">
        <v>42040</v>
      </c>
      <c r="K3484" s="788">
        <v>41849</v>
      </c>
      <c r="L3484" s="787">
        <v>4.72</v>
      </c>
      <c r="M3484" s="787">
        <v>10</v>
      </c>
      <c r="N3484" s="787">
        <v>4.68</v>
      </c>
      <c r="O3484" s="788">
        <v>42082</v>
      </c>
    </row>
    <row r="3485" spans="1:15" x14ac:dyDescent="0.25">
      <c r="A3485" s="786" t="s">
        <v>7092</v>
      </c>
      <c r="B3485" s="787">
        <v>4</v>
      </c>
      <c r="C3485" s="787" t="s">
        <v>7093</v>
      </c>
      <c r="D3485" s="787">
        <v>0</v>
      </c>
      <c r="E3485" s="787">
        <v>0</v>
      </c>
      <c r="H3485" s="787">
        <v>1</v>
      </c>
      <c r="K3485" s="788">
        <v>41849</v>
      </c>
      <c r="L3485" s="787">
        <v>2.13</v>
      </c>
      <c r="M3485" s="787">
        <v>10</v>
      </c>
      <c r="N3485" s="787">
        <v>2.12</v>
      </c>
      <c r="O3485" s="788">
        <v>42082</v>
      </c>
    </row>
    <row r="3486" spans="1:15" x14ac:dyDescent="0.25">
      <c r="A3486" s="786" t="s">
        <v>7094</v>
      </c>
      <c r="B3486" s="787">
        <v>4</v>
      </c>
      <c r="C3486" s="787" t="s">
        <v>7095</v>
      </c>
      <c r="D3486" s="787">
        <v>6.36</v>
      </c>
      <c r="E3486" s="787">
        <v>6.36</v>
      </c>
      <c r="F3486" s="788">
        <v>42069</v>
      </c>
      <c r="G3486" s="788">
        <v>42069</v>
      </c>
      <c r="H3486" s="787">
        <v>1</v>
      </c>
      <c r="I3486" s="788">
        <v>42108</v>
      </c>
      <c r="J3486" s="788">
        <v>42044</v>
      </c>
      <c r="K3486" s="788">
        <v>41849</v>
      </c>
      <c r="L3486" s="787">
        <v>4.2</v>
      </c>
      <c r="M3486" s="787">
        <v>10</v>
      </c>
      <c r="N3486" s="787">
        <v>4.1399999999999997</v>
      </c>
      <c r="O3486" s="788">
        <v>42082</v>
      </c>
    </row>
    <row r="3487" spans="1:15" x14ac:dyDescent="0.25">
      <c r="A3487" s="786" t="s">
        <v>7096</v>
      </c>
      <c r="B3487" s="787">
        <v>4</v>
      </c>
      <c r="C3487" s="787" t="s">
        <v>7097</v>
      </c>
      <c r="D3487" s="787">
        <v>0</v>
      </c>
      <c r="E3487" s="787">
        <v>0</v>
      </c>
      <c r="G3487" s="788">
        <v>42152</v>
      </c>
      <c r="H3487" s="787">
        <v>1</v>
      </c>
      <c r="I3487" s="788">
        <v>42160</v>
      </c>
      <c r="J3487" s="788">
        <v>42152</v>
      </c>
      <c r="K3487" s="788">
        <v>42086</v>
      </c>
      <c r="L3487" s="787">
        <v>2.16</v>
      </c>
      <c r="M3487" s="787">
        <v>10</v>
      </c>
      <c r="N3487" s="787">
        <v>2.16</v>
      </c>
      <c r="O3487" s="788">
        <v>42086</v>
      </c>
    </row>
    <row r="3488" spans="1:15" x14ac:dyDescent="0.25">
      <c r="A3488" s="786" t="s">
        <v>7098</v>
      </c>
      <c r="B3488" s="787">
        <v>4</v>
      </c>
      <c r="C3488" s="787" t="s">
        <v>7099</v>
      </c>
      <c r="D3488" s="787">
        <v>0</v>
      </c>
      <c r="E3488" s="787">
        <v>0</v>
      </c>
      <c r="G3488" s="788">
        <v>42150</v>
      </c>
      <c r="H3488" s="787">
        <v>1</v>
      </c>
      <c r="J3488" s="788">
        <v>42150</v>
      </c>
      <c r="K3488" s="788">
        <v>42086</v>
      </c>
      <c r="L3488" s="787">
        <v>2.2200000000000002</v>
      </c>
      <c r="M3488" s="787">
        <v>10</v>
      </c>
      <c r="N3488" s="787">
        <v>2.2200000000000002</v>
      </c>
      <c r="O3488" s="788">
        <v>42086</v>
      </c>
    </row>
    <row r="3489" spans="1:15" x14ac:dyDescent="0.25">
      <c r="A3489" s="786" t="s">
        <v>7100</v>
      </c>
      <c r="B3489" s="787">
        <v>4</v>
      </c>
      <c r="C3489" s="787" t="s">
        <v>7101</v>
      </c>
      <c r="D3489" s="787">
        <v>0</v>
      </c>
      <c r="E3489" s="787">
        <v>0</v>
      </c>
      <c r="H3489" s="787">
        <v>1</v>
      </c>
      <c r="K3489" s="788">
        <v>41908</v>
      </c>
      <c r="L3489" s="787">
        <v>3.96</v>
      </c>
      <c r="M3489" s="787">
        <v>10</v>
      </c>
      <c r="N3489" s="787">
        <v>3.96</v>
      </c>
      <c r="O3489" s="788">
        <v>42082</v>
      </c>
    </row>
    <row r="3490" spans="1:15" x14ac:dyDescent="0.25">
      <c r="A3490" s="786" t="s">
        <v>7102</v>
      </c>
      <c r="B3490" s="787">
        <v>4</v>
      </c>
      <c r="C3490" s="787" t="s">
        <v>7101</v>
      </c>
      <c r="D3490" s="787">
        <v>0</v>
      </c>
      <c r="E3490" s="787">
        <v>0</v>
      </c>
      <c r="H3490" s="787">
        <v>1</v>
      </c>
      <c r="K3490" s="788">
        <v>41908</v>
      </c>
      <c r="L3490" s="787">
        <v>3.96</v>
      </c>
      <c r="M3490" s="787">
        <v>10</v>
      </c>
      <c r="N3490" s="787">
        <v>3.96</v>
      </c>
      <c r="O3490" s="788">
        <v>42082</v>
      </c>
    </row>
    <row r="3491" spans="1:15" x14ac:dyDescent="0.25">
      <c r="A3491" s="786" t="s">
        <v>7103</v>
      </c>
      <c r="B3491" s="787">
        <v>4</v>
      </c>
      <c r="C3491" s="787" t="s">
        <v>7104</v>
      </c>
      <c r="D3491" s="787">
        <v>0</v>
      </c>
      <c r="E3491" s="787">
        <v>0</v>
      </c>
      <c r="H3491" s="787">
        <v>1</v>
      </c>
      <c r="K3491" s="788">
        <v>41908</v>
      </c>
      <c r="L3491" s="787">
        <v>14.39</v>
      </c>
      <c r="M3491" s="787">
        <v>10</v>
      </c>
      <c r="N3491" s="787">
        <v>14.39</v>
      </c>
      <c r="O3491" s="788">
        <v>42082</v>
      </c>
    </row>
    <row r="3492" spans="1:15" x14ac:dyDescent="0.25">
      <c r="A3492" s="786" t="s">
        <v>7105</v>
      </c>
      <c r="B3492" s="787">
        <v>4</v>
      </c>
      <c r="C3492" s="787" t="s">
        <v>7106</v>
      </c>
      <c r="D3492" s="787">
        <v>0</v>
      </c>
      <c r="E3492" s="787">
        <v>0</v>
      </c>
      <c r="H3492" s="787">
        <v>1</v>
      </c>
      <c r="K3492" s="788">
        <v>41908</v>
      </c>
      <c r="L3492" s="787">
        <v>14.39</v>
      </c>
      <c r="M3492" s="787">
        <v>10</v>
      </c>
      <c r="N3492" s="787">
        <v>14.39</v>
      </c>
      <c r="O3492" s="788">
        <v>42082</v>
      </c>
    </row>
    <row r="3493" spans="1:15" x14ac:dyDescent="0.25">
      <c r="A3493" s="786" t="s">
        <v>7107</v>
      </c>
      <c r="B3493" s="787">
        <v>4</v>
      </c>
      <c r="C3493" s="787" t="s">
        <v>7108</v>
      </c>
      <c r="D3493" s="787">
        <v>0</v>
      </c>
      <c r="E3493" s="787">
        <v>0</v>
      </c>
      <c r="H3493" s="787">
        <v>1</v>
      </c>
      <c r="K3493" s="788">
        <v>41911</v>
      </c>
      <c r="L3493" s="787">
        <v>10.35</v>
      </c>
      <c r="M3493" s="787">
        <v>10</v>
      </c>
      <c r="N3493" s="787">
        <v>10.35</v>
      </c>
      <c r="O3493" s="788">
        <v>42082</v>
      </c>
    </row>
    <row r="3494" spans="1:15" x14ac:dyDescent="0.25">
      <c r="A3494" s="786" t="s">
        <v>7109</v>
      </c>
      <c r="B3494" s="787">
        <v>4</v>
      </c>
      <c r="C3494" s="787" t="s">
        <v>7110</v>
      </c>
      <c r="D3494" s="787">
        <v>0</v>
      </c>
      <c r="E3494" s="787">
        <v>0</v>
      </c>
      <c r="H3494" s="787">
        <v>1</v>
      </c>
      <c r="K3494" s="788">
        <v>41911</v>
      </c>
      <c r="L3494" s="787">
        <v>8.98</v>
      </c>
      <c r="M3494" s="787">
        <v>10</v>
      </c>
      <c r="N3494" s="787">
        <v>8.98</v>
      </c>
      <c r="O3494" s="788">
        <v>42082</v>
      </c>
    </row>
    <row r="3495" spans="1:15" x14ac:dyDescent="0.25">
      <c r="A3495" s="786" t="s">
        <v>7111</v>
      </c>
      <c r="B3495" s="787">
        <v>4</v>
      </c>
      <c r="C3495" s="787" t="s">
        <v>7112</v>
      </c>
      <c r="D3495" s="787">
        <v>0</v>
      </c>
      <c r="E3495" s="787">
        <v>0</v>
      </c>
      <c r="H3495" s="787">
        <v>1</v>
      </c>
      <c r="K3495" s="788">
        <v>41911</v>
      </c>
      <c r="L3495" s="787">
        <v>7.64</v>
      </c>
      <c r="M3495" s="787">
        <v>10</v>
      </c>
      <c r="N3495" s="787">
        <v>7.64</v>
      </c>
      <c r="O3495" s="788">
        <v>42082</v>
      </c>
    </row>
    <row r="3496" spans="1:15" x14ac:dyDescent="0.25">
      <c r="A3496" s="786" t="s">
        <v>807</v>
      </c>
      <c r="B3496" s="787">
        <v>4</v>
      </c>
      <c r="C3496" s="787" t="s">
        <v>7113</v>
      </c>
      <c r="D3496" s="787">
        <v>0</v>
      </c>
      <c r="E3496" s="787">
        <v>0</v>
      </c>
      <c r="H3496" s="787">
        <v>1</v>
      </c>
      <c r="K3496" s="788">
        <v>41911</v>
      </c>
      <c r="L3496" s="787">
        <v>3.7</v>
      </c>
      <c r="M3496" s="787">
        <v>10</v>
      </c>
      <c r="N3496" s="787">
        <v>3.7</v>
      </c>
      <c r="O3496" s="788">
        <v>42082</v>
      </c>
    </row>
    <row r="3497" spans="1:15" x14ac:dyDescent="0.25">
      <c r="A3497" s="786" t="s">
        <v>809</v>
      </c>
      <c r="B3497" s="787">
        <v>4</v>
      </c>
      <c r="C3497" s="787" t="s">
        <v>7114</v>
      </c>
      <c r="D3497" s="787">
        <v>0</v>
      </c>
      <c r="E3497" s="787">
        <v>0</v>
      </c>
      <c r="H3497" s="787">
        <v>1</v>
      </c>
      <c r="K3497" s="788">
        <v>41911</v>
      </c>
      <c r="L3497" s="787">
        <v>3.7</v>
      </c>
      <c r="M3497" s="787">
        <v>10</v>
      </c>
      <c r="N3497" s="787">
        <v>3.7</v>
      </c>
      <c r="O3497" s="788">
        <v>42082</v>
      </c>
    </row>
    <row r="3498" spans="1:15" x14ac:dyDescent="0.25">
      <c r="A3498" s="786" t="s">
        <v>811</v>
      </c>
      <c r="B3498" s="787">
        <v>4</v>
      </c>
      <c r="C3498" s="787" t="s">
        <v>7115</v>
      </c>
      <c r="D3498" s="787">
        <v>0</v>
      </c>
      <c r="E3498" s="787">
        <v>0</v>
      </c>
      <c r="H3498" s="787">
        <v>1</v>
      </c>
      <c r="K3498" s="788">
        <v>41911</v>
      </c>
      <c r="L3498" s="787">
        <v>2.62</v>
      </c>
      <c r="M3498" s="787">
        <v>10</v>
      </c>
      <c r="N3498" s="787">
        <v>2.62</v>
      </c>
      <c r="O3498" s="788">
        <v>42082</v>
      </c>
    </row>
    <row r="3499" spans="1:15" x14ac:dyDescent="0.25">
      <c r="A3499" s="786" t="s">
        <v>813</v>
      </c>
      <c r="B3499" s="787">
        <v>4</v>
      </c>
      <c r="C3499" s="787" t="s">
        <v>7116</v>
      </c>
      <c r="D3499" s="787">
        <v>0</v>
      </c>
      <c r="E3499" s="787">
        <v>0</v>
      </c>
      <c r="H3499" s="787">
        <v>1</v>
      </c>
      <c r="K3499" s="788">
        <v>41911</v>
      </c>
      <c r="L3499" s="787">
        <v>2.62</v>
      </c>
      <c r="M3499" s="787">
        <v>10</v>
      </c>
      <c r="N3499" s="787">
        <v>2.62</v>
      </c>
      <c r="O3499" s="788">
        <v>42082</v>
      </c>
    </row>
    <row r="3500" spans="1:15" x14ac:dyDescent="0.25">
      <c r="A3500" s="786" t="s">
        <v>7117</v>
      </c>
      <c r="B3500" s="787">
        <v>4</v>
      </c>
      <c r="C3500" s="787" t="s">
        <v>7118</v>
      </c>
      <c r="D3500" s="787">
        <v>0</v>
      </c>
      <c r="E3500" s="787">
        <v>0</v>
      </c>
      <c r="H3500" s="787">
        <v>1</v>
      </c>
      <c r="K3500" s="788">
        <v>41904</v>
      </c>
      <c r="L3500" s="787">
        <v>0.85</v>
      </c>
      <c r="M3500" s="787">
        <v>10</v>
      </c>
      <c r="N3500" s="787">
        <v>0.85</v>
      </c>
      <c r="O3500" s="788">
        <v>42082</v>
      </c>
    </row>
    <row r="3501" spans="1:15" x14ac:dyDescent="0.25">
      <c r="A3501" s="786" t="s">
        <v>7119</v>
      </c>
      <c r="B3501" s="787">
        <v>4</v>
      </c>
      <c r="C3501" s="787" t="s">
        <v>7120</v>
      </c>
      <c r="D3501" s="787">
        <v>0</v>
      </c>
      <c r="E3501" s="787">
        <v>0</v>
      </c>
      <c r="H3501" s="787">
        <v>1</v>
      </c>
      <c r="K3501" s="788">
        <v>41904</v>
      </c>
      <c r="L3501" s="787">
        <v>0.44</v>
      </c>
      <c r="M3501" s="787">
        <v>10</v>
      </c>
      <c r="N3501" s="787">
        <v>0.44</v>
      </c>
      <c r="O3501" s="788">
        <v>42082</v>
      </c>
    </row>
    <row r="3502" spans="1:15" x14ac:dyDescent="0.25">
      <c r="A3502" s="786" t="s">
        <v>7121</v>
      </c>
      <c r="B3502" s="787">
        <v>4</v>
      </c>
      <c r="C3502" s="787" t="s">
        <v>7122</v>
      </c>
      <c r="D3502" s="787">
        <v>0</v>
      </c>
      <c r="E3502" s="787">
        <v>0</v>
      </c>
      <c r="H3502" s="787">
        <v>1</v>
      </c>
      <c r="K3502" s="788">
        <v>41904</v>
      </c>
      <c r="L3502" s="787">
        <v>0.63</v>
      </c>
      <c r="M3502" s="787">
        <v>10</v>
      </c>
      <c r="N3502" s="787">
        <v>0.63</v>
      </c>
      <c r="O3502" s="788">
        <v>42082</v>
      </c>
    </row>
    <row r="3503" spans="1:15" x14ac:dyDescent="0.25">
      <c r="A3503" s="786" t="s">
        <v>7123</v>
      </c>
      <c r="B3503" s="787">
        <v>4</v>
      </c>
      <c r="C3503" s="787" t="s">
        <v>7124</v>
      </c>
      <c r="D3503" s="787">
        <v>0</v>
      </c>
      <c r="E3503" s="787">
        <v>0</v>
      </c>
      <c r="H3503" s="787">
        <v>1</v>
      </c>
      <c r="K3503" s="788">
        <v>41904</v>
      </c>
      <c r="L3503" s="787">
        <v>1.27</v>
      </c>
      <c r="M3503" s="787">
        <v>10</v>
      </c>
      <c r="N3503" s="787">
        <v>1.27</v>
      </c>
      <c r="O3503" s="788">
        <v>42082</v>
      </c>
    </row>
    <row r="3504" spans="1:15" x14ac:dyDescent="0.25">
      <c r="A3504" s="786" t="s">
        <v>7125</v>
      </c>
      <c r="B3504" s="787">
        <v>4</v>
      </c>
      <c r="C3504" s="787" t="s">
        <v>7126</v>
      </c>
      <c r="D3504" s="787">
        <v>6.71</v>
      </c>
      <c r="E3504" s="787">
        <v>873.92</v>
      </c>
      <c r="F3504" s="788">
        <v>42122</v>
      </c>
      <c r="G3504" s="788">
        <v>42165</v>
      </c>
      <c r="H3504" s="787">
        <v>1</v>
      </c>
      <c r="I3504" s="788">
        <v>42136</v>
      </c>
      <c r="J3504" s="788">
        <v>42165</v>
      </c>
      <c r="K3504" s="788">
        <v>42061</v>
      </c>
      <c r="L3504" s="787">
        <v>657.83</v>
      </c>
      <c r="M3504" s="787">
        <v>10</v>
      </c>
      <c r="N3504" s="787">
        <v>658.02</v>
      </c>
      <c r="O3504" s="788">
        <v>42082</v>
      </c>
    </row>
    <row r="3505" spans="1:15" x14ac:dyDescent="0.25">
      <c r="A3505" s="786" t="s">
        <v>7127</v>
      </c>
      <c r="B3505" s="787">
        <v>4</v>
      </c>
      <c r="C3505" s="787" t="s">
        <v>7128</v>
      </c>
      <c r="D3505" s="787">
        <v>9.0399999999999991</v>
      </c>
      <c r="E3505" s="787">
        <v>19.04</v>
      </c>
      <c r="F3505" s="788">
        <v>42118</v>
      </c>
      <c r="G3505" s="788">
        <v>42166</v>
      </c>
      <c r="H3505" s="787">
        <v>1</v>
      </c>
      <c r="I3505" s="788">
        <v>42166</v>
      </c>
      <c r="J3505" s="788">
        <v>42166</v>
      </c>
      <c r="K3505" s="788">
        <v>42060</v>
      </c>
      <c r="L3505" s="787">
        <v>9.56</v>
      </c>
      <c r="M3505" s="787">
        <v>10</v>
      </c>
      <c r="N3505" s="787">
        <v>9.56</v>
      </c>
      <c r="O3505" s="788">
        <v>42076</v>
      </c>
    </row>
    <row r="3506" spans="1:15" x14ac:dyDescent="0.25">
      <c r="A3506" s="786" t="s">
        <v>7129</v>
      </c>
      <c r="B3506" s="787">
        <v>4</v>
      </c>
      <c r="C3506" s="787" t="s">
        <v>7130</v>
      </c>
      <c r="D3506" s="787">
        <v>1.1100000000000001</v>
      </c>
      <c r="E3506" s="787">
        <v>48.01</v>
      </c>
      <c r="F3506" s="788">
        <v>42128</v>
      </c>
      <c r="G3506" s="788">
        <v>42158</v>
      </c>
      <c r="H3506" s="787">
        <v>1</v>
      </c>
      <c r="I3506" s="788">
        <v>42166</v>
      </c>
      <c r="J3506" s="788">
        <v>42158</v>
      </c>
      <c r="K3506" s="788">
        <v>42060</v>
      </c>
      <c r="L3506" s="787">
        <v>6.24</v>
      </c>
      <c r="M3506" s="787">
        <v>10</v>
      </c>
      <c r="N3506" s="787">
        <v>6.24</v>
      </c>
      <c r="O3506" s="788">
        <v>42076</v>
      </c>
    </row>
    <row r="3507" spans="1:15" x14ac:dyDescent="0.25">
      <c r="A3507" s="786" t="s">
        <v>7131</v>
      </c>
      <c r="B3507" s="787">
        <v>4</v>
      </c>
      <c r="C3507" s="787" t="s">
        <v>7132</v>
      </c>
      <c r="D3507" s="787">
        <v>7.97</v>
      </c>
      <c r="E3507" s="787">
        <v>7.97</v>
      </c>
      <c r="F3507" s="788">
        <v>42118</v>
      </c>
      <c r="G3507" s="788">
        <v>42145</v>
      </c>
      <c r="H3507" s="787">
        <v>1</v>
      </c>
      <c r="I3507" s="788">
        <v>42159</v>
      </c>
      <c r="J3507" s="788">
        <v>42163</v>
      </c>
      <c r="K3507" s="788">
        <v>42060</v>
      </c>
      <c r="L3507" s="787">
        <v>4.29</v>
      </c>
      <c r="M3507" s="787">
        <v>10</v>
      </c>
      <c r="N3507" s="787">
        <v>4.29</v>
      </c>
      <c r="O3507" s="788">
        <v>42076</v>
      </c>
    </row>
    <row r="3508" spans="1:15" x14ac:dyDescent="0.25">
      <c r="A3508" s="786" t="s">
        <v>7133</v>
      </c>
      <c r="B3508" s="787">
        <v>4</v>
      </c>
      <c r="C3508" s="787" t="s">
        <v>7134</v>
      </c>
      <c r="D3508" s="787">
        <v>5.54</v>
      </c>
      <c r="E3508" s="787">
        <v>5.54</v>
      </c>
      <c r="F3508" s="788">
        <v>42124</v>
      </c>
      <c r="G3508" s="788">
        <v>42145</v>
      </c>
      <c r="H3508" s="787">
        <v>1</v>
      </c>
      <c r="I3508" s="788">
        <v>42166</v>
      </c>
      <c r="J3508" s="788">
        <v>42145</v>
      </c>
      <c r="K3508" s="788">
        <v>42061</v>
      </c>
      <c r="L3508" s="787">
        <v>3.24</v>
      </c>
      <c r="M3508" s="787">
        <v>10</v>
      </c>
      <c r="N3508" s="787">
        <v>3.24</v>
      </c>
      <c r="O3508" s="788">
        <v>42076</v>
      </c>
    </row>
    <row r="3509" spans="1:15" x14ac:dyDescent="0.25">
      <c r="A3509" s="786" t="s">
        <v>7135</v>
      </c>
      <c r="B3509" s="787">
        <v>4</v>
      </c>
      <c r="C3509" s="787" t="s">
        <v>7136</v>
      </c>
      <c r="D3509" s="787">
        <v>0</v>
      </c>
      <c r="E3509" s="787">
        <v>0</v>
      </c>
      <c r="H3509" s="787">
        <v>1</v>
      </c>
      <c r="I3509" s="788">
        <v>42068</v>
      </c>
      <c r="K3509" s="788">
        <v>42060</v>
      </c>
      <c r="L3509" s="787">
        <v>13.47</v>
      </c>
      <c r="M3509" s="787">
        <v>10</v>
      </c>
      <c r="N3509" s="787">
        <v>13.47</v>
      </c>
      <c r="O3509" s="788">
        <v>42082</v>
      </c>
    </row>
    <row r="3510" spans="1:15" x14ac:dyDescent="0.25">
      <c r="A3510" s="786" t="s">
        <v>799</v>
      </c>
      <c r="B3510" s="787">
        <v>4</v>
      </c>
      <c r="C3510" s="787" t="s">
        <v>7137</v>
      </c>
      <c r="D3510" s="787">
        <v>0</v>
      </c>
      <c r="E3510" s="787">
        <v>0</v>
      </c>
      <c r="G3510" s="788">
        <v>42152</v>
      </c>
      <c r="H3510" s="787">
        <v>1</v>
      </c>
      <c r="J3510" s="788">
        <v>42152</v>
      </c>
      <c r="K3510" s="788">
        <v>42060</v>
      </c>
      <c r="L3510" s="787">
        <v>6.76</v>
      </c>
      <c r="M3510" s="787">
        <v>10</v>
      </c>
      <c r="N3510" s="787">
        <v>5.92</v>
      </c>
      <c r="O3510" s="788">
        <v>42082</v>
      </c>
    </row>
    <row r="3511" spans="1:15" x14ac:dyDescent="0.25">
      <c r="A3511" s="786" t="s">
        <v>7138</v>
      </c>
      <c r="B3511" s="787">
        <v>4</v>
      </c>
      <c r="C3511" s="787" t="s">
        <v>7139</v>
      </c>
      <c r="D3511" s="787">
        <v>3.35</v>
      </c>
      <c r="E3511" s="787">
        <v>3.35</v>
      </c>
      <c r="F3511" s="788">
        <v>42116</v>
      </c>
      <c r="G3511" s="788">
        <v>42143</v>
      </c>
      <c r="H3511" s="787">
        <v>1</v>
      </c>
      <c r="I3511" s="788">
        <v>42164</v>
      </c>
      <c r="J3511" s="788">
        <v>42143</v>
      </c>
      <c r="K3511" s="788">
        <v>42065</v>
      </c>
      <c r="L3511" s="787">
        <v>2.9</v>
      </c>
      <c r="M3511" s="787">
        <v>10</v>
      </c>
      <c r="N3511" s="787">
        <v>2.9</v>
      </c>
      <c r="O3511" s="788">
        <v>42144</v>
      </c>
    </row>
    <row r="3512" spans="1:15" x14ac:dyDescent="0.25">
      <c r="A3512" s="786" t="s">
        <v>7140</v>
      </c>
      <c r="B3512" s="787">
        <v>4</v>
      </c>
      <c r="C3512" s="787" t="s">
        <v>7141</v>
      </c>
      <c r="D3512" s="787">
        <v>9.14</v>
      </c>
      <c r="E3512" s="787">
        <v>19.14</v>
      </c>
      <c r="F3512" s="788">
        <v>42116</v>
      </c>
      <c r="G3512" s="788">
        <v>42145</v>
      </c>
      <c r="H3512" s="787">
        <v>1</v>
      </c>
      <c r="I3512" s="788">
        <v>42164</v>
      </c>
      <c r="J3512" s="788">
        <v>42145</v>
      </c>
      <c r="K3512" s="788">
        <v>42065</v>
      </c>
      <c r="L3512" s="787">
        <v>6.99</v>
      </c>
      <c r="M3512" s="787">
        <v>10</v>
      </c>
      <c r="N3512" s="787">
        <v>6.99</v>
      </c>
      <c r="O3512" s="788">
        <v>42144</v>
      </c>
    </row>
    <row r="3513" spans="1:15" x14ac:dyDescent="0.25">
      <c r="A3513" s="786" t="s">
        <v>7142</v>
      </c>
      <c r="B3513" s="787">
        <v>4</v>
      </c>
      <c r="C3513" s="787" t="s">
        <v>7143</v>
      </c>
      <c r="D3513" s="787">
        <v>0.64</v>
      </c>
      <c r="E3513" s="787">
        <v>0.64</v>
      </c>
      <c r="F3513" s="788">
        <v>42116</v>
      </c>
      <c r="G3513" s="788">
        <v>42145</v>
      </c>
      <c r="H3513" s="787">
        <v>1</v>
      </c>
      <c r="I3513" s="788">
        <v>42164</v>
      </c>
      <c r="J3513" s="788">
        <v>42145</v>
      </c>
      <c r="K3513" s="788">
        <v>42065</v>
      </c>
      <c r="L3513" s="787">
        <v>2.2999999999999998</v>
      </c>
      <c r="M3513" s="787">
        <v>10</v>
      </c>
      <c r="N3513" s="787">
        <v>2.2999999999999998</v>
      </c>
      <c r="O3513" s="788">
        <v>42065</v>
      </c>
    </row>
    <row r="3514" spans="1:15" x14ac:dyDescent="0.25">
      <c r="A3514" s="786" t="s">
        <v>822</v>
      </c>
      <c r="B3514" s="787">
        <v>4</v>
      </c>
      <c r="C3514" s="787" t="s">
        <v>7144</v>
      </c>
      <c r="D3514" s="787">
        <v>5.92</v>
      </c>
      <c r="E3514" s="787">
        <v>45.92</v>
      </c>
      <c r="F3514" s="788">
        <v>42118</v>
      </c>
      <c r="G3514" s="788">
        <v>42160</v>
      </c>
      <c r="H3514" s="787">
        <v>1</v>
      </c>
      <c r="I3514" s="788">
        <v>42166</v>
      </c>
      <c r="J3514" s="788">
        <v>42160</v>
      </c>
      <c r="K3514" s="788">
        <v>42065</v>
      </c>
      <c r="L3514" s="787">
        <v>44.48</v>
      </c>
      <c r="M3514" s="787">
        <v>10</v>
      </c>
      <c r="N3514" s="787">
        <v>39.86</v>
      </c>
      <c r="O3514" s="788">
        <v>42082</v>
      </c>
    </row>
    <row r="3515" spans="1:15" x14ac:dyDescent="0.25">
      <c r="A3515" s="786" t="s">
        <v>7145</v>
      </c>
      <c r="B3515" s="787">
        <v>4</v>
      </c>
      <c r="C3515" s="787" t="s">
        <v>7146</v>
      </c>
      <c r="D3515" s="787">
        <v>1.22</v>
      </c>
      <c r="E3515" s="787">
        <v>11.22</v>
      </c>
      <c r="F3515" s="788">
        <v>42118</v>
      </c>
      <c r="G3515" s="788">
        <v>42152</v>
      </c>
      <c r="H3515" s="787">
        <v>1</v>
      </c>
      <c r="I3515" s="788">
        <v>42166</v>
      </c>
      <c r="J3515" s="788">
        <v>42152</v>
      </c>
      <c r="K3515" s="788">
        <v>42065</v>
      </c>
      <c r="L3515" s="787">
        <v>4.33</v>
      </c>
      <c r="M3515" s="787">
        <v>10</v>
      </c>
      <c r="N3515" s="787">
        <v>4.33</v>
      </c>
      <c r="O3515" s="788">
        <v>42082</v>
      </c>
    </row>
    <row r="3516" spans="1:15" x14ac:dyDescent="0.25">
      <c r="A3516" s="786" t="s">
        <v>800</v>
      </c>
      <c r="B3516" s="787">
        <v>4</v>
      </c>
      <c r="C3516" s="787" t="s">
        <v>7147</v>
      </c>
      <c r="D3516" s="787">
        <v>2.19</v>
      </c>
      <c r="E3516" s="787">
        <v>2.19</v>
      </c>
      <c r="F3516" s="788">
        <v>42118</v>
      </c>
      <c r="G3516" s="788">
        <v>42118</v>
      </c>
      <c r="H3516" s="787">
        <v>1</v>
      </c>
      <c r="I3516" s="788">
        <v>42166</v>
      </c>
      <c r="J3516" s="788">
        <v>42090</v>
      </c>
      <c r="K3516" s="788">
        <v>42065</v>
      </c>
      <c r="L3516" s="787">
        <v>2.97</v>
      </c>
      <c r="M3516" s="787">
        <v>10</v>
      </c>
      <c r="N3516" s="787">
        <v>2.97</v>
      </c>
      <c r="O3516" s="788">
        <v>42082</v>
      </c>
    </row>
    <row r="3517" spans="1:15" x14ac:dyDescent="0.25">
      <c r="A3517" s="786" t="s">
        <v>7148</v>
      </c>
      <c r="B3517" s="787">
        <v>4</v>
      </c>
      <c r="C3517" s="787" t="s">
        <v>7149</v>
      </c>
      <c r="D3517" s="787">
        <v>1.71</v>
      </c>
      <c r="E3517" s="787">
        <v>41.71</v>
      </c>
      <c r="F3517" s="788">
        <v>42124</v>
      </c>
      <c r="G3517" s="788">
        <v>42164</v>
      </c>
      <c r="H3517" s="787">
        <v>1</v>
      </c>
      <c r="I3517" s="788">
        <v>42164</v>
      </c>
      <c r="J3517" s="788">
        <v>42164</v>
      </c>
      <c r="K3517" s="788">
        <v>42069</v>
      </c>
      <c r="L3517" s="787">
        <v>21.55</v>
      </c>
      <c r="M3517" s="787">
        <v>10</v>
      </c>
      <c r="N3517" s="787">
        <v>21.55</v>
      </c>
      <c r="O3517" s="788">
        <v>42162</v>
      </c>
    </row>
    <row r="3518" spans="1:15" x14ac:dyDescent="0.25">
      <c r="A3518" s="786" t="s">
        <v>825</v>
      </c>
      <c r="B3518" s="787">
        <v>4</v>
      </c>
      <c r="C3518" s="787" t="s">
        <v>7150</v>
      </c>
      <c r="D3518" s="787">
        <v>4.45</v>
      </c>
      <c r="E3518" s="787">
        <v>84.45</v>
      </c>
      <c r="F3518" s="788">
        <v>42118</v>
      </c>
      <c r="G3518" s="788">
        <v>42164</v>
      </c>
      <c r="H3518" s="787">
        <v>1</v>
      </c>
      <c r="I3518" s="788">
        <v>42166</v>
      </c>
      <c r="J3518" s="788">
        <v>42164</v>
      </c>
      <c r="K3518" s="788">
        <v>42069</v>
      </c>
      <c r="L3518" s="787">
        <v>59.31</v>
      </c>
      <c r="M3518" s="787">
        <v>10</v>
      </c>
      <c r="N3518" s="787">
        <v>67.010000000000005</v>
      </c>
      <c r="O3518" s="788">
        <v>42162</v>
      </c>
    </row>
    <row r="3519" spans="1:15" x14ac:dyDescent="0.25">
      <c r="A3519" s="786" t="s">
        <v>747</v>
      </c>
      <c r="B3519" s="787">
        <v>4</v>
      </c>
      <c r="C3519" s="787" t="s">
        <v>7151</v>
      </c>
      <c r="D3519" s="787">
        <v>0</v>
      </c>
      <c r="E3519" s="787">
        <v>0</v>
      </c>
      <c r="H3519" s="787">
        <v>1</v>
      </c>
      <c r="K3519" s="788">
        <v>42086</v>
      </c>
      <c r="L3519" s="787">
        <v>5.05</v>
      </c>
      <c r="M3519" s="787">
        <v>10</v>
      </c>
      <c r="N3519" s="787">
        <v>5.05</v>
      </c>
      <c r="O3519" s="788">
        <v>42086</v>
      </c>
    </row>
    <row r="3520" spans="1:15" x14ac:dyDescent="0.25">
      <c r="A3520" s="786" t="s">
        <v>748</v>
      </c>
      <c r="B3520" s="787">
        <v>4</v>
      </c>
      <c r="C3520" s="787" t="s">
        <v>7152</v>
      </c>
      <c r="D3520" s="787">
        <v>0</v>
      </c>
      <c r="E3520" s="787">
        <v>0</v>
      </c>
      <c r="H3520" s="787">
        <v>1</v>
      </c>
      <c r="K3520" s="788">
        <v>42086</v>
      </c>
      <c r="L3520" s="787">
        <v>6.01</v>
      </c>
      <c r="M3520" s="787">
        <v>10</v>
      </c>
      <c r="N3520" s="787">
        <v>6.01</v>
      </c>
      <c r="O3520" s="788">
        <v>42086</v>
      </c>
    </row>
    <row r="3521" spans="1:15" x14ac:dyDescent="0.25">
      <c r="A3521" s="786" t="s">
        <v>749</v>
      </c>
      <c r="B3521" s="787">
        <v>4</v>
      </c>
      <c r="C3521" s="787" t="s">
        <v>7153</v>
      </c>
      <c r="D3521" s="787">
        <v>0</v>
      </c>
      <c r="E3521" s="787">
        <v>0</v>
      </c>
      <c r="H3521" s="787">
        <v>1</v>
      </c>
      <c r="K3521" s="788">
        <v>42086</v>
      </c>
      <c r="L3521" s="787">
        <v>6.97</v>
      </c>
      <c r="M3521" s="787">
        <v>10</v>
      </c>
      <c r="N3521" s="787">
        <v>6.97</v>
      </c>
      <c r="O3521" s="788">
        <v>42086</v>
      </c>
    </row>
    <row r="3522" spans="1:15" x14ac:dyDescent="0.25">
      <c r="A3522" s="786" t="s">
        <v>750</v>
      </c>
      <c r="B3522" s="787">
        <v>4</v>
      </c>
      <c r="C3522" s="787" t="s">
        <v>7154</v>
      </c>
      <c r="D3522" s="787">
        <v>0</v>
      </c>
      <c r="E3522" s="787">
        <v>0</v>
      </c>
      <c r="H3522" s="787">
        <v>1</v>
      </c>
      <c r="K3522" s="788">
        <v>42086</v>
      </c>
      <c r="L3522" s="787">
        <v>7.93</v>
      </c>
      <c r="M3522" s="787">
        <v>10</v>
      </c>
      <c r="N3522" s="787">
        <v>7.93</v>
      </c>
      <c r="O3522" s="788">
        <v>42086</v>
      </c>
    </row>
    <row r="3523" spans="1:15" x14ac:dyDescent="0.25">
      <c r="A3523" s="786" t="s">
        <v>751</v>
      </c>
      <c r="B3523" s="787">
        <v>4</v>
      </c>
      <c r="C3523" s="787" t="s">
        <v>7155</v>
      </c>
      <c r="D3523" s="787">
        <v>0</v>
      </c>
      <c r="E3523" s="787">
        <v>0</v>
      </c>
      <c r="H3523" s="787">
        <v>1</v>
      </c>
      <c r="K3523" s="788">
        <v>42086</v>
      </c>
      <c r="L3523" s="787">
        <v>8.8800000000000008</v>
      </c>
      <c r="M3523" s="787">
        <v>10</v>
      </c>
      <c r="N3523" s="787">
        <v>8.8800000000000008</v>
      </c>
      <c r="O3523" s="788">
        <v>42086</v>
      </c>
    </row>
    <row r="3524" spans="1:15" x14ac:dyDescent="0.25">
      <c r="A3524" s="786" t="s">
        <v>752</v>
      </c>
      <c r="B3524" s="787">
        <v>4</v>
      </c>
      <c r="C3524" s="787" t="s">
        <v>7156</v>
      </c>
      <c r="D3524" s="787">
        <v>0</v>
      </c>
      <c r="E3524" s="787">
        <v>0</v>
      </c>
      <c r="H3524" s="787">
        <v>1</v>
      </c>
      <c r="K3524" s="788">
        <v>42086</v>
      </c>
      <c r="L3524" s="787">
        <v>9.84</v>
      </c>
      <c r="M3524" s="787">
        <v>10</v>
      </c>
      <c r="N3524" s="787">
        <v>9.84</v>
      </c>
      <c r="O3524" s="788">
        <v>42086</v>
      </c>
    </row>
    <row r="3525" spans="1:15" x14ac:dyDescent="0.25">
      <c r="A3525" s="786" t="s">
        <v>753</v>
      </c>
      <c r="B3525" s="787">
        <v>4</v>
      </c>
      <c r="C3525" s="787" t="s">
        <v>7157</v>
      </c>
      <c r="D3525" s="787">
        <v>0</v>
      </c>
      <c r="E3525" s="787">
        <v>0</v>
      </c>
      <c r="H3525" s="787">
        <v>1</v>
      </c>
      <c r="K3525" s="788">
        <v>42086</v>
      </c>
      <c r="L3525" s="787">
        <v>10.8</v>
      </c>
      <c r="M3525" s="787">
        <v>10</v>
      </c>
      <c r="N3525" s="787">
        <v>10.8</v>
      </c>
      <c r="O3525" s="788">
        <v>42086</v>
      </c>
    </row>
    <row r="3526" spans="1:15" x14ac:dyDescent="0.25">
      <c r="A3526" s="786" t="s">
        <v>754</v>
      </c>
      <c r="B3526" s="787">
        <v>4</v>
      </c>
      <c r="C3526" s="787" t="s">
        <v>7158</v>
      </c>
      <c r="D3526" s="787">
        <v>0</v>
      </c>
      <c r="E3526" s="787">
        <v>0</v>
      </c>
      <c r="H3526" s="787">
        <v>1</v>
      </c>
      <c r="K3526" s="788">
        <v>42086</v>
      </c>
      <c r="L3526" s="787">
        <v>11.76</v>
      </c>
      <c r="M3526" s="787">
        <v>10</v>
      </c>
      <c r="N3526" s="787">
        <v>11.76</v>
      </c>
      <c r="O3526" s="788">
        <v>42086</v>
      </c>
    </row>
    <row r="3527" spans="1:15" x14ac:dyDescent="0.25">
      <c r="A3527" s="786" t="s">
        <v>755</v>
      </c>
      <c r="B3527" s="787">
        <v>4</v>
      </c>
      <c r="C3527" s="787" t="s">
        <v>7159</v>
      </c>
      <c r="D3527" s="787">
        <v>0</v>
      </c>
      <c r="E3527" s="787">
        <v>0</v>
      </c>
      <c r="H3527" s="787">
        <v>1</v>
      </c>
      <c r="K3527" s="788">
        <v>42086</v>
      </c>
      <c r="L3527" s="787">
        <v>12.72</v>
      </c>
      <c r="M3527" s="787">
        <v>10</v>
      </c>
      <c r="N3527" s="787">
        <v>12.72</v>
      </c>
      <c r="O3527" s="788">
        <v>42086</v>
      </c>
    </row>
    <row r="3528" spans="1:15" x14ac:dyDescent="0.25">
      <c r="A3528" s="786" t="s">
        <v>756</v>
      </c>
      <c r="B3528" s="787">
        <v>4</v>
      </c>
      <c r="C3528" s="787" t="s">
        <v>7160</v>
      </c>
      <c r="D3528" s="787">
        <v>0</v>
      </c>
      <c r="E3528" s="787">
        <v>0</v>
      </c>
      <c r="H3528" s="787">
        <v>1</v>
      </c>
      <c r="K3528" s="788">
        <v>42086</v>
      </c>
      <c r="L3528" s="787">
        <v>13.68</v>
      </c>
      <c r="M3528" s="787">
        <v>10</v>
      </c>
      <c r="N3528" s="787">
        <v>13.68</v>
      </c>
      <c r="O3528" s="788">
        <v>42086</v>
      </c>
    </row>
    <row r="3529" spans="1:15" x14ac:dyDescent="0.25">
      <c r="A3529" s="786" t="s">
        <v>7161</v>
      </c>
      <c r="B3529" s="787">
        <v>4</v>
      </c>
      <c r="C3529" s="787" t="s">
        <v>7162</v>
      </c>
      <c r="D3529" s="787">
        <v>0</v>
      </c>
      <c r="E3529" s="787">
        <v>0</v>
      </c>
      <c r="H3529" s="787">
        <v>1</v>
      </c>
      <c r="L3529" s="787">
        <v>1</v>
      </c>
      <c r="M3529" s="787">
        <v>10</v>
      </c>
      <c r="N3529" s="787">
        <v>0</v>
      </c>
    </row>
    <row r="3530" spans="1:15" x14ac:dyDescent="0.25">
      <c r="A3530" s="786" t="s">
        <v>7163</v>
      </c>
      <c r="B3530" s="787">
        <v>4</v>
      </c>
      <c r="C3530" s="787" t="s">
        <v>7164</v>
      </c>
      <c r="D3530" s="787">
        <v>8.52</v>
      </c>
      <c r="E3530" s="787">
        <v>28.52</v>
      </c>
      <c r="F3530" s="788">
        <v>42124</v>
      </c>
      <c r="G3530" s="788">
        <v>42158</v>
      </c>
      <c r="H3530" s="787">
        <v>1</v>
      </c>
      <c r="I3530" s="788">
        <v>42166</v>
      </c>
      <c r="J3530" s="788">
        <v>42160</v>
      </c>
      <c r="K3530" s="788">
        <v>42076</v>
      </c>
      <c r="L3530" s="787">
        <v>29.32</v>
      </c>
      <c r="M3530" s="787">
        <v>10</v>
      </c>
      <c r="N3530" s="787">
        <v>29.64</v>
      </c>
      <c r="O3530" s="788">
        <v>42076</v>
      </c>
    </row>
    <row r="3531" spans="1:15" x14ac:dyDescent="0.25">
      <c r="A3531" s="786" t="s">
        <v>7165</v>
      </c>
      <c r="B3531" s="787">
        <v>4</v>
      </c>
      <c r="C3531" s="787" t="s">
        <v>7166</v>
      </c>
      <c r="D3531" s="787">
        <v>5.3</v>
      </c>
      <c r="E3531" s="787">
        <v>15.3</v>
      </c>
      <c r="F3531" s="788">
        <v>42125</v>
      </c>
      <c r="G3531" s="788">
        <v>42089</v>
      </c>
      <c r="H3531" s="787">
        <v>1</v>
      </c>
      <c r="I3531" s="788">
        <v>42159</v>
      </c>
      <c r="J3531" s="788">
        <v>42152</v>
      </c>
      <c r="K3531" s="788">
        <v>42076</v>
      </c>
      <c r="L3531" s="787">
        <v>15.3</v>
      </c>
      <c r="M3531" s="787">
        <v>20</v>
      </c>
      <c r="N3531" s="787">
        <v>16.45</v>
      </c>
      <c r="O3531" s="788">
        <v>42076</v>
      </c>
    </row>
    <row r="3532" spans="1:15" x14ac:dyDescent="0.25">
      <c r="A3532" s="786" t="s">
        <v>774</v>
      </c>
      <c r="B3532" s="787">
        <v>4</v>
      </c>
      <c r="C3532" s="787" t="s">
        <v>7167</v>
      </c>
      <c r="D3532" s="787">
        <v>0</v>
      </c>
      <c r="E3532" s="787">
        <v>0</v>
      </c>
      <c r="H3532" s="787">
        <v>1</v>
      </c>
      <c r="K3532" s="788">
        <v>42086</v>
      </c>
      <c r="L3532" s="787">
        <v>5.21</v>
      </c>
      <c r="M3532" s="787">
        <v>10</v>
      </c>
      <c r="N3532" s="787">
        <v>5.21</v>
      </c>
      <c r="O3532" s="788">
        <v>42086</v>
      </c>
    </row>
    <row r="3533" spans="1:15" x14ac:dyDescent="0.25">
      <c r="A3533" s="786" t="s">
        <v>775</v>
      </c>
      <c r="B3533" s="787">
        <v>4</v>
      </c>
      <c r="C3533" s="787" t="s">
        <v>7168</v>
      </c>
      <c r="D3533" s="787">
        <v>0</v>
      </c>
      <c r="E3533" s="787">
        <v>0</v>
      </c>
      <c r="H3533" s="787">
        <v>1</v>
      </c>
      <c r="K3533" s="788">
        <v>42086</v>
      </c>
      <c r="L3533" s="787">
        <v>6.22</v>
      </c>
      <c r="M3533" s="787">
        <v>10</v>
      </c>
      <c r="N3533" s="787">
        <v>6.22</v>
      </c>
      <c r="O3533" s="788">
        <v>42086</v>
      </c>
    </row>
    <row r="3534" spans="1:15" x14ac:dyDescent="0.25">
      <c r="A3534" s="786" t="s">
        <v>779</v>
      </c>
      <c r="B3534" s="787">
        <v>4</v>
      </c>
      <c r="C3534" s="787" t="s">
        <v>7169</v>
      </c>
      <c r="D3534" s="787">
        <v>0</v>
      </c>
      <c r="E3534" s="787">
        <v>0</v>
      </c>
      <c r="H3534" s="787">
        <v>1</v>
      </c>
      <c r="K3534" s="788">
        <v>42086</v>
      </c>
      <c r="L3534" s="787">
        <v>7.23</v>
      </c>
      <c r="M3534" s="787">
        <v>10</v>
      </c>
      <c r="N3534" s="787">
        <v>7.23</v>
      </c>
      <c r="O3534" s="788">
        <v>42086</v>
      </c>
    </row>
    <row r="3535" spans="1:15" x14ac:dyDescent="0.25">
      <c r="A3535" s="786" t="s">
        <v>781</v>
      </c>
      <c r="B3535" s="787">
        <v>4</v>
      </c>
      <c r="C3535" s="787" t="s">
        <v>7170</v>
      </c>
      <c r="D3535" s="787">
        <v>0</v>
      </c>
      <c r="E3535" s="787">
        <v>0</v>
      </c>
      <c r="H3535" s="787">
        <v>1</v>
      </c>
      <c r="K3535" s="788">
        <v>42086</v>
      </c>
      <c r="L3535" s="787">
        <v>8.25</v>
      </c>
      <c r="M3535" s="787">
        <v>10</v>
      </c>
      <c r="N3535" s="787">
        <v>8.25</v>
      </c>
      <c r="O3535" s="788">
        <v>42086</v>
      </c>
    </row>
    <row r="3536" spans="1:15" x14ac:dyDescent="0.25">
      <c r="A3536" s="786" t="s">
        <v>783</v>
      </c>
      <c r="B3536" s="787">
        <v>4</v>
      </c>
      <c r="C3536" s="787" t="s">
        <v>7171</v>
      </c>
      <c r="D3536" s="787">
        <v>0</v>
      </c>
      <c r="E3536" s="787">
        <v>0</v>
      </c>
      <c r="H3536" s="787">
        <v>1</v>
      </c>
      <c r="K3536" s="788">
        <v>42086</v>
      </c>
      <c r="L3536" s="787">
        <v>9.26</v>
      </c>
      <c r="M3536" s="787">
        <v>10</v>
      </c>
      <c r="N3536" s="787">
        <v>9.26</v>
      </c>
      <c r="O3536" s="788">
        <v>42086</v>
      </c>
    </row>
    <row r="3537" spans="1:15" x14ac:dyDescent="0.25">
      <c r="A3537" s="786" t="s">
        <v>785</v>
      </c>
      <c r="B3537" s="787">
        <v>4</v>
      </c>
      <c r="C3537" s="787" t="s">
        <v>7172</v>
      </c>
      <c r="D3537" s="787">
        <v>0</v>
      </c>
      <c r="E3537" s="787">
        <v>0</v>
      </c>
      <c r="H3537" s="787">
        <v>1</v>
      </c>
      <c r="K3537" s="788">
        <v>42086</v>
      </c>
      <c r="L3537" s="787">
        <v>10.27</v>
      </c>
      <c r="M3537" s="787">
        <v>10</v>
      </c>
      <c r="N3537" s="787">
        <v>10.27</v>
      </c>
      <c r="O3537" s="788">
        <v>42086</v>
      </c>
    </row>
    <row r="3538" spans="1:15" x14ac:dyDescent="0.25">
      <c r="A3538" s="786" t="s">
        <v>787</v>
      </c>
      <c r="B3538" s="787">
        <v>4</v>
      </c>
      <c r="C3538" s="787" t="s">
        <v>7173</v>
      </c>
      <c r="D3538" s="787">
        <v>0</v>
      </c>
      <c r="E3538" s="787">
        <v>0</v>
      </c>
      <c r="H3538" s="787">
        <v>1</v>
      </c>
      <c r="K3538" s="788">
        <v>42086</v>
      </c>
      <c r="L3538" s="787">
        <v>11.28</v>
      </c>
      <c r="M3538" s="787">
        <v>10</v>
      </c>
      <c r="N3538" s="787">
        <v>11.28</v>
      </c>
      <c r="O3538" s="788">
        <v>42086</v>
      </c>
    </row>
    <row r="3539" spans="1:15" x14ac:dyDescent="0.25">
      <c r="A3539" s="786" t="s">
        <v>789</v>
      </c>
      <c r="B3539" s="787">
        <v>4</v>
      </c>
      <c r="C3539" s="787" t="s">
        <v>7174</v>
      </c>
      <c r="D3539" s="787">
        <v>0</v>
      </c>
      <c r="E3539" s="787">
        <v>0</v>
      </c>
      <c r="H3539" s="787">
        <v>1</v>
      </c>
      <c r="K3539" s="788">
        <v>42086</v>
      </c>
      <c r="L3539" s="787">
        <v>12.29</v>
      </c>
      <c r="M3539" s="787">
        <v>10</v>
      </c>
      <c r="N3539" s="787">
        <v>12.29</v>
      </c>
      <c r="O3539" s="788">
        <v>42086</v>
      </c>
    </row>
    <row r="3540" spans="1:15" x14ac:dyDescent="0.25">
      <c r="A3540" s="786" t="s">
        <v>791</v>
      </c>
      <c r="B3540" s="787">
        <v>4</v>
      </c>
      <c r="C3540" s="787" t="s">
        <v>7175</v>
      </c>
      <c r="D3540" s="787">
        <v>0</v>
      </c>
      <c r="E3540" s="787">
        <v>0</v>
      </c>
      <c r="H3540" s="787">
        <v>1</v>
      </c>
      <c r="K3540" s="788">
        <v>42086</v>
      </c>
      <c r="L3540" s="787">
        <v>13.3</v>
      </c>
      <c r="M3540" s="787">
        <v>10</v>
      </c>
      <c r="N3540" s="787">
        <v>13.3</v>
      </c>
      <c r="O3540" s="788">
        <v>42086</v>
      </c>
    </row>
    <row r="3541" spans="1:15" x14ac:dyDescent="0.25">
      <c r="A3541" s="786" t="s">
        <v>793</v>
      </c>
      <c r="B3541" s="787">
        <v>4</v>
      </c>
      <c r="C3541" s="787" t="s">
        <v>7176</v>
      </c>
      <c r="D3541" s="787">
        <v>0</v>
      </c>
      <c r="E3541" s="787">
        <v>0</v>
      </c>
      <c r="H3541" s="787">
        <v>1</v>
      </c>
      <c r="K3541" s="788">
        <v>42086</v>
      </c>
      <c r="L3541" s="787">
        <v>14.32</v>
      </c>
      <c r="M3541" s="787">
        <v>10</v>
      </c>
      <c r="N3541" s="787">
        <v>14.32</v>
      </c>
      <c r="O3541" s="788">
        <v>42086</v>
      </c>
    </row>
    <row r="3542" spans="1:15" x14ac:dyDescent="0.25">
      <c r="A3542" s="786" t="s">
        <v>7177</v>
      </c>
      <c r="B3542" s="787">
        <v>4</v>
      </c>
      <c r="C3542" s="787" t="s">
        <v>7178</v>
      </c>
      <c r="D3542" s="787">
        <v>0</v>
      </c>
      <c r="E3542" s="787">
        <v>0</v>
      </c>
      <c r="G3542" s="788">
        <v>42156</v>
      </c>
      <c r="H3542" s="787">
        <v>1</v>
      </c>
      <c r="I3542" s="788">
        <v>42166</v>
      </c>
      <c r="J3542" s="788">
        <v>42166</v>
      </c>
      <c r="K3542" s="788">
        <v>42136</v>
      </c>
      <c r="L3542" s="787">
        <v>622.64</v>
      </c>
      <c r="M3542" s="787">
        <v>10</v>
      </c>
      <c r="N3542" s="787">
        <v>622.64</v>
      </c>
      <c r="O3542" s="788">
        <v>42136</v>
      </c>
    </row>
    <row r="3543" spans="1:15" x14ac:dyDescent="0.25">
      <c r="A3543" s="786" t="s">
        <v>7179</v>
      </c>
      <c r="B3543" s="787">
        <v>4</v>
      </c>
      <c r="C3543" s="787" t="s">
        <v>7180</v>
      </c>
      <c r="D3543" s="787">
        <v>0</v>
      </c>
      <c r="E3543" s="787">
        <v>0</v>
      </c>
      <c r="H3543" s="787">
        <v>1</v>
      </c>
      <c r="K3543" s="788">
        <v>42136</v>
      </c>
      <c r="L3543" s="787">
        <v>619.01</v>
      </c>
      <c r="M3543" s="787">
        <v>10</v>
      </c>
      <c r="N3543" s="787">
        <v>619.01</v>
      </c>
      <c r="O3543" s="788">
        <v>42136</v>
      </c>
    </row>
    <row r="3544" spans="1:15" x14ac:dyDescent="0.25">
      <c r="A3544" s="786" t="s">
        <v>846</v>
      </c>
      <c r="B3544" s="787">
        <v>4</v>
      </c>
      <c r="C3544" s="787" t="s">
        <v>7181</v>
      </c>
      <c r="D3544" s="787">
        <v>0</v>
      </c>
      <c r="E3544" s="787">
        <v>0</v>
      </c>
      <c r="G3544" s="788">
        <v>42156</v>
      </c>
      <c r="H3544" s="787">
        <v>1</v>
      </c>
      <c r="I3544" s="788">
        <v>42160</v>
      </c>
      <c r="J3544" s="788">
        <v>42158</v>
      </c>
      <c r="K3544" s="788">
        <v>42136</v>
      </c>
      <c r="L3544" s="787">
        <v>633.16</v>
      </c>
      <c r="M3544" s="787">
        <v>10</v>
      </c>
      <c r="N3544" s="787">
        <v>633.16</v>
      </c>
      <c r="O3544" s="788">
        <v>42136</v>
      </c>
    </row>
    <row r="3545" spans="1:15" x14ac:dyDescent="0.25">
      <c r="A3545" s="786" t="s">
        <v>7182</v>
      </c>
      <c r="B3545" s="787">
        <v>4</v>
      </c>
      <c r="C3545" s="787" t="s">
        <v>7183</v>
      </c>
      <c r="D3545" s="787">
        <v>0</v>
      </c>
      <c r="E3545" s="787">
        <v>0</v>
      </c>
      <c r="G3545" s="788">
        <v>42152</v>
      </c>
      <c r="H3545" s="787">
        <v>1</v>
      </c>
      <c r="I3545" s="788">
        <v>42158</v>
      </c>
      <c r="J3545" s="788">
        <v>42158</v>
      </c>
      <c r="K3545" s="788">
        <v>42136</v>
      </c>
      <c r="L3545" s="787">
        <v>7.11</v>
      </c>
      <c r="M3545" s="787">
        <v>10</v>
      </c>
      <c r="N3545" s="787">
        <v>7.11</v>
      </c>
      <c r="O3545" s="788">
        <v>42136</v>
      </c>
    </row>
    <row r="3546" spans="1:15" x14ac:dyDescent="0.25">
      <c r="A3546" s="786" t="s">
        <v>7184</v>
      </c>
      <c r="B3546" s="787">
        <v>4</v>
      </c>
      <c r="C3546" s="787" t="s">
        <v>7185</v>
      </c>
      <c r="D3546" s="787">
        <v>0</v>
      </c>
      <c r="E3546" s="787">
        <v>0</v>
      </c>
      <c r="H3546" s="787">
        <v>1</v>
      </c>
      <c r="K3546" s="788">
        <v>42143</v>
      </c>
      <c r="L3546" s="787">
        <v>4.18</v>
      </c>
      <c r="M3546" s="787">
        <v>10</v>
      </c>
      <c r="N3546" s="787">
        <v>4.18</v>
      </c>
      <c r="O3546" s="788">
        <v>42144</v>
      </c>
    </row>
    <row r="3547" spans="1:15" x14ac:dyDescent="0.25">
      <c r="A3547" s="786" t="s">
        <v>7186</v>
      </c>
      <c r="B3547" s="787">
        <v>4</v>
      </c>
      <c r="C3547" s="787" t="s">
        <v>7187</v>
      </c>
      <c r="D3547" s="787">
        <v>0</v>
      </c>
      <c r="E3547" s="787">
        <v>0</v>
      </c>
      <c r="H3547" s="787">
        <v>1</v>
      </c>
      <c r="K3547" s="788">
        <v>42142</v>
      </c>
      <c r="L3547" s="787">
        <v>1.92</v>
      </c>
      <c r="M3547" s="787">
        <v>10</v>
      </c>
      <c r="N3547" s="787">
        <v>1.92</v>
      </c>
      <c r="O3547" s="788">
        <v>42144</v>
      </c>
    </row>
    <row r="3548" spans="1:15" x14ac:dyDescent="0.25">
      <c r="A3548" s="786" t="s">
        <v>7188</v>
      </c>
      <c r="B3548" s="787">
        <v>4</v>
      </c>
      <c r="C3548" s="787" t="s">
        <v>7189</v>
      </c>
      <c r="D3548" s="787">
        <v>0</v>
      </c>
      <c r="E3548" s="787">
        <v>0</v>
      </c>
      <c r="H3548" s="787">
        <v>1</v>
      </c>
      <c r="K3548" s="788">
        <v>42142</v>
      </c>
      <c r="L3548" s="787">
        <v>2.37</v>
      </c>
      <c r="M3548" s="787">
        <v>10</v>
      </c>
      <c r="N3548" s="787">
        <v>2.37</v>
      </c>
      <c r="O3548" s="788">
        <v>42144</v>
      </c>
    </row>
    <row r="3549" spans="1:15" x14ac:dyDescent="0.25">
      <c r="A3549" s="786" t="s">
        <v>7190</v>
      </c>
      <c r="B3549" s="787">
        <v>4</v>
      </c>
      <c r="C3549" s="787" t="s">
        <v>7191</v>
      </c>
      <c r="D3549" s="787">
        <v>0</v>
      </c>
      <c r="E3549" s="787">
        <v>0</v>
      </c>
      <c r="H3549" s="787">
        <v>1</v>
      </c>
      <c r="K3549" s="788">
        <v>42143</v>
      </c>
      <c r="L3549" s="787">
        <v>33.61</v>
      </c>
      <c r="M3549" s="787">
        <v>10</v>
      </c>
      <c r="N3549" s="787">
        <v>33.61</v>
      </c>
      <c r="O3549" s="788">
        <v>42144</v>
      </c>
    </row>
    <row r="3550" spans="1:15" x14ac:dyDescent="0.25">
      <c r="A3550" s="786" t="s">
        <v>7192</v>
      </c>
      <c r="B3550" s="787" t="s">
        <v>7193</v>
      </c>
      <c r="C3550" s="787" t="s">
        <v>7194</v>
      </c>
      <c r="D3550" s="787">
        <v>0</v>
      </c>
      <c r="E3550" s="787">
        <v>0</v>
      </c>
      <c r="H3550" s="787">
        <v>1</v>
      </c>
      <c r="L3550" s="787">
        <v>50</v>
      </c>
      <c r="M3550" s="787">
        <v>10</v>
      </c>
      <c r="N3550" s="787">
        <v>91.81</v>
      </c>
      <c r="O3550" s="788">
        <v>41869</v>
      </c>
    </row>
    <row r="3551" spans="1:15" x14ac:dyDescent="0.25">
      <c r="A3551" s="786" t="s">
        <v>7195</v>
      </c>
      <c r="B3551" s="787">
        <v>4</v>
      </c>
      <c r="C3551" s="787" t="s">
        <v>7196</v>
      </c>
      <c r="D3551" s="787">
        <v>0.04</v>
      </c>
      <c r="E3551" s="787">
        <v>23.67</v>
      </c>
      <c r="F3551" s="788">
        <v>39456</v>
      </c>
      <c r="G3551" s="788">
        <v>42013</v>
      </c>
      <c r="H3551" s="787">
        <v>1</v>
      </c>
      <c r="I3551" s="788">
        <v>42115</v>
      </c>
      <c r="J3551" s="788">
        <v>41900</v>
      </c>
      <c r="K3551" s="788">
        <v>41347</v>
      </c>
      <c r="L3551" s="787">
        <v>14.61</v>
      </c>
      <c r="M3551" s="787">
        <v>10</v>
      </c>
      <c r="N3551" s="787">
        <v>14.79</v>
      </c>
      <c r="O3551" s="788">
        <v>41858</v>
      </c>
    </row>
    <row r="3552" spans="1:15" x14ac:dyDescent="0.25">
      <c r="A3552" s="786" t="s">
        <v>7197</v>
      </c>
      <c r="B3552" s="787">
        <v>4</v>
      </c>
      <c r="C3552" s="787" t="s">
        <v>7198</v>
      </c>
      <c r="D3552" s="787">
        <v>0.94</v>
      </c>
      <c r="E3552" s="787">
        <v>2.54</v>
      </c>
      <c r="F3552" s="788">
        <v>39456</v>
      </c>
      <c r="G3552" s="788">
        <v>42121</v>
      </c>
      <c r="H3552" s="787">
        <v>1</v>
      </c>
      <c r="I3552" s="788">
        <v>42130</v>
      </c>
      <c r="J3552" s="788">
        <v>42065</v>
      </c>
      <c r="K3552" s="788">
        <v>41311</v>
      </c>
      <c r="L3552" s="787">
        <v>2.8</v>
      </c>
      <c r="M3552" s="787">
        <v>20</v>
      </c>
      <c r="N3552" s="787">
        <v>3.01</v>
      </c>
      <c r="O3552" s="788">
        <v>42016</v>
      </c>
    </row>
    <row r="3553" spans="1:15" x14ac:dyDescent="0.25">
      <c r="A3553" s="786" t="s">
        <v>7199</v>
      </c>
      <c r="B3553" s="787">
        <v>4</v>
      </c>
      <c r="C3553" s="787" t="s">
        <v>7200</v>
      </c>
      <c r="D3553" s="787">
        <v>1.52</v>
      </c>
      <c r="E3553" s="787">
        <v>3.14</v>
      </c>
      <c r="F3553" s="788">
        <v>39456</v>
      </c>
      <c r="G3553" s="788">
        <v>42125</v>
      </c>
      <c r="H3553" s="787">
        <v>1</v>
      </c>
      <c r="I3553" s="788">
        <v>42130</v>
      </c>
      <c r="J3553" s="788">
        <v>42082</v>
      </c>
      <c r="K3553" s="788">
        <v>41311</v>
      </c>
      <c r="L3553" s="787">
        <v>2.8</v>
      </c>
      <c r="M3553" s="787">
        <v>20</v>
      </c>
      <c r="N3553" s="787">
        <v>3.01</v>
      </c>
      <c r="O3553" s="788">
        <v>41858</v>
      </c>
    </row>
    <row r="3554" spans="1:15" x14ac:dyDescent="0.25">
      <c r="A3554" s="786" t="s">
        <v>7201</v>
      </c>
      <c r="B3554" s="787">
        <v>4</v>
      </c>
      <c r="C3554" s="787" t="s">
        <v>7202</v>
      </c>
      <c r="D3554" s="787">
        <v>8.9</v>
      </c>
      <c r="E3554" s="787">
        <v>8.9</v>
      </c>
      <c r="F3554" s="788">
        <v>41106</v>
      </c>
      <c r="G3554" s="788">
        <v>41110</v>
      </c>
      <c r="H3554" s="787">
        <v>1</v>
      </c>
      <c r="I3554" s="788">
        <v>39402</v>
      </c>
      <c r="J3554" s="788">
        <v>41106</v>
      </c>
      <c r="K3554" s="788">
        <v>41865</v>
      </c>
      <c r="L3554" s="787">
        <v>9.57</v>
      </c>
      <c r="M3554" s="787">
        <v>20</v>
      </c>
      <c r="N3554" s="787">
        <v>2.29</v>
      </c>
      <c r="O3554" s="788">
        <v>41858</v>
      </c>
    </row>
    <row r="3555" spans="1:15" x14ac:dyDescent="0.25">
      <c r="A3555" s="786" t="s">
        <v>7203</v>
      </c>
      <c r="B3555" s="787">
        <v>4</v>
      </c>
      <c r="C3555" s="787" t="s">
        <v>7204</v>
      </c>
      <c r="D3555" s="787">
        <v>3.3</v>
      </c>
      <c r="E3555" s="787">
        <v>28.18</v>
      </c>
      <c r="F3555" s="788">
        <v>39975</v>
      </c>
      <c r="G3555" s="788">
        <v>41646</v>
      </c>
      <c r="H3555" s="787">
        <v>1</v>
      </c>
      <c r="I3555" s="788">
        <v>42130</v>
      </c>
      <c r="J3555" s="788">
        <v>40865</v>
      </c>
      <c r="L3555" s="787">
        <v>0</v>
      </c>
      <c r="M3555" s="787">
        <v>10</v>
      </c>
      <c r="N3555" s="787">
        <v>19.77</v>
      </c>
      <c r="O3555" s="788">
        <v>41858</v>
      </c>
    </row>
    <row r="3556" spans="1:15" x14ac:dyDescent="0.25">
      <c r="A3556" s="786" t="s">
        <v>7205</v>
      </c>
      <c r="B3556" s="787">
        <v>4</v>
      </c>
      <c r="C3556" s="787" t="s">
        <v>5101</v>
      </c>
      <c r="D3556" s="787">
        <v>1</v>
      </c>
      <c r="E3556" s="787">
        <v>51</v>
      </c>
      <c r="F3556" s="788">
        <v>39101</v>
      </c>
      <c r="G3556" s="788">
        <v>39101</v>
      </c>
      <c r="H3556" s="787">
        <v>1</v>
      </c>
      <c r="I3556" s="788">
        <v>39407</v>
      </c>
      <c r="J3556" s="788">
        <v>40386</v>
      </c>
      <c r="L3556" s="787">
        <v>51</v>
      </c>
      <c r="M3556" s="787">
        <v>20</v>
      </c>
      <c r="N3556" s="787">
        <v>54.83</v>
      </c>
      <c r="O3556" s="788">
        <v>42114</v>
      </c>
    </row>
    <row r="3557" spans="1:15" x14ac:dyDescent="0.25">
      <c r="A3557" s="786" t="s">
        <v>7206</v>
      </c>
      <c r="B3557" s="787">
        <v>4</v>
      </c>
      <c r="C3557" s="787" t="s">
        <v>7207</v>
      </c>
      <c r="D3557" s="787">
        <v>7.5</v>
      </c>
      <c r="E3557" s="787">
        <v>27.5</v>
      </c>
      <c r="F3557" s="788">
        <v>39101</v>
      </c>
      <c r="G3557" s="788">
        <v>39101</v>
      </c>
      <c r="H3557" s="787">
        <v>1</v>
      </c>
      <c r="I3557" s="788">
        <v>41983</v>
      </c>
      <c r="J3557" s="788">
        <v>42031</v>
      </c>
      <c r="K3557" s="788">
        <v>40267</v>
      </c>
      <c r="L3557" s="787">
        <v>27.5</v>
      </c>
      <c r="M3557" s="787">
        <v>20</v>
      </c>
      <c r="N3557" s="787">
        <v>29.56</v>
      </c>
      <c r="O3557" s="788">
        <v>42114</v>
      </c>
    </row>
    <row r="3558" spans="1:15" x14ac:dyDescent="0.25">
      <c r="A3558" s="786" t="s">
        <v>7208</v>
      </c>
      <c r="B3558" s="787">
        <v>4</v>
      </c>
      <c r="C3558" s="787" t="s">
        <v>7209</v>
      </c>
      <c r="D3558" s="787">
        <v>7.5</v>
      </c>
      <c r="E3558" s="787">
        <v>27.5</v>
      </c>
      <c r="F3558" s="788">
        <v>39101</v>
      </c>
      <c r="G3558" s="788">
        <v>39101</v>
      </c>
      <c r="H3558" s="787">
        <v>1</v>
      </c>
      <c r="I3558" s="788">
        <v>42111</v>
      </c>
      <c r="J3558" s="788">
        <v>42025</v>
      </c>
      <c r="K3558" s="788">
        <v>40267</v>
      </c>
      <c r="L3558" s="787">
        <v>27.5</v>
      </c>
      <c r="M3558" s="787">
        <v>20</v>
      </c>
      <c r="N3558" s="787">
        <v>29.56</v>
      </c>
      <c r="O3558" s="788">
        <v>42114</v>
      </c>
    </row>
    <row r="3559" spans="1:15" x14ac:dyDescent="0.25">
      <c r="A3559" s="786" t="s">
        <v>7210</v>
      </c>
      <c r="B3559" s="787">
        <v>4</v>
      </c>
      <c r="C3559" s="787" t="s">
        <v>7211</v>
      </c>
      <c r="D3559" s="787">
        <v>4</v>
      </c>
      <c r="E3559" s="787">
        <v>24</v>
      </c>
      <c r="F3559" s="788">
        <v>39101</v>
      </c>
      <c r="G3559" s="788">
        <v>39101</v>
      </c>
      <c r="H3559" s="787">
        <v>1</v>
      </c>
      <c r="I3559" s="788">
        <v>42115</v>
      </c>
      <c r="J3559" s="788">
        <v>41935</v>
      </c>
      <c r="L3559" s="787">
        <v>24</v>
      </c>
      <c r="M3559" s="787">
        <v>20</v>
      </c>
      <c r="N3559" s="787">
        <v>25.8</v>
      </c>
      <c r="O3559" s="788">
        <v>42087</v>
      </c>
    </row>
    <row r="3560" spans="1:15" x14ac:dyDescent="0.25">
      <c r="A3560" s="786" t="s">
        <v>7212</v>
      </c>
      <c r="B3560" s="787">
        <v>4</v>
      </c>
      <c r="C3560" s="787" t="s">
        <v>7213</v>
      </c>
      <c r="D3560" s="787">
        <v>0.18</v>
      </c>
      <c r="E3560" s="787">
        <v>5.01</v>
      </c>
      <c r="F3560" s="788">
        <v>39975</v>
      </c>
      <c r="G3560" s="788">
        <v>42013</v>
      </c>
      <c r="H3560" s="787">
        <v>1</v>
      </c>
      <c r="I3560" s="788">
        <v>42027</v>
      </c>
      <c r="J3560" s="788">
        <v>41526</v>
      </c>
      <c r="K3560" s="788">
        <v>41131</v>
      </c>
      <c r="L3560" s="787">
        <v>2.44</v>
      </c>
      <c r="M3560" s="787">
        <v>10</v>
      </c>
      <c r="N3560" s="787">
        <v>3.5</v>
      </c>
      <c r="O3560" s="788">
        <v>42124</v>
      </c>
    </row>
    <row r="3561" spans="1:15" x14ac:dyDescent="0.25">
      <c r="A3561" s="786" t="s">
        <v>468</v>
      </c>
      <c r="B3561" s="787">
        <v>4</v>
      </c>
      <c r="C3561" s="787" t="s">
        <v>7214</v>
      </c>
      <c r="D3561" s="787">
        <v>1.73</v>
      </c>
      <c r="E3561" s="787">
        <v>660.72</v>
      </c>
      <c r="F3561" s="788">
        <v>41134</v>
      </c>
      <c r="G3561" s="788">
        <v>42142</v>
      </c>
      <c r="H3561" s="787">
        <v>1</v>
      </c>
      <c r="I3561" s="788">
        <v>42115</v>
      </c>
      <c r="J3561" s="788">
        <v>42115</v>
      </c>
      <c r="K3561" s="788">
        <v>41025</v>
      </c>
      <c r="L3561" s="787">
        <v>604.42999999999995</v>
      </c>
      <c r="M3561" s="787">
        <v>10</v>
      </c>
      <c r="N3561" s="787">
        <v>675.39</v>
      </c>
      <c r="O3561" s="788">
        <v>42087</v>
      </c>
    </row>
    <row r="3562" spans="1:15" x14ac:dyDescent="0.25">
      <c r="A3562" s="786" t="s">
        <v>7215</v>
      </c>
      <c r="B3562" s="787">
        <v>4</v>
      </c>
      <c r="C3562" s="787" t="s">
        <v>7216</v>
      </c>
      <c r="D3562" s="787">
        <v>9.7200000000000006</v>
      </c>
      <c r="E3562" s="787">
        <v>734.99</v>
      </c>
      <c r="F3562" s="788">
        <v>40946</v>
      </c>
      <c r="G3562" s="788">
        <v>42017</v>
      </c>
      <c r="H3562" s="787">
        <v>1</v>
      </c>
      <c r="I3562" s="788">
        <v>41988</v>
      </c>
      <c r="J3562" s="788">
        <v>41983</v>
      </c>
      <c r="K3562" s="788">
        <v>41025</v>
      </c>
      <c r="L3562" s="787">
        <v>646.88</v>
      </c>
      <c r="M3562" s="787">
        <v>10</v>
      </c>
      <c r="N3562" s="787">
        <v>812.95</v>
      </c>
      <c r="O3562" s="788">
        <v>42114</v>
      </c>
    </row>
    <row r="3563" spans="1:15" x14ac:dyDescent="0.25">
      <c r="A3563" s="786" t="s">
        <v>7217</v>
      </c>
      <c r="B3563" s="787">
        <v>4</v>
      </c>
      <c r="C3563" s="787" t="s">
        <v>7218</v>
      </c>
      <c r="D3563" s="787">
        <v>5.77</v>
      </c>
      <c r="E3563" s="787">
        <v>927.58</v>
      </c>
      <c r="F3563" s="788">
        <v>40948</v>
      </c>
      <c r="G3563" s="788">
        <v>42142</v>
      </c>
      <c r="H3563" s="787">
        <v>1</v>
      </c>
      <c r="I3563" s="788">
        <v>42130</v>
      </c>
      <c r="J3563" s="788">
        <v>42111</v>
      </c>
      <c r="K3563" s="788">
        <v>41025</v>
      </c>
      <c r="L3563" s="787">
        <v>771.01</v>
      </c>
      <c r="M3563" s="787">
        <v>10</v>
      </c>
      <c r="N3563" s="787">
        <v>848.13</v>
      </c>
      <c r="O3563" s="788">
        <v>42114</v>
      </c>
    </row>
    <row r="3564" spans="1:15" x14ac:dyDescent="0.25">
      <c r="A3564" s="786" t="s">
        <v>7219</v>
      </c>
      <c r="B3564" s="787">
        <v>4</v>
      </c>
      <c r="C3564" s="787" t="s">
        <v>7220</v>
      </c>
      <c r="D3564" s="787">
        <v>0</v>
      </c>
      <c r="E3564" s="787">
        <v>0</v>
      </c>
      <c r="H3564" s="787">
        <v>1</v>
      </c>
      <c r="K3564" s="788">
        <v>41025</v>
      </c>
      <c r="L3564" s="787">
        <v>895.44</v>
      </c>
      <c r="M3564" s="787">
        <v>10</v>
      </c>
      <c r="N3564" s="787">
        <v>904.61</v>
      </c>
      <c r="O3564" s="788">
        <v>42114</v>
      </c>
    </row>
    <row r="3565" spans="1:15" x14ac:dyDescent="0.25">
      <c r="A3565" s="786" t="s">
        <v>7221</v>
      </c>
      <c r="B3565" s="787">
        <v>4</v>
      </c>
      <c r="C3565" s="787" t="s">
        <v>7222</v>
      </c>
      <c r="D3565" s="787">
        <v>6.57</v>
      </c>
      <c r="E3565" s="787">
        <v>61.88</v>
      </c>
      <c r="F3565" s="788">
        <v>41180</v>
      </c>
      <c r="G3565" s="788">
        <v>42058</v>
      </c>
      <c r="H3565" s="787">
        <v>1</v>
      </c>
      <c r="I3565" s="788">
        <v>42044</v>
      </c>
      <c r="J3565" s="788">
        <v>42019</v>
      </c>
      <c r="K3565" s="788">
        <v>42021</v>
      </c>
      <c r="L3565" s="787">
        <v>84.09</v>
      </c>
      <c r="M3565" s="787">
        <v>10</v>
      </c>
      <c r="N3565" s="787">
        <v>102.02</v>
      </c>
      <c r="O3565" s="788">
        <v>42054</v>
      </c>
    </row>
    <row r="3566" spans="1:15" x14ac:dyDescent="0.25">
      <c r="A3566" s="786" t="s">
        <v>7223</v>
      </c>
      <c r="B3566" s="787">
        <v>4</v>
      </c>
      <c r="C3566" s="787" t="s">
        <v>7224</v>
      </c>
      <c r="D3566" s="787">
        <v>0</v>
      </c>
      <c r="E3566" s="787">
        <v>0</v>
      </c>
      <c r="G3566" s="788">
        <v>41565</v>
      </c>
      <c r="H3566" s="787">
        <v>1</v>
      </c>
      <c r="I3566" s="788">
        <v>39176</v>
      </c>
      <c r="J3566" s="788">
        <v>39101</v>
      </c>
      <c r="L3566" s="787">
        <v>38.08</v>
      </c>
      <c r="M3566" s="787">
        <v>10</v>
      </c>
      <c r="N3566" s="787">
        <v>86.89</v>
      </c>
      <c r="O3566" s="788">
        <v>42054</v>
      </c>
    </row>
    <row r="3567" spans="1:15" x14ac:dyDescent="0.25">
      <c r="A3567" s="786" t="s">
        <v>7225</v>
      </c>
      <c r="B3567" s="787">
        <v>4</v>
      </c>
      <c r="C3567" s="787" t="s">
        <v>5218</v>
      </c>
      <c r="D3567" s="787">
        <v>0</v>
      </c>
      <c r="E3567" s="787">
        <v>0</v>
      </c>
      <c r="H3567" s="787">
        <v>1</v>
      </c>
      <c r="K3567" s="788">
        <v>42021</v>
      </c>
      <c r="L3567" s="787">
        <v>17.850000000000001</v>
      </c>
      <c r="M3567" s="787">
        <v>10</v>
      </c>
      <c r="N3567" s="787">
        <v>35.78</v>
      </c>
      <c r="O3567" s="788">
        <v>42054</v>
      </c>
    </row>
    <row r="3568" spans="1:15" x14ac:dyDescent="0.25">
      <c r="A3568" s="786" t="s">
        <v>7226</v>
      </c>
      <c r="B3568" s="787">
        <v>4</v>
      </c>
      <c r="C3568" s="787" t="s">
        <v>7227</v>
      </c>
      <c r="D3568" s="787">
        <v>0.83</v>
      </c>
      <c r="E3568" s="787">
        <v>1.41</v>
      </c>
      <c r="F3568" s="788">
        <v>41855</v>
      </c>
      <c r="G3568" s="788">
        <v>42047</v>
      </c>
      <c r="H3568" s="787">
        <v>1</v>
      </c>
      <c r="I3568" s="788">
        <v>42018</v>
      </c>
      <c r="J3568" s="788">
        <v>42019</v>
      </c>
      <c r="L3568" s="787">
        <v>5.14</v>
      </c>
      <c r="M3568" s="787">
        <v>10</v>
      </c>
      <c r="N3568" s="787">
        <v>3.96</v>
      </c>
      <c r="O3568" s="788">
        <v>42162</v>
      </c>
    </row>
    <row r="3569" spans="1:15" x14ac:dyDescent="0.25">
      <c r="A3569" s="786" t="s">
        <v>7228</v>
      </c>
      <c r="B3569" s="787">
        <v>4</v>
      </c>
      <c r="C3569" s="787" t="s">
        <v>7229</v>
      </c>
      <c r="D3569" s="787">
        <v>1.1399999999999999</v>
      </c>
      <c r="E3569" s="787">
        <v>3.81</v>
      </c>
      <c r="F3569" s="788">
        <v>39101</v>
      </c>
      <c r="G3569" s="788">
        <v>42047</v>
      </c>
      <c r="H3569" s="787">
        <v>1</v>
      </c>
      <c r="I3569" s="788">
        <v>42018</v>
      </c>
      <c r="J3569" s="788">
        <v>41996</v>
      </c>
      <c r="L3569" s="787">
        <v>2.2000000000000002</v>
      </c>
      <c r="M3569" s="787">
        <v>10</v>
      </c>
      <c r="N3569" s="787">
        <v>2.73</v>
      </c>
      <c r="O3569" s="788">
        <v>42162</v>
      </c>
    </row>
    <row r="3570" spans="1:15" x14ac:dyDescent="0.25">
      <c r="A3570" s="786" t="s">
        <v>7230</v>
      </c>
      <c r="B3570" s="787">
        <v>4</v>
      </c>
      <c r="C3570" s="787" t="s">
        <v>7231</v>
      </c>
      <c r="D3570" s="787">
        <v>0</v>
      </c>
      <c r="E3570" s="787">
        <v>0</v>
      </c>
      <c r="H3570" s="787">
        <v>1</v>
      </c>
      <c r="I3570" s="788">
        <v>40025</v>
      </c>
      <c r="J3570" s="788">
        <v>40011</v>
      </c>
      <c r="L3570" s="787">
        <v>1.05</v>
      </c>
      <c r="M3570" s="787">
        <v>10</v>
      </c>
      <c r="N3570" s="787">
        <v>4.37</v>
      </c>
      <c r="O3570" s="788">
        <v>42162</v>
      </c>
    </row>
    <row r="3571" spans="1:15" x14ac:dyDescent="0.25">
      <c r="A3571" s="786" t="s">
        <v>7232</v>
      </c>
      <c r="B3571" s="787">
        <v>4</v>
      </c>
      <c r="C3571" s="787" t="s">
        <v>7233</v>
      </c>
      <c r="D3571" s="787">
        <v>0.81</v>
      </c>
      <c r="E3571" s="787">
        <v>4.38</v>
      </c>
      <c r="F3571" s="788">
        <v>39456</v>
      </c>
      <c r="G3571" s="788">
        <v>42047</v>
      </c>
      <c r="H3571" s="787">
        <v>1</v>
      </c>
      <c r="I3571" s="788">
        <v>42018</v>
      </c>
      <c r="J3571" s="788">
        <v>42018</v>
      </c>
      <c r="L3571" s="787">
        <v>2.46</v>
      </c>
      <c r="M3571" s="787">
        <v>10</v>
      </c>
      <c r="N3571" s="787">
        <v>14.56</v>
      </c>
      <c r="O3571" s="788">
        <v>42162</v>
      </c>
    </row>
    <row r="3572" spans="1:15" x14ac:dyDescent="0.25">
      <c r="A3572" s="786" t="s">
        <v>7234</v>
      </c>
      <c r="B3572" s="787">
        <v>4</v>
      </c>
      <c r="C3572" s="787" t="s">
        <v>7235</v>
      </c>
      <c r="D3572" s="787">
        <v>0</v>
      </c>
      <c r="E3572" s="787">
        <v>0</v>
      </c>
      <c r="H3572" s="787">
        <v>1</v>
      </c>
      <c r="I3572" s="788">
        <v>40891</v>
      </c>
      <c r="L3572" s="787">
        <v>0</v>
      </c>
      <c r="M3572" s="787">
        <v>10</v>
      </c>
      <c r="N3572" s="787">
        <v>0</v>
      </c>
      <c r="O3572" s="788">
        <v>40824</v>
      </c>
    </row>
    <row r="3573" spans="1:15" x14ac:dyDescent="0.25">
      <c r="A3573" s="786" t="s">
        <v>7236</v>
      </c>
      <c r="B3573" s="787">
        <v>4</v>
      </c>
      <c r="C3573" s="787" t="s">
        <v>5244</v>
      </c>
      <c r="D3573" s="787">
        <v>0</v>
      </c>
      <c r="E3573" s="787">
        <v>0</v>
      </c>
      <c r="H3573" s="787">
        <v>1</v>
      </c>
      <c r="L3573" s="787">
        <v>0</v>
      </c>
      <c r="M3573" s="787">
        <v>10</v>
      </c>
      <c r="N3573" s="787">
        <v>16.670000000000002</v>
      </c>
      <c r="O3573" s="788">
        <v>39897</v>
      </c>
    </row>
    <row r="3574" spans="1:15" x14ac:dyDescent="0.25">
      <c r="A3574" s="786" t="s">
        <v>7237</v>
      </c>
      <c r="B3574" s="787">
        <v>4</v>
      </c>
      <c r="C3574" s="787" t="s">
        <v>5246</v>
      </c>
      <c r="D3574" s="787">
        <v>0</v>
      </c>
      <c r="E3574" s="787">
        <v>0</v>
      </c>
      <c r="H3574" s="787">
        <v>1</v>
      </c>
      <c r="L3574" s="787">
        <v>0</v>
      </c>
      <c r="M3574" s="787">
        <v>10</v>
      </c>
      <c r="N3574" s="787">
        <v>16.670000000000002</v>
      </c>
      <c r="O3574" s="788">
        <v>39897</v>
      </c>
    </row>
    <row r="3575" spans="1:15" x14ac:dyDescent="0.25">
      <c r="A3575" s="786" t="s">
        <v>7238</v>
      </c>
      <c r="B3575" s="787">
        <v>4</v>
      </c>
      <c r="C3575" s="787" t="s">
        <v>5248</v>
      </c>
      <c r="D3575" s="787">
        <v>0</v>
      </c>
      <c r="E3575" s="787">
        <v>0</v>
      </c>
      <c r="H3575" s="787">
        <v>1</v>
      </c>
      <c r="L3575" s="787">
        <v>0</v>
      </c>
      <c r="M3575" s="787">
        <v>10</v>
      </c>
      <c r="N3575" s="787">
        <v>13.65</v>
      </c>
      <c r="O3575" s="788">
        <v>39897</v>
      </c>
    </row>
    <row r="3576" spans="1:15" x14ac:dyDescent="0.25">
      <c r="A3576" s="786" t="s">
        <v>7239</v>
      </c>
      <c r="B3576" s="787">
        <v>4</v>
      </c>
      <c r="C3576" s="787" t="s">
        <v>7240</v>
      </c>
      <c r="D3576" s="787">
        <v>0</v>
      </c>
      <c r="E3576" s="787">
        <v>0</v>
      </c>
      <c r="H3576" s="787">
        <v>1</v>
      </c>
      <c r="L3576" s="787">
        <v>0</v>
      </c>
      <c r="M3576" s="787">
        <v>10</v>
      </c>
      <c r="N3576" s="787">
        <v>0.71</v>
      </c>
      <c r="O3576" s="788">
        <v>39897</v>
      </c>
    </row>
    <row r="3577" spans="1:15" x14ac:dyDescent="0.25">
      <c r="A3577" s="786" t="s">
        <v>7241</v>
      </c>
      <c r="B3577" s="787">
        <v>4</v>
      </c>
      <c r="C3577" s="787" t="s">
        <v>7242</v>
      </c>
      <c r="D3577" s="787">
        <v>5.66</v>
      </c>
      <c r="E3577" s="787">
        <v>5.66</v>
      </c>
      <c r="F3577" s="788">
        <v>41135</v>
      </c>
      <c r="G3577" s="788">
        <v>41565</v>
      </c>
      <c r="H3577" s="787">
        <v>1</v>
      </c>
      <c r="J3577" s="788">
        <v>40728</v>
      </c>
      <c r="L3577" s="787">
        <v>0</v>
      </c>
      <c r="M3577" s="787">
        <v>10</v>
      </c>
      <c r="N3577" s="787">
        <v>23.41</v>
      </c>
      <c r="O3577" s="788">
        <v>42034</v>
      </c>
    </row>
    <row r="3578" spans="1:15" x14ac:dyDescent="0.25">
      <c r="A3578" s="786" t="s">
        <v>7243</v>
      </c>
      <c r="B3578" s="787">
        <v>4</v>
      </c>
      <c r="C3578" s="787" t="s">
        <v>5254</v>
      </c>
      <c r="D3578" s="787">
        <v>3.06</v>
      </c>
      <c r="E3578" s="787">
        <v>3.06</v>
      </c>
      <c r="F3578" s="788">
        <v>41135</v>
      </c>
      <c r="G3578" s="788">
        <v>41565</v>
      </c>
      <c r="H3578" s="787">
        <v>1</v>
      </c>
      <c r="J3578" s="788">
        <v>40695</v>
      </c>
      <c r="L3578" s="787">
        <v>0</v>
      </c>
      <c r="M3578" s="787">
        <v>10</v>
      </c>
      <c r="N3578" s="787">
        <v>19.5</v>
      </c>
      <c r="O3578" s="788">
        <v>42034</v>
      </c>
    </row>
    <row r="3579" spans="1:15" x14ac:dyDescent="0.25">
      <c r="A3579" s="786" t="s">
        <v>7244</v>
      </c>
      <c r="B3579" s="787">
        <v>4</v>
      </c>
      <c r="C3579" s="787" t="s">
        <v>5256</v>
      </c>
      <c r="D3579" s="787">
        <v>0</v>
      </c>
      <c r="E3579" s="787">
        <v>0</v>
      </c>
      <c r="H3579" s="787">
        <v>1</v>
      </c>
      <c r="L3579" s="787">
        <v>0</v>
      </c>
      <c r="M3579" s="787">
        <v>10</v>
      </c>
      <c r="N3579" s="787">
        <v>26.79</v>
      </c>
      <c r="O3579" s="788">
        <v>41858</v>
      </c>
    </row>
    <row r="3580" spans="1:15" x14ac:dyDescent="0.25">
      <c r="A3580" s="786" t="s">
        <v>7245</v>
      </c>
      <c r="B3580" s="787">
        <v>4</v>
      </c>
      <c r="C3580" s="787" t="s">
        <v>5256</v>
      </c>
      <c r="D3580" s="787">
        <v>0</v>
      </c>
      <c r="E3580" s="787">
        <v>0</v>
      </c>
      <c r="H3580" s="787">
        <v>1</v>
      </c>
      <c r="L3580" s="787">
        <v>0</v>
      </c>
      <c r="M3580" s="787">
        <v>10</v>
      </c>
      <c r="N3580" s="787">
        <v>28.76</v>
      </c>
      <c r="O3580" s="788">
        <v>41858</v>
      </c>
    </row>
    <row r="3581" spans="1:15" x14ac:dyDescent="0.25">
      <c r="A3581" s="786" t="s">
        <v>7246</v>
      </c>
      <c r="B3581" s="787">
        <v>4</v>
      </c>
      <c r="C3581" s="787" t="s">
        <v>5256</v>
      </c>
      <c r="D3581" s="787">
        <v>0</v>
      </c>
      <c r="E3581" s="787">
        <v>0</v>
      </c>
      <c r="H3581" s="787">
        <v>1</v>
      </c>
      <c r="L3581" s="787">
        <v>0</v>
      </c>
      <c r="M3581" s="787">
        <v>10</v>
      </c>
      <c r="N3581" s="787">
        <v>27.51</v>
      </c>
      <c r="O3581" s="788">
        <v>41858</v>
      </c>
    </row>
    <row r="3582" spans="1:15" x14ac:dyDescent="0.25">
      <c r="A3582" s="786" t="s">
        <v>7247</v>
      </c>
      <c r="B3582" s="787">
        <v>4</v>
      </c>
      <c r="C3582" s="787" t="s">
        <v>5256</v>
      </c>
      <c r="D3582" s="787">
        <v>0</v>
      </c>
      <c r="E3582" s="787">
        <v>0</v>
      </c>
      <c r="H3582" s="787">
        <v>1</v>
      </c>
      <c r="L3582" s="787">
        <v>0</v>
      </c>
      <c r="M3582" s="787">
        <v>10</v>
      </c>
      <c r="N3582" s="787">
        <v>26.26</v>
      </c>
      <c r="O3582" s="788">
        <v>41858</v>
      </c>
    </row>
    <row r="3583" spans="1:15" x14ac:dyDescent="0.25">
      <c r="A3583" s="786" t="s">
        <v>7248</v>
      </c>
      <c r="B3583" s="787">
        <v>4</v>
      </c>
      <c r="C3583" s="787" t="s">
        <v>5256</v>
      </c>
      <c r="D3583" s="787">
        <v>0</v>
      </c>
      <c r="E3583" s="787">
        <v>0</v>
      </c>
      <c r="H3583" s="787">
        <v>1</v>
      </c>
      <c r="L3583" s="787">
        <v>0</v>
      </c>
      <c r="M3583" s="787">
        <v>10</v>
      </c>
      <c r="N3583" s="787">
        <v>28.61</v>
      </c>
      <c r="O3583" s="788">
        <v>41858</v>
      </c>
    </row>
    <row r="3584" spans="1:15" x14ac:dyDescent="0.25">
      <c r="A3584" s="786" t="s">
        <v>7249</v>
      </c>
      <c r="B3584" s="787">
        <v>4</v>
      </c>
      <c r="C3584" s="787" t="s">
        <v>5256</v>
      </c>
      <c r="D3584" s="787">
        <v>0</v>
      </c>
      <c r="E3584" s="787">
        <v>0</v>
      </c>
      <c r="H3584" s="787">
        <v>1</v>
      </c>
      <c r="L3584" s="787">
        <v>0</v>
      </c>
      <c r="M3584" s="787">
        <v>10</v>
      </c>
      <c r="N3584" s="787">
        <v>27.36</v>
      </c>
      <c r="O3584" s="788">
        <v>41858</v>
      </c>
    </row>
    <row r="3585" spans="1:15" x14ac:dyDescent="0.25">
      <c r="A3585" s="786" t="s">
        <v>7250</v>
      </c>
      <c r="B3585" s="787">
        <v>4</v>
      </c>
      <c r="C3585" s="787" t="s">
        <v>5256</v>
      </c>
      <c r="D3585" s="787">
        <v>0</v>
      </c>
      <c r="E3585" s="787">
        <v>0</v>
      </c>
      <c r="H3585" s="787">
        <v>1</v>
      </c>
      <c r="L3585" s="787">
        <v>0</v>
      </c>
      <c r="M3585" s="787">
        <v>10</v>
      </c>
      <c r="N3585" s="787">
        <v>27.38</v>
      </c>
      <c r="O3585" s="788">
        <v>41858</v>
      </c>
    </row>
    <row r="3586" spans="1:15" x14ac:dyDescent="0.25">
      <c r="A3586" s="786" t="s">
        <v>7251</v>
      </c>
      <c r="B3586" s="787">
        <v>4</v>
      </c>
      <c r="C3586" s="787" t="s">
        <v>5256</v>
      </c>
      <c r="D3586" s="787">
        <v>0</v>
      </c>
      <c r="E3586" s="787">
        <v>0</v>
      </c>
      <c r="H3586" s="787">
        <v>1</v>
      </c>
      <c r="L3586" s="787">
        <v>0</v>
      </c>
      <c r="M3586" s="787">
        <v>10</v>
      </c>
      <c r="N3586" s="787">
        <v>27.38</v>
      </c>
      <c r="O3586" s="788">
        <v>41858</v>
      </c>
    </row>
    <row r="3587" spans="1:15" x14ac:dyDescent="0.25">
      <c r="A3587" s="786" t="s">
        <v>7252</v>
      </c>
      <c r="B3587" s="787">
        <v>4</v>
      </c>
      <c r="C3587" s="787" t="s">
        <v>5265</v>
      </c>
      <c r="D3587" s="787">
        <v>0</v>
      </c>
      <c r="E3587" s="787">
        <v>0</v>
      </c>
      <c r="H3587" s="787">
        <v>1</v>
      </c>
      <c r="L3587" s="787">
        <v>0</v>
      </c>
      <c r="M3587" s="787">
        <v>10</v>
      </c>
      <c r="N3587" s="787">
        <v>25.98</v>
      </c>
      <c r="O3587" s="788">
        <v>41858</v>
      </c>
    </row>
    <row r="3588" spans="1:15" x14ac:dyDescent="0.25">
      <c r="A3588" s="786" t="s">
        <v>7253</v>
      </c>
      <c r="B3588" s="787">
        <v>4</v>
      </c>
      <c r="C3588" s="787" t="s">
        <v>5265</v>
      </c>
      <c r="D3588" s="787">
        <v>0</v>
      </c>
      <c r="E3588" s="787">
        <v>0</v>
      </c>
      <c r="H3588" s="787">
        <v>1</v>
      </c>
      <c r="L3588" s="787">
        <v>0</v>
      </c>
      <c r="M3588" s="787">
        <v>10</v>
      </c>
      <c r="N3588" s="787">
        <v>26.03</v>
      </c>
      <c r="O3588" s="788">
        <v>41858</v>
      </c>
    </row>
    <row r="3589" spans="1:15" x14ac:dyDescent="0.25">
      <c r="A3589" s="786" t="s">
        <v>7254</v>
      </c>
      <c r="B3589" s="787">
        <v>4</v>
      </c>
      <c r="C3589" s="787" t="s">
        <v>5265</v>
      </c>
      <c r="D3589" s="787">
        <v>0</v>
      </c>
      <c r="E3589" s="787">
        <v>0</v>
      </c>
      <c r="H3589" s="787">
        <v>1</v>
      </c>
      <c r="L3589" s="787">
        <v>0</v>
      </c>
      <c r="M3589" s="787">
        <v>10</v>
      </c>
      <c r="N3589" s="787">
        <v>26.33</v>
      </c>
      <c r="O3589" s="788">
        <v>41858</v>
      </c>
    </row>
    <row r="3590" spans="1:15" x14ac:dyDescent="0.25">
      <c r="A3590" s="786" t="s">
        <v>7255</v>
      </c>
      <c r="B3590" s="787">
        <v>4</v>
      </c>
      <c r="C3590" s="787" t="s">
        <v>5265</v>
      </c>
      <c r="D3590" s="787">
        <v>0</v>
      </c>
      <c r="E3590" s="787">
        <v>0</v>
      </c>
      <c r="H3590" s="787">
        <v>1</v>
      </c>
      <c r="L3590" s="787">
        <v>0</v>
      </c>
      <c r="M3590" s="787">
        <v>10</v>
      </c>
      <c r="N3590" s="787">
        <v>26.63</v>
      </c>
      <c r="O3590" s="788">
        <v>41858</v>
      </c>
    </row>
    <row r="3591" spans="1:15" x14ac:dyDescent="0.25">
      <c r="A3591" s="786" t="s">
        <v>7256</v>
      </c>
      <c r="B3591" s="787">
        <v>4</v>
      </c>
      <c r="C3591" s="787" t="s">
        <v>5265</v>
      </c>
      <c r="D3591" s="787">
        <v>0</v>
      </c>
      <c r="E3591" s="787">
        <v>0</v>
      </c>
      <c r="H3591" s="787">
        <v>1</v>
      </c>
      <c r="L3591" s="787">
        <v>0</v>
      </c>
      <c r="M3591" s="787">
        <v>10</v>
      </c>
      <c r="N3591" s="787">
        <v>26.98</v>
      </c>
      <c r="O3591" s="788">
        <v>41858</v>
      </c>
    </row>
    <row r="3592" spans="1:15" x14ac:dyDescent="0.25">
      <c r="A3592" s="786" t="s">
        <v>7257</v>
      </c>
      <c r="B3592" s="787">
        <v>4</v>
      </c>
      <c r="C3592" s="787" t="s">
        <v>5271</v>
      </c>
      <c r="D3592" s="787">
        <v>0</v>
      </c>
      <c r="E3592" s="787">
        <v>0</v>
      </c>
      <c r="H3592" s="787">
        <v>1</v>
      </c>
      <c r="L3592" s="787">
        <v>0</v>
      </c>
      <c r="M3592" s="787">
        <v>10</v>
      </c>
      <c r="N3592" s="787">
        <v>27.06</v>
      </c>
      <c r="O3592" s="788">
        <v>41858</v>
      </c>
    </row>
    <row r="3593" spans="1:15" x14ac:dyDescent="0.25">
      <c r="A3593" s="786" t="s">
        <v>7258</v>
      </c>
      <c r="B3593" s="787">
        <v>4</v>
      </c>
      <c r="C3593" s="787" t="s">
        <v>5271</v>
      </c>
      <c r="D3593" s="787">
        <v>0</v>
      </c>
      <c r="E3593" s="787">
        <v>0</v>
      </c>
      <c r="H3593" s="787">
        <v>1</v>
      </c>
      <c r="L3593" s="787">
        <v>0</v>
      </c>
      <c r="M3593" s="787">
        <v>10</v>
      </c>
      <c r="N3593" s="787">
        <v>27.27</v>
      </c>
      <c r="O3593" s="788">
        <v>41858</v>
      </c>
    </row>
    <row r="3594" spans="1:15" x14ac:dyDescent="0.25">
      <c r="A3594" s="786" t="s">
        <v>7259</v>
      </c>
      <c r="B3594" s="787">
        <v>4</v>
      </c>
      <c r="C3594" s="787" t="s">
        <v>5271</v>
      </c>
      <c r="D3594" s="787">
        <v>5.55</v>
      </c>
      <c r="E3594" s="787">
        <v>8.07</v>
      </c>
      <c r="F3594" s="788">
        <v>41134</v>
      </c>
      <c r="G3594" s="788">
        <v>41134</v>
      </c>
      <c r="H3594" s="787">
        <v>1</v>
      </c>
      <c r="J3594" s="788">
        <v>41040</v>
      </c>
      <c r="K3594" s="788">
        <v>41023</v>
      </c>
      <c r="L3594" s="787">
        <v>1</v>
      </c>
      <c r="M3594" s="787">
        <v>10</v>
      </c>
      <c r="N3594" s="787">
        <v>25.28</v>
      </c>
      <c r="O3594" s="788">
        <v>41858</v>
      </c>
    </row>
    <row r="3595" spans="1:15" x14ac:dyDescent="0.25">
      <c r="A3595" s="786" t="s">
        <v>7260</v>
      </c>
      <c r="B3595" s="787">
        <v>4</v>
      </c>
      <c r="C3595" s="787" t="s">
        <v>5275</v>
      </c>
      <c r="D3595" s="787">
        <v>0</v>
      </c>
      <c r="E3595" s="787">
        <v>0</v>
      </c>
      <c r="H3595" s="787">
        <v>1</v>
      </c>
      <c r="L3595" s="787">
        <v>0</v>
      </c>
      <c r="M3595" s="787">
        <v>10</v>
      </c>
      <c r="N3595" s="787">
        <v>27.04</v>
      </c>
      <c r="O3595" s="788">
        <v>41858</v>
      </c>
    </row>
    <row r="3596" spans="1:15" x14ac:dyDescent="0.25">
      <c r="A3596" s="786" t="s">
        <v>7261</v>
      </c>
      <c r="B3596" s="787">
        <v>4</v>
      </c>
      <c r="C3596" s="787" t="s">
        <v>5265</v>
      </c>
      <c r="D3596" s="787">
        <v>0</v>
      </c>
      <c r="E3596" s="787">
        <v>0</v>
      </c>
      <c r="H3596" s="787">
        <v>1</v>
      </c>
      <c r="L3596" s="787">
        <v>0</v>
      </c>
      <c r="M3596" s="787">
        <v>10</v>
      </c>
      <c r="N3596" s="787">
        <v>27.04</v>
      </c>
      <c r="O3596" s="788">
        <v>41858</v>
      </c>
    </row>
    <row r="3597" spans="1:15" x14ac:dyDescent="0.25">
      <c r="A3597" s="786" t="s">
        <v>7262</v>
      </c>
      <c r="B3597" s="787">
        <v>4</v>
      </c>
      <c r="C3597" s="787" t="s">
        <v>5265</v>
      </c>
      <c r="D3597" s="787">
        <v>0</v>
      </c>
      <c r="E3597" s="787">
        <v>0</v>
      </c>
      <c r="H3597" s="787">
        <v>1</v>
      </c>
      <c r="L3597" s="787">
        <v>0</v>
      </c>
      <c r="M3597" s="787">
        <v>10</v>
      </c>
      <c r="N3597" s="787">
        <v>27.04</v>
      </c>
      <c r="O3597" s="788">
        <v>41858</v>
      </c>
    </row>
    <row r="3598" spans="1:15" x14ac:dyDescent="0.25">
      <c r="A3598" s="786" t="s">
        <v>7263</v>
      </c>
      <c r="B3598" s="787">
        <v>4</v>
      </c>
      <c r="C3598" s="787" t="s">
        <v>5265</v>
      </c>
      <c r="D3598" s="787">
        <v>0</v>
      </c>
      <c r="E3598" s="787">
        <v>0</v>
      </c>
      <c r="H3598" s="787">
        <v>1</v>
      </c>
      <c r="L3598" s="787">
        <v>0</v>
      </c>
      <c r="M3598" s="787">
        <v>10</v>
      </c>
      <c r="N3598" s="787">
        <v>26.69</v>
      </c>
      <c r="O3598" s="788">
        <v>41858</v>
      </c>
    </row>
    <row r="3599" spans="1:15" x14ac:dyDescent="0.25">
      <c r="A3599" s="786" t="s">
        <v>7264</v>
      </c>
      <c r="B3599" s="787">
        <v>4</v>
      </c>
      <c r="C3599" s="787" t="s">
        <v>5265</v>
      </c>
      <c r="D3599" s="787">
        <v>0</v>
      </c>
      <c r="E3599" s="787">
        <v>0</v>
      </c>
      <c r="H3599" s="787">
        <v>1</v>
      </c>
      <c r="L3599" s="787">
        <v>0</v>
      </c>
      <c r="M3599" s="787">
        <v>10</v>
      </c>
      <c r="N3599" s="787">
        <v>28.33</v>
      </c>
      <c r="O3599" s="788">
        <v>41858</v>
      </c>
    </row>
    <row r="3600" spans="1:15" x14ac:dyDescent="0.25">
      <c r="A3600" s="786" t="s">
        <v>7265</v>
      </c>
      <c r="B3600" s="787">
        <v>4</v>
      </c>
      <c r="C3600" s="787" t="s">
        <v>5265</v>
      </c>
      <c r="D3600" s="787">
        <v>0</v>
      </c>
      <c r="E3600" s="787">
        <v>0</v>
      </c>
      <c r="H3600" s="787">
        <v>1</v>
      </c>
      <c r="L3600" s="787">
        <v>0</v>
      </c>
      <c r="M3600" s="787">
        <v>10</v>
      </c>
      <c r="N3600" s="787">
        <v>28.33</v>
      </c>
      <c r="O3600" s="788">
        <v>41858</v>
      </c>
    </row>
    <row r="3601" spans="1:15" x14ac:dyDescent="0.25">
      <c r="A3601" s="786" t="s">
        <v>7266</v>
      </c>
      <c r="B3601" s="787">
        <v>4</v>
      </c>
      <c r="C3601" s="787" t="s">
        <v>5282</v>
      </c>
      <c r="D3601" s="787">
        <v>0</v>
      </c>
      <c r="E3601" s="787">
        <v>0</v>
      </c>
      <c r="H3601" s="787">
        <v>1</v>
      </c>
      <c r="K3601" s="788">
        <v>41579</v>
      </c>
      <c r="L3601" s="787">
        <v>21.25</v>
      </c>
      <c r="M3601" s="787">
        <v>10</v>
      </c>
      <c r="N3601" s="787">
        <v>21.25</v>
      </c>
      <c r="O3601" s="788">
        <v>41858</v>
      </c>
    </row>
    <row r="3602" spans="1:15" x14ac:dyDescent="0.25">
      <c r="A3602" s="786" t="s">
        <v>7267</v>
      </c>
      <c r="B3602" s="787">
        <v>4</v>
      </c>
      <c r="C3602" s="787" t="s">
        <v>5286</v>
      </c>
      <c r="D3602" s="787">
        <v>0</v>
      </c>
      <c r="E3602" s="787">
        <v>0</v>
      </c>
      <c r="H3602" s="787">
        <v>1</v>
      </c>
      <c r="L3602" s="787">
        <v>0</v>
      </c>
      <c r="M3602" s="787">
        <v>10</v>
      </c>
      <c r="N3602" s="787">
        <v>0</v>
      </c>
      <c r="O3602" s="788">
        <v>40824</v>
      </c>
    </row>
    <row r="3603" spans="1:15" x14ac:dyDescent="0.25">
      <c r="A3603" s="786" t="s">
        <v>7268</v>
      </c>
      <c r="B3603" s="787">
        <v>4</v>
      </c>
      <c r="C3603" s="787" t="s">
        <v>5294</v>
      </c>
      <c r="D3603" s="787">
        <v>0.09</v>
      </c>
      <c r="E3603" s="787">
        <v>8.02</v>
      </c>
      <c r="F3603" s="788">
        <v>39975</v>
      </c>
      <c r="G3603" s="788">
        <v>42051</v>
      </c>
      <c r="H3603" s="787">
        <v>1</v>
      </c>
      <c r="I3603" s="788">
        <v>42130</v>
      </c>
      <c r="J3603" s="788">
        <v>42023</v>
      </c>
      <c r="L3603" s="787">
        <v>1.52</v>
      </c>
      <c r="M3603" s="787">
        <v>10</v>
      </c>
      <c r="N3603" s="787">
        <v>2.5099999999999998</v>
      </c>
      <c r="O3603" s="788">
        <v>42034</v>
      </c>
    </row>
    <row r="3604" spans="1:15" x14ac:dyDescent="0.25">
      <c r="A3604" s="786" t="s">
        <v>7269</v>
      </c>
      <c r="B3604" s="787">
        <v>4</v>
      </c>
      <c r="C3604" s="787" t="s">
        <v>7270</v>
      </c>
      <c r="D3604" s="787">
        <v>0.01</v>
      </c>
      <c r="E3604" s="787">
        <v>6.87</v>
      </c>
      <c r="F3604" s="788">
        <v>39456</v>
      </c>
      <c r="G3604" s="788">
        <v>42013</v>
      </c>
      <c r="H3604" s="787">
        <v>1</v>
      </c>
      <c r="I3604" s="788">
        <v>42130</v>
      </c>
      <c r="J3604" s="788">
        <v>41243</v>
      </c>
      <c r="L3604" s="787">
        <v>2.11</v>
      </c>
      <c r="M3604" s="787">
        <v>10</v>
      </c>
      <c r="N3604" s="787">
        <v>8.93</v>
      </c>
      <c r="O3604" s="788">
        <v>41858</v>
      </c>
    </row>
    <row r="3605" spans="1:15" x14ac:dyDescent="0.25">
      <c r="A3605" s="786" t="s">
        <v>7271</v>
      </c>
      <c r="B3605" s="787">
        <v>4</v>
      </c>
      <c r="C3605" s="787" t="s">
        <v>7272</v>
      </c>
      <c r="D3605" s="787">
        <v>0.02</v>
      </c>
      <c r="E3605" s="787">
        <v>6.41</v>
      </c>
      <c r="F3605" s="788">
        <v>39456</v>
      </c>
      <c r="G3605" s="788">
        <v>42065</v>
      </c>
      <c r="H3605" s="787">
        <v>1</v>
      </c>
      <c r="I3605" s="788">
        <v>42130</v>
      </c>
      <c r="J3605" s="788">
        <v>42039</v>
      </c>
      <c r="L3605" s="787">
        <v>2.11</v>
      </c>
      <c r="M3605" s="787">
        <v>10</v>
      </c>
      <c r="N3605" s="787">
        <v>8.4</v>
      </c>
      <c r="O3605" s="788">
        <v>41858</v>
      </c>
    </row>
    <row r="3606" spans="1:15" x14ac:dyDescent="0.25">
      <c r="A3606" s="786" t="s">
        <v>7273</v>
      </c>
      <c r="B3606" s="787">
        <v>4</v>
      </c>
      <c r="C3606" s="787" t="s">
        <v>5306</v>
      </c>
      <c r="D3606" s="787">
        <v>0</v>
      </c>
      <c r="E3606" s="787">
        <v>0</v>
      </c>
      <c r="G3606" s="788">
        <v>38736</v>
      </c>
      <c r="H3606" s="787">
        <v>1</v>
      </c>
      <c r="I3606" s="788">
        <v>39134</v>
      </c>
      <c r="J3606" s="788">
        <v>39149</v>
      </c>
      <c r="L3606" s="787">
        <v>5.8</v>
      </c>
      <c r="M3606" s="787">
        <v>10</v>
      </c>
      <c r="N3606" s="787">
        <v>6.87</v>
      </c>
      <c r="O3606" s="788">
        <v>41858</v>
      </c>
    </row>
    <row r="3607" spans="1:15" x14ac:dyDescent="0.25">
      <c r="A3607" s="786" t="s">
        <v>7274</v>
      </c>
      <c r="B3607" s="787">
        <v>4</v>
      </c>
      <c r="C3607" s="787" t="s">
        <v>5308</v>
      </c>
      <c r="D3607" s="787">
        <v>0</v>
      </c>
      <c r="E3607" s="787">
        <v>0</v>
      </c>
      <c r="H3607" s="787">
        <v>1</v>
      </c>
      <c r="L3607" s="787">
        <v>5.8</v>
      </c>
      <c r="M3607" s="787">
        <v>10</v>
      </c>
      <c r="N3607" s="787">
        <v>6.87</v>
      </c>
      <c r="O3607" s="788">
        <v>41858</v>
      </c>
    </row>
    <row r="3608" spans="1:15" x14ac:dyDescent="0.25">
      <c r="A3608" s="786" t="s">
        <v>7275</v>
      </c>
      <c r="B3608" s="787">
        <v>4</v>
      </c>
      <c r="C3608" s="787" t="s">
        <v>7276</v>
      </c>
      <c r="D3608" s="787">
        <v>6.46</v>
      </c>
      <c r="E3608" s="787">
        <v>16.46</v>
      </c>
      <c r="F3608" s="788">
        <v>42051</v>
      </c>
      <c r="G3608" s="788">
        <v>42051</v>
      </c>
      <c r="H3608" s="787">
        <v>1</v>
      </c>
      <c r="I3608" s="788">
        <v>41738</v>
      </c>
      <c r="J3608" s="788">
        <v>42019</v>
      </c>
      <c r="L3608" s="787">
        <v>0.01</v>
      </c>
      <c r="M3608" s="787">
        <v>10</v>
      </c>
      <c r="N3608" s="787">
        <v>13.78</v>
      </c>
      <c r="O3608" s="788">
        <v>42011</v>
      </c>
    </row>
    <row r="3609" spans="1:15" x14ac:dyDescent="0.25">
      <c r="A3609" s="786" t="s">
        <v>7277</v>
      </c>
      <c r="B3609" s="787">
        <v>4</v>
      </c>
      <c r="C3609" s="787" t="s">
        <v>7278</v>
      </c>
      <c r="D3609" s="787">
        <v>6.81</v>
      </c>
      <c r="E3609" s="787">
        <v>16.809999999999999</v>
      </c>
      <c r="F3609" s="788">
        <v>41418</v>
      </c>
      <c r="G3609" s="788">
        <v>41943</v>
      </c>
      <c r="H3609" s="787">
        <v>1</v>
      </c>
      <c r="J3609" s="788">
        <v>41383</v>
      </c>
      <c r="K3609" s="788">
        <v>41361</v>
      </c>
      <c r="L3609" s="787">
        <v>10.81</v>
      </c>
      <c r="M3609" s="787">
        <v>10</v>
      </c>
      <c r="N3609" s="787">
        <v>13.72</v>
      </c>
      <c r="O3609" s="788">
        <v>41955</v>
      </c>
    </row>
    <row r="3610" spans="1:15" x14ac:dyDescent="0.25">
      <c r="A3610" s="786" t="s">
        <v>7279</v>
      </c>
      <c r="B3610" s="787">
        <v>4</v>
      </c>
      <c r="C3610" s="787" t="s">
        <v>7280</v>
      </c>
      <c r="D3610" s="787">
        <v>8.2100000000000009</v>
      </c>
      <c r="E3610" s="787">
        <v>18.21</v>
      </c>
      <c r="F3610" s="788">
        <v>41418</v>
      </c>
      <c r="G3610" s="788">
        <v>41943</v>
      </c>
      <c r="H3610" s="787">
        <v>1</v>
      </c>
      <c r="J3610" s="788">
        <v>41383</v>
      </c>
      <c r="K3610" s="788">
        <v>41361</v>
      </c>
      <c r="L3610" s="787">
        <v>12.28</v>
      </c>
      <c r="M3610" s="787">
        <v>10</v>
      </c>
      <c r="N3610" s="787">
        <v>14.95</v>
      </c>
      <c r="O3610" s="788">
        <v>41858</v>
      </c>
    </row>
    <row r="3611" spans="1:15" x14ac:dyDescent="0.25">
      <c r="A3611" s="786" t="s">
        <v>7281</v>
      </c>
      <c r="B3611" s="787">
        <v>4</v>
      </c>
      <c r="C3611" s="787" t="s">
        <v>7282</v>
      </c>
      <c r="D3611" s="787">
        <v>7.82</v>
      </c>
      <c r="E3611" s="787">
        <v>41.67</v>
      </c>
      <c r="F3611" s="788">
        <v>40659</v>
      </c>
      <c r="G3611" s="788">
        <v>41943</v>
      </c>
      <c r="H3611" s="787">
        <v>1</v>
      </c>
      <c r="J3611" s="788">
        <v>40938</v>
      </c>
      <c r="L3611" s="787">
        <v>0</v>
      </c>
      <c r="M3611" s="787">
        <v>10</v>
      </c>
      <c r="N3611" s="787">
        <v>10.32</v>
      </c>
      <c r="O3611" s="788">
        <v>41955</v>
      </c>
    </row>
    <row r="3612" spans="1:15" x14ac:dyDescent="0.25">
      <c r="A3612" s="786" t="s">
        <v>7283</v>
      </c>
      <c r="B3612" s="787">
        <v>4</v>
      </c>
      <c r="C3612" s="787" t="s">
        <v>7284</v>
      </c>
      <c r="D3612" s="787">
        <v>8.24</v>
      </c>
      <c r="E3612" s="787">
        <v>22.15</v>
      </c>
      <c r="F3612" s="788">
        <v>40659</v>
      </c>
      <c r="G3612" s="788">
        <v>41943</v>
      </c>
      <c r="H3612" s="787">
        <v>1</v>
      </c>
      <c r="J3612" s="788">
        <v>41383</v>
      </c>
      <c r="K3612" s="788">
        <v>41361</v>
      </c>
      <c r="L3612" s="787">
        <v>12.28</v>
      </c>
      <c r="M3612" s="787">
        <v>10</v>
      </c>
      <c r="N3612" s="787">
        <v>14.95</v>
      </c>
      <c r="O3612" s="788">
        <v>41858</v>
      </c>
    </row>
    <row r="3613" spans="1:15" x14ac:dyDescent="0.25">
      <c r="A3613" s="786" t="s">
        <v>7285</v>
      </c>
      <c r="B3613" s="787">
        <v>4</v>
      </c>
      <c r="C3613" s="787" t="s">
        <v>5337</v>
      </c>
      <c r="D3613" s="787">
        <v>4.1100000000000003</v>
      </c>
      <c r="E3613" s="787">
        <v>4.88</v>
      </c>
      <c r="F3613" s="788">
        <v>40644</v>
      </c>
      <c r="G3613" s="788">
        <v>41943</v>
      </c>
      <c r="H3613" s="787">
        <v>1</v>
      </c>
      <c r="I3613" s="788">
        <v>41381</v>
      </c>
      <c r="J3613" s="788">
        <v>41379</v>
      </c>
      <c r="L3613" s="787">
        <v>0</v>
      </c>
      <c r="M3613" s="787">
        <v>10</v>
      </c>
      <c r="N3613" s="787">
        <v>3.51</v>
      </c>
      <c r="O3613" s="788">
        <v>41858</v>
      </c>
    </row>
    <row r="3614" spans="1:15" x14ac:dyDescent="0.25">
      <c r="A3614" s="786" t="s">
        <v>7286</v>
      </c>
      <c r="B3614" s="787">
        <v>4</v>
      </c>
      <c r="C3614" s="787" t="s">
        <v>7287</v>
      </c>
      <c r="D3614" s="787">
        <v>8.2100000000000009</v>
      </c>
      <c r="E3614" s="787">
        <v>9.4700000000000006</v>
      </c>
      <c r="F3614" s="788">
        <v>40644</v>
      </c>
      <c r="G3614" s="788">
        <v>41943</v>
      </c>
      <c r="H3614" s="787">
        <v>1</v>
      </c>
      <c r="I3614" s="788">
        <v>41381</v>
      </c>
      <c r="J3614" s="788">
        <v>41379</v>
      </c>
      <c r="K3614" s="788">
        <v>41654</v>
      </c>
      <c r="L3614" s="787">
        <v>5.05</v>
      </c>
      <c r="M3614" s="787">
        <v>10</v>
      </c>
      <c r="N3614" s="787">
        <v>5.13</v>
      </c>
      <c r="O3614" s="788">
        <v>41955</v>
      </c>
    </row>
    <row r="3615" spans="1:15" x14ac:dyDescent="0.25">
      <c r="A3615" s="786" t="s">
        <v>7288</v>
      </c>
      <c r="B3615" s="787">
        <v>4</v>
      </c>
      <c r="C3615" s="787" t="s">
        <v>5341</v>
      </c>
      <c r="D3615" s="787">
        <v>2.36</v>
      </c>
      <c r="E3615" s="787">
        <v>2.36</v>
      </c>
      <c r="F3615" s="788">
        <v>39101</v>
      </c>
      <c r="G3615" s="788">
        <v>41943</v>
      </c>
      <c r="H3615" s="787">
        <v>1</v>
      </c>
      <c r="I3615" s="788">
        <v>41570</v>
      </c>
      <c r="J3615" s="788">
        <v>39149</v>
      </c>
      <c r="L3615" s="787">
        <v>0</v>
      </c>
      <c r="M3615" s="787">
        <v>10</v>
      </c>
      <c r="N3615" s="787">
        <v>3.85</v>
      </c>
      <c r="O3615" s="788">
        <v>41858</v>
      </c>
    </row>
    <row r="3616" spans="1:15" x14ac:dyDescent="0.25">
      <c r="A3616" s="786" t="s">
        <v>7289</v>
      </c>
      <c r="B3616" s="787">
        <v>4</v>
      </c>
      <c r="C3616" s="787" t="s">
        <v>5343</v>
      </c>
      <c r="D3616" s="787">
        <v>0.77</v>
      </c>
      <c r="E3616" s="787">
        <v>2.13</v>
      </c>
      <c r="F3616" s="788">
        <v>39101</v>
      </c>
      <c r="G3616" s="788">
        <v>41943</v>
      </c>
      <c r="H3616" s="787">
        <v>1</v>
      </c>
      <c r="I3616" s="788">
        <v>41570</v>
      </c>
      <c r="J3616" s="788">
        <v>41179</v>
      </c>
      <c r="L3616" s="787">
        <v>0</v>
      </c>
      <c r="M3616" s="787">
        <v>10</v>
      </c>
      <c r="N3616" s="787">
        <v>1.1200000000000001</v>
      </c>
      <c r="O3616" s="788">
        <v>41858</v>
      </c>
    </row>
    <row r="3617" spans="1:15" x14ac:dyDescent="0.25">
      <c r="A3617" s="786" t="s">
        <v>7290</v>
      </c>
      <c r="B3617" s="787">
        <v>4</v>
      </c>
      <c r="C3617" s="787" t="s">
        <v>5399</v>
      </c>
      <c r="D3617" s="787">
        <v>0</v>
      </c>
      <c r="E3617" s="787">
        <v>0</v>
      </c>
      <c r="H3617" s="787">
        <v>1</v>
      </c>
      <c r="L3617" s="787">
        <v>4.45</v>
      </c>
      <c r="M3617" s="787">
        <v>10</v>
      </c>
      <c r="N3617" s="787">
        <v>5.78</v>
      </c>
      <c r="O3617" s="788">
        <v>41858</v>
      </c>
    </row>
    <row r="3618" spans="1:15" x14ac:dyDescent="0.25">
      <c r="A3618" s="786" t="s">
        <v>7291</v>
      </c>
      <c r="B3618" s="787">
        <v>4</v>
      </c>
      <c r="C3618" s="787" t="s">
        <v>5405</v>
      </c>
      <c r="D3618" s="787">
        <v>0</v>
      </c>
      <c r="E3618" s="787">
        <v>0</v>
      </c>
      <c r="H3618" s="787">
        <v>1</v>
      </c>
      <c r="I3618" s="788">
        <v>39002</v>
      </c>
      <c r="J3618" s="788">
        <v>39101</v>
      </c>
      <c r="L3618" s="787">
        <v>5.75</v>
      </c>
      <c r="M3618" s="787">
        <v>10</v>
      </c>
      <c r="N3618" s="787">
        <v>7.04</v>
      </c>
      <c r="O3618" s="788">
        <v>41978</v>
      </c>
    </row>
    <row r="3619" spans="1:15" x14ac:dyDescent="0.25">
      <c r="A3619" s="786" t="s">
        <v>7292</v>
      </c>
      <c r="B3619" s="787">
        <v>4</v>
      </c>
      <c r="C3619" s="787" t="s">
        <v>5411</v>
      </c>
      <c r="D3619" s="787">
        <v>0</v>
      </c>
      <c r="E3619" s="787">
        <v>0</v>
      </c>
      <c r="H3619" s="787">
        <v>1</v>
      </c>
      <c r="L3619" s="787">
        <v>6</v>
      </c>
      <c r="M3619" s="787">
        <v>10</v>
      </c>
      <c r="N3619" s="787">
        <v>7.28</v>
      </c>
      <c r="O3619" s="788">
        <v>41858</v>
      </c>
    </row>
    <row r="3620" spans="1:15" x14ac:dyDescent="0.25">
      <c r="A3620" s="786" t="s">
        <v>7293</v>
      </c>
      <c r="B3620" s="787">
        <v>4</v>
      </c>
      <c r="C3620" s="787" t="s">
        <v>5413</v>
      </c>
      <c r="D3620" s="787">
        <v>0</v>
      </c>
      <c r="E3620" s="787">
        <v>0</v>
      </c>
      <c r="H3620" s="787">
        <v>1</v>
      </c>
      <c r="L3620" s="787">
        <v>6</v>
      </c>
      <c r="M3620" s="787">
        <v>10</v>
      </c>
      <c r="N3620" s="787">
        <v>7.28</v>
      </c>
      <c r="O3620" s="788">
        <v>41858</v>
      </c>
    </row>
    <row r="3621" spans="1:15" x14ac:dyDescent="0.25">
      <c r="A3621" s="786" t="s">
        <v>7294</v>
      </c>
      <c r="B3621" s="787">
        <v>4</v>
      </c>
      <c r="C3621" s="787" t="s">
        <v>5415</v>
      </c>
      <c r="D3621" s="787">
        <v>0</v>
      </c>
      <c r="E3621" s="787">
        <v>0</v>
      </c>
      <c r="H3621" s="787">
        <v>1</v>
      </c>
      <c r="L3621" s="787">
        <v>2.85</v>
      </c>
      <c r="M3621" s="787">
        <v>10</v>
      </c>
      <c r="N3621" s="787">
        <v>4.25</v>
      </c>
      <c r="O3621" s="788">
        <v>42165</v>
      </c>
    </row>
    <row r="3622" spans="1:15" x14ac:dyDescent="0.25">
      <c r="A3622" s="786" t="s">
        <v>7295</v>
      </c>
      <c r="B3622" s="787">
        <v>4</v>
      </c>
      <c r="C3622" s="787" t="s">
        <v>5421</v>
      </c>
      <c r="D3622" s="787">
        <v>0</v>
      </c>
      <c r="E3622" s="787">
        <v>0</v>
      </c>
      <c r="H3622" s="787">
        <v>1</v>
      </c>
      <c r="I3622" s="788">
        <v>39402</v>
      </c>
      <c r="J3622" s="788">
        <v>39101</v>
      </c>
      <c r="L3622" s="787">
        <v>4.16</v>
      </c>
      <c r="M3622" s="787">
        <v>10</v>
      </c>
      <c r="N3622" s="787">
        <v>5.51</v>
      </c>
      <c r="O3622" s="788">
        <v>42165</v>
      </c>
    </row>
    <row r="3623" spans="1:15" x14ac:dyDescent="0.25">
      <c r="A3623" s="786" t="s">
        <v>7296</v>
      </c>
      <c r="B3623" s="787">
        <v>4</v>
      </c>
      <c r="C3623" s="787" t="s">
        <v>5423</v>
      </c>
      <c r="D3623" s="787">
        <v>0</v>
      </c>
      <c r="E3623" s="787">
        <v>0</v>
      </c>
      <c r="H3623" s="787">
        <v>1</v>
      </c>
      <c r="I3623" s="788">
        <v>39402</v>
      </c>
      <c r="J3623" s="788">
        <v>39457</v>
      </c>
      <c r="L3623" s="787">
        <v>8.16</v>
      </c>
      <c r="M3623" s="787">
        <v>10</v>
      </c>
      <c r="N3623" s="787">
        <v>9.3699999999999992</v>
      </c>
      <c r="O3623" s="788">
        <v>41858</v>
      </c>
    </row>
    <row r="3624" spans="1:15" x14ac:dyDescent="0.25">
      <c r="A3624" s="786" t="s">
        <v>7297</v>
      </c>
      <c r="B3624" s="787">
        <v>4</v>
      </c>
      <c r="C3624" s="787" t="s">
        <v>5429</v>
      </c>
      <c r="D3624" s="787">
        <v>0</v>
      </c>
      <c r="E3624" s="787">
        <v>0</v>
      </c>
      <c r="H3624" s="787">
        <v>1</v>
      </c>
      <c r="I3624" s="788">
        <v>39002</v>
      </c>
      <c r="J3624" s="788">
        <v>39101</v>
      </c>
      <c r="L3624" s="787">
        <v>5.47</v>
      </c>
      <c r="M3624" s="787">
        <v>10</v>
      </c>
      <c r="N3624" s="787">
        <v>6.77</v>
      </c>
      <c r="O3624" s="788">
        <v>42165</v>
      </c>
    </row>
    <row r="3625" spans="1:15" x14ac:dyDescent="0.25">
      <c r="A3625" s="786" t="s">
        <v>7298</v>
      </c>
      <c r="B3625" s="787">
        <v>4</v>
      </c>
      <c r="C3625" s="787" t="s">
        <v>5435</v>
      </c>
      <c r="D3625" s="787">
        <v>0</v>
      </c>
      <c r="E3625" s="787">
        <v>0</v>
      </c>
      <c r="H3625" s="787">
        <v>1</v>
      </c>
      <c r="I3625" s="788">
        <v>39064</v>
      </c>
      <c r="J3625" s="788">
        <v>39101</v>
      </c>
      <c r="L3625" s="787">
        <v>5.59</v>
      </c>
      <c r="M3625" s="787">
        <v>10</v>
      </c>
      <c r="N3625" s="787">
        <v>6.89</v>
      </c>
      <c r="O3625" s="788">
        <v>42165</v>
      </c>
    </row>
    <row r="3626" spans="1:15" x14ac:dyDescent="0.25">
      <c r="A3626" s="786" t="s">
        <v>7299</v>
      </c>
      <c r="B3626" s="787">
        <v>4</v>
      </c>
      <c r="C3626" s="787" t="s">
        <v>5437</v>
      </c>
      <c r="D3626" s="787">
        <v>0</v>
      </c>
      <c r="E3626" s="787">
        <v>0</v>
      </c>
      <c r="H3626" s="787">
        <v>1</v>
      </c>
      <c r="I3626" s="788">
        <v>39064</v>
      </c>
      <c r="J3626" s="788">
        <v>39101</v>
      </c>
      <c r="L3626" s="787">
        <v>5.59</v>
      </c>
      <c r="M3626" s="787">
        <v>10</v>
      </c>
      <c r="N3626" s="787">
        <v>6.89</v>
      </c>
      <c r="O3626" s="788">
        <v>42165</v>
      </c>
    </row>
    <row r="3627" spans="1:15" x14ac:dyDescent="0.25">
      <c r="A3627" s="786" t="s">
        <v>7300</v>
      </c>
      <c r="B3627" s="787">
        <v>4</v>
      </c>
      <c r="C3627" s="787" t="s">
        <v>5445</v>
      </c>
      <c r="D3627" s="787">
        <v>0</v>
      </c>
      <c r="E3627" s="787">
        <v>0</v>
      </c>
      <c r="H3627" s="787">
        <v>1</v>
      </c>
      <c r="I3627" s="788">
        <v>39402</v>
      </c>
      <c r="J3627" s="788">
        <v>39457</v>
      </c>
      <c r="L3627" s="787">
        <v>7.75</v>
      </c>
      <c r="M3627" s="787">
        <v>10</v>
      </c>
      <c r="N3627" s="787">
        <v>8.9700000000000006</v>
      </c>
      <c r="O3627" s="788">
        <v>42165</v>
      </c>
    </row>
    <row r="3628" spans="1:15" x14ac:dyDescent="0.25">
      <c r="A3628" s="786" t="s">
        <v>7301</v>
      </c>
      <c r="B3628" s="787">
        <v>4</v>
      </c>
      <c r="C3628" s="787" t="s">
        <v>5447</v>
      </c>
      <c r="D3628" s="787">
        <v>0</v>
      </c>
      <c r="E3628" s="787">
        <v>0</v>
      </c>
      <c r="H3628" s="787">
        <v>1</v>
      </c>
      <c r="I3628" s="788">
        <v>39402</v>
      </c>
      <c r="J3628" s="788">
        <v>39457</v>
      </c>
      <c r="L3628" s="787">
        <v>7.75</v>
      </c>
      <c r="M3628" s="787">
        <v>10</v>
      </c>
      <c r="N3628" s="787">
        <v>8.9700000000000006</v>
      </c>
      <c r="O3628" s="788">
        <v>42165</v>
      </c>
    </row>
    <row r="3629" spans="1:15" x14ac:dyDescent="0.25">
      <c r="A3629" s="786" t="s">
        <v>7302</v>
      </c>
      <c r="B3629" s="787">
        <v>4</v>
      </c>
      <c r="C3629" s="787" t="s">
        <v>5453</v>
      </c>
      <c r="D3629" s="787">
        <v>0</v>
      </c>
      <c r="E3629" s="787">
        <v>0</v>
      </c>
      <c r="H3629" s="787">
        <v>1</v>
      </c>
      <c r="I3629" s="788">
        <v>38546</v>
      </c>
      <c r="J3629" s="788">
        <v>38736</v>
      </c>
      <c r="L3629" s="787">
        <v>8.16</v>
      </c>
      <c r="M3629" s="787">
        <v>10</v>
      </c>
      <c r="N3629" s="787">
        <v>9.3699999999999992</v>
      </c>
      <c r="O3629" s="788">
        <v>42165</v>
      </c>
    </row>
    <row r="3630" spans="1:15" x14ac:dyDescent="0.25">
      <c r="A3630" s="786" t="s">
        <v>7303</v>
      </c>
      <c r="B3630" s="787">
        <v>4</v>
      </c>
      <c r="C3630" s="787" t="s">
        <v>5455</v>
      </c>
      <c r="D3630" s="787">
        <v>0</v>
      </c>
      <c r="E3630" s="787">
        <v>0</v>
      </c>
      <c r="H3630" s="787">
        <v>1</v>
      </c>
      <c r="L3630" s="787">
        <v>8.16</v>
      </c>
      <c r="M3630" s="787">
        <v>10</v>
      </c>
      <c r="N3630" s="787">
        <v>9.3699999999999992</v>
      </c>
      <c r="O3630" s="788">
        <v>42165</v>
      </c>
    </row>
    <row r="3631" spans="1:15" x14ac:dyDescent="0.25">
      <c r="A3631" s="786" t="s">
        <v>7304</v>
      </c>
      <c r="B3631" s="787">
        <v>4</v>
      </c>
      <c r="C3631" s="787" t="s">
        <v>5461</v>
      </c>
      <c r="D3631" s="787">
        <v>0</v>
      </c>
      <c r="E3631" s="787">
        <v>0</v>
      </c>
      <c r="H3631" s="787">
        <v>1</v>
      </c>
      <c r="L3631" s="787">
        <v>3.43</v>
      </c>
      <c r="M3631" s="787">
        <v>10</v>
      </c>
      <c r="N3631" s="787">
        <v>4.8</v>
      </c>
      <c r="O3631" s="788">
        <v>41858</v>
      </c>
    </row>
    <row r="3632" spans="1:15" x14ac:dyDescent="0.25">
      <c r="A3632" s="786" t="s">
        <v>7305</v>
      </c>
      <c r="B3632" s="787">
        <v>4</v>
      </c>
      <c r="C3632" s="787" t="s">
        <v>5463</v>
      </c>
      <c r="D3632" s="787">
        <v>0</v>
      </c>
      <c r="E3632" s="787">
        <v>0</v>
      </c>
      <c r="H3632" s="787">
        <v>1</v>
      </c>
      <c r="L3632" s="787">
        <v>3.43</v>
      </c>
      <c r="M3632" s="787">
        <v>10</v>
      </c>
      <c r="N3632" s="787">
        <v>4.8</v>
      </c>
      <c r="O3632" s="788">
        <v>41858</v>
      </c>
    </row>
    <row r="3633" spans="1:15" x14ac:dyDescent="0.25">
      <c r="A3633" s="786" t="s">
        <v>7306</v>
      </c>
      <c r="B3633" s="787">
        <v>4</v>
      </c>
      <c r="C3633" s="787" t="s">
        <v>7307</v>
      </c>
      <c r="D3633" s="787">
        <v>2.94</v>
      </c>
      <c r="E3633" s="787">
        <v>2.94</v>
      </c>
      <c r="F3633" s="788">
        <v>41978</v>
      </c>
      <c r="G3633" s="788">
        <v>42008</v>
      </c>
      <c r="H3633" s="787">
        <v>1</v>
      </c>
      <c r="I3633" s="788">
        <v>41887</v>
      </c>
      <c r="J3633" s="788">
        <v>41969</v>
      </c>
      <c r="K3633" s="788">
        <v>41215</v>
      </c>
      <c r="L3633" s="787">
        <v>2.8</v>
      </c>
      <c r="M3633" s="787">
        <v>20</v>
      </c>
      <c r="N3633" s="787">
        <v>3.01</v>
      </c>
      <c r="O3633" s="788">
        <v>41858</v>
      </c>
    </row>
    <row r="3634" spans="1:15" x14ac:dyDescent="0.25">
      <c r="A3634" s="786" t="s">
        <v>7308</v>
      </c>
      <c r="B3634" s="787">
        <v>4</v>
      </c>
      <c r="C3634" s="787" t="s">
        <v>7309</v>
      </c>
      <c r="D3634" s="787">
        <v>5.62</v>
      </c>
      <c r="E3634" s="787">
        <v>5.75</v>
      </c>
      <c r="F3634" s="788">
        <v>41449</v>
      </c>
      <c r="G3634" s="788">
        <v>41565</v>
      </c>
      <c r="H3634" s="787">
        <v>1</v>
      </c>
      <c r="J3634" s="788">
        <v>41430</v>
      </c>
      <c r="K3634" s="788">
        <v>41380</v>
      </c>
      <c r="L3634" s="787">
        <v>5.26</v>
      </c>
      <c r="M3634" s="787">
        <v>20</v>
      </c>
      <c r="N3634" s="787">
        <v>5.65</v>
      </c>
      <c r="O3634" s="788">
        <v>41858</v>
      </c>
    </row>
    <row r="3635" spans="1:15" x14ac:dyDescent="0.25">
      <c r="A3635" s="786" t="s">
        <v>7310</v>
      </c>
      <c r="B3635" s="787">
        <v>4</v>
      </c>
      <c r="C3635" s="787" t="s">
        <v>7311</v>
      </c>
      <c r="D3635" s="787">
        <v>9.11</v>
      </c>
      <c r="E3635" s="787">
        <v>9.11</v>
      </c>
      <c r="F3635" s="788">
        <v>41907</v>
      </c>
      <c r="G3635" s="788">
        <v>41943</v>
      </c>
      <c r="H3635" s="787">
        <v>1</v>
      </c>
      <c r="I3635" s="788">
        <v>41145</v>
      </c>
      <c r="J3635" s="788">
        <v>41906</v>
      </c>
      <c r="K3635" s="788">
        <v>41865</v>
      </c>
      <c r="L3635" s="787">
        <v>9.11</v>
      </c>
      <c r="M3635" s="787">
        <v>20</v>
      </c>
      <c r="N3635" s="787">
        <v>2.13</v>
      </c>
      <c r="O3635" s="788">
        <v>41858</v>
      </c>
    </row>
    <row r="3636" spans="1:15" x14ac:dyDescent="0.25">
      <c r="A3636" s="786" t="s">
        <v>7312</v>
      </c>
      <c r="B3636" s="787">
        <v>4</v>
      </c>
      <c r="C3636" s="787" t="s">
        <v>5471</v>
      </c>
      <c r="D3636" s="787">
        <v>0</v>
      </c>
      <c r="E3636" s="787">
        <v>0</v>
      </c>
      <c r="H3636" s="787">
        <v>1</v>
      </c>
      <c r="L3636" s="787">
        <v>4.83</v>
      </c>
      <c r="M3636" s="787">
        <v>10</v>
      </c>
      <c r="N3636" s="787">
        <v>3.72</v>
      </c>
      <c r="O3636" s="788">
        <v>42088</v>
      </c>
    </row>
    <row r="3637" spans="1:15" x14ac:dyDescent="0.25">
      <c r="A3637" s="786" t="s">
        <v>7313</v>
      </c>
      <c r="B3637" s="787">
        <v>4</v>
      </c>
      <c r="C3637" s="787" t="s">
        <v>5495</v>
      </c>
      <c r="D3637" s="787">
        <v>1.17</v>
      </c>
      <c r="E3637" s="787">
        <v>1.98</v>
      </c>
      <c r="F3637" s="788">
        <v>40998</v>
      </c>
      <c r="G3637" s="788">
        <v>42013</v>
      </c>
      <c r="H3637" s="787">
        <v>1</v>
      </c>
      <c r="I3637" s="788">
        <v>41452</v>
      </c>
      <c r="J3637" s="788">
        <v>41176</v>
      </c>
      <c r="K3637" s="788">
        <v>40998</v>
      </c>
      <c r="L3637" s="787">
        <v>1.1399999999999999</v>
      </c>
      <c r="M3637" s="787">
        <v>20</v>
      </c>
      <c r="N3637" s="787">
        <v>1.23</v>
      </c>
      <c r="O3637" s="788">
        <v>41858</v>
      </c>
    </row>
    <row r="3638" spans="1:15" x14ac:dyDescent="0.25">
      <c r="A3638" s="786" t="s">
        <v>7314</v>
      </c>
      <c r="B3638" s="787">
        <v>4</v>
      </c>
      <c r="C3638" s="787" t="s">
        <v>5497</v>
      </c>
      <c r="D3638" s="787">
        <v>0</v>
      </c>
      <c r="E3638" s="787">
        <v>0</v>
      </c>
      <c r="H3638" s="787">
        <v>1</v>
      </c>
      <c r="I3638" s="788">
        <v>38902</v>
      </c>
      <c r="J3638" s="788">
        <v>39101</v>
      </c>
      <c r="L3638" s="787">
        <v>12.99</v>
      </c>
      <c r="M3638" s="787">
        <v>10</v>
      </c>
      <c r="N3638" s="787">
        <v>18.260000000000002</v>
      </c>
      <c r="O3638" s="788">
        <v>41955</v>
      </c>
    </row>
    <row r="3639" spans="1:15" x14ac:dyDescent="0.25">
      <c r="A3639" s="786" t="s">
        <v>7315</v>
      </c>
      <c r="B3639" s="787">
        <v>4</v>
      </c>
      <c r="C3639" s="787" t="s">
        <v>7316</v>
      </c>
      <c r="D3639" s="787">
        <v>2.16</v>
      </c>
      <c r="E3639" s="787">
        <v>2.16</v>
      </c>
      <c r="F3639" s="788">
        <v>39101</v>
      </c>
      <c r="G3639" s="788">
        <v>39101</v>
      </c>
      <c r="H3639" s="787">
        <v>1</v>
      </c>
      <c r="I3639" s="788">
        <v>39134</v>
      </c>
      <c r="J3639" s="788">
        <v>39149</v>
      </c>
      <c r="L3639" s="787">
        <v>3.12</v>
      </c>
      <c r="M3639" s="787">
        <v>10</v>
      </c>
      <c r="N3639" s="787">
        <v>3</v>
      </c>
      <c r="O3639" s="788">
        <v>41955</v>
      </c>
    </row>
    <row r="3640" spans="1:15" x14ac:dyDescent="0.25">
      <c r="A3640" s="786" t="s">
        <v>7317</v>
      </c>
      <c r="B3640" s="787">
        <v>4</v>
      </c>
      <c r="C3640" s="787" t="s">
        <v>5511</v>
      </c>
      <c r="D3640" s="787">
        <v>0</v>
      </c>
      <c r="E3640" s="787">
        <v>0</v>
      </c>
      <c r="H3640" s="787">
        <v>1</v>
      </c>
      <c r="I3640" s="788">
        <v>38902</v>
      </c>
      <c r="J3640" s="788">
        <v>39101</v>
      </c>
      <c r="L3640" s="787">
        <v>10.71</v>
      </c>
      <c r="M3640" s="787">
        <v>10</v>
      </c>
      <c r="N3640" s="787">
        <v>17.32</v>
      </c>
      <c r="O3640" s="788">
        <v>41858</v>
      </c>
    </row>
    <row r="3641" spans="1:15" x14ac:dyDescent="0.25">
      <c r="A3641" s="786" t="s">
        <v>7318</v>
      </c>
      <c r="B3641" s="787">
        <v>4</v>
      </c>
      <c r="C3641" s="787" t="s">
        <v>7319</v>
      </c>
      <c r="D3641" s="787">
        <v>0</v>
      </c>
      <c r="E3641" s="787">
        <v>0</v>
      </c>
      <c r="H3641" s="787">
        <v>1</v>
      </c>
      <c r="L3641" s="787">
        <v>1.81</v>
      </c>
      <c r="M3641" s="787">
        <v>10</v>
      </c>
      <c r="N3641" s="787">
        <v>2.87</v>
      </c>
      <c r="O3641" s="788">
        <v>41858</v>
      </c>
    </row>
    <row r="3642" spans="1:15" x14ac:dyDescent="0.25">
      <c r="A3642" s="786" t="s">
        <v>7320</v>
      </c>
      <c r="B3642" s="787">
        <v>4</v>
      </c>
      <c r="C3642" s="787" t="s">
        <v>7321</v>
      </c>
      <c r="D3642" s="787">
        <v>0</v>
      </c>
      <c r="E3642" s="787">
        <v>0</v>
      </c>
      <c r="H3642" s="787">
        <v>1</v>
      </c>
      <c r="L3642" s="787">
        <v>1.81</v>
      </c>
      <c r="M3642" s="787">
        <v>10</v>
      </c>
      <c r="N3642" s="787">
        <v>2.87</v>
      </c>
      <c r="O3642" s="788">
        <v>41858</v>
      </c>
    </row>
    <row r="3643" spans="1:15" x14ac:dyDescent="0.25">
      <c r="A3643" s="786" t="s">
        <v>7322</v>
      </c>
      <c r="B3643" s="787">
        <v>4</v>
      </c>
      <c r="C3643" s="787" t="s">
        <v>5517</v>
      </c>
      <c r="D3643" s="787">
        <v>0</v>
      </c>
      <c r="E3643" s="787">
        <v>0</v>
      </c>
      <c r="H3643" s="787">
        <v>1</v>
      </c>
      <c r="L3643" s="787">
        <v>0</v>
      </c>
      <c r="M3643" s="787">
        <v>10</v>
      </c>
      <c r="N3643" s="787">
        <v>23.01</v>
      </c>
      <c r="O3643" s="788">
        <v>41858</v>
      </c>
    </row>
    <row r="3644" spans="1:15" x14ac:dyDescent="0.25">
      <c r="A3644" s="786" t="s">
        <v>7323</v>
      </c>
      <c r="B3644" s="787">
        <v>4</v>
      </c>
      <c r="C3644" s="787" t="s">
        <v>5519</v>
      </c>
      <c r="D3644" s="787">
        <v>0</v>
      </c>
      <c r="E3644" s="787">
        <v>0</v>
      </c>
      <c r="H3644" s="787">
        <v>1</v>
      </c>
      <c r="I3644" s="788">
        <v>41479</v>
      </c>
      <c r="J3644" s="788">
        <v>39101</v>
      </c>
      <c r="L3644" s="787">
        <v>0</v>
      </c>
      <c r="M3644" s="787">
        <v>10</v>
      </c>
      <c r="N3644" s="787">
        <v>22.34</v>
      </c>
      <c r="O3644" s="788">
        <v>41858</v>
      </c>
    </row>
    <row r="3645" spans="1:15" x14ac:dyDescent="0.25">
      <c r="A3645" s="786" t="s">
        <v>7324</v>
      </c>
      <c r="B3645" s="787">
        <v>4</v>
      </c>
      <c r="C3645" s="787" t="s">
        <v>7325</v>
      </c>
      <c r="D3645" s="787">
        <v>7.64</v>
      </c>
      <c r="E3645" s="787">
        <v>17.64</v>
      </c>
      <c r="F3645" s="788">
        <v>41579</v>
      </c>
      <c r="G3645" s="788">
        <v>41976</v>
      </c>
      <c r="H3645" s="787">
        <v>1</v>
      </c>
      <c r="I3645" s="788">
        <v>41976</v>
      </c>
      <c r="J3645" s="788">
        <v>41976</v>
      </c>
      <c r="L3645" s="787">
        <v>0</v>
      </c>
      <c r="M3645" s="787">
        <v>10</v>
      </c>
      <c r="N3645" s="787">
        <v>26.37</v>
      </c>
      <c r="O3645" s="788">
        <v>41858</v>
      </c>
    </row>
    <row r="3646" spans="1:15" x14ac:dyDescent="0.25">
      <c r="A3646" s="786" t="s">
        <v>7326</v>
      </c>
      <c r="B3646" s="787">
        <v>4</v>
      </c>
      <c r="C3646" s="787" t="s">
        <v>5522</v>
      </c>
      <c r="D3646" s="787">
        <v>4.93</v>
      </c>
      <c r="E3646" s="787">
        <v>4.93</v>
      </c>
      <c r="F3646" s="788">
        <v>40792</v>
      </c>
      <c r="G3646" s="788">
        <v>41943</v>
      </c>
      <c r="H3646" s="787">
        <v>1</v>
      </c>
      <c r="J3646" s="788">
        <v>40654</v>
      </c>
      <c r="L3646" s="787">
        <v>0</v>
      </c>
      <c r="M3646" s="787">
        <v>10</v>
      </c>
      <c r="N3646" s="787">
        <v>4.8600000000000003</v>
      </c>
      <c r="O3646" s="788">
        <v>41858</v>
      </c>
    </row>
    <row r="3647" spans="1:15" x14ac:dyDescent="0.25">
      <c r="A3647" s="786" t="s">
        <v>7327</v>
      </c>
      <c r="B3647" s="787">
        <v>4</v>
      </c>
      <c r="C3647" s="787" t="s">
        <v>5522</v>
      </c>
      <c r="D3647" s="787">
        <v>4.6399999999999997</v>
      </c>
      <c r="E3647" s="787">
        <v>10.38</v>
      </c>
      <c r="F3647" s="788">
        <v>39975</v>
      </c>
      <c r="G3647" s="788">
        <v>41943</v>
      </c>
      <c r="H3647" s="787">
        <v>1</v>
      </c>
      <c r="I3647" s="788">
        <v>39464</v>
      </c>
      <c r="J3647" s="788">
        <v>41239</v>
      </c>
      <c r="L3647" s="787">
        <v>0</v>
      </c>
      <c r="M3647" s="787">
        <v>10</v>
      </c>
      <c r="N3647" s="787">
        <v>5.27</v>
      </c>
      <c r="O3647" s="788">
        <v>41858</v>
      </c>
    </row>
    <row r="3648" spans="1:15" x14ac:dyDescent="0.25">
      <c r="A3648" s="786" t="s">
        <v>7328</v>
      </c>
      <c r="B3648" s="787">
        <v>4</v>
      </c>
      <c r="C3648" s="787" t="s">
        <v>5526</v>
      </c>
      <c r="D3648" s="787">
        <v>2.25</v>
      </c>
      <c r="E3648" s="787">
        <v>7.09</v>
      </c>
      <c r="F3648" s="788">
        <v>39975</v>
      </c>
      <c r="G3648" s="788">
        <v>41943</v>
      </c>
      <c r="H3648" s="787">
        <v>1</v>
      </c>
      <c r="I3648" s="788">
        <v>42115</v>
      </c>
      <c r="J3648" s="788">
        <v>41901</v>
      </c>
      <c r="K3648" s="788">
        <v>41892</v>
      </c>
      <c r="L3648" s="787">
        <v>2.57</v>
      </c>
      <c r="M3648" s="787">
        <v>10</v>
      </c>
      <c r="N3648" s="787">
        <v>3.85</v>
      </c>
      <c r="O3648" s="788">
        <v>41892</v>
      </c>
    </row>
    <row r="3649" spans="1:15" x14ac:dyDescent="0.25">
      <c r="A3649" s="786" t="s">
        <v>7329</v>
      </c>
      <c r="B3649" s="787">
        <v>4</v>
      </c>
      <c r="C3649" s="787" t="s">
        <v>5517</v>
      </c>
      <c r="D3649" s="787">
        <v>0</v>
      </c>
      <c r="E3649" s="787">
        <v>0</v>
      </c>
      <c r="H3649" s="787">
        <v>1</v>
      </c>
      <c r="K3649" s="788">
        <v>40970</v>
      </c>
      <c r="L3649" s="787">
        <v>20</v>
      </c>
      <c r="M3649" s="787">
        <v>10</v>
      </c>
      <c r="N3649" s="787">
        <v>23.01</v>
      </c>
      <c r="O3649" s="788">
        <v>41858</v>
      </c>
    </row>
    <row r="3650" spans="1:15" x14ac:dyDescent="0.25">
      <c r="A3650" s="786" t="s">
        <v>7330</v>
      </c>
      <c r="B3650" s="787">
        <v>4</v>
      </c>
      <c r="C3650" s="787" t="s">
        <v>7331</v>
      </c>
      <c r="D3650" s="787">
        <v>1.06</v>
      </c>
      <c r="E3650" s="787">
        <v>21.06</v>
      </c>
      <c r="F3650" s="788">
        <v>41969</v>
      </c>
      <c r="G3650" s="788">
        <v>42013</v>
      </c>
      <c r="H3650" s="787">
        <v>1</v>
      </c>
      <c r="I3650" s="788">
        <v>42076</v>
      </c>
      <c r="J3650" s="788">
        <v>41953</v>
      </c>
      <c r="K3650" s="788">
        <v>41302</v>
      </c>
      <c r="L3650" s="787">
        <v>21.15</v>
      </c>
      <c r="M3650" s="787">
        <v>30</v>
      </c>
      <c r="N3650" s="787">
        <v>22.74</v>
      </c>
      <c r="O3650" s="788">
        <v>41858</v>
      </c>
    </row>
    <row r="3651" spans="1:15" x14ac:dyDescent="0.25">
      <c r="A3651" s="786" t="s">
        <v>7332</v>
      </c>
      <c r="B3651" s="787">
        <v>4</v>
      </c>
      <c r="C3651" s="787" t="s">
        <v>7333</v>
      </c>
      <c r="D3651" s="787">
        <v>7.58</v>
      </c>
      <c r="E3651" s="787">
        <v>27.58</v>
      </c>
      <c r="F3651" s="788">
        <v>41969</v>
      </c>
      <c r="G3651" s="788">
        <v>42013</v>
      </c>
      <c r="H3651" s="787">
        <v>1</v>
      </c>
      <c r="I3651" s="788">
        <v>42076</v>
      </c>
      <c r="J3651" s="788">
        <v>41954</v>
      </c>
      <c r="K3651" s="788">
        <v>41302</v>
      </c>
      <c r="L3651" s="787">
        <v>27.58</v>
      </c>
      <c r="M3651" s="787">
        <v>30</v>
      </c>
      <c r="N3651" s="787">
        <v>29.65</v>
      </c>
      <c r="O3651" s="788">
        <v>41858</v>
      </c>
    </row>
    <row r="3652" spans="1:15" x14ac:dyDescent="0.25">
      <c r="A3652" s="786" t="s">
        <v>7334</v>
      </c>
      <c r="B3652" s="787">
        <v>4</v>
      </c>
      <c r="C3652" s="787" t="s">
        <v>5533</v>
      </c>
      <c r="D3652" s="787">
        <v>0</v>
      </c>
      <c r="E3652" s="787">
        <v>0</v>
      </c>
      <c r="H3652" s="787">
        <v>1</v>
      </c>
      <c r="I3652" s="788">
        <v>42088</v>
      </c>
      <c r="K3652" s="788">
        <v>41540</v>
      </c>
      <c r="L3652" s="787">
        <v>22.8</v>
      </c>
      <c r="M3652" s="787">
        <v>10</v>
      </c>
      <c r="N3652" s="787">
        <v>22.8</v>
      </c>
      <c r="O3652" s="788">
        <v>42060</v>
      </c>
    </row>
    <row r="3653" spans="1:15" x14ac:dyDescent="0.25">
      <c r="A3653" s="786" t="s">
        <v>7335</v>
      </c>
      <c r="B3653" s="787">
        <v>4</v>
      </c>
      <c r="C3653" s="787" t="s">
        <v>5535</v>
      </c>
      <c r="D3653" s="787">
        <v>2.44</v>
      </c>
      <c r="E3653" s="787">
        <v>18.84</v>
      </c>
      <c r="F3653" s="788">
        <v>39975</v>
      </c>
      <c r="G3653" s="788">
        <v>42013</v>
      </c>
      <c r="H3653" s="787">
        <v>1</v>
      </c>
      <c r="I3653" s="788">
        <v>41906</v>
      </c>
      <c r="J3653" s="788">
        <v>41927</v>
      </c>
      <c r="K3653" s="788">
        <v>41921</v>
      </c>
      <c r="L3653" s="787">
        <v>17.79</v>
      </c>
      <c r="M3653" s="787">
        <v>20</v>
      </c>
      <c r="N3653" s="787">
        <v>14.73</v>
      </c>
      <c r="O3653" s="788">
        <v>41919</v>
      </c>
    </row>
    <row r="3654" spans="1:15" x14ac:dyDescent="0.25">
      <c r="A3654" s="786" t="s">
        <v>7336</v>
      </c>
      <c r="B3654" s="787">
        <v>4</v>
      </c>
      <c r="C3654" s="787" t="s">
        <v>5535</v>
      </c>
      <c r="D3654" s="787">
        <v>2.44</v>
      </c>
      <c r="E3654" s="787">
        <v>18.84</v>
      </c>
      <c r="F3654" s="788">
        <v>39975</v>
      </c>
      <c r="G3654" s="788">
        <v>42013</v>
      </c>
      <c r="H3654" s="787">
        <v>1</v>
      </c>
      <c r="I3654" s="788">
        <v>42046</v>
      </c>
      <c r="J3654" s="788">
        <v>41927</v>
      </c>
      <c r="K3654" s="788">
        <v>41921</v>
      </c>
      <c r="L3654" s="787">
        <v>17.79</v>
      </c>
      <c r="M3654" s="787">
        <v>20</v>
      </c>
      <c r="N3654" s="787">
        <v>14.73</v>
      </c>
      <c r="O3654" s="788">
        <v>41919</v>
      </c>
    </row>
    <row r="3655" spans="1:15" x14ac:dyDescent="0.25">
      <c r="A3655" s="786" t="s">
        <v>7337</v>
      </c>
      <c r="B3655" s="787">
        <v>4</v>
      </c>
      <c r="C3655" s="787" t="s">
        <v>5538</v>
      </c>
      <c r="D3655" s="787">
        <v>0</v>
      </c>
      <c r="E3655" s="787">
        <v>0</v>
      </c>
      <c r="H3655" s="787">
        <v>1</v>
      </c>
      <c r="L3655" s="787">
        <v>1</v>
      </c>
      <c r="M3655" s="787">
        <v>10</v>
      </c>
      <c r="N3655" s="787">
        <v>9</v>
      </c>
      <c r="O3655" s="788">
        <v>41858</v>
      </c>
    </row>
    <row r="3656" spans="1:15" x14ac:dyDescent="0.25">
      <c r="A3656" s="786" t="s">
        <v>7338</v>
      </c>
      <c r="B3656" s="787">
        <v>4</v>
      </c>
      <c r="C3656" s="787" t="s">
        <v>5540</v>
      </c>
      <c r="D3656" s="787">
        <v>4.72</v>
      </c>
      <c r="E3656" s="787">
        <v>4.72</v>
      </c>
      <c r="F3656" s="788">
        <v>41775</v>
      </c>
      <c r="G3656" s="788">
        <v>41955</v>
      </c>
      <c r="H3656" s="787">
        <v>1</v>
      </c>
      <c r="I3656" s="788">
        <v>42088</v>
      </c>
      <c r="J3656" s="788">
        <v>42083</v>
      </c>
      <c r="L3656" s="787">
        <v>1</v>
      </c>
      <c r="M3656" s="787">
        <v>10</v>
      </c>
      <c r="N3656" s="787">
        <v>2.5099999999999998</v>
      </c>
      <c r="O3656" s="788">
        <v>41858</v>
      </c>
    </row>
    <row r="3657" spans="1:15" x14ac:dyDescent="0.25">
      <c r="A3657" s="786" t="s">
        <v>7339</v>
      </c>
      <c r="B3657" s="787">
        <v>4</v>
      </c>
      <c r="C3657" s="787" t="s">
        <v>5542</v>
      </c>
      <c r="D3657" s="787">
        <v>6.44</v>
      </c>
      <c r="E3657" s="787">
        <v>6.44</v>
      </c>
      <c r="F3657" s="788">
        <v>41260</v>
      </c>
      <c r="G3657" s="788">
        <v>42013</v>
      </c>
      <c r="H3657" s="787">
        <v>1</v>
      </c>
      <c r="J3657" s="788">
        <v>41241</v>
      </c>
      <c r="K3657" s="788">
        <v>41226</v>
      </c>
      <c r="L3657" s="787">
        <v>6.38</v>
      </c>
      <c r="M3657" s="787">
        <v>20</v>
      </c>
      <c r="N3657" s="787">
        <v>6.86</v>
      </c>
      <c r="O3657" s="788">
        <v>41858</v>
      </c>
    </row>
    <row r="3658" spans="1:15" x14ac:dyDescent="0.25">
      <c r="A3658" s="786" t="s">
        <v>610</v>
      </c>
      <c r="B3658" s="787">
        <v>4</v>
      </c>
      <c r="C3658" s="787" t="s">
        <v>7340</v>
      </c>
      <c r="D3658" s="787">
        <v>3.96</v>
      </c>
      <c r="E3658" s="787">
        <v>3.96</v>
      </c>
      <c r="F3658" s="788">
        <v>40387</v>
      </c>
      <c r="G3658" s="788">
        <v>42013</v>
      </c>
      <c r="H3658" s="787">
        <v>1</v>
      </c>
      <c r="I3658" s="788">
        <v>42150</v>
      </c>
      <c r="J3658" s="788">
        <v>41794</v>
      </c>
      <c r="K3658" s="788">
        <v>41001</v>
      </c>
      <c r="L3658" s="787">
        <v>5.46</v>
      </c>
      <c r="M3658" s="787">
        <v>20</v>
      </c>
      <c r="N3658" s="787">
        <v>5.87</v>
      </c>
      <c r="O3658" s="788">
        <v>41989</v>
      </c>
    </row>
    <row r="3659" spans="1:15" x14ac:dyDescent="0.25">
      <c r="A3659" s="786" t="s">
        <v>7341</v>
      </c>
      <c r="B3659" s="787">
        <v>4</v>
      </c>
      <c r="C3659" s="787" t="s">
        <v>5548</v>
      </c>
      <c r="D3659" s="787">
        <v>1.19</v>
      </c>
      <c r="E3659" s="787">
        <v>22.03</v>
      </c>
      <c r="F3659" s="788">
        <v>41134</v>
      </c>
      <c r="G3659" s="788">
        <v>42150</v>
      </c>
      <c r="H3659" s="787">
        <v>1</v>
      </c>
      <c r="I3659" s="788">
        <v>42088</v>
      </c>
      <c r="J3659" s="788">
        <v>42150</v>
      </c>
      <c r="K3659" s="788">
        <v>41421</v>
      </c>
      <c r="L3659" s="787">
        <v>1</v>
      </c>
      <c r="M3659" s="787">
        <v>10</v>
      </c>
      <c r="N3659" s="787">
        <v>22.58</v>
      </c>
      <c r="O3659" s="788">
        <v>42048</v>
      </c>
    </row>
    <row r="3660" spans="1:15" x14ac:dyDescent="0.25">
      <c r="A3660" s="786" t="s">
        <v>7342</v>
      </c>
      <c r="B3660" s="787">
        <v>4</v>
      </c>
      <c r="C3660" s="787" t="s">
        <v>5548</v>
      </c>
      <c r="D3660" s="787">
        <v>3.26</v>
      </c>
      <c r="E3660" s="787">
        <v>9.42</v>
      </c>
      <c r="F3660" s="788">
        <v>41813</v>
      </c>
      <c r="G3660" s="788">
        <v>42128</v>
      </c>
      <c r="H3660" s="787">
        <v>1</v>
      </c>
      <c r="I3660" s="788">
        <v>42146</v>
      </c>
      <c r="J3660" s="788">
        <v>42101</v>
      </c>
      <c r="K3660" s="788">
        <v>41423</v>
      </c>
      <c r="L3660" s="787">
        <v>1</v>
      </c>
      <c r="M3660" s="787">
        <v>10</v>
      </c>
      <c r="N3660" s="787">
        <v>11.6</v>
      </c>
      <c r="O3660" s="788">
        <v>42048</v>
      </c>
    </row>
    <row r="3661" spans="1:15" x14ac:dyDescent="0.25">
      <c r="A3661" s="786" t="s">
        <v>7343</v>
      </c>
      <c r="B3661" s="787">
        <v>4</v>
      </c>
      <c r="C3661" s="787" t="s">
        <v>5551</v>
      </c>
      <c r="D3661" s="787">
        <v>0.46</v>
      </c>
      <c r="E3661" s="787">
        <v>1.73</v>
      </c>
      <c r="F3661" s="788">
        <v>41813</v>
      </c>
      <c r="G3661" s="788">
        <v>42129</v>
      </c>
      <c r="H3661" s="787">
        <v>1</v>
      </c>
      <c r="I3661" s="788">
        <v>42146</v>
      </c>
      <c r="J3661" s="788">
        <v>42101</v>
      </c>
      <c r="K3661" s="788">
        <v>41423</v>
      </c>
      <c r="L3661" s="787">
        <v>1</v>
      </c>
      <c r="M3661" s="787">
        <v>10</v>
      </c>
      <c r="N3661" s="787">
        <v>9.36</v>
      </c>
      <c r="O3661" s="788">
        <v>42048</v>
      </c>
    </row>
    <row r="3662" spans="1:15" x14ac:dyDescent="0.25">
      <c r="A3662" s="786" t="s">
        <v>7344</v>
      </c>
      <c r="B3662" s="787">
        <v>4</v>
      </c>
      <c r="C3662" s="787" t="s">
        <v>5602</v>
      </c>
      <c r="D3662" s="787">
        <v>5</v>
      </c>
      <c r="E3662" s="787">
        <v>5.46</v>
      </c>
      <c r="F3662" s="788">
        <v>41474</v>
      </c>
      <c r="G3662" s="788">
        <v>42086</v>
      </c>
      <c r="H3662" s="787">
        <v>1</v>
      </c>
      <c r="I3662" s="788">
        <v>42088</v>
      </c>
      <c r="J3662" s="788">
        <v>42053</v>
      </c>
      <c r="K3662" s="788">
        <v>41226</v>
      </c>
      <c r="L3662" s="787">
        <v>2.82</v>
      </c>
      <c r="M3662" s="787">
        <v>10</v>
      </c>
      <c r="N3662" s="787">
        <v>2.9</v>
      </c>
      <c r="O3662" s="788">
        <v>41858</v>
      </c>
    </row>
    <row r="3663" spans="1:15" x14ac:dyDescent="0.25">
      <c r="A3663" s="786" t="s">
        <v>7345</v>
      </c>
      <c r="B3663" s="787">
        <v>4</v>
      </c>
      <c r="C3663" s="787" t="s">
        <v>7346</v>
      </c>
      <c r="D3663" s="787">
        <v>4.38</v>
      </c>
      <c r="E3663" s="787">
        <v>34.380000000000003</v>
      </c>
      <c r="F3663" s="788">
        <v>40940</v>
      </c>
      <c r="G3663" s="788">
        <v>41646</v>
      </c>
      <c r="H3663" s="787">
        <v>1</v>
      </c>
      <c r="I3663" s="788">
        <v>41676</v>
      </c>
      <c r="J3663" s="788">
        <v>40935</v>
      </c>
      <c r="K3663" s="788">
        <v>40942</v>
      </c>
      <c r="L3663" s="787">
        <v>34.380000000000003</v>
      </c>
      <c r="M3663" s="787">
        <v>20</v>
      </c>
      <c r="N3663" s="787">
        <v>36.96</v>
      </c>
      <c r="O3663" s="788">
        <v>42034</v>
      </c>
    </row>
    <row r="3664" spans="1:15" x14ac:dyDescent="0.25">
      <c r="A3664" s="786" t="s">
        <v>7347</v>
      </c>
      <c r="B3664" s="787">
        <v>4</v>
      </c>
      <c r="C3664" s="787" t="s">
        <v>7346</v>
      </c>
      <c r="D3664" s="787">
        <v>4.3499999999999996</v>
      </c>
      <c r="E3664" s="787">
        <v>34.35</v>
      </c>
      <c r="F3664" s="788">
        <v>40940</v>
      </c>
      <c r="G3664" s="788">
        <v>42013</v>
      </c>
      <c r="H3664" s="787">
        <v>1</v>
      </c>
      <c r="I3664" s="788">
        <v>41676</v>
      </c>
      <c r="J3664" s="788">
        <v>40935</v>
      </c>
      <c r="K3664" s="788">
        <v>40942</v>
      </c>
      <c r="L3664" s="787">
        <v>34.35</v>
      </c>
      <c r="M3664" s="787">
        <v>20</v>
      </c>
      <c r="N3664" s="787">
        <v>36.93</v>
      </c>
      <c r="O3664" s="788">
        <v>42034</v>
      </c>
    </row>
    <row r="3665" spans="1:15" x14ac:dyDescent="0.25">
      <c r="A3665" s="786" t="s">
        <v>7348</v>
      </c>
      <c r="B3665" s="787">
        <v>4</v>
      </c>
      <c r="C3665" s="787" t="s">
        <v>5564</v>
      </c>
      <c r="D3665" s="787">
        <v>0</v>
      </c>
      <c r="E3665" s="787">
        <v>0</v>
      </c>
      <c r="H3665" s="787">
        <v>1</v>
      </c>
      <c r="L3665" s="787">
        <v>1</v>
      </c>
      <c r="M3665" s="787">
        <v>10</v>
      </c>
      <c r="N3665" s="787">
        <v>2.95</v>
      </c>
      <c r="O3665" s="788">
        <v>41858</v>
      </c>
    </row>
    <row r="3666" spans="1:15" x14ac:dyDescent="0.25">
      <c r="A3666" s="786" t="s">
        <v>7349</v>
      </c>
      <c r="B3666" s="787">
        <v>4</v>
      </c>
      <c r="C3666" s="787" t="s">
        <v>5566</v>
      </c>
      <c r="D3666" s="787">
        <v>0</v>
      </c>
      <c r="E3666" s="787">
        <v>0</v>
      </c>
      <c r="H3666" s="787">
        <v>1</v>
      </c>
      <c r="L3666" s="787">
        <v>1</v>
      </c>
      <c r="M3666" s="787">
        <v>10</v>
      </c>
      <c r="N3666" s="787">
        <v>7.23</v>
      </c>
      <c r="O3666" s="788">
        <v>41858</v>
      </c>
    </row>
    <row r="3667" spans="1:15" x14ac:dyDescent="0.25">
      <c r="A3667" s="786" t="s">
        <v>7350</v>
      </c>
      <c r="B3667" s="787">
        <v>4</v>
      </c>
      <c r="C3667" s="787" t="s">
        <v>5568</v>
      </c>
      <c r="D3667" s="787">
        <v>0</v>
      </c>
      <c r="E3667" s="787">
        <v>0</v>
      </c>
      <c r="H3667" s="787">
        <v>1</v>
      </c>
      <c r="L3667" s="787">
        <v>1</v>
      </c>
      <c r="M3667" s="787">
        <v>10</v>
      </c>
      <c r="N3667" s="787">
        <v>8.4700000000000006</v>
      </c>
      <c r="O3667" s="788">
        <v>41858</v>
      </c>
    </row>
    <row r="3668" spans="1:15" x14ac:dyDescent="0.25">
      <c r="A3668" s="786" t="s">
        <v>7351</v>
      </c>
      <c r="B3668" s="787">
        <v>4</v>
      </c>
      <c r="C3668" s="787" t="s">
        <v>5570</v>
      </c>
      <c r="D3668" s="787">
        <v>0</v>
      </c>
      <c r="E3668" s="787">
        <v>0</v>
      </c>
      <c r="H3668" s="787">
        <v>1</v>
      </c>
      <c r="I3668" s="788">
        <v>41921</v>
      </c>
      <c r="K3668" s="788">
        <v>41160</v>
      </c>
      <c r="L3668" s="787">
        <v>5.75</v>
      </c>
      <c r="M3668" s="787">
        <v>10</v>
      </c>
      <c r="N3668" s="787">
        <v>7.14</v>
      </c>
      <c r="O3668" s="788">
        <v>41858</v>
      </c>
    </row>
    <row r="3669" spans="1:15" x14ac:dyDescent="0.25">
      <c r="A3669" s="786" t="s">
        <v>7352</v>
      </c>
      <c r="B3669" s="787">
        <v>4</v>
      </c>
      <c r="C3669" s="787" t="s">
        <v>5570</v>
      </c>
      <c r="D3669" s="787">
        <v>0</v>
      </c>
      <c r="E3669" s="787">
        <v>0</v>
      </c>
      <c r="H3669" s="787">
        <v>1</v>
      </c>
      <c r="K3669" s="788">
        <v>41160</v>
      </c>
      <c r="L3669" s="787">
        <v>5.13</v>
      </c>
      <c r="M3669" s="787">
        <v>10</v>
      </c>
      <c r="N3669" s="787">
        <v>6.23</v>
      </c>
      <c r="O3669" s="788">
        <v>41858</v>
      </c>
    </row>
    <row r="3670" spans="1:15" x14ac:dyDescent="0.25">
      <c r="A3670" s="786" t="s">
        <v>7353</v>
      </c>
      <c r="B3670" s="787">
        <v>4</v>
      </c>
      <c r="C3670" s="787" t="s">
        <v>5570</v>
      </c>
      <c r="D3670" s="787">
        <v>0</v>
      </c>
      <c r="E3670" s="787">
        <v>0</v>
      </c>
      <c r="H3670" s="787">
        <v>1</v>
      </c>
      <c r="I3670" s="788">
        <v>41976</v>
      </c>
      <c r="K3670" s="788">
        <v>41160</v>
      </c>
      <c r="L3670" s="787">
        <v>6.28</v>
      </c>
      <c r="M3670" s="787">
        <v>10</v>
      </c>
      <c r="N3670" s="787">
        <v>7.84</v>
      </c>
      <c r="O3670" s="788">
        <v>41858</v>
      </c>
    </row>
    <row r="3671" spans="1:15" x14ac:dyDescent="0.25">
      <c r="A3671" s="786" t="s">
        <v>7354</v>
      </c>
      <c r="B3671" s="787">
        <v>4</v>
      </c>
      <c r="C3671" s="787" t="s">
        <v>5574</v>
      </c>
      <c r="D3671" s="787">
        <v>0</v>
      </c>
      <c r="E3671" s="787">
        <v>0</v>
      </c>
      <c r="H3671" s="787">
        <v>1</v>
      </c>
      <c r="K3671" s="788">
        <v>41160</v>
      </c>
      <c r="L3671" s="787">
        <v>13.41</v>
      </c>
      <c r="M3671" s="787">
        <v>10</v>
      </c>
      <c r="N3671" s="787">
        <v>13.15</v>
      </c>
      <c r="O3671" s="788">
        <v>41858</v>
      </c>
    </row>
    <row r="3672" spans="1:15" x14ac:dyDescent="0.25">
      <c r="A3672" s="786" t="s">
        <v>7355</v>
      </c>
      <c r="B3672" s="787">
        <v>4</v>
      </c>
      <c r="C3672" s="787" t="s">
        <v>5576</v>
      </c>
      <c r="D3672" s="787">
        <v>0</v>
      </c>
      <c r="E3672" s="787">
        <v>0</v>
      </c>
      <c r="H3672" s="787">
        <v>1</v>
      </c>
      <c r="I3672" s="788">
        <v>41388</v>
      </c>
      <c r="L3672" s="787">
        <v>0.01</v>
      </c>
      <c r="M3672" s="787">
        <v>10</v>
      </c>
      <c r="N3672" s="787">
        <v>0</v>
      </c>
      <c r="O3672" s="788">
        <v>41858</v>
      </c>
    </row>
    <row r="3673" spans="1:15" x14ac:dyDescent="0.25">
      <c r="A3673" s="786" t="s">
        <v>7356</v>
      </c>
      <c r="B3673" s="787">
        <v>4</v>
      </c>
      <c r="C3673" s="787" t="s">
        <v>5578</v>
      </c>
      <c r="D3673" s="787">
        <v>0</v>
      </c>
      <c r="E3673" s="787">
        <v>0</v>
      </c>
      <c r="H3673" s="787">
        <v>1</v>
      </c>
      <c r="I3673" s="788">
        <v>41626</v>
      </c>
      <c r="L3673" s="787">
        <v>0.01</v>
      </c>
      <c r="M3673" s="787">
        <v>10</v>
      </c>
      <c r="N3673" s="787">
        <v>0</v>
      </c>
      <c r="O3673" s="788">
        <v>41858</v>
      </c>
    </row>
    <row r="3674" spans="1:15" x14ac:dyDescent="0.25">
      <c r="A3674" s="786" t="s">
        <v>7357</v>
      </c>
      <c r="B3674" s="787">
        <v>4</v>
      </c>
      <c r="C3674" s="787" t="s">
        <v>5580</v>
      </c>
      <c r="D3674" s="787">
        <v>0</v>
      </c>
      <c r="E3674" s="787">
        <v>0</v>
      </c>
      <c r="H3674" s="787">
        <v>1</v>
      </c>
      <c r="I3674" s="788">
        <v>41626</v>
      </c>
      <c r="L3674" s="787">
        <v>0.01</v>
      </c>
      <c r="M3674" s="787">
        <v>10</v>
      </c>
      <c r="N3674" s="787">
        <v>0</v>
      </c>
      <c r="O3674" s="788">
        <v>41858</v>
      </c>
    </row>
    <row r="3675" spans="1:15" x14ac:dyDescent="0.25">
      <c r="A3675" s="786" t="s">
        <v>7358</v>
      </c>
      <c r="B3675" s="787">
        <v>4</v>
      </c>
      <c r="C3675" s="787" t="s">
        <v>5582</v>
      </c>
      <c r="D3675" s="787">
        <v>0</v>
      </c>
      <c r="E3675" s="787">
        <v>0</v>
      </c>
      <c r="H3675" s="787">
        <v>1</v>
      </c>
      <c r="K3675" s="788">
        <v>42156</v>
      </c>
      <c r="L3675" s="787">
        <v>15.47</v>
      </c>
      <c r="M3675" s="787">
        <v>10</v>
      </c>
      <c r="N3675" s="787">
        <v>15.47</v>
      </c>
      <c r="O3675" s="788">
        <v>42156</v>
      </c>
    </row>
    <row r="3676" spans="1:15" x14ac:dyDescent="0.25">
      <c r="A3676" s="786" t="s">
        <v>7359</v>
      </c>
      <c r="B3676" s="787">
        <v>4</v>
      </c>
      <c r="C3676" s="787" t="s">
        <v>5582</v>
      </c>
      <c r="D3676" s="787">
        <v>0</v>
      </c>
      <c r="E3676" s="787">
        <v>0</v>
      </c>
      <c r="H3676" s="787">
        <v>1</v>
      </c>
      <c r="K3676" s="788">
        <v>42156</v>
      </c>
      <c r="L3676" s="787">
        <v>15.47</v>
      </c>
      <c r="M3676" s="787">
        <v>10</v>
      </c>
      <c r="N3676" s="787">
        <v>15.47</v>
      </c>
      <c r="O3676" s="788">
        <v>42156</v>
      </c>
    </row>
    <row r="3677" spans="1:15" x14ac:dyDescent="0.25">
      <c r="A3677" s="786" t="s">
        <v>7360</v>
      </c>
      <c r="B3677" s="787">
        <v>4</v>
      </c>
      <c r="C3677" s="787" t="s">
        <v>5582</v>
      </c>
      <c r="D3677" s="787">
        <v>0</v>
      </c>
      <c r="E3677" s="787">
        <v>0</v>
      </c>
      <c r="H3677" s="787">
        <v>1</v>
      </c>
      <c r="K3677" s="788">
        <v>42156</v>
      </c>
      <c r="L3677" s="787">
        <v>13.68</v>
      </c>
      <c r="M3677" s="787">
        <v>10</v>
      </c>
      <c r="N3677" s="787">
        <v>13.68</v>
      </c>
      <c r="O3677" s="788">
        <v>42156</v>
      </c>
    </row>
    <row r="3678" spans="1:15" x14ac:dyDescent="0.25">
      <c r="A3678" s="786" t="s">
        <v>7361</v>
      </c>
      <c r="B3678" s="787">
        <v>4</v>
      </c>
      <c r="C3678" s="787" t="s">
        <v>5582</v>
      </c>
      <c r="D3678" s="787">
        <v>0</v>
      </c>
      <c r="E3678" s="787">
        <v>0</v>
      </c>
      <c r="H3678" s="787">
        <v>1</v>
      </c>
      <c r="K3678" s="788">
        <v>42156</v>
      </c>
      <c r="L3678" s="787">
        <v>13.68</v>
      </c>
      <c r="M3678" s="787">
        <v>10</v>
      </c>
      <c r="N3678" s="787">
        <v>13.68</v>
      </c>
      <c r="O3678" s="788">
        <v>42156</v>
      </c>
    </row>
    <row r="3679" spans="1:15" x14ac:dyDescent="0.25">
      <c r="A3679" s="786" t="s">
        <v>7362</v>
      </c>
      <c r="B3679" s="787">
        <v>4</v>
      </c>
      <c r="C3679" s="787" t="s">
        <v>5582</v>
      </c>
      <c r="D3679" s="787">
        <v>0</v>
      </c>
      <c r="E3679" s="787">
        <v>0</v>
      </c>
      <c r="H3679" s="787">
        <v>1</v>
      </c>
      <c r="K3679" s="788">
        <v>42156</v>
      </c>
      <c r="L3679" s="787">
        <v>16.22</v>
      </c>
      <c r="M3679" s="787">
        <v>10</v>
      </c>
      <c r="N3679" s="787">
        <v>16.22</v>
      </c>
      <c r="O3679" s="788">
        <v>42156</v>
      </c>
    </row>
    <row r="3680" spans="1:15" x14ac:dyDescent="0.25">
      <c r="A3680" s="786" t="s">
        <v>7363</v>
      </c>
      <c r="B3680" s="787">
        <v>4</v>
      </c>
      <c r="C3680" s="787" t="s">
        <v>5582</v>
      </c>
      <c r="D3680" s="787">
        <v>0</v>
      </c>
      <c r="E3680" s="787">
        <v>0</v>
      </c>
      <c r="H3680" s="787">
        <v>1</v>
      </c>
      <c r="L3680" s="787">
        <v>1</v>
      </c>
      <c r="M3680" s="787">
        <v>10</v>
      </c>
      <c r="N3680" s="787">
        <v>0</v>
      </c>
    </row>
    <row r="3681" spans="1:15" x14ac:dyDescent="0.25">
      <c r="A3681" s="786" t="s">
        <v>7364</v>
      </c>
      <c r="B3681" s="787">
        <v>4</v>
      </c>
      <c r="C3681" s="787" t="s">
        <v>5582</v>
      </c>
      <c r="D3681" s="787">
        <v>0</v>
      </c>
      <c r="E3681" s="787">
        <v>0</v>
      </c>
      <c r="H3681" s="787">
        <v>1</v>
      </c>
      <c r="K3681" s="788">
        <v>42156</v>
      </c>
      <c r="L3681" s="787">
        <v>14.56</v>
      </c>
      <c r="M3681" s="787">
        <v>10</v>
      </c>
      <c r="N3681" s="787">
        <v>14.56</v>
      </c>
      <c r="O3681" s="788">
        <v>42156</v>
      </c>
    </row>
    <row r="3682" spans="1:15" x14ac:dyDescent="0.25">
      <c r="A3682" s="786" t="s">
        <v>7365</v>
      </c>
      <c r="B3682" s="787">
        <v>4</v>
      </c>
      <c r="C3682" s="787" t="s">
        <v>5582</v>
      </c>
      <c r="D3682" s="787">
        <v>0</v>
      </c>
      <c r="E3682" s="787">
        <v>0</v>
      </c>
      <c r="H3682" s="787">
        <v>1</v>
      </c>
      <c r="K3682" s="788">
        <v>42156</v>
      </c>
      <c r="L3682" s="787">
        <v>14.56</v>
      </c>
      <c r="M3682" s="787">
        <v>10</v>
      </c>
      <c r="N3682" s="787">
        <v>14.56</v>
      </c>
      <c r="O3682" s="788">
        <v>42156</v>
      </c>
    </row>
    <row r="3683" spans="1:15" x14ac:dyDescent="0.25">
      <c r="A3683" s="786" t="s">
        <v>7366</v>
      </c>
      <c r="B3683" s="787">
        <v>4</v>
      </c>
      <c r="C3683" s="787" t="s">
        <v>5582</v>
      </c>
      <c r="D3683" s="787">
        <v>0</v>
      </c>
      <c r="E3683" s="787">
        <v>0</v>
      </c>
      <c r="H3683" s="787">
        <v>1</v>
      </c>
      <c r="K3683" s="788">
        <v>42156</v>
      </c>
      <c r="L3683" s="787">
        <v>13.34</v>
      </c>
      <c r="M3683" s="787">
        <v>10</v>
      </c>
      <c r="N3683" s="787">
        <v>13.34</v>
      </c>
      <c r="O3683" s="788">
        <v>42156</v>
      </c>
    </row>
    <row r="3684" spans="1:15" x14ac:dyDescent="0.25">
      <c r="A3684" s="786" t="s">
        <v>7367</v>
      </c>
      <c r="B3684" s="787">
        <v>4</v>
      </c>
      <c r="C3684" s="787" t="s">
        <v>5582</v>
      </c>
      <c r="D3684" s="787">
        <v>5.39</v>
      </c>
      <c r="E3684" s="787">
        <v>5.39</v>
      </c>
      <c r="F3684" s="788">
        <v>40878</v>
      </c>
      <c r="G3684" s="788">
        <v>41646</v>
      </c>
      <c r="H3684" s="787">
        <v>1</v>
      </c>
      <c r="I3684" s="788">
        <v>41676</v>
      </c>
      <c r="J3684" s="788">
        <v>40878</v>
      </c>
      <c r="L3684" s="787">
        <v>5.39</v>
      </c>
      <c r="M3684" s="787">
        <v>20</v>
      </c>
      <c r="N3684" s="787">
        <v>5.79</v>
      </c>
      <c r="O3684" s="788">
        <v>42034</v>
      </c>
    </row>
    <row r="3685" spans="1:15" x14ac:dyDescent="0.25">
      <c r="A3685" s="786" t="s">
        <v>7368</v>
      </c>
      <c r="B3685" s="787">
        <v>4</v>
      </c>
      <c r="C3685" s="787" t="s">
        <v>5582</v>
      </c>
      <c r="D3685" s="787">
        <v>5.3</v>
      </c>
      <c r="E3685" s="787">
        <v>5.3</v>
      </c>
      <c r="F3685" s="788">
        <v>41709</v>
      </c>
      <c r="G3685" s="788">
        <v>42103</v>
      </c>
      <c r="H3685" s="787">
        <v>1</v>
      </c>
      <c r="I3685" s="788">
        <v>42080</v>
      </c>
      <c r="J3685" s="788">
        <v>42103</v>
      </c>
      <c r="K3685" s="788">
        <v>41421</v>
      </c>
      <c r="L3685" s="787">
        <v>5.3</v>
      </c>
      <c r="M3685" s="787">
        <v>20</v>
      </c>
      <c r="N3685" s="787">
        <v>5.7</v>
      </c>
      <c r="O3685" s="788">
        <v>41955</v>
      </c>
    </row>
    <row r="3686" spans="1:15" x14ac:dyDescent="0.25">
      <c r="A3686" s="786" t="s">
        <v>7369</v>
      </c>
      <c r="B3686" s="787">
        <v>4</v>
      </c>
      <c r="C3686" s="787" t="s">
        <v>5582</v>
      </c>
      <c r="D3686" s="787">
        <v>5.3</v>
      </c>
      <c r="E3686" s="787">
        <v>5.3</v>
      </c>
      <c r="F3686" s="788">
        <v>41709</v>
      </c>
      <c r="G3686" s="788">
        <v>42103</v>
      </c>
      <c r="H3686" s="787">
        <v>1</v>
      </c>
      <c r="I3686" s="788">
        <v>42080</v>
      </c>
      <c r="J3686" s="788">
        <v>42103</v>
      </c>
      <c r="K3686" s="788">
        <v>41421</v>
      </c>
      <c r="L3686" s="787">
        <v>5.3</v>
      </c>
      <c r="M3686" s="787">
        <v>20</v>
      </c>
      <c r="N3686" s="787">
        <v>5.7</v>
      </c>
      <c r="O3686" s="788">
        <v>41955</v>
      </c>
    </row>
    <row r="3687" spans="1:15" x14ac:dyDescent="0.25">
      <c r="A3687" s="786" t="s">
        <v>7370</v>
      </c>
      <c r="B3687" s="787">
        <v>4</v>
      </c>
      <c r="C3687" s="787" t="s">
        <v>5602</v>
      </c>
      <c r="D3687" s="787">
        <v>3.06</v>
      </c>
      <c r="E3687" s="787">
        <v>5.31</v>
      </c>
      <c r="F3687" s="788">
        <v>40878</v>
      </c>
      <c r="G3687" s="788">
        <v>42013</v>
      </c>
      <c r="H3687" s="787">
        <v>1</v>
      </c>
      <c r="I3687" s="788">
        <v>42040</v>
      </c>
      <c r="J3687" s="788">
        <v>41561</v>
      </c>
      <c r="K3687" s="788">
        <v>41865</v>
      </c>
      <c r="L3687" s="787">
        <v>3.26</v>
      </c>
      <c r="M3687" s="787">
        <v>20</v>
      </c>
      <c r="N3687" s="787">
        <v>3.5</v>
      </c>
      <c r="O3687" s="788">
        <v>42044</v>
      </c>
    </row>
    <row r="3688" spans="1:15" x14ac:dyDescent="0.25">
      <c r="A3688" s="786" t="s">
        <v>7371</v>
      </c>
      <c r="B3688" s="787">
        <v>4</v>
      </c>
      <c r="C3688" s="787" t="s">
        <v>5605</v>
      </c>
      <c r="D3688" s="787">
        <v>8.49</v>
      </c>
      <c r="E3688" s="787">
        <v>8.49</v>
      </c>
      <c r="F3688" s="788">
        <v>40949</v>
      </c>
      <c r="G3688" s="788">
        <v>40949</v>
      </c>
      <c r="H3688" s="787">
        <v>1</v>
      </c>
      <c r="I3688" s="788">
        <v>41676</v>
      </c>
      <c r="J3688" s="788">
        <v>40947</v>
      </c>
      <c r="L3688" s="787">
        <v>0</v>
      </c>
      <c r="M3688" s="787">
        <v>10</v>
      </c>
      <c r="N3688" s="787">
        <v>1.26</v>
      </c>
      <c r="O3688" s="788">
        <v>42034</v>
      </c>
    </row>
    <row r="3689" spans="1:15" x14ac:dyDescent="0.25">
      <c r="A3689" s="786" t="s">
        <v>7372</v>
      </c>
      <c r="B3689" s="787">
        <v>4</v>
      </c>
      <c r="C3689" s="787" t="s">
        <v>7373</v>
      </c>
      <c r="D3689" s="787">
        <v>3.12</v>
      </c>
      <c r="E3689" s="787">
        <v>13.12</v>
      </c>
      <c r="F3689" s="788">
        <v>41233</v>
      </c>
      <c r="G3689" s="788">
        <v>41233</v>
      </c>
      <c r="H3689" s="787">
        <v>1</v>
      </c>
      <c r="I3689" s="788">
        <v>41676</v>
      </c>
      <c r="J3689" s="788">
        <v>41200</v>
      </c>
      <c r="K3689" s="788">
        <v>41193</v>
      </c>
      <c r="L3689" s="787">
        <v>11.37</v>
      </c>
      <c r="M3689" s="787">
        <v>20</v>
      </c>
      <c r="N3689" s="787">
        <v>12.22</v>
      </c>
      <c r="O3689" s="788">
        <v>42034</v>
      </c>
    </row>
    <row r="3690" spans="1:15" x14ac:dyDescent="0.25">
      <c r="A3690" s="786" t="s">
        <v>7374</v>
      </c>
      <c r="B3690" s="787">
        <v>4</v>
      </c>
      <c r="C3690" s="787" t="s">
        <v>5602</v>
      </c>
      <c r="D3690" s="787">
        <v>5.69</v>
      </c>
      <c r="E3690" s="787">
        <v>5.69</v>
      </c>
      <c r="F3690" s="788">
        <v>40878</v>
      </c>
      <c r="G3690" s="788">
        <v>42013</v>
      </c>
      <c r="H3690" s="787">
        <v>1</v>
      </c>
      <c r="I3690" s="788">
        <v>41985</v>
      </c>
      <c r="J3690" s="788">
        <v>40878</v>
      </c>
      <c r="L3690" s="787">
        <v>5.69</v>
      </c>
      <c r="M3690" s="787">
        <v>20</v>
      </c>
      <c r="N3690" s="787">
        <v>6.12</v>
      </c>
      <c r="O3690" s="788">
        <v>41955</v>
      </c>
    </row>
    <row r="3691" spans="1:15" x14ac:dyDescent="0.25">
      <c r="A3691" s="786" t="s">
        <v>7375</v>
      </c>
      <c r="B3691" s="787">
        <v>4</v>
      </c>
      <c r="C3691" s="787" t="s">
        <v>5602</v>
      </c>
      <c r="D3691" s="787">
        <v>5.69</v>
      </c>
      <c r="E3691" s="787">
        <v>5.69</v>
      </c>
      <c r="F3691" s="788">
        <v>40878</v>
      </c>
      <c r="G3691" s="788">
        <v>42013</v>
      </c>
      <c r="H3691" s="787">
        <v>1</v>
      </c>
      <c r="I3691" s="788">
        <v>41985</v>
      </c>
      <c r="J3691" s="788">
        <v>40878</v>
      </c>
      <c r="L3691" s="787">
        <v>5.69</v>
      </c>
      <c r="M3691" s="787">
        <v>20</v>
      </c>
      <c r="N3691" s="787">
        <v>6.12</v>
      </c>
      <c r="O3691" s="788">
        <v>41955</v>
      </c>
    </row>
    <row r="3692" spans="1:15" x14ac:dyDescent="0.25">
      <c r="A3692" s="786" t="s">
        <v>7376</v>
      </c>
      <c r="B3692" s="787">
        <v>4</v>
      </c>
      <c r="C3692" s="787" t="s">
        <v>5611</v>
      </c>
      <c r="D3692" s="787">
        <v>0</v>
      </c>
      <c r="E3692" s="787">
        <v>0</v>
      </c>
      <c r="H3692" s="787">
        <v>1</v>
      </c>
      <c r="K3692" s="788">
        <v>40977</v>
      </c>
      <c r="L3692" s="787">
        <v>13.29</v>
      </c>
      <c r="M3692" s="787">
        <v>10</v>
      </c>
      <c r="N3692" s="787">
        <v>20.260000000000002</v>
      </c>
      <c r="O3692" s="788">
        <v>41858</v>
      </c>
    </row>
    <row r="3693" spans="1:15" x14ac:dyDescent="0.25">
      <c r="A3693" s="786" t="s">
        <v>7377</v>
      </c>
      <c r="B3693" s="787">
        <v>4</v>
      </c>
      <c r="C3693" s="787" t="s">
        <v>5611</v>
      </c>
      <c r="D3693" s="787">
        <v>0</v>
      </c>
      <c r="E3693" s="787">
        <v>0</v>
      </c>
      <c r="H3693" s="787">
        <v>6</v>
      </c>
      <c r="K3693" s="788">
        <v>40977</v>
      </c>
      <c r="L3693" s="787">
        <v>13.29</v>
      </c>
      <c r="M3693" s="787">
        <v>10</v>
      </c>
      <c r="N3693" s="787">
        <v>20.260000000000002</v>
      </c>
      <c r="O3693" s="788">
        <v>41768</v>
      </c>
    </row>
    <row r="3694" spans="1:15" x14ac:dyDescent="0.25">
      <c r="A3694" s="786" t="s">
        <v>7378</v>
      </c>
      <c r="B3694" s="787">
        <v>4</v>
      </c>
      <c r="C3694" s="787" t="s">
        <v>5611</v>
      </c>
      <c r="D3694" s="787">
        <v>0</v>
      </c>
      <c r="E3694" s="787">
        <v>0</v>
      </c>
      <c r="H3694" s="787">
        <v>1</v>
      </c>
      <c r="K3694" s="788">
        <v>40988</v>
      </c>
      <c r="L3694" s="787">
        <v>8.75</v>
      </c>
      <c r="M3694" s="787">
        <v>10</v>
      </c>
      <c r="N3694" s="787">
        <v>10.07</v>
      </c>
      <c r="O3694" s="788">
        <v>41858</v>
      </c>
    </row>
    <row r="3695" spans="1:15" x14ac:dyDescent="0.25">
      <c r="A3695" s="786" t="s">
        <v>7379</v>
      </c>
      <c r="B3695" s="787">
        <v>4</v>
      </c>
      <c r="C3695" s="787" t="s">
        <v>5615</v>
      </c>
      <c r="D3695" s="787">
        <v>0</v>
      </c>
      <c r="E3695" s="787">
        <v>0</v>
      </c>
      <c r="H3695" s="787">
        <v>1</v>
      </c>
      <c r="K3695" s="788">
        <v>40984</v>
      </c>
      <c r="L3695" s="787">
        <v>13.74</v>
      </c>
      <c r="M3695" s="787">
        <v>10</v>
      </c>
      <c r="N3695" s="787">
        <v>13.39</v>
      </c>
      <c r="O3695" s="788">
        <v>41858</v>
      </c>
    </row>
    <row r="3696" spans="1:15" x14ac:dyDescent="0.25">
      <c r="A3696" s="786" t="s">
        <v>7380</v>
      </c>
      <c r="B3696" s="787">
        <v>4</v>
      </c>
      <c r="C3696" s="787" t="s">
        <v>5617</v>
      </c>
      <c r="D3696" s="787">
        <v>0</v>
      </c>
      <c r="E3696" s="787">
        <v>0</v>
      </c>
      <c r="H3696" s="787">
        <v>1</v>
      </c>
      <c r="K3696" s="788">
        <v>42156</v>
      </c>
      <c r="L3696" s="787">
        <v>7.85</v>
      </c>
      <c r="M3696" s="787">
        <v>10</v>
      </c>
      <c r="N3696" s="787">
        <v>7.85</v>
      </c>
      <c r="O3696" s="788">
        <v>42156</v>
      </c>
    </row>
    <row r="3697" spans="1:15" x14ac:dyDescent="0.25">
      <c r="A3697" s="786" t="s">
        <v>7381</v>
      </c>
      <c r="B3697" s="787">
        <v>4</v>
      </c>
      <c r="C3697" s="787" t="s">
        <v>5617</v>
      </c>
      <c r="D3697" s="787">
        <v>0</v>
      </c>
      <c r="E3697" s="787">
        <v>0</v>
      </c>
      <c r="H3697" s="787">
        <v>1</v>
      </c>
      <c r="K3697" s="788">
        <v>42156</v>
      </c>
      <c r="L3697" s="787">
        <v>7.85</v>
      </c>
      <c r="M3697" s="787">
        <v>10</v>
      </c>
      <c r="N3697" s="787">
        <v>7.85</v>
      </c>
      <c r="O3697" s="788">
        <v>42156</v>
      </c>
    </row>
    <row r="3698" spans="1:15" x14ac:dyDescent="0.25">
      <c r="A3698" s="786" t="s">
        <v>7382</v>
      </c>
      <c r="B3698" s="787">
        <v>4</v>
      </c>
      <c r="C3698" s="787" t="s">
        <v>5620</v>
      </c>
      <c r="D3698" s="787">
        <v>0</v>
      </c>
      <c r="E3698" s="787">
        <v>0</v>
      </c>
      <c r="H3698" s="787">
        <v>1</v>
      </c>
      <c r="K3698" s="788">
        <v>42156</v>
      </c>
      <c r="L3698" s="787">
        <v>11.84</v>
      </c>
      <c r="M3698" s="787">
        <v>10</v>
      </c>
      <c r="N3698" s="787">
        <v>11.84</v>
      </c>
      <c r="O3698" s="788">
        <v>42156</v>
      </c>
    </row>
    <row r="3699" spans="1:15" x14ac:dyDescent="0.25">
      <c r="A3699" s="786" t="s">
        <v>7383</v>
      </c>
      <c r="B3699" s="787">
        <v>4</v>
      </c>
      <c r="C3699" s="787" t="s">
        <v>5622</v>
      </c>
      <c r="D3699" s="787">
        <v>0</v>
      </c>
      <c r="E3699" s="787">
        <v>0</v>
      </c>
      <c r="H3699" s="787">
        <v>1</v>
      </c>
      <c r="K3699" s="788">
        <v>42156</v>
      </c>
      <c r="L3699" s="787">
        <v>15.54</v>
      </c>
      <c r="M3699" s="787">
        <v>10</v>
      </c>
      <c r="N3699" s="787">
        <v>15.54</v>
      </c>
      <c r="O3699" s="788">
        <v>42156</v>
      </c>
    </row>
    <row r="3700" spans="1:15" x14ac:dyDescent="0.25">
      <c r="A3700" s="786" t="s">
        <v>7384</v>
      </c>
      <c r="B3700" s="787">
        <v>4</v>
      </c>
      <c r="C3700" s="787" t="s">
        <v>5615</v>
      </c>
      <c r="D3700" s="787">
        <v>0</v>
      </c>
      <c r="E3700" s="787">
        <v>0</v>
      </c>
      <c r="H3700" s="787">
        <v>1</v>
      </c>
      <c r="K3700" s="788">
        <v>40984</v>
      </c>
      <c r="L3700" s="787">
        <v>16.34</v>
      </c>
      <c r="M3700" s="787">
        <v>10</v>
      </c>
      <c r="N3700" s="787">
        <v>16.34</v>
      </c>
      <c r="O3700" s="788">
        <v>41858</v>
      </c>
    </row>
    <row r="3701" spans="1:15" x14ac:dyDescent="0.25">
      <c r="A3701" s="786" t="s">
        <v>7385</v>
      </c>
      <c r="B3701" s="787">
        <v>4</v>
      </c>
      <c r="C3701" s="787" t="s">
        <v>5625</v>
      </c>
      <c r="D3701" s="787">
        <v>0</v>
      </c>
      <c r="E3701" s="787">
        <v>0</v>
      </c>
      <c r="H3701" s="787">
        <v>1</v>
      </c>
      <c r="K3701" s="788">
        <v>42156</v>
      </c>
      <c r="L3701" s="787">
        <v>8.4600000000000009</v>
      </c>
      <c r="M3701" s="787">
        <v>10</v>
      </c>
      <c r="N3701" s="787">
        <v>8.4600000000000009</v>
      </c>
      <c r="O3701" s="788">
        <v>42156</v>
      </c>
    </row>
    <row r="3702" spans="1:15" x14ac:dyDescent="0.25">
      <c r="A3702" s="786" t="s">
        <v>7386</v>
      </c>
      <c r="B3702" s="787">
        <v>4</v>
      </c>
      <c r="C3702" s="787" t="s">
        <v>5625</v>
      </c>
      <c r="D3702" s="787">
        <v>0</v>
      </c>
      <c r="E3702" s="787">
        <v>0</v>
      </c>
      <c r="H3702" s="787">
        <v>1</v>
      </c>
      <c r="K3702" s="788">
        <v>42156</v>
      </c>
      <c r="L3702" s="787">
        <v>8.4600000000000009</v>
      </c>
      <c r="M3702" s="787">
        <v>10</v>
      </c>
      <c r="N3702" s="787">
        <v>8.4600000000000009</v>
      </c>
      <c r="O3702" s="788">
        <v>42156</v>
      </c>
    </row>
    <row r="3703" spans="1:15" x14ac:dyDescent="0.25">
      <c r="A3703" s="786" t="s">
        <v>7387</v>
      </c>
      <c r="B3703" s="787">
        <v>4</v>
      </c>
      <c r="C3703" s="787" t="s">
        <v>5625</v>
      </c>
      <c r="D3703" s="787">
        <v>0</v>
      </c>
      <c r="E3703" s="787">
        <v>0</v>
      </c>
      <c r="H3703" s="787">
        <v>1</v>
      </c>
      <c r="K3703" s="788">
        <v>42156</v>
      </c>
      <c r="L3703" s="787">
        <v>11.1</v>
      </c>
      <c r="M3703" s="787">
        <v>10</v>
      </c>
      <c r="N3703" s="787">
        <v>11.1</v>
      </c>
      <c r="O3703" s="788">
        <v>42156</v>
      </c>
    </row>
    <row r="3704" spans="1:15" x14ac:dyDescent="0.25">
      <c r="A3704" s="786" t="s">
        <v>7388</v>
      </c>
      <c r="B3704" s="787">
        <v>4</v>
      </c>
      <c r="C3704" s="787" t="s">
        <v>5629</v>
      </c>
      <c r="D3704" s="787">
        <v>0</v>
      </c>
      <c r="E3704" s="787">
        <v>0</v>
      </c>
      <c r="H3704" s="787">
        <v>1</v>
      </c>
      <c r="K3704" s="788">
        <v>42156</v>
      </c>
      <c r="L3704" s="787">
        <v>15.24</v>
      </c>
      <c r="M3704" s="787">
        <v>10</v>
      </c>
      <c r="N3704" s="787">
        <v>15.24</v>
      </c>
      <c r="O3704" s="788">
        <v>42156</v>
      </c>
    </row>
    <row r="3705" spans="1:15" x14ac:dyDescent="0.25">
      <c r="A3705" s="786" t="s">
        <v>7389</v>
      </c>
      <c r="B3705" s="787">
        <v>4</v>
      </c>
      <c r="C3705" s="787" t="s">
        <v>5634</v>
      </c>
      <c r="D3705" s="787">
        <v>0</v>
      </c>
      <c r="E3705" s="787">
        <v>0</v>
      </c>
      <c r="H3705" s="787">
        <v>1</v>
      </c>
      <c r="K3705" s="788">
        <v>42156</v>
      </c>
      <c r="L3705" s="787">
        <v>11.35</v>
      </c>
      <c r="M3705" s="787">
        <v>10</v>
      </c>
      <c r="N3705" s="787">
        <v>11.35</v>
      </c>
      <c r="O3705" s="788">
        <v>42156</v>
      </c>
    </row>
    <row r="3706" spans="1:15" x14ac:dyDescent="0.25">
      <c r="A3706" s="786" t="s">
        <v>7390</v>
      </c>
      <c r="B3706" s="787">
        <v>4</v>
      </c>
      <c r="C3706" s="787" t="s">
        <v>5640</v>
      </c>
      <c r="D3706" s="787">
        <v>1.68</v>
      </c>
      <c r="E3706" s="787">
        <v>1.68</v>
      </c>
      <c r="F3706" s="788">
        <v>41134</v>
      </c>
      <c r="G3706" s="788">
        <v>41943</v>
      </c>
      <c r="H3706" s="787">
        <v>1</v>
      </c>
      <c r="J3706" s="788">
        <v>41025</v>
      </c>
      <c r="K3706" s="788">
        <v>40997</v>
      </c>
      <c r="L3706" s="787">
        <v>3.43</v>
      </c>
      <c r="M3706" s="787">
        <v>10</v>
      </c>
      <c r="N3706" s="787">
        <v>3.45</v>
      </c>
      <c r="O3706" s="788">
        <v>42072</v>
      </c>
    </row>
    <row r="3707" spans="1:15" x14ac:dyDescent="0.25">
      <c r="A3707" s="786" t="s">
        <v>7391</v>
      </c>
      <c r="B3707" s="787">
        <v>4</v>
      </c>
      <c r="C3707" s="787" t="s">
        <v>5643</v>
      </c>
      <c r="D3707" s="787">
        <v>6.8</v>
      </c>
      <c r="E3707" s="787">
        <v>6.94</v>
      </c>
      <c r="F3707" s="788">
        <v>41890</v>
      </c>
      <c r="G3707" s="788">
        <v>42013</v>
      </c>
      <c r="H3707" s="787">
        <v>1</v>
      </c>
      <c r="I3707" s="788">
        <v>41911</v>
      </c>
      <c r="J3707" s="788">
        <v>41907</v>
      </c>
      <c r="K3707" s="788">
        <v>41226</v>
      </c>
      <c r="L3707" s="787">
        <v>6.8</v>
      </c>
      <c r="M3707" s="787">
        <v>20</v>
      </c>
      <c r="N3707" s="787">
        <v>7.31</v>
      </c>
      <c r="O3707" s="788">
        <v>41858</v>
      </c>
    </row>
    <row r="3708" spans="1:15" x14ac:dyDescent="0.25">
      <c r="A3708" s="786" t="s">
        <v>7392</v>
      </c>
      <c r="B3708" s="787">
        <v>4</v>
      </c>
      <c r="C3708" s="787" t="s">
        <v>5645</v>
      </c>
      <c r="D3708" s="787">
        <v>3.91</v>
      </c>
      <c r="E3708" s="787">
        <v>4.62</v>
      </c>
      <c r="F3708" s="788">
        <v>41260</v>
      </c>
      <c r="G3708" s="788">
        <v>42013</v>
      </c>
      <c r="H3708" s="787">
        <v>1</v>
      </c>
      <c r="I3708" s="788">
        <v>41911</v>
      </c>
      <c r="J3708" s="788">
        <v>41884</v>
      </c>
      <c r="K3708" s="788">
        <v>41226</v>
      </c>
      <c r="L3708" s="787">
        <v>3.88</v>
      </c>
      <c r="M3708" s="787">
        <v>20</v>
      </c>
      <c r="N3708" s="787">
        <v>4.17</v>
      </c>
      <c r="O3708" s="788">
        <v>41869</v>
      </c>
    </row>
    <row r="3709" spans="1:15" x14ac:dyDescent="0.25">
      <c r="A3709" s="786" t="s">
        <v>7393</v>
      </c>
      <c r="B3709" s="787">
        <v>4</v>
      </c>
      <c r="C3709" s="787" t="s">
        <v>5645</v>
      </c>
      <c r="D3709" s="787">
        <v>2.93</v>
      </c>
      <c r="E3709" s="787">
        <v>3.45</v>
      </c>
      <c r="F3709" s="788">
        <v>41260</v>
      </c>
      <c r="G3709" s="788">
        <v>42013</v>
      </c>
      <c r="H3709" s="787">
        <v>1</v>
      </c>
      <c r="I3709" s="788">
        <v>41911</v>
      </c>
      <c r="J3709" s="788">
        <v>41884</v>
      </c>
      <c r="K3709" s="788">
        <v>41226</v>
      </c>
      <c r="L3709" s="787">
        <v>2.9</v>
      </c>
      <c r="M3709" s="787">
        <v>20</v>
      </c>
      <c r="N3709" s="787">
        <v>3.12</v>
      </c>
      <c r="O3709" s="788">
        <v>41869</v>
      </c>
    </row>
    <row r="3710" spans="1:15" x14ac:dyDescent="0.25">
      <c r="A3710" s="786" t="s">
        <v>7394</v>
      </c>
      <c r="B3710" s="787">
        <v>4</v>
      </c>
      <c r="C3710" s="787" t="s">
        <v>7395</v>
      </c>
      <c r="D3710" s="787">
        <v>2.11</v>
      </c>
      <c r="E3710" s="787">
        <v>31.46</v>
      </c>
      <c r="F3710" s="788">
        <v>40998</v>
      </c>
      <c r="G3710" s="788">
        <v>41911</v>
      </c>
      <c r="H3710" s="787">
        <v>1</v>
      </c>
      <c r="I3710" s="788">
        <v>41876</v>
      </c>
      <c r="J3710" s="788">
        <v>41893</v>
      </c>
      <c r="K3710" s="788">
        <v>41872</v>
      </c>
      <c r="L3710" s="787">
        <v>21.46</v>
      </c>
      <c r="M3710" s="787">
        <v>20</v>
      </c>
      <c r="N3710" s="787">
        <v>1.08</v>
      </c>
      <c r="O3710" s="788">
        <v>41869</v>
      </c>
    </row>
    <row r="3711" spans="1:15" x14ac:dyDescent="0.25">
      <c r="A3711" s="786" t="s">
        <v>7396</v>
      </c>
      <c r="B3711" s="787">
        <v>4</v>
      </c>
      <c r="C3711" s="787" t="s">
        <v>5640</v>
      </c>
      <c r="D3711" s="787">
        <v>0.16</v>
      </c>
      <c r="E3711" s="787">
        <v>1.66</v>
      </c>
      <c r="F3711" s="788">
        <v>41209</v>
      </c>
      <c r="G3711" s="788">
        <v>41943</v>
      </c>
      <c r="H3711" s="787">
        <v>1</v>
      </c>
      <c r="J3711" s="788">
        <v>41410</v>
      </c>
      <c r="K3711" s="788">
        <v>40997</v>
      </c>
      <c r="L3711" s="787">
        <v>0.61</v>
      </c>
      <c r="M3711" s="787">
        <v>10</v>
      </c>
      <c r="N3711" s="787">
        <v>0.85</v>
      </c>
      <c r="O3711" s="788">
        <v>41858</v>
      </c>
    </row>
    <row r="3712" spans="1:15" x14ac:dyDescent="0.25">
      <c r="A3712" s="786" t="s">
        <v>7397</v>
      </c>
      <c r="B3712" s="787">
        <v>4</v>
      </c>
      <c r="C3712" s="787" t="s">
        <v>5640</v>
      </c>
      <c r="D3712" s="787">
        <v>1.1499999999999999</v>
      </c>
      <c r="E3712" s="787">
        <v>1.1499999999999999</v>
      </c>
      <c r="F3712" s="788">
        <v>41418</v>
      </c>
      <c r="G3712" s="788">
        <v>41943</v>
      </c>
      <c r="H3712" s="787">
        <v>1</v>
      </c>
      <c r="J3712" s="788">
        <v>41379</v>
      </c>
      <c r="L3712" s="787">
        <v>1</v>
      </c>
      <c r="M3712" s="787">
        <v>10</v>
      </c>
      <c r="N3712" s="787">
        <v>1.1000000000000001</v>
      </c>
      <c r="O3712" s="788">
        <v>41858</v>
      </c>
    </row>
    <row r="3713" spans="1:15" x14ac:dyDescent="0.25">
      <c r="A3713" s="786" t="s">
        <v>7398</v>
      </c>
      <c r="B3713" s="787">
        <v>4</v>
      </c>
      <c r="C3713" s="787" t="s">
        <v>7399</v>
      </c>
      <c r="D3713" s="787">
        <v>2.57</v>
      </c>
      <c r="E3713" s="787">
        <v>42.57</v>
      </c>
      <c r="F3713" s="788">
        <v>41382</v>
      </c>
      <c r="G3713" s="788">
        <v>41382</v>
      </c>
      <c r="H3713" s="787">
        <v>1</v>
      </c>
      <c r="I3713" s="788">
        <v>41393</v>
      </c>
      <c r="J3713" s="788">
        <v>41372</v>
      </c>
      <c r="K3713" s="788">
        <v>41351</v>
      </c>
      <c r="L3713" s="787">
        <v>1</v>
      </c>
      <c r="M3713" s="787">
        <v>10</v>
      </c>
      <c r="N3713" s="787">
        <v>2.67</v>
      </c>
      <c r="O3713" s="788">
        <v>40376</v>
      </c>
    </row>
    <row r="3714" spans="1:15" x14ac:dyDescent="0.25">
      <c r="A3714" s="786" t="s">
        <v>7400</v>
      </c>
      <c r="B3714" s="787">
        <v>4</v>
      </c>
      <c r="C3714" s="787" t="s">
        <v>7401</v>
      </c>
      <c r="D3714" s="787">
        <v>3.2</v>
      </c>
      <c r="E3714" s="787">
        <v>53.2</v>
      </c>
      <c r="F3714" s="788">
        <v>41382</v>
      </c>
      <c r="G3714" s="788">
        <v>41382</v>
      </c>
      <c r="H3714" s="787">
        <v>1</v>
      </c>
      <c r="I3714" s="788">
        <v>41390</v>
      </c>
      <c r="J3714" s="788">
        <v>41372</v>
      </c>
      <c r="K3714" s="788">
        <v>41351</v>
      </c>
      <c r="L3714" s="787">
        <v>1</v>
      </c>
      <c r="M3714" s="787">
        <v>10</v>
      </c>
      <c r="N3714" s="787">
        <v>2.73</v>
      </c>
      <c r="O3714" s="788">
        <v>40376</v>
      </c>
    </row>
    <row r="3715" spans="1:15" x14ac:dyDescent="0.25">
      <c r="A3715" s="786" t="s">
        <v>7402</v>
      </c>
      <c r="B3715" s="787">
        <v>4</v>
      </c>
      <c r="C3715" s="787" t="s">
        <v>7401</v>
      </c>
      <c r="D3715" s="787">
        <v>3.2</v>
      </c>
      <c r="E3715" s="787">
        <v>53.2</v>
      </c>
      <c r="F3715" s="788">
        <v>41382</v>
      </c>
      <c r="G3715" s="788">
        <v>41382</v>
      </c>
      <c r="H3715" s="787">
        <v>1</v>
      </c>
      <c r="I3715" s="788">
        <v>41393</v>
      </c>
      <c r="J3715" s="788">
        <v>41372</v>
      </c>
      <c r="K3715" s="788">
        <v>41351</v>
      </c>
      <c r="L3715" s="787">
        <v>1</v>
      </c>
      <c r="M3715" s="787">
        <v>10</v>
      </c>
      <c r="N3715" s="787">
        <v>2.73</v>
      </c>
      <c r="O3715" s="788">
        <v>40376</v>
      </c>
    </row>
    <row r="3716" spans="1:15" x14ac:dyDescent="0.25">
      <c r="A3716" s="786" t="s">
        <v>7403</v>
      </c>
      <c r="B3716" s="787">
        <v>4</v>
      </c>
      <c r="C3716" s="787" t="s">
        <v>7404</v>
      </c>
      <c r="D3716" s="787">
        <v>2.14</v>
      </c>
      <c r="E3716" s="787">
        <v>52.14</v>
      </c>
      <c r="F3716" s="788">
        <v>41382</v>
      </c>
      <c r="G3716" s="788">
        <v>41382</v>
      </c>
      <c r="H3716" s="787">
        <v>1</v>
      </c>
      <c r="I3716" s="788">
        <v>41393</v>
      </c>
      <c r="J3716" s="788">
        <v>41372</v>
      </c>
      <c r="K3716" s="788">
        <v>41351</v>
      </c>
      <c r="L3716" s="787">
        <v>1</v>
      </c>
      <c r="M3716" s="787">
        <v>10</v>
      </c>
      <c r="N3716" s="787">
        <v>2.73</v>
      </c>
      <c r="O3716" s="788">
        <v>40376</v>
      </c>
    </row>
    <row r="3717" spans="1:15" x14ac:dyDescent="0.25">
      <c r="A3717" s="786" t="s">
        <v>7405</v>
      </c>
      <c r="B3717" s="787">
        <v>4</v>
      </c>
      <c r="C3717" s="787" t="s">
        <v>7406</v>
      </c>
      <c r="D3717" s="787">
        <v>0.86</v>
      </c>
      <c r="E3717" s="787">
        <v>100.86</v>
      </c>
      <c r="F3717" s="788">
        <v>41425</v>
      </c>
      <c r="G3717" s="788">
        <v>41943</v>
      </c>
      <c r="H3717" s="787">
        <v>1</v>
      </c>
      <c r="J3717" s="788">
        <v>41393</v>
      </c>
      <c r="K3717" s="788">
        <v>41360</v>
      </c>
      <c r="L3717" s="787">
        <v>104.72</v>
      </c>
      <c r="M3717" s="787">
        <v>10</v>
      </c>
      <c r="N3717" s="787">
        <v>98.34</v>
      </c>
      <c r="O3717" s="788">
        <v>41597</v>
      </c>
    </row>
    <row r="3718" spans="1:15" x14ac:dyDescent="0.25">
      <c r="A3718" s="786" t="s">
        <v>7407</v>
      </c>
      <c r="B3718" s="787">
        <v>4</v>
      </c>
      <c r="C3718" s="787" t="s">
        <v>7406</v>
      </c>
      <c r="D3718" s="787">
        <v>0.64</v>
      </c>
      <c r="E3718" s="787">
        <v>100.64</v>
      </c>
      <c r="F3718" s="788">
        <v>41425</v>
      </c>
      <c r="G3718" s="788">
        <v>41943</v>
      </c>
      <c r="H3718" s="787">
        <v>1</v>
      </c>
      <c r="J3718" s="788">
        <v>41393</v>
      </c>
      <c r="K3718" s="788">
        <v>41360</v>
      </c>
      <c r="L3718" s="787">
        <v>104.72</v>
      </c>
      <c r="M3718" s="787">
        <v>10</v>
      </c>
      <c r="N3718" s="787">
        <v>98.34</v>
      </c>
      <c r="O3718" s="788">
        <v>41597</v>
      </c>
    </row>
    <row r="3719" spans="1:15" x14ac:dyDescent="0.25">
      <c r="A3719" s="786" t="s">
        <v>7408</v>
      </c>
      <c r="B3719" s="787">
        <v>4</v>
      </c>
      <c r="C3719" s="787" t="s">
        <v>5663</v>
      </c>
      <c r="D3719" s="787">
        <v>8.9700000000000006</v>
      </c>
      <c r="E3719" s="787">
        <v>8.9700000000000006</v>
      </c>
      <c r="F3719" s="788">
        <v>41449</v>
      </c>
      <c r="G3719" s="788">
        <v>42013</v>
      </c>
      <c r="H3719" s="787">
        <v>1</v>
      </c>
      <c r="I3719" s="788">
        <v>41583</v>
      </c>
      <c r="J3719" s="788">
        <v>41421</v>
      </c>
      <c r="K3719" s="788">
        <v>41380</v>
      </c>
      <c r="L3719" s="787">
        <v>8.39</v>
      </c>
      <c r="M3719" s="787">
        <v>10</v>
      </c>
      <c r="N3719" s="787">
        <v>2.0699999999999998</v>
      </c>
      <c r="O3719" s="788">
        <v>40376</v>
      </c>
    </row>
    <row r="3720" spans="1:15" x14ac:dyDescent="0.25">
      <c r="A3720" s="786" t="s">
        <v>7409</v>
      </c>
      <c r="B3720" s="787">
        <v>4</v>
      </c>
      <c r="C3720" s="787" t="s">
        <v>5663</v>
      </c>
      <c r="D3720" s="787">
        <v>8.9700000000000006</v>
      </c>
      <c r="E3720" s="787">
        <v>8.9700000000000006</v>
      </c>
      <c r="F3720" s="788">
        <v>41449</v>
      </c>
      <c r="G3720" s="788">
        <v>42013</v>
      </c>
      <c r="H3720" s="787">
        <v>1</v>
      </c>
      <c r="I3720" s="788">
        <v>41583</v>
      </c>
      <c r="J3720" s="788">
        <v>41421</v>
      </c>
      <c r="K3720" s="788">
        <v>41380</v>
      </c>
      <c r="L3720" s="787">
        <v>8.39</v>
      </c>
      <c r="M3720" s="787">
        <v>10</v>
      </c>
      <c r="N3720" s="787">
        <v>2.0699999999999998</v>
      </c>
      <c r="O3720" s="788">
        <v>40376</v>
      </c>
    </row>
    <row r="3721" spans="1:15" x14ac:dyDescent="0.25">
      <c r="A3721" s="786" t="s">
        <v>7410</v>
      </c>
      <c r="B3721" s="787">
        <v>4</v>
      </c>
      <c r="C3721" s="787" t="s">
        <v>5666</v>
      </c>
      <c r="D3721" s="787">
        <v>0</v>
      </c>
      <c r="E3721" s="787">
        <v>0</v>
      </c>
      <c r="H3721" s="787">
        <v>1</v>
      </c>
      <c r="I3721" s="788">
        <v>41911</v>
      </c>
      <c r="K3721" s="788">
        <v>41404</v>
      </c>
      <c r="L3721" s="787">
        <v>15.35</v>
      </c>
      <c r="M3721" s="787">
        <v>10</v>
      </c>
      <c r="N3721" s="787">
        <v>15.06</v>
      </c>
      <c r="O3721" s="788">
        <v>41858</v>
      </c>
    </row>
    <row r="3722" spans="1:15" x14ac:dyDescent="0.25">
      <c r="A3722" s="786" t="s">
        <v>7411</v>
      </c>
      <c r="B3722" s="787">
        <v>4</v>
      </c>
      <c r="C3722" s="787" t="s">
        <v>5668</v>
      </c>
      <c r="D3722" s="787">
        <v>0</v>
      </c>
      <c r="E3722" s="787">
        <v>0</v>
      </c>
      <c r="H3722" s="787">
        <v>1</v>
      </c>
      <c r="K3722" s="788">
        <v>42156</v>
      </c>
      <c r="L3722" s="787">
        <v>12.01</v>
      </c>
      <c r="M3722" s="787">
        <v>10</v>
      </c>
      <c r="N3722" s="787">
        <v>12.01</v>
      </c>
      <c r="O3722" s="788">
        <v>42156</v>
      </c>
    </row>
    <row r="3723" spans="1:15" x14ac:dyDescent="0.25">
      <c r="A3723" s="786" t="s">
        <v>7412</v>
      </c>
      <c r="B3723" s="787">
        <v>4</v>
      </c>
      <c r="C3723" s="787" t="s">
        <v>7413</v>
      </c>
      <c r="D3723" s="787">
        <v>0</v>
      </c>
      <c r="E3723" s="787">
        <v>0</v>
      </c>
      <c r="H3723" s="787">
        <v>1</v>
      </c>
      <c r="K3723" s="788">
        <v>42156</v>
      </c>
      <c r="L3723" s="787">
        <v>12.01</v>
      </c>
      <c r="M3723" s="787">
        <v>10</v>
      </c>
      <c r="N3723" s="787">
        <v>12.01</v>
      </c>
      <c r="O3723" s="788">
        <v>42156</v>
      </c>
    </row>
    <row r="3724" spans="1:15" x14ac:dyDescent="0.25">
      <c r="A3724" s="786" t="s">
        <v>7414</v>
      </c>
      <c r="B3724" s="787">
        <v>4</v>
      </c>
      <c r="C3724" s="787" t="s">
        <v>5671</v>
      </c>
      <c r="D3724" s="787">
        <v>0</v>
      </c>
      <c r="E3724" s="787">
        <v>0</v>
      </c>
      <c r="H3724" s="787">
        <v>1</v>
      </c>
      <c r="I3724" s="788">
        <v>41976</v>
      </c>
      <c r="L3724" s="787">
        <v>1</v>
      </c>
      <c r="M3724" s="787">
        <v>10</v>
      </c>
      <c r="N3724" s="787">
        <v>21.55</v>
      </c>
      <c r="O3724" s="788">
        <v>41858</v>
      </c>
    </row>
    <row r="3725" spans="1:15" x14ac:dyDescent="0.25">
      <c r="A3725" s="786" t="s">
        <v>7415</v>
      </c>
      <c r="B3725" s="787">
        <v>4</v>
      </c>
      <c r="C3725" s="787" t="s">
        <v>5673</v>
      </c>
      <c r="D3725" s="787">
        <v>0.57999999999999996</v>
      </c>
      <c r="E3725" s="787">
        <v>0.79</v>
      </c>
      <c r="F3725" s="788">
        <v>41209</v>
      </c>
      <c r="G3725" s="788">
        <v>42013</v>
      </c>
      <c r="H3725" s="787">
        <v>1</v>
      </c>
      <c r="I3725" s="788">
        <v>41974</v>
      </c>
      <c r="J3725" s="788">
        <v>41929</v>
      </c>
      <c r="K3725" s="788">
        <v>40970</v>
      </c>
      <c r="L3725" s="787">
        <v>1.1000000000000001</v>
      </c>
      <c r="M3725" s="787">
        <v>10</v>
      </c>
      <c r="N3725" s="787">
        <v>1.39</v>
      </c>
      <c r="O3725" s="788">
        <v>42060</v>
      </c>
    </row>
    <row r="3726" spans="1:15" x14ac:dyDescent="0.25">
      <c r="A3726" s="786" t="s">
        <v>7416</v>
      </c>
      <c r="B3726" s="787">
        <v>4</v>
      </c>
      <c r="C3726" s="787" t="s">
        <v>7417</v>
      </c>
      <c r="D3726" s="787">
        <v>8.5</v>
      </c>
      <c r="E3726" s="787">
        <v>68.5</v>
      </c>
      <c r="F3726" s="788">
        <v>40786</v>
      </c>
      <c r="G3726" s="788">
        <v>42081</v>
      </c>
      <c r="H3726" s="787">
        <v>1</v>
      </c>
      <c r="I3726" s="788">
        <v>42088</v>
      </c>
      <c r="J3726" s="788">
        <v>42062</v>
      </c>
      <c r="K3726" s="788">
        <v>41865</v>
      </c>
      <c r="L3726" s="787">
        <v>112</v>
      </c>
      <c r="M3726" s="787">
        <v>20</v>
      </c>
      <c r="N3726" s="787">
        <v>44.41</v>
      </c>
      <c r="O3726" s="788">
        <v>41858</v>
      </c>
    </row>
    <row r="3727" spans="1:15" x14ac:dyDescent="0.25">
      <c r="A3727" s="786" t="s">
        <v>7418</v>
      </c>
      <c r="B3727" s="787">
        <v>4</v>
      </c>
      <c r="C3727" s="787" t="s">
        <v>7419</v>
      </c>
      <c r="D3727" s="787">
        <v>7.86</v>
      </c>
      <c r="E3727" s="787">
        <v>40.04</v>
      </c>
      <c r="F3727" s="788">
        <v>41180</v>
      </c>
      <c r="G3727" s="788">
        <v>42013</v>
      </c>
      <c r="H3727" s="787">
        <v>1</v>
      </c>
      <c r="I3727" s="788">
        <v>42088</v>
      </c>
      <c r="J3727" s="788">
        <v>41451</v>
      </c>
      <c r="K3727" s="788">
        <v>41432</v>
      </c>
      <c r="L3727" s="787">
        <v>1</v>
      </c>
      <c r="M3727" s="787">
        <v>10</v>
      </c>
      <c r="N3727" s="787">
        <v>14.7</v>
      </c>
      <c r="O3727" s="788">
        <v>41858</v>
      </c>
    </row>
    <row r="3728" spans="1:15" x14ac:dyDescent="0.25">
      <c r="A3728" s="786" t="s">
        <v>7420</v>
      </c>
      <c r="B3728" s="787">
        <v>4</v>
      </c>
      <c r="C3728" s="787" t="s">
        <v>7421</v>
      </c>
      <c r="D3728" s="787">
        <v>0.85</v>
      </c>
      <c r="E3728" s="787">
        <v>10.91</v>
      </c>
      <c r="F3728" s="788">
        <v>41037</v>
      </c>
      <c r="G3728" s="788">
        <v>41458</v>
      </c>
      <c r="H3728" s="787">
        <v>1</v>
      </c>
      <c r="I3728" s="788">
        <v>41451</v>
      </c>
      <c r="J3728" s="788">
        <v>41449</v>
      </c>
      <c r="K3728" s="788">
        <v>40848</v>
      </c>
      <c r="L3728" s="787">
        <v>6.51</v>
      </c>
      <c r="M3728" s="787">
        <v>20</v>
      </c>
      <c r="N3728" s="787">
        <v>7</v>
      </c>
      <c r="O3728" s="788">
        <v>41858</v>
      </c>
    </row>
    <row r="3729" spans="1:15" x14ac:dyDescent="0.25">
      <c r="A3729" s="786" t="s">
        <v>7422</v>
      </c>
      <c r="B3729" s="787">
        <v>4</v>
      </c>
      <c r="C3729" s="787" t="s">
        <v>5683</v>
      </c>
      <c r="D3729" s="787">
        <v>0.1</v>
      </c>
      <c r="E3729" s="787">
        <v>0.1</v>
      </c>
      <c r="F3729" s="788">
        <v>41813</v>
      </c>
      <c r="G3729" s="788">
        <v>42013</v>
      </c>
      <c r="H3729" s="787">
        <v>1</v>
      </c>
      <c r="I3729" s="788">
        <v>42088</v>
      </c>
      <c r="J3729" s="788">
        <v>41477</v>
      </c>
      <c r="K3729" s="788">
        <v>41417</v>
      </c>
      <c r="L3729" s="787">
        <v>0.25</v>
      </c>
      <c r="M3729" s="787">
        <v>10</v>
      </c>
      <c r="N3729" s="787">
        <v>0.56999999999999995</v>
      </c>
      <c r="O3729" s="788">
        <v>41858</v>
      </c>
    </row>
    <row r="3730" spans="1:15" x14ac:dyDescent="0.25">
      <c r="A3730" s="786" t="s">
        <v>7423</v>
      </c>
      <c r="B3730" s="787">
        <v>4</v>
      </c>
      <c r="C3730" s="787" t="s">
        <v>7424</v>
      </c>
      <c r="D3730" s="787">
        <v>2.96</v>
      </c>
      <c r="E3730" s="787">
        <v>23.91</v>
      </c>
      <c r="F3730" s="788">
        <v>41335</v>
      </c>
      <c r="G3730" s="788">
        <v>42108</v>
      </c>
      <c r="H3730" s="787">
        <v>1</v>
      </c>
      <c r="I3730" s="788">
        <v>42088</v>
      </c>
      <c r="J3730" s="788">
        <v>42086</v>
      </c>
      <c r="K3730" s="788">
        <v>41453</v>
      </c>
      <c r="L3730" s="787">
        <v>15.98</v>
      </c>
      <c r="M3730" s="787">
        <v>10</v>
      </c>
      <c r="N3730" s="787">
        <v>15.29</v>
      </c>
      <c r="O3730" s="788">
        <v>41955</v>
      </c>
    </row>
    <row r="3731" spans="1:15" x14ac:dyDescent="0.25">
      <c r="A3731" s="786" t="s">
        <v>7425</v>
      </c>
      <c r="B3731" s="787">
        <v>4</v>
      </c>
      <c r="C3731" s="787" t="s">
        <v>5687</v>
      </c>
      <c r="D3731" s="787">
        <v>0.97</v>
      </c>
      <c r="E3731" s="787">
        <v>6.43</v>
      </c>
      <c r="F3731" s="788">
        <v>41134</v>
      </c>
      <c r="G3731" s="788">
        <v>42107</v>
      </c>
      <c r="H3731" s="787">
        <v>1</v>
      </c>
      <c r="I3731" s="788">
        <v>42086</v>
      </c>
      <c r="J3731" s="788">
        <v>42073</v>
      </c>
      <c r="K3731" s="788">
        <v>41452</v>
      </c>
      <c r="L3731" s="787">
        <v>3.33</v>
      </c>
      <c r="M3731" s="787">
        <v>10</v>
      </c>
      <c r="N3731" s="787">
        <v>3.26</v>
      </c>
      <c r="O3731" s="788">
        <v>42054</v>
      </c>
    </row>
    <row r="3732" spans="1:15" x14ac:dyDescent="0.25">
      <c r="A3732" s="786" t="s">
        <v>7426</v>
      </c>
      <c r="B3732" s="787">
        <v>4</v>
      </c>
      <c r="C3732" s="787" t="s">
        <v>5688</v>
      </c>
      <c r="D3732" s="787">
        <v>2.6</v>
      </c>
      <c r="E3732" s="787">
        <v>5.88</v>
      </c>
      <c r="F3732" s="788">
        <v>41218</v>
      </c>
      <c r="G3732" s="788">
        <v>42111</v>
      </c>
      <c r="H3732" s="787">
        <v>1</v>
      </c>
      <c r="I3732" s="788">
        <v>42088</v>
      </c>
      <c r="J3732" s="788">
        <v>42086</v>
      </c>
      <c r="K3732" s="788">
        <v>41432</v>
      </c>
      <c r="L3732" s="787">
        <v>1</v>
      </c>
      <c r="M3732" s="787">
        <v>10</v>
      </c>
      <c r="N3732" s="787">
        <v>4.4400000000000004</v>
      </c>
      <c r="O3732" s="788">
        <v>41858</v>
      </c>
    </row>
    <row r="3733" spans="1:15" x14ac:dyDescent="0.25">
      <c r="A3733" s="786" t="s">
        <v>7427</v>
      </c>
      <c r="B3733" s="787">
        <v>4</v>
      </c>
      <c r="C3733" s="787" t="s">
        <v>7428</v>
      </c>
      <c r="D3733" s="787">
        <v>8.2100000000000009</v>
      </c>
      <c r="E3733" s="787">
        <v>18.489999999999998</v>
      </c>
      <c r="F3733" s="788">
        <v>41452</v>
      </c>
      <c r="G3733" s="788">
        <v>42125</v>
      </c>
      <c r="H3733" s="787">
        <v>1</v>
      </c>
      <c r="I3733" s="788">
        <v>42083</v>
      </c>
      <c r="J3733" s="788">
        <v>42082</v>
      </c>
      <c r="K3733" s="788">
        <v>41214</v>
      </c>
      <c r="L3733" s="787">
        <v>15.6</v>
      </c>
      <c r="M3733" s="787">
        <v>20</v>
      </c>
      <c r="N3733" s="787">
        <v>16.77</v>
      </c>
      <c r="O3733" s="788">
        <v>42123</v>
      </c>
    </row>
    <row r="3734" spans="1:15" x14ac:dyDescent="0.25">
      <c r="A3734" s="786" t="s">
        <v>7429</v>
      </c>
      <c r="B3734" s="787">
        <v>4</v>
      </c>
      <c r="C3734" s="787" t="s">
        <v>7430</v>
      </c>
      <c r="D3734" s="787">
        <v>9.35</v>
      </c>
      <c r="E3734" s="787">
        <v>19.350000000000001</v>
      </c>
      <c r="F3734" s="788">
        <v>42157</v>
      </c>
      <c r="G3734" s="788">
        <v>42135</v>
      </c>
      <c r="H3734" s="787">
        <v>1</v>
      </c>
      <c r="I3734" s="788">
        <v>42080</v>
      </c>
      <c r="J3734" s="788">
        <v>42135</v>
      </c>
      <c r="K3734" s="788">
        <v>41437</v>
      </c>
      <c r="L3734" s="787">
        <v>19.350000000000001</v>
      </c>
      <c r="M3734" s="787">
        <v>20</v>
      </c>
      <c r="N3734" s="787">
        <v>20.8</v>
      </c>
      <c r="O3734" s="788">
        <v>41955</v>
      </c>
    </row>
    <row r="3735" spans="1:15" x14ac:dyDescent="0.25">
      <c r="A3735" s="786" t="s">
        <v>7431</v>
      </c>
      <c r="B3735" s="787">
        <v>4</v>
      </c>
      <c r="C3735" s="787" t="s">
        <v>7432</v>
      </c>
      <c r="D3735" s="787">
        <v>0.31</v>
      </c>
      <c r="E3735" s="787">
        <v>40.31</v>
      </c>
      <c r="F3735" s="788">
        <v>42145</v>
      </c>
      <c r="G3735" s="788">
        <v>42117</v>
      </c>
      <c r="H3735" s="787">
        <v>1</v>
      </c>
      <c r="I3735" s="788">
        <v>42088</v>
      </c>
      <c r="J3735" s="788">
        <v>42117</v>
      </c>
      <c r="K3735" s="788">
        <v>41865</v>
      </c>
      <c r="L3735" s="787">
        <v>108.5</v>
      </c>
      <c r="M3735" s="787">
        <v>20</v>
      </c>
      <c r="N3735" s="787">
        <v>43.33</v>
      </c>
      <c r="O3735" s="788">
        <v>41858</v>
      </c>
    </row>
    <row r="3736" spans="1:15" x14ac:dyDescent="0.25">
      <c r="A3736" s="786" t="s">
        <v>7433</v>
      </c>
      <c r="B3736" s="787">
        <v>4</v>
      </c>
      <c r="C3736" s="787" t="s">
        <v>5698</v>
      </c>
      <c r="D3736" s="787">
        <v>8.06</v>
      </c>
      <c r="E3736" s="787">
        <v>8.06</v>
      </c>
      <c r="F3736" s="788">
        <v>41134</v>
      </c>
      <c r="G3736" s="788">
        <v>41134</v>
      </c>
      <c r="H3736" s="787">
        <v>1</v>
      </c>
      <c r="J3736" s="788">
        <v>40998</v>
      </c>
      <c r="K3736" s="788">
        <v>40919</v>
      </c>
      <c r="L3736" s="787">
        <v>12.71</v>
      </c>
      <c r="M3736" s="787">
        <v>10</v>
      </c>
      <c r="N3736" s="787">
        <v>12.13</v>
      </c>
      <c r="O3736" s="788">
        <v>42034</v>
      </c>
    </row>
    <row r="3737" spans="1:15" x14ac:dyDescent="0.25">
      <c r="A3737" s="786" t="s">
        <v>7434</v>
      </c>
      <c r="B3737" s="787">
        <v>4</v>
      </c>
      <c r="C3737" s="787" t="s">
        <v>5700</v>
      </c>
      <c r="D3737" s="787">
        <v>5.19</v>
      </c>
      <c r="E3737" s="787">
        <v>5.19</v>
      </c>
      <c r="F3737" s="788">
        <v>40949</v>
      </c>
      <c r="G3737" s="788">
        <v>40949</v>
      </c>
      <c r="H3737" s="787">
        <v>1</v>
      </c>
      <c r="J3737" s="788">
        <v>40947</v>
      </c>
      <c r="L3737" s="787">
        <v>0</v>
      </c>
      <c r="M3737" s="787">
        <v>10</v>
      </c>
      <c r="N3737" s="787">
        <v>8.9700000000000006</v>
      </c>
      <c r="O3737" s="788">
        <v>42034</v>
      </c>
    </row>
    <row r="3738" spans="1:15" x14ac:dyDescent="0.25">
      <c r="A3738" s="786" t="s">
        <v>7435</v>
      </c>
      <c r="B3738" s="787">
        <v>4</v>
      </c>
      <c r="C3738" s="787" t="s">
        <v>7436</v>
      </c>
      <c r="D3738" s="787">
        <v>8.48</v>
      </c>
      <c r="E3738" s="787">
        <v>38.479999999999997</v>
      </c>
      <c r="F3738" s="788">
        <v>40940</v>
      </c>
      <c r="G3738" s="788">
        <v>40940</v>
      </c>
      <c r="H3738" s="787">
        <v>1</v>
      </c>
      <c r="J3738" s="788">
        <v>40935</v>
      </c>
      <c r="K3738" s="788">
        <v>40942</v>
      </c>
      <c r="L3738" s="787">
        <v>38.479999999999997</v>
      </c>
      <c r="M3738" s="787">
        <v>20</v>
      </c>
      <c r="N3738" s="787">
        <v>41.37</v>
      </c>
      <c r="O3738" s="788">
        <v>42034</v>
      </c>
    </row>
    <row r="3739" spans="1:15" x14ac:dyDescent="0.25">
      <c r="A3739" s="786" t="s">
        <v>7437</v>
      </c>
      <c r="B3739" s="787">
        <v>4</v>
      </c>
      <c r="C3739" s="787" t="s">
        <v>7438</v>
      </c>
      <c r="D3739" s="787">
        <v>8.52</v>
      </c>
      <c r="E3739" s="787">
        <v>38.520000000000003</v>
      </c>
      <c r="F3739" s="788">
        <v>40940</v>
      </c>
      <c r="G3739" s="788">
        <v>40940</v>
      </c>
      <c r="H3739" s="787">
        <v>1</v>
      </c>
      <c r="J3739" s="788">
        <v>40935</v>
      </c>
      <c r="K3739" s="788">
        <v>40942</v>
      </c>
      <c r="L3739" s="787">
        <v>38.520000000000003</v>
      </c>
      <c r="M3739" s="787">
        <v>20</v>
      </c>
      <c r="N3739" s="787">
        <v>41.41</v>
      </c>
      <c r="O3739" s="788">
        <v>42034</v>
      </c>
    </row>
    <row r="3740" spans="1:15" x14ac:dyDescent="0.25">
      <c r="A3740" s="786" t="s">
        <v>7439</v>
      </c>
      <c r="B3740" s="787">
        <v>4</v>
      </c>
      <c r="C3740" s="787" t="s">
        <v>5710</v>
      </c>
      <c r="D3740" s="787">
        <v>8.66</v>
      </c>
      <c r="E3740" s="787">
        <v>8.66</v>
      </c>
      <c r="F3740" s="788">
        <v>40949</v>
      </c>
      <c r="G3740" s="788">
        <v>41943</v>
      </c>
      <c r="H3740" s="787">
        <v>1</v>
      </c>
      <c r="I3740" s="788">
        <v>41676</v>
      </c>
      <c r="J3740" s="788">
        <v>40938</v>
      </c>
      <c r="L3740" s="787">
        <v>0</v>
      </c>
      <c r="M3740" s="787">
        <v>10</v>
      </c>
      <c r="N3740" s="787">
        <v>7.37</v>
      </c>
      <c r="O3740" s="788">
        <v>42034</v>
      </c>
    </row>
    <row r="3741" spans="1:15" x14ac:dyDescent="0.25">
      <c r="A3741" s="786" t="s">
        <v>7440</v>
      </c>
      <c r="B3741" s="787">
        <v>4</v>
      </c>
      <c r="C3741" s="787" t="s">
        <v>7441</v>
      </c>
      <c r="D3741" s="787">
        <v>8.49</v>
      </c>
      <c r="E3741" s="787">
        <v>28.49</v>
      </c>
      <c r="F3741" s="788">
        <v>42086</v>
      </c>
      <c r="G3741" s="788">
        <v>42086</v>
      </c>
      <c r="H3741" s="787">
        <v>1</v>
      </c>
      <c r="I3741" s="788">
        <v>41310</v>
      </c>
      <c r="J3741" s="788">
        <v>42059</v>
      </c>
      <c r="K3741" s="788">
        <v>41453</v>
      </c>
      <c r="L3741" s="787">
        <v>8.56</v>
      </c>
      <c r="M3741" s="787">
        <v>10</v>
      </c>
      <c r="N3741" s="787">
        <v>24.66</v>
      </c>
      <c r="O3741" s="788">
        <v>42054</v>
      </c>
    </row>
    <row r="3742" spans="1:15" x14ac:dyDescent="0.25">
      <c r="A3742" s="786" t="s">
        <v>7442</v>
      </c>
      <c r="B3742" s="787">
        <v>4</v>
      </c>
      <c r="C3742" s="787" t="s">
        <v>7443</v>
      </c>
      <c r="D3742" s="787">
        <v>4</v>
      </c>
      <c r="E3742" s="787">
        <v>83</v>
      </c>
      <c r="F3742" s="788">
        <v>40786</v>
      </c>
      <c r="G3742" s="788">
        <v>40854</v>
      </c>
      <c r="H3742" s="787">
        <v>1</v>
      </c>
      <c r="I3742" s="788">
        <v>41310</v>
      </c>
      <c r="J3742" s="788">
        <v>40854</v>
      </c>
      <c r="K3742" s="788">
        <v>41549</v>
      </c>
      <c r="L3742" s="787">
        <v>46.5</v>
      </c>
      <c r="M3742" s="787">
        <v>20</v>
      </c>
      <c r="N3742" s="787">
        <v>49.99</v>
      </c>
      <c r="O3742" s="788">
        <v>41858</v>
      </c>
    </row>
    <row r="3743" spans="1:15" x14ac:dyDescent="0.25">
      <c r="A3743" s="786" t="s">
        <v>7444</v>
      </c>
      <c r="B3743" s="787">
        <v>4</v>
      </c>
      <c r="C3743" s="787" t="s">
        <v>7445</v>
      </c>
      <c r="D3743" s="787">
        <v>7</v>
      </c>
      <c r="E3743" s="787">
        <v>85</v>
      </c>
      <c r="F3743" s="788">
        <v>40786</v>
      </c>
      <c r="G3743" s="788">
        <v>41646</v>
      </c>
      <c r="H3743" s="787">
        <v>1</v>
      </c>
      <c r="I3743" s="788">
        <v>41310</v>
      </c>
      <c r="J3743" s="788">
        <v>40854</v>
      </c>
      <c r="K3743" s="788">
        <v>41549</v>
      </c>
      <c r="L3743" s="787">
        <v>45</v>
      </c>
      <c r="M3743" s="787">
        <v>20</v>
      </c>
      <c r="N3743" s="787">
        <v>48.38</v>
      </c>
      <c r="O3743" s="788">
        <v>41858</v>
      </c>
    </row>
    <row r="3744" spans="1:15" x14ac:dyDescent="0.25">
      <c r="A3744" s="786" t="s">
        <v>7446</v>
      </c>
      <c r="B3744" s="787">
        <v>4</v>
      </c>
      <c r="C3744" s="787" t="s">
        <v>7447</v>
      </c>
      <c r="D3744" s="787">
        <v>0.83</v>
      </c>
      <c r="E3744" s="787">
        <v>30.83</v>
      </c>
      <c r="F3744" s="788">
        <v>40984</v>
      </c>
      <c r="G3744" s="788">
        <v>40984</v>
      </c>
      <c r="H3744" s="787">
        <v>1</v>
      </c>
      <c r="I3744" s="788">
        <v>41304</v>
      </c>
      <c r="J3744" s="788">
        <v>40975</v>
      </c>
      <c r="K3744" s="788">
        <v>41820</v>
      </c>
      <c r="L3744" s="787">
        <v>33.14</v>
      </c>
      <c r="M3744" s="787">
        <v>20</v>
      </c>
      <c r="N3744" s="787">
        <v>35.630000000000003</v>
      </c>
      <c r="O3744" s="788">
        <v>42123</v>
      </c>
    </row>
    <row r="3745" spans="1:15" x14ac:dyDescent="0.25">
      <c r="A3745" s="786" t="s">
        <v>7448</v>
      </c>
      <c r="B3745" s="787">
        <v>4</v>
      </c>
      <c r="C3745" s="787" t="s">
        <v>5722</v>
      </c>
      <c r="D3745" s="787">
        <v>5.56</v>
      </c>
      <c r="E3745" s="787">
        <v>5.56</v>
      </c>
      <c r="F3745" s="788">
        <v>41278</v>
      </c>
      <c r="G3745" s="788">
        <v>41943</v>
      </c>
      <c r="H3745" s="787">
        <v>1</v>
      </c>
      <c r="I3745" s="788">
        <v>41676</v>
      </c>
      <c r="J3745" s="788">
        <v>40938</v>
      </c>
      <c r="L3745" s="787">
        <v>0</v>
      </c>
      <c r="M3745" s="787">
        <v>10</v>
      </c>
      <c r="N3745" s="787">
        <v>3.51</v>
      </c>
      <c r="O3745" s="788">
        <v>42034</v>
      </c>
    </row>
    <row r="3746" spans="1:15" x14ac:dyDescent="0.25">
      <c r="A3746" s="786" t="s">
        <v>7449</v>
      </c>
      <c r="B3746" s="787">
        <v>4</v>
      </c>
      <c r="C3746" s="787" t="s">
        <v>5725</v>
      </c>
      <c r="D3746" s="787">
        <v>4.78</v>
      </c>
      <c r="E3746" s="787">
        <v>4.78</v>
      </c>
      <c r="F3746" s="788">
        <v>40949</v>
      </c>
      <c r="G3746" s="788">
        <v>42013</v>
      </c>
      <c r="H3746" s="787">
        <v>1</v>
      </c>
      <c r="I3746" s="788">
        <v>41676</v>
      </c>
      <c r="J3746" s="788">
        <v>40938</v>
      </c>
      <c r="L3746" s="787">
        <v>0</v>
      </c>
      <c r="M3746" s="787">
        <v>10</v>
      </c>
      <c r="N3746" s="787">
        <v>5.97</v>
      </c>
      <c r="O3746" s="788">
        <v>42034</v>
      </c>
    </row>
    <row r="3747" spans="1:15" x14ac:dyDescent="0.25">
      <c r="A3747" s="786" t="s">
        <v>7450</v>
      </c>
      <c r="B3747" s="787">
        <v>4</v>
      </c>
      <c r="C3747" s="787" t="s">
        <v>5727</v>
      </c>
      <c r="D3747" s="787">
        <v>4.2</v>
      </c>
      <c r="E3747" s="787">
        <v>11.14</v>
      </c>
      <c r="F3747" s="788">
        <v>41134</v>
      </c>
      <c r="G3747" s="788">
        <v>42013</v>
      </c>
      <c r="H3747" s="787">
        <v>1</v>
      </c>
      <c r="I3747" s="788">
        <v>42080</v>
      </c>
      <c r="J3747" s="788">
        <v>41939</v>
      </c>
      <c r="K3747" s="788">
        <v>41432</v>
      </c>
      <c r="L3747" s="787">
        <v>1</v>
      </c>
      <c r="M3747" s="787">
        <v>10</v>
      </c>
      <c r="N3747" s="787">
        <v>4.41</v>
      </c>
      <c r="O3747" s="788">
        <v>42044</v>
      </c>
    </row>
    <row r="3748" spans="1:15" x14ac:dyDescent="0.25">
      <c r="A3748" s="786" t="s">
        <v>7451</v>
      </c>
      <c r="B3748" s="787">
        <v>4</v>
      </c>
      <c r="C3748" s="787" t="s">
        <v>5631</v>
      </c>
      <c r="D3748" s="787">
        <v>0</v>
      </c>
      <c r="E3748" s="787">
        <v>0</v>
      </c>
      <c r="H3748" s="787">
        <v>1</v>
      </c>
      <c r="K3748" s="788">
        <v>41626</v>
      </c>
      <c r="L3748" s="787">
        <v>19.100000000000001</v>
      </c>
      <c r="M3748" s="787">
        <v>10</v>
      </c>
      <c r="N3748" s="787">
        <v>16.32</v>
      </c>
      <c r="O3748" s="788">
        <v>41858</v>
      </c>
    </row>
    <row r="3749" spans="1:15" x14ac:dyDescent="0.25">
      <c r="A3749" s="786" t="s">
        <v>7452</v>
      </c>
      <c r="B3749" s="787">
        <v>4</v>
      </c>
      <c r="C3749" s="787" t="s">
        <v>5611</v>
      </c>
      <c r="D3749" s="787">
        <v>0</v>
      </c>
      <c r="E3749" s="787">
        <v>0</v>
      </c>
      <c r="H3749" s="787">
        <v>1</v>
      </c>
      <c r="K3749" s="788">
        <v>41626</v>
      </c>
      <c r="L3749" s="787">
        <v>13.74</v>
      </c>
      <c r="M3749" s="787">
        <v>10</v>
      </c>
      <c r="N3749" s="787">
        <v>13.59</v>
      </c>
      <c r="O3749" s="788">
        <v>41858</v>
      </c>
    </row>
    <row r="3750" spans="1:15" x14ac:dyDescent="0.25">
      <c r="A3750" s="786" t="s">
        <v>7453</v>
      </c>
      <c r="B3750" s="787">
        <v>4</v>
      </c>
      <c r="C3750" s="787" t="s">
        <v>5732</v>
      </c>
      <c r="D3750" s="787">
        <v>4.42</v>
      </c>
      <c r="E3750" s="787">
        <v>4.42</v>
      </c>
      <c r="F3750" s="788">
        <v>41962</v>
      </c>
      <c r="G3750" s="788">
        <v>42013</v>
      </c>
      <c r="H3750" s="787">
        <v>1</v>
      </c>
      <c r="I3750" s="788">
        <v>41961</v>
      </c>
      <c r="J3750" s="788">
        <v>41932</v>
      </c>
      <c r="L3750" s="787">
        <v>0</v>
      </c>
      <c r="M3750" s="787">
        <v>10</v>
      </c>
      <c r="N3750" s="787">
        <v>2.42</v>
      </c>
      <c r="O3750" s="788">
        <v>42060</v>
      </c>
    </row>
    <row r="3751" spans="1:15" x14ac:dyDescent="0.25">
      <c r="A3751" s="786" t="s">
        <v>7454</v>
      </c>
      <c r="B3751" s="787">
        <v>4</v>
      </c>
      <c r="C3751" s="787" t="s">
        <v>5739</v>
      </c>
      <c r="D3751" s="787">
        <v>0</v>
      </c>
      <c r="E3751" s="787">
        <v>0</v>
      </c>
      <c r="H3751" s="787">
        <v>1</v>
      </c>
      <c r="L3751" s="787">
        <v>0.01</v>
      </c>
      <c r="M3751" s="787">
        <v>10</v>
      </c>
      <c r="N3751" s="787">
        <v>45.65</v>
      </c>
      <c r="O3751" s="788">
        <v>41858</v>
      </c>
    </row>
    <row r="3752" spans="1:15" x14ac:dyDescent="0.25">
      <c r="A3752" s="786" t="s">
        <v>7455</v>
      </c>
      <c r="B3752" s="787">
        <v>4</v>
      </c>
      <c r="C3752" s="787" t="s">
        <v>5741</v>
      </c>
      <c r="D3752" s="787">
        <v>0</v>
      </c>
      <c r="E3752" s="787">
        <v>0</v>
      </c>
      <c r="H3752" s="787">
        <v>1</v>
      </c>
      <c r="L3752" s="787">
        <v>0</v>
      </c>
      <c r="M3752" s="787">
        <v>10</v>
      </c>
      <c r="N3752" s="787">
        <v>14.57</v>
      </c>
      <c r="O3752" s="788">
        <v>41858</v>
      </c>
    </row>
    <row r="3753" spans="1:15" x14ac:dyDescent="0.25">
      <c r="A3753" s="786" t="s">
        <v>7456</v>
      </c>
      <c r="B3753" s="787">
        <v>4</v>
      </c>
      <c r="C3753" s="787" t="s">
        <v>7457</v>
      </c>
      <c r="D3753" s="787">
        <v>5.92</v>
      </c>
      <c r="E3753" s="787">
        <v>35.92</v>
      </c>
      <c r="F3753" s="788">
        <v>41335</v>
      </c>
      <c r="G3753" s="788">
        <v>41943</v>
      </c>
      <c r="H3753" s="787">
        <v>1</v>
      </c>
      <c r="J3753" s="788">
        <v>41283</v>
      </c>
      <c r="L3753" s="787">
        <v>0.01</v>
      </c>
      <c r="M3753" s="787">
        <v>10</v>
      </c>
      <c r="N3753" s="787">
        <v>8.2200000000000006</v>
      </c>
      <c r="O3753" s="788">
        <v>41858</v>
      </c>
    </row>
    <row r="3754" spans="1:15" x14ac:dyDescent="0.25">
      <c r="A3754" s="786" t="s">
        <v>7458</v>
      </c>
      <c r="B3754" s="787">
        <v>4</v>
      </c>
      <c r="C3754" s="787" t="s">
        <v>5602</v>
      </c>
      <c r="D3754" s="787">
        <v>6.35</v>
      </c>
      <c r="E3754" s="787">
        <v>6.35</v>
      </c>
      <c r="F3754" s="788">
        <v>41037</v>
      </c>
      <c r="G3754" s="788">
        <v>41037</v>
      </c>
      <c r="H3754" s="787">
        <v>1</v>
      </c>
      <c r="I3754" s="788">
        <v>41520</v>
      </c>
      <c r="J3754" s="788">
        <v>41029</v>
      </c>
      <c r="K3754" s="788">
        <v>41865</v>
      </c>
      <c r="L3754" s="787">
        <v>6.83</v>
      </c>
      <c r="M3754" s="787">
        <v>20</v>
      </c>
      <c r="N3754" s="787">
        <v>7.34</v>
      </c>
      <c r="O3754" s="788">
        <v>41989</v>
      </c>
    </row>
    <row r="3755" spans="1:15" x14ac:dyDescent="0.25">
      <c r="A3755" s="786" t="s">
        <v>7459</v>
      </c>
      <c r="B3755" s="787">
        <v>4</v>
      </c>
      <c r="C3755" s="787" t="s">
        <v>5602</v>
      </c>
      <c r="D3755" s="787">
        <v>4.1900000000000004</v>
      </c>
      <c r="E3755" s="787">
        <v>4.1900000000000004</v>
      </c>
      <c r="F3755" s="788">
        <v>41453</v>
      </c>
      <c r="G3755" s="788">
        <v>42013</v>
      </c>
      <c r="H3755" s="787">
        <v>1</v>
      </c>
      <c r="I3755" s="788">
        <v>42151</v>
      </c>
      <c r="J3755" s="788">
        <v>41417</v>
      </c>
      <c r="K3755" s="788">
        <v>40919</v>
      </c>
      <c r="L3755" s="787">
        <v>3.74</v>
      </c>
      <c r="M3755" s="787">
        <v>10</v>
      </c>
      <c r="N3755" s="787">
        <v>4.0999999999999996</v>
      </c>
      <c r="O3755" s="788">
        <v>41989</v>
      </c>
    </row>
    <row r="3756" spans="1:15" x14ac:dyDescent="0.25">
      <c r="A3756" s="786" t="s">
        <v>7460</v>
      </c>
      <c r="B3756" s="787">
        <v>4</v>
      </c>
      <c r="C3756" s="787" t="s">
        <v>7461</v>
      </c>
      <c r="D3756" s="787">
        <v>5.1100000000000003</v>
      </c>
      <c r="E3756" s="787">
        <v>45.11</v>
      </c>
      <c r="F3756" s="788">
        <v>40948</v>
      </c>
      <c r="G3756" s="788">
        <v>41943</v>
      </c>
      <c r="H3756" s="787">
        <v>1</v>
      </c>
      <c r="I3756" s="788">
        <v>41520</v>
      </c>
      <c r="J3756" s="788">
        <v>40884</v>
      </c>
      <c r="L3756" s="787">
        <v>0</v>
      </c>
      <c r="M3756" s="787">
        <v>10</v>
      </c>
      <c r="N3756" s="787">
        <v>24.08</v>
      </c>
      <c r="O3756" s="788">
        <v>41989</v>
      </c>
    </row>
    <row r="3757" spans="1:15" x14ac:dyDescent="0.25">
      <c r="A3757" s="786" t="s">
        <v>7462</v>
      </c>
      <c r="B3757" s="787">
        <v>4</v>
      </c>
      <c r="C3757" s="787" t="s">
        <v>5758</v>
      </c>
      <c r="D3757" s="787">
        <v>0</v>
      </c>
      <c r="E3757" s="787">
        <v>0</v>
      </c>
      <c r="H3757" s="787">
        <v>1</v>
      </c>
      <c r="K3757" s="788">
        <v>41160</v>
      </c>
      <c r="L3757" s="787">
        <v>17.5</v>
      </c>
      <c r="M3757" s="787">
        <v>10</v>
      </c>
      <c r="N3757" s="787">
        <v>17.239999999999998</v>
      </c>
      <c r="O3757" s="788">
        <v>41858</v>
      </c>
    </row>
    <row r="3758" spans="1:15" x14ac:dyDescent="0.25">
      <c r="A3758" s="786" t="s">
        <v>7463</v>
      </c>
      <c r="B3758" s="787">
        <v>4</v>
      </c>
      <c r="C3758" s="787" t="s">
        <v>5758</v>
      </c>
      <c r="D3758" s="787">
        <v>0</v>
      </c>
      <c r="E3758" s="787">
        <v>0</v>
      </c>
      <c r="H3758" s="787">
        <v>1</v>
      </c>
      <c r="K3758" s="788">
        <v>41160</v>
      </c>
      <c r="L3758" s="787">
        <v>10.68</v>
      </c>
      <c r="M3758" s="787">
        <v>10</v>
      </c>
      <c r="N3758" s="787">
        <v>10.42</v>
      </c>
      <c r="O3758" s="788">
        <v>41858</v>
      </c>
    </row>
    <row r="3759" spans="1:15" x14ac:dyDescent="0.25">
      <c r="A3759" s="786" t="s">
        <v>7464</v>
      </c>
      <c r="B3759" s="787">
        <v>4</v>
      </c>
      <c r="C3759" s="787" t="s">
        <v>5823</v>
      </c>
      <c r="D3759" s="787">
        <v>0</v>
      </c>
      <c r="E3759" s="787">
        <v>0</v>
      </c>
      <c r="H3759" s="787">
        <v>1</v>
      </c>
      <c r="L3759" s="787">
        <v>0.01</v>
      </c>
      <c r="M3759" s="787">
        <v>20</v>
      </c>
      <c r="N3759" s="787">
        <v>0.01</v>
      </c>
      <c r="O3759" s="788">
        <v>41858</v>
      </c>
    </row>
    <row r="3760" spans="1:15" x14ac:dyDescent="0.25">
      <c r="A3760" s="786" t="s">
        <v>7465</v>
      </c>
      <c r="B3760" s="787">
        <v>4</v>
      </c>
      <c r="C3760" s="787" t="s">
        <v>5823</v>
      </c>
      <c r="D3760" s="787">
        <v>0</v>
      </c>
      <c r="E3760" s="787">
        <v>0</v>
      </c>
      <c r="H3760" s="787">
        <v>1</v>
      </c>
      <c r="L3760" s="787">
        <v>0.01</v>
      </c>
      <c r="M3760" s="787">
        <v>20</v>
      </c>
      <c r="N3760" s="787">
        <v>0.01</v>
      </c>
      <c r="O3760" s="788">
        <v>41858</v>
      </c>
    </row>
    <row r="3761" spans="1:15" x14ac:dyDescent="0.25">
      <c r="A3761" s="786" t="s">
        <v>7466</v>
      </c>
      <c r="B3761" s="787">
        <v>4</v>
      </c>
      <c r="C3761" s="787" t="s">
        <v>7467</v>
      </c>
      <c r="D3761" s="787">
        <v>5.47</v>
      </c>
      <c r="E3761" s="787">
        <v>19.13</v>
      </c>
      <c r="F3761" s="788">
        <v>41233</v>
      </c>
      <c r="G3761" s="788">
        <v>42064</v>
      </c>
      <c r="H3761" s="787">
        <v>1</v>
      </c>
      <c r="I3761" s="788">
        <v>42040</v>
      </c>
      <c r="J3761" s="788">
        <v>42052</v>
      </c>
      <c r="K3761" s="788">
        <v>42044</v>
      </c>
      <c r="L3761" s="787">
        <v>19.079999999999998</v>
      </c>
      <c r="M3761" s="787">
        <v>20</v>
      </c>
      <c r="N3761" s="787">
        <v>20.51</v>
      </c>
      <c r="O3761" s="788">
        <v>42044</v>
      </c>
    </row>
    <row r="3762" spans="1:15" x14ac:dyDescent="0.25">
      <c r="A3762" s="786" t="s">
        <v>7468</v>
      </c>
      <c r="B3762" s="787">
        <v>4</v>
      </c>
      <c r="C3762" s="787" t="s">
        <v>7467</v>
      </c>
      <c r="D3762" s="787">
        <v>5.47</v>
      </c>
      <c r="E3762" s="787">
        <v>19.13</v>
      </c>
      <c r="F3762" s="788">
        <v>41233</v>
      </c>
      <c r="G3762" s="788">
        <v>42064</v>
      </c>
      <c r="H3762" s="787">
        <v>1</v>
      </c>
      <c r="I3762" s="788">
        <v>42040</v>
      </c>
      <c r="J3762" s="788">
        <v>42052</v>
      </c>
      <c r="K3762" s="788">
        <v>42044</v>
      </c>
      <c r="L3762" s="787">
        <v>19.079999999999998</v>
      </c>
      <c r="M3762" s="787">
        <v>20</v>
      </c>
      <c r="N3762" s="787">
        <v>20.51</v>
      </c>
      <c r="O3762" s="788">
        <v>42044</v>
      </c>
    </row>
    <row r="3763" spans="1:15" x14ac:dyDescent="0.25">
      <c r="A3763" s="786" t="s">
        <v>7469</v>
      </c>
      <c r="B3763" s="787">
        <v>4</v>
      </c>
      <c r="C3763" s="787" t="s">
        <v>5828</v>
      </c>
      <c r="D3763" s="787">
        <v>0.15</v>
      </c>
      <c r="E3763" s="787">
        <v>5.15</v>
      </c>
      <c r="F3763" s="788">
        <v>41775</v>
      </c>
      <c r="G3763" s="788">
        <v>42095</v>
      </c>
      <c r="H3763" s="787">
        <v>1</v>
      </c>
      <c r="I3763" s="788">
        <v>42088</v>
      </c>
      <c r="J3763" s="788">
        <v>42080</v>
      </c>
      <c r="K3763" s="788">
        <v>40919</v>
      </c>
      <c r="L3763" s="787">
        <v>2.59</v>
      </c>
      <c r="M3763" s="787">
        <v>10</v>
      </c>
      <c r="N3763" s="787">
        <v>5.23</v>
      </c>
      <c r="O3763" s="788">
        <v>41955</v>
      </c>
    </row>
    <row r="3764" spans="1:15" x14ac:dyDescent="0.25">
      <c r="A3764" s="786" t="s">
        <v>7470</v>
      </c>
      <c r="B3764" s="787">
        <v>4</v>
      </c>
      <c r="C3764" s="787" t="s">
        <v>7471</v>
      </c>
      <c r="D3764" s="787">
        <v>9.1999999999999993</v>
      </c>
      <c r="E3764" s="787">
        <v>458.18</v>
      </c>
      <c r="F3764" s="788">
        <v>41194</v>
      </c>
      <c r="G3764" s="788">
        <v>41906</v>
      </c>
      <c r="H3764" s="787">
        <v>1</v>
      </c>
      <c r="I3764" s="788">
        <v>41879</v>
      </c>
      <c r="J3764" s="788">
        <v>41876</v>
      </c>
      <c r="K3764" s="788">
        <v>41025</v>
      </c>
      <c r="L3764" s="787">
        <v>447.41</v>
      </c>
      <c r="M3764" s="787">
        <v>10</v>
      </c>
      <c r="N3764" s="787">
        <v>505.03</v>
      </c>
      <c r="O3764" s="788">
        <v>41955</v>
      </c>
    </row>
    <row r="3765" spans="1:15" x14ac:dyDescent="0.25">
      <c r="A3765" s="786" t="s">
        <v>7472</v>
      </c>
      <c r="B3765" s="787">
        <v>4</v>
      </c>
      <c r="C3765" s="787" t="s">
        <v>7473</v>
      </c>
      <c r="D3765" s="787">
        <v>4.63</v>
      </c>
      <c r="E3765" s="787">
        <v>657.42</v>
      </c>
      <c r="F3765" s="788">
        <v>42095</v>
      </c>
      <c r="G3765" s="788">
        <v>42111</v>
      </c>
      <c r="H3765" s="787">
        <v>1</v>
      </c>
      <c r="I3765" s="788">
        <v>42088</v>
      </c>
      <c r="J3765" s="788">
        <v>42083</v>
      </c>
      <c r="K3765" s="788">
        <v>41512</v>
      </c>
      <c r="L3765" s="787">
        <v>621.74</v>
      </c>
      <c r="M3765" s="787">
        <v>10</v>
      </c>
      <c r="N3765" s="787">
        <v>626.33000000000004</v>
      </c>
      <c r="O3765" s="788">
        <v>42061</v>
      </c>
    </row>
    <row r="3766" spans="1:15" x14ac:dyDescent="0.25">
      <c r="A3766" s="786" t="s">
        <v>7474</v>
      </c>
      <c r="B3766" s="787">
        <v>4</v>
      </c>
      <c r="C3766" s="787" t="s">
        <v>7475</v>
      </c>
      <c r="D3766" s="787">
        <v>9.36</v>
      </c>
      <c r="E3766" s="789">
        <v>1145.6300000000001</v>
      </c>
      <c r="F3766" s="788">
        <v>40827</v>
      </c>
      <c r="G3766" s="788">
        <v>41335</v>
      </c>
      <c r="H3766" s="787">
        <v>1</v>
      </c>
      <c r="I3766" s="788">
        <v>41310</v>
      </c>
      <c r="J3766" s="788">
        <v>41304</v>
      </c>
      <c r="K3766" s="788">
        <v>41512</v>
      </c>
      <c r="L3766" s="787">
        <v>970.56</v>
      </c>
      <c r="M3766" s="787">
        <v>10</v>
      </c>
      <c r="N3766" s="787">
        <v>963.46</v>
      </c>
      <c r="O3766" s="788">
        <v>42061</v>
      </c>
    </row>
    <row r="3767" spans="1:15" x14ac:dyDescent="0.25">
      <c r="A3767" s="786" t="s">
        <v>7476</v>
      </c>
      <c r="B3767" s="787">
        <v>4</v>
      </c>
      <c r="C3767" s="787" t="s">
        <v>7477</v>
      </c>
      <c r="D3767" s="787">
        <v>4.0599999999999996</v>
      </c>
      <c r="E3767" s="787">
        <v>584.05999999999995</v>
      </c>
      <c r="F3767" s="788">
        <v>42069</v>
      </c>
      <c r="G3767" s="788">
        <v>42069</v>
      </c>
      <c r="H3767" s="787">
        <v>1</v>
      </c>
      <c r="I3767" s="788">
        <v>42046</v>
      </c>
      <c r="J3767" s="788">
        <v>42037</v>
      </c>
      <c r="K3767" s="788">
        <v>41025</v>
      </c>
      <c r="L3767" s="787">
        <v>621.19000000000005</v>
      </c>
      <c r="M3767" s="787">
        <v>10</v>
      </c>
      <c r="N3767" s="787">
        <v>578.23</v>
      </c>
      <c r="O3767" s="788">
        <v>42123</v>
      </c>
    </row>
    <row r="3768" spans="1:15" x14ac:dyDescent="0.25">
      <c r="A3768" s="786" t="s">
        <v>7478</v>
      </c>
      <c r="B3768" s="787">
        <v>4</v>
      </c>
      <c r="C3768" s="787" t="s">
        <v>7479</v>
      </c>
      <c r="D3768" s="787">
        <v>0</v>
      </c>
      <c r="E3768" s="787">
        <v>0</v>
      </c>
      <c r="H3768" s="787">
        <v>1</v>
      </c>
      <c r="K3768" s="788">
        <v>41512</v>
      </c>
      <c r="L3768" s="787">
        <v>984</v>
      </c>
      <c r="M3768" s="787">
        <v>10</v>
      </c>
      <c r="N3768" s="787">
        <v>975.57</v>
      </c>
      <c r="O3768" s="788">
        <v>42123</v>
      </c>
    </row>
    <row r="3769" spans="1:15" x14ac:dyDescent="0.25">
      <c r="A3769" s="786" t="s">
        <v>7480</v>
      </c>
      <c r="B3769" s="787">
        <v>4</v>
      </c>
      <c r="C3769" s="787" t="s">
        <v>7481</v>
      </c>
      <c r="D3769" s="787">
        <v>7.19</v>
      </c>
      <c r="E3769" s="787">
        <v>658.14</v>
      </c>
      <c r="F3769" s="788">
        <v>41813</v>
      </c>
      <c r="G3769" s="788">
        <v>41947</v>
      </c>
      <c r="H3769" s="787">
        <v>1</v>
      </c>
      <c r="I3769" s="788">
        <v>41921</v>
      </c>
      <c r="J3769" s="788">
        <v>41918</v>
      </c>
      <c r="L3769" s="787">
        <v>1</v>
      </c>
      <c r="M3769" s="787">
        <v>10</v>
      </c>
      <c r="N3769" s="787">
        <v>612</v>
      </c>
      <c r="O3769" s="788">
        <v>42053</v>
      </c>
    </row>
    <row r="3770" spans="1:15" x14ac:dyDescent="0.25">
      <c r="A3770" s="786" t="s">
        <v>7482</v>
      </c>
      <c r="B3770" s="787">
        <v>4</v>
      </c>
      <c r="C3770" s="787" t="s">
        <v>7483</v>
      </c>
      <c r="D3770" s="787">
        <v>0</v>
      </c>
      <c r="E3770" s="787">
        <v>0</v>
      </c>
      <c r="H3770" s="787">
        <v>1</v>
      </c>
      <c r="K3770" s="788">
        <v>42119</v>
      </c>
      <c r="L3770" s="787">
        <v>764.21</v>
      </c>
      <c r="M3770" s="787">
        <v>10</v>
      </c>
      <c r="N3770" s="787">
        <v>764.21</v>
      </c>
      <c r="O3770" s="788">
        <v>42119</v>
      </c>
    </row>
    <row r="3771" spans="1:15" x14ac:dyDescent="0.25">
      <c r="A3771" s="786" t="s">
        <v>7484</v>
      </c>
      <c r="B3771" s="787">
        <v>4</v>
      </c>
      <c r="C3771" s="787" t="s">
        <v>7485</v>
      </c>
      <c r="D3771" s="787">
        <v>0</v>
      </c>
      <c r="E3771" s="787">
        <v>0</v>
      </c>
      <c r="H3771" s="787">
        <v>1</v>
      </c>
      <c r="L3771" s="787">
        <v>1</v>
      </c>
      <c r="M3771" s="787">
        <v>10</v>
      </c>
      <c r="N3771" s="787">
        <v>634.66</v>
      </c>
      <c r="O3771" s="788">
        <v>42164</v>
      </c>
    </row>
    <row r="3772" spans="1:15" x14ac:dyDescent="0.25">
      <c r="A3772" s="786" t="s">
        <v>7486</v>
      </c>
      <c r="B3772" s="787">
        <v>4</v>
      </c>
      <c r="C3772" s="787" t="s">
        <v>7487</v>
      </c>
      <c r="D3772" s="787">
        <v>0</v>
      </c>
      <c r="E3772" s="787">
        <v>0</v>
      </c>
      <c r="H3772" s="787">
        <v>1</v>
      </c>
      <c r="K3772" s="788">
        <v>42119</v>
      </c>
      <c r="L3772" s="787">
        <v>739.15</v>
      </c>
      <c r="M3772" s="787">
        <v>10</v>
      </c>
      <c r="N3772" s="787">
        <v>739.15</v>
      </c>
      <c r="O3772" s="788">
        <v>42119</v>
      </c>
    </row>
    <row r="3773" spans="1:15" x14ac:dyDescent="0.25">
      <c r="A3773" s="786" t="s">
        <v>7488</v>
      </c>
      <c r="B3773" s="787">
        <v>4</v>
      </c>
      <c r="C3773" s="787" t="s">
        <v>5850</v>
      </c>
      <c r="D3773" s="787">
        <v>0</v>
      </c>
      <c r="E3773" s="787">
        <v>0</v>
      </c>
      <c r="H3773" s="787">
        <v>1</v>
      </c>
      <c r="K3773" s="788">
        <v>42119</v>
      </c>
      <c r="L3773" s="787">
        <v>727.49</v>
      </c>
      <c r="M3773" s="787">
        <v>10</v>
      </c>
      <c r="N3773" s="787">
        <v>728.06</v>
      </c>
      <c r="O3773" s="788">
        <v>42123</v>
      </c>
    </row>
    <row r="3774" spans="1:15" x14ac:dyDescent="0.25">
      <c r="A3774" s="786" t="s">
        <v>7489</v>
      </c>
      <c r="B3774" s="787">
        <v>4</v>
      </c>
      <c r="C3774" s="787" t="s">
        <v>5852</v>
      </c>
      <c r="D3774" s="787">
        <v>0</v>
      </c>
      <c r="E3774" s="787">
        <v>0</v>
      </c>
      <c r="H3774" s="787">
        <v>1</v>
      </c>
      <c r="L3774" s="787">
        <v>0.01</v>
      </c>
      <c r="M3774" s="787">
        <v>20</v>
      </c>
      <c r="N3774" s="787">
        <v>0.01</v>
      </c>
      <c r="O3774" s="788">
        <v>42123</v>
      </c>
    </row>
    <row r="3775" spans="1:15" x14ac:dyDescent="0.25">
      <c r="A3775" s="786" t="s">
        <v>7490</v>
      </c>
      <c r="B3775" s="787">
        <v>4</v>
      </c>
      <c r="C3775" s="787" t="s">
        <v>5854</v>
      </c>
      <c r="D3775" s="787">
        <v>0</v>
      </c>
      <c r="E3775" s="787">
        <v>0</v>
      </c>
      <c r="H3775" s="787">
        <v>1</v>
      </c>
      <c r="L3775" s="787">
        <v>0.01</v>
      </c>
      <c r="M3775" s="787">
        <v>20</v>
      </c>
      <c r="N3775" s="787">
        <v>0.01</v>
      </c>
      <c r="O3775" s="788">
        <v>42123</v>
      </c>
    </row>
    <row r="3776" spans="1:15" x14ac:dyDescent="0.25">
      <c r="A3776" s="786" t="s">
        <v>7491</v>
      </c>
      <c r="B3776" s="787">
        <v>4</v>
      </c>
      <c r="C3776" s="787" t="s">
        <v>7492</v>
      </c>
      <c r="D3776" s="787">
        <v>0</v>
      </c>
      <c r="E3776" s="787">
        <v>0</v>
      </c>
      <c r="H3776" s="787">
        <v>1</v>
      </c>
      <c r="K3776" s="788">
        <v>41025</v>
      </c>
      <c r="L3776" s="787">
        <v>824.58</v>
      </c>
      <c r="M3776" s="787">
        <v>10</v>
      </c>
      <c r="N3776" s="787">
        <v>863.66</v>
      </c>
      <c r="O3776" s="788">
        <v>42055</v>
      </c>
    </row>
    <row r="3777" spans="1:15" x14ac:dyDescent="0.25">
      <c r="A3777" s="786" t="s">
        <v>7493</v>
      </c>
      <c r="B3777" s="787">
        <v>4</v>
      </c>
      <c r="C3777" s="787" t="s">
        <v>5866</v>
      </c>
      <c r="D3777" s="787">
        <v>0</v>
      </c>
      <c r="E3777" s="787">
        <v>0</v>
      </c>
      <c r="H3777" s="787">
        <v>1</v>
      </c>
      <c r="K3777" s="788">
        <v>41025</v>
      </c>
      <c r="L3777" s="787">
        <v>837.59</v>
      </c>
      <c r="M3777" s="787">
        <v>10</v>
      </c>
      <c r="N3777" s="787">
        <v>875.77</v>
      </c>
      <c r="O3777" s="788">
        <v>42123</v>
      </c>
    </row>
    <row r="3778" spans="1:15" x14ac:dyDescent="0.25">
      <c r="A3778" s="786" t="s">
        <v>7494</v>
      </c>
      <c r="B3778" s="787">
        <v>4</v>
      </c>
      <c r="C3778" s="787" t="s">
        <v>7495</v>
      </c>
      <c r="D3778" s="787">
        <v>1.02</v>
      </c>
      <c r="E3778" s="787">
        <v>11.02</v>
      </c>
      <c r="F3778" s="788">
        <v>40998</v>
      </c>
      <c r="G3778" s="788">
        <v>40998</v>
      </c>
      <c r="H3778" s="787">
        <v>1</v>
      </c>
      <c r="I3778" s="788">
        <v>42094</v>
      </c>
      <c r="J3778" s="788">
        <v>40984</v>
      </c>
      <c r="K3778" s="788">
        <v>40998</v>
      </c>
      <c r="L3778" s="787">
        <v>10.77</v>
      </c>
      <c r="M3778" s="787">
        <v>20</v>
      </c>
      <c r="N3778" s="787">
        <v>11.58</v>
      </c>
      <c r="O3778" s="788">
        <v>41858</v>
      </c>
    </row>
    <row r="3779" spans="1:15" x14ac:dyDescent="0.25">
      <c r="A3779" s="786" t="s">
        <v>7496</v>
      </c>
      <c r="B3779" s="787">
        <v>4</v>
      </c>
      <c r="C3779" s="787" t="s">
        <v>5818</v>
      </c>
      <c r="D3779" s="787">
        <v>0</v>
      </c>
      <c r="E3779" s="787">
        <v>0</v>
      </c>
      <c r="H3779" s="787">
        <v>1</v>
      </c>
      <c r="K3779" s="788">
        <v>40988</v>
      </c>
      <c r="L3779" s="787">
        <v>5.2</v>
      </c>
      <c r="M3779" s="787">
        <v>10</v>
      </c>
      <c r="N3779" s="787">
        <v>5.26</v>
      </c>
      <c r="O3779" s="788">
        <v>41858</v>
      </c>
    </row>
    <row r="3780" spans="1:15" x14ac:dyDescent="0.25">
      <c r="A3780" s="786" t="s">
        <v>7497</v>
      </c>
      <c r="B3780" s="787">
        <v>4</v>
      </c>
      <c r="C3780" s="787" t="s">
        <v>5818</v>
      </c>
      <c r="D3780" s="787">
        <v>0</v>
      </c>
      <c r="E3780" s="787">
        <v>0</v>
      </c>
      <c r="H3780" s="787">
        <v>1</v>
      </c>
      <c r="K3780" s="788">
        <v>40988</v>
      </c>
      <c r="L3780" s="787">
        <v>5.2</v>
      </c>
      <c r="M3780" s="787">
        <v>10</v>
      </c>
      <c r="N3780" s="787">
        <v>5.26</v>
      </c>
      <c r="O3780" s="788">
        <v>41858</v>
      </c>
    </row>
    <row r="3781" spans="1:15" x14ac:dyDescent="0.25">
      <c r="A3781" s="786" t="s">
        <v>7498</v>
      </c>
      <c r="B3781" s="787">
        <v>4</v>
      </c>
      <c r="C3781" s="787" t="s">
        <v>7499</v>
      </c>
      <c r="D3781" s="787">
        <v>0.76</v>
      </c>
      <c r="E3781" s="787">
        <v>21.75</v>
      </c>
      <c r="F3781" s="788">
        <v>41530</v>
      </c>
      <c r="G3781" s="788">
        <v>41751</v>
      </c>
      <c r="H3781" s="787">
        <v>1</v>
      </c>
      <c r="J3781" s="788">
        <v>41739</v>
      </c>
      <c r="K3781" s="788">
        <v>41555</v>
      </c>
      <c r="L3781" s="787">
        <v>20.76</v>
      </c>
      <c r="M3781" s="787">
        <v>20</v>
      </c>
      <c r="N3781" s="787">
        <v>22.32</v>
      </c>
      <c r="O3781" s="788">
        <v>41858</v>
      </c>
    </row>
    <row r="3782" spans="1:15" x14ac:dyDescent="0.25">
      <c r="A3782" s="786" t="s">
        <v>7500</v>
      </c>
      <c r="B3782" s="787">
        <v>4</v>
      </c>
      <c r="C3782" s="787" t="s">
        <v>7501</v>
      </c>
      <c r="D3782" s="787">
        <v>0.76</v>
      </c>
      <c r="E3782" s="787">
        <v>21.75</v>
      </c>
      <c r="F3782" s="788">
        <v>41561</v>
      </c>
      <c r="G3782" s="788">
        <v>41751</v>
      </c>
      <c r="H3782" s="787">
        <v>1</v>
      </c>
      <c r="J3782" s="788">
        <v>41739</v>
      </c>
      <c r="K3782" s="788">
        <v>41563</v>
      </c>
      <c r="L3782" s="787">
        <v>20.76</v>
      </c>
      <c r="M3782" s="787">
        <v>20</v>
      </c>
      <c r="N3782" s="787">
        <v>22.32</v>
      </c>
      <c r="O3782" s="788">
        <v>41858</v>
      </c>
    </row>
    <row r="3783" spans="1:15" x14ac:dyDescent="0.25">
      <c r="A3783" s="786" t="s">
        <v>7502</v>
      </c>
      <c r="B3783" s="787">
        <v>4</v>
      </c>
      <c r="C3783" s="787" t="s">
        <v>7503</v>
      </c>
      <c r="D3783" s="787">
        <v>8.58</v>
      </c>
      <c r="E3783" s="787">
        <v>8.99</v>
      </c>
      <c r="F3783" s="788">
        <v>41530</v>
      </c>
      <c r="G3783" s="788">
        <v>42013</v>
      </c>
      <c r="H3783" s="787">
        <v>1</v>
      </c>
      <c r="J3783" s="788">
        <v>41739</v>
      </c>
      <c r="K3783" s="788">
        <v>41555</v>
      </c>
      <c r="L3783" s="787">
        <v>8.58</v>
      </c>
      <c r="M3783" s="787">
        <v>20</v>
      </c>
      <c r="N3783" s="787">
        <v>9.2200000000000006</v>
      </c>
      <c r="O3783" s="788">
        <v>41858</v>
      </c>
    </row>
    <row r="3784" spans="1:15" x14ac:dyDescent="0.25">
      <c r="A3784" s="786" t="s">
        <v>7504</v>
      </c>
      <c r="B3784" s="787">
        <v>4</v>
      </c>
      <c r="C3784" s="787" t="s">
        <v>5904</v>
      </c>
      <c r="D3784" s="787">
        <v>0</v>
      </c>
      <c r="E3784" s="787">
        <v>0</v>
      </c>
      <c r="H3784" s="787">
        <v>1</v>
      </c>
      <c r="K3784" s="788">
        <v>41943</v>
      </c>
      <c r="L3784" s="787">
        <v>5.36</v>
      </c>
      <c r="M3784" s="787">
        <v>10</v>
      </c>
      <c r="N3784" s="787">
        <v>5.36</v>
      </c>
      <c r="O3784" s="788">
        <v>41943</v>
      </c>
    </row>
    <row r="3785" spans="1:15" x14ac:dyDescent="0.25">
      <c r="A3785" s="786" t="s">
        <v>7505</v>
      </c>
      <c r="B3785" s="787">
        <v>4</v>
      </c>
      <c r="C3785" s="787" t="s">
        <v>7506</v>
      </c>
      <c r="D3785" s="787">
        <v>3.87</v>
      </c>
      <c r="E3785" s="787">
        <v>4.0599999999999996</v>
      </c>
      <c r="F3785" s="788">
        <v>41530</v>
      </c>
      <c r="G3785" s="788">
        <v>42013</v>
      </c>
      <c r="H3785" s="787">
        <v>1</v>
      </c>
      <c r="J3785" s="788">
        <v>41739</v>
      </c>
      <c r="K3785" s="788">
        <v>41555</v>
      </c>
      <c r="L3785" s="787">
        <v>3.87</v>
      </c>
      <c r="M3785" s="787">
        <v>20</v>
      </c>
      <c r="N3785" s="787">
        <v>4.16</v>
      </c>
      <c r="O3785" s="788">
        <v>41858</v>
      </c>
    </row>
    <row r="3786" spans="1:15" x14ac:dyDescent="0.25">
      <c r="A3786" s="786" t="s">
        <v>7507</v>
      </c>
      <c r="B3786" s="787">
        <v>4</v>
      </c>
      <c r="C3786" s="787" t="s">
        <v>7508</v>
      </c>
      <c r="D3786" s="787">
        <v>8.86</v>
      </c>
      <c r="E3786" s="787">
        <v>88.89</v>
      </c>
      <c r="F3786" s="788">
        <v>41548</v>
      </c>
      <c r="G3786" s="788">
        <v>42013</v>
      </c>
      <c r="H3786" s="787">
        <v>1</v>
      </c>
      <c r="J3786" s="788">
        <v>41956</v>
      </c>
      <c r="K3786" s="788">
        <v>40994</v>
      </c>
      <c r="L3786" s="787">
        <v>76.97</v>
      </c>
      <c r="M3786" s="787">
        <v>10</v>
      </c>
      <c r="N3786" s="787">
        <v>64.459999999999994</v>
      </c>
      <c r="O3786" s="788">
        <v>41961</v>
      </c>
    </row>
    <row r="3787" spans="1:15" x14ac:dyDescent="0.25">
      <c r="A3787" s="786" t="s">
        <v>7509</v>
      </c>
      <c r="B3787" s="787">
        <v>4</v>
      </c>
      <c r="C3787" s="787" t="s">
        <v>5913</v>
      </c>
      <c r="D3787" s="787">
        <v>5.65</v>
      </c>
      <c r="E3787" s="787">
        <v>15.65</v>
      </c>
      <c r="F3787" s="788">
        <v>41530</v>
      </c>
      <c r="G3787" s="788">
        <v>41551</v>
      </c>
      <c r="H3787" s="787">
        <v>1</v>
      </c>
      <c r="J3787" s="788">
        <v>41516</v>
      </c>
      <c r="K3787" s="788">
        <v>41555</v>
      </c>
      <c r="L3787" s="787">
        <v>15.65</v>
      </c>
      <c r="M3787" s="787">
        <v>20</v>
      </c>
      <c r="N3787" s="787">
        <v>16.82</v>
      </c>
      <c r="O3787" s="788">
        <v>42054</v>
      </c>
    </row>
    <row r="3788" spans="1:15" x14ac:dyDescent="0.25">
      <c r="A3788" s="786" t="s">
        <v>7510</v>
      </c>
      <c r="B3788" s="787">
        <v>4</v>
      </c>
      <c r="C3788" s="787" t="s">
        <v>7511</v>
      </c>
      <c r="D3788" s="787">
        <v>0</v>
      </c>
      <c r="E3788" s="787">
        <v>0</v>
      </c>
      <c r="H3788" s="787">
        <v>1</v>
      </c>
      <c r="K3788" s="788">
        <v>41501</v>
      </c>
      <c r="L3788" s="787">
        <v>73.36</v>
      </c>
      <c r="M3788" s="787">
        <v>10</v>
      </c>
      <c r="N3788" s="787">
        <v>120.98</v>
      </c>
      <c r="O3788" s="788">
        <v>42054</v>
      </c>
    </row>
    <row r="3789" spans="1:15" x14ac:dyDescent="0.25">
      <c r="A3789" s="786" t="s">
        <v>7512</v>
      </c>
      <c r="B3789" s="787">
        <v>4</v>
      </c>
      <c r="C3789" s="787" t="s">
        <v>5923</v>
      </c>
      <c r="D3789" s="787">
        <v>0</v>
      </c>
      <c r="E3789" s="787">
        <v>0</v>
      </c>
      <c r="H3789" s="787">
        <v>1</v>
      </c>
      <c r="I3789" s="788">
        <v>41876</v>
      </c>
      <c r="L3789" s="787">
        <v>1</v>
      </c>
      <c r="M3789" s="787">
        <v>20</v>
      </c>
      <c r="N3789" s="787">
        <v>1.08</v>
      </c>
      <c r="O3789" s="788">
        <v>41858</v>
      </c>
    </row>
    <row r="3790" spans="1:15" x14ac:dyDescent="0.25">
      <c r="A3790" s="786" t="s">
        <v>7513</v>
      </c>
      <c r="B3790" s="787">
        <v>4</v>
      </c>
      <c r="C3790" s="787" t="s">
        <v>5937</v>
      </c>
      <c r="D3790" s="787">
        <v>0</v>
      </c>
      <c r="E3790" s="787">
        <v>0</v>
      </c>
      <c r="G3790" s="788">
        <v>41758</v>
      </c>
      <c r="H3790" s="787">
        <v>1</v>
      </c>
      <c r="I3790" s="788">
        <v>41918</v>
      </c>
      <c r="J3790" s="788">
        <v>41758</v>
      </c>
      <c r="L3790" s="787">
        <v>1</v>
      </c>
      <c r="M3790" s="787">
        <v>10</v>
      </c>
      <c r="N3790" s="787">
        <v>23.04</v>
      </c>
      <c r="O3790" s="788">
        <v>42053</v>
      </c>
    </row>
    <row r="3791" spans="1:15" x14ac:dyDescent="0.25">
      <c r="A3791" s="786" t="s">
        <v>7514</v>
      </c>
      <c r="B3791" s="787">
        <v>4</v>
      </c>
      <c r="C3791" s="787" t="s">
        <v>5927</v>
      </c>
      <c r="D3791" s="787">
        <v>0</v>
      </c>
      <c r="E3791" s="787">
        <v>0</v>
      </c>
      <c r="G3791" s="788">
        <v>41758</v>
      </c>
      <c r="H3791" s="787">
        <v>1</v>
      </c>
      <c r="I3791" s="788">
        <v>41918</v>
      </c>
      <c r="J3791" s="788">
        <v>41758</v>
      </c>
      <c r="L3791" s="787">
        <v>1</v>
      </c>
      <c r="M3791" s="787">
        <v>10</v>
      </c>
      <c r="N3791" s="787">
        <v>10.71</v>
      </c>
      <c r="O3791" s="788">
        <v>42053</v>
      </c>
    </row>
    <row r="3792" spans="1:15" x14ac:dyDescent="0.25">
      <c r="A3792" s="786" t="s">
        <v>7515</v>
      </c>
      <c r="B3792" s="787">
        <v>4</v>
      </c>
      <c r="C3792" s="787" t="s">
        <v>5929</v>
      </c>
      <c r="D3792" s="787">
        <v>0</v>
      </c>
      <c r="E3792" s="787">
        <v>0</v>
      </c>
      <c r="G3792" s="788">
        <v>41758</v>
      </c>
      <c r="H3792" s="787">
        <v>1</v>
      </c>
      <c r="I3792" s="788">
        <v>41918</v>
      </c>
      <c r="J3792" s="788">
        <v>41758</v>
      </c>
      <c r="L3792" s="787">
        <v>1</v>
      </c>
      <c r="M3792" s="787">
        <v>10</v>
      </c>
      <c r="N3792" s="787">
        <v>6.31</v>
      </c>
      <c r="O3792" s="788">
        <v>42053</v>
      </c>
    </row>
    <row r="3793" spans="1:15" x14ac:dyDescent="0.25">
      <c r="A3793" s="786" t="s">
        <v>7516</v>
      </c>
      <c r="B3793" s="787">
        <v>4</v>
      </c>
      <c r="C3793" s="787" t="s">
        <v>5931</v>
      </c>
      <c r="D3793" s="787">
        <v>0</v>
      </c>
      <c r="E3793" s="787">
        <v>0</v>
      </c>
      <c r="H3793" s="787">
        <v>1</v>
      </c>
      <c r="K3793" s="788">
        <v>42093</v>
      </c>
      <c r="L3793" s="787">
        <v>38.43</v>
      </c>
      <c r="M3793" s="787">
        <v>10</v>
      </c>
      <c r="N3793" s="787">
        <v>38.43</v>
      </c>
      <c r="O3793" s="788">
        <v>42093</v>
      </c>
    </row>
    <row r="3794" spans="1:15" x14ac:dyDescent="0.25">
      <c r="A3794" s="786" t="s">
        <v>7517</v>
      </c>
      <c r="B3794" s="787">
        <v>4</v>
      </c>
      <c r="C3794" s="787" t="s">
        <v>7518</v>
      </c>
      <c r="D3794" s="787">
        <v>0</v>
      </c>
      <c r="E3794" s="787">
        <v>0</v>
      </c>
      <c r="H3794" s="787">
        <v>1</v>
      </c>
      <c r="K3794" s="788">
        <v>42093</v>
      </c>
      <c r="L3794" s="787">
        <v>28.18</v>
      </c>
      <c r="M3794" s="787">
        <v>10</v>
      </c>
      <c r="N3794" s="787">
        <v>28.18</v>
      </c>
      <c r="O3794" s="788">
        <v>42093</v>
      </c>
    </row>
    <row r="3795" spans="1:15" x14ac:dyDescent="0.25">
      <c r="A3795" s="786" t="s">
        <v>7519</v>
      </c>
      <c r="B3795" s="787">
        <v>4</v>
      </c>
      <c r="C3795" s="787" t="s">
        <v>7520</v>
      </c>
      <c r="D3795" s="787">
        <v>3.38</v>
      </c>
      <c r="E3795" s="787">
        <v>13.38</v>
      </c>
      <c r="F3795" s="788">
        <v>41719</v>
      </c>
      <c r="G3795" s="788">
        <v>41731</v>
      </c>
      <c r="H3795" s="787">
        <v>1</v>
      </c>
      <c r="J3795" s="788">
        <v>41710</v>
      </c>
      <c r="L3795" s="787">
        <v>0.01</v>
      </c>
      <c r="M3795" s="787">
        <v>10</v>
      </c>
      <c r="N3795" s="787">
        <v>0</v>
      </c>
      <c r="O3795" s="788">
        <v>42053</v>
      </c>
    </row>
    <row r="3796" spans="1:15" x14ac:dyDescent="0.25">
      <c r="A3796" s="786" t="s">
        <v>7521</v>
      </c>
      <c r="B3796" s="787">
        <v>4</v>
      </c>
      <c r="C3796" s="787" t="s">
        <v>7522</v>
      </c>
      <c r="D3796" s="787">
        <v>3.38</v>
      </c>
      <c r="E3796" s="787">
        <v>13.38</v>
      </c>
      <c r="F3796" s="788">
        <v>41719</v>
      </c>
      <c r="G3796" s="788">
        <v>41731</v>
      </c>
      <c r="H3796" s="787">
        <v>1</v>
      </c>
      <c r="J3796" s="788">
        <v>41710</v>
      </c>
      <c r="L3796" s="787">
        <v>0.01</v>
      </c>
      <c r="M3796" s="787">
        <v>10</v>
      </c>
      <c r="N3796" s="787">
        <v>0</v>
      </c>
      <c r="O3796" s="788">
        <v>42053</v>
      </c>
    </row>
    <row r="3797" spans="1:15" x14ac:dyDescent="0.25">
      <c r="A3797" s="786" t="s">
        <v>7523</v>
      </c>
      <c r="B3797" s="787">
        <v>4</v>
      </c>
      <c r="C3797" s="787" t="s">
        <v>7524</v>
      </c>
      <c r="D3797" s="787">
        <v>9.5</v>
      </c>
      <c r="E3797" s="787">
        <v>49.5</v>
      </c>
      <c r="F3797" s="788">
        <v>41747</v>
      </c>
      <c r="G3797" s="788">
        <v>41751</v>
      </c>
      <c r="H3797" s="787">
        <v>1</v>
      </c>
      <c r="I3797" s="788">
        <v>41918</v>
      </c>
      <c r="J3797" s="788">
        <v>41935</v>
      </c>
      <c r="K3797" s="788">
        <v>41740</v>
      </c>
      <c r="L3797" s="787">
        <v>49.5</v>
      </c>
      <c r="M3797" s="787">
        <v>20</v>
      </c>
      <c r="N3797" s="787">
        <v>53.21</v>
      </c>
      <c r="O3797" s="788">
        <v>42053</v>
      </c>
    </row>
    <row r="3798" spans="1:15" x14ac:dyDescent="0.25">
      <c r="A3798" s="786" t="s">
        <v>7525</v>
      </c>
      <c r="B3798" s="787">
        <v>4</v>
      </c>
      <c r="C3798" s="787" t="s">
        <v>5946</v>
      </c>
      <c r="D3798" s="787">
        <v>0</v>
      </c>
      <c r="E3798" s="787">
        <v>0</v>
      </c>
      <c r="H3798" s="787">
        <v>1</v>
      </c>
      <c r="K3798" s="788">
        <v>42093</v>
      </c>
      <c r="L3798" s="787">
        <v>3.6</v>
      </c>
      <c r="M3798" s="787">
        <v>10</v>
      </c>
      <c r="N3798" s="787">
        <v>3.6</v>
      </c>
      <c r="O3798" s="788">
        <v>42093</v>
      </c>
    </row>
    <row r="3799" spans="1:15" x14ac:dyDescent="0.25">
      <c r="A3799" s="786" t="s">
        <v>7526</v>
      </c>
      <c r="B3799" s="787">
        <v>4</v>
      </c>
      <c r="C3799" s="787" t="s">
        <v>7527</v>
      </c>
      <c r="D3799" s="787">
        <v>6.81</v>
      </c>
      <c r="E3799" s="787">
        <v>26.81</v>
      </c>
      <c r="F3799" s="788">
        <v>41947</v>
      </c>
      <c r="G3799" s="788">
        <v>41947</v>
      </c>
      <c r="H3799" s="787">
        <v>1</v>
      </c>
      <c r="J3799" s="788">
        <v>41925</v>
      </c>
      <c r="K3799" s="788">
        <v>41919</v>
      </c>
      <c r="L3799" s="787">
        <v>18</v>
      </c>
      <c r="M3799" s="787">
        <v>10</v>
      </c>
      <c r="N3799" s="787">
        <v>21.74</v>
      </c>
      <c r="O3799" s="788">
        <v>41922</v>
      </c>
    </row>
    <row r="3800" spans="1:15" x14ac:dyDescent="0.25">
      <c r="A3800" s="786" t="s">
        <v>7528</v>
      </c>
      <c r="B3800" s="787">
        <v>4</v>
      </c>
      <c r="C3800" s="787" t="s">
        <v>5954</v>
      </c>
      <c r="D3800" s="787">
        <v>3.91</v>
      </c>
      <c r="E3800" s="787">
        <v>37.76</v>
      </c>
      <c r="F3800" s="788">
        <v>41775</v>
      </c>
      <c r="G3800" s="788">
        <v>42095</v>
      </c>
      <c r="H3800" s="787">
        <v>1</v>
      </c>
      <c r="I3800" s="788">
        <v>42088</v>
      </c>
      <c r="J3800" s="788">
        <v>42080</v>
      </c>
      <c r="K3800" s="788">
        <v>40919</v>
      </c>
      <c r="L3800" s="787">
        <v>9.84</v>
      </c>
      <c r="M3800" s="787">
        <v>10</v>
      </c>
      <c r="N3800" s="787">
        <v>37.92</v>
      </c>
      <c r="O3800" s="788">
        <v>41955</v>
      </c>
    </row>
    <row r="3801" spans="1:15" x14ac:dyDescent="0.25">
      <c r="A3801" s="786" t="s">
        <v>7529</v>
      </c>
      <c r="B3801" s="787">
        <v>4</v>
      </c>
      <c r="C3801" s="787" t="s">
        <v>7530</v>
      </c>
      <c r="D3801" s="787">
        <v>2.33</v>
      </c>
      <c r="E3801" s="787">
        <v>166.96</v>
      </c>
      <c r="F3801" s="788">
        <v>41335</v>
      </c>
      <c r="G3801" s="788">
        <v>41775</v>
      </c>
      <c r="H3801" s="787">
        <v>1</v>
      </c>
      <c r="I3801" s="788">
        <v>41310</v>
      </c>
      <c r="J3801" s="788">
        <v>41676</v>
      </c>
      <c r="L3801" s="787">
        <v>0</v>
      </c>
      <c r="M3801" s="787">
        <v>10</v>
      </c>
      <c r="N3801" s="787">
        <v>161.03</v>
      </c>
      <c r="O3801" s="788">
        <v>42035</v>
      </c>
    </row>
    <row r="3802" spans="1:15" x14ac:dyDescent="0.25">
      <c r="A3802" s="786" t="s">
        <v>7531</v>
      </c>
      <c r="B3802" s="787">
        <v>4</v>
      </c>
      <c r="C3802" s="787" t="s">
        <v>7532</v>
      </c>
      <c r="D3802" s="787">
        <v>4.21</v>
      </c>
      <c r="E3802" s="787">
        <v>34.21</v>
      </c>
      <c r="F3802" s="788">
        <v>41970</v>
      </c>
      <c r="G3802" s="788">
        <v>42017</v>
      </c>
      <c r="H3802" s="787">
        <v>1</v>
      </c>
      <c r="I3802" s="788">
        <v>41988</v>
      </c>
      <c r="J3802" s="788">
        <v>41985</v>
      </c>
      <c r="L3802" s="787">
        <v>0</v>
      </c>
      <c r="M3802" s="787">
        <v>10</v>
      </c>
      <c r="N3802" s="787">
        <v>34.369999999999997</v>
      </c>
      <c r="O3802" s="788">
        <v>41955</v>
      </c>
    </row>
    <row r="3803" spans="1:15" x14ac:dyDescent="0.25">
      <c r="A3803" s="786" t="s">
        <v>7533</v>
      </c>
      <c r="B3803" s="787">
        <v>4</v>
      </c>
      <c r="C3803" s="787" t="s">
        <v>7534</v>
      </c>
      <c r="D3803" s="787">
        <v>9.69</v>
      </c>
      <c r="E3803" s="787">
        <v>61.13</v>
      </c>
      <c r="F3803" s="788">
        <v>41134</v>
      </c>
      <c r="G3803" s="788">
        <v>41548</v>
      </c>
      <c r="H3803" s="787">
        <v>1</v>
      </c>
      <c r="I3803" s="788">
        <v>41522</v>
      </c>
      <c r="J3803" s="788">
        <v>41520</v>
      </c>
      <c r="K3803" s="788">
        <v>40919</v>
      </c>
      <c r="L3803" s="787">
        <v>49.84</v>
      </c>
      <c r="M3803" s="787">
        <v>10</v>
      </c>
      <c r="N3803" s="787">
        <v>62.85</v>
      </c>
      <c r="O3803" s="788">
        <v>41989</v>
      </c>
    </row>
    <row r="3804" spans="1:15" x14ac:dyDescent="0.25">
      <c r="A3804" s="786" t="s">
        <v>7535</v>
      </c>
      <c r="B3804" s="787">
        <v>4</v>
      </c>
      <c r="C3804" s="787" t="s">
        <v>7536</v>
      </c>
      <c r="D3804" s="787">
        <v>9.2100000000000009</v>
      </c>
      <c r="E3804" s="787">
        <v>63.58</v>
      </c>
      <c r="F3804" s="788">
        <v>41467</v>
      </c>
      <c r="G3804" s="788">
        <v>42069</v>
      </c>
      <c r="H3804" s="787">
        <v>1</v>
      </c>
      <c r="I3804" s="788">
        <v>42046</v>
      </c>
      <c r="J3804" s="788">
        <v>42040</v>
      </c>
      <c r="L3804" s="787">
        <v>0</v>
      </c>
      <c r="M3804" s="787">
        <v>10</v>
      </c>
      <c r="N3804" s="787">
        <v>70.17</v>
      </c>
      <c r="O3804" s="788">
        <v>42044</v>
      </c>
    </row>
    <row r="3805" spans="1:15" x14ac:dyDescent="0.25">
      <c r="A3805" s="786" t="s">
        <v>7537</v>
      </c>
      <c r="B3805" s="787">
        <v>4</v>
      </c>
      <c r="C3805" s="787" t="s">
        <v>5964</v>
      </c>
      <c r="D3805" s="787">
        <v>0.86</v>
      </c>
      <c r="E3805" s="787">
        <v>48.89</v>
      </c>
      <c r="F3805" s="788">
        <v>41813</v>
      </c>
      <c r="G3805" s="788">
        <v>42137</v>
      </c>
      <c r="H3805" s="787">
        <v>1</v>
      </c>
      <c r="I3805" s="788">
        <v>42088</v>
      </c>
      <c r="J3805" s="788">
        <v>42137</v>
      </c>
      <c r="L3805" s="787">
        <v>0</v>
      </c>
      <c r="M3805" s="787">
        <v>10</v>
      </c>
      <c r="N3805" s="787">
        <v>52.88</v>
      </c>
      <c r="O3805" s="788">
        <v>41955</v>
      </c>
    </row>
    <row r="3806" spans="1:15" x14ac:dyDescent="0.25">
      <c r="A3806" s="786" t="s">
        <v>7538</v>
      </c>
      <c r="B3806" s="787">
        <v>4</v>
      </c>
      <c r="C3806" s="787" t="s">
        <v>5966</v>
      </c>
      <c r="D3806" s="787">
        <v>0</v>
      </c>
      <c r="E3806" s="787">
        <v>0</v>
      </c>
      <c r="H3806" s="787">
        <v>1</v>
      </c>
      <c r="K3806" s="788">
        <v>41270</v>
      </c>
      <c r="L3806" s="787">
        <v>177.99</v>
      </c>
      <c r="M3806" s="787">
        <v>10</v>
      </c>
      <c r="N3806" s="787">
        <v>174.48</v>
      </c>
      <c r="O3806" s="788">
        <v>42034</v>
      </c>
    </row>
    <row r="3807" spans="1:15" x14ac:dyDescent="0.25">
      <c r="A3807" s="786" t="s">
        <v>704</v>
      </c>
      <c r="B3807" s="787">
        <v>4</v>
      </c>
      <c r="C3807" s="787" t="s">
        <v>7539</v>
      </c>
      <c r="D3807" s="787">
        <v>1.84</v>
      </c>
      <c r="E3807" s="787">
        <v>31.87</v>
      </c>
      <c r="F3807" s="788">
        <v>41996</v>
      </c>
      <c r="G3807" s="788">
        <v>42107</v>
      </c>
      <c r="H3807" s="787">
        <v>1</v>
      </c>
      <c r="I3807" s="788">
        <v>42088</v>
      </c>
      <c r="J3807" s="788">
        <v>42074</v>
      </c>
      <c r="L3807" s="787">
        <v>1</v>
      </c>
      <c r="M3807" s="787">
        <v>10</v>
      </c>
      <c r="N3807" s="787">
        <v>32.51</v>
      </c>
      <c r="O3807" s="788">
        <v>42061</v>
      </c>
    </row>
    <row r="3808" spans="1:15" x14ac:dyDescent="0.25">
      <c r="A3808" s="786" t="s">
        <v>7540</v>
      </c>
      <c r="B3808" s="787">
        <v>4</v>
      </c>
      <c r="C3808" s="787" t="s">
        <v>7541</v>
      </c>
      <c r="D3808" s="787">
        <v>3.69</v>
      </c>
      <c r="E3808" s="787">
        <v>63.69</v>
      </c>
      <c r="F3808" s="788">
        <v>41962</v>
      </c>
      <c r="G3808" s="788">
        <v>41962</v>
      </c>
      <c r="H3808" s="787">
        <v>1</v>
      </c>
      <c r="I3808" s="788">
        <v>41758</v>
      </c>
      <c r="J3808" s="788">
        <v>41926</v>
      </c>
      <c r="K3808" s="788">
        <v>41254</v>
      </c>
      <c r="L3808" s="787">
        <v>35.17</v>
      </c>
      <c r="M3808" s="787">
        <v>10</v>
      </c>
      <c r="N3808" s="787">
        <v>35.61</v>
      </c>
      <c r="O3808" s="788">
        <v>42060</v>
      </c>
    </row>
    <row r="3809" spans="1:15" x14ac:dyDescent="0.25">
      <c r="A3809" s="786" t="s">
        <v>7542</v>
      </c>
      <c r="B3809" s="787">
        <v>4</v>
      </c>
      <c r="C3809" s="787" t="s">
        <v>7543</v>
      </c>
      <c r="D3809" s="787">
        <v>0.92</v>
      </c>
      <c r="E3809" s="787">
        <v>1.17</v>
      </c>
      <c r="F3809" s="788">
        <v>41873</v>
      </c>
      <c r="G3809" s="788">
        <v>42013</v>
      </c>
      <c r="H3809" s="787">
        <v>1</v>
      </c>
      <c r="I3809" s="788">
        <v>41879</v>
      </c>
      <c r="J3809" s="788">
        <v>41877</v>
      </c>
      <c r="K3809" s="788">
        <v>41857</v>
      </c>
      <c r="L3809" s="787">
        <v>0.92</v>
      </c>
      <c r="M3809" s="787">
        <v>20</v>
      </c>
      <c r="N3809" s="787">
        <v>0.99</v>
      </c>
      <c r="O3809" s="788">
        <v>42072</v>
      </c>
    </row>
    <row r="3810" spans="1:15" x14ac:dyDescent="0.25">
      <c r="A3810" s="786" t="s">
        <v>7544</v>
      </c>
      <c r="B3810" s="787">
        <v>4</v>
      </c>
      <c r="C3810" s="787" t="s">
        <v>5663</v>
      </c>
      <c r="D3810" s="787">
        <v>0</v>
      </c>
      <c r="E3810" s="787">
        <v>0</v>
      </c>
      <c r="H3810" s="787">
        <v>1</v>
      </c>
      <c r="I3810" s="788">
        <v>41911</v>
      </c>
      <c r="K3810" s="788">
        <v>40997</v>
      </c>
      <c r="L3810" s="787">
        <v>42.76</v>
      </c>
      <c r="M3810" s="787">
        <v>10</v>
      </c>
      <c r="N3810" s="787">
        <v>76.56</v>
      </c>
      <c r="O3810" s="788">
        <v>41597</v>
      </c>
    </row>
    <row r="3811" spans="1:15" x14ac:dyDescent="0.25">
      <c r="A3811" s="786" t="s">
        <v>7545</v>
      </c>
      <c r="B3811" s="787">
        <v>4</v>
      </c>
      <c r="C3811" s="787" t="s">
        <v>5663</v>
      </c>
      <c r="D3811" s="787">
        <v>0</v>
      </c>
      <c r="E3811" s="787">
        <v>0</v>
      </c>
      <c r="H3811" s="787">
        <v>1</v>
      </c>
      <c r="I3811" s="788">
        <v>41911</v>
      </c>
      <c r="K3811" s="788">
        <v>40997</v>
      </c>
      <c r="L3811" s="787">
        <v>42.76</v>
      </c>
      <c r="M3811" s="787">
        <v>10</v>
      </c>
      <c r="N3811" s="787">
        <v>76.56</v>
      </c>
      <c r="O3811" s="788">
        <v>41597</v>
      </c>
    </row>
    <row r="3812" spans="1:15" x14ac:dyDescent="0.25">
      <c r="A3812" s="786" t="s">
        <v>7546</v>
      </c>
      <c r="B3812" s="787">
        <v>4</v>
      </c>
      <c r="C3812" s="787" t="s">
        <v>5663</v>
      </c>
      <c r="D3812" s="787">
        <v>0</v>
      </c>
      <c r="E3812" s="787">
        <v>0</v>
      </c>
      <c r="H3812" s="787">
        <v>1</v>
      </c>
      <c r="I3812" s="788">
        <v>41876</v>
      </c>
      <c r="K3812" s="788">
        <v>40998</v>
      </c>
      <c r="L3812" s="787">
        <v>46.3</v>
      </c>
      <c r="M3812" s="787">
        <v>10</v>
      </c>
      <c r="N3812" s="787">
        <v>89.93</v>
      </c>
      <c r="O3812" s="788">
        <v>41597</v>
      </c>
    </row>
    <row r="3813" spans="1:15" x14ac:dyDescent="0.25">
      <c r="A3813" s="786" t="s">
        <v>7547</v>
      </c>
      <c r="B3813" s="787">
        <v>4</v>
      </c>
      <c r="C3813" s="787" t="s">
        <v>5663</v>
      </c>
      <c r="D3813" s="787">
        <v>0</v>
      </c>
      <c r="E3813" s="787">
        <v>0</v>
      </c>
      <c r="H3813" s="787">
        <v>1</v>
      </c>
      <c r="I3813" s="788">
        <v>41876</v>
      </c>
      <c r="K3813" s="788">
        <v>40998</v>
      </c>
      <c r="L3813" s="787">
        <v>46.3</v>
      </c>
      <c r="M3813" s="787">
        <v>10</v>
      </c>
      <c r="N3813" s="787">
        <v>89.93</v>
      </c>
      <c r="O3813" s="788">
        <v>41597</v>
      </c>
    </row>
    <row r="3814" spans="1:15" x14ac:dyDescent="0.25">
      <c r="A3814" s="786" t="s">
        <v>7548</v>
      </c>
      <c r="B3814" s="787">
        <v>4</v>
      </c>
      <c r="C3814" s="787" t="s">
        <v>7549</v>
      </c>
      <c r="D3814" s="787">
        <v>5.7</v>
      </c>
      <c r="E3814" s="787">
        <v>15.7</v>
      </c>
      <c r="F3814" s="788">
        <v>41899</v>
      </c>
      <c r="G3814" s="788">
        <v>41907</v>
      </c>
      <c r="H3814" s="787">
        <v>1</v>
      </c>
      <c r="J3814" s="788">
        <v>41907</v>
      </c>
      <c r="K3814" s="788">
        <v>41885</v>
      </c>
      <c r="L3814" s="787">
        <v>15.7</v>
      </c>
      <c r="M3814" s="787">
        <v>20</v>
      </c>
      <c r="N3814" s="787">
        <v>16.88</v>
      </c>
      <c r="O3814" s="788">
        <v>41885</v>
      </c>
    </row>
    <row r="3815" spans="1:15" x14ac:dyDescent="0.25">
      <c r="A3815" s="786" t="s">
        <v>7550</v>
      </c>
      <c r="B3815" s="787">
        <v>4</v>
      </c>
      <c r="C3815" s="787" t="s">
        <v>5981</v>
      </c>
      <c r="D3815" s="787">
        <v>0</v>
      </c>
      <c r="E3815" s="787">
        <v>0</v>
      </c>
      <c r="H3815" s="787">
        <v>1</v>
      </c>
      <c r="K3815" s="788">
        <v>41971</v>
      </c>
      <c r="L3815" s="787">
        <v>13.97</v>
      </c>
      <c r="M3815" s="787">
        <v>10</v>
      </c>
      <c r="N3815" s="787">
        <v>13.97</v>
      </c>
      <c r="O3815" s="788">
        <v>41971</v>
      </c>
    </row>
    <row r="3816" spans="1:15" x14ac:dyDescent="0.25">
      <c r="A3816" s="786" t="s">
        <v>7551</v>
      </c>
      <c r="B3816" s="787">
        <v>4</v>
      </c>
      <c r="C3816" s="787" t="s">
        <v>5981</v>
      </c>
      <c r="D3816" s="787">
        <v>0</v>
      </c>
      <c r="E3816" s="787">
        <v>0</v>
      </c>
      <c r="H3816" s="787">
        <v>1</v>
      </c>
      <c r="K3816" s="788">
        <v>41971</v>
      </c>
      <c r="L3816" s="787">
        <v>13.97</v>
      </c>
      <c r="M3816" s="787">
        <v>10</v>
      </c>
      <c r="N3816" s="787">
        <v>13.97</v>
      </c>
      <c r="O3816" s="788">
        <v>41971</v>
      </c>
    </row>
    <row r="3817" spans="1:15" x14ac:dyDescent="0.25">
      <c r="A3817" s="786" t="s">
        <v>7552</v>
      </c>
      <c r="B3817" s="787">
        <v>4</v>
      </c>
      <c r="C3817" s="787" t="s">
        <v>5985</v>
      </c>
      <c r="D3817" s="787">
        <v>0</v>
      </c>
      <c r="E3817" s="787">
        <v>0</v>
      </c>
      <c r="H3817" s="787">
        <v>1</v>
      </c>
      <c r="K3817" s="788">
        <v>41193</v>
      </c>
      <c r="L3817" s="787">
        <v>6.94</v>
      </c>
      <c r="M3817" s="787">
        <v>10</v>
      </c>
      <c r="N3817" s="787">
        <v>6.82</v>
      </c>
      <c r="O3817" s="788">
        <v>41858</v>
      </c>
    </row>
    <row r="3818" spans="1:15" x14ac:dyDescent="0.25">
      <c r="A3818" s="786" t="s">
        <v>7553</v>
      </c>
      <c r="B3818" s="787">
        <v>4</v>
      </c>
      <c r="C3818" s="787" t="s">
        <v>5987</v>
      </c>
      <c r="D3818" s="787">
        <v>0</v>
      </c>
      <c r="E3818" s="787">
        <v>0</v>
      </c>
      <c r="H3818" s="787">
        <v>1</v>
      </c>
      <c r="K3818" s="788">
        <v>41193</v>
      </c>
      <c r="L3818" s="787">
        <v>6.06</v>
      </c>
      <c r="M3818" s="787">
        <v>10</v>
      </c>
      <c r="N3818" s="787">
        <v>5.98</v>
      </c>
      <c r="O3818" s="788">
        <v>41858</v>
      </c>
    </row>
    <row r="3819" spans="1:15" x14ac:dyDescent="0.25">
      <c r="A3819" s="786" t="s">
        <v>7554</v>
      </c>
      <c r="B3819" s="787">
        <v>4</v>
      </c>
      <c r="C3819" s="787" t="s">
        <v>5989</v>
      </c>
      <c r="D3819" s="787">
        <v>0</v>
      </c>
      <c r="E3819" s="787">
        <v>0</v>
      </c>
      <c r="H3819" s="787">
        <v>1</v>
      </c>
      <c r="K3819" s="788">
        <v>41193</v>
      </c>
      <c r="L3819" s="787">
        <v>4.75</v>
      </c>
      <c r="M3819" s="787">
        <v>10</v>
      </c>
      <c r="N3819" s="787">
        <v>4.75</v>
      </c>
      <c r="O3819" s="788">
        <v>41858</v>
      </c>
    </row>
    <row r="3820" spans="1:15" x14ac:dyDescent="0.25">
      <c r="A3820" s="786" t="s">
        <v>7555</v>
      </c>
      <c r="B3820" s="787">
        <v>4</v>
      </c>
      <c r="C3820" s="787" t="s">
        <v>5615</v>
      </c>
      <c r="D3820" s="787">
        <v>0</v>
      </c>
      <c r="E3820" s="787">
        <v>0</v>
      </c>
      <c r="H3820" s="787">
        <v>1</v>
      </c>
      <c r="K3820" s="788">
        <v>41209</v>
      </c>
      <c r="L3820" s="787">
        <v>13.74</v>
      </c>
      <c r="M3820" s="787">
        <v>10</v>
      </c>
      <c r="N3820" s="787">
        <v>13.39</v>
      </c>
      <c r="O3820" s="788">
        <v>41858</v>
      </c>
    </row>
    <row r="3821" spans="1:15" x14ac:dyDescent="0.25">
      <c r="A3821" s="786" t="s">
        <v>7556</v>
      </c>
      <c r="B3821" s="787">
        <v>4</v>
      </c>
      <c r="C3821" s="787" t="s">
        <v>5615</v>
      </c>
      <c r="D3821" s="787">
        <v>0</v>
      </c>
      <c r="E3821" s="787">
        <v>0</v>
      </c>
      <c r="H3821" s="787">
        <v>1</v>
      </c>
      <c r="K3821" s="788">
        <v>41209</v>
      </c>
      <c r="L3821" s="787">
        <v>16.34</v>
      </c>
      <c r="M3821" s="787">
        <v>10</v>
      </c>
      <c r="N3821" s="787">
        <v>16.34</v>
      </c>
      <c r="O3821" s="788">
        <v>41858</v>
      </c>
    </row>
    <row r="3822" spans="1:15" x14ac:dyDescent="0.25">
      <c r="A3822" s="786" t="s">
        <v>7557</v>
      </c>
      <c r="B3822" s="787">
        <v>4</v>
      </c>
      <c r="C3822" s="787" t="s">
        <v>5997</v>
      </c>
      <c r="D3822" s="787">
        <v>0</v>
      </c>
      <c r="E3822" s="787">
        <v>0</v>
      </c>
      <c r="H3822" s="787">
        <v>1</v>
      </c>
      <c r="K3822" s="788">
        <v>41279</v>
      </c>
      <c r="L3822" s="787">
        <v>8</v>
      </c>
      <c r="M3822" s="787">
        <v>10</v>
      </c>
      <c r="N3822" s="787">
        <v>8</v>
      </c>
      <c r="O3822" s="788">
        <v>41955</v>
      </c>
    </row>
    <row r="3823" spans="1:15" x14ac:dyDescent="0.25">
      <c r="A3823" s="786" t="s">
        <v>7558</v>
      </c>
      <c r="B3823" s="787">
        <v>4</v>
      </c>
      <c r="C3823" s="787" t="s">
        <v>5999</v>
      </c>
      <c r="D3823" s="787">
        <v>0</v>
      </c>
      <c r="E3823" s="787">
        <v>0</v>
      </c>
      <c r="H3823" s="787">
        <v>1</v>
      </c>
      <c r="L3823" s="787">
        <v>0.01</v>
      </c>
      <c r="M3823" s="787">
        <v>20</v>
      </c>
      <c r="N3823" s="787">
        <v>0.01</v>
      </c>
      <c r="O3823" s="788">
        <v>41858</v>
      </c>
    </row>
    <row r="3824" spans="1:15" x14ac:dyDescent="0.25">
      <c r="A3824" s="786" t="s">
        <v>7559</v>
      </c>
      <c r="B3824" s="787">
        <v>4</v>
      </c>
      <c r="C3824" s="787" t="s">
        <v>5999</v>
      </c>
      <c r="D3824" s="787">
        <v>0</v>
      </c>
      <c r="E3824" s="787">
        <v>0</v>
      </c>
      <c r="H3824" s="787">
        <v>1</v>
      </c>
      <c r="L3824" s="787">
        <v>0.01</v>
      </c>
      <c r="M3824" s="787">
        <v>20</v>
      </c>
      <c r="N3824" s="787">
        <v>0.01</v>
      </c>
      <c r="O3824" s="788">
        <v>41858</v>
      </c>
    </row>
    <row r="3825" spans="1:15" x14ac:dyDescent="0.25">
      <c r="A3825" s="786" t="s">
        <v>7560</v>
      </c>
      <c r="B3825" s="787">
        <v>4</v>
      </c>
      <c r="C3825" s="787" t="s">
        <v>5999</v>
      </c>
      <c r="D3825" s="787">
        <v>0</v>
      </c>
      <c r="E3825" s="787">
        <v>0</v>
      </c>
      <c r="H3825" s="787">
        <v>1</v>
      </c>
      <c r="L3825" s="787">
        <v>0.01</v>
      </c>
      <c r="M3825" s="787">
        <v>20</v>
      </c>
      <c r="N3825" s="787">
        <v>0.01</v>
      </c>
      <c r="O3825" s="788">
        <v>41858</v>
      </c>
    </row>
    <row r="3826" spans="1:15" x14ac:dyDescent="0.25">
      <c r="A3826" s="786" t="s">
        <v>7561</v>
      </c>
      <c r="B3826" s="787">
        <v>4</v>
      </c>
      <c r="C3826" s="787" t="s">
        <v>5999</v>
      </c>
      <c r="D3826" s="787">
        <v>0</v>
      </c>
      <c r="E3826" s="787">
        <v>0</v>
      </c>
      <c r="H3826" s="787">
        <v>1</v>
      </c>
      <c r="L3826" s="787">
        <v>0.01</v>
      </c>
      <c r="M3826" s="787">
        <v>20</v>
      </c>
      <c r="N3826" s="787">
        <v>0.01</v>
      </c>
      <c r="O3826" s="788">
        <v>41858</v>
      </c>
    </row>
    <row r="3827" spans="1:15" x14ac:dyDescent="0.25">
      <c r="A3827" s="786" t="s">
        <v>7562</v>
      </c>
      <c r="B3827" s="787">
        <v>4</v>
      </c>
      <c r="C3827" s="787" t="s">
        <v>6004</v>
      </c>
      <c r="D3827" s="787">
        <v>0</v>
      </c>
      <c r="E3827" s="787">
        <v>0</v>
      </c>
      <c r="H3827" s="787">
        <v>1</v>
      </c>
      <c r="K3827" s="788">
        <v>41279</v>
      </c>
      <c r="L3827" s="787">
        <v>11.18</v>
      </c>
      <c r="M3827" s="787">
        <v>10</v>
      </c>
      <c r="N3827" s="787">
        <v>10.9</v>
      </c>
      <c r="O3827" s="788">
        <v>41955</v>
      </c>
    </row>
    <row r="3828" spans="1:15" x14ac:dyDescent="0.25">
      <c r="A3828" s="786" t="s">
        <v>7563</v>
      </c>
      <c r="B3828" s="787">
        <v>4</v>
      </c>
      <c r="C3828" s="787" t="s">
        <v>6006</v>
      </c>
      <c r="D3828" s="787">
        <v>5</v>
      </c>
      <c r="E3828" s="787">
        <v>5</v>
      </c>
      <c r="F3828" s="788">
        <v>42086</v>
      </c>
      <c r="G3828" s="788">
        <v>42086</v>
      </c>
      <c r="H3828" s="787">
        <v>1</v>
      </c>
      <c r="I3828" s="788">
        <v>42055</v>
      </c>
      <c r="J3828" s="788">
        <v>42055</v>
      </c>
      <c r="K3828" s="788">
        <v>41453</v>
      </c>
      <c r="L3828" s="787">
        <v>1.64</v>
      </c>
      <c r="M3828" s="787">
        <v>10</v>
      </c>
      <c r="N3828" s="787">
        <v>9.5500000000000007</v>
      </c>
      <c r="O3828" s="788">
        <v>42054</v>
      </c>
    </row>
    <row r="3829" spans="1:15" x14ac:dyDescent="0.25">
      <c r="A3829" s="786" t="s">
        <v>7564</v>
      </c>
      <c r="B3829" s="787">
        <v>4</v>
      </c>
      <c r="C3829" s="787" t="s">
        <v>7565</v>
      </c>
      <c r="D3829" s="787">
        <v>1.28</v>
      </c>
      <c r="E3829" s="787">
        <v>1.28</v>
      </c>
      <c r="F3829" s="788">
        <v>41806</v>
      </c>
      <c r="G3829" s="788">
        <v>42151</v>
      </c>
      <c r="H3829" s="787">
        <v>1</v>
      </c>
      <c r="I3829" s="788">
        <v>42151</v>
      </c>
      <c r="J3829" s="788">
        <v>42151</v>
      </c>
      <c r="K3829" s="788">
        <v>41404</v>
      </c>
      <c r="L3829" s="787">
        <v>1.34</v>
      </c>
      <c r="M3829" s="787">
        <v>10</v>
      </c>
      <c r="N3829" s="787">
        <v>1.4</v>
      </c>
      <c r="O3829" s="788">
        <v>41955</v>
      </c>
    </row>
    <row r="3830" spans="1:15" x14ac:dyDescent="0.25">
      <c r="A3830" s="786" t="s">
        <v>7566</v>
      </c>
      <c r="B3830" s="787">
        <v>4</v>
      </c>
      <c r="C3830" s="787" t="s">
        <v>7565</v>
      </c>
      <c r="D3830" s="787">
        <v>1.74</v>
      </c>
      <c r="E3830" s="787">
        <v>1.74</v>
      </c>
      <c r="F3830" s="788">
        <v>41579</v>
      </c>
      <c r="G3830" s="788">
        <v>42151</v>
      </c>
      <c r="H3830" s="787">
        <v>1</v>
      </c>
      <c r="I3830" s="788">
        <v>42151</v>
      </c>
      <c r="J3830" s="788">
        <v>42151</v>
      </c>
      <c r="K3830" s="788">
        <v>41404</v>
      </c>
      <c r="L3830" s="787">
        <v>2.29</v>
      </c>
      <c r="M3830" s="787">
        <v>10</v>
      </c>
      <c r="N3830" s="787">
        <v>2.29</v>
      </c>
      <c r="O3830" s="788">
        <v>41955</v>
      </c>
    </row>
    <row r="3831" spans="1:15" x14ac:dyDescent="0.25">
      <c r="A3831" s="786" t="s">
        <v>7567</v>
      </c>
      <c r="B3831" s="787">
        <v>4</v>
      </c>
      <c r="C3831" s="787" t="s">
        <v>7565</v>
      </c>
      <c r="D3831" s="787">
        <v>7.86</v>
      </c>
      <c r="E3831" s="787">
        <v>7.86</v>
      </c>
      <c r="F3831" s="788">
        <v>41579</v>
      </c>
      <c r="G3831" s="788">
        <v>42152</v>
      </c>
      <c r="H3831" s="787">
        <v>1</v>
      </c>
      <c r="I3831" s="788">
        <v>41911</v>
      </c>
      <c r="J3831" s="788">
        <v>42152</v>
      </c>
      <c r="K3831" s="788">
        <v>41404</v>
      </c>
      <c r="L3831" s="787">
        <v>7.88</v>
      </c>
      <c r="M3831" s="787">
        <v>10</v>
      </c>
      <c r="N3831" s="787">
        <v>8.48</v>
      </c>
      <c r="O3831" s="788">
        <v>41955</v>
      </c>
    </row>
    <row r="3832" spans="1:15" x14ac:dyDescent="0.25">
      <c r="A3832" s="786" t="s">
        <v>7568</v>
      </c>
      <c r="B3832" s="787">
        <v>4</v>
      </c>
      <c r="C3832" s="787" t="s">
        <v>7569</v>
      </c>
      <c r="D3832" s="787">
        <v>1.28</v>
      </c>
      <c r="E3832" s="787">
        <v>1.28</v>
      </c>
      <c r="F3832" s="788">
        <v>41806</v>
      </c>
      <c r="G3832" s="788">
        <v>41806</v>
      </c>
      <c r="H3832" s="787">
        <v>1</v>
      </c>
      <c r="I3832" s="788">
        <v>41781</v>
      </c>
      <c r="J3832" s="788">
        <v>41779</v>
      </c>
      <c r="K3832" s="788">
        <v>41456</v>
      </c>
      <c r="L3832" s="787">
        <v>2.87</v>
      </c>
      <c r="M3832" s="787">
        <v>10</v>
      </c>
      <c r="N3832" s="787">
        <v>2.85</v>
      </c>
      <c r="O3832" s="788">
        <v>41955</v>
      </c>
    </row>
    <row r="3833" spans="1:15" x14ac:dyDescent="0.25">
      <c r="A3833" s="786" t="s">
        <v>7570</v>
      </c>
      <c r="B3833" s="787">
        <v>4</v>
      </c>
      <c r="C3833" s="787" t="s">
        <v>7571</v>
      </c>
      <c r="D3833" s="787">
        <v>3.53</v>
      </c>
      <c r="E3833" s="787">
        <v>13.53</v>
      </c>
      <c r="F3833" s="788">
        <v>41813</v>
      </c>
      <c r="G3833" s="788">
        <v>41813</v>
      </c>
      <c r="H3833" s="787">
        <v>1</v>
      </c>
      <c r="I3833" s="788">
        <v>41978</v>
      </c>
      <c r="J3833" s="788">
        <v>41785</v>
      </c>
      <c r="K3833" s="788">
        <v>41456</v>
      </c>
      <c r="L3833" s="787">
        <v>8.11</v>
      </c>
      <c r="M3833" s="787">
        <v>10</v>
      </c>
      <c r="N3833" s="787">
        <v>8.69</v>
      </c>
      <c r="O3833" s="788">
        <v>41955</v>
      </c>
    </row>
    <row r="3834" spans="1:15" x14ac:dyDescent="0.25">
      <c r="A3834" s="786" t="s">
        <v>7572</v>
      </c>
      <c r="B3834" s="787">
        <v>4</v>
      </c>
      <c r="C3834" s="787" t="s">
        <v>7573</v>
      </c>
      <c r="D3834" s="787">
        <v>0.88</v>
      </c>
      <c r="E3834" s="787">
        <v>10.88</v>
      </c>
      <c r="F3834" s="788">
        <v>42129</v>
      </c>
      <c r="G3834" s="788">
        <v>42129</v>
      </c>
      <c r="H3834" s="787">
        <v>1</v>
      </c>
      <c r="J3834" s="788">
        <v>42096</v>
      </c>
      <c r="L3834" s="787">
        <v>3</v>
      </c>
      <c r="M3834" s="787">
        <v>10</v>
      </c>
      <c r="N3834" s="787">
        <v>1.36</v>
      </c>
      <c r="O3834" s="788">
        <v>41858</v>
      </c>
    </row>
    <row r="3835" spans="1:15" x14ac:dyDescent="0.25">
      <c r="A3835" s="786" t="s">
        <v>7574</v>
      </c>
      <c r="B3835" s="787">
        <v>4</v>
      </c>
      <c r="C3835" s="787" t="s">
        <v>6010</v>
      </c>
      <c r="D3835" s="787">
        <v>1.1100000000000001</v>
      </c>
      <c r="E3835" s="787">
        <v>1.1100000000000001</v>
      </c>
      <c r="F3835" s="788">
        <v>42129</v>
      </c>
      <c r="G3835" s="788">
        <v>42129</v>
      </c>
      <c r="H3835" s="787">
        <v>1</v>
      </c>
      <c r="J3835" s="788">
        <v>42096</v>
      </c>
      <c r="L3835" s="787">
        <v>3</v>
      </c>
      <c r="M3835" s="787">
        <v>10</v>
      </c>
      <c r="N3835" s="787">
        <v>1.1200000000000001</v>
      </c>
      <c r="O3835" s="788">
        <v>41858</v>
      </c>
    </row>
    <row r="3836" spans="1:15" x14ac:dyDescent="0.25">
      <c r="A3836" s="786" t="s">
        <v>7575</v>
      </c>
      <c r="B3836" s="787">
        <v>4</v>
      </c>
      <c r="C3836" s="787" t="s">
        <v>7576</v>
      </c>
      <c r="D3836" s="787">
        <v>0.85</v>
      </c>
      <c r="E3836" s="787">
        <v>0.85</v>
      </c>
      <c r="F3836" s="788">
        <v>42129</v>
      </c>
      <c r="G3836" s="788">
        <v>42129</v>
      </c>
      <c r="H3836" s="787">
        <v>1</v>
      </c>
      <c r="J3836" s="788">
        <v>42096</v>
      </c>
      <c r="L3836" s="787">
        <v>3</v>
      </c>
      <c r="M3836" s="787">
        <v>10</v>
      </c>
      <c r="N3836" s="787">
        <v>1.05</v>
      </c>
      <c r="O3836" s="788">
        <v>41858</v>
      </c>
    </row>
    <row r="3837" spans="1:15" x14ac:dyDescent="0.25">
      <c r="A3837" s="786" t="s">
        <v>7577</v>
      </c>
      <c r="B3837" s="787">
        <v>4</v>
      </c>
      <c r="C3837" s="787" t="s">
        <v>7578</v>
      </c>
      <c r="D3837" s="787">
        <v>0</v>
      </c>
      <c r="E3837" s="787">
        <v>0</v>
      </c>
      <c r="H3837" s="787">
        <v>1</v>
      </c>
      <c r="K3837" s="788">
        <v>41512</v>
      </c>
      <c r="L3837" s="787">
        <v>984</v>
      </c>
      <c r="M3837" s="787">
        <v>10</v>
      </c>
      <c r="N3837" s="787">
        <v>975.57</v>
      </c>
      <c r="O3837" s="788">
        <v>42123</v>
      </c>
    </row>
    <row r="3838" spans="1:15" x14ac:dyDescent="0.25">
      <c r="A3838" s="786" t="s">
        <v>7579</v>
      </c>
      <c r="B3838" s="787">
        <v>4</v>
      </c>
      <c r="C3838" s="787" t="s">
        <v>7580</v>
      </c>
      <c r="D3838" s="787">
        <v>4.0599999999999996</v>
      </c>
      <c r="E3838" s="787">
        <v>584.05999999999995</v>
      </c>
      <c r="F3838" s="788">
        <v>42069</v>
      </c>
      <c r="G3838" s="788">
        <v>42069</v>
      </c>
      <c r="H3838" s="787">
        <v>1</v>
      </c>
      <c r="I3838" s="788">
        <v>42046</v>
      </c>
      <c r="J3838" s="788">
        <v>42037</v>
      </c>
      <c r="K3838" s="788">
        <v>41512</v>
      </c>
      <c r="L3838" s="787">
        <v>636.45000000000005</v>
      </c>
      <c r="M3838" s="787">
        <v>10</v>
      </c>
      <c r="N3838" s="787">
        <v>625.55999999999995</v>
      </c>
      <c r="O3838" s="788">
        <v>42123</v>
      </c>
    </row>
    <row r="3839" spans="1:15" x14ac:dyDescent="0.25">
      <c r="A3839" s="786" t="s">
        <v>7581</v>
      </c>
      <c r="B3839" s="787">
        <v>4</v>
      </c>
      <c r="C3839" s="787" t="s">
        <v>7582</v>
      </c>
      <c r="D3839" s="787">
        <v>0</v>
      </c>
      <c r="E3839" s="787">
        <v>0</v>
      </c>
      <c r="H3839" s="787">
        <v>1</v>
      </c>
      <c r="K3839" s="788">
        <v>41512</v>
      </c>
      <c r="L3839" s="787">
        <v>970.56</v>
      </c>
      <c r="M3839" s="787">
        <v>10</v>
      </c>
      <c r="N3839" s="787">
        <v>963.46</v>
      </c>
      <c r="O3839" s="788">
        <v>42061</v>
      </c>
    </row>
    <row r="3840" spans="1:15" x14ac:dyDescent="0.25">
      <c r="A3840" s="786" t="s">
        <v>7583</v>
      </c>
      <c r="B3840" s="787">
        <v>4</v>
      </c>
      <c r="C3840" s="787" t="s">
        <v>7584</v>
      </c>
      <c r="D3840" s="787">
        <v>2.2400000000000002</v>
      </c>
      <c r="E3840" s="787">
        <v>672.24</v>
      </c>
      <c r="F3840" s="788">
        <v>41963</v>
      </c>
      <c r="G3840" s="788">
        <v>41963</v>
      </c>
      <c r="H3840" s="787">
        <v>1</v>
      </c>
      <c r="I3840" s="788">
        <v>41955</v>
      </c>
      <c r="J3840" s="788">
        <v>41943</v>
      </c>
      <c r="K3840" s="788">
        <v>41512</v>
      </c>
      <c r="L3840" s="787">
        <v>623.01</v>
      </c>
      <c r="M3840" s="787">
        <v>10</v>
      </c>
      <c r="N3840" s="787">
        <v>626.33000000000004</v>
      </c>
      <c r="O3840" s="788">
        <v>42061</v>
      </c>
    </row>
    <row r="3841" spans="1:15" x14ac:dyDescent="0.25">
      <c r="A3841" s="786" t="s">
        <v>7585</v>
      </c>
      <c r="B3841" s="787">
        <v>4</v>
      </c>
      <c r="C3841" s="787" t="s">
        <v>7586</v>
      </c>
      <c r="D3841" s="787">
        <v>8.35</v>
      </c>
      <c r="E3841" s="787">
        <v>498.35</v>
      </c>
      <c r="F3841" s="788">
        <v>42111</v>
      </c>
      <c r="G3841" s="788">
        <v>42111</v>
      </c>
      <c r="H3841" s="787">
        <v>1</v>
      </c>
      <c r="I3841" s="788">
        <v>42088</v>
      </c>
      <c r="J3841" s="788">
        <v>42083</v>
      </c>
      <c r="K3841" s="788">
        <v>41512</v>
      </c>
      <c r="L3841" s="787">
        <v>459.76</v>
      </c>
      <c r="M3841" s="787">
        <v>10</v>
      </c>
      <c r="N3841" s="787">
        <v>541.79</v>
      </c>
      <c r="O3841" s="788">
        <v>42061</v>
      </c>
    </row>
    <row r="3842" spans="1:15" x14ac:dyDescent="0.25">
      <c r="A3842" s="786" t="s">
        <v>7587</v>
      </c>
      <c r="B3842" s="787">
        <v>4</v>
      </c>
      <c r="C3842" s="787" t="s">
        <v>6024</v>
      </c>
      <c r="D3842" s="787">
        <v>0</v>
      </c>
      <c r="E3842" s="787">
        <v>0</v>
      </c>
      <c r="H3842" s="787">
        <v>1</v>
      </c>
      <c r="K3842" s="788">
        <v>41512</v>
      </c>
      <c r="L3842" s="787">
        <v>954.24</v>
      </c>
      <c r="M3842" s="787">
        <v>10</v>
      </c>
      <c r="N3842" s="787">
        <v>947.41</v>
      </c>
      <c r="O3842" s="788">
        <v>42061</v>
      </c>
    </row>
    <row r="3843" spans="1:15" x14ac:dyDescent="0.25">
      <c r="A3843" s="786" t="s">
        <v>7588</v>
      </c>
      <c r="B3843" s="787">
        <v>4</v>
      </c>
      <c r="C3843" s="787" t="s">
        <v>7589</v>
      </c>
      <c r="D3843" s="787">
        <v>0</v>
      </c>
      <c r="E3843" s="787">
        <v>0</v>
      </c>
      <c r="H3843" s="787">
        <v>1</v>
      </c>
      <c r="K3843" s="788">
        <v>41512</v>
      </c>
      <c r="L3843" s="787">
        <v>954.24</v>
      </c>
      <c r="M3843" s="787">
        <v>10</v>
      </c>
      <c r="N3843" s="787">
        <v>947.41</v>
      </c>
      <c r="O3843" s="788">
        <v>42061</v>
      </c>
    </row>
    <row r="3844" spans="1:15" x14ac:dyDescent="0.25">
      <c r="A3844" s="786" t="s">
        <v>7590</v>
      </c>
      <c r="B3844" s="787">
        <v>4</v>
      </c>
      <c r="C3844" s="787" t="s">
        <v>6028</v>
      </c>
      <c r="D3844" s="787">
        <v>0</v>
      </c>
      <c r="E3844" s="787">
        <v>0</v>
      </c>
      <c r="H3844" s="787">
        <v>1</v>
      </c>
      <c r="K3844" s="788">
        <v>41544</v>
      </c>
      <c r="L3844" s="787">
        <v>884.86</v>
      </c>
      <c r="M3844" s="787">
        <v>10</v>
      </c>
      <c r="N3844" s="787">
        <v>875.13</v>
      </c>
      <c r="O3844" s="788">
        <v>42061</v>
      </c>
    </row>
    <row r="3845" spans="1:15" x14ac:dyDescent="0.25">
      <c r="A3845" s="786" t="s">
        <v>7591</v>
      </c>
      <c r="B3845" s="787">
        <v>4</v>
      </c>
      <c r="C3845" s="787" t="s">
        <v>6030</v>
      </c>
      <c r="D3845" s="787">
        <v>0</v>
      </c>
      <c r="E3845" s="787">
        <v>0</v>
      </c>
      <c r="H3845" s="787">
        <v>1</v>
      </c>
      <c r="K3845" s="788">
        <v>41544</v>
      </c>
      <c r="L3845" s="787">
        <v>885.83</v>
      </c>
      <c r="M3845" s="787">
        <v>10</v>
      </c>
      <c r="N3845" s="787">
        <v>876.18</v>
      </c>
      <c r="O3845" s="788">
        <v>42061</v>
      </c>
    </row>
    <row r="3846" spans="1:15" x14ac:dyDescent="0.25">
      <c r="A3846" s="786" t="s">
        <v>7592</v>
      </c>
      <c r="B3846" s="787">
        <v>4</v>
      </c>
      <c r="C3846" s="787" t="s">
        <v>6032</v>
      </c>
      <c r="D3846" s="787">
        <v>0</v>
      </c>
      <c r="E3846" s="787">
        <v>0</v>
      </c>
      <c r="H3846" s="787">
        <v>1</v>
      </c>
      <c r="K3846" s="788">
        <v>41544</v>
      </c>
      <c r="L3846" s="787">
        <v>885.83</v>
      </c>
      <c r="M3846" s="787">
        <v>10</v>
      </c>
      <c r="N3846" s="787">
        <v>876.18</v>
      </c>
      <c r="O3846" s="788">
        <v>42061</v>
      </c>
    </row>
    <row r="3847" spans="1:15" x14ac:dyDescent="0.25">
      <c r="A3847" s="786" t="s">
        <v>7593</v>
      </c>
      <c r="B3847" s="787">
        <v>4</v>
      </c>
      <c r="C3847" s="787" t="s">
        <v>6034</v>
      </c>
      <c r="D3847" s="787">
        <v>0</v>
      </c>
      <c r="E3847" s="787">
        <v>0</v>
      </c>
      <c r="G3847" s="788">
        <v>42165</v>
      </c>
      <c r="H3847" s="787">
        <v>1</v>
      </c>
      <c r="I3847" s="788">
        <v>42166</v>
      </c>
      <c r="J3847" s="788">
        <v>42165</v>
      </c>
      <c r="K3847" s="788">
        <v>42088</v>
      </c>
      <c r="L3847" s="787">
        <v>18.100000000000001</v>
      </c>
      <c r="M3847" s="787">
        <v>20</v>
      </c>
      <c r="N3847" s="787">
        <v>0</v>
      </c>
    </row>
    <row r="3848" spans="1:15" x14ac:dyDescent="0.25">
      <c r="A3848" s="786" t="s">
        <v>7594</v>
      </c>
      <c r="B3848" s="787">
        <v>4</v>
      </c>
      <c r="C3848" s="787" t="s">
        <v>6036</v>
      </c>
      <c r="D3848" s="787">
        <v>0</v>
      </c>
      <c r="E3848" s="787">
        <v>0</v>
      </c>
      <c r="H3848" s="787">
        <v>1</v>
      </c>
      <c r="K3848" s="788">
        <v>42086</v>
      </c>
      <c r="L3848" s="787">
        <v>30.93</v>
      </c>
      <c r="M3848" s="787">
        <v>10</v>
      </c>
      <c r="N3848" s="787">
        <v>30.93</v>
      </c>
      <c r="O3848" s="788">
        <v>42086</v>
      </c>
    </row>
    <row r="3849" spans="1:15" x14ac:dyDescent="0.25">
      <c r="A3849" s="786" t="s">
        <v>7595</v>
      </c>
      <c r="B3849" s="787">
        <v>4</v>
      </c>
      <c r="C3849" s="787" t="s">
        <v>7596</v>
      </c>
      <c r="D3849" s="787">
        <v>0</v>
      </c>
      <c r="E3849" s="787">
        <v>0</v>
      </c>
      <c r="G3849" s="788">
        <v>42165</v>
      </c>
      <c r="H3849" s="787">
        <v>1</v>
      </c>
      <c r="I3849" s="788">
        <v>42166</v>
      </c>
      <c r="J3849" s="788">
        <v>42165</v>
      </c>
      <c r="K3849" s="788">
        <v>42088</v>
      </c>
      <c r="L3849" s="787">
        <v>14.7</v>
      </c>
      <c r="M3849" s="787">
        <v>20</v>
      </c>
      <c r="N3849" s="787">
        <v>0</v>
      </c>
    </row>
    <row r="3850" spans="1:15" x14ac:dyDescent="0.25">
      <c r="A3850" s="786" t="s">
        <v>7597</v>
      </c>
      <c r="B3850" s="787">
        <v>4</v>
      </c>
      <c r="C3850" s="787" t="s">
        <v>6038</v>
      </c>
      <c r="D3850" s="787">
        <v>0</v>
      </c>
      <c r="E3850" s="787">
        <v>0</v>
      </c>
      <c r="H3850" s="787">
        <v>1</v>
      </c>
      <c r="K3850" s="788">
        <v>42086</v>
      </c>
      <c r="L3850" s="787">
        <v>30.76</v>
      </c>
      <c r="M3850" s="787">
        <v>10</v>
      </c>
      <c r="N3850" s="787">
        <v>30.76</v>
      </c>
      <c r="O3850" s="788">
        <v>42086</v>
      </c>
    </row>
    <row r="3851" spans="1:15" x14ac:dyDescent="0.25">
      <c r="A3851" s="786" t="s">
        <v>7598</v>
      </c>
      <c r="B3851" s="787">
        <v>4</v>
      </c>
      <c r="C3851" s="787" t="s">
        <v>6041</v>
      </c>
      <c r="D3851" s="787">
        <v>0</v>
      </c>
      <c r="E3851" s="787">
        <v>0</v>
      </c>
      <c r="G3851" s="788">
        <v>42165</v>
      </c>
      <c r="H3851" s="787">
        <v>1</v>
      </c>
      <c r="J3851" s="788">
        <v>42165</v>
      </c>
      <c r="K3851" s="788">
        <v>42088</v>
      </c>
      <c r="L3851" s="787">
        <v>18.5</v>
      </c>
      <c r="M3851" s="787">
        <v>20</v>
      </c>
      <c r="N3851" s="787">
        <v>0</v>
      </c>
    </row>
    <row r="3852" spans="1:15" x14ac:dyDescent="0.25">
      <c r="A3852" s="786" t="s">
        <v>7599</v>
      </c>
      <c r="B3852" s="787">
        <v>4</v>
      </c>
      <c r="C3852" s="787" t="s">
        <v>6041</v>
      </c>
      <c r="D3852" s="787">
        <v>0</v>
      </c>
      <c r="E3852" s="787">
        <v>0</v>
      </c>
      <c r="G3852" s="788">
        <v>42165</v>
      </c>
      <c r="H3852" s="787">
        <v>1</v>
      </c>
      <c r="I3852" s="788">
        <v>42166</v>
      </c>
      <c r="J3852" s="788">
        <v>42165</v>
      </c>
      <c r="K3852" s="788">
        <v>42088</v>
      </c>
      <c r="L3852" s="787">
        <v>18.5</v>
      </c>
      <c r="M3852" s="787">
        <v>20</v>
      </c>
      <c r="N3852" s="787">
        <v>0</v>
      </c>
    </row>
    <row r="3853" spans="1:15" x14ac:dyDescent="0.25">
      <c r="A3853" s="786" t="s">
        <v>7600</v>
      </c>
      <c r="B3853" s="787">
        <v>4</v>
      </c>
      <c r="C3853" s="787" t="s">
        <v>6044</v>
      </c>
      <c r="D3853" s="787">
        <v>0</v>
      </c>
      <c r="E3853" s="787">
        <v>0</v>
      </c>
      <c r="H3853" s="787">
        <v>1</v>
      </c>
      <c r="K3853" s="788">
        <v>42086</v>
      </c>
      <c r="L3853" s="787">
        <v>33.979999999999997</v>
      </c>
      <c r="M3853" s="787">
        <v>10</v>
      </c>
      <c r="N3853" s="787">
        <v>33.979999999999997</v>
      </c>
      <c r="O3853" s="788">
        <v>42086</v>
      </c>
    </row>
    <row r="3854" spans="1:15" x14ac:dyDescent="0.25">
      <c r="A3854" s="786" t="s">
        <v>7601</v>
      </c>
      <c r="B3854" s="787">
        <v>4</v>
      </c>
      <c r="C3854" s="787" t="s">
        <v>6044</v>
      </c>
      <c r="D3854" s="787">
        <v>0</v>
      </c>
      <c r="E3854" s="787">
        <v>0</v>
      </c>
      <c r="H3854" s="787">
        <v>1</v>
      </c>
      <c r="K3854" s="788">
        <v>42086</v>
      </c>
      <c r="L3854" s="787">
        <v>33.979999999999997</v>
      </c>
      <c r="M3854" s="787">
        <v>10</v>
      </c>
      <c r="N3854" s="787">
        <v>33.979999999999997</v>
      </c>
      <c r="O3854" s="788">
        <v>42086</v>
      </c>
    </row>
    <row r="3855" spans="1:15" x14ac:dyDescent="0.25">
      <c r="A3855" s="786" t="s">
        <v>7602</v>
      </c>
      <c r="B3855" s="787">
        <v>4</v>
      </c>
      <c r="C3855" s="787" t="s">
        <v>7603</v>
      </c>
      <c r="D3855" s="787">
        <v>7.7</v>
      </c>
      <c r="E3855" s="787">
        <v>27.7</v>
      </c>
      <c r="F3855" s="788">
        <v>41899</v>
      </c>
      <c r="G3855" s="788">
        <v>41907</v>
      </c>
      <c r="H3855" s="787">
        <v>1</v>
      </c>
      <c r="J3855" s="788">
        <v>41907</v>
      </c>
      <c r="K3855" s="788">
        <v>41885</v>
      </c>
      <c r="L3855" s="787">
        <v>27.7</v>
      </c>
      <c r="M3855" s="787">
        <v>20</v>
      </c>
      <c r="N3855" s="787">
        <v>29.78</v>
      </c>
      <c r="O3855" s="788">
        <v>41885</v>
      </c>
    </row>
    <row r="3856" spans="1:15" x14ac:dyDescent="0.25">
      <c r="A3856" s="786" t="s">
        <v>7604</v>
      </c>
      <c r="B3856" s="787">
        <v>4</v>
      </c>
      <c r="C3856" s="787" t="s">
        <v>7605</v>
      </c>
      <c r="D3856" s="787">
        <v>0</v>
      </c>
      <c r="E3856" s="787">
        <v>0</v>
      </c>
      <c r="H3856" s="787">
        <v>1</v>
      </c>
      <c r="K3856" s="788">
        <v>41971</v>
      </c>
      <c r="L3856" s="787">
        <v>1.79</v>
      </c>
      <c r="M3856" s="787">
        <v>10</v>
      </c>
      <c r="N3856" s="787">
        <v>1.79</v>
      </c>
      <c r="O3856" s="788">
        <v>41971</v>
      </c>
    </row>
    <row r="3857" spans="1:15" x14ac:dyDescent="0.25">
      <c r="A3857" s="786" t="s">
        <v>7606</v>
      </c>
      <c r="B3857" s="787">
        <v>4</v>
      </c>
      <c r="C3857" s="787" t="s">
        <v>6051</v>
      </c>
      <c r="D3857" s="787">
        <v>0</v>
      </c>
      <c r="E3857" s="787">
        <v>0</v>
      </c>
      <c r="H3857" s="787">
        <v>1</v>
      </c>
      <c r="K3857" s="788">
        <v>41982</v>
      </c>
      <c r="L3857" s="787">
        <v>4.95</v>
      </c>
      <c r="M3857" s="787">
        <v>10</v>
      </c>
      <c r="N3857" s="787">
        <v>4.95</v>
      </c>
      <c r="O3857" s="788">
        <v>41982</v>
      </c>
    </row>
    <row r="3858" spans="1:15" x14ac:dyDescent="0.25">
      <c r="A3858" s="786" t="s">
        <v>7607</v>
      </c>
      <c r="B3858" s="787">
        <v>4</v>
      </c>
      <c r="C3858" s="787" t="s">
        <v>7608</v>
      </c>
      <c r="D3858" s="787">
        <v>2.7</v>
      </c>
      <c r="E3858" s="787">
        <v>32.700000000000003</v>
      </c>
      <c r="F3858" s="788">
        <v>41899</v>
      </c>
      <c r="G3858" s="788">
        <v>41907</v>
      </c>
      <c r="H3858" s="787">
        <v>1</v>
      </c>
      <c r="J3858" s="788">
        <v>41907</v>
      </c>
      <c r="K3858" s="788">
        <v>41885</v>
      </c>
      <c r="L3858" s="787">
        <v>32.700000000000003</v>
      </c>
      <c r="M3858" s="787">
        <v>20</v>
      </c>
      <c r="N3858" s="787">
        <v>35.15</v>
      </c>
      <c r="O3858" s="788">
        <v>41885</v>
      </c>
    </row>
    <row r="3859" spans="1:15" x14ac:dyDescent="0.25">
      <c r="A3859" s="786" t="s">
        <v>7609</v>
      </c>
      <c r="B3859" s="787">
        <v>4</v>
      </c>
      <c r="C3859" s="787" t="s">
        <v>6055</v>
      </c>
      <c r="D3859" s="787">
        <v>0</v>
      </c>
      <c r="E3859" s="787">
        <v>0</v>
      </c>
      <c r="H3859" s="787">
        <v>1</v>
      </c>
      <c r="K3859" s="788">
        <v>41982</v>
      </c>
      <c r="L3859" s="787">
        <v>2.83</v>
      </c>
      <c r="M3859" s="787">
        <v>10</v>
      </c>
      <c r="N3859" s="787">
        <v>2.83</v>
      </c>
      <c r="O3859" s="788">
        <v>41982</v>
      </c>
    </row>
    <row r="3860" spans="1:15" x14ac:dyDescent="0.25">
      <c r="A3860" s="786" t="s">
        <v>7610</v>
      </c>
      <c r="B3860" s="787">
        <v>4</v>
      </c>
      <c r="C3860" s="787" t="s">
        <v>6057</v>
      </c>
      <c r="D3860" s="787">
        <v>0</v>
      </c>
      <c r="E3860" s="787">
        <v>0</v>
      </c>
      <c r="H3860" s="787">
        <v>1</v>
      </c>
      <c r="K3860" s="788">
        <v>41982</v>
      </c>
      <c r="L3860" s="787">
        <v>11.61</v>
      </c>
      <c r="M3860" s="787">
        <v>10</v>
      </c>
      <c r="N3860" s="787">
        <v>11.61</v>
      </c>
      <c r="O3860" s="788">
        <v>41982</v>
      </c>
    </row>
    <row r="3861" spans="1:15" x14ac:dyDescent="0.25">
      <c r="A3861" s="786" t="s">
        <v>7611</v>
      </c>
      <c r="B3861" s="787">
        <v>4</v>
      </c>
      <c r="C3861" s="787" t="s">
        <v>7612</v>
      </c>
      <c r="D3861" s="787">
        <v>7.3</v>
      </c>
      <c r="E3861" s="787">
        <v>7.3</v>
      </c>
      <c r="F3861" s="788">
        <v>41899</v>
      </c>
      <c r="G3861" s="788">
        <v>41907</v>
      </c>
      <c r="H3861" s="787">
        <v>1</v>
      </c>
      <c r="J3861" s="788">
        <v>41907</v>
      </c>
      <c r="K3861" s="788">
        <v>41885</v>
      </c>
      <c r="L3861" s="787">
        <v>7.3</v>
      </c>
      <c r="M3861" s="787">
        <v>20</v>
      </c>
      <c r="N3861" s="787">
        <v>7.85</v>
      </c>
      <c r="O3861" s="788">
        <v>41885</v>
      </c>
    </row>
    <row r="3862" spans="1:15" x14ac:dyDescent="0.25">
      <c r="A3862" s="786" t="s">
        <v>7613</v>
      </c>
      <c r="B3862" s="787">
        <v>4</v>
      </c>
      <c r="C3862" s="787" t="s">
        <v>6053</v>
      </c>
      <c r="D3862" s="787">
        <v>0</v>
      </c>
      <c r="E3862" s="787">
        <v>0</v>
      </c>
      <c r="H3862" s="787">
        <v>1</v>
      </c>
      <c r="L3862" s="787">
        <v>1</v>
      </c>
      <c r="M3862" s="787">
        <v>20</v>
      </c>
      <c r="N3862" s="787">
        <v>1.08</v>
      </c>
      <c r="O3862" s="788">
        <v>41972</v>
      </c>
    </row>
    <row r="3863" spans="1:15" x14ac:dyDescent="0.25">
      <c r="A3863" s="786" t="s">
        <v>7614</v>
      </c>
      <c r="B3863" s="787">
        <v>4</v>
      </c>
      <c r="C3863" s="787" t="s">
        <v>6062</v>
      </c>
      <c r="D3863" s="787">
        <v>0</v>
      </c>
      <c r="E3863" s="787">
        <v>0</v>
      </c>
      <c r="H3863" s="787">
        <v>1</v>
      </c>
      <c r="K3863" s="788">
        <v>41989</v>
      </c>
      <c r="L3863" s="787">
        <v>10.08</v>
      </c>
      <c r="M3863" s="787">
        <v>10</v>
      </c>
      <c r="N3863" s="787">
        <v>10.08</v>
      </c>
      <c r="O3863" s="788">
        <v>41989</v>
      </c>
    </row>
    <row r="3864" spans="1:15" x14ac:dyDescent="0.25">
      <c r="A3864" s="786" t="s">
        <v>7615</v>
      </c>
      <c r="B3864" s="787">
        <v>4</v>
      </c>
      <c r="C3864" s="787" t="s">
        <v>6062</v>
      </c>
      <c r="D3864" s="787">
        <v>0</v>
      </c>
      <c r="E3864" s="787">
        <v>0</v>
      </c>
      <c r="H3864" s="787">
        <v>1</v>
      </c>
      <c r="K3864" s="788">
        <v>41989</v>
      </c>
      <c r="L3864" s="787">
        <v>18.61</v>
      </c>
      <c r="M3864" s="787">
        <v>10</v>
      </c>
      <c r="N3864" s="787">
        <v>18.61</v>
      </c>
      <c r="O3864" s="788">
        <v>41989</v>
      </c>
    </row>
    <row r="3865" spans="1:15" x14ac:dyDescent="0.25">
      <c r="A3865" s="786" t="s">
        <v>7616</v>
      </c>
      <c r="B3865" s="787">
        <v>4</v>
      </c>
      <c r="C3865" s="787" t="s">
        <v>6062</v>
      </c>
      <c r="D3865" s="787">
        <v>0</v>
      </c>
      <c r="E3865" s="787">
        <v>0</v>
      </c>
      <c r="H3865" s="787">
        <v>1</v>
      </c>
      <c r="K3865" s="788">
        <v>41989</v>
      </c>
      <c r="L3865" s="787">
        <v>18.61</v>
      </c>
      <c r="M3865" s="787">
        <v>10</v>
      </c>
      <c r="N3865" s="787">
        <v>18.61</v>
      </c>
      <c r="O3865" s="788">
        <v>41989</v>
      </c>
    </row>
    <row r="3866" spans="1:15" x14ac:dyDescent="0.25">
      <c r="A3866" s="786" t="s">
        <v>7617</v>
      </c>
      <c r="B3866" s="787">
        <v>4</v>
      </c>
      <c r="C3866" s="787" t="s">
        <v>6067</v>
      </c>
      <c r="D3866" s="787">
        <v>0</v>
      </c>
      <c r="E3866" s="787">
        <v>0</v>
      </c>
      <c r="H3866" s="787">
        <v>1</v>
      </c>
      <c r="K3866" s="788">
        <v>42060</v>
      </c>
      <c r="L3866" s="787">
        <v>21.11</v>
      </c>
      <c r="M3866" s="787">
        <v>10</v>
      </c>
      <c r="N3866" s="787">
        <v>21.11</v>
      </c>
      <c r="O3866" s="788">
        <v>42060</v>
      </c>
    </row>
    <row r="3867" spans="1:15" x14ac:dyDescent="0.25">
      <c r="A3867" s="786" t="s">
        <v>7618</v>
      </c>
      <c r="B3867" s="787">
        <v>4</v>
      </c>
      <c r="C3867" s="787" t="s">
        <v>6069</v>
      </c>
      <c r="D3867" s="787">
        <v>0</v>
      </c>
      <c r="E3867" s="787">
        <v>0</v>
      </c>
      <c r="H3867" s="787">
        <v>1</v>
      </c>
      <c r="K3867" s="788">
        <v>42060</v>
      </c>
      <c r="L3867" s="787">
        <v>33.299999999999997</v>
      </c>
      <c r="M3867" s="787">
        <v>10</v>
      </c>
      <c r="N3867" s="787">
        <v>33.299999999999997</v>
      </c>
      <c r="O3867" s="788">
        <v>42060</v>
      </c>
    </row>
    <row r="3868" spans="1:15" x14ac:dyDescent="0.25">
      <c r="A3868" s="786" t="s">
        <v>7619</v>
      </c>
      <c r="B3868" s="787">
        <v>4</v>
      </c>
      <c r="C3868" s="787" t="s">
        <v>6071</v>
      </c>
      <c r="D3868" s="787">
        <v>0</v>
      </c>
      <c r="E3868" s="787">
        <v>0</v>
      </c>
      <c r="H3868" s="787">
        <v>1</v>
      </c>
      <c r="K3868" s="788">
        <v>42060</v>
      </c>
      <c r="L3868" s="787">
        <v>33.299999999999997</v>
      </c>
      <c r="M3868" s="787">
        <v>10</v>
      </c>
      <c r="N3868" s="787">
        <v>33.299999999999997</v>
      </c>
      <c r="O3868" s="788">
        <v>42060</v>
      </c>
    </row>
    <row r="3869" spans="1:15" x14ac:dyDescent="0.25">
      <c r="A3869" s="786" t="s">
        <v>7620</v>
      </c>
      <c r="B3869" s="787">
        <v>4</v>
      </c>
      <c r="C3869" s="787" t="s">
        <v>7621</v>
      </c>
      <c r="D3869" s="787">
        <v>0</v>
      </c>
      <c r="E3869" s="787">
        <v>0</v>
      </c>
      <c r="H3869" s="787">
        <v>1</v>
      </c>
      <c r="K3869" s="788">
        <v>42060</v>
      </c>
      <c r="L3869" s="787">
        <v>11.95</v>
      </c>
      <c r="M3869" s="787">
        <v>10</v>
      </c>
      <c r="N3869" s="787">
        <v>11.95</v>
      </c>
      <c r="O3869" s="788">
        <v>42060</v>
      </c>
    </row>
    <row r="3870" spans="1:15" x14ac:dyDescent="0.25">
      <c r="A3870" s="786" t="s">
        <v>7622</v>
      </c>
      <c r="B3870" s="787">
        <v>4</v>
      </c>
      <c r="C3870" s="787" t="s">
        <v>6075</v>
      </c>
      <c r="D3870" s="787">
        <v>0</v>
      </c>
      <c r="E3870" s="787">
        <v>0</v>
      </c>
      <c r="H3870" s="787">
        <v>1</v>
      </c>
      <c r="K3870" s="788">
        <v>42060</v>
      </c>
      <c r="L3870" s="787">
        <v>14.14</v>
      </c>
      <c r="M3870" s="787">
        <v>10</v>
      </c>
      <c r="N3870" s="787">
        <v>14.14</v>
      </c>
      <c r="O3870" s="788">
        <v>42060</v>
      </c>
    </row>
    <row r="3871" spans="1:15" x14ac:dyDescent="0.25">
      <c r="A3871" s="786" t="s">
        <v>7623</v>
      </c>
      <c r="B3871" s="787">
        <v>4</v>
      </c>
      <c r="C3871" s="787" t="s">
        <v>6077</v>
      </c>
      <c r="D3871" s="787">
        <v>0</v>
      </c>
      <c r="E3871" s="787">
        <v>0</v>
      </c>
      <c r="H3871" s="787">
        <v>1</v>
      </c>
      <c r="K3871" s="788">
        <v>42060</v>
      </c>
      <c r="L3871" s="787">
        <v>14.14</v>
      </c>
      <c r="M3871" s="787">
        <v>10</v>
      </c>
      <c r="N3871" s="787">
        <v>14.14</v>
      </c>
      <c r="O3871" s="788">
        <v>42060</v>
      </c>
    </row>
    <row r="3872" spans="1:15" x14ac:dyDescent="0.25">
      <c r="A3872" s="786" t="s">
        <v>7624</v>
      </c>
      <c r="B3872" s="787">
        <v>4</v>
      </c>
      <c r="C3872" s="787" t="s">
        <v>7625</v>
      </c>
      <c r="D3872" s="787">
        <v>0</v>
      </c>
      <c r="E3872" s="787">
        <v>0</v>
      </c>
      <c r="H3872" s="787">
        <v>1</v>
      </c>
      <c r="K3872" s="788">
        <v>41971</v>
      </c>
      <c r="L3872" s="787">
        <v>2.79</v>
      </c>
      <c r="M3872" s="787">
        <v>10</v>
      </c>
      <c r="N3872" s="787">
        <v>2.79</v>
      </c>
      <c r="O3872" s="788">
        <v>41971</v>
      </c>
    </row>
    <row r="3873" spans="1:15" x14ac:dyDescent="0.25">
      <c r="A3873" s="786" t="s">
        <v>7626</v>
      </c>
      <c r="B3873" s="787">
        <v>4</v>
      </c>
      <c r="C3873" s="787" t="s">
        <v>7627</v>
      </c>
      <c r="D3873" s="787">
        <v>0</v>
      </c>
      <c r="E3873" s="787">
        <v>0</v>
      </c>
      <c r="H3873" s="787">
        <v>1</v>
      </c>
      <c r="K3873" s="788">
        <v>41971</v>
      </c>
      <c r="L3873" s="787">
        <v>1.31</v>
      </c>
      <c r="M3873" s="787">
        <v>10</v>
      </c>
      <c r="N3873" s="787">
        <v>1.31</v>
      </c>
      <c r="O3873" s="788">
        <v>41971</v>
      </c>
    </row>
    <row r="3874" spans="1:15" x14ac:dyDescent="0.25">
      <c r="A3874" s="786" t="s">
        <v>7628</v>
      </c>
      <c r="B3874" s="787">
        <v>4</v>
      </c>
      <c r="C3874" s="787" t="s">
        <v>6100</v>
      </c>
      <c r="D3874" s="787">
        <v>0</v>
      </c>
      <c r="E3874" s="787">
        <v>0</v>
      </c>
      <c r="H3874" s="787">
        <v>1</v>
      </c>
      <c r="K3874" s="788">
        <v>42137</v>
      </c>
      <c r="L3874" s="787">
        <v>5.0999999999999996</v>
      </c>
      <c r="M3874" s="787">
        <v>10</v>
      </c>
      <c r="N3874" s="787">
        <v>5.0999999999999996</v>
      </c>
      <c r="O3874" s="788">
        <v>42137</v>
      </c>
    </row>
    <row r="3875" spans="1:15" x14ac:dyDescent="0.25">
      <c r="A3875" s="786" t="s">
        <v>7629</v>
      </c>
      <c r="B3875" s="787">
        <v>4</v>
      </c>
      <c r="C3875" s="787" t="s">
        <v>6102</v>
      </c>
      <c r="D3875" s="787">
        <v>0</v>
      </c>
      <c r="E3875" s="787">
        <v>0</v>
      </c>
      <c r="H3875" s="787">
        <v>1</v>
      </c>
      <c r="K3875" s="788">
        <v>42142</v>
      </c>
      <c r="L3875" s="787">
        <v>5.0999999999999996</v>
      </c>
      <c r="M3875" s="787">
        <v>10</v>
      </c>
      <c r="N3875" s="787">
        <v>5.0999999999999996</v>
      </c>
      <c r="O3875" s="788">
        <v>42142</v>
      </c>
    </row>
    <row r="3876" spans="1:15" x14ac:dyDescent="0.25">
      <c r="A3876" s="786" t="s">
        <v>7630</v>
      </c>
      <c r="B3876" s="787">
        <v>4</v>
      </c>
      <c r="C3876" s="787" t="s">
        <v>6105</v>
      </c>
      <c r="D3876" s="787">
        <v>0</v>
      </c>
      <c r="E3876" s="787">
        <v>0</v>
      </c>
      <c r="H3876" s="787">
        <v>1</v>
      </c>
      <c r="K3876" s="788">
        <v>41598</v>
      </c>
      <c r="L3876" s="787">
        <v>97.08</v>
      </c>
      <c r="M3876" s="787">
        <v>10</v>
      </c>
      <c r="N3876" s="787">
        <v>98.48</v>
      </c>
      <c r="O3876" s="788">
        <v>41955</v>
      </c>
    </row>
    <row r="3877" spans="1:15" x14ac:dyDescent="0.25">
      <c r="A3877" s="786" t="s">
        <v>7631</v>
      </c>
      <c r="B3877" s="787">
        <v>4</v>
      </c>
      <c r="C3877" s="787" t="s">
        <v>6105</v>
      </c>
      <c r="D3877" s="787">
        <v>0</v>
      </c>
      <c r="E3877" s="787">
        <v>0</v>
      </c>
      <c r="H3877" s="787">
        <v>1</v>
      </c>
      <c r="K3877" s="788">
        <v>41598</v>
      </c>
      <c r="L3877" s="787">
        <v>22.63</v>
      </c>
      <c r="M3877" s="787">
        <v>10</v>
      </c>
      <c r="N3877" s="787">
        <v>24.03</v>
      </c>
      <c r="O3877" s="788">
        <v>41955</v>
      </c>
    </row>
    <row r="3878" spans="1:15" x14ac:dyDescent="0.25">
      <c r="A3878" s="786" t="s">
        <v>7632</v>
      </c>
      <c r="B3878" s="787">
        <v>4</v>
      </c>
      <c r="C3878" s="787" t="s">
        <v>6118</v>
      </c>
      <c r="D3878" s="787">
        <v>0</v>
      </c>
      <c r="E3878" s="787">
        <v>0</v>
      </c>
      <c r="H3878" s="787">
        <v>1</v>
      </c>
      <c r="K3878" s="788">
        <v>42059</v>
      </c>
      <c r="L3878" s="787">
        <v>2.76</v>
      </c>
      <c r="M3878" s="787">
        <v>10</v>
      </c>
      <c r="N3878" s="787">
        <v>2.76</v>
      </c>
      <c r="O3878" s="788">
        <v>42059</v>
      </c>
    </row>
    <row r="3879" spans="1:15" x14ac:dyDescent="0.25">
      <c r="A3879" s="786" t="s">
        <v>7633</v>
      </c>
      <c r="B3879" s="787">
        <v>4</v>
      </c>
      <c r="C3879" s="787" t="s">
        <v>6136</v>
      </c>
      <c r="D3879" s="787">
        <v>0</v>
      </c>
      <c r="E3879" s="787">
        <v>0</v>
      </c>
      <c r="H3879" s="787">
        <v>1</v>
      </c>
      <c r="K3879" s="788">
        <v>42128</v>
      </c>
      <c r="L3879" s="787">
        <v>3.07</v>
      </c>
      <c r="M3879" s="787">
        <v>10</v>
      </c>
      <c r="N3879" s="787">
        <v>3.07</v>
      </c>
      <c r="O3879" s="788">
        <v>42128</v>
      </c>
    </row>
    <row r="3880" spans="1:15" x14ac:dyDescent="0.25">
      <c r="A3880" s="786" t="s">
        <v>7634</v>
      </c>
      <c r="B3880" s="787">
        <v>4</v>
      </c>
      <c r="C3880" s="787" t="s">
        <v>7635</v>
      </c>
      <c r="D3880" s="787">
        <v>0</v>
      </c>
      <c r="E3880" s="787">
        <v>0</v>
      </c>
      <c r="H3880" s="787">
        <v>1</v>
      </c>
      <c r="K3880" s="788">
        <v>42128</v>
      </c>
      <c r="L3880" s="787">
        <v>15.82</v>
      </c>
      <c r="M3880" s="787">
        <v>10</v>
      </c>
      <c r="N3880" s="787">
        <v>15.82</v>
      </c>
      <c r="O3880" s="788">
        <v>42128</v>
      </c>
    </row>
    <row r="3881" spans="1:15" x14ac:dyDescent="0.25">
      <c r="A3881" s="786" t="s">
        <v>7636</v>
      </c>
      <c r="B3881" s="787">
        <v>4</v>
      </c>
      <c r="C3881" s="787" t="s">
        <v>7637</v>
      </c>
      <c r="D3881" s="787">
        <v>0</v>
      </c>
      <c r="E3881" s="787">
        <v>0</v>
      </c>
      <c r="H3881" s="787">
        <v>1</v>
      </c>
      <c r="K3881" s="788">
        <v>41971</v>
      </c>
      <c r="L3881" s="787">
        <v>1.41</v>
      </c>
      <c r="M3881" s="787">
        <v>10</v>
      </c>
      <c r="N3881" s="787">
        <v>1.41</v>
      </c>
      <c r="O3881" s="788">
        <v>41971</v>
      </c>
    </row>
    <row r="3882" spans="1:15" x14ac:dyDescent="0.25">
      <c r="A3882" s="786" t="s">
        <v>7638</v>
      </c>
      <c r="B3882" s="787">
        <v>4</v>
      </c>
      <c r="C3882" s="787" t="s">
        <v>7639</v>
      </c>
      <c r="D3882" s="787">
        <v>0</v>
      </c>
      <c r="E3882" s="787">
        <v>0</v>
      </c>
      <c r="H3882" s="787">
        <v>1</v>
      </c>
      <c r="K3882" s="788">
        <v>41971</v>
      </c>
      <c r="L3882" s="787">
        <v>1.66</v>
      </c>
      <c r="M3882" s="787">
        <v>10</v>
      </c>
      <c r="N3882" s="787">
        <v>1.66</v>
      </c>
      <c r="O3882" s="788">
        <v>41971</v>
      </c>
    </row>
    <row r="3883" spans="1:15" x14ac:dyDescent="0.25">
      <c r="A3883" s="786" t="s">
        <v>7640</v>
      </c>
      <c r="B3883" s="787">
        <v>4</v>
      </c>
      <c r="C3883" s="787" t="s">
        <v>7641</v>
      </c>
      <c r="D3883" s="787">
        <v>0</v>
      </c>
      <c r="E3883" s="787">
        <v>0</v>
      </c>
      <c r="H3883" s="787">
        <v>1</v>
      </c>
      <c r="K3883" s="788">
        <v>41971</v>
      </c>
      <c r="L3883" s="787">
        <v>5.65</v>
      </c>
      <c r="M3883" s="787">
        <v>10</v>
      </c>
      <c r="N3883" s="787">
        <v>5.65</v>
      </c>
      <c r="O3883" s="788">
        <v>41971</v>
      </c>
    </row>
    <row r="3884" spans="1:15" x14ac:dyDescent="0.25">
      <c r="A3884" s="786" t="s">
        <v>7642</v>
      </c>
      <c r="B3884" s="787">
        <v>4</v>
      </c>
      <c r="C3884" s="787" t="s">
        <v>6144</v>
      </c>
      <c r="D3884" s="787">
        <v>0</v>
      </c>
      <c r="E3884" s="787">
        <v>0</v>
      </c>
      <c r="H3884" s="787">
        <v>1</v>
      </c>
      <c r="K3884" s="788">
        <v>41971</v>
      </c>
      <c r="L3884" s="787">
        <v>10.1</v>
      </c>
      <c r="M3884" s="787">
        <v>10</v>
      </c>
      <c r="N3884" s="787">
        <v>10.1</v>
      </c>
      <c r="O3884" s="788">
        <v>41971</v>
      </c>
    </row>
    <row r="3885" spans="1:15" x14ac:dyDescent="0.25">
      <c r="A3885" s="786" t="s">
        <v>7643</v>
      </c>
      <c r="B3885" s="787">
        <v>4</v>
      </c>
      <c r="C3885" s="787" t="s">
        <v>6146</v>
      </c>
      <c r="D3885" s="787">
        <v>0</v>
      </c>
      <c r="E3885" s="787">
        <v>0</v>
      </c>
      <c r="H3885" s="787">
        <v>1</v>
      </c>
      <c r="K3885" s="788">
        <v>41989</v>
      </c>
      <c r="L3885" s="787">
        <v>16.059999999999999</v>
      </c>
      <c r="M3885" s="787">
        <v>10</v>
      </c>
      <c r="N3885" s="787">
        <v>16.059999999999999</v>
      </c>
      <c r="O3885" s="788">
        <v>41989</v>
      </c>
    </row>
    <row r="3886" spans="1:15" x14ac:dyDescent="0.25">
      <c r="A3886" s="786" t="s">
        <v>7644</v>
      </c>
      <c r="B3886" s="787">
        <v>4</v>
      </c>
      <c r="C3886" s="787" t="s">
        <v>6148</v>
      </c>
      <c r="D3886" s="787">
        <v>0</v>
      </c>
      <c r="E3886" s="787">
        <v>0</v>
      </c>
      <c r="H3886" s="787">
        <v>1</v>
      </c>
      <c r="K3886" s="788">
        <v>41989</v>
      </c>
      <c r="L3886" s="787">
        <v>16.059999999999999</v>
      </c>
      <c r="M3886" s="787">
        <v>10</v>
      </c>
      <c r="N3886" s="787">
        <v>16.059999999999999</v>
      </c>
      <c r="O3886" s="788">
        <v>41989</v>
      </c>
    </row>
    <row r="3887" spans="1:15" x14ac:dyDescent="0.25">
      <c r="A3887" s="786" t="s">
        <v>7645</v>
      </c>
      <c r="B3887" s="787">
        <v>4</v>
      </c>
      <c r="C3887" s="787" t="s">
        <v>7646</v>
      </c>
      <c r="D3887" s="787">
        <v>0</v>
      </c>
      <c r="E3887" s="787">
        <v>0</v>
      </c>
      <c r="H3887" s="787">
        <v>1</v>
      </c>
      <c r="K3887" s="788">
        <v>42021</v>
      </c>
      <c r="L3887" s="787">
        <v>13.19</v>
      </c>
      <c r="M3887" s="787">
        <v>10</v>
      </c>
      <c r="N3887" s="787">
        <v>13.19</v>
      </c>
      <c r="O3887" s="788">
        <v>42023</v>
      </c>
    </row>
    <row r="3888" spans="1:15" x14ac:dyDescent="0.25">
      <c r="A3888" s="786" t="s">
        <v>7647</v>
      </c>
      <c r="B3888" s="787">
        <v>4</v>
      </c>
      <c r="C3888" s="787" t="s">
        <v>7648</v>
      </c>
      <c r="D3888" s="787">
        <v>0</v>
      </c>
      <c r="E3888" s="787">
        <v>0</v>
      </c>
      <c r="H3888" s="787">
        <v>1</v>
      </c>
      <c r="K3888" s="788">
        <v>41971</v>
      </c>
      <c r="L3888" s="787">
        <v>26.81</v>
      </c>
      <c r="M3888" s="787">
        <v>10</v>
      </c>
      <c r="N3888" s="787">
        <v>26.81</v>
      </c>
      <c r="O3888" s="788">
        <v>41971</v>
      </c>
    </row>
    <row r="3889" spans="1:15" x14ac:dyDescent="0.25">
      <c r="A3889" s="786" t="s">
        <v>7649</v>
      </c>
      <c r="B3889" s="787">
        <v>4</v>
      </c>
      <c r="C3889" s="787" t="s">
        <v>7650</v>
      </c>
      <c r="D3889" s="787">
        <v>0</v>
      </c>
      <c r="E3889" s="787">
        <v>0</v>
      </c>
      <c r="H3889" s="787">
        <v>1</v>
      </c>
      <c r="K3889" s="788">
        <v>41971</v>
      </c>
      <c r="L3889" s="787">
        <v>24.27</v>
      </c>
      <c r="M3889" s="787">
        <v>10</v>
      </c>
      <c r="N3889" s="787">
        <v>24.27</v>
      </c>
      <c r="O3889" s="788">
        <v>41971</v>
      </c>
    </row>
    <row r="3890" spans="1:15" x14ac:dyDescent="0.25">
      <c r="A3890" s="786" t="s">
        <v>7651</v>
      </c>
      <c r="B3890" s="787">
        <v>4</v>
      </c>
      <c r="C3890" s="787" t="s">
        <v>7652</v>
      </c>
      <c r="D3890" s="787">
        <v>0</v>
      </c>
      <c r="E3890" s="787">
        <v>0</v>
      </c>
      <c r="H3890" s="787">
        <v>1</v>
      </c>
      <c r="K3890" s="788">
        <v>41971</v>
      </c>
      <c r="L3890" s="787">
        <v>36.64</v>
      </c>
      <c r="M3890" s="787">
        <v>10</v>
      </c>
      <c r="N3890" s="787">
        <v>36.64</v>
      </c>
      <c r="O3890" s="788">
        <v>41971</v>
      </c>
    </row>
    <row r="3891" spans="1:15" x14ac:dyDescent="0.25">
      <c r="A3891" s="786" t="s">
        <v>7653</v>
      </c>
      <c r="B3891" s="787">
        <v>4</v>
      </c>
      <c r="C3891" s="787" t="s">
        <v>7654</v>
      </c>
      <c r="D3891" s="787">
        <v>0</v>
      </c>
      <c r="E3891" s="787">
        <v>0</v>
      </c>
      <c r="H3891" s="787">
        <v>1</v>
      </c>
      <c r="K3891" s="788">
        <v>41971</v>
      </c>
      <c r="L3891" s="787">
        <v>3.65</v>
      </c>
      <c r="M3891" s="787">
        <v>10</v>
      </c>
      <c r="N3891" s="787">
        <v>3.65</v>
      </c>
      <c r="O3891" s="788">
        <v>41971</v>
      </c>
    </row>
    <row r="3892" spans="1:15" x14ac:dyDescent="0.25">
      <c r="A3892" s="786" t="s">
        <v>7655</v>
      </c>
      <c r="B3892" s="787">
        <v>4</v>
      </c>
      <c r="C3892" s="787" t="s">
        <v>7656</v>
      </c>
      <c r="D3892" s="787">
        <v>0</v>
      </c>
      <c r="E3892" s="787">
        <v>0</v>
      </c>
      <c r="H3892" s="787">
        <v>1</v>
      </c>
      <c r="K3892" s="788">
        <v>41971</v>
      </c>
      <c r="L3892" s="787">
        <v>3.08</v>
      </c>
      <c r="M3892" s="787">
        <v>10</v>
      </c>
      <c r="N3892" s="787">
        <v>3.08</v>
      </c>
      <c r="O3892" s="788">
        <v>41971</v>
      </c>
    </row>
    <row r="3893" spans="1:15" x14ac:dyDescent="0.25">
      <c r="A3893" s="786" t="s">
        <v>7657</v>
      </c>
      <c r="B3893" s="787">
        <v>4</v>
      </c>
      <c r="C3893" s="787" t="s">
        <v>7658</v>
      </c>
      <c r="D3893" s="787">
        <v>0</v>
      </c>
      <c r="E3893" s="787">
        <v>0</v>
      </c>
      <c r="H3893" s="787">
        <v>1</v>
      </c>
      <c r="K3893" s="788">
        <v>41971</v>
      </c>
      <c r="L3893" s="787">
        <v>7.21</v>
      </c>
      <c r="M3893" s="787">
        <v>10</v>
      </c>
      <c r="N3893" s="787">
        <v>7.21</v>
      </c>
      <c r="O3893" s="788">
        <v>41971</v>
      </c>
    </row>
    <row r="3894" spans="1:15" x14ac:dyDescent="0.25">
      <c r="A3894" s="786" t="s">
        <v>7659</v>
      </c>
      <c r="B3894" s="787">
        <v>4</v>
      </c>
      <c r="C3894" s="787" t="s">
        <v>5622</v>
      </c>
      <c r="D3894" s="787">
        <v>0</v>
      </c>
      <c r="E3894" s="787">
        <v>0</v>
      </c>
      <c r="H3894" s="787">
        <v>1</v>
      </c>
      <c r="K3894" s="788">
        <v>41971</v>
      </c>
      <c r="L3894" s="787">
        <v>14.45</v>
      </c>
      <c r="M3894" s="787">
        <v>10</v>
      </c>
      <c r="N3894" s="787">
        <v>14.45</v>
      </c>
      <c r="O3894" s="788">
        <v>41971</v>
      </c>
    </row>
    <row r="3895" spans="1:15" x14ac:dyDescent="0.25">
      <c r="A3895" s="786" t="s">
        <v>7660</v>
      </c>
      <c r="B3895" s="787">
        <v>4</v>
      </c>
      <c r="C3895" s="787" t="s">
        <v>6158</v>
      </c>
      <c r="D3895" s="787">
        <v>0</v>
      </c>
      <c r="E3895" s="787">
        <v>0</v>
      </c>
      <c r="H3895" s="787">
        <v>1</v>
      </c>
      <c r="K3895" s="788">
        <v>42023</v>
      </c>
      <c r="L3895" s="787">
        <v>7.26</v>
      </c>
      <c r="M3895" s="787">
        <v>10</v>
      </c>
      <c r="N3895" s="787">
        <v>7.26</v>
      </c>
      <c r="O3895" s="788">
        <v>42023</v>
      </c>
    </row>
    <row r="3896" spans="1:15" x14ac:dyDescent="0.25">
      <c r="A3896" s="786" t="s">
        <v>7661</v>
      </c>
      <c r="B3896" s="787">
        <v>4</v>
      </c>
      <c r="C3896" s="787" t="s">
        <v>6160</v>
      </c>
      <c r="D3896" s="787">
        <v>0</v>
      </c>
      <c r="E3896" s="787">
        <v>0</v>
      </c>
      <c r="H3896" s="787">
        <v>1</v>
      </c>
      <c r="K3896" s="788">
        <v>42023</v>
      </c>
      <c r="L3896" s="787">
        <v>5.78</v>
      </c>
      <c r="M3896" s="787">
        <v>10</v>
      </c>
      <c r="N3896" s="787">
        <v>5.78</v>
      </c>
      <c r="O3896" s="788">
        <v>42023</v>
      </c>
    </row>
    <row r="3897" spans="1:15" x14ac:dyDescent="0.25">
      <c r="A3897" s="786" t="s">
        <v>7662</v>
      </c>
      <c r="B3897" s="787">
        <v>4</v>
      </c>
      <c r="C3897" s="787" t="s">
        <v>7663</v>
      </c>
      <c r="D3897" s="787">
        <v>0</v>
      </c>
      <c r="E3897" s="787">
        <v>0</v>
      </c>
      <c r="H3897" s="787">
        <v>1</v>
      </c>
      <c r="K3897" s="788">
        <v>41971</v>
      </c>
      <c r="L3897" s="787">
        <v>6.51</v>
      </c>
      <c r="M3897" s="787">
        <v>10</v>
      </c>
      <c r="N3897" s="787">
        <v>6.51</v>
      </c>
      <c r="O3897" s="788">
        <v>41971</v>
      </c>
    </row>
    <row r="3898" spans="1:15" x14ac:dyDescent="0.25">
      <c r="A3898" s="786" t="s">
        <v>7664</v>
      </c>
      <c r="B3898" s="787">
        <v>4</v>
      </c>
      <c r="C3898" s="787" t="s">
        <v>7663</v>
      </c>
      <c r="D3898" s="787">
        <v>0</v>
      </c>
      <c r="E3898" s="787">
        <v>0</v>
      </c>
      <c r="H3898" s="787">
        <v>1</v>
      </c>
      <c r="K3898" s="788">
        <v>41971</v>
      </c>
      <c r="L3898" s="787">
        <v>6.51</v>
      </c>
      <c r="M3898" s="787">
        <v>10</v>
      </c>
      <c r="N3898" s="787">
        <v>6.51</v>
      </c>
      <c r="O3898" s="788">
        <v>41971</v>
      </c>
    </row>
    <row r="3899" spans="1:15" x14ac:dyDescent="0.25">
      <c r="A3899" s="786" t="s">
        <v>7665</v>
      </c>
      <c r="B3899" s="787">
        <v>4</v>
      </c>
      <c r="C3899" s="787" t="s">
        <v>6165</v>
      </c>
      <c r="D3899" s="787">
        <v>0</v>
      </c>
      <c r="E3899" s="787">
        <v>0</v>
      </c>
      <c r="H3899" s="787">
        <v>1</v>
      </c>
      <c r="K3899" s="788">
        <v>41971</v>
      </c>
      <c r="L3899" s="787">
        <v>2.11</v>
      </c>
      <c r="M3899" s="787">
        <v>10</v>
      </c>
      <c r="N3899" s="787">
        <v>2.11</v>
      </c>
      <c r="O3899" s="788">
        <v>41971</v>
      </c>
    </row>
    <row r="3900" spans="1:15" x14ac:dyDescent="0.25">
      <c r="A3900" s="786" t="s">
        <v>7666</v>
      </c>
      <c r="B3900" s="787">
        <v>4</v>
      </c>
      <c r="C3900" s="787" t="s">
        <v>7667</v>
      </c>
      <c r="D3900" s="787">
        <v>0</v>
      </c>
      <c r="E3900" s="787">
        <v>0</v>
      </c>
      <c r="H3900" s="787">
        <v>1</v>
      </c>
      <c r="K3900" s="788">
        <v>41971</v>
      </c>
      <c r="L3900" s="787">
        <v>44.58</v>
      </c>
      <c r="M3900" s="787">
        <v>10</v>
      </c>
      <c r="N3900" s="787">
        <v>44.58</v>
      </c>
      <c r="O3900" s="788">
        <v>41971</v>
      </c>
    </row>
    <row r="3901" spans="1:15" x14ac:dyDescent="0.25">
      <c r="A3901" s="786" t="s">
        <v>7668</v>
      </c>
      <c r="B3901" s="787">
        <v>4</v>
      </c>
      <c r="C3901" s="787" t="s">
        <v>6169</v>
      </c>
      <c r="D3901" s="787">
        <v>3.7</v>
      </c>
      <c r="E3901" s="787">
        <v>3.7</v>
      </c>
      <c r="F3901" s="788">
        <v>41899</v>
      </c>
      <c r="G3901" s="788">
        <v>41907</v>
      </c>
      <c r="H3901" s="787">
        <v>1</v>
      </c>
      <c r="J3901" s="788">
        <v>41907</v>
      </c>
      <c r="K3901" s="788">
        <v>41885</v>
      </c>
      <c r="L3901" s="787">
        <v>3.7</v>
      </c>
      <c r="M3901" s="787">
        <v>20</v>
      </c>
      <c r="N3901" s="787">
        <v>3.98</v>
      </c>
      <c r="O3901" s="788">
        <v>41885</v>
      </c>
    </row>
    <row r="3902" spans="1:15" x14ac:dyDescent="0.25">
      <c r="A3902" s="786" t="s">
        <v>7669</v>
      </c>
      <c r="B3902" s="787">
        <v>4</v>
      </c>
      <c r="C3902" s="787" t="s">
        <v>6173</v>
      </c>
      <c r="D3902" s="787">
        <v>0</v>
      </c>
      <c r="E3902" s="787">
        <v>0</v>
      </c>
      <c r="H3902" s="787">
        <v>1</v>
      </c>
      <c r="K3902" s="788">
        <v>42023</v>
      </c>
      <c r="L3902" s="787">
        <v>5.78</v>
      </c>
      <c r="M3902" s="787">
        <v>10</v>
      </c>
      <c r="N3902" s="787">
        <v>5.78</v>
      </c>
      <c r="O3902" s="788">
        <v>42023</v>
      </c>
    </row>
    <row r="3903" spans="1:15" x14ac:dyDescent="0.25">
      <c r="A3903" s="786" t="s">
        <v>7670</v>
      </c>
      <c r="B3903" s="787">
        <v>4</v>
      </c>
      <c r="C3903" s="787" t="s">
        <v>6175</v>
      </c>
      <c r="D3903" s="787">
        <v>0</v>
      </c>
      <c r="E3903" s="787">
        <v>0</v>
      </c>
      <c r="H3903" s="787">
        <v>1</v>
      </c>
      <c r="K3903" s="788">
        <v>41971</v>
      </c>
      <c r="L3903" s="787">
        <v>3.59</v>
      </c>
      <c r="M3903" s="787">
        <v>10</v>
      </c>
      <c r="N3903" s="787">
        <v>3.59</v>
      </c>
      <c r="O3903" s="788">
        <v>41971</v>
      </c>
    </row>
    <row r="3904" spans="1:15" x14ac:dyDescent="0.25">
      <c r="A3904" s="786" t="s">
        <v>7671</v>
      </c>
      <c r="B3904" s="787">
        <v>4</v>
      </c>
      <c r="C3904" s="787" t="s">
        <v>7672</v>
      </c>
      <c r="D3904" s="787">
        <v>7.3</v>
      </c>
      <c r="E3904" s="787">
        <v>37.299999999999997</v>
      </c>
      <c r="F3904" s="788">
        <v>41899</v>
      </c>
      <c r="G3904" s="788">
        <v>41907</v>
      </c>
      <c r="H3904" s="787">
        <v>1</v>
      </c>
      <c r="J3904" s="788">
        <v>41907</v>
      </c>
      <c r="K3904" s="788">
        <v>41885</v>
      </c>
      <c r="L3904" s="787">
        <v>37.299999999999997</v>
      </c>
      <c r="M3904" s="787">
        <v>20</v>
      </c>
      <c r="N3904" s="787">
        <v>40.1</v>
      </c>
      <c r="O3904" s="788">
        <v>41885</v>
      </c>
    </row>
    <row r="3905" spans="1:15" x14ac:dyDescent="0.25">
      <c r="A3905" s="786" t="s">
        <v>7673</v>
      </c>
      <c r="B3905" s="787">
        <v>4</v>
      </c>
      <c r="C3905" s="787" t="s">
        <v>7674</v>
      </c>
      <c r="D3905" s="787">
        <v>4.7699999999999996</v>
      </c>
      <c r="E3905" s="787">
        <v>24.77</v>
      </c>
      <c r="F3905" s="788">
        <v>41813</v>
      </c>
      <c r="G3905" s="788">
        <v>42013</v>
      </c>
      <c r="H3905" s="787">
        <v>1</v>
      </c>
      <c r="J3905" s="788">
        <v>41785</v>
      </c>
      <c r="L3905" s="787">
        <v>1</v>
      </c>
      <c r="M3905" s="787">
        <v>10</v>
      </c>
      <c r="N3905" s="787">
        <v>29.25</v>
      </c>
      <c r="O3905" s="788">
        <v>41858</v>
      </c>
    </row>
    <row r="3906" spans="1:15" x14ac:dyDescent="0.25">
      <c r="A3906" s="786" t="s">
        <v>7675</v>
      </c>
      <c r="B3906" s="787">
        <v>4</v>
      </c>
      <c r="C3906" s="787" t="s">
        <v>7676</v>
      </c>
      <c r="D3906" s="787">
        <v>7.3</v>
      </c>
      <c r="E3906" s="787">
        <v>47.3</v>
      </c>
      <c r="F3906" s="788">
        <v>41899</v>
      </c>
      <c r="G3906" s="788">
        <v>41907</v>
      </c>
      <c r="H3906" s="787">
        <v>1</v>
      </c>
      <c r="J3906" s="788">
        <v>41907</v>
      </c>
      <c r="K3906" s="788">
        <v>41885</v>
      </c>
      <c r="L3906" s="787">
        <v>47.3</v>
      </c>
      <c r="M3906" s="787">
        <v>20</v>
      </c>
      <c r="N3906" s="787">
        <v>50.85</v>
      </c>
      <c r="O3906" s="788">
        <v>41885</v>
      </c>
    </row>
    <row r="3907" spans="1:15" x14ac:dyDescent="0.25">
      <c r="A3907" s="786" t="s">
        <v>7677</v>
      </c>
      <c r="B3907" s="787">
        <v>4</v>
      </c>
      <c r="C3907" s="787" t="s">
        <v>6179</v>
      </c>
      <c r="D3907" s="787">
        <v>0</v>
      </c>
      <c r="E3907" s="787">
        <v>0</v>
      </c>
      <c r="H3907" s="787">
        <v>1</v>
      </c>
      <c r="K3907" s="788">
        <v>42021</v>
      </c>
      <c r="L3907" s="787">
        <v>6.87</v>
      </c>
      <c r="M3907" s="787">
        <v>10</v>
      </c>
      <c r="N3907" s="787">
        <v>6.87</v>
      </c>
      <c r="O3907" s="788">
        <v>42023</v>
      </c>
    </row>
    <row r="3908" spans="1:15" x14ac:dyDescent="0.25">
      <c r="A3908" s="786" t="s">
        <v>7678</v>
      </c>
      <c r="B3908" s="787">
        <v>4</v>
      </c>
      <c r="C3908" s="787" t="s">
        <v>6181</v>
      </c>
      <c r="D3908" s="787">
        <v>0</v>
      </c>
      <c r="E3908" s="787">
        <v>0</v>
      </c>
      <c r="H3908" s="787">
        <v>1</v>
      </c>
      <c r="K3908" s="788">
        <v>41996</v>
      </c>
      <c r="L3908" s="787">
        <v>70</v>
      </c>
      <c r="M3908" s="787">
        <v>10</v>
      </c>
      <c r="N3908" s="787">
        <v>70.67</v>
      </c>
      <c r="O3908" s="788">
        <v>41996</v>
      </c>
    </row>
    <row r="3909" spans="1:15" x14ac:dyDescent="0.25">
      <c r="A3909" s="786" t="s">
        <v>7679</v>
      </c>
      <c r="B3909" s="787">
        <v>4</v>
      </c>
      <c r="C3909" s="787" t="s">
        <v>6183</v>
      </c>
      <c r="D3909" s="787">
        <v>0</v>
      </c>
      <c r="E3909" s="787">
        <v>0</v>
      </c>
      <c r="H3909" s="787">
        <v>1</v>
      </c>
      <c r="K3909" s="788">
        <v>41971</v>
      </c>
      <c r="L3909" s="787">
        <v>28.73</v>
      </c>
      <c r="M3909" s="787">
        <v>10</v>
      </c>
      <c r="N3909" s="787">
        <v>28.73</v>
      </c>
      <c r="O3909" s="788">
        <v>41971</v>
      </c>
    </row>
    <row r="3910" spans="1:15" x14ac:dyDescent="0.25">
      <c r="A3910" s="786" t="s">
        <v>7680</v>
      </c>
      <c r="B3910" s="787">
        <v>4</v>
      </c>
      <c r="C3910" s="787" t="s">
        <v>5968</v>
      </c>
      <c r="D3910" s="787">
        <v>0</v>
      </c>
      <c r="E3910" s="787">
        <v>0</v>
      </c>
      <c r="H3910" s="787">
        <v>1</v>
      </c>
      <c r="K3910" s="788">
        <v>41961</v>
      </c>
      <c r="L3910" s="787">
        <v>31.1</v>
      </c>
      <c r="M3910" s="787">
        <v>10</v>
      </c>
      <c r="N3910" s="787">
        <v>31.38</v>
      </c>
      <c r="O3910" s="788">
        <v>42060</v>
      </c>
    </row>
    <row r="3911" spans="1:15" x14ac:dyDescent="0.25">
      <c r="A3911" s="786" t="s">
        <v>7681</v>
      </c>
      <c r="B3911" s="787">
        <v>4</v>
      </c>
      <c r="C3911" s="787" t="s">
        <v>7682</v>
      </c>
      <c r="D3911" s="787">
        <v>0</v>
      </c>
      <c r="E3911" s="787">
        <v>0</v>
      </c>
      <c r="H3911" s="787">
        <v>1</v>
      </c>
      <c r="K3911" s="788">
        <v>42060</v>
      </c>
      <c r="L3911" s="787">
        <v>24.96</v>
      </c>
      <c r="M3911" s="787">
        <v>10</v>
      </c>
      <c r="N3911" s="787">
        <v>24.96</v>
      </c>
      <c r="O3911" s="788">
        <v>42060</v>
      </c>
    </row>
    <row r="3912" spans="1:15" x14ac:dyDescent="0.25">
      <c r="A3912" s="786" t="s">
        <v>7683</v>
      </c>
      <c r="B3912" s="787">
        <v>4</v>
      </c>
      <c r="C3912" s="787" t="s">
        <v>6189</v>
      </c>
      <c r="D3912" s="787">
        <v>0</v>
      </c>
      <c r="E3912" s="787">
        <v>0</v>
      </c>
      <c r="H3912" s="787">
        <v>1</v>
      </c>
      <c r="K3912" s="788">
        <v>42164</v>
      </c>
      <c r="L3912" s="787">
        <v>23.89</v>
      </c>
      <c r="M3912" s="787">
        <v>10</v>
      </c>
      <c r="N3912" s="787">
        <v>23.89</v>
      </c>
      <c r="O3912" s="788">
        <v>42164</v>
      </c>
    </row>
    <row r="3913" spans="1:15" x14ac:dyDescent="0.25">
      <c r="A3913" s="786" t="s">
        <v>7684</v>
      </c>
      <c r="B3913" s="787">
        <v>4</v>
      </c>
      <c r="C3913" s="787" t="s">
        <v>6191</v>
      </c>
      <c r="D3913" s="787">
        <v>0</v>
      </c>
      <c r="E3913" s="787">
        <v>0</v>
      </c>
      <c r="H3913" s="787">
        <v>1</v>
      </c>
      <c r="K3913" s="788">
        <v>42166</v>
      </c>
      <c r="L3913" s="787">
        <v>47.34</v>
      </c>
      <c r="M3913" s="787">
        <v>10</v>
      </c>
      <c r="N3913" s="787">
        <v>47.34</v>
      </c>
      <c r="O3913" s="788">
        <v>42166</v>
      </c>
    </row>
    <row r="3914" spans="1:15" x14ac:dyDescent="0.25">
      <c r="A3914" s="786" t="s">
        <v>7685</v>
      </c>
      <c r="B3914" s="787">
        <v>4</v>
      </c>
      <c r="C3914" s="787" t="s">
        <v>7036</v>
      </c>
      <c r="D3914" s="787">
        <v>0</v>
      </c>
      <c r="E3914" s="787">
        <v>0</v>
      </c>
      <c r="H3914" s="787">
        <v>1</v>
      </c>
      <c r="L3914" s="787">
        <v>1</v>
      </c>
      <c r="M3914" s="787">
        <v>10</v>
      </c>
      <c r="N3914" s="787">
        <v>3.17</v>
      </c>
      <c r="O3914" s="788">
        <v>41858</v>
      </c>
    </row>
    <row r="3915" spans="1:15" x14ac:dyDescent="0.25">
      <c r="A3915" s="786" t="s">
        <v>7686</v>
      </c>
      <c r="B3915" s="787">
        <v>4</v>
      </c>
      <c r="C3915" s="787" t="s">
        <v>7687</v>
      </c>
      <c r="D3915" s="787">
        <v>9.7799999999999994</v>
      </c>
      <c r="E3915" s="787">
        <v>19.78</v>
      </c>
      <c r="F3915" s="788">
        <v>42103</v>
      </c>
      <c r="G3915" s="788">
        <v>42103</v>
      </c>
      <c r="H3915" s="787">
        <v>1</v>
      </c>
      <c r="J3915" s="788">
        <v>42079</v>
      </c>
      <c r="K3915" s="788">
        <v>41843</v>
      </c>
      <c r="L3915" s="787">
        <v>4.18</v>
      </c>
      <c r="M3915" s="787">
        <v>10</v>
      </c>
      <c r="N3915" s="787">
        <v>4.16</v>
      </c>
      <c r="O3915" s="788">
        <v>41858</v>
      </c>
    </row>
    <row r="3916" spans="1:15" x14ac:dyDescent="0.25">
      <c r="A3916" s="786" t="s">
        <v>7688</v>
      </c>
      <c r="B3916" s="787">
        <v>4</v>
      </c>
      <c r="C3916" s="787" t="s">
        <v>7689</v>
      </c>
      <c r="D3916" s="787">
        <v>0.15</v>
      </c>
      <c r="E3916" s="787">
        <v>16.09</v>
      </c>
      <c r="F3916" s="788">
        <v>42101</v>
      </c>
      <c r="G3916" s="788">
        <v>42109</v>
      </c>
      <c r="H3916" s="787">
        <v>1</v>
      </c>
      <c r="I3916" s="788">
        <v>42088</v>
      </c>
      <c r="J3916" s="788">
        <v>42080</v>
      </c>
      <c r="K3916" s="788">
        <v>41843</v>
      </c>
      <c r="L3916" s="787">
        <v>3.9</v>
      </c>
      <c r="M3916" s="787">
        <v>10</v>
      </c>
      <c r="N3916" s="787">
        <v>11.24</v>
      </c>
      <c r="O3916" s="788">
        <v>42066</v>
      </c>
    </row>
    <row r="3917" spans="1:15" x14ac:dyDescent="0.25">
      <c r="A3917" s="786" t="s">
        <v>7690</v>
      </c>
      <c r="B3917" s="787">
        <v>4</v>
      </c>
      <c r="C3917" s="787" t="s">
        <v>7691</v>
      </c>
      <c r="D3917" s="787">
        <v>0.53</v>
      </c>
      <c r="E3917" s="787">
        <v>20.53</v>
      </c>
      <c r="F3917" s="788">
        <v>42122</v>
      </c>
      <c r="G3917" s="788">
        <v>42122</v>
      </c>
      <c r="H3917" s="787">
        <v>1</v>
      </c>
      <c r="J3917" s="788">
        <v>42090</v>
      </c>
      <c r="K3917" s="788">
        <v>41843</v>
      </c>
      <c r="L3917" s="787">
        <v>27.57</v>
      </c>
      <c r="M3917" s="787">
        <v>10</v>
      </c>
      <c r="N3917" s="787">
        <v>36.369999999999997</v>
      </c>
      <c r="O3917" s="788">
        <v>42066</v>
      </c>
    </row>
    <row r="3918" spans="1:15" x14ac:dyDescent="0.25">
      <c r="A3918" s="786" t="s">
        <v>7692</v>
      </c>
      <c r="B3918" s="787">
        <v>4</v>
      </c>
      <c r="C3918" s="787" t="s">
        <v>7693</v>
      </c>
      <c r="D3918" s="787">
        <v>1.69</v>
      </c>
      <c r="E3918" s="787">
        <v>51.69</v>
      </c>
      <c r="F3918" s="788">
        <v>42095</v>
      </c>
      <c r="G3918" s="788">
        <v>42095</v>
      </c>
      <c r="H3918" s="787">
        <v>1</v>
      </c>
      <c r="I3918" s="788">
        <v>42066</v>
      </c>
      <c r="J3918" s="788">
        <v>42066</v>
      </c>
      <c r="K3918" s="788">
        <v>41849</v>
      </c>
      <c r="L3918" s="787">
        <v>6.95</v>
      </c>
      <c r="M3918" s="787">
        <v>10</v>
      </c>
      <c r="N3918" s="787">
        <v>13.44</v>
      </c>
      <c r="O3918" s="788">
        <v>42060</v>
      </c>
    </row>
    <row r="3919" spans="1:15" x14ac:dyDescent="0.25">
      <c r="A3919" s="786" t="s">
        <v>7694</v>
      </c>
      <c r="B3919" s="787">
        <v>4</v>
      </c>
      <c r="C3919" s="787" t="s">
        <v>7046</v>
      </c>
      <c r="D3919" s="787">
        <v>7.86</v>
      </c>
      <c r="E3919" s="787">
        <v>7.86</v>
      </c>
      <c r="F3919" s="788">
        <v>42095</v>
      </c>
      <c r="G3919" s="788">
        <v>42095</v>
      </c>
      <c r="H3919" s="787">
        <v>1</v>
      </c>
      <c r="I3919" s="788">
        <v>42066</v>
      </c>
      <c r="J3919" s="788">
        <v>42066</v>
      </c>
      <c r="K3919" s="788">
        <v>41849</v>
      </c>
      <c r="L3919" s="787">
        <v>6.93</v>
      </c>
      <c r="M3919" s="787">
        <v>10</v>
      </c>
      <c r="N3919" s="787">
        <v>13.45</v>
      </c>
      <c r="O3919" s="788">
        <v>42060</v>
      </c>
    </row>
    <row r="3920" spans="1:15" x14ac:dyDescent="0.25">
      <c r="A3920" s="786" t="s">
        <v>7695</v>
      </c>
      <c r="B3920" s="787">
        <v>4</v>
      </c>
      <c r="C3920" s="787" t="s">
        <v>7696</v>
      </c>
      <c r="D3920" s="787">
        <v>7.28</v>
      </c>
      <c r="E3920" s="787">
        <v>27.28</v>
      </c>
      <c r="F3920" s="788">
        <v>42101</v>
      </c>
      <c r="G3920" s="788">
        <v>42101</v>
      </c>
      <c r="H3920" s="787">
        <v>1</v>
      </c>
      <c r="I3920" s="788">
        <v>41876</v>
      </c>
      <c r="J3920" s="788">
        <v>42066</v>
      </c>
      <c r="K3920" s="788">
        <v>41849</v>
      </c>
      <c r="L3920" s="787">
        <v>21.57</v>
      </c>
      <c r="M3920" s="787">
        <v>10</v>
      </c>
      <c r="N3920" s="787">
        <v>30.83</v>
      </c>
      <c r="O3920" s="788">
        <v>42060</v>
      </c>
    </row>
    <row r="3921" spans="1:15" x14ac:dyDescent="0.25">
      <c r="A3921" s="786" t="s">
        <v>7697</v>
      </c>
      <c r="B3921" s="787">
        <v>4</v>
      </c>
      <c r="C3921" s="787" t="s">
        <v>7698</v>
      </c>
      <c r="D3921" s="787">
        <v>7.01</v>
      </c>
      <c r="E3921" s="787">
        <v>557.67999999999995</v>
      </c>
      <c r="F3921" s="788">
        <v>41906</v>
      </c>
      <c r="G3921" s="788">
        <v>41906</v>
      </c>
      <c r="H3921" s="787">
        <v>1</v>
      </c>
      <c r="I3921" s="788">
        <v>41879</v>
      </c>
      <c r="J3921" s="788">
        <v>41876</v>
      </c>
      <c r="K3921" s="788">
        <v>41849</v>
      </c>
      <c r="L3921" s="787">
        <v>633.98</v>
      </c>
      <c r="M3921" s="787">
        <v>10</v>
      </c>
      <c r="N3921" s="787">
        <v>679.22</v>
      </c>
      <c r="O3921" s="788">
        <v>42060</v>
      </c>
    </row>
    <row r="3922" spans="1:15" x14ac:dyDescent="0.25">
      <c r="A3922" s="786" t="s">
        <v>7699</v>
      </c>
      <c r="B3922" s="787">
        <v>4</v>
      </c>
      <c r="C3922" s="787" t="s">
        <v>7052</v>
      </c>
      <c r="D3922" s="787">
        <v>6.41</v>
      </c>
      <c r="E3922" s="787">
        <v>6.41</v>
      </c>
      <c r="F3922" s="788">
        <v>41873</v>
      </c>
      <c r="G3922" s="788">
        <v>41870</v>
      </c>
      <c r="H3922" s="787">
        <v>1</v>
      </c>
      <c r="I3922" s="788">
        <v>41879</v>
      </c>
      <c r="J3922" s="788">
        <v>41870</v>
      </c>
      <c r="K3922" s="788">
        <v>41857</v>
      </c>
      <c r="L3922" s="787">
        <v>6.41</v>
      </c>
      <c r="M3922" s="787">
        <v>20</v>
      </c>
      <c r="N3922" s="787">
        <v>6.89</v>
      </c>
      <c r="O3922" s="788">
        <v>41858</v>
      </c>
    </row>
    <row r="3923" spans="1:15" x14ac:dyDescent="0.25">
      <c r="A3923" s="786" t="s">
        <v>7700</v>
      </c>
      <c r="B3923" s="787">
        <v>4</v>
      </c>
      <c r="C3923" s="787" t="s">
        <v>7054</v>
      </c>
      <c r="D3923" s="787">
        <v>5.82</v>
      </c>
      <c r="E3923" s="787">
        <v>5.82</v>
      </c>
      <c r="F3923" s="788">
        <v>41873</v>
      </c>
      <c r="G3923" s="788">
        <v>41870</v>
      </c>
      <c r="H3923" s="787">
        <v>1</v>
      </c>
      <c r="I3923" s="788">
        <v>41879</v>
      </c>
      <c r="J3923" s="788">
        <v>41870</v>
      </c>
      <c r="K3923" s="788">
        <v>41857</v>
      </c>
      <c r="L3923" s="787">
        <v>5.82</v>
      </c>
      <c r="M3923" s="787">
        <v>20</v>
      </c>
      <c r="N3923" s="787">
        <v>6.26</v>
      </c>
      <c r="O3923" s="788">
        <v>41858</v>
      </c>
    </row>
    <row r="3924" spans="1:15" x14ac:dyDescent="0.25">
      <c r="A3924" s="786" t="s">
        <v>7701</v>
      </c>
      <c r="B3924" s="787">
        <v>4</v>
      </c>
      <c r="C3924" s="787" t="s">
        <v>7056</v>
      </c>
      <c r="D3924" s="787">
        <v>0</v>
      </c>
      <c r="E3924" s="787">
        <v>0</v>
      </c>
      <c r="H3924" s="787">
        <v>1</v>
      </c>
      <c r="L3924" s="787">
        <v>1</v>
      </c>
      <c r="M3924" s="787">
        <v>20</v>
      </c>
      <c r="N3924" s="787">
        <v>1.08</v>
      </c>
      <c r="O3924" s="788">
        <v>41858</v>
      </c>
    </row>
    <row r="3925" spans="1:15" x14ac:dyDescent="0.25">
      <c r="A3925" s="786" t="s">
        <v>7702</v>
      </c>
      <c r="B3925" s="787">
        <v>4</v>
      </c>
      <c r="C3925" s="787" t="s">
        <v>7058</v>
      </c>
      <c r="D3925" s="787">
        <v>6.58</v>
      </c>
      <c r="E3925" s="787">
        <v>6.58</v>
      </c>
      <c r="F3925" s="788">
        <v>41873</v>
      </c>
      <c r="G3925" s="788">
        <v>41870</v>
      </c>
      <c r="H3925" s="787">
        <v>1</v>
      </c>
      <c r="I3925" s="788">
        <v>41879</v>
      </c>
      <c r="J3925" s="788">
        <v>41870</v>
      </c>
      <c r="K3925" s="788">
        <v>41857</v>
      </c>
      <c r="L3925" s="787">
        <v>6.58</v>
      </c>
      <c r="M3925" s="787">
        <v>20</v>
      </c>
      <c r="N3925" s="787">
        <v>7.07</v>
      </c>
      <c r="O3925" s="788">
        <v>41858</v>
      </c>
    </row>
    <row r="3926" spans="1:15" x14ac:dyDescent="0.25">
      <c r="A3926" s="786" t="s">
        <v>7703</v>
      </c>
      <c r="B3926" s="787">
        <v>4</v>
      </c>
      <c r="C3926" s="787" t="s">
        <v>7704</v>
      </c>
      <c r="D3926" s="787">
        <v>4.01</v>
      </c>
      <c r="E3926" s="787">
        <v>14.01</v>
      </c>
      <c r="F3926" s="788">
        <v>41873</v>
      </c>
      <c r="G3926" s="788">
        <v>41870</v>
      </c>
      <c r="H3926" s="787">
        <v>1</v>
      </c>
      <c r="I3926" s="788">
        <v>41879</v>
      </c>
      <c r="J3926" s="788">
        <v>41870</v>
      </c>
      <c r="K3926" s="788">
        <v>41857</v>
      </c>
      <c r="L3926" s="787">
        <v>14.01</v>
      </c>
      <c r="M3926" s="787">
        <v>20</v>
      </c>
      <c r="N3926" s="787">
        <v>15.06</v>
      </c>
      <c r="O3926" s="788">
        <v>41996</v>
      </c>
    </row>
    <row r="3927" spans="1:15" x14ac:dyDescent="0.25">
      <c r="A3927" s="786" t="s">
        <v>7705</v>
      </c>
      <c r="B3927" s="787">
        <v>4</v>
      </c>
      <c r="C3927" s="787" t="s">
        <v>7706</v>
      </c>
      <c r="D3927" s="787">
        <v>1.26</v>
      </c>
      <c r="E3927" s="787">
        <v>11.26</v>
      </c>
      <c r="F3927" s="788">
        <v>41873</v>
      </c>
      <c r="G3927" s="788">
        <v>41870</v>
      </c>
      <c r="H3927" s="787">
        <v>1</v>
      </c>
      <c r="I3927" s="788">
        <v>41879</v>
      </c>
      <c r="J3927" s="788">
        <v>41870</v>
      </c>
      <c r="K3927" s="788">
        <v>41857</v>
      </c>
      <c r="L3927" s="787">
        <v>11.26</v>
      </c>
      <c r="M3927" s="787">
        <v>20</v>
      </c>
      <c r="N3927" s="787">
        <v>12.1</v>
      </c>
      <c r="O3927" s="788">
        <v>41996</v>
      </c>
    </row>
    <row r="3928" spans="1:15" x14ac:dyDescent="0.25">
      <c r="A3928" s="786" t="s">
        <v>7707</v>
      </c>
      <c r="B3928" s="787">
        <v>4</v>
      </c>
      <c r="C3928" s="787" t="s">
        <v>7708</v>
      </c>
      <c r="D3928" s="787">
        <v>0</v>
      </c>
      <c r="E3928" s="787">
        <v>0</v>
      </c>
      <c r="H3928" s="787">
        <v>1</v>
      </c>
      <c r="K3928" s="788">
        <v>41996</v>
      </c>
      <c r="L3928" s="787">
        <v>61.93</v>
      </c>
      <c r="M3928" s="787">
        <v>10</v>
      </c>
      <c r="N3928" s="787">
        <v>61.93</v>
      </c>
      <c r="O3928" s="788">
        <v>41996</v>
      </c>
    </row>
    <row r="3929" spans="1:15" x14ac:dyDescent="0.25">
      <c r="A3929" s="786" t="s">
        <v>7709</v>
      </c>
      <c r="B3929" s="787">
        <v>4</v>
      </c>
      <c r="C3929" s="787" t="s">
        <v>7710</v>
      </c>
      <c r="D3929" s="787">
        <v>0</v>
      </c>
      <c r="E3929" s="787">
        <v>0</v>
      </c>
      <c r="H3929" s="787">
        <v>1</v>
      </c>
      <c r="K3929" s="788">
        <v>41850</v>
      </c>
      <c r="L3929" s="787">
        <v>23.66</v>
      </c>
      <c r="M3929" s="787">
        <v>10</v>
      </c>
      <c r="N3929" s="787">
        <v>27.02</v>
      </c>
      <c r="O3929" s="788">
        <v>41955</v>
      </c>
    </row>
    <row r="3930" spans="1:15" x14ac:dyDescent="0.25">
      <c r="A3930" s="786" t="s">
        <v>7711</v>
      </c>
      <c r="B3930" s="787">
        <v>4</v>
      </c>
      <c r="C3930" s="787" t="s">
        <v>7068</v>
      </c>
      <c r="D3930" s="787">
        <v>3.04</v>
      </c>
      <c r="E3930" s="787">
        <v>3.04</v>
      </c>
      <c r="F3930" s="788">
        <v>41873</v>
      </c>
      <c r="G3930" s="788">
        <v>41870</v>
      </c>
      <c r="H3930" s="787">
        <v>1</v>
      </c>
      <c r="I3930" s="788">
        <v>41879</v>
      </c>
      <c r="J3930" s="788">
        <v>42165</v>
      </c>
      <c r="K3930" s="788">
        <v>41857</v>
      </c>
      <c r="L3930" s="787">
        <v>3.04</v>
      </c>
      <c r="M3930" s="787">
        <v>20</v>
      </c>
      <c r="N3930" s="787">
        <v>3.27</v>
      </c>
      <c r="O3930" s="788">
        <v>41955</v>
      </c>
    </row>
    <row r="3931" spans="1:15" x14ac:dyDescent="0.25">
      <c r="A3931" s="786" t="s">
        <v>7712</v>
      </c>
      <c r="B3931" s="787">
        <v>4</v>
      </c>
      <c r="C3931" s="787" t="s">
        <v>7070</v>
      </c>
      <c r="D3931" s="787">
        <v>8.35</v>
      </c>
      <c r="E3931" s="787">
        <v>8.35</v>
      </c>
      <c r="F3931" s="788">
        <v>41873</v>
      </c>
      <c r="G3931" s="788">
        <v>41870</v>
      </c>
      <c r="H3931" s="787">
        <v>1</v>
      </c>
      <c r="I3931" s="788">
        <v>42166</v>
      </c>
      <c r="J3931" s="788">
        <v>41870</v>
      </c>
      <c r="K3931" s="788">
        <v>41857</v>
      </c>
      <c r="L3931" s="787">
        <v>8.35</v>
      </c>
      <c r="M3931" s="787">
        <v>20</v>
      </c>
      <c r="N3931" s="787">
        <v>8.98</v>
      </c>
      <c r="O3931" s="788">
        <v>41955</v>
      </c>
    </row>
    <row r="3932" spans="1:15" x14ac:dyDescent="0.25">
      <c r="A3932" s="786" t="s">
        <v>511</v>
      </c>
      <c r="B3932" s="787">
        <v>4</v>
      </c>
      <c r="C3932" s="787" t="s">
        <v>7713</v>
      </c>
      <c r="D3932" s="787">
        <v>1.2</v>
      </c>
      <c r="E3932" s="787">
        <v>31.2</v>
      </c>
      <c r="F3932" s="788">
        <v>41873</v>
      </c>
      <c r="G3932" s="788">
        <v>41870</v>
      </c>
      <c r="H3932" s="787">
        <v>1</v>
      </c>
      <c r="I3932" s="788">
        <v>41879</v>
      </c>
      <c r="J3932" s="788">
        <v>41870</v>
      </c>
      <c r="K3932" s="788">
        <v>41857</v>
      </c>
      <c r="L3932" s="787">
        <v>31.2</v>
      </c>
      <c r="M3932" s="787">
        <v>20</v>
      </c>
      <c r="N3932" s="787">
        <v>33.54</v>
      </c>
      <c r="O3932" s="788">
        <v>41858</v>
      </c>
    </row>
    <row r="3933" spans="1:15" x14ac:dyDescent="0.25">
      <c r="A3933" s="786" t="s">
        <v>7714</v>
      </c>
      <c r="B3933" s="787">
        <v>4</v>
      </c>
      <c r="C3933" s="787" t="s">
        <v>7073</v>
      </c>
      <c r="D3933" s="787">
        <v>0</v>
      </c>
      <c r="E3933" s="787">
        <v>0</v>
      </c>
      <c r="H3933" s="787">
        <v>1</v>
      </c>
      <c r="L3933" s="787">
        <v>1</v>
      </c>
      <c r="M3933" s="787">
        <v>20</v>
      </c>
      <c r="N3933" s="787">
        <v>1.08</v>
      </c>
      <c r="O3933" s="788">
        <v>41858</v>
      </c>
    </row>
    <row r="3934" spans="1:15" x14ac:dyDescent="0.25">
      <c r="A3934" s="786" t="s">
        <v>7715</v>
      </c>
      <c r="B3934" s="787">
        <v>4</v>
      </c>
      <c r="C3934" s="787" t="s">
        <v>7075</v>
      </c>
      <c r="D3934" s="787">
        <v>0</v>
      </c>
      <c r="E3934" s="787">
        <v>0</v>
      </c>
      <c r="H3934" s="787">
        <v>1</v>
      </c>
      <c r="K3934" s="788">
        <v>41849</v>
      </c>
      <c r="L3934" s="787">
        <v>3.41</v>
      </c>
      <c r="M3934" s="787">
        <v>10</v>
      </c>
      <c r="N3934" s="787">
        <v>3.41</v>
      </c>
      <c r="O3934" s="788">
        <v>42034</v>
      </c>
    </row>
    <row r="3935" spans="1:15" x14ac:dyDescent="0.25">
      <c r="A3935" s="786" t="s">
        <v>7716</v>
      </c>
      <c r="B3935" s="787">
        <v>4</v>
      </c>
      <c r="C3935" s="787" t="s">
        <v>7077</v>
      </c>
      <c r="D3935" s="787">
        <v>0</v>
      </c>
      <c r="E3935" s="787">
        <v>0</v>
      </c>
      <c r="H3935" s="787">
        <v>1</v>
      </c>
      <c r="K3935" s="788">
        <v>41849</v>
      </c>
      <c r="L3935" s="787">
        <v>2.25</v>
      </c>
      <c r="M3935" s="787">
        <v>10</v>
      </c>
      <c r="N3935" s="787">
        <v>2.2200000000000002</v>
      </c>
      <c r="O3935" s="788">
        <v>42034</v>
      </c>
    </row>
    <row r="3936" spans="1:15" x14ac:dyDescent="0.25">
      <c r="A3936" s="786" t="s">
        <v>7717</v>
      </c>
      <c r="B3936" s="787">
        <v>4</v>
      </c>
      <c r="C3936" s="787" t="s">
        <v>7079</v>
      </c>
      <c r="D3936" s="787">
        <v>0</v>
      </c>
      <c r="E3936" s="787">
        <v>0</v>
      </c>
      <c r="H3936" s="787">
        <v>1</v>
      </c>
      <c r="L3936" s="787">
        <v>1</v>
      </c>
      <c r="M3936" s="787">
        <v>10</v>
      </c>
      <c r="N3936" s="787">
        <v>8.6</v>
      </c>
      <c r="O3936" s="788">
        <v>42035</v>
      </c>
    </row>
    <row r="3937" spans="1:15" x14ac:dyDescent="0.25">
      <c r="A3937" s="786" t="s">
        <v>7718</v>
      </c>
      <c r="B3937" s="787">
        <v>4</v>
      </c>
      <c r="C3937" s="787" t="s">
        <v>7081</v>
      </c>
      <c r="D3937" s="787">
        <v>0</v>
      </c>
      <c r="E3937" s="787">
        <v>0</v>
      </c>
      <c r="H3937" s="787">
        <v>1</v>
      </c>
      <c r="K3937" s="788">
        <v>41849</v>
      </c>
      <c r="L3937" s="787">
        <v>2.64</v>
      </c>
      <c r="M3937" s="787">
        <v>10</v>
      </c>
      <c r="N3937" s="787">
        <v>2.64</v>
      </c>
      <c r="O3937" s="788">
        <v>42034</v>
      </c>
    </row>
    <row r="3938" spans="1:15" x14ac:dyDescent="0.25">
      <c r="A3938" s="786" t="s">
        <v>7719</v>
      </c>
      <c r="B3938" s="787">
        <v>4</v>
      </c>
      <c r="C3938" s="787" t="s">
        <v>7083</v>
      </c>
      <c r="D3938" s="787">
        <v>0</v>
      </c>
      <c r="E3938" s="787">
        <v>0</v>
      </c>
      <c r="H3938" s="787">
        <v>1</v>
      </c>
      <c r="K3938" s="788">
        <v>41849</v>
      </c>
      <c r="L3938" s="787">
        <v>2.39</v>
      </c>
      <c r="M3938" s="787">
        <v>10</v>
      </c>
      <c r="N3938" s="787">
        <v>2.38</v>
      </c>
      <c r="O3938" s="788">
        <v>42035</v>
      </c>
    </row>
    <row r="3939" spans="1:15" x14ac:dyDescent="0.25">
      <c r="A3939" s="786" t="s">
        <v>513</v>
      </c>
      <c r="B3939" s="787">
        <v>4</v>
      </c>
      <c r="C3939" s="787" t="s">
        <v>7720</v>
      </c>
      <c r="D3939" s="787">
        <v>2.5</v>
      </c>
      <c r="E3939" s="787">
        <v>42.5</v>
      </c>
      <c r="F3939" s="788">
        <v>41873</v>
      </c>
      <c r="G3939" s="788">
        <v>41870</v>
      </c>
      <c r="H3939" s="787">
        <v>1</v>
      </c>
      <c r="I3939" s="788">
        <v>42032</v>
      </c>
      <c r="J3939" s="788">
        <v>41870</v>
      </c>
      <c r="K3939" s="788">
        <v>41857</v>
      </c>
      <c r="L3939" s="787">
        <v>42.5</v>
      </c>
      <c r="M3939" s="787">
        <v>20</v>
      </c>
      <c r="N3939" s="787">
        <v>45.69</v>
      </c>
      <c r="O3939" s="788">
        <v>41858</v>
      </c>
    </row>
    <row r="3940" spans="1:15" x14ac:dyDescent="0.25">
      <c r="A3940" s="786" t="s">
        <v>515</v>
      </c>
      <c r="B3940" s="787">
        <v>4</v>
      </c>
      <c r="C3940" s="787" t="s">
        <v>7721</v>
      </c>
      <c r="D3940" s="787">
        <v>6</v>
      </c>
      <c r="E3940" s="787">
        <v>46</v>
      </c>
      <c r="F3940" s="788">
        <v>41873</v>
      </c>
      <c r="G3940" s="788">
        <v>41870</v>
      </c>
      <c r="H3940" s="787">
        <v>1</v>
      </c>
      <c r="I3940" s="788">
        <v>42032</v>
      </c>
      <c r="J3940" s="788">
        <v>41870</v>
      </c>
      <c r="K3940" s="788">
        <v>41857</v>
      </c>
      <c r="L3940" s="787">
        <v>46</v>
      </c>
      <c r="M3940" s="787">
        <v>20</v>
      </c>
      <c r="N3940" s="787">
        <v>49.45</v>
      </c>
      <c r="O3940" s="788">
        <v>41858</v>
      </c>
    </row>
    <row r="3941" spans="1:15" x14ac:dyDescent="0.25">
      <c r="A3941" s="786" t="s">
        <v>7722</v>
      </c>
      <c r="B3941" s="787">
        <v>4</v>
      </c>
      <c r="C3941" s="787" t="s">
        <v>7087</v>
      </c>
      <c r="D3941" s="787">
        <v>9.9700000000000006</v>
      </c>
      <c r="E3941" s="787">
        <v>9.9700000000000006</v>
      </c>
      <c r="F3941" s="788">
        <v>41873</v>
      </c>
      <c r="G3941" s="788">
        <v>41870</v>
      </c>
      <c r="H3941" s="787">
        <v>1</v>
      </c>
      <c r="I3941" s="788">
        <v>41879</v>
      </c>
      <c r="J3941" s="788">
        <v>41870</v>
      </c>
      <c r="K3941" s="788">
        <v>41857</v>
      </c>
      <c r="L3941" s="787">
        <v>9.9700000000000006</v>
      </c>
      <c r="M3941" s="787">
        <v>20</v>
      </c>
      <c r="N3941" s="787">
        <v>10.72</v>
      </c>
      <c r="O3941" s="788">
        <v>41858</v>
      </c>
    </row>
    <row r="3942" spans="1:15" x14ac:dyDescent="0.25">
      <c r="A3942" s="786" t="s">
        <v>7723</v>
      </c>
      <c r="B3942" s="787">
        <v>4</v>
      </c>
      <c r="C3942" s="787" t="s">
        <v>7089</v>
      </c>
      <c r="D3942" s="787">
        <v>0</v>
      </c>
      <c r="E3942" s="787">
        <v>0</v>
      </c>
      <c r="H3942" s="787">
        <v>1</v>
      </c>
      <c r="K3942" s="788">
        <v>41849</v>
      </c>
      <c r="L3942" s="787">
        <v>13.47</v>
      </c>
      <c r="M3942" s="787">
        <v>10</v>
      </c>
      <c r="N3942" s="787">
        <v>13.23</v>
      </c>
      <c r="O3942" s="788">
        <v>41858</v>
      </c>
    </row>
    <row r="3943" spans="1:15" x14ac:dyDescent="0.25">
      <c r="A3943" s="786" t="s">
        <v>7724</v>
      </c>
      <c r="B3943" s="787">
        <v>4</v>
      </c>
      <c r="C3943" s="787" t="s">
        <v>7091</v>
      </c>
      <c r="D3943" s="787">
        <v>0</v>
      </c>
      <c r="E3943" s="787">
        <v>0</v>
      </c>
      <c r="H3943" s="787">
        <v>1</v>
      </c>
      <c r="K3943" s="788">
        <v>41849</v>
      </c>
      <c r="L3943" s="787">
        <v>6.39</v>
      </c>
      <c r="M3943" s="787">
        <v>10</v>
      </c>
      <c r="N3943" s="787">
        <v>6.34</v>
      </c>
      <c r="O3943" s="788">
        <v>41858</v>
      </c>
    </row>
    <row r="3944" spans="1:15" x14ac:dyDescent="0.25">
      <c r="A3944" s="786" t="s">
        <v>7725</v>
      </c>
      <c r="B3944" s="787">
        <v>4</v>
      </c>
      <c r="C3944" s="787" t="s">
        <v>7095</v>
      </c>
      <c r="D3944" s="787">
        <v>0</v>
      </c>
      <c r="E3944" s="787">
        <v>0</v>
      </c>
      <c r="H3944" s="787">
        <v>1</v>
      </c>
      <c r="K3944" s="788">
        <v>41849</v>
      </c>
      <c r="L3944" s="787">
        <v>6.39</v>
      </c>
      <c r="M3944" s="787">
        <v>10</v>
      </c>
      <c r="N3944" s="787">
        <v>6.3</v>
      </c>
      <c r="O3944" s="788">
        <v>41858</v>
      </c>
    </row>
    <row r="3945" spans="1:15" x14ac:dyDescent="0.25">
      <c r="A3945" s="786" t="s">
        <v>7726</v>
      </c>
      <c r="B3945" s="787">
        <v>4</v>
      </c>
      <c r="C3945" s="787" t="s">
        <v>7727</v>
      </c>
      <c r="D3945" s="787">
        <v>3</v>
      </c>
      <c r="E3945" s="787">
        <v>33</v>
      </c>
      <c r="F3945" s="788">
        <v>41873</v>
      </c>
      <c r="G3945" s="788">
        <v>41870</v>
      </c>
      <c r="H3945" s="787">
        <v>1</v>
      </c>
      <c r="I3945" s="788">
        <v>42033</v>
      </c>
      <c r="J3945" s="788">
        <v>42023</v>
      </c>
      <c r="K3945" s="788">
        <v>41857</v>
      </c>
      <c r="L3945" s="787">
        <v>33</v>
      </c>
      <c r="M3945" s="787">
        <v>20</v>
      </c>
      <c r="N3945" s="787">
        <v>35.479999999999997</v>
      </c>
      <c r="O3945" s="788">
        <v>41858</v>
      </c>
    </row>
    <row r="3946" spans="1:15" x14ac:dyDescent="0.25">
      <c r="A3946" s="786" t="s">
        <v>7728</v>
      </c>
      <c r="B3946" s="787">
        <v>4</v>
      </c>
      <c r="C3946" s="787" t="s">
        <v>7729</v>
      </c>
      <c r="D3946" s="787">
        <v>5.47</v>
      </c>
      <c r="E3946" s="787">
        <v>9</v>
      </c>
      <c r="F3946" s="788">
        <v>41873</v>
      </c>
      <c r="G3946" s="788">
        <v>42023</v>
      </c>
      <c r="H3946" s="787">
        <v>1</v>
      </c>
      <c r="J3946" s="788">
        <v>42023</v>
      </c>
      <c r="K3946" s="788">
        <v>41857</v>
      </c>
      <c r="L3946" s="787">
        <v>5.47</v>
      </c>
      <c r="M3946" s="787">
        <v>20</v>
      </c>
      <c r="N3946" s="787">
        <v>5.88</v>
      </c>
      <c r="O3946" s="788">
        <v>41858</v>
      </c>
    </row>
    <row r="3947" spans="1:15" x14ac:dyDescent="0.25">
      <c r="A3947" s="786" t="s">
        <v>7730</v>
      </c>
      <c r="B3947" s="787">
        <v>4</v>
      </c>
      <c r="C3947" s="787" t="s">
        <v>7731</v>
      </c>
      <c r="D3947" s="787">
        <v>6</v>
      </c>
      <c r="E3947" s="787">
        <v>46</v>
      </c>
      <c r="F3947" s="788">
        <v>41873</v>
      </c>
      <c r="G3947" s="788">
        <v>41870</v>
      </c>
      <c r="H3947" s="787">
        <v>1</v>
      </c>
      <c r="I3947" s="788">
        <v>42032</v>
      </c>
      <c r="J3947" s="788">
        <v>41870</v>
      </c>
      <c r="K3947" s="788">
        <v>41857</v>
      </c>
      <c r="L3947" s="787">
        <v>46</v>
      </c>
      <c r="M3947" s="787">
        <v>20</v>
      </c>
      <c r="N3947" s="787">
        <v>49.45</v>
      </c>
      <c r="O3947" s="788">
        <v>41858</v>
      </c>
    </row>
    <row r="3948" spans="1:15" x14ac:dyDescent="0.25">
      <c r="A3948" s="786" t="s">
        <v>7732</v>
      </c>
      <c r="B3948" s="787">
        <v>4</v>
      </c>
      <c r="C3948" s="787" t="s">
        <v>7733</v>
      </c>
      <c r="D3948" s="787">
        <v>9.7100000000000009</v>
      </c>
      <c r="E3948" s="787">
        <v>69.709999999999994</v>
      </c>
      <c r="F3948" s="788">
        <v>41897</v>
      </c>
      <c r="G3948" s="788">
        <v>41904</v>
      </c>
      <c r="H3948" s="787">
        <v>1</v>
      </c>
      <c r="J3948" s="788">
        <v>41894</v>
      </c>
      <c r="K3948" s="788">
        <v>41890</v>
      </c>
      <c r="L3948" s="787">
        <v>46</v>
      </c>
      <c r="M3948" s="787">
        <v>20</v>
      </c>
      <c r="N3948" s="787">
        <v>0</v>
      </c>
    </row>
    <row r="3949" spans="1:15" x14ac:dyDescent="0.25">
      <c r="A3949" s="786" t="s">
        <v>7734</v>
      </c>
      <c r="B3949" s="787">
        <v>4</v>
      </c>
      <c r="C3949" s="787" t="s">
        <v>7101</v>
      </c>
      <c r="D3949" s="787">
        <v>0</v>
      </c>
      <c r="E3949" s="787">
        <v>0</v>
      </c>
      <c r="H3949" s="787">
        <v>1</v>
      </c>
      <c r="L3949" s="787">
        <v>8</v>
      </c>
      <c r="M3949" s="787">
        <v>20</v>
      </c>
      <c r="N3949" s="787">
        <v>8.6</v>
      </c>
      <c r="O3949" s="788">
        <v>41955</v>
      </c>
    </row>
    <row r="3950" spans="1:15" x14ac:dyDescent="0.25">
      <c r="A3950" s="786" t="s">
        <v>7735</v>
      </c>
      <c r="B3950" s="787">
        <v>4</v>
      </c>
      <c r="C3950" s="787" t="s">
        <v>7101</v>
      </c>
      <c r="D3950" s="787">
        <v>0</v>
      </c>
      <c r="E3950" s="787">
        <v>0</v>
      </c>
      <c r="H3950" s="787">
        <v>1</v>
      </c>
      <c r="L3950" s="787">
        <v>8</v>
      </c>
      <c r="M3950" s="787">
        <v>20</v>
      </c>
      <c r="N3950" s="787">
        <v>8.6</v>
      </c>
      <c r="O3950" s="788">
        <v>41955</v>
      </c>
    </row>
    <row r="3951" spans="1:15" x14ac:dyDescent="0.25">
      <c r="A3951" s="786" t="s">
        <v>7736</v>
      </c>
      <c r="B3951" s="787">
        <v>4</v>
      </c>
      <c r="C3951" s="787" t="s">
        <v>7104</v>
      </c>
      <c r="D3951" s="787">
        <v>0</v>
      </c>
      <c r="E3951" s="787">
        <v>0</v>
      </c>
      <c r="H3951" s="787">
        <v>1</v>
      </c>
      <c r="K3951" s="788">
        <v>41911</v>
      </c>
      <c r="L3951" s="787">
        <v>26.19</v>
      </c>
      <c r="M3951" s="787">
        <v>10</v>
      </c>
      <c r="N3951" s="787">
        <v>26.19</v>
      </c>
      <c r="O3951" s="788">
        <v>41955</v>
      </c>
    </row>
    <row r="3952" spans="1:15" x14ac:dyDescent="0.25">
      <c r="A3952" s="786" t="s">
        <v>7737</v>
      </c>
      <c r="B3952" s="787">
        <v>4</v>
      </c>
      <c r="C3952" s="787" t="s">
        <v>7106</v>
      </c>
      <c r="D3952" s="787">
        <v>0</v>
      </c>
      <c r="E3952" s="787">
        <v>0</v>
      </c>
      <c r="H3952" s="787">
        <v>1</v>
      </c>
      <c r="K3952" s="788">
        <v>41911</v>
      </c>
      <c r="L3952" s="787">
        <v>26.19</v>
      </c>
      <c r="M3952" s="787">
        <v>10</v>
      </c>
      <c r="N3952" s="787">
        <v>26.19</v>
      </c>
      <c r="O3952" s="788">
        <v>41955</v>
      </c>
    </row>
    <row r="3953" spans="1:15" x14ac:dyDescent="0.25">
      <c r="A3953" s="786" t="s">
        <v>7738</v>
      </c>
      <c r="B3953" s="787">
        <v>4</v>
      </c>
      <c r="C3953" s="787" t="s">
        <v>7108</v>
      </c>
      <c r="D3953" s="787">
        <v>0</v>
      </c>
      <c r="E3953" s="787">
        <v>0</v>
      </c>
      <c r="H3953" s="787">
        <v>1</v>
      </c>
      <c r="L3953" s="787">
        <v>22</v>
      </c>
      <c r="M3953" s="787">
        <v>20</v>
      </c>
      <c r="N3953" s="787">
        <v>22</v>
      </c>
    </row>
    <row r="3954" spans="1:15" x14ac:dyDescent="0.25">
      <c r="A3954" s="786" t="s">
        <v>7739</v>
      </c>
      <c r="B3954" s="787">
        <v>4</v>
      </c>
      <c r="C3954" s="787" t="s">
        <v>7110</v>
      </c>
      <c r="D3954" s="787">
        <v>0</v>
      </c>
      <c r="E3954" s="787">
        <v>0</v>
      </c>
      <c r="H3954" s="787">
        <v>1</v>
      </c>
      <c r="K3954" s="788">
        <v>41911</v>
      </c>
      <c r="L3954" s="787">
        <v>18</v>
      </c>
      <c r="M3954" s="787">
        <v>20</v>
      </c>
      <c r="N3954" s="787">
        <v>19.350000000000001</v>
      </c>
      <c r="O3954" s="788">
        <v>41911</v>
      </c>
    </row>
    <row r="3955" spans="1:15" x14ac:dyDescent="0.25">
      <c r="A3955" s="786" t="s">
        <v>7740</v>
      </c>
      <c r="B3955" s="787">
        <v>4</v>
      </c>
      <c r="C3955" s="787" t="s">
        <v>7112</v>
      </c>
      <c r="D3955" s="787">
        <v>0</v>
      </c>
      <c r="E3955" s="787">
        <v>0</v>
      </c>
      <c r="H3955" s="787">
        <v>1</v>
      </c>
      <c r="L3955" s="787">
        <v>16</v>
      </c>
      <c r="M3955" s="787">
        <v>20</v>
      </c>
      <c r="N3955" s="787">
        <v>16</v>
      </c>
    </row>
    <row r="3956" spans="1:15" x14ac:dyDescent="0.25">
      <c r="A3956" s="786" t="s">
        <v>808</v>
      </c>
      <c r="B3956" s="787">
        <v>4</v>
      </c>
      <c r="C3956" s="787" t="s">
        <v>7113</v>
      </c>
      <c r="D3956" s="787">
        <v>0</v>
      </c>
      <c r="E3956" s="787">
        <v>0</v>
      </c>
      <c r="H3956" s="787">
        <v>1</v>
      </c>
      <c r="K3956" s="788">
        <v>41911</v>
      </c>
      <c r="L3956" s="787">
        <v>7.02</v>
      </c>
      <c r="M3956" s="787">
        <v>10</v>
      </c>
      <c r="N3956" s="787">
        <v>7.02</v>
      </c>
      <c r="O3956" s="788">
        <v>41911</v>
      </c>
    </row>
    <row r="3957" spans="1:15" x14ac:dyDescent="0.25">
      <c r="A3957" s="786" t="s">
        <v>810</v>
      </c>
      <c r="B3957" s="787">
        <v>4</v>
      </c>
      <c r="C3957" s="787" t="s">
        <v>7114</v>
      </c>
      <c r="D3957" s="787">
        <v>0</v>
      </c>
      <c r="E3957" s="787">
        <v>0</v>
      </c>
      <c r="H3957" s="787">
        <v>1</v>
      </c>
      <c r="K3957" s="788">
        <v>41911</v>
      </c>
      <c r="L3957" s="787">
        <v>7.02</v>
      </c>
      <c r="M3957" s="787">
        <v>10</v>
      </c>
      <c r="N3957" s="787">
        <v>7.02</v>
      </c>
      <c r="O3957" s="788">
        <v>41911</v>
      </c>
    </row>
    <row r="3958" spans="1:15" x14ac:dyDescent="0.25">
      <c r="A3958" s="786" t="s">
        <v>812</v>
      </c>
      <c r="B3958" s="787">
        <v>4</v>
      </c>
      <c r="C3958" s="787" t="s">
        <v>7115</v>
      </c>
      <c r="D3958" s="787">
        <v>0</v>
      </c>
      <c r="E3958" s="787">
        <v>0</v>
      </c>
      <c r="H3958" s="787">
        <v>1</v>
      </c>
      <c r="L3958" s="787">
        <v>6</v>
      </c>
      <c r="M3958" s="787">
        <v>20</v>
      </c>
      <c r="N3958" s="787">
        <v>6</v>
      </c>
    </row>
    <row r="3959" spans="1:15" x14ac:dyDescent="0.25">
      <c r="A3959" s="786" t="s">
        <v>814</v>
      </c>
      <c r="B3959" s="787">
        <v>4</v>
      </c>
      <c r="C3959" s="787" t="s">
        <v>7116</v>
      </c>
      <c r="D3959" s="787">
        <v>0</v>
      </c>
      <c r="E3959" s="787">
        <v>0</v>
      </c>
      <c r="H3959" s="787">
        <v>1</v>
      </c>
      <c r="L3959" s="787">
        <v>6</v>
      </c>
      <c r="M3959" s="787">
        <v>20</v>
      </c>
      <c r="N3959" s="787">
        <v>6</v>
      </c>
    </row>
    <row r="3960" spans="1:15" x14ac:dyDescent="0.25">
      <c r="A3960" s="786" t="s">
        <v>7741</v>
      </c>
      <c r="B3960" s="787">
        <v>4</v>
      </c>
      <c r="C3960" s="787" t="s">
        <v>7118</v>
      </c>
      <c r="D3960" s="787">
        <v>0</v>
      </c>
      <c r="E3960" s="787">
        <v>0</v>
      </c>
      <c r="H3960" s="787">
        <v>1</v>
      </c>
      <c r="K3960" s="788">
        <v>41904</v>
      </c>
      <c r="L3960" s="787">
        <v>3.88</v>
      </c>
      <c r="M3960" s="787">
        <v>10</v>
      </c>
      <c r="N3960" s="787">
        <v>3.88</v>
      </c>
      <c r="O3960" s="788">
        <v>41904</v>
      </c>
    </row>
    <row r="3961" spans="1:15" x14ac:dyDescent="0.25">
      <c r="A3961" s="786" t="s">
        <v>7742</v>
      </c>
      <c r="B3961" s="787">
        <v>4</v>
      </c>
      <c r="C3961" s="787" t="s">
        <v>7120</v>
      </c>
      <c r="D3961" s="787">
        <v>0</v>
      </c>
      <c r="E3961" s="787">
        <v>0</v>
      </c>
      <c r="H3961" s="787">
        <v>1</v>
      </c>
      <c r="K3961" s="788">
        <v>41904</v>
      </c>
      <c r="L3961" s="787">
        <v>2.0499999999999998</v>
      </c>
      <c r="M3961" s="787">
        <v>10</v>
      </c>
      <c r="N3961" s="787">
        <v>2.0499999999999998</v>
      </c>
      <c r="O3961" s="788">
        <v>41904</v>
      </c>
    </row>
    <row r="3962" spans="1:15" x14ac:dyDescent="0.25">
      <c r="A3962" s="786" t="s">
        <v>7743</v>
      </c>
      <c r="B3962" s="787">
        <v>4</v>
      </c>
      <c r="C3962" s="787" t="s">
        <v>7122</v>
      </c>
      <c r="D3962" s="787">
        <v>0</v>
      </c>
      <c r="E3962" s="787">
        <v>0</v>
      </c>
      <c r="H3962" s="787">
        <v>1</v>
      </c>
      <c r="K3962" s="788">
        <v>41904</v>
      </c>
      <c r="L3962" s="787">
        <v>3.7</v>
      </c>
      <c r="M3962" s="787">
        <v>10</v>
      </c>
      <c r="N3962" s="787">
        <v>3.7</v>
      </c>
      <c r="O3962" s="788">
        <v>41904</v>
      </c>
    </row>
    <row r="3963" spans="1:15" x14ac:dyDescent="0.25">
      <c r="A3963" s="786" t="s">
        <v>7744</v>
      </c>
      <c r="B3963" s="787">
        <v>4</v>
      </c>
      <c r="C3963" s="787" t="s">
        <v>7745</v>
      </c>
      <c r="D3963" s="787">
        <v>0</v>
      </c>
      <c r="E3963" s="787">
        <v>0</v>
      </c>
      <c r="H3963" s="787">
        <v>1</v>
      </c>
      <c r="K3963" s="788">
        <v>41904</v>
      </c>
      <c r="L3963" s="787">
        <v>3.88</v>
      </c>
      <c r="M3963" s="787">
        <v>10</v>
      </c>
      <c r="N3963" s="787">
        <v>3.88</v>
      </c>
      <c r="O3963" s="788">
        <v>41904</v>
      </c>
    </row>
    <row r="3964" spans="1:15" x14ac:dyDescent="0.25">
      <c r="A3964" s="786" t="s">
        <v>7746</v>
      </c>
      <c r="B3964" s="787">
        <v>4</v>
      </c>
      <c r="C3964" s="787" t="s">
        <v>7747</v>
      </c>
      <c r="D3964" s="787">
        <v>2.94</v>
      </c>
      <c r="E3964" s="787">
        <v>247.65</v>
      </c>
      <c r="F3964" s="788">
        <v>38945</v>
      </c>
      <c r="G3964" s="788">
        <v>39106</v>
      </c>
      <c r="H3964" s="787">
        <v>6</v>
      </c>
      <c r="I3964" s="788">
        <v>39016</v>
      </c>
      <c r="J3964" s="788">
        <v>39287</v>
      </c>
      <c r="L3964" s="787">
        <v>42.94</v>
      </c>
      <c r="M3964" s="787">
        <v>20</v>
      </c>
      <c r="N3964" s="787">
        <v>46.16</v>
      </c>
      <c r="O3964" s="788">
        <v>41858</v>
      </c>
    </row>
    <row r="3965" spans="1:15" x14ac:dyDescent="0.25">
      <c r="A3965" s="786" t="s">
        <v>7748</v>
      </c>
      <c r="B3965" s="787">
        <v>4</v>
      </c>
      <c r="C3965" s="787" t="s">
        <v>7749</v>
      </c>
      <c r="D3965" s="787">
        <v>0.01</v>
      </c>
      <c r="E3965" s="787">
        <v>0.59</v>
      </c>
      <c r="F3965" s="788">
        <v>40844</v>
      </c>
      <c r="G3965" s="788">
        <v>41337</v>
      </c>
      <c r="H3965" s="787">
        <v>1</v>
      </c>
      <c r="I3965" s="788">
        <v>41829</v>
      </c>
      <c r="J3965" s="788">
        <v>41337</v>
      </c>
      <c r="K3965" s="788">
        <v>41148</v>
      </c>
      <c r="L3965" s="787">
        <v>0.59</v>
      </c>
      <c r="M3965" s="787">
        <v>20</v>
      </c>
      <c r="N3965" s="787">
        <v>0.63</v>
      </c>
      <c r="O3965" s="788">
        <v>42162</v>
      </c>
    </row>
    <row r="3966" spans="1:15" x14ac:dyDescent="0.25">
      <c r="A3966" s="786" t="s">
        <v>7750</v>
      </c>
      <c r="B3966" s="787">
        <v>4</v>
      </c>
      <c r="C3966" s="787" t="s">
        <v>7751</v>
      </c>
      <c r="D3966" s="787">
        <v>0.01</v>
      </c>
      <c r="E3966" s="787">
        <v>0.53</v>
      </c>
      <c r="F3966" s="788">
        <v>40844</v>
      </c>
      <c r="G3966" s="788">
        <v>41337</v>
      </c>
      <c r="H3966" s="787">
        <v>1</v>
      </c>
      <c r="I3966" s="788">
        <v>41827</v>
      </c>
      <c r="J3966" s="788">
        <v>41337</v>
      </c>
      <c r="K3966" s="788">
        <v>41025</v>
      </c>
      <c r="L3966" s="787">
        <v>0.56999999999999995</v>
      </c>
      <c r="M3966" s="787">
        <v>20</v>
      </c>
      <c r="N3966" s="787">
        <v>0.61</v>
      </c>
      <c r="O3966" s="788">
        <v>42162</v>
      </c>
    </row>
    <row r="3967" spans="1:15" x14ac:dyDescent="0.25">
      <c r="A3967" s="786" t="s">
        <v>7752</v>
      </c>
      <c r="B3967" s="787">
        <v>4</v>
      </c>
      <c r="C3967" s="787" t="s">
        <v>7753</v>
      </c>
      <c r="D3967" s="787">
        <v>0.37</v>
      </c>
      <c r="E3967" s="787">
        <v>0.79</v>
      </c>
      <c r="F3967" s="788">
        <v>40844</v>
      </c>
      <c r="G3967" s="788">
        <v>41337</v>
      </c>
      <c r="H3967" s="787">
        <v>1</v>
      </c>
      <c r="I3967" s="788">
        <v>41829</v>
      </c>
      <c r="J3967" s="788">
        <v>41337</v>
      </c>
      <c r="K3967" s="788">
        <v>41865</v>
      </c>
      <c r="L3967" s="787">
        <v>0.01</v>
      </c>
      <c r="M3967" s="787">
        <v>20</v>
      </c>
      <c r="N3967" s="787">
        <v>0.01</v>
      </c>
      <c r="O3967" s="788">
        <v>42162</v>
      </c>
    </row>
    <row r="3968" spans="1:15" x14ac:dyDescent="0.25">
      <c r="A3968" s="786" t="s">
        <v>7754</v>
      </c>
      <c r="B3968" s="787">
        <v>4</v>
      </c>
      <c r="C3968" s="787" t="s">
        <v>7755</v>
      </c>
      <c r="D3968" s="787">
        <v>0</v>
      </c>
      <c r="E3968" s="787">
        <v>0</v>
      </c>
      <c r="H3968" s="787">
        <v>6</v>
      </c>
      <c r="L3968" s="787">
        <v>0</v>
      </c>
      <c r="M3968" s="787">
        <v>20</v>
      </c>
      <c r="N3968" s="787">
        <v>0</v>
      </c>
      <c r="O3968" s="788">
        <v>40824</v>
      </c>
    </row>
    <row r="3969" spans="1:15" x14ac:dyDescent="0.25">
      <c r="A3969" s="786" t="s">
        <v>7756</v>
      </c>
      <c r="B3969" s="787">
        <v>4</v>
      </c>
      <c r="C3969" s="787" t="s">
        <v>7757</v>
      </c>
      <c r="D3969" s="787">
        <v>0</v>
      </c>
      <c r="E3969" s="787">
        <v>0</v>
      </c>
      <c r="H3969" s="787">
        <v>1</v>
      </c>
      <c r="J3969" s="788">
        <v>42024</v>
      </c>
      <c r="L3969" s="787">
        <v>0</v>
      </c>
      <c r="M3969" s="787">
        <v>10</v>
      </c>
      <c r="N3969" s="787">
        <v>0</v>
      </c>
      <c r="O3969" s="788">
        <v>40824</v>
      </c>
    </row>
    <row r="3970" spans="1:15" x14ac:dyDescent="0.25">
      <c r="A3970" s="786" t="s">
        <v>7758</v>
      </c>
      <c r="B3970" s="787">
        <v>4</v>
      </c>
      <c r="C3970" s="787" t="s">
        <v>7759</v>
      </c>
      <c r="D3970" s="787">
        <v>1.74</v>
      </c>
      <c r="E3970" s="787">
        <v>150</v>
      </c>
      <c r="F3970" s="788">
        <v>40827</v>
      </c>
      <c r="G3970" s="788">
        <v>40870</v>
      </c>
      <c r="H3970" s="787">
        <v>1</v>
      </c>
      <c r="I3970" s="788">
        <v>42157</v>
      </c>
      <c r="J3970" s="788">
        <v>41284</v>
      </c>
      <c r="L3970" s="787">
        <v>150</v>
      </c>
      <c r="M3970" s="787">
        <v>20</v>
      </c>
      <c r="N3970" s="787">
        <v>161.25</v>
      </c>
      <c r="O3970" s="788">
        <v>41858</v>
      </c>
    </row>
    <row r="3971" spans="1:15" x14ac:dyDescent="0.25">
      <c r="A3971" s="786" t="s">
        <v>7760</v>
      </c>
      <c r="B3971" s="787">
        <v>4</v>
      </c>
      <c r="C3971" s="787" t="s">
        <v>7761</v>
      </c>
      <c r="D3971" s="787">
        <v>0</v>
      </c>
      <c r="E3971" s="787">
        <v>0</v>
      </c>
      <c r="G3971" s="788">
        <v>41239</v>
      </c>
      <c r="H3971" s="787">
        <v>6</v>
      </c>
      <c r="I3971" s="788">
        <v>41907</v>
      </c>
      <c r="J3971" s="788">
        <v>41239</v>
      </c>
      <c r="L3971" s="787">
        <v>0.01</v>
      </c>
      <c r="M3971" s="787">
        <v>20</v>
      </c>
      <c r="N3971" s="787">
        <v>0.01</v>
      </c>
      <c r="O3971" s="788">
        <v>41858</v>
      </c>
    </row>
    <row r="3972" spans="1:15" x14ac:dyDescent="0.25">
      <c r="A3972" s="786" t="s">
        <v>7762</v>
      </c>
      <c r="B3972" s="787">
        <v>4</v>
      </c>
      <c r="C3972" s="787" t="s">
        <v>7763</v>
      </c>
      <c r="D3972" s="787">
        <v>0.4</v>
      </c>
      <c r="E3972" s="787">
        <v>0.4</v>
      </c>
      <c r="F3972" s="788">
        <v>41019</v>
      </c>
      <c r="G3972" s="788">
        <v>41310</v>
      </c>
      <c r="H3972" s="787">
        <v>6</v>
      </c>
      <c r="I3972" s="788">
        <v>41780</v>
      </c>
      <c r="J3972" s="788">
        <v>41310</v>
      </c>
      <c r="K3972" s="788">
        <v>41865</v>
      </c>
      <c r="L3972" s="787">
        <v>0.4</v>
      </c>
      <c r="M3972" s="787">
        <v>20</v>
      </c>
      <c r="N3972" s="787">
        <v>0.01</v>
      </c>
      <c r="O3972" s="788">
        <v>41858</v>
      </c>
    </row>
    <row r="3973" spans="1:15" x14ac:dyDescent="0.25">
      <c r="A3973" s="786" t="s">
        <v>7764</v>
      </c>
      <c r="B3973" s="787">
        <v>4</v>
      </c>
      <c r="C3973" s="787" t="s">
        <v>7765</v>
      </c>
      <c r="D3973" s="787">
        <v>0.37</v>
      </c>
      <c r="E3973" s="787">
        <v>0.59</v>
      </c>
      <c r="F3973" s="788">
        <v>40844</v>
      </c>
      <c r="G3973" s="788">
        <v>41310</v>
      </c>
      <c r="H3973" s="787">
        <v>1</v>
      </c>
      <c r="I3973" s="788">
        <v>41709</v>
      </c>
      <c r="J3973" s="788">
        <v>41310</v>
      </c>
      <c r="K3973" s="788">
        <v>41148</v>
      </c>
      <c r="L3973" s="787">
        <v>0.59</v>
      </c>
      <c r="M3973" s="787">
        <v>20</v>
      </c>
      <c r="N3973" s="787">
        <v>0.59</v>
      </c>
      <c r="O3973" s="788">
        <v>41200</v>
      </c>
    </row>
    <row r="3974" spans="1:15" x14ac:dyDescent="0.25">
      <c r="A3974" s="786" t="s">
        <v>7766</v>
      </c>
      <c r="B3974" s="787">
        <v>4</v>
      </c>
      <c r="C3974" s="787" t="s">
        <v>7757</v>
      </c>
      <c r="D3974" s="787">
        <v>0</v>
      </c>
      <c r="E3974" s="787">
        <v>0</v>
      </c>
      <c r="H3974" s="787">
        <v>1</v>
      </c>
      <c r="L3974" s="787">
        <v>0</v>
      </c>
      <c r="M3974" s="787">
        <v>10</v>
      </c>
      <c r="N3974" s="787">
        <v>0</v>
      </c>
      <c r="O3974" s="788">
        <v>40824</v>
      </c>
    </row>
    <row r="3975" spans="1:15" x14ac:dyDescent="0.25">
      <c r="A3975" s="786" t="s">
        <v>7767</v>
      </c>
      <c r="B3975" s="787">
        <v>4</v>
      </c>
      <c r="C3975" s="787" t="s">
        <v>7768</v>
      </c>
      <c r="D3975" s="787">
        <v>0</v>
      </c>
      <c r="E3975" s="787">
        <v>0</v>
      </c>
      <c r="H3975" s="787">
        <v>1</v>
      </c>
      <c r="L3975" s="787">
        <v>0</v>
      </c>
      <c r="M3975" s="787">
        <v>10</v>
      </c>
      <c r="N3975" s="787">
        <v>624.28</v>
      </c>
      <c r="O3975" s="788">
        <v>41858</v>
      </c>
    </row>
    <row r="3976" spans="1:15" x14ac:dyDescent="0.25">
      <c r="A3976" s="786" t="s">
        <v>7769</v>
      </c>
      <c r="B3976" s="787">
        <v>4</v>
      </c>
      <c r="C3976" s="787" t="s">
        <v>7770</v>
      </c>
      <c r="D3976" s="787">
        <v>0</v>
      </c>
      <c r="E3976" s="787">
        <v>0</v>
      </c>
      <c r="H3976" s="787">
        <v>1</v>
      </c>
      <c r="L3976" s="787">
        <v>0</v>
      </c>
      <c r="M3976" s="787">
        <v>10</v>
      </c>
      <c r="N3976" s="787">
        <v>566.19000000000005</v>
      </c>
      <c r="O3976" s="788">
        <v>41858</v>
      </c>
    </row>
    <row r="3977" spans="1:15" x14ac:dyDescent="0.25">
      <c r="A3977" s="786" t="s">
        <v>7771</v>
      </c>
      <c r="B3977" s="787">
        <v>4</v>
      </c>
      <c r="C3977" s="787" t="s">
        <v>7772</v>
      </c>
      <c r="D3977" s="787">
        <v>0.4</v>
      </c>
      <c r="E3977" s="787">
        <v>0.4</v>
      </c>
      <c r="F3977" s="788">
        <v>41019</v>
      </c>
      <c r="G3977" s="788">
        <v>41159</v>
      </c>
      <c r="H3977" s="787">
        <v>6</v>
      </c>
      <c r="I3977" s="788">
        <v>41717</v>
      </c>
      <c r="J3977" s="788">
        <v>41163</v>
      </c>
      <c r="K3977" s="788">
        <v>41865</v>
      </c>
      <c r="L3977" s="787">
        <v>0.4</v>
      </c>
      <c r="M3977" s="787">
        <v>20</v>
      </c>
      <c r="N3977" s="787">
        <v>0.01</v>
      </c>
      <c r="O3977" s="788">
        <v>41858</v>
      </c>
    </row>
    <row r="3978" spans="1:15" x14ac:dyDescent="0.25">
      <c r="A3978" s="786" t="s">
        <v>7773</v>
      </c>
      <c r="B3978" s="787">
        <v>4</v>
      </c>
      <c r="C3978" s="787" t="s">
        <v>7774</v>
      </c>
      <c r="D3978" s="787">
        <v>0.4</v>
      </c>
      <c r="E3978" s="787">
        <v>0.4</v>
      </c>
      <c r="F3978" s="788">
        <v>40982</v>
      </c>
      <c r="G3978" s="788">
        <v>41310</v>
      </c>
      <c r="H3978" s="787">
        <v>6</v>
      </c>
      <c r="I3978" s="788">
        <v>41780</v>
      </c>
      <c r="J3978" s="788">
        <v>41310</v>
      </c>
      <c r="K3978" s="788">
        <v>41865</v>
      </c>
      <c r="L3978" s="787">
        <v>0.4</v>
      </c>
      <c r="M3978" s="787">
        <v>20</v>
      </c>
      <c r="N3978" s="787">
        <v>0.01</v>
      </c>
      <c r="O3978" s="788">
        <v>41858</v>
      </c>
    </row>
    <row r="3979" spans="1:15" x14ac:dyDescent="0.25">
      <c r="A3979" s="786" t="s">
        <v>7775</v>
      </c>
      <c r="B3979" s="787">
        <v>4</v>
      </c>
      <c r="C3979" s="787" t="s">
        <v>7776</v>
      </c>
      <c r="D3979" s="787">
        <v>0.53</v>
      </c>
      <c r="E3979" s="787">
        <v>0.53</v>
      </c>
      <c r="F3979" s="788">
        <v>41059</v>
      </c>
      <c r="G3979" s="788">
        <v>41284</v>
      </c>
      <c r="H3979" s="787">
        <v>1</v>
      </c>
      <c r="I3979" s="788">
        <v>42109</v>
      </c>
      <c r="J3979" s="788">
        <v>41284</v>
      </c>
      <c r="K3979" s="788">
        <v>41025</v>
      </c>
      <c r="L3979" s="787">
        <v>0.56999999999999995</v>
      </c>
      <c r="M3979" s="787">
        <v>20</v>
      </c>
      <c r="N3979" s="787">
        <v>0.61</v>
      </c>
      <c r="O3979" s="788">
        <v>42146</v>
      </c>
    </row>
    <row r="3980" spans="1:15" x14ac:dyDescent="0.25">
      <c r="A3980" s="786" t="s">
        <v>7777</v>
      </c>
      <c r="B3980" s="787">
        <v>4</v>
      </c>
      <c r="C3980" s="787" t="s">
        <v>7778</v>
      </c>
      <c r="D3980" s="787">
        <v>0</v>
      </c>
      <c r="E3980" s="787">
        <v>0</v>
      </c>
      <c r="H3980" s="787">
        <v>1</v>
      </c>
      <c r="I3980" s="788">
        <v>42151</v>
      </c>
      <c r="L3980" s="787">
        <v>0.1</v>
      </c>
      <c r="M3980" s="787">
        <v>10</v>
      </c>
      <c r="N3980" s="787">
        <v>0</v>
      </c>
    </row>
    <row r="3981" spans="1:15" x14ac:dyDescent="0.25">
      <c r="A3981" s="786" t="s">
        <v>7779</v>
      </c>
      <c r="B3981" s="787">
        <v>4</v>
      </c>
      <c r="C3981" s="787" t="s">
        <v>7780</v>
      </c>
      <c r="D3981" s="787">
        <v>0</v>
      </c>
      <c r="E3981" s="787">
        <v>0</v>
      </c>
      <c r="H3981" s="787">
        <v>1</v>
      </c>
      <c r="I3981" s="788">
        <v>41906</v>
      </c>
      <c r="L3981" s="787">
        <v>60</v>
      </c>
      <c r="M3981" s="787">
        <v>10</v>
      </c>
      <c r="N3981" s="787">
        <v>60</v>
      </c>
    </row>
    <row r="3982" spans="1:15" x14ac:dyDescent="0.25">
      <c r="A3982" s="786" t="s">
        <v>7781</v>
      </c>
      <c r="B3982" s="787">
        <v>4</v>
      </c>
      <c r="C3982" s="787" t="s">
        <v>7782</v>
      </c>
      <c r="D3982" s="787">
        <v>5.17</v>
      </c>
      <c r="E3982" s="787">
        <v>31.89</v>
      </c>
      <c r="F3982" s="788">
        <v>42051</v>
      </c>
      <c r="G3982" s="788">
        <v>42163</v>
      </c>
      <c r="H3982" s="787">
        <v>1</v>
      </c>
      <c r="I3982" s="788">
        <v>42163</v>
      </c>
      <c r="J3982" s="788">
        <v>42163</v>
      </c>
      <c r="K3982" s="788">
        <v>41904</v>
      </c>
      <c r="L3982" s="787">
        <v>60</v>
      </c>
      <c r="M3982" s="787">
        <v>10</v>
      </c>
      <c r="N3982" s="787">
        <v>60</v>
      </c>
      <c r="O3982" s="788">
        <v>41904</v>
      </c>
    </row>
    <row r="3983" spans="1:15" x14ac:dyDescent="0.25">
      <c r="A3983" s="786" t="s">
        <v>7783</v>
      </c>
      <c r="B3983" s="787">
        <v>4</v>
      </c>
      <c r="C3983" s="787" t="s">
        <v>7784</v>
      </c>
      <c r="D3983" s="787">
        <v>3.65</v>
      </c>
      <c r="E3983" s="787">
        <v>24.02</v>
      </c>
      <c r="F3983" s="788">
        <v>41978</v>
      </c>
      <c r="G3983" s="788">
        <v>42128</v>
      </c>
      <c r="H3983" s="787">
        <v>1</v>
      </c>
      <c r="I3983" s="788">
        <v>42080</v>
      </c>
      <c r="J3983" s="788">
        <v>42107</v>
      </c>
      <c r="L3983" s="787">
        <v>52</v>
      </c>
      <c r="M3983" s="787">
        <v>10</v>
      </c>
      <c r="N3983" s="787">
        <v>52</v>
      </c>
    </row>
    <row r="3984" spans="1:15" x14ac:dyDescent="0.25">
      <c r="A3984" s="786" t="s">
        <v>7785</v>
      </c>
      <c r="B3984" s="787">
        <v>4</v>
      </c>
      <c r="C3984" s="787" t="s">
        <v>7786</v>
      </c>
      <c r="D3984" s="787">
        <v>4.68</v>
      </c>
      <c r="E3984" s="787">
        <v>39.39</v>
      </c>
      <c r="F3984" s="788">
        <v>42023</v>
      </c>
      <c r="G3984" s="788">
        <v>42123</v>
      </c>
      <c r="H3984" s="787">
        <v>1</v>
      </c>
      <c r="I3984" s="788">
        <v>42084</v>
      </c>
      <c r="J3984" s="788">
        <v>42091</v>
      </c>
      <c r="L3984" s="787">
        <v>40</v>
      </c>
      <c r="M3984" s="787">
        <v>10</v>
      </c>
      <c r="N3984" s="787">
        <v>40</v>
      </c>
    </row>
    <row r="3985" spans="1:15" x14ac:dyDescent="0.25">
      <c r="A3985" s="786" t="s">
        <v>7787</v>
      </c>
      <c r="B3985" s="787">
        <v>4</v>
      </c>
      <c r="C3985" s="787" t="s">
        <v>7788</v>
      </c>
      <c r="D3985" s="787">
        <v>0</v>
      </c>
      <c r="E3985" s="787">
        <v>0</v>
      </c>
      <c r="H3985" s="787">
        <v>1</v>
      </c>
      <c r="L3985" s="787">
        <v>52</v>
      </c>
      <c r="M3985" s="787">
        <v>10</v>
      </c>
      <c r="N3985" s="787">
        <v>52</v>
      </c>
    </row>
    <row r="3986" spans="1:15" x14ac:dyDescent="0.25">
      <c r="A3986" s="786" t="s">
        <v>7789</v>
      </c>
      <c r="B3986" s="787">
        <v>4</v>
      </c>
      <c r="C3986" s="787" t="s">
        <v>7790</v>
      </c>
      <c r="D3986" s="787">
        <v>0</v>
      </c>
      <c r="E3986" s="787">
        <v>0</v>
      </c>
      <c r="H3986" s="787">
        <v>1</v>
      </c>
      <c r="I3986" s="788">
        <v>41929</v>
      </c>
      <c r="L3986" s="787">
        <v>500</v>
      </c>
      <c r="M3986" s="787">
        <v>10</v>
      </c>
      <c r="N3986" s="787">
        <v>500</v>
      </c>
    </row>
    <row r="3987" spans="1:15" x14ac:dyDescent="0.25">
      <c r="A3987" s="786" t="s">
        <v>7791</v>
      </c>
      <c r="B3987" s="787">
        <v>4</v>
      </c>
      <c r="C3987" s="787" t="s">
        <v>7792</v>
      </c>
      <c r="D3987" s="787">
        <v>0</v>
      </c>
      <c r="E3987" s="787">
        <v>0</v>
      </c>
      <c r="H3987" s="787">
        <v>1</v>
      </c>
      <c r="L3987" s="789">
        <v>2500</v>
      </c>
      <c r="M3987" s="787">
        <v>10</v>
      </c>
      <c r="N3987" s="789">
        <v>2500</v>
      </c>
    </row>
    <row r="3988" spans="1:15" x14ac:dyDescent="0.25">
      <c r="A3988" s="786" t="s">
        <v>7793</v>
      </c>
      <c r="B3988" s="787">
        <v>4</v>
      </c>
      <c r="C3988" s="787" t="s">
        <v>7794</v>
      </c>
      <c r="D3988" s="787">
        <v>3.4</v>
      </c>
      <c r="E3988" s="787">
        <v>3.91</v>
      </c>
      <c r="F3988" s="788">
        <v>39750</v>
      </c>
      <c r="G3988" s="788">
        <v>42158</v>
      </c>
      <c r="H3988" s="787">
        <v>1</v>
      </c>
      <c r="I3988" s="788">
        <v>42164</v>
      </c>
      <c r="J3988" s="788">
        <v>42158</v>
      </c>
      <c r="L3988" s="787">
        <v>3.82</v>
      </c>
      <c r="M3988" s="787">
        <v>20</v>
      </c>
      <c r="N3988" s="787">
        <v>4.1100000000000003</v>
      </c>
      <c r="O3988" s="788">
        <v>42164</v>
      </c>
    </row>
    <row r="3989" spans="1:15" x14ac:dyDescent="0.25">
      <c r="A3989" s="786" t="s">
        <v>7795</v>
      </c>
      <c r="B3989" s="787">
        <v>4</v>
      </c>
      <c r="C3989" s="787" t="s">
        <v>7796</v>
      </c>
      <c r="D3989" s="787">
        <v>0.2</v>
      </c>
      <c r="E3989" s="787">
        <v>1.61</v>
      </c>
      <c r="F3989" s="788">
        <v>39101</v>
      </c>
      <c r="G3989" s="788">
        <v>42160</v>
      </c>
      <c r="H3989" s="787">
        <v>1</v>
      </c>
      <c r="I3989" s="788">
        <v>42165</v>
      </c>
      <c r="J3989" s="788">
        <v>42160</v>
      </c>
      <c r="K3989" s="788">
        <v>41869</v>
      </c>
      <c r="L3989" s="787">
        <v>1.51</v>
      </c>
      <c r="M3989" s="787">
        <v>20</v>
      </c>
      <c r="N3989" s="787">
        <v>1.62</v>
      </c>
      <c r="O3989" s="788">
        <v>42164</v>
      </c>
    </row>
    <row r="3990" spans="1:15" x14ac:dyDescent="0.25">
      <c r="A3990" s="786" t="s">
        <v>738</v>
      </c>
      <c r="B3990" s="787">
        <v>4</v>
      </c>
      <c r="C3990" s="787" t="s">
        <v>739</v>
      </c>
      <c r="D3990" s="787">
        <v>2.02</v>
      </c>
      <c r="E3990" s="787">
        <v>2.2000000000000002</v>
      </c>
      <c r="F3990" s="788">
        <v>39750</v>
      </c>
      <c r="G3990" s="788">
        <v>42160</v>
      </c>
      <c r="H3990" s="787">
        <v>1</v>
      </c>
      <c r="I3990" s="788">
        <v>42166</v>
      </c>
      <c r="J3990" s="788">
        <v>42160</v>
      </c>
      <c r="L3990" s="787">
        <v>2.42</v>
      </c>
      <c r="M3990" s="787">
        <v>20</v>
      </c>
      <c r="N3990" s="787">
        <v>2.6</v>
      </c>
      <c r="O3990" s="788">
        <v>42163</v>
      </c>
    </row>
    <row r="3991" spans="1:15" x14ac:dyDescent="0.25">
      <c r="A3991" s="786" t="s">
        <v>7797</v>
      </c>
      <c r="B3991" s="787">
        <v>4</v>
      </c>
      <c r="C3991" s="787" t="s">
        <v>7798</v>
      </c>
      <c r="D3991" s="787">
        <v>2.35</v>
      </c>
      <c r="E3991" s="787">
        <v>2.62</v>
      </c>
      <c r="F3991" s="788">
        <v>39759</v>
      </c>
      <c r="G3991" s="788">
        <v>42013</v>
      </c>
      <c r="H3991" s="787">
        <v>1</v>
      </c>
      <c r="I3991" s="788">
        <v>42144</v>
      </c>
      <c r="J3991" s="788">
        <v>41311</v>
      </c>
      <c r="L3991" s="787">
        <v>2.0699999999999998</v>
      </c>
      <c r="M3991" s="787">
        <v>20</v>
      </c>
      <c r="N3991" s="787">
        <v>2.23</v>
      </c>
      <c r="O3991" s="788">
        <v>42146</v>
      </c>
    </row>
    <row r="3992" spans="1:15" x14ac:dyDescent="0.25">
      <c r="A3992" s="786" t="s">
        <v>7799</v>
      </c>
      <c r="B3992" s="787">
        <v>4</v>
      </c>
      <c r="C3992" s="787" t="s">
        <v>7800</v>
      </c>
      <c r="D3992" s="787">
        <v>1.84</v>
      </c>
      <c r="E3992" s="787">
        <v>1.84</v>
      </c>
      <c r="F3992" s="788">
        <v>41205</v>
      </c>
      <c r="G3992" s="788">
        <v>42048</v>
      </c>
      <c r="H3992" s="787">
        <v>1</v>
      </c>
      <c r="I3992" s="788">
        <v>42109</v>
      </c>
      <c r="J3992" s="788">
        <v>42101</v>
      </c>
      <c r="L3992" s="787">
        <v>2.15</v>
      </c>
      <c r="M3992" s="787">
        <v>20</v>
      </c>
      <c r="N3992" s="787">
        <v>2.31</v>
      </c>
      <c r="O3992" s="788">
        <v>42162</v>
      </c>
    </row>
    <row r="3993" spans="1:15" x14ac:dyDescent="0.25">
      <c r="A3993" s="786" t="s">
        <v>7801</v>
      </c>
      <c r="B3993" s="787">
        <v>4</v>
      </c>
      <c r="C3993" s="787" t="s">
        <v>7802</v>
      </c>
      <c r="D3993" s="787">
        <v>5.27</v>
      </c>
      <c r="E3993" s="787">
        <v>5.33</v>
      </c>
      <c r="F3993" s="788">
        <v>39455</v>
      </c>
      <c r="G3993" s="788">
        <v>41690</v>
      </c>
      <c r="H3993" s="787">
        <v>1</v>
      </c>
      <c r="I3993" s="788">
        <v>42096</v>
      </c>
      <c r="J3993" s="788">
        <v>42055</v>
      </c>
      <c r="L3993" s="787">
        <v>5.58</v>
      </c>
      <c r="M3993" s="787">
        <v>20</v>
      </c>
      <c r="N3993" s="787">
        <v>6</v>
      </c>
      <c r="O3993" s="788">
        <v>42122</v>
      </c>
    </row>
    <row r="3994" spans="1:15" x14ac:dyDescent="0.25">
      <c r="A3994" s="786" t="s">
        <v>7803</v>
      </c>
      <c r="B3994" s="787">
        <v>4</v>
      </c>
      <c r="C3994" s="787" t="s">
        <v>7804</v>
      </c>
      <c r="D3994" s="787">
        <v>1.68</v>
      </c>
      <c r="E3994" s="787">
        <v>1.68</v>
      </c>
      <c r="F3994" s="788">
        <v>41281</v>
      </c>
      <c r="G3994" s="788">
        <v>41967</v>
      </c>
      <c r="H3994" s="787">
        <v>1</v>
      </c>
      <c r="I3994" s="788">
        <v>42166</v>
      </c>
      <c r="J3994" s="788">
        <v>42131</v>
      </c>
      <c r="L3994" s="787">
        <v>1.82</v>
      </c>
      <c r="M3994" s="787">
        <v>20</v>
      </c>
      <c r="N3994" s="787">
        <v>1.96</v>
      </c>
      <c r="O3994" s="788">
        <v>42163</v>
      </c>
    </row>
    <row r="3995" spans="1:15" x14ac:dyDescent="0.25">
      <c r="A3995" s="786" t="s">
        <v>7805</v>
      </c>
      <c r="B3995" s="787">
        <v>4</v>
      </c>
      <c r="C3995" s="787" t="s">
        <v>7806</v>
      </c>
      <c r="D3995" s="787">
        <v>4.55</v>
      </c>
      <c r="E3995" s="787">
        <v>5.58</v>
      </c>
      <c r="F3995" s="788">
        <v>37636</v>
      </c>
      <c r="G3995" s="788">
        <v>38348</v>
      </c>
      <c r="H3995" s="787">
        <v>1</v>
      </c>
      <c r="I3995" s="788">
        <v>39401</v>
      </c>
      <c r="J3995" s="788">
        <v>38348</v>
      </c>
      <c r="L3995" s="787">
        <v>6.08</v>
      </c>
      <c r="M3995" s="787">
        <v>20</v>
      </c>
      <c r="N3995" s="787">
        <v>6.54</v>
      </c>
      <c r="O3995" s="788">
        <v>41858</v>
      </c>
    </row>
    <row r="3996" spans="1:15" x14ac:dyDescent="0.25">
      <c r="A3996" s="786" t="s">
        <v>7807</v>
      </c>
      <c r="B3996" s="787">
        <v>4</v>
      </c>
      <c r="C3996" s="787" t="s">
        <v>7808</v>
      </c>
      <c r="D3996" s="787">
        <v>1.5</v>
      </c>
      <c r="E3996" s="787">
        <v>1.62</v>
      </c>
      <c r="F3996" s="788">
        <v>39290</v>
      </c>
      <c r="G3996" s="788">
        <v>42144</v>
      </c>
      <c r="H3996" s="787">
        <v>1</v>
      </c>
      <c r="I3996" s="788">
        <v>42166</v>
      </c>
      <c r="J3996" s="788">
        <v>42144</v>
      </c>
      <c r="L3996" s="787">
        <v>1.75</v>
      </c>
      <c r="M3996" s="787">
        <v>20</v>
      </c>
      <c r="N3996" s="787">
        <v>1.88</v>
      </c>
      <c r="O3996" s="788">
        <v>42163</v>
      </c>
    </row>
    <row r="3997" spans="1:15" x14ac:dyDescent="0.25">
      <c r="A3997" s="786" t="s">
        <v>7809</v>
      </c>
      <c r="B3997" s="787">
        <v>4</v>
      </c>
      <c r="C3997" s="787" t="s">
        <v>7810</v>
      </c>
      <c r="D3997" s="787">
        <v>5</v>
      </c>
      <c r="E3997" s="787">
        <v>5</v>
      </c>
      <c r="F3997" s="788">
        <v>41352</v>
      </c>
      <c r="G3997" s="788">
        <v>42163</v>
      </c>
      <c r="H3997" s="787">
        <v>1</v>
      </c>
      <c r="I3997" s="788">
        <v>42163</v>
      </c>
      <c r="J3997" s="788">
        <v>42163</v>
      </c>
      <c r="K3997" s="788">
        <v>41599</v>
      </c>
      <c r="L3997" s="787">
        <v>5</v>
      </c>
      <c r="M3997" s="787">
        <v>20</v>
      </c>
      <c r="N3997" s="787">
        <v>5.38</v>
      </c>
      <c r="O3997" s="788">
        <v>42163</v>
      </c>
    </row>
    <row r="3998" spans="1:15" x14ac:dyDescent="0.25">
      <c r="A3998" s="786" t="s">
        <v>7811</v>
      </c>
      <c r="B3998" s="787">
        <v>4</v>
      </c>
      <c r="C3998" s="787" t="s">
        <v>7812</v>
      </c>
      <c r="D3998" s="787">
        <v>0.59</v>
      </c>
      <c r="E3998" s="787">
        <v>0.59</v>
      </c>
      <c r="F3998" s="788">
        <v>37636</v>
      </c>
      <c r="G3998" s="788">
        <v>38736</v>
      </c>
      <c r="H3998" s="787">
        <v>1</v>
      </c>
      <c r="I3998" s="788">
        <v>41963</v>
      </c>
      <c r="J3998" s="788">
        <v>41968</v>
      </c>
      <c r="L3998" s="787">
        <v>0.64</v>
      </c>
      <c r="M3998" s="787">
        <v>20</v>
      </c>
      <c r="N3998" s="787">
        <v>0.69</v>
      </c>
      <c r="O3998" s="788">
        <v>41858</v>
      </c>
    </row>
    <row r="3999" spans="1:15" x14ac:dyDescent="0.25">
      <c r="A3999" s="786" t="s">
        <v>7813</v>
      </c>
      <c r="B3999" s="787">
        <v>4</v>
      </c>
      <c r="C3999" s="787" t="s">
        <v>7814</v>
      </c>
      <c r="D3999" s="787">
        <v>0</v>
      </c>
      <c r="E3999" s="787">
        <v>0</v>
      </c>
      <c r="H3999" s="787">
        <v>1</v>
      </c>
      <c r="J3999" s="788">
        <v>37636</v>
      </c>
      <c r="L3999" s="787">
        <v>0</v>
      </c>
      <c r="M3999" s="787">
        <v>20</v>
      </c>
      <c r="N3999" s="787">
        <v>0</v>
      </c>
      <c r="O3999" s="788">
        <v>40824</v>
      </c>
    </row>
    <row r="4000" spans="1:15" x14ac:dyDescent="0.25">
      <c r="A4000" s="786" t="s">
        <v>7815</v>
      </c>
      <c r="B4000" s="787">
        <v>4</v>
      </c>
      <c r="C4000" s="787" t="s">
        <v>7816</v>
      </c>
      <c r="D4000" s="787">
        <v>6.14</v>
      </c>
      <c r="E4000" s="787">
        <v>7.12</v>
      </c>
      <c r="F4000" s="788">
        <v>39905</v>
      </c>
      <c r="G4000" s="788">
        <v>41381</v>
      </c>
      <c r="H4000" s="787">
        <v>1</v>
      </c>
      <c r="I4000" s="788">
        <v>42076</v>
      </c>
      <c r="J4000" s="788">
        <v>42067</v>
      </c>
      <c r="K4000" s="788">
        <v>41869</v>
      </c>
      <c r="L4000" s="787">
        <v>7.12</v>
      </c>
      <c r="M4000" s="787">
        <v>20</v>
      </c>
      <c r="N4000" s="787">
        <v>7.65</v>
      </c>
      <c r="O4000" s="788">
        <v>42136</v>
      </c>
    </row>
    <row r="4001" spans="1:15" x14ac:dyDescent="0.25">
      <c r="A4001" s="786" t="s">
        <v>7817</v>
      </c>
      <c r="B4001" s="787">
        <v>4</v>
      </c>
      <c r="C4001" s="787" t="s">
        <v>7818</v>
      </c>
      <c r="D4001" s="787">
        <v>7.72</v>
      </c>
      <c r="E4001" s="787">
        <v>10.14</v>
      </c>
      <c r="F4001" s="788">
        <v>39905</v>
      </c>
      <c r="G4001" s="788">
        <v>42016</v>
      </c>
      <c r="H4001" s="787">
        <v>1</v>
      </c>
      <c r="I4001" s="788">
        <v>42018</v>
      </c>
      <c r="J4001" s="788">
        <v>42016</v>
      </c>
      <c r="L4001" s="787">
        <v>10.81</v>
      </c>
      <c r="M4001" s="787">
        <v>20</v>
      </c>
      <c r="N4001" s="787">
        <v>11.62</v>
      </c>
      <c r="O4001" s="788">
        <v>42054</v>
      </c>
    </row>
    <row r="4002" spans="1:15" x14ac:dyDescent="0.25">
      <c r="A4002" s="786" t="s">
        <v>7819</v>
      </c>
      <c r="B4002" s="787">
        <v>4</v>
      </c>
      <c r="C4002" s="787" t="s">
        <v>7820</v>
      </c>
      <c r="D4002" s="787">
        <v>8.0399999999999991</v>
      </c>
      <c r="E4002" s="787">
        <v>18</v>
      </c>
      <c r="F4002" s="788">
        <v>39101</v>
      </c>
      <c r="G4002" s="788">
        <v>39101</v>
      </c>
      <c r="H4002" s="787">
        <v>1</v>
      </c>
      <c r="I4002" s="788">
        <v>39134</v>
      </c>
      <c r="J4002" s="788">
        <v>39149</v>
      </c>
      <c r="L4002" s="787">
        <v>19.62</v>
      </c>
      <c r="M4002" s="787">
        <v>20</v>
      </c>
      <c r="N4002" s="787">
        <v>21.09</v>
      </c>
      <c r="O4002" s="788">
        <v>42124</v>
      </c>
    </row>
    <row r="4003" spans="1:15" x14ac:dyDescent="0.25">
      <c r="A4003" s="786" t="s">
        <v>7821</v>
      </c>
      <c r="B4003" s="787">
        <v>4</v>
      </c>
      <c r="C4003" s="787" t="s">
        <v>7822</v>
      </c>
      <c r="D4003" s="787">
        <v>4.6500000000000004</v>
      </c>
      <c r="E4003" s="787">
        <v>4.6500000000000004</v>
      </c>
      <c r="F4003" s="788">
        <v>38933</v>
      </c>
      <c r="G4003" s="788">
        <v>38933</v>
      </c>
      <c r="H4003" s="787">
        <v>1</v>
      </c>
      <c r="I4003" s="788">
        <v>39134</v>
      </c>
      <c r="J4003" s="788">
        <v>38950</v>
      </c>
      <c r="L4003" s="787">
        <v>4.6500000000000004</v>
      </c>
      <c r="M4003" s="787">
        <v>20</v>
      </c>
      <c r="N4003" s="787">
        <v>5</v>
      </c>
      <c r="O4003" s="788">
        <v>41858</v>
      </c>
    </row>
    <row r="4004" spans="1:15" x14ac:dyDescent="0.25">
      <c r="A4004" s="786" t="s">
        <v>7823</v>
      </c>
      <c r="B4004" s="787">
        <v>4</v>
      </c>
      <c r="C4004" s="787" t="s">
        <v>7824</v>
      </c>
      <c r="D4004" s="787">
        <v>2.2000000000000002</v>
      </c>
      <c r="E4004" s="787">
        <v>2.2000000000000002</v>
      </c>
      <c r="F4004" s="788">
        <v>37636</v>
      </c>
      <c r="G4004" s="788">
        <v>37636</v>
      </c>
      <c r="H4004" s="787">
        <v>6</v>
      </c>
      <c r="I4004" s="788">
        <v>40133</v>
      </c>
      <c r="J4004" s="788">
        <v>37636</v>
      </c>
      <c r="L4004" s="787">
        <v>2.4</v>
      </c>
      <c r="M4004" s="787">
        <v>20</v>
      </c>
      <c r="N4004" s="787">
        <v>2.37</v>
      </c>
      <c r="O4004" s="788">
        <v>41806</v>
      </c>
    </row>
    <row r="4005" spans="1:15" x14ac:dyDescent="0.25">
      <c r="A4005" s="786" t="s">
        <v>7825</v>
      </c>
      <c r="B4005" s="787">
        <v>4</v>
      </c>
      <c r="C4005" s="787" t="s">
        <v>7826</v>
      </c>
      <c r="D4005" s="787">
        <v>2.52</v>
      </c>
      <c r="E4005" s="787">
        <v>2.52</v>
      </c>
      <c r="F4005" s="788">
        <v>41547</v>
      </c>
      <c r="G4005" s="788">
        <v>41551</v>
      </c>
      <c r="H4005" s="787">
        <v>1</v>
      </c>
      <c r="I4005" s="788">
        <v>41688</v>
      </c>
      <c r="J4005" s="788">
        <v>41547</v>
      </c>
      <c r="K4005" s="788">
        <v>41869</v>
      </c>
      <c r="L4005" s="787">
        <v>2.52</v>
      </c>
      <c r="M4005" s="787">
        <v>20</v>
      </c>
      <c r="N4005" s="787">
        <v>11.62</v>
      </c>
      <c r="O4005" s="788">
        <v>41858</v>
      </c>
    </row>
    <row r="4006" spans="1:15" x14ac:dyDescent="0.25">
      <c r="A4006" s="786" t="s">
        <v>7827</v>
      </c>
      <c r="B4006" s="787">
        <v>4</v>
      </c>
      <c r="C4006" s="787" t="s">
        <v>7828</v>
      </c>
      <c r="D4006" s="787">
        <v>0.51</v>
      </c>
      <c r="E4006" s="787">
        <v>0.51</v>
      </c>
      <c r="F4006" s="788">
        <v>39101</v>
      </c>
      <c r="G4006" s="788">
        <v>39101</v>
      </c>
      <c r="H4006" s="787">
        <v>5</v>
      </c>
      <c r="I4006" s="788">
        <v>41204</v>
      </c>
      <c r="J4006" s="788">
        <v>39149</v>
      </c>
      <c r="K4006" s="788">
        <v>41869</v>
      </c>
      <c r="L4006" s="787">
        <v>0.51</v>
      </c>
      <c r="M4006" s="787">
        <v>20</v>
      </c>
      <c r="N4006" s="787">
        <v>0.55000000000000004</v>
      </c>
      <c r="O4006" s="788">
        <v>41869</v>
      </c>
    </row>
    <row r="4007" spans="1:15" x14ac:dyDescent="0.25">
      <c r="A4007" s="786" t="s">
        <v>7829</v>
      </c>
      <c r="B4007" s="787">
        <v>4</v>
      </c>
      <c r="C4007" s="787" t="s">
        <v>7830</v>
      </c>
      <c r="D4007" s="787">
        <v>0.98</v>
      </c>
      <c r="E4007" s="787">
        <v>10.98</v>
      </c>
      <c r="F4007" s="788">
        <v>39101</v>
      </c>
      <c r="G4007" s="788">
        <v>39101</v>
      </c>
      <c r="H4007" s="787">
        <v>1</v>
      </c>
      <c r="I4007" s="788">
        <v>39134</v>
      </c>
      <c r="J4007" s="788">
        <v>39149</v>
      </c>
      <c r="L4007" s="787">
        <v>11.97</v>
      </c>
      <c r="M4007" s="787">
        <v>20</v>
      </c>
      <c r="N4007" s="787">
        <v>12.87</v>
      </c>
      <c r="O4007" s="788">
        <v>41858</v>
      </c>
    </row>
    <row r="4008" spans="1:15" x14ac:dyDescent="0.25">
      <c r="A4008" s="786" t="s">
        <v>7831</v>
      </c>
      <c r="B4008" s="787">
        <v>4</v>
      </c>
      <c r="C4008" s="787" t="s">
        <v>7832</v>
      </c>
      <c r="D4008" s="787">
        <v>3.39</v>
      </c>
      <c r="E4008" s="787">
        <v>3.68</v>
      </c>
      <c r="F4008" s="788">
        <v>39742</v>
      </c>
      <c r="G4008" s="788">
        <v>41675</v>
      </c>
      <c r="H4008" s="787">
        <v>1</v>
      </c>
      <c r="I4008" s="788">
        <v>41920</v>
      </c>
      <c r="J4008" s="788">
        <v>41675</v>
      </c>
      <c r="K4008" s="788">
        <v>41869</v>
      </c>
      <c r="L4008" s="787">
        <v>3.68</v>
      </c>
      <c r="M4008" s="787">
        <v>20</v>
      </c>
      <c r="N4008" s="787">
        <v>3.96</v>
      </c>
      <c r="O4008" s="788">
        <v>42146</v>
      </c>
    </row>
    <row r="4009" spans="1:15" x14ac:dyDescent="0.25">
      <c r="A4009" s="786" t="s">
        <v>7833</v>
      </c>
      <c r="B4009" s="787">
        <v>4</v>
      </c>
      <c r="C4009" s="787" t="s">
        <v>7834</v>
      </c>
      <c r="D4009" s="787">
        <v>5.88</v>
      </c>
      <c r="E4009" s="787">
        <v>5.88</v>
      </c>
      <c r="F4009" s="788">
        <v>37636</v>
      </c>
      <c r="G4009" s="788">
        <v>38364</v>
      </c>
      <c r="H4009" s="787">
        <v>1</v>
      </c>
      <c r="I4009" s="788">
        <v>38736</v>
      </c>
      <c r="J4009" s="788">
        <v>37636</v>
      </c>
      <c r="L4009" s="787">
        <v>6.41</v>
      </c>
      <c r="M4009" s="787">
        <v>20</v>
      </c>
      <c r="N4009" s="787">
        <v>6.89</v>
      </c>
      <c r="O4009" s="788">
        <v>41858</v>
      </c>
    </row>
    <row r="4010" spans="1:15" x14ac:dyDescent="0.25">
      <c r="A4010" s="786" t="s">
        <v>7835</v>
      </c>
      <c r="B4010" s="787">
        <v>4</v>
      </c>
      <c r="C4010" s="787" t="s">
        <v>7836</v>
      </c>
      <c r="D4010" s="787">
        <v>4</v>
      </c>
      <c r="E4010" s="787">
        <v>74</v>
      </c>
      <c r="F4010" s="788">
        <v>37995</v>
      </c>
      <c r="G4010" s="788">
        <v>38364</v>
      </c>
      <c r="H4010" s="787">
        <v>1</v>
      </c>
      <c r="I4010" s="788">
        <v>38736</v>
      </c>
      <c r="J4010" s="788">
        <v>37992</v>
      </c>
      <c r="L4010" s="787">
        <v>80.66</v>
      </c>
      <c r="M4010" s="787">
        <v>20</v>
      </c>
      <c r="N4010" s="787">
        <v>86.71</v>
      </c>
      <c r="O4010" s="788">
        <v>41858</v>
      </c>
    </row>
    <row r="4011" spans="1:15" x14ac:dyDescent="0.25">
      <c r="A4011" s="786" t="s">
        <v>7837</v>
      </c>
      <c r="B4011" s="787">
        <v>4</v>
      </c>
      <c r="C4011" s="787" t="s">
        <v>7838</v>
      </c>
      <c r="D4011" s="787">
        <v>3.5</v>
      </c>
      <c r="E4011" s="787">
        <v>5.16</v>
      </c>
      <c r="F4011" s="788">
        <v>38146</v>
      </c>
      <c r="G4011" s="788">
        <v>41743</v>
      </c>
      <c r="H4011" s="787">
        <v>1</v>
      </c>
      <c r="I4011" s="788">
        <v>41911</v>
      </c>
      <c r="J4011" s="788">
        <v>42135</v>
      </c>
      <c r="K4011" s="788">
        <v>41731</v>
      </c>
      <c r="L4011" s="787">
        <v>5.16</v>
      </c>
      <c r="M4011" s="787">
        <v>20</v>
      </c>
      <c r="N4011" s="787">
        <v>5.55</v>
      </c>
      <c r="O4011" s="788">
        <v>42061</v>
      </c>
    </row>
    <row r="4012" spans="1:15" x14ac:dyDescent="0.25">
      <c r="A4012" s="786" t="s">
        <v>7839</v>
      </c>
      <c r="B4012" s="787">
        <v>4</v>
      </c>
      <c r="C4012" s="787" t="s">
        <v>7840</v>
      </c>
      <c r="D4012" s="787">
        <v>0.23</v>
      </c>
      <c r="E4012" s="787">
        <v>0.23</v>
      </c>
      <c r="F4012" s="788">
        <v>38285</v>
      </c>
      <c r="G4012" s="788">
        <v>38285</v>
      </c>
      <c r="H4012" s="787">
        <v>1</v>
      </c>
      <c r="J4012" s="788">
        <v>38279</v>
      </c>
      <c r="L4012" s="787">
        <v>0.25</v>
      </c>
      <c r="M4012" s="787">
        <v>20</v>
      </c>
      <c r="N4012" s="787">
        <v>0.27</v>
      </c>
      <c r="O4012" s="788">
        <v>41858</v>
      </c>
    </row>
    <row r="4013" spans="1:15" x14ac:dyDescent="0.25">
      <c r="A4013" s="786" t="s">
        <v>7841</v>
      </c>
      <c r="B4013" s="787">
        <v>4</v>
      </c>
      <c r="C4013" s="787" t="s">
        <v>7842</v>
      </c>
      <c r="D4013" s="787">
        <v>1.28</v>
      </c>
      <c r="E4013" s="787">
        <v>1.28</v>
      </c>
      <c r="F4013" s="788">
        <v>38331</v>
      </c>
      <c r="G4013" s="788">
        <v>38331</v>
      </c>
      <c r="H4013" s="787">
        <v>1</v>
      </c>
      <c r="J4013" s="788">
        <v>39692</v>
      </c>
      <c r="L4013" s="787">
        <v>1.4</v>
      </c>
      <c r="M4013" s="787">
        <v>20</v>
      </c>
      <c r="N4013" s="787">
        <v>1.51</v>
      </c>
      <c r="O4013" s="788">
        <v>41858</v>
      </c>
    </row>
    <row r="4014" spans="1:15" x14ac:dyDescent="0.25">
      <c r="A4014" s="786" t="s">
        <v>7843</v>
      </c>
      <c r="B4014" s="787">
        <v>4</v>
      </c>
      <c r="C4014" s="787" t="s">
        <v>7844</v>
      </c>
      <c r="D4014" s="787">
        <v>8.26</v>
      </c>
      <c r="E4014" s="787">
        <v>41.9</v>
      </c>
      <c r="F4014" s="788">
        <v>39617</v>
      </c>
      <c r="G4014" s="788">
        <v>42016</v>
      </c>
      <c r="H4014" s="787">
        <v>1</v>
      </c>
      <c r="I4014" s="788">
        <v>42115</v>
      </c>
      <c r="J4014" s="788">
        <v>42040</v>
      </c>
      <c r="L4014" s="787">
        <v>41.9</v>
      </c>
      <c r="M4014" s="787">
        <v>20</v>
      </c>
      <c r="N4014" s="787">
        <v>45.04</v>
      </c>
      <c r="O4014" s="788">
        <v>42162</v>
      </c>
    </row>
    <row r="4015" spans="1:15" x14ac:dyDescent="0.25">
      <c r="A4015" s="786" t="s">
        <v>7845</v>
      </c>
      <c r="B4015" s="787">
        <v>4</v>
      </c>
      <c r="C4015" s="787" t="s">
        <v>7846</v>
      </c>
      <c r="D4015" s="787">
        <v>4.16</v>
      </c>
      <c r="E4015" s="787">
        <v>4.16</v>
      </c>
      <c r="F4015" s="788">
        <v>39101</v>
      </c>
      <c r="G4015" s="788">
        <v>39101</v>
      </c>
      <c r="H4015" s="787">
        <v>1</v>
      </c>
      <c r="I4015" s="788">
        <v>41808</v>
      </c>
      <c r="J4015" s="788">
        <v>41824</v>
      </c>
      <c r="L4015" s="787">
        <v>4.16</v>
      </c>
      <c r="M4015" s="787">
        <v>20</v>
      </c>
      <c r="N4015" s="787">
        <v>4.47</v>
      </c>
      <c r="O4015" s="788">
        <v>41858</v>
      </c>
    </row>
    <row r="4016" spans="1:15" x14ac:dyDescent="0.25">
      <c r="A4016" s="786" t="s">
        <v>7847</v>
      </c>
      <c r="B4016" s="787">
        <v>4</v>
      </c>
      <c r="C4016" s="787" t="s">
        <v>7848</v>
      </c>
      <c r="D4016" s="787">
        <v>1.94</v>
      </c>
      <c r="E4016" s="787">
        <v>2</v>
      </c>
      <c r="F4016" s="788">
        <v>39741</v>
      </c>
      <c r="G4016" s="788">
        <v>42107</v>
      </c>
      <c r="H4016" s="787">
        <v>1</v>
      </c>
      <c r="I4016" s="788">
        <v>42104</v>
      </c>
      <c r="J4016" s="788">
        <v>42107</v>
      </c>
      <c r="L4016" s="787">
        <v>2</v>
      </c>
      <c r="M4016" s="787">
        <v>20</v>
      </c>
      <c r="N4016" s="787">
        <v>2.15</v>
      </c>
      <c r="O4016" s="788">
        <v>42146</v>
      </c>
    </row>
    <row r="4017" spans="1:15" x14ac:dyDescent="0.25">
      <c r="A4017" s="786" t="s">
        <v>7849</v>
      </c>
      <c r="B4017" s="787">
        <v>4</v>
      </c>
      <c r="C4017" s="787" t="s">
        <v>7850</v>
      </c>
      <c r="D4017" s="787">
        <v>2.33</v>
      </c>
      <c r="E4017" s="787">
        <v>2.4</v>
      </c>
      <c r="F4017" s="788">
        <v>39850</v>
      </c>
      <c r="G4017" s="788">
        <v>42039</v>
      </c>
      <c r="H4017" s="787">
        <v>1</v>
      </c>
      <c r="I4017" s="788">
        <v>42156</v>
      </c>
      <c r="J4017" s="788">
        <v>42039</v>
      </c>
      <c r="K4017" s="788">
        <v>41795</v>
      </c>
      <c r="L4017" s="787">
        <v>2.4</v>
      </c>
      <c r="M4017" s="787">
        <v>20</v>
      </c>
      <c r="N4017" s="787">
        <v>2.58</v>
      </c>
      <c r="O4017" s="788">
        <v>42146</v>
      </c>
    </row>
    <row r="4018" spans="1:15" x14ac:dyDescent="0.25">
      <c r="A4018" s="786" t="s">
        <v>7851</v>
      </c>
      <c r="B4018" s="787">
        <v>4</v>
      </c>
      <c r="C4018" s="787" t="s">
        <v>7852</v>
      </c>
      <c r="D4018" s="787">
        <v>1.46</v>
      </c>
      <c r="E4018" s="787">
        <v>1.51</v>
      </c>
      <c r="F4018" s="788">
        <v>39855</v>
      </c>
      <c r="G4018" s="788">
        <v>42079</v>
      </c>
      <c r="H4018" s="787">
        <v>1</v>
      </c>
      <c r="I4018" s="788">
        <v>42165</v>
      </c>
      <c r="J4018" s="788">
        <v>42144</v>
      </c>
      <c r="K4018" s="788">
        <v>41703</v>
      </c>
      <c r="L4018" s="787">
        <v>1.51</v>
      </c>
      <c r="M4018" s="787">
        <v>20</v>
      </c>
      <c r="N4018" s="787">
        <v>1.62</v>
      </c>
      <c r="O4018" s="788">
        <v>42146</v>
      </c>
    </row>
    <row r="4019" spans="1:15" x14ac:dyDescent="0.25">
      <c r="A4019" s="786" t="s">
        <v>7853</v>
      </c>
      <c r="B4019" s="787">
        <v>4</v>
      </c>
      <c r="C4019" s="787" t="s">
        <v>7854</v>
      </c>
      <c r="D4019" s="787">
        <v>1.69</v>
      </c>
      <c r="E4019" s="787">
        <v>2</v>
      </c>
      <c r="F4019" s="788">
        <v>41214</v>
      </c>
      <c r="G4019" s="788">
        <v>42092</v>
      </c>
      <c r="H4019" s="787">
        <v>1</v>
      </c>
      <c r="I4019" s="788">
        <v>42117</v>
      </c>
      <c r="J4019" s="788">
        <v>42079</v>
      </c>
      <c r="K4019" s="788">
        <v>40001</v>
      </c>
      <c r="L4019" s="787">
        <v>2</v>
      </c>
      <c r="M4019" s="787">
        <v>20</v>
      </c>
      <c r="N4019" s="787">
        <v>2.15</v>
      </c>
      <c r="O4019" s="788">
        <v>42146</v>
      </c>
    </row>
    <row r="4020" spans="1:15" x14ac:dyDescent="0.25">
      <c r="A4020" s="786" t="s">
        <v>7855</v>
      </c>
      <c r="B4020" s="787">
        <v>4</v>
      </c>
      <c r="C4020" s="787" t="s">
        <v>7856</v>
      </c>
      <c r="D4020" s="787">
        <v>1.55</v>
      </c>
      <c r="E4020" s="787">
        <v>1.55</v>
      </c>
      <c r="F4020" s="788">
        <v>41404</v>
      </c>
      <c r="G4020" s="788">
        <v>42013</v>
      </c>
      <c r="H4020" s="787">
        <v>1</v>
      </c>
      <c r="I4020" s="788">
        <v>41591</v>
      </c>
      <c r="J4020" s="788">
        <v>41446</v>
      </c>
      <c r="K4020" s="788">
        <v>41621</v>
      </c>
      <c r="L4020" s="787">
        <v>1.67</v>
      </c>
      <c r="M4020" s="787">
        <v>20</v>
      </c>
      <c r="N4020" s="787">
        <v>1.8</v>
      </c>
      <c r="O4020" s="788">
        <v>42163</v>
      </c>
    </row>
    <row r="4021" spans="1:15" x14ac:dyDescent="0.25">
      <c r="A4021" s="786" t="s">
        <v>7857</v>
      </c>
      <c r="B4021" s="787">
        <v>4</v>
      </c>
      <c r="C4021" s="787" t="s">
        <v>7858</v>
      </c>
      <c r="D4021" s="787">
        <v>0</v>
      </c>
      <c r="E4021" s="787">
        <v>0</v>
      </c>
      <c r="H4021" s="787">
        <v>1</v>
      </c>
      <c r="L4021" s="787">
        <v>0</v>
      </c>
      <c r="M4021" s="787">
        <v>20</v>
      </c>
      <c r="N4021" s="787">
        <v>0</v>
      </c>
      <c r="O4021" s="788">
        <v>40824</v>
      </c>
    </row>
    <row r="4022" spans="1:15" x14ac:dyDescent="0.25">
      <c r="A4022" s="786" t="s">
        <v>7859</v>
      </c>
      <c r="B4022" s="787">
        <v>4</v>
      </c>
      <c r="C4022" s="787" t="s">
        <v>7860</v>
      </c>
      <c r="D4022" s="787">
        <v>2.4</v>
      </c>
      <c r="E4022" s="787">
        <v>2.4</v>
      </c>
      <c r="F4022" s="788">
        <v>41375</v>
      </c>
      <c r="G4022" s="788">
        <v>41372</v>
      </c>
      <c r="H4022" s="787">
        <v>1</v>
      </c>
      <c r="I4022" s="788">
        <v>42075</v>
      </c>
      <c r="J4022" s="788">
        <v>42082</v>
      </c>
      <c r="L4022" s="787">
        <v>2.4</v>
      </c>
      <c r="M4022" s="787">
        <v>20</v>
      </c>
      <c r="N4022" s="787">
        <v>2.58</v>
      </c>
      <c r="O4022" s="788">
        <v>42066</v>
      </c>
    </row>
    <row r="4023" spans="1:15" x14ac:dyDescent="0.25">
      <c r="A4023" s="786" t="s">
        <v>7861</v>
      </c>
      <c r="B4023" s="787">
        <v>4</v>
      </c>
      <c r="C4023" s="787" t="s">
        <v>7862</v>
      </c>
      <c r="D4023" s="787">
        <v>3.15</v>
      </c>
      <c r="E4023" s="787">
        <v>3.15</v>
      </c>
      <c r="F4023" s="788">
        <v>41410</v>
      </c>
      <c r="G4023" s="788">
        <v>41401</v>
      </c>
      <c r="H4023" s="787">
        <v>1</v>
      </c>
      <c r="I4023" s="788">
        <v>41984</v>
      </c>
      <c r="J4023" s="788">
        <v>41429</v>
      </c>
      <c r="L4023" s="787">
        <v>3.15</v>
      </c>
      <c r="M4023" s="787">
        <v>20</v>
      </c>
      <c r="N4023" s="787">
        <v>3.39</v>
      </c>
      <c r="O4023" s="788">
        <v>41858</v>
      </c>
    </row>
    <row r="4024" spans="1:15" x14ac:dyDescent="0.25">
      <c r="A4024" s="786" t="s">
        <v>7863</v>
      </c>
      <c r="B4024" s="787">
        <v>4</v>
      </c>
      <c r="C4024" s="787" t="s">
        <v>7864</v>
      </c>
      <c r="D4024" s="787">
        <v>3.78</v>
      </c>
      <c r="E4024" s="787">
        <v>3.78</v>
      </c>
      <c r="F4024" s="788">
        <v>41410</v>
      </c>
      <c r="G4024" s="788">
        <v>42013</v>
      </c>
      <c r="H4024" s="787">
        <v>1</v>
      </c>
      <c r="I4024" s="788">
        <v>41984</v>
      </c>
      <c r="J4024" s="788">
        <v>41876</v>
      </c>
      <c r="L4024" s="787">
        <v>3.78</v>
      </c>
      <c r="M4024" s="787">
        <v>20</v>
      </c>
      <c r="N4024" s="787">
        <v>4.0599999999999996</v>
      </c>
      <c r="O4024" s="788">
        <v>41858</v>
      </c>
    </row>
    <row r="4025" spans="1:15" x14ac:dyDescent="0.25">
      <c r="A4025" s="786" t="s">
        <v>7865</v>
      </c>
      <c r="B4025" s="787">
        <v>4</v>
      </c>
      <c r="C4025" s="787" t="s">
        <v>7866</v>
      </c>
      <c r="D4025" s="787">
        <v>2.62</v>
      </c>
      <c r="E4025" s="787">
        <v>2.62</v>
      </c>
      <c r="F4025" s="788">
        <v>41512</v>
      </c>
      <c r="G4025" s="788">
        <v>42156</v>
      </c>
      <c r="H4025" s="787">
        <v>1</v>
      </c>
      <c r="I4025" s="788">
        <v>42165</v>
      </c>
      <c r="J4025" s="788">
        <v>42131</v>
      </c>
      <c r="L4025" s="787">
        <v>3.5</v>
      </c>
      <c r="M4025" s="787">
        <v>20</v>
      </c>
      <c r="N4025" s="787">
        <v>3.76</v>
      </c>
      <c r="O4025" s="788">
        <v>42146</v>
      </c>
    </row>
    <row r="4026" spans="1:15" x14ac:dyDescent="0.25">
      <c r="A4026" s="786" t="s">
        <v>7867</v>
      </c>
      <c r="B4026" s="787">
        <v>4</v>
      </c>
      <c r="C4026" s="787" t="s">
        <v>7868</v>
      </c>
      <c r="D4026" s="787">
        <v>4.21</v>
      </c>
      <c r="E4026" s="787">
        <v>15.68</v>
      </c>
      <c r="F4026" s="788">
        <v>41473</v>
      </c>
      <c r="G4026" s="788">
        <v>42093</v>
      </c>
      <c r="H4026" s="787">
        <v>1</v>
      </c>
      <c r="I4026" s="788">
        <v>42066</v>
      </c>
      <c r="J4026" s="788">
        <v>42069</v>
      </c>
      <c r="K4026" s="788">
        <v>42069</v>
      </c>
      <c r="L4026" s="787">
        <v>15.68</v>
      </c>
      <c r="M4026" s="787">
        <v>20</v>
      </c>
      <c r="N4026" s="787">
        <v>16.86</v>
      </c>
      <c r="O4026" s="788">
        <v>42069</v>
      </c>
    </row>
    <row r="4027" spans="1:15" x14ac:dyDescent="0.25">
      <c r="A4027" s="786" t="s">
        <v>7869</v>
      </c>
      <c r="B4027" s="787">
        <v>4</v>
      </c>
      <c r="C4027" s="787" t="s">
        <v>7870</v>
      </c>
      <c r="D4027" s="787">
        <v>1.59</v>
      </c>
      <c r="E4027" s="787">
        <v>1.59</v>
      </c>
      <c r="F4027" s="788">
        <v>39101</v>
      </c>
      <c r="G4027" s="788">
        <v>39101</v>
      </c>
      <c r="H4027" s="787">
        <v>1</v>
      </c>
      <c r="I4027" s="788">
        <v>39284</v>
      </c>
      <c r="J4027" s="788">
        <v>39149</v>
      </c>
      <c r="L4027" s="787">
        <v>1.73</v>
      </c>
      <c r="M4027" s="787">
        <v>20</v>
      </c>
      <c r="N4027" s="787">
        <v>1.86</v>
      </c>
      <c r="O4027" s="788">
        <v>42127</v>
      </c>
    </row>
    <row r="4028" spans="1:15" x14ac:dyDescent="0.25">
      <c r="A4028" s="786" t="s">
        <v>7871</v>
      </c>
      <c r="B4028" s="787">
        <v>4</v>
      </c>
      <c r="C4028" s="787" t="s">
        <v>7872</v>
      </c>
      <c r="D4028" s="787">
        <v>2.65</v>
      </c>
      <c r="E4028" s="787">
        <v>2.91</v>
      </c>
      <c r="F4028" s="788">
        <v>39101</v>
      </c>
      <c r="G4028" s="788">
        <v>42013</v>
      </c>
      <c r="H4028" s="787">
        <v>1</v>
      </c>
      <c r="I4028" s="788">
        <v>42037</v>
      </c>
      <c r="J4028" s="788">
        <v>39757</v>
      </c>
      <c r="L4028" s="787">
        <v>3.22</v>
      </c>
      <c r="M4028" s="787">
        <v>20</v>
      </c>
      <c r="N4028" s="787">
        <v>3.46</v>
      </c>
      <c r="O4028" s="788">
        <v>42135</v>
      </c>
    </row>
    <row r="4029" spans="1:15" x14ac:dyDescent="0.25">
      <c r="A4029" s="786" t="s">
        <v>7873</v>
      </c>
      <c r="B4029" s="787">
        <v>4</v>
      </c>
      <c r="C4029" s="787" t="s">
        <v>7874</v>
      </c>
      <c r="D4029" s="787">
        <v>1.53</v>
      </c>
      <c r="E4029" s="787">
        <v>1.6</v>
      </c>
      <c r="F4029" s="788">
        <v>39799</v>
      </c>
      <c r="G4029" s="788">
        <v>42142</v>
      </c>
      <c r="H4029" s="787">
        <v>1</v>
      </c>
      <c r="I4029" s="788">
        <v>42129</v>
      </c>
      <c r="J4029" s="788">
        <v>42124</v>
      </c>
      <c r="L4029" s="787">
        <v>1.69</v>
      </c>
      <c r="M4029" s="787">
        <v>20</v>
      </c>
      <c r="N4029" s="787">
        <v>1.82</v>
      </c>
      <c r="O4029" s="788">
        <v>42164</v>
      </c>
    </row>
    <row r="4030" spans="1:15" x14ac:dyDescent="0.25">
      <c r="A4030" s="786" t="s">
        <v>7875</v>
      </c>
      <c r="B4030" s="787">
        <v>4</v>
      </c>
      <c r="C4030" s="787" t="s">
        <v>7876</v>
      </c>
      <c r="D4030" s="787">
        <v>2.62</v>
      </c>
      <c r="E4030" s="787">
        <v>2.75</v>
      </c>
      <c r="F4030" s="788">
        <v>39688</v>
      </c>
      <c r="G4030" s="788">
        <v>42063</v>
      </c>
      <c r="H4030" s="787">
        <v>1</v>
      </c>
      <c r="I4030" s="788">
        <v>42163</v>
      </c>
      <c r="J4030" s="788">
        <v>42046</v>
      </c>
      <c r="L4030" s="787">
        <v>3.54</v>
      </c>
      <c r="M4030" s="787">
        <v>20</v>
      </c>
      <c r="N4030" s="787">
        <v>3.81</v>
      </c>
      <c r="O4030" s="788">
        <v>42163</v>
      </c>
    </row>
    <row r="4031" spans="1:15" x14ac:dyDescent="0.25">
      <c r="A4031" s="786" t="s">
        <v>7877</v>
      </c>
      <c r="B4031" s="787">
        <v>4</v>
      </c>
      <c r="C4031" s="787" t="s">
        <v>7878</v>
      </c>
      <c r="D4031" s="787">
        <v>1.29</v>
      </c>
      <c r="E4031" s="787">
        <v>1.29</v>
      </c>
      <c r="F4031" s="788">
        <v>38047</v>
      </c>
      <c r="G4031" s="788">
        <v>38736</v>
      </c>
      <c r="H4031" s="787">
        <v>1</v>
      </c>
      <c r="I4031" s="788">
        <v>39134</v>
      </c>
      <c r="J4031" s="788">
        <v>38047</v>
      </c>
      <c r="L4031" s="787">
        <v>1.41</v>
      </c>
      <c r="M4031" s="787">
        <v>20</v>
      </c>
      <c r="N4031" s="787">
        <v>1.52</v>
      </c>
      <c r="O4031" s="788">
        <v>42127</v>
      </c>
    </row>
    <row r="4032" spans="1:15" x14ac:dyDescent="0.25">
      <c r="A4032" s="786" t="s">
        <v>7879</v>
      </c>
      <c r="B4032" s="787">
        <v>4</v>
      </c>
      <c r="C4032" s="787" t="s">
        <v>7880</v>
      </c>
      <c r="D4032" s="787">
        <v>1.81</v>
      </c>
      <c r="E4032" s="787">
        <v>14.01</v>
      </c>
      <c r="F4032" s="788">
        <v>37636</v>
      </c>
      <c r="G4032" s="788">
        <v>39477</v>
      </c>
      <c r="H4032" s="787">
        <v>1</v>
      </c>
      <c r="I4032" s="788">
        <v>40133</v>
      </c>
      <c r="J4032" s="788">
        <v>39477</v>
      </c>
      <c r="L4032" s="787">
        <v>13.23</v>
      </c>
      <c r="M4032" s="787">
        <v>20</v>
      </c>
      <c r="N4032" s="787">
        <v>14.22</v>
      </c>
      <c r="O4032" s="788">
        <v>42144</v>
      </c>
    </row>
    <row r="4033" spans="1:15" x14ac:dyDescent="0.25">
      <c r="A4033" s="786" t="s">
        <v>7881</v>
      </c>
      <c r="B4033" s="787">
        <v>4</v>
      </c>
      <c r="C4033" s="787" t="s">
        <v>7882</v>
      </c>
      <c r="D4033" s="787">
        <v>3.24</v>
      </c>
      <c r="E4033" s="787">
        <v>3.39</v>
      </c>
      <c r="F4033" s="788">
        <v>39952</v>
      </c>
      <c r="G4033" s="788">
        <v>42063</v>
      </c>
      <c r="H4033" s="787">
        <v>1</v>
      </c>
      <c r="I4033" s="788">
        <v>42151</v>
      </c>
      <c r="J4033" s="788">
        <v>42046</v>
      </c>
      <c r="K4033" s="788">
        <v>42166</v>
      </c>
      <c r="L4033" s="787">
        <v>3.39</v>
      </c>
      <c r="M4033" s="787">
        <v>20</v>
      </c>
      <c r="N4033" s="787">
        <v>3.99</v>
      </c>
      <c r="O4033" s="788">
        <v>42163</v>
      </c>
    </row>
    <row r="4034" spans="1:15" x14ac:dyDescent="0.25">
      <c r="A4034" s="786" t="s">
        <v>7883</v>
      </c>
      <c r="B4034" s="787">
        <v>4</v>
      </c>
      <c r="C4034" s="787" t="s">
        <v>7884</v>
      </c>
      <c r="D4034" s="787">
        <v>6.25</v>
      </c>
      <c r="E4034" s="787">
        <v>28.09</v>
      </c>
      <c r="F4034" s="788">
        <v>39646</v>
      </c>
      <c r="G4034" s="788">
        <v>42143</v>
      </c>
      <c r="H4034" s="787">
        <v>1</v>
      </c>
      <c r="I4034" s="788">
        <v>42163</v>
      </c>
      <c r="J4034" s="788">
        <v>42128</v>
      </c>
      <c r="K4034" s="788">
        <v>42038</v>
      </c>
      <c r="L4034" s="787">
        <v>28.09</v>
      </c>
      <c r="M4034" s="787">
        <v>20</v>
      </c>
      <c r="N4034" s="787">
        <v>30.2</v>
      </c>
      <c r="O4034" s="788">
        <v>42163</v>
      </c>
    </row>
    <row r="4035" spans="1:15" x14ac:dyDescent="0.25">
      <c r="A4035" s="786" t="s">
        <v>7885</v>
      </c>
      <c r="B4035" s="787">
        <v>4</v>
      </c>
      <c r="C4035" s="787" t="s">
        <v>7886</v>
      </c>
      <c r="D4035" s="787">
        <v>1.57</v>
      </c>
      <c r="E4035" s="787">
        <v>2.8</v>
      </c>
      <c r="F4035" s="788">
        <v>39975</v>
      </c>
      <c r="G4035" s="788">
        <v>42143</v>
      </c>
      <c r="H4035" s="787">
        <v>1</v>
      </c>
      <c r="I4035" s="788">
        <v>42163</v>
      </c>
      <c r="J4035" s="788">
        <v>42128</v>
      </c>
      <c r="K4035" s="788">
        <v>41464</v>
      </c>
      <c r="L4035" s="787">
        <v>2.66</v>
      </c>
      <c r="M4035" s="787">
        <v>20</v>
      </c>
      <c r="N4035" s="787">
        <v>2.86</v>
      </c>
      <c r="O4035" s="788">
        <v>42163</v>
      </c>
    </row>
    <row r="4036" spans="1:15" x14ac:dyDescent="0.25">
      <c r="A4036" s="786" t="s">
        <v>7887</v>
      </c>
      <c r="B4036" s="787">
        <v>4</v>
      </c>
      <c r="C4036" s="787" t="s">
        <v>7888</v>
      </c>
      <c r="D4036" s="787">
        <v>2.15</v>
      </c>
      <c r="E4036" s="787">
        <v>208</v>
      </c>
      <c r="F4036" s="788">
        <v>39101</v>
      </c>
      <c r="G4036" s="788">
        <v>42159</v>
      </c>
      <c r="H4036" s="787">
        <v>1</v>
      </c>
      <c r="I4036" s="788">
        <v>42157</v>
      </c>
      <c r="J4036" s="788">
        <v>42159</v>
      </c>
      <c r="K4036" s="788">
        <v>40931</v>
      </c>
      <c r="L4036" s="787">
        <v>198.2</v>
      </c>
      <c r="M4036" s="787">
        <v>20</v>
      </c>
      <c r="N4036" s="787">
        <v>213.07</v>
      </c>
      <c r="O4036" s="788">
        <v>42164</v>
      </c>
    </row>
    <row r="4037" spans="1:15" x14ac:dyDescent="0.25">
      <c r="A4037" s="786" t="s">
        <v>7889</v>
      </c>
      <c r="B4037" s="787">
        <v>4</v>
      </c>
      <c r="C4037" s="787" t="s">
        <v>7890</v>
      </c>
      <c r="D4037" s="787">
        <v>3.79</v>
      </c>
      <c r="E4037" s="787">
        <v>4.6100000000000003</v>
      </c>
      <c r="F4037" s="788">
        <v>39255</v>
      </c>
      <c r="G4037" s="788">
        <v>42013</v>
      </c>
      <c r="H4037" s="787">
        <v>1</v>
      </c>
      <c r="I4037" s="788">
        <v>41477</v>
      </c>
      <c r="J4037" s="788">
        <v>41394</v>
      </c>
      <c r="L4037" s="787">
        <v>4.6100000000000003</v>
      </c>
      <c r="M4037" s="787">
        <v>20</v>
      </c>
      <c r="N4037" s="787">
        <v>4.96</v>
      </c>
      <c r="O4037" s="788">
        <v>42123</v>
      </c>
    </row>
    <row r="4038" spans="1:15" x14ac:dyDescent="0.25">
      <c r="A4038" s="786" t="s">
        <v>7891</v>
      </c>
      <c r="B4038" s="787">
        <v>4</v>
      </c>
      <c r="C4038" s="787" t="s">
        <v>7892</v>
      </c>
      <c r="D4038" s="787">
        <v>4.63</v>
      </c>
      <c r="E4038" s="787">
        <v>5.5</v>
      </c>
      <c r="F4038" s="788">
        <v>39255</v>
      </c>
      <c r="G4038" s="788">
        <v>41565</v>
      </c>
      <c r="H4038" s="787">
        <v>1</v>
      </c>
      <c r="I4038" s="788">
        <v>41477</v>
      </c>
      <c r="J4038" s="788">
        <v>41394</v>
      </c>
      <c r="L4038" s="787">
        <v>5.5</v>
      </c>
      <c r="M4038" s="787">
        <v>20</v>
      </c>
      <c r="N4038" s="787">
        <v>5.91</v>
      </c>
      <c r="O4038" s="788">
        <v>42123</v>
      </c>
    </row>
    <row r="4039" spans="1:15" x14ac:dyDescent="0.25">
      <c r="A4039" s="786" t="s">
        <v>7893</v>
      </c>
      <c r="B4039" s="787">
        <v>4</v>
      </c>
      <c r="C4039" s="787" t="s">
        <v>7894</v>
      </c>
      <c r="D4039" s="787">
        <v>0</v>
      </c>
      <c r="E4039" s="787">
        <v>0</v>
      </c>
      <c r="H4039" s="787">
        <v>1</v>
      </c>
      <c r="I4039" s="788">
        <v>41975</v>
      </c>
      <c r="J4039" s="788">
        <v>41890</v>
      </c>
      <c r="L4039" s="787">
        <v>0</v>
      </c>
      <c r="M4039" s="787">
        <v>20</v>
      </c>
      <c r="N4039" s="787">
        <v>0</v>
      </c>
      <c r="O4039" s="788">
        <v>40824</v>
      </c>
    </row>
    <row r="4040" spans="1:15" x14ac:dyDescent="0.25">
      <c r="A4040" s="786" t="s">
        <v>7895</v>
      </c>
      <c r="B4040" s="787">
        <v>4</v>
      </c>
      <c r="C4040" s="787" t="s">
        <v>7896</v>
      </c>
      <c r="D4040" s="787">
        <v>7.37</v>
      </c>
      <c r="E4040" s="787">
        <v>21.73</v>
      </c>
      <c r="F4040" s="788">
        <v>41168</v>
      </c>
      <c r="G4040" s="788">
        <v>42139</v>
      </c>
      <c r="H4040" s="787">
        <v>1</v>
      </c>
      <c r="I4040" s="788">
        <v>42160</v>
      </c>
      <c r="J4040" s="788">
        <v>42139</v>
      </c>
      <c r="K4040" s="788">
        <v>41795</v>
      </c>
      <c r="L4040" s="787">
        <v>21.73</v>
      </c>
      <c r="M4040" s="787">
        <v>20</v>
      </c>
      <c r="N4040" s="787">
        <v>23.36</v>
      </c>
      <c r="O4040" s="788">
        <v>42146</v>
      </c>
    </row>
    <row r="4041" spans="1:15" x14ac:dyDescent="0.25">
      <c r="A4041" s="786" t="s">
        <v>7897</v>
      </c>
      <c r="B4041" s="787">
        <v>4</v>
      </c>
      <c r="C4041" s="787" t="s">
        <v>7898</v>
      </c>
      <c r="D4041" s="787">
        <v>7.65</v>
      </c>
      <c r="E4041" s="787">
        <v>7.65</v>
      </c>
      <c r="F4041" s="788">
        <v>37636</v>
      </c>
      <c r="G4041" s="788">
        <v>37636</v>
      </c>
      <c r="H4041" s="787">
        <v>1</v>
      </c>
      <c r="J4041" s="788">
        <v>37636</v>
      </c>
      <c r="L4041" s="787">
        <v>8.34</v>
      </c>
      <c r="M4041" s="787">
        <v>20</v>
      </c>
      <c r="N4041" s="787">
        <v>8.9700000000000006</v>
      </c>
      <c r="O4041" s="788">
        <v>41858</v>
      </c>
    </row>
    <row r="4042" spans="1:15" x14ac:dyDescent="0.25">
      <c r="A4042" s="786" t="s">
        <v>7899</v>
      </c>
      <c r="B4042" s="787">
        <v>4</v>
      </c>
      <c r="C4042" s="787" t="s">
        <v>7900</v>
      </c>
      <c r="D4042" s="787">
        <v>4.91</v>
      </c>
      <c r="E4042" s="787">
        <v>4.91</v>
      </c>
      <c r="F4042" s="788">
        <v>39405</v>
      </c>
      <c r="G4042" s="788">
        <v>39405</v>
      </c>
      <c r="H4042" s="787">
        <v>1</v>
      </c>
      <c r="I4042" s="788">
        <v>41593</v>
      </c>
      <c r="J4042" s="788">
        <v>39384</v>
      </c>
      <c r="L4042" s="787">
        <v>4.91</v>
      </c>
      <c r="M4042" s="787">
        <v>20</v>
      </c>
      <c r="N4042" s="787">
        <v>5.28</v>
      </c>
      <c r="O4042" s="788">
        <v>41858</v>
      </c>
    </row>
    <row r="4043" spans="1:15" x14ac:dyDescent="0.25">
      <c r="A4043" s="786" t="s">
        <v>7901</v>
      </c>
      <c r="B4043" s="787">
        <v>4</v>
      </c>
      <c r="C4043" s="787" t="s">
        <v>7902</v>
      </c>
      <c r="D4043" s="787">
        <v>7.77</v>
      </c>
      <c r="E4043" s="787">
        <v>7.77</v>
      </c>
      <c r="F4043" s="788">
        <v>38047</v>
      </c>
      <c r="G4043" s="788">
        <v>38047</v>
      </c>
      <c r="H4043" s="787">
        <v>1</v>
      </c>
      <c r="J4043" s="788">
        <v>38047</v>
      </c>
      <c r="L4043" s="787">
        <v>8.4700000000000006</v>
      </c>
      <c r="M4043" s="787">
        <v>20</v>
      </c>
      <c r="N4043" s="787">
        <v>9.11</v>
      </c>
      <c r="O4043" s="788">
        <v>41858</v>
      </c>
    </row>
    <row r="4044" spans="1:15" x14ac:dyDescent="0.25">
      <c r="A4044" s="786" t="s">
        <v>7903</v>
      </c>
      <c r="B4044" s="787">
        <v>4</v>
      </c>
      <c r="C4044" s="787" t="s">
        <v>7904</v>
      </c>
      <c r="D4044" s="787">
        <v>6.44</v>
      </c>
      <c r="E4044" s="787">
        <v>8.5</v>
      </c>
      <c r="F4044" s="788">
        <v>39101</v>
      </c>
      <c r="G4044" s="788">
        <v>42013</v>
      </c>
      <c r="H4044" s="787">
        <v>1</v>
      </c>
      <c r="I4044" s="788">
        <v>42132</v>
      </c>
      <c r="J4044" s="788">
        <v>41801</v>
      </c>
      <c r="L4044" s="787">
        <v>6.86</v>
      </c>
      <c r="M4044" s="787">
        <v>20</v>
      </c>
      <c r="N4044" s="787">
        <v>7.37</v>
      </c>
      <c r="O4044" s="788">
        <v>42164</v>
      </c>
    </row>
    <row r="4045" spans="1:15" x14ac:dyDescent="0.25">
      <c r="A4045" s="786" t="s">
        <v>7905</v>
      </c>
      <c r="B4045" s="787">
        <v>4</v>
      </c>
      <c r="C4045" s="787" t="s">
        <v>7906</v>
      </c>
      <c r="D4045" s="787">
        <v>4.5999999999999996</v>
      </c>
      <c r="E4045" s="787">
        <v>4.5999999999999996</v>
      </c>
      <c r="F4045" s="788">
        <v>38047</v>
      </c>
      <c r="G4045" s="788">
        <v>38364</v>
      </c>
      <c r="H4045" s="787">
        <v>1</v>
      </c>
      <c r="I4045" s="788">
        <v>38736</v>
      </c>
      <c r="J4045" s="788">
        <v>38047</v>
      </c>
      <c r="L4045" s="787">
        <v>5.01</v>
      </c>
      <c r="M4045" s="787">
        <v>20</v>
      </c>
      <c r="N4045" s="787">
        <v>5.39</v>
      </c>
      <c r="O4045" s="788">
        <v>41858</v>
      </c>
    </row>
    <row r="4046" spans="1:15" x14ac:dyDescent="0.25">
      <c r="A4046" s="786" t="s">
        <v>7907</v>
      </c>
      <c r="B4046" s="787">
        <v>4</v>
      </c>
      <c r="C4046" s="787" t="s">
        <v>7908</v>
      </c>
      <c r="D4046" s="787">
        <v>4.17</v>
      </c>
      <c r="E4046" s="787">
        <v>6.8</v>
      </c>
      <c r="F4046" s="788">
        <v>39101</v>
      </c>
      <c r="G4046" s="788">
        <v>42013</v>
      </c>
      <c r="H4046" s="787">
        <v>1</v>
      </c>
      <c r="I4046" s="788">
        <v>42051</v>
      </c>
      <c r="J4046" s="788">
        <v>41810</v>
      </c>
      <c r="L4046" s="787">
        <v>4.32</v>
      </c>
      <c r="M4046" s="787">
        <v>20</v>
      </c>
      <c r="N4046" s="787">
        <v>4.6399999999999997</v>
      </c>
      <c r="O4046" s="788">
        <v>41858</v>
      </c>
    </row>
    <row r="4047" spans="1:15" x14ac:dyDescent="0.25">
      <c r="A4047" s="786" t="s">
        <v>7909</v>
      </c>
      <c r="B4047" s="787">
        <v>4</v>
      </c>
      <c r="C4047" s="787" t="s">
        <v>7910</v>
      </c>
      <c r="D4047" s="787">
        <v>4.2300000000000004</v>
      </c>
      <c r="E4047" s="787">
        <v>4.2300000000000004</v>
      </c>
      <c r="F4047" s="788">
        <v>39101</v>
      </c>
      <c r="G4047" s="788">
        <v>39101</v>
      </c>
      <c r="H4047" s="787">
        <v>1</v>
      </c>
      <c r="I4047" s="788">
        <v>38986</v>
      </c>
      <c r="J4047" s="788">
        <v>39101</v>
      </c>
      <c r="L4047" s="787">
        <v>4.6100000000000003</v>
      </c>
      <c r="M4047" s="787">
        <v>20</v>
      </c>
      <c r="N4047" s="787">
        <v>4.96</v>
      </c>
      <c r="O4047" s="788">
        <v>41858</v>
      </c>
    </row>
    <row r="4048" spans="1:15" x14ac:dyDescent="0.25">
      <c r="A4048" s="786" t="s">
        <v>7911</v>
      </c>
      <c r="B4048" s="787">
        <v>4</v>
      </c>
      <c r="C4048" s="787" t="s">
        <v>7912</v>
      </c>
      <c r="D4048" s="787">
        <v>0.56000000000000005</v>
      </c>
      <c r="E4048" s="787">
        <v>0.56000000000000005</v>
      </c>
      <c r="F4048" s="788">
        <v>37636</v>
      </c>
      <c r="G4048" s="788">
        <v>37636</v>
      </c>
      <c r="H4048" s="787">
        <v>1</v>
      </c>
      <c r="I4048" s="788">
        <v>38709</v>
      </c>
      <c r="J4048" s="788">
        <v>37636</v>
      </c>
      <c r="L4048" s="787">
        <v>0.61</v>
      </c>
      <c r="M4048" s="787">
        <v>20</v>
      </c>
      <c r="N4048" s="787">
        <v>0.66</v>
      </c>
      <c r="O4048" s="788">
        <v>41858</v>
      </c>
    </row>
    <row r="4049" spans="1:15" x14ac:dyDescent="0.25">
      <c r="A4049" s="786" t="s">
        <v>7913</v>
      </c>
      <c r="B4049" s="787">
        <v>4</v>
      </c>
      <c r="C4049" s="787" t="s">
        <v>7914</v>
      </c>
      <c r="D4049" s="787">
        <v>5.15</v>
      </c>
      <c r="E4049" s="787">
        <v>5.15</v>
      </c>
      <c r="F4049" s="788">
        <v>37636</v>
      </c>
      <c r="G4049" s="788">
        <v>37636</v>
      </c>
      <c r="H4049" s="787">
        <v>6</v>
      </c>
      <c r="J4049" s="788">
        <v>37636</v>
      </c>
      <c r="L4049" s="787">
        <v>5.61</v>
      </c>
      <c r="M4049" s="787">
        <v>20</v>
      </c>
      <c r="N4049" s="787">
        <v>5.54</v>
      </c>
      <c r="O4049" s="788">
        <v>41806</v>
      </c>
    </row>
    <row r="4050" spans="1:15" x14ac:dyDescent="0.25">
      <c r="A4050" s="786" t="s">
        <v>7915</v>
      </c>
      <c r="B4050" s="787">
        <v>4</v>
      </c>
      <c r="C4050" s="787" t="s">
        <v>7916</v>
      </c>
      <c r="D4050" s="787">
        <v>6.54</v>
      </c>
      <c r="E4050" s="787">
        <v>6.54</v>
      </c>
      <c r="F4050" s="788">
        <v>37636</v>
      </c>
      <c r="G4050" s="788">
        <v>37636</v>
      </c>
      <c r="H4050" s="787">
        <v>1</v>
      </c>
      <c r="J4050" s="788">
        <v>37636</v>
      </c>
      <c r="L4050" s="787">
        <v>7.13</v>
      </c>
      <c r="M4050" s="787">
        <v>20</v>
      </c>
      <c r="N4050" s="787">
        <v>7.66</v>
      </c>
      <c r="O4050" s="788">
        <v>41858</v>
      </c>
    </row>
    <row r="4051" spans="1:15" x14ac:dyDescent="0.25">
      <c r="A4051" s="786" t="s">
        <v>7917</v>
      </c>
      <c r="B4051" s="787">
        <v>4</v>
      </c>
      <c r="C4051" s="787" t="s">
        <v>7918</v>
      </c>
      <c r="D4051" s="787">
        <v>7.77</v>
      </c>
      <c r="E4051" s="787">
        <v>7.77</v>
      </c>
      <c r="F4051" s="788">
        <v>37636</v>
      </c>
      <c r="G4051" s="788">
        <v>37636</v>
      </c>
      <c r="H4051" s="787">
        <v>1</v>
      </c>
      <c r="J4051" s="788">
        <v>37636</v>
      </c>
      <c r="L4051" s="787">
        <v>8.4700000000000006</v>
      </c>
      <c r="M4051" s="787">
        <v>20</v>
      </c>
      <c r="N4051" s="787">
        <v>9.11</v>
      </c>
      <c r="O4051" s="788">
        <v>41858</v>
      </c>
    </row>
    <row r="4052" spans="1:15" x14ac:dyDescent="0.25">
      <c r="A4052" s="786" t="s">
        <v>7919</v>
      </c>
      <c r="B4052" s="787">
        <v>4</v>
      </c>
      <c r="C4052" s="787" t="s">
        <v>7920</v>
      </c>
      <c r="D4052" s="787">
        <v>5.2</v>
      </c>
      <c r="E4052" s="787">
        <v>5.2</v>
      </c>
      <c r="F4052" s="788">
        <v>41137</v>
      </c>
      <c r="G4052" s="788">
        <v>42013</v>
      </c>
      <c r="H4052" s="787">
        <v>1</v>
      </c>
      <c r="I4052" s="788">
        <v>42160</v>
      </c>
      <c r="J4052" s="788">
        <v>41852</v>
      </c>
      <c r="L4052" s="787">
        <v>7.41</v>
      </c>
      <c r="M4052" s="787">
        <v>20</v>
      </c>
      <c r="N4052" s="787">
        <v>7.97</v>
      </c>
      <c r="O4052" s="788">
        <v>42164</v>
      </c>
    </row>
    <row r="4053" spans="1:15" x14ac:dyDescent="0.25">
      <c r="A4053" s="786" t="s">
        <v>7921</v>
      </c>
      <c r="B4053" s="787">
        <v>4</v>
      </c>
      <c r="C4053" s="787" t="s">
        <v>7922</v>
      </c>
      <c r="D4053" s="787">
        <v>0.26</v>
      </c>
      <c r="E4053" s="787">
        <v>0.26</v>
      </c>
      <c r="F4053" s="788">
        <v>38606</v>
      </c>
      <c r="G4053" s="788">
        <v>38379</v>
      </c>
      <c r="H4053" s="787">
        <v>1</v>
      </c>
      <c r="I4053" s="788">
        <v>38397</v>
      </c>
      <c r="J4053" s="788">
        <v>38379</v>
      </c>
      <c r="L4053" s="787">
        <v>0.27</v>
      </c>
      <c r="M4053" s="787">
        <v>10</v>
      </c>
      <c r="N4053" s="787">
        <v>0.49</v>
      </c>
      <c r="O4053" s="788">
        <v>41858</v>
      </c>
    </row>
    <row r="4054" spans="1:15" x14ac:dyDescent="0.25">
      <c r="A4054" s="786" t="s">
        <v>7923</v>
      </c>
      <c r="B4054" s="787">
        <v>4</v>
      </c>
      <c r="C4054" s="787" t="s">
        <v>7924</v>
      </c>
      <c r="D4054" s="787">
        <v>0.19</v>
      </c>
      <c r="E4054" s="787">
        <v>0.19</v>
      </c>
      <c r="F4054" s="788">
        <v>38606</v>
      </c>
      <c r="G4054" s="788">
        <v>38606</v>
      </c>
      <c r="H4054" s="787">
        <v>1</v>
      </c>
      <c r="I4054" s="788">
        <v>38618</v>
      </c>
      <c r="J4054" s="788">
        <v>38602</v>
      </c>
      <c r="L4054" s="787">
        <v>0.24</v>
      </c>
      <c r="M4054" s="787">
        <v>10</v>
      </c>
      <c r="N4054" s="787">
        <v>0.32</v>
      </c>
      <c r="O4054" s="788">
        <v>41858</v>
      </c>
    </row>
    <row r="4055" spans="1:15" x14ac:dyDescent="0.25">
      <c r="A4055" s="786" t="s">
        <v>7925</v>
      </c>
      <c r="B4055" s="787">
        <v>4</v>
      </c>
      <c r="C4055" s="787" t="s">
        <v>7926</v>
      </c>
      <c r="D4055" s="787">
        <v>2.48</v>
      </c>
      <c r="E4055" s="787">
        <v>2.48</v>
      </c>
      <c r="F4055" s="788">
        <v>37636</v>
      </c>
      <c r="G4055" s="788">
        <v>37636</v>
      </c>
      <c r="H4055" s="787">
        <v>1</v>
      </c>
      <c r="I4055" s="788">
        <v>38310</v>
      </c>
      <c r="J4055" s="788">
        <v>37636</v>
      </c>
      <c r="L4055" s="787">
        <v>2.7</v>
      </c>
      <c r="M4055" s="787">
        <v>20</v>
      </c>
      <c r="N4055" s="787">
        <v>2.9</v>
      </c>
      <c r="O4055" s="788">
        <v>41858</v>
      </c>
    </row>
    <row r="4056" spans="1:15" x14ac:dyDescent="0.25">
      <c r="A4056" s="786" t="s">
        <v>7927</v>
      </c>
      <c r="B4056" s="787">
        <v>4</v>
      </c>
      <c r="C4056" s="787" t="s">
        <v>7928</v>
      </c>
      <c r="D4056" s="787">
        <v>8.59</v>
      </c>
      <c r="E4056" s="787">
        <v>8.59</v>
      </c>
      <c r="F4056" s="788">
        <v>37636</v>
      </c>
      <c r="G4056" s="788">
        <v>37636</v>
      </c>
      <c r="H4056" s="787">
        <v>1</v>
      </c>
      <c r="J4056" s="788">
        <v>37636</v>
      </c>
      <c r="L4056" s="787">
        <v>9.36</v>
      </c>
      <c r="M4056" s="787">
        <v>20</v>
      </c>
      <c r="N4056" s="787">
        <v>10.06</v>
      </c>
      <c r="O4056" s="788">
        <v>41858</v>
      </c>
    </row>
    <row r="4057" spans="1:15" x14ac:dyDescent="0.25">
      <c r="A4057" s="786" t="s">
        <v>7929</v>
      </c>
      <c r="B4057" s="787">
        <v>4</v>
      </c>
      <c r="C4057" s="787" t="s">
        <v>7930</v>
      </c>
      <c r="D4057" s="787">
        <v>3.86</v>
      </c>
      <c r="E4057" s="787">
        <v>13.86</v>
      </c>
      <c r="F4057" s="788">
        <v>37636</v>
      </c>
      <c r="G4057" s="788">
        <v>37636</v>
      </c>
      <c r="H4057" s="787">
        <v>1</v>
      </c>
      <c r="J4057" s="788">
        <v>37636</v>
      </c>
      <c r="L4057" s="787">
        <v>15.11</v>
      </c>
      <c r="M4057" s="787">
        <v>20</v>
      </c>
      <c r="N4057" s="787">
        <v>16.239999999999998</v>
      </c>
      <c r="O4057" s="788">
        <v>41858</v>
      </c>
    </row>
    <row r="4058" spans="1:15" x14ac:dyDescent="0.25">
      <c r="A4058" s="786" t="s">
        <v>7931</v>
      </c>
      <c r="B4058" s="787">
        <v>4</v>
      </c>
      <c r="C4058" s="787" t="s">
        <v>7932</v>
      </c>
      <c r="D4058" s="787">
        <v>2.25</v>
      </c>
      <c r="E4058" s="787">
        <v>12.25</v>
      </c>
      <c r="F4058" s="788">
        <v>41813</v>
      </c>
      <c r="G4058" s="788">
        <v>41813</v>
      </c>
      <c r="H4058" s="787">
        <v>1</v>
      </c>
      <c r="I4058" s="788">
        <v>42132</v>
      </c>
      <c r="J4058" s="788">
        <v>42019</v>
      </c>
      <c r="L4058" s="787">
        <v>17.28</v>
      </c>
      <c r="M4058" s="787">
        <v>10</v>
      </c>
      <c r="N4058" s="787">
        <v>16.2</v>
      </c>
      <c r="O4058" s="788">
        <v>42164</v>
      </c>
    </row>
    <row r="4059" spans="1:15" x14ac:dyDescent="0.25">
      <c r="A4059" s="786" t="s">
        <v>7933</v>
      </c>
      <c r="B4059" s="787">
        <v>4</v>
      </c>
      <c r="C4059" s="787" t="s">
        <v>7934</v>
      </c>
      <c r="D4059" s="787">
        <v>5.1100000000000003</v>
      </c>
      <c r="E4059" s="787">
        <v>5.1100000000000003</v>
      </c>
      <c r="F4059" s="788">
        <v>39140</v>
      </c>
      <c r="G4059" s="788">
        <v>42013</v>
      </c>
      <c r="H4059" s="787">
        <v>1</v>
      </c>
      <c r="I4059" s="788">
        <v>42132</v>
      </c>
      <c r="J4059" s="788">
        <v>41995</v>
      </c>
      <c r="L4059" s="787">
        <v>6</v>
      </c>
      <c r="M4059" s="787">
        <v>20</v>
      </c>
      <c r="N4059" s="787">
        <v>6.45</v>
      </c>
      <c r="O4059" s="788">
        <v>42164</v>
      </c>
    </row>
    <row r="4060" spans="1:15" x14ac:dyDescent="0.25">
      <c r="A4060" s="786" t="s">
        <v>7935</v>
      </c>
      <c r="B4060" s="787">
        <v>4</v>
      </c>
      <c r="C4060" s="787" t="s">
        <v>7918</v>
      </c>
      <c r="D4060" s="787">
        <v>8.08</v>
      </c>
      <c r="E4060" s="787">
        <v>8.08</v>
      </c>
      <c r="F4060" s="788">
        <v>37636</v>
      </c>
      <c r="G4060" s="788">
        <v>37636</v>
      </c>
      <c r="H4060" s="787">
        <v>1</v>
      </c>
      <c r="I4060" s="788">
        <v>38609</v>
      </c>
      <c r="J4060" s="788">
        <v>37636</v>
      </c>
      <c r="L4060" s="787">
        <v>8.81</v>
      </c>
      <c r="M4060" s="787">
        <v>20</v>
      </c>
      <c r="N4060" s="787">
        <v>9.4700000000000006</v>
      </c>
      <c r="O4060" s="788">
        <v>41858</v>
      </c>
    </row>
    <row r="4061" spans="1:15" x14ac:dyDescent="0.25">
      <c r="A4061" s="786" t="s">
        <v>7936</v>
      </c>
      <c r="B4061" s="787">
        <v>4</v>
      </c>
      <c r="C4061" s="787" t="s">
        <v>7937</v>
      </c>
      <c r="D4061" s="787">
        <v>8.9499999999999993</v>
      </c>
      <c r="E4061" s="787">
        <v>8.9499999999999993</v>
      </c>
      <c r="F4061" s="788">
        <v>38047</v>
      </c>
      <c r="G4061" s="788">
        <v>38047</v>
      </c>
      <c r="H4061" s="787">
        <v>1</v>
      </c>
      <c r="I4061" s="788">
        <v>37278</v>
      </c>
      <c r="J4061" s="788">
        <v>38047</v>
      </c>
      <c r="L4061" s="787">
        <v>9.76</v>
      </c>
      <c r="M4061" s="787">
        <v>20</v>
      </c>
      <c r="N4061" s="787">
        <v>10.49</v>
      </c>
      <c r="O4061" s="788">
        <v>41858</v>
      </c>
    </row>
    <row r="4062" spans="1:15" x14ac:dyDescent="0.25">
      <c r="A4062" s="786" t="s">
        <v>7938</v>
      </c>
      <c r="B4062" s="787">
        <v>4</v>
      </c>
      <c r="C4062" s="787" t="s">
        <v>7939</v>
      </c>
      <c r="D4062" s="787">
        <v>0</v>
      </c>
      <c r="E4062" s="787">
        <v>0</v>
      </c>
      <c r="H4062" s="787">
        <v>1</v>
      </c>
      <c r="J4062" s="788">
        <v>37636</v>
      </c>
      <c r="L4062" s="787">
        <v>0</v>
      </c>
      <c r="M4062" s="787">
        <v>20</v>
      </c>
      <c r="N4062" s="787">
        <v>0</v>
      </c>
      <c r="O4062" s="788">
        <v>40824</v>
      </c>
    </row>
    <row r="4063" spans="1:15" x14ac:dyDescent="0.25">
      <c r="A4063" s="786" t="s">
        <v>7940</v>
      </c>
      <c r="B4063" s="787">
        <v>4</v>
      </c>
      <c r="C4063" s="787" t="s">
        <v>7941</v>
      </c>
      <c r="D4063" s="787">
        <v>0</v>
      </c>
      <c r="E4063" s="787">
        <v>0</v>
      </c>
      <c r="H4063" s="787">
        <v>1</v>
      </c>
      <c r="I4063" s="788">
        <v>38709</v>
      </c>
      <c r="J4063" s="788">
        <v>38736</v>
      </c>
      <c r="L4063" s="787">
        <v>0.43</v>
      </c>
      <c r="M4063" s="787">
        <v>10</v>
      </c>
      <c r="N4063" s="787">
        <v>2.97</v>
      </c>
      <c r="O4063" s="788">
        <v>41858</v>
      </c>
    </row>
    <row r="4064" spans="1:15" x14ac:dyDescent="0.25">
      <c r="A4064" s="786" t="s">
        <v>7942</v>
      </c>
      <c r="B4064" s="787">
        <v>4</v>
      </c>
      <c r="C4064" s="787" t="s">
        <v>7943</v>
      </c>
      <c r="D4064" s="787">
        <v>2.78</v>
      </c>
      <c r="E4064" s="787">
        <v>8.65</v>
      </c>
      <c r="F4064" s="788">
        <v>39975</v>
      </c>
      <c r="G4064" s="788">
        <v>42164</v>
      </c>
      <c r="H4064" s="787">
        <v>1</v>
      </c>
      <c r="I4064" s="788">
        <v>42165</v>
      </c>
      <c r="J4064" s="788">
        <v>42164</v>
      </c>
      <c r="L4064" s="787">
        <v>0.42</v>
      </c>
      <c r="M4064" s="787">
        <v>10</v>
      </c>
      <c r="N4064" s="787">
        <v>8.9499999999999993</v>
      </c>
      <c r="O4064" s="788">
        <v>42162</v>
      </c>
    </row>
    <row r="4065" spans="1:15" x14ac:dyDescent="0.25">
      <c r="A4065" s="786" t="s">
        <v>7944</v>
      </c>
      <c r="B4065" s="787">
        <v>4</v>
      </c>
      <c r="C4065" s="787" t="s">
        <v>7945</v>
      </c>
      <c r="D4065" s="787">
        <v>1.25</v>
      </c>
      <c r="E4065" s="787">
        <v>1.25</v>
      </c>
      <c r="F4065" s="788">
        <v>37636</v>
      </c>
      <c r="G4065" s="788">
        <v>37636</v>
      </c>
      <c r="H4065" s="787">
        <v>1</v>
      </c>
      <c r="J4065" s="788">
        <v>37636</v>
      </c>
      <c r="L4065" s="787">
        <v>1.36</v>
      </c>
      <c r="M4065" s="787">
        <v>20</v>
      </c>
      <c r="N4065" s="787">
        <v>1.46</v>
      </c>
      <c r="O4065" s="788">
        <v>41858</v>
      </c>
    </row>
    <row r="4066" spans="1:15" x14ac:dyDescent="0.25">
      <c r="A4066" s="786" t="s">
        <v>7946</v>
      </c>
      <c r="B4066" s="787">
        <v>4</v>
      </c>
      <c r="C4066" s="787" t="s">
        <v>7947</v>
      </c>
      <c r="D4066" s="787">
        <v>0</v>
      </c>
      <c r="E4066" s="787">
        <v>0</v>
      </c>
      <c r="G4066" s="788">
        <v>41899</v>
      </c>
      <c r="H4066" s="787">
        <v>1</v>
      </c>
      <c r="I4066" s="788">
        <v>41899</v>
      </c>
      <c r="J4066" s="788">
        <v>41899</v>
      </c>
      <c r="L4066" s="787">
        <v>0.06</v>
      </c>
      <c r="M4066" s="787">
        <v>10</v>
      </c>
      <c r="N4066" s="787">
        <v>0.46</v>
      </c>
      <c r="O4066" s="788">
        <v>41955</v>
      </c>
    </row>
    <row r="4067" spans="1:15" x14ac:dyDescent="0.25">
      <c r="A4067" s="786" t="s">
        <v>7948</v>
      </c>
      <c r="B4067" s="787">
        <v>4</v>
      </c>
      <c r="C4067" s="787" t="s">
        <v>7949</v>
      </c>
      <c r="D4067" s="787">
        <v>2</v>
      </c>
      <c r="E4067" s="787">
        <v>42</v>
      </c>
      <c r="F4067" s="788">
        <v>39101</v>
      </c>
      <c r="G4067" s="788">
        <v>39101</v>
      </c>
      <c r="H4067" s="787">
        <v>1</v>
      </c>
      <c r="I4067" s="788">
        <v>42156</v>
      </c>
      <c r="J4067" s="788">
        <v>42016</v>
      </c>
      <c r="L4067" s="787">
        <v>45.78</v>
      </c>
      <c r="M4067" s="787">
        <v>20</v>
      </c>
      <c r="N4067" s="787">
        <v>49.21</v>
      </c>
      <c r="O4067" s="788">
        <v>42164</v>
      </c>
    </row>
    <row r="4068" spans="1:15" x14ac:dyDescent="0.25">
      <c r="A4068" s="786" t="s">
        <v>7950</v>
      </c>
      <c r="B4068" s="787">
        <v>4</v>
      </c>
      <c r="C4068" s="787" t="s">
        <v>7951</v>
      </c>
      <c r="D4068" s="787">
        <v>8.9</v>
      </c>
      <c r="E4068" s="787">
        <v>58.9</v>
      </c>
      <c r="F4068" s="788">
        <v>39101</v>
      </c>
      <c r="G4068" s="788">
        <v>39101</v>
      </c>
      <c r="H4068" s="787">
        <v>1</v>
      </c>
      <c r="I4068" s="788">
        <v>42102</v>
      </c>
      <c r="J4068" s="788">
        <v>42123</v>
      </c>
      <c r="L4068" s="787">
        <v>64.2</v>
      </c>
      <c r="M4068" s="787">
        <v>20</v>
      </c>
      <c r="N4068" s="787">
        <v>69.02</v>
      </c>
      <c r="O4068" s="788">
        <v>42163</v>
      </c>
    </row>
    <row r="4069" spans="1:15" x14ac:dyDescent="0.25">
      <c r="A4069" s="786" t="s">
        <v>7952</v>
      </c>
      <c r="B4069" s="787">
        <v>4</v>
      </c>
      <c r="C4069" s="787" t="s">
        <v>7953</v>
      </c>
      <c r="D4069" s="787">
        <v>0.38</v>
      </c>
      <c r="E4069" s="787">
        <v>3.7</v>
      </c>
      <c r="F4069" s="788">
        <v>39456</v>
      </c>
      <c r="G4069" s="788">
        <v>41943</v>
      </c>
      <c r="H4069" s="787">
        <v>1</v>
      </c>
      <c r="I4069" s="788">
        <v>42109</v>
      </c>
      <c r="J4069" s="788">
        <v>41744</v>
      </c>
      <c r="L4069" s="787">
        <v>0.76</v>
      </c>
      <c r="M4069" s="787">
        <v>10</v>
      </c>
      <c r="N4069" s="787">
        <v>2.04</v>
      </c>
      <c r="O4069" s="788">
        <v>42162</v>
      </c>
    </row>
    <row r="4070" spans="1:15" x14ac:dyDescent="0.25">
      <c r="A4070" s="786" t="s">
        <v>7954</v>
      </c>
      <c r="B4070" s="787">
        <v>4</v>
      </c>
      <c r="C4070" s="787" t="s">
        <v>7955</v>
      </c>
      <c r="D4070" s="787">
        <v>0</v>
      </c>
      <c r="E4070" s="787">
        <v>0</v>
      </c>
      <c r="H4070" s="787">
        <v>1</v>
      </c>
      <c r="I4070" s="788">
        <v>39170</v>
      </c>
      <c r="J4070" s="788">
        <v>39101</v>
      </c>
      <c r="L4070" s="787">
        <v>0.06</v>
      </c>
      <c r="M4070" s="787">
        <v>10</v>
      </c>
      <c r="N4070" s="787">
        <v>0.46</v>
      </c>
      <c r="O4070" s="788">
        <v>41858</v>
      </c>
    </row>
    <row r="4071" spans="1:15" x14ac:dyDescent="0.25">
      <c r="A4071" s="786" t="s">
        <v>7956</v>
      </c>
      <c r="B4071" s="787">
        <v>4</v>
      </c>
      <c r="C4071" s="787" t="s">
        <v>7957</v>
      </c>
      <c r="D4071" s="787">
        <v>1.31</v>
      </c>
      <c r="E4071" s="787">
        <v>2.0099999999999998</v>
      </c>
      <c r="F4071" s="788">
        <v>39101</v>
      </c>
      <c r="G4071" s="788">
        <v>40178</v>
      </c>
      <c r="H4071" s="787">
        <v>1</v>
      </c>
      <c r="I4071" s="788">
        <v>40470</v>
      </c>
      <c r="J4071" s="788">
        <v>40053</v>
      </c>
      <c r="L4071" s="787">
        <v>1.4</v>
      </c>
      <c r="M4071" s="787">
        <v>20</v>
      </c>
      <c r="N4071" s="787">
        <v>1.51</v>
      </c>
      <c r="O4071" s="788">
        <v>42087</v>
      </c>
    </row>
    <row r="4072" spans="1:15" x14ac:dyDescent="0.25">
      <c r="A4072" s="786" t="s">
        <v>7958</v>
      </c>
      <c r="B4072" s="787">
        <v>4</v>
      </c>
      <c r="C4072" s="787" t="s">
        <v>7959</v>
      </c>
      <c r="D4072" s="787">
        <v>0</v>
      </c>
      <c r="E4072" s="787">
        <v>0</v>
      </c>
      <c r="H4072" s="787">
        <v>1</v>
      </c>
      <c r="L4072" s="787">
        <v>0</v>
      </c>
      <c r="M4072" s="787">
        <v>10</v>
      </c>
      <c r="N4072" s="787">
        <v>0</v>
      </c>
      <c r="O4072" s="788">
        <v>41858</v>
      </c>
    </row>
    <row r="4073" spans="1:15" x14ac:dyDescent="0.25">
      <c r="A4073" s="786" t="s">
        <v>7960</v>
      </c>
      <c r="B4073" s="787">
        <v>4</v>
      </c>
      <c r="C4073" s="787" t="s">
        <v>7961</v>
      </c>
      <c r="D4073" s="787">
        <v>0.03</v>
      </c>
      <c r="E4073" s="787">
        <v>0.5</v>
      </c>
      <c r="F4073" s="788">
        <v>42051</v>
      </c>
      <c r="G4073" s="788">
        <v>42165</v>
      </c>
      <c r="H4073" s="787">
        <v>1</v>
      </c>
      <c r="I4073" s="788">
        <v>42157</v>
      </c>
      <c r="J4073" s="788">
        <v>42142</v>
      </c>
      <c r="K4073" s="788">
        <v>41200</v>
      </c>
      <c r="L4073" s="787">
        <v>0.65</v>
      </c>
      <c r="M4073" s="787">
        <v>20</v>
      </c>
      <c r="N4073" s="787">
        <v>0.7</v>
      </c>
      <c r="O4073" s="788">
        <v>42164</v>
      </c>
    </row>
    <row r="4074" spans="1:15" x14ac:dyDescent="0.25">
      <c r="A4074" s="786" t="s">
        <v>7962</v>
      </c>
      <c r="B4074" s="787">
        <v>4</v>
      </c>
      <c r="C4074" s="787" t="s">
        <v>7963</v>
      </c>
      <c r="D4074" s="787">
        <v>0</v>
      </c>
      <c r="E4074" s="787">
        <v>0</v>
      </c>
      <c r="G4074" s="788">
        <v>39590</v>
      </c>
      <c r="H4074" s="787">
        <v>1</v>
      </c>
      <c r="I4074" s="788">
        <v>39134</v>
      </c>
      <c r="J4074" s="788">
        <v>39149</v>
      </c>
      <c r="L4074" s="787">
        <v>0</v>
      </c>
      <c r="M4074" s="787">
        <v>10</v>
      </c>
      <c r="N4074" s="787">
        <v>0.43</v>
      </c>
      <c r="O4074" s="788">
        <v>41858</v>
      </c>
    </row>
    <row r="4075" spans="1:15" x14ac:dyDescent="0.25">
      <c r="A4075" s="786" t="s">
        <v>7964</v>
      </c>
      <c r="B4075" s="787">
        <v>4</v>
      </c>
      <c r="C4075" s="787" t="s">
        <v>7965</v>
      </c>
      <c r="D4075" s="787">
        <v>0.26</v>
      </c>
      <c r="E4075" s="787">
        <v>1.44</v>
      </c>
      <c r="F4075" s="788">
        <v>39975</v>
      </c>
      <c r="G4075" s="788">
        <v>42146</v>
      </c>
      <c r="H4075" s="787">
        <v>1</v>
      </c>
      <c r="I4075" s="788">
        <v>42157</v>
      </c>
      <c r="J4075" s="788">
        <v>42146</v>
      </c>
      <c r="K4075" s="788">
        <v>41396</v>
      </c>
      <c r="L4075" s="787">
        <v>1.23</v>
      </c>
      <c r="M4075" s="787">
        <v>10</v>
      </c>
      <c r="N4075" s="787">
        <v>2.13</v>
      </c>
      <c r="O4075" s="788">
        <v>42164</v>
      </c>
    </row>
    <row r="4076" spans="1:15" x14ac:dyDescent="0.25">
      <c r="A4076" s="786" t="s">
        <v>7966</v>
      </c>
      <c r="B4076" s="787">
        <v>4</v>
      </c>
      <c r="C4076" s="787" t="s">
        <v>7967</v>
      </c>
      <c r="D4076" s="787">
        <v>0</v>
      </c>
      <c r="E4076" s="787">
        <v>0</v>
      </c>
      <c r="H4076" s="787">
        <v>1</v>
      </c>
      <c r="L4076" s="787">
        <v>0</v>
      </c>
      <c r="M4076" s="787">
        <v>10</v>
      </c>
      <c r="N4076" s="787">
        <v>0.44</v>
      </c>
      <c r="O4076" s="788">
        <v>41858</v>
      </c>
    </row>
    <row r="4077" spans="1:15" x14ac:dyDescent="0.25">
      <c r="A4077" s="786" t="s">
        <v>7968</v>
      </c>
      <c r="B4077" s="787">
        <v>4</v>
      </c>
      <c r="C4077" s="787" t="s">
        <v>7969</v>
      </c>
      <c r="D4077" s="787">
        <v>2.78</v>
      </c>
      <c r="E4077" s="787">
        <v>2.78</v>
      </c>
      <c r="F4077" s="788">
        <v>39101</v>
      </c>
      <c r="G4077" s="788">
        <v>41943</v>
      </c>
      <c r="H4077" s="787">
        <v>1</v>
      </c>
      <c r="I4077" s="788">
        <v>40059</v>
      </c>
      <c r="J4077" s="788">
        <v>39149</v>
      </c>
      <c r="L4077" s="787">
        <v>1.32</v>
      </c>
      <c r="M4077" s="787">
        <v>10</v>
      </c>
      <c r="N4077" s="787">
        <v>2.2999999999999998</v>
      </c>
      <c r="O4077" s="788">
        <v>41858</v>
      </c>
    </row>
    <row r="4078" spans="1:15" x14ac:dyDescent="0.25">
      <c r="A4078" s="786" t="s">
        <v>7970</v>
      </c>
      <c r="B4078" s="787">
        <v>4</v>
      </c>
      <c r="C4078" s="787" t="s">
        <v>7971</v>
      </c>
      <c r="D4078" s="787">
        <v>2.54</v>
      </c>
      <c r="E4078" s="787">
        <v>2.54</v>
      </c>
      <c r="F4078" s="788">
        <v>39101</v>
      </c>
      <c r="G4078" s="788">
        <v>41943</v>
      </c>
      <c r="H4078" s="787">
        <v>1</v>
      </c>
      <c r="I4078" s="788">
        <v>39598</v>
      </c>
      <c r="J4078" s="788">
        <v>39149</v>
      </c>
      <c r="L4078" s="787">
        <v>1.24</v>
      </c>
      <c r="M4078" s="787">
        <v>10</v>
      </c>
      <c r="N4078" s="787">
        <v>2.2000000000000002</v>
      </c>
      <c r="O4078" s="788">
        <v>41858</v>
      </c>
    </row>
    <row r="4079" spans="1:15" x14ac:dyDescent="0.25">
      <c r="A4079" s="786" t="s">
        <v>7972</v>
      </c>
      <c r="B4079" s="787">
        <v>4</v>
      </c>
      <c r="C4079" s="787" t="s">
        <v>7973</v>
      </c>
      <c r="D4079" s="787">
        <v>0.04</v>
      </c>
      <c r="E4079" s="787">
        <v>1.1000000000000001</v>
      </c>
      <c r="F4079" s="788">
        <v>39456</v>
      </c>
      <c r="G4079" s="788">
        <v>41513</v>
      </c>
      <c r="H4079" s="787">
        <v>1</v>
      </c>
      <c r="I4079" s="788">
        <v>40518</v>
      </c>
      <c r="J4079" s="788">
        <v>41486</v>
      </c>
      <c r="K4079" s="788">
        <v>40520</v>
      </c>
      <c r="L4079" s="787">
        <v>0.92</v>
      </c>
      <c r="M4079" s="787">
        <v>10</v>
      </c>
      <c r="N4079" s="787">
        <v>6.67</v>
      </c>
      <c r="O4079" s="788">
        <v>42048</v>
      </c>
    </row>
    <row r="4080" spans="1:15" x14ac:dyDescent="0.25">
      <c r="A4080" s="786" t="s">
        <v>7974</v>
      </c>
      <c r="B4080" s="787">
        <v>4</v>
      </c>
      <c r="C4080" s="787" t="s">
        <v>7975</v>
      </c>
      <c r="D4080" s="787">
        <v>0.56999999999999995</v>
      </c>
      <c r="E4080" s="787">
        <v>1.95</v>
      </c>
      <c r="F4080" s="788">
        <v>39101</v>
      </c>
      <c r="G4080" s="788">
        <v>41513</v>
      </c>
      <c r="H4080" s="787">
        <v>1</v>
      </c>
      <c r="I4080" s="788">
        <v>40141</v>
      </c>
      <c r="J4080" s="788">
        <v>41486</v>
      </c>
      <c r="L4080" s="787">
        <v>0.56999999999999995</v>
      </c>
      <c r="M4080" s="787">
        <v>10</v>
      </c>
      <c r="N4080" s="787">
        <v>9.09</v>
      </c>
      <c r="O4080" s="788">
        <v>42048</v>
      </c>
    </row>
    <row r="4081" spans="1:15" x14ac:dyDescent="0.25">
      <c r="A4081" s="786" t="s">
        <v>7976</v>
      </c>
      <c r="B4081" s="787">
        <v>4</v>
      </c>
      <c r="C4081" s="787" t="s">
        <v>7977</v>
      </c>
      <c r="D4081" s="787">
        <v>4.2</v>
      </c>
      <c r="E4081" s="787">
        <v>4.2</v>
      </c>
      <c r="F4081" s="788">
        <v>41206</v>
      </c>
      <c r="G4081" s="788">
        <v>41614</v>
      </c>
      <c r="H4081" s="787">
        <v>1</v>
      </c>
      <c r="I4081" s="788">
        <v>42166</v>
      </c>
      <c r="J4081" s="788">
        <v>42114</v>
      </c>
      <c r="K4081" s="788">
        <v>41817</v>
      </c>
      <c r="L4081" s="787">
        <v>4.2</v>
      </c>
      <c r="M4081" s="787">
        <v>20</v>
      </c>
      <c r="N4081" s="787">
        <v>4.5199999999999996</v>
      </c>
      <c r="O4081" s="788">
        <v>42164</v>
      </c>
    </row>
    <row r="4082" spans="1:15" x14ac:dyDescent="0.25">
      <c r="A4082" s="786" t="s">
        <v>7978</v>
      </c>
      <c r="B4082" s="787">
        <v>4</v>
      </c>
      <c r="C4082" s="787" t="s">
        <v>7979</v>
      </c>
      <c r="D4082" s="787">
        <v>4</v>
      </c>
      <c r="E4082" s="787">
        <v>4</v>
      </c>
      <c r="F4082" s="788">
        <v>41206</v>
      </c>
      <c r="G4082" s="788">
        <v>42013</v>
      </c>
      <c r="H4082" s="787">
        <v>1</v>
      </c>
      <c r="I4082" s="788">
        <v>42166</v>
      </c>
      <c r="J4082" s="788">
        <v>41990</v>
      </c>
      <c r="L4082" s="787">
        <v>4</v>
      </c>
      <c r="M4082" s="787">
        <v>20</v>
      </c>
      <c r="N4082" s="787">
        <v>4.3</v>
      </c>
      <c r="O4082" s="788">
        <v>42162</v>
      </c>
    </row>
    <row r="4083" spans="1:15" x14ac:dyDescent="0.25">
      <c r="A4083" s="786" t="s">
        <v>7980</v>
      </c>
      <c r="B4083" s="787">
        <v>4</v>
      </c>
      <c r="C4083" s="787" t="s">
        <v>7981</v>
      </c>
      <c r="D4083" s="787">
        <v>7.25</v>
      </c>
      <c r="E4083" s="787">
        <v>7.25</v>
      </c>
      <c r="F4083" s="788">
        <v>39608</v>
      </c>
      <c r="G4083" s="788">
        <v>39605</v>
      </c>
      <c r="H4083" s="787">
        <v>1</v>
      </c>
      <c r="I4083" s="788">
        <v>39605</v>
      </c>
      <c r="J4083" s="788">
        <v>39605</v>
      </c>
      <c r="L4083" s="787">
        <v>7.25</v>
      </c>
      <c r="M4083" s="787">
        <v>20</v>
      </c>
      <c r="N4083" s="787">
        <v>7.79</v>
      </c>
      <c r="O4083" s="788">
        <v>41858</v>
      </c>
    </row>
    <row r="4084" spans="1:15" x14ac:dyDescent="0.25">
      <c r="A4084" s="786" t="s">
        <v>7982</v>
      </c>
      <c r="B4084" s="787">
        <v>4</v>
      </c>
      <c r="C4084" s="787" t="s">
        <v>7983</v>
      </c>
      <c r="D4084" s="787">
        <v>5.83</v>
      </c>
      <c r="E4084" s="787">
        <v>5.83</v>
      </c>
      <c r="F4084" s="788">
        <v>39608</v>
      </c>
      <c r="G4084" s="788">
        <v>39605</v>
      </c>
      <c r="H4084" s="787">
        <v>1</v>
      </c>
      <c r="I4084" s="788">
        <v>39605</v>
      </c>
      <c r="J4084" s="788">
        <v>39616</v>
      </c>
      <c r="L4084" s="787">
        <v>5.83</v>
      </c>
      <c r="M4084" s="787">
        <v>20</v>
      </c>
      <c r="N4084" s="787">
        <v>6.27</v>
      </c>
      <c r="O4084" s="788">
        <v>41858</v>
      </c>
    </row>
    <row r="4085" spans="1:15" x14ac:dyDescent="0.25">
      <c r="A4085" s="786" t="s">
        <v>7984</v>
      </c>
      <c r="B4085" s="787">
        <v>4</v>
      </c>
      <c r="C4085" s="787" t="s">
        <v>7985</v>
      </c>
      <c r="D4085" s="787">
        <v>2.4</v>
      </c>
      <c r="E4085" s="787">
        <v>2.4</v>
      </c>
      <c r="F4085" s="788">
        <v>39617</v>
      </c>
      <c r="G4085" s="788">
        <v>39608</v>
      </c>
      <c r="H4085" s="787">
        <v>1</v>
      </c>
      <c r="I4085" s="788">
        <v>39608</v>
      </c>
      <c r="J4085" s="788">
        <v>39608</v>
      </c>
      <c r="L4085" s="787">
        <v>2.4</v>
      </c>
      <c r="M4085" s="787">
        <v>20</v>
      </c>
      <c r="N4085" s="787">
        <v>2.58</v>
      </c>
      <c r="O4085" s="788">
        <v>41858</v>
      </c>
    </row>
    <row r="4086" spans="1:15" x14ac:dyDescent="0.25">
      <c r="A4086" s="786" t="s">
        <v>7986</v>
      </c>
      <c r="B4086" s="787">
        <v>4</v>
      </c>
      <c r="C4086" s="787" t="s">
        <v>7987</v>
      </c>
      <c r="D4086" s="787">
        <v>2.4</v>
      </c>
      <c r="E4086" s="787">
        <v>2.4</v>
      </c>
      <c r="F4086" s="788">
        <v>39617</v>
      </c>
      <c r="G4086" s="788">
        <v>39608</v>
      </c>
      <c r="H4086" s="787">
        <v>1</v>
      </c>
      <c r="I4086" s="788">
        <v>39608</v>
      </c>
      <c r="J4086" s="788">
        <v>39615</v>
      </c>
      <c r="L4086" s="787">
        <v>2.4</v>
      </c>
      <c r="M4086" s="787">
        <v>20</v>
      </c>
      <c r="N4086" s="787">
        <v>2.58</v>
      </c>
      <c r="O4086" s="788">
        <v>41858</v>
      </c>
    </row>
    <row r="4087" spans="1:15" x14ac:dyDescent="0.25">
      <c r="A4087" s="786" t="s">
        <v>7988</v>
      </c>
      <c r="B4087" s="787">
        <v>4</v>
      </c>
      <c r="C4087" s="787" t="s">
        <v>7989</v>
      </c>
      <c r="D4087" s="787">
        <v>4.3</v>
      </c>
      <c r="E4087" s="787">
        <v>6.96</v>
      </c>
      <c r="F4087" s="788">
        <v>41333</v>
      </c>
      <c r="G4087" s="788">
        <v>42156</v>
      </c>
      <c r="H4087" s="787">
        <v>1</v>
      </c>
      <c r="I4087" s="788">
        <v>42156</v>
      </c>
      <c r="J4087" s="788">
        <v>42145</v>
      </c>
      <c r="K4087" s="788">
        <v>41494</v>
      </c>
      <c r="L4087" s="787">
        <v>6.96</v>
      </c>
      <c r="M4087" s="787">
        <v>20</v>
      </c>
      <c r="N4087" s="787">
        <v>7.48</v>
      </c>
      <c r="O4087" s="788">
        <v>42146</v>
      </c>
    </row>
    <row r="4088" spans="1:15" x14ac:dyDescent="0.25">
      <c r="A4088" s="786" t="s">
        <v>7990</v>
      </c>
      <c r="B4088" s="787">
        <v>4</v>
      </c>
      <c r="C4088" s="787" t="s">
        <v>7991</v>
      </c>
      <c r="D4088" s="787">
        <v>1.65</v>
      </c>
      <c r="E4088" s="787">
        <v>11.65</v>
      </c>
      <c r="F4088" s="788">
        <v>39910</v>
      </c>
      <c r="G4088" s="788">
        <v>39910</v>
      </c>
      <c r="H4088" s="787">
        <v>1</v>
      </c>
      <c r="I4088" s="788">
        <v>42093</v>
      </c>
      <c r="J4088" s="788">
        <v>41733</v>
      </c>
      <c r="K4088" s="788">
        <v>41708</v>
      </c>
      <c r="L4088" s="787">
        <v>12</v>
      </c>
      <c r="M4088" s="787">
        <v>20</v>
      </c>
      <c r="N4088" s="787">
        <v>12.9</v>
      </c>
      <c r="O4088" s="788">
        <v>42146</v>
      </c>
    </row>
    <row r="4089" spans="1:15" x14ac:dyDescent="0.25">
      <c r="A4089" s="786" t="s">
        <v>7992</v>
      </c>
      <c r="B4089" s="787">
        <v>4</v>
      </c>
      <c r="C4089" s="787" t="s">
        <v>7993</v>
      </c>
      <c r="D4089" s="787">
        <v>7.77</v>
      </c>
      <c r="E4089" s="787">
        <v>8.99</v>
      </c>
      <c r="F4089" s="788">
        <v>40955</v>
      </c>
      <c r="G4089" s="788">
        <v>42156</v>
      </c>
      <c r="H4089" s="787">
        <v>1</v>
      </c>
      <c r="I4089" s="788">
        <v>42166</v>
      </c>
      <c r="J4089" s="788">
        <v>42145</v>
      </c>
      <c r="K4089" s="788">
        <v>40686</v>
      </c>
      <c r="L4089" s="787">
        <v>8.99</v>
      </c>
      <c r="M4089" s="787">
        <v>20</v>
      </c>
      <c r="N4089" s="787">
        <v>9.66</v>
      </c>
      <c r="O4089" s="788">
        <v>42136</v>
      </c>
    </row>
    <row r="4090" spans="1:15" x14ac:dyDescent="0.25">
      <c r="A4090" s="786" t="s">
        <v>7994</v>
      </c>
      <c r="B4090" s="787">
        <v>4</v>
      </c>
      <c r="C4090" s="787" t="s">
        <v>7995</v>
      </c>
      <c r="D4090" s="787">
        <v>7.75</v>
      </c>
      <c r="E4090" s="787">
        <v>37.75</v>
      </c>
      <c r="F4090" s="788">
        <v>40471</v>
      </c>
      <c r="G4090" s="788">
        <v>40430</v>
      </c>
      <c r="H4090" s="787">
        <v>1</v>
      </c>
      <c r="I4090" s="788">
        <v>41975</v>
      </c>
      <c r="J4090" s="788">
        <v>41372</v>
      </c>
      <c r="K4090" s="788">
        <v>40417</v>
      </c>
      <c r="L4090" s="787">
        <v>37.75</v>
      </c>
      <c r="M4090" s="787">
        <v>20</v>
      </c>
      <c r="N4090" s="787">
        <v>40.58</v>
      </c>
      <c r="O4090" s="788">
        <v>42053</v>
      </c>
    </row>
    <row r="4091" spans="1:15" x14ac:dyDescent="0.25">
      <c r="A4091" s="786" t="s">
        <v>7996</v>
      </c>
      <c r="B4091" s="787">
        <v>4</v>
      </c>
      <c r="C4091" s="787" t="s">
        <v>7997</v>
      </c>
      <c r="D4091" s="787">
        <v>1.56</v>
      </c>
      <c r="E4091" s="787">
        <v>11.56</v>
      </c>
      <c r="F4091" s="788">
        <v>40471</v>
      </c>
      <c r="G4091" s="788">
        <v>40430</v>
      </c>
      <c r="H4091" s="787">
        <v>1</v>
      </c>
      <c r="I4091" s="788">
        <v>41975</v>
      </c>
      <c r="J4091" s="788">
        <v>41372</v>
      </c>
      <c r="K4091" s="788">
        <v>40417</v>
      </c>
      <c r="L4091" s="787">
        <v>11.56</v>
      </c>
      <c r="M4091" s="787">
        <v>20</v>
      </c>
      <c r="N4091" s="787">
        <v>12.43</v>
      </c>
      <c r="O4091" s="788">
        <v>42053</v>
      </c>
    </row>
    <row r="4092" spans="1:15" x14ac:dyDescent="0.25">
      <c r="A4092" s="786" t="s">
        <v>7998</v>
      </c>
      <c r="B4092" s="787">
        <v>4</v>
      </c>
      <c r="C4092" s="787" t="s">
        <v>7999</v>
      </c>
      <c r="D4092" s="787">
        <v>2.27</v>
      </c>
      <c r="E4092" s="787">
        <v>13.02</v>
      </c>
      <c r="F4092" s="788">
        <v>42135</v>
      </c>
      <c r="G4092" s="788">
        <v>42164</v>
      </c>
      <c r="H4092" s="787">
        <v>1</v>
      </c>
      <c r="I4092" s="788">
        <v>42151</v>
      </c>
      <c r="J4092" s="788">
        <v>42164</v>
      </c>
      <c r="K4092" s="788">
        <v>41928</v>
      </c>
      <c r="L4092" s="787">
        <v>12.89</v>
      </c>
      <c r="M4092" s="787">
        <v>20</v>
      </c>
      <c r="N4092" s="787">
        <v>13.86</v>
      </c>
      <c r="O4092" s="788">
        <v>42115</v>
      </c>
    </row>
    <row r="4093" spans="1:15" x14ac:dyDescent="0.25">
      <c r="A4093" s="786" t="s">
        <v>8000</v>
      </c>
      <c r="B4093" s="787">
        <v>4</v>
      </c>
      <c r="C4093" s="787" t="s">
        <v>8001</v>
      </c>
      <c r="D4093" s="787">
        <v>0</v>
      </c>
      <c r="E4093" s="787">
        <v>0</v>
      </c>
      <c r="H4093" s="787">
        <v>1</v>
      </c>
      <c r="J4093" s="788">
        <v>37636</v>
      </c>
      <c r="L4093" s="787">
        <v>0</v>
      </c>
      <c r="M4093" s="787">
        <v>20</v>
      </c>
      <c r="N4093" s="787">
        <v>0</v>
      </c>
      <c r="O4093" s="788">
        <v>40824</v>
      </c>
    </row>
    <row r="4094" spans="1:15" x14ac:dyDescent="0.25">
      <c r="A4094" s="786" t="s">
        <v>8002</v>
      </c>
      <c r="B4094" s="787">
        <v>4</v>
      </c>
      <c r="C4094" s="787" t="s">
        <v>8003</v>
      </c>
      <c r="D4094" s="787">
        <v>3.9</v>
      </c>
      <c r="E4094" s="787">
        <v>13.9</v>
      </c>
      <c r="F4094" s="788">
        <v>39161</v>
      </c>
      <c r="G4094" s="788">
        <v>42013</v>
      </c>
      <c r="H4094" s="787">
        <v>1</v>
      </c>
      <c r="I4094" s="788">
        <v>42160</v>
      </c>
      <c r="J4094" s="788">
        <v>41883</v>
      </c>
      <c r="K4094" s="788">
        <v>41067</v>
      </c>
      <c r="L4094" s="787">
        <v>17.149999999999999</v>
      </c>
      <c r="M4094" s="787">
        <v>20</v>
      </c>
      <c r="N4094" s="787">
        <v>18.440000000000001</v>
      </c>
      <c r="O4094" s="788">
        <v>42164</v>
      </c>
    </row>
    <row r="4095" spans="1:15" x14ac:dyDescent="0.25">
      <c r="A4095" s="786" t="s">
        <v>8004</v>
      </c>
      <c r="B4095" s="787">
        <v>4</v>
      </c>
      <c r="C4095" s="787" t="s">
        <v>8005</v>
      </c>
      <c r="D4095" s="787">
        <v>6.4</v>
      </c>
      <c r="E4095" s="787">
        <v>19.75</v>
      </c>
      <c r="F4095" s="788">
        <v>40008</v>
      </c>
      <c r="G4095" s="788">
        <v>41943</v>
      </c>
      <c r="H4095" s="787">
        <v>1</v>
      </c>
      <c r="I4095" s="788">
        <v>42109</v>
      </c>
      <c r="J4095" s="788">
        <v>41751</v>
      </c>
      <c r="K4095" s="788">
        <v>41737</v>
      </c>
      <c r="L4095" s="787">
        <v>19.75</v>
      </c>
      <c r="M4095" s="787">
        <v>20</v>
      </c>
      <c r="N4095" s="787">
        <v>21.23</v>
      </c>
      <c r="O4095" s="788">
        <v>42162</v>
      </c>
    </row>
    <row r="4096" spans="1:15" x14ac:dyDescent="0.25">
      <c r="A4096" s="786" t="s">
        <v>8006</v>
      </c>
      <c r="B4096" s="787">
        <v>4</v>
      </c>
      <c r="C4096" s="787" t="s">
        <v>8007</v>
      </c>
      <c r="D4096" s="787">
        <v>7.2</v>
      </c>
      <c r="E4096" s="787">
        <v>7.2</v>
      </c>
      <c r="F4096" s="788">
        <v>38450</v>
      </c>
      <c r="G4096" s="788">
        <v>38450</v>
      </c>
      <c r="H4096" s="787">
        <v>1</v>
      </c>
      <c r="I4096" s="788">
        <v>38736</v>
      </c>
      <c r="J4096" s="788">
        <v>38425</v>
      </c>
      <c r="L4096" s="787">
        <v>7.85</v>
      </c>
      <c r="M4096" s="787">
        <v>20</v>
      </c>
      <c r="N4096" s="787">
        <v>8.44</v>
      </c>
      <c r="O4096" s="788">
        <v>41858</v>
      </c>
    </row>
    <row r="4097" spans="1:15" x14ac:dyDescent="0.25">
      <c r="A4097" s="786" t="s">
        <v>8008</v>
      </c>
      <c r="B4097" s="787">
        <v>4</v>
      </c>
      <c r="C4097" s="787" t="s">
        <v>8009</v>
      </c>
      <c r="D4097" s="787">
        <v>8.4499999999999993</v>
      </c>
      <c r="E4097" s="787">
        <v>8.4499999999999993</v>
      </c>
      <c r="F4097" s="788">
        <v>38450</v>
      </c>
      <c r="G4097" s="788">
        <v>38450</v>
      </c>
      <c r="H4097" s="787">
        <v>1</v>
      </c>
      <c r="I4097" s="788">
        <v>38736</v>
      </c>
      <c r="J4097" s="788">
        <v>38425</v>
      </c>
      <c r="L4097" s="787">
        <v>9.2100000000000009</v>
      </c>
      <c r="M4097" s="787">
        <v>20</v>
      </c>
      <c r="N4097" s="787">
        <v>9.9</v>
      </c>
      <c r="O4097" s="788">
        <v>41858</v>
      </c>
    </row>
    <row r="4098" spans="1:15" x14ac:dyDescent="0.25">
      <c r="A4098" s="786" t="s">
        <v>8010</v>
      </c>
      <c r="B4098" s="787">
        <v>4</v>
      </c>
      <c r="C4098" s="787" t="s">
        <v>8011</v>
      </c>
      <c r="D4098" s="787">
        <v>3.1</v>
      </c>
      <c r="E4098" s="787">
        <v>3.1</v>
      </c>
      <c r="F4098" s="788">
        <v>38450</v>
      </c>
      <c r="G4098" s="788">
        <v>38736</v>
      </c>
      <c r="H4098" s="787">
        <v>1</v>
      </c>
      <c r="I4098" s="788">
        <v>39134</v>
      </c>
      <c r="J4098" s="788">
        <v>38425</v>
      </c>
      <c r="L4098" s="787">
        <v>3.38</v>
      </c>
      <c r="M4098" s="787">
        <v>20</v>
      </c>
      <c r="N4098" s="787">
        <v>3.63</v>
      </c>
      <c r="O4098" s="788">
        <v>41858</v>
      </c>
    </row>
    <row r="4099" spans="1:15" x14ac:dyDescent="0.25">
      <c r="A4099" s="786" t="s">
        <v>8012</v>
      </c>
      <c r="B4099" s="787">
        <v>4</v>
      </c>
      <c r="C4099" s="787" t="s">
        <v>8013</v>
      </c>
      <c r="D4099" s="787">
        <v>4.5</v>
      </c>
      <c r="E4099" s="787">
        <v>24.5</v>
      </c>
      <c r="F4099" s="788">
        <v>38435</v>
      </c>
      <c r="G4099" s="788">
        <v>38435</v>
      </c>
      <c r="H4099" s="787">
        <v>1</v>
      </c>
      <c r="I4099" s="788">
        <v>38736</v>
      </c>
      <c r="J4099" s="788">
        <v>38481</v>
      </c>
      <c r="L4099" s="787">
        <v>26.71</v>
      </c>
      <c r="M4099" s="787">
        <v>20</v>
      </c>
      <c r="N4099" s="787">
        <v>28.71</v>
      </c>
      <c r="O4099" s="788">
        <v>41858</v>
      </c>
    </row>
    <row r="4100" spans="1:15" x14ac:dyDescent="0.25">
      <c r="A4100" s="786" t="s">
        <v>8014</v>
      </c>
      <c r="B4100" s="787">
        <v>4</v>
      </c>
      <c r="C4100" s="787" t="s">
        <v>8015</v>
      </c>
      <c r="D4100" s="787">
        <v>4.5</v>
      </c>
      <c r="E4100" s="787">
        <v>24.5</v>
      </c>
      <c r="F4100" s="788">
        <v>38435</v>
      </c>
      <c r="G4100" s="788">
        <v>38435</v>
      </c>
      <c r="H4100" s="787">
        <v>1</v>
      </c>
      <c r="I4100" s="788">
        <v>38736</v>
      </c>
      <c r="J4100" s="788">
        <v>38481</v>
      </c>
      <c r="L4100" s="787">
        <v>26.71</v>
      </c>
      <c r="M4100" s="787">
        <v>20</v>
      </c>
      <c r="N4100" s="787">
        <v>28.71</v>
      </c>
      <c r="O4100" s="788">
        <v>41858</v>
      </c>
    </row>
    <row r="4101" spans="1:15" x14ac:dyDescent="0.25">
      <c r="A4101" s="786" t="s">
        <v>8016</v>
      </c>
      <c r="B4101" s="787">
        <v>4</v>
      </c>
      <c r="C4101" s="787" t="s">
        <v>8017</v>
      </c>
      <c r="D4101" s="787">
        <v>9.9</v>
      </c>
      <c r="E4101" s="787">
        <v>29.9</v>
      </c>
      <c r="F4101" s="788">
        <v>38435</v>
      </c>
      <c r="G4101" s="788">
        <v>38736</v>
      </c>
      <c r="H4101" s="787">
        <v>1</v>
      </c>
      <c r="I4101" s="788">
        <v>39134</v>
      </c>
      <c r="J4101" s="788">
        <v>38481</v>
      </c>
      <c r="L4101" s="787">
        <v>32.590000000000003</v>
      </c>
      <c r="M4101" s="787">
        <v>20</v>
      </c>
      <c r="N4101" s="787">
        <v>35.03</v>
      </c>
      <c r="O4101" s="788">
        <v>41858</v>
      </c>
    </row>
    <row r="4102" spans="1:15" x14ac:dyDescent="0.25">
      <c r="A4102" s="786" t="s">
        <v>8018</v>
      </c>
      <c r="B4102" s="787">
        <v>4</v>
      </c>
      <c r="C4102" s="787" t="s">
        <v>8019</v>
      </c>
      <c r="D4102" s="787">
        <v>5.5</v>
      </c>
      <c r="E4102" s="787">
        <v>5.5</v>
      </c>
      <c r="F4102" s="788">
        <v>38504</v>
      </c>
      <c r="G4102" s="788">
        <v>38504</v>
      </c>
      <c r="H4102" s="787">
        <v>1</v>
      </c>
      <c r="I4102" s="788">
        <v>38534</v>
      </c>
      <c r="J4102" s="788">
        <v>38534</v>
      </c>
      <c r="L4102" s="787">
        <v>5.5</v>
      </c>
      <c r="M4102" s="787">
        <v>20</v>
      </c>
      <c r="N4102" s="787">
        <v>5.91</v>
      </c>
      <c r="O4102" s="788">
        <v>41858</v>
      </c>
    </row>
    <row r="4103" spans="1:15" x14ac:dyDescent="0.25">
      <c r="A4103" s="786" t="s">
        <v>8020</v>
      </c>
      <c r="B4103" s="787">
        <v>4</v>
      </c>
      <c r="C4103" s="787" t="s">
        <v>8021</v>
      </c>
      <c r="D4103" s="787">
        <v>5</v>
      </c>
      <c r="E4103" s="787">
        <v>5</v>
      </c>
      <c r="F4103" s="788">
        <v>38541</v>
      </c>
      <c r="G4103" s="788">
        <v>38541</v>
      </c>
      <c r="H4103" s="787">
        <v>1</v>
      </c>
      <c r="I4103" s="788">
        <v>38565</v>
      </c>
      <c r="J4103" s="788">
        <v>38565</v>
      </c>
      <c r="L4103" s="787">
        <v>5</v>
      </c>
      <c r="M4103" s="787">
        <v>20</v>
      </c>
      <c r="N4103" s="787">
        <v>5.38</v>
      </c>
      <c r="O4103" s="788">
        <v>41858</v>
      </c>
    </row>
    <row r="4104" spans="1:15" x14ac:dyDescent="0.25">
      <c r="A4104" s="786" t="s">
        <v>8022</v>
      </c>
      <c r="B4104" s="787">
        <v>4</v>
      </c>
      <c r="C4104" s="787" t="s">
        <v>8023</v>
      </c>
      <c r="D4104" s="787">
        <v>8.65</v>
      </c>
      <c r="E4104" s="787">
        <v>31.86</v>
      </c>
      <c r="F4104" s="788">
        <v>40983</v>
      </c>
      <c r="G4104" s="788">
        <v>42013</v>
      </c>
      <c r="H4104" s="787">
        <v>1</v>
      </c>
      <c r="I4104" s="788">
        <v>42152</v>
      </c>
      <c r="J4104" s="788">
        <v>41540</v>
      </c>
      <c r="K4104" s="788">
        <v>41536</v>
      </c>
      <c r="L4104" s="787">
        <v>31.86</v>
      </c>
      <c r="M4104" s="787">
        <v>20</v>
      </c>
      <c r="N4104" s="787">
        <v>34.25</v>
      </c>
      <c r="O4104" s="788">
        <v>42146</v>
      </c>
    </row>
    <row r="4105" spans="1:15" x14ac:dyDescent="0.25">
      <c r="A4105" s="786" t="s">
        <v>8024</v>
      </c>
      <c r="B4105" s="787">
        <v>4</v>
      </c>
      <c r="C4105" s="787" t="s">
        <v>8025</v>
      </c>
      <c r="D4105" s="787">
        <v>8.48</v>
      </c>
      <c r="E4105" s="787">
        <v>20.190000000000001</v>
      </c>
      <c r="F4105" s="788">
        <v>39909</v>
      </c>
      <c r="G4105" s="788">
        <v>42013</v>
      </c>
      <c r="H4105" s="787">
        <v>1</v>
      </c>
      <c r="I4105" s="788">
        <v>42093</v>
      </c>
      <c r="J4105" s="788">
        <v>41710</v>
      </c>
      <c r="K4105" s="788">
        <v>41708</v>
      </c>
      <c r="L4105" s="787">
        <v>20.190000000000001</v>
      </c>
      <c r="M4105" s="787">
        <v>20</v>
      </c>
      <c r="N4105" s="787">
        <v>21.7</v>
      </c>
      <c r="O4105" s="788">
        <v>42146</v>
      </c>
    </row>
    <row r="4106" spans="1:15" x14ac:dyDescent="0.25">
      <c r="A4106" s="786" t="s">
        <v>8026</v>
      </c>
      <c r="B4106" s="787">
        <v>4</v>
      </c>
      <c r="C4106" s="787" t="s">
        <v>8027</v>
      </c>
      <c r="D4106" s="787">
        <v>1</v>
      </c>
      <c r="E4106" s="787">
        <v>36.5</v>
      </c>
      <c r="F4106" s="788">
        <v>37636</v>
      </c>
      <c r="G4106" s="788">
        <v>37805</v>
      </c>
      <c r="H4106" s="787">
        <v>1</v>
      </c>
      <c r="J4106" s="788">
        <v>37804</v>
      </c>
      <c r="L4106" s="787">
        <v>39.79</v>
      </c>
      <c r="M4106" s="787">
        <v>20</v>
      </c>
      <c r="N4106" s="787">
        <v>42.77</v>
      </c>
      <c r="O4106" s="788">
        <v>41858</v>
      </c>
    </row>
    <row r="4107" spans="1:15" x14ac:dyDescent="0.25">
      <c r="A4107" s="786" t="s">
        <v>8028</v>
      </c>
      <c r="B4107" s="787">
        <v>4</v>
      </c>
      <c r="C4107" s="787" t="s">
        <v>8029</v>
      </c>
      <c r="D4107" s="787">
        <v>6.5</v>
      </c>
      <c r="E4107" s="787">
        <v>36.5</v>
      </c>
      <c r="F4107" s="788">
        <v>37805</v>
      </c>
      <c r="G4107" s="788">
        <v>37805</v>
      </c>
      <c r="H4107" s="787">
        <v>1</v>
      </c>
      <c r="J4107" s="788">
        <v>37804</v>
      </c>
      <c r="L4107" s="787">
        <v>39.79</v>
      </c>
      <c r="M4107" s="787">
        <v>20</v>
      </c>
      <c r="N4107" s="787">
        <v>42.77</v>
      </c>
      <c r="O4107" s="788">
        <v>41858</v>
      </c>
    </row>
    <row r="4108" spans="1:15" x14ac:dyDescent="0.25">
      <c r="A4108" s="786" t="s">
        <v>8030</v>
      </c>
      <c r="B4108" s="787">
        <v>4</v>
      </c>
      <c r="C4108" s="787" t="s">
        <v>8031</v>
      </c>
      <c r="D4108" s="787">
        <v>1.78</v>
      </c>
      <c r="E4108" s="787">
        <v>21.78</v>
      </c>
      <c r="F4108" s="788">
        <v>40332</v>
      </c>
      <c r="G4108" s="788">
        <v>41943</v>
      </c>
      <c r="H4108" s="787">
        <v>1</v>
      </c>
      <c r="I4108" s="788">
        <v>41593</v>
      </c>
      <c r="J4108" s="788">
        <v>40262</v>
      </c>
      <c r="L4108" s="787">
        <v>21.78</v>
      </c>
      <c r="M4108" s="787">
        <v>20</v>
      </c>
      <c r="N4108" s="787">
        <v>23.41</v>
      </c>
      <c r="O4108" s="788">
        <v>41858</v>
      </c>
    </row>
    <row r="4109" spans="1:15" x14ac:dyDescent="0.25">
      <c r="A4109" s="786" t="s">
        <v>8032</v>
      </c>
      <c r="B4109" s="787">
        <v>4</v>
      </c>
      <c r="C4109" s="787" t="s">
        <v>8033</v>
      </c>
      <c r="D4109" s="787">
        <v>3.09</v>
      </c>
      <c r="E4109" s="787">
        <v>3.88</v>
      </c>
      <c r="F4109" s="788">
        <v>39101</v>
      </c>
      <c r="G4109" s="788">
        <v>42013</v>
      </c>
      <c r="H4109" s="787">
        <v>1</v>
      </c>
      <c r="I4109" s="788">
        <v>42096</v>
      </c>
      <c r="J4109" s="788">
        <v>40099</v>
      </c>
      <c r="K4109" s="788">
        <v>39989</v>
      </c>
      <c r="L4109" s="787">
        <v>3.88</v>
      </c>
      <c r="M4109" s="787">
        <v>20</v>
      </c>
      <c r="N4109" s="787">
        <v>4.17</v>
      </c>
      <c r="O4109" s="788">
        <v>42122</v>
      </c>
    </row>
    <row r="4110" spans="1:15" x14ac:dyDescent="0.25">
      <c r="A4110" s="786" t="s">
        <v>8034</v>
      </c>
      <c r="B4110" s="787">
        <v>4</v>
      </c>
      <c r="C4110" s="787" t="s">
        <v>8035</v>
      </c>
      <c r="D4110" s="787">
        <v>2.25</v>
      </c>
      <c r="E4110" s="787">
        <v>2.72</v>
      </c>
      <c r="F4110" s="788">
        <v>39101</v>
      </c>
      <c r="G4110" s="788">
        <v>42048</v>
      </c>
      <c r="H4110" s="787">
        <v>1</v>
      </c>
      <c r="I4110" s="788">
        <v>42165</v>
      </c>
      <c r="J4110" s="788">
        <v>42048</v>
      </c>
      <c r="K4110" s="788">
        <v>42030</v>
      </c>
      <c r="L4110" s="787">
        <v>2.72</v>
      </c>
      <c r="M4110" s="787">
        <v>20</v>
      </c>
      <c r="N4110" s="787">
        <v>2.92</v>
      </c>
      <c r="O4110" s="788">
        <v>42159</v>
      </c>
    </row>
    <row r="4111" spans="1:15" x14ac:dyDescent="0.25">
      <c r="A4111" s="786" t="s">
        <v>8036</v>
      </c>
      <c r="B4111" s="787">
        <v>4</v>
      </c>
      <c r="C4111" s="787" t="s">
        <v>8037</v>
      </c>
      <c r="D4111" s="787">
        <v>2.2200000000000002</v>
      </c>
      <c r="E4111" s="787">
        <v>4.8099999999999996</v>
      </c>
      <c r="F4111" s="788">
        <v>38047</v>
      </c>
      <c r="G4111" s="788">
        <v>41610</v>
      </c>
      <c r="H4111" s="787">
        <v>1</v>
      </c>
      <c r="I4111" s="788">
        <v>42157</v>
      </c>
      <c r="J4111" s="788">
        <v>41866</v>
      </c>
      <c r="L4111" s="787">
        <v>2.42</v>
      </c>
      <c r="M4111" s="787">
        <v>20</v>
      </c>
      <c r="N4111" s="787">
        <v>2.6</v>
      </c>
      <c r="O4111" s="788">
        <v>41858</v>
      </c>
    </row>
    <row r="4112" spans="1:15" x14ac:dyDescent="0.25">
      <c r="A4112" s="786" t="s">
        <v>8038</v>
      </c>
      <c r="B4112" s="787">
        <v>4</v>
      </c>
      <c r="C4112" s="787" t="s">
        <v>8039</v>
      </c>
      <c r="D4112" s="787">
        <v>2.59</v>
      </c>
      <c r="E4112" s="787">
        <v>2.59</v>
      </c>
      <c r="F4112" s="788">
        <v>37636</v>
      </c>
      <c r="G4112" s="788">
        <v>37636</v>
      </c>
      <c r="H4112" s="787">
        <v>1</v>
      </c>
      <c r="J4112" s="788">
        <v>37636</v>
      </c>
      <c r="L4112" s="787">
        <v>2.82</v>
      </c>
      <c r="M4112" s="787">
        <v>20</v>
      </c>
      <c r="N4112" s="787">
        <v>3.03</v>
      </c>
      <c r="O4112" s="788">
        <v>41858</v>
      </c>
    </row>
    <row r="4113" spans="1:15" x14ac:dyDescent="0.25">
      <c r="A4113" s="786" t="s">
        <v>8040</v>
      </c>
      <c r="B4113" s="787">
        <v>4</v>
      </c>
      <c r="C4113" s="787" t="s">
        <v>8041</v>
      </c>
      <c r="D4113" s="787">
        <v>0.66</v>
      </c>
      <c r="E4113" s="787">
        <v>0.66</v>
      </c>
      <c r="F4113" s="788">
        <v>37636</v>
      </c>
      <c r="G4113" s="788">
        <v>37636</v>
      </c>
      <c r="H4113" s="787">
        <v>1</v>
      </c>
      <c r="J4113" s="788">
        <v>37636</v>
      </c>
      <c r="L4113" s="787">
        <v>0.66</v>
      </c>
      <c r="M4113" s="787">
        <v>10</v>
      </c>
      <c r="N4113" s="787">
        <v>0</v>
      </c>
      <c r="O4113" s="788">
        <v>41858</v>
      </c>
    </row>
    <row r="4114" spans="1:15" x14ac:dyDescent="0.25">
      <c r="A4114" s="786" t="s">
        <v>8042</v>
      </c>
      <c r="B4114" s="787">
        <v>4</v>
      </c>
      <c r="C4114" s="787" t="s">
        <v>8035</v>
      </c>
      <c r="D4114" s="787">
        <v>4.29</v>
      </c>
      <c r="E4114" s="787">
        <v>5.62</v>
      </c>
      <c r="F4114" s="788">
        <v>37636</v>
      </c>
      <c r="G4114" s="788">
        <v>40984</v>
      </c>
      <c r="H4114" s="787">
        <v>1</v>
      </c>
      <c r="I4114" s="788">
        <v>42046</v>
      </c>
      <c r="J4114" s="788">
        <v>41883</v>
      </c>
      <c r="L4114" s="787">
        <v>4.68</v>
      </c>
      <c r="M4114" s="787">
        <v>20</v>
      </c>
      <c r="N4114" s="787">
        <v>5.03</v>
      </c>
      <c r="O4114" s="788">
        <v>41991</v>
      </c>
    </row>
    <row r="4115" spans="1:15" x14ac:dyDescent="0.25">
      <c r="A4115" s="786" t="s">
        <v>8043</v>
      </c>
      <c r="B4115" s="787">
        <v>4</v>
      </c>
      <c r="C4115" s="787" t="s">
        <v>8044</v>
      </c>
      <c r="D4115" s="787">
        <v>2.4500000000000002</v>
      </c>
      <c r="E4115" s="787">
        <v>2.4500000000000002</v>
      </c>
      <c r="F4115" s="788">
        <v>38047</v>
      </c>
      <c r="G4115" s="788">
        <v>38736</v>
      </c>
      <c r="H4115" s="787">
        <v>1</v>
      </c>
      <c r="I4115" s="788">
        <v>40119</v>
      </c>
      <c r="J4115" s="788">
        <v>38047</v>
      </c>
      <c r="L4115" s="787">
        <v>2.67</v>
      </c>
      <c r="M4115" s="787">
        <v>20</v>
      </c>
      <c r="N4115" s="787">
        <v>2.87</v>
      </c>
      <c r="O4115" s="788">
        <v>41858</v>
      </c>
    </row>
    <row r="4116" spans="1:15" x14ac:dyDescent="0.25">
      <c r="A4116" s="786" t="s">
        <v>8045</v>
      </c>
      <c r="B4116" s="787">
        <v>4</v>
      </c>
      <c r="C4116" s="787" t="s">
        <v>8046</v>
      </c>
      <c r="D4116" s="787">
        <v>7.16</v>
      </c>
      <c r="E4116" s="787">
        <v>7.16</v>
      </c>
      <c r="F4116" s="788">
        <v>38047</v>
      </c>
      <c r="G4116" s="788">
        <v>38047</v>
      </c>
      <c r="H4116" s="787">
        <v>1</v>
      </c>
      <c r="I4116" s="788">
        <v>39561</v>
      </c>
      <c r="J4116" s="788">
        <v>38047</v>
      </c>
      <c r="L4116" s="787">
        <v>7.8</v>
      </c>
      <c r="M4116" s="787">
        <v>20</v>
      </c>
      <c r="N4116" s="787">
        <v>8.39</v>
      </c>
      <c r="O4116" s="788">
        <v>42144</v>
      </c>
    </row>
    <row r="4117" spans="1:15" x14ac:dyDescent="0.25">
      <c r="A4117" s="786" t="s">
        <v>8047</v>
      </c>
      <c r="B4117" s="787">
        <v>4</v>
      </c>
      <c r="C4117" s="787" t="s">
        <v>8048</v>
      </c>
      <c r="D4117" s="787">
        <v>0.95</v>
      </c>
      <c r="E4117" s="787">
        <v>4.72</v>
      </c>
      <c r="F4117" s="788">
        <v>39101</v>
      </c>
      <c r="G4117" s="788">
        <v>40911</v>
      </c>
      <c r="H4117" s="787">
        <v>1</v>
      </c>
      <c r="I4117" s="788">
        <v>41667</v>
      </c>
      <c r="J4117" s="788">
        <v>41669</v>
      </c>
      <c r="K4117" s="788">
        <v>41865</v>
      </c>
      <c r="L4117" s="787">
        <v>4.72</v>
      </c>
      <c r="M4117" s="787">
        <v>20</v>
      </c>
      <c r="N4117" s="787">
        <v>1.1200000000000001</v>
      </c>
      <c r="O4117" s="788">
        <v>41858</v>
      </c>
    </row>
    <row r="4118" spans="1:15" x14ac:dyDescent="0.25">
      <c r="A4118" s="786" t="s">
        <v>8049</v>
      </c>
      <c r="B4118" s="787">
        <v>4</v>
      </c>
      <c r="C4118" s="787" t="s">
        <v>8050</v>
      </c>
      <c r="D4118" s="787">
        <v>1.48</v>
      </c>
      <c r="E4118" s="787">
        <v>1.48</v>
      </c>
      <c r="F4118" s="788">
        <v>39456</v>
      </c>
      <c r="G4118" s="788">
        <v>38617</v>
      </c>
      <c r="H4118" s="787">
        <v>1</v>
      </c>
      <c r="I4118" s="788">
        <v>39200</v>
      </c>
      <c r="J4118" s="788">
        <v>39199</v>
      </c>
      <c r="L4118" s="787">
        <v>1.67</v>
      </c>
      <c r="M4118" s="787">
        <v>10</v>
      </c>
      <c r="N4118" s="787">
        <v>10.78</v>
      </c>
      <c r="O4118" s="788">
        <v>41858</v>
      </c>
    </row>
    <row r="4119" spans="1:15" x14ac:dyDescent="0.25">
      <c r="A4119" s="786" t="s">
        <v>8051</v>
      </c>
      <c r="B4119" s="787">
        <v>4</v>
      </c>
      <c r="C4119" s="787" t="s">
        <v>8052</v>
      </c>
      <c r="D4119" s="787">
        <v>1.23</v>
      </c>
      <c r="E4119" s="787">
        <v>13.75</v>
      </c>
      <c r="F4119" s="788">
        <v>39456</v>
      </c>
      <c r="G4119" s="788">
        <v>42163</v>
      </c>
      <c r="H4119" s="787">
        <v>1</v>
      </c>
      <c r="I4119" s="788">
        <v>42136</v>
      </c>
      <c r="J4119" s="788">
        <v>42131</v>
      </c>
      <c r="L4119" s="787">
        <v>1.29</v>
      </c>
      <c r="M4119" s="787">
        <v>10</v>
      </c>
      <c r="N4119" s="787">
        <v>23.05</v>
      </c>
      <c r="O4119" s="788">
        <v>42164</v>
      </c>
    </row>
    <row r="4120" spans="1:15" x14ac:dyDescent="0.25">
      <c r="A4120" s="786" t="s">
        <v>8053</v>
      </c>
      <c r="B4120" s="787">
        <v>4</v>
      </c>
      <c r="C4120" s="787" t="s">
        <v>8054</v>
      </c>
      <c r="D4120" s="787">
        <v>0.48</v>
      </c>
      <c r="E4120" s="787">
        <v>0.48</v>
      </c>
      <c r="F4120" s="788">
        <v>39456</v>
      </c>
      <c r="G4120" s="788">
        <v>38607</v>
      </c>
      <c r="H4120" s="787">
        <v>6</v>
      </c>
      <c r="I4120" s="788">
        <v>39486</v>
      </c>
      <c r="J4120" s="788">
        <v>39197</v>
      </c>
      <c r="L4120" s="787">
        <v>0.59</v>
      </c>
      <c r="M4120" s="787">
        <v>10</v>
      </c>
      <c r="N4120" s="787">
        <v>0</v>
      </c>
      <c r="O4120" s="788">
        <v>41806</v>
      </c>
    </row>
    <row r="4121" spans="1:15" x14ac:dyDescent="0.25">
      <c r="A4121" s="786" t="s">
        <v>8055</v>
      </c>
      <c r="B4121" s="787">
        <v>4</v>
      </c>
      <c r="C4121" s="787" t="s">
        <v>8056</v>
      </c>
      <c r="D4121" s="787">
        <v>0.37</v>
      </c>
      <c r="E4121" s="787">
        <v>6.9</v>
      </c>
      <c r="F4121" s="788">
        <v>37636</v>
      </c>
      <c r="G4121" s="788">
        <v>42163</v>
      </c>
      <c r="H4121" s="787">
        <v>1</v>
      </c>
      <c r="I4121" s="788">
        <v>42136</v>
      </c>
      <c r="J4121" s="788">
        <v>42136</v>
      </c>
      <c r="L4121" s="787">
        <v>0.71</v>
      </c>
      <c r="M4121" s="787">
        <v>10</v>
      </c>
      <c r="N4121" s="787">
        <v>6.8</v>
      </c>
      <c r="O4121" s="788">
        <v>42164</v>
      </c>
    </row>
    <row r="4122" spans="1:15" x14ac:dyDescent="0.25">
      <c r="A4122" s="786" t="s">
        <v>8057</v>
      </c>
      <c r="B4122" s="787">
        <v>4</v>
      </c>
      <c r="C4122" s="787" t="s">
        <v>8058</v>
      </c>
      <c r="D4122" s="787">
        <v>1.77</v>
      </c>
      <c r="E4122" s="787">
        <v>1.77</v>
      </c>
      <c r="F4122" s="788">
        <v>39101</v>
      </c>
      <c r="G4122" s="788">
        <v>41943</v>
      </c>
      <c r="H4122" s="787">
        <v>1</v>
      </c>
      <c r="I4122" s="788">
        <v>39134</v>
      </c>
      <c r="J4122" s="788">
        <v>39738</v>
      </c>
      <c r="L4122" s="787">
        <v>1.9</v>
      </c>
      <c r="M4122" s="787">
        <v>10</v>
      </c>
      <c r="N4122" s="787">
        <v>5.21</v>
      </c>
      <c r="O4122" s="788">
        <v>42162</v>
      </c>
    </row>
    <row r="4123" spans="1:15" x14ac:dyDescent="0.25">
      <c r="A4123" s="786" t="s">
        <v>8059</v>
      </c>
      <c r="B4123" s="787">
        <v>4</v>
      </c>
      <c r="C4123" s="787" t="s">
        <v>8060</v>
      </c>
      <c r="D4123" s="787">
        <v>0.84</v>
      </c>
      <c r="E4123" s="787">
        <v>5.9</v>
      </c>
      <c r="F4123" s="788">
        <v>38047</v>
      </c>
      <c r="G4123" s="788">
        <v>41662</v>
      </c>
      <c r="H4123" s="787">
        <v>1</v>
      </c>
      <c r="I4123" s="788">
        <v>42037</v>
      </c>
      <c r="J4123" s="788">
        <v>41701</v>
      </c>
      <c r="K4123" s="788">
        <v>40017</v>
      </c>
      <c r="L4123" s="787">
        <v>3.35</v>
      </c>
      <c r="M4123" s="787">
        <v>20</v>
      </c>
      <c r="N4123" s="787">
        <v>3.6</v>
      </c>
      <c r="O4123" s="788">
        <v>42135</v>
      </c>
    </row>
    <row r="4124" spans="1:15" x14ac:dyDescent="0.25">
      <c r="A4124" s="786" t="s">
        <v>8061</v>
      </c>
      <c r="B4124" s="787">
        <v>4</v>
      </c>
      <c r="C4124" s="787" t="s">
        <v>8062</v>
      </c>
      <c r="D4124" s="787">
        <v>2.9</v>
      </c>
      <c r="E4124" s="787">
        <v>6.25</v>
      </c>
      <c r="F4124" s="788">
        <v>38310</v>
      </c>
      <c r="G4124" s="788">
        <v>42034</v>
      </c>
      <c r="H4124" s="787">
        <v>1</v>
      </c>
      <c r="I4124" s="788">
        <v>42163</v>
      </c>
      <c r="J4124" s="788">
        <v>42034</v>
      </c>
      <c r="K4124" s="788">
        <v>42159</v>
      </c>
      <c r="L4124" s="787">
        <v>6.4</v>
      </c>
      <c r="M4124" s="787">
        <v>20</v>
      </c>
      <c r="N4124" s="787">
        <v>6.88</v>
      </c>
      <c r="O4124" s="788">
        <v>42163</v>
      </c>
    </row>
    <row r="4125" spans="1:15" x14ac:dyDescent="0.25">
      <c r="A4125" s="786" t="s">
        <v>8063</v>
      </c>
      <c r="B4125" s="787">
        <v>4</v>
      </c>
      <c r="C4125" s="787" t="s">
        <v>8064</v>
      </c>
      <c r="D4125" s="787">
        <v>1.05</v>
      </c>
      <c r="E4125" s="787">
        <v>1.05</v>
      </c>
      <c r="F4125" s="788">
        <v>39101</v>
      </c>
      <c r="G4125" s="788">
        <v>39101</v>
      </c>
      <c r="H4125" s="787">
        <v>1</v>
      </c>
      <c r="I4125" s="788">
        <v>41863</v>
      </c>
      <c r="J4125" s="788">
        <v>41864</v>
      </c>
      <c r="L4125" s="787">
        <v>1.1399999999999999</v>
      </c>
      <c r="M4125" s="787">
        <v>20</v>
      </c>
      <c r="N4125" s="787">
        <v>1.23</v>
      </c>
      <c r="O4125" s="788">
        <v>41858</v>
      </c>
    </row>
    <row r="4126" spans="1:15" x14ac:dyDescent="0.25">
      <c r="A4126" s="786" t="s">
        <v>8065</v>
      </c>
      <c r="B4126" s="787">
        <v>4</v>
      </c>
      <c r="C4126" s="787" t="s">
        <v>8066</v>
      </c>
      <c r="D4126" s="787">
        <v>9.92</v>
      </c>
      <c r="E4126" s="787">
        <v>9.92</v>
      </c>
      <c r="F4126" s="788">
        <v>41864</v>
      </c>
      <c r="G4126" s="788">
        <v>42013</v>
      </c>
      <c r="H4126" s="787">
        <v>1</v>
      </c>
      <c r="I4126" s="788">
        <v>42151</v>
      </c>
      <c r="J4126" s="788">
        <v>41863</v>
      </c>
      <c r="K4126" s="788">
        <v>42163</v>
      </c>
      <c r="L4126" s="787">
        <v>10.98</v>
      </c>
      <c r="M4126" s="787">
        <v>20</v>
      </c>
      <c r="N4126" s="787">
        <v>11.8</v>
      </c>
      <c r="O4126" s="788">
        <v>42163</v>
      </c>
    </row>
    <row r="4127" spans="1:15" x14ac:dyDescent="0.25">
      <c r="A4127" s="786" t="s">
        <v>8067</v>
      </c>
      <c r="B4127" s="787">
        <v>4</v>
      </c>
      <c r="C4127" s="787" t="s">
        <v>8068</v>
      </c>
      <c r="D4127" s="787">
        <v>1.0900000000000001</v>
      </c>
      <c r="E4127" s="787">
        <v>1.1399999999999999</v>
      </c>
      <c r="F4127" s="788">
        <v>39106</v>
      </c>
      <c r="G4127" s="788">
        <v>40178</v>
      </c>
      <c r="H4127" s="787">
        <v>1</v>
      </c>
      <c r="I4127" s="788">
        <v>40164</v>
      </c>
      <c r="J4127" s="788">
        <v>39149</v>
      </c>
      <c r="L4127" s="787">
        <v>1.19</v>
      </c>
      <c r="M4127" s="787">
        <v>20</v>
      </c>
      <c r="N4127" s="787">
        <v>1.28</v>
      </c>
      <c r="O4127" s="788">
        <v>42144</v>
      </c>
    </row>
    <row r="4128" spans="1:15" x14ac:dyDescent="0.25">
      <c r="A4128" s="786" t="s">
        <v>8069</v>
      </c>
      <c r="B4128" s="787">
        <v>4</v>
      </c>
      <c r="C4128" s="787" t="s">
        <v>8070</v>
      </c>
      <c r="D4128" s="787">
        <v>6.5</v>
      </c>
      <c r="E4128" s="787">
        <v>7.5</v>
      </c>
      <c r="F4128" s="788">
        <v>39101</v>
      </c>
      <c r="G4128" s="788">
        <v>42013</v>
      </c>
      <c r="H4128" s="787">
        <v>1</v>
      </c>
      <c r="I4128" s="788">
        <v>42146</v>
      </c>
      <c r="J4128" s="788">
        <v>41610</v>
      </c>
      <c r="L4128" s="787">
        <v>7.09</v>
      </c>
      <c r="M4128" s="787">
        <v>20</v>
      </c>
      <c r="N4128" s="787">
        <v>7.62</v>
      </c>
      <c r="O4128" s="788">
        <v>42137</v>
      </c>
    </row>
    <row r="4129" spans="1:15" x14ac:dyDescent="0.25">
      <c r="A4129" s="786" t="s">
        <v>8071</v>
      </c>
      <c r="B4129" s="787">
        <v>4</v>
      </c>
      <c r="C4129" s="787" t="s">
        <v>8072</v>
      </c>
      <c r="D4129" s="787">
        <v>6.6</v>
      </c>
      <c r="E4129" s="787">
        <v>7.07</v>
      </c>
      <c r="F4129" s="788">
        <v>39422</v>
      </c>
      <c r="G4129" s="788">
        <v>41904</v>
      </c>
      <c r="H4129" s="787">
        <v>1</v>
      </c>
      <c r="I4129" s="788">
        <v>42034</v>
      </c>
      <c r="J4129" s="788">
        <v>41904</v>
      </c>
      <c r="K4129" s="788">
        <v>41869</v>
      </c>
      <c r="L4129" s="787">
        <v>7.07</v>
      </c>
      <c r="M4129" s="787">
        <v>20</v>
      </c>
      <c r="N4129" s="787">
        <v>7.6</v>
      </c>
      <c r="O4129" s="788">
        <v>42127</v>
      </c>
    </row>
    <row r="4130" spans="1:15" x14ac:dyDescent="0.25">
      <c r="A4130" s="786" t="s">
        <v>8073</v>
      </c>
      <c r="B4130" s="787">
        <v>4</v>
      </c>
      <c r="C4130" s="787" t="s">
        <v>3775</v>
      </c>
      <c r="D4130" s="787">
        <v>4.8</v>
      </c>
      <c r="E4130" s="787">
        <v>5.78</v>
      </c>
      <c r="F4130" s="788">
        <v>39101</v>
      </c>
      <c r="G4130" s="788">
        <v>42013</v>
      </c>
      <c r="H4130" s="787">
        <v>1</v>
      </c>
      <c r="I4130" s="788">
        <v>42163</v>
      </c>
      <c r="J4130" s="788">
        <v>41618</v>
      </c>
      <c r="L4130" s="787">
        <v>5.23</v>
      </c>
      <c r="M4130" s="787">
        <v>20</v>
      </c>
      <c r="N4130" s="787">
        <v>5.62</v>
      </c>
      <c r="O4130" s="788">
        <v>42163</v>
      </c>
    </row>
    <row r="4131" spans="1:15" x14ac:dyDescent="0.25">
      <c r="A4131" s="786" t="s">
        <v>8074</v>
      </c>
      <c r="B4131" s="787">
        <v>4</v>
      </c>
      <c r="C4131" s="787" t="s">
        <v>8075</v>
      </c>
      <c r="D4131" s="787">
        <v>2.6</v>
      </c>
      <c r="E4131" s="787">
        <v>3.58</v>
      </c>
      <c r="F4131" s="788">
        <v>39422</v>
      </c>
      <c r="G4131" s="788">
        <v>42136</v>
      </c>
      <c r="H4131" s="787">
        <v>1</v>
      </c>
      <c r="I4131" s="788">
        <v>42135</v>
      </c>
      <c r="J4131" s="788">
        <v>42136</v>
      </c>
      <c r="L4131" s="787">
        <v>3.91</v>
      </c>
      <c r="M4131" s="787">
        <v>10</v>
      </c>
      <c r="N4131" s="787">
        <v>6.16</v>
      </c>
      <c r="O4131" s="788">
        <v>42163</v>
      </c>
    </row>
    <row r="4132" spans="1:15" x14ac:dyDescent="0.25">
      <c r="A4132" s="786" t="s">
        <v>8076</v>
      </c>
      <c r="B4132" s="787">
        <v>4</v>
      </c>
      <c r="C4132" s="787" t="s">
        <v>8077</v>
      </c>
      <c r="D4132" s="787">
        <v>1.52</v>
      </c>
      <c r="E4132" s="787">
        <v>9.86</v>
      </c>
      <c r="F4132" s="788">
        <v>38698</v>
      </c>
      <c r="G4132" s="788">
        <v>42013</v>
      </c>
      <c r="H4132" s="787">
        <v>1</v>
      </c>
      <c r="I4132" s="788">
        <v>42160</v>
      </c>
      <c r="J4132" s="788">
        <v>41655</v>
      </c>
      <c r="L4132" s="787">
        <v>1.78</v>
      </c>
      <c r="M4132" s="787">
        <v>10</v>
      </c>
      <c r="N4132" s="787">
        <v>10.89</v>
      </c>
      <c r="O4132" s="788">
        <v>42163</v>
      </c>
    </row>
    <row r="4133" spans="1:15" x14ac:dyDescent="0.25">
      <c r="A4133" s="786" t="s">
        <v>8078</v>
      </c>
      <c r="B4133" s="787">
        <v>4</v>
      </c>
      <c r="C4133" s="787" t="s">
        <v>8079</v>
      </c>
      <c r="D4133" s="787">
        <v>6.34</v>
      </c>
      <c r="E4133" s="787">
        <v>6.34</v>
      </c>
      <c r="F4133" s="788">
        <v>41613</v>
      </c>
      <c r="G4133" s="788">
        <v>42013</v>
      </c>
      <c r="H4133" s="787">
        <v>1</v>
      </c>
      <c r="I4133" s="788">
        <v>42146</v>
      </c>
      <c r="J4133" s="788">
        <v>41610</v>
      </c>
      <c r="L4133" s="787">
        <v>6.59</v>
      </c>
      <c r="M4133" s="787">
        <v>20</v>
      </c>
      <c r="N4133" s="787">
        <v>7.08</v>
      </c>
      <c r="O4133" s="788">
        <v>42163</v>
      </c>
    </row>
    <row r="4134" spans="1:15" x14ac:dyDescent="0.25">
      <c r="A4134" s="786" t="s">
        <v>8080</v>
      </c>
      <c r="B4134" s="787">
        <v>4</v>
      </c>
      <c r="C4134" s="787" t="s">
        <v>8081</v>
      </c>
      <c r="D4134" s="787">
        <v>2.8</v>
      </c>
      <c r="E4134" s="787">
        <v>3.48</v>
      </c>
      <c r="F4134" s="788">
        <v>39255</v>
      </c>
      <c r="G4134" s="788">
        <v>39590</v>
      </c>
      <c r="H4134" s="787">
        <v>3</v>
      </c>
      <c r="I4134" s="788">
        <v>41248</v>
      </c>
      <c r="J4134" s="788">
        <v>39419</v>
      </c>
      <c r="K4134" s="788">
        <v>41869</v>
      </c>
      <c r="L4134" s="787">
        <v>3.48</v>
      </c>
      <c r="M4134" s="787">
        <v>20</v>
      </c>
      <c r="N4134" s="787">
        <v>8.1999999999999993</v>
      </c>
      <c r="O4134" s="788">
        <v>41858</v>
      </c>
    </row>
    <row r="4135" spans="1:15" x14ac:dyDescent="0.25">
      <c r="A4135" s="786" t="s">
        <v>8082</v>
      </c>
      <c r="B4135" s="787">
        <v>4</v>
      </c>
      <c r="C4135" s="787" t="s">
        <v>8083</v>
      </c>
      <c r="D4135" s="787">
        <v>0.83</v>
      </c>
      <c r="E4135" s="787">
        <v>2.9</v>
      </c>
      <c r="F4135" s="788">
        <v>41613</v>
      </c>
      <c r="G4135" s="788">
        <v>42158</v>
      </c>
      <c r="H4135" s="787">
        <v>1</v>
      </c>
      <c r="I4135" s="788">
        <v>42160</v>
      </c>
      <c r="J4135" s="788">
        <v>42152</v>
      </c>
      <c r="K4135" s="788">
        <v>41898</v>
      </c>
      <c r="L4135" s="787">
        <v>2.56</v>
      </c>
      <c r="M4135" s="787">
        <v>10</v>
      </c>
      <c r="N4135" s="787">
        <v>2.66</v>
      </c>
      <c r="O4135" s="788">
        <v>42163</v>
      </c>
    </row>
    <row r="4136" spans="1:15" x14ac:dyDescent="0.25">
      <c r="A4136" s="786" t="s">
        <v>8084</v>
      </c>
      <c r="B4136" s="787">
        <v>4</v>
      </c>
      <c r="C4136" s="787" t="s">
        <v>8085</v>
      </c>
      <c r="D4136" s="787">
        <v>0.57999999999999996</v>
      </c>
      <c r="E4136" s="787">
        <v>1.73</v>
      </c>
      <c r="F4136" s="788">
        <v>39456</v>
      </c>
      <c r="G4136" s="788">
        <v>42160</v>
      </c>
      <c r="H4136" s="787">
        <v>1</v>
      </c>
      <c r="I4136" s="788">
        <v>42160</v>
      </c>
      <c r="J4136" s="788">
        <v>42160</v>
      </c>
      <c r="K4136" s="788">
        <v>37966</v>
      </c>
      <c r="L4136" s="787">
        <v>1</v>
      </c>
      <c r="M4136" s="787">
        <v>10</v>
      </c>
      <c r="N4136" s="787">
        <v>2.2400000000000002</v>
      </c>
      <c r="O4136" s="788">
        <v>42163</v>
      </c>
    </row>
    <row r="4137" spans="1:15" x14ac:dyDescent="0.25">
      <c r="A4137" s="786" t="s">
        <v>8086</v>
      </c>
      <c r="B4137" s="787">
        <v>4</v>
      </c>
      <c r="C4137" s="787" t="s">
        <v>8087</v>
      </c>
      <c r="D4137" s="787">
        <v>4.2300000000000004</v>
      </c>
      <c r="E4137" s="787">
        <v>4.2300000000000004</v>
      </c>
      <c r="F4137" s="788">
        <v>37636</v>
      </c>
      <c r="G4137" s="788">
        <v>37636</v>
      </c>
      <c r="H4137" s="787">
        <v>1</v>
      </c>
      <c r="J4137" s="788">
        <v>37636</v>
      </c>
      <c r="L4137" s="787">
        <v>151.35</v>
      </c>
      <c r="M4137" s="787">
        <v>10</v>
      </c>
      <c r="N4137" s="787">
        <v>220.97</v>
      </c>
      <c r="O4137" s="788">
        <v>41858</v>
      </c>
    </row>
    <row r="4138" spans="1:15" x14ac:dyDescent="0.25">
      <c r="A4138" s="786" t="s">
        <v>8088</v>
      </c>
      <c r="B4138" s="787">
        <v>4</v>
      </c>
      <c r="C4138" s="787" t="s">
        <v>8089</v>
      </c>
      <c r="D4138" s="787">
        <v>0.1</v>
      </c>
      <c r="E4138" s="787">
        <v>1.77</v>
      </c>
      <c r="F4138" s="788">
        <v>39456</v>
      </c>
      <c r="G4138" s="788">
        <v>41920</v>
      </c>
      <c r="H4138" s="787">
        <v>1</v>
      </c>
      <c r="I4138" s="788">
        <v>41884</v>
      </c>
      <c r="J4138" s="788">
        <v>41885</v>
      </c>
      <c r="K4138" s="788">
        <v>41885</v>
      </c>
      <c r="L4138" s="787">
        <v>1</v>
      </c>
      <c r="M4138" s="787">
        <v>10</v>
      </c>
      <c r="N4138" s="787">
        <v>13.5</v>
      </c>
      <c r="O4138" s="788">
        <v>42162</v>
      </c>
    </row>
    <row r="4139" spans="1:15" x14ac:dyDescent="0.25">
      <c r="A4139" s="786" t="s">
        <v>8090</v>
      </c>
      <c r="B4139" s="787">
        <v>4</v>
      </c>
      <c r="C4139" s="787" t="s">
        <v>8091</v>
      </c>
      <c r="D4139" s="787">
        <v>4</v>
      </c>
      <c r="E4139" s="787">
        <v>14</v>
      </c>
      <c r="F4139" s="788">
        <v>37636</v>
      </c>
      <c r="G4139" s="788">
        <v>37782</v>
      </c>
      <c r="H4139" s="787">
        <v>1</v>
      </c>
      <c r="J4139" s="788">
        <v>37782</v>
      </c>
      <c r="L4139" s="787">
        <v>15.26</v>
      </c>
      <c r="M4139" s="787">
        <v>20</v>
      </c>
      <c r="N4139" s="787">
        <v>16.399999999999999</v>
      </c>
      <c r="O4139" s="788">
        <v>41858</v>
      </c>
    </row>
    <row r="4140" spans="1:15" x14ac:dyDescent="0.25">
      <c r="A4140" s="786" t="s">
        <v>8092</v>
      </c>
      <c r="B4140" s="787">
        <v>4</v>
      </c>
      <c r="C4140" s="787" t="s">
        <v>8093</v>
      </c>
      <c r="D4140" s="787">
        <v>0.37</v>
      </c>
      <c r="E4140" s="787">
        <v>0.37</v>
      </c>
      <c r="F4140" s="788">
        <v>38606</v>
      </c>
      <c r="G4140" s="788">
        <v>38216</v>
      </c>
      <c r="H4140" s="787">
        <v>6</v>
      </c>
      <c r="I4140" s="788">
        <v>38217</v>
      </c>
      <c r="J4140" s="788">
        <v>38216</v>
      </c>
      <c r="L4140" s="787">
        <v>0.36</v>
      </c>
      <c r="M4140" s="787">
        <v>10</v>
      </c>
      <c r="N4140" s="787">
        <v>0</v>
      </c>
      <c r="O4140" s="788">
        <v>40824</v>
      </c>
    </row>
    <row r="4141" spans="1:15" x14ac:dyDescent="0.25">
      <c r="A4141" s="786" t="s">
        <v>8094</v>
      </c>
      <c r="B4141" s="787">
        <v>4</v>
      </c>
      <c r="C4141" s="787" t="s">
        <v>8091</v>
      </c>
      <c r="D4141" s="787">
        <v>4</v>
      </c>
      <c r="E4141" s="787">
        <v>14</v>
      </c>
      <c r="F4141" s="788">
        <v>37636</v>
      </c>
      <c r="G4141" s="788">
        <v>37636</v>
      </c>
      <c r="H4141" s="787">
        <v>1</v>
      </c>
      <c r="J4141" s="788">
        <v>37636</v>
      </c>
      <c r="L4141" s="787">
        <v>15.26</v>
      </c>
      <c r="M4141" s="787">
        <v>20</v>
      </c>
      <c r="N4141" s="787">
        <v>16.399999999999999</v>
      </c>
      <c r="O4141" s="788">
        <v>41858</v>
      </c>
    </row>
    <row r="4142" spans="1:15" x14ac:dyDescent="0.25">
      <c r="A4142" s="786" t="s">
        <v>8095</v>
      </c>
      <c r="B4142" s="787">
        <v>4</v>
      </c>
      <c r="C4142" s="787" t="s">
        <v>8096</v>
      </c>
      <c r="D4142" s="787">
        <v>2.4500000000000002</v>
      </c>
      <c r="E4142" s="787">
        <v>3.54</v>
      </c>
      <c r="F4142" s="788">
        <v>39422</v>
      </c>
      <c r="G4142" s="788">
        <v>41866</v>
      </c>
      <c r="H4142" s="787">
        <v>1</v>
      </c>
      <c r="I4142" s="788">
        <v>42108</v>
      </c>
      <c r="J4142" s="788">
        <v>42109</v>
      </c>
      <c r="L4142" s="787">
        <v>3.55</v>
      </c>
      <c r="M4142" s="787">
        <v>10</v>
      </c>
      <c r="N4142" s="787">
        <v>6.54</v>
      </c>
      <c r="O4142" s="788">
        <v>42137</v>
      </c>
    </row>
    <row r="4143" spans="1:15" x14ac:dyDescent="0.25">
      <c r="A4143" s="786" t="s">
        <v>8097</v>
      </c>
      <c r="B4143" s="787">
        <v>4</v>
      </c>
      <c r="C4143" s="787" t="s">
        <v>8098</v>
      </c>
      <c r="D4143" s="787">
        <v>2.6</v>
      </c>
      <c r="E4143" s="787">
        <v>2.63</v>
      </c>
      <c r="F4143" s="788">
        <v>39255</v>
      </c>
      <c r="G4143" s="788">
        <v>39814</v>
      </c>
      <c r="H4143" s="787">
        <v>1</v>
      </c>
      <c r="I4143" s="788">
        <v>39134</v>
      </c>
      <c r="J4143" s="788">
        <v>39237</v>
      </c>
      <c r="K4143" s="788">
        <v>41869</v>
      </c>
      <c r="L4143" s="787">
        <v>2.63</v>
      </c>
      <c r="M4143" s="787">
        <v>20</v>
      </c>
      <c r="N4143" s="787">
        <v>8.1999999999999993</v>
      </c>
      <c r="O4143" s="788">
        <v>41858</v>
      </c>
    </row>
    <row r="4144" spans="1:15" x14ac:dyDescent="0.25">
      <c r="A4144" s="786" t="s">
        <v>8099</v>
      </c>
      <c r="B4144" s="787">
        <v>4</v>
      </c>
      <c r="C4144" s="787" t="s">
        <v>8100</v>
      </c>
      <c r="D4144" s="787">
        <v>6.32</v>
      </c>
      <c r="E4144" s="787">
        <v>6.32</v>
      </c>
      <c r="F4144" s="788">
        <v>39101</v>
      </c>
      <c r="G4144" s="788">
        <v>39101</v>
      </c>
      <c r="H4144" s="787">
        <v>1</v>
      </c>
      <c r="I4144" s="788">
        <v>41050</v>
      </c>
      <c r="J4144" s="788">
        <v>39149</v>
      </c>
      <c r="L4144" s="787">
        <v>7.63</v>
      </c>
      <c r="M4144" s="787">
        <v>20</v>
      </c>
      <c r="N4144" s="787">
        <v>8.1999999999999993</v>
      </c>
      <c r="O4144" s="788">
        <v>42135</v>
      </c>
    </row>
    <row r="4145" spans="1:15" x14ac:dyDescent="0.25">
      <c r="A4145" s="786" t="s">
        <v>8101</v>
      </c>
      <c r="B4145" s="787">
        <v>4</v>
      </c>
      <c r="C4145" s="787" t="s">
        <v>8102</v>
      </c>
      <c r="D4145" s="787">
        <v>6.71</v>
      </c>
      <c r="E4145" s="787">
        <v>6.71</v>
      </c>
      <c r="F4145" s="788">
        <v>39101</v>
      </c>
      <c r="G4145" s="788">
        <v>39101</v>
      </c>
      <c r="H4145" s="787">
        <v>1</v>
      </c>
      <c r="I4145" s="788">
        <v>41050</v>
      </c>
      <c r="J4145" s="788">
        <v>39149</v>
      </c>
      <c r="L4145" s="787">
        <v>8.7200000000000006</v>
      </c>
      <c r="M4145" s="787">
        <v>20</v>
      </c>
      <c r="N4145" s="787">
        <v>9.3699999999999992</v>
      </c>
      <c r="O4145" s="788">
        <v>42135</v>
      </c>
    </row>
    <row r="4146" spans="1:15" x14ac:dyDescent="0.25">
      <c r="A4146" s="786" t="s">
        <v>8103</v>
      </c>
      <c r="B4146" s="787">
        <v>4</v>
      </c>
      <c r="C4146" s="787" t="s">
        <v>8104</v>
      </c>
      <c r="D4146" s="787">
        <v>2.1</v>
      </c>
      <c r="E4146" s="787">
        <v>2.1</v>
      </c>
      <c r="F4146" s="788">
        <v>42157</v>
      </c>
      <c r="G4146" s="788">
        <v>42158</v>
      </c>
      <c r="H4146" s="787">
        <v>1</v>
      </c>
      <c r="I4146" s="788">
        <v>42163</v>
      </c>
      <c r="J4146" s="788">
        <v>42135</v>
      </c>
      <c r="K4146" s="788">
        <v>41751</v>
      </c>
      <c r="L4146" s="787">
        <v>2.1</v>
      </c>
      <c r="M4146" s="787">
        <v>20</v>
      </c>
      <c r="N4146" s="787">
        <v>2.2599999999999998</v>
      </c>
      <c r="O4146" s="788">
        <v>42163</v>
      </c>
    </row>
    <row r="4147" spans="1:15" x14ac:dyDescent="0.25">
      <c r="A4147" s="786" t="s">
        <v>8105</v>
      </c>
      <c r="B4147" s="787">
        <v>4</v>
      </c>
      <c r="C4147" s="787" t="s">
        <v>8106</v>
      </c>
      <c r="D4147" s="787">
        <v>2.8</v>
      </c>
      <c r="E4147" s="787">
        <v>2.8</v>
      </c>
      <c r="F4147" s="788">
        <v>42157</v>
      </c>
      <c r="G4147" s="788">
        <v>42158</v>
      </c>
      <c r="H4147" s="787">
        <v>1</v>
      </c>
      <c r="I4147" s="788">
        <v>42163</v>
      </c>
      <c r="J4147" s="788">
        <v>42135</v>
      </c>
      <c r="K4147" s="788">
        <v>41751</v>
      </c>
      <c r="L4147" s="787">
        <v>2.8</v>
      </c>
      <c r="M4147" s="787">
        <v>20</v>
      </c>
      <c r="N4147" s="787">
        <v>3.01</v>
      </c>
      <c r="O4147" s="788">
        <v>42163</v>
      </c>
    </row>
    <row r="4148" spans="1:15" x14ac:dyDescent="0.25">
      <c r="A4148" s="786" t="s">
        <v>8107</v>
      </c>
      <c r="B4148" s="787">
        <v>4</v>
      </c>
      <c r="C4148" s="787" t="s">
        <v>8108</v>
      </c>
      <c r="D4148" s="787">
        <v>1.1100000000000001</v>
      </c>
      <c r="E4148" s="787">
        <v>7.36</v>
      </c>
      <c r="F4148" s="788">
        <v>39101</v>
      </c>
      <c r="G4148" s="788">
        <v>42013</v>
      </c>
      <c r="H4148" s="787">
        <v>1</v>
      </c>
      <c r="I4148" s="788">
        <v>42157</v>
      </c>
      <c r="J4148" s="788">
        <v>41655</v>
      </c>
      <c r="L4148" s="787">
        <v>1.1100000000000001</v>
      </c>
      <c r="M4148" s="787">
        <v>10</v>
      </c>
      <c r="N4148" s="787">
        <v>11.68</v>
      </c>
      <c r="O4148" s="788">
        <v>42163</v>
      </c>
    </row>
    <row r="4149" spans="1:15" x14ac:dyDescent="0.25">
      <c r="A4149" s="786" t="s">
        <v>8109</v>
      </c>
      <c r="B4149" s="787">
        <v>4</v>
      </c>
      <c r="C4149" s="787" t="s">
        <v>8110</v>
      </c>
      <c r="D4149" s="787">
        <v>0.38</v>
      </c>
      <c r="E4149" s="787">
        <v>2.2599999999999998</v>
      </c>
      <c r="F4149" s="788">
        <v>39101</v>
      </c>
      <c r="G4149" s="788">
        <v>42013</v>
      </c>
      <c r="H4149" s="787">
        <v>1</v>
      </c>
      <c r="I4149" s="788">
        <v>42157</v>
      </c>
      <c r="J4149" s="788">
        <v>41624</v>
      </c>
      <c r="L4149" s="787">
        <v>0.57999999999999996</v>
      </c>
      <c r="M4149" s="787">
        <v>10</v>
      </c>
      <c r="N4149" s="787">
        <v>0.66</v>
      </c>
      <c r="O4149" s="788">
        <v>42163</v>
      </c>
    </row>
    <row r="4150" spans="1:15" x14ac:dyDescent="0.25">
      <c r="A4150" s="786" t="s">
        <v>8111</v>
      </c>
      <c r="B4150" s="787">
        <v>4</v>
      </c>
      <c r="C4150" s="787" t="s">
        <v>8112</v>
      </c>
      <c r="D4150" s="787">
        <v>0.18</v>
      </c>
      <c r="E4150" s="787">
        <v>0.63</v>
      </c>
      <c r="F4150" s="788">
        <v>39456</v>
      </c>
      <c r="G4150" s="788">
        <v>42160</v>
      </c>
      <c r="H4150" s="787">
        <v>1</v>
      </c>
      <c r="I4150" s="788">
        <v>42163</v>
      </c>
      <c r="J4150" s="788">
        <v>42160</v>
      </c>
      <c r="L4150" s="787">
        <v>0.43</v>
      </c>
      <c r="M4150" s="787">
        <v>10</v>
      </c>
      <c r="N4150" s="787">
        <v>0.99</v>
      </c>
      <c r="O4150" s="788">
        <v>42163</v>
      </c>
    </row>
    <row r="4151" spans="1:15" x14ac:dyDescent="0.25">
      <c r="A4151" s="786" t="s">
        <v>8113</v>
      </c>
      <c r="B4151" s="787">
        <v>4</v>
      </c>
      <c r="C4151" s="787" t="s">
        <v>8114</v>
      </c>
      <c r="D4151" s="787">
        <v>0</v>
      </c>
      <c r="E4151" s="787">
        <v>10</v>
      </c>
      <c r="F4151" s="788">
        <v>39161</v>
      </c>
      <c r="G4151" s="788">
        <v>39136</v>
      </c>
      <c r="H4151" s="787">
        <v>1</v>
      </c>
      <c r="I4151" s="788">
        <v>42160</v>
      </c>
      <c r="J4151" s="788">
        <v>41834</v>
      </c>
      <c r="L4151" s="787">
        <v>10.130000000000001</v>
      </c>
      <c r="M4151" s="787">
        <v>20</v>
      </c>
      <c r="N4151" s="787">
        <v>10.89</v>
      </c>
      <c r="O4151" s="788">
        <v>42163</v>
      </c>
    </row>
    <row r="4152" spans="1:15" x14ac:dyDescent="0.25">
      <c r="A4152" s="786" t="s">
        <v>8115</v>
      </c>
      <c r="B4152" s="787">
        <v>4</v>
      </c>
      <c r="C4152" s="787" t="s">
        <v>8116</v>
      </c>
      <c r="D4152" s="787">
        <v>1.56</v>
      </c>
      <c r="E4152" s="787">
        <v>7.96</v>
      </c>
      <c r="F4152" s="788">
        <v>39101</v>
      </c>
      <c r="G4152" s="788">
        <v>42152</v>
      </c>
      <c r="H4152" s="787">
        <v>1</v>
      </c>
      <c r="I4152" s="788">
        <v>42123</v>
      </c>
      <c r="J4152" s="788">
        <v>42128</v>
      </c>
      <c r="L4152" s="787">
        <v>1.81</v>
      </c>
      <c r="M4152" s="787">
        <v>10</v>
      </c>
      <c r="N4152" s="787">
        <v>6.67</v>
      </c>
      <c r="O4152" s="788">
        <v>42162</v>
      </c>
    </row>
    <row r="4153" spans="1:15" x14ac:dyDescent="0.25">
      <c r="A4153" s="786" t="s">
        <v>8117</v>
      </c>
      <c r="B4153" s="787">
        <v>4</v>
      </c>
      <c r="C4153" s="787" t="s">
        <v>8118</v>
      </c>
      <c r="D4153" s="787">
        <v>0.27</v>
      </c>
      <c r="E4153" s="787">
        <v>9.7799999999999994</v>
      </c>
      <c r="F4153" s="788">
        <v>39975</v>
      </c>
      <c r="G4153" s="788">
        <v>42013</v>
      </c>
      <c r="H4153" s="787">
        <v>1</v>
      </c>
      <c r="I4153" s="788">
        <v>42123</v>
      </c>
      <c r="J4153" s="788">
        <v>42079</v>
      </c>
      <c r="L4153" s="787">
        <v>1.06</v>
      </c>
      <c r="M4153" s="787">
        <v>10</v>
      </c>
      <c r="N4153" s="787">
        <v>9.31</v>
      </c>
      <c r="O4153" s="788">
        <v>42162</v>
      </c>
    </row>
    <row r="4154" spans="1:15" x14ac:dyDescent="0.25">
      <c r="A4154" s="786" t="s">
        <v>8119</v>
      </c>
      <c r="B4154" s="787">
        <v>4</v>
      </c>
      <c r="C4154" s="787" t="s">
        <v>8120</v>
      </c>
      <c r="D4154" s="787">
        <v>0.49</v>
      </c>
      <c r="E4154" s="787">
        <v>3.07</v>
      </c>
      <c r="F4154" s="788">
        <v>38889</v>
      </c>
      <c r="G4154" s="788">
        <v>42152</v>
      </c>
      <c r="H4154" s="787">
        <v>1</v>
      </c>
      <c r="I4154" s="788">
        <v>42123</v>
      </c>
      <c r="J4154" s="788">
        <v>42160</v>
      </c>
      <c r="L4154" s="787">
        <v>0.66</v>
      </c>
      <c r="M4154" s="787">
        <v>10</v>
      </c>
      <c r="N4154" s="787">
        <v>2.88</v>
      </c>
      <c r="O4154" s="788">
        <v>42162</v>
      </c>
    </row>
    <row r="4155" spans="1:15" x14ac:dyDescent="0.25">
      <c r="A4155" s="786" t="s">
        <v>8121</v>
      </c>
      <c r="B4155" s="787">
        <v>4</v>
      </c>
      <c r="C4155" s="787" t="s">
        <v>8122</v>
      </c>
      <c r="D4155" s="787">
        <v>1.71</v>
      </c>
      <c r="E4155" s="787">
        <v>1.71</v>
      </c>
      <c r="F4155" s="788">
        <v>42053</v>
      </c>
      <c r="G4155" s="788">
        <v>42053</v>
      </c>
      <c r="H4155" s="787">
        <v>1</v>
      </c>
      <c r="I4155" s="788">
        <v>41299</v>
      </c>
      <c r="J4155" s="788">
        <v>42023</v>
      </c>
      <c r="L4155" s="787">
        <v>0.1</v>
      </c>
      <c r="M4155" s="787">
        <v>10</v>
      </c>
      <c r="N4155" s="787">
        <v>2.83</v>
      </c>
      <c r="O4155" s="788">
        <v>42162</v>
      </c>
    </row>
    <row r="4156" spans="1:15" x14ac:dyDescent="0.25">
      <c r="A4156" s="786" t="s">
        <v>8123</v>
      </c>
      <c r="B4156" s="787">
        <v>4</v>
      </c>
      <c r="C4156" s="787" t="s">
        <v>8124</v>
      </c>
      <c r="D4156" s="787">
        <v>0.61</v>
      </c>
      <c r="E4156" s="787">
        <v>5.43</v>
      </c>
      <c r="F4156" s="788">
        <v>38772</v>
      </c>
      <c r="G4156" s="788">
        <v>42137</v>
      </c>
      <c r="H4156" s="787">
        <v>1</v>
      </c>
      <c r="I4156" s="788">
        <v>42123</v>
      </c>
      <c r="J4156" s="788">
        <v>42107</v>
      </c>
      <c r="L4156" s="787">
        <v>0.64</v>
      </c>
      <c r="M4156" s="787">
        <v>10</v>
      </c>
      <c r="N4156" s="787">
        <v>3.43</v>
      </c>
      <c r="O4156" s="788">
        <v>42162</v>
      </c>
    </row>
    <row r="4157" spans="1:15" x14ac:dyDescent="0.25">
      <c r="A4157" s="786" t="s">
        <v>8125</v>
      </c>
      <c r="B4157" s="787">
        <v>4</v>
      </c>
      <c r="C4157" s="787" t="s">
        <v>8126</v>
      </c>
      <c r="D4157" s="787">
        <v>0.67</v>
      </c>
      <c r="E4157" s="787">
        <v>2.97</v>
      </c>
      <c r="F4157" s="788">
        <v>39101</v>
      </c>
      <c r="G4157" s="788">
        <v>42013</v>
      </c>
      <c r="H4157" s="787">
        <v>1</v>
      </c>
      <c r="I4157" s="788">
        <v>42164</v>
      </c>
      <c r="J4157" s="788">
        <v>41957</v>
      </c>
      <c r="L4157" s="787">
        <v>0.61</v>
      </c>
      <c r="M4157" s="787">
        <v>10</v>
      </c>
      <c r="N4157" s="787">
        <v>3.18</v>
      </c>
      <c r="O4157" s="788">
        <v>42159</v>
      </c>
    </row>
    <row r="4158" spans="1:15" x14ac:dyDescent="0.25">
      <c r="A4158" s="786" t="s">
        <v>8127</v>
      </c>
      <c r="B4158" s="787">
        <v>4</v>
      </c>
      <c r="C4158" s="787" t="s">
        <v>8128</v>
      </c>
      <c r="D4158" s="787">
        <v>0.13</v>
      </c>
      <c r="E4158" s="787">
        <v>2.52</v>
      </c>
      <c r="F4158" s="788">
        <v>39456</v>
      </c>
      <c r="G4158" s="788">
        <v>42013</v>
      </c>
      <c r="H4158" s="787">
        <v>1</v>
      </c>
      <c r="I4158" s="788">
        <v>42164</v>
      </c>
      <c r="J4158" s="788">
        <v>41722</v>
      </c>
      <c r="L4158" s="787">
        <v>0.86</v>
      </c>
      <c r="M4158" s="787">
        <v>10</v>
      </c>
      <c r="N4158" s="787">
        <v>4.47</v>
      </c>
      <c r="O4158" s="788">
        <v>42159</v>
      </c>
    </row>
    <row r="4159" spans="1:15" x14ac:dyDescent="0.25">
      <c r="A4159" s="786" t="s">
        <v>8129</v>
      </c>
      <c r="B4159" s="787">
        <v>4</v>
      </c>
      <c r="C4159" s="787" t="s">
        <v>8130</v>
      </c>
      <c r="D4159" s="787">
        <v>0.5</v>
      </c>
      <c r="E4159" s="787">
        <v>0.5</v>
      </c>
      <c r="F4159" s="788">
        <v>39975</v>
      </c>
      <c r="G4159" s="788">
        <v>41943</v>
      </c>
      <c r="H4159" s="787">
        <v>1</v>
      </c>
      <c r="I4159" s="788">
        <v>39134</v>
      </c>
      <c r="J4159" s="788">
        <v>39149</v>
      </c>
      <c r="L4159" s="787">
        <v>1.91</v>
      </c>
      <c r="M4159" s="787">
        <v>10</v>
      </c>
      <c r="N4159" s="787">
        <v>4.3600000000000003</v>
      </c>
      <c r="O4159" s="788">
        <v>41858</v>
      </c>
    </row>
    <row r="4160" spans="1:15" x14ac:dyDescent="0.25">
      <c r="A4160" s="786" t="s">
        <v>8131</v>
      </c>
      <c r="B4160" s="787">
        <v>4</v>
      </c>
      <c r="C4160" s="787" t="s">
        <v>8132</v>
      </c>
      <c r="D4160" s="787">
        <v>0</v>
      </c>
      <c r="E4160" s="787">
        <v>0</v>
      </c>
      <c r="H4160" s="787">
        <v>1</v>
      </c>
      <c r="I4160" s="788">
        <v>40891</v>
      </c>
      <c r="L4160" s="787">
        <v>0</v>
      </c>
      <c r="M4160" s="787">
        <v>10</v>
      </c>
      <c r="N4160" s="787">
        <v>4.28</v>
      </c>
      <c r="O4160" s="788">
        <v>41858</v>
      </c>
    </row>
    <row r="4161" spans="1:15" x14ac:dyDescent="0.25">
      <c r="A4161" s="786" t="s">
        <v>8133</v>
      </c>
      <c r="B4161" s="787">
        <v>4</v>
      </c>
      <c r="C4161" s="787" t="s">
        <v>8134</v>
      </c>
      <c r="D4161" s="787">
        <v>0</v>
      </c>
      <c r="E4161" s="787">
        <v>0</v>
      </c>
      <c r="G4161" s="788">
        <v>41815</v>
      </c>
      <c r="H4161" s="787">
        <v>1</v>
      </c>
      <c r="I4161" s="788">
        <v>41887</v>
      </c>
      <c r="J4161" s="788">
        <v>41838</v>
      </c>
      <c r="K4161" s="788">
        <v>41838</v>
      </c>
      <c r="L4161" s="787">
        <v>7.99</v>
      </c>
      <c r="M4161" s="787">
        <v>10</v>
      </c>
      <c r="N4161" s="787">
        <v>8.6999999999999993</v>
      </c>
      <c r="O4161" s="788">
        <v>42159</v>
      </c>
    </row>
    <row r="4162" spans="1:15" x14ac:dyDescent="0.25">
      <c r="A4162" s="786" t="s">
        <v>8135</v>
      </c>
      <c r="B4162" s="787">
        <v>4</v>
      </c>
      <c r="C4162" s="787" t="s">
        <v>8136</v>
      </c>
      <c r="D4162" s="787">
        <v>0.41</v>
      </c>
      <c r="E4162" s="787">
        <v>3.1</v>
      </c>
      <c r="F4162" s="788">
        <v>41775</v>
      </c>
      <c r="G4162" s="788">
        <v>42013</v>
      </c>
      <c r="H4162" s="787">
        <v>1</v>
      </c>
      <c r="I4162" s="788">
        <v>42166</v>
      </c>
      <c r="J4162" s="788">
        <v>42079</v>
      </c>
      <c r="K4162" s="788">
        <v>41869</v>
      </c>
      <c r="L4162" s="787">
        <v>1.33</v>
      </c>
      <c r="M4162" s="787">
        <v>20</v>
      </c>
      <c r="N4162" s="787">
        <v>1.43</v>
      </c>
      <c r="O4162" s="788">
        <v>42156</v>
      </c>
    </row>
    <row r="4163" spans="1:15" x14ac:dyDescent="0.25">
      <c r="A4163" s="786" t="s">
        <v>8137</v>
      </c>
      <c r="B4163" s="787">
        <v>4</v>
      </c>
      <c r="C4163" s="787" t="s">
        <v>8138</v>
      </c>
      <c r="D4163" s="787">
        <v>4.76</v>
      </c>
      <c r="E4163" s="787">
        <v>4.82</v>
      </c>
      <c r="F4163" s="788">
        <v>40004</v>
      </c>
      <c r="G4163" s="788">
        <v>40322</v>
      </c>
      <c r="H4163" s="787">
        <v>1</v>
      </c>
      <c r="I4163" s="788">
        <v>40752</v>
      </c>
      <c r="J4163" s="788">
        <v>40281</v>
      </c>
      <c r="K4163" s="788">
        <v>39987</v>
      </c>
      <c r="L4163" s="787">
        <v>4.76</v>
      </c>
      <c r="M4163" s="787">
        <v>20</v>
      </c>
      <c r="N4163" s="787">
        <v>5.12</v>
      </c>
      <c r="O4163" s="788">
        <v>42146</v>
      </c>
    </row>
    <row r="4164" spans="1:15" x14ac:dyDescent="0.25">
      <c r="A4164" s="786" t="s">
        <v>8139</v>
      </c>
      <c r="B4164" s="787">
        <v>4</v>
      </c>
      <c r="C4164" s="787" t="s">
        <v>8140</v>
      </c>
      <c r="D4164" s="787">
        <v>0</v>
      </c>
      <c r="E4164" s="787">
        <v>0</v>
      </c>
      <c r="H4164" s="787">
        <v>1</v>
      </c>
      <c r="I4164" s="788">
        <v>39863</v>
      </c>
      <c r="L4164" s="787">
        <v>0</v>
      </c>
      <c r="M4164" s="787">
        <v>20</v>
      </c>
      <c r="N4164" s="787">
        <v>0</v>
      </c>
      <c r="O4164" s="788">
        <v>40824</v>
      </c>
    </row>
    <row r="4165" spans="1:15" x14ac:dyDescent="0.25">
      <c r="A4165" s="786" t="s">
        <v>8141</v>
      </c>
      <c r="B4165" s="787">
        <v>4</v>
      </c>
      <c r="C4165" s="787" t="s">
        <v>8142</v>
      </c>
      <c r="D4165" s="787">
        <v>2.8</v>
      </c>
      <c r="E4165" s="787">
        <v>3.22</v>
      </c>
      <c r="F4165" s="788">
        <v>40051</v>
      </c>
      <c r="G4165" s="788">
        <v>42013</v>
      </c>
      <c r="H4165" s="787">
        <v>1</v>
      </c>
      <c r="I4165" s="788">
        <v>42034</v>
      </c>
      <c r="J4165" s="788">
        <v>41298</v>
      </c>
      <c r="K4165" s="788">
        <v>40997</v>
      </c>
      <c r="L4165" s="787">
        <v>3.66</v>
      </c>
      <c r="M4165" s="787">
        <v>20</v>
      </c>
      <c r="N4165" s="787">
        <v>3.93</v>
      </c>
      <c r="O4165" s="788">
        <v>42163</v>
      </c>
    </row>
    <row r="4166" spans="1:15" x14ac:dyDescent="0.25">
      <c r="A4166" s="786" t="s">
        <v>8143</v>
      </c>
      <c r="B4166" s="787">
        <v>4</v>
      </c>
      <c r="C4166" s="787" t="s">
        <v>8144</v>
      </c>
      <c r="D4166" s="787">
        <v>7.0000000000000007E-2</v>
      </c>
      <c r="E4166" s="787">
        <v>7.0000000000000007E-2</v>
      </c>
      <c r="F4166" s="788">
        <v>39975</v>
      </c>
      <c r="G4166" s="788">
        <v>39686</v>
      </c>
      <c r="H4166" s="787">
        <v>1</v>
      </c>
      <c r="I4166" s="788">
        <v>40100</v>
      </c>
      <c r="J4166" s="788">
        <v>40108</v>
      </c>
      <c r="K4166" s="788">
        <v>42048</v>
      </c>
      <c r="L4166" s="787">
        <v>0.8</v>
      </c>
      <c r="M4166" s="787">
        <v>10</v>
      </c>
      <c r="N4166" s="787">
        <v>13.32</v>
      </c>
      <c r="O4166" s="788">
        <v>42048</v>
      </c>
    </row>
    <row r="4167" spans="1:15" x14ac:dyDescent="0.25">
      <c r="A4167" s="786" t="s">
        <v>8145</v>
      </c>
      <c r="B4167" s="787">
        <v>4</v>
      </c>
      <c r="C4167" s="787" t="s">
        <v>8146</v>
      </c>
      <c r="D4167" s="787">
        <v>2.9</v>
      </c>
      <c r="E4167" s="787">
        <v>2.9</v>
      </c>
      <c r="F4167" s="788">
        <v>41978</v>
      </c>
      <c r="G4167" s="788">
        <v>42165</v>
      </c>
      <c r="H4167" s="787">
        <v>1</v>
      </c>
      <c r="I4167" s="788">
        <v>42160</v>
      </c>
      <c r="J4167" s="788">
        <v>42144</v>
      </c>
      <c r="K4167" s="788">
        <v>41043</v>
      </c>
      <c r="L4167" s="787">
        <v>3.64</v>
      </c>
      <c r="M4167" s="787">
        <v>20</v>
      </c>
      <c r="N4167" s="787">
        <v>3.91</v>
      </c>
      <c r="O4167" s="788">
        <v>42163</v>
      </c>
    </row>
    <row r="4168" spans="1:15" x14ac:dyDescent="0.25">
      <c r="A4168" s="786" t="s">
        <v>8147</v>
      </c>
      <c r="B4168" s="787">
        <v>4</v>
      </c>
      <c r="C4168" s="787" t="s">
        <v>8148</v>
      </c>
      <c r="D4168" s="787">
        <v>2.85</v>
      </c>
      <c r="E4168" s="787">
        <v>2.85</v>
      </c>
      <c r="F4168" s="788">
        <v>41978</v>
      </c>
      <c r="G4168" s="788">
        <v>42013</v>
      </c>
      <c r="H4168" s="787">
        <v>1</v>
      </c>
      <c r="I4168" s="788">
        <v>42163</v>
      </c>
      <c r="J4168" s="788">
        <v>41935</v>
      </c>
      <c r="K4168" s="788">
        <v>41043</v>
      </c>
      <c r="L4168" s="787">
        <v>3.3</v>
      </c>
      <c r="M4168" s="787">
        <v>20</v>
      </c>
      <c r="N4168" s="787">
        <v>3.55</v>
      </c>
      <c r="O4168" s="788">
        <v>42163</v>
      </c>
    </row>
    <row r="4169" spans="1:15" x14ac:dyDescent="0.25">
      <c r="A4169" s="786" t="s">
        <v>8149</v>
      </c>
      <c r="B4169" s="787">
        <v>4</v>
      </c>
      <c r="C4169" s="787" t="s">
        <v>8150</v>
      </c>
      <c r="D4169" s="787">
        <v>0.9</v>
      </c>
      <c r="E4169" s="787">
        <v>10.9</v>
      </c>
      <c r="F4169" s="788">
        <v>40694</v>
      </c>
      <c r="G4169" s="788">
        <v>40694</v>
      </c>
      <c r="H4169" s="787">
        <v>1</v>
      </c>
      <c r="I4169" s="788">
        <v>41869</v>
      </c>
      <c r="J4169" s="788">
        <v>40694</v>
      </c>
      <c r="K4169" s="788">
        <v>40680</v>
      </c>
      <c r="L4169" s="787">
        <v>10.9</v>
      </c>
      <c r="M4169" s="787">
        <v>20</v>
      </c>
      <c r="N4169" s="787">
        <v>11.72</v>
      </c>
      <c r="O4169" s="788">
        <v>42163</v>
      </c>
    </row>
    <row r="4170" spans="1:15" x14ac:dyDescent="0.25">
      <c r="A4170" s="786" t="s">
        <v>8151</v>
      </c>
      <c r="B4170" s="787">
        <v>4</v>
      </c>
      <c r="C4170" s="787" t="s">
        <v>8152</v>
      </c>
      <c r="D4170" s="787">
        <v>0</v>
      </c>
      <c r="E4170" s="787">
        <v>0</v>
      </c>
      <c r="H4170" s="787">
        <v>1</v>
      </c>
      <c r="L4170" s="787">
        <v>5</v>
      </c>
      <c r="M4170" s="787">
        <v>20</v>
      </c>
      <c r="N4170" s="787">
        <v>5.38</v>
      </c>
      <c r="O4170" s="788">
        <v>41858</v>
      </c>
    </row>
    <row r="4171" spans="1:15" x14ac:dyDescent="0.25">
      <c r="A4171" s="786" t="s">
        <v>8153</v>
      </c>
      <c r="B4171" s="787">
        <v>4</v>
      </c>
      <c r="C4171" s="787" t="s">
        <v>8154</v>
      </c>
      <c r="D4171" s="787">
        <v>0</v>
      </c>
      <c r="E4171" s="787">
        <v>0</v>
      </c>
      <c r="F4171" s="788">
        <v>41613</v>
      </c>
      <c r="G4171" s="788">
        <v>41779</v>
      </c>
      <c r="H4171" s="787">
        <v>1</v>
      </c>
      <c r="I4171" s="788">
        <v>41726</v>
      </c>
      <c r="J4171" s="788">
        <v>41779</v>
      </c>
      <c r="L4171" s="787">
        <v>0.01</v>
      </c>
      <c r="M4171" s="787">
        <v>20</v>
      </c>
      <c r="N4171" s="787">
        <v>0.01</v>
      </c>
      <c r="O4171" s="788">
        <v>42163</v>
      </c>
    </row>
    <row r="4172" spans="1:15" x14ac:dyDescent="0.25">
      <c r="A4172" s="786" t="s">
        <v>8155</v>
      </c>
      <c r="B4172" s="787">
        <v>4</v>
      </c>
      <c r="C4172" s="787" t="s">
        <v>8156</v>
      </c>
      <c r="D4172" s="787">
        <v>0</v>
      </c>
      <c r="E4172" s="787">
        <v>0</v>
      </c>
      <c r="H4172" s="787">
        <v>1</v>
      </c>
      <c r="L4172" s="787">
        <v>8</v>
      </c>
      <c r="M4172" s="787">
        <v>20</v>
      </c>
      <c r="N4172" s="787">
        <v>8.6</v>
      </c>
      <c r="O4172" s="788">
        <v>42163</v>
      </c>
    </row>
    <row r="4173" spans="1:15" x14ac:dyDescent="0.25">
      <c r="A4173" s="786" t="s">
        <v>8157</v>
      </c>
      <c r="B4173" s="787">
        <v>4</v>
      </c>
      <c r="C4173" s="787" t="s">
        <v>8158</v>
      </c>
      <c r="D4173" s="787">
        <v>0</v>
      </c>
      <c r="E4173" s="787">
        <v>0</v>
      </c>
      <c r="H4173" s="787">
        <v>1</v>
      </c>
      <c r="I4173" s="788">
        <v>41591</v>
      </c>
      <c r="L4173" s="787">
        <v>0.01</v>
      </c>
      <c r="M4173" s="787">
        <v>20</v>
      </c>
      <c r="N4173" s="787">
        <v>0.01</v>
      </c>
      <c r="O4173" s="788">
        <v>42163</v>
      </c>
    </row>
    <row r="4174" spans="1:15" x14ac:dyDescent="0.25">
      <c r="A4174" s="786" t="s">
        <v>8159</v>
      </c>
      <c r="B4174" s="787">
        <v>4</v>
      </c>
      <c r="C4174" s="787" t="s">
        <v>8160</v>
      </c>
      <c r="D4174" s="787">
        <v>1.1399999999999999</v>
      </c>
      <c r="E4174" s="787">
        <v>1.1399999999999999</v>
      </c>
      <c r="F4174" s="788">
        <v>41432</v>
      </c>
      <c r="G4174" s="788">
        <v>41943</v>
      </c>
      <c r="H4174" s="787">
        <v>1</v>
      </c>
      <c r="I4174" s="788">
        <v>41865</v>
      </c>
      <c r="J4174" s="788">
        <v>41393</v>
      </c>
      <c r="L4174" s="787">
        <v>0.01</v>
      </c>
      <c r="M4174" s="787">
        <v>10</v>
      </c>
      <c r="N4174" s="787">
        <v>0.97</v>
      </c>
      <c r="O4174" s="788">
        <v>42163</v>
      </c>
    </row>
    <row r="4175" spans="1:15" x14ac:dyDescent="0.25">
      <c r="A4175" s="786" t="s">
        <v>8161</v>
      </c>
      <c r="B4175" s="787">
        <v>4</v>
      </c>
      <c r="C4175" s="787" t="s">
        <v>8162</v>
      </c>
      <c r="D4175" s="787">
        <v>0.5</v>
      </c>
      <c r="E4175" s="787">
        <v>0.72</v>
      </c>
      <c r="F4175" s="788">
        <v>39101</v>
      </c>
      <c r="G4175" s="788">
        <v>42013</v>
      </c>
      <c r="H4175" s="787">
        <v>1</v>
      </c>
      <c r="I4175" s="788">
        <v>42044</v>
      </c>
      <c r="J4175" s="788">
        <v>40590</v>
      </c>
      <c r="L4175" s="787">
        <v>0.56000000000000005</v>
      </c>
      <c r="M4175" s="787">
        <v>20</v>
      </c>
      <c r="N4175" s="787">
        <v>0.6</v>
      </c>
      <c r="O4175" s="788">
        <v>42164</v>
      </c>
    </row>
    <row r="4176" spans="1:15" x14ac:dyDescent="0.25">
      <c r="A4176" s="786" t="s">
        <v>8163</v>
      </c>
      <c r="B4176" s="787">
        <v>4</v>
      </c>
      <c r="C4176" s="787" t="s">
        <v>8164</v>
      </c>
      <c r="D4176" s="787">
        <v>0.37</v>
      </c>
      <c r="E4176" s="787">
        <v>0.37</v>
      </c>
      <c r="F4176" s="788">
        <v>37636</v>
      </c>
      <c r="G4176" s="788">
        <v>37636</v>
      </c>
      <c r="H4176" s="787">
        <v>1</v>
      </c>
      <c r="I4176" s="788">
        <v>37568</v>
      </c>
      <c r="J4176" s="788">
        <v>37636</v>
      </c>
      <c r="L4176" s="787">
        <v>0.17</v>
      </c>
      <c r="M4176" s="787">
        <v>10</v>
      </c>
      <c r="N4176" s="787">
        <v>0.47</v>
      </c>
      <c r="O4176" s="788">
        <v>41858</v>
      </c>
    </row>
    <row r="4177" spans="1:15" x14ac:dyDescent="0.25">
      <c r="A4177" s="786" t="s">
        <v>8165</v>
      </c>
      <c r="B4177" s="787">
        <v>4</v>
      </c>
      <c r="C4177" s="787" t="s">
        <v>8162</v>
      </c>
      <c r="D4177" s="787">
        <v>0.61</v>
      </c>
      <c r="E4177" s="787">
        <v>0.98</v>
      </c>
      <c r="F4177" s="788">
        <v>39101</v>
      </c>
      <c r="G4177" s="788">
        <v>42013</v>
      </c>
      <c r="H4177" s="787">
        <v>1</v>
      </c>
      <c r="I4177" s="788">
        <v>40239</v>
      </c>
      <c r="J4177" s="788">
        <v>41135</v>
      </c>
      <c r="L4177" s="787">
        <v>0.66</v>
      </c>
      <c r="M4177" s="787">
        <v>20</v>
      </c>
      <c r="N4177" s="787">
        <v>0.71</v>
      </c>
      <c r="O4177" s="788">
        <v>41858</v>
      </c>
    </row>
    <row r="4178" spans="1:15" x14ac:dyDescent="0.25">
      <c r="A4178" s="786" t="s">
        <v>8166</v>
      </c>
      <c r="B4178" s="787">
        <v>4</v>
      </c>
      <c r="C4178" s="787" t="s">
        <v>8162</v>
      </c>
      <c r="D4178" s="787">
        <v>0.98</v>
      </c>
      <c r="E4178" s="787">
        <v>1.17</v>
      </c>
      <c r="F4178" s="788">
        <v>39101</v>
      </c>
      <c r="G4178" s="788">
        <v>42013</v>
      </c>
      <c r="H4178" s="787">
        <v>1</v>
      </c>
      <c r="I4178" s="788">
        <v>42058</v>
      </c>
      <c r="J4178" s="788">
        <v>41087</v>
      </c>
      <c r="L4178" s="787">
        <v>0.98</v>
      </c>
      <c r="M4178" s="787">
        <v>20</v>
      </c>
      <c r="N4178" s="787">
        <v>1.05</v>
      </c>
      <c r="O4178" s="788">
        <v>41989</v>
      </c>
    </row>
    <row r="4179" spans="1:15" x14ac:dyDescent="0.25">
      <c r="A4179" s="786" t="s">
        <v>8167</v>
      </c>
      <c r="B4179" s="787">
        <v>4</v>
      </c>
      <c r="C4179" s="787" t="s">
        <v>8162</v>
      </c>
      <c r="D4179" s="787">
        <v>1.36</v>
      </c>
      <c r="E4179" s="787">
        <v>1.36</v>
      </c>
      <c r="F4179" s="788">
        <v>39101</v>
      </c>
      <c r="G4179" s="788">
        <v>39101</v>
      </c>
      <c r="H4179" s="787">
        <v>5</v>
      </c>
      <c r="I4179" s="788">
        <v>40360</v>
      </c>
      <c r="J4179" s="788">
        <v>39149</v>
      </c>
      <c r="K4179" s="788">
        <v>41865</v>
      </c>
      <c r="L4179" s="787">
        <v>1.36</v>
      </c>
      <c r="M4179" s="787">
        <v>20</v>
      </c>
      <c r="N4179" s="787">
        <v>1.46</v>
      </c>
      <c r="O4179" s="788">
        <v>41865</v>
      </c>
    </row>
    <row r="4180" spans="1:15" x14ac:dyDescent="0.25">
      <c r="A4180" s="786" t="s">
        <v>8168</v>
      </c>
      <c r="B4180" s="787">
        <v>4</v>
      </c>
      <c r="C4180" s="787" t="s">
        <v>8162</v>
      </c>
      <c r="D4180" s="787">
        <v>0.31</v>
      </c>
      <c r="E4180" s="787">
        <v>0.31</v>
      </c>
      <c r="F4180" s="788">
        <v>39101</v>
      </c>
      <c r="G4180" s="788">
        <v>39101</v>
      </c>
      <c r="H4180" s="787">
        <v>1</v>
      </c>
      <c r="I4180" s="788">
        <v>39134</v>
      </c>
      <c r="J4180" s="788">
        <v>39149</v>
      </c>
      <c r="L4180" s="787">
        <v>0.34</v>
      </c>
      <c r="M4180" s="787">
        <v>20</v>
      </c>
      <c r="N4180" s="787">
        <v>0.37</v>
      </c>
      <c r="O4180" s="788">
        <v>41858</v>
      </c>
    </row>
    <row r="4181" spans="1:15" x14ac:dyDescent="0.25">
      <c r="A4181" s="786" t="s">
        <v>8169</v>
      </c>
      <c r="B4181" s="787">
        <v>4</v>
      </c>
      <c r="C4181" s="787" t="s">
        <v>8170</v>
      </c>
      <c r="D4181" s="787">
        <v>0.85</v>
      </c>
      <c r="E4181" s="787">
        <v>1.23</v>
      </c>
      <c r="F4181" s="788">
        <v>39101</v>
      </c>
      <c r="G4181" s="788">
        <v>42165</v>
      </c>
      <c r="H4181" s="787">
        <v>1</v>
      </c>
      <c r="I4181" s="788">
        <v>42163</v>
      </c>
      <c r="J4181" s="788">
        <v>42144</v>
      </c>
      <c r="L4181" s="787">
        <v>1.0900000000000001</v>
      </c>
      <c r="M4181" s="787">
        <v>20</v>
      </c>
      <c r="N4181" s="787">
        <v>1.17</v>
      </c>
      <c r="O4181" s="788">
        <v>42162</v>
      </c>
    </row>
    <row r="4182" spans="1:15" x14ac:dyDescent="0.25">
      <c r="A4182" s="786" t="s">
        <v>8171</v>
      </c>
      <c r="B4182" s="787">
        <v>4</v>
      </c>
      <c r="C4182" s="787" t="s">
        <v>8172</v>
      </c>
      <c r="D4182" s="787">
        <v>0.3</v>
      </c>
      <c r="E4182" s="787">
        <v>0.45</v>
      </c>
      <c r="F4182" s="788">
        <v>39101</v>
      </c>
      <c r="G4182" s="788">
        <v>41591</v>
      </c>
      <c r="H4182" s="787">
        <v>6</v>
      </c>
      <c r="I4182" s="788">
        <v>41962</v>
      </c>
      <c r="J4182" s="788">
        <v>41963</v>
      </c>
      <c r="K4182" s="788">
        <v>40249</v>
      </c>
      <c r="L4182" s="787">
        <v>0.45</v>
      </c>
      <c r="M4182" s="787">
        <v>20</v>
      </c>
      <c r="N4182" s="787">
        <v>0.48</v>
      </c>
      <c r="O4182" s="788">
        <v>41806</v>
      </c>
    </row>
    <row r="4183" spans="1:15" x14ac:dyDescent="0.25">
      <c r="A4183" s="786" t="s">
        <v>8173</v>
      </c>
      <c r="B4183" s="787">
        <v>4</v>
      </c>
      <c r="C4183" s="787" t="s">
        <v>8174</v>
      </c>
      <c r="D4183" s="787">
        <v>0.36</v>
      </c>
      <c r="E4183" s="787">
        <v>0.46</v>
      </c>
      <c r="F4183" s="788">
        <v>41348</v>
      </c>
      <c r="G4183" s="788">
        <v>42013</v>
      </c>
      <c r="H4183" s="787">
        <v>1</v>
      </c>
      <c r="I4183" s="788">
        <v>41428</v>
      </c>
      <c r="J4183" s="788">
        <v>41919</v>
      </c>
      <c r="K4183" s="788">
        <v>40625</v>
      </c>
      <c r="L4183" s="787">
        <v>0.46</v>
      </c>
      <c r="M4183" s="787">
        <v>20</v>
      </c>
      <c r="N4183" s="787">
        <v>0.49</v>
      </c>
      <c r="O4183" s="788">
        <v>42163</v>
      </c>
    </row>
    <row r="4184" spans="1:15" x14ac:dyDescent="0.25">
      <c r="A4184" s="786" t="s">
        <v>8175</v>
      </c>
      <c r="B4184" s="787">
        <v>4</v>
      </c>
      <c r="C4184" s="787" t="s">
        <v>8176</v>
      </c>
      <c r="D4184" s="787">
        <v>2.9</v>
      </c>
      <c r="E4184" s="787">
        <v>2.9</v>
      </c>
      <c r="F4184" s="788">
        <v>41775</v>
      </c>
      <c r="G4184" s="788">
        <v>42018</v>
      </c>
      <c r="H4184" s="787">
        <v>1</v>
      </c>
      <c r="I4184" s="788">
        <v>42166</v>
      </c>
      <c r="J4184" s="788">
        <v>42016</v>
      </c>
      <c r="K4184" s="788">
        <v>41759</v>
      </c>
      <c r="L4184" s="787">
        <v>2.9</v>
      </c>
      <c r="M4184" s="787">
        <v>20</v>
      </c>
      <c r="N4184" s="787">
        <v>3.12</v>
      </c>
      <c r="O4184" s="788">
        <v>42163</v>
      </c>
    </row>
    <row r="4185" spans="1:15" x14ac:dyDescent="0.25">
      <c r="A4185" s="786" t="s">
        <v>8177</v>
      </c>
      <c r="B4185" s="787">
        <v>4</v>
      </c>
      <c r="C4185" s="787" t="s">
        <v>8162</v>
      </c>
      <c r="D4185" s="787">
        <v>0.22</v>
      </c>
      <c r="E4185" s="787">
        <v>0.22</v>
      </c>
      <c r="F4185" s="788">
        <v>37636</v>
      </c>
      <c r="G4185" s="788">
        <v>37636</v>
      </c>
      <c r="H4185" s="787">
        <v>1</v>
      </c>
      <c r="J4185" s="788">
        <v>37636</v>
      </c>
      <c r="L4185" s="787">
        <v>0.24</v>
      </c>
      <c r="M4185" s="787">
        <v>20</v>
      </c>
      <c r="N4185" s="787">
        <v>0.26</v>
      </c>
      <c r="O4185" s="788">
        <v>41858</v>
      </c>
    </row>
    <row r="4186" spans="1:15" x14ac:dyDescent="0.25">
      <c r="A4186" s="786" t="s">
        <v>8178</v>
      </c>
      <c r="B4186" s="787">
        <v>4</v>
      </c>
      <c r="C4186" s="787" t="s">
        <v>8179</v>
      </c>
      <c r="D4186" s="787">
        <v>0.27</v>
      </c>
      <c r="E4186" s="787">
        <v>0.54</v>
      </c>
      <c r="F4186" s="788">
        <v>38555</v>
      </c>
      <c r="G4186" s="788">
        <v>42136</v>
      </c>
      <c r="H4186" s="787">
        <v>1</v>
      </c>
      <c r="I4186" s="788">
        <v>42164</v>
      </c>
      <c r="J4186" s="788">
        <v>42151</v>
      </c>
      <c r="K4186" s="788">
        <v>41563</v>
      </c>
      <c r="L4186" s="787">
        <v>0.54</v>
      </c>
      <c r="M4186" s="787">
        <v>20</v>
      </c>
      <c r="N4186" s="787">
        <v>0.57999999999999996</v>
      </c>
      <c r="O4186" s="788">
        <v>42163</v>
      </c>
    </row>
    <row r="4187" spans="1:15" x14ac:dyDescent="0.25">
      <c r="A4187" s="786" t="s">
        <v>8180</v>
      </c>
      <c r="B4187" s="787">
        <v>4</v>
      </c>
      <c r="C4187" s="787" t="s">
        <v>8181</v>
      </c>
      <c r="D4187" s="787">
        <v>1.79</v>
      </c>
      <c r="E4187" s="787">
        <v>2.16</v>
      </c>
      <c r="F4187" s="788">
        <v>39296</v>
      </c>
      <c r="G4187" s="788">
        <v>42146</v>
      </c>
      <c r="H4187" s="787">
        <v>1</v>
      </c>
      <c r="I4187" s="788">
        <v>42152</v>
      </c>
      <c r="J4187" s="788">
        <v>42124</v>
      </c>
      <c r="K4187" s="788">
        <v>41542</v>
      </c>
      <c r="L4187" s="787">
        <v>2.8</v>
      </c>
      <c r="M4187" s="787">
        <v>20</v>
      </c>
      <c r="N4187" s="787">
        <v>3.01</v>
      </c>
      <c r="O4187" s="788">
        <v>42164</v>
      </c>
    </row>
    <row r="4188" spans="1:15" x14ac:dyDescent="0.25">
      <c r="A4188" s="786" t="s">
        <v>8182</v>
      </c>
      <c r="B4188" s="787">
        <v>4</v>
      </c>
      <c r="C4188" s="787" t="s">
        <v>8162</v>
      </c>
      <c r="D4188" s="787">
        <v>1.7</v>
      </c>
      <c r="E4188" s="787">
        <v>2.13</v>
      </c>
      <c r="F4188" s="788">
        <v>38810</v>
      </c>
      <c r="G4188" s="788">
        <v>42013</v>
      </c>
      <c r="H4188" s="787">
        <v>1</v>
      </c>
      <c r="I4188" s="788">
        <v>42160</v>
      </c>
      <c r="J4188" s="788">
        <v>41835</v>
      </c>
      <c r="K4188" s="788">
        <v>40676</v>
      </c>
      <c r="L4188" s="787">
        <v>1.98</v>
      </c>
      <c r="M4188" s="787">
        <v>20</v>
      </c>
      <c r="N4188" s="787">
        <v>2.13</v>
      </c>
      <c r="O4188" s="788">
        <v>42164</v>
      </c>
    </row>
    <row r="4189" spans="1:15" x14ac:dyDescent="0.25">
      <c r="A4189" s="786" t="s">
        <v>8183</v>
      </c>
      <c r="B4189" s="787">
        <v>4</v>
      </c>
      <c r="C4189" s="787" t="s">
        <v>8184</v>
      </c>
      <c r="D4189" s="787">
        <v>0.88</v>
      </c>
      <c r="E4189" s="787">
        <v>0.88</v>
      </c>
      <c r="F4189" s="788">
        <v>37636</v>
      </c>
      <c r="G4189" s="788">
        <v>37636</v>
      </c>
      <c r="H4189" s="787">
        <v>1</v>
      </c>
      <c r="I4189" s="788">
        <v>38670</v>
      </c>
      <c r="J4189" s="788">
        <v>37636</v>
      </c>
      <c r="L4189" s="787">
        <v>0.96</v>
      </c>
      <c r="M4189" s="787">
        <v>20</v>
      </c>
      <c r="N4189" s="787">
        <v>1.03</v>
      </c>
      <c r="O4189" s="788">
        <v>42124</v>
      </c>
    </row>
    <row r="4190" spans="1:15" x14ac:dyDescent="0.25">
      <c r="A4190" s="786" t="s">
        <v>8185</v>
      </c>
      <c r="B4190" s="787">
        <v>4</v>
      </c>
      <c r="C4190" s="787" t="s">
        <v>8162</v>
      </c>
      <c r="D4190" s="787">
        <v>1.67</v>
      </c>
      <c r="E4190" s="787">
        <v>1.67</v>
      </c>
      <c r="F4190" s="788">
        <v>39101</v>
      </c>
      <c r="G4190" s="788">
        <v>39101</v>
      </c>
      <c r="H4190" s="787">
        <v>1</v>
      </c>
      <c r="I4190" s="788">
        <v>39134</v>
      </c>
      <c r="J4190" s="788">
        <v>39149</v>
      </c>
      <c r="L4190" s="787">
        <v>1.82</v>
      </c>
      <c r="M4190" s="787">
        <v>20</v>
      </c>
      <c r="N4190" s="787">
        <v>1.96</v>
      </c>
      <c r="O4190" s="788">
        <v>41858</v>
      </c>
    </row>
    <row r="4191" spans="1:15" x14ac:dyDescent="0.25">
      <c r="A4191" s="786" t="s">
        <v>8186</v>
      </c>
      <c r="B4191" s="787">
        <v>4</v>
      </c>
      <c r="C4191" s="787" t="s">
        <v>8187</v>
      </c>
      <c r="D4191" s="787">
        <v>1.28</v>
      </c>
      <c r="E4191" s="787">
        <v>1.28</v>
      </c>
      <c r="F4191" s="788">
        <v>39101</v>
      </c>
      <c r="G4191" s="788">
        <v>42165</v>
      </c>
      <c r="H4191" s="787">
        <v>1</v>
      </c>
      <c r="I4191" s="788">
        <v>42156</v>
      </c>
      <c r="J4191" s="788">
        <v>42152</v>
      </c>
      <c r="L4191" s="787">
        <v>1.28</v>
      </c>
      <c r="M4191" s="787">
        <v>20</v>
      </c>
      <c r="N4191" s="787">
        <v>1.38</v>
      </c>
      <c r="O4191" s="788">
        <v>42164</v>
      </c>
    </row>
    <row r="4192" spans="1:15" x14ac:dyDescent="0.25">
      <c r="A4192" s="786" t="s">
        <v>8188</v>
      </c>
      <c r="B4192" s="787">
        <v>4</v>
      </c>
      <c r="C4192" s="787" t="s">
        <v>8189</v>
      </c>
      <c r="D4192" s="787">
        <v>7.6</v>
      </c>
      <c r="E4192" s="787">
        <v>7.6</v>
      </c>
      <c r="F4192" s="788">
        <v>40332</v>
      </c>
      <c r="G4192" s="788">
        <v>41943</v>
      </c>
      <c r="H4192" s="787">
        <v>1</v>
      </c>
      <c r="I4192" s="788">
        <v>41593</v>
      </c>
      <c r="J4192" s="788">
        <v>40262</v>
      </c>
      <c r="L4192" s="787">
        <v>7.6</v>
      </c>
      <c r="M4192" s="787">
        <v>20</v>
      </c>
      <c r="N4192" s="787">
        <v>8.17</v>
      </c>
      <c r="O4192" s="788">
        <v>41858</v>
      </c>
    </row>
    <row r="4193" spans="1:15" x14ac:dyDescent="0.25">
      <c r="A4193" s="786" t="s">
        <v>8190</v>
      </c>
      <c r="B4193" s="787">
        <v>4</v>
      </c>
      <c r="C4193" s="787" t="s">
        <v>8191</v>
      </c>
      <c r="D4193" s="787">
        <v>0.51</v>
      </c>
      <c r="E4193" s="787">
        <v>0.51</v>
      </c>
      <c r="F4193" s="788">
        <v>41519</v>
      </c>
      <c r="G4193" s="788">
        <v>42142</v>
      </c>
      <c r="H4193" s="787">
        <v>1</v>
      </c>
      <c r="I4193" s="788">
        <v>42132</v>
      </c>
      <c r="J4193" s="788">
        <v>42142</v>
      </c>
      <c r="L4193" s="787">
        <v>0.51</v>
      </c>
      <c r="M4193" s="787">
        <v>20</v>
      </c>
      <c r="N4193" s="787">
        <v>0.55000000000000004</v>
      </c>
      <c r="O4193" s="788">
        <v>42146</v>
      </c>
    </row>
    <row r="4194" spans="1:15" x14ac:dyDescent="0.25">
      <c r="A4194" s="786" t="s">
        <v>8192</v>
      </c>
      <c r="B4194" s="787">
        <v>4</v>
      </c>
      <c r="C4194" s="787" t="s">
        <v>8193</v>
      </c>
      <c r="D4194" s="787">
        <v>1.75</v>
      </c>
      <c r="E4194" s="787">
        <v>2.75</v>
      </c>
      <c r="F4194" s="788">
        <v>40031</v>
      </c>
      <c r="G4194" s="788">
        <v>42040</v>
      </c>
      <c r="H4194" s="787">
        <v>1</v>
      </c>
      <c r="I4194" s="788">
        <v>42164</v>
      </c>
      <c r="J4194" s="788">
        <v>42040</v>
      </c>
      <c r="K4194" s="788">
        <v>41445</v>
      </c>
      <c r="L4194" s="787">
        <v>2.75</v>
      </c>
      <c r="M4194" s="787">
        <v>20</v>
      </c>
      <c r="N4194" s="787">
        <v>2.96</v>
      </c>
      <c r="O4194" s="788">
        <v>42159</v>
      </c>
    </row>
    <row r="4195" spans="1:15" x14ac:dyDescent="0.25">
      <c r="A4195" s="786" t="s">
        <v>8194</v>
      </c>
      <c r="B4195" s="787">
        <v>4</v>
      </c>
      <c r="C4195" s="787" t="s">
        <v>8195</v>
      </c>
      <c r="D4195" s="787">
        <v>0.72</v>
      </c>
      <c r="E4195" s="787">
        <v>1.92</v>
      </c>
      <c r="F4195" s="788">
        <v>41855</v>
      </c>
      <c r="G4195" s="788">
        <v>42017</v>
      </c>
      <c r="H4195" s="787">
        <v>1</v>
      </c>
      <c r="I4195" s="788">
        <v>42164</v>
      </c>
      <c r="J4195" s="788">
        <v>41983</v>
      </c>
      <c r="L4195" s="787">
        <v>0.17</v>
      </c>
      <c r="M4195" s="787">
        <v>10</v>
      </c>
      <c r="N4195" s="787">
        <v>1.87</v>
      </c>
      <c r="O4195" s="788">
        <v>42159</v>
      </c>
    </row>
    <row r="4196" spans="1:15" x14ac:dyDescent="0.25">
      <c r="A4196" s="786" t="s">
        <v>8196</v>
      </c>
      <c r="B4196" s="787">
        <v>4</v>
      </c>
      <c r="C4196" s="787" t="s">
        <v>8197</v>
      </c>
      <c r="D4196" s="787">
        <v>0</v>
      </c>
      <c r="E4196" s="787">
        <v>0</v>
      </c>
      <c r="H4196" s="787">
        <v>1</v>
      </c>
      <c r="L4196" s="787">
        <v>0</v>
      </c>
      <c r="M4196" s="787">
        <v>20</v>
      </c>
      <c r="N4196" s="787">
        <v>0</v>
      </c>
      <c r="O4196" s="788">
        <v>40824</v>
      </c>
    </row>
    <row r="4197" spans="1:15" x14ac:dyDescent="0.25">
      <c r="A4197" s="786" t="s">
        <v>8198</v>
      </c>
      <c r="B4197" s="787">
        <v>4</v>
      </c>
      <c r="C4197" s="787" t="s">
        <v>8199</v>
      </c>
      <c r="D4197" s="787">
        <v>0</v>
      </c>
      <c r="E4197" s="787">
        <v>0</v>
      </c>
      <c r="H4197" s="787">
        <v>1</v>
      </c>
      <c r="J4197" s="788">
        <v>37636</v>
      </c>
      <c r="L4197" s="787">
        <v>0</v>
      </c>
      <c r="M4197" s="787">
        <v>20</v>
      </c>
      <c r="N4197" s="787">
        <v>0</v>
      </c>
      <c r="O4197" s="788">
        <v>40824</v>
      </c>
    </row>
    <row r="4198" spans="1:15" x14ac:dyDescent="0.25">
      <c r="A4198" s="786" t="s">
        <v>8200</v>
      </c>
      <c r="B4198" s="787">
        <v>4</v>
      </c>
      <c r="C4198" s="787" t="s">
        <v>8201</v>
      </c>
      <c r="D4198" s="787">
        <v>0.03</v>
      </c>
      <c r="E4198" s="787">
        <v>0.03</v>
      </c>
      <c r="F4198" s="788">
        <v>39716</v>
      </c>
      <c r="G4198" s="788">
        <v>42013</v>
      </c>
      <c r="H4198" s="787">
        <v>1</v>
      </c>
      <c r="I4198" s="788">
        <v>42166</v>
      </c>
      <c r="J4198" s="788">
        <v>41890</v>
      </c>
      <c r="L4198" s="787">
        <v>0.03</v>
      </c>
      <c r="M4198" s="787">
        <v>20</v>
      </c>
      <c r="N4198" s="787">
        <v>0.03</v>
      </c>
      <c r="O4198" s="788">
        <v>42163</v>
      </c>
    </row>
    <row r="4199" spans="1:15" x14ac:dyDescent="0.25">
      <c r="A4199" s="786" t="s">
        <v>8202</v>
      </c>
      <c r="B4199" s="787">
        <v>4</v>
      </c>
      <c r="C4199" s="787" t="s">
        <v>8203</v>
      </c>
      <c r="D4199" s="787">
        <v>8.57</v>
      </c>
      <c r="E4199" s="787">
        <v>48.57</v>
      </c>
      <c r="F4199" s="788">
        <v>37636</v>
      </c>
      <c r="G4199" s="788">
        <v>37636</v>
      </c>
      <c r="H4199" s="787">
        <v>1</v>
      </c>
      <c r="J4199" s="788">
        <v>37636</v>
      </c>
      <c r="L4199" s="787">
        <v>52.94</v>
      </c>
      <c r="M4199" s="787">
        <v>20</v>
      </c>
      <c r="N4199" s="787">
        <v>56.91</v>
      </c>
      <c r="O4199" s="788">
        <v>41858</v>
      </c>
    </row>
    <row r="4200" spans="1:15" x14ac:dyDescent="0.25">
      <c r="A4200" s="786" t="s">
        <v>8204</v>
      </c>
      <c r="B4200" s="787">
        <v>4</v>
      </c>
      <c r="C4200" s="787" t="s">
        <v>8205</v>
      </c>
      <c r="D4200" s="787">
        <v>4</v>
      </c>
      <c r="E4200" s="787">
        <v>14</v>
      </c>
      <c r="F4200" s="788">
        <v>39101</v>
      </c>
      <c r="G4200" s="788">
        <v>39101</v>
      </c>
      <c r="H4200" s="787">
        <v>1</v>
      </c>
      <c r="I4200" s="788">
        <v>42090</v>
      </c>
      <c r="J4200" s="788">
        <v>40525</v>
      </c>
      <c r="L4200" s="787">
        <v>14</v>
      </c>
      <c r="M4200" s="787">
        <v>20</v>
      </c>
      <c r="N4200" s="787">
        <v>15.05</v>
      </c>
      <c r="O4200" s="788">
        <v>42124</v>
      </c>
    </row>
    <row r="4201" spans="1:15" x14ac:dyDescent="0.25">
      <c r="A4201" s="786" t="s">
        <v>8206</v>
      </c>
      <c r="B4201" s="787">
        <v>4</v>
      </c>
      <c r="C4201" s="787" t="s">
        <v>8207</v>
      </c>
      <c r="D4201" s="787">
        <v>0.38</v>
      </c>
      <c r="E4201" s="787">
        <v>0.38</v>
      </c>
      <c r="F4201" s="788">
        <v>38889</v>
      </c>
      <c r="G4201" s="788">
        <v>38889</v>
      </c>
      <c r="H4201" s="787">
        <v>1</v>
      </c>
      <c r="I4201" s="788">
        <v>39134</v>
      </c>
      <c r="J4201" s="788">
        <v>38841</v>
      </c>
      <c r="K4201" s="788">
        <v>42048</v>
      </c>
      <c r="L4201" s="787">
        <v>0.67</v>
      </c>
      <c r="M4201" s="787">
        <v>10</v>
      </c>
      <c r="N4201" s="787">
        <v>4.38</v>
      </c>
      <c r="O4201" s="788">
        <v>42048</v>
      </c>
    </row>
    <row r="4202" spans="1:15" x14ac:dyDescent="0.25">
      <c r="A4202" s="786" t="s">
        <v>8208</v>
      </c>
      <c r="B4202" s="787">
        <v>4</v>
      </c>
      <c r="C4202" s="787" t="s">
        <v>8209</v>
      </c>
      <c r="D4202" s="787">
        <v>6.12</v>
      </c>
      <c r="E4202" s="787">
        <v>16.12</v>
      </c>
      <c r="F4202" s="788">
        <v>41949</v>
      </c>
      <c r="G4202" s="788">
        <v>42013</v>
      </c>
      <c r="H4202" s="787">
        <v>1</v>
      </c>
      <c r="I4202" s="788">
        <v>41981</v>
      </c>
      <c r="J4202" s="788">
        <v>41929</v>
      </c>
      <c r="K4202" s="788">
        <v>41922</v>
      </c>
      <c r="L4202" s="787">
        <v>2.25</v>
      </c>
      <c r="M4202" s="787">
        <v>10</v>
      </c>
      <c r="N4202" s="787">
        <v>8.3000000000000007</v>
      </c>
      <c r="O4202" s="788">
        <v>42162</v>
      </c>
    </row>
    <row r="4203" spans="1:15" x14ac:dyDescent="0.25">
      <c r="A4203" s="786" t="s">
        <v>8210</v>
      </c>
      <c r="B4203" s="787">
        <v>4</v>
      </c>
      <c r="C4203" s="787" t="s">
        <v>8211</v>
      </c>
      <c r="D4203" s="787">
        <v>5.95</v>
      </c>
      <c r="E4203" s="787">
        <v>5.95</v>
      </c>
      <c r="F4203" s="788">
        <v>41017</v>
      </c>
      <c r="G4203" s="788">
        <v>41017</v>
      </c>
      <c r="H4203" s="787">
        <v>1</v>
      </c>
      <c r="J4203" s="788">
        <v>41346</v>
      </c>
      <c r="L4203" s="787">
        <v>5.95</v>
      </c>
      <c r="M4203" s="787">
        <v>20</v>
      </c>
      <c r="N4203" s="787">
        <v>6.4</v>
      </c>
      <c r="O4203" s="788">
        <v>42053</v>
      </c>
    </row>
    <row r="4204" spans="1:15" x14ac:dyDescent="0.25">
      <c r="A4204" s="786" t="s">
        <v>8212</v>
      </c>
      <c r="B4204" s="787">
        <v>4</v>
      </c>
      <c r="C4204" s="787" t="s">
        <v>8213</v>
      </c>
      <c r="D4204" s="787">
        <v>6.44</v>
      </c>
      <c r="E4204" s="787">
        <v>6.44</v>
      </c>
      <c r="F4204" s="788">
        <v>41017</v>
      </c>
      <c r="G4204" s="788">
        <v>42047</v>
      </c>
      <c r="H4204" s="787">
        <v>1</v>
      </c>
      <c r="I4204" s="788">
        <v>41876</v>
      </c>
      <c r="J4204" s="788">
        <v>42047</v>
      </c>
      <c r="L4204" s="787">
        <v>6.44</v>
      </c>
      <c r="M4204" s="787">
        <v>20</v>
      </c>
      <c r="N4204" s="787">
        <v>6.92</v>
      </c>
      <c r="O4204" s="788">
        <v>42060</v>
      </c>
    </row>
    <row r="4205" spans="1:15" x14ac:dyDescent="0.25">
      <c r="A4205" s="786" t="s">
        <v>8214</v>
      </c>
      <c r="B4205" s="787">
        <v>4</v>
      </c>
      <c r="C4205" s="787" t="s">
        <v>8215</v>
      </c>
      <c r="D4205" s="787">
        <v>3.81</v>
      </c>
      <c r="E4205" s="787">
        <v>23.81</v>
      </c>
      <c r="F4205" s="788">
        <v>41450</v>
      </c>
      <c r="G4205" s="788">
        <v>42080</v>
      </c>
      <c r="H4205" s="787">
        <v>1</v>
      </c>
      <c r="I4205" s="788">
        <v>42080</v>
      </c>
      <c r="J4205" s="788">
        <v>42080</v>
      </c>
      <c r="K4205" s="788">
        <v>42165</v>
      </c>
      <c r="L4205" s="787">
        <v>26.63</v>
      </c>
      <c r="M4205" s="787">
        <v>20</v>
      </c>
      <c r="N4205" s="787">
        <v>26.8</v>
      </c>
      <c r="O4205" s="788">
        <v>41955</v>
      </c>
    </row>
    <row r="4206" spans="1:15" x14ac:dyDescent="0.25">
      <c r="A4206" s="786" t="s">
        <v>8216</v>
      </c>
      <c r="B4206" s="787">
        <v>4</v>
      </c>
      <c r="C4206" s="787" t="s">
        <v>8217</v>
      </c>
      <c r="D4206" s="787">
        <v>7</v>
      </c>
      <c r="E4206" s="787">
        <v>27</v>
      </c>
      <c r="F4206" s="788">
        <v>39101</v>
      </c>
      <c r="G4206" s="788">
        <v>39101</v>
      </c>
      <c r="H4206" s="787">
        <v>1</v>
      </c>
      <c r="I4206" s="788">
        <v>42027</v>
      </c>
      <c r="J4206" s="788">
        <v>41416</v>
      </c>
      <c r="K4206" s="788">
        <v>40030</v>
      </c>
      <c r="L4206" s="787">
        <v>27</v>
      </c>
      <c r="M4206" s="787">
        <v>20</v>
      </c>
      <c r="N4206" s="787">
        <v>29.03</v>
      </c>
      <c r="O4206" s="788">
        <v>42146</v>
      </c>
    </row>
    <row r="4207" spans="1:15" x14ac:dyDescent="0.25">
      <c r="A4207" s="786" t="s">
        <v>8218</v>
      </c>
      <c r="B4207" s="787">
        <v>4</v>
      </c>
      <c r="C4207" s="787" t="s">
        <v>8219</v>
      </c>
      <c r="D4207" s="787">
        <v>5.63</v>
      </c>
      <c r="E4207" s="787">
        <v>35.630000000000003</v>
      </c>
      <c r="F4207" s="788">
        <v>39101</v>
      </c>
      <c r="G4207" s="788">
        <v>39101</v>
      </c>
      <c r="H4207" s="787">
        <v>1</v>
      </c>
      <c r="I4207" s="788">
        <v>41981</v>
      </c>
      <c r="J4207" s="788">
        <v>40980</v>
      </c>
      <c r="L4207" s="787">
        <v>35.630000000000003</v>
      </c>
      <c r="M4207" s="787">
        <v>20</v>
      </c>
      <c r="N4207" s="787">
        <v>38.299999999999997</v>
      </c>
      <c r="O4207" s="788">
        <v>42162</v>
      </c>
    </row>
    <row r="4208" spans="1:15" x14ac:dyDescent="0.25">
      <c r="A4208" s="786" t="s">
        <v>8220</v>
      </c>
      <c r="B4208" s="787">
        <v>4</v>
      </c>
      <c r="C4208" s="787" t="s">
        <v>8064</v>
      </c>
      <c r="D4208" s="787">
        <v>8.1</v>
      </c>
      <c r="E4208" s="787">
        <v>8.1</v>
      </c>
      <c r="F4208" s="788">
        <v>41442</v>
      </c>
      <c r="G4208" s="788">
        <v>41439</v>
      </c>
      <c r="H4208" s="787">
        <v>1</v>
      </c>
      <c r="I4208" s="788">
        <v>41792</v>
      </c>
      <c r="J4208" s="788">
        <v>41444</v>
      </c>
      <c r="K4208" s="788">
        <v>41435</v>
      </c>
      <c r="L4208" s="787">
        <v>8.1</v>
      </c>
      <c r="M4208" s="787">
        <v>20</v>
      </c>
      <c r="N4208" s="787">
        <v>8.7100000000000009</v>
      </c>
      <c r="O4208" s="788">
        <v>41858</v>
      </c>
    </row>
    <row r="4209" spans="1:15" x14ac:dyDescent="0.25">
      <c r="A4209" s="786" t="s">
        <v>8221</v>
      </c>
      <c r="B4209" s="787">
        <v>4</v>
      </c>
      <c r="C4209" s="787" t="s">
        <v>8222</v>
      </c>
      <c r="D4209" s="787">
        <v>5.2</v>
      </c>
      <c r="E4209" s="787">
        <v>45.2</v>
      </c>
      <c r="F4209" s="788">
        <v>41442</v>
      </c>
      <c r="G4209" s="788">
        <v>41439</v>
      </c>
      <c r="H4209" s="787">
        <v>1</v>
      </c>
      <c r="I4209" s="788">
        <v>41792</v>
      </c>
      <c r="J4209" s="788">
        <v>41444</v>
      </c>
      <c r="K4209" s="788">
        <v>41435</v>
      </c>
      <c r="L4209" s="787">
        <v>45.2</v>
      </c>
      <c r="M4209" s="787">
        <v>20</v>
      </c>
      <c r="N4209" s="787">
        <v>48.59</v>
      </c>
      <c r="O4209" s="788">
        <v>41858</v>
      </c>
    </row>
    <row r="4210" spans="1:15" x14ac:dyDescent="0.25">
      <c r="A4210" s="786" t="s">
        <v>8223</v>
      </c>
      <c r="B4210" s="787">
        <v>4</v>
      </c>
      <c r="C4210" s="787" t="s">
        <v>8224</v>
      </c>
      <c r="D4210" s="787">
        <v>0.9</v>
      </c>
      <c r="E4210" s="787">
        <v>10.9</v>
      </c>
      <c r="F4210" s="788">
        <v>41442</v>
      </c>
      <c r="G4210" s="788">
        <v>41439</v>
      </c>
      <c r="H4210" s="787">
        <v>1</v>
      </c>
      <c r="I4210" s="788">
        <v>41792</v>
      </c>
      <c r="J4210" s="788">
        <v>41795</v>
      </c>
      <c r="K4210" s="788">
        <v>41435</v>
      </c>
      <c r="L4210" s="787">
        <v>10.9</v>
      </c>
      <c r="M4210" s="787">
        <v>20</v>
      </c>
      <c r="N4210" s="787">
        <v>11.72</v>
      </c>
      <c r="O4210" s="788">
        <v>41858</v>
      </c>
    </row>
    <row r="4211" spans="1:15" x14ac:dyDescent="0.25">
      <c r="A4211" s="786" t="s">
        <v>8225</v>
      </c>
      <c r="B4211" s="787">
        <v>4</v>
      </c>
      <c r="C4211" s="787" t="s">
        <v>8226</v>
      </c>
      <c r="D4211" s="787">
        <v>7.5</v>
      </c>
      <c r="E4211" s="787">
        <v>27.5</v>
      </c>
      <c r="F4211" s="788">
        <v>41442</v>
      </c>
      <c r="G4211" s="788">
        <v>41439</v>
      </c>
      <c r="H4211" s="787">
        <v>1</v>
      </c>
      <c r="I4211" s="788">
        <v>41494</v>
      </c>
      <c r="J4211" s="788">
        <v>41444</v>
      </c>
      <c r="K4211" s="788">
        <v>41435</v>
      </c>
      <c r="L4211" s="787">
        <v>27.5</v>
      </c>
      <c r="M4211" s="787">
        <v>20</v>
      </c>
      <c r="N4211" s="787">
        <v>29.56</v>
      </c>
      <c r="O4211" s="788">
        <v>41858</v>
      </c>
    </row>
    <row r="4212" spans="1:15" x14ac:dyDescent="0.25">
      <c r="A4212" s="786" t="s">
        <v>8227</v>
      </c>
      <c r="B4212" s="787">
        <v>4</v>
      </c>
      <c r="C4212" s="787" t="s">
        <v>8228</v>
      </c>
      <c r="D4212" s="787">
        <v>1.8</v>
      </c>
      <c r="E4212" s="787">
        <v>41.8</v>
      </c>
      <c r="F4212" s="788">
        <v>41442</v>
      </c>
      <c r="G4212" s="788">
        <v>41439</v>
      </c>
      <c r="H4212" s="787">
        <v>1</v>
      </c>
      <c r="I4212" s="788">
        <v>41792</v>
      </c>
      <c r="J4212" s="788">
        <v>41444</v>
      </c>
      <c r="K4212" s="788">
        <v>41435</v>
      </c>
      <c r="L4212" s="787">
        <v>41.8</v>
      </c>
      <c r="M4212" s="787">
        <v>20</v>
      </c>
      <c r="N4212" s="787">
        <v>44.94</v>
      </c>
      <c r="O4212" s="788">
        <v>41858</v>
      </c>
    </row>
    <row r="4213" spans="1:15" x14ac:dyDescent="0.25">
      <c r="A4213" s="786" t="s">
        <v>8229</v>
      </c>
      <c r="B4213" s="787">
        <v>4</v>
      </c>
      <c r="C4213" s="787" t="s">
        <v>8083</v>
      </c>
      <c r="D4213" s="787">
        <v>0</v>
      </c>
      <c r="E4213" s="787">
        <v>0</v>
      </c>
      <c r="H4213" s="787">
        <v>1</v>
      </c>
      <c r="L4213" s="787">
        <v>0.01</v>
      </c>
      <c r="M4213" s="787">
        <v>10</v>
      </c>
      <c r="N4213" s="787">
        <v>0</v>
      </c>
    </row>
    <row r="4214" spans="1:15" x14ac:dyDescent="0.25">
      <c r="A4214" s="786" t="s">
        <v>8230</v>
      </c>
      <c r="B4214" s="787">
        <v>4</v>
      </c>
      <c r="C4214" s="787" t="s">
        <v>8231</v>
      </c>
      <c r="D4214" s="787">
        <v>7.2</v>
      </c>
      <c r="E4214" s="787">
        <v>27.2</v>
      </c>
      <c r="F4214" s="788">
        <v>41442</v>
      </c>
      <c r="G4214" s="788">
        <v>41439</v>
      </c>
      <c r="H4214" s="787">
        <v>1</v>
      </c>
      <c r="I4214" s="788">
        <v>41792</v>
      </c>
      <c r="J4214" s="788">
        <v>41444</v>
      </c>
      <c r="K4214" s="788">
        <v>41435</v>
      </c>
      <c r="L4214" s="787">
        <v>27.2</v>
      </c>
      <c r="M4214" s="787">
        <v>20</v>
      </c>
      <c r="N4214" s="787">
        <v>29.24</v>
      </c>
      <c r="O4214" s="788">
        <v>41858</v>
      </c>
    </row>
    <row r="4215" spans="1:15" x14ac:dyDescent="0.25">
      <c r="A4215" s="786" t="s">
        <v>8232</v>
      </c>
      <c r="B4215" s="787">
        <v>4</v>
      </c>
      <c r="C4215" s="787" t="s">
        <v>8233</v>
      </c>
      <c r="D4215" s="787">
        <v>6.8</v>
      </c>
      <c r="E4215" s="787">
        <v>26.8</v>
      </c>
      <c r="F4215" s="788">
        <v>41442</v>
      </c>
      <c r="G4215" s="788">
        <v>41439</v>
      </c>
      <c r="H4215" s="787">
        <v>1</v>
      </c>
      <c r="I4215" s="788">
        <v>41792</v>
      </c>
      <c r="J4215" s="788">
        <v>41444</v>
      </c>
      <c r="K4215" s="788">
        <v>41435</v>
      </c>
      <c r="L4215" s="787">
        <v>26.8</v>
      </c>
      <c r="M4215" s="787">
        <v>20</v>
      </c>
      <c r="N4215" s="787">
        <v>28.81</v>
      </c>
      <c r="O4215" s="788">
        <v>41858</v>
      </c>
    </row>
    <row r="4216" spans="1:15" x14ac:dyDescent="0.25">
      <c r="A4216" s="786" t="s">
        <v>8234</v>
      </c>
      <c r="B4216" s="787">
        <v>4</v>
      </c>
      <c r="C4216" s="787" t="s">
        <v>8235</v>
      </c>
      <c r="D4216" s="787">
        <v>9.6999999999999993</v>
      </c>
      <c r="E4216" s="787">
        <v>29.7</v>
      </c>
      <c r="F4216" s="788">
        <v>41442</v>
      </c>
      <c r="G4216" s="788">
        <v>41439</v>
      </c>
      <c r="H4216" s="787">
        <v>1</v>
      </c>
      <c r="I4216" s="788">
        <v>41494</v>
      </c>
      <c r="J4216" s="788">
        <v>41444</v>
      </c>
      <c r="K4216" s="788">
        <v>41435</v>
      </c>
      <c r="L4216" s="787">
        <v>29.7</v>
      </c>
      <c r="M4216" s="787">
        <v>20</v>
      </c>
      <c r="N4216" s="787">
        <v>31.93</v>
      </c>
      <c r="O4216" s="788">
        <v>41858</v>
      </c>
    </row>
    <row r="4217" spans="1:15" x14ac:dyDescent="0.25">
      <c r="A4217" s="786" t="s">
        <v>8236</v>
      </c>
      <c r="B4217" s="787">
        <v>4</v>
      </c>
      <c r="C4217" s="787" t="s">
        <v>8237</v>
      </c>
      <c r="D4217" s="787">
        <v>4.22</v>
      </c>
      <c r="E4217" s="787">
        <v>1.46</v>
      </c>
      <c r="F4217" s="788">
        <v>38247</v>
      </c>
      <c r="G4217" s="788">
        <v>39021</v>
      </c>
      <c r="H4217" s="787">
        <v>6</v>
      </c>
      <c r="I4217" s="788">
        <v>39021</v>
      </c>
      <c r="J4217" s="788">
        <v>39021</v>
      </c>
      <c r="L4217" s="787">
        <v>222.32</v>
      </c>
      <c r="M4217" s="787">
        <v>20</v>
      </c>
      <c r="N4217" s="787">
        <v>238.99</v>
      </c>
      <c r="O4217" s="788">
        <v>41858</v>
      </c>
    </row>
    <row r="4218" spans="1:15" x14ac:dyDescent="0.25">
      <c r="A4218" s="786" t="s">
        <v>8236</v>
      </c>
      <c r="B4218" s="787" t="s">
        <v>4400</v>
      </c>
      <c r="C4218" s="787" t="s">
        <v>8237</v>
      </c>
      <c r="D4218" s="787">
        <v>0</v>
      </c>
      <c r="E4218" s="787">
        <v>0</v>
      </c>
      <c r="H4218" s="787">
        <v>6</v>
      </c>
      <c r="K4218" s="788">
        <v>41865</v>
      </c>
      <c r="L4218" s="787">
        <v>0.01</v>
      </c>
      <c r="M4218" s="787">
        <v>20</v>
      </c>
      <c r="N4218" s="787">
        <v>0</v>
      </c>
      <c r="O4218" s="788">
        <v>40824</v>
      </c>
    </row>
    <row r="4219" spans="1:15" x14ac:dyDescent="0.25">
      <c r="A4219" s="786" t="s">
        <v>8238</v>
      </c>
      <c r="B4219" s="787">
        <v>4</v>
      </c>
      <c r="C4219" s="787" t="s">
        <v>8239</v>
      </c>
      <c r="D4219" s="787">
        <v>4.3099999999999996</v>
      </c>
      <c r="E4219" s="787">
        <v>4.76</v>
      </c>
      <c r="F4219" s="788">
        <v>40017</v>
      </c>
      <c r="G4219" s="788">
        <v>40647</v>
      </c>
      <c r="H4219" s="787">
        <v>5</v>
      </c>
      <c r="I4219" s="788">
        <v>41738</v>
      </c>
      <c r="J4219" s="788">
        <v>41346</v>
      </c>
      <c r="K4219" s="788">
        <v>41869</v>
      </c>
      <c r="L4219" s="787">
        <v>4.76</v>
      </c>
      <c r="M4219" s="787">
        <v>20</v>
      </c>
      <c r="N4219" s="787">
        <v>5.12</v>
      </c>
      <c r="O4219" s="788">
        <v>42164</v>
      </c>
    </row>
    <row r="4220" spans="1:15" x14ac:dyDescent="0.25">
      <c r="A4220" s="786" t="s">
        <v>8240</v>
      </c>
      <c r="B4220" s="787">
        <v>4</v>
      </c>
      <c r="C4220" s="787" t="s">
        <v>8241</v>
      </c>
      <c r="D4220" s="787">
        <v>8.64</v>
      </c>
      <c r="E4220" s="787">
        <v>9.73</v>
      </c>
      <c r="F4220" s="788">
        <v>39946</v>
      </c>
      <c r="G4220" s="788">
        <v>40647</v>
      </c>
      <c r="H4220" s="787">
        <v>6</v>
      </c>
      <c r="I4220" s="788">
        <v>42128</v>
      </c>
      <c r="J4220" s="788">
        <v>40161</v>
      </c>
      <c r="L4220" s="787">
        <v>14.14</v>
      </c>
      <c r="M4220" s="787">
        <v>20</v>
      </c>
      <c r="N4220" s="787">
        <v>10.46</v>
      </c>
      <c r="O4220" s="788">
        <v>41815</v>
      </c>
    </row>
    <row r="4221" spans="1:15" x14ac:dyDescent="0.25">
      <c r="A4221" s="786" t="s">
        <v>8242</v>
      </c>
      <c r="B4221" s="787">
        <v>4</v>
      </c>
      <c r="C4221" s="787" t="s">
        <v>8243</v>
      </c>
      <c r="D4221" s="787">
        <v>2.9</v>
      </c>
      <c r="E4221" s="787">
        <v>14.37</v>
      </c>
      <c r="F4221" s="788">
        <v>39952</v>
      </c>
      <c r="G4221" s="788">
        <v>41407</v>
      </c>
      <c r="H4221" s="787">
        <v>6</v>
      </c>
      <c r="I4221" s="788">
        <v>42066</v>
      </c>
      <c r="J4221" s="788">
        <v>41407</v>
      </c>
      <c r="L4221" s="787">
        <v>21.54</v>
      </c>
      <c r="M4221" s="787">
        <v>20</v>
      </c>
      <c r="N4221" s="787">
        <v>15.45</v>
      </c>
      <c r="O4221" s="788">
        <v>41815</v>
      </c>
    </row>
    <row r="4222" spans="1:15" x14ac:dyDescent="0.25">
      <c r="A4222" s="786" t="s">
        <v>8244</v>
      </c>
      <c r="B4222" s="787">
        <v>4</v>
      </c>
      <c r="C4222" s="787" t="s">
        <v>8245</v>
      </c>
      <c r="D4222" s="787">
        <v>9.52</v>
      </c>
      <c r="E4222" s="787">
        <v>19.87</v>
      </c>
      <c r="F4222" s="788">
        <v>40003</v>
      </c>
      <c r="G4222" s="788">
        <v>41493</v>
      </c>
      <c r="H4222" s="787">
        <v>6</v>
      </c>
      <c r="I4222" s="788">
        <v>41522</v>
      </c>
      <c r="J4222" s="788">
        <v>41529</v>
      </c>
      <c r="L4222" s="787">
        <v>19.46</v>
      </c>
      <c r="M4222" s="787">
        <v>20</v>
      </c>
      <c r="N4222" s="787">
        <v>21.36</v>
      </c>
      <c r="O4222" s="788">
        <v>41821</v>
      </c>
    </row>
    <row r="4223" spans="1:15" x14ac:dyDescent="0.25">
      <c r="A4223" s="786" t="s">
        <v>8246</v>
      </c>
      <c r="B4223" s="787">
        <v>4</v>
      </c>
      <c r="C4223" s="787" t="s">
        <v>8243</v>
      </c>
      <c r="D4223" s="787">
        <v>3.2</v>
      </c>
      <c r="E4223" s="787">
        <v>13.39</v>
      </c>
      <c r="F4223" s="788">
        <v>40003</v>
      </c>
      <c r="G4223" s="788">
        <v>41394</v>
      </c>
      <c r="H4223" s="787">
        <v>6</v>
      </c>
      <c r="I4223" s="788">
        <v>41493</v>
      </c>
      <c r="J4223" s="788">
        <v>41493</v>
      </c>
      <c r="L4223" s="787">
        <v>15.17</v>
      </c>
      <c r="M4223" s="787">
        <v>20</v>
      </c>
      <c r="N4223" s="787">
        <v>14.39</v>
      </c>
      <c r="O4223" s="788">
        <v>41806</v>
      </c>
    </row>
    <row r="4224" spans="1:15" x14ac:dyDescent="0.25">
      <c r="A4224" s="786" t="s">
        <v>8247</v>
      </c>
      <c r="B4224" s="787">
        <v>4</v>
      </c>
      <c r="C4224" s="787" t="s">
        <v>8248</v>
      </c>
      <c r="D4224" s="787">
        <v>5.43</v>
      </c>
      <c r="E4224" s="787">
        <v>24.73</v>
      </c>
      <c r="F4224" s="788">
        <v>39101</v>
      </c>
      <c r="G4224" s="788">
        <v>41493</v>
      </c>
      <c r="H4224" s="787">
        <v>6</v>
      </c>
      <c r="I4224" s="788">
        <v>41493</v>
      </c>
      <c r="J4224" s="788">
        <v>41493</v>
      </c>
      <c r="L4224" s="787">
        <v>33.9</v>
      </c>
      <c r="M4224" s="787">
        <v>20</v>
      </c>
      <c r="N4224" s="787">
        <v>26.58</v>
      </c>
      <c r="O4224" s="788">
        <v>41822</v>
      </c>
    </row>
    <row r="4225" spans="1:15" x14ac:dyDescent="0.25">
      <c r="A4225" s="786" t="s">
        <v>8249</v>
      </c>
      <c r="B4225" s="787">
        <v>4</v>
      </c>
      <c r="C4225" s="787" t="s">
        <v>8250</v>
      </c>
      <c r="D4225" s="787">
        <v>0.7</v>
      </c>
      <c r="E4225" s="787">
        <v>24.93</v>
      </c>
      <c r="F4225" s="788">
        <v>39989</v>
      </c>
      <c r="G4225" s="788">
        <v>40143</v>
      </c>
      <c r="H4225" s="787">
        <v>6</v>
      </c>
      <c r="I4225" s="788">
        <v>41436</v>
      </c>
      <c r="J4225" s="788">
        <v>40143</v>
      </c>
      <c r="K4225" s="788">
        <v>40141</v>
      </c>
      <c r="L4225" s="787">
        <v>25.2</v>
      </c>
      <c r="M4225" s="787">
        <v>20</v>
      </c>
      <c r="N4225" s="787">
        <v>26.8</v>
      </c>
      <c r="O4225" s="788">
        <v>41814</v>
      </c>
    </row>
    <row r="4226" spans="1:15" x14ac:dyDescent="0.25">
      <c r="A4226" s="786" t="s">
        <v>8251</v>
      </c>
      <c r="B4226" s="787">
        <v>4</v>
      </c>
      <c r="C4226" s="787" t="s">
        <v>8252</v>
      </c>
      <c r="D4226" s="787">
        <v>6.4</v>
      </c>
      <c r="E4226" s="787">
        <v>8.2799999999999994</v>
      </c>
      <c r="F4226" s="788">
        <v>40156</v>
      </c>
      <c r="G4226" s="788">
        <v>40161</v>
      </c>
      <c r="H4226" s="787">
        <v>6</v>
      </c>
      <c r="I4226" s="788">
        <v>41381</v>
      </c>
      <c r="J4226" s="788">
        <v>40161</v>
      </c>
      <c r="L4226" s="787">
        <v>10.79</v>
      </c>
      <c r="M4226" s="787">
        <v>20</v>
      </c>
      <c r="N4226" s="787">
        <v>8.9</v>
      </c>
      <c r="O4226" s="788">
        <v>41821</v>
      </c>
    </row>
    <row r="4227" spans="1:15" x14ac:dyDescent="0.25">
      <c r="A4227" s="786" t="s">
        <v>8253</v>
      </c>
      <c r="B4227" s="787">
        <v>4</v>
      </c>
      <c r="C4227" s="787" t="s">
        <v>8254</v>
      </c>
      <c r="D4227" s="787">
        <v>0.74</v>
      </c>
      <c r="E4227" s="787">
        <v>0.74</v>
      </c>
      <c r="F4227" s="788">
        <v>37636</v>
      </c>
      <c r="G4227" s="788">
        <v>37636</v>
      </c>
      <c r="H4227" s="787">
        <v>1</v>
      </c>
      <c r="I4227" s="788">
        <v>37383</v>
      </c>
      <c r="J4227" s="788">
        <v>37636</v>
      </c>
      <c r="L4227" s="787">
        <v>0.35</v>
      </c>
      <c r="M4227" s="787">
        <v>10</v>
      </c>
      <c r="N4227" s="787">
        <v>0.94</v>
      </c>
      <c r="O4227" s="788">
        <v>41858</v>
      </c>
    </row>
    <row r="4228" spans="1:15" x14ac:dyDescent="0.25">
      <c r="A4228" s="786" t="s">
        <v>8255</v>
      </c>
      <c r="B4228" s="787">
        <v>4</v>
      </c>
      <c r="C4228" s="787" t="s">
        <v>8256</v>
      </c>
      <c r="D4228" s="787">
        <v>0.74</v>
      </c>
      <c r="E4228" s="787">
        <v>0.74</v>
      </c>
      <c r="F4228" s="788">
        <v>37636</v>
      </c>
      <c r="G4228" s="788">
        <v>37636</v>
      </c>
      <c r="H4228" s="787">
        <v>1</v>
      </c>
      <c r="I4228" s="788">
        <v>37383</v>
      </c>
      <c r="J4228" s="788">
        <v>37636</v>
      </c>
      <c r="L4228" s="787">
        <v>0.35</v>
      </c>
      <c r="M4228" s="787">
        <v>10</v>
      </c>
      <c r="N4228" s="787">
        <v>0.94</v>
      </c>
      <c r="O4228" s="788">
        <v>41858</v>
      </c>
    </row>
    <row r="4229" spans="1:15" x14ac:dyDescent="0.25">
      <c r="A4229" s="786" t="s">
        <v>8257</v>
      </c>
      <c r="B4229" s="787">
        <v>4</v>
      </c>
      <c r="C4229" s="787" t="s">
        <v>8258</v>
      </c>
      <c r="D4229" s="787">
        <v>5.5</v>
      </c>
      <c r="E4229" s="787">
        <v>5.5</v>
      </c>
      <c r="F4229" s="788">
        <v>39101</v>
      </c>
      <c r="G4229" s="788">
        <v>39101</v>
      </c>
      <c r="H4229" s="787">
        <v>1</v>
      </c>
      <c r="I4229" s="788">
        <v>42074</v>
      </c>
      <c r="J4229" s="788">
        <v>39101</v>
      </c>
      <c r="L4229" s="787">
        <v>3.1</v>
      </c>
      <c r="M4229" s="787">
        <v>10</v>
      </c>
      <c r="N4229" s="787">
        <v>3.79</v>
      </c>
      <c r="O4229" s="788">
        <v>42162</v>
      </c>
    </row>
    <row r="4230" spans="1:15" x14ac:dyDescent="0.25">
      <c r="A4230" s="786" t="s">
        <v>8259</v>
      </c>
      <c r="B4230" s="787">
        <v>4</v>
      </c>
      <c r="C4230" s="787" t="s">
        <v>8260</v>
      </c>
      <c r="D4230" s="787">
        <v>5.5</v>
      </c>
      <c r="E4230" s="787">
        <v>5.5</v>
      </c>
      <c r="F4230" s="788">
        <v>39101</v>
      </c>
      <c r="G4230" s="788">
        <v>39101</v>
      </c>
      <c r="H4230" s="787">
        <v>1</v>
      </c>
      <c r="I4230" s="788">
        <v>42074</v>
      </c>
      <c r="J4230" s="788">
        <v>39958</v>
      </c>
      <c r="L4230" s="787">
        <v>3.1</v>
      </c>
      <c r="M4230" s="787">
        <v>10</v>
      </c>
      <c r="N4230" s="787">
        <v>3.79</v>
      </c>
      <c r="O4230" s="788">
        <v>42162</v>
      </c>
    </row>
    <row r="4231" spans="1:15" x14ac:dyDescent="0.25">
      <c r="A4231" s="786" t="s">
        <v>8261</v>
      </c>
      <c r="B4231" s="787">
        <v>4</v>
      </c>
      <c r="C4231" s="787" t="s">
        <v>8262</v>
      </c>
      <c r="D4231" s="787">
        <v>1.3</v>
      </c>
      <c r="E4231" s="787">
        <v>1.3</v>
      </c>
      <c r="F4231" s="788">
        <v>39101</v>
      </c>
      <c r="G4231" s="788">
        <v>41949</v>
      </c>
      <c r="H4231" s="787">
        <v>1</v>
      </c>
      <c r="I4231" s="788">
        <v>41949</v>
      </c>
      <c r="J4231" s="788">
        <v>41949</v>
      </c>
      <c r="L4231" s="787">
        <v>1.75</v>
      </c>
      <c r="M4231" s="787">
        <v>10</v>
      </c>
      <c r="N4231" s="787">
        <v>2.23</v>
      </c>
      <c r="O4231" s="788">
        <v>42162</v>
      </c>
    </row>
    <row r="4232" spans="1:15" x14ac:dyDescent="0.25">
      <c r="A4232" s="786" t="s">
        <v>8263</v>
      </c>
      <c r="B4232" s="787">
        <v>4</v>
      </c>
      <c r="C4232" s="787" t="s">
        <v>8264</v>
      </c>
      <c r="D4232" s="787">
        <v>0.85</v>
      </c>
      <c r="E4232" s="787">
        <v>0.95</v>
      </c>
      <c r="F4232" s="788">
        <v>41548</v>
      </c>
      <c r="G4232" s="788">
        <v>42160</v>
      </c>
      <c r="H4232" s="787">
        <v>1</v>
      </c>
      <c r="I4232" s="788">
        <v>42165</v>
      </c>
      <c r="J4232" s="788">
        <v>42160</v>
      </c>
      <c r="L4232" s="787">
        <v>1.01</v>
      </c>
      <c r="M4232" s="787">
        <v>10</v>
      </c>
      <c r="N4232" s="787">
        <v>2.0099999999999998</v>
      </c>
      <c r="O4232" s="788">
        <v>42156</v>
      </c>
    </row>
    <row r="4233" spans="1:15" x14ac:dyDescent="0.25">
      <c r="A4233" s="786" t="s">
        <v>8265</v>
      </c>
      <c r="B4233" s="787">
        <v>4</v>
      </c>
      <c r="C4233" s="787" t="s">
        <v>8266</v>
      </c>
      <c r="D4233" s="787">
        <v>1.44</v>
      </c>
      <c r="E4233" s="787">
        <v>2.1</v>
      </c>
      <c r="F4233" s="788">
        <v>41886</v>
      </c>
      <c r="G4233" s="788">
        <v>42150</v>
      </c>
      <c r="H4233" s="787">
        <v>1</v>
      </c>
      <c r="I4233" s="788">
        <v>42165</v>
      </c>
      <c r="J4233" s="788">
        <v>42117</v>
      </c>
      <c r="L4233" s="787">
        <v>1.43</v>
      </c>
      <c r="M4233" s="787">
        <v>10</v>
      </c>
      <c r="N4233" s="787">
        <v>2.0299999999999998</v>
      </c>
      <c r="O4233" s="788">
        <v>42162</v>
      </c>
    </row>
    <row r="4234" spans="1:15" x14ac:dyDescent="0.25">
      <c r="A4234" s="786" t="s">
        <v>8267</v>
      </c>
      <c r="B4234" s="787">
        <v>4</v>
      </c>
      <c r="C4234" s="787" t="s">
        <v>8268</v>
      </c>
      <c r="D4234" s="787">
        <v>0.76</v>
      </c>
      <c r="E4234" s="787">
        <v>0.76</v>
      </c>
      <c r="F4234" s="788">
        <v>37636</v>
      </c>
      <c r="G4234" s="788">
        <v>37636</v>
      </c>
      <c r="H4234" s="787">
        <v>1</v>
      </c>
      <c r="I4234" s="788">
        <v>37481</v>
      </c>
      <c r="J4234" s="788">
        <v>37636</v>
      </c>
      <c r="L4234" s="787">
        <v>0.44</v>
      </c>
      <c r="M4234" s="787">
        <v>10</v>
      </c>
      <c r="N4234" s="787">
        <v>1</v>
      </c>
      <c r="O4234" s="788">
        <v>41869</v>
      </c>
    </row>
    <row r="4235" spans="1:15" x14ac:dyDescent="0.25">
      <c r="A4235" s="786" t="s">
        <v>8269</v>
      </c>
      <c r="B4235" s="787">
        <v>4</v>
      </c>
      <c r="C4235" s="787" t="s">
        <v>8270</v>
      </c>
      <c r="D4235" s="787">
        <v>0.5</v>
      </c>
      <c r="E4235" s="787">
        <v>0.5</v>
      </c>
      <c r="F4235" s="788">
        <v>42072</v>
      </c>
      <c r="G4235" s="788">
        <v>42144</v>
      </c>
      <c r="H4235" s="787">
        <v>1</v>
      </c>
      <c r="I4235" s="788">
        <v>42166</v>
      </c>
      <c r="J4235" s="788">
        <v>42144</v>
      </c>
      <c r="L4235" s="787">
        <v>1.43</v>
      </c>
      <c r="M4235" s="787">
        <v>10</v>
      </c>
      <c r="N4235" s="787">
        <v>2.21</v>
      </c>
      <c r="O4235" s="788">
        <v>42162</v>
      </c>
    </row>
    <row r="4236" spans="1:15" x14ac:dyDescent="0.25">
      <c r="A4236" s="786" t="s">
        <v>8271</v>
      </c>
      <c r="B4236" s="787">
        <v>4</v>
      </c>
      <c r="C4236" s="787" t="s">
        <v>8272</v>
      </c>
      <c r="D4236" s="787">
        <v>2.63</v>
      </c>
      <c r="E4236" s="787">
        <v>2.63</v>
      </c>
      <c r="F4236" s="788">
        <v>39101</v>
      </c>
      <c r="G4236" s="788">
        <v>39101</v>
      </c>
      <c r="H4236" s="787">
        <v>1</v>
      </c>
      <c r="I4236" s="788">
        <v>39134</v>
      </c>
      <c r="J4236" s="788">
        <v>39149</v>
      </c>
      <c r="L4236" s="787">
        <v>0.38</v>
      </c>
      <c r="M4236" s="787">
        <v>10</v>
      </c>
      <c r="N4236" s="787">
        <v>0.96</v>
      </c>
      <c r="O4236" s="788">
        <v>41858</v>
      </c>
    </row>
    <row r="4237" spans="1:15" x14ac:dyDescent="0.25">
      <c r="A4237" s="786" t="s">
        <v>8273</v>
      </c>
      <c r="B4237" s="787">
        <v>4</v>
      </c>
      <c r="C4237" s="787" t="s">
        <v>8274</v>
      </c>
      <c r="D4237" s="787">
        <v>1.91</v>
      </c>
      <c r="E4237" s="787">
        <v>1.91</v>
      </c>
      <c r="F4237" s="788">
        <v>39101</v>
      </c>
      <c r="G4237" s="788">
        <v>41778</v>
      </c>
      <c r="H4237" s="787">
        <v>1</v>
      </c>
      <c r="I4237" s="788">
        <v>41775</v>
      </c>
      <c r="J4237" s="788">
        <v>41778</v>
      </c>
      <c r="L4237" s="787">
        <v>5.43</v>
      </c>
      <c r="M4237" s="787">
        <v>10</v>
      </c>
      <c r="N4237" s="787">
        <v>5.28</v>
      </c>
      <c r="O4237" s="788">
        <v>42146</v>
      </c>
    </row>
    <row r="4238" spans="1:15" x14ac:dyDescent="0.25">
      <c r="A4238" s="786" t="s">
        <v>8275</v>
      </c>
      <c r="B4238" s="787">
        <v>4</v>
      </c>
      <c r="C4238" s="787" t="s">
        <v>8276</v>
      </c>
      <c r="D4238" s="787">
        <v>1.91</v>
      </c>
      <c r="E4238" s="787">
        <v>1.91</v>
      </c>
      <c r="F4238" s="788">
        <v>39101</v>
      </c>
      <c r="G4238" s="788">
        <v>39101</v>
      </c>
      <c r="H4238" s="787">
        <v>1</v>
      </c>
      <c r="I4238" s="788">
        <v>41222</v>
      </c>
      <c r="J4238" s="788">
        <v>39101</v>
      </c>
      <c r="L4238" s="787">
        <v>0.94</v>
      </c>
      <c r="M4238" s="787">
        <v>10</v>
      </c>
      <c r="N4238" s="787">
        <v>2.4</v>
      </c>
      <c r="O4238" s="788">
        <v>42146</v>
      </c>
    </row>
    <row r="4239" spans="1:15" x14ac:dyDescent="0.25">
      <c r="A4239" s="786" t="s">
        <v>8277</v>
      </c>
      <c r="B4239" s="787">
        <v>4</v>
      </c>
      <c r="C4239" s="787" t="s">
        <v>8278</v>
      </c>
      <c r="D4239" s="787">
        <v>0.38</v>
      </c>
      <c r="E4239" s="787">
        <v>0.38</v>
      </c>
      <c r="F4239" s="788">
        <v>37636</v>
      </c>
      <c r="G4239" s="788">
        <v>37636</v>
      </c>
      <c r="H4239" s="787">
        <v>1</v>
      </c>
      <c r="J4239" s="788">
        <v>37636</v>
      </c>
      <c r="L4239" s="787">
        <v>0.18</v>
      </c>
      <c r="M4239" s="787">
        <v>10</v>
      </c>
      <c r="N4239" s="787">
        <v>0.48</v>
      </c>
      <c r="O4239" s="788">
        <v>41858</v>
      </c>
    </row>
    <row r="4240" spans="1:15" x14ac:dyDescent="0.25">
      <c r="A4240" s="786" t="s">
        <v>8279</v>
      </c>
      <c r="B4240" s="787">
        <v>4</v>
      </c>
      <c r="C4240" s="787" t="s">
        <v>8280</v>
      </c>
      <c r="D4240" s="787">
        <v>1.91</v>
      </c>
      <c r="E4240" s="787">
        <v>1.91</v>
      </c>
      <c r="F4240" s="788">
        <v>39101</v>
      </c>
      <c r="G4240" s="788">
        <v>39101</v>
      </c>
      <c r="H4240" s="787">
        <v>1</v>
      </c>
      <c r="I4240" s="788">
        <v>42074</v>
      </c>
      <c r="J4240" s="788">
        <v>39101</v>
      </c>
      <c r="L4240" s="787">
        <v>6.86</v>
      </c>
      <c r="M4240" s="787">
        <v>10</v>
      </c>
      <c r="N4240" s="787">
        <v>7.62</v>
      </c>
      <c r="O4240" s="788">
        <v>42162</v>
      </c>
    </row>
    <row r="4241" spans="1:15" x14ac:dyDescent="0.25">
      <c r="A4241" s="786" t="s">
        <v>8281</v>
      </c>
      <c r="B4241" s="787">
        <v>4</v>
      </c>
      <c r="C4241" s="787" t="s">
        <v>8274</v>
      </c>
      <c r="D4241" s="787">
        <v>1.91</v>
      </c>
      <c r="E4241" s="787">
        <v>1.91</v>
      </c>
      <c r="F4241" s="788">
        <v>37636</v>
      </c>
      <c r="G4241" s="788">
        <v>37636</v>
      </c>
      <c r="H4241" s="787">
        <v>1</v>
      </c>
      <c r="I4241" s="788">
        <v>37585</v>
      </c>
      <c r="J4241" s="788">
        <v>37636</v>
      </c>
      <c r="L4241" s="787">
        <v>0.94</v>
      </c>
      <c r="M4241" s="787">
        <v>10</v>
      </c>
      <c r="N4241" s="787">
        <v>2.4</v>
      </c>
      <c r="O4241" s="788">
        <v>41869</v>
      </c>
    </row>
    <row r="4242" spans="1:15" x14ac:dyDescent="0.25">
      <c r="A4242" s="786" t="s">
        <v>8282</v>
      </c>
      <c r="B4242" s="787">
        <v>4</v>
      </c>
      <c r="C4242" s="787" t="s">
        <v>8283</v>
      </c>
      <c r="D4242" s="787">
        <v>1</v>
      </c>
      <c r="E4242" s="787">
        <v>1</v>
      </c>
      <c r="F4242" s="788">
        <v>37636</v>
      </c>
      <c r="G4242" s="788">
        <v>37636</v>
      </c>
      <c r="H4242" s="787">
        <v>1</v>
      </c>
      <c r="I4242" s="788">
        <v>37131</v>
      </c>
      <c r="J4242" s="788">
        <v>37636</v>
      </c>
      <c r="L4242" s="787">
        <v>1</v>
      </c>
      <c r="M4242" s="787">
        <v>10</v>
      </c>
      <c r="N4242" s="787">
        <v>0</v>
      </c>
      <c r="O4242" s="788">
        <v>41858</v>
      </c>
    </row>
    <row r="4243" spans="1:15" x14ac:dyDescent="0.25">
      <c r="A4243" s="786" t="s">
        <v>8284</v>
      </c>
      <c r="B4243" s="787">
        <v>4</v>
      </c>
      <c r="C4243" s="787" t="s">
        <v>8285</v>
      </c>
      <c r="D4243" s="787">
        <v>0.76</v>
      </c>
      <c r="E4243" s="787">
        <v>0.76</v>
      </c>
      <c r="F4243" s="788">
        <v>39101</v>
      </c>
      <c r="G4243" s="788">
        <v>41565</v>
      </c>
      <c r="H4243" s="787">
        <v>1</v>
      </c>
      <c r="I4243" s="788">
        <v>40276</v>
      </c>
      <c r="J4243" s="788">
        <v>39458</v>
      </c>
      <c r="L4243" s="787">
        <v>0.94</v>
      </c>
      <c r="M4243" s="787">
        <v>10</v>
      </c>
      <c r="N4243" s="787">
        <v>1.1100000000000001</v>
      </c>
      <c r="O4243" s="788">
        <v>42146</v>
      </c>
    </row>
    <row r="4244" spans="1:15" x14ac:dyDescent="0.25">
      <c r="A4244" s="786" t="s">
        <v>8286</v>
      </c>
      <c r="B4244" s="787">
        <v>4</v>
      </c>
      <c r="C4244" s="787" t="s">
        <v>8287</v>
      </c>
      <c r="D4244" s="787">
        <v>3.68</v>
      </c>
      <c r="E4244" s="787">
        <v>3.68</v>
      </c>
      <c r="F4244" s="788">
        <v>37636</v>
      </c>
      <c r="G4244" s="788">
        <v>37636</v>
      </c>
      <c r="H4244" s="787">
        <v>1</v>
      </c>
      <c r="I4244" s="788">
        <v>40032</v>
      </c>
      <c r="J4244" s="788">
        <v>37636</v>
      </c>
      <c r="L4244" s="787">
        <v>1.73</v>
      </c>
      <c r="M4244" s="787">
        <v>10</v>
      </c>
      <c r="N4244" s="787">
        <v>4.71</v>
      </c>
      <c r="O4244" s="788">
        <v>42127</v>
      </c>
    </row>
    <row r="4245" spans="1:15" x14ac:dyDescent="0.25">
      <c r="A4245" s="786" t="s">
        <v>8288</v>
      </c>
      <c r="B4245" s="787">
        <v>4</v>
      </c>
      <c r="C4245" s="787" t="s">
        <v>8289</v>
      </c>
      <c r="D4245" s="787">
        <v>3.68</v>
      </c>
      <c r="E4245" s="787">
        <v>3.68</v>
      </c>
      <c r="F4245" s="788">
        <v>37636</v>
      </c>
      <c r="G4245" s="788">
        <v>37636</v>
      </c>
      <c r="H4245" s="787">
        <v>1</v>
      </c>
      <c r="I4245" s="788">
        <v>37447</v>
      </c>
      <c r="J4245" s="788">
        <v>37636</v>
      </c>
      <c r="L4245" s="787">
        <v>1.73</v>
      </c>
      <c r="M4245" s="787">
        <v>10</v>
      </c>
      <c r="N4245" s="787">
        <v>4.71</v>
      </c>
      <c r="O4245" s="788">
        <v>41858</v>
      </c>
    </row>
    <row r="4246" spans="1:15" x14ac:dyDescent="0.25">
      <c r="A4246" s="786" t="s">
        <v>8290</v>
      </c>
      <c r="B4246" s="787">
        <v>4</v>
      </c>
      <c r="C4246" s="787" t="s">
        <v>8291</v>
      </c>
      <c r="D4246" s="787">
        <v>1.52</v>
      </c>
      <c r="E4246" s="787">
        <v>1.52</v>
      </c>
      <c r="F4246" s="788">
        <v>37636</v>
      </c>
      <c r="G4246" s="788">
        <v>37636</v>
      </c>
      <c r="H4246" s="787">
        <v>1</v>
      </c>
      <c r="I4246" s="788">
        <v>40032</v>
      </c>
      <c r="J4246" s="788">
        <v>37636</v>
      </c>
      <c r="L4246" s="787">
        <v>1.66</v>
      </c>
      <c r="M4246" s="787">
        <v>20</v>
      </c>
      <c r="N4246" s="787">
        <v>1.78</v>
      </c>
      <c r="O4246" s="788">
        <v>42127</v>
      </c>
    </row>
    <row r="4247" spans="1:15" x14ac:dyDescent="0.25">
      <c r="A4247" s="786" t="s">
        <v>8292</v>
      </c>
      <c r="B4247" s="787">
        <v>4</v>
      </c>
      <c r="C4247" s="787" t="s">
        <v>8293</v>
      </c>
      <c r="D4247" s="787">
        <v>1.84</v>
      </c>
      <c r="E4247" s="787">
        <v>1.84</v>
      </c>
      <c r="F4247" s="788">
        <v>37636</v>
      </c>
      <c r="G4247" s="788">
        <v>37636</v>
      </c>
      <c r="H4247" s="787">
        <v>1</v>
      </c>
      <c r="I4247" s="788">
        <v>37439</v>
      </c>
      <c r="J4247" s="788">
        <v>37636</v>
      </c>
      <c r="L4247" s="787">
        <v>0.87</v>
      </c>
      <c r="M4247" s="787">
        <v>10</v>
      </c>
      <c r="N4247" s="787">
        <v>2.35</v>
      </c>
      <c r="O4247" s="788">
        <v>41858</v>
      </c>
    </row>
    <row r="4248" spans="1:15" x14ac:dyDescent="0.25">
      <c r="A4248" s="786" t="s">
        <v>8294</v>
      </c>
      <c r="B4248" s="787">
        <v>4</v>
      </c>
      <c r="C4248" s="787" t="s">
        <v>8295</v>
      </c>
      <c r="D4248" s="787">
        <v>1.84</v>
      </c>
      <c r="E4248" s="787">
        <v>1.84</v>
      </c>
      <c r="F4248" s="788">
        <v>37636</v>
      </c>
      <c r="G4248" s="788">
        <v>37636</v>
      </c>
      <c r="H4248" s="787">
        <v>1</v>
      </c>
      <c r="I4248" s="788">
        <v>38464</v>
      </c>
      <c r="J4248" s="788">
        <v>37636</v>
      </c>
      <c r="L4248" s="787">
        <v>0.87</v>
      </c>
      <c r="M4248" s="787">
        <v>10</v>
      </c>
      <c r="N4248" s="787">
        <v>2.35</v>
      </c>
      <c r="O4248" s="788">
        <v>41858</v>
      </c>
    </row>
    <row r="4249" spans="1:15" x14ac:dyDescent="0.25">
      <c r="A4249" s="786" t="s">
        <v>8296</v>
      </c>
      <c r="B4249" s="787">
        <v>4</v>
      </c>
      <c r="C4249" s="787" t="s">
        <v>8276</v>
      </c>
      <c r="D4249" s="787">
        <v>3.82</v>
      </c>
      <c r="E4249" s="787">
        <v>3.82</v>
      </c>
      <c r="F4249" s="788">
        <v>37636</v>
      </c>
      <c r="G4249" s="788">
        <v>37636</v>
      </c>
      <c r="H4249" s="787">
        <v>1</v>
      </c>
      <c r="J4249" s="788">
        <v>37636</v>
      </c>
      <c r="L4249" s="787">
        <v>1.88</v>
      </c>
      <c r="M4249" s="787">
        <v>10</v>
      </c>
      <c r="N4249" s="787">
        <v>4.8</v>
      </c>
      <c r="O4249" s="788">
        <v>41869</v>
      </c>
    </row>
    <row r="4250" spans="1:15" x14ac:dyDescent="0.25">
      <c r="A4250" s="786" t="s">
        <v>8297</v>
      </c>
      <c r="B4250" s="787">
        <v>4</v>
      </c>
      <c r="C4250" s="787" t="s">
        <v>8298</v>
      </c>
      <c r="D4250" s="787">
        <v>1.1000000000000001</v>
      </c>
      <c r="E4250" s="787">
        <v>1.1000000000000001</v>
      </c>
      <c r="F4250" s="788">
        <v>39101</v>
      </c>
      <c r="G4250" s="788">
        <v>42013</v>
      </c>
      <c r="H4250" s="787">
        <v>1</v>
      </c>
      <c r="I4250" s="788">
        <v>42163</v>
      </c>
      <c r="J4250" s="788">
        <v>39149</v>
      </c>
      <c r="L4250" s="787">
        <v>0.4</v>
      </c>
      <c r="M4250" s="787">
        <v>10</v>
      </c>
      <c r="N4250" s="787">
        <v>0.53</v>
      </c>
      <c r="O4250" s="788">
        <v>42118</v>
      </c>
    </row>
    <row r="4251" spans="1:15" x14ac:dyDescent="0.25">
      <c r="A4251" s="786" t="s">
        <v>8299</v>
      </c>
      <c r="B4251" s="787">
        <v>4</v>
      </c>
      <c r="C4251" s="787" t="s">
        <v>8300</v>
      </c>
      <c r="D4251" s="787">
        <v>0.39</v>
      </c>
      <c r="E4251" s="787">
        <v>0.39</v>
      </c>
      <c r="F4251" s="788">
        <v>39101</v>
      </c>
      <c r="G4251" s="788">
        <v>42013</v>
      </c>
      <c r="H4251" s="787">
        <v>1</v>
      </c>
      <c r="I4251" s="788">
        <v>42131</v>
      </c>
      <c r="J4251" s="788">
        <v>39149</v>
      </c>
      <c r="L4251" s="787">
        <v>0.37</v>
      </c>
      <c r="M4251" s="787">
        <v>10</v>
      </c>
      <c r="N4251" s="787">
        <v>1.17</v>
      </c>
      <c r="O4251" s="788">
        <v>42164</v>
      </c>
    </row>
    <row r="4252" spans="1:15" x14ac:dyDescent="0.25">
      <c r="A4252" s="786" t="s">
        <v>8301</v>
      </c>
      <c r="B4252" s="787">
        <v>4</v>
      </c>
      <c r="C4252" s="787" t="s">
        <v>8302</v>
      </c>
      <c r="D4252" s="787">
        <v>0.47</v>
      </c>
      <c r="E4252" s="787">
        <v>0.47</v>
      </c>
      <c r="F4252" s="788">
        <v>39101</v>
      </c>
      <c r="G4252" s="788">
        <v>42013</v>
      </c>
      <c r="H4252" s="787">
        <v>1</v>
      </c>
      <c r="I4252" s="788">
        <v>42163</v>
      </c>
      <c r="J4252" s="788">
        <v>39149</v>
      </c>
      <c r="L4252" s="787">
        <v>0.5</v>
      </c>
      <c r="M4252" s="787">
        <v>10</v>
      </c>
      <c r="N4252" s="787">
        <v>0.98</v>
      </c>
      <c r="O4252" s="788">
        <v>42164</v>
      </c>
    </row>
    <row r="4253" spans="1:15" x14ac:dyDescent="0.25">
      <c r="A4253" s="786" t="s">
        <v>8303</v>
      </c>
      <c r="B4253" s="787">
        <v>4</v>
      </c>
      <c r="C4253" s="787" t="s">
        <v>8304</v>
      </c>
      <c r="D4253" s="787">
        <v>0.48</v>
      </c>
      <c r="E4253" s="787">
        <v>0.48</v>
      </c>
      <c r="F4253" s="788">
        <v>39101</v>
      </c>
      <c r="G4253" s="788">
        <v>39101</v>
      </c>
      <c r="H4253" s="787">
        <v>6</v>
      </c>
      <c r="I4253" s="788">
        <v>40079</v>
      </c>
      <c r="J4253" s="788">
        <v>39101</v>
      </c>
      <c r="L4253" s="787">
        <v>0.28000000000000003</v>
      </c>
      <c r="M4253" s="787">
        <v>10</v>
      </c>
      <c r="N4253" s="787">
        <v>0.49</v>
      </c>
      <c r="O4253" s="788">
        <v>41806</v>
      </c>
    </row>
    <row r="4254" spans="1:15" x14ac:dyDescent="0.25">
      <c r="A4254" s="786" t="s">
        <v>8305</v>
      </c>
      <c r="B4254" s="787">
        <v>4</v>
      </c>
      <c r="C4254" s="787" t="s">
        <v>8304</v>
      </c>
      <c r="D4254" s="787">
        <v>0.75</v>
      </c>
      <c r="E4254" s="787">
        <v>0.75</v>
      </c>
      <c r="F4254" s="788">
        <v>37636</v>
      </c>
      <c r="G4254" s="788">
        <v>37636</v>
      </c>
      <c r="H4254" s="787">
        <v>6</v>
      </c>
      <c r="I4254" s="788">
        <v>36978</v>
      </c>
      <c r="J4254" s="788">
        <v>37636</v>
      </c>
      <c r="L4254" s="787">
        <v>0.45</v>
      </c>
      <c r="M4254" s="787">
        <v>10</v>
      </c>
      <c r="N4254" s="787">
        <v>0.95</v>
      </c>
      <c r="O4254" s="788">
        <v>41806</v>
      </c>
    </row>
    <row r="4255" spans="1:15" x14ac:dyDescent="0.25">
      <c r="A4255" s="786" t="s">
        <v>8306</v>
      </c>
      <c r="B4255" s="787">
        <v>4</v>
      </c>
      <c r="C4255" s="787" t="s">
        <v>8307</v>
      </c>
      <c r="D4255" s="787">
        <v>1.18</v>
      </c>
      <c r="E4255" s="787">
        <v>41.18</v>
      </c>
      <c r="F4255" s="788">
        <v>37636</v>
      </c>
      <c r="G4255" s="788">
        <v>38168</v>
      </c>
      <c r="H4255" s="787">
        <v>1</v>
      </c>
      <c r="I4255" s="788">
        <v>40763</v>
      </c>
      <c r="J4255" s="788">
        <v>38168</v>
      </c>
      <c r="L4255" s="787">
        <v>38.93</v>
      </c>
      <c r="M4255" s="787">
        <v>10</v>
      </c>
      <c r="N4255" s="787">
        <v>63.84</v>
      </c>
      <c r="O4255" s="788">
        <v>42087</v>
      </c>
    </row>
    <row r="4256" spans="1:15" x14ac:dyDescent="0.25">
      <c r="A4256" s="786" t="s">
        <v>8308</v>
      </c>
      <c r="B4256" s="787">
        <v>4</v>
      </c>
      <c r="C4256" s="787" t="s">
        <v>8309</v>
      </c>
      <c r="D4256" s="787">
        <v>1.18</v>
      </c>
      <c r="E4256" s="787">
        <v>41.18</v>
      </c>
      <c r="F4256" s="788">
        <v>37636</v>
      </c>
      <c r="G4256" s="788">
        <v>37636</v>
      </c>
      <c r="H4256" s="787">
        <v>6</v>
      </c>
      <c r="I4256" s="788">
        <v>38622</v>
      </c>
      <c r="J4256" s="788">
        <v>37636</v>
      </c>
      <c r="L4256" s="787">
        <v>38.93</v>
      </c>
      <c r="M4256" s="787">
        <v>10</v>
      </c>
      <c r="N4256" s="787">
        <v>51.98</v>
      </c>
      <c r="O4256" s="788">
        <v>41806</v>
      </c>
    </row>
    <row r="4257" spans="1:15" x14ac:dyDescent="0.25">
      <c r="A4257" s="786" t="s">
        <v>8310</v>
      </c>
      <c r="B4257" s="787">
        <v>4</v>
      </c>
      <c r="C4257" s="787" t="s">
        <v>8311</v>
      </c>
      <c r="D4257" s="787">
        <v>0.37</v>
      </c>
      <c r="E4257" s="787">
        <v>0.37</v>
      </c>
      <c r="F4257" s="788">
        <v>37636</v>
      </c>
      <c r="G4257" s="788">
        <v>37636</v>
      </c>
      <c r="H4257" s="787">
        <v>1</v>
      </c>
      <c r="J4257" s="788">
        <v>37636</v>
      </c>
      <c r="L4257" s="787">
        <v>0.17</v>
      </c>
      <c r="M4257" s="787">
        <v>10</v>
      </c>
      <c r="N4257" s="787">
        <v>1.93</v>
      </c>
      <c r="O4257" s="788">
        <v>41858</v>
      </c>
    </row>
    <row r="4258" spans="1:15" x14ac:dyDescent="0.25">
      <c r="A4258" s="786" t="s">
        <v>8312</v>
      </c>
      <c r="B4258" s="787">
        <v>4</v>
      </c>
      <c r="C4258" s="787" t="s">
        <v>8313</v>
      </c>
      <c r="D4258" s="787">
        <v>0.21</v>
      </c>
      <c r="E4258" s="787">
        <v>0.21</v>
      </c>
      <c r="F4258" s="788">
        <v>39975</v>
      </c>
      <c r="G4258" s="788">
        <v>41943</v>
      </c>
      <c r="H4258" s="787">
        <v>1</v>
      </c>
      <c r="I4258" s="788">
        <v>39134</v>
      </c>
      <c r="J4258" s="788">
        <v>39464</v>
      </c>
      <c r="L4258" s="787">
        <v>1.75</v>
      </c>
      <c r="M4258" s="787">
        <v>10</v>
      </c>
      <c r="N4258" s="787">
        <v>2.54</v>
      </c>
      <c r="O4258" s="788">
        <v>41858</v>
      </c>
    </row>
    <row r="4259" spans="1:15" x14ac:dyDescent="0.25">
      <c r="A4259" s="786" t="s">
        <v>8314</v>
      </c>
      <c r="B4259" s="787">
        <v>4</v>
      </c>
      <c r="C4259" s="787" t="s">
        <v>8248</v>
      </c>
      <c r="D4259" s="787">
        <v>0.16</v>
      </c>
      <c r="E4259" s="787">
        <v>23.04</v>
      </c>
      <c r="F4259" s="788">
        <v>38041</v>
      </c>
      <c r="G4259" s="788">
        <v>38075</v>
      </c>
      <c r="H4259" s="787">
        <v>1</v>
      </c>
      <c r="I4259" s="788">
        <v>41576</v>
      </c>
      <c r="J4259" s="788">
        <v>41621</v>
      </c>
      <c r="L4259" s="787">
        <v>25.11</v>
      </c>
      <c r="M4259" s="787">
        <v>20</v>
      </c>
      <c r="N4259" s="787">
        <v>26.99</v>
      </c>
      <c r="O4259" s="788">
        <v>41858</v>
      </c>
    </row>
    <row r="4260" spans="1:15" x14ac:dyDescent="0.25">
      <c r="A4260" s="786" t="s">
        <v>8315</v>
      </c>
      <c r="B4260" s="787">
        <v>4</v>
      </c>
      <c r="C4260" s="787" t="s">
        <v>8241</v>
      </c>
      <c r="D4260" s="787">
        <v>3.54</v>
      </c>
      <c r="E4260" s="787">
        <v>3.64</v>
      </c>
      <c r="F4260" s="788">
        <v>39590</v>
      </c>
      <c r="G4260" s="788">
        <v>39974</v>
      </c>
      <c r="H4260" s="787">
        <v>6</v>
      </c>
      <c r="I4260" s="788">
        <v>40617</v>
      </c>
      <c r="J4260" s="788">
        <v>39587</v>
      </c>
      <c r="L4260" s="787">
        <v>4.3499999999999996</v>
      </c>
      <c r="M4260" s="787">
        <v>20</v>
      </c>
      <c r="N4260" s="787">
        <v>3.91</v>
      </c>
      <c r="O4260" s="788">
        <v>41806</v>
      </c>
    </row>
    <row r="4261" spans="1:15" x14ac:dyDescent="0.25">
      <c r="A4261" s="786" t="s">
        <v>8316</v>
      </c>
      <c r="B4261" s="787">
        <v>4</v>
      </c>
      <c r="C4261" s="787" t="s">
        <v>8241</v>
      </c>
      <c r="D4261" s="787">
        <v>8.86</v>
      </c>
      <c r="E4261" s="787">
        <v>8.86</v>
      </c>
      <c r="F4261" s="788">
        <v>40051</v>
      </c>
      <c r="G4261" s="788">
        <v>41493</v>
      </c>
      <c r="H4261" s="787">
        <v>6</v>
      </c>
      <c r="I4261" s="788">
        <v>41493</v>
      </c>
      <c r="J4261" s="788">
        <v>41493</v>
      </c>
      <c r="K4261" s="788">
        <v>41869</v>
      </c>
      <c r="L4261" s="787">
        <v>8.86</v>
      </c>
      <c r="M4261" s="787">
        <v>20</v>
      </c>
      <c r="N4261" s="787">
        <v>9.52</v>
      </c>
      <c r="O4261" s="788">
        <v>41810</v>
      </c>
    </row>
    <row r="4262" spans="1:15" x14ac:dyDescent="0.25">
      <c r="A4262" s="786" t="s">
        <v>8317</v>
      </c>
      <c r="B4262" s="787">
        <v>4</v>
      </c>
      <c r="C4262" s="787" t="s">
        <v>8241</v>
      </c>
      <c r="D4262" s="787">
        <v>3.53</v>
      </c>
      <c r="E4262" s="787">
        <v>4.0199999999999996</v>
      </c>
      <c r="F4262" s="788">
        <v>40056</v>
      </c>
      <c r="G4262" s="788">
        <v>40647</v>
      </c>
      <c r="H4262" s="787">
        <v>6</v>
      </c>
      <c r="I4262" s="788">
        <v>41359</v>
      </c>
      <c r="J4262" s="788">
        <v>40143</v>
      </c>
      <c r="L4262" s="787">
        <v>5.0999999999999996</v>
      </c>
      <c r="M4262" s="787">
        <v>20</v>
      </c>
      <c r="N4262" s="787">
        <v>4.32</v>
      </c>
      <c r="O4262" s="788">
        <v>41815</v>
      </c>
    </row>
    <row r="4263" spans="1:15" x14ac:dyDescent="0.25">
      <c r="A4263" s="786" t="s">
        <v>8318</v>
      </c>
      <c r="B4263" s="787">
        <v>4</v>
      </c>
      <c r="C4263" s="787" t="s">
        <v>8319</v>
      </c>
      <c r="D4263" s="787">
        <v>0.48</v>
      </c>
      <c r="E4263" s="787">
        <v>0.48</v>
      </c>
      <c r="F4263" s="788">
        <v>37636</v>
      </c>
      <c r="G4263" s="788">
        <v>37636</v>
      </c>
      <c r="H4263" s="787">
        <v>1</v>
      </c>
      <c r="I4263" s="788">
        <v>37666</v>
      </c>
      <c r="J4263" s="788">
        <v>37636</v>
      </c>
      <c r="L4263" s="787">
        <v>0.28000000000000003</v>
      </c>
      <c r="M4263" s="787">
        <v>10</v>
      </c>
      <c r="N4263" s="787">
        <v>0.49</v>
      </c>
      <c r="O4263" s="788">
        <v>41858</v>
      </c>
    </row>
    <row r="4264" spans="1:15" x14ac:dyDescent="0.25">
      <c r="A4264" s="786" t="s">
        <v>8320</v>
      </c>
      <c r="B4264" s="787">
        <v>4</v>
      </c>
      <c r="C4264" s="787" t="s">
        <v>8321</v>
      </c>
      <c r="D4264" s="787">
        <v>1.88</v>
      </c>
      <c r="E4264" s="787">
        <v>1.88</v>
      </c>
      <c r="F4264" s="788">
        <v>39101</v>
      </c>
      <c r="G4264" s="788">
        <v>39101</v>
      </c>
      <c r="H4264" s="787">
        <v>1</v>
      </c>
      <c r="I4264" s="788">
        <v>40249</v>
      </c>
      <c r="J4264" s="788">
        <v>39101</v>
      </c>
      <c r="L4264" s="787">
        <v>0.91</v>
      </c>
      <c r="M4264" s="787">
        <v>10</v>
      </c>
      <c r="N4264" s="787">
        <v>2.4</v>
      </c>
      <c r="O4264" s="788">
        <v>41858</v>
      </c>
    </row>
    <row r="4265" spans="1:15" x14ac:dyDescent="0.25">
      <c r="A4265" s="786" t="s">
        <v>8322</v>
      </c>
      <c r="B4265" s="787">
        <v>4</v>
      </c>
      <c r="C4265" s="787" t="s">
        <v>8323</v>
      </c>
      <c r="D4265" s="787">
        <v>2.38</v>
      </c>
      <c r="E4265" s="787">
        <v>2.38</v>
      </c>
      <c r="F4265" s="788">
        <v>37636</v>
      </c>
      <c r="G4265" s="788">
        <v>37636</v>
      </c>
      <c r="H4265" s="787">
        <v>1</v>
      </c>
      <c r="I4265" s="788">
        <v>37544</v>
      </c>
      <c r="J4265" s="788">
        <v>37636</v>
      </c>
      <c r="L4265" s="787">
        <v>1.41</v>
      </c>
      <c r="M4265" s="787">
        <v>10</v>
      </c>
      <c r="N4265" s="787">
        <v>2.46</v>
      </c>
      <c r="O4265" s="788">
        <v>41858</v>
      </c>
    </row>
    <row r="4266" spans="1:15" x14ac:dyDescent="0.25">
      <c r="A4266" s="786" t="s">
        <v>8324</v>
      </c>
      <c r="B4266" s="787">
        <v>4</v>
      </c>
      <c r="C4266" s="787" t="s">
        <v>8323</v>
      </c>
      <c r="D4266" s="787">
        <v>2.38</v>
      </c>
      <c r="E4266" s="787">
        <v>2.38</v>
      </c>
      <c r="F4266" s="788">
        <v>37636</v>
      </c>
      <c r="G4266" s="788">
        <v>37636</v>
      </c>
      <c r="H4266" s="787">
        <v>1</v>
      </c>
      <c r="J4266" s="788">
        <v>37636</v>
      </c>
      <c r="L4266" s="787">
        <v>1.41</v>
      </c>
      <c r="M4266" s="787">
        <v>10</v>
      </c>
      <c r="N4266" s="787">
        <v>2.46</v>
      </c>
      <c r="O4266" s="788">
        <v>41858</v>
      </c>
    </row>
    <row r="4267" spans="1:15" x14ac:dyDescent="0.25">
      <c r="A4267" s="786" t="s">
        <v>8325</v>
      </c>
      <c r="B4267" s="787">
        <v>4</v>
      </c>
      <c r="C4267" s="787" t="s">
        <v>8326</v>
      </c>
      <c r="D4267" s="787">
        <v>0</v>
      </c>
      <c r="E4267" s="787">
        <v>0</v>
      </c>
      <c r="H4267" s="787">
        <v>1</v>
      </c>
      <c r="I4267" s="788">
        <v>36978</v>
      </c>
      <c r="J4267" s="788">
        <v>37636</v>
      </c>
      <c r="L4267" s="787">
        <v>0</v>
      </c>
      <c r="M4267" s="787">
        <v>20</v>
      </c>
      <c r="N4267" s="787">
        <v>0</v>
      </c>
      <c r="O4267" s="788">
        <v>40824</v>
      </c>
    </row>
    <row r="4268" spans="1:15" x14ac:dyDescent="0.25">
      <c r="A4268" s="786" t="s">
        <v>8327</v>
      </c>
      <c r="B4268" s="787">
        <v>4</v>
      </c>
      <c r="C4268" s="787" t="s">
        <v>8328</v>
      </c>
      <c r="D4268" s="787">
        <v>2.38</v>
      </c>
      <c r="E4268" s="787">
        <v>2.38</v>
      </c>
      <c r="F4268" s="788">
        <v>37636</v>
      </c>
      <c r="G4268" s="788">
        <v>37636</v>
      </c>
      <c r="H4268" s="787">
        <v>1</v>
      </c>
      <c r="J4268" s="788">
        <v>37636</v>
      </c>
      <c r="L4268" s="787">
        <v>1.41</v>
      </c>
      <c r="M4268" s="787">
        <v>10</v>
      </c>
      <c r="N4268" s="787">
        <v>2.46</v>
      </c>
      <c r="O4268" s="788">
        <v>41858</v>
      </c>
    </row>
    <row r="4269" spans="1:15" x14ac:dyDescent="0.25">
      <c r="A4269" s="786" t="s">
        <v>8329</v>
      </c>
      <c r="B4269" s="787">
        <v>4</v>
      </c>
      <c r="C4269" s="787" t="s">
        <v>8330</v>
      </c>
      <c r="D4269" s="787">
        <v>3.68</v>
      </c>
      <c r="E4269" s="787">
        <v>3.68</v>
      </c>
      <c r="F4269" s="788">
        <v>37636</v>
      </c>
      <c r="G4269" s="788">
        <v>37636</v>
      </c>
      <c r="H4269" s="787">
        <v>1</v>
      </c>
      <c r="I4269" s="788">
        <v>37291</v>
      </c>
      <c r="J4269" s="788">
        <v>37636</v>
      </c>
      <c r="L4269" s="787">
        <v>1.73</v>
      </c>
      <c r="M4269" s="787">
        <v>10</v>
      </c>
      <c r="N4269" s="787">
        <v>4.71</v>
      </c>
      <c r="O4269" s="788">
        <v>41869</v>
      </c>
    </row>
    <row r="4270" spans="1:15" x14ac:dyDescent="0.25">
      <c r="A4270" s="786" t="s">
        <v>8331</v>
      </c>
      <c r="B4270" s="787">
        <v>4</v>
      </c>
      <c r="C4270" s="787" t="s">
        <v>8332</v>
      </c>
      <c r="D4270" s="787">
        <v>3.68</v>
      </c>
      <c r="E4270" s="787">
        <v>3.68</v>
      </c>
      <c r="F4270" s="788">
        <v>37636</v>
      </c>
      <c r="G4270" s="788">
        <v>37636</v>
      </c>
      <c r="H4270" s="787">
        <v>1</v>
      </c>
      <c r="I4270" s="788">
        <v>40032</v>
      </c>
      <c r="J4270" s="788">
        <v>37636</v>
      </c>
      <c r="L4270" s="787">
        <v>1.73</v>
      </c>
      <c r="M4270" s="787">
        <v>10</v>
      </c>
      <c r="N4270" s="787">
        <v>4.71</v>
      </c>
      <c r="O4270" s="788">
        <v>42127</v>
      </c>
    </row>
    <row r="4271" spans="1:15" x14ac:dyDescent="0.25">
      <c r="A4271" s="786" t="s">
        <v>8333</v>
      </c>
      <c r="B4271" s="787">
        <v>4</v>
      </c>
      <c r="C4271" s="787" t="s">
        <v>8321</v>
      </c>
      <c r="D4271" s="787">
        <v>3.77</v>
      </c>
      <c r="E4271" s="787">
        <v>3.77</v>
      </c>
      <c r="F4271" s="788">
        <v>39101</v>
      </c>
      <c r="G4271" s="788">
        <v>41611</v>
      </c>
      <c r="H4271" s="787">
        <v>1</v>
      </c>
      <c r="I4271" s="788">
        <v>42058</v>
      </c>
      <c r="J4271" s="788">
        <v>42058</v>
      </c>
      <c r="L4271" s="787">
        <v>1.82</v>
      </c>
      <c r="M4271" s="787">
        <v>10</v>
      </c>
      <c r="N4271" s="787">
        <v>4.8</v>
      </c>
      <c r="O4271" s="788">
        <v>41858</v>
      </c>
    </row>
    <row r="4272" spans="1:15" x14ac:dyDescent="0.25">
      <c r="A4272" s="786" t="s">
        <v>8334</v>
      </c>
      <c r="B4272" s="787">
        <v>4</v>
      </c>
      <c r="C4272" s="787" t="s">
        <v>8335</v>
      </c>
      <c r="D4272" s="787">
        <v>0.8</v>
      </c>
      <c r="E4272" s="787">
        <v>20.8</v>
      </c>
      <c r="F4272" s="788">
        <v>40122</v>
      </c>
      <c r="G4272" s="788">
        <v>41493</v>
      </c>
      <c r="H4272" s="787">
        <v>6</v>
      </c>
      <c r="I4272" s="788">
        <v>41493</v>
      </c>
      <c r="J4272" s="788">
        <v>41493</v>
      </c>
      <c r="K4272" s="788">
        <v>41869</v>
      </c>
      <c r="L4272" s="787">
        <v>20.8</v>
      </c>
      <c r="M4272" s="787">
        <v>20</v>
      </c>
      <c r="N4272" s="787">
        <v>22.36</v>
      </c>
      <c r="O4272" s="788">
        <v>41806</v>
      </c>
    </row>
    <row r="4273" spans="1:15" x14ac:dyDescent="0.25">
      <c r="A4273" s="786" t="s">
        <v>8336</v>
      </c>
      <c r="B4273" s="787">
        <v>4</v>
      </c>
      <c r="C4273" s="787" t="s">
        <v>8337</v>
      </c>
      <c r="D4273" s="787">
        <v>0</v>
      </c>
      <c r="E4273" s="787">
        <v>0</v>
      </c>
      <c r="H4273" s="787">
        <v>1</v>
      </c>
      <c r="I4273" s="788">
        <v>36922</v>
      </c>
      <c r="J4273" s="788">
        <v>37636</v>
      </c>
      <c r="L4273" s="787">
        <v>0</v>
      </c>
      <c r="M4273" s="787">
        <v>20</v>
      </c>
      <c r="N4273" s="787">
        <v>0</v>
      </c>
      <c r="O4273" s="788">
        <v>40824</v>
      </c>
    </row>
    <row r="4274" spans="1:15" x14ac:dyDescent="0.25">
      <c r="A4274" s="786" t="s">
        <v>8338</v>
      </c>
      <c r="B4274" s="787">
        <v>4</v>
      </c>
      <c r="C4274" s="787" t="s">
        <v>8337</v>
      </c>
      <c r="D4274" s="787">
        <v>0</v>
      </c>
      <c r="E4274" s="787">
        <v>0</v>
      </c>
      <c r="H4274" s="787">
        <v>1</v>
      </c>
      <c r="J4274" s="788">
        <v>37636</v>
      </c>
      <c r="L4274" s="787">
        <v>0</v>
      </c>
      <c r="M4274" s="787">
        <v>20</v>
      </c>
      <c r="N4274" s="787">
        <v>0</v>
      </c>
      <c r="O4274" s="788">
        <v>40824</v>
      </c>
    </row>
    <row r="4275" spans="1:15" x14ac:dyDescent="0.25">
      <c r="A4275" s="786" t="s">
        <v>8339</v>
      </c>
      <c r="B4275" s="787">
        <v>4</v>
      </c>
      <c r="C4275" s="787" t="s">
        <v>8321</v>
      </c>
      <c r="D4275" s="787">
        <v>4.7699999999999996</v>
      </c>
      <c r="E4275" s="787">
        <v>4.7699999999999996</v>
      </c>
      <c r="F4275" s="788">
        <v>39101</v>
      </c>
      <c r="G4275" s="788">
        <v>39101</v>
      </c>
      <c r="H4275" s="787">
        <v>1</v>
      </c>
      <c r="I4275" s="788">
        <v>41970</v>
      </c>
      <c r="J4275" s="788">
        <v>39101</v>
      </c>
      <c r="L4275" s="787">
        <v>10.92</v>
      </c>
      <c r="M4275" s="787">
        <v>10</v>
      </c>
      <c r="N4275" s="787">
        <v>12.86</v>
      </c>
      <c r="O4275" s="788">
        <v>41858</v>
      </c>
    </row>
    <row r="4276" spans="1:15" x14ac:dyDescent="0.25">
      <c r="A4276" s="786" t="s">
        <v>8340</v>
      </c>
      <c r="B4276" s="787">
        <v>4</v>
      </c>
      <c r="C4276" s="787" t="s">
        <v>8335</v>
      </c>
      <c r="D4276" s="787">
        <v>5.14</v>
      </c>
      <c r="E4276" s="787">
        <v>25.14</v>
      </c>
      <c r="F4276" s="788">
        <v>40143</v>
      </c>
      <c r="G4276" s="788">
        <v>40143</v>
      </c>
      <c r="H4276" s="787">
        <v>1</v>
      </c>
      <c r="I4276" s="788">
        <v>40165</v>
      </c>
      <c r="J4276" s="788">
        <v>40143</v>
      </c>
      <c r="K4276" s="788">
        <v>40141</v>
      </c>
      <c r="L4276" s="787">
        <v>24.96</v>
      </c>
      <c r="M4276" s="787">
        <v>20</v>
      </c>
      <c r="N4276" s="787">
        <v>26.83</v>
      </c>
      <c r="O4276" s="788">
        <v>41858</v>
      </c>
    </row>
    <row r="4277" spans="1:15" x14ac:dyDescent="0.25">
      <c r="A4277" s="786" t="s">
        <v>8341</v>
      </c>
      <c r="B4277" s="787">
        <v>4</v>
      </c>
      <c r="C4277" s="787" t="s">
        <v>8342</v>
      </c>
      <c r="D4277" s="787">
        <v>0.37</v>
      </c>
      <c r="E4277" s="787">
        <v>13.18</v>
      </c>
      <c r="F4277" s="788">
        <v>37636</v>
      </c>
      <c r="G4277" s="788">
        <v>38254</v>
      </c>
      <c r="H4277" s="787">
        <v>6</v>
      </c>
      <c r="I4277" s="788">
        <v>38203</v>
      </c>
      <c r="J4277" s="788">
        <v>38254</v>
      </c>
      <c r="L4277" s="787">
        <v>15.77</v>
      </c>
      <c r="M4277" s="787">
        <v>10</v>
      </c>
      <c r="N4277" s="787">
        <v>13.95</v>
      </c>
      <c r="O4277" s="788">
        <v>39897</v>
      </c>
    </row>
    <row r="4278" spans="1:15" x14ac:dyDescent="0.25">
      <c r="A4278" s="786" t="s">
        <v>8343</v>
      </c>
      <c r="B4278" s="787">
        <v>4</v>
      </c>
      <c r="C4278" s="787" t="s">
        <v>8342</v>
      </c>
      <c r="D4278" s="787">
        <v>0.4</v>
      </c>
      <c r="E4278" s="787">
        <v>0.46</v>
      </c>
      <c r="F4278" s="788">
        <v>39101</v>
      </c>
      <c r="G4278" s="788">
        <v>39101</v>
      </c>
      <c r="H4278" s="787">
        <v>6</v>
      </c>
      <c r="I4278" s="788">
        <v>39974</v>
      </c>
      <c r="J4278" s="788">
        <v>39101</v>
      </c>
      <c r="L4278" s="787">
        <v>0.28000000000000003</v>
      </c>
      <c r="M4278" s="787">
        <v>10</v>
      </c>
      <c r="N4278" s="787">
        <v>0</v>
      </c>
      <c r="O4278" s="788">
        <v>40824</v>
      </c>
    </row>
    <row r="4279" spans="1:15" x14ac:dyDescent="0.25">
      <c r="A4279" s="786" t="s">
        <v>8344</v>
      </c>
      <c r="B4279" s="787">
        <v>4</v>
      </c>
      <c r="C4279" s="787" t="s">
        <v>8342</v>
      </c>
      <c r="D4279" s="787">
        <v>0.38</v>
      </c>
      <c r="E4279" s="787">
        <v>0.44</v>
      </c>
      <c r="F4279" s="788">
        <v>39101</v>
      </c>
      <c r="G4279" s="788">
        <v>39101</v>
      </c>
      <c r="H4279" s="787">
        <v>6</v>
      </c>
      <c r="I4279" s="788">
        <v>39974</v>
      </c>
      <c r="J4279" s="788">
        <v>39101</v>
      </c>
      <c r="L4279" s="787">
        <v>0.18</v>
      </c>
      <c r="M4279" s="787">
        <v>10</v>
      </c>
      <c r="N4279" s="787">
        <v>0</v>
      </c>
      <c r="O4279" s="788">
        <v>40824</v>
      </c>
    </row>
    <row r="4280" spans="1:15" x14ac:dyDescent="0.25">
      <c r="A4280" s="786" t="s">
        <v>8345</v>
      </c>
      <c r="B4280" s="787">
        <v>4</v>
      </c>
      <c r="C4280" s="787" t="s">
        <v>8346</v>
      </c>
      <c r="D4280" s="787">
        <v>4.7699999999999996</v>
      </c>
      <c r="E4280" s="787">
        <v>4.7699999999999996</v>
      </c>
      <c r="F4280" s="788">
        <v>39101</v>
      </c>
      <c r="G4280" s="788">
        <v>39101</v>
      </c>
      <c r="H4280" s="787">
        <v>1</v>
      </c>
      <c r="I4280" s="788">
        <v>39974</v>
      </c>
      <c r="J4280" s="788">
        <v>39101</v>
      </c>
      <c r="L4280" s="787">
        <v>2.85</v>
      </c>
      <c r="M4280" s="787">
        <v>10</v>
      </c>
      <c r="N4280" s="787">
        <v>5.26</v>
      </c>
      <c r="O4280" s="788">
        <v>41955</v>
      </c>
    </row>
    <row r="4281" spans="1:15" x14ac:dyDescent="0.25">
      <c r="A4281" s="786" t="s">
        <v>8347</v>
      </c>
      <c r="B4281" s="787">
        <v>4</v>
      </c>
      <c r="C4281" s="787" t="s">
        <v>8348</v>
      </c>
      <c r="D4281" s="787">
        <v>0.75</v>
      </c>
      <c r="E4281" s="787">
        <v>0.75</v>
      </c>
      <c r="F4281" s="788">
        <v>38047</v>
      </c>
      <c r="G4281" s="788">
        <v>38047</v>
      </c>
      <c r="H4281" s="787">
        <v>1</v>
      </c>
      <c r="I4281" s="788">
        <v>39388</v>
      </c>
      <c r="J4281" s="788">
        <v>38047</v>
      </c>
      <c r="L4281" s="787">
        <v>0.36</v>
      </c>
      <c r="M4281" s="787">
        <v>10</v>
      </c>
      <c r="N4281" s="787">
        <v>0.96</v>
      </c>
      <c r="O4281" s="788">
        <v>41858</v>
      </c>
    </row>
    <row r="4282" spans="1:15" x14ac:dyDescent="0.25">
      <c r="A4282" s="786" t="s">
        <v>8349</v>
      </c>
      <c r="B4282" s="787">
        <v>4</v>
      </c>
      <c r="C4282" s="787" t="s">
        <v>8350</v>
      </c>
      <c r="D4282" s="787">
        <v>0.17</v>
      </c>
      <c r="E4282" s="787">
        <v>0.21</v>
      </c>
      <c r="F4282" s="788">
        <v>41236</v>
      </c>
      <c r="G4282" s="788">
        <v>42013</v>
      </c>
      <c r="H4282" s="787">
        <v>1</v>
      </c>
      <c r="I4282" s="788">
        <v>42163</v>
      </c>
      <c r="J4282" s="788">
        <v>41683</v>
      </c>
      <c r="L4282" s="787">
        <v>0.69</v>
      </c>
      <c r="M4282" s="787">
        <v>10</v>
      </c>
      <c r="N4282" s="787">
        <v>0.39</v>
      </c>
      <c r="O4282" s="788">
        <v>42164</v>
      </c>
    </row>
    <row r="4283" spans="1:15" x14ac:dyDescent="0.25">
      <c r="A4283" s="786" t="s">
        <v>8351</v>
      </c>
      <c r="B4283" s="787">
        <v>4</v>
      </c>
      <c r="C4283" s="787" t="s">
        <v>8352</v>
      </c>
      <c r="D4283" s="787">
        <v>0.37</v>
      </c>
      <c r="E4283" s="787">
        <v>0.37</v>
      </c>
      <c r="F4283" s="788">
        <v>39101</v>
      </c>
      <c r="G4283" s="788">
        <v>41943</v>
      </c>
      <c r="H4283" s="787">
        <v>1</v>
      </c>
      <c r="I4283" s="788">
        <v>41493</v>
      </c>
      <c r="J4283" s="788">
        <v>39149</v>
      </c>
      <c r="L4283" s="787">
        <v>0.56000000000000005</v>
      </c>
      <c r="M4283" s="787">
        <v>10</v>
      </c>
      <c r="N4283" s="787">
        <v>1.23</v>
      </c>
      <c r="O4283" s="788">
        <v>41858</v>
      </c>
    </row>
    <row r="4284" spans="1:15" x14ac:dyDescent="0.25">
      <c r="A4284" s="786" t="s">
        <v>8353</v>
      </c>
      <c r="B4284" s="787">
        <v>4</v>
      </c>
      <c r="C4284" s="787" t="s">
        <v>8354</v>
      </c>
      <c r="D4284" s="787">
        <v>0.93</v>
      </c>
      <c r="E4284" s="787">
        <v>1.19</v>
      </c>
      <c r="F4284" s="788">
        <v>39101</v>
      </c>
      <c r="G4284" s="788">
        <v>41943</v>
      </c>
      <c r="H4284" s="787">
        <v>1</v>
      </c>
      <c r="I4284" s="788">
        <v>40674</v>
      </c>
      <c r="J4284" s="788">
        <v>40512</v>
      </c>
      <c r="L4284" s="787">
        <v>0.77</v>
      </c>
      <c r="M4284" s="787">
        <v>10</v>
      </c>
      <c r="N4284" s="787">
        <v>1.38</v>
      </c>
      <c r="O4284" s="788">
        <v>42087</v>
      </c>
    </row>
    <row r="4285" spans="1:15" x14ac:dyDescent="0.25">
      <c r="A4285" s="786" t="s">
        <v>8355</v>
      </c>
      <c r="B4285" s="787">
        <v>4</v>
      </c>
      <c r="C4285" s="787" t="s">
        <v>8356</v>
      </c>
      <c r="D4285" s="787">
        <v>0.37</v>
      </c>
      <c r="E4285" s="787">
        <v>0.37</v>
      </c>
      <c r="F4285" s="788">
        <v>39101</v>
      </c>
      <c r="G4285" s="788">
        <v>41943</v>
      </c>
      <c r="H4285" s="787">
        <v>1</v>
      </c>
      <c r="I4285" s="788">
        <v>42037</v>
      </c>
      <c r="J4285" s="788">
        <v>39149</v>
      </c>
      <c r="L4285" s="787">
        <v>0.24</v>
      </c>
      <c r="M4285" s="787">
        <v>10</v>
      </c>
      <c r="N4285" s="787">
        <v>0.5</v>
      </c>
      <c r="O4285" s="788">
        <v>42164</v>
      </c>
    </row>
    <row r="4286" spans="1:15" x14ac:dyDescent="0.25">
      <c r="A4286" s="786" t="s">
        <v>8357</v>
      </c>
      <c r="B4286" s="787">
        <v>4</v>
      </c>
      <c r="C4286" s="787" t="s">
        <v>8358</v>
      </c>
      <c r="D4286" s="787">
        <v>0.43</v>
      </c>
      <c r="E4286" s="787">
        <v>0.66</v>
      </c>
      <c r="F4286" s="788">
        <v>39456</v>
      </c>
      <c r="G4286" s="788">
        <v>42013</v>
      </c>
      <c r="H4286" s="787">
        <v>1</v>
      </c>
      <c r="I4286" s="788">
        <v>42166</v>
      </c>
      <c r="J4286" s="788">
        <v>41390</v>
      </c>
      <c r="L4286" s="787">
        <v>1.0900000000000001</v>
      </c>
      <c r="M4286" s="787">
        <v>10</v>
      </c>
      <c r="N4286" s="787">
        <v>2.15</v>
      </c>
      <c r="O4286" s="788">
        <v>42087</v>
      </c>
    </row>
    <row r="4287" spans="1:15" x14ac:dyDescent="0.25">
      <c r="A4287" s="786" t="s">
        <v>8359</v>
      </c>
      <c r="B4287" s="787">
        <v>4</v>
      </c>
      <c r="C4287" s="787" t="s">
        <v>8360</v>
      </c>
      <c r="D4287" s="787">
        <v>0.4</v>
      </c>
      <c r="E4287" s="787">
        <v>1.07</v>
      </c>
      <c r="F4287" s="788">
        <v>39975</v>
      </c>
      <c r="G4287" s="788">
        <v>42013</v>
      </c>
      <c r="H4287" s="787">
        <v>1</v>
      </c>
      <c r="I4287" s="788">
        <v>42124</v>
      </c>
      <c r="J4287" s="788">
        <v>41884</v>
      </c>
      <c r="L4287" s="787">
        <v>0.71</v>
      </c>
      <c r="M4287" s="787">
        <v>10</v>
      </c>
      <c r="N4287" s="787">
        <v>1.91</v>
      </c>
      <c r="O4287" s="788">
        <v>42163</v>
      </c>
    </row>
    <row r="4288" spans="1:15" x14ac:dyDescent="0.25">
      <c r="A4288" s="786" t="s">
        <v>8361</v>
      </c>
      <c r="B4288" s="787">
        <v>4</v>
      </c>
      <c r="C4288" s="787" t="s">
        <v>8362</v>
      </c>
      <c r="D4288" s="787">
        <v>0.36</v>
      </c>
      <c r="E4288" s="787">
        <v>2.2799999999999998</v>
      </c>
      <c r="F4288" s="788">
        <v>39456</v>
      </c>
      <c r="G4288" s="788">
        <v>42074</v>
      </c>
      <c r="H4288" s="787">
        <v>1</v>
      </c>
      <c r="I4288" s="788">
        <v>42146</v>
      </c>
      <c r="J4288" s="788">
        <v>42045</v>
      </c>
      <c r="L4288" s="787">
        <v>0.96</v>
      </c>
      <c r="M4288" s="787">
        <v>10</v>
      </c>
      <c r="N4288" s="787">
        <v>2.08</v>
      </c>
      <c r="O4288" s="788">
        <v>42164</v>
      </c>
    </row>
    <row r="4289" spans="1:15" x14ac:dyDescent="0.25">
      <c r="A4289" s="786" t="s">
        <v>8363</v>
      </c>
      <c r="B4289" s="787">
        <v>4</v>
      </c>
      <c r="C4289" s="787" t="s">
        <v>8364</v>
      </c>
      <c r="D4289" s="787">
        <v>0.98</v>
      </c>
      <c r="E4289" s="787">
        <v>2.11</v>
      </c>
      <c r="F4289" s="788">
        <v>39101</v>
      </c>
      <c r="G4289" s="788">
        <v>42013</v>
      </c>
      <c r="H4289" s="787">
        <v>1</v>
      </c>
      <c r="I4289" s="788">
        <v>42122</v>
      </c>
      <c r="J4289" s="788">
        <v>41943</v>
      </c>
      <c r="L4289" s="787">
        <v>1.1100000000000001</v>
      </c>
      <c r="M4289" s="787">
        <v>10</v>
      </c>
      <c r="N4289" s="787">
        <v>2.19</v>
      </c>
      <c r="O4289" s="788">
        <v>42087</v>
      </c>
    </row>
    <row r="4290" spans="1:15" x14ac:dyDescent="0.25">
      <c r="A4290" s="786" t="s">
        <v>8365</v>
      </c>
      <c r="B4290" s="787">
        <v>4</v>
      </c>
      <c r="C4290" s="787" t="s">
        <v>8366</v>
      </c>
      <c r="D4290" s="787">
        <v>0.3</v>
      </c>
      <c r="E4290" s="787">
        <v>2.91</v>
      </c>
      <c r="F4290" s="788">
        <v>41135</v>
      </c>
      <c r="G4290" s="788">
        <v>42118</v>
      </c>
      <c r="H4290" s="787">
        <v>1</v>
      </c>
      <c r="I4290" s="788">
        <v>42146</v>
      </c>
      <c r="J4290" s="788">
        <v>42088</v>
      </c>
      <c r="K4290" s="788">
        <v>41480</v>
      </c>
      <c r="L4290" s="787">
        <v>1.19</v>
      </c>
      <c r="M4290" s="787">
        <v>10</v>
      </c>
      <c r="N4290" s="787">
        <v>2.0499999999999998</v>
      </c>
      <c r="O4290" s="788">
        <v>42163</v>
      </c>
    </row>
    <row r="4291" spans="1:15" x14ac:dyDescent="0.25">
      <c r="A4291" s="786" t="s">
        <v>8367</v>
      </c>
      <c r="B4291" s="787">
        <v>4</v>
      </c>
      <c r="C4291" s="787" t="s">
        <v>8368</v>
      </c>
      <c r="D4291" s="787">
        <v>0.27</v>
      </c>
      <c r="E4291" s="787">
        <v>2.82</v>
      </c>
      <c r="F4291" s="788">
        <v>39456</v>
      </c>
      <c r="G4291" s="788">
        <v>42013</v>
      </c>
      <c r="H4291" s="787">
        <v>1</v>
      </c>
      <c r="I4291" s="788">
        <v>42163</v>
      </c>
      <c r="J4291" s="788">
        <v>41943</v>
      </c>
      <c r="L4291" s="787">
        <v>0.75</v>
      </c>
      <c r="M4291" s="787">
        <v>10</v>
      </c>
      <c r="N4291" s="787">
        <v>1.17</v>
      </c>
      <c r="O4291" s="788">
        <v>42163</v>
      </c>
    </row>
    <row r="4292" spans="1:15" x14ac:dyDescent="0.25">
      <c r="A4292" s="786" t="s">
        <v>8369</v>
      </c>
      <c r="B4292" s="787">
        <v>4</v>
      </c>
      <c r="C4292" s="787" t="s">
        <v>8370</v>
      </c>
      <c r="D4292" s="787">
        <v>0.5</v>
      </c>
      <c r="E4292" s="787">
        <v>0.95</v>
      </c>
      <c r="F4292" s="788">
        <v>39975</v>
      </c>
      <c r="G4292" s="788">
        <v>42013</v>
      </c>
      <c r="H4292" s="787">
        <v>1</v>
      </c>
      <c r="I4292" s="788">
        <v>42159</v>
      </c>
      <c r="J4292" s="788">
        <v>41558</v>
      </c>
      <c r="L4292" s="787">
        <v>0.99</v>
      </c>
      <c r="M4292" s="787">
        <v>10</v>
      </c>
      <c r="N4292" s="787">
        <v>2.73</v>
      </c>
      <c r="O4292" s="788">
        <v>41858</v>
      </c>
    </row>
    <row r="4293" spans="1:15" x14ac:dyDescent="0.25">
      <c r="A4293" s="786" t="s">
        <v>8371</v>
      </c>
      <c r="B4293" s="787">
        <v>4</v>
      </c>
      <c r="C4293" s="787" t="s">
        <v>8372</v>
      </c>
      <c r="D4293" s="787">
        <v>0.49</v>
      </c>
      <c r="E4293" s="787">
        <v>3.52</v>
      </c>
      <c r="F4293" s="788">
        <v>39975</v>
      </c>
      <c r="G4293" s="788">
        <v>42090</v>
      </c>
      <c r="H4293" s="787">
        <v>1</v>
      </c>
      <c r="I4293" s="788">
        <v>42136</v>
      </c>
      <c r="J4293" s="788">
        <v>42060</v>
      </c>
      <c r="K4293" s="788">
        <v>41955</v>
      </c>
      <c r="L4293" s="787">
        <v>2.04</v>
      </c>
      <c r="M4293" s="787">
        <v>10</v>
      </c>
      <c r="N4293" s="787">
        <v>2.04</v>
      </c>
      <c r="O4293" s="788">
        <v>42163</v>
      </c>
    </row>
    <row r="4294" spans="1:15" x14ac:dyDescent="0.25">
      <c r="A4294" s="786" t="s">
        <v>8373</v>
      </c>
      <c r="B4294" s="787">
        <v>4</v>
      </c>
      <c r="C4294" s="787" t="s">
        <v>8374</v>
      </c>
      <c r="D4294" s="787">
        <v>0.28000000000000003</v>
      </c>
      <c r="E4294" s="787">
        <v>0.76</v>
      </c>
      <c r="F4294" s="788">
        <v>39456</v>
      </c>
      <c r="G4294" s="788">
        <v>42013</v>
      </c>
      <c r="H4294" s="787">
        <v>1</v>
      </c>
      <c r="I4294" s="788">
        <v>42163</v>
      </c>
      <c r="J4294" s="788">
        <v>41523</v>
      </c>
      <c r="L4294" s="787">
        <v>0.86</v>
      </c>
      <c r="M4294" s="787">
        <v>10</v>
      </c>
      <c r="N4294" s="787">
        <v>1.61</v>
      </c>
      <c r="O4294" s="788">
        <v>42163</v>
      </c>
    </row>
    <row r="4295" spans="1:15" x14ac:dyDescent="0.25">
      <c r="A4295" s="786" t="s">
        <v>8375</v>
      </c>
      <c r="B4295" s="787">
        <v>4</v>
      </c>
      <c r="C4295" s="787" t="s">
        <v>8376</v>
      </c>
      <c r="D4295" s="787">
        <v>0.56000000000000005</v>
      </c>
      <c r="E4295" s="787">
        <v>0.56000000000000005</v>
      </c>
      <c r="F4295" s="788">
        <v>37649</v>
      </c>
      <c r="G4295" s="788">
        <v>38364</v>
      </c>
      <c r="H4295" s="787">
        <v>6</v>
      </c>
      <c r="I4295" s="788">
        <v>39862</v>
      </c>
      <c r="J4295" s="788">
        <v>37649</v>
      </c>
      <c r="L4295" s="787">
        <v>0.61</v>
      </c>
      <c r="M4295" s="787">
        <v>20</v>
      </c>
      <c r="N4295" s="787">
        <v>0.6</v>
      </c>
      <c r="O4295" s="788">
        <v>41806</v>
      </c>
    </row>
    <row r="4296" spans="1:15" x14ac:dyDescent="0.25">
      <c r="A4296" s="786" t="s">
        <v>8377</v>
      </c>
      <c r="B4296" s="787">
        <v>4</v>
      </c>
      <c r="C4296" s="787" t="s">
        <v>8378</v>
      </c>
      <c r="D4296" s="787">
        <v>0.48</v>
      </c>
      <c r="E4296" s="787">
        <v>0.48</v>
      </c>
      <c r="F4296" s="788">
        <v>39101</v>
      </c>
      <c r="G4296" s="788">
        <v>41565</v>
      </c>
      <c r="H4296" s="787">
        <v>1</v>
      </c>
      <c r="I4296" s="788">
        <v>39134</v>
      </c>
      <c r="J4296" s="788">
        <v>39149</v>
      </c>
      <c r="L4296" s="787">
        <v>0.33</v>
      </c>
      <c r="M4296" s="787">
        <v>10</v>
      </c>
      <c r="N4296" s="787">
        <v>0.56999999999999995</v>
      </c>
      <c r="O4296" s="788">
        <v>41858</v>
      </c>
    </row>
    <row r="4297" spans="1:15" x14ac:dyDescent="0.25">
      <c r="A4297" s="786" t="s">
        <v>8379</v>
      </c>
      <c r="B4297" s="787">
        <v>4</v>
      </c>
      <c r="C4297" s="787" t="s">
        <v>8380</v>
      </c>
      <c r="D4297" s="787">
        <v>0.37</v>
      </c>
      <c r="E4297" s="787">
        <v>0.37</v>
      </c>
      <c r="F4297" s="788">
        <v>37636</v>
      </c>
      <c r="G4297" s="788">
        <v>37636</v>
      </c>
      <c r="H4297" s="787">
        <v>1</v>
      </c>
      <c r="I4297" s="788">
        <v>37009</v>
      </c>
      <c r="J4297" s="788">
        <v>37636</v>
      </c>
      <c r="L4297" s="787">
        <v>0.24</v>
      </c>
      <c r="M4297" s="787">
        <v>10</v>
      </c>
      <c r="N4297" s="787">
        <v>0.5</v>
      </c>
      <c r="O4297" s="788">
        <v>41858</v>
      </c>
    </row>
    <row r="4298" spans="1:15" x14ac:dyDescent="0.25">
      <c r="A4298" s="786" t="s">
        <v>8381</v>
      </c>
      <c r="B4298" s="787">
        <v>4</v>
      </c>
      <c r="C4298" s="787" t="s">
        <v>8380</v>
      </c>
      <c r="D4298" s="787">
        <v>0.48</v>
      </c>
      <c r="E4298" s="787">
        <v>0.48</v>
      </c>
      <c r="F4298" s="788">
        <v>39101</v>
      </c>
      <c r="G4298" s="788">
        <v>41565</v>
      </c>
      <c r="H4298" s="787">
        <v>1</v>
      </c>
      <c r="I4298" s="788">
        <v>39134</v>
      </c>
      <c r="J4298" s="788">
        <v>39149</v>
      </c>
      <c r="L4298" s="787">
        <v>0.33</v>
      </c>
      <c r="M4298" s="787">
        <v>10</v>
      </c>
      <c r="N4298" s="787">
        <v>0.56999999999999995</v>
      </c>
      <c r="O4298" s="788">
        <v>41858</v>
      </c>
    </row>
    <row r="4299" spans="1:15" x14ac:dyDescent="0.25">
      <c r="A4299" s="786" t="s">
        <v>8382</v>
      </c>
      <c r="B4299" s="787">
        <v>4</v>
      </c>
      <c r="C4299" s="787" t="s">
        <v>8383</v>
      </c>
      <c r="D4299" s="787">
        <v>0.37</v>
      </c>
      <c r="E4299" s="787">
        <v>0.37</v>
      </c>
      <c r="F4299" s="788">
        <v>37636</v>
      </c>
      <c r="G4299" s="788">
        <v>37636</v>
      </c>
      <c r="H4299" s="787">
        <v>1</v>
      </c>
      <c r="I4299" s="788">
        <v>37754</v>
      </c>
      <c r="J4299" s="788">
        <v>37636</v>
      </c>
      <c r="L4299" s="787">
        <v>0.17</v>
      </c>
      <c r="M4299" s="787">
        <v>10</v>
      </c>
      <c r="N4299" s="787">
        <v>0.47</v>
      </c>
      <c r="O4299" s="788">
        <v>41858</v>
      </c>
    </row>
    <row r="4300" spans="1:15" x14ac:dyDescent="0.25">
      <c r="A4300" s="786" t="s">
        <v>8384</v>
      </c>
      <c r="B4300" s="787">
        <v>4</v>
      </c>
      <c r="C4300" s="787" t="s">
        <v>8385</v>
      </c>
      <c r="D4300" s="787">
        <v>0.37</v>
      </c>
      <c r="E4300" s="787">
        <v>0.37</v>
      </c>
      <c r="F4300" s="788">
        <v>37636</v>
      </c>
      <c r="G4300" s="788">
        <v>37636</v>
      </c>
      <c r="H4300" s="787">
        <v>1</v>
      </c>
      <c r="I4300" s="788">
        <v>37754</v>
      </c>
      <c r="J4300" s="788">
        <v>37636</v>
      </c>
      <c r="L4300" s="787">
        <v>0.17</v>
      </c>
      <c r="M4300" s="787">
        <v>10</v>
      </c>
      <c r="N4300" s="787">
        <v>0.47</v>
      </c>
      <c r="O4300" s="788">
        <v>41858</v>
      </c>
    </row>
    <row r="4301" spans="1:15" x14ac:dyDescent="0.25">
      <c r="A4301" s="786" t="s">
        <v>8386</v>
      </c>
      <c r="B4301" s="787">
        <v>4</v>
      </c>
      <c r="C4301" s="787" t="s">
        <v>8385</v>
      </c>
      <c r="D4301" s="787">
        <v>0.37</v>
      </c>
      <c r="E4301" s="787">
        <v>0.37</v>
      </c>
      <c r="F4301" s="788">
        <v>37636</v>
      </c>
      <c r="G4301" s="788">
        <v>37636</v>
      </c>
      <c r="H4301" s="787">
        <v>1</v>
      </c>
      <c r="J4301" s="788">
        <v>37636</v>
      </c>
      <c r="L4301" s="787">
        <v>0.17</v>
      </c>
      <c r="M4301" s="787">
        <v>10</v>
      </c>
      <c r="N4301" s="787">
        <v>0.47</v>
      </c>
      <c r="O4301" s="788">
        <v>41858</v>
      </c>
    </row>
    <row r="4302" spans="1:15" x14ac:dyDescent="0.25">
      <c r="A4302" s="786" t="s">
        <v>8387</v>
      </c>
      <c r="B4302" s="787">
        <v>4</v>
      </c>
      <c r="C4302" s="787" t="s">
        <v>8383</v>
      </c>
      <c r="D4302" s="787">
        <v>0.37</v>
      </c>
      <c r="E4302" s="787">
        <v>0.37</v>
      </c>
      <c r="F4302" s="788">
        <v>37636</v>
      </c>
      <c r="G4302" s="788">
        <v>37636</v>
      </c>
      <c r="H4302" s="787">
        <v>1</v>
      </c>
      <c r="J4302" s="788">
        <v>37636</v>
      </c>
      <c r="L4302" s="787">
        <v>0.17</v>
      </c>
      <c r="M4302" s="787">
        <v>10</v>
      </c>
      <c r="N4302" s="787">
        <v>0.47</v>
      </c>
      <c r="O4302" s="788">
        <v>41858</v>
      </c>
    </row>
    <row r="4303" spans="1:15" x14ac:dyDescent="0.25">
      <c r="A4303" s="786" t="s">
        <v>8388</v>
      </c>
      <c r="B4303" s="787">
        <v>4</v>
      </c>
      <c r="C4303" s="787" t="s">
        <v>8389</v>
      </c>
      <c r="D4303" s="787">
        <v>1.03</v>
      </c>
      <c r="E4303" s="787">
        <v>1.03</v>
      </c>
      <c r="F4303" s="788">
        <v>41579</v>
      </c>
      <c r="G4303" s="788">
        <v>41579</v>
      </c>
      <c r="H4303" s="787">
        <v>1</v>
      </c>
      <c r="I4303" s="788">
        <v>41556</v>
      </c>
      <c r="J4303" s="788">
        <v>41557</v>
      </c>
      <c r="L4303" s="787">
        <v>2.46</v>
      </c>
      <c r="M4303" s="787">
        <v>10</v>
      </c>
      <c r="N4303" s="787">
        <v>3.14</v>
      </c>
      <c r="O4303" s="788">
        <v>42087</v>
      </c>
    </row>
    <row r="4304" spans="1:15" x14ac:dyDescent="0.25">
      <c r="A4304" s="786" t="s">
        <v>8390</v>
      </c>
      <c r="B4304" s="787">
        <v>4</v>
      </c>
      <c r="C4304" s="787" t="s">
        <v>8391</v>
      </c>
      <c r="D4304" s="787">
        <v>4.18</v>
      </c>
      <c r="E4304" s="787">
        <v>4.18</v>
      </c>
      <c r="F4304" s="788">
        <v>37636</v>
      </c>
      <c r="G4304" s="788">
        <v>37636</v>
      </c>
      <c r="H4304" s="787">
        <v>1</v>
      </c>
      <c r="I4304" s="788">
        <v>39885</v>
      </c>
      <c r="J4304" s="788">
        <v>37636</v>
      </c>
      <c r="L4304" s="787">
        <v>2.46</v>
      </c>
      <c r="M4304" s="787">
        <v>10</v>
      </c>
      <c r="N4304" s="787">
        <v>3.14</v>
      </c>
      <c r="O4304" s="788">
        <v>42087</v>
      </c>
    </row>
    <row r="4305" spans="1:15" x14ac:dyDescent="0.25">
      <c r="A4305" s="786" t="s">
        <v>8392</v>
      </c>
      <c r="B4305" s="787">
        <v>4</v>
      </c>
      <c r="C4305" s="787" t="s">
        <v>8393</v>
      </c>
      <c r="D4305" s="787">
        <v>4.18</v>
      </c>
      <c r="E4305" s="787">
        <v>4.18</v>
      </c>
      <c r="F4305" s="788">
        <v>37636</v>
      </c>
      <c r="G4305" s="788">
        <v>37636</v>
      </c>
      <c r="H4305" s="787">
        <v>1</v>
      </c>
      <c r="I4305" s="788">
        <v>38133</v>
      </c>
      <c r="J4305" s="788">
        <v>37636</v>
      </c>
      <c r="L4305" s="787">
        <v>2.46</v>
      </c>
      <c r="M4305" s="787">
        <v>10</v>
      </c>
      <c r="N4305" s="787">
        <v>3.14</v>
      </c>
      <c r="O4305" s="788">
        <v>42087</v>
      </c>
    </row>
    <row r="4306" spans="1:15" x14ac:dyDescent="0.25">
      <c r="A4306" s="786" t="s">
        <v>8394</v>
      </c>
      <c r="B4306" s="787">
        <v>4</v>
      </c>
      <c r="C4306" s="787" t="s">
        <v>8395</v>
      </c>
      <c r="D4306" s="787">
        <v>2.81</v>
      </c>
      <c r="E4306" s="787">
        <v>2.81</v>
      </c>
      <c r="F4306" s="788">
        <v>37636</v>
      </c>
      <c r="G4306" s="788">
        <v>37636</v>
      </c>
      <c r="H4306" s="787">
        <v>1</v>
      </c>
      <c r="I4306" s="788">
        <v>38133</v>
      </c>
      <c r="J4306" s="788">
        <v>37636</v>
      </c>
      <c r="L4306" s="787">
        <v>3.06</v>
      </c>
      <c r="M4306" s="787">
        <v>20</v>
      </c>
      <c r="N4306" s="787">
        <v>3.29</v>
      </c>
      <c r="O4306" s="788">
        <v>42082</v>
      </c>
    </row>
    <row r="4307" spans="1:15" x14ac:dyDescent="0.25">
      <c r="A4307" s="786" t="s">
        <v>8396</v>
      </c>
      <c r="B4307" s="787">
        <v>4</v>
      </c>
      <c r="C4307" s="787" t="s">
        <v>8241</v>
      </c>
      <c r="D4307" s="787">
        <v>6.41</v>
      </c>
      <c r="E4307" s="787">
        <v>6.41</v>
      </c>
      <c r="F4307" s="788">
        <v>39974</v>
      </c>
      <c r="G4307" s="788">
        <v>41493</v>
      </c>
      <c r="H4307" s="787">
        <v>6</v>
      </c>
      <c r="I4307" s="788">
        <v>41493</v>
      </c>
      <c r="J4307" s="788">
        <v>41493</v>
      </c>
      <c r="K4307" s="788">
        <v>41869</v>
      </c>
      <c r="L4307" s="787">
        <v>6.41</v>
      </c>
      <c r="M4307" s="787">
        <v>20</v>
      </c>
      <c r="N4307" s="787">
        <v>6.89</v>
      </c>
      <c r="O4307" s="788">
        <v>41806</v>
      </c>
    </row>
    <row r="4308" spans="1:15" x14ac:dyDescent="0.25">
      <c r="A4308" s="786" t="s">
        <v>8397</v>
      </c>
      <c r="B4308" s="787">
        <v>4</v>
      </c>
      <c r="C4308" s="787" t="s">
        <v>8243</v>
      </c>
      <c r="D4308" s="787">
        <v>0.82</v>
      </c>
      <c r="E4308" s="787">
        <v>10.82</v>
      </c>
      <c r="F4308" s="788">
        <v>39101</v>
      </c>
      <c r="G4308" s="788">
        <v>41493</v>
      </c>
      <c r="H4308" s="787">
        <v>6</v>
      </c>
      <c r="I4308" s="788">
        <v>41493</v>
      </c>
      <c r="J4308" s="788">
        <v>41493</v>
      </c>
      <c r="L4308" s="787">
        <v>14.34</v>
      </c>
      <c r="M4308" s="787">
        <v>20</v>
      </c>
      <c r="N4308" s="787">
        <v>11.63</v>
      </c>
      <c r="O4308" s="788">
        <v>41788</v>
      </c>
    </row>
    <row r="4309" spans="1:15" x14ac:dyDescent="0.25">
      <c r="A4309" s="786" t="s">
        <v>8398</v>
      </c>
      <c r="B4309" s="787">
        <v>4</v>
      </c>
      <c r="C4309" s="787" t="s">
        <v>8243</v>
      </c>
      <c r="D4309" s="787">
        <v>6.53</v>
      </c>
      <c r="E4309" s="787">
        <v>19.079999999999998</v>
      </c>
      <c r="F4309" s="788">
        <v>39101</v>
      </c>
      <c r="G4309" s="788">
        <v>40074</v>
      </c>
      <c r="H4309" s="787">
        <v>5</v>
      </c>
      <c r="I4309" s="788">
        <v>40102</v>
      </c>
      <c r="J4309" s="788">
        <v>40077</v>
      </c>
      <c r="L4309" s="787">
        <v>24.17</v>
      </c>
      <c r="M4309" s="787">
        <v>20</v>
      </c>
      <c r="N4309" s="787">
        <v>25.98</v>
      </c>
      <c r="O4309" s="788">
        <v>42150</v>
      </c>
    </row>
    <row r="4310" spans="1:15" x14ac:dyDescent="0.25">
      <c r="A4310" s="786" t="s">
        <v>8399</v>
      </c>
      <c r="B4310" s="787">
        <v>4</v>
      </c>
      <c r="C4310" s="787" t="s">
        <v>8241</v>
      </c>
      <c r="D4310" s="787">
        <v>0</v>
      </c>
      <c r="E4310" s="787">
        <v>0</v>
      </c>
      <c r="H4310" s="787">
        <v>1</v>
      </c>
      <c r="J4310" s="788">
        <v>37636</v>
      </c>
      <c r="L4310" s="787">
        <v>0</v>
      </c>
      <c r="M4310" s="787">
        <v>20</v>
      </c>
      <c r="N4310" s="787">
        <v>0</v>
      </c>
      <c r="O4310" s="788">
        <v>40824</v>
      </c>
    </row>
    <row r="4311" spans="1:15" x14ac:dyDescent="0.25">
      <c r="A4311" s="786" t="s">
        <v>8400</v>
      </c>
      <c r="B4311" s="787">
        <v>4</v>
      </c>
      <c r="C4311" s="787" t="s">
        <v>8401</v>
      </c>
      <c r="D4311" s="787">
        <v>0</v>
      </c>
      <c r="E4311" s="787">
        <v>0</v>
      </c>
      <c r="H4311" s="787">
        <v>1</v>
      </c>
      <c r="J4311" s="788">
        <v>37636</v>
      </c>
      <c r="L4311" s="787">
        <v>0</v>
      </c>
      <c r="M4311" s="787">
        <v>20</v>
      </c>
      <c r="N4311" s="787">
        <v>0</v>
      </c>
      <c r="O4311" s="788">
        <v>40824</v>
      </c>
    </row>
    <row r="4312" spans="1:15" x14ac:dyDescent="0.25">
      <c r="A4312" s="786" t="s">
        <v>8402</v>
      </c>
      <c r="B4312" s="787">
        <v>4</v>
      </c>
      <c r="C4312" s="787" t="s">
        <v>8346</v>
      </c>
      <c r="D4312" s="787">
        <v>1.47</v>
      </c>
      <c r="E4312" s="787">
        <v>1.47</v>
      </c>
      <c r="F4312" s="788">
        <v>37636</v>
      </c>
      <c r="G4312" s="788">
        <v>37636</v>
      </c>
      <c r="H4312" s="787">
        <v>1</v>
      </c>
      <c r="J4312" s="788">
        <v>37636</v>
      </c>
      <c r="L4312" s="787">
        <v>0.69</v>
      </c>
      <c r="M4312" s="787">
        <v>10</v>
      </c>
      <c r="N4312" s="787">
        <v>1.88</v>
      </c>
      <c r="O4312" s="788">
        <v>41858</v>
      </c>
    </row>
    <row r="4313" spans="1:15" x14ac:dyDescent="0.25">
      <c r="A4313" s="786" t="s">
        <v>8403</v>
      </c>
      <c r="B4313" s="787">
        <v>4</v>
      </c>
      <c r="C4313" s="787" t="s">
        <v>8404</v>
      </c>
      <c r="D4313" s="787">
        <v>2.71</v>
      </c>
      <c r="E4313" s="787">
        <v>2.71</v>
      </c>
      <c r="F4313" s="788">
        <v>39101</v>
      </c>
      <c r="G4313" s="788">
        <v>42017</v>
      </c>
      <c r="H4313" s="787">
        <v>1</v>
      </c>
      <c r="I4313" s="788">
        <v>39134</v>
      </c>
      <c r="J4313" s="788">
        <v>39149</v>
      </c>
      <c r="L4313" s="787">
        <v>4.3499999999999996</v>
      </c>
      <c r="M4313" s="787">
        <v>10</v>
      </c>
      <c r="N4313" s="787">
        <v>0</v>
      </c>
      <c r="O4313" s="788">
        <v>40824</v>
      </c>
    </row>
    <row r="4314" spans="1:15" x14ac:dyDescent="0.25">
      <c r="A4314" s="786" t="s">
        <v>8405</v>
      </c>
      <c r="B4314" s="787">
        <v>4</v>
      </c>
      <c r="C4314" s="787" t="s">
        <v>8406</v>
      </c>
      <c r="D4314" s="787">
        <v>1.42</v>
      </c>
      <c r="E4314" s="787">
        <v>3.98</v>
      </c>
      <c r="F4314" s="788">
        <v>39101</v>
      </c>
      <c r="G4314" s="788">
        <v>42013</v>
      </c>
      <c r="H4314" s="787">
        <v>1</v>
      </c>
      <c r="I4314" s="788">
        <v>42157</v>
      </c>
      <c r="J4314" s="788">
        <v>41408</v>
      </c>
      <c r="L4314" s="787">
        <v>1.24</v>
      </c>
      <c r="M4314" s="787">
        <v>10</v>
      </c>
      <c r="N4314" s="787">
        <v>2.19</v>
      </c>
      <c r="O4314" s="788">
        <v>42115</v>
      </c>
    </row>
    <row r="4315" spans="1:15" x14ac:dyDescent="0.25">
      <c r="A4315" s="786" t="s">
        <v>8407</v>
      </c>
      <c r="B4315" s="787">
        <v>4</v>
      </c>
      <c r="C4315" s="787" t="s">
        <v>8408</v>
      </c>
      <c r="D4315" s="787">
        <v>2.78</v>
      </c>
      <c r="E4315" s="787">
        <v>12.78</v>
      </c>
      <c r="F4315" s="788">
        <v>37636</v>
      </c>
      <c r="G4315" s="788">
        <v>37886</v>
      </c>
      <c r="H4315" s="787">
        <v>1</v>
      </c>
      <c r="J4315" s="788">
        <v>37886</v>
      </c>
      <c r="L4315" s="787">
        <v>12.78</v>
      </c>
      <c r="M4315" s="787">
        <v>10</v>
      </c>
      <c r="N4315" s="787">
        <v>0</v>
      </c>
      <c r="O4315" s="788">
        <v>41858</v>
      </c>
    </row>
    <row r="4316" spans="1:15" x14ac:dyDescent="0.25">
      <c r="A4316" s="786" t="s">
        <v>8409</v>
      </c>
      <c r="B4316" s="787">
        <v>4</v>
      </c>
      <c r="C4316" s="787" t="s">
        <v>8410</v>
      </c>
      <c r="D4316" s="787">
        <v>0</v>
      </c>
      <c r="E4316" s="787">
        <v>0</v>
      </c>
      <c r="G4316" s="788">
        <v>41922</v>
      </c>
      <c r="H4316" s="787">
        <v>1</v>
      </c>
      <c r="I4316" s="788">
        <v>42027</v>
      </c>
      <c r="J4316" s="788">
        <v>42031</v>
      </c>
      <c r="L4316" s="787">
        <v>11.05</v>
      </c>
      <c r="M4316" s="787">
        <v>10</v>
      </c>
      <c r="N4316" s="787">
        <v>14.46</v>
      </c>
      <c r="O4316" s="788">
        <v>41858</v>
      </c>
    </row>
    <row r="4317" spans="1:15" x14ac:dyDescent="0.25">
      <c r="A4317" s="786" t="s">
        <v>8411</v>
      </c>
      <c r="B4317" s="787">
        <v>4</v>
      </c>
      <c r="C4317" s="787" t="s">
        <v>8412</v>
      </c>
      <c r="D4317" s="787">
        <v>0</v>
      </c>
      <c r="E4317" s="787">
        <v>0</v>
      </c>
      <c r="G4317" s="788">
        <v>41948</v>
      </c>
      <c r="H4317" s="787">
        <v>1</v>
      </c>
      <c r="I4317" s="788">
        <v>42027</v>
      </c>
      <c r="J4317" s="788">
        <v>42031</v>
      </c>
      <c r="L4317" s="787">
        <v>7.04</v>
      </c>
      <c r="M4317" s="787">
        <v>10</v>
      </c>
      <c r="N4317" s="787">
        <v>9.2899999999999991</v>
      </c>
      <c r="O4317" s="788">
        <v>42087</v>
      </c>
    </row>
    <row r="4318" spans="1:15" x14ac:dyDescent="0.25">
      <c r="A4318" s="786" t="s">
        <v>8413</v>
      </c>
      <c r="B4318" s="787">
        <v>4</v>
      </c>
      <c r="C4318" s="787" t="s">
        <v>8414</v>
      </c>
      <c r="D4318" s="787">
        <v>4.9400000000000004</v>
      </c>
      <c r="E4318" s="787">
        <v>164.94</v>
      </c>
      <c r="F4318" s="788">
        <v>37636</v>
      </c>
      <c r="G4318" s="788">
        <v>37636</v>
      </c>
      <c r="H4318" s="787">
        <v>1</v>
      </c>
      <c r="J4318" s="788">
        <v>37636</v>
      </c>
      <c r="L4318" s="787">
        <v>179.78</v>
      </c>
      <c r="M4318" s="787">
        <v>20</v>
      </c>
      <c r="N4318" s="787">
        <v>193.26</v>
      </c>
      <c r="O4318" s="788">
        <v>41858</v>
      </c>
    </row>
    <row r="4319" spans="1:15" x14ac:dyDescent="0.25">
      <c r="A4319" s="786" t="s">
        <v>8415</v>
      </c>
      <c r="B4319" s="787">
        <v>4</v>
      </c>
      <c r="C4319" s="787" t="s">
        <v>8416</v>
      </c>
      <c r="D4319" s="787">
        <v>5.15</v>
      </c>
      <c r="E4319" s="787">
        <v>165.15</v>
      </c>
      <c r="F4319" s="788">
        <v>37636</v>
      </c>
      <c r="G4319" s="788">
        <v>37636</v>
      </c>
      <c r="H4319" s="787">
        <v>1</v>
      </c>
      <c r="J4319" s="788">
        <v>37636</v>
      </c>
      <c r="L4319" s="787">
        <v>180.01</v>
      </c>
      <c r="M4319" s="787">
        <v>20</v>
      </c>
      <c r="N4319" s="787">
        <v>193.51</v>
      </c>
      <c r="O4319" s="788">
        <v>41858</v>
      </c>
    </row>
    <row r="4320" spans="1:15" x14ac:dyDescent="0.25">
      <c r="A4320" s="786" t="s">
        <v>8417</v>
      </c>
      <c r="B4320" s="787">
        <v>4</v>
      </c>
      <c r="C4320" s="787" t="s">
        <v>8418</v>
      </c>
      <c r="D4320" s="787">
        <v>0</v>
      </c>
      <c r="E4320" s="787">
        <v>0</v>
      </c>
      <c r="H4320" s="787">
        <v>1</v>
      </c>
      <c r="I4320" s="788">
        <v>41015</v>
      </c>
      <c r="J4320" s="788">
        <v>39101</v>
      </c>
      <c r="L4320" s="787">
        <v>0</v>
      </c>
      <c r="M4320" s="787">
        <v>10</v>
      </c>
      <c r="N4320" s="787">
        <v>7.98</v>
      </c>
      <c r="O4320" s="788">
        <v>42087</v>
      </c>
    </row>
    <row r="4321" spans="1:15" x14ac:dyDescent="0.25">
      <c r="A4321" s="786" t="s">
        <v>8419</v>
      </c>
      <c r="B4321" s="787">
        <v>4</v>
      </c>
      <c r="C4321" s="787" t="s">
        <v>8420</v>
      </c>
      <c r="D4321" s="787">
        <v>0</v>
      </c>
      <c r="E4321" s="787">
        <v>0</v>
      </c>
      <c r="H4321" s="787">
        <v>1</v>
      </c>
      <c r="I4321" s="788">
        <v>41015</v>
      </c>
      <c r="J4321" s="788">
        <v>39101</v>
      </c>
      <c r="L4321" s="787">
        <v>0</v>
      </c>
      <c r="M4321" s="787">
        <v>10</v>
      </c>
      <c r="N4321" s="787">
        <v>7.28</v>
      </c>
      <c r="O4321" s="788">
        <v>42087</v>
      </c>
    </row>
    <row r="4322" spans="1:15" x14ac:dyDescent="0.25">
      <c r="A4322" s="786" t="s">
        <v>8421</v>
      </c>
      <c r="B4322" s="787">
        <v>4</v>
      </c>
      <c r="C4322" s="787" t="s">
        <v>8422</v>
      </c>
      <c r="D4322" s="787">
        <v>2.71</v>
      </c>
      <c r="E4322" s="787">
        <v>2.71</v>
      </c>
      <c r="F4322" s="788">
        <v>37636</v>
      </c>
      <c r="G4322" s="788">
        <v>37636</v>
      </c>
      <c r="H4322" s="787">
        <v>1</v>
      </c>
      <c r="I4322" s="788">
        <v>37162</v>
      </c>
      <c r="J4322" s="788">
        <v>37636</v>
      </c>
      <c r="L4322" s="787">
        <v>2.95</v>
      </c>
      <c r="M4322" s="787">
        <v>20</v>
      </c>
      <c r="N4322" s="787">
        <v>3.17</v>
      </c>
      <c r="O4322" s="788">
        <v>41858</v>
      </c>
    </row>
    <row r="4323" spans="1:15" x14ac:dyDescent="0.25">
      <c r="A4323" s="786" t="s">
        <v>8423</v>
      </c>
      <c r="B4323" s="787">
        <v>4</v>
      </c>
      <c r="C4323" s="787" t="s">
        <v>8424</v>
      </c>
      <c r="D4323" s="787">
        <v>2.71</v>
      </c>
      <c r="E4323" s="787">
        <v>2.71</v>
      </c>
      <c r="F4323" s="788">
        <v>37636</v>
      </c>
      <c r="G4323" s="788">
        <v>37636</v>
      </c>
      <c r="H4323" s="787">
        <v>1</v>
      </c>
      <c r="J4323" s="788">
        <v>37636</v>
      </c>
      <c r="L4323" s="787">
        <v>2.95</v>
      </c>
      <c r="M4323" s="787">
        <v>20</v>
      </c>
      <c r="N4323" s="787">
        <v>3.17</v>
      </c>
      <c r="O4323" s="788">
        <v>41858</v>
      </c>
    </row>
    <row r="4324" spans="1:15" x14ac:dyDescent="0.25">
      <c r="A4324" s="786" t="s">
        <v>8425</v>
      </c>
      <c r="B4324" s="787">
        <v>4</v>
      </c>
      <c r="C4324" s="787" t="s">
        <v>8426</v>
      </c>
      <c r="D4324" s="787">
        <v>0</v>
      </c>
      <c r="E4324" s="787">
        <v>0</v>
      </c>
      <c r="H4324" s="787">
        <v>1</v>
      </c>
      <c r="I4324" s="788">
        <v>38631</v>
      </c>
      <c r="J4324" s="788">
        <v>37636</v>
      </c>
      <c r="L4324" s="787">
        <v>0</v>
      </c>
      <c r="M4324" s="787">
        <v>20</v>
      </c>
      <c r="N4324" s="787">
        <v>0</v>
      </c>
      <c r="O4324" s="788">
        <v>40824</v>
      </c>
    </row>
    <row r="4325" spans="1:15" x14ac:dyDescent="0.25">
      <c r="A4325" s="786" t="s">
        <v>8427</v>
      </c>
      <c r="B4325" s="787">
        <v>4</v>
      </c>
      <c r="C4325" s="787" t="s">
        <v>8428</v>
      </c>
      <c r="D4325" s="787">
        <v>1.56</v>
      </c>
      <c r="E4325" s="787">
        <v>1.56</v>
      </c>
      <c r="F4325" s="788">
        <v>37636</v>
      </c>
      <c r="G4325" s="788">
        <v>37636</v>
      </c>
      <c r="H4325" s="787">
        <v>1</v>
      </c>
      <c r="I4325" s="788">
        <v>37481</v>
      </c>
      <c r="J4325" s="788">
        <v>37636</v>
      </c>
      <c r="L4325" s="787">
        <v>1.7</v>
      </c>
      <c r="M4325" s="787">
        <v>20</v>
      </c>
      <c r="N4325" s="787">
        <v>1.83</v>
      </c>
      <c r="O4325" s="788">
        <v>41858</v>
      </c>
    </row>
    <row r="4326" spans="1:15" x14ac:dyDescent="0.25">
      <c r="A4326" s="786" t="s">
        <v>8429</v>
      </c>
      <c r="B4326" s="787">
        <v>4</v>
      </c>
      <c r="C4326" s="787" t="s">
        <v>8430</v>
      </c>
      <c r="D4326" s="787">
        <v>0.82</v>
      </c>
      <c r="E4326" s="787">
        <v>0.82</v>
      </c>
      <c r="F4326" s="788">
        <v>37636</v>
      </c>
      <c r="G4326" s="788">
        <v>37636</v>
      </c>
      <c r="H4326" s="787">
        <v>1</v>
      </c>
      <c r="I4326" s="788">
        <v>40032</v>
      </c>
      <c r="J4326" s="788">
        <v>37636</v>
      </c>
      <c r="L4326" s="787">
        <v>0.82</v>
      </c>
      <c r="M4326" s="787">
        <v>10</v>
      </c>
      <c r="N4326" s="787">
        <v>0</v>
      </c>
      <c r="O4326" s="788">
        <v>42127</v>
      </c>
    </row>
    <row r="4327" spans="1:15" x14ac:dyDescent="0.25">
      <c r="A4327" s="786" t="s">
        <v>8431</v>
      </c>
      <c r="B4327" s="787">
        <v>4</v>
      </c>
      <c r="C4327" s="787" t="s">
        <v>8432</v>
      </c>
      <c r="D4327" s="787">
        <v>5.5</v>
      </c>
      <c r="E4327" s="787">
        <v>5.5</v>
      </c>
      <c r="F4327" s="788">
        <v>37636</v>
      </c>
      <c r="G4327" s="788">
        <v>37636</v>
      </c>
      <c r="H4327" s="787">
        <v>1</v>
      </c>
      <c r="I4327" s="788">
        <v>37736</v>
      </c>
      <c r="J4327" s="788">
        <v>37636</v>
      </c>
      <c r="L4327" s="787">
        <v>5.5</v>
      </c>
      <c r="M4327" s="787">
        <v>10</v>
      </c>
      <c r="N4327" s="787">
        <v>0</v>
      </c>
      <c r="O4327" s="788">
        <v>41858</v>
      </c>
    </row>
    <row r="4328" spans="1:15" x14ac:dyDescent="0.25">
      <c r="A4328" s="786" t="s">
        <v>8433</v>
      </c>
      <c r="B4328" s="787">
        <v>4</v>
      </c>
      <c r="C4328" s="787" t="s">
        <v>8434</v>
      </c>
      <c r="D4328" s="787">
        <v>3.02</v>
      </c>
      <c r="E4328" s="787">
        <v>3.02</v>
      </c>
      <c r="F4328" s="788">
        <v>37636</v>
      </c>
      <c r="G4328" s="788">
        <v>37636</v>
      </c>
      <c r="H4328" s="787">
        <v>1</v>
      </c>
      <c r="I4328" s="788">
        <v>40032</v>
      </c>
      <c r="J4328" s="788">
        <v>37636</v>
      </c>
      <c r="L4328" s="787">
        <v>3.02</v>
      </c>
      <c r="M4328" s="787">
        <v>10</v>
      </c>
      <c r="N4328" s="787">
        <v>0</v>
      </c>
      <c r="O4328" s="788">
        <v>42127</v>
      </c>
    </row>
    <row r="4329" spans="1:15" x14ac:dyDescent="0.25">
      <c r="A4329" s="786" t="s">
        <v>8435</v>
      </c>
      <c r="B4329" s="787">
        <v>4</v>
      </c>
      <c r="C4329" s="787" t="s">
        <v>8436</v>
      </c>
      <c r="D4329" s="787">
        <v>5.75</v>
      </c>
      <c r="E4329" s="787">
        <v>5.75</v>
      </c>
      <c r="F4329" s="788">
        <v>37636</v>
      </c>
      <c r="G4329" s="788">
        <v>37636</v>
      </c>
      <c r="H4329" s="787">
        <v>1</v>
      </c>
      <c r="I4329" s="788">
        <v>40032</v>
      </c>
      <c r="J4329" s="788">
        <v>37636</v>
      </c>
      <c r="L4329" s="787">
        <v>5.75</v>
      </c>
      <c r="M4329" s="787">
        <v>10</v>
      </c>
      <c r="N4329" s="787">
        <v>0</v>
      </c>
      <c r="O4329" s="788">
        <v>42127</v>
      </c>
    </row>
    <row r="4330" spans="1:15" x14ac:dyDescent="0.25">
      <c r="A4330" s="786" t="s">
        <v>8437</v>
      </c>
      <c r="B4330" s="787">
        <v>4</v>
      </c>
      <c r="C4330" s="787" t="s">
        <v>8438</v>
      </c>
      <c r="D4330" s="787">
        <v>3.58</v>
      </c>
      <c r="E4330" s="787">
        <v>3.58</v>
      </c>
      <c r="F4330" s="788">
        <v>37636</v>
      </c>
      <c r="G4330" s="788">
        <v>37636</v>
      </c>
      <c r="H4330" s="787">
        <v>1</v>
      </c>
      <c r="I4330" s="788">
        <v>37736</v>
      </c>
      <c r="J4330" s="788">
        <v>37636</v>
      </c>
      <c r="L4330" s="787">
        <v>3.58</v>
      </c>
      <c r="M4330" s="787">
        <v>10</v>
      </c>
      <c r="N4330" s="787">
        <v>0</v>
      </c>
      <c r="O4330" s="788">
        <v>41858</v>
      </c>
    </row>
    <row r="4331" spans="1:15" x14ac:dyDescent="0.25">
      <c r="A4331" s="786" t="s">
        <v>8439</v>
      </c>
      <c r="B4331" s="787">
        <v>4</v>
      </c>
      <c r="C4331" s="787" t="s">
        <v>8438</v>
      </c>
      <c r="D4331" s="787">
        <v>6.64</v>
      </c>
      <c r="E4331" s="787">
        <v>6.64</v>
      </c>
      <c r="F4331" s="788">
        <v>37636</v>
      </c>
      <c r="G4331" s="788">
        <v>37636</v>
      </c>
      <c r="H4331" s="787">
        <v>1</v>
      </c>
      <c r="I4331" s="788">
        <v>37736</v>
      </c>
      <c r="J4331" s="788">
        <v>37636</v>
      </c>
      <c r="L4331" s="787">
        <v>8.69</v>
      </c>
      <c r="M4331" s="787">
        <v>20</v>
      </c>
      <c r="N4331" s="787">
        <v>11.21</v>
      </c>
      <c r="O4331" s="788">
        <v>42127</v>
      </c>
    </row>
    <row r="4332" spans="1:15" x14ac:dyDescent="0.25">
      <c r="A4332" s="786" t="s">
        <v>8440</v>
      </c>
      <c r="B4332" s="787">
        <v>4</v>
      </c>
      <c r="C4332" s="787" t="s">
        <v>8441</v>
      </c>
      <c r="D4332" s="787">
        <v>0.36</v>
      </c>
      <c r="E4332" s="787">
        <v>5.21</v>
      </c>
      <c r="F4332" s="788">
        <v>41775</v>
      </c>
      <c r="G4332" s="788">
        <v>42165</v>
      </c>
      <c r="H4332" s="787">
        <v>1</v>
      </c>
      <c r="I4332" s="788">
        <v>42157</v>
      </c>
      <c r="J4332" s="788">
        <v>42131</v>
      </c>
      <c r="L4332" s="787">
        <v>8.17</v>
      </c>
      <c r="M4332" s="787">
        <v>10</v>
      </c>
      <c r="N4332" s="787">
        <v>4.21</v>
      </c>
      <c r="O4332" s="788">
        <v>42156</v>
      </c>
    </row>
    <row r="4333" spans="1:15" x14ac:dyDescent="0.25">
      <c r="A4333" s="786" t="s">
        <v>8442</v>
      </c>
      <c r="B4333" s="787">
        <v>4</v>
      </c>
      <c r="C4333" s="787" t="s">
        <v>8443</v>
      </c>
      <c r="D4333" s="787">
        <v>0.41</v>
      </c>
      <c r="E4333" s="787">
        <v>0.66</v>
      </c>
      <c r="F4333" s="788">
        <v>41613</v>
      </c>
      <c r="G4333" s="788">
        <v>41943</v>
      </c>
      <c r="H4333" s="787">
        <v>1</v>
      </c>
      <c r="I4333" s="788">
        <v>42153</v>
      </c>
      <c r="J4333" s="788">
        <v>41677</v>
      </c>
      <c r="L4333" s="787">
        <v>0.62</v>
      </c>
      <c r="M4333" s="787">
        <v>10</v>
      </c>
      <c r="N4333" s="787">
        <v>1.1299999999999999</v>
      </c>
      <c r="O4333" s="788">
        <v>42087</v>
      </c>
    </row>
    <row r="4334" spans="1:15" x14ac:dyDescent="0.25">
      <c r="A4334" s="786" t="s">
        <v>8444</v>
      </c>
      <c r="B4334" s="787">
        <v>4</v>
      </c>
      <c r="C4334" s="787" t="s">
        <v>8445</v>
      </c>
      <c r="D4334" s="787">
        <v>1.17</v>
      </c>
      <c r="E4334" s="787">
        <v>1.17</v>
      </c>
      <c r="F4334" s="788">
        <v>41907</v>
      </c>
      <c r="G4334" s="788">
        <v>42013</v>
      </c>
      <c r="H4334" s="787">
        <v>1</v>
      </c>
      <c r="I4334" s="788">
        <v>42166</v>
      </c>
      <c r="J4334" s="788">
        <v>41905</v>
      </c>
      <c r="K4334" s="788">
        <v>40634</v>
      </c>
      <c r="L4334" s="787">
        <v>1.39</v>
      </c>
      <c r="M4334" s="787">
        <v>20</v>
      </c>
      <c r="N4334" s="787">
        <v>1.49</v>
      </c>
      <c r="O4334" s="788">
        <v>42162</v>
      </c>
    </row>
    <row r="4335" spans="1:15" x14ac:dyDescent="0.25">
      <c r="A4335" s="786" t="s">
        <v>8446</v>
      </c>
      <c r="B4335" s="787">
        <v>4</v>
      </c>
      <c r="C4335" s="787" t="s">
        <v>8447</v>
      </c>
      <c r="D4335" s="787">
        <v>4.76</v>
      </c>
      <c r="E4335" s="787">
        <v>4.76</v>
      </c>
      <c r="F4335" s="788">
        <v>39101</v>
      </c>
      <c r="G4335" s="788">
        <v>39101</v>
      </c>
      <c r="H4335" s="787">
        <v>6</v>
      </c>
      <c r="I4335" s="788">
        <v>39899</v>
      </c>
      <c r="J4335" s="788">
        <v>41774</v>
      </c>
      <c r="L4335" s="787">
        <v>6.23</v>
      </c>
      <c r="M4335" s="787">
        <v>20</v>
      </c>
      <c r="N4335" s="787">
        <v>6.14</v>
      </c>
      <c r="O4335" s="788">
        <v>41822</v>
      </c>
    </row>
    <row r="4336" spans="1:15" x14ac:dyDescent="0.25">
      <c r="A4336" s="786" t="s">
        <v>8448</v>
      </c>
      <c r="B4336" s="787">
        <v>4</v>
      </c>
      <c r="C4336" s="787" t="s">
        <v>8449</v>
      </c>
      <c r="D4336" s="787">
        <v>0.72</v>
      </c>
      <c r="E4336" s="787">
        <v>10.72</v>
      </c>
      <c r="F4336" s="788">
        <v>39101</v>
      </c>
      <c r="G4336" s="788">
        <v>39101</v>
      </c>
      <c r="H4336" s="787">
        <v>6</v>
      </c>
      <c r="I4336" s="788">
        <v>38787</v>
      </c>
      <c r="J4336" s="788">
        <v>39101</v>
      </c>
      <c r="L4336" s="787">
        <v>14.02</v>
      </c>
      <c r="M4336" s="787">
        <v>20</v>
      </c>
      <c r="N4336" s="787">
        <v>13.83</v>
      </c>
      <c r="O4336" s="788">
        <v>41822</v>
      </c>
    </row>
    <row r="4337" spans="1:15" x14ac:dyDescent="0.25">
      <c r="A4337" s="786" t="s">
        <v>8450</v>
      </c>
      <c r="B4337" s="787">
        <v>4</v>
      </c>
      <c r="C4337" s="787" t="s">
        <v>8449</v>
      </c>
      <c r="D4337" s="787">
        <v>6.08</v>
      </c>
      <c r="E4337" s="787">
        <v>16.079999999999998</v>
      </c>
      <c r="F4337" s="788">
        <v>39101</v>
      </c>
      <c r="G4337" s="788">
        <v>39101</v>
      </c>
      <c r="H4337" s="787">
        <v>6</v>
      </c>
      <c r="I4337" s="788">
        <v>39899</v>
      </c>
      <c r="J4337" s="788">
        <v>41774</v>
      </c>
      <c r="L4337" s="787">
        <v>21.03</v>
      </c>
      <c r="M4337" s="787">
        <v>20</v>
      </c>
      <c r="N4337" s="787">
        <v>20.74</v>
      </c>
      <c r="O4337" s="788">
        <v>41822</v>
      </c>
    </row>
    <row r="4338" spans="1:15" x14ac:dyDescent="0.25">
      <c r="A4338" s="786" t="s">
        <v>8451</v>
      </c>
      <c r="B4338" s="787">
        <v>4</v>
      </c>
      <c r="C4338" s="787" t="s">
        <v>8452</v>
      </c>
      <c r="D4338" s="787">
        <v>8.34</v>
      </c>
      <c r="E4338" s="787">
        <v>8.34</v>
      </c>
      <c r="F4338" s="788">
        <v>37636</v>
      </c>
      <c r="G4338" s="788">
        <v>37636</v>
      </c>
      <c r="H4338" s="787">
        <v>1</v>
      </c>
      <c r="I4338" s="788">
        <v>39755</v>
      </c>
      <c r="J4338" s="788">
        <v>37636</v>
      </c>
      <c r="L4338" s="787">
        <v>10.18</v>
      </c>
      <c r="M4338" s="787">
        <v>20</v>
      </c>
      <c r="N4338" s="787">
        <v>12.26</v>
      </c>
      <c r="O4338" s="788">
        <v>41858</v>
      </c>
    </row>
    <row r="4339" spans="1:15" x14ac:dyDescent="0.25">
      <c r="A4339" s="786" t="s">
        <v>8453</v>
      </c>
      <c r="B4339" s="787">
        <v>4</v>
      </c>
      <c r="C4339" s="787" t="s">
        <v>8454</v>
      </c>
      <c r="D4339" s="787">
        <v>0.08</v>
      </c>
      <c r="E4339" s="787">
        <v>0.08</v>
      </c>
      <c r="F4339" s="788">
        <v>41209</v>
      </c>
      <c r="G4339" s="788">
        <v>41943</v>
      </c>
      <c r="H4339" s="787">
        <v>1</v>
      </c>
      <c r="I4339" s="788">
        <v>40336</v>
      </c>
      <c r="J4339" s="788">
        <v>41152</v>
      </c>
      <c r="L4339" s="787">
        <v>0.15</v>
      </c>
      <c r="M4339" s="787">
        <v>10</v>
      </c>
      <c r="N4339" s="787">
        <v>0.19</v>
      </c>
      <c r="O4339" s="788">
        <v>41858</v>
      </c>
    </row>
    <row r="4340" spans="1:15" x14ac:dyDescent="0.25">
      <c r="A4340" s="786" t="s">
        <v>8455</v>
      </c>
      <c r="B4340" s="787">
        <v>4</v>
      </c>
      <c r="C4340" s="787" t="s">
        <v>8456</v>
      </c>
      <c r="D4340" s="787">
        <v>1.17</v>
      </c>
      <c r="E4340" s="787">
        <v>1.17</v>
      </c>
      <c r="F4340" s="788">
        <v>39101</v>
      </c>
      <c r="G4340" s="788">
        <v>41943</v>
      </c>
      <c r="H4340" s="787">
        <v>1</v>
      </c>
      <c r="I4340" s="788">
        <v>40256</v>
      </c>
      <c r="J4340" s="788">
        <v>39149</v>
      </c>
      <c r="L4340" s="787">
        <v>0.19</v>
      </c>
      <c r="M4340" s="787">
        <v>10</v>
      </c>
      <c r="N4340" s="787">
        <v>0.23</v>
      </c>
      <c r="O4340" s="788">
        <v>42087</v>
      </c>
    </row>
    <row r="4341" spans="1:15" x14ac:dyDescent="0.25">
      <c r="A4341" s="786" t="s">
        <v>8457</v>
      </c>
      <c r="B4341" s="787">
        <v>4</v>
      </c>
      <c r="C4341" s="787" t="s">
        <v>8458</v>
      </c>
      <c r="D4341" s="787">
        <v>3.11</v>
      </c>
      <c r="E4341" s="787">
        <v>3.11</v>
      </c>
      <c r="F4341" s="788">
        <v>37636</v>
      </c>
      <c r="G4341" s="788">
        <v>37636</v>
      </c>
      <c r="H4341" s="787">
        <v>1</v>
      </c>
      <c r="I4341" s="788">
        <v>37743</v>
      </c>
      <c r="J4341" s="788">
        <v>37636</v>
      </c>
      <c r="L4341" s="787">
        <v>3.39</v>
      </c>
      <c r="M4341" s="787">
        <v>20</v>
      </c>
      <c r="N4341" s="787">
        <v>3.64</v>
      </c>
      <c r="O4341" s="788">
        <v>41858</v>
      </c>
    </row>
    <row r="4342" spans="1:15" x14ac:dyDescent="0.25">
      <c r="A4342" s="786" t="s">
        <v>8459</v>
      </c>
      <c r="B4342" s="787">
        <v>4</v>
      </c>
      <c r="C4342" s="787" t="s">
        <v>8460</v>
      </c>
      <c r="D4342" s="787">
        <v>2.68</v>
      </c>
      <c r="E4342" s="787">
        <v>2.68</v>
      </c>
      <c r="F4342" s="788">
        <v>37636</v>
      </c>
      <c r="G4342" s="788">
        <v>37636</v>
      </c>
      <c r="H4342" s="787">
        <v>1</v>
      </c>
      <c r="I4342" s="788">
        <v>39454</v>
      </c>
      <c r="J4342" s="788">
        <v>37636</v>
      </c>
      <c r="L4342" s="787">
        <v>2.92</v>
      </c>
      <c r="M4342" s="787">
        <v>20</v>
      </c>
      <c r="N4342" s="787">
        <v>3.14</v>
      </c>
      <c r="O4342" s="788">
        <v>41858</v>
      </c>
    </row>
    <row r="4343" spans="1:15" x14ac:dyDescent="0.25">
      <c r="A4343" s="786" t="s">
        <v>8461</v>
      </c>
      <c r="B4343" s="787">
        <v>4</v>
      </c>
      <c r="C4343" s="787" t="s">
        <v>8462</v>
      </c>
      <c r="D4343" s="787">
        <v>0</v>
      </c>
      <c r="E4343" s="787">
        <v>0</v>
      </c>
      <c r="H4343" s="787">
        <v>1</v>
      </c>
      <c r="I4343" s="788">
        <v>37749</v>
      </c>
      <c r="J4343" s="788">
        <v>37636</v>
      </c>
      <c r="L4343" s="787">
        <v>7.44</v>
      </c>
      <c r="M4343" s="787">
        <v>20</v>
      </c>
      <c r="N4343" s="787">
        <v>8</v>
      </c>
      <c r="O4343" s="788">
        <v>41858</v>
      </c>
    </row>
    <row r="4344" spans="1:15" x14ac:dyDescent="0.25">
      <c r="A4344" s="786" t="s">
        <v>8463</v>
      </c>
      <c r="B4344" s="787">
        <v>4</v>
      </c>
      <c r="C4344" s="787" t="s">
        <v>8464</v>
      </c>
      <c r="D4344" s="787">
        <v>4.29</v>
      </c>
      <c r="E4344" s="787">
        <v>4.29</v>
      </c>
      <c r="F4344" s="788">
        <v>37636</v>
      </c>
      <c r="G4344" s="788">
        <v>41738</v>
      </c>
      <c r="H4344" s="787">
        <v>1</v>
      </c>
      <c r="I4344" s="788">
        <v>41732</v>
      </c>
      <c r="J4344" s="788">
        <v>41738</v>
      </c>
      <c r="L4344" s="787">
        <v>2.52</v>
      </c>
      <c r="M4344" s="787">
        <v>10</v>
      </c>
      <c r="N4344" s="787">
        <v>3.2</v>
      </c>
      <c r="O4344" s="788">
        <v>42087</v>
      </c>
    </row>
    <row r="4345" spans="1:15" x14ac:dyDescent="0.25">
      <c r="A4345" s="786" t="s">
        <v>8465</v>
      </c>
      <c r="B4345" s="787">
        <v>4</v>
      </c>
      <c r="C4345" s="787" t="s">
        <v>8466</v>
      </c>
      <c r="D4345" s="787">
        <v>3.06</v>
      </c>
      <c r="E4345" s="787">
        <v>3.06</v>
      </c>
      <c r="F4345" s="788">
        <v>37636</v>
      </c>
      <c r="G4345" s="788">
        <v>37636</v>
      </c>
      <c r="H4345" s="787">
        <v>1</v>
      </c>
      <c r="I4345" s="788">
        <v>41732</v>
      </c>
      <c r="J4345" s="788">
        <v>41738</v>
      </c>
      <c r="L4345" s="787">
        <v>3.34</v>
      </c>
      <c r="M4345" s="787">
        <v>20</v>
      </c>
      <c r="N4345" s="787">
        <v>3.59</v>
      </c>
      <c r="O4345" s="788">
        <v>42087</v>
      </c>
    </row>
    <row r="4346" spans="1:15" x14ac:dyDescent="0.25">
      <c r="A4346" s="786" t="s">
        <v>8467</v>
      </c>
      <c r="B4346" s="787">
        <v>4</v>
      </c>
      <c r="C4346" s="787" t="s">
        <v>8468</v>
      </c>
      <c r="D4346" s="787">
        <v>0.9</v>
      </c>
      <c r="E4346" s="787">
        <v>0.9</v>
      </c>
      <c r="F4346" s="788">
        <v>39101</v>
      </c>
      <c r="G4346" s="788">
        <v>41943</v>
      </c>
      <c r="H4346" s="787">
        <v>1</v>
      </c>
      <c r="I4346" s="788">
        <v>39134</v>
      </c>
      <c r="J4346" s="788">
        <v>40105</v>
      </c>
      <c r="L4346" s="787">
        <v>0.24</v>
      </c>
      <c r="M4346" s="787">
        <v>10</v>
      </c>
      <c r="N4346" s="787">
        <v>0.38</v>
      </c>
      <c r="O4346" s="788">
        <v>42087</v>
      </c>
    </row>
    <row r="4347" spans="1:15" x14ac:dyDescent="0.25">
      <c r="A4347" s="786" t="s">
        <v>8469</v>
      </c>
      <c r="B4347" s="787">
        <v>4</v>
      </c>
      <c r="C4347" s="787" t="s">
        <v>8470</v>
      </c>
      <c r="D4347" s="787">
        <v>0.99</v>
      </c>
      <c r="E4347" s="787">
        <v>0.99</v>
      </c>
      <c r="F4347" s="788">
        <v>39101</v>
      </c>
      <c r="G4347" s="788">
        <v>41255</v>
      </c>
      <c r="H4347" s="787">
        <v>1</v>
      </c>
      <c r="I4347" s="788">
        <v>39134</v>
      </c>
      <c r="J4347" s="788">
        <v>40105</v>
      </c>
      <c r="L4347" s="787">
        <v>0.48</v>
      </c>
      <c r="M4347" s="787">
        <v>10</v>
      </c>
      <c r="N4347" s="787">
        <v>0.81</v>
      </c>
      <c r="O4347" s="788">
        <v>42087</v>
      </c>
    </row>
    <row r="4348" spans="1:15" x14ac:dyDescent="0.25">
      <c r="A4348" s="786" t="s">
        <v>8471</v>
      </c>
      <c r="B4348" s="787">
        <v>4</v>
      </c>
      <c r="C4348" s="787" t="s">
        <v>8472</v>
      </c>
      <c r="D4348" s="787">
        <v>2.86</v>
      </c>
      <c r="E4348" s="787">
        <v>12.86</v>
      </c>
      <c r="F4348" s="788">
        <v>37636</v>
      </c>
      <c r="G4348" s="788">
        <v>37636</v>
      </c>
      <c r="H4348" s="787">
        <v>1</v>
      </c>
      <c r="J4348" s="788">
        <v>37636</v>
      </c>
      <c r="L4348" s="787">
        <v>12.86</v>
      </c>
      <c r="M4348" s="787">
        <v>10</v>
      </c>
      <c r="N4348" s="787">
        <v>0</v>
      </c>
      <c r="O4348" s="788">
        <v>41858</v>
      </c>
    </row>
    <row r="4349" spans="1:15" x14ac:dyDescent="0.25">
      <c r="A4349" s="786" t="s">
        <v>8473</v>
      </c>
      <c r="B4349" s="787">
        <v>4</v>
      </c>
      <c r="C4349" s="787" t="s">
        <v>8474</v>
      </c>
      <c r="D4349" s="787">
        <v>0.88</v>
      </c>
      <c r="E4349" s="787">
        <v>0.88</v>
      </c>
      <c r="F4349" s="788">
        <v>39101</v>
      </c>
      <c r="G4349" s="788">
        <v>41255</v>
      </c>
      <c r="H4349" s="787">
        <v>1</v>
      </c>
      <c r="I4349" s="788">
        <v>39134</v>
      </c>
      <c r="J4349" s="788">
        <v>40105</v>
      </c>
      <c r="L4349" s="787">
        <v>0.48</v>
      </c>
      <c r="M4349" s="787">
        <v>10</v>
      </c>
      <c r="N4349" s="787">
        <v>0.82</v>
      </c>
      <c r="O4349" s="788">
        <v>42087</v>
      </c>
    </row>
    <row r="4350" spans="1:15" x14ac:dyDescent="0.25">
      <c r="A4350" s="786" t="s">
        <v>8475</v>
      </c>
      <c r="B4350" s="787">
        <v>4</v>
      </c>
      <c r="C4350" s="787" t="s">
        <v>8476</v>
      </c>
      <c r="D4350" s="787">
        <v>0.48</v>
      </c>
      <c r="E4350" s="787">
        <v>0.48</v>
      </c>
      <c r="F4350" s="788">
        <v>37636</v>
      </c>
      <c r="G4350" s="788">
        <v>37636</v>
      </c>
      <c r="H4350" s="787">
        <v>1</v>
      </c>
      <c r="I4350" s="788">
        <v>37736</v>
      </c>
      <c r="J4350" s="788">
        <v>37636</v>
      </c>
      <c r="L4350" s="787">
        <v>0.28000000000000003</v>
      </c>
      <c r="M4350" s="787">
        <v>10</v>
      </c>
      <c r="N4350" s="787">
        <v>0.49</v>
      </c>
      <c r="O4350" s="788">
        <v>41869</v>
      </c>
    </row>
    <row r="4351" spans="1:15" x14ac:dyDescent="0.25">
      <c r="A4351" s="786" t="s">
        <v>8477</v>
      </c>
      <c r="B4351" s="787">
        <v>4</v>
      </c>
      <c r="C4351" s="787" t="s">
        <v>8478</v>
      </c>
      <c r="D4351" s="787">
        <v>7.93</v>
      </c>
      <c r="E4351" s="787">
        <v>7.93</v>
      </c>
      <c r="F4351" s="788">
        <v>37636</v>
      </c>
      <c r="G4351" s="788">
        <v>37636</v>
      </c>
      <c r="H4351" s="787">
        <v>1</v>
      </c>
      <c r="I4351" s="788">
        <v>37009</v>
      </c>
      <c r="J4351" s="788">
        <v>37636</v>
      </c>
      <c r="L4351" s="787">
        <v>7.93</v>
      </c>
      <c r="M4351" s="787">
        <v>10</v>
      </c>
      <c r="N4351" s="787">
        <v>0</v>
      </c>
      <c r="O4351" s="788">
        <v>41858</v>
      </c>
    </row>
    <row r="4352" spans="1:15" x14ac:dyDescent="0.25">
      <c r="A4352" s="786" t="s">
        <v>8479</v>
      </c>
      <c r="B4352" s="787">
        <v>4</v>
      </c>
      <c r="C4352" s="787" t="s">
        <v>8480</v>
      </c>
      <c r="D4352" s="787">
        <v>2.38</v>
      </c>
      <c r="E4352" s="787">
        <v>2.38</v>
      </c>
      <c r="F4352" s="788">
        <v>37636</v>
      </c>
      <c r="G4352" s="788">
        <v>37636</v>
      </c>
      <c r="H4352" s="787">
        <v>1</v>
      </c>
      <c r="J4352" s="788">
        <v>37636</v>
      </c>
      <c r="L4352" s="787">
        <v>1.41</v>
      </c>
      <c r="M4352" s="787">
        <v>10</v>
      </c>
      <c r="N4352" s="787">
        <v>2.46</v>
      </c>
      <c r="O4352" s="788">
        <v>41858</v>
      </c>
    </row>
    <row r="4353" spans="1:15" x14ac:dyDescent="0.25">
      <c r="A4353" s="786" t="s">
        <v>8481</v>
      </c>
      <c r="B4353" s="787">
        <v>4</v>
      </c>
      <c r="C4353" s="787" t="s">
        <v>8482</v>
      </c>
      <c r="D4353" s="787">
        <v>2.38</v>
      </c>
      <c r="E4353" s="787">
        <v>2.38</v>
      </c>
      <c r="F4353" s="788">
        <v>37636</v>
      </c>
      <c r="G4353" s="788">
        <v>37636</v>
      </c>
      <c r="H4353" s="787">
        <v>1</v>
      </c>
      <c r="I4353" s="788">
        <v>36978</v>
      </c>
      <c r="J4353" s="788">
        <v>37636</v>
      </c>
      <c r="L4353" s="787">
        <v>1.41</v>
      </c>
      <c r="M4353" s="787">
        <v>10</v>
      </c>
      <c r="N4353" s="787">
        <v>2.46</v>
      </c>
      <c r="O4353" s="788">
        <v>41858</v>
      </c>
    </row>
    <row r="4354" spans="1:15" x14ac:dyDescent="0.25">
      <c r="A4354" s="786" t="s">
        <v>8483</v>
      </c>
      <c r="B4354" s="787">
        <v>4</v>
      </c>
      <c r="C4354" s="787" t="s">
        <v>8484</v>
      </c>
      <c r="D4354" s="787">
        <v>2.38</v>
      </c>
      <c r="E4354" s="787">
        <v>2.38</v>
      </c>
      <c r="F4354" s="788">
        <v>37636</v>
      </c>
      <c r="G4354" s="788">
        <v>37636</v>
      </c>
      <c r="H4354" s="787">
        <v>1</v>
      </c>
      <c r="I4354" s="788">
        <v>41691</v>
      </c>
      <c r="J4354" s="788">
        <v>41694</v>
      </c>
      <c r="K4354" s="788">
        <v>41694</v>
      </c>
      <c r="L4354" s="787">
        <v>2.5</v>
      </c>
      <c r="M4354" s="787">
        <v>10</v>
      </c>
      <c r="N4354" s="787">
        <v>2.46</v>
      </c>
      <c r="O4354" s="788">
        <v>41858</v>
      </c>
    </row>
    <row r="4355" spans="1:15" x14ac:dyDescent="0.25">
      <c r="A4355" s="786" t="s">
        <v>8485</v>
      </c>
      <c r="B4355" s="787">
        <v>4</v>
      </c>
      <c r="C4355" s="787" t="s">
        <v>8486</v>
      </c>
      <c r="D4355" s="787">
        <v>2.38</v>
      </c>
      <c r="E4355" s="787">
        <v>2.38</v>
      </c>
      <c r="F4355" s="788">
        <v>37636</v>
      </c>
      <c r="G4355" s="788">
        <v>37636</v>
      </c>
      <c r="H4355" s="787">
        <v>1</v>
      </c>
      <c r="I4355" s="788">
        <v>37481</v>
      </c>
      <c r="J4355" s="788">
        <v>37636</v>
      </c>
      <c r="L4355" s="787">
        <v>1.41</v>
      </c>
      <c r="M4355" s="787">
        <v>10</v>
      </c>
      <c r="N4355" s="787">
        <v>2.46</v>
      </c>
      <c r="O4355" s="788">
        <v>41858</v>
      </c>
    </row>
    <row r="4356" spans="1:15" x14ac:dyDescent="0.25">
      <c r="A4356" s="786" t="s">
        <v>8487</v>
      </c>
      <c r="B4356" s="787">
        <v>4</v>
      </c>
      <c r="C4356" s="787" t="s">
        <v>8486</v>
      </c>
      <c r="D4356" s="787">
        <v>3.34</v>
      </c>
      <c r="E4356" s="787">
        <v>3.34</v>
      </c>
      <c r="F4356" s="788">
        <v>37636</v>
      </c>
      <c r="G4356" s="788">
        <v>37636</v>
      </c>
      <c r="H4356" s="787">
        <v>1</v>
      </c>
      <c r="I4356" s="788">
        <v>41961</v>
      </c>
      <c r="J4356" s="788">
        <v>41967</v>
      </c>
      <c r="L4356" s="787">
        <v>1.97</v>
      </c>
      <c r="M4356" s="787">
        <v>10</v>
      </c>
      <c r="N4356" s="787">
        <v>3.44</v>
      </c>
      <c r="O4356" s="788">
        <v>41858</v>
      </c>
    </row>
    <row r="4357" spans="1:15" x14ac:dyDescent="0.25">
      <c r="A4357" s="786" t="s">
        <v>8488</v>
      </c>
      <c r="B4357" s="787">
        <v>4</v>
      </c>
      <c r="C4357" s="787" t="s">
        <v>8489</v>
      </c>
      <c r="D4357" s="787">
        <v>3.34</v>
      </c>
      <c r="E4357" s="787">
        <v>3.34</v>
      </c>
      <c r="F4357" s="788">
        <v>37636</v>
      </c>
      <c r="G4357" s="788">
        <v>37636</v>
      </c>
      <c r="H4357" s="787">
        <v>1</v>
      </c>
      <c r="J4357" s="788">
        <v>37636</v>
      </c>
      <c r="L4357" s="787">
        <v>1.97</v>
      </c>
      <c r="M4357" s="787">
        <v>10</v>
      </c>
      <c r="N4357" s="787">
        <v>3.44</v>
      </c>
      <c r="O4357" s="788">
        <v>41858</v>
      </c>
    </row>
    <row r="4358" spans="1:15" x14ac:dyDescent="0.25">
      <c r="A4358" s="786" t="s">
        <v>8490</v>
      </c>
      <c r="B4358" s="787">
        <v>4</v>
      </c>
      <c r="C4358" s="787" t="s">
        <v>8241</v>
      </c>
      <c r="D4358" s="787">
        <v>3.6</v>
      </c>
      <c r="E4358" s="787">
        <v>3.6</v>
      </c>
      <c r="F4358" s="788">
        <v>37636</v>
      </c>
      <c r="G4358" s="788">
        <v>37636</v>
      </c>
      <c r="H4358" s="787">
        <v>1</v>
      </c>
      <c r="I4358" s="788">
        <v>41387</v>
      </c>
      <c r="J4358" s="788">
        <v>41411</v>
      </c>
      <c r="L4358" s="787">
        <v>3.92</v>
      </c>
      <c r="M4358" s="787">
        <v>20</v>
      </c>
      <c r="N4358" s="787">
        <v>4.21</v>
      </c>
      <c r="O4358" s="788">
        <v>41858</v>
      </c>
    </row>
    <row r="4359" spans="1:15" x14ac:dyDescent="0.25">
      <c r="A4359" s="786" t="s">
        <v>8491</v>
      </c>
      <c r="B4359" s="787">
        <v>4</v>
      </c>
      <c r="C4359" s="787" t="s">
        <v>8492</v>
      </c>
      <c r="D4359" s="787">
        <v>0</v>
      </c>
      <c r="E4359" s="787">
        <v>0</v>
      </c>
      <c r="H4359" s="787">
        <v>1</v>
      </c>
      <c r="I4359" s="788">
        <v>37749</v>
      </c>
      <c r="J4359" s="788">
        <v>37636</v>
      </c>
      <c r="L4359" s="787">
        <v>7.44</v>
      </c>
      <c r="M4359" s="787">
        <v>20</v>
      </c>
      <c r="N4359" s="787">
        <v>8</v>
      </c>
      <c r="O4359" s="788">
        <v>41858</v>
      </c>
    </row>
    <row r="4360" spans="1:15" x14ac:dyDescent="0.25">
      <c r="A4360" s="786" t="s">
        <v>8493</v>
      </c>
      <c r="B4360" s="787">
        <v>4</v>
      </c>
      <c r="C4360" s="787" t="s">
        <v>8494</v>
      </c>
      <c r="D4360" s="787">
        <v>0.48</v>
      </c>
      <c r="E4360" s="787">
        <v>0.48</v>
      </c>
      <c r="F4360" s="788">
        <v>37636</v>
      </c>
      <c r="G4360" s="788">
        <v>37636</v>
      </c>
      <c r="H4360" s="787">
        <v>1</v>
      </c>
      <c r="J4360" s="788">
        <v>37636</v>
      </c>
      <c r="L4360" s="787">
        <v>0.57999999999999996</v>
      </c>
      <c r="M4360" s="787">
        <v>10</v>
      </c>
      <c r="N4360" s="787">
        <v>0.69</v>
      </c>
      <c r="O4360" s="788">
        <v>41869</v>
      </c>
    </row>
    <row r="4361" spans="1:15" x14ac:dyDescent="0.25">
      <c r="A4361" s="786" t="s">
        <v>8495</v>
      </c>
      <c r="B4361" s="787">
        <v>4</v>
      </c>
      <c r="C4361" s="787" t="s">
        <v>8496</v>
      </c>
      <c r="D4361" s="787">
        <v>2.38</v>
      </c>
      <c r="E4361" s="787">
        <v>2.38</v>
      </c>
      <c r="F4361" s="788">
        <v>37636</v>
      </c>
      <c r="G4361" s="788">
        <v>37636</v>
      </c>
      <c r="H4361" s="787">
        <v>1</v>
      </c>
      <c r="I4361" s="788">
        <v>36949</v>
      </c>
      <c r="J4361" s="788">
        <v>37636</v>
      </c>
      <c r="L4361" s="787">
        <v>1.41</v>
      </c>
      <c r="M4361" s="787">
        <v>10</v>
      </c>
      <c r="N4361" s="787">
        <v>2.46</v>
      </c>
      <c r="O4361" s="788">
        <v>41858</v>
      </c>
    </row>
    <row r="4362" spans="1:15" x14ac:dyDescent="0.25">
      <c r="A4362" s="786" t="s">
        <v>8497</v>
      </c>
      <c r="B4362" s="787">
        <v>4</v>
      </c>
      <c r="C4362" s="787" t="s">
        <v>8496</v>
      </c>
      <c r="D4362" s="787">
        <v>2.38</v>
      </c>
      <c r="E4362" s="787">
        <v>2.38</v>
      </c>
      <c r="F4362" s="788">
        <v>37636</v>
      </c>
      <c r="G4362" s="788">
        <v>37636</v>
      </c>
      <c r="H4362" s="787">
        <v>1</v>
      </c>
      <c r="J4362" s="788">
        <v>37636</v>
      </c>
      <c r="L4362" s="787">
        <v>1.41</v>
      </c>
      <c r="M4362" s="787">
        <v>10</v>
      </c>
      <c r="N4362" s="787">
        <v>2.46</v>
      </c>
      <c r="O4362" s="788">
        <v>41858</v>
      </c>
    </row>
    <row r="4363" spans="1:15" x14ac:dyDescent="0.25">
      <c r="A4363" s="786" t="s">
        <v>8498</v>
      </c>
      <c r="B4363" s="787">
        <v>4</v>
      </c>
      <c r="C4363" s="787" t="s">
        <v>8499</v>
      </c>
      <c r="D4363" s="787">
        <v>2.38</v>
      </c>
      <c r="E4363" s="787">
        <v>2.38</v>
      </c>
      <c r="F4363" s="788">
        <v>37636</v>
      </c>
      <c r="G4363" s="788">
        <v>37636</v>
      </c>
      <c r="H4363" s="787">
        <v>1</v>
      </c>
      <c r="I4363" s="788">
        <v>37162</v>
      </c>
      <c r="J4363" s="788">
        <v>37636</v>
      </c>
      <c r="L4363" s="787">
        <v>1.41</v>
      </c>
      <c r="M4363" s="787">
        <v>10</v>
      </c>
      <c r="N4363" s="787">
        <v>2.46</v>
      </c>
      <c r="O4363" s="788">
        <v>41869</v>
      </c>
    </row>
    <row r="4364" spans="1:15" x14ac:dyDescent="0.25">
      <c r="A4364" s="786" t="s">
        <v>8500</v>
      </c>
      <c r="B4364" s="787">
        <v>4</v>
      </c>
      <c r="C4364" s="787" t="s">
        <v>8501</v>
      </c>
      <c r="D4364" s="787">
        <v>2.38</v>
      </c>
      <c r="E4364" s="787">
        <v>2.38</v>
      </c>
      <c r="F4364" s="788">
        <v>37636</v>
      </c>
      <c r="G4364" s="788">
        <v>37636</v>
      </c>
      <c r="H4364" s="787">
        <v>1</v>
      </c>
      <c r="I4364" s="788">
        <v>37162</v>
      </c>
      <c r="J4364" s="788">
        <v>37636</v>
      </c>
      <c r="L4364" s="787">
        <v>1.41</v>
      </c>
      <c r="M4364" s="787">
        <v>10</v>
      </c>
      <c r="N4364" s="787">
        <v>2.46</v>
      </c>
      <c r="O4364" s="788">
        <v>41858</v>
      </c>
    </row>
    <row r="4365" spans="1:15" x14ac:dyDescent="0.25">
      <c r="A4365" s="786" t="s">
        <v>8502</v>
      </c>
      <c r="B4365" s="787">
        <v>4</v>
      </c>
      <c r="C4365" s="787" t="s">
        <v>8503</v>
      </c>
      <c r="D4365" s="787">
        <v>2.38</v>
      </c>
      <c r="E4365" s="787">
        <v>2.38</v>
      </c>
      <c r="F4365" s="788">
        <v>37636</v>
      </c>
      <c r="G4365" s="788">
        <v>37636</v>
      </c>
      <c r="H4365" s="787">
        <v>1</v>
      </c>
      <c r="I4365" s="788">
        <v>37946</v>
      </c>
      <c r="J4365" s="788">
        <v>37636</v>
      </c>
      <c r="L4365" s="787">
        <v>1.41</v>
      </c>
      <c r="M4365" s="787">
        <v>10</v>
      </c>
      <c r="N4365" s="787">
        <v>2.46</v>
      </c>
      <c r="O4365" s="788">
        <v>41869</v>
      </c>
    </row>
    <row r="4366" spans="1:15" x14ac:dyDescent="0.25">
      <c r="A4366" s="786" t="s">
        <v>8504</v>
      </c>
      <c r="B4366" s="787">
        <v>4</v>
      </c>
      <c r="C4366" s="787" t="s">
        <v>8505</v>
      </c>
      <c r="D4366" s="787">
        <v>2.38</v>
      </c>
      <c r="E4366" s="787">
        <v>2.38</v>
      </c>
      <c r="F4366" s="788">
        <v>37636</v>
      </c>
      <c r="G4366" s="788">
        <v>37636</v>
      </c>
      <c r="H4366" s="787">
        <v>1</v>
      </c>
      <c r="I4366" s="788">
        <v>37719</v>
      </c>
      <c r="J4366" s="788">
        <v>37636</v>
      </c>
      <c r="L4366" s="787">
        <v>1.41</v>
      </c>
      <c r="M4366" s="787">
        <v>10</v>
      </c>
      <c r="N4366" s="787">
        <v>2.46</v>
      </c>
      <c r="O4366" s="788">
        <v>41869</v>
      </c>
    </row>
    <row r="4367" spans="1:15" x14ac:dyDescent="0.25">
      <c r="A4367" s="786" t="s">
        <v>8506</v>
      </c>
      <c r="B4367" s="787">
        <v>4</v>
      </c>
      <c r="C4367" s="787" t="s">
        <v>8507</v>
      </c>
      <c r="D4367" s="787">
        <v>3.46</v>
      </c>
      <c r="E4367" s="787">
        <v>3.46</v>
      </c>
      <c r="F4367" s="788">
        <v>37636</v>
      </c>
      <c r="G4367" s="788">
        <v>37636</v>
      </c>
      <c r="H4367" s="787">
        <v>1</v>
      </c>
      <c r="J4367" s="788">
        <v>37636</v>
      </c>
      <c r="L4367" s="787">
        <v>3.46</v>
      </c>
      <c r="M4367" s="787">
        <v>10</v>
      </c>
      <c r="N4367" s="787">
        <v>0</v>
      </c>
      <c r="O4367" s="788">
        <v>41858</v>
      </c>
    </row>
    <row r="4368" spans="1:15" x14ac:dyDescent="0.25">
      <c r="A4368" s="786" t="s">
        <v>8508</v>
      </c>
      <c r="B4368" s="787">
        <v>4</v>
      </c>
      <c r="C4368" s="787" t="s">
        <v>8509</v>
      </c>
      <c r="D4368" s="787">
        <v>0.73</v>
      </c>
      <c r="E4368" s="787">
        <v>0.73</v>
      </c>
      <c r="F4368" s="788">
        <v>37636</v>
      </c>
      <c r="G4368" s="788">
        <v>37636</v>
      </c>
      <c r="H4368" s="787">
        <v>1</v>
      </c>
      <c r="I4368" s="788">
        <v>38071</v>
      </c>
      <c r="J4368" s="788">
        <v>37636</v>
      </c>
      <c r="L4368" s="787">
        <v>0.73</v>
      </c>
      <c r="M4368" s="787">
        <v>10</v>
      </c>
      <c r="N4368" s="787">
        <v>0</v>
      </c>
      <c r="O4368" s="788">
        <v>41858</v>
      </c>
    </row>
    <row r="4369" spans="1:15" x14ac:dyDescent="0.25">
      <c r="A4369" s="786" t="s">
        <v>8510</v>
      </c>
      <c r="B4369" s="787">
        <v>4</v>
      </c>
      <c r="C4369" s="787" t="s">
        <v>8511</v>
      </c>
      <c r="D4369" s="787">
        <v>0</v>
      </c>
      <c r="E4369" s="787">
        <v>0</v>
      </c>
      <c r="G4369" s="788">
        <v>38364</v>
      </c>
      <c r="H4369" s="787">
        <v>6</v>
      </c>
      <c r="I4369" s="788">
        <v>38736</v>
      </c>
      <c r="J4369" s="788">
        <v>37930</v>
      </c>
      <c r="L4369" s="787">
        <v>7.81</v>
      </c>
      <c r="M4369" s="787">
        <v>10</v>
      </c>
      <c r="N4369" s="787">
        <v>4.76</v>
      </c>
      <c r="O4369" s="788">
        <v>41806</v>
      </c>
    </row>
    <row r="4370" spans="1:15" x14ac:dyDescent="0.25">
      <c r="A4370" s="786" t="s">
        <v>8512</v>
      </c>
      <c r="B4370" s="787">
        <v>4</v>
      </c>
      <c r="C4370" s="787" t="s">
        <v>8513</v>
      </c>
      <c r="D4370" s="787">
        <v>0</v>
      </c>
      <c r="E4370" s="787">
        <v>0</v>
      </c>
      <c r="G4370" s="788">
        <v>38364</v>
      </c>
      <c r="H4370" s="787">
        <v>6</v>
      </c>
      <c r="I4370" s="788">
        <v>38736</v>
      </c>
      <c r="J4370" s="788">
        <v>37930</v>
      </c>
      <c r="L4370" s="787">
        <v>7.81</v>
      </c>
      <c r="M4370" s="787">
        <v>10</v>
      </c>
      <c r="N4370" s="787">
        <v>4.76</v>
      </c>
      <c r="O4370" s="788">
        <v>41806</v>
      </c>
    </row>
    <row r="4371" spans="1:15" x14ac:dyDescent="0.25">
      <c r="A4371" s="786" t="s">
        <v>8514</v>
      </c>
      <c r="B4371" s="787">
        <v>4</v>
      </c>
      <c r="C4371" s="787" t="s">
        <v>8515</v>
      </c>
      <c r="D4371" s="787">
        <v>2.83</v>
      </c>
      <c r="E4371" s="787">
        <v>2.83</v>
      </c>
      <c r="F4371" s="788">
        <v>39101</v>
      </c>
      <c r="G4371" s="788">
        <v>39101</v>
      </c>
      <c r="H4371" s="787">
        <v>6</v>
      </c>
      <c r="I4371" s="788">
        <v>39057</v>
      </c>
      <c r="J4371" s="788">
        <v>39101</v>
      </c>
      <c r="L4371" s="787">
        <v>2.83</v>
      </c>
      <c r="M4371" s="787">
        <v>10</v>
      </c>
      <c r="N4371" s="787">
        <v>0</v>
      </c>
      <c r="O4371" s="788">
        <v>40824</v>
      </c>
    </row>
    <row r="4372" spans="1:15" x14ac:dyDescent="0.25">
      <c r="A4372" s="786" t="s">
        <v>8516</v>
      </c>
      <c r="B4372" s="787">
        <v>4</v>
      </c>
      <c r="C4372" s="787" t="s">
        <v>8517</v>
      </c>
      <c r="D4372" s="787">
        <v>2.93</v>
      </c>
      <c r="E4372" s="787">
        <v>2.93</v>
      </c>
      <c r="F4372" s="788">
        <v>39101</v>
      </c>
      <c r="G4372" s="788">
        <v>39101</v>
      </c>
      <c r="H4372" s="787">
        <v>1</v>
      </c>
      <c r="I4372" s="788">
        <v>39057</v>
      </c>
      <c r="J4372" s="788">
        <v>39101</v>
      </c>
      <c r="L4372" s="787">
        <v>3.86</v>
      </c>
      <c r="M4372" s="787">
        <v>10</v>
      </c>
      <c r="N4372" s="787">
        <v>7.67</v>
      </c>
      <c r="O4372" s="788">
        <v>41858</v>
      </c>
    </row>
    <row r="4373" spans="1:15" x14ac:dyDescent="0.25">
      <c r="A4373" s="786" t="s">
        <v>8518</v>
      </c>
      <c r="B4373" s="787">
        <v>4</v>
      </c>
      <c r="C4373" s="787" t="s">
        <v>8519</v>
      </c>
      <c r="D4373" s="787">
        <v>0</v>
      </c>
      <c r="E4373" s="787">
        <v>0</v>
      </c>
      <c r="H4373" s="787">
        <v>1</v>
      </c>
      <c r="I4373" s="788">
        <v>38876</v>
      </c>
      <c r="J4373" s="788">
        <v>39101</v>
      </c>
      <c r="L4373" s="787">
        <v>4.9000000000000004</v>
      </c>
      <c r="M4373" s="787">
        <v>10</v>
      </c>
      <c r="N4373" s="787">
        <v>7.65</v>
      </c>
      <c r="O4373" s="788">
        <v>41858</v>
      </c>
    </row>
    <row r="4374" spans="1:15" x14ac:dyDescent="0.25">
      <c r="A4374" s="786" t="s">
        <v>8520</v>
      </c>
      <c r="B4374" s="787">
        <v>4</v>
      </c>
      <c r="C4374" s="787" t="s">
        <v>8521</v>
      </c>
      <c r="D4374" s="787">
        <v>0</v>
      </c>
      <c r="E4374" s="787">
        <v>0</v>
      </c>
      <c r="H4374" s="787">
        <v>1</v>
      </c>
      <c r="I4374" s="788">
        <v>38876</v>
      </c>
      <c r="J4374" s="788">
        <v>39101</v>
      </c>
      <c r="L4374" s="787">
        <v>4.9000000000000004</v>
      </c>
      <c r="M4374" s="787">
        <v>10</v>
      </c>
      <c r="N4374" s="787">
        <v>7.65</v>
      </c>
      <c r="O4374" s="788">
        <v>41858</v>
      </c>
    </row>
    <row r="4375" spans="1:15" x14ac:dyDescent="0.25">
      <c r="A4375" s="786" t="s">
        <v>8522</v>
      </c>
      <c r="B4375" s="787">
        <v>4</v>
      </c>
      <c r="C4375" s="787" t="s">
        <v>8523</v>
      </c>
      <c r="D4375" s="787">
        <v>1.39</v>
      </c>
      <c r="E4375" s="787">
        <v>1.39</v>
      </c>
      <c r="F4375" s="788">
        <v>39101</v>
      </c>
      <c r="G4375" s="788">
        <v>39101</v>
      </c>
      <c r="H4375" s="787">
        <v>6</v>
      </c>
      <c r="I4375" s="788">
        <v>39974</v>
      </c>
      <c r="J4375" s="788">
        <v>39101</v>
      </c>
      <c r="L4375" s="787">
        <v>1.39</v>
      </c>
      <c r="M4375" s="787">
        <v>10</v>
      </c>
      <c r="N4375" s="787">
        <v>0</v>
      </c>
      <c r="O4375" s="788">
        <v>40824</v>
      </c>
    </row>
    <row r="4376" spans="1:15" x14ac:dyDescent="0.25">
      <c r="A4376" s="786" t="s">
        <v>8524</v>
      </c>
      <c r="B4376" s="787">
        <v>4</v>
      </c>
      <c r="C4376" s="787" t="s">
        <v>8525</v>
      </c>
      <c r="D4376" s="787">
        <v>3.44</v>
      </c>
      <c r="E4376" s="787">
        <v>9.36</v>
      </c>
      <c r="F4376" s="788">
        <v>40792</v>
      </c>
      <c r="G4376" s="788">
        <v>42013</v>
      </c>
      <c r="H4376" s="787">
        <v>1</v>
      </c>
      <c r="I4376" s="788">
        <v>42164</v>
      </c>
      <c r="J4376" s="788">
        <v>41893</v>
      </c>
      <c r="K4376" s="788">
        <v>41459</v>
      </c>
      <c r="L4376" s="787">
        <v>8.43</v>
      </c>
      <c r="M4376" s="787">
        <v>10</v>
      </c>
      <c r="N4376" s="787">
        <v>6.44</v>
      </c>
      <c r="O4376" s="788">
        <v>42159</v>
      </c>
    </row>
    <row r="4377" spans="1:15" x14ac:dyDescent="0.25">
      <c r="A4377" s="786" t="s">
        <v>8526</v>
      </c>
      <c r="B4377" s="787">
        <v>4</v>
      </c>
      <c r="C4377" s="787" t="s">
        <v>8527</v>
      </c>
      <c r="D4377" s="787">
        <v>2.8</v>
      </c>
      <c r="E4377" s="787">
        <v>5.12</v>
      </c>
      <c r="F4377" s="788">
        <v>41813</v>
      </c>
      <c r="G4377" s="788">
        <v>42013</v>
      </c>
      <c r="H4377" s="787">
        <v>1</v>
      </c>
      <c r="I4377" s="788">
        <v>42164</v>
      </c>
      <c r="J4377" s="788">
        <v>41893</v>
      </c>
      <c r="K4377" s="788">
        <v>41459</v>
      </c>
      <c r="L4377" s="787">
        <v>8.43</v>
      </c>
      <c r="M4377" s="787">
        <v>10</v>
      </c>
      <c r="N4377" s="787">
        <v>6.44</v>
      </c>
      <c r="O4377" s="788">
        <v>42159</v>
      </c>
    </row>
    <row r="4378" spans="1:15" x14ac:dyDescent="0.25">
      <c r="A4378" s="786" t="s">
        <v>8528</v>
      </c>
      <c r="B4378" s="787">
        <v>4</v>
      </c>
      <c r="C4378" s="787" t="s">
        <v>8529</v>
      </c>
      <c r="D4378" s="787">
        <v>3.91</v>
      </c>
      <c r="E4378" s="787">
        <v>6.1</v>
      </c>
      <c r="F4378" s="788">
        <v>39101</v>
      </c>
      <c r="G4378" s="788">
        <v>42013</v>
      </c>
      <c r="H4378" s="787">
        <v>1</v>
      </c>
      <c r="I4378" s="788">
        <v>42016</v>
      </c>
      <c r="J4378" s="788">
        <v>41143</v>
      </c>
      <c r="L4378" s="787">
        <v>4.55</v>
      </c>
      <c r="M4378" s="787">
        <v>10</v>
      </c>
      <c r="N4378" s="787">
        <v>6.72</v>
      </c>
      <c r="O4378" s="788">
        <v>42159</v>
      </c>
    </row>
    <row r="4379" spans="1:15" x14ac:dyDescent="0.25">
      <c r="A4379" s="786" t="s">
        <v>8530</v>
      </c>
      <c r="B4379" s="787">
        <v>4</v>
      </c>
      <c r="C4379" s="787" t="s">
        <v>8531</v>
      </c>
      <c r="D4379" s="787">
        <v>3.82</v>
      </c>
      <c r="E4379" s="787">
        <v>6.03</v>
      </c>
      <c r="F4379" s="788">
        <v>39101</v>
      </c>
      <c r="G4379" s="788">
        <v>42013</v>
      </c>
      <c r="H4379" s="787">
        <v>1</v>
      </c>
      <c r="I4379" s="788">
        <v>42016</v>
      </c>
      <c r="J4379" s="788">
        <v>41143</v>
      </c>
      <c r="L4379" s="787">
        <v>4.55</v>
      </c>
      <c r="M4379" s="787">
        <v>10</v>
      </c>
      <c r="N4379" s="787">
        <v>6.72</v>
      </c>
      <c r="O4379" s="788">
        <v>42159</v>
      </c>
    </row>
    <row r="4380" spans="1:15" x14ac:dyDescent="0.25">
      <c r="A4380" s="786" t="s">
        <v>8532</v>
      </c>
      <c r="B4380" s="787">
        <v>4</v>
      </c>
      <c r="C4380" s="787" t="s">
        <v>8533</v>
      </c>
      <c r="D4380" s="787">
        <v>6.65</v>
      </c>
      <c r="E4380" s="787">
        <v>6.65</v>
      </c>
      <c r="F4380" s="788">
        <v>39101</v>
      </c>
      <c r="G4380" s="788">
        <v>41904</v>
      </c>
      <c r="H4380" s="787">
        <v>1</v>
      </c>
      <c r="I4380" s="788">
        <v>41901</v>
      </c>
      <c r="J4380" s="788">
        <v>41904</v>
      </c>
      <c r="L4380" s="787">
        <v>3.95</v>
      </c>
      <c r="M4380" s="787">
        <v>10</v>
      </c>
      <c r="N4380" s="787">
        <v>9.98</v>
      </c>
      <c r="O4380" s="788">
        <v>42144</v>
      </c>
    </row>
    <row r="4381" spans="1:15" x14ac:dyDescent="0.25">
      <c r="A4381" s="786" t="s">
        <v>8534</v>
      </c>
      <c r="B4381" s="787">
        <v>4</v>
      </c>
      <c r="C4381" s="787" t="s">
        <v>8535</v>
      </c>
      <c r="D4381" s="787">
        <v>7.95</v>
      </c>
      <c r="E4381" s="787">
        <v>7.95</v>
      </c>
      <c r="F4381" s="788">
        <v>39101</v>
      </c>
      <c r="G4381" s="788">
        <v>39101</v>
      </c>
      <c r="H4381" s="787">
        <v>1</v>
      </c>
      <c r="I4381" s="788">
        <v>40364</v>
      </c>
      <c r="J4381" s="788">
        <v>39101</v>
      </c>
      <c r="L4381" s="787">
        <v>5.31</v>
      </c>
      <c r="M4381" s="787">
        <v>10</v>
      </c>
      <c r="N4381" s="787">
        <v>9.92</v>
      </c>
      <c r="O4381" s="788">
        <v>42144</v>
      </c>
    </row>
    <row r="4382" spans="1:15" x14ac:dyDescent="0.25">
      <c r="A4382" s="786" t="s">
        <v>8536</v>
      </c>
      <c r="B4382" s="787">
        <v>4</v>
      </c>
      <c r="C4382" s="787" t="s">
        <v>8537</v>
      </c>
      <c r="D4382" s="787">
        <v>1.01</v>
      </c>
      <c r="E4382" s="787">
        <v>2.09</v>
      </c>
      <c r="F4382" s="788">
        <v>39456</v>
      </c>
      <c r="G4382" s="788">
        <v>39101</v>
      </c>
      <c r="H4382" s="787">
        <v>5</v>
      </c>
      <c r="I4382" s="788">
        <v>40889</v>
      </c>
      <c r="J4382" s="788">
        <v>40738</v>
      </c>
      <c r="L4382" s="787">
        <v>1.74</v>
      </c>
      <c r="M4382" s="787">
        <v>10</v>
      </c>
      <c r="N4382" s="787">
        <v>1.77</v>
      </c>
      <c r="O4382" s="788">
        <v>42083</v>
      </c>
    </row>
    <row r="4383" spans="1:15" x14ac:dyDescent="0.25">
      <c r="A4383" s="786" t="s">
        <v>8538</v>
      </c>
      <c r="B4383" s="787">
        <v>4</v>
      </c>
      <c r="C4383" s="787" t="s">
        <v>8539</v>
      </c>
      <c r="D4383" s="787">
        <v>0.96</v>
      </c>
      <c r="E4383" s="787">
        <v>1.98</v>
      </c>
      <c r="F4383" s="788">
        <v>39456</v>
      </c>
      <c r="G4383" s="788">
        <v>39836</v>
      </c>
      <c r="H4383" s="787">
        <v>6</v>
      </c>
      <c r="I4383" s="788">
        <v>40889</v>
      </c>
      <c r="J4383" s="788">
        <v>40738</v>
      </c>
      <c r="L4383" s="787">
        <v>1.78</v>
      </c>
      <c r="M4383" s="787">
        <v>10</v>
      </c>
      <c r="N4383" s="787">
        <v>1.86</v>
      </c>
      <c r="O4383" s="788">
        <v>41806</v>
      </c>
    </row>
    <row r="4384" spans="1:15" x14ac:dyDescent="0.25">
      <c r="A4384" s="786" t="s">
        <v>8540</v>
      </c>
      <c r="B4384" s="787">
        <v>4</v>
      </c>
      <c r="C4384" s="787" t="s">
        <v>8541</v>
      </c>
      <c r="D4384" s="787">
        <v>1.48</v>
      </c>
      <c r="E4384" s="787">
        <v>2.96</v>
      </c>
      <c r="F4384" s="788">
        <v>39456</v>
      </c>
      <c r="G4384" s="788">
        <v>40644</v>
      </c>
      <c r="H4384" s="787">
        <v>6</v>
      </c>
      <c r="I4384" s="788">
        <v>40584</v>
      </c>
      <c r="J4384" s="788">
        <v>40584</v>
      </c>
      <c r="L4384" s="787">
        <v>2.57</v>
      </c>
      <c r="M4384" s="787">
        <v>10</v>
      </c>
      <c r="N4384" s="787">
        <v>2.2799999999999998</v>
      </c>
      <c r="O4384" s="788">
        <v>41806</v>
      </c>
    </row>
    <row r="4385" spans="1:15" x14ac:dyDescent="0.25">
      <c r="A4385" s="786" t="s">
        <v>8542</v>
      </c>
      <c r="B4385" s="787">
        <v>4</v>
      </c>
      <c r="C4385" s="787" t="s">
        <v>8543</v>
      </c>
      <c r="D4385" s="787">
        <v>1.48</v>
      </c>
      <c r="E4385" s="787">
        <v>2.5099999999999998</v>
      </c>
      <c r="F4385" s="788">
        <v>39456</v>
      </c>
      <c r="G4385" s="788">
        <v>39615</v>
      </c>
      <c r="H4385" s="787">
        <v>6</v>
      </c>
      <c r="I4385" s="788">
        <v>40889</v>
      </c>
      <c r="J4385" s="788">
        <v>40584</v>
      </c>
      <c r="L4385" s="787">
        <v>2.64</v>
      </c>
      <c r="M4385" s="787">
        <v>10</v>
      </c>
      <c r="N4385" s="787">
        <v>2.37</v>
      </c>
      <c r="O4385" s="788">
        <v>41806</v>
      </c>
    </row>
    <row r="4386" spans="1:15" x14ac:dyDescent="0.25">
      <c r="A4386" s="786" t="s">
        <v>8544</v>
      </c>
      <c r="B4386" s="787">
        <v>4</v>
      </c>
      <c r="C4386" s="787" t="s">
        <v>8545</v>
      </c>
      <c r="D4386" s="787">
        <v>0.56000000000000005</v>
      </c>
      <c r="E4386" s="787">
        <v>2.41</v>
      </c>
      <c r="F4386" s="788">
        <v>39456</v>
      </c>
      <c r="G4386" s="788">
        <v>39836</v>
      </c>
      <c r="H4386" s="787">
        <v>6</v>
      </c>
      <c r="I4386" s="788">
        <v>40889</v>
      </c>
      <c r="J4386" s="788">
        <v>40738</v>
      </c>
      <c r="L4386" s="787">
        <v>1.39</v>
      </c>
      <c r="M4386" s="787">
        <v>10</v>
      </c>
      <c r="N4386" s="787">
        <v>1.49</v>
      </c>
      <c r="O4386" s="788">
        <v>41806</v>
      </c>
    </row>
    <row r="4387" spans="1:15" x14ac:dyDescent="0.25">
      <c r="A4387" s="786" t="s">
        <v>8546</v>
      </c>
      <c r="B4387" s="787">
        <v>4</v>
      </c>
      <c r="C4387" s="787" t="s">
        <v>8547</v>
      </c>
      <c r="D4387" s="787">
        <v>0.56000000000000005</v>
      </c>
      <c r="E4387" s="787">
        <v>1.44</v>
      </c>
      <c r="F4387" s="788">
        <v>39456</v>
      </c>
      <c r="G4387" s="788">
        <v>39836</v>
      </c>
      <c r="H4387" s="787">
        <v>6</v>
      </c>
      <c r="I4387" s="788">
        <v>40889</v>
      </c>
      <c r="J4387" s="788">
        <v>40738</v>
      </c>
      <c r="L4387" s="787">
        <v>1.37</v>
      </c>
      <c r="M4387" s="787">
        <v>10</v>
      </c>
      <c r="N4387" s="787">
        <v>1.49</v>
      </c>
      <c r="O4387" s="788">
        <v>41806</v>
      </c>
    </row>
    <row r="4388" spans="1:15" x14ac:dyDescent="0.25">
      <c r="A4388" s="786" t="s">
        <v>8548</v>
      </c>
      <c r="B4388" s="787">
        <v>4</v>
      </c>
      <c r="C4388" s="787" t="s">
        <v>8549</v>
      </c>
      <c r="D4388" s="787">
        <v>2.1</v>
      </c>
      <c r="E4388" s="787">
        <v>18.64</v>
      </c>
      <c r="F4388" s="788">
        <v>41335</v>
      </c>
      <c r="G4388" s="788">
        <v>42118</v>
      </c>
      <c r="H4388" s="787">
        <v>1</v>
      </c>
      <c r="I4388" s="788">
        <v>42158</v>
      </c>
      <c r="J4388" s="788">
        <v>42118</v>
      </c>
      <c r="L4388" s="787">
        <v>20.74</v>
      </c>
      <c r="M4388" s="787">
        <v>10</v>
      </c>
      <c r="N4388" s="787">
        <v>14.17</v>
      </c>
      <c r="O4388" s="788">
        <v>42156</v>
      </c>
    </row>
    <row r="4389" spans="1:15" x14ac:dyDescent="0.25">
      <c r="A4389" s="786" t="s">
        <v>8550</v>
      </c>
      <c r="B4389" s="787">
        <v>4</v>
      </c>
      <c r="C4389" s="787" t="s">
        <v>8551</v>
      </c>
      <c r="D4389" s="787">
        <v>8.09</v>
      </c>
      <c r="E4389" s="787">
        <v>9.4499999999999993</v>
      </c>
      <c r="F4389" s="788">
        <v>39456</v>
      </c>
      <c r="G4389" s="788">
        <v>42124</v>
      </c>
      <c r="H4389" s="787">
        <v>1</v>
      </c>
      <c r="I4389" s="788">
        <v>42156</v>
      </c>
      <c r="J4389" s="788">
        <v>42095</v>
      </c>
      <c r="L4389" s="787">
        <v>23.84</v>
      </c>
      <c r="M4389" s="787">
        <v>10</v>
      </c>
      <c r="N4389" s="787">
        <v>14.21</v>
      </c>
      <c r="O4389" s="788">
        <v>42156</v>
      </c>
    </row>
    <row r="4390" spans="1:15" x14ac:dyDescent="0.25">
      <c r="A4390" s="786" t="s">
        <v>8552</v>
      </c>
      <c r="B4390" s="787">
        <v>4</v>
      </c>
      <c r="C4390" s="787" t="s">
        <v>8553</v>
      </c>
      <c r="D4390" s="787">
        <v>2.5099999999999998</v>
      </c>
      <c r="E4390" s="787">
        <v>10.53</v>
      </c>
      <c r="F4390" s="788">
        <v>39456</v>
      </c>
      <c r="G4390" s="788">
        <v>42137</v>
      </c>
      <c r="H4390" s="787">
        <v>1</v>
      </c>
      <c r="I4390" s="788">
        <v>42166</v>
      </c>
      <c r="J4390" s="788">
        <v>42137</v>
      </c>
      <c r="L4390" s="787">
        <v>4.09</v>
      </c>
      <c r="M4390" s="787">
        <v>10</v>
      </c>
      <c r="N4390" s="787">
        <v>5.91</v>
      </c>
      <c r="O4390" s="788">
        <v>42156</v>
      </c>
    </row>
    <row r="4391" spans="1:15" x14ac:dyDescent="0.25">
      <c r="A4391" s="786" t="s">
        <v>8554</v>
      </c>
      <c r="B4391" s="787">
        <v>4</v>
      </c>
      <c r="C4391" s="787" t="s">
        <v>8555</v>
      </c>
      <c r="D4391" s="787">
        <v>1.86</v>
      </c>
      <c r="E4391" s="787">
        <v>4.43</v>
      </c>
      <c r="F4391" s="788">
        <v>39101</v>
      </c>
      <c r="G4391" s="788">
        <v>42158</v>
      </c>
      <c r="H4391" s="787">
        <v>1</v>
      </c>
      <c r="I4391" s="788">
        <v>42129</v>
      </c>
      <c r="J4391" s="788">
        <v>42129</v>
      </c>
      <c r="K4391" s="788">
        <v>41751</v>
      </c>
      <c r="L4391" s="787">
        <v>6</v>
      </c>
      <c r="M4391" s="787">
        <v>10</v>
      </c>
      <c r="N4391" s="787">
        <v>5.7</v>
      </c>
      <c r="O4391" s="788">
        <v>42156</v>
      </c>
    </row>
    <row r="4392" spans="1:15" x14ac:dyDescent="0.25">
      <c r="A4392" s="786" t="s">
        <v>8556</v>
      </c>
      <c r="B4392" s="787">
        <v>4</v>
      </c>
      <c r="C4392" s="787" t="s">
        <v>8557</v>
      </c>
      <c r="D4392" s="787">
        <v>2.5499999999999998</v>
      </c>
      <c r="E4392" s="787">
        <v>11.85</v>
      </c>
      <c r="F4392" s="788">
        <v>39456</v>
      </c>
      <c r="G4392" s="788">
        <v>42143</v>
      </c>
      <c r="H4392" s="787">
        <v>1</v>
      </c>
      <c r="I4392" s="788">
        <v>42165</v>
      </c>
      <c r="J4392" s="788">
        <v>42143</v>
      </c>
      <c r="L4392" s="787">
        <v>4.09</v>
      </c>
      <c r="M4392" s="787">
        <v>10</v>
      </c>
      <c r="N4392" s="787">
        <v>7.93</v>
      </c>
      <c r="O4392" s="788">
        <v>42162</v>
      </c>
    </row>
    <row r="4393" spans="1:15" x14ac:dyDescent="0.25">
      <c r="A4393" s="786" t="s">
        <v>8558</v>
      </c>
      <c r="B4393" s="787">
        <v>4</v>
      </c>
      <c r="C4393" s="787" t="s">
        <v>8559</v>
      </c>
      <c r="D4393" s="787">
        <v>2.2999999999999998</v>
      </c>
      <c r="E4393" s="787">
        <v>6.09</v>
      </c>
      <c r="F4393" s="788">
        <v>39456</v>
      </c>
      <c r="G4393" s="788">
        <v>42150</v>
      </c>
      <c r="H4393" s="787">
        <v>1</v>
      </c>
      <c r="I4393" s="788">
        <v>42123</v>
      </c>
      <c r="J4393" s="788">
        <v>42122</v>
      </c>
      <c r="K4393" s="788">
        <v>41751</v>
      </c>
      <c r="L4393" s="787">
        <v>6</v>
      </c>
      <c r="M4393" s="787">
        <v>10</v>
      </c>
      <c r="N4393" s="787">
        <v>5.7</v>
      </c>
      <c r="O4393" s="788">
        <v>42162</v>
      </c>
    </row>
    <row r="4394" spans="1:15" x14ac:dyDescent="0.25">
      <c r="A4394" s="786" t="s">
        <v>8560</v>
      </c>
      <c r="B4394" s="787">
        <v>4</v>
      </c>
      <c r="C4394" s="787" t="s">
        <v>8561</v>
      </c>
      <c r="D4394" s="787">
        <v>1.26</v>
      </c>
      <c r="E4394" s="787">
        <v>3.15</v>
      </c>
      <c r="F4394" s="788">
        <v>38634</v>
      </c>
      <c r="G4394" s="788">
        <v>42089</v>
      </c>
      <c r="H4394" s="787">
        <v>1</v>
      </c>
      <c r="I4394" s="788">
        <v>42108</v>
      </c>
      <c r="J4394" s="788">
        <v>42058</v>
      </c>
      <c r="L4394" s="787">
        <v>1.68</v>
      </c>
      <c r="M4394" s="787">
        <v>10</v>
      </c>
      <c r="N4394" s="787">
        <v>1.79</v>
      </c>
      <c r="O4394" s="788">
        <v>42162</v>
      </c>
    </row>
    <row r="4395" spans="1:15" x14ac:dyDescent="0.25">
      <c r="A4395" s="786" t="s">
        <v>8562</v>
      </c>
      <c r="B4395" s="787">
        <v>4</v>
      </c>
      <c r="C4395" s="787" t="s">
        <v>8563</v>
      </c>
      <c r="D4395" s="787">
        <v>1.1499999999999999</v>
      </c>
      <c r="E4395" s="787">
        <v>2.57</v>
      </c>
      <c r="F4395" s="788">
        <v>38606</v>
      </c>
      <c r="G4395" s="788">
        <v>42089</v>
      </c>
      <c r="H4395" s="787">
        <v>1</v>
      </c>
      <c r="I4395" s="788">
        <v>42122</v>
      </c>
      <c r="J4395" s="788">
        <v>42058</v>
      </c>
      <c r="L4395" s="787">
        <v>1.69</v>
      </c>
      <c r="M4395" s="787">
        <v>10</v>
      </c>
      <c r="N4395" s="787">
        <v>1.82</v>
      </c>
      <c r="O4395" s="788">
        <v>42162</v>
      </c>
    </row>
    <row r="4396" spans="1:15" x14ac:dyDescent="0.25">
      <c r="A4396" s="786" t="s">
        <v>8564</v>
      </c>
      <c r="B4396" s="787">
        <v>4</v>
      </c>
      <c r="C4396" s="787" t="s">
        <v>8565</v>
      </c>
      <c r="D4396" s="787">
        <v>0.73</v>
      </c>
      <c r="E4396" s="787">
        <v>1.01</v>
      </c>
      <c r="F4396" s="788">
        <v>39456</v>
      </c>
      <c r="G4396" s="788">
        <v>42013</v>
      </c>
      <c r="H4396" s="787">
        <v>1</v>
      </c>
      <c r="I4396" s="788">
        <v>42128</v>
      </c>
      <c r="J4396" s="788">
        <v>41897</v>
      </c>
      <c r="L4396" s="787">
        <v>0.98</v>
      </c>
      <c r="M4396" s="787">
        <v>10</v>
      </c>
      <c r="N4396" s="787">
        <v>1.56</v>
      </c>
      <c r="O4396" s="788">
        <v>42156</v>
      </c>
    </row>
    <row r="4397" spans="1:15" x14ac:dyDescent="0.25">
      <c r="A4397" s="786" t="s">
        <v>8566</v>
      </c>
      <c r="B4397" s="787">
        <v>4</v>
      </c>
      <c r="C4397" s="787" t="s">
        <v>8567</v>
      </c>
      <c r="D4397" s="787">
        <v>0.98</v>
      </c>
      <c r="E4397" s="787">
        <v>0.95</v>
      </c>
      <c r="F4397" s="788">
        <v>39101</v>
      </c>
      <c r="G4397" s="788">
        <v>39101</v>
      </c>
      <c r="H4397" s="787">
        <v>6</v>
      </c>
      <c r="I4397" s="788">
        <v>40688</v>
      </c>
      <c r="J4397" s="788">
        <v>39149</v>
      </c>
      <c r="L4397" s="787">
        <v>1.02</v>
      </c>
      <c r="M4397" s="787">
        <v>10</v>
      </c>
      <c r="N4397" s="787">
        <v>1.31</v>
      </c>
      <c r="O4397" s="788">
        <v>41821</v>
      </c>
    </row>
    <row r="4398" spans="1:15" x14ac:dyDescent="0.25">
      <c r="A4398" s="786" t="s">
        <v>8568</v>
      </c>
      <c r="B4398" s="787">
        <v>4</v>
      </c>
      <c r="C4398" s="787" t="s">
        <v>8569</v>
      </c>
      <c r="D4398" s="787">
        <v>0.06</v>
      </c>
      <c r="E4398" s="787">
        <v>1.24</v>
      </c>
      <c r="F4398" s="788">
        <v>39456</v>
      </c>
      <c r="G4398" s="788">
        <v>42163</v>
      </c>
      <c r="H4398" s="787">
        <v>1</v>
      </c>
      <c r="I4398" s="788">
        <v>42166</v>
      </c>
      <c r="J4398" s="788">
        <v>42163</v>
      </c>
      <c r="L4398" s="787">
        <v>0.31</v>
      </c>
      <c r="M4398" s="787">
        <v>10</v>
      </c>
      <c r="N4398" s="787">
        <v>0.91</v>
      </c>
      <c r="O4398" s="788">
        <v>42162</v>
      </c>
    </row>
    <row r="4399" spans="1:15" x14ac:dyDescent="0.25">
      <c r="A4399" s="786" t="s">
        <v>8570</v>
      </c>
      <c r="B4399" s="787">
        <v>4</v>
      </c>
      <c r="C4399" s="787" t="s">
        <v>8571</v>
      </c>
      <c r="D4399" s="787">
        <v>0.16</v>
      </c>
      <c r="E4399" s="787">
        <v>1.49</v>
      </c>
      <c r="F4399" s="788">
        <v>41369</v>
      </c>
      <c r="G4399" s="788">
        <v>42104</v>
      </c>
      <c r="H4399" s="787">
        <v>1</v>
      </c>
      <c r="I4399" s="788">
        <v>42165</v>
      </c>
      <c r="J4399" s="788">
        <v>42073</v>
      </c>
      <c r="L4399" s="787">
        <v>0.41</v>
      </c>
      <c r="M4399" s="787">
        <v>10</v>
      </c>
      <c r="N4399" s="787">
        <v>1.06</v>
      </c>
      <c r="O4399" s="788">
        <v>42162</v>
      </c>
    </row>
    <row r="4400" spans="1:15" x14ac:dyDescent="0.25">
      <c r="A4400" s="786" t="s">
        <v>8572</v>
      </c>
      <c r="B4400" s="787">
        <v>4</v>
      </c>
      <c r="C4400" s="787" t="s">
        <v>8573</v>
      </c>
      <c r="D4400" s="787">
        <v>7.5</v>
      </c>
      <c r="E4400" s="787">
        <v>41.5</v>
      </c>
      <c r="F4400" s="788">
        <v>39101</v>
      </c>
      <c r="G4400" s="788">
        <v>40948</v>
      </c>
      <c r="H4400" s="787">
        <v>1</v>
      </c>
      <c r="I4400" s="788">
        <v>39134</v>
      </c>
      <c r="J4400" s="788">
        <v>40939</v>
      </c>
      <c r="K4400" s="788">
        <v>40948</v>
      </c>
      <c r="L4400" s="787">
        <v>41.5</v>
      </c>
      <c r="M4400" s="787">
        <v>20</v>
      </c>
      <c r="N4400" s="787">
        <v>44.61</v>
      </c>
      <c r="O4400" s="788">
        <v>41858</v>
      </c>
    </row>
    <row r="4401" spans="1:15" x14ac:dyDescent="0.25">
      <c r="A4401" s="786" t="s">
        <v>8574</v>
      </c>
      <c r="B4401" s="787">
        <v>4</v>
      </c>
      <c r="C4401" s="787" t="s">
        <v>8575</v>
      </c>
      <c r="D4401" s="787">
        <v>3.43</v>
      </c>
      <c r="E4401" s="787">
        <v>3.43</v>
      </c>
      <c r="F4401" s="788">
        <v>38606</v>
      </c>
      <c r="G4401" s="788">
        <v>38606</v>
      </c>
      <c r="H4401" s="787">
        <v>1</v>
      </c>
      <c r="I4401" s="788">
        <v>38631</v>
      </c>
      <c r="J4401" s="788">
        <v>38415</v>
      </c>
      <c r="L4401" s="787">
        <v>6.42</v>
      </c>
      <c r="M4401" s="787">
        <v>10</v>
      </c>
      <c r="N4401" s="787">
        <v>10.33</v>
      </c>
      <c r="O4401" s="788">
        <v>41869</v>
      </c>
    </row>
    <row r="4402" spans="1:15" x14ac:dyDescent="0.25">
      <c r="A4402" s="786" t="s">
        <v>8576</v>
      </c>
      <c r="B4402" s="787">
        <v>4</v>
      </c>
      <c r="C4402" s="787" t="s">
        <v>8577</v>
      </c>
      <c r="D4402" s="787">
        <v>0.56999999999999995</v>
      </c>
      <c r="E4402" s="787">
        <v>0.56999999999999995</v>
      </c>
      <c r="F4402" s="788">
        <v>39101</v>
      </c>
      <c r="G4402" s="788">
        <v>39101</v>
      </c>
      <c r="H4402" s="787">
        <v>1</v>
      </c>
      <c r="I4402" s="788">
        <v>39134</v>
      </c>
      <c r="J4402" s="788">
        <v>39149</v>
      </c>
      <c r="L4402" s="787">
        <v>4.32</v>
      </c>
      <c r="M4402" s="787">
        <v>10</v>
      </c>
      <c r="N4402" s="787">
        <v>5.3</v>
      </c>
      <c r="O4402" s="788">
        <v>41858</v>
      </c>
    </row>
    <row r="4403" spans="1:15" x14ac:dyDescent="0.25">
      <c r="A4403" s="786" t="s">
        <v>8578</v>
      </c>
      <c r="B4403" s="787">
        <v>4</v>
      </c>
      <c r="C4403" s="787" t="s">
        <v>8579</v>
      </c>
      <c r="D4403" s="787">
        <v>2.79</v>
      </c>
      <c r="E4403" s="787">
        <v>2.79</v>
      </c>
      <c r="F4403" s="788">
        <v>37636</v>
      </c>
      <c r="G4403" s="788">
        <v>37636</v>
      </c>
      <c r="H4403" s="787">
        <v>1</v>
      </c>
      <c r="I4403" s="788">
        <v>38133</v>
      </c>
      <c r="J4403" s="788">
        <v>37636</v>
      </c>
      <c r="L4403" s="787">
        <v>3.04</v>
      </c>
      <c r="M4403" s="787">
        <v>20</v>
      </c>
      <c r="N4403" s="787">
        <v>3.27</v>
      </c>
      <c r="O4403" s="788">
        <v>41858</v>
      </c>
    </row>
    <row r="4404" spans="1:15" x14ac:dyDescent="0.25">
      <c r="A4404" s="786" t="s">
        <v>8580</v>
      </c>
      <c r="B4404" s="787">
        <v>4</v>
      </c>
      <c r="C4404" s="787" t="s">
        <v>8581</v>
      </c>
      <c r="D4404" s="787">
        <v>2.44</v>
      </c>
      <c r="E4404" s="787">
        <v>2.44</v>
      </c>
      <c r="F4404" s="788">
        <v>37636</v>
      </c>
      <c r="G4404" s="788">
        <v>37636</v>
      </c>
      <c r="H4404" s="787">
        <v>1</v>
      </c>
      <c r="I4404" s="788">
        <v>37243</v>
      </c>
      <c r="J4404" s="788">
        <v>37636</v>
      </c>
      <c r="L4404" s="787">
        <v>2.66</v>
      </c>
      <c r="M4404" s="787">
        <v>20</v>
      </c>
      <c r="N4404" s="787">
        <v>2.86</v>
      </c>
      <c r="O4404" s="788">
        <v>41858</v>
      </c>
    </row>
    <row r="4405" spans="1:15" x14ac:dyDescent="0.25">
      <c r="A4405" s="786" t="s">
        <v>8582</v>
      </c>
      <c r="B4405" s="787">
        <v>4</v>
      </c>
      <c r="C4405" s="787" t="s">
        <v>8579</v>
      </c>
      <c r="D4405" s="787">
        <v>0</v>
      </c>
      <c r="E4405" s="787">
        <v>0</v>
      </c>
      <c r="H4405" s="787">
        <v>1</v>
      </c>
      <c r="I4405" s="788">
        <v>36922</v>
      </c>
      <c r="J4405" s="788">
        <v>37636</v>
      </c>
      <c r="L4405" s="787">
        <v>0</v>
      </c>
      <c r="M4405" s="787">
        <v>20</v>
      </c>
      <c r="N4405" s="787">
        <v>0</v>
      </c>
      <c r="O4405" s="788">
        <v>40824</v>
      </c>
    </row>
    <row r="4406" spans="1:15" x14ac:dyDescent="0.25">
      <c r="A4406" s="786" t="s">
        <v>8583</v>
      </c>
      <c r="B4406" s="787">
        <v>4</v>
      </c>
      <c r="C4406" s="787" t="s">
        <v>8584</v>
      </c>
      <c r="D4406" s="787">
        <v>0</v>
      </c>
      <c r="E4406" s="787">
        <v>0</v>
      </c>
      <c r="H4406" s="787">
        <v>1</v>
      </c>
      <c r="J4406" s="788">
        <v>37636</v>
      </c>
      <c r="L4406" s="787">
        <v>1.43</v>
      </c>
      <c r="M4406" s="787">
        <v>10</v>
      </c>
      <c r="N4406" s="787">
        <v>2.48</v>
      </c>
      <c r="O4406" s="788">
        <v>42087</v>
      </c>
    </row>
    <row r="4407" spans="1:15" x14ac:dyDescent="0.25">
      <c r="A4407" s="786" t="s">
        <v>8585</v>
      </c>
      <c r="B4407" s="787">
        <v>4</v>
      </c>
      <c r="C4407" s="787" t="s">
        <v>8586</v>
      </c>
      <c r="D4407" s="787">
        <v>3.23</v>
      </c>
      <c r="E4407" s="787">
        <v>4.9000000000000004</v>
      </c>
      <c r="F4407" s="788">
        <v>41927</v>
      </c>
      <c r="G4407" s="788">
        <v>42159</v>
      </c>
      <c r="H4407" s="787">
        <v>1</v>
      </c>
      <c r="I4407" s="788">
        <v>42166</v>
      </c>
      <c r="J4407" s="788">
        <v>42136</v>
      </c>
      <c r="L4407" s="787">
        <v>6.03</v>
      </c>
      <c r="M4407" s="787">
        <v>10</v>
      </c>
      <c r="N4407" s="787">
        <v>6.75</v>
      </c>
      <c r="O4407" s="788">
        <v>42162</v>
      </c>
    </row>
    <row r="4408" spans="1:15" x14ac:dyDescent="0.25">
      <c r="A4408" s="786" t="s">
        <v>8587</v>
      </c>
      <c r="B4408" s="787">
        <v>4</v>
      </c>
      <c r="C4408" s="787" t="s">
        <v>8588</v>
      </c>
      <c r="D4408" s="787">
        <v>0</v>
      </c>
      <c r="E4408" s="787">
        <v>0</v>
      </c>
      <c r="G4408" s="788">
        <v>38364</v>
      </c>
      <c r="H4408" s="787">
        <v>6</v>
      </c>
      <c r="I4408" s="788">
        <v>40164</v>
      </c>
      <c r="J4408" s="788">
        <v>37636</v>
      </c>
      <c r="L4408" s="787">
        <v>6.49</v>
      </c>
      <c r="M4408" s="787">
        <v>10</v>
      </c>
      <c r="N4408" s="787">
        <v>0</v>
      </c>
      <c r="O4408" s="788">
        <v>40824</v>
      </c>
    </row>
    <row r="4409" spans="1:15" x14ac:dyDescent="0.25">
      <c r="A4409" s="786" t="s">
        <v>8589</v>
      </c>
      <c r="B4409" s="787">
        <v>4</v>
      </c>
      <c r="C4409" s="787" t="s">
        <v>8590</v>
      </c>
      <c r="D4409" s="787">
        <v>2.11</v>
      </c>
      <c r="E4409" s="787">
        <v>8.0399999999999991</v>
      </c>
      <c r="F4409" s="788">
        <v>39456</v>
      </c>
      <c r="G4409" s="788">
        <v>42163</v>
      </c>
      <c r="H4409" s="787">
        <v>1</v>
      </c>
      <c r="I4409" s="788">
        <v>42166</v>
      </c>
      <c r="J4409" s="788">
        <v>42159</v>
      </c>
      <c r="L4409" s="787">
        <v>1.68</v>
      </c>
      <c r="M4409" s="787">
        <v>10</v>
      </c>
      <c r="N4409" s="787">
        <v>6.76</v>
      </c>
      <c r="O4409" s="788">
        <v>42162</v>
      </c>
    </row>
    <row r="4410" spans="1:15" x14ac:dyDescent="0.25">
      <c r="A4410" s="786" t="s">
        <v>8591</v>
      </c>
      <c r="B4410" s="787">
        <v>4</v>
      </c>
      <c r="C4410" s="787" t="s">
        <v>8592</v>
      </c>
      <c r="D4410" s="787">
        <v>3.01</v>
      </c>
      <c r="E4410" s="787">
        <v>5.41</v>
      </c>
      <c r="F4410" s="788">
        <v>41906</v>
      </c>
      <c r="G4410" s="788">
        <v>42163</v>
      </c>
      <c r="H4410" s="787">
        <v>1</v>
      </c>
      <c r="I4410" s="788">
        <v>42166</v>
      </c>
      <c r="J4410" s="788">
        <v>42159</v>
      </c>
      <c r="L4410" s="787">
        <v>3.29</v>
      </c>
      <c r="M4410" s="787">
        <v>10</v>
      </c>
      <c r="N4410" s="787">
        <v>5.96</v>
      </c>
      <c r="O4410" s="788">
        <v>42162</v>
      </c>
    </row>
    <row r="4411" spans="1:15" x14ac:dyDescent="0.25">
      <c r="A4411" s="786" t="s">
        <v>8593</v>
      </c>
      <c r="B4411" s="787">
        <v>4</v>
      </c>
      <c r="C4411" s="787" t="s">
        <v>8594</v>
      </c>
      <c r="D4411" s="787">
        <v>1.1499999999999999</v>
      </c>
      <c r="E4411" s="787">
        <v>21.15</v>
      </c>
      <c r="F4411" s="788">
        <v>37636</v>
      </c>
      <c r="G4411" s="788">
        <v>38736</v>
      </c>
      <c r="H4411" s="787">
        <v>1</v>
      </c>
      <c r="I4411" s="788">
        <v>39134</v>
      </c>
      <c r="J4411" s="788">
        <v>37636</v>
      </c>
      <c r="L4411" s="787">
        <v>33.840000000000003</v>
      </c>
      <c r="M4411" s="787">
        <v>10</v>
      </c>
      <c r="N4411" s="787">
        <v>20</v>
      </c>
      <c r="O4411" s="788">
        <v>42151</v>
      </c>
    </row>
    <row r="4412" spans="1:15" x14ac:dyDescent="0.25">
      <c r="A4412" s="786" t="s">
        <v>8595</v>
      </c>
      <c r="B4412" s="787">
        <v>4</v>
      </c>
      <c r="C4412" s="787" t="s">
        <v>8596</v>
      </c>
      <c r="D4412" s="787">
        <v>3.83</v>
      </c>
      <c r="E4412" s="787">
        <v>13.83</v>
      </c>
      <c r="F4412" s="788">
        <v>38047</v>
      </c>
      <c r="G4412" s="788">
        <v>38736</v>
      </c>
      <c r="H4412" s="787">
        <v>1</v>
      </c>
      <c r="I4412" s="788">
        <v>40920</v>
      </c>
      <c r="J4412" s="788">
        <v>38047</v>
      </c>
      <c r="L4412" s="787">
        <v>7.72</v>
      </c>
      <c r="M4412" s="787">
        <v>10</v>
      </c>
      <c r="N4412" s="787">
        <v>13.39</v>
      </c>
      <c r="O4412" s="788">
        <v>42151</v>
      </c>
    </row>
    <row r="4413" spans="1:15" x14ac:dyDescent="0.25">
      <c r="A4413" s="786" t="s">
        <v>8597</v>
      </c>
      <c r="B4413" s="787">
        <v>4</v>
      </c>
      <c r="C4413" s="787" t="s">
        <v>8598</v>
      </c>
      <c r="D4413" s="787">
        <v>6.27</v>
      </c>
      <c r="E4413" s="787">
        <v>6.27</v>
      </c>
      <c r="F4413" s="788">
        <v>39101</v>
      </c>
      <c r="G4413" s="788">
        <v>39814</v>
      </c>
      <c r="H4413" s="787">
        <v>1</v>
      </c>
      <c r="I4413" s="788">
        <v>42025</v>
      </c>
      <c r="J4413" s="788">
        <v>39101</v>
      </c>
      <c r="L4413" s="787">
        <v>7.34</v>
      </c>
      <c r="M4413" s="787">
        <v>10</v>
      </c>
      <c r="N4413" s="787">
        <v>12.13</v>
      </c>
      <c r="O4413" s="788">
        <v>42162</v>
      </c>
    </row>
    <row r="4414" spans="1:15" x14ac:dyDescent="0.25">
      <c r="A4414" s="786" t="s">
        <v>8597</v>
      </c>
      <c r="B4414" s="787" t="s">
        <v>2333</v>
      </c>
      <c r="C4414" s="787" t="s">
        <v>2334</v>
      </c>
      <c r="D4414" s="787">
        <v>0</v>
      </c>
      <c r="E4414" s="787">
        <v>0</v>
      </c>
      <c r="H4414" s="787">
        <v>6</v>
      </c>
      <c r="L4414" s="787">
        <v>12.2</v>
      </c>
      <c r="M4414" s="787">
        <v>10</v>
      </c>
      <c r="N4414" s="787">
        <v>9.6199999999999992</v>
      </c>
      <c r="O4414" s="788">
        <v>39897</v>
      </c>
    </row>
    <row r="4415" spans="1:15" x14ac:dyDescent="0.25">
      <c r="A4415" s="786" t="s">
        <v>8599</v>
      </c>
      <c r="B4415" s="787">
        <v>4</v>
      </c>
      <c r="C4415" s="787" t="s">
        <v>8600</v>
      </c>
      <c r="D4415" s="787">
        <v>5.13</v>
      </c>
      <c r="E4415" s="787">
        <v>5.13</v>
      </c>
      <c r="F4415" s="788">
        <v>39101</v>
      </c>
      <c r="G4415" s="788">
        <v>39814</v>
      </c>
      <c r="H4415" s="787">
        <v>1</v>
      </c>
      <c r="I4415" s="788">
        <v>42025</v>
      </c>
      <c r="J4415" s="788">
        <v>39101</v>
      </c>
      <c r="L4415" s="787">
        <v>5.56</v>
      </c>
      <c r="M4415" s="787">
        <v>10</v>
      </c>
      <c r="N4415" s="787">
        <v>6.42</v>
      </c>
      <c r="O4415" s="788">
        <v>42162</v>
      </c>
    </row>
    <row r="4416" spans="1:15" x14ac:dyDescent="0.25">
      <c r="A4416" s="786" t="s">
        <v>8599</v>
      </c>
      <c r="B4416" s="787" t="s">
        <v>2333</v>
      </c>
      <c r="C4416" s="787" t="s">
        <v>2334</v>
      </c>
      <c r="D4416" s="787">
        <v>0</v>
      </c>
      <c r="E4416" s="787">
        <v>0</v>
      </c>
      <c r="H4416" s="787">
        <v>6</v>
      </c>
      <c r="L4416" s="787">
        <v>8.9499999999999993</v>
      </c>
      <c r="M4416" s="787">
        <v>10</v>
      </c>
      <c r="N4416" s="787">
        <v>6.28</v>
      </c>
      <c r="O4416" s="788">
        <v>39897</v>
      </c>
    </row>
    <row r="4417" spans="1:15" x14ac:dyDescent="0.25">
      <c r="A4417" s="786" t="s">
        <v>8601</v>
      </c>
      <c r="B4417" s="787">
        <v>4</v>
      </c>
      <c r="C4417" s="787" t="s">
        <v>8602</v>
      </c>
      <c r="D4417" s="787">
        <v>4.91</v>
      </c>
      <c r="E4417" s="787">
        <v>4.93</v>
      </c>
      <c r="F4417" s="788">
        <v>39101</v>
      </c>
      <c r="G4417" s="788">
        <v>39975</v>
      </c>
      <c r="H4417" s="787">
        <v>1</v>
      </c>
      <c r="I4417" s="788">
        <v>42165</v>
      </c>
      <c r="J4417" s="788">
        <v>41596</v>
      </c>
      <c r="L4417" s="787">
        <v>4.91</v>
      </c>
      <c r="M4417" s="787">
        <v>10</v>
      </c>
      <c r="N4417" s="787">
        <v>6.4</v>
      </c>
      <c r="O4417" s="788">
        <v>42162</v>
      </c>
    </row>
    <row r="4418" spans="1:15" x14ac:dyDescent="0.25">
      <c r="A4418" s="786" t="s">
        <v>8601</v>
      </c>
      <c r="B4418" s="787" t="s">
        <v>2333</v>
      </c>
      <c r="C4418" s="787" t="s">
        <v>2334</v>
      </c>
      <c r="D4418" s="787">
        <v>0</v>
      </c>
      <c r="E4418" s="787">
        <v>0</v>
      </c>
      <c r="H4418" s="787">
        <v>6</v>
      </c>
      <c r="L4418" s="787">
        <v>8.3000000000000007</v>
      </c>
      <c r="M4418" s="787">
        <v>10</v>
      </c>
      <c r="N4418" s="787">
        <v>11.23</v>
      </c>
      <c r="O4418" s="788">
        <v>41806</v>
      </c>
    </row>
    <row r="4419" spans="1:15" x14ac:dyDescent="0.25">
      <c r="A4419" s="786" t="s">
        <v>8603</v>
      </c>
      <c r="B4419" s="787">
        <v>4</v>
      </c>
      <c r="C4419" s="787" t="s">
        <v>8604</v>
      </c>
      <c r="D4419" s="787">
        <v>8.5</v>
      </c>
      <c r="E4419" s="787">
        <v>0.18</v>
      </c>
      <c r="F4419" s="788">
        <v>39101</v>
      </c>
      <c r="G4419" s="788">
        <v>39814</v>
      </c>
      <c r="H4419" s="787">
        <v>1</v>
      </c>
      <c r="I4419" s="788">
        <v>40005</v>
      </c>
      <c r="J4419" s="788">
        <v>39101</v>
      </c>
      <c r="L4419" s="787">
        <v>8.61</v>
      </c>
      <c r="M4419" s="787">
        <v>10</v>
      </c>
      <c r="N4419" s="787">
        <v>11.32</v>
      </c>
      <c r="O4419" s="788">
        <v>42156</v>
      </c>
    </row>
    <row r="4420" spans="1:15" x14ac:dyDescent="0.25">
      <c r="A4420" s="786" t="s">
        <v>8605</v>
      </c>
      <c r="B4420" s="787">
        <v>4</v>
      </c>
      <c r="C4420" s="787" t="s">
        <v>8606</v>
      </c>
      <c r="D4420" s="787">
        <v>8.7200000000000006</v>
      </c>
      <c r="E4420" s="787">
        <v>8.7200000000000006</v>
      </c>
      <c r="F4420" s="788">
        <v>39101</v>
      </c>
      <c r="G4420" s="788">
        <v>39814</v>
      </c>
      <c r="H4420" s="787">
        <v>1</v>
      </c>
      <c r="I4420" s="788">
        <v>41171</v>
      </c>
      <c r="J4420" s="788">
        <v>39101</v>
      </c>
      <c r="L4420" s="787">
        <v>6.05</v>
      </c>
      <c r="M4420" s="787">
        <v>10</v>
      </c>
      <c r="N4420" s="787">
        <v>8.39</v>
      </c>
      <c r="O4420" s="788">
        <v>42162</v>
      </c>
    </row>
    <row r="4421" spans="1:15" x14ac:dyDescent="0.25">
      <c r="A4421" s="786" t="s">
        <v>8607</v>
      </c>
      <c r="B4421" s="787">
        <v>4</v>
      </c>
      <c r="C4421" s="787" t="s">
        <v>8608</v>
      </c>
      <c r="D4421" s="787">
        <v>8.82</v>
      </c>
      <c r="E4421" s="787">
        <v>8.82</v>
      </c>
      <c r="F4421" s="788">
        <v>39101</v>
      </c>
      <c r="G4421" s="788">
        <v>39101</v>
      </c>
      <c r="H4421" s="787">
        <v>1</v>
      </c>
      <c r="I4421" s="788">
        <v>42165</v>
      </c>
      <c r="J4421" s="788">
        <v>39101</v>
      </c>
      <c r="L4421" s="787">
        <v>6.12</v>
      </c>
      <c r="M4421" s="787">
        <v>10</v>
      </c>
      <c r="N4421" s="787">
        <v>8.39</v>
      </c>
      <c r="O4421" s="788">
        <v>42156</v>
      </c>
    </row>
    <row r="4422" spans="1:15" x14ac:dyDescent="0.25">
      <c r="A4422" s="786" t="s">
        <v>8609</v>
      </c>
      <c r="B4422" s="787">
        <v>4</v>
      </c>
      <c r="C4422" s="787" t="s">
        <v>8610</v>
      </c>
      <c r="D4422" s="787">
        <v>2.75</v>
      </c>
      <c r="E4422" s="787">
        <v>2.75</v>
      </c>
      <c r="F4422" s="788">
        <v>37636</v>
      </c>
      <c r="G4422" s="788">
        <v>37636</v>
      </c>
      <c r="H4422" s="787">
        <v>1</v>
      </c>
      <c r="I4422" s="788">
        <v>40039</v>
      </c>
      <c r="J4422" s="788">
        <v>37636</v>
      </c>
      <c r="L4422" s="787">
        <v>4.13</v>
      </c>
      <c r="M4422" s="787">
        <v>10</v>
      </c>
      <c r="N4422" s="787">
        <v>5.81</v>
      </c>
      <c r="O4422" s="788">
        <v>41858</v>
      </c>
    </row>
    <row r="4423" spans="1:15" x14ac:dyDescent="0.25">
      <c r="A4423" s="786" t="s">
        <v>8611</v>
      </c>
      <c r="B4423" s="787">
        <v>4</v>
      </c>
      <c r="C4423" s="787" t="s">
        <v>8612</v>
      </c>
      <c r="D4423" s="787">
        <v>0.53</v>
      </c>
      <c r="E4423" s="787">
        <v>3.79</v>
      </c>
      <c r="F4423" s="788">
        <v>39456</v>
      </c>
      <c r="G4423" s="788">
        <v>42144</v>
      </c>
      <c r="H4423" s="787">
        <v>1</v>
      </c>
      <c r="I4423" s="788">
        <v>42144</v>
      </c>
      <c r="J4423" s="788">
        <v>42104</v>
      </c>
      <c r="L4423" s="787">
        <v>4.4000000000000004</v>
      </c>
      <c r="M4423" s="787">
        <v>10</v>
      </c>
      <c r="N4423" s="787">
        <v>3.24</v>
      </c>
      <c r="O4423" s="788">
        <v>42156</v>
      </c>
    </row>
    <row r="4424" spans="1:15" x14ac:dyDescent="0.25">
      <c r="A4424" s="786" t="s">
        <v>8613</v>
      </c>
      <c r="B4424" s="787">
        <v>4</v>
      </c>
      <c r="C4424" s="787" t="s">
        <v>8614</v>
      </c>
      <c r="D4424" s="787">
        <v>0.11</v>
      </c>
      <c r="E4424" s="787">
        <v>1.51</v>
      </c>
      <c r="F4424" s="788">
        <v>40634</v>
      </c>
      <c r="G4424" s="788">
        <v>42165</v>
      </c>
      <c r="H4424" s="787">
        <v>1</v>
      </c>
      <c r="I4424" s="788">
        <v>42152</v>
      </c>
      <c r="J4424" s="788">
        <v>42157</v>
      </c>
      <c r="K4424" s="788">
        <v>41326</v>
      </c>
      <c r="L4424" s="787">
        <v>3.03</v>
      </c>
      <c r="M4424" s="787">
        <v>10</v>
      </c>
      <c r="N4424" s="787">
        <v>3.3</v>
      </c>
      <c r="O4424" s="788">
        <v>42162</v>
      </c>
    </row>
    <row r="4425" spans="1:15" x14ac:dyDescent="0.25">
      <c r="A4425" s="786" t="s">
        <v>8615</v>
      </c>
      <c r="B4425" s="787">
        <v>4</v>
      </c>
      <c r="C4425" s="787" t="s">
        <v>8616</v>
      </c>
      <c r="D4425" s="787">
        <v>3.84</v>
      </c>
      <c r="E4425" s="787">
        <v>18.37</v>
      </c>
      <c r="F4425" s="788">
        <v>41306</v>
      </c>
      <c r="G4425" s="788">
        <v>42156</v>
      </c>
      <c r="H4425" s="787">
        <v>1</v>
      </c>
      <c r="I4425" s="788">
        <v>42165</v>
      </c>
      <c r="J4425" s="788">
        <v>42152</v>
      </c>
      <c r="L4425" s="787">
        <v>28.39</v>
      </c>
      <c r="M4425" s="787">
        <v>10</v>
      </c>
      <c r="N4425" s="787">
        <v>17.88</v>
      </c>
      <c r="O4425" s="788">
        <v>42162</v>
      </c>
    </row>
    <row r="4426" spans="1:15" x14ac:dyDescent="0.25">
      <c r="A4426" s="786" t="s">
        <v>8617</v>
      </c>
      <c r="B4426" s="787">
        <v>4</v>
      </c>
      <c r="C4426" s="787" t="s">
        <v>8618</v>
      </c>
      <c r="D4426" s="787">
        <v>8.4600000000000009</v>
      </c>
      <c r="E4426" s="787">
        <v>9.0299999999999994</v>
      </c>
      <c r="F4426" s="788">
        <v>41519</v>
      </c>
      <c r="G4426" s="788">
        <v>42082</v>
      </c>
      <c r="H4426" s="787">
        <v>1</v>
      </c>
      <c r="I4426" s="788">
        <v>42166</v>
      </c>
      <c r="J4426" s="788">
        <v>42048</v>
      </c>
      <c r="L4426" s="787">
        <v>24.88</v>
      </c>
      <c r="M4426" s="787">
        <v>10</v>
      </c>
      <c r="N4426" s="787">
        <v>10.69</v>
      </c>
      <c r="O4426" s="788">
        <v>42156</v>
      </c>
    </row>
    <row r="4427" spans="1:15" x14ac:dyDescent="0.25">
      <c r="A4427" s="786" t="s">
        <v>8619</v>
      </c>
      <c r="B4427" s="787">
        <v>4</v>
      </c>
      <c r="C4427" s="787" t="s">
        <v>8620</v>
      </c>
      <c r="D4427" s="787">
        <v>4.5599999999999996</v>
      </c>
      <c r="E4427" s="787">
        <v>4.5599999999999996</v>
      </c>
      <c r="F4427" s="788">
        <v>38047</v>
      </c>
      <c r="G4427" s="788">
        <v>38047</v>
      </c>
      <c r="H4427" s="787">
        <v>1</v>
      </c>
      <c r="I4427" s="788">
        <v>37841</v>
      </c>
      <c r="J4427" s="788">
        <v>38047</v>
      </c>
      <c r="L4427" s="787">
        <v>3.35</v>
      </c>
      <c r="M4427" s="787">
        <v>10</v>
      </c>
      <c r="N4427" s="787">
        <v>6.35</v>
      </c>
      <c r="O4427" s="788">
        <v>42087</v>
      </c>
    </row>
    <row r="4428" spans="1:15" x14ac:dyDescent="0.25">
      <c r="A4428" s="786" t="s">
        <v>8621</v>
      </c>
      <c r="B4428" s="787">
        <v>4</v>
      </c>
      <c r="C4428" s="787" t="s">
        <v>8622</v>
      </c>
      <c r="D4428" s="787">
        <v>9.5399999999999991</v>
      </c>
      <c r="E4428" s="787">
        <v>12.56</v>
      </c>
      <c r="F4428" s="788">
        <v>41855</v>
      </c>
      <c r="G4428" s="788">
        <v>42144</v>
      </c>
      <c r="H4428" s="787">
        <v>1</v>
      </c>
      <c r="I4428" s="788">
        <v>42166</v>
      </c>
      <c r="J4428" s="788">
        <v>42144</v>
      </c>
      <c r="L4428" s="787">
        <v>53.7</v>
      </c>
      <c r="M4428" s="787">
        <v>10</v>
      </c>
      <c r="N4428" s="787">
        <v>11.58</v>
      </c>
      <c r="O4428" s="788">
        <v>42156</v>
      </c>
    </row>
    <row r="4429" spans="1:15" x14ac:dyDescent="0.25">
      <c r="A4429" s="786" t="s">
        <v>8623</v>
      </c>
      <c r="B4429" s="787">
        <v>4</v>
      </c>
      <c r="C4429" s="787" t="s">
        <v>8624</v>
      </c>
      <c r="D4429" s="787">
        <v>2.17</v>
      </c>
      <c r="E4429" s="787">
        <v>9.26</v>
      </c>
      <c r="F4429" s="788">
        <v>39456</v>
      </c>
      <c r="G4429" s="788">
        <v>42157</v>
      </c>
      <c r="H4429" s="787">
        <v>1</v>
      </c>
      <c r="I4429" s="788">
        <v>42165</v>
      </c>
      <c r="J4429" s="788">
        <v>42157</v>
      </c>
      <c r="L4429" s="787">
        <v>3.46</v>
      </c>
      <c r="M4429" s="787">
        <v>10</v>
      </c>
      <c r="N4429" s="787">
        <v>6.39</v>
      </c>
      <c r="O4429" s="788">
        <v>42156</v>
      </c>
    </row>
    <row r="4430" spans="1:15" x14ac:dyDescent="0.25">
      <c r="A4430" s="786" t="s">
        <v>8625</v>
      </c>
      <c r="B4430" s="787">
        <v>4</v>
      </c>
      <c r="C4430" s="787" t="s">
        <v>8626</v>
      </c>
      <c r="D4430" s="787">
        <v>1.92</v>
      </c>
      <c r="E4430" s="787">
        <v>5.97</v>
      </c>
      <c r="F4430" s="788">
        <v>39456</v>
      </c>
      <c r="G4430" s="788">
        <v>42165</v>
      </c>
      <c r="H4430" s="787">
        <v>1</v>
      </c>
      <c r="I4430" s="788">
        <v>42165</v>
      </c>
      <c r="J4430" s="788">
        <v>42165</v>
      </c>
      <c r="K4430" s="788">
        <v>41751</v>
      </c>
      <c r="L4430" s="787">
        <v>5</v>
      </c>
      <c r="M4430" s="787">
        <v>10</v>
      </c>
      <c r="N4430" s="787">
        <v>4.4800000000000004</v>
      </c>
      <c r="O4430" s="788">
        <v>42156</v>
      </c>
    </row>
    <row r="4431" spans="1:15" x14ac:dyDescent="0.25">
      <c r="A4431" s="786" t="s">
        <v>8627</v>
      </c>
      <c r="B4431" s="787">
        <v>4</v>
      </c>
      <c r="C4431" s="787" t="s">
        <v>8628</v>
      </c>
      <c r="D4431" s="787">
        <v>3.04</v>
      </c>
      <c r="E4431" s="787">
        <v>9.41</v>
      </c>
      <c r="F4431" s="788">
        <v>41775</v>
      </c>
      <c r="G4431" s="788">
        <v>42163</v>
      </c>
      <c r="H4431" s="787">
        <v>1</v>
      </c>
      <c r="I4431" s="788">
        <v>42166</v>
      </c>
      <c r="J4431" s="788">
        <v>42157</v>
      </c>
      <c r="L4431" s="787">
        <v>3.45</v>
      </c>
      <c r="M4431" s="787">
        <v>10</v>
      </c>
      <c r="N4431" s="787">
        <v>5.51</v>
      </c>
      <c r="O4431" s="788">
        <v>42156</v>
      </c>
    </row>
    <row r="4432" spans="1:15" x14ac:dyDescent="0.25">
      <c r="A4432" s="786" t="s">
        <v>8629</v>
      </c>
      <c r="B4432" s="787">
        <v>4</v>
      </c>
      <c r="C4432" s="787" t="s">
        <v>8630</v>
      </c>
      <c r="D4432" s="787">
        <v>2.02</v>
      </c>
      <c r="E4432" s="787">
        <v>7.13</v>
      </c>
      <c r="F4432" s="788">
        <v>42144</v>
      </c>
      <c r="G4432" s="788">
        <v>42166</v>
      </c>
      <c r="H4432" s="787">
        <v>1</v>
      </c>
      <c r="I4432" s="788">
        <v>42166</v>
      </c>
      <c r="J4432" s="788">
        <v>42166</v>
      </c>
      <c r="K4432" s="788">
        <v>41751</v>
      </c>
      <c r="L4432" s="787">
        <v>8</v>
      </c>
      <c r="M4432" s="787">
        <v>10</v>
      </c>
      <c r="N4432" s="787">
        <v>8.0399999999999991</v>
      </c>
      <c r="O4432" s="788">
        <v>42156</v>
      </c>
    </row>
    <row r="4433" spans="1:15" x14ac:dyDescent="0.25">
      <c r="A4433" s="786" t="s">
        <v>8631</v>
      </c>
      <c r="B4433" s="787">
        <v>4</v>
      </c>
      <c r="C4433" s="787" t="s">
        <v>8632</v>
      </c>
      <c r="D4433" s="787">
        <v>0</v>
      </c>
      <c r="E4433" s="787">
        <v>0</v>
      </c>
      <c r="H4433" s="787">
        <v>1</v>
      </c>
      <c r="I4433" s="788">
        <v>42166</v>
      </c>
      <c r="J4433" s="788">
        <v>39101</v>
      </c>
      <c r="L4433" s="787">
        <v>11.09</v>
      </c>
      <c r="M4433" s="787">
        <v>10</v>
      </c>
      <c r="N4433" s="787">
        <v>13.33</v>
      </c>
      <c r="O4433" s="788">
        <v>42162</v>
      </c>
    </row>
    <row r="4434" spans="1:15" x14ac:dyDescent="0.25">
      <c r="A4434" s="786" t="s">
        <v>8633</v>
      </c>
      <c r="B4434" s="787">
        <v>4</v>
      </c>
      <c r="C4434" s="787" t="s">
        <v>8634</v>
      </c>
      <c r="D4434" s="787">
        <v>0</v>
      </c>
      <c r="E4434" s="787">
        <v>0</v>
      </c>
      <c r="H4434" s="787">
        <v>1</v>
      </c>
      <c r="I4434" s="788">
        <v>42160</v>
      </c>
      <c r="J4434" s="788">
        <v>39101</v>
      </c>
      <c r="L4434" s="787">
        <v>10.41</v>
      </c>
      <c r="M4434" s="787">
        <v>10</v>
      </c>
      <c r="N4434" s="787">
        <v>11.8</v>
      </c>
      <c r="O4434" s="788">
        <v>42162</v>
      </c>
    </row>
    <row r="4435" spans="1:15" x14ac:dyDescent="0.25">
      <c r="A4435" s="786" t="s">
        <v>8635</v>
      </c>
      <c r="B4435" s="787">
        <v>4</v>
      </c>
      <c r="C4435" s="787" t="s">
        <v>8636</v>
      </c>
      <c r="D4435" s="787">
        <v>0</v>
      </c>
      <c r="E4435" s="787">
        <v>0</v>
      </c>
      <c r="H4435" s="787">
        <v>1</v>
      </c>
      <c r="I4435" s="788">
        <v>42166</v>
      </c>
      <c r="J4435" s="788">
        <v>39101</v>
      </c>
      <c r="L4435" s="787">
        <v>8.3800000000000008</v>
      </c>
      <c r="M4435" s="787">
        <v>10</v>
      </c>
      <c r="N4435" s="787">
        <v>11.58</v>
      </c>
      <c r="O4435" s="788">
        <v>42162</v>
      </c>
    </row>
    <row r="4436" spans="1:15" x14ac:dyDescent="0.25">
      <c r="A4436" s="786" t="s">
        <v>8637</v>
      </c>
      <c r="B4436" s="787">
        <v>4</v>
      </c>
      <c r="C4436" s="787" t="s">
        <v>8638</v>
      </c>
      <c r="D4436" s="787">
        <v>3.86</v>
      </c>
      <c r="E4436" s="787">
        <v>9.8000000000000007</v>
      </c>
      <c r="F4436" s="788">
        <v>41963</v>
      </c>
      <c r="G4436" s="788">
        <v>42159</v>
      </c>
      <c r="H4436" s="787">
        <v>1</v>
      </c>
      <c r="I4436" s="788">
        <v>42166</v>
      </c>
      <c r="J4436" s="788">
        <v>42129</v>
      </c>
      <c r="L4436" s="787">
        <v>6.32</v>
      </c>
      <c r="M4436" s="787">
        <v>10</v>
      </c>
      <c r="N4436" s="787">
        <v>10.130000000000001</v>
      </c>
      <c r="O4436" s="788">
        <v>42162</v>
      </c>
    </row>
    <row r="4437" spans="1:15" x14ac:dyDescent="0.25">
      <c r="A4437" s="786" t="s">
        <v>8639</v>
      </c>
      <c r="B4437" s="787">
        <v>4</v>
      </c>
      <c r="C4437" s="787" t="s">
        <v>8640</v>
      </c>
      <c r="D4437" s="787">
        <v>3.22</v>
      </c>
      <c r="E4437" s="787">
        <v>8.17</v>
      </c>
      <c r="F4437" s="788">
        <v>39456</v>
      </c>
      <c r="G4437" s="788">
        <v>42153</v>
      </c>
      <c r="H4437" s="787">
        <v>1</v>
      </c>
      <c r="I4437" s="788">
        <v>42124</v>
      </c>
      <c r="J4437" s="788">
        <v>42124</v>
      </c>
      <c r="K4437" s="788">
        <v>41746</v>
      </c>
      <c r="L4437" s="787">
        <v>12</v>
      </c>
      <c r="M4437" s="787">
        <v>10</v>
      </c>
      <c r="N4437" s="787">
        <v>19.8</v>
      </c>
      <c r="O4437" s="788">
        <v>42162</v>
      </c>
    </row>
    <row r="4438" spans="1:15" x14ac:dyDescent="0.25">
      <c r="A4438" s="786" t="s">
        <v>8641</v>
      </c>
      <c r="B4438" s="787">
        <v>4</v>
      </c>
      <c r="C4438" s="787" t="s">
        <v>8642</v>
      </c>
      <c r="D4438" s="787">
        <v>3.24</v>
      </c>
      <c r="E4438" s="787">
        <v>15.81</v>
      </c>
      <c r="F4438" s="788">
        <v>39456</v>
      </c>
      <c r="G4438" s="788">
        <v>42150</v>
      </c>
      <c r="H4438" s="787">
        <v>1</v>
      </c>
      <c r="I4438" s="788">
        <v>42150</v>
      </c>
      <c r="J4438" s="788">
        <v>42124</v>
      </c>
      <c r="L4438" s="787">
        <v>6.37</v>
      </c>
      <c r="M4438" s="787">
        <v>10</v>
      </c>
      <c r="N4438" s="787">
        <v>7.43</v>
      </c>
      <c r="O4438" s="788">
        <v>42162</v>
      </c>
    </row>
    <row r="4439" spans="1:15" x14ac:dyDescent="0.25">
      <c r="A4439" s="786" t="s">
        <v>8643</v>
      </c>
      <c r="B4439" s="787">
        <v>4</v>
      </c>
      <c r="C4439" s="787" t="s">
        <v>8644</v>
      </c>
      <c r="D4439" s="787">
        <v>2.95</v>
      </c>
      <c r="E4439" s="787">
        <v>5.51</v>
      </c>
      <c r="F4439" s="788">
        <v>39456</v>
      </c>
      <c r="G4439" s="788">
        <v>42107</v>
      </c>
      <c r="H4439" s="787">
        <v>1</v>
      </c>
      <c r="I4439" s="788">
        <v>42083</v>
      </c>
      <c r="J4439" s="788">
        <v>42079</v>
      </c>
      <c r="L4439" s="787">
        <v>5.97</v>
      </c>
      <c r="M4439" s="787">
        <v>10</v>
      </c>
      <c r="N4439" s="787">
        <v>5.42</v>
      </c>
      <c r="O4439" s="788">
        <v>42162</v>
      </c>
    </row>
    <row r="4440" spans="1:15" x14ac:dyDescent="0.25">
      <c r="A4440" s="786" t="s">
        <v>8645</v>
      </c>
      <c r="B4440" s="787">
        <v>4</v>
      </c>
      <c r="C4440" s="787" t="s">
        <v>8646</v>
      </c>
      <c r="D4440" s="787">
        <v>5.28</v>
      </c>
      <c r="E4440" s="787">
        <v>3.61</v>
      </c>
      <c r="F4440" s="788">
        <v>39101</v>
      </c>
      <c r="G4440" s="788">
        <v>39101</v>
      </c>
      <c r="H4440" s="787">
        <v>1</v>
      </c>
      <c r="I4440" s="788">
        <v>40222</v>
      </c>
      <c r="J4440" s="788">
        <v>39101</v>
      </c>
      <c r="L4440" s="787">
        <v>4.8600000000000003</v>
      </c>
      <c r="M4440" s="787">
        <v>10</v>
      </c>
      <c r="N4440" s="787">
        <v>24.04</v>
      </c>
      <c r="O4440" s="788">
        <v>42048</v>
      </c>
    </row>
    <row r="4441" spans="1:15" x14ac:dyDescent="0.25">
      <c r="A4441" s="786" t="s">
        <v>8647</v>
      </c>
      <c r="B4441" s="787">
        <v>4</v>
      </c>
      <c r="C4441" s="787" t="s">
        <v>8648</v>
      </c>
      <c r="D4441" s="787">
        <v>0.77</v>
      </c>
      <c r="E4441" s="787">
        <v>1.66</v>
      </c>
      <c r="F4441" s="788">
        <v>41775</v>
      </c>
      <c r="G4441" s="788">
        <v>42104</v>
      </c>
      <c r="H4441" s="787">
        <v>1</v>
      </c>
      <c r="I4441" s="788">
        <v>42158</v>
      </c>
      <c r="J4441" s="788">
        <v>42164</v>
      </c>
      <c r="L4441" s="787">
        <v>3.67</v>
      </c>
      <c r="M4441" s="787">
        <v>10</v>
      </c>
      <c r="N4441" s="787">
        <v>3.22</v>
      </c>
      <c r="O4441" s="788">
        <v>42156</v>
      </c>
    </row>
    <row r="4442" spans="1:15" x14ac:dyDescent="0.25">
      <c r="A4442" s="786" t="s">
        <v>8649</v>
      </c>
      <c r="B4442" s="787">
        <v>4</v>
      </c>
      <c r="C4442" s="787" t="s">
        <v>8650</v>
      </c>
      <c r="D4442" s="787">
        <v>3.99</v>
      </c>
      <c r="E4442" s="787">
        <v>18.64</v>
      </c>
      <c r="F4442" s="788">
        <v>41135</v>
      </c>
      <c r="G4442" s="788">
        <v>42159</v>
      </c>
      <c r="H4442" s="787">
        <v>1</v>
      </c>
      <c r="I4442" s="788">
        <v>42165</v>
      </c>
      <c r="J4442" s="788">
        <v>42159</v>
      </c>
      <c r="L4442" s="787">
        <v>36.31</v>
      </c>
      <c r="M4442" s="787">
        <v>10</v>
      </c>
      <c r="N4442" s="787">
        <v>20.47</v>
      </c>
      <c r="O4442" s="788">
        <v>42156</v>
      </c>
    </row>
    <row r="4443" spans="1:15" x14ac:dyDescent="0.25">
      <c r="A4443" s="786" t="s">
        <v>8651</v>
      </c>
      <c r="B4443" s="787">
        <v>4</v>
      </c>
      <c r="C4443" s="787" t="s">
        <v>8652</v>
      </c>
      <c r="D4443" s="787">
        <v>0.99</v>
      </c>
      <c r="E4443" s="787">
        <v>0.99</v>
      </c>
      <c r="F4443" s="788">
        <v>37636</v>
      </c>
      <c r="G4443" s="788">
        <v>37636</v>
      </c>
      <c r="H4443" s="787">
        <v>1</v>
      </c>
      <c r="J4443" s="788">
        <v>37636</v>
      </c>
      <c r="L4443" s="787">
        <v>1.05</v>
      </c>
      <c r="M4443" s="787">
        <v>10</v>
      </c>
      <c r="N4443" s="787">
        <v>1.03</v>
      </c>
      <c r="O4443" s="788">
        <v>42087</v>
      </c>
    </row>
    <row r="4444" spans="1:15" x14ac:dyDescent="0.25">
      <c r="A4444" s="786" t="s">
        <v>8651</v>
      </c>
      <c r="B4444" s="787" t="s">
        <v>2333</v>
      </c>
      <c r="C4444" s="787" t="s">
        <v>2334</v>
      </c>
      <c r="D4444" s="787">
        <v>0</v>
      </c>
      <c r="E4444" s="787">
        <v>8.65</v>
      </c>
      <c r="H4444" s="787">
        <v>6</v>
      </c>
      <c r="L4444" s="787">
        <v>5.96</v>
      </c>
      <c r="M4444" s="787">
        <v>10</v>
      </c>
      <c r="N4444" s="787">
        <v>7.76</v>
      </c>
      <c r="O4444" s="788">
        <v>41815</v>
      </c>
    </row>
    <row r="4445" spans="1:15" x14ac:dyDescent="0.25">
      <c r="A4445" s="786" t="s">
        <v>8653</v>
      </c>
      <c r="B4445" s="787">
        <v>4</v>
      </c>
      <c r="C4445" s="787" t="s">
        <v>8654</v>
      </c>
      <c r="D4445" s="787">
        <v>0.89</v>
      </c>
      <c r="E4445" s="787">
        <v>0.89</v>
      </c>
      <c r="F4445" s="788">
        <v>37636</v>
      </c>
      <c r="G4445" s="788">
        <v>37636</v>
      </c>
      <c r="H4445" s="787">
        <v>1</v>
      </c>
      <c r="J4445" s="788">
        <v>37636</v>
      </c>
      <c r="L4445" s="787">
        <v>0.94</v>
      </c>
      <c r="M4445" s="787">
        <v>10</v>
      </c>
      <c r="N4445" s="787">
        <v>0.93</v>
      </c>
      <c r="O4445" s="788">
        <v>42087</v>
      </c>
    </row>
    <row r="4446" spans="1:15" x14ac:dyDescent="0.25">
      <c r="A4446" s="786" t="s">
        <v>8653</v>
      </c>
      <c r="B4446" s="787" t="s">
        <v>2333</v>
      </c>
      <c r="C4446" s="787" t="s">
        <v>2334</v>
      </c>
      <c r="D4446" s="787">
        <v>8.06</v>
      </c>
      <c r="E4446" s="787">
        <v>8.06</v>
      </c>
      <c r="F4446" s="788">
        <v>37636</v>
      </c>
      <c r="G4446" s="788">
        <v>37636</v>
      </c>
      <c r="H4446" s="787">
        <v>6</v>
      </c>
      <c r="J4446" s="788">
        <v>37636</v>
      </c>
      <c r="L4446" s="787">
        <v>5.63</v>
      </c>
      <c r="M4446" s="787">
        <v>10</v>
      </c>
      <c r="N4446" s="787">
        <v>7.46</v>
      </c>
      <c r="O4446" s="788">
        <v>41815</v>
      </c>
    </row>
    <row r="4447" spans="1:15" x14ac:dyDescent="0.25">
      <c r="A4447" s="786" t="s">
        <v>8655</v>
      </c>
      <c r="B4447" s="787">
        <v>4</v>
      </c>
      <c r="C4447" s="787" t="s">
        <v>8656</v>
      </c>
      <c r="D4447" s="787">
        <v>4.09</v>
      </c>
      <c r="E4447" s="787">
        <v>4.09</v>
      </c>
      <c r="F4447" s="788">
        <v>37636</v>
      </c>
      <c r="G4447" s="788">
        <v>37636</v>
      </c>
      <c r="H4447" s="787">
        <v>1</v>
      </c>
      <c r="J4447" s="788">
        <v>37636</v>
      </c>
      <c r="L4447" s="787">
        <v>4.42</v>
      </c>
      <c r="M4447" s="787">
        <v>10</v>
      </c>
      <c r="N4447" s="787">
        <v>4.33</v>
      </c>
      <c r="O4447" s="788">
        <v>41858</v>
      </c>
    </row>
    <row r="4448" spans="1:15" x14ac:dyDescent="0.25">
      <c r="A4448" s="786" t="s">
        <v>8655</v>
      </c>
      <c r="B4448" s="787" t="s">
        <v>2333</v>
      </c>
      <c r="C4448" s="787" t="s">
        <v>8657</v>
      </c>
      <c r="D4448" s="787">
        <v>8.2100000000000009</v>
      </c>
      <c r="E4448" s="787">
        <v>28.21</v>
      </c>
      <c r="F4448" s="788">
        <v>37636</v>
      </c>
      <c r="G4448" s="788">
        <v>37636</v>
      </c>
      <c r="H4448" s="787">
        <v>6</v>
      </c>
      <c r="J4448" s="788">
        <v>37636</v>
      </c>
      <c r="L4448" s="787">
        <v>14.9</v>
      </c>
      <c r="M4448" s="787">
        <v>10</v>
      </c>
      <c r="N4448" s="787">
        <v>15.76</v>
      </c>
      <c r="O4448" s="788">
        <v>41815</v>
      </c>
    </row>
    <row r="4449" spans="1:15" x14ac:dyDescent="0.25">
      <c r="A4449" s="786" t="s">
        <v>8658</v>
      </c>
      <c r="B4449" s="787">
        <v>4</v>
      </c>
      <c r="C4449" s="787" t="s">
        <v>8659</v>
      </c>
      <c r="D4449" s="787">
        <v>4.09</v>
      </c>
      <c r="E4449" s="787">
        <v>4.09</v>
      </c>
      <c r="F4449" s="788">
        <v>37636</v>
      </c>
      <c r="G4449" s="788">
        <v>37636</v>
      </c>
      <c r="H4449" s="787">
        <v>1</v>
      </c>
      <c r="J4449" s="788">
        <v>37636</v>
      </c>
      <c r="L4449" s="787">
        <v>4.42</v>
      </c>
      <c r="M4449" s="787">
        <v>10</v>
      </c>
      <c r="N4449" s="787">
        <v>4.33</v>
      </c>
      <c r="O4449" s="788">
        <v>42082</v>
      </c>
    </row>
    <row r="4450" spans="1:15" x14ac:dyDescent="0.25">
      <c r="A4450" s="786" t="s">
        <v>8658</v>
      </c>
      <c r="B4450" s="787" t="s">
        <v>2333</v>
      </c>
      <c r="C4450" s="787" t="s">
        <v>8657</v>
      </c>
      <c r="D4450" s="787">
        <v>8.2100000000000009</v>
      </c>
      <c r="E4450" s="787">
        <v>28.21</v>
      </c>
      <c r="F4450" s="788">
        <v>37636</v>
      </c>
      <c r="G4450" s="788">
        <v>37636</v>
      </c>
      <c r="H4450" s="787">
        <v>6</v>
      </c>
      <c r="J4450" s="788">
        <v>37636</v>
      </c>
      <c r="L4450" s="787">
        <v>14.9</v>
      </c>
      <c r="M4450" s="787">
        <v>10</v>
      </c>
      <c r="N4450" s="787">
        <v>15.76</v>
      </c>
      <c r="O4450" s="788">
        <v>41815</v>
      </c>
    </row>
    <row r="4451" spans="1:15" x14ac:dyDescent="0.25">
      <c r="A4451" s="786" t="s">
        <v>8660</v>
      </c>
      <c r="B4451" s="787">
        <v>4</v>
      </c>
      <c r="C4451" s="787" t="s">
        <v>8661</v>
      </c>
      <c r="D4451" s="787">
        <v>2.2200000000000002</v>
      </c>
      <c r="E4451" s="787">
        <v>2.2200000000000002</v>
      </c>
      <c r="F4451" s="788">
        <v>37636</v>
      </c>
      <c r="G4451" s="788">
        <v>37636</v>
      </c>
      <c r="H4451" s="787">
        <v>1</v>
      </c>
      <c r="J4451" s="788">
        <v>37636</v>
      </c>
      <c r="L4451" s="787">
        <v>2.35</v>
      </c>
      <c r="M4451" s="787">
        <v>10</v>
      </c>
      <c r="N4451" s="787">
        <v>2.31</v>
      </c>
      <c r="O4451" s="788">
        <v>41858</v>
      </c>
    </row>
    <row r="4452" spans="1:15" x14ac:dyDescent="0.25">
      <c r="A4452" s="786" t="s">
        <v>8660</v>
      </c>
      <c r="B4452" s="787" t="s">
        <v>2333</v>
      </c>
      <c r="C4452" s="787" t="s">
        <v>8662</v>
      </c>
      <c r="D4452" s="787">
        <v>4.38</v>
      </c>
      <c r="E4452" s="787">
        <v>14.38</v>
      </c>
      <c r="F4452" s="788">
        <v>37636</v>
      </c>
      <c r="G4452" s="788">
        <v>37636</v>
      </c>
      <c r="H4452" s="787">
        <v>6</v>
      </c>
      <c r="J4452" s="788">
        <v>37636</v>
      </c>
      <c r="L4452" s="787">
        <v>9.2100000000000009</v>
      </c>
      <c r="M4452" s="787">
        <v>10</v>
      </c>
      <c r="N4452" s="787">
        <v>11.41</v>
      </c>
      <c r="O4452" s="788">
        <v>41815</v>
      </c>
    </row>
    <row r="4453" spans="1:15" x14ac:dyDescent="0.25">
      <c r="A4453" s="786" t="s">
        <v>8663</v>
      </c>
      <c r="B4453" s="787">
        <v>4</v>
      </c>
      <c r="C4453" s="787" t="s">
        <v>8664</v>
      </c>
      <c r="D4453" s="787">
        <v>3.42</v>
      </c>
      <c r="E4453" s="789">
        <v>28223.42</v>
      </c>
      <c r="F4453" s="788">
        <v>37636</v>
      </c>
      <c r="G4453" s="788">
        <v>41033</v>
      </c>
      <c r="H4453" s="787">
        <v>1</v>
      </c>
      <c r="J4453" s="788">
        <v>37636</v>
      </c>
      <c r="L4453" s="787">
        <v>20.78</v>
      </c>
      <c r="M4453" s="787">
        <v>10</v>
      </c>
      <c r="N4453" s="787">
        <v>28.1</v>
      </c>
      <c r="O4453" s="788">
        <v>42082</v>
      </c>
    </row>
    <row r="4454" spans="1:15" x14ac:dyDescent="0.25">
      <c r="A4454" s="786" t="s">
        <v>8665</v>
      </c>
      <c r="B4454" s="787">
        <v>4</v>
      </c>
      <c r="C4454" s="787" t="s">
        <v>8666</v>
      </c>
      <c r="D4454" s="787">
        <v>2.48</v>
      </c>
      <c r="E4454" s="789">
        <v>14852.48</v>
      </c>
      <c r="F4454" s="788">
        <v>37636</v>
      </c>
      <c r="G4454" s="788">
        <v>40056</v>
      </c>
      <c r="H4454" s="787">
        <v>1</v>
      </c>
      <c r="J4454" s="788">
        <v>37636</v>
      </c>
      <c r="L4454" s="787">
        <v>17.420000000000002</v>
      </c>
      <c r="M4454" s="787">
        <v>10</v>
      </c>
      <c r="N4454" s="787">
        <v>24.55</v>
      </c>
      <c r="O4454" s="788">
        <v>40078</v>
      </c>
    </row>
    <row r="4455" spans="1:15" x14ac:dyDescent="0.25">
      <c r="A4455" s="786" t="s">
        <v>8667</v>
      </c>
      <c r="B4455" s="787">
        <v>4</v>
      </c>
      <c r="C4455" s="787" t="s">
        <v>8668</v>
      </c>
      <c r="D4455" s="787">
        <v>0.18</v>
      </c>
      <c r="E4455" s="787">
        <v>0.18</v>
      </c>
      <c r="F4455" s="788">
        <v>41477</v>
      </c>
      <c r="G4455" s="788">
        <v>42159</v>
      </c>
      <c r="H4455" s="787">
        <v>1</v>
      </c>
      <c r="I4455" s="788">
        <v>42165</v>
      </c>
      <c r="J4455" s="788">
        <v>42159</v>
      </c>
      <c r="L4455" s="787">
        <v>0.51</v>
      </c>
      <c r="M4455" s="787">
        <v>10</v>
      </c>
      <c r="N4455" s="787">
        <v>1.1499999999999999</v>
      </c>
      <c r="O4455" s="788">
        <v>42082</v>
      </c>
    </row>
    <row r="4456" spans="1:15" x14ac:dyDescent="0.25">
      <c r="A4456" s="786" t="s">
        <v>8669</v>
      </c>
      <c r="B4456" s="787">
        <v>4</v>
      </c>
      <c r="C4456" s="787" t="s">
        <v>8670</v>
      </c>
      <c r="D4456" s="787">
        <v>0.14000000000000001</v>
      </c>
      <c r="E4456" s="787">
        <v>0.33</v>
      </c>
      <c r="F4456" s="788">
        <v>41932</v>
      </c>
      <c r="G4456" s="788">
        <v>42114</v>
      </c>
      <c r="H4456" s="787">
        <v>1</v>
      </c>
      <c r="I4456" s="788">
        <v>42166</v>
      </c>
      <c r="J4456" s="788">
        <v>42087</v>
      </c>
      <c r="L4456" s="787">
        <v>0.64</v>
      </c>
      <c r="M4456" s="787">
        <v>10</v>
      </c>
      <c r="N4456" s="787">
        <v>1.29</v>
      </c>
      <c r="O4456" s="788">
        <v>42162</v>
      </c>
    </row>
    <row r="4457" spans="1:15" x14ac:dyDescent="0.25">
      <c r="A4457" s="786" t="s">
        <v>8671</v>
      </c>
      <c r="B4457" s="787">
        <v>4</v>
      </c>
      <c r="C4457" s="787" t="s">
        <v>8672</v>
      </c>
      <c r="D4457" s="787">
        <v>0</v>
      </c>
      <c r="E4457" s="787">
        <v>0</v>
      </c>
      <c r="G4457" s="788">
        <v>37636</v>
      </c>
      <c r="H4457" s="787">
        <v>1</v>
      </c>
      <c r="J4457" s="788">
        <v>37636</v>
      </c>
      <c r="L4457" s="787">
        <v>0.64</v>
      </c>
      <c r="M4457" s="787">
        <v>10</v>
      </c>
      <c r="N4457" s="787">
        <v>0</v>
      </c>
      <c r="O4457" s="788">
        <v>41858</v>
      </c>
    </row>
    <row r="4458" spans="1:15" x14ac:dyDescent="0.25">
      <c r="A4458" s="786" t="s">
        <v>8673</v>
      </c>
      <c r="B4458" s="787">
        <v>4</v>
      </c>
      <c r="C4458" s="787" t="s">
        <v>8674</v>
      </c>
      <c r="D4458" s="787">
        <v>0</v>
      </c>
      <c r="E4458" s="787">
        <v>0</v>
      </c>
      <c r="H4458" s="787">
        <v>1</v>
      </c>
      <c r="J4458" s="788">
        <v>37636</v>
      </c>
      <c r="L4458" s="787">
        <v>0</v>
      </c>
      <c r="M4458" s="787">
        <v>10</v>
      </c>
      <c r="N4458" s="787">
        <v>0</v>
      </c>
      <c r="O4458" s="788">
        <v>41858</v>
      </c>
    </row>
    <row r="4459" spans="1:15" x14ac:dyDescent="0.25">
      <c r="A4459" s="786" t="s">
        <v>8675</v>
      </c>
      <c r="B4459" s="787">
        <v>4</v>
      </c>
      <c r="C4459" s="787" t="s">
        <v>8676</v>
      </c>
      <c r="D4459" s="787">
        <v>0</v>
      </c>
      <c r="E4459" s="787">
        <v>0</v>
      </c>
      <c r="G4459" s="788">
        <v>37636</v>
      </c>
      <c r="H4459" s="787">
        <v>1</v>
      </c>
      <c r="J4459" s="788">
        <v>37636</v>
      </c>
      <c r="L4459" s="787">
        <v>2.41</v>
      </c>
      <c r="M4459" s="787">
        <v>10</v>
      </c>
      <c r="N4459" s="787">
        <v>0</v>
      </c>
      <c r="O4459" s="788">
        <v>42125</v>
      </c>
    </row>
    <row r="4460" spans="1:15" x14ac:dyDescent="0.25">
      <c r="A4460" s="786" t="s">
        <v>8677</v>
      </c>
      <c r="B4460" s="787">
        <v>4</v>
      </c>
      <c r="C4460" s="787" t="s">
        <v>8674</v>
      </c>
      <c r="D4460" s="787">
        <v>0</v>
      </c>
      <c r="E4460" s="787">
        <v>0</v>
      </c>
      <c r="H4460" s="787">
        <v>1</v>
      </c>
      <c r="I4460" s="788">
        <v>37754</v>
      </c>
      <c r="J4460" s="788">
        <v>37636</v>
      </c>
      <c r="L4460" s="787">
        <v>0</v>
      </c>
      <c r="M4460" s="787">
        <v>10</v>
      </c>
      <c r="N4460" s="787">
        <v>0</v>
      </c>
      <c r="O4460" s="788">
        <v>41858</v>
      </c>
    </row>
    <row r="4461" spans="1:15" x14ac:dyDescent="0.25">
      <c r="A4461" s="786" t="s">
        <v>8678</v>
      </c>
      <c r="B4461" s="787">
        <v>4</v>
      </c>
      <c r="C4461" s="787" t="s">
        <v>8672</v>
      </c>
      <c r="D4461" s="787">
        <v>0</v>
      </c>
      <c r="E4461" s="787">
        <v>0</v>
      </c>
      <c r="H4461" s="787">
        <v>1</v>
      </c>
      <c r="I4461" s="788">
        <v>37754</v>
      </c>
      <c r="J4461" s="788">
        <v>37636</v>
      </c>
      <c r="L4461" s="787">
        <v>0</v>
      </c>
      <c r="M4461" s="787">
        <v>10</v>
      </c>
      <c r="N4461" s="787">
        <v>0</v>
      </c>
      <c r="O4461" s="788">
        <v>41858</v>
      </c>
    </row>
    <row r="4462" spans="1:15" x14ac:dyDescent="0.25">
      <c r="A4462" s="786" t="s">
        <v>8679</v>
      </c>
      <c r="B4462" s="787">
        <v>4</v>
      </c>
      <c r="C4462" s="787" t="s">
        <v>8676</v>
      </c>
      <c r="D4462" s="787">
        <v>0</v>
      </c>
      <c r="E4462" s="787">
        <v>0</v>
      </c>
      <c r="H4462" s="787">
        <v>1</v>
      </c>
      <c r="J4462" s="788">
        <v>37636</v>
      </c>
      <c r="L4462" s="787">
        <v>0</v>
      </c>
      <c r="M4462" s="787">
        <v>10</v>
      </c>
      <c r="N4462" s="787">
        <v>0</v>
      </c>
      <c r="O4462" s="788">
        <v>41858</v>
      </c>
    </row>
    <row r="4463" spans="1:15" x14ac:dyDescent="0.25">
      <c r="A4463" s="786" t="s">
        <v>8680</v>
      </c>
      <c r="B4463" s="787">
        <v>4</v>
      </c>
      <c r="C4463" s="787" t="s">
        <v>8681</v>
      </c>
      <c r="D4463" s="787">
        <v>1.37</v>
      </c>
      <c r="E4463" s="787">
        <v>3.6</v>
      </c>
      <c r="F4463" s="788">
        <v>40948</v>
      </c>
      <c r="G4463" s="788">
        <v>42163</v>
      </c>
      <c r="H4463" s="787">
        <v>1</v>
      </c>
      <c r="I4463" s="788">
        <v>42165</v>
      </c>
      <c r="J4463" s="788">
        <v>42156</v>
      </c>
      <c r="K4463" s="788">
        <v>41493</v>
      </c>
      <c r="L4463" s="787">
        <v>13.56</v>
      </c>
      <c r="M4463" s="787">
        <v>10</v>
      </c>
      <c r="N4463" s="787">
        <v>8.0399999999999991</v>
      </c>
      <c r="O4463" s="788">
        <v>42162</v>
      </c>
    </row>
    <row r="4464" spans="1:15" x14ac:dyDescent="0.25">
      <c r="A4464" s="786" t="s">
        <v>8682</v>
      </c>
      <c r="B4464" s="787">
        <v>4</v>
      </c>
      <c r="C4464" s="787" t="s">
        <v>8683</v>
      </c>
      <c r="D4464" s="787">
        <v>0</v>
      </c>
      <c r="E4464" s="787">
        <v>0</v>
      </c>
      <c r="H4464" s="787">
        <v>1</v>
      </c>
      <c r="I4464" s="788">
        <v>40217</v>
      </c>
      <c r="J4464" s="788">
        <v>37636</v>
      </c>
      <c r="L4464" s="787">
        <v>5.71</v>
      </c>
      <c r="M4464" s="787">
        <v>10</v>
      </c>
      <c r="N4464" s="787">
        <v>11.4</v>
      </c>
      <c r="O4464" s="788">
        <v>42156</v>
      </c>
    </row>
    <row r="4465" spans="1:15" x14ac:dyDescent="0.25">
      <c r="A4465" s="786" t="s">
        <v>8684</v>
      </c>
      <c r="B4465" s="787">
        <v>4</v>
      </c>
      <c r="C4465" s="787" t="s">
        <v>8685</v>
      </c>
      <c r="D4465" s="787">
        <v>0</v>
      </c>
      <c r="E4465" s="787">
        <v>0</v>
      </c>
      <c r="F4465" s="788">
        <v>39975</v>
      </c>
      <c r="H4465" s="787">
        <v>6</v>
      </c>
      <c r="I4465" s="788">
        <v>40165</v>
      </c>
      <c r="L4465" s="787">
        <v>0</v>
      </c>
      <c r="M4465" s="787">
        <v>10</v>
      </c>
      <c r="N4465" s="787">
        <v>0</v>
      </c>
      <c r="O4465" s="788">
        <v>41806</v>
      </c>
    </row>
    <row r="4466" spans="1:15" x14ac:dyDescent="0.25">
      <c r="A4466" s="786" t="s">
        <v>8686</v>
      </c>
      <c r="B4466" s="787">
        <v>4</v>
      </c>
      <c r="C4466" s="787" t="s">
        <v>8687</v>
      </c>
      <c r="D4466" s="787">
        <v>0</v>
      </c>
      <c r="E4466" s="787">
        <v>0</v>
      </c>
      <c r="H4466" s="787">
        <v>1</v>
      </c>
      <c r="I4466" s="788">
        <v>40123</v>
      </c>
      <c r="J4466" s="788">
        <v>37636</v>
      </c>
      <c r="L4466" s="787">
        <v>5.71</v>
      </c>
      <c r="M4466" s="787">
        <v>10</v>
      </c>
      <c r="N4466" s="787">
        <v>0</v>
      </c>
      <c r="O4466" s="788">
        <v>42156</v>
      </c>
    </row>
    <row r="4467" spans="1:15" x14ac:dyDescent="0.25">
      <c r="A4467" s="786" t="s">
        <v>8688</v>
      </c>
      <c r="B4467" s="787">
        <v>4</v>
      </c>
      <c r="C4467" s="787" t="s">
        <v>8689</v>
      </c>
      <c r="D4467" s="787">
        <v>6.54</v>
      </c>
      <c r="E4467" s="787">
        <v>6.54</v>
      </c>
      <c r="F4467" s="788">
        <v>39975</v>
      </c>
      <c r="G4467" s="788">
        <v>39975</v>
      </c>
      <c r="H4467" s="787">
        <v>6</v>
      </c>
      <c r="I4467" s="788">
        <v>40165</v>
      </c>
      <c r="J4467" s="788">
        <v>40014</v>
      </c>
      <c r="L4467" s="787">
        <v>6.58</v>
      </c>
      <c r="M4467" s="787">
        <v>10</v>
      </c>
      <c r="N4467" s="787">
        <v>12.59</v>
      </c>
      <c r="O4467" s="788">
        <v>41806</v>
      </c>
    </row>
    <row r="4468" spans="1:15" x14ac:dyDescent="0.25">
      <c r="A4468" s="786" t="s">
        <v>8690</v>
      </c>
      <c r="B4468" s="787">
        <v>4</v>
      </c>
      <c r="C4468" s="787" t="s">
        <v>8691</v>
      </c>
      <c r="D4468" s="787">
        <v>6.25</v>
      </c>
      <c r="E4468" s="787">
        <v>16.25</v>
      </c>
      <c r="F4468" s="788">
        <v>37636</v>
      </c>
      <c r="G4468" s="788">
        <v>37636</v>
      </c>
      <c r="H4468" s="787">
        <v>1</v>
      </c>
      <c r="I4468" s="788">
        <v>40445</v>
      </c>
      <c r="J4468" s="788">
        <v>37636</v>
      </c>
      <c r="L4468" s="787">
        <v>18.63</v>
      </c>
      <c r="M4468" s="787">
        <v>10</v>
      </c>
      <c r="N4468" s="787">
        <v>8.1300000000000008</v>
      </c>
      <c r="O4468" s="788">
        <v>42156</v>
      </c>
    </row>
    <row r="4469" spans="1:15" x14ac:dyDescent="0.25">
      <c r="A4469" s="786" t="s">
        <v>8692</v>
      </c>
      <c r="B4469" s="787">
        <v>4</v>
      </c>
      <c r="C4469" s="787" t="s">
        <v>8693</v>
      </c>
      <c r="D4469" s="787">
        <v>1.63</v>
      </c>
      <c r="E4469" s="787">
        <v>17.36</v>
      </c>
      <c r="F4469" s="788">
        <v>41775</v>
      </c>
      <c r="G4469" s="788">
        <v>42165</v>
      </c>
      <c r="H4469" s="787">
        <v>1</v>
      </c>
      <c r="I4469" s="788">
        <v>42165</v>
      </c>
      <c r="J4469" s="788">
        <v>42165</v>
      </c>
      <c r="K4469" s="788">
        <v>41752</v>
      </c>
      <c r="L4469" s="787">
        <v>8</v>
      </c>
      <c r="M4469" s="787">
        <v>10</v>
      </c>
      <c r="N4469" s="787">
        <v>10.66</v>
      </c>
      <c r="O4469" s="788">
        <v>42156</v>
      </c>
    </row>
    <row r="4470" spans="1:15" x14ac:dyDescent="0.25">
      <c r="A4470" s="786" t="s">
        <v>8694</v>
      </c>
      <c r="B4470" s="787">
        <v>4</v>
      </c>
      <c r="C4470" s="787" t="s">
        <v>8695</v>
      </c>
      <c r="D4470" s="787">
        <v>0</v>
      </c>
      <c r="E4470" s="787">
        <v>0</v>
      </c>
      <c r="H4470" s="787">
        <v>1</v>
      </c>
      <c r="I4470" s="788">
        <v>40108</v>
      </c>
      <c r="J4470" s="788">
        <v>37636</v>
      </c>
      <c r="L4470" s="787">
        <v>11.63</v>
      </c>
      <c r="M4470" s="787">
        <v>10</v>
      </c>
      <c r="N4470" s="787">
        <v>14.07</v>
      </c>
      <c r="O4470" s="788">
        <v>42156</v>
      </c>
    </row>
    <row r="4471" spans="1:15" x14ac:dyDescent="0.25">
      <c r="A4471" s="786" t="s">
        <v>8696</v>
      </c>
      <c r="B4471" s="787">
        <v>4</v>
      </c>
      <c r="C4471" s="787" t="s">
        <v>8697</v>
      </c>
      <c r="D4471" s="787">
        <v>2.34</v>
      </c>
      <c r="E4471" s="787">
        <v>14.22</v>
      </c>
      <c r="F4471" s="788">
        <v>41813</v>
      </c>
      <c r="G4471" s="788">
        <v>42166</v>
      </c>
      <c r="H4471" s="787">
        <v>1</v>
      </c>
      <c r="I4471" s="788">
        <v>42165</v>
      </c>
      <c r="J4471" s="788">
        <v>42166</v>
      </c>
      <c r="K4471" s="788">
        <v>41752</v>
      </c>
      <c r="L4471" s="787">
        <v>7</v>
      </c>
      <c r="M4471" s="787">
        <v>10</v>
      </c>
      <c r="N4471" s="787">
        <v>12.87</v>
      </c>
      <c r="O4471" s="788">
        <v>42156</v>
      </c>
    </row>
    <row r="4472" spans="1:15" x14ac:dyDescent="0.25">
      <c r="A4472" s="786" t="s">
        <v>8698</v>
      </c>
      <c r="B4472" s="787">
        <v>4</v>
      </c>
      <c r="C4472" s="787" t="s">
        <v>8683</v>
      </c>
      <c r="D4472" s="787">
        <v>0</v>
      </c>
      <c r="E4472" s="787">
        <v>0</v>
      </c>
      <c r="H4472" s="787">
        <v>1</v>
      </c>
      <c r="I4472" s="788">
        <v>40200</v>
      </c>
      <c r="J4472" s="788">
        <v>37636</v>
      </c>
      <c r="L4472" s="787">
        <v>6.22</v>
      </c>
      <c r="M4472" s="787">
        <v>10</v>
      </c>
      <c r="N4472" s="787">
        <v>10.58</v>
      </c>
      <c r="O4472" s="788">
        <v>42069</v>
      </c>
    </row>
    <row r="4473" spans="1:15" x14ac:dyDescent="0.25">
      <c r="A4473" s="786" t="s">
        <v>8699</v>
      </c>
      <c r="B4473" s="787">
        <v>4</v>
      </c>
      <c r="C4473" s="787" t="s">
        <v>8685</v>
      </c>
      <c r="D4473" s="787">
        <v>7.02</v>
      </c>
      <c r="E4473" s="787">
        <v>7.02</v>
      </c>
      <c r="F4473" s="788">
        <v>39975</v>
      </c>
      <c r="G4473" s="788">
        <v>39975</v>
      </c>
      <c r="H4473" s="787">
        <v>6</v>
      </c>
      <c r="I4473" s="788">
        <v>40164</v>
      </c>
      <c r="J4473" s="788">
        <v>41607</v>
      </c>
      <c r="L4473" s="787">
        <v>7.63</v>
      </c>
      <c r="M4473" s="787">
        <v>10</v>
      </c>
      <c r="N4473" s="787">
        <v>10.26</v>
      </c>
      <c r="O4473" s="788">
        <v>41806</v>
      </c>
    </row>
    <row r="4474" spans="1:15" x14ac:dyDescent="0.25">
      <c r="A4474" s="786" t="s">
        <v>8700</v>
      </c>
      <c r="B4474" s="787">
        <v>4</v>
      </c>
      <c r="C4474" s="787" t="s">
        <v>8687</v>
      </c>
      <c r="D4474" s="787">
        <v>0</v>
      </c>
      <c r="E4474" s="787">
        <v>0</v>
      </c>
      <c r="H4474" s="787">
        <v>1</v>
      </c>
      <c r="I4474" s="788">
        <v>40207</v>
      </c>
      <c r="J4474" s="788">
        <v>37636</v>
      </c>
      <c r="L4474" s="787">
        <v>7.42</v>
      </c>
      <c r="M4474" s="787">
        <v>10</v>
      </c>
      <c r="N4474" s="787">
        <v>12.57</v>
      </c>
      <c r="O4474" s="788">
        <v>42045</v>
      </c>
    </row>
    <row r="4475" spans="1:15" x14ac:dyDescent="0.25">
      <c r="A4475" s="786" t="s">
        <v>8701</v>
      </c>
      <c r="B4475" s="787">
        <v>4</v>
      </c>
      <c r="C4475" s="787" t="s">
        <v>8689</v>
      </c>
      <c r="D4475" s="787">
        <v>7.02</v>
      </c>
      <c r="E4475" s="787">
        <v>7.02</v>
      </c>
      <c r="F4475" s="788">
        <v>39975</v>
      </c>
      <c r="G4475" s="788">
        <v>40025</v>
      </c>
      <c r="H4475" s="787">
        <v>6</v>
      </c>
      <c r="I4475" s="788">
        <v>40142</v>
      </c>
      <c r="J4475" s="788">
        <v>40156</v>
      </c>
      <c r="L4475" s="787">
        <v>7.44</v>
      </c>
      <c r="M4475" s="787">
        <v>10</v>
      </c>
      <c r="N4475" s="787">
        <v>10.26</v>
      </c>
      <c r="O4475" s="788">
        <v>41806</v>
      </c>
    </row>
    <row r="4476" spans="1:15" x14ac:dyDescent="0.25">
      <c r="A4476" s="786" t="s">
        <v>8702</v>
      </c>
      <c r="B4476" s="787">
        <v>4</v>
      </c>
      <c r="C4476" s="787" t="s">
        <v>8703</v>
      </c>
      <c r="D4476" s="787">
        <v>0</v>
      </c>
      <c r="E4476" s="787">
        <v>0</v>
      </c>
      <c r="H4476" s="787">
        <v>1</v>
      </c>
      <c r="I4476" s="788">
        <v>40192</v>
      </c>
      <c r="J4476" s="788">
        <v>37636</v>
      </c>
      <c r="L4476" s="787">
        <v>12.13</v>
      </c>
      <c r="M4476" s="787">
        <v>10</v>
      </c>
      <c r="N4476" s="787">
        <v>13.5</v>
      </c>
      <c r="O4476" s="788">
        <v>42156</v>
      </c>
    </row>
    <row r="4477" spans="1:15" x14ac:dyDescent="0.25">
      <c r="A4477" s="786" t="s">
        <v>8704</v>
      </c>
      <c r="B4477" s="787">
        <v>4</v>
      </c>
      <c r="C4477" s="787" t="s">
        <v>8693</v>
      </c>
      <c r="D4477" s="787">
        <v>6.9</v>
      </c>
      <c r="E4477" s="787">
        <v>6.9</v>
      </c>
      <c r="F4477" s="788">
        <v>39975</v>
      </c>
      <c r="G4477" s="788">
        <v>39975</v>
      </c>
      <c r="H4477" s="787">
        <v>6</v>
      </c>
      <c r="I4477" s="788">
        <v>40147</v>
      </c>
      <c r="J4477" s="788">
        <v>37636</v>
      </c>
      <c r="L4477" s="787">
        <v>3.9</v>
      </c>
      <c r="M4477" s="787">
        <v>10</v>
      </c>
      <c r="N4477" s="787">
        <v>10.11</v>
      </c>
      <c r="O4477" s="788">
        <v>41806</v>
      </c>
    </row>
    <row r="4478" spans="1:15" x14ac:dyDescent="0.25">
      <c r="A4478" s="786" t="s">
        <v>8705</v>
      </c>
      <c r="B4478" s="787">
        <v>4</v>
      </c>
      <c r="C4478" s="787" t="s">
        <v>8695</v>
      </c>
      <c r="D4478" s="787">
        <v>0</v>
      </c>
      <c r="E4478" s="787">
        <v>0</v>
      </c>
      <c r="H4478" s="787">
        <v>1</v>
      </c>
      <c r="I4478" s="788">
        <v>40422</v>
      </c>
      <c r="J4478" s="788">
        <v>37636</v>
      </c>
      <c r="L4478" s="787">
        <v>12.9</v>
      </c>
      <c r="M4478" s="787">
        <v>10</v>
      </c>
      <c r="N4478" s="787">
        <v>15.52</v>
      </c>
      <c r="O4478" s="788">
        <v>42156</v>
      </c>
    </row>
    <row r="4479" spans="1:15" x14ac:dyDescent="0.25">
      <c r="A4479" s="786" t="s">
        <v>8706</v>
      </c>
      <c r="B4479" s="787">
        <v>4</v>
      </c>
      <c r="C4479" s="787" t="s">
        <v>8697</v>
      </c>
      <c r="D4479" s="787">
        <v>6.9</v>
      </c>
      <c r="E4479" s="787">
        <v>13.95</v>
      </c>
      <c r="F4479" s="788">
        <v>39975</v>
      </c>
      <c r="G4479" s="788">
        <v>42153</v>
      </c>
      <c r="H4479" s="787">
        <v>1</v>
      </c>
      <c r="I4479" s="788">
        <v>42160</v>
      </c>
      <c r="J4479" s="788">
        <v>42123</v>
      </c>
      <c r="K4479" s="788">
        <v>41751</v>
      </c>
      <c r="L4479" s="787">
        <v>10</v>
      </c>
      <c r="M4479" s="787">
        <v>10</v>
      </c>
      <c r="N4479" s="787">
        <v>10.59</v>
      </c>
      <c r="O4479" s="788">
        <v>42162</v>
      </c>
    </row>
    <row r="4480" spans="1:15" x14ac:dyDescent="0.25">
      <c r="A4480" s="786" t="s">
        <v>8707</v>
      </c>
      <c r="B4480" s="787">
        <v>4</v>
      </c>
      <c r="C4480" s="787" t="s">
        <v>8683</v>
      </c>
      <c r="D4480" s="787">
        <v>0</v>
      </c>
      <c r="E4480" s="787">
        <v>0</v>
      </c>
      <c r="H4480" s="787">
        <v>1</v>
      </c>
      <c r="I4480" s="788">
        <v>40416</v>
      </c>
      <c r="J4480" s="788">
        <v>37636</v>
      </c>
      <c r="L4480" s="787">
        <v>0</v>
      </c>
      <c r="M4480" s="787">
        <v>10</v>
      </c>
      <c r="N4480" s="787">
        <v>14.61</v>
      </c>
      <c r="O4480" s="788">
        <v>42124</v>
      </c>
    </row>
    <row r="4481" spans="1:15" x14ac:dyDescent="0.25">
      <c r="A4481" s="786" t="s">
        <v>8708</v>
      </c>
      <c r="B4481" s="787">
        <v>4</v>
      </c>
      <c r="C4481" s="787" t="s">
        <v>8709</v>
      </c>
      <c r="D4481" s="787">
        <v>9.5500000000000007</v>
      </c>
      <c r="E4481" s="787">
        <v>20.46</v>
      </c>
      <c r="F4481" s="788">
        <v>40644</v>
      </c>
      <c r="G4481" s="788">
        <v>42107</v>
      </c>
      <c r="H4481" s="787">
        <v>1</v>
      </c>
      <c r="I4481" s="788">
        <v>42160</v>
      </c>
      <c r="J4481" s="788">
        <v>42076</v>
      </c>
      <c r="K4481" s="788">
        <v>41746</v>
      </c>
      <c r="L4481" s="787">
        <v>17</v>
      </c>
      <c r="M4481" s="787">
        <v>10</v>
      </c>
      <c r="N4481" s="787">
        <v>23.84</v>
      </c>
      <c r="O4481" s="788">
        <v>42156</v>
      </c>
    </row>
    <row r="4482" spans="1:15" x14ac:dyDescent="0.25">
      <c r="A4482" s="786" t="s">
        <v>8710</v>
      </c>
      <c r="B4482" s="787">
        <v>4</v>
      </c>
      <c r="C4482" s="787" t="s">
        <v>8687</v>
      </c>
      <c r="D4482" s="787">
        <v>0</v>
      </c>
      <c r="E4482" s="787">
        <v>0</v>
      </c>
      <c r="H4482" s="787">
        <v>1</v>
      </c>
      <c r="I4482" s="788">
        <v>40364</v>
      </c>
      <c r="J4482" s="788">
        <v>37636</v>
      </c>
      <c r="L4482" s="787">
        <v>0</v>
      </c>
      <c r="M4482" s="787">
        <v>10</v>
      </c>
      <c r="N4482" s="787">
        <v>11.08</v>
      </c>
      <c r="O4482" s="788">
        <v>41858</v>
      </c>
    </row>
    <row r="4483" spans="1:15" x14ac:dyDescent="0.25">
      <c r="A4483" s="786" t="s">
        <v>8711</v>
      </c>
      <c r="B4483" s="787">
        <v>4</v>
      </c>
      <c r="C4483" s="787" t="s">
        <v>8689</v>
      </c>
      <c r="D4483" s="787">
        <v>3.1</v>
      </c>
      <c r="E4483" s="787">
        <v>16.32</v>
      </c>
      <c r="F4483" s="788">
        <v>41813</v>
      </c>
      <c r="G4483" s="788">
        <v>42068</v>
      </c>
      <c r="H4483" s="787">
        <v>1</v>
      </c>
      <c r="I4483" s="788">
        <v>42145</v>
      </c>
      <c r="J4483" s="788">
        <v>42039</v>
      </c>
      <c r="K4483" s="788">
        <v>41751</v>
      </c>
      <c r="L4483" s="787">
        <v>11</v>
      </c>
      <c r="M4483" s="787">
        <v>10</v>
      </c>
      <c r="N4483" s="787">
        <v>9.77</v>
      </c>
      <c r="O4483" s="788">
        <v>42156</v>
      </c>
    </row>
    <row r="4484" spans="1:15" x14ac:dyDescent="0.25">
      <c r="A4484" s="786" t="s">
        <v>8712</v>
      </c>
      <c r="B4484" s="787">
        <v>4</v>
      </c>
      <c r="C4484" s="787" t="s">
        <v>8703</v>
      </c>
      <c r="D4484" s="787">
        <v>0</v>
      </c>
      <c r="E4484" s="787">
        <v>0</v>
      </c>
      <c r="H4484" s="787">
        <v>1</v>
      </c>
      <c r="I4484" s="788">
        <v>40326</v>
      </c>
      <c r="J4484" s="788">
        <v>37636</v>
      </c>
      <c r="L4484" s="787">
        <v>0</v>
      </c>
      <c r="M4484" s="787">
        <v>10</v>
      </c>
      <c r="N4484" s="787">
        <v>21.59</v>
      </c>
      <c r="O4484" s="788">
        <v>42124</v>
      </c>
    </row>
    <row r="4485" spans="1:15" x14ac:dyDescent="0.25">
      <c r="A4485" s="786" t="s">
        <v>8713</v>
      </c>
      <c r="B4485" s="787">
        <v>4</v>
      </c>
      <c r="C4485" s="787" t="s">
        <v>8693</v>
      </c>
      <c r="D4485" s="787">
        <v>1.4</v>
      </c>
      <c r="E4485" s="787">
        <v>16.89</v>
      </c>
      <c r="F4485" s="788">
        <v>41813</v>
      </c>
      <c r="G4485" s="788">
        <v>42159</v>
      </c>
      <c r="H4485" s="787">
        <v>1</v>
      </c>
      <c r="I4485" s="788">
        <v>42166</v>
      </c>
      <c r="J4485" s="788">
        <v>42128</v>
      </c>
      <c r="K4485" s="788">
        <v>41904</v>
      </c>
      <c r="L4485" s="787">
        <v>27</v>
      </c>
      <c r="M4485" s="787">
        <v>10</v>
      </c>
      <c r="N4485" s="787">
        <v>24.74</v>
      </c>
      <c r="O4485" s="788">
        <v>42124</v>
      </c>
    </row>
    <row r="4486" spans="1:15" x14ac:dyDescent="0.25">
      <c r="A4486" s="786" t="s">
        <v>8714</v>
      </c>
      <c r="B4486" s="787">
        <v>4</v>
      </c>
      <c r="C4486" s="787" t="s">
        <v>8695</v>
      </c>
      <c r="D4486" s="787">
        <v>0</v>
      </c>
      <c r="E4486" s="787">
        <v>0</v>
      </c>
      <c r="H4486" s="787">
        <v>1</v>
      </c>
      <c r="I4486" s="788">
        <v>40479</v>
      </c>
      <c r="J4486" s="788">
        <v>37636</v>
      </c>
      <c r="K4486" s="788">
        <v>41709</v>
      </c>
      <c r="L4486" s="787">
        <v>17</v>
      </c>
      <c r="M4486" s="787">
        <v>10</v>
      </c>
      <c r="N4486" s="787">
        <v>17.02</v>
      </c>
      <c r="O4486" s="788">
        <v>42156</v>
      </c>
    </row>
    <row r="4487" spans="1:15" x14ac:dyDescent="0.25">
      <c r="A4487" s="786" t="s">
        <v>8715</v>
      </c>
      <c r="B4487" s="787">
        <v>4</v>
      </c>
      <c r="C4487" s="787" t="s">
        <v>8697</v>
      </c>
      <c r="D4487" s="787">
        <v>8.98</v>
      </c>
      <c r="E4487" s="787">
        <v>10.52</v>
      </c>
      <c r="F4487" s="788">
        <v>41526</v>
      </c>
      <c r="G4487" s="788">
        <v>42111</v>
      </c>
      <c r="H4487" s="787">
        <v>1</v>
      </c>
      <c r="I4487" s="788">
        <v>42150</v>
      </c>
      <c r="J4487" s="788">
        <v>42124</v>
      </c>
      <c r="K4487" s="788">
        <v>41751</v>
      </c>
      <c r="L4487" s="787">
        <v>11</v>
      </c>
      <c r="M4487" s="787">
        <v>10</v>
      </c>
      <c r="N4487" s="787">
        <v>9.64</v>
      </c>
      <c r="O4487" s="788">
        <v>42162</v>
      </c>
    </row>
    <row r="4488" spans="1:15" x14ac:dyDescent="0.25">
      <c r="A4488" s="786" t="s">
        <v>8716</v>
      </c>
      <c r="B4488" s="787">
        <v>4</v>
      </c>
      <c r="C4488" s="787" t="s">
        <v>8672</v>
      </c>
      <c r="D4488" s="787">
        <v>0</v>
      </c>
      <c r="E4488" s="787">
        <v>0</v>
      </c>
      <c r="H4488" s="787">
        <v>1</v>
      </c>
      <c r="J4488" s="788">
        <v>37636</v>
      </c>
      <c r="L4488" s="787">
        <v>0</v>
      </c>
      <c r="M4488" s="787">
        <v>10</v>
      </c>
      <c r="N4488" s="787">
        <v>0</v>
      </c>
      <c r="O4488" s="788">
        <v>41858</v>
      </c>
    </row>
    <row r="4489" spans="1:15" x14ac:dyDescent="0.25">
      <c r="A4489" s="786" t="s">
        <v>8717</v>
      </c>
      <c r="B4489" s="787">
        <v>4</v>
      </c>
      <c r="C4489" s="787" t="s">
        <v>8674</v>
      </c>
      <c r="D4489" s="787">
        <v>0</v>
      </c>
      <c r="E4489" s="787">
        <v>0</v>
      </c>
      <c r="H4489" s="787">
        <v>1</v>
      </c>
      <c r="J4489" s="788">
        <v>37636</v>
      </c>
      <c r="L4489" s="787">
        <v>0</v>
      </c>
      <c r="M4489" s="787">
        <v>10</v>
      </c>
      <c r="N4489" s="787">
        <v>0</v>
      </c>
      <c r="O4489" s="788">
        <v>41858</v>
      </c>
    </row>
    <row r="4490" spans="1:15" x14ac:dyDescent="0.25">
      <c r="A4490" s="786" t="s">
        <v>8718</v>
      </c>
      <c r="B4490" s="787">
        <v>4</v>
      </c>
      <c r="C4490" s="787" t="s">
        <v>8676</v>
      </c>
      <c r="D4490" s="787">
        <v>0</v>
      </c>
      <c r="E4490" s="787">
        <v>0</v>
      </c>
      <c r="H4490" s="787">
        <v>1</v>
      </c>
      <c r="J4490" s="788">
        <v>37636</v>
      </c>
      <c r="L4490" s="787">
        <v>0</v>
      </c>
      <c r="M4490" s="787">
        <v>10</v>
      </c>
      <c r="N4490" s="787">
        <v>0</v>
      </c>
      <c r="O4490" s="788">
        <v>41858</v>
      </c>
    </row>
    <row r="4491" spans="1:15" x14ac:dyDescent="0.25">
      <c r="A4491" s="786" t="s">
        <v>8719</v>
      </c>
      <c r="B4491" s="787">
        <v>4</v>
      </c>
      <c r="C4491" s="787" t="s">
        <v>8720</v>
      </c>
      <c r="D4491" s="787">
        <v>0</v>
      </c>
      <c r="E4491" s="787">
        <v>0</v>
      </c>
      <c r="H4491" s="787">
        <v>1</v>
      </c>
      <c r="J4491" s="788">
        <v>37636</v>
      </c>
      <c r="L4491" s="787">
        <v>0</v>
      </c>
      <c r="M4491" s="787">
        <v>10</v>
      </c>
      <c r="N4491" s="787">
        <v>4.9400000000000004</v>
      </c>
      <c r="O4491" s="788">
        <v>42087</v>
      </c>
    </row>
    <row r="4492" spans="1:15" x14ac:dyDescent="0.25">
      <c r="A4492" s="786" t="s">
        <v>8721</v>
      </c>
      <c r="B4492" s="787">
        <v>4</v>
      </c>
      <c r="C4492" s="787" t="s">
        <v>8722</v>
      </c>
      <c r="D4492" s="787">
        <v>0</v>
      </c>
      <c r="E4492" s="787">
        <v>0</v>
      </c>
      <c r="H4492" s="787">
        <v>1</v>
      </c>
      <c r="J4492" s="788">
        <v>37636</v>
      </c>
      <c r="L4492" s="787">
        <v>0</v>
      </c>
      <c r="M4492" s="787">
        <v>10</v>
      </c>
      <c r="N4492" s="787">
        <v>4.93</v>
      </c>
      <c r="O4492" s="788">
        <v>42082</v>
      </c>
    </row>
    <row r="4493" spans="1:15" x14ac:dyDescent="0.25">
      <c r="A4493" s="786" t="s">
        <v>8723</v>
      </c>
      <c r="B4493" s="787">
        <v>4</v>
      </c>
      <c r="C4493" s="787" t="s">
        <v>8724</v>
      </c>
      <c r="D4493" s="787">
        <v>0.62</v>
      </c>
      <c r="E4493" s="787">
        <v>3.57</v>
      </c>
      <c r="F4493" s="788">
        <v>39456</v>
      </c>
      <c r="G4493" s="788">
        <v>42144</v>
      </c>
      <c r="H4493" s="787">
        <v>1</v>
      </c>
      <c r="I4493" s="788">
        <v>42137</v>
      </c>
      <c r="J4493" s="788">
        <v>42144</v>
      </c>
      <c r="L4493" s="787">
        <v>1.27</v>
      </c>
      <c r="M4493" s="787">
        <v>10</v>
      </c>
      <c r="N4493" s="787">
        <v>2.63</v>
      </c>
      <c r="O4493" s="788">
        <v>42156</v>
      </c>
    </row>
    <row r="4494" spans="1:15" x14ac:dyDescent="0.25">
      <c r="A4494" s="786" t="s">
        <v>8725</v>
      </c>
      <c r="B4494" s="787">
        <v>4</v>
      </c>
      <c r="C4494" s="787" t="s">
        <v>8726</v>
      </c>
      <c r="D4494" s="787">
        <v>0.52</v>
      </c>
      <c r="E4494" s="787">
        <v>2.29</v>
      </c>
      <c r="F4494" s="788">
        <v>39456</v>
      </c>
      <c r="G4494" s="788">
        <v>42114</v>
      </c>
      <c r="H4494" s="787">
        <v>1</v>
      </c>
      <c r="I4494" s="788">
        <v>42086</v>
      </c>
      <c r="J4494" s="788">
        <v>42086</v>
      </c>
      <c r="L4494" s="787">
        <v>1.18</v>
      </c>
      <c r="M4494" s="787">
        <v>10</v>
      </c>
      <c r="N4494" s="787">
        <v>1.67</v>
      </c>
      <c r="O4494" s="788">
        <v>42156</v>
      </c>
    </row>
    <row r="4495" spans="1:15" x14ac:dyDescent="0.25">
      <c r="A4495" s="786" t="s">
        <v>8727</v>
      </c>
      <c r="B4495" s="787">
        <v>4</v>
      </c>
      <c r="C4495" s="787" t="s">
        <v>8728</v>
      </c>
      <c r="D4495" s="787">
        <v>0.42</v>
      </c>
      <c r="E4495" s="787">
        <v>1.24</v>
      </c>
      <c r="F4495" s="788">
        <v>39456</v>
      </c>
      <c r="G4495" s="788">
        <v>42114</v>
      </c>
      <c r="H4495" s="787">
        <v>1</v>
      </c>
      <c r="I4495" s="788">
        <v>42080</v>
      </c>
      <c r="J4495" s="788">
        <v>42086</v>
      </c>
      <c r="L4495" s="787">
        <v>0.61</v>
      </c>
      <c r="M4495" s="787">
        <v>10</v>
      </c>
      <c r="N4495" s="787">
        <v>1.35</v>
      </c>
      <c r="O4495" s="788">
        <v>42156</v>
      </c>
    </row>
    <row r="4496" spans="1:15" x14ac:dyDescent="0.25">
      <c r="A4496" s="786" t="s">
        <v>8729</v>
      </c>
      <c r="B4496" s="787">
        <v>4</v>
      </c>
      <c r="C4496" s="787" t="s">
        <v>8730</v>
      </c>
      <c r="D4496" s="787">
        <v>0.56999999999999995</v>
      </c>
      <c r="E4496" s="787">
        <v>1.99</v>
      </c>
      <c r="F4496" s="788">
        <v>39456</v>
      </c>
      <c r="G4496" s="788">
        <v>42163</v>
      </c>
      <c r="H4496" s="787">
        <v>1</v>
      </c>
      <c r="I4496" s="788">
        <v>42165</v>
      </c>
      <c r="J4496" s="788">
        <v>42151</v>
      </c>
      <c r="L4496" s="787">
        <v>0.79</v>
      </c>
      <c r="M4496" s="787">
        <v>10</v>
      </c>
      <c r="N4496" s="787">
        <v>1.74</v>
      </c>
      <c r="O4496" s="788">
        <v>42162</v>
      </c>
    </row>
    <row r="4497" spans="1:15" x14ac:dyDescent="0.25">
      <c r="A4497" s="786" t="s">
        <v>8731</v>
      </c>
      <c r="B4497" s="787">
        <v>4</v>
      </c>
      <c r="C4497" s="787" t="s">
        <v>8648</v>
      </c>
      <c r="D4497" s="787">
        <v>0.99</v>
      </c>
      <c r="E4497" s="787">
        <v>3.02</v>
      </c>
      <c r="F4497" s="788">
        <v>40948</v>
      </c>
      <c r="G4497" s="788">
        <v>42165</v>
      </c>
      <c r="H4497" s="787">
        <v>1</v>
      </c>
      <c r="I4497" s="788">
        <v>42165</v>
      </c>
      <c r="J4497" s="788">
        <v>42165</v>
      </c>
      <c r="L4497" s="787">
        <v>2.5099999999999998</v>
      </c>
      <c r="M4497" s="787">
        <v>10</v>
      </c>
      <c r="N4497" s="787">
        <v>3.51</v>
      </c>
      <c r="O4497" s="788">
        <v>42162</v>
      </c>
    </row>
    <row r="4498" spans="1:15" x14ac:dyDescent="0.25">
      <c r="A4498" s="786" t="s">
        <v>8732</v>
      </c>
      <c r="B4498" s="787">
        <v>4</v>
      </c>
      <c r="C4498" s="787" t="s">
        <v>8733</v>
      </c>
      <c r="D4498" s="787">
        <v>0.59</v>
      </c>
      <c r="E4498" s="787">
        <v>1.94</v>
      </c>
      <c r="F4498" s="788">
        <v>39975</v>
      </c>
      <c r="G4498" s="788">
        <v>42068</v>
      </c>
      <c r="H4498" s="787">
        <v>1</v>
      </c>
      <c r="I4498" s="788">
        <v>42104</v>
      </c>
      <c r="J4498" s="788">
        <v>42118</v>
      </c>
      <c r="L4498" s="787">
        <v>2.29</v>
      </c>
      <c r="M4498" s="787">
        <v>10</v>
      </c>
      <c r="N4498" s="787">
        <v>2.3199999999999998</v>
      </c>
      <c r="O4498" s="788">
        <v>42156</v>
      </c>
    </row>
    <row r="4499" spans="1:15" x14ac:dyDescent="0.25">
      <c r="A4499" s="786" t="s">
        <v>8734</v>
      </c>
      <c r="B4499" s="787">
        <v>4</v>
      </c>
      <c r="C4499" s="787" t="s">
        <v>8735</v>
      </c>
      <c r="D4499" s="787">
        <v>3.2</v>
      </c>
      <c r="E4499" s="787">
        <v>8.24</v>
      </c>
      <c r="F4499" s="788">
        <v>41579</v>
      </c>
      <c r="G4499" s="788">
        <v>42159</v>
      </c>
      <c r="H4499" s="787">
        <v>1</v>
      </c>
      <c r="I4499" s="788">
        <v>42166</v>
      </c>
      <c r="J4499" s="788">
        <v>42150</v>
      </c>
      <c r="L4499" s="787">
        <v>4.5199999999999996</v>
      </c>
      <c r="M4499" s="787">
        <v>10</v>
      </c>
      <c r="N4499" s="787">
        <v>7.33</v>
      </c>
      <c r="O4499" s="788">
        <v>42162</v>
      </c>
    </row>
    <row r="4500" spans="1:15" x14ac:dyDescent="0.25">
      <c r="A4500" s="786" t="s">
        <v>8736</v>
      </c>
      <c r="B4500" s="787">
        <v>4</v>
      </c>
      <c r="C4500" s="787" t="s">
        <v>8737</v>
      </c>
      <c r="D4500" s="787">
        <v>2.97</v>
      </c>
      <c r="E4500" s="787">
        <v>18.88</v>
      </c>
      <c r="F4500" s="788">
        <v>41135</v>
      </c>
      <c r="G4500" s="788">
        <v>42156</v>
      </c>
      <c r="H4500" s="787">
        <v>1</v>
      </c>
      <c r="I4500" s="788">
        <v>42166</v>
      </c>
      <c r="J4500" s="788">
        <v>42151</v>
      </c>
      <c r="K4500" s="788">
        <v>41134</v>
      </c>
      <c r="L4500" s="787">
        <v>19.440000000000001</v>
      </c>
      <c r="M4500" s="787">
        <v>10</v>
      </c>
      <c r="N4500" s="787">
        <v>19.25</v>
      </c>
      <c r="O4500" s="788">
        <v>42162</v>
      </c>
    </row>
    <row r="4501" spans="1:15" x14ac:dyDescent="0.25">
      <c r="A4501" s="786" t="s">
        <v>8738</v>
      </c>
      <c r="B4501" s="787">
        <v>4</v>
      </c>
      <c r="C4501" s="787" t="s">
        <v>8739</v>
      </c>
      <c r="D4501" s="787">
        <v>8.66</v>
      </c>
      <c r="E4501" s="787">
        <v>8.7200000000000006</v>
      </c>
      <c r="F4501" s="788">
        <v>41977</v>
      </c>
      <c r="G4501" s="788">
        <v>42137</v>
      </c>
      <c r="H4501" s="787">
        <v>1</v>
      </c>
      <c r="I4501" s="788">
        <v>42160</v>
      </c>
      <c r="J4501" s="788">
        <v>42104</v>
      </c>
      <c r="L4501" s="787">
        <v>2.91</v>
      </c>
      <c r="M4501" s="787">
        <v>10</v>
      </c>
      <c r="N4501" s="787">
        <v>10.33</v>
      </c>
      <c r="O4501" s="788">
        <v>42156</v>
      </c>
    </row>
    <row r="4502" spans="1:15" x14ac:dyDescent="0.25">
      <c r="A4502" s="786" t="s">
        <v>8740</v>
      </c>
      <c r="B4502" s="787">
        <v>4</v>
      </c>
      <c r="C4502" s="787" t="s">
        <v>8741</v>
      </c>
      <c r="D4502" s="787">
        <v>1.28</v>
      </c>
      <c r="E4502" s="787">
        <v>4.8499999999999996</v>
      </c>
      <c r="F4502" s="788">
        <v>39456</v>
      </c>
      <c r="G4502" s="788">
        <v>42110</v>
      </c>
      <c r="H4502" s="787">
        <v>1</v>
      </c>
      <c r="I4502" s="788">
        <v>42076</v>
      </c>
      <c r="J4502" s="788">
        <v>42082</v>
      </c>
      <c r="L4502" s="787">
        <v>2.41</v>
      </c>
      <c r="M4502" s="787">
        <v>10</v>
      </c>
      <c r="N4502" s="787">
        <v>2.14</v>
      </c>
      <c r="O4502" s="788">
        <v>42156</v>
      </c>
    </row>
    <row r="4503" spans="1:15" x14ac:dyDescent="0.25">
      <c r="A4503" s="786" t="s">
        <v>8742</v>
      </c>
      <c r="B4503" s="787">
        <v>4</v>
      </c>
      <c r="C4503" s="787" t="s">
        <v>8743</v>
      </c>
      <c r="D4503" s="787">
        <v>0.83</v>
      </c>
      <c r="E4503" s="787">
        <v>2.29</v>
      </c>
      <c r="F4503" s="788">
        <v>41968</v>
      </c>
      <c r="G4503" s="788">
        <v>42068</v>
      </c>
      <c r="H4503" s="787">
        <v>1</v>
      </c>
      <c r="I4503" s="788">
        <v>42052</v>
      </c>
      <c r="J4503" s="788">
        <v>42039</v>
      </c>
      <c r="L4503" s="787">
        <v>1.71</v>
      </c>
      <c r="M4503" s="787">
        <v>10</v>
      </c>
      <c r="N4503" s="787">
        <v>2.1</v>
      </c>
      <c r="O4503" s="788">
        <v>42156</v>
      </c>
    </row>
    <row r="4504" spans="1:15" x14ac:dyDescent="0.25">
      <c r="A4504" s="786" t="s">
        <v>8744</v>
      </c>
      <c r="B4504" s="787">
        <v>4</v>
      </c>
      <c r="C4504" s="787" t="s">
        <v>8745</v>
      </c>
      <c r="D4504" s="787">
        <v>1.03</v>
      </c>
      <c r="E4504" s="787">
        <v>3.02</v>
      </c>
      <c r="F4504" s="788">
        <v>39456</v>
      </c>
      <c r="G4504" s="788">
        <v>42068</v>
      </c>
      <c r="H4504" s="787">
        <v>1</v>
      </c>
      <c r="I4504" s="788">
        <v>42038</v>
      </c>
      <c r="J4504" s="788">
        <v>42039</v>
      </c>
      <c r="L4504" s="787">
        <v>1.86</v>
      </c>
      <c r="M4504" s="787">
        <v>10</v>
      </c>
      <c r="N4504" s="787">
        <v>2.0299999999999998</v>
      </c>
      <c r="O4504" s="788">
        <v>42156</v>
      </c>
    </row>
    <row r="4505" spans="1:15" x14ac:dyDescent="0.25">
      <c r="A4505" s="786" t="s">
        <v>8746</v>
      </c>
      <c r="B4505" s="787">
        <v>4</v>
      </c>
      <c r="C4505" s="787" t="s">
        <v>8747</v>
      </c>
      <c r="D4505" s="787">
        <v>0.22</v>
      </c>
      <c r="E4505" s="787">
        <v>1.33</v>
      </c>
      <c r="F4505" s="788">
        <v>41813</v>
      </c>
      <c r="G4505" s="788">
        <v>42030</v>
      </c>
      <c r="H4505" s="787">
        <v>1</v>
      </c>
      <c r="I4505" s="788">
        <v>42164</v>
      </c>
      <c r="J4505" s="788">
        <v>41990</v>
      </c>
      <c r="L4505" s="787">
        <v>5.3</v>
      </c>
      <c r="M4505" s="787">
        <v>10</v>
      </c>
      <c r="N4505" s="787">
        <v>1.79</v>
      </c>
      <c r="O4505" s="788">
        <v>42162</v>
      </c>
    </row>
    <row r="4506" spans="1:15" x14ac:dyDescent="0.25">
      <c r="A4506" s="786" t="s">
        <v>8748</v>
      </c>
      <c r="B4506" s="787">
        <v>4</v>
      </c>
      <c r="C4506" s="787" t="s">
        <v>8749</v>
      </c>
      <c r="D4506" s="787">
        <v>0.99</v>
      </c>
      <c r="E4506" s="787">
        <v>2.2799999999999998</v>
      </c>
      <c r="F4506" s="788">
        <v>41907</v>
      </c>
      <c r="G4506" s="788">
        <v>42165</v>
      </c>
      <c r="H4506" s="787">
        <v>1</v>
      </c>
      <c r="I4506" s="788">
        <v>42166</v>
      </c>
      <c r="J4506" s="788">
        <v>42137</v>
      </c>
      <c r="L4506" s="787">
        <v>6.4</v>
      </c>
      <c r="M4506" s="787">
        <v>10</v>
      </c>
      <c r="N4506" s="787">
        <v>3.37</v>
      </c>
      <c r="O4506" s="788">
        <v>42162</v>
      </c>
    </row>
    <row r="4507" spans="1:15" x14ac:dyDescent="0.25">
      <c r="A4507" s="786" t="s">
        <v>8750</v>
      </c>
      <c r="B4507" s="787">
        <v>4</v>
      </c>
      <c r="C4507" s="787" t="s">
        <v>8751</v>
      </c>
      <c r="D4507" s="787">
        <v>0.84</v>
      </c>
      <c r="E4507" s="787">
        <v>2.2400000000000002</v>
      </c>
      <c r="F4507" s="788">
        <v>41806</v>
      </c>
      <c r="G4507" s="788">
        <v>42152</v>
      </c>
      <c r="H4507" s="787">
        <v>1</v>
      </c>
      <c r="I4507" s="788">
        <v>42164</v>
      </c>
      <c r="J4507" s="788">
        <v>42152</v>
      </c>
      <c r="L4507" s="787">
        <v>1.31</v>
      </c>
      <c r="M4507" s="787">
        <v>10</v>
      </c>
      <c r="N4507" s="787">
        <v>3.43</v>
      </c>
      <c r="O4507" s="788">
        <v>42162</v>
      </c>
    </row>
    <row r="4508" spans="1:15" x14ac:dyDescent="0.25">
      <c r="A4508" s="786" t="s">
        <v>8752</v>
      </c>
      <c r="B4508" s="787">
        <v>4</v>
      </c>
      <c r="C4508" s="787" t="s">
        <v>8753</v>
      </c>
      <c r="D4508" s="787">
        <v>0</v>
      </c>
      <c r="E4508" s="787">
        <v>0</v>
      </c>
      <c r="F4508" s="788">
        <v>41963</v>
      </c>
      <c r="G4508" s="788">
        <v>42013</v>
      </c>
      <c r="H4508" s="787">
        <v>1</v>
      </c>
      <c r="I4508" s="788">
        <v>42160</v>
      </c>
      <c r="J4508" s="788">
        <v>41934</v>
      </c>
      <c r="L4508" s="787">
        <v>1.77</v>
      </c>
      <c r="M4508" s="787">
        <v>10</v>
      </c>
      <c r="N4508" s="787">
        <v>2.94</v>
      </c>
      <c r="O4508" s="788">
        <v>42162</v>
      </c>
    </row>
    <row r="4509" spans="1:15" x14ac:dyDescent="0.25">
      <c r="A4509" s="786" t="s">
        <v>8754</v>
      </c>
      <c r="B4509" s="787">
        <v>4</v>
      </c>
      <c r="C4509" s="787" t="s">
        <v>8755</v>
      </c>
      <c r="D4509" s="787">
        <v>0.78</v>
      </c>
      <c r="E4509" s="787">
        <v>0.84</v>
      </c>
      <c r="F4509" s="788">
        <v>41806</v>
      </c>
      <c r="G4509" s="788">
        <v>42129</v>
      </c>
      <c r="H4509" s="787">
        <v>1</v>
      </c>
      <c r="I4509" s="788">
        <v>42166</v>
      </c>
      <c r="J4509" s="788">
        <v>42090</v>
      </c>
      <c r="L4509" s="787">
        <v>0.99</v>
      </c>
      <c r="M4509" s="787">
        <v>10</v>
      </c>
      <c r="N4509" s="787">
        <v>1.1000000000000001</v>
      </c>
      <c r="O4509" s="788">
        <v>42156</v>
      </c>
    </row>
    <row r="4510" spans="1:15" x14ac:dyDescent="0.25">
      <c r="A4510" s="786" t="s">
        <v>8756</v>
      </c>
      <c r="B4510" s="787">
        <v>4</v>
      </c>
      <c r="C4510" s="787" t="s">
        <v>8757</v>
      </c>
      <c r="D4510" s="787">
        <v>4.09</v>
      </c>
      <c r="E4510" s="787">
        <v>4.09</v>
      </c>
      <c r="F4510" s="788">
        <v>39101</v>
      </c>
      <c r="G4510" s="788">
        <v>41943</v>
      </c>
      <c r="H4510" s="787">
        <v>1</v>
      </c>
      <c r="I4510" s="788">
        <v>41449</v>
      </c>
      <c r="J4510" s="788">
        <v>39149</v>
      </c>
      <c r="L4510" s="787">
        <v>6.06</v>
      </c>
      <c r="M4510" s="787">
        <v>10</v>
      </c>
      <c r="N4510" s="787">
        <v>10.8</v>
      </c>
      <c r="O4510" s="788">
        <v>42083</v>
      </c>
    </row>
    <row r="4511" spans="1:15" x14ac:dyDescent="0.25">
      <c r="A4511" s="786" t="s">
        <v>8758</v>
      </c>
      <c r="B4511" s="787">
        <v>4</v>
      </c>
      <c r="C4511" s="787" t="s">
        <v>8757</v>
      </c>
      <c r="D4511" s="787">
        <v>5.39</v>
      </c>
      <c r="E4511" s="787">
        <v>5.39</v>
      </c>
      <c r="F4511" s="788">
        <v>39101</v>
      </c>
      <c r="G4511" s="788">
        <v>41943</v>
      </c>
      <c r="H4511" s="787">
        <v>1</v>
      </c>
      <c r="I4511" s="788">
        <v>40249</v>
      </c>
      <c r="J4511" s="788">
        <v>39149</v>
      </c>
      <c r="L4511" s="787">
        <v>6.59</v>
      </c>
      <c r="M4511" s="787">
        <v>10</v>
      </c>
      <c r="N4511" s="787">
        <v>12.06</v>
      </c>
      <c r="O4511" s="788">
        <v>42083</v>
      </c>
    </row>
    <row r="4512" spans="1:15" x14ac:dyDescent="0.25">
      <c r="A4512" s="786" t="s">
        <v>8759</v>
      </c>
      <c r="B4512" s="787">
        <v>4</v>
      </c>
      <c r="C4512" s="787" t="s">
        <v>8757</v>
      </c>
      <c r="D4512" s="787">
        <v>5.74</v>
      </c>
      <c r="E4512" s="787">
        <v>5.74</v>
      </c>
      <c r="F4512" s="788">
        <v>39101</v>
      </c>
      <c r="G4512" s="788">
        <v>41943</v>
      </c>
      <c r="H4512" s="787">
        <v>1</v>
      </c>
      <c r="I4512" s="788">
        <v>42089</v>
      </c>
      <c r="J4512" s="788">
        <v>40402</v>
      </c>
      <c r="L4512" s="787">
        <v>6.64</v>
      </c>
      <c r="M4512" s="787">
        <v>10</v>
      </c>
      <c r="N4512" s="787">
        <v>10.14</v>
      </c>
      <c r="O4512" s="788">
        <v>42127</v>
      </c>
    </row>
    <row r="4513" spans="1:15" x14ac:dyDescent="0.25">
      <c r="A4513" s="786" t="s">
        <v>8760</v>
      </c>
      <c r="B4513" s="787">
        <v>4</v>
      </c>
      <c r="C4513" s="787" t="s">
        <v>8757</v>
      </c>
      <c r="D4513" s="787">
        <v>5.23</v>
      </c>
      <c r="E4513" s="787">
        <v>5.23</v>
      </c>
      <c r="F4513" s="788">
        <v>38047</v>
      </c>
      <c r="G4513" s="788">
        <v>38736</v>
      </c>
      <c r="H4513" s="787">
        <v>1</v>
      </c>
      <c r="I4513" s="788">
        <v>39134</v>
      </c>
      <c r="J4513" s="788">
        <v>38047</v>
      </c>
      <c r="L4513" s="787">
        <v>6.67</v>
      </c>
      <c r="M4513" s="787">
        <v>10</v>
      </c>
      <c r="N4513" s="787">
        <v>11.48</v>
      </c>
      <c r="O4513" s="788">
        <v>42127</v>
      </c>
    </row>
    <row r="4514" spans="1:15" x14ac:dyDescent="0.25">
      <c r="A4514" s="786" t="s">
        <v>8761</v>
      </c>
      <c r="B4514" s="787">
        <v>4</v>
      </c>
      <c r="C4514" s="787" t="s">
        <v>8757</v>
      </c>
      <c r="D4514" s="787">
        <v>6.53</v>
      </c>
      <c r="E4514" s="787">
        <v>6.53</v>
      </c>
      <c r="F4514" s="788">
        <v>37636</v>
      </c>
      <c r="G4514" s="788">
        <v>37636</v>
      </c>
      <c r="H4514" s="787">
        <v>1</v>
      </c>
      <c r="J4514" s="788">
        <v>37636</v>
      </c>
      <c r="L4514" s="787">
        <v>7.2</v>
      </c>
      <c r="M4514" s="787">
        <v>10</v>
      </c>
      <c r="N4514" s="787">
        <v>12.74</v>
      </c>
      <c r="O4514" s="788">
        <v>42087</v>
      </c>
    </row>
    <row r="4515" spans="1:15" x14ac:dyDescent="0.25">
      <c r="A4515" s="786" t="s">
        <v>8762</v>
      </c>
      <c r="B4515" s="787">
        <v>4</v>
      </c>
      <c r="C4515" s="787" t="s">
        <v>8393</v>
      </c>
      <c r="D4515" s="787">
        <v>4.3</v>
      </c>
      <c r="E4515" s="787">
        <v>2.63</v>
      </c>
      <c r="F4515" s="788">
        <v>39101</v>
      </c>
      <c r="G4515" s="788">
        <v>39101</v>
      </c>
      <c r="H4515" s="787">
        <v>1</v>
      </c>
      <c r="I4515" s="788">
        <v>39779</v>
      </c>
      <c r="J4515" s="788">
        <v>39149</v>
      </c>
      <c r="L4515" s="787">
        <v>2.98</v>
      </c>
      <c r="M4515" s="787">
        <v>10</v>
      </c>
      <c r="N4515" s="787">
        <v>3.81</v>
      </c>
      <c r="O4515" s="788">
        <v>41858</v>
      </c>
    </row>
    <row r="4516" spans="1:15" x14ac:dyDescent="0.25">
      <c r="A4516" s="786" t="s">
        <v>8763</v>
      </c>
      <c r="B4516" s="787">
        <v>4</v>
      </c>
      <c r="C4516" s="787" t="s">
        <v>8395</v>
      </c>
      <c r="D4516" s="787">
        <v>4.79</v>
      </c>
      <c r="E4516" s="787">
        <v>2.63</v>
      </c>
      <c r="F4516" s="788">
        <v>39101</v>
      </c>
      <c r="G4516" s="788">
        <v>39101</v>
      </c>
      <c r="H4516" s="787">
        <v>1</v>
      </c>
      <c r="I4516" s="788">
        <v>39779</v>
      </c>
      <c r="J4516" s="788">
        <v>39149</v>
      </c>
      <c r="L4516" s="787">
        <v>2.98</v>
      </c>
      <c r="M4516" s="787">
        <v>10</v>
      </c>
      <c r="N4516" s="787">
        <v>3.81</v>
      </c>
      <c r="O4516" s="788">
        <v>41858</v>
      </c>
    </row>
    <row r="4517" spans="1:15" x14ac:dyDescent="0.25">
      <c r="A4517" s="786" t="s">
        <v>8764</v>
      </c>
      <c r="B4517" s="787">
        <v>4</v>
      </c>
      <c r="C4517" s="787" t="s">
        <v>8389</v>
      </c>
      <c r="D4517" s="787">
        <v>3.27</v>
      </c>
      <c r="E4517" s="787">
        <v>2.67</v>
      </c>
      <c r="F4517" s="788">
        <v>39101</v>
      </c>
      <c r="G4517" s="788">
        <v>39101</v>
      </c>
      <c r="H4517" s="787">
        <v>1</v>
      </c>
      <c r="I4517" s="788">
        <v>41919</v>
      </c>
      <c r="J4517" s="788">
        <v>39149</v>
      </c>
      <c r="L4517" s="787">
        <v>3.02</v>
      </c>
      <c r="M4517" s="787">
        <v>10</v>
      </c>
      <c r="N4517" s="787">
        <v>4.49</v>
      </c>
      <c r="O4517" s="788">
        <v>41858</v>
      </c>
    </row>
    <row r="4518" spans="1:15" x14ac:dyDescent="0.25">
      <c r="A4518" s="786" t="s">
        <v>8765</v>
      </c>
      <c r="B4518" s="787">
        <v>4</v>
      </c>
      <c r="C4518" s="787" t="s">
        <v>8391</v>
      </c>
      <c r="D4518" s="787">
        <v>3.24</v>
      </c>
      <c r="E4518" s="787">
        <v>2.67</v>
      </c>
      <c r="F4518" s="788">
        <v>39101</v>
      </c>
      <c r="G4518" s="788">
        <v>39101</v>
      </c>
      <c r="H4518" s="787">
        <v>1</v>
      </c>
      <c r="I4518" s="788">
        <v>41919</v>
      </c>
      <c r="J4518" s="788">
        <v>39149</v>
      </c>
      <c r="L4518" s="787">
        <v>3.02</v>
      </c>
      <c r="M4518" s="787">
        <v>10</v>
      </c>
      <c r="N4518" s="787">
        <v>4.49</v>
      </c>
      <c r="O4518" s="788">
        <v>41858</v>
      </c>
    </row>
    <row r="4519" spans="1:15" x14ac:dyDescent="0.25">
      <c r="A4519" s="786" t="s">
        <v>8766</v>
      </c>
      <c r="B4519" s="787">
        <v>4</v>
      </c>
      <c r="C4519" s="787" t="s">
        <v>8464</v>
      </c>
      <c r="D4519" s="787">
        <v>4.21</v>
      </c>
      <c r="E4519" s="787">
        <v>2.74</v>
      </c>
      <c r="F4519" s="788">
        <v>39101</v>
      </c>
      <c r="G4519" s="788">
        <v>39101</v>
      </c>
      <c r="H4519" s="787">
        <v>1</v>
      </c>
      <c r="I4519" s="788">
        <v>41919</v>
      </c>
      <c r="J4519" s="788">
        <v>39149</v>
      </c>
      <c r="L4519" s="787">
        <v>3.1</v>
      </c>
      <c r="M4519" s="787">
        <v>10</v>
      </c>
      <c r="N4519" s="787">
        <v>4</v>
      </c>
      <c r="O4519" s="788">
        <v>42127</v>
      </c>
    </row>
    <row r="4520" spans="1:15" x14ac:dyDescent="0.25">
      <c r="A4520" s="786" t="s">
        <v>8767</v>
      </c>
      <c r="B4520" s="787">
        <v>4</v>
      </c>
      <c r="C4520" s="787" t="s">
        <v>8466</v>
      </c>
      <c r="D4520" s="787">
        <v>4.16</v>
      </c>
      <c r="E4520" s="787">
        <v>2.74</v>
      </c>
      <c r="F4520" s="788">
        <v>39101</v>
      </c>
      <c r="G4520" s="788">
        <v>39101</v>
      </c>
      <c r="H4520" s="787">
        <v>1</v>
      </c>
      <c r="I4520" s="788">
        <v>42037</v>
      </c>
      <c r="J4520" s="788">
        <v>39149</v>
      </c>
      <c r="L4520" s="787">
        <v>3.1</v>
      </c>
      <c r="M4520" s="787">
        <v>10</v>
      </c>
      <c r="N4520" s="787">
        <v>4</v>
      </c>
      <c r="O4520" s="788">
        <v>42127</v>
      </c>
    </row>
    <row r="4521" spans="1:15" x14ac:dyDescent="0.25">
      <c r="A4521" s="786" t="s">
        <v>8768</v>
      </c>
      <c r="B4521" s="787">
        <v>4</v>
      </c>
      <c r="C4521" s="787" t="s">
        <v>8422</v>
      </c>
      <c r="D4521" s="787">
        <v>5.87</v>
      </c>
      <c r="E4521" s="787">
        <v>2.46</v>
      </c>
      <c r="F4521" s="788">
        <v>39101</v>
      </c>
      <c r="G4521" s="788">
        <v>39101</v>
      </c>
      <c r="H4521" s="787">
        <v>1</v>
      </c>
      <c r="I4521" s="788">
        <v>41136</v>
      </c>
      <c r="J4521" s="788">
        <v>39149</v>
      </c>
      <c r="L4521" s="787">
        <v>2.95</v>
      </c>
      <c r="M4521" s="787">
        <v>10</v>
      </c>
      <c r="N4521" s="787">
        <v>3.76</v>
      </c>
      <c r="O4521" s="788">
        <v>42087</v>
      </c>
    </row>
    <row r="4522" spans="1:15" x14ac:dyDescent="0.25">
      <c r="A4522" s="786" t="s">
        <v>8769</v>
      </c>
      <c r="B4522" s="787">
        <v>4</v>
      </c>
      <c r="C4522" s="787" t="s">
        <v>8424</v>
      </c>
      <c r="D4522" s="787">
        <v>5.94</v>
      </c>
      <c r="E4522" s="787">
        <v>2.46</v>
      </c>
      <c r="F4522" s="788">
        <v>39101</v>
      </c>
      <c r="G4522" s="788">
        <v>39101</v>
      </c>
      <c r="H4522" s="787">
        <v>1</v>
      </c>
      <c r="I4522" s="788">
        <v>41136</v>
      </c>
      <c r="J4522" s="788">
        <v>39149</v>
      </c>
      <c r="L4522" s="787">
        <v>2.95</v>
      </c>
      <c r="M4522" s="787">
        <v>10</v>
      </c>
      <c r="N4522" s="787">
        <v>3.76</v>
      </c>
      <c r="O4522" s="788">
        <v>42087</v>
      </c>
    </row>
    <row r="4523" spans="1:15" x14ac:dyDescent="0.25">
      <c r="A4523" s="786" t="s">
        <v>8770</v>
      </c>
      <c r="B4523" s="787">
        <v>4</v>
      </c>
      <c r="C4523" s="787" t="s">
        <v>8462</v>
      </c>
      <c r="D4523" s="787">
        <v>5.56</v>
      </c>
      <c r="E4523" s="787">
        <v>2.13</v>
      </c>
      <c r="F4523" s="788">
        <v>39101</v>
      </c>
      <c r="G4523" s="788">
        <v>41883</v>
      </c>
      <c r="H4523" s="787">
        <v>1</v>
      </c>
      <c r="I4523" s="788">
        <v>41953</v>
      </c>
      <c r="J4523" s="788">
        <v>41953</v>
      </c>
      <c r="L4523" s="787">
        <v>2.98</v>
      </c>
      <c r="M4523" s="787">
        <v>10</v>
      </c>
      <c r="N4523" s="787">
        <v>3.81</v>
      </c>
      <c r="O4523" s="788">
        <v>41858</v>
      </c>
    </row>
    <row r="4524" spans="1:15" x14ac:dyDescent="0.25">
      <c r="A4524" s="786" t="s">
        <v>8771</v>
      </c>
      <c r="B4524" s="787">
        <v>4</v>
      </c>
      <c r="C4524" s="787" t="s">
        <v>8492</v>
      </c>
      <c r="D4524" s="787">
        <v>5.56</v>
      </c>
      <c r="E4524" s="787">
        <v>2.13</v>
      </c>
      <c r="F4524" s="788">
        <v>39101</v>
      </c>
      <c r="G4524" s="788">
        <v>41953</v>
      </c>
      <c r="H4524" s="787">
        <v>1</v>
      </c>
      <c r="I4524" s="788">
        <v>41953</v>
      </c>
      <c r="J4524" s="788">
        <v>41953</v>
      </c>
      <c r="L4524" s="787">
        <v>2.98</v>
      </c>
      <c r="M4524" s="787">
        <v>10</v>
      </c>
      <c r="N4524" s="787">
        <v>3.81</v>
      </c>
      <c r="O4524" s="788">
        <v>41858</v>
      </c>
    </row>
    <row r="4525" spans="1:15" x14ac:dyDescent="0.25">
      <c r="A4525" s="786" t="s">
        <v>8772</v>
      </c>
      <c r="B4525" s="787">
        <v>4</v>
      </c>
      <c r="C4525" s="787" t="s">
        <v>8460</v>
      </c>
      <c r="D4525" s="787">
        <v>2.61</v>
      </c>
      <c r="E4525" s="787">
        <v>2.61</v>
      </c>
      <c r="F4525" s="788">
        <v>38772</v>
      </c>
      <c r="G4525" s="788">
        <v>38772</v>
      </c>
      <c r="H4525" s="787">
        <v>1</v>
      </c>
      <c r="I4525" s="788">
        <v>41017</v>
      </c>
      <c r="J4525" s="788">
        <v>38741</v>
      </c>
      <c r="L4525" s="787">
        <v>3.11</v>
      </c>
      <c r="M4525" s="787">
        <v>10</v>
      </c>
      <c r="N4525" s="787">
        <v>4.03</v>
      </c>
      <c r="O4525" s="788">
        <v>42163</v>
      </c>
    </row>
    <row r="4526" spans="1:15" x14ac:dyDescent="0.25">
      <c r="A4526" s="786" t="s">
        <v>8773</v>
      </c>
      <c r="B4526" s="787">
        <v>4</v>
      </c>
      <c r="C4526" s="787" t="s">
        <v>8458</v>
      </c>
      <c r="D4526" s="787">
        <v>6.34</v>
      </c>
      <c r="E4526" s="787">
        <v>2.61</v>
      </c>
      <c r="F4526" s="788">
        <v>39101</v>
      </c>
      <c r="G4526" s="788">
        <v>39101</v>
      </c>
      <c r="H4526" s="787">
        <v>1</v>
      </c>
      <c r="I4526" s="788">
        <v>41017</v>
      </c>
      <c r="J4526" s="788">
        <v>39149</v>
      </c>
      <c r="L4526" s="787">
        <v>3.11</v>
      </c>
      <c r="M4526" s="787">
        <v>10</v>
      </c>
      <c r="N4526" s="787">
        <v>4.03</v>
      </c>
      <c r="O4526" s="788">
        <v>42163</v>
      </c>
    </row>
    <row r="4527" spans="1:15" x14ac:dyDescent="0.25">
      <c r="A4527" s="786" t="s">
        <v>8774</v>
      </c>
      <c r="B4527" s="787">
        <v>4</v>
      </c>
      <c r="C4527" s="787" t="s">
        <v>8775</v>
      </c>
      <c r="D4527" s="787">
        <v>2.06</v>
      </c>
      <c r="E4527" s="787">
        <v>2.06</v>
      </c>
      <c r="F4527" s="788">
        <v>39101</v>
      </c>
      <c r="G4527" s="788">
        <v>39101</v>
      </c>
      <c r="H4527" s="787">
        <v>1</v>
      </c>
      <c r="I4527" s="788">
        <v>39134</v>
      </c>
      <c r="J4527" s="788">
        <v>39149</v>
      </c>
      <c r="L4527" s="787">
        <v>2.3199999999999998</v>
      </c>
      <c r="M4527" s="787">
        <v>10</v>
      </c>
      <c r="N4527" s="787">
        <v>3.03</v>
      </c>
      <c r="O4527" s="788">
        <v>41858</v>
      </c>
    </row>
    <row r="4528" spans="1:15" x14ac:dyDescent="0.25">
      <c r="A4528" s="786" t="s">
        <v>8776</v>
      </c>
      <c r="B4528" s="787">
        <v>4</v>
      </c>
      <c r="C4528" s="787" t="s">
        <v>8777</v>
      </c>
      <c r="D4528" s="787">
        <v>1.59</v>
      </c>
      <c r="E4528" s="787">
        <v>2.06</v>
      </c>
      <c r="F4528" s="788">
        <v>39101</v>
      </c>
      <c r="G4528" s="788">
        <v>39101</v>
      </c>
      <c r="H4528" s="787">
        <v>1</v>
      </c>
      <c r="I4528" s="788">
        <v>39134</v>
      </c>
      <c r="J4528" s="788">
        <v>39149</v>
      </c>
      <c r="L4528" s="787">
        <v>2.3199999999999998</v>
      </c>
      <c r="M4528" s="787">
        <v>10</v>
      </c>
      <c r="N4528" s="787">
        <v>3.03</v>
      </c>
      <c r="O4528" s="788">
        <v>41858</v>
      </c>
    </row>
    <row r="4529" spans="1:15" x14ac:dyDescent="0.25">
      <c r="A4529" s="786" t="s">
        <v>8778</v>
      </c>
      <c r="B4529" s="787">
        <v>4</v>
      </c>
      <c r="C4529" s="787" t="s">
        <v>8779</v>
      </c>
      <c r="D4529" s="787">
        <v>3.02</v>
      </c>
      <c r="E4529" s="787">
        <v>2.02</v>
      </c>
      <c r="F4529" s="788">
        <v>39101</v>
      </c>
      <c r="G4529" s="788">
        <v>39101</v>
      </c>
      <c r="H4529" s="787">
        <v>1</v>
      </c>
      <c r="I4529" s="788">
        <v>39134</v>
      </c>
      <c r="J4529" s="788">
        <v>39149</v>
      </c>
      <c r="L4529" s="787">
        <v>2.34</v>
      </c>
      <c r="M4529" s="787">
        <v>10</v>
      </c>
      <c r="N4529" s="787">
        <v>3.48</v>
      </c>
      <c r="O4529" s="788">
        <v>41858</v>
      </c>
    </row>
    <row r="4530" spans="1:15" x14ac:dyDescent="0.25">
      <c r="A4530" s="786" t="s">
        <v>8780</v>
      </c>
      <c r="B4530" s="787">
        <v>4</v>
      </c>
      <c r="C4530" s="787" t="s">
        <v>8781</v>
      </c>
      <c r="D4530" s="787">
        <v>2.98</v>
      </c>
      <c r="E4530" s="787">
        <v>1.97</v>
      </c>
      <c r="F4530" s="788">
        <v>39101</v>
      </c>
      <c r="G4530" s="788">
        <v>39101</v>
      </c>
      <c r="H4530" s="787">
        <v>1</v>
      </c>
      <c r="I4530" s="788">
        <v>39134</v>
      </c>
      <c r="J4530" s="788">
        <v>39149</v>
      </c>
      <c r="L4530" s="787">
        <v>2.34</v>
      </c>
      <c r="M4530" s="787">
        <v>10</v>
      </c>
      <c r="N4530" s="787">
        <v>3.48</v>
      </c>
      <c r="O4530" s="788">
        <v>41858</v>
      </c>
    </row>
    <row r="4531" spans="1:15" x14ac:dyDescent="0.25">
      <c r="A4531" s="786" t="s">
        <v>8782</v>
      </c>
      <c r="B4531" s="787">
        <v>4</v>
      </c>
      <c r="C4531" s="787" t="s">
        <v>8783</v>
      </c>
      <c r="D4531" s="787">
        <v>4.83</v>
      </c>
      <c r="E4531" s="787">
        <v>4.83</v>
      </c>
      <c r="F4531" s="788">
        <v>39101</v>
      </c>
      <c r="G4531" s="788">
        <v>39101</v>
      </c>
      <c r="H4531" s="787">
        <v>1</v>
      </c>
      <c r="I4531" s="788">
        <v>41050</v>
      </c>
      <c r="J4531" s="788">
        <v>39858</v>
      </c>
      <c r="L4531" s="787">
        <v>2.2599999999999998</v>
      </c>
      <c r="M4531" s="787">
        <v>10</v>
      </c>
      <c r="N4531" s="787">
        <v>3.04</v>
      </c>
      <c r="O4531" s="788">
        <v>42083</v>
      </c>
    </row>
    <row r="4532" spans="1:15" x14ac:dyDescent="0.25">
      <c r="A4532" s="786" t="s">
        <v>8784</v>
      </c>
      <c r="B4532" s="787">
        <v>4</v>
      </c>
      <c r="C4532" s="787" t="s">
        <v>8785</v>
      </c>
      <c r="D4532" s="787">
        <v>4.8499999999999996</v>
      </c>
      <c r="E4532" s="787">
        <v>4.8499999999999996</v>
      </c>
      <c r="F4532" s="788">
        <v>39101</v>
      </c>
      <c r="G4532" s="788">
        <v>39101</v>
      </c>
      <c r="H4532" s="787">
        <v>1</v>
      </c>
      <c r="I4532" s="788">
        <v>41050</v>
      </c>
      <c r="J4532" s="788">
        <v>39857</v>
      </c>
      <c r="L4532" s="787">
        <v>2.2599999999999998</v>
      </c>
      <c r="M4532" s="787">
        <v>10</v>
      </c>
      <c r="N4532" s="787">
        <v>3.52</v>
      </c>
      <c r="O4532" s="788">
        <v>42087</v>
      </c>
    </row>
    <row r="4533" spans="1:15" x14ac:dyDescent="0.25">
      <c r="A4533" s="786" t="s">
        <v>8786</v>
      </c>
      <c r="B4533" s="787">
        <v>4</v>
      </c>
      <c r="C4533" s="787" t="s">
        <v>8787</v>
      </c>
      <c r="D4533" s="787">
        <v>0</v>
      </c>
      <c r="E4533" s="787">
        <v>0</v>
      </c>
      <c r="H4533" s="787">
        <v>1</v>
      </c>
      <c r="J4533" s="788">
        <v>37636</v>
      </c>
      <c r="L4533" s="787">
        <v>0</v>
      </c>
      <c r="M4533" s="787">
        <v>10</v>
      </c>
      <c r="N4533" s="787">
        <v>4.9400000000000004</v>
      </c>
      <c r="O4533" s="788">
        <v>42087</v>
      </c>
    </row>
    <row r="4534" spans="1:15" x14ac:dyDescent="0.25">
      <c r="A4534" s="786" t="s">
        <v>8788</v>
      </c>
      <c r="B4534" s="787">
        <v>4</v>
      </c>
      <c r="C4534" s="787" t="s">
        <v>8789</v>
      </c>
      <c r="D4534" s="787">
        <v>0</v>
      </c>
      <c r="E4534" s="787">
        <v>0</v>
      </c>
      <c r="H4534" s="787">
        <v>1</v>
      </c>
      <c r="J4534" s="788">
        <v>37636</v>
      </c>
      <c r="L4534" s="787">
        <v>0</v>
      </c>
      <c r="M4534" s="787">
        <v>10</v>
      </c>
      <c r="N4534" s="787">
        <v>4.93</v>
      </c>
      <c r="O4534" s="788">
        <v>42087</v>
      </c>
    </row>
    <row r="4535" spans="1:15" x14ac:dyDescent="0.25">
      <c r="A4535" s="786" t="s">
        <v>8790</v>
      </c>
      <c r="B4535" s="787">
        <v>4</v>
      </c>
      <c r="C4535" s="787" t="s">
        <v>8791</v>
      </c>
      <c r="D4535" s="787">
        <v>1.98</v>
      </c>
      <c r="E4535" s="787">
        <v>1.98</v>
      </c>
      <c r="F4535" s="788">
        <v>39101</v>
      </c>
      <c r="G4535" s="788">
        <v>39101</v>
      </c>
      <c r="H4535" s="787">
        <v>1</v>
      </c>
      <c r="I4535" s="788">
        <v>41537</v>
      </c>
      <c r="J4535" s="788">
        <v>39149</v>
      </c>
      <c r="L4535" s="787">
        <v>2.34</v>
      </c>
      <c r="M4535" s="787">
        <v>10</v>
      </c>
      <c r="N4535" s="787">
        <v>3.07</v>
      </c>
      <c r="O4535" s="788">
        <v>41858</v>
      </c>
    </row>
    <row r="4536" spans="1:15" x14ac:dyDescent="0.25">
      <c r="A4536" s="786" t="s">
        <v>8792</v>
      </c>
      <c r="B4536" s="787">
        <v>4</v>
      </c>
      <c r="C4536" s="787" t="s">
        <v>8793</v>
      </c>
      <c r="D4536" s="787">
        <v>1.98</v>
      </c>
      <c r="E4536" s="787">
        <v>1.98</v>
      </c>
      <c r="F4536" s="788">
        <v>39101</v>
      </c>
      <c r="G4536" s="788">
        <v>39101</v>
      </c>
      <c r="H4536" s="787">
        <v>1</v>
      </c>
      <c r="I4536" s="788">
        <v>41537</v>
      </c>
      <c r="J4536" s="788">
        <v>39149</v>
      </c>
      <c r="L4536" s="787">
        <v>2.34</v>
      </c>
      <c r="M4536" s="787">
        <v>10</v>
      </c>
      <c r="N4536" s="787">
        <v>3.07</v>
      </c>
      <c r="O4536" s="788">
        <v>41858</v>
      </c>
    </row>
    <row r="4537" spans="1:15" x14ac:dyDescent="0.25">
      <c r="A4537" s="786" t="s">
        <v>8794</v>
      </c>
      <c r="B4537" s="787">
        <v>4</v>
      </c>
      <c r="C4537" s="787" t="s">
        <v>8795</v>
      </c>
      <c r="D4537" s="787">
        <v>1.1599999999999999</v>
      </c>
      <c r="E4537" s="787">
        <v>1.1599999999999999</v>
      </c>
      <c r="F4537" s="788">
        <v>39456</v>
      </c>
      <c r="G4537" s="788">
        <v>39590</v>
      </c>
      <c r="H4537" s="787">
        <v>1</v>
      </c>
      <c r="I4537" s="788">
        <v>41537</v>
      </c>
      <c r="J4537" s="788">
        <v>39359</v>
      </c>
      <c r="L4537" s="787">
        <v>2.48</v>
      </c>
      <c r="M4537" s="787">
        <v>10</v>
      </c>
      <c r="N4537" s="787">
        <v>3.52</v>
      </c>
      <c r="O4537" s="788">
        <v>41858</v>
      </c>
    </row>
    <row r="4538" spans="1:15" x14ac:dyDescent="0.25">
      <c r="A4538" s="786" t="s">
        <v>8796</v>
      </c>
      <c r="B4538" s="787">
        <v>4</v>
      </c>
      <c r="C4538" s="787" t="s">
        <v>8797</v>
      </c>
      <c r="D4538" s="787">
        <v>1.1599999999999999</v>
      </c>
      <c r="E4538" s="787">
        <v>1.1599999999999999</v>
      </c>
      <c r="F4538" s="788">
        <v>39456</v>
      </c>
      <c r="G4538" s="788">
        <v>39149</v>
      </c>
      <c r="H4538" s="787">
        <v>1</v>
      </c>
      <c r="I4538" s="788">
        <v>41537</v>
      </c>
      <c r="J4538" s="788">
        <v>39359</v>
      </c>
      <c r="L4538" s="787">
        <v>2.48</v>
      </c>
      <c r="M4538" s="787">
        <v>10</v>
      </c>
      <c r="N4538" s="787">
        <v>3.52</v>
      </c>
      <c r="O4538" s="788">
        <v>41858</v>
      </c>
    </row>
    <row r="4539" spans="1:15" x14ac:dyDescent="0.25">
      <c r="A4539" s="786" t="s">
        <v>8798</v>
      </c>
      <c r="B4539" s="787">
        <v>4</v>
      </c>
      <c r="C4539" s="787" t="s">
        <v>8799</v>
      </c>
      <c r="D4539" s="787">
        <v>4.49</v>
      </c>
      <c r="E4539" s="787">
        <v>2.37</v>
      </c>
      <c r="F4539" s="788">
        <v>39101</v>
      </c>
      <c r="G4539" s="788">
        <v>39101</v>
      </c>
      <c r="H4539" s="787">
        <v>1</v>
      </c>
      <c r="I4539" s="788">
        <v>41537</v>
      </c>
      <c r="J4539" s="788">
        <v>39149</v>
      </c>
      <c r="L4539" s="787">
        <v>2.4</v>
      </c>
      <c r="M4539" s="787">
        <v>10</v>
      </c>
      <c r="N4539" s="787">
        <v>3.57</v>
      </c>
      <c r="O4539" s="788">
        <v>42163</v>
      </c>
    </row>
    <row r="4540" spans="1:15" x14ac:dyDescent="0.25">
      <c r="A4540" s="786" t="s">
        <v>8800</v>
      </c>
      <c r="B4540" s="787">
        <v>4</v>
      </c>
      <c r="C4540" s="787" t="s">
        <v>8801</v>
      </c>
      <c r="D4540" s="787">
        <v>5.3</v>
      </c>
      <c r="E4540" s="787">
        <v>2.37</v>
      </c>
      <c r="F4540" s="788">
        <v>39101</v>
      </c>
      <c r="G4540" s="788">
        <v>39101</v>
      </c>
      <c r="H4540" s="787">
        <v>1</v>
      </c>
      <c r="I4540" s="788">
        <v>41537</v>
      </c>
      <c r="J4540" s="788">
        <v>39149</v>
      </c>
      <c r="L4540" s="787">
        <v>2.4</v>
      </c>
      <c r="M4540" s="787">
        <v>10</v>
      </c>
      <c r="N4540" s="787">
        <v>3.57</v>
      </c>
      <c r="O4540" s="788">
        <v>42163</v>
      </c>
    </row>
    <row r="4541" spans="1:15" x14ac:dyDescent="0.25">
      <c r="A4541" s="786" t="s">
        <v>8802</v>
      </c>
      <c r="B4541" s="787">
        <v>4</v>
      </c>
      <c r="C4541" s="787" t="s">
        <v>8803</v>
      </c>
      <c r="D4541" s="787">
        <v>0.23</v>
      </c>
      <c r="E4541" s="787">
        <v>0.23</v>
      </c>
      <c r="F4541" s="788">
        <v>41813</v>
      </c>
      <c r="G4541" s="788">
        <v>42013</v>
      </c>
      <c r="H4541" s="787">
        <v>1</v>
      </c>
      <c r="I4541" s="788">
        <v>42163</v>
      </c>
      <c r="J4541" s="788">
        <v>41715</v>
      </c>
      <c r="L4541" s="787">
        <v>0.32</v>
      </c>
      <c r="M4541" s="787">
        <v>10</v>
      </c>
      <c r="N4541" s="787">
        <v>0.47</v>
      </c>
      <c r="O4541" s="788">
        <v>42163</v>
      </c>
    </row>
    <row r="4542" spans="1:15" x14ac:dyDescent="0.25">
      <c r="A4542" s="786" t="s">
        <v>8804</v>
      </c>
      <c r="B4542" s="787">
        <v>4</v>
      </c>
      <c r="C4542" s="787" t="s">
        <v>8805</v>
      </c>
      <c r="D4542" s="787">
        <v>1.67</v>
      </c>
      <c r="E4542" s="787">
        <v>1.67</v>
      </c>
      <c r="F4542" s="788">
        <v>39101</v>
      </c>
      <c r="G4542" s="788">
        <v>41943</v>
      </c>
      <c r="H4542" s="787">
        <v>1</v>
      </c>
      <c r="I4542" s="788">
        <v>39899</v>
      </c>
      <c r="J4542" s="788">
        <v>39149</v>
      </c>
      <c r="L4542" s="787">
        <v>0.31</v>
      </c>
      <c r="M4542" s="787">
        <v>10</v>
      </c>
      <c r="N4542" s="787">
        <v>0.48</v>
      </c>
      <c r="O4542" s="788">
        <v>42146</v>
      </c>
    </row>
    <row r="4543" spans="1:15" x14ac:dyDescent="0.25">
      <c r="A4543" s="786" t="s">
        <v>8806</v>
      </c>
      <c r="B4543" s="787">
        <v>4</v>
      </c>
      <c r="C4543" s="787" t="s">
        <v>8807</v>
      </c>
      <c r="D4543" s="787">
        <v>0.12</v>
      </c>
      <c r="E4543" s="787">
        <v>0.12</v>
      </c>
      <c r="F4543" s="788">
        <v>39456</v>
      </c>
      <c r="G4543" s="788">
        <v>42013</v>
      </c>
      <c r="H4543" s="787">
        <v>1</v>
      </c>
      <c r="I4543" s="788">
        <v>41775</v>
      </c>
      <c r="J4543" s="788">
        <v>39226</v>
      </c>
      <c r="L4543" s="787">
        <v>0.13</v>
      </c>
      <c r="M4543" s="787">
        <v>10</v>
      </c>
      <c r="N4543" s="787">
        <v>0.18</v>
      </c>
      <c r="O4543" s="788">
        <v>42146</v>
      </c>
    </row>
    <row r="4544" spans="1:15" x14ac:dyDescent="0.25">
      <c r="A4544" s="786" t="s">
        <v>8808</v>
      </c>
      <c r="B4544" s="787">
        <v>4</v>
      </c>
      <c r="C4544" s="787" t="s">
        <v>8809</v>
      </c>
      <c r="D4544" s="787">
        <v>0</v>
      </c>
      <c r="E4544" s="787">
        <v>0</v>
      </c>
      <c r="H4544" s="787">
        <v>1</v>
      </c>
      <c r="I4544" s="788">
        <v>38846</v>
      </c>
      <c r="J4544" s="788">
        <v>39458</v>
      </c>
      <c r="L4544" s="787">
        <v>1.24</v>
      </c>
      <c r="M4544" s="787">
        <v>10</v>
      </c>
      <c r="N4544" s="787">
        <v>1.34</v>
      </c>
      <c r="O4544" s="788">
        <v>42162</v>
      </c>
    </row>
    <row r="4545" spans="1:15" x14ac:dyDescent="0.25">
      <c r="A4545" s="786" t="s">
        <v>8810</v>
      </c>
      <c r="B4545" s="787">
        <v>4</v>
      </c>
      <c r="C4545" s="787" t="s">
        <v>8811</v>
      </c>
      <c r="D4545" s="787">
        <v>0</v>
      </c>
      <c r="E4545" s="787">
        <v>0</v>
      </c>
      <c r="H4545" s="787">
        <v>1</v>
      </c>
      <c r="I4545" s="788">
        <v>39457</v>
      </c>
      <c r="J4545" s="788">
        <v>39101</v>
      </c>
      <c r="L4545" s="787">
        <v>1.24</v>
      </c>
      <c r="M4545" s="787">
        <v>10</v>
      </c>
      <c r="N4545" s="787">
        <v>1.59</v>
      </c>
      <c r="O4545" s="788">
        <v>41858</v>
      </c>
    </row>
    <row r="4546" spans="1:15" x14ac:dyDescent="0.25">
      <c r="A4546" s="786" t="s">
        <v>8812</v>
      </c>
      <c r="B4546" s="787">
        <v>4</v>
      </c>
      <c r="C4546" s="787" t="s">
        <v>8813</v>
      </c>
      <c r="D4546" s="787">
        <v>0.59</v>
      </c>
      <c r="E4546" s="787">
        <v>0.59</v>
      </c>
      <c r="F4546" s="788">
        <v>39975</v>
      </c>
      <c r="G4546" s="788">
        <v>41565</v>
      </c>
      <c r="H4546" s="787">
        <v>1</v>
      </c>
      <c r="I4546" s="788">
        <v>42025</v>
      </c>
      <c r="J4546" s="788">
        <v>42025</v>
      </c>
      <c r="L4546" s="787">
        <v>0.39</v>
      </c>
      <c r="M4546" s="787">
        <v>10</v>
      </c>
      <c r="N4546" s="787">
        <v>0.66</v>
      </c>
      <c r="O4546" s="788">
        <v>42162</v>
      </c>
    </row>
    <row r="4547" spans="1:15" x14ac:dyDescent="0.25">
      <c r="A4547" s="786" t="s">
        <v>8814</v>
      </c>
      <c r="B4547" s="787">
        <v>4</v>
      </c>
      <c r="C4547" s="787" t="s">
        <v>8815</v>
      </c>
      <c r="D4547" s="787">
        <v>4.63</v>
      </c>
      <c r="E4547" s="787">
        <v>4.63</v>
      </c>
      <c r="F4547" s="788">
        <v>39101</v>
      </c>
      <c r="G4547" s="788">
        <v>41943</v>
      </c>
      <c r="H4547" s="787">
        <v>1</v>
      </c>
      <c r="I4547" s="788">
        <v>42074</v>
      </c>
      <c r="J4547" s="788">
        <v>39149</v>
      </c>
      <c r="L4547" s="787">
        <v>3.32</v>
      </c>
      <c r="M4547" s="787">
        <v>10</v>
      </c>
      <c r="N4547" s="787">
        <v>3.81</v>
      </c>
      <c r="O4547" s="788">
        <v>42162</v>
      </c>
    </row>
    <row r="4548" spans="1:15" x14ac:dyDescent="0.25">
      <c r="A4548" s="786" t="s">
        <v>8816</v>
      </c>
      <c r="B4548" s="787">
        <v>4</v>
      </c>
      <c r="C4548" s="787" t="s">
        <v>8817</v>
      </c>
      <c r="D4548" s="787">
        <v>0.86</v>
      </c>
      <c r="E4548" s="787">
        <v>1.83</v>
      </c>
      <c r="F4548" s="788">
        <v>39456</v>
      </c>
      <c r="G4548" s="788">
        <v>42013</v>
      </c>
      <c r="H4548" s="787">
        <v>1</v>
      </c>
      <c r="I4548" s="788">
        <v>42059</v>
      </c>
      <c r="J4548" s="788">
        <v>40238</v>
      </c>
      <c r="L4548" s="787">
        <v>1.99</v>
      </c>
      <c r="M4548" s="787">
        <v>10</v>
      </c>
      <c r="N4548" s="787">
        <v>1.88</v>
      </c>
      <c r="O4548" s="788">
        <v>42162</v>
      </c>
    </row>
    <row r="4549" spans="1:15" x14ac:dyDescent="0.25">
      <c r="A4549" s="786" t="s">
        <v>8818</v>
      </c>
      <c r="B4549" s="787">
        <v>4</v>
      </c>
      <c r="C4549" s="787" t="s">
        <v>8819</v>
      </c>
      <c r="D4549" s="787">
        <v>0</v>
      </c>
      <c r="E4549" s="787">
        <v>0</v>
      </c>
      <c r="H4549" s="787">
        <v>1</v>
      </c>
      <c r="J4549" s="788">
        <v>37641</v>
      </c>
      <c r="L4549" s="787">
        <v>6.06</v>
      </c>
      <c r="M4549" s="787">
        <v>10</v>
      </c>
      <c r="N4549" s="787">
        <v>9.17</v>
      </c>
      <c r="O4549" s="788">
        <v>42087</v>
      </c>
    </row>
    <row r="4550" spans="1:15" x14ac:dyDescent="0.25">
      <c r="A4550" s="786" t="s">
        <v>8820</v>
      </c>
      <c r="B4550" s="787">
        <v>4</v>
      </c>
      <c r="C4550" s="787" t="s">
        <v>8821</v>
      </c>
      <c r="D4550" s="787">
        <v>0</v>
      </c>
      <c r="E4550" s="787">
        <v>0</v>
      </c>
      <c r="G4550" s="788">
        <v>40044</v>
      </c>
      <c r="H4550" s="787">
        <v>1</v>
      </c>
      <c r="I4550" s="788">
        <v>40045</v>
      </c>
      <c r="J4550" s="788">
        <v>40044</v>
      </c>
      <c r="L4550" s="787">
        <v>0.55000000000000004</v>
      </c>
      <c r="M4550" s="787">
        <v>10</v>
      </c>
      <c r="N4550" s="787">
        <v>1.47</v>
      </c>
      <c r="O4550" s="788">
        <v>42156</v>
      </c>
    </row>
    <row r="4551" spans="1:15" x14ac:dyDescent="0.25">
      <c r="A4551" s="786" t="s">
        <v>8822</v>
      </c>
      <c r="B4551" s="787">
        <v>4</v>
      </c>
      <c r="C4551" s="787" t="s">
        <v>8823</v>
      </c>
      <c r="D4551" s="787">
        <v>0.8</v>
      </c>
      <c r="E4551" s="787">
        <v>0.8</v>
      </c>
      <c r="F4551" s="788">
        <v>39101</v>
      </c>
      <c r="G4551" s="788">
        <v>41943</v>
      </c>
      <c r="H4551" s="787">
        <v>1</v>
      </c>
      <c r="I4551" s="788">
        <v>42023</v>
      </c>
      <c r="J4551" s="788">
        <v>39983</v>
      </c>
      <c r="L4551" s="787">
        <v>0.54</v>
      </c>
      <c r="M4551" s="787">
        <v>10</v>
      </c>
      <c r="N4551" s="787">
        <v>1.31</v>
      </c>
      <c r="O4551" s="788">
        <v>42156</v>
      </c>
    </row>
    <row r="4552" spans="1:15" x14ac:dyDescent="0.25">
      <c r="A4552" s="786" t="s">
        <v>8824</v>
      </c>
      <c r="B4552" s="787">
        <v>4</v>
      </c>
      <c r="C4552" s="787" t="s">
        <v>8825</v>
      </c>
      <c r="D4552" s="787">
        <v>0.52</v>
      </c>
      <c r="E4552" s="787">
        <v>0.52</v>
      </c>
      <c r="F4552" s="788">
        <v>39799</v>
      </c>
      <c r="G4552" s="788">
        <v>39590</v>
      </c>
      <c r="H4552" s="787">
        <v>1</v>
      </c>
      <c r="I4552" s="788">
        <v>39457</v>
      </c>
      <c r="J4552" s="788">
        <v>37641</v>
      </c>
      <c r="L4552" s="787">
        <v>0.42</v>
      </c>
      <c r="M4552" s="787">
        <v>10</v>
      </c>
      <c r="N4552" s="787">
        <v>0.65</v>
      </c>
      <c r="O4552" s="788">
        <v>42087</v>
      </c>
    </row>
    <row r="4553" spans="1:15" x14ac:dyDescent="0.25">
      <c r="A4553" s="786" t="s">
        <v>8826</v>
      </c>
      <c r="B4553" s="787">
        <v>4</v>
      </c>
      <c r="C4553" s="787" t="s">
        <v>8827</v>
      </c>
      <c r="D4553" s="787">
        <v>0</v>
      </c>
      <c r="E4553" s="787">
        <v>0</v>
      </c>
      <c r="H4553" s="787">
        <v>1</v>
      </c>
      <c r="I4553" s="788">
        <v>38644</v>
      </c>
      <c r="J4553" s="788">
        <v>37641</v>
      </c>
      <c r="L4553" s="787">
        <v>7.88</v>
      </c>
      <c r="M4553" s="787">
        <v>10</v>
      </c>
      <c r="N4553" s="787">
        <v>11.9</v>
      </c>
      <c r="O4553" s="788">
        <v>42087</v>
      </c>
    </row>
    <row r="4554" spans="1:15" x14ac:dyDescent="0.25">
      <c r="A4554" s="786" t="s">
        <v>8828</v>
      </c>
      <c r="B4554" s="787">
        <v>4</v>
      </c>
      <c r="C4554" s="787" t="s">
        <v>8829</v>
      </c>
      <c r="D4554" s="787">
        <v>0</v>
      </c>
      <c r="E4554" s="787">
        <v>0</v>
      </c>
      <c r="H4554" s="787">
        <v>1</v>
      </c>
      <c r="I4554" s="788">
        <v>38693</v>
      </c>
      <c r="J4554" s="788">
        <v>37641</v>
      </c>
      <c r="L4554" s="787">
        <v>8.35</v>
      </c>
      <c r="M4554" s="787">
        <v>10</v>
      </c>
      <c r="N4554" s="787">
        <v>12.14</v>
      </c>
      <c r="O4554" s="788">
        <v>42087</v>
      </c>
    </row>
    <row r="4555" spans="1:15" x14ac:dyDescent="0.25">
      <c r="A4555" s="786" t="s">
        <v>8830</v>
      </c>
      <c r="B4555" s="787">
        <v>4</v>
      </c>
      <c r="C4555" s="787" t="s">
        <v>8831</v>
      </c>
      <c r="D4555" s="787">
        <v>4.41</v>
      </c>
      <c r="E4555" s="787">
        <v>4.4000000000000004</v>
      </c>
      <c r="F4555" s="788">
        <v>39101</v>
      </c>
      <c r="G4555" s="788">
        <v>39101</v>
      </c>
      <c r="H4555" s="787">
        <v>1</v>
      </c>
      <c r="I4555" s="788">
        <v>39134</v>
      </c>
      <c r="J4555" s="788">
        <v>39149</v>
      </c>
      <c r="L4555" s="787">
        <v>6.11</v>
      </c>
      <c r="M4555" s="787">
        <v>10</v>
      </c>
      <c r="N4555" s="787">
        <v>7.91</v>
      </c>
      <c r="O4555" s="788">
        <v>42087</v>
      </c>
    </row>
    <row r="4556" spans="1:15" x14ac:dyDescent="0.25">
      <c r="A4556" s="786" t="s">
        <v>8832</v>
      </c>
      <c r="B4556" s="787">
        <v>4</v>
      </c>
      <c r="C4556" s="787" t="s">
        <v>8833</v>
      </c>
      <c r="D4556" s="787">
        <v>4.2300000000000004</v>
      </c>
      <c r="E4556" s="787">
        <v>4.2300000000000004</v>
      </c>
      <c r="F4556" s="788">
        <v>39101</v>
      </c>
      <c r="G4556" s="788">
        <v>39101</v>
      </c>
      <c r="H4556" s="787">
        <v>1</v>
      </c>
      <c r="I4556" s="788">
        <v>39134</v>
      </c>
      <c r="J4556" s="788">
        <v>39149</v>
      </c>
      <c r="L4556" s="787">
        <v>5.75</v>
      </c>
      <c r="M4556" s="787">
        <v>10</v>
      </c>
      <c r="N4556" s="787">
        <v>7.69</v>
      </c>
      <c r="O4556" s="788">
        <v>42087</v>
      </c>
    </row>
    <row r="4557" spans="1:15" x14ac:dyDescent="0.25">
      <c r="A4557" s="786" t="s">
        <v>8834</v>
      </c>
      <c r="B4557" s="787">
        <v>4</v>
      </c>
      <c r="C4557" s="787" t="s">
        <v>8835</v>
      </c>
      <c r="D4557" s="787">
        <v>4.08</v>
      </c>
      <c r="E4557" s="787">
        <v>5.07</v>
      </c>
      <c r="F4557" s="788">
        <v>38606</v>
      </c>
      <c r="G4557" s="788">
        <v>38772</v>
      </c>
      <c r="H4557" s="787">
        <v>1</v>
      </c>
      <c r="I4557" s="788">
        <v>39134</v>
      </c>
      <c r="J4557" s="788">
        <v>38741</v>
      </c>
      <c r="L4557" s="787">
        <v>6.06</v>
      </c>
      <c r="M4557" s="787">
        <v>10</v>
      </c>
      <c r="N4557" s="787">
        <v>7.91</v>
      </c>
      <c r="O4557" s="788">
        <v>42045</v>
      </c>
    </row>
    <row r="4558" spans="1:15" x14ac:dyDescent="0.25">
      <c r="A4558" s="786" t="s">
        <v>8836</v>
      </c>
      <c r="B4558" s="787">
        <v>4</v>
      </c>
      <c r="C4558" s="787" t="s">
        <v>8837</v>
      </c>
      <c r="D4558" s="787">
        <v>3.86</v>
      </c>
      <c r="E4558" s="787">
        <v>5.13</v>
      </c>
      <c r="F4558" s="788">
        <v>38606</v>
      </c>
      <c r="G4558" s="788">
        <v>38772</v>
      </c>
      <c r="H4558" s="787">
        <v>1</v>
      </c>
      <c r="I4558" s="788">
        <v>39134</v>
      </c>
      <c r="J4558" s="788">
        <v>38741</v>
      </c>
      <c r="L4558" s="787">
        <v>6.03</v>
      </c>
      <c r="M4558" s="787">
        <v>10</v>
      </c>
      <c r="N4558" s="787">
        <v>8.1</v>
      </c>
      <c r="O4558" s="788">
        <v>42087</v>
      </c>
    </row>
    <row r="4559" spans="1:15" x14ac:dyDescent="0.25">
      <c r="A4559" s="786" t="s">
        <v>8838</v>
      </c>
      <c r="B4559" s="787">
        <v>4</v>
      </c>
      <c r="C4559" s="787" t="s">
        <v>8646</v>
      </c>
      <c r="D4559" s="787">
        <v>4.6399999999999997</v>
      </c>
      <c r="E4559" s="787">
        <v>4.6399999999999997</v>
      </c>
      <c r="F4559" s="788">
        <v>39101</v>
      </c>
      <c r="G4559" s="788">
        <v>39101</v>
      </c>
      <c r="H4559" s="787">
        <v>1</v>
      </c>
      <c r="I4559" s="788">
        <v>39134</v>
      </c>
      <c r="J4559" s="788">
        <v>39149</v>
      </c>
      <c r="L4559" s="787">
        <v>4.62</v>
      </c>
      <c r="M4559" s="787">
        <v>10</v>
      </c>
      <c r="N4559" s="787">
        <v>7.27</v>
      </c>
      <c r="O4559" s="788">
        <v>41858</v>
      </c>
    </row>
    <row r="4560" spans="1:15" x14ac:dyDescent="0.25">
      <c r="A4560" s="786" t="s">
        <v>8839</v>
      </c>
      <c r="B4560" s="787">
        <v>4</v>
      </c>
      <c r="C4560" s="787" t="s">
        <v>8840</v>
      </c>
      <c r="D4560" s="787">
        <v>0</v>
      </c>
      <c r="E4560" s="787">
        <v>0</v>
      </c>
      <c r="H4560" s="787">
        <v>1</v>
      </c>
      <c r="J4560" s="788">
        <v>37641</v>
      </c>
      <c r="L4560" s="787">
        <v>27.71</v>
      </c>
      <c r="M4560" s="787">
        <v>10</v>
      </c>
      <c r="N4560" s="787">
        <v>12.83</v>
      </c>
      <c r="O4560" s="788">
        <v>41858</v>
      </c>
    </row>
    <row r="4561" spans="1:15" x14ac:dyDescent="0.25">
      <c r="A4561" s="786" t="s">
        <v>8841</v>
      </c>
      <c r="B4561" s="787">
        <v>4</v>
      </c>
      <c r="C4561" s="787" t="s">
        <v>8842</v>
      </c>
      <c r="D4561" s="787">
        <v>2.39</v>
      </c>
      <c r="E4561" s="787">
        <v>2.39</v>
      </c>
      <c r="F4561" s="788">
        <v>41996</v>
      </c>
      <c r="G4561" s="788">
        <v>41996</v>
      </c>
      <c r="H4561" s="787">
        <v>1</v>
      </c>
      <c r="I4561" s="788">
        <v>42123</v>
      </c>
      <c r="J4561" s="788">
        <v>41970</v>
      </c>
      <c r="L4561" s="787">
        <v>2.04</v>
      </c>
      <c r="M4561" s="787">
        <v>10</v>
      </c>
      <c r="N4561" s="787">
        <v>1.96</v>
      </c>
      <c r="O4561" s="788">
        <v>42087</v>
      </c>
    </row>
    <row r="4562" spans="1:15" x14ac:dyDescent="0.25">
      <c r="A4562" s="786" t="s">
        <v>8843</v>
      </c>
      <c r="B4562" s="787">
        <v>4</v>
      </c>
      <c r="C4562" s="787" t="s">
        <v>8844</v>
      </c>
      <c r="D4562" s="787">
        <v>0.37</v>
      </c>
      <c r="E4562" s="787">
        <v>5.82</v>
      </c>
      <c r="F4562" s="788">
        <v>41135</v>
      </c>
      <c r="G4562" s="788">
        <v>42013</v>
      </c>
      <c r="H4562" s="787">
        <v>1</v>
      </c>
      <c r="I4562" s="788">
        <v>40648</v>
      </c>
      <c r="J4562" s="788">
        <v>41827</v>
      </c>
      <c r="L4562" s="787">
        <v>2.15</v>
      </c>
      <c r="M4562" s="787">
        <v>10</v>
      </c>
      <c r="N4562" s="787">
        <v>5.45</v>
      </c>
      <c r="O4562" s="788">
        <v>42146</v>
      </c>
    </row>
    <row r="4563" spans="1:15" x14ac:dyDescent="0.25">
      <c r="A4563" s="786" t="s">
        <v>8845</v>
      </c>
      <c r="B4563" s="787">
        <v>4</v>
      </c>
      <c r="C4563" s="787" t="s">
        <v>8846</v>
      </c>
      <c r="D4563" s="787">
        <v>1.04</v>
      </c>
      <c r="E4563" s="787">
        <v>1.33</v>
      </c>
      <c r="F4563" s="788">
        <v>39456</v>
      </c>
      <c r="G4563" s="788">
        <v>42013</v>
      </c>
      <c r="H4563" s="787">
        <v>1</v>
      </c>
      <c r="I4563" s="788">
        <v>42124</v>
      </c>
      <c r="J4563" s="788">
        <v>41970</v>
      </c>
      <c r="L4563" s="787">
        <v>1.67</v>
      </c>
      <c r="M4563" s="787">
        <v>10</v>
      </c>
      <c r="N4563" s="787">
        <v>1.74</v>
      </c>
      <c r="O4563" s="788">
        <v>42087</v>
      </c>
    </row>
    <row r="4564" spans="1:15" x14ac:dyDescent="0.25">
      <c r="A4564" s="786" t="s">
        <v>8847</v>
      </c>
      <c r="B4564" s="787">
        <v>4</v>
      </c>
      <c r="C4564" s="787" t="s">
        <v>8848</v>
      </c>
      <c r="D4564" s="787">
        <v>0</v>
      </c>
      <c r="E4564" s="787">
        <v>0</v>
      </c>
      <c r="H4564" s="787">
        <v>1</v>
      </c>
      <c r="J4564" s="788">
        <v>37641</v>
      </c>
      <c r="L4564" s="787">
        <v>2.87</v>
      </c>
      <c r="M4564" s="787">
        <v>10</v>
      </c>
      <c r="N4564" s="787">
        <v>3.62</v>
      </c>
      <c r="O4564" s="788">
        <v>41858</v>
      </c>
    </row>
    <row r="4565" spans="1:15" x14ac:dyDescent="0.25">
      <c r="A4565" s="786" t="s">
        <v>8849</v>
      </c>
      <c r="B4565" s="787">
        <v>4</v>
      </c>
      <c r="C4565" s="787" t="s">
        <v>8850</v>
      </c>
      <c r="D4565" s="787">
        <v>9.19</v>
      </c>
      <c r="E4565" s="787">
        <v>9.19</v>
      </c>
      <c r="F4565" s="788">
        <v>41613</v>
      </c>
      <c r="G4565" s="788">
        <v>41613</v>
      </c>
      <c r="H4565" s="787">
        <v>1</v>
      </c>
      <c r="J4565" s="788">
        <v>41568</v>
      </c>
      <c r="L4565" s="787">
        <v>6.36</v>
      </c>
      <c r="M4565" s="787">
        <v>10</v>
      </c>
      <c r="N4565" s="787">
        <v>5.01</v>
      </c>
      <c r="O4565" s="788">
        <v>42087</v>
      </c>
    </row>
    <row r="4566" spans="1:15" x14ac:dyDescent="0.25">
      <c r="A4566" s="786" t="s">
        <v>8851</v>
      </c>
      <c r="B4566" s="787">
        <v>4</v>
      </c>
      <c r="C4566" s="787" t="s">
        <v>8852</v>
      </c>
      <c r="D4566" s="787">
        <v>0</v>
      </c>
      <c r="E4566" s="787">
        <v>0</v>
      </c>
      <c r="G4566" s="788">
        <v>38447</v>
      </c>
      <c r="H4566" s="787">
        <v>1</v>
      </c>
      <c r="I4566" s="788">
        <v>38317</v>
      </c>
      <c r="J4566" s="788">
        <v>38190</v>
      </c>
      <c r="L4566" s="787">
        <v>32.479999999999997</v>
      </c>
      <c r="M4566" s="787">
        <v>10</v>
      </c>
      <c r="N4566" s="787">
        <v>58.91</v>
      </c>
      <c r="O4566" s="788">
        <v>41554</v>
      </c>
    </row>
    <row r="4567" spans="1:15" x14ac:dyDescent="0.25">
      <c r="A4567" s="786" t="s">
        <v>8853</v>
      </c>
      <c r="B4567" s="787">
        <v>4</v>
      </c>
      <c r="C4567" s="787" t="s">
        <v>8854</v>
      </c>
      <c r="D4567" s="787">
        <v>0</v>
      </c>
      <c r="E4567" s="787">
        <v>0</v>
      </c>
      <c r="G4567" s="788">
        <v>38364</v>
      </c>
      <c r="H4567" s="787">
        <v>1</v>
      </c>
      <c r="I4567" s="788">
        <v>38631</v>
      </c>
      <c r="J4567" s="788">
        <v>38281</v>
      </c>
      <c r="L4567" s="787">
        <v>9.8800000000000008</v>
      </c>
      <c r="M4567" s="787">
        <v>10</v>
      </c>
      <c r="N4567" s="787">
        <v>15.06</v>
      </c>
      <c r="O4567" s="788">
        <v>41955</v>
      </c>
    </row>
    <row r="4568" spans="1:15" x14ac:dyDescent="0.25">
      <c r="A4568" s="786" t="s">
        <v>8855</v>
      </c>
      <c r="B4568" s="787">
        <v>4</v>
      </c>
      <c r="C4568" s="787" t="s">
        <v>8856</v>
      </c>
      <c r="D4568" s="787">
        <v>3.13</v>
      </c>
      <c r="E4568" s="787">
        <v>3.13</v>
      </c>
      <c r="F4568" s="788">
        <v>38047</v>
      </c>
      <c r="G4568" s="788">
        <v>38047</v>
      </c>
      <c r="H4568" s="787">
        <v>1</v>
      </c>
      <c r="I4568" s="788">
        <v>40669</v>
      </c>
      <c r="J4568" s="788">
        <v>38047</v>
      </c>
      <c r="L4568" s="787">
        <v>1.75</v>
      </c>
      <c r="M4568" s="787">
        <v>10</v>
      </c>
      <c r="N4568" s="787">
        <v>2.88</v>
      </c>
      <c r="O4568" s="788">
        <v>41858</v>
      </c>
    </row>
    <row r="4569" spans="1:15" x14ac:dyDescent="0.25">
      <c r="A4569" s="786" t="s">
        <v>8857</v>
      </c>
      <c r="B4569" s="787">
        <v>4</v>
      </c>
      <c r="C4569" s="787" t="s">
        <v>8858</v>
      </c>
      <c r="D4569" s="787">
        <v>4.97</v>
      </c>
      <c r="E4569" s="787">
        <v>1.29</v>
      </c>
      <c r="F4569" s="788">
        <v>39101</v>
      </c>
      <c r="G4569" s="788">
        <v>39101</v>
      </c>
      <c r="H4569" s="787">
        <v>1</v>
      </c>
      <c r="I4569" s="788">
        <v>38817</v>
      </c>
      <c r="J4569" s="788">
        <v>39101</v>
      </c>
      <c r="L4569" s="787">
        <v>4.92</v>
      </c>
      <c r="M4569" s="787">
        <v>10</v>
      </c>
      <c r="N4569" s="787">
        <v>8.18</v>
      </c>
      <c r="O4569" s="788">
        <v>41955</v>
      </c>
    </row>
    <row r="4570" spans="1:15" x14ac:dyDescent="0.25">
      <c r="A4570" s="786" t="s">
        <v>8859</v>
      </c>
      <c r="B4570" s="787">
        <v>4</v>
      </c>
      <c r="C4570" s="787" t="s">
        <v>8860</v>
      </c>
      <c r="D4570" s="787">
        <v>0</v>
      </c>
      <c r="E4570" s="787">
        <v>0</v>
      </c>
      <c r="H4570" s="787">
        <v>1</v>
      </c>
      <c r="I4570" s="788">
        <v>38817</v>
      </c>
      <c r="J4570" s="788">
        <v>39101</v>
      </c>
      <c r="L4570" s="787">
        <v>2.1</v>
      </c>
      <c r="M4570" s="787">
        <v>10</v>
      </c>
      <c r="N4570" s="787">
        <v>4.0999999999999996</v>
      </c>
      <c r="O4570" s="788">
        <v>41955</v>
      </c>
    </row>
    <row r="4571" spans="1:15" x14ac:dyDescent="0.25">
      <c r="A4571" s="786" t="s">
        <v>8861</v>
      </c>
      <c r="B4571" s="787">
        <v>4</v>
      </c>
      <c r="C4571" s="787" t="s">
        <v>8862</v>
      </c>
      <c r="D4571" s="787">
        <v>0</v>
      </c>
      <c r="E4571" s="787">
        <v>0</v>
      </c>
      <c r="H4571" s="787">
        <v>1</v>
      </c>
      <c r="I4571" s="788">
        <v>39190</v>
      </c>
      <c r="J4571" s="788">
        <v>39101</v>
      </c>
      <c r="L4571" s="787">
        <v>7.4</v>
      </c>
      <c r="M4571" s="787">
        <v>10</v>
      </c>
      <c r="N4571" s="787">
        <v>10.48</v>
      </c>
      <c r="O4571" s="788">
        <v>42083</v>
      </c>
    </row>
    <row r="4572" spans="1:15" x14ac:dyDescent="0.25">
      <c r="A4572" s="786" t="s">
        <v>8863</v>
      </c>
      <c r="B4572" s="787">
        <v>4</v>
      </c>
      <c r="C4572" s="787" t="s">
        <v>8864</v>
      </c>
      <c r="D4572" s="787">
        <v>4.28</v>
      </c>
      <c r="E4572" s="787">
        <v>4.28</v>
      </c>
      <c r="F4572" s="788">
        <v>41453</v>
      </c>
      <c r="G4572" s="788">
        <v>41943</v>
      </c>
      <c r="H4572" s="787">
        <v>1</v>
      </c>
      <c r="I4572" s="788">
        <v>41415</v>
      </c>
      <c r="J4572" s="788">
        <v>41421</v>
      </c>
      <c r="L4572" s="787">
        <v>2.1800000000000002</v>
      </c>
      <c r="M4572" s="787">
        <v>10</v>
      </c>
      <c r="N4572" s="787">
        <v>10.54</v>
      </c>
      <c r="O4572" s="788">
        <v>42164</v>
      </c>
    </row>
    <row r="4573" spans="1:15" x14ac:dyDescent="0.25">
      <c r="A4573" s="786" t="s">
        <v>8865</v>
      </c>
      <c r="B4573" s="787">
        <v>4</v>
      </c>
      <c r="C4573" s="787" t="s">
        <v>8866</v>
      </c>
      <c r="D4573" s="787">
        <v>0</v>
      </c>
      <c r="E4573" s="787">
        <v>0</v>
      </c>
      <c r="H4573" s="787">
        <v>1</v>
      </c>
      <c r="J4573" s="788">
        <v>37641</v>
      </c>
      <c r="L4573" s="787">
        <v>27.93</v>
      </c>
      <c r="M4573" s="787">
        <v>10</v>
      </c>
      <c r="N4573" s="787">
        <v>10.34</v>
      </c>
      <c r="O4573" s="788">
        <v>42087</v>
      </c>
    </row>
    <row r="4574" spans="1:15" x14ac:dyDescent="0.25">
      <c r="A4574" s="786" t="s">
        <v>8867</v>
      </c>
      <c r="B4574" s="787">
        <v>4</v>
      </c>
      <c r="C4574" s="787" t="s">
        <v>8868</v>
      </c>
      <c r="D4574" s="787">
        <v>0</v>
      </c>
      <c r="E4574" s="787">
        <v>0</v>
      </c>
      <c r="H4574" s="787">
        <v>1</v>
      </c>
      <c r="J4574" s="788">
        <v>37641</v>
      </c>
      <c r="L4574" s="787">
        <v>26.66</v>
      </c>
      <c r="M4574" s="787">
        <v>10</v>
      </c>
      <c r="N4574" s="787">
        <v>11.25</v>
      </c>
      <c r="O4574" s="788">
        <v>41543</v>
      </c>
    </row>
    <row r="4575" spans="1:15" x14ac:dyDescent="0.25">
      <c r="A4575" s="786" t="s">
        <v>8869</v>
      </c>
      <c r="B4575" s="787">
        <v>4</v>
      </c>
      <c r="C4575" s="787" t="s">
        <v>8870</v>
      </c>
      <c r="D4575" s="787">
        <v>0</v>
      </c>
      <c r="E4575" s="787">
        <v>0</v>
      </c>
      <c r="H4575" s="787">
        <v>1</v>
      </c>
      <c r="J4575" s="788">
        <v>37641</v>
      </c>
      <c r="L4575" s="787">
        <v>28.27</v>
      </c>
      <c r="M4575" s="787">
        <v>10</v>
      </c>
      <c r="N4575" s="787">
        <v>13.28</v>
      </c>
      <c r="O4575" s="788">
        <v>42045</v>
      </c>
    </row>
    <row r="4576" spans="1:15" x14ac:dyDescent="0.25">
      <c r="A4576" s="786" t="s">
        <v>8871</v>
      </c>
      <c r="B4576" s="787">
        <v>4</v>
      </c>
      <c r="C4576" s="787" t="s">
        <v>8872</v>
      </c>
      <c r="D4576" s="787">
        <v>0</v>
      </c>
      <c r="E4576" s="787">
        <v>0</v>
      </c>
      <c r="H4576" s="787">
        <v>1</v>
      </c>
      <c r="J4576" s="788">
        <v>37641</v>
      </c>
      <c r="L4576" s="787">
        <v>27.52</v>
      </c>
      <c r="M4576" s="787">
        <v>10</v>
      </c>
      <c r="N4576" s="787">
        <v>10.88</v>
      </c>
      <c r="O4576" s="788">
        <v>41543</v>
      </c>
    </row>
    <row r="4577" spans="1:15" x14ac:dyDescent="0.25">
      <c r="A4577" s="786" t="s">
        <v>8873</v>
      </c>
      <c r="B4577" s="787">
        <v>4</v>
      </c>
      <c r="C4577" s="787" t="s">
        <v>8874</v>
      </c>
      <c r="D4577" s="787">
        <v>0.09</v>
      </c>
      <c r="E4577" s="787">
        <v>3.33</v>
      </c>
      <c r="F4577" s="788">
        <v>39975</v>
      </c>
      <c r="G4577" s="788">
        <v>42150</v>
      </c>
      <c r="H4577" s="787">
        <v>1</v>
      </c>
      <c r="I4577" s="788">
        <v>42123</v>
      </c>
      <c r="J4577" s="788">
        <v>42121</v>
      </c>
      <c r="L4577" s="787">
        <v>0.55000000000000004</v>
      </c>
      <c r="M4577" s="787">
        <v>10</v>
      </c>
      <c r="N4577" s="787">
        <v>2.2000000000000002</v>
      </c>
      <c r="O4577" s="788">
        <v>42152</v>
      </c>
    </row>
    <row r="4578" spans="1:15" x14ac:dyDescent="0.25">
      <c r="A4578" s="786" t="s">
        <v>8875</v>
      </c>
      <c r="B4578" s="787">
        <v>4</v>
      </c>
      <c r="C4578" s="787" t="s">
        <v>8876</v>
      </c>
      <c r="D4578" s="787">
        <v>3.12</v>
      </c>
      <c r="E4578" s="787">
        <v>3.12</v>
      </c>
      <c r="F4578" s="788">
        <v>37641</v>
      </c>
      <c r="G4578" s="788">
        <v>37641</v>
      </c>
      <c r="H4578" s="787">
        <v>1</v>
      </c>
      <c r="I4578" s="788">
        <v>38131</v>
      </c>
      <c r="J4578" s="788">
        <v>37641</v>
      </c>
      <c r="L4578" s="787">
        <v>3.65</v>
      </c>
      <c r="M4578" s="787">
        <v>10</v>
      </c>
      <c r="N4578" s="787">
        <v>6.09</v>
      </c>
      <c r="O4578" s="788">
        <v>41858</v>
      </c>
    </row>
    <row r="4579" spans="1:15" x14ac:dyDescent="0.25">
      <c r="A4579" s="786" t="s">
        <v>8877</v>
      </c>
      <c r="B4579" s="787">
        <v>4</v>
      </c>
      <c r="C4579" s="787" t="s">
        <v>8878</v>
      </c>
      <c r="D4579" s="787">
        <v>0</v>
      </c>
      <c r="E4579" s="787">
        <v>0</v>
      </c>
      <c r="H4579" s="787">
        <v>1</v>
      </c>
      <c r="I4579" s="788">
        <v>38631</v>
      </c>
      <c r="J4579" s="788">
        <v>37641</v>
      </c>
      <c r="L4579" s="787">
        <v>4.9400000000000004</v>
      </c>
      <c r="M4579" s="787">
        <v>10</v>
      </c>
      <c r="N4579" s="787">
        <v>7.32</v>
      </c>
      <c r="O4579" s="788">
        <v>41955</v>
      </c>
    </row>
    <row r="4580" spans="1:15" x14ac:dyDescent="0.25">
      <c r="A4580" s="786" t="s">
        <v>8879</v>
      </c>
      <c r="B4580" s="787">
        <v>4</v>
      </c>
      <c r="C4580" s="787" t="s">
        <v>8880</v>
      </c>
      <c r="D4580" s="787">
        <v>2.31</v>
      </c>
      <c r="E4580" s="787">
        <v>2.31</v>
      </c>
      <c r="F4580" s="788">
        <v>39456</v>
      </c>
      <c r="G4580" s="788">
        <v>39590</v>
      </c>
      <c r="H4580" s="787">
        <v>1</v>
      </c>
      <c r="I4580" s="788">
        <v>39561</v>
      </c>
      <c r="J4580" s="788">
        <v>39330</v>
      </c>
      <c r="L4580" s="787">
        <v>3.9</v>
      </c>
      <c r="M4580" s="787">
        <v>10</v>
      </c>
      <c r="N4580" s="787">
        <v>5.4</v>
      </c>
      <c r="O4580" s="788">
        <v>42082</v>
      </c>
    </row>
    <row r="4581" spans="1:15" x14ac:dyDescent="0.25">
      <c r="A4581" s="786" t="s">
        <v>8881</v>
      </c>
      <c r="B4581" s="787">
        <v>4</v>
      </c>
      <c r="C4581" s="787" t="s">
        <v>8882</v>
      </c>
      <c r="D4581" s="787">
        <v>2.3199999999999998</v>
      </c>
      <c r="E4581" s="787">
        <v>2.3199999999999998</v>
      </c>
      <c r="F4581" s="788">
        <v>39101</v>
      </c>
      <c r="G4581" s="788">
        <v>39101</v>
      </c>
      <c r="H4581" s="787">
        <v>1</v>
      </c>
      <c r="I4581" s="788">
        <v>39561</v>
      </c>
      <c r="J4581" s="788">
        <v>39149</v>
      </c>
      <c r="L4581" s="787">
        <v>3.9</v>
      </c>
      <c r="M4581" s="787">
        <v>10</v>
      </c>
      <c r="N4581" s="787">
        <v>4.9400000000000004</v>
      </c>
      <c r="O4581" s="788">
        <v>41858</v>
      </c>
    </row>
    <row r="4582" spans="1:15" x14ac:dyDescent="0.25">
      <c r="A4582" s="786" t="s">
        <v>8883</v>
      </c>
      <c r="B4582" s="787">
        <v>4</v>
      </c>
      <c r="C4582" s="787" t="s">
        <v>8880</v>
      </c>
      <c r="D4582" s="787">
        <v>2.08</v>
      </c>
      <c r="E4582" s="787">
        <v>3.49</v>
      </c>
      <c r="F4582" s="788">
        <v>39101</v>
      </c>
      <c r="G4582" s="788">
        <v>39101</v>
      </c>
      <c r="H4582" s="787">
        <v>1</v>
      </c>
      <c r="I4582" s="788">
        <v>39134</v>
      </c>
      <c r="J4582" s="788">
        <v>39149</v>
      </c>
      <c r="L4582" s="787">
        <v>3.98</v>
      </c>
      <c r="M4582" s="787">
        <v>10</v>
      </c>
      <c r="N4582" s="787">
        <v>5.09</v>
      </c>
      <c r="O4582" s="788">
        <v>41858</v>
      </c>
    </row>
    <row r="4583" spans="1:15" x14ac:dyDescent="0.25">
      <c r="A4583" s="786" t="s">
        <v>8884</v>
      </c>
      <c r="B4583" s="787">
        <v>4</v>
      </c>
      <c r="C4583" s="787" t="s">
        <v>8882</v>
      </c>
      <c r="D4583" s="787">
        <v>2.34</v>
      </c>
      <c r="E4583" s="787">
        <v>3.49</v>
      </c>
      <c r="F4583" s="788">
        <v>39101</v>
      </c>
      <c r="G4583" s="788">
        <v>39101</v>
      </c>
      <c r="H4583" s="787">
        <v>1</v>
      </c>
      <c r="I4583" s="788">
        <v>39134</v>
      </c>
      <c r="J4583" s="788">
        <v>39149</v>
      </c>
      <c r="L4583" s="787">
        <v>3.98</v>
      </c>
      <c r="M4583" s="787">
        <v>10</v>
      </c>
      <c r="N4583" s="787">
        <v>5.09</v>
      </c>
      <c r="O4583" s="788">
        <v>41858</v>
      </c>
    </row>
    <row r="4584" spans="1:15" x14ac:dyDescent="0.25">
      <c r="A4584" s="786" t="s">
        <v>8885</v>
      </c>
      <c r="B4584" s="787">
        <v>4</v>
      </c>
      <c r="C4584" s="787" t="s">
        <v>8880</v>
      </c>
      <c r="D4584" s="787">
        <v>0</v>
      </c>
      <c r="E4584" s="787">
        <v>0</v>
      </c>
      <c r="H4584" s="787">
        <v>1</v>
      </c>
      <c r="I4584" s="788">
        <v>39654</v>
      </c>
      <c r="J4584" s="788">
        <v>39101</v>
      </c>
      <c r="L4584" s="787">
        <v>2.64</v>
      </c>
      <c r="M4584" s="787">
        <v>10</v>
      </c>
      <c r="N4584" s="787">
        <v>3.21</v>
      </c>
      <c r="O4584" s="788">
        <v>41858</v>
      </c>
    </row>
    <row r="4585" spans="1:15" x14ac:dyDescent="0.25">
      <c r="A4585" s="786" t="s">
        <v>8886</v>
      </c>
      <c r="B4585" s="787">
        <v>4</v>
      </c>
      <c r="C4585" s="787" t="s">
        <v>8882</v>
      </c>
      <c r="D4585" s="787">
        <v>0</v>
      </c>
      <c r="E4585" s="787">
        <v>0</v>
      </c>
      <c r="H4585" s="787">
        <v>1</v>
      </c>
      <c r="I4585" s="788">
        <v>39134</v>
      </c>
      <c r="J4585" s="788">
        <v>39149</v>
      </c>
      <c r="L4585" s="787">
        <v>2.64</v>
      </c>
      <c r="M4585" s="787">
        <v>10</v>
      </c>
      <c r="N4585" s="787">
        <v>3.21</v>
      </c>
      <c r="O4585" s="788">
        <v>41858</v>
      </c>
    </row>
    <row r="4586" spans="1:15" x14ac:dyDescent="0.25">
      <c r="A4586" s="786" t="s">
        <v>8887</v>
      </c>
      <c r="B4586" s="787">
        <v>4</v>
      </c>
      <c r="C4586" s="787" t="s">
        <v>8888</v>
      </c>
      <c r="D4586" s="787">
        <v>0</v>
      </c>
      <c r="E4586" s="787">
        <v>0</v>
      </c>
      <c r="G4586" s="788">
        <v>38736</v>
      </c>
      <c r="H4586" s="787">
        <v>1</v>
      </c>
      <c r="I4586" s="788">
        <v>39254</v>
      </c>
      <c r="J4586" s="788">
        <v>39101</v>
      </c>
      <c r="L4586" s="787">
        <v>2.23</v>
      </c>
      <c r="M4586" s="787">
        <v>10</v>
      </c>
      <c r="N4586" s="787">
        <v>2.85</v>
      </c>
      <c r="O4586" s="788">
        <v>42135</v>
      </c>
    </row>
    <row r="4587" spans="1:15" x14ac:dyDescent="0.25">
      <c r="A4587" s="786" t="s">
        <v>8889</v>
      </c>
      <c r="B4587" s="787">
        <v>4</v>
      </c>
      <c r="C4587" s="787" t="s">
        <v>8890</v>
      </c>
      <c r="D4587" s="787">
        <v>0</v>
      </c>
      <c r="E4587" s="787">
        <v>0</v>
      </c>
      <c r="G4587" s="788">
        <v>38736</v>
      </c>
      <c r="H4587" s="787">
        <v>1</v>
      </c>
      <c r="I4587" s="788">
        <v>39254</v>
      </c>
      <c r="J4587" s="788">
        <v>39101</v>
      </c>
      <c r="L4587" s="787">
        <v>2.23</v>
      </c>
      <c r="M4587" s="787">
        <v>10</v>
      </c>
      <c r="N4587" s="787">
        <v>2.85</v>
      </c>
      <c r="O4587" s="788">
        <v>42135</v>
      </c>
    </row>
    <row r="4588" spans="1:15" x14ac:dyDescent="0.25">
      <c r="A4588" s="786" t="s">
        <v>8891</v>
      </c>
      <c r="B4588" s="787">
        <v>4</v>
      </c>
      <c r="C4588" s="787" t="s">
        <v>8892</v>
      </c>
      <c r="D4588" s="787">
        <v>1.71</v>
      </c>
      <c r="E4588" s="787">
        <v>2.63</v>
      </c>
      <c r="F4588" s="788">
        <v>39456</v>
      </c>
      <c r="G4588" s="788">
        <v>42163</v>
      </c>
      <c r="H4588" s="787">
        <v>1</v>
      </c>
      <c r="I4588" s="788">
        <v>42152</v>
      </c>
      <c r="J4588" s="788">
        <v>42158</v>
      </c>
      <c r="L4588" s="787">
        <v>3.42</v>
      </c>
      <c r="M4588" s="787">
        <v>10</v>
      </c>
      <c r="N4588" s="787">
        <v>5.57</v>
      </c>
      <c r="O4588" s="788">
        <v>42162</v>
      </c>
    </row>
    <row r="4589" spans="1:15" x14ac:dyDescent="0.25">
      <c r="A4589" s="786" t="s">
        <v>8893</v>
      </c>
      <c r="B4589" s="787">
        <v>4</v>
      </c>
      <c r="C4589" s="787" t="s">
        <v>8894</v>
      </c>
      <c r="D4589" s="787">
        <v>5.6</v>
      </c>
      <c r="E4589" s="787">
        <v>20.72</v>
      </c>
      <c r="F4589" s="788">
        <v>41278</v>
      </c>
      <c r="G4589" s="788">
        <v>42163</v>
      </c>
      <c r="H4589" s="787">
        <v>1</v>
      </c>
      <c r="I4589" s="788">
        <v>42165</v>
      </c>
      <c r="J4589" s="788">
        <v>42131</v>
      </c>
      <c r="L4589" s="787">
        <v>32.159999999999997</v>
      </c>
      <c r="M4589" s="787">
        <v>10</v>
      </c>
      <c r="N4589" s="787">
        <v>20.54</v>
      </c>
      <c r="O4589" s="788">
        <v>42162</v>
      </c>
    </row>
    <row r="4590" spans="1:15" x14ac:dyDescent="0.25">
      <c r="A4590" s="786" t="s">
        <v>8895</v>
      </c>
      <c r="B4590" s="787">
        <v>4</v>
      </c>
      <c r="C4590" s="787" t="s">
        <v>8896</v>
      </c>
      <c r="D4590" s="787">
        <v>0.23</v>
      </c>
      <c r="E4590" s="787">
        <v>1.34</v>
      </c>
      <c r="F4590" s="788">
        <v>39456</v>
      </c>
      <c r="G4590" s="788">
        <v>42013</v>
      </c>
      <c r="H4590" s="787">
        <v>1</v>
      </c>
      <c r="I4590" s="788">
        <v>41901</v>
      </c>
      <c r="J4590" s="788">
        <v>40302</v>
      </c>
      <c r="L4590" s="787">
        <v>0.24</v>
      </c>
      <c r="M4590" s="787">
        <v>10</v>
      </c>
      <c r="N4590" s="787">
        <v>0.59</v>
      </c>
      <c r="O4590" s="788">
        <v>42083</v>
      </c>
    </row>
    <row r="4591" spans="1:15" x14ac:dyDescent="0.25">
      <c r="A4591" s="786" t="s">
        <v>8897</v>
      </c>
      <c r="B4591" s="787">
        <v>4</v>
      </c>
      <c r="C4591" s="787" t="s">
        <v>8898</v>
      </c>
      <c r="D4591" s="787">
        <v>0.13</v>
      </c>
      <c r="E4591" s="787">
        <v>0.13</v>
      </c>
      <c r="F4591" s="788">
        <v>39101</v>
      </c>
      <c r="G4591" s="788">
        <v>41943</v>
      </c>
      <c r="H4591" s="787">
        <v>1</v>
      </c>
      <c r="I4591" s="788">
        <v>42033</v>
      </c>
      <c r="J4591" s="788">
        <v>39896</v>
      </c>
      <c r="L4591" s="787">
        <v>0.15</v>
      </c>
      <c r="M4591" s="787">
        <v>10</v>
      </c>
      <c r="N4591" s="787">
        <v>1</v>
      </c>
      <c r="O4591" s="788">
        <v>42163</v>
      </c>
    </row>
    <row r="4592" spans="1:15" x14ac:dyDescent="0.25">
      <c r="A4592" s="786" t="s">
        <v>8899</v>
      </c>
      <c r="B4592" s="787">
        <v>4</v>
      </c>
      <c r="C4592" s="787" t="s">
        <v>8900</v>
      </c>
      <c r="D4592" s="787">
        <v>0.1</v>
      </c>
      <c r="E4592" s="787">
        <v>0.5</v>
      </c>
      <c r="F4592" s="788">
        <v>39456</v>
      </c>
      <c r="G4592" s="788">
        <v>42013</v>
      </c>
      <c r="H4592" s="787">
        <v>1</v>
      </c>
      <c r="I4592" s="788">
        <v>42115</v>
      </c>
      <c r="J4592" s="788">
        <v>41585</v>
      </c>
      <c r="L4592" s="787">
        <v>0.21</v>
      </c>
      <c r="M4592" s="787">
        <v>10</v>
      </c>
      <c r="N4592" s="787">
        <v>1.76</v>
      </c>
      <c r="O4592" s="788">
        <v>42163</v>
      </c>
    </row>
    <row r="4593" spans="1:15" x14ac:dyDescent="0.25">
      <c r="A4593" s="786" t="s">
        <v>8901</v>
      </c>
      <c r="B4593" s="787">
        <v>4</v>
      </c>
      <c r="C4593" s="787" t="s">
        <v>8902</v>
      </c>
      <c r="D4593" s="787">
        <v>0.24</v>
      </c>
      <c r="E4593" s="787">
        <v>1.04</v>
      </c>
      <c r="F4593" s="788">
        <v>39456</v>
      </c>
      <c r="G4593" s="788">
        <v>42013</v>
      </c>
      <c r="H4593" s="787">
        <v>1</v>
      </c>
      <c r="I4593" s="788">
        <v>42151</v>
      </c>
      <c r="J4593" s="788">
        <v>41766</v>
      </c>
      <c r="L4593" s="787">
        <v>0.61</v>
      </c>
      <c r="M4593" s="787">
        <v>10</v>
      </c>
      <c r="N4593" s="787">
        <v>9.2200000000000006</v>
      </c>
      <c r="O4593" s="788">
        <v>42082</v>
      </c>
    </row>
    <row r="4594" spans="1:15" x14ac:dyDescent="0.25">
      <c r="A4594" s="786" t="s">
        <v>8903</v>
      </c>
      <c r="B4594" s="787">
        <v>4</v>
      </c>
      <c r="C4594" s="787" t="s">
        <v>8904</v>
      </c>
      <c r="D4594" s="787">
        <v>0.32</v>
      </c>
      <c r="E4594" s="787">
        <v>1.53</v>
      </c>
      <c r="F4594" s="788">
        <v>39101</v>
      </c>
      <c r="G4594" s="788">
        <v>41565</v>
      </c>
      <c r="H4594" s="787">
        <v>1</v>
      </c>
      <c r="I4594" s="788">
        <v>40617</v>
      </c>
      <c r="J4594" s="788">
        <v>40724</v>
      </c>
      <c r="L4594" s="787">
        <v>0.61</v>
      </c>
      <c r="M4594" s="787">
        <v>10</v>
      </c>
      <c r="N4594" s="787">
        <v>1.04</v>
      </c>
      <c r="O4594" s="788">
        <v>42082</v>
      </c>
    </row>
    <row r="4595" spans="1:15" x14ac:dyDescent="0.25">
      <c r="A4595" s="786" t="s">
        <v>8905</v>
      </c>
      <c r="B4595" s="787">
        <v>4</v>
      </c>
      <c r="C4595" s="787" t="s">
        <v>8906</v>
      </c>
      <c r="D4595" s="787">
        <v>0.96</v>
      </c>
      <c r="E4595" s="787">
        <v>2.23</v>
      </c>
      <c r="F4595" s="788">
        <v>40827</v>
      </c>
      <c r="G4595" s="788">
        <v>42013</v>
      </c>
      <c r="H4595" s="787">
        <v>1</v>
      </c>
      <c r="I4595" s="788">
        <v>42160</v>
      </c>
      <c r="J4595" s="788">
        <v>41554</v>
      </c>
      <c r="L4595" s="787">
        <v>0.73</v>
      </c>
      <c r="M4595" s="787">
        <v>10</v>
      </c>
      <c r="N4595" s="787">
        <v>10.130000000000001</v>
      </c>
      <c r="O4595" s="788">
        <v>42082</v>
      </c>
    </row>
    <row r="4596" spans="1:15" x14ac:dyDescent="0.25">
      <c r="A4596" s="786" t="s">
        <v>8907</v>
      </c>
      <c r="B4596" s="787">
        <v>4</v>
      </c>
      <c r="C4596" s="787" t="s">
        <v>8908</v>
      </c>
      <c r="D4596" s="787">
        <v>0</v>
      </c>
      <c r="E4596" s="787">
        <v>0</v>
      </c>
      <c r="H4596" s="787">
        <v>1</v>
      </c>
      <c r="I4596" s="788">
        <v>40451</v>
      </c>
      <c r="J4596" s="788">
        <v>38736</v>
      </c>
      <c r="L4596" s="787">
        <v>8.3699999999999992</v>
      </c>
      <c r="M4596" s="787">
        <v>10</v>
      </c>
      <c r="N4596" s="787">
        <v>29.47</v>
      </c>
      <c r="O4596" s="788">
        <v>42162</v>
      </c>
    </row>
    <row r="4597" spans="1:15" x14ac:dyDescent="0.25">
      <c r="A4597" s="786" t="s">
        <v>8909</v>
      </c>
      <c r="B4597" s="787">
        <v>4</v>
      </c>
      <c r="C4597" s="787" t="s">
        <v>8910</v>
      </c>
      <c r="D4597" s="787">
        <v>0</v>
      </c>
      <c r="E4597" s="787">
        <v>0</v>
      </c>
      <c r="H4597" s="787">
        <v>1</v>
      </c>
      <c r="I4597" s="788">
        <v>40451</v>
      </c>
      <c r="J4597" s="788">
        <v>38736</v>
      </c>
      <c r="L4597" s="787">
        <v>9.5</v>
      </c>
      <c r="M4597" s="787">
        <v>10</v>
      </c>
      <c r="N4597" s="787">
        <v>11.52</v>
      </c>
      <c r="O4597" s="788">
        <v>42162</v>
      </c>
    </row>
    <row r="4598" spans="1:15" x14ac:dyDescent="0.25">
      <c r="A4598" s="786" t="s">
        <v>8911</v>
      </c>
      <c r="B4598" s="787">
        <v>4</v>
      </c>
      <c r="C4598" s="787" t="s">
        <v>8912</v>
      </c>
      <c r="D4598" s="787">
        <v>1.86</v>
      </c>
      <c r="E4598" s="787">
        <v>1.86</v>
      </c>
      <c r="F4598" s="788">
        <v>38047</v>
      </c>
      <c r="G4598" s="788">
        <v>38047</v>
      </c>
      <c r="H4598" s="787">
        <v>1</v>
      </c>
      <c r="J4598" s="788">
        <v>38047</v>
      </c>
      <c r="L4598" s="787">
        <v>1.81</v>
      </c>
      <c r="M4598" s="787">
        <v>10</v>
      </c>
      <c r="N4598" s="787">
        <v>2.99</v>
      </c>
      <c r="O4598" s="788">
        <v>41858</v>
      </c>
    </row>
    <row r="4599" spans="1:15" x14ac:dyDescent="0.25">
      <c r="A4599" s="786" t="s">
        <v>8913</v>
      </c>
      <c r="B4599" s="787">
        <v>4</v>
      </c>
      <c r="C4599" s="787" t="s">
        <v>8914</v>
      </c>
      <c r="D4599" s="787">
        <v>0.69</v>
      </c>
      <c r="E4599" s="787">
        <v>8.67</v>
      </c>
      <c r="F4599" s="788">
        <v>39101</v>
      </c>
      <c r="G4599" s="788">
        <v>42075</v>
      </c>
      <c r="H4599" s="787">
        <v>1</v>
      </c>
      <c r="I4599" s="788">
        <v>42165</v>
      </c>
      <c r="J4599" s="788">
        <v>42052</v>
      </c>
      <c r="L4599" s="787">
        <v>2.2000000000000002</v>
      </c>
      <c r="M4599" s="787">
        <v>10</v>
      </c>
      <c r="N4599" s="787">
        <v>2.36</v>
      </c>
      <c r="O4599" s="788">
        <v>42162</v>
      </c>
    </row>
    <row r="4600" spans="1:15" x14ac:dyDescent="0.25">
      <c r="A4600" s="786" t="s">
        <v>8915</v>
      </c>
      <c r="B4600" s="787">
        <v>4</v>
      </c>
      <c r="C4600" s="787" t="s">
        <v>8916</v>
      </c>
      <c r="D4600" s="787">
        <v>1.88</v>
      </c>
      <c r="E4600" s="787">
        <v>1.88</v>
      </c>
      <c r="F4600" s="788">
        <v>39101</v>
      </c>
      <c r="G4600" s="788">
        <v>41565</v>
      </c>
      <c r="H4600" s="787">
        <v>1</v>
      </c>
      <c r="I4600" s="788">
        <v>40568</v>
      </c>
      <c r="J4600" s="788">
        <v>40332</v>
      </c>
      <c r="L4600" s="787">
        <v>1.22</v>
      </c>
      <c r="M4600" s="787">
        <v>10</v>
      </c>
      <c r="N4600" s="787">
        <v>1.96</v>
      </c>
      <c r="O4600" s="788">
        <v>42162</v>
      </c>
    </row>
    <row r="4601" spans="1:15" x14ac:dyDescent="0.25">
      <c r="A4601" s="786" t="s">
        <v>8917</v>
      </c>
      <c r="B4601" s="787">
        <v>4</v>
      </c>
      <c r="C4601" s="787" t="s">
        <v>8918</v>
      </c>
      <c r="D4601" s="787">
        <v>1.43</v>
      </c>
      <c r="E4601" s="787">
        <v>1.78</v>
      </c>
      <c r="F4601" s="788">
        <v>39101</v>
      </c>
      <c r="G4601" s="788">
        <v>41943</v>
      </c>
      <c r="H4601" s="787">
        <v>1</v>
      </c>
      <c r="I4601" s="788">
        <v>40568</v>
      </c>
      <c r="J4601" s="788">
        <v>40332</v>
      </c>
      <c r="L4601" s="787">
        <v>1.2</v>
      </c>
      <c r="M4601" s="787">
        <v>10</v>
      </c>
      <c r="N4601" s="787">
        <v>1.43</v>
      </c>
      <c r="O4601" s="788">
        <v>42162</v>
      </c>
    </row>
    <row r="4602" spans="1:15" x14ac:dyDescent="0.25">
      <c r="A4602" s="786" t="s">
        <v>8919</v>
      </c>
      <c r="B4602" s="787">
        <v>4</v>
      </c>
      <c r="C4602" s="787" t="s">
        <v>8920</v>
      </c>
      <c r="D4602" s="787">
        <v>7.41</v>
      </c>
      <c r="E4602" s="787">
        <v>68.09</v>
      </c>
      <c r="F4602" s="788">
        <v>39741</v>
      </c>
      <c r="G4602" s="788">
        <v>41394</v>
      </c>
      <c r="H4602" s="787">
        <v>5</v>
      </c>
      <c r="I4602" s="788">
        <v>40978</v>
      </c>
      <c r="J4602" s="788">
        <v>41394</v>
      </c>
      <c r="K4602" s="788">
        <v>41869</v>
      </c>
      <c r="L4602" s="787">
        <v>68.09</v>
      </c>
      <c r="M4602" s="787">
        <v>20</v>
      </c>
      <c r="N4602" s="787">
        <v>73.2</v>
      </c>
      <c r="O4602" s="788">
        <v>42088</v>
      </c>
    </row>
    <row r="4603" spans="1:15" x14ac:dyDescent="0.25">
      <c r="A4603" s="786" t="s">
        <v>8921</v>
      </c>
      <c r="B4603" s="787">
        <v>4</v>
      </c>
      <c r="C4603" s="787" t="s">
        <v>8922</v>
      </c>
      <c r="D4603" s="787">
        <v>2.34</v>
      </c>
      <c r="E4603" s="787">
        <v>72.34</v>
      </c>
      <c r="F4603" s="788">
        <v>38047</v>
      </c>
      <c r="G4603" s="788">
        <v>38047</v>
      </c>
      <c r="H4603" s="787">
        <v>1</v>
      </c>
      <c r="I4603" s="788">
        <v>40422</v>
      </c>
      <c r="J4603" s="788">
        <v>38047</v>
      </c>
      <c r="L4603" s="787">
        <v>94.62</v>
      </c>
      <c r="M4603" s="787">
        <v>20</v>
      </c>
      <c r="N4603" s="787">
        <v>101.72</v>
      </c>
      <c r="O4603" s="788">
        <v>41858</v>
      </c>
    </row>
    <row r="4604" spans="1:15" x14ac:dyDescent="0.25">
      <c r="A4604" s="786" t="s">
        <v>8923</v>
      </c>
      <c r="B4604" s="787">
        <v>4</v>
      </c>
      <c r="C4604" s="787" t="s">
        <v>8920</v>
      </c>
      <c r="D4604" s="787">
        <v>9.02</v>
      </c>
      <c r="E4604" s="787">
        <v>69.02</v>
      </c>
      <c r="F4604" s="788">
        <v>37641</v>
      </c>
      <c r="G4604" s="788">
        <v>37641</v>
      </c>
      <c r="H4604" s="787">
        <v>1</v>
      </c>
      <c r="I4604" s="788">
        <v>40627</v>
      </c>
      <c r="J4604" s="788">
        <v>41411</v>
      </c>
      <c r="L4604" s="787">
        <v>75.23</v>
      </c>
      <c r="M4604" s="787">
        <v>20</v>
      </c>
      <c r="N4604" s="787">
        <v>80.87</v>
      </c>
      <c r="O4604" s="788">
        <v>41858</v>
      </c>
    </row>
    <row r="4605" spans="1:15" x14ac:dyDescent="0.25">
      <c r="A4605" s="786" t="s">
        <v>8924</v>
      </c>
      <c r="B4605" s="787">
        <v>4</v>
      </c>
      <c r="C4605" s="787" t="s">
        <v>8925</v>
      </c>
      <c r="D4605" s="787">
        <v>8.94</v>
      </c>
      <c r="E4605" s="787">
        <v>40.56</v>
      </c>
      <c r="F4605" s="788">
        <v>39101</v>
      </c>
      <c r="G4605" s="788">
        <v>41394</v>
      </c>
      <c r="H4605" s="787">
        <v>5</v>
      </c>
      <c r="I4605" s="788">
        <v>40715</v>
      </c>
      <c r="J4605" s="788">
        <v>41394</v>
      </c>
      <c r="L4605" s="787">
        <v>44.04</v>
      </c>
      <c r="M4605" s="787">
        <v>20</v>
      </c>
      <c r="N4605" s="787">
        <v>47.34</v>
      </c>
      <c r="O4605" s="788">
        <v>41858</v>
      </c>
    </row>
    <row r="4606" spans="1:15" x14ac:dyDescent="0.25">
      <c r="A4606" s="786" t="s">
        <v>8926</v>
      </c>
      <c r="B4606" s="787">
        <v>4</v>
      </c>
      <c r="C4606" s="787" t="s">
        <v>8243</v>
      </c>
      <c r="D4606" s="787">
        <v>9.75</v>
      </c>
      <c r="E4606" s="787">
        <v>20.96</v>
      </c>
      <c r="F4606" s="788">
        <v>39785</v>
      </c>
      <c r="G4606" s="788">
        <v>41493</v>
      </c>
      <c r="H4606" s="787">
        <v>6</v>
      </c>
      <c r="I4606" s="788">
        <v>41493</v>
      </c>
      <c r="J4606" s="788">
        <v>41493</v>
      </c>
      <c r="K4606" s="788">
        <v>40140</v>
      </c>
      <c r="L4606" s="787">
        <v>21.68</v>
      </c>
      <c r="M4606" s="787">
        <v>20</v>
      </c>
      <c r="N4606" s="787">
        <v>22.53</v>
      </c>
      <c r="O4606" s="788">
        <v>41806</v>
      </c>
    </row>
    <row r="4607" spans="1:15" x14ac:dyDescent="0.25">
      <c r="A4607" s="786" t="s">
        <v>8927</v>
      </c>
      <c r="B4607" s="787">
        <v>4</v>
      </c>
      <c r="C4607" s="787" t="s">
        <v>8248</v>
      </c>
      <c r="D4607" s="787">
        <v>3.36</v>
      </c>
      <c r="E4607" s="787">
        <v>31.74</v>
      </c>
      <c r="F4607" s="788">
        <v>38182</v>
      </c>
      <c r="G4607" s="788">
        <v>38736</v>
      </c>
      <c r="H4607" s="787">
        <v>1</v>
      </c>
      <c r="I4607" s="788">
        <v>39134</v>
      </c>
      <c r="J4607" s="788">
        <v>38295</v>
      </c>
      <c r="L4607" s="787">
        <v>34.6</v>
      </c>
      <c r="M4607" s="787">
        <v>20</v>
      </c>
      <c r="N4607" s="787">
        <v>37.200000000000003</v>
      </c>
      <c r="O4607" s="788">
        <v>41858</v>
      </c>
    </row>
    <row r="4608" spans="1:15" x14ac:dyDescent="0.25">
      <c r="A4608" s="786" t="s">
        <v>8928</v>
      </c>
      <c r="B4608" s="787">
        <v>4</v>
      </c>
      <c r="C4608" s="787" t="s">
        <v>8925</v>
      </c>
      <c r="D4608" s="787">
        <v>0.71</v>
      </c>
      <c r="E4608" s="787">
        <v>43.16</v>
      </c>
      <c r="F4608" s="788">
        <v>39867</v>
      </c>
      <c r="G4608" s="788">
        <v>41493</v>
      </c>
      <c r="H4608" s="787">
        <v>6</v>
      </c>
      <c r="I4608" s="788">
        <v>41493</v>
      </c>
      <c r="J4608" s="788">
        <v>41493</v>
      </c>
      <c r="K4608" s="788">
        <v>40043</v>
      </c>
      <c r="L4608" s="787">
        <v>36.64</v>
      </c>
      <c r="M4608" s="787">
        <v>20</v>
      </c>
      <c r="N4608" s="787">
        <v>46.4</v>
      </c>
      <c r="O4608" s="788">
        <v>41815</v>
      </c>
    </row>
    <row r="4609" spans="1:15" x14ac:dyDescent="0.25">
      <c r="A4609" s="786" t="s">
        <v>8929</v>
      </c>
      <c r="B4609" s="787">
        <v>4</v>
      </c>
      <c r="C4609" s="787" t="s">
        <v>8925</v>
      </c>
      <c r="D4609" s="787">
        <v>7.39</v>
      </c>
      <c r="E4609" s="787">
        <v>38.9</v>
      </c>
      <c r="F4609" s="788">
        <v>39101</v>
      </c>
      <c r="G4609" s="788">
        <v>40178</v>
      </c>
      <c r="H4609" s="787">
        <v>5</v>
      </c>
      <c r="I4609" s="788">
        <v>40123</v>
      </c>
      <c r="J4609" s="788">
        <v>39577</v>
      </c>
      <c r="L4609" s="787">
        <v>46.15</v>
      </c>
      <c r="M4609" s="787">
        <v>20</v>
      </c>
      <c r="N4609" s="787">
        <v>49.61</v>
      </c>
      <c r="O4609" s="788">
        <v>42087</v>
      </c>
    </row>
    <row r="4610" spans="1:15" x14ac:dyDescent="0.25">
      <c r="A4610" s="786" t="s">
        <v>8930</v>
      </c>
      <c r="B4610" s="787">
        <v>4</v>
      </c>
      <c r="C4610" s="787" t="s">
        <v>8925</v>
      </c>
      <c r="D4610" s="787">
        <v>2.0099999999999998</v>
      </c>
      <c r="E4610" s="787">
        <v>33.04</v>
      </c>
      <c r="F4610" s="788">
        <v>39867</v>
      </c>
      <c r="G4610" s="788">
        <v>41411</v>
      </c>
      <c r="H4610" s="787">
        <v>1</v>
      </c>
      <c r="I4610" s="788">
        <v>40532</v>
      </c>
      <c r="J4610" s="788">
        <v>41411</v>
      </c>
      <c r="L4610" s="787">
        <v>48.32</v>
      </c>
      <c r="M4610" s="787">
        <v>20</v>
      </c>
      <c r="N4610" s="787">
        <v>51.94</v>
      </c>
      <c r="O4610" s="788">
        <v>41858</v>
      </c>
    </row>
    <row r="4611" spans="1:15" x14ac:dyDescent="0.25">
      <c r="A4611" s="786" t="s">
        <v>8931</v>
      </c>
      <c r="B4611" s="787">
        <v>4</v>
      </c>
      <c r="C4611" s="787" t="s">
        <v>8925</v>
      </c>
      <c r="D4611" s="787">
        <v>6.43</v>
      </c>
      <c r="E4611" s="787">
        <v>39.79</v>
      </c>
      <c r="F4611" s="788">
        <v>39785</v>
      </c>
      <c r="G4611" s="788">
        <v>41493</v>
      </c>
      <c r="H4611" s="787">
        <v>6</v>
      </c>
      <c r="I4611" s="788">
        <v>41493</v>
      </c>
      <c r="J4611" s="788">
        <v>41493</v>
      </c>
      <c r="K4611" s="788">
        <v>40140</v>
      </c>
      <c r="L4611" s="787">
        <v>38.880000000000003</v>
      </c>
      <c r="M4611" s="787">
        <v>20</v>
      </c>
      <c r="N4611" s="787">
        <v>42.77</v>
      </c>
      <c r="O4611" s="788">
        <v>41815</v>
      </c>
    </row>
    <row r="4612" spans="1:15" x14ac:dyDescent="0.25">
      <c r="A4612" s="786" t="s">
        <v>8932</v>
      </c>
      <c r="B4612" s="787">
        <v>4</v>
      </c>
      <c r="C4612" s="787" t="s">
        <v>8243</v>
      </c>
      <c r="D4612" s="787">
        <v>6.57</v>
      </c>
      <c r="E4612" s="787">
        <v>22.36</v>
      </c>
      <c r="F4612" s="788">
        <v>39867</v>
      </c>
      <c r="G4612" s="788">
        <v>40673</v>
      </c>
      <c r="H4612" s="787">
        <v>5</v>
      </c>
      <c r="I4612" s="788">
        <v>41551</v>
      </c>
      <c r="J4612" s="788">
        <v>40135</v>
      </c>
      <c r="K4612" s="788">
        <v>40093</v>
      </c>
      <c r="L4612" s="787">
        <v>27.2</v>
      </c>
      <c r="M4612" s="787">
        <v>20</v>
      </c>
      <c r="N4612" s="787">
        <v>29.24</v>
      </c>
      <c r="O4612" s="788">
        <v>42162</v>
      </c>
    </row>
    <row r="4613" spans="1:15" x14ac:dyDescent="0.25">
      <c r="A4613" s="786" t="s">
        <v>8933</v>
      </c>
      <c r="B4613" s="787">
        <v>4</v>
      </c>
      <c r="C4613" s="787" t="s">
        <v>8243</v>
      </c>
      <c r="D4613" s="787">
        <v>3.58</v>
      </c>
      <c r="E4613" s="787">
        <v>18.010000000000002</v>
      </c>
      <c r="F4613" s="788">
        <v>39867</v>
      </c>
      <c r="G4613" s="788">
        <v>40135</v>
      </c>
      <c r="H4613" s="787">
        <v>5</v>
      </c>
      <c r="I4613" s="788">
        <v>41400</v>
      </c>
      <c r="J4613" s="788">
        <v>40135</v>
      </c>
      <c r="L4613" s="787">
        <v>20.28</v>
      </c>
      <c r="M4613" s="787">
        <v>20</v>
      </c>
      <c r="N4613" s="787">
        <v>21.8</v>
      </c>
      <c r="O4613" s="788">
        <v>42165</v>
      </c>
    </row>
    <row r="4614" spans="1:15" x14ac:dyDescent="0.25">
      <c r="A4614" s="786" t="s">
        <v>8934</v>
      </c>
      <c r="B4614" s="787">
        <v>4</v>
      </c>
      <c r="C4614" s="787" t="s">
        <v>8248</v>
      </c>
      <c r="D4614" s="787">
        <v>3.64</v>
      </c>
      <c r="E4614" s="787">
        <v>33.64</v>
      </c>
      <c r="F4614" s="788">
        <v>39867</v>
      </c>
      <c r="G4614" s="788">
        <v>40673</v>
      </c>
      <c r="H4614" s="787">
        <v>5</v>
      </c>
      <c r="I4614" s="788">
        <v>41995</v>
      </c>
      <c r="J4614" s="788">
        <v>40161</v>
      </c>
      <c r="K4614" s="788">
        <v>41869</v>
      </c>
      <c r="L4614" s="787">
        <v>33.64</v>
      </c>
      <c r="M4614" s="787">
        <v>20</v>
      </c>
      <c r="N4614" s="787">
        <v>36.159999999999997</v>
      </c>
      <c r="O4614" s="788">
        <v>42136</v>
      </c>
    </row>
    <row r="4615" spans="1:15" x14ac:dyDescent="0.25">
      <c r="A4615" s="786" t="s">
        <v>8935</v>
      </c>
      <c r="B4615" s="787">
        <v>4</v>
      </c>
      <c r="C4615" s="787" t="s">
        <v>8936</v>
      </c>
      <c r="D4615" s="787">
        <v>4</v>
      </c>
      <c r="E4615" s="787">
        <v>53.96</v>
      </c>
      <c r="F4615" s="788">
        <v>39828</v>
      </c>
      <c r="G4615" s="788">
        <v>41493</v>
      </c>
      <c r="H4615" s="787">
        <v>6</v>
      </c>
      <c r="I4615" s="788">
        <v>42108</v>
      </c>
      <c r="J4615" s="788">
        <v>41493</v>
      </c>
      <c r="L4615" s="787">
        <v>60.96</v>
      </c>
      <c r="M4615" s="787">
        <v>20</v>
      </c>
      <c r="N4615" s="787">
        <v>58.01</v>
      </c>
      <c r="O4615" s="788">
        <v>41822</v>
      </c>
    </row>
    <row r="4616" spans="1:15" x14ac:dyDescent="0.25">
      <c r="A4616" s="786" t="s">
        <v>8937</v>
      </c>
      <c r="B4616" s="787">
        <v>4</v>
      </c>
      <c r="C4616" s="787" t="s">
        <v>8241</v>
      </c>
      <c r="D4616" s="787">
        <v>4.7699999999999996</v>
      </c>
      <c r="E4616" s="787">
        <v>4.7699999999999996</v>
      </c>
      <c r="F4616" s="788">
        <v>38516</v>
      </c>
      <c r="G4616" s="788">
        <v>38516</v>
      </c>
      <c r="H4616" s="787">
        <v>1</v>
      </c>
      <c r="I4616" s="788">
        <v>38534</v>
      </c>
      <c r="J4616" s="788">
        <v>38534</v>
      </c>
      <c r="L4616" s="787">
        <v>4.7699999999999996</v>
      </c>
      <c r="M4616" s="787">
        <v>20</v>
      </c>
      <c r="N4616" s="787">
        <v>5.13</v>
      </c>
      <c r="O4616" s="788">
        <v>41858</v>
      </c>
    </row>
    <row r="4617" spans="1:15" x14ac:dyDescent="0.25">
      <c r="A4617" s="786" t="s">
        <v>8938</v>
      </c>
      <c r="B4617" s="787">
        <v>4</v>
      </c>
      <c r="C4617" s="787" t="s">
        <v>8939</v>
      </c>
      <c r="D4617" s="787">
        <v>0.63</v>
      </c>
      <c r="E4617" s="787">
        <v>10.63</v>
      </c>
      <c r="F4617" s="788">
        <v>39975</v>
      </c>
      <c r="G4617" s="788">
        <v>41282</v>
      </c>
      <c r="H4617" s="787">
        <v>1</v>
      </c>
      <c r="I4617" s="788">
        <v>41561</v>
      </c>
      <c r="J4617" s="788">
        <v>39149</v>
      </c>
      <c r="L4617" s="787">
        <v>10.63</v>
      </c>
      <c r="M4617" s="787">
        <v>20</v>
      </c>
      <c r="N4617" s="787">
        <v>11.43</v>
      </c>
      <c r="O4617" s="788">
        <v>41858</v>
      </c>
    </row>
    <row r="4618" spans="1:15" x14ac:dyDescent="0.25">
      <c r="A4618" s="786" t="s">
        <v>8940</v>
      </c>
      <c r="B4618" s="787">
        <v>4</v>
      </c>
      <c r="C4618" s="787" t="s">
        <v>8939</v>
      </c>
      <c r="D4618" s="787">
        <v>0.4</v>
      </c>
      <c r="E4618" s="787">
        <v>10.4</v>
      </c>
      <c r="F4618" s="788">
        <v>39101</v>
      </c>
      <c r="G4618" s="788">
        <v>39667</v>
      </c>
      <c r="H4618" s="787">
        <v>1</v>
      </c>
      <c r="I4618" s="788">
        <v>39134</v>
      </c>
      <c r="J4618" s="788">
        <v>39149</v>
      </c>
      <c r="L4618" s="787">
        <v>10.4</v>
      </c>
      <c r="M4618" s="787">
        <v>20</v>
      </c>
      <c r="N4618" s="787">
        <v>11.18</v>
      </c>
      <c r="O4618" s="788">
        <v>41858</v>
      </c>
    </row>
    <row r="4619" spans="1:15" x14ac:dyDescent="0.25">
      <c r="A4619" s="786" t="s">
        <v>8941</v>
      </c>
      <c r="B4619" s="787">
        <v>4</v>
      </c>
      <c r="C4619" s="787" t="s">
        <v>8939</v>
      </c>
      <c r="D4619" s="787">
        <v>0.4</v>
      </c>
      <c r="E4619" s="787">
        <v>10.4</v>
      </c>
      <c r="F4619" s="788">
        <v>39101</v>
      </c>
      <c r="G4619" s="788">
        <v>39598</v>
      </c>
      <c r="H4619" s="787">
        <v>1</v>
      </c>
      <c r="I4619" s="788">
        <v>39134</v>
      </c>
      <c r="J4619" s="788">
        <v>39149</v>
      </c>
      <c r="L4619" s="787">
        <v>10.4</v>
      </c>
      <c r="M4619" s="787">
        <v>20</v>
      </c>
      <c r="N4619" s="787">
        <v>11.18</v>
      </c>
      <c r="O4619" s="788">
        <v>41858</v>
      </c>
    </row>
    <row r="4620" spans="1:15" x14ac:dyDescent="0.25">
      <c r="A4620" s="786" t="s">
        <v>8942</v>
      </c>
      <c r="B4620" s="787">
        <v>4</v>
      </c>
      <c r="C4620" s="787" t="s">
        <v>8943</v>
      </c>
      <c r="D4620" s="787">
        <v>0</v>
      </c>
      <c r="E4620" s="787">
        <v>0</v>
      </c>
      <c r="H4620" s="787">
        <v>1</v>
      </c>
      <c r="I4620" s="788">
        <v>41234</v>
      </c>
      <c r="K4620" s="788">
        <v>41809</v>
      </c>
      <c r="L4620" s="787">
        <v>5.16</v>
      </c>
      <c r="M4620" s="787">
        <v>20</v>
      </c>
      <c r="N4620" s="787">
        <v>5.55</v>
      </c>
      <c r="O4620" s="788">
        <v>41892</v>
      </c>
    </row>
    <row r="4621" spans="1:15" x14ac:dyDescent="0.25">
      <c r="A4621" s="786" t="s">
        <v>8944</v>
      </c>
      <c r="B4621" s="787">
        <v>4</v>
      </c>
      <c r="C4621" s="787" t="s">
        <v>8945</v>
      </c>
      <c r="D4621" s="787">
        <v>7.38</v>
      </c>
      <c r="E4621" s="787">
        <v>7.95</v>
      </c>
      <c r="F4621" s="788">
        <v>40192</v>
      </c>
      <c r="G4621" s="788">
        <v>42117</v>
      </c>
      <c r="H4621" s="787">
        <v>1</v>
      </c>
      <c r="I4621" s="788">
        <v>42164</v>
      </c>
      <c r="J4621" s="788">
        <v>42102</v>
      </c>
      <c r="K4621" s="788">
        <v>41809</v>
      </c>
      <c r="L4621" s="787">
        <v>7.74</v>
      </c>
      <c r="M4621" s="787">
        <v>20</v>
      </c>
      <c r="N4621" s="787">
        <v>8.32</v>
      </c>
      <c r="O4621" s="788">
        <v>42164</v>
      </c>
    </row>
    <row r="4622" spans="1:15" x14ac:dyDescent="0.25">
      <c r="A4622" s="786" t="s">
        <v>8946</v>
      </c>
      <c r="B4622" s="787">
        <v>4</v>
      </c>
      <c r="C4622" s="787" t="s">
        <v>8947</v>
      </c>
      <c r="D4622" s="787">
        <v>9.2799999999999994</v>
      </c>
      <c r="E4622" s="787">
        <v>9.9499999999999993</v>
      </c>
      <c r="F4622" s="788">
        <v>40192</v>
      </c>
      <c r="G4622" s="788">
        <v>42156</v>
      </c>
      <c r="H4622" s="787">
        <v>1</v>
      </c>
      <c r="I4622" s="788">
        <v>42166</v>
      </c>
      <c r="J4622" s="788">
        <v>42144</v>
      </c>
      <c r="K4622" s="788">
        <v>41809</v>
      </c>
      <c r="L4622" s="787">
        <v>9.92</v>
      </c>
      <c r="M4622" s="787">
        <v>20</v>
      </c>
      <c r="N4622" s="787">
        <v>10.66</v>
      </c>
      <c r="O4622" s="788">
        <v>42164</v>
      </c>
    </row>
    <row r="4623" spans="1:15" x14ac:dyDescent="0.25">
      <c r="A4623" s="786" t="s">
        <v>8948</v>
      </c>
      <c r="B4623" s="787">
        <v>4</v>
      </c>
      <c r="C4623" s="787" t="s">
        <v>8949</v>
      </c>
      <c r="D4623" s="787">
        <v>4.0999999999999996</v>
      </c>
      <c r="E4623" s="787">
        <v>14.1</v>
      </c>
      <c r="F4623" s="788">
        <v>42137</v>
      </c>
      <c r="G4623" s="788">
        <v>42142</v>
      </c>
      <c r="H4623" s="787">
        <v>1</v>
      </c>
      <c r="I4623" s="788">
        <v>42165</v>
      </c>
      <c r="J4623" s="788">
        <v>42135</v>
      </c>
      <c r="K4623" s="788">
        <v>41809</v>
      </c>
      <c r="L4623" s="787">
        <v>14.4</v>
      </c>
      <c r="M4623" s="787">
        <v>20</v>
      </c>
      <c r="N4623" s="787">
        <v>15.48</v>
      </c>
      <c r="O4623" s="788">
        <v>42164</v>
      </c>
    </row>
    <row r="4624" spans="1:15" x14ac:dyDescent="0.25">
      <c r="A4624" s="786" t="s">
        <v>8950</v>
      </c>
      <c r="B4624" s="787">
        <v>4</v>
      </c>
      <c r="C4624" s="787" t="s">
        <v>8951</v>
      </c>
      <c r="D4624" s="787">
        <v>8.61</v>
      </c>
      <c r="E4624" s="787">
        <v>19.18</v>
      </c>
      <c r="F4624" s="788">
        <v>41820</v>
      </c>
      <c r="G4624" s="788">
        <v>42158</v>
      </c>
      <c r="H4624" s="787">
        <v>1</v>
      </c>
      <c r="I4624" s="788">
        <v>42166</v>
      </c>
      <c r="J4624" s="788">
        <v>42152</v>
      </c>
      <c r="K4624" s="788">
        <v>41809</v>
      </c>
      <c r="L4624" s="787">
        <v>19.2</v>
      </c>
      <c r="M4624" s="787">
        <v>20</v>
      </c>
      <c r="N4624" s="787">
        <v>20.64</v>
      </c>
      <c r="O4624" s="788">
        <v>42165</v>
      </c>
    </row>
    <row r="4625" spans="1:15" x14ac:dyDescent="0.25">
      <c r="A4625" s="786" t="s">
        <v>8952</v>
      </c>
      <c r="B4625" s="787">
        <v>4</v>
      </c>
      <c r="C4625" s="787" t="s">
        <v>8953</v>
      </c>
      <c r="D4625" s="787">
        <v>7.66</v>
      </c>
      <c r="E4625" s="787">
        <v>28.44</v>
      </c>
      <c r="F4625" s="788">
        <v>40301</v>
      </c>
      <c r="G4625" s="788">
        <v>42166</v>
      </c>
      <c r="H4625" s="787">
        <v>1</v>
      </c>
      <c r="I4625" s="788">
        <v>42166</v>
      </c>
      <c r="J4625" s="788">
        <v>42159</v>
      </c>
      <c r="K4625" s="788">
        <v>41809</v>
      </c>
      <c r="L4625" s="787">
        <v>28.8</v>
      </c>
      <c r="M4625" s="787">
        <v>20</v>
      </c>
      <c r="N4625" s="787">
        <v>30.96</v>
      </c>
      <c r="O4625" s="788">
        <v>42164</v>
      </c>
    </row>
    <row r="4626" spans="1:15" x14ac:dyDescent="0.25">
      <c r="A4626" s="786" t="s">
        <v>8954</v>
      </c>
      <c r="B4626" s="787">
        <v>4</v>
      </c>
      <c r="C4626" s="787" t="s">
        <v>8955</v>
      </c>
      <c r="D4626" s="787">
        <v>9.51</v>
      </c>
      <c r="E4626" s="787">
        <v>39.53</v>
      </c>
      <c r="F4626" s="788">
        <v>40270</v>
      </c>
      <c r="G4626" s="788">
        <v>42013</v>
      </c>
      <c r="H4626" s="787">
        <v>1</v>
      </c>
      <c r="I4626" s="788">
        <v>42164</v>
      </c>
      <c r="J4626" s="788">
        <v>41941</v>
      </c>
      <c r="K4626" s="788">
        <v>41809</v>
      </c>
      <c r="L4626" s="787">
        <v>39.68</v>
      </c>
      <c r="M4626" s="787">
        <v>20</v>
      </c>
      <c r="N4626" s="787">
        <v>42.66</v>
      </c>
      <c r="O4626" s="788">
        <v>42162</v>
      </c>
    </row>
    <row r="4627" spans="1:15" x14ac:dyDescent="0.25">
      <c r="A4627" s="786" t="s">
        <v>8956</v>
      </c>
      <c r="B4627" s="787">
        <v>4</v>
      </c>
      <c r="C4627" s="787" t="s">
        <v>8957</v>
      </c>
      <c r="D4627" s="787">
        <v>8.94</v>
      </c>
      <c r="E4627" s="787">
        <v>49.57</v>
      </c>
      <c r="F4627" s="788">
        <v>41957</v>
      </c>
      <c r="G4627" s="788">
        <v>42166</v>
      </c>
      <c r="H4627" s="787">
        <v>1</v>
      </c>
      <c r="I4627" s="788">
        <v>42166</v>
      </c>
      <c r="J4627" s="788">
        <v>42159</v>
      </c>
      <c r="K4627" s="788">
        <v>41809</v>
      </c>
      <c r="L4627" s="787">
        <v>49.6</v>
      </c>
      <c r="M4627" s="787">
        <v>20</v>
      </c>
      <c r="N4627" s="787">
        <v>53.32</v>
      </c>
      <c r="O4627" s="788">
        <v>42164</v>
      </c>
    </row>
    <row r="4628" spans="1:15" x14ac:dyDescent="0.25">
      <c r="A4628" s="786" t="s">
        <v>8958</v>
      </c>
      <c r="B4628" s="787">
        <v>4</v>
      </c>
      <c r="C4628" s="787" t="s">
        <v>8959</v>
      </c>
      <c r="D4628" s="787">
        <v>0</v>
      </c>
      <c r="E4628" s="787">
        <v>0</v>
      </c>
      <c r="G4628" s="788">
        <v>41509</v>
      </c>
      <c r="H4628" s="787">
        <v>1</v>
      </c>
      <c r="I4628" s="788">
        <v>41507</v>
      </c>
      <c r="J4628" s="788">
        <v>41509</v>
      </c>
      <c r="K4628" s="788">
        <v>40773</v>
      </c>
      <c r="L4628" s="787">
        <v>102.4</v>
      </c>
      <c r="M4628" s="787">
        <v>20</v>
      </c>
      <c r="N4628" s="787">
        <v>110.08</v>
      </c>
      <c r="O4628" s="788">
        <v>41858</v>
      </c>
    </row>
    <row r="4629" spans="1:15" x14ac:dyDescent="0.25">
      <c r="A4629" s="786" t="s">
        <v>8960</v>
      </c>
      <c r="B4629" s="787">
        <v>4</v>
      </c>
      <c r="C4629" s="787" t="s">
        <v>8961</v>
      </c>
      <c r="D4629" s="787">
        <v>0</v>
      </c>
      <c r="E4629" s="787">
        <v>0</v>
      </c>
      <c r="G4629" s="788">
        <v>41493</v>
      </c>
      <c r="H4629" s="787">
        <v>1</v>
      </c>
      <c r="I4629" s="788">
        <v>41782</v>
      </c>
      <c r="J4629" s="788">
        <v>41792</v>
      </c>
      <c r="K4629" s="788">
        <v>41809</v>
      </c>
      <c r="L4629" s="787">
        <v>8.06</v>
      </c>
      <c r="M4629" s="787">
        <v>20</v>
      </c>
      <c r="N4629" s="787">
        <v>8.66</v>
      </c>
      <c r="O4629" s="788">
        <v>41858</v>
      </c>
    </row>
    <row r="4630" spans="1:15" x14ac:dyDescent="0.25">
      <c r="A4630" s="786" t="s">
        <v>8962</v>
      </c>
      <c r="B4630" s="787">
        <v>4</v>
      </c>
      <c r="C4630" s="787" t="s">
        <v>8963</v>
      </c>
      <c r="D4630" s="787">
        <v>0.95</v>
      </c>
      <c r="E4630" s="787">
        <v>10.95</v>
      </c>
      <c r="F4630" s="788">
        <v>42151</v>
      </c>
      <c r="G4630" s="788">
        <v>42156</v>
      </c>
      <c r="H4630" s="787">
        <v>1</v>
      </c>
      <c r="I4630" s="788">
        <v>42165</v>
      </c>
      <c r="J4630" s="788">
        <v>42145</v>
      </c>
      <c r="K4630" s="788">
        <v>41809</v>
      </c>
      <c r="L4630" s="787">
        <v>12.09</v>
      </c>
      <c r="M4630" s="787">
        <v>20</v>
      </c>
      <c r="N4630" s="787">
        <v>13</v>
      </c>
      <c r="O4630" s="788">
        <v>42164</v>
      </c>
    </row>
    <row r="4631" spans="1:15" x14ac:dyDescent="0.25">
      <c r="A4631" s="786" t="s">
        <v>8964</v>
      </c>
      <c r="B4631" s="787">
        <v>4</v>
      </c>
      <c r="C4631" s="787" t="s">
        <v>8965</v>
      </c>
      <c r="D4631" s="787">
        <v>4.63</v>
      </c>
      <c r="E4631" s="787">
        <v>15.92</v>
      </c>
      <c r="F4631" s="788">
        <v>40227</v>
      </c>
      <c r="G4631" s="788">
        <v>42156</v>
      </c>
      <c r="H4631" s="787">
        <v>1</v>
      </c>
      <c r="I4631" s="788">
        <v>42166</v>
      </c>
      <c r="J4631" s="788">
        <v>42143</v>
      </c>
      <c r="K4631" s="788">
        <v>41809</v>
      </c>
      <c r="L4631" s="787">
        <v>15.5</v>
      </c>
      <c r="M4631" s="787">
        <v>20</v>
      </c>
      <c r="N4631" s="787">
        <v>16.66</v>
      </c>
      <c r="O4631" s="788">
        <v>42164</v>
      </c>
    </row>
    <row r="4632" spans="1:15" x14ac:dyDescent="0.25">
      <c r="A4632" s="786" t="s">
        <v>8966</v>
      </c>
      <c r="B4632" s="787">
        <v>4</v>
      </c>
      <c r="C4632" s="787" t="s">
        <v>8967</v>
      </c>
      <c r="D4632" s="787">
        <v>1.77</v>
      </c>
      <c r="E4632" s="787">
        <v>22.9</v>
      </c>
      <c r="F4632" s="788">
        <v>40192</v>
      </c>
      <c r="G4632" s="788">
        <v>42165</v>
      </c>
      <c r="H4632" s="787">
        <v>1</v>
      </c>
      <c r="I4632" s="788">
        <v>42166</v>
      </c>
      <c r="J4632" s="788">
        <v>42165</v>
      </c>
      <c r="K4632" s="788">
        <v>41809</v>
      </c>
      <c r="L4632" s="787">
        <v>22.5</v>
      </c>
      <c r="M4632" s="787">
        <v>20</v>
      </c>
      <c r="N4632" s="787">
        <v>24.19</v>
      </c>
      <c r="O4632" s="788">
        <v>42164</v>
      </c>
    </row>
    <row r="4633" spans="1:15" x14ac:dyDescent="0.25">
      <c r="A4633" s="786" t="s">
        <v>8968</v>
      </c>
      <c r="B4633" s="787">
        <v>4</v>
      </c>
      <c r="C4633" s="787" t="s">
        <v>8969</v>
      </c>
      <c r="D4633" s="787">
        <v>8.39</v>
      </c>
      <c r="E4633" s="787">
        <v>29.95</v>
      </c>
      <c r="F4633" s="788">
        <v>40227</v>
      </c>
      <c r="G4633" s="788">
        <v>42166</v>
      </c>
      <c r="H4633" s="787">
        <v>1</v>
      </c>
      <c r="I4633" s="788">
        <v>42166</v>
      </c>
      <c r="J4633" s="788">
        <v>42159</v>
      </c>
      <c r="K4633" s="788">
        <v>41809</v>
      </c>
      <c r="L4633" s="787">
        <v>30</v>
      </c>
      <c r="M4633" s="787">
        <v>20</v>
      </c>
      <c r="N4633" s="787">
        <v>32.25</v>
      </c>
      <c r="O4633" s="788">
        <v>42162</v>
      </c>
    </row>
    <row r="4634" spans="1:15" x14ac:dyDescent="0.25">
      <c r="A4634" s="786" t="s">
        <v>8970</v>
      </c>
      <c r="B4634" s="787">
        <v>4</v>
      </c>
      <c r="C4634" s="787" t="s">
        <v>8971</v>
      </c>
      <c r="D4634" s="787">
        <v>9.17</v>
      </c>
      <c r="E4634" s="787">
        <v>45.59</v>
      </c>
      <c r="F4634" s="788">
        <v>40364</v>
      </c>
      <c r="G4634" s="788">
        <v>42166</v>
      </c>
      <c r="H4634" s="787">
        <v>1</v>
      </c>
      <c r="I4634" s="788">
        <v>42166</v>
      </c>
      <c r="J4634" s="788">
        <v>42159</v>
      </c>
      <c r="K4634" s="788">
        <v>41809</v>
      </c>
      <c r="L4634" s="787">
        <v>45</v>
      </c>
      <c r="M4634" s="787">
        <v>20</v>
      </c>
      <c r="N4634" s="787">
        <v>48.38</v>
      </c>
      <c r="O4634" s="788">
        <v>42162</v>
      </c>
    </row>
    <row r="4635" spans="1:15" x14ac:dyDescent="0.25">
      <c r="A4635" s="786" t="s">
        <v>8972</v>
      </c>
      <c r="B4635" s="787">
        <v>4</v>
      </c>
      <c r="C4635" s="787" t="s">
        <v>8973</v>
      </c>
      <c r="D4635" s="787">
        <v>6.79</v>
      </c>
      <c r="E4635" s="787">
        <v>77.709999999999994</v>
      </c>
      <c r="F4635" s="788">
        <v>41887</v>
      </c>
      <c r="G4635" s="788">
        <v>42158</v>
      </c>
      <c r="H4635" s="787">
        <v>1</v>
      </c>
      <c r="I4635" s="788">
        <v>42165</v>
      </c>
      <c r="J4635" s="788">
        <v>42152</v>
      </c>
      <c r="K4635" s="788">
        <v>41809</v>
      </c>
      <c r="L4635" s="787">
        <v>77.5</v>
      </c>
      <c r="M4635" s="787">
        <v>20</v>
      </c>
      <c r="N4635" s="787">
        <v>83.31</v>
      </c>
      <c r="O4635" s="788">
        <v>42163</v>
      </c>
    </row>
    <row r="4636" spans="1:15" x14ac:dyDescent="0.25">
      <c r="A4636" s="786" t="s">
        <v>8974</v>
      </c>
      <c r="B4636" s="787">
        <v>4</v>
      </c>
      <c r="C4636" s="787" t="s">
        <v>8975</v>
      </c>
      <c r="D4636" s="787">
        <v>8.41</v>
      </c>
      <c r="E4636" s="787">
        <v>19.13</v>
      </c>
      <c r="F4636" s="788">
        <v>41248</v>
      </c>
      <c r="G4636" s="788">
        <v>42127</v>
      </c>
      <c r="H4636" s="787">
        <v>1</v>
      </c>
      <c r="I4636" s="788">
        <v>42164</v>
      </c>
      <c r="J4636" s="788">
        <v>42121</v>
      </c>
      <c r="K4636" s="788">
        <v>41809</v>
      </c>
      <c r="L4636" s="787">
        <v>17.420000000000002</v>
      </c>
      <c r="M4636" s="787">
        <v>20</v>
      </c>
      <c r="N4636" s="787">
        <v>18.73</v>
      </c>
      <c r="O4636" s="788">
        <v>42152</v>
      </c>
    </row>
    <row r="4637" spans="1:15" x14ac:dyDescent="0.25">
      <c r="A4637" s="786" t="s">
        <v>8976</v>
      </c>
      <c r="B4637" s="787">
        <v>4</v>
      </c>
      <c r="C4637" s="787" t="s">
        <v>8977</v>
      </c>
      <c r="D4637" s="787">
        <v>0.79</v>
      </c>
      <c r="E4637" s="787">
        <v>22.59</v>
      </c>
      <c r="F4637" s="788">
        <v>40210</v>
      </c>
      <c r="G4637" s="788">
        <v>42166</v>
      </c>
      <c r="H4637" s="787">
        <v>1</v>
      </c>
      <c r="I4637" s="788">
        <v>42166</v>
      </c>
      <c r="J4637" s="788">
        <v>42166</v>
      </c>
      <c r="K4637" s="788">
        <v>41809</v>
      </c>
      <c r="L4637" s="787">
        <v>22.32</v>
      </c>
      <c r="M4637" s="787">
        <v>20</v>
      </c>
      <c r="N4637" s="787">
        <v>23.99</v>
      </c>
      <c r="O4637" s="788">
        <v>42162</v>
      </c>
    </row>
    <row r="4638" spans="1:15" x14ac:dyDescent="0.25">
      <c r="A4638" s="786" t="s">
        <v>8978</v>
      </c>
      <c r="B4638" s="787">
        <v>4</v>
      </c>
      <c r="C4638" s="787" t="s">
        <v>8979</v>
      </c>
      <c r="D4638" s="787">
        <v>1.02</v>
      </c>
      <c r="E4638" s="787">
        <v>33.33</v>
      </c>
      <c r="F4638" s="788">
        <v>40227</v>
      </c>
      <c r="G4638" s="788">
        <v>42165</v>
      </c>
      <c r="H4638" s="787">
        <v>1</v>
      </c>
      <c r="I4638" s="788">
        <v>42166</v>
      </c>
      <c r="J4638" s="788">
        <v>42165</v>
      </c>
      <c r="K4638" s="788">
        <v>41809</v>
      </c>
      <c r="L4638" s="787">
        <v>32.4</v>
      </c>
      <c r="M4638" s="787">
        <v>20</v>
      </c>
      <c r="N4638" s="787">
        <v>34.83</v>
      </c>
      <c r="O4638" s="788">
        <v>42164</v>
      </c>
    </row>
    <row r="4639" spans="1:15" x14ac:dyDescent="0.25">
      <c r="A4639" s="786" t="s">
        <v>8980</v>
      </c>
      <c r="B4639" s="787">
        <v>4</v>
      </c>
      <c r="C4639" s="787" t="s">
        <v>8981</v>
      </c>
      <c r="D4639" s="787">
        <v>2.21</v>
      </c>
      <c r="E4639" s="787">
        <v>43.67</v>
      </c>
      <c r="F4639" s="788">
        <v>41943</v>
      </c>
      <c r="G4639" s="788">
        <v>42166</v>
      </c>
      <c r="H4639" s="787">
        <v>1</v>
      </c>
      <c r="I4639" s="788">
        <v>42166</v>
      </c>
      <c r="J4639" s="788">
        <v>42166</v>
      </c>
      <c r="K4639" s="788">
        <v>41809</v>
      </c>
      <c r="L4639" s="787">
        <v>43.2</v>
      </c>
      <c r="M4639" s="787">
        <v>20</v>
      </c>
      <c r="N4639" s="787">
        <v>46.44</v>
      </c>
      <c r="O4639" s="788">
        <v>42164</v>
      </c>
    </row>
    <row r="4640" spans="1:15" x14ac:dyDescent="0.25">
      <c r="A4640" s="786" t="s">
        <v>8982</v>
      </c>
      <c r="B4640" s="787">
        <v>4</v>
      </c>
      <c r="C4640" s="787" t="s">
        <v>8983</v>
      </c>
      <c r="D4640" s="787">
        <v>9.89</v>
      </c>
      <c r="E4640" s="787">
        <v>66.180000000000007</v>
      </c>
      <c r="F4640" s="788">
        <v>40319</v>
      </c>
      <c r="G4640" s="788">
        <v>42166</v>
      </c>
      <c r="H4640" s="787">
        <v>1</v>
      </c>
      <c r="I4640" s="788">
        <v>42166</v>
      </c>
      <c r="J4640" s="788">
        <v>42166</v>
      </c>
      <c r="K4640" s="788">
        <v>41809</v>
      </c>
      <c r="L4640" s="787">
        <v>64.8</v>
      </c>
      <c r="M4640" s="787">
        <v>20</v>
      </c>
      <c r="N4640" s="787">
        <v>69.66</v>
      </c>
      <c r="O4640" s="788">
        <v>42164</v>
      </c>
    </row>
    <row r="4641" spans="1:15" x14ac:dyDescent="0.25">
      <c r="A4641" s="786" t="s">
        <v>8984</v>
      </c>
      <c r="B4641" s="787">
        <v>4</v>
      </c>
      <c r="C4641" s="787" t="s">
        <v>8985</v>
      </c>
      <c r="D4641" s="787">
        <v>0.6</v>
      </c>
      <c r="E4641" s="787">
        <v>21.25</v>
      </c>
      <c r="F4641" s="788">
        <v>41943</v>
      </c>
      <c r="G4641" s="788">
        <v>42156</v>
      </c>
      <c r="H4641" s="787">
        <v>1</v>
      </c>
      <c r="I4641" s="788">
        <v>42156</v>
      </c>
      <c r="J4641" s="788">
        <v>42143</v>
      </c>
      <c r="K4641" s="788">
        <v>41809</v>
      </c>
      <c r="L4641" s="787">
        <v>19.350000000000001</v>
      </c>
      <c r="M4641" s="787">
        <v>20</v>
      </c>
      <c r="N4641" s="787">
        <v>20.8</v>
      </c>
      <c r="O4641" s="788">
        <v>42152</v>
      </c>
    </row>
    <row r="4642" spans="1:15" x14ac:dyDescent="0.25">
      <c r="A4642" s="786" t="s">
        <v>8986</v>
      </c>
      <c r="B4642" s="787">
        <v>4</v>
      </c>
      <c r="C4642" s="787" t="s">
        <v>8987</v>
      </c>
      <c r="D4642" s="787">
        <v>8.6</v>
      </c>
      <c r="E4642" s="787">
        <v>26.27</v>
      </c>
      <c r="F4642" s="788">
        <v>40364</v>
      </c>
      <c r="G4642" s="788">
        <v>42158</v>
      </c>
      <c r="H4642" s="787">
        <v>1</v>
      </c>
      <c r="I4642" s="788">
        <v>42166</v>
      </c>
      <c r="J4642" s="788">
        <v>42152</v>
      </c>
      <c r="K4642" s="788">
        <v>41809</v>
      </c>
      <c r="L4642" s="787">
        <v>24.8</v>
      </c>
      <c r="M4642" s="787">
        <v>20</v>
      </c>
      <c r="N4642" s="787">
        <v>26.66</v>
      </c>
      <c r="O4642" s="788">
        <v>42152</v>
      </c>
    </row>
    <row r="4643" spans="1:15" x14ac:dyDescent="0.25">
      <c r="A4643" s="786" t="s">
        <v>8988</v>
      </c>
      <c r="B4643" s="787">
        <v>4</v>
      </c>
      <c r="C4643" s="787" t="s">
        <v>8989</v>
      </c>
      <c r="D4643" s="787">
        <v>6.27</v>
      </c>
      <c r="E4643" s="787">
        <v>36.729999999999997</v>
      </c>
      <c r="F4643" s="788">
        <v>41983</v>
      </c>
      <c r="G4643" s="788">
        <v>42165</v>
      </c>
      <c r="H4643" s="787">
        <v>1</v>
      </c>
      <c r="I4643" s="788">
        <v>42166</v>
      </c>
      <c r="J4643" s="788">
        <v>42165</v>
      </c>
      <c r="K4643" s="788">
        <v>41809</v>
      </c>
      <c r="L4643" s="787">
        <v>36</v>
      </c>
      <c r="M4643" s="787">
        <v>20</v>
      </c>
      <c r="N4643" s="787">
        <v>38.700000000000003</v>
      </c>
      <c r="O4643" s="788">
        <v>42163</v>
      </c>
    </row>
    <row r="4644" spans="1:15" x14ac:dyDescent="0.25">
      <c r="A4644" s="786" t="s">
        <v>8990</v>
      </c>
      <c r="B4644" s="787">
        <v>4</v>
      </c>
      <c r="C4644" s="787" t="s">
        <v>8991</v>
      </c>
      <c r="D4644" s="787">
        <v>8.1300000000000008</v>
      </c>
      <c r="E4644" s="787">
        <v>48.75</v>
      </c>
      <c r="F4644" s="788">
        <v>41827</v>
      </c>
      <c r="G4644" s="788">
        <v>42166</v>
      </c>
      <c r="H4644" s="787">
        <v>1</v>
      </c>
      <c r="I4644" s="788">
        <v>42166</v>
      </c>
      <c r="J4644" s="788">
        <v>42165</v>
      </c>
      <c r="K4644" s="788">
        <v>41809</v>
      </c>
      <c r="L4644" s="787">
        <v>48</v>
      </c>
      <c r="M4644" s="787">
        <v>20</v>
      </c>
      <c r="N4644" s="787">
        <v>51.6</v>
      </c>
      <c r="O4644" s="788">
        <v>42164</v>
      </c>
    </row>
    <row r="4645" spans="1:15" x14ac:dyDescent="0.25">
      <c r="A4645" s="786" t="s">
        <v>8992</v>
      </c>
      <c r="B4645" s="787">
        <v>4</v>
      </c>
      <c r="C4645" s="787" t="s">
        <v>8993</v>
      </c>
      <c r="D4645" s="787">
        <v>3.18</v>
      </c>
      <c r="E4645" s="787">
        <v>75.31</v>
      </c>
      <c r="F4645" s="788">
        <v>41970</v>
      </c>
      <c r="G4645" s="788">
        <v>42166</v>
      </c>
      <c r="H4645" s="787">
        <v>1</v>
      </c>
      <c r="I4645" s="788">
        <v>42165</v>
      </c>
      <c r="J4645" s="788">
        <v>42159</v>
      </c>
      <c r="K4645" s="788">
        <v>42031</v>
      </c>
      <c r="L4645" s="787">
        <v>72.599999999999994</v>
      </c>
      <c r="M4645" s="787">
        <v>20</v>
      </c>
      <c r="N4645" s="787">
        <v>78.05</v>
      </c>
      <c r="O4645" s="788">
        <v>42163</v>
      </c>
    </row>
    <row r="4646" spans="1:15" x14ac:dyDescent="0.25">
      <c r="A4646" s="786" t="s">
        <v>8994</v>
      </c>
      <c r="B4646" s="787">
        <v>4</v>
      </c>
      <c r="C4646" s="787" t="s">
        <v>8995</v>
      </c>
      <c r="D4646" s="787">
        <v>6.7</v>
      </c>
      <c r="E4646" s="787">
        <v>22.45</v>
      </c>
      <c r="F4646" s="788">
        <v>40270</v>
      </c>
      <c r="G4646" s="788">
        <v>41493</v>
      </c>
      <c r="H4646" s="787">
        <v>1</v>
      </c>
      <c r="I4646" s="788">
        <v>42139</v>
      </c>
      <c r="J4646" s="788">
        <v>41561</v>
      </c>
      <c r="K4646" s="788">
        <v>41809</v>
      </c>
      <c r="L4646" s="787">
        <v>17.600000000000001</v>
      </c>
      <c r="M4646" s="787">
        <v>20</v>
      </c>
      <c r="N4646" s="787">
        <v>18.920000000000002</v>
      </c>
      <c r="O4646" s="788">
        <v>42146</v>
      </c>
    </row>
    <row r="4647" spans="1:15" x14ac:dyDescent="0.25">
      <c r="A4647" s="786" t="s">
        <v>8996</v>
      </c>
      <c r="B4647" s="787">
        <v>4</v>
      </c>
      <c r="C4647" s="787" t="s">
        <v>8997</v>
      </c>
      <c r="D4647" s="787">
        <v>6.16</v>
      </c>
      <c r="E4647" s="787">
        <v>26.16</v>
      </c>
      <c r="F4647" s="788">
        <v>41931</v>
      </c>
      <c r="G4647" s="788">
        <v>42013</v>
      </c>
      <c r="H4647" s="787">
        <v>1</v>
      </c>
      <c r="I4647" s="788">
        <v>42163</v>
      </c>
      <c r="J4647" s="788">
        <v>41929</v>
      </c>
      <c r="K4647" s="788">
        <v>41809</v>
      </c>
      <c r="L4647" s="787">
        <v>26.4</v>
      </c>
      <c r="M4647" s="787">
        <v>20</v>
      </c>
      <c r="N4647" s="787">
        <v>28.38</v>
      </c>
      <c r="O4647" s="788">
        <v>42159</v>
      </c>
    </row>
    <row r="4648" spans="1:15" x14ac:dyDescent="0.25">
      <c r="A4648" s="786" t="s">
        <v>8998</v>
      </c>
      <c r="B4648" s="787">
        <v>4</v>
      </c>
      <c r="C4648" s="787" t="s">
        <v>8999</v>
      </c>
      <c r="D4648" s="787">
        <v>2.23</v>
      </c>
      <c r="E4648" s="787">
        <v>45.45</v>
      </c>
      <c r="F4648" s="788">
        <v>40301</v>
      </c>
      <c r="G4648" s="788">
        <v>42165</v>
      </c>
      <c r="H4648" s="787">
        <v>1</v>
      </c>
      <c r="I4648" s="788">
        <v>42164</v>
      </c>
      <c r="J4648" s="788">
        <v>42156</v>
      </c>
      <c r="K4648" s="788">
        <v>41809</v>
      </c>
      <c r="L4648" s="787">
        <v>44</v>
      </c>
      <c r="M4648" s="787">
        <v>20</v>
      </c>
      <c r="N4648" s="787">
        <v>47.3</v>
      </c>
      <c r="O4648" s="788">
        <v>42164</v>
      </c>
    </row>
    <row r="4649" spans="1:15" x14ac:dyDescent="0.25">
      <c r="A4649" s="786" t="s">
        <v>9000</v>
      </c>
      <c r="B4649" s="787">
        <v>4</v>
      </c>
      <c r="C4649" s="787" t="s">
        <v>9001</v>
      </c>
      <c r="D4649" s="787">
        <v>9.5399999999999991</v>
      </c>
      <c r="E4649" s="787">
        <v>52.74</v>
      </c>
      <c r="F4649" s="788">
        <v>40332</v>
      </c>
      <c r="G4649" s="788">
        <v>42013</v>
      </c>
      <c r="H4649" s="787">
        <v>1</v>
      </c>
      <c r="I4649" s="788">
        <v>42086</v>
      </c>
      <c r="J4649" s="788">
        <v>41922</v>
      </c>
      <c r="K4649" s="788">
        <v>41809</v>
      </c>
      <c r="L4649" s="787">
        <v>52.8</v>
      </c>
      <c r="M4649" s="787">
        <v>20</v>
      </c>
      <c r="N4649" s="787">
        <v>56.76</v>
      </c>
      <c r="O4649" s="788">
        <v>42163</v>
      </c>
    </row>
    <row r="4650" spans="1:15" x14ac:dyDescent="0.25">
      <c r="A4650" s="786" t="s">
        <v>9002</v>
      </c>
      <c r="B4650" s="787">
        <v>4</v>
      </c>
      <c r="C4650" s="787" t="s">
        <v>9003</v>
      </c>
      <c r="D4650" s="787">
        <v>5.53</v>
      </c>
      <c r="E4650" s="787">
        <v>38.32</v>
      </c>
      <c r="F4650" s="788">
        <v>40332</v>
      </c>
      <c r="G4650" s="788">
        <v>42013</v>
      </c>
      <c r="H4650" s="787">
        <v>1</v>
      </c>
      <c r="I4650" s="788">
        <v>42101</v>
      </c>
      <c r="J4650" s="788">
        <v>41561</v>
      </c>
      <c r="K4650" s="788">
        <v>40289</v>
      </c>
      <c r="L4650" s="787">
        <v>32.22</v>
      </c>
      <c r="M4650" s="787">
        <v>20</v>
      </c>
      <c r="N4650" s="787">
        <v>34.64</v>
      </c>
      <c r="O4650" s="788">
        <v>41858</v>
      </c>
    </row>
    <row r="4651" spans="1:15" x14ac:dyDescent="0.25">
      <c r="A4651" s="786" t="s">
        <v>9004</v>
      </c>
      <c r="B4651" s="787">
        <v>4</v>
      </c>
      <c r="C4651" s="787" t="s">
        <v>9005</v>
      </c>
      <c r="D4651" s="787">
        <v>1.24</v>
      </c>
      <c r="E4651" s="787">
        <v>81.239999999999995</v>
      </c>
      <c r="F4651" s="788">
        <v>41302</v>
      </c>
      <c r="G4651" s="788">
        <v>41302</v>
      </c>
      <c r="H4651" s="787">
        <v>1</v>
      </c>
      <c r="I4651" s="788">
        <v>42101</v>
      </c>
      <c r="J4651" s="788">
        <v>41561</v>
      </c>
      <c r="K4651" s="788">
        <v>41289</v>
      </c>
      <c r="L4651" s="787">
        <v>71.64</v>
      </c>
      <c r="M4651" s="787">
        <v>20</v>
      </c>
      <c r="N4651" s="787">
        <v>77.010000000000005</v>
      </c>
      <c r="O4651" s="788">
        <v>41858</v>
      </c>
    </row>
    <row r="4652" spans="1:15" x14ac:dyDescent="0.25">
      <c r="A4652" s="786" t="s">
        <v>9006</v>
      </c>
      <c r="B4652" s="787">
        <v>4</v>
      </c>
      <c r="C4652" s="787" t="s">
        <v>9007</v>
      </c>
      <c r="D4652" s="787">
        <v>0.49</v>
      </c>
      <c r="E4652" s="787">
        <v>100.49</v>
      </c>
      <c r="F4652" s="788">
        <v>41255</v>
      </c>
      <c r="G4652" s="788">
        <v>41255</v>
      </c>
      <c r="H4652" s="787">
        <v>1</v>
      </c>
      <c r="I4652" s="788">
        <v>42020</v>
      </c>
      <c r="J4652" s="788">
        <v>41488</v>
      </c>
      <c r="K4652" s="788">
        <v>41865</v>
      </c>
      <c r="L4652" s="787">
        <v>108</v>
      </c>
      <c r="M4652" s="787">
        <v>20</v>
      </c>
      <c r="N4652" s="787">
        <v>23.7</v>
      </c>
      <c r="O4652" s="788">
        <v>41858</v>
      </c>
    </row>
    <row r="4653" spans="1:15" x14ac:dyDescent="0.25">
      <c r="A4653" s="786" t="s">
        <v>9008</v>
      </c>
      <c r="B4653" s="787">
        <v>4</v>
      </c>
      <c r="C4653" s="787" t="s">
        <v>9009</v>
      </c>
      <c r="D4653" s="787">
        <v>3.75</v>
      </c>
      <c r="E4653" s="787">
        <v>33.75</v>
      </c>
      <c r="F4653" s="788">
        <v>41142</v>
      </c>
      <c r="G4653" s="788">
        <v>41142</v>
      </c>
      <c r="H4653" s="787">
        <v>1</v>
      </c>
      <c r="I4653" s="788">
        <v>41299</v>
      </c>
      <c r="J4653" s="788">
        <v>41493</v>
      </c>
      <c r="K4653" s="788">
        <v>41128</v>
      </c>
      <c r="L4653" s="787">
        <v>33.54</v>
      </c>
      <c r="M4653" s="787">
        <v>20</v>
      </c>
      <c r="N4653" s="787">
        <v>36.06</v>
      </c>
      <c r="O4653" s="788">
        <v>42023</v>
      </c>
    </row>
    <row r="4654" spans="1:15" x14ac:dyDescent="0.25">
      <c r="A4654" s="786" t="s">
        <v>9010</v>
      </c>
      <c r="B4654" s="787">
        <v>4</v>
      </c>
      <c r="C4654" s="787" t="s">
        <v>9011</v>
      </c>
      <c r="D4654" s="787">
        <v>8.0500000000000007</v>
      </c>
      <c r="E4654" s="787">
        <v>48.05</v>
      </c>
      <c r="F4654" s="788">
        <v>40210</v>
      </c>
      <c r="G4654" s="788">
        <v>40358</v>
      </c>
      <c r="H4654" s="787">
        <v>1</v>
      </c>
      <c r="I4654" s="788">
        <v>41921</v>
      </c>
      <c r="J4654" s="788">
        <v>40207</v>
      </c>
      <c r="K4654" s="788">
        <v>40200</v>
      </c>
      <c r="L4654" s="787">
        <v>46.4</v>
      </c>
      <c r="M4654" s="787">
        <v>20</v>
      </c>
      <c r="N4654" s="787">
        <v>49.88</v>
      </c>
      <c r="O4654" s="788">
        <v>42164</v>
      </c>
    </row>
    <row r="4655" spans="1:15" x14ac:dyDescent="0.25">
      <c r="A4655" s="786" t="s">
        <v>9012</v>
      </c>
      <c r="B4655" s="787">
        <v>4</v>
      </c>
      <c r="C4655" s="787" t="s">
        <v>9013</v>
      </c>
      <c r="D4655" s="787">
        <v>4.62</v>
      </c>
      <c r="E4655" s="787">
        <v>84.62</v>
      </c>
      <c r="F4655" s="788">
        <v>40218</v>
      </c>
      <c r="G4655" s="788">
        <v>40218</v>
      </c>
      <c r="H4655" s="787">
        <v>1</v>
      </c>
      <c r="I4655" s="788">
        <v>40222</v>
      </c>
      <c r="J4655" s="788">
        <v>40210</v>
      </c>
      <c r="K4655" s="788">
        <v>40207</v>
      </c>
      <c r="L4655" s="787">
        <v>70.319999999999993</v>
      </c>
      <c r="M4655" s="787">
        <v>20</v>
      </c>
      <c r="N4655" s="787">
        <v>75.59</v>
      </c>
      <c r="O4655" s="788">
        <v>41858</v>
      </c>
    </row>
    <row r="4656" spans="1:15" x14ac:dyDescent="0.25">
      <c r="A4656" s="786" t="s">
        <v>9014</v>
      </c>
      <c r="B4656" s="787">
        <v>4</v>
      </c>
      <c r="C4656" s="787" t="s">
        <v>9015</v>
      </c>
      <c r="D4656" s="787">
        <v>1.67</v>
      </c>
      <c r="E4656" s="787">
        <v>111.67</v>
      </c>
      <c r="F4656" s="788">
        <v>40218</v>
      </c>
      <c r="G4656" s="788">
        <v>40218</v>
      </c>
      <c r="H4656" s="787">
        <v>1</v>
      </c>
      <c r="I4656" s="788">
        <v>41759</v>
      </c>
      <c r="J4656" s="788">
        <v>41555</v>
      </c>
      <c r="K4656" s="788">
        <v>40207</v>
      </c>
      <c r="L4656" s="787">
        <v>92.8</v>
      </c>
      <c r="M4656" s="787">
        <v>20</v>
      </c>
      <c r="N4656" s="787">
        <v>99.76</v>
      </c>
      <c r="O4656" s="788">
        <v>42164</v>
      </c>
    </row>
    <row r="4657" spans="1:15" x14ac:dyDescent="0.25">
      <c r="A4657" s="786" t="s">
        <v>9016</v>
      </c>
      <c r="B4657" s="787">
        <v>4</v>
      </c>
      <c r="C4657" s="787" t="s">
        <v>9017</v>
      </c>
      <c r="D4657" s="787">
        <v>0</v>
      </c>
      <c r="E4657" s="787">
        <v>0</v>
      </c>
      <c r="G4657" s="788">
        <v>41493</v>
      </c>
      <c r="H4657" s="787">
        <v>1</v>
      </c>
      <c r="I4657" s="788">
        <v>41431</v>
      </c>
      <c r="J4657" s="788">
        <v>41493</v>
      </c>
      <c r="K4657" s="788">
        <v>40185</v>
      </c>
      <c r="L4657" s="787">
        <v>88</v>
      </c>
      <c r="M4657" s="787">
        <v>20</v>
      </c>
      <c r="N4657" s="787">
        <v>94.6</v>
      </c>
      <c r="O4657" s="788">
        <v>42164</v>
      </c>
    </row>
    <row r="4658" spans="1:15" x14ac:dyDescent="0.25">
      <c r="A4658" s="786" t="s">
        <v>9018</v>
      </c>
      <c r="B4658" s="787">
        <v>4</v>
      </c>
      <c r="C4658" s="787" t="s">
        <v>8241</v>
      </c>
      <c r="D4658" s="787">
        <v>0</v>
      </c>
      <c r="E4658" s="787">
        <v>0</v>
      </c>
      <c r="H4658" s="787">
        <v>1</v>
      </c>
      <c r="K4658" s="788">
        <v>40185</v>
      </c>
      <c r="L4658" s="787">
        <v>45.95</v>
      </c>
      <c r="M4658" s="787">
        <v>20</v>
      </c>
      <c r="N4658" s="787">
        <v>49.4</v>
      </c>
      <c r="O4658" s="788">
        <v>41858</v>
      </c>
    </row>
    <row r="4659" spans="1:15" x14ac:dyDescent="0.25">
      <c r="A4659" s="786" t="s">
        <v>9019</v>
      </c>
      <c r="B4659" s="787">
        <v>4</v>
      </c>
      <c r="C4659" s="787" t="s">
        <v>9020</v>
      </c>
      <c r="D4659" s="787">
        <v>5.6</v>
      </c>
      <c r="E4659" s="787">
        <v>45.6</v>
      </c>
      <c r="F4659" s="788">
        <v>40197</v>
      </c>
      <c r="G4659" s="788">
        <v>40196</v>
      </c>
      <c r="H4659" s="787">
        <v>1</v>
      </c>
      <c r="I4659" s="788">
        <v>40442</v>
      </c>
      <c r="J4659" s="788">
        <v>40196</v>
      </c>
      <c r="K4659" s="788">
        <v>40189</v>
      </c>
      <c r="L4659" s="787">
        <v>45.6</v>
      </c>
      <c r="M4659" s="787">
        <v>20</v>
      </c>
      <c r="N4659" s="787">
        <v>49.02</v>
      </c>
      <c r="O4659" s="788">
        <v>41858</v>
      </c>
    </row>
    <row r="4660" spans="1:15" x14ac:dyDescent="0.25">
      <c r="A4660" s="786" t="s">
        <v>9021</v>
      </c>
      <c r="B4660" s="787">
        <v>4</v>
      </c>
      <c r="C4660" s="787" t="s">
        <v>8922</v>
      </c>
      <c r="D4660" s="787">
        <v>1.95</v>
      </c>
      <c r="E4660" s="787">
        <v>71.95</v>
      </c>
      <c r="F4660" s="788">
        <v>41086</v>
      </c>
      <c r="G4660" s="788">
        <v>41101</v>
      </c>
      <c r="H4660" s="787">
        <v>1</v>
      </c>
      <c r="I4660" s="788">
        <v>41088</v>
      </c>
      <c r="J4660" s="788">
        <v>41086</v>
      </c>
      <c r="K4660" s="788">
        <v>40626</v>
      </c>
      <c r="L4660" s="787">
        <v>78.959999999999994</v>
      </c>
      <c r="M4660" s="787">
        <v>20</v>
      </c>
      <c r="N4660" s="787">
        <v>84.88</v>
      </c>
      <c r="O4660" s="788">
        <v>41858</v>
      </c>
    </row>
    <row r="4661" spans="1:15" x14ac:dyDescent="0.25">
      <c r="A4661" s="786" t="s">
        <v>9022</v>
      </c>
      <c r="B4661" s="787">
        <v>4</v>
      </c>
      <c r="C4661" s="787" t="s">
        <v>8241</v>
      </c>
      <c r="D4661" s="787">
        <v>0</v>
      </c>
      <c r="E4661" s="787">
        <v>0</v>
      </c>
      <c r="H4661" s="787">
        <v>1</v>
      </c>
      <c r="K4661" s="788">
        <v>40185</v>
      </c>
      <c r="L4661" s="787">
        <v>102.4</v>
      </c>
      <c r="M4661" s="787">
        <v>20</v>
      </c>
      <c r="N4661" s="787">
        <v>110.08</v>
      </c>
      <c r="O4661" s="788">
        <v>42076</v>
      </c>
    </row>
    <row r="4662" spans="1:15" x14ac:dyDescent="0.25">
      <c r="A4662" s="786" t="s">
        <v>9023</v>
      </c>
      <c r="B4662" s="787">
        <v>4</v>
      </c>
      <c r="C4662" s="787" t="s">
        <v>9015</v>
      </c>
      <c r="D4662" s="787">
        <v>7.83</v>
      </c>
      <c r="E4662" s="787">
        <v>117.83</v>
      </c>
      <c r="F4662" s="788">
        <v>41086</v>
      </c>
      <c r="G4662" s="788">
        <v>41101</v>
      </c>
      <c r="H4662" s="787">
        <v>1</v>
      </c>
      <c r="I4662" s="788">
        <v>41242</v>
      </c>
      <c r="J4662" s="788">
        <v>41086</v>
      </c>
      <c r="K4662" s="788">
        <v>40185</v>
      </c>
      <c r="L4662" s="787">
        <v>128</v>
      </c>
      <c r="M4662" s="787">
        <v>20</v>
      </c>
      <c r="N4662" s="787">
        <v>137.6</v>
      </c>
      <c r="O4662" s="788">
        <v>41858</v>
      </c>
    </row>
    <row r="4663" spans="1:15" x14ac:dyDescent="0.25">
      <c r="A4663" s="786" t="s">
        <v>9024</v>
      </c>
      <c r="B4663" s="787">
        <v>4</v>
      </c>
      <c r="C4663" s="787" t="s">
        <v>9025</v>
      </c>
      <c r="D4663" s="787">
        <v>9.17</v>
      </c>
      <c r="E4663" s="787">
        <v>60.73</v>
      </c>
      <c r="F4663" s="788">
        <v>41311</v>
      </c>
      <c r="G4663" s="788">
        <v>41757</v>
      </c>
      <c r="H4663" s="787">
        <v>1</v>
      </c>
      <c r="I4663" s="788">
        <v>42136</v>
      </c>
      <c r="J4663" s="788">
        <v>42137</v>
      </c>
      <c r="K4663" s="788">
        <v>41744</v>
      </c>
      <c r="L4663" s="787">
        <v>58</v>
      </c>
      <c r="M4663" s="787">
        <v>20</v>
      </c>
      <c r="N4663" s="787">
        <v>62.35</v>
      </c>
      <c r="O4663" s="788">
        <v>42164</v>
      </c>
    </row>
    <row r="4664" spans="1:15" x14ac:dyDescent="0.25">
      <c r="A4664" s="786" t="s">
        <v>9026</v>
      </c>
      <c r="B4664" s="787">
        <v>4</v>
      </c>
      <c r="C4664" s="787" t="s">
        <v>8922</v>
      </c>
      <c r="D4664" s="787">
        <v>5.08</v>
      </c>
      <c r="E4664" s="787">
        <v>75.08</v>
      </c>
      <c r="F4664" s="788">
        <v>40210</v>
      </c>
      <c r="G4664" s="788">
        <v>41493</v>
      </c>
      <c r="H4664" s="787">
        <v>1</v>
      </c>
      <c r="I4664" s="788">
        <v>41332</v>
      </c>
      <c r="J4664" s="788">
        <v>41493</v>
      </c>
      <c r="K4664" s="788">
        <v>40200</v>
      </c>
      <c r="L4664" s="787">
        <v>72.5</v>
      </c>
      <c r="M4664" s="787">
        <v>20</v>
      </c>
      <c r="N4664" s="787">
        <v>77.94</v>
      </c>
      <c r="O4664" s="788">
        <v>42146</v>
      </c>
    </row>
    <row r="4665" spans="1:15" x14ac:dyDescent="0.25">
      <c r="A4665" s="786" t="s">
        <v>9027</v>
      </c>
      <c r="B4665" s="787">
        <v>4</v>
      </c>
      <c r="C4665" s="787" t="s">
        <v>9028</v>
      </c>
      <c r="D4665" s="787">
        <v>0.2</v>
      </c>
      <c r="E4665" s="787">
        <v>180.2</v>
      </c>
      <c r="F4665" s="788">
        <v>40227</v>
      </c>
      <c r="G4665" s="788">
        <v>40358</v>
      </c>
      <c r="H4665" s="787">
        <v>1</v>
      </c>
      <c r="J4665" s="788">
        <v>40219</v>
      </c>
      <c r="K4665" s="788">
        <v>40218</v>
      </c>
      <c r="L4665" s="787">
        <v>131.25</v>
      </c>
      <c r="M4665" s="787">
        <v>20</v>
      </c>
      <c r="N4665" s="787">
        <v>141.09</v>
      </c>
      <c r="O4665" s="788">
        <v>42072</v>
      </c>
    </row>
    <row r="4666" spans="1:15" x14ac:dyDescent="0.25">
      <c r="A4666" s="786" t="s">
        <v>9029</v>
      </c>
      <c r="B4666" s="787">
        <v>4</v>
      </c>
      <c r="C4666" s="787" t="s">
        <v>9030</v>
      </c>
      <c r="D4666" s="787">
        <v>2.4</v>
      </c>
      <c r="E4666" s="787">
        <v>142.4</v>
      </c>
      <c r="F4666" s="788">
        <v>40210</v>
      </c>
      <c r="G4666" s="788">
        <v>40210</v>
      </c>
      <c r="H4666" s="787">
        <v>1</v>
      </c>
      <c r="I4666" s="788">
        <v>41496</v>
      </c>
      <c r="J4666" s="788">
        <v>41499</v>
      </c>
      <c r="K4666" s="788">
        <v>40200</v>
      </c>
      <c r="L4666" s="787">
        <v>137.5</v>
      </c>
      <c r="M4666" s="787">
        <v>20</v>
      </c>
      <c r="N4666" s="787">
        <v>147.81</v>
      </c>
      <c r="O4666" s="788">
        <v>42164</v>
      </c>
    </row>
    <row r="4667" spans="1:15" x14ac:dyDescent="0.25">
      <c r="A4667" s="786" t="s">
        <v>9031</v>
      </c>
      <c r="B4667" s="787">
        <v>4</v>
      </c>
      <c r="C4667" s="787" t="s">
        <v>9032</v>
      </c>
      <c r="D4667" s="787">
        <v>0</v>
      </c>
      <c r="E4667" s="787">
        <v>0</v>
      </c>
      <c r="G4667" s="788">
        <v>41493</v>
      </c>
      <c r="H4667" s="787">
        <v>1</v>
      </c>
      <c r="I4667" s="788">
        <v>41332</v>
      </c>
      <c r="J4667" s="788">
        <v>41493</v>
      </c>
      <c r="K4667" s="788">
        <v>40185</v>
      </c>
      <c r="L4667" s="787">
        <v>137.5</v>
      </c>
      <c r="M4667" s="787">
        <v>20</v>
      </c>
      <c r="N4667" s="787">
        <v>147.81</v>
      </c>
      <c r="O4667" s="788">
        <v>42164</v>
      </c>
    </row>
    <row r="4668" spans="1:15" x14ac:dyDescent="0.25">
      <c r="A4668" s="786" t="s">
        <v>9033</v>
      </c>
      <c r="B4668" s="787">
        <v>4</v>
      </c>
      <c r="C4668" s="787" t="s">
        <v>9034</v>
      </c>
      <c r="D4668" s="787">
        <v>5.94</v>
      </c>
      <c r="E4668" s="787">
        <v>82.36</v>
      </c>
      <c r="F4668" s="788">
        <v>41142</v>
      </c>
      <c r="G4668" s="788">
        <v>42081</v>
      </c>
      <c r="H4668" s="787">
        <v>1</v>
      </c>
      <c r="I4668" s="788">
        <v>42107</v>
      </c>
      <c r="J4668" s="788">
        <v>42061</v>
      </c>
      <c r="K4668" s="788">
        <v>41947</v>
      </c>
      <c r="L4668" s="787">
        <v>74.88</v>
      </c>
      <c r="M4668" s="787">
        <v>20</v>
      </c>
      <c r="N4668" s="787">
        <v>80.5</v>
      </c>
      <c r="O4668" s="788">
        <v>42164</v>
      </c>
    </row>
    <row r="4669" spans="1:15" x14ac:dyDescent="0.25">
      <c r="A4669" s="786" t="s">
        <v>9035</v>
      </c>
      <c r="B4669" s="787">
        <v>4</v>
      </c>
      <c r="C4669" s="787" t="s">
        <v>9036</v>
      </c>
      <c r="D4669" s="787">
        <v>6.54</v>
      </c>
      <c r="E4669" s="787">
        <v>93.6</v>
      </c>
      <c r="F4669" s="788">
        <v>41597</v>
      </c>
      <c r="G4669" s="788">
        <v>42153</v>
      </c>
      <c r="H4669" s="787">
        <v>1</v>
      </c>
      <c r="I4669" s="788">
        <v>42166</v>
      </c>
      <c r="J4669" s="788">
        <v>42153</v>
      </c>
      <c r="K4669" s="788">
        <v>41373</v>
      </c>
      <c r="L4669" s="787">
        <v>93.6</v>
      </c>
      <c r="M4669" s="787">
        <v>20</v>
      </c>
      <c r="N4669" s="787">
        <v>100.62</v>
      </c>
      <c r="O4669" s="788">
        <v>41955</v>
      </c>
    </row>
    <row r="4670" spans="1:15" x14ac:dyDescent="0.25">
      <c r="A4670" s="786" t="s">
        <v>9037</v>
      </c>
      <c r="B4670" s="787">
        <v>4</v>
      </c>
      <c r="C4670" s="787" t="s">
        <v>9038</v>
      </c>
      <c r="D4670" s="787">
        <v>5.43</v>
      </c>
      <c r="E4670" s="787">
        <v>161.22999999999999</v>
      </c>
      <c r="F4670" s="788">
        <v>40197</v>
      </c>
      <c r="G4670" s="788">
        <v>42063</v>
      </c>
      <c r="H4670" s="787">
        <v>1</v>
      </c>
      <c r="I4670" s="788">
        <v>42114</v>
      </c>
      <c r="J4670" s="788">
        <v>42058</v>
      </c>
      <c r="K4670" s="788">
        <v>41919</v>
      </c>
      <c r="L4670" s="787">
        <v>135</v>
      </c>
      <c r="M4670" s="787">
        <v>20</v>
      </c>
      <c r="N4670" s="787">
        <v>149.19</v>
      </c>
      <c r="O4670" s="788">
        <v>41858</v>
      </c>
    </row>
    <row r="4671" spans="1:15" x14ac:dyDescent="0.25">
      <c r="A4671" s="786" t="s">
        <v>9039</v>
      </c>
      <c r="B4671" s="787">
        <v>4</v>
      </c>
      <c r="C4671" s="787" t="s">
        <v>9040</v>
      </c>
      <c r="D4671" s="787">
        <v>1.56</v>
      </c>
      <c r="E4671" s="787">
        <v>176.4</v>
      </c>
      <c r="F4671" s="788">
        <v>41558</v>
      </c>
      <c r="G4671" s="788">
        <v>42153</v>
      </c>
      <c r="H4671" s="787">
        <v>1</v>
      </c>
      <c r="I4671" s="788">
        <v>42145</v>
      </c>
      <c r="J4671" s="788">
        <v>42153</v>
      </c>
      <c r="K4671" s="788">
        <v>42034</v>
      </c>
      <c r="L4671" s="787">
        <v>176.4</v>
      </c>
      <c r="M4671" s="787">
        <v>20</v>
      </c>
      <c r="N4671" s="787">
        <v>189.63</v>
      </c>
      <c r="O4671" s="788">
        <v>42162</v>
      </c>
    </row>
    <row r="4672" spans="1:15" x14ac:dyDescent="0.25">
      <c r="A4672" s="786" t="s">
        <v>9041</v>
      </c>
      <c r="B4672" s="787">
        <v>4</v>
      </c>
      <c r="C4672" s="787" t="s">
        <v>9042</v>
      </c>
      <c r="D4672" s="787">
        <v>0.5</v>
      </c>
      <c r="E4672" s="787">
        <v>226</v>
      </c>
      <c r="F4672" s="788">
        <v>41396</v>
      </c>
      <c r="G4672" s="788">
        <v>42118</v>
      </c>
      <c r="H4672" s="787">
        <v>1</v>
      </c>
      <c r="I4672" s="788">
        <v>42166</v>
      </c>
      <c r="J4672" s="788">
        <v>42089</v>
      </c>
      <c r="K4672" s="788">
        <v>41388</v>
      </c>
      <c r="L4672" s="787">
        <v>220.5</v>
      </c>
      <c r="M4672" s="787">
        <v>20</v>
      </c>
      <c r="N4672" s="787">
        <v>237.04</v>
      </c>
      <c r="O4672" s="788">
        <v>42164</v>
      </c>
    </row>
    <row r="4673" spans="1:15" x14ac:dyDescent="0.25">
      <c r="A4673" s="786" t="s">
        <v>9043</v>
      </c>
      <c r="B4673" s="787">
        <v>4</v>
      </c>
      <c r="C4673" s="787" t="s">
        <v>8241</v>
      </c>
      <c r="D4673" s="787">
        <v>0</v>
      </c>
      <c r="E4673" s="787">
        <v>0</v>
      </c>
      <c r="G4673" s="788">
        <v>41493</v>
      </c>
      <c r="H4673" s="787">
        <v>1</v>
      </c>
      <c r="I4673" s="788">
        <v>41624</v>
      </c>
      <c r="J4673" s="788">
        <v>41561</v>
      </c>
      <c r="K4673" s="788">
        <v>41900</v>
      </c>
      <c r="L4673" s="787">
        <v>178.56</v>
      </c>
      <c r="M4673" s="787">
        <v>20</v>
      </c>
      <c r="N4673" s="787">
        <v>137.6</v>
      </c>
      <c r="O4673" s="788">
        <v>41858</v>
      </c>
    </row>
    <row r="4674" spans="1:15" x14ac:dyDescent="0.25">
      <c r="A4674" s="786" t="s">
        <v>9044</v>
      </c>
      <c r="B4674" s="787">
        <v>4</v>
      </c>
      <c r="C4674" s="787" t="s">
        <v>8241</v>
      </c>
      <c r="D4674" s="787">
        <v>0</v>
      </c>
      <c r="E4674" s="787">
        <v>0</v>
      </c>
      <c r="H4674" s="787">
        <v>1</v>
      </c>
      <c r="K4674" s="788">
        <v>40185</v>
      </c>
      <c r="L4674" s="787">
        <v>152</v>
      </c>
      <c r="M4674" s="787">
        <v>20</v>
      </c>
      <c r="N4674" s="787">
        <v>163.4</v>
      </c>
      <c r="O4674" s="788">
        <v>41978</v>
      </c>
    </row>
    <row r="4675" spans="1:15" x14ac:dyDescent="0.25">
      <c r="A4675" s="786" t="s">
        <v>9045</v>
      </c>
      <c r="B4675" s="787">
        <v>4</v>
      </c>
      <c r="C4675" s="787" t="s">
        <v>8241</v>
      </c>
      <c r="D4675" s="787">
        <v>0</v>
      </c>
      <c r="E4675" s="787">
        <v>0</v>
      </c>
      <c r="H4675" s="787">
        <v>1</v>
      </c>
      <c r="K4675" s="788">
        <v>40185</v>
      </c>
      <c r="L4675" s="787">
        <v>228</v>
      </c>
      <c r="M4675" s="787">
        <v>20</v>
      </c>
      <c r="N4675" s="787">
        <v>245.1</v>
      </c>
      <c r="O4675" s="788">
        <v>41858</v>
      </c>
    </row>
    <row r="4676" spans="1:15" x14ac:dyDescent="0.25">
      <c r="A4676" s="786" t="s">
        <v>9046</v>
      </c>
      <c r="B4676" s="787">
        <v>4</v>
      </c>
      <c r="C4676" s="787" t="s">
        <v>9047</v>
      </c>
      <c r="D4676" s="787">
        <v>8.82</v>
      </c>
      <c r="E4676" s="787">
        <v>384.82</v>
      </c>
      <c r="F4676" s="788">
        <v>40197</v>
      </c>
      <c r="G4676" s="788">
        <v>41872</v>
      </c>
      <c r="H4676" s="787">
        <v>1</v>
      </c>
      <c r="I4676" s="788">
        <v>41869</v>
      </c>
      <c r="J4676" s="788">
        <v>41866</v>
      </c>
      <c r="K4676" s="788">
        <v>41855</v>
      </c>
      <c r="L4676" s="787">
        <v>372</v>
      </c>
      <c r="M4676" s="787">
        <v>20</v>
      </c>
      <c r="N4676" s="787">
        <v>399.9</v>
      </c>
      <c r="O4676" s="788">
        <v>41858</v>
      </c>
    </row>
    <row r="4677" spans="1:15" x14ac:dyDescent="0.25">
      <c r="A4677" s="786" t="s">
        <v>9048</v>
      </c>
      <c r="B4677" s="787">
        <v>4</v>
      </c>
      <c r="C4677" s="787" t="s">
        <v>8241</v>
      </c>
      <c r="D4677" s="787">
        <v>0</v>
      </c>
      <c r="E4677" s="787">
        <v>0</v>
      </c>
      <c r="H4677" s="787">
        <v>1</v>
      </c>
      <c r="K4677" s="788">
        <v>40185</v>
      </c>
      <c r="L4677" s="787">
        <v>380</v>
      </c>
      <c r="M4677" s="787">
        <v>20</v>
      </c>
      <c r="N4677" s="787">
        <v>408.5</v>
      </c>
      <c r="O4677" s="788">
        <v>41858</v>
      </c>
    </row>
    <row r="4678" spans="1:15" x14ac:dyDescent="0.25">
      <c r="A4678" s="786" t="s">
        <v>9049</v>
      </c>
      <c r="B4678" s="787">
        <v>4</v>
      </c>
      <c r="C4678" s="787" t="s">
        <v>8241</v>
      </c>
      <c r="D4678" s="787">
        <v>0</v>
      </c>
      <c r="E4678" s="787">
        <v>0</v>
      </c>
      <c r="H4678" s="787">
        <v>1</v>
      </c>
      <c r="K4678" s="788">
        <v>40185</v>
      </c>
      <c r="L4678" s="787">
        <v>44.8</v>
      </c>
      <c r="M4678" s="787">
        <v>20</v>
      </c>
      <c r="N4678" s="787">
        <v>48.16</v>
      </c>
      <c r="O4678" s="788">
        <v>41858</v>
      </c>
    </row>
    <row r="4679" spans="1:15" x14ac:dyDescent="0.25">
      <c r="A4679" s="786" t="s">
        <v>9050</v>
      </c>
      <c r="B4679" s="787">
        <v>4</v>
      </c>
      <c r="C4679" s="787" t="s">
        <v>9020</v>
      </c>
      <c r="D4679" s="787">
        <v>7.53</v>
      </c>
      <c r="E4679" s="787">
        <v>49.37</v>
      </c>
      <c r="F4679" s="788">
        <v>40876</v>
      </c>
      <c r="G4679" s="788">
        <v>41282</v>
      </c>
      <c r="H4679" s="787">
        <v>1</v>
      </c>
      <c r="I4679" s="788">
        <v>41486</v>
      </c>
      <c r="J4679" s="788">
        <v>41058</v>
      </c>
      <c r="K4679" s="788">
        <v>40969</v>
      </c>
      <c r="L4679" s="787">
        <v>48.16</v>
      </c>
      <c r="M4679" s="787">
        <v>20</v>
      </c>
      <c r="N4679" s="787">
        <v>51.77</v>
      </c>
      <c r="O4679" s="788">
        <v>41858</v>
      </c>
    </row>
    <row r="4680" spans="1:15" x14ac:dyDescent="0.25">
      <c r="A4680" s="786" t="s">
        <v>9051</v>
      </c>
      <c r="B4680" s="787">
        <v>4</v>
      </c>
      <c r="C4680" s="787" t="s">
        <v>8241</v>
      </c>
      <c r="D4680" s="787">
        <v>0</v>
      </c>
      <c r="E4680" s="787">
        <v>0</v>
      </c>
      <c r="H4680" s="787">
        <v>1</v>
      </c>
      <c r="K4680" s="788">
        <v>40185</v>
      </c>
      <c r="L4680" s="787">
        <v>76.8</v>
      </c>
      <c r="M4680" s="787">
        <v>20</v>
      </c>
      <c r="N4680" s="787">
        <v>82.56</v>
      </c>
      <c r="O4680" s="788">
        <v>41858</v>
      </c>
    </row>
    <row r="4681" spans="1:15" x14ac:dyDescent="0.25">
      <c r="A4681" s="786" t="s">
        <v>9052</v>
      </c>
      <c r="B4681" s="787">
        <v>4</v>
      </c>
      <c r="C4681" s="787" t="s">
        <v>8241</v>
      </c>
      <c r="D4681" s="787">
        <v>0</v>
      </c>
      <c r="E4681" s="787">
        <v>0</v>
      </c>
      <c r="H4681" s="787">
        <v>1</v>
      </c>
      <c r="I4681" s="788">
        <v>41850</v>
      </c>
      <c r="K4681" s="788">
        <v>40185</v>
      </c>
      <c r="L4681" s="787">
        <v>102.4</v>
      </c>
      <c r="M4681" s="787">
        <v>20</v>
      </c>
      <c r="N4681" s="787">
        <v>110.08</v>
      </c>
      <c r="O4681" s="788">
        <v>41858</v>
      </c>
    </row>
    <row r="4682" spans="1:15" x14ac:dyDescent="0.25">
      <c r="A4682" s="786" t="s">
        <v>9053</v>
      </c>
      <c r="B4682" s="787">
        <v>4</v>
      </c>
      <c r="C4682" s="787" t="s">
        <v>8241</v>
      </c>
      <c r="D4682" s="787">
        <v>0</v>
      </c>
      <c r="E4682" s="787">
        <v>0</v>
      </c>
      <c r="H4682" s="787">
        <v>1</v>
      </c>
      <c r="I4682" s="788">
        <v>40889</v>
      </c>
      <c r="K4682" s="788">
        <v>40185</v>
      </c>
      <c r="L4682" s="787">
        <v>128</v>
      </c>
      <c r="M4682" s="787">
        <v>20</v>
      </c>
      <c r="N4682" s="787">
        <v>137.6</v>
      </c>
      <c r="O4682" s="788">
        <v>41858</v>
      </c>
    </row>
    <row r="4683" spans="1:15" x14ac:dyDescent="0.25">
      <c r="A4683" s="786" t="s">
        <v>9054</v>
      </c>
      <c r="B4683" s="787">
        <v>4</v>
      </c>
      <c r="C4683" s="787" t="s">
        <v>8241</v>
      </c>
      <c r="D4683" s="787">
        <v>0</v>
      </c>
      <c r="E4683" s="787">
        <v>0</v>
      </c>
      <c r="H4683" s="787">
        <v>1</v>
      </c>
      <c r="K4683" s="788">
        <v>40185</v>
      </c>
      <c r="L4683" s="787">
        <v>71.8</v>
      </c>
      <c r="M4683" s="787">
        <v>20</v>
      </c>
      <c r="N4683" s="787">
        <v>77.19</v>
      </c>
      <c r="O4683" s="788">
        <v>42060</v>
      </c>
    </row>
    <row r="4684" spans="1:15" x14ac:dyDescent="0.25">
      <c r="A4684" s="786" t="s">
        <v>9055</v>
      </c>
      <c r="B4684" s="787">
        <v>4</v>
      </c>
      <c r="C4684" s="787" t="s">
        <v>9056</v>
      </c>
      <c r="D4684" s="787">
        <v>4.26</v>
      </c>
      <c r="E4684" s="787">
        <v>77.14</v>
      </c>
      <c r="F4684" s="788">
        <v>40876</v>
      </c>
      <c r="G4684" s="788">
        <v>41646</v>
      </c>
      <c r="H4684" s="787">
        <v>1</v>
      </c>
      <c r="I4684" s="788">
        <v>42051</v>
      </c>
      <c r="J4684" s="788">
        <v>41058</v>
      </c>
      <c r="K4684" s="788">
        <v>40969</v>
      </c>
      <c r="L4684" s="787">
        <v>75.75</v>
      </c>
      <c r="M4684" s="787">
        <v>20</v>
      </c>
      <c r="N4684" s="787">
        <v>81.430000000000007</v>
      </c>
      <c r="O4684" s="788">
        <v>41858</v>
      </c>
    </row>
    <row r="4685" spans="1:15" x14ac:dyDescent="0.25">
      <c r="A4685" s="786" t="s">
        <v>9057</v>
      </c>
      <c r="B4685" s="787">
        <v>4</v>
      </c>
      <c r="C4685" s="787" t="s">
        <v>8241</v>
      </c>
      <c r="D4685" s="787">
        <v>0</v>
      </c>
      <c r="E4685" s="787">
        <v>0</v>
      </c>
      <c r="H4685" s="787">
        <v>1</v>
      </c>
      <c r="I4685" s="788">
        <v>40336</v>
      </c>
      <c r="K4685" s="788">
        <v>40185</v>
      </c>
      <c r="L4685" s="787">
        <v>120</v>
      </c>
      <c r="M4685" s="787">
        <v>20</v>
      </c>
      <c r="N4685" s="787">
        <v>129</v>
      </c>
      <c r="O4685" s="788">
        <v>41858</v>
      </c>
    </row>
    <row r="4686" spans="1:15" x14ac:dyDescent="0.25">
      <c r="A4686" s="786" t="s">
        <v>9058</v>
      </c>
      <c r="B4686" s="787">
        <v>4</v>
      </c>
      <c r="C4686" s="787" t="s">
        <v>9059</v>
      </c>
      <c r="D4686" s="787">
        <v>9.82</v>
      </c>
      <c r="E4686" s="787">
        <v>145.56</v>
      </c>
      <c r="F4686" s="788">
        <v>40876</v>
      </c>
      <c r="G4686" s="788">
        <v>42013</v>
      </c>
      <c r="H4686" s="787">
        <v>1</v>
      </c>
      <c r="I4686" s="788">
        <v>42051</v>
      </c>
      <c r="J4686" s="788">
        <v>41058</v>
      </c>
      <c r="K4686" s="788">
        <v>40969</v>
      </c>
      <c r="L4686" s="787">
        <v>142</v>
      </c>
      <c r="M4686" s="787">
        <v>20</v>
      </c>
      <c r="N4686" s="787">
        <v>152.65</v>
      </c>
      <c r="O4686" s="788">
        <v>41858</v>
      </c>
    </row>
    <row r="4687" spans="1:15" x14ac:dyDescent="0.25">
      <c r="A4687" s="786" t="s">
        <v>9060</v>
      </c>
      <c r="B4687" s="787">
        <v>4</v>
      </c>
      <c r="C4687" s="787" t="s">
        <v>8241</v>
      </c>
      <c r="D4687" s="787">
        <v>0</v>
      </c>
      <c r="E4687" s="787">
        <v>0</v>
      </c>
      <c r="H4687" s="787">
        <v>1</v>
      </c>
      <c r="K4687" s="788">
        <v>40185</v>
      </c>
      <c r="L4687" s="787">
        <v>200</v>
      </c>
      <c r="M4687" s="787">
        <v>20</v>
      </c>
      <c r="N4687" s="787">
        <v>215</v>
      </c>
      <c r="O4687" s="788">
        <v>41858</v>
      </c>
    </row>
    <row r="4688" spans="1:15" x14ac:dyDescent="0.25">
      <c r="A4688" s="786" t="s">
        <v>9061</v>
      </c>
      <c r="B4688" s="787">
        <v>4</v>
      </c>
      <c r="C4688" s="787" t="s">
        <v>9062</v>
      </c>
      <c r="D4688" s="787">
        <v>0.98</v>
      </c>
      <c r="E4688" s="787">
        <v>80.98</v>
      </c>
      <c r="F4688" s="788">
        <v>41921</v>
      </c>
      <c r="G4688" s="788">
        <v>41926</v>
      </c>
      <c r="H4688" s="787">
        <v>1</v>
      </c>
      <c r="I4688" s="788">
        <v>41222</v>
      </c>
      <c r="J4688" s="788">
        <v>41921</v>
      </c>
      <c r="K4688" s="788">
        <v>41919</v>
      </c>
      <c r="L4688" s="787">
        <v>78.62</v>
      </c>
      <c r="M4688" s="787">
        <v>20</v>
      </c>
      <c r="N4688" s="787">
        <v>108.36</v>
      </c>
      <c r="O4688" s="788">
        <v>41858</v>
      </c>
    </row>
    <row r="4689" spans="1:15" x14ac:dyDescent="0.25">
      <c r="A4689" s="786" t="s">
        <v>9063</v>
      </c>
      <c r="B4689" s="787">
        <v>4</v>
      </c>
      <c r="C4689" s="787" t="s">
        <v>9064</v>
      </c>
      <c r="D4689" s="787">
        <v>0</v>
      </c>
      <c r="E4689" s="787">
        <v>103.62</v>
      </c>
      <c r="F4689" s="788">
        <v>41142</v>
      </c>
      <c r="G4689" s="788">
        <v>42064</v>
      </c>
      <c r="H4689" s="787">
        <v>1</v>
      </c>
      <c r="I4689" s="788">
        <v>42094</v>
      </c>
      <c r="J4689" s="788">
        <v>42058</v>
      </c>
      <c r="K4689" s="788">
        <v>41732</v>
      </c>
      <c r="L4689" s="787">
        <v>102.96</v>
      </c>
      <c r="M4689" s="787">
        <v>20</v>
      </c>
      <c r="N4689" s="787">
        <v>110.68</v>
      </c>
      <c r="O4689" s="788">
        <v>41858</v>
      </c>
    </row>
    <row r="4690" spans="1:15" x14ac:dyDescent="0.25">
      <c r="A4690" s="786" t="s">
        <v>9065</v>
      </c>
      <c r="B4690" s="787">
        <v>4</v>
      </c>
      <c r="C4690" s="787" t="s">
        <v>9066</v>
      </c>
      <c r="D4690" s="787">
        <v>5.82</v>
      </c>
      <c r="E4690" s="787">
        <v>157.97</v>
      </c>
      <c r="F4690" s="788">
        <v>40984</v>
      </c>
      <c r="G4690" s="788">
        <v>41282</v>
      </c>
      <c r="H4690" s="787">
        <v>1</v>
      </c>
      <c r="I4690" s="788">
        <v>41605</v>
      </c>
      <c r="J4690" s="788">
        <v>40991</v>
      </c>
      <c r="K4690" s="788">
        <v>40987</v>
      </c>
      <c r="L4690" s="787">
        <v>156.06</v>
      </c>
      <c r="M4690" s="787">
        <v>20</v>
      </c>
      <c r="N4690" s="787">
        <v>167.76</v>
      </c>
      <c r="O4690" s="788">
        <v>41858</v>
      </c>
    </row>
    <row r="4691" spans="1:15" x14ac:dyDescent="0.25">
      <c r="A4691" s="786" t="s">
        <v>9067</v>
      </c>
      <c r="B4691" s="787">
        <v>4</v>
      </c>
      <c r="C4691" s="787" t="s">
        <v>9068</v>
      </c>
      <c r="D4691" s="787">
        <v>2.2799999999999998</v>
      </c>
      <c r="E4691" s="787">
        <v>188.63</v>
      </c>
      <c r="F4691" s="788">
        <v>41845</v>
      </c>
      <c r="G4691" s="788">
        <v>42016</v>
      </c>
      <c r="H4691" s="787">
        <v>1</v>
      </c>
      <c r="I4691" s="788">
        <v>42042</v>
      </c>
      <c r="J4691" s="788">
        <v>42016</v>
      </c>
      <c r="K4691" s="788">
        <v>41359</v>
      </c>
      <c r="L4691" s="787">
        <v>181.44</v>
      </c>
      <c r="M4691" s="787">
        <v>20</v>
      </c>
      <c r="N4691" s="787">
        <v>195.05</v>
      </c>
      <c r="O4691" s="788">
        <v>41858</v>
      </c>
    </row>
    <row r="4692" spans="1:15" x14ac:dyDescent="0.25">
      <c r="A4692" s="786" t="s">
        <v>9069</v>
      </c>
      <c r="B4692" s="787">
        <v>4</v>
      </c>
      <c r="C4692" s="787" t="s">
        <v>9070</v>
      </c>
      <c r="D4692" s="787">
        <v>6.62</v>
      </c>
      <c r="E4692" s="787">
        <v>255.37</v>
      </c>
      <c r="F4692" s="788">
        <v>40935</v>
      </c>
      <c r="G4692" s="788">
        <v>41943</v>
      </c>
      <c r="H4692" s="787">
        <v>1</v>
      </c>
      <c r="I4692" s="788">
        <v>42101</v>
      </c>
      <c r="J4692" s="788">
        <v>40967</v>
      </c>
      <c r="K4692" s="788">
        <v>40956</v>
      </c>
      <c r="L4692" s="787">
        <v>253.8</v>
      </c>
      <c r="M4692" s="787">
        <v>20</v>
      </c>
      <c r="N4692" s="787">
        <v>272.83999999999997</v>
      </c>
      <c r="O4692" s="788">
        <v>41858</v>
      </c>
    </row>
    <row r="4693" spans="1:15" x14ac:dyDescent="0.25">
      <c r="A4693" s="786" t="s">
        <v>9071</v>
      </c>
      <c r="B4693" s="787">
        <v>4</v>
      </c>
      <c r="C4693" s="787" t="s">
        <v>8241</v>
      </c>
      <c r="D4693" s="787">
        <v>0</v>
      </c>
      <c r="E4693" s="787">
        <v>0</v>
      </c>
      <c r="H4693" s="787">
        <v>1</v>
      </c>
      <c r="K4693" s="788">
        <v>40185</v>
      </c>
      <c r="L4693" s="787">
        <v>112</v>
      </c>
      <c r="M4693" s="787">
        <v>20</v>
      </c>
      <c r="N4693" s="787">
        <v>120.4</v>
      </c>
      <c r="O4693" s="788">
        <v>41858</v>
      </c>
    </row>
    <row r="4694" spans="1:15" x14ac:dyDescent="0.25">
      <c r="A4694" s="786" t="s">
        <v>9072</v>
      </c>
      <c r="B4694" s="787">
        <v>4</v>
      </c>
      <c r="C4694" s="787" t="s">
        <v>9028</v>
      </c>
      <c r="D4694" s="787">
        <v>2.79</v>
      </c>
      <c r="E4694" s="787">
        <v>182.79</v>
      </c>
      <c r="F4694" s="788">
        <v>42101</v>
      </c>
      <c r="G4694" s="788">
        <v>42125</v>
      </c>
      <c r="H4694" s="787">
        <v>1</v>
      </c>
      <c r="I4694" s="788">
        <v>42101</v>
      </c>
      <c r="J4694" s="788">
        <v>42094</v>
      </c>
      <c r="K4694" s="788">
        <v>42090</v>
      </c>
      <c r="L4694" s="787">
        <v>172.8</v>
      </c>
      <c r="M4694" s="787">
        <v>20</v>
      </c>
      <c r="N4694" s="787">
        <v>150.5</v>
      </c>
      <c r="O4694" s="788">
        <v>41858</v>
      </c>
    </row>
    <row r="4695" spans="1:15" x14ac:dyDescent="0.25">
      <c r="A4695" s="786" t="s">
        <v>9073</v>
      </c>
      <c r="B4695" s="787">
        <v>4</v>
      </c>
      <c r="C4695" s="787" t="s">
        <v>8241</v>
      </c>
      <c r="D4695" s="787">
        <v>0</v>
      </c>
      <c r="E4695" s="787">
        <v>0</v>
      </c>
      <c r="H4695" s="787">
        <v>1</v>
      </c>
      <c r="K4695" s="788">
        <v>40185</v>
      </c>
      <c r="L4695" s="787">
        <v>192</v>
      </c>
      <c r="M4695" s="787">
        <v>20</v>
      </c>
      <c r="N4695" s="787">
        <v>206.4</v>
      </c>
      <c r="O4695" s="788">
        <v>41858</v>
      </c>
    </row>
    <row r="4696" spans="1:15" x14ac:dyDescent="0.25">
      <c r="A4696" s="786" t="s">
        <v>9074</v>
      </c>
      <c r="B4696" s="787">
        <v>4</v>
      </c>
      <c r="C4696" s="787" t="s">
        <v>9075</v>
      </c>
      <c r="D4696" s="787">
        <v>4.1100000000000003</v>
      </c>
      <c r="E4696" s="787">
        <v>100</v>
      </c>
      <c r="F4696" s="788">
        <v>37641</v>
      </c>
      <c r="G4696" s="788">
        <v>40378</v>
      </c>
      <c r="H4696" s="787">
        <v>1</v>
      </c>
      <c r="I4696" s="788">
        <v>38713</v>
      </c>
      <c r="J4696" s="788">
        <v>40354</v>
      </c>
      <c r="K4696" s="788">
        <v>40352</v>
      </c>
      <c r="L4696" s="787">
        <v>63.82</v>
      </c>
      <c r="M4696" s="787">
        <v>20</v>
      </c>
      <c r="N4696" s="787">
        <v>68.61</v>
      </c>
      <c r="O4696" s="788">
        <v>41858</v>
      </c>
    </row>
    <row r="4697" spans="1:15" x14ac:dyDescent="0.25">
      <c r="A4697" s="786" t="s">
        <v>9076</v>
      </c>
      <c r="B4697" s="787">
        <v>4</v>
      </c>
      <c r="C4697" s="787" t="s">
        <v>9077</v>
      </c>
      <c r="D4697" s="787">
        <v>5</v>
      </c>
      <c r="E4697" s="787">
        <v>52</v>
      </c>
      <c r="F4697" s="788">
        <v>38279</v>
      </c>
      <c r="G4697" s="788">
        <v>41794</v>
      </c>
      <c r="H4697" s="787">
        <v>1</v>
      </c>
      <c r="I4697" s="788">
        <v>41929</v>
      </c>
      <c r="J4697" s="788">
        <v>41914</v>
      </c>
      <c r="K4697" s="788">
        <v>41865</v>
      </c>
      <c r="L4697" s="787">
        <v>52</v>
      </c>
      <c r="M4697" s="787">
        <v>20</v>
      </c>
      <c r="N4697" s="787">
        <v>55.9</v>
      </c>
      <c r="O4697" s="788">
        <v>42023</v>
      </c>
    </row>
    <row r="4698" spans="1:15" x14ac:dyDescent="0.25">
      <c r="A4698" s="786" t="s">
        <v>9078</v>
      </c>
      <c r="B4698" s="787">
        <v>4</v>
      </c>
      <c r="C4698" s="787" t="s">
        <v>9079</v>
      </c>
      <c r="D4698" s="787">
        <v>7.4</v>
      </c>
      <c r="E4698" s="787">
        <v>347.29</v>
      </c>
      <c r="F4698" s="788">
        <v>41941</v>
      </c>
      <c r="G4698" s="788">
        <v>42125</v>
      </c>
      <c r="H4698" s="787">
        <v>1</v>
      </c>
      <c r="I4698" s="788">
        <v>42101</v>
      </c>
      <c r="J4698" s="788">
        <v>42094</v>
      </c>
      <c r="K4698" s="788">
        <v>42090</v>
      </c>
      <c r="L4698" s="787">
        <v>328.32</v>
      </c>
      <c r="M4698" s="787">
        <v>20</v>
      </c>
      <c r="N4698" s="787">
        <v>275.2</v>
      </c>
      <c r="O4698" s="788">
        <v>41858</v>
      </c>
    </row>
    <row r="4699" spans="1:15" x14ac:dyDescent="0.25">
      <c r="A4699" s="786" t="s">
        <v>9080</v>
      </c>
      <c r="B4699" s="787">
        <v>4</v>
      </c>
      <c r="C4699" s="787" t="s">
        <v>8241</v>
      </c>
      <c r="D4699" s="787">
        <v>0</v>
      </c>
      <c r="E4699" s="787">
        <v>0</v>
      </c>
      <c r="H4699" s="787">
        <v>1</v>
      </c>
      <c r="K4699" s="788">
        <v>40185</v>
      </c>
      <c r="L4699" s="787">
        <v>310</v>
      </c>
      <c r="M4699" s="787">
        <v>20</v>
      </c>
      <c r="N4699" s="787">
        <v>333.25</v>
      </c>
      <c r="O4699" s="788">
        <v>41858</v>
      </c>
    </row>
    <row r="4700" spans="1:15" x14ac:dyDescent="0.25">
      <c r="A4700" s="786" t="s">
        <v>9081</v>
      </c>
      <c r="B4700" s="787">
        <v>4</v>
      </c>
      <c r="C4700" s="787" t="s">
        <v>9082</v>
      </c>
      <c r="D4700" s="787">
        <v>1.99</v>
      </c>
      <c r="E4700" s="787">
        <v>61.99</v>
      </c>
      <c r="F4700" s="788">
        <v>40821</v>
      </c>
      <c r="G4700" s="788">
        <v>42013</v>
      </c>
      <c r="H4700" s="787">
        <v>1</v>
      </c>
      <c r="I4700" s="788">
        <v>40372</v>
      </c>
      <c r="J4700" s="788">
        <v>41561</v>
      </c>
      <c r="K4700" s="788">
        <v>40808</v>
      </c>
      <c r="L4700" s="787">
        <v>61.2</v>
      </c>
      <c r="M4700" s="787">
        <v>20</v>
      </c>
      <c r="N4700" s="787">
        <v>65.790000000000006</v>
      </c>
      <c r="O4700" s="788">
        <v>41858</v>
      </c>
    </row>
    <row r="4701" spans="1:15" x14ac:dyDescent="0.25">
      <c r="A4701" s="786" t="s">
        <v>9083</v>
      </c>
      <c r="B4701" s="787">
        <v>4</v>
      </c>
      <c r="C4701" s="787" t="s">
        <v>9084</v>
      </c>
      <c r="D4701" s="787">
        <v>4.25</v>
      </c>
      <c r="E4701" s="787">
        <v>74.25</v>
      </c>
      <c r="F4701" s="788">
        <v>41809</v>
      </c>
      <c r="G4701" s="788">
        <v>41806</v>
      </c>
      <c r="H4701" s="787">
        <v>1</v>
      </c>
      <c r="I4701" s="788">
        <v>41822</v>
      </c>
      <c r="J4701" s="788">
        <v>41806</v>
      </c>
      <c r="K4701" s="788">
        <v>41803</v>
      </c>
      <c r="L4701" s="787">
        <v>74.25</v>
      </c>
      <c r="M4701" s="787">
        <v>20</v>
      </c>
      <c r="N4701" s="787">
        <v>79.819999999999993</v>
      </c>
      <c r="O4701" s="788">
        <v>41858</v>
      </c>
    </row>
    <row r="4702" spans="1:15" x14ac:dyDescent="0.25">
      <c r="A4702" s="786" t="s">
        <v>9085</v>
      </c>
      <c r="B4702" s="787">
        <v>4</v>
      </c>
      <c r="C4702" s="787" t="s">
        <v>9086</v>
      </c>
      <c r="D4702" s="787">
        <v>5.92</v>
      </c>
      <c r="E4702" s="787">
        <v>125.92</v>
      </c>
      <c r="F4702" s="788">
        <v>40630</v>
      </c>
      <c r="G4702" s="788">
        <v>40630</v>
      </c>
      <c r="H4702" s="787">
        <v>1</v>
      </c>
      <c r="J4702" s="788">
        <v>40630</v>
      </c>
      <c r="K4702" s="788">
        <v>40626</v>
      </c>
      <c r="L4702" s="787">
        <v>123.38</v>
      </c>
      <c r="M4702" s="787">
        <v>20</v>
      </c>
      <c r="N4702" s="787">
        <v>132.63</v>
      </c>
      <c r="O4702" s="788">
        <v>41858</v>
      </c>
    </row>
    <row r="4703" spans="1:15" x14ac:dyDescent="0.25">
      <c r="A4703" s="786" t="s">
        <v>9087</v>
      </c>
      <c r="B4703" s="787">
        <v>4</v>
      </c>
      <c r="C4703" s="787" t="s">
        <v>9088</v>
      </c>
      <c r="D4703" s="787">
        <v>2.5</v>
      </c>
      <c r="E4703" s="787">
        <v>142.5</v>
      </c>
      <c r="F4703" s="788">
        <v>41809</v>
      </c>
      <c r="G4703" s="788">
        <v>41806</v>
      </c>
      <c r="H4703" s="787">
        <v>1</v>
      </c>
      <c r="I4703" s="788">
        <v>41822</v>
      </c>
      <c r="J4703" s="788">
        <v>41806</v>
      </c>
      <c r="K4703" s="788">
        <v>41803</v>
      </c>
      <c r="L4703" s="787">
        <v>142.5</v>
      </c>
      <c r="M4703" s="787">
        <v>20</v>
      </c>
      <c r="N4703" s="787">
        <v>153.19</v>
      </c>
      <c r="O4703" s="788">
        <v>41858</v>
      </c>
    </row>
    <row r="4704" spans="1:15" x14ac:dyDescent="0.25">
      <c r="A4704" s="786" t="s">
        <v>9089</v>
      </c>
      <c r="B4704" s="787">
        <v>4</v>
      </c>
      <c r="C4704" s="787" t="s">
        <v>8241</v>
      </c>
      <c r="D4704" s="787">
        <v>0</v>
      </c>
      <c r="E4704" s="787">
        <v>0</v>
      </c>
      <c r="H4704" s="787">
        <v>1</v>
      </c>
      <c r="K4704" s="788">
        <v>40185</v>
      </c>
      <c r="L4704" s="787">
        <v>200</v>
      </c>
      <c r="M4704" s="787">
        <v>20</v>
      </c>
      <c r="N4704" s="787">
        <v>215</v>
      </c>
      <c r="O4704" s="788">
        <v>41858</v>
      </c>
    </row>
    <row r="4705" spans="1:15" x14ac:dyDescent="0.25">
      <c r="A4705" s="786" t="s">
        <v>9090</v>
      </c>
      <c r="B4705" s="787">
        <v>4</v>
      </c>
      <c r="C4705" s="787" t="s">
        <v>8241</v>
      </c>
      <c r="D4705" s="787">
        <v>0</v>
      </c>
      <c r="E4705" s="787">
        <v>0</v>
      </c>
      <c r="H4705" s="787">
        <v>1</v>
      </c>
      <c r="K4705" s="788">
        <v>40185</v>
      </c>
      <c r="L4705" s="787">
        <v>103.39</v>
      </c>
      <c r="M4705" s="787">
        <v>20</v>
      </c>
      <c r="N4705" s="787">
        <v>111.14</v>
      </c>
      <c r="O4705" s="788">
        <v>41858</v>
      </c>
    </row>
    <row r="4706" spans="1:15" x14ac:dyDescent="0.25">
      <c r="A4706" s="786" t="s">
        <v>9091</v>
      </c>
      <c r="B4706" s="787">
        <v>4</v>
      </c>
      <c r="C4706" s="787" t="s">
        <v>9092</v>
      </c>
      <c r="D4706" s="787">
        <v>7.07</v>
      </c>
      <c r="E4706" s="787">
        <v>134.74</v>
      </c>
      <c r="F4706" s="788">
        <v>41320</v>
      </c>
      <c r="G4706" s="788">
        <v>42093</v>
      </c>
      <c r="H4706" s="787">
        <v>1</v>
      </c>
      <c r="I4706" s="788">
        <v>42086</v>
      </c>
      <c r="J4706" s="788">
        <v>42069</v>
      </c>
      <c r="K4706" s="788">
        <v>40626</v>
      </c>
      <c r="L4706" s="787">
        <v>122.4</v>
      </c>
      <c r="M4706" s="787">
        <v>20</v>
      </c>
      <c r="N4706" s="787">
        <v>131.58000000000001</v>
      </c>
      <c r="O4706" s="788">
        <v>41858</v>
      </c>
    </row>
    <row r="4707" spans="1:15" x14ac:dyDescent="0.25">
      <c r="A4707" s="786" t="s">
        <v>9093</v>
      </c>
      <c r="B4707" s="787">
        <v>4</v>
      </c>
      <c r="C4707" s="787" t="s">
        <v>9094</v>
      </c>
      <c r="D4707" s="787">
        <v>8.25</v>
      </c>
      <c r="E4707" s="787">
        <v>158.25</v>
      </c>
      <c r="F4707" s="788">
        <v>41320</v>
      </c>
      <c r="G4707" s="788">
        <v>41338</v>
      </c>
      <c r="H4707" s="787">
        <v>1</v>
      </c>
      <c r="I4707" s="788">
        <v>41583</v>
      </c>
      <c r="J4707" s="788">
        <v>41326</v>
      </c>
      <c r="K4707" s="788">
        <v>40185</v>
      </c>
      <c r="L4707" s="787">
        <v>172.8</v>
      </c>
      <c r="M4707" s="787">
        <v>20</v>
      </c>
      <c r="N4707" s="787">
        <v>185.76</v>
      </c>
      <c r="O4707" s="788">
        <v>41858</v>
      </c>
    </row>
    <row r="4708" spans="1:15" x14ac:dyDescent="0.25">
      <c r="A4708" s="786" t="s">
        <v>9095</v>
      </c>
      <c r="B4708" s="787">
        <v>4</v>
      </c>
      <c r="C4708" s="787" t="s">
        <v>9096</v>
      </c>
      <c r="D4708" s="787">
        <v>7.94</v>
      </c>
      <c r="E4708" s="787">
        <v>223.2</v>
      </c>
      <c r="F4708" s="788">
        <v>40197</v>
      </c>
      <c r="G4708" s="788">
        <v>42008</v>
      </c>
      <c r="H4708" s="787">
        <v>1</v>
      </c>
      <c r="I4708" s="788">
        <v>41978</v>
      </c>
      <c r="J4708" s="788">
        <v>41974</v>
      </c>
      <c r="K4708" s="788">
        <v>41705</v>
      </c>
      <c r="L4708" s="787">
        <v>239.76</v>
      </c>
      <c r="M4708" s="787">
        <v>20</v>
      </c>
      <c r="N4708" s="787">
        <v>257.74</v>
      </c>
      <c r="O4708" s="788">
        <v>41858</v>
      </c>
    </row>
    <row r="4709" spans="1:15" x14ac:dyDescent="0.25">
      <c r="A4709" s="786" t="s">
        <v>9097</v>
      </c>
      <c r="B4709" s="787">
        <v>4</v>
      </c>
      <c r="C4709" s="787" t="s">
        <v>9098</v>
      </c>
      <c r="D4709" s="787">
        <v>5.12</v>
      </c>
      <c r="E4709" s="787">
        <v>265.12</v>
      </c>
      <c r="F4709" s="788">
        <v>41086</v>
      </c>
      <c r="G4709" s="788">
        <v>41101</v>
      </c>
      <c r="H4709" s="787">
        <v>1</v>
      </c>
      <c r="I4709" s="788">
        <v>41088</v>
      </c>
      <c r="J4709" s="788">
        <v>41086</v>
      </c>
      <c r="K4709" s="788">
        <v>40185</v>
      </c>
      <c r="L4709" s="787">
        <v>279</v>
      </c>
      <c r="M4709" s="787">
        <v>20</v>
      </c>
      <c r="N4709" s="787">
        <v>299.93</v>
      </c>
      <c r="O4709" s="788">
        <v>41858</v>
      </c>
    </row>
    <row r="4710" spans="1:15" x14ac:dyDescent="0.25">
      <c r="A4710" s="786" t="s">
        <v>9099</v>
      </c>
      <c r="B4710" s="787">
        <v>4</v>
      </c>
      <c r="C4710" s="787" t="s">
        <v>8241</v>
      </c>
      <c r="D4710" s="787">
        <v>0</v>
      </c>
      <c r="E4710" s="787">
        <v>0</v>
      </c>
      <c r="H4710" s="787">
        <v>1</v>
      </c>
      <c r="K4710" s="788">
        <v>40185</v>
      </c>
      <c r="L4710" s="787">
        <v>128</v>
      </c>
      <c r="M4710" s="787">
        <v>20</v>
      </c>
      <c r="N4710" s="787">
        <v>137.6</v>
      </c>
      <c r="O4710" s="788">
        <v>41858</v>
      </c>
    </row>
    <row r="4711" spans="1:15" x14ac:dyDescent="0.25">
      <c r="A4711" s="786" t="s">
        <v>9100</v>
      </c>
      <c r="B4711" s="787">
        <v>4</v>
      </c>
      <c r="C4711" s="787" t="s">
        <v>8241</v>
      </c>
      <c r="D4711" s="787">
        <v>0</v>
      </c>
      <c r="E4711" s="787">
        <v>0</v>
      </c>
      <c r="H4711" s="787">
        <v>1</v>
      </c>
      <c r="K4711" s="788">
        <v>40185</v>
      </c>
      <c r="L4711" s="787">
        <v>152</v>
      </c>
      <c r="M4711" s="787">
        <v>20</v>
      </c>
      <c r="N4711" s="787">
        <v>163.4</v>
      </c>
      <c r="O4711" s="788">
        <v>41858</v>
      </c>
    </row>
    <row r="4712" spans="1:15" x14ac:dyDescent="0.25">
      <c r="A4712" s="786" t="s">
        <v>9101</v>
      </c>
      <c r="B4712" s="787">
        <v>4</v>
      </c>
      <c r="C4712" s="787" t="s">
        <v>8241</v>
      </c>
      <c r="D4712" s="787">
        <v>0</v>
      </c>
      <c r="E4712" s="787">
        <v>0</v>
      </c>
      <c r="H4712" s="787">
        <v>1</v>
      </c>
      <c r="K4712" s="788">
        <v>40185</v>
      </c>
      <c r="L4712" s="787">
        <v>192</v>
      </c>
      <c r="M4712" s="787">
        <v>20</v>
      </c>
      <c r="N4712" s="787">
        <v>206.4</v>
      </c>
      <c r="O4712" s="788">
        <v>41858</v>
      </c>
    </row>
    <row r="4713" spans="1:15" x14ac:dyDescent="0.25">
      <c r="A4713" s="786" t="s">
        <v>9102</v>
      </c>
      <c r="B4713" s="787">
        <v>4</v>
      </c>
      <c r="C4713" s="787" t="s">
        <v>8241</v>
      </c>
      <c r="D4713" s="787">
        <v>0</v>
      </c>
      <c r="E4713" s="787">
        <v>0</v>
      </c>
      <c r="H4713" s="787">
        <v>1</v>
      </c>
      <c r="K4713" s="788">
        <v>40185</v>
      </c>
      <c r="L4713" s="787">
        <v>262.39999999999998</v>
      </c>
      <c r="M4713" s="787">
        <v>20</v>
      </c>
      <c r="N4713" s="787">
        <v>282.08</v>
      </c>
      <c r="O4713" s="788">
        <v>41858</v>
      </c>
    </row>
    <row r="4714" spans="1:15" x14ac:dyDescent="0.25">
      <c r="A4714" s="786" t="s">
        <v>9103</v>
      </c>
      <c r="B4714" s="787">
        <v>4</v>
      </c>
      <c r="C4714" s="787" t="s">
        <v>8241</v>
      </c>
      <c r="D4714" s="787">
        <v>0</v>
      </c>
      <c r="E4714" s="787">
        <v>0</v>
      </c>
      <c r="H4714" s="787">
        <v>1</v>
      </c>
      <c r="K4714" s="788">
        <v>40185</v>
      </c>
      <c r="L4714" s="787">
        <v>310</v>
      </c>
      <c r="M4714" s="787">
        <v>20</v>
      </c>
      <c r="N4714" s="787">
        <v>333.25</v>
      </c>
      <c r="O4714" s="788">
        <v>41858</v>
      </c>
    </row>
    <row r="4715" spans="1:15" x14ac:dyDescent="0.25">
      <c r="A4715" s="786" t="s">
        <v>9104</v>
      </c>
      <c r="B4715" s="787">
        <v>4</v>
      </c>
      <c r="C4715" s="787" t="s">
        <v>8241</v>
      </c>
      <c r="D4715" s="787">
        <v>0</v>
      </c>
      <c r="E4715" s="787">
        <v>0</v>
      </c>
      <c r="H4715" s="787">
        <v>1</v>
      </c>
      <c r="K4715" s="788">
        <v>40140</v>
      </c>
      <c r="L4715" s="787">
        <v>7.56</v>
      </c>
      <c r="M4715" s="787">
        <v>20</v>
      </c>
      <c r="N4715" s="787">
        <v>8.1300000000000008</v>
      </c>
      <c r="O4715" s="788">
        <v>41858</v>
      </c>
    </row>
    <row r="4716" spans="1:15" x14ac:dyDescent="0.25">
      <c r="A4716" s="786" t="s">
        <v>9105</v>
      </c>
      <c r="B4716" s="787">
        <v>4</v>
      </c>
      <c r="C4716" s="787" t="s">
        <v>8241</v>
      </c>
      <c r="D4716" s="787">
        <v>0</v>
      </c>
      <c r="E4716" s="787">
        <v>0</v>
      </c>
      <c r="H4716" s="787">
        <v>1</v>
      </c>
      <c r="K4716" s="788">
        <v>40140</v>
      </c>
      <c r="L4716" s="787">
        <v>5.67</v>
      </c>
      <c r="M4716" s="787">
        <v>20</v>
      </c>
      <c r="N4716" s="787">
        <v>6.1</v>
      </c>
      <c r="O4716" s="788">
        <v>41858</v>
      </c>
    </row>
    <row r="4717" spans="1:15" x14ac:dyDescent="0.25">
      <c r="A4717" s="786" t="s">
        <v>9106</v>
      </c>
      <c r="B4717" s="787">
        <v>4</v>
      </c>
      <c r="C4717" s="787" t="s">
        <v>9107</v>
      </c>
      <c r="D4717" s="787">
        <v>5.49</v>
      </c>
      <c r="E4717" s="787">
        <v>35.49</v>
      </c>
      <c r="F4717" s="788">
        <v>40343</v>
      </c>
      <c r="G4717" s="788">
        <v>40343</v>
      </c>
      <c r="H4717" s="787">
        <v>1</v>
      </c>
      <c r="I4717" s="788">
        <v>41654</v>
      </c>
      <c r="J4717" s="788">
        <v>40308</v>
      </c>
      <c r="K4717" s="788">
        <v>40305</v>
      </c>
      <c r="L4717" s="787">
        <v>31.86</v>
      </c>
      <c r="M4717" s="787">
        <v>20</v>
      </c>
      <c r="N4717" s="787">
        <v>34.25</v>
      </c>
      <c r="O4717" s="788">
        <v>41858</v>
      </c>
    </row>
    <row r="4718" spans="1:15" x14ac:dyDescent="0.25">
      <c r="A4718" s="786" t="s">
        <v>9108</v>
      </c>
      <c r="B4718" s="787">
        <v>4</v>
      </c>
      <c r="C4718" s="787" t="s">
        <v>9109</v>
      </c>
      <c r="D4718" s="787">
        <v>8.89</v>
      </c>
      <c r="E4718" s="787">
        <v>58.89</v>
      </c>
      <c r="F4718" s="788">
        <v>41838</v>
      </c>
      <c r="G4718" s="788">
        <v>41869</v>
      </c>
      <c r="H4718" s="787">
        <v>1</v>
      </c>
      <c r="I4718" s="788">
        <v>41831</v>
      </c>
      <c r="J4718" s="788">
        <v>41829</v>
      </c>
      <c r="K4718" s="788">
        <v>40140</v>
      </c>
      <c r="L4718" s="787">
        <v>11.34</v>
      </c>
      <c r="M4718" s="787">
        <v>20</v>
      </c>
      <c r="N4718" s="787">
        <v>12.19</v>
      </c>
      <c r="O4718" s="788">
        <v>41858</v>
      </c>
    </row>
    <row r="4719" spans="1:15" x14ac:dyDescent="0.25">
      <c r="A4719" s="786" t="s">
        <v>9110</v>
      </c>
      <c r="B4719" s="787">
        <v>4</v>
      </c>
      <c r="C4719" s="787" t="s">
        <v>8241</v>
      </c>
      <c r="D4719" s="787">
        <v>0</v>
      </c>
      <c r="E4719" s="787">
        <v>0</v>
      </c>
      <c r="G4719" s="788">
        <v>40358</v>
      </c>
      <c r="H4719" s="787">
        <v>1</v>
      </c>
      <c r="I4719" s="788">
        <v>41415</v>
      </c>
      <c r="K4719" s="788">
        <v>40140</v>
      </c>
      <c r="L4719" s="787">
        <v>11.34</v>
      </c>
      <c r="M4719" s="787">
        <v>20</v>
      </c>
      <c r="N4719" s="787">
        <v>12.19</v>
      </c>
      <c r="O4719" s="788">
        <v>41858</v>
      </c>
    </row>
    <row r="4720" spans="1:15" x14ac:dyDescent="0.25">
      <c r="A4720" s="786" t="s">
        <v>9111</v>
      </c>
      <c r="B4720" s="787">
        <v>4</v>
      </c>
      <c r="C4720" s="787" t="s">
        <v>8241</v>
      </c>
      <c r="D4720" s="787">
        <v>0</v>
      </c>
      <c r="E4720" s="787">
        <v>0</v>
      </c>
      <c r="H4720" s="787">
        <v>1</v>
      </c>
      <c r="K4720" s="788">
        <v>40140</v>
      </c>
      <c r="L4720" s="787">
        <v>11.62</v>
      </c>
      <c r="M4720" s="787">
        <v>20</v>
      </c>
      <c r="N4720" s="787">
        <v>12.49</v>
      </c>
      <c r="O4720" s="788">
        <v>41858</v>
      </c>
    </row>
    <row r="4721" spans="1:15" x14ac:dyDescent="0.25">
      <c r="A4721" s="786" t="s">
        <v>9112</v>
      </c>
      <c r="B4721" s="787">
        <v>4</v>
      </c>
      <c r="C4721" s="787" t="s">
        <v>9113</v>
      </c>
      <c r="D4721" s="787">
        <v>6.76</v>
      </c>
      <c r="E4721" s="787">
        <v>46.76</v>
      </c>
      <c r="F4721" s="788">
        <v>41838</v>
      </c>
      <c r="G4721" s="788">
        <v>42013</v>
      </c>
      <c r="H4721" s="787">
        <v>1</v>
      </c>
      <c r="I4721" s="788">
        <v>41865</v>
      </c>
      <c r="J4721" s="788">
        <v>41829</v>
      </c>
      <c r="K4721" s="788">
        <v>40140</v>
      </c>
      <c r="L4721" s="787">
        <v>13.89</v>
      </c>
      <c r="M4721" s="787">
        <v>20</v>
      </c>
      <c r="N4721" s="787">
        <v>14.93</v>
      </c>
      <c r="O4721" s="788">
        <v>41858</v>
      </c>
    </row>
    <row r="4722" spans="1:15" x14ac:dyDescent="0.25">
      <c r="A4722" s="786" t="s">
        <v>9114</v>
      </c>
      <c r="B4722" s="787">
        <v>4</v>
      </c>
      <c r="C4722" s="787" t="s">
        <v>9025</v>
      </c>
      <c r="D4722" s="787">
        <v>3.76</v>
      </c>
      <c r="E4722" s="787">
        <v>58.12</v>
      </c>
      <c r="F4722" s="788">
        <v>41614</v>
      </c>
      <c r="G4722" s="788">
        <v>41696</v>
      </c>
      <c r="H4722" s="787">
        <v>1</v>
      </c>
      <c r="I4722" s="788">
        <v>41907</v>
      </c>
      <c r="J4722" s="788">
        <v>41908</v>
      </c>
      <c r="K4722" s="788">
        <v>40305</v>
      </c>
      <c r="L4722" s="787">
        <v>49.86</v>
      </c>
      <c r="M4722" s="787">
        <v>20</v>
      </c>
      <c r="N4722" s="787">
        <v>53.6</v>
      </c>
      <c r="O4722" s="788">
        <v>41858</v>
      </c>
    </row>
    <row r="4723" spans="1:15" x14ac:dyDescent="0.25">
      <c r="A4723" s="786" t="s">
        <v>9115</v>
      </c>
      <c r="B4723" s="787">
        <v>4</v>
      </c>
      <c r="C4723" s="787" t="s">
        <v>8241</v>
      </c>
      <c r="D4723" s="787">
        <v>0</v>
      </c>
      <c r="E4723" s="787">
        <v>0</v>
      </c>
      <c r="H4723" s="787">
        <v>1</v>
      </c>
      <c r="K4723" s="788">
        <v>40140</v>
      </c>
      <c r="L4723" s="787">
        <v>27.78</v>
      </c>
      <c r="M4723" s="787">
        <v>20</v>
      </c>
      <c r="N4723" s="787">
        <v>29.86</v>
      </c>
      <c r="O4723" s="788">
        <v>41858</v>
      </c>
    </row>
    <row r="4724" spans="1:15" x14ac:dyDescent="0.25">
      <c r="A4724" s="786" t="s">
        <v>9116</v>
      </c>
      <c r="B4724" s="787">
        <v>4</v>
      </c>
      <c r="C4724" s="787" t="s">
        <v>8241</v>
      </c>
      <c r="D4724" s="787">
        <v>0</v>
      </c>
      <c r="E4724" s="787">
        <v>0</v>
      </c>
      <c r="G4724" s="788">
        <v>41493</v>
      </c>
      <c r="H4724" s="787">
        <v>1</v>
      </c>
      <c r="I4724" s="788">
        <v>41375</v>
      </c>
      <c r="J4724" s="788">
        <v>41493</v>
      </c>
      <c r="K4724" s="788">
        <v>40140</v>
      </c>
      <c r="L4724" s="787">
        <v>19.22</v>
      </c>
      <c r="M4724" s="787">
        <v>20</v>
      </c>
      <c r="N4724" s="787">
        <v>20.66</v>
      </c>
      <c r="O4724" s="788">
        <v>41858</v>
      </c>
    </row>
    <row r="4725" spans="1:15" x14ac:dyDescent="0.25">
      <c r="A4725" s="786" t="s">
        <v>9117</v>
      </c>
      <c r="B4725" s="787">
        <v>4</v>
      </c>
      <c r="C4725" s="787" t="s">
        <v>9118</v>
      </c>
      <c r="D4725" s="787">
        <v>1.58</v>
      </c>
      <c r="E4725" s="787">
        <v>98.38</v>
      </c>
      <c r="F4725" s="788">
        <v>41836</v>
      </c>
      <c r="G4725" s="788">
        <v>41869</v>
      </c>
      <c r="H4725" s="787">
        <v>1</v>
      </c>
      <c r="I4725" s="788">
        <v>41865</v>
      </c>
      <c r="J4725" s="788">
        <v>41863</v>
      </c>
      <c r="K4725" s="788">
        <v>41830</v>
      </c>
      <c r="L4725" s="787">
        <v>77.78</v>
      </c>
      <c r="M4725" s="787">
        <v>20</v>
      </c>
      <c r="N4725" s="787">
        <v>83.61</v>
      </c>
      <c r="O4725" s="788">
        <v>41858</v>
      </c>
    </row>
    <row r="4726" spans="1:15" x14ac:dyDescent="0.25">
      <c r="A4726" s="786" t="s">
        <v>9119</v>
      </c>
      <c r="B4726" s="787">
        <v>4</v>
      </c>
      <c r="C4726" s="787" t="s">
        <v>9120</v>
      </c>
      <c r="D4726" s="787">
        <v>8.14</v>
      </c>
      <c r="E4726" s="787">
        <v>88.14</v>
      </c>
      <c r="F4726" s="788">
        <v>41624</v>
      </c>
      <c r="G4726" s="788">
        <v>41646</v>
      </c>
      <c r="H4726" s="787">
        <v>1</v>
      </c>
      <c r="I4726" s="788">
        <v>41996</v>
      </c>
      <c r="J4726" s="788">
        <v>41690</v>
      </c>
      <c r="K4726" s="788">
        <v>40556</v>
      </c>
      <c r="L4726" s="787">
        <v>80.19</v>
      </c>
      <c r="M4726" s="787">
        <v>20</v>
      </c>
      <c r="N4726" s="787">
        <v>86.2</v>
      </c>
      <c r="O4726" s="788">
        <v>42039</v>
      </c>
    </row>
    <row r="4727" spans="1:15" x14ac:dyDescent="0.25">
      <c r="A4727" s="786" t="s">
        <v>9121</v>
      </c>
      <c r="B4727" s="787">
        <v>4</v>
      </c>
      <c r="C4727" s="787" t="s">
        <v>8241</v>
      </c>
      <c r="D4727" s="787">
        <v>0</v>
      </c>
      <c r="E4727" s="787">
        <v>0</v>
      </c>
      <c r="G4727" s="788">
        <v>41493</v>
      </c>
      <c r="H4727" s="787">
        <v>1</v>
      </c>
      <c r="I4727" s="788">
        <v>41397</v>
      </c>
      <c r="J4727" s="788">
        <v>41493</v>
      </c>
      <c r="K4727" s="788">
        <v>40140</v>
      </c>
      <c r="L4727" s="787">
        <v>40.01</v>
      </c>
      <c r="M4727" s="787">
        <v>20</v>
      </c>
      <c r="N4727" s="787">
        <v>43.01</v>
      </c>
      <c r="O4727" s="788">
        <v>41858</v>
      </c>
    </row>
    <row r="4728" spans="1:15" x14ac:dyDescent="0.25">
      <c r="A4728" s="786" t="s">
        <v>9122</v>
      </c>
      <c r="B4728" s="787">
        <v>4</v>
      </c>
      <c r="C4728" s="787" t="s">
        <v>9123</v>
      </c>
      <c r="D4728" s="787">
        <v>0.9</v>
      </c>
      <c r="E4728" s="787">
        <v>10.9</v>
      </c>
      <c r="F4728" s="788">
        <v>40319</v>
      </c>
      <c r="G4728" s="788">
        <v>40319</v>
      </c>
      <c r="H4728" s="787">
        <v>1</v>
      </c>
      <c r="I4728" s="788">
        <v>40367</v>
      </c>
      <c r="J4728" s="788">
        <v>40284</v>
      </c>
      <c r="K4728" s="788">
        <v>40274</v>
      </c>
      <c r="L4728" s="787">
        <v>10.75</v>
      </c>
      <c r="M4728" s="787">
        <v>20</v>
      </c>
      <c r="N4728" s="787">
        <v>11.56</v>
      </c>
      <c r="O4728" s="788">
        <v>42087</v>
      </c>
    </row>
    <row r="4729" spans="1:15" x14ac:dyDescent="0.25">
      <c r="A4729" s="786" t="s">
        <v>9124</v>
      </c>
      <c r="B4729" s="787">
        <v>4</v>
      </c>
      <c r="C4729" s="787" t="s">
        <v>9125</v>
      </c>
      <c r="D4729" s="787">
        <v>0</v>
      </c>
      <c r="E4729" s="787">
        <v>0</v>
      </c>
      <c r="H4729" s="787">
        <v>1</v>
      </c>
      <c r="I4729" s="788">
        <v>41183</v>
      </c>
      <c r="J4729" s="788">
        <v>40232</v>
      </c>
      <c r="K4729" s="788">
        <v>40203</v>
      </c>
      <c r="L4729" s="787">
        <v>9.56</v>
      </c>
      <c r="M4729" s="787">
        <v>20</v>
      </c>
      <c r="N4729" s="787">
        <v>10.28</v>
      </c>
      <c r="O4729" s="788">
        <v>42163</v>
      </c>
    </row>
    <row r="4730" spans="1:15" x14ac:dyDescent="0.25">
      <c r="A4730" s="786" t="s">
        <v>9126</v>
      </c>
      <c r="B4730" s="787">
        <v>4</v>
      </c>
      <c r="C4730" s="787" t="s">
        <v>9125</v>
      </c>
      <c r="D4730" s="787">
        <v>0</v>
      </c>
      <c r="E4730" s="787">
        <v>0</v>
      </c>
      <c r="H4730" s="787">
        <v>1</v>
      </c>
      <c r="I4730" s="788">
        <v>40609</v>
      </c>
      <c r="J4730" s="788">
        <v>40232</v>
      </c>
      <c r="K4730" s="788">
        <v>40203</v>
      </c>
      <c r="L4730" s="787">
        <v>11.38</v>
      </c>
      <c r="M4730" s="787">
        <v>20</v>
      </c>
      <c r="N4730" s="787">
        <v>12.23</v>
      </c>
      <c r="O4730" s="788">
        <v>42087</v>
      </c>
    </row>
    <row r="4731" spans="1:15" x14ac:dyDescent="0.25">
      <c r="A4731" s="786" t="s">
        <v>9127</v>
      </c>
      <c r="B4731" s="787">
        <v>4</v>
      </c>
      <c r="C4731" s="787" t="s">
        <v>9123</v>
      </c>
      <c r="D4731" s="787">
        <v>1.54</v>
      </c>
      <c r="E4731" s="787">
        <v>12.2</v>
      </c>
      <c r="F4731" s="788">
        <v>40319</v>
      </c>
      <c r="G4731" s="788">
        <v>41159</v>
      </c>
      <c r="H4731" s="787">
        <v>1</v>
      </c>
      <c r="I4731" s="788">
        <v>41583</v>
      </c>
      <c r="J4731" s="788">
        <v>41142</v>
      </c>
      <c r="K4731" s="788">
        <v>40926</v>
      </c>
      <c r="L4731" s="787">
        <v>11.88</v>
      </c>
      <c r="M4731" s="787">
        <v>20</v>
      </c>
      <c r="N4731" s="787">
        <v>12.77</v>
      </c>
      <c r="O4731" s="788">
        <v>42163</v>
      </c>
    </row>
    <row r="4732" spans="1:15" x14ac:dyDescent="0.25">
      <c r="A4732" s="786" t="s">
        <v>9128</v>
      </c>
      <c r="B4732" s="787">
        <v>4</v>
      </c>
      <c r="C4732" s="787" t="s">
        <v>9123</v>
      </c>
      <c r="D4732" s="787">
        <v>4.28</v>
      </c>
      <c r="E4732" s="787">
        <v>18.91</v>
      </c>
      <c r="F4732" s="788">
        <v>40319</v>
      </c>
      <c r="G4732" s="788">
        <v>41555</v>
      </c>
      <c r="H4732" s="787">
        <v>1</v>
      </c>
      <c r="I4732" s="788">
        <v>41583</v>
      </c>
      <c r="J4732" s="788">
        <v>41568</v>
      </c>
      <c r="K4732" s="788">
        <v>40926</v>
      </c>
      <c r="L4732" s="787">
        <v>14.66</v>
      </c>
      <c r="M4732" s="787">
        <v>20</v>
      </c>
      <c r="N4732" s="787">
        <v>15.76</v>
      </c>
      <c r="O4732" s="788">
        <v>41858</v>
      </c>
    </row>
    <row r="4733" spans="1:15" x14ac:dyDescent="0.25">
      <c r="A4733" s="786" t="s">
        <v>9129</v>
      </c>
      <c r="B4733" s="787">
        <v>4</v>
      </c>
      <c r="C4733" s="787" t="s">
        <v>9130</v>
      </c>
      <c r="D4733" s="787">
        <v>6.97</v>
      </c>
      <c r="E4733" s="787">
        <v>24.41</v>
      </c>
      <c r="F4733" s="788">
        <v>40319</v>
      </c>
      <c r="G4733" s="788">
        <v>42159</v>
      </c>
      <c r="H4733" s="787">
        <v>1</v>
      </c>
      <c r="I4733" s="788">
        <v>42151</v>
      </c>
      <c r="J4733" s="788">
        <v>42159</v>
      </c>
      <c r="K4733" s="788">
        <v>41920</v>
      </c>
      <c r="L4733" s="787">
        <v>24</v>
      </c>
      <c r="M4733" s="787">
        <v>20</v>
      </c>
      <c r="N4733" s="787">
        <v>25.8</v>
      </c>
      <c r="O4733" s="788">
        <v>42163</v>
      </c>
    </row>
    <row r="4734" spans="1:15" x14ac:dyDescent="0.25">
      <c r="A4734" s="786" t="s">
        <v>9131</v>
      </c>
      <c r="B4734" s="787">
        <v>4</v>
      </c>
      <c r="C4734" s="787" t="s">
        <v>9123</v>
      </c>
      <c r="D4734" s="787">
        <v>9.01</v>
      </c>
      <c r="E4734" s="787">
        <v>19.329999999999998</v>
      </c>
      <c r="F4734" s="788">
        <v>40576</v>
      </c>
      <c r="G4734" s="788">
        <v>41159</v>
      </c>
      <c r="H4734" s="787">
        <v>1</v>
      </c>
      <c r="I4734" s="788">
        <v>41429</v>
      </c>
      <c r="J4734" s="788">
        <v>41488</v>
      </c>
      <c r="K4734" s="788">
        <v>40203</v>
      </c>
      <c r="L4734" s="787">
        <v>13.03</v>
      </c>
      <c r="M4734" s="787">
        <v>20</v>
      </c>
      <c r="N4734" s="787">
        <v>14.01</v>
      </c>
      <c r="O4734" s="788">
        <v>41858</v>
      </c>
    </row>
    <row r="4735" spans="1:15" x14ac:dyDescent="0.25">
      <c r="A4735" s="786" t="s">
        <v>9132</v>
      </c>
      <c r="B4735" s="787">
        <v>4</v>
      </c>
      <c r="C4735" s="787" t="s">
        <v>9123</v>
      </c>
      <c r="D4735" s="787">
        <v>9.68</v>
      </c>
      <c r="E4735" s="787">
        <v>21.09</v>
      </c>
      <c r="F4735" s="788">
        <v>40319</v>
      </c>
      <c r="G4735" s="788">
        <v>41282</v>
      </c>
      <c r="H4735" s="787">
        <v>1</v>
      </c>
      <c r="I4735" s="788">
        <v>41572</v>
      </c>
      <c r="J4735" s="788">
        <v>40932</v>
      </c>
      <c r="K4735" s="788">
        <v>40926</v>
      </c>
      <c r="L4735" s="787">
        <v>20.22</v>
      </c>
      <c r="M4735" s="787">
        <v>20</v>
      </c>
      <c r="N4735" s="787">
        <v>21.74</v>
      </c>
      <c r="O4735" s="788">
        <v>41858</v>
      </c>
    </row>
    <row r="4736" spans="1:15" x14ac:dyDescent="0.25">
      <c r="A4736" s="786" t="s">
        <v>9133</v>
      </c>
      <c r="B4736" s="787">
        <v>4</v>
      </c>
      <c r="C4736" s="787" t="s">
        <v>9134</v>
      </c>
      <c r="D4736" s="787">
        <v>8.91</v>
      </c>
      <c r="E4736" s="787">
        <v>31.53</v>
      </c>
      <c r="F4736" s="788">
        <v>41450</v>
      </c>
      <c r="G4736" s="788">
        <v>42142</v>
      </c>
      <c r="H4736" s="787">
        <v>1</v>
      </c>
      <c r="I4736" s="788">
        <v>42156</v>
      </c>
      <c r="J4736" s="788">
        <v>42107</v>
      </c>
      <c r="K4736" s="788">
        <v>40926</v>
      </c>
      <c r="L4736" s="787">
        <v>21.61</v>
      </c>
      <c r="M4736" s="787">
        <v>20</v>
      </c>
      <c r="N4736" s="787">
        <v>23.23</v>
      </c>
      <c r="O4736" s="788">
        <v>42163</v>
      </c>
    </row>
    <row r="4737" spans="1:15" x14ac:dyDescent="0.25">
      <c r="A4737" s="786" t="s">
        <v>9135</v>
      </c>
      <c r="B4737" s="787">
        <v>4</v>
      </c>
      <c r="C4737" s="787" t="s">
        <v>9125</v>
      </c>
      <c r="D4737" s="787">
        <v>0</v>
      </c>
      <c r="E4737" s="787">
        <v>0</v>
      </c>
      <c r="H4737" s="787">
        <v>1</v>
      </c>
      <c r="J4737" s="788">
        <v>40232</v>
      </c>
      <c r="K4737" s="788">
        <v>40203</v>
      </c>
      <c r="L4737" s="787">
        <v>15.91</v>
      </c>
      <c r="M4737" s="787">
        <v>20</v>
      </c>
      <c r="N4737" s="787">
        <v>17.100000000000001</v>
      </c>
      <c r="O4737" s="788">
        <v>41858</v>
      </c>
    </row>
    <row r="4738" spans="1:15" x14ac:dyDescent="0.25">
      <c r="A4738" s="786" t="s">
        <v>9136</v>
      </c>
      <c r="B4738" s="787">
        <v>4</v>
      </c>
      <c r="C4738" s="787" t="s">
        <v>9137</v>
      </c>
      <c r="D4738" s="787">
        <v>0.28000000000000003</v>
      </c>
      <c r="E4738" s="787">
        <v>270.10000000000002</v>
      </c>
      <c r="F4738" s="788">
        <v>41759</v>
      </c>
      <c r="G4738" s="788">
        <v>42118</v>
      </c>
      <c r="H4738" s="787">
        <v>1</v>
      </c>
      <c r="I4738" s="788">
        <v>42150</v>
      </c>
      <c r="J4738" s="788">
        <v>42089</v>
      </c>
      <c r="K4738" s="788">
        <v>41752</v>
      </c>
      <c r="L4738" s="787">
        <v>260.27999999999997</v>
      </c>
      <c r="M4738" s="787">
        <v>20</v>
      </c>
      <c r="N4738" s="787">
        <v>279.8</v>
      </c>
      <c r="O4738" s="788">
        <v>42080</v>
      </c>
    </row>
    <row r="4739" spans="1:15" x14ac:dyDescent="0.25">
      <c r="A4739" s="786" t="s">
        <v>9138</v>
      </c>
      <c r="B4739" s="787">
        <v>4</v>
      </c>
      <c r="C4739" s="787" t="s">
        <v>9139</v>
      </c>
      <c r="D4739" s="787">
        <v>7.03</v>
      </c>
      <c r="E4739" s="787">
        <v>87.03</v>
      </c>
      <c r="F4739" s="788">
        <v>40760</v>
      </c>
      <c r="G4739" s="788">
        <v>40760</v>
      </c>
      <c r="H4739" s="787">
        <v>1</v>
      </c>
      <c r="J4739" s="788">
        <v>40763</v>
      </c>
      <c r="K4739" s="788">
        <v>41809</v>
      </c>
      <c r="L4739" s="787">
        <v>62</v>
      </c>
      <c r="M4739" s="787">
        <v>20</v>
      </c>
      <c r="N4739" s="787">
        <v>66.650000000000006</v>
      </c>
      <c r="O4739" s="788">
        <v>41858</v>
      </c>
    </row>
    <row r="4740" spans="1:15" x14ac:dyDescent="0.25">
      <c r="A4740" s="786" t="s">
        <v>9140</v>
      </c>
      <c r="B4740" s="787">
        <v>4</v>
      </c>
      <c r="C4740" s="787" t="s">
        <v>9086</v>
      </c>
      <c r="D4740" s="787">
        <v>7.56</v>
      </c>
      <c r="E4740" s="787">
        <v>127.56</v>
      </c>
      <c r="F4740" s="788">
        <v>41094</v>
      </c>
      <c r="G4740" s="788">
        <v>41094</v>
      </c>
      <c r="H4740" s="787">
        <v>1</v>
      </c>
      <c r="I4740" s="788">
        <v>41416</v>
      </c>
      <c r="J4740" s="788">
        <v>41488</v>
      </c>
      <c r="K4740" s="788">
        <v>41080</v>
      </c>
      <c r="L4740" s="787">
        <v>124.32</v>
      </c>
      <c r="M4740" s="787">
        <v>20</v>
      </c>
      <c r="N4740" s="787">
        <v>133.63999999999999</v>
      </c>
      <c r="O4740" s="788">
        <v>42074</v>
      </c>
    </row>
    <row r="4741" spans="1:15" x14ac:dyDescent="0.25">
      <c r="A4741" s="786" t="s">
        <v>9141</v>
      </c>
      <c r="B4741" s="787">
        <v>4</v>
      </c>
      <c r="C4741" s="787" t="s">
        <v>9142</v>
      </c>
      <c r="D4741" s="787">
        <v>5.98</v>
      </c>
      <c r="E4741" s="787">
        <v>32.299999999999997</v>
      </c>
      <c r="F4741" s="788">
        <v>37641</v>
      </c>
      <c r="G4741" s="788">
        <v>37995</v>
      </c>
      <c r="H4741" s="787">
        <v>1</v>
      </c>
      <c r="I4741" s="788">
        <v>37214</v>
      </c>
      <c r="J4741" s="788">
        <v>37991</v>
      </c>
      <c r="L4741" s="787">
        <v>42.25</v>
      </c>
      <c r="M4741" s="787">
        <v>20</v>
      </c>
      <c r="N4741" s="787">
        <v>45.42</v>
      </c>
      <c r="O4741" s="788">
        <v>41858</v>
      </c>
    </row>
    <row r="4742" spans="1:15" x14ac:dyDescent="0.25">
      <c r="A4742" s="786" t="s">
        <v>9143</v>
      </c>
      <c r="B4742" s="787">
        <v>4</v>
      </c>
      <c r="C4742" s="787" t="s">
        <v>9144</v>
      </c>
      <c r="D4742" s="787">
        <v>6.4</v>
      </c>
      <c r="E4742" s="787">
        <v>6.4</v>
      </c>
      <c r="F4742" s="788">
        <v>39974</v>
      </c>
      <c r="G4742" s="788">
        <v>39974</v>
      </c>
      <c r="H4742" s="787">
        <v>5</v>
      </c>
      <c r="I4742" s="788">
        <v>39881</v>
      </c>
      <c r="J4742" s="788">
        <v>39149</v>
      </c>
      <c r="L4742" s="787">
        <v>7.2</v>
      </c>
      <c r="M4742" s="787">
        <v>20</v>
      </c>
      <c r="N4742" s="787">
        <v>7.74</v>
      </c>
      <c r="O4742" s="788">
        <v>41858</v>
      </c>
    </row>
    <row r="4743" spans="1:15" x14ac:dyDescent="0.25">
      <c r="A4743" s="786" t="s">
        <v>9145</v>
      </c>
      <c r="B4743" s="787">
        <v>4</v>
      </c>
      <c r="C4743" s="787" t="s">
        <v>9146</v>
      </c>
      <c r="D4743" s="787">
        <v>9.2899999999999991</v>
      </c>
      <c r="E4743" s="787">
        <v>21.99</v>
      </c>
      <c r="F4743" s="788">
        <v>37999</v>
      </c>
      <c r="G4743" s="788">
        <v>41394</v>
      </c>
      <c r="H4743" s="787">
        <v>6</v>
      </c>
      <c r="I4743" s="788">
        <v>40998</v>
      </c>
      <c r="J4743" s="788">
        <v>41394</v>
      </c>
      <c r="K4743" s="788">
        <v>41869</v>
      </c>
      <c r="L4743" s="787">
        <v>21.99</v>
      </c>
      <c r="M4743" s="787">
        <v>20</v>
      </c>
      <c r="N4743" s="787">
        <v>23.64</v>
      </c>
      <c r="O4743" s="788">
        <v>41806</v>
      </c>
    </row>
    <row r="4744" spans="1:15" x14ac:dyDescent="0.25">
      <c r="A4744" s="786" t="s">
        <v>9147</v>
      </c>
      <c r="B4744" s="787">
        <v>4</v>
      </c>
      <c r="C4744" s="787" t="s">
        <v>9148</v>
      </c>
      <c r="D4744" s="787">
        <v>7.66</v>
      </c>
      <c r="E4744" s="787">
        <v>41.56</v>
      </c>
      <c r="F4744" s="788">
        <v>39101</v>
      </c>
      <c r="G4744" s="788">
        <v>39969</v>
      </c>
      <c r="H4744" s="787">
        <v>5</v>
      </c>
      <c r="I4744" s="788">
        <v>40690</v>
      </c>
      <c r="J4744" s="788">
        <v>41394</v>
      </c>
      <c r="L4744" s="787">
        <v>39.549999999999997</v>
      </c>
      <c r="M4744" s="787">
        <v>20</v>
      </c>
      <c r="N4744" s="787">
        <v>42.52</v>
      </c>
      <c r="O4744" s="788">
        <v>41858</v>
      </c>
    </row>
    <row r="4745" spans="1:15" x14ac:dyDescent="0.25">
      <c r="A4745" s="786" t="s">
        <v>9149</v>
      </c>
      <c r="B4745" s="787">
        <v>4</v>
      </c>
      <c r="C4745" s="787" t="s">
        <v>9150</v>
      </c>
      <c r="D4745" s="787">
        <v>0</v>
      </c>
      <c r="E4745" s="787">
        <v>0</v>
      </c>
      <c r="H4745" s="787">
        <v>1</v>
      </c>
      <c r="J4745" s="788">
        <v>37641</v>
      </c>
      <c r="L4745" s="787">
        <v>0</v>
      </c>
      <c r="M4745" s="787">
        <v>10</v>
      </c>
      <c r="N4745" s="787">
        <v>0</v>
      </c>
      <c r="O4745" s="788">
        <v>42162</v>
      </c>
    </row>
    <row r="4746" spans="1:15" x14ac:dyDescent="0.25">
      <c r="A4746" s="786" t="s">
        <v>9151</v>
      </c>
      <c r="B4746" s="787">
        <v>4</v>
      </c>
      <c r="C4746" s="787" t="s">
        <v>9152</v>
      </c>
      <c r="D4746" s="787">
        <v>0</v>
      </c>
      <c r="E4746" s="787">
        <v>0</v>
      </c>
      <c r="H4746" s="787">
        <v>1</v>
      </c>
      <c r="J4746" s="788">
        <v>37641</v>
      </c>
      <c r="L4746" s="787">
        <v>0</v>
      </c>
      <c r="M4746" s="787">
        <v>10</v>
      </c>
      <c r="N4746" s="787">
        <v>0</v>
      </c>
      <c r="O4746" s="788">
        <v>41858</v>
      </c>
    </row>
    <row r="4747" spans="1:15" x14ac:dyDescent="0.25">
      <c r="A4747" s="786" t="s">
        <v>9153</v>
      </c>
      <c r="B4747" s="787">
        <v>4</v>
      </c>
      <c r="C4747" s="787" t="s">
        <v>9154</v>
      </c>
      <c r="D4747" s="787">
        <v>0</v>
      </c>
      <c r="E4747" s="787">
        <v>0</v>
      </c>
      <c r="H4747" s="787">
        <v>1</v>
      </c>
      <c r="J4747" s="788">
        <v>37641</v>
      </c>
      <c r="L4747" s="787">
        <v>0</v>
      </c>
      <c r="M4747" s="787">
        <v>10</v>
      </c>
      <c r="N4747" s="787">
        <v>0</v>
      </c>
      <c r="O4747" s="788">
        <v>41858</v>
      </c>
    </row>
    <row r="4748" spans="1:15" x14ac:dyDescent="0.25">
      <c r="A4748" s="786" t="s">
        <v>9155</v>
      </c>
      <c r="B4748" s="787">
        <v>4</v>
      </c>
      <c r="C4748" s="787" t="s">
        <v>9156</v>
      </c>
      <c r="D4748" s="787">
        <v>0</v>
      </c>
      <c r="E4748" s="787">
        <v>0</v>
      </c>
      <c r="H4748" s="787">
        <v>1</v>
      </c>
      <c r="J4748" s="788">
        <v>37641</v>
      </c>
      <c r="L4748" s="787">
        <v>0</v>
      </c>
      <c r="M4748" s="787">
        <v>10</v>
      </c>
      <c r="N4748" s="787">
        <v>0</v>
      </c>
      <c r="O4748" s="788">
        <v>41858</v>
      </c>
    </row>
    <row r="4749" spans="1:15" x14ac:dyDescent="0.25">
      <c r="A4749" s="786" t="s">
        <v>9157</v>
      </c>
      <c r="B4749" s="787">
        <v>4</v>
      </c>
      <c r="C4749" s="787" t="s">
        <v>9158</v>
      </c>
      <c r="D4749" s="787">
        <v>0</v>
      </c>
      <c r="E4749" s="787">
        <v>0</v>
      </c>
      <c r="H4749" s="787">
        <v>1</v>
      </c>
      <c r="J4749" s="788">
        <v>37641</v>
      </c>
      <c r="L4749" s="787">
        <v>0</v>
      </c>
      <c r="M4749" s="787">
        <v>10</v>
      </c>
      <c r="N4749" s="787">
        <v>0</v>
      </c>
      <c r="O4749" s="788">
        <v>41858</v>
      </c>
    </row>
    <row r="4750" spans="1:15" x14ac:dyDescent="0.25">
      <c r="A4750" s="786" t="s">
        <v>9157</v>
      </c>
      <c r="B4750" s="787" t="s">
        <v>7193</v>
      </c>
      <c r="C4750" s="787" t="s">
        <v>9159</v>
      </c>
      <c r="D4750" s="787">
        <v>0</v>
      </c>
      <c r="E4750" s="787">
        <v>0</v>
      </c>
      <c r="H4750" s="787">
        <v>1</v>
      </c>
      <c r="J4750" s="788">
        <v>37641</v>
      </c>
      <c r="L4750" s="787">
        <v>0</v>
      </c>
      <c r="M4750" s="787">
        <v>10</v>
      </c>
      <c r="N4750" s="787">
        <v>0</v>
      </c>
      <c r="O4750" s="788">
        <v>41858</v>
      </c>
    </row>
    <row r="4751" spans="1:15" x14ac:dyDescent="0.25">
      <c r="A4751" s="786" t="s">
        <v>9157</v>
      </c>
      <c r="B4751" s="787" t="s">
        <v>9160</v>
      </c>
      <c r="C4751" s="787" t="s">
        <v>9161</v>
      </c>
      <c r="D4751" s="787">
        <v>0</v>
      </c>
      <c r="E4751" s="787">
        <v>0</v>
      </c>
      <c r="H4751" s="787">
        <v>1</v>
      </c>
      <c r="J4751" s="788">
        <v>37641</v>
      </c>
      <c r="L4751" s="787">
        <v>0</v>
      </c>
      <c r="M4751" s="787">
        <v>10</v>
      </c>
      <c r="N4751" s="787">
        <v>0</v>
      </c>
      <c r="O4751" s="788">
        <v>41858</v>
      </c>
    </row>
    <row r="4752" spans="1:15" x14ac:dyDescent="0.25">
      <c r="A4752" s="786" t="s">
        <v>9162</v>
      </c>
      <c r="B4752" s="787">
        <v>4</v>
      </c>
      <c r="C4752" s="787" t="s">
        <v>9163</v>
      </c>
      <c r="D4752" s="787">
        <v>0</v>
      </c>
      <c r="E4752" s="787">
        <v>0</v>
      </c>
      <c r="H4752" s="787">
        <v>1</v>
      </c>
      <c r="J4752" s="788">
        <v>37641</v>
      </c>
      <c r="L4752" s="787">
        <v>0</v>
      </c>
      <c r="M4752" s="787">
        <v>10</v>
      </c>
      <c r="N4752" s="787">
        <v>0</v>
      </c>
      <c r="O4752" s="788">
        <v>41858</v>
      </c>
    </row>
    <row r="4753" spans="1:15" x14ac:dyDescent="0.25">
      <c r="A4753" s="786" t="s">
        <v>9162</v>
      </c>
      <c r="B4753" s="787" t="s">
        <v>9164</v>
      </c>
      <c r="C4753" s="787" t="s">
        <v>9165</v>
      </c>
      <c r="D4753" s="787">
        <v>0</v>
      </c>
      <c r="E4753" s="787">
        <v>0</v>
      </c>
      <c r="H4753" s="787">
        <v>1</v>
      </c>
      <c r="J4753" s="788">
        <v>37641</v>
      </c>
      <c r="L4753" s="787">
        <v>0</v>
      </c>
      <c r="M4753" s="787">
        <v>10</v>
      </c>
      <c r="N4753" s="787">
        <v>0</v>
      </c>
      <c r="O4753" s="788">
        <v>41858</v>
      </c>
    </row>
    <row r="4754" spans="1:15" x14ac:dyDescent="0.25">
      <c r="A4754" s="786" t="s">
        <v>9166</v>
      </c>
      <c r="B4754" s="787">
        <v>4</v>
      </c>
      <c r="C4754" s="787" t="s">
        <v>9167</v>
      </c>
      <c r="D4754" s="787">
        <v>0</v>
      </c>
      <c r="E4754" s="787">
        <v>0</v>
      </c>
      <c r="H4754" s="787">
        <v>1</v>
      </c>
      <c r="J4754" s="788">
        <v>37641</v>
      </c>
      <c r="L4754" s="787">
        <v>0</v>
      </c>
      <c r="M4754" s="787">
        <v>10</v>
      </c>
      <c r="N4754" s="787">
        <v>0</v>
      </c>
      <c r="O4754" s="788">
        <v>41858</v>
      </c>
    </row>
    <row r="4755" spans="1:15" x14ac:dyDescent="0.25">
      <c r="A4755" s="786" t="s">
        <v>9166</v>
      </c>
      <c r="B4755" s="787" t="s">
        <v>9164</v>
      </c>
      <c r="C4755" s="787" t="s">
        <v>9168</v>
      </c>
      <c r="D4755" s="787">
        <v>0</v>
      </c>
      <c r="E4755" s="787">
        <v>0</v>
      </c>
      <c r="H4755" s="787">
        <v>1</v>
      </c>
      <c r="J4755" s="788">
        <v>37641</v>
      </c>
      <c r="L4755" s="787">
        <v>0</v>
      </c>
      <c r="M4755" s="787">
        <v>10</v>
      </c>
      <c r="N4755" s="787">
        <v>0</v>
      </c>
      <c r="O4755" s="788">
        <v>41858</v>
      </c>
    </row>
    <row r="4756" spans="1:15" x14ac:dyDescent="0.25">
      <c r="A4756" s="786" t="s">
        <v>9169</v>
      </c>
      <c r="B4756" s="787">
        <v>4</v>
      </c>
      <c r="C4756" s="787" t="s">
        <v>9170</v>
      </c>
      <c r="D4756" s="787">
        <v>0</v>
      </c>
      <c r="E4756" s="787">
        <v>0</v>
      </c>
      <c r="H4756" s="787">
        <v>1</v>
      </c>
      <c r="J4756" s="788">
        <v>37641</v>
      </c>
      <c r="L4756" s="787">
        <v>0</v>
      </c>
      <c r="M4756" s="787">
        <v>10</v>
      </c>
      <c r="N4756" s="787">
        <v>0</v>
      </c>
      <c r="O4756" s="788">
        <v>41858</v>
      </c>
    </row>
    <row r="4757" spans="1:15" x14ac:dyDescent="0.25">
      <c r="A4757" s="786" t="s">
        <v>9169</v>
      </c>
      <c r="B4757" s="787" t="s">
        <v>9164</v>
      </c>
      <c r="C4757" s="787" t="s">
        <v>9171</v>
      </c>
      <c r="D4757" s="787">
        <v>0</v>
      </c>
      <c r="E4757" s="787">
        <v>0</v>
      </c>
      <c r="H4757" s="787">
        <v>1</v>
      </c>
      <c r="J4757" s="788">
        <v>37641</v>
      </c>
      <c r="L4757" s="787">
        <v>0</v>
      </c>
      <c r="M4757" s="787">
        <v>10</v>
      </c>
      <c r="N4757" s="787">
        <v>0</v>
      </c>
      <c r="O4757" s="788">
        <v>41858</v>
      </c>
    </row>
    <row r="4758" spans="1:15" x14ac:dyDescent="0.25">
      <c r="A4758" s="786" t="s">
        <v>9172</v>
      </c>
      <c r="B4758" s="787">
        <v>4</v>
      </c>
      <c r="C4758" s="787" t="s">
        <v>9173</v>
      </c>
      <c r="D4758" s="787">
        <v>0</v>
      </c>
      <c r="E4758" s="787">
        <v>0</v>
      </c>
      <c r="H4758" s="787">
        <v>1</v>
      </c>
      <c r="I4758" s="788">
        <v>40465</v>
      </c>
      <c r="J4758" s="788">
        <v>37641</v>
      </c>
      <c r="L4758" s="787">
        <v>0</v>
      </c>
      <c r="M4758" s="787">
        <v>10</v>
      </c>
      <c r="N4758" s="787">
        <v>0</v>
      </c>
      <c r="O4758" s="788">
        <v>41858</v>
      </c>
    </row>
    <row r="4759" spans="1:15" x14ac:dyDescent="0.25">
      <c r="A4759" s="786" t="s">
        <v>9172</v>
      </c>
      <c r="B4759" s="787" t="s">
        <v>7193</v>
      </c>
      <c r="C4759" s="787" t="s">
        <v>9174</v>
      </c>
      <c r="D4759" s="787">
        <v>0</v>
      </c>
      <c r="E4759" s="787">
        <v>0</v>
      </c>
      <c r="H4759" s="787">
        <v>1</v>
      </c>
      <c r="J4759" s="788">
        <v>37641</v>
      </c>
      <c r="L4759" s="787">
        <v>0</v>
      </c>
      <c r="M4759" s="787">
        <v>10</v>
      </c>
      <c r="N4759" s="787">
        <v>0</v>
      </c>
      <c r="O4759" s="788">
        <v>41858</v>
      </c>
    </row>
    <row r="4760" spans="1:15" x14ac:dyDescent="0.25">
      <c r="A4760" s="786" t="s">
        <v>9172</v>
      </c>
      <c r="B4760" s="787" t="s">
        <v>9160</v>
      </c>
      <c r="C4760" s="787" t="s">
        <v>9175</v>
      </c>
      <c r="D4760" s="787">
        <v>0</v>
      </c>
      <c r="E4760" s="787">
        <v>0</v>
      </c>
      <c r="H4760" s="787">
        <v>1</v>
      </c>
      <c r="J4760" s="788">
        <v>37641</v>
      </c>
      <c r="L4760" s="787">
        <v>0</v>
      </c>
      <c r="M4760" s="787">
        <v>10</v>
      </c>
      <c r="N4760" s="787">
        <v>0</v>
      </c>
      <c r="O4760" s="788">
        <v>41858</v>
      </c>
    </row>
    <row r="4761" spans="1:15" x14ac:dyDescent="0.25">
      <c r="A4761" s="786" t="s">
        <v>9176</v>
      </c>
      <c r="B4761" s="787">
        <v>4</v>
      </c>
      <c r="C4761" s="787" t="s">
        <v>9177</v>
      </c>
      <c r="D4761" s="787">
        <v>0</v>
      </c>
      <c r="E4761" s="787">
        <v>0</v>
      </c>
      <c r="H4761" s="787">
        <v>1</v>
      </c>
      <c r="J4761" s="788">
        <v>37641</v>
      </c>
      <c r="L4761" s="787">
        <v>0</v>
      </c>
      <c r="M4761" s="787">
        <v>10</v>
      </c>
      <c r="N4761" s="787">
        <v>0</v>
      </c>
      <c r="O4761" s="788">
        <v>41858</v>
      </c>
    </row>
    <row r="4762" spans="1:15" x14ac:dyDescent="0.25">
      <c r="A4762" s="786" t="s">
        <v>9176</v>
      </c>
      <c r="B4762" s="787" t="s">
        <v>7193</v>
      </c>
      <c r="C4762" s="787" t="s">
        <v>9178</v>
      </c>
      <c r="D4762" s="787">
        <v>0</v>
      </c>
      <c r="E4762" s="787">
        <v>0</v>
      </c>
      <c r="H4762" s="787">
        <v>1</v>
      </c>
      <c r="J4762" s="788">
        <v>37641</v>
      </c>
      <c r="L4762" s="787">
        <v>0</v>
      </c>
      <c r="M4762" s="787">
        <v>10</v>
      </c>
      <c r="N4762" s="787">
        <v>0</v>
      </c>
      <c r="O4762" s="788">
        <v>41858</v>
      </c>
    </row>
    <row r="4763" spans="1:15" x14ac:dyDescent="0.25">
      <c r="A4763" s="786" t="s">
        <v>9176</v>
      </c>
      <c r="B4763" s="787" t="s">
        <v>9160</v>
      </c>
      <c r="C4763" s="787" t="s">
        <v>9179</v>
      </c>
      <c r="D4763" s="787">
        <v>0</v>
      </c>
      <c r="E4763" s="787">
        <v>0</v>
      </c>
      <c r="H4763" s="787">
        <v>1</v>
      </c>
      <c r="J4763" s="788">
        <v>37641</v>
      </c>
      <c r="L4763" s="787">
        <v>0</v>
      </c>
      <c r="M4763" s="787">
        <v>10</v>
      </c>
      <c r="N4763" s="787">
        <v>0</v>
      </c>
      <c r="O4763" s="788">
        <v>41858</v>
      </c>
    </row>
    <row r="4764" spans="1:15" x14ac:dyDescent="0.25">
      <c r="A4764" s="786" t="s">
        <v>9180</v>
      </c>
      <c r="B4764" s="787">
        <v>4</v>
      </c>
      <c r="C4764" s="787" t="s">
        <v>9181</v>
      </c>
      <c r="D4764" s="787">
        <v>0</v>
      </c>
      <c r="E4764" s="787">
        <v>0</v>
      </c>
      <c r="H4764" s="787">
        <v>1</v>
      </c>
      <c r="J4764" s="788">
        <v>37641</v>
      </c>
      <c r="L4764" s="787">
        <v>0</v>
      </c>
      <c r="M4764" s="787">
        <v>10</v>
      </c>
      <c r="N4764" s="787">
        <v>0</v>
      </c>
      <c r="O4764" s="788">
        <v>41858</v>
      </c>
    </row>
    <row r="4765" spans="1:15" x14ac:dyDescent="0.25">
      <c r="A4765" s="786" t="s">
        <v>9180</v>
      </c>
      <c r="B4765" s="787" t="s">
        <v>9164</v>
      </c>
      <c r="C4765" s="787" t="s">
        <v>9182</v>
      </c>
      <c r="D4765" s="787">
        <v>0</v>
      </c>
      <c r="E4765" s="787">
        <v>0</v>
      </c>
      <c r="H4765" s="787">
        <v>1</v>
      </c>
      <c r="J4765" s="788">
        <v>37641</v>
      </c>
      <c r="L4765" s="787">
        <v>0</v>
      </c>
      <c r="M4765" s="787">
        <v>10</v>
      </c>
      <c r="N4765" s="787">
        <v>0</v>
      </c>
      <c r="O4765" s="788">
        <v>41858</v>
      </c>
    </row>
    <row r="4766" spans="1:15" x14ac:dyDescent="0.25">
      <c r="A4766" s="786" t="s">
        <v>9183</v>
      </c>
      <c r="B4766" s="787">
        <v>4</v>
      </c>
      <c r="C4766" s="787" t="s">
        <v>9184</v>
      </c>
      <c r="D4766" s="787">
        <v>0</v>
      </c>
      <c r="E4766" s="787">
        <v>0</v>
      </c>
      <c r="H4766" s="787">
        <v>1</v>
      </c>
      <c r="J4766" s="788">
        <v>37641</v>
      </c>
      <c r="L4766" s="787">
        <v>0</v>
      </c>
      <c r="M4766" s="787">
        <v>10</v>
      </c>
      <c r="N4766" s="787">
        <v>0</v>
      </c>
      <c r="O4766" s="788">
        <v>41858</v>
      </c>
    </row>
    <row r="4767" spans="1:15" x14ac:dyDescent="0.25">
      <c r="A4767" s="786" t="s">
        <v>9183</v>
      </c>
      <c r="B4767" s="787" t="s">
        <v>9164</v>
      </c>
      <c r="C4767" s="787" t="s">
        <v>9185</v>
      </c>
      <c r="D4767" s="787">
        <v>0</v>
      </c>
      <c r="E4767" s="787">
        <v>0</v>
      </c>
      <c r="H4767" s="787">
        <v>1</v>
      </c>
      <c r="J4767" s="788">
        <v>37641</v>
      </c>
      <c r="L4767" s="787">
        <v>0</v>
      </c>
      <c r="M4767" s="787">
        <v>10</v>
      </c>
      <c r="N4767" s="787">
        <v>0</v>
      </c>
      <c r="O4767" s="788">
        <v>41858</v>
      </c>
    </row>
    <row r="4768" spans="1:15" x14ac:dyDescent="0.25">
      <c r="A4768" s="786" t="s">
        <v>9186</v>
      </c>
      <c r="B4768" s="787">
        <v>4</v>
      </c>
      <c r="C4768" s="787" t="s">
        <v>9187</v>
      </c>
      <c r="D4768" s="787">
        <v>0</v>
      </c>
      <c r="E4768" s="787">
        <v>0</v>
      </c>
      <c r="H4768" s="787">
        <v>1</v>
      </c>
      <c r="J4768" s="788">
        <v>37641</v>
      </c>
      <c r="L4768" s="787">
        <v>0</v>
      </c>
      <c r="M4768" s="787">
        <v>10</v>
      </c>
      <c r="N4768" s="787">
        <v>0</v>
      </c>
      <c r="O4768" s="788">
        <v>42127</v>
      </c>
    </row>
    <row r="4769" spans="1:15" x14ac:dyDescent="0.25">
      <c r="A4769" s="786" t="s">
        <v>9186</v>
      </c>
      <c r="B4769" s="787" t="s">
        <v>9164</v>
      </c>
      <c r="C4769" s="787" t="s">
        <v>9188</v>
      </c>
      <c r="D4769" s="787">
        <v>0</v>
      </c>
      <c r="E4769" s="787">
        <v>0</v>
      </c>
      <c r="H4769" s="787">
        <v>1</v>
      </c>
      <c r="J4769" s="788">
        <v>37641</v>
      </c>
      <c r="L4769" s="787">
        <v>0</v>
      </c>
      <c r="M4769" s="787">
        <v>10</v>
      </c>
      <c r="N4769" s="787">
        <v>0</v>
      </c>
      <c r="O4769" s="788">
        <v>41858</v>
      </c>
    </row>
    <row r="4770" spans="1:15" x14ac:dyDescent="0.25">
      <c r="A4770" s="786" t="s">
        <v>9189</v>
      </c>
      <c r="B4770" s="787">
        <v>4</v>
      </c>
      <c r="C4770" s="787" t="s">
        <v>9190</v>
      </c>
      <c r="D4770" s="787">
        <v>0</v>
      </c>
      <c r="E4770" s="787">
        <v>0</v>
      </c>
      <c r="H4770" s="787">
        <v>1</v>
      </c>
      <c r="J4770" s="788">
        <v>37641</v>
      </c>
      <c r="L4770" s="787">
        <v>0</v>
      </c>
      <c r="M4770" s="787">
        <v>10</v>
      </c>
      <c r="N4770" s="787">
        <v>0</v>
      </c>
      <c r="O4770" s="788">
        <v>42127</v>
      </c>
    </row>
    <row r="4771" spans="1:15" x14ac:dyDescent="0.25">
      <c r="A4771" s="786" t="s">
        <v>9189</v>
      </c>
      <c r="B4771" s="787" t="s">
        <v>7193</v>
      </c>
      <c r="C4771" s="787" t="s">
        <v>9191</v>
      </c>
      <c r="D4771" s="787">
        <v>0</v>
      </c>
      <c r="E4771" s="787">
        <v>0</v>
      </c>
      <c r="H4771" s="787">
        <v>1</v>
      </c>
      <c r="J4771" s="788">
        <v>37641</v>
      </c>
      <c r="L4771" s="787">
        <v>0</v>
      </c>
      <c r="M4771" s="787">
        <v>10</v>
      </c>
      <c r="N4771" s="787">
        <v>0</v>
      </c>
      <c r="O4771" s="788">
        <v>41858</v>
      </c>
    </row>
    <row r="4772" spans="1:15" x14ac:dyDescent="0.25">
      <c r="A4772" s="786" t="s">
        <v>9189</v>
      </c>
      <c r="B4772" s="787" t="s">
        <v>9160</v>
      </c>
      <c r="C4772" s="787" t="s">
        <v>9192</v>
      </c>
      <c r="D4772" s="787">
        <v>0</v>
      </c>
      <c r="E4772" s="787">
        <v>0</v>
      </c>
      <c r="H4772" s="787">
        <v>1</v>
      </c>
      <c r="J4772" s="788">
        <v>37641</v>
      </c>
      <c r="L4772" s="787">
        <v>0</v>
      </c>
      <c r="M4772" s="787">
        <v>10</v>
      </c>
      <c r="N4772" s="787">
        <v>0</v>
      </c>
      <c r="O4772" s="788">
        <v>41858</v>
      </c>
    </row>
    <row r="4773" spans="1:15" x14ac:dyDescent="0.25">
      <c r="A4773" s="786" t="s">
        <v>9193</v>
      </c>
      <c r="B4773" s="787">
        <v>4</v>
      </c>
      <c r="C4773" s="787" t="s">
        <v>9194</v>
      </c>
      <c r="D4773" s="787">
        <v>0</v>
      </c>
      <c r="E4773" s="787">
        <v>0</v>
      </c>
      <c r="H4773" s="787">
        <v>1</v>
      </c>
      <c r="J4773" s="788">
        <v>37641</v>
      </c>
      <c r="L4773" s="787">
        <v>0</v>
      </c>
      <c r="M4773" s="787">
        <v>10</v>
      </c>
      <c r="N4773" s="787">
        <v>0</v>
      </c>
      <c r="O4773" s="788">
        <v>41858</v>
      </c>
    </row>
    <row r="4774" spans="1:15" x14ac:dyDescent="0.25">
      <c r="A4774" s="786" t="s">
        <v>9195</v>
      </c>
      <c r="B4774" s="787">
        <v>4</v>
      </c>
      <c r="C4774" s="787" t="s">
        <v>9196</v>
      </c>
      <c r="D4774" s="787">
        <v>0</v>
      </c>
      <c r="E4774" s="787">
        <v>0</v>
      </c>
      <c r="H4774" s="787">
        <v>1</v>
      </c>
      <c r="J4774" s="788">
        <v>37641</v>
      </c>
      <c r="L4774" s="787">
        <v>0</v>
      </c>
      <c r="M4774" s="787">
        <v>10</v>
      </c>
      <c r="N4774" s="787">
        <v>0</v>
      </c>
      <c r="O4774" s="788">
        <v>42127</v>
      </c>
    </row>
    <row r="4775" spans="1:15" x14ac:dyDescent="0.25">
      <c r="A4775" s="786" t="s">
        <v>9197</v>
      </c>
      <c r="B4775" s="787">
        <v>4</v>
      </c>
      <c r="C4775" s="787" t="s">
        <v>9198</v>
      </c>
      <c r="D4775" s="787">
        <v>0</v>
      </c>
      <c r="E4775" s="787">
        <v>0</v>
      </c>
      <c r="H4775" s="787">
        <v>1</v>
      </c>
      <c r="J4775" s="788">
        <v>37641</v>
      </c>
      <c r="L4775" s="787">
        <v>0</v>
      </c>
      <c r="M4775" s="787">
        <v>10</v>
      </c>
      <c r="N4775" s="787">
        <v>0</v>
      </c>
      <c r="O4775" s="788">
        <v>42127</v>
      </c>
    </row>
    <row r="4776" spans="1:15" x14ac:dyDescent="0.25">
      <c r="A4776" s="786" t="s">
        <v>9199</v>
      </c>
      <c r="B4776" s="787">
        <v>4</v>
      </c>
      <c r="C4776" s="787" t="s">
        <v>9200</v>
      </c>
      <c r="D4776" s="787">
        <v>0</v>
      </c>
      <c r="E4776" s="787">
        <v>0</v>
      </c>
      <c r="H4776" s="787">
        <v>1</v>
      </c>
      <c r="J4776" s="788">
        <v>37641</v>
      </c>
      <c r="L4776" s="787">
        <v>0</v>
      </c>
      <c r="M4776" s="787">
        <v>10</v>
      </c>
      <c r="N4776" s="787">
        <v>0</v>
      </c>
      <c r="O4776" s="788">
        <v>42127</v>
      </c>
    </row>
    <row r="4777" spans="1:15" x14ac:dyDescent="0.25">
      <c r="A4777" s="786" t="s">
        <v>9201</v>
      </c>
      <c r="B4777" s="787">
        <v>4</v>
      </c>
      <c r="C4777" s="787" t="s">
        <v>9202</v>
      </c>
      <c r="D4777" s="787">
        <v>0</v>
      </c>
      <c r="E4777" s="787">
        <v>0</v>
      </c>
      <c r="H4777" s="787">
        <v>1</v>
      </c>
      <c r="J4777" s="788">
        <v>37641</v>
      </c>
      <c r="L4777" s="787">
        <v>0</v>
      </c>
      <c r="M4777" s="787">
        <v>10</v>
      </c>
      <c r="N4777" s="787">
        <v>0</v>
      </c>
      <c r="O4777" s="788">
        <v>41858</v>
      </c>
    </row>
    <row r="4778" spans="1:15" x14ac:dyDescent="0.25">
      <c r="A4778" s="786" t="s">
        <v>9201</v>
      </c>
      <c r="B4778" s="787" t="s">
        <v>7193</v>
      </c>
      <c r="C4778" s="787" t="s">
        <v>9203</v>
      </c>
      <c r="D4778" s="787">
        <v>0</v>
      </c>
      <c r="E4778" s="787">
        <v>0</v>
      </c>
      <c r="H4778" s="787">
        <v>1</v>
      </c>
      <c r="J4778" s="788">
        <v>37641</v>
      </c>
      <c r="L4778" s="787">
        <v>0</v>
      </c>
      <c r="M4778" s="787">
        <v>10</v>
      </c>
      <c r="N4778" s="787">
        <v>0</v>
      </c>
      <c r="O4778" s="788">
        <v>41858</v>
      </c>
    </row>
    <row r="4779" spans="1:15" x14ac:dyDescent="0.25">
      <c r="A4779" s="786" t="s">
        <v>9201</v>
      </c>
      <c r="B4779" s="787" t="s">
        <v>9160</v>
      </c>
      <c r="C4779" s="787" t="s">
        <v>9204</v>
      </c>
      <c r="D4779" s="787">
        <v>0</v>
      </c>
      <c r="E4779" s="787">
        <v>0</v>
      </c>
      <c r="H4779" s="787">
        <v>1</v>
      </c>
      <c r="J4779" s="788">
        <v>37641</v>
      </c>
      <c r="L4779" s="787">
        <v>0</v>
      </c>
      <c r="M4779" s="787">
        <v>10</v>
      </c>
      <c r="N4779" s="787">
        <v>0</v>
      </c>
      <c r="O4779" s="788">
        <v>41858</v>
      </c>
    </row>
    <row r="4780" spans="1:15" x14ac:dyDescent="0.25">
      <c r="A4780" s="786" t="s">
        <v>9205</v>
      </c>
      <c r="B4780" s="787">
        <v>4</v>
      </c>
      <c r="C4780" s="787" t="s">
        <v>9206</v>
      </c>
      <c r="D4780" s="787">
        <v>0</v>
      </c>
      <c r="E4780" s="787">
        <v>0</v>
      </c>
      <c r="H4780" s="787">
        <v>1</v>
      </c>
      <c r="J4780" s="788">
        <v>37641</v>
      </c>
      <c r="L4780" s="787">
        <v>0</v>
      </c>
      <c r="M4780" s="787">
        <v>10</v>
      </c>
      <c r="N4780" s="787">
        <v>0</v>
      </c>
      <c r="O4780" s="788">
        <v>41858</v>
      </c>
    </row>
    <row r="4781" spans="1:15" x14ac:dyDescent="0.25">
      <c r="A4781" s="786" t="s">
        <v>9205</v>
      </c>
      <c r="B4781" s="787" t="s">
        <v>9164</v>
      </c>
      <c r="C4781" s="787" t="s">
        <v>9207</v>
      </c>
      <c r="D4781" s="787">
        <v>0</v>
      </c>
      <c r="E4781" s="787">
        <v>0</v>
      </c>
      <c r="H4781" s="787">
        <v>1</v>
      </c>
      <c r="J4781" s="788">
        <v>37641</v>
      </c>
      <c r="L4781" s="787">
        <v>0</v>
      </c>
      <c r="M4781" s="787">
        <v>10</v>
      </c>
      <c r="N4781" s="787">
        <v>0</v>
      </c>
      <c r="O4781" s="788">
        <v>41858</v>
      </c>
    </row>
    <row r="4782" spans="1:15" x14ac:dyDescent="0.25">
      <c r="A4782" s="786" t="s">
        <v>9208</v>
      </c>
      <c r="B4782" s="787">
        <v>4</v>
      </c>
      <c r="C4782" s="787" t="s">
        <v>9209</v>
      </c>
      <c r="D4782" s="787">
        <v>0</v>
      </c>
      <c r="E4782" s="787">
        <v>0</v>
      </c>
      <c r="H4782" s="787">
        <v>1</v>
      </c>
      <c r="J4782" s="788">
        <v>37641</v>
      </c>
      <c r="L4782" s="787">
        <v>0</v>
      </c>
      <c r="M4782" s="787">
        <v>10</v>
      </c>
      <c r="N4782" s="787">
        <v>0</v>
      </c>
      <c r="O4782" s="788">
        <v>41858</v>
      </c>
    </row>
    <row r="4783" spans="1:15" x14ac:dyDescent="0.25">
      <c r="A4783" s="786" t="s">
        <v>9208</v>
      </c>
      <c r="B4783" s="787" t="s">
        <v>9164</v>
      </c>
      <c r="C4783" s="787" t="s">
        <v>9210</v>
      </c>
      <c r="D4783" s="787">
        <v>0</v>
      </c>
      <c r="E4783" s="787">
        <v>0</v>
      </c>
      <c r="H4783" s="787">
        <v>1</v>
      </c>
      <c r="J4783" s="788">
        <v>37641</v>
      </c>
      <c r="L4783" s="787">
        <v>0</v>
      </c>
      <c r="M4783" s="787">
        <v>10</v>
      </c>
      <c r="N4783" s="787">
        <v>0</v>
      </c>
      <c r="O4783" s="788">
        <v>41858</v>
      </c>
    </row>
    <row r="4784" spans="1:15" x14ac:dyDescent="0.25">
      <c r="A4784" s="786" t="s">
        <v>9211</v>
      </c>
      <c r="B4784" s="787">
        <v>4</v>
      </c>
      <c r="C4784" s="787" t="s">
        <v>9212</v>
      </c>
      <c r="D4784" s="787">
        <v>0</v>
      </c>
      <c r="E4784" s="787">
        <v>0</v>
      </c>
      <c r="H4784" s="787">
        <v>1</v>
      </c>
      <c r="J4784" s="788">
        <v>37641</v>
      </c>
      <c r="L4784" s="787">
        <v>0</v>
      </c>
      <c r="M4784" s="787">
        <v>10</v>
      </c>
      <c r="N4784" s="787">
        <v>0</v>
      </c>
      <c r="O4784" s="788">
        <v>41858</v>
      </c>
    </row>
    <row r="4785" spans="1:15" x14ac:dyDescent="0.25">
      <c r="A4785" s="786" t="s">
        <v>9211</v>
      </c>
      <c r="B4785" s="787" t="s">
        <v>9164</v>
      </c>
      <c r="C4785" s="787" t="s">
        <v>9213</v>
      </c>
      <c r="D4785" s="787">
        <v>0</v>
      </c>
      <c r="E4785" s="787">
        <v>0</v>
      </c>
      <c r="H4785" s="787">
        <v>1</v>
      </c>
      <c r="J4785" s="788">
        <v>37641</v>
      </c>
      <c r="L4785" s="787">
        <v>0</v>
      </c>
      <c r="M4785" s="787">
        <v>10</v>
      </c>
      <c r="N4785" s="787">
        <v>0</v>
      </c>
      <c r="O4785" s="788">
        <v>41858</v>
      </c>
    </row>
    <row r="4786" spans="1:15" x14ac:dyDescent="0.25">
      <c r="A4786" s="786" t="s">
        <v>9214</v>
      </c>
      <c r="B4786" s="787">
        <v>4</v>
      </c>
      <c r="C4786" s="787" t="s">
        <v>9215</v>
      </c>
      <c r="D4786" s="787">
        <v>0</v>
      </c>
      <c r="E4786" s="787">
        <v>0</v>
      </c>
      <c r="H4786" s="787">
        <v>1</v>
      </c>
      <c r="J4786" s="788">
        <v>37641</v>
      </c>
      <c r="L4786" s="787">
        <v>0</v>
      </c>
      <c r="M4786" s="787">
        <v>10</v>
      </c>
      <c r="N4786" s="787">
        <v>0</v>
      </c>
      <c r="O4786" s="788">
        <v>41858</v>
      </c>
    </row>
    <row r="4787" spans="1:15" x14ac:dyDescent="0.25">
      <c r="A4787" s="786" t="s">
        <v>9214</v>
      </c>
      <c r="B4787" s="787" t="s">
        <v>7193</v>
      </c>
      <c r="C4787" s="787" t="s">
        <v>9216</v>
      </c>
      <c r="D4787" s="787">
        <v>0</v>
      </c>
      <c r="E4787" s="787">
        <v>0</v>
      </c>
      <c r="H4787" s="787">
        <v>1</v>
      </c>
      <c r="J4787" s="788">
        <v>37641</v>
      </c>
      <c r="L4787" s="787">
        <v>0</v>
      </c>
      <c r="M4787" s="787">
        <v>10</v>
      </c>
      <c r="N4787" s="787">
        <v>0</v>
      </c>
      <c r="O4787" s="788">
        <v>41858</v>
      </c>
    </row>
    <row r="4788" spans="1:15" x14ac:dyDescent="0.25">
      <c r="A4788" s="786" t="s">
        <v>9214</v>
      </c>
      <c r="B4788" s="787" t="s">
        <v>9160</v>
      </c>
      <c r="C4788" s="787" t="s">
        <v>9217</v>
      </c>
      <c r="D4788" s="787">
        <v>0</v>
      </c>
      <c r="E4788" s="787">
        <v>0</v>
      </c>
      <c r="H4788" s="787">
        <v>1</v>
      </c>
      <c r="J4788" s="788">
        <v>37641</v>
      </c>
      <c r="L4788" s="787">
        <v>0</v>
      </c>
      <c r="M4788" s="787">
        <v>10</v>
      </c>
      <c r="N4788" s="787">
        <v>0</v>
      </c>
      <c r="O4788" s="788">
        <v>41858</v>
      </c>
    </row>
    <row r="4789" spans="1:15" x14ac:dyDescent="0.25">
      <c r="A4789" s="786" t="s">
        <v>9218</v>
      </c>
      <c r="B4789" s="787">
        <v>4</v>
      </c>
      <c r="C4789" s="787" t="s">
        <v>9219</v>
      </c>
      <c r="D4789" s="787">
        <v>0</v>
      </c>
      <c r="E4789" s="787">
        <v>0</v>
      </c>
      <c r="H4789" s="787">
        <v>1</v>
      </c>
      <c r="J4789" s="788">
        <v>37641</v>
      </c>
      <c r="L4789" s="787">
        <v>0</v>
      </c>
      <c r="M4789" s="787">
        <v>10</v>
      </c>
      <c r="N4789" s="787">
        <v>0</v>
      </c>
      <c r="O4789" s="788">
        <v>41858</v>
      </c>
    </row>
    <row r="4790" spans="1:15" x14ac:dyDescent="0.25">
      <c r="A4790" s="786" t="s">
        <v>9218</v>
      </c>
      <c r="B4790" s="787" t="s">
        <v>7193</v>
      </c>
      <c r="C4790" s="787" t="s">
        <v>9220</v>
      </c>
      <c r="D4790" s="787">
        <v>0</v>
      </c>
      <c r="E4790" s="787">
        <v>0</v>
      </c>
      <c r="H4790" s="787">
        <v>1</v>
      </c>
      <c r="J4790" s="788">
        <v>37641</v>
      </c>
      <c r="L4790" s="787">
        <v>0</v>
      </c>
      <c r="M4790" s="787">
        <v>10</v>
      </c>
      <c r="N4790" s="787">
        <v>0</v>
      </c>
      <c r="O4790" s="788">
        <v>41858</v>
      </c>
    </row>
    <row r="4791" spans="1:15" x14ac:dyDescent="0.25">
      <c r="A4791" s="786" t="s">
        <v>9218</v>
      </c>
      <c r="B4791" s="787" t="s">
        <v>9160</v>
      </c>
      <c r="C4791" s="787" t="s">
        <v>9221</v>
      </c>
      <c r="D4791" s="787">
        <v>0</v>
      </c>
      <c r="E4791" s="787">
        <v>0</v>
      </c>
      <c r="H4791" s="787">
        <v>1</v>
      </c>
      <c r="J4791" s="788">
        <v>37641</v>
      </c>
      <c r="L4791" s="787">
        <v>0</v>
      </c>
      <c r="M4791" s="787">
        <v>10</v>
      </c>
      <c r="N4791" s="787">
        <v>0</v>
      </c>
      <c r="O4791" s="788">
        <v>41858</v>
      </c>
    </row>
    <row r="4792" spans="1:15" x14ac:dyDescent="0.25">
      <c r="A4792" s="786" t="s">
        <v>9222</v>
      </c>
      <c r="B4792" s="787">
        <v>4</v>
      </c>
      <c r="C4792" s="787" t="s">
        <v>9223</v>
      </c>
      <c r="D4792" s="787">
        <v>0</v>
      </c>
      <c r="E4792" s="787">
        <v>0</v>
      </c>
      <c r="H4792" s="787">
        <v>1</v>
      </c>
      <c r="J4792" s="788">
        <v>37641</v>
      </c>
      <c r="L4792" s="787">
        <v>0</v>
      </c>
      <c r="M4792" s="787">
        <v>10</v>
      </c>
      <c r="N4792" s="787">
        <v>0</v>
      </c>
      <c r="O4792" s="788">
        <v>41858</v>
      </c>
    </row>
    <row r="4793" spans="1:15" x14ac:dyDescent="0.25">
      <c r="A4793" s="786" t="s">
        <v>9222</v>
      </c>
      <c r="B4793" s="787" t="s">
        <v>9164</v>
      </c>
      <c r="C4793" s="787" t="s">
        <v>9224</v>
      </c>
      <c r="D4793" s="787">
        <v>0</v>
      </c>
      <c r="E4793" s="787">
        <v>0</v>
      </c>
      <c r="H4793" s="787">
        <v>1</v>
      </c>
      <c r="J4793" s="788">
        <v>37641</v>
      </c>
      <c r="L4793" s="787">
        <v>0</v>
      </c>
      <c r="M4793" s="787">
        <v>10</v>
      </c>
      <c r="N4793" s="787">
        <v>0</v>
      </c>
      <c r="O4793" s="788">
        <v>41858</v>
      </c>
    </row>
    <row r="4794" spans="1:15" x14ac:dyDescent="0.25">
      <c r="A4794" s="786" t="s">
        <v>9225</v>
      </c>
      <c r="B4794" s="787">
        <v>4</v>
      </c>
      <c r="C4794" s="787" t="s">
        <v>9226</v>
      </c>
      <c r="D4794" s="787">
        <v>0</v>
      </c>
      <c r="E4794" s="787">
        <v>0</v>
      </c>
      <c r="H4794" s="787">
        <v>1</v>
      </c>
      <c r="J4794" s="788">
        <v>37641</v>
      </c>
      <c r="L4794" s="787">
        <v>0</v>
      </c>
      <c r="M4794" s="787">
        <v>10</v>
      </c>
      <c r="N4794" s="787">
        <v>0</v>
      </c>
      <c r="O4794" s="788">
        <v>41858</v>
      </c>
    </row>
    <row r="4795" spans="1:15" x14ac:dyDescent="0.25">
      <c r="A4795" s="786" t="s">
        <v>9225</v>
      </c>
      <c r="B4795" s="787" t="s">
        <v>9164</v>
      </c>
      <c r="C4795" s="787" t="s">
        <v>9227</v>
      </c>
      <c r="D4795" s="787">
        <v>0</v>
      </c>
      <c r="E4795" s="787">
        <v>0</v>
      </c>
      <c r="H4795" s="787">
        <v>1</v>
      </c>
      <c r="J4795" s="788">
        <v>37641</v>
      </c>
      <c r="L4795" s="787">
        <v>0</v>
      </c>
      <c r="M4795" s="787">
        <v>10</v>
      </c>
      <c r="N4795" s="787">
        <v>0</v>
      </c>
      <c r="O4795" s="788">
        <v>41858</v>
      </c>
    </row>
    <row r="4796" spans="1:15" x14ac:dyDescent="0.25">
      <c r="A4796" s="786" t="s">
        <v>9228</v>
      </c>
      <c r="B4796" s="787">
        <v>4</v>
      </c>
      <c r="C4796" s="787" t="s">
        <v>9229</v>
      </c>
      <c r="D4796" s="787">
        <v>0</v>
      </c>
      <c r="E4796" s="787">
        <v>0</v>
      </c>
      <c r="H4796" s="787">
        <v>1</v>
      </c>
      <c r="J4796" s="788">
        <v>37641</v>
      </c>
      <c r="L4796" s="787">
        <v>0</v>
      </c>
      <c r="M4796" s="787">
        <v>10</v>
      </c>
      <c r="N4796" s="787">
        <v>0</v>
      </c>
      <c r="O4796" s="788">
        <v>41858</v>
      </c>
    </row>
    <row r="4797" spans="1:15" x14ac:dyDescent="0.25">
      <c r="A4797" s="786" t="s">
        <v>9228</v>
      </c>
      <c r="B4797" s="787" t="s">
        <v>9164</v>
      </c>
      <c r="C4797" s="787" t="s">
        <v>9230</v>
      </c>
      <c r="D4797" s="787">
        <v>0</v>
      </c>
      <c r="E4797" s="787">
        <v>0</v>
      </c>
      <c r="H4797" s="787">
        <v>1</v>
      </c>
      <c r="J4797" s="788">
        <v>37641</v>
      </c>
      <c r="L4797" s="787">
        <v>0</v>
      </c>
      <c r="M4797" s="787">
        <v>10</v>
      </c>
      <c r="N4797" s="787">
        <v>0</v>
      </c>
      <c r="O4797" s="788">
        <v>41858</v>
      </c>
    </row>
    <row r="4798" spans="1:15" x14ac:dyDescent="0.25">
      <c r="A4798" s="786" t="s">
        <v>9231</v>
      </c>
      <c r="B4798" s="787">
        <v>4</v>
      </c>
      <c r="C4798" s="787" t="s">
        <v>9232</v>
      </c>
      <c r="D4798" s="787">
        <v>0</v>
      </c>
      <c r="E4798" s="787">
        <v>0</v>
      </c>
      <c r="H4798" s="787">
        <v>1</v>
      </c>
      <c r="J4798" s="788">
        <v>37641</v>
      </c>
      <c r="L4798" s="787">
        <v>0</v>
      </c>
      <c r="M4798" s="787">
        <v>10</v>
      </c>
      <c r="N4798" s="787">
        <v>0</v>
      </c>
      <c r="O4798" s="788">
        <v>41858</v>
      </c>
    </row>
    <row r="4799" spans="1:15" x14ac:dyDescent="0.25">
      <c r="A4799" s="786" t="s">
        <v>9231</v>
      </c>
      <c r="B4799" s="787" t="s">
        <v>7193</v>
      </c>
      <c r="C4799" s="787" t="s">
        <v>9233</v>
      </c>
      <c r="D4799" s="787">
        <v>0</v>
      </c>
      <c r="E4799" s="787">
        <v>0</v>
      </c>
      <c r="H4799" s="787">
        <v>1</v>
      </c>
      <c r="J4799" s="788">
        <v>37641</v>
      </c>
      <c r="L4799" s="787">
        <v>0</v>
      </c>
      <c r="M4799" s="787">
        <v>10</v>
      </c>
      <c r="N4799" s="787">
        <v>0</v>
      </c>
      <c r="O4799" s="788">
        <v>41858</v>
      </c>
    </row>
    <row r="4800" spans="1:15" x14ac:dyDescent="0.25">
      <c r="A4800" s="786" t="s">
        <v>9231</v>
      </c>
      <c r="B4800" s="787" t="s">
        <v>9160</v>
      </c>
      <c r="C4800" s="787" t="s">
        <v>9234</v>
      </c>
      <c r="D4800" s="787">
        <v>0</v>
      </c>
      <c r="E4800" s="787">
        <v>0</v>
      </c>
      <c r="H4800" s="787">
        <v>1</v>
      </c>
      <c r="J4800" s="788">
        <v>37641</v>
      </c>
      <c r="L4800" s="787">
        <v>0</v>
      </c>
      <c r="M4800" s="787">
        <v>10</v>
      </c>
      <c r="N4800" s="787">
        <v>0</v>
      </c>
      <c r="O4800" s="788">
        <v>41858</v>
      </c>
    </row>
    <row r="4801" spans="1:15" x14ac:dyDescent="0.25">
      <c r="A4801" s="786" t="s">
        <v>9235</v>
      </c>
      <c r="B4801" s="787">
        <v>4</v>
      </c>
      <c r="C4801" s="787" t="s">
        <v>9236</v>
      </c>
      <c r="D4801" s="787">
        <v>0</v>
      </c>
      <c r="E4801" s="787">
        <v>0</v>
      </c>
      <c r="H4801" s="787">
        <v>1</v>
      </c>
      <c r="J4801" s="788">
        <v>37641</v>
      </c>
      <c r="L4801" s="787">
        <v>0</v>
      </c>
      <c r="M4801" s="787">
        <v>10</v>
      </c>
      <c r="N4801" s="787">
        <v>0</v>
      </c>
      <c r="O4801" s="788">
        <v>41858</v>
      </c>
    </row>
    <row r="4802" spans="1:15" x14ac:dyDescent="0.25">
      <c r="A4802" s="786" t="s">
        <v>9237</v>
      </c>
      <c r="B4802" s="787">
        <v>4</v>
      </c>
      <c r="C4802" s="787" t="s">
        <v>9238</v>
      </c>
      <c r="D4802" s="787">
        <v>0</v>
      </c>
      <c r="E4802" s="787">
        <v>0</v>
      </c>
      <c r="H4802" s="787">
        <v>1</v>
      </c>
      <c r="J4802" s="788">
        <v>37641</v>
      </c>
      <c r="L4802" s="787">
        <v>0</v>
      </c>
      <c r="M4802" s="787">
        <v>10</v>
      </c>
      <c r="N4802" s="787">
        <v>0</v>
      </c>
      <c r="O4802" s="788">
        <v>41858</v>
      </c>
    </row>
    <row r="4803" spans="1:15" x14ac:dyDescent="0.25">
      <c r="A4803" s="786" t="s">
        <v>9239</v>
      </c>
      <c r="B4803" s="787">
        <v>4</v>
      </c>
      <c r="C4803" s="787" t="s">
        <v>9240</v>
      </c>
      <c r="D4803" s="787">
        <v>0</v>
      </c>
      <c r="E4803" s="787">
        <v>0</v>
      </c>
      <c r="H4803" s="787">
        <v>1</v>
      </c>
      <c r="J4803" s="788">
        <v>37641</v>
      </c>
      <c r="L4803" s="787">
        <v>0</v>
      </c>
      <c r="M4803" s="787">
        <v>10</v>
      </c>
      <c r="N4803" s="787">
        <v>0</v>
      </c>
      <c r="O4803" s="788">
        <v>41858</v>
      </c>
    </row>
    <row r="4804" spans="1:15" x14ac:dyDescent="0.25">
      <c r="A4804" s="786" t="s">
        <v>9241</v>
      </c>
      <c r="B4804" s="787">
        <v>4</v>
      </c>
      <c r="C4804" s="787" t="s">
        <v>9242</v>
      </c>
      <c r="D4804" s="787">
        <v>0</v>
      </c>
      <c r="E4804" s="787">
        <v>0</v>
      </c>
      <c r="H4804" s="787">
        <v>1</v>
      </c>
      <c r="J4804" s="788">
        <v>37641</v>
      </c>
      <c r="L4804" s="787">
        <v>0</v>
      </c>
      <c r="M4804" s="787">
        <v>10</v>
      </c>
      <c r="N4804" s="787">
        <v>0</v>
      </c>
      <c r="O4804" s="788">
        <v>41858</v>
      </c>
    </row>
    <row r="4805" spans="1:15" x14ac:dyDescent="0.25">
      <c r="A4805" s="786" t="s">
        <v>9243</v>
      </c>
      <c r="B4805" s="787">
        <v>4</v>
      </c>
      <c r="C4805" s="787" t="s">
        <v>9244</v>
      </c>
      <c r="D4805" s="787">
        <v>0</v>
      </c>
      <c r="E4805" s="787">
        <v>0</v>
      </c>
      <c r="H4805" s="787">
        <v>1</v>
      </c>
      <c r="J4805" s="788">
        <v>37641</v>
      </c>
      <c r="L4805" s="787">
        <v>0</v>
      </c>
      <c r="M4805" s="787">
        <v>10</v>
      </c>
      <c r="N4805" s="787">
        <v>0</v>
      </c>
      <c r="O4805" s="788">
        <v>41858</v>
      </c>
    </row>
    <row r="4806" spans="1:15" x14ac:dyDescent="0.25">
      <c r="A4806" s="786" t="s">
        <v>9243</v>
      </c>
      <c r="B4806" s="787" t="s">
        <v>7193</v>
      </c>
      <c r="C4806" s="787" t="s">
        <v>9245</v>
      </c>
      <c r="D4806" s="787">
        <v>0</v>
      </c>
      <c r="E4806" s="787">
        <v>0</v>
      </c>
      <c r="H4806" s="787">
        <v>1</v>
      </c>
      <c r="J4806" s="788">
        <v>37641</v>
      </c>
      <c r="L4806" s="787">
        <v>0</v>
      </c>
      <c r="M4806" s="787">
        <v>10</v>
      </c>
      <c r="N4806" s="787">
        <v>0</v>
      </c>
      <c r="O4806" s="788">
        <v>41858</v>
      </c>
    </row>
    <row r="4807" spans="1:15" x14ac:dyDescent="0.25">
      <c r="A4807" s="786" t="s">
        <v>9243</v>
      </c>
      <c r="B4807" s="787" t="s">
        <v>9160</v>
      </c>
      <c r="C4807" s="787" t="s">
        <v>9246</v>
      </c>
      <c r="D4807" s="787">
        <v>0</v>
      </c>
      <c r="E4807" s="787">
        <v>0</v>
      </c>
      <c r="H4807" s="787">
        <v>1</v>
      </c>
      <c r="J4807" s="788">
        <v>37641</v>
      </c>
      <c r="L4807" s="787">
        <v>0</v>
      </c>
      <c r="M4807" s="787">
        <v>10</v>
      </c>
      <c r="N4807" s="787">
        <v>0</v>
      </c>
      <c r="O4807" s="788">
        <v>41858</v>
      </c>
    </row>
    <row r="4808" spans="1:15" x14ac:dyDescent="0.25">
      <c r="A4808" s="786" t="s">
        <v>9247</v>
      </c>
      <c r="B4808" s="787">
        <v>4</v>
      </c>
      <c r="C4808" s="787" t="s">
        <v>9248</v>
      </c>
      <c r="D4808" s="787">
        <v>0</v>
      </c>
      <c r="E4808" s="787">
        <v>0</v>
      </c>
      <c r="H4808" s="787">
        <v>1</v>
      </c>
      <c r="J4808" s="788">
        <v>37641</v>
      </c>
      <c r="L4808" s="787">
        <v>0</v>
      </c>
      <c r="M4808" s="787">
        <v>10</v>
      </c>
      <c r="N4808" s="787">
        <v>0</v>
      </c>
      <c r="O4808" s="788">
        <v>41858</v>
      </c>
    </row>
    <row r="4809" spans="1:15" x14ac:dyDescent="0.25">
      <c r="A4809" s="786" t="s">
        <v>9247</v>
      </c>
      <c r="B4809" s="787" t="s">
        <v>9164</v>
      </c>
      <c r="C4809" s="787" t="s">
        <v>9249</v>
      </c>
      <c r="D4809" s="787">
        <v>0</v>
      </c>
      <c r="E4809" s="787">
        <v>0</v>
      </c>
      <c r="H4809" s="787">
        <v>1</v>
      </c>
      <c r="J4809" s="788">
        <v>37641</v>
      </c>
      <c r="L4809" s="787">
        <v>0</v>
      </c>
      <c r="M4809" s="787">
        <v>10</v>
      </c>
      <c r="N4809" s="787">
        <v>0</v>
      </c>
      <c r="O4809" s="788">
        <v>41858</v>
      </c>
    </row>
    <row r="4810" spans="1:15" x14ac:dyDescent="0.25">
      <c r="A4810" s="786" t="s">
        <v>9250</v>
      </c>
      <c r="B4810" s="787">
        <v>4</v>
      </c>
      <c r="C4810" s="787" t="s">
        <v>9251</v>
      </c>
      <c r="D4810" s="787">
        <v>0</v>
      </c>
      <c r="E4810" s="787">
        <v>0</v>
      </c>
      <c r="H4810" s="787">
        <v>1</v>
      </c>
      <c r="J4810" s="788">
        <v>37641</v>
      </c>
      <c r="L4810" s="787">
        <v>0</v>
      </c>
      <c r="M4810" s="787">
        <v>10</v>
      </c>
      <c r="N4810" s="787">
        <v>0</v>
      </c>
      <c r="O4810" s="788">
        <v>41858</v>
      </c>
    </row>
    <row r="4811" spans="1:15" x14ac:dyDescent="0.25">
      <c r="A4811" s="786" t="s">
        <v>9250</v>
      </c>
      <c r="B4811" s="787" t="s">
        <v>9164</v>
      </c>
      <c r="C4811" s="787" t="s">
        <v>9252</v>
      </c>
      <c r="D4811" s="787">
        <v>0</v>
      </c>
      <c r="E4811" s="787">
        <v>0</v>
      </c>
      <c r="H4811" s="787">
        <v>1</v>
      </c>
      <c r="J4811" s="788">
        <v>37641</v>
      </c>
      <c r="L4811" s="787">
        <v>0</v>
      </c>
      <c r="M4811" s="787">
        <v>10</v>
      </c>
      <c r="N4811" s="787">
        <v>0</v>
      </c>
      <c r="O4811" s="788">
        <v>41858</v>
      </c>
    </row>
    <row r="4812" spans="1:15" x14ac:dyDescent="0.25">
      <c r="A4812" s="786" t="s">
        <v>9253</v>
      </c>
      <c r="B4812" s="787">
        <v>4</v>
      </c>
      <c r="C4812" s="787" t="s">
        <v>9254</v>
      </c>
      <c r="D4812" s="787">
        <v>0</v>
      </c>
      <c r="E4812" s="787">
        <v>0</v>
      </c>
      <c r="H4812" s="787">
        <v>1</v>
      </c>
      <c r="J4812" s="788">
        <v>37641</v>
      </c>
      <c r="L4812" s="787">
        <v>0</v>
      </c>
      <c r="M4812" s="787">
        <v>10</v>
      </c>
      <c r="N4812" s="787">
        <v>0</v>
      </c>
      <c r="O4812" s="788">
        <v>42162</v>
      </c>
    </row>
    <row r="4813" spans="1:15" x14ac:dyDescent="0.25">
      <c r="A4813" s="786" t="s">
        <v>9253</v>
      </c>
      <c r="B4813" s="787" t="s">
        <v>9164</v>
      </c>
      <c r="C4813" s="787" t="s">
        <v>9255</v>
      </c>
      <c r="D4813" s="787">
        <v>0</v>
      </c>
      <c r="E4813" s="787">
        <v>0</v>
      </c>
      <c r="H4813" s="787">
        <v>1</v>
      </c>
      <c r="J4813" s="788">
        <v>37641</v>
      </c>
      <c r="L4813" s="787">
        <v>0</v>
      </c>
      <c r="M4813" s="787">
        <v>10</v>
      </c>
      <c r="N4813" s="787">
        <v>0</v>
      </c>
      <c r="O4813" s="788">
        <v>41858</v>
      </c>
    </row>
    <row r="4814" spans="1:15" x14ac:dyDescent="0.25">
      <c r="A4814" s="786" t="s">
        <v>9256</v>
      </c>
      <c r="B4814" s="787">
        <v>4</v>
      </c>
      <c r="C4814" s="787" t="s">
        <v>9257</v>
      </c>
      <c r="D4814" s="787">
        <v>0</v>
      </c>
      <c r="E4814" s="787">
        <v>0</v>
      </c>
      <c r="H4814" s="787">
        <v>1</v>
      </c>
      <c r="J4814" s="788">
        <v>37641</v>
      </c>
      <c r="L4814" s="787">
        <v>0</v>
      </c>
      <c r="M4814" s="787">
        <v>10</v>
      </c>
      <c r="N4814" s="787">
        <v>0</v>
      </c>
      <c r="O4814" s="788">
        <v>42162</v>
      </c>
    </row>
    <row r="4815" spans="1:15" x14ac:dyDescent="0.25">
      <c r="A4815" s="786" t="s">
        <v>9256</v>
      </c>
      <c r="B4815" s="787" t="s">
        <v>7193</v>
      </c>
      <c r="C4815" s="787" t="s">
        <v>9258</v>
      </c>
      <c r="D4815" s="787">
        <v>0</v>
      </c>
      <c r="E4815" s="787">
        <v>0</v>
      </c>
      <c r="H4815" s="787">
        <v>1</v>
      </c>
      <c r="J4815" s="788">
        <v>37641</v>
      </c>
      <c r="L4815" s="787">
        <v>0</v>
      </c>
      <c r="M4815" s="787">
        <v>10</v>
      </c>
      <c r="N4815" s="787">
        <v>0</v>
      </c>
      <c r="O4815" s="788">
        <v>41858</v>
      </c>
    </row>
    <row r="4816" spans="1:15" x14ac:dyDescent="0.25">
      <c r="A4816" s="786" t="s">
        <v>9256</v>
      </c>
      <c r="B4816" s="787" t="s">
        <v>9160</v>
      </c>
      <c r="C4816" s="787" t="s">
        <v>9259</v>
      </c>
      <c r="D4816" s="787">
        <v>0</v>
      </c>
      <c r="E4816" s="787">
        <v>0</v>
      </c>
      <c r="H4816" s="787">
        <v>1</v>
      </c>
      <c r="J4816" s="788">
        <v>37641</v>
      </c>
      <c r="L4816" s="787">
        <v>0</v>
      </c>
      <c r="M4816" s="787">
        <v>10</v>
      </c>
      <c r="N4816" s="787">
        <v>0</v>
      </c>
      <c r="O4816" s="788">
        <v>41858</v>
      </c>
    </row>
    <row r="4817" spans="1:15" x14ac:dyDescent="0.25">
      <c r="A4817" s="786" t="s">
        <v>9260</v>
      </c>
      <c r="B4817" s="787">
        <v>4</v>
      </c>
      <c r="C4817" s="787" t="s">
        <v>9261</v>
      </c>
      <c r="D4817" s="787">
        <v>0</v>
      </c>
      <c r="E4817" s="787">
        <v>0</v>
      </c>
      <c r="H4817" s="787">
        <v>1</v>
      </c>
      <c r="J4817" s="788">
        <v>37641</v>
      </c>
      <c r="L4817" s="787">
        <v>0</v>
      </c>
      <c r="M4817" s="787">
        <v>10</v>
      </c>
      <c r="N4817" s="787">
        <v>0</v>
      </c>
      <c r="O4817" s="788">
        <v>41858</v>
      </c>
    </row>
    <row r="4818" spans="1:15" x14ac:dyDescent="0.25">
      <c r="A4818" s="786" t="s">
        <v>9260</v>
      </c>
      <c r="B4818" s="787" t="s">
        <v>7193</v>
      </c>
      <c r="C4818" s="787" t="s">
        <v>9262</v>
      </c>
      <c r="D4818" s="787">
        <v>0</v>
      </c>
      <c r="E4818" s="787">
        <v>0</v>
      </c>
      <c r="H4818" s="787">
        <v>1</v>
      </c>
      <c r="J4818" s="788">
        <v>37641</v>
      </c>
      <c r="L4818" s="787">
        <v>0</v>
      </c>
      <c r="M4818" s="787">
        <v>10</v>
      </c>
      <c r="N4818" s="787">
        <v>0</v>
      </c>
      <c r="O4818" s="788">
        <v>41858</v>
      </c>
    </row>
    <row r="4819" spans="1:15" x14ac:dyDescent="0.25">
      <c r="A4819" s="786" t="s">
        <v>9260</v>
      </c>
      <c r="B4819" s="787" t="s">
        <v>9160</v>
      </c>
      <c r="C4819" s="787" t="s">
        <v>9263</v>
      </c>
      <c r="D4819" s="787">
        <v>0</v>
      </c>
      <c r="E4819" s="787">
        <v>0</v>
      </c>
      <c r="H4819" s="787">
        <v>1</v>
      </c>
      <c r="J4819" s="788">
        <v>37641</v>
      </c>
      <c r="L4819" s="787">
        <v>0</v>
      </c>
      <c r="M4819" s="787">
        <v>10</v>
      </c>
      <c r="N4819" s="787">
        <v>0</v>
      </c>
      <c r="O4819" s="788">
        <v>41858</v>
      </c>
    </row>
    <row r="4820" spans="1:15" x14ac:dyDescent="0.25">
      <c r="A4820" s="786" t="s">
        <v>9264</v>
      </c>
      <c r="B4820" s="787">
        <v>4</v>
      </c>
      <c r="C4820" s="787" t="s">
        <v>9265</v>
      </c>
      <c r="D4820" s="787">
        <v>0</v>
      </c>
      <c r="E4820" s="787">
        <v>0</v>
      </c>
      <c r="H4820" s="787">
        <v>1</v>
      </c>
      <c r="J4820" s="788">
        <v>37641</v>
      </c>
      <c r="L4820" s="787">
        <v>0</v>
      </c>
      <c r="M4820" s="787">
        <v>10</v>
      </c>
      <c r="N4820" s="787">
        <v>0</v>
      </c>
      <c r="O4820" s="788">
        <v>41858</v>
      </c>
    </row>
    <row r="4821" spans="1:15" x14ac:dyDescent="0.25">
      <c r="A4821" s="786" t="s">
        <v>9264</v>
      </c>
      <c r="B4821" s="787" t="s">
        <v>9164</v>
      </c>
      <c r="C4821" s="787" t="s">
        <v>9266</v>
      </c>
      <c r="D4821" s="787">
        <v>0</v>
      </c>
      <c r="E4821" s="787">
        <v>0</v>
      </c>
      <c r="H4821" s="787">
        <v>1</v>
      </c>
      <c r="J4821" s="788">
        <v>37641</v>
      </c>
      <c r="L4821" s="787">
        <v>0</v>
      </c>
      <c r="M4821" s="787">
        <v>10</v>
      </c>
      <c r="N4821" s="787">
        <v>0</v>
      </c>
      <c r="O4821" s="788">
        <v>41858</v>
      </c>
    </row>
    <row r="4822" spans="1:15" x14ac:dyDescent="0.25">
      <c r="A4822" s="786" t="s">
        <v>9267</v>
      </c>
      <c r="B4822" s="787">
        <v>4</v>
      </c>
      <c r="C4822" s="787" t="s">
        <v>9268</v>
      </c>
      <c r="D4822" s="787">
        <v>0</v>
      </c>
      <c r="E4822" s="787">
        <v>0</v>
      </c>
      <c r="H4822" s="787">
        <v>1</v>
      </c>
      <c r="J4822" s="788">
        <v>37641</v>
      </c>
      <c r="L4822" s="787">
        <v>0</v>
      </c>
      <c r="M4822" s="787">
        <v>10</v>
      </c>
      <c r="N4822" s="787">
        <v>0</v>
      </c>
      <c r="O4822" s="788">
        <v>41858</v>
      </c>
    </row>
    <row r="4823" spans="1:15" x14ac:dyDescent="0.25">
      <c r="A4823" s="786" t="s">
        <v>9267</v>
      </c>
      <c r="B4823" s="787" t="s">
        <v>5936</v>
      </c>
      <c r="C4823" s="787" t="s">
        <v>9268</v>
      </c>
      <c r="D4823" s="787">
        <v>0</v>
      </c>
      <c r="E4823" s="787">
        <v>0</v>
      </c>
      <c r="H4823" s="787">
        <v>1</v>
      </c>
      <c r="L4823" s="787">
        <v>0</v>
      </c>
      <c r="M4823" s="787">
        <v>10</v>
      </c>
      <c r="N4823" s="787">
        <v>0</v>
      </c>
      <c r="O4823" s="788">
        <v>41858</v>
      </c>
    </row>
    <row r="4824" spans="1:15" x14ac:dyDescent="0.25">
      <c r="A4824" s="786" t="s">
        <v>9267</v>
      </c>
      <c r="B4824" s="787" t="s">
        <v>9164</v>
      </c>
      <c r="C4824" s="787" t="s">
        <v>9269</v>
      </c>
      <c r="D4824" s="787">
        <v>0</v>
      </c>
      <c r="E4824" s="787">
        <v>0</v>
      </c>
      <c r="H4824" s="787">
        <v>1</v>
      </c>
      <c r="J4824" s="788">
        <v>37641</v>
      </c>
      <c r="L4824" s="787">
        <v>0</v>
      </c>
      <c r="M4824" s="787">
        <v>10</v>
      </c>
      <c r="N4824" s="787">
        <v>0</v>
      </c>
      <c r="O4824" s="788">
        <v>41858</v>
      </c>
    </row>
    <row r="4825" spans="1:15" x14ac:dyDescent="0.25">
      <c r="A4825" s="786" t="s">
        <v>9270</v>
      </c>
      <c r="B4825" s="787">
        <v>4</v>
      </c>
      <c r="C4825" s="787" t="s">
        <v>9271</v>
      </c>
      <c r="D4825" s="787">
        <v>0</v>
      </c>
      <c r="E4825" s="787">
        <v>0</v>
      </c>
      <c r="H4825" s="787">
        <v>1</v>
      </c>
      <c r="J4825" s="788">
        <v>37641</v>
      </c>
      <c r="L4825" s="787">
        <v>0</v>
      </c>
      <c r="M4825" s="787">
        <v>10</v>
      </c>
      <c r="N4825" s="787">
        <v>0</v>
      </c>
      <c r="O4825" s="788">
        <v>41858</v>
      </c>
    </row>
    <row r="4826" spans="1:15" x14ac:dyDescent="0.25">
      <c r="A4826" s="786" t="s">
        <v>9270</v>
      </c>
      <c r="B4826" s="787" t="s">
        <v>9164</v>
      </c>
      <c r="C4826" s="787" t="s">
        <v>9272</v>
      </c>
      <c r="D4826" s="787">
        <v>0</v>
      </c>
      <c r="E4826" s="787">
        <v>0</v>
      </c>
      <c r="H4826" s="787">
        <v>1</v>
      </c>
      <c r="J4826" s="788">
        <v>37641</v>
      </c>
      <c r="L4826" s="787">
        <v>0</v>
      </c>
      <c r="M4826" s="787">
        <v>10</v>
      </c>
      <c r="N4826" s="787">
        <v>0</v>
      </c>
      <c r="O4826" s="788">
        <v>41858</v>
      </c>
    </row>
    <row r="4827" spans="1:15" x14ac:dyDescent="0.25">
      <c r="A4827" s="786" t="s">
        <v>9273</v>
      </c>
      <c r="B4827" s="787">
        <v>4</v>
      </c>
      <c r="C4827" s="787" t="s">
        <v>9274</v>
      </c>
      <c r="D4827" s="787">
        <v>0</v>
      </c>
      <c r="E4827" s="787">
        <v>0</v>
      </c>
      <c r="H4827" s="787">
        <v>1</v>
      </c>
      <c r="J4827" s="788">
        <v>37641</v>
      </c>
      <c r="L4827" s="787">
        <v>0</v>
      </c>
      <c r="M4827" s="787">
        <v>10</v>
      </c>
      <c r="N4827" s="787">
        <v>0</v>
      </c>
      <c r="O4827" s="788">
        <v>41858</v>
      </c>
    </row>
    <row r="4828" spans="1:15" x14ac:dyDescent="0.25">
      <c r="A4828" s="786" t="s">
        <v>9273</v>
      </c>
      <c r="B4828" s="787" t="s">
        <v>7193</v>
      </c>
      <c r="C4828" s="787" t="s">
        <v>9275</v>
      </c>
      <c r="D4828" s="787">
        <v>0</v>
      </c>
      <c r="E4828" s="787">
        <v>0</v>
      </c>
      <c r="H4828" s="787">
        <v>1</v>
      </c>
      <c r="J4828" s="788">
        <v>37641</v>
      </c>
      <c r="L4828" s="787">
        <v>0</v>
      </c>
      <c r="M4828" s="787">
        <v>10</v>
      </c>
      <c r="N4828" s="787">
        <v>0</v>
      </c>
      <c r="O4828" s="788">
        <v>41858</v>
      </c>
    </row>
    <row r="4829" spans="1:15" x14ac:dyDescent="0.25">
      <c r="A4829" s="786" t="s">
        <v>9273</v>
      </c>
      <c r="B4829" s="787" t="s">
        <v>9160</v>
      </c>
      <c r="C4829" s="787" t="s">
        <v>9276</v>
      </c>
      <c r="D4829" s="787">
        <v>0</v>
      </c>
      <c r="E4829" s="787">
        <v>0</v>
      </c>
      <c r="H4829" s="787">
        <v>1</v>
      </c>
      <c r="J4829" s="788">
        <v>37641</v>
      </c>
      <c r="L4829" s="787">
        <v>0</v>
      </c>
      <c r="M4829" s="787">
        <v>10</v>
      </c>
      <c r="N4829" s="787">
        <v>0</v>
      </c>
      <c r="O4829" s="788">
        <v>41858</v>
      </c>
    </row>
    <row r="4830" spans="1:15" x14ac:dyDescent="0.25">
      <c r="A4830" s="786" t="s">
        <v>9277</v>
      </c>
      <c r="B4830" s="787">
        <v>4</v>
      </c>
      <c r="C4830" s="787" t="s">
        <v>9278</v>
      </c>
      <c r="D4830" s="787">
        <v>0</v>
      </c>
      <c r="E4830" s="787">
        <v>0</v>
      </c>
      <c r="G4830" s="788">
        <v>41255</v>
      </c>
      <c r="H4830" s="787">
        <v>1</v>
      </c>
      <c r="I4830" s="788">
        <v>41598</v>
      </c>
      <c r="J4830" s="788">
        <v>37641</v>
      </c>
      <c r="L4830" s="787">
        <v>8.77</v>
      </c>
      <c r="M4830" s="787">
        <v>10</v>
      </c>
      <c r="N4830" s="787">
        <v>29.68</v>
      </c>
      <c r="O4830" s="788">
        <v>42162</v>
      </c>
    </row>
    <row r="4831" spans="1:15" x14ac:dyDescent="0.25">
      <c r="A4831" s="786" t="s">
        <v>9279</v>
      </c>
      <c r="B4831" s="787">
        <v>4</v>
      </c>
      <c r="C4831" s="787" t="s">
        <v>9280</v>
      </c>
      <c r="D4831" s="787">
        <v>1.37</v>
      </c>
      <c r="E4831" s="787">
        <v>1.37</v>
      </c>
      <c r="F4831" s="788">
        <v>39101</v>
      </c>
      <c r="G4831" s="788">
        <v>41565</v>
      </c>
      <c r="H4831" s="787">
        <v>1</v>
      </c>
      <c r="I4831" s="788">
        <v>40568</v>
      </c>
      <c r="J4831" s="788">
        <v>39861</v>
      </c>
      <c r="L4831" s="787">
        <v>5.67</v>
      </c>
      <c r="M4831" s="787">
        <v>10</v>
      </c>
      <c r="N4831" s="787">
        <v>7.02</v>
      </c>
      <c r="O4831" s="788">
        <v>42162</v>
      </c>
    </row>
    <row r="4832" spans="1:15" x14ac:dyDescent="0.25">
      <c r="A4832" s="786" t="s">
        <v>9281</v>
      </c>
      <c r="B4832" s="787">
        <v>4</v>
      </c>
      <c r="C4832" s="787" t="s">
        <v>9282</v>
      </c>
      <c r="D4832" s="787">
        <v>0.44</v>
      </c>
      <c r="E4832" s="787">
        <v>0.44</v>
      </c>
      <c r="F4832" s="788">
        <v>39101</v>
      </c>
      <c r="G4832" s="788">
        <v>39101</v>
      </c>
      <c r="H4832" s="787">
        <v>1</v>
      </c>
      <c r="I4832" s="788">
        <v>40568</v>
      </c>
      <c r="J4832" s="788">
        <v>39149</v>
      </c>
      <c r="L4832" s="787">
        <v>1.23</v>
      </c>
      <c r="M4832" s="787">
        <v>10</v>
      </c>
      <c r="N4832" s="787">
        <v>1.33</v>
      </c>
      <c r="O4832" s="788">
        <v>42162</v>
      </c>
    </row>
    <row r="4833" spans="1:15" x14ac:dyDescent="0.25">
      <c r="A4833" s="786" t="s">
        <v>9283</v>
      </c>
      <c r="B4833" s="787">
        <v>4</v>
      </c>
      <c r="C4833" s="787" t="s">
        <v>9284</v>
      </c>
      <c r="D4833" s="787">
        <v>0.48</v>
      </c>
      <c r="E4833" s="787">
        <v>0.48</v>
      </c>
      <c r="F4833" s="788">
        <v>39975</v>
      </c>
      <c r="G4833" s="788">
        <v>41565</v>
      </c>
      <c r="H4833" s="787">
        <v>1</v>
      </c>
      <c r="I4833" s="788">
        <v>40568</v>
      </c>
      <c r="J4833" s="788">
        <v>39149</v>
      </c>
      <c r="L4833" s="787">
        <v>0.04</v>
      </c>
      <c r="M4833" s="787">
        <v>10</v>
      </c>
      <c r="N4833" s="787">
        <v>2.35</v>
      </c>
      <c r="O4833" s="788">
        <v>42162</v>
      </c>
    </row>
    <row r="4834" spans="1:15" x14ac:dyDescent="0.25">
      <c r="A4834" s="786" t="s">
        <v>9285</v>
      </c>
      <c r="B4834" s="787">
        <v>4</v>
      </c>
      <c r="C4834" s="787" t="s">
        <v>9286</v>
      </c>
      <c r="D4834" s="787">
        <v>0.35</v>
      </c>
      <c r="E4834" s="787">
        <v>0.35</v>
      </c>
      <c r="F4834" s="788">
        <v>39101</v>
      </c>
      <c r="G4834" s="788">
        <v>41943</v>
      </c>
      <c r="H4834" s="787">
        <v>1</v>
      </c>
      <c r="I4834" s="788">
        <v>40568</v>
      </c>
      <c r="J4834" s="788">
        <v>40352</v>
      </c>
      <c r="L4834" s="787">
        <v>0.41</v>
      </c>
      <c r="M4834" s="787">
        <v>10</v>
      </c>
      <c r="N4834" s="787">
        <v>1.52</v>
      </c>
      <c r="O4834" s="788">
        <v>42162</v>
      </c>
    </row>
    <row r="4835" spans="1:15" x14ac:dyDescent="0.25">
      <c r="A4835" s="786" t="s">
        <v>9287</v>
      </c>
      <c r="B4835" s="787">
        <v>4</v>
      </c>
      <c r="C4835" s="787" t="s">
        <v>9288</v>
      </c>
      <c r="D4835" s="787">
        <v>0</v>
      </c>
      <c r="E4835" s="787">
        <v>0</v>
      </c>
      <c r="G4835" s="788">
        <v>41758</v>
      </c>
      <c r="H4835" s="787">
        <v>1</v>
      </c>
      <c r="I4835" s="788">
        <v>42121</v>
      </c>
      <c r="J4835" s="788">
        <v>42124</v>
      </c>
      <c r="L4835" s="787">
        <v>0.05</v>
      </c>
      <c r="M4835" s="787">
        <v>10</v>
      </c>
      <c r="N4835" s="787">
        <v>1.1399999999999999</v>
      </c>
      <c r="O4835" s="788">
        <v>42087</v>
      </c>
    </row>
    <row r="4836" spans="1:15" x14ac:dyDescent="0.25">
      <c r="A4836" s="786" t="s">
        <v>9289</v>
      </c>
      <c r="B4836" s="787">
        <v>4</v>
      </c>
      <c r="C4836" s="787" t="s">
        <v>9290</v>
      </c>
      <c r="D4836" s="787">
        <v>0</v>
      </c>
      <c r="E4836" s="787">
        <v>0</v>
      </c>
      <c r="H4836" s="787">
        <v>1</v>
      </c>
      <c r="I4836" s="788">
        <v>42121</v>
      </c>
      <c r="J4836" s="788">
        <v>42124</v>
      </c>
      <c r="L4836" s="787">
        <v>1.44</v>
      </c>
      <c r="M4836" s="787">
        <v>10</v>
      </c>
      <c r="N4836" s="787">
        <v>3.11</v>
      </c>
      <c r="O4836" s="788">
        <v>42087</v>
      </c>
    </row>
    <row r="4837" spans="1:15" x14ac:dyDescent="0.25">
      <c r="A4837" s="786" t="s">
        <v>9291</v>
      </c>
      <c r="B4837" s="787">
        <v>4</v>
      </c>
      <c r="C4837" s="787" t="s">
        <v>9292</v>
      </c>
      <c r="D4837" s="787">
        <v>0</v>
      </c>
      <c r="E4837" s="787">
        <v>0</v>
      </c>
      <c r="H4837" s="787">
        <v>1</v>
      </c>
      <c r="I4837" s="788">
        <v>42121</v>
      </c>
      <c r="J4837" s="788">
        <v>42124</v>
      </c>
      <c r="L4837" s="787">
        <v>8.26</v>
      </c>
      <c r="M4837" s="787">
        <v>10</v>
      </c>
      <c r="N4837" s="787">
        <v>11.2</v>
      </c>
      <c r="O4837" s="788">
        <v>42087</v>
      </c>
    </row>
    <row r="4838" spans="1:15" x14ac:dyDescent="0.25">
      <c r="A4838" s="786" t="s">
        <v>9293</v>
      </c>
      <c r="B4838" s="787">
        <v>4</v>
      </c>
      <c r="C4838" s="787" t="s">
        <v>9294</v>
      </c>
      <c r="D4838" s="787">
        <v>0</v>
      </c>
      <c r="E4838" s="787">
        <v>0</v>
      </c>
      <c r="H4838" s="787">
        <v>1</v>
      </c>
      <c r="I4838" s="788">
        <v>42121</v>
      </c>
      <c r="J4838" s="788">
        <v>42124</v>
      </c>
      <c r="L4838" s="787">
        <v>6.37</v>
      </c>
      <c r="M4838" s="787">
        <v>10</v>
      </c>
      <c r="N4838" s="787">
        <v>9.17</v>
      </c>
      <c r="O4838" s="788">
        <v>42082</v>
      </c>
    </row>
    <row r="4839" spans="1:15" x14ac:dyDescent="0.25">
      <c r="A4839" s="786" t="s">
        <v>9295</v>
      </c>
      <c r="B4839" s="787">
        <v>4</v>
      </c>
      <c r="C4839" s="787" t="s">
        <v>9296</v>
      </c>
      <c r="D4839" s="787">
        <v>0</v>
      </c>
      <c r="E4839" s="787">
        <v>0</v>
      </c>
      <c r="H4839" s="787">
        <v>1</v>
      </c>
      <c r="I4839" s="788">
        <v>42121</v>
      </c>
      <c r="J4839" s="788">
        <v>42124</v>
      </c>
      <c r="L4839" s="787">
        <v>0.92</v>
      </c>
      <c r="M4839" s="787">
        <v>10</v>
      </c>
      <c r="N4839" s="787">
        <v>3.31</v>
      </c>
      <c r="O4839" s="788">
        <v>42087</v>
      </c>
    </row>
    <row r="4840" spans="1:15" x14ac:dyDescent="0.25">
      <c r="A4840" s="786" t="s">
        <v>9297</v>
      </c>
      <c r="B4840" s="787">
        <v>4</v>
      </c>
      <c r="C4840" s="787" t="s">
        <v>9298</v>
      </c>
      <c r="D4840" s="787">
        <v>0</v>
      </c>
      <c r="E4840" s="787">
        <v>0</v>
      </c>
      <c r="H4840" s="787">
        <v>1</v>
      </c>
      <c r="I4840" s="788">
        <v>42121</v>
      </c>
      <c r="J4840" s="788">
        <v>42124</v>
      </c>
      <c r="L4840" s="787">
        <v>0.04</v>
      </c>
      <c r="M4840" s="787">
        <v>10</v>
      </c>
      <c r="N4840" s="787">
        <v>2.36</v>
      </c>
      <c r="O4840" s="788">
        <v>42083</v>
      </c>
    </row>
    <row r="4841" spans="1:15" x14ac:dyDescent="0.25">
      <c r="A4841" s="786" t="s">
        <v>9299</v>
      </c>
      <c r="B4841" s="787">
        <v>4</v>
      </c>
      <c r="C4841" s="787" t="s">
        <v>9300</v>
      </c>
      <c r="D4841" s="787">
        <v>0</v>
      </c>
      <c r="E4841" s="787">
        <v>0</v>
      </c>
      <c r="H4841" s="787">
        <v>1</v>
      </c>
      <c r="I4841" s="788">
        <v>42121</v>
      </c>
      <c r="J4841" s="788">
        <v>42124</v>
      </c>
      <c r="L4841" s="787">
        <v>0.13</v>
      </c>
      <c r="M4841" s="787">
        <v>10</v>
      </c>
      <c r="N4841" s="787">
        <v>2.44</v>
      </c>
      <c r="O4841" s="788">
        <v>42083</v>
      </c>
    </row>
    <row r="4842" spans="1:15" x14ac:dyDescent="0.25">
      <c r="A4842" s="786" t="s">
        <v>9301</v>
      </c>
      <c r="B4842" s="787">
        <v>4</v>
      </c>
      <c r="C4842" s="787" t="s">
        <v>9302</v>
      </c>
      <c r="D4842" s="787">
        <v>4.12</v>
      </c>
      <c r="E4842" s="787">
        <v>4.12</v>
      </c>
      <c r="F4842" s="788">
        <v>37641</v>
      </c>
      <c r="G4842" s="788">
        <v>37641</v>
      </c>
      <c r="H4842" s="787">
        <v>1</v>
      </c>
      <c r="I4842" s="788">
        <v>38519</v>
      </c>
      <c r="J4842" s="788">
        <v>37641</v>
      </c>
      <c r="L4842" s="787">
        <v>7.98</v>
      </c>
      <c r="M4842" s="787">
        <v>10</v>
      </c>
      <c r="N4842" s="787">
        <v>7.02</v>
      </c>
      <c r="O4842" s="788">
        <v>42087</v>
      </c>
    </row>
    <row r="4843" spans="1:15" x14ac:dyDescent="0.25">
      <c r="A4843" s="786" t="s">
        <v>9303</v>
      </c>
      <c r="B4843" s="787">
        <v>4</v>
      </c>
      <c r="C4843" s="787" t="s">
        <v>9304</v>
      </c>
      <c r="D4843" s="787">
        <v>4.3</v>
      </c>
      <c r="E4843" s="787">
        <v>4.3</v>
      </c>
      <c r="F4843" s="788">
        <v>37641</v>
      </c>
      <c r="G4843" s="788">
        <v>37641</v>
      </c>
      <c r="H4843" s="787">
        <v>1</v>
      </c>
      <c r="I4843" s="788">
        <v>38519</v>
      </c>
      <c r="J4843" s="788">
        <v>37641</v>
      </c>
      <c r="L4843" s="787">
        <v>4.3899999999999997</v>
      </c>
      <c r="M4843" s="787">
        <v>10</v>
      </c>
      <c r="N4843" s="787">
        <v>4.2699999999999996</v>
      </c>
      <c r="O4843" s="788">
        <v>42087</v>
      </c>
    </row>
    <row r="4844" spans="1:15" x14ac:dyDescent="0.25">
      <c r="A4844" s="786" t="s">
        <v>9305</v>
      </c>
      <c r="B4844" s="787">
        <v>4</v>
      </c>
      <c r="C4844" s="787" t="s">
        <v>9306</v>
      </c>
      <c r="D4844" s="787">
        <v>3.96</v>
      </c>
      <c r="E4844" s="787">
        <v>3.96</v>
      </c>
      <c r="F4844" s="788">
        <v>37641</v>
      </c>
      <c r="G4844" s="788">
        <v>37641</v>
      </c>
      <c r="H4844" s="787">
        <v>1</v>
      </c>
      <c r="I4844" s="788">
        <v>38519</v>
      </c>
      <c r="J4844" s="788">
        <v>37641</v>
      </c>
      <c r="L4844" s="787">
        <v>4.29</v>
      </c>
      <c r="M4844" s="787">
        <v>10</v>
      </c>
      <c r="N4844" s="787">
        <v>5.55</v>
      </c>
      <c r="O4844" s="788">
        <v>42087</v>
      </c>
    </row>
    <row r="4845" spans="1:15" x14ac:dyDescent="0.25">
      <c r="A4845" s="786" t="s">
        <v>9307</v>
      </c>
      <c r="B4845" s="787">
        <v>4</v>
      </c>
      <c r="C4845" s="787" t="s">
        <v>9308</v>
      </c>
      <c r="D4845" s="787">
        <v>4.1399999999999997</v>
      </c>
      <c r="E4845" s="787">
        <v>4.1399999999999997</v>
      </c>
      <c r="F4845" s="788">
        <v>38047</v>
      </c>
      <c r="G4845" s="788">
        <v>38364</v>
      </c>
      <c r="H4845" s="787">
        <v>1</v>
      </c>
      <c r="I4845" s="788">
        <v>38504</v>
      </c>
      <c r="J4845" s="788">
        <v>38047</v>
      </c>
      <c r="L4845" s="787">
        <v>7.85</v>
      </c>
      <c r="M4845" s="787">
        <v>10</v>
      </c>
      <c r="N4845" s="787">
        <v>9.82</v>
      </c>
      <c r="O4845" s="788">
        <v>42087</v>
      </c>
    </row>
    <row r="4846" spans="1:15" x14ac:dyDescent="0.25">
      <c r="A4846" s="786" t="s">
        <v>9309</v>
      </c>
      <c r="B4846" s="787">
        <v>4</v>
      </c>
      <c r="C4846" s="787" t="s">
        <v>9310</v>
      </c>
      <c r="D4846" s="787">
        <v>6.25</v>
      </c>
      <c r="E4846" s="787">
        <v>6.25</v>
      </c>
      <c r="F4846" s="788">
        <v>38047</v>
      </c>
      <c r="G4846" s="788">
        <v>38047</v>
      </c>
      <c r="H4846" s="787">
        <v>1</v>
      </c>
      <c r="I4846" s="788">
        <v>38504</v>
      </c>
      <c r="J4846" s="788">
        <v>38047</v>
      </c>
      <c r="L4846" s="787">
        <v>6.76</v>
      </c>
      <c r="M4846" s="787">
        <v>10</v>
      </c>
      <c r="N4846" s="787">
        <v>9.43</v>
      </c>
      <c r="O4846" s="788">
        <v>42087</v>
      </c>
    </row>
    <row r="4847" spans="1:15" x14ac:dyDescent="0.25">
      <c r="A4847" s="786" t="s">
        <v>9311</v>
      </c>
      <c r="B4847" s="787">
        <v>4</v>
      </c>
      <c r="C4847" s="787" t="s">
        <v>9312</v>
      </c>
      <c r="D4847" s="787">
        <v>6.21</v>
      </c>
      <c r="E4847" s="787">
        <v>6.21</v>
      </c>
      <c r="F4847" s="788">
        <v>38047</v>
      </c>
      <c r="G4847" s="788">
        <v>38047</v>
      </c>
      <c r="H4847" s="787">
        <v>1</v>
      </c>
      <c r="I4847" s="788">
        <v>38519</v>
      </c>
      <c r="J4847" s="788">
        <v>38047</v>
      </c>
      <c r="L4847" s="787">
        <v>6.71</v>
      </c>
      <c r="M4847" s="787">
        <v>10</v>
      </c>
      <c r="N4847" s="787">
        <v>9.82</v>
      </c>
      <c r="O4847" s="788">
        <v>41858</v>
      </c>
    </row>
    <row r="4848" spans="1:15" x14ac:dyDescent="0.25">
      <c r="A4848" s="786" t="s">
        <v>9313</v>
      </c>
      <c r="B4848" s="787">
        <v>4</v>
      </c>
      <c r="C4848" s="787" t="s">
        <v>9314</v>
      </c>
      <c r="D4848" s="787">
        <v>4.22</v>
      </c>
      <c r="E4848" s="787">
        <v>4.22</v>
      </c>
      <c r="F4848" s="788">
        <v>38047</v>
      </c>
      <c r="G4848" s="788">
        <v>38047</v>
      </c>
      <c r="H4848" s="787">
        <v>1</v>
      </c>
      <c r="I4848" s="788">
        <v>38519</v>
      </c>
      <c r="J4848" s="788">
        <v>38047</v>
      </c>
      <c r="L4848" s="787">
        <v>4.46</v>
      </c>
      <c r="M4848" s="787">
        <v>10</v>
      </c>
      <c r="N4848" s="787">
        <v>9.43</v>
      </c>
      <c r="O4848" s="788">
        <v>41858</v>
      </c>
    </row>
    <row r="4849" spans="1:15" x14ac:dyDescent="0.25">
      <c r="A4849" s="786" t="s">
        <v>9315</v>
      </c>
      <c r="B4849" s="787">
        <v>4</v>
      </c>
      <c r="C4849" s="787" t="s">
        <v>9316</v>
      </c>
      <c r="D4849" s="787">
        <v>2.35</v>
      </c>
      <c r="E4849" s="787">
        <v>6.52</v>
      </c>
      <c r="F4849" s="788">
        <v>39456</v>
      </c>
      <c r="G4849" s="788">
        <v>40553</v>
      </c>
      <c r="H4849" s="787">
        <v>1</v>
      </c>
      <c r="I4849" s="788">
        <v>41964</v>
      </c>
      <c r="J4849" s="788">
        <v>41967</v>
      </c>
      <c r="L4849" s="787">
        <v>5.18</v>
      </c>
      <c r="M4849" s="787">
        <v>10</v>
      </c>
      <c r="N4849" s="787">
        <v>6.82</v>
      </c>
      <c r="O4849" s="788">
        <v>42146</v>
      </c>
    </row>
    <row r="4850" spans="1:15" x14ac:dyDescent="0.25">
      <c r="A4850" s="786" t="s">
        <v>9317</v>
      </c>
      <c r="B4850" s="787">
        <v>4</v>
      </c>
      <c r="C4850" s="787" t="s">
        <v>9318</v>
      </c>
      <c r="D4850" s="787">
        <v>1.86</v>
      </c>
      <c r="E4850" s="787">
        <v>1.86</v>
      </c>
      <c r="F4850" s="788">
        <v>38606</v>
      </c>
      <c r="G4850" s="788">
        <v>38736</v>
      </c>
      <c r="H4850" s="787">
        <v>1</v>
      </c>
      <c r="I4850" s="788">
        <v>39134</v>
      </c>
      <c r="J4850" s="788">
        <v>38514</v>
      </c>
      <c r="L4850" s="787">
        <v>4.83</v>
      </c>
      <c r="M4850" s="787">
        <v>10</v>
      </c>
      <c r="N4850" s="787">
        <v>7.55</v>
      </c>
      <c r="O4850" s="788">
        <v>42087</v>
      </c>
    </row>
    <row r="4851" spans="1:15" x14ac:dyDescent="0.25">
      <c r="A4851" s="786" t="s">
        <v>9319</v>
      </c>
      <c r="B4851" s="787">
        <v>4</v>
      </c>
      <c r="C4851" s="787" t="s">
        <v>9320</v>
      </c>
      <c r="D4851" s="787">
        <v>3.61</v>
      </c>
      <c r="E4851" s="787">
        <v>3.61</v>
      </c>
      <c r="F4851" s="788">
        <v>38606</v>
      </c>
      <c r="G4851" s="788">
        <v>38736</v>
      </c>
      <c r="H4851" s="787">
        <v>1</v>
      </c>
      <c r="I4851" s="788">
        <v>39134</v>
      </c>
      <c r="J4851" s="788">
        <v>38514</v>
      </c>
      <c r="L4851" s="787">
        <v>4.6900000000000004</v>
      </c>
      <c r="M4851" s="787">
        <v>10</v>
      </c>
      <c r="N4851" s="787">
        <v>6.62</v>
      </c>
      <c r="O4851" s="788">
        <v>41858</v>
      </c>
    </row>
    <row r="4852" spans="1:15" x14ac:dyDescent="0.25">
      <c r="A4852" s="786" t="s">
        <v>9321</v>
      </c>
      <c r="B4852" s="787">
        <v>4</v>
      </c>
      <c r="C4852" s="787" t="s">
        <v>9322</v>
      </c>
      <c r="D4852" s="787">
        <v>0</v>
      </c>
      <c r="E4852" s="787">
        <v>0</v>
      </c>
      <c r="H4852" s="787">
        <v>1</v>
      </c>
      <c r="L4852" s="787">
        <v>19.09</v>
      </c>
      <c r="M4852" s="787">
        <v>10</v>
      </c>
      <c r="N4852" s="787">
        <v>17.16</v>
      </c>
      <c r="O4852" s="788">
        <v>42087</v>
      </c>
    </row>
    <row r="4853" spans="1:15" x14ac:dyDescent="0.25">
      <c r="A4853" s="786" t="s">
        <v>9323</v>
      </c>
      <c r="B4853" s="787">
        <v>4</v>
      </c>
      <c r="C4853" s="787" t="s">
        <v>9324</v>
      </c>
      <c r="D4853" s="787">
        <v>1.74</v>
      </c>
      <c r="E4853" s="787">
        <v>2.39</v>
      </c>
      <c r="F4853" s="788">
        <v>39456</v>
      </c>
      <c r="G4853" s="788">
        <v>41943</v>
      </c>
      <c r="H4853" s="787">
        <v>1</v>
      </c>
      <c r="I4853" s="788">
        <v>40982</v>
      </c>
      <c r="J4853" s="788">
        <v>40350</v>
      </c>
      <c r="L4853" s="787">
        <v>3.71</v>
      </c>
      <c r="M4853" s="787">
        <v>10</v>
      </c>
      <c r="N4853" s="787">
        <v>2.75</v>
      </c>
      <c r="O4853" s="788">
        <v>42087</v>
      </c>
    </row>
    <row r="4854" spans="1:15" x14ac:dyDescent="0.25">
      <c r="A4854" s="786" t="s">
        <v>9325</v>
      </c>
      <c r="B4854" s="787">
        <v>4</v>
      </c>
      <c r="C4854" s="787" t="s">
        <v>9326</v>
      </c>
      <c r="D4854" s="787">
        <v>1.06</v>
      </c>
      <c r="E4854" s="787">
        <v>1.06</v>
      </c>
      <c r="F4854" s="788">
        <v>39975</v>
      </c>
      <c r="G4854" s="788">
        <v>40350</v>
      </c>
      <c r="H4854" s="787">
        <v>1</v>
      </c>
      <c r="I4854" s="788">
        <v>40010</v>
      </c>
      <c r="J4854" s="788">
        <v>40350</v>
      </c>
      <c r="L4854" s="787">
        <v>3.71</v>
      </c>
      <c r="M4854" s="787">
        <v>10</v>
      </c>
      <c r="N4854" s="787">
        <v>2.75</v>
      </c>
      <c r="O4854" s="788">
        <v>42087</v>
      </c>
    </row>
    <row r="4855" spans="1:15" x14ac:dyDescent="0.25">
      <c r="A4855" s="786" t="s">
        <v>9327</v>
      </c>
      <c r="B4855" s="787">
        <v>4</v>
      </c>
      <c r="C4855" s="787" t="s">
        <v>9328</v>
      </c>
      <c r="D4855" s="787">
        <v>1.39</v>
      </c>
      <c r="E4855" s="787">
        <v>4.51</v>
      </c>
      <c r="F4855" s="788">
        <v>39456</v>
      </c>
      <c r="G4855" s="788">
        <v>42013</v>
      </c>
      <c r="H4855" s="787">
        <v>1</v>
      </c>
      <c r="I4855" s="788">
        <v>40010</v>
      </c>
      <c r="J4855" s="788">
        <v>41914</v>
      </c>
      <c r="L4855" s="787">
        <v>2.76</v>
      </c>
      <c r="M4855" s="787">
        <v>10</v>
      </c>
      <c r="N4855" s="787">
        <v>1.86</v>
      </c>
      <c r="O4855" s="788">
        <v>42087</v>
      </c>
    </row>
    <row r="4856" spans="1:15" x14ac:dyDescent="0.25">
      <c r="A4856" s="786" t="s">
        <v>9329</v>
      </c>
      <c r="B4856" s="787">
        <v>4</v>
      </c>
      <c r="C4856" s="787" t="s">
        <v>9330</v>
      </c>
      <c r="D4856" s="787">
        <v>0</v>
      </c>
      <c r="E4856" s="787">
        <v>0</v>
      </c>
      <c r="H4856" s="787">
        <v>1</v>
      </c>
      <c r="L4856" s="787">
        <v>0.14000000000000001</v>
      </c>
      <c r="M4856" s="787">
        <v>10</v>
      </c>
      <c r="N4856" s="787">
        <v>14.24</v>
      </c>
      <c r="O4856" s="788">
        <v>42087</v>
      </c>
    </row>
    <row r="4857" spans="1:15" x14ac:dyDescent="0.25">
      <c r="A4857" s="786" t="s">
        <v>9331</v>
      </c>
      <c r="B4857" s="787">
        <v>4</v>
      </c>
      <c r="C4857" s="787" t="s">
        <v>9332</v>
      </c>
      <c r="D4857" s="787">
        <v>0</v>
      </c>
      <c r="E4857" s="787">
        <v>0</v>
      </c>
      <c r="G4857" s="788">
        <v>41943</v>
      </c>
      <c r="H4857" s="787">
        <v>1</v>
      </c>
      <c r="K4857" s="788">
        <v>41709</v>
      </c>
      <c r="L4857" s="787">
        <v>15</v>
      </c>
      <c r="M4857" s="787">
        <v>10</v>
      </c>
      <c r="N4857" s="787">
        <v>14.7</v>
      </c>
      <c r="O4857" s="788">
        <v>42087</v>
      </c>
    </row>
    <row r="4858" spans="1:15" x14ac:dyDescent="0.25">
      <c r="A4858" s="786" t="s">
        <v>9333</v>
      </c>
      <c r="B4858" s="787">
        <v>4</v>
      </c>
      <c r="C4858" s="787" t="s">
        <v>9334</v>
      </c>
      <c r="D4858" s="787">
        <v>0.72</v>
      </c>
      <c r="E4858" s="787">
        <v>0.88</v>
      </c>
      <c r="F4858" s="788">
        <v>38900</v>
      </c>
      <c r="G4858" s="788">
        <v>39896</v>
      </c>
      <c r="H4858" s="787">
        <v>1</v>
      </c>
      <c r="I4858" s="788">
        <v>39926</v>
      </c>
      <c r="J4858" s="788">
        <v>39931</v>
      </c>
      <c r="L4858" s="787">
        <v>0.88</v>
      </c>
      <c r="M4858" s="787">
        <v>10</v>
      </c>
      <c r="N4858" s="787">
        <v>1.25</v>
      </c>
      <c r="O4858" s="788">
        <v>41858</v>
      </c>
    </row>
    <row r="4859" spans="1:15" x14ac:dyDescent="0.25">
      <c r="A4859" s="786" t="s">
        <v>9335</v>
      </c>
      <c r="B4859" s="787">
        <v>4</v>
      </c>
      <c r="C4859" s="787" t="s">
        <v>9336</v>
      </c>
      <c r="D4859" s="787">
        <v>0.68</v>
      </c>
      <c r="E4859" s="787">
        <v>0.91</v>
      </c>
      <c r="F4859" s="788">
        <v>38047</v>
      </c>
      <c r="G4859" s="788">
        <v>39896</v>
      </c>
      <c r="H4859" s="787">
        <v>1</v>
      </c>
      <c r="I4859" s="788">
        <v>39926</v>
      </c>
      <c r="J4859" s="788">
        <v>39931</v>
      </c>
      <c r="L4859" s="787">
        <v>0.91</v>
      </c>
      <c r="M4859" s="787">
        <v>10</v>
      </c>
      <c r="N4859" s="787">
        <v>1.31</v>
      </c>
      <c r="O4859" s="788">
        <v>41858</v>
      </c>
    </row>
    <row r="4860" spans="1:15" x14ac:dyDescent="0.25">
      <c r="A4860" s="786" t="s">
        <v>9337</v>
      </c>
      <c r="B4860" s="787">
        <v>4</v>
      </c>
      <c r="C4860" s="787" t="s">
        <v>9338</v>
      </c>
      <c r="D4860" s="787">
        <v>0.96</v>
      </c>
      <c r="E4860" s="787">
        <v>1.34</v>
      </c>
      <c r="F4860" s="788">
        <v>38606</v>
      </c>
      <c r="G4860" s="788">
        <v>39678</v>
      </c>
      <c r="H4860" s="787">
        <v>1</v>
      </c>
      <c r="I4860" s="788">
        <v>39877</v>
      </c>
      <c r="J4860" s="788">
        <v>39926</v>
      </c>
      <c r="L4860" s="787">
        <v>1.9</v>
      </c>
      <c r="M4860" s="787">
        <v>10</v>
      </c>
      <c r="N4860" s="787">
        <v>2.88</v>
      </c>
      <c r="O4860" s="788">
        <v>41858</v>
      </c>
    </row>
    <row r="4861" spans="1:15" x14ac:dyDescent="0.25">
      <c r="A4861" s="786" t="s">
        <v>9339</v>
      </c>
      <c r="B4861" s="787">
        <v>4</v>
      </c>
      <c r="C4861" s="787" t="s">
        <v>9340</v>
      </c>
      <c r="D4861" s="787">
        <v>0</v>
      </c>
      <c r="E4861" s="787">
        <v>0</v>
      </c>
      <c r="H4861" s="787">
        <v>1</v>
      </c>
      <c r="L4861" s="787">
        <v>44.94</v>
      </c>
      <c r="M4861" s="787">
        <v>10</v>
      </c>
      <c r="N4861" s="787">
        <v>99.59</v>
      </c>
      <c r="O4861" s="788">
        <v>42087</v>
      </c>
    </row>
    <row r="4862" spans="1:15" x14ac:dyDescent="0.25">
      <c r="A4862" s="786" t="s">
        <v>9341</v>
      </c>
      <c r="B4862" s="787">
        <v>4</v>
      </c>
      <c r="C4862" s="787" t="s">
        <v>9342</v>
      </c>
      <c r="D4862" s="787">
        <v>0</v>
      </c>
      <c r="E4862" s="787">
        <v>0</v>
      </c>
      <c r="H4862" s="787">
        <v>1</v>
      </c>
      <c r="I4862" s="788">
        <v>40652</v>
      </c>
      <c r="L4862" s="787">
        <v>45.04</v>
      </c>
      <c r="M4862" s="787">
        <v>10</v>
      </c>
      <c r="N4862" s="787">
        <v>96.02</v>
      </c>
      <c r="O4862" s="788">
        <v>42087</v>
      </c>
    </row>
    <row r="4863" spans="1:15" x14ac:dyDescent="0.25">
      <c r="A4863" s="786" t="s">
        <v>9343</v>
      </c>
      <c r="B4863" s="787">
        <v>4</v>
      </c>
      <c r="C4863" s="787" t="s">
        <v>9344</v>
      </c>
      <c r="D4863" s="787">
        <v>0</v>
      </c>
      <c r="E4863" s="787">
        <v>0</v>
      </c>
      <c r="H4863" s="787">
        <v>1</v>
      </c>
      <c r="L4863" s="787">
        <v>8.26</v>
      </c>
      <c r="M4863" s="787">
        <v>10</v>
      </c>
      <c r="N4863" s="787">
        <v>11.86</v>
      </c>
      <c r="O4863" s="788">
        <v>42087</v>
      </c>
    </row>
    <row r="4864" spans="1:15" x14ac:dyDescent="0.25">
      <c r="A4864" s="786" t="s">
        <v>9345</v>
      </c>
      <c r="B4864" s="787">
        <v>4</v>
      </c>
      <c r="C4864" s="787" t="s">
        <v>9346</v>
      </c>
      <c r="D4864" s="787">
        <v>0</v>
      </c>
      <c r="E4864" s="787">
        <v>0</v>
      </c>
      <c r="H4864" s="787">
        <v>1</v>
      </c>
      <c r="L4864" s="787">
        <v>7.43</v>
      </c>
      <c r="M4864" s="787">
        <v>10</v>
      </c>
      <c r="N4864" s="787">
        <v>11.34</v>
      </c>
      <c r="O4864" s="788">
        <v>42087</v>
      </c>
    </row>
    <row r="4865" spans="1:15" x14ac:dyDescent="0.25">
      <c r="A4865" s="786" t="s">
        <v>9347</v>
      </c>
      <c r="B4865" s="787">
        <v>4</v>
      </c>
      <c r="C4865" s="787" t="s">
        <v>9348</v>
      </c>
      <c r="D4865" s="787">
        <v>0</v>
      </c>
      <c r="E4865" s="787">
        <v>0</v>
      </c>
      <c r="H4865" s="787">
        <v>1</v>
      </c>
      <c r="L4865" s="787">
        <v>7.74</v>
      </c>
      <c r="M4865" s="787">
        <v>10</v>
      </c>
      <c r="N4865" s="787">
        <v>12.48</v>
      </c>
      <c r="O4865" s="788">
        <v>42087</v>
      </c>
    </row>
    <row r="4866" spans="1:15" x14ac:dyDescent="0.25">
      <c r="A4866" s="786" t="s">
        <v>9349</v>
      </c>
      <c r="B4866" s="787">
        <v>4</v>
      </c>
      <c r="C4866" s="787" t="s">
        <v>9350</v>
      </c>
      <c r="D4866" s="787">
        <v>0</v>
      </c>
      <c r="E4866" s="787">
        <v>0</v>
      </c>
      <c r="H4866" s="787">
        <v>1</v>
      </c>
      <c r="L4866" s="787">
        <v>7.81</v>
      </c>
      <c r="M4866" s="787">
        <v>10</v>
      </c>
      <c r="N4866" s="787">
        <v>11.39</v>
      </c>
      <c r="O4866" s="788">
        <v>42087</v>
      </c>
    </row>
    <row r="4867" spans="1:15" x14ac:dyDescent="0.25">
      <c r="A4867" s="786" t="s">
        <v>9351</v>
      </c>
      <c r="B4867" s="787">
        <v>4</v>
      </c>
      <c r="C4867" s="787" t="s">
        <v>9352</v>
      </c>
      <c r="D4867" s="787">
        <v>0</v>
      </c>
      <c r="E4867" s="787">
        <v>0</v>
      </c>
      <c r="H4867" s="787">
        <v>1</v>
      </c>
      <c r="L4867" s="787">
        <v>7.81</v>
      </c>
      <c r="M4867" s="787">
        <v>10</v>
      </c>
      <c r="N4867" s="787">
        <v>11.39</v>
      </c>
      <c r="O4867" s="788">
        <v>42087</v>
      </c>
    </row>
    <row r="4868" spans="1:15" x14ac:dyDescent="0.25">
      <c r="A4868" s="786" t="s">
        <v>9353</v>
      </c>
      <c r="B4868" s="787">
        <v>4</v>
      </c>
      <c r="C4868" s="787" t="s">
        <v>9354</v>
      </c>
      <c r="D4868" s="787">
        <v>0</v>
      </c>
      <c r="E4868" s="787">
        <v>0</v>
      </c>
      <c r="H4868" s="787">
        <v>1</v>
      </c>
      <c r="L4868" s="787">
        <v>11.93</v>
      </c>
      <c r="M4868" s="787">
        <v>10</v>
      </c>
      <c r="N4868" s="787">
        <v>15.49</v>
      </c>
      <c r="O4868" s="788">
        <v>42087</v>
      </c>
    </row>
    <row r="4869" spans="1:15" x14ac:dyDescent="0.25">
      <c r="A4869" s="786" t="s">
        <v>9355</v>
      </c>
      <c r="B4869" s="787">
        <v>4</v>
      </c>
      <c r="C4869" s="787" t="s">
        <v>9356</v>
      </c>
      <c r="D4869" s="787">
        <v>0</v>
      </c>
      <c r="E4869" s="787">
        <v>0</v>
      </c>
      <c r="H4869" s="787">
        <v>1</v>
      </c>
      <c r="L4869" s="787">
        <v>12.03</v>
      </c>
      <c r="M4869" s="787">
        <v>10</v>
      </c>
      <c r="N4869" s="787">
        <v>15.65</v>
      </c>
      <c r="O4869" s="788">
        <v>42087</v>
      </c>
    </row>
    <row r="4870" spans="1:15" x14ac:dyDescent="0.25">
      <c r="A4870" s="786" t="s">
        <v>9357</v>
      </c>
      <c r="B4870" s="787">
        <v>4</v>
      </c>
      <c r="C4870" s="787" t="s">
        <v>9358</v>
      </c>
      <c r="D4870" s="787">
        <v>0</v>
      </c>
      <c r="E4870" s="787">
        <v>0</v>
      </c>
      <c r="H4870" s="787">
        <v>1</v>
      </c>
      <c r="L4870" s="787">
        <v>3.52</v>
      </c>
      <c r="M4870" s="787">
        <v>10</v>
      </c>
      <c r="N4870" s="787">
        <v>5.88</v>
      </c>
      <c r="O4870" s="788">
        <v>42087</v>
      </c>
    </row>
    <row r="4871" spans="1:15" x14ac:dyDescent="0.25">
      <c r="A4871" s="786" t="s">
        <v>9359</v>
      </c>
      <c r="B4871" s="787">
        <v>4</v>
      </c>
      <c r="C4871" s="787" t="s">
        <v>9360</v>
      </c>
      <c r="D4871" s="787">
        <v>0</v>
      </c>
      <c r="E4871" s="787">
        <v>0</v>
      </c>
      <c r="H4871" s="787">
        <v>1</v>
      </c>
      <c r="L4871" s="787">
        <v>3.39</v>
      </c>
      <c r="M4871" s="787">
        <v>10</v>
      </c>
      <c r="N4871" s="787">
        <v>5.8</v>
      </c>
      <c r="O4871" s="788">
        <v>42087</v>
      </c>
    </row>
    <row r="4872" spans="1:15" x14ac:dyDescent="0.25">
      <c r="A4872" s="786" t="s">
        <v>9361</v>
      </c>
      <c r="B4872" s="787">
        <v>4</v>
      </c>
      <c r="C4872" s="787" t="s">
        <v>9362</v>
      </c>
      <c r="D4872" s="787">
        <v>0.15</v>
      </c>
      <c r="E4872" s="787">
        <v>0.15</v>
      </c>
      <c r="F4872" s="788">
        <v>39456</v>
      </c>
      <c r="G4872" s="788">
        <v>42013</v>
      </c>
      <c r="H4872" s="787">
        <v>1</v>
      </c>
      <c r="I4872" s="788">
        <v>42031</v>
      </c>
      <c r="J4872" s="788">
        <v>40535</v>
      </c>
      <c r="L4872" s="787">
        <v>0.27</v>
      </c>
      <c r="M4872" s="787">
        <v>10</v>
      </c>
      <c r="N4872" s="787">
        <v>1.05</v>
      </c>
      <c r="O4872" s="788">
        <v>42163</v>
      </c>
    </row>
    <row r="4873" spans="1:15" x14ac:dyDescent="0.25">
      <c r="A4873" s="786" t="s">
        <v>9363</v>
      </c>
      <c r="B4873" s="787">
        <v>4</v>
      </c>
      <c r="C4873" s="787" t="s">
        <v>9364</v>
      </c>
      <c r="D4873" s="787">
        <v>0.34</v>
      </c>
      <c r="E4873" s="787">
        <v>0.34</v>
      </c>
      <c r="F4873" s="788">
        <v>39101</v>
      </c>
      <c r="G4873" s="788">
        <v>42013</v>
      </c>
      <c r="H4873" s="787">
        <v>1</v>
      </c>
      <c r="I4873" s="788">
        <v>41682</v>
      </c>
      <c r="J4873" s="788">
        <v>40115</v>
      </c>
      <c r="L4873" s="787">
        <v>0.38</v>
      </c>
      <c r="M4873" s="787">
        <v>10</v>
      </c>
      <c r="N4873" s="787">
        <v>1.1200000000000001</v>
      </c>
      <c r="O4873" s="788">
        <v>42083</v>
      </c>
    </row>
    <row r="4874" spans="1:15" x14ac:dyDescent="0.25">
      <c r="A4874" s="786" t="s">
        <v>9365</v>
      </c>
      <c r="B4874" s="787">
        <v>4</v>
      </c>
      <c r="C4874" s="787" t="s">
        <v>9366</v>
      </c>
      <c r="D4874" s="787">
        <v>0.78</v>
      </c>
      <c r="E4874" s="787">
        <v>0.78</v>
      </c>
      <c r="F4874" s="788">
        <v>39975</v>
      </c>
      <c r="G4874" s="788">
        <v>41943</v>
      </c>
      <c r="H4874" s="787">
        <v>1</v>
      </c>
      <c r="I4874" s="788">
        <v>39134</v>
      </c>
      <c r="J4874" s="788">
        <v>42086</v>
      </c>
      <c r="L4874" s="787">
        <v>0</v>
      </c>
      <c r="M4874" s="787">
        <v>10</v>
      </c>
      <c r="N4874" s="787">
        <v>6.82</v>
      </c>
      <c r="O4874" s="788">
        <v>41858</v>
      </c>
    </row>
    <row r="4875" spans="1:15" x14ac:dyDescent="0.25">
      <c r="A4875" s="786" t="s">
        <v>9367</v>
      </c>
      <c r="B4875" s="787">
        <v>4</v>
      </c>
      <c r="C4875" s="787" t="s">
        <v>9368</v>
      </c>
      <c r="D4875" s="787">
        <v>0.78</v>
      </c>
      <c r="E4875" s="787">
        <v>0.78</v>
      </c>
      <c r="F4875" s="788">
        <v>39975</v>
      </c>
      <c r="G4875" s="788">
        <v>41943</v>
      </c>
      <c r="H4875" s="787">
        <v>1</v>
      </c>
      <c r="I4875" s="788">
        <v>41571</v>
      </c>
      <c r="J4875" s="788">
        <v>42086</v>
      </c>
      <c r="L4875" s="787">
        <v>0</v>
      </c>
      <c r="M4875" s="787">
        <v>10</v>
      </c>
      <c r="N4875" s="787">
        <v>6.82</v>
      </c>
      <c r="O4875" s="788">
        <v>41858</v>
      </c>
    </row>
    <row r="4876" spans="1:15" x14ac:dyDescent="0.25">
      <c r="A4876" s="786" t="s">
        <v>9369</v>
      </c>
      <c r="B4876" s="787">
        <v>4</v>
      </c>
      <c r="C4876" s="787" t="s">
        <v>9370</v>
      </c>
      <c r="D4876" s="787">
        <v>2.1800000000000002</v>
      </c>
      <c r="E4876" s="787">
        <v>2.1800000000000002</v>
      </c>
      <c r="F4876" s="788">
        <v>39975</v>
      </c>
      <c r="G4876" s="788">
        <v>41611</v>
      </c>
      <c r="H4876" s="787">
        <v>1</v>
      </c>
      <c r="I4876" s="788">
        <v>41571</v>
      </c>
      <c r="J4876" s="788">
        <v>41611</v>
      </c>
      <c r="L4876" s="787">
        <v>0</v>
      </c>
      <c r="M4876" s="787">
        <v>10</v>
      </c>
      <c r="N4876" s="787">
        <v>5.97</v>
      </c>
      <c r="O4876" s="788">
        <v>41858</v>
      </c>
    </row>
    <row r="4877" spans="1:15" x14ac:dyDescent="0.25">
      <c r="A4877" s="786" t="s">
        <v>9371</v>
      </c>
      <c r="B4877" s="787">
        <v>4</v>
      </c>
      <c r="C4877" s="787" t="s">
        <v>9372</v>
      </c>
      <c r="D4877" s="787">
        <v>0.77</v>
      </c>
      <c r="E4877" s="787">
        <v>4.18</v>
      </c>
      <c r="F4877" s="788">
        <v>39101</v>
      </c>
      <c r="G4877" s="788">
        <v>41943</v>
      </c>
      <c r="H4877" s="787">
        <v>1</v>
      </c>
      <c r="I4877" s="788">
        <v>42086</v>
      </c>
      <c r="J4877" s="788">
        <v>41044</v>
      </c>
      <c r="L4877" s="787">
        <v>1.37</v>
      </c>
      <c r="M4877" s="787">
        <v>10</v>
      </c>
      <c r="N4877" s="787">
        <v>2.14</v>
      </c>
      <c r="O4877" s="788">
        <v>41858</v>
      </c>
    </row>
    <row r="4878" spans="1:15" x14ac:dyDescent="0.25">
      <c r="A4878" s="786" t="s">
        <v>9373</v>
      </c>
      <c r="B4878" s="787">
        <v>4</v>
      </c>
      <c r="C4878" s="787" t="s">
        <v>9374</v>
      </c>
      <c r="D4878" s="787">
        <v>0.75</v>
      </c>
      <c r="E4878" s="787">
        <v>3.03</v>
      </c>
      <c r="F4878" s="788">
        <v>39101</v>
      </c>
      <c r="G4878" s="788">
        <v>41943</v>
      </c>
      <c r="H4878" s="787">
        <v>1</v>
      </c>
      <c r="I4878" s="788">
        <v>42086</v>
      </c>
      <c r="J4878" s="788">
        <v>41044</v>
      </c>
      <c r="L4878" s="787">
        <v>1.37</v>
      </c>
      <c r="M4878" s="787">
        <v>10</v>
      </c>
      <c r="N4878" s="787">
        <v>2.14</v>
      </c>
      <c r="O4878" s="788">
        <v>41858</v>
      </c>
    </row>
    <row r="4879" spans="1:15" x14ac:dyDescent="0.25">
      <c r="A4879" s="786" t="s">
        <v>9375</v>
      </c>
      <c r="B4879" s="787">
        <v>4</v>
      </c>
      <c r="C4879" s="787" t="s">
        <v>9376</v>
      </c>
      <c r="D4879" s="787">
        <v>0.2</v>
      </c>
      <c r="E4879" s="787">
        <v>1.85</v>
      </c>
      <c r="F4879" s="788">
        <v>39799</v>
      </c>
      <c r="G4879" s="788">
        <v>41800</v>
      </c>
      <c r="H4879" s="787">
        <v>1</v>
      </c>
      <c r="I4879" s="788">
        <v>41800</v>
      </c>
      <c r="J4879" s="788">
        <v>41800</v>
      </c>
      <c r="L4879" s="787">
        <v>1.05</v>
      </c>
      <c r="M4879" s="787">
        <v>10</v>
      </c>
      <c r="N4879" s="787">
        <v>1.49</v>
      </c>
      <c r="O4879" s="788">
        <v>41858</v>
      </c>
    </row>
    <row r="4880" spans="1:15" x14ac:dyDescent="0.25">
      <c r="A4880" s="786" t="s">
        <v>9377</v>
      </c>
      <c r="B4880" s="787">
        <v>4</v>
      </c>
      <c r="C4880" s="787" t="s">
        <v>9378</v>
      </c>
      <c r="D4880" s="787">
        <v>0.2</v>
      </c>
      <c r="E4880" s="787">
        <v>1.34</v>
      </c>
      <c r="F4880" s="788">
        <v>39799</v>
      </c>
      <c r="G4880" s="788">
        <v>41800</v>
      </c>
      <c r="H4880" s="787">
        <v>1</v>
      </c>
      <c r="I4880" s="788">
        <v>41800</v>
      </c>
      <c r="J4880" s="788">
        <v>41800</v>
      </c>
      <c r="L4880" s="787">
        <v>1.71</v>
      </c>
      <c r="M4880" s="787">
        <v>10</v>
      </c>
      <c r="N4880" s="787">
        <v>1.41</v>
      </c>
      <c r="O4880" s="788">
        <v>41858</v>
      </c>
    </row>
    <row r="4881" spans="1:15" x14ac:dyDescent="0.25">
      <c r="A4881" s="786" t="s">
        <v>9379</v>
      </c>
      <c r="B4881" s="787">
        <v>4</v>
      </c>
      <c r="C4881" s="787" t="s">
        <v>9380</v>
      </c>
      <c r="D4881" s="787">
        <v>0.01</v>
      </c>
      <c r="E4881" s="787">
        <v>2.14</v>
      </c>
      <c r="F4881" s="788">
        <v>40665</v>
      </c>
      <c r="G4881" s="788">
        <v>42166</v>
      </c>
      <c r="H4881" s="787">
        <v>1</v>
      </c>
      <c r="I4881" s="788">
        <v>42160</v>
      </c>
      <c r="J4881" s="788">
        <v>42165</v>
      </c>
      <c r="K4881" s="788">
        <v>41858</v>
      </c>
      <c r="L4881" s="787">
        <v>6.66</v>
      </c>
      <c r="M4881" s="787">
        <v>10</v>
      </c>
      <c r="N4881" s="787">
        <v>1.64</v>
      </c>
      <c r="O4881" s="788">
        <v>42162</v>
      </c>
    </row>
    <row r="4882" spans="1:15" x14ac:dyDescent="0.25">
      <c r="A4882" s="786" t="s">
        <v>9381</v>
      </c>
      <c r="B4882" s="787">
        <v>4</v>
      </c>
      <c r="C4882" s="787" t="s">
        <v>9382</v>
      </c>
      <c r="D4882" s="787">
        <v>0</v>
      </c>
      <c r="E4882" s="787">
        <v>0</v>
      </c>
      <c r="H4882" s="787">
        <v>1</v>
      </c>
      <c r="I4882" s="788">
        <v>40928</v>
      </c>
      <c r="J4882" s="788">
        <v>39101</v>
      </c>
      <c r="L4882" s="787">
        <v>12.34</v>
      </c>
      <c r="M4882" s="787">
        <v>10</v>
      </c>
      <c r="N4882" s="787">
        <v>11.92</v>
      </c>
      <c r="O4882" s="788">
        <v>41543</v>
      </c>
    </row>
    <row r="4883" spans="1:15" x14ac:dyDescent="0.25">
      <c r="A4883" s="786" t="s">
        <v>9383</v>
      </c>
      <c r="B4883" s="787">
        <v>4</v>
      </c>
      <c r="C4883" s="787" t="s">
        <v>9384</v>
      </c>
      <c r="D4883" s="787">
        <v>1.42</v>
      </c>
      <c r="E4883" s="787">
        <v>9.27</v>
      </c>
      <c r="F4883" s="788">
        <v>39456</v>
      </c>
      <c r="G4883" s="788">
        <v>42109</v>
      </c>
      <c r="H4883" s="787">
        <v>1</v>
      </c>
      <c r="I4883" s="788">
        <v>42158</v>
      </c>
      <c r="J4883" s="788">
        <v>42165</v>
      </c>
      <c r="L4883" s="787">
        <v>3.18</v>
      </c>
      <c r="M4883" s="787">
        <v>10</v>
      </c>
      <c r="N4883" s="787">
        <v>6.43</v>
      </c>
      <c r="O4883" s="788">
        <v>42162</v>
      </c>
    </row>
    <row r="4884" spans="1:15" x14ac:dyDescent="0.25">
      <c r="A4884" s="786" t="s">
        <v>9385</v>
      </c>
      <c r="B4884" s="787">
        <v>4</v>
      </c>
      <c r="C4884" s="787" t="s">
        <v>9386</v>
      </c>
      <c r="D4884" s="787">
        <v>4.84</v>
      </c>
      <c r="E4884" s="787">
        <v>20.260000000000002</v>
      </c>
      <c r="F4884" s="788">
        <v>41135</v>
      </c>
      <c r="G4884" s="788">
        <v>42159</v>
      </c>
      <c r="H4884" s="787">
        <v>1</v>
      </c>
      <c r="I4884" s="788">
        <v>42165</v>
      </c>
      <c r="J4884" s="788">
        <v>42159</v>
      </c>
      <c r="L4884" s="787">
        <v>40.15</v>
      </c>
      <c r="M4884" s="787">
        <v>10</v>
      </c>
      <c r="N4884" s="787">
        <v>20.71</v>
      </c>
      <c r="O4884" s="788">
        <v>42156</v>
      </c>
    </row>
    <row r="4885" spans="1:15" x14ac:dyDescent="0.25">
      <c r="A4885" s="786" t="s">
        <v>9387</v>
      </c>
      <c r="B4885" s="787">
        <v>4</v>
      </c>
      <c r="C4885" s="787" t="s">
        <v>9388</v>
      </c>
      <c r="D4885" s="787">
        <v>3.51</v>
      </c>
      <c r="E4885" s="787">
        <v>13.51</v>
      </c>
      <c r="F4885" s="788">
        <v>39973</v>
      </c>
      <c r="G4885" s="788">
        <v>41598</v>
      </c>
      <c r="H4885" s="787">
        <v>1</v>
      </c>
      <c r="I4885" s="788">
        <v>42090</v>
      </c>
      <c r="J4885" s="788">
        <v>42093</v>
      </c>
      <c r="L4885" s="787">
        <v>14.26</v>
      </c>
      <c r="M4885" s="787">
        <v>10</v>
      </c>
      <c r="N4885" s="787">
        <v>17.600000000000001</v>
      </c>
      <c r="O4885" s="788">
        <v>41858</v>
      </c>
    </row>
    <row r="4886" spans="1:15" x14ac:dyDescent="0.25">
      <c r="A4886" s="786" t="s">
        <v>9389</v>
      </c>
      <c r="B4886" s="787">
        <v>4</v>
      </c>
      <c r="C4886" s="787" t="s">
        <v>9390</v>
      </c>
      <c r="D4886" s="787">
        <v>0</v>
      </c>
      <c r="E4886" s="787">
        <v>0</v>
      </c>
      <c r="G4886" s="788">
        <v>42013</v>
      </c>
      <c r="H4886" s="787">
        <v>1</v>
      </c>
      <c r="I4886" s="788">
        <v>42093</v>
      </c>
      <c r="J4886" s="788">
        <v>41610</v>
      </c>
      <c r="L4886" s="787">
        <v>113.35</v>
      </c>
      <c r="M4886" s="787">
        <v>10</v>
      </c>
      <c r="N4886" s="787">
        <v>173.56</v>
      </c>
      <c r="O4886" s="788">
        <v>42083</v>
      </c>
    </row>
    <row r="4887" spans="1:15" x14ac:dyDescent="0.25">
      <c r="A4887" s="786" t="s">
        <v>9391</v>
      </c>
      <c r="B4887" s="787">
        <v>4</v>
      </c>
      <c r="C4887" s="787" t="s">
        <v>9392</v>
      </c>
      <c r="D4887" s="787">
        <v>2.56</v>
      </c>
      <c r="E4887" s="787">
        <v>2.56</v>
      </c>
      <c r="F4887" s="788">
        <v>39101</v>
      </c>
      <c r="G4887" s="788">
        <v>41943</v>
      </c>
      <c r="H4887" s="787">
        <v>1</v>
      </c>
      <c r="I4887" s="788">
        <v>40595</v>
      </c>
      <c r="J4887" s="788">
        <v>40143</v>
      </c>
      <c r="L4887" s="787">
        <v>6.18</v>
      </c>
      <c r="M4887" s="787">
        <v>10</v>
      </c>
      <c r="N4887" s="787">
        <v>3.14</v>
      </c>
      <c r="O4887" s="788">
        <v>42083</v>
      </c>
    </row>
    <row r="4888" spans="1:15" x14ac:dyDescent="0.25">
      <c r="A4888" s="786" t="s">
        <v>9393</v>
      </c>
      <c r="B4888" s="787">
        <v>4</v>
      </c>
      <c r="C4888" s="787" t="s">
        <v>9394</v>
      </c>
      <c r="D4888" s="787">
        <v>0.78</v>
      </c>
      <c r="E4888" s="787">
        <v>1.55</v>
      </c>
      <c r="F4888" s="788">
        <v>39101</v>
      </c>
      <c r="G4888" s="788">
        <v>42013</v>
      </c>
      <c r="H4888" s="787">
        <v>1</v>
      </c>
      <c r="I4888" s="788">
        <v>40595</v>
      </c>
      <c r="J4888" s="788">
        <v>41619</v>
      </c>
      <c r="L4888" s="787">
        <v>3.95</v>
      </c>
      <c r="M4888" s="787">
        <v>10</v>
      </c>
      <c r="N4888" s="787">
        <v>2.35</v>
      </c>
      <c r="O4888" s="788">
        <v>42083</v>
      </c>
    </row>
    <row r="4889" spans="1:15" x14ac:dyDescent="0.25">
      <c r="A4889" s="786" t="s">
        <v>9395</v>
      </c>
      <c r="B4889" s="787">
        <v>4</v>
      </c>
      <c r="C4889" s="787" t="s">
        <v>9396</v>
      </c>
      <c r="D4889" s="787">
        <v>0.57999999999999996</v>
      </c>
      <c r="E4889" s="787">
        <v>0.57999999999999996</v>
      </c>
      <c r="F4889" s="788">
        <v>39101</v>
      </c>
      <c r="G4889" s="788">
        <v>41943</v>
      </c>
      <c r="H4889" s="787">
        <v>1</v>
      </c>
      <c r="I4889" s="788">
        <v>40595</v>
      </c>
      <c r="J4889" s="788">
        <v>40143</v>
      </c>
      <c r="L4889" s="787">
        <v>3.85</v>
      </c>
      <c r="M4889" s="787">
        <v>10</v>
      </c>
      <c r="N4889" s="787">
        <v>1.57</v>
      </c>
      <c r="O4889" s="788">
        <v>42083</v>
      </c>
    </row>
    <row r="4890" spans="1:15" x14ac:dyDescent="0.25">
      <c r="A4890" s="786" t="s">
        <v>9397</v>
      </c>
      <c r="B4890" s="787">
        <v>4</v>
      </c>
      <c r="C4890" s="787" t="s">
        <v>9398</v>
      </c>
      <c r="D4890" s="787">
        <v>1.75</v>
      </c>
      <c r="E4890" s="787">
        <v>2.74</v>
      </c>
      <c r="F4890" s="788">
        <v>39101</v>
      </c>
      <c r="G4890" s="788">
        <v>41943</v>
      </c>
      <c r="H4890" s="787">
        <v>1</v>
      </c>
      <c r="I4890" s="788">
        <v>40595</v>
      </c>
      <c r="J4890" s="788">
        <v>41619</v>
      </c>
      <c r="L4890" s="787">
        <v>5.45</v>
      </c>
      <c r="M4890" s="787">
        <v>10</v>
      </c>
      <c r="N4890" s="787">
        <v>4.8899999999999997</v>
      </c>
      <c r="O4890" s="788">
        <v>42083</v>
      </c>
    </row>
    <row r="4891" spans="1:15" x14ac:dyDescent="0.25">
      <c r="A4891" s="786" t="s">
        <v>9399</v>
      </c>
      <c r="B4891" s="787">
        <v>4</v>
      </c>
      <c r="C4891" s="787" t="s">
        <v>9400</v>
      </c>
      <c r="D4891" s="787">
        <v>1.1399999999999999</v>
      </c>
      <c r="E4891" s="787">
        <v>5.62</v>
      </c>
      <c r="F4891" s="788">
        <v>39101</v>
      </c>
      <c r="G4891" s="788">
        <v>41943</v>
      </c>
      <c r="H4891" s="787">
        <v>1</v>
      </c>
      <c r="I4891" s="788">
        <v>41019</v>
      </c>
      <c r="J4891" s="788">
        <v>41617</v>
      </c>
      <c r="L4891" s="787">
        <v>3.09</v>
      </c>
      <c r="M4891" s="787">
        <v>10</v>
      </c>
      <c r="N4891" s="787">
        <v>4.3899999999999997</v>
      </c>
      <c r="O4891" s="788">
        <v>42083</v>
      </c>
    </row>
    <row r="4892" spans="1:15" x14ac:dyDescent="0.25">
      <c r="A4892" s="786" t="s">
        <v>9401</v>
      </c>
      <c r="B4892" s="787">
        <v>4</v>
      </c>
      <c r="C4892" s="787" t="s">
        <v>9402</v>
      </c>
      <c r="D4892" s="787">
        <v>0.48</v>
      </c>
      <c r="E4892" s="787">
        <v>2.9</v>
      </c>
      <c r="F4892" s="788">
        <v>39101</v>
      </c>
      <c r="G4892" s="788">
        <v>42013</v>
      </c>
      <c r="H4892" s="787">
        <v>1</v>
      </c>
      <c r="I4892" s="788">
        <v>40595</v>
      </c>
      <c r="J4892" s="788">
        <v>41619</v>
      </c>
      <c r="L4892" s="787">
        <v>3.69</v>
      </c>
      <c r="M4892" s="787">
        <v>10</v>
      </c>
      <c r="N4892" s="787">
        <v>1.44</v>
      </c>
      <c r="O4892" s="788">
        <v>42083</v>
      </c>
    </row>
    <row r="4893" spans="1:15" x14ac:dyDescent="0.25">
      <c r="A4893" s="786" t="s">
        <v>9403</v>
      </c>
      <c r="B4893" s="787">
        <v>4</v>
      </c>
      <c r="C4893" s="787" t="s">
        <v>9404</v>
      </c>
      <c r="D4893" s="787">
        <v>0.66</v>
      </c>
      <c r="E4893" s="787">
        <v>2.77</v>
      </c>
      <c r="F4893" s="788">
        <v>39101</v>
      </c>
      <c r="G4893" s="788">
        <v>41943</v>
      </c>
      <c r="H4893" s="787">
        <v>1</v>
      </c>
      <c r="I4893" s="788">
        <v>40595</v>
      </c>
      <c r="J4893" s="788">
        <v>41617</v>
      </c>
      <c r="L4893" s="787">
        <v>1.1499999999999999</v>
      </c>
      <c r="M4893" s="787">
        <v>10</v>
      </c>
      <c r="N4893" s="787">
        <v>1.37</v>
      </c>
      <c r="O4893" s="788">
        <v>42083</v>
      </c>
    </row>
    <row r="4894" spans="1:15" x14ac:dyDescent="0.25">
      <c r="A4894" s="786" t="s">
        <v>9405</v>
      </c>
      <c r="B4894" s="787">
        <v>4</v>
      </c>
      <c r="C4894" s="787" t="s">
        <v>9406</v>
      </c>
      <c r="D4894" s="787">
        <v>0.5</v>
      </c>
      <c r="E4894" s="787">
        <v>0.5</v>
      </c>
      <c r="F4894" s="788">
        <v>39101</v>
      </c>
      <c r="G4894" s="788">
        <v>39101</v>
      </c>
      <c r="H4894" s="787">
        <v>1</v>
      </c>
      <c r="I4894" s="788">
        <v>39780</v>
      </c>
      <c r="J4894" s="788">
        <v>39149</v>
      </c>
      <c r="L4894" s="787">
        <v>5.7</v>
      </c>
      <c r="M4894" s="787">
        <v>10</v>
      </c>
      <c r="N4894" s="787">
        <v>1.22</v>
      </c>
      <c r="O4894" s="788">
        <v>41858</v>
      </c>
    </row>
    <row r="4895" spans="1:15" x14ac:dyDescent="0.25">
      <c r="A4895" s="786" t="s">
        <v>9407</v>
      </c>
      <c r="B4895" s="787">
        <v>4</v>
      </c>
      <c r="C4895" s="787" t="s">
        <v>9408</v>
      </c>
      <c r="D4895" s="787">
        <v>0.59</v>
      </c>
      <c r="E4895" s="787">
        <v>4.5199999999999996</v>
      </c>
      <c r="F4895" s="788">
        <v>39456</v>
      </c>
      <c r="G4895" s="788">
        <v>42159</v>
      </c>
      <c r="H4895" s="787">
        <v>1</v>
      </c>
      <c r="I4895" s="788">
        <v>42165</v>
      </c>
      <c r="J4895" s="788">
        <v>42159</v>
      </c>
      <c r="K4895" s="788">
        <v>41582</v>
      </c>
      <c r="L4895" s="787">
        <v>4.3</v>
      </c>
      <c r="M4895" s="787">
        <v>10</v>
      </c>
      <c r="N4895" s="787">
        <v>3.21</v>
      </c>
      <c r="O4895" s="788">
        <v>42083</v>
      </c>
    </row>
    <row r="4896" spans="1:15" x14ac:dyDescent="0.25">
      <c r="A4896" s="786" t="s">
        <v>9409</v>
      </c>
      <c r="B4896" s="787">
        <v>4</v>
      </c>
      <c r="C4896" s="787" t="s">
        <v>9410</v>
      </c>
      <c r="D4896" s="787">
        <v>0</v>
      </c>
      <c r="E4896" s="787">
        <v>0</v>
      </c>
      <c r="G4896" s="788">
        <v>38736</v>
      </c>
      <c r="H4896" s="787">
        <v>1</v>
      </c>
      <c r="I4896" s="788">
        <v>39134</v>
      </c>
      <c r="J4896" s="788">
        <v>39149</v>
      </c>
      <c r="L4896" s="787">
        <v>0.76</v>
      </c>
      <c r="M4896" s="787">
        <v>10</v>
      </c>
      <c r="N4896" s="787">
        <v>1.19</v>
      </c>
      <c r="O4896" s="788">
        <v>42083</v>
      </c>
    </row>
    <row r="4897" spans="1:15" x14ac:dyDescent="0.25">
      <c r="A4897" s="786" t="s">
        <v>9411</v>
      </c>
      <c r="B4897" s="787">
        <v>4</v>
      </c>
      <c r="C4897" s="787" t="s">
        <v>9412</v>
      </c>
      <c r="D4897" s="787">
        <v>0.72</v>
      </c>
      <c r="E4897" s="787">
        <v>0.72</v>
      </c>
      <c r="F4897" s="788">
        <v>41209</v>
      </c>
      <c r="G4897" s="788">
        <v>41565</v>
      </c>
      <c r="H4897" s="787">
        <v>1</v>
      </c>
      <c r="I4897" s="788">
        <v>39134</v>
      </c>
      <c r="J4897" s="788">
        <v>41003</v>
      </c>
      <c r="L4897" s="787">
        <v>4.5199999999999996</v>
      </c>
      <c r="M4897" s="787">
        <v>10</v>
      </c>
      <c r="N4897" s="787">
        <v>2.31</v>
      </c>
      <c r="O4897" s="788">
        <v>42087</v>
      </c>
    </row>
    <row r="4898" spans="1:15" x14ac:dyDescent="0.25">
      <c r="A4898" s="786" t="s">
        <v>9413</v>
      </c>
      <c r="B4898" s="787">
        <v>4</v>
      </c>
      <c r="C4898" s="787" t="s">
        <v>9414</v>
      </c>
      <c r="D4898" s="787">
        <v>1.62</v>
      </c>
      <c r="E4898" s="787">
        <v>1.62</v>
      </c>
      <c r="F4898" s="788">
        <v>38772</v>
      </c>
      <c r="G4898" s="788">
        <v>38772</v>
      </c>
      <c r="H4898" s="787">
        <v>1</v>
      </c>
      <c r="I4898" s="788">
        <v>39134</v>
      </c>
      <c r="J4898" s="788">
        <v>38754</v>
      </c>
      <c r="L4898" s="787">
        <v>4.75</v>
      </c>
      <c r="M4898" s="787">
        <v>10</v>
      </c>
      <c r="N4898" s="787">
        <v>7.69</v>
      </c>
      <c r="O4898" s="788">
        <v>41955</v>
      </c>
    </row>
    <row r="4899" spans="1:15" x14ac:dyDescent="0.25">
      <c r="A4899" s="786" t="s">
        <v>9415</v>
      </c>
      <c r="B4899" s="787">
        <v>4</v>
      </c>
      <c r="C4899" s="787" t="s">
        <v>9416</v>
      </c>
      <c r="D4899" s="787">
        <v>1.62</v>
      </c>
      <c r="E4899" s="787">
        <v>1.62</v>
      </c>
      <c r="F4899" s="788">
        <v>39101</v>
      </c>
      <c r="G4899" s="788">
        <v>39101</v>
      </c>
      <c r="H4899" s="787">
        <v>1</v>
      </c>
      <c r="I4899" s="788">
        <v>38818</v>
      </c>
      <c r="J4899" s="788">
        <v>39101</v>
      </c>
      <c r="L4899" s="787">
        <v>4.75</v>
      </c>
      <c r="M4899" s="787">
        <v>10</v>
      </c>
      <c r="N4899" s="787">
        <v>7.69</v>
      </c>
      <c r="O4899" s="788">
        <v>41955</v>
      </c>
    </row>
    <row r="4900" spans="1:15" x14ac:dyDescent="0.25">
      <c r="A4900" s="786" t="s">
        <v>9417</v>
      </c>
      <c r="B4900" s="787">
        <v>4</v>
      </c>
      <c r="C4900" s="787" t="s">
        <v>9418</v>
      </c>
      <c r="D4900" s="787">
        <v>3.57</v>
      </c>
      <c r="E4900" s="787">
        <v>5.42</v>
      </c>
      <c r="F4900" s="788">
        <v>38606</v>
      </c>
      <c r="G4900" s="788">
        <v>41943</v>
      </c>
      <c r="H4900" s="787">
        <v>1</v>
      </c>
      <c r="I4900" s="788">
        <v>42023</v>
      </c>
      <c r="J4900" s="788">
        <v>41547</v>
      </c>
      <c r="L4900" s="787">
        <v>4.67</v>
      </c>
      <c r="M4900" s="787">
        <v>10</v>
      </c>
      <c r="N4900" s="787">
        <v>6.19</v>
      </c>
      <c r="O4900" s="788">
        <v>42082</v>
      </c>
    </row>
    <row r="4901" spans="1:15" x14ac:dyDescent="0.25">
      <c r="A4901" s="786" t="s">
        <v>9419</v>
      </c>
      <c r="B4901" s="787">
        <v>4</v>
      </c>
      <c r="C4901" s="787" t="s">
        <v>9420</v>
      </c>
      <c r="D4901" s="787">
        <v>0.53</v>
      </c>
      <c r="E4901" s="787">
        <v>1.05</v>
      </c>
      <c r="F4901" s="788">
        <v>38606</v>
      </c>
      <c r="G4901" s="788">
        <v>38606</v>
      </c>
      <c r="H4901" s="787">
        <v>1</v>
      </c>
      <c r="I4901" s="788">
        <v>38631</v>
      </c>
      <c r="J4901" s="788">
        <v>38600</v>
      </c>
      <c r="L4901" s="787">
        <v>1.08</v>
      </c>
      <c r="M4901" s="787">
        <v>10</v>
      </c>
      <c r="N4901" s="787">
        <v>1.71</v>
      </c>
      <c r="O4901" s="788">
        <v>42087</v>
      </c>
    </row>
    <row r="4902" spans="1:15" x14ac:dyDescent="0.25">
      <c r="A4902" s="786" t="s">
        <v>9421</v>
      </c>
      <c r="B4902" s="787">
        <v>4</v>
      </c>
      <c r="C4902" s="787" t="s">
        <v>9422</v>
      </c>
      <c r="D4902" s="787">
        <v>0.69</v>
      </c>
      <c r="E4902" s="787">
        <v>0.8</v>
      </c>
      <c r="F4902" s="788">
        <v>41775</v>
      </c>
      <c r="G4902" s="788">
        <v>42158</v>
      </c>
      <c r="H4902" s="787">
        <v>1</v>
      </c>
      <c r="I4902" s="788">
        <v>42165</v>
      </c>
      <c r="J4902" s="788">
        <v>42158</v>
      </c>
      <c r="L4902" s="787">
        <v>0.9</v>
      </c>
      <c r="M4902" s="787">
        <v>10</v>
      </c>
      <c r="N4902" s="787">
        <v>1.36</v>
      </c>
      <c r="O4902" s="788">
        <v>42156</v>
      </c>
    </row>
    <row r="4903" spans="1:15" x14ac:dyDescent="0.25">
      <c r="A4903" s="786" t="s">
        <v>9423</v>
      </c>
      <c r="B4903" s="787">
        <v>4</v>
      </c>
      <c r="C4903" s="787" t="s">
        <v>9424</v>
      </c>
      <c r="D4903" s="787">
        <v>0.3</v>
      </c>
      <c r="E4903" s="787">
        <v>0.5</v>
      </c>
      <c r="F4903" s="788">
        <v>41369</v>
      </c>
      <c r="G4903" s="788">
        <v>42156</v>
      </c>
      <c r="H4903" s="787">
        <v>1</v>
      </c>
      <c r="I4903" s="788">
        <v>42165</v>
      </c>
      <c r="J4903" s="788">
        <v>42156</v>
      </c>
      <c r="L4903" s="787">
        <v>0.42</v>
      </c>
      <c r="M4903" s="787">
        <v>10</v>
      </c>
      <c r="N4903" s="787">
        <v>1.1399999999999999</v>
      </c>
      <c r="O4903" s="788">
        <v>42156</v>
      </c>
    </row>
    <row r="4904" spans="1:15" x14ac:dyDescent="0.25">
      <c r="A4904" s="786" t="s">
        <v>9425</v>
      </c>
      <c r="B4904" s="787">
        <v>4</v>
      </c>
      <c r="C4904" s="787" t="s">
        <v>9426</v>
      </c>
      <c r="D4904" s="787">
        <v>0.4</v>
      </c>
      <c r="E4904" s="787">
        <v>1.52</v>
      </c>
      <c r="F4904" s="788">
        <v>39456</v>
      </c>
      <c r="G4904" s="788">
        <v>42156</v>
      </c>
      <c r="H4904" s="787">
        <v>1</v>
      </c>
      <c r="I4904" s="788">
        <v>42165</v>
      </c>
      <c r="J4904" s="788">
        <v>42156</v>
      </c>
      <c r="L4904" s="787">
        <v>0.97</v>
      </c>
      <c r="M4904" s="787">
        <v>10</v>
      </c>
      <c r="N4904" s="787">
        <v>2.2999999999999998</v>
      </c>
      <c r="O4904" s="788">
        <v>42162</v>
      </c>
    </row>
    <row r="4905" spans="1:15" x14ac:dyDescent="0.25">
      <c r="A4905" s="786" t="s">
        <v>9427</v>
      </c>
      <c r="B4905" s="787">
        <v>4</v>
      </c>
      <c r="C4905" s="787" t="s">
        <v>9428</v>
      </c>
      <c r="D4905" s="787">
        <v>0.24</v>
      </c>
      <c r="E4905" s="787">
        <v>0.9</v>
      </c>
      <c r="F4905" s="788">
        <v>39456</v>
      </c>
      <c r="G4905" s="788">
        <v>42156</v>
      </c>
      <c r="H4905" s="787">
        <v>1</v>
      </c>
      <c r="I4905" s="788">
        <v>42165</v>
      </c>
      <c r="J4905" s="788">
        <v>42156</v>
      </c>
      <c r="L4905" s="787">
        <v>0.59</v>
      </c>
      <c r="M4905" s="787">
        <v>10</v>
      </c>
      <c r="N4905" s="787">
        <v>1.2</v>
      </c>
      <c r="O4905" s="788">
        <v>42162</v>
      </c>
    </row>
    <row r="4906" spans="1:15" x14ac:dyDescent="0.25">
      <c r="A4906" s="786" t="s">
        <v>9429</v>
      </c>
      <c r="B4906" s="787">
        <v>4</v>
      </c>
      <c r="C4906" s="787" t="s">
        <v>9430</v>
      </c>
      <c r="D4906" s="787">
        <v>0.87</v>
      </c>
      <c r="E4906" s="787">
        <v>1.0900000000000001</v>
      </c>
      <c r="F4906" s="788">
        <v>41449</v>
      </c>
      <c r="G4906" s="788">
        <v>42163</v>
      </c>
      <c r="H4906" s="787">
        <v>1</v>
      </c>
      <c r="I4906" s="788">
        <v>42166</v>
      </c>
      <c r="J4906" s="788">
        <v>42132</v>
      </c>
      <c r="L4906" s="787">
        <v>1.21</v>
      </c>
      <c r="M4906" s="787">
        <v>10</v>
      </c>
      <c r="N4906" s="787">
        <v>1.51</v>
      </c>
      <c r="O4906" s="788">
        <v>42162</v>
      </c>
    </row>
    <row r="4907" spans="1:15" x14ac:dyDescent="0.25">
      <c r="A4907" s="786" t="s">
        <v>9431</v>
      </c>
      <c r="B4907" s="787">
        <v>4</v>
      </c>
      <c r="C4907" s="787" t="s">
        <v>9432</v>
      </c>
      <c r="D4907" s="787">
        <v>0.36</v>
      </c>
      <c r="E4907" s="787">
        <v>2.0499999999999998</v>
      </c>
      <c r="F4907" s="788">
        <v>41449</v>
      </c>
      <c r="G4907" s="788">
        <v>42107</v>
      </c>
      <c r="H4907" s="787">
        <v>1</v>
      </c>
      <c r="I4907" s="788">
        <v>42166</v>
      </c>
      <c r="J4907" s="788">
        <v>42075</v>
      </c>
      <c r="K4907" s="788">
        <v>41484</v>
      </c>
      <c r="L4907" s="787">
        <v>1.5</v>
      </c>
      <c r="M4907" s="787">
        <v>10</v>
      </c>
      <c r="N4907" s="787">
        <v>1.35</v>
      </c>
      <c r="O4907" s="788">
        <v>42162</v>
      </c>
    </row>
    <row r="4908" spans="1:15" x14ac:dyDescent="0.25">
      <c r="A4908" s="786" t="s">
        <v>9433</v>
      </c>
      <c r="B4908" s="787">
        <v>4</v>
      </c>
      <c r="C4908" s="787" t="s">
        <v>9434</v>
      </c>
      <c r="D4908" s="787">
        <v>0.72</v>
      </c>
      <c r="E4908" s="787">
        <v>0.72</v>
      </c>
      <c r="F4908" s="788">
        <v>39101</v>
      </c>
      <c r="G4908" s="788">
        <v>39101</v>
      </c>
      <c r="H4908" s="787">
        <v>1</v>
      </c>
      <c r="I4908" s="788">
        <v>39134</v>
      </c>
      <c r="J4908" s="788">
        <v>39149</v>
      </c>
      <c r="L4908" s="787">
        <v>0.77</v>
      </c>
      <c r="M4908" s="787">
        <v>10</v>
      </c>
      <c r="N4908" s="787">
        <v>1.22</v>
      </c>
      <c r="O4908" s="788">
        <v>42164</v>
      </c>
    </row>
    <row r="4909" spans="1:15" x14ac:dyDescent="0.25">
      <c r="A4909" s="786" t="s">
        <v>9435</v>
      </c>
      <c r="B4909" s="787">
        <v>4</v>
      </c>
      <c r="C4909" s="787" t="s">
        <v>9436</v>
      </c>
      <c r="D4909" s="787">
        <v>0</v>
      </c>
      <c r="E4909" s="787">
        <v>0</v>
      </c>
      <c r="H4909" s="787">
        <v>1</v>
      </c>
      <c r="I4909" s="788">
        <v>38861</v>
      </c>
      <c r="J4909" s="788">
        <v>39101</v>
      </c>
      <c r="L4909" s="787">
        <v>3.09</v>
      </c>
      <c r="M4909" s="787">
        <v>10</v>
      </c>
      <c r="N4909" s="787">
        <v>5.37</v>
      </c>
      <c r="O4909" s="788">
        <v>41858</v>
      </c>
    </row>
    <row r="4910" spans="1:15" x14ac:dyDescent="0.25">
      <c r="A4910" s="786" t="s">
        <v>9437</v>
      </c>
      <c r="B4910" s="787">
        <v>4</v>
      </c>
      <c r="C4910" s="787" t="s">
        <v>9438</v>
      </c>
      <c r="D4910" s="787">
        <v>0</v>
      </c>
      <c r="E4910" s="787">
        <v>0</v>
      </c>
      <c r="H4910" s="787">
        <v>1</v>
      </c>
      <c r="L4910" s="787">
        <v>3.09</v>
      </c>
      <c r="M4910" s="787">
        <v>10</v>
      </c>
      <c r="N4910" s="787">
        <v>5.35</v>
      </c>
      <c r="O4910" s="788">
        <v>41858</v>
      </c>
    </row>
    <row r="4911" spans="1:15" x14ac:dyDescent="0.25">
      <c r="A4911" s="786" t="s">
        <v>9439</v>
      </c>
      <c r="B4911" s="787">
        <v>4</v>
      </c>
      <c r="C4911" s="787" t="s">
        <v>9440</v>
      </c>
      <c r="D4911" s="787">
        <v>0.04</v>
      </c>
      <c r="E4911" s="787">
        <v>1.79</v>
      </c>
      <c r="F4911" s="788">
        <v>39456</v>
      </c>
      <c r="G4911" s="788">
        <v>42163</v>
      </c>
      <c r="H4911" s="787">
        <v>1</v>
      </c>
      <c r="I4911" s="788">
        <v>42166</v>
      </c>
      <c r="J4911" s="788">
        <v>42163</v>
      </c>
      <c r="L4911" s="787">
        <v>3.08</v>
      </c>
      <c r="M4911" s="787">
        <v>10</v>
      </c>
      <c r="N4911" s="787">
        <v>1.82</v>
      </c>
      <c r="O4911" s="788">
        <v>42162</v>
      </c>
    </row>
    <row r="4912" spans="1:15" x14ac:dyDescent="0.25">
      <c r="A4912" s="786" t="s">
        <v>9441</v>
      </c>
      <c r="B4912" s="787">
        <v>4</v>
      </c>
      <c r="C4912" s="787" t="s">
        <v>9442</v>
      </c>
      <c r="D4912" s="787">
        <v>3.39</v>
      </c>
      <c r="E4912" s="787">
        <v>3.39</v>
      </c>
      <c r="F4912" s="788">
        <v>38047</v>
      </c>
      <c r="G4912" s="788">
        <v>38047</v>
      </c>
      <c r="H4912" s="787">
        <v>1</v>
      </c>
      <c r="I4912" s="788">
        <v>38464</v>
      </c>
      <c r="J4912" s="788">
        <v>38047</v>
      </c>
      <c r="L4912" s="787">
        <v>3.39</v>
      </c>
      <c r="M4912" s="787">
        <v>10</v>
      </c>
      <c r="N4912" s="787">
        <v>5.8</v>
      </c>
      <c r="O4912" s="788">
        <v>41869</v>
      </c>
    </row>
    <row r="4913" spans="1:15" x14ac:dyDescent="0.25">
      <c r="A4913" s="786" t="s">
        <v>9443</v>
      </c>
      <c r="B4913" s="787">
        <v>4</v>
      </c>
      <c r="C4913" s="787" t="s">
        <v>9444</v>
      </c>
      <c r="D4913" s="787">
        <v>3.36</v>
      </c>
      <c r="E4913" s="787">
        <v>3.36</v>
      </c>
      <c r="F4913" s="788">
        <v>39101</v>
      </c>
      <c r="G4913" s="788">
        <v>41255</v>
      </c>
      <c r="H4913" s="787">
        <v>1</v>
      </c>
      <c r="I4913" s="788">
        <v>40431</v>
      </c>
      <c r="J4913" s="788">
        <v>39666</v>
      </c>
      <c r="L4913" s="787">
        <v>0.97</v>
      </c>
      <c r="M4913" s="787">
        <v>10</v>
      </c>
      <c r="N4913" s="787">
        <v>1.69</v>
      </c>
      <c r="O4913" s="788">
        <v>42083</v>
      </c>
    </row>
    <row r="4914" spans="1:15" x14ac:dyDescent="0.25">
      <c r="A4914" s="786" t="s">
        <v>9445</v>
      </c>
      <c r="B4914" s="787">
        <v>4</v>
      </c>
      <c r="C4914" s="787" t="s">
        <v>9446</v>
      </c>
      <c r="D4914" s="787">
        <v>0.37</v>
      </c>
      <c r="E4914" s="787">
        <v>0.37</v>
      </c>
      <c r="F4914" s="788">
        <v>39101</v>
      </c>
      <c r="G4914" s="788">
        <v>41943</v>
      </c>
      <c r="H4914" s="787">
        <v>1</v>
      </c>
      <c r="I4914" s="788">
        <v>40989</v>
      </c>
      <c r="J4914" s="788">
        <v>39149</v>
      </c>
      <c r="L4914" s="787">
        <v>3.24</v>
      </c>
      <c r="M4914" s="787">
        <v>10</v>
      </c>
      <c r="N4914" s="787">
        <v>5.52</v>
      </c>
      <c r="O4914" s="788">
        <v>42146</v>
      </c>
    </row>
    <row r="4915" spans="1:15" x14ac:dyDescent="0.25">
      <c r="A4915" s="786" t="s">
        <v>9447</v>
      </c>
      <c r="B4915" s="787">
        <v>4</v>
      </c>
      <c r="C4915" s="787" t="s">
        <v>8892</v>
      </c>
      <c r="D4915" s="787">
        <v>3.48</v>
      </c>
      <c r="E4915" s="787">
        <v>9.1999999999999993</v>
      </c>
      <c r="F4915" s="788">
        <v>41281</v>
      </c>
      <c r="G4915" s="788">
        <v>42165</v>
      </c>
      <c r="H4915" s="787">
        <v>1</v>
      </c>
      <c r="I4915" s="788">
        <v>42165</v>
      </c>
      <c r="J4915" s="788">
        <v>42156</v>
      </c>
      <c r="L4915" s="787">
        <v>4.8099999999999996</v>
      </c>
      <c r="M4915" s="787">
        <v>10</v>
      </c>
      <c r="N4915" s="787">
        <v>6.34</v>
      </c>
      <c r="O4915" s="788">
        <v>42162</v>
      </c>
    </row>
    <row r="4916" spans="1:15" x14ac:dyDescent="0.25">
      <c r="A4916" s="786" t="s">
        <v>9448</v>
      </c>
      <c r="B4916" s="787">
        <v>4</v>
      </c>
      <c r="C4916" s="787" t="s">
        <v>9449</v>
      </c>
      <c r="D4916" s="787">
        <v>2.5499999999999998</v>
      </c>
      <c r="E4916" s="787">
        <v>23.71</v>
      </c>
      <c r="F4916" s="788">
        <v>41775</v>
      </c>
      <c r="G4916" s="788">
        <v>42165</v>
      </c>
      <c r="H4916" s="787">
        <v>1</v>
      </c>
      <c r="I4916" s="788">
        <v>42166</v>
      </c>
      <c r="J4916" s="788">
        <v>42165</v>
      </c>
      <c r="L4916" s="787">
        <v>33.1</v>
      </c>
      <c r="M4916" s="787">
        <v>10</v>
      </c>
      <c r="N4916" s="787">
        <v>24.97</v>
      </c>
      <c r="O4916" s="788">
        <v>42162</v>
      </c>
    </row>
    <row r="4917" spans="1:15" x14ac:dyDescent="0.25">
      <c r="A4917" s="786" t="s">
        <v>9450</v>
      </c>
      <c r="B4917" s="787">
        <v>4</v>
      </c>
      <c r="C4917" s="787" t="s">
        <v>9451</v>
      </c>
      <c r="D4917" s="787">
        <v>0.27</v>
      </c>
      <c r="E4917" s="787">
        <v>0.87</v>
      </c>
      <c r="F4917" s="788">
        <v>39456</v>
      </c>
      <c r="G4917" s="788">
        <v>42013</v>
      </c>
      <c r="H4917" s="787">
        <v>1</v>
      </c>
      <c r="I4917" s="788">
        <v>42136</v>
      </c>
      <c r="J4917" s="788">
        <v>41914</v>
      </c>
      <c r="L4917" s="787">
        <v>0.71</v>
      </c>
      <c r="M4917" s="787">
        <v>10</v>
      </c>
      <c r="N4917" s="787">
        <v>1.99</v>
      </c>
      <c r="O4917" s="788">
        <v>42164</v>
      </c>
    </row>
    <row r="4918" spans="1:15" x14ac:dyDescent="0.25">
      <c r="A4918" s="786" t="s">
        <v>9452</v>
      </c>
      <c r="B4918" s="787">
        <v>4</v>
      </c>
      <c r="C4918" s="787" t="s">
        <v>9453</v>
      </c>
      <c r="D4918" s="787">
        <v>0</v>
      </c>
      <c r="E4918" s="787">
        <v>0</v>
      </c>
      <c r="G4918" s="788">
        <v>41943</v>
      </c>
      <c r="H4918" s="787">
        <v>1</v>
      </c>
      <c r="I4918" s="788">
        <v>41568</v>
      </c>
      <c r="J4918" s="788">
        <v>40437</v>
      </c>
      <c r="L4918" s="787">
        <v>6.53</v>
      </c>
      <c r="M4918" s="787">
        <v>10</v>
      </c>
      <c r="N4918" s="787">
        <v>11.48</v>
      </c>
      <c r="O4918" s="788">
        <v>41858</v>
      </c>
    </row>
    <row r="4919" spans="1:15" x14ac:dyDescent="0.25">
      <c r="A4919" s="786" t="s">
        <v>9454</v>
      </c>
      <c r="B4919" s="787">
        <v>4</v>
      </c>
      <c r="C4919" s="787" t="s">
        <v>9455</v>
      </c>
      <c r="D4919" s="787">
        <v>0</v>
      </c>
      <c r="E4919" s="787">
        <v>0</v>
      </c>
      <c r="H4919" s="787">
        <v>1</v>
      </c>
      <c r="I4919" s="788">
        <v>38580</v>
      </c>
      <c r="J4919" s="788">
        <v>38736</v>
      </c>
      <c r="L4919" s="787">
        <v>10.44</v>
      </c>
      <c r="M4919" s="787">
        <v>10</v>
      </c>
      <c r="N4919" s="787">
        <v>12.14</v>
      </c>
      <c r="O4919" s="788">
        <v>41869</v>
      </c>
    </row>
    <row r="4920" spans="1:15" x14ac:dyDescent="0.25">
      <c r="A4920" s="786" t="s">
        <v>9456</v>
      </c>
      <c r="B4920" s="787">
        <v>4</v>
      </c>
      <c r="C4920" s="787" t="s">
        <v>9457</v>
      </c>
      <c r="D4920" s="787">
        <v>0</v>
      </c>
      <c r="E4920" s="787">
        <v>0</v>
      </c>
      <c r="H4920" s="787">
        <v>1</v>
      </c>
      <c r="I4920" s="788">
        <v>38580</v>
      </c>
      <c r="J4920" s="788">
        <v>38736</v>
      </c>
      <c r="L4920" s="787">
        <v>6.46</v>
      </c>
      <c r="M4920" s="787">
        <v>10</v>
      </c>
      <c r="N4920" s="787">
        <v>9.06</v>
      </c>
      <c r="O4920" s="788">
        <v>41869</v>
      </c>
    </row>
    <row r="4921" spans="1:15" x14ac:dyDescent="0.25">
      <c r="A4921" s="786" t="s">
        <v>9458</v>
      </c>
      <c r="B4921" s="787">
        <v>4</v>
      </c>
      <c r="C4921" s="787" t="s">
        <v>9459</v>
      </c>
      <c r="D4921" s="787">
        <v>0</v>
      </c>
      <c r="E4921" s="787">
        <v>0</v>
      </c>
      <c r="H4921" s="787">
        <v>1</v>
      </c>
      <c r="I4921" s="788">
        <v>38580</v>
      </c>
      <c r="J4921" s="788">
        <v>38736</v>
      </c>
      <c r="L4921" s="787">
        <v>8.33</v>
      </c>
      <c r="M4921" s="787">
        <v>10</v>
      </c>
      <c r="N4921" s="787">
        <v>10.78</v>
      </c>
      <c r="O4921" s="788">
        <v>41869</v>
      </c>
    </row>
    <row r="4922" spans="1:15" x14ac:dyDescent="0.25">
      <c r="A4922" s="786" t="s">
        <v>9460</v>
      </c>
      <c r="B4922" s="787">
        <v>4</v>
      </c>
      <c r="C4922" s="787" t="s">
        <v>9461</v>
      </c>
      <c r="D4922" s="787">
        <v>0</v>
      </c>
      <c r="E4922" s="787">
        <v>0</v>
      </c>
      <c r="H4922" s="787">
        <v>6</v>
      </c>
      <c r="I4922" s="788">
        <v>38133</v>
      </c>
      <c r="L4922" s="787">
        <v>6.53</v>
      </c>
      <c r="M4922" s="787">
        <v>10</v>
      </c>
      <c r="N4922" s="787">
        <v>4.49</v>
      </c>
      <c r="O4922" s="788">
        <v>39897</v>
      </c>
    </row>
    <row r="4923" spans="1:15" x14ac:dyDescent="0.25">
      <c r="A4923" s="786" t="s">
        <v>9462</v>
      </c>
      <c r="B4923" s="787">
        <v>4</v>
      </c>
      <c r="C4923" s="787" t="s">
        <v>9463</v>
      </c>
      <c r="D4923" s="787">
        <v>0</v>
      </c>
      <c r="E4923" s="787">
        <v>0</v>
      </c>
      <c r="G4923" s="788">
        <v>38364</v>
      </c>
      <c r="H4923" s="787">
        <v>6</v>
      </c>
      <c r="I4923" s="788">
        <v>38156</v>
      </c>
      <c r="J4923" s="788">
        <v>38142</v>
      </c>
      <c r="L4923" s="787">
        <v>4.1900000000000004</v>
      </c>
      <c r="M4923" s="787">
        <v>10</v>
      </c>
      <c r="N4923" s="787">
        <v>0</v>
      </c>
      <c r="O4923" s="788">
        <v>40824</v>
      </c>
    </row>
    <row r="4924" spans="1:15" x14ac:dyDescent="0.25">
      <c r="A4924" s="786" t="s">
        <v>9464</v>
      </c>
      <c r="B4924" s="787">
        <v>4</v>
      </c>
      <c r="C4924" s="787" t="s">
        <v>9465</v>
      </c>
      <c r="D4924" s="787">
        <v>2.44</v>
      </c>
      <c r="E4924" s="787">
        <v>2.44</v>
      </c>
      <c r="F4924" s="788">
        <v>39101</v>
      </c>
      <c r="G4924" s="788">
        <v>39101</v>
      </c>
      <c r="H4924" s="787">
        <v>1</v>
      </c>
      <c r="I4924" s="788">
        <v>39017</v>
      </c>
      <c r="J4924" s="788">
        <v>39101</v>
      </c>
      <c r="L4924" s="787">
        <v>6.58</v>
      </c>
      <c r="M4924" s="787">
        <v>10</v>
      </c>
      <c r="N4924" s="787">
        <v>9.49</v>
      </c>
      <c r="O4924" s="788">
        <v>41858</v>
      </c>
    </row>
    <row r="4925" spans="1:15" x14ac:dyDescent="0.25">
      <c r="A4925" s="786" t="s">
        <v>9466</v>
      </c>
      <c r="B4925" s="787">
        <v>4</v>
      </c>
      <c r="C4925" s="787" t="s">
        <v>9467</v>
      </c>
      <c r="D4925" s="787">
        <v>0</v>
      </c>
      <c r="E4925" s="787">
        <v>0</v>
      </c>
      <c r="G4925" s="788">
        <v>38142</v>
      </c>
      <c r="H4925" s="787">
        <v>1</v>
      </c>
      <c r="I4925" s="788">
        <v>38580</v>
      </c>
      <c r="J4925" s="788">
        <v>38142</v>
      </c>
      <c r="L4925" s="787">
        <v>5.68</v>
      </c>
      <c r="M4925" s="787">
        <v>10</v>
      </c>
      <c r="N4925" s="787">
        <v>9.58</v>
      </c>
      <c r="O4925" s="788">
        <v>41858</v>
      </c>
    </row>
    <row r="4926" spans="1:15" x14ac:dyDescent="0.25">
      <c r="A4926" s="786" t="s">
        <v>9468</v>
      </c>
      <c r="B4926" s="787">
        <v>4</v>
      </c>
      <c r="C4926" s="787" t="s">
        <v>9469</v>
      </c>
      <c r="D4926" s="787">
        <v>0</v>
      </c>
      <c r="E4926" s="787">
        <v>0</v>
      </c>
      <c r="H4926" s="787">
        <v>6</v>
      </c>
      <c r="L4926" s="787">
        <v>0.81</v>
      </c>
      <c r="M4926" s="787">
        <v>10</v>
      </c>
      <c r="N4926" s="787">
        <v>0</v>
      </c>
      <c r="O4926" s="788">
        <v>40824</v>
      </c>
    </row>
    <row r="4927" spans="1:15" x14ac:dyDescent="0.25">
      <c r="A4927" s="786" t="s">
        <v>9470</v>
      </c>
      <c r="B4927" s="787">
        <v>4</v>
      </c>
      <c r="C4927" s="787" t="s">
        <v>9471</v>
      </c>
      <c r="D4927" s="787">
        <v>0.62</v>
      </c>
      <c r="E4927" s="787">
        <v>3.03</v>
      </c>
      <c r="F4927" s="788">
        <v>39456</v>
      </c>
      <c r="G4927" s="788">
        <v>42013</v>
      </c>
      <c r="H4927" s="787">
        <v>1</v>
      </c>
      <c r="I4927" s="788">
        <v>42166</v>
      </c>
      <c r="J4927" s="788">
        <v>41862</v>
      </c>
      <c r="K4927" s="788">
        <v>41733</v>
      </c>
      <c r="L4927" s="787">
        <v>2.97</v>
      </c>
      <c r="M4927" s="787">
        <v>20</v>
      </c>
      <c r="N4927" s="787">
        <v>3.19</v>
      </c>
      <c r="O4927" s="788">
        <v>42162</v>
      </c>
    </row>
    <row r="4928" spans="1:15" x14ac:dyDescent="0.25">
      <c r="A4928" s="786" t="s">
        <v>9472</v>
      </c>
      <c r="B4928" s="787">
        <v>4</v>
      </c>
      <c r="C4928" s="787" t="s">
        <v>9473</v>
      </c>
      <c r="D4928" s="787">
        <v>0</v>
      </c>
      <c r="E4928" s="787">
        <v>0</v>
      </c>
      <c r="G4928" s="788">
        <v>38083</v>
      </c>
      <c r="H4928" s="787">
        <v>1</v>
      </c>
      <c r="I4928" s="788">
        <v>38133</v>
      </c>
      <c r="J4928" s="788">
        <v>38083</v>
      </c>
      <c r="L4928" s="787">
        <v>5.29</v>
      </c>
      <c r="M4928" s="787">
        <v>10</v>
      </c>
      <c r="N4928" s="787">
        <v>7.54</v>
      </c>
      <c r="O4928" s="788">
        <v>41869</v>
      </c>
    </row>
    <row r="4929" spans="1:15" x14ac:dyDescent="0.25">
      <c r="A4929" s="786" t="s">
        <v>9474</v>
      </c>
      <c r="B4929" s="787">
        <v>4</v>
      </c>
      <c r="C4929" s="787" t="s">
        <v>9475</v>
      </c>
      <c r="D4929" s="787">
        <v>0</v>
      </c>
      <c r="E4929" s="787">
        <v>0</v>
      </c>
      <c r="H4929" s="787">
        <v>1</v>
      </c>
      <c r="I4929" s="788">
        <v>39057</v>
      </c>
      <c r="J4929" s="788">
        <v>39101</v>
      </c>
      <c r="L4929" s="787">
        <v>3.63</v>
      </c>
      <c r="M4929" s="787">
        <v>10</v>
      </c>
      <c r="N4929" s="787">
        <v>6.16</v>
      </c>
      <c r="O4929" s="788">
        <v>41869</v>
      </c>
    </row>
    <row r="4930" spans="1:15" x14ac:dyDescent="0.25">
      <c r="A4930" s="786" t="s">
        <v>9476</v>
      </c>
      <c r="B4930" s="787">
        <v>4</v>
      </c>
      <c r="C4930" s="787" t="s">
        <v>9477</v>
      </c>
      <c r="D4930" s="787">
        <v>7.98</v>
      </c>
      <c r="E4930" s="787">
        <v>7.98</v>
      </c>
      <c r="F4930" s="788">
        <v>38047</v>
      </c>
      <c r="G4930" s="788">
        <v>38047</v>
      </c>
      <c r="H4930" s="787">
        <v>1</v>
      </c>
      <c r="I4930" s="788">
        <v>38580</v>
      </c>
      <c r="J4930" s="788">
        <v>38047</v>
      </c>
      <c r="L4930" s="787">
        <v>7.21</v>
      </c>
      <c r="M4930" s="787">
        <v>10</v>
      </c>
      <c r="N4930" s="787">
        <v>9.89</v>
      </c>
      <c r="O4930" s="788">
        <v>41858</v>
      </c>
    </row>
    <row r="4931" spans="1:15" x14ac:dyDescent="0.25">
      <c r="A4931" s="786" t="s">
        <v>9478</v>
      </c>
      <c r="B4931" s="787">
        <v>4</v>
      </c>
      <c r="C4931" s="787" t="s">
        <v>9479</v>
      </c>
      <c r="D4931" s="787">
        <v>7.98</v>
      </c>
      <c r="E4931" s="787">
        <v>7.98</v>
      </c>
      <c r="F4931" s="788">
        <v>38047</v>
      </c>
      <c r="G4931" s="788">
        <v>38047</v>
      </c>
      <c r="H4931" s="787">
        <v>1</v>
      </c>
      <c r="I4931" s="788">
        <v>38580</v>
      </c>
      <c r="J4931" s="788">
        <v>38047</v>
      </c>
      <c r="L4931" s="787">
        <v>7.21</v>
      </c>
      <c r="M4931" s="787">
        <v>10</v>
      </c>
      <c r="N4931" s="787">
        <v>9.89</v>
      </c>
      <c r="O4931" s="788">
        <v>41858</v>
      </c>
    </row>
    <row r="4932" spans="1:15" x14ac:dyDescent="0.25">
      <c r="A4932" s="786" t="s">
        <v>9480</v>
      </c>
      <c r="B4932" s="787">
        <v>4</v>
      </c>
      <c r="C4932" s="787" t="s">
        <v>9481</v>
      </c>
      <c r="D4932" s="787">
        <v>0</v>
      </c>
      <c r="E4932" s="787">
        <v>0</v>
      </c>
      <c r="G4932" s="788">
        <v>38083</v>
      </c>
      <c r="H4932" s="787">
        <v>1</v>
      </c>
      <c r="I4932" s="788">
        <v>38467</v>
      </c>
      <c r="J4932" s="788">
        <v>38083</v>
      </c>
      <c r="L4932" s="787">
        <v>7.21</v>
      </c>
      <c r="M4932" s="787">
        <v>10</v>
      </c>
      <c r="N4932" s="787">
        <v>9.89</v>
      </c>
      <c r="O4932" s="788">
        <v>41858</v>
      </c>
    </row>
    <row r="4933" spans="1:15" x14ac:dyDescent="0.25">
      <c r="A4933" s="786" t="s">
        <v>9482</v>
      </c>
      <c r="B4933" s="787">
        <v>4</v>
      </c>
      <c r="C4933" s="787" t="s">
        <v>9483</v>
      </c>
      <c r="D4933" s="787">
        <v>0</v>
      </c>
      <c r="E4933" s="787">
        <v>0</v>
      </c>
      <c r="G4933" s="788">
        <v>38083</v>
      </c>
      <c r="H4933" s="787">
        <v>1</v>
      </c>
      <c r="I4933" s="788">
        <v>38467</v>
      </c>
      <c r="J4933" s="788">
        <v>38083</v>
      </c>
      <c r="L4933" s="787">
        <v>7.21</v>
      </c>
      <c r="M4933" s="787">
        <v>10</v>
      </c>
      <c r="N4933" s="787">
        <v>9.89</v>
      </c>
      <c r="O4933" s="788">
        <v>41858</v>
      </c>
    </row>
    <row r="4934" spans="1:15" x14ac:dyDescent="0.25">
      <c r="A4934" s="786" t="s">
        <v>9484</v>
      </c>
      <c r="B4934" s="787">
        <v>4</v>
      </c>
      <c r="C4934" s="787" t="s">
        <v>9414</v>
      </c>
      <c r="D4934" s="787">
        <v>1.42</v>
      </c>
      <c r="E4934" s="787">
        <v>9.3699999999999992</v>
      </c>
      <c r="F4934" s="788">
        <v>38772</v>
      </c>
      <c r="G4934" s="788">
        <v>42111</v>
      </c>
      <c r="H4934" s="787">
        <v>1</v>
      </c>
      <c r="I4934" s="788">
        <v>42111</v>
      </c>
      <c r="J4934" s="788">
        <v>42111</v>
      </c>
      <c r="L4934" s="787">
        <v>2.0499999999999998</v>
      </c>
      <c r="M4934" s="787">
        <v>10</v>
      </c>
      <c r="N4934" s="787">
        <v>10.62</v>
      </c>
      <c r="O4934" s="788">
        <v>42087</v>
      </c>
    </row>
    <row r="4935" spans="1:15" x14ac:dyDescent="0.25">
      <c r="A4935" s="786" t="s">
        <v>9485</v>
      </c>
      <c r="B4935" s="787">
        <v>4</v>
      </c>
      <c r="C4935" s="787" t="s">
        <v>9486</v>
      </c>
      <c r="D4935" s="787">
        <v>1.47</v>
      </c>
      <c r="E4935" s="787">
        <v>1.88</v>
      </c>
      <c r="F4935" s="788">
        <v>38772</v>
      </c>
      <c r="G4935" s="788">
        <v>41943</v>
      </c>
      <c r="H4935" s="787">
        <v>1</v>
      </c>
      <c r="I4935" s="788">
        <v>41442</v>
      </c>
      <c r="J4935" s="788">
        <v>41456</v>
      </c>
      <c r="L4935" s="787">
        <v>2.0499999999999998</v>
      </c>
      <c r="M4935" s="787">
        <v>10</v>
      </c>
      <c r="N4935" s="787">
        <v>5.27</v>
      </c>
      <c r="O4935" s="788">
        <v>42109</v>
      </c>
    </row>
    <row r="4936" spans="1:15" x14ac:dyDescent="0.25">
      <c r="A4936" s="786" t="s">
        <v>9487</v>
      </c>
      <c r="B4936" s="787">
        <v>4</v>
      </c>
      <c r="C4936" s="787" t="s">
        <v>9488</v>
      </c>
      <c r="D4936" s="787">
        <v>0.17</v>
      </c>
      <c r="E4936" s="787">
        <v>0.17</v>
      </c>
      <c r="F4936" s="788">
        <v>41813</v>
      </c>
      <c r="G4936" s="788">
        <v>42013</v>
      </c>
      <c r="H4936" s="787">
        <v>1</v>
      </c>
      <c r="I4936" s="788">
        <v>42016</v>
      </c>
      <c r="J4936" s="788">
        <v>41544</v>
      </c>
      <c r="L4936" s="787">
        <v>1.39</v>
      </c>
      <c r="M4936" s="787">
        <v>10</v>
      </c>
      <c r="N4936" s="787">
        <v>1.52</v>
      </c>
      <c r="O4936" s="788">
        <v>42083</v>
      </c>
    </row>
    <row r="4937" spans="1:15" x14ac:dyDescent="0.25">
      <c r="A4937" s="786" t="s">
        <v>9489</v>
      </c>
      <c r="B4937" s="787">
        <v>4</v>
      </c>
      <c r="C4937" s="787" t="s">
        <v>9490</v>
      </c>
      <c r="D4937" s="787">
        <v>0.61</v>
      </c>
      <c r="E4937" s="787">
        <v>1.8</v>
      </c>
      <c r="F4937" s="788">
        <v>41920</v>
      </c>
      <c r="G4937" s="788">
        <v>42076</v>
      </c>
      <c r="H4937" s="787">
        <v>1</v>
      </c>
      <c r="I4937" s="788">
        <v>42151</v>
      </c>
      <c r="J4937" s="788">
        <v>42047</v>
      </c>
      <c r="K4937" s="788">
        <v>40562</v>
      </c>
      <c r="L4937" s="787">
        <v>3.13</v>
      </c>
      <c r="M4937" s="787">
        <v>10</v>
      </c>
      <c r="N4937" s="787">
        <v>1.91</v>
      </c>
      <c r="O4937" s="788">
        <v>42146</v>
      </c>
    </row>
    <row r="4938" spans="1:15" x14ac:dyDescent="0.25">
      <c r="A4938" s="786" t="s">
        <v>9491</v>
      </c>
      <c r="B4938" s="787">
        <v>4</v>
      </c>
      <c r="C4938" s="787" t="s">
        <v>9492</v>
      </c>
      <c r="D4938" s="787">
        <v>0.15</v>
      </c>
      <c r="E4938" s="787">
        <v>0.15</v>
      </c>
      <c r="F4938" s="788">
        <v>42076</v>
      </c>
      <c r="G4938" s="788">
        <v>42156</v>
      </c>
      <c r="H4938" s="787">
        <v>1</v>
      </c>
      <c r="I4938" s="788">
        <v>42151</v>
      </c>
      <c r="J4938" s="788">
        <v>42156</v>
      </c>
      <c r="K4938" s="788">
        <v>40562</v>
      </c>
      <c r="L4938" s="787">
        <v>3.13</v>
      </c>
      <c r="M4938" s="787">
        <v>10</v>
      </c>
      <c r="N4938" s="787">
        <v>1.91</v>
      </c>
      <c r="O4938" s="788">
        <v>42146</v>
      </c>
    </row>
    <row r="4939" spans="1:15" x14ac:dyDescent="0.25">
      <c r="A4939" s="786" t="s">
        <v>9493</v>
      </c>
      <c r="B4939" s="787">
        <v>4</v>
      </c>
      <c r="C4939" s="787" t="s">
        <v>9494</v>
      </c>
      <c r="D4939" s="787">
        <v>0.09</v>
      </c>
      <c r="E4939" s="787">
        <v>1.49</v>
      </c>
      <c r="F4939" s="788">
        <v>39975</v>
      </c>
      <c r="G4939" s="788">
        <v>42137</v>
      </c>
      <c r="H4939" s="787">
        <v>1</v>
      </c>
      <c r="I4939" s="788">
        <v>42136</v>
      </c>
      <c r="J4939" s="788">
        <v>42137</v>
      </c>
      <c r="K4939" s="788">
        <v>40562</v>
      </c>
      <c r="L4939" s="787">
        <v>3.07</v>
      </c>
      <c r="M4939" s="787">
        <v>10</v>
      </c>
      <c r="N4939" s="787">
        <v>1.86</v>
      </c>
      <c r="O4939" s="788">
        <v>42146</v>
      </c>
    </row>
    <row r="4940" spans="1:15" x14ac:dyDescent="0.25">
      <c r="A4940" s="786" t="s">
        <v>9495</v>
      </c>
      <c r="B4940" s="787">
        <v>4</v>
      </c>
      <c r="C4940" s="787" t="s">
        <v>9496</v>
      </c>
      <c r="D4940" s="787">
        <v>0.81</v>
      </c>
      <c r="E4940" s="787">
        <v>11.32</v>
      </c>
      <c r="F4940" s="788">
        <v>41135</v>
      </c>
      <c r="G4940" s="788">
        <v>42159</v>
      </c>
      <c r="H4940" s="787">
        <v>1</v>
      </c>
      <c r="I4940" s="788">
        <v>42165</v>
      </c>
      <c r="J4940" s="788">
        <v>42159</v>
      </c>
      <c r="K4940" s="788">
        <v>41129</v>
      </c>
      <c r="L4940" s="787">
        <v>9.4</v>
      </c>
      <c r="M4940" s="787">
        <v>10</v>
      </c>
      <c r="N4940" s="787">
        <v>10.89</v>
      </c>
      <c r="O4940" s="788">
        <v>42156</v>
      </c>
    </row>
    <row r="4941" spans="1:15" x14ac:dyDescent="0.25">
      <c r="A4941" s="786" t="s">
        <v>9497</v>
      </c>
      <c r="B4941" s="787">
        <v>4</v>
      </c>
      <c r="C4941" s="787" t="s">
        <v>9498</v>
      </c>
      <c r="D4941" s="787">
        <v>1.1399999999999999</v>
      </c>
      <c r="E4941" s="787">
        <v>11.67</v>
      </c>
      <c r="F4941" s="788">
        <v>41775</v>
      </c>
      <c r="G4941" s="788">
        <v>42163</v>
      </c>
      <c r="H4941" s="787">
        <v>1</v>
      </c>
      <c r="I4941" s="788">
        <v>42165</v>
      </c>
      <c r="J4941" s="788">
        <v>42129</v>
      </c>
      <c r="L4941" s="787">
        <v>1.65</v>
      </c>
      <c r="M4941" s="787">
        <v>10</v>
      </c>
      <c r="N4941" s="787">
        <v>11.12</v>
      </c>
      <c r="O4941" s="788">
        <v>42162</v>
      </c>
    </row>
    <row r="4942" spans="1:15" x14ac:dyDescent="0.25">
      <c r="A4942" s="786" t="s">
        <v>9499</v>
      </c>
      <c r="B4942" s="787">
        <v>4</v>
      </c>
      <c r="C4942" s="787" t="s">
        <v>9500</v>
      </c>
      <c r="D4942" s="787">
        <v>0.59</v>
      </c>
      <c r="E4942" s="787">
        <v>12.31</v>
      </c>
      <c r="F4942" s="788">
        <v>41775</v>
      </c>
      <c r="G4942" s="788">
        <v>42165</v>
      </c>
      <c r="H4942" s="787">
        <v>1</v>
      </c>
      <c r="I4942" s="788">
        <v>42166</v>
      </c>
      <c r="J4942" s="788">
        <v>42165</v>
      </c>
      <c r="K4942" s="788">
        <v>41904</v>
      </c>
      <c r="L4942" s="787">
        <v>11.5</v>
      </c>
      <c r="M4942" s="787">
        <v>10</v>
      </c>
      <c r="N4942" s="787">
        <v>11.49</v>
      </c>
      <c r="O4942" s="788">
        <v>42162</v>
      </c>
    </row>
    <row r="4943" spans="1:15" x14ac:dyDescent="0.25">
      <c r="A4943" s="786" t="s">
        <v>9501</v>
      </c>
      <c r="B4943" s="787">
        <v>4</v>
      </c>
      <c r="C4943" s="787" t="s">
        <v>9502</v>
      </c>
      <c r="D4943" s="787">
        <v>0.88</v>
      </c>
      <c r="E4943" s="787">
        <v>0.88</v>
      </c>
      <c r="F4943" s="788">
        <v>38606</v>
      </c>
      <c r="G4943" s="788">
        <v>38606</v>
      </c>
      <c r="H4943" s="787">
        <v>1</v>
      </c>
      <c r="I4943" s="788">
        <v>38736</v>
      </c>
      <c r="J4943" s="788">
        <v>38404</v>
      </c>
      <c r="L4943" s="787">
        <v>3.71</v>
      </c>
      <c r="M4943" s="787">
        <v>10</v>
      </c>
      <c r="N4943" s="787">
        <v>11.77</v>
      </c>
      <c r="O4943" s="788">
        <v>42083</v>
      </c>
    </row>
    <row r="4944" spans="1:15" x14ac:dyDescent="0.25">
      <c r="A4944" s="786" t="s">
        <v>9503</v>
      </c>
      <c r="B4944" s="787">
        <v>4</v>
      </c>
      <c r="C4944" s="787" t="s">
        <v>9504</v>
      </c>
      <c r="D4944" s="787">
        <v>0</v>
      </c>
      <c r="E4944" s="787">
        <v>0</v>
      </c>
      <c r="H4944" s="787">
        <v>1</v>
      </c>
      <c r="L4944" s="787">
        <v>0</v>
      </c>
      <c r="M4944" s="787">
        <v>10</v>
      </c>
      <c r="N4944" s="787">
        <v>0</v>
      </c>
      <c r="O4944" s="788">
        <v>41858</v>
      </c>
    </row>
    <row r="4945" spans="1:15" x14ac:dyDescent="0.25">
      <c r="A4945" s="786" t="s">
        <v>9505</v>
      </c>
      <c r="B4945" s="787">
        <v>4</v>
      </c>
      <c r="C4945" s="787" t="s">
        <v>9506</v>
      </c>
      <c r="D4945" s="787">
        <v>0</v>
      </c>
      <c r="E4945" s="787">
        <v>0</v>
      </c>
      <c r="H4945" s="787">
        <v>1</v>
      </c>
      <c r="L4945" s="787">
        <v>3.83</v>
      </c>
      <c r="M4945" s="787">
        <v>10</v>
      </c>
      <c r="N4945" s="787">
        <v>6.23</v>
      </c>
      <c r="O4945" s="788">
        <v>41869</v>
      </c>
    </row>
    <row r="4946" spans="1:15" x14ac:dyDescent="0.25">
      <c r="A4946" s="786" t="s">
        <v>9507</v>
      </c>
      <c r="B4946" s="787">
        <v>4</v>
      </c>
      <c r="C4946" s="787" t="s">
        <v>9508</v>
      </c>
      <c r="D4946" s="787">
        <v>3.03</v>
      </c>
      <c r="E4946" s="787">
        <v>6.47</v>
      </c>
      <c r="F4946" s="788">
        <v>39456</v>
      </c>
      <c r="G4946" s="788">
        <v>42165</v>
      </c>
      <c r="H4946" s="787">
        <v>1</v>
      </c>
      <c r="I4946" s="788">
        <v>42165</v>
      </c>
      <c r="J4946" s="788">
        <v>42165</v>
      </c>
      <c r="L4946" s="787">
        <v>6.37</v>
      </c>
      <c r="M4946" s="787">
        <v>10</v>
      </c>
      <c r="N4946" s="787">
        <v>6.3</v>
      </c>
      <c r="O4946" s="788">
        <v>42087</v>
      </c>
    </row>
    <row r="4947" spans="1:15" x14ac:dyDescent="0.25">
      <c r="A4947" s="786" t="s">
        <v>9509</v>
      </c>
      <c r="B4947" s="787">
        <v>4</v>
      </c>
      <c r="C4947" s="787" t="s">
        <v>9510</v>
      </c>
      <c r="D4947" s="787">
        <v>1.65</v>
      </c>
      <c r="E4947" s="787">
        <v>1.65</v>
      </c>
      <c r="F4947" s="788">
        <v>41548</v>
      </c>
      <c r="G4947" s="788">
        <v>42158</v>
      </c>
      <c r="H4947" s="787">
        <v>1</v>
      </c>
      <c r="I4947" s="788">
        <v>42136</v>
      </c>
      <c r="J4947" s="788">
        <v>42158</v>
      </c>
      <c r="L4947" s="787">
        <v>6.99</v>
      </c>
      <c r="M4947" s="787">
        <v>10</v>
      </c>
      <c r="N4947" s="787">
        <v>4.18</v>
      </c>
      <c r="O4947" s="788">
        <v>42136</v>
      </c>
    </row>
    <row r="4948" spans="1:15" x14ac:dyDescent="0.25">
      <c r="A4948" s="786" t="s">
        <v>9511</v>
      </c>
      <c r="B4948" s="787">
        <v>4</v>
      </c>
      <c r="C4948" s="787" t="s">
        <v>9512</v>
      </c>
      <c r="D4948" s="787">
        <v>0</v>
      </c>
      <c r="E4948" s="787">
        <v>0</v>
      </c>
      <c r="H4948" s="787">
        <v>1</v>
      </c>
      <c r="I4948" s="788">
        <v>42136</v>
      </c>
      <c r="J4948" s="788">
        <v>42136</v>
      </c>
      <c r="L4948" s="787">
        <v>14.74</v>
      </c>
      <c r="M4948" s="787">
        <v>10</v>
      </c>
      <c r="N4948" s="787">
        <v>22.86</v>
      </c>
      <c r="O4948" s="788">
        <v>42136</v>
      </c>
    </row>
    <row r="4949" spans="1:15" x14ac:dyDescent="0.25">
      <c r="A4949" s="786" t="s">
        <v>9513</v>
      </c>
      <c r="B4949" s="787">
        <v>4</v>
      </c>
      <c r="C4949" s="787" t="s">
        <v>9514</v>
      </c>
      <c r="D4949" s="787">
        <v>0</v>
      </c>
      <c r="E4949" s="787">
        <v>0</v>
      </c>
      <c r="H4949" s="787">
        <v>1</v>
      </c>
      <c r="I4949" s="788">
        <v>42060</v>
      </c>
      <c r="J4949" s="788">
        <v>42060</v>
      </c>
      <c r="L4949" s="787">
        <v>10.59</v>
      </c>
      <c r="M4949" s="787">
        <v>10</v>
      </c>
      <c r="N4949" s="787">
        <v>14.35</v>
      </c>
      <c r="O4949" s="788">
        <v>42087</v>
      </c>
    </row>
    <row r="4950" spans="1:15" x14ac:dyDescent="0.25">
      <c r="A4950" s="786" t="s">
        <v>9515</v>
      </c>
      <c r="B4950" s="787">
        <v>4</v>
      </c>
      <c r="C4950" s="787" t="s">
        <v>9516</v>
      </c>
      <c r="D4950" s="787">
        <v>0</v>
      </c>
      <c r="E4950" s="787">
        <v>0</v>
      </c>
      <c r="H4950" s="787">
        <v>1</v>
      </c>
      <c r="L4950" s="787">
        <v>7.93</v>
      </c>
      <c r="M4950" s="787">
        <v>10</v>
      </c>
      <c r="N4950" s="787">
        <v>11.3</v>
      </c>
      <c r="O4950" s="788">
        <v>42083</v>
      </c>
    </row>
    <row r="4951" spans="1:15" x14ac:dyDescent="0.25">
      <c r="A4951" s="786" t="s">
        <v>9517</v>
      </c>
      <c r="B4951" s="787">
        <v>4</v>
      </c>
      <c r="C4951" s="787" t="s">
        <v>9518</v>
      </c>
      <c r="D4951" s="787">
        <v>0</v>
      </c>
      <c r="E4951" s="787">
        <v>0</v>
      </c>
      <c r="H4951" s="787">
        <v>1</v>
      </c>
      <c r="L4951" s="787">
        <v>6.82</v>
      </c>
      <c r="M4951" s="787">
        <v>10</v>
      </c>
      <c r="N4951" s="787">
        <v>10.78</v>
      </c>
      <c r="O4951" s="788">
        <v>42083</v>
      </c>
    </row>
    <row r="4952" spans="1:15" x14ac:dyDescent="0.25">
      <c r="A4952" s="786" t="s">
        <v>9519</v>
      </c>
      <c r="B4952" s="787">
        <v>4</v>
      </c>
      <c r="C4952" s="787" t="s">
        <v>9520</v>
      </c>
      <c r="D4952" s="787">
        <v>0</v>
      </c>
      <c r="E4952" s="787">
        <v>0</v>
      </c>
      <c r="H4952" s="787">
        <v>1</v>
      </c>
      <c r="I4952" s="788">
        <v>42060</v>
      </c>
      <c r="J4952" s="788">
        <v>41677</v>
      </c>
      <c r="L4952" s="787">
        <v>18.07</v>
      </c>
      <c r="M4952" s="787">
        <v>10</v>
      </c>
      <c r="N4952" s="787">
        <v>16.670000000000002</v>
      </c>
      <c r="O4952" s="788">
        <v>42083</v>
      </c>
    </row>
    <row r="4953" spans="1:15" x14ac:dyDescent="0.25">
      <c r="A4953" s="786" t="s">
        <v>9521</v>
      </c>
      <c r="B4953" s="787">
        <v>4</v>
      </c>
      <c r="C4953" s="787" t="s">
        <v>9477</v>
      </c>
      <c r="D4953" s="787">
        <v>0</v>
      </c>
      <c r="E4953" s="787">
        <v>0</v>
      </c>
      <c r="H4953" s="787">
        <v>1</v>
      </c>
      <c r="I4953" s="788">
        <v>42060</v>
      </c>
      <c r="J4953" s="788">
        <v>42060</v>
      </c>
      <c r="L4953" s="787">
        <v>4.74</v>
      </c>
      <c r="M4953" s="787">
        <v>10</v>
      </c>
      <c r="N4953" s="787">
        <v>10.77</v>
      </c>
      <c r="O4953" s="788">
        <v>42083</v>
      </c>
    </row>
    <row r="4954" spans="1:15" x14ac:dyDescent="0.25">
      <c r="A4954" s="786" t="s">
        <v>9522</v>
      </c>
      <c r="B4954" s="787">
        <v>4</v>
      </c>
      <c r="C4954" s="787" t="s">
        <v>9479</v>
      </c>
      <c r="D4954" s="787">
        <v>0</v>
      </c>
      <c r="E4954" s="787">
        <v>0</v>
      </c>
      <c r="H4954" s="787">
        <v>1</v>
      </c>
      <c r="I4954" s="788">
        <v>42060</v>
      </c>
      <c r="J4954" s="788">
        <v>42060</v>
      </c>
      <c r="L4954" s="787">
        <v>6.81</v>
      </c>
      <c r="M4954" s="787">
        <v>10</v>
      </c>
      <c r="N4954" s="787">
        <v>10.14</v>
      </c>
      <c r="O4954" s="788">
        <v>42083</v>
      </c>
    </row>
    <row r="4955" spans="1:15" x14ac:dyDescent="0.25">
      <c r="A4955" s="786" t="s">
        <v>9523</v>
      </c>
      <c r="B4955" s="787">
        <v>4</v>
      </c>
      <c r="C4955" s="787" t="s">
        <v>9524</v>
      </c>
      <c r="D4955" s="787">
        <v>0</v>
      </c>
      <c r="E4955" s="787">
        <v>0</v>
      </c>
      <c r="H4955" s="787">
        <v>1</v>
      </c>
      <c r="I4955" s="788">
        <v>41676</v>
      </c>
      <c r="J4955" s="788">
        <v>41677</v>
      </c>
      <c r="L4955" s="787">
        <v>7.2</v>
      </c>
      <c r="M4955" s="787">
        <v>10</v>
      </c>
      <c r="N4955" s="787">
        <v>10.61</v>
      </c>
      <c r="O4955" s="788">
        <v>42087</v>
      </c>
    </row>
    <row r="4956" spans="1:15" x14ac:dyDescent="0.25">
      <c r="A4956" s="786" t="s">
        <v>9525</v>
      </c>
      <c r="B4956" s="787">
        <v>4</v>
      </c>
      <c r="C4956" s="787" t="s">
        <v>9526</v>
      </c>
      <c r="D4956" s="787">
        <v>0</v>
      </c>
      <c r="E4956" s="787">
        <v>0</v>
      </c>
      <c r="H4956" s="787">
        <v>1</v>
      </c>
      <c r="I4956" s="788">
        <v>41676</v>
      </c>
      <c r="J4956" s="788">
        <v>41677</v>
      </c>
      <c r="L4956" s="787">
        <v>6.38</v>
      </c>
      <c r="M4956" s="787">
        <v>10</v>
      </c>
      <c r="N4956" s="787">
        <v>9.7200000000000006</v>
      </c>
      <c r="O4956" s="788">
        <v>42087</v>
      </c>
    </row>
    <row r="4957" spans="1:15" x14ac:dyDescent="0.25">
      <c r="A4957" s="786" t="s">
        <v>9527</v>
      </c>
      <c r="B4957" s="787">
        <v>4</v>
      </c>
      <c r="C4957" s="787" t="s">
        <v>9528</v>
      </c>
      <c r="D4957" s="787">
        <v>0</v>
      </c>
      <c r="E4957" s="787">
        <v>0</v>
      </c>
      <c r="H4957" s="787">
        <v>1</v>
      </c>
      <c r="I4957" s="788">
        <v>42060</v>
      </c>
      <c r="J4957" s="788">
        <v>42060</v>
      </c>
      <c r="L4957" s="787">
        <v>4.99</v>
      </c>
      <c r="M4957" s="787">
        <v>10</v>
      </c>
      <c r="N4957" s="787">
        <v>8.56</v>
      </c>
      <c r="O4957" s="788">
        <v>42083</v>
      </c>
    </row>
    <row r="4958" spans="1:15" x14ac:dyDescent="0.25">
      <c r="A4958" s="786" t="s">
        <v>9529</v>
      </c>
      <c r="B4958" s="787">
        <v>4</v>
      </c>
      <c r="C4958" s="787" t="s">
        <v>9530</v>
      </c>
      <c r="D4958" s="787">
        <v>0</v>
      </c>
      <c r="E4958" s="787">
        <v>0</v>
      </c>
      <c r="H4958" s="787">
        <v>1</v>
      </c>
      <c r="I4958" s="788">
        <v>41676</v>
      </c>
      <c r="J4958" s="788">
        <v>41677</v>
      </c>
      <c r="L4958" s="787">
        <v>4.99</v>
      </c>
      <c r="M4958" s="787">
        <v>10</v>
      </c>
      <c r="N4958" s="787">
        <v>8.56</v>
      </c>
      <c r="O4958" s="788">
        <v>42083</v>
      </c>
    </row>
    <row r="4959" spans="1:15" x14ac:dyDescent="0.25">
      <c r="A4959" s="786" t="s">
        <v>9531</v>
      </c>
      <c r="B4959" s="787">
        <v>4</v>
      </c>
      <c r="C4959" s="787" t="s">
        <v>9532</v>
      </c>
      <c r="D4959" s="787">
        <v>0</v>
      </c>
      <c r="E4959" s="787">
        <v>0</v>
      </c>
      <c r="H4959" s="787">
        <v>1</v>
      </c>
      <c r="I4959" s="788">
        <v>40949</v>
      </c>
      <c r="J4959" s="788">
        <v>38736</v>
      </c>
      <c r="L4959" s="787">
        <v>7.69</v>
      </c>
      <c r="M4959" s="787">
        <v>10</v>
      </c>
      <c r="N4959" s="787">
        <v>17.53</v>
      </c>
      <c r="O4959" s="788">
        <v>42048</v>
      </c>
    </row>
    <row r="4960" spans="1:15" x14ac:dyDescent="0.25">
      <c r="A4960" s="786" t="s">
        <v>9533</v>
      </c>
      <c r="B4960" s="787">
        <v>4</v>
      </c>
      <c r="C4960" s="787" t="s">
        <v>9534</v>
      </c>
      <c r="D4960" s="787">
        <v>0</v>
      </c>
      <c r="E4960" s="787">
        <v>0</v>
      </c>
      <c r="H4960" s="787">
        <v>1</v>
      </c>
      <c r="L4960" s="787">
        <v>7.69</v>
      </c>
      <c r="M4960" s="787">
        <v>10</v>
      </c>
      <c r="N4960" s="787">
        <v>17.53</v>
      </c>
      <c r="O4960" s="788">
        <v>42048</v>
      </c>
    </row>
    <row r="4961" spans="1:15" x14ac:dyDescent="0.25">
      <c r="A4961" s="786" t="s">
        <v>9535</v>
      </c>
      <c r="B4961" s="787">
        <v>4</v>
      </c>
      <c r="C4961" s="787" t="s">
        <v>9536</v>
      </c>
      <c r="D4961" s="787">
        <v>0</v>
      </c>
      <c r="E4961" s="787">
        <v>0</v>
      </c>
      <c r="H4961" s="787">
        <v>1</v>
      </c>
      <c r="L4961" s="787">
        <v>0.69</v>
      </c>
      <c r="M4961" s="787">
        <v>10</v>
      </c>
      <c r="N4961" s="787">
        <v>0.85</v>
      </c>
      <c r="O4961" s="788">
        <v>42048</v>
      </c>
    </row>
    <row r="4962" spans="1:15" x14ac:dyDescent="0.25">
      <c r="A4962" s="786" t="s">
        <v>9537</v>
      </c>
      <c r="B4962" s="787">
        <v>4</v>
      </c>
      <c r="C4962" s="787" t="s">
        <v>9538</v>
      </c>
      <c r="D4962" s="787">
        <v>0</v>
      </c>
      <c r="E4962" s="787">
        <v>0</v>
      </c>
      <c r="H4962" s="787">
        <v>1</v>
      </c>
      <c r="I4962" s="788">
        <v>42060</v>
      </c>
      <c r="J4962" s="788">
        <v>41677</v>
      </c>
      <c r="L4962" s="787">
        <v>12.2</v>
      </c>
      <c r="M4962" s="787">
        <v>10</v>
      </c>
      <c r="N4962" s="787">
        <v>12.75</v>
      </c>
      <c r="O4962" s="788">
        <v>42082</v>
      </c>
    </row>
    <row r="4963" spans="1:15" x14ac:dyDescent="0.25">
      <c r="A4963" s="786" t="s">
        <v>9539</v>
      </c>
      <c r="B4963" s="787">
        <v>4</v>
      </c>
      <c r="C4963" s="787" t="s">
        <v>9540</v>
      </c>
      <c r="D4963" s="787">
        <v>0.89</v>
      </c>
      <c r="E4963" s="787">
        <v>4.05</v>
      </c>
      <c r="F4963" s="788">
        <v>41806</v>
      </c>
      <c r="G4963" s="788">
        <v>42151</v>
      </c>
      <c r="H4963" s="787">
        <v>1</v>
      </c>
      <c r="I4963" s="788">
        <v>42153</v>
      </c>
      <c r="J4963" s="788">
        <v>42151</v>
      </c>
      <c r="L4963" s="787">
        <v>3.81</v>
      </c>
      <c r="M4963" s="787">
        <v>10</v>
      </c>
      <c r="N4963" s="787">
        <v>3.65</v>
      </c>
      <c r="O4963" s="788">
        <v>42162</v>
      </c>
    </row>
    <row r="4964" spans="1:15" x14ac:dyDescent="0.25">
      <c r="A4964" s="786" t="s">
        <v>9541</v>
      </c>
      <c r="B4964" s="787">
        <v>4</v>
      </c>
      <c r="C4964" s="787" t="s">
        <v>9542</v>
      </c>
      <c r="D4964" s="787">
        <v>0</v>
      </c>
      <c r="E4964" s="787">
        <v>0</v>
      </c>
      <c r="H4964" s="787">
        <v>1</v>
      </c>
      <c r="I4964" s="788">
        <v>40883</v>
      </c>
      <c r="L4964" s="787">
        <v>21.84</v>
      </c>
      <c r="M4964" s="787">
        <v>10</v>
      </c>
      <c r="N4964" s="787">
        <v>33.25</v>
      </c>
      <c r="O4964" s="788">
        <v>42082</v>
      </c>
    </row>
    <row r="4965" spans="1:15" x14ac:dyDescent="0.25">
      <c r="A4965" s="786" t="s">
        <v>9543</v>
      </c>
      <c r="B4965" s="787">
        <v>4</v>
      </c>
      <c r="C4965" s="787" t="s">
        <v>9544</v>
      </c>
      <c r="D4965" s="787">
        <v>0</v>
      </c>
      <c r="E4965" s="787">
        <v>0</v>
      </c>
      <c r="H4965" s="787">
        <v>1</v>
      </c>
      <c r="L4965" s="787">
        <v>8.4499999999999993</v>
      </c>
      <c r="M4965" s="787">
        <v>10</v>
      </c>
      <c r="N4965" s="787">
        <v>12.59</v>
      </c>
      <c r="O4965" s="788">
        <v>42082</v>
      </c>
    </row>
    <row r="4966" spans="1:15" x14ac:dyDescent="0.25">
      <c r="A4966" s="786" t="s">
        <v>9545</v>
      </c>
      <c r="B4966" s="787">
        <v>4</v>
      </c>
      <c r="C4966" s="787" t="s">
        <v>9546</v>
      </c>
      <c r="D4966" s="787">
        <v>0</v>
      </c>
      <c r="E4966" s="787">
        <v>0</v>
      </c>
      <c r="H4966" s="787">
        <v>1</v>
      </c>
      <c r="L4966" s="787">
        <v>7.88</v>
      </c>
      <c r="M4966" s="787">
        <v>10</v>
      </c>
      <c r="N4966" s="787">
        <v>12.03</v>
      </c>
      <c r="O4966" s="788">
        <v>42082</v>
      </c>
    </row>
    <row r="4967" spans="1:15" x14ac:dyDescent="0.25">
      <c r="A4967" s="786" t="s">
        <v>9547</v>
      </c>
      <c r="B4967" s="787">
        <v>4</v>
      </c>
      <c r="C4967" s="787" t="s">
        <v>9548</v>
      </c>
      <c r="D4967" s="787">
        <v>0</v>
      </c>
      <c r="E4967" s="787">
        <v>0</v>
      </c>
      <c r="H4967" s="787">
        <v>1</v>
      </c>
      <c r="I4967" s="788">
        <v>40021</v>
      </c>
      <c r="J4967" s="788">
        <v>39967</v>
      </c>
      <c r="L4967" s="787">
        <v>32.619999999999997</v>
      </c>
      <c r="M4967" s="787">
        <v>10</v>
      </c>
      <c r="N4967" s="787">
        <v>41</v>
      </c>
      <c r="O4967" s="788">
        <v>39897</v>
      </c>
    </row>
    <row r="4968" spans="1:15" x14ac:dyDescent="0.25">
      <c r="A4968" s="786" t="s">
        <v>9549</v>
      </c>
      <c r="B4968" s="787">
        <v>4</v>
      </c>
      <c r="C4968" s="787" t="s">
        <v>9550</v>
      </c>
      <c r="D4968" s="787">
        <v>1</v>
      </c>
      <c r="E4968" s="787">
        <v>41.67</v>
      </c>
      <c r="F4968" s="788">
        <v>39975</v>
      </c>
      <c r="G4968" s="788">
        <v>39975</v>
      </c>
      <c r="H4968" s="787">
        <v>1</v>
      </c>
      <c r="I4968" s="788">
        <v>40032</v>
      </c>
      <c r="J4968" s="788">
        <v>39967</v>
      </c>
      <c r="L4968" s="787">
        <v>32.619999999999997</v>
      </c>
      <c r="M4968" s="787">
        <v>10</v>
      </c>
      <c r="N4968" s="787">
        <v>46.49</v>
      </c>
      <c r="O4968" s="788">
        <v>41858</v>
      </c>
    </row>
    <row r="4969" spans="1:15" x14ac:dyDescent="0.25">
      <c r="A4969" s="786" t="s">
        <v>9551</v>
      </c>
      <c r="B4969" s="787">
        <v>4</v>
      </c>
      <c r="C4969" s="787" t="s">
        <v>9552</v>
      </c>
      <c r="D4969" s="787">
        <v>0</v>
      </c>
      <c r="E4969" s="787">
        <v>0</v>
      </c>
      <c r="H4969" s="787">
        <v>1</v>
      </c>
      <c r="I4969" s="788">
        <v>40037</v>
      </c>
      <c r="J4969" s="788">
        <v>39967</v>
      </c>
      <c r="L4969" s="787">
        <v>32.74</v>
      </c>
      <c r="M4969" s="787">
        <v>10</v>
      </c>
      <c r="N4969" s="787">
        <v>46.66</v>
      </c>
      <c r="O4969" s="788">
        <v>41858</v>
      </c>
    </row>
    <row r="4970" spans="1:15" x14ac:dyDescent="0.25">
      <c r="A4970" s="786" t="s">
        <v>9553</v>
      </c>
      <c r="B4970" s="787">
        <v>4</v>
      </c>
      <c r="C4970" s="787" t="s">
        <v>9554</v>
      </c>
      <c r="D4970" s="787">
        <v>0</v>
      </c>
      <c r="E4970" s="787">
        <v>0</v>
      </c>
      <c r="H4970" s="787">
        <v>1</v>
      </c>
      <c r="I4970" s="788">
        <v>40037</v>
      </c>
      <c r="J4970" s="788">
        <v>39967</v>
      </c>
      <c r="L4970" s="787">
        <v>32.74</v>
      </c>
      <c r="M4970" s="787">
        <v>10</v>
      </c>
      <c r="N4970" s="787">
        <v>46.66</v>
      </c>
      <c r="O4970" s="788">
        <v>41858</v>
      </c>
    </row>
    <row r="4971" spans="1:15" x14ac:dyDescent="0.25">
      <c r="A4971" s="786" t="s">
        <v>9555</v>
      </c>
      <c r="B4971" s="787">
        <v>4</v>
      </c>
      <c r="C4971" s="787" t="s">
        <v>9556</v>
      </c>
      <c r="D4971" s="787">
        <v>3.28</v>
      </c>
      <c r="E4971" s="787">
        <v>3.28</v>
      </c>
      <c r="F4971" s="788">
        <v>39975</v>
      </c>
      <c r="G4971" s="788">
        <v>39975</v>
      </c>
      <c r="H4971" s="787">
        <v>1</v>
      </c>
      <c r="I4971" s="788">
        <v>42153</v>
      </c>
      <c r="J4971" s="788">
        <v>42158</v>
      </c>
      <c r="L4971" s="787">
        <v>6.95</v>
      </c>
      <c r="M4971" s="787">
        <v>10</v>
      </c>
      <c r="N4971" s="787">
        <v>10.3</v>
      </c>
      <c r="O4971" s="788">
        <v>42156</v>
      </c>
    </row>
    <row r="4972" spans="1:15" x14ac:dyDescent="0.25">
      <c r="A4972" s="786" t="s">
        <v>9557</v>
      </c>
      <c r="B4972" s="787">
        <v>4</v>
      </c>
      <c r="C4972" s="787" t="s">
        <v>9558</v>
      </c>
      <c r="D4972" s="787">
        <v>0</v>
      </c>
      <c r="E4972" s="787">
        <v>0</v>
      </c>
      <c r="H4972" s="787">
        <v>1</v>
      </c>
      <c r="I4972" s="788">
        <v>41745</v>
      </c>
      <c r="J4972" s="788">
        <v>41758</v>
      </c>
      <c r="L4972" s="787">
        <v>7.05</v>
      </c>
      <c r="M4972" s="787">
        <v>10</v>
      </c>
      <c r="N4972" s="787">
        <v>10.46</v>
      </c>
      <c r="O4972" s="788">
        <v>41858</v>
      </c>
    </row>
    <row r="4973" spans="1:15" x14ac:dyDescent="0.25">
      <c r="A4973" s="786" t="s">
        <v>9559</v>
      </c>
      <c r="B4973" s="787">
        <v>4</v>
      </c>
      <c r="C4973" s="787" t="s">
        <v>9560</v>
      </c>
      <c r="D4973" s="787">
        <v>8.68</v>
      </c>
      <c r="E4973" s="787">
        <v>8.68</v>
      </c>
      <c r="F4973" s="788">
        <v>39975</v>
      </c>
      <c r="G4973" s="788">
        <v>39975</v>
      </c>
      <c r="H4973" s="787">
        <v>1</v>
      </c>
      <c r="I4973" s="788">
        <v>39211</v>
      </c>
      <c r="J4973" s="788">
        <v>39967</v>
      </c>
      <c r="L4973" s="787">
        <v>7.05</v>
      </c>
      <c r="M4973" s="787">
        <v>10</v>
      </c>
      <c r="N4973" s="787">
        <v>10.46</v>
      </c>
      <c r="O4973" s="788">
        <v>41858</v>
      </c>
    </row>
    <row r="4974" spans="1:15" x14ac:dyDescent="0.25">
      <c r="A4974" s="786" t="s">
        <v>9561</v>
      </c>
      <c r="B4974" s="787">
        <v>4</v>
      </c>
      <c r="C4974" s="787" t="s">
        <v>9562</v>
      </c>
      <c r="D4974" s="787">
        <v>0</v>
      </c>
      <c r="E4974" s="787">
        <v>0</v>
      </c>
      <c r="H4974" s="787">
        <v>1</v>
      </c>
      <c r="I4974" s="788">
        <v>39017</v>
      </c>
      <c r="J4974" s="788">
        <v>39101</v>
      </c>
      <c r="L4974" s="787">
        <v>7.05</v>
      </c>
      <c r="M4974" s="787">
        <v>10</v>
      </c>
      <c r="N4974" s="787">
        <v>10.46</v>
      </c>
      <c r="O4974" s="788">
        <v>42156</v>
      </c>
    </row>
    <row r="4975" spans="1:15" x14ac:dyDescent="0.25">
      <c r="A4975" s="786" t="s">
        <v>9563</v>
      </c>
      <c r="B4975" s="787">
        <v>4</v>
      </c>
      <c r="C4975" s="787" t="s">
        <v>9564</v>
      </c>
      <c r="D4975" s="787">
        <v>5.17</v>
      </c>
      <c r="E4975" s="787">
        <v>5.17</v>
      </c>
      <c r="F4975" s="788">
        <v>39975</v>
      </c>
      <c r="G4975" s="788">
        <v>39975</v>
      </c>
      <c r="H4975" s="787">
        <v>1</v>
      </c>
      <c r="I4975" s="788">
        <v>42153</v>
      </c>
      <c r="J4975" s="788">
        <v>42158</v>
      </c>
      <c r="L4975" s="787">
        <v>7.05</v>
      </c>
      <c r="M4975" s="787">
        <v>10</v>
      </c>
      <c r="N4975" s="787">
        <v>10.46</v>
      </c>
      <c r="O4975" s="788">
        <v>42156</v>
      </c>
    </row>
    <row r="4976" spans="1:15" x14ac:dyDescent="0.25">
      <c r="A4976" s="786" t="s">
        <v>9565</v>
      </c>
      <c r="B4976" s="787">
        <v>4</v>
      </c>
      <c r="C4976" s="787" t="s">
        <v>9566</v>
      </c>
      <c r="D4976" s="787">
        <v>5.37</v>
      </c>
      <c r="E4976" s="787">
        <v>5.37</v>
      </c>
      <c r="F4976" s="788">
        <v>39975</v>
      </c>
      <c r="G4976" s="788">
        <v>39975</v>
      </c>
      <c r="H4976" s="787">
        <v>1</v>
      </c>
      <c r="I4976" s="788">
        <v>42166</v>
      </c>
      <c r="J4976" s="788">
        <v>39967</v>
      </c>
      <c r="L4976" s="787">
        <v>6.39</v>
      </c>
      <c r="M4976" s="787">
        <v>10</v>
      </c>
      <c r="N4976" s="787">
        <v>9.33</v>
      </c>
      <c r="O4976" s="788">
        <v>42162</v>
      </c>
    </row>
    <row r="4977" spans="1:15" x14ac:dyDescent="0.25">
      <c r="A4977" s="786" t="s">
        <v>9567</v>
      </c>
      <c r="B4977" s="787">
        <v>4</v>
      </c>
      <c r="C4977" s="787" t="s">
        <v>9568</v>
      </c>
      <c r="D4977" s="787">
        <v>8.39</v>
      </c>
      <c r="E4977" s="787">
        <v>8.39</v>
      </c>
      <c r="F4977" s="788">
        <v>39975</v>
      </c>
      <c r="G4977" s="788">
        <v>39975</v>
      </c>
      <c r="H4977" s="787">
        <v>1</v>
      </c>
      <c r="I4977" s="788">
        <v>42166</v>
      </c>
      <c r="J4977" s="788">
        <v>39101</v>
      </c>
      <c r="L4977" s="787">
        <v>6.39</v>
      </c>
      <c r="M4977" s="787">
        <v>10</v>
      </c>
      <c r="N4977" s="787">
        <v>9.67</v>
      </c>
      <c r="O4977" s="788">
        <v>42162</v>
      </c>
    </row>
    <row r="4978" spans="1:15" x14ac:dyDescent="0.25">
      <c r="A4978" s="786" t="s">
        <v>9569</v>
      </c>
      <c r="B4978" s="787">
        <v>4</v>
      </c>
      <c r="C4978" s="787" t="s">
        <v>9570</v>
      </c>
      <c r="D4978" s="787">
        <v>5.37</v>
      </c>
      <c r="E4978" s="787">
        <v>5.37</v>
      </c>
      <c r="F4978" s="788">
        <v>39975</v>
      </c>
      <c r="G4978" s="788">
        <v>39975</v>
      </c>
      <c r="H4978" s="787">
        <v>1</v>
      </c>
      <c r="I4978" s="788">
        <v>42166</v>
      </c>
      <c r="J4978" s="788">
        <v>39967</v>
      </c>
      <c r="L4978" s="787">
        <v>6.39</v>
      </c>
      <c r="M4978" s="787">
        <v>10</v>
      </c>
      <c r="N4978" s="787">
        <v>9.33</v>
      </c>
      <c r="O4978" s="788">
        <v>42162</v>
      </c>
    </row>
    <row r="4979" spans="1:15" x14ac:dyDescent="0.25">
      <c r="A4979" s="786" t="s">
        <v>9571</v>
      </c>
      <c r="B4979" s="787">
        <v>4</v>
      </c>
      <c r="C4979" s="787" t="s">
        <v>9572</v>
      </c>
      <c r="D4979" s="787">
        <v>8.39</v>
      </c>
      <c r="E4979" s="787">
        <v>8.39</v>
      </c>
      <c r="F4979" s="788">
        <v>39975</v>
      </c>
      <c r="G4979" s="788">
        <v>39975</v>
      </c>
      <c r="H4979" s="787">
        <v>1</v>
      </c>
      <c r="I4979" s="788">
        <v>42166</v>
      </c>
      <c r="J4979" s="788">
        <v>39101</v>
      </c>
      <c r="L4979" s="787">
        <v>6.39</v>
      </c>
      <c r="M4979" s="787">
        <v>10</v>
      </c>
      <c r="N4979" s="787">
        <v>9.67</v>
      </c>
      <c r="O4979" s="788">
        <v>42162</v>
      </c>
    </row>
    <row r="4980" spans="1:15" x14ac:dyDescent="0.25">
      <c r="A4980" s="786" t="s">
        <v>9573</v>
      </c>
      <c r="B4980" s="787">
        <v>4</v>
      </c>
      <c r="C4980" s="787" t="s">
        <v>9574</v>
      </c>
      <c r="D4980" s="787">
        <v>0</v>
      </c>
      <c r="E4980" s="787">
        <v>0</v>
      </c>
      <c r="H4980" s="787">
        <v>1</v>
      </c>
      <c r="L4980" s="787">
        <v>57.67</v>
      </c>
      <c r="M4980" s="787">
        <v>10</v>
      </c>
      <c r="N4980" s="787">
        <v>77.05</v>
      </c>
      <c r="O4980" s="788">
        <v>41955</v>
      </c>
    </row>
    <row r="4981" spans="1:15" x14ac:dyDescent="0.25">
      <c r="A4981" s="786" t="s">
        <v>9575</v>
      </c>
      <c r="B4981" s="787">
        <v>4</v>
      </c>
      <c r="C4981" s="787" t="s">
        <v>9576</v>
      </c>
      <c r="D4981" s="787">
        <v>9.17</v>
      </c>
      <c r="E4981" s="787">
        <v>69.17</v>
      </c>
      <c r="F4981" s="788">
        <v>39975</v>
      </c>
      <c r="G4981" s="788">
        <v>39975</v>
      </c>
      <c r="H4981" s="787">
        <v>1</v>
      </c>
      <c r="L4981" s="787">
        <v>57.57</v>
      </c>
      <c r="M4981" s="787">
        <v>10</v>
      </c>
      <c r="N4981" s="787">
        <v>76.89</v>
      </c>
      <c r="O4981" s="788">
        <v>41955</v>
      </c>
    </row>
    <row r="4982" spans="1:15" x14ac:dyDescent="0.25">
      <c r="A4982" s="786" t="s">
        <v>9577</v>
      </c>
      <c r="B4982" s="787">
        <v>4</v>
      </c>
      <c r="C4982" s="787" t="s">
        <v>9578</v>
      </c>
      <c r="D4982" s="787">
        <v>0</v>
      </c>
      <c r="E4982" s="787">
        <v>0</v>
      </c>
      <c r="H4982" s="787">
        <v>1</v>
      </c>
      <c r="L4982" s="787">
        <v>11.81</v>
      </c>
      <c r="M4982" s="787">
        <v>10</v>
      </c>
      <c r="N4982" s="787">
        <v>14.91</v>
      </c>
      <c r="O4982" s="788">
        <v>41955</v>
      </c>
    </row>
    <row r="4983" spans="1:15" x14ac:dyDescent="0.25">
      <c r="A4983" s="786" t="s">
        <v>9579</v>
      </c>
      <c r="B4983" s="787">
        <v>4</v>
      </c>
      <c r="C4983" s="787" t="s">
        <v>9580</v>
      </c>
      <c r="D4983" s="787">
        <v>0</v>
      </c>
      <c r="E4983" s="787">
        <v>0</v>
      </c>
      <c r="H4983" s="787">
        <v>1</v>
      </c>
      <c r="L4983" s="787">
        <v>8.73</v>
      </c>
      <c r="M4983" s="787">
        <v>10</v>
      </c>
      <c r="N4983" s="787">
        <v>13.81</v>
      </c>
      <c r="O4983" s="788">
        <v>41955</v>
      </c>
    </row>
    <row r="4984" spans="1:15" x14ac:dyDescent="0.25">
      <c r="A4984" s="786" t="s">
        <v>9581</v>
      </c>
      <c r="B4984" s="787">
        <v>4</v>
      </c>
      <c r="C4984" s="787" t="s">
        <v>9582</v>
      </c>
      <c r="D4984" s="787">
        <v>0</v>
      </c>
      <c r="E4984" s="787">
        <v>0</v>
      </c>
      <c r="H4984" s="787">
        <v>1</v>
      </c>
      <c r="L4984" s="787">
        <v>9.4</v>
      </c>
      <c r="M4984" s="787">
        <v>10</v>
      </c>
      <c r="N4984" s="787">
        <v>12.54</v>
      </c>
      <c r="O4984" s="788">
        <v>41955</v>
      </c>
    </row>
    <row r="4985" spans="1:15" x14ac:dyDescent="0.25">
      <c r="A4985" s="786" t="s">
        <v>9583</v>
      </c>
      <c r="B4985" s="787">
        <v>4</v>
      </c>
      <c r="C4985" s="787" t="s">
        <v>9584</v>
      </c>
      <c r="D4985" s="787">
        <v>0</v>
      </c>
      <c r="E4985" s="787">
        <v>0</v>
      </c>
      <c r="H4985" s="787">
        <v>1</v>
      </c>
      <c r="L4985" s="787">
        <v>10.84</v>
      </c>
      <c r="M4985" s="787">
        <v>10</v>
      </c>
      <c r="N4985" s="787">
        <v>14.01</v>
      </c>
      <c r="O4985" s="788">
        <v>41955</v>
      </c>
    </row>
    <row r="4986" spans="1:15" x14ac:dyDescent="0.25">
      <c r="A4986" s="786" t="s">
        <v>9585</v>
      </c>
      <c r="B4986" s="787">
        <v>4</v>
      </c>
      <c r="C4986" s="787" t="s">
        <v>9586</v>
      </c>
      <c r="D4986" s="787">
        <v>0</v>
      </c>
      <c r="E4986" s="787">
        <v>0</v>
      </c>
      <c r="H4986" s="787">
        <v>1</v>
      </c>
      <c r="L4986" s="787">
        <v>10.74</v>
      </c>
      <c r="M4986" s="787">
        <v>10</v>
      </c>
      <c r="N4986" s="787">
        <v>13.84</v>
      </c>
      <c r="O4986" s="788">
        <v>41955</v>
      </c>
    </row>
    <row r="4987" spans="1:15" x14ac:dyDescent="0.25">
      <c r="A4987" s="786" t="s">
        <v>9587</v>
      </c>
      <c r="B4987" s="787">
        <v>4</v>
      </c>
      <c r="C4987" s="787" t="s">
        <v>9588</v>
      </c>
      <c r="D4987" s="787">
        <v>0</v>
      </c>
      <c r="E4987" s="787">
        <v>0</v>
      </c>
      <c r="H4987" s="787">
        <v>1</v>
      </c>
      <c r="L4987" s="787">
        <v>14.2</v>
      </c>
      <c r="M4987" s="787">
        <v>10</v>
      </c>
      <c r="N4987" s="787">
        <v>17.36</v>
      </c>
      <c r="O4987" s="788">
        <v>41955</v>
      </c>
    </row>
    <row r="4988" spans="1:15" x14ac:dyDescent="0.25">
      <c r="A4988" s="786" t="s">
        <v>9589</v>
      </c>
      <c r="B4988" s="787">
        <v>4</v>
      </c>
      <c r="C4988" s="787" t="s">
        <v>9590</v>
      </c>
      <c r="D4988" s="787">
        <v>0</v>
      </c>
      <c r="E4988" s="787">
        <v>0</v>
      </c>
      <c r="H4988" s="787">
        <v>1</v>
      </c>
      <c r="L4988" s="787">
        <v>14.2</v>
      </c>
      <c r="M4988" s="787">
        <v>10</v>
      </c>
      <c r="N4988" s="787">
        <v>17.36</v>
      </c>
      <c r="O4988" s="788">
        <v>41955</v>
      </c>
    </row>
    <row r="4989" spans="1:15" x14ac:dyDescent="0.25">
      <c r="A4989" s="786" t="s">
        <v>9591</v>
      </c>
      <c r="B4989" s="787">
        <v>4</v>
      </c>
      <c r="C4989" s="787" t="s">
        <v>9592</v>
      </c>
      <c r="D4989" s="787">
        <v>0</v>
      </c>
      <c r="E4989" s="787">
        <v>0</v>
      </c>
      <c r="H4989" s="787">
        <v>1</v>
      </c>
      <c r="L4989" s="787">
        <v>3.29</v>
      </c>
      <c r="M4989" s="787">
        <v>10</v>
      </c>
      <c r="N4989" s="787">
        <v>5.56</v>
      </c>
      <c r="O4989" s="788">
        <v>41858</v>
      </c>
    </row>
    <row r="4990" spans="1:15" x14ac:dyDescent="0.25">
      <c r="A4990" s="786" t="s">
        <v>9593</v>
      </c>
      <c r="B4990" s="787">
        <v>4</v>
      </c>
      <c r="C4990" s="787" t="s">
        <v>9594</v>
      </c>
      <c r="D4990" s="787">
        <v>0</v>
      </c>
      <c r="E4990" s="787">
        <v>0</v>
      </c>
      <c r="H4990" s="787">
        <v>1</v>
      </c>
      <c r="I4990" s="788">
        <v>41976</v>
      </c>
      <c r="J4990" s="788">
        <v>41971</v>
      </c>
      <c r="L4990" s="787">
        <v>6.85</v>
      </c>
      <c r="M4990" s="787">
        <v>10</v>
      </c>
      <c r="N4990" s="787">
        <v>10.55</v>
      </c>
      <c r="O4990" s="788">
        <v>41858</v>
      </c>
    </row>
    <row r="4991" spans="1:15" x14ac:dyDescent="0.25">
      <c r="A4991" s="786" t="s">
        <v>9595</v>
      </c>
      <c r="B4991" s="787">
        <v>4</v>
      </c>
      <c r="C4991" s="787" t="s">
        <v>9596</v>
      </c>
      <c r="D4991" s="787">
        <v>0</v>
      </c>
      <c r="E4991" s="787">
        <v>0</v>
      </c>
      <c r="H4991" s="787">
        <v>1</v>
      </c>
      <c r="I4991" s="788">
        <v>41976</v>
      </c>
      <c r="J4991" s="788">
        <v>41971</v>
      </c>
      <c r="L4991" s="787">
        <v>6.85</v>
      </c>
      <c r="M4991" s="787">
        <v>10</v>
      </c>
      <c r="N4991" s="787">
        <v>10.55</v>
      </c>
      <c r="O4991" s="788">
        <v>41858</v>
      </c>
    </row>
    <row r="4992" spans="1:15" x14ac:dyDescent="0.25">
      <c r="A4992" s="786" t="s">
        <v>9597</v>
      </c>
      <c r="B4992" s="787">
        <v>4</v>
      </c>
      <c r="C4992" s="787" t="s">
        <v>9598</v>
      </c>
      <c r="D4992" s="787">
        <v>0</v>
      </c>
      <c r="E4992" s="787">
        <v>0</v>
      </c>
      <c r="H4992" s="787">
        <v>1</v>
      </c>
      <c r="I4992" s="788">
        <v>41976</v>
      </c>
      <c r="J4992" s="788">
        <v>41971</v>
      </c>
      <c r="L4992" s="787">
        <v>6.85</v>
      </c>
      <c r="M4992" s="787">
        <v>10</v>
      </c>
      <c r="N4992" s="787">
        <v>10.55</v>
      </c>
      <c r="O4992" s="788">
        <v>41858</v>
      </c>
    </row>
    <row r="4993" spans="1:15" x14ac:dyDescent="0.25">
      <c r="A4993" s="786" t="s">
        <v>9599</v>
      </c>
      <c r="B4993" s="787">
        <v>4</v>
      </c>
      <c r="C4993" s="787" t="s">
        <v>9600</v>
      </c>
      <c r="D4993" s="787">
        <v>0</v>
      </c>
      <c r="E4993" s="787">
        <v>0</v>
      </c>
      <c r="H4993" s="787">
        <v>1</v>
      </c>
      <c r="I4993" s="788">
        <v>41976</v>
      </c>
      <c r="J4993" s="788">
        <v>41971</v>
      </c>
      <c r="L4993" s="787">
        <v>6.85</v>
      </c>
      <c r="M4993" s="787">
        <v>10</v>
      </c>
      <c r="N4993" s="787">
        <v>10.55</v>
      </c>
      <c r="O4993" s="788">
        <v>41858</v>
      </c>
    </row>
    <row r="4994" spans="1:15" x14ac:dyDescent="0.25">
      <c r="A4994" s="786" t="s">
        <v>9601</v>
      </c>
      <c r="B4994" s="787">
        <v>4</v>
      </c>
      <c r="C4994" s="787" t="s">
        <v>9602</v>
      </c>
      <c r="D4994" s="787">
        <v>0</v>
      </c>
      <c r="E4994" s="787">
        <v>0</v>
      </c>
      <c r="H4994" s="787">
        <v>1</v>
      </c>
      <c r="L4994" s="787">
        <v>4.51</v>
      </c>
      <c r="M4994" s="787">
        <v>10</v>
      </c>
      <c r="N4994" s="787">
        <v>6.75</v>
      </c>
      <c r="O4994" s="788">
        <v>41858</v>
      </c>
    </row>
    <row r="4995" spans="1:15" x14ac:dyDescent="0.25">
      <c r="A4995" s="786" t="s">
        <v>9603</v>
      </c>
      <c r="B4995" s="787">
        <v>4</v>
      </c>
      <c r="C4995" s="787" t="s">
        <v>9604</v>
      </c>
      <c r="D4995" s="787">
        <v>0</v>
      </c>
      <c r="E4995" s="787">
        <v>0</v>
      </c>
      <c r="H4995" s="787">
        <v>1</v>
      </c>
      <c r="L4995" s="787">
        <v>33.36</v>
      </c>
      <c r="M4995" s="787">
        <v>10</v>
      </c>
      <c r="N4995" s="787">
        <v>49.57</v>
      </c>
      <c r="O4995" s="788">
        <v>42087</v>
      </c>
    </row>
    <row r="4996" spans="1:15" x14ac:dyDescent="0.25">
      <c r="A4996" s="786" t="s">
        <v>9605</v>
      </c>
      <c r="B4996" s="787">
        <v>4</v>
      </c>
      <c r="C4996" s="787" t="s">
        <v>9606</v>
      </c>
      <c r="D4996" s="787">
        <v>0</v>
      </c>
      <c r="E4996" s="787">
        <v>0</v>
      </c>
      <c r="H4996" s="787">
        <v>1</v>
      </c>
      <c r="L4996" s="787">
        <v>33.36</v>
      </c>
      <c r="M4996" s="787">
        <v>10</v>
      </c>
      <c r="N4996" s="787">
        <v>49.57</v>
      </c>
      <c r="O4996" s="788">
        <v>42087</v>
      </c>
    </row>
    <row r="4997" spans="1:15" x14ac:dyDescent="0.25">
      <c r="A4997" s="786" t="s">
        <v>9607</v>
      </c>
      <c r="B4997" s="787">
        <v>4</v>
      </c>
      <c r="C4997" s="787" t="s">
        <v>9608</v>
      </c>
      <c r="D4997" s="787">
        <v>0</v>
      </c>
      <c r="E4997" s="787">
        <v>0</v>
      </c>
      <c r="H4997" s="787">
        <v>1</v>
      </c>
      <c r="I4997" s="788">
        <v>37869</v>
      </c>
      <c r="L4997" s="787">
        <v>33.33</v>
      </c>
      <c r="M4997" s="787">
        <v>10</v>
      </c>
      <c r="N4997" s="787">
        <v>49.23</v>
      </c>
      <c r="O4997" s="788">
        <v>42087</v>
      </c>
    </row>
    <row r="4998" spans="1:15" x14ac:dyDescent="0.25">
      <c r="A4998" s="786" t="s">
        <v>9609</v>
      </c>
      <c r="B4998" s="787">
        <v>4</v>
      </c>
      <c r="C4998" s="787" t="s">
        <v>9610</v>
      </c>
      <c r="D4998" s="787">
        <v>0</v>
      </c>
      <c r="E4998" s="787">
        <v>0</v>
      </c>
      <c r="H4998" s="787">
        <v>1</v>
      </c>
      <c r="I4998" s="788">
        <v>37869</v>
      </c>
      <c r="L4998" s="787">
        <v>33.33</v>
      </c>
      <c r="M4998" s="787">
        <v>10</v>
      </c>
      <c r="N4998" s="787">
        <v>49.23</v>
      </c>
      <c r="O4998" s="788">
        <v>42087</v>
      </c>
    </row>
    <row r="4999" spans="1:15" x14ac:dyDescent="0.25">
      <c r="A4999" s="786" t="s">
        <v>9611</v>
      </c>
      <c r="B4999" s="787">
        <v>4</v>
      </c>
      <c r="C4999" s="787" t="s">
        <v>9612</v>
      </c>
      <c r="D4999" s="787">
        <v>0</v>
      </c>
      <c r="E4999" s="787">
        <v>0</v>
      </c>
      <c r="H4999" s="787">
        <v>1</v>
      </c>
      <c r="I4999" s="788">
        <v>42046</v>
      </c>
      <c r="J4999" s="788">
        <v>42047</v>
      </c>
      <c r="L4999" s="787">
        <v>7.53</v>
      </c>
      <c r="M4999" s="787">
        <v>10</v>
      </c>
      <c r="N4999" s="787">
        <v>11</v>
      </c>
      <c r="O4999" s="788">
        <v>42087</v>
      </c>
    </row>
    <row r="5000" spans="1:15" x14ac:dyDescent="0.25">
      <c r="A5000" s="786" t="s">
        <v>9613</v>
      </c>
      <c r="B5000" s="787">
        <v>4</v>
      </c>
      <c r="C5000" s="787" t="s">
        <v>9614</v>
      </c>
      <c r="D5000" s="787">
        <v>0</v>
      </c>
      <c r="E5000" s="787">
        <v>0</v>
      </c>
      <c r="H5000" s="787">
        <v>1</v>
      </c>
      <c r="L5000" s="787">
        <v>7.53</v>
      </c>
      <c r="M5000" s="787">
        <v>10</v>
      </c>
      <c r="N5000" s="787">
        <v>11</v>
      </c>
      <c r="O5000" s="788">
        <v>41858</v>
      </c>
    </row>
    <row r="5001" spans="1:15" x14ac:dyDescent="0.25">
      <c r="A5001" s="786" t="s">
        <v>9615</v>
      </c>
      <c r="B5001" s="787">
        <v>4</v>
      </c>
      <c r="C5001" s="787" t="s">
        <v>9616</v>
      </c>
      <c r="D5001" s="787">
        <v>0</v>
      </c>
      <c r="E5001" s="787">
        <v>0</v>
      </c>
      <c r="H5001" s="787">
        <v>1</v>
      </c>
      <c r="I5001" s="788">
        <v>41929</v>
      </c>
      <c r="J5001" s="788">
        <v>41935</v>
      </c>
      <c r="L5001" s="787">
        <v>4.88</v>
      </c>
      <c r="M5001" s="787">
        <v>10</v>
      </c>
      <c r="N5001" s="787">
        <v>6.59</v>
      </c>
      <c r="O5001" s="788">
        <v>42087</v>
      </c>
    </row>
    <row r="5002" spans="1:15" x14ac:dyDescent="0.25">
      <c r="A5002" s="786" t="s">
        <v>9617</v>
      </c>
      <c r="B5002" s="787">
        <v>4</v>
      </c>
      <c r="C5002" s="787" t="s">
        <v>9618</v>
      </c>
      <c r="D5002" s="787">
        <v>0</v>
      </c>
      <c r="E5002" s="787">
        <v>0</v>
      </c>
      <c r="H5002" s="787">
        <v>1</v>
      </c>
      <c r="I5002" s="788">
        <v>41929</v>
      </c>
      <c r="J5002" s="788">
        <v>41935</v>
      </c>
      <c r="L5002" s="787">
        <v>4.88</v>
      </c>
      <c r="M5002" s="787">
        <v>10</v>
      </c>
      <c r="N5002" s="787">
        <v>6.59</v>
      </c>
      <c r="O5002" s="788">
        <v>42087</v>
      </c>
    </row>
    <row r="5003" spans="1:15" x14ac:dyDescent="0.25">
      <c r="A5003" s="786" t="s">
        <v>9619</v>
      </c>
      <c r="B5003" s="787">
        <v>4</v>
      </c>
      <c r="C5003" s="787" t="s">
        <v>9620</v>
      </c>
      <c r="D5003" s="787">
        <v>0</v>
      </c>
      <c r="E5003" s="787">
        <v>0</v>
      </c>
      <c r="H5003" s="787">
        <v>1</v>
      </c>
      <c r="I5003" s="788">
        <v>42046</v>
      </c>
      <c r="J5003" s="788">
        <v>42047</v>
      </c>
      <c r="L5003" s="787">
        <v>6.73</v>
      </c>
      <c r="M5003" s="787">
        <v>10</v>
      </c>
      <c r="N5003" s="787">
        <v>10.47</v>
      </c>
      <c r="O5003" s="788">
        <v>42087</v>
      </c>
    </row>
    <row r="5004" spans="1:15" x14ac:dyDescent="0.25">
      <c r="A5004" s="786" t="s">
        <v>9621</v>
      </c>
      <c r="B5004" s="787">
        <v>4</v>
      </c>
      <c r="C5004" s="787" t="s">
        <v>9622</v>
      </c>
      <c r="D5004" s="787">
        <v>0</v>
      </c>
      <c r="E5004" s="787">
        <v>0</v>
      </c>
      <c r="H5004" s="787">
        <v>1</v>
      </c>
      <c r="I5004" s="788">
        <v>37963</v>
      </c>
      <c r="L5004" s="787">
        <v>6.73</v>
      </c>
      <c r="M5004" s="787">
        <v>10</v>
      </c>
      <c r="N5004" s="787">
        <v>10.47</v>
      </c>
      <c r="O5004" s="788">
        <v>41858</v>
      </c>
    </row>
    <row r="5005" spans="1:15" x14ac:dyDescent="0.25">
      <c r="A5005" s="786" t="s">
        <v>9623</v>
      </c>
      <c r="B5005" s="787">
        <v>4</v>
      </c>
      <c r="C5005" s="787" t="s">
        <v>9624</v>
      </c>
      <c r="D5005" s="787">
        <v>0</v>
      </c>
      <c r="E5005" s="787">
        <v>0</v>
      </c>
      <c r="H5005" s="787">
        <v>1</v>
      </c>
      <c r="I5005" s="788">
        <v>41929</v>
      </c>
      <c r="J5005" s="788">
        <v>41935</v>
      </c>
      <c r="L5005" s="787">
        <v>6.82</v>
      </c>
      <c r="M5005" s="787">
        <v>10</v>
      </c>
      <c r="N5005" s="787">
        <v>10.56</v>
      </c>
      <c r="O5005" s="788">
        <v>42087</v>
      </c>
    </row>
    <row r="5006" spans="1:15" x14ac:dyDescent="0.25">
      <c r="A5006" s="786" t="s">
        <v>9625</v>
      </c>
      <c r="B5006" s="787">
        <v>4</v>
      </c>
      <c r="C5006" s="787" t="s">
        <v>9626</v>
      </c>
      <c r="D5006" s="787">
        <v>0</v>
      </c>
      <c r="E5006" s="787">
        <v>0</v>
      </c>
      <c r="H5006" s="787">
        <v>1</v>
      </c>
      <c r="I5006" s="788">
        <v>42046</v>
      </c>
      <c r="J5006" s="788">
        <v>41935</v>
      </c>
      <c r="L5006" s="787">
        <v>6.82</v>
      </c>
      <c r="M5006" s="787">
        <v>10</v>
      </c>
      <c r="N5006" s="787">
        <v>10.56</v>
      </c>
      <c r="O5006" s="788">
        <v>41858</v>
      </c>
    </row>
    <row r="5007" spans="1:15" x14ac:dyDescent="0.25">
      <c r="A5007" s="786" t="s">
        <v>9627</v>
      </c>
      <c r="B5007" s="787">
        <v>4</v>
      </c>
      <c r="C5007" s="787" t="s">
        <v>9628</v>
      </c>
      <c r="D5007" s="787">
        <v>0</v>
      </c>
      <c r="E5007" s="787">
        <v>0</v>
      </c>
      <c r="H5007" s="787">
        <v>1</v>
      </c>
      <c r="I5007" s="788">
        <v>40798</v>
      </c>
      <c r="J5007" s="788">
        <v>38736</v>
      </c>
      <c r="L5007" s="787">
        <v>7.53</v>
      </c>
      <c r="M5007" s="787">
        <v>10</v>
      </c>
      <c r="N5007" s="787">
        <v>11</v>
      </c>
      <c r="O5007" s="788">
        <v>42087</v>
      </c>
    </row>
    <row r="5008" spans="1:15" x14ac:dyDescent="0.25">
      <c r="A5008" s="786" t="s">
        <v>9629</v>
      </c>
      <c r="B5008" s="787">
        <v>4</v>
      </c>
      <c r="C5008" s="787" t="s">
        <v>9630</v>
      </c>
      <c r="D5008" s="787">
        <v>0</v>
      </c>
      <c r="E5008" s="787">
        <v>0</v>
      </c>
      <c r="H5008" s="787">
        <v>1</v>
      </c>
      <c r="L5008" s="787">
        <v>7.53</v>
      </c>
      <c r="M5008" s="787">
        <v>10</v>
      </c>
      <c r="N5008" s="787">
        <v>11</v>
      </c>
      <c r="O5008" s="788">
        <v>41858</v>
      </c>
    </row>
    <row r="5009" spans="1:15" x14ac:dyDescent="0.25">
      <c r="A5009" s="786" t="s">
        <v>9631</v>
      </c>
      <c r="B5009" s="787">
        <v>4</v>
      </c>
      <c r="C5009" s="787" t="s">
        <v>9632</v>
      </c>
      <c r="D5009" s="787">
        <v>0</v>
      </c>
      <c r="E5009" s="787">
        <v>0</v>
      </c>
      <c r="H5009" s="787">
        <v>1</v>
      </c>
      <c r="I5009" s="788">
        <v>40798</v>
      </c>
      <c r="L5009" s="787">
        <v>1.56</v>
      </c>
      <c r="M5009" s="787">
        <v>10</v>
      </c>
      <c r="N5009" s="787">
        <v>4.5599999999999996</v>
      </c>
      <c r="O5009" s="788">
        <v>42087</v>
      </c>
    </row>
    <row r="5010" spans="1:15" x14ac:dyDescent="0.25">
      <c r="A5010" s="786" t="s">
        <v>9633</v>
      </c>
      <c r="B5010" s="787">
        <v>4</v>
      </c>
      <c r="C5010" s="787" t="s">
        <v>9634</v>
      </c>
      <c r="D5010" s="787">
        <v>0</v>
      </c>
      <c r="E5010" s="787">
        <v>0</v>
      </c>
      <c r="H5010" s="787">
        <v>1</v>
      </c>
      <c r="I5010" s="788">
        <v>41948</v>
      </c>
      <c r="J5010" s="788">
        <v>39101</v>
      </c>
      <c r="L5010" s="787">
        <v>10.08</v>
      </c>
      <c r="M5010" s="787">
        <v>10</v>
      </c>
      <c r="N5010" s="787">
        <v>13.61</v>
      </c>
      <c r="O5010" s="788">
        <v>42087</v>
      </c>
    </row>
    <row r="5011" spans="1:15" x14ac:dyDescent="0.25">
      <c r="A5011" s="786" t="s">
        <v>9635</v>
      </c>
      <c r="B5011" s="787">
        <v>4</v>
      </c>
      <c r="C5011" s="787" t="s">
        <v>9636</v>
      </c>
      <c r="D5011" s="787">
        <v>0</v>
      </c>
      <c r="E5011" s="787">
        <v>0</v>
      </c>
      <c r="H5011" s="787">
        <v>1</v>
      </c>
      <c r="I5011" s="788">
        <v>41948</v>
      </c>
      <c r="J5011" s="788">
        <v>39101</v>
      </c>
      <c r="L5011" s="787">
        <v>6.94</v>
      </c>
      <c r="M5011" s="787">
        <v>10</v>
      </c>
      <c r="N5011" s="787">
        <v>9.89</v>
      </c>
      <c r="O5011" s="788">
        <v>41869</v>
      </c>
    </row>
    <row r="5012" spans="1:15" x14ac:dyDescent="0.25">
      <c r="A5012" s="786" t="s">
        <v>9637</v>
      </c>
      <c r="B5012" s="787">
        <v>4</v>
      </c>
      <c r="C5012" s="787" t="s">
        <v>8892</v>
      </c>
      <c r="D5012" s="787">
        <v>1.48</v>
      </c>
      <c r="E5012" s="787">
        <v>4.8</v>
      </c>
      <c r="F5012" s="788">
        <v>39456</v>
      </c>
      <c r="G5012" s="788">
        <v>40054</v>
      </c>
      <c r="H5012" s="787">
        <v>1</v>
      </c>
      <c r="I5012" s="788">
        <v>41948</v>
      </c>
      <c r="J5012" s="788">
        <v>41949</v>
      </c>
      <c r="L5012" s="787">
        <v>3.58</v>
      </c>
      <c r="M5012" s="787">
        <v>10</v>
      </c>
      <c r="N5012" s="787">
        <v>5.18</v>
      </c>
      <c r="O5012" s="788">
        <v>41858</v>
      </c>
    </row>
    <row r="5013" spans="1:15" x14ac:dyDescent="0.25">
      <c r="A5013" s="786" t="s">
        <v>9638</v>
      </c>
      <c r="B5013" s="787">
        <v>4</v>
      </c>
      <c r="C5013" s="787" t="s">
        <v>9639</v>
      </c>
      <c r="D5013" s="787">
        <v>6.86</v>
      </c>
      <c r="E5013" s="787">
        <v>6.86</v>
      </c>
      <c r="F5013" s="788">
        <v>39101</v>
      </c>
      <c r="G5013" s="788">
        <v>40054</v>
      </c>
      <c r="H5013" s="787">
        <v>1</v>
      </c>
      <c r="I5013" s="788">
        <v>41948</v>
      </c>
      <c r="J5013" s="788">
        <v>41949</v>
      </c>
      <c r="L5013" s="787">
        <v>4.75</v>
      </c>
      <c r="M5013" s="787">
        <v>10</v>
      </c>
      <c r="N5013" s="787">
        <v>6.37</v>
      </c>
      <c r="O5013" s="788">
        <v>41858</v>
      </c>
    </row>
    <row r="5014" spans="1:15" x14ac:dyDescent="0.25">
      <c r="A5014" s="786" t="s">
        <v>9640</v>
      </c>
      <c r="B5014" s="787">
        <v>4</v>
      </c>
      <c r="C5014" s="787" t="s">
        <v>9641</v>
      </c>
      <c r="D5014" s="787">
        <v>6.42</v>
      </c>
      <c r="E5014" s="787">
        <v>6.42</v>
      </c>
      <c r="F5014" s="788">
        <v>39101</v>
      </c>
      <c r="G5014" s="788">
        <v>40054</v>
      </c>
      <c r="H5014" s="787">
        <v>1</v>
      </c>
      <c r="I5014" s="788">
        <v>41948</v>
      </c>
      <c r="J5014" s="788">
        <v>41949</v>
      </c>
      <c r="L5014" s="787">
        <v>4.09</v>
      </c>
      <c r="M5014" s="787">
        <v>10</v>
      </c>
      <c r="N5014" s="787">
        <v>5.44</v>
      </c>
      <c r="O5014" s="788">
        <v>41858</v>
      </c>
    </row>
    <row r="5015" spans="1:15" x14ac:dyDescent="0.25">
      <c r="A5015" s="786" t="s">
        <v>9642</v>
      </c>
      <c r="B5015" s="787">
        <v>4</v>
      </c>
      <c r="C5015" s="787" t="s">
        <v>9643</v>
      </c>
      <c r="D5015" s="787">
        <v>2.23</v>
      </c>
      <c r="E5015" s="787">
        <v>2.23</v>
      </c>
      <c r="F5015" s="788">
        <v>39456</v>
      </c>
      <c r="G5015" s="788">
        <v>40054</v>
      </c>
      <c r="H5015" s="787">
        <v>1</v>
      </c>
      <c r="I5015" s="788">
        <v>41948</v>
      </c>
      <c r="J5015" s="788">
        <v>41949</v>
      </c>
      <c r="L5015" s="787">
        <v>4.75</v>
      </c>
      <c r="M5015" s="787">
        <v>10</v>
      </c>
      <c r="N5015" s="787">
        <v>6.37</v>
      </c>
      <c r="O5015" s="788">
        <v>41858</v>
      </c>
    </row>
    <row r="5016" spans="1:15" x14ac:dyDescent="0.25">
      <c r="A5016" s="786" t="s">
        <v>9644</v>
      </c>
      <c r="B5016" s="787">
        <v>4</v>
      </c>
      <c r="C5016" s="787" t="s">
        <v>9645</v>
      </c>
      <c r="D5016" s="787">
        <v>1.96</v>
      </c>
      <c r="E5016" s="787">
        <v>4.55</v>
      </c>
      <c r="F5016" s="788">
        <v>39456</v>
      </c>
      <c r="G5016" s="788">
        <v>40054</v>
      </c>
      <c r="H5016" s="787">
        <v>1</v>
      </c>
      <c r="I5016" s="788">
        <v>41948</v>
      </c>
      <c r="J5016" s="788">
        <v>41949</v>
      </c>
      <c r="L5016" s="787">
        <v>4.0599999999999996</v>
      </c>
      <c r="M5016" s="787">
        <v>10</v>
      </c>
      <c r="N5016" s="787">
        <v>5.4</v>
      </c>
      <c r="O5016" s="788">
        <v>41858</v>
      </c>
    </row>
    <row r="5017" spans="1:15" x14ac:dyDescent="0.25">
      <c r="A5017" s="786" t="s">
        <v>9646</v>
      </c>
      <c r="B5017" s="787">
        <v>4</v>
      </c>
      <c r="C5017" s="787" t="s">
        <v>9647</v>
      </c>
      <c r="D5017" s="787">
        <v>0</v>
      </c>
      <c r="E5017" s="787">
        <v>0</v>
      </c>
      <c r="H5017" s="787">
        <v>1</v>
      </c>
      <c r="I5017" s="788">
        <v>40934</v>
      </c>
      <c r="J5017" s="788">
        <v>39101</v>
      </c>
      <c r="L5017" s="787">
        <v>1.1499999999999999</v>
      </c>
      <c r="M5017" s="787">
        <v>10</v>
      </c>
      <c r="N5017" s="787">
        <v>1.56</v>
      </c>
      <c r="O5017" s="788">
        <v>41858</v>
      </c>
    </row>
    <row r="5018" spans="1:15" x14ac:dyDescent="0.25">
      <c r="A5018" s="786" t="s">
        <v>9648</v>
      </c>
      <c r="B5018" s="787">
        <v>4</v>
      </c>
      <c r="C5018" s="787" t="s">
        <v>9649</v>
      </c>
      <c r="D5018" s="787">
        <v>0</v>
      </c>
      <c r="E5018" s="787">
        <v>0</v>
      </c>
      <c r="H5018" s="787">
        <v>1</v>
      </c>
      <c r="I5018" s="788">
        <v>41171</v>
      </c>
      <c r="J5018" s="788">
        <v>39101</v>
      </c>
      <c r="L5018" s="787">
        <v>1.1499999999999999</v>
      </c>
      <c r="M5018" s="787">
        <v>10</v>
      </c>
      <c r="N5018" s="787">
        <v>1.56</v>
      </c>
      <c r="O5018" s="788">
        <v>41858</v>
      </c>
    </row>
    <row r="5019" spans="1:15" x14ac:dyDescent="0.25">
      <c r="A5019" s="786" t="s">
        <v>9650</v>
      </c>
      <c r="B5019" s="787">
        <v>4</v>
      </c>
      <c r="C5019" s="787" t="s">
        <v>9651</v>
      </c>
      <c r="D5019" s="787">
        <v>0</v>
      </c>
      <c r="E5019" s="787">
        <v>0</v>
      </c>
      <c r="H5019" s="787">
        <v>1</v>
      </c>
      <c r="I5019" s="788">
        <v>41171</v>
      </c>
      <c r="J5019" s="788">
        <v>39101</v>
      </c>
      <c r="L5019" s="787">
        <v>0.69</v>
      </c>
      <c r="M5019" s="787">
        <v>10</v>
      </c>
      <c r="N5019" s="787">
        <v>0.84</v>
      </c>
      <c r="O5019" s="788">
        <v>42048</v>
      </c>
    </row>
    <row r="5020" spans="1:15" x14ac:dyDescent="0.25">
      <c r="A5020" s="786" t="s">
        <v>9652</v>
      </c>
      <c r="B5020" s="787">
        <v>4</v>
      </c>
      <c r="C5020" s="787" t="s">
        <v>8614</v>
      </c>
      <c r="D5020" s="787">
        <v>0.64</v>
      </c>
      <c r="E5020" s="787">
        <v>4.18</v>
      </c>
      <c r="F5020" s="788">
        <v>39456</v>
      </c>
      <c r="G5020" s="788">
        <v>39879</v>
      </c>
      <c r="H5020" s="787">
        <v>1</v>
      </c>
      <c r="I5020" s="788">
        <v>41948</v>
      </c>
      <c r="J5020" s="788">
        <v>41949</v>
      </c>
      <c r="L5020" s="787">
        <v>2.13</v>
      </c>
      <c r="M5020" s="787">
        <v>10</v>
      </c>
      <c r="N5020" s="787">
        <v>2.79</v>
      </c>
      <c r="O5020" s="788">
        <v>41858</v>
      </c>
    </row>
    <row r="5021" spans="1:15" x14ac:dyDescent="0.25">
      <c r="A5021" s="786" t="s">
        <v>9653</v>
      </c>
      <c r="B5021" s="787">
        <v>4</v>
      </c>
      <c r="C5021" s="787" t="s">
        <v>9654</v>
      </c>
      <c r="D5021" s="787">
        <v>1.22</v>
      </c>
      <c r="E5021" s="787">
        <v>1.22</v>
      </c>
      <c r="F5021" s="788">
        <v>39456</v>
      </c>
      <c r="G5021" s="788">
        <v>40054</v>
      </c>
      <c r="H5021" s="787">
        <v>1</v>
      </c>
      <c r="I5021" s="788">
        <v>41948</v>
      </c>
      <c r="J5021" s="788">
        <v>41542</v>
      </c>
      <c r="L5021" s="787">
        <v>12.91</v>
      </c>
      <c r="M5021" s="787">
        <v>10</v>
      </c>
      <c r="N5021" s="787">
        <v>5.05</v>
      </c>
      <c r="O5021" s="788">
        <v>42083</v>
      </c>
    </row>
    <row r="5022" spans="1:15" x14ac:dyDescent="0.25">
      <c r="A5022" s="786" t="s">
        <v>9655</v>
      </c>
      <c r="B5022" s="787">
        <v>4</v>
      </c>
      <c r="C5022" s="787" t="s">
        <v>9656</v>
      </c>
      <c r="D5022" s="787">
        <v>4.29</v>
      </c>
      <c r="E5022" s="787">
        <v>4.29</v>
      </c>
      <c r="F5022" s="788">
        <v>38047</v>
      </c>
      <c r="G5022" s="788">
        <v>38082</v>
      </c>
      <c r="H5022" s="787">
        <v>1</v>
      </c>
      <c r="J5022" s="788">
        <v>38082</v>
      </c>
      <c r="L5022" s="787">
        <v>4.2699999999999996</v>
      </c>
      <c r="M5022" s="787">
        <v>10</v>
      </c>
      <c r="N5022" s="787">
        <v>7.29</v>
      </c>
      <c r="O5022" s="788">
        <v>42083</v>
      </c>
    </row>
    <row r="5023" spans="1:15" x14ac:dyDescent="0.25">
      <c r="A5023" s="786" t="s">
        <v>9657</v>
      </c>
      <c r="B5023" s="787">
        <v>4</v>
      </c>
      <c r="C5023" s="787" t="s">
        <v>9658</v>
      </c>
      <c r="D5023" s="787">
        <v>0.93</v>
      </c>
      <c r="E5023" s="787">
        <v>1.52</v>
      </c>
      <c r="F5023" s="788">
        <v>39101</v>
      </c>
      <c r="G5023" s="788">
        <v>41943</v>
      </c>
      <c r="H5023" s="787">
        <v>1</v>
      </c>
      <c r="I5023" s="788">
        <v>41970</v>
      </c>
      <c r="J5023" s="788">
        <v>39540</v>
      </c>
      <c r="L5023" s="787">
        <v>4.67</v>
      </c>
      <c r="M5023" s="787">
        <v>10</v>
      </c>
      <c r="N5023" s="787">
        <v>1.71</v>
      </c>
      <c r="O5023" s="788">
        <v>42162</v>
      </c>
    </row>
    <row r="5024" spans="1:15" x14ac:dyDescent="0.25">
      <c r="A5024" s="786" t="s">
        <v>9659</v>
      </c>
      <c r="B5024" s="787">
        <v>4</v>
      </c>
      <c r="C5024" s="787" t="s">
        <v>9660</v>
      </c>
      <c r="D5024" s="787">
        <v>0.28999999999999998</v>
      </c>
      <c r="E5024" s="787">
        <v>0.28999999999999998</v>
      </c>
      <c r="F5024" s="788">
        <v>41278</v>
      </c>
      <c r="G5024" s="788">
        <v>41565</v>
      </c>
      <c r="H5024" s="787">
        <v>1</v>
      </c>
      <c r="J5024" s="788">
        <v>41251</v>
      </c>
      <c r="L5024" s="787">
        <v>1.6</v>
      </c>
      <c r="M5024" s="787">
        <v>10</v>
      </c>
      <c r="N5024" s="787">
        <v>0.69</v>
      </c>
      <c r="O5024" s="788">
        <v>42087</v>
      </c>
    </row>
    <row r="5025" spans="1:15" x14ac:dyDescent="0.25">
      <c r="A5025" s="786" t="s">
        <v>9661</v>
      </c>
      <c r="B5025" s="787">
        <v>4</v>
      </c>
      <c r="C5025" s="787" t="s">
        <v>9662</v>
      </c>
      <c r="D5025" s="787">
        <v>1.57</v>
      </c>
      <c r="E5025" s="787">
        <v>2.08</v>
      </c>
      <c r="F5025" s="788">
        <v>38736</v>
      </c>
      <c r="G5025" s="788">
        <v>41977</v>
      </c>
      <c r="H5025" s="787">
        <v>1</v>
      </c>
      <c r="I5025" s="788">
        <v>42035</v>
      </c>
      <c r="J5025" s="788">
        <v>42023</v>
      </c>
      <c r="K5025" s="788">
        <v>40668</v>
      </c>
      <c r="L5025" s="787">
        <v>1.86</v>
      </c>
      <c r="M5025" s="787">
        <v>20</v>
      </c>
      <c r="N5025" s="787">
        <v>2.2400000000000002</v>
      </c>
      <c r="O5025" s="788">
        <v>42024</v>
      </c>
    </row>
    <row r="5026" spans="1:15" x14ac:dyDescent="0.25">
      <c r="A5026" s="786" t="s">
        <v>9663</v>
      </c>
      <c r="B5026" s="787">
        <v>4</v>
      </c>
      <c r="C5026" s="787" t="s">
        <v>9662</v>
      </c>
      <c r="D5026" s="787">
        <v>2.36</v>
      </c>
      <c r="E5026" s="787">
        <v>2.36</v>
      </c>
      <c r="F5026" s="788">
        <v>38449</v>
      </c>
      <c r="G5026" s="788">
        <v>40914</v>
      </c>
      <c r="H5026" s="787">
        <v>1</v>
      </c>
      <c r="I5026" s="788">
        <v>41950</v>
      </c>
      <c r="J5026" s="788">
        <v>41953</v>
      </c>
      <c r="L5026" s="787">
        <v>2.88</v>
      </c>
      <c r="M5026" s="787">
        <v>20</v>
      </c>
      <c r="N5026" s="787">
        <v>3.47</v>
      </c>
      <c r="O5026" s="788">
        <v>41955</v>
      </c>
    </row>
    <row r="5027" spans="1:15" x14ac:dyDescent="0.25">
      <c r="A5027" s="786" t="s">
        <v>9664</v>
      </c>
      <c r="B5027" s="787">
        <v>4</v>
      </c>
      <c r="C5027" s="787" t="s">
        <v>9665</v>
      </c>
      <c r="D5027" s="787">
        <v>1.33</v>
      </c>
      <c r="E5027" s="787">
        <v>1.73</v>
      </c>
      <c r="F5027" s="788">
        <v>40016</v>
      </c>
      <c r="G5027" s="788">
        <v>42159</v>
      </c>
      <c r="H5027" s="787">
        <v>1</v>
      </c>
      <c r="I5027" s="788">
        <v>42166</v>
      </c>
      <c r="J5027" s="788">
        <v>42146</v>
      </c>
      <c r="K5027" s="788">
        <v>41311</v>
      </c>
      <c r="L5027" s="787">
        <v>1.68</v>
      </c>
      <c r="M5027" s="787">
        <v>20</v>
      </c>
      <c r="N5027" s="787">
        <v>2.02</v>
      </c>
      <c r="O5027" s="788">
        <v>42162</v>
      </c>
    </row>
    <row r="5028" spans="1:15" x14ac:dyDescent="0.25">
      <c r="A5028" s="786" t="s">
        <v>9666</v>
      </c>
      <c r="B5028" s="787">
        <v>4</v>
      </c>
      <c r="C5028" s="787" t="s">
        <v>9662</v>
      </c>
      <c r="D5028" s="787">
        <v>0.94</v>
      </c>
      <c r="E5028" s="787">
        <v>1.1499999999999999</v>
      </c>
      <c r="F5028" s="788">
        <v>39101</v>
      </c>
      <c r="G5028" s="788">
        <v>42159</v>
      </c>
      <c r="H5028" s="787">
        <v>1</v>
      </c>
      <c r="I5028" s="788">
        <v>42158</v>
      </c>
      <c r="J5028" s="788">
        <v>42159</v>
      </c>
      <c r="L5028" s="787">
        <v>1.17</v>
      </c>
      <c r="M5028" s="787">
        <v>20</v>
      </c>
      <c r="N5028" s="787">
        <v>1.41</v>
      </c>
      <c r="O5028" s="788">
        <v>42163</v>
      </c>
    </row>
    <row r="5029" spans="1:15" x14ac:dyDescent="0.25">
      <c r="A5029" s="786" t="s">
        <v>9667</v>
      </c>
      <c r="B5029" s="787">
        <v>4</v>
      </c>
      <c r="C5029" s="787" t="s">
        <v>9662</v>
      </c>
      <c r="D5029" s="787">
        <v>1.83</v>
      </c>
      <c r="E5029" s="787">
        <v>1.98</v>
      </c>
      <c r="F5029" s="788">
        <v>41239</v>
      </c>
      <c r="G5029" s="788">
        <v>42163</v>
      </c>
      <c r="H5029" s="787">
        <v>1</v>
      </c>
      <c r="I5029" s="788">
        <v>41891</v>
      </c>
      <c r="J5029" s="788">
        <v>42163</v>
      </c>
      <c r="K5029" s="788">
        <v>41869</v>
      </c>
      <c r="L5029" s="787">
        <v>1.98</v>
      </c>
      <c r="M5029" s="787">
        <v>20</v>
      </c>
      <c r="N5029" s="787">
        <v>2.38</v>
      </c>
      <c r="O5029" s="788">
        <v>42127</v>
      </c>
    </row>
    <row r="5030" spans="1:15" x14ac:dyDescent="0.25">
      <c r="A5030" s="786" t="s">
        <v>9668</v>
      </c>
      <c r="B5030" s="787">
        <v>4</v>
      </c>
      <c r="C5030" s="787" t="s">
        <v>9669</v>
      </c>
      <c r="D5030" s="787">
        <v>1.54</v>
      </c>
      <c r="E5030" s="787">
        <v>54.02</v>
      </c>
      <c r="F5030" s="788">
        <v>39588</v>
      </c>
      <c r="G5030" s="788">
        <v>42013</v>
      </c>
      <c r="H5030" s="787">
        <v>1</v>
      </c>
      <c r="I5030" s="788">
        <v>42157</v>
      </c>
      <c r="J5030" s="788">
        <v>41657</v>
      </c>
      <c r="L5030" s="787">
        <v>56.9</v>
      </c>
      <c r="M5030" s="787">
        <v>20</v>
      </c>
      <c r="N5030" s="787">
        <v>68.510000000000005</v>
      </c>
      <c r="O5030" s="788">
        <v>41858</v>
      </c>
    </row>
    <row r="5031" spans="1:15" x14ac:dyDescent="0.25">
      <c r="A5031" s="786" t="s">
        <v>9670</v>
      </c>
      <c r="B5031" s="787">
        <v>4</v>
      </c>
      <c r="C5031" s="787" t="s">
        <v>9662</v>
      </c>
      <c r="D5031" s="787">
        <v>6.81</v>
      </c>
      <c r="E5031" s="787">
        <v>8.4</v>
      </c>
      <c r="F5031" s="788">
        <v>38146</v>
      </c>
      <c r="G5031" s="788">
        <v>42013</v>
      </c>
      <c r="H5031" s="787">
        <v>1</v>
      </c>
      <c r="I5031" s="788">
        <v>42068</v>
      </c>
      <c r="J5031" s="788">
        <v>41990</v>
      </c>
      <c r="K5031" s="788">
        <v>40673</v>
      </c>
      <c r="L5031" s="787">
        <v>7.84</v>
      </c>
      <c r="M5031" s="787">
        <v>20</v>
      </c>
      <c r="N5031" s="787">
        <v>9.44</v>
      </c>
      <c r="O5031" s="788">
        <v>41858</v>
      </c>
    </row>
    <row r="5032" spans="1:15" x14ac:dyDescent="0.25">
      <c r="A5032" s="786" t="s">
        <v>9671</v>
      </c>
      <c r="B5032" s="787">
        <v>4</v>
      </c>
      <c r="C5032" s="787" t="s">
        <v>9662</v>
      </c>
      <c r="D5032" s="787">
        <v>5.0199999999999996</v>
      </c>
      <c r="E5032" s="787">
        <v>7.28</v>
      </c>
      <c r="F5032" s="788">
        <v>39101</v>
      </c>
      <c r="G5032" s="788">
        <v>40178</v>
      </c>
      <c r="H5032" s="787">
        <v>1</v>
      </c>
      <c r="I5032" s="788">
        <v>40854</v>
      </c>
      <c r="J5032" s="788">
        <v>40108</v>
      </c>
      <c r="L5032" s="787">
        <v>8.64</v>
      </c>
      <c r="M5032" s="787">
        <v>20</v>
      </c>
      <c r="N5032" s="787">
        <v>10.4</v>
      </c>
      <c r="O5032" s="788">
        <v>41858</v>
      </c>
    </row>
    <row r="5033" spans="1:15" x14ac:dyDescent="0.25">
      <c r="A5033" s="786" t="s">
        <v>9672</v>
      </c>
      <c r="B5033" s="787">
        <v>4</v>
      </c>
      <c r="C5033" s="787" t="s">
        <v>9662</v>
      </c>
      <c r="D5033" s="787">
        <v>1.1399999999999999</v>
      </c>
      <c r="E5033" s="787">
        <v>3.18</v>
      </c>
      <c r="F5033" s="788">
        <v>37642</v>
      </c>
      <c r="G5033" s="788">
        <v>41298</v>
      </c>
      <c r="H5033" s="787">
        <v>1</v>
      </c>
      <c r="I5033" s="788">
        <v>41360</v>
      </c>
      <c r="J5033" s="788">
        <v>41288</v>
      </c>
      <c r="K5033" s="788">
        <v>40913</v>
      </c>
      <c r="L5033" s="787">
        <v>3.12</v>
      </c>
      <c r="M5033" s="787">
        <v>20</v>
      </c>
      <c r="N5033" s="787">
        <v>3.76</v>
      </c>
      <c r="O5033" s="788">
        <v>42162</v>
      </c>
    </row>
    <row r="5034" spans="1:15" x14ac:dyDescent="0.25">
      <c r="A5034" s="786" t="s">
        <v>9673</v>
      </c>
      <c r="B5034" s="787">
        <v>4</v>
      </c>
      <c r="C5034" s="787" t="s">
        <v>9662</v>
      </c>
      <c r="D5034" s="787">
        <v>1.6</v>
      </c>
      <c r="E5034" s="787">
        <v>2.2799999999999998</v>
      </c>
      <c r="F5034" s="788">
        <v>39101</v>
      </c>
      <c r="G5034" s="788">
        <v>42165</v>
      </c>
      <c r="H5034" s="787">
        <v>1</v>
      </c>
      <c r="I5034" s="788">
        <v>41971</v>
      </c>
      <c r="J5034" s="788">
        <v>42153</v>
      </c>
      <c r="K5034" s="788">
        <v>40520</v>
      </c>
      <c r="L5034" s="787">
        <v>2.2599999999999998</v>
      </c>
      <c r="M5034" s="787">
        <v>20</v>
      </c>
      <c r="N5034" s="787">
        <v>2.72</v>
      </c>
      <c r="O5034" s="788">
        <v>42162</v>
      </c>
    </row>
    <row r="5035" spans="1:15" x14ac:dyDescent="0.25">
      <c r="A5035" s="786" t="s">
        <v>9674</v>
      </c>
      <c r="B5035" s="787">
        <v>4</v>
      </c>
      <c r="C5035" s="787" t="s">
        <v>9675</v>
      </c>
      <c r="D5035" s="787">
        <v>2.38</v>
      </c>
      <c r="E5035" s="787">
        <v>12.67</v>
      </c>
      <c r="F5035" s="788">
        <v>39555</v>
      </c>
      <c r="G5035" s="788">
        <v>41891</v>
      </c>
      <c r="H5035" s="787">
        <v>1</v>
      </c>
      <c r="I5035" s="788">
        <v>41876</v>
      </c>
      <c r="J5035" s="788">
        <v>41872</v>
      </c>
      <c r="K5035" s="788">
        <v>41869</v>
      </c>
      <c r="L5035" s="787">
        <v>12.99</v>
      </c>
      <c r="M5035" s="787">
        <v>20</v>
      </c>
      <c r="N5035" s="787">
        <v>26.14</v>
      </c>
      <c r="O5035" s="788">
        <v>41858</v>
      </c>
    </row>
    <row r="5036" spans="1:15" x14ac:dyDescent="0.25">
      <c r="A5036" s="786" t="s">
        <v>9676</v>
      </c>
      <c r="B5036" s="787">
        <v>4</v>
      </c>
      <c r="C5036" s="787" t="s">
        <v>9662</v>
      </c>
      <c r="D5036" s="787">
        <v>2.48</v>
      </c>
      <c r="E5036" s="787">
        <v>3.19</v>
      </c>
      <c r="F5036" s="788">
        <v>40091</v>
      </c>
      <c r="G5036" s="788">
        <v>42013</v>
      </c>
      <c r="H5036" s="787">
        <v>1</v>
      </c>
      <c r="I5036" s="788">
        <v>41544</v>
      </c>
      <c r="J5036" s="788">
        <v>41541</v>
      </c>
      <c r="K5036" s="788">
        <v>40816</v>
      </c>
      <c r="L5036" s="787">
        <v>2.62</v>
      </c>
      <c r="M5036" s="787">
        <v>20</v>
      </c>
      <c r="N5036" s="787">
        <v>3.15</v>
      </c>
      <c r="O5036" s="788">
        <v>42144</v>
      </c>
    </row>
    <row r="5037" spans="1:15" x14ac:dyDescent="0.25">
      <c r="A5037" s="786" t="s">
        <v>9677</v>
      </c>
      <c r="B5037" s="787">
        <v>4</v>
      </c>
      <c r="C5037" s="787" t="s">
        <v>9662</v>
      </c>
      <c r="D5037" s="787">
        <v>0.82</v>
      </c>
      <c r="E5037" s="787">
        <v>0.94</v>
      </c>
      <c r="F5037" s="788">
        <v>39101</v>
      </c>
      <c r="G5037" s="788">
        <v>42013</v>
      </c>
      <c r="H5037" s="787">
        <v>1</v>
      </c>
      <c r="I5037" s="788">
        <v>42145</v>
      </c>
      <c r="J5037" s="788">
        <v>41827</v>
      </c>
      <c r="L5037" s="787">
        <v>1.07</v>
      </c>
      <c r="M5037" s="787">
        <v>20</v>
      </c>
      <c r="N5037" s="787">
        <v>1.29</v>
      </c>
      <c r="O5037" s="788">
        <v>42146</v>
      </c>
    </row>
    <row r="5038" spans="1:15" x14ac:dyDescent="0.25">
      <c r="A5038" s="786" t="s">
        <v>9678</v>
      </c>
      <c r="B5038" s="787">
        <v>4</v>
      </c>
      <c r="C5038" s="787" t="s">
        <v>9679</v>
      </c>
      <c r="D5038" s="787">
        <v>3.12</v>
      </c>
      <c r="E5038" s="787">
        <v>5.0599999999999996</v>
      </c>
      <c r="F5038" s="788">
        <v>41374</v>
      </c>
      <c r="G5038" s="788">
        <v>41646</v>
      </c>
      <c r="H5038" s="787">
        <v>1</v>
      </c>
      <c r="I5038" s="788">
        <v>41523</v>
      </c>
      <c r="J5038" s="788">
        <v>41519</v>
      </c>
      <c r="L5038" s="787">
        <v>4.24</v>
      </c>
      <c r="M5038" s="787">
        <v>20</v>
      </c>
      <c r="N5038" s="787">
        <v>5.0999999999999996</v>
      </c>
      <c r="O5038" s="788">
        <v>42124</v>
      </c>
    </row>
    <row r="5039" spans="1:15" x14ac:dyDescent="0.25">
      <c r="A5039" s="786" t="s">
        <v>9680</v>
      </c>
      <c r="B5039" s="787">
        <v>4</v>
      </c>
      <c r="C5039" s="787" t="s">
        <v>9662</v>
      </c>
      <c r="D5039" s="787">
        <v>9.51</v>
      </c>
      <c r="E5039" s="787">
        <v>10.17</v>
      </c>
      <c r="F5039" s="788">
        <v>41990</v>
      </c>
      <c r="G5039" s="788">
        <v>42165</v>
      </c>
      <c r="H5039" s="787">
        <v>1</v>
      </c>
      <c r="I5039" s="788">
        <v>42046</v>
      </c>
      <c r="J5039" s="788">
        <v>42165</v>
      </c>
      <c r="L5039" s="787">
        <v>9.6</v>
      </c>
      <c r="M5039" s="787">
        <v>20</v>
      </c>
      <c r="N5039" s="787">
        <v>11.56</v>
      </c>
      <c r="O5039" s="788">
        <v>42146</v>
      </c>
    </row>
    <row r="5040" spans="1:15" x14ac:dyDescent="0.25">
      <c r="A5040" s="786" t="s">
        <v>9681</v>
      </c>
      <c r="B5040" s="787">
        <v>4</v>
      </c>
      <c r="C5040" s="787" t="s">
        <v>9662</v>
      </c>
      <c r="D5040" s="787">
        <v>4.1900000000000004</v>
      </c>
      <c r="E5040" s="787">
        <v>5.33</v>
      </c>
      <c r="F5040" s="788">
        <v>39975</v>
      </c>
      <c r="G5040" s="788">
        <v>42013</v>
      </c>
      <c r="H5040" s="787">
        <v>1</v>
      </c>
      <c r="I5040" s="788">
        <v>42047</v>
      </c>
      <c r="J5040" s="788">
        <v>41963</v>
      </c>
      <c r="K5040" s="788">
        <v>41408</v>
      </c>
      <c r="L5040" s="787">
        <v>4.55</v>
      </c>
      <c r="M5040" s="787">
        <v>20</v>
      </c>
      <c r="N5040" s="787">
        <v>4.8899999999999997</v>
      </c>
      <c r="O5040" s="788">
        <v>41955</v>
      </c>
    </row>
    <row r="5041" spans="1:15" x14ac:dyDescent="0.25">
      <c r="A5041" s="786" t="s">
        <v>9682</v>
      </c>
      <c r="B5041" s="787">
        <v>4</v>
      </c>
      <c r="C5041" s="787" t="s">
        <v>9662</v>
      </c>
      <c r="D5041" s="787">
        <v>3.17</v>
      </c>
      <c r="E5041" s="787">
        <v>3.17</v>
      </c>
      <c r="F5041" s="788">
        <v>39101</v>
      </c>
      <c r="G5041" s="788">
        <v>39101</v>
      </c>
      <c r="H5041" s="787">
        <v>1</v>
      </c>
      <c r="I5041" s="788">
        <v>40959</v>
      </c>
      <c r="J5041" s="788">
        <v>39149</v>
      </c>
      <c r="L5041" s="787">
        <v>3.46</v>
      </c>
      <c r="M5041" s="787">
        <v>20</v>
      </c>
      <c r="N5041" s="787">
        <v>3.72</v>
      </c>
      <c r="O5041" s="788">
        <v>41858</v>
      </c>
    </row>
    <row r="5042" spans="1:15" x14ac:dyDescent="0.25">
      <c r="A5042" s="786" t="s">
        <v>9683</v>
      </c>
      <c r="B5042" s="787">
        <v>4</v>
      </c>
      <c r="C5042" s="787" t="s">
        <v>9662</v>
      </c>
      <c r="D5042" s="787">
        <v>3.07</v>
      </c>
      <c r="E5042" s="787">
        <v>3.49</v>
      </c>
      <c r="F5042" s="788">
        <v>40206</v>
      </c>
      <c r="G5042" s="788">
        <v>42143</v>
      </c>
      <c r="H5042" s="787">
        <v>1</v>
      </c>
      <c r="I5042" s="788">
        <v>42137</v>
      </c>
      <c r="J5042" s="788">
        <v>42124</v>
      </c>
      <c r="K5042" s="788">
        <v>41583</v>
      </c>
      <c r="L5042" s="787">
        <v>3.51</v>
      </c>
      <c r="M5042" s="787">
        <v>20</v>
      </c>
      <c r="N5042" s="787">
        <v>4.2300000000000004</v>
      </c>
      <c r="O5042" s="788">
        <v>42163</v>
      </c>
    </row>
    <row r="5043" spans="1:15" x14ac:dyDescent="0.25">
      <c r="A5043" s="786" t="s">
        <v>9684</v>
      </c>
      <c r="B5043" s="787">
        <v>4</v>
      </c>
      <c r="C5043" s="787" t="s">
        <v>9662</v>
      </c>
      <c r="D5043" s="787">
        <v>5.29</v>
      </c>
      <c r="E5043" s="787">
        <v>8.3699999999999992</v>
      </c>
      <c r="F5043" s="788">
        <v>39975</v>
      </c>
      <c r="G5043" s="788">
        <v>42013</v>
      </c>
      <c r="H5043" s="787">
        <v>1</v>
      </c>
      <c r="I5043" s="788">
        <v>42136</v>
      </c>
      <c r="J5043" s="788">
        <v>41158</v>
      </c>
      <c r="L5043" s="787">
        <v>7.18</v>
      </c>
      <c r="M5043" s="787">
        <v>20</v>
      </c>
      <c r="N5043" s="787">
        <v>8.64</v>
      </c>
      <c r="O5043" s="788">
        <v>42162</v>
      </c>
    </row>
    <row r="5044" spans="1:15" x14ac:dyDescent="0.25">
      <c r="A5044" s="786" t="s">
        <v>9685</v>
      </c>
      <c r="B5044" s="787">
        <v>4</v>
      </c>
      <c r="C5044" s="787" t="s">
        <v>9662</v>
      </c>
      <c r="D5044" s="787">
        <v>6.16</v>
      </c>
      <c r="E5044" s="787">
        <v>7.15</v>
      </c>
      <c r="F5044" s="788">
        <v>39101</v>
      </c>
      <c r="G5044" s="788">
        <v>42150</v>
      </c>
      <c r="H5044" s="787">
        <v>1</v>
      </c>
      <c r="I5044" s="788">
        <v>42143</v>
      </c>
      <c r="J5044" s="788">
        <v>42137</v>
      </c>
      <c r="K5044" s="788">
        <v>41583</v>
      </c>
      <c r="L5044" s="787">
        <v>6.59</v>
      </c>
      <c r="M5044" s="787">
        <v>20</v>
      </c>
      <c r="N5044" s="787">
        <v>7.08</v>
      </c>
      <c r="O5044" s="788">
        <v>42159</v>
      </c>
    </row>
    <row r="5045" spans="1:15" x14ac:dyDescent="0.25">
      <c r="A5045" s="786" t="s">
        <v>9686</v>
      </c>
      <c r="B5045" s="787">
        <v>4</v>
      </c>
      <c r="C5045" s="787" t="s">
        <v>9687</v>
      </c>
      <c r="D5045" s="787">
        <v>2.54</v>
      </c>
      <c r="E5045" s="787">
        <v>4.62</v>
      </c>
      <c r="F5045" s="788">
        <v>39975</v>
      </c>
      <c r="G5045" s="788">
        <v>42024</v>
      </c>
      <c r="H5045" s="787">
        <v>1</v>
      </c>
      <c r="I5045" s="788">
        <v>42101</v>
      </c>
      <c r="J5045" s="788">
        <v>42018</v>
      </c>
      <c r="K5045" s="788">
        <v>40415</v>
      </c>
      <c r="L5045" s="787">
        <v>2.33</v>
      </c>
      <c r="M5045" s="787">
        <v>20</v>
      </c>
      <c r="N5045" s="787">
        <v>2.81</v>
      </c>
      <c r="O5045" s="788">
        <v>41858</v>
      </c>
    </row>
    <row r="5046" spans="1:15" x14ac:dyDescent="0.25">
      <c r="A5046" s="786" t="s">
        <v>9688</v>
      </c>
      <c r="B5046" s="787">
        <v>4</v>
      </c>
      <c r="C5046" s="787" t="s">
        <v>9689</v>
      </c>
      <c r="D5046" s="787">
        <v>5.74</v>
      </c>
      <c r="E5046" s="787">
        <v>9.52</v>
      </c>
      <c r="F5046" s="788">
        <v>40380</v>
      </c>
      <c r="G5046" s="788">
        <v>42165</v>
      </c>
      <c r="H5046" s="787">
        <v>1</v>
      </c>
      <c r="I5046" s="788">
        <v>42164</v>
      </c>
      <c r="J5046" s="788">
        <v>42144</v>
      </c>
      <c r="K5046" s="788">
        <v>42156</v>
      </c>
      <c r="L5046" s="787">
        <v>8.8000000000000007</v>
      </c>
      <c r="M5046" s="787">
        <v>20</v>
      </c>
      <c r="N5046" s="787">
        <v>10.6</v>
      </c>
      <c r="O5046" s="788">
        <v>42159</v>
      </c>
    </row>
    <row r="5047" spans="1:15" x14ac:dyDescent="0.25">
      <c r="A5047" s="786" t="s">
        <v>9690</v>
      </c>
      <c r="B5047" s="787">
        <v>4</v>
      </c>
      <c r="C5047" s="787" t="s">
        <v>9691</v>
      </c>
      <c r="D5047" s="787">
        <v>2.16</v>
      </c>
      <c r="E5047" s="787">
        <v>2.16</v>
      </c>
      <c r="F5047" s="788">
        <v>37642</v>
      </c>
      <c r="G5047" s="788">
        <v>37642</v>
      </c>
      <c r="H5047" s="787">
        <v>1</v>
      </c>
      <c r="I5047" s="788">
        <v>40164</v>
      </c>
      <c r="J5047" s="788">
        <v>37642</v>
      </c>
      <c r="L5047" s="787">
        <v>2.64</v>
      </c>
      <c r="M5047" s="787">
        <v>20</v>
      </c>
      <c r="N5047" s="787">
        <v>3.18</v>
      </c>
      <c r="O5047" s="788">
        <v>41858</v>
      </c>
    </row>
    <row r="5048" spans="1:15" x14ac:dyDescent="0.25">
      <c r="A5048" s="786" t="s">
        <v>9692</v>
      </c>
      <c r="B5048" s="787">
        <v>4</v>
      </c>
      <c r="C5048" s="787" t="s">
        <v>9691</v>
      </c>
      <c r="D5048" s="787">
        <v>2.91</v>
      </c>
      <c r="E5048" s="787">
        <v>2.93</v>
      </c>
      <c r="F5048" s="788">
        <v>39296</v>
      </c>
      <c r="G5048" s="788">
        <v>42013</v>
      </c>
      <c r="H5048" s="787">
        <v>1</v>
      </c>
      <c r="I5048" s="788">
        <v>42074</v>
      </c>
      <c r="J5048" s="788">
        <v>41313</v>
      </c>
      <c r="K5048" s="788">
        <v>40798</v>
      </c>
      <c r="L5048" s="787">
        <v>3.09</v>
      </c>
      <c r="M5048" s="787">
        <v>20</v>
      </c>
      <c r="N5048" s="787">
        <v>3.72</v>
      </c>
      <c r="O5048" s="788">
        <v>41858</v>
      </c>
    </row>
    <row r="5049" spans="1:15" x14ac:dyDescent="0.25">
      <c r="A5049" s="786" t="s">
        <v>9693</v>
      </c>
      <c r="B5049" s="787">
        <v>4</v>
      </c>
      <c r="C5049" s="787" t="s">
        <v>9694</v>
      </c>
      <c r="D5049" s="787">
        <v>1.25</v>
      </c>
      <c r="E5049" s="787">
        <v>3.85</v>
      </c>
      <c r="F5049" s="788">
        <v>38047</v>
      </c>
      <c r="G5049" s="788">
        <v>42013</v>
      </c>
      <c r="H5049" s="787">
        <v>1</v>
      </c>
      <c r="I5049" s="788">
        <v>41479</v>
      </c>
      <c r="J5049" s="788">
        <v>38246</v>
      </c>
      <c r="L5049" s="787">
        <v>4.7</v>
      </c>
      <c r="M5049" s="787">
        <v>20</v>
      </c>
      <c r="N5049" s="787">
        <v>5.66</v>
      </c>
      <c r="O5049" s="788">
        <v>41858</v>
      </c>
    </row>
    <row r="5050" spans="1:15" x14ac:dyDescent="0.25">
      <c r="A5050" s="786" t="s">
        <v>9695</v>
      </c>
      <c r="B5050" s="787">
        <v>4</v>
      </c>
      <c r="C5050" s="787" t="s">
        <v>9662</v>
      </c>
      <c r="D5050" s="787">
        <v>0.92</v>
      </c>
      <c r="E5050" s="787">
        <v>0.92</v>
      </c>
      <c r="F5050" s="788">
        <v>37642</v>
      </c>
      <c r="G5050" s="788">
        <v>37642</v>
      </c>
      <c r="H5050" s="787">
        <v>1</v>
      </c>
      <c r="I5050" s="788">
        <v>40508</v>
      </c>
      <c r="J5050" s="788">
        <v>37642</v>
      </c>
      <c r="L5050" s="787">
        <v>1</v>
      </c>
      <c r="M5050" s="787">
        <v>20</v>
      </c>
      <c r="N5050" s="787">
        <v>1.08</v>
      </c>
      <c r="O5050" s="788">
        <v>41858</v>
      </c>
    </row>
    <row r="5051" spans="1:15" x14ac:dyDescent="0.25">
      <c r="A5051" s="786" t="s">
        <v>9696</v>
      </c>
      <c r="B5051" s="787">
        <v>4</v>
      </c>
      <c r="C5051" s="787" t="s">
        <v>9697</v>
      </c>
      <c r="D5051" s="787">
        <v>6.33</v>
      </c>
      <c r="E5051" s="787">
        <v>8.5399999999999991</v>
      </c>
      <c r="F5051" s="788">
        <v>40210</v>
      </c>
      <c r="G5051" s="788">
        <v>42123</v>
      </c>
      <c r="H5051" s="787">
        <v>1</v>
      </c>
      <c r="I5051" s="788">
        <v>42086</v>
      </c>
      <c r="J5051" s="788">
        <v>42086</v>
      </c>
      <c r="K5051" s="788">
        <v>40330</v>
      </c>
      <c r="L5051" s="787">
        <v>8.2799999999999994</v>
      </c>
      <c r="M5051" s="787">
        <v>20</v>
      </c>
      <c r="N5051" s="787">
        <v>8.9</v>
      </c>
      <c r="O5051" s="788">
        <v>42152</v>
      </c>
    </row>
    <row r="5052" spans="1:15" x14ac:dyDescent="0.25">
      <c r="A5052" s="786" t="s">
        <v>9698</v>
      </c>
      <c r="B5052" s="787">
        <v>4</v>
      </c>
      <c r="C5052" s="787" t="s">
        <v>9691</v>
      </c>
      <c r="D5052" s="787">
        <v>3.04</v>
      </c>
      <c r="E5052" s="787">
        <v>3.04</v>
      </c>
      <c r="F5052" s="788">
        <v>39857</v>
      </c>
      <c r="G5052" s="788">
        <v>39857</v>
      </c>
      <c r="H5052" s="787">
        <v>1</v>
      </c>
      <c r="I5052" s="788">
        <v>39862</v>
      </c>
      <c r="J5052" s="788">
        <v>39857</v>
      </c>
      <c r="L5052" s="787">
        <v>3.44</v>
      </c>
      <c r="M5052" s="787">
        <v>20</v>
      </c>
      <c r="N5052" s="787">
        <v>4.1399999999999997</v>
      </c>
      <c r="O5052" s="788">
        <v>41858</v>
      </c>
    </row>
    <row r="5053" spans="1:15" x14ac:dyDescent="0.25">
      <c r="A5053" s="786" t="s">
        <v>9699</v>
      </c>
      <c r="B5053" s="787">
        <v>4</v>
      </c>
      <c r="C5053" s="787" t="s">
        <v>9691</v>
      </c>
      <c r="D5053" s="787">
        <v>3.99</v>
      </c>
      <c r="E5053" s="787">
        <v>3.99</v>
      </c>
      <c r="F5053" s="788">
        <v>37642</v>
      </c>
      <c r="G5053" s="788">
        <v>37642</v>
      </c>
      <c r="H5053" s="787">
        <v>1</v>
      </c>
      <c r="I5053" s="788">
        <v>41799</v>
      </c>
      <c r="J5053" s="788">
        <v>41799</v>
      </c>
      <c r="L5053" s="787">
        <v>4.87</v>
      </c>
      <c r="M5053" s="787">
        <v>20</v>
      </c>
      <c r="N5053" s="787">
        <v>5.86</v>
      </c>
      <c r="O5053" s="788">
        <v>41858</v>
      </c>
    </row>
    <row r="5054" spans="1:15" x14ac:dyDescent="0.25">
      <c r="A5054" s="786" t="s">
        <v>9700</v>
      </c>
      <c r="B5054" s="787">
        <v>4</v>
      </c>
      <c r="C5054" s="787" t="s">
        <v>9662</v>
      </c>
      <c r="D5054" s="787">
        <v>2.2799999999999998</v>
      </c>
      <c r="E5054" s="787">
        <v>2.63</v>
      </c>
      <c r="F5054" s="788">
        <v>39101</v>
      </c>
      <c r="G5054" s="788">
        <v>42013</v>
      </c>
      <c r="H5054" s="787">
        <v>1</v>
      </c>
      <c r="I5054" s="788">
        <v>42086</v>
      </c>
      <c r="J5054" s="788">
        <v>39216</v>
      </c>
      <c r="L5054" s="787">
        <v>2.23</v>
      </c>
      <c r="M5054" s="787">
        <v>20</v>
      </c>
      <c r="N5054" s="787">
        <v>2.68</v>
      </c>
      <c r="O5054" s="788">
        <v>42087</v>
      </c>
    </row>
    <row r="5055" spans="1:15" x14ac:dyDescent="0.25">
      <c r="A5055" s="786" t="s">
        <v>9701</v>
      </c>
      <c r="B5055" s="787">
        <v>4</v>
      </c>
      <c r="C5055" s="787" t="s">
        <v>9662</v>
      </c>
      <c r="D5055" s="787">
        <v>1.19</v>
      </c>
      <c r="E5055" s="787">
        <v>1.43</v>
      </c>
      <c r="F5055" s="788">
        <v>39896</v>
      </c>
      <c r="G5055" s="788">
        <v>42013</v>
      </c>
      <c r="H5055" s="787">
        <v>1</v>
      </c>
      <c r="I5055" s="788">
        <v>41990</v>
      </c>
      <c r="J5055" s="788">
        <v>41704</v>
      </c>
      <c r="K5055" s="788">
        <v>41869</v>
      </c>
      <c r="L5055" s="787">
        <v>1.43</v>
      </c>
      <c r="M5055" s="787">
        <v>20</v>
      </c>
      <c r="N5055" s="787">
        <v>2.67</v>
      </c>
      <c r="O5055" s="788">
        <v>41858</v>
      </c>
    </row>
    <row r="5056" spans="1:15" x14ac:dyDescent="0.25">
      <c r="A5056" s="786" t="s">
        <v>9702</v>
      </c>
      <c r="B5056" s="787">
        <v>4</v>
      </c>
      <c r="C5056" s="787" t="s">
        <v>9662</v>
      </c>
      <c r="D5056" s="787">
        <v>3.07</v>
      </c>
      <c r="E5056" s="787">
        <v>4.38</v>
      </c>
      <c r="F5056" s="788">
        <v>39101</v>
      </c>
      <c r="G5056" s="788">
        <v>42013</v>
      </c>
      <c r="H5056" s="787">
        <v>1</v>
      </c>
      <c r="I5056" s="788">
        <v>41506</v>
      </c>
      <c r="J5056" s="788">
        <v>40878</v>
      </c>
      <c r="K5056" s="788">
        <v>40884</v>
      </c>
      <c r="L5056" s="787">
        <v>4.13</v>
      </c>
      <c r="M5056" s="787">
        <v>20</v>
      </c>
      <c r="N5056" s="787">
        <v>4.97</v>
      </c>
      <c r="O5056" s="788">
        <v>41858</v>
      </c>
    </row>
    <row r="5057" spans="1:15" x14ac:dyDescent="0.25">
      <c r="A5057" s="786" t="s">
        <v>9703</v>
      </c>
      <c r="B5057" s="787">
        <v>4</v>
      </c>
      <c r="C5057" s="787" t="s">
        <v>9704</v>
      </c>
      <c r="D5057" s="787">
        <v>2.8</v>
      </c>
      <c r="E5057" s="787">
        <v>2.8</v>
      </c>
      <c r="F5057" s="788">
        <v>39101</v>
      </c>
      <c r="G5057" s="788">
        <v>41565</v>
      </c>
      <c r="H5057" s="787">
        <v>1</v>
      </c>
      <c r="I5057" s="788">
        <v>41025</v>
      </c>
      <c r="J5057" s="788">
        <v>39149</v>
      </c>
      <c r="L5057" s="787">
        <v>3.69</v>
      </c>
      <c r="M5057" s="787">
        <v>10</v>
      </c>
      <c r="N5057" s="787">
        <v>8.58</v>
      </c>
      <c r="O5057" s="788">
        <v>41858</v>
      </c>
    </row>
    <row r="5058" spans="1:15" x14ac:dyDescent="0.25">
      <c r="A5058" s="786" t="s">
        <v>9705</v>
      </c>
      <c r="B5058" s="787">
        <v>4</v>
      </c>
      <c r="C5058" s="787" t="s">
        <v>9691</v>
      </c>
      <c r="D5058" s="787">
        <v>5.33</v>
      </c>
      <c r="E5058" s="787">
        <v>9.4600000000000009</v>
      </c>
      <c r="F5058" s="788">
        <v>38047</v>
      </c>
      <c r="G5058" s="788">
        <v>42013</v>
      </c>
      <c r="H5058" s="787">
        <v>1</v>
      </c>
      <c r="I5058" s="788">
        <v>42109</v>
      </c>
      <c r="J5058" s="788">
        <v>41149</v>
      </c>
      <c r="K5058" s="788">
        <v>41073</v>
      </c>
      <c r="L5058" s="787">
        <v>9.0299999999999994</v>
      </c>
      <c r="M5058" s="787">
        <v>20</v>
      </c>
      <c r="N5058" s="787">
        <v>10.87</v>
      </c>
      <c r="O5058" s="788">
        <v>42146</v>
      </c>
    </row>
    <row r="5059" spans="1:15" x14ac:dyDescent="0.25">
      <c r="A5059" s="786" t="s">
        <v>9706</v>
      </c>
      <c r="B5059" s="787">
        <v>4</v>
      </c>
      <c r="C5059" s="787" t="s">
        <v>9691</v>
      </c>
      <c r="D5059" s="787">
        <v>1.5</v>
      </c>
      <c r="E5059" s="787">
        <v>2.84</v>
      </c>
      <c r="F5059" s="788">
        <v>39101</v>
      </c>
      <c r="G5059" s="788">
        <v>41822</v>
      </c>
      <c r="H5059" s="787">
        <v>1</v>
      </c>
      <c r="I5059" s="788">
        <v>42019</v>
      </c>
      <c r="J5059" s="788">
        <v>41892</v>
      </c>
      <c r="L5059" s="787">
        <v>3.41</v>
      </c>
      <c r="M5059" s="787">
        <v>20</v>
      </c>
      <c r="N5059" s="787">
        <v>4.1100000000000003</v>
      </c>
      <c r="O5059" s="788">
        <v>41955</v>
      </c>
    </row>
    <row r="5060" spans="1:15" x14ac:dyDescent="0.25">
      <c r="A5060" s="786" t="s">
        <v>9707</v>
      </c>
      <c r="B5060" s="787">
        <v>4</v>
      </c>
      <c r="C5060" s="787" t="s">
        <v>9694</v>
      </c>
      <c r="D5060" s="787">
        <v>2.98</v>
      </c>
      <c r="E5060" s="787">
        <v>2.98</v>
      </c>
      <c r="F5060" s="788">
        <v>39975</v>
      </c>
      <c r="G5060" s="788">
        <v>39975</v>
      </c>
      <c r="H5060" s="787">
        <v>6</v>
      </c>
      <c r="I5060" s="788">
        <v>39855</v>
      </c>
      <c r="J5060" s="788">
        <v>39149</v>
      </c>
      <c r="K5060" s="788">
        <v>41869</v>
      </c>
      <c r="L5060" s="787">
        <v>2.98</v>
      </c>
      <c r="M5060" s="787">
        <v>20</v>
      </c>
      <c r="N5060" s="787">
        <v>7.07</v>
      </c>
      <c r="O5060" s="788">
        <v>41858</v>
      </c>
    </row>
    <row r="5061" spans="1:15" x14ac:dyDescent="0.25">
      <c r="A5061" s="786" t="s">
        <v>837</v>
      </c>
      <c r="B5061" s="787">
        <v>4</v>
      </c>
      <c r="C5061" s="787" t="s">
        <v>9708</v>
      </c>
      <c r="D5061" s="787">
        <v>4.8099999999999996</v>
      </c>
      <c r="E5061" s="787">
        <v>6.32</v>
      </c>
      <c r="F5061" s="788">
        <v>40239</v>
      </c>
      <c r="G5061" s="788">
        <v>42013</v>
      </c>
      <c r="H5061" s="787">
        <v>1</v>
      </c>
      <c r="I5061" s="788">
        <v>42156</v>
      </c>
      <c r="J5061" s="788">
        <v>41649</v>
      </c>
      <c r="K5061" s="788">
        <v>40190</v>
      </c>
      <c r="L5061" s="787">
        <v>4.62</v>
      </c>
      <c r="M5061" s="787">
        <v>20</v>
      </c>
      <c r="N5061" s="787">
        <v>5.56</v>
      </c>
      <c r="O5061" s="788">
        <v>42164</v>
      </c>
    </row>
    <row r="5062" spans="1:15" x14ac:dyDescent="0.25">
      <c r="A5062" s="786" t="s">
        <v>9709</v>
      </c>
      <c r="B5062" s="787">
        <v>4</v>
      </c>
      <c r="C5062" s="787" t="s">
        <v>9662</v>
      </c>
      <c r="D5062" s="787">
        <v>2.1800000000000002</v>
      </c>
      <c r="E5062" s="787">
        <v>2.1800000000000002</v>
      </c>
      <c r="F5062" s="788">
        <v>37642</v>
      </c>
      <c r="G5062" s="788">
        <v>37642</v>
      </c>
      <c r="H5062" s="787">
        <v>1</v>
      </c>
      <c r="I5062" s="788">
        <v>39245</v>
      </c>
      <c r="J5062" s="788">
        <v>37642</v>
      </c>
      <c r="L5062" s="787">
        <v>2.66</v>
      </c>
      <c r="M5062" s="787">
        <v>20</v>
      </c>
      <c r="N5062" s="787">
        <v>3.2</v>
      </c>
      <c r="O5062" s="788">
        <v>41858</v>
      </c>
    </row>
    <row r="5063" spans="1:15" x14ac:dyDescent="0.25">
      <c r="A5063" s="786" t="s">
        <v>9710</v>
      </c>
      <c r="B5063" s="787">
        <v>4</v>
      </c>
      <c r="C5063" s="787" t="s">
        <v>9662</v>
      </c>
      <c r="D5063" s="787">
        <v>0.85</v>
      </c>
      <c r="E5063" s="787">
        <v>1.48</v>
      </c>
      <c r="F5063" s="788">
        <v>37642</v>
      </c>
      <c r="G5063" s="788">
        <v>41800</v>
      </c>
      <c r="H5063" s="787">
        <v>1</v>
      </c>
      <c r="I5063" s="788">
        <v>42074</v>
      </c>
      <c r="J5063" s="788">
        <v>41787</v>
      </c>
      <c r="L5063" s="787">
        <v>1.64</v>
      </c>
      <c r="M5063" s="787">
        <v>20</v>
      </c>
      <c r="N5063" s="787">
        <v>1.97</v>
      </c>
      <c r="O5063" s="788">
        <v>41858</v>
      </c>
    </row>
    <row r="5064" spans="1:15" x14ac:dyDescent="0.25">
      <c r="A5064" s="786" t="s">
        <v>9711</v>
      </c>
      <c r="B5064" s="787">
        <v>4</v>
      </c>
      <c r="C5064" s="787" t="s">
        <v>9662</v>
      </c>
      <c r="D5064" s="787">
        <v>0</v>
      </c>
      <c r="E5064" s="787">
        <v>0</v>
      </c>
      <c r="H5064" s="787">
        <v>1</v>
      </c>
      <c r="I5064" s="788">
        <v>38323</v>
      </c>
      <c r="J5064" s="788">
        <v>37642</v>
      </c>
      <c r="L5064" s="787">
        <v>0</v>
      </c>
      <c r="M5064" s="787">
        <v>20</v>
      </c>
      <c r="N5064" s="787">
        <v>0</v>
      </c>
      <c r="O5064" s="788">
        <v>40824</v>
      </c>
    </row>
    <row r="5065" spans="1:15" x14ac:dyDescent="0.25">
      <c r="A5065" s="786" t="s">
        <v>9712</v>
      </c>
      <c r="B5065" s="787">
        <v>4</v>
      </c>
      <c r="C5065" s="787" t="s">
        <v>9691</v>
      </c>
      <c r="D5065" s="787">
        <v>1.52</v>
      </c>
      <c r="E5065" s="787">
        <v>2.23</v>
      </c>
      <c r="F5065" s="788">
        <v>39101</v>
      </c>
      <c r="G5065" s="788">
        <v>41578</v>
      </c>
      <c r="H5065" s="787">
        <v>1</v>
      </c>
      <c r="I5065" s="788">
        <v>40533</v>
      </c>
      <c r="J5065" s="788">
        <v>41568</v>
      </c>
      <c r="K5065" s="788">
        <v>41579</v>
      </c>
      <c r="L5065" s="787">
        <v>1.97</v>
      </c>
      <c r="M5065" s="787">
        <v>20</v>
      </c>
      <c r="N5065" s="787">
        <v>2.37</v>
      </c>
      <c r="O5065" s="788">
        <v>41858</v>
      </c>
    </row>
    <row r="5066" spans="1:15" x14ac:dyDescent="0.25">
      <c r="A5066" s="786" t="s">
        <v>9713</v>
      </c>
      <c r="B5066" s="787">
        <v>4</v>
      </c>
      <c r="C5066" s="787" t="s">
        <v>9675</v>
      </c>
      <c r="D5066" s="787">
        <v>7</v>
      </c>
      <c r="E5066" s="787">
        <v>18.05</v>
      </c>
      <c r="F5066" s="788">
        <v>37642</v>
      </c>
      <c r="G5066" s="788">
        <v>42013</v>
      </c>
      <c r="H5066" s="787">
        <v>1</v>
      </c>
      <c r="I5066" s="788">
        <v>41479</v>
      </c>
      <c r="J5066" s="788">
        <v>41857</v>
      </c>
      <c r="L5066" s="787">
        <v>20.75</v>
      </c>
      <c r="M5066" s="787">
        <v>20</v>
      </c>
      <c r="N5066" s="787">
        <v>24.98</v>
      </c>
      <c r="O5066" s="788">
        <v>41858</v>
      </c>
    </row>
    <row r="5067" spans="1:15" x14ac:dyDescent="0.25">
      <c r="A5067" s="786" t="s">
        <v>9714</v>
      </c>
      <c r="B5067" s="787">
        <v>4</v>
      </c>
      <c r="C5067" s="787" t="s">
        <v>9691</v>
      </c>
      <c r="D5067" s="787">
        <v>5.61</v>
      </c>
      <c r="E5067" s="787">
        <v>5.61</v>
      </c>
      <c r="F5067" s="788">
        <v>37642</v>
      </c>
      <c r="G5067" s="788">
        <v>37642</v>
      </c>
      <c r="H5067" s="787">
        <v>1</v>
      </c>
      <c r="I5067" s="788">
        <v>40900</v>
      </c>
      <c r="J5067" s="788">
        <v>37642</v>
      </c>
      <c r="L5067" s="787">
        <v>6.85</v>
      </c>
      <c r="M5067" s="787">
        <v>20</v>
      </c>
      <c r="N5067" s="787">
        <v>8.25</v>
      </c>
      <c r="O5067" s="788">
        <v>41858</v>
      </c>
    </row>
    <row r="5068" spans="1:15" x14ac:dyDescent="0.25">
      <c r="A5068" s="786" t="s">
        <v>9715</v>
      </c>
      <c r="B5068" s="787">
        <v>4</v>
      </c>
      <c r="C5068" s="787" t="s">
        <v>9691</v>
      </c>
      <c r="D5068" s="787">
        <v>6.06</v>
      </c>
      <c r="E5068" s="787">
        <v>11.47</v>
      </c>
      <c r="F5068" s="788">
        <v>40283</v>
      </c>
      <c r="G5068" s="788">
        <v>42013</v>
      </c>
      <c r="H5068" s="787">
        <v>1</v>
      </c>
      <c r="I5068" s="788">
        <v>41740</v>
      </c>
      <c r="J5068" s="788">
        <v>40968</v>
      </c>
      <c r="K5068" s="788">
        <v>40667</v>
      </c>
      <c r="L5068" s="787">
        <v>7.01</v>
      </c>
      <c r="M5068" s="787">
        <v>20</v>
      </c>
      <c r="N5068" s="787">
        <v>8.44</v>
      </c>
      <c r="O5068" s="788">
        <v>41955</v>
      </c>
    </row>
    <row r="5069" spans="1:15" x14ac:dyDescent="0.25">
      <c r="A5069" s="786" t="s">
        <v>9716</v>
      </c>
      <c r="B5069" s="787">
        <v>4</v>
      </c>
      <c r="C5069" s="787" t="s">
        <v>9662</v>
      </c>
      <c r="D5069" s="787">
        <v>9.3699999999999992</v>
      </c>
      <c r="E5069" s="787">
        <v>12.67</v>
      </c>
      <c r="F5069" s="788">
        <v>39874</v>
      </c>
      <c r="G5069" s="788">
        <v>41822</v>
      </c>
      <c r="H5069" s="787">
        <v>1</v>
      </c>
      <c r="I5069" s="788">
        <v>41781</v>
      </c>
      <c r="J5069" s="788">
        <v>41822</v>
      </c>
      <c r="K5069" s="788">
        <v>40728</v>
      </c>
      <c r="L5069" s="787">
        <v>12.16</v>
      </c>
      <c r="M5069" s="787">
        <v>20</v>
      </c>
      <c r="N5069" s="787">
        <v>14.64</v>
      </c>
      <c r="O5069" s="788">
        <v>41858</v>
      </c>
    </row>
    <row r="5070" spans="1:15" x14ac:dyDescent="0.25">
      <c r="A5070" s="786" t="s">
        <v>9717</v>
      </c>
      <c r="B5070" s="787">
        <v>4</v>
      </c>
      <c r="C5070" s="787" t="s">
        <v>9669</v>
      </c>
      <c r="D5070" s="787">
        <v>7.86</v>
      </c>
      <c r="E5070" s="787">
        <v>47.86</v>
      </c>
      <c r="F5070" s="788">
        <v>37642</v>
      </c>
      <c r="G5070" s="788">
        <v>37642</v>
      </c>
      <c r="H5070" s="787">
        <v>1</v>
      </c>
      <c r="I5070" s="788">
        <v>37291</v>
      </c>
      <c r="J5070" s="788">
        <v>37642</v>
      </c>
      <c r="L5070" s="787">
        <v>58.43</v>
      </c>
      <c r="M5070" s="787">
        <v>20</v>
      </c>
      <c r="N5070" s="787">
        <v>70.349999999999994</v>
      </c>
      <c r="O5070" s="788">
        <v>41858</v>
      </c>
    </row>
    <row r="5071" spans="1:15" x14ac:dyDescent="0.25">
      <c r="A5071" s="786" t="s">
        <v>9718</v>
      </c>
      <c r="B5071" s="787">
        <v>4</v>
      </c>
      <c r="C5071" s="787" t="s">
        <v>9662</v>
      </c>
      <c r="D5071" s="787">
        <v>7.91</v>
      </c>
      <c r="E5071" s="787">
        <v>7.93</v>
      </c>
      <c r="F5071" s="788">
        <v>41400</v>
      </c>
      <c r="G5071" s="788">
        <v>42013</v>
      </c>
      <c r="H5071" s="787">
        <v>1</v>
      </c>
      <c r="I5071" s="788">
        <v>40585</v>
      </c>
      <c r="J5071" s="788">
        <v>41401</v>
      </c>
      <c r="K5071" s="788">
        <v>41411</v>
      </c>
      <c r="L5071" s="787">
        <v>7.55</v>
      </c>
      <c r="M5071" s="787">
        <v>20</v>
      </c>
      <c r="N5071" s="787">
        <v>9.09</v>
      </c>
      <c r="O5071" s="788">
        <v>41858</v>
      </c>
    </row>
    <row r="5072" spans="1:15" x14ac:dyDescent="0.25">
      <c r="A5072" s="786" t="s">
        <v>9719</v>
      </c>
      <c r="B5072" s="787">
        <v>4</v>
      </c>
      <c r="C5072" s="787" t="s">
        <v>9662</v>
      </c>
      <c r="D5072" s="787">
        <v>2.5</v>
      </c>
      <c r="E5072" s="787">
        <v>2.94</v>
      </c>
      <c r="F5072" s="788">
        <v>40114</v>
      </c>
      <c r="G5072" s="788">
        <v>42159</v>
      </c>
      <c r="H5072" s="787">
        <v>1</v>
      </c>
      <c r="I5072" s="788">
        <v>42166</v>
      </c>
      <c r="J5072" s="788">
        <v>42163</v>
      </c>
      <c r="K5072" s="788">
        <v>40266</v>
      </c>
      <c r="L5072" s="787">
        <v>2.2999999999999998</v>
      </c>
      <c r="M5072" s="787">
        <v>20</v>
      </c>
      <c r="N5072" s="787">
        <v>2.77</v>
      </c>
      <c r="O5072" s="788">
        <v>42164</v>
      </c>
    </row>
    <row r="5073" spans="1:15" x14ac:dyDescent="0.25">
      <c r="A5073" s="786" t="s">
        <v>9720</v>
      </c>
      <c r="B5073" s="787">
        <v>4</v>
      </c>
      <c r="C5073" s="787" t="s">
        <v>9694</v>
      </c>
      <c r="D5073" s="787">
        <v>2.38</v>
      </c>
      <c r="E5073" s="787">
        <v>4.54</v>
      </c>
      <c r="F5073" s="788">
        <v>39101</v>
      </c>
      <c r="G5073" s="788">
        <v>40553</v>
      </c>
      <c r="H5073" s="787">
        <v>1</v>
      </c>
      <c r="I5073" s="788">
        <v>41092</v>
      </c>
      <c r="J5073" s="788">
        <v>40374</v>
      </c>
      <c r="L5073" s="787">
        <v>6.07</v>
      </c>
      <c r="M5073" s="787">
        <v>20</v>
      </c>
      <c r="N5073" s="787">
        <v>7.31</v>
      </c>
      <c r="O5073" s="788">
        <v>41858</v>
      </c>
    </row>
    <row r="5074" spans="1:15" x14ac:dyDescent="0.25">
      <c r="A5074" s="786" t="s">
        <v>9721</v>
      </c>
      <c r="B5074" s="787">
        <v>4</v>
      </c>
      <c r="C5074" s="787" t="s">
        <v>9662</v>
      </c>
      <c r="D5074" s="787">
        <v>5.27</v>
      </c>
      <c r="E5074" s="787">
        <v>10.19</v>
      </c>
      <c r="F5074" s="788">
        <v>38047</v>
      </c>
      <c r="G5074" s="788">
        <v>41758</v>
      </c>
      <c r="H5074" s="787">
        <v>1</v>
      </c>
      <c r="I5074" s="788">
        <v>41374</v>
      </c>
      <c r="J5074" s="788">
        <v>41659</v>
      </c>
      <c r="K5074" s="788">
        <v>40471</v>
      </c>
      <c r="L5074" s="787">
        <v>11.3</v>
      </c>
      <c r="M5074" s="787">
        <v>20</v>
      </c>
      <c r="N5074" s="787">
        <v>12.15</v>
      </c>
      <c r="O5074" s="788">
        <v>41955</v>
      </c>
    </row>
    <row r="5075" spans="1:15" x14ac:dyDescent="0.25">
      <c r="A5075" s="786" t="s">
        <v>9722</v>
      </c>
      <c r="B5075" s="787">
        <v>4</v>
      </c>
      <c r="C5075" s="787" t="s">
        <v>9662</v>
      </c>
      <c r="D5075" s="787">
        <v>3.93</v>
      </c>
      <c r="E5075" s="787">
        <v>3.93</v>
      </c>
      <c r="F5075" s="788">
        <v>40935</v>
      </c>
      <c r="G5075" s="788">
        <v>40935</v>
      </c>
      <c r="H5075" s="787">
        <v>6</v>
      </c>
      <c r="I5075" s="788">
        <v>40938</v>
      </c>
      <c r="J5075" s="788">
        <v>40931</v>
      </c>
      <c r="L5075" s="787">
        <v>5.74</v>
      </c>
      <c r="M5075" s="787">
        <v>20</v>
      </c>
      <c r="N5075" s="787">
        <v>4.22</v>
      </c>
      <c r="O5075" s="788">
        <v>41806</v>
      </c>
    </row>
    <row r="5076" spans="1:15" x14ac:dyDescent="0.25">
      <c r="A5076" s="786" t="s">
        <v>9723</v>
      </c>
      <c r="B5076" s="787">
        <v>4</v>
      </c>
      <c r="C5076" s="787" t="s">
        <v>9662</v>
      </c>
      <c r="D5076" s="787">
        <v>0.8</v>
      </c>
      <c r="E5076" s="787">
        <v>0.94</v>
      </c>
      <c r="F5076" s="788">
        <v>39905</v>
      </c>
      <c r="G5076" s="788">
        <v>42064</v>
      </c>
      <c r="H5076" s="787">
        <v>1</v>
      </c>
      <c r="I5076" s="788">
        <v>42053</v>
      </c>
      <c r="J5076" s="788">
        <v>42054</v>
      </c>
      <c r="K5076" s="788">
        <v>41869</v>
      </c>
      <c r="L5076" s="787">
        <v>0.99</v>
      </c>
      <c r="M5076" s="787">
        <v>20</v>
      </c>
      <c r="N5076" s="787">
        <v>1.19</v>
      </c>
      <c r="O5076" s="788">
        <v>41955</v>
      </c>
    </row>
    <row r="5077" spans="1:15" x14ac:dyDescent="0.25">
      <c r="A5077" s="786" t="s">
        <v>9724</v>
      </c>
      <c r="B5077" s="787">
        <v>4</v>
      </c>
      <c r="C5077" s="787" t="s">
        <v>9662</v>
      </c>
      <c r="D5077" s="787">
        <v>4.43</v>
      </c>
      <c r="E5077" s="787">
        <v>4.5199999999999996</v>
      </c>
      <c r="F5077" s="788">
        <v>39986</v>
      </c>
      <c r="G5077" s="788">
        <v>42034</v>
      </c>
      <c r="H5077" s="787">
        <v>1</v>
      </c>
      <c r="I5077" s="788">
        <v>42118</v>
      </c>
      <c r="J5077" s="788">
        <v>42034</v>
      </c>
      <c r="K5077" s="788">
        <v>41583</v>
      </c>
      <c r="L5077" s="787">
        <v>4.4000000000000004</v>
      </c>
      <c r="M5077" s="787">
        <v>20</v>
      </c>
      <c r="N5077" s="787">
        <v>5.3</v>
      </c>
      <c r="O5077" s="788">
        <v>42162</v>
      </c>
    </row>
    <row r="5078" spans="1:15" x14ac:dyDescent="0.25">
      <c r="A5078" s="786" t="s">
        <v>9725</v>
      </c>
      <c r="B5078" s="787">
        <v>4</v>
      </c>
      <c r="C5078" s="787" t="s">
        <v>9662</v>
      </c>
      <c r="D5078" s="787">
        <v>4.8899999999999997</v>
      </c>
      <c r="E5078" s="787">
        <v>5.01</v>
      </c>
      <c r="F5078" s="788">
        <v>39101</v>
      </c>
      <c r="G5078" s="788">
        <v>39101</v>
      </c>
      <c r="H5078" s="787">
        <v>1</v>
      </c>
      <c r="I5078" s="788">
        <v>41092</v>
      </c>
      <c r="J5078" s="788">
        <v>39101</v>
      </c>
      <c r="L5078" s="787">
        <v>6.12</v>
      </c>
      <c r="M5078" s="787">
        <v>20</v>
      </c>
      <c r="N5078" s="787">
        <v>7.37</v>
      </c>
      <c r="O5078" s="788">
        <v>41858</v>
      </c>
    </row>
    <row r="5079" spans="1:15" x14ac:dyDescent="0.25">
      <c r="A5079" s="786" t="s">
        <v>9726</v>
      </c>
      <c r="B5079" s="787">
        <v>4</v>
      </c>
      <c r="C5079" s="787" t="s">
        <v>9662</v>
      </c>
      <c r="D5079" s="787">
        <v>2.82</v>
      </c>
      <c r="E5079" s="787">
        <v>2.82</v>
      </c>
      <c r="F5079" s="788">
        <v>39101</v>
      </c>
      <c r="G5079" s="788">
        <v>39101</v>
      </c>
      <c r="H5079" s="787">
        <v>1</v>
      </c>
      <c r="I5079" s="788">
        <v>41092</v>
      </c>
      <c r="J5079" s="788">
        <v>39149</v>
      </c>
      <c r="L5079" s="787">
        <v>3.44</v>
      </c>
      <c r="M5079" s="787">
        <v>20</v>
      </c>
      <c r="N5079" s="787">
        <v>4.1399999999999997</v>
      </c>
      <c r="O5079" s="788">
        <v>41858</v>
      </c>
    </row>
    <row r="5080" spans="1:15" x14ac:dyDescent="0.25">
      <c r="A5080" s="786" t="s">
        <v>9727</v>
      </c>
      <c r="B5080" s="787">
        <v>4</v>
      </c>
      <c r="C5080" s="787" t="s">
        <v>9662</v>
      </c>
      <c r="D5080" s="787">
        <v>4.17</v>
      </c>
      <c r="E5080" s="787">
        <v>8.4</v>
      </c>
      <c r="F5080" s="788">
        <v>39990</v>
      </c>
      <c r="G5080" s="788">
        <v>41312</v>
      </c>
      <c r="H5080" s="787">
        <v>1</v>
      </c>
      <c r="I5080" s="788">
        <v>41407</v>
      </c>
      <c r="J5080" s="788">
        <v>41306</v>
      </c>
      <c r="L5080" s="787">
        <v>7.18</v>
      </c>
      <c r="M5080" s="787">
        <v>20</v>
      </c>
      <c r="N5080" s="787">
        <v>8.64</v>
      </c>
      <c r="O5080" s="788">
        <v>42164</v>
      </c>
    </row>
    <row r="5081" spans="1:15" x14ac:dyDescent="0.25">
      <c r="A5081" s="786" t="s">
        <v>9728</v>
      </c>
      <c r="B5081" s="787">
        <v>4</v>
      </c>
      <c r="C5081" s="787" t="s">
        <v>9729</v>
      </c>
      <c r="D5081" s="787">
        <v>0.93</v>
      </c>
      <c r="E5081" s="787">
        <v>0.98</v>
      </c>
      <c r="F5081" s="788">
        <v>40843</v>
      </c>
      <c r="G5081" s="788">
        <v>42165</v>
      </c>
      <c r="H5081" s="787">
        <v>1</v>
      </c>
      <c r="I5081" s="788">
        <v>42151</v>
      </c>
      <c r="J5081" s="788">
        <v>42153</v>
      </c>
      <c r="K5081" s="788">
        <v>40948</v>
      </c>
      <c r="L5081" s="787">
        <v>1</v>
      </c>
      <c r="M5081" s="787">
        <v>20</v>
      </c>
      <c r="N5081" s="787">
        <v>1.2</v>
      </c>
      <c r="O5081" s="788">
        <v>42136</v>
      </c>
    </row>
    <row r="5082" spans="1:15" x14ac:dyDescent="0.25">
      <c r="A5082" s="786" t="s">
        <v>9730</v>
      </c>
      <c r="B5082" s="787">
        <v>4</v>
      </c>
      <c r="C5082" s="787" t="s">
        <v>9662</v>
      </c>
      <c r="D5082" s="787">
        <v>1.93</v>
      </c>
      <c r="E5082" s="787">
        <v>2.0499999999999998</v>
      </c>
      <c r="F5082" s="788">
        <v>38047</v>
      </c>
      <c r="G5082" s="788">
        <v>41943</v>
      </c>
      <c r="H5082" s="787">
        <v>1</v>
      </c>
      <c r="I5082" s="788">
        <v>41319</v>
      </c>
      <c r="J5082" s="788">
        <v>40031</v>
      </c>
      <c r="K5082" s="788">
        <v>40029</v>
      </c>
      <c r="L5082" s="787">
        <v>1.58</v>
      </c>
      <c r="M5082" s="787">
        <v>20</v>
      </c>
      <c r="N5082" s="787">
        <v>1.9</v>
      </c>
      <c r="O5082" s="788">
        <v>41858</v>
      </c>
    </row>
    <row r="5083" spans="1:15" x14ac:dyDescent="0.25">
      <c r="A5083" s="786" t="s">
        <v>9731</v>
      </c>
      <c r="B5083" s="787">
        <v>4</v>
      </c>
      <c r="C5083" s="787" t="s">
        <v>9662</v>
      </c>
      <c r="D5083" s="787">
        <v>2.8</v>
      </c>
      <c r="E5083" s="787">
        <v>2.8</v>
      </c>
      <c r="F5083" s="788">
        <v>39101</v>
      </c>
      <c r="G5083" s="788">
        <v>39101</v>
      </c>
      <c r="H5083" s="787">
        <v>1</v>
      </c>
      <c r="I5083" s="788">
        <v>42020</v>
      </c>
      <c r="J5083" s="788">
        <v>41948</v>
      </c>
      <c r="L5083" s="787">
        <v>3.42</v>
      </c>
      <c r="M5083" s="787">
        <v>20</v>
      </c>
      <c r="N5083" s="787">
        <v>4.12</v>
      </c>
      <c r="O5083" s="788">
        <v>41858</v>
      </c>
    </row>
    <row r="5084" spans="1:15" x14ac:dyDescent="0.25">
      <c r="A5084" s="786" t="s">
        <v>9732</v>
      </c>
      <c r="B5084" s="787">
        <v>4</v>
      </c>
      <c r="C5084" s="787" t="s">
        <v>9733</v>
      </c>
      <c r="D5084" s="787">
        <v>1.66</v>
      </c>
      <c r="E5084" s="787">
        <v>1.92</v>
      </c>
      <c r="F5084" s="788">
        <v>39988</v>
      </c>
      <c r="G5084" s="788">
        <v>42103</v>
      </c>
      <c r="H5084" s="787">
        <v>1</v>
      </c>
      <c r="I5084" s="788">
        <v>42061</v>
      </c>
      <c r="J5084" s="788">
        <v>42062</v>
      </c>
      <c r="K5084" s="788">
        <v>41583</v>
      </c>
      <c r="L5084" s="787">
        <v>1.78</v>
      </c>
      <c r="M5084" s="787">
        <v>20</v>
      </c>
      <c r="N5084" s="787">
        <v>2.14</v>
      </c>
      <c r="O5084" s="788">
        <v>42163</v>
      </c>
    </row>
    <row r="5085" spans="1:15" x14ac:dyDescent="0.25">
      <c r="A5085" s="786" t="s">
        <v>9734</v>
      </c>
      <c r="B5085" s="787">
        <v>4</v>
      </c>
      <c r="C5085" s="787" t="s">
        <v>9662</v>
      </c>
      <c r="D5085" s="787">
        <v>0</v>
      </c>
      <c r="E5085" s="787">
        <v>0</v>
      </c>
      <c r="H5085" s="787">
        <v>1</v>
      </c>
      <c r="I5085" s="788">
        <v>38792</v>
      </c>
      <c r="J5085" s="788">
        <v>39101</v>
      </c>
      <c r="L5085" s="787">
        <v>0</v>
      </c>
      <c r="M5085" s="787">
        <v>20</v>
      </c>
      <c r="N5085" s="787">
        <v>0</v>
      </c>
      <c r="O5085" s="788">
        <v>40824</v>
      </c>
    </row>
    <row r="5086" spans="1:15" x14ac:dyDescent="0.25">
      <c r="A5086" s="786" t="s">
        <v>9735</v>
      </c>
      <c r="B5086" s="787">
        <v>4</v>
      </c>
      <c r="C5086" s="787" t="s">
        <v>9662</v>
      </c>
      <c r="D5086" s="787">
        <v>2.9</v>
      </c>
      <c r="E5086" s="787">
        <v>5.01</v>
      </c>
      <c r="F5086" s="788">
        <v>37890</v>
      </c>
      <c r="G5086" s="788">
        <v>41943</v>
      </c>
      <c r="H5086" s="787">
        <v>1</v>
      </c>
      <c r="I5086" s="788">
        <v>42048</v>
      </c>
      <c r="J5086" s="788">
        <v>40837</v>
      </c>
      <c r="K5086" s="788">
        <v>40239</v>
      </c>
      <c r="L5086" s="787">
        <v>3.83</v>
      </c>
      <c r="M5086" s="787">
        <v>20</v>
      </c>
      <c r="N5086" s="787">
        <v>4.6100000000000003</v>
      </c>
      <c r="O5086" s="788">
        <v>41955</v>
      </c>
    </row>
    <row r="5087" spans="1:15" x14ac:dyDescent="0.25">
      <c r="A5087" s="786" t="s">
        <v>9736</v>
      </c>
      <c r="B5087" s="787">
        <v>4</v>
      </c>
      <c r="C5087" s="787" t="s">
        <v>9662</v>
      </c>
      <c r="D5087" s="787">
        <v>2.78</v>
      </c>
      <c r="E5087" s="787">
        <v>3.37</v>
      </c>
      <c r="F5087" s="788">
        <v>39953</v>
      </c>
      <c r="G5087" s="788">
        <v>42163</v>
      </c>
      <c r="H5087" s="787">
        <v>1</v>
      </c>
      <c r="I5087" s="788">
        <v>42156</v>
      </c>
      <c r="J5087" s="788">
        <v>42163</v>
      </c>
      <c r="K5087" s="788">
        <v>41400</v>
      </c>
      <c r="L5087" s="787">
        <v>3.43</v>
      </c>
      <c r="M5087" s="787">
        <v>20</v>
      </c>
      <c r="N5087" s="787">
        <v>4.13</v>
      </c>
      <c r="O5087" s="788">
        <v>42163</v>
      </c>
    </row>
    <row r="5088" spans="1:15" x14ac:dyDescent="0.25">
      <c r="A5088" s="786" t="s">
        <v>9737</v>
      </c>
      <c r="B5088" s="787">
        <v>4</v>
      </c>
      <c r="C5088" s="787" t="s">
        <v>9662</v>
      </c>
      <c r="D5088" s="787">
        <v>1.74</v>
      </c>
      <c r="E5088" s="787">
        <v>2.94</v>
      </c>
      <c r="F5088" s="788">
        <v>38546</v>
      </c>
      <c r="G5088" s="788">
        <v>42013</v>
      </c>
      <c r="H5088" s="787">
        <v>1</v>
      </c>
      <c r="I5088" s="788">
        <v>41652</v>
      </c>
      <c r="J5088" s="788">
        <v>41649</v>
      </c>
      <c r="K5088" s="788">
        <v>41869</v>
      </c>
      <c r="L5088" s="787">
        <v>2.94</v>
      </c>
      <c r="M5088" s="787">
        <v>20</v>
      </c>
      <c r="N5088" s="787">
        <v>7.66</v>
      </c>
      <c r="O5088" s="788">
        <v>41858</v>
      </c>
    </row>
    <row r="5089" spans="1:15" x14ac:dyDescent="0.25">
      <c r="A5089" s="786" t="s">
        <v>9738</v>
      </c>
      <c r="B5089" s="787">
        <v>4</v>
      </c>
      <c r="C5089" s="787" t="s">
        <v>9662</v>
      </c>
      <c r="D5089" s="787">
        <v>4.5</v>
      </c>
      <c r="E5089" s="787">
        <v>6.29</v>
      </c>
      <c r="F5089" s="788">
        <v>39101</v>
      </c>
      <c r="G5089" s="788">
        <v>41943</v>
      </c>
      <c r="H5089" s="787">
        <v>1</v>
      </c>
      <c r="I5089" s="788">
        <v>42111</v>
      </c>
      <c r="J5089" s="788">
        <v>41908</v>
      </c>
      <c r="L5089" s="787">
        <v>6.21</v>
      </c>
      <c r="M5089" s="787">
        <v>20</v>
      </c>
      <c r="N5089" s="787">
        <v>7.48</v>
      </c>
      <c r="O5089" s="788">
        <v>41858</v>
      </c>
    </row>
    <row r="5090" spans="1:15" x14ac:dyDescent="0.25">
      <c r="A5090" s="786" t="s">
        <v>9739</v>
      </c>
      <c r="B5090" s="787">
        <v>4</v>
      </c>
      <c r="C5090" s="787" t="s">
        <v>9662</v>
      </c>
      <c r="D5090" s="787">
        <v>7.82</v>
      </c>
      <c r="E5090" s="787">
        <v>7.82</v>
      </c>
      <c r="F5090" s="788">
        <v>39101</v>
      </c>
      <c r="G5090" s="788">
        <v>39101</v>
      </c>
      <c r="H5090" s="787">
        <v>1</v>
      </c>
      <c r="I5090" s="788">
        <v>38776</v>
      </c>
      <c r="J5090" s="788">
        <v>39101</v>
      </c>
      <c r="L5090" s="787">
        <v>9.5500000000000007</v>
      </c>
      <c r="M5090" s="787">
        <v>20</v>
      </c>
      <c r="N5090" s="787">
        <v>11.5</v>
      </c>
      <c r="O5090" s="788">
        <v>41858</v>
      </c>
    </row>
    <row r="5091" spans="1:15" x14ac:dyDescent="0.25">
      <c r="A5091" s="786" t="s">
        <v>9740</v>
      </c>
      <c r="B5091" s="787">
        <v>4</v>
      </c>
      <c r="C5091" s="787" t="s">
        <v>9691</v>
      </c>
      <c r="D5091" s="787">
        <v>6.84</v>
      </c>
      <c r="E5091" s="787">
        <v>12.57</v>
      </c>
      <c r="F5091" s="788">
        <v>39101</v>
      </c>
      <c r="G5091" s="788">
        <v>41565</v>
      </c>
      <c r="H5091" s="787">
        <v>1</v>
      </c>
      <c r="I5091" s="788">
        <v>40978</v>
      </c>
      <c r="J5091" s="788">
        <v>41529</v>
      </c>
      <c r="K5091" s="788">
        <v>40953</v>
      </c>
      <c r="L5091" s="787">
        <v>11.69</v>
      </c>
      <c r="M5091" s="787">
        <v>20</v>
      </c>
      <c r="N5091" s="787">
        <v>14.07</v>
      </c>
      <c r="O5091" s="788">
        <v>41858</v>
      </c>
    </row>
    <row r="5092" spans="1:15" x14ac:dyDescent="0.25">
      <c r="A5092" s="786" t="s">
        <v>9741</v>
      </c>
      <c r="B5092" s="787">
        <v>4</v>
      </c>
      <c r="C5092" s="787" t="s">
        <v>9662</v>
      </c>
      <c r="D5092" s="787">
        <v>0</v>
      </c>
      <c r="E5092" s="787">
        <v>0</v>
      </c>
      <c r="G5092" s="788">
        <v>41948</v>
      </c>
      <c r="H5092" s="787">
        <v>1</v>
      </c>
      <c r="I5092" s="788">
        <v>42020</v>
      </c>
      <c r="J5092" s="788">
        <v>41948</v>
      </c>
      <c r="K5092" s="788">
        <v>40892</v>
      </c>
      <c r="L5092" s="787">
        <v>8</v>
      </c>
      <c r="M5092" s="787">
        <v>20</v>
      </c>
      <c r="N5092" s="787">
        <v>9.6300000000000008</v>
      </c>
      <c r="O5092" s="788">
        <v>41858</v>
      </c>
    </row>
    <row r="5093" spans="1:15" x14ac:dyDescent="0.25">
      <c r="A5093" s="786" t="s">
        <v>9742</v>
      </c>
      <c r="B5093" s="787">
        <v>4</v>
      </c>
      <c r="C5093" s="787" t="s">
        <v>9662</v>
      </c>
      <c r="D5093" s="787">
        <v>2.0699999999999998</v>
      </c>
      <c r="E5093" s="787">
        <v>2.2599999999999998</v>
      </c>
      <c r="F5093" s="788">
        <v>40053</v>
      </c>
      <c r="G5093" s="788">
        <v>42121</v>
      </c>
      <c r="H5093" s="787">
        <v>1</v>
      </c>
      <c r="I5093" s="788">
        <v>42164</v>
      </c>
      <c r="J5093" s="788">
        <v>42121</v>
      </c>
      <c r="K5093" s="788">
        <v>40667</v>
      </c>
      <c r="L5093" s="787">
        <v>2.4500000000000002</v>
      </c>
      <c r="M5093" s="787">
        <v>20</v>
      </c>
      <c r="N5093" s="787">
        <v>2.95</v>
      </c>
      <c r="O5093" s="788">
        <v>42162</v>
      </c>
    </row>
    <row r="5094" spans="1:15" x14ac:dyDescent="0.25">
      <c r="A5094" s="786" t="s">
        <v>9743</v>
      </c>
      <c r="B5094" s="787">
        <v>4</v>
      </c>
      <c r="C5094" s="787" t="s">
        <v>9662</v>
      </c>
      <c r="D5094" s="787">
        <v>3.03</v>
      </c>
      <c r="E5094" s="787">
        <v>7.67</v>
      </c>
      <c r="F5094" s="788">
        <v>37642</v>
      </c>
      <c r="G5094" s="788">
        <v>39975</v>
      </c>
      <c r="H5094" s="787">
        <v>1</v>
      </c>
      <c r="I5094" s="788">
        <v>39855</v>
      </c>
      <c r="J5094" s="788">
        <v>39848</v>
      </c>
      <c r="K5094" s="788">
        <v>41865</v>
      </c>
      <c r="L5094" s="787">
        <v>8.1300000000000008</v>
      </c>
      <c r="M5094" s="787">
        <v>20</v>
      </c>
      <c r="N5094" s="787">
        <v>9.7899999999999991</v>
      </c>
      <c r="O5094" s="788">
        <v>41955</v>
      </c>
    </row>
    <row r="5095" spans="1:15" x14ac:dyDescent="0.25">
      <c r="A5095" s="786" t="s">
        <v>9744</v>
      </c>
      <c r="B5095" s="787">
        <v>4</v>
      </c>
      <c r="C5095" s="787" t="s">
        <v>9662</v>
      </c>
      <c r="D5095" s="787">
        <v>3.76</v>
      </c>
      <c r="E5095" s="787">
        <v>4.2</v>
      </c>
      <c r="F5095" s="788">
        <v>39897</v>
      </c>
      <c r="G5095" s="788">
        <v>42013</v>
      </c>
      <c r="H5095" s="787">
        <v>1</v>
      </c>
      <c r="I5095" s="788">
        <v>42121</v>
      </c>
      <c r="J5095" s="788">
        <v>41787</v>
      </c>
      <c r="K5095" s="788">
        <v>40926</v>
      </c>
      <c r="L5095" s="787">
        <v>4.29</v>
      </c>
      <c r="M5095" s="787">
        <v>20</v>
      </c>
      <c r="N5095" s="787">
        <v>4.6100000000000003</v>
      </c>
      <c r="O5095" s="788">
        <v>42162</v>
      </c>
    </row>
    <row r="5096" spans="1:15" x14ac:dyDescent="0.25">
      <c r="A5096" s="786" t="s">
        <v>9745</v>
      </c>
      <c r="B5096" s="787">
        <v>4</v>
      </c>
      <c r="C5096" s="787" t="s">
        <v>9662</v>
      </c>
      <c r="D5096" s="787">
        <v>1.63</v>
      </c>
      <c r="E5096" s="787">
        <v>3.7</v>
      </c>
      <c r="F5096" s="788">
        <v>37642</v>
      </c>
      <c r="G5096" s="788">
        <v>41646</v>
      </c>
      <c r="H5096" s="787">
        <v>1</v>
      </c>
      <c r="I5096" s="788">
        <v>41495</v>
      </c>
      <c r="J5096" s="788">
        <v>41258</v>
      </c>
      <c r="K5096" s="788">
        <v>40639</v>
      </c>
      <c r="L5096" s="787">
        <v>3.58</v>
      </c>
      <c r="M5096" s="787">
        <v>20</v>
      </c>
      <c r="N5096" s="787">
        <v>3.85</v>
      </c>
      <c r="O5096" s="788">
        <v>41955</v>
      </c>
    </row>
    <row r="5097" spans="1:15" x14ac:dyDescent="0.25">
      <c r="A5097" s="786" t="s">
        <v>9746</v>
      </c>
      <c r="B5097" s="787">
        <v>4</v>
      </c>
      <c r="C5097" s="787" t="s">
        <v>9662</v>
      </c>
      <c r="D5097" s="787">
        <v>1.68</v>
      </c>
      <c r="E5097" s="787">
        <v>2.14</v>
      </c>
      <c r="F5097" s="788">
        <v>39101</v>
      </c>
      <c r="G5097" s="788">
        <v>42013</v>
      </c>
      <c r="H5097" s="787">
        <v>1</v>
      </c>
      <c r="I5097" s="788">
        <v>42166</v>
      </c>
      <c r="J5097" s="788">
        <v>41989</v>
      </c>
      <c r="K5097" s="788">
        <v>41481</v>
      </c>
      <c r="L5097" s="787">
        <v>2.0699999999999998</v>
      </c>
      <c r="M5097" s="787">
        <v>20</v>
      </c>
      <c r="N5097" s="787">
        <v>2.4900000000000002</v>
      </c>
      <c r="O5097" s="788">
        <v>42128</v>
      </c>
    </row>
    <row r="5098" spans="1:15" x14ac:dyDescent="0.25">
      <c r="A5098" s="786" t="s">
        <v>9747</v>
      </c>
      <c r="B5098" s="787">
        <v>4</v>
      </c>
      <c r="C5098" s="787" t="s">
        <v>9691</v>
      </c>
      <c r="D5098" s="787">
        <v>5.62</v>
      </c>
      <c r="E5098" s="787">
        <v>15.17</v>
      </c>
      <c r="F5098" s="788">
        <v>38047</v>
      </c>
      <c r="G5098" s="788">
        <v>40178</v>
      </c>
      <c r="H5098" s="787">
        <v>1</v>
      </c>
      <c r="I5098" s="788">
        <v>39134</v>
      </c>
      <c r="J5098" s="788">
        <v>39903</v>
      </c>
      <c r="L5098" s="787">
        <v>9.11</v>
      </c>
      <c r="M5098" s="787">
        <v>20</v>
      </c>
      <c r="N5098" s="787">
        <v>10.97</v>
      </c>
      <c r="O5098" s="788">
        <v>41858</v>
      </c>
    </row>
    <row r="5099" spans="1:15" x14ac:dyDescent="0.25">
      <c r="A5099" s="786" t="s">
        <v>9748</v>
      </c>
      <c r="B5099" s="787">
        <v>4</v>
      </c>
      <c r="C5099" s="787" t="s">
        <v>9691</v>
      </c>
      <c r="D5099" s="787">
        <v>3.7</v>
      </c>
      <c r="E5099" s="787">
        <v>3.69</v>
      </c>
      <c r="F5099" s="788">
        <v>39101</v>
      </c>
      <c r="G5099" s="788">
        <v>39101</v>
      </c>
      <c r="H5099" s="787">
        <v>1</v>
      </c>
      <c r="I5099" s="788">
        <v>42163</v>
      </c>
      <c r="J5099" s="788">
        <v>42164</v>
      </c>
      <c r="L5099" s="787">
        <v>4.5</v>
      </c>
      <c r="M5099" s="787">
        <v>20</v>
      </c>
      <c r="N5099" s="787">
        <v>5.42</v>
      </c>
      <c r="O5099" s="788">
        <v>41858</v>
      </c>
    </row>
    <row r="5100" spans="1:15" x14ac:dyDescent="0.25">
      <c r="A5100" s="786" t="s">
        <v>9749</v>
      </c>
      <c r="B5100" s="787">
        <v>4</v>
      </c>
      <c r="C5100" s="787" t="s">
        <v>9691</v>
      </c>
      <c r="D5100" s="787">
        <v>4.92</v>
      </c>
      <c r="E5100" s="787">
        <v>7.33</v>
      </c>
      <c r="F5100" s="788">
        <v>39101</v>
      </c>
      <c r="G5100" s="788">
        <v>42013</v>
      </c>
      <c r="H5100" s="787">
        <v>1</v>
      </c>
      <c r="I5100" s="788">
        <v>42020</v>
      </c>
      <c r="J5100" s="788">
        <v>41754</v>
      </c>
      <c r="L5100" s="787">
        <v>5.04</v>
      </c>
      <c r="M5100" s="787">
        <v>20</v>
      </c>
      <c r="N5100" s="787">
        <v>6.07</v>
      </c>
      <c r="O5100" s="788">
        <v>41955</v>
      </c>
    </row>
    <row r="5101" spans="1:15" x14ac:dyDescent="0.25">
      <c r="A5101" s="786" t="s">
        <v>9750</v>
      </c>
      <c r="B5101" s="787">
        <v>4</v>
      </c>
      <c r="C5101" s="787" t="s">
        <v>9751</v>
      </c>
      <c r="D5101" s="787">
        <v>3.68</v>
      </c>
      <c r="E5101" s="787">
        <v>5.64</v>
      </c>
      <c r="F5101" s="788">
        <v>39101</v>
      </c>
      <c r="G5101" s="788">
        <v>42013</v>
      </c>
      <c r="H5101" s="787">
        <v>1</v>
      </c>
      <c r="I5101" s="788">
        <v>41092</v>
      </c>
      <c r="J5101" s="788">
        <v>41890</v>
      </c>
      <c r="L5101" s="787">
        <v>5.73</v>
      </c>
      <c r="M5101" s="787">
        <v>20</v>
      </c>
      <c r="N5101" s="787">
        <v>6.9</v>
      </c>
      <c r="O5101" s="788">
        <v>42159</v>
      </c>
    </row>
    <row r="5102" spans="1:15" x14ac:dyDescent="0.25">
      <c r="A5102" s="786" t="s">
        <v>9752</v>
      </c>
      <c r="B5102" s="787">
        <v>4</v>
      </c>
      <c r="C5102" s="787" t="s">
        <v>9691</v>
      </c>
      <c r="D5102" s="787">
        <v>3.09</v>
      </c>
      <c r="E5102" s="787">
        <v>3.66</v>
      </c>
      <c r="F5102" s="788">
        <v>40051</v>
      </c>
      <c r="G5102" s="788">
        <v>42013</v>
      </c>
      <c r="H5102" s="787">
        <v>1</v>
      </c>
      <c r="I5102" s="788">
        <v>41967</v>
      </c>
      <c r="J5102" s="788">
        <v>41962</v>
      </c>
      <c r="K5102" s="788">
        <v>40735</v>
      </c>
      <c r="L5102" s="787">
        <v>3.38</v>
      </c>
      <c r="M5102" s="787">
        <v>20</v>
      </c>
      <c r="N5102" s="787">
        <v>4.07</v>
      </c>
      <c r="O5102" s="788">
        <v>42087</v>
      </c>
    </row>
    <row r="5103" spans="1:15" x14ac:dyDescent="0.25">
      <c r="A5103" s="786" t="s">
        <v>9753</v>
      </c>
      <c r="B5103" s="787">
        <v>4</v>
      </c>
      <c r="C5103" s="787" t="s">
        <v>9691</v>
      </c>
      <c r="D5103" s="787">
        <v>6.41</v>
      </c>
      <c r="E5103" s="787">
        <v>6.41</v>
      </c>
      <c r="F5103" s="788">
        <v>40066</v>
      </c>
      <c r="G5103" s="788">
        <v>42096</v>
      </c>
      <c r="H5103" s="787">
        <v>1</v>
      </c>
      <c r="I5103" s="788">
        <v>42094</v>
      </c>
      <c r="J5103" s="788">
        <v>42096</v>
      </c>
      <c r="L5103" s="787">
        <v>7.37</v>
      </c>
      <c r="M5103" s="787">
        <v>20</v>
      </c>
      <c r="N5103" s="787">
        <v>8.8699999999999992</v>
      </c>
      <c r="O5103" s="788">
        <v>41858</v>
      </c>
    </row>
    <row r="5104" spans="1:15" x14ac:dyDescent="0.25">
      <c r="A5104" s="786" t="s">
        <v>9754</v>
      </c>
      <c r="B5104" s="787">
        <v>4</v>
      </c>
      <c r="C5104" s="787" t="s">
        <v>9755</v>
      </c>
      <c r="D5104" s="787">
        <v>3.46</v>
      </c>
      <c r="E5104" s="787">
        <v>15.83</v>
      </c>
      <c r="F5104" s="788">
        <v>39101</v>
      </c>
      <c r="G5104" s="788">
        <v>42159</v>
      </c>
      <c r="H5104" s="787">
        <v>1</v>
      </c>
      <c r="I5104" s="788">
        <v>42159</v>
      </c>
      <c r="J5104" s="788">
        <v>42159</v>
      </c>
      <c r="K5104" s="788">
        <v>40925</v>
      </c>
      <c r="L5104" s="787">
        <v>15.94</v>
      </c>
      <c r="M5104" s="787">
        <v>20</v>
      </c>
      <c r="N5104" s="787">
        <v>19.190000000000001</v>
      </c>
      <c r="O5104" s="788">
        <v>42162</v>
      </c>
    </row>
    <row r="5105" spans="1:15" x14ac:dyDescent="0.25">
      <c r="A5105" s="786" t="s">
        <v>9756</v>
      </c>
      <c r="B5105" s="787">
        <v>4</v>
      </c>
      <c r="C5105" s="787" t="s">
        <v>9755</v>
      </c>
      <c r="D5105" s="787">
        <v>3</v>
      </c>
      <c r="E5105" s="787">
        <v>18.670000000000002</v>
      </c>
      <c r="F5105" s="788">
        <v>39101</v>
      </c>
      <c r="G5105" s="788">
        <v>42013</v>
      </c>
      <c r="H5105" s="787">
        <v>1</v>
      </c>
      <c r="I5105" s="788">
        <v>42034</v>
      </c>
      <c r="J5105" s="788">
        <v>41109</v>
      </c>
      <c r="L5105" s="787">
        <v>12.82</v>
      </c>
      <c r="M5105" s="787">
        <v>20</v>
      </c>
      <c r="N5105" s="787">
        <v>15.44</v>
      </c>
      <c r="O5105" s="788">
        <v>41858</v>
      </c>
    </row>
    <row r="5106" spans="1:15" x14ac:dyDescent="0.25">
      <c r="A5106" s="786" t="s">
        <v>9757</v>
      </c>
      <c r="B5106" s="787">
        <v>4</v>
      </c>
      <c r="C5106" s="787" t="s">
        <v>9691</v>
      </c>
      <c r="D5106" s="787">
        <v>5.33</v>
      </c>
      <c r="E5106" s="787">
        <v>6.69</v>
      </c>
      <c r="F5106" s="788">
        <v>40556</v>
      </c>
      <c r="G5106" s="788">
        <v>42143</v>
      </c>
      <c r="H5106" s="787">
        <v>1</v>
      </c>
      <c r="I5106" s="788">
        <v>42121</v>
      </c>
      <c r="J5106" s="788">
        <v>42124</v>
      </c>
      <c r="K5106" s="788">
        <v>40805</v>
      </c>
      <c r="L5106" s="787">
        <v>6.26</v>
      </c>
      <c r="M5106" s="787">
        <v>20</v>
      </c>
      <c r="N5106" s="787">
        <v>7.54</v>
      </c>
      <c r="O5106" s="788">
        <v>42152</v>
      </c>
    </row>
    <row r="5107" spans="1:15" x14ac:dyDescent="0.25">
      <c r="A5107" s="786" t="s">
        <v>9758</v>
      </c>
      <c r="B5107" s="787">
        <v>4</v>
      </c>
      <c r="C5107" s="787" t="s">
        <v>9691</v>
      </c>
      <c r="D5107" s="787">
        <v>2.48</v>
      </c>
      <c r="E5107" s="787">
        <v>4.38</v>
      </c>
      <c r="F5107" s="788">
        <v>37642</v>
      </c>
      <c r="G5107" s="788">
        <v>42013</v>
      </c>
      <c r="H5107" s="787">
        <v>1</v>
      </c>
      <c r="I5107" s="788">
        <v>42040</v>
      </c>
      <c r="J5107" s="788">
        <v>41962</v>
      </c>
      <c r="L5107" s="787">
        <v>3.03</v>
      </c>
      <c r="M5107" s="787">
        <v>20</v>
      </c>
      <c r="N5107" s="787">
        <v>3.65</v>
      </c>
      <c r="O5107" s="788">
        <v>41858</v>
      </c>
    </row>
    <row r="5108" spans="1:15" x14ac:dyDescent="0.25">
      <c r="A5108" s="786" t="s">
        <v>9759</v>
      </c>
      <c r="B5108" s="787">
        <v>4</v>
      </c>
      <c r="C5108" s="787" t="s">
        <v>9691</v>
      </c>
      <c r="D5108" s="787">
        <v>3.28</v>
      </c>
      <c r="E5108" s="787">
        <v>3.99</v>
      </c>
      <c r="F5108" s="788">
        <v>39101</v>
      </c>
      <c r="G5108" s="788">
        <v>42013</v>
      </c>
      <c r="H5108" s="787">
        <v>1</v>
      </c>
      <c r="I5108" s="788">
        <v>39134</v>
      </c>
      <c r="J5108" s="788">
        <v>39790</v>
      </c>
      <c r="L5108" s="787">
        <v>4.2699999999999996</v>
      </c>
      <c r="M5108" s="787">
        <v>20</v>
      </c>
      <c r="N5108" s="787">
        <v>5.14</v>
      </c>
      <c r="O5108" s="788">
        <v>41955</v>
      </c>
    </row>
    <row r="5109" spans="1:15" x14ac:dyDescent="0.25">
      <c r="A5109" s="786" t="s">
        <v>9760</v>
      </c>
      <c r="B5109" s="787">
        <v>4</v>
      </c>
      <c r="C5109" s="787" t="s">
        <v>9691</v>
      </c>
      <c r="D5109" s="787">
        <v>3.34</v>
      </c>
      <c r="E5109" s="787">
        <v>3.34</v>
      </c>
      <c r="F5109" s="788">
        <v>39101</v>
      </c>
      <c r="G5109" s="788">
        <v>39101</v>
      </c>
      <c r="H5109" s="787">
        <v>1</v>
      </c>
      <c r="I5109" s="788">
        <v>39527</v>
      </c>
      <c r="J5109" s="788">
        <v>39149</v>
      </c>
      <c r="L5109" s="787">
        <v>4.08</v>
      </c>
      <c r="M5109" s="787">
        <v>20</v>
      </c>
      <c r="N5109" s="787">
        <v>4.91</v>
      </c>
      <c r="O5109" s="788">
        <v>41858</v>
      </c>
    </row>
    <row r="5110" spans="1:15" x14ac:dyDescent="0.25">
      <c r="A5110" s="786" t="s">
        <v>9761</v>
      </c>
      <c r="B5110" s="787">
        <v>4</v>
      </c>
      <c r="C5110" s="787" t="s">
        <v>9662</v>
      </c>
      <c r="D5110" s="787">
        <v>0</v>
      </c>
      <c r="E5110" s="787">
        <v>0</v>
      </c>
      <c r="H5110" s="787">
        <v>1</v>
      </c>
      <c r="I5110" s="788">
        <v>40392</v>
      </c>
      <c r="L5110" s="787">
        <v>0</v>
      </c>
      <c r="M5110" s="787">
        <v>20</v>
      </c>
      <c r="N5110" s="787">
        <v>0</v>
      </c>
      <c r="O5110" s="788">
        <v>40824</v>
      </c>
    </row>
    <row r="5111" spans="1:15" x14ac:dyDescent="0.25">
      <c r="A5111" s="786" t="s">
        <v>9762</v>
      </c>
      <c r="B5111" s="787">
        <v>4</v>
      </c>
      <c r="C5111" s="787" t="s">
        <v>9755</v>
      </c>
      <c r="D5111" s="787">
        <v>6.78</v>
      </c>
      <c r="E5111" s="787">
        <v>21.05</v>
      </c>
      <c r="F5111" s="788">
        <v>41519</v>
      </c>
      <c r="G5111" s="788">
        <v>42046</v>
      </c>
      <c r="H5111" s="787">
        <v>1</v>
      </c>
      <c r="I5111" s="788">
        <v>42117</v>
      </c>
      <c r="J5111" s="788">
        <v>42039</v>
      </c>
      <c r="K5111" s="788">
        <v>40990</v>
      </c>
      <c r="L5111" s="787">
        <v>20.39</v>
      </c>
      <c r="M5111" s="787">
        <v>20</v>
      </c>
      <c r="N5111" s="787">
        <v>24.55</v>
      </c>
      <c r="O5111" s="788">
        <v>42146</v>
      </c>
    </row>
    <row r="5112" spans="1:15" x14ac:dyDescent="0.25">
      <c r="A5112" s="786" t="s">
        <v>9763</v>
      </c>
      <c r="B5112" s="787">
        <v>4</v>
      </c>
      <c r="C5112" s="787" t="s">
        <v>9764</v>
      </c>
      <c r="D5112" s="787">
        <v>4.76</v>
      </c>
      <c r="E5112" s="787">
        <v>6.6</v>
      </c>
      <c r="F5112" s="788">
        <v>39101</v>
      </c>
      <c r="G5112" s="788">
        <v>42013</v>
      </c>
      <c r="H5112" s="787">
        <v>1</v>
      </c>
      <c r="I5112" s="788">
        <v>42035</v>
      </c>
      <c r="J5112" s="788">
        <v>41857</v>
      </c>
      <c r="L5112" s="787">
        <v>5.81</v>
      </c>
      <c r="M5112" s="787">
        <v>20</v>
      </c>
      <c r="N5112" s="787">
        <v>7</v>
      </c>
      <c r="O5112" s="788">
        <v>42024</v>
      </c>
    </row>
    <row r="5113" spans="1:15" x14ac:dyDescent="0.25">
      <c r="A5113" s="786" t="s">
        <v>9765</v>
      </c>
      <c r="B5113" s="787">
        <v>4</v>
      </c>
      <c r="C5113" s="787" t="s">
        <v>9697</v>
      </c>
      <c r="D5113" s="787">
        <v>3.31</v>
      </c>
      <c r="E5113" s="787">
        <v>6.61</v>
      </c>
      <c r="F5113" s="788">
        <v>38047</v>
      </c>
      <c r="G5113" s="788">
        <v>42013</v>
      </c>
      <c r="H5113" s="787">
        <v>1</v>
      </c>
      <c r="I5113" s="788">
        <v>39791</v>
      </c>
      <c r="J5113" s="788">
        <v>41698</v>
      </c>
      <c r="K5113" s="788">
        <v>40210</v>
      </c>
      <c r="L5113" s="787">
        <v>5.0999999999999996</v>
      </c>
      <c r="M5113" s="787">
        <v>20</v>
      </c>
      <c r="N5113" s="787">
        <v>6.14</v>
      </c>
      <c r="O5113" s="788">
        <v>41858</v>
      </c>
    </row>
    <row r="5114" spans="1:15" x14ac:dyDescent="0.25">
      <c r="A5114" s="786" t="s">
        <v>9766</v>
      </c>
      <c r="B5114" s="787">
        <v>4</v>
      </c>
      <c r="C5114" s="787" t="s">
        <v>9767</v>
      </c>
      <c r="D5114" s="787">
        <v>3.76</v>
      </c>
      <c r="E5114" s="787">
        <v>4.93</v>
      </c>
      <c r="F5114" s="788">
        <v>38516</v>
      </c>
      <c r="G5114" s="788">
        <v>42150</v>
      </c>
      <c r="H5114" s="787">
        <v>1</v>
      </c>
      <c r="I5114" s="788">
        <v>42151</v>
      </c>
      <c r="J5114" s="788">
        <v>42137</v>
      </c>
      <c r="K5114" s="788">
        <v>41466</v>
      </c>
      <c r="L5114" s="787">
        <v>5.22</v>
      </c>
      <c r="M5114" s="787">
        <v>20</v>
      </c>
      <c r="N5114" s="787">
        <v>6.28</v>
      </c>
      <c r="O5114" s="788">
        <v>42163</v>
      </c>
    </row>
    <row r="5115" spans="1:15" x14ac:dyDescent="0.25">
      <c r="A5115" s="786" t="s">
        <v>9768</v>
      </c>
      <c r="B5115" s="787">
        <v>4</v>
      </c>
      <c r="C5115" s="787" t="s">
        <v>9691</v>
      </c>
      <c r="D5115" s="787">
        <v>4.03</v>
      </c>
      <c r="E5115" s="787">
        <v>4.03</v>
      </c>
      <c r="F5115" s="788">
        <v>37642</v>
      </c>
      <c r="G5115" s="788">
        <v>37642</v>
      </c>
      <c r="H5115" s="787">
        <v>1</v>
      </c>
      <c r="I5115" s="788">
        <v>41990</v>
      </c>
      <c r="J5115" s="788">
        <v>41990</v>
      </c>
      <c r="L5115" s="787">
        <v>4.92</v>
      </c>
      <c r="M5115" s="787">
        <v>20</v>
      </c>
      <c r="N5115" s="787">
        <v>5.92</v>
      </c>
      <c r="O5115" s="788">
        <v>41858</v>
      </c>
    </row>
    <row r="5116" spans="1:15" x14ac:dyDescent="0.25">
      <c r="A5116" s="786" t="s">
        <v>9769</v>
      </c>
      <c r="B5116" s="787">
        <v>4</v>
      </c>
      <c r="C5116" s="787" t="s">
        <v>9662</v>
      </c>
      <c r="D5116" s="787">
        <v>3.95</v>
      </c>
      <c r="E5116" s="787">
        <v>4.74</v>
      </c>
      <c r="F5116" s="788">
        <v>39101</v>
      </c>
      <c r="G5116" s="788">
        <v>40668</v>
      </c>
      <c r="H5116" s="787">
        <v>1</v>
      </c>
      <c r="I5116" s="788">
        <v>40683</v>
      </c>
      <c r="J5116" s="788">
        <v>40669</v>
      </c>
      <c r="L5116" s="787">
        <v>2.61</v>
      </c>
      <c r="M5116" s="787">
        <v>20</v>
      </c>
      <c r="N5116" s="787">
        <v>3.14</v>
      </c>
      <c r="O5116" s="788">
        <v>41858</v>
      </c>
    </row>
    <row r="5117" spans="1:15" x14ac:dyDescent="0.25">
      <c r="A5117" s="786" t="s">
        <v>9770</v>
      </c>
      <c r="B5117" s="787">
        <v>4</v>
      </c>
      <c r="C5117" s="787" t="s">
        <v>9691</v>
      </c>
      <c r="D5117" s="787">
        <v>0</v>
      </c>
      <c r="E5117" s="787">
        <v>0</v>
      </c>
      <c r="H5117" s="787">
        <v>1</v>
      </c>
      <c r="I5117" s="788">
        <v>41249</v>
      </c>
      <c r="L5117" s="787">
        <v>0</v>
      </c>
      <c r="M5117" s="787">
        <v>20</v>
      </c>
      <c r="N5117" s="787">
        <v>0</v>
      </c>
      <c r="O5117" s="788">
        <v>40824</v>
      </c>
    </row>
    <row r="5118" spans="1:15" x14ac:dyDescent="0.25">
      <c r="A5118" s="786" t="s">
        <v>9771</v>
      </c>
      <c r="B5118" s="787">
        <v>4</v>
      </c>
      <c r="C5118" s="787" t="s">
        <v>9662</v>
      </c>
      <c r="D5118" s="787">
        <v>0.99</v>
      </c>
      <c r="E5118" s="787">
        <v>1.85</v>
      </c>
      <c r="F5118" s="788">
        <v>39101</v>
      </c>
      <c r="G5118" s="788">
        <v>41282</v>
      </c>
      <c r="H5118" s="787">
        <v>1</v>
      </c>
      <c r="I5118" s="788">
        <v>42046</v>
      </c>
      <c r="J5118" s="788">
        <v>40140</v>
      </c>
      <c r="L5118" s="787">
        <v>1.28</v>
      </c>
      <c r="M5118" s="787">
        <v>20</v>
      </c>
      <c r="N5118" s="787">
        <v>1.38</v>
      </c>
      <c r="O5118" s="788">
        <v>42087</v>
      </c>
    </row>
    <row r="5119" spans="1:15" x14ac:dyDescent="0.25">
      <c r="A5119" s="786" t="s">
        <v>9772</v>
      </c>
      <c r="B5119" s="787">
        <v>4</v>
      </c>
      <c r="C5119" s="787" t="s">
        <v>9691</v>
      </c>
      <c r="D5119" s="787">
        <v>1.53</v>
      </c>
      <c r="E5119" s="787">
        <v>2.65</v>
      </c>
      <c r="F5119" s="788">
        <v>38047</v>
      </c>
      <c r="G5119" s="788">
        <v>40380</v>
      </c>
      <c r="H5119" s="787">
        <v>1</v>
      </c>
      <c r="I5119" s="788">
        <v>41092</v>
      </c>
      <c r="J5119" s="788">
        <v>40374</v>
      </c>
      <c r="K5119" s="788">
        <v>40374</v>
      </c>
      <c r="L5119" s="787">
        <v>2.5299999999999998</v>
      </c>
      <c r="M5119" s="787">
        <v>20</v>
      </c>
      <c r="N5119" s="787">
        <v>3.05</v>
      </c>
      <c r="O5119" s="788">
        <v>41955</v>
      </c>
    </row>
    <row r="5120" spans="1:15" x14ac:dyDescent="0.25">
      <c r="A5120" s="786" t="s">
        <v>9773</v>
      </c>
      <c r="B5120" s="787">
        <v>4</v>
      </c>
      <c r="C5120" s="787" t="s">
        <v>9691</v>
      </c>
      <c r="D5120" s="787">
        <v>2.5499999999999998</v>
      </c>
      <c r="E5120" s="787">
        <v>2.5499999999999998</v>
      </c>
      <c r="F5120" s="788">
        <v>37642</v>
      </c>
      <c r="G5120" s="788">
        <v>37642</v>
      </c>
      <c r="H5120" s="787">
        <v>1</v>
      </c>
      <c r="I5120" s="788">
        <v>39779</v>
      </c>
      <c r="J5120" s="788">
        <v>37642</v>
      </c>
      <c r="L5120" s="787">
        <v>3.11</v>
      </c>
      <c r="M5120" s="787">
        <v>20</v>
      </c>
      <c r="N5120" s="787">
        <v>3.74</v>
      </c>
      <c r="O5120" s="788">
        <v>41955</v>
      </c>
    </row>
    <row r="5121" spans="1:15" x14ac:dyDescent="0.25">
      <c r="A5121" s="786" t="s">
        <v>9774</v>
      </c>
      <c r="B5121" s="787">
        <v>4</v>
      </c>
      <c r="C5121" s="787" t="s">
        <v>9662</v>
      </c>
      <c r="D5121" s="787">
        <v>0.18</v>
      </c>
      <c r="E5121" s="787">
        <v>2.62</v>
      </c>
      <c r="F5121" s="788">
        <v>39101</v>
      </c>
      <c r="G5121" s="788">
        <v>41943</v>
      </c>
      <c r="H5121" s="787">
        <v>1</v>
      </c>
      <c r="I5121" s="788">
        <v>39647</v>
      </c>
      <c r="J5121" s="788">
        <v>39833</v>
      </c>
      <c r="L5121" s="787">
        <v>2.8</v>
      </c>
      <c r="M5121" s="787">
        <v>20</v>
      </c>
      <c r="N5121" s="787">
        <v>3.37</v>
      </c>
      <c r="O5121" s="788">
        <v>41955</v>
      </c>
    </row>
    <row r="5122" spans="1:15" x14ac:dyDescent="0.25">
      <c r="A5122" s="786" t="s">
        <v>9775</v>
      </c>
      <c r="B5122" s="787">
        <v>4</v>
      </c>
      <c r="C5122" s="787" t="s">
        <v>9776</v>
      </c>
      <c r="D5122" s="787">
        <v>1.98</v>
      </c>
      <c r="E5122" s="787">
        <v>26.93</v>
      </c>
      <c r="F5122" s="788">
        <v>39101</v>
      </c>
      <c r="G5122" s="788">
        <v>42013</v>
      </c>
      <c r="H5122" s="787">
        <v>1</v>
      </c>
      <c r="I5122" s="788">
        <v>42118</v>
      </c>
      <c r="J5122" s="788">
        <v>41969</v>
      </c>
      <c r="K5122" s="788">
        <v>40917</v>
      </c>
      <c r="L5122" s="787">
        <v>25.19</v>
      </c>
      <c r="M5122" s="787">
        <v>20</v>
      </c>
      <c r="N5122" s="787">
        <v>30.33</v>
      </c>
      <c r="O5122" s="788">
        <v>41858</v>
      </c>
    </row>
    <row r="5123" spans="1:15" x14ac:dyDescent="0.25">
      <c r="A5123" s="786" t="s">
        <v>9777</v>
      </c>
      <c r="B5123" s="787">
        <v>4</v>
      </c>
      <c r="C5123" s="787" t="s">
        <v>9778</v>
      </c>
      <c r="D5123" s="787">
        <v>2.82</v>
      </c>
      <c r="E5123" s="787">
        <v>2.82</v>
      </c>
      <c r="F5123" s="788">
        <v>39101</v>
      </c>
      <c r="G5123" s="788">
        <v>39101</v>
      </c>
      <c r="H5123" s="787">
        <v>1</v>
      </c>
      <c r="I5123" s="788">
        <v>42158</v>
      </c>
      <c r="J5123" s="788">
        <v>42159</v>
      </c>
      <c r="L5123" s="787">
        <v>3.44</v>
      </c>
      <c r="M5123" s="787">
        <v>20</v>
      </c>
      <c r="N5123" s="787">
        <v>4.1399999999999997</v>
      </c>
      <c r="O5123" s="788">
        <v>42164</v>
      </c>
    </row>
    <row r="5124" spans="1:15" x14ac:dyDescent="0.25">
      <c r="A5124" s="786" t="s">
        <v>9779</v>
      </c>
      <c r="B5124" s="787">
        <v>4</v>
      </c>
      <c r="C5124" s="787" t="s">
        <v>9778</v>
      </c>
      <c r="D5124" s="787">
        <v>0.48</v>
      </c>
      <c r="E5124" s="787">
        <v>0.48</v>
      </c>
      <c r="F5124" s="788">
        <v>40004</v>
      </c>
      <c r="G5124" s="788">
        <v>40178</v>
      </c>
      <c r="H5124" s="787">
        <v>1</v>
      </c>
      <c r="I5124" s="788">
        <v>39134</v>
      </c>
      <c r="J5124" s="788">
        <v>39996</v>
      </c>
      <c r="K5124" s="788">
        <v>39994</v>
      </c>
      <c r="L5124" s="787">
        <v>0.43</v>
      </c>
      <c r="M5124" s="787">
        <v>20</v>
      </c>
      <c r="N5124" s="787">
        <v>0.52</v>
      </c>
      <c r="O5124" s="788">
        <v>42087</v>
      </c>
    </row>
    <row r="5125" spans="1:15" x14ac:dyDescent="0.25">
      <c r="A5125" s="786" t="s">
        <v>9780</v>
      </c>
      <c r="B5125" s="787">
        <v>4</v>
      </c>
      <c r="C5125" s="787" t="s">
        <v>9778</v>
      </c>
      <c r="D5125" s="787">
        <v>1.52</v>
      </c>
      <c r="E5125" s="787">
        <v>1.57</v>
      </c>
      <c r="F5125" s="788">
        <v>39101</v>
      </c>
      <c r="G5125" s="788">
        <v>42123</v>
      </c>
      <c r="H5125" s="787">
        <v>1</v>
      </c>
      <c r="I5125" s="788">
        <v>42129</v>
      </c>
      <c r="J5125" s="788">
        <v>42087</v>
      </c>
      <c r="K5125" s="788">
        <v>40739</v>
      </c>
      <c r="L5125" s="787">
        <v>1.53</v>
      </c>
      <c r="M5125" s="787">
        <v>20</v>
      </c>
      <c r="N5125" s="787">
        <v>1.84</v>
      </c>
      <c r="O5125" s="788">
        <v>42163</v>
      </c>
    </row>
    <row r="5126" spans="1:15" x14ac:dyDescent="0.25">
      <c r="A5126" s="786" t="s">
        <v>9781</v>
      </c>
      <c r="B5126" s="787">
        <v>4</v>
      </c>
      <c r="C5126" s="787" t="s">
        <v>9778</v>
      </c>
      <c r="D5126" s="787">
        <v>2.2799999999999998</v>
      </c>
      <c r="E5126" s="787">
        <v>2.42</v>
      </c>
      <c r="F5126" s="788">
        <v>41624</v>
      </c>
      <c r="G5126" s="788">
        <v>42013</v>
      </c>
      <c r="H5126" s="787">
        <v>1</v>
      </c>
      <c r="I5126" s="788">
        <v>42165</v>
      </c>
      <c r="J5126" s="788">
        <v>41834</v>
      </c>
      <c r="K5126" s="788">
        <v>41589</v>
      </c>
      <c r="L5126" s="787">
        <v>2.17</v>
      </c>
      <c r="M5126" s="787">
        <v>20</v>
      </c>
      <c r="N5126" s="787">
        <v>2.33</v>
      </c>
      <c r="O5126" s="788">
        <v>42162</v>
      </c>
    </row>
    <row r="5127" spans="1:15" x14ac:dyDescent="0.25">
      <c r="A5127" s="786" t="s">
        <v>9782</v>
      </c>
      <c r="B5127" s="787">
        <v>4</v>
      </c>
      <c r="C5127" s="787" t="s">
        <v>9662</v>
      </c>
      <c r="D5127" s="787">
        <v>1.88</v>
      </c>
      <c r="E5127" s="787">
        <v>2.27</v>
      </c>
      <c r="F5127" s="788">
        <v>39101</v>
      </c>
      <c r="G5127" s="788">
        <v>41991</v>
      </c>
      <c r="H5127" s="787">
        <v>1</v>
      </c>
      <c r="I5127" s="788">
        <v>41989</v>
      </c>
      <c r="J5127" s="788">
        <v>41962</v>
      </c>
      <c r="L5127" s="787">
        <v>2.99</v>
      </c>
      <c r="M5127" s="787">
        <v>20</v>
      </c>
      <c r="N5127" s="787">
        <v>3.6</v>
      </c>
      <c r="O5127" s="788">
        <v>41858</v>
      </c>
    </row>
    <row r="5128" spans="1:15" x14ac:dyDescent="0.25">
      <c r="A5128" s="786" t="s">
        <v>9783</v>
      </c>
      <c r="B5128" s="787">
        <v>4</v>
      </c>
      <c r="C5128" s="787" t="s">
        <v>9662</v>
      </c>
      <c r="D5128" s="787">
        <v>0.47</v>
      </c>
      <c r="E5128" s="787">
        <v>0.78</v>
      </c>
      <c r="F5128" s="788">
        <v>39101</v>
      </c>
      <c r="G5128" s="788">
        <v>42013</v>
      </c>
      <c r="H5128" s="787">
        <v>1</v>
      </c>
      <c r="I5128" s="788">
        <v>41961</v>
      </c>
      <c r="J5128" s="788">
        <v>41775</v>
      </c>
      <c r="K5128" s="788">
        <v>40470</v>
      </c>
      <c r="L5128" s="787">
        <v>0.85</v>
      </c>
      <c r="M5128" s="787">
        <v>20</v>
      </c>
      <c r="N5128" s="787">
        <v>0.91</v>
      </c>
      <c r="O5128" s="788">
        <v>41858</v>
      </c>
    </row>
    <row r="5129" spans="1:15" x14ac:dyDescent="0.25">
      <c r="A5129" s="786" t="s">
        <v>9784</v>
      </c>
      <c r="B5129" s="787">
        <v>4</v>
      </c>
      <c r="C5129" s="787" t="s">
        <v>9662</v>
      </c>
      <c r="D5129" s="787">
        <v>2.31</v>
      </c>
      <c r="E5129" s="787">
        <v>2.59</v>
      </c>
      <c r="F5129" s="788">
        <v>39101</v>
      </c>
      <c r="G5129" s="788">
        <v>42013</v>
      </c>
      <c r="H5129" s="787">
        <v>1</v>
      </c>
      <c r="I5129" s="788">
        <v>42074</v>
      </c>
      <c r="J5129" s="788">
        <v>41962</v>
      </c>
      <c r="L5129" s="787">
        <v>2.31</v>
      </c>
      <c r="M5129" s="787">
        <v>20</v>
      </c>
      <c r="N5129" s="787">
        <v>2.78</v>
      </c>
      <c r="O5129" s="788">
        <v>41858</v>
      </c>
    </row>
    <row r="5130" spans="1:15" x14ac:dyDescent="0.25">
      <c r="A5130" s="786" t="s">
        <v>9785</v>
      </c>
      <c r="B5130" s="787">
        <v>4</v>
      </c>
      <c r="C5130" s="787" t="s">
        <v>9662</v>
      </c>
      <c r="D5130" s="787">
        <v>1.2</v>
      </c>
      <c r="E5130" s="787">
        <v>6.82</v>
      </c>
      <c r="F5130" s="788">
        <v>38047</v>
      </c>
      <c r="G5130" s="788">
        <v>42023</v>
      </c>
      <c r="H5130" s="787">
        <v>1</v>
      </c>
      <c r="I5130" s="788">
        <v>41324</v>
      </c>
      <c r="J5130" s="788">
        <v>42018</v>
      </c>
      <c r="K5130" s="788">
        <v>40135</v>
      </c>
      <c r="L5130" s="787">
        <v>3.52</v>
      </c>
      <c r="M5130" s="787">
        <v>20</v>
      </c>
      <c r="N5130" s="787">
        <v>4.24</v>
      </c>
      <c r="O5130" s="788">
        <v>41858</v>
      </c>
    </row>
    <row r="5131" spans="1:15" x14ac:dyDescent="0.25">
      <c r="A5131" s="786" t="s">
        <v>9786</v>
      </c>
      <c r="B5131" s="787">
        <v>4</v>
      </c>
      <c r="C5131" s="787" t="s">
        <v>9787</v>
      </c>
      <c r="D5131" s="787">
        <v>1.61</v>
      </c>
      <c r="E5131" s="787">
        <v>2.0299999999999998</v>
      </c>
      <c r="F5131" s="788">
        <v>40239</v>
      </c>
      <c r="G5131" s="788">
        <v>42163</v>
      </c>
      <c r="H5131" s="787">
        <v>1</v>
      </c>
      <c r="I5131" s="788">
        <v>42158</v>
      </c>
      <c r="J5131" s="788">
        <v>42163</v>
      </c>
      <c r="K5131" s="788">
        <v>41361</v>
      </c>
      <c r="L5131" s="787">
        <v>1.9</v>
      </c>
      <c r="M5131" s="787">
        <v>20</v>
      </c>
      <c r="N5131" s="787">
        <v>2.29</v>
      </c>
      <c r="O5131" s="788">
        <v>42159</v>
      </c>
    </row>
    <row r="5132" spans="1:15" x14ac:dyDescent="0.25">
      <c r="A5132" s="786" t="s">
        <v>9788</v>
      </c>
      <c r="B5132" s="787">
        <v>4</v>
      </c>
      <c r="C5132" s="787" t="s">
        <v>9662</v>
      </c>
      <c r="D5132" s="787">
        <v>0.92</v>
      </c>
      <c r="E5132" s="787">
        <v>1.31</v>
      </c>
      <c r="F5132" s="788">
        <v>38047</v>
      </c>
      <c r="G5132" s="788">
        <v>42013</v>
      </c>
      <c r="H5132" s="787">
        <v>1</v>
      </c>
      <c r="I5132" s="788">
        <v>42073</v>
      </c>
      <c r="J5132" s="788">
        <v>41523</v>
      </c>
      <c r="L5132" s="787">
        <v>1.1200000000000001</v>
      </c>
      <c r="M5132" s="787">
        <v>20</v>
      </c>
      <c r="N5132" s="787">
        <v>1.35</v>
      </c>
      <c r="O5132" s="788">
        <v>41955</v>
      </c>
    </row>
    <row r="5133" spans="1:15" x14ac:dyDescent="0.25">
      <c r="A5133" s="786" t="s">
        <v>9789</v>
      </c>
      <c r="B5133" s="787">
        <v>4</v>
      </c>
      <c r="C5133" s="787" t="s">
        <v>9662</v>
      </c>
      <c r="D5133" s="787">
        <v>0.59</v>
      </c>
      <c r="E5133" s="787">
        <v>0.59</v>
      </c>
      <c r="F5133" s="788">
        <v>40018</v>
      </c>
      <c r="G5133" s="788">
        <v>41943</v>
      </c>
      <c r="H5133" s="787">
        <v>1</v>
      </c>
      <c r="I5133" s="788">
        <v>41927</v>
      </c>
      <c r="J5133" s="788">
        <v>40018</v>
      </c>
      <c r="L5133" s="787">
        <v>0.62</v>
      </c>
      <c r="M5133" s="787">
        <v>20</v>
      </c>
      <c r="N5133" s="787">
        <v>0.75</v>
      </c>
      <c r="O5133" s="788">
        <v>41858</v>
      </c>
    </row>
    <row r="5134" spans="1:15" x14ac:dyDescent="0.25">
      <c r="A5134" s="786" t="s">
        <v>9790</v>
      </c>
      <c r="B5134" s="787">
        <v>4</v>
      </c>
      <c r="C5134" s="787" t="s">
        <v>9778</v>
      </c>
      <c r="D5134" s="787">
        <v>0.76</v>
      </c>
      <c r="E5134" s="787">
        <v>0.75</v>
      </c>
      <c r="F5134" s="788">
        <v>39101</v>
      </c>
      <c r="G5134" s="788">
        <v>40178</v>
      </c>
      <c r="H5134" s="787">
        <v>1</v>
      </c>
      <c r="I5134" s="788">
        <v>41878</v>
      </c>
      <c r="J5134" s="788">
        <v>39149</v>
      </c>
      <c r="L5134" s="787">
        <v>0.88</v>
      </c>
      <c r="M5134" s="787">
        <v>20</v>
      </c>
      <c r="N5134" s="787">
        <v>1.06</v>
      </c>
      <c r="O5134" s="788">
        <v>42023</v>
      </c>
    </row>
    <row r="5135" spans="1:15" x14ac:dyDescent="0.25">
      <c r="A5135" s="786" t="s">
        <v>9791</v>
      </c>
      <c r="B5135" s="787">
        <v>4</v>
      </c>
      <c r="C5135" s="787" t="s">
        <v>9662</v>
      </c>
      <c r="D5135" s="787">
        <v>2.69</v>
      </c>
      <c r="E5135" s="787">
        <v>3.7</v>
      </c>
      <c r="F5135" s="788">
        <v>39101</v>
      </c>
      <c r="G5135" s="788">
        <v>41646</v>
      </c>
      <c r="H5135" s="787">
        <v>1</v>
      </c>
      <c r="I5135" s="788">
        <v>41677</v>
      </c>
      <c r="J5135" s="788">
        <v>41463</v>
      </c>
      <c r="L5135" s="787">
        <v>2.83</v>
      </c>
      <c r="M5135" s="787">
        <v>20</v>
      </c>
      <c r="N5135" s="787">
        <v>3.41</v>
      </c>
      <c r="O5135" s="788">
        <v>41858</v>
      </c>
    </row>
    <row r="5136" spans="1:15" x14ac:dyDescent="0.25">
      <c r="A5136" s="786" t="s">
        <v>9792</v>
      </c>
      <c r="B5136" s="787">
        <v>4</v>
      </c>
      <c r="C5136" s="787" t="s">
        <v>9691</v>
      </c>
      <c r="D5136" s="787">
        <v>0.6</v>
      </c>
      <c r="E5136" s="787">
        <v>8.33</v>
      </c>
      <c r="F5136" s="788">
        <v>39101</v>
      </c>
      <c r="G5136" s="788">
        <v>42130</v>
      </c>
      <c r="H5136" s="787">
        <v>1</v>
      </c>
      <c r="I5136" s="788">
        <v>42088</v>
      </c>
      <c r="J5136" s="788">
        <v>42096</v>
      </c>
      <c r="K5136" s="788">
        <v>40239</v>
      </c>
      <c r="L5136" s="787">
        <v>7.8</v>
      </c>
      <c r="M5136" s="787">
        <v>20</v>
      </c>
      <c r="N5136" s="787">
        <v>9.39</v>
      </c>
      <c r="O5136" s="788">
        <v>42162</v>
      </c>
    </row>
    <row r="5137" spans="1:15" x14ac:dyDescent="0.25">
      <c r="A5137" s="786" t="s">
        <v>9793</v>
      </c>
      <c r="B5137" s="787">
        <v>4</v>
      </c>
      <c r="C5137" s="787" t="s">
        <v>9794</v>
      </c>
      <c r="D5137" s="787">
        <v>2.41</v>
      </c>
      <c r="E5137" s="787">
        <v>3.11</v>
      </c>
      <c r="F5137" s="788">
        <v>40239</v>
      </c>
      <c r="G5137" s="788">
        <v>42013</v>
      </c>
      <c r="H5137" s="787">
        <v>1</v>
      </c>
      <c r="I5137" s="788">
        <v>42109</v>
      </c>
      <c r="J5137" s="788">
        <v>41827</v>
      </c>
      <c r="K5137" s="788">
        <v>40557</v>
      </c>
      <c r="L5137" s="787">
        <v>2.95</v>
      </c>
      <c r="M5137" s="787">
        <v>20</v>
      </c>
      <c r="N5137" s="787">
        <v>3.55</v>
      </c>
      <c r="O5137" s="788">
        <v>42163</v>
      </c>
    </row>
    <row r="5138" spans="1:15" x14ac:dyDescent="0.25">
      <c r="A5138" s="786" t="s">
        <v>9795</v>
      </c>
      <c r="B5138" s="787">
        <v>4</v>
      </c>
      <c r="C5138" s="787" t="s">
        <v>9691</v>
      </c>
      <c r="D5138" s="787">
        <v>0</v>
      </c>
      <c r="E5138" s="787">
        <v>0</v>
      </c>
      <c r="H5138" s="787">
        <v>1</v>
      </c>
      <c r="I5138" s="788">
        <v>38093</v>
      </c>
      <c r="J5138" s="788">
        <v>37642</v>
      </c>
      <c r="L5138" s="787">
        <v>0</v>
      </c>
      <c r="M5138" s="787">
        <v>20</v>
      </c>
      <c r="N5138" s="787">
        <v>0</v>
      </c>
      <c r="O5138" s="788">
        <v>40824</v>
      </c>
    </row>
    <row r="5139" spans="1:15" x14ac:dyDescent="0.25">
      <c r="A5139" s="786" t="s">
        <v>9796</v>
      </c>
      <c r="B5139" s="787">
        <v>4</v>
      </c>
      <c r="C5139" s="787" t="s">
        <v>9662</v>
      </c>
      <c r="D5139" s="787">
        <v>0.69</v>
      </c>
      <c r="E5139" s="787">
        <v>1.1100000000000001</v>
      </c>
      <c r="F5139" s="788">
        <v>39101</v>
      </c>
      <c r="G5139" s="788">
        <v>41282</v>
      </c>
      <c r="H5139" s="787">
        <v>1</v>
      </c>
      <c r="I5139" s="788">
        <v>41255</v>
      </c>
      <c r="J5139" s="788">
        <v>41258</v>
      </c>
      <c r="L5139" s="787">
        <v>0.82</v>
      </c>
      <c r="M5139" s="787">
        <v>20</v>
      </c>
      <c r="N5139" s="787">
        <v>0.99</v>
      </c>
      <c r="O5139" s="788">
        <v>42164</v>
      </c>
    </row>
    <row r="5140" spans="1:15" x14ac:dyDescent="0.25">
      <c r="A5140" s="786" t="s">
        <v>9797</v>
      </c>
      <c r="B5140" s="787">
        <v>4</v>
      </c>
      <c r="C5140" s="787" t="s">
        <v>9662</v>
      </c>
      <c r="D5140" s="787">
        <v>8.8800000000000008</v>
      </c>
      <c r="E5140" s="787">
        <v>8.8800000000000008</v>
      </c>
      <c r="F5140" s="788">
        <v>39101</v>
      </c>
      <c r="G5140" s="788">
        <v>39101</v>
      </c>
      <c r="H5140" s="787">
        <v>1</v>
      </c>
      <c r="I5140" s="788">
        <v>39069</v>
      </c>
      <c r="J5140" s="788">
        <v>39101</v>
      </c>
      <c r="L5140" s="787">
        <v>10.84</v>
      </c>
      <c r="M5140" s="787">
        <v>20</v>
      </c>
      <c r="N5140" s="787">
        <v>13.05</v>
      </c>
      <c r="O5140" s="788">
        <v>41858</v>
      </c>
    </row>
    <row r="5141" spans="1:15" x14ac:dyDescent="0.25">
      <c r="A5141" s="786" t="s">
        <v>9798</v>
      </c>
      <c r="B5141" s="787">
        <v>4</v>
      </c>
      <c r="C5141" s="787" t="s">
        <v>9662</v>
      </c>
      <c r="D5141" s="787">
        <v>4.79</v>
      </c>
      <c r="E5141" s="787">
        <v>7.47</v>
      </c>
      <c r="F5141" s="788">
        <v>39486</v>
      </c>
      <c r="G5141" s="788">
        <v>42013</v>
      </c>
      <c r="H5141" s="787">
        <v>1</v>
      </c>
      <c r="I5141" s="788">
        <v>42131</v>
      </c>
      <c r="J5141" s="788">
        <v>41940</v>
      </c>
      <c r="L5141" s="787">
        <v>6.18</v>
      </c>
      <c r="M5141" s="787">
        <v>20</v>
      </c>
      <c r="N5141" s="787">
        <v>7.44</v>
      </c>
      <c r="O5141" s="788">
        <v>42164</v>
      </c>
    </row>
    <row r="5142" spans="1:15" x14ac:dyDescent="0.25">
      <c r="A5142" s="786" t="s">
        <v>9799</v>
      </c>
      <c r="B5142" s="787">
        <v>4</v>
      </c>
      <c r="C5142" s="787" t="s">
        <v>9691</v>
      </c>
      <c r="D5142" s="787">
        <v>2.33</v>
      </c>
      <c r="E5142" s="787">
        <v>3.04</v>
      </c>
      <c r="F5142" s="788">
        <v>39101</v>
      </c>
      <c r="G5142" s="788">
        <v>41646</v>
      </c>
      <c r="H5142" s="787">
        <v>1</v>
      </c>
      <c r="I5142" s="788">
        <v>41856</v>
      </c>
      <c r="J5142" s="788">
        <v>41184</v>
      </c>
      <c r="L5142" s="787">
        <v>2.84</v>
      </c>
      <c r="M5142" s="787">
        <v>20</v>
      </c>
      <c r="N5142" s="787">
        <v>3.42</v>
      </c>
      <c r="O5142" s="788">
        <v>41955</v>
      </c>
    </row>
    <row r="5143" spans="1:15" x14ac:dyDescent="0.25">
      <c r="A5143" s="786" t="s">
        <v>9800</v>
      </c>
      <c r="B5143" s="787">
        <v>4</v>
      </c>
      <c r="C5143" s="787" t="s">
        <v>9694</v>
      </c>
      <c r="D5143" s="787">
        <v>2.79</v>
      </c>
      <c r="E5143" s="787">
        <v>2.79</v>
      </c>
      <c r="F5143" s="788">
        <v>37642</v>
      </c>
      <c r="G5143" s="788">
        <v>38736</v>
      </c>
      <c r="H5143" s="787">
        <v>1</v>
      </c>
      <c r="I5143" s="788">
        <v>39134</v>
      </c>
      <c r="J5143" s="788">
        <v>37642</v>
      </c>
      <c r="L5143" s="787">
        <v>3.41</v>
      </c>
      <c r="M5143" s="787">
        <v>20</v>
      </c>
      <c r="N5143" s="787">
        <v>4.1100000000000003</v>
      </c>
      <c r="O5143" s="788">
        <v>41858</v>
      </c>
    </row>
    <row r="5144" spans="1:15" x14ac:dyDescent="0.25">
      <c r="A5144" s="786" t="s">
        <v>9801</v>
      </c>
      <c r="B5144" s="787">
        <v>4</v>
      </c>
      <c r="C5144" s="787" t="s">
        <v>9662</v>
      </c>
      <c r="D5144" s="787">
        <v>1.92</v>
      </c>
      <c r="E5144" s="787">
        <v>2.13</v>
      </c>
      <c r="F5144" s="788">
        <v>41498</v>
      </c>
      <c r="G5144" s="788">
        <v>42013</v>
      </c>
      <c r="H5144" s="787">
        <v>1</v>
      </c>
      <c r="I5144" s="788">
        <v>41962</v>
      </c>
      <c r="J5144" s="788">
        <v>41969</v>
      </c>
      <c r="K5144" s="788">
        <v>40749</v>
      </c>
      <c r="L5144" s="787">
        <v>1.94</v>
      </c>
      <c r="M5144" s="787">
        <v>20</v>
      </c>
      <c r="N5144" s="787">
        <v>2.34</v>
      </c>
      <c r="O5144" s="788">
        <v>42144</v>
      </c>
    </row>
    <row r="5145" spans="1:15" x14ac:dyDescent="0.25">
      <c r="A5145" s="786" t="s">
        <v>9802</v>
      </c>
      <c r="B5145" s="787">
        <v>4</v>
      </c>
      <c r="C5145" s="787" t="s">
        <v>9691</v>
      </c>
      <c r="D5145" s="787">
        <v>0</v>
      </c>
      <c r="E5145" s="787">
        <v>0</v>
      </c>
      <c r="H5145" s="787">
        <v>1</v>
      </c>
      <c r="I5145" s="788">
        <v>41379</v>
      </c>
      <c r="J5145" s="788">
        <v>37642</v>
      </c>
      <c r="L5145" s="787">
        <v>0</v>
      </c>
      <c r="M5145" s="787">
        <v>20</v>
      </c>
      <c r="N5145" s="787">
        <v>0</v>
      </c>
      <c r="O5145" s="788">
        <v>40824</v>
      </c>
    </row>
    <row r="5146" spans="1:15" x14ac:dyDescent="0.25">
      <c r="A5146" s="786" t="s">
        <v>9803</v>
      </c>
      <c r="B5146" s="787">
        <v>4</v>
      </c>
      <c r="C5146" s="787" t="s">
        <v>9691</v>
      </c>
      <c r="D5146" s="787">
        <v>8.83</v>
      </c>
      <c r="E5146" s="787">
        <v>16.86</v>
      </c>
      <c r="F5146" s="788">
        <v>40451</v>
      </c>
      <c r="G5146" s="788">
        <v>42013</v>
      </c>
      <c r="H5146" s="787">
        <v>1</v>
      </c>
      <c r="I5146" s="788">
        <v>42151</v>
      </c>
      <c r="J5146" s="788">
        <v>41526</v>
      </c>
      <c r="K5146" s="788">
        <v>40360</v>
      </c>
      <c r="L5146" s="787">
        <v>15.83</v>
      </c>
      <c r="M5146" s="787">
        <v>20</v>
      </c>
      <c r="N5146" s="787">
        <v>19.059999999999999</v>
      </c>
      <c r="O5146" s="788">
        <v>42162</v>
      </c>
    </row>
    <row r="5147" spans="1:15" x14ac:dyDescent="0.25">
      <c r="A5147" s="786" t="s">
        <v>9804</v>
      </c>
      <c r="B5147" s="787">
        <v>4</v>
      </c>
      <c r="C5147" s="787" t="s">
        <v>9805</v>
      </c>
      <c r="D5147" s="787">
        <v>0.51</v>
      </c>
      <c r="E5147" s="787">
        <v>0.9</v>
      </c>
      <c r="F5147" s="788">
        <v>39975</v>
      </c>
      <c r="G5147" s="788">
        <v>42159</v>
      </c>
      <c r="H5147" s="787">
        <v>1</v>
      </c>
      <c r="I5147" s="788">
        <v>42166</v>
      </c>
      <c r="J5147" s="788">
        <v>42146</v>
      </c>
      <c r="K5147" s="788">
        <v>41311</v>
      </c>
      <c r="L5147" s="787">
        <v>0.86</v>
      </c>
      <c r="M5147" s="787">
        <v>20</v>
      </c>
      <c r="N5147" s="787">
        <v>0.92</v>
      </c>
      <c r="O5147" s="788">
        <v>42162</v>
      </c>
    </row>
    <row r="5148" spans="1:15" x14ac:dyDescent="0.25">
      <c r="A5148" s="786" t="s">
        <v>9806</v>
      </c>
      <c r="B5148" s="787">
        <v>4</v>
      </c>
      <c r="C5148" s="787" t="s">
        <v>9691</v>
      </c>
      <c r="D5148" s="787">
        <v>8.5500000000000007</v>
      </c>
      <c r="E5148" s="787">
        <v>8.5500000000000007</v>
      </c>
      <c r="F5148" s="788">
        <v>41990</v>
      </c>
      <c r="G5148" s="788">
        <v>42013</v>
      </c>
      <c r="H5148" s="787">
        <v>1</v>
      </c>
      <c r="I5148" s="788">
        <v>42082</v>
      </c>
      <c r="J5148" s="788">
        <v>41988</v>
      </c>
      <c r="K5148" s="788">
        <v>41589</v>
      </c>
      <c r="L5148" s="787">
        <v>8.66</v>
      </c>
      <c r="M5148" s="787">
        <v>20</v>
      </c>
      <c r="N5148" s="787">
        <v>10.43</v>
      </c>
      <c r="O5148" s="788">
        <v>42146</v>
      </c>
    </row>
    <row r="5149" spans="1:15" x14ac:dyDescent="0.25">
      <c r="A5149" s="786" t="s">
        <v>9807</v>
      </c>
      <c r="B5149" s="787">
        <v>4</v>
      </c>
      <c r="C5149" s="787" t="s">
        <v>9662</v>
      </c>
      <c r="D5149" s="787">
        <v>4.0199999999999996</v>
      </c>
      <c r="E5149" s="787">
        <v>4.8</v>
      </c>
      <c r="F5149" s="788">
        <v>40155</v>
      </c>
      <c r="G5149" s="788">
        <v>40914</v>
      </c>
      <c r="H5149" s="787">
        <v>6</v>
      </c>
      <c r="I5149" s="788">
        <v>41920</v>
      </c>
      <c r="J5149" s="788">
        <v>41655</v>
      </c>
      <c r="K5149" s="788">
        <v>40745</v>
      </c>
      <c r="L5149" s="787">
        <v>4.2699999999999996</v>
      </c>
      <c r="M5149" s="787">
        <v>20</v>
      </c>
      <c r="N5149" s="787">
        <v>5.78</v>
      </c>
      <c r="O5149" s="788">
        <v>41821</v>
      </c>
    </row>
    <row r="5150" spans="1:15" x14ac:dyDescent="0.25">
      <c r="A5150" s="786" t="s">
        <v>9808</v>
      </c>
      <c r="B5150" s="787">
        <v>4</v>
      </c>
      <c r="C5150" s="787" t="s">
        <v>9662</v>
      </c>
      <c r="D5150" s="787">
        <v>3.22</v>
      </c>
      <c r="E5150" s="787">
        <v>10.29</v>
      </c>
      <c r="F5150" s="788">
        <v>37642</v>
      </c>
      <c r="G5150" s="788">
        <v>42013</v>
      </c>
      <c r="H5150" s="787">
        <v>1</v>
      </c>
      <c r="I5150" s="788">
        <v>41947</v>
      </c>
      <c r="J5150" s="788">
        <v>40465</v>
      </c>
      <c r="K5150" s="788">
        <v>40135</v>
      </c>
      <c r="L5150" s="787">
        <v>5.61</v>
      </c>
      <c r="M5150" s="787">
        <v>20</v>
      </c>
      <c r="N5150" s="787">
        <v>6.75</v>
      </c>
      <c r="O5150" s="788">
        <v>41858</v>
      </c>
    </row>
    <row r="5151" spans="1:15" x14ac:dyDescent="0.25">
      <c r="A5151" s="786" t="s">
        <v>9809</v>
      </c>
      <c r="B5151" s="787">
        <v>4</v>
      </c>
      <c r="C5151" s="787" t="s">
        <v>9662</v>
      </c>
      <c r="D5151" s="787">
        <v>0.63</v>
      </c>
      <c r="E5151" s="787">
        <v>0.63</v>
      </c>
      <c r="F5151" s="788">
        <v>37642</v>
      </c>
      <c r="G5151" s="788">
        <v>37642</v>
      </c>
      <c r="H5151" s="787">
        <v>1</v>
      </c>
      <c r="I5151" s="788">
        <v>40843</v>
      </c>
      <c r="J5151" s="788">
        <v>37642</v>
      </c>
      <c r="L5151" s="787">
        <v>0.77</v>
      </c>
      <c r="M5151" s="787">
        <v>20</v>
      </c>
      <c r="N5151" s="787">
        <v>0.93</v>
      </c>
      <c r="O5151" s="788">
        <v>41858</v>
      </c>
    </row>
    <row r="5152" spans="1:15" x14ac:dyDescent="0.25">
      <c r="A5152" s="786" t="s">
        <v>9810</v>
      </c>
      <c r="B5152" s="787">
        <v>4</v>
      </c>
      <c r="C5152" s="787" t="s">
        <v>9811</v>
      </c>
      <c r="D5152" s="787">
        <v>0.12</v>
      </c>
      <c r="E5152" s="787">
        <v>21.93</v>
      </c>
      <c r="F5152" s="788">
        <v>39101</v>
      </c>
      <c r="G5152" s="788">
        <v>41282</v>
      </c>
      <c r="H5152" s="787">
        <v>1</v>
      </c>
      <c r="I5152" s="788">
        <v>41831</v>
      </c>
      <c r="J5152" s="788">
        <v>41834</v>
      </c>
      <c r="K5152" s="788">
        <v>41869</v>
      </c>
      <c r="L5152" s="787">
        <v>21.93</v>
      </c>
      <c r="M5152" s="787">
        <v>20</v>
      </c>
      <c r="N5152" s="787">
        <v>41.54</v>
      </c>
      <c r="O5152" s="788">
        <v>41858</v>
      </c>
    </row>
    <row r="5153" spans="1:15" x14ac:dyDescent="0.25">
      <c r="A5153" s="786" t="s">
        <v>9812</v>
      </c>
      <c r="B5153" s="787">
        <v>4</v>
      </c>
      <c r="C5153" s="787" t="s">
        <v>9778</v>
      </c>
      <c r="D5153" s="787">
        <v>0.73</v>
      </c>
      <c r="E5153" s="787">
        <v>0.9</v>
      </c>
      <c r="F5153" s="788">
        <v>40248</v>
      </c>
      <c r="G5153" s="788">
        <v>42013</v>
      </c>
      <c r="H5153" s="787">
        <v>1</v>
      </c>
      <c r="I5153" s="788">
        <v>42016</v>
      </c>
      <c r="J5153" s="788">
        <v>40365</v>
      </c>
      <c r="K5153" s="788">
        <v>40364</v>
      </c>
      <c r="L5153" s="787">
        <v>0.87</v>
      </c>
      <c r="M5153" s="787">
        <v>20</v>
      </c>
      <c r="N5153" s="787">
        <v>1.05</v>
      </c>
      <c r="O5153" s="788">
        <v>42163</v>
      </c>
    </row>
    <row r="5154" spans="1:15" x14ac:dyDescent="0.25">
      <c r="A5154" s="786" t="s">
        <v>9813</v>
      </c>
      <c r="B5154" s="787">
        <v>4</v>
      </c>
      <c r="C5154" s="787" t="s">
        <v>9662</v>
      </c>
      <c r="D5154" s="787">
        <v>7.88</v>
      </c>
      <c r="E5154" s="787">
        <v>7.88</v>
      </c>
      <c r="F5154" s="788">
        <v>39101</v>
      </c>
      <c r="G5154" s="788">
        <v>39101</v>
      </c>
      <c r="H5154" s="787">
        <v>6</v>
      </c>
      <c r="I5154" s="788">
        <v>39134</v>
      </c>
      <c r="J5154" s="788">
        <v>39149</v>
      </c>
      <c r="K5154" s="788">
        <v>41865</v>
      </c>
      <c r="L5154" s="787">
        <v>7.5</v>
      </c>
      <c r="M5154" s="787">
        <v>20</v>
      </c>
      <c r="N5154" s="787">
        <v>3.05</v>
      </c>
      <c r="O5154" s="788">
        <v>41858</v>
      </c>
    </row>
    <row r="5155" spans="1:15" x14ac:dyDescent="0.25">
      <c r="A5155" s="786" t="s">
        <v>9814</v>
      </c>
      <c r="B5155" s="787">
        <v>4</v>
      </c>
      <c r="C5155" s="787" t="s">
        <v>9815</v>
      </c>
      <c r="D5155" s="787">
        <v>4.45</v>
      </c>
      <c r="E5155" s="787">
        <v>19.73</v>
      </c>
      <c r="F5155" s="788">
        <v>39878</v>
      </c>
      <c r="G5155" s="788">
        <v>42030</v>
      </c>
      <c r="H5155" s="787">
        <v>1</v>
      </c>
      <c r="I5155" s="788">
        <v>42136</v>
      </c>
      <c r="J5155" s="788">
        <v>42020</v>
      </c>
      <c r="K5155" s="788">
        <v>41039</v>
      </c>
      <c r="L5155" s="787">
        <v>24.1</v>
      </c>
      <c r="M5155" s="787">
        <v>20</v>
      </c>
      <c r="N5155" s="787">
        <v>29.02</v>
      </c>
      <c r="O5155" s="788">
        <v>42053</v>
      </c>
    </row>
    <row r="5156" spans="1:15" x14ac:dyDescent="0.25">
      <c r="A5156" s="786" t="s">
        <v>9816</v>
      </c>
      <c r="B5156" s="787">
        <v>4</v>
      </c>
      <c r="C5156" s="787" t="s">
        <v>9691</v>
      </c>
      <c r="D5156" s="787">
        <v>2.54</v>
      </c>
      <c r="E5156" s="787">
        <v>2.54</v>
      </c>
      <c r="F5156" s="788">
        <v>38047</v>
      </c>
      <c r="G5156" s="788">
        <v>38047</v>
      </c>
      <c r="H5156" s="787">
        <v>1</v>
      </c>
      <c r="I5156" s="788">
        <v>41452</v>
      </c>
      <c r="J5156" s="788">
        <v>39206</v>
      </c>
      <c r="L5156" s="787">
        <v>3.1</v>
      </c>
      <c r="M5156" s="787">
        <v>20</v>
      </c>
      <c r="N5156" s="787">
        <v>3.73</v>
      </c>
      <c r="O5156" s="788">
        <v>41858</v>
      </c>
    </row>
    <row r="5157" spans="1:15" x14ac:dyDescent="0.25">
      <c r="A5157" s="786" t="s">
        <v>9817</v>
      </c>
      <c r="B5157" s="787">
        <v>4</v>
      </c>
      <c r="C5157" s="787" t="s">
        <v>9662</v>
      </c>
      <c r="D5157" s="787">
        <v>3.68</v>
      </c>
      <c r="E5157" s="787">
        <v>5.26</v>
      </c>
      <c r="F5157" s="788">
        <v>39974</v>
      </c>
      <c r="G5157" s="788">
        <v>42013</v>
      </c>
      <c r="H5157" s="787">
        <v>1</v>
      </c>
      <c r="I5157" s="788">
        <v>41061</v>
      </c>
      <c r="J5157" s="788">
        <v>40137</v>
      </c>
      <c r="K5157" s="788">
        <v>41865</v>
      </c>
      <c r="L5157" s="787">
        <v>5.18</v>
      </c>
      <c r="M5157" s="787">
        <v>20</v>
      </c>
      <c r="N5157" s="787">
        <v>2.78</v>
      </c>
      <c r="O5157" s="788">
        <v>41858</v>
      </c>
    </row>
    <row r="5158" spans="1:15" x14ac:dyDescent="0.25">
      <c r="A5158" s="786" t="s">
        <v>9818</v>
      </c>
      <c r="B5158" s="787">
        <v>4</v>
      </c>
      <c r="C5158" s="787" t="s">
        <v>9662</v>
      </c>
      <c r="D5158" s="787">
        <v>1.26</v>
      </c>
      <c r="E5158" s="787">
        <v>1.44</v>
      </c>
      <c r="F5158" s="788">
        <v>39101</v>
      </c>
      <c r="G5158" s="788">
        <v>42030</v>
      </c>
      <c r="H5158" s="787">
        <v>1</v>
      </c>
      <c r="I5158" s="788">
        <v>42111</v>
      </c>
      <c r="J5158" s="788">
        <v>42020</v>
      </c>
      <c r="K5158" s="788">
        <v>40561</v>
      </c>
      <c r="L5158" s="787">
        <v>1.49</v>
      </c>
      <c r="M5158" s="787">
        <v>20</v>
      </c>
      <c r="N5158" s="787">
        <v>1.79</v>
      </c>
      <c r="O5158" s="788">
        <v>42163</v>
      </c>
    </row>
    <row r="5159" spans="1:15" x14ac:dyDescent="0.25">
      <c r="A5159" s="786" t="s">
        <v>9819</v>
      </c>
      <c r="B5159" s="787">
        <v>4</v>
      </c>
      <c r="C5159" s="787" t="s">
        <v>9820</v>
      </c>
      <c r="D5159" s="787">
        <v>1.29</v>
      </c>
      <c r="E5159" s="787">
        <v>1.73</v>
      </c>
      <c r="F5159" s="788">
        <v>39101</v>
      </c>
      <c r="G5159" s="788">
        <v>42165</v>
      </c>
      <c r="H5159" s="787">
        <v>1</v>
      </c>
      <c r="I5159" s="788">
        <v>42166</v>
      </c>
      <c r="J5159" s="788">
        <v>42156</v>
      </c>
      <c r="K5159" s="788">
        <v>41583</v>
      </c>
      <c r="L5159" s="787">
        <v>1.7</v>
      </c>
      <c r="M5159" s="787">
        <v>20</v>
      </c>
      <c r="N5159" s="787">
        <v>2.0499999999999998</v>
      </c>
      <c r="O5159" s="788">
        <v>42164</v>
      </c>
    </row>
    <row r="5160" spans="1:15" x14ac:dyDescent="0.25">
      <c r="A5160" s="786" t="s">
        <v>9821</v>
      </c>
      <c r="B5160" s="787">
        <v>4</v>
      </c>
      <c r="C5160" s="787" t="s">
        <v>9662</v>
      </c>
      <c r="D5160" s="787">
        <v>1.23</v>
      </c>
      <c r="E5160" s="787">
        <v>1.46</v>
      </c>
      <c r="F5160" s="788">
        <v>39101</v>
      </c>
      <c r="G5160" s="788">
        <v>42013</v>
      </c>
      <c r="H5160" s="787">
        <v>1</v>
      </c>
      <c r="I5160" s="788">
        <v>41297</v>
      </c>
      <c r="J5160" s="788">
        <v>41813</v>
      </c>
      <c r="K5160" s="788">
        <v>40463</v>
      </c>
      <c r="L5160" s="787">
        <v>1.47</v>
      </c>
      <c r="M5160" s="787">
        <v>20</v>
      </c>
      <c r="N5160" s="787">
        <v>1.77</v>
      </c>
      <c r="O5160" s="788">
        <v>42163</v>
      </c>
    </row>
    <row r="5161" spans="1:15" x14ac:dyDescent="0.25">
      <c r="A5161" s="786" t="s">
        <v>9822</v>
      </c>
      <c r="B5161" s="787">
        <v>4</v>
      </c>
      <c r="C5161" s="787" t="s">
        <v>9823</v>
      </c>
      <c r="D5161" s="787">
        <v>3.37</v>
      </c>
      <c r="E5161" s="787">
        <v>4.38</v>
      </c>
      <c r="F5161" s="788">
        <v>40633</v>
      </c>
      <c r="G5161" s="788">
        <v>42156</v>
      </c>
      <c r="H5161" s="787">
        <v>1</v>
      </c>
      <c r="I5161" s="788">
        <v>42164</v>
      </c>
      <c r="J5161" s="788">
        <v>42156</v>
      </c>
      <c r="K5161" s="788">
        <v>41547</v>
      </c>
      <c r="L5161" s="787">
        <v>4.04</v>
      </c>
      <c r="M5161" s="787">
        <v>20</v>
      </c>
      <c r="N5161" s="787">
        <v>4.34</v>
      </c>
      <c r="O5161" s="788">
        <v>42146</v>
      </c>
    </row>
    <row r="5162" spans="1:15" x14ac:dyDescent="0.25">
      <c r="A5162" s="786" t="s">
        <v>9824</v>
      </c>
      <c r="B5162" s="787">
        <v>4</v>
      </c>
      <c r="C5162" s="787" t="s">
        <v>9778</v>
      </c>
      <c r="D5162" s="787">
        <v>0</v>
      </c>
      <c r="E5162" s="787">
        <v>0</v>
      </c>
      <c r="H5162" s="787">
        <v>1</v>
      </c>
      <c r="I5162" s="788">
        <v>40249</v>
      </c>
      <c r="L5162" s="787">
        <v>0</v>
      </c>
      <c r="M5162" s="787">
        <v>20</v>
      </c>
      <c r="N5162" s="787">
        <v>0</v>
      </c>
      <c r="O5162" s="788">
        <v>40824</v>
      </c>
    </row>
    <row r="5163" spans="1:15" x14ac:dyDescent="0.25">
      <c r="A5163" s="786" t="s">
        <v>836</v>
      </c>
      <c r="B5163" s="787">
        <v>4</v>
      </c>
      <c r="C5163" s="787" t="s">
        <v>9662</v>
      </c>
      <c r="D5163" s="787">
        <v>8.82</v>
      </c>
      <c r="E5163" s="787">
        <v>9.52</v>
      </c>
      <c r="F5163" s="788">
        <v>39101</v>
      </c>
      <c r="G5163" s="788">
        <v>42156</v>
      </c>
      <c r="H5163" s="787">
        <v>1</v>
      </c>
      <c r="I5163" s="788">
        <v>42156</v>
      </c>
      <c r="J5163" s="788">
        <v>42156</v>
      </c>
      <c r="L5163" s="787">
        <v>9.23</v>
      </c>
      <c r="M5163" s="787">
        <v>20</v>
      </c>
      <c r="N5163" s="787">
        <v>11.11</v>
      </c>
      <c r="O5163" s="788">
        <v>41955</v>
      </c>
    </row>
    <row r="5164" spans="1:15" x14ac:dyDescent="0.25">
      <c r="A5164" s="786" t="s">
        <v>9825</v>
      </c>
      <c r="B5164" s="787">
        <v>4</v>
      </c>
      <c r="C5164" s="787" t="s">
        <v>9662</v>
      </c>
      <c r="D5164" s="787">
        <v>4.41</v>
      </c>
      <c r="E5164" s="787">
        <v>4.53</v>
      </c>
      <c r="F5164" s="788">
        <v>39101</v>
      </c>
      <c r="G5164" s="788">
        <v>42143</v>
      </c>
      <c r="H5164" s="787">
        <v>1</v>
      </c>
      <c r="I5164" s="788">
        <v>42156</v>
      </c>
      <c r="J5164" s="788">
        <v>42121</v>
      </c>
      <c r="K5164" s="788">
        <v>41583</v>
      </c>
      <c r="L5164" s="787">
        <v>4.5199999999999996</v>
      </c>
      <c r="M5164" s="787">
        <v>20</v>
      </c>
      <c r="N5164" s="787">
        <v>5.44</v>
      </c>
      <c r="O5164" s="788">
        <v>42163</v>
      </c>
    </row>
    <row r="5165" spans="1:15" x14ac:dyDescent="0.25">
      <c r="A5165" s="786" t="s">
        <v>835</v>
      </c>
      <c r="B5165" s="787">
        <v>4</v>
      </c>
      <c r="C5165" s="787" t="s">
        <v>9662</v>
      </c>
      <c r="D5165" s="787">
        <v>9.3800000000000008</v>
      </c>
      <c r="E5165" s="787">
        <v>13.85</v>
      </c>
      <c r="F5165" s="788">
        <v>39975</v>
      </c>
      <c r="G5165" s="788">
        <v>42013</v>
      </c>
      <c r="H5165" s="787">
        <v>1</v>
      </c>
      <c r="I5165" s="788">
        <v>42156</v>
      </c>
      <c r="J5165" s="788">
        <v>41719</v>
      </c>
      <c r="K5165" s="788">
        <v>41071</v>
      </c>
      <c r="L5165" s="787">
        <v>12</v>
      </c>
      <c r="M5165" s="787">
        <v>20</v>
      </c>
      <c r="N5165" s="787">
        <v>14.45</v>
      </c>
      <c r="O5165" s="788">
        <v>41858</v>
      </c>
    </row>
    <row r="5166" spans="1:15" x14ac:dyDescent="0.25">
      <c r="A5166" s="786" t="s">
        <v>9826</v>
      </c>
      <c r="B5166" s="787">
        <v>4</v>
      </c>
      <c r="C5166" s="787" t="s">
        <v>9662</v>
      </c>
      <c r="D5166" s="787">
        <v>0</v>
      </c>
      <c r="E5166" s="787">
        <v>0</v>
      </c>
      <c r="H5166" s="787">
        <v>1</v>
      </c>
      <c r="I5166" s="788">
        <v>41953</v>
      </c>
      <c r="J5166" s="788">
        <v>41954</v>
      </c>
      <c r="K5166" s="788">
        <v>41877</v>
      </c>
      <c r="L5166" s="787">
        <v>4.26</v>
      </c>
      <c r="M5166" s="787">
        <v>20</v>
      </c>
      <c r="N5166" s="787">
        <v>4.58</v>
      </c>
      <c r="O5166" s="788">
        <v>42023</v>
      </c>
    </row>
    <row r="5167" spans="1:15" x14ac:dyDescent="0.25">
      <c r="A5167" s="786" t="s">
        <v>9827</v>
      </c>
      <c r="B5167" s="787">
        <v>4</v>
      </c>
      <c r="C5167" s="787" t="s">
        <v>9662</v>
      </c>
      <c r="D5167" s="787">
        <v>2.88</v>
      </c>
      <c r="E5167" s="787">
        <v>3.11</v>
      </c>
      <c r="F5167" s="788">
        <v>39101</v>
      </c>
      <c r="G5167" s="788">
        <v>41943</v>
      </c>
      <c r="H5167" s="787">
        <v>1</v>
      </c>
      <c r="I5167" s="788">
        <v>41313</v>
      </c>
      <c r="J5167" s="788">
        <v>39149</v>
      </c>
      <c r="L5167" s="787">
        <v>3.14</v>
      </c>
      <c r="M5167" s="787">
        <v>20</v>
      </c>
      <c r="N5167" s="787">
        <v>3.78</v>
      </c>
      <c r="O5167" s="788">
        <v>41858</v>
      </c>
    </row>
    <row r="5168" spans="1:15" x14ac:dyDescent="0.25">
      <c r="A5168" s="786" t="s">
        <v>9828</v>
      </c>
      <c r="B5168" s="787">
        <v>4</v>
      </c>
      <c r="C5168" s="787" t="s">
        <v>9662</v>
      </c>
      <c r="D5168" s="787">
        <v>2.85</v>
      </c>
      <c r="E5168" s="787">
        <v>3.51</v>
      </c>
      <c r="F5168" s="788">
        <v>39101</v>
      </c>
      <c r="G5168" s="788">
        <v>42121</v>
      </c>
      <c r="H5168" s="787">
        <v>1</v>
      </c>
      <c r="I5168" s="788">
        <v>42166</v>
      </c>
      <c r="J5168" s="788">
        <v>42075</v>
      </c>
      <c r="K5168" s="788">
        <v>40294</v>
      </c>
      <c r="L5168" s="787">
        <v>3.44</v>
      </c>
      <c r="M5168" s="787">
        <v>20</v>
      </c>
      <c r="N5168" s="787">
        <v>4.1399999999999997</v>
      </c>
      <c r="O5168" s="788">
        <v>42146</v>
      </c>
    </row>
    <row r="5169" spans="1:15" x14ac:dyDescent="0.25">
      <c r="A5169" s="786" t="s">
        <v>9829</v>
      </c>
      <c r="B5169" s="787">
        <v>4</v>
      </c>
      <c r="C5169" s="787" t="s">
        <v>9662</v>
      </c>
      <c r="D5169" s="787">
        <v>6.49</v>
      </c>
      <c r="E5169" s="787">
        <v>7.35</v>
      </c>
      <c r="F5169" s="788">
        <v>39101</v>
      </c>
      <c r="G5169" s="788">
        <v>42013</v>
      </c>
      <c r="H5169" s="787">
        <v>1</v>
      </c>
      <c r="I5169" s="788">
        <v>42048</v>
      </c>
      <c r="J5169" s="788">
        <v>41687</v>
      </c>
      <c r="K5169" s="788">
        <v>40339</v>
      </c>
      <c r="L5169" s="787">
        <v>7.25</v>
      </c>
      <c r="M5169" s="787">
        <v>20</v>
      </c>
      <c r="N5169" s="787">
        <v>8.73</v>
      </c>
      <c r="O5169" s="788">
        <v>42163</v>
      </c>
    </row>
    <row r="5170" spans="1:15" x14ac:dyDescent="0.25">
      <c r="A5170" s="786" t="s">
        <v>9830</v>
      </c>
      <c r="B5170" s="787">
        <v>4</v>
      </c>
      <c r="C5170" s="787" t="s">
        <v>9811</v>
      </c>
      <c r="D5170" s="787">
        <v>1.54</v>
      </c>
      <c r="E5170" s="787">
        <v>21.54</v>
      </c>
      <c r="F5170" s="788">
        <v>41778</v>
      </c>
      <c r="G5170" s="788">
        <v>42013</v>
      </c>
      <c r="H5170" s="787">
        <v>1</v>
      </c>
      <c r="I5170" s="788">
        <v>42088</v>
      </c>
      <c r="J5170" s="788">
        <v>42080</v>
      </c>
      <c r="K5170" s="788">
        <v>41865</v>
      </c>
      <c r="L5170" s="787">
        <v>25.09</v>
      </c>
      <c r="M5170" s="787">
        <v>20</v>
      </c>
      <c r="N5170" s="787">
        <v>6.85</v>
      </c>
      <c r="O5170" s="788">
        <v>41858</v>
      </c>
    </row>
    <row r="5171" spans="1:15" x14ac:dyDescent="0.25">
      <c r="A5171" s="786" t="s">
        <v>9831</v>
      </c>
      <c r="B5171" s="787">
        <v>4</v>
      </c>
      <c r="C5171" s="787" t="s">
        <v>9662</v>
      </c>
      <c r="D5171" s="787">
        <v>0.76</v>
      </c>
      <c r="E5171" s="787">
        <v>0.76</v>
      </c>
      <c r="F5171" s="788">
        <v>39101</v>
      </c>
      <c r="G5171" s="788">
        <v>39101</v>
      </c>
      <c r="H5171" s="787">
        <v>1</v>
      </c>
      <c r="I5171" s="788">
        <v>40875</v>
      </c>
      <c r="J5171" s="788">
        <v>39149</v>
      </c>
      <c r="L5171" s="787">
        <v>0.7</v>
      </c>
      <c r="M5171" s="787">
        <v>20</v>
      </c>
      <c r="N5171" s="787">
        <v>0.84</v>
      </c>
      <c r="O5171" s="788">
        <v>41955</v>
      </c>
    </row>
    <row r="5172" spans="1:15" x14ac:dyDescent="0.25">
      <c r="A5172" s="786" t="s">
        <v>9832</v>
      </c>
      <c r="B5172" s="787">
        <v>4</v>
      </c>
      <c r="C5172" s="787" t="s">
        <v>9662</v>
      </c>
      <c r="D5172" s="787">
        <v>0</v>
      </c>
      <c r="E5172" s="787">
        <v>0</v>
      </c>
      <c r="G5172" s="788">
        <v>42017</v>
      </c>
      <c r="H5172" s="787">
        <v>1</v>
      </c>
      <c r="I5172" s="788">
        <v>41842</v>
      </c>
      <c r="L5172" s="787">
        <v>3.45</v>
      </c>
      <c r="M5172" s="787">
        <v>20</v>
      </c>
      <c r="N5172" s="787">
        <v>3.71</v>
      </c>
      <c r="O5172" s="788">
        <v>41858</v>
      </c>
    </row>
    <row r="5173" spans="1:15" x14ac:dyDescent="0.25">
      <c r="A5173" s="786" t="s">
        <v>9833</v>
      </c>
      <c r="B5173" s="787">
        <v>4</v>
      </c>
      <c r="C5173" s="787" t="s">
        <v>9691</v>
      </c>
      <c r="D5173" s="787">
        <v>2.4300000000000002</v>
      </c>
      <c r="E5173" s="787">
        <v>2.4300000000000002</v>
      </c>
      <c r="F5173" s="788">
        <v>37642</v>
      </c>
      <c r="G5173" s="788">
        <v>37642</v>
      </c>
      <c r="H5173" s="787">
        <v>1</v>
      </c>
      <c r="I5173" s="788">
        <v>38245</v>
      </c>
      <c r="J5173" s="788">
        <v>37642</v>
      </c>
      <c r="L5173" s="787">
        <v>2.97</v>
      </c>
      <c r="M5173" s="787">
        <v>20</v>
      </c>
      <c r="N5173" s="787">
        <v>3.58</v>
      </c>
      <c r="O5173" s="788">
        <v>41858</v>
      </c>
    </row>
    <row r="5174" spans="1:15" x14ac:dyDescent="0.25">
      <c r="A5174" s="786" t="s">
        <v>9834</v>
      </c>
      <c r="B5174" s="787">
        <v>4</v>
      </c>
      <c r="C5174" s="787" t="s">
        <v>9662</v>
      </c>
      <c r="D5174" s="787">
        <v>3.32</v>
      </c>
      <c r="E5174" s="787">
        <v>3.32</v>
      </c>
      <c r="F5174" s="788">
        <v>37642</v>
      </c>
      <c r="G5174" s="788">
        <v>37642</v>
      </c>
      <c r="H5174" s="787">
        <v>1</v>
      </c>
      <c r="I5174" s="788">
        <v>40046</v>
      </c>
      <c r="J5174" s="788">
        <v>37642</v>
      </c>
      <c r="L5174" s="787">
        <v>4.05</v>
      </c>
      <c r="M5174" s="787">
        <v>20</v>
      </c>
      <c r="N5174" s="787">
        <v>4.88</v>
      </c>
      <c r="O5174" s="788">
        <v>41858</v>
      </c>
    </row>
    <row r="5175" spans="1:15" x14ac:dyDescent="0.25">
      <c r="A5175" s="786" t="s">
        <v>9835</v>
      </c>
      <c r="B5175" s="787">
        <v>4</v>
      </c>
      <c r="C5175" s="787" t="s">
        <v>9662</v>
      </c>
      <c r="D5175" s="787">
        <v>1.46</v>
      </c>
      <c r="E5175" s="787">
        <v>3.57</v>
      </c>
      <c r="F5175" s="788">
        <v>37642</v>
      </c>
      <c r="G5175" s="788">
        <v>42023</v>
      </c>
      <c r="H5175" s="787">
        <v>1</v>
      </c>
      <c r="I5175" s="788">
        <v>41943</v>
      </c>
      <c r="J5175" s="788">
        <v>42018</v>
      </c>
      <c r="K5175" s="788">
        <v>42023</v>
      </c>
      <c r="L5175" s="787">
        <v>2.48</v>
      </c>
      <c r="M5175" s="787">
        <v>20</v>
      </c>
      <c r="N5175" s="787">
        <v>2.99</v>
      </c>
      <c r="O5175" s="788">
        <v>42023</v>
      </c>
    </row>
    <row r="5176" spans="1:15" x14ac:dyDescent="0.25">
      <c r="A5176" s="786" t="s">
        <v>9836</v>
      </c>
      <c r="B5176" s="787">
        <v>4</v>
      </c>
      <c r="C5176" s="787" t="s">
        <v>9755</v>
      </c>
      <c r="D5176" s="787">
        <v>3.5</v>
      </c>
      <c r="E5176" s="787">
        <v>13.5</v>
      </c>
      <c r="F5176" s="788">
        <v>41509</v>
      </c>
      <c r="G5176" s="788">
        <v>42013</v>
      </c>
      <c r="H5176" s="787">
        <v>1</v>
      </c>
      <c r="I5176" s="788">
        <v>41522</v>
      </c>
      <c r="J5176" s="788">
        <v>41507</v>
      </c>
      <c r="L5176" s="787">
        <v>13.5</v>
      </c>
      <c r="M5176" s="787">
        <v>20</v>
      </c>
      <c r="N5176" s="787">
        <v>16.25</v>
      </c>
      <c r="O5176" s="788">
        <v>41858</v>
      </c>
    </row>
    <row r="5177" spans="1:15" x14ac:dyDescent="0.25">
      <c r="A5177" s="786" t="s">
        <v>9837</v>
      </c>
      <c r="B5177" s="787">
        <v>4</v>
      </c>
      <c r="C5177" s="787" t="s">
        <v>9691</v>
      </c>
      <c r="D5177" s="787">
        <v>2.91</v>
      </c>
      <c r="E5177" s="787">
        <v>4.74</v>
      </c>
      <c r="F5177" s="788">
        <v>38656</v>
      </c>
      <c r="G5177" s="788">
        <v>42013</v>
      </c>
      <c r="H5177" s="787">
        <v>1</v>
      </c>
      <c r="I5177" s="788">
        <v>41971</v>
      </c>
      <c r="J5177" s="788">
        <v>41526</v>
      </c>
      <c r="L5177" s="787">
        <v>3.83</v>
      </c>
      <c r="M5177" s="787">
        <v>20</v>
      </c>
      <c r="N5177" s="787">
        <v>4.6100000000000003</v>
      </c>
      <c r="O5177" s="788">
        <v>41858</v>
      </c>
    </row>
    <row r="5178" spans="1:15" x14ac:dyDescent="0.25">
      <c r="A5178" s="786" t="s">
        <v>9838</v>
      </c>
      <c r="B5178" s="787">
        <v>4</v>
      </c>
      <c r="C5178" s="787" t="s">
        <v>9662</v>
      </c>
      <c r="D5178" s="787">
        <v>3.67</v>
      </c>
      <c r="E5178" s="787">
        <v>3.67</v>
      </c>
      <c r="F5178" s="788">
        <v>41411</v>
      </c>
      <c r="G5178" s="788">
        <v>42013</v>
      </c>
      <c r="H5178" s="787">
        <v>1</v>
      </c>
      <c r="I5178" s="788">
        <v>41402</v>
      </c>
      <c r="J5178" s="788">
        <v>41407</v>
      </c>
      <c r="L5178" s="787">
        <v>4.54</v>
      </c>
      <c r="M5178" s="787">
        <v>20</v>
      </c>
      <c r="N5178" s="787">
        <v>5.47</v>
      </c>
      <c r="O5178" s="788">
        <v>42163</v>
      </c>
    </row>
    <row r="5179" spans="1:15" x14ac:dyDescent="0.25">
      <c r="A5179" s="786" t="s">
        <v>9839</v>
      </c>
      <c r="B5179" s="787">
        <v>4</v>
      </c>
      <c r="C5179" s="787" t="s">
        <v>9662</v>
      </c>
      <c r="D5179" s="787">
        <v>1.51</v>
      </c>
      <c r="E5179" s="787">
        <v>1.97</v>
      </c>
      <c r="F5179" s="788">
        <v>39101</v>
      </c>
      <c r="G5179" s="788">
        <v>42064</v>
      </c>
      <c r="H5179" s="787">
        <v>1</v>
      </c>
      <c r="I5179" s="788">
        <v>42040</v>
      </c>
      <c r="J5179" s="788">
        <v>42054</v>
      </c>
      <c r="K5179" s="788">
        <v>41862</v>
      </c>
      <c r="L5179" s="787">
        <v>1.88</v>
      </c>
      <c r="M5179" s="787">
        <v>20</v>
      </c>
      <c r="N5179" s="787">
        <v>2.2599999999999998</v>
      </c>
      <c r="O5179" s="788">
        <v>42144</v>
      </c>
    </row>
    <row r="5180" spans="1:15" x14ac:dyDescent="0.25">
      <c r="A5180" s="786" t="s">
        <v>9840</v>
      </c>
      <c r="B5180" s="787">
        <v>4</v>
      </c>
      <c r="C5180" s="787" t="s">
        <v>9662</v>
      </c>
      <c r="D5180" s="787">
        <v>2.14</v>
      </c>
      <c r="E5180" s="787">
        <v>2.14</v>
      </c>
      <c r="F5180" s="788">
        <v>37642</v>
      </c>
      <c r="G5180" s="788">
        <v>37642</v>
      </c>
      <c r="H5180" s="787">
        <v>1</v>
      </c>
      <c r="I5180" s="788">
        <v>40081</v>
      </c>
      <c r="J5180" s="788">
        <v>37642</v>
      </c>
      <c r="L5180" s="787">
        <v>2.61</v>
      </c>
      <c r="M5180" s="787">
        <v>20</v>
      </c>
      <c r="N5180" s="787">
        <v>3.14</v>
      </c>
      <c r="O5180" s="788">
        <v>41858</v>
      </c>
    </row>
    <row r="5181" spans="1:15" x14ac:dyDescent="0.25">
      <c r="A5181" s="786" t="s">
        <v>9841</v>
      </c>
      <c r="B5181" s="787">
        <v>4</v>
      </c>
      <c r="C5181" s="787" t="s">
        <v>9691</v>
      </c>
      <c r="D5181" s="787">
        <v>6.03</v>
      </c>
      <c r="E5181" s="787">
        <v>9.02</v>
      </c>
      <c r="F5181" s="788">
        <v>39101</v>
      </c>
      <c r="G5181" s="788">
        <v>42013</v>
      </c>
      <c r="H5181" s="787">
        <v>1</v>
      </c>
      <c r="I5181" s="788">
        <v>41967</v>
      </c>
      <c r="J5181" s="788">
        <v>40679</v>
      </c>
      <c r="K5181" s="788">
        <v>40673</v>
      </c>
      <c r="L5181" s="787">
        <v>8.49</v>
      </c>
      <c r="M5181" s="787">
        <v>20</v>
      </c>
      <c r="N5181" s="787">
        <v>10.220000000000001</v>
      </c>
      <c r="O5181" s="788">
        <v>42087</v>
      </c>
    </row>
    <row r="5182" spans="1:15" x14ac:dyDescent="0.25">
      <c r="A5182" s="786" t="s">
        <v>9842</v>
      </c>
      <c r="B5182" s="787">
        <v>4</v>
      </c>
      <c r="C5182" s="787" t="s">
        <v>9662</v>
      </c>
      <c r="D5182" s="787">
        <v>0</v>
      </c>
      <c r="E5182" s="787">
        <v>0</v>
      </c>
      <c r="H5182" s="787">
        <v>1</v>
      </c>
      <c r="I5182" s="788">
        <v>36949</v>
      </c>
      <c r="J5182" s="788">
        <v>37642</v>
      </c>
      <c r="L5182" s="787">
        <v>0</v>
      </c>
      <c r="M5182" s="787">
        <v>20</v>
      </c>
      <c r="N5182" s="787">
        <v>0</v>
      </c>
      <c r="O5182" s="788">
        <v>40824</v>
      </c>
    </row>
    <row r="5183" spans="1:15" x14ac:dyDescent="0.25">
      <c r="A5183" s="786" t="s">
        <v>9843</v>
      </c>
      <c r="B5183" s="787">
        <v>4</v>
      </c>
      <c r="C5183" s="787" t="s">
        <v>9844</v>
      </c>
      <c r="D5183" s="787">
        <v>0.02</v>
      </c>
      <c r="E5183" s="787">
        <v>80.02</v>
      </c>
      <c r="F5183" s="788">
        <v>41516</v>
      </c>
      <c r="G5183" s="788">
        <v>42013</v>
      </c>
      <c r="H5183" s="787">
        <v>1</v>
      </c>
      <c r="I5183" s="788">
        <v>41522</v>
      </c>
      <c r="J5183" s="788">
        <v>41584</v>
      </c>
      <c r="L5183" s="787">
        <v>80.02</v>
      </c>
      <c r="M5183" s="787">
        <v>20</v>
      </c>
      <c r="N5183" s="787">
        <v>96.34</v>
      </c>
      <c r="O5183" s="788">
        <v>41858</v>
      </c>
    </row>
    <row r="5184" spans="1:15" x14ac:dyDescent="0.25">
      <c r="A5184" s="786" t="s">
        <v>9845</v>
      </c>
      <c r="B5184" s="787">
        <v>4</v>
      </c>
      <c r="C5184" s="787" t="s">
        <v>9662</v>
      </c>
      <c r="D5184" s="787">
        <v>0.76</v>
      </c>
      <c r="E5184" s="787">
        <v>0.8</v>
      </c>
      <c r="F5184" s="788">
        <v>40603</v>
      </c>
      <c r="G5184" s="788">
        <v>42159</v>
      </c>
      <c r="H5184" s="787">
        <v>1</v>
      </c>
      <c r="I5184" s="788">
        <v>42158</v>
      </c>
      <c r="J5184" s="788">
        <v>42159</v>
      </c>
      <c r="K5184" s="788">
        <v>40602</v>
      </c>
      <c r="L5184" s="787">
        <v>0.73</v>
      </c>
      <c r="M5184" s="787">
        <v>20</v>
      </c>
      <c r="N5184" s="787">
        <v>0.88</v>
      </c>
      <c r="O5184" s="788">
        <v>42163</v>
      </c>
    </row>
    <row r="5185" spans="1:15" x14ac:dyDescent="0.25">
      <c r="A5185" s="786" t="s">
        <v>9846</v>
      </c>
      <c r="B5185" s="787">
        <v>4</v>
      </c>
      <c r="C5185" s="787" t="s">
        <v>9691</v>
      </c>
      <c r="D5185" s="787">
        <v>8.5500000000000007</v>
      </c>
      <c r="E5185" s="787">
        <v>12.72</v>
      </c>
      <c r="F5185" s="788">
        <v>39101</v>
      </c>
      <c r="G5185" s="788">
        <v>41646</v>
      </c>
      <c r="H5185" s="787">
        <v>1</v>
      </c>
      <c r="I5185" s="788">
        <v>41869</v>
      </c>
      <c r="J5185" s="788">
        <v>39647</v>
      </c>
      <c r="L5185" s="787">
        <v>15.94</v>
      </c>
      <c r="M5185" s="787">
        <v>20</v>
      </c>
      <c r="N5185" s="787">
        <v>19.190000000000001</v>
      </c>
      <c r="O5185" s="788">
        <v>41858</v>
      </c>
    </row>
    <row r="5186" spans="1:15" x14ac:dyDescent="0.25">
      <c r="A5186" s="786" t="s">
        <v>9847</v>
      </c>
      <c r="B5186" s="787">
        <v>4</v>
      </c>
      <c r="C5186" s="787" t="s">
        <v>9848</v>
      </c>
      <c r="D5186" s="787">
        <v>2.58</v>
      </c>
      <c r="E5186" s="787">
        <v>9.74</v>
      </c>
      <c r="F5186" s="788">
        <v>41043</v>
      </c>
      <c r="G5186" s="788">
        <v>41974</v>
      </c>
      <c r="H5186" s="787">
        <v>1</v>
      </c>
      <c r="I5186" s="788">
        <v>41974</v>
      </c>
      <c r="J5186" s="788">
        <v>41967</v>
      </c>
      <c r="K5186" s="788">
        <v>41299</v>
      </c>
      <c r="L5186" s="787">
        <v>10.4</v>
      </c>
      <c r="M5186" s="787">
        <v>20</v>
      </c>
      <c r="N5186" s="787">
        <v>12.52</v>
      </c>
      <c r="O5186" s="788">
        <v>42144</v>
      </c>
    </row>
    <row r="5187" spans="1:15" x14ac:dyDescent="0.25">
      <c r="A5187" s="786" t="s">
        <v>9849</v>
      </c>
      <c r="B5187" s="787">
        <v>4</v>
      </c>
      <c r="C5187" s="787" t="s">
        <v>9662</v>
      </c>
      <c r="D5187" s="787">
        <v>1.41</v>
      </c>
      <c r="E5187" s="787">
        <v>1.41</v>
      </c>
      <c r="F5187" s="788">
        <v>37642</v>
      </c>
      <c r="G5187" s="788">
        <v>37642</v>
      </c>
      <c r="H5187" s="787">
        <v>1</v>
      </c>
      <c r="I5187" s="788">
        <v>42086</v>
      </c>
      <c r="J5187" s="788">
        <v>42088</v>
      </c>
      <c r="L5187" s="787">
        <v>1.54</v>
      </c>
      <c r="M5187" s="787">
        <v>20</v>
      </c>
      <c r="N5187" s="787">
        <v>1.66</v>
      </c>
      <c r="O5187" s="788">
        <v>41858</v>
      </c>
    </row>
    <row r="5188" spans="1:15" x14ac:dyDescent="0.25">
      <c r="A5188" s="786" t="s">
        <v>9850</v>
      </c>
      <c r="B5188" s="787">
        <v>4</v>
      </c>
      <c r="C5188" s="787" t="s">
        <v>9662</v>
      </c>
      <c r="D5188" s="787">
        <v>3.77</v>
      </c>
      <c r="E5188" s="787">
        <v>5.15</v>
      </c>
      <c r="F5188" s="788">
        <v>39101</v>
      </c>
      <c r="G5188" s="788">
        <v>41659</v>
      </c>
      <c r="H5188" s="787">
        <v>1</v>
      </c>
      <c r="I5188" s="788">
        <v>41653</v>
      </c>
      <c r="J5188" s="788">
        <v>41657</v>
      </c>
      <c r="K5188" s="788">
        <v>40352</v>
      </c>
      <c r="L5188" s="787">
        <v>5.3</v>
      </c>
      <c r="M5188" s="787">
        <v>20</v>
      </c>
      <c r="N5188" s="787">
        <v>5.7</v>
      </c>
      <c r="O5188" s="788">
        <v>42163</v>
      </c>
    </row>
    <row r="5189" spans="1:15" x14ac:dyDescent="0.25">
      <c r="A5189" s="786" t="s">
        <v>9851</v>
      </c>
      <c r="B5189" s="787">
        <v>4</v>
      </c>
      <c r="C5189" s="787" t="s">
        <v>9852</v>
      </c>
      <c r="D5189" s="787">
        <v>7.55</v>
      </c>
      <c r="E5189" s="787">
        <v>17.55</v>
      </c>
      <c r="F5189" s="788">
        <v>39101</v>
      </c>
      <c r="G5189" s="788">
        <v>39195</v>
      </c>
      <c r="H5189" s="787">
        <v>1</v>
      </c>
      <c r="I5189" s="788">
        <v>39197</v>
      </c>
      <c r="J5189" s="788">
        <v>39195</v>
      </c>
      <c r="L5189" s="787">
        <v>17.079999999999998</v>
      </c>
      <c r="M5189" s="787">
        <v>20</v>
      </c>
      <c r="N5189" s="787">
        <v>18.36</v>
      </c>
      <c r="O5189" s="788">
        <v>41858</v>
      </c>
    </row>
    <row r="5190" spans="1:15" x14ac:dyDescent="0.25">
      <c r="A5190" s="786" t="s">
        <v>9853</v>
      </c>
      <c r="B5190" s="787">
        <v>4</v>
      </c>
      <c r="C5190" s="787" t="s">
        <v>9854</v>
      </c>
      <c r="D5190" s="787">
        <v>1.72</v>
      </c>
      <c r="E5190" s="787">
        <v>2.99</v>
      </c>
      <c r="F5190" s="788">
        <v>40827</v>
      </c>
      <c r="G5190" s="788">
        <v>42013</v>
      </c>
      <c r="H5190" s="787">
        <v>1</v>
      </c>
      <c r="I5190" s="788">
        <v>42137</v>
      </c>
      <c r="J5190" s="788">
        <v>41892</v>
      </c>
      <c r="L5190" s="787">
        <v>3.02</v>
      </c>
      <c r="M5190" s="787">
        <v>10</v>
      </c>
      <c r="N5190" s="787">
        <v>3.12</v>
      </c>
      <c r="O5190" s="788">
        <v>42164</v>
      </c>
    </row>
    <row r="5191" spans="1:15" x14ac:dyDescent="0.25">
      <c r="A5191" s="786" t="s">
        <v>9855</v>
      </c>
      <c r="B5191" s="787">
        <v>4</v>
      </c>
      <c r="C5191" s="787" t="s">
        <v>9856</v>
      </c>
      <c r="D5191" s="787">
        <v>1.1100000000000001</v>
      </c>
      <c r="E5191" s="787">
        <v>1.1100000000000001</v>
      </c>
      <c r="F5191" s="788">
        <v>39101</v>
      </c>
      <c r="G5191" s="788">
        <v>39101</v>
      </c>
      <c r="H5191" s="787">
        <v>1</v>
      </c>
      <c r="I5191" s="788">
        <v>39756</v>
      </c>
      <c r="J5191" s="788">
        <v>39101</v>
      </c>
      <c r="L5191" s="787">
        <v>1.99</v>
      </c>
      <c r="M5191" s="787">
        <v>10</v>
      </c>
      <c r="N5191" s="787">
        <v>3.95</v>
      </c>
      <c r="O5191" s="788">
        <v>41858</v>
      </c>
    </row>
    <row r="5192" spans="1:15" x14ac:dyDescent="0.25">
      <c r="A5192" s="786" t="s">
        <v>9857</v>
      </c>
      <c r="B5192" s="787">
        <v>4</v>
      </c>
      <c r="C5192" s="787" t="s">
        <v>9858</v>
      </c>
      <c r="D5192" s="787">
        <v>0.77</v>
      </c>
      <c r="E5192" s="787">
        <v>0.77</v>
      </c>
      <c r="F5192" s="788">
        <v>37642</v>
      </c>
      <c r="G5192" s="788">
        <v>37642</v>
      </c>
      <c r="H5192" s="787">
        <v>1</v>
      </c>
      <c r="J5192" s="788">
        <v>37642</v>
      </c>
      <c r="L5192" s="787">
        <v>1.97</v>
      </c>
      <c r="M5192" s="787">
        <v>10</v>
      </c>
      <c r="N5192" s="787">
        <v>3.97</v>
      </c>
      <c r="O5192" s="788">
        <v>41858</v>
      </c>
    </row>
    <row r="5193" spans="1:15" x14ac:dyDescent="0.25">
      <c r="A5193" s="786" t="s">
        <v>9859</v>
      </c>
      <c r="B5193" s="787">
        <v>4</v>
      </c>
      <c r="C5193" s="787" t="s">
        <v>9860</v>
      </c>
      <c r="D5193" s="787">
        <v>0</v>
      </c>
      <c r="E5193" s="787">
        <v>0</v>
      </c>
      <c r="H5193" s="787">
        <v>1</v>
      </c>
      <c r="I5193" s="788">
        <v>40843</v>
      </c>
      <c r="J5193" s="788">
        <v>37642</v>
      </c>
      <c r="L5193" s="787">
        <v>3.09</v>
      </c>
      <c r="M5193" s="787">
        <v>10</v>
      </c>
      <c r="N5193" s="787">
        <v>5.74</v>
      </c>
      <c r="O5193" s="788">
        <v>41858</v>
      </c>
    </row>
    <row r="5194" spans="1:15" x14ac:dyDescent="0.25">
      <c r="A5194" s="786" t="s">
        <v>9861</v>
      </c>
      <c r="B5194" s="787">
        <v>4</v>
      </c>
      <c r="C5194" s="787" t="s">
        <v>9862</v>
      </c>
      <c r="D5194" s="787">
        <v>0</v>
      </c>
      <c r="E5194" s="787">
        <v>0</v>
      </c>
      <c r="H5194" s="787">
        <v>6</v>
      </c>
      <c r="J5194" s="788">
        <v>37642</v>
      </c>
      <c r="L5194" s="787">
        <v>3.52</v>
      </c>
      <c r="M5194" s="787">
        <v>10</v>
      </c>
      <c r="N5194" s="787">
        <v>4.58</v>
      </c>
      <c r="O5194" s="788">
        <v>41806</v>
      </c>
    </row>
    <row r="5195" spans="1:15" x14ac:dyDescent="0.25">
      <c r="A5195" s="786" t="s">
        <v>9863</v>
      </c>
      <c r="B5195" s="787">
        <v>4</v>
      </c>
      <c r="C5195" s="787" t="s">
        <v>9864</v>
      </c>
      <c r="D5195" s="787">
        <v>0.41</v>
      </c>
      <c r="E5195" s="787">
        <v>0.41</v>
      </c>
      <c r="F5195" s="788">
        <v>39101</v>
      </c>
      <c r="G5195" s="788">
        <v>41255</v>
      </c>
      <c r="H5195" s="787">
        <v>1</v>
      </c>
      <c r="I5195" s="788">
        <v>39134</v>
      </c>
      <c r="J5195" s="788">
        <v>39149</v>
      </c>
      <c r="L5195" s="787">
        <v>1.54</v>
      </c>
      <c r="M5195" s="787">
        <v>10</v>
      </c>
      <c r="N5195" s="787">
        <v>2.9</v>
      </c>
      <c r="O5195" s="788">
        <v>42157</v>
      </c>
    </row>
    <row r="5196" spans="1:15" x14ac:dyDescent="0.25">
      <c r="A5196" s="786" t="s">
        <v>9865</v>
      </c>
      <c r="B5196" s="787">
        <v>4</v>
      </c>
      <c r="C5196" s="787" t="s">
        <v>9866</v>
      </c>
      <c r="D5196" s="787">
        <v>0</v>
      </c>
      <c r="E5196" s="787">
        <v>0</v>
      </c>
      <c r="H5196" s="787">
        <v>1</v>
      </c>
      <c r="J5196" s="788">
        <v>37642</v>
      </c>
      <c r="L5196" s="787">
        <v>0.17</v>
      </c>
      <c r="M5196" s="787">
        <v>10</v>
      </c>
      <c r="N5196" s="787">
        <v>0</v>
      </c>
      <c r="O5196" s="788">
        <v>41858</v>
      </c>
    </row>
    <row r="5197" spans="1:15" x14ac:dyDescent="0.25">
      <c r="A5197" s="786" t="s">
        <v>9867</v>
      </c>
      <c r="B5197" s="787">
        <v>4</v>
      </c>
      <c r="C5197" s="787" t="s">
        <v>9868</v>
      </c>
      <c r="D5197" s="787">
        <v>2.93</v>
      </c>
      <c r="E5197" s="787">
        <v>8.4499999999999993</v>
      </c>
      <c r="F5197" s="788">
        <v>39456</v>
      </c>
      <c r="G5197" s="788">
        <v>42088</v>
      </c>
      <c r="H5197" s="787">
        <v>1</v>
      </c>
      <c r="I5197" s="788">
        <v>42164</v>
      </c>
      <c r="J5197" s="788">
        <v>42055</v>
      </c>
      <c r="L5197" s="787">
        <v>4.04</v>
      </c>
      <c r="M5197" s="787">
        <v>10</v>
      </c>
      <c r="N5197" s="787">
        <v>6.36</v>
      </c>
      <c r="O5197" s="788">
        <v>42159</v>
      </c>
    </row>
    <row r="5198" spans="1:15" x14ac:dyDescent="0.25">
      <c r="A5198" s="786" t="s">
        <v>9869</v>
      </c>
      <c r="B5198" s="787">
        <v>4</v>
      </c>
      <c r="C5198" s="787" t="s">
        <v>2016</v>
      </c>
      <c r="D5198" s="787">
        <v>0</v>
      </c>
      <c r="E5198" s="787">
        <v>0</v>
      </c>
      <c r="H5198" s="787">
        <v>6</v>
      </c>
      <c r="J5198" s="788">
        <v>37642</v>
      </c>
      <c r="L5198" s="787">
        <v>0.11</v>
      </c>
      <c r="M5198" s="787">
        <v>10</v>
      </c>
      <c r="N5198" s="787">
        <v>0</v>
      </c>
      <c r="O5198" s="788">
        <v>41806</v>
      </c>
    </row>
    <row r="5199" spans="1:15" x14ac:dyDescent="0.25">
      <c r="A5199" s="786" t="s">
        <v>9870</v>
      </c>
      <c r="B5199" s="787">
        <v>4</v>
      </c>
      <c r="C5199" s="787" t="s">
        <v>9871</v>
      </c>
      <c r="D5199" s="787">
        <v>0.47</v>
      </c>
      <c r="E5199" s="787">
        <v>0.47</v>
      </c>
      <c r="F5199" s="788">
        <v>40659</v>
      </c>
      <c r="G5199" s="788">
        <v>41565</v>
      </c>
      <c r="H5199" s="787">
        <v>1</v>
      </c>
      <c r="I5199" s="788">
        <v>41088</v>
      </c>
      <c r="J5199" s="788">
        <v>40576</v>
      </c>
      <c r="L5199" s="787">
        <v>1.2</v>
      </c>
      <c r="M5199" s="787">
        <v>10</v>
      </c>
      <c r="N5199" s="787">
        <v>1.5</v>
      </c>
      <c r="O5199" s="788">
        <v>41858</v>
      </c>
    </row>
    <row r="5200" spans="1:15" x14ac:dyDescent="0.25">
      <c r="A5200" s="786" t="s">
        <v>9870</v>
      </c>
      <c r="B5200" s="787" t="s">
        <v>2333</v>
      </c>
      <c r="C5200" s="787" t="s">
        <v>2334</v>
      </c>
      <c r="D5200" s="787">
        <v>2.4</v>
      </c>
      <c r="E5200" s="787">
        <v>2.4</v>
      </c>
      <c r="F5200" s="788">
        <v>39975</v>
      </c>
      <c r="G5200" s="788">
        <v>39590</v>
      </c>
      <c r="H5200" s="787">
        <v>6</v>
      </c>
      <c r="I5200" s="788">
        <v>39134</v>
      </c>
      <c r="J5200" s="788">
        <v>39149</v>
      </c>
      <c r="L5200" s="787">
        <v>0.42</v>
      </c>
      <c r="M5200" s="787">
        <v>10</v>
      </c>
      <c r="N5200" s="787">
        <v>0</v>
      </c>
      <c r="O5200" s="788">
        <v>41806</v>
      </c>
    </row>
    <row r="5201" spans="1:15" x14ac:dyDescent="0.25">
      <c r="A5201" s="786" t="s">
        <v>9872</v>
      </c>
      <c r="B5201" s="787">
        <v>4</v>
      </c>
      <c r="C5201" s="787" t="s">
        <v>9873</v>
      </c>
      <c r="D5201" s="787">
        <v>0</v>
      </c>
      <c r="E5201" s="787">
        <v>0</v>
      </c>
      <c r="H5201" s="787">
        <v>1</v>
      </c>
      <c r="I5201" s="788">
        <v>40389</v>
      </c>
      <c r="J5201" s="788">
        <v>37642</v>
      </c>
      <c r="L5201" s="787">
        <v>0.5</v>
      </c>
      <c r="M5201" s="787">
        <v>10</v>
      </c>
      <c r="N5201" s="787">
        <v>0</v>
      </c>
      <c r="O5201" s="788">
        <v>41858</v>
      </c>
    </row>
    <row r="5202" spans="1:15" x14ac:dyDescent="0.25">
      <c r="A5202" s="786" t="s">
        <v>9874</v>
      </c>
      <c r="B5202" s="787">
        <v>4</v>
      </c>
      <c r="C5202" s="787" t="s">
        <v>9875</v>
      </c>
      <c r="D5202" s="787">
        <v>0</v>
      </c>
      <c r="E5202" s="787">
        <v>0</v>
      </c>
      <c r="H5202" s="787">
        <v>1</v>
      </c>
      <c r="J5202" s="788">
        <v>37642</v>
      </c>
      <c r="L5202" s="787">
        <v>1.02</v>
      </c>
      <c r="M5202" s="787">
        <v>10</v>
      </c>
      <c r="N5202" s="787">
        <v>0</v>
      </c>
      <c r="O5202" s="788">
        <v>41858</v>
      </c>
    </row>
    <row r="5203" spans="1:15" x14ac:dyDescent="0.25">
      <c r="A5203" s="786" t="s">
        <v>9876</v>
      </c>
      <c r="B5203" s="787">
        <v>4</v>
      </c>
      <c r="C5203" s="787" t="s">
        <v>9877</v>
      </c>
      <c r="D5203" s="787">
        <v>0</v>
      </c>
      <c r="E5203" s="787">
        <v>0</v>
      </c>
      <c r="H5203" s="787">
        <v>1</v>
      </c>
      <c r="J5203" s="788">
        <v>37642</v>
      </c>
      <c r="L5203" s="787">
        <v>0.23</v>
      </c>
      <c r="M5203" s="787">
        <v>10</v>
      </c>
      <c r="N5203" s="787">
        <v>0</v>
      </c>
      <c r="O5203" s="788">
        <v>41858</v>
      </c>
    </row>
    <row r="5204" spans="1:15" x14ac:dyDescent="0.25">
      <c r="A5204" s="786" t="s">
        <v>9878</v>
      </c>
      <c r="B5204" s="787">
        <v>4</v>
      </c>
      <c r="C5204" s="787" t="s">
        <v>9879</v>
      </c>
      <c r="D5204" s="787">
        <v>0</v>
      </c>
      <c r="E5204" s="787">
        <v>0</v>
      </c>
      <c r="H5204" s="787">
        <v>1</v>
      </c>
      <c r="I5204" s="788">
        <v>40389</v>
      </c>
      <c r="J5204" s="788">
        <v>37642</v>
      </c>
      <c r="L5204" s="787">
        <v>0.09</v>
      </c>
      <c r="M5204" s="787">
        <v>10</v>
      </c>
      <c r="N5204" s="787">
        <v>0</v>
      </c>
      <c r="O5204" s="788">
        <v>41858</v>
      </c>
    </row>
    <row r="5205" spans="1:15" x14ac:dyDescent="0.25">
      <c r="A5205" s="786" t="s">
        <v>9880</v>
      </c>
      <c r="B5205" s="787">
        <v>4</v>
      </c>
      <c r="C5205" s="787" t="s">
        <v>9881</v>
      </c>
      <c r="D5205" s="787">
        <v>0</v>
      </c>
      <c r="E5205" s="787">
        <v>0</v>
      </c>
      <c r="H5205" s="787">
        <v>1</v>
      </c>
      <c r="J5205" s="788">
        <v>37642</v>
      </c>
      <c r="L5205" s="787">
        <v>0.08</v>
      </c>
      <c r="M5205" s="787">
        <v>10</v>
      </c>
      <c r="N5205" s="787">
        <v>0</v>
      </c>
      <c r="O5205" s="788">
        <v>41858</v>
      </c>
    </row>
    <row r="5206" spans="1:15" x14ac:dyDescent="0.25">
      <c r="A5206" s="786" t="s">
        <v>9882</v>
      </c>
      <c r="B5206" s="787">
        <v>4</v>
      </c>
      <c r="C5206" s="787" t="s">
        <v>9778</v>
      </c>
      <c r="D5206" s="787">
        <v>0</v>
      </c>
      <c r="E5206" s="787">
        <v>0</v>
      </c>
      <c r="H5206" s="787">
        <v>1</v>
      </c>
      <c r="L5206" s="787">
        <v>0</v>
      </c>
      <c r="M5206" s="787">
        <v>20</v>
      </c>
      <c r="N5206" s="787">
        <v>0</v>
      </c>
      <c r="O5206" s="788">
        <v>40824</v>
      </c>
    </row>
    <row r="5207" spans="1:15" x14ac:dyDescent="0.25">
      <c r="A5207" s="786" t="s">
        <v>9883</v>
      </c>
      <c r="B5207" s="787">
        <v>4</v>
      </c>
      <c r="C5207" s="787" t="s">
        <v>9662</v>
      </c>
      <c r="D5207" s="787">
        <v>0</v>
      </c>
      <c r="E5207" s="787">
        <v>0</v>
      </c>
      <c r="F5207" s="788">
        <v>41278</v>
      </c>
      <c r="G5207" s="788">
        <v>42013</v>
      </c>
      <c r="H5207" s="787">
        <v>1</v>
      </c>
      <c r="I5207" s="788">
        <v>41578</v>
      </c>
      <c r="J5207" s="788">
        <v>41052</v>
      </c>
      <c r="K5207" s="788">
        <v>41039</v>
      </c>
      <c r="L5207" s="787">
        <v>18.100000000000001</v>
      </c>
      <c r="M5207" s="787">
        <v>20</v>
      </c>
      <c r="N5207" s="787">
        <v>19.46</v>
      </c>
      <c r="O5207" s="788">
        <v>42053</v>
      </c>
    </row>
    <row r="5208" spans="1:15" x14ac:dyDescent="0.25">
      <c r="A5208" s="786" t="s">
        <v>9884</v>
      </c>
      <c r="B5208" s="787">
        <v>4</v>
      </c>
      <c r="C5208" s="787" t="s">
        <v>9662</v>
      </c>
      <c r="D5208" s="787">
        <v>7.52</v>
      </c>
      <c r="E5208" s="787">
        <v>7.52</v>
      </c>
      <c r="F5208" s="788">
        <v>41410</v>
      </c>
      <c r="G5208" s="788">
        <v>42013</v>
      </c>
      <c r="H5208" s="787">
        <v>1</v>
      </c>
      <c r="J5208" s="788">
        <v>41499</v>
      </c>
      <c r="K5208" s="788">
        <v>41393</v>
      </c>
      <c r="L5208" s="787">
        <v>6.36</v>
      </c>
      <c r="M5208" s="787">
        <v>20</v>
      </c>
      <c r="N5208" s="787">
        <v>6.84</v>
      </c>
      <c r="O5208" s="788">
        <v>41858</v>
      </c>
    </row>
    <row r="5209" spans="1:15" x14ac:dyDescent="0.25">
      <c r="A5209" s="786" t="s">
        <v>9885</v>
      </c>
      <c r="B5209" s="787">
        <v>4</v>
      </c>
      <c r="C5209" s="787" t="s">
        <v>9886</v>
      </c>
      <c r="D5209" s="787">
        <v>0.76</v>
      </c>
      <c r="E5209" s="787">
        <v>4.16</v>
      </c>
      <c r="F5209" s="788">
        <v>39101</v>
      </c>
      <c r="G5209" s="788">
        <v>42013</v>
      </c>
      <c r="H5209" s="787">
        <v>1</v>
      </c>
      <c r="I5209" s="788">
        <v>39134</v>
      </c>
      <c r="J5209" s="788">
        <v>41828</v>
      </c>
      <c r="L5209" s="787">
        <v>0.83</v>
      </c>
      <c r="M5209" s="787">
        <v>10</v>
      </c>
      <c r="N5209" s="787">
        <v>6.48</v>
      </c>
      <c r="O5209" s="788">
        <v>41858</v>
      </c>
    </row>
    <row r="5210" spans="1:15" x14ac:dyDescent="0.25">
      <c r="A5210" s="786" t="s">
        <v>9887</v>
      </c>
      <c r="B5210" s="787">
        <v>4</v>
      </c>
      <c r="C5210" s="787" t="s">
        <v>9888</v>
      </c>
      <c r="D5210" s="787">
        <v>0.75</v>
      </c>
      <c r="E5210" s="787">
        <v>0.75</v>
      </c>
      <c r="F5210" s="788">
        <v>37642</v>
      </c>
      <c r="G5210" s="788">
        <v>37642</v>
      </c>
      <c r="H5210" s="787">
        <v>1</v>
      </c>
      <c r="J5210" s="788">
        <v>37642</v>
      </c>
      <c r="L5210" s="787">
        <v>0.42</v>
      </c>
      <c r="M5210" s="787">
        <v>10</v>
      </c>
      <c r="N5210" s="787">
        <v>0.88</v>
      </c>
      <c r="O5210" s="788">
        <v>41858</v>
      </c>
    </row>
    <row r="5211" spans="1:15" x14ac:dyDescent="0.25">
      <c r="A5211" s="786" t="s">
        <v>9889</v>
      </c>
      <c r="B5211" s="787">
        <v>4</v>
      </c>
      <c r="C5211" s="787" t="s">
        <v>9890</v>
      </c>
      <c r="D5211" s="787">
        <v>0.75</v>
      </c>
      <c r="E5211" s="787">
        <v>0.75</v>
      </c>
      <c r="F5211" s="788">
        <v>37642</v>
      </c>
      <c r="G5211" s="788">
        <v>37642</v>
      </c>
      <c r="H5211" s="787">
        <v>1</v>
      </c>
      <c r="J5211" s="788">
        <v>37642</v>
      </c>
      <c r="L5211" s="787">
        <v>0.42</v>
      </c>
      <c r="M5211" s="787">
        <v>10</v>
      </c>
      <c r="N5211" s="787">
        <v>0.88</v>
      </c>
      <c r="O5211" s="788">
        <v>41858</v>
      </c>
    </row>
    <row r="5212" spans="1:15" x14ac:dyDescent="0.25">
      <c r="A5212" s="786" t="s">
        <v>9891</v>
      </c>
      <c r="B5212" s="787">
        <v>4</v>
      </c>
      <c r="C5212" s="787" t="s">
        <v>9892</v>
      </c>
      <c r="D5212" s="787">
        <v>0</v>
      </c>
      <c r="E5212" s="787">
        <v>0</v>
      </c>
      <c r="H5212" s="787">
        <v>1</v>
      </c>
      <c r="I5212" s="788">
        <v>39925</v>
      </c>
      <c r="K5212" s="788">
        <v>40892</v>
      </c>
      <c r="L5212" s="787">
        <v>10</v>
      </c>
      <c r="M5212" s="787">
        <v>20</v>
      </c>
      <c r="N5212" s="787">
        <v>10.75</v>
      </c>
      <c r="O5212" s="788">
        <v>41858</v>
      </c>
    </row>
    <row r="5213" spans="1:15" x14ac:dyDescent="0.25">
      <c r="A5213" s="786" t="s">
        <v>9893</v>
      </c>
      <c r="B5213" s="787">
        <v>4</v>
      </c>
      <c r="C5213" s="787" t="s">
        <v>9894</v>
      </c>
      <c r="D5213" s="787">
        <v>2.1</v>
      </c>
      <c r="E5213" s="787">
        <v>2.2599999999999998</v>
      </c>
      <c r="F5213" s="788">
        <v>39161</v>
      </c>
      <c r="G5213" s="788">
        <v>42013</v>
      </c>
      <c r="H5213" s="787">
        <v>1</v>
      </c>
      <c r="I5213" s="788">
        <v>42166</v>
      </c>
      <c r="J5213" s="788">
        <v>41782</v>
      </c>
      <c r="K5213" s="788">
        <v>41869</v>
      </c>
      <c r="L5213" s="787">
        <v>2.2599999999999998</v>
      </c>
      <c r="M5213" s="787">
        <v>20</v>
      </c>
      <c r="N5213" s="787">
        <v>2.4300000000000002</v>
      </c>
      <c r="O5213" s="788">
        <v>42164</v>
      </c>
    </row>
    <row r="5214" spans="1:15" x14ac:dyDescent="0.25">
      <c r="A5214" s="786" t="s">
        <v>9895</v>
      </c>
      <c r="B5214" s="787">
        <v>4</v>
      </c>
      <c r="C5214" s="787" t="s">
        <v>9896</v>
      </c>
      <c r="D5214" s="787">
        <v>2.99</v>
      </c>
      <c r="E5214" s="787">
        <v>12.99</v>
      </c>
      <c r="F5214" s="788">
        <v>39101</v>
      </c>
      <c r="G5214" s="788">
        <v>39101</v>
      </c>
      <c r="H5214" s="787">
        <v>1</v>
      </c>
      <c r="I5214" s="788">
        <v>39134</v>
      </c>
      <c r="J5214" s="788">
        <v>39149</v>
      </c>
      <c r="L5214" s="787">
        <v>12.99</v>
      </c>
      <c r="M5214" s="787">
        <v>20</v>
      </c>
      <c r="N5214" s="787">
        <v>13.96</v>
      </c>
      <c r="O5214" s="788">
        <v>41858</v>
      </c>
    </row>
    <row r="5215" spans="1:15" x14ac:dyDescent="0.25">
      <c r="A5215" s="786" t="s">
        <v>9897</v>
      </c>
      <c r="B5215" s="787">
        <v>4</v>
      </c>
      <c r="C5215" s="787" t="s">
        <v>9898</v>
      </c>
      <c r="D5215" s="787">
        <v>3.7</v>
      </c>
      <c r="E5215" s="787">
        <v>3.7</v>
      </c>
      <c r="F5215" s="788">
        <v>38047</v>
      </c>
      <c r="G5215" s="788">
        <v>42013</v>
      </c>
      <c r="H5215" s="787">
        <v>1</v>
      </c>
      <c r="I5215" s="788">
        <v>42163</v>
      </c>
      <c r="J5215" s="788">
        <v>41673</v>
      </c>
      <c r="L5215" s="787">
        <v>4.5199999999999996</v>
      </c>
      <c r="M5215" s="787">
        <v>20</v>
      </c>
      <c r="N5215" s="787">
        <v>5.44</v>
      </c>
      <c r="O5215" s="788">
        <v>42075</v>
      </c>
    </row>
    <row r="5216" spans="1:15" x14ac:dyDescent="0.25">
      <c r="A5216" s="786" t="s">
        <v>9899</v>
      </c>
      <c r="B5216" s="787">
        <v>4</v>
      </c>
      <c r="C5216" s="787" t="s">
        <v>9694</v>
      </c>
      <c r="D5216" s="787">
        <v>2.85</v>
      </c>
      <c r="E5216" s="787">
        <v>2.85</v>
      </c>
      <c r="F5216" s="788">
        <v>37642</v>
      </c>
      <c r="G5216" s="788">
        <v>37642</v>
      </c>
      <c r="H5216" s="787">
        <v>1</v>
      </c>
      <c r="I5216" s="788">
        <v>38562</v>
      </c>
      <c r="J5216" s="788">
        <v>37642</v>
      </c>
      <c r="L5216" s="787">
        <v>3.48</v>
      </c>
      <c r="M5216" s="787">
        <v>20</v>
      </c>
      <c r="N5216" s="787">
        <v>4.1900000000000004</v>
      </c>
      <c r="O5216" s="788">
        <v>41858</v>
      </c>
    </row>
    <row r="5217" spans="1:15" x14ac:dyDescent="0.25">
      <c r="A5217" s="786" t="s">
        <v>9900</v>
      </c>
      <c r="B5217" s="787">
        <v>4</v>
      </c>
      <c r="C5217" s="787" t="s">
        <v>9694</v>
      </c>
      <c r="D5217" s="787">
        <v>2.65</v>
      </c>
      <c r="E5217" s="787">
        <v>4.9000000000000004</v>
      </c>
      <c r="F5217" s="788">
        <v>38047</v>
      </c>
      <c r="G5217" s="788">
        <v>40557</v>
      </c>
      <c r="H5217" s="787">
        <v>1</v>
      </c>
      <c r="I5217" s="788">
        <v>40528</v>
      </c>
      <c r="J5217" s="788">
        <v>40560</v>
      </c>
      <c r="L5217" s="787">
        <v>3.24</v>
      </c>
      <c r="M5217" s="787">
        <v>20</v>
      </c>
      <c r="N5217" s="787">
        <v>3.9</v>
      </c>
      <c r="O5217" s="788">
        <v>41858</v>
      </c>
    </row>
    <row r="5218" spans="1:15" x14ac:dyDescent="0.25">
      <c r="A5218" s="786" t="s">
        <v>9901</v>
      </c>
      <c r="B5218" s="787">
        <v>4</v>
      </c>
      <c r="C5218" s="787" t="s">
        <v>9662</v>
      </c>
      <c r="D5218" s="787">
        <v>2.78</v>
      </c>
      <c r="E5218" s="787">
        <v>4.6900000000000004</v>
      </c>
      <c r="F5218" s="788">
        <v>38047</v>
      </c>
      <c r="G5218" s="788">
        <v>41282</v>
      </c>
      <c r="H5218" s="787">
        <v>1</v>
      </c>
      <c r="I5218" s="788">
        <v>38736</v>
      </c>
      <c r="J5218" s="788">
        <v>40675</v>
      </c>
      <c r="K5218" s="788">
        <v>40673</v>
      </c>
      <c r="L5218" s="787">
        <v>4.4800000000000004</v>
      </c>
      <c r="M5218" s="787">
        <v>20</v>
      </c>
      <c r="N5218" s="787">
        <v>5.39</v>
      </c>
      <c r="O5218" s="788">
        <v>41858</v>
      </c>
    </row>
    <row r="5219" spans="1:15" x14ac:dyDescent="0.25">
      <c r="A5219" s="786" t="s">
        <v>9902</v>
      </c>
      <c r="B5219" s="787">
        <v>4</v>
      </c>
      <c r="C5219" s="787" t="s">
        <v>9903</v>
      </c>
      <c r="D5219" s="787">
        <v>1.52</v>
      </c>
      <c r="E5219" s="787">
        <v>1.73</v>
      </c>
      <c r="F5219" s="788">
        <v>38047</v>
      </c>
      <c r="G5219" s="788">
        <v>41255</v>
      </c>
      <c r="H5219" s="787">
        <v>1</v>
      </c>
      <c r="I5219" s="788">
        <v>40087</v>
      </c>
      <c r="J5219" s="788">
        <v>38419</v>
      </c>
      <c r="L5219" s="787">
        <v>1.75</v>
      </c>
      <c r="M5219" s="787">
        <v>10</v>
      </c>
      <c r="N5219" s="787">
        <v>3.97</v>
      </c>
      <c r="O5219" s="788">
        <v>41955</v>
      </c>
    </row>
    <row r="5220" spans="1:15" x14ac:dyDescent="0.25">
      <c r="A5220" s="786" t="s">
        <v>9904</v>
      </c>
      <c r="B5220" s="787">
        <v>4</v>
      </c>
      <c r="C5220" s="787" t="s">
        <v>9905</v>
      </c>
      <c r="D5220" s="787">
        <v>0.18</v>
      </c>
      <c r="E5220" s="787">
        <v>0.45</v>
      </c>
      <c r="F5220" s="788">
        <v>39456</v>
      </c>
      <c r="G5220" s="788">
        <v>41943</v>
      </c>
      <c r="H5220" s="787">
        <v>1</v>
      </c>
      <c r="I5220" s="788">
        <v>41222</v>
      </c>
      <c r="J5220" s="788">
        <v>39848</v>
      </c>
      <c r="L5220" s="787">
        <v>0.52</v>
      </c>
      <c r="M5220" s="787">
        <v>10</v>
      </c>
      <c r="N5220" s="787">
        <v>0.95</v>
      </c>
      <c r="O5220" s="788">
        <v>42146</v>
      </c>
    </row>
    <row r="5221" spans="1:15" x14ac:dyDescent="0.25">
      <c r="A5221" s="786" t="s">
        <v>9906</v>
      </c>
      <c r="B5221" s="787">
        <v>4</v>
      </c>
      <c r="C5221" s="787" t="s">
        <v>9907</v>
      </c>
      <c r="D5221" s="787">
        <v>0.26</v>
      </c>
      <c r="E5221" s="787">
        <v>0.26</v>
      </c>
      <c r="F5221" s="788">
        <v>38606</v>
      </c>
      <c r="G5221" s="788">
        <v>38419</v>
      </c>
      <c r="H5221" s="787">
        <v>1</v>
      </c>
      <c r="I5221" s="788">
        <v>39071</v>
      </c>
      <c r="J5221" s="788">
        <v>39101</v>
      </c>
      <c r="L5221" s="787">
        <v>0.26</v>
      </c>
      <c r="M5221" s="787">
        <v>10</v>
      </c>
      <c r="N5221" s="787">
        <v>0.94</v>
      </c>
      <c r="O5221" s="788">
        <v>41858</v>
      </c>
    </row>
    <row r="5222" spans="1:15" x14ac:dyDescent="0.25">
      <c r="A5222" s="786" t="s">
        <v>9908</v>
      </c>
      <c r="B5222" s="787">
        <v>4</v>
      </c>
      <c r="C5222" s="787" t="s">
        <v>9909</v>
      </c>
      <c r="D5222" s="787">
        <v>0.62</v>
      </c>
      <c r="E5222" s="787">
        <v>0.62</v>
      </c>
      <c r="F5222" s="788">
        <v>39101</v>
      </c>
      <c r="G5222" s="788">
        <v>41255</v>
      </c>
      <c r="H5222" s="787">
        <v>1</v>
      </c>
      <c r="I5222" s="788">
        <v>39134</v>
      </c>
      <c r="J5222" s="788">
        <v>39149</v>
      </c>
      <c r="L5222" s="787">
        <v>0.87</v>
      </c>
      <c r="M5222" s="787">
        <v>10</v>
      </c>
      <c r="N5222" s="787">
        <v>1.84</v>
      </c>
      <c r="O5222" s="788">
        <v>41858</v>
      </c>
    </row>
    <row r="5223" spans="1:15" x14ac:dyDescent="0.25">
      <c r="A5223" s="786" t="s">
        <v>9910</v>
      </c>
      <c r="B5223" s="787">
        <v>4</v>
      </c>
      <c r="C5223" s="787" t="s">
        <v>9911</v>
      </c>
      <c r="D5223" s="787">
        <v>0</v>
      </c>
      <c r="E5223" s="787">
        <v>0</v>
      </c>
      <c r="H5223" s="787">
        <v>1</v>
      </c>
      <c r="J5223" s="788">
        <v>37642</v>
      </c>
      <c r="L5223" s="787">
        <v>1.1599999999999999</v>
      </c>
      <c r="M5223" s="787">
        <v>10</v>
      </c>
      <c r="N5223" s="787">
        <v>1.91</v>
      </c>
      <c r="O5223" s="788">
        <v>42157</v>
      </c>
    </row>
    <row r="5224" spans="1:15" x14ac:dyDescent="0.25">
      <c r="A5224" s="786" t="s">
        <v>9912</v>
      </c>
      <c r="B5224" s="787">
        <v>4</v>
      </c>
      <c r="C5224" s="787" t="s">
        <v>9913</v>
      </c>
      <c r="D5224" s="787">
        <v>0</v>
      </c>
      <c r="E5224" s="787">
        <v>0</v>
      </c>
      <c r="H5224" s="787">
        <v>1</v>
      </c>
      <c r="J5224" s="788">
        <v>37642</v>
      </c>
      <c r="L5224" s="787">
        <v>0.6</v>
      </c>
      <c r="M5224" s="787">
        <v>10</v>
      </c>
      <c r="N5224" s="787">
        <v>0.91</v>
      </c>
      <c r="O5224" s="788">
        <v>41858</v>
      </c>
    </row>
    <row r="5225" spans="1:15" x14ac:dyDescent="0.25">
      <c r="A5225" s="786" t="s">
        <v>9914</v>
      </c>
      <c r="B5225" s="787">
        <v>4</v>
      </c>
      <c r="C5225" s="787" t="s">
        <v>9915</v>
      </c>
      <c r="D5225" s="787">
        <v>7.48</v>
      </c>
      <c r="E5225" s="787">
        <v>7.48</v>
      </c>
      <c r="F5225" s="788">
        <v>39101</v>
      </c>
      <c r="G5225" s="788">
        <v>41943</v>
      </c>
      <c r="H5225" s="787">
        <v>1</v>
      </c>
      <c r="I5225" s="788">
        <v>41536</v>
      </c>
      <c r="J5225" s="788">
        <v>39149</v>
      </c>
      <c r="L5225" s="787">
        <v>9.7200000000000006</v>
      </c>
      <c r="M5225" s="787">
        <v>10</v>
      </c>
      <c r="N5225" s="787">
        <v>14.32</v>
      </c>
      <c r="O5225" s="788">
        <v>41858</v>
      </c>
    </row>
    <row r="5226" spans="1:15" x14ac:dyDescent="0.25">
      <c r="A5226" s="786" t="s">
        <v>9916</v>
      </c>
      <c r="B5226" s="787">
        <v>4</v>
      </c>
      <c r="C5226" s="787" t="s">
        <v>9917</v>
      </c>
      <c r="D5226" s="787">
        <v>2.94</v>
      </c>
      <c r="E5226" s="787">
        <v>2.94</v>
      </c>
      <c r="F5226" s="788">
        <v>39101</v>
      </c>
      <c r="G5226" s="788">
        <v>41943</v>
      </c>
      <c r="H5226" s="787">
        <v>1</v>
      </c>
      <c r="I5226" s="788">
        <v>41474</v>
      </c>
      <c r="J5226" s="788">
        <v>39149</v>
      </c>
      <c r="L5226" s="787">
        <v>9.1999999999999993</v>
      </c>
      <c r="M5226" s="787">
        <v>10</v>
      </c>
      <c r="N5226" s="787">
        <v>9.9499999999999993</v>
      </c>
      <c r="O5226" s="788">
        <v>41858</v>
      </c>
    </row>
    <row r="5227" spans="1:15" x14ac:dyDescent="0.25">
      <c r="A5227" s="786" t="s">
        <v>9918</v>
      </c>
      <c r="B5227" s="787">
        <v>4</v>
      </c>
      <c r="C5227" s="787" t="s">
        <v>9755</v>
      </c>
      <c r="D5227" s="787">
        <v>3.03</v>
      </c>
      <c r="E5227" s="787">
        <v>15.44</v>
      </c>
      <c r="F5227" s="788">
        <v>40151</v>
      </c>
      <c r="G5227" s="788">
        <v>42013</v>
      </c>
      <c r="H5227" s="787">
        <v>1</v>
      </c>
      <c r="I5227" s="788">
        <v>41778</v>
      </c>
      <c r="J5227" s="788">
        <v>41690</v>
      </c>
      <c r="K5227" s="788">
        <v>41481</v>
      </c>
      <c r="L5227" s="787">
        <v>15</v>
      </c>
      <c r="M5227" s="787">
        <v>20</v>
      </c>
      <c r="N5227" s="787">
        <v>18.059999999999999</v>
      </c>
      <c r="O5227" s="788">
        <v>42152</v>
      </c>
    </row>
    <row r="5228" spans="1:15" x14ac:dyDescent="0.25">
      <c r="A5228" s="786" t="s">
        <v>9919</v>
      </c>
      <c r="B5228" s="787">
        <v>4</v>
      </c>
      <c r="C5228" s="787" t="s">
        <v>9755</v>
      </c>
      <c r="D5228" s="787">
        <v>1.01</v>
      </c>
      <c r="E5228" s="787">
        <v>11.07</v>
      </c>
      <c r="F5228" s="788">
        <v>40070</v>
      </c>
      <c r="G5228" s="788">
        <v>41891</v>
      </c>
      <c r="H5228" s="787">
        <v>1</v>
      </c>
      <c r="I5228" s="788">
        <v>41880</v>
      </c>
      <c r="J5228" s="788">
        <v>41871</v>
      </c>
      <c r="K5228" s="788">
        <v>41864</v>
      </c>
      <c r="L5228" s="787">
        <v>10.119999999999999</v>
      </c>
      <c r="M5228" s="787">
        <v>20</v>
      </c>
      <c r="N5228" s="787">
        <v>12.18</v>
      </c>
      <c r="O5228" s="788">
        <v>41871</v>
      </c>
    </row>
    <row r="5229" spans="1:15" x14ac:dyDescent="0.25">
      <c r="A5229" s="786" t="s">
        <v>9920</v>
      </c>
      <c r="B5229" s="787">
        <v>4</v>
      </c>
      <c r="C5229" s="787" t="s">
        <v>9755</v>
      </c>
      <c r="D5229" s="787">
        <v>2.95</v>
      </c>
      <c r="E5229" s="787">
        <v>12.95</v>
      </c>
      <c r="F5229" s="788">
        <v>40070</v>
      </c>
      <c r="G5229" s="788">
        <v>40070</v>
      </c>
      <c r="H5229" s="787">
        <v>1</v>
      </c>
      <c r="I5229" s="788">
        <v>42031</v>
      </c>
      <c r="J5229" s="788">
        <v>40070</v>
      </c>
      <c r="K5229" s="788">
        <v>39960</v>
      </c>
      <c r="L5229" s="787">
        <v>10.5</v>
      </c>
      <c r="M5229" s="787">
        <v>20</v>
      </c>
      <c r="N5229" s="787">
        <v>12.64</v>
      </c>
      <c r="O5229" s="788">
        <v>41858</v>
      </c>
    </row>
    <row r="5230" spans="1:15" x14ac:dyDescent="0.25">
      <c r="A5230" s="786" t="s">
        <v>9921</v>
      </c>
      <c r="B5230" s="787">
        <v>4</v>
      </c>
      <c r="C5230" s="787" t="s">
        <v>9844</v>
      </c>
      <c r="D5230" s="787">
        <v>2.04</v>
      </c>
      <c r="E5230" s="787">
        <v>82.04</v>
      </c>
      <c r="F5230" s="788">
        <v>40885</v>
      </c>
      <c r="G5230" s="788">
        <v>42013</v>
      </c>
      <c r="H5230" s="787">
        <v>1</v>
      </c>
      <c r="I5230" s="788">
        <v>41827</v>
      </c>
      <c r="J5230" s="788">
        <v>40885</v>
      </c>
      <c r="K5230" s="788">
        <v>40869</v>
      </c>
      <c r="L5230" s="787">
        <v>80.459999999999994</v>
      </c>
      <c r="M5230" s="787">
        <v>20</v>
      </c>
      <c r="N5230" s="787">
        <v>96.87</v>
      </c>
      <c r="O5230" s="788">
        <v>41989</v>
      </c>
    </row>
    <row r="5231" spans="1:15" x14ac:dyDescent="0.25">
      <c r="A5231" s="786" t="s">
        <v>9922</v>
      </c>
      <c r="B5231" s="787">
        <v>4</v>
      </c>
      <c r="C5231" s="787" t="s">
        <v>9844</v>
      </c>
      <c r="D5231" s="787">
        <v>2.27</v>
      </c>
      <c r="E5231" s="787">
        <v>82.27</v>
      </c>
      <c r="F5231" s="788">
        <v>42023</v>
      </c>
      <c r="G5231" s="788">
        <v>42030</v>
      </c>
      <c r="H5231" s="787">
        <v>1</v>
      </c>
      <c r="I5231" s="788">
        <v>42018</v>
      </c>
      <c r="J5231" s="788">
        <v>42020</v>
      </c>
      <c r="L5231" s="787">
        <v>0.01</v>
      </c>
      <c r="M5231" s="787">
        <v>20</v>
      </c>
      <c r="N5231" s="787">
        <v>0.01</v>
      </c>
      <c r="O5231" s="788">
        <v>42011</v>
      </c>
    </row>
    <row r="5232" spans="1:15" x14ac:dyDescent="0.25">
      <c r="A5232" s="786" t="s">
        <v>9923</v>
      </c>
      <c r="B5232" s="787">
        <v>4</v>
      </c>
      <c r="C5232" s="787" t="s">
        <v>9662</v>
      </c>
      <c r="D5232" s="787">
        <v>5.8</v>
      </c>
      <c r="E5232" s="787">
        <v>5.8</v>
      </c>
      <c r="F5232" s="788">
        <v>40913</v>
      </c>
      <c r="G5232" s="788">
        <v>40913</v>
      </c>
      <c r="H5232" s="787">
        <v>1</v>
      </c>
      <c r="I5232" s="788">
        <v>41416</v>
      </c>
      <c r="J5232" s="788">
        <v>40898</v>
      </c>
      <c r="K5232" s="788">
        <v>40897</v>
      </c>
      <c r="L5232" s="787">
        <v>4.7699999999999996</v>
      </c>
      <c r="M5232" s="787">
        <v>20</v>
      </c>
      <c r="N5232" s="787">
        <v>5.13</v>
      </c>
      <c r="O5232" s="788">
        <v>41858</v>
      </c>
    </row>
    <row r="5233" spans="1:15" x14ac:dyDescent="0.25">
      <c r="A5233" s="786" t="s">
        <v>9924</v>
      </c>
      <c r="B5233" s="787">
        <v>4</v>
      </c>
      <c r="C5233" s="787" t="s">
        <v>9662</v>
      </c>
      <c r="D5233" s="787">
        <v>2.1</v>
      </c>
      <c r="E5233" s="787">
        <v>21.11</v>
      </c>
      <c r="F5233" s="788">
        <v>37642</v>
      </c>
      <c r="G5233" s="788">
        <v>42013</v>
      </c>
      <c r="H5233" s="787">
        <v>1</v>
      </c>
      <c r="I5233" s="788">
        <v>41857</v>
      </c>
      <c r="J5233" s="788">
        <v>41306</v>
      </c>
      <c r="K5233" s="788">
        <v>41864</v>
      </c>
      <c r="L5233" s="787">
        <v>21.11</v>
      </c>
      <c r="M5233" s="787">
        <v>20</v>
      </c>
      <c r="N5233" s="787">
        <v>2.46</v>
      </c>
      <c r="O5233" s="788">
        <v>41858</v>
      </c>
    </row>
    <row r="5234" spans="1:15" x14ac:dyDescent="0.25">
      <c r="A5234" s="786" t="s">
        <v>9925</v>
      </c>
      <c r="B5234" s="787">
        <v>4</v>
      </c>
      <c r="C5234" s="787" t="s">
        <v>9926</v>
      </c>
      <c r="D5234" s="787">
        <v>7.0000000000000007E-2</v>
      </c>
      <c r="E5234" s="787">
        <v>27.62</v>
      </c>
      <c r="F5234" s="788">
        <v>39101</v>
      </c>
      <c r="G5234" s="788">
        <v>42013</v>
      </c>
      <c r="H5234" s="787">
        <v>1</v>
      </c>
      <c r="I5234" s="788">
        <v>41827</v>
      </c>
      <c r="J5234" s="788">
        <v>40777</v>
      </c>
      <c r="K5234" s="788">
        <v>40471</v>
      </c>
      <c r="L5234" s="787">
        <v>27.29</v>
      </c>
      <c r="M5234" s="787">
        <v>20</v>
      </c>
      <c r="N5234" s="787">
        <v>29.34</v>
      </c>
      <c r="O5234" s="788">
        <v>41858</v>
      </c>
    </row>
    <row r="5235" spans="1:15" x14ac:dyDescent="0.25">
      <c r="A5235" s="786" t="s">
        <v>9927</v>
      </c>
      <c r="B5235" s="787">
        <v>4</v>
      </c>
      <c r="C5235" s="787" t="s">
        <v>9662</v>
      </c>
      <c r="D5235" s="787">
        <v>4.95</v>
      </c>
      <c r="E5235" s="787">
        <v>4.95</v>
      </c>
      <c r="F5235" s="788">
        <v>38047</v>
      </c>
      <c r="G5235" s="788">
        <v>38047</v>
      </c>
      <c r="H5235" s="787">
        <v>1</v>
      </c>
      <c r="I5235" s="788">
        <v>38660</v>
      </c>
      <c r="J5235" s="788">
        <v>38047</v>
      </c>
      <c r="L5235" s="787">
        <v>5.4</v>
      </c>
      <c r="M5235" s="787">
        <v>20</v>
      </c>
      <c r="N5235" s="787">
        <v>5.81</v>
      </c>
      <c r="O5235" s="788">
        <v>41858</v>
      </c>
    </row>
    <row r="5236" spans="1:15" x14ac:dyDescent="0.25">
      <c r="A5236" s="786" t="s">
        <v>9928</v>
      </c>
      <c r="B5236" s="787">
        <v>4</v>
      </c>
      <c r="C5236" s="787" t="s">
        <v>9662</v>
      </c>
      <c r="D5236" s="787">
        <v>5.08</v>
      </c>
      <c r="E5236" s="787">
        <v>9.4499999999999993</v>
      </c>
      <c r="F5236" s="788">
        <v>38047</v>
      </c>
      <c r="G5236" s="788">
        <v>42159</v>
      </c>
      <c r="H5236" s="787">
        <v>1</v>
      </c>
      <c r="I5236" s="788">
        <v>42101</v>
      </c>
      <c r="J5236" s="788">
        <v>42150</v>
      </c>
      <c r="K5236" s="788">
        <v>40869</v>
      </c>
      <c r="L5236" s="787">
        <v>11.92</v>
      </c>
      <c r="M5236" s="787">
        <v>20</v>
      </c>
      <c r="N5236" s="787">
        <v>12.81</v>
      </c>
      <c r="O5236" s="788">
        <v>41858</v>
      </c>
    </row>
    <row r="5237" spans="1:15" x14ac:dyDescent="0.25">
      <c r="A5237" s="786" t="s">
        <v>9929</v>
      </c>
      <c r="B5237" s="787">
        <v>4</v>
      </c>
      <c r="C5237" s="787" t="s">
        <v>9675</v>
      </c>
      <c r="D5237" s="787">
        <v>0.12</v>
      </c>
      <c r="E5237" s="787">
        <v>10.83</v>
      </c>
      <c r="F5237" s="788">
        <v>41374</v>
      </c>
      <c r="G5237" s="788">
        <v>41943</v>
      </c>
      <c r="H5237" s="787">
        <v>1</v>
      </c>
      <c r="I5237" s="788">
        <v>41522</v>
      </c>
      <c r="J5237" s="788">
        <v>41806</v>
      </c>
      <c r="L5237" s="787">
        <v>10.83</v>
      </c>
      <c r="M5237" s="787">
        <v>20</v>
      </c>
      <c r="N5237" s="787">
        <v>11.64</v>
      </c>
      <c r="O5237" s="788">
        <v>41955</v>
      </c>
    </row>
    <row r="5238" spans="1:15" x14ac:dyDescent="0.25">
      <c r="A5238" s="786" t="s">
        <v>9930</v>
      </c>
      <c r="B5238" s="787">
        <v>4</v>
      </c>
      <c r="C5238" s="787" t="s">
        <v>9662</v>
      </c>
      <c r="D5238" s="787">
        <v>5.57</v>
      </c>
      <c r="E5238" s="787">
        <v>13.74</v>
      </c>
      <c r="F5238" s="788">
        <v>40843</v>
      </c>
      <c r="G5238" s="788">
        <v>42013</v>
      </c>
      <c r="H5238" s="787">
        <v>1</v>
      </c>
      <c r="I5238" s="788">
        <v>42018</v>
      </c>
      <c r="J5238" s="788">
        <v>41974</v>
      </c>
      <c r="K5238" s="788">
        <v>40725</v>
      </c>
      <c r="L5238" s="787">
        <v>6.67</v>
      </c>
      <c r="M5238" s="787">
        <v>20</v>
      </c>
      <c r="N5238" s="787">
        <v>7.17</v>
      </c>
      <c r="O5238" s="788">
        <v>42162</v>
      </c>
    </row>
    <row r="5239" spans="1:15" x14ac:dyDescent="0.25">
      <c r="A5239" s="786" t="s">
        <v>9931</v>
      </c>
      <c r="B5239" s="787">
        <v>4</v>
      </c>
      <c r="C5239" s="787" t="s">
        <v>9662</v>
      </c>
      <c r="D5239" s="787">
        <v>4.28</v>
      </c>
      <c r="E5239" s="787">
        <v>7.07</v>
      </c>
      <c r="F5239" s="788">
        <v>37642</v>
      </c>
      <c r="G5239" s="788">
        <v>38736</v>
      </c>
      <c r="H5239" s="787">
        <v>1</v>
      </c>
      <c r="I5239" s="788">
        <v>39627</v>
      </c>
      <c r="J5239" s="788">
        <v>38401</v>
      </c>
      <c r="L5239" s="787">
        <v>7.71</v>
      </c>
      <c r="M5239" s="787">
        <v>20</v>
      </c>
      <c r="N5239" s="787">
        <v>8.2899999999999991</v>
      </c>
      <c r="O5239" s="788">
        <v>41858</v>
      </c>
    </row>
    <row r="5240" spans="1:15" x14ac:dyDescent="0.25">
      <c r="A5240" s="786" t="s">
        <v>9932</v>
      </c>
      <c r="B5240" s="787">
        <v>4</v>
      </c>
      <c r="C5240" s="787" t="s">
        <v>9933</v>
      </c>
      <c r="D5240" s="787">
        <v>3.92</v>
      </c>
      <c r="E5240" s="787">
        <v>4.87</v>
      </c>
      <c r="F5240" s="788">
        <v>40541</v>
      </c>
      <c r="G5240" s="788">
        <v>42143</v>
      </c>
      <c r="H5240" s="787">
        <v>1</v>
      </c>
      <c r="I5240" s="788">
        <v>42164</v>
      </c>
      <c r="J5240" s="788">
        <v>42122</v>
      </c>
      <c r="K5240" s="788">
        <v>41862</v>
      </c>
      <c r="L5240" s="787">
        <v>4.47</v>
      </c>
      <c r="M5240" s="787">
        <v>20</v>
      </c>
      <c r="N5240" s="787">
        <v>5.38</v>
      </c>
      <c r="O5240" s="788">
        <v>42146</v>
      </c>
    </row>
    <row r="5241" spans="1:15" x14ac:dyDescent="0.25">
      <c r="A5241" s="786" t="s">
        <v>9934</v>
      </c>
      <c r="B5241" s="787">
        <v>4</v>
      </c>
      <c r="C5241" s="787" t="s">
        <v>9935</v>
      </c>
      <c r="D5241" s="787">
        <v>6.23</v>
      </c>
      <c r="E5241" s="787">
        <v>6.79</v>
      </c>
      <c r="F5241" s="788">
        <v>40239</v>
      </c>
      <c r="G5241" s="788">
        <v>42091</v>
      </c>
      <c r="H5241" s="787">
        <v>1</v>
      </c>
      <c r="I5241" s="788">
        <v>42160</v>
      </c>
      <c r="J5241" s="788">
        <v>42082</v>
      </c>
      <c r="K5241" s="788">
        <v>41137</v>
      </c>
      <c r="L5241" s="787">
        <v>7.57</v>
      </c>
      <c r="M5241" s="787">
        <v>20</v>
      </c>
      <c r="N5241" s="787">
        <v>9.11</v>
      </c>
      <c r="O5241" s="788">
        <v>42153</v>
      </c>
    </row>
    <row r="5242" spans="1:15" x14ac:dyDescent="0.25">
      <c r="A5242" s="786" t="s">
        <v>9936</v>
      </c>
      <c r="B5242" s="787">
        <v>4</v>
      </c>
      <c r="C5242" s="787" t="s">
        <v>9662</v>
      </c>
      <c r="D5242" s="787">
        <v>1.57</v>
      </c>
      <c r="E5242" s="787">
        <v>1.57</v>
      </c>
      <c r="F5242" s="788">
        <v>38607</v>
      </c>
      <c r="G5242" s="788">
        <v>38607</v>
      </c>
      <c r="H5242" s="787">
        <v>1</v>
      </c>
      <c r="I5242" s="788">
        <v>41246</v>
      </c>
      <c r="J5242" s="788">
        <v>38657</v>
      </c>
      <c r="L5242" s="787">
        <v>1.57</v>
      </c>
      <c r="M5242" s="787">
        <v>20</v>
      </c>
      <c r="N5242" s="787">
        <v>1.89</v>
      </c>
      <c r="O5242" s="788">
        <v>41955</v>
      </c>
    </row>
    <row r="5243" spans="1:15" x14ac:dyDescent="0.25">
      <c r="A5243" s="786" t="s">
        <v>9937</v>
      </c>
      <c r="B5243" s="787">
        <v>4</v>
      </c>
      <c r="C5243" s="787" t="s">
        <v>9662</v>
      </c>
      <c r="D5243" s="787">
        <v>5.81</v>
      </c>
      <c r="E5243" s="787">
        <v>9.14</v>
      </c>
      <c r="F5243" s="788">
        <v>40004</v>
      </c>
      <c r="G5243" s="788">
        <v>42041</v>
      </c>
      <c r="H5243" s="787">
        <v>1</v>
      </c>
      <c r="I5243" s="788">
        <v>42034</v>
      </c>
      <c r="J5243" s="788">
        <v>42031</v>
      </c>
      <c r="K5243" s="788">
        <v>40368</v>
      </c>
      <c r="L5243" s="787">
        <v>8.93</v>
      </c>
      <c r="M5243" s="787">
        <v>20</v>
      </c>
      <c r="N5243" s="787">
        <v>9.6</v>
      </c>
      <c r="O5243" s="788">
        <v>41858</v>
      </c>
    </row>
    <row r="5244" spans="1:15" x14ac:dyDescent="0.25">
      <c r="A5244" s="786" t="s">
        <v>9938</v>
      </c>
      <c r="B5244" s="787">
        <v>4</v>
      </c>
      <c r="C5244" s="787" t="s">
        <v>9662</v>
      </c>
      <c r="D5244" s="787">
        <v>0</v>
      </c>
      <c r="E5244" s="787">
        <v>0</v>
      </c>
      <c r="H5244" s="787">
        <v>1</v>
      </c>
      <c r="I5244" s="788">
        <v>41624</v>
      </c>
      <c r="L5244" s="787">
        <v>0</v>
      </c>
      <c r="M5244" s="787">
        <v>20</v>
      </c>
      <c r="N5244" s="787">
        <v>0</v>
      </c>
      <c r="O5244" s="788">
        <v>40824</v>
      </c>
    </row>
    <row r="5245" spans="1:15" x14ac:dyDescent="0.25">
      <c r="A5245" s="786" t="s">
        <v>9939</v>
      </c>
      <c r="B5245" s="787">
        <v>4</v>
      </c>
      <c r="C5245" s="787" t="s">
        <v>9764</v>
      </c>
      <c r="D5245" s="787">
        <v>0</v>
      </c>
      <c r="E5245" s="787">
        <v>0</v>
      </c>
      <c r="H5245" s="787">
        <v>1</v>
      </c>
      <c r="I5245" s="788">
        <v>40241</v>
      </c>
      <c r="J5245" s="788">
        <v>40240</v>
      </c>
      <c r="K5245" s="788">
        <v>40240</v>
      </c>
      <c r="L5245" s="787">
        <v>8</v>
      </c>
      <c r="M5245" s="787">
        <v>20</v>
      </c>
      <c r="N5245" s="787">
        <v>9.6300000000000008</v>
      </c>
      <c r="O5245" s="788">
        <v>42146</v>
      </c>
    </row>
    <row r="5246" spans="1:15" x14ac:dyDescent="0.25">
      <c r="A5246" s="786" t="s">
        <v>9940</v>
      </c>
      <c r="B5246" s="787">
        <v>4</v>
      </c>
      <c r="C5246" s="787" t="s">
        <v>9941</v>
      </c>
      <c r="D5246" s="787">
        <v>8.98</v>
      </c>
      <c r="E5246" s="787">
        <v>10.43</v>
      </c>
      <c r="F5246" s="788">
        <v>41116</v>
      </c>
      <c r="G5246" s="788">
        <v>42165</v>
      </c>
      <c r="H5246" s="787">
        <v>1</v>
      </c>
      <c r="I5246" s="788">
        <v>42159</v>
      </c>
      <c r="J5246" s="788">
        <v>42153</v>
      </c>
      <c r="K5246" s="788">
        <v>40730</v>
      </c>
      <c r="L5246" s="787">
        <v>9.0399999999999991</v>
      </c>
      <c r="M5246" s="787">
        <v>20</v>
      </c>
      <c r="N5246" s="787">
        <v>10.88</v>
      </c>
      <c r="O5246" s="788">
        <v>42164</v>
      </c>
    </row>
    <row r="5247" spans="1:15" x14ac:dyDescent="0.25">
      <c r="A5247" s="786" t="s">
        <v>9942</v>
      </c>
      <c r="B5247" s="787">
        <v>4</v>
      </c>
      <c r="C5247" s="787" t="s">
        <v>9675</v>
      </c>
      <c r="D5247" s="787">
        <v>9.14</v>
      </c>
      <c r="E5247" s="787">
        <v>27.61</v>
      </c>
      <c r="F5247" s="788">
        <v>40520</v>
      </c>
      <c r="G5247" s="788">
        <v>42013</v>
      </c>
      <c r="H5247" s="787">
        <v>1</v>
      </c>
      <c r="I5247" s="788">
        <v>41922</v>
      </c>
      <c r="J5247" s="788">
        <v>41892</v>
      </c>
      <c r="K5247" s="788">
        <v>41905</v>
      </c>
      <c r="L5247" s="787">
        <v>27.12</v>
      </c>
      <c r="M5247" s="787">
        <v>20</v>
      </c>
      <c r="N5247" s="787">
        <v>29.15</v>
      </c>
      <c r="O5247" s="788">
        <v>41955</v>
      </c>
    </row>
    <row r="5248" spans="1:15" x14ac:dyDescent="0.25">
      <c r="A5248" s="786" t="s">
        <v>9943</v>
      </c>
      <c r="B5248" s="787">
        <v>4</v>
      </c>
      <c r="C5248" s="787" t="s">
        <v>9675</v>
      </c>
      <c r="D5248" s="787">
        <v>4.6399999999999997</v>
      </c>
      <c r="E5248" s="787">
        <v>19.12</v>
      </c>
      <c r="F5248" s="788">
        <v>40758</v>
      </c>
      <c r="G5248" s="788">
        <v>40935</v>
      </c>
      <c r="H5248" s="787">
        <v>1</v>
      </c>
      <c r="I5248" s="788">
        <v>42102</v>
      </c>
      <c r="J5248" s="788">
        <v>40931</v>
      </c>
      <c r="K5248" s="788">
        <v>40743</v>
      </c>
      <c r="L5248" s="787">
        <v>11.56</v>
      </c>
      <c r="M5248" s="787">
        <v>20</v>
      </c>
      <c r="N5248" s="787">
        <v>12.43</v>
      </c>
      <c r="O5248" s="788">
        <v>42034</v>
      </c>
    </row>
    <row r="5249" spans="1:15" x14ac:dyDescent="0.25">
      <c r="A5249" s="786" t="s">
        <v>9944</v>
      </c>
      <c r="B5249" s="787">
        <v>4</v>
      </c>
      <c r="C5249" s="787" t="s">
        <v>9662</v>
      </c>
      <c r="D5249" s="787">
        <v>4.16</v>
      </c>
      <c r="E5249" s="787">
        <v>8.06</v>
      </c>
      <c r="F5249" s="788">
        <v>41439</v>
      </c>
      <c r="G5249" s="788">
        <v>42092</v>
      </c>
      <c r="H5249" s="787">
        <v>1</v>
      </c>
      <c r="I5249" s="788">
        <v>42082</v>
      </c>
      <c r="J5249" s="788">
        <v>42083</v>
      </c>
      <c r="K5249" s="788">
        <v>41436</v>
      </c>
      <c r="L5249" s="787">
        <v>3.65</v>
      </c>
      <c r="M5249" s="787">
        <v>20</v>
      </c>
      <c r="N5249" s="787">
        <v>3.92</v>
      </c>
      <c r="O5249" s="788">
        <v>41858</v>
      </c>
    </row>
    <row r="5250" spans="1:15" x14ac:dyDescent="0.25">
      <c r="A5250" s="786" t="s">
        <v>9945</v>
      </c>
      <c r="B5250" s="787">
        <v>4</v>
      </c>
      <c r="C5250" s="787" t="s">
        <v>9662</v>
      </c>
      <c r="D5250" s="787">
        <v>8.02</v>
      </c>
      <c r="E5250" s="787">
        <v>10.43</v>
      </c>
      <c r="F5250" s="788">
        <v>41473</v>
      </c>
      <c r="G5250" s="788">
        <v>42013</v>
      </c>
      <c r="H5250" s="787">
        <v>1</v>
      </c>
      <c r="I5250" s="788">
        <v>42046</v>
      </c>
      <c r="J5250" s="788">
        <v>41939</v>
      </c>
      <c r="L5250" s="787">
        <v>8.02</v>
      </c>
      <c r="M5250" s="787">
        <v>20</v>
      </c>
      <c r="N5250" s="787">
        <v>8.6199999999999992</v>
      </c>
      <c r="O5250" s="788">
        <v>42044</v>
      </c>
    </row>
    <row r="5251" spans="1:15" x14ac:dyDescent="0.25">
      <c r="A5251" s="786" t="s">
        <v>9946</v>
      </c>
      <c r="B5251" s="787">
        <v>4</v>
      </c>
      <c r="C5251" s="787" t="s">
        <v>9675</v>
      </c>
      <c r="D5251" s="787">
        <v>0.56000000000000005</v>
      </c>
      <c r="E5251" s="787">
        <v>10.56</v>
      </c>
      <c r="F5251" s="788">
        <v>41094</v>
      </c>
      <c r="G5251" s="788">
        <v>41646</v>
      </c>
      <c r="H5251" s="787">
        <v>6</v>
      </c>
      <c r="I5251" s="788">
        <v>41718</v>
      </c>
      <c r="J5251" s="788">
        <v>41093</v>
      </c>
      <c r="L5251" s="787">
        <v>9.6</v>
      </c>
      <c r="M5251" s="787">
        <v>20</v>
      </c>
      <c r="N5251" s="787">
        <v>11.56</v>
      </c>
      <c r="O5251" s="788">
        <v>41858</v>
      </c>
    </row>
    <row r="5252" spans="1:15" x14ac:dyDescent="0.25">
      <c r="A5252" s="786" t="s">
        <v>9947</v>
      </c>
      <c r="B5252" s="787">
        <v>4</v>
      </c>
      <c r="C5252" s="787" t="s">
        <v>9662</v>
      </c>
      <c r="D5252" s="787">
        <v>5.79</v>
      </c>
      <c r="E5252" s="787">
        <v>5.79</v>
      </c>
      <c r="F5252" s="788">
        <v>41939</v>
      </c>
      <c r="G5252" s="788">
        <v>41942</v>
      </c>
      <c r="H5252" s="787">
        <v>1</v>
      </c>
      <c r="I5252" s="788">
        <v>41948</v>
      </c>
      <c r="J5252" s="788">
        <v>41936</v>
      </c>
      <c r="L5252" s="787">
        <v>0.01</v>
      </c>
      <c r="M5252" s="787">
        <v>20</v>
      </c>
      <c r="N5252" s="787">
        <v>0.01</v>
      </c>
      <c r="O5252" s="788">
        <v>42115</v>
      </c>
    </row>
    <row r="5253" spans="1:15" x14ac:dyDescent="0.25">
      <c r="A5253" s="786" t="s">
        <v>9948</v>
      </c>
      <c r="B5253" s="787">
        <v>4</v>
      </c>
      <c r="C5253" s="787" t="s">
        <v>9949</v>
      </c>
      <c r="D5253" s="787">
        <v>4.6100000000000003</v>
      </c>
      <c r="E5253" s="787">
        <v>4.6100000000000003</v>
      </c>
      <c r="F5253" s="788">
        <v>39101</v>
      </c>
      <c r="G5253" s="788">
        <v>40553</v>
      </c>
      <c r="H5253" s="787">
        <v>1</v>
      </c>
      <c r="I5253" s="788">
        <v>41248</v>
      </c>
      <c r="J5253" s="788">
        <v>39149</v>
      </c>
      <c r="L5253" s="787">
        <v>5.63</v>
      </c>
      <c r="M5253" s="787">
        <v>20</v>
      </c>
      <c r="N5253" s="787">
        <v>6.78</v>
      </c>
      <c r="O5253" s="788">
        <v>42162</v>
      </c>
    </row>
    <row r="5254" spans="1:15" x14ac:dyDescent="0.25">
      <c r="A5254" s="786" t="s">
        <v>9950</v>
      </c>
      <c r="B5254" s="787">
        <v>4</v>
      </c>
      <c r="C5254" s="787" t="s">
        <v>9951</v>
      </c>
      <c r="D5254" s="787">
        <v>4.0599999999999996</v>
      </c>
      <c r="E5254" s="787">
        <v>27.6</v>
      </c>
      <c r="F5254" s="788">
        <v>41134</v>
      </c>
      <c r="G5254" s="788">
        <v>41278</v>
      </c>
      <c r="H5254" s="787">
        <v>1</v>
      </c>
      <c r="I5254" s="788">
        <v>41248</v>
      </c>
      <c r="J5254" s="788">
        <v>41232</v>
      </c>
      <c r="L5254" s="787">
        <v>5.57</v>
      </c>
      <c r="M5254" s="787">
        <v>10</v>
      </c>
      <c r="N5254" s="787">
        <v>4.82</v>
      </c>
      <c r="O5254" s="788">
        <v>42162</v>
      </c>
    </row>
    <row r="5255" spans="1:15" x14ac:dyDescent="0.25">
      <c r="A5255" s="786" t="s">
        <v>9952</v>
      </c>
      <c r="B5255" s="787">
        <v>4</v>
      </c>
      <c r="C5255" s="787" t="s">
        <v>9953</v>
      </c>
      <c r="D5255" s="787">
        <v>5.32</v>
      </c>
      <c r="E5255" s="787">
        <v>11.97</v>
      </c>
      <c r="F5255" s="788">
        <v>39101</v>
      </c>
      <c r="G5255" s="788">
        <v>41737</v>
      </c>
      <c r="H5255" s="787">
        <v>1</v>
      </c>
      <c r="I5255" s="788">
        <v>42074</v>
      </c>
      <c r="J5255" s="788">
        <v>42075</v>
      </c>
      <c r="L5255" s="787">
        <v>14.61</v>
      </c>
      <c r="M5255" s="787">
        <v>10</v>
      </c>
      <c r="N5255" s="787">
        <v>5.52</v>
      </c>
      <c r="O5255" s="788">
        <v>42162</v>
      </c>
    </row>
    <row r="5256" spans="1:15" x14ac:dyDescent="0.25">
      <c r="A5256" s="786" t="s">
        <v>9954</v>
      </c>
      <c r="B5256" s="787">
        <v>4</v>
      </c>
      <c r="C5256" s="787" t="s">
        <v>9955</v>
      </c>
      <c r="D5256" s="787">
        <v>5.22</v>
      </c>
      <c r="E5256" s="787">
        <v>5.22</v>
      </c>
      <c r="F5256" s="788">
        <v>39101</v>
      </c>
      <c r="G5256" s="788">
        <v>40914</v>
      </c>
      <c r="H5256" s="787">
        <v>1</v>
      </c>
      <c r="I5256" s="788">
        <v>41248</v>
      </c>
      <c r="J5256" s="788">
        <v>39149</v>
      </c>
      <c r="L5256" s="787">
        <v>6.37</v>
      </c>
      <c r="M5256" s="787">
        <v>20</v>
      </c>
      <c r="N5256" s="787">
        <v>7.67</v>
      </c>
      <c r="O5256" s="788">
        <v>42162</v>
      </c>
    </row>
    <row r="5257" spans="1:15" x14ac:dyDescent="0.25">
      <c r="A5257" s="786" t="s">
        <v>9956</v>
      </c>
      <c r="B5257" s="787">
        <v>4</v>
      </c>
      <c r="C5257" s="787" t="s">
        <v>9957</v>
      </c>
      <c r="D5257" s="787">
        <v>7.44</v>
      </c>
      <c r="E5257" s="787">
        <v>7.44</v>
      </c>
      <c r="F5257" s="788">
        <v>39101</v>
      </c>
      <c r="G5257" s="788">
        <v>41610</v>
      </c>
      <c r="H5257" s="787">
        <v>1</v>
      </c>
      <c r="I5257" s="788">
        <v>42074</v>
      </c>
      <c r="J5257" s="788">
        <v>41610</v>
      </c>
      <c r="L5257" s="787">
        <v>9.6199999999999992</v>
      </c>
      <c r="M5257" s="787">
        <v>20</v>
      </c>
      <c r="N5257" s="787">
        <v>11.58</v>
      </c>
      <c r="O5257" s="788">
        <v>42162</v>
      </c>
    </row>
    <row r="5258" spans="1:15" x14ac:dyDescent="0.25">
      <c r="A5258" s="786" t="s">
        <v>9958</v>
      </c>
      <c r="B5258" s="787">
        <v>4</v>
      </c>
      <c r="C5258" s="787" t="s">
        <v>9959</v>
      </c>
      <c r="D5258" s="787">
        <v>6.65</v>
      </c>
      <c r="E5258" s="787">
        <v>6.65</v>
      </c>
      <c r="F5258" s="788">
        <v>39101</v>
      </c>
      <c r="G5258" s="788">
        <v>42013</v>
      </c>
      <c r="H5258" s="787">
        <v>1</v>
      </c>
      <c r="I5258" s="788">
        <v>42074</v>
      </c>
      <c r="J5258" s="788">
        <v>41610</v>
      </c>
      <c r="L5258" s="787">
        <v>8.3699999999999992</v>
      </c>
      <c r="M5258" s="787">
        <v>20</v>
      </c>
      <c r="N5258" s="787">
        <v>10.08</v>
      </c>
      <c r="O5258" s="788">
        <v>42162</v>
      </c>
    </row>
    <row r="5259" spans="1:15" x14ac:dyDescent="0.25">
      <c r="A5259" s="786" t="s">
        <v>9960</v>
      </c>
      <c r="B5259" s="787">
        <v>4</v>
      </c>
      <c r="C5259" s="787" t="s">
        <v>9961</v>
      </c>
      <c r="D5259" s="787">
        <v>0</v>
      </c>
      <c r="E5259" s="787">
        <v>0</v>
      </c>
      <c r="H5259" s="787">
        <v>1</v>
      </c>
      <c r="I5259" s="788">
        <v>37673</v>
      </c>
      <c r="J5259" s="788">
        <v>37642</v>
      </c>
      <c r="L5259" s="787">
        <v>0</v>
      </c>
      <c r="M5259" s="787">
        <v>20</v>
      </c>
      <c r="N5259" s="787">
        <v>0</v>
      </c>
      <c r="O5259" s="788">
        <v>40824</v>
      </c>
    </row>
    <row r="5260" spans="1:15" x14ac:dyDescent="0.25">
      <c r="A5260" s="786" t="s">
        <v>9962</v>
      </c>
      <c r="B5260" s="787">
        <v>4</v>
      </c>
      <c r="C5260" s="787" t="s">
        <v>9963</v>
      </c>
      <c r="D5260" s="787">
        <v>3.25</v>
      </c>
      <c r="E5260" s="787">
        <v>4.21</v>
      </c>
      <c r="F5260" s="788">
        <v>39101</v>
      </c>
      <c r="G5260" s="788">
        <v>42017</v>
      </c>
      <c r="H5260" s="787">
        <v>6</v>
      </c>
      <c r="I5260" s="788">
        <v>42016</v>
      </c>
      <c r="J5260" s="788">
        <v>42017</v>
      </c>
      <c r="L5260" s="787">
        <v>4.04</v>
      </c>
      <c r="M5260" s="787">
        <v>20</v>
      </c>
      <c r="N5260" s="787">
        <v>4.8600000000000003</v>
      </c>
      <c r="O5260" s="788">
        <v>42015</v>
      </c>
    </row>
    <row r="5261" spans="1:15" x14ac:dyDescent="0.25">
      <c r="A5261" s="786" t="s">
        <v>9964</v>
      </c>
      <c r="B5261" s="787">
        <v>4</v>
      </c>
      <c r="C5261" s="787" t="s">
        <v>9965</v>
      </c>
      <c r="D5261" s="787">
        <v>6.1</v>
      </c>
      <c r="E5261" s="787">
        <v>6.1</v>
      </c>
      <c r="F5261" s="788">
        <v>37642</v>
      </c>
      <c r="G5261" s="788">
        <v>37642</v>
      </c>
      <c r="H5261" s="787">
        <v>1</v>
      </c>
      <c r="I5261" s="788">
        <v>37868</v>
      </c>
      <c r="J5261" s="788">
        <v>37642</v>
      </c>
      <c r="L5261" s="787">
        <v>7.45</v>
      </c>
      <c r="M5261" s="787">
        <v>20</v>
      </c>
      <c r="N5261" s="787">
        <v>8.9700000000000006</v>
      </c>
      <c r="O5261" s="788">
        <v>42162</v>
      </c>
    </row>
    <row r="5262" spans="1:15" x14ac:dyDescent="0.25">
      <c r="A5262" s="786" t="s">
        <v>9966</v>
      </c>
      <c r="B5262" s="787">
        <v>4</v>
      </c>
      <c r="C5262" s="787" t="s">
        <v>9967</v>
      </c>
      <c r="D5262" s="787">
        <v>4.4000000000000004</v>
      </c>
      <c r="E5262" s="787">
        <v>6.47</v>
      </c>
      <c r="F5262" s="788">
        <v>38047</v>
      </c>
      <c r="G5262" s="788">
        <v>41766</v>
      </c>
      <c r="H5262" s="787">
        <v>1</v>
      </c>
      <c r="I5262" s="788">
        <v>41900</v>
      </c>
      <c r="J5262" s="788">
        <v>41766</v>
      </c>
      <c r="L5262" s="787">
        <v>5.37</v>
      </c>
      <c r="M5262" s="787">
        <v>10</v>
      </c>
      <c r="N5262" s="787">
        <v>7.3</v>
      </c>
      <c r="O5262" s="788">
        <v>42146</v>
      </c>
    </row>
    <row r="5263" spans="1:15" x14ac:dyDescent="0.25">
      <c r="A5263" s="786" t="s">
        <v>9968</v>
      </c>
      <c r="B5263" s="787">
        <v>4</v>
      </c>
      <c r="C5263" s="787" t="s">
        <v>9969</v>
      </c>
      <c r="D5263" s="787">
        <v>3.17</v>
      </c>
      <c r="E5263" s="787">
        <v>3.17</v>
      </c>
      <c r="F5263" s="788">
        <v>39101</v>
      </c>
      <c r="G5263" s="788">
        <v>39101</v>
      </c>
      <c r="H5263" s="787">
        <v>1</v>
      </c>
      <c r="I5263" s="788">
        <v>39134</v>
      </c>
      <c r="J5263" s="788">
        <v>39149</v>
      </c>
      <c r="L5263" s="787">
        <v>3.87</v>
      </c>
      <c r="M5263" s="787">
        <v>20</v>
      </c>
      <c r="N5263" s="787">
        <v>4.66</v>
      </c>
      <c r="O5263" s="788">
        <v>41858</v>
      </c>
    </row>
    <row r="5264" spans="1:15" x14ac:dyDescent="0.25">
      <c r="A5264" s="786" t="s">
        <v>9970</v>
      </c>
      <c r="B5264" s="787">
        <v>4</v>
      </c>
      <c r="C5264" s="787" t="s">
        <v>9971</v>
      </c>
      <c r="D5264" s="787">
        <v>5.73</v>
      </c>
      <c r="E5264" s="787">
        <v>5.73</v>
      </c>
      <c r="F5264" s="788">
        <v>37642</v>
      </c>
      <c r="G5264" s="788">
        <v>37642</v>
      </c>
      <c r="H5264" s="787">
        <v>1</v>
      </c>
      <c r="I5264" s="788">
        <v>37441</v>
      </c>
      <c r="J5264" s="788">
        <v>37642</v>
      </c>
      <c r="K5264" s="788">
        <v>41471</v>
      </c>
      <c r="L5264" s="787">
        <v>26.02</v>
      </c>
      <c r="M5264" s="787">
        <v>10</v>
      </c>
      <c r="N5264" s="787">
        <v>27.79</v>
      </c>
      <c r="O5264" s="788">
        <v>42082</v>
      </c>
    </row>
    <row r="5265" spans="1:15" x14ac:dyDescent="0.25">
      <c r="A5265" s="786" t="s">
        <v>9972</v>
      </c>
      <c r="B5265" s="787">
        <v>4</v>
      </c>
      <c r="C5265" s="787" t="s">
        <v>9973</v>
      </c>
      <c r="D5265" s="787">
        <v>2.74</v>
      </c>
      <c r="E5265" s="787">
        <v>2.97</v>
      </c>
      <c r="F5265" s="788">
        <v>40051</v>
      </c>
      <c r="G5265" s="788">
        <v>42146</v>
      </c>
      <c r="H5265" s="787">
        <v>1</v>
      </c>
      <c r="I5265" s="788">
        <v>42163</v>
      </c>
      <c r="J5265" s="788">
        <v>42116</v>
      </c>
      <c r="L5265" s="787">
        <v>2.81</v>
      </c>
      <c r="M5265" s="787">
        <v>20</v>
      </c>
      <c r="N5265" s="787">
        <v>3.02</v>
      </c>
      <c r="O5265" s="788">
        <v>42163</v>
      </c>
    </row>
    <row r="5266" spans="1:15" x14ac:dyDescent="0.25">
      <c r="A5266" s="786" t="s">
        <v>9974</v>
      </c>
      <c r="B5266" s="787">
        <v>4</v>
      </c>
      <c r="C5266" s="787" t="s">
        <v>9975</v>
      </c>
      <c r="D5266" s="787">
        <v>5.37</v>
      </c>
      <c r="E5266" s="787">
        <v>5.37</v>
      </c>
      <c r="F5266" s="788">
        <v>37642</v>
      </c>
      <c r="G5266" s="788">
        <v>37642</v>
      </c>
      <c r="H5266" s="787">
        <v>1</v>
      </c>
      <c r="I5266" s="788">
        <v>37441</v>
      </c>
      <c r="J5266" s="788">
        <v>37642</v>
      </c>
      <c r="L5266" s="787">
        <v>5.37</v>
      </c>
      <c r="M5266" s="787">
        <v>10</v>
      </c>
      <c r="N5266" s="787">
        <v>0</v>
      </c>
      <c r="O5266" s="788">
        <v>42082</v>
      </c>
    </row>
    <row r="5267" spans="1:15" x14ac:dyDescent="0.25">
      <c r="A5267" s="786" t="s">
        <v>9976</v>
      </c>
      <c r="B5267" s="787">
        <v>4</v>
      </c>
      <c r="C5267" s="787" t="s">
        <v>9977</v>
      </c>
      <c r="D5267" s="787">
        <v>1.1399999999999999</v>
      </c>
      <c r="E5267" s="787">
        <v>1.1399999999999999</v>
      </c>
      <c r="F5267" s="788">
        <v>37642</v>
      </c>
      <c r="G5267" s="788">
        <v>37642</v>
      </c>
      <c r="H5267" s="787">
        <v>1</v>
      </c>
      <c r="I5267" s="788">
        <v>37585</v>
      </c>
      <c r="J5267" s="788">
        <v>37642</v>
      </c>
      <c r="L5267" s="787">
        <v>0.56000000000000005</v>
      </c>
      <c r="M5267" s="787">
        <v>10</v>
      </c>
      <c r="N5267" s="787">
        <v>0.98</v>
      </c>
      <c r="O5267" s="788">
        <v>41858</v>
      </c>
    </row>
    <row r="5268" spans="1:15" x14ac:dyDescent="0.25">
      <c r="A5268" s="786" t="s">
        <v>9978</v>
      </c>
      <c r="B5268" s="787">
        <v>4</v>
      </c>
      <c r="C5268" s="787" t="s">
        <v>9977</v>
      </c>
      <c r="D5268" s="787">
        <v>1.1399999999999999</v>
      </c>
      <c r="E5268" s="787">
        <v>1.1399999999999999</v>
      </c>
      <c r="F5268" s="788">
        <v>37642</v>
      </c>
      <c r="G5268" s="788">
        <v>37642</v>
      </c>
      <c r="H5268" s="787">
        <v>1</v>
      </c>
      <c r="J5268" s="788">
        <v>37642</v>
      </c>
      <c r="L5268" s="787">
        <v>0.56000000000000005</v>
      </c>
      <c r="M5268" s="787">
        <v>10</v>
      </c>
      <c r="N5268" s="787">
        <v>0.98</v>
      </c>
      <c r="O5268" s="788">
        <v>41858</v>
      </c>
    </row>
    <row r="5269" spans="1:15" x14ac:dyDescent="0.25">
      <c r="A5269" s="786" t="s">
        <v>9979</v>
      </c>
      <c r="B5269" s="787">
        <v>4</v>
      </c>
      <c r="C5269" s="787" t="s">
        <v>9980</v>
      </c>
      <c r="D5269" s="787">
        <v>3.69</v>
      </c>
      <c r="E5269" s="787">
        <v>13.69</v>
      </c>
      <c r="F5269" s="788">
        <v>39101</v>
      </c>
      <c r="G5269" s="788">
        <v>39101</v>
      </c>
      <c r="H5269" s="787">
        <v>1</v>
      </c>
      <c r="I5269" s="788">
        <v>39057</v>
      </c>
      <c r="J5269" s="788">
        <v>39101</v>
      </c>
      <c r="L5269" s="787">
        <v>14.4</v>
      </c>
      <c r="M5269" s="787">
        <v>10</v>
      </c>
      <c r="N5269" s="787">
        <v>18.690000000000001</v>
      </c>
      <c r="O5269" s="788">
        <v>42144</v>
      </c>
    </row>
    <row r="5270" spans="1:15" x14ac:dyDescent="0.25">
      <c r="A5270" s="786" t="s">
        <v>9981</v>
      </c>
      <c r="B5270" s="787">
        <v>4</v>
      </c>
      <c r="C5270" s="787" t="s">
        <v>9982</v>
      </c>
      <c r="D5270" s="787">
        <v>2.6</v>
      </c>
      <c r="E5270" s="787">
        <v>2.9</v>
      </c>
      <c r="F5270" s="788">
        <v>39255</v>
      </c>
      <c r="G5270" s="788">
        <v>42121</v>
      </c>
      <c r="H5270" s="787">
        <v>1</v>
      </c>
      <c r="I5270" s="788">
        <v>42160</v>
      </c>
      <c r="J5270" s="788">
        <v>42114</v>
      </c>
      <c r="L5270" s="787">
        <v>2.5099999999999998</v>
      </c>
      <c r="M5270" s="787">
        <v>20</v>
      </c>
      <c r="N5270" s="787">
        <v>3.02</v>
      </c>
      <c r="O5270" s="788">
        <v>42163</v>
      </c>
    </row>
    <row r="5271" spans="1:15" x14ac:dyDescent="0.25">
      <c r="A5271" s="786" t="s">
        <v>9983</v>
      </c>
      <c r="B5271" s="787">
        <v>4</v>
      </c>
      <c r="C5271" s="787" t="s">
        <v>9984</v>
      </c>
      <c r="D5271" s="787">
        <v>0.18</v>
      </c>
      <c r="E5271" s="787">
        <v>0.24</v>
      </c>
      <c r="F5271" s="788">
        <v>40151</v>
      </c>
      <c r="G5271" s="788">
        <v>42092</v>
      </c>
      <c r="H5271" s="787">
        <v>1</v>
      </c>
      <c r="I5271" s="788">
        <v>42165</v>
      </c>
      <c r="J5271" s="788">
        <v>42082</v>
      </c>
      <c r="K5271" s="788">
        <v>41050</v>
      </c>
      <c r="L5271" s="787">
        <v>0.23</v>
      </c>
      <c r="M5271" s="787">
        <v>20</v>
      </c>
      <c r="N5271" s="787">
        <v>0.28000000000000003</v>
      </c>
      <c r="O5271" s="788">
        <v>42146</v>
      </c>
    </row>
    <row r="5272" spans="1:15" x14ac:dyDescent="0.25">
      <c r="A5272" s="786" t="s">
        <v>9985</v>
      </c>
      <c r="B5272" s="787">
        <v>4</v>
      </c>
      <c r="C5272" s="787" t="s">
        <v>9986</v>
      </c>
      <c r="D5272" s="787">
        <v>4.88</v>
      </c>
      <c r="E5272" s="787">
        <v>5.45</v>
      </c>
      <c r="F5272" s="788">
        <v>39101</v>
      </c>
      <c r="G5272" s="788">
        <v>42013</v>
      </c>
      <c r="H5272" s="787">
        <v>1</v>
      </c>
      <c r="I5272" s="788">
        <v>42163</v>
      </c>
      <c r="J5272" s="788">
        <v>41814</v>
      </c>
      <c r="K5272" s="788">
        <v>41772</v>
      </c>
      <c r="L5272" s="787">
        <v>5.45</v>
      </c>
      <c r="M5272" s="787">
        <v>20</v>
      </c>
      <c r="N5272" s="787">
        <v>6.56</v>
      </c>
      <c r="O5272" s="788">
        <v>42163</v>
      </c>
    </row>
    <row r="5273" spans="1:15" x14ac:dyDescent="0.25">
      <c r="A5273" s="786" t="s">
        <v>9987</v>
      </c>
      <c r="B5273" s="787">
        <v>4</v>
      </c>
      <c r="C5273" s="787" t="s">
        <v>9988</v>
      </c>
      <c r="D5273" s="787">
        <v>6.59</v>
      </c>
      <c r="E5273" s="787">
        <v>6.6</v>
      </c>
      <c r="F5273" s="788">
        <v>39101</v>
      </c>
      <c r="G5273" s="788">
        <v>42013</v>
      </c>
      <c r="H5273" s="787">
        <v>1</v>
      </c>
      <c r="I5273" s="788">
        <v>42163</v>
      </c>
      <c r="J5273" s="788">
        <v>41814</v>
      </c>
      <c r="K5273" s="788">
        <v>41772</v>
      </c>
      <c r="L5273" s="787">
        <v>6.6</v>
      </c>
      <c r="M5273" s="787">
        <v>20</v>
      </c>
      <c r="N5273" s="787">
        <v>7.95</v>
      </c>
      <c r="O5273" s="788">
        <v>42087</v>
      </c>
    </row>
    <row r="5274" spans="1:15" x14ac:dyDescent="0.25">
      <c r="A5274" s="786" t="s">
        <v>9989</v>
      </c>
      <c r="B5274" s="787">
        <v>4</v>
      </c>
      <c r="C5274" s="787" t="s">
        <v>9990</v>
      </c>
      <c r="D5274" s="787">
        <v>1.32</v>
      </c>
      <c r="E5274" s="787">
        <v>10.3</v>
      </c>
      <c r="F5274" s="788">
        <v>41977</v>
      </c>
      <c r="G5274" s="788">
        <v>42068</v>
      </c>
      <c r="H5274" s="787">
        <v>1</v>
      </c>
      <c r="I5274" s="788">
        <v>42152</v>
      </c>
      <c r="J5274" s="788">
        <v>42038</v>
      </c>
      <c r="K5274" s="788">
        <v>40149</v>
      </c>
      <c r="L5274" s="787">
        <v>6.95</v>
      </c>
      <c r="M5274" s="787">
        <v>10</v>
      </c>
      <c r="N5274" s="787">
        <v>6.52</v>
      </c>
      <c r="O5274" s="788">
        <v>42164</v>
      </c>
    </row>
    <row r="5275" spans="1:15" x14ac:dyDescent="0.25">
      <c r="A5275" s="786" t="s">
        <v>9991</v>
      </c>
      <c r="B5275" s="787">
        <v>4</v>
      </c>
      <c r="C5275" s="787" t="s">
        <v>9992</v>
      </c>
      <c r="D5275" s="787">
        <v>6.32</v>
      </c>
      <c r="E5275" s="787">
        <v>12.35</v>
      </c>
      <c r="F5275" s="788">
        <v>39101</v>
      </c>
      <c r="G5275" s="788">
        <v>42060</v>
      </c>
      <c r="H5275" s="787">
        <v>1</v>
      </c>
      <c r="I5275" s="788">
        <v>42152</v>
      </c>
      <c r="J5275" s="788">
        <v>42030</v>
      </c>
      <c r="L5275" s="787">
        <v>7.72</v>
      </c>
      <c r="M5275" s="787">
        <v>10</v>
      </c>
      <c r="N5275" s="787">
        <v>8.19</v>
      </c>
      <c r="O5275" s="788">
        <v>42082</v>
      </c>
    </row>
    <row r="5276" spans="1:15" x14ac:dyDescent="0.25">
      <c r="A5276" s="786" t="s">
        <v>9993</v>
      </c>
      <c r="B5276" s="787">
        <v>4</v>
      </c>
      <c r="C5276" s="787" t="s">
        <v>9994</v>
      </c>
      <c r="D5276" s="787">
        <v>3.54</v>
      </c>
      <c r="E5276" s="787">
        <v>3.54</v>
      </c>
      <c r="F5276" s="788">
        <v>41996</v>
      </c>
      <c r="G5276" s="788">
        <v>42013</v>
      </c>
      <c r="H5276" s="787">
        <v>1</v>
      </c>
      <c r="I5276" s="788">
        <v>42157</v>
      </c>
      <c r="J5276" s="788">
        <v>41970</v>
      </c>
      <c r="L5276" s="787">
        <v>4.53</v>
      </c>
      <c r="M5276" s="787">
        <v>10</v>
      </c>
      <c r="N5276" s="787">
        <v>3.71</v>
      </c>
      <c r="O5276" s="788">
        <v>42087</v>
      </c>
    </row>
    <row r="5277" spans="1:15" x14ac:dyDescent="0.25">
      <c r="A5277" s="786" t="s">
        <v>9995</v>
      </c>
      <c r="B5277" s="787">
        <v>4</v>
      </c>
      <c r="C5277" s="787" t="s">
        <v>9996</v>
      </c>
      <c r="D5277" s="787">
        <v>2.96</v>
      </c>
      <c r="E5277" s="787">
        <v>43.93</v>
      </c>
      <c r="F5277" s="788">
        <v>41579</v>
      </c>
      <c r="G5277" s="788">
        <v>42135</v>
      </c>
      <c r="H5277" s="787">
        <v>1</v>
      </c>
      <c r="I5277" s="788">
        <v>42163</v>
      </c>
      <c r="J5277" s="788">
        <v>42107</v>
      </c>
      <c r="L5277" s="787">
        <v>13.61</v>
      </c>
      <c r="M5277" s="787">
        <v>10</v>
      </c>
      <c r="N5277" s="787">
        <v>11.78</v>
      </c>
      <c r="O5277" s="788">
        <v>42082</v>
      </c>
    </row>
    <row r="5278" spans="1:15" x14ac:dyDescent="0.25">
      <c r="A5278" s="786" t="s">
        <v>9997</v>
      </c>
      <c r="B5278" s="787">
        <v>4</v>
      </c>
      <c r="C5278" s="787" t="s">
        <v>9998</v>
      </c>
      <c r="D5278" s="787">
        <v>0</v>
      </c>
      <c r="E5278" s="787">
        <v>0</v>
      </c>
      <c r="H5278" s="787">
        <v>1</v>
      </c>
      <c r="I5278" s="788">
        <v>39430</v>
      </c>
      <c r="J5278" s="788">
        <v>37642</v>
      </c>
      <c r="L5278" s="787">
        <v>16.329999999999998</v>
      </c>
      <c r="M5278" s="787">
        <v>10</v>
      </c>
      <c r="N5278" s="787">
        <v>25.37</v>
      </c>
      <c r="O5278" s="788">
        <v>42087</v>
      </c>
    </row>
    <row r="5279" spans="1:15" x14ac:dyDescent="0.25">
      <c r="A5279" s="786" t="s">
        <v>9999</v>
      </c>
      <c r="B5279" s="787">
        <v>4</v>
      </c>
      <c r="C5279" s="787" t="s">
        <v>9998</v>
      </c>
      <c r="D5279" s="787">
        <v>0</v>
      </c>
      <c r="E5279" s="787">
        <v>0</v>
      </c>
      <c r="H5279" s="787">
        <v>1</v>
      </c>
      <c r="J5279" s="788">
        <v>37642</v>
      </c>
      <c r="L5279" s="787">
        <v>16.989999999999998</v>
      </c>
      <c r="M5279" s="787">
        <v>10</v>
      </c>
      <c r="N5279" s="787">
        <v>26.02</v>
      </c>
      <c r="O5279" s="788">
        <v>42087</v>
      </c>
    </row>
    <row r="5280" spans="1:15" x14ac:dyDescent="0.25">
      <c r="A5280" s="786" t="s">
        <v>10000</v>
      </c>
      <c r="B5280" s="787">
        <v>4</v>
      </c>
      <c r="C5280" s="787" t="s">
        <v>10001</v>
      </c>
      <c r="D5280" s="787">
        <v>6.39</v>
      </c>
      <c r="E5280" s="787">
        <v>6.39</v>
      </c>
      <c r="F5280" s="788">
        <v>37649</v>
      </c>
      <c r="G5280" s="788">
        <v>37649</v>
      </c>
      <c r="H5280" s="787">
        <v>1</v>
      </c>
      <c r="I5280" s="788">
        <v>37223</v>
      </c>
      <c r="J5280" s="788">
        <v>37649</v>
      </c>
      <c r="L5280" s="787">
        <v>6.97</v>
      </c>
      <c r="M5280" s="787">
        <v>20</v>
      </c>
      <c r="N5280" s="787">
        <v>7.49</v>
      </c>
      <c r="O5280" s="788">
        <v>41858</v>
      </c>
    </row>
    <row r="5281" spans="1:15" x14ac:dyDescent="0.25">
      <c r="A5281" s="786" t="s">
        <v>10002</v>
      </c>
      <c r="B5281" s="787">
        <v>4</v>
      </c>
      <c r="C5281" s="787" t="s">
        <v>10003</v>
      </c>
      <c r="D5281" s="787">
        <v>6.39</v>
      </c>
      <c r="E5281" s="787">
        <v>6.39</v>
      </c>
      <c r="F5281" s="788">
        <v>39101</v>
      </c>
      <c r="G5281" s="788">
        <v>39590</v>
      </c>
      <c r="H5281" s="787">
        <v>1</v>
      </c>
      <c r="I5281" s="788">
        <v>40392</v>
      </c>
      <c r="J5281" s="788">
        <v>39149</v>
      </c>
      <c r="L5281" s="787">
        <v>7.8</v>
      </c>
      <c r="M5281" s="787">
        <v>20</v>
      </c>
      <c r="N5281" s="787">
        <v>9.39</v>
      </c>
      <c r="O5281" s="788">
        <v>41858</v>
      </c>
    </row>
    <row r="5282" spans="1:15" x14ac:dyDescent="0.25">
      <c r="A5282" s="786" t="s">
        <v>10004</v>
      </c>
      <c r="B5282" s="787">
        <v>4</v>
      </c>
      <c r="C5282" s="787" t="s">
        <v>10003</v>
      </c>
      <c r="D5282" s="787">
        <v>6.39</v>
      </c>
      <c r="E5282" s="787">
        <v>6.39</v>
      </c>
      <c r="F5282" s="788">
        <v>37642</v>
      </c>
      <c r="G5282" s="788">
        <v>37642</v>
      </c>
      <c r="H5282" s="787">
        <v>1</v>
      </c>
      <c r="I5282" s="788">
        <v>37601</v>
      </c>
      <c r="J5282" s="788">
        <v>37649</v>
      </c>
      <c r="L5282" s="787">
        <v>7.8</v>
      </c>
      <c r="M5282" s="787">
        <v>20</v>
      </c>
      <c r="N5282" s="787">
        <v>9.39</v>
      </c>
      <c r="O5282" s="788">
        <v>41858</v>
      </c>
    </row>
    <row r="5283" spans="1:15" x14ac:dyDescent="0.25">
      <c r="A5283" s="786" t="s">
        <v>10005</v>
      </c>
      <c r="B5283" s="787">
        <v>4</v>
      </c>
      <c r="C5283" s="787" t="s">
        <v>10006</v>
      </c>
      <c r="D5283" s="787">
        <v>6.21</v>
      </c>
      <c r="E5283" s="787">
        <v>17.55</v>
      </c>
      <c r="F5283" s="788">
        <v>39101</v>
      </c>
      <c r="G5283" s="788">
        <v>39457</v>
      </c>
      <c r="H5283" s="787">
        <v>1</v>
      </c>
      <c r="I5283" s="788">
        <v>39673</v>
      </c>
      <c r="J5283" s="788">
        <v>39149</v>
      </c>
      <c r="L5283" s="787">
        <v>19.79</v>
      </c>
      <c r="M5283" s="787">
        <v>20</v>
      </c>
      <c r="N5283" s="787">
        <v>23.83</v>
      </c>
      <c r="O5283" s="788">
        <v>41858</v>
      </c>
    </row>
    <row r="5284" spans="1:15" x14ac:dyDescent="0.25">
      <c r="A5284" s="786" t="s">
        <v>10007</v>
      </c>
      <c r="B5284" s="787">
        <v>4</v>
      </c>
      <c r="C5284" s="787" t="s">
        <v>10008</v>
      </c>
      <c r="D5284" s="787">
        <v>3.53</v>
      </c>
      <c r="E5284" s="787">
        <v>13.53</v>
      </c>
      <c r="F5284" s="788">
        <v>39101</v>
      </c>
      <c r="G5284" s="788">
        <v>42013</v>
      </c>
      <c r="H5284" s="787">
        <v>1</v>
      </c>
      <c r="I5284" s="788">
        <v>42143</v>
      </c>
      <c r="J5284" s="788">
        <v>39149</v>
      </c>
      <c r="L5284" s="787">
        <v>12.94</v>
      </c>
      <c r="M5284" s="787">
        <v>20</v>
      </c>
      <c r="N5284" s="787">
        <v>15.58</v>
      </c>
      <c r="O5284" s="788">
        <v>41858</v>
      </c>
    </row>
    <row r="5285" spans="1:15" x14ac:dyDescent="0.25">
      <c r="A5285" s="786" t="s">
        <v>10009</v>
      </c>
      <c r="B5285" s="787">
        <v>4</v>
      </c>
      <c r="C5285" s="787" t="s">
        <v>10010</v>
      </c>
      <c r="D5285" s="787">
        <v>4.2</v>
      </c>
      <c r="E5285" s="787">
        <v>14.78</v>
      </c>
      <c r="F5285" s="788">
        <v>40325</v>
      </c>
      <c r="G5285" s="788">
        <v>42013</v>
      </c>
      <c r="H5285" s="787">
        <v>1</v>
      </c>
      <c r="I5285" s="788">
        <v>42160</v>
      </c>
      <c r="J5285" s="788">
        <v>41856</v>
      </c>
      <c r="K5285" s="788">
        <v>42145</v>
      </c>
      <c r="L5285" s="787">
        <v>14.44</v>
      </c>
      <c r="M5285" s="787">
        <v>20</v>
      </c>
      <c r="N5285" s="787">
        <v>17.39</v>
      </c>
      <c r="O5285" s="788">
        <v>42163</v>
      </c>
    </row>
    <row r="5286" spans="1:15" x14ac:dyDescent="0.25">
      <c r="A5286" s="786" t="s">
        <v>10011</v>
      </c>
      <c r="B5286" s="787">
        <v>4</v>
      </c>
      <c r="C5286" s="787" t="s">
        <v>10012</v>
      </c>
      <c r="D5286" s="787">
        <v>4.29</v>
      </c>
      <c r="E5286" s="787">
        <v>14.74</v>
      </c>
      <c r="F5286" s="788">
        <v>41498</v>
      </c>
      <c r="G5286" s="788">
        <v>42013</v>
      </c>
      <c r="H5286" s="787">
        <v>1</v>
      </c>
      <c r="I5286" s="788">
        <v>42163</v>
      </c>
      <c r="J5286" s="788">
        <v>41862</v>
      </c>
      <c r="K5286" s="788">
        <v>41458</v>
      </c>
      <c r="L5286" s="787">
        <v>14.29</v>
      </c>
      <c r="M5286" s="787">
        <v>20</v>
      </c>
      <c r="N5286" s="787">
        <v>17.21</v>
      </c>
      <c r="O5286" s="788">
        <v>42163</v>
      </c>
    </row>
    <row r="5287" spans="1:15" x14ac:dyDescent="0.25">
      <c r="A5287" s="786" t="s">
        <v>10013</v>
      </c>
      <c r="B5287" s="787">
        <v>4</v>
      </c>
      <c r="C5287" s="787" t="s">
        <v>10014</v>
      </c>
      <c r="D5287" s="787">
        <v>4.05</v>
      </c>
      <c r="E5287" s="787">
        <v>51.99</v>
      </c>
      <c r="F5287" s="788">
        <v>39101</v>
      </c>
      <c r="G5287" s="788">
        <v>42013</v>
      </c>
      <c r="H5287" s="787">
        <v>1</v>
      </c>
      <c r="I5287" s="788">
        <v>41494</v>
      </c>
      <c r="J5287" s="788">
        <v>40130</v>
      </c>
      <c r="L5287" s="787">
        <v>41.57</v>
      </c>
      <c r="M5287" s="787">
        <v>20</v>
      </c>
      <c r="N5287" s="787">
        <v>50.05</v>
      </c>
      <c r="O5287" s="788">
        <v>41858</v>
      </c>
    </row>
    <row r="5288" spans="1:15" x14ac:dyDescent="0.25">
      <c r="A5288" s="786" t="s">
        <v>10015</v>
      </c>
      <c r="B5288" s="787">
        <v>4</v>
      </c>
      <c r="C5288" s="787" t="s">
        <v>10016</v>
      </c>
      <c r="D5288" s="787">
        <v>2.87</v>
      </c>
      <c r="E5288" s="787">
        <v>3.15</v>
      </c>
      <c r="F5288" s="788">
        <v>39101</v>
      </c>
      <c r="G5288" s="788">
        <v>42013</v>
      </c>
      <c r="H5288" s="787">
        <v>1</v>
      </c>
      <c r="I5288" s="788">
        <v>42165</v>
      </c>
      <c r="J5288" s="788">
        <v>41157</v>
      </c>
      <c r="K5288" s="788">
        <v>40701</v>
      </c>
      <c r="L5288" s="787">
        <v>3.32</v>
      </c>
      <c r="M5288" s="787">
        <v>20</v>
      </c>
      <c r="N5288" s="787">
        <v>3.57</v>
      </c>
      <c r="O5288" s="788">
        <v>42146</v>
      </c>
    </row>
    <row r="5289" spans="1:15" x14ac:dyDescent="0.25">
      <c r="A5289" s="786" t="s">
        <v>10017</v>
      </c>
      <c r="B5289" s="787">
        <v>4</v>
      </c>
      <c r="C5289" s="787" t="s">
        <v>10018</v>
      </c>
      <c r="D5289" s="787">
        <v>2.87</v>
      </c>
      <c r="E5289" s="787">
        <v>3.15</v>
      </c>
      <c r="F5289" s="788">
        <v>39101</v>
      </c>
      <c r="G5289" s="788">
        <v>42013</v>
      </c>
      <c r="H5289" s="787">
        <v>6</v>
      </c>
      <c r="I5289" s="788">
        <v>42166</v>
      </c>
      <c r="J5289" s="788">
        <v>41600</v>
      </c>
      <c r="K5289" s="788">
        <v>41591</v>
      </c>
      <c r="L5289" s="787">
        <v>3.15</v>
      </c>
      <c r="M5289" s="787">
        <v>20</v>
      </c>
      <c r="N5289" s="787">
        <v>3.39</v>
      </c>
      <c r="O5289" s="788">
        <v>42136</v>
      </c>
    </row>
    <row r="5290" spans="1:15" x14ac:dyDescent="0.25">
      <c r="A5290" s="786" t="s">
        <v>10019</v>
      </c>
      <c r="B5290" s="787">
        <v>4</v>
      </c>
      <c r="C5290" s="787" t="s">
        <v>10020</v>
      </c>
      <c r="D5290" s="787">
        <v>1.84</v>
      </c>
      <c r="E5290" s="787">
        <v>1.9</v>
      </c>
      <c r="F5290" s="788">
        <v>39101</v>
      </c>
      <c r="G5290" s="788">
        <v>42013</v>
      </c>
      <c r="H5290" s="787">
        <v>1</v>
      </c>
      <c r="I5290" s="788">
        <v>42165</v>
      </c>
      <c r="J5290" s="788">
        <v>41591</v>
      </c>
      <c r="K5290" s="788">
        <v>41928</v>
      </c>
      <c r="L5290" s="787">
        <v>2.33</v>
      </c>
      <c r="M5290" s="787">
        <v>20</v>
      </c>
      <c r="N5290" s="787">
        <v>2.5</v>
      </c>
      <c r="O5290" s="788">
        <v>42146</v>
      </c>
    </row>
    <row r="5291" spans="1:15" x14ac:dyDescent="0.25">
      <c r="A5291" s="786" t="s">
        <v>10021</v>
      </c>
      <c r="B5291" s="787">
        <v>4</v>
      </c>
      <c r="C5291" s="787" t="s">
        <v>10022</v>
      </c>
      <c r="D5291" s="787">
        <v>1.84</v>
      </c>
      <c r="E5291" s="787">
        <v>1.9</v>
      </c>
      <c r="F5291" s="788">
        <v>39101</v>
      </c>
      <c r="G5291" s="788">
        <v>42013</v>
      </c>
      <c r="H5291" s="787">
        <v>6</v>
      </c>
      <c r="I5291" s="788">
        <v>42166</v>
      </c>
      <c r="J5291" s="788">
        <v>42144</v>
      </c>
      <c r="K5291" s="788">
        <v>41557</v>
      </c>
      <c r="L5291" s="787">
        <v>1.9</v>
      </c>
      <c r="M5291" s="787">
        <v>20</v>
      </c>
      <c r="N5291" s="787">
        <v>2.04</v>
      </c>
      <c r="O5291" s="788">
        <v>42146</v>
      </c>
    </row>
    <row r="5292" spans="1:15" x14ac:dyDescent="0.25">
      <c r="A5292" s="786" t="s">
        <v>10023</v>
      </c>
      <c r="B5292" s="787">
        <v>4</v>
      </c>
      <c r="C5292" s="787" t="s">
        <v>10024</v>
      </c>
      <c r="D5292" s="787">
        <v>5.19</v>
      </c>
      <c r="E5292" s="787">
        <v>6.28</v>
      </c>
      <c r="F5292" s="788">
        <v>39101</v>
      </c>
      <c r="G5292" s="788">
        <v>42013</v>
      </c>
      <c r="H5292" s="787">
        <v>6</v>
      </c>
      <c r="I5292" s="788">
        <v>42109</v>
      </c>
      <c r="J5292" s="788">
        <v>42062</v>
      </c>
      <c r="K5292" s="788">
        <v>41591</v>
      </c>
      <c r="L5292" s="787">
        <v>6.36</v>
      </c>
      <c r="M5292" s="787">
        <v>20</v>
      </c>
      <c r="N5292" s="787">
        <v>6.84</v>
      </c>
      <c r="O5292" s="788">
        <v>42076</v>
      </c>
    </row>
    <row r="5293" spans="1:15" x14ac:dyDescent="0.25">
      <c r="A5293" s="786" t="s">
        <v>10025</v>
      </c>
      <c r="B5293" s="787">
        <v>4</v>
      </c>
      <c r="C5293" s="787" t="s">
        <v>10026</v>
      </c>
      <c r="D5293" s="787">
        <v>5.19</v>
      </c>
      <c r="E5293" s="787">
        <v>6.36</v>
      </c>
      <c r="F5293" s="788">
        <v>39101</v>
      </c>
      <c r="G5293" s="788">
        <v>42118</v>
      </c>
      <c r="H5293" s="787">
        <v>1</v>
      </c>
      <c r="I5293" s="788">
        <v>42166</v>
      </c>
      <c r="J5293" s="788">
        <v>42094</v>
      </c>
      <c r="K5293" s="788">
        <v>41591</v>
      </c>
      <c r="L5293" s="787">
        <v>6.36</v>
      </c>
      <c r="M5293" s="787">
        <v>20</v>
      </c>
      <c r="N5293" s="787">
        <v>6.84</v>
      </c>
      <c r="O5293" s="788">
        <v>42146</v>
      </c>
    </row>
    <row r="5294" spans="1:15" x14ac:dyDescent="0.25">
      <c r="A5294" s="786" t="s">
        <v>10027</v>
      </c>
      <c r="B5294" s="787">
        <v>4</v>
      </c>
      <c r="C5294" s="787" t="s">
        <v>10028</v>
      </c>
      <c r="D5294" s="787">
        <v>5.19</v>
      </c>
      <c r="E5294" s="787">
        <v>6.28</v>
      </c>
      <c r="F5294" s="788">
        <v>39101</v>
      </c>
      <c r="G5294" s="788">
        <v>42013</v>
      </c>
      <c r="H5294" s="787">
        <v>1</v>
      </c>
      <c r="I5294" s="788">
        <v>42165</v>
      </c>
      <c r="J5294" s="788">
        <v>41830</v>
      </c>
      <c r="K5294" s="788">
        <v>40416</v>
      </c>
      <c r="L5294" s="787">
        <v>6.38</v>
      </c>
      <c r="M5294" s="787">
        <v>20</v>
      </c>
      <c r="N5294" s="787">
        <v>6.86</v>
      </c>
      <c r="O5294" s="788">
        <v>42146</v>
      </c>
    </row>
    <row r="5295" spans="1:15" x14ac:dyDescent="0.25">
      <c r="A5295" s="786" t="s">
        <v>10029</v>
      </c>
      <c r="B5295" s="787">
        <v>4</v>
      </c>
      <c r="C5295" s="787" t="s">
        <v>10030</v>
      </c>
      <c r="D5295" s="787">
        <v>1.9</v>
      </c>
      <c r="E5295" s="787">
        <v>1.9</v>
      </c>
      <c r="F5295" s="788">
        <v>41586</v>
      </c>
      <c r="G5295" s="788">
        <v>42013</v>
      </c>
      <c r="H5295" s="787">
        <v>6</v>
      </c>
      <c r="I5295" s="788">
        <v>42166</v>
      </c>
      <c r="J5295" s="788">
        <v>41591</v>
      </c>
      <c r="K5295" s="788">
        <v>41557</v>
      </c>
      <c r="L5295" s="787">
        <v>1.9</v>
      </c>
      <c r="M5295" s="787">
        <v>20</v>
      </c>
      <c r="N5295" s="787">
        <v>2.04</v>
      </c>
      <c r="O5295" s="788">
        <v>42146</v>
      </c>
    </row>
    <row r="5296" spans="1:15" x14ac:dyDescent="0.25">
      <c r="A5296" s="786" t="s">
        <v>10031</v>
      </c>
      <c r="B5296" s="787">
        <v>4</v>
      </c>
      <c r="C5296" s="787" t="s">
        <v>10032</v>
      </c>
      <c r="D5296" s="787">
        <v>3.15</v>
      </c>
      <c r="E5296" s="787">
        <v>3.15</v>
      </c>
      <c r="F5296" s="788">
        <v>41487</v>
      </c>
      <c r="G5296" s="788">
        <v>42013</v>
      </c>
      <c r="H5296" s="787">
        <v>1</v>
      </c>
      <c r="I5296" s="788">
        <v>42165</v>
      </c>
      <c r="J5296" s="788">
        <v>41487</v>
      </c>
      <c r="K5296" s="788">
        <v>42156</v>
      </c>
      <c r="L5296" s="787">
        <v>3.3</v>
      </c>
      <c r="M5296" s="787">
        <v>20</v>
      </c>
      <c r="N5296" s="787">
        <v>3.39</v>
      </c>
      <c r="O5296" s="788">
        <v>42136</v>
      </c>
    </row>
    <row r="5297" spans="1:15" x14ac:dyDescent="0.25">
      <c r="A5297" s="786" t="s">
        <v>10033</v>
      </c>
      <c r="B5297" s="787">
        <v>4</v>
      </c>
      <c r="C5297" s="787" t="s">
        <v>10034</v>
      </c>
      <c r="D5297" s="787">
        <v>9.8800000000000008</v>
      </c>
      <c r="E5297" s="787">
        <v>9.8800000000000008</v>
      </c>
      <c r="F5297" s="788">
        <v>41578</v>
      </c>
      <c r="G5297" s="788">
        <v>42064</v>
      </c>
      <c r="H5297" s="787">
        <v>1</v>
      </c>
      <c r="I5297" s="788">
        <v>42158</v>
      </c>
      <c r="J5297" s="788">
        <v>42060</v>
      </c>
      <c r="K5297" s="788">
        <v>41575</v>
      </c>
      <c r="L5297" s="787">
        <v>8</v>
      </c>
      <c r="M5297" s="787">
        <v>20</v>
      </c>
      <c r="N5297" s="787">
        <v>8.6</v>
      </c>
      <c r="O5297" s="788">
        <v>42146</v>
      </c>
    </row>
    <row r="5298" spans="1:15" x14ac:dyDescent="0.25">
      <c r="A5298" s="786" t="s">
        <v>10035</v>
      </c>
      <c r="B5298" s="787">
        <v>4</v>
      </c>
      <c r="C5298" s="787" t="s">
        <v>10036</v>
      </c>
      <c r="D5298" s="787">
        <v>6.05</v>
      </c>
      <c r="E5298" s="787">
        <v>7.15</v>
      </c>
      <c r="F5298" s="788">
        <v>41060</v>
      </c>
      <c r="G5298" s="788">
        <v>41646</v>
      </c>
      <c r="H5298" s="787">
        <v>1</v>
      </c>
      <c r="I5298" s="788">
        <v>41591</v>
      </c>
      <c r="J5298" s="788">
        <v>41058</v>
      </c>
      <c r="K5298" s="788">
        <v>40956</v>
      </c>
      <c r="L5298" s="787">
        <v>7.15</v>
      </c>
      <c r="M5298" s="787">
        <v>20</v>
      </c>
      <c r="N5298" s="787">
        <v>9.2200000000000006</v>
      </c>
      <c r="O5298" s="788">
        <v>42163</v>
      </c>
    </row>
    <row r="5299" spans="1:15" x14ac:dyDescent="0.25">
      <c r="A5299" s="786" t="s">
        <v>10037</v>
      </c>
      <c r="B5299" s="787">
        <v>4</v>
      </c>
      <c r="C5299" s="787" t="s">
        <v>10038</v>
      </c>
      <c r="D5299" s="787">
        <v>6.05</v>
      </c>
      <c r="E5299" s="787">
        <v>6.05</v>
      </c>
      <c r="F5299" s="788">
        <v>41060</v>
      </c>
      <c r="G5299" s="788">
        <v>42013</v>
      </c>
      <c r="H5299" s="787">
        <v>1</v>
      </c>
      <c r="I5299" s="788">
        <v>41591</v>
      </c>
      <c r="J5299" s="788">
        <v>41060</v>
      </c>
      <c r="K5299" s="788">
        <v>40956</v>
      </c>
      <c r="L5299" s="787">
        <v>6.05</v>
      </c>
      <c r="M5299" s="787">
        <v>20</v>
      </c>
      <c r="N5299" s="787">
        <v>7.8</v>
      </c>
      <c r="O5299" s="788">
        <v>42163</v>
      </c>
    </row>
    <row r="5300" spans="1:15" x14ac:dyDescent="0.25">
      <c r="A5300" s="786" t="s">
        <v>10039</v>
      </c>
      <c r="B5300" s="787">
        <v>4</v>
      </c>
      <c r="C5300" s="787" t="s">
        <v>10040</v>
      </c>
      <c r="D5300" s="787">
        <v>3.19</v>
      </c>
      <c r="E5300" s="787">
        <v>123.19</v>
      </c>
      <c r="F5300" s="788">
        <v>39101</v>
      </c>
      <c r="G5300" s="788">
        <v>39101</v>
      </c>
      <c r="H5300" s="787">
        <v>1</v>
      </c>
      <c r="I5300" s="788">
        <v>39002</v>
      </c>
      <c r="J5300" s="788">
        <v>39101</v>
      </c>
      <c r="L5300" s="787">
        <v>89.12</v>
      </c>
      <c r="M5300" s="787">
        <v>10</v>
      </c>
      <c r="N5300" s="787">
        <v>91.49</v>
      </c>
      <c r="O5300" s="788">
        <v>42144</v>
      </c>
    </row>
    <row r="5301" spans="1:15" x14ac:dyDescent="0.25">
      <c r="A5301" s="786" t="s">
        <v>10041</v>
      </c>
      <c r="B5301" s="787">
        <v>4</v>
      </c>
      <c r="C5301" s="787" t="s">
        <v>10042</v>
      </c>
      <c r="D5301" s="787">
        <v>0.47</v>
      </c>
      <c r="E5301" s="787">
        <v>60.47</v>
      </c>
      <c r="F5301" s="788">
        <v>40644</v>
      </c>
      <c r="G5301" s="788">
        <v>40238</v>
      </c>
      <c r="H5301" s="787">
        <v>1</v>
      </c>
      <c r="I5301" s="788">
        <v>40877</v>
      </c>
      <c r="J5301" s="788">
        <v>40576</v>
      </c>
      <c r="L5301" s="787">
        <v>57.62</v>
      </c>
      <c r="M5301" s="787">
        <v>10</v>
      </c>
      <c r="N5301" s="787">
        <v>65.010000000000005</v>
      </c>
      <c r="O5301" s="788">
        <v>42163</v>
      </c>
    </row>
    <row r="5302" spans="1:15" x14ac:dyDescent="0.25">
      <c r="A5302" s="786" t="s">
        <v>10043</v>
      </c>
      <c r="B5302" s="787">
        <v>4</v>
      </c>
      <c r="C5302" s="787" t="s">
        <v>10044</v>
      </c>
      <c r="D5302" s="787">
        <v>0.47</v>
      </c>
      <c r="E5302" s="787">
        <v>60.47</v>
      </c>
      <c r="F5302" s="788">
        <v>40644</v>
      </c>
      <c r="G5302" s="788">
        <v>40238</v>
      </c>
      <c r="H5302" s="787">
        <v>1</v>
      </c>
      <c r="I5302" s="788">
        <v>40877</v>
      </c>
      <c r="J5302" s="788">
        <v>40576</v>
      </c>
      <c r="L5302" s="787">
        <v>57.62</v>
      </c>
      <c r="M5302" s="787">
        <v>10</v>
      </c>
      <c r="N5302" s="787">
        <v>71.73</v>
      </c>
      <c r="O5302" s="788">
        <v>42163</v>
      </c>
    </row>
    <row r="5303" spans="1:15" x14ac:dyDescent="0.25">
      <c r="A5303" s="786" t="s">
        <v>10045</v>
      </c>
      <c r="B5303" s="787">
        <v>4</v>
      </c>
      <c r="C5303" s="787" t="s">
        <v>10046</v>
      </c>
      <c r="D5303" s="787">
        <v>0.76</v>
      </c>
      <c r="E5303" s="787">
        <v>68.67</v>
      </c>
      <c r="F5303" s="788">
        <v>40644</v>
      </c>
      <c r="G5303" s="788">
        <v>40679</v>
      </c>
      <c r="H5303" s="787">
        <v>1</v>
      </c>
      <c r="I5303" s="788">
        <v>40877</v>
      </c>
      <c r="J5303" s="788">
        <v>40679</v>
      </c>
      <c r="L5303" s="787">
        <v>57.66</v>
      </c>
      <c r="M5303" s="787">
        <v>10</v>
      </c>
      <c r="N5303" s="787">
        <v>72.180000000000007</v>
      </c>
      <c r="O5303" s="788">
        <v>42163</v>
      </c>
    </row>
    <row r="5304" spans="1:15" x14ac:dyDescent="0.25">
      <c r="A5304" s="786" t="s">
        <v>10047</v>
      </c>
      <c r="B5304" s="787">
        <v>4</v>
      </c>
      <c r="C5304" s="787" t="s">
        <v>10048</v>
      </c>
      <c r="D5304" s="787">
        <v>0.76</v>
      </c>
      <c r="E5304" s="787">
        <v>68.680000000000007</v>
      </c>
      <c r="F5304" s="788">
        <v>40644</v>
      </c>
      <c r="G5304" s="788">
        <v>40682</v>
      </c>
      <c r="H5304" s="787">
        <v>1</v>
      </c>
      <c r="I5304" s="788">
        <v>40877</v>
      </c>
      <c r="J5304" s="788">
        <v>40682</v>
      </c>
      <c r="L5304" s="787">
        <v>57.66</v>
      </c>
      <c r="M5304" s="787">
        <v>10</v>
      </c>
      <c r="N5304" s="787">
        <v>72.180000000000007</v>
      </c>
      <c r="O5304" s="788">
        <v>42163</v>
      </c>
    </row>
    <row r="5305" spans="1:15" x14ac:dyDescent="0.25">
      <c r="A5305" s="786" t="s">
        <v>10049</v>
      </c>
      <c r="B5305" s="787">
        <v>4</v>
      </c>
      <c r="C5305" s="787" t="s">
        <v>10050</v>
      </c>
      <c r="D5305" s="787">
        <v>2.93</v>
      </c>
      <c r="E5305" s="787">
        <v>112.93</v>
      </c>
      <c r="F5305" s="788">
        <v>39101</v>
      </c>
      <c r="G5305" s="788">
        <v>39101</v>
      </c>
      <c r="H5305" s="787">
        <v>1</v>
      </c>
      <c r="I5305" s="788">
        <v>39002</v>
      </c>
      <c r="J5305" s="788">
        <v>39101</v>
      </c>
      <c r="L5305" s="787">
        <v>68.87</v>
      </c>
      <c r="M5305" s="787">
        <v>10</v>
      </c>
      <c r="N5305" s="787">
        <v>91.81</v>
      </c>
      <c r="O5305" s="788">
        <v>42127</v>
      </c>
    </row>
    <row r="5306" spans="1:15" x14ac:dyDescent="0.25">
      <c r="A5306" s="786" t="s">
        <v>10051</v>
      </c>
      <c r="B5306" s="787">
        <v>4</v>
      </c>
      <c r="C5306" s="787" t="s">
        <v>10052</v>
      </c>
      <c r="D5306" s="787">
        <v>5.29</v>
      </c>
      <c r="E5306" s="787">
        <v>185.29</v>
      </c>
      <c r="F5306" s="788">
        <v>39101</v>
      </c>
      <c r="G5306" s="788">
        <v>39101</v>
      </c>
      <c r="H5306" s="787">
        <v>1</v>
      </c>
      <c r="I5306" s="788">
        <v>39002</v>
      </c>
      <c r="J5306" s="788">
        <v>39101</v>
      </c>
      <c r="L5306" s="787">
        <v>72.83</v>
      </c>
      <c r="M5306" s="787">
        <v>10</v>
      </c>
      <c r="N5306" s="787">
        <v>89.89</v>
      </c>
      <c r="O5306" s="788">
        <v>42127</v>
      </c>
    </row>
    <row r="5307" spans="1:15" x14ac:dyDescent="0.25">
      <c r="A5307" s="786" t="s">
        <v>10053</v>
      </c>
      <c r="B5307" s="787">
        <v>4</v>
      </c>
      <c r="C5307" s="787" t="s">
        <v>10054</v>
      </c>
      <c r="D5307" s="787">
        <v>7.53</v>
      </c>
      <c r="E5307" s="787">
        <v>127.53</v>
      </c>
      <c r="F5307" s="788">
        <v>39101</v>
      </c>
      <c r="G5307" s="788">
        <v>40458</v>
      </c>
      <c r="H5307" s="787">
        <v>1</v>
      </c>
      <c r="I5307" s="788">
        <v>40602</v>
      </c>
      <c r="J5307" s="788">
        <v>40458</v>
      </c>
      <c r="L5307" s="787">
        <v>61.2</v>
      </c>
      <c r="M5307" s="787">
        <v>10</v>
      </c>
      <c r="N5307" s="787">
        <v>71.39</v>
      </c>
      <c r="O5307" s="788">
        <v>42065</v>
      </c>
    </row>
    <row r="5308" spans="1:15" x14ac:dyDescent="0.25">
      <c r="A5308" s="786" t="s">
        <v>10055</v>
      </c>
      <c r="B5308" s="787">
        <v>4</v>
      </c>
      <c r="C5308" s="787" t="s">
        <v>10056</v>
      </c>
      <c r="D5308" s="787">
        <v>2.93</v>
      </c>
      <c r="E5308" s="787">
        <v>112.93</v>
      </c>
      <c r="F5308" s="788">
        <v>39101</v>
      </c>
      <c r="G5308" s="788">
        <v>40458</v>
      </c>
      <c r="H5308" s="787">
        <v>1</v>
      </c>
      <c r="I5308" s="788">
        <v>40602</v>
      </c>
      <c r="J5308" s="788">
        <v>40458</v>
      </c>
      <c r="L5308" s="787">
        <v>61.2</v>
      </c>
      <c r="M5308" s="787">
        <v>10</v>
      </c>
      <c r="N5308" s="787">
        <v>71.73</v>
      </c>
      <c r="O5308" s="788">
        <v>42137</v>
      </c>
    </row>
    <row r="5309" spans="1:15" x14ac:dyDescent="0.25">
      <c r="A5309" s="786" t="s">
        <v>10057</v>
      </c>
      <c r="B5309" s="787">
        <v>4</v>
      </c>
      <c r="C5309" s="787" t="s">
        <v>10058</v>
      </c>
      <c r="D5309" s="787">
        <v>1.74</v>
      </c>
      <c r="E5309" s="787">
        <v>61.74</v>
      </c>
      <c r="F5309" s="788">
        <v>40644</v>
      </c>
      <c r="G5309" s="788">
        <v>39990</v>
      </c>
      <c r="H5309" s="787">
        <v>1</v>
      </c>
      <c r="I5309" s="788">
        <v>40602</v>
      </c>
      <c r="J5309" s="788">
        <v>40584</v>
      </c>
      <c r="L5309" s="787">
        <v>61.23</v>
      </c>
      <c r="M5309" s="787">
        <v>10</v>
      </c>
      <c r="N5309" s="787">
        <v>72.34</v>
      </c>
      <c r="O5309" s="788">
        <v>41955</v>
      </c>
    </row>
    <row r="5310" spans="1:15" x14ac:dyDescent="0.25">
      <c r="A5310" s="786" t="s">
        <v>10059</v>
      </c>
      <c r="B5310" s="787">
        <v>4</v>
      </c>
      <c r="C5310" s="787" t="s">
        <v>10060</v>
      </c>
      <c r="D5310" s="787">
        <v>2.56</v>
      </c>
      <c r="E5310" s="787">
        <v>102.56</v>
      </c>
      <c r="F5310" s="788">
        <v>39101</v>
      </c>
      <c r="G5310" s="788">
        <v>39101</v>
      </c>
      <c r="H5310" s="787">
        <v>1</v>
      </c>
      <c r="I5310" s="788">
        <v>39002</v>
      </c>
      <c r="J5310" s="788">
        <v>39101</v>
      </c>
      <c r="L5310" s="787">
        <v>76.63</v>
      </c>
      <c r="M5310" s="787">
        <v>10</v>
      </c>
      <c r="N5310" s="787">
        <v>128.72999999999999</v>
      </c>
      <c r="O5310" s="788">
        <v>42144</v>
      </c>
    </row>
    <row r="5311" spans="1:15" x14ac:dyDescent="0.25">
      <c r="A5311" s="786" t="s">
        <v>10061</v>
      </c>
      <c r="B5311" s="787">
        <v>4</v>
      </c>
      <c r="C5311" s="787" t="s">
        <v>10062</v>
      </c>
      <c r="D5311" s="787">
        <v>2.63</v>
      </c>
      <c r="E5311" s="787">
        <v>152.63</v>
      </c>
      <c r="F5311" s="788">
        <v>39101</v>
      </c>
      <c r="G5311" s="788">
        <v>39101</v>
      </c>
      <c r="H5311" s="787">
        <v>1</v>
      </c>
      <c r="I5311" s="788">
        <v>39002</v>
      </c>
      <c r="J5311" s="788">
        <v>39101</v>
      </c>
      <c r="L5311" s="787">
        <v>137.49</v>
      </c>
      <c r="M5311" s="787">
        <v>10</v>
      </c>
      <c r="N5311" s="787">
        <v>214.63</v>
      </c>
      <c r="O5311" s="788">
        <v>42144</v>
      </c>
    </row>
    <row r="5312" spans="1:15" x14ac:dyDescent="0.25">
      <c r="A5312" s="786" t="s">
        <v>10063</v>
      </c>
      <c r="B5312" s="787">
        <v>4</v>
      </c>
      <c r="C5312" s="787" t="s">
        <v>10064</v>
      </c>
      <c r="D5312" s="787">
        <v>0.48</v>
      </c>
      <c r="E5312" s="787">
        <v>40.479999999999997</v>
      </c>
      <c r="F5312" s="788">
        <v>37642</v>
      </c>
      <c r="G5312" s="788">
        <v>37642</v>
      </c>
      <c r="H5312" s="787">
        <v>1</v>
      </c>
      <c r="J5312" s="788">
        <v>37642</v>
      </c>
      <c r="L5312" s="787">
        <v>29.5</v>
      </c>
      <c r="M5312" s="787">
        <v>10</v>
      </c>
      <c r="N5312" s="787">
        <v>44.37</v>
      </c>
      <c r="O5312" s="788">
        <v>41858</v>
      </c>
    </row>
    <row r="5313" spans="1:15" x14ac:dyDescent="0.25">
      <c r="A5313" s="786" t="s">
        <v>10065</v>
      </c>
      <c r="B5313" s="787">
        <v>4</v>
      </c>
      <c r="C5313" s="787" t="s">
        <v>10066</v>
      </c>
      <c r="D5313" s="787">
        <v>1.48</v>
      </c>
      <c r="E5313" s="787">
        <v>31.48</v>
      </c>
      <c r="F5313" s="788">
        <v>37642</v>
      </c>
      <c r="G5313" s="788">
        <v>37642</v>
      </c>
      <c r="H5313" s="787">
        <v>1</v>
      </c>
      <c r="J5313" s="788">
        <v>37642</v>
      </c>
      <c r="L5313" s="787">
        <v>22.84</v>
      </c>
      <c r="M5313" s="787">
        <v>10</v>
      </c>
      <c r="N5313" s="787">
        <v>37.83</v>
      </c>
      <c r="O5313" s="788">
        <v>41858</v>
      </c>
    </row>
    <row r="5314" spans="1:15" x14ac:dyDescent="0.25">
      <c r="A5314" s="786" t="s">
        <v>10067</v>
      </c>
      <c r="B5314" s="787">
        <v>4</v>
      </c>
      <c r="C5314" s="787" t="s">
        <v>10068</v>
      </c>
      <c r="D5314" s="787">
        <v>5.63</v>
      </c>
      <c r="E5314" s="787">
        <v>35.630000000000003</v>
      </c>
      <c r="F5314" s="788">
        <v>37642</v>
      </c>
      <c r="G5314" s="788">
        <v>37642</v>
      </c>
      <c r="H5314" s="787">
        <v>1</v>
      </c>
      <c r="J5314" s="788">
        <v>37642</v>
      </c>
      <c r="L5314" s="787">
        <v>25.37</v>
      </c>
      <c r="M5314" s="787">
        <v>10</v>
      </c>
      <c r="N5314" s="787">
        <v>40.31</v>
      </c>
      <c r="O5314" s="788">
        <v>41858</v>
      </c>
    </row>
    <row r="5315" spans="1:15" x14ac:dyDescent="0.25">
      <c r="A5315" s="786" t="s">
        <v>10069</v>
      </c>
      <c r="B5315" s="787">
        <v>4</v>
      </c>
      <c r="C5315" s="787" t="s">
        <v>10070</v>
      </c>
      <c r="D5315" s="787">
        <v>3.68</v>
      </c>
      <c r="E5315" s="787">
        <v>53.68</v>
      </c>
      <c r="F5315" s="788">
        <v>37642</v>
      </c>
      <c r="G5315" s="788">
        <v>37642</v>
      </c>
      <c r="H5315" s="787">
        <v>1</v>
      </c>
      <c r="J5315" s="788">
        <v>37642</v>
      </c>
      <c r="L5315" s="787">
        <v>53.85</v>
      </c>
      <c r="M5315" s="787">
        <v>10</v>
      </c>
      <c r="N5315" s="787">
        <v>62.64</v>
      </c>
      <c r="O5315" s="788">
        <v>41858</v>
      </c>
    </row>
    <row r="5316" spans="1:15" x14ac:dyDescent="0.25">
      <c r="A5316" s="786" t="s">
        <v>10069</v>
      </c>
      <c r="B5316" s="787" t="s">
        <v>2333</v>
      </c>
      <c r="C5316" s="787" t="s">
        <v>10071</v>
      </c>
      <c r="D5316" s="787">
        <v>1.5</v>
      </c>
      <c r="E5316" s="787">
        <v>121.5</v>
      </c>
      <c r="F5316" s="788">
        <v>37642</v>
      </c>
      <c r="G5316" s="788">
        <v>37642</v>
      </c>
      <c r="H5316" s="787">
        <v>6</v>
      </c>
      <c r="J5316" s="788">
        <v>37642</v>
      </c>
      <c r="L5316" s="787">
        <v>88.84</v>
      </c>
      <c r="M5316" s="787">
        <v>10</v>
      </c>
      <c r="N5316" s="787">
        <v>98.17</v>
      </c>
      <c r="O5316" s="788">
        <v>41815</v>
      </c>
    </row>
    <row r="5317" spans="1:15" x14ac:dyDescent="0.25">
      <c r="A5317" s="786" t="s">
        <v>10072</v>
      </c>
      <c r="B5317" s="787">
        <v>4</v>
      </c>
      <c r="C5317" s="787" t="s">
        <v>10073</v>
      </c>
      <c r="D5317" s="787">
        <v>3.32</v>
      </c>
      <c r="E5317" s="787">
        <v>23.32</v>
      </c>
      <c r="F5317" s="788">
        <v>37642</v>
      </c>
      <c r="G5317" s="788">
        <v>37642</v>
      </c>
      <c r="H5317" s="787">
        <v>1</v>
      </c>
      <c r="J5317" s="788">
        <v>37642</v>
      </c>
      <c r="L5317" s="787">
        <v>41.14</v>
      </c>
      <c r="M5317" s="787">
        <v>10</v>
      </c>
      <c r="N5317" s="787">
        <v>53.42</v>
      </c>
      <c r="O5317" s="788">
        <v>42083</v>
      </c>
    </row>
    <row r="5318" spans="1:15" x14ac:dyDescent="0.25">
      <c r="A5318" s="786" t="s">
        <v>10072</v>
      </c>
      <c r="B5318" s="787" t="s">
        <v>2333</v>
      </c>
      <c r="C5318" s="787" t="s">
        <v>10074</v>
      </c>
      <c r="D5318" s="787">
        <v>9.3000000000000007</v>
      </c>
      <c r="E5318" s="787">
        <v>69.3</v>
      </c>
      <c r="F5318" s="788">
        <v>37642</v>
      </c>
      <c r="G5318" s="788">
        <v>37642</v>
      </c>
      <c r="H5318" s="787">
        <v>6</v>
      </c>
      <c r="J5318" s="788">
        <v>37642</v>
      </c>
      <c r="L5318" s="787">
        <v>50.7</v>
      </c>
      <c r="M5318" s="787">
        <v>10</v>
      </c>
      <c r="N5318" s="787">
        <v>63.89</v>
      </c>
      <c r="O5318" s="788">
        <v>41815</v>
      </c>
    </row>
    <row r="5319" spans="1:15" x14ac:dyDescent="0.25">
      <c r="A5319" s="786" t="s">
        <v>10075</v>
      </c>
      <c r="B5319" s="787">
        <v>4</v>
      </c>
      <c r="C5319" s="787" t="s">
        <v>10076</v>
      </c>
      <c r="D5319" s="787">
        <v>5.31</v>
      </c>
      <c r="E5319" s="787">
        <v>25.31</v>
      </c>
      <c r="F5319" s="788">
        <v>37642</v>
      </c>
      <c r="G5319" s="788">
        <v>37642</v>
      </c>
      <c r="H5319" s="787">
        <v>1</v>
      </c>
      <c r="J5319" s="788">
        <v>37642</v>
      </c>
      <c r="L5319" s="787">
        <v>62.66</v>
      </c>
      <c r="M5319" s="787">
        <v>10</v>
      </c>
      <c r="N5319" s="787">
        <v>79.010000000000005</v>
      </c>
      <c r="O5319" s="788">
        <v>42083</v>
      </c>
    </row>
    <row r="5320" spans="1:15" x14ac:dyDescent="0.25">
      <c r="A5320" s="786" t="s">
        <v>10075</v>
      </c>
      <c r="B5320" s="787" t="s">
        <v>2333</v>
      </c>
      <c r="C5320" s="787" t="s">
        <v>10077</v>
      </c>
      <c r="D5320" s="787">
        <v>0.63</v>
      </c>
      <c r="E5320" s="787">
        <v>80.63</v>
      </c>
      <c r="F5320" s="788">
        <v>37642</v>
      </c>
      <c r="G5320" s="788">
        <v>37642</v>
      </c>
      <c r="H5320" s="787">
        <v>6</v>
      </c>
      <c r="J5320" s="788">
        <v>37642</v>
      </c>
      <c r="L5320" s="787">
        <v>57.62</v>
      </c>
      <c r="M5320" s="787">
        <v>10</v>
      </c>
      <c r="N5320" s="787">
        <v>70.16</v>
      </c>
      <c r="O5320" s="788">
        <v>41815</v>
      </c>
    </row>
    <row r="5321" spans="1:15" x14ac:dyDescent="0.25">
      <c r="A5321" s="786" t="s">
        <v>10078</v>
      </c>
      <c r="B5321" s="787">
        <v>4</v>
      </c>
      <c r="C5321" s="787" t="s">
        <v>10079</v>
      </c>
      <c r="D5321" s="787">
        <v>1.94</v>
      </c>
      <c r="E5321" s="787">
        <v>61.94</v>
      </c>
      <c r="F5321" s="788">
        <v>40644</v>
      </c>
      <c r="G5321" s="788">
        <v>39990</v>
      </c>
      <c r="H5321" s="787">
        <v>1</v>
      </c>
      <c r="I5321" s="788">
        <v>40602</v>
      </c>
      <c r="J5321" s="788">
        <v>40584</v>
      </c>
      <c r="L5321" s="787">
        <v>61.23</v>
      </c>
      <c r="M5321" s="787">
        <v>10</v>
      </c>
      <c r="N5321" s="787">
        <v>71.36</v>
      </c>
      <c r="O5321" s="788">
        <v>42137</v>
      </c>
    </row>
    <row r="5322" spans="1:15" x14ac:dyDescent="0.25">
      <c r="A5322" s="786" t="s">
        <v>10080</v>
      </c>
      <c r="B5322" s="787">
        <v>4</v>
      </c>
      <c r="C5322" s="787" t="s">
        <v>10081</v>
      </c>
      <c r="D5322" s="787">
        <v>0</v>
      </c>
      <c r="E5322" s="787">
        <v>0</v>
      </c>
      <c r="G5322" s="788">
        <v>38736</v>
      </c>
      <c r="H5322" s="787">
        <v>1</v>
      </c>
      <c r="I5322" s="788">
        <v>39134</v>
      </c>
      <c r="J5322" s="788">
        <v>39149</v>
      </c>
      <c r="L5322" s="787">
        <v>52.61</v>
      </c>
      <c r="M5322" s="787">
        <v>10</v>
      </c>
      <c r="N5322" s="787">
        <v>80.33</v>
      </c>
      <c r="O5322" s="788">
        <v>42135</v>
      </c>
    </row>
    <row r="5323" spans="1:15" x14ac:dyDescent="0.25">
      <c r="A5323" s="786" t="s">
        <v>10082</v>
      </c>
      <c r="B5323" s="787">
        <v>4</v>
      </c>
      <c r="C5323" s="787" t="s">
        <v>10083</v>
      </c>
      <c r="D5323" s="787">
        <v>0</v>
      </c>
      <c r="E5323" s="787">
        <v>0</v>
      </c>
      <c r="G5323" s="788">
        <v>38736</v>
      </c>
      <c r="H5323" s="787">
        <v>1</v>
      </c>
      <c r="I5323" s="788">
        <v>39134</v>
      </c>
      <c r="J5323" s="788">
        <v>39149</v>
      </c>
      <c r="L5323" s="787">
        <v>54.19</v>
      </c>
      <c r="M5323" s="787">
        <v>10</v>
      </c>
      <c r="N5323" s="787">
        <v>82.04</v>
      </c>
      <c r="O5323" s="788">
        <v>42135</v>
      </c>
    </row>
    <row r="5324" spans="1:15" x14ac:dyDescent="0.25">
      <c r="A5324" s="786" t="s">
        <v>10084</v>
      </c>
      <c r="B5324" s="787">
        <v>4</v>
      </c>
      <c r="C5324" s="787" t="s">
        <v>10085</v>
      </c>
      <c r="D5324" s="787">
        <v>9.7899999999999991</v>
      </c>
      <c r="E5324" s="787">
        <v>39.79</v>
      </c>
      <c r="F5324" s="788">
        <v>40948</v>
      </c>
      <c r="G5324" s="788">
        <v>40948</v>
      </c>
      <c r="H5324" s="787">
        <v>1</v>
      </c>
      <c r="I5324" s="788">
        <v>40899</v>
      </c>
      <c r="J5324" s="788">
        <v>40897</v>
      </c>
      <c r="L5324" s="787">
        <v>66.02</v>
      </c>
      <c r="M5324" s="787">
        <v>10</v>
      </c>
      <c r="N5324" s="787">
        <v>63.02</v>
      </c>
      <c r="O5324" s="788">
        <v>42163</v>
      </c>
    </row>
    <row r="5325" spans="1:15" x14ac:dyDescent="0.25">
      <c r="A5325" s="786" t="s">
        <v>10086</v>
      </c>
      <c r="B5325" s="787">
        <v>4</v>
      </c>
      <c r="C5325" s="787" t="s">
        <v>10087</v>
      </c>
      <c r="D5325" s="787">
        <v>9.64</v>
      </c>
      <c r="E5325" s="787">
        <v>39.64</v>
      </c>
      <c r="F5325" s="788">
        <v>40948</v>
      </c>
      <c r="G5325" s="788">
        <v>40948</v>
      </c>
      <c r="H5325" s="787">
        <v>1</v>
      </c>
      <c r="I5325" s="788">
        <v>40899</v>
      </c>
      <c r="J5325" s="788">
        <v>40897</v>
      </c>
      <c r="L5325" s="787">
        <v>66.02</v>
      </c>
      <c r="M5325" s="787">
        <v>10</v>
      </c>
      <c r="N5325" s="787">
        <v>63.02</v>
      </c>
      <c r="O5325" s="788">
        <v>42163</v>
      </c>
    </row>
    <row r="5326" spans="1:15" x14ac:dyDescent="0.25">
      <c r="A5326" s="786" t="s">
        <v>10088</v>
      </c>
      <c r="B5326" s="787">
        <v>4</v>
      </c>
      <c r="C5326" s="787" t="s">
        <v>10089</v>
      </c>
      <c r="D5326" s="787">
        <v>5.73</v>
      </c>
      <c r="E5326" s="787">
        <v>75.73</v>
      </c>
      <c r="F5326" s="788">
        <v>39975</v>
      </c>
      <c r="G5326" s="788">
        <v>39960</v>
      </c>
      <c r="H5326" s="787">
        <v>6</v>
      </c>
      <c r="I5326" s="788">
        <v>40163</v>
      </c>
      <c r="J5326" s="788">
        <v>40016</v>
      </c>
      <c r="L5326" s="787">
        <v>66.05</v>
      </c>
      <c r="M5326" s="787">
        <v>10</v>
      </c>
      <c r="N5326" s="787">
        <v>75.33</v>
      </c>
      <c r="O5326" s="788">
        <v>41806</v>
      </c>
    </row>
    <row r="5327" spans="1:15" x14ac:dyDescent="0.25">
      <c r="A5327" s="786" t="s">
        <v>10090</v>
      </c>
      <c r="B5327" s="787">
        <v>4</v>
      </c>
      <c r="C5327" s="787" t="s">
        <v>10091</v>
      </c>
      <c r="D5327" s="787">
        <v>5.73</v>
      </c>
      <c r="E5327" s="787">
        <v>75.73</v>
      </c>
      <c r="F5327" s="788">
        <v>39975</v>
      </c>
      <c r="G5327" s="788">
        <v>39960</v>
      </c>
      <c r="H5327" s="787">
        <v>6</v>
      </c>
      <c r="I5327" s="788">
        <v>40163</v>
      </c>
      <c r="J5327" s="788">
        <v>40016</v>
      </c>
      <c r="L5327" s="787">
        <v>66.05</v>
      </c>
      <c r="M5327" s="787">
        <v>10</v>
      </c>
      <c r="N5327" s="787">
        <v>75.33</v>
      </c>
      <c r="O5327" s="788">
        <v>41806</v>
      </c>
    </row>
    <row r="5328" spans="1:15" x14ac:dyDescent="0.25">
      <c r="A5328" s="786" t="s">
        <v>10092</v>
      </c>
      <c r="B5328" s="787">
        <v>4</v>
      </c>
      <c r="C5328" s="787" t="s">
        <v>10093</v>
      </c>
      <c r="D5328" s="787">
        <v>0</v>
      </c>
      <c r="E5328" s="787">
        <v>0</v>
      </c>
      <c r="H5328" s="787">
        <v>1</v>
      </c>
      <c r="I5328" s="788">
        <v>38848</v>
      </c>
      <c r="J5328" s="788">
        <v>39101</v>
      </c>
      <c r="L5328" s="787">
        <v>84.08</v>
      </c>
      <c r="M5328" s="787">
        <v>10</v>
      </c>
      <c r="N5328" s="787">
        <v>92.35</v>
      </c>
      <c r="O5328" s="788">
        <v>42116</v>
      </c>
    </row>
    <row r="5329" spans="1:15" x14ac:dyDescent="0.25">
      <c r="A5329" s="786" t="s">
        <v>10094</v>
      </c>
      <c r="B5329" s="787">
        <v>4</v>
      </c>
      <c r="C5329" s="787" t="s">
        <v>10095</v>
      </c>
      <c r="D5329" s="787">
        <v>0</v>
      </c>
      <c r="E5329" s="787">
        <v>0</v>
      </c>
      <c r="H5329" s="787">
        <v>1</v>
      </c>
      <c r="I5329" s="788">
        <v>38848</v>
      </c>
      <c r="J5329" s="788">
        <v>39101</v>
      </c>
      <c r="L5329" s="787">
        <v>88.04</v>
      </c>
      <c r="M5329" s="787">
        <v>10</v>
      </c>
      <c r="N5329" s="787">
        <v>90.43</v>
      </c>
      <c r="O5329" s="788">
        <v>42116</v>
      </c>
    </row>
    <row r="5330" spans="1:15" x14ac:dyDescent="0.25">
      <c r="A5330" s="786" t="s">
        <v>10096</v>
      </c>
      <c r="B5330" s="787">
        <v>4</v>
      </c>
      <c r="C5330" s="787" t="s">
        <v>10097</v>
      </c>
      <c r="D5330" s="787">
        <v>0.97</v>
      </c>
      <c r="E5330" s="787">
        <v>40.97</v>
      </c>
      <c r="F5330" s="788">
        <v>40948</v>
      </c>
      <c r="G5330" s="788">
        <v>40948</v>
      </c>
      <c r="H5330" s="787">
        <v>1</v>
      </c>
      <c r="I5330" s="788">
        <v>40997</v>
      </c>
      <c r="J5330" s="788">
        <v>40897</v>
      </c>
      <c r="L5330" s="787">
        <v>64.95</v>
      </c>
      <c r="M5330" s="787">
        <v>10</v>
      </c>
      <c r="N5330" s="787">
        <v>59.78</v>
      </c>
      <c r="O5330" s="788">
        <v>42065</v>
      </c>
    </row>
    <row r="5331" spans="1:15" x14ac:dyDescent="0.25">
      <c r="A5331" s="786" t="s">
        <v>10098</v>
      </c>
      <c r="B5331" s="787">
        <v>4</v>
      </c>
      <c r="C5331" s="787" t="s">
        <v>10099</v>
      </c>
      <c r="D5331" s="787">
        <v>0.68</v>
      </c>
      <c r="E5331" s="787">
        <v>40.68</v>
      </c>
      <c r="F5331" s="788">
        <v>40948</v>
      </c>
      <c r="G5331" s="788">
        <v>40948</v>
      </c>
      <c r="H5331" s="787">
        <v>1</v>
      </c>
      <c r="I5331" s="788">
        <v>40997</v>
      </c>
      <c r="J5331" s="788">
        <v>40897</v>
      </c>
      <c r="L5331" s="787">
        <v>64.95</v>
      </c>
      <c r="M5331" s="787">
        <v>10</v>
      </c>
      <c r="N5331" s="787">
        <v>59.63</v>
      </c>
      <c r="O5331" s="788">
        <v>42137</v>
      </c>
    </row>
    <row r="5332" spans="1:15" x14ac:dyDescent="0.25">
      <c r="A5332" s="786" t="s">
        <v>10100</v>
      </c>
      <c r="B5332" s="787">
        <v>4</v>
      </c>
      <c r="C5332" s="787" t="s">
        <v>10101</v>
      </c>
      <c r="D5332" s="787">
        <v>9.8699999999999992</v>
      </c>
      <c r="E5332" s="787">
        <v>39.869999999999997</v>
      </c>
      <c r="F5332" s="788">
        <v>40948</v>
      </c>
      <c r="G5332" s="788">
        <v>40948</v>
      </c>
      <c r="H5332" s="787">
        <v>1</v>
      </c>
      <c r="I5332" s="788">
        <v>40997</v>
      </c>
      <c r="J5332" s="788">
        <v>40897</v>
      </c>
      <c r="L5332" s="787">
        <v>67.33</v>
      </c>
      <c r="M5332" s="787">
        <v>10</v>
      </c>
      <c r="N5332" s="787">
        <v>60.25</v>
      </c>
      <c r="O5332" s="788">
        <v>41955</v>
      </c>
    </row>
    <row r="5333" spans="1:15" x14ac:dyDescent="0.25">
      <c r="A5333" s="786" t="s">
        <v>10102</v>
      </c>
      <c r="B5333" s="787">
        <v>4</v>
      </c>
      <c r="C5333" s="787" t="s">
        <v>10103</v>
      </c>
      <c r="D5333" s="787">
        <v>0.06</v>
      </c>
      <c r="E5333" s="787">
        <v>40.06</v>
      </c>
      <c r="F5333" s="788">
        <v>40948</v>
      </c>
      <c r="G5333" s="788">
        <v>40948</v>
      </c>
      <c r="H5333" s="787">
        <v>1</v>
      </c>
      <c r="I5333" s="788">
        <v>40997</v>
      </c>
      <c r="J5333" s="788">
        <v>40897</v>
      </c>
      <c r="L5333" s="787">
        <v>67.33</v>
      </c>
      <c r="M5333" s="787">
        <v>10</v>
      </c>
      <c r="N5333" s="787">
        <v>59.26</v>
      </c>
      <c r="O5333" s="788">
        <v>42137</v>
      </c>
    </row>
    <row r="5334" spans="1:15" x14ac:dyDescent="0.25">
      <c r="A5334" s="786" t="s">
        <v>10104</v>
      </c>
      <c r="B5334" s="787">
        <v>4</v>
      </c>
      <c r="C5334" s="787" t="s">
        <v>10105</v>
      </c>
      <c r="D5334" s="787">
        <v>0</v>
      </c>
      <c r="E5334" s="787">
        <v>0</v>
      </c>
      <c r="H5334" s="787">
        <v>1</v>
      </c>
      <c r="I5334" s="788">
        <v>39002</v>
      </c>
      <c r="J5334" s="788">
        <v>39101</v>
      </c>
      <c r="L5334" s="787">
        <v>80.34</v>
      </c>
      <c r="M5334" s="787">
        <v>10</v>
      </c>
      <c r="N5334" s="787">
        <v>79.040000000000006</v>
      </c>
      <c r="O5334" s="788">
        <v>42135</v>
      </c>
    </row>
    <row r="5335" spans="1:15" x14ac:dyDescent="0.25">
      <c r="A5335" s="786" t="s">
        <v>10106</v>
      </c>
      <c r="B5335" s="787">
        <v>4</v>
      </c>
      <c r="C5335" s="787" t="s">
        <v>10107</v>
      </c>
      <c r="D5335" s="787">
        <v>0</v>
      </c>
      <c r="E5335" s="787">
        <v>0</v>
      </c>
      <c r="H5335" s="787">
        <v>1</v>
      </c>
      <c r="I5335" s="788">
        <v>39002</v>
      </c>
      <c r="J5335" s="788">
        <v>39101</v>
      </c>
      <c r="L5335" s="787">
        <v>79.84</v>
      </c>
      <c r="M5335" s="787">
        <v>10</v>
      </c>
      <c r="N5335" s="787">
        <v>79.349999999999994</v>
      </c>
      <c r="O5335" s="788">
        <v>42135</v>
      </c>
    </row>
    <row r="5336" spans="1:15" x14ac:dyDescent="0.25">
      <c r="A5336" s="786" t="s">
        <v>10108</v>
      </c>
      <c r="B5336" s="787">
        <v>4</v>
      </c>
      <c r="C5336" s="787" t="s">
        <v>10109</v>
      </c>
      <c r="D5336" s="787">
        <v>9.7799999999999994</v>
      </c>
      <c r="E5336" s="787">
        <v>79.78</v>
      </c>
      <c r="F5336" s="788">
        <v>40644</v>
      </c>
      <c r="G5336" s="788">
        <v>41255</v>
      </c>
      <c r="H5336" s="787">
        <v>1</v>
      </c>
      <c r="I5336" s="788">
        <v>40900</v>
      </c>
      <c r="J5336" s="788">
        <v>40588</v>
      </c>
      <c r="L5336" s="787">
        <v>69.73</v>
      </c>
      <c r="M5336" s="787">
        <v>10</v>
      </c>
      <c r="N5336" s="787">
        <v>68.83</v>
      </c>
      <c r="O5336" s="788">
        <v>42163</v>
      </c>
    </row>
    <row r="5337" spans="1:15" x14ac:dyDescent="0.25">
      <c r="A5337" s="786" t="s">
        <v>10110</v>
      </c>
      <c r="B5337" s="787">
        <v>4</v>
      </c>
      <c r="C5337" s="787" t="s">
        <v>10111</v>
      </c>
      <c r="D5337" s="787">
        <v>9.7100000000000009</v>
      </c>
      <c r="E5337" s="787">
        <v>79.709999999999994</v>
      </c>
      <c r="F5337" s="788">
        <v>40644</v>
      </c>
      <c r="G5337" s="788">
        <v>41255</v>
      </c>
      <c r="H5337" s="787">
        <v>1</v>
      </c>
      <c r="I5337" s="788">
        <v>40883</v>
      </c>
      <c r="J5337" s="788">
        <v>40617</v>
      </c>
      <c r="L5337" s="787">
        <v>69.73</v>
      </c>
      <c r="M5337" s="787">
        <v>10</v>
      </c>
      <c r="N5337" s="787">
        <v>68.83</v>
      </c>
      <c r="O5337" s="788">
        <v>42163</v>
      </c>
    </row>
    <row r="5338" spans="1:15" x14ac:dyDescent="0.25">
      <c r="A5338" s="786" t="s">
        <v>10112</v>
      </c>
      <c r="B5338" s="787">
        <v>4</v>
      </c>
      <c r="C5338" s="787" t="s">
        <v>10113</v>
      </c>
      <c r="D5338" s="787">
        <v>0</v>
      </c>
      <c r="E5338" s="787">
        <v>0</v>
      </c>
      <c r="G5338" s="788">
        <v>39976</v>
      </c>
      <c r="H5338" s="787">
        <v>6</v>
      </c>
      <c r="I5338" s="788">
        <v>40133</v>
      </c>
      <c r="J5338" s="788">
        <v>40024</v>
      </c>
      <c r="L5338" s="787">
        <v>69.760000000000005</v>
      </c>
      <c r="M5338" s="787">
        <v>10</v>
      </c>
      <c r="N5338" s="787">
        <v>93.83</v>
      </c>
      <c r="O5338" s="788">
        <v>41806</v>
      </c>
    </row>
    <row r="5339" spans="1:15" x14ac:dyDescent="0.25">
      <c r="A5339" s="786" t="s">
        <v>10114</v>
      </c>
      <c r="B5339" s="787">
        <v>4</v>
      </c>
      <c r="C5339" s="787" t="s">
        <v>10115</v>
      </c>
      <c r="D5339" s="787">
        <v>0</v>
      </c>
      <c r="E5339" s="787">
        <v>0</v>
      </c>
      <c r="G5339" s="788">
        <v>39976</v>
      </c>
      <c r="H5339" s="787">
        <v>6</v>
      </c>
      <c r="I5339" s="788">
        <v>40133</v>
      </c>
      <c r="J5339" s="788">
        <v>40024</v>
      </c>
      <c r="L5339" s="787">
        <v>69.760000000000005</v>
      </c>
      <c r="M5339" s="787">
        <v>10</v>
      </c>
      <c r="N5339" s="787">
        <v>93.82</v>
      </c>
      <c r="O5339" s="788">
        <v>41806</v>
      </c>
    </row>
    <row r="5340" spans="1:15" x14ac:dyDescent="0.25">
      <c r="A5340" s="786" t="s">
        <v>10116</v>
      </c>
      <c r="B5340" s="787">
        <v>4</v>
      </c>
      <c r="C5340" s="787" t="s">
        <v>10117</v>
      </c>
      <c r="D5340" s="787">
        <v>0</v>
      </c>
      <c r="E5340" s="787">
        <v>0</v>
      </c>
      <c r="H5340" s="787">
        <v>1</v>
      </c>
      <c r="I5340" s="788">
        <v>39002</v>
      </c>
      <c r="J5340" s="788">
        <v>39101</v>
      </c>
      <c r="L5340" s="787">
        <v>88.14</v>
      </c>
      <c r="M5340" s="787">
        <v>10</v>
      </c>
      <c r="N5340" s="787">
        <v>101.97</v>
      </c>
      <c r="O5340" s="788">
        <v>42163</v>
      </c>
    </row>
    <row r="5341" spans="1:15" x14ac:dyDescent="0.25">
      <c r="A5341" s="786" t="s">
        <v>10118</v>
      </c>
      <c r="B5341" s="787">
        <v>4</v>
      </c>
      <c r="C5341" s="787" t="s">
        <v>10119</v>
      </c>
      <c r="D5341" s="787">
        <v>0</v>
      </c>
      <c r="E5341" s="787">
        <v>0</v>
      </c>
      <c r="H5341" s="787">
        <v>1</v>
      </c>
      <c r="I5341" s="788">
        <v>39002</v>
      </c>
      <c r="J5341" s="788">
        <v>39101</v>
      </c>
      <c r="L5341" s="787">
        <v>89.66</v>
      </c>
      <c r="M5341" s="787">
        <v>10</v>
      </c>
      <c r="N5341" s="787">
        <v>95.91</v>
      </c>
      <c r="O5341" s="788">
        <v>42163</v>
      </c>
    </row>
    <row r="5342" spans="1:15" x14ac:dyDescent="0.25">
      <c r="A5342" s="786" t="s">
        <v>10120</v>
      </c>
      <c r="B5342" s="787">
        <v>4</v>
      </c>
      <c r="C5342" s="787" t="s">
        <v>10121</v>
      </c>
      <c r="D5342" s="787">
        <v>1.21</v>
      </c>
      <c r="E5342" s="787">
        <v>81.209999999999994</v>
      </c>
      <c r="F5342" s="788">
        <v>40792</v>
      </c>
      <c r="G5342" s="788">
        <v>41255</v>
      </c>
      <c r="H5342" s="787">
        <v>1</v>
      </c>
      <c r="I5342" s="788">
        <v>40800</v>
      </c>
      <c r="J5342" s="788">
        <v>40689</v>
      </c>
      <c r="L5342" s="787">
        <v>68.66</v>
      </c>
      <c r="M5342" s="787">
        <v>10</v>
      </c>
      <c r="N5342" s="787">
        <v>67.599999999999994</v>
      </c>
      <c r="O5342" s="788">
        <v>42163</v>
      </c>
    </row>
    <row r="5343" spans="1:15" x14ac:dyDescent="0.25">
      <c r="A5343" s="786" t="s">
        <v>10122</v>
      </c>
      <c r="B5343" s="787">
        <v>4</v>
      </c>
      <c r="C5343" s="787" t="s">
        <v>10123</v>
      </c>
      <c r="D5343" s="787">
        <v>0.96</v>
      </c>
      <c r="E5343" s="787">
        <v>80.959999999999994</v>
      </c>
      <c r="F5343" s="788">
        <v>40792</v>
      </c>
      <c r="G5343" s="788">
        <v>41255</v>
      </c>
      <c r="H5343" s="787">
        <v>1</v>
      </c>
      <c r="I5343" s="788">
        <v>40800</v>
      </c>
      <c r="J5343" s="788">
        <v>40689</v>
      </c>
      <c r="L5343" s="787">
        <v>68.66</v>
      </c>
      <c r="M5343" s="787">
        <v>10</v>
      </c>
      <c r="N5343" s="787">
        <v>68.08</v>
      </c>
      <c r="O5343" s="788">
        <v>42163</v>
      </c>
    </row>
    <row r="5344" spans="1:15" x14ac:dyDescent="0.25">
      <c r="A5344" s="786" t="s">
        <v>10124</v>
      </c>
      <c r="B5344" s="787">
        <v>4</v>
      </c>
      <c r="C5344" s="787" t="s">
        <v>10125</v>
      </c>
      <c r="D5344" s="787">
        <v>0</v>
      </c>
      <c r="E5344" s="787">
        <v>0</v>
      </c>
      <c r="F5344" s="788">
        <v>40948</v>
      </c>
      <c r="G5344" s="788">
        <v>40948</v>
      </c>
      <c r="H5344" s="787">
        <v>1</v>
      </c>
      <c r="I5344" s="788">
        <v>40884</v>
      </c>
      <c r="J5344" s="788">
        <v>40791</v>
      </c>
      <c r="L5344" s="787">
        <v>71.03</v>
      </c>
      <c r="M5344" s="787">
        <v>10</v>
      </c>
      <c r="N5344" s="787">
        <v>67.23</v>
      </c>
      <c r="O5344" s="788">
        <v>42163</v>
      </c>
    </row>
    <row r="5345" spans="1:15" x14ac:dyDescent="0.25">
      <c r="A5345" s="786" t="s">
        <v>10126</v>
      </c>
      <c r="B5345" s="787">
        <v>4</v>
      </c>
      <c r="C5345" s="787" t="s">
        <v>10127</v>
      </c>
      <c r="D5345" s="787">
        <v>0</v>
      </c>
      <c r="E5345" s="787">
        <v>0</v>
      </c>
      <c r="F5345" s="788">
        <v>40948</v>
      </c>
      <c r="G5345" s="788">
        <v>40948</v>
      </c>
      <c r="H5345" s="787">
        <v>1</v>
      </c>
      <c r="I5345" s="788">
        <v>40884</v>
      </c>
      <c r="J5345" s="788">
        <v>40791</v>
      </c>
      <c r="L5345" s="787">
        <v>71.03</v>
      </c>
      <c r="M5345" s="787">
        <v>10</v>
      </c>
      <c r="N5345" s="787">
        <v>67.290000000000006</v>
      </c>
      <c r="O5345" s="788">
        <v>42163</v>
      </c>
    </row>
    <row r="5346" spans="1:15" x14ac:dyDescent="0.25">
      <c r="A5346" s="786" t="s">
        <v>10128</v>
      </c>
      <c r="B5346" s="787">
        <v>4</v>
      </c>
      <c r="C5346" s="787" t="s">
        <v>10129</v>
      </c>
      <c r="D5346" s="787">
        <v>0</v>
      </c>
      <c r="E5346" s="787">
        <v>0</v>
      </c>
      <c r="H5346" s="787">
        <v>1</v>
      </c>
      <c r="I5346" s="788">
        <v>39002</v>
      </c>
      <c r="J5346" s="788">
        <v>39101</v>
      </c>
      <c r="L5346" s="787">
        <v>85.23</v>
      </c>
      <c r="M5346" s="787">
        <v>10</v>
      </c>
      <c r="N5346" s="787">
        <v>88.05</v>
      </c>
      <c r="O5346" s="788">
        <v>42163</v>
      </c>
    </row>
    <row r="5347" spans="1:15" x14ac:dyDescent="0.25">
      <c r="A5347" s="786" t="s">
        <v>10130</v>
      </c>
      <c r="B5347" s="787">
        <v>4</v>
      </c>
      <c r="C5347" s="787" t="s">
        <v>10131</v>
      </c>
      <c r="D5347" s="787">
        <v>0</v>
      </c>
      <c r="E5347" s="787">
        <v>0</v>
      </c>
      <c r="H5347" s="787">
        <v>1</v>
      </c>
      <c r="I5347" s="788">
        <v>39002</v>
      </c>
      <c r="J5347" s="788">
        <v>39101</v>
      </c>
      <c r="L5347" s="787">
        <v>84.23</v>
      </c>
      <c r="M5347" s="787">
        <v>10</v>
      </c>
      <c r="N5347" s="787">
        <v>88.29</v>
      </c>
      <c r="O5347" s="788">
        <v>42163</v>
      </c>
    </row>
    <row r="5348" spans="1:15" x14ac:dyDescent="0.25">
      <c r="A5348" s="786" t="s">
        <v>10132</v>
      </c>
      <c r="B5348" s="787">
        <v>4</v>
      </c>
      <c r="C5348" s="787" t="s">
        <v>10133</v>
      </c>
      <c r="D5348" s="787">
        <v>0</v>
      </c>
      <c r="E5348" s="787">
        <v>0</v>
      </c>
      <c r="H5348" s="787">
        <v>1</v>
      </c>
      <c r="I5348" s="788">
        <v>39002</v>
      </c>
      <c r="J5348" s="788">
        <v>39101</v>
      </c>
      <c r="L5348" s="787">
        <v>0</v>
      </c>
      <c r="M5348" s="787">
        <v>10</v>
      </c>
      <c r="N5348" s="787">
        <v>178.91</v>
      </c>
      <c r="O5348" s="788">
        <v>41858</v>
      </c>
    </row>
    <row r="5349" spans="1:15" x14ac:dyDescent="0.25">
      <c r="A5349" s="786" t="s">
        <v>10134</v>
      </c>
      <c r="B5349" s="787">
        <v>4</v>
      </c>
      <c r="C5349" s="787" t="s">
        <v>10135</v>
      </c>
      <c r="D5349" s="787">
        <v>0</v>
      </c>
      <c r="E5349" s="787">
        <v>0</v>
      </c>
      <c r="H5349" s="787">
        <v>1</v>
      </c>
      <c r="I5349" s="788">
        <v>39002</v>
      </c>
      <c r="J5349" s="788">
        <v>39101</v>
      </c>
      <c r="L5349" s="787">
        <v>0</v>
      </c>
      <c r="M5349" s="787">
        <v>10</v>
      </c>
      <c r="N5349" s="787">
        <v>178.91</v>
      </c>
      <c r="O5349" s="788">
        <v>41858</v>
      </c>
    </row>
    <row r="5350" spans="1:15" x14ac:dyDescent="0.25">
      <c r="A5350" s="786" t="s">
        <v>10136</v>
      </c>
      <c r="B5350" s="787">
        <v>4</v>
      </c>
      <c r="C5350" s="787" t="s">
        <v>10137</v>
      </c>
      <c r="D5350" s="787">
        <v>0</v>
      </c>
      <c r="E5350" s="787">
        <v>0</v>
      </c>
      <c r="H5350" s="787">
        <v>1</v>
      </c>
      <c r="I5350" s="788">
        <v>39002</v>
      </c>
      <c r="J5350" s="788">
        <v>39101</v>
      </c>
      <c r="L5350" s="787">
        <v>0</v>
      </c>
      <c r="M5350" s="787">
        <v>10</v>
      </c>
      <c r="N5350" s="787">
        <v>178.91</v>
      </c>
      <c r="O5350" s="788">
        <v>41858</v>
      </c>
    </row>
    <row r="5351" spans="1:15" x14ac:dyDescent="0.25">
      <c r="A5351" s="786" t="s">
        <v>10138</v>
      </c>
      <c r="B5351" s="787">
        <v>4</v>
      </c>
      <c r="C5351" s="787" t="s">
        <v>10093</v>
      </c>
      <c r="D5351" s="787">
        <v>0</v>
      </c>
      <c r="E5351" s="787">
        <v>0</v>
      </c>
      <c r="H5351" s="787">
        <v>1</v>
      </c>
      <c r="I5351" s="788">
        <v>39002</v>
      </c>
      <c r="J5351" s="788">
        <v>39101</v>
      </c>
      <c r="L5351" s="787">
        <v>83.56</v>
      </c>
      <c r="M5351" s="787">
        <v>10</v>
      </c>
      <c r="N5351" s="787">
        <v>86.11</v>
      </c>
      <c r="O5351" s="788">
        <v>42116</v>
      </c>
    </row>
    <row r="5352" spans="1:15" x14ac:dyDescent="0.25">
      <c r="A5352" s="786" t="s">
        <v>10139</v>
      </c>
      <c r="B5352" s="787">
        <v>4</v>
      </c>
      <c r="C5352" s="787" t="s">
        <v>10095</v>
      </c>
      <c r="D5352" s="787">
        <v>0</v>
      </c>
      <c r="E5352" s="787">
        <v>0</v>
      </c>
      <c r="H5352" s="787">
        <v>1</v>
      </c>
      <c r="I5352" s="788">
        <v>39002</v>
      </c>
      <c r="J5352" s="788">
        <v>39101</v>
      </c>
      <c r="L5352" s="787">
        <v>85.09</v>
      </c>
      <c r="M5352" s="787">
        <v>10</v>
      </c>
      <c r="N5352" s="787">
        <v>86.76</v>
      </c>
      <c r="O5352" s="788">
        <v>42116</v>
      </c>
    </row>
    <row r="5353" spans="1:15" x14ac:dyDescent="0.25">
      <c r="A5353" s="786" t="s">
        <v>10140</v>
      </c>
      <c r="B5353" s="787">
        <v>4</v>
      </c>
      <c r="C5353" s="787" t="s">
        <v>10105</v>
      </c>
      <c r="D5353" s="787">
        <v>0</v>
      </c>
      <c r="E5353" s="787">
        <v>0</v>
      </c>
      <c r="H5353" s="787">
        <v>1</v>
      </c>
      <c r="I5353" s="788">
        <v>38604</v>
      </c>
      <c r="J5353" s="788">
        <v>38736</v>
      </c>
      <c r="L5353" s="787">
        <v>80.5</v>
      </c>
      <c r="M5353" s="787">
        <v>10</v>
      </c>
      <c r="N5353" s="787">
        <v>79.23</v>
      </c>
      <c r="O5353" s="788">
        <v>42143</v>
      </c>
    </row>
    <row r="5354" spans="1:15" x14ac:dyDescent="0.25">
      <c r="A5354" s="786" t="s">
        <v>10141</v>
      </c>
      <c r="B5354" s="787">
        <v>4</v>
      </c>
      <c r="C5354" s="787" t="s">
        <v>10107</v>
      </c>
      <c r="D5354" s="787">
        <v>0</v>
      </c>
      <c r="E5354" s="787">
        <v>0</v>
      </c>
      <c r="H5354" s="787">
        <v>1</v>
      </c>
      <c r="I5354" s="788">
        <v>38604</v>
      </c>
      <c r="J5354" s="788">
        <v>38736</v>
      </c>
      <c r="L5354" s="787">
        <v>79.650000000000006</v>
      </c>
      <c r="M5354" s="787">
        <v>10</v>
      </c>
      <c r="N5354" s="787">
        <v>79.14</v>
      </c>
      <c r="O5354" s="788">
        <v>42135</v>
      </c>
    </row>
    <row r="5355" spans="1:15" x14ac:dyDescent="0.25">
      <c r="A5355" s="786" t="s">
        <v>10142</v>
      </c>
      <c r="B5355" s="787">
        <v>4</v>
      </c>
      <c r="C5355" s="787" t="s">
        <v>10143</v>
      </c>
      <c r="D5355" s="787">
        <v>8.7899999999999991</v>
      </c>
      <c r="E5355" s="787">
        <v>39.04</v>
      </c>
      <c r="F5355" s="788">
        <v>40948</v>
      </c>
      <c r="G5355" s="788">
        <v>40948</v>
      </c>
      <c r="H5355" s="787">
        <v>1</v>
      </c>
      <c r="I5355" s="788">
        <v>40968</v>
      </c>
      <c r="J5355" s="788">
        <v>40897</v>
      </c>
      <c r="K5355" s="788">
        <v>41461</v>
      </c>
      <c r="L5355" s="787">
        <v>70</v>
      </c>
      <c r="M5355" s="787">
        <v>10</v>
      </c>
      <c r="N5355" s="787">
        <v>60.08</v>
      </c>
      <c r="O5355" s="788">
        <v>42121</v>
      </c>
    </row>
    <row r="5356" spans="1:15" x14ac:dyDescent="0.25">
      <c r="A5356" s="786" t="s">
        <v>10144</v>
      </c>
      <c r="B5356" s="787">
        <v>4</v>
      </c>
      <c r="C5356" s="787" t="s">
        <v>10145</v>
      </c>
      <c r="D5356" s="787">
        <v>8.7899999999999991</v>
      </c>
      <c r="E5356" s="787">
        <v>39.06</v>
      </c>
      <c r="F5356" s="788">
        <v>40948</v>
      </c>
      <c r="G5356" s="788">
        <v>40948</v>
      </c>
      <c r="H5356" s="787">
        <v>1</v>
      </c>
      <c r="I5356" s="788">
        <v>40968</v>
      </c>
      <c r="J5356" s="788">
        <v>40897</v>
      </c>
      <c r="K5356" s="788">
        <v>41461</v>
      </c>
      <c r="L5356" s="787">
        <v>70</v>
      </c>
      <c r="M5356" s="787">
        <v>10</v>
      </c>
      <c r="N5356" s="787">
        <v>60.08</v>
      </c>
      <c r="O5356" s="788">
        <v>42121</v>
      </c>
    </row>
    <row r="5357" spans="1:15" x14ac:dyDescent="0.25">
      <c r="A5357" s="786" t="s">
        <v>10146</v>
      </c>
      <c r="B5357" s="787">
        <v>4</v>
      </c>
      <c r="C5357" s="787" t="s">
        <v>10147</v>
      </c>
      <c r="D5357" s="787">
        <v>5.15</v>
      </c>
      <c r="E5357" s="787">
        <v>56.02</v>
      </c>
      <c r="F5357" s="788">
        <v>40948</v>
      </c>
      <c r="G5357" s="788">
        <v>41255</v>
      </c>
      <c r="H5357" s="787">
        <v>1</v>
      </c>
      <c r="I5357" s="788">
        <v>40900</v>
      </c>
      <c r="J5357" s="788">
        <v>40897</v>
      </c>
      <c r="K5357" s="788">
        <v>41461</v>
      </c>
      <c r="L5357" s="787">
        <v>70</v>
      </c>
      <c r="M5357" s="787">
        <v>10</v>
      </c>
      <c r="N5357" s="787">
        <v>68.97</v>
      </c>
      <c r="O5357" s="788">
        <v>42163</v>
      </c>
    </row>
    <row r="5358" spans="1:15" x14ac:dyDescent="0.25">
      <c r="A5358" s="786" t="s">
        <v>10148</v>
      </c>
      <c r="B5358" s="787">
        <v>4</v>
      </c>
      <c r="C5358" s="787" t="s">
        <v>10149</v>
      </c>
      <c r="D5358" s="787">
        <v>5.2</v>
      </c>
      <c r="E5358" s="787">
        <v>56.02</v>
      </c>
      <c r="F5358" s="788">
        <v>40948</v>
      </c>
      <c r="G5358" s="788">
        <v>41255</v>
      </c>
      <c r="H5358" s="787">
        <v>1</v>
      </c>
      <c r="I5358" s="788">
        <v>40900</v>
      </c>
      <c r="J5358" s="788">
        <v>40897</v>
      </c>
      <c r="K5358" s="788">
        <v>41461</v>
      </c>
      <c r="L5358" s="787">
        <v>70</v>
      </c>
      <c r="M5358" s="787">
        <v>10</v>
      </c>
      <c r="N5358" s="787">
        <v>68.959999999999994</v>
      </c>
      <c r="O5358" s="788">
        <v>42163</v>
      </c>
    </row>
    <row r="5359" spans="1:15" x14ac:dyDescent="0.25">
      <c r="A5359" s="786" t="s">
        <v>10150</v>
      </c>
      <c r="B5359" s="787">
        <v>4</v>
      </c>
      <c r="C5359" s="787" t="s">
        <v>10151</v>
      </c>
      <c r="D5359" s="787">
        <v>0</v>
      </c>
      <c r="E5359" s="787">
        <v>0</v>
      </c>
      <c r="H5359" s="787">
        <v>1</v>
      </c>
      <c r="L5359" s="787">
        <v>500</v>
      </c>
      <c r="M5359" s="787">
        <v>10</v>
      </c>
      <c r="N5359" s="787">
        <v>127.9</v>
      </c>
      <c r="O5359" s="788">
        <v>41858</v>
      </c>
    </row>
    <row r="5360" spans="1:15" x14ac:dyDescent="0.25">
      <c r="A5360" s="786" t="s">
        <v>10152</v>
      </c>
      <c r="B5360" s="787">
        <v>4</v>
      </c>
      <c r="C5360" s="787" t="s">
        <v>10153</v>
      </c>
      <c r="D5360" s="787">
        <v>0</v>
      </c>
      <c r="E5360" s="787">
        <v>0</v>
      </c>
      <c r="H5360" s="787">
        <v>1</v>
      </c>
      <c r="L5360" s="787">
        <v>400</v>
      </c>
      <c r="M5360" s="787">
        <v>10</v>
      </c>
      <c r="N5360" s="787">
        <v>128.83000000000001</v>
      </c>
      <c r="O5360" s="788">
        <v>41858</v>
      </c>
    </row>
    <row r="5361" spans="1:15" x14ac:dyDescent="0.25">
      <c r="A5361" s="786" t="s">
        <v>10154</v>
      </c>
      <c r="B5361" s="787">
        <v>4</v>
      </c>
      <c r="C5361" s="787" t="s">
        <v>10155</v>
      </c>
      <c r="D5361" s="787">
        <v>0</v>
      </c>
      <c r="E5361" s="787">
        <v>0</v>
      </c>
      <c r="H5361" s="787">
        <v>1</v>
      </c>
      <c r="L5361" s="787">
        <v>500</v>
      </c>
      <c r="M5361" s="787">
        <v>10</v>
      </c>
      <c r="N5361" s="787">
        <v>128.02000000000001</v>
      </c>
      <c r="O5361" s="788">
        <v>41858</v>
      </c>
    </row>
    <row r="5362" spans="1:15" x14ac:dyDescent="0.25">
      <c r="A5362" s="786" t="s">
        <v>10156</v>
      </c>
      <c r="B5362" s="787">
        <v>4</v>
      </c>
      <c r="C5362" s="787" t="s">
        <v>10151</v>
      </c>
      <c r="D5362" s="787">
        <v>0</v>
      </c>
      <c r="E5362" s="787">
        <v>0</v>
      </c>
      <c r="H5362" s="787">
        <v>1</v>
      </c>
      <c r="K5362" s="788">
        <v>41481</v>
      </c>
      <c r="L5362" s="787">
        <v>500</v>
      </c>
      <c r="M5362" s="787">
        <v>10</v>
      </c>
      <c r="N5362" s="787">
        <v>118.71</v>
      </c>
      <c r="O5362" s="788">
        <v>42082</v>
      </c>
    </row>
    <row r="5363" spans="1:15" x14ac:dyDescent="0.25">
      <c r="A5363" s="786" t="s">
        <v>10156</v>
      </c>
      <c r="B5363" s="787">
        <v>4</v>
      </c>
      <c r="C5363" s="787" t="s">
        <v>10151</v>
      </c>
      <c r="D5363" s="787">
        <v>0</v>
      </c>
      <c r="E5363" s="787">
        <v>0</v>
      </c>
      <c r="H5363" s="787">
        <v>1</v>
      </c>
      <c r="K5363" s="788">
        <v>41481</v>
      </c>
      <c r="L5363" s="787">
        <v>500</v>
      </c>
      <c r="M5363" s="787">
        <v>10</v>
      </c>
      <c r="N5363" s="787">
        <v>118.71</v>
      </c>
      <c r="O5363" s="788">
        <v>42082</v>
      </c>
    </row>
    <row r="5364" spans="1:15" x14ac:dyDescent="0.25">
      <c r="A5364" s="786" t="s">
        <v>10156</v>
      </c>
      <c r="B5364" s="787">
        <v>4</v>
      </c>
      <c r="C5364" s="787" t="s">
        <v>10151</v>
      </c>
      <c r="D5364" s="787">
        <v>0</v>
      </c>
      <c r="E5364" s="787">
        <v>0</v>
      </c>
      <c r="H5364" s="787">
        <v>1</v>
      </c>
      <c r="K5364" s="788">
        <v>41481</v>
      </c>
      <c r="L5364" s="787">
        <v>500</v>
      </c>
      <c r="M5364" s="787">
        <v>10</v>
      </c>
      <c r="N5364" s="787">
        <v>118.71</v>
      </c>
      <c r="O5364" s="788">
        <v>42082</v>
      </c>
    </row>
    <row r="5365" spans="1:15" x14ac:dyDescent="0.25">
      <c r="A5365" s="786" t="s">
        <v>10157</v>
      </c>
      <c r="B5365" s="787">
        <v>4</v>
      </c>
      <c r="C5365" s="787" t="s">
        <v>10153</v>
      </c>
      <c r="D5365" s="787">
        <v>0</v>
      </c>
      <c r="E5365" s="787">
        <v>0</v>
      </c>
      <c r="H5365" s="787">
        <v>1</v>
      </c>
      <c r="K5365" s="788">
        <v>41481</v>
      </c>
      <c r="L5365" s="787">
        <v>500</v>
      </c>
      <c r="M5365" s="787">
        <v>10</v>
      </c>
      <c r="N5365" s="787">
        <v>120.17</v>
      </c>
      <c r="O5365" s="788">
        <v>42116</v>
      </c>
    </row>
    <row r="5366" spans="1:15" x14ac:dyDescent="0.25">
      <c r="A5366" s="786" t="s">
        <v>10157</v>
      </c>
      <c r="B5366" s="787">
        <v>4</v>
      </c>
      <c r="C5366" s="787" t="s">
        <v>10153</v>
      </c>
      <c r="D5366" s="787">
        <v>0</v>
      </c>
      <c r="E5366" s="787">
        <v>0</v>
      </c>
      <c r="H5366" s="787">
        <v>1</v>
      </c>
      <c r="K5366" s="788">
        <v>41481</v>
      </c>
      <c r="L5366" s="787">
        <v>500</v>
      </c>
      <c r="M5366" s="787">
        <v>10</v>
      </c>
      <c r="N5366" s="787">
        <v>120.17</v>
      </c>
      <c r="O5366" s="788">
        <v>42116</v>
      </c>
    </row>
    <row r="5367" spans="1:15" x14ac:dyDescent="0.25">
      <c r="A5367" s="786" t="s">
        <v>10157</v>
      </c>
      <c r="B5367" s="787">
        <v>4</v>
      </c>
      <c r="C5367" s="787" t="s">
        <v>10153</v>
      </c>
      <c r="D5367" s="787">
        <v>0</v>
      </c>
      <c r="E5367" s="787">
        <v>0</v>
      </c>
      <c r="H5367" s="787">
        <v>1</v>
      </c>
      <c r="K5367" s="788">
        <v>41481</v>
      </c>
      <c r="L5367" s="787">
        <v>500</v>
      </c>
      <c r="M5367" s="787">
        <v>10</v>
      </c>
      <c r="N5367" s="787">
        <v>120.17</v>
      </c>
      <c r="O5367" s="788">
        <v>42116</v>
      </c>
    </row>
    <row r="5368" spans="1:15" x14ac:dyDescent="0.25">
      <c r="A5368" s="786" t="s">
        <v>10157</v>
      </c>
      <c r="B5368" s="787">
        <v>4</v>
      </c>
      <c r="C5368" s="787" t="s">
        <v>10153</v>
      </c>
      <c r="D5368" s="787">
        <v>0</v>
      </c>
      <c r="E5368" s="787">
        <v>0</v>
      </c>
      <c r="H5368" s="787">
        <v>1</v>
      </c>
      <c r="K5368" s="788">
        <v>41481</v>
      </c>
      <c r="L5368" s="787">
        <v>500</v>
      </c>
      <c r="M5368" s="787">
        <v>10</v>
      </c>
      <c r="N5368" s="787">
        <v>120.17</v>
      </c>
      <c r="O5368" s="788">
        <v>42116</v>
      </c>
    </row>
    <row r="5369" spans="1:15" x14ac:dyDescent="0.25">
      <c r="A5369" s="786" t="s">
        <v>10157</v>
      </c>
      <c r="B5369" s="787">
        <v>4</v>
      </c>
      <c r="C5369" s="787" t="s">
        <v>10153</v>
      </c>
      <c r="D5369" s="787">
        <v>0</v>
      </c>
      <c r="E5369" s="787">
        <v>0</v>
      </c>
      <c r="H5369" s="787">
        <v>1</v>
      </c>
      <c r="K5369" s="788">
        <v>41481</v>
      </c>
      <c r="L5369" s="787">
        <v>500</v>
      </c>
      <c r="M5369" s="787">
        <v>10</v>
      </c>
      <c r="N5369" s="787">
        <v>120.17</v>
      </c>
      <c r="O5369" s="788">
        <v>42116</v>
      </c>
    </row>
    <row r="5370" spans="1:15" x14ac:dyDescent="0.25">
      <c r="A5370" s="786" t="s">
        <v>10157</v>
      </c>
      <c r="B5370" s="787">
        <v>4</v>
      </c>
      <c r="C5370" s="787" t="s">
        <v>10153</v>
      </c>
      <c r="D5370" s="787">
        <v>0</v>
      </c>
      <c r="E5370" s="787">
        <v>0</v>
      </c>
      <c r="H5370" s="787">
        <v>1</v>
      </c>
      <c r="K5370" s="788">
        <v>41481</v>
      </c>
      <c r="L5370" s="787">
        <v>500</v>
      </c>
      <c r="M5370" s="787">
        <v>10</v>
      </c>
      <c r="N5370" s="787">
        <v>120.17</v>
      </c>
      <c r="O5370" s="788">
        <v>42116</v>
      </c>
    </row>
    <row r="5371" spans="1:15" x14ac:dyDescent="0.25">
      <c r="A5371" s="786" t="s">
        <v>10157</v>
      </c>
      <c r="B5371" s="787">
        <v>4</v>
      </c>
      <c r="C5371" s="787" t="s">
        <v>10153</v>
      </c>
      <c r="D5371" s="787">
        <v>0</v>
      </c>
      <c r="E5371" s="787">
        <v>0</v>
      </c>
      <c r="H5371" s="787">
        <v>1</v>
      </c>
      <c r="K5371" s="788">
        <v>41481</v>
      </c>
      <c r="L5371" s="787">
        <v>500</v>
      </c>
      <c r="M5371" s="787">
        <v>10</v>
      </c>
      <c r="N5371" s="787">
        <v>120.17</v>
      </c>
      <c r="O5371" s="788">
        <v>42116</v>
      </c>
    </row>
    <row r="5372" spans="1:15" x14ac:dyDescent="0.25">
      <c r="A5372" s="786" t="s">
        <v>10157</v>
      </c>
      <c r="B5372" s="787">
        <v>4</v>
      </c>
      <c r="C5372" s="787" t="s">
        <v>10153</v>
      </c>
      <c r="D5372" s="787">
        <v>0</v>
      </c>
      <c r="E5372" s="787">
        <v>0</v>
      </c>
      <c r="H5372" s="787">
        <v>1</v>
      </c>
      <c r="K5372" s="788">
        <v>41481</v>
      </c>
      <c r="L5372" s="787">
        <v>500</v>
      </c>
      <c r="M5372" s="787">
        <v>10</v>
      </c>
      <c r="N5372" s="787">
        <v>120.17</v>
      </c>
      <c r="O5372" s="788">
        <v>42116</v>
      </c>
    </row>
    <row r="5373" spans="1:15" x14ac:dyDescent="0.25">
      <c r="A5373" s="786" t="s">
        <v>10158</v>
      </c>
      <c r="B5373" s="787">
        <v>4</v>
      </c>
      <c r="C5373" s="787" t="s">
        <v>10155</v>
      </c>
      <c r="D5373" s="787">
        <v>0</v>
      </c>
      <c r="E5373" s="787">
        <v>0</v>
      </c>
      <c r="H5373" s="787">
        <v>1</v>
      </c>
      <c r="K5373" s="788">
        <v>41481</v>
      </c>
      <c r="L5373" s="787">
        <v>500</v>
      </c>
      <c r="M5373" s="787">
        <v>10</v>
      </c>
      <c r="N5373" s="787">
        <v>119.27</v>
      </c>
      <c r="O5373" s="788">
        <v>42127</v>
      </c>
    </row>
    <row r="5374" spans="1:15" x14ac:dyDescent="0.25">
      <c r="A5374" s="786" t="s">
        <v>10158</v>
      </c>
      <c r="B5374" s="787">
        <v>4</v>
      </c>
      <c r="C5374" s="787" t="s">
        <v>10155</v>
      </c>
      <c r="D5374" s="787">
        <v>0</v>
      </c>
      <c r="E5374" s="787">
        <v>0</v>
      </c>
      <c r="H5374" s="787">
        <v>1</v>
      </c>
      <c r="K5374" s="788">
        <v>41481</v>
      </c>
      <c r="L5374" s="787">
        <v>500</v>
      </c>
      <c r="M5374" s="787">
        <v>10</v>
      </c>
      <c r="N5374" s="787">
        <v>119.27</v>
      </c>
      <c r="O5374" s="788">
        <v>42127</v>
      </c>
    </row>
    <row r="5375" spans="1:15" x14ac:dyDescent="0.25">
      <c r="A5375" s="786" t="s">
        <v>10158</v>
      </c>
      <c r="B5375" s="787">
        <v>4</v>
      </c>
      <c r="C5375" s="787" t="s">
        <v>10155</v>
      </c>
      <c r="D5375" s="787">
        <v>0</v>
      </c>
      <c r="E5375" s="787">
        <v>0</v>
      </c>
      <c r="H5375" s="787">
        <v>1</v>
      </c>
      <c r="K5375" s="788">
        <v>41481</v>
      </c>
      <c r="L5375" s="787">
        <v>500</v>
      </c>
      <c r="M5375" s="787">
        <v>10</v>
      </c>
      <c r="N5375" s="787">
        <v>119.27</v>
      </c>
      <c r="O5375" s="788">
        <v>42127</v>
      </c>
    </row>
    <row r="5376" spans="1:15" x14ac:dyDescent="0.25">
      <c r="A5376" s="786" t="s">
        <v>10158</v>
      </c>
      <c r="B5376" s="787">
        <v>4</v>
      </c>
      <c r="C5376" s="787" t="s">
        <v>10155</v>
      </c>
      <c r="D5376" s="787">
        <v>0</v>
      </c>
      <c r="E5376" s="787">
        <v>0</v>
      </c>
      <c r="H5376" s="787">
        <v>1</v>
      </c>
      <c r="K5376" s="788">
        <v>41481</v>
      </c>
      <c r="L5376" s="787">
        <v>500</v>
      </c>
      <c r="M5376" s="787">
        <v>10</v>
      </c>
      <c r="N5376" s="787">
        <v>119.27</v>
      </c>
      <c r="O5376" s="788">
        <v>42127</v>
      </c>
    </row>
    <row r="5377" spans="1:15" x14ac:dyDescent="0.25">
      <c r="A5377" s="786" t="s">
        <v>10158</v>
      </c>
      <c r="B5377" s="787">
        <v>4</v>
      </c>
      <c r="C5377" s="787" t="s">
        <v>10155</v>
      </c>
      <c r="D5377" s="787">
        <v>0</v>
      </c>
      <c r="E5377" s="787">
        <v>0</v>
      </c>
      <c r="H5377" s="787">
        <v>1</v>
      </c>
      <c r="K5377" s="788">
        <v>41481</v>
      </c>
      <c r="L5377" s="787">
        <v>500</v>
      </c>
      <c r="M5377" s="787">
        <v>10</v>
      </c>
      <c r="N5377" s="787">
        <v>119.27</v>
      </c>
      <c r="O5377" s="788">
        <v>42127</v>
      </c>
    </row>
    <row r="5378" spans="1:15" x14ac:dyDescent="0.25">
      <c r="A5378" s="786" t="s">
        <v>10158</v>
      </c>
      <c r="B5378" s="787">
        <v>4</v>
      </c>
      <c r="C5378" s="787" t="s">
        <v>10155</v>
      </c>
      <c r="D5378" s="787">
        <v>0</v>
      </c>
      <c r="E5378" s="787">
        <v>0</v>
      </c>
      <c r="H5378" s="787">
        <v>1</v>
      </c>
      <c r="K5378" s="788">
        <v>41481</v>
      </c>
      <c r="L5378" s="787">
        <v>500</v>
      </c>
      <c r="M5378" s="787">
        <v>10</v>
      </c>
      <c r="N5378" s="787">
        <v>119.27</v>
      </c>
      <c r="O5378" s="788">
        <v>42127</v>
      </c>
    </row>
    <row r="5379" spans="1:15" x14ac:dyDescent="0.25">
      <c r="A5379" s="786" t="s">
        <v>10158</v>
      </c>
      <c r="B5379" s="787">
        <v>4</v>
      </c>
      <c r="C5379" s="787" t="s">
        <v>10155</v>
      </c>
      <c r="D5379" s="787">
        <v>0</v>
      </c>
      <c r="E5379" s="787">
        <v>0</v>
      </c>
      <c r="H5379" s="787">
        <v>1</v>
      </c>
      <c r="K5379" s="788">
        <v>41481</v>
      </c>
      <c r="L5379" s="787">
        <v>500</v>
      </c>
      <c r="M5379" s="787">
        <v>10</v>
      </c>
      <c r="N5379" s="787">
        <v>119.27</v>
      </c>
      <c r="O5379" s="788">
        <v>42127</v>
      </c>
    </row>
    <row r="5380" spans="1:15" x14ac:dyDescent="0.25">
      <c r="A5380" s="786" t="s">
        <v>10159</v>
      </c>
      <c r="B5380" s="787">
        <v>4</v>
      </c>
      <c r="C5380" s="787" t="s">
        <v>10160</v>
      </c>
      <c r="D5380" s="787">
        <v>0</v>
      </c>
      <c r="E5380" s="787">
        <v>0</v>
      </c>
      <c r="H5380" s="787">
        <v>1</v>
      </c>
      <c r="L5380" s="787">
        <v>700</v>
      </c>
      <c r="M5380" s="787">
        <v>10</v>
      </c>
      <c r="N5380" s="787">
        <v>173.84</v>
      </c>
      <c r="O5380" s="788">
        <v>41858</v>
      </c>
    </row>
    <row r="5381" spans="1:15" x14ac:dyDescent="0.25">
      <c r="A5381" s="786" t="s">
        <v>10161</v>
      </c>
      <c r="B5381" s="787">
        <v>4</v>
      </c>
      <c r="C5381" s="787" t="s">
        <v>10162</v>
      </c>
      <c r="D5381" s="787">
        <v>0</v>
      </c>
      <c r="E5381" s="787">
        <v>0</v>
      </c>
      <c r="H5381" s="787">
        <v>1</v>
      </c>
      <c r="L5381" s="787">
        <v>500</v>
      </c>
      <c r="M5381" s="787">
        <v>10</v>
      </c>
      <c r="N5381" s="787">
        <v>174.77</v>
      </c>
      <c r="O5381" s="788">
        <v>41858</v>
      </c>
    </row>
    <row r="5382" spans="1:15" x14ac:dyDescent="0.25">
      <c r="A5382" s="786" t="s">
        <v>10163</v>
      </c>
      <c r="B5382" s="787">
        <v>4</v>
      </c>
      <c r="C5382" s="787" t="s">
        <v>10164</v>
      </c>
      <c r="D5382" s="787">
        <v>0</v>
      </c>
      <c r="E5382" s="787">
        <v>0</v>
      </c>
      <c r="H5382" s="787">
        <v>1</v>
      </c>
      <c r="L5382" s="787">
        <v>700</v>
      </c>
      <c r="M5382" s="787">
        <v>10</v>
      </c>
      <c r="N5382" s="787">
        <v>173.96</v>
      </c>
      <c r="O5382" s="788">
        <v>41858</v>
      </c>
    </row>
    <row r="5383" spans="1:15" x14ac:dyDescent="0.25">
      <c r="A5383" s="786" t="s">
        <v>10165</v>
      </c>
      <c r="B5383" s="787">
        <v>4</v>
      </c>
      <c r="C5383" s="787" t="s">
        <v>10160</v>
      </c>
      <c r="D5383" s="787">
        <v>0</v>
      </c>
      <c r="E5383" s="787">
        <v>0</v>
      </c>
      <c r="H5383" s="787">
        <v>1</v>
      </c>
      <c r="K5383" s="788">
        <v>41481</v>
      </c>
      <c r="L5383" s="787">
        <v>700</v>
      </c>
      <c r="M5383" s="787">
        <v>10</v>
      </c>
      <c r="N5383" s="787">
        <v>129.31</v>
      </c>
      <c r="O5383" s="788">
        <v>42082</v>
      </c>
    </row>
    <row r="5384" spans="1:15" x14ac:dyDescent="0.25">
      <c r="A5384" s="786" t="s">
        <v>10165</v>
      </c>
      <c r="B5384" s="787">
        <v>4</v>
      </c>
      <c r="C5384" s="787" t="s">
        <v>10160</v>
      </c>
      <c r="D5384" s="787">
        <v>0</v>
      </c>
      <c r="E5384" s="787">
        <v>0</v>
      </c>
      <c r="H5384" s="787">
        <v>1</v>
      </c>
      <c r="K5384" s="788">
        <v>41481</v>
      </c>
      <c r="L5384" s="787">
        <v>700</v>
      </c>
      <c r="M5384" s="787">
        <v>10</v>
      </c>
      <c r="N5384" s="787">
        <v>129.31</v>
      </c>
      <c r="O5384" s="788">
        <v>42082</v>
      </c>
    </row>
    <row r="5385" spans="1:15" x14ac:dyDescent="0.25">
      <c r="A5385" s="786" t="s">
        <v>10165</v>
      </c>
      <c r="B5385" s="787">
        <v>4</v>
      </c>
      <c r="C5385" s="787" t="s">
        <v>10160</v>
      </c>
      <c r="D5385" s="787">
        <v>0</v>
      </c>
      <c r="E5385" s="787">
        <v>0</v>
      </c>
      <c r="H5385" s="787">
        <v>1</v>
      </c>
      <c r="K5385" s="788">
        <v>41481</v>
      </c>
      <c r="L5385" s="787">
        <v>700</v>
      </c>
      <c r="M5385" s="787">
        <v>10</v>
      </c>
      <c r="N5385" s="787">
        <v>129.31</v>
      </c>
      <c r="O5385" s="788">
        <v>42082</v>
      </c>
    </row>
    <row r="5386" spans="1:15" x14ac:dyDescent="0.25">
      <c r="A5386" s="786" t="s">
        <v>10165</v>
      </c>
      <c r="B5386" s="787">
        <v>4</v>
      </c>
      <c r="C5386" s="787" t="s">
        <v>10160</v>
      </c>
      <c r="D5386" s="787">
        <v>0</v>
      </c>
      <c r="E5386" s="787">
        <v>0</v>
      </c>
      <c r="H5386" s="787">
        <v>1</v>
      </c>
      <c r="K5386" s="788">
        <v>41481</v>
      </c>
      <c r="L5386" s="787">
        <v>700</v>
      </c>
      <c r="M5386" s="787">
        <v>10</v>
      </c>
      <c r="N5386" s="787">
        <v>129.31</v>
      </c>
      <c r="O5386" s="788">
        <v>42082</v>
      </c>
    </row>
    <row r="5387" spans="1:15" x14ac:dyDescent="0.25">
      <c r="A5387" s="786" t="s">
        <v>10165</v>
      </c>
      <c r="B5387" s="787">
        <v>4</v>
      </c>
      <c r="C5387" s="787" t="s">
        <v>10160</v>
      </c>
      <c r="D5387" s="787">
        <v>0</v>
      </c>
      <c r="E5387" s="787">
        <v>0</v>
      </c>
      <c r="H5387" s="787">
        <v>1</v>
      </c>
      <c r="K5387" s="788">
        <v>41481</v>
      </c>
      <c r="L5387" s="787">
        <v>700</v>
      </c>
      <c r="M5387" s="787">
        <v>10</v>
      </c>
      <c r="N5387" s="787">
        <v>129.31</v>
      </c>
      <c r="O5387" s="788">
        <v>42082</v>
      </c>
    </row>
    <row r="5388" spans="1:15" x14ac:dyDescent="0.25">
      <c r="A5388" s="786" t="s">
        <v>10165</v>
      </c>
      <c r="B5388" s="787">
        <v>4</v>
      </c>
      <c r="C5388" s="787" t="s">
        <v>10160</v>
      </c>
      <c r="D5388" s="787">
        <v>0</v>
      </c>
      <c r="E5388" s="787">
        <v>0</v>
      </c>
      <c r="H5388" s="787">
        <v>1</v>
      </c>
      <c r="K5388" s="788">
        <v>41481</v>
      </c>
      <c r="L5388" s="787">
        <v>700</v>
      </c>
      <c r="M5388" s="787">
        <v>10</v>
      </c>
      <c r="N5388" s="787">
        <v>129.31</v>
      </c>
      <c r="O5388" s="788">
        <v>42082</v>
      </c>
    </row>
    <row r="5389" spans="1:15" x14ac:dyDescent="0.25">
      <c r="A5389" s="786" t="s">
        <v>10165</v>
      </c>
      <c r="B5389" s="787">
        <v>4</v>
      </c>
      <c r="C5389" s="787" t="s">
        <v>10160</v>
      </c>
      <c r="D5389" s="787">
        <v>0</v>
      </c>
      <c r="E5389" s="787">
        <v>0</v>
      </c>
      <c r="H5389" s="787">
        <v>1</v>
      </c>
      <c r="K5389" s="788">
        <v>41481</v>
      </c>
      <c r="L5389" s="787">
        <v>700</v>
      </c>
      <c r="M5389" s="787">
        <v>10</v>
      </c>
      <c r="N5389" s="787">
        <v>129.31</v>
      </c>
      <c r="O5389" s="788">
        <v>42082</v>
      </c>
    </row>
    <row r="5390" spans="1:15" x14ac:dyDescent="0.25">
      <c r="A5390" s="786" t="s">
        <v>10165</v>
      </c>
      <c r="B5390" s="787">
        <v>4</v>
      </c>
      <c r="C5390" s="787" t="s">
        <v>10160</v>
      </c>
      <c r="D5390" s="787">
        <v>0</v>
      </c>
      <c r="E5390" s="787">
        <v>0</v>
      </c>
      <c r="H5390" s="787">
        <v>1</v>
      </c>
      <c r="K5390" s="788">
        <v>41481</v>
      </c>
      <c r="L5390" s="787">
        <v>700</v>
      </c>
      <c r="M5390" s="787">
        <v>10</v>
      </c>
      <c r="N5390" s="787">
        <v>129.31</v>
      </c>
      <c r="O5390" s="788">
        <v>42082</v>
      </c>
    </row>
    <row r="5391" spans="1:15" x14ac:dyDescent="0.25">
      <c r="A5391" s="786" t="s">
        <v>10165</v>
      </c>
      <c r="B5391" s="787">
        <v>4</v>
      </c>
      <c r="C5391" s="787" t="s">
        <v>10160</v>
      </c>
      <c r="D5391" s="787">
        <v>0</v>
      </c>
      <c r="E5391" s="787">
        <v>0</v>
      </c>
      <c r="H5391" s="787">
        <v>1</v>
      </c>
      <c r="K5391" s="788">
        <v>41481</v>
      </c>
      <c r="L5391" s="787">
        <v>700</v>
      </c>
      <c r="M5391" s="787">
        <v>10</v>
      </c>
      <c r="N5391" s="787">
        <v>129.31</v>
      </c>
      <c r="O5391" s="788">
        <v>42082</v>
      </c>
    </row>
    <row r="5392" spans="1:15" x14ac:dyDescent="0.25">
      <c r="A5392" s="786" t="s">
        <v>10165</v>
      </c>
      <c r="B5392" s="787">
        <v>4</v>
      </c>
      <c r="C5392" s="787" t="s">
        <v>10160</v>
      </c>
      <c r="D5392" s="787">
        <v>0</v>
      </c>
      <c r="E5392" s="787">
        <v>0</v>
      </c>
      <c r="H5392" s="787">
        <v>1</v>
      </c>
      <c r="K5392" s="788">
        <v>41481</v>
      </c>
      <c r="L5392" s="787">
        <v>700</v>
      </c>
      <c r="M5392" s="787">
        <v>10</v>
      </c>
      <c r="N5392" s="787">
        <v>129.31</v>
      </c>
      <c r="O5392" s="788">
        <v>42082</v>
      </c>
    </row>
    <row r="5393" spans="1:15" x14ac:dyDescent="0.25">
      <c r="A5393" s="786" t="s">
        <v>10165</v>
      </c>
      <c r="B5393" s="787">
        <v>4</v>
      </c>
      <c r="C5393" s="787" t="s">
        <v>10160</v>
      </c>
      <c r="D5393" s="787">
        <v>0</v>
      </c>
      <c r="E5393" s="787">
        <v>0</v>
      </c>
      <c r="H5393" s="787">
        <v>1</v>
      </c>
      <c r="K5393" s="788">
        <v>41481</v>
      </c>
      <c r="L5393" s="787">
        <v>700</v>
      </c>
      <c r="M5393" s="787">
        <v>10</v>
      </c>
      <c r="N5393" s="787">
        <v>129.31</v>
      </c>
      <c r="O5393" s="788">
        <v>42082</v>
      </c>
    </row>
    <row r="5394" spans="1:15" x14ac:dyDescent="0.25">
      <c r="A5394" s="786" t="s">
        <v>10165</v>
      </c>
      <c r="B5394" s="787">
        <v>4</v>
      </c>
      <c r="C5394" s="787" t="s">
        <v>10160</v>
      </c>
      <c r="D5394" s="787">
        <v>0</v>
      </c>
      <c r="E5394" s="787">
        <v>0</v>
      </c>
      <c r="H5394" s="787">
        <v>1</v>
      </c>
      <c r="K5394" s="788">
        <v>41481</v>
      </c>
      <c r="L5394" s="787">
        <v>700</v>
      </c>
      <c r="M5394" s="787">
        <v>10</v>
      </c>
      <c r="N5394" s="787">
        <v>129.31</v>
      </c>
      <c r="O5394" s="788">
        <v>42082</v>
      </c>
    </row>
    <row r="5395" spans="1:15" x14ac:dyDescent="0.25">
      <c r="A5395" s="786" t="s">
        <v>10165</v>
      </c>
      <c r="B5395" s="787">
        <v>4</v>
      </c>
      <c r="C5395" s="787" t="s">
        <v>10160</v>
      </c>
      <c r="D5395" s="787">
        <v>0</v>
      </c>
      <c r="E5395" s="787">
        <v>0</v>
      </c>
      <c r="H5395" s="787">
        <v>1</v>
      </c>
      <c r="K5395" s="788">
        <v>41481</v>
      </c>
      <c r="L5395" s="787">
        <v>700</v>
      </c>
      <c r="M5395" s="787">
        <v>10</v>
      </c>
      <c r="N5395" s="787">
        <v>129.31</v>
      </c>
      <c r="O5395" s="788">
        <v>42082</v>
      </c>
    </row>
    <row r="5396" spans="1:15" x14ac:dyDescent="0.25">
      <c r="A5396" s="786" t="s">
        <v>10165</v>
      </c>
      <c r="B5396" s="787">
        <v>4</v>
      </c>
      <c r="C5396" s="787" t="s">
        <v>10160</v>
      </c>
      <c r="D5396" s="787">
        <v>0</v>
      </c>
      <c r="E5396" s="787">
        <v>0</v>
      </c>
      <c r="H5396" s="787">
        <v>1</v>
      </c>
      <c r="K5396" s="788">
        <v>41481</v>
      </c>
      <c r="L5396" s="787">
        <v>700</v>
      </c>
      <c r="M5396" s="787">
        <v>10</v>
      </c>
      <c r="N5396" s="787">
        <v>129.31</v>
      </c>
      <c r="O5396" s="788">
        <v>42082</v>
      </c>
    </row>
    <row r="5397" spans="1:15" x14ac:dyDescent="0.25">
      <c r="A5397" s="786" t="s">
        <v>10165</v>
      </c>
      <c r="B5397" s="787">
        <v>4</v>
      </c>
      <c r="C5397" s="787" t="s">
        <v>10160</v>
      </c>
      <c r="D5397" s="787">
        <v>0</v>
      </c>
      <c r="E5397" s="787">
        <v>0</v>
      </c>
      <c r="H5397" s="787">
        <v>1</v>
      </c>
      <c r="K5397" s="788">
        <v>41481</v>
      </c>
      <c r="L5397" s="787">
        <v>700</v>
      </c>
      <c r="M5397" s="787">
        <v>10</v>
      </c>
      <c r="N5397" s="787">
        <v>129.31</v>
      </c>
      <c r="O5397" s="788">
        <v>42082</v>
      </c>
    </row>
    <row r="5398" spans="1:15" x14ac:dyDescent="0.25">
      <c r="A5398" s="786" t="s">
        <v>10165</v>
      </c>
      <c r="B5398" s="787">
        <v>4</v>
      </c>
      <c r="C5398" s="787" t="s">
        <v>10160</v>
      </c>
      <c r="D5398" s="787">
        <v>0</v>
      </c>
      <c r="E5398" s="787">
        <v>0</v>
      </c>
      <c r="H5398" s="787">
        <v>1</v>
      </c>
      <c r="K5398" s="788">
        <v>41481</v>
      </c>
      <c r="L5398" s="787">
        <v>700</v>
      </c>
      <c r="M5398" s="787">
        <v>10</v>
      </c>
      <c r="N5398" s="787">
        <v>129.31</v>
      </c>
      <c r="O5398" s="788">
        <v>42082</v>
      </c>
    </row>
    <row r="5399" spans="1:15" x14ac:dyDescent="0.25">
      <c r="A5399" s="786" t="s">
        <v>10165</v>
      </c>
      <c r="B5399" s="787">
        <v>4</v>
      </c>
      <c r="C5399" s="787" t="s">
        <v>10160</v>
      </c>
      <c r="D5399" s="787">
        <v>0</v>
      </c>
      <c r="E5399" s="787">
        <v>0</v>
      </c>
      <c r="H5399" s="787">
        <v>1</v>
      </c>
      <c r="K5399" s="788">
        <v>41481</v>
      </c>
      <c r="L5399" s="787">
        <v>700</v>
      </c>
      <c r="M5399" s="787">
        <v>10</v>
      </c>
      <c r="N5399" s="787">
        <v>129.31</v>
      </c>
      <c r="O5399" s="788">
        <v>42082</v>
      </c>
    </row>
    <row r="5400" spans="1:15" x14ac:dyDescent="0.25">
      <c r="A5400" s="786" t="s">
        <v>10165</v>
      </c>
      <c r="B5400" s="787">
        <v>4</v>
      </c>
      <c r="C5400" s="787" t="s">
        <v>10160</v>
      </c>
      <c r="D5400" s="787">
        <v>0</v>
      </c>
      <c r="E5400" s="787">
        <v>0</v>
      </c>
      <c r="H5400" s="787">
        <v>1</v>
      </c>
      <c r="K5400" s="788">
        <v>41481</v>
      </c>
      <c r="L5400" s="787">
        <v>700</v>
      </c>
      <c r="M5400" s="787">
        <v>10</v>
      </c>
      <c r="N5400" s="787">
        <v>129.31</v>
      </c>
      <c r="O5400" s="788">
        <v>42082</v>
      </c>
    </row>
    <row r="5401" spans="1:15" x14ac:dyDescent="0.25">
      <c r="A5401" s="786" t="s">
        <v>10165</v>
      </c>
      <c r="B5401" s="787">
        <v>4</v>
      </c>
      <c r="C5401" s="787" t="s">
        <v>10160</v>
      </c>
      <c r="D5401" s="787">
        <v>0</v>
      </c>
      <c r="E5401" s="787">
        <v>0</v>
      </c>
      <c r="H5401" s="787">
        <v>1</v>
      </c>
      <c r="K5401" s="788">
        <v>41481</v>
      </c>
      <c r="L5401" s="787">
        <v>700</v>
      </c>
      <c r="M5401" s="787">
        <v>10</v>
      </c>
      <c r="N5401" s="787">
        <v>129.31</v>
      </c>
      <c r="O5401" s="788">
        <v>42082</v>
      </c>
    </row>
    <row r="5402" spans="1:15" x14ac:dyDescent="0.25">
      <c r="A5402" s="786" t="s">
        <v>10165</v>
      </c>
      <c r="B5402" s="787">
        <v>4</v>
      </c>
      <c r="C5402" s="787" t="s">
        <v>10160</v>
      </c>
      <c r="D5402" s="787">
        <v>0</v>
      </c>
      <c r="E5402" s="787">
        <v>0</v>
      </c>
      <c r="H5402" s="787">
        <v>1</v>
      </c>
      <c r="K5402" s="788">
        <v>41481</v>
      </c>
      <c r="L5402" s="787">
        <v>700</v>
      </c>
      <c r="M5402" s="787">
        <v>10</v>
      </c>
      <c r="N5402" s="787">
        <v>129.31</v>
      </c>
      <c r="O5402" s="788">
        <v>42082</v>
      </c>
    </row>
    <row r="5403" spans="1:15" x14ac:dyDescent="0.25">
      <c r="A5403" s="786" t="s">
        <v>10165</v>
      </c>
      <c r="B5403" s="787">
        <v>4</v>
      </c>
      <c r="C5403" s="787" t="s">
        <v>10160</v>
      </c>
      <c r="D5403" s="787">
        <v>0</v>
      </c>
      <c r="E5403" s="787">
        <v>0</v>
      </c>
      <c r="H5403" s="787">
        <v>1</v>
      </c>
      <c r="K5403" s="788">
        <v>41481</v>
      </c>
      <c r="L5403" s="787">
        <v>700</v>
      </c>
      <c r="M5403" s="787">
        <v>10</v>
      </c>
      <c r="N5403" s="787">
        <v>129.31</v>
      </c>
      <c r="O5403" s="788">
        <v>42082</v>
      </c>
    </row>
    <row r="5404" spans="1:15" x14ac:dyDescent="0.25">
      <c r="A5404" s="786" t="s">
        <v>10165</v>
      </c>
      <c r="B5404" s="787">
        <v>4</v>
      </c>
      <c r="C5404" s="787" t="s">
        <v>10160</v>
      </c>
      <c r="D5404" s="787">
        <v>0</v>
      </c>
      <c r="E5404" s="787">
        <v>0</v>
      </c>
      <c r="H5404" s="787">
        <v>1</v>
      </c>
      <c r="K5404" s="788">
        <v>41481</v>
      </c>
      <c r="L5404" s="787">
        <v>700</v>
      </c>
      <c r="M5404" s="787">
        <v>10</v>
      </c>
      <c r="N5404" s="787">
        <v>129.31</v>
      </c>
      <c r="O5404" s="788">
        <v>42082</v>
      </c>
    </row>
    <row r="5405" spans="1:15" x14ac:dyDescent="0.25">
      <c r="A5405" s="786" t="s">
        <v>10165</v>
      </c>
      <c r="B5405" s="787">
        <v>4</v>
      </c>
      <c r="C5405" s="787" t="s">
        <v>10160</v>
      </c>
      <c r="D5405" s="787">
        <v>0</v>
      </c>
      <c r="E5405" s="787">
        <v>0</v>
      </c>
      <c r="H5405" s="787">
        <v>1</v>
      </c>
      <c r="K5405" s="788">
        <v>41481</v>
      </c>
      <c r="L5405" s="787">
        <v>700</v>
      </c>
      <c r="M5405" s="787">
        <v>10</v>
      </c>
      <c r="N5405" s="787">
        <v>129.31</v>
      </c>
      <c r="O5405" s="788">
        <v>42082</v>
      </c>
    </row>
    <row r="5406" spans="1:15" x14ac:dyDescent="0.25">
      <c r="A5406" s="786" t="s">
        <v>10165</v>
      </c>
      <c r="B5406" s="787">
        <v>4</v>
      </c>
      <c r="C5406" s="787" t="s">
        <v>10160</v>
      </c>
      <c r="D5406" s="787">
        <v>0</v>
      </c>
      <c r="E5406" s="787">
        <v>0</v>
      </c>
      <c r="H5406" s="787">
        <v>1</v>
      </c>
      <c r="K5406" s="788">
        <v>41481</v>
      </c>
      <c r="L5406" s="787">
        <v>700</v>
      </c>
      <c r="M5406" s="787">
        <v>10</v>
      </c>
      <c r="N5406" s="787">
        <v>129.31</v>
      </c>
      <c r="O5406" s="788">
        <v>42082</v>
      </c>
    </row>
    <row r="5407" spans="1:15" x14ac:dyDescent="0.25">
      <c r="A5407" s="786" t="s">
        <v>10165</v>
      </c>
      <c r="B5407" s="787">
        <v>4</v>
      </c>
      <c r="C5407" s="787" t="s">
        <v>10160</v>
      </c>
      <c r="D5407" s="787">
        <v>0</v>
      </c>
      <c r="E5407" s="787">
        <v>0</v>
      </c>
      <c r="H5407" s="787">
        <v>1</v>
      </c>
      <c r="K5407" s="788">
        <v>41481</v>
      </c>
      <c r="L5407" s="787">
        <v>700</v>
      </c>
      <c r="M5407" s="787">
        <v>10</v>
      </c>
      <c r="N5407" s="787">
        <v>129.31</v>
      </c>
      <c r="O5407" s="788">
        <v>42082</v>
      </c>
    </row>
    <row r="5408" spans="1:15" x14ac:dyDescent="0.25">
      <c r="A5408" s="786" t="s">
        <v>10165</v>
      </c>
      <c r="B5408" s="787">
        <v>4</v>
      </c>
      <c r="C5408" s="787" t="s">
        <v>10160</v>
      </c>
      <c r="D5408" s="787">
        <v>0</v>
      </c>
      <c r="E5408" s="787">
        <v>0</v>
      </c>
      <c r="H5408" s="787">
        <v>1</v>
      </c>
      <c r="K5408" s="788">
        <v>41481</v>
      </c>
      <c r="L5408" s="787">
        <v>700</v>
      </c>
      <c r="M5408" s="787">
        <v>10</v>
      </c>
      <c r="N5408" s="787">
        <v>129.31</v>
      </c>
      <c r="O5408" s="788">
        <v>42082</v>
      </c>
    </row>
    <row r="5409" spans="1:15" x14ac:dyDescent="0.25">
      <c r="A5409" s="786" t="s">
        <v>10165</v>
      </c>
      <c r="B5409" s="787">
        <v>4</v>
      </c>
      <c r="C5409" s="787" t="s">
        <v>10160</v>
      </c>
      <c r="D5409" s="787">
        <v>0</v>
      </c>
      <c r="E5409" s="787">
        <v>0</v>
      </c>
      <c r="H5409" s="787">
        <v>1</v>
      </c>
      <c r="K5409" s="788">
        <v>41481</v>
      </c>
      <c r="L5409" s="787">
        <v>700</v>
      </c>
      <c r="M5409" s="787">
        <v>10</v>
      </c>
      <c r="N5409" s="787">
        <v>129.31</v>
      </c>
      <c r="O5409" s="788">
        <v>42082</v>
      </c>
    </row>
    <row r="5410" spans="1:15" x14ac:dyDescent="0.25">
      <c r="A5410" s="786" t="s">
        <v>10165</v>
      </c>
      <c r="B5410" s="787">
        <v>4</v>
      </c>
      <c r="C5410" s="787" t="s">
        <v>10160</v>
      </c>
      <c r="D5410" s="787">
        <v>0</v>
      </c>
      <c r="E5410" s="787">
        <v>0</v>
      </c>
      <c r="H5410" s="787">
        <v>1</v>
      </c>
      <c r="K5410" s="788">
        <v>41481</v>
      </c>
      <c r="L5410" s="787">
        <v>700</v>
      </c>
      <c r="M5410" s="787">
        <v>10</v>
      </c>
      <c r="N5410" s="787">
        <v>129.31</v>
      </c>
      <c r="O5410" s="788">
        <v>42082</v>
      </c>
    </row>
    <row r="5411" spans="1:15" x14ac:dyDescent="0.25">
      <c r="A5411" s="786" t="s">
        <v>10165</v>
      </c>
      <c r="B5411" s="787">
        <v>4</v>
      </c>
      <c r="C5411" s="787" t="s">
        <v>10160</v>
      </c>
      <c r="D5411" s="787">
        <v>0</v>
      </c>
      <c r="E5411" s="787">
        <v>0</v>
      </c>
      <c r="H5411" s="787">
        <v>1</v>
      </c>
      <c r="K5411" s="788">
        <v>41481</v>
      </c>
      <c r="L5411" s="787">
        <v>700</v>
      </c>
      <c r="M5411" s="787">
        <v>10</v>
      </c>
      <c r="N5411" s="787">
        <v>129.31</v>
      </c>
      <c r="O5411" s="788">
        <v>42082</v>
      </c>
    </row>
    <row r="5412" spans="1:15" x14ac:dyDescent="0.25">
      <c r="A5412" s="786" t="s">
        <v>10165</v>
      </c>
      <c r="B5412" s="787">
        <v>4</v>
      </c>
      <c r="C5412" s="787" t="s">
        <v>10160</v>
      </c>
      <c r="D5412" s="787">
        <v>0</v>
      </c>
      <c r="E5412" s="787">
        <v>0</v>
      </c>
      <c r="H5412" s="787">
        <v>1</v>
      </c>
      <c r="K5412" s="788">
        <v>41481</v>
      </c>
      <c r="L5412" s="787">
        <v>700</v>
      </c>
      <c r="M5412" s="787">
        <v>10</v>
      </c>
      <c r="N5412" s="787">
        <v>129.31</v>
      </c>
      <c r="O5412" s="788">
        <v>42082</v>
      </c>
    </row>
    <row r="5413" spans="1:15" x14ac:dyDescent="0.25">
      <c r="A5413" s="786" t="s">
        <v>10165</v>
      </c>
      <c r="B5413" s="787">
        <v>4</v>
      </c>
      <c r="C5413" s="787" t="s">
        <v>10160</v>
      </c>
      <c r="D5413" s="787">
        <v>0</v>
      </c>
      <c r="E5413" s="787">
        <v>0</v>
      </c>
      <c r="H5413" s="787">
        <v>1</v>
      </c>
      <c r="K5413" s="788">
        <v>41481</v>
      </c>
      <c r="L5413" s="787">
        <v>700</v>
      </c>
      <c r="M5413" s="787">
        <v>10</v>
      </c>
      <c r="N5413" s="787">
        <v>129.31</v>
      </c>
      <c r="O5413" s="788">
        <v>42082</v>
      </c>
    </row>
    <row r="5414" spans="1:15" x14ac:dyDescent="0.25">
      <c r="A5414" s="786" t="s">
        <v>10165</v>
      </c>
      <c r="B5414" s="787">
        <v>4</v>
      </c>
      <c r="C5414" s="787" t="s">
        <v>10160</v>
      </c>
      <c r="D5414" s="787">
        <v>0</v>
      </c>
      <c r="E5414" s="787">
        <v>0</v>
      </c>
      <c r="H5414" s="787">
        <v>1</v>
      </c>
      <c r="K5414" s="788">
        <v>41481</v>
      </c>
      <c r="L5414" s="787">
        <v>700</v>
      </c>
      <c r="M5414" s="787">
        <v>10</v>
      </c>
      <c r="N5414" s="787">
        <v>129.31</v>
      </c>
      <c r="O5414" s="788">
        <v>42082</v>
      </c>
    </row>
    <row r="5415" spans="1:15" x14ac:dyDescent="0.25">
      <c r="A5415" s="786" t="s">
        <v>10165</v>
      </c>
      <c r="B5415" s="787">
        <v>4</v>
      </c>
      <c r="C5415" s="787" t="s">
        <v>10160</v>
      </c>
      <c r="D5415" s="787">
        <v>0</v>
      </c>
      <c r="E5415" s="787">
        <v>0</v>
      </c>
      <c r="H5415" s="787">
        <v>1</v>
      </c>
      <c r="K5415" s="788">
        <v>41481</v>
      </c>
      <c r="L5415" s="787">
        <v>700</v>
      </c>
      <c r="M5415" s="787">
        <v>10</v>
      </c>
      <c r="N5415" s="787">
        <v>129.31</v>
      </c>
      <c r="O5415" s="788">
        <v>42082</v>
      </c>
    </row>
    <row r="5416" spans="1:15" x14ac:dyDescent="0.25">
      <c r="A5416" s="786" t="s">
        <v>10165</v>
      </c>
      <c r="B5416" s="787">
        <v>4</v>
      </c>
      <c r="C5416" s="787" t="s">
        <v>10160</v>
      </c>
      <c r="D5416" s="787">
        <v>0</v>
      </c>
      <c r="E5416" s="787">
        <v>0</v>
      </c>
      <c r="H5416" s="787">
        <v>1</v>
      </c>
      <c r="K5416" s="788">
        <v>41481</v>
      </c>
      <c r="L5416" s="787">
        <v>700</v>
      </c>
      <c r="M5416" s="787">
        <v>10</v>
      </c>
      <c r="N5416" s="787">
        <v>129.31</v>
      </c>
      <c r="O5416" s="788">
        <v>42082</v>
      </c>
    </row>
    <row r="5417" spans="1:15" x14ac:dyDescent="0.25">
      <c r="A5417" s="786" t="s">
        <v>10165</v>
      </c>
      <c r="B5417" s="787">
        <v>4</v>
      </c>
      <c r="C5417" s="787" t="s">
        <v>10160</v>
      </c>
      <c r="D5417" s="787">
        <v>0</v>
      </c>
      <c r="E5417" s="787">
        <v>0</v>
      </c>
      <c r="H5417" s="787">
        <v>1</v>
      </c>
      <c r="K5417" s="788">
        <v>41481</v>
      </c>
      <c r="L5417" s="787">
        <v>700</v>
      </c>
      <c r="M5417" s="787">
        <v>10</v>
      </c>
      <c r="N5417" s="787">
        <v>129.31</v>
      </c>
      <c r="O5417" s="788">
        <v>42082</v>
      </c>
    </row>
    <row r="5418" spans="1:15" x14ac:dyDescent="0.25">
      <c r="A5418" s="786" t="s">
        <v>10165</v>
      </c>
      <c r="B5418" s="787">
        <v>4</v>
      </c>
      <c r="C5418" s="787" t="s">
        <v>10160</v>
      </c>
      <c r="D5418" s="787">
        <v>0</v>
      </c>
      <c r="E5418" s="787">
        <v>0</v>
      </c>
      <c r="H5418" s="787">
        <v>1</v>
      </c>
      <c r="K5418" s="788">
        <v>41481</v>
      </c>
      <c r="L5418" s="787">
        <v>700</v>
      </c>
      <c r="M5418" s="787">
        <v>10</v>
      </c>
      <c r="N5418" s="787">
        <v>129.31</v>
      </c>
      <c r="O5418" s="788">
        <v>42082</v>
      </c>
    </row>
    <row r="5419" spans="1:15" x14ac:dyDescent="0.25">
      <c r="A5419" s="786" t="s">
        <v>10165</v>
      </c>
      <c r="B5419" s="787">
        <v>4</v>
      </c>
      <c r="C5419" s="787" t="s">
        <v>10160</v>
      </c>
      <c r="D5419" s="787">
        <v>0</v>
      </c>
      <c r="E5419" s="787">
        <v>0</v>
      </c>
      <c r="H5419" s="787">
        <v>1</v>
      </c>
      <c r="K5419" s="788">
        <v>41481</v>
      </c>
      <c r="L5419" s="787">
        <v>700</v>
      </c>
      <c r="M5419" s="787">
        <v>10</v>
      </c>
      <c r="N5419" s="787">
        <v>129.31</v>
      </c>
      <c r="O5419" s="788">
        <v>42082</v>
      </c>
    </row>
    <row r="5420" spans="1:15" x14ac:dyDescent="0.25">
      <c r="A5420" s="786" t="s">
        <v>10165</v>
      </c>
      <c r="B5420" s="787">
        <v>4</v>
      </c>
      <c r="C5420" s="787" t="s">
        <v>10160</v>
      </c>
      <c r="D5420" s="787">
        <v>0</v>
      </c>
      <c r="E5420" s="787">
        <v>0</v>
      </c>
      <c r="H5420" s="787">
        <v>1</v>
      </c>
      <c r="K5420" s="788">
        <v>41481</v>
      </c>
      <c r="L5420" s="787">
        <v>700</v>
      </c>
      <c r="M5420" s="787">
        <v>10</v>
      </c>
      <c r="N5420" s="787">
        <v>129.31</v>
      </c>
      <c r="O5420" s="788">
        <v>42082</v>
      </c>
    </row>
    <row r="5421" spans="1:15" x14ac:dyDescent="0.25">
      <c r="A5421" s="786" t="s">
        <v>10165</v>
      </c>
      <c r="B5421" s="787">
        <v>4</v>
      </c>
      <c r="C5421" s="787" t="s">
        <v>10160</v>
      </c>
      <c r="D5421" s="787">
        <v>0</v>
      </c>
      <c r="E5421" s="787">
        <v>0</v>
      </c>
      <c r="H5421" s="787">
        <v>1</v>
      </c>
      <c r="K5421" s="788">
        <v>41481</v>
      </c>
      <c r="L5421" s="787">
        <v>700</v>
      </c>
      <c r="M5421" s="787">
        <v>10</v>
      </c>
      <c r="N5421" s="787">
        <v>129.31</v>
      </c>
      <c r="O5421" s="788">
        <v>42082</v>
      </c>
    </row>
    <row r="5422" spans="1:15" x14ac:dyDescent="0.25">
      <c r="A5422" s="786" t="s">
        <v>10165</v>
      </c>
      <c r="B5422" s="787">
        <v>4</v>
      </c>
      <c r="C5422" s="787" t="s">
        <v>10160</v>
      </c>
      <c r="D5422" s="787">
        <v>0</v>
      </c>
      <c r="E5422" s="787">
        <v>0</v>
      </c>
      <c r="H5422" s="787">
        <v>1</v>
      </c>
      <c r="K5422" s="788">
        <v>41481</v>
      </c>
      <c r="L5422" s="787">
        <v>700</v>
      </c>
      <c r="M5422" s="787">
        <v>10</v>
      </c>
      <c r="N5422" s="787">
        <v>129.31</v>
      </c>
      <c r="O5422" s="788">
        <v>42082</v>
      </c>
    </row>
    <row r="5423" spans="1:15" x14ac:dyDescent="0.25">
      <c r="A5423" s="786" t="s">
        <v>10165</v>
      </c>
      <c r="B5423" s="787">
        <v>4</v>
      </c>
      <c r="C5423" s="787" t="s">
        <v>10160</v>
      </c>
      <c r="D5423" s="787">
        <v>0</v>
      </c>
      <c r="E5423" s="787">
        <v>0</v>
      </c>
      <c r="H5423" s="787">
        <v>1</v>
      </c>
      <c r="K5423" s="788">
        <v>41481</v>
      </c>
      <c r="L5423" s="787">
        <v>700</v>
      </c>
      <c r="M5423" s="787">
        <v>10</v>
      </c>
      <c r="N5423" s="787">
        <v>129.31</v>
      </c>
      <c r="O5423" s="788">
        <v>42082</v>
      </c>
    </row>
    <row r="5424" spans="1:15" x14ac:dyDescent="0.25">
      <c r="A5424" s="786" t="s">
        <v>10165</v>
      </c>
      <c r="B5424" s="787">
        <v>4</v>
      </c>
      <c r="C5424" s="787" t="s">
        <v>10160</v>
      </c>
      <c r="D5424" s="787">
        <v>0</v>
      </c>
      <c r="E5424" s="787">
        <v>0</v>
      </c>
      <c r="H5424" s="787">
        <v>1</v>
      </c>
      <c r="K5424" s="788">
        <v>41481</v>
      </c>
      <c r="L5424" s="787">
        <v>700</v>
      </c>
      <c r="M5424" s="787">
        <v>10</v>
      </c>
      <c r="N5424" s="787">
        <v>129.31</v>
      </c>
      <c r="O5424" s="788">
        <v>42082</v>
      </c>
    </row>
    <row r="5425" spans="1:15" x14ac:dyDescent="0.25">
      <c r="A5425" s="786" t="s">
        <v>10165</v>
      </c>
      <c r="B5425" s="787">
        <v>4</v>
      </c>
      <c r="C5425" s="787" t="s">
        <v>10160</v>
      </c>
      <c r="D5425" s="787">
        <v>0</v>
      </c>
      <c r="E5425" s="787">
        <v>0</v>
      </c>
      <c r="H5425" s="787">
        <v>1</v>
      </c>
      <c r="K5425" s="788">
        <v>41481</v>
      </c>
      <c r="L5425" s="787">
        <v>700</v>
      </c>
      <c r="M5425" s="787">
        <v>10</v>
      </c>
      <c r="N5425" s="787">
        <v>129.31</v>
      </c>
      <c r="O5425" s="788">
        <v>42082</v>
      </c>
    </row>
    <row r="5426" spans="1:15" x14ac:dyDescent="0.25">
      <c r="A5426" s="786" t="s">
        <v>10165</v>
      </c>
      <c r="B5426" s="787">
        <v>4</v>
      </c>
      <c r="C5426" s="787" t="s">
        <v>10160</v>
      </c>
      <c r="D5426" s="787">
        <v>0</v>
      </c>
      <c r="E5426" s="787">
        <v>0</v>
      </c>
      <c r="H5426" s="787">
        <v>1</v>
      </c>
      <c r="K5426" s="788">
        <v>41481</v>
      </c>
      <c r="L5426" s="787">
        <v>700</v>
      </c>
      <c r="M5426" s="787">
        <v>10</v>
      </c>
      <c r="N5426" s="787">
        <v>129.31</v>
      </c>
      <c r="O5426" s="788">
        <v>42082</v>
      </c>
    </row>
    <row r="5427" spans="1:15" x14ac:dyDescent="0.25">
      <c r="A5427" s="786" t="s">
        <v>10165</v>
      </c>
      <c r="B5427" s="787">
        <v>4</v>
      </c>
      <c r="C5427" s="787" t="s">
        <v>10160</v>
      </c>
      <c r="D5427" s="787">
        <v>0</v>
      </c>
      <c r="E5427" s="787">
        <v>0</v>
      </c>
      <c r="H5427" s="787">
        <v>1</v>
      </c>
      <c r="K5427" s="788">
        <v>41481</v>
      </c>
      <c r="L5427" s="787">
        <v>700</v>
      </c>
      <c r="M5427" s="787">
        <v>10</v>
      </c>
      <c r="N5427" s="787">
        <v>129.31</v>
      </c>
      <c r="O5427" s="788">
        <v>42082</v>
      </c>
    </row>
    <row r="5428" spans="1:15" x14ac:dyDescent="0.25">
      <c r="A5428" s="786" t="s">
        <v>10165</v>
      </c>
      <c r="B5428" s="787">
        <v>4</v>
      </c>
      <c r="C5428" s="787" t="s">
        <v>10160</v>
      </c>
      <c r="D5428" s="787">
        <v>0</v>
      </c>
      <c r="E5428" s="787">
        <v>0</v>
      </c>
      <c r="H5428" s="787">
        <v>1</v>
      </c>
      <c r="K5428" s="788">
        <v>41481</v>
      </c>
      <c r="L5428" s="787">
        <v>700</v>
      </c>
      <c r="M5428" s="787">
        <v>10</v>
      </c>
      <c r="N5428" s="787">
        <v>129.31</v>
      </c>
      <c r="O5428" s="788">
        <v>42082</v>
      </c>
    </row>
    <row r="5429" spans="1:15" x14ac:dyDescent="0.25">
      <c r="A5429" s="786" t="s">
        <v>10165</v>
      </c>
      <c r="B5429" s="787">
        <v>4</v>
      </c>
      <c r="C5429" s="787" t="s">
        <v>10160</v>
      </c>
      <c r="D5429" s="787">
        <v>0</v>
      </c>
      <c r="E5429" s="787">
        <v>0</v>
      </c>
      <c r="H5429" s="787">
        <v>1</v>
      </c>
      <c r="K5429" s="788">
        <v>41481</v>
      </c>
      <c r="L5429" s="787">
        <v>700</v>
      </c>
      <c r="M5429" s="787">
        <v>10</v>
      </c>
      <c r="N5429" s="787">
        <v>129.31</v>
      </c>
      <c r="O5429" s="788">
        <v>42082</v>
      </c>
    </row>
    <row r="5430" spans="1:15" x14ac:dyDescent="0.25">
      <c r="A5430" s="786" t="s">
        <v>10165</v>
      </c>
      <c r="B5430" s="787">
        <v>4</v>
      </c>
      <c r="C5430" s="787" t="s">
        <v>10160</v>
      </c>
      <c r="D5430" s="787">
        <v>0</v>
      </c>
      <c r="E5430" s="787">
        <v>0</v>
      </c>
      <c r="H5430" s="787">
        <v>1</v>
      </c>
      <c r="K5430" s="788">
        <v>41481</v>
      </c>
      <c r="L5430" s="787">
        <v>700</v>
      </c>
      <c r="M5430" s="787">
        <v>10</v>
      </c>
      <c r="N5430" s="787">
        <v>129.31</v>
      </c>
      <c r="O5430" s="788">
        <v>42082</v>
      </c>
    </row>
    <row r="5431" spans="1:15" x14ac:dyDescent="0.25">
      <c r="A5431" s="786" t="s">
        <v>10165</v>
      </c>
      <c r="B5431" s="787">
        <v>4</v>
      </c>
      <c r="C5431" s="787" t="s">
        <v>10160</v>
      </c>
      <c r="D5431" s="787">
        <v>0</v>
      </c>
      <c r="E5431" s="787">
        <v>0</v>
      </c>
      <c r="H5431" s="787">
        <v>1</v>
      </c>
      <c r="K5431" s="788">
        <v>41481</v>
      </c>
      <c r="L5431" s="787">
        <v>700</v>
      </c>
      <c r="M5431" s="787">
        <v>10</v>
      </c>
      <c r="N5431" s="787">
        <v>129.31</v>
      </c>
      <c r="O5431" s="788">
        <v>42082</v>
      </c>
    </row>
    <row r="5432" spans="1:15" x14ac:dyDescent="0.25">
      <c r="A5432" s="786" t="s">
        <v>10165</v>
      </c>
      <c r="B5432" s="787">
        <v>4</v>
      </c>
      <c r="C5432" s="787" t="s">
        <v>10160</v>
      </c>
      <c r="D5432" s="787">
        <v>0</v>
      </c>
      <c r="E5432" s="787">
        <v>0</v>
      </c>
      <c r="H5432" s="787">
        <v>1</v>
      </c>
      <c r="K5432" s="788">
        <v>41481</v>
      </c>
      <c r="L5432" s="787">
        <v>700</v>
      </c>
      <c r="M5432" s="787">
        <v>10</v>
      </c>
      <c r="N5432" s="787">
        <v>129.31</v>
      </c>
      <c r="O5432" s="788">
        <v>42082</v>
      </c>
    </row>
    <row r="5433" spans="1:15" x14ac:dyDescent="0.25">
      <c r="A5433" s="786" t="s">
        <v>10165</v>
      </c>
      <c r="B5433" s="787">
        <v>4</v>
      </c>
      <c r="C5433" s="787" t="s">
        <v>10160</v>
      </c>
      <c r="D5433" s="787">
        <v>0</v>
      </c>
      <c r="E5433" s="787">
        <v>0</v>
      </c>
      <c r="H5433" s="787">
        <v>1</v>
      </c>
      <c r="K5433" s="788">
        <v>41481</v>
      </c>
      <c r="L5433" s="787">
        <v>700</v>
      </c>
      <c r="M5433" s="787">
        <v>10</v>
      </c>
      <c r="N5433" s="787">
        <v>129.31</v>
      </c>
      <c r="O5433" s="788">
        <v>42082</v>
      </c>
    </row>
    <row r="5434" spans="1:15" x14ac:dyDescent="0.25">
      <c r="A5434" s="786" t="s">
        <v>10165</v>
      </c>
      <c r="B5434" s="787">
        <v>4</v>
      </c>
      <c r="C5434" s="787" t="s">
        <v>10160</v>
      </c>
      <c r="D5434" s="787">
        <v>0</v>
      </c>
      <c r="E5434" s="787">
        <v>0</v>
      </c>
      <c r="H5434" s="787">
        <v>1</v>
      </c>
      <c r="K5434" s="788">
        <v>41481</v>
      </c>
      <c r="L5434" s="787">
        <v>700</v>
      </c>
      <c r="M5434" s="787">
        <v>10</v>
      </c>
      <c r="N5434" s="787">
        <v>129.31</v>
      </c>
      <c r="O5434" s="788">
        <v>42082</v>
      </c>
    </row>
    <row r="5435" spans="1:15" x14ac:dyDescent="0.25">
      <c r="A5435" s="786" t="s">
        <v>10165</v>
      </c>
      <c r="B5435" s="787">
        <v>4</v>
      </c>
      <c r="C5435" s="787" t="s">
        <v>10160</v>
      </c>
      <c r="D5435" s="787">
        <v>0</v>
      </c>
      <c r="E5435" s="787">
        <v>0</v>
      </c>
      <c r="H5435" s="787">
        <v>1</v>
      </c>
      <c r="K5435" s="788">
        <v>41481</v>
      </c>
      <c r="L5435" s="787">
        <v>700</v>
      </c>
      <c r="M5435" s="787">
        <v>10</v>
      </c>
      <c r="N5435" s="787">
        <v>129.31</v>
      </c>
      <c r="O5435" s="788">
        <v>42082</v>
      </c>
    </row>
    <row r="5436" spans="1:15" x14ac:dyDescent="0.25">
      <c r="A5436" s="786" t="s">
        <v>10165</v>
      </c>
      <c r="B5436" s="787">
        <v>4</v>
      </c>
      <c r="C5436" s="787" t="s">
        <v>10160</v>
      </c>
      <c r="D5436" s="787">
        <v>0</v>
      </c>
      <c r="E5436" s="787">
        <v>0</v>
      </c>
      <c r="H5436" s="787">
        <v>1</v>
      </c>
      <c r="K5436" s="788">
        <v>41481</v>
      </c>
      <c r="L5436" s="787">
        <v>700</v>
      </c>
      <c r="M5436" s="787">
        <v>10</v>
      </c>
      <c r="N5436" s="787">
        <v>129.31</v>
      </c>
      <c r="O5436" s="788">
        <v>42082</v>
      </c>
    </row>
    <row r="5437" spans="1:15" x14ac:dyDescent="0.25">
      <c r="A5437" s="786" t="s">
        <v>10165</v>
      </c>
      <c r="B5437" s="787">
        <v>4</v>
      </c>
      <c r="C5437" s="787" t="s">
        <v>10160</v>
      </c>
      <c r="D5437" s="787">
        <v>0</v>
      </c>
      <c r="E5437" s="787">
        <v>0</v>
      </c>
      <c r="H5437" s="787">
        <v>1</v>
      </c>
      <c r="K5437" s="788">
        <v>41481</v>
      </c>
      <c r="L5437" s="787">
        <v>700</v>
      </c>
      <c r="M5437" s="787">
        <v>10</v>
      </c>
      <c r="N5437" s="787">
        <v>129.31</v>
      </c>
      <c r="O5437" s="788">
        <v>42082</v>
      </c>
    </row>
    <row r="5438" spans="1:15" x14ac:dyDescent="0.25">
      <c r="A5438" s="786" t="s">
        <v>10165</v>
      </c>
      <c r="B5438" s="787">
        <v>4</v>
      </c>
      <c r="C5438" s="787" t="s">
        <v>10160</v>
      </c>
      <c r="D5438" s="787">
        <v>0</v>
      </c>
      <c r="E5438" s="787">
        <v>0</v>
      </c>
      <c r="H5438" s="787">
        <v>1</v>
      </c>
      <c r="K5438" s="788">
        <v>41481</v>
      </c>
      <c r="L5438" s="787">
        <v>700</v>
      </c>
      <c r="M5438" s="787">
        <v>10</v>
      </c>
      <c r="N5438" s="787">
        <v>129.31</v>
      </c>
      <c r="O5438" s="788">
        <v>42082</v>
      </c>
    </row>
    <row r="5439" spans="1:15" x14ac:dyDescent="0.25">
      <c r="A5439" s="786" t="s">
        <v>10165</v>
      </c>
      <c r="B5439" s="787">
        <v>4</v>
      </c>
      <c r="C5439" s="787" t="s">
        <v>10160</v>
      </c>
      <c r="D5439" s="787">
        <v>0</v>
      </c>
      <c r="E5439" s="787">
        <v>0</v>
      </c>
      <c r="H5439" s="787">
        <v>1</v>
      </c>
      <c r="K5439" s="788">
        <v>41481</v>
      </c>
      <c r="L5439" s="787">
        <v>700</v>
      </c>
      <c r="M5439" s="787">
        <v>10</v>
      </c>
      <c r="N5439" s="787">
        <v>129.31</v>
      </c>
      <c r="O5439" s="788">
        <v>42082</v>
      </c>
    </row>
    <row r="5440" spans="1:15" x14ac:dyDescent="0.25">
      <c r="A5440" s="786" t="s">
        <v>10165</v>
      </c>
      <c r="B5440" s="787">
        <v>4</v>
      </c>
      <c r="C5440" s="787" t="s">
        <v>10160</v>
      </c>
      <c r="D5440" s="787">
        <v>0</v>
      </c>
      <c r="E5440" s="787">
        <v>0</v>
      </c>
      <c r="H5440" s="787">
        <v>1</v>
      </c>
      <c r="K5440" s="788">
        <v>41481</v>
      </c>
      <c r="L5440" s="787">
        <v>700</v>
      </c>
      <c r="M5440" s="787">
        <v>10</v>
      </c>
      <c r="N5440" s="787">
        <v>129.31</v>
      </c>
      <c r="O5440" s="788">
        <v>42082</v>
      </c>
    </row>
    <row r="5441" spans="1:15" x14ac:dyDescent="0.25">
      <c r="A5441" s="786" t="s">
        <v>10165</v>
      </c>
      <c r="B5441" s="787">
        <v>4</v>
      </c>
      <c r="C5441" s="787" t="s">
        <v>10160</v>
      </c>
      <c r="D5441" s="787">
        <v>0</v>
      </c>
      <c r="E5441" s="787">
        <v>0</v>
      </c>
      <c r="H5441" s="787">
        <v>1</v>
      </c>
      <c r="K5441" s="788">
        <v>41481</v>
      </c>
      <c r="L5441" s="787">
        <v>700</v>
      </c>
      <c r="M5441" s="787">
        <v>10</v>
      </c>
      <c r="N5441" s="787">
        <v>129.31</v>
      </c>
      <c r="O5441" s="788">
        <v>42082</v>
      </c>
    </row>
    <row r="5442" spans="1:15" x14ac:dyDescent="0.25">
      <c r="A5442" s="786" t="s">
        <v>10165</v>
      </c>
      <c r="B5442" s="787">
        <v>4</v>
      </c>
      <c r="C5442" s="787" t="s">
        <v>10160</v>
      </c>
      <c r="D5442" s="787">
        <v>0</v>
      </c>
      <c r="E5442" s="787">
        <v>0</v>
      </c>
      <c r="H5442" s="787">
        <v>1</v>
      </c>
      <c r="K5442" s="788">
        <v>41481</v>
      </c>
      <c r="L5442" s="787">
        <v>700</v>
      </c>
      <c r="M5442" s="787">
        <v>10</v>
      </c>
      <c r="N5442" s="787">
        <v>129.31</v>
      </c>
      <c r="O5442" s="788">
        <v>42082</v>
      </c>
    </row>
    <row r="5443" spans="1:15" x14ac:dyDescent="0.25">
      <c r="A5443" s="786" t="s">
        <v>10165</v>
      </c>
      <c r="B5443" s="787">
        <v>4</v>
      </c>
      <c r="C5443" s="787" t="s">
        <v>10160</v>
      </c>
      <c r="D5443" s="787">
        <v>0</v>
      </c>
      <c r="E5443" s="787">
        <v>0</v>
      </c>
      <c r="H5443" s="787">
        <v>1</v>
      </c>
      <c r="K5443" s="788">
        <v>41481</v>
      </c>
      <c r="L5443" s="787">
        <v>700</v>
      </c>
      <c r="M5443" s="787">
        <v>10</v>
      </c>
      <c r="N5443" s="787">
        <v>129.31</v>
      </c>
      <c r="O5443" s="788">
        <v>42082</v>
      </c>
    </row>
    <row r="5444" spans="1:15" x14ac:dyDescent="0.25">
      <c r="A5444" s="786" t="s">
        <v>10165</v>
      </c>
      <c r="B5444" s="787">
        <v>4</v>
      </c>
      <c r="C5444" s="787" t="s">
        <v>10160</v>
      </c>
      <c r="D5444" s="787">
        <v>0</v>
      </c>
      <c r="E5444" s="787">
        <v>0</v>
      </c>
      <c r="H5444" s="787">
        <v>1</v>
      </c>
      <c r="K5444" s="788">
        <v>41481</v>
      </c>
      <c r="L5444" s="787">
        <v>700</v>
      </c>
      <c r="M5444" s="787">
        <v>10</v>
      </c>
      <c r="N5444" s="787">
        <v>129.31</v>
      </c>
      <c r="O5444" s="788">
        <v>42082</v>
      </c>
    </row>
    <row r="5445" spans="1:15" x14ac:dyDescent="0.25">
      <c r="A5445" s="786" t="s">
        <v>10165</v>
      </c>
      <c r="B5445" s="787">
        <v>4</v>
      </c>
      <c r="C5445" s="787" t="s">
        <v>10160</v>
      </c>
      <c r="D5445" s="787">
        <v>0</v>
      </c>
      <c r="E5445" s="787">
        <v>0</v>
      </c>
      <c r="H5445" s="787">
        <v>1</v>
      </c>
      <c r="K5445" s="788">
        <v>41481</v>
      </c>
      <c r="L5445" s="787">
        <v>700</v>
      </c>
      <c r="M5445" s="787">
        <v>10</v>
      </c>
      <c r="N5445" s="787">
        <v>129.31</v>
      </c>
      <c r="O5445" s="788">
        <v>42082</v>
      </c>
    </row>
    <row r="5446" spans="1:15" x14ac:dyDescent="0.25">
      <c r="A5446" s="786" t="s">
        <v>10165</v>
      </c>
      <c r="B5446" s="787">
        <v>4</v>
      </c>
      <c r="C5446" s="787" t="s">
        <v>10160</v>
      </c>
      <c r="D5446" s="787">
        <v>0</v>
      </c>
      <c r="E5446" s="787">
        <v>0</v>
      </c>
      <c r="H5446" s="787">
        <v>1</v>
      </c>
      <c r="K5446" s="788">
        <v>41481</v>
      </c>
      <c r="L5446" s="787">
        <v>700</v>
      </c>
      <c r="M5446" s="787">
        <v>10</v>
      </c>
      <c r="N5446" s="787">
        <v>129.31</v>
      </c>
      <c r="O5446" s="788">
        <v>42082</v>
      </c>
    </row>
    <row r="5447" spans="1:15" x14ac:dyDescent="0.25">
      <c r="A5447" s="786" t="s">
        <v>10165</v>
      </c>
      <c r="B5447" s="787">
        <v>4</v>
      </c>
      <c r="C5447" s="787" t="s">
        <v>10160</v>
      </c>
      <c r="D5447" s="787">
        <v>0</v>
      </c>
      <c r="E5447" s="787">
        <v>0</v>
      </c>
      <c r="H5447" s="787">
        <v>1</v>
      </c>
      <c r="K5447" s="788">
        <v>41481</v>
      </c>
      <c r="L5447" s="787">
        <v>700</v>
      </c>
      <c r="M5447" s="787">
        <v>10</v>
      </c>
      <c r="N5447" s="787">
        <v>129.31</v>
      </c>
      <c r="O5447" s="788">
        <v>42082</v>
      </c>
    </row>
    <row r="5448" spans="1:15" x14ac:dyDescent="0.25">
      <c r="A5448" s="786" t="s">
        <v>10165</v>
      </c>
      <c r="B5448" s="787">
        <v>4</v>
      </c>
      <c r="C5448" s="787" t="s">
        <v>10160</v>
      </c>
      <c r="D5448" s="787">
        <v>0</v>
      </c>
      <c r="E5448" s="787">
        <v>0</v>
      </c>
      <c r="H5448" s="787">
        <v>1</v>
      </c>
      <c r="K5448" s="788">
        <v>41481</v>
      </c>
      <c r="L5448" s="787">
        <v>700</v>
      </c>
      <c r="M5448" s="787">
        <v>10</v>
      </c>
      <c r="N5448" s="787">
        <v>129.31</v>
      </c>
      <c r="O5448" s="788">
        <v>42082</v>
      </c>
    </row>
    <row r="5449" spans="1:15" x14ac:dyDescent="0.25">
      <c r="A5449" s="786" t="s">
        <v>10165</v>
      </c>
      <c r="B5449" s="787">
        <v>4</v>
      </c>
      <c r="C5449" s="787" t="s">
        <v>10160</v>
      </c>
      <c r="D5449" s="787">
        <v>0</v>
      </c>
      <c r="E5449" s="787">
        <v>0</v>
      </c>
      <c r="H5449" s="787">
        <v>1</v>
      </c>
      <c r="K5449" s="788">
        <v>41481</v>
      </c>
      <c r="L5449" s="787">
        <v>700</v>
      </c>
      <c r="M5449" s="787">
        <v>10</v>
      </c>
      <c r="N5449" s="787">
        <v>129.31</v>
      </c>
      <c r="O5449" s="788">
        <v>42082</v>
      </c>
    </row>
    <row r="5450" spans="1:15" x14ac:dyDescent="0.25">
      <c r="A5450" s="786" t="s">
        <v>10165</v>
      </c>
      <c r="B5450" s="787">
        <v>4</v>
      </c>
      <c r="C5450" s="787" t="s">
        <v>10160</v>
      </c>
      <c r="D5450" s="787">
        <v>0</v>
      </c>
      <c r="E5450" s="787">
        <v>0</v>
      </c>
      <c r="H5450" s="787">
        <v>1</v>
      </c>
      <c r="K5450" s="788">
        <v>41481</v>
      </c>
      <c r="L5450" s="787">
        <v>700</v>
      </c>
      <c r="M5450" s="787">
        <v>10</v>
      </c>
      <c r="N5450" s="787">
        <v>129.31</v>
      </c>
      <c r="O5450" s="788">
        <v>42082</v>
      </c>
    </row>
    <row r="5451" spans="1:15" x14ac:dyDescent="0.25">
      <c r="A5451" s="786" t="s">
        <v>10165</v>
      </c>
      <c r="B5451" s="787">
        <v>4</v>
      </c>
      <c r="C5451" s="787" t="s">
        <v>10160</v>
      </c>
      <c r="D5451" s="787">
        <v>0</v>
      </c>
      <c r="E5451" s="787">
        <v>0</v>
      </c>
      <c r="H5451" s="787">
        <v>1</v>
      </c>
      <c r="K5451" s="788">
        <v>41481</v>
      </c>
      <c r="L5451" s="787">
        <v>700</v>
      </c>
      <c r="M5451" s="787">
        <v>10</v>
      </c>
      <c r="N5451" s="787">
        <v>129.31</v>
      </c>
      <c r="O5451" s="788">
        <v>42082</v>
      </c>
    </row>
    <row r="5452" spans="1:15" x14ac:dyDescent="0.25">
      <c r="A5452" s="786" t="s">
        <v>10165</v>
      </c>
      <c r="B5452" s="787">
        <v>4</v>
      </c>
      <c r="C5452" s="787" t="s">
        <v>10160</v>
      </c>
      <c r="D5452" s="787">
        <v>0</v>
      </c>
      <c r="E5452" s="787">
        <v>0</v>
      </c>
      <c r="H5452" s="787">
        <v>1</v>
      </c>
      <c r="K5452" s="788">
        <v>41481</v>
      </c>
      <c r="L5452" s="787">
        <v>700</v>
      </c>
      <c r="M5452" s="787">
        <v>10</v>
      </c>
      <c r="N5452" s="787">
        <v>129.31</v>
      </c>
      <c r="O5452" s="788">
        <v>42082</v>
      </c>
    </row>
    <row r="5453" spans="1:15" x14ac:dyDescent="0.25">
      <c r="A5453" s="786" t="s">
        <v>10165</v>
      </c>
      <c r="B5453" s="787">
        <v>4</v>
      </c>
      <c r="C5453" s="787" t="s">
        <v>10160</v>
      </c>
      <c r="D5453" s="787">
        <v>0</v>
      </c>
      <c r="E5453" s="787">
        <v>0</v>
      </c>
      <c r="H5453" s="787">
        <v>1</v>
      </c>
      <c r="K5453" s="788">
        <v>41481</v>
      </c>
      <c r="L5453" s="787">
        <v>700</v>
      </c>
      <c r="M5453" s="787">
        <v>10</v>
      </c>
      <c r="N5453" s="787">
        <v>129.31</v>
      </c>
      <c r="O5453" s="788">
        <v>42082</v>
      </c>
    </row>
    <row r="5454" spans="1:15" x14ac:dyDescent="0.25">
      <c r="A5454" s="786" t="s">
        <v>10165</v>
      </c>
      <c r="B5454" s="787">
        <v>4</v>
      </c>
      <c r="C5454" s="787" t="s">
        <v>10160</v>
      </c>
      <c r="D5454" s="787">
        <v>0</v>
      </c>
      <c r="E5454" s="787">
        <v>0</v>
      </c>
      <c r="H5454" s="787">
        <v>1</v>
      </c>
      <c r="K5454" s="788">
        <v>41481</v>
      </c>
      <c r="L5454" s="787">
        <v>700</v>
      </c>
      <c r="M5454" s="787">
        <v>10</v>
      </c>
      <c r="N5454" s="787">
        <v>129.31</v>
      </c>
      <c r="O5454" s="788">
        <v>42082</v>
      </c>
    </row>
    <row r="5455" spans="1:15" x14ac:dyDescent="0.25">
      <c r="A5455" s="786" t="s">
        <v>10165</v>
      </c>
      <c r="B5455" s="787">
        <v>4</v>
      </c>
      <c r="C5455" s="787" t="s">
        <v>10160</v>
      </c>
      <c r="D5455" s="787">
        <v>0</v>
      </c>
      <c r="E5455" s="787">
        <v>0</v>
      </c>
      <c r="H5455" s="787">
        <v>1</v>
      </c>
      <c r="K5455" s="788">
        <v>41481</v>
      </c>
      <c r="L5455" s="787">
        <v>700</v>
      </c>
      <c r="M5455" s="787">
        <v>10</v>
      </c>
      <c r="N5455" s="787">
        <v>129.31</v>
      </c>
      <c r="O5455" s="788">
        <v>42082</v>
      </c>
    </row>
    <row r="5456" spans="1:15" x14ac:dyDescent="0.25">
      <c r="A5456" s="786" t="s">
        <v>10165</v>
      </c>
      <c r="B5456" s="787">
        <v>4</v>
      </c>
      <c r="C5456" s="787" t="s">
        <v>10160</v>
      </c>
      <c r="D5456" s="787">
        <v>0</v>
      </c>
      <c r="E5456" s="787">
        <v>0</v>
      </c>
      <c r="H5456" s="787">
        <v>1</v>
      </c>
      <c r="K5456" s="788">
        <v>41481</v>
      </c>
      <c r="L5456" s="787">
        <v>700</v>
      </c>
      <c r="M5456" s="787">
        <v>10</v>
      </c>
      <c r="N5456" s="787">
        <v>129.31</v>
      </c>
      <c r="O5456" s="788">
        <v>42082</v>
      </c>
    </row>
    <row r="5457" spans="1:15" x14ac:dyDescent="0.25">
      <c r="A5457" s="786" t="s">
        <v>10165</v>
      </c>
      <c r="B5457" s="787">
        <v>4</v>
      </c>
      <c r="C5457" s="787" t="s">
        <v>10160</v>
      </c>
      <c r="D5457" s="787">
        <v>0</v>
      </c>
      <c r="E5457" s="787">
        <v>0</v>
      </c>
      <c r="H5457" s="787">
        <v>1</v>
      </c>
      <c r="K5457" s="788">
        <v>41481</v>
      </c>
      <c r="L5457" s="787">
        <v>700</v>
      </c>
      <c r="M5457" s="787">
        <v>10</v>
      </c>
      <c r="N5457" s="787">
        <v>129.31</v>
      </c>
      <c r="O5457" s="788">
        <v>42082</v>
      </c>
    </row>
    <row r="5458" spans="1:15" x14ac:dyDescent="0.25">
      <c r="A5458" s="786" t="s">
        <v>10165</v>
      </c>
      <c r="B5458" s="787">
        <v>4</v>
      </c>
      <c r="C5458" s="787" t="s">
        <v>10160</v>
      </c>
      <c r="D5458" s="787">
        <v>0</v>
      </c>
      <c r="E5458" s="787">
        <v>0</v>
      </c>
      <c r="H5458" s="787">
        <v>1</v>
      </c>
      <c r="K5458" s="788">
        <v>41481</v>
      </c>
      <c r="L5458" s="787">
        <v>700</v>
      </c>
      <c r="M5458" s="787">
        <v>10</v>
      </c>
      <c r="N5458" s="787">
        <v>129.31</v>
      </c>
      <c r="O5458" s="788">
        <v>42082</v>
      </c>
    </row>
    <row r="5459" spans="1:15" x14ac:dyDescent="0.25">
      <c r="A5459" s="786" t="s">
        <v>10165</v>
      </c>
      <c r="B5459" s="787">
        <v>4</v>
      </c>
      <c r="C5459" s="787" t="s">
        <v>10160</v>
      </c>
      <c r="D5459" s="787">
        <v>0</v>
      </c>
      <c r="E5459" s="787">
        <v>0</v>
      </c>
      <c r="H5459" s="787">
        <v>1</v>
      </c>
      <c r="K5459" s="788">
        <v>41481</v>
      </c>
      <c r="L5459" s="787">
        <v>700</v>
      </c>
      <c r="M5459" s="787">
        <v>10</v>
      </c>
      <c r="N5459" s="787">
        <v>129.31</v>
      </c>
      <c r="O5459" s="788">
        <v>42082</v>
      </c>
    </row>
    <row r="5460" spans="1:15" x14ac:dyDescent="0.25">
      <c r="A5460" s="786" t="s">
        <v>10165</v>
      </c>
      <c r="B5460" s="787">
        <v>4</v>
      </c>
      <c r="C5460" s="787" t="s">
        <v>10160</v>
      </c>
      <c r="D5460" s="787">
        <v>0</v>
      </c>
      <c r="E5460" s="787">
        <v>0</v>
      </c>
      <c r="H5460" s="787">
        <v>1</v>
      </c>
      <c r="K5460" s="788">
        <v>41481</v>
      </c>
      <c r="L5460" s="787">
        <v>700</v>
      </c>
      <c r="M5460" s="787">
        <v>10</v>
      </c>
      <c r="N5460" s="787">
        <v>129.31</v>
      </c>
      <c r="O5460" s="788">
        <v>42082</v>
      </c>
    </row>
    <row r="5461" spans="1:15" x14ac:dyDescent="0.25">
      <c r="A5461" s="786" t="s">
        <v>10165</v>
      </c>
      <c r="B5461" s="787">
        <v>4</v>
      </c>
      <c r="C5461" s="787" t="s">
        <v>10160</v>
      </c>
      <c r="D5461" s="787">
        <v>0</v>
      </c>
      <c r="E5461" s="787">
        <v>0</v>
      </c>
      <c r="H5461" s="787">
        <v>1</v>
      </c>
      <c r="K5461" s="788">
        <v>41481</v>
      </c>
      <c r="L5461" s="787">
        <v>700</v>
      </c>
      <c r="M5461" s="787">
        <v>10</v>
      </c>
      <c r="N5461" s="787">
        <v>129.31</v>
      </c>
      <c r="O5461" s="788">
        <v>42082</v>
      </c>
    </row>
    <row r="5462" spans="1:15" x14ac:dyDescent="0.25">
      <c r="A5462" s="786" t="s">
        <v>10165</v>
      </c>
      <c r="B5462" s="787">
        <v>4</v>
      </c>
      <c r="C5462" s="787" t="s">
        <v>10160</v>
      </c>
      <c r="D5462" s="787">
        <v>0</v>
      </c>
      <c r="E5462" s="787">
        <v>0</v>
      </c>
      <c r="H5462" s="787">
        <v>1</v>
      </c>
      <c r="K5462" s="788">
        <v>41481</v>
      </c>
      <c r="L5462" s="787">
        <v>700</v>
      </c>
      <c r="M5462" s="787">
        <v>10</v>
      </c>
      <c r="N5462" s="787">
        <v>129.31</v>
      </c>
      <c r="O5462" s="788">
        <v>42082</v>
      </c>
    </row>
    <row r="5463" spans="1:15" x14ac:dyDescent="0.25">
      <c r="A5463" s="786" t="s">
        <v>10165</v>
      </c>
      <c r="B5463" s="787">
        <v>4</v>
      </c>
      <c r="C5463" s="787" t="s">
        <v>10160</v>
      </c>
      <c r="D5463" s="787">
        <v>0</v>
      </c>
      <c r="E5463" s="787">
        <v>0</v>
      </c>
      <c r="H5463" s="787">
        <v>1</v>
      </c>
      <c r="K5463" s="788">
        <v>41481</v>
      </c>
      <c r="L5463" s="787">
        <v>700</v>
      </c>
      <c r="M5463" s="787">
        <v>10</v>
      </c>
      <c r="N5463" s="787">
        <v>129.31</v>
      </c>
      <c r="O5463" s="788">
        <v>42082</v>
      </c>
    </row>
    <row r="5464" spans="1:15" x14ac:dyDescent="0.25">
      <c r="A5464" s="786" t="s">
        <v>10165</v>
      </c>
      <c r="B5464" s="787">
        <v>4</v>
      </c>
      <c r="C5464" s="787" t="s">
        <v>10160</v>
      </c>
      <c r="D5464" s="787">
        <v>0</v>
      </c>
      <c r="E5464" s="787">
        <v>0</v>
      </c>
      <c r="H5464" s="787">
        <v>1</v>
      </c>
      <c r="K5464" s="788">
        <v>41481</v>
      </c>
      <c r="L5464" s="787">
        <v>700</v>
      </c>
      <c r="M5464" s="787">
        <v>10</v>
      </c>
      <c r="N5464" s="787">
        <v>129.31</v>
      </c>
      <c r="O5464" s="788">
        <v>42082</v>
      </c>
    </row>
    <row r="5465" spans="1:15" x14ac:dyDescent="0.25">
      <c r="A5465" s="786" t="s">
        <v>10165</v>
      </c>
      <c r="B5465" s="787">
        <v>4</v>
      </c>
      <c r="C5465" s="787" t="s">
        <v>10160</v>
      </c>
      <c r="D5465" s="787">
        <v>0</v>
      </c>
      <c r="E5465" s="787">
        <v>0</v>
      </c>
      <c r="H5465" s="787">
        <v>1</v>
      </c>
      <c r="K5465" s="788">
        <v>41481</v>
      </c>
      <c r="L5465" s="787">
        <v>700</v>
      </c>
      <c r="M5465" s="787">
        <v>10</v>
      </c>
      <c r="N5465" s="787">
        <v>129.31</v>
      </c>
      <c r="O5465" s="788">
        <v>42082</v>
      </c>
    </row>
    <row r="5466" spans="1:15" x14ac:dyDescent="0.25">
      <c r="A5466" s="786" t="s">
        <v>10165</v>
      </c>
      <c r="B5466" s="787">
        <v>4</v>
      </c>
      <c r="C5466" s="787" t="s">
        <v>10160</v>
      </c>
      <c r="D5466" s="787">
        <v>0</v>
      </c>
      <c r="E5466" s="787">
        <v>0</v>
      </c>
      <c r="H5466" s="787">
        <v>1</v>
      </c>
      <c r="K5466" s="788">
        <v>41481</v>
      </c>
      <c r="L5466" s="787">
        <v>700</v>
      </c>
      <c r="M5466" s="787">
        <v>10</v>
      </c>
      <c r="N5466" s="787">
        <v>129.31</v>
      </c>
      <c r="O5466" s="788">
        <v>42082</v>
      </c>
    </row>
    <row r="5467" spans="1:15" x14ac:dyDescent="0.25">
      <c r="A5467" s="786" t="s">
        <v>10165</v>
      </c>
      <c r="B5467" s="787">
        <v>4</v>
      </c>
      <c r="C5467" s="787" t="s">
        <v>10160</v>
      </c>
      <c r="D5467" s="787">
        <v>0</v>
      </c>
      <c r="E5467" s="787">
        <v>0</v>
      </c>
      <c r="H5467" s="787">
        <v>1</v>
      </c>
      <c r="K5467" s="788">
        <v>41481</v>
      </c>
      <c r="L5467" s="787">
        <v>700</v>
      </c>
      <c r="M5467" s="787">
        <v>10</v>
      </c>
      <c r="N5467" s="787">
        <v>129.31</v>
      </c>
      <c r="O5467" s="788">
        <v>42082</v>
      </c>
    </row>
    <row r="5468" spans="1:15" x14ac:dyDescent="0.25">
      <c r="A5468" s="786" t="s">
        <v>10165</v>
      </c>
      <c r="B5468" s="787">
        <v>4</v>
      </c>
      <c r="C5468" s="787" t="s">
        <v>10160</v>
      </c>
      <c r="D5468" s="787">
        <v>0</v>
      </c>
      <c r="E5468" s="787">
        <v>0</v>
      </c>
      <c r="H5468" s="787">
        <v>1</v>
      </c>
      <c r="K5468" s="788">
        <v>41481</v>
      </c>
      <c r="L5468" s="787">
        <v>700</v>
      </c>
      <c r="M5468" s="787">
        <v>10</v>
      </c>
      <c r="N5468" s="787">
        <v>129.31</v>
      </c>
      <c r="O5468" s="788">
        <v>42082</v>
      </c>
    </row>
    <row r="5469" spans="1:15" x14ac:dyDescent="0.25">
      <c r="A5469" s="786" t="s">
        <v>10165</v>
      </c>
      <c r="B5469" s="787">
        <v>4</v>
      </c>
      <c r="C5469" s="787" t="s">
        <v>10160</v>
      </c>
      <c r="D5469" s="787">
        <v>0</v>
      </c>
      <c r="E5469" s="787">
        <v>0</v>
      </c>
      <c r="H5469" s="787">
        <v>1</v>
      </c>
      <c r="K5469" s="788">
        <v>41481</v>
      </c>
      <c r="L5469" s="787">
        <v>700</v>
      </c>
      <c r="M5469" s="787">
        <v>10</v>
      </c>
      <c r="N5469" s="787">
        <v>129.31</v>
      </c>
      <c r="O5469" s="788">
        <v>42082</v>
      </c>
    </row>
    <row r="5470" spans="1:15" x14ac:dyDescent="0.25">
      <c r="A5470" s="786" t="s">
        <v>10165</v>
      </c>
      <c r="B5470" s="787">
        <v>4</v>
      </c>
      <c r="C5470" s="787" t="s">
        <v>10160</v>
      </c>
      <c r="D5470" s="787">
        <v>0</v>
      </c>
      <c r="E5470" s="787">
        <v>0</v>
      </c>
      <c r="H5470" s="787">
        <v>1</v>
      </c>
      <c r="K5470" s="788">
        <v>41481</v>
      </c>
      <c r="L5470" s="787">
        <v>700</v>
      </c>
      <c r="M5470" s="787">
        <v>10</v>
      </c>
      <c r="N5470" s="787">
        <v>129.31</v>
      </c>
      <c r="O5470" s="788">
        <v>42082</v>
      </c>
    </row>
    <row r="5471" spans="1:15" x14ac:dyDescent="0.25">
      <c r="A5471" s="786" t="s">
        <v>10165</v>
      </c>
      <c r="B5471" s="787">
        <v>4</v>
      </c>
      <c r="C5471" s="787" t="s">
        <v>10160</v>
      </c>
      <c r="D5471" s="787">
        <v>0</v>
      </c>
      <c r="E5471" s="787">
        <v>0</v>
      </c>
      <c r="H5471" s="787">
        <v>1</v>
      </c>
      <c r="K5471" s="788">
        <v>41481</v>
      </c>
      <c r="L5471" s="787">
        <v>700</v>
      </c>
      <c r="M5471" s="787">
        <v>10</v>
      </c>
      <c r="N5471" s="787">
        <v>129.31</v>
      </c>
      <c r="O5471" s="788">
        <v>42082</v>
      </c>
    </row>
    <row r="5472" spans="1:15" x14ac:dyDescent="0.25">
      <c r="A5472" s="786" t="s">
        <v>10165</v>
      </c>
      <c r="B5472" s="787">
        <v>4</v>
      </c>
      <c r="C5472" s="787" t="s">
        <v>10160</v>
      </c>
      <c r="D5472" s="787">
        <v>0</v>
      </c>
      <c r="E5472" s="787">
        <v>0</v>
      </c>
      <c r="H5472" s="787">
        <v>1</v>
      </c>
      <c r="K5472" s="788">
        <v>41481</v>
      </c>
      <c r="L5472" s="787">
        <v>700</v>
      </c>
      <c r="M5472" s="787">
        <v>10</v>
      </c>
      <c r="N5472" s="787">
        <v>129.31</v>
      </c>
      <c r="O5472" s="788">
        <v>42082</v>
      </c>
    </row>
    <row r="5473" spans="1:15" x14ac:dyDescent="0.25">
      <c r="A5473" s="786" t="s">
        <v>10165</v>
      </c>
      <c r="B5473" s="787">
        <v>4</v>
      </c>
      <c r="C5473" s="787" t="s">
        <v>10160</v>
      </c>
      <c r="D5473" s="787">
        <v>0</v>
      </c>
      <c r="E5473" s="787">
        <v>0</v>
      </c>
      <c r="H5473" s="787">
        <v>1</v>
      </c>
      <c r="K5473" s="788">
        <v>41481</v>
      </c>
      <c r="L5473" s="787">
        <v>700</v>
      </c>
      <c r="M5473" s="787">
        <v>10</v>
      </c>
      <c r="N5473" s="787">
        <v>129.31</v>
      </c>
      <c r="O5473" s="788">
        <v>42082</v>
      </c>
    </row>
    <row r="5474" spans="1:15" x14ac:dyDescent="0.25">
      <c r="A5474" s="786" t="s">
        <v>10165</v>
      </c>
      <c r="B5474" s="787">
        <v>4</v>
      </c>
      <c r="C5474" s="787" t="s">
        <v>10160</v>
      </c>
      <c r="D5474" s="787">
        <v>0</v>
      </c>
      <c r="E5474" s="787">
        <v>0</v>
      </c>
      <c r="H5474" s="787">
        <v>1</v>
      </c>
      <c r="K5474" s="788">
        <v>41481</v>
      </c>
      <c r="L5474" s="787">
        <v>700</v>
      </c>
      <c r="M5474" s="787">
        <v>10</v>
      </c>
      <c r="N5474" s="787">
        <v>129.31</v>
      </c>
      <c r="O5474" s="788">
        <v>42082</v>
      </c>
    </row>
    <row r="5475" spans="1:15" x14ac:dyDescent="0.25">
      <c r="A5475" s="786" t="s">
        <v>10165</v>
      </c>
      <c r="B5475" s="787">
        <v>4</v>
      </c>
      <c r="C5475" s="787" t="s">
        <v>10160</v>
      </c>
      <c r="D5475" s="787">
        <v>0</v>
      </c>
      <c r="E5475" s="787">
        <v>0</v>
      </c>
      <c r="H5475" s="787">
        <v>1</v>
      </c>
      <c r="K5475" s="788">
        <v>41481</v>
      </c>
      <c r="L5475" s="787">
        <v>700</v>
      </c>
      <c r="M5475" s="787">
        <v>10</v>
      </c>
      <c r="N5475" s="787">
        <v>129.31</v>
      </c>
      <c r="O5475" s="788">
        <v>42082</v>
      </c>
    </row>
    <row r="5476" spans="1:15" x14ac:dyDescent="0.25">
      <c r="A5476" s="786" t="s">
        <v>10165</v>
      </c>
      <c r="B5476" s="787">
        <v>4</v>
      </c>
      <c r="C5476" s="787" t="s">
        <v>10160</v>
      </c>
      <c r="D5476" s="787">
        <v>0</v>
      </c>
      <c r="E5476" s="787">
        <v>0</v>
      </c>
      <c r="H5476" s="787">
        <v>1</v>
      </c>
      <c r="K5476" s="788">
        <v>41481</v>
      </c>
      <c r="L5476" s="787">
        <v>700</v>
      </c>
      <c r="M5476" s="787">
        <v>10</v>
      </c>
      <c r="N5476" s="787">
        <v>129.31</v>
      </c>
      <c r="O5476" s="788">
        <v>42082</v>
      </c>
    </row>
    <row r="5477" spans="1:15" x14ac:dyDescent="0.25">
      <c r="A5477" s="786" t="s">
        <v>10165</v>
      </c>
      <c r="B5477" s="787">
        <v>4</v>
      </c>
      <c r="C5477" s="787" t="s">
        <v>10160</v>
      </c>
      <c r="D5477" s="787">
        <v>0</v>
      </c>
      <c r="E5477" s="787">
        <v>0</v>
      </c>
      <c r="H5477" s="787">
        <v>1</v>
      </c>
      <c r="K5477" s="788">
        <v>41481</v>
      </c>
      <c r="L5477" s="787">
        <v>700</v>
      </c>
      <c r="M5477" s="787">
        <v>10</v>
      </c>
      <c r="N5477" s="787">
        <v>129.31</v>
      </c>
      <c r="O5477" s="788">
        <v>42082</v>
      </c>
    </row>
    <row r="5478" spans="1:15" x14ac:dyDescent="0.25">
      <c r="A5478" s="786" t="s">
        <v>10165</v>
      </c>
      <c r="B5478" s="787">
        <v>4</v>
      </c>
      <c r="C5478" s="787" t="s">
        <v>10160</v>
      </c>
      <c r="D5478" s="787">
        <v>0</v>
      </c>
      <c r="E5478" s="787">
        <v>0</v>
      </c>
      <c r="H5478" s="787">
        <v>1</v>
      </c>
      <c r="K5478" s="788">
        <v>41481</v>
      </c>
      <c r="L5478" s="787">
        <v>700</v>
      </c>
      <c r="M5478" s="787">
        <v>10</v>
      </c>
      <c r="N5478" s="787">
        <v>129.31</v>
      </c>
      <c r="O5478" s="788">
        <v>42082</v>
      </c>
    </row>
    <row r="5479" spans="1:15" x14ac:dyDescent="0.25">
      <c r="A5479" s="786" t="s">
        <v>10165</v>
      </c>
      <c r="B5479" s="787">
        <v>4</v>
      </c>
      <c r="C5479" s="787" t="s">
        <v>10160</v>
      </c>
      <c r="D5479" s="787">
        <v>0</v>
      </c>
      <c r="E5479" s="787">
        <v>0</v>
      </c>
      <c r="H5479" s="787">
        <v>1</v>
      </c>
      <c r="K5479" s="788">
        <v>41481</v>
      </c>
      <c r="L5479" s="787">
        <v>700</v>
      </c>
      <c r="M5479" s="787">
        <v>10</v>
      </c>
      <c r="N5479" s="787">
        <v>129.31</v>
      </c>
      <c r="O5479" s="788">
        <v>42082</v>
      </c>
    </row>
    <row r="5480" spans="1:15" x14ac:dyDescent="0.25">
      <c r="A5480" s="786" t="s">
        <v>10165</v>
      </c>
      <c r="B5480" s="787">
        <v>4</v>
      </c>
      <c r="C5480" s="787" t="s">
        <v>10160</v>
      </c>
      <c r="D5480" s="787">
        <v>0</v>
      </c>
      <c r="E5480" s="787">
        <v>0</v>
      </c>
      <c r="H5480" s="787">
        <v>1</v>
      </c>
      <c r="K5480" s="788">
        <v>41481</v>
      </c>
      <c r="L5480" s="787">
        <v>700</v>
      </c>
      <c r="M5480" s="787">
        <v>10</v>
      </c>
      <c r="N5480" s="787">
        <v>129.31</v>
      </c>
      <c r="O5480" s="788">
        <v>42082</v>
      </c>
    </row>
    <row r="5481" spans="1:15" x14ac:dyDescent="0.25">
      <c r="A5481" s="786" t="s">
        <v>10165</v>
      </c>
      <c r="B5481" s="787">
        <v>4</v>
      </c>
      <c r="C5481" s="787" t="s">
        <v>10160</v>
      </c>
      <c r="D5481" s="787">
        <v>0</v>
      </c>
      <c r="E5481" s="787">
        <v>0</v>
      </c>
      <c r="H5481" s="787">
        <v>1</v>
      </c>
      <c r="K5481" s="788">
        <v>41481</v>
      </c>
      <c r="L5481" s="787">
        <v>700</v>
      </c>
      <c r="M5481" s="787">
        <v>10</v>
      </c>
      <c r="N5481" s="787">
        <v>129.31</v>
      </c>
      <c r="O5481" s="788">
        <v>42082</v>
      </c>
    </row>
    <row r="5482" spans="1:15" x14ac:dyDescent="0.25">
      <c r="A5482" s="786" t="s">
        <v>10165</v>
      </c>
      <c r="B5482" s="787">
        <v>4</v>
      </c>
      <c r="C5482" s="787" t="s">
        <v>10160</v>
      </c>
      <c r="D5482" s="787">
        <v>0</v>
      </c>
      <c r="E5482" s="787">
        <v>0</v>
      </c>
      <c r="H5482" s="787">
        <v>1</v>
      </c>
      <c r="K5482" s="788">
        <v>41481</v>
      </c>
      <c r="L5482" s="787">
        <v>700</v>
      </c>
      <c r="M5482" s="787">
        <v>10</v>
      </c>
      <c r="N5482" s="787">
        <v>129.31</v>
      </c>
      <c r="O5482" s="788">
        <v>42082</v>
      </c>
    </row>
    <row r="5483" spans="1:15" x14ac:dyDescent="0.25">
      <c r="A5483" s="786" t="s">
        <v>10165</v>
      </c>
      <c r="B5483" s="787">
        <v>4</v>
      </c>
      <c r="C5483" s="787" t="s">
        <v>10160</v>
      </c>
      <c r="D5483" s="787">
        <v>0</v>
      </c>
      <c r="E5483" s="787">
        <v>0</v>
      </c>
      <c r="H5483" s="787">
        <v>1</v>
      </c>
      <c r="K5483" s="788">
        <v>41481</v>
      </c>
      <c r="L5483" s="787">
        <v>700</v>
      </c>
      <c r="M5483" s="787">
        <v>10</v>
      </c>
      <c r="N5483" s="787">
        <v>129.31</v>
      </c>
      <c r="O5483" s="788">
        <v>42082</v>
      </c>
    </row>
    <row r="5484" spans="1:15" x14ac:dyDescent="0.25">
      <c r="A5484" s="786" t="s">
        <v>10165</v>
      </c>
      <c r="B5484" s="787">
        <v>4</v>
      </c>
      <c r="C5484" s="787" t="s">
        <v>10160</v>
      </c>
      <c r="D5484" s="787">
        <v>0</v>
      </c>
      <c r="E5484" s="787">
        <v>0</v>
      </c>
      <c r="H5484" s="787">
        <v>1</v>
      </c>
      <c r="K5484" s="788">
        <v>41481</v>
      </c>
      <c r="L5484" s="787">
        <v>700</v>
      </c>
      <c r="M5484" s="787">
        <v>10</v>
      </c>
      <c r="N5484" s="787">
        <v>129.31</v>
      </c>
      <c r="O5484" s="788">
        <v>42082</v>
      </c>
    </row>
    <row r="5485" spans="1:15" x14ac:dyDescent="0.25">
      <c r="A5485" s="786" t="s">
        <v>10165</v>
      </c>
      <c r="B5485" s="787">
        <v>4</v>
      </c>
      <c r="C5485" s="787" t="s">
        <v>10160</v>
      </c>
      <c r="D5485" s="787">
        <v>0</v>
      </c>
      <c r="E5485" s="787">
        <v>0</v>
      </c>
      <c r="H5485" s="787">
        <v>1</v>
      </c>
      <c r="K5485" s="788">
        <v>41481</v>
      </c>
      <c r="L5485" s="787">
        <v>700</v>
      </c>
      <c r="M5485" s="787">
        <v>10</v>
      </c>
      <c r="N5485" s="787">
        <v>129.31</v>
      </c>
      <c r="O5485" s="788">
        <v>42082</v>
      </c>
    </row>
    <row r="5486" spans="1:15" x14ac:dyDescent="0.25">
      <c r="A5486" s="786" t="s">
        <v>10165</v>
      </c>
      <c r="B5486" s="787">
        <v>4</v>
      </c>
      <c r="C5486" s="787" t="s">
        <v>10160</v>
      </c>
      <c r="D5486" s="787">
        <v>0</v>
      </c>
      <c r="E5486" s="787">
        <v>0</v>
      </c>
      <c r="H5486" s="787">
        <v>1</v>
      </c>
      <c r="K5486" s="788">
        <v>41481</v>
      </c>
      <c r="L5486" s="787">
        <v>700</v>
      </c>
      <c r="M5486" s="787">
        <v>10</v>
      </c>
      <c r="N5486" s="787">
        <v>129.31</v>
      </c>
      <c r="O5486" s="788">
        <v>42082</v>
      </c>
    </row>
    <row r="5487" spans="1:15" x14ac:dyDescent="0.25">
      <c r="A5487" s="786" t="s">
        <v>10165</v>
      </c>
      <c r="B5487" s="787">
        <v>4</v>
      </c>
      <c r="C5487" s="787" t="s">
        <v>10160</v>
      </c>
      <c r="D5487" s="787">
        <v>0</v>
      </c>
      <c r="E5487" s="787">
        <v>0</v>
      </c>
      <c r="H5487" s="787">
        <v>1</v>
      </c>
      <c r="K5487" s="788">
        <v>41481</v>
      </c>
      <c r="L5487" s="787">
        <v>700</v>
      </c>
      <c r="M5487" s="787">
        <v>10</v>
      </c>
      <c r="N5487" s="787">
        <v>129.31</v>
      </c>
      <c r="O5487" s="788">
        <v>42082</v>
      </c>
    </row>
    <row r="5488" spans="1:15" x14ac:dyDescent="0.25">
      <c r="A5488" s="786" t="s">
        <v>10165</v>
      </c>
      <c r="B5488" s="787">
        <v>4</v>
      </c>
      <c r="C5488" s="787" t="s">
        <v>10160</v>
      </c>
      <c r="D5488" s="787">
        <v>0</v>
      </c>
      <c r="E5488" s="787">
        <v>0</v>
      </c>
      <c r="H5488" s="787">
        <v>1</v>
      </c>
      <c r="K5488" s="788">
        <v>41481</v>
      </c>
      <c r="L5488" s="787">
        <v>700</v>
      </c>
      <c r="M5488" s="787">
        <v>10</v>
      </c>
      <c r="N5488" s="787">
        <v>129.31</v>
      </c>
      <c r="O5488" s="788">
        <v>42082</v>
      </c>
    </row>
    <row r="5489" spans="1:15" x14ac:dyDescent="0.25">
      <c r="A5489" s="786" t="s">
        <v>10165</v>
      </c>
      <c r="B5489" s="787">
        <v>4</v>
      </c>
      <c r="C5489" s="787" t="s">
        <v>10160</v>
      </c>
      <c r="D5489" s="787">
        <v>0</v>
      </c>
      <c r="E5489" s="787">
        <v>0</v>
      </c>
      <c r="H5489" s="787">
        <v>1</v>
      </c>
      <c r="K5489" s="788">
        <v>41481</v>
      </c>
      <c r="L5489" s="787">
        <v>700</v>
      </c>
      <c r="M5489" s="787">
        <v>10</v>
      </c>
      <c r="N5489" s="787">
        <v>129.31</v>
      </c>
      <c r="O5489" s="788">
        <v>42082</v>
      </c>
    </row>
    <row r="5490" spans="1:15" x14ac:dyDescent="0.25">
      <c r="A5490" s="786" t="s">
        <v>10165</v>
      </c>
      <c r="B5490" s="787">
        <v>4</v>
      </c>
      <c r="C5490" s="787" t="s">
        <v>10160</v>
      </c>
      <c r="D5490" s="787">
        <v>0</v>
      </c>
      <c r="E5490" s="787">
        <v>0</v>
      </c>
      <c r="H5490" s="787">
        <v>1</v>
      </c>
      <c r="K5490" s="788">
        <v>41481</v>
      </c>
      <c r="L5490" s="787">
        <v>700</v>
      </c>
      <c r="M5490" s="787">
        <v>10</v>
      </c>
      <c r="N5490" s="787">
        <v>129.31</v>
      </c>
      <c r="O5490" s="788">
        <v>42082</v>
      </c>
    </row>
    <row r="5491" spans="1:15" x14ac:dyDescent="0.25">
      <c r="A5491" s="786" t="s">
        <v>10165</v>
      </c>
      <c r="B5491" s="787">
        <v>4</v>
      </c>
      <c r="C5491" s="787" t="s">
        <v>10160</v>
      </c>
      <c r="D5491" s="787">
        <v>0</v>
      </c>
      <c r="E5491" s="787">
        <v>0</v>
      </c>
      <c r="H5491" s="787">
        <v>1</v>
      </c>
      <c r="K5491" s="788">
        <v>41481</v>
      </c>
      <c r="L5491" s="787">
        <v>700</v>
      </c>
      <c r="M5491" s="787">
        <v>10</v>
      </c>
      <c r="N5491" s="787">
        <v>129.31</v>
      </c>
      <c r="O5491" s="788">
        <v>42082</v>
      </c>
    </row>
    <row r="5492" spans="1:15" x14ac:dyDescent="0.25">
      <c r="A5492" s="786" t="s">
        <v>10165</v>
      </c>
      <c r="B5492" s="787">
        <v>4</v>
      </c>
      <c r="C5492" s="787" t="s">
        <v>10160</v>
      </c>
      <c r="D5492" s="787">
        <v>0</v>
      </c>
      <c r="E5492" s="787">
        <v>0</v>
      </c>
      <c r="H5492" s="787">
        <v>1</v>
      </c>
      <c r="K5492" s="788">
        <v>41481</v>
      </c>
      <c r="L5492" s="787">
        <v>700</v>
      </c>
      <c r="M5492" s="787">
        <v>10</v>
      </c>
      <c r="N5492" s="787">
        <v>129.31</v>
      </c>
      <c r="O5492" s="788">
        <v>42082</v>
      </c>
    </row>
    <row r="5493" spans="1:15" x14ac:dyDescent="0.25">
      <c r="A5493" s="786" t="s">
        <v>10165</v>
      </c>
      <c r="B5493" s="787">
        <v>4</v>
      </c>
      <c r="C5493" s="787" t="s">
        <v>10160</v>
      </c>
      <c r="D5493" s="787">
        <v>0</v>
      </c>
      <c r="E5493" s="787">
        <v>0</v>
      </c>
      <c r="H5493" s="787">
        <v>1</v>
      </c>
      <c r="K5493" s="788">
        <v>41481</v>
      </c>
      <c r="L5493" s="787">
        <v>700</v>
      </c>
      <c r="M5493" s="787">
        <v>10</v>
      </c>
      <c r="N5493" s="787">
        <v>129.31</v>
      </c>
      <c r="O5493" s="788">
        <v>42082</v>
      </c>
    </row>
    <row r="5494" spans="1:15" x14ac:dyDescent="0.25">
      <c r="A5494" s="786" t="s">
        <v>10165</v>
      </c>
      <c r="B5494" s="787">
        <v>4</v>
      </c>
      <c r="C5494" s="787" t="s">
        <v>10160</v>
      </c>
      <c r="D5494" s="787">
        <v>0</v>
      </c>
      <c r="E5494" s="787">
        <v>0</v>
      </c>
      <c r="H5494" s="787">
        <v>1</v>
      </c>
      <c r="K5494" s="788">
        <v>41481</v>
      </c>
      <c r="L5494" s="787">
        <v>700</v>
      </c>
      <c r="M5494" s="787">
        <v>10</v>
      </c>
      <c r="N5494" s="787">
        <v>129.31</v>
      </c>
      <c r="O5494" s="788">
        <v>42082</v>
      </c>
    </row>
    <row r="5495" spans="1:15" x14ac:dyDescent="0.25">
      <c r="A5495" s="786" t="s">
        <v>10165</v>
      </c>
      <c r="B5495" s="787">
        <v>4</v>
      </c>
      <c r="C5495" s="787" t="s">
        <v>10160</v>
      </c>
      <c r="D5495" s="787">
        <v>0</v>
      </c>
      <c r="E5495" s="787">
        <v>0</v>
      </c>
      <c r="H5495" s="787">
        <v>1</v>
      </c>
      <c r="K5495" s="788">
        <v>41481</v>
      </c>
      <c r="L5495" s="787">
        <v>700</v>
      </c>
      <c r="M5495" s="787">
        <v>10</v>
      </c>
      <c r="N5495" s="787">
        <v>129.31</v>
      </c>
      <c r="O5495" s="788">
        <v>42082</v>
      </c>
    </row>
    <row r="5496" spans="1:15" x14ac:dyDescent="0.25">
      <c r="A5496" s="786" t="s">
        <v>10165</v>
      </c>
      <c r="B5496" s="787">
        <v>4</v>
      </c>
      <c r="C5496" s="787" t="s">
        <v>10160</v>
      </c>
      <c r="D5496" s="787">
        <v>0</v>
      </c>
      <c r="E5496" s="787">
        <v>0</v>
      </c>
      <c r="H5496" s="787">
        <v>1</v>
      </c>
      <c r="K5496" s="788">
        <v>41481</v>
      </c>
      <c r="L5496" s="787">
        <v>700</v>
      </c>
      <c r="M5496" s="787">
        <v>10</v>
      </c>
      <c r="N5496" s="787">
        <v>129.31</v>
      </c>
      <c r="O5496" s="788">
        <v>42082</v>
      </c>
    </row>
    <row r="5497" spans="1:15" x14ac:dyDescent="0.25">
      <c r="A5497" s="786" t="s">
        <v>10165</v>
      </c>
      <c r="B5497" s="787">
        <v>4</v>
      </c>
      <c r="C5497" s="787" t="s">
        <v>10160</v>
      </c>
      <c r="D5497" s="787">
        <v>0</v>
      </c>
      <c r="E5497" s="787">
        <v>0</v>
      </c>
      <c r="H5497" s="787">
        <v>1</v>
      </c>
      <c r="K5497" s="788">
        <v>41481</v>
      </c>
      <c r="L5497" s="787">
        <v>700</v>
      </c>
      <c r="M5497" s="787">
        <v>10</v>
      </c>
      <c r="N5497" s="787">
        <v>129.31</v>
      </c>
      <c r="O5497" s="788">
        <v>42082</v>
      </c>
    </row>
    <row r="5498" spans="1:15" x14ac:dyDescent="0.25">
      <c r="A5498" s="786" t="s">
        <v>10165</v>
      </c>
      <c r="B5498" s="787">
        <v>4</v>
      </c>
      <c r="C5498" s="787" t="s">
        <v>10160</v>
      </c>
      <c r="D5498" s="787">
        <v>0</v>
      </c>
      <c r="E5498" s="787">
        <v>0</v>
      </c>
      <c r="H5498" s="787">
        <v>1</v>
      </c>
      <c r="K5498" s="788">
        <v>41481</v>
      </c>
      <c r="L5498" s="787">
        <v>700</v>
      </c>
      <c r="M5498" s="787">
        <v>10</v>
      </c>
      <c r="N5498" s="787">
        <v>129.31</v>
      </c>
      <c r="O5498" s="788">
        <v>42082</v>
      </c>
    </row>
    <row r="5499" spans="1:15" x14ac:dyDescent="0.25">
      <c r="A5499" s="786" t="s">
        <v>10165</v>
      </c>
      <c r="B5499" s="787">
        <v>4</v>
      </c>
      <c r="C5499" s="787" t="s">
        <v>10160</v>
      </c>
      <c r="D5499" s="787">
        <v>0</v>
      </c>
      <c r="E5499" s="787">
        <v>0</v>
      </c>
      <c r="H5499" s="787">
        <v>1</v>
      </c>
      <c r="K5499" s="788">
        <v>41481</v>
      </c>
      <c r="L5499" s="787">
        <v>700</v>
      </c>
      <c r="M5499" s="787">
        <v>10</v>
      </c>
      <c r="N5499" s="787">
        <v>129.31</v>
      </c>
      <c r="O5499" s="788">
        <v>42082</v>
      </c>
    </row>
    <row r="5500" spans="1:15" x14ac:dyDescent="0.25">
      <c r="A5500" s="786" t="s">
        <v>10165</v>
      </c>
      <c r="B5500" s="787">
        <v>4</v>
      </c>
      <c r="C5500" s="787" t="s">
        <v>10160</v>
      </c>
      <c r="D5500" s="787">
        <v>0</v>
      </c>
      <c r="E5500" s="787">
        <v>0</v>
      </c>
      <c r="H5500" s="787">
        <v>1</v>
      </c>
      <c r="K5500" s="788">
        <v>41481</v>
      </c>
      <c r="L5500" s="787">
        <v>700</v>
      </c>
      <c r="M5500" s="787">
        <v>10</v>
      </c>
      <c r="N5500" s="787">
        <v>129.31</v>
      </c>
      <c r="O5500" s="788">
        <v>42082</v>
      </c>
    </row>
    <row r="5501" spans="1:15" x14ac:dyDescent="0.25">
      <c r="A5501" s="786" t="s">
        <v>10165</v>
      </c>
      <c r="B5501" s="787">
        <v>4</v>
      </c>
      <c r="C5501" s="787" t="s">
        <v>10160</v>
      </c>
      <c r="D5501" s="787">
        <v>0</v>
      </c>
      <c r="E5501" s="787">
        <v>0</v>
      </c>
      <c r="H5501" s="787">
        <v>1</v>
      </c>
      <c r="K5501" s="788">
        <v>41481</v>
      </c>
      <c r="L5501" s="787">
        <v>700</v>
      </c>
      <c r="M5501" s="787">
        <v>10</v>
      </c>
      <c r="N5501" s="787">
        <v>129.31</v>
      </c>
      <c r="O5501" s="788">
        <v>42082</v>
      </c>
    </row>
    <row r="5502" spans="1:15" x14ac:dyDescent="0.25">
      <c r="A5502" s="786" t="s">
        <v>10165</v>
      </c>
      <c r="B5502" s="787">
        <v>4</v>
      </c>
      <c r="C5502" s="787" t="s">
        <v>10160</v>
      </c>
      <c r="D5502" s="787">
        <v>0</v>
      </c>
      <c r="E5502" s="787">
        <v>0</v>
      </c>
      <c r="H5502" s="787">
        <v>1</v>
      </c>
      <c r="K5502" s="788">
        <v>41481</v>
      </c>
      <c r="L5502" s="787">
        <v>700</v>
      </c>
      <c r="M5502" s="787">
        <v>10</v>
      </c>
      <c r="N5502" s="787">
        <v>129.31</v>
      </c>
      <c r="O5502" s="788">
        <v>42082</v>
      </c>
    </row>
    <row r="5503" spans="1:15" x14ac:dyDescent="0.25">
      <c r="A5503" s="786" t="s">
        <v>10165</v>
      </c>
      <c r="B5503" s="787">
        <v>4</v>
      </c>
      <c r="C5503" s="787" t="s">
        <v>10160</v>
      </c>
      <c r="D5503" s="787">
        <v>0</v>
      </c>
      <c r="E5503" s="787">
        <v>0</v>
      </c>
      <c r="H5503" s="787">
        <v>1</v>
      </c>
      <c r="K5503" s="788">
        <v>41481</v>
      </c>
      <c r="L5503" s="787">
        <v>700</v>
      </c>
      <c r="M5503" s="787">
        <v>10</v>
      </c>
      <c r="N5503" s="787">
        <v>129.31</v>
      </c>
      <c r="O5503" s="788">
        <v>42082</v>
      </c>
    </row>
    <row r="5504" spans="1:15" x14ac:dyDescent="0.25">
      <c r="A5504" s="786" t="s">
        <v>10165</v>
      </c>
      <c r="B5504" s="787">
        <v>4</v>
      </c>
      <c r="C5504" s="787" t="s">
        <v>10160</v>
      </c>
      <c r="D5504" s="787">
        <v>0</v>
      </c>
      <c r="E5504" s="787">
        <v>0</v>
      </c>
      <c r="H5504" s="787">
        <v>1</v>
      </c>
      <c r="K5504" s="788">
        <v>41481</v>
      </c>
      <c r="L5504" s="787">
        <v>700</v>
      </c>
      <c r="M5504" s="787">
        <v>10</v>
      </c>
      <c r="N5504" s="787">
        <v>129.31</v>
      </c>
      <c r="O5504" s="788">
        <v>42082</v>
      </c>
    </row>
    <row r="5505" spans="1:15" x14ac:dyDescent="0.25">
      <c r="A5505" s="786" t="s">
        <v>10165</v>
      </c>
      <c r="B5505" s="787">
        <v>4</v>
      </c>
      <c r="C5505" s="787" t="s">
        <v>10160</v>
      </c>
      <c r="D5505" s="787">
        <v>0</v>
      </c>
      <c r="E5505" s="787">
        <v>0</v>
      </c>
      <c r="H5505" s="787">
        <v>1</v>
      </c>
      <c r="K5505" s="788">
        <v>41481</v>
      </c>
      <c r="L5505" s="787">
        <v>700</v>
      </c>
      <c r="M5505" s="787">
        <v>10</v>
      </c>
      <c r="N5505" s="787">
        <v>129.31</v>
      </c>
      <c r="O5505" s="788">
        <v>42082</v>
      </c>
    </row>
    <row r="5506" spans="1:15" x14ac:dyDescent="0.25">
      <c r="A5506" s="786" t="s">
        <v>10165</v>
      </c>
      <c r="B5506" s="787">
        <v>4</v>
      </c>
      <c r="C5506" s="787" t="s">
        <v>10160</v>
      </c>
      <c r="D5506" s="787">
        <v>0</v>
      </c>
      <c r="E5506" s="787">
        <v>0</v>
      </c>
      <c r="H5506" s="787">
        <v>1</v>
      </c>
      <c r="K5506" s="788">
        <v>41481</v>
      </c>
      <c r="L5506" s="787">
        <v>700</v>
      </c>
      <c r="M5506" s="787">
        <v>10</v>
      </c>
      <c r="N5506" s="787">
        <v>129.31</v>
      </c>
      <c r="O5506" s="788">
        <v>42082</v>
      </c>
    </row>
    <row r="5507" spans="1:15" x14ac:dyDescent="0.25">
      <c r="A5507" s="786" t="s">
        <v>10165</v>
      </c>
      <c r="B5507" s="787">
        <v>4</v>
      </c>
      <c r="C5507" s="787" t="s">
        <v>10160</v>
      </c>
      <c r="D5507" s="787">
        <v>0</v>
      </c>
      <c r="E5507" s="787">
        <v>0</v>
      </c>
      <c r="H5507" s="787">
        <v>1</v>
      </c>
      <c r="K5507" s="788">
        <v>41481</v>
      </c>
      <c r="L5507" s="787">
        <v>700</v>
      </c>
      <c r="M5507" s="787">
        <v>10</v>
      </c>
      <c r="N5507" s="787">
        <v>129.31</v>
      </c>
      <c r="O5507" s="788">
        <v>42082</v>
      </c>
    </row>
    <row r="5508" spans="1:15" x14ac:dyDescent="0.25">
      <c r="A5508" s="786" t="s">
        <v>10165</v>
      </c>
      <c r="B5508" s="787">
        <v>4</v>
      </c>
      <c r="C5508" s="787" t="s">
        <v>10160</v>
      </c>
      <c r="D5508" s="787">
        <v>0</v>
      </c>
      <c r="E5508" s="787">
        <v>0</v>
      </c>
      <c r="H5508" s="787">
        <v>1</v>
      </c>
      <c r="K5508" s="788">
        <v>41481</v>
      </c>
      <c r="L5508" s="787">
        <v>700</v>
      </c>
      <c r="M5508" s="787">
        <v>10</v>
      </c>
      <c r="N5508" s="787">
        <v>129.31</v>
      </c>
      <c r="O5508" s="788">
        <v>42082</v>
      </c>
    </row>
    <row r="5509" spans="1:15" x14ac:dyDescent="0.25">
      <c r="A5509" s="786" t="s">
        <v>10165</v>
      </c>
      <c r="B5509" s="787">
        <v>4</v>
      </c>
      <c r="C5509" s="787" t="s">
        <v>10160</v>
      </c>
      <c r="D5509" s="787">
        <v>0</v>
      </c>
      <c r="E5509" s="787">
        <v>0</v>
      </c>
      <c r="H5509" s="787">
        <v>1</v>
      </c>
      <c r="K5509" s="788">
        <v>41481</v>
      </c>
      <c r="L5509" s="787">
        <v>700</v>
      </c>
      <c r="M5509" s="787">
        <v>10</v>
      </c>
      <c r="N5509" s="787">
        <v>129.31</v>
      </c>
      <c r="O5509" s="788">
        <v>42082</v>
      </c>
    </row>
    <row r="5510" spans="1:15" x14ac:dyDescent="0.25">
      <c r="A5510" s="786" t="s">
        <v>10165</v>
      </c>
      <c r="B5510" s="787">
        <v>4</v>
      </c>
      <c r="C5510" s="787" t="s">
        <v>10160</v>
      </c>
      <c r="D5510" s="787">
        <v>0</v>
      </c>
      <c r="E5510" s="787">
        <v>0</v>
      </c>
      <c r="H5510" s="787">
        <v>1</v>
      </c>
      <c r="K5510" s="788">
        <v>41481</v>
      </c>
      <c r="L5510" s="787">
        <v>700</v>
      </c>
      <c r="M5510" s="787">
        <v>10</v>
      </c>
      <c r="N5510" s="787">
        <v>129.31</v>
      </c>
      <c r="O5510" s="788">
        <v>42082</v>
      </c>
    </row>
    <row r="5511" spans="1:15" x14ac:dyDescent="0.25">
      <c r="A5511" s="786" t="s">
        <v>10165</v>
      </c>
      <c r="B5511" s="787">
        <v>4</v>
      </c>
      <c r="C5511" s="787" t="s">
        <v>10160</v>
      </c>
      <c r="D5511" s="787">
        <v>0</v>
      </c>
      <c r="E5511" s="787">
        <v>0</v>
      </c>
      <c r="H5511" s="787">
        <v>1</v>
      </c>
      <c r="K5511" s="788">
        <v>41481</v>
      </c>
      <c r="L5511" s="787">
        <v>700</v>
      </c>
      <c r="M5511" s="787">
        <v>10</v>
      </c>
      <c r="N5511" s="787">
        <v>129.31</v>
      </c>
      <c r="O5511" s="788">
        <v>42082</v>
      </c>
    </row>
    <row r="5512" spans="1:15" x14ac:dyDescent="0.25">
      <c r="A5512" s="786" t="s">
        <v>10165</v>
      </c>
      <c r="B5512" s="787">
        <v>4</v>
      </c>
      <c r="C5512" s="787" t="s">
        <v>10160</v>
      </c>
      <c r="D5512" s="787">
        <v>0</v>
      </c>
      <c r="E5512" s="787">
        <v>0</v>
      </c>
      <c r="H5512" s="787">
        <v>1</v>
      </c>
      <c r="K5512" s="788">
        <v>41481</v>
      </c>
      <c r="L5512" s="787">
        <v>700</v>
      </c>
      <c r="M5512" s="787">
        <v>10</v>
      </c>
      <c r="N5512" s="787">
        <v>129.31</v>
      </c>
      <c r="O5512" s="788">
        <v>42082</v>
      </c>
    </row>
    <row r="5513" spans="1:15" x14ac:dyDescent="0.25">
      <c r="A5513" s="786" t="s">
        <v>10165</v>
      </c>
      <c r="B5513" s="787">
        <v>4</v>
      </c>
      <c r="C5513" s="787" t="s">
        <v>10160</v>
      </c>
      <c r="D5513" s="787">
        <v>0</v>
      </c>
      <c r="E5513" s="787">
        <v>0</v>
      </c>
      <c r="H5513" s="787">
        <v>1</v>
      </c>
      <c r="K5513" s="788">
        <v>41481</v>
      </c>
      <c r="L5513" s="787">
        <v>700</v>
      </c>
      <c r="M5513" s="787">
        <v>10</v>
      </c>
      <c r="N5513" s="787">
        <v>129.31</v>
      </c>
      <c r="O5513" s="788">
        <v>42082</v>
      </c>
    </row>
    <row r="5514" spans="1:15" x14ac:dyDescent="0.25">
      <c r="A5514" s="786" t="s">
        <v>10165</v>
      </c>
      <c r="B5514" s="787">
        <v>4</v>
      </c>
      <c r="C5514" s="787" t="s">
        <v>10160</v>
      </c>
      <c r="D5514" s="787">
        <v>0</v>
      </c>
      <c r="E5514" s="787">
        <v>0</v>
      </c>
      <c r="H5514" s="787">
        <v>1</v>
      </c>
      <c r="K5514" s="788">
        <v>41481</v>
      </c>
      <c r="L5514" s="787">
        <v>700</v>
      </c>
      <c r="M5514" s="787">
        <v>10</v>
      </c>
      <c r="N5514" s="787">
        <v>129.31</v>
      </c>
      <c r="O5514" s="788">
        <v>42082</v>
      </c>
    </row>
    <row r="5515" spans="1:15" x14ac:dyDescent="0.25">
      <c r="A5515" s="786" t="s">
        <v>10165</v>
      </c>
      <c r="B5515" s="787">
        <v>4</v>
      </c>
      <c r="C5515" s="787" t="s">
        <v>10160</v>
      </c>
      <c r="D5515" s="787">
        <v>0</v>
      </c>
      <c r="E5515" s="787">
        <v>0</v>
      </c>
      <c r="H5515" s="787">
        <v>1</v>
      </c>
      <c r="K5515" s="788">
        <v>41481</v>
      </c>
      <c r="L5515" s="787">
        <v>700</v>
      </c>
      <c r="M5515" s="787">
        <v>10</v>
      </c>
      <c r="N5515" s="787">
        <v>129.31</v>
      </c>
      <c r="O5515" s="788">
        <v>42082</v>
      </c>
    </row>
    <row r="5516" spans="1:15" x14ac:dyDescent="0.25">
      <c r="A5516" s="786" t="s">
        <v>10165</v>
      </c>
      <c r="B5516" s="787">
        <v>4</v>
      </c>
      <c r="C5516" s="787" t="s">
        <v>10160</v>
      </c>
      <c r="D5516" s="787">
        <v>0</v>
      </c>
      <c r="E5516" s="787">
        <v>0</v>
      </c>
      <c r="H5516" s="787">
        <v>1</v>
      </c>
      <c r="K5516" s="788">
        <v>41481</v>
      </c>
      <c r="L5516" s="787">
        <v>700</v>
      </c>
      <c r="M5516" s="787">
        <v>10</v>
      </c>
      <c r="N5516" s="787">
        <v>129.31</v>
      </c>
      <c r="O5516" s="788">
        <v>42082</v>
      </c>
    </row>
    <row r="5517" spans="1:15" x14ac:dyDescent="0.25">
      <c r="A5517" s="786" t="s">
        <v>10165</v>
      </c>
      <c r="B5517" s="787">
        <v>4</v>
      </c>
      <c r="C5517" s="787" t="s">
        <v>10160</v>
      </c>
      <c r="D5517" s="787">
        <v>0</v>
      </c>
      <c r="E5517" s="787">
        <v>0</v>
      </c>
      <c r="H5517" s="787">
        <v>1</v>
      </c>
      <c r="K5517" s="788">
        <v>41481</v>
      </c>
      <c r="L5517" s="787">
        <v>700</v>
      </c>
      <c r="M5517" s="787">
        <v>10</v>
      </c>
      <c r="N5517" s="787">
        <v>129.31</v>
      </c>
      <c r="O5517" s="788">
        <v>42082</v>
      </c>
    </row>
    <row r="5518" spans="1:15" x14ac:dyDescent="0.25">
      <c r="A5518" s="786" t="s">
        <v>10165</v>
      </c>
      <c r="B5518" s="787">
        <v>4</v>
      </c>
      <c r="C5518" s="787" t="s">
        <v>10160</v>
      </c>
      <c r="D5518" s="787">
        <v>0</v>
      </c>
      <c r="E5518" s="787">
        <v>0</v>
      </c>
      <c r="H5518" s="787">
        <v>1</v>
      </c>
      <c r="K5518" s="788">
        <v>41481</v>
      </c>
      <c r="L5518" s="787">
        <v>700</v>
      </c>
      <c r="M5518" s="787">
        <v>10</v>
      </c>
      <c r="N5518" s="787">
        <v>129.31</v>
      </c>
      <c r="O5518" s="788">
        <v>42082</v>
      </c>
    </row>
    <row r="5519" spans="1:15" x14ac:dyDescent="0.25">
      <c r="A5519" s="786" t="s">
        <v>10165</v>
      </c>
      <c r="B5519" s="787">
        <v>4</v>
      </c>
      <c r="C5519" s="787" t="s">
        <v>10160</v>
      </c>
      <c r="D5519" s="787">
        <v>0</v>
      </c>
      <c r="E5519" s="787">
        <v>0</v>
      </c>
      <c r="H5519" s="787">
        <v>1</v>
      </c>
      <c r="K5519" s="788">
        <v>41481</v>
      </c>
      <c r="L5519" s="787">
        <v>700</v>
      </c>
      <c r="M5519" s="787">
        <v>10</v>
      </c>
      <c r="N5519" s="787">
        <v>129.31</v>
      </c>
      <c r="O5519" s="788">
        <v>42082</v>
      </c>
    </row>
    <row r="5520" spans="1:15" x14ac:dyDescent="0.25">
      <c r="A5520" s="786" t="s">
        <v>10165</v>
      </c>
      <c r="B5520" s="787">
        <v>4</v>
      </c>
      <c r="C5520" s="787" t="s">
        <v>10160</v>
      </c>
      <c r="D5520" s="787">
        <v>0</v>
      </c>
      <c r="E5520" s="787">
        <v>0</v>
      </c>
      <c r="H5520" s="787">
        <v>1</v>
      </c>
      <c r="K5520" s="788">
        <v>41481</v>
      </c>
      <c r="L5520" s="787">
        <v>700</v>
      </c>
      <c r="M5520" s="787">
        <v>10</v>
      </c>
      <c r="N5520" s="787">
        <v>129.31</v>
      </c>
      <c r="O5520" s="788">
        <v>42082</v>
      </c>
    </row>
    <row r="5521" spans="1:15" x14ac:dyDescent="0.25">
      <c r="A5521" s="786" t="s">
        <v>10165</v>
      </c>
      <c r="B5521" s="787">
        <v>4</v>
      </c>
      <c r="C5521" s="787" t="s">
        <v>10160</v>
      </c>
      <c r="D5521" s="787">
        <v>0</v>
      </c>
      <c r="E5521" s="787">
        <v>0</v>
      </c>
      <c r="H5521" s="787">
        <v>1</v>
      </c>
      <c r="K5521" s="788">
        <v>41481</v>
      </c>
      <c r="L5521" s="787">
        <v>700</v>
      </c>
      <c r="M5521" s="787">
        <v>10</v>
      </c>
      <c r="N5521" s="787">
        <v>129.31</v>
      </c>
      <c r="O5521" s="788">
        <v>42082</v>
      </c>
    </row>
    <row r="5522" spans="1:15" x14ac:dyDescent="0.25">
      <c r="A5522" s="786" t="s">
        <v>10165</v>
      </c>
      <c r="B5522" s="787">
        <v>4</v>
      </c>
      <c r="C5522" s="787" t="s">
        <v>10160</v>
      </c>
      <c r="D5522" s="787">
        <v>0</v>
      </c>
      <c r="E5522" s="787">
        <v>0</v>
      </c>
      <c r="H5522" s="787">
        <v>1</v>
      </c>
      <c r="K5522" s="788">
        <v>41481</v>
      </c>
      <c r="L5522" s="787">
        <v>700</v>
      </c>
      <c r="M5522" s="787">
        <v>10</v>
      </c>
      <c r="N5522" s="787">
        <v>129.31</v>
      </c>
      <c r="O5522" s="788">
        <v>42082</v>
      </c>
    </row>
    <row r="5523" spans="1:15" x14ac:dyDescent="0.25">
      <c r="A5523" s="786" t="s">
        <v>10165</v>
      </c>
      <c r="B5523" s="787">
        <v>4</v>
      </c>
      <c r="C5523" s="787" t="s">
        <v>10160</v>
      </c>
      <c r="D5523" s="787">
        <v>0</v>
      </c>
      <c r="E5523" s="787">
        <v>0</v>
      </c>
      <c r="H5523" s="787">
        <v>1</v>
      </c>
      <c r="K5523" s="788">
        <v>41481</v>
      </c>
      <c r="L5523" s="787">
        <v>700</v>
      </c>
      <c r="M5523" s="787">
        <v>10</v>
      </c>
      <c r="N5523" s="787">
        <v>129.31</v>
      </c>
      <c r="O5523" s="788">
        <v>42082</v>
      </c>
    </row>
    <row r="5524" spans="1:15" x14ac:dyDescent="0.25">
      <c r="A5524" s="786" t="s">
        <v>10165</v>
      </c>
      <c r="B5524" s="787">
        <v>4</v>
      </c>
      <c r="C5524" s="787" t="s">
        <v>10160</v>
      </c>
      <c r="D5524" s="787">
        <v>0</v>
      </c>
      <c r="E5524" s="787">
        <v>0</v>
      </c>
      <c r="H5524" s="787">
        <v>1</v>
      </c>
      <c r="K5524" s="788">
        <v>41481</v>
      </c>
      <c r="L5524" s="787">
        <v>700</v>
      </c>
      <c r="M5524" s="787">
        <v>10</v>
      </c>
      <c r="N5524" s="787">
        <v>129.31</v>
      </c>
      <c r="O5524" s="788">
        <v>42082</v>
      </c>
    </row>
    <row r="5525" spans="1:15" x14ac:dyDescent="0.25">
      <c r="A5525" s="786" t="s">
        <v>10165</v>
      </c>
      <c r="B5525" s="787">
        <v>4</v>
      </c>
      <c r="C5525" s="787" t="s">
        <v>10160</v>
      </c>
      <c r="D5525" s="787">
        <v>0</v>
      </c>
      <c r="E5525" s="787">
        <v>0</v>
      </c>
      <c r="H5525" s="787">
        <v>1</v>
      </c>
      <c r="K5525" s="788">
        <v>41481</v>
      </c>
      <c r="L5525" s="787">
        <v>700</v>
      </c>
      <c r="M5525" s="787">
        <v>10</v>
      </c>
      <c r="N5525" s="787">
        <v>129.31</v>
      </c>
      <c r="O5525" s="788">
        <v>42082</v>
      </c>
    </row>
    <row r="5526" spans="1:15" x14ac:dyDescent="0.25">
      <c r="A5526" s="786" t="s">
        <v>10165</v>
      </c>
      <c r="B5526" s="787">
        <v>4</v>
      </c>
      <c r="C5526" s="787" t="s">
        <v>10160</v>
      </c>
      <c r="D5526" s="787">
        <v>0</v>
      </c>
      <c r="E5526" s="787">
        <v>0</v>
      </c>
      <c r="H5526" s="787">
        <v>1</v>
      </c>
      <c r="K5526" s="788">
        <v>41481</v>
      </c>
      <c r="L5526" s="787">
        <v>700</v>
      </c>
      <c r="M5526" s="787">
        <v>10</v>
      </c>
      <c r="N5526" s="787">
        <v>129.31</v>
      </c>
      <c r="O5526" s="788">
        <v>42082</v>
      </c>
    </row>
    <row r="5527" spans="1:15" x14ac:dyDescent="0.25">
      <c r="A5527" s="786" t="s">
        <v>10165</v>
      </c>
      <c r="B5527" s="787">
        <v>4</v>
      </c>
      <c r="C5527" s="787" t="s">
        <v>10160</v>
      </c>
      <c r="D5527" s="787">
        <v>0</v>
      </c>
      <c r="E5527" s="787">
        <v>0</v>
      </c>
      <c r="H5527" s="787">
        <v>1</v>
      </c>
      <c r="K5527" s="788">
        <v>41481</v>
      </c>
      <c r="L5527" s="787">
        <v>700</v>
      </c>
      <c r="M5527" s="787">
        <v>10</v>
      </c>
      <c r="N5527" s="787">
        <v>129.31</v>
      </c>
      <c r="O5527" s="788">
        <v>42082</v>
      </c>
    </row>
    <row r="5528" spans="1:15" x14ac:dyDescent="0.25">
      <c r="A5528" s="786" t="s">
        <v>10165</v>
      </c>
      <c r="B5528" s="787">
        <v>4</v>
      </c>
      <c r="C5528" s="787" t="s">
        <v>10160</v>
      </c>
      <c r="D5528" s="787">
        <v>0</v>
      </c>
      <c r="E5528" s="787">
        <v>0</v>
      </c>
      <c r="H5528" s="787">
        <v>1</v>
      </c>
      <c r="K5528" s="788">
        <v>41481</v>
      </c>
      <c r="L5528" s="787">
        <v>700</v>
      </c>
      <c r="M5528" s="787">
        <v>10</v>
      </c>
      <c r="N5528" s="787">
        <v>129.31</v>
      </c>
      <c r="O5528" s="788">
        <v>42082</v>
      </c>
    </row>
    <row r="5529" spans="1:15" x14ac:dyDescent="0.25">
      <c r="A5529" s="786" t="s">
        <v>10165</v>
      </c>
      <c r="B5529" s="787">
        <v>4</v>
      </c>
      <c r="C5529" s="787" t="s">
        <v>10160</v>
      </c>
      <c r="D5529" s="787">
        <v>0</v>
      </c>
      <c r="E5529" s="787">
        <v>0</v>
      </c>
      <c r="H5529" s="787">
        <v>1</v>
      </c>
      <c r="K5529" s="788">
        <v>41481</v>
      </c>
      <c r="L5529" s="787">
        <v>700</v>
      </c>
      <c r="M5529" s="787">
        <v>10</v>
      </c>
      <c r="N5529" s="787">
        <v>129.31</v>
      </c>
      <c r="O5529" s="788">
        <v>42082</v>
      </c>
    </row>
    <row r="5530" spans="1:15" x14ac:dyDescent="0.25">
      <c r="A5530" s="786" t="s">
        <v>10165</v>
      </c>
      <c r="B5530" s="787">
        <v>4</v>
      </c>
      <c r="C5530" s="787" t="s">
        <v>10160</v>
      </c>
      <c r="D5530" s="787">
        <v>0</v>
      </c>
      <c r="E5530" s="787">
        <v>0</v>
      </c>
      <c r="H5530" s="787">
        <v>1</v>
      </c>
      <c r="K5530" s="788">
        <v>41481</v>
      </c>
      <c r="L5530" s="787">
        <v>700</v>
      </c>
      <c r="M5530" s="787">
        <v>10</v>
      </c>
      <c r="N5530" s="787">
        <v>129.31</v>
      </c>
      <c r="O5530" s="788">
        <v>42082</v>
      </c>
    </row>
    <row r="5531" spans="1:15" x14ac:dyDescent="0.25">
      <c r="A5531" s="786" t="s">
        <v>10165</v>
      </c>
      <c r="B5531" s="787">
        <v>4</v>
      </c>
      <c r="C5531" s="787" t="s">
        <v>10160</v>
      </c>
      <c r="D5531" s="787">
        <v>0</v>
      </c>
      <c r="E5531" s="787">
        <v>0</v>
      </c>
      <c r="H5531" s="787">
        <v>1</v>
      </c>
      <c r="K5531" s="788">
        <v>41481</v>
      </c>
      <c r="L5531" s="787">
        <v>700</v>
      </c>
      <c r="M5531" s="787">
        <v>10</v>
      </c>
      <c r="N5531" s="787">
        <v>129.31</v>
      </c>
      <c r="O5531" s="788">
        <v>42082</v>
      </c>
    </row>
    <row r="5532" spans="1:15" x14ac:dyDescent="0.25">
      <c r="A5532" s="786" t="s">
        <v>10165</v>
      </c>
      <c r="B5532" s="787">
        <v>4</v>
      </c>
      <c r="C5532" s="787" t="s">
        <v>10160</v>
      </c>
      <c r="D5532" s="787">
        <v>0</v>
      </c>
      <c r="E5532" s="787">
        <v>0</v>
      </c>
      <c r="H5532" s="787">
        <v>1</v>
      </c>
      <c r="K5532" s="788">
        <v>41481</v>
      </c>
      <c r="L5532" s="787">
        <v>700</v>
      </c>
      <c r="M5532" s="787">
        <v>10</v>
      </c>
      <c r="N5532" s="787">
        <v>129.31</v>
      </c>
      <c r="O5532" s="788">
        <v>42082</v>
      </c>
    </row>
    <row r="5533" spans="1:15" x14ac:dyDescent="0.25">
      <c r="A5533" s="786" t="s">
        <v>10165</v>
      </c>
      <c r="B5533" s="787">
        <v>4</v>
      </c>
      <c r="C5533" s="787" t="s">
        <v>10160</v>
      </c>
      <c r="D5533" s="787">
        <v>0</v>
      </c>
      <c r="E5533" s="787">
        <v>0</v>
      </c>
      <c r="H5533" s="787">
        <v>1</v>
      </c>
      <c r="K5533" s="788">
        <v>41481</v>
      </c>
      <c r="L5533" s="787">
        <v>700</v>
      </c>
      <c r="M5533" s="787">
        <v>10</v>
      </c>
      <c r="N5533" s="787">
        <v>129.31</v>
      </c>
      <c r="O5533" s="788">
        <v>42082</v>
      </c>
    </row>
    <row r="5534" spans="1:15" x14ac:dyDescent="0.25">
      <c r="A5534" s="786" t="s">
        <v>10165</v>
      </c>
      <c r="B5534" s="787">
        <v>4</v>
      </c>
      <c r="C5534" s="787" t="s">
        <v>10160</v>
      </c>
      <c r="D5534" s="787">
        <v>0</v>
      </c>
      <c r="E5534" s="787">
        <v>0</v>
      </c>
      <c r="H5534" s="787">
        <v>1</v>
      </c>
      <c r="K5534" s="788">
        <v>41481</v>
      </c>
      <c r="L5534" s="787">
        <v>700</v>
      </c>
      <c r="M5534" s="787">
        <v>10</v>
      </c>
      <c r="N5534" s="787">
        <v>129.31</v>
      </c>
      <c r="O5534" s="788">
        <v>42082</v>
      </c>
    </row>
    <row r="5535" spans="1:15" x14ac:dyDescent="0.25">
      <c r="A5535" s="786" t="s">
        <v>10165</v>
      </c>
      <c r="B5535" s="787">
        <v>4</v>
      </c>
      <c r="C5535" s="787" t="s">
        <v>10160</v>
      </c>
      <c r="D5535" s="787">
        <v>0</v>
      </c>
      <c r="E5535" s="787">
        <v>0</v>
      </c>
      <c r="H5535" s="787">
        <v>1</v>
      </c>
      <c r="K5535" s="788">
        <v>41481</v>
      </c>
      <c r="L5535" s="787">
        <v>700</v>
      </c>
      <c r="M5535" s="787">
        <v>10</v>
      </c>
      <c r="N5535" s="787">
        <v>129.31</v>
      </c>
      <c r="O5535" s="788">
        <v>42082</v>
      </c>
    </row>
    <row r="5536" spans="1:15" x14ac:dyDescent="0.25">
      <c r="A5536" s="786" t="s">
        <v>10165</v>
      </c>
      <c r="B5536" s="787">
        <v>4</v>
      </c>
      <c r="C5536" s="787" t="s">
        <v>10160</v>
      </c>
      <c r="D5536" s="787">
        <v>0</v>
      </c>
      <c r="E5536" s="787">
        <v>0</v>
      </c>
      <c r="H5536" s="787">
        <v>1</v>
      </c>
      <c r="K5536" s="788">
        <v>41481</v>
      </c>
      <c r="L5536" s="787">
        <v>700</v>
      </c>
      <c r="M5536" s="787">
        <v>10</v>
      </c>
      <c r="N5536" s="787">
        <v>129.31</v>
      </c>
      <c r="O5536" s="788">
        <v>42082</v>
      </c>
    </row>
    <row r="5537" spans="1:15" x14ac:dyDescent="0.25">
      <c r="A5537" s="786" t="s">
        <v>10165</v>
      </c>
      <c r="B5537" s="787">
        <v>4</v>
      </c>
      <c r="C5537" s="787" t="s">
        <v>10160</v>
      </c>
      <c r="D5537" s="787">
        <v>0</v>
      </c>
      <c r="E5537" s="787">
        <v>0</v>
      </c>
      <c r="H5537" s="787">
        <v>1</v>
      </c>
      <c r="K5537" s="788">
        <v>41481</v>
      </c>
      <c r="L5537" s="787">
        <v>700</v>
      </c>
      <c r="M5537" s="787">
        <v>10</v>
      </c>
      <c r="N5537" s="787">
        <v>129.31</v>
      </c>
      <c r="O5537" s="788">
        <v>42082</v>
      </c>
    </row>
    <row r="5538" spans="1:15" x14ac:dyDescent="0.25">
      <c r="A5538" s="786" t="s">
        <v>10165</v>
      </c>
      <c r="B5538" s="787">
        <v>4</v>
      </c>
      <c r="C5538" s="787" t="s">
        <v>10160</v>
      </c>
      <c r="D5538" s="787">
        <v>0</v>
      </c>
      <c r="E5538" s="787">
        <v>0</v>
      </c>
      <c r="H5538" s="787">
        <v>1</v>
      </c>
      <c r="K5538" s="788">
        <v>41481</v>
      </c>
      <c r="L5538" s="787">
        <v>700</v>
      </c>
      <c r="M5538" s="787">
        <v>10</v>
      </c>
      <c r="N5538" s="787">
        <v>129.31</v>
      </c>
      <c r="O5538" s="788">
        <v>42082</v>
      </c>
    </row>
    <row r="5539" spans="1:15" x14ac:dyDescent="0.25">
      <c r="A5539" s="786" t="s">
        <v>10165</v>
      </c>
      <c r="B5539" s="787">
        <v>4</v>
      </c>
      <c r="C5539" s="787" t="s">
        <v>10160</v>
      </c>
      <c r="D5539" s="787">
        <v>0</v>
      </c>
      <c r="E5539" s="787">
        <v>0</v>
      </c>
      <c r="H5539" s="787">
        <v>1</v>
      </c>
      <c r="K5539" s="788">
        <v>41481</v>
      </c>
      <c r="L5539" s="787">
        <v>700</v>
      </c>
      <c r="M5539" s="787">
        <v>10</v>
      </c>
      <c r="N5539" s="787">
        <v>129.31</v>
      </c>
      <c r="O5539" s="788">
        <v>42082</v>
      </c>
    </row>
    <row r="5540" spans="1:15" x14ac:dyDescent="0.25">
      <c r="A5540" s="786" t="s">
        <v>10165</v>
      </c>
      <c r="B5540" s="787">
        <v>4</v>
      </c>
      <c r="C5540" s="787" t="s">
        <v>10160</v>
      </c>
      <c r="D5540" s="787">
        <v>0</v>
      </c>
      <c r="E5540" s="787">
        <v>0</v>
      </c>
      <c r="H5540" s="787">
        <v>1</v>
      </c>
      <c r="K5540" s="788">
        <v>41481</v>
      </c>
      <c r="L5540" s="787">
        <v>700</v>
      </c>
      <c r="M5540" s="787">
        <v>10</v>
      </c>
      <c r="N5540" s="787">
        <v>129.31</v>
      </c>
      <c r="O5540" s="788">
        <v>42082</v>
      </c>
    </row>
    <row r="5541" spans="1:15" x14ac:dyDescent="0.25">
      <c r="A5541" s="786" t="s">
        <v>10165</v>
      </c>
      <c r="B5541" s="787">
        <v>4</v>
      </c>
      <c r="C5541" s="787" t="s">
        <v>10160</v>
      </c>
      <c r="D5541" s="787">
        <v>0</v>
      </c>
      <c r="E5541" s="787">
        <v>0</v>
      </c>
      <c r="H5541" s="787">
        <v>1</v>
      </c>
      <c r="K5541" s="788">
        <v>41481</v>
      </c>
      <c r="L5541" s="787">
        <v>700</v>
      </c>
      <c r="M5541" s="787">
        <v>10</v>
      </c>
      <c r="N5541" s="787">
        <v>129.31</v>
      </c>
      <c r="O5541" s="788">
        <v>42082</v>
      </c>
    </row>
    <row r="5542" spans="1:15" x14ac:dyDescent="0.25">
      <c r="A5542" s="786" t="s">
        <v>10165</v>
      </c>
      <c r="B5542" s="787">
        <v>4</v>
      </c>
      <c r="C5542" s="787" t="s">
        <v>10160</v>
      </c>
      <c r="D5542" s="787">
        <v>0</v>
      </c>
      <c r="E5542" s="787">
        <v>0</v>
      </c>
      <c r="H5542" s="787">
        <v>1</v>
      </c>
      <c r="K5542" s="788">
        <v>41481</v>
      </c>
      <c r="L5542" s="787">
        <v>700</v>
      </c>
      <c r="M5542" s="787">
        <v>10</v>
      </c>
      <c r="N5542" s="787">
        <v>129.31</v>
      </c>
      <c r="O5542" s="788">
        <v>42082</v>
      </c>
    </row>
    <row r="5543" spans="1:15" x14ac:dyDescent="0.25">
      <c r="A5543" s="786" t="s">
        <v>10165</v>
      </c>
      <c r="B5543" s="787">
        <v>4</v>
      </c>
      <c r="C5543" s="787" t="s">
        <v>10160</v>
      </c>
      <c r="D5543" s="787">
        <v>0</v>
      </c>
      <c r="E5543" s="787">
        <v>0</v>
      </c>
      <c r="H5543" s="787">
        <v>1</v>
      </c>
      <c r="K5543" s="788">
        <v>41481</v>
      </c>
      <c r="L5543" s="787">
        <v>700</v>
      </c>
      <c r="M5543" s="787">
        <v>10</v>
      </c>
      <c r="N5543" s="787">
        <v>129.31</v>
      </c>
      <c r="O5543" s="788">
        <v>42082</v>
      </c>
    </row>
    <row r="5544" spans="1:15" x14ac:dyDescent="0.25">
      <c r="A5544" s="786" t="s">
        <v>10165</v>
      </c>
      <c r="B5544" s="787">
        <v>4</v>
      </c>
      <c r="C5544" s="787" t="s">
        <v>10160</v>
      </c>
      <c r="D5544" s="787">
        <v>0</v>
      </c>
      <c r="E5544" s="787">
        <v>0</v>
      </c>
      <c r="H5544" s="787">
        <v>1</v>
      </c>
      <c r="K5544" s="788">
        <v>41481</v>
      </c>
      <c r="L5544" s="787">
        <v>700</v>
      </c>
      <c r="M5544" s="787">
        <v>10</v>
      </c>
      <c r="N5544" s="787">
        <v>129.31</v>
      </c>
      <c r="O5544" s="788">
        <v>42082</v>
      </c>
    </row>
    <row r="5545" spans="1:15" x14ac:dyDescent="0.25">
      <c r="A5545" s="786" t="s">
        <v>10165</v>
      </c>
      <c r="B5545" s="787">
        <v>4</v>
      </c>
      <c r="C5545" s="787" t="s">
        <v>10160</v>
      </c>
      <c r="D5545" s="787">
        <v>0</v>
      </c>
      <c r="E5545" s="787">
        <v>0</v>
      </c>
      <c r="H5545" s="787">
        <v>1</v>
      </c>
      <c r="K5545" s="788">
        <v>41481</v>
      </c>
      <c r="L5545" s="787">
        <v>700</v>
      </c>
      <c r="M5545" s="787">
        <v>10</v>
      </c>
      <c r="N5545" s="787">
        <v>129.31</v>
      </c>
      <c r="O5545" s="788">
        <v>42082</v>
      </c>
    </row>
    <row r="5546" spans="1:15" x14ac:dyDescent="0.25">
      <c r="A5546" s="786" t="s">
        <v>10165</v>
      </c>
      <c r="B5546" s="787">
        <v>4</v>
      </c>
      <c r="C5546" s="787" t="s">
        <v>10160</v>
      </c>
      <c r="D5546" s="787">
        <v>0</v>
      </c>
      <c r="E5546" s="787">
        <v>0</v>
      </c>
      <c r="H5546" s="787">
        <v>1</v>
      </c>
      <c r="K5546" s="788">
        <v>41481</v>
      </c>
      <c r="L5546" s="787">
        <v>700</v>
      </c>
      <c r="M5546" s="787">
        <v>10</v>
      </c>
      <c r="N5546" s="787">
        <v>129.31</v>
      </c>
      <c r="O5546" s="788">
        <v>42082</v>
      </c>
    </row>
    <row r="5547" spans="1:15" x14ac:dyDescent="0.25">
      <c r="A5547" s="786" t="s">
        <v>10165</v>
      </c>
      <c r="B5547" s="787">
        <v>4</v>
      </c>
      <c r="C5547" s="787" t="s">
        <v>10160</v>
      </c>
      <c r="D5547" s="787">
        <v>0</v>
      </c>
      <c r="E5547" s="787">
        <v>0</v>
      </c>
      <c r="H5547" s="787">
        <v>1</v>
      </c>
      <c r="K5547" s="788">
        <v>41481</v>
      </c>
      <c r="L5547" s="787">
        <v>700</v>
      </c>
      <c r="M5547" s="787">
        <v>10</v>
      </c>
      <c r="N5547" s="787">
        <v>129.31</v>
      </c>
      <c r="O5547" s="788">
        <v>42082</v>
      </c>
    </row>
    <row r="5548" spans="1:15" x14ac:dyDescent="0.25">
      <c r="A5548" s="786" t="s">
        <v>10165</v>
      </c>
      <c r="B5548" s="787">
        <v>4</v>
      </c>
      <c r="C5548" s="787" t="s">
        <v>10160</v>
      </c>
      <c r="D5548" s="787">
        <v>0</v>
      </c>
      <c r="E5548" s="787">
        <v>0</v>
      </c>
      <c r="H5548" s="787">
        <v>1</v>
      </c>
      <c r="K5548" s="788">
        <v>41481</v>
      </c>
      <c r="L5548" s="787">
        <v>700</v>
      </c>
      <c r="M5548" s="787">
        <v>10</v>
      </c>
      <c r="N5548" s="787">
        <v>129.31</v>
      </c>
      <c r="O5548" s="788">
        <v>42082</v>
      </c>
    </row>
    <row r="5549" spans="1:15" x14ac:dyDescent="0.25">
      <c r="A5549" s="786" t="s">
        <v>10165</v>
      </c>
      <c r="B5549" s="787">
        <v>4</v>
      </c>
      <c r="C5549" s="787" t="s">
        <v>10160</v>
      </c>
      <c r="D5549" s="787">
        <v>0</v>
      </c>
      <c r="E5549" s="787">
        <v>0</v>
      </c>
      <c r="H5549" s="787">
        <v>1</v>
      </c>
      <c r="K5549" s="788">
        <v>41481</v>
      </c>
      <c r="L5549" s="787">
        <v>700</v>
      </c>
      <c r="M5549" s="787">
        <v>10</v>
      </c>
      <c r="N5549" s="787">
        <v>129.31</v>
      </c>
      <c r="O5549" s="788">
        <v>42082</v>
      </c>
    </row>
    <row r="5550" spans="1:15" x14ac:dyDescent="0.25">
      <c r="A5550" s="786" t="s">
        <v>10166</v>
      </c>
      <c r="B5550" s="787">
        <v>4</v>
      </c>
      <c r="C5550" s="787" t="s">
        <v>10162</v>
      </c>
      <c r="D5550" s="787">
        <v>0</v>
      </c>
      <c r="E5550" s="787">
        <v>0</v>
      </c>
      <c r="H5550" s="787">
        <v>1</v>
      </c>
      <c r="K5550" s="788">
        <v>41481</v>
      </c>
      <c r="L5550" s="787">
        <v>700</v>
      </c>
      <c r="M5550" s="787">
        <v>10</v>
      </c>
      <c r="N5550" s="787">
        <v>130.77000000000001</v>
      </c>
      <c r="O5550" s="788">
        <v>42116</v>
      </c>
    </row>
    <row r="5551" spans="1:15" x14ac:dyDescent="0.25">
      <c r="A5551" s="786" t="s">
        <v>10166</v>
      </c>
      <c r="B5551" s="787">
        <v>4</v>
      </c>
      <c r="C5551" s="787" t="s">
        <v>10162</v>
      </c>
      <c r="D5551" s="787">
        <v>0</v>
      </c>
      <c r="E5551" s="787">
        <v>0</v>
      </c>
      <c r="H5551" s="787">
        <v>1</v>
      </c>
      <c r="K5551" s="788">
        <v>41481</v>
      </c>
      <c r="L5551" s="787">
        <v>700</v>
      </c>
      <c r="M5551" s="787">
        <v>10</v>
      </c>
      <c r="N5551" s="787">
        <v>130.77000000000001</v>
      </c>
      <c r="O5551" s="788">
        <v>42116</v>
      </c>
    </row>
    <row r="5552" spans="1:15" x14ac:dyDescent="0.25">
      <c r="A5552" s="786" t="s">
        <v>10166</v>
      </c>
      <c r="B5552" s="787">
        <v>4</v>
      </c>
      <c r="C5552" s="787" t="s">
        <v>10162</v>
      </c>
      <c r="D5552" s="787">
        <v>0</v>
      </c>
      <c r="E5552" s="787">
        <v>0</v>
      </c>
      <c r="H5552" s="787">
        <v>1</v>
      </c>
      <c r="K5552" s="788">
        <v>41481</v>
      </c>
      <c r="L5552" s="787">
        <v>700</v>
      </c>
      <c r="M5552" s="787">
        <v>10</v>
      </c>
      <c r="N5552" s="787">
        <v>130.77000000000001</v>
      </c>
      <c r="O5552" s="788">
        <v>42116</v>
      </c>
    </row>
    <row r="5553" spans="1:15" x14ac:dyDescent="0.25">
      <c r="A5553" s="786" t="s">
        <v>10166</v>
      </c>
      <c r="B5553" s="787">
        <v>4</v>
      </c>
      <c r="C5553" s="787" t="s">
        <v>10162</v>
      </c>
      <c r="D5553" s="787">
        <v>0</v>
      </c>
      <c r="E5553" s="787">
        <v>0</v>
      </c>
      <c r="H5553" s="787">
        <v>1</v>
      </c>
      <c r="K5553" s="788">
        <v>41481</v>
      </c>
      <c r="L5553" s="787">
        <v>700</v>
      </c>
      <c r="M5553" s="787">
        <v>10</v>
      </c>
      <c r="N5553" s="787">
        <v>130.77000000000001</v>
      </c>
      <c r="O5553" s="788">
        <v>42116</v>
      </c>
    </row>
    <row r="5554" spans="1:15" x14ac:dyDescent="0.25">
      <c r="A5554" s="786" t="s">
        <v>10166</v>
      </c>
      <c r="B5554" s="787">
        <v>4</v>
      </c>
      <c r="C5554" s="787" t="s">
        <v>10162</v>
      </c>
      <c r="D5554" s="787">
        <v>0</v>
      </c>
      <c r="E5554" s="787">
        <v>0</v>
      </c>
      <c r="H5554" s="787">
        <v>1</v>
      </c>
      <c r="K5554" s="788">
        <v>41481</v>
      </c>
      <c r="L5554" s="787">
        <v>700</v>
      </c>
      <c r="M5554" s="787">
        <v>10</v>
      </c>
      <c r="N5554" s="787">
        <v>130.77000000000001</v>
      </c>
      <c r="O5554" s="788">
        <v>42116</v>
      </c>
    </row>
    <row r="5555" spans="1:15" x14ac:dyDescent="0.25">
      <c r="A5555" s="786" t="s">
        <v>10166</v>
      </c>
      <c r="B5555" s="787">
        <v>4</v>
      </c>
      <c r="C5555" s="787" t="s">
        <v>10162</v>
      </c>
      <c r="D5555" s="787">
        <v>0</v>
      </c>
      <c r="E5555" s="787">
        <v>0</v>
      </c>
      <c r="H5555" s="787">
        <v>1</v>
      </c>
      <c r="K5555" s="788">
        <v>41481</v>
      </c>
      <c r="L5555" s="787">
        <v>700</v>
      </c>
      <c r="M5555" s="787">
        <v>10</v>
      </c>
      <c r="N5555" s="787">
        <v>130.77000000000001</v>
      </c>
      <c r="O5555" s="788">
        <v>42116</v>
      </c>
    </row>
    <row r="5556" spans="1:15" x14ac:dyDescent="0.25">
      <c r="A5556" s="786" t="s">
        <v>10166</v>
      </c>
      <c r="B5556" s="787">
        <v>4</v>
      </c>
      <c r="C5556" s="787" t="s">
        <v>10162</v>
      </c>
      <c r="D5556" s="787">
        <v>0</v>
      </c>
      <c r="E5556" s="787">
        <v>0</v>
      </c>
      <c r="H5556" s="787">
        <v>1</v>
      </c>
      <c r="K5556" s="788">
        <v>41481</v>
      </c>
      <c r="L5556" s="787">
        <v>700</v>
      </c>
      <c r="M5556" s="787">
        <v>10</v>
      </c>
      <c r="N5556" s="787">
        <v>130.77000000000001</v>
      </c>
      <c r="O5556" s="788">
        <v>42116</v>
      </c>
    </row>
    <row r="5557" spans="1:15" x14ac:dyDescent="0.25">
      <c r="A5557" s="786" t="s">
        <v>10166</v>
      </c>
      <c r="B5557" s="787">
        <v>4</v>
      </c>
      <c r="C5557" s="787" t="s">
        <v>10162</v>
      </c>
      <c r="D5557" s="787">
        <v>0</v>
      </c>
      <c r="E5557" s="787">
        <v>0</v>
      </c>
      <c r="H5557" s="787">
        <v>1</v>
      </c>
      <c r="K5557" s="788">
        <v>41481</v>
      </c>
      <c r="L5557" s="787">
        <v>700</v>
      </c>
      <c r="M5557" s="787">
        <v>10</v>
      </c>
      <c r="N5557" s="787">
        <v>130.77000000000001</v>
      </c>
      <c r="O5557" s="788">
        <v>42116</v>
      </c>
    </row>
    <row r="5558" spans="1:15" x14ac:dyDescent="0.25">
      <c r="A5558" s="786" t="s">
        <v>10166</v>
      </c>
      <c r="B5558" s="787">
        <v>4</v>
      </c>
      <c r="C5558" s="787" t="s">
        <v>10162</v>
      </c>
      <c r="D5558" s="787">
        <v>0</v>
      </c>
      <c r="E5558" s="787">
        <v>0</v>
      </c>
      <c r="H5558" s="787">
        <v>1</v>
      </c>
      <c r="K5558" s="788">
        <v>41481</v>
      </c>
      <c r="L5558" s="787">
        <v>700</v>
      </c>
      <c r="M5558" s="787">
        <v>10</v>
      </c>
      <c r="N5558" s="787">
        <v>130.77000000000001</v>
      </c>
      <c r="O5558" s="788">
        <v>42116</v>
      </c>
    </row>
    <row r="5559" spans="1:15" x14ac:dyDescent="0.25">
      <c r="A5559" s="786" t="s">
        <v>10166</v>
      </c>
      <c r="B5559" s="787">
        <v>4</v>
      </c>
      <c r="C5559" s="787" t="s">
        <v>10162</v>
      </c>
      <c r="D5559" s="787">
        <v>0</v>
      </c>
      <c r="E5559" s="787">
        <v>0</v>
      </c>
      <c r="H5559" s="787">
        <v>1</v>
      </c>
      <c r="K5559" s="788">
        <v>41481</v>
      </c>
      <c r="L5559" s="787">
        <v>700</v>
      </c>
      <c r="M5559" s="787">
        <v>10</v>
      </c>
      <c r="N5559" s="787">
        <v>130.77000000000001</v>
      </c>
      <c r="O5559" s="788">
        <v>42116</v>
      </c>
    </row>
    <row r="5560" spans="1:15" x14ac:dyDescent="0.25">
      <c r="A5560" s="786" t="s">
        <v>10166</v>
      </c>
      <c r="B5560" s="787">
        <v>4</v>
      </c>
      <c r="C5560" s="787" t="s">
        <v>10162</v>
      </c>
      <c r="D5560" s="787">
        <v>0</v>
      </c>
      <c r="E5560" s="787">
        <v>0</v>
      </c>
      <c r="H5560" s="787">
        <v>1</v>
      </c>
      <c r="K5560" s="788">
        <v>41481</v>
      </c>
      <c r="L5560" s="787">
        <v>700</v>
      </c>
      <c r="M5560" s="787">
        <v>10</v>
      </c>
      <c r="N5560" s="787">
        <v>130.77000000000001</v>
      </c>
      <c r="O5560" s="788">
        <v>42116</v>
      </c>
    </row>
    <row r="5561" spans="1:15" x14ac:dyDescent="0.25">
      <c r="A5561" s="786" t="s">
        <v>10166</v>
      </c>
      <c r="B5561" s="787">
        <v>4</v>
      </c>
      <c r="C5561" s="787" t="s">
        <v>10162</v>
      </c>
      <c r="D5561" s="787">
        <v>0</v>
      </c>
      <c r="E5561" s="787">
        <v>0</v>
      </c>
      <c r="H5561" s="787">
        <v>1</v>
      </c>
      <c r="K5561" s="788">
        <v>41481</v>
      </c>
      <c r="L5561" s="787">
        <v>700</v>
      </c>
      <c r="M5561" s="787">
        <v>10</v>
      </c>
      <c r="N5561" s="787">
        <v>130.77000000000001</v>
      </c>
      <c r="O5561" s="788">
        <v>42116</v>
      </c>
    </row>
    <row r="5562" spans="1:15" x14ac:dyDescent="0.25">
      <c r="A5562" s="786" t="s">
        <v>10166</v>
      </c>
      <c r="B5562" s="787">
        <v>4</v>
      </c>
      <c r="C5562" s="787" t="s">
        <v>10162</v>
      </c>
      <c r="D5562" s="787">
        <v>0</v>
      </c>
      <c r="E5562" s="787">
        <v>0</v>
      </c>
      <c r="H5562" s="787">
        <v>1</v>
      </c>
      <c r="K5562" s="788">
        <v>41481</v>
      </c>
      <c r="L5562" s="787">
        <v>700</v>
      </c>
      <c r="M5562" s="787">
        <v>10</v>
      </c>
      <c r="N5562" s="787">
        <v>130.77000000000001</v>
      </c>
      <c r="O5562" s="788">
        <v>42116</v>
      </c>
    </row>
    <row r="5563" spans="1:15" x14ac:dyDescent="0.25">
      <c r="A5563" s="786" t="s">
        <v>10166</v>
      </c>
      <c r="B5563" s="787">
        <v>4</v>
      </c>
      <c r="C5563" s="787" t="s">
        <v>10162</v>
      </c>
      <c r="D5563" s="787">
        <v>0</v>
      </c>
      <c r="E5563" s="787">
        <v>0</v>
      </c>
      <c r="H5563" s="787">
        <v>1</v>
      </c>
      <c r="K5563" s="788">
        <v>41481</v>
      </c>
      <c r="L5563" s="787">
        <v>700</v>
      </c>
      <c r="M5563" s="787">
        <v>10</v>
      </c>
      <c r="N5563" s="787">
        <v>130.77000000000001</v>
      </c>
      <c r="O5563" s="788">
        <v>42116</v>
      </c>
    </row>
    <row r="5564" spans="1:15" x14ac:dyDescent="0.25">
      <c r="A5564" s="786" t="s">
        <v>10166</v>
      </c>
      <c r="B5564" s="787">
        <v>4</v>
      </c>
      <c r="C5564" s="787" t="s">
        <v>10162</v>
      </c>
      <c r="D5564" s="787">
        <v>0</v>
      </c>
      <c r="E5564" s="787">
        <v>0</v>
      </c>
      <c r="H5564" s="787">
        <v>1</v>
      </c>
      <c r="K5564" s="788">
        <v>41481</v>
      </c>
      <c r="L5564" s="787">
        <v>700</v>
      </c>
      <c r="M5564" s="787">
        <v>10</v>
      </c>
      <c r="N5564" s="787">
        <v>130.77000000000001</v>
      </c>
      <c r="O5564" s="788">
        <v>42116</v>
      </c>
    </row>
    <row r="5565" spans="1:15" x14ac:dyDescent="0.25">
      <c r="A5565" s="786" t="s">
        <v>10166</v>
      </c>
      <c r="B5565" s="787">
        <v>4</v>
      </c>
      <c r="C5565" s="787" t="s">
        <v>10162</v>
      </c>
      <c r="D5565" s="787">
        <v>0</v>
      </c>
      <c r="E5565" s="787">
        <v>0</v>
      </c>
      <c r="H5565" s="787">
        <v>1</v>
      </c>
      <c r="K5565" s="788">
        <v>41481</v>
      </c>
      <c r="L5565" s="787">
        <v>700</v>
      </c>
      <c r="M5565" s="787">
        <v>10</v>
      </c>
      <c r="N5565" s="787">
        <v>130.77000000000001</v>
      </c>
      <c r="O5565" s="788">
        <v>42116</v>
      </c>
    </row>
    <row r="5566" spans="1:15" x14ac:dyDescent="0.25">
      <c r="A5566" s="786" t="s">
        <v>10166</v>
      </c>
      <c r="B5566" s="787">
        <v>4</v>
      </c>
      <c r="C5566" s="787" t="s">
        <v>10162</v>
      </c>
      <c r="D5566" s="787">
        <v>0</v>
      </c>
      <c r="E5566" s="787">
        <v>0</v>
      </c>
      <c r="H5566" s="787">
        <v>1</v>
      </c>
      <c r="K5566" s="788">
        <v>41481</v>
      </c>
      <c r="L5566" s="787">
        <v>700</v>
      </c>
      <c r="M5566" s="787">
        <v>10</v>
      </c>
      <c r="N5566" s="787">
        <v>130.77000000000001</v>
      </c>
      <c r="O5566" s="788">
        <v>42116</v>
      </c>
    </row>
    <row r="5567" spans="1:15" x14ac:dyDescent="0.25">
      <c r="A5567" s="786" t="s">
        <v>10166</v>
      </c>
      <c r="B5567" s="787">
        <v>4</v>
      </c>
      <c r="C5567" s="787" t="s">
        <v>10162</v>
      </c>
      <c r="D5567" s="787">
        <v>0</v>
      </c>
      <c r="E5567" s="787">
        <v>0</v>
      </c>
      <c r="H5567" s="787">
        <v>1</v>
      </c>
      <c r="K5567" s="788">
        <v>41481</v>
      </c>
      <c r="L5567" s="787">
        <v>700</v>
      </c>
      <c r="M5567" s="787">
        <v>10</v>
      </c>
      <c r="N5567" s="787">
        <v>130.77000000000001</v>
      </c>
      <c r="O5567" s="788">
        <v>42116</v>
      </c>
    </row>
    <row r="5568" spans="1:15" x14ac:dyDescent="0.25">
      <c r="A5568" s="786" t="s">
        <v>10166</v>
      </c>
      <c r="B5568" s="787">
        <v>4</v>
      </c>
      <c r="C5568" s="787" t="s">
        <v>10162</v>
      </c>
      <c r="D5568" s="787">
        <v>0</v>
      </c>
      <c r="E5568" s="787">
        <v>0</v>
      </c>
      <c r="H5568" s="787">
        <v>1</v>
      </c>
      <c r="K5568" s="788">
        <v>41481</v>
      </c>
      <c r="L5568" s="787">
        <v>700</v>
      </c>
      <c r="M5568" s="787">
        <v>10</v>
      </c>
      <c r="N5568" s="787">
        <v>130.77000000000001</v>
      </c>
      <c r="O5568" s="788">
        <v>42116</v>
      </c>
    </row>
    <row r="5569" spans="1:15" x14ac:dyDescent="0.25">
      <c r="A5569" s="786" t="s">
        <v>10166</v>
      </c>
      <c r="B5569" s="787">
        <v>4</v>
      </c>
      <c r="C5569" s="787" t="s">
        <v>10162</v>
      </c>
      <c r="D5569" s="787">
        <v>0</v>
      </c>
      <c r="E5569" s="787">
        <v>0</v>
      </c>
      <c r="H5569" s="787">
        <v>1</v>
      </c>
      <c r="K5569" s="788">
        <v>41481</v>
      </c>
      <c r="L5569" s="787">
        <v>700</v>
      </c>
      <c r="M5569" s="787">
        <v>10</v>
      </c>
      <c r="N5569" s="787">
        <v>130.77000000000001</v>
      </c>
      <c r="O5569" s="788">
        <v>42116</v>
      </c>
    </row>
    <row r="5570" spans="1:15" x14ac:dyDescent="0.25">
      <c r="A5570" s="786" t="s">
        <v>10166</v>
      </c>
      <c r="B5570" s="787">
        <v>4</v>
      </c>
      <c r="C5570" s="787" t="s">
        <v>10162</v>
      </c>
      <c r="D5570" s="787">
        <v>0</v>
      </c>
      <c r="E5570" s="787">
        <v>0</v>
      </c>
      <c r="H5570" s="787">
        <v>1</v>
      </c>
      <c r="K5570" s="788">
        <v>41481</v>
      </c>
      <c r="L5570" s="787">
        <v>700</v>
      </c>
      <c r="M5570" s="787">
        <v>10</v>
      </c>
      <c r="N5570" s="787">
        <v>130.77000000000001</v>
      </c>
      <c r="O5570" s="788">
        <v>42116</v>
      </c>
    </row>
    <row r="5571" spans="1:15" x14ac:dyDescent="0.25">
      <c r="A5571" s="786" t="s">
        <v>10166</v>
      </c>
      <c r="B5571" s="787">
        <v>4</v>
      </c>
      <c r="C5571" s="787" t="s">
        <v>10162</v>
      </c>
      <c r="D5571" s="787">
        <v>0</v>
      </c>
      <c r="E5571" s="787">
        <v>0</v>
      </c>
      <c r="H5571" s="787">
        <v>1</v>
      </c>
      <c r="K5571" s="788">
        <v>41481</v>
      </c>
      <c r="L5571" s="787">
        <v>700</v>
      </c>
      <c r="M5571" s="787">
        <v>10</v>
      </c>
      <c r="N5571" s="787">
        <v>130.77000000000001</v>
      </c>
      <c r="O5571" s="788">
        <v>42116</v>
      </c>
    </row>
    <row r="5572" spans="1:15" x14ac:dyDescent="0.25">
      <c r="A5572" s="786" t="s">
        <v>10166</v>
      </c>
      <c r="B5572" s="787">
        <v>4</v>
      </c>
      <c r="C5572" s="787" t="s">
        <v>10162</v>
      </c>
      <c r="D5572" s="787">
        <v>0</v>
      </c>
      <c r="E5572" s="787">
        <v>0</v>
      </c>
      <c r="H5572" s="787">
        <v>1</v>
      </c>
      <c r="K5572" s="788">
        <v>41481</v>
      </c>
      <c r="L5572" s="787">
        <v>700</v>
      </c>
      <c r="M5572" s="787">
        <v>10</v>
      </c>
      <c r="N5572" s="787">
        <v>130.77000000000001</v>
      </c>
      <c r="O5572" s="788">
        <v>42116</v>
      </c>
    </row>
    <row r="5573" spans="1:15" x14ac:dyDescent="0.25">
      <c r="A5573" s="786" t="s">
        <v>10166</v>
      </c>
      <c r="B5573" s="787">
        <v>4</v>
      </c>
      <c r="C5573" s="787" t="s">
        <v>10162</v>
      </c>
      <c r="D5573" s="787">
        <v>0</v>
      </c>
      <c r="E5573" s="787">
        <v>0</v>
      </c>
      <c r="H5573" s="787">
        <v>1</v>
      </c>
      <c r="K5573" s="788">
        <v>41481</v>
      </c>
      <c r="L5573" s="787">
        <v>700</v>
      </c>
      <c r="M5573" s="787">
        <v>10</v>
      </c>
      <c r="N5573" s="787">
        <v>130.77000000000001</v>
      </c>
      <c r="O5573" s="788">
        <v>42116</v>
      </c>
    </row>
    <row r="5574" spans="1:15" x14ac:dyDescent="0.25">
      <c r="A5574" s="786" t="s">
        <v>10166</v>
      </c>
      <c r="B5574" s="787">
        <v>4</v>
      </c>
      <c r="C5574" s="787" t="s">
        <v>10162</v>
      </c>
      <c r="D5574" s="787">
        <v>0</v>
      </c>
      <c r="E5574" s="787">
        <v>0</v>
      </c>
      <c r="H5574" s="787">
        <v>1</v>
      </c>
      <c r="K5574" s="788">
        <v>41481</v>
      </c>
      <c r="L5574" s="787">
        <v>700</v>
      </c>
      <c r="M5574" s="787">
        <v>10</v>
      </c>
      <c r="N5574" s="787">
        <v>130.77000000000001</v>
      </c>
      <c r="O5574" s="788">
        <v>42116</v>
      </c>
    </row>
    <row r="5575" spans="1:15" x14ac:dyDescent="0.25">
      <c r="A5575" s="786" t="s">
        <v>10166</v>
      </c>
      <c r="B5575" s="787">
        <v>4</v>
      </c>
      <c r="C5575" s="787" t="s">
        <v>10162</v>
      </c>
      <c r="D5575" s="787">
        <v>0</v>
      </c>
      <c r="E5575" s="787">
        <v>0</v>
      </c>
      <c r="H5575" s="787">
        <v>1</v>
      </c>
      <c r="K5575" s="788">
        <v>41481</v>
      </c>
      <c r="L5575" s="787">
        <v>700</v>
      </c>
      <c r="M5575" s="787">
        <v>10</v>
      </c>
      <c r="N5575" s="787">
        <v>130.77000000000001</v>
      </c>
      <c r="O5575" s="788">
        <v>42116</v>
      </c>
    </row>
    <row r="5576" spans="1:15" x14ac:dyDescent="0.25">
      <c r="A5576" s="786" t="s">
        <v>10166</v>
      </c>
      <c r="B5576" s="787">
        <v>4</v>
      </c>
      <c r="C5576" s="787" t="s">
        <v>10162</v>
      </c>
      <c r="D5576" s="787">
        <v>0</v>
      </c>
      <c r="E5576" s="787">
        <v>0</v>
      </c>
      <c r="H5576" s="787">
        <v>1</v>
      </c>
      <c r="K5576" s="788">
        <v>41481</v>
      </c>
      <c r="L5576" s="787">
        <v>700</v>
      </c>
      <c r="M5576" s="787">
        <v>10</v>
      </c>
      <c r="N5576" s="787">
        <v>130.77000000000001</v>
      </c>
      <c r="O5576" s="788">
        <v>42116</v>
      </c>
    </row>
    <row r="5577" spans="1:15" x14ac:dyDescent="0.25">
      <c r="A5577" s="786" t="s">
        <v>10166</v>
      </c>
      <c r="B5577" s="787">
        <v>4</v>
      </c>
      <c r="C5577" s="787" t="s">
        <v>10162</v>
      </c>
      <c r="D5577" s="787">
        <v>0</v>
      </c>
      <c r="E5577" s="787">
        <v>0</v>
      </c>
      <c r="H5577" s="787">
        <v>1</v>
      </c>
      <c r="K5577" s="788">
        <v>41481</v>
      </c>
      <c r="L5577" s="787">
        <v>700</v>
      </c>
      <c r="M5577" s="787">
        <v>10</v>
      </c>
      <c r="N5577" s="787">
        <v>130.77000000000001</v>
      </c>
      <c r="O5577" s="788">
        <v>42116</v>
      </c>
    </row>
    <row r="5578" spans="1:15" x14ac:dyDescent="0.25">
      <c r="A5578" s="786" t="s">
        <v>10166</v>
      </c>
      <c r="B5578" s="787">
        <v>4</v>
      </c>
      <c r="C5578" s="787" t="s">
        <v>10162</v>
      </c>
      <c r="D5578" s="787">
        <v>0</v>
      </c>
      <c r="E5578" s="787">
        <v>0</v>
      </c>
      <c r="H5578" s="787">
        <v>1</v>
      </c>
      <c r="K5578" s="788">
        <v>41481</v>
      </c>
      <c r="L5578" s="787">
        <v>700</v>
      </c>
      <c r="M5578" s="787">
        <v>10</v>
      </c>
      <c r="N5578" s="787">
        <v>130.77000000000001</v>
      </c>
      <c r="O5578" s="788">
        <v>42116</v>
      </c>
    </row>
    <row r="5579" spans="1:15" x14ac:dyDescent="0.25">
      <c r="A5579" s="786" t="s">
        <v>10166</v>
      </c>
      <c r="B5579" s="787">
        <v>4</v>
      </c>
      <c r="C5579" s="787" t="s">
        <v>10162</v>
      </c>
      <c r="D5579" s="787">
        <v>0</v>
      </c>
      <c r="E5579" s="787">
        <v>0</v>
      </c>
      <c r="H5579" s="787">
        <v>1</v>
      </c>
      <c r="K5579" s="788">
        <v>41481</v>
      </c>
      <c r="L5579" s="787">
        <v>700</v>
      </c>
      <c r="M5579" s="787">
        <v>10</v>
      </c>
      <c r="N5579" s="787">
        <v>130.77000000000001</v>
      </c>
      <c r="O5579" s="788">
        <v>42116</v>
      </c>
    </row>
    <row r="5580" spans="1:15" x14ac:dyDescent="0.25">
      <c r="A5580" s="786" t="s">
        <v>10166</v>
      </c>
      <c r="B5580" s="787">
        <v>4</v>
      </c>
      <c r="C5580" s="787" t="s">
        <v>10162</v>
      </c>
      <c r="D5580" s="787">
        <v>0</v>
      </c>
      <c r="E5580" s="787">
        <v>0</v>
      </c>
      <c r="H5580" s="787">
        <v>1</v>
      </c>
      <c r="K5580" s="788">
        <v>41481</v>
      </c>
      <c r="L5580" s="787">
        <v>700</v>
      </c>
      <c r="M5580" s="787">
        <v>10</v>
      </c>
      <c r="N5580" s="787">
        <v>130.77000000000001</v>
      </c>
      <c r="O5580" s="788">
        <v>42116</v>
      </c>
    </row>
    <row r="5581" spans="1:15" x14ac:dyDescent="0.25">
      <c r="A5581" s="786" t="s">
        <v>10166</v>
      </c>
      <c r="B5581" s="787">
        <v>4</v>
      </c>
      <c r="C5581" s="787" t="s">
        <v>10162</v>
      </c>
      <c r="D5581" s="787">
        <v>0</v>
      </c>
      <c r="E5581" s="787">
        <v>0</v>
      </c>
      <c r="H5581" s="787">
        <v>1</v>
      </c>
      <c r="K5581" s="788">
        <v>41481</v>
      </c>
      <c r="L5581" s="787">
        <v>700</v>
      </c>
      <c r="M5581" s="787">
        <v>10</v>
      </c>
      <c r="N5581" s="787">
        <v>130.77000000000001</v>
      </c>
      <c r="O5581" s="788">
        <v>42116</v>
      </c>
    </row>
    <row r="5582" spans="1:15" x14ac:dyDescent="0.25">
      <c r="A5582" s="786" t="s">
        <v>10166</v>
      </c>
      <c r="B5582" s="787">
        <v>4</v>
      </c>
      <c r="C5582" s="787" t="s">
        <v>10162</v>
      </c>
      <c r="D5582" s="787">
        <v>0</v>
      </c>
      <c r="E5582" s="787">
        <v>0</v>
      </c>
      <c r="H5582" s="787">
        <v>1</v>
      </c>
      <c r="K5582" s="788">
        <v>41481</v>
      </c>
      <c r="L5582" s="787">
        <v>700</v>
      </c>
      <c r="M5582" s="787">
        <v>10</v>
      </c>
      <c r="N5582" s="787">
        <v>130.77000000000001</v>
      </c>
      <c r="O5582" s="788">
        <v>42116</v>
      </c>
    </row>
    <row r="5583" spans="1:15" x14ac:dyDescent="0.25">
      <c r="A5583" s="786" t="s">
        <v>10166</v>
      </c>
      <c r="B5583" s="787">
        <v>4</v>
      </c>
      <c r="C5583" s="787" t="s">
        <v>10162</v>
      </c>
      <c r="D5583" s="787">
        <v>0</v>
      </c>
      <c r="E5583" s="787">
        <v>0</v>
      </c>
      <c r="H5583" s="787">
        <v>1</v>
      </c>
      <c r="K5583" s="788">
        <v>41481</v>
      </c>
      <c r="L5583" s="787">
        <v>700</v>
      </c>
      <c r="M5583" s="787">
        <v>10</v>
      </c>
      <c r="N5583" s="787">
        <v>130.77000000000001</v>
      </c>
      <c r="O5583" s="788">
        <v>42116</v>
      </c>
    </row>
    <row r="5584" spans="1:15" x14ac:dyDescent="0.25">
      <c r="A5584" s="786" t="s">
        <v>10166</v>
      </c>
      <c r="B5584" s="787">
        <v>4</v>
      </c>
      <c r="C5584" s="787" t="s">
        <v>10162</v>
      </c>
      <c r="D5584" s="787">
        <v>0</v>
      </c>
      <c r="E5584" s="787">
        <v>0</v>
      </c>
      <c r="H5584" s="787">
        <v>1</v>
      </c>
      <c r="K5584" s="788">
        <v>41481</v>
      </c>
      <c r="L5584" s="787">
        <v>700</v>
      </c>
      <c r="M5584" s="787">
        <v>10</v>
      </c>
      <c r="N5584" s="787">
        <v>130.77000000000001</v>
      </c>
      <c r="O5584" s="788">
        <v>42116</v>
      </c>
    </row>
    <row r="5585" spans="1:15" x14ac:dyDescent="0.25">
      <c r="A5585" s="786" t="s">
        <v>10166</v>
      </c>
      <c r="B5585" s="787">
        <v>4</v>
      </c>
      <c r="C5585" s="787" t="s">
        <v>10162</v>
      </c>
      <c r="D5585" s="787">
        <v>0</v>
      </c>
      <c r="E5585" s="787">
        <v>0</v>
      </c>
      <c r="H5585" s="787">
        <v>1</v>
      </c>
      <c r="K5585" s="788">
        <v>41481</v>
      </c>
      <c r="L5585" s="787">
        <v>700</v>
      </c>
      <c r="M5585" s="787">
        <v>10</v>
      </c>
      <c r="N5585" s="787">
        <v>130.77000000000001</v>
      </c>
      <c r="O5585" s="788">
        <v>42116</v>
      </c>
    </row>
    <row r="5586" spans="1:15" x14ac:dyDescent="0.25">
      <c r="A5586" s="786" t="s">
        <v>10166</v>
      </c>
      <c r="B5586" s="787">
        <v>4</v>
      </c>
      <c r="C5586" s="787" t="s">
        <v>10162</v>
      </c>
      <c r="D5586" s="787">
        <v>0</v>
      </c>
      <c r="E5586" s="787">
        <v>0</v>
      </c>
      <c r="H5586" s="787">
        <v>1</v>
      </c>
      <c r="K5586" s="788">
        <v>41481</v>
      </c>
      <c r="L5586" s="787">
        <v>700</v>
      </c>
      <c r="M5586" s="787">
        <v>10</v>
      </c>
      <c r="N5586" s="787">
        <v>130.77000000000001</v>
      </c>
      <c r="O5586" s="788">
        <v>42116</v>
      </c>
    </row>
    <row r="5587" spans="1:15" x14ac:dyDescent="0.25">
      <c r="A5587" s="786" t="s">
        <v>10166</v>
      </c>
      <c r="B5587" s="787">
        <v>4</v>
      </c>
      <c r="C5587" s="787" t="s">
        <v>10162</v>
      </c>
      <c r="D5587" s="787">
        <v>0</v>
      </c>
      <c r="E5587" s="787">
        <v>0</v>
      </c>
      <c r="H5587" s="787">
        <v>1</v>
      </c>
      <c r="K5587" s="788">
        <v>41481</v>
      </c>
      <c r="L5587" s="787">
        <v>700</v>
      </c>
      <c r="M5587" s="787">
        <v>10</v>
      </c>
      <c r="N5587" s="787">
        <v>130.77000000000001</v>
      </c>
      <c r="O5587" s="788">
        <v>42116</v>
      </c>
    </row>
    <row r="5588" spans="1:15" x14ac:dyDescent="0.25">
      <c r="A5588" s="786" t="s">
        <v>10166</v>
      </c>
      <c r="B5588" s="787">
        <v>4</v>
      </c>
      <c r="C5588" s="787" t="s">
        <v>10162</v>
      </c>
      <c r="D5588" s="787">
        <v>0</v>
      </c>
      <c r="E5588" s="787">
        <v>0</v>
      </c>
      <c r="H5588" s="787">
        <v>1</v>
      </c>
      <c r="K5588" s="788">
        <v>41481</v>
      </c>
      <c r="L5588" s="787">
        <v>700</v>
      </c>
      <c r="M5588" s="787">
        <v>10</v>
      </c>
      <c r="N5588" s="787">
        <v>130.77000000000001</v>
      </c>
      <c r="O5588" s="788">
        <v>42116</v>
      </c>
    </row>
    <row r="5589" spans="1:15" x14ac:dyDescent="0.25">
      <c r="A5589" s="786" t="s">
        <v>10166</v>
      </c>
      <c r="B5589" s="787">
        <v>4</v>
      </c>
      <c r="C5589" s="787" t="s">
        <v>10162</v>
      </c>
      <c r="D5589" s="787">
        <v>0</v>
      </c>
      <c r="E5589" s="787">
        <v>0</v>
      </c>
      <c r="H5589" s="787">
        <v>1</v>
      </c>
      <c r="K5589" s="788">
        <v>41481</v>
      </c>
      <c r="L5589" s="787">
        <v>700</v>
      </c>
      <c r="M5589" s="787">
        <v>10</v>
      </c>
      <c r="N5589" s="787">
        <v>130.77000000000001</v>
      </c>
      <c r="O5589" s="788">
        <v>42116</v>
      </c>
    </row>
    <row r="5590" spans="1:15" x14ac:dyDescent="0.25">
      <c r="A5590" s="786" t="s">
        <v>10166</v>
      </c>
      <c r="B5590" s="787">
        <v>4</v>
      </c>
      <c r="C5590" s="787" t="s">
        <v>10162</v>
      </c>
      <c r="D5590" s="787">
        <v>0</v>
      </c>
      <c r="E5590" s="787">
        <v>0</v>
      </c>
      <c r="H5590" s="787">
        <v>1</v>
      </c>
      <c r="K5590" s="788">
        <v>41481</v>
      </c>
      <c r="L5590" s="787">
        <v>700</v>
      </c>
      <c r="M5590" s="787">
        <v>10</v>
      </c>
      <c r="N5590" s="787">
        <v>130.77000000000001</v>
      </c>
      <c r="O5590" s="788">
        <v>42116</v>
      </c>
    </row>
    <row r="5591" spans="1:15" x14ac:dyDescent="0.25">
      <c r="A5591" s="786" t="s">
        <v>10166</v>
      </c>
      <c r="B5591" s="787">
        <v>4</v>
      </c>
      <c r="C5591" s="787" t="s">
        <v>10162</v>
      </c>
      <c r="D5591" s="787">
        <v>0</v>
      </c>
      <c r="E5591" s="787">
        <v>0</v>
      </c>
      <c r="H5591" s="787">
        <v>1</v>
      </c>
      <c r="K5591" s="788">
        <v>41481</v>
      </c>
      <c r="L5591" s="787">
        <v>700</v>
      </c>
      <c r="M5591" s="787">
        <v>10</v>
      </c>
      <c r="N5591" s="787">
        <v>130.77000000000001</v>
      </c>
      <c r="O5591" s="788">
        <v>42116</v>
      </c>
    </row>
    <row r="5592" spans="1:15" x14ac:dyDescent="0.25">
      <c r="A5592" s="786" t="s">
        <v>10166</v>
      </c>
      <c r="B5592" s="787">
        <v>4</v>
      </c>
      <c r="C5592" s="787" t="s">
        <v>10162</v>
      </c>
      <c r="D5592" s="787">
        <v>0</v>
      </c>
      <c r="E5592" s="787">
        <v>0</v>
      </c>
      <c r="H5592" s="787">
        <v>1</v>
      </c>
      <c r="K5592" s="788">
        <v>41481</v>
      </c>
      <c r="L5592" s="787">
        <v>700</v>
      </c>
      <c r="M5592" s="787">
        <v>10</v>
      </c>
      <c r="N5592" s="787">
        <v>130.77000000000001</v>
      </c>
      <c r="O5592" s="788">
        <v>42116</v>
      </c>
    </row>
    <row r="5593" spans="1:15" x14ac:dyDescent="0.25">
      <c r="A5593" s="786" t="s">
        <v>10166</v>
      </c>
      <c r="B5593" s="787">
        <v>4</v>
      </c>
      <c r="C5593" s="787" t="s">
        <v>10162</v>
      </c>
      <c r="D5593" s="787">
        <v>0</v>
      </c>
      <c r="E5593" s="787">
        <v>0</v>
      </c>
      <c r="H5593" s="787">
        <v>1</v>
      </c>
      <c r="K5593" s="788">
        <v>41481</v>
      </c>
      <c r="L5593" s="787">
        <v>700</v>
      </c>
      <c r="M5593" s="787">
        <v>10</v>
      </c>
      <c r="N5593" s="787">
        <v>130.77000000000001</v>
      </c>
      <c r="O5593" s="788">
        <v>42116</v>
      </c>
    </row>
    <row r="5594" spans="1:15" x14ac:dyDescent="0.25">
      <c r="A5594" s="786" t="s">
        <v>10166</v>
      </c>
      <c r="B5594" s="787">
        <v>4</v>
      </c>
      <c r="C5594" s="787" t="s">
        <v>10162</v>
      </c>
      <c r="D5594" s="787">
        <v>0</v>
      </c>
      <c r="E5594" s="787">
        <v>0</v>
      </c>
      <c r="H5594" s="787">
        <v>1</v>
      </c>
      <c r="K5594" s="788">
        <v>41481</v>
      </c>
      <c r="L5594" s="787">
        <v>700</v>
      </c>
      <c r="M5594" s="787">
        <v>10</v>
      </c>
      <c r="N5594" s="787">
        <v>130.77000000000001</v>
      </c>
      <c r="O5594" s="788">
        <v>42116</v>
      </c>
    </row>
    <row r="5595" spans="1:15" x14ac:dyDescent="0.25">
      <c r="A5595" s="786" t="s">
        <v>10166</v>
      </c>
      <c r="B5595" s="787">
        <v>4</v>
      </c>
      <c r="C5595" s="787" t="s">
        <v>10162</v>
      </c>
      <c r="D5595" s="787">
        <v>0</v>
      </c>
      <c r="E5595" s="787">
        <v>0</v>
      </c>
      <c r="H5595" s="787">
        <v>1</v>
      </c>
      <c r="K5595" s="788">
        <v>41481</v>
      </c>
      <c r="L5595" s="787">
        <v>700</v>
      </c>
      <c r="M5595" s="787">
        <v>10</v>
      </c>
      <c r="N5595" s="787">
        <v>130.77000000000001</v>
      </c>
      <c r="O5595" s="788">
        <v>42116</v>
      </c>
    </row>
    <row r="5596" spans="1:15" x14ac:dyDescent="0.25">
      <c r="A5596" s="786" t="s">
        <v>10166</v>
      </c>
      <c r="B5596" s="787">
        <v>4</v>
      </c>
      <c r="C5596" s="787" t="s">
        <v>10162</v>
      </c>
      <c r="D5596" s="787">
        <v>0</v>
      </c>
      <c r="E5596" s="787">
        <v>0</v>
      </c>
      <c r="H5596" s="787">
        <v>1</v>
      </c>
      <c r="K5596" s="788">
        <v>41481</v>
      </c>
      <c r="L5596" s="787">
        <v>700</v>
      </c>
      <c r="M5596" s="787">
        <v>10</v>
      </c>
      <c r="N5596" s="787">
        <v>130.77000000000001</v>
      </c>
      <c r="O5596" s="788">
        <v>42116</v>
      </c>
    </row>
    <row r="5597" spans="1:15" x14ac:dyDescent="0.25">
      <c r="A5597" s="786" t="s">
        <v>10166</v>
      </c>
      <c r="B5597" s="787">
        <v>4</v>
      </c>
      <c r="C5597" s="787" t="s">
        <v>10162</v>
      </c>
      <c r="D5597" s="787">
        <v>0</v>
      </c>
      <c r="E5597" s="787">
        <v>0</v>
      </c>
      <c r="H5597" s="787">
        <v>1</v>
      </c>
      <c r="K5597" s="788">
        <v>41481</v>
      </c>
      <c r="L5597" s="787">
        <v>700</v>
      </c>
      <c r="M5597" s="787">
        <v>10</v>
      </c>
      <c r="N5597" s="787">
        <v>130.77000000000001</v>
      </c>
      <c r="O5597" s="788">
        <v>42116</v>
      </c>
    </row>
    <row r="5598" spans="1:15" x14ac:dyDescent="0.25">
      <c r="A5598" s="786" t="s">
        <v>10166</v>
      </c>
      <c r="B5598" s="787">
        <v>4</v>
      </c>
      <c r="C5598" s="787" t="s">
        <v>10162</v>
      </c>
      <c r="D5598" s="787">
        <v>0</v>
      </c>
      <c r="E5598" s="787">
        <v>0</v>
      </c>
      <c r="H5598" s="787">
        <v>1</v>
      </c>
      <c r="K5598" s="788">
        <v>41481</v>
      </c>
      <c r="L5598" s="787">
        <v>700</v>
      </c>
      <c r="M5598" s="787">
        <v>10</v>
      </c>
      <c r="N5598" s="787">
        <v>130.77000000000001</v>
      </c>
      <c r="O5598" s="788">
        <v>42116</v>
      </c>
    </row>
    <row r="5599" spans="1:15" x14ac:dyDescent="0.25">
      <c r="A5599" s="786" t="s">
        <v>10166</v>
      </c>
      <c r="B5599" s="787">
        <v>4</v>
      </c>
      <c r="C5599" s="787" t="s">
        <v>10162</v>
      </c>
      <c r="D5599" s="787">
        <v>0</v>
      </c>
      <c r="E5599" s="787">
        <v>0</v>
      </c>
      <c r="H5599" s="787">
        <v>1</v>
      </c>
      <c r="K5599" s="788">
        <v>41481</v>
      </c>
      <c r="L5599" s="787">
        <v>700</v>
      </c>
      <c r="M5599" s="787">
        <v>10</v>
      </c>
      <c r="N5599" s="787">
        <v>130.77000000000001</v>
      </c>
      <c r="O5599" s="788">
        <v>42116</v>
      </c>
    </row>
    <row r="5600" spans="1:15" x14ac:dyDescent="0.25">
      <c r="A5600" s="786" t="s">
        <v>10166</v>
      </c>
      <c r="B5600" s="787">
        <v>4</v>
      </c>
      <c r="C5600" s="787" t="s">
        <v>10162</v>
      </c>
      <c r="D5600" s="787">
        <v>0</v>
      </c>
      <c r="E5600" s="787">
        <v>0</v>
      </c>
      <c r="H5600" s="787">
        <v>1</v>
      </c>
      <c r="K5600" s="788">
        <v>41481</v>
      </c>
      <c r="L5600" s="787">
        <v>700</v>
      </c>
      <c r="M5600" s="787">
        <v>10</v>
      </c>
      <c r="N5600" s="787">
        <v>130.77000000000001</v>
      </c>
      <c r="O5600" s="788">
        <v>42116</v>
      </c>
    </row>
    <row r="5601" spans="1:15" x14ac:dyDescent="0.25">
      <c r="A5601" s="786" t="s">
        <v>10166</v>
      </c>
      <c r="B5601" s="787">
        <v>4</v>
      </c>
      <c r="C5601" s="787" t="s">
        <v>10162</v>
      </c>
      <c r="D5601" s="787">
        <v>0</v>
      </c>
      <c r="E5601" s="787">
        <v>0</v>
      </c>
      <c r="H5601" s="787">
        <v>1</v>
      </c>
      <c r="K5601" s="788">
        <v>41481</v>
      </c>
      <c r="L5601" s="787">
        <v>700</v>
      </c>
      <c r="M5601" s="787">
        <v>10</v>
      </c>
      <c r="N5601" s="787">
        <v>130.77000000000001</v>
      </c>
      <c r="O5601" s="788">
        <v>42116</v>
      </c>
    </row>
    <row r="5602" spans="1:15" x14ac:dyDescent="0.25">
      <c r="A5602" s="786" t="s">
        <v>10166</v>
      </c>
      <c r="B5602" s="787">
        <v>4</v>
      </c>
      <c r="C5602" s="787" t="s">
        <v>10162</v>
      </c>
      <c r="D5602" s="787">
        <v>0</v>
      </c>
      <c r="E5602" s="787">
        <v>0</v>
      </c>
      <c r="H5602" s="787">
        <v>1</v>
      </c>
      <c r="K5602" s="788">
        <v>41481</v>
      </c>
      <c r="L5602" s="787">
        <v>700</v>
      </c>
      <c r="M5602" s="787">
        <v>10</v>
      </c>
      <c r="N5602" s="787">
        <v>130.77000000000001</v>
      </c>
      <c r="O5602" s="788">
        <v>42116</v>
      </c>
    </row>
    <row r="5603" spans="1:15" x14ac:dyDescent="0.25">
      <c r="A5603" s="786" t="s">
        <v>10166</v>
      </c>
      <c r="B5603" s="787">
        <v>4</v>
      </c>
      <c r="C5603" s="787" t="s">
        <v>10162</v>
      </c>
      <c r="D5603" s="787">
        <v>0</v>
      </c>
      <c r="E5603" s="787">
        <v>0</v>
      </c>
      <c r="H5603" s="787">
        <v>1</v>
      </c>
      <c r="K5603" s="788">
        <v>41481</v>
      </c>
      <c r="L5603" s="787">
        <v>700</v>
      </c>
      <c r="M5603" s="787">
        <v>10</v>
      </c>
      <c r="N5603" s="787">
        <v>130.77000000000001</v>
      </c>
      <c r="O5603" s="788">
        <v>42116</v>
      </c>
    </row>
    <row r="5604" spans="1:15" x14ac:dyDescent="0.25">
      <c r="A5604" s="786" t="s">
        <v>10166</v>
      </c>
      <c r="B5604" s="787">
        <v>4</v>
      </c>
      <c r="C5604" s="787" t="s">
        <v>10162</v>
      </c>
      <c r="D5604" s="787">
        <v>0</v>
      </c>
      <c r="E5604" s="787">
        <v>0</v>
      </c>
      <c r="H5604" s="787">
        <v>1</v>
      </c>
      <c r="K5604" s="788">
        <v>41481</v>
      </c>
      <c r="L5604" s="787">
        <v>700</v>
      </c>
      <c r="M5604" s="787">
        <v>10</v>
      </c>
      <c r="N5604" s="787">
        <v>130.77000000000001</v>
      </c>
      <c r="O5604" s="788">
        <v>42116</v>
      </c>
    </row>
    <row r="5605" spans="1:15" x14ac:dyDescent="0.25">
      <c r="A5605" s="786" t="s">
        <v>10166</v>
      </c>
      <c r="B5605" s="787">
        <v>4</v>
      </c>
      <c r="C5605" s="787" t="s">
        <v>10162</v>
      </c>
      <c r="D5605" s="787">
        <v>0</v>
      </c>
      <c r="E5605" s="787">
        <v>0</v>
      </c>
      <c r="H5605" s="787">
        <v>1</v>
      </c>
      <c r="K5605" s="788">
        <v>41481</v>
      </c>
      <c r="L5605" s="787">
        <v>700</v>
      </c>
      <c r="M5605" s="787">
        <v>10</v>
      </c>
      <c r="N5605" s="787">
        <v>130.77000000000001</v>
      </c>
      <c r="O5605" s="788">
        <v>42116</v>
      </c>
    </row>
    <row r="5606" spans="1:15" x14ac:dyDescent="0.25">
      <c r="A5606" s="786" t="s">
        <v>10166</v>
      </c>
      <c r="B5606" s="787">
        <v>4</v>
      </c>
      <c r="C5606" s="787" t="s">
        <v>10162</v>
      </c>
      <c r="D5606" s="787">
        <v>0</v>
      </c>
      <c r="E5606" s="787">
        <v>0</v>
      </c>
      <c r="H5606" s="787">
        <v>1</v>
      </c>
      <c r="K5606" s="788">
        <v>41481</v>
      </c>
      <c r="L5606" s="787">
        <v>700</v>
      </c>
      <c r="M5606" s="787">
        <v>10</v>
      </c>
      <c r="N5606" s="787">
        <v>130.77000000000001</v>
      </c>
      <c r="O5606" s="788">
        <v>42116</v>
      </c>
    </row>
    <row r="5607" spans="1:15" x14ac:dyDescent="0.25">
      <c r="A5607" s="786" t="s">
        <v>10166</v>
      </c>
      <c r="B5607" s="787">
        <v>4</v>
      </c>
      <c r="C5607" s="787" t="s">
        <v>10162</v>
      </c>
      <c r="D5607" s="787">
        <v>0</v>
      </c>
      <c r="E5607" s="787">
        <v>0</v>
      </c>
      <c r="H5607" s="787">
        <v>1</v>
      </c>
      <c r="K5607" s="788">
        <v>41481</v>
      </c>
      <c r="L5607" s="787">
        <v>700</v>
      </c>
      <c r="M5607" s="787">
        <v>10</v>
      </c>
      <c r="N5607" s="787">
        <v>130.77000000000001</v>
      </c>
      <c r="O5607" s="788">
        <v>42116</v>
      </c>
    </row>
    <row r="5608" spans="1:15" x14ac:dyDescent="0.25">
      <c r="A5608" s="786" t="s">
        <v>10166</v>
      </c>
      <c r="B5608" s="787">
        <v>4</v>
      </c>
      <c r="C5608" s="787" t="s">
        <v>10162</v>
      </c>
      <c r="D5608" s="787">
        <v>0</v>
      </c>
      <c r="E5608" s="787">
        <v>0</v>
      </c>
      <c r="H5608" s="787">
        <v>1</v>
      </c>
      <c r="K5608" s="788">
        <v>41481</v>
      </c>
      <c r="L5608" s="787">
        <v>700</v>
      </c>
      <c r="M5608" s="787">
        <v>10</v>
      </c>
      <c r="N5608" s="787">
        <v>130.77000000000001</v>
      </c>
      <c r="O5608" s="788">
        <v>42116</v>
      </c>
    </row>
    <row r="5609" spans="1:15" x14ac:dyDescent="0.25">
      <c r="A5609" s="786" t="s">
        <v>10166</v>
      </c>
      <c r="B5609" s="787">
        <v>4</v>
      </c>
      <c r="C5609" s="787" t="s">
        <v>10162</v>
      </c>
      <c r="D5609" s="787">
        <v>0</v>
      </c>
      <c r="E5609" s="787">
        <v>0</v>
      </c>
      <c r="H5609" s="787">
        <v>1</v>
      </c>
      <c r="K5609" s="788">
        <v>41481</v>
      </c>
      <c r="L5609" s="787">
        <v>700</v>
      </c>
      <c r="M5609" s="787">
        <v>10</v>
      </c>
      <c r="N5609" s="787">
        <v>130.77000000000001</v>
      </c>
      <c r="O5609" s="788">
        <v>42116</v>
      </c>
    </row>
    <row r="5610" spans="1:15" x14ac:dyDescent="0.25">
      <c r="A5610" s="786" t="s">
        <v>10166</v>
      </c>
      <c r="B5610" s="787">
        <v>4</v>
      </c>
      <c r="C5610" s="787" t="s">
        <v>10162</v>
      </c>
      <c r="D5610" s="787">
        <v>0</v>
      </c>
      <c r="E5610" s="787">
        <v>0</v>
      </c>
      <c r="H5610" s="787">
        <v>1</v>
      </c>
      <c r="K5610" s="788">
        <v>41481</v>
      </c>
      <c r="L5610" s="787">
        <v>700</v>
      </c>
      <c r="M5610" s="787">
        <v>10</v>
      </c>
      <c r="N5610" s="787">
        <v>130.77000000000001</v>
      </c>
      <c r="O5610" s="788">
        <v>42116</v>
      </c>
    </row>
    <row r="5611" spans="1:15" x14ac:dyDescent="0.25">
      <c r="A5611" s="786" t="s">
        <v>10166</v>
      </c>
      <c r="B5611" s="787">
        <v>4</v>
      </c>
      <c r="C5611" s="787" t="s">
        <v>10162</v>
      </c>
      <c r="D5611" s="787">
        <v>0</v>
      </c>
      <c r="E5611" s="787">
        <v>0</v>
      </c>
      <c r="H5611" s="787">
        <v>1</v>
      </c>
      <c r="K5611" s="788">
        <v>41481</v>
      </c>
      <c r="L5611" s="787">
        <v>700</v>
      </c>
      <c r="M5611" s="787">
        <v>10</v>
      </c>
      <c r="N5611" s="787">
        <v>130.77000000000001</v>
      </c>
      <c r="O5611" s="788">
        <v>42116</v>
      </c>
    </row>
    <row r="5612" spans="1:15" x14ac:dyDescent="0.25">
      <c r="A5612" s="786" t="s">
        <v>10166</v>
      </c>
      <c r="B5612" s="787">
        <v>4</v>
      </c>
      <c r="C5612" s="787" t="s">
        <v>10162</v>
      </c>
      <c r="D5612" s="787">
        <v>0</v>
      </c>
      <c r="E5612" s="787">
        <v>0</v>
      </c>
      <c r="H5612" s="787">
        <v>1</v>
      </c>
      <c r="K5612" s="788">
        <v>41481</v>
      </c>
      <c r="L5612" s="787">
        <v>700</v>
      </c>
      <c r="M5612" s="787">
        <v>10</v>
      </c>
      <c r="N5612" s="787">
        <v>130.77000000000001</v>
      </c>
      <c r="O5612" s="788">
        <v>42116</v>
      </c>
    </row>
    <row r="5613" spans="1:15" x14ac:dyDescent="0.25">
      <c r="A5613" s="786" t="s">
        <v>10166</v>
      </c>
      <c r="B5613" s="787">
        <v>4</v>
      </c>
      <c r="C5613" s="787" t="s">
        <v>10162</v>
      </c>
      <c r="D5613" s="787">
        <v>0</v>
      </c>
      <c r="E5613" s="787">
        <v>0</v>
      </c>
      <c r="H5613" s="787">
        <v>1</v>
      </c>
      <c r="K5613" s="788">
        <v>41481</v>
      </c>
      <c r="L5613" s="787">
        <v>700</v>
      </c>
      <c r="M5613" s="787">
        <v>10</v>
      </c>
      <c r="N5613" s="787">
        <v>130.77000000000001</v>
      </c>
      <c r="O5613" s="788">
        <v>42116</v>
      </c>
    </row>
    <row r="5614" spans="1:15" x14ac:dyDescent="0.25">
      <c r="A5614" s="786" t="s">
        <v>10166</v>
      </c>
      <c r="B5614" s="787">
        <v>4</v>
      </c>
      <c r="C5614" s="787" t="s">
        <v>10162</v>
      </c>
      <c r="D5614" s="787">
        <v>0</v>
      </c>
      <c r="E5614" s="787">
        <v>0</v>
      </c>
      <c r="H5614" s="787">
        <v>1</v>
      </c>
      <c r="K5614" s="788">
        <v>41481</v>
      </c>
      <c r="L5614" s="787">
        <v>700</v>
      </c>
      <c r="M5614" s="787">
        <v>10</v>
      </c>
      <c r="N5614" s="787">
        <v>130.77000000000001</v>
      </c>
      <c r="O5614" s="788">
        <v>42116</v>
      </c>
    </row>
    <row r="5615" spans="1:15" x14ac:dyDescent="0.25">
      <c r="A5615" s="786" t="s">
        <v>10166</v>
      </c>
      <c r="B5615" s="787">
        <v>4</v>
      </c>
      <c r="C5615" s="787" t="s">
        <v>10162</v>
      </c>
      <c r="D5615" s="787">
        <v>0</v>
      </c>
      <c r="E5615" s="787">
        <v>0</v>
      </c>
      <c r="H5615" s="787">
        <v>1</v>
      </c>
      <c r="K5615" s="788">
        <v>41481</v>
      </c>
      <c r="L5615" s="787">
        <v>700</v>
      </c>
      <c r="M5615" s="787">
        <v>10</v>
      </c>
      <c r="N5615" s="787">
        <v>130.77000000000001</v>
      </c>
      <c r="O5615" s="788">
        <v>42116</v>
      </c>
    </row>
    <row r="5616" spans="1:15" x14ac:dyDescent="0.25">
      <c r="A5616" s="786" t="s">
        <v>10166</v>
      </c>
      <c r="B5616" s="787">
        <v>4</v>
      </c>
      <c r="C5616" s="787" t="s">
        <v>10162</v>
      </c>
      <c r="D5616" s="787">
        <v>0</v>
      </c>
      <c r="E5616" s="787">
        <v>0</v>
      </c>
      <c r="H5616" s="787">
        <v>1</v>
      </c>
      <c r="K5616" s="788">
        <v>41481</v>
      </c>
      <c r="L5616" s="787">
        <v>700</v>
      </c>
      <c r="M5616" s="787">
        <v>10</v>
      </c>
      <c r="N5616" s="787">
        <v>130.77000000000001</v>
      </c>
      <c r="O5616" s="788">
        <v>42116</v>
      </c>
    </row>
    <row r="5617" spans="1:15" x14ac:dyDescent="0.25">
      <c r="A5617" s="786" t="s">
        <v>10166</v>
      </c>
      <c r="B5617" s="787">
        <v>4</v>
      </c>
      <c r="C5617" s="787" t="s">
        <v>10162</v>
      </c>
      <c r="D5617" s="787">
        <v>0</v>
      </c>
      <c r="E5617" s="787">
        <v>0</v>
      </c>
      <c r="H5617" s="787">
        <v>1</v>
      </c>
      <c r="K5617" s="788">
        <v>41481</v>
      </c>
      <c r="L5617" s="787">
        <v>700</v>
      </c>
      <c r="M5617" s="787">
        <v>10</v>
      </c>
      <c r="N5617" s="787">
        <v>130.77000000000001</v>
      </c>
      <c r="O5617" s="788">
        <v>42116</v>
      </c>
    </row>
    <row r="5618" spans="1:15" x14ac:dyDescent="0.25">
      <c r="A5618" s="786" t="s">
        <v>10166</v>
      </c>
      <c r="B5618" s="787">
        <v>4</v>
      </c>
      <c r="C5618" s="787" t="s">
        <v>10162</v>
      </c>
      <c r="D5618" s="787">
        <v>0</v>
      </c>
      <c r="E5618" s="787">
        <v>0</v>
      </c>
      <c r="H5618" s="787">
        <v>1</v>
      </c>
      <c r="K5618" s="788">
        <v>41481</v>
      </c>
      <c r="L5618" s="787">
        <v>700</v>
      </c>
      <c r="M5618" s="787">
        <v>10</v>
      </c>
      <c r="N5618" s="787">
        <v>130.77000000000001</v>
      </c>
      <c r="O5618" s="788">
        <v>42116</v>
      </c>
    </row>
    <row r="5619" spans="1:15" x14ac:dyDescent="0.25">
      <c r="A5619" s="786" t="s">
        <v>10166</v>
      </c>
      <c r="B5619" s="787">
        <v>4</v>
      </c>
      <c r="C5619" s="787" t="s">
        <v>10162</v>
      </c>
      <c r="D5619" s="787">
        <v>0</v>
      </c>
      <c r="E5619" s="787">
        <v>0</v>
      </c>
      <c r="H5619" s="787">
        <v>1</v>
      </c>
      <c r="K5619" s="788">
        <v>41481</v>
      </c>
      <c r="L5619" s="787">
        <v>700</v>
      </c>
      <c r="M5619" s="787">
        <v>10</v>
      </c>
      <c r="N5619" s="787">
        <v>130.77000000000001</v>
      </c>
      <c r="O5619" s="788">
        <v>42116</v>
      </c>
    </row>
    <row r="5620" spans="1:15" x14ac:dyDescent="0.25">
      <c r="A5620" s="786" t="s">
        <v>10166</v>
      </c>
      <c r="B5620" s="787">
        <v>4</v>
      </c>
      <c r="C5620" s="787" t="s">
        <v>10162</v>
      </c>
      <c r="D5620" s="787">
        <v>0</v>
      </c>
      <c r="E5620" s="787">
        <v>0</v>
      </c>
      <c r="H5620" s="787">
        <v>1</v>
      </c>
      <c r="K5620" s="788">
        <v>41481</v>
      </c>
      <c r="L5620" s="787">
        <v>700</v>
      </c>
      <c r="M5620" s="787">
        <v>10</v>
      </c>
      <c r="N5620" s="787">
        <v>130.77000000000001</v>
      </c>
      <c r="O5620" s="788">
        <v>42116</v>
      </c>
    </row>
    <row r="5621" spans="1:15" x14ac:dyDescent="0.25">
      <c r="A5621" s="786" t="s">
        <v>10166</v>
      </c>
      <c r="B5621" s="787">
        <v>4</v>
      </c>
      <c r="C5621" s="787" t="s">
        <v>10162</v>
      </c>
      <c r="D5621" s="787">
        <v>0</v>
      </c>
      <c r="E5621" s="787">
        <v>0</v>
      </c>
      <c r="H5621" s="787">
        <v>1</v>
      </c>
      <c r="K5621" s="788">
        <v>41481</v>
      </c>
      <c r="L5621" s="787">
        <v>700</v>
      </c>
      <c r="M5621" s="787">
        <v>10</v>
      </c>
      <c r="N5621" s="787">
        <v>130.77000000000001</v>
      </c>
      <c r="O5621" s="788">
        <v>42116</v>
      </c>
    </row>
    <row r="5622" spans="1:15" x14ac:dyDescent="0.25">
      <c r="A5622" s="786" t="s">
        <v>10166</v>
      </c>
      <c r="B5622" s="787">
        <v>4</v>
      </c>
      <c r="C5622" s="787" t="s">
        <v>10162</v>
      </c>
      <c r="D5622" s="787">
        <v>0</v>
      </c>
      <c r="E5622" s="787">
        <v>0</v>
      </c>
      <c r="H5622" s="787">
        <v>1</v>
      </c>
      <c r="K5622" s="788">
        <v>41481</v>
      </c>
      <c r="L5622" s="787">
        <v>700</v>
      </c>
      <c r="M5622" s="787">
        <v>10</v>
      </c>
      <c r="N5622" s="787">
        <v>130.77000000000001</v>
      </c>
      <c r="O5622" s="788">
        <v>42116</v>
      </c>
    </row>
    <row r="5623" spans="1:15" x14ac:dyDescent="0.25">
      <c r="A5623" s="786" t="s">
        <v>10166</v>
      </c>
      <c r="B5623" s="787">
        <v>4</v>
      </c>
      <c r="C5623" s="787" t="s">
        <v>10162</v>
      </c>
      <c r="D5623" s="787">
        <v>0</v>
      </c>
      <c r="E5623" s="787">
        <v>0</v>
      </c>
      <c r="H5623" s="787">
        <v>1</v>
      </c>
      <c r="K5623" s="788">
        <v>41481</v>
      </c>
      <c r="L5623" s="787">
        <v>700</v>
      </c>
      <c r="M5623" s="787">
        <v>10</v>
      </c>
      <c r="N5623" s="787">
        <v>130.77000000000001</v>
      </c>
      <c r="O5623" s="788">
        <v>42116</v>
      </c>
    </row>
    <row r="5624" spans="1:15" x14ac:dyDescent="0.25">
      <c r="A5624" s="786" t="s">
        <v>10166</v>
      </c>
      <c r="B5624" s="787">
        <v>4</v>
      </c>
      <c r="C5624" s="787" t="s">
        <v>10162</v>
      </c>
      <c r="D5624" s="787">
        <v>0</v>
      </c>
      <c r="E5624" s="787">
        <v>0</v>
      </c>
      <c r="H5624" s="787">
        <v>1</v>
      </c>
      <c r="K5624" s="788">
        <v>41481</v>
      </c>
      <c r="L5624" s="787">
        <v>700</v>
      </c>
      <c r="M5624" s="787">
        <v>10</v>
      </c>
      <c r="N5624" s="787">
        <v>130.77000000000001</v>
      </c>
      <c r="O5624" s="788">
        <v>42116</v>
      </c>
    </row>
    <row r="5625" spans="1:15" x14ac:dyDescent="0.25">
      <c r="A5625" s="786" t="s">
        <v>10166</v>
      </c>
      <c r="B5625" s="787">
        <v>4</v>
      </c>
      <c r="C5625" s="787" t="s">
        <v>10162</v>
      </c>
      <c r="D5625" s="787">
        <v>0</v>
      </c>
      <c r="E5625" s="787">
        <v>0</v>
      </c>
      <c r="H5625" s="787">
        <v>1</v>
      </c>
      <c r="K5625" s="788">
        <v>41481</v>
      </c>
      <c r="L5625" s="787">
        <v>700</v>
      </c>
      <c r="M5625" s="787">
        <v>10</v>
      </c>
      <c r="N5625" s="787">
        <v>130.77000000000001</v>
      </c>
      <c r="O5625" s="788">
        <v>42116</v>
      </c>
    </row>
    <row r="5626" spans="1:15" x14ac:dyDescent="0.25">
      <c r="A5626" s="786" t="s">
        <v>10166</v>
      </c>
      <c r="B5626" s="787">
        <v>4</v>
      </c>
      <c r="C5626" s="787" t="s">
        <v>10162</v>
      </c>
      <c r="D5626" s="787">
        <v>0</v>
      </c>
      <c r="E5626" s="787">
        <v>0</v>
      </c>
      <c r="H5626" s="787">
        <v>1</v>
      </c>
      <c r="K5626" s="788">
        <v>41481</v>
      </c>
      <c r="L5626" s="787">
        <v>700</v>
      </c>
      <c r="M5626" s="787">
        <v>10</v>
      </c>
      <c r="N5626" s="787">
        <v>130.77000000000001</v>
      </c>
      <c r="O5626" s="788">
        <v>42116</v>
      </c>
    </row>
    <row r="5627" spans="1:15" x14ac:dyDescent="0.25">
      <c r="A5627" s="786" t="s">
        <v>10166</v>
      </c>
      <c r="B5627" s="787">
        <v>4</v>
      </c>
      <c r="C5627" s="787" t="s">
        <v>10162</v>
      </c>
      <c r="D5627" s="787">
        <v>0</v>
      </c>
      <c r="E5627" s="787">
        <v>0</v>
      </c>
      <c r="H5627" s="787">
        <v>1</v>
      </c>
      <c r="K5627" s="788">
        <v>41481</v>
      </c>
      <c r="L5627" s="787">
        <v>700</v>
      </c>
      <c r="M5627" s="787">
        <v>10</v>
      </c>
      <c r="N5627" s="787">
        <v>130.77000000000001</v>
      </c>
      <c r="O5627" s="788">
        <v>42116</v>
      </c>
    </row>
    <row r="5628" spans="1:15" x14ac:dyDescent="0.25">
      <c r="A5628" s="786" t="s">
        <v>10166</v>
      </c>
      <c r="B5628" s="787">
        <v>4</v>
      </c>
      <c r="C5628" s="787" t="s">
        <v>10162</v>
      </c>
      <c r="D5628" s="787">
        <v>0</v>
      </c>
      <c r="E5628" s="787">
        <v>0</v>
      </c>
      <c r="H5628" s="787">
        <v>1</v>
      </c>
      <c r="K5628" s="788">
        <v>41481</v>
      </c>
      <c r="L5628" s="787">
        <v>700</v>
      </c>
      <c r="M5628" s="787">
        <v>10</v>
      </c>
      <c r="N5628" s="787">
        <v>130.77000000000001</v>
      </c>
      <c r="O5628" s="788">
        <v>42116</v>
      </c>
    </row>
    <row r="5629" spans="1:15" x14ac:dyDescent="0.25">
      <c r="A5629" s="786" t="s">
        <v>10166</v>
      </c>
      <c r="B5629" s="787">
        <v>4</v>
      </c>
      <c r="C5629" s="787" t="s">
        <v>10162</v>
      </c>
      <c r="D5629" s="787">
        <v>0</v>
      </c>
      <c r="E5629" s="787">
        <v>0</v>
      </c>
      <c r="H5629" s="787">
        <v>1</v>
      </c>
      <c r="K5629" s="788">
        <v>41481</v>
      </c>
      <c r="L5629" s="787">
        <v>700</v>
      </c>
      <c r="M5629" s="787">
        <v>10</v>
      </c>
      <c r="N5629" s="787">
        <v>130.77000000000001</v>
      </c>
      <c r="O5629" s="788">
        <v>42116</v>
      </c>
    </row>
    <row r="5630" spans="1:15" x14ac:dyDescent="0.25">
      <c r="A5630" s="786" t="s">
        <v>10166</v>
      </c>
      <c r="B5630" s="787">
        <v>4</v>
      </c>
      <c r="C5630" s="787" t="s">
        <v>10162</v>
      </c>
      <c r="D5630" s="787">
        <v>0</v>
      </c>
      <c r="E5630" s="787">
        <v>0</v>
      </c>
      <c r="H5630" s="787">
        <v>1</v>
      </c>
      <c r="K5630" s="788">
        <v>41481</v>
      </c>
      <c r="L5630" s="787">
        <v>700</v>
      </c>
      <c r="M5630" s="787">
        <v>10</v>
      </c>
      <c r="N5630" s="787">
        <v>130.77000000000001</v>
      </c>
      <c r="O5630" s="788">
        <v>42116</v>
      </c>
    </row>
    <row r="5631" spans="1:15" x14ac:dyDescent="0.25">
      <c r="A5631" s="786" t="s">
        <v>10166</v>
      </c>
      <c r="B5631" s="787">
        <v>4</v>
      </c>
      <c r="C5631" s="787" t="s">
        <v>10162</v>
      </c>
      <c r="D5631" s="787">
        <v>0</v>
      </c>
      <c r="E5631" s="787">
        <v>0</v>
      </c>
      <c r="H5631" s="787">
        <v>1</v>
      </c>
      <c r="K5631" s="788">
        <v>41481</v>
      </c>
      <c r="L5631" s="787">
        <v>700</v>
      </c>
      <c r="M5631" s="787">
        <v>10</v>
      </c>
      <c r="N5631" s="787">
        <v>130.77000000000001</v>
      </c>
      <c r="O5631" s="788">
        <v>42116</v>
      </c>
    </row>
    <row r="5632" spans="1:15" x14ac:dyDescent="0.25">
      <c r="A5632" s="786" t="s">
        <v>10166</v>
      </c>
      <c r="B5632" s="787">
        <v>4</v>
      </c>
      <c r="C5632" s="787" t="s">
        <v>10162</v>
      </c>
      <c r="D5632" s="787">
        <v>0</v>
      </c>
      <c r="E5632" s="787">
        <v>0</v>
      </c>
      <c r="H5632" s="787">
        <v>1</v>
      </c>
      <c r="K5632" s="788">
        <v>41481</v>
      </c>
      <c r="L5632" s="787">
        <v>700</v>
      </c>
      <c r="M5632" s="787">
        <v>10</v>
      </c>
      <c r="N5632" s="787">
        <v>130.77000000000001</v>
      </c>
      <c r="O5632" s="788">
        <v>42116</v>
      </c>
    </row>
    <row r="5633" spans="1:15" x14ac:dyDescent="0.25">
      <c r="A5633" s="786" t="s">
        <v>10166</v>
      </c>
      <c r="B5633" s="787">
        <v>4</v>
      </c>
      <c r="C5633" s="787" t="s">
        <v>10162</v>
      </c>
      <c r="D5633" s="787">
        <v>0</v>
      </c>
      <c r="E5633" s="787">
        <v>0</v>
      </c>
      <c r="H5633" s="787">
        <v>1</v>
      </c>
      <c r="K5633" s="788">
        <v>41481</v>
      </c>
      <c r="L5633" s="787">
        <v>700</v>
      </c>
      <c r="M5633" s="787">
        <v>10</v>
      </c>
      <c r="N5633" s="787">
        <v>130.77000000000001</v>
      </c>
      <c r="O5633" s="788">
        <v>42116</v>
      </c>
    </row>
    <row r="5634" spans="1:15" x14ac:dyDescent="0.25">
      <c r="A5634" s="786" t="s">
        <v>10166</v>
      </c>
      <c r="B5634" s="787">
        <v>4</v>
      </c>
      <c r="C5634" s="787" t="s">
        <v>10162</v>
      </c>
      <c r="D5634" s="787">
        <v>0</v>
      </c>
      <c r="E5634" s="787">
        <v>0</v>
      </c>
      <c r="H5634" s="787">
        <v>1</v>
      </c>
      <c r="K5634" s="788">
        <v>41481</v>
      </c>
      <c r="L5634" s="787">
        <v>700</v>
      </c>
      <c r="M5634" s="787">
        <v>10</v>
      </c>
      <c r="N5634" s="787">
        <v>130.77000000000001</v>
      </c>
      <c r="O5634" s="788">
        <v>42116</v>
      </c>
    </row>
    <row r="5635" spans="1:15" x14ac:dyDescent="0.25">
      <c r="A5635" s="786" t="s">
        <v>10166</v>
      </c>
      <c r="B5635" s="787">
        <v>4</v>
      </c>
      <c r="C5635" s="787" t="s">
        <v>10162</v>
      </c>
      <c r="D5635" s="787">
        <v>0</v>
      </c>
      <c r="E5635" s="787">
        <v>0</v>
      </c>
      <c r="H5635" s="787">
        <v>1</v>
      </c>
      <c r="K5635" s="788">
        <v>41481</v>
      </c>
      <c r="L5635" s="787">
        <v>700</v>
      </c>
      <c r="M5635" s="787">
        <v>10</v>
      </c>
      <c r="N5635" s="787">
        <v>130.77000000000001</v>
      </c>
      <c r="O5635" s="788">
        <v>42116</v>
      </c>
    </row>
    <row r="5636" spans="1:15" x14ac:dyDescent="0.25">
      <c r="A5636" s="786" t="s">
        <v>10166</v>
      </c>
      <c r="B5636" s="787">
        <v>4</v>
      </c>
      <c r="C5636" s="787" t="s">
        <v>10162</v>
      </c>
      <c r="D5636" s="787">
        <v>0</v>
      </c>
      <c r="E5636" s="787">
        <v>0</v>
      </c>
      <c r="H5636" s="787">
        <v>1</v>
      </c>
      <c r="K5636" s="788">
        <v>41481</v>
      </c>
      <c r="L5636" s="787">
        <v>700</v>
      </c>
      <c r="M5636" s="787">
        <v>10</v>
      </c>
      <c r="N5636" s="787">
        <v>130.77000000000001</v>
      </c>
      <c r="O5636" s="788">
        <v>42116</v>
      </c>
    </row>
    <row r="5637" spans="1:15" x14ac:dyDescent="0.25">
      <c r="A5637" s="786" t="s">
        <v>10166</v>
      </c>
      <c r="B5637" s="787">
        <v>4</v>
      </c>
      <c r="C5637" s="787" t="s">
        <v>10162</v>
      </c>
      <c r="D5637" s="787">
        <v>0</v>
      </c>
      <c r="E5637" s="787">
        <v>0</v>
      </c>
      <c r="H5637" s="787">
        <v>1</v>
      </c>
      <c r="K5637" s="788">
        <v>41481</v>
      </c>
      <c r="L5637" s="787">
        <v>700</v>
      </c>
      <c r="M5637" s="787">
        <v>10</v>
      </c>
      <c r="N5637" s="787">
        <v>130.77000000000001</v>
      </c>
      <c r="O5637" s="788">
        <v>42116</v>
      </c>
    </row>
    <row r="5638" spans="1:15" x14ac:dyDescent="0.25">
      <c r="A5638" s="786" t="s">
        <v>10166</v>
      </c>
      <c r="B5638" s="787">
        <v>4</v>
      </c>
      <c r="C5638" s="787" t="s">
        <v>10162</v>
      </c>
      <c r="D5638" s="787">
        <v>0</v>
      </c>
      <c r="E5638" s="787">
        <v>0</v>
      </c>
      <c r="H5638" s="787">
        <v>1</v>
      </c>
      <c r="K5638" s="788">
        <v>41481</v>
      </c>
      <c r="L5638" s="787">
        <v>700</v>
      </c>
      <c r="M5638" s="787">
        <v>10</v>
      </c>
      <c r="N5638" s="787">
        <v>130.77000000000001</v>
      </c>
      <c r="O5638" s="788">
        <v>42116</v>
      </c>
    </row>
    <row r="5639" spans="1:15" x14ac:dyDescent="0.25">
      <c r="A5639" s="786" t="s">
        <v>10166</v>
      </c>
      <c r="B5639" s="787">
        <v>4</v>
      </c>
      <c r="C5639" s="787" t="s">
        <v>10162</v>
      </c>
      <c r="D5639" s="787">
        <v>0</v>
      </c>
      <c r="E5639" s="787">
        <v>0</v>
      </c>
      <c r="H5639" s="787">
        <v>1</v>
      </c>
      <c r="K5639" s="788">
        <v>41481</v>
      </c>
      <c r="L5639" s="787">
        <v>700</v>
      </c>
      <c r="M5639" s="787">
        <v>10</v>
      </c>
      <c r="N5639" s="787">
        <v>130.77000000000001</v>
      </c>
      <c r="O5639" s="788">
        <v>42116</v>
      </c>
    </row>
    <row r="5640" spans="1:15" x14ac:dyDescent="0.25">
      <c r="A5640" s="786" t="s">
        <v>10166</v>
      </c>
      <c r="B5640" s="787">
        <v>4</v>
      </c>
      <c r="C5640" s="787" t="s">
        <v>10162</v>
      </c>
      <c r="D5640" s="787">
        <v>0</v>
      </c>
      <c r="E5640" s="787">
        <v>0</v>
      </c>
      <c r="H5640" s="787">
        <v>1</v>
      </c>
      <c r="K5640" s="788">
        <v>41481</v>
      </c>
      <c r="L5640" s="787">
        <v>700</v>
      </c>
      <c r="M5640" s="787">
        <v>10</v>
      </c>
      <c r="N5640" s="787">
        <v>130.77000000000001</v>
      </c>
      <c r="O5640" s="788">
        <v>42116</v>
      </c>
    </row>
    <row r="5641" spans="1:15" x14ac:dyDescent="0.25">
      <c r="A5641" s="786" t="s">
        <v>10166</v>
      </c>
      <c r="B5641" s="787">
        <v>4</v>
      </c>
      <c r="C5641" s="787" t="s">
        <v>10162</v>
      </c>
      <c r="D5641" s="787">
        <v>0</v>
      </c>
      <c r="E5641" s="787">
        <v>0</v>
      </c>
      <c r="H5641" s="787">
        <v>1</v>
      </c>
      <c r="K5641" s="788">
        <v>41481</v>
      </c>
      <c r="L5641" s="787">
        <v>700</v>
      </c>
      <c r="M5641" s="787">
        <v>10</v>
      </c>
      <c r="N5641" s="787">
        <v>130.77000000000001</v>
      </c>
      <c r="O5641" s="788">
        <v>42116</v>
      </c>
    </row>
    <row r="5642" spans="1:15" x14ac:dyDescent="0.25">
      <c r="A5642" s="786" t="s">
        <v>10166</v>
      </c>
      <c r="B5642" s="787">
        <v>4</v>
      </c>
      <c r="C5642" s="787" t="s">
        <v>10162</v>
      </c>
      <c r="D5642" s="787">
        <v>0</v>
      </c>
      <c r="E5642" s="787">
        <v>0</v>
      </c>
      <c r="H5642" s="787">
        <v>1</v>
      </c>
      <c r="K5642" s="788">
        <v>41481</v>
      </c>
      <c r="L5642" s="787">
        <v>700</v>
      </c>
      <c r="M5642" s="787">
        <v>10</v>
      </c>
      <c r="N5642" s="787">
        <v>130.77000000000001</v>
      </c>
      <c r="O5642" s="788">
        <v>42116</v>
      </c>
    </row>
    <row r="5643" spans="1:15" x14ac:dyDescent="0.25">
      <c r="A5643" s="786" t="s">
        <v>10166</v>
      </c>
      <c r="B5643" s="787">
        <v>4</v>
      </c>
      <c r="C5643" s="787" t="s">
        <v>10162</v>
      </c>
      <c r="D5643" s="787">
        <v>0</v>
      </c>
      <c r="E5643" s="787">
        <v>0</v>
      </c>
      <c r="H5643" s="787">
        <v>1</v>
      </c>
      <c r="K5643" s="788">
        <v>41481</v>
      </c>
      <c r="L5643" s="787">
        <v>700</v>
      </c>
      <c r="M5643" s="787">
        <v>10</v>
      </c>
      <c r="N5643" s="787">
        <v>130.77000000000001</v>
      </c>
      <c r="O5643" s="788">
        <v>42116</v>
      </c>
    </row>
    <row r="5644" spans="1:15" x14ac:dyDescent="0.25">
      <c r="A5644" s="786" t="s">
        <v>10166</v>
      </c>
      <c r="B5644" s="787">
        <v>4</v>
      </c>
      <c r="C5644" s="787" t="s">
        <v>10162</v>
      </c>
      <c r="D5644" s="787">
        <v>0</v>
      </c>
      <c r="E5644" s="787">
        <v>0</v>
      </c>
      <c r="H5644" s="787">
        <v>1</v>
      </c>
      <c r="K5644" s="788">
        <v>41481</v>
      </c>
      <c r="L5644" s="787">
        <v>700</v>
      </c>
      <c r="M5644" s="787">
        <v>10</v>
      </c>
      <c r="N5644" s="787">
        <v>130.77000000000001</v>
      </c>
      <c r="O5644" s="788">
        <v>42116</v>
      </c>
    </row>
    <row r="5645" spans="1:15" x14ac:dyDescent="0.25">
      <c r="A5645" s="786" t="s">
        <v>10166</v>
      </c>
      <c r="B5645" s="787">
        <v>4</v>
      </c>
      <c r="C5645" s="787" t="s">
        <v>10162</v>
      </c>
      <c r="D5645" s="787">
        <v>0</v>
      </c>
      <c r="E5645" s="787">
        <v>0</v>
      </c>
      <c r="H5645" s="787">
        <v>1</v>
      </c>
      <c r="K5645" s="788">
        <v>41481</v>
      </c>
      <c r="L5645" s="787">
        <v>700</v>
      </c>
      <c r="M5645" s="787">
        <v>10</v>
      </c>
      <c r="N5645" s="787">
        <v>130.77000000000001</v>
      </c>
      <c r="O5645" s="788">
        <v>42116</v>
      </c>
    </row>
    <row r="5646" spans="1:15" x14ac:dyDescent="0.25">
      <c r="A5646" s="786" t="s">
        <v>10166</v>
      </c>
      <c r="B5646" s="787">
        <v>4</v>
      </c>
      <c r="C5646" s="787" t="s">
        <v>10162</v>
      </c>
      <c r="D5646" s="787">
        <v>0</v>
      </c>
      <c r="E5646" s="787">
        <v>0</v>
      </c>
      <c r="H5646" s="787">
        <v>1</v>
      </c>
      <c r="K5646" s="788">
        <v>41481</v>
      </c>
      <c r="L5646" s="787">
        <v>700</v>
      </c>
      <c r="M5646" s="787">
        <v>10</v>
      </c>
      <c r="N5646" s="787">
        <v>130.77000000000001</v>
      </c>
      <c r="O5646" s="788">
        <v>42116</v>
      </c>
    </row>
    <row r="5647" spans="1:15" x14ac:dyDescent="0.25">
      <c r="A5647" s="786" t="s">
        <v>10166</v>
      </c>
      <c r="B5647" s="787">
        <v>4</v>
      </c>
      <c r="C5647" s="787" t="s">
        <v>10162</v>
      </c>
      <c r="D5647" s="787">
        <v>0</v>
      </c>
      <c r="E5647" s="787">
        <v>0</v>
      </c>
      <c r="H5647" s="787">
        <v>1</v>
      </c>
      <c r="K5647" s="788">
        <v>41481</v>
      </c>
      <c r="L5647" s="787">
        <v>700</v>
      </c>
      <c r="M5647" s="787">
        <v>10</v>
      </c>
      <c r="N5647" s="787">
        <v>130.77000000000001</v>
      </c>
      <c r="O5647" s="788">
        <v>42116</v>
      </c>
    </row>
    <row r="5648" spans="1:15" x14ac:dyDescent="0.25">
      <c r="A5648" s="786" t="s">
        <v>10166</v>
      </c>
      <c r="B5648" s="787">
        <v>4</v>
      </c>
      <c r="C5648" s="787" t="s">
        <v>10162</v>
      </c>
      <c r="D5648" s="787">
        <v>0</v>
      </c>
      <c r="E5648" s="787">
        <v>0</v>
      </c>
      <c r="H5648" s="787">
        <v>1</v>
      </c>
      <c r="K5648" s="788">
        <v>41481</v>
      </c>
      <c r="L5648" s="787">
        <v>700</v>
      </c>
      <c r="M5648" s="787">
        <v>10</v>
      </c>
      <c r="N5648" s="787">
        <v>130.77000000000001</v>
      </c>
      <c r="O5648" s="788">
        <v>42116</v>
      </c>
    </row>
    <row r="5649" spans="1:15" x14ac:dyDescent="0.25">
      <c r="A5649" s="786" t="s">
        <v>10166</v>
      </c>
      <c r="B5649" s="787">
        <v>4</v>
      </c>
      <c r="C5649" s="787" t="s">
        <v>10162</v>
      </c>
      <c r="D5649" s="787">
        <v>0</v>
      </c>
      <c r="E5649" s="787">
        <v>0</v>
      </c>
      <c r="H5649" s="787">
        <v>1</v>
      </c>
      <c r="K5649" s="788">
        <v>41481</v>
      </c>
      <c r="L5649" s="787">
        <v>700</v>
      </c>
      <c r="M5649" s="787">
        <v>10</v>
      </c>
      <c r="N5649" s="787">
        <v>130.77000000000001</v>
      </c>
      <c r="O5649" s="788">
        <v>42116</v>
      </c>
    </row>
    <row r="5650" spans="1:15" x14ac:dyDescent="0.25">
      <c r="A5650" s="786" t="s">
        <v>10166</v>
      </c>
      <c r="B5650" s="787">
        <v>4</v>
      </c>
      <c r="C5650" s="787" t="s">
        <v>10162</v>
      </c>
      <c r="D5650" s="787">
        <v>0</v>
      </c>
      <c r="E5650" s="787">
        <v>0</v>
      </c>
      <c r="H5650" s="787">
        <v>1</v>
      </c>
      <c r="K5650" s="788">
        <v>41481</v>
      </c>
      <c r="L5650" s="787">
        <v>700</v>
      </c>
      <c r="M5650" s="787">
        <v>10</v>
      </c>
      <c r="N5650" s="787">
        <v>130.77000000000001</v>
      </c>
      <c r="O5650" s="788">
        <v>42116</v>
      </c>
    </row>
    <row r="5651" spans="1:15" x14ac:dyDescent="0.25">
      <c r="A5651" s="786" t="s">
        <v>10166</v>
      </c>
      <c r="B5651" s="787">
        <v>4</v>
      </c>
      <c r="C5651" s="787" t="s">
        <v>10162</v>
      </c>
      <c r="D5651" s="787">
        <v>0</v>
      </c>
      <c r="E5651" s="787">
        <v>0</v>
      </c>
      <c r="H5651" s="787">
        <v>1</v>
      </c>
      <c r="K5651" s="788">
        <v>41481</v>
      </c>
      <c r="L5651" s="787">
        <v>700</v>
      </c>
      <c r="M5651" s="787">
        <v>10</v>
      </c>
      <c r="N5651" s="787">
        <v>130.77000000000001</v>
      </c>
      <c r="O5651" s="788">
        <v>42116</v>
      </c>
    </row>
    <row r="5652" spans="1:15" x14ac:dyDescent="0.25">
      <c r="A5652" s="786" t="s">
        <v>10166</v>
      </c>
      <c r="B5652" s="787">
        <v>4</v>
      </c>
      <c r="C5652" s="787" t="s">
        <v>10162</v>
      </c>
      <c r="D5652" s="787">
        <v>0</v>
      </c>
      <c r="E5652" s="787">
        <v>0</v>
      </c>
      <c r="H5652" s="787">
        <v>1</v>
      </c>
      <c r="K5652" s="788">
        <v>41481</v>
      </c>
      <c r="L5652" s="787">
        <v>700</v>
      </c>
      <c r="M5652" s="787">
        <v>10</v>
      </c>
      <c r="N5652" s="787">
        <v>130.77000000000001</v>
      </c>
      <c r="O5652" s="788">
        <v>42116</v>
      </c>
    </row>
    <row r="5653" spans="1:15" x14ac:dyDescent="0.25">
      <c r="A5653" s="786" t="s">
        <v>10166</v>
      </c>
      <c r="B5653" s="787">
        <v>4</v>
      </c>
      <c r="C5653" s="787" t="s">
        <v>10162</v>
      </c>
      <c r="D5653" s="787">
        <v>0</v>
      </c>
      <c r="E5653" s="787">
        <v>0</v>
      </c>
      <c r="H5653" s="787">
        <v>1</v>
      </c>
      <c r="K5653" s="788">
        <v>41481</v>
      </c>
      <c r="L5653" s="787">
        <v>700</v>
      </c>
      <c r="M5653" s="787">
        <v>10</v>
      </c>
      <c r="N5653" s="787">
        <v>130.77000000000001</v>
      </c>
      <c r="O5653" s="788">
        <v>42116</v>
      </c>
    </row>
    <row r="5654" spans="1:15" x14ac:dyDescent="0.25">
      <c r="A5654" s="786" t="s">
        <v>10166</v>
      </c>
      <c r="B5654" s="787">
        <v>4</v>
      </c>
      <c r="C5654" s="787" t="s">
        <v>10162</v>
      </c>
      <c r="D5654" s="787">
        <v>0</v>
      </c>
      <c r="E5654" s="787">
        <v>0</v>
      </c>
      <c r="H5654" s="787">
        <v>1</v>
      </c>
      <c r="K5654" s="788">
        <v>41481</v>
      </c>
      <c r="L5654" s="787">
        <v>700</v>
      </c>
      <c r="M5654" s="787">
        <v>10</v>
      </c>
      <c r="N5654" s="787">
        <v>130.77000000000001</v>
      </c>
      <c r="O5654" s="788">
        <v>42116</v>
      </c>
    </row>
    <row r="5655" spans="1:15" x14ac:dyDescent="0.25">
      <c r="A5655" s="786" t="s">
        <v>10166</v>
      </c>
      <c r="B5655" s="787">
        <v>4</v>
      </c>
      <c r="C5655" s="787" t="s">
        <v>10162</v>
      </c>
      <c r="D5655" s="787">
        <v>0</v>
      </c>
      <c r="E5655" s="787">
        <v>0</v>
      </c>
      <c r="H5655" s="787">
        <v>1</v>
      </c>
      <c r="K5655" s="788">
        <v>41481</v>
      </c>
      <c r="L5655" s="787">
        <v>700</v>
      </c>
      <c r="M5655" s="787">
        <v>10</v>
      </c>
      <c r="N5655" s="787">
        <v>130.77000000000001</v>
      </c>
      <c r="O5655" s="788">
        <v>42116</v>
      </c>
    </row>
    <row r="5656" spans="1:15" x14ac:dyDescent="0.25">
      <c r="A5656" s="786" t="s">
        <v>10166</v>
      </c>
      <c r="B5656" s="787">
        <v>4</v>
      </c>
      <c r="C5656" s="787" t="s">
        <v>10162</v>
      </c>
      <c r="D5656" s="787">
        <v>0</v>
      </c>
      <c r="E5656" s="787">
        <v>0</v>
      </c>
      <c r="H5656" s="787">
        <v>1</v>
      </c>
      <c r="K5656" s="788">
        <v>41481</v>
      </c>
      <c r="L5656" s="787">
        <v>700</v>
      </c>
      <c r="M5656" s="787">
        <v>10</v>
      </c>
      <c r="N5656" s="787">
        <v>130.77000000000001</v>
      </c>
      <c r="O5656" s="788">
        <v>42116</v>
      </c>
    </row>
    <row r="5657" spans="1:15" x14ac:dyDescent="0.25">
      <c r="A5657" s="786" t="s">
        <v>10166</v>
      </c>
      <c r="B5657" s="787">
        <v>4</v>
      </c>
      <c r="C5657" s="787" t="s">
        <v>10162</v>
      </c>
      <c r="D5657" s="787">
        <v>0</v>
      </c>
      <c r="E5657" s="787">
        <v>0</v>
      </c>
      <c r="H5657" s="787">
        <v>1</v>
      </c>
      <c r="K5657" s="788">
        <v>41481</v>
      </c>
      <c r="L5657" s="787">
        <v>700</v>
      </c>
      <c r="M5657" s="787">
        <v>10</v>
      </c>
      <c r="N5657" s="787">
        <v>130.77000000000001</v>
      </c>
      <c r="O5657" s="788">
        <v>42116</v>
      </c>
    </row>
    <row r="5658" spans="1:15" x14ac:dyDescent="0.25">
      <c r="A5658" s="786" t="s">
        <v>10166</v>
      </c>
      <c r="B5658" s="787">
        <v>4</v>
      </c>
      <c r="C5658" s="787" t="s">
        <v>10162</v>
      </c>
      <c r="D5658" s="787">
        <v>0</v>
      </c>
      <c r="E5658" s="787">
        <v>0</v>
      </c>
      <c r="H5658" s="787">
        <v>1</v>
      </c>
      <c r="K5658" s="788">
        <v>41481</v>
      </c>
      <c r="L5658" s="787">
        <v>700</v>
      </c>
      <c r="M5658" s="787">
        <v>10</v>
      </c>
      <c r="N5658" s="787">
        <v>130.77000000000001</v>
      </c>
      <c r="O5658" s="788">
        <v>42116</v>
      </c>
    </row>
    <row r="5659" spans="1:15" x14ac:dyDescent="0.25">
      <c r="A5659" s="786" t="s">
        <v>10166</v>
      </c>
      <c r="B5659" s="787">
        <v>4</v>
      </c>
      <c r="C5659" s="787" t="s">
        <v>10162</v>
      </c>
      <c r="D5659" s="787">
        <v>0</v>
      </c>
      <c r="E5659" s="787">
        <v>0</v>
      </c>
      <c r="H5659" s="787">
        <v>1</v>
      </c>
      <c r="K5659" s="788">
        <v>41481</v>
      </c>
      <c r="L5659" s="787">
        <v>700</v>
      </c>
      <c r="M5659" s="787">
        <v>10</v>
      </c>
      <c r="N5659" s="787">
        <v>130.77000000000001</v>
      </c>
      <c r="O5659" s="788">
        <v>42116</v>
      </c>
    </row>
    <row r="5660" spans="1:15" x14ac:dyDescent="0.25">
      <c r="A5660" s="786" t="s">
        <v>10166</v>
      </c>
      <c r="B5660" s="787">
        <v>4</v>
      </c>
      <c r="C5660" s="787" t="s">
        <v>10162</v>
      </c>
      <c r="D5660" s="787">
        <v>0</v>
      </c>
      <c r="E5660" s="787">
        <v>0</v>
      </c>
      <c r="H5660" s="787">
        <v>1</v>
      </c>
      <c r="K5660" s="788">
        <v>41481</v>
      </c>
      <c r="L5660" s="787">
        <v>700</v>
      </c>
      <c r="M5660" s="787">
        <v>10</v>
      </c>
      <c r="N5660" s="787">
        <v>130.77000000000001</v>
      </c>
      <c r="O5660" s="788">
        <v>42116</v>
      </c>
    </row>
    <row r="5661" spans="1:15" x14ac:dyDescent="0.25">
      <c r="A5661" s="786" t="s">
        <v>10166</v>
      </c>
      <c r="B5661" s="787">
        <v>4</v>
      </c>
      <c r="C5661" s="787" t="s">
        <v>10162</v>
      </c>
      <c r="D5661" s="787">
        <v>0</v>
      </c>
      <c r="E5661" s="787">
        <v>0</v>
      </c>
      <c r="H5661" s="787">
        <v>1</v>
      </c>
      <c r="K5661" s="788">
        <v>41481</v>
      </c>
      <c r="L5661" s="787">
        <v>700</v>
      </c>
      <c r="M5661" s="787">
        <v>10</v>
      </c>
      <c r="N5661" s="787">
        <v>130.77000000000001</v>
      </c>
      <c r="O5661" s="788">
        <v>42116</v>
      </c>
    </row>
    <row r="5662" spans="1:15" x14ac:dyDescent="0.25">
      <c r="A5662" s="786" t="s">
        <v>10166</v>
      </c>
      <c r="B5662" s="787">
        <v>4</v>
      </c>
      <c r="C5662" s="787" t="s">
        <v>10162</v>
      </c>
      <c r="D5662" s="787">
        <v>0</v>
      </c>
      <c r="E5662" s="787">
        <v>0</v>
      </c>
      <c r="H5662" s="787">
        <v>1</v>
      </c>
      <c r="K5662" s="788">
        <v>41481</v>
      </c>
      <c r="L5662" s="787">
        <v>700</v>
      </c>
      <c r="M5662" s="787">
        <v>10</v>
      </c>
      <c r="N5662" s="787">
        <v>130.77000000000001</v>
      </c>
      <c r="O5662" s="788">
        <v>42116</v>
      </c>
    </row>
    <row r="5663" spans="1:15" x14ac:dyDescent="0.25">
      <c r="A5663" s="786" t="s">
        <v>10166</v>
      </c>
      <c r="B5663" s="787">
        <v>4</v>
      </c>
      <c r="C5663" s="787" t="s">
        <v>10162</v>
      </c>
      <c r="D5663" s="787">
        <v>0</v>
      </c>
      <c r="E5663" s="787">
        <v>0</v>
      </c>
      <c r="H5663" s="787">
        <v>1</v>
      </c>
      <c r="K5663" s="788">
        <v>41481</v>
      </c>
      <c r="L5663" s="787">
        <v>700</v>
      </c>
      <c r="M5663" s="787">
        <v>10</v>
      </c>
      <c r="N5663" s="787">
        <v>130.77000000000001</v>
      </c>
      <c r="O5663" s="788">
        <v>42116</v>
      </c>
    </row>
    <row r="5664" spans="1:15" x14ac:dyDescent="0.25">
      <c r="A5664" s="786" t="s">
        <v>10166</v>
      </c>
      <c r="B5664" s="787">
        <v>4</v>
      </c>
      <c r="C5664" s="787" t="s">
        <v>10162</v>
      </c>
      <c r="D5664" s="787">
        <v>0</v>
      </c>
      <c r="E5664" s="787">
        <v>0</v>
      </c>
      <c r="H5664" s="787">
        <v>1</v>
      </c>
      <c r="K5664" s="788">
        <v>41481</v>
      </c>
      <c r="L5664" s="787">
        <v>700</v>
      </c>
      <c r="M5664" s="787">
        <v>10</v>
      </c>
      <c r="N5664" s="787">
        <v>130.77000000000001</v>
      </c>
      <c r="O5664" s="788">
        <v>42116</v>
      </c>
    </row>
    <row r="5665" spans="1:15" x14ac:dyDescent="0.25">
      <c r="A5665" s="786" t="s">
        <v>10166</v>
      </c>
      <c r="B5665" s="787">
        <v>4</v>
      </c>
      <c r="C5665" s="787" t="s">
        <v>10162</v>
      </c>
      <c r="D5665" s="787">
        <v>0</v>
      </c>
      <c r="E5665" s="787">
        <v>0</v>
      </c>
      <c r="H5665" s="787">
        <v>1</v>
      </c>
      <c r="K5665" s="788">
        <v>41481</v>
      </c>
      <c r="L5665" s="787">
        <v>700</v>
      </c>
      <c r="M5665" s="787">
        <v>10</v>
      </c>
      <c r="N5665" s="787">
        <v>130.77000000000001</v>
      </c>
      <c r="O5665" s="788">
        <v>42116</v>
      </c>
    </row>
    <row r="5666" spans="1:15" x14ac:dyDescent="0.25">
      <c r="A5666" s="786" t="s">
        <v>10166</v>
      </c>
      <c r="B5666" s="787">
        <v>4</v>
      </c>
      <c r="C5666" s="787" t="s">
        <v>10162</v>
      </c>
      <c r="D5666" s="787">
        <v>0</v>
      </c>
      <c r="E5666" s="787">
        <v>0</v>
      </c>
      <c r="H5666" s="787">
        <v>1</v>
      </c>
      <c r="K5666" s="788">
        <v>41481</v>
      </c>
      <c r="L5666" s="787">
        <v>700</v>
      </c>
      <c r="M5666" s="787">
        <v>10</v>
      </c>
      <c r="N5666" s="787">
        <v>130.77000000000001</v>
      </c>
      <c r="O5666" s="788">
        <v>42116</v>
      </c>
    </row>
    <row r="5667" spans="1:15" x14ac:dyDescent="0.25">
      <c r="A5667" s="786" t="s">
        <v>10166</v>
      </c>
      <c r="B5667" s="787">
        <v>4</v>
      </c>
      <c r="C5667" s="787" t="s">
        <v>10162</v>
      </c>
      <c r="D5667" s="787">
        <v>0</v>
      </c>
      <c r="E5667" s="787">
        <v>0</v>
      </c>
      <c r="H5667" s="787">
        <v>1</v>
      </c>
      <c r="K5667" s="788">
        <v>41481</v>
      </c>
      <c r="L5667" s="787">
        <v>700</v>
      </c>
      <c r="M5667" s="787">
        <v>10</v>
      </c>
      <c r="N5667" s="787">
        <v>130.77000000000001</v>
      </c>
      <c r="O5667" s="788">
        <v>42116</v>
      </c>
    </row>
    <row r="5668" spans="1:15" x14ac:dyDescent="0.25">
      <c r="A5668" s="786" t="s">
        <v>10166</v>
      </c>
      <c r="B5668" s="787">
        <v>4</v>
      </c>
      <c r="C5668" s="787" t="s">
        <v>10162</v>
      </c>
      <c r="D5668" s="787">
        <v>0</v>
      </c>
      <c r="E5668" s="787">
        <v>0</v>
      </c>
      <c r="H5668" s="787">
        <v>1</v>
      </c>
      <c r="K5668" s="788">
        <v>41481</v>
      </c>
      <c r="L5668" s="787">
        <v>700</v>
      </c>
      <c r="M5668" s="787">
        <v>10</v>
      </c>
      <c r="N5668" s="787">
        <v>130.77000000000001</v>
      </c>
      <c r="O5668" s="788">
        <v>42116</v>
      </c>
    </row>
    <row r="5669" spans="1:15" x14ac:dyDescent="0.25">
      <c r="A5669" s="786" t="s">
        <v>10166</v>
      </c>
      <c r="B5669" s="787">
        <v>4</v>
      </c>
      <c r="C5669" s="787" t="s">
        <v>10162</v>
      </c>
      <c r="D5669" s="787">
        <v>0</v>
      </c>
      <c r="E5669" s="787">
        <v>0</v>
      </c>
      <c r="H5669" s="787">
        <v>1</v>
      </c>
      <c r="K5669" s="788">
        <v>41481</v>
      </c>
      <c r="L5669" s="787">
        <v>700</v>
      </c>
      <c r="M5669" s="787">
        <v>10</v>
      </c>
      <c r="N5669" s="787">
        <v>130.77000000000001</v>
      </c>
      <c r="O5669" s="788">
        <v>42116</v>
      </c>
    </row>
    <row r="5670" spans="1:15" x14ac:dyDescent="0.25">
      <c r="A5670" s="786" t="s">
        <v>10166</v>
      </c>
      <c r="B5670" s="787">
        <v>4</v>
      </c>
      <c r="C5670" s="787" t="s">
        <v>10162</v>
      </c>
      <c r="D5670" s="787">
        <v>0</v>
      </c>
      <c r="E5670" s="787">
        <v>0</v>
      </c>
      <c r="H5670" s="787">
        <v>1</v>
      </c>
      <c r="K5670" s="788">
        <v>41481</v>
      </c>
      <c r="L5670" s="787">
        <v>700</v>
      </c>
      <c r="M5670" s="787">
        <v>10</v>
      </c>
      <c r="N5670" s="787">
        <v>130.77000000000001</v>
      </c>
      <c r="O5670" s="788">
        <v>42116</v>
      </c>
    </row>
    <row r="5671" spans="1:15" x14ac:dyDescent="0.25">
      <c r="A5671" s="786" t="s">
        <v>10166</v>
      </c>
      <c r="B5671" s="787">
        <v>4</v>
      </c>
      <c r="C5671" s="787" t="s">
        <v>10162</v>
      </c>
      <c r="D5671" s="787">
        <v>0</v>
      </c>
      <c r="E5671" s="787">
        <v>0</v>
      </c>
      <c r="H5671" s="787">
        <v>1</v>
      </c>
      <c r="K5671" s="788">
        <v>41481</v>
      </c>
      <c r="L5671" s="787">
        <v>700</v>
      </c>
      <c r="M5671" s="787">
        <v>10</v>
      </c>
      <c r="N5671" s="787">
        <v>130.77000000000001</v>
      </c>
      <c r="O5671" s="788">
        <v>42116</v>
      </c>
    </row>
    <row r="5672" spans="1:15" x14ac:dyDescent="0.25">
      <c r="A5672" s="786" t="s">
        <v>10166</v>
      </c>
      <c r="B5672" s="787">
        <v>4</v>
      </c>
      <c r="C5672" s="787" t="s">
        <v>10162</v>
      </c>
      <c r="D5672" s="787">
        <v>0</v>
      </c>
      <c r="E5672" s="787">
        <v>0</v>
      </c>
      <c r="H5672" s="787">
        <v>1</v>
      </c>
      <c r="K5672" s="788">
        <v>41481</v>
      </c>
      <c r="L5672" s="787">
        <v>700</v>
      </c>
      <c r="M5672" s="787">
        <v>10</v>
      </c>
      <c r="N5672" s="787">
        <v>130.77000000000001</v>
      </c>
      <c r="O5672" s="788">
        <v>42116</v>
      </c>
    </row>
    <row r="5673" spans="1:15" x14ac:dyDescent="0.25">
      <c r="A5673" s="786" t="s">
        <v>10166</v>
      </c>
      <c r="B5673" s="787">
        <v>4</v>
      </c>
      <c r="C5673" s="787" t="s">
        <v>10162</v>
      </c>
      <c r="D5673" s="787">
        <v>0</v>
      </c>
      <c r="E5673" s="787">
        <v>0</v>
      </c>
      <c r="H5673" s="787">
        <v>1</v>
      </c>
      <c r="K5673" s="788">
        <v>41481</v>
      </c>
      <c r="L5673" s="787">
        <v>700</v>
      </c>
      <c r="M5673" s="787">
        <v>10</v>
      </c>
      <c r="N5673" s="787">
        <v>130.77000000000001</v>
      </c>
      <c r="O5673" s="788">
        <v>42116</v>
      </c>
    </row>
    <row r="5674" spans="1:15" x14ac:dyDescent="0.25">
      <c r="A5674" s="786" t="s">
        <v>10166</v>
      </c>
      <c r="B5674" s="787">
        <v>4</v>
      </c>
      <c r="C5674" s="787" t="s">
        <v>10162</v>
      </c>
      <c r="D5674" s="787">
        <v>0</v>
      </c>
      <c r="E5674" s="787">
        <v>0</v>
      </c>
      <c r="H5674" s="787">
        <v>1</v>
      </c>
      <c r="K5674" s="788">
        <v>41481</v>
      </c>
      <c r="L5674" s="787">
        <v>700</v>
      </c>
      <c r="M5674" s="787">
        <v>10</v>
      </c>
      <c r="N5674" s="787">
        <v>130.77000000000001</v>
      </c>
      <c r="O5674" s="788">
        <v>42116</v>
      </c>
    </row>
    <row r="5675" spans="1:15" x14ac:dyDescent="0.25">
      <c r="A5675" s="786" t="s">
        <v>10166</v>
      </c>
      <c r="B5675" s="787">
        <v>4</v>
      </c>
      <c r="C5675" s="787" t="s">
        <v>10162</v>
      </c>
      <c r="D5675" s="787">
        <v>0</v>
      </c>
      <c r="E5675" s="787">
        <v>0</v>
      </c>
      <c r="H5675" s="787">
        <v>1</v>
      </c>
      <c r="K5675" s="788">
        <v>41481</v>
      </c>
      <c r="L5675" s="787">
        <v>700</v>
      </c>
      <c r="M5675" s="787">
        <v>10</v>
      </c>
      <c r="N5675" s="787">
        <v>130.77000000000001</v>
      </c>
      <c r="O5675" s="788">
        <v>42116</v>
      </c>
    </row>
    <row r="5676" spans="1:15" x14ac:dyDescent="0.25">
      <c r="A5676" s="786" t="s">
        <v>10166</v>
      </c>
      <c r="B5676" s="787">
        <v>4</v>
      </c>
      <c r="C5676" s="787" t="s">
        <v>10162</v>
      </c>
      <c r="D5676" s="787">
        <v>0</v>
      </c>
      <c r="E5676" s="787">
        <v>0</v>
      </c>
      <c r="H5676" s="787">
        <v>1</v>
      </c>
      <c r="K5676" s="788">
        <v>41481</v>
      </c>
      <c r="L5676" s="787">
        <v>700</v>
      </c>
      <c r="M5676" s="787">
        <v>10</v>
      </c>
      <c r="N5676" s="787">
        <v>130.77000000000001</v>
      </c>
      <c r="O5676" s="788">
        <v>42116</v>
      </c>
    </row>
    <row r="5677" spans="1:15" x14ac:dyDescent="0.25">
      <c r="A5677" s="786" t="s">
        <v>10166</v>
      </c>
      <c r="B5677" s="787">
        <v>4</v>
      </c>
      <c r="C5677" s="787" t="s">
        <v>10162</v>
      </c>
      <c r="D5677" s="787">
        <v>0</v>
      </c>
      <c r="E5677" s="787">
        <v>0</v>
      </c>
      <c r="H5677" s="787">
        <v>1</v>
      </c>
      <c r="K5677" s="788">
        <v>41481</v>
      </c>
      <c r="L5677" s="787">
        <v>700</v>
      </c>
      <c r="M5677" s="787">
        <v>10</v>
      </c>
      <c r="N5677" s="787">
        <v>130.77000000000001</v>
      </c>
      <c r="O5677" s="788">
        <v>42116</v>
      </c>
    </row>
    <row r="5678" spans="1:15" x14ac:dyDescent="0.25">
      <c r="A5678" s="786" t="s">
        <v>10166</v>
      </c>
      <c r="B5678" s="787">
        <v>4</v>
      </c>
      <c r="C5678" s="787" t="s">
        <v>10162</v>
      </c>
      <c r="D5678" s="787">
        <v>0</v>
      </c>
      <c r="E5678" s="787">
        <v>0</v>
      </c>
      <c r="H5678" s="787">
        <v>1</v>
      </c>
      <c r="K5678" s="788">
        <v>41481</v>
      </c>
      <c r="L5678" s="787">
        <v>700</v>
      </c>
      <c r="M5678" s="787">
        <v>10</v>
      </c>
      <c r="N5678" s="787">
        <v>130.77000000000001</v>
      </c>
      <c r="O5678" s="788">
        <v>42116</v>
      </c>
    </row>
    <row r="5679" spans="1:15" x14ac:dyDescent="0.25">
      <c r="A5679" s="786" t="s">
        <v>10166</v>
      </c>
      <c r="B5679" s="787">
        <v>4</v>
      </c>
      <c r="C5679" s="787" t="s">
        <v>10162</v>
      </c>
      <c r="D5679" s="787">
        <v>0</v>
      </c>
      <c r="E5679" s="787">
        <v>0</v>
      </c>
      <c r="H5679" s="787">
        <v>1</v>
      </c>
      <c r="K5679" s="788">
        <v>41481</v>
      </c>
      <c r="L5679" s="787">
        <v>700</v>
      </c>
      <c r="M5679" s="787">
        <v>10</v>
      </c>
      <c r="N5679" s="787">
        <v>130.77000000000001</v>
      </c>
      <c r="O5679" s="788">
        <v>42116</v>
      </c>
    </row>
    <row r="5680" spans="1:15" x14ac:dyDescent="0.25">
      <c r="A5680" s="786" t="s">
        <v>10166</v>
      </c>
      <c r="B5680" s="787">
        <v>4</v>
      </c>
      <c r="C5680" s="787" t="s">
        <v>10162</v>
      </c>
      <c r="D5680" s="787">
        <v>0</v>
      </c>
      <c r="E5680" s="787">
        <v>0</v>
      </c>
      <c r="H5680" s="787">
        <v>1</v>
      </c>
      <c r="K5680" s="788">
        <v>41481</v>
      </c>
      <c r="L5680" s="787">
        <v>700</v>
      </c>
      <c r="M5680" s="787">
        <v>10</v>
      </c>
      <c r="N5680" s="787">
        <v>130.77000000000001</v>
      </c>
      <c r="O5680" s="788">
        <v>42116</v>
      </c>
    </row>
    <row r="5681" spans="1:15" x14ac:dyDescent="0.25">
      <c r="A5681" s="786" t="s">
        <v>10166</v>
      </c>
      <c r="B5681" s="787">
        <v>4</v>
      </c>
      <c r="C5681" s="787" t="s">
        <v>10162</v>
      </c>
      <c r="D5681" s="787">
        <v>0</v>
      </c>
      <c r="E5681" s="787">
        <v>0</v>
      </c>
      <c r="H5681" s="787">
        <v>1</v>
      </c>
      <c r="K5681" s="788">
        <v>41481</v>
      </c>
      <c r="L5681" s="787">
        <v>700</v>
      </c>
      <c r="M5681" s="787">
        <v>10</v>
      </c>
      <c r="N5681" s="787">
        <v>130.77000000000001</v>
      </c>
      <c r="O5681" s="788">
        <v>42116</v>
      </c>
    </row>
    <row r="5682" spans="1:15" x14ac:dyDescent="0.25">
      <c r="A5682" s="786" t="s">
        <v>10166</v>
      </c>
      <c r="B5682" s="787">
        <v>4</v>
      </c>
      <c r="C5682" s="787" t="s">
        <v>10162</v>
      </c>
      <c r="D5682" s="787">
        <v>0</v>
      </c>
      <c r="E5682" s="787">
        <v>0</v>
      </c>
      <c r="H5682" s="787">
        <v>1</v>
      </c>
      <c r="K5682" s="788">
        <v>41481</v>
      </c>
      <c r="L5682" s="787">
        <v>700</v>
      </c>
      <c r="M5682" s="787">
        <v>10</v>
      </c>
      <c r="N5682" s="787">
        <v>130.77000000000001</v>
      </c>
      <c r="O5682" s="788">
        <v>42116</v>
      </c>
    </row>
    <row r="5683" spans="1:15" x14ac:dyDescent="0.25">
      <c r="A5683" s="786" t="s">
        <v>10166</v>
      </c>
      <c r="B5683" s="787">
        <v>4</v>
      </c>
      <c r="C5683" s="787" t="s">
        <v>10162</v>
      </c>
      <c r="D5683" s="787">
        <v>0</v>
      </c>
      <c r="E5683" s="787">
        <v>0</v>
      </c>
      <c r="H5683" s="787">
        <v>1</v>
      </c>
      <c r="K5683" s="788">
        <v>41481</v>
      </c>
      <c r="L5683" s="787">
        <v>700</v>
      </c>
      <c r="M5683" s="787">
        <v>10</v>
      </c>
      <c r="N5683" s="787">
        <v>130.77000000000001</v>
      </c>
      <c r="O5683" s="788">
        <v>42116</v>
      </c>
    </row>
    <row r="5684" spans="1:15" x14ac:dyDescent="0.25">
      <c r="A5684" s="786" t="s">
        <v>10166</v>
      </c>
      <c r="B5684" s="787">
        <v>4</v>
      </c>
      <c r="C5684" s="787" t="s">
        <v>10162</v>
      </c>
      <c r="D5684" s="787">
        <v>0</v>
      </c>
      <c r="E5684" s="787">
        <v>0</v>
      </c>
      <c r="H5684" s="787">
        <v>1</v>
      </c>
      <c r="K5684" s="788">
        <v>41481</v>
      </c>
      <c r="L5684" s="787">
        <v>700</v>
      </c>
      <c r="M5684" s="787">
        <v>10</v>
      </c>
      <c r="N5684" s="787">
        <v>130.77000000000001</v>
      </c>
      <c r="O5684" s="788">
        <v>42116</v>
      </c>
    </row>
    <row r="5685" spans="1:15" x14ac:dyDescent="0.25">
      <c r="A5685" s="786" t="s">
        <v>10166</v>
      </c>
      <c r="B5685" s="787">
        <v>4</v>
      </c>
      <c r="C5685" s="787" t="s">
        <v>10162</v>
      </c>
      <c r="D5685" s="787">
        <v>0</v>
      </c>
      <c r="E5685" s="787">
        <v>0</v>
      </c>
      <c r="H5685" s="787">
        <v>1</v>
      </c>
      <c r="K5685" s="788">
        <v>41481</v>
      </c>
      <c r="L5685" s="787">
        <v>700</v>
      </c>
      <c r="M5685" s="787">
        <v>10</v>
      </c>
      <c r="N5685" s="787">
        <v>130.77000000000001</v>
      </c>
      <c r="O5685" s="788">
        <v>42116</v>
      </c>
    </row>
    <row r="5686" spans="1:15" x14ac:dyDescent="0.25">
      <c r="A5686" s="786" t="s">
        <v>10166</v>
      </c>
      <c r="B5686" s="787">
        <v>4</v>
      </c>
      <c r="C5686" s="787" t="s">
        <v>10162</v>
      </c>
      <c r="D5686" s="787">
        <v>0</v>
      </c>
      <c r="E5686" s="787">
        <v>0</v>
      </c>
      <c r="H5686" s="787">
        <v>1</v>
      </c>
      <c r="K5686" s="788">
        <v>41481</v>
      </c>
      <c r="L5686" s="787">
        <v>700</v>
      </c>
      <c r="M5686" s="787">
        <v>10</v>
      </c>
      <c r="N5686" s="787">
        <v>130.77000000000001</v>
      </c>
      <c r="O5686" s="788">
        <v>42116</v>
      </c>
    </row>
    <row r="5687" spans="1:15" x14ac:dyDescent="0.25">
      <c r="A5687" s="786" t="s">
        <v>10166</v>
      </c>
      <c r="B5687" s="787">
        <v>4</v>
      </c>
      <c r="C5687" s="787" t="s">
        <v>10162</v>
      </c>
      <c r="D5687" s="787">
        <v>0</v>
      </c>
      <c r="E5687" s="787">
        <v>0</v>
      </c>
      <c r="H5687" s="787">
        <v>1</v>
      </c>
      <c r="K5687" s="788">
        <v>41481</v>
      </c>
      <c r="L5687" s="787">
        <v>700</v>
      </c>
      <c r="M5687" s="787">
        <v>10</v>
      </c>
      <c r="N5687" s="787">
        <v>130.77000000000001</v>
      </c>
      <c r="O5687" s="788">
        <v>42116</v>
      </c>
    </row>
    <row r="5688" spans="1:15" x14ac:dyDescent="0.25">
      <c r="A5688" s="786" t="s">
        <v>10166</v>
      </c>
      <c r="B5688" s="787">
        <v>4</v>
      </c>
      <c r="C5688" s="787" t="s">
        <v>10162</v>
      </c>
      <c r="D5688" s="787">
        <v>0</v>
      </c>
      <c r="E5688" s="787">
        <v>0</v>
      </c>
      <c r="H5688" s="787">
        <v>1</v>
      </c>
      <c r="K5688" s="788">
        <v>41481</v>
      </c>
      <c r="L5688" s="787">
        <v>700</v>
      </c>
      <c r="M5688" s="787">
        <v>10</v>
      </c>
      <c r="N5688" s="787">
        <v>130.77000000000001</v>
      </c>
      <c r="O5688" s="788">
        <v>42116</v>
      </c>
    </row>
    <row r="5689" spans="1:15" x14ac:dyDescent="0.25">
      <c r="A5689" s="786" t="s">
        <v>10166</v>
      </c>
      <c r="B5689" s="787">
        <v>4</v>
      </c>
      <c r="C5689" s="787" t="s">
        <v>10162</v>
      </c>
      <c r="D5689" s="787">
        <v>0</v>
      </c>
      <c r="E5689" s="787">
        <v>0</v>
      </c>
      <c r="H5689" s="787">
        <v>1</v>
      </c>
      <c r="K5689" s="788">
        <v>41481</v>
      </c>
      <c r="L5689" s="787">
        <v>700</v>
      </c>
      <c r="M5689" s="787">
        <v>10</v>
      </c>
      <c r="N5689" s="787">
        <v>130.77000000000001</v>
      </c>
      <c r="O5689" s="788">
        <v>42116</v>
      </c>
    </row>
    <row r="5690" spans="1:15" x14ac:dyDescent="0.25">
      <c r="A5690" s="786" t="s">
        <v>10166</v>
      </c>
      <c r="B5690" s="787">
        <v>4</v>
      </c>
      <c r="C5690" s="787" t="s">
        <v>10162</v>
      </c>
      <c r="D5690" s="787">
        <v>0</v>
      </c>
      <c r="E5690" s="787">
        <v>0</v>
      </c>
      <c r="H5690" s="787">
        <v>1</v>
      </c>
      <c r="K5690" s="788">
        <v>41481</v>
      </c>
      <c r="L5690" s="787">
        <v>700</v>
      </c>
      <c r="M5690" s="787">
        <v>10</v>
      </c>
      <c r="N5690" s="787">
        <v>130.77000000000001</v>
      </c>
      <c r="O5690" s="788">
        <v>42116</v>
      </c>
    </row>
    <row r="5691" spans="1:15" x14ac:dyDescent="0.25">
      <c r="A5691" s="786" t="s">
        <v>10166</v>
      </c>
      <c r="B5691" s="787">
        <v>4</v>
      </c>
      <c r="C5691" s="787" t="s">
        <v>10162</v>
      </c>
      <c r="D5691" s="787">
        <v>0</v>
      </c>
      <c r="E5691" s="787">
        <v>0</v>
      </c>
      <c r="H5691" s="787">
        <v>1</v>
      </c>
      <c r="K5691" s="788">
        <v>41481</v>
      </c>
      <c r="L5691" s="787">
        <v>700</v>
      </c>
      <c r="M5691" s="787">
        <v>10</v>
      </c>
      <c r="N5691" s="787">
        <v>130.77000000000001</v>
      </c>
      <c r="O5691" s="788">
        <v>42116</v>
      </c>
    </row>
    <row r="5692" spans="1:15" x14ac:dyDescent="0.25">
      <c r="A5692" s="786" t="s">
        <v>10166</v>
      </c>
      <c r="B5692" s="787">
        <v>4</v>
      </c>
      <c r="C5692" s="787" t="s">
        <v>10162</v>
      </c>
      <c r="D5692" s="787">
        <v>0</v>
      </c>
      <c r="E5692" s="787">
        <v>0</v>
      </c>
      <c r="H5692" s="787">
        <v>1</v>
      </c>
      <c r="K5692" s="788">
        <v>41481</v>
      </c>
      <c r="L5692" s="787">
        <v>700</v>
      </c>
      <c r="M5692" s="787">
        <v>10</v>
      </c>
      <c r="N5692" s="787">
        <v>130.77000000000001</v>
      </c>
      <c r="O5692" s="788">
        <v>42116</v>
      </c>
    </row>
    <row r="5693" spans="1:15" x14ac:dyDescent="0.25">
      <c r="A5693" s="786" t="s">
        <v>10166</v>
      </c>
      <c r="B5693" s="787">
        <v>4</v>
      </c>
      <c r="C5693" s="787" t="s">
        <v>10162</v>
      </c>
      <c r="D5693" s="787">
        <v>0</v>
      </c>
      <c r="E5693" s="787">
        <v>0</v>
      </c>
      <c r="H5693" s="787">
        <v>1</v>
      </c>
      <c r="K5693" s="788">
        <v>41481</v>
      </c>
      <c r="L5693" s="787">
        <v>700</v>
      </c>
      <c r="M5693" s="787">
        <v>10</v>
      </c>
      <c r="N5693" s="787">
        <v>130.77000000000001</v>
      </c>
      <c r="O5693" s="788">
        <v>42116</v>
      </c>
    </row>
    <row r="5694" spans="1:15" x14ac:dyDescent="0.25">
      <c r="A5694" s="786" t="s">
        <v>10166</v>
      </c>
      <c r="B5694" s="787">
        <v>4</v>
      </c>
      <c r="C5694" s="787" t="s">
        <v>10162</v>
      </c>
      <c r="D5694" s="787">
        <v>0</v>
      </c>
      <c r="E5694" s="787">
        <v>0</v>
      </c>
      <c r="H5694" s="787">
        <v>1</v>
      </c>
      <c r="K5694" s="788">
        <v>41481</v>
      </c>
      <c r="L5694" s="787">
        <v>700</v>
      </c>
      <c r="M5694" s="787">
        <v>10</v>
      </c>
      <c r="N5694" s="787">
        <v>130.77000000000001</v>
      </c>
      <c r="O5694" s="788">
        <v>42116</v>
      </c>
    </row>
    <row r="5695" spans="1:15" x14ac:dyDescent="0.25">
      <c r="A5695" s="786" t="s">
        <v>10166</v>
      </c>
      <c r="B5695" s="787">
        <v>4</v>
      </c>
      <c r="C5695" s="787" t="s">
        <v>10162</v>
      </c>
      <c r="D5695" s="787">
        <v>0</v>
      </c>
      <c r="E5695" s="787">
        <v>0</v>
      </c>
      <c r="H5695" s="787">
        <v>1</v>
      </c>
      <c r="K5695" s="788">
        <v>41481</v>
      </c>
      <c r="L5695" s="787">
        <v>700</v>
      </c>
      <c r="M5695" s="787">
        <v>10</v>
      </c>
      <c r="N5695" s="787">
        <v>130.77000000000001</v>
      </c>
      <c r="O5695" s="788">
        <v>42116</v>
      </c>
    </row>
    <row r="5696" spans="1:15" x14ac:dyDescent="0.25">
      <c r="A5696" s="786" t="s">
        <v>10166</v>
      </c>
      <c r="B5696" s="787">
        <v>4</v>
      </c>
      <c r="C5696" s="787" t="s">
        <v>10162</v>
      </c>
      <c r="D5696" s="787">
        <v>0</v>
      </c>
      <c r="E5696" s="787">
        <v>0</v>
      </c>
      <c r="H5696" s="787">
        <v>1</v>
      </c>
      <c r="K5696" s="788">
        <v>41481</v>
      </c>
      <c r="L5696" s="787">
        <v>700</v>
      </c>
      <c r="M5696" s="787">
        <v>10</v>
      </c>
      <c r="N5696" s="787">
        <v>130.77000000000001</v>
      </c>
      <c r="O5696" s="788">
        <v>42116</v>
      </c>
    </row>
    <row r="5697" spans="1:15" x14ac:dyDescent="0.25">
      <c r="A5697" s="786" t="s">
        <v>10166</v>
      </c>
      <c r="B5697" s="787">
        <v>4</v>
      </c>
      <c r="C5697" s="787" t="s">
        <v>10162</v>
      </c>
      <c r="D5697" s="787">
        <v>0</v>
      </c>
      <c r="E5697" s="787">
        <v>0</v>
      </c>
      <c r="H5697" s="787">
        <v>1</v>
      </c>
      <c r="K5697" s="788">
        <v>41481</v>
      </c>
      <c r="L5697" s="787">
        <v>700</v>
      </c>
      <c r="M5697" s="787">
        <v>10</v>
      </c>
      <c r="N5697" s="787">
        <v>130.77000000000001</v>
      </c>
      <c r="O5697" s="788">
        <v>42116</v>
      </c>
    </row>
    <row r="5698" spans="1:15" x14ac:dyDescent="0.25">
      <c r="A5698" s="786" t="s">
        <v>10166</v>
      </c>
      <c r="B5698" s="787">
        <v>4</v>
      </c>
      <c r="C5698" s="787" t="s">
        <v>10162</v>
      </c>
      <c r="D5698" s="787">
        <v>0</v>
      </c>
      <c r="E5698" s="787">
        <v>0</v>
      </c>
      <c r="H5698" s="787">
        <v>1</v>
      </c>
      <c r="K5698" s="788">
        <v>41481</v>
      </c>
      <c r="L5698" s="787">
        <v>700</v>
      </c>
      <c r="M5698" s="787">
        <v>10</v>
      </c>
      <c r="N5698" s="787">
        <v>130.77000000000001</v>
      </c>
      <c r="O5698" s="788">
        <v>42116</v>
      </c>
    </row>
    <row r="5699" spans="1:15" x14ac:dyDescent="0.25">
      <c r="A5699" s="786" t="s">
        <v>10166</v>
      </c>
      <c r="B5699" s="787">
        <v>4</v>
      </c>
      <c r="C5699" s="787" t="s">
        <v>10162</v>
      </c>
      <c r="D5699" s="787">
        <v>0</v>
      </c>
      <c r="E5699" s="787">
        <v>0</v>
      </c>
      <c r="H5699" s="787">
        <v>1</v>
      </c>
      <c r="K5699" s="788">
        <v>41481</v>
      </c>
      <c r="L5699" s="787">
        <v>700</v>
      </c>
      <c r="M5699" s="787">
        <v>10</v>
      </c>
      <c r="N5699" s="787">
        <v>130.77000000000001</v>
      </c>
      <c r="O5699" s="788">
        <v>42116</v>
      </c>
    </row>
    <row r="5700" spans="1:15" x14ac:dyDescent="0.25">
      <c r="A5700" s="786" t="s">
        <v>10166</v>
      </c>
      <c r="B5700" s="787">
        <v>4</v>
      </c>
      <c r="C5700" s="787" t="s">
        <v>10162</v>
      </c>
      <c r="D5700" s="787">
        <v>0</v>
      </c>
      <c r="E5700" s="787">
        <v>0</v>
      </c>
      <c r="H5700" s="787">
        <v>1</v>
      </c>
      <c r="K5700" s="788">
        <v>41481</v>
      </c>
      <c r="L5700" s="787">
        <v>700</v>
      </c>
      <c r="M5700" s="787">
        <v>10</v>
      </c>
      <c r="N5700" s="787">
        <v>130.77000000000001</v>
      </c>
      <c r="O5700" s="788">
        <v>42116</v>
      </c>
    </row>
    <row r="5701" spans="1:15" x14ac:dyDescent="0.25">
      <c r="A5701" s="786" t="s">
        <v>10166</v>
      </c>
      <c r="B5701" s="787">
        <v>4</v>
      </c>
      <c r="C5701" s="787" t="s">
        <v>10162</v>
      </c>
      <c r="D5701" s="787">
        <v>0</v>
      </c>
      <c r="E5701" s="787">
        <v>0</v>
      </c>
      <c r="H5701" s="787">
        <v>1</v>
      </c>
      <c r="K5701" s="788">
        <v>41481</v>
      </c>
      <c r="L5701" s="787">
        <v>700</v>
      </c>
      <c r="M5701" s="787">
        <v>10</v>
      </c>
      <c r="N5701" s="787">
        <v>130.77000000000001</v>
      </c>
      <c r="O5701" s="788">
        <v>42116</v>
      </c>
    </row>
    <row r="5702" spans="1:15" x14ac:dyDescent="0.25">
      <c r="A5702" s="786" t="s">
        <v>10166</v>
      </c>
      <c r="B5702" s="787">
        <v>4</v>
      </c>
      <c r="C5702" s="787" t="s">
        <v>10162</v>
      </c>
      <c r="D5702" s="787">
        <v>0</v>
      </c>
      <c r="E5702" s="787">
        <v>0</v>
      </c>
      <c r="H5702" s="787">
        <v>1</v>
      </c>
      <c r="K5702" s="788">
        <v>41481</v>
      </c>
      <c r="L5702" s="787">
        <v>700</v>
      </c>
      <c r="M5702" s="787">
        <v>10</v>
      </c>
      <c r="N5702" s="787">
        <v>130.77000000000001</v>
      </c>
      <c r="O5702" s="788">
        <v>42116</v>
      </c>
    </row>
    <row r="5703" spans="1:15" x14ac:dyDescent="0.25">
      <c r="A5703" s="786" t="s">
        <v>10166</v>
      </c>
      <c r="B5703" s="787">
        <v>4</v>
      </c>
      <c r="C5703" s="787" t="s">
        <v>10162</v>
      </c>
      <c r="D5703" s="787">
        <v>0</v>
      </c>
      <c r="E5703" s="787">
        <v>0</v>
      </c>
      <c r="H5703" s="787">
        <v>1</v>
      </c>
      <c r="K5703" s="788">
        <v>41481</v>
      </c>
      <c r="L5703" s="787">
        <v>700</v>
      </c>
      <c r="M5703" s="787">
        <v>10</v>
      </c>
      <c r="N5703" s="787">
        <v>130.77000000000001</v>
      </c>
      <c r="O5703" s="788">
        <v>42116</v>
      </c>
    </row>
    <row r="5704" spans="1:15" x14ac:dyDescent="0.25">
      <c r="A5704" s="786" t="s">
        <v>10166</v>
      </c>
      <c r="B5704" s="787">
        <v>4</v>
      </c>
      <c r="C5704" s="787" t="s">
        <v>10162</v>
      </c>
      <c r="D5704" s="787">
        <v>0</v>
      </c>
      <c r="E5704" s="787">
        <v>0</v>
      </c>
      <c r="H5704" s="787">
        <v>1</v>
      </c>
      <c r="K5704" s="788">
        <v>41481</v>
      </c>
      <c r="L5704" s="787">
        <v>700</v>
      </c>
      <c r="M5704" s="787">
        <v>10</v>
      </c>
      <c r="N5704" s="787">
        <v>130.77000000000001</v>
      </c>
      <c r="O5704" s="788">
        <v>42116</v>
      </c>
    </row>
    <row r="5705" spans="1:15" x14ac:dyDescent="0.25">
      <c r="A5705" s="786" t="s">
        <v>10166</v>
      </c>
      <c r="B5705" s="787">
        <v>4</v>
      </c>
      <c r="C5705" s="787" t="s">
        <v>10162</v>
      </c>
      <c r="D5705" s="787">
        <v>0</v>
      </c>
      <c r="E5705" s="787">
        <v>0</v>
      </c>
      <c r="H5705" s="787">
        <v>1</v>
      </c>
      <c r="K5705" s="788">
        <v>41481</v>
      </c>
      <c r="L5705" s="787">
        <v>700</v>
      </c>
      <c r="M5705" s="787">
        <v>10</v>
      </c>
      <c r="N5705" s="787">
        <v>130.77000000000001</v>
      </c>
      <c r="O5705" s="788">
        <v>42116</v>
      </c>
    </row>
    <row r="5706" spans="1:15" x14ac:dyDescent="0.25">
      <c r="A5706" s="786" t="s">
        <v>10166</v>
      </c>
      <c r="B5706" s="787">
        <v>4</v>
      </c>
      <c r="C5706" s="787" t="s">
        <v>10162</v>
      </c>
      <c r="D5706" s="787">
        <v>0</v>
      </c>
      <c r="E5706" s="787">
        <v>0</v>
      </c>
      <c r="H5706" s="787">
        <v>1</v>
      </c>
      <c r="K5706" s="788">
        <v>41481</v>
      </c>
      <c r="L5706" s="787">
        <v>700</v>
      </c>
      <c r="M5706" s="787">
        <v>10</v>
      </c>
      <c r="N5706" s="787">
        <v>130.77000000000001</v>
      </c>
      <c r="O5706" s="788">
        <v>42116</v>
      </c>
    </row>
    <row r="5707" spans="1:15" x14ac:dyDescent="0.25">
      <c r="A5707" s="786" t="s">
        <v>10166</v>
      </c>
      <c r="B5707" s="787">
        <v>4</v>
      </c>
      <c r="C5707" s="787" t="s">
        <v>10162</v>
      </c>
      <c r="D5707" s="787">
        <v>0</v>
      </c>
      <c r="E5707" s="787">
        <v>0</v>
      </c>
      <c r="H5707" s="787">
        <v>1</v>
      </c>
      <c r="K5707" s="788">
        <v>41481</v>
      </c>
      <c r="L5707" s="787">
        <v>700</v>
      </c>
      <c r="M5707" s="787">
        <v>10</v>
      </c>
      <c r="N5707" s="787">
        <v>130.77000000000001</v>
      </c>
      <c r="O5707" s="788">
        <v>42116</v>
      </c>
    </row>
    <row r="5708" spans="1:15" x14ac:dyDescent="0.25">
      <c r="A5708" s="786" t="s">
        <v>10166</v>
      </c>
      <c r="B5708" s="787">
        <v>4</v>
      </c>
      <c r="C5708" s="787" t="s">
        <v>10162</v>
      </c>
      <c r="D5708" s="787">
        <v>0</v>
      </c>
      <c r="E5708" s="787">
        <v>0</v>
      </c>
      <c r="H5708" s="787">
        <v>1</v>
      </c>
      <c r="K5708" s="788">
        <v>41481</v>
      </c>
      <c r="L5708" s="787">
        <v>700</v>
      </c>
      <c r="M5708" s="787">
        <v>10</v>
      </c>
      <c r="N5708" s="787">
        <v>130.77000000000001</v>
      </c>
      <c r="O5708" s="788">
        <v>42116</v>
      </c>
    </row>
    <row r="5709" spans="1:15" x14ac:dyDescent="0.25">
      <c r="A5709" s="786" t="s">
        <v>10166</v>
      </c>
      <c r="B5709" s="787">
        <v>4</v>
      </c>
      <c r="C5709" s="787" t="s">
        <v>10162</v>
      </c>
      <c r="D5709" s="787">
        <v>0</v>
      </c>
      <c r="E5709" s="787">
        <v>0</v>
      </c>
      <c r="H5709" s="787">
        <v>1</v>
      </c>
      <c r="K5709" s="788">
        <v>41481</v>
      </c>
      <c r="L5709" s="787">
        <v>700</v>
      </c>
      <c r="M5709" s="787">
        <v>10</v>
      </c>
      <c r="N5709" s="787">
        <v>130.77000000000001</v>
      </c>
      <c r="O5709" s="788">
        <v>42116</v>
      </c>
    </row>
    <row r="5710" spans="1:15" x14ac:dyDescent="0.25">
      <c r="A5710" s="786" t="s">
        <v>10166</v>
      </c>
      <c r="B5710" s="787">
        <v>4</v>
      </c>
      <c r="C5710" s="787" t="s">
        <v>10162</v>
      </c>
      <c r="D5710" s="787">
        <v>0</v>
      </c>
      <c r="E5710" s="787">
        <v>0</v>
      </c>
      <c r="H5710" s="787">
        <v>1</v>
      </c>
      <c r="K5710" s="788">
        <v>41481</v>
      </c>
      <c r="L5710" s="787">
        <v>700</v>
      </c>
      <c r="M5710" s="787">
        <v>10</v>
      </c>
      <c r="N5710" s="787">
        <v>130.77000000000001</v>
      </c>
      <c r="O5710" s="788">
        <v>42116</v>
      </c>
    </row>
    <row r="5711" spans="1:15" x14ac:dyDescent="0.25">
      <c r="A5711" s="786" t="s">
        <v>10166</v>
      </c>
      <c r="B5711" s="787">
        <v>4</v>
      </c>
      <c r="C5711" s="787" t="s">
        <v>10162</v>
      </c>
      <c r="D5711" s="787">
        <v>0</v>
      </c>
      <c r="E5711" s="787">
        <v>0</v>
      </c>
      <c r="H5711" s="787">
        <v>1</v>
      </c>
      <c r="K5711" s="788">
        <v>41481</v>
      </c>
      <c r="L5711" s="787">
        <v>700</v>
      </c>
      <c r="M5711" s="787">
        <v>10</v>
      </c>
      <c r="N5711" s="787">
        <v>130.77000000000001</v>
      </c>
      <c r="O5711" s="788">
        <v>42116</v>
      </c>
    </row>
    <row r="5712" spans="1:15" x14ac:dyDescent="0.25">
      <c r="A5712" s="786" t="s">
        <v>10166</v>
      </c>
      <c r="B5712" s="787">
        <v>4</v>
      </c>
      <c r="C5712" s="787" t="s">
        <v>10162</v>
      </c>
      <c r="D5712" s="787">
        <v>0</v>
      </c>
      <c r="E5712" s="787">
        <v>0</v>
      </c>
      <c r="H5712" s="787">
        <v>1</v>
      </c>
      <c r="K5712" s="788">
        <v>41481</v>
      </c>
      <c r="L5712" s="787">
        <v>700</v>
      </c>
      <c r="M5712" s="787">
        <v>10</v>
      </c>
      <c r="N5712" s="787">
        <v>130.77000000000001</v>
      </c>
      <c r="O5712" s="788">
        <v>42116</v>
      </c>
    </row>
    <row r="5713" spans="1:15" x14ac:dyDescent="0.25">
      <c r="A5713" s="786" t="s">
        <v>10166</v>
      </c>
      <c r="B5713" s="787">
        <v>4</v>
      </c>
      <c r="C5713" s="787" t="s">
        <v>10162</v>
      </c>
      <c r="D5713" s="787">
        <v>0</v>
      </c>
      <c r="E5713" s="787">
        <v>0</v>
      </c>
      <c r="H5713" s="787">
        <v>1</v>
      </c>
      <c r="K5713" s="788">
        <v>41481</v>
      </c>
      <c r="L5713" s="787">
        <v>700</v>
      </c>
      <c r="M5713" s="787">
        <v>10</v>
      </c>
      <c r="N5713" s="787">
        <v>130.77000000000001</v>
      </c>
      <c r="O5713" s="788">
        <v>42116</v>
      </c>
    </row>
    <row r="5714" spans="1:15" x14ac:dyDescent="0.25">
      <c r="A5714" s="786" t="s">
        <v>10166</v>
      </c>
      <c r="B5714" s="787">
        <v>4</v>
      </c>
      <c r="C5714" s="787" t="s">
        <v>10162</v>
      </c>
      <c r="D5714" s="787">
        <v>0</v>
      </c>
      <c r="E5714" s="787">
        <v>0</v>
      </c>
      <c r="H5714" s="787">
        <v>1</v>
      </c>
      <c r="K5714" s="788">
        <v>41481</v>
      </c>
      <c r="L5714" s="787">
        <v>700</v>
      </c>
      <c r="M5714" s="787">
        <v>10</v>
      </c>
      <c r="N5714" s="787">
        <v>130.77000000000001</v>
      </c>
      <c r="O5714" s="788">
        <v>42116</v>
      </c>
    </row>
    <row r="5715" spans="1:15" x14ac:dyDescent="0.25">
      <c r="A5715" s="786" t="s">
        <v>10166</v>
      </c>
      <c r="B5715" s="787">
        <v>4</v>
      </c>
      <c r="C5715" s="787" t="s">
        <v>10162</v>
      </c>
      <c r="D5715" s="787">
        <v>0</v>
      </c>
      <c r="E5715" s="787">
        <v>0</v>
      </c>
      <c r="H5715" s="787">
        <v>1</v>
      </c>
      <c r="K5715" s="788">
        <v>41481</v>
      </c>
      <c r="L5715" s="787">
        <v>700</v>
      </c>
      <c r="M5715" s="787">
        <v>10</v>
      </c>
      <c r="N5715" s="787">
        <v>130.77000000000001</v>
      </c>
      <c r="O5715" s="788">
        <v>42116</v>
      </c>
    </row>
    <row r="5716" spans="1:15" x14ac:dyDescent="0.25">
      <c r="A5716" s="786" t="s">
        <v>10166</v>
      </c>
      <c r="B5716" s="787">
        <v>4</v>
      </c>
      <c r="C5716" s="787" t="s">
        <v>10162</v>
      </c>
      <c r="D5716" s="787">
        <v>0</v>
      </c>
      <c r="E5716" s="787">
        <v>0</v>
      </c>
      <c r="H5716" s="787">
        <v>1</v>
      </c>
      <c r="K5716" s="788">
        <v>41481</v>
      </c>
      <c r="L5716" s="787">
        <v>700</v>
      </c>
      <c r="M5716" s="787">
        <v>10</v>
      </c>
      <c r="N5716" s="787">
        <v>130.77000000000001</v>
      </c>
      <c r="O5716" s="788">
        <v>42116</v>
      </c>
    </row>
    <row r="5717" spans="1:15" x14ac:dyDescent="0.25">
      <c r="A5717" s="786" t="s">
        <v>10167</v>
      </c>
      <c r="B5717" s="787">
        <v>4</v>
      </c>
      <c r="C5717" s="787" t="s">
        <v>10164</v>
      </c>
      <c r="D5717" s="787">
        <v>0</v>
      </c>
      <c r="E5717" s="787">
        <v>0</v>
      </c>
      <c r="H5717" s="787">
        <v>1</v>
      </c>
      <c r="K5717" s="788">
        <v>41481</v>
      </c>
      <c r="L5717" s="787">
        <v>700</v>
      </c>
      <c r="M5717" s="787">
        <v>10</v>
      </c>
      <c r="N5717" s="787">
        <v>0</v>
      </c>
    </row>
    <row r="5718" spans="1:15" x14ac:dyDescent="0.25">
      <c r="A5718" s="786" t="s">
        <v>10167</v>
      </c>
      <c r="B5718" s="787">
        <v>4</v>
      </c>
      <c r="C5718" s="787" t="s">
        <v>10164</v>
      </c>
      <c r="D5718" s="787">
        <v>0</v>
      </c>
      <c r="E5718" s="787">
        <v>0</v>
      </c>
      <c r="H5718" s="787">
        <v>1</v>
      </c>
      <c r="K5718" s="788">
        <v>41481</v>
      </c>
      <c r="L5718" s="787">
        <v>700</v>
      </c>
      <c r="M5718" s="787">
        <v>10</v>
      </c>
      <c r="N5718" s="787">
        <v>0</v>
      </c>
    </row>
    <row r="5719" spans="1:15" x14ac:dyDescent="0.25">
      <c r="A5719" s="786" t="s">
        <v>10167</v>
      </c>
      <c r="B5719" s="787">
        <v>4</v>
      </c>
      <c r="C5719" s="787" t="s">
        <v>10164</v>
      </c>
      <c r="D5719" s="787">
        <v>0</v>
      </c>
      <c r="E5719" s="787">
        <v>0</v>
      </c>
      <c r="H5719" s="787">
        <v>1</v>
      </c>
      <c r="K5719" s="788">
        <v>41481</v>
      </c>
      <c r="L5719" s="787">
        <v>700</v>
      </c>
      <c r="M5719" s="787">
        <v>10</v>
      </c>
      <c r="N5719" s="787">
        <v>0</v>
      </c>
    </row>
    <row r="5720" spans="1:15" x14ac:dyDescent="0.25">
      <c r="A5720" s="786" t="s">
        <v>10167</v>
      </c>
      <c r="B5720" s="787">
        <v>4</v>
      </c>
      <c r="C5720" s="787" t="s">
        <v>10164</v>
      </c>
      <c r="D5720" s="787">
        <v>0</v>
      </c>
      <c r="E5720" s="787">
        <v>0</v>
      </c>
      <c r="H5720" s="787">
        <v>1</v>
      </c>
      <c r="K5720" s="788">
        <v>41481</v>
      </c>
      <c r="L5720" s="787">
        <v>700</v>
      </c>
      <c r="M5720" s="787">
        <v>10</v>
      </c>
      <c r="N5720" s="787">
        <v>0</v>
      </c>
    </row>
    <row r="5721" spans="1:15" x14ac:dyDescent="0.25">
      <c r="A5721" s="786" t="s">
        <v>10167</v>
      </c>
      <c r="B5721" s="787">
        <v>4</v>
      </c>
      <c r="C5721" s="787" t="s">
        <v>10164</v>
      </c>
      <c r="D5721" s="787">
        <v>0</v>
      </c>
      <c r="E5721" s="787">
        <v>0</v>
      </c>
      <c r="H5721" s="787">
        <v>1</v>
      </c>
      <c r="K5721" s="788">
        <v>41481</v>
      </c>
      <c r="L5721" s="787">
        <v>700</v>
      </c>
      <c r="M5721" s="787">
        <v>10</v>
      </c>
      <c r="N5721" s="787">
        <v>0</v>
      </c>
    </row>
    <row r="5722" spans="1:15" x14ac:dyDescent="0.25">
      <c r="A5722" s="786" t="s">
        <v>10167</v>
      </c>
      <c r="B5722" s="787">
        <v>4</v>
      </c>
      <c r="C5722" s="787" t="s">
        <v>10164</v>
      </c>
      <c r="D5722" s="787">
        <v>0</v>
      </c>
      <c r="E5722" s="787">
        <v>0</v>
      </c>
      <c r="H5722" s="787">
        <v>1</v>
      </c>
      <c r="K5722" s="788">
        <v>41481</v>
      </c>
      <c r="L5722" s="787">
        <v>700</v>
      </c>
      <c r="M5722" s="787">
        <v>10</v>
      </c>
      <c r="N5722" s="787">
        <v>0</v>
      </c>
    </row>
    <row r="5723" spans="1:15" x14ac:dyDescent="0.25">
      <c r="A5723" s="786" t="s">
        <v>10167</v>
      </c>
      <c r="B5723" s="787">
        <v>4</v>
      </c>
      <c r="C5723" s="787" t="s">
        <v>10164</v>
      </c>
      <c r="D5723" s="787">
        <v>0</v>
      </c>
      <c r="E5723" s="787">
        <v>0</v>
      </c>
      <c r="H5723" s="787">
        <v>1</v>
      </c>
      <c r="K5723" s="788">
        <v>41481</v>
      </c>
      <c r="L5723" s="787">
        <v>700</v>
      </c>
      <c r="M5723" s="787">
        <v>10</v>
      </c>
      <c r="N5723" s="787">
        <v>0</v>
      </c>
    </row>
    <row r="5724" spans="1:15" x14ac:dyDescent="0.25">
      <c r="A5724" s="786" t="s">
        <v>10167</v>
      </c>
      <c r="B5724" s="787">
        <v>4</v>
      </c>
      <c r="C5724" s="787" t="s">
        <v>10164</v>
      </c>
      <c r="D5724" s="787">
        <v>0</v>
      </c>
      <c r="E5724" s="787">
        <v>0</v>
      </c>
      <c r="H5724" s="787">
        <v>1</v>
      </c>
      <c r="K5724" s="788">
        <v>41481</v>
      </c>
      <c r="L5724" s="787">
        <v>700</v>
      </c>
      <c r="M5724" s="787">
        <v>10</v>
      </c>
      <c r="N5724" s="787">
        <v>0</v>
      </c>
    </row>
    <row r="5725" spans="1:15" x14ac:dyDescent="0.25">
      <c r="A5725" s="786" t="s">
        <v>10167</v>
      </c>
      <c r="B5725" s="787">
        <v>4</v>
      </c>
      <c r="C5725" s="787" t="s">
        <v>10164</v>
      </c>
      <c r="D5725" s="787">
        <v>0</v>
      </c>
      <c r="E5725" s="787">
        <v>0</v>
      </c>
      <c r="H5725" s="787">
        <v>1</v>
      </c>
      <c r="K5725" s="788">
        <v>41481</v>
      </c>
      <c r="L5725" s="787">
        <v>700</v>
      </c>
      <c r="M5725" s="787">
        <v>10</v>
      </c>
      <c r="N5725" s="787">
        <v>0</v>
      </c>
    </row>
    <row r="5726" spans="1:15" x14ac:dyDescent="0.25">
      <c r="A5726" s="786" t="s">
        <v>10167</v>
      </c>
      <c r="B5726" s="787">
        <v>4</v>
      </c>
      <c r="C5726" s="787" t="s">
        <v>10164</v>
      </c>
      <c r="D5726" s="787">
        <v>0</v>
      </c>
      <c r="E5726" s="787">
        <v>0</v>
      </c>
      <c r="H5726" s="787">
        <v>1</v>
      </c>
      <c r="K5726" s="788">
        <v>41481</v>
      </c>
      <c r="L5726" s="787">
        <v>700</v>
      </c>
      <c r="M5726" s="787">
        <v>10</v>
      </c>
      <c r="N5726" s="787">
        <v>0</v>
      </c>
    </row>
    <row r="5727" spans="1:15" x14ac:dyDescent="0.25">
      <c r="A5727" s="786" t="s">
        <v>10167</v>
      </c>
      <c r="B5727" s="787">
        <v>4</v>
      </c>
      <c r="C5727" s="787" t="s">
        <v>10164</v>
      </c>
      <c r="D5727" s="787">
        <v>0</v>
      </c>
      <c r="E5727" s="787">
        <v>0</v>
      </c>
      <c r="H5727" s="787">
        <v>1</v>
      </c>
      <c r="K5727" s="788">
        <v>41481</v>
      </c>
      <c r="L5727" s="787">
        <v>700</v>
      </c>
      <c r="M5727" s="787">
        <v>10</v>
      </c>
      <c r="N5727" s="787">
        <v>0</v>
      </c>
    </row>
    <row r="5728" spans="1:15" x14ac:dyDescent="0.25">
      <c r="A5728" s="786" t="s">
        <v>10168</v>
      </c>
      <c r="B5728" s="787">
        <v>4</v>
      </c>
      <c r="C5728" s="787" t="s">
        <v>10155</v>
      </c>
      <c r="D5728" s="787">
        <v>0</v>
      </c>
      <c r="E5728" s="787">
        <v>0</v>
      </c>
      <c r="H5728" s="787">
        <v>1</v>
      </c>
      <c r="L5728" s="787">
        <v>0.01</v>
      </c>
      <c r="M5728" s="787">
        <v>10</v>
      </c>
      <c r="N5728" s="787">
        <v>129.87</v>
      </c>
      <c r="O5728" s="788">
        <v>42127</v>
      </c>
    </row>
    <row r="5729" spans="1:15" x14ac:dyDescent="0.25">
      <c r="A5729" s="786" t="s">
        <v>10169</v>
      </c>
      <c r="B5729" s="787">
        <v>4</v>
      </c>
      <c r="C5729" s="787" t="s">
        <v>10170</v>
      </c>
      <c r="D5729" s="787">
        <v>0</v>
      </c>
      <c r="E5729" s="787">
        <v>0</v>
      </c>
      <c r="H5729" s="787">
        <v>1</v>
      </c>
      <c r="I5729" s="788">
        <v>40736</v>
      </c>
      <c r="J5729" s="788">
        <v>38736</v>
      </c>
      <c r="L5729" s="787">
        <v>0</v>
      </c>
      <c r="M5729" s="787">
        <v>10</v>
      </c>
      <c r="N5729" s="787">
        <v>2.4700000000000002</v>
      </c>
      <c r="O5729" s="788">
        <v>41858</v>
      </c>
    </row>
    <row r="5730" spans="1:15" x14ac:dyDescent="0.25">
      <c r="A5730" s="786" t="s">
        <v>10171</v>
      </c>
      <c r="B5730" s="787">
        <v>4</v>
      </c>
      <c r="C5730" s="787" t="s">
        <v>10172</v>
      </c>
      <c r="D5730" s="787">
        <v>0</v>
      </c>
      <c r="E5730" s="787">
        <v>0</v>
      </c>
      <c r="G5730" s="788">
        <v>38736</v>
      </c>
      <c r="H5730" s="787">
        <v>1</v>
      </c>
      <c r="I5730" s="788">
        <v>40736</v>
      </c>
      <c r="J5730" s="788">
        <v>38736</v>
      </c>
      <c r="L5730" s="787">
        <v>0.06</v>
      </c>
      <c r="M5730" s="787">
        <v>10</v>
      </c>
      <c r="N5730" s="787">
        <v>8.66</v>
      </c>
      <c r="O5730" s="788">
        <v>41858</v>
      </c>
    </row>
    <row r="5731" spans="1:15" x14ac:dyDescent="0.25">
      <c r="A5731" s="786" t="s">
        <v>10173</v>
      </c>
      <c r="B5731" s="787">
        <v>4</v>
      </c>
      <c r="C5731" s="787" t="s">
        <v>10174</v>
      </c>
      <c r="D5731" s="787">
        <v>0</v>
      </c>
      <c r="E5731" s="787">
        <v>0</v>
      </c>
      <c r="G5731" s="788">
        <v>38736</v>
      </c>
      <c r="H5731" s="787">
        <v>1</v>
      </c>
      <c r="I5731" s="788">
        <v>40736</v>
      </c>
      <c r="J5731" s="788">
        <v>38736</v>
      </c>
      <c r="L5731" s="787">
        <v>0.12</v>
      </c>
      <c r="M5731" s="787">
        <v>10</v>
      </c>
      <c r="N5731" s="787">
        <v>21.07</v>
      </c>
      <c r="O5731" s="788">
        <v>41858</v>
      </c>
    </row>
    <row r="5732" spans="1:15" x14ac:dyDescent="0.25">
      <c r="A5732" s="786" t="s">
        <v>10175</v>
      </c>
      <c r="B5732" s="787">
        <v>4</v>
      </c>
      <c r="C5732" s="787" t="s">
        <v>10176</v>
      </c>
      <c r="D5732" s="787">
        <v>0</v>
      </c>
      <c r="E5732" s="787">
        <v>0</v>
      </c>
      <c r="G5732" s="788">
        <v>38736</v>
      </c>
      <c r="H5732" s="787">
        <v>1</v>
      </c>
      <c r="I5732" s="788">
        <v>40736</v>
      </c>
      <c r="J5732" s="788">
        <v>38736</v>
      </c>
      <c r="L5732" s="787">
        <v>0.26</v>
      </c>
      <c r="M5732" s="787">
        <v>10</v>
      </c>
      <c r="N5732" s="787">
        <v>22.03</v>
      </c>
      <c r="O5732" s="788">
        <v>41858</v>
      </c>
    </row>
    <row r="5733" spans="1:15" x14ac:dyDescent="0.25">
      <c r="A5733" s="786" t="s">
        <v>10177</v>
      </c>
      <c r="B5733" s="787">
        <v>4</v>
      </c>
      <c r="C5733" s="787" t="s">
        <v>10178</v>
      </c>
      <c r="D5733" s="787">
        <v>0</v>
      </c>
      <c r="E5733" s="787">
        <v>0</v>
      </c>
      <c r="H5733" s="787">
        <v>1</v>
      </c>
      <c r="L5733" s="787">
        <v>0.25</v>
      </c>
      <c r="M5733" s="787">
        <v>10</v>
      </c>
      <c r="N5733" s="787">
        <v>22.02</v>
      </c>
      <c r="O5733" s="788">
        <v>41858</v>
      </c>
    </row>
    <row r="5734" spans="1:15" x14ac:dyDescent="0.25">
      <c r="A5734" s="786" t="s">
        <v>10179</v>
      </c>
      <c r="B5734" s="787">
        <v>4</v>
      </c>
      <c r="C5734" s="787" t="s">
        <v>10180</v>
      </c>
      <c r="D5734" s="787">
        <v>0.38</v>
      </c>
      <c r="E5734" s="787">
        <v>1.44</v>
      </c>
      <c r="F5734" s="788">
        <v>39456</v>
      </c>
      <c r="G5734" s="788">
        <v>42093</v>
      </c>
      <c r="H5734" s="787">
        <v>1</v>
      </c>
      <c r="I5734" s="788">
        <v>41604</v>
      </c>
      <c r="J5734" s="788">
        <v>42062</v>
      </c>
      <c r="L5734" s="787">
        <v>0.96</v>
      </c>
      <c r="M5734" s="787">
        <v>10</v>
      </c>
      <c r="N5734" s="787">
        <v>2.14</v>
      </c>
      <c r="O5734" s="788">
        <v>42083</v>
      </c>
    </row>
    <row r="5735" spans="1:15" x14ac:dyDescent="0.25">
      <c r="A5735" s="786" t="s">
        <v>10181</v>
      </c>
      <c r="B5735" s="787">
        <v>4</v>
      </c>
      <c r="C5735" s="787" t="s">
        <v>10182</v>
      </c>
      <c r="D5735" s="787">
        <v>1.78</v>
      </c>
      <c r="E5735" s="787">
        <v>1.78</v>
      </c>
      <c r="F5735" s="788">
        <v>41775</v>
      </c>
      <c r="G5735" s="788">
        <v>42013</v>
      </c>
      <c r="H5735" s="787">
        <v>1</v>
      </c>
      <c r="I5735" s="788">
        <v>42032</v>
      </c>
      <c r="J5735" s="788">
        <v>41674</v>
      </c>
      <c r="K5735" s="788">
        <v>41668</v>
      </c>
      <c r="L5735" s="787">
        <v>1.48</v>
      </c>
      <c r="M5735" s="787">
        <v>10</v>
      </c>
      <c r="N5735" s="787">
        <v>2.1800000000000002</v>
      </c>
      <c r="O5735" s="788">
        <v>42087</v>
      </c>
    </row>
    <row r="5736" spans="1:15" x14ac:dyDescent="0.25">
      <c r="A5736" s="786" t="s">
        <v>10183</v>
      </c>
      <c r="B5736" s="787">
        <v>4</v>
      </c>
      <c r="C5736" s="787" t="s">
        <v>10184</v>
      </c>
      <c r="D5736" s="787">
        <v>1.08</v>
      </c>
      <c r="E5736" s="787">
        <v>1.72</v>
      </c>
      <c r="F5736" s="788">
        <v>39456</v>
      </c>
      <c r="G5736" s="788">
        <v>42013</v>
      </c>
      <c r="H5736" s="787">
        <v>1</v>
      </c>
      <c r="I5736" s="788">
        <v>42115</v>
      </c>
      <c r="J5736" s="788">
        <v>41724</v>
      </c>
      <c r="L5736" s="787">
        <v>1.07</v>
      </c>
      <c r="M5736" s="787">
        <v>10</v>
      </c>
      <c r="N5736" s="787">
        <v>2.25</v>
      </c>
      <c r="O5736" s="788">
        <v>42087</v>
      </c>
    </row>
    <row r="5737" spans="1:15" x14ac:dyDescent="0.25">
      <c r="A5737" s="786" t="s">
        <v>10185</v>
      </c>
      <c r="B5737" s="787">
        <v>4</v>
      </c>
      <c r="C5737" s="787" t="s">
        <v>10186</v>
      </c>
      <c r="D5737" s="787">
        <v>1.29</v>
      </c>
      <c r="E5737" s="787">
        <v>1.29</v>
      </c>
      <c r="F5737" s="788">
        <v>38606</v>
      </c>
      <c r="G5737" s="788">
        <v>38606</v>
      </c>
      <c r="H5737" s="787">
        <v>1</v>
      </c>
      <c r="I5737" s="788">
        <v>38736</v>
      </c>
      <c r="J5737" s="788">
        <v>38415</v>
      </c>
      <c r="L5737" s="787">
        <v>1.58</v>
      </c>
      <c r="M5737" s="787">
        <v>10</v>
      </c>
      <c r="N5737" s="787">
        <v>2.11</v>
      </c>
      <c r="O5737" s="788">
        <v>42087</v>
      </c>
    </row>
    <row r="5738" spans="1:15" x14ac:dyDescent="0.25">
      <c r="A5738" s="786" t="s">
        <v>10187</v>
      </c>
      <c r="B5738" s="787">
        <v>4</v>
      </c>
      <c r="C5738" s="787" t="s">
        <v>10188</v>
      </c>
      <c r="D5738" s="787">
        <v>1.28</v>
      </c>
      <c r="E5738" s="787">
        <v>1.28</v>
      </c>
      <c r="F5738" s="788">
        <v>39975</v>
      </c>
      <c r="G5738" s="788">
        <v>39590</v>
      </c>
      <c r="H5738" s="787">
        <v>1</v>
      </c>
      <c r="I5738" s="788">
        <v>39134</v>
      </c>
      <c r="J5738" s="788">
        <v>38736</v>
      </c>
      <c r="L5738" s="787">
        <v>2.2799999999999998</v>
      </c>
      <c r="M5738" s="787">
        <v>10</v>
      </c>
      <c r="N5738" s="787">
        <v>3.25</v>
      </c>
      <c r="O5738" s="788">
        <v>42146</v>
      </c>
    </row>
    <row r="5739" spans="1:15" x14ac:dyDescent="0.25">
      <c r="A5739" s="786" t="s">
        <v>10189</v>
      </c>
      <c r="B5739" s="787">
        <v>4</v>
      </c>
      <c r="C5739" s="787" t="s">
        <v>10190</v>
      </c>
      <c r="D5739" s="787">
        <v>5.83</v>
      </c>
      <c r="E5739" s="787">
        <v>5.83</v>
      </c>
      <c r="F5739" s="788">
        <v>38009</v>
      </c>
      <c r="G5739" s="788">
        <v>38736</v>
      </c>
      <c r="H5739" s="787">
        <v>1</v>
      </c>
      <c r="I5739" s="788">
        <v>41178</v>
      </c>
      <c r="J5739" s="788">
        <v>38009</v>
      </c>
      <c r="L5739" s="787">
        <v>3.47</v>
      </c>
      <c r="M5739" s="787">
        <v>10</v>
      </c>
      <c r="N5739" s="787">
        <v>7.52</v>
      </c>
      <c r="O5739" s="788">
        <v>42146</v>
      </c>
    </row>
    <row r="5740" spans="1:15" x14ac:dyDescent="0.25">
      <c r="A5740" s="786" t="s">
        <v>10191</v>
      </c>
      <c r="B5740" s="787">
        <v>4</v>
      </c>
      <c r="C5740" s="787" t="s">
        <v>10192</v>
      </c>
      <c r="D5740" s="787">
        <v>0</v>
      </c>
      <c r="E5740" s="787">
        <v>0</v>
      </c>
      <c r="H5740" s="787">
        <v>1</v>
      </c>
      <c r="I5740" s="788">
        <v>41178</v>
      </c>
      <c r="L5740" s="787">
        <v>3.47</v>
      </c>
      <c r="M5740" s="787">
        <v>10</v>
      </c>
      <c r="N5740" s="787">
        <v>7.52</v>
      </c>
      <c r="O5740" s="788">
        <v>42146</v>
      </c>
    </row>
    <row r="5741" spans="1:15" x14ac:dyDescent="0.25">
      <c r="A5741" s="786" t="s">
        <v>10193</v>
      </c>
      <c r="B5741" s="787">
        <v>4</v>
      </c>
      <c r="C5741" s="787" t="s">
        <v>10194</v>
      </c>
      <c r="D5741" s="787">
        <v>2.37</v>
      </c>
      <c r="E5741" s="787">
        <v>2.37</v>
      </c>
      <c r="F5741" s="788">
        <v>38047</v>
      </c>
      <c r="G5741" s="788">
        <v>41943</v>
      </c>
      <c r="H5741" s="787">
        <v>1</v>
      </c>
      <c r="J5741" s="788">
        <v>38047</v>
      </c>
      <c r="L5741" s="787">
        <v>2.21</v>
      </c>
      <c r="M5741" s="787">
        <v>10</v>
      </c>
      <c r="N5741" s="787">
        <v>3.17</v>
      </c>
      <c r="O5741" s="788">
        <v>42146</v>
      </c>
    </row>
    <row r="5742" spans="1:15" x14ac:dyDescent="0.25">
      <c r="A5742" s="786" t="s">
        <v>10195</v>
      </c>
      <c r="B5742" s="787">
        <v>4</v>
      </c>
      <c r="C5742" s="787" t="s">
        <v>10196</v>
      </c>
      <c r="D5742" s="787">
        <v>0</v>
      </c>
      <c r="E5742" s="787">
        <v>0</v>
      </c>
      <c r="H5742" s="787">
        <v>1</v>
      </c>
      <c r="I5742" s="788">
        <v>41178</v>
      </c>
      <c r="L5742" s="787">
        <v>16.09</v>
      </c>
      <c r="M5742" s="787">
        <v>10</v>
      </c>
      <c r="N5742" s="787">
        <v>7.27</v>
      </c>
      <c r="O5742" s="788">
        <v>42146</v>
      </c>
    </row>
    <row r="5743" spans="1:15" x14ac:dyDescent="0.25">
      <c r="A5743" s="786" t="s">
        <v>10197</v>
      </c>
      <c r="B5743" s="787">
        <v>4</v>
      </c>
      <c r="C5743" s="787" t="s">
        <v>10196</v>
      </c>
      <c r="D5743" s="787">
        <v>0</v>
      </c>
      <c r="E5743" s="787">
        <v>0</v>
      </c>
      <c r="H5743" s="787">
        <v>1</v>
      </c>
      <c r="I5743" s="788">
        <v>41178</v>
      </c>
      <c r="L5743" s="787">
        <v>16.09</v>
      </c>
      <c r="M5743" s="787">
        <v>10</v>
      </c>
      <c r="N5743" s="787">
        <v>6.28</v>
      </c>
      <c r="O5743" s="788">
        <v>42146</v>
      </c>
    </row>
    <row r="5744" spans="1:15" x14ac:dyDescent="0.25">
      <c r="A5744" s="786" t="s">
        <v>10198</v>
      </c>
      <c r="B5744" s="787">
        <v>4</v>
      </c>
      <c r="C5744" s="787" t="s">
        <v>10199</v>
      </c>
      <c r="D5744" s="787">
        <v>4.17</v>
      </c>
      <c r="E5744" s="787">
        <v>4.17</v>
      </c>
      <c r="F5744" s="788">
        <v>39101</v>
      </c>
      <c r="G5744" s="788">
        <v>41943</v>
      </c>
      <c r="H5744" s="787">
        <v>1</v>
      </c>
      <c r="I5744" s="788">
        <v>39134</v>
      </c>
      <c r="J5744" s="788">
        <v>39149</v>
      </c>
      <c r="L5744" s="787">
        <v>1.27</v>
      </c>
      <c r="M5744" s="787">
        <v>10</v>
      </c>
      <c r="N5744" s="787">
        <v>2</v>
      </c>
      <c r="O5744" s="788">
        <v>41955</v>
      </c>
    </row>
    <row r="5745" spans="1:15" x14ac:dyDescent="0.25">
      <c r="A5745" s="786" t="s">
        <v>10200</v>
      </c>
      <c r="B5745" s="787">
        <v>4</v>
      </c>
      <c r="C5745" s="787" t="s">
        <v>10201</v>
      </c>
      <c r="D5745" s="787">
        <v>0.82</v>
      </c>
      <c r="E5745" s="787">
        <v>0.82</v>
      </c>
      <c r="F5745" s="788">
        <v>39101</v>
      </c>
      <c r="G5745" s="788">
        <v>39101</v>
      </c>
      <c r="H5745" s="787">
        <v>1</v>
      </c>
      <c r="I5745" s="788">
        <v>39134</v>
      </c>
      <c r="J5745" s="788">
        <v>39149</v>
      </c>
      <c r="L5745" s="787">
        <v>0.87</v>
      </c>
      <c r="M5745" s="787">
        <v>10</v>
      </c>
      <c r="N5745" s="787">
        <v>1.21</v>
      </c>
      <c r="O5745" s="788">
        <v>42146</v>
      </c>
    </row>
    <row r="5746" spans="1:15" x14ac:dyDescent="0.25">
      <c r="A5746" s="786" t="s">
        <v>10202</v>
      </c>
      <c r="B5746" s="787">
        <v>4</v>
      </c>
      <c r="C5746" s="787" t="s">
        <v>10203</v>
      </c>
      <c r="D5746" s="787">
        <v>4.2699999999999996</v>
      </c>
      <c r="E5746" s="787">
        <v>4.2699999999999996</v>
      </c>
      <c r="F5746" s="788">
        <v>39101</v>
      </c>
      <c r="G5746" s="788">
        <v>41565</v>
      </c>
      <c r="H5746" s="787">
        <v>1</v>
      </c>
      <c r="I5746" s="788">
        <v>40319</v>
      </c>
      <c r="J5746" s="788">
        <v>39149</v>
      </c>
      <c r="L5746" s="787">
        <v>1.03</v>
      </c>
      <c r="M5746" s="787">
        <v>10</v>
      </c>
      <c r="N5746" s="787">
        <v>1.28</v>
      </c>
      <c r="O5746" s="788">
        <v>42146</v>
      </c>
    </row>
    <row r="5747" spans="1:15" x14ac:dyDescent="0.25">
      <c r="A5747" s="786" t="s">
        <v>10204</v>
      </c>
      <c r="B5747" s="787">
        <v>4</v>
      </c>
      <c r="C5747" s="787" t="s">
        <v>10205</v>
      </c>
      <c r="D5747" s="787">
        <v>0.96</v>
      </c>
      <c r="E5747" s="787">
        <v>1.23</v>
      </c>
      <c r="F5747" s="788">
        <v>39456</v>
      </c>
      <c r="G5747" s="788">
        <v>41565</v>
      </c>
      <c r="H5747" s="787">
        <v>1</v>
      </c>
      <c r="I5747" s="788">
        <v>41487</v>
      </c>
      <c r="J5747" s="788">
        <v>39226</v>
      </c>
      <c r="L5747" s="787">
        <v>1.1399999999999999</v>
      </c>
      <c r="M5747" s="787">
        <v>10</v>
      </c>
      <c r="N5747" s="787">
        <v>1.35</v>
      </c>
      <c r="O5747" s="788">
        <v>42146</v>
      </c>
    </row>
    <row r="5748" spans="1:15" x14ac:dyDescent="0.25">
      <c r="A5748" s="786" t="s">
        <v>10206</v>
      </c>
      <c r="B5748" s="787">
        <v>4</v>
      </c>
      <c r="C5748" s="787" t="s">
        <v>10203</v>
      </c>
      <c r="D5748" s="787">
        <v>4.6900000000000004</v>
      </c>
      <c r="E5748" s="787">
        <v>4.6900000000000004</v>
      </c>
      <c r="F5748" s="788">
        <v>39101</v>
      </c>
      <c r="G5748" s="788">
        <v>41565</v>
      </c>
      <c r="H5748" s="787">
        <v>1</v>
      </c>
      <c r="I5748" s="788">
        <v>39134</v>
      </c>
      <c r="J5748" s="788">
        <v>39149</v>
      </c>
      <c r="L5748" s="787">
        <v>1.1399999999999999</v>
      </c>
      <c r="M5748" s="787">
        <v>10</v>
      </c>
      <c r="N5748" s="787">
        <v>1.47</v>
      </c>
      <c r="O5748" s="788">
        <v>42146</v>
      </c>
    </row>
    <row r="5749" spans="1:15" x14ac:dyDescent="0.25">
      <c r="A5749" s="786" t="s">
        <v>10207</v>
      </c>
      <c r="B5749" s="787">
        <v>4</v>
      </c>
      <c r="C5749" s="787" t="s">
        <v>10208</v>
      </c>
      <c r="D5749" s="787">
        <v>4.1500000000000004</v>
      </c>
      <c r="E5749" s="787">
        <v>4.1500000000000004</v>
      </c>
      <c r="F5749" s="788">
        <v>39101</v>
      </c>
      <c r="G5749" s="788">
        <v>41565</v>
      </c>
      <c r="H5749" s="787">
        <v>1</v>
      </c>
      <c r="I5749" s="788">
        <v>40247</v>
      </c>
      <c r="J5749" s="788">
        <v>39149</v>
      </c>
      <c r="L5749" s="787">
        <v>0.99</v>
      </c>
      <c r="M5749" s="787">
        <v>10</v>
      </c>
      <c r="N5749" s="787">
        <v>1.28</v>
      </c>
      <c r="O5749" s="788">
        <v>42162</v>
      </c>
    </row>
    <row r="5750" spans="1:15" x14ac:dyDescent="0.25">
      <c r="A5750" s="786" t="s">
        <v>10209</v>
      </c>
      <c r="B5750" s="787">
        <v>4</v>
      </c>
      <c r="C5750" s="787" t="s">
        <v>10210</v>
      </c>
      <c r="D5750" s="787">
        <v>4.1500000000000004</v>
      </c>
      <c r="E5750" s="787">
        <v>4.1500000000000004</v>
      </c>
      <c r="F5750" s="788">
        <v>39101</v>
      </c>
      <c r="G5750" s="788">
        <v>41565</v>
      </c>
      <c r="H5750" s="787">
        <v>1</v>
      </c>
      <c r="I5750" s="788">
        <v>41145</v>
      </c>
      <c r="J5750" s="788">
        <v>39149</v>
      </c>
      <c r="L5750" s="787">
        <v>0.99</v>
      </c>
      <c r="M5750" s="787">
        <v>10</v>
      </c>
      <c r="N5750" s="787">
        <v>1.28</v>
      </c>
      <c r="O5750" s="788">
        <v>42162</v>
      </c>
    </row>
    <row r="5751" spans="1:15" x14ac:dyDescent="0.25">
      <c r="A5751" s="786" t="s">
        <v>10211</v>
      </c>
      <c r="B5751" s="787">
        <v>4</v>
      </c>
      <c r="C5751" s="787" t="s">
        <v>10208</v>
      </c>
      <c r="D5751" s="787">
        <v>0.57999999999999996</v>
      </c>
      <c r="E5751" s="787">
        <v>1.05</v>
      </c>
      <c r="F5751" s="788">
        <v>39456</v>
      </c>
      <c r="G5751" s="788">
        <v>41565</v>
      </c>
      <c r="H5751" s="787">
        <v>1</v>
      </c>
      <c r="I5751" s="788">
        <v>39134</v>
      </c>
      <c r="J5751" s="788">
        <v>39226</v>
      </c>
      <c r="L5751" s="787">
        <v>0.72</v>
      </c>
      <c r="M5751" s="787">
        <v>10</v>
      </c>
      <c r="N5751" s="787">
        <v>0.94</v>
      </c>
      <c r="O5751" s="788">
        <v>42162</v>
      </c>
    </row>
    <row r="5752" spans="1:15" x14ac:dyDescent="0.25">
      <c r="A5752" s="786" t="s">
        <v>10212</v>
      </c>
      <c r="B5752" s="787">
        <v>4</v>
      </c>
      <c r="C5752" s="787" t="s">
        <v>10210</v>
      </c>
      <c r="D5752" s="787">
        <v>0.57999999999999996</v>
      </c>
      <c r="E5752" s="787">
        <v>0.84</v>
      </c>
      <c r="F5752" s="788">
        <v>39456</v>
      </c>
      <c r="G5752" s="788">
        <v>41565</v>
      </c>
      <c r="H5752" s="787">
        <v>1</v>
      </c>
      <c r="I5752" s="788">
        <v>42109</v>
      </c>
      <c r="J5752" s="788">
        <v>39226</v>
      </c>
      <c r="L5752" s="787">
        <v>0.72</v>
      </c>
      <c r="M5752" s="787">
        <v>10</v>
      </c>
      <c r="N5752" s="787">
        <v>0.94</v>
      </c>
      <c r="O5752" s="788">
        <v>42162</v>
      </c>
    </row>
    <row r="5753" spans="1:15" x14ac:dyDescent="0.25">
      <c r="A5753" s="786" t="s">
        <v>10213</v>
      </c>
      <c r="B5753" s="787">
        <v>4</v>
      </c>
      <c r="C5753" s="787" t="s">
        <v>10208</v>
      </c>
      <c r="D5753" s="787">
        <v>3.97</v>
      </c>
      <c r="E5753" s="787">
        <v>3.97</v>
      </c>
      <c r="F5753" s="788">
        <v>39101</v>
      </c>
      <c r="G5753" s="788">
        <v>41565</v>
      </c>
      <c r="H5753" s="787">
        <v>1</v>
      </c>
      <c r="I5753" s="788">
        <v>39134</v>
      </c>
      <c r="J5753" s="788">
        <v>39149</v>
      </c>
      <c r="L5753" s="787">
        <v>0.76</v>
      </c>
      <c r="M5753" s="787">
        <v>10</v>
      </c>
      <c r="N5753" s="787">
        <v>1.08</v>
      </c>
      <c r="O5753" s="788">
        <v>42146</v>
      </c>
    </row>
    <row r="5754" spans="1:15" x14ac:dyDescent="0.25">
      <c r="A5754" s="786" t="s">
        <v>10214</v>
      </c>
      <c r="B5754" s="787">
        <v>4</v>
      </c>
      <c r="C5754" s="787" t="s">
        <v>10210</v>
      </c>
      <c r="D5754" s="787">
        <v>3.97</v>
      </c>
      <c r="E5754" s="787">
        <v>3.97</v>
      </c>
      <c r="F5754" s="788">
        <v>39101</v>
      </c>
      <c r="G5754" s="788">
        <v>41565</v>
      </c>
      <c r="H5754" s="787">
        <v>1</v>
      </c>
      <c r="I5754" s="788">
        <v>40989</v>
      </c>
      <c r="J5754" s="788">
        <v>39149</v>
      </c>
      <c r="L5754" s="787">
        <v>0.76</v>
      </c>
      <c r="M5754" s="787">
        <v>10</v>
      </c>
      <c r="N5754" s="787">
        <v>1.08</v>
      </c>
      <c r="O5754" s="788">
        <v>42146</v>
      </c>
    </row>
    <row r="5755" spans="1:15" x14ac:dyDescent="0.25">
      <c r="A5755" s="786" t="s">
        <v>10215</v>
      </c>
      <c r="B5755" s="787">
        <v>4</v>
      </c>
      <c r="C5755" s="787" t="s">
        <v>10216</v>
      </c>
      <c r="D5755" s="787">
        <v>2.81</v>
      </c>
      <c r="E5755" s="787">
        <v>2.81</v>
      </c>
      <c r="F5755" s="788">
        <v>39101</v>
      </c>
      <c r="G5755" s="788">
        <v>41565</v>
      </c>
      <c r="H5755" s="787">
        <v>1</v>
      </c>
      <c r="I5755" s="788">
        <v>41767</v>
      </c>
      <c r="J5755" s="788">
        <v>39149</v>
      </c>
      <c r="L5755" s="787">
        <v>1.07</v>
      </c>
      <c r="M5755" s="787">
        <v>10</v>
      </c>
      <c r="N5755" s="787">
        <v>1.7</v>
      </c>
      <c r="O5755" s="788">
        <v>42162</v>
      </c>
    </row>
    <row r="5756" spans="1:15" x14ac:dyDescent="0.25">
      <c r="A5756" s="786" t="s">
        <v>10217</v>
      </c>
      <c r="B5756" s="787">
        <v>4</v>
      </c>
      <c r="C5756" s="787" t="s">
        <v>10218</v>
      </c>
      <c r="D5756" s="787">
        <v>0.17</v>
      </c>
      <c r="E5756" s="787">
        <v>1.62</v>
      </c>
      <c r="F5756" s="788">
        <v>39456</v>
      </c>
      <c r="G5756" s="788">
        <v>42013</v>
      </c>
      <c r="H5756" s="787">
        <v>1</v>
      </c>
      <c r="I5756" s="788">
        <v>42123</v>
      </c>
      <c r="J5756" s="788">
        <v>41382</v>
      </c>
      <c r="L5756" s="787">
        <v>0.51</v>
      </c>
      <c r="M5756" s="787">
        <v>10</v>
      </c>
      <c r="N5756" s="787">
        <v>1.1100000000000001</v>
      </c>
      <c r="O5756" s="788">
        <v>42111</v>
      </c>
    </row>
    <row r="5757" spans="1:15" x14ac:dyDescent="0.25">
      <c r="A5757" s="786" t="s">
        <v>10219</v>
      </c>
      <c r="B5757" s="787">
        <v>4</v>
      </c>
      <c r="C5757" s="787" t="s">
        <v>10220</v>
      </c>
      <c r="D5757" s="787">
        <v>0.13</v>
      </c>
      <c r="E5757" s="787">
        <v>2.3199999999999998</v>
      </c>
      <c r="F5757" s="788">
        <v>39456</v>
      </c>
      <c r="G5757" s="788">
        <v>42118</v>
      </c>
      <c r="H5757" s="787">
        <v>1</v>
      </c>
      <c r="I5757" s="788">
        <v>42163</v>
      </c>
      <c r="J5757" s="788">
        <v>42088</v>
      </c>
      <c r="L5757" s="787">
        <v>0.77</v>
      </c>
      <c r="M5757" s="787">
        <v>10</v>
      </c>
      <c r="N5757" s="787">
        <v>1.82</v>
      </c>
      <c r="O5757" s="788">
        <v>42163</v>
      </c>
    </row>
    <row r="5758" spans="1:15" x14ac:dyDescent="0.25">
      <c r="A5758" s="786" t="s">
        <v>10221</v>
      </c>
      <c r="B5758" s="787">
        <v>4</v>
      </c>
      <c r="C5758" s="787" t="s">
        <v>10222</v>
      </c>
      <c r="D5758" s="787">
        <v>4.41</v>
      </c>
      <c r="E5758" s="787">
        <v>4.41</v>
      </c>
      <c r="F5758" s="788">
        <v>39101</v>
      </c>
      <c r="G5758" s="788">
        <v>42013</v>
      </c>
      <c r="H5758" s="787">
        <v>1</v>
      </c>
      <c r="I5758" s="788">
        <v>42156</v>
      </c>
      <c r="J5758" s="788">
        <v>40345</v>
      </c>
      <c r="L5758" s="787">
        <v>4.12</v>
      </c>
      <c r="M5758" s="787">
        <v>10</v>
      </c>
      <c r="N5758" s="787">
        <v>22.93</v>
      </c>
      <c r="O5758" s="788">
        <v>42164</v>
      </c>
    </row>
    <row r="5759" spans="1:15" x14ac:dyDescent="0.25">
      <c r="A5759" s="786" t="s">
        <v>10223</v>
      </c>
      <c r="B5759" s="787">
        <v>4</v>
      </c>
      <c r="C5759" s="787" t="s">
        <v>10224</v>
      </c>
      <c r="D5759" s="787">
        <v>3.32</v>
      </c>
      <c r="E5759" s="787">
        <v>3.32</v>
      </c>
      <c r="F5759" s="788">
        <v>39101</v>
      </c>
      <c r="G5759" s="788">
        <v>41943</v>
      </c>
      <c r="H5759" s="787">
        <v>1</v>
      </c>
      <c r="I5759" s="788">
        <v>42156</v>
      </c>
      <c r="J5759" s="788">
        <v>39149</v>
      </c>
      <c r="L5759" s="787">
        <v>3.23</v>
      </c>
      <c r="M5759" s="787">
        <v>10</v>
      </c>
      <c r="N5759" s="787">
        <v>5.18</v>
      </c>
      <c r="O5759" s="788">
        <v>42164</v>
      </c>
    </row>
    <row r="5760" spans="1:15" x14ac:dyDescent="0.25">
      <c r="A5760" s="786" t="s">
        <v>10225</v>
      </c>
      <c r="B5760" s="787">
        <v>4</v>
      </c>
      <c r="C5760" s="787" t="s">
        <v>10226</v>
      </c>
      <c r="D5760" s="787">
        <v>0.72</v>
      </c>
      <c r="E5760" s="787">
        <v>2.99</v>
      </c>
      <c r="F5760" s="788">
        <v>39975</v>
      </c>
      <c r="G5760" s="788">
        <v>42046</v>
      </c>
      <c r="H5760" s="787">
        <v>1</v>
      </c>
      <c r="I5760" s="788">
        <v>42156</v>
      </c>
      <c r="J5760" s="788">
        <v>42018</v>
      </c>
      <c r="K5760" s="788">
        <v>41989</v>
      </c>
      <c r="L5760" s="787">
        <v>3.45</v>
      </c>
      <c r="M5760" s="787">
        <v>10</v>
      </c>
      <c r="N5760" s="787">
        <v>12.55</v>
      </c>
      <c r="O5760" s="788">
        <v>42164</v>
      </c>
    </row>
    <row r="5761" spans="1:15" x14ac:dyDescent="0.25">
      <c r="A5761" s="786" t="s">
        <v>10227</v>
      </c>
      <c r="B5761" s="787">
        <v>4</v>
      </c>
      <c r="C5761" s="787" t="s">
        <v>10228</v>
      </c>
      <c r="D5761" s="787">
        <v>1.76</v>
      </c>
      <c r="E5761" s="787">
        <v>1.76</v>
      </c>
      <c r="F5761" s="788">
        <v>39101</v>
      </c>
      <c r="G5761" s="788">
        <v>42013</v>
      </c>
      <c r="H5761" s="787">
        <v>1</v>
      </c>
      <c r="I5761" s="788">
        <v>42156</v>
      </c>
      <c r="J5761" s="788">
        <v>40478</v>
      </c>
      <c r="L5761" s="787">
        <v>1.84</v>
      </c>
      <c r="M5761" s="787">
        <v>10</v>
      </c>
      <c r="N5761" s="787">
        <v>3.02</v>
      </c>
      <c r="O5761" s="788">
        <v>42164</v>
      </c>
    </row>
    <row r="5762" spans="1:15" x14ac:dyDescent="0.25">
      <c r="A5762" s="786" t="s">
        <v>10229</v>
      </c>
      <c r="B5762" s="787">
        <v>4</v>
      </c>
      <c r="C5762" s="787" t="s">
        <v>10230</v>
      </c>
      <c r="D5762" s="787">
        <v>1.73</v>
      </c>
      <c r="E5762" s="787">
        <v>1.73</v>
      </c>
      <c r="F5762" s="788">
        <v>39975</v>
      </c>
      <c r="G5762" s="788">
        <v>41943</v>
      </c>
      <c r="H5762" s="787">
        <v>1</v>
      </c>
      <c r="I5762" s="788">
        <v>42165</v>
      </c>
      <c r="J5762" s="788">
        <v>39149</v>
      </c>
      <c r="L5762" s="787">
        <v>2.68</v>
      </c>
      <c r="M5762" s="787">
        <v>10</v>
      </c>
      <c r="N5762" s="787">
        <v>3.94</v>
      </c>
      <c r="O5762" s="788">
        <v>42164</v>
      </c>
    </row>
    <row r="5763" spans="1:15" x14ac:dyDescent="0.25">
      <c r="A5763" s="786" t="s">
        <v>10231</v>
      </c>
      <c r="B5763" s="787">
        <v>4</v>
      </c>
      <c r="C5763" s="787" t="s">
        <v>10232</v>
      </c>
      <c r="D5763" s="787">
        <v>1.86</v>
      </c>
      <c r="E5763" s="787">
        <v>1.86</v>
      </c>
      <c r="F5763" s="788">
        <v>39101</v>
      </c>
      <c r="G5763" s="788">
        <v>42013</v>
      </c>
      <c r="H5763" s="787">
        <v>1</v>
      </c>
      <c r="I5763" s="788">
        <v>41738</v>
      </c>
      <c r="J5763" s="788">
        <v>40074</v>
      </c>
      <c r="L5763" s="787">
        <v>1.04</v>
      </c>
      <c r="M5763" s="787">
        <v>10</v>
      </c>
      <c r="N5763" s="787">
        <v>1.55</v>
      </c>
      <c r="O5763" s="788">
        <v>42083</v>
      </c>
    </row>
    <row r="5764" spans="1:15" x14ac:dyDescent="0.25">
      <c r="A5764" s="786" t="s">
        <v>10233</v>
      </c>
      <c r="B5764" s="787">
        <v>4</v>
      </c>
      <c r="C5764" s="787" t="s">
        <v>10234</v>
      </c>
      <c r="D5764" s="787">
        <v>0.28000000000000003</v>
      </c>
      <c r="E5764" s="787">
        <v>10.28</v>
      </c>
      <c r="F5764" s="788">
        <v>38606</v>
      </c>
      <c r="G5764" s="788">
        <v>38296</v>
      </c>
      <c r="H5764" s="787">
        <v>1</v>
      </c>
      <c r="J5764" s="788">
        <v>38296</v>
      </c>
      <c r="L5764" s="787">
        <v>8.69</v>
      </c>
      <c r="M5764" s="787">
        <v>10</v>
      </c>
      <c r="N5764" s="787">
        <v>12.9</v>
      </c>
      <c r="O5764" s="788">
        <v>42061</v>
      </c>
    </row>
    <row r="5765" spans="1:15" x14ac:dyDescent="0.25">
      <c r="A5765" s="786" t="s">
        <v>10235</v>
      </c>
      <c r="B5765" s="787">
        <v>4</v>
      </c>
      <c r="C5765" s="787" t="s">
        <v>10236</v>
      </c>
      <c r="D5765" s="787">
        <v>4.2699999999999996</v>
      </c>
      <c r="E5765" s="787">
        <v>4.58</v>
      </c>
      <c r="F5765" s="788">
        <v>38606</v>
      </c>
      <c r="G5765" s="788">
        <v>38606</v>
      </c>
      <c r="H5765" s="787">
        <v>1</v>
      </c>
      <c r="I5765" s="788">
        <v>38296</v>
      </c>
      <c r="J5765" s="788">
        <v>38514</v>
      </c>
      <c r="L5765" s="787">
        <v>4.49</v>
      </c>
      <c r="M5765" s="787">
        <v>10</v>
      </c>
      <c r="N5765" s="787">
        <v>4.7300000000000004</v>
      </c>
      <c r="O5765" s="788">
        <v>42061</v>
      </c>
    </row>
    <row r="5766" spans="1:15" x14ac:dyDescent="0.25">
      <c r="A5766" s="786" t="s">
        <v>10237</v>
      </c>
      <c r="B5766" s="787">
        <v>4</v>
      </c>
      <c r="C5766" s="787" t="s">
        <v>10238</v>
      </c>
      <c r="D5766" s="787">
        <v>1.52</v>
      </c>
      <c r="E5766" s="787">
        <v>1.82</v>
      </c>
      <c r="F5766" s="788">
        <v>38606</v>
      </c>
      <c r="G5766" s="788">
        <v>38514</v>
      </c>
      <c r="H5766" s="787">
        <v>1</v>
      </c>
      <c r="I5766" s="788">
        <v>38559</v>
      </c>
      <c r="J5766" s="788">
        <v>38514</v>
      </c>
      <c r="L5766" s="787">
        <v>1.84</v>
      </c>
      <c r="M5766" s="787">
        <v>10</v>
      </c>
      <c r="N5766" s="787">
        <v>2.2200000000000002</v>
      </c>
      <c r="O5766" s="788">
        <v>42061</v>
      </c>
    </row>
    <row r="5767" spans="1:15" x14ac:dyDescent="0.25">
      <c r="A5767" s="786" t="s">
        <v>10239</v>
      </c>
      <c r="B5767" s="787">
        <v>4</v>
      </c>
      <c r="C5767" s="787" t="s">
        <v>10240</v>
      </c>
      <c r="D5767" s="787">
        <v>0.55000000000000004</v>
      </c>
      <c r="E5767" s="787">
        <v>1.76</v>
      </c>
      <c r="F5767" s="788">
        <v>38606</v>
      </c>
      <c r="G5767" s="788">
        <v>42051</v>
      </c>
      <c r="H5767" s="787">
        <v>1</v>
      </c>
      <c r="I5767" s="788">
        <v>42150</v>
      </c>
      <c r="J5767" s="788">
        <v>42018</v>
      </c>
      <c r="L5767" s="787">
        <v>0.55000000000000004</v>
      </c>
      <c r="M5767" s="787">
        <v>10</v>
      </c>
      <c r="N5767" s="787">
        <v>1.05</v>
      </c>
      <c r="O5767" s="788">
        <v>42144</v>
      </c>
    </row>
    <row r="5768" spans="1:15" x14ac:dyDescent="0.25">
      <c r="A5768" s="786" t="s">
        <v>10241</v>
      </c>
      <c r="B5768" s="787">
        <v>4</v>
      </c>
      <c r="C5768" s="787" t="s">
        <v>10242</v>
      </c>
      <c r="D5768" s="787">
        <v>3.7</v>
      </c>
      <c r="E5768" s="787">
        <v>3.7</v>
      </c>
      <c r="F5768" s="788">
        <v>39101</v>
      </c>
      <c r="G5768" s="788">
        <v>39101</v>
      </c>
      <c r="H5768" s="787">
        <v>1</v>
      </c>
      <c r="I5768" s="788">
        <v>42166</v>
      </c>
      <c r="J5768" s="788">
        <v>39101</v>
      </c>
      <c r="L5768" s="787">
        <v>3.7</v>
      </c>
      <c r="M5768" s="787">
        <v>10</v>
      </c>
      <c r="N5768" s="787">
        <v>6.95</v>
      </c>
      <c r="O5768" s="788">
        <v>42156</v>
      </c>
    </row>
    <row r="5769" spans="1:15" x14ac:dyDescent="0.25">
      <c r="A5769" s="786" t="s">
        <v>10243</v>
      </c>
      <c r="B5769" s="787">
        <v>4</v>
      </c>
      <c r="C5769" s="787" t="s">
        <v>10244</v>
      </c>
      <c r="D5769" s="787">
        <v>2.82</v>
      </c>
      <c r="E5769" s="787">
        <v>330.8</v>
      </c>
      <c r="F5769" s="788">
        <v>40948</v>
      </c>
      <c r="G5769" s="788">
        <v>42158</v>
      </c>
      <c r="H5769" s="787">
        <v>1</v>
      </c>
      <c r="I5769" s="788">
        <v>42159</v>
      </c>
      <c r="J5769" s="788">
        <v>42158</v>
      </c>
      <c r="L5769" s="787">
        <v>70.28</v>
      </c>
      <c r="M5769" s="787">
        <v>10</v>
      </c>
      <c r="N5769" s="787">
        <v>357.64</v>
      </c>
      <c r="O5769" s="788">
        <v>42164</v>
      </c>
    </row>
    <row r="5770" spans="1:15" x14ac:dyDescent="0.25">
      <c r="A5770" s="786" t="s">
        <v>10245</v>
      </c>
      <c r="B5770" s="787">
        <v>4</v>
      </c>
      <c r="C5770" s="787" t="s">
        <v>10246</v>
      </c>
      <c r="D5770" s="787">
        <v>0.23</v>
      </c>
      <c r="E5770" s="787">
        <v>317.7</v>
      </c>
      <c r="F5770" s="788">
        <v>41806</v>
      </c>
      <c r="G5770" s="788">
        <v>42158</v>
      </c>
      <c r="H5770" s="787">
        <v>1</v>
      </c>
      <c r="I5770" s="788">
        <v>42158</v>
      </c>
      <c r="J5770" s="788">
        <v>42158</v>
      </c>
      <c r="L5770" s="787">
        <v>70.28</v>
      </c>
      <c r="M5770" s="787">
        <v>10</v>
      </c>
      <c r="N5770" s="787">
        <v>357.65</v>
      </c>
      <c r="O5770" s="788">
        <v>42108</v>
      </c>
    </row>
    <row r="5771" spans="1:15" x14ac:dyDescent="0.25">
      <c r="A5771" s="786" t="s">
        <v>10247</v>
      </c>
      <c r="B5771" s="787">
        <v>4</v>
      </c>
      <c r="C5771" s="787" t="s">
        <v>10248</v>
      </c>
      <c r="D5771" s="787">
        <v>1.28</v>
      </c>
      <c r="E5771" s="787">
        <v>1.28</v>
      </c>
      <c r="F5771" s="788">
        <v>39975</v>
      </c>
      <c r="G5771" s="788">
        <v>42013</v>
      </c>
      <c r="H5771" s="787">
        <v>1</v>
      </c>
      <c r="I5771" s="788">
        <v>42156</v>
      </c>
      <c r="J5771" s="788">
        <v>40345</v>
      </c>
      <c r="L5771" s="787">
        <v>4.12</v>
      </c>
      <c r="M5771" s="787">
        <v>10</v>
      </c>
      <c r="N5771" s="787">
        <v>22.93</v>
      </c>
      <c r="O5771" s="788">
        <v>42108</v>
      </c>
    </row>
    <row r="5772" spans="1:15" x14ac:dyDescent="0.25">
      <c r="A5772" s="786" t="s">
        <v>10249</v>
      </c>
      <c r="B5772" s="787">
        <v>4</v>
      </c>
      <c r="C5772" s="787" t="s">
        <v>10250</v>
      </c>
      <c r="D5772" s="787">
        <v>0.02</v>
      </c>
      <c r="E5772" s="787">
        <v>0.63</v>
      </c>
      <c r="F5772" s="788">
        <v>39975</v>
      </c>
      <c r="G5772" s="788">
        <v>41565</v>
      </c>
      <c r="H5772" s="787">
        <v>1</v>
      </c>
      <c r="I5772" s="788">
        <v>42156</v>
      </c>
      <c r="J5772" s="788">
        <v>40583</v>
      </c>
      <c r="L5772" s="787">
        <v>3.23</v>
      </c>
      <c r="M5772" s="787">
        <v>10</v>
      </c>
      <c r="N5772" s="787">
        <v>5.19</v>
      </c>
      <c r="O5772" s="788">
        <v>42108</v>
      </c>
    </row>
    <row r="5773" spans="1:15" x14ac:dyDescent="0.25">
      <c r="A5773" s="786" t="s">
        <v>10251</v>
      </c>
      <c r="B5773" s="787">
        <v>4</v>
      </c>
      <c r="C5773" s="787" t="s">
        <v>10252</v>
      </c>
      <c r="D5773" s="787">
        <v>0</v>
      </c>
      <c r="E5773" s="787">
        <v>0</v>
      </c>
      <c r="H5773" s="787">
        <v>1</v>
      </c>
      <c r="I5773" s="788">
        <v>39990</v>
      </c>
      <c r="L5773" s="787">
        <v>37.08</v>
      </c>
      <c r="M5773" s="787">
        <v>10</v>
      </c>
      <c r="N5773" s="787">
        <v>39.39</v>
      </c>
      <c r="O5773" s="788">
        <v>42087</v>
      </c>
    </row>
    <row r="5774" spans="1:15" x14ac:dyDescent="0.25">
      <c r="A5774" s="786" t="s">
        <v>10253</v>
      </c>
      <c r="B5774" s="787">
        <v>4</v>
      </c>
      <c r="C5774" s="787" t="s">
        <v>10252</v>
      </c>
      <c r="D5774" s="787">
        <v>0</v>
      </c>
      <c r="E5774" s="787">
        <v>0</v>
      </c>
      <c r="H5774" s="787">
        <v>1</v>
      </c>
      <c r="I5774" s="788">
        <v>40030</v>
      </c>
      <c r="J5774" s="788">
        <v>39457</v>
      </c>
      <c r="L5774" s="787">
        <v>23.75</v>
      </c>
      <c r="M5774" s="787">
        <v>10</v>
      </c>
      <c r="N5774" s="787">
        <v>49.27</v>
      </c>
      <c r="O5774" s="788">
        <v>42087</v>
      </c>
    </row>
    <row r="5775" spans="1:15" x14ac:dyDescent="0.25">
      <c r="A5775" s="786" t="s">
        <v>10254</v>
      </c>
      <c r="B5775" s="787">
        <v>4</v>
      </c>
      <c r="C5775" s="787" t="s">
        <v>10255</v>
      </c>
      <c r="D5775" s="787">
        <v>0</v>
      </c>
      <c r="E5775" s="787">
        <v>0</v>
      </c>
      <c r="H5775" s="787">
        <v>1</v>
      </c>
      <c r="I5775" s="788">
        <v>39057</v>
      </c>
      <c r="J5775" s="788">
        <v>39101</v>
      </c>
      <c r="L5775" s="787">
        <v>7.08</v>
      </c>
      <c r="M5775" s="787">
        <v>10</v>
      </c>
      <c r="N5775" s="787">
        <v>11.2</v>
      </c>
      <c r="O5775" s="788">
        <v>42156</v>
      </c>
    </row>
    <row r="5776" spans="1:15" x14ac:dyDescent="0.25">
      <c r="A5776" s="786" t="s">
        <v>10256</v>
      </c>
      <c r="B5776" s="787">
        <v>4</v>
      </c>
      <c r="C5776" s="787" t="s">
        <v>10257</v>
      </c>
      <c r="D5776" s="787">
        <v>0</v>
      </c>
      <c r="E5776" s="787">
        <v>0</v>
      </c>
      <c r="H5776" s="787">
        <v>1</v>
      </c>
      <c r="I5776" s="788">
        <v>40030</v>
      </c>
      <c r="J5776" s="788">
        <v>39101</v>
      </c>
      <c r="L5776" s="787">
        <v>7.08</v>
      </c>
      <c r="M5776" s="787">
        <v>10</v>
      </c>
      <c r="N5776" s="787">
        <v>11.2</v>
      </c>
      <c r="O5776" s="788">
        <v>42156</v>
      </c>
    </row>
    <row r="5777" spans="1:15" x14ac:dyDescent="0.25">
      <c r="A5777" s="786" t="s">
        <v>10258</v>
      </c>
      <c r="B5777" s="787">
        <v>4</v>
      </c>
      <c r="C5777" s="787" t="s">
        <v>10259</v>
      </c>
      <c r="D5777" s="787">
        <v>0</v>
      </c>
      <c r="E5777" s="787">
        <v>0</v>
      </c>
      <c r="H5777" s="787">
        <v>1</v>
      </c>
      <c r="I5777" s="788">
        <v>40374</v>
      </c>
      <c r="J5777" s="788">
        <v>39101</v>
      </c>
      <c r="L5777" s="787">
        <v>9.82</v>
      </c>
      <c r="M5777" s="787">
        <v>10</v>
      </c>
      <c r="N5777" s="787">
        <v>14.37</v>
      </c>
      <c r="O5777" s="788">
        <v>42156</v>
      </c>
    </row>
    <row r="5778" spans="1:15" x14ac:dyDescent="0.25">
      <c r="A5778" s="786" t="s">
        <v>10260</v>
      </c>
      <c r="B5778" s="787">
        <v>4</v>
      </c>
      <c r="C5778" s="787" t="s">
        <v>10261</v>
      </c>
      <c r="D5778" s="787">
        <v>0</v>
      </c>
      <c r="E5778" s="787">
        <v>0</v>
      </c>
      <c r="G5778" s="788">
        <v>38364</v>
      </c>
      <c r="H5778" s="787">
        <v>1</v>
      </c>
      <c r="I5778" s="788">
        <v>38736</v>
      </c>
      <c r="J5778" s="788">
        <v>37937</v>
      </c>
      <c r="L5778" s="787">
        <v>0.76</v>
      </c>
      <c r="M5778" s="787">
        <v>10</v>
      </c>
      <c r="N5778" s="787">
        <v>0.91</v>
      </c>
      <c r="O5778" s="788">
        <v>41858</v>
      </c>
    </row>
    <row r="5779" spans="1:15" x14ac:dyDescent="0.25">
      <c r="A5779" s="786" t="s">
        <v>10262</v>
      </c>
      <c r="B5779" s="787">
        <v>4</v>
      </c>
      <c r="C5779" s="787" t="s">
        <v>10263</v>
      </c>
      <c r="D5779" s="787">
        <v>0.2</v>
      </c>
      <c r="E5779" s="787">
        <v>0.95</v>
      </c>
      <c r="F5779" s="788">
        <v>39456</v>
      </c>
      <c r="G5779" s="788">
        <v>40011</v>
      </c>
      <c r="H5779" s="787">
        <v>1</v>
      </c>
      <c r="I5779" s="788">
        <v>39994</v>
      </c>
      <c r="J5779" s="788">
        <v>40011</v>
      </c>
      <c r="L5779" s="787">
        <v>1.21</v>
      </c>
      <c r="M5779" s="787">
        <v>10</v>
      </c>
      <c r="N5779" s="787">
        <v>1.87</v>
      </c>
      <c r="O5779" s="788">
        <v>42087</v>
      </c>
    </row>
    <row r="5780" spans="1:15" x14ac:dyDescent="0.25">
      <c r="A5780" s="786" t="s">
        <v>10264</v>
      </c>
      <c r="B5780" s="787">
        <v>4</v>
      </c>
      <c r="C5780" s="787" t="s">
        <v>10265</v>
      </c>
      <c r="D5780" s="787">
        <v>0.22</v>
      </c>
      <c r="E5780" s="787">
        <v>0.22</v>
      </c>
      <c r="F5780" s="788">
        <v>39101</v>
      </c>
      <c r="G5780" s="788">
        <v>42164</v>
      </c>
      <c r="H5780" s="787">
        <v>1</v>
      </c>
      <c r="I5780" s="788">
        <v>42145</v>
      </c>
      <c r="J5780" s="788">
        <v>42164</v>
      </c>
      <c r="L5780" s="787">
        <v>2.58</v>
      </c>
      <c r="M5780" s="787">
        <v>10</v>
      </c>
      <c r="N5780" s="787">
        <v>0.51</v>
      </c>
      <c r="O5780" s="788">
        <v>42159</v>
      </c>
    </row>
    <row r="5781" spans="1:15" x14ac:dyDescent="0.25">
      <c r="A5781" s="786" t="s">
        <v>10266</v>
      </c>
      <c r="B5781" s="787">
        <v>4</v>
      </c>
      <c r="C5781" s="787" t="s">
        <v>10267</v>
      </c>
      <c r="D5781" s="787">
        <v>0.04</v>
      </c>
      <c r="E5781" s="787">
        <v>0.92</v>
      </c>
      <c r="F5781" s="788">
        <v>39456</v>
      </c>
      <c r="G5781" s="788">
        <v>42013</v>
      </c>
      <c r="H5781" s="787">
        <v>1</v>
      </c>
      <c r="I5781" s="788">
        <v>41565</v>
      </c>
      <c r="J5781" s="788">
        <v>41913</v>
      </c>
      <c r="K5781" s="788">
        <v>41894</v>
      </c>
      <c r="L5781" s="787">
        <v>2.08</v>
      </c>
      <c r="M5781" s="787">
        <v>10</v>
      </c>
      <c r="N5781" s="787">
        <v>2.2799999999999998</v>
      </c>
      <c r="O5781" s="788">
        <v>42156</v>
      </c>
    </row>
    <row r="5782" spans="1:15" x14ac:dyDescent="0.25">
      <c r="A5782" s="786" t="s">
        <v>10268</v>
      </c>
      <c r="B5782" s="787">
        <v>4</v>
      </c>
      <c r="C5782" s="787" t="s">
        <v>10269</v>
      </c>
      <c r="D5782" s="787">
        <v>0</v>
      </c>
      <c r="E5782" s="787">
        <v>0</v>
      </c>
      <c r="H5782" s="787">
        <v>1</v>
      </c>
      <c r="I5782" s="788">
        <v>40518</v>
      </c>
      <c r="J5782" s="788">
        <v>39101</v>
      </c>
      <c r="L5782" s="787">
        <v>9.77</v>
      </c>
      <c r="M5782" s="787">
        <v>10</v>
      </c>
      <c r="N5782" s="787">
        <v>14.29</v>
      </c>
      <c r="O5782" s="788">
        <v>42087</v>
      </c>
    </row>
    <row r="5783" spans="1:15" x14ac:dyDescent="0.25">
      <c r="A5783" s="786" t="s">
        <v>10270</v>
      </c>
      <c r="B5783" s="787">
        <v>4</v>
      </c>
      <c r="C5783" s="787" t="s">
        <v>10271</v>
      </c>
      <c r="D5783" s="787">
        <v>0</v>
      </c>
      <c r="E5783" s="787">
        <v>0</v>
      </c>
      <c r="H5783" s="787">
        <v>1</v>
      </c>
      <c r="I5783" s="788">
        <v>39057</v>
      </c>
      <c r="J5783" s="788">
        <v>39101</v>
      </c>
      <c r="L5783" s="787">
        <v>3.37</v>
      </c>
      <c r="M5783" s="787">
        <v>10</v>
      </c>
      <c r="N5783" s="787">
        <v>10.64</v>
      </c>
      <c r="O5783" s="788">
        <v>42087</v>
      </c>
    </row>
    <row r="5784" spans="1:15" x14ac:dyDescent="0.25">
      <c r="A5784" s="786" t="s">
        <v>10272</v>
      </c>
      <c r="B5784" s="787">
        <v>4</v>
      </c>
      <c r="C5784" s="787" t="s">
        <v>10273</v>
      </c>
      <c r="D5784" s="787">
        <v>0.72</v>
      </c>
      <c r="E5784" s="787">
        <v>1.5</v>
      </c>
      <c r="F5784" s="788">
        <v>39456</v>
      </c>
      <c r="G5784" s="788">
        <v>42013</v>
      </c>
      <c r="H5784" s="787">
        <v>1</v>
      </c>
      <c r="I5784" s="788">
        <v>42160</v>
      </c>
      <c r="J5784" s="788">
        <v>40029</v>
      </c>
      <c r="L5784" s="787">
        <v>0.79</v>
      </c>
      <c r="M5784" s="787">
        <v>10</v>
      </c>
      <c r="N5784" s="787">
        <v>1.2</v>
      </c>
      <c r="O5784" s="788">
        <v>42164</v>
      </c>
    </row>
    <row r="5785" spans="1:15" x14ac:dyDescent="0.25">
      <c r="A5785" s="786" t="s">
        <v>10274</v>
      </c>
      <c r="B5785" s="787">
        <v>4</v>
      </c>
      <c r="C5785" s="787" t="s">
        <v>10275</v>
      </c>
      <c r="D5785" s="787">
        <v>4.57</v>
      </c>
      <c r="E5785" s="787">
        <v>4.57</v>
      </c>
      <c r="F5785" s="788">
        <v>39101</v>
      </c>
      <c r="G5785" s="788">
        <v>41565</v>
      </c>
      <c r="H5785" s="787">
        <v>1</v>
      </c>
      <c r="I5785" s="788">
        <v>39134</v>
      </c>
      <c r="J5785" s="788">
        <v>39149</v>
      </c>
      <c r="L5785" s="787">
        <v>0.93</v>
      </c>
      <c r="M5785" s="787">
        <v>10</v>
      </c>
      <c r="N5785" s="787">
        <v>1.1299999999999999</v>
      </c>
      <c r="O5785" s="788">
        <v>42087</v>
      </c>
    </row>
    <row r="5786" spans="1:15" x14ac:dyDescent="0.25">
      <c r="A5786" s="786" t="s">
        <v>10276</v>
      </c>
      <c r="B5786" s="787">
        <v>4</v>
      </c>
      <c r="C5786" s="787" t="s">
        <v>10277</v>
      </c>
      <c r="D5786" s="787">
        <v>0.02</v>
      </c>
      <c r="E5786" s="787">
        <v>0.38</v>
      </c>
      <c r="F5786" s="788">
        <v>39456</v>
      </c>
      <c r="G5786" s="788">
        <v>40553</v>
      </c>
      <c r="H5786" s="787">
        <v>1</v>
      </c>
      <c r="I5786" s="788">
        <v>40533</v>
      </c>
      <c r="J5786" s="788">
        <v>40477</v>
      </c>
      <c r="L5786" s="787">
        <v>4.2300000000000004</v>
      </c>
      <c r="M5786" s="787">
        <v>10</v>
      </c>
      <c r="N5786" s="787">
        <v>0.91</v>
      </c>
      <c r="O5786" s="788">
        <v>42087</v>
      </c>
    </row>
    <row r="5787" spans="1:15" x14ac:dyDescent="0.25">
      <c r="A5787" s="786" t="s">
        <v>10278</v>
      </c>
      <c r="B5787" s="787">
        <v>4</v>
      </c>
      <c r="C5787" s="787" t="s">
        <v>10279</v>
      </c>
      <c r="D5787" s="787">
        <v>2.62</v>
      </c>
      <c r="E5787" s="787">
        <v>10.6</v>
      </c>
      <c r="F5787" s="788">
        <v>39456</v>
      </c>
      <c r="G5787" s="788">
        <v>42124</v>
      </c>
      <c r="H5787" s="787">
        <v>1</v>
      </c>
      <c r="I5787" s="788">
        <v>42102</v>
      </c>
      <c r="J5787" s="788">
        <v>42095</v>
      </c>
      <c r="K5787" s="788">
        <v>41457</v>
      </c>
      <c r="L5787" s="787">
        <v>9.0500000000000007</v>
      </c>
      <c r="M5787" s="787">
        <v>10</v>
      </c>
      <c r="N5787" s="787">
        <v>13.61</v>
      </c>
      <c r="O5787" s="788">
        <v>42163</v>
      </c>
    </row>
    <row r="5788" spans="1:15" x14ac:dyDescent="0.25">
      <c r="A5788" s="786" t="s">
        <v>10280</v>
      </c>
      <c r="B5788" s="787">
        <v>4</v>
      </c>
      <c r="C5788" s="787" t="s">
        <v>10281</v>
      </c>
      <c r="D5788" s="787">
        <v>2.98</v>
      </c>
      <c r="E5788" s="787">
        <v>4.1100000000000003</v>
      </c>
      <c r="F5788" s="788">
        <v>40659</v>
      </c>
      <c r="G5788" s="788">
        <v>42135</v>
      </c>
      <c r="H5788" s="787">
        <v>1</v>
      </c>
      <c r="I5788" s="788">
        <v>42102</v>
      </c>
      <c r="J5788" s="788">
        <v>42102</v>
      </c>
      <c r="L5788" s="787">
        <v>4.6900000000000004</v>
      </c>
      <c r="M5788" s="787">
        <v>10</v>
      </c>
      <c r="N5788" s="787">
        <v>11.98</v>
      </c>
      <c r="O5788" s="788">
        <v>42163</v>
      </c>
    </row>
    <row r="5789" spans="1:15" x14ac:dyDescent="0.25">
      <c r="A5789" s="786" t="s">
        <v>10282</v>
      </c>
      <c r="B5789" s="787">
        <v>4</v>
      </c>
      <c r="C5789" s="787" t="s">
        <v>10283</v>
      </c>
      <c r="D5789" s="787">
        <v>0.25</v>
      </c>
      <c r="E5789" s="787">
        <v>0.51</v>
      </c>
      <c r="F5789" s="788">
        <v>39456</v>
      </c>
      <c r="G5789" s="788">
        <v>42093</v>
      </c>
      <c r="H5789" s="787">
        <v>1</v>
      </c>
      <c r="I5789" s="788">
        <v>42102</v>
      </c>
      <c r="J5789" s="788">
        <v>42065</v>
      </c>
      <c r="L5789" s="787">
        <v>0.47</v>
      </c>
      <c r="M5789" s="787">
        <v>10</v>
      </c>
      <c r="N5789" s="787">
        <v>1.1200000000000001</v>
      </c>
      <c r="O5789" s="788">
        <v>42163</v>
      </c>
    </row>
    <row r="5790" spans="1:15" x14ac:dyDescent="0.25">
      <c r="A5790" s="786" t="s">
        <v>10284</v>
      </c>
      <c r="B5790" s="787">
        <v>4</v>
      </c>
      <c r="C5790" s="787" t="s">
        <v>10285</v>
      </c>
      <c r="D5790" s="787">
        <v>0</v>
      </c>
      <c r="E5790" s="787">
        <v>0</v>
      </c>
      <c r="H5790" s="787">
        <v>1</v>
      </c>
      <c r="L5790" s="787">
        <v>7.13</v>
      </c>
      <c r="M5790" s="787">
        <v>10</v>
      </c>
      <c r="N5790" s="787">
        <v>20.34</v>
      </c>
      <c r="O5790" s="788">
        <v>42048</v>
      </c>
    </row>
    <row r="5791" spans="1:15" x14ac:dyDescent="0.25">
      <c r="A5791" s="786" t="s">
        <v>10286</v>
      </c>
      <c r="B5791" s="787">
        <v>4</v>
      </c>
      <c r="C5791" s="787" t="s">
        <v>10287</v>
      </c>
      <c r="D5791" s="787">
        <v>0</v>
      </c>
      <c r="E5791" s="787">
        <v>0</v>
      </c>
      <c r="H5791" s="787">
        <v>1</v>
      </c>
      <c r="L5791" s="787">
        <v>7.13</v>
      </c>
      <c r="M5791" s="787">
        <v>10</v>
      </c>
      <c r="N5791" s="787">
        <v>16.18</v>
      </c>
      <c r="O5791" s="788">
        <v>42048</v>
      </c>
    </row>
    <row r="5792" spans="1:15" x14ac:dyDescent="0.25">
      <c r="A5792" s="786" t="s">
        <v>10288</v>
      </c>
      <c r="B5792" s="787">
        <v>4</v>
      </c>
      <c r="C5792" s="787" t="s">
        <v>10289</v>
      </c>
      <c r="D5792" s="787">
        <v>0.48</v>
      </c>
      <c r="E5792" s="787">
        <v>0.48</v>
      </c>
      <c r="F5792" s="788">
        <v>39101</v>
      </c>
      <c r="G5792" s="788">
        <v>39101</v>
      </c>
      <c r="H5792" s="787">
        <v>1</v>
      </c>
      <c r="I5792" s="788">
        <v>39134</v>
      </c>
      <c r="J5792" s="788">
        <v>39149</v>
      </c>
      <c r="L5792" s="787">
        <v>0.55000000000000004</v>
      </c>
      <c r="M5792" s="787">
        <v>10</v>
      </c>
      <c r="N5792" s="787">
        <v>0.9</v>
      </c>
      <c r="O5792" s="788">
        <v>41858</v>
      </c>
    </row>
    <row r="5793" spans="1:15" x14ac:dyDescent="0.25">
      <c r="A5793" s="786" t="s">
        <v>10290</v>
      </c>
      <c r="B5793" s="787">
        <v>4</v>
      </c>
      <c r="C5793" s="787" t="s">
        <v>10291</v>
      </c>
      <c r="D5793" s="787">
        <v>0.9</v>
      </c>
      <c r="E5793" s="787">
        <v>0.9</v>
      </c>
      <c r="F5793" s="788">
        <v>39975</v>
      </c>
      <c r="G5793" s="788">
        <v>41255</v>
      </c>
      <c r="H5793" s="787">
        <v>1</v>
      </c>
      <c r="L5793" s="787">
        <v>0.57999999999999996</v>
      </c>
      <c r="M5793" s="787">
        <v>10</v>
      </c>
      <c r="N5793" s="787">
        <v>0.94</v>
      </c>
      <c r="O5793" s="788">
        <v>41858</v>
      </c>
    </row>
    <row r="5794" spans="1:15" x14ac:dyDescent="0.25">
      <c r="A5794" s="786" t="s">
        <v>10292</v>
      </c>
      <c r="B5794" s="787">
        <v>4</v>
      </c>
      <c r="C5794" s="787" t="s">
        <v>10293</v>
      </c>
      <c r="D5794" s="787">
        <v>0</v>
      </c>
      <c r="E5794" s="787">
        <v>0</v>
      </c>
      <c r="H5794" s="787">
        <v>1</v>
      </c>
      <c r="L5794" s="787">
        <v>0.61</v>
      </c>
      <c r="M5794" s="787">
        <v>10</v>
      </c>
      <c r="N5794" s="787">
        <v>0.97</v>
      </c>
      <c r="O5794" s="788">
        <v>41858</v>
      </c>
    </row>
    <row r="5795" spans="1:15" x14ac:dyDescent="0.25">
      <c r="A5795" s="786" t="s">
        <v>10294</v>
      </c>
      <c r="B5795" s="787">
        <v>4</v>
      </c>
      <c r="C5795" s="787" t="s">
        <v>10295</v>
      </c>
      <c r="D5795" s="787">
        <v>2.3199999999999998</v>
      </c>
      <c r="E5795" s="787">
        <v>21.28</v>
      </c>
      <c r="F5795" s="788">
        <v>39101</v>
      </c>
      <c r="G5795" s="788">
        <v>42053</v>
      </c>
      <c r="H5795" s="787">
        <v>1</v>
      </c>
      <c r="I5795" s="788">
        <v>42156</v>
      </c>
      <c r="J5795" s="788">
        <v>42017</v>
      </c>
      <c r="L5795" s="787">
        <v>2.2599999999999998</v>
      </c>
      <c r="M5795" s="787">
        <v>10</v>
      </c>
      <c r="N5795" s="787">
        <v>16.54</v>
      </c>
      <c r="O5795" s="788">
        <v>42164</v>
      </c>
    </row>
    <row r="5796" spans="1:15" x14ac:dyDescent="0.25">
      <c r="A5796" s="786" t="s">
        <v>10296</v>
      </c>
      <c r="B5796" s="787">
        <v>4</v>
      </c>
      <c r="C5796" s="787" t="s">
        <v>10297</v>
      </c>
      <c r="D5796" s="787">
        <v>0</v>
      </c>
      <c r="E5796" s="787">
        <v>0</v>
      </c>
      <c r="H5796" s="787">
        <v>1</v>
      </c>
      <c r="L5796" s="787">
        <v>9.06</v>
      </c>
      <c r="M5796" s="787">
        <v>10</v>
      </c>
      <c r="N5796" s="787">
        <v>17.82</v>
      </c>
      <c r="O5796" s="788">
        <v>42087</v>
      </c>
    </row>
    <row r="5797" spans="1:15" x14ac:dyDescent="0.25">
      <c r="A5797" s="786" t="s">
        <v>10298</v>
      </c>
      <c r="B5797" s="787">
        <v>4</v>
      </c>
      <c r="C5797" s="787" t="s">
        <v>10299</v>
      </c>
      <c r="D5797" s="787">
        <v>0</v>
      </c>
      <c r="E5797" s="787">
        <v>0</v>
      </c>
      <c r="H5797" s="787">
        <v>1</v>
      </c>
      <c r="L5797" s="787">
        <v>9.06</v>
      </c>
      <c r="M5797" s="787">
        <v>10</v>
      </c>
      <c r="N5797" s="787">
        <v>17.82</v>
      </c>
      <c r="O5797" s="788">
        <v>42087</v>
      </c>
    </row>
    <row r="5798" spans="1:15" x14ac:dyDescent="0.25">
      <c r="A5798" s="786" t="s">
        <v>10300</v>
      </c>
      <c r="B5798" s="787">
        <v>4</v>
      </c>
      <c r="C5798" s="787" t="s">
        <v>10301</v>
      </c>
      <c r="D5798" s="787">
        <v>0</v>
      </c>
      <c r="E5798" s="787">
        <v>0</v>
      </c>
      <c r="G5798" s="788">
        <v>38364</v>
      </c>
      <c r="H5798" s="787">
        <v>1</v>
      </c>
      <c r="I5798" s="788">
        <v>40736</v>
      </c>
      <c r="J5798" s="788">
        <v>38595</v>
      </c>
      <c r="L5798" s="787">
        <v>0.02</v>
      </c>
      <c r="M5798" s="787">
        <v>10</v>
      </c>
      <c r="N5798" s="787">
        <v>9.02</v>
      </c>
      <c r="O5798" s="788">
        <v>41858</v>
      </c>
    </row>
    <row r="5799" spans="1:15" x14ac:dyDescent="0.25">
      <c r="A5799" s="786" t="s">
        <v>10302</v>
      </c>
      <c r="B5799" s="787">
        <v>4</v>
      </c>
      <c r="C5799" s="787" t="s">
        <v>10303</v>
      </c>
      <c r="D5799" s="787">
        <v>0</v>
      </c>
      <c r="E5799" s="787">
        <v>0</v>
      </c>
      <c r="H5799" s="787">
        <v>1</v>
      </c>
      <c r="L5799" s="787">
        <v>0</v>
      </c>
      <c r="M5799" s="787">
        <v>10</v>
      </c>
      <c r="N5799" s="787">
        <v>146.55000000000001</v>
      </c>
      <c r="O5799" s="788">
        <v>41858</v>
      </c>
    </row>
    <row r="5800" spans="1:15" x14ac:dyDescent="0.25">
      <c r="A5800" s="786" t="s">
        <v>10304</v>
      </c>
      <c r="B5800" s="787">
        <v>4</v>
      </c>
      <c r="C5800" s="787" t="s">
        <v>10303</v>
      </c>
      <c r="D5800" s="787">
        <v>0</v>
      </c>
      <c r="E5800" s="787">
        <v>0</v>
      </c>
      <c r="H5800" s="787">
        <v>1</v>
      </c>
      <c r="L5800" s="787">
        <v>0</v>
      </c>
      <c r="M5800" s="787">
        <v>10</v>
      </c>
      <c r="N5800" s="787">
        <v>145.61000000000001</v>
      </c>
      <c r="O5800" s="788">
        <v>42162</v>
      </c>
    </row>
    <row r="5801" spans="1:15" x14ac:dyDescent="0.25">
      <c r="A5801" s="786" t="s">
        <v>10305</v>
      </c>
      <c r="B5801" s="787">
        <v>4</v>
      </c>
      <c r="C5801" s="787" t="s">
        <v>10306</v>
      </c>
      <c r="D5801" s="787">
        <v>0</v>
      </c>
      <c r="E5801" s="787">
        <v>0</v>
      </c>
      <c r="H5801" s="787">
        <v>1</v>
      </c>
      <c r="I5801" s="788">
        <v>39629</v>
      </c>
      <c r="J5801" s="788">
        <v>39101</v>
      </c>
      <c r="L5801" s="787">
        <v>12.28</v>
      </c>
      <c r="M5801" s="787">
        <v>10</v>
      </c>
      <c r="N5801" s="787">
        <v>15.56</v>
      </c>
      <c r="O5801" s="788">
        <v>42162</v>
      </c>
    </row>
    <row r="5802" spans="1:15" x14ac:dyDescent="0.25">
      <c r="A5802" s="786" t="s">
        <v>10307</v>
      </c>
      <c r="B5802" s="787">
        <v>4</v>
      </c>
      <c r="C5802" s="787" t="s">
        <v>10306</v>
      </c>
      <c r="D5802" s="787">
        <v>0</v>
      </c>
      <c r="E5802" s="787">
        <v>0</v>
      </c>
      <c r="H5802" s="787">
        <v>1</v>
      </c>
      <c r="I5802" s="788">
        <v>39629</v>
      </c>
      <c r="J5802" s="788">
        <v>39101</v>
      </c>
      <c r="L5802" s="787">
        <v>12.33</v>
      </c>
      <c r="M5802" s="787">
        <v>10</v>
      </c>
      <c r="N5802" s="787">
        <v>15.64</v>
      </c>
      <c r="O5802" s="788">
        <v>42162</v>
      </c>
    </row>
    <row r="5803" spans="1:15" x14ac:dyDescent="0.25">
      <c r="A5803" s="786" t="s">
        <v>10308</v>
      </c>
      <c r="B5803" s="787">
        <v>4</v>
      </c>
      <c r="C5803" s="787" t="s">
        <v>10309</v>
      </c>
      <c r="D5803" s="787">
        <v>0</v>
      </c>
      <c r="E5803" s="787">
        <v>0</v>
      </c>
      <c r="H5803" s="787">
        <v>1</v>
      </c>
      <c r="I5803" s="788">
        <v>39629</v>
      </c>
      <c r="J5803" s="788">
        <v>39101</v>
      </c>
      <c r="L5803" s="787">
        <v>77.59</v>
      </c>
      <c r="M5803" s="787">
        <v>10</v>
      </c>
      <c r="N5803" s="787">
        <v>79.84</v>
      </c>
      <c r="O5803" s="788">
        <v>42162</v>
      </c>
    </row>
    <row r="5804" spans="1:15" x14ac:dyDescent="0.25">
      <c r="A5804" s="786" t="s">
        <v>10310</v>
      </c>
      <c r="B5804" s="787">
        <v>4</v>
      </c>
      <c r="C5804" s="787" t="s">
        <v>10309</v>
      </c>
      <c r="D5804" s="787">
        <v>0</v>
      </c>
      <c r="E5804" s="787">
        <v>0</v>
      </c>
      <c r="H5804" s="787">
        <v>1</v>
      </c>
      <c r="I5804" s="788">
        <v>39629</v>
      </c>
      <c r="J5804" s="788">
        <v>39101</v>
      </c>
      <c r="L5804" s="787">
        <v>77.59</v>
      </c>
      <c r="M5804" s="787">
        <v>10</v>
      </c>
      <c r="N5804" s="787">
        <v>79.84</v>
      </c>
      <c r="O5804" s="788">
        <v>42162</v>
      </c>
    </row>
    <row r="5805" spans="1:15" x14ac:dyDescent="0.25">
      <c r="A5805" s="786" t="s">
        <v>10311</v>
      </c>
      <c r="B5805" s="787">
        <v>4</v>
      </c>
      <c r="C5805" s="787" t="s">
        <v>10312</v>
      </c>
      <c r="D5805" s="787">
        <v>0</v>
      </c>
      <c r="E5805" s="787">
        <v>0</v>
      </c>
      <c r="H5805" s="787">
        <v>1</v>
      </c>
      <c r="I5805" s="788">
        <v>39727</v>
      </c>
      <c r="J5805" s="788">
        <v>39101</v>
      </c>
      <c r="L5805" s="787">
        <v>5.88</v>
      </c>
      <c r="M5805" s="787">
        <v>10</v>
      </c>
      <c r="N5805" s="787">
        <v>9.31</v>
      </c>
      <c r="O5805" s="788">
        <v>42162</v>
      </c>
    </row>
    <row r="5806" spans="1:15" x14ac:dyDescent="0.25">
      <c r="A5806" s="786" t="s">
        <v>10313</v>
      </c>
      <c r="B5806" s="787">
        <v>4</v>
      </c>
      <c r="C5806" s="787" t="s">
        <v>10312</v>
      </c>
      <c r="D5806" s="787">
        <v>0</v>
      </c>
      <c r="E5806" s="787">
        <v>0</v>
      </c>
      <c r="H5806" s="787">
        <v>1</v>
      </c>
      <c r="I5806" s="788">
        <v>39629</v>
      </c>
      <c r="J5806" s="788">
        <v>39101</v>
      </c>
      <c r="L5806" s="787">
        <v>5.88</v>
      </c>
      <c r="M5806" s="787">
        <v>10</v>
      </c>
      <c r="N5806" s="787">
        <v>9.31</v>
      </c>
      <c r="O5806" s="788">
        <v>42162</v>
      </c>
    </row>
    <row r="5807" spans="1:15" x14ac:dyDescent="0.25">
      <c r="A5807" s="786" t="s">
        <v>10314</v>
      </c>
      <c r="B5807" s="787">
        <v>4</v>
      </c>
      <c r="C5807" s="787" t="s">
        <v>10315</v>
      </c>
      <c r="D5807" s="787">
        <v>0</v>
      </c>
      <c r="E5807" s="787">
        <v>0</v>
      </c>
      <c r="H5807" s="787">
        <v>1</v>
      </c>
      <c r="I5807" s="788">
        <v>39629</v>
      </c>
      <c r="J5807" s="788">
        <v>39101</v>
      </c>
      <c r="L5807" s="787">
        <v>6.53</v>
      </c>
      <c r="M5807" s="787">
        <v>10</v>
      </c>
      <c r="N5807" s="787">
        <v>9.41</v>
      </c>
      <c r="O5807" s="788">
        <v>42162</v>
      </c>
    </row>
    <row r="5808" spans="1:15" x14ac:dyDescent="0.25">
      <c r="A5808" s="786" t="s">
        <v>10316</v>
      </c>
      <c r="B5808" s="787">
        <v>4</v>
      </c>
      <c r="C5808" s="787" t="s">
        <v>10315</v>
      </c>
      <c r="D5808" s="787">
        <v>0</v>
      </c>
      <c r="E5808" s="787">
        <v>0</v>
      </c>
      <c r="H5808" s="787">
        <v>1</v>
      </c>
      <c r="L5808" s="787">
        <v>6.53</v>
      </c>
      <c r="M5808" s="787">
        <v>10</v>
      </c>
      <c r="N5808" s="787">
        <v>9.41</v>
      </c>
      <c r="O5808" s="788">
        <v>41869</v>
      </c>
    </row>
    <row r="5809" spans="1:15" x14ac:dyDescent="0.25">
      <c r="A5809" s="786" t="s">
        <v>10317</v>
      </c>
      <c r="B5809" s="787">
        <v>4</v>
      </c>
      <c r="C5809" s="787" t="s">
        <v>10318</v>
      </c>
      <c r="D5809" s="787">
        <v>0</v>
      </c>
      <c r="E5809" s="787">
        <v>0</v>
      </c>
      <c r="G5809" s="788">
        <v>38180</v>
      </c>
      <c r="H5809" s="787">
        <v>1</v>
      </c>
      <c r="I5809" s="788">
        <v>38316</v>
      </c>
      <c r="J5809" s="788">
        <v>38180</v>
      </c>
      <c r="L5809" s="787">
        <v>3.95</v>
      </c>
      <c r="M5809" s="787">
        <v>10</v>
      </c>
      <c r="N5809" s="787">
        <v>6.41</v>
      </c>
      <c r="O5809" s="788">
        <v>41858</v>
      </c>
    </row>
    <row r="5810" spans="1:15" x14ac:dyDescent="0.25">
      <c r="A5810" s="786" t="s">
        <v>10319</v>
      </c>
      <c r="B5810" s="787">
        <v>4</v>
      </c>
      <c r="C5810" s="787" t="s">
        <v>10320</v>
      </c>
      <c r="D5810" s="787">
        <v>0</v>
      </c>
      <c r="E5810" s="787">
        <v>0</v>
      </c>
      <c r="G5810" s="788">
        <v>38364</v>
      </c>
      <c r="H5810" s="787">
        <v>1</v>
      </c>
      <c r="I5810" s="788">
        <v>38638</v>
      </c>
      <c r="J5810" s="788">
        <v>38082</v>
      </c>
      <c r="L5810" s="787">
        <v>0.23</v>
      </c>
      <c r="M5810" s="787">
        <v>10</v>
      </c>
      <c r="N5810" s="787">
        <v>0.75</v>
      </c>
      <c r="O5810" s="788">
        <v>42124</v>
      </c>
    </row>
    <row r="5811" spans="1:15" x14ac:dyDescent="0.25">
      <c r="A5811" s="786" t="s">
        <v>10321</v>
      </c>
      <c r="B5811" s="787">
        <v>4</v>
      </c>
      <c r="C5811" s="787" t="s">
        <v>10322</v>
      </c>
      <c r="D5811" s="787">
        <v>0</v>
      </c>
      <c r="E5811" s="787">
        <v>0</v>
      </c>
      <c r="H5811" s="787">
        <v>1</v>
      </c>
      <c r="I5811" s="788">
        <v>39198</v>
      </c>
      <c r="J5811" s="788">
        <v>39101</v>
      </c>
      <c r="L5811" s="787">
        <v>12.35</v>
      </c>
      <c r="M5811" s="787">
        <v>10</v>
      </c>
      <c r="N5811" s="787">
        <v>17.09</v>
      </c>
      <c r="O5811" s="788">
        <v>42087</v>
      </c>
    </row>
    <row r="5812" spans="1:15" x14ac:dyDescent="0.25">
      <c r="A5812" s="786" t="s">
        <v>10323</v>
      </c>
      <c r="B5812" s="787">
        <v>4</v>
      </c>
      <c r="C5812" s="787" t="s">
        <v>10324</v>
      </c>
      <c r="D5812" s="787">
        <v>0</v>
      </c>
      <c r="E5812" s="787">
        <v>0</v>
      </c>
      <c r="H5812" s="787">
        <v>1</v>
      </c>
      <c r="I5812" s="788">
        <v>41708</v>
      </c>
      <c r="J5812" s="788">
        <v>39101</v>
      </c>
      <c r="L5812" s="787">
        <v>14.46</v>
      </c>
      <c r="M5812" s="787">
        <v>10</v>
      </c>
      <c r="N5812" s="787">
        <v>18.38</v>
      </c>
      <c r="O5812" s="788">
        <v>42087</v>
      </c>
    </row>
    <row r="5813" spans="1:15" x14ac:dyDescent="0.25">
      <c r="A5813" s="786" t="s">
        <v>10325</v>
      </c>
      <c r="B5813" s="787">
        <v>4</v>
      </c>
      <c r="C5813" s="787" t="s">
        <v>10326</v>
      </c>
      <c r="D5813" s="787">
        <v>0</v>
      </c>
      <c r="E5813" s="787">
        <v>0</v>
      </c>
      <c r="H5813" s="787">
        <v>1</v>
      </c>
      <c r="I5813" s="788">
        <v>39198</v>
      </c>
      <c r="J5813" s="788">
        <v>39101</v>
      </c>
      <c r="L5813" s="787">
        <v>10.34</v>
      </c>
      <c r="M5813" s="787">
        <v>10</v>
      </c>
      <c r="N5813" s="787">
        <v>14.89</v>
      </c>
      <c r="O5813" s="788">
        <v>42087</v>
      </c>
    </row>
    <row r="5814" spans="1:15" x14ac:dyDescent="0.25">
      <c r="A5814" s="786" t="s">
        <v>10327</v>
      </c>
      <c r="B5814" s="787">
        <v>4</v>
      </c>
      <c r="C5814" s="787" t="s">
        <v>10328</v>
      </c>
      <c r="D5814" s="787">
        <v>0</v>
      </c>
      <c r="E5814" s="787">
        <v>0</v>
      </c>
      <c r="H5814" s="787">
        <v>1</v>
      </c>
      <c r="I5814" s="788">
        <v>39198</v>
      </c>
      <c r="J5814" s="788">
        <v>39101</v>
      </c>
      <c r="L5814" s="787">
        <v>9.68</v>
      </c>
      <c r="M5814" s="787">
        <v>10</v>
      </c>
      <c r="N5814" s="787">
        <v>13.09</v>
      </c>
      <c r="O5814" s="788">
        <v>42087</v>
      </c>
    </row>
    <row r="5815" spans="1:15" x14ac:dyDescent="0.25">
      <c r="A5815" s="786" t="s">
        <v>10329</v>
      </c>
      <c r="B5815" s="787">
        <v>4</v>
      </c>
      <c r="C5815" s="787" t="s">
        <v>10330</v>
      </c>
      <c r="D5815" s="787">
        <v>0</v>
      </c>
      <c r="E5815" s="787">
        <v>0</v>
      </c>
      <c r="H5815" s="787">
        <v>1</v>
      </c>
      <c r="L5815" s="787">
        <v>6.01</v>
      </c>
      <c r="M5815" s="787">
        <v>10</v>
      </c>
      <c r="N5815" s="787">
        <v>10.24</v>
      </c>
      <c r="O5815" s="788">
        <v>42087</v>
      </c>
    </row>
    <row r="5816" spans="1:15" x14ac:dyDescent="0.25">
      <c r="A5816" s="786" t="s">
        <v>10331</v>
      </c>
      <c r="B5816" s="787">
        <v>4</v>
      </c>
      <c r="C5816" s="787" t="s">
        <v>10332</v>
      </c>
      <c r="D5816" s="787">
        <v>0</v>
      </c>
      <c r="E5816" s="787">
        <v>0</v>
      </c>
      <c r="H5816" s="787">
        <v>1</v>
      </c>
      <c r="L5816" s="787">
        <v>3.35</v>
      </c>
      <c r="M5816" s="787">
        <v>10</v>
      </c>
      <c r="N5816" s="787">
        <v>5.83</v>
      </c>
      <c r="O5816" s="788">
        <v>41858</v>
      </c>
    </row>
    <row r="5817" spans="1:15" x14ac:dyDescent="0.25">
      <c r="A5817" s="786" t="s">
        <v>10333</v>
      </c>
      <c r="B5817" s="787">
        <v>4</v>
      </c>
      <c r="C5817" s="787" t="s">
        <v>10334</v>
      </c>
      <c r="D5817" s="787">
        <v>0.87</v>
      </c>
      <c r="E5817" s="787">
        <v>3.69</v>
      </c>
      <c r="F5817" s="788">
        <v>39975</v>
      </c>
      <c r="G5817" s="788">
        <v>42142</v>
      </c>
      <c r="H5817" s="787">
        <v>1</v>
      </c>
      <c r="I5817" s="788">
        <v>42123</v>
      </c>
      <c r="J5817" s="788">
        <v>42108</v>
      </c>
      <c r="L5817" s="787">
        <v>1.0900000000000001</v>
      </c>
      <c r="M5817" s="787">
        <v>10</v>
      </c>
      <c r="N5817" s="787">
        <v>2.84</v>
      </c>
      <c r="O5817" s="788">
        <v>42162</v>
      </c>
    </row>
    <row r="5818" spans="1:15" x14ac:dyDescent="0.25">
      <c r="A5818" s="786" t="s">
        <v>10335</v>
      </c>
      <c r="B5818" s="787">
        <v>4</v>
      </c>
      <c r="C5818" s="787" t="s">
        <v>10336</v>
      </c>
      <c r="D5818" s="787">
        <v>0.82</v>
      </c>
      <c r="E5818" s="787">
        <v>4.92</v>
      </c>
      <c r="F5818" s="788">
        <v>39101</v>
      </c>
      <c r="G5818" s="788">
        <v>42048</v>
      </c>
      <c r="H5818" s="787">
        <v>1</v>
      </c>
      <c r="I5818" s="788">
        <v>42117</v>
      </c>
      <c r="J5818" s="788">
        <v>42019</v>
      </c>
      <c r="L5818" s="787">
        <v>0.7</v>
      </c>
      <c r="M5818" s="787">
        <v>10</v>
      </c>
      <c r="N5818" s="787">
        <v>2.39</v>
      </c>
      <c r="O5818" s="788">
        <v>42162</v>
      </c>
    </row>
    <row r="5819" spans="1:15" x14ac:dyDescent="0.25">
      <c r="A5819" s="786" t="s">
        <v>10337</v>
      </c>
      <c r="B5819" s="787">
        <v>4</v>
      </c>
      <c r="C5819" s="787" t="s">
        <v>10338</v>
      </c>
      <c r="D5819" s="787">
        <v>0.84</v>
      </c>
      <c r="E5819" s="787">
        <v>4.12</v>
      </c>
      <c r="F5819" s="788">
        <v>39101</v>
      </c>
      <c r="G5819" s="788">
        <v>42048</v>
      </c>
      <c r="H5819" s="787">
        <v>1</v>
      </c>
      <c r="I5819" s="788">
        <v>42117</v>
      </c>
      <c r="J5819" s="788">
        <v>42052</v>
      </c>
      <c r="L5819" s="787">
        <v>0.7</v>
      </c>
      <c r="M5819" s="787">
        <v>10</v>
      </c>
      <c r="N5819" s="787">
        <v>2.39</v>
      </c>
      <c r="O5819" s="788">
        <v>42162</v>
      </c>
    </row>
    <row r="5820" spans="1:15" x14ac:dyDescent="0.25">
      <c r="A5820" s="786" t="s">
        <v>10339</v>
      </c>
      <c r="B5820" s="787">
        <v>4</v>
      </c>
      <c r="C5820" s="787" t="s">
        <v>10340</v>
      </c>
      <c r="D5820" s="787">
        <v>4.4800000000000004</v>
      </c>
      <c r="E5820" s="787">
        <v>3.07</v>
      </c>
      <c r="F5820" s="788">
        <v>39101</v>
      </c>
      <c r="G5820" s="788">
        <v>39101</v>
      </c>
      <c r="H5820" s="787">
        <v>1</v>
      </c>
      <c r="I5820" s="788">
        <v>39629</v>
      </c>
      <c r="J5820" s="788">
        <v>39101</v>
      </c>
      <c r="L5820" s="787">
        <v>4.3600000000000003</v>
      </c>
      <c r="M5820" s="787">
        <v>10</v>
      </c>
      <c r="N5820" s="787">
        <v>5.71</v>
      </c>
      <c r="O5820" s="788">
        <v>42162</v>
      </c>
    </row>
    <row r="5821" spans="1:15" x14ac:dyDescent="0.25">
      <c r="A5821" s="786" t="s">
        <v>10341</v>
      </c>
      <c r="B5821" s="787">
        <v>4</v>
      </c>
      <c r="C5821" s="787" t="s">
        <v>10342</v>
      </c>
      <c r="D5821" s="787">
        <v>0</v>
      </c>
      <c r="E5821" s="787">
        <v>0</v>
      </c>
      <c r="H5821" s="787">
        <v>1</v>
      </c>
      <c r="L5821" s="787">
        <v>3.29</v>
      </c>
      <c r="M5821" s="787">
        <v>10</v>
      </c>
      <c r="N5821" s="787">
        <v>5.7</v>
      </c>
      <c r="O5821" s="788">
        <v>41858</v>
      </c>
    </row>
    <row r="5822" spans="1:15" x14ac:dyDescent="0.25">
      <c r="A5822" s="786" t="s">
        <v>10343</v>
      </c>
      <c r="B5822" s="787">
        <v>4</v>
      </c>
      <c r="C5822" s="787" t="s">
        <v>10344</v>
      </c>
      <c r="D5822" s="787">
        <v>0</v>
      </c>
      <c r="E5822" s="787">
        <v>0</v>
      </c>
      <c r="G5822" s="788">
        <v>37921</v>
      </c>
      <c r="H5822" s="787">
        <v>1</v>
      </c>
      <c r="J5822" s="788">
        <v>37921</v>
      </c>
      <c r="L5822" s="787">
        <v>3.3</v>
      </c>
      <c r="M5822" s="787">
        <v>10</v>
      </c>
      <c r="N5822" s="787">
        <v>5.75</v>
      </c>
      <c r="O5822" s="788">
        <v>41858</v>
      </c>
    </row>
    <row r="5823" spans="1:15" x14ac:dyDescent="0.25">
      <c r="A5823" s="786" t="s">
        <v>10345</v>
      </c>
      <c r="B5823" s="787">
        <v>4</v>
      </c>
      <c r="C5823" s="787" t="s">
        <v>10346</v>
      </c>
      <c r="D5823" s="787">
        <v>0.73</v>
      </c>
      <c r="E5823" s="787">
        <v>0.73</v>
      </c>
      <c r="F5823" s="788">
        <v>42159</v>
      </c>
      <c r="G5823" s="788">
        <v>42159</v>
      </c>
      <c r="H5823" s="787">
        <v>1</v>
      </c>
      <c r="I5823" s="788">
        <v>42166</v>
      </c>
      <c r="J5823" s="788">
        <v>42128</v>
      </c>
      <c r="L5823" s="787">
        <v>3.37</v>
      </c>
      <c r="M5823" s="787">
        <v>10</v>
      </c>
      <c r="N5823" s="787">
        <v>1.36</v>
      </c>
      <c r="O5823" s="788">
        <v>42162</v>
      </c>
    </row>
    <row r="5824" spans="1:15" x14ac:dyDescent="0.25">
      <c r="A5824" s="786" t="s">
        <v>10347</v>
      </c>
      <c r="B5824" s="787">
        <v>4</v>
      </c>
      <c r="C5824" s="787" t="s">
        <v>10348</v>
      </c>
      <c r="D5824" s="787">
        <v>0</v>
      </c>
      <c r="E5824" s="787">
        <v>0</v>
      </c>
      <c r="H5824" s="787">
        <v>1</v>
      </c>
      <c r="L5824" s="787">
        <v>6.59</v>
      </c>
      <c r="M5824" s="787">
        <v>10</v>
      </c>
      <c r="N5824" s="787">
        <v>10.75</v>
      </c>
      <c r="O5824" s="788">
        <v>42087</v>
      </c>
    </row>
    <row r="5825" spans="1:15" x14ac:dyDescent="0.25">
      <c r="A5825" s="786" t="s">
        <v>10349</v>
      </c>
      <c r="B5825" s="787">
        <v>4</v>
      </c>
      <c r="C5825" s="787" t="s">
        <v>10350</v>
      </c>
      <c r="D5825" s="787">
        <v>0</v>
      </c>
      <c r="E5825" s="787">
        <v>0</v>
      </c>
      <c r="H5825" s="787">
        <v>1</v>
      </c>
      <c r="I5825" s="788">
        <v>39629</v>
      </c>
      <c r="J5825" s="788">
        <v>39101</v>
      </c>
      <c r="K5825" s="788">
        <v>41410</v>
      </c>
      <c r="L5825" s="787">
        <v>0.01</v>
      </c>
      <c r="M5825" s="787">
        <v>10</v>
      </c>
      <c r="N5825" s="787">
        <v>0</v>
      </c>
      <c r="O5825" s="788">
        <v>42162</v>
      </c>
    </row>
    <row r="5826" spans="1:15" x14ac:dyDescent="0.25">
      <c r="A5826" s="786" t="s">
        <v>10351</v>
      </c>
      <c r="B5826" s="787">
        <v>4</v>
      </c>
      <c r="C5826" s="787" t="s">
        <v>10352</v>
      </c>
      <c r="D5826" s="787">
        <v>0</v>
      </c>
      <c r="E5826" s="787">
        <v>0</v>
      </c>
      <c r="H5826" s="787">
        <v>1</v>
      </c>
      <c r="I5826" s="788">
        <v>39629</v>
      </c>
      <c r="J5826" s="788">
        <v>39101</v>
      </c>
      <c r="L5826" s="787">
        <v>9.23</v>
      </c>
      <c r="M5826" s="787">
        <v>10</v>
      </c>
      <c r="N5826" s="787">
        <v>12.94</v>
      </c>
      <c r="O5826" s="788">
        <v>42162</v>
      </c>
    </row>
    <row r="5827" spans="1:15" x14ac:dyDescent="0.25">
      <c r="A5827" s="786" t="s">
        <v>10353</v>
      </c>
      <c r="B5827" s="787">
        <v>4</v>
      </c>
      <c r="C5827" s="787" t="s">
        <v>10354</v>
      </c>
      <c r="D5827" s="787">
        <v>0</v>
      </c>
      <c r="E5827" s="787">
        <v>0</v>
      </c>
      <c r="H5827" s="787">
        <v>1</v>
      </c>
      <c r="I5827" s="788">
        <v>39629</v>
      </c>
      <c r="J5827" s="788">
        <v>39101</v>
      </c>
      <c r="L5827" s="787">
        <v>9.11</v>
      </c>
      <c r="M5827" s="787">
        <v>10</v>
      </c>
      <c r="N5827" s="787">
        <v>13.01</v>
      </c>
      <c r="O5827" s="788">
        <v>42162</v>
      </c>
    </row>
    <row r="5828" spans="1:15" x14ac:dyDescent="0.25">
      <c r="A5828" s="786" t="s">
        <v>10355</v>
      </c>
      <c r="B5828" s="787">
        <v>4</v>
      </c>
      <c r="C5828" s="787" t="s">
        <v>10356</v>
      </c>
      <c r="D5828" s="787">
        <v>6.25</v>
      </c>
      <c r="E5828" s="787">
        <v>9.17</v>
      </c>
      <c r="F5828" s="788">
        <v>42072</v>
      </c>
      <c r="G5828" s="788">
        <v>42142</v>
      </c>
      <c r="H5828" s="787">
        <v>1</v>
      </c>
      <c r="I5828" s="788">
        <v>42123</v>
      </c>
      <c r="J5828" s="788">
        <v>42111</v>
      </c>
      <c r="L5828" s="787">
        <v>5.77</v>
      </c>
      <c r="M5828" s="787">
        <v>10</v>
      </c>
      <c r="N5828" s="787">
        <v>4.55</v>
      </c>
      <c r="O5828" s="788">
        <v>42162</v>
      </c>
    </row>
    <row r="5829" spans="1:15" x14ac:dyDescent="0.25">
      <c r="A5829" s="786" t="s">
        <v>10357</v>
      </c>
      <c r="B5829" s="787">
        <v>4</v>
      </c>
      <c r="C5829" s="787" t="s">
        <v>10358</v>
      </c>
      <c r="D5829" s="787">
        <v>9.4499999999999993</v>
      </c>
      <c r="E5829" s="787">
        <v>9.4499999999999993</v>
      </c>
      <c r="F5829" s="788">
        <v>39101</v>
      </c>
      <c r="G5829" s="788">
        <v>41943</v>
      </c>
      <c r="H5829" s="787">
        <v>1</v>
      </c>
      <c r="I5829" s="788">
        <v>41968</v>
      </c>
      <c r="J5829" s="788">
        <v>40074</v>
      </c>
      <c r="L5829" s="787">
        <v>8.51</v>
      </c>
      <c r="M5829" s="787">
        <v>10</v>
      </c>
      <c r="N5829" s="787">
        <v>10.17</v>
      </c>
      <c r="O5829" s="788">
        <v>42162</v>
      </c>
    </row>
    <row r="5830" spans="1:15" x14ac:dyDescent="0.25">
      <c r="A5830" s="786" t="s">
        <v>10359</v>
      </c>
      <c r="B5830" s="787">
        <v>4</v>
      </c>
      <c r="C5830" s="787" t="s">
        <v>10360</v>
      </c>
      <c r="D5830" s="787">
        <v>9.02</v>
      </c>
      <c r="E5830" s="787">
        <v>9.02</v>
      </c>
      <c r="F5830" s="788">
        <v>39101</v>
      </c>
      <c r="G5830" s="788">
        <v>41943</v>
      </c>
      <c r="H5830" s="787">
        <v>1</v>
      </c>
      <c r="I5830" s="788">
        <v>41968</v>
      </c>
      <c r="J5830" s="788">
        <v>39879</v>
      </c>
      <c r="L5830" s="787">
        <v>8.15</v>
      </c>
      <c r="M5830" s="787">
        <v>10</v>
      </c>
      <c r="N5830" s="787">
        <v>9.94</v>
      </c>
      <c r="O5830" s="788">
        <v>42162</v>
      </c>
    </row>
    <row r="5831" spans="1:15" x14ac:dyDescent="0.25">
      <c r="A5831" s="786" t="s">
        <v>10361</v>
      </c>
      <c r="B5831" s="787">
        <v>4</v>
      </c>
      <c r="C5831" s="787" t="s">
        <v>10362</v>
      </c>
      <c r="D5831" s="787">
        <v>8.51</v>
      </c>
      <c r="E5831" s="787">
        <v>8.51</v>
      </c>
      <c r="F5831" s="788">
        <v>39975</v>
      </c>
      <c r="G5831" s="788">
        <v>41943</v>
      </c>
      <c r="H5831" s="787">
        <v>1</v>
      </c>
      <c r="I5831" s="788">
        <v>41968</v>
      </c>
      <c r="J5831" s="788">
        <v>40073</v>
      </c>
      <c r="L5831" s="787">
        <v>8.51</v>
      </c>
      <c r="M5831" s="787">
        <v>10</v>
      </c>
      <c r="N5831" s="787">
        <v>10.17</v>
      </c>
      <c r="O5831" s="788">
        <v>42162</v>
      </c>
    </row>
    <row r="5832" spans="1:15" x14ac:dyDescent="0.25">
      <c r="A5832" s="786" t="s">
        <v>10363</v>
      </c>
      <c r="B5832" s="787">
        <v>4</v>
      </c>
      <c r="C5832" s="787" t="s">
        <v>9483</v>
      </c>
      <c r="D5832" s="787">
        <v>8.15</v>
      </c>
      <c r="E5832" s="787">
        <v>8.15</v>
      </c>
      <c r="F5832" s="788">
        <v>39975</v>
      </c>
      <c r="G5832" s="788">
        <v>41943</v>
      </c>
      <c r="H5832" s="787">
        <v>1</v>
      </c>
      <c r="I5832" s="788">
        <v>41968</v>
      </c>
      <c r="J5832" s="788">
        <v>39879</v>
      </c>
      <c r="L5832" s="787">
        <v>8.15</v>
      </c>
      <c r="M5832" s="787">
        <v>10</v>
      </c>
      <c r="N5832" s="787">
        <v>9.94</v>
      </c>
      <c r="O5832" s="788">
        <v>42162</v>
      </c>
    </row>
    <row r="5833" spans="1:15" x14ac:dyDescent="0.25">
      <c r="A5833" s="786" t="s">
        <v>10364</v>
      </c>
      <c r="B5833" s="787">
        <v>4</v>
      </c>
      <c r="C5833" s="787" t="s">
        <v>10365</v>
      </c>
      <c r="D5833" s="787">
        <v>1.88</v>
      </c>
      <c r="E5833" s="787">
        <v>3.45</v>
      </c>
      <c r="F5833" s="788">
        <v>41996</v>
      </c>
      <c r="G5833" s="788">
        <v>42160</v>
      </c>
      <c r="H5833" s="787">
        <v>1</v>
      </c>
      <c r="I5833" s="788">
        <v>42123</v>
      </c>
      <c r="J5833" s="788">
        <v>42160</v>
      </c>
      <c r="L5833" s="787">
        <v>6.03</v>
      </c>
      <c r="M5833" s="787">
        <v>10</v>
      </c>
      <c r="N5833" s="787">
        <v>4.5199999999999996</v>
      </c>
      <c r="O5833" s="788">
        <v>42162</v>
      </c>
    </row>
    <row r="5834" spans="1:15" x14ac:dyDescent="0.25">
      <c r="A5834" s="786" t="s">
        <v>10366</v>
      </c>
      <c r="B5834" s="787">
        <v>4</v>
      </c>
      <c r="C5834" s="787" t="s">
        <v>10367</v>
      </c>
      <c r="D5834" s="787">
        <v>2.63</v>
      </c>
      <c r="E5834" s="787">
        <v>4.78</v>
      </c>
      <c r="F5834" s="788">
        <v>42089</v>
      </c>
      <c r="G5834" s="788">
        <v>42142</v>
      </c>
      <c r="H5834" s="787">
        <v>1</v>
      </c>
      <c r="I5834" s="788">
        <v>42160</v>
      </c>
      <c r="J5834" s="788">
        <v>42108</v>
      </c>
      <c r="L5834" s="787">
        <v>5.51</v>
      </c>
      <c r="M5834" s="787">
        <v>10</v>
      </c>
      <c r="N5834" s="787">
        <v>4.8600000000000003</v>
      </c>
      <c r="O5834" s="788">
        <v>42162</v>
      </c>
    </row>
    <row r="5835" spans="1:15" x14ac:dyDescent="0.25">
      <c r="A5835" s="786" t="s">
        <v>10368</v>
      </c>
      <c r="B5835" s="787">
        <v>4</v>
      </c>
      <c r="C5835" s="787" t="s">
        <v>10369</v>
      </c>
      <c r="D5835" s="787">
        <v>5.62</v>
      </c>
      <c r="E5835" s="787">
        <v>15.97</v>
      </c>
      <c r="F5835" s="788">
        <v>41135</v>
      </c>
      <c r="G5835" s="788">
        <v>42118</v>
      </c>
      <c r="H5835" s="787">
        <v>1</v>
      </c>
      <c r="I5835" s="788">
        <v>42123</v>
      </c>
      <c r="J5835" s="788">
        <v>42087</v>
      </c>
      <c r="L5835" s="787">
        <v>8.74</v>
      </c>
      <c r="M5835" s="787">
        <v>10</v>
      </c>
      <c r="N5835" s="787">
        <v>8.08</v>
      </c>
      <c r="O5835" s="788">
        <v>42162</v>
      </c>
    </row>
    <row r="5836" spans="1:15" x14ac:dyDescent="0.25">
      <c r="A5836" s="786" t="s">
        <v>10370</v>
      </c>
      <c r="B5836" s="787">
        <v>4</v>
      </c>
      <c r="C5836" s="787" t="s">
        <v>10371</v>
      </c>
      <c r="D5836" s="787">
        <v>6.39</v>
      </c>
      <c r="E5836" s="787">
        <v>16.86</v>
      </c>
      <c r="F5836" s="788">
        <v>41180</v>
      </c>
      <c r="G5836" s="788">
        <v>42095</v>
      </c>
      <c r="H5836" s="787">
        <v>1</v>
      </c>
      <c r="I5836" s="788">
        <v>42123</v>
      </c>
      <c r="J5836" s="788">
        <v>42066</v>
      </c>
      <c r="L5836" s="787">
        <v>8.74</v>
      </c>
      <c r="M5836" s="787">
        <v>10</v>
      </c>
      <c r="N5836" s="787">
        <v>9.43</v>
      </c>
      <c r="O5836" s="788">
        <v>42162</v>
      </c>
    </row>
    <row r="5837" spans="1:15" x14ac:dyDescent="0.25">
      <c r="A5837" s="786" t="s">
        <v>10372</v>
      </c>
      <c r="B5837" s="787">
        <v>4</v>
      </c>
      <c r="C5837" s="787" t="s">
        <v>10373</v>
      </c>
      <c r="D5837" s="787">
        <v>8.31</v>
      </c>
      <c r="E5837" s="787">
        <v>18.309999999999999</v>
      </c>
      <c r="F5837" s="788">
        <v>41180</v>
      </c>
      <c r="G5837" s="788">
        <v>42013</v>
      </c>
      <c r="H5837" s="787">
        <v>1</v>
      </c>
      <c r="I5837" s="788">
        <v>42123</v>
      </c>
      <c r="J5837" s="788">
        <v>41162</v>
      </c>
      <c r="L5837" s="787">
        <v>6.46</v>
      </c>
      <c r="M5837" s="787">
        <v>10</v>
      </c>
      <c r="N5837" s="787">
        <v>7.88</v>
      </c>
      <c r="O5837" s="788">
        <v>42162</v>
      </c>
    </row>
    <row r="5838" spans="1:15" x14ac:dyDescent="0.25">
      <c r="A5838" s="786" t="s">
        <v>10374</v>
      </c>
      <c r="B5838" s="787">
        <v>4</v>
      </c>
      <c r="C5838" s="787" t="s">
        <v>10375</v>
      </c>
      <c r="D5838" s="787">
        <v>1.48</v>
      </c>
      <c r="E5838" s="787">
        <v>1.48</v>
      </c>
      <c r="F5838" s="788">
        <v>39975</v>
      </c>
      <c r="G5838" s="788">
        <v>41943</v>
      </c>
      <c r="H5838" s="787">
        <v>1</v>
      </c>
      <c r="I5838" s="788">
        <v>42052</v>
      </c>
      <c r="J5838" s="788">
        <v>40427</v>
      </c>
      <c r="L5838" s="787">
        <v>6.9</v>
      </c>
      <c r="M5838" s="787">
        <v>10</v>
      </c>
      <c r="N5838" s="787">
        <v>3.55</v>
      </c>
      <c r="O5838" s="788">
        <v>42087</v>
      </c>
    </row>
    <row r="5839" spans="1:15" x14ac:dyDescent="0.25">
      <c r="A5839" s="786" t="s">
        <v>10376</v>
      </c>
      <c r="B5839" s="787">
        <v>4</v>
      </c>
      <c r="C5839" s="787" t="s">
        <v>10377</v>
      </c>
      <c r="D5839" s="787">
        <v>0</v>
      </c>
      <c r="E5839" s="787">
        <v>0</v>
      </c>
      <c r="G5839" s="788">
        <v>38364</v>
      </c>
      <c r="H5839" s="787">
        <v>6</v>
      </c>
      <c r="I5839" s="788">
        <v>38736</v>
      </c>
      <c r="J5839" s="788">
        <v>38736</v>
      </c>
      <c r="L5839" s="787">
        <v>6.9</v>
      </c>
      <c r="M5839" s="787">
        <v>10</v>
      </c>
      <c r="N5839" s="787">
        <v>3.01</v>
      </c>
      <c r="O5839" s="788">
        <v>41543</v>
      </c>
    </row>
    <row r="5840" spans="1:15" x14ac:dyDescent="0.25">
      <c r="A5840" s="786" t="s">
        <v>10378</v>
      </c>
      <c r="B5840" s="787">
        <v>4</v>
      </c>
      <c r="C5840" s="787" t="s">
        <v>10379</v>
      </c>
      <c r="D5840" s="787">
        <v>0</v>
      </c>
      <c r="E5840" s="787">
        <v>0</v>
      </c>
      <c r="H5840" s="787">
        <v>1</v>
      </c>
      <c r="I5840" s="788">
        <v>38519</v>
      </c>
      <c r="J5840" s="788">
        <v>38736</v>
      </c>
      <c r="L5840" s="787">
        <v>0</v>
      </c>
      <c r="M5840" s="787">
        <v>10</v>
      </c>
      <c r="N5840" s="787">
        <v>2.4700000000000002</v>
      </c>
      <c r="O5840" s="788">
        <v>41858</v>
      </c>
    </row>
    <row r="5841" spans="1:15" x14ac:dyDescent="0.25">
      <c r="A5841" s="786" t="s">
        <v>10380</v>
      </c>
      <c r="B5841" s="787">
        <v>4</v>
      </c>
      <c r="C5841" s="787" t="s">
        <v>10381</v>
      </c>
      <c r="D5841" s="787">
        <v>1.49</v>
      </c>
      <c r="E5841" s="787">
        <v>1.49</v>
      </c>
      <c r="F5841" s="788">
        <v>40049</v>
      </c>
      <c r="G5841" s="788">
        <v>41943</v>
      </c>
      <c r="H5841" s="787">
        <v>1</v>
      </c>
      <c r="I5841" s="788">
        <v>40382</v>
      </c>
      <c r="J5841" s="788">
        <v>40045</v>
      </c>
      <c r="K5841" s="788">
        <v>42019</v>
      </c>
      <c r="L5841" s="787">
        <v>1.73</v>
      </c>
      <c r="M5841" s="787">
        <v>10</v>
      </c>
      <c r="N5841" s="787">
        <v>9.1</v>
      </c>
      <c r="O5841" s="788">
        <v>42162</v>
      </c>
    </row>
    <row r="5842" spans="1:15" x14ac:dyDescent="0.25">
      <c r="A5842" s="786" t="s">
        <v>10382</v>
      </c>
      <c r="B5842" s="787">
        <v>4</v>
      </c>
      <c r="C5842" s="787" t="s">
        <v>10383</v>
      </c>
      <c r="D5842" s="787">
        <v>0.38</v>
      </c>
      <c r="E5842" s="787">
        <v>0.56999999999999995</v>
      </c>
      <c r="F5842" s="788">
        <v>41613</v>
      </c>
      <c r="G5842" s="788">
        <v>42069</v>
      </c>
      <c r="H5842" s="787">
        <v>1</v>
      </c>
      <c r="I5842" s="788">
        <v>42165</v>
      </c>
      <c r="J5842" s="788">
        <v>42039</v>
      </c>
      <c r="K5842" s="788">
        <v>41417</v>
      </c>
      <c r="L5842" s="787">
        <v>2.4500000000000002</v>
      </c>
      <c r="M5842" s="787">
        <v>10</v>
      </c>
      <c r="N5842" s="787">
        <v>2.2200000000000002</v>
      </c>
      <c r="O5842" s="788">
        <v>42162</v>
      </c>
    </row>
    <row r="5843" spans="1:15" x14ac:dyDescent="0.25">
      <c r="A5843" s="786" t="s">
        <v>10384</v>
      </c>
      <c r="B5843" s="787">
        <v>4</v>
      </c>
      <c r="C5843" s="787" t="s">
        <v>10385</v>
      </c>
      <c r="D5843" s="787">
        <v>1.19</v>
      </c>
      <c r="E5843" s="787">
        <v>1.19</v>
      </c>
      <c r="F5843" s="788">
        <v>40049</v>
      </c>
      <c r="G5843" s="788">
        <v>41943</v>
      </c>
      <c r="H5843" s="787">
        <v>1</v>
      </c>
      <c r="I5843" s="788">
        <v>40406</v>
      </c>
      <c r="J5843" s="788">
        <v>40070</v>
      </c>
      <c r="K5843" s="788">
        <v>42019</v>
      </c>
      <c r="L5843" s="787">
        <v>1.42</v>
      </c>
      <c r="M5843" s="787">
        <v>10</v>
      </c>
      <c r="N5843" s="787">
        <v>8.7899999999999991</v>
      </c>
      <c r="O5843" s="788">
        <v>42162</v>
      </c>
    </row>
    <row r="5844" spans="1:15" x14ac:dyDescent="0.25">
      <c r="A5844" s="786" t="s">
        <v>10386</v>
      </c>
      <c r="B5844" s="787">
        <v>4</v>
      </c>
      <c r="C5844" s="787" t="s">
        <v>10387</v>
      </c>
      <c r="D5844" s="787">
        <v>0</v>
      </c>
      <c r="E5844" s="787">
        <v>0</v>
      </c>
      <c r="H5844" s="787">
        <v>1</v>
      </c>
      <c r="I5844" s="788">
        <v>38519</v>
      </c>
      <c r="J5844" s="788">
        <v>38736</v>
      </c>
      <c r="L5844" s="787">
        <v>0</v>
      </c>
      <c r="M5844" s="787">
        <v>10</v>
      </c>
      <c r="N5844" s="787">
        <v>2.5</v>
      </c>
      <c r="O5844" s="788">
        <v>41858</v>
      </c>
    </row>
    <row r="5845" spans="1:15" x14ac:dyDescent="0.25">
      <c r="A5845" s="786" t="s">
        <v>10388</v>
      </c>
      <c r="B5845" s="787">
        <v>4</v>
      </c>
      <c r="C5845" s="787" t="s">
        <v>10389</v>
      </c>
      <c r="D5845" s="787">
        <v>2.94</v>
      </c>
      <c r="E5845" s="787">
        <v>2.11</v>
      </c>
      <c r="F5845" s="788">
        <v>39101</v>
      </c>
      <c r="G5845" s="788">
        <v>39101</v>
      </c>
      <c r="H5845" s="787">
        <v>1</v>
      </c>
      <c r="I5845" s="788">
        <v>39629</v>
      </c>
      <c r="J5845" s="788">
        <v>39101</v>
      </c>
      <c r="L5845" s="787">
        <v>2.93</v>
      </c>
      <c r="M5845" s="787">
        <v>10</v>
      </c>
      <c r="N5845" s="787">
        <v>4.3099999999999996</v>
      </c>
      <c r="O5845" s="788">
        <v>42162</v>
      </c>
    </row>
    <row r="5846" spans="1:15" x14ac:dyDescent="0.25">
      <c r="A5846" s="786" t="s">
        <v>10390</v>
      </c>
      <c r="B5846" s="787">
        <v>4</v>
      </c>
      <c r="C5846" s="787" t="s">
        <v>10391</v>
      </c>
      <c r="D5846" s="787">
        <v>0</v>
      </c>
      <c r="E5846" s="787">
        <v>0</v>
      </c>
      <c r="G5846" s="788">
        <v>41565</v>
      </c>
      <c r="H5846" s="787">
        <v>1</v>
      </c>
      <c r="I5846" s="788">
        <v>41765</v>
      </c>
      <c r="J5846" s="788">
        <v>39101</v>
      </c>
      <c r="K5846" s="788">
        <v>41766</v>
      </c>
      <c r="L5846" s="787">
        <v>4</v>
      </c>
      <c r="M5846" s="787">
        <v>10</v>
      </c>
      <c r="N5846" s="787">
        <v>3.9</v>
      </c>
      <c r="O5846" s="788">
        <v>42162</v>
      </c>
    </row>
    <row r="5847" spans="1:15" x14ac:dyDescent="0.25">
      <c r="A5847" s="786" t="s">
        <v>10392</v>
      </c>
      <c r="B5847" s="787">
        <v>4</v>
      </c>
      <c r="C5847" s="787" t="s">
        <v>10393</v>
      </c>
      <c r="D5847" s="787">
        <v>0</v>
      </c>
      <c r="E5847" s="787">
        <v>0</v>
      </c>
      <c r="H5847" s="787">
        <v>1</v>
      </c>
      <c r="I5847" s="788">
        <v>41299</v>
      </c>
      <c r="J5847" s="788">
        <v>39101</v>
      </c>
      <c r="L5847" s="787">
        <v>0</v>
      </c>
      <c r="M5847" s="787">
        <v>10</v>
      </c>
      <c r="N5847" s="787">
        <v>3.9</v>
      </c>
      <c r="O5847" s="788">
        <v>42162</v>
      </c>
    </row>
    <row r="5848" spans="1:15" x14ac:dyDescent="0.25">
      <c r="A5848" s="786" t="s">
        <v>10394</v>
      </c>
      <c r="B5848" s="787">
        <v>4</v>
      </c>
      <c r="C5848" s="787" t="s">
        <v>10395</v>
      </c>
      <c r="D5848" s="787">
        <v>4.32</v>
      </c>
      <c r="E5848" s="787">
        <v>11.73</v>
      </c>
      <c r="F5848" s="788">
        <v>41135</v>
      </c>
      <c r="G5848" s="788">
        <v>42013</v>
      </c>
      <c r="H5848" s="787">
        <v>1</v>
      </c>
      <c r="I5848" s="788">
        <v>42123</v>
      </c>
      <c r="J5848" s="788">
        <v>41919</v>
      </c>
      <c r="K5848" s="788">
        <v>41901</v>
      </c>
      <c r="L5848" s="787">
        <v>11.23</v>
      </c>
      <c r="M5848" s="787">
        <v>10</v>
      </c>
      <c r="N5848" s="787">
        <v>11.19</v>
      </c>
      <c r="O5848" s="788">
        <v>42162</v>
      </c>
    </row>
    <row r="5849" spans="1:15" x14ac:dyDescent="0.25">
      <c r="A5849" s="786" t="s">
        <v>10396</v>
      </c>
      <c r="B5849" s="787">
        <v>4</v>
      </c>
      <c r="C5849" s="787" t="s">
        <v>10397</v>
      </c>
      <c r="D5849" s="787">
        <v>0</v>
      </c>
      <c r="E5849" s="787">
        <v>0</v>
      </c>
      <c r="H5849" s="787">
        <v>1</v>
      </c>
      <c r="L5849" s="787">
        <v>0</v>
      </c>
      <c r="M5849" s="787">
        <v>10</v>
      </c>
      <c r="N5849" s="787">
        <v>79.959999999999994</v>
      </c>
      <c r="O5849" s="788">
        <v>42087</v>
      </c>
    </row>
    <row r="5850" spans="1:15" x14ac:dyDescent="0.25">
      <c r="A5850" s="786" t="s">
        <v>10398</v>
      </c>
      <c r="B5850" s="787">
        <v>4</v>
      </c>
      <c r="C5850" s="787" t="s">
        <v>10399</v>
      </c>
      <c r="D5850" s="787">
        <v>0.05</v>
      </c>
      <c r="E5850" s="787">
        <v>0.05</v>
      </c>
      <c r="F5850" s="788">
        <v>39456</v>
      </c>
      <c r="G5850" s="788">
        <v>41943</v>
      </c>
      <c r="H5850" s="787">
        <v>1</v>
      </c>
      <c r="I5850" s="788">
        <v>39134</v>
      </c>
      <c r="J5850" s="788">
        <v>39353</v>
      </c>
      <c r="L5850" s="787">
        <v>0</v>
      </c>
      <c r="M5850" s="787">
        <v>10</v>
      </c>
      <c r="N5850" s="787">
        <v>0.87</v>
      </c>
      <c r="O5850" s="788">
        <v>41858</v>
      </c>
    </row>
    <row r="5851" spans="1:15" x14ac:dyDescent="0.25">
      <c r="A5851" s="786" t="s">
        <v>10400</v>
      </c>
      <c r="B5851" s="787">
        <v>4</v>
      </c>
      <c r="C5851" s="787" t="s">
        <v>10401</v>
      </c>
      <c r="D5851" s="787">
        <v>8.7100000000000009</v>
      </c>
      <c r="E5851" s="787">
        <v>11.05</v>
      </c>
      <c r="F5851" s="788">
        <v>38606</v>
      </c>
      <c r="G5851" s="788">
        <v>42111</v>
      </c>
      <c r="H5851" s="787">
        <v>1</v>
      </c>
      <c r="I5851" s="788">
        <v>42123</v>
      </c>
      <c r="J5851" s="788">
        <v>42081</v>
      </c>
      <c r="L5851" s="787">
        <v>8.73</v>
      </c>
      <c r="M5851" s="787">
        <v>10</v>
      </c>
      <c r="N5851" s="787">
        <v>11.45</v>
      </c>
      <c r="O5851" s="788">
        <v>42162</v>
      </c>
    </row>
    <row r="5852" spans="1:15" x14ac:dyDescent="0.25">
      <c r="A5852" s="786" t="s">
        <v>10402</v>
      </c>
      <c r="B5852" s="787">
        <v>4</v>
      </c>
      <c r="C5852" s="787" t="s">
        <v>10403</v>
      </c>
      <c r="D5852" s="787">
        <v>0.59</v>
      </c>
      <c r="E5852" s="787">
        <v>0.64</v>
      </c>
      <c r="F5852" s="788">
        <v>39101</v>
      </c>
      <c r="G5852" s="788">
        <v>41943</v>
      </c>
      <c r="H5852" s="787">
        <v>1</v>
      </c>
      <c r="I5852" s="788">
        <v>42080</v>
      </c>
      <c r="J5852" s="788">
        <v>41211</v>
      </c>
      <c r="L5852" s="787">
        <v>0.59</v>
      </c>
      <c r="M5852" s="787">
        <v>10</v>
      </c>
      <c r="N5852" s="787">
        <v>0.95</v>
      </c>
      <c r="O5852" s="788">
        <v>42162</v>
      </c>
    </row>
    <row r="5853" spans="1:15" x14ac:dyDescent="0.25">
      <c r="A5853" s="786" t="s">
        <v>10404</v>
      </c>
      <c r="B5853" s="787">
        <v>4</v>
      </c>
      <c r="C5853" s="787" t="s">
        <v>10405</v>
      </c>
      <c r="D5853" s="787">
        <v>0.47</v>
      </c>
      <c r="E5853" s="787">
        <v>1.4</v>
      </c>
      <c r="F5853" s="788">
        <v>39101</v>
      </c>
      <c r="G5853" s="788">
        <v>41943</v>
      </c>
      <c r="H5853" s="787">
        <v>1</v>
      </c>
      <c r="I5853" s="788">
        <v>42080</v>
      </c>
      <c r="J5853" s="788">
        <v>41211</v>
      </c>
      <c r="L5853" s="787">
        <v>0.48</v>
      </c>
      <c r="M5853" s="787">
        <v>10</v>
      </c>
      <c r="N5853" s="787">
        <v>0.57999999999999996</v>
      </c>
      <c r="O5853" s="788">
        <v>42162</v>
      </c>
    </row>
    <row r="5854" spans="1:15" x14ac:dyDescent="0.25">
      <c r="A5854" s="786" t="s">
        <v>10406</v>
      </c>
      <c r="B5854" s="787">
        <v>4</v>
      </c>
      <c r="C5854" s="787" t="s">
        <v>10407</v>
      </c>
      <c r="D5854" s="787">
        <v>4.4000000000000004</v>
      </c>
      <c r="E5854" s="787">
        <v>4.4000000000000004</v>
      </c>
      <c r="F5854" s="788">
        <v>38606</v>
      </c>
      <c r="G5854" s="788">
        <v>38606</v>
      </c>
      <c r="H5854" s="787">
        <v>1</v>
      </c>
      <c r="I5854" s="788">
        <v>38736</v>
      </c>
      <c r="J5854" s="788">
        <v>38407</v>
      </c>
      <c r="L5854" s="787">
        <v>5.14</v>
      </c>
      <c r="M5854" s="787">
        <v>10</v>
      </c>
      <c r="N5854" s="787">
        <v>6.08</v>
      </c>
      <c r="O5854" s="788">
        <v>41858</v>
      </c>
    </row>
    <row r="5855" spans="1:15" x14ac:dyDescent="0.25">
      <c r="A5855" s="786" t="s">
        <v>10408</v>
      </c>
      <c r="B5855" s="787">
        <v>4</v>
      </c>
      <c r="C5855" s="787" t="s">
        <v>10409</v>
      </c>
      <c r="D5855" s="787">
        <v>0.34</v>
      </c>
      <c r="E5855" s="787">
        <v>0.34</v>
      </c>
      <c r="F5855" s="788">
        <v>39101</v>
      </c>
      <c r="G5855" s="788">
        <v>39101</v>
      </c>
      <c r="H5855" s="787">
        <v>1</v>
      </c>
      <c r="I5855" s="788">
        <v>39134</v>
      </c>
      <c r="J5855" s="788">
        <v>39149</v>
      </c>
      <c r="L5855" s="787">
        <v>0.37</v>
      </c>
      <c r="M5855" s="787">
        <v>10</v>
      </c>
      <c r="N5855" s="787">
        <v>0.59</v>
      </c>
      <c r="O5855" s="788">
        <v>41858</v>
      </c>
    </row>
    <row r="5856" spans="1:15" x14ac:dyDescent="0.25">
      <c r="A5856" s="786" t="s">
        <v>10410</v>
      </c>
      <c r="B5856" s="787">
        <v>4</v>
      </c>
      <c r="C5856" s="787" t="s">
        <v>10411</v>
      </c>
      <c r="D5856" s="787">
        <v>0.32</v>
      </c>
      <c r="E5856" s="787">
        <v>0.32</v>
      </c>
      <c r="F5856" s="788">
        <v>38606</v>
      </c>
      <c r="G5856" s="788">
        <v>38736</v>
      </c>
      <c r="H5856" s="787">
        <v>1</v>
      </c>
      <c r="I5856" s="788">
        <v>39134</v>
      </c>
      <c r="J5856" s="788">
        <v>38415</v>
      </c>
      <c r="L5856" s="787">
        <v>0.34</v>
      </c>
      <c r="M5856" s="787">
        <v>10</v>
      </c>
      <c r="N5856" s="787">
        <v>0.56000000000000005</v>
      </c>
      <c r="O5856" s="788">
        <v>41858</v>
      </c>
    </row>
    <row r="5857" spans="1:15" x14ac:dyDescent="0.25">
      <c r="A5857" s="786" t="s">
        <v>10412</v>
      </c>
      <c r="B5857" s="787">
        <v>4</v>
      </c>
      <c r="C5857" s="787" t="s">
        <v>10413</v>
      </c>
      <c r="D5857" s="787">
        <v>0</v>
      </c>
      <c r="E5857" s="787">
        <v>0</v>
      </c>
      <c r="G5857" s="788">
        <v>42013</v>
      </c>
      <c r="H5857" s="787">
        <v>1</v>
      </c>
      <c r="I5857" s="788">
        <v>42109</v>
      </c>
      <c r="J5857" s="788">
        <v>40074</v>
      </c>
      <c r="K5857" s="788">
        <v>42019</v>
      </c>
      <c r="L5857" s="787">
        <v>1.36</v>
      </c>
      <c r="M5857" s="787">
        <v>10</v>
      </c>
      <c r="N5857" s="787">
        <v>8.7200000000000006</v>
      </c>
      <c r="O5857" s="788">
        <v>42162</v>
      </c>
    </row>
    <row r="5858" spans="1:15" x14ac:dyDescent="0.25">
      <c r="A5858" s="786" t="s">
        <v>10414</v>
      </c>
      <c r="B5858" s="787">
        <v>4</v>
      </c>
      <c r="C5858" s="787" t="s">
        <v>10415</v>
      </c>
      <c r="D5858" s="787">
        <v>0</v>
      </c>
      <c r="E5858" s="787">
        <v>0</v>
      </c>
      <c r="H5858" s="787">
        <v>1</v>
      </c>
      <c r="L5858" s="787">
        <v>0</v>
      </c>
      <c r="M5858" s="787">
        <v>10</v>
      </c>
      <c r="N5858" s="787">
        <v>1.94</v>
      </c>
      <c r="O5858" s="788">
        <v>41858</v>
      </c>
    </row>
    <row r="5859" spans="1:15" x14ac:dyDescent="0.25">
      <c r="A5859" s="786" t="s">
        <v>10416</v>
      </c>
      <c r="B5859" s="787">
        <v>4</v>
      </c>
      <c r="C5859" s="787" t="s">
        <v>10417</v>
      </c>
      <c r="D5859" s="787">
        <v>0</v>
      </c>
      <c r="E5859" s="787">
        <v>0</v>
      </c>
      <c r="H5859" s="787">
        <v>1</v>
      </c>
      <c r="L5859" s="787">
        <v>0</v>
      </c>
      <c r="M5859" s="787">
        <v>10</v>
      </c>
      <c r="N5859" s="787">
        <v>1.69</v>
      </c>
      <c r="O5859" s="788">
        <v>41858</v>
      </c>
    </row>
    <row r="5860" spans="1:15" x14ac:dyDescent="0.25">
      <c r="A5860" s="786" t="s">
        <v>10418</v>
      </c>
      <c r="B5860" s="787">
        <v>4</v>
      </c>
      <c r="C5860" s="787" t="s">
        <v>10419</v>
      </c>
      <c r="D5860" s="787">
        <v>1.54</v>
      </c>
      <c r="E5860" s="787">
        <v>1.54</v>
      </c>
      <c r="F5860" s="788">
        <v>41886</v>
      </c>
      <c r="G5860" s="788">
        <v>42122</v>
      </c>
      <c r="H5860" s="787">
        <v>1</v>
      </c>
      <c r="I5860" s="788">
        <v>42151</v>
      </c>
      <c r="J5860" s="788">
        <v>42122</v>
      </c>
      <c r="K5860" s="788">
        <v>41382</v>
      </c>
      <c r="L5860" s="787">
        <v>2.84</v>
      </c>
      <c r="M5860" s="787">
        <v>10</v>
      </c>
      <c r="N5860" s="787">
        <v>1.6</v>
      </c>
      <c r="O5860" s="788">
        <v>42162</v>
      </c>
    </row>
    <row r="5861" spans="1:15" x14ac:dyDescent="0.25">
      <c r="A5861" s="786" t="s">
        <v>10420</v>
      </c>
      <c r="B5861" s="787">
        <v>4</v>
      </c>
      <c r="C5861" s="787" t="s">
        <v>10421</v>
      </c>
      <c r="D5861" s="787">
        <v>0.63</v>
      </c>
      <c r="E5861" s="787">
        <v>3.72</v>
      </c>
      <c r="F5861" s="788">
        <v>41775</v>
      </c>
      <c r="G5861" s="788">
        <v>42013</v>
      </c>
      <c r="H5861" s="787">
        <v>1</v>
      </c>
      <c r="I5861" s="788">
        <v>42123</v>
      </c>
      <c r="J5861" s="788">
        <v>41848</v>
      </c>
      <c r="K5861" s="788">
        <v>41619</v>
      </c>
      <c r="L5861" s="787">
        <v>0.7</v>
      </c>
      <c r="M5861" s="787">
        <v>10</v>
      </c>
      <c r="N5861" s="787">
        <v>8.86</v>
      </c>
      <c r="O5861" s="788">
        <v>42162</v>
      </c>
    </row>
    <row r="5862" spans="1:15" x14ac:dyDescent="0.25">
      <c r="A5862" s="786" t="s">
        <v>10422</v>
      </c>
      <c r="B5862" s="787">
        <v>4</v>
      </c>
      <c r="C5862" s="787" t="s">
        <v>10423</v>
      </c>
      <c r="D5862" s="787">
        <v>1.34</v>
      </c>
      <c r="E5862" s="787">
        <v>1.34</v>
      </c>
      <c r="F5862" s="788">
        <v>41775</v>
      </c>
      <c r="G5862" s="788">
        <v>42013</v>
      </c>
      <c r="H5862" s="787">
        <v>1</v>
      </c>
      <c r="I5862" s="788">
        <v>42123</v>
      </c>
      <c r="J5862" s="788">
        <v>41624</v>
      </c>
      <c r="K5862" s="788">
        <v>41619</v>
      </c>
      <c r="L5862" s="787">
        <v>3.78</v>
      </c>
      <c r="M5862" s="787">
        <v>10</v>
      </c>
      <c r="N5862" s="787">
        <v>10.14</v>
      </c>
      <c r="O5862" s="788">
        <v>42162</v>
      </c>
    </row>
    <row r="5863" spans="1:15" x14ac:dyDescent="0.25">
      <c r="A5863" s="786" t="s">
        <v>10424</v>
      </c>
      <c r="B5863" s="787">
        <v>4</v>
      </c>
      <c r="C5863" s="787" t="s">
        <v>10425</v>
      </c>
      <c r="D5863" s="787">
        <v>0</v>
      </c>
      <c r="E5863" s="787">
        <v>0</v>
      </c>
      <c r="H5863" s="787">
        <v>1</v>
      </c>
      <c r="L5863" s="787">
        <v>0</v>
      </c>
      <c r="M5863" s="787">
        <v>10</v>
      </c>
      <c r="N5863" s="787">
        <v>9.65</v>
      </c>
      <c r="O5863" s="788">
        <v>41869</v>
      </c>
    </row>
    <row r="5864" spans="1:15" x14ac:dyDescent="0.25">
      <c r="A5864" s="786" t="s">
        <v>10426</v>
      </c>
      <c r="B5864" s="787">
        <v>4</v>
      </c>
      <c r="C5864" s="787" t="s">
        <v>10427</v>
      </c>
      <c r="D5864" s="787">
        <v>0</v>
      </c>
      <c r="E5864" s="787">
        <v>0</v>
      </c>
      <c r="G5864" s="788">
        <v>37930</v>
      </c>
      <c r="H5864" s="787">
        <v>1</v>
      </c>
      <c r="J5864" s="788">
        <v>37930</v>
      </c>
      <c r="L5864" s="787">
        <v>4.53</v>
      </c>
      <c r="M5864" s="787">
        <v>10</v>
      </c>
      <c r="N5864" s="787">
        <v>6.76</v>
      </c>
      <c r="O5864" s="788">
        <v>42082</v>
      </c>
    </row>
    <row r="5865" spans="1:15" x14ac:dyDescent="0.25">
      <c r="A5865" s="786" t="s">
        <v>10428</v>
      </c>
      <c r="B5865" s="787">
        <v>4</v>
      </c>
      <c r="C5865" s="787" t="s">
        <v>10429</v>
      </c>
      <c r="D5865" s="787">
        <v>0</v>
      </c>
      <c r="E5865" s="787">
        <v>0</v>
      </c>
      <c r="H5865" s="787">
        <v>1</v>
      </c>
      <c r="L5865" s="787">
        <v>0.28000000000000003</v>
      </c>
      <c r="M5865" s="787">
        <v>10</v>
      </c>
      <c r="N5865" s="787">
        <v>0.46</v>
      </c>
      <c r="O5865" s="788">
        <v>41858</v>
      </c>
    </row>
    <row r="5866" spans="1:15" x14ac:dyDescent="0.25">
      <c r="A5866" s="786" t="s">
        <v>10430</v>
      </c>
      <c r="B5866" s="787">
        <v>4</v>
      </c>
      <c r="C5866" s="787" t="s">
        <v>10431</v>
      </c>
      <c r="D5866" s="787">
        <v>0</v>
      </c>
      <c r="E5866" s="787">
        <v>0</v>
      </c>
      <c r="H5866" s="787">
        <v>1</v>
      </c>
      <c r="L5866" s="787">
        <v>0</v>
      </c>
      <c r="M5866" s="787">
        <v>10</v>
      </c>
      <c r="N5866" s="787">
        <v>7.83</v>
      </c>
      <c r="O5866" s="788">
        <v>41858</v>
      </c>
    </row>
    <row r="5867" spans="1:15" x14ac:dyDescent="0.25">
      <c r="A5867" s="786" t="s">
        <v>10432</v>
      </c>
      <c r="B5867" s="787">
        <v>4</v>
      </c>
      <c r="C5867" s="787" t="s">
        <v>10433</v>
      </c>
      <c r="D5867" s="787">
        <v>4.5599999999999996</v>
      </c>
      <c r="E5867" s="787">
        <v>4.5599999999999996</v>
      </c>
      <c r="F5867" s="788">
        <v>38991</v>
      </c>
      <c r="G5867" s="788">
        <v>38991</v>
      </c>
      <c r="H5867" s="787">
        <v>1</v>
      </c>
      <c r="I5867" s="788">
        <v>39134</v>
      </c>
      <c r="J5867" s="788">
        <v>38982</v>
      </c>
      <c r="L5867" s="787">
        <v>0</v>
      </c>
      <c r="M5867" s="787">
        <v>10</v>
      </c>
      <c r="N5867" s="787">
        <v>7.75</v>
      </c>
      <c r="O5867" s="788">
        <v>41858</v>
      </c>
    </row>
    <row r="5868" spans="1:15" x14ac:dyDescent="0.25">
      <c r="A5868" s="786" t="s">
        <v>10434</v>
      </c>
      <c r="B5868" s="787">
        <v>4</v>
      </c>
      <c r="C5868" s="787" t="s">
        <v>10435</v>
      </c>
      <c r="D5868" s="787">
        <v>0</v>
      </c>
      <c r="E5868" s="787">
        <v>0</v>
      </c>
      <c r="H5868" s="787">
        <v>1</v>
      </c>
      <c r="L5868" s="787">
        <v>0</v>
      </c>
      <c r="M5868" s="787">
        <v>10</v>
      </c>
      <c r="N5868" s="787">
        <v>7.83</v>
      </c>
      <c r="O5868" s="788">
        <v>41858</v>
      </c>
    </row>
    <row r="5869" spans="1:15" x14ac:dyDescent="0.25">
      <c r="A5869" s="786" t="s">
        <v>10436</v>
      </c>
      <c r="B5869" s="787">
        <v>4</v>
      </c>
      <c r="C5869" s="787" t="s">
        <v>10437</v>
      </c>
      <c r="D5869" s="787">
        <v>0</v>
      </c>
      <c r="E5869" s="787">
        <v>0</v>
      </c>
      <c r="H5869" s="787">
        <v>1</v>
      </c>
      <c r="L5869" s="787">
        <v>0</v>
      </c>
      <c r="M5869" s="787">
        <v>10</v>
      </c>
      <c r="N5869" s="787">
        <v>7.75</v>
      </c>
      <c r="O5869" s="788">
        <v>41858</v>
      </c>
    </row>
    <row r="5870" spans="1:15" x14ac:dyDescent="0.25">
      <c r="A5870" s="786" t="s">
        <v>10438</v>
      </c>
      <c r="B5870" s="787">
        <v>4</v>
      </c>
      <c r="C5870" s="787" t="s">
        <v>10439</v>
      </c>
      <c r="D5870" s="787">
        <v>0</v>
      </c>
      <c r="E5870" s="787">
        <v>0</v>
      </c>
      <c r="H5870" s="787">
        <v>1</v>
      </c>
      <c r="L5870" s="787">
        <v>0</v>
      </c>
      <c r="M5870" s="787">
        <v>10</v>
      </c>
      <c r="N5870" s="787">
        <v>2.15</v>
      </c>
      <c r="O5870" s="788">
        <v>41858</v>
      </c>
    </row>
    <row r="5871" spans="1:15" x14ac:dyDescent="0.25">
      <c r="A5871" s="786" t="s">
        <v>10440</v>
      </c>
      <c r="B5871" s="787">
        <v>4</v>
      </c>
      <c r="C5871" s="787" t="s">
        <v>10441</v>
      </c>
      <c r="D5871" s="787">
        <v>0</v>
      </c>
      <c r="E5871" s="787">
        <v>0</v>
      </c>
      <c r="H5871" s="787">
        <v>1</v>
      </c>
      <c r="L5871" s="787">
        <v>0</v>
      </c>
      <c r="M5871" s="787">
        <v>10</v>
      </c>
      <c r="N5871" s="787">
        <v>117.45</v>
      </c>
      <c r="O5871" s="788">
        <v>41858</v>
      </c>
    </row>
    <row r="5872" spans="1:15" x14ac:dyDescent="0.25">
      <c r="A5872" s="786" t="s">
        <v>10442</v>
      </c>
      <c r="B5872" s="787">
        <v>4</v>
      </c>
      <c r="C5872" s="787" t="s">
        <v>10443</v>
      </c>
      <c r="D5872" s="787">
        <v>0</v>
      </c>
      <c r="E5872" s="787">
        <v>0</v>
      </c>
      <c r="H5872" s="787">
        <v>1</v>
      </c>
      <c r="L5872" s="787">
        <v>0</v>
      </c>
      <c r="M5872" s="787">
        <v>10</v>
      </c>
      <c r="N5872" s="787">
        <v>117.45</v>
      </c>
      <c r="O5872" s="788">
        <v>41858</v>
      </c>
    </row>
    <row r="5873" spans="1:15" x14ac:dyDescent="0.25">
      <c r="A5873" s="786" t="s">
        <v>10444</v>
      </c>
      <c r="B5873" s="787">
        <v>4</v>
      </c>
      <c r="C5873" s="787" t="s">
        <v>10445</v>
      </c>
      <c r="D5873" s="787">
        <v>0</v>
      </c>
      <c r="E5873" s="787">
        <v>0</v>
      </c>
      <c r="H5873" s="787">
        <v>1</v>
      </c>
      <c r="L5873" s="787">
        <v>0</v>
      </c>
      <c r="M5873" s="787">
        <v>10</v>
      </c>
      <c r="N5873" s="787">
        <v>127.41</v>
      </c>
      <c r="O5873" s="788">
        <v>41858</v>
      </c>
    </row>
    <row r="5874" spans="1:15" x14ac:dyDescent="0.25">
      <c r="A5874" s="786" t="s">
        <v>10446</v>
      </c>
      <c r="B5874" s="787">
        <v>4</v>
      </c>
      <c r="C5874" s="787" t="s">
        <v>10447</v>
      </c>
      <c r="D5874" s="787">
        <v>0</v>
      </c>
      <c r="E5874" s="787">
        <v>0</v>
      </c>
      <c r="H5874" s="787">
        <v>1</v>
      </c>
      <c r="L5874" s="787">
        <v>0</v>
      </c>
      <c r="M5874" s="787">
        <v>10</v>
      </c>
      <c r="N5874" s="787">
        <v>127.41</v>
      </c>
      <c r="O5874" s="788">
        <v>41858</v>
      </c>
    </row>
    <row r="5875" spans="1:15" x14ac:dyDescent="0.25">
      <c r="A5875" s="786" t="s">
        <v>10448</v>
      </c>
      <c r="B5875" s="787">
        <v>4</v>
      </c>
      <c r="C5875" s="787" t="s">
        <v>10449</v>
      </c>
      <c r="D5875" s="787">
        <v>0</v>
      </c>
      <c r="E5875" s="787">
        <v>0</v>
      </c>
      <c r="H5875" s="787">
        <v>1</v>
      </c>
      <c r="L5875" s="787">
        <v>0</v>
      </c>
      <c r="M5875" s="787">
        <v>10</v>
      </c>
      <c r="N5875" s="787">
        <v>26.86</v>
      </c>
      <c r="O5875" s="788">
        <v>41858</v>
      </c>
    </row>
    <row r="5876" spans="1:15" x14ac:dyDescent="0.25">
      <c r="A5876" s="786" t="s">
        <v>10450</v>
      </c>
      <c r="B5876" s="787">
        <v>4</v>
      </c>
      <c r="C5876" s="787" t="s">
        <v>10451</v>
      </c>
      <c r="D5876" s="787">
        <v>0</v>
      </c>
      <c r="E5876" s="787">
        <v>0</v>
      </c>
      <c r="H5876" s="787">
        <v>1</v>
      </c>
      <c r="L5876" s="787">
        <v>0</v>
      </c>
      <c r="M5876" s="787">
        <v>10</v>
      </c>
      <c r="N5876" s="787">
        <v>26.86</v>
      </c>
      <c r="O5876" s="788">
        <v>41858</v>
      </c>
    </row>
    <row r="5877" spans="1:15" x14ac:dyDescent="0.25">
      <c r="A5877" s="786" t="s">
        <v>10452</v>
      </c>
      <c r="B5877" s="787">
        <v>4</v>
      </c>
      <c r="C5877" s="787" t="s">
        <v>10453</v>
      </c>
      <c r="D5877" s="787">
        <v>0</v>
      </c>
      <c r="E5877" s="787">
        <v>0</v>
      </c>
      <c r="H5877" s="787">
        <v>1</v>
      </c>
      <c r="L5877" s="787">
        <v>0</v>
      </c>
      <c r="M5877" s="787">
        <v>10</v>
      </c>
      <c r="N5877" s="787">
        <v>26.86</v>
      </c>
      <c r="O5877" s="788">
        <v>41858</v>
      </c>
    </row>
    <row r="5878" spans="1:15" x14ac:dyDescent="0.25">
      <c r="A5878" s="786" t="s">
        <v>10454</v>
      </c>
      <c r="B5878" s="787">
        <v>4</v>
      </c>
      <c r="C5878" s="787" t="s">
        <v>10455</v>
      </c>
      <c r="D5878" s="787">
        <v>0</v>
      </c>
      <c r="E5878" s="787">
        <v>0</v>
      </c>
      <c r="H5878" s="787">
        <v>1</v>
      </c>
      <c r="L5878" s="787">
        <v>0</v>
      </c>
      <c r="M5878" s="787">
        <v>10</v>
      </c>
      <c r="N5878" s="787">
        <v>26.86</v>
      </c>
      <c r="O5878" s="788">
        <v>41858</v>
      </c>
    </row>
    <row r="5879" spans="1:15" x14ac:dyDescent="0.25">
      <c r="A5879" s="786" t="s">
        <v>10456</v>
      </c>
      <c r="B5879" s="787">
        <v>4</v>
      </c>
      <c r="C5879" s="787" t="s">
        <v>10457</v>
      </c>
      <c r="D5879" s="787">
        <v>0</v>
      </c>
      <c r="E5879" s="787">
        <v>0</v>
      </c>
      <c r="H5879" s="787">
        <v>1</v>
      </c>
      <c r="L5879" s="787">
        <v>0</v>
      </c>
      <c r="M5879" s="787">
        <v>10</v>
      </c>
      <c r="N5879" s="787">
        <v>29.41</v>
      </c>
      <c r="O5879" s="788">
        <v>41858</v>
      </c>
    </row>
    <row r="5880" spans="1:15" x14ac:dyDescent="0.25">
      <c r="A5880" s="786" t="s">
        <v>10458</v>
      </c>
      <c r="B5880" s="787">
        <v>4</v>
      </c>
      <c r="C5880" s="787" t="s">
        <v>10459</v>
      </c>
      <c r="D5880" s="787">
        <v>0</v>
      </c>
      <c r="E5880" s="787">
        <v>0</v>
      </c>
      <c r="H5880" s="787">
        <v>1</v>
      </c>
      <c r="L5880" s="787">
        <v>0</v>
      </c>
      <c r="M5880" s="787">
        <v>10</v>
      </c>
      <c r="N5880" s="787">
        <v>29.41</v>
      </c>
      <c r="O5880" s="788">
        <v>41858</v>
      </c>
    </row>
    <row r="5881" spans="1:15" x14ac:dyDescent="0.25">
      <c r="A5881" s="786" t="s">
        <v>10460</v>
      </c>
      <c r="B5881" s="787">
        <v>4</v>
      </c>
      <c r="C5881" s="787" t="s">
        <v>10461</v>
      </c>
      <c r="D5881" s="787">
        <v>0</v>
      </c>
      <c r="E5881" s="787">
        <v>0</v>
      </c>
      <c r="H5881" s="787">
        <v>1</v>
      </c>
      <c r="L5881" s="787">
        <v>0</v>
      </c>
      <c r="M5881" s="787">
        <v>10</v>
      </c>
      <c r="N5881" s="787">
        <v>29.41</v>
      </c>
      <c r="O5881" s="788">
        <v>41858</v>
      </c>
    </row>
    <row r="5882" spans="1:15" x14ac:dyDescent="0.25">
      <c r="A5882" s="786" t="s">
        <v>10462</v>
      </c>
      <c r="B5882" s="787">
        <v>4</v>
      </c>
      <c r="C5882" s="787" t="s">
        <v>10463</v>
      </c>
      <c r="D5882" s="787">
        <v>0</v>
      </c>
      <c r="E5882" s="787">
        <v>0</v>
      </c>
      <c r="H5882" s="787">
        <v>1</v>
      </c>
      <c r="L5882" s="787">
        <v>0</v>
      </c>
      <c r="M5882" s="787">
        <v>10</v>
      </c>
      <c r="N5882" s="787">
        <v>9.9600000000000009</v>
      </c>
      <c r="O5882" s="788">
        <v>41858</v>
      </c>
    </row>
    <row r="5883" spans="1:15" x14ac:dyDescent="0.25">
      <c r="A5883" s="786" t="s">
        <v>10464</v>
      </c>
      <c r="B5883" s="787">
        <v>4</v>
      </c>
      <c r="C5883" s="787" t="s">
        <v>10465</v>
      </c>
      <c r="D5883" s="787">
        <v>0</v>
      </c>
      <c r="E5883" s="787">
        <v>0</v>
      </c>
      <c r="H5883" s="787">
        <v>1</v>
      </c>
      <c r="I5883" s="788">
        <v>40094</v>
      </c>
      <c r="J5883" s="788">
        <v>38736</v>
      </c>
      <c r="L5883" s="787">
        <v>0</v>
      </c>
      <c r="M5883" s="787">
        <v>10</v>
      </c>
      <c r="N5883" s="787">
        <v>10.8</v>
      </c>
      <c r="O5883" s="788">
        <v>42125</v>
      </c>
    </row>
    <row r="5884" spans="1:15" x14ac:dyDescent="0.25">
      <c r="A5884" s="786" t="s">
        <v>10466</v>
      </c>
      <c r="B5884" s="787">
        <v>4</v>
      </c>
      <c r="C5884" s="787" t="s">
        <v>10467</v>
      </c>
      <c r="D5884" s="787">
        <v>0</v>
      </c>
      <c r="E5884" s="787">
        <v>0</v>
      </c>
      <c r="G5884" s="788">
        <v>38736</v>
      </c>
      <c r="H5884" s="787">
        <v>1</v>
      </c>
      <c r="I5884" s="788">
        <v>40094</v>
      </c>
      <c r="J5884" s="788">
        <v>38736</v>
      </c>
      <c r="L5884" s="787">
        <v>0</v>
      </c>
      <c r="M5884" s="787">
        <v>10</v>
      </c>
      <c r="N5884" s="787">
        <v>11.54</v>
      </c>
      <c r="O5884" s="788">
        <v>42125</v>
      </c>
    </row>
    <row r="5885" spans="1:15" x14ac:dyDescent="0.25">
      <c r="A5885" s="786" t="s">
        <v>10468</v>
      </c>
      <c r="B5885" s="787">
        <v>4</v>
      </c>
      <c r="C5885" s="787" t="s">
        <v>10469</v>
      </c>
      <c r="D5885" s="787">
        <v>1.28</v>
      </c>
      <c r="E5885" s="787">
        <v>12.63</v>
      </c>
      <c r="F5885" s="788">
        <v>39456</v>
      </c>
      <c r="G5885" s="788">
        <v>42142</v>
      </c>
      <c r="H5885" s="787">
        <v>1</v>
      </c>
      <c r="I5885" s="788">
        <v>42108</v>
      </c>
      <c r="J5885" s="788">
        <v>42108</v>
      </c>
      <c r="K5885" s="788">
        <v>41883</v>
      </c>
      <c r="L5885" s="787">
        <v>6</v>
      </c>
      <c r="M5885" s="787">
        <v>10</v>
      </c>
      <c r="N5885" s="787">
        <v>20.21</v>
      </c>
      <c r="O5885" s="788">
        <v>42125</v>
      </c>
    </row>
    <row r="5886" spans="1:15" x14ac:dyDescent="0.25">
      <c r="A5886" s="786" t="s">
        <v>10470</v>
      </c>
      <c r="B5886" s="787">
        <v>4</v>
      </c>
      <c r="C5886" s="787" t="s">
        <v>10471</v>
      </c>
      <c r="D5886" s="787">
        <v>0.88</v>
      </c>
      <c r="E5886" s="787">
        <v>78.92</v>
      </c>
      <c r="F5886" s="788">
        <v>39456</v>
      </c>
      <c r="G5886" s="788">
        <v>42153</v>
      </c>
      <c r="H5886" s="787">
        <v>1</v>
      </c>
      <c r="I5886" s="788">
        <v>42137</v>
      </c>
      <c r="J5886" s="788">
        <v>42123</v>
      </c>
      <c r="K5886" s="788">
        <v>41744</v>
      </c>
      <c r="L5886" s="787">
        <v>4</v>
      </c>
      <c r="M5886" s="787">
        <v>10</v>
      </c>
      <c r="N5886" s="787">
        <v>15.49</v>
      </c>
      <c r="O5886" s="788">
        <v>42125</v>
      </c>
    </row>
    <row r="5887" spans="1:15" x14ac:dyDescent="0.25">
      <c r="A5887" s="786" t="s">
        <v>10472</v>
      </c>
      <c r="B5887" s="787">
        <v>4</v>
      </c>
      <c r="C5887" s="787" t="s">
        <v>10473</v>
      </c>
      <c r="D5887" s="787">
        <v>2.2999999999999998</v>
      </c>
      <c r="E5887" s="787">
        <v>2.31</v>
      </c>
      <c r="F5887" s="788">
        <v>38772</v>
      </c>
      <c r="G5887" s="788">
        <v>41943</v>
      </c>
      <c r="H5887" s="787">
        <v>1</v>
      </c>
      <c r="I5887" s="788">
        <v>41879</v>
      </c>
      <c r="J5887" s="788">
        <v>39828</v>
      </c>
      <c r="K5887" s="788">
        <v>41736</v>
      </c>
      <c r="L5887" s="787">
        <v>4.79</v>
      </c>
      <c r="M5887" s="787">
        <v>10</v>
      </c>
      <c r="N5887" s="787">
        <v>4.6900000000000004</v>
      </c>
      <c r="O5887" s="788">
        <v>42125</v>
      </c>
    </row>
    <row r="5888" spans="1:15" x14ac:dyDescent="0.25">
      <c r="A5888" s="786" t="s">
        <v>10474</v>
      </c>
      <c r="B5888" s="787">
        <v>4</v>
      </c>
      <c r="C5888" s="787" t="s">
        <v>10475</v>
      </c>
      <c r="D5888" s="787">
        <v>2.12</v>
      </c>
      <c r="E5888" s="787">
        <v>2.33</v>
      </c>
      <c r="F5888" s="788">
        <v>39456</v>
      </c>
      <c r="G5888" s="788">
        <v>41943</v>
      </c>
      <c r="H5888" s="787">
        <v>1</v>
      </c>
      <c r="I5888" s="788">
        <v>41555</v>
      </c>
      <c r="J5888" s="788">
        <v>39828</v>
      </c>
      <c r="K5888" s="788">
        <v>41736</v>
      </c>
      <c r="L5888" s="787">
        <v>5.14</v>
      </c>
      <c r="M5888" s="787">
        <v>10</v>
      </c>
      <c r="N5888" s="787">
        <v>5.03</v>
      </c>
      <c r="O5888" s="788">
        <v>42125</v>
      </c>
    </row>
    <row r="5889" spans="1:15" x14ac:dyDescent="0.25">
      <c r="A5889" s="786" t="s">
        <v>10476</v>
      </c>
      <c r="B5889" s="787">
        <v>4</v>
      </c>
      <c r="C5889" s="787" t="s">
        <v>10477</v>
      </c>
      <c r="D5889" s="787">
        <v>0.14000000000000001</v>
      </c>
      <c r="E5889" s="787">
        <v>0.14000000000000001</v>
      </c>
      <c r="F5889" s="788">
        <v>39975</v>
      </c>
      <c r="G5889" s="788">
        <v>41943</v>
      </c>
      <c r="H5889" s="787">
        <v>1</v>
      </c>
      <c r="I5889" s="788">
        <v>41932</v>
      </c>
      <c r="J5889" s="788">
        <v>39832</v>
      </c>
      <c r="K5889" s="788">
        <v>41736</v>
      </c>
      <c r="L5889" s="787">
        <v>4.55</v>
      </c>
      <c r="M5889" s="787">
        <v>10</v>
      </c>
      <c r="N5889" s="787">
        <v>4.45</v>
      </c>
      <c r="O5889" s="788">
        <v>42125</v>
      </c>
    </row>
    <row r="5890" spans="1:15" x14ac:dyDescent="0.25">
      <c r="A5890" s="786" t="s">
        <v>10478</v>
      </c>
      <c r="B5890" s="787">
        <v>4</v>
      </c>
      <c r="C5890" s="787" t="s">
        <v>10479</v>
      </c>
      <c r="D5890" s="787">
        <v>0.24</v>
      </c>
      <c r="E5890" s="787">
        <v>0.24</v>
      </c>
      <c r="F5890" s="788">
        <v>39975</v>
      </c>
      <c r="G5890" s="788">
        <v>41943</v>
      </c>
      <c r="H5890" s="787">
        <v>1</v>
      </c>
      <c r="I5890" s="788">
        <v>41932</v>
      </c>
      <c r="J5890" s="788">
        <v>40318</v>
      </c>
      <c r="K5890" s="788">
        <v>41736</v>
      </c>
      <c r="L5890" s="787">
        <v>4.05</v>
      </c>
      <c r="M5890" s="787">
        <v>10</v>
      </c>
      <c r="N5890" s="787">
        <v>3.95</v>
      </c>
      <c r="O5890" s="788">
        <v>42125</v>
      </c>
    </row>
    <row r="5891" spans="1:15" x14ac:dyDescent="0.25">
      <c r="A5891" s="786" t="s">
        <v>10480</v>
      </c>
      <c r="B5891" s="787">
        <v>4</v>
      </c>
      <c r="C5891" s="787" t="s">
        <v>10481</v>
      </c>
      <c r="D5891" s="787">
        <v>0</v>
      </c>
      <c r="E5891" s="787">
        <v>0</v>
      </c>
      <c r="H5891" s="787">
        <v>1</v>
      </c>
      <c r="I5891" s="788">
        <v>41956</v>
      </c>
      <c r="J5891" s="788">
        <v>41710</v>
      </c>
      <c r="K5891" s="788">
        <v>41710</v>
      </c>
      <c r="L5891" s="787">
        <v>14</v>
      </c>
      <c r="M5891" s="787">
        <v>10</v>
      </c>
      <c r="N5891" s="787">
        <v>13.64</v>
      </c>
      <c r="O5891" s="788">
        <v>42124</v>
      </c>
    </row>
    <row r="5892" spans="1:15" x14ac:dyDescent="0.25">
      <c r="A5892" s="786" t="s">
        <v>10482</v>
      </c>
      <c r="B5892" s="787">
        <v>4</v>
      </c>
      <c r="C5892" s="787" t="s">
        <v>10483</v>
      </c>
      <c r="D5892" s="787">
        <v>0</v>
      </c>
      <c r="E5892" s="787">
        <v>0</v>
      </c>
      <c r="H5892" s="787">
        <v>1</v>
      </c>
      <c r="I5892" s="788">
        <v>41956</v>
      </c>
      <c r="J5892" s="788">
        <v>41816</v>
      </c>
      <c r="K5892" s="788">
        <v>41817</v>
      </c>
      <c r="L5892" s="787">
        <v>12</v>
      </c>
      <c r="M5892" s="787">
        <v>10</v>
      </c>
      <c r="N5892" s="787">
        <v>11.9</v>
      </c>
      <c r="O5892" s="788">
        <v>42124</v>
      </c>
    </row>
    <row r="5893" spans="1:15" x14ac:dyDescent="0.25">
      <c r="A5893" s="786" t="s">
        <v>10484</v>
      </c>
      <c r="B5893" s="787">
        <v>4</v>
      </c>
      <c r="C5893" s="787" t="s">
        <v>10485</v>
      </c>
      <c r="D5893" s="787">
        <v>0</v>
      </c>
      <c r="E5893" s="787">
        <v>0</v>
      </c>
      <c r="H5893" s="787">
        <v>1</v>
      </c>
      <c r="I5893" s="788">
        <v>41956</v>
      </c>
      <c r="J5893" s="788">
        <v>41710</v>
      </c>
      <c r="K5893" s="788">
        <v>41710</v>
      </c>
      <c r="L5893" s="787">
        <v>12</v>
      </c>
      <c r="M5893" s="787">
        <v>10</v>
      </c>
      <c r="N5893" s="787">
        <v>11.71</v>
      </c>
      <c r="O5893" s="788">
        <v>42124</v>
      </c>
    </row>
    <row r="5894" spans="1:15" x14ac:dyDescent="0.25">
      <c r="A5894" s="786" t="s">
        <v>10486</v>
      </c>
      <c r="B5894" s="787">
        <v>4</v>
      </c>
      <c r="C5894" s="787" t="s">
        <v>10487</v>
      </c>
      <c r="D5894" s="787">
        <v>6.51</v>
      </c>
      <c r="E5894" s="787">
        <v>6.51</v>
      </c>
      <c r="F5894" s="788">
        <v>38949</v>
      </c>
      <c r="G5894" s="788">
        <v>41282</v>
      </c>
      <c r="H5894" s="787">
        <v>1</v>
      </c>
      <c r="I5894" s="788">
        <v>42051</v>
      </c>
      <c r="J5894" s="788">
        <v>41816</v>
      </c>
      <c r="K5894" s="788">
        <v>41817</v>
      </c>
      <c r="L5894" s="787">
        <v>7</v>
      </c>
      <c r="M5894" s="787">
        <v>10</v>
      </c>
      <c r="N5894" s="787">
        <v>8.8699999999999992</v>
      </c>
      <c r="O5894" s="788">
        <v>42124</v>
      </c>
    </row>
    <row r="5895" spans="1:15" x14ac:dyDescent="0.25">
      <c r="A5895" s="786" t="s">
        <v>10488</v>
      </c>
      <c r="B5895" s="787">
        <v>4</v>
      </c>
      <c r="C5895" s="787" t="s">
        <v>10489</v>
      </c>
      <c r="D5895" s="787">
        <v>3.66</v>
      </c>
      <c r="E5895" s="787">
        <v>3.66</v>
      </c>
      <c r="F5895" s="788">
        <v>39456</v>
      </c>
      <c r="G5895" s="788">
        <v>39590</v>
      </c>
      <c r="H5895" s="787">
        <v>1</v>
      </c>
      <c r="I5895" s="788">
        <v>41793</v>
      </c>
      <c r="J5895" s="788">
        <v>41816</v>
      </c>
      <c r="K5895" s="788">
        <v>41817</v>
      </c>
      <c r="L5895" s="787">
        <v>6</v>
      </c>
      <c r="M5895" s="787">
        <v>10</v>
      </c>
      <c r="N5895" s="787">
        <v>22.41</v>
      </c>
      <c r="O5895" s="788">
        <v>42124</v>
      </c>
    </row>
    <row r="5896" spans="1:15" x14ac:dyDescent="0.25">
      <c r="A5896" s="786" t="s">
        <v>10490</v>
      </c>
      <c r="B5896" s="787">
        <v>4</v>
      </c>
      <c r="C5896" s="787" t="s">
        <v>10491</v>
      </c>
      <c r="D5896" s="787">
        <v>6.51</v>
      </c>
      <c r="E5896" s="787">
        <v>6.51</v>
      </c>
      <c r="F5896" s="788">
        <v>38949</v>
      </c>
      <c r="G5896" s="788">
        <v>38949</v>
      </c>
      <c r="H5896" s="787">
        <v>1</v>
      </c>
      <c r="I5896" s="788">
        <v>42051</v>
      </c>
      <c r="J5896" s="788">
        <v>38931</v>
      </c>
      <c r="K5896" s="788">
        <v>41610</v>
      </c>
      <c r="L5896" s="787">
        <v>8</v>
      </c>
      <c r="M5896" s="787">
        <v>10</v>
      </c>
      <c r="N5896" s="787">
        <v>8.6</v>
      </c>
      <c r="O5896" s="788">
        <v>41858</v>
      </c>
    </row>
    <row r="5897" spans="1:15" x14ac:dyDescent="0.25">
      <c r="A5897" s="786" t="s">
        <v>10492</v>
      </c>
      <c r="B5897" s="787">
        <v>4</v>
      </c>
      <c r="C5897" s="787" t="s">
        <v>10493</v>
      </c>
      <c r="D5897" s="787">
        <v>0</v>
      </c>
      <c r="E5897" s="787">
        <v>0</v>
      </c>
      <c r="H5897" s="787">
        <v>1</v>
      </c>
      <c r="I5897" s="788">
        <v>41708</v>
      </c>
      <c r="J5897" s="788">
        <v>41710</v>
      </c>
      <c r="K5897" s="788">
        <v>41710</v>
      </c>
      <c r="L5897" s="787">
        <v>7</v>
      </c>
      <c r="M5897" s="787">
        <v>10</v>
      </c>
      <c r="N5897" s="787">
        <v>8.15</v>
      </c>
      <c r="O5897" s="788">
        <v>42067</v>
      </c>
    </row>
    <row r="5898" spans="1:15" x14ac:dyDescent="0.25">
      <c r="A5898" s="786" t="s">
        <v>10494</v>
      </c>
      <c r="B5898" s="787">
        <v>4</v>
      </c>
      <c r="C5898" s="787" t="s">
        <v>8892</v>
      </c>
      <c r="D5898" s="787">
        <v>3.99</v>
      </c>
      <c r="E5898" s="787">
        <v>3.99</v>
      </c>
      <c r="F5898" s="788">
        <v>39456</v>
      </c>
      <c r="G5898" s="788">
        <v>41255</v>
      </c>
      <c r="H5898" s="787">
        <v>1</v>
      </c>
      <c r="I5898" s="788">
        <v>42051</v>
      </c>
      <c r="J5898" s="788">
        <v>42052</v>
      </c>
      <c r="L5898" s="787">
        <v>5.4</v>
      </c>
      <c r="M5898" s="787">
        <v>10</v>
      </c>
      <c r="N5898" s="787">
        <v>7.2</v>
      </c>
      <c r="O5898" s="788">
        <v>41858</v>
      </c>
    </row>
    <row r="5899" spans="1:15" x14ac:dyDescent="0.25">
      <c r="A5899" s="786" t="s">
        <v>10495</v>
      </c>
      <c r="B5899" s="787">
        <v>4</v>
      </c>
      <c r="C5899" s="787" t="s">
        <v>8614</v>
      </c>
      <c r="D5899" s="787">
        <v>2.5299999999999998</v>
      </c>
      <c r="E5899" s="787">
        <v>3.73</v>
      </c>
      <c r="F5899" s="788">
        <v>39456</v>
      </c>
      <c r="G5899" s="788">
        <v>41943</v>
      </c>
      <c r="H5899" s="787">
        <v>1</v>
      </c>
      <c r="I5899" s="788">
        <v>42065</v>
      </c>
      <c r="J5899" s="788">
        <v>42066</v>
      </c>
      <c r="L5899" s="787">
        <v>3.73</v>
      </c>
      <c r="M5899" s="787">
        <v>10</v>
      </c>
      <c r="N5899" s="787">
        <v>3.66</v>
      </c>
      <c r="O5899" s="788">
        <v>42124</v>
      </c>
    </row>
    <row r="5900" spans="1:15" x14ac:dyDescent="0.25">
      <c r="A5900" s="786" t="s">
        <v>10496</v>
      </c>
      <c r="B5900" s="787">
        <v>4</v>
      </c>
      <c r="C5900" s="787" t="s">
        <v>10497</v>
      </c>
      <c r="D5900" s="787">
        <v>1.32</v>
      </c>
      <c r="E5900" s="787">
        <v>1.32</v>
      </c>
      <c r="F5900" s="788">
        <v>39456</v>
      </c>
      <c r="G5900" s="788">
        <v>39149</v>
      </c>
      <c r="H5900" s="787">
        <v>1</v>
      </c>
      <c r="I5900" s="788">
        <v>42051</v>
      </c>
      <c r="J5900" s="788">
        <v>42052</v>
      </c>
      <c r="L5900" s="787">
        <v>1.6</v>
      </c>
      <c r="M5900" s="787">
        <v>10</v>
      </c>
      <c r="N5900" s="787">
        <v>1.9</v>
      </c>
      <c r="O5900" s="788">
        <v>42053</v>
      </c>
    </row>
    <row r="5901" spans="1:15" x14ac:dyDescent="0.25">
      <c r="A5901" s="786" t="s">
        <v>10498</v>
      </c>
      <c r="B5901" s="787">
        <v>4</v>
      </c>
      <c r="C5901" s="787" t="s">
        <v>10499</v>
      </c>
      <c r="D5901" s="787">
        <v>3.2</v>
      </c>
      <c r="E5901" s="787">
        <v>3.2</v>
      </c>
      <c r="F5901" s="788">
        <v>39456</v>
      </c>
      <c r="G5901" s="788">
        <v>42013</v>
      </c>
      <c r="H5901" s="787">
        <v>1</v>
      </c>
      <c r="I5901" s="788">
        <v>42051</v>
      </c>
      <c r="J5901" s="788">
        <v>42052</v>
      </c>
      <c r="L5901" s="787">
        <v>4.29</v>
      </c>
      <c r="M5901" s="787">
        <v>10</v>
      </c>
      <c r="N5901" s="787">
        <v>6.2</v>
      </c>
      <c r="O5901" s="788">
        <v>41858</v>
      </c>
    </row>
    <row r="5902" spans="1:15" x14ac:dyDescent="0.25">
      <c r="A5902" s="786" t="s">
        <v>10500</v>
      </c>
      <c r="B5902" s="787">
        <v>4</v>
      </c>
      <c r="C5902" s="787" t="s">
        <v>8586</v>
      </c>
      <c r="D5902" s="787">
        <v>4.9000000000000004</v>
      </c>
      <c r="E5902" s="787">
        <v>4.9000000000000004</v>
      </c>
      <c r="F5902" s="788">
        <v>38949</v>
      </c>
      <c r="G5902" s="788">
        <v>41943</v>
      </c>
      <c r="H5902" s="787">
        <v>1</v>
      </c>
      <c r="I5902" s="788">
        <v>42041</v>
      </c>
      <c r="J5902" s="788">
        <v>42044</v>
      </c>
      <c r="K5902" s="788">
        <v>41702</v>
      </c>
      <c r="L5902" s="787">
        <v>7.67</v>
      </c>
      <c r="M5902" s="787">
        <v>10</v>
      </c>
      <c r="N5902" s="787">
        <v>8.35</v>
      </c>
      <c r="O5902" s="788">
        <v>41858</v>
      </c>
    </row>
    <row r="5903" spans="1:15" x14ac:dyDescent="0.25">
      <c r="A5903" s="786" t="s">
        <v>10501</v>
      </c>
      <c r="B5903" s="787">
        <v>4</v>
      </c>
      <c r="C5903" s="787" t="s">
        <v>10502</v>
      </c>
      <c r="D5903" s="787">
        <v>0.44</v>
      </c>
      <c r="E5903" s="787">
        <v>2.8</v>
      </c>
      <c r="F5903" s="788">
        <v>38772</v>
      </c>
      <c r="G5903" s="788">
        <v>42069</v>
      </c>
      <c r="H5903" s="787">
        <v>1</v>
      </c>
      <c r="I5903" s="788">
        <v>42045</v>
      </c>
      <c r="J5903" s="788">
        <v>42045</v>
      </c>
      <c r="K5903" s="788">
        <v>41536</v>
      </c>
      <c r="L5903" s="787">
        <v>0.65</v>
      </c>
      <c r="M5903" s="787">
        <v>10</v>
      </c>
      <c r="N5903" s="787">
        <v>1</v>
      </c>
      <c r="O5903" s="788">
        <v>42162</v>
      </c>
    </row>
    <row r="5904" spans="1:15" x14ac:dyDescent="0.25">
      <c r="A5904" s="786" t="s">
        <v>10503</v>
      </c>
      <c r="B5904" s="787">
        <v>4</v>
      </c>
      <c r="C5904" s="787" t="s">
        <v>10467</v>
      </c>
      <c r="D5904" s="787">
        <v>0</v>
      </c>
      <c r="E5904" s="787">
        <v>0</v>
      </c>
      <c r="H5904" s="787">
        <v>1</v>
      </c>
      <c r="L5904" s="787">
        <v>0</v>
      </c>
      <c r="M5904" s="787">
        <v>10</v>
      </c>
      <c r="N5904" s="787">
        <v>12.19</v>
      </c>
      <c r="O5904" s="788">
        <v>42124</v>
      </c>
    </row>
    <row r="5905" spans="1:15" x14ac:dyDescent="0.25">
      <c r="A5905" s="786" t="s">
        <v>10504</v>
      </c>
      <c r="B5905" s="787">
        <v>4</v>
      </c>
      <c r="C5905" s="787" t="s">
        <v>10505</v>
      </c>
      <c r="D5905" s="787">
        <v>0</v>
      </c>
      <c r="E5905" s="787">
        <v>0</v>
      </c>
      <c r="H5905" s="787">
        <v>1</v>
      </c>
      <c r="L5905" s="787">
        <v>0</v>
      </c>
      <c r="M5905" s="787">
        <v>10</v>
      </c>
      <c r="N5905" s="787">
        <v>13.35</v>
      </c>
      <c r="O5905" s="788">
        <v>42124</v>
      </c>
    </row>
    <row r="5906" spans="1:15" x14ac:dyDescent="0.25">
      <c r="A5906" s="786" t="s">
        <v>10506</v>
      </c>
      <c r="B5906" s="787">
        <v>4</v>
      </c>
      <c r="C5906" s="787" t="s">
        <v>10507</v>
      </c>
      <c r="D5906" s="787">
        <v>0</v>
      </c>
      <c r="E5906" s="787">
        <v>0</v>
      </c>
      <c r="H5906" s="787">
        <v>1</v>
      </c>
      <c r="I5906" s="788">
        <v>41855</v>
      </c>
      <c r="K5906" s="788">
        <v>41702</v>
      </c>
      <c r="L5906" s="787">
        <v>5.3</v>
      </c>
      <c r="M5906" s="787">
        <v>10</v>
      </c>
      <c r="N5906" s="787">
        <v>5.3</v>
      </c>
      <c r="O5906" s="788">
        <v>41869</v>
      </c>
    </row>
    <row r="5907" spans="1:15" x14ac:dyDescent="0.25">
      <c r="A5907" s="786" t="s">
        <v>10508</v>
      </c>
      <c r="B5907" s="787">
        <v>4</v>
      </c>
      <c r="C5907" s="787" t="s">
        <v>10509</v>
      </c>
      <c r="D5907" s="787">
        <v>0</v>
      </c>
      <c r="E5907" s="787">
        <v>0</v>
      </c>
      <c r="H5907" s="787">
        <v>1</v>
      </c>
      <c r="I5907" s="788">
        <v>41855</v>
      </c>
      <c r="J5907" s="788">
        <v>41865</v>
      </c>
      <c r="K5907" s="788">
        <v>41865</v>
      </c>
      <c r="L5907" s="787">
        <v>7</v>
      </c>
      <c r="M5907" s="787">
        <v>10</v>
      </c>
      <c r="N5907" s="787">
        <v>6.29</v>
      </c>
      <c r="O5907" s="788">
        <v>41858</v>
      </c>
    </row>
    <row r="5908" spans="1:15" x14ac:dyDescent="0.25">
      <c r="A5908" s="786" t="s">
        <v>10510</v>
      </c>
      <c r="B5908" s="787">
        <v>4</v>
      </c>
      <c r="C5908" s="787" t="s">
        <v>10511</v>
      </c>
      <c r="D5908" s="787">
        <v>0</v>
      </c>
      <c r="E5908" s="787">
        <v>0</v>
      </c>
      <c r="H5908" s="787">
        <v>1</v>
      </c>
      <c r="I5908" s="788">
        <v>41855</v>
      </c>
      <c r="J5908" s="788">
        <v>41865</v>
      </c>
      <c r="K5908" s="788">
        <v>41866</v>
      </c>
      <c r="L5908" s="787">
        <v>9</v>
      </c>
      <c r="M5908" s="787">
        <v>10</v>
      </c>
      <c r="N5908" s="787">
        <v>23.79</v>
      </c>
      <c r="O5908" s="788">
        <v>41866</v>
      </c>
    </row>
    <row r="5909" spans="1:15" x14ac:dyDescent="0.25">
      <c r="A5909" s="786" t="s">
        <v>10512</v>
      </c>
      <c r="B5909" s="787">
        <v>4</v>
      </c>
      <c r="C5909" s="787" t="s">
        <v>10513</v>
      </c>
      <c r="D5909" s="787">
        <v>0</v>
      </c>
      <c r="E5909" s="787">
        <v>0</v>
      </c>
      <c r="H5909" s="787">
        <v>1</v>
      </c>
      <c r="I5909" s="788">
        <v>40719</v>
      </c>
      <c r="J5909" s="788">
        <v>39101</v>
      </c>
      <c r="L5909" s="787">
        <v>0</v>
      </c>
      <c r="M5909" s="787">
        <v>10</v>
      </c>
      <c r="N5909" s="787">
        <v>9.11</v>
      </c>
      <c r="O5909" s="788">
        <v>42156</v>
      </c>
    </row>
    <row r="5910" spans="1:15" x14ac:dyDescent="0.25">
      <c r="A5910" s="786" t="s">
        <v>10514</v>
      </c>
      <c r="B5910" s="787">
        <v>4</v>
      </c>
      <c r="C5910" s="787" t="s">
        <v>10515</v>
      </c>
      <c r="D5910" s="787">
        <v>0.08</v>
      </c>
      <c r="E5910" s="787">
        <v>0.08</v>
      </c>
      <c r="F5910" s="788">
        <v>40634</v>
      </c>
      <c r="G5910" s="788">
        <v>39790</v>
      </c>
      <c r="H5910" s="787">
        <v>1</v>
      </c>
      <c r="I5910" s="788">
        <v>39134</v>
      </c>
      <c r="J5910" s="788">
        <v>40207</v>
      </c>
      <c r="L5910" s="787">
        <v>0</v>
      </c>
      <c r="M5910" s="787">
        <v>10</v>
      </c>
      <c r="N5910" s="787">
        <v>3.13</v>
      </c>
      <c r="O5910" s="788">
        <v>42156</v>
      </c>
    </row>
    <row r="5911" spans="1:15" x14ac:dyDescent="0.25">
      <c r="A5911" s="786" t="s">
        <v>10516</v>
      </c>
      <c r="B5911" s="787">
        <v>4</v>
      </c>
      <c r="C5911" s="787" t="s">
        <v>10517</v>
      </c>
      <c r="D5911" s="787">
        <v>0.46</v>
      </c>
      <c r="E5911" s="787">
        <v>0.46</v>
      </c>
      <c r="F5911" s="788">
        <v>38991</v>
      </c>
      <c r="G5911" s="788">
        <v>39797</v>
      </c>
      <c r="H5911" s="787">
        <v>1</v>
      </c>
      <c r="I5911" s="788">
        <v>39134</v>
      </c>
      <c r="J5911" s="788">
        <v>40207</v>
      </c>
      <c r="L5911" s="787">
        <v>0</v>
      </c>
      <c r="M5911" s="787">
        <v>10</v>
      </c>
      <c r="N5911" s="787">
        <v>2.4</v>
      </c>
      <c r="O5911" s="788">
        <v>42156</v>
      </c>
    </row>
    <row r="5912" spans="1:15" x14ac:dyDescent="0.25">
      <c r="A5912" s="786" t="s">
        <v>10518</v>
      </c>
      <c r="B5912" s="787">
        <v>4</v>
      </c>
      <c r="C5912" s="787" t="s">
        <v>10519</v>
      </c>
      <c r="D5912" s="787">
        <v>0.02</v>
      </c>
      <c r="E5912" s="787">
        <v>0.02</v>
      </c>
      <c r="F5912" s="788">
        <v>40634</v>
      </c>
      <c r="G5912" s="788">
        <v>39797</v>
      </c>
      <c r="H5912" s="787">
        <v>1</v>
      </c>
      <c r="I5912" s="788">
        <v>39134</v>
      </c>
      <c r="J5912" s="788">
        <v>40207</v>
      </c>
      <c r="L5912" s="787">
        <v>0</v>
      </c>
      <c r="M5912" s="787">
        <v>10</v>
      </c>
      <c r="N5912" s="787">
        <v>2.4</v>
      </c>
      <c r="O5912" s="788">
        <v>42156</v>
      </c>
    </row>
    <row r="5913" spans="1:15" x14ac:dyDescent="0.25">
      <c r="A5913" s="786" t="s">
        <v>10520</v>
      </c>
      <c r="B5913" s="787">
        <v>4</v>
      </c>
      <c r="C5913" s="787" t="s">
        <v>10521</v>
      </c>
      <c r="D5913" s="787">
        <v>0</v>
      </c>
      <c r="E5913" s="787">
        <v>0</v>
      </c>
      <c r="H5913" s="787">
        <v>1</v>
      </c>
      <c r="I5913" s="788">
        <v>41855</v>
      </c>
      <c r="J5913" s="788">
        <v>41865</v>
      </c>
      <c r="K5913" s="788">
        <v>41866</v>
      </c>
      <c r="L5913" s="787">
        <v>9</v>
      </c>
      <c r="M5913" s="787">
        <v>10</v>
      </c>
      <c r="N5913" s="787">
        <v>8.6</v>
      </c>
      <c r="O5913" s="788">
        <v>41858</v>
      </c>
    </row>
    <row r="5914" spans="1:15" x14ac:dyDescent="0.25">
      <c r="A5914" s="786" t="s">
        <v>10522</v>
      </c>
      <c r="B5914" s="787">
        <v>4</v>
      </c>
      <c r="C5914" s="787" t="s">
        <v>10523</v>
      </c>
      <c r="D5914" s="787">
        <v>0</v>
      </c>
      <c r="E5914" s="787">
        <v>0</v>
      </c>
      <c r="H5914" s="787">
        <v>1</v>
      </c>
      <c r="I5914" s="788">
        <v>41855</v>
      </c>
      <c r="J5914" s="788">
        <v>41865</v>
      </c>
      <c r="K5914" s="788">
        <v>41866</v>
      </c>
      <c r="L5914" s="787">
        <v>9</v>
      </c>
      <c r="M5914" s="787">
        <v>10</v>
      </c>
      <c r="N5914" s="787">
        <v>23.33</v>
      </c>
      <c r="O5914" s="788">
        <v>41866</v>
      </c>
    </row>
    <row r="5915" spans="1:15" x14ac:dyDescent="0.25">
      <c r="A5915" s="786" t="s">
        <v>10524</v>
      </c>
      <c r="B5915" s="787">
        <v>4</v>
      </c>
      <c r="C5915" s="787" t="s">
        <v>10525</v>
      </c>
      <c r="D5915" s="787">
        <v>2.82</v>
      </c>
      <c r="E5915" s="787">
        <v>5.43</v>
      </c>
      <c r="F5915" s="788">
        <v>39456</v>
      </c>
      <c r="G5915" s="788">
        <v>41969</v>
      </c>
      <c r="H5915" s="787">
        <v>1</v>
      </c>
      <c r="I5915" s="788">
        <v>41949</v>
      </c>
      <c r="J5915" s="788">
        <v>41949</v>
      </c>
      <c r="L5915" s="787">
        <v>4.21</v>
      </c>
      <c r="M5915" s="787">
        <v>10</v>
      </c>
      <c r="N5915" s="787">
        <v>14.68</v>
      </c>
      <c r="O5915" s="788">
        <v>42163</v>
      </c>
    </row>
    <row r="5916" spans="1:15" x14ac:dyDescent="0.25">
      <c r="A5916" s="786" t="s">
        <v>10526</v>
      </c>
      <c r="B5916" s="787">
        <v>4</v>
      </c>
      <c r="C5916" s="787" t="s">
        <v>10527</v>
      </c>
      <c r="D5916" s="787">
        <v>0.17</v>
      </c>
      <c r="E5916" s="787">
        <v>0.51</v>
      </c>
      <c r="F5916" s="788">
        <v>39456</v>
      </c>
      <c r="G5916" s="788">
        <v>41943</v>
      </c>
      <c r="H5916" s="787">
        <v>1</v>
      </c>
      <c r="I5916" s="788">
        <v>40843</v>
      </c>
      <c r="J5916" s="788">
        <v>40413</v>
      </c>
      <c r="L5916" s="787">
        <v>0.56000000000000005</v>
      </c>
      <c r="M5916" s="787">
        <v>10</v>
      </c>
      <c r="N5916" s="787">
        <v>0.84</v>
      </c>
      <c r="O5916" s="788">
        <v>42163</v>
      </c>
    </row>
    <row r="5917" spans="1:15" x14ac:dyDescent="0.25">
      <c r="A5917" s="786" t="s">
        <v>10528</v>
      </c>
      <c r="B5917" s="787">
        <v>4</v>
      </c>
      <c r="C5917" s="787" t="s">
        <v>10529</v>
      </c>
      <c r="D5917" s="787">
        <v>0.97</v>
      </c>
      <c r="E5917" s="787">
        <v>4.12</v>
      </c>
      <c r="F5917" s="788">
        <v>39456</v>
      </c>
      <c r="G5917" s="788">
        <v>42111</v>
      </c>
      <c r="H5917" s="787">
        <v>1</v>
      </c>
      <c r="I5917" s="788">
        <v>42166</v>
      </c>
      <c r="J5917" s="788">
        <v>42082</v>
      </c>
      <c r="L5917" s="787">
        <v>1.48</v>
      </c>
      <c r="M5917" s="787">
        <v>10</v>
      </c>
      <c r="N5917" s="787">
        <v>3.68</v>
      </c>
      <c r="O5917" s="788">
        <v>42156</v>
      </c>
    </row>
    <row r="5918" spans="1:15" x14ac:dyDescent="0.25">
      <c r="A5918" s="786" t="s">
        <v>10530</v>
      </c>
      <c r="B5918" s="787">
        <v>4</v>
      </c>
      <c r="C5918" s="787" t="s">
        <v>10531</v>
      </c>
      <c r="D5918" s="787">
        <v>0.97</v>
      </c>
      <c r="E5918" s="787">
        <v>10.74</v>
      </c>
      <c r="F5918" s="788">
        <v>39456</v>
      </c>
      <c r="G5918" s="788">
        <v>42145</v>
      </c>
      <c r="H5918" s="787">
        <v>1</v>
      </c>
      <c r="I5918" s="788">
        <v>42165</v>
      </c>
      <c r="J5918" s="788">
        <v>42114</v>
      </c>
      <c r="L5918" s="787">
        <v>1.66</v>
      </c>
      <c r="M5918" s="787">
        <v>10</v>
      </c>
      <c r="N5918" s="787">
        <v>8.31</v>
      </c>
      <c r="O5918" s="788">
        <v>42156</v>
      </c>
    </row>
    <row r="5919" spans="1:15" x14ac:dyDescent="0.25">
      <c r="A5919" s="786" t="s">
        <v>10532</v>
      </c>
      <c r="B5919" s="787">
        <v>4</v>
      </c>
      <c r="C5919" s="787" t="s">
        <v>10533</v>
      </c>
      <c r="D5919" s="787">
        <v>1.3</v>
      </c>
      <c r="E5919" s="787">
        <v>4.67</v>
      </c>
      <c r="F5919" s="788">
        <v>39456</v>
      </c>
      <c r="G5919" s="788">
        <v>42163</v>
      </c>
      <c r="H5919" s="787">
        <v>1</v>
      </c>
      <c r="I5919" s="788">
        <v>42165</v>
      </c>
      <c r="J5919" s="788">
        <v>42128</v>
      </c>
      <c r="L5919" s="787">
        <v>2.0299999999999998</v>
      </c>
      <c r="M5919" s="787">
        <v>10</v>
      </c>
      <c r="N5919" s="787">
        <v>3.59</v>
      </c>
      <c r="O5919" s="788">
        <v>42156</v>
      </c>
    </row>
    <row r="5920" spans="1:15" x14ac:dyDescent="0.25">
      <c r="A5920" s="786" t="s">
        <v>10534</v>
      </c>
      <c r="B5920" s="787">
        <v>4</v>
      </c>
      <c r="C5920" s="787" t="s">
        <v>10535</v>
      </c>
      <c r="D5920" s="787">
        <v>1.17</v>
      </c>
      <c r="E5920" s="787">
        <v>7.21</v>
      </c>
      <c r="F5920" s="788">
        <v>40644</v>
      </c>
      <c r="G5920" s="788">
        <v>42136</v>
      </c>
      <c r="H5920" s="787">
        <v>1</v>
      </c>
      <c r="I5920" s="788">
        <v>42166</v>
      </c>
      <c r="J5920" s="788">
        <v>42136</v>
      </c>
      <c r="L5920" s="787">
        <v>1.99</v>
      </c>
      <c r="M5920" s="787">
        <v>10</v>
      </c>
      <c r="N5920" s="787">
        <v>6.98</v>
      </c>
      <c r="O5920" s="788">
        <v>42156</v>
      </c>
    </row>
    <row r="5921" spans="1:15" x14ac:dyDescent="0.25">
      <c r="A5921" s="786" t="s">
        <v>10536</v>
      </c>
      <c r="B5921" s="787">
        <v>4</v>
      </c>
      <c r="C5921" s="787" t="s">
        <v>10537</v>
      </c>
      <c r="D5921" s="787">
        <v>0.71</v>
      </c>
      <c r="E5921" s="787">
        <v>6.25</v>
      </c>
      <c r="F5921" s="788">
        <v>41135</v>
      </c>
      <c r="G5921" s="788">
        <v>42072</v>
      </c>
      <c r="H5921" s="787">
        <v>1</v>
      </c>
      <c r="I5921" s="788">
        <v>42145</v>
      </c>
      <c r="J5921" s="788">
        <v>42039</v>
      </c>
      <c r="L5921" s="787">
        <v>2.7</v>
      </c>
      <c r="M5921" s="787">
        <v>10</v>
      </c>
      <c r="N5921" s="787">
        <v>5.89</v>
      </c>
      <c r="O5921" s="788">
        <v>42156</v>
      </c>
    </row>
    <row r="5922" spans="1:15" x14ac:dyDescent="0.25">
      <c r="A5922" s="786" t="s">
        <v>10538</v>
      </c>
      <c r="B5922" s="787">
        <v>4</v>
      </c>
      <c r="C5922" s="787" t="s">
        <v>10539</v>
      </c>
      <c r="D5922" s="787">
        <v>2.0699999999999998</v>
      </c>
      <c r="E5922" s="787">
        <v>7.57</v>
      </c>
      <c r="F5922" s="788">
        <v>39456</v>
      </c>
      <c r="G5922" s="788">
        <v>42122</v>
      </c>
      <c r="H5922" s="787">
        <v>1</v>
      </c>
      <c r="I5922" s="788">
        <v>42160</v>
      </c>
      <c r="J5922" s="788">
        <v>42102</v>
      </c>
      <c r="L5922" s="787">
        <v>2.7</v>
      </c>
      <c r="M5922" s="787">
        <v>10</v>
      </c>
      <c r="N5922" s="787">
        <v>7.1</v>
      </c>
      <c r="O5922" s="788">
        <v>42156</v>
      </c>
    </row>
    <row r="5923" spans="1:15" x14ac:dyDescent="0.25">
      <c r="A5923" s="786" t="s">
        <v>10540</v>
      </c>
      <c r="B5923" s="787">
        <v>4</v>
      </c>
      <c r="C5923" s="787" t="s">
        <v>10541</v>
      </c>
      <c r="D5923" s="787">
        <v>0</v>
      </c>
      <c r="E5923" s="787">
        <v>0</v>
      </c>
      <c r="H5923" s="787">
        <v>1</v>
      </c>
      <c r="I5923" s="788">
        <v>42060</v>
      </c>
      <c r="J5923" s="788">
        <v>42060</v>
      </c>
      <c r="L5923" s="787">
        <v>1.47</v>
      </c>
      <c r="M5923" s="787">
        <v>10</v>
      </c>
      <c r="N5923" s="787">
        <v>3.16</v>
      </c>
      <c r="O5923" s="788">
        <v>41925</v>
      </c>
    </row>
    <row r="5924" spans="1:15" x14ac:dyDescent="0.25">
      <c r="A5924" s="786" t="s">
        <v>10542</v>
      </c>
      <c r="B5924" s="787">
        <v>4</v>
      </c>
      <c r="C5924" s="787" t="s">
        <v>10543</v>
      </c>
      <c r="D5924" s="787">
        <v>0</v>
      </c>
      <c r="E5924" s="787">
        <v>0</v>
      </c>
      <c r="H5924" s="787">
        <v>1</v>
      </c>
      <c r="I5924" s="788">
        <v>41676</v>
      </c>
      <c r="J5924" s="788">
        <v>41677</v>
      </c>
      <c r="L5924" s="787">
        <v>1.47</v>
      </c>
      <c r="M5924" s="787">
        <v>10</v>
      </c>
      <c r="N5924" s="787">
        <v>3.16</v>
      </c>
      <c r="O5924" s="788">
        <v>41925</v>
      </c>
    </row>
    <row r="5925" spans="1:15" x14ac:dyDescent="0.25">
      <c r="A5925" s="786" t="s">
        <v>10544</v>
      </c>
      <c r="B5925" s="787">
        <v>4</v>
      </c>
      <c r="C5925" s="787" t="s">
        <v>10545</v>
      </c>
      <c r="D5925" s="787">
        <v>0</v>
      </c>
      <c r="E5925" s="787">
        <v>0</v>
      </c>
      <c r="H5925" s="787">
        <v>1</v>
      </c>
      <c r="L5925" s="787">
        <v>1.47</v>
      </c>
      <c r="M5925" s="787">
        <v>10</v>
      </c>
      <c r="N5925" s="787">
        <v>3.15</v>
      </c>
      <c r="O5925" s="788">
        <v>41925</v>
      </c>
    </row>
    <row r="5926" spans="1:15" x14ac:dyDescent="0.25">
      <c r="A5926" s="786" t="s">
        <v>10546</v>
      </c>
      <c r="B5926" s="787">
        <v>4</v>
      </c>
      <c r="C5926" s="787" t="s">
        <v>10547</v>
      </c>
      <c r="D5926" s="787">
        <v>0</v>
      </c>
      <c r="E5926" s="787">
        <v>0</v>
      </c>
      <c r="H5926" s="787">
        <v>1</v>
      </c>
      <c r="L5926" s="787">
        <v>1.47</v>
      </c>
      <c r="M5926" s="787">
        <v>10</v>
      </c>
      <c r="N5926" s="787">
        <v>3.15</v>
      </c>
      <c r="O5926" s="788">
        <v>41925</v>
      </c>
    </row>
    <row r="5927" spans="1:15" x14ac:dyDescent="0.25">
      <c r="A5927" s="786" t="s">
        <v>10548</v>
      </c>
      <c r="B5927" s="787">
        <v>4</v>
      </c>
      <c r="C5927" s="787" t="s">
        <v>10549</v>
      </c>
      <c r="D5927" s="787">
        <v>2.25</v>
      </c>
      <c r="E5927" s="787">
        <v>6.24</v>
      </c>
      <c r="F5927" s="788">
        <v>38606</v>
      </c>
      <c r="G5927" s="788">
        <v>42067</v>
      </c>
      <c r="H5927" s="787">
        <v>1</v>
      </c>
      <c r="I5927" s="788">
        <v>42153</v>
      </c>
      <c r="J5927" s="788">
        <v>42039</v>
      </c>
      <c r="L5927" s="787">
        <v>2.5499999999999998</v>
      </c>
      <c r="M5927" s="787">
        <v>10</v>
      </c>
      <c r="N5927" s="787">
        <v>5.88</v>
      </c>
      <c r="O5927" s="788">
        <v>42146</v>
      </c>
    </row>
    <row r="5928" spans="1:15" x14ac:dyDescent="0.25">
      <c r="A5928" s="786" t="s">
        <v>10550</v>
      </c>
      <c r="B5928" s="787">
        <v>4</v>
      </c>
      <c r="C5928" s="787" t="s">
        <v>10551</v>
      </c>
      <c r="D5928" s="787">
        <v>2.2400000000000002</v>
      </c>
      <c r="E5928" s="787">
        <v>5.72</v>
      </c>
      <c r="F5928" s="788">
        <v>38606</v>
      </c>
      <c r="G5928" s="788">
        <v>42158</v>
      </c>
      <c r="H5928" s="787">
        <v>1</v>
      </c>
      <c r="I5928" s="788">
        <v>42151</v>
      </c>
      <c r="J5928" s="788">
        <v>42124</v>
      </c>
      <c r="L5928" s="787">
        <v>2.5499999999999998</v>
      </c>
      <c r="M5928" s="787">
        <v>10</v>
      </c>
      <c r="N5928" s="787">
        <v>4.33</v>
      </c>
      <c r="O5928" s="788">
        <v>42087</v>
      </c>
    </row>
    <row r="5929" spans="1:15" x14ac:dyDescent="0.25">
      <c r="A5929" s="786" t="s">
        <v>10552</v>
      </c>
      <c r="B5929" s="787">
        <v>4</v>
      </c>
      <c r="C5929" s="787" t="s">
        <v>10553</v>
      </c>
      <c r="D5929" s="787">
        <v>3.07</v>
      </c>
      <c r="E5929" s="787">
        <v>3.32</v>
      </c>
      <c r="F5929" s="788">
        <v>39456</v>
      </c>
      <c r="G5929" s="788">
        <v>41943</v>
      </c>
      <c r="H5929" s="787">
        <v>1</v>
      </c>
      <c r="I5929" s="788">
        <v>41968</v>
      </c>
      <c r="J5929" s="788">
        <v>39742</v>
      </c>
      <c r="L5929" s="787">
        <v>3.68</v>
      </c>
      <c r="M5929" s="787">
        <v>10</v>
      </c>
      <c r="N5929" s="787">
        <v>4.22</v>
      </c>
      <c r="O5929" s="788">
        <v>42087</v>
      </c>
    </row>
    <row r="5930" spans="1:15" x14ac:dyDescent="0.25">
      <c r="A5930" s="786" t="s">
        <v>10554</v>
      </c>
      <c r="B5930" s="787">
        <v>4</v>
      </c>
      <c r="C5930" s="787" t="s">
        <v>10555</v>
      </c>
      <c r="D5930" s="787">
        <v>3.07</v>
      </c>
      <c r="E5930" s="787">
        <v>3.37</v>
      </c>
      <c r="F5930" s="788">
        <v>39456</v>
      </c>
      <c r="G5930" s="788">
        <v>41943</v>
      </c>
      <c r="H5930" s="787">
        <v>1</v>
      </c>
      <c r="I5930" s="788">
        <v>41968</v>
      </c>
      <c r="J5930" s="788">
        <v>39990</v>
      </c>
      <c r="L5930" s="787">
        <v>3.68</v>
      </c>
      <c r="M5930" s="787">
        <v>10</v>
      </c>
      <c r="N5930" s="787">
        <v>4.22</v>
      </c>
      <c r="O5930" s="788">
        <v>42087</v>
      </c>
    </row>
    <row r="5931" spans="1:15" x14ac:dyDescent="0.25">
      <c r="A5931" s="786" t="s">
        <v>10556</v>
      </c>
      <c r="B5931" s="787">
        <v>4</v>
      </c>
      <c r="C5931" s="787" t="s">
        <v>10557</v>
      </c>
      <c r="D5931" s="787">
        <v>1.81</v>
      </c>
      <c r="E5931" s="787">
        <v>4.54</v>
      </c>
      <c r="F5931" s="788">
        <v>38772</v>
      </c>
      <c r="G5931" s="788">
        <v>42013</v>
      </c>
      <c r="H5931" s="787">
        <v>1</v>
      </c>
      <c r="I5931" s="788">
        <v>42165</v>
      </c>
      <c r="J5931" s="788">
        <v>41437</v>
      </c>
      <c r="L5931" s="787">
        <v>2.23</v>
      </c>
      <c r="M5931" s="787">
        <v>10</v>
      </c>
      <c r="N5931" s="787">
        <v>3.99</v>
      </c>
      <c r="O5931" s="788">
        <v>42083</v>
      </c>
    </row>
    <row r="5932" spans="1:15" x14ac:dyDescent="0.25">
      <c r="A5932" s="786" t="s">
        <v>10558</v>
      </c>
      <c r="B5932" s="787">
        <v>4</v>
      </c>
      <c r="C5932" s="787" t="s">
        <v>10559</v>
      </c>
      <c r="D5932" s="787">
        <v>1.81</v>
      </c>
      <c r="E5932" s="787">
        <v>13.92</v>
      </c>
      <c r="F5932" s="788">
        <v>38606</v>
      </c>
      <c r="G5932" s="788">
        <v>42142</v>
      </c>
      <c r="H5932" s="787">
        <v>1</v>
      </c>
      <c r="I5932" s="788">
        <v>42157</v>
      </c>
      <c r="J5932" s="788">
        <v>42109</v>
      </c>
      <c r="L5932" s="787">
        <v>2.23</v>
      </c>
      <c r="M5932" s="787">
        <v>10</v>
      </c>
      <c r="N5932" s="787">
        <v>11.84</v>
      </c>
      <c r="O5932" s="788">
        <v>42051</v>
      </c>
    </row>
    <row r="5933" spans="1:15" x14ac:dyDescent="0.25">
      <c r="A5933" s="786" t="s">
        <v>10560</v>
      </c>
      <c r="B5933" s="787">
        <v>4</v>
      </c>
      <c r="C5933" s="787" t="s">
        <v>10561</v>
      </c>
      <c r="D5933" s="787">
        <v>1.29</v>
      </c>
      <c r="E5933" s="787">
        <v>3.55</v>
      </c>
      <c r="F5933" s="788">
        <v>39456</v>
      </c>
      <c r="G5933" s="788">
        <v>42137</v>
      </c>
      <c r="H5933" s="787">
        <v>1</v>
      </c>
      <c r="I5933" s="788">
        <v>42165</v>
      </c>
      <c r="J5933" s="788">
        <v>42137</v>
      </c>
      <c r="L5933" s="787">
        <v>1.67</v>
      </c>
      <c r="M5933" s="787">
        <v>10</v>
      </c>
      <c r="N5933" s="787">
        <v>3.44</v>
      </c>
      <c r="O5933" s="788">
        <v>42156</v>
      </c>
    </row>
    <row r="5934" spans="1:15" x14ac:dyDescent="0.25">
      <c r="A5934" s="786" t="s">
        <v>10562</v>
      </c>
      <c r="B5934" s="787">
        <v>4</v>
      </c>
      <c r="C5934" s="787" t="s">
        <v>10563</v>
      </c>
      <c r="D5934" s="787">
        <v>1.06</v>
      </c>
      <c r="E5934" s="787">
        <v>3.44</v>
      </c>
      <c r="F5934" s="788">
        <v>39456</v>
      </c>
      <c r="G5934" s="788">
        <v>42111</v>
      </c>
      <c r="H5934" s="787">
        <v>1</v>
      </c>
      <c r="I5934" s="788">
        <v>42166</v>
      </c>
      <c r="J5934" s="788">
        <v>42088</v>
      </c>
      <c r="L5934" s="787">
        <v>1.45</v>
      </c>
      <c r="M5934" s="787">
        <v>10</v>
      </c>
      <c r="N5934" s="787">
        <v>2.94</v>
      </c>
      <c r="O5934" s="788">
        <v>42156</v>
      </c>
    </row>
    <row r="5935" spans="1:15" x14ac:dyDescent="0.25">
      <c r="A5935" s="786" t="s">
        <v>10564</v>
      </c>
      <c r="B5935" s="787">
        <v>4</v>
      </c>
      <c r="C5935" s="787" t="s">
        <v>10565</v>
      </c>
      <c r="D5935" s="787">
        <v>3.38</v>
      </c>
      <c r="E5935" s="787">
        <v>11.46</v>
      </c>
      <c r="F5935" s="788">
        <v>41775</v>
      </c>
      <c r="G5935" s="788">
        <v>42151</v>
      </c>
      <c r="H5935" s="787">
        <v>1</v>
      </c>
      <c r="I5935" s="788">
        <v>42165</v>
      </c>
      <c r="J5935" s="788">
        <v>42151</v>
      </c>
      <c r="L5935" s="787">
        <v>4.9400000000000004</v>
      </c>
      <c r="M5935" s="787">
        <v>10</v>
      </c>
      <c r="N5935" s="787">
        <v>10.49</v>
      </c>
      <c r="O5935" s="788">
        <v>42156</v>
      </c>
    </row>
    <row r="5936" spans="1:15" x14ac:dyDescent="0.25">
      <c r="A5936" s="786" t="s">
        <v>10566</v>
      </c>
      <c r="B5936" s="787">
        <v>4</v>
      </c>
      <c r="C5936" s="787" t="s">
        <v>10567</v>
      </c>
      <c r="D5936" s="787">
        <v>3.35</v>
      </c>
      <c r="E5936" s="787">
        <v>9.07</v>
      </c>
      <c r="F5936" s="788">
        <v>41135</v>
      </c>
      <c r="G5936" s="788">
        <v>42165</v>
      </c>
      <c r="H5936" s="787">
        <v>1</v>
      </c>
      <c r="I5936" s="788">
        <v>42165</v>
      </c>
      <c r="J5936" s="788">
        <v>42165</v>
      </c>
      <c r="L5936" s="787">
        <v>7.23</v>
      </c>
      <c r="M5936" s="787">
        <v>10</v>
      </c>
      <c r="N5936" s="787">
        <v>6.99</v>
      </c>
      <c r="O5936" s="788">
        <v>42162</v>
      </c>
    </row>
    <row r="5937" spans="1:15" x14ac:dyDescent="0.25">
      <c r="A5937" s="786" t="s">
        <v>10568</v>
      </c>
      <c r="B5937" s="787">
        <v>4</v>
      </c>
      <c r="C5937" s="787" t="s">
        <v>10569</v>
      </c>
      <c r="D5937" s="787">
        <v>1.01</v>
      </c>
      <c r="E5937" s="787">
        <v>2.86</v>
      </c>
      <c r="F5937" s="788">
        <v>38606</v>
      </c>
      <c r="G5937" s="788">
        <v>42152</v>
      </c>
      <c r="H5937" s="787">
        <v>1</v>
      </c>
      <c r="I5937" s="788">
        <v>42166</v>
      </c>
      <c r="J5937" s="788">
        <v>42122</v>
      </c>
      <c r="L5937" s="787">
        <v>1.99</v>
      </c>
      <c r="M5937" s="787">
        <v>10</v>
      </c>
      <c r="N5937" s="787">
        <v>3.1</v>
      </c>
      <c r="O5937" s="788">
        <v>42156</v>
      </c>
    </row>
    <row r="5938" spans="1:15" x14ac:dyDescent="0.25">
      <c r="A5938" s="786" t="s">
        <v>10570</v>
      </c>
      <c r="B5938" s="787">
        <v>4</v>
      </c>
      <c r="C5938" s="787" t="s">
        <v>10563</v>
      </c>
      <c r="D5938" s="787">
        <v>0.82</v>
      </c>
      <c r="E5938" s="787">
        <v>5.14</v>
      </c>
      <c r="F5938" s="788">
        <v>41135</v>
      </c>
      <c r="G5938" s="788">
        <v>42142</v>
      </c>
      <c r="H5938" s="787">
        <v>1</v>
      </c>
      <c r="I5938" s="788">
        <v>42165</v>
      </c>
      <c r="J5938" s="788">
        <v>42108</v>
      </c>
      <c r="L5938" s="787">
        <v>1.98</v>
      </c>
      <c r="M5938" s="787">
        <v>10</v>
      </c>
      <c r="N5938" s="787">
        <v>3.07</v>
      </c>
      <c r="O5938" s="788">
        <v>42156</v>
      </c>
    </row>
    <row r="5939" spans="1:15" x14ac:dyDescent="0.25">
      <c r="A5939" s="786" t="s">
        <v>10571</v>
      </c>
      <c r="B5939" s="787">
        <v>4</v>
      </c>
      <c r="C5939" s="787" t="s">
        <v>10572</v>
      </c>
      <c r="D5939" s="787">
        <v>5.5</v>
      </c>
      <c r="E5939" s="787">
        <v>7.5</v>
      </c>
      <c r="F5939" s="788">
        <v>38606</v>
      </c>
      <c r="G5939" s="788">
        <v>38832</v>
      </c>
      <c r="H5939" s="787">
        <v>1</v>
      </c>
      <c r="I5939" s="788">
        <v>40309</v>
      </c>
      <c r="J5939" s="788">
        <v>38805</v>
      </c>
      <c r="L5939" s="787">
        <v>7.47</v>
      </c>
      <c r="M5939" s="787">
        <v>10</v>
      </c>
      <c r="N5939" s="787">
        <v>6.02</v>
      </c>
      <c r="O5939" s="788">
        <v>42156</v>
      </c>
    </row>
    <row r="5940" spans="1:15" x14ac:dyDescent="0.25">
      <c r="A5940" s="786" t="s">
        <v>10573</v>
      </c>
      <c r="B5940" s="787">
        <v>4</v>
      </c>
      <c r="C5940" s="787" t="s">
        <v>10574</v>
      </c>
      <c r="D5940" s="787">
        <v>7.5</v>
      </c>
      <c r="E5940" s="787">
        <v>7.5</v>
      </c>
      <c r="F5940" s="788">
        <v>39101</v>
      </c>
      <c r="G5940" s="788">
        <v>39101</v>
      </c>
      <c r="H5940" s="787">
        <v>1</v>
      </c>
      <c r="I5940" s="788">
        <v>40165</v>
      </c>
      <c r="J5940" s="788">
        <v>39101</v>
      </c>
      <c r="L5940" s="787">
        <v>7.47</v>
      </c>
      <c r="M5940" s="787">
        <v>10</v>
      </c>
      <c r="N5940" s="787">
        <v>6.01</v>
      </c>
      <c r="O5940" s="788">
        <v>42156</v>
      </c>
    </row>
    <row r="5941" spans="1:15" x14ac:dyDescent="0.25">
      <c r="A5941" s="786" t="s">
        <v>10575</v>
      </c>
      <c r="B5941" s="787">
        <v>4</v>
      </c>
      <c r="C5941" s="787" t="s">
        <v>10576</v>
      </c>
      <c r="D5941" s="787">
        <v>2.0299999999999998</v>
      </c>
      <c r="E5941" s="787">
        <v>2.2599999999999998</v>
      </c>
      <c r="F5941" s="788">
        <v>39975</v>
      </c>
      <c r="G5941" s="788">
        <v>42109</v>
      </c>
      <c r="H5941" s="787">
        <v>1</v>
      </c>
      <c r="I5941" s="788">
        <v>42160</v>
      </c>
      <c r="J5941" s="788">
        <v>42077</v>
      </c>
      <c r="L5941" s="787">
        <v>2.82</v>
      </c>
      <c r="M5941" s="787">
        <v>10</v>
      </c>
      <c r="N5941" s="787">
        <v>2.92</v>
      </c>
      <c r="O5941" s="788">
        <v>42156</v>
      </c>
    </row>
    <row r="5942" spans="1:15" x14ac:dyDescent="0.25">
      <c r="A5942" s="786" t="s">
        <v>10577</v>
      </c>
      <c r="B5942" s="787">
        <v>4</v>
      </c>
      <c r="C5942" s="787" t="s">
        <v>10578</v>
      </c>
      <c r="D5942" s="787">
        <v>1.34</v>
      </c>
      <c r="E5942" s="787">
        <v>3.19</v>
      </c>
      <c r="F5942" s="788">
        <v>39975</v>
      </c>
      <c r="G5942" s="788">
        <v>42082</v>
      </c>
      <c r="H5942" s="787">
        <v>1</v>
      </c>
      <c r="I5942" s="788">
        <v>42145</v>
      </c>
      <c r="J5942" s="788">
        <v>42053</v>
      </c>
      <c r="L5942" s="787">
        <v>2.11</v>
      </c>
      <c r="M5942" s="787">
        <v>10</v>
      </c>
      <c r="N5942" s="787">
        <v>2.95</v>
      </c>
      <c r="O5942" s="788">
        <v>42156</v>
      </c>
    </row>
    <row r="5943" spans="1:15" x14ac:dyDescent="0.25">
      <c r="A5943" s="786" t="s">
        <v>10579</v>
      </c>
      <c r="B5943" s="787">
        <v>4</v>
      </c>
      <c r="C5943" s="787" t="s">
        <v>10580</v>
      </c>
      <c r="D5943" s="787">
        <v>2.2799999999999998</v>
      </c>
      <c r="E5943" s="787">
        <v>13.86</v>
      </c>
      <c r="F5943" s="788">
        <v>41775</v>
      </c>
      <c r="G5943" s="788">
        <v>42163</v>
      </c>
      <c r="H5943" s="787">
        <v>1</v>
      </c>
      <c r="I5943" s="788">
        <v>42166</v>
      </c>
      <c r="J5943" s="788">
        <v>42129</v>
      </c>
      <c r="L5943" s="787">
        <v>9.4600000000000009</v>
      </c>
      <c r="M5943" s="787">
        <v>10</v>
      </c>
      <c r="N5943" s="787">
        <v>9.89</v>
      </c>
      <c r="O5943" s="788">
        <v>42156</v>
      </c>
    </row>
    <row r="5944" spans="1:15" x14ac:dyDescent="0.25">
      <c r="A5944" s="786" t="s">
        <v>10581</v>
      </c>
      <c r="B5944" s="787">
        <v>4</v>
      </c>
      <c r="C5944" s="787" t="s">
        <v>10574</v>
      </c>
      <c r="D5944" s="787">
        <v>6.53</v>
      </c>
      <c r="E5944" s="787">
        <v>8.51</v>
      </c>
      <c r="F5944" s="788">
        <v>41166</v>
      </c>
      <c r="G5944" s="788">
        <v>42164</v>
      </c>
      <c r="H5944" s="787">
        <v>1</v>
      </c>
      <c r="I5944" s="788">
        <v>42150</v>
      </c>
      <c r="J5944" s="788">
        <v>42164</v>
      </c>
      <c r="L5944" s="787">
        <v>9.4600000000000009</v>
      </c>
      <c r="M5944" s="787">
        <v>10</v>
      </c>
      <c r="N5944" s="787">
        <v>8.02</v>
      </c>
      <c r="O5944" s="788">
        <v>42162</v>
      </c>
    </row>
    <row r="5945" spans="1:15" x14ac:dyDescent="0.25">
      <c r="A5945" s="786" t="s">
        <v>10582</v>
      </c>
      <c r="B5945" s="787">
        <v>4</v>
      </c>
      <c r="C5945" s="787" t="s">
        <v>10583</v>
      </c>
      <c r="D5945" s="787">
        <v>0</v>
      </c>
      <c r="E5945" s="787">
        <v>0</v>
      </c>
      <c r="H5945" s="787">
        <v>1</v>
      </c>
      <c r="I5945" s="788">
        <v>40526</v>
      </c>
      <c r="L5945" s="787">
        <v>1.55</v>
      </c>
      <c r="M5945" s="787">
        <v>10</v>
      </c>
      <c r="N5945" s="787">
        <v>2.38</v>
      </c>
      <c r="O5945" s="788">
        <v>41858</v>
      </c>
    </row>
    <row r="5946" spans="1:15" x14ac:dyDescent="0.25">
      <c r="A5946" s="786" t="s">
        <v>10584</v>
      </c>
      <c r="B5946" s="787">
        <v>4</v>
      </c>
      <c r="C5946" s="787" t="s">
        <v>10585</v>
      </c>
      <c r="D5946" s="787">
        <v>0</v>
      </c>
      <c r="E5946" s="787">
        <v>0</v>
      </c>
      <c r="H5946" s="787">
        <v>1</v>
      </c>
      <c r="L5946" s="787">
        <v>1.39</v>
      </c>
      <c r="M5946" s="787">
        <v>10</v>
      </c>
      <c r="N5946" s="787">
        <v>2.0099999999999998</v>
      </c>
      <c r="O5946" s="788">
        <v>41858</v>
      </c>
    </row>
    <row r="5947" spans="1:15" x14ac:dyDescent="0.25">
      <c r="A5947" s="786" t="s">
        <v>10586</v>
      </c>
      <c r="B5947" s="787">
        <v>4</v>
      </c>
      <c r="C5947" s="787" t="s">
        <v>10580</v>
      </c>
      <c r="D5947" s="787">
        <v>6.25</v>
      </c>
      <c r="E5947" s="787">
        <v>9.86</v>
      </c>
      <c r="F5947" s="788">
        <v>39456</v>
      </c>
      <c r="G5947" s="788">
        <v>41943</v>
      </c>
      <c r="H5947" s="787">
        <v>1</v>
      </c>
      <c r="I5947" s="788">
        <v>41968</v>
      </c>
      <c r="J5947" s="788">
        <v>40044</v>
      </c>
      <c r="L5947" s="787">
        <v>9.86</v>
      </c>
      <c r="M5947" s="787">
        <v>10</v>
      </c>
      <c r="N5947" s="787">
        <v>6.06</v>
      </c>
      <c r="O5947" s="788">
        <v>42084</v>
      </c>
    </row>
    <row r="5948" spans="1:15" x14ac:dyDescent="0.25">
      <c r="A5948" s="786" t="s">
        <v>10587</v>
      </c>
      <c r="B5948" s="787">
        <v>4</v>
      </c>
      <c r="C5948" s="787" t="s">
        <v>10588</v>
      </c>
      <c r="D5948" s="787">
        <v>5.16</v>
      </c>
      <c r="E5948" s="787">
        <v>5.16</v>
      </c>
      <c r="F5948" s="788">
        <v>39975</v>
      </c>
      <c r="G5948" s="788">
        <v>41943</v>
      </c>
      <c r="H5948" s="787">
        <v>1</v>
      </c>
      <c r="I5948" s="788">
        <v>41968</v>
      </c>
      <c r="J5948" s="788">
        <v>40044</v>
      </c>
      <c r="L5948" s="787">
        <v>4.62</v>
      </c>
      <c r="M5948" s="787">
        <v>10</v>
      </c>
      <c r="N5948" s="787">
        <v>6.06</v>
      </c>
      <c r="O5948" s="788">
        <v>42084</v>
      </c>
    </row>
    <row r="5949" spans="1:15" x14ac:dyDescent="0.25">
      <c r="A5949" s="786" t="s">
        <v>10589</v>
      </c>
      <c r="B5949" s="787">
        <v>4</v>
      </c>
      <c r="C5949" s="787" t="s">
        <v>10583</v>
      </c>
      <c r="D5949" s="787">
        <v>1.89</v>
      </c>
      <c r="E5949" s="787">
        <v>4.37</v>
      </c>
      <c r="F5949" s="788">
        <v>39456</v>
      </c>
      <c r="G5949" s="788">
        <v>42158</v>
      </c>
      <c r="H5949" s="787">
        <v>1</v>
      </c>
      <c r="I5949" s="788">
        <v>42151</v>
      </c>
      <c r="J5949" s="788">
        <v>42123</v>
      </c>
      <c r="L5949" s="787">
        <v>2.62</v>
      </c>
      <c r="M5949" s="787">
        <v>10</v>
      </c>
      <c r="N5949" s="787">
        <v>3.29</v>
      </c>
      <c r="O5949" s="788">
        <v>42087</v>
      </c>
    </row>
    <row r="5950" spans="1:15" x14ac:dyDescent="0.25">
      <c r="A5950" s="786" t="s">
        <v>10590</v>
      </c>
      <c r="B5950" s="787">
        <v>4</v>
      </c>
      <c r="C5950" s="787" t="s">
        <v>10585</v>
      </c>
      <c r="D5950" s="787">
        <v>2.04</v>
      </c>
      <c r="E5950" s="787">
        <v>6.27</v>
      </c>
      <c r="F5950" s="788">
        <v>39975</v>
      </c>
      <c r="G5950" s="788">
        <v>42013</v>
      </c>
      <c r="H5950" s="787">
        <v>1</v>
      </c>
      <c r="I5950" s="788">
        <v>42153</v>
      </c>
      <c r="J5950" s="788">
        <v>40648</v>
      </c>
      <c r="L5950" s="787">
        <v>2.2999999999999998</v>
      </c>
      <c r="M5950" s="787">
        <v>10</v>
      </c>
      <c r="N5950" s="787">
        <v>6.15</v>
      </c>
      <c r="O5950" s="788">
        <v>42146</v>
      </c>
    </row>
    <row r="5951" spans="1:15" x14ac:dyDescent="0.25">
      <c r="A5951" s="786" t="s">
        <v>10591</v>
      </c>
      <c r="B5951" s="787">
        <v>4</v>
      </c>
      <c r="C5951" s="787" t="s">
        <v>10592</v>
      </c>
      <c r="D5951" s="787">
        <v>2.77</v>
      </c>
      <c r="E5951" s="787">
        <v>2.77</v>
      </c>
      <c r="F5951" s="788">
        <v>39456</v>
      </c>
      <c r="G5951" s="788">
        <v>41943</v>
      </c>
      <c r="H5951" s="787">
        <v>1</v>
      </c>
      <c r="I5951" s="788">
        <v>41968</v>
      </c>
      <c r="J5951" s="788">
        <v>39258</v>
      </c>
      <c r="L5951" s="787">
        <v>4</v>
      </c>
      <c r="M5951" s="787">
        <v>10</v>
      </c>
      <c r="N5951" s="787">
        <v>4.03</v>
      </c>
      <c r="O5951" s="788">
        <v>42087</v>
      </c>
    </row>
    <row r="5952" spans="1:15" x14ac:dyDescent="0.25">
      <c r="A5952" s="786" t="s">
        <v>10593</v>
      </c>
      <c r="B5952" s="787">
        <v>4</v>
      </c>
      <c r="C5952" s="787" t="s">
        <v>10594</v>
      </c>
      <c r="D5952" s="787">
        <v>2.77</v>
      </c>
      <c r="E5952" s="787">
        <v>2.77</v>
      </c>
      <c r="F5952" s="788">
        <v>39456</v>
      </c>
      <c r="G5952" s="788">
        <v>41943</v>
      </c>
      <c r="H5952" s="787">
        <v>1</v>
      </c>
      <c r="I5952" s="788">
        <v>41968</v>
      </c>
      <c r="J5952" s="788">
        <v>39258</v>
      </c>
      <c r="L5952" s="787">
        <v>3.97</v>
      </c>
      <c r="M5952" s="787">
        <v>10</v>
      </c>
      <c r="N5952" s="787">
        <v>3.35</v>
      </c>
      <c r="O5952" s="788">
        <v>42087</v>
      </c>
    </row>
    <row r="5953" spans="1:15" x14ac:dyDescent="0.25">
      <c r="A5953" s="786" t="s">
        <v>10595</v>
      </c>
      <c r="B5953" s="787">
        <v>4</v>
      </c>
      <c r="C5953" s="787" t="s">
        <v>10596</v>
      </c>
      <c r="D5953" s="787">
        <v>2.35</v>
      </c>
      <c r="E5953" s="787">
        <v>12.78</v>
      </c>
      <c r="F5953" s="788">
        <v>38606</v>
      </c>
      <c r="G5953" s="788">
        <v>42142</v>
      </c>
      <c r="H5953" s="787">
        <v>1</v>
      </c>
      <c r="I5953" s="788">
        <v>42157</v>
      </c>
      <c r="J5953" s="788">
        <v>42114</v>
      </c>
      <c r="L5953" s="787">
        <v>2.3199999999999998</v>
      </c>
      <c r="M5953" s="787">
        <v>10</v>
      </c>
      <c r="N5953" s="787">
        <v>11.81</v>
      </c>
      <c r="O5953" s="788">
        <v>42087</v>
      </c>
    </row>
    <row r="5954" spans="1:15" x14ac:dyDescent="0.25">
      <c r="A5954" s="786" t="s">
        <v>10597</v>
      </c>
      <c r="B5954" s="787">
        <v>4</v>
      </c>
      <c r="C5954" s="787" t="s">
        <v>10598</v>
      </c>
      <c r="D5954" s="787">
        <v>2.35</v>
      </c>
      <c r="E5954" s="787">
        <v>28.56</v>
      </c>
      <c r="F5954" s="788">
        <v>38606</v>
      </c>
      <c r="G5954" s="788">
        <v>41565</v>
      </c>
      <c r="H5954" s="787">
        <v>1</v>
      </c>
      <c r="I5954" s="788">
        <v>42165</v>
      </c>
      <c r="J5954" s="788">
        <v>41442</v>
      </c>
      <c r="L5954" s="787">
        <v>2.29</v>
      </c>
      <c r="M5954" s="787">
        <v>10</v>
      </c>
      <c r="N5954" s="787">
        <v>6.09</v>
      </c>
      <c r="O5954" s="788">
        <v>42109</v>
      </c>
    </row>
    <row r="5955" spans="1:15" x14ac:dyDescent="0.25">
      <c r="A5955" s="786" t="s">
        <v>10599</v>
      </c>
      <c r="B5955" s="787">
        <v>4</v>
      </c>
      <c r="C5955" s="787" t="s">
        <v>10600</v>
      </c>
      <c r="D5955" s="787">
        <v>0.34</v>
      </c>
      <c r="E5955" s="787">
        <v>2.2400000000000002</v>
      </c>
      <c r="F5955" s="788">
        <v>39962</v>
      </c>
      <c r="G5955" s="788">
        <v>42013</v>
      </c>
      <c r="H5955" s="787">
        <v>1</v>
      </c>
      <c r="I5955" s="788">
        <v>42136</v>
      </c>
      <c r="J5955" s="788">
        <v>41914</v>
      </c>
      <c r="L5955" s="787">
        <v>1.34</v>
      </c>
      <c r="M5955" s="787">
        <v>10</v>
      </c>
      <c r="N5955" s="787">
        <v>2.15</v>
      </c>
      <c r="O5955" s="788">
        <v>42164</v>
      </c>
    </row>
    <row r="5956" spans="1:15" x14ac:dyDescent="0.25">
      <c r="A5956" s="786" t="s">
        <v>10601</v>
      </c>
      <c r="B5956" s="787">
        <v>4</v>
      </c>
      <c r="C5956" s="787" t="s">
        <v>10602</v>
      </c>
      <c r="D5956" s="787">
        <v>1.58</v>
      </c>
      <c r="E5956" s="787">
        <v>1.58</v>
      </c>
      <c r="F5956" s="788">
        <v>39101</v>
      </c>
      <c r="G5956" s="788">
        <v>41943</v>
      </c>
      <c r="H5956" s="787">
        <v>1</v>
      </c>
      <c r="I5956" s="788">
        <v>41780</v>
      </c>
      <c r="J5956" s="788">
        <v>39540</v>
      </c>
      <c r="L5956" s="787">
        <v>1.8</v>
      </c>
      <c r="M5956" s="787">
        <v>10</v>
      </c>
      <c r="N5956" s="787">
        <v>2.4700000000000002</v>
      </c>
      <c r="O5956" s="788">
        <v>42162</v>
      </c>
    </row>
    <row r="5957" spans="1:15" x14ac:dyDescent="0.25">
      <c r="A5957" s="786" t="s">
        <v>10603</v>
      </c>
      <c r="B5957" s="787">
        <v>4</v>
      </c>
      <c r="C5957" s="787" t="s">
        <v>10604</v>
      </c>
      <c r="D5957" s="787">
        <v>9.4499999999999993</v>
      </c>
      <c r="E5957" s="787">
        <v>8.75</v>
      </c>
      <c r="F5957" s="788">
        <v>39101</v>
      </c>
      <c r="G5957" s="788">
        <v>39101</v>
      </c>
      <c r="H5957" s="787">
        <v>1</v>
      </c>
      <c r="I5957" s="788">
        <v>39715</v>
      </c>
      <c r="J5957" s="788">
        <v>39149</v>
      </c>
      <c r="L5957" s="787">
        <v>8.93</v>
      </c>
      <c r="M5957" s="787">
        <v>10</v>
      </c>
      <c r="N5957" s="787">
        <v>16.23</v>
      </c>
      <c r="O5957" s="788">
        <v>42124</v>
      </c>
    </row>
    <row r="5958" spans="1:15" x14ac:dyDescent="0.25">
      <c r="A5958" s="786" t="s">
        <v>10605</v>
      </c>
      <c r="B5958" s="787">
        <v>4</v>
      </c>
      <c r="C5958" s="787" t="s">
        <v>10606</v>
      </c>
      <c r="D5958" s="787">
        <v>8.2799999999999994</v>
      </c>
      <c r="E5958" s="787">
        <v>8.2799999999999994</v>
      </c>
      <c r="F5958" s="788">
        <v>38606</v>
      </c>
      <c r="G5958" s="788">
        <v>38736</v>
      </c>
      <c r="H5958" s="787">
        <v>1</v>
      </c>
      <c r="I5958" s="788">
        <v>39386</v>
      </c>
      <c r="J5958" s="788">
        <v>38559</v>
      </c>
      <c r="L5958" s="787">
        <v>9</v>
      </c>
      <c r="M5958" s="787">
        <v>10</v>
      </c>
      <c r="N5958" s="787">
        <v>12.94</v>
      </c>
      <c r="O5958" s="788">
        <v>42061</v>
      </c>
    </row>
    <row r="5959" spans="1:15" x14ac:dyDescent="0.25">
      <c r="A5959" s="786" t="s">
        <v>10607</v>
      </c>
      <c r="B5959" s="787">
        <v>4</v>
      </c>
      <c r="C5959" s="787" t="s">
        <v>10608</v>
      </c>
      <c r="D5959" s="787">
        <v>4.28</v>
      </c>
      <c r="E5959" s="787">
        <v>4.28</v>
      </c>
      <c r="F5959" s="788">
        <v>38640</v>
      </c>
      <c r="G5959" s="788">
        <v>38638</v>
      </c>
      <c r="H5959" s="787">
        <v>1</v>
      </c>
      <c r="I5959" s="788">
        <v>38638</v>
      </c>
      <c r="J5959" s="788">
        <v>38638</v>
      </c>
      <c r="L5959" s="787">
        <v>4.6900000000000004</v>
      </c>
      <c r="M5959" s="787">
        <v>10</v>
      </c>
      <c r="N5959" s="787">
        <v>6.8</v>
      </c>
      <c r="O5959" s="788">
        <v>42124</v>
      </c>
    </row>
    <row r="5960" spans="1:15" x14ac:dyDescent="0.25">
      <c r="A5960" s="786" t="s">
        <v>10609</v>
      </c>
      <c r="B5960" s="787">
        <v>4</v>
      </c>
      <c r="C5960" s="787" t="s">
        <v>10610</v>
      </c>
      <c r="D5960" s="787">
        <v>4.2699999999999996</v>
      </c>
      <c r="E5960" s="787">
        <v>4.2699999999999996</v>
      </c>
      <c r="F5960" s="788">
        <v>38606</v>
      </c>
      <c r="G5960" s="788">
        <v>38299</v>
      </c>
      <c r="H5960" s="787">
        <v>1</v>
      </c>
      <c r="I5960" s="788">
        <v>38559</v>
      </c>
      <c r="J5960" s="788">
        <v>38299</v>
      </c>
      <c r="L5960" s="787">
        <v>4.49</v>
      </c>
      <c r="M5960" s="787">
        <v>10</v>
      </c>
      <c r="N5960" s="787">
        <v>4.7300000000000004</v>
      </c>
      <c r="O5960" s="788">
        <v>42061</v>
      </c>
    </row>
    <row r="5961" spans="1:15" x14ac:dyDescent="0.25">
      <c r="A5961" s="786" t="s">
        <v>10611</v>
      </c>
      <c r="B5961" s="787">
        <v>4</v>
      </c>
      <c r="C5961" s="787" t="s">
        <v>10612</v>
      </c>
      <c r="D5961" s="787">
        <v>1.56</v>
      </c>
      <c r="E5961" s="787">
        <v>1.56</v>
      </c>
      <c r="F5961" s="788">
        <v>38640</v>
      </c>
      <c r="G5961" s="788">
        <v>38640</v>
      </c>
      <c r="H5961" s="787">
        <v>1</v>
      </c>
      <c r="I5961" s="788">
        <v>38638</v>
      </c>
      <c r="J5961" s="788">
        <v>38638</v>
      </c>
      <c r="L5961" s="787">
        <v>1.82</v>
      </c>
      <c r="M5961" s="787">
        <v>10</v>
      </c>
      <c r="N5961" s="787">
        <v>2.82</v>
      </c>
      <c r="O5961" s="788">
        <v>42124</v>
      </c>
    </row>
    <row r="5962" spans="1:15" x14ac:dyDescent="0.25">
      <c r="A5962" s="786" t="s">
        <v>10613</v>
      </c>
      <c r="B5962" s="787">
        <v>4</v>
      </c>
      <c r="C5962" s="787" t="s">
        <v>10252</v>
      </c>
      <c r="D5962" s="787">
        <v>0</v>
      </c>
      <c r="E5962" s="787">
        <v>0</v>
      </c>
      <c r="H5962" s="787">
        <v>1</v>
      </c>
      <c r="I5962" s="788">
        <v>39990</v>
      </c>
      <c r="L5962" s="787">
        <v>0</v>
      </c>
      <c r="M5962" s="787">
        <v>10</v>
      </c>
      <c r="N5962" s="787">
        <v>0</v>
      </c>
      <c r="O5962" s="788">
        <v>41858</v>
      </c>
    </row>
    <row r="5963" spans="1:15" x14ac:dyDescent="0.25">
      <c r="A5963" s="786" t="s">
        <v>10614</v>
      </c>
      <c r="B5963" s="787">
        <v>4</v>
      </c>
      <c r="C5963" s="787" t="s">
        <v>10252</v>
      </c>
      <c r="D5963" s="787">
        <v>0</v>
      </c>
      <c r="E5963" s="787">
        <v>0</v>
      </c>
      <c r="H5963" s="787">
        <v>1</v>
      </c>
      <c r="I5963" s="788">
        <v>40030</v>
      </c>
      <c r="L5963" s="787">
        <v>0</v>
      </c>
      <c r="M5963" s="787">
        <v>10</v>
      </c>
      <c r="N5963" s="787">
        <v>0</v>
      </c>
      <c r="O5963" s="788">
        <v>41858</v>
      </c>
    </row>
    <row r="5964" spans="1:15" x14ac:dyDescent="0.25">
      <c r="A5964" s="786" t="s">
        <v>10615</v>
      </c>
      <c r="B5964" s="787">
        <v>4</v>
      </c>
      <c r="C5964" s="787" t="s">
        <v>10616</v>
      </c>
      <c r="D5964" s="787">
        <v>0</v>
      </c>
      <c r="E5964" s="787">
        <v>0</v>
      </c>
      <c r="H5964" s="787">
        <v>1</v>
      </c>
      <c r="I5964" s="788">
        <v>39057</v>
      </c>
      <c r="J5964" s="788">
        <v>39101</v>
      </c>
      <c r="L5964" s="787">
        <v>0</v>
      </c>
      <c r="M5964" s="787">
        <v>10</v>
      </c>
      <c r="N5964" s="787">
        <v>11.16</v>
      </c>
      <c r="O5964" s="788">
        <v>42156</v>
      </c>
    </row>
    <row r="5965" spans="1:15" x14ac:dyDescent="0.25">
      <c r="A5965" s="786" t="s">
        <v>10617</v>
      </c>
      <c r="B5965" s="787">
        <v>4</v>
      </c>
      <c r="C5965" s="787" t="s">
        <v>10616</v>
      </c>
      <c r="D5965" s="787">
        <v>0</v>
      </c>
      <c r="E5965" s="787">
        <v>0</v>
      </c>
      <c r="H5965" s="787">
        <v>1</v>
      </c>
      <c r="I5965" s="788">
        <v>39057</v>
      </c>
      <c r="J5965" s="788">
        <v>39101</v>
      </c>
      <c r="L5965" s="787">
        <v>0</v>
      </c>
      <c r="M5965" s="787">
        <v>10</v>
      </c>
      <c r="N5965" s="787">
        <v>11.16</v>
      </c>
      <c r="O5965" s="788">
        <v>42156</v>
      </c>
    </row>
    <row r="5966" spans="1:15" x14ac:dyDescent="0.25">
      <c r="A5966" s="786" t="s">
        <v>10618</v>
      </c>
      <c r="B5966" s="787">
        <v>4</v>
      </c>
      <c r="C5966" s="787" t="s">
        <v>10619</v>
      </c>
      <c r="D5966" s="787">
        <v>0</v>
      </c>
      <c r="E5966" s="787">
        <v>0</v>
      </c>
      <c r="H5966" s="787">
        <v>1</v>
      </c>
      <c r="I5966" s="788">
        <v>40374</v>
      </c>
      <c r="J5966" s="788">
        <v>39101</v>
      </c>
      <c r="L5966" s="787">
        <v>0</v>
      </c>
      <c r="M5966" s="787">
        <v>10</v>
      </c>
      <c r="N5966" s="787">
        <v>14.37</v>
      </c>
      <c r="O5966" s="788">
        <v>42125</v>
      </c>
    </row>
    <row r="5967" spans="1:15" x14ac:dyDescent="0.25">
      <c r="A5967" s="786" t="s">
        <v>10620</v>
      </c>
      <c r="B5967" s="787">
        <v>4</v>
      </c>
      <c r="C5967" s="787" t="s">
        <v>10621</v>
      </c>
      <c r="D5967" s="787">
        <v>0</v>
      </c>
      <c r="E5967" s="787">
        <v>0</v>
      </c>
      <c r="H5967" s="787">
        <v>1</v>
      </c>
      <c r="I5967" s="788">
        <v>41793</v>
      </c>
      <c r="J5967" s="788">
        <v>41816</v>
      </c>
      <c r="L5967" s="787">
        <v>1.54</v>
      </c>
      <c r="M5967" s="787">
        <v>10</v>
      </c>
      <c r="N5967" s="787">
        <v>2.38</v>
      </c>
      <c r="O5967" s="788">
        <v>41978</v>
      </c>
    </row>
    <row r="5968" spans="1:15" x14ac:dyDescent="0.25">
      <c r="A5968" s="786" t="s">
        <v>10622</v>
      </c>
      <c r="B5968" s="787">
        <v>4</v>
      </c>
      <c r="C5968" s="787" t="s">
        <v>10623</v>
      </c>
      <c r="D5968" s="787">
        <v>0</v>
      </c>
      <c r="E5968" s="787">
        <v>0</v>
      </c>
      <c r="H5968" s="787">
        <v>1</v>
      </c>
      <c r="I5968" s="788">
        <v>39057</v>
      </c>
      <c r="J5968" s="788">
        <v>39101</v>
      </c>
      <c r="L5968" s="787">
        <v>0</v>
      </c>
      <c r="M5968" s="787">
        <v>10</v>
      </c>
      <c r="N5968" s="787">
        <v>7.1</v>
      </c>
      <c r="O5968" s="788">
        <v>41858</v>
      </c>
    </row>
    <row r="5969" spans="1:15" x14ac:dyDescent="0.25">
      <c r="A5969" s="786" t="s">
        <v>10624</v>
      </c>
      <c r="B5969" s="787">
        <v>4</v>
      </c>
      <c r="C5969" s="787" t="s">
        <v>10625</v>
      </c>
      <c r="D5969" s="787">
        <v>0</v>
      </c>
      <c r="E5969" s="787">
        <v>0</v>
      </c>
      <c r="H5969" s="787">
        <v>1</v>
      </c>
      <c r="I5969" s="788">
        <v>40518</v>
      </c>
      <c r="J5969" s="788">
        <v>39101</v>
      </c>
      <c r="L5969" s="787">
        <v>0</v>
      </c>
      <c r="M5969" s="787">
        <v>10</v>
      </c>
      <c r="N5969" s="787">
        <v>14.29</v>
      </c>
      <c r="O5969" s="788">
        <v>42125</v>
      </c>
    </row>
    <row r="5970" spans="1:15" x14ac:dyDescent="0.25">
      <c r="A5970" s="786" t="s">
        <v>10626</v>
      </c>
      <c r="B5970" s="787">
        <v>4</v>
      </c>
      <c r="C5970" s="787" t="s">
        <v>10627</v>
      </c>
      <c r="D5970" s="787">
        <v>0</v>
      </c>
      <c r="E5970" s="787">
        <v>0</v>
      </c>
      <c r="H5970" s="787">
        <v>1</v>
      </c>
      <c r="I5970" s="788">
        <v>39057</v>
      </c>
      <c r="J5970" s="788">
        <v>39101</v>
      </c>
      <c r="K5970" s="788">
        <v>41954</v>
      </c>
      <c r="L5970" s="787">
        <v>10.64</v>
      </c>
      <c r="M5970" s="787">
        <v>10</v>
      </c>
      <c r="N5970" s="787">
        <v>10.64</v>
      </c>
      <c r="O5970" s="788">
        <v>41858</v>
      </c>
    </row>
    <row r="5971" spans="1:15" x14ac:dyDescent="0.25">
      <c r="A5971" s="786" t="s">
        <v>10628</v>
      </c>
      <c r="B5971" s="787">
        <v>4</v>
      </c>
      <c r="C5971" s="787" t="s">
        <v>10629</v>
      </c>
      <c r="D5971" s="787">
        <v>0</v>
      </c>
      <c r="E5971" s="787">
        <v>0</v>
      </c>
      <c r="H5971" s="787">
        <v>1</v>
      </c>
      <c r="I5971" s="788">
        <v>40010</v>
      </c>
      <c r="L5971" s="787">
        <v>0</v>
      </c>
      <c r="M5971" s="787">
        <v>10</v>
      </c>
      <c r="N5971" s="787">
        <v>82.83</v>
      </c>
      <c r="O5971" s="788">
        <v>41858</v>
      </c>
    </row>
    <row r="5972" spans="1:15" x14ac:dyDescent="0.25">
      <c r="A5972" s="786" t="s">
        <v>10630</v>
      </c>
      <c r="B5972" s="787">
        <v>4</v>
      </c>
      <c r="C5972" s="787" t="s">
        <v>10631</v>
      </c>
      <c r="D5972" s="787">
        <v>0</v>
      </c>
      <c r="E5972" s="787">
        <v>0</v>
      </c>
      <c r="H5972" s="787">
        <v>1</v>
      </c>
      <c r="I5972" s="788">
        <v>40032</v>
      </c>
      <c r="L5972" s="787">
        <v>0</v>
      </c>
      <c r="M5972" s="787">
        <v>10</v>
      </c>
      <c r="N5972" s="787">
        <v>82.83</v>
      </c>
      <c r="O5972" s="788">
        <v>41858</v>
      </c>
    </row>
    <row r="5973" spans="1:15" x14ac:dyDescent="0.25">
      <c r="A5973" s="786" t="s">
        <v>10632</v>
      </c>
      <c r="B5973" s="787">
        <v>4</v>
      </c>
      <c r="C5973" s="787" t="s">
        <v>10633</v>
      </c>
      <c r="D5973" s="787">
        <v>0</v>
      </c>
      <c r="E5973" s="787">
        <v>0</v>
      </c>
      <c r="H5973" s="787">
        <v>1</v>
      </c>
      <c r="I5973" s="788">
        <v>40037</v>
      </c>
      <c r="J5973" s="788">
        <v>38736</v>
      </c>
      <c r="L5973" s="787">
        <v>37.619999999999997</v>
      </c>
      <c r="M5973" s="787">
        <v>10</v>
      </c>
      <c r="N5973" s="787">
        <v>82.83</v>
      </c>
      <c r="O5973" s="788">
        <v>42051</v>
      </c>
    </row>
    <row r="5974" spans="1:15" x14ac:dyDescent="0.25">
      <c r="A5974" s="786" t="s">
        <v>10634</v>
      </c>
      <c r="B5974" s="787">
        <v>4</v>
      </c>
      <c r="C5974" s="787" t="s">
        <v>10635</v>
      </c>
      <c r="D5974" s="787">
        <v>0</v>
      </c>
      <c r="E5974" s="787">
        <v>0</v>
      </c>
      <c r="H5974" s="787">
        <v>1</v>
      </c>
      <c r="I5974" s="788">
        <v>40037</v>
      </c>
      <c r="L5974" s="787">
        <v>0</v>
      </c>
      <c r="M5974" s="787">
        <v>10</v>
      </c>
      <c r="N5974" s="787">
        <v>82.83</v>
      </c>
      <c r="O5974" s="788">
        <v>41858</v>
      </c>
    </row>
    <row r="5975" spans="1:15" x14ac:dyDescent="0.25">
      <c r="A5975" s="786" t="s">
        <v>10636</v>
      </c>
      <c r="B5975" s="787">
        <v>4</v>
      </c>
      <c r="C5975" s="787" t="s">
        <v>10637</v>
      </c>
      <c r="D5975" s="787">
        <v>0</v>
      </c>
      <c r="E5975" s="787">
        <v>0</v>
      </c>
      <c r="H5975" s="787">
        <v>1</v>
      </c>
      <c r="L5975" s="787">
        <v>0</v>
      </c>
      <c r="M5975" s="787">
        <v>10</v>
      </c>
      <c r="N5975" s="787">
        <v>26.52</v>
      </c>
      <c r="O5975" s="788">
        <v>42156</v>
      </c>
    </row>
    <row r="5976" spans="1:15" x14ac:dyDescent="0.25">
      <c r="A5976" s="786" t="s">
        <v>10638</v>
      </c>
      <c r="B5976" s="787">
        <v>4</v>
      </c>
      <c r="C5976" s="787" t="s">
        <v>10639</v>
      </c>
      <c r="D5976" s="787">
        <v>0</v>
      </c>
      <c r="E5976" s="787">
        <v>0</v>
      </c>
      <c r="H5976" s="787">
        <v>1</v>
      </c>
      <c r="L5976" s="787">
        <v>0</v>
      </c>
      <c r="M5976" s="787">
        <v>10</v>
      </c>
      <c r="N5976" s="787">
        <v>26.52</v>
      </c>
      <c r="O5976" s="788">
        <v>42156</v>
      </c>
    </row>
    <row r="5977" spans="1:15" x14ac:dyDescent="0.25">
      <c r="A5977" s="786" t="s">
        <v>10640</v>
      </c>
      <c r="B5977" s="787">
        <v>4</v>
      </c>
      <c r="C5977" s="787" t="s">
        <v>10641</v>
      </c>
      <c r="D5977" s="787">
        <v>0</v>
      </c>
      <c r="E5977" s="787">
        <v>0</v>
      </c>
      <c r="H5977" s="787">
        <v>1</v>
      </c>
      <c r="I5977" s="788">
        <v>39057</v>
      </c>
      <c r="J5977" s="788">
        <v>39101</v>
      </c>
      <c r="L5977" s="787">
        <v>16.190000000000001</v>
      </c>
      <c r="M5977" s="787">
        <v>10</v>
      </c>
      <c r="N5977" s="787">
        <v>26.52</v>
      </c>
      <c r="O5977" s="788">
        <v>42156</v>
      </c>
    </row>
    <row r="5978" spans="1:15" x14ac:dyDescent="0.25">
      <c r="A5978" s="786" t="s">
        <v>10642</v>
      </c>
      <c r="B5978" s="787">
        <v>4</v>
      </c>
      <c r="C5978" s="787" t="s">
        <v>10643</v>
      </c>
      <c r="D5978" s="787">
        <v>0</v>
      </c>
      <c r="E5978" s="787">
        <v>0</v>
      </c>
      <c r="H5978" s="787">
        <v>1</v>
      </c>
      <c r="L5978" s="787">
        <v>0</v>
      </c>
      <c r="M5978" s="787">
        <v>10</v>
      </c>
      <c r="N5978" s="787">
        <v>26.52</v>
      </c>
      <c r="O5978" s="788">
        <v>42156</v>
      </c>
    </row>
    <row r="5979" spans="1:15" x14ac:dyDescent="0.25">
      <c r="A5979" s="786" t="s">
        <v>10644</v>
      </c>
      <c r="B5979" s="787">
        <v>4</v>
      </c>
      <c r="C5979" s="787" t="s">
        <v>10645</v>
      </c>
      <c r="D5979" s="787">
        <v>0</v>
      </c>
      <c r="E5979" s="787">
        <v>0</v>
      </c>
      <c r="G5979" s="788">
        <v>41565</v>
      </c>
      <c r="H5979" s="787">
        <v>1</v>
      </c>
      <c r="I5979" s="788">
        <v>41793</v>
      </c>
      <c r="J5979" s="788">
        <v>41816</v>
      </c>
      <c r="K5979" s="788">
        <v>41817</v>
      </c>
      <c r="L5979" s="787">
        <v>3</v>
      </c>
      <c r="M5979" s="787">
        <v>10</v>
      </c>
      <c r="N5979" s="787">
        <v>19.079999999999998</v>
      </c>
      <c r="O5979" s="788">
        <v>41858</v>
      </c>
    </row>
    <row r="5980" spans="1:15" x14ac:dyDescent="0.25">
      <c r="A5980" s="786" t="s">
        <v>10646</v>
      </c>
      <c r="B5980" s="787">
        <v>4</v>
      </c>
      <c r="C5980" s="787" t="s">
        <v>10647</v>
      </c>
      <c r="D5980" s="787">
        <v>0</v>
      </c>
      <c r="E5980" s="787">
        <v>0</v>
      </c>
      <c r="H5980" s="787">
        <v>1</v>
      </c>
      <c r="I5980" s="788">
        <v>41984</v>
      </c>
      <c r="J5980" s="788">
        <v>41986</v>
      </c>
      <c r="K5980" s="788">
        <v>41988</v>
      </c>
      <c r="L5980" s="787">
        <v>3.5</v>
      </c>
      <c r="M5980" s="787">
        <v>10</v>
      </c>
      <c r="N5980" s="787">
        <v>3.53</v>
      </c>
      <c r="O5980" s="788">
        <v>41858</v>
      </c>
    </row>
    <row r="5981" spans="1:15" x14ac:dyDescent="0.25">
      <c r="A5981" s="786" t="s">
        <v>10648</v>
      </c>
      <c r="B5981" s="787">
        <v>4</v>
      </c>
      <c r="C5981" s="787" t="s">
        <v>10649</v>
      </c>
      <c r="D5981" s="787">
        <v>0</v>
      </c>
      <c r="E5981" s="787">
        <v>0</v>
      </c>
      <c r="H5981" s="787">
        <v>1</v>
      </c>
      <c r="L5981" s="787">
        <v>0</v>
      </c>
      <c r="M5981" s="787">
        <v>10</v>
      </c>
      <c r="N5981" s="787">
        <v>49.73</v>
      </c>
      <c r="O5981" s="788">
        <v>42124</v>
      </c>
    </row>
    <row r="5982" spans="1:15" x14ac:dyDescent="0.25">
      <c r="A5982" s="786" t="s">
        <v>10650</v>
      </c>
      <c r="B5982" s="787">
        <v>4</v>
      </c>
      <c r="C5982" s="787" t="s">
        <v>10651</v>
      </c>
      <c r="D5982" s="787">
        <v>0</v>
      </c>
      <c r="E5982" s="787">
        <v>0</v>
      </c>
      <c r="H5982" s="787">
        <v>1</v>
      </c>
      <c r="L5982" s="787">
        <v>0</v>
      </c>
      <c r="M5982" s="787">
        <v>10</v>
      </c>
      <c r="N5982" s="787">
        <v>12.59</v>
      </c>
      <c r="O5982" s="788">
        <v>42124</v>
      </c>
    </row>
    <row r="5983" spans="1:15" x14ac:dyDescent="0.25">
      <c r="A5983" s="786" t="s">
        <v>10652</v>
      </c>
      <c r="B5983" s="787">
        <v>4</v>
      </c>
      <c r="C5983" s="787" t="s">
        <v>10653</v>
      </c>
      <c r="D5983" s="787">
        <v>0</v>
      </c>
      <c r="E5983" s="787">
        <v>0</v>
      </c>
      <c r="H5983" s="787">
        <v>1</v>
      </c>
      <c r="L5983" s="787">
        <v>0</v>
      </c>
      <c r="M5983" s="787">
        <v>10</v>
      </c>
      <c r="N5983" s="787">
        <v>12.03</v>
      </c>
      <c r="O5983" s="788">
        <v>42124</v>
      </c>
    </row>
    <row r="5984" spans="1:15" x14ac:dyDescent="0.25">
      <c r="A5984" s="786" t="s">
        <v>10654</v>
      </c>
      <c r="B5984" s="787">
        <v>4</v>
      </c>
      <c r="C5984" s="787" t="s">
        <v>10655</v>
      </c>
      <c r="D5984" s="787">
        <v>0</v>
      </c>
      <c r="E5984" s="787">
        <v>0</v>
      </c>
      <c r="G5984" s="788">
        <v>38194</v>
      </c>
      <c r="H5984" s="787">
        <v>1</v>
      </c>
      <c r="J5984" s="788">
        <v>38194</v>
      </c>
      <c r="K5984" s="788">
        <v>41894</v>
      </c>
      <c r="L5984" s="787">
        <v>16</v>
      </c>
      <c r="M5984" s="787">
        <v>10</v>
      </c>
      <c r="N5984" s="787">
        <v>20.49</v>
      </c>
      <c r="O5984" s="788">
        <v>42125</v>
      </c>
    </row>
    <row r="5985" spans="1:15" x14ac:dyDescent="0.25">
      <c r="A5985" s="786" t="s">
        <v>10656</v>
      </c>
      <c r="B5985" s="787">
        <v>4</v>
      </c>
      <c r="C5985" s="787" t="s">
        <v>10657</v>
      </c>
      <c r="D5985" s="787">
        <v>0</v>
      </c>
      <c r="E5985" s="787">
        <v>0</v>
      </c>
      <c r="G5985" s="788">
        <v>38194</v>
      </c>
      <c r="H5985" s="787">
        <v>1</v>
      </c>
      <c r="I5985" s="788">
        <v>38323</v>
      </c>
      <c r="J5985" s="788">
        <v>38194</v>
      </c>
      <c r="L5985" s="787">
        <v>13.65</v>
      </c>
      <c r="M5985" s="787">
        <v>10</v>
      </c>
      <c r="N5985" s="787">
        <v>20.190000000000001</v>
      </c>
      <c r="O5985" s="788">
        <v>41858</v>
      </c>
    </row>
    <row r="5986" spans="1:15" x14ac:dyDescent="0.25">
      <c r="A5986" s="786" t="s">
        <v>10658</v>
      </c>
      <c r="B5986" s="787">
        <v>4</v>
      </c>
      <c r="C5986" s="787" t="s">
        <v>10659</v>
      </c>
      <c r="D5986" s="787">
        <v>4.46</v>
      </c>
      <c r="E5986" s="787">
        <v>14.46</v>
      </c>
      <c r="F5986" s="788">
        <v>39101</v>
      </c>
      <c r="G5986" s="788">
        <v>39101</v>
      </c>
      <c r="H5986" s="787">
        <v>1</v>
      </c>
      <c r="I5986" s="788">
        <v>39070</v>
      </c>
      <c r="J5986" s="788">
        <v>39101</v>
      </c>
      <c r="L5986" s="787">
        <v>14.67</v>
      </c>
      <c r="M5986" s="787">
        <v>10</v>
      </c>
      <c r="N5986" s="787">
        <v>11.6</v>
      </c>
      <c r="O5986" s="788">
        <v>41858</v>
      </c>
    </row>
    <row r="5987" spans="1:15" x14ac:dyDescent="0.25">
      <c r="A5987" s="786" t="s">
        <v>10660</v>
      </c>
      <c r="B5987" s="787">
        <v>4</v>
      </c>
      <c r="C5987" s="787" t="s">
        <v>10661</v>
      </c>
      <c r="D5987" s="787">
        <v>4.46</v>
      </c>
      <c r="E5987" s="787">
        <v>14.46</v>
      </c>
      <c r="F5987" s="788">
        <v>39101</v>
      </c>
      <c r="G5987" s="788">
        <v>39101</v>
      </c>
      <c r="H5987" s="787">
        <v>1</v>
      </c>
      <c r="I5987" s="788">
        <v>38889</v>
      </c>
      <c r="J5987" s="788">
        <v>39101</v>
      </c>
      <c r="L5987" s="787">
        <v>14.67</v>
      </c>
      <c r="M5987" s="787">
        <v>10</v>
      </c>
      <c r="N5987" s="787">
        <v>11.6</v>
      </c>
      <c r="O5987" s="788">
        <v>41858</v>
      </c>
    </row>
    <row r="5988" spans="1:15" x14ac:dyDescent="0.25">
      <c r="A5988" s="786" t="s">
        <v>10662</v>
      </c>
      <c r="B5988" s="787">
        <v>4</v>
      </c>
      <c r="C5988" s="787" t="s">
        <v>10663</v>
      </c>
      <c r="D5988" s="787">
        <v>0</v>
      </c>
      <c r="E5988" s="787">
        <v>0</v>
      </c>
      <c r="H5988" s="787">
        <v>1</v>
      </c>
      <c r="L5988" s="787">
        <v>16</v>
      </c>
      <c r="M5988" s="787">
        <v>10</v>
      </c>
      <c r="N5988" s="787">
        <v>16.62</v>
      </c>
      <c r="O5988" s="788">
        <v>41894</v>
      </c>
    </row>
    <row r="5989" spans="1:15" x14ac:dyDescent="0.25">
      <c r="A5989" s="786" t="s">
        <v>10664</v>
      </c>
      <c r="B5989" s="787">
        <v>4</v>
      </c>
      <c r="C5989" s="787" t="s">
        <v>10665</v>
      </c>
      <c r="D5989" s="787">
        <v>0.28000000000000003</v>
      </c>
      <c r="E5989" s="787">
        <v>3.95</v>
      </c>
      <c r="F5989" s="788">
        <v>39456</v>
      </c>
      <c r="G5989" s="788">
        <v>42047</v>
      </c>
      <c r="H5989" s="787">
        <v>1</v>
      </c>
      <c r="I5989" s="788">
        <v>42165</v>
      </c>
      <c r="J5989" s="788">
        <v>42086</v>
      </c>
      <c r="L5989" s="787">
        <v>0.75</v>
      </c>
      <c r="M5989" s="787">
        <v>10</v>
      </c>
      <c r="N5989" s="787">
        <v>10.119999999999999</v>
      </c>
      <c r="O5989" s="788">
        <v>42124</v>
      </c>
    </row>
    <row r="5990" spans="1:15" x14ac:dyDescent="0.25">
      <c r="A5990" s="786" t="s">
        <v>10666</v>
      </c>
      <c r="B5990" s="787">
        <v>4</v>
      </c>
      <c r="C5990" s="787" t="s">
        <v>10667</v>
      </c>
      <c r="D5990" s="787">
        <v>0.36</v>
      </c>
      <c r="E5990" s="787">
        <v>1.53</v>
      </c>
      <c r="F5990" s="788">
        <v>39456</v>
      </c>
      <c r="G5990" s="788">
        <v>42013</v>
      </c>
      <c r="H5990" s="787">
        <v>1</v>
      </c>
      <c r="I5990" s="788">
        <v>42145</v>
      </c>
      <c r="J5990" s="788">
        <v>42124</v>
      </c>
      <c r="L5990" s="787">
        <v>0.77</v>
      </c>
      <c r="M5990" s="787">
        <v>10</v>
      </c>
      <c r="N5990" s="787">
        <v>9.32</v>
      </c>
      <c r="O5990" s="788">
        <v>42162</v>
      </c>
    </row>
    <row r="5991" spans="1:15" x14ac:dyDescent="0.25">
      <c r="A5991" s="786" t="s">
        <v>10668</v>
      </c>
      <c r="B5991" s="787">
        <v>4</v>
      </c>
      <c r="C5991" s="787" t="s">
        <v>10669</v>
      </c>
      <c r="D5991" s="787">
        <v>0.65</v>
      </c>
      <c r="E5991" s="787">
        <v>1.84</v>
      </c>
      <c r="F5991" s="788">
        <v>39101</v>
      </c>
      <c r="G5991" s="788">
        <v>42013</v>
      </c>
      <c r="H5991" s="787">
        <v>1</v>
      </c>
      <c r="I5991" s="788">
        <v>42150</v>
      </c>
      <c r="J5991" s="788">
        <v>41967</v>
      </c>
      <c r="L5991" s="787">
        <v>1.9</v>
      </c>
      <c r="M5991" s="787">
        <v>10</v>
      </c>
      <c r="N5991" s="787">
        <v>9.3699999999999992</v>
      </c>
      <c r="O5991" s="788">
        <v>42162</v>
      </c>
    </row>
    <row r="5992" spans="1:15" x14ac:dyDescent="0.25">
      <c r="A5992" s="786" t="s">
        <v>10670</v>
      </c>
      <c r="B5992" s="787">
        <v>4</v>
      </c>
      <c r="C5992" s="787" t="s">
        <v>10671</v>
      </c>
      <c r="D5992" s="787">
        <v>1.49</v>
      </c>
      <c r="E5992" s="787">
        <v>11.49</v>
      </c>
      <c r="F5992" s="788">
        <v>39975</v>
      </c>
      <c r="G5992" s="788">
        <v>39975</v>
      </c>
      <c r="H5992" s="787">
        <v>1</v>
      </c>
      <c r="I5992" s="788">
        <v>39938</v>
      </c>
      <c r="J5992" s="788">
        <v>38736</v>
      </c>
      <c r="L5992" s="787">
        <v>0</v>
      </c>
      <c r="M5992" s="787">
        <v>10</v>
      </c>
      <c r="N5992" s="787">
        <v>11.76</v>
      </c>
      <c r="O5992" s="788">
        <v>42125</v>
      </c>
    </row>
    <row r="5993" spans="1:15" x14ac:dyDescent="0.25">
      <c r="A5993" s="786" t="s">
        <v>10672</v>
      </c>
      <c r="B5993" s="787">
        <v>4</v>
      </c>
      <c r="C5993" s="787" t="s">
        <v>10673</v>
      </c>
      <c r="D5993" s="787">
        <v>2.2799999999999998</v>
      </c>
      <c r="E5993" s="787">
        <v>12.28</v>
      </c>
      <c r="F5993" s="788">
        <v>39975</v>
      </c>
      <c r="G5993" s="788">
        <v>39975</v>
      </c>
      <c r="H5993" s="787">
        <v>1</v>
      </c>
      <c r="I5993" s="788">
        <v>39443</v>
      </c>
      <c r="J5993" s="788">
        <v>38736</v>
      </c>
      <c r="L5993" s="787">
        <v>0</v>
      </c>
      <c r="M5993" s="787">
        <v>10</v>
      </c>
      <c r="N5993" s="787">
        <v>12.51</v>
      </c>
      <c r="O5993" s="788">
        <v>42125</v>
      </c>
    </row>
    <row r="5994" spans="1:15" x14ac:dyDescent="0.25">
      <c r="A5994" s="786" t="s">
        <v>10674</v>
      </c>
      <c r="B5994" s="787">
        <v>4</v>
      </c>
      <c r="C5994" s="787" t="s">
        <v>10469</v>
      </c>
      <c r="D5994" s="787">
        <v>4.71</v>
      </c>
      <c r="E5994" s="787">
        <v>4.95</v>
      </c>
      <c r="F5994" s="788">
        <v>41806</v>
      </c>
      <c r="G5994" s="788">
        <v>41886</v>
      </c>
      <c r="H5994" s="787">
        <v>1</v>
      </c>
      <c r="I5994" s="788">
        <v>42137</v>
      </c>
      <c r="J5994" s="788">
        <v>42026</v>
      </c>
      <c r="K5994" s="788">
        <v>41744</v>
      </c>
      <c r="L5994" s="787">
        <v>7</v>
      </c>
      <c r="M5994" s="787">
        <v>10</v>
      </c>
      <c r="N5994" s="787">
        <v>7.12</v>
      </c>
      <c r="O5994" s="788">
        <v>42082</v>
      </c>
    </row>
    <row r="5995" spans="1:15" x14ac:dyDescent="0.25">
      <c r="A5995" s="786" t="s">
        <v>10675</v>
      </c>
      <c r="B5995" s="787">
        <v>4</v>
      </c>
      <c r="C5995" s="787" t="s">
        <v>10473</v>
      </c>
      <c r="D5995" s="787">
        <v>5.51</v>
      </c>
      <c r="E5995" s="787">
        <v>21.74</v>
      </c>
      <c r="F5995" s="788">
        <v>39975</v>
      </c>
      <c r="G5995" s="788">
        <v>41943</v>
      </c>
      <c r="H5995" s="787">
        <v>1</v>
      </c>
      <c r="I5995" s="788">
        <v>41855</v>
      </c>
      <c r="J5995" s="788">
        <v>41853</v>
      </c>
      <c r="K5995" s="788">
        <v>41737</v>
      </c>
      <c r="L5995" s="787">
        <v>5.8</v>
      </c>
      <c r="M5995" s="787">
        <v>10</v>
      </c>
      <c r="N5995" s="787">
        <v>5.46</v>
      </c>
      <c r="O5995" s="788">
        <v>42125</v>
      </c>
    </row>
    <row r="5996" spans="1:15" x14ac:dyDescent="0.25">
      <c r="A5996" s="786" t="s">
        <v>10676</v>
      </c>
      <c r="B5996" s="787">
        <v>4</v>
      </c>
      <c r="C5996" s="787" t="s">
        <v>10677</v>
      </c>
      <c r="D5996" s="787">
        <v>5.8</v>
      </c>
      <c r="E5996" s="787">
        <v>39.29</v>
      </c>
      <c r="F5996" s="788">
        <v>39975</v>
      </c>
      <c r="G5996" s="788">
        <v>41943</v>
      </c>
      <c r="H5996" s="787">
        <v>1</v>
      </c>
      <c r="I5996" s="788">
        <v>41855</v>
      </c>
      <c r="J5996" s="788">
        <v>41853</v>
      </c>
      <c r="K5996" s="788">
        <v>41737</v>
      </c>
      <c r="L5996" s="787">
        <v>6.1</v>
      </c>
      <c r="M5996" s="787">
        <v>10</v>
      </c>
      <c r="N5996" s="787">
        <v>5.26</v>
      </c>
      <c r="O5996" s="788">
        <v>42125</v>
      </c>
    </row>
    <row r="5997" spans="1:15" x14ac:dyDescent="0.25">
      <c r="A5997" s="786" t="s">
        <v>10678</v>
      </c>
      <c r="B5997" s="787">
        <v>4</v>
      </c>
      <c r="C5997" s="787" t="s">
        <v>10679</v>
      </c>
      <c r="D5997" s="787">
        <v>5.51</v>
      </c>
      <c r="E5997" s="787">
        <v>5.51</v>
      </c>
      <c r="F5997" s="788">
        <v>39975</v>
      </c>
      <c r="G5997" s="788">
        <v>41943</v>
      </c>
      <c r="H5997" s="787">
        <v>1</v>
      </c>
      <c r="I5997" s="788">
        <v>42137</v>
      </c>
      <c r="J5997" s="788">
        <v>42025</v>
      </c>
      <c r="K5997" s="788">
        <v>41737</v>
      </c>
      <c r="L5997" s="787">
        <v>5.8</v>
      </c>
      <c r="M5997" s="787">
        <v>10</v>
      </c>
      <c r="N5997" s="787">
        <v>5.67</v>
      </c>
      <c r="O5997" s="788">
        <v>42125</v>
      </c>
    </row>
    <row r="5998" spans="1:15" x14ac:dyDescent="0.25">
      <c r="A5998" s="786" t="s">
        <v>10680</v>
      </c>
      <c r="B5998" s="787">
        <v>4</v>
      </c>
      <c r="C5998" s="787" t="s">
        <v>10479</v>
      </c>
      <c r="D5998" s="787">
        <v>5.8</v>
      </c>
      <c r="E5998" s="787">
        <v>5.8</v>
      </c>
      <c r="F5998" s="788">
        <v>39975</v>
      </c>
      <c r="G5998" s="788">
        <v>41943</v>
      </c>
      <c r="H5998" s="787">
        <v>1</v>
      </c>
      <c r="I5998" s="788">
        <v>42137</v>
      </c>
      <c r="J5998" s="788">
        <v>42025</v>
      </c>
      <c r="K5998" s="788">
        <v>41737</v>
      </c>
      <c r="L5998" s="787">
        <v>6.1</v>
      </c>
      <c r="M5998" s="787">
        <v>10</v>
      </c>
      <c r="N5998" s="787">
        <v>16.96</v>
      </c>
      <c r="O5998" s="788">
        <v>42108</v>
      </c>
    </row>
    <row r="5999" spans="1:15" x14ac:dyDescent="0.25">
      <c r="A5999" s="786" t="s">
        <v>10681</v>
      </c>
      <c r="B5999" s="787">
        <v>4</v>
      </c>
      <c r="C5999" s="787" t="s">
        <v>10682</v>
      </c>
      <c r="D5999" s="787">
        <v>0.24</v>
      </c>
      <c r="E5999" s="787">
        <v>1.03</v>
      </c>
      <c r="F5999" s="788">
        <v>41775</v>
      </c>
      <c r="G5999" s="788">
        <v>42158</v>
      </c>
      <c r="H5999" s="787">
        <v>1</v>
      </c>
      <c r="I5999" s="788">
        <v>42165</v>
      </c>
      <c r="J5999" s="788">
        <v>42158</v>
      </c>
      <c r="L5999" s="787">
        <v>1.8</v>
      </c>
      <c r="M5999" s="787">
        <v>10</v>
      </c>
      <c r="N5999" s="787">
        <v>1.68</v>
      </c>
      <c r="O5999" s="788">
        <v>42039</v>
      </c>
    </row>
    <row r="6000" spans="1:15" x14ac:dyDescent="0.25">
      <c r="A6000" s="786" t="s">
        <v>10683</v>
      </c>
      <c r="B6000" s="787">
        <v>4</v>
      </c>
      <c r="C6000" s="787" t="s">
        <v>10684</v>
      </c>
      <c r="D6000" s="787">
        <v>1.64</v>
      </c>
      <c r="E6000" s="787">
        <v>1.75</v>
      </c>
      <c r="F6000" s="788">
        <v>39101</v>
      </c>
      <c r="G6000" s="788">
        <v>42142</v>
      </c>
      <c r="H6000" s="787">
        <v>1</v>
      </c>
      <c r="I6000" s="788">
        <v>42123</v>
      </c>
      <c r="J6000" s="788">
        <v>42101</v>
      </c>
      <c r="K6000" s="788">
        <v>41701</v>
      </c>
      <c r="L6000" s="787">
        <v>1.75</v>
      </c>
      <c r="M6000" s="787">
        <v>20</v>
      </c>
      <c r="N6000" s="787">
        <v>1.88</v>
      </c>
      <c r="O6000" s="788">
        <v>42162</v>
      </c>
    </row>
    <row r="6001" spans="1:15" x14ac:dyDescent="0.25">
      <c r="A6001" s="786" t="s">
        <v>10685</v>
      </c>
      <c r="B6001" s="787">
        <v>4</v>
      </c>
      <c r="C6001" s="787" t="s">
        <v>10686</v>
      </c>
      <c r="D6001" s="787">
        <v>7.93</v>
      </c>
      <c r="E6001" s="787">
        <v>10.8</v>
      </c>
      <c r="F6001" s="788">
        <v>38606</v>
      </c>
      <c r="G6001" s="788">
        <v>42137</v>
      </c>
      <c r="H6001" s="787">
        <v>1</v>
      </c>
      <c r="I6001" s="788">
        <v>42123</v>
      </c>
      <c r="J6001" s="788">
        <v>42108</v>
      </c>
      <c r="L6001" s="787">
        <v>8.61</v>
      </c>
      <c r="M6001" s="787">
        <v>10</v>
      </c>
      <c r="N6001" s="787">
        <v>12.3</v>
      </c>
      <c r="O6001" s="788">
        <v>42162</v>
      </c>
    </row>
    <row r="6002" spans="1:15" x14ac:dyDescent="0.25">
      <c r="A6002" s="786" t="s">
        <v>10687</v>
      </c>
      <c r="B6002" s="787">
        <v>4</v>
      </c>
      <c r="C6002" s="787" t="s">
        <v>10688</v>
      </c>
      <c r="D6002" s="787">
        <v>0.49</v>
      </c>
      <c r="E6002" s="787">
        <v>1.29</v>
      </c>
      <c r="F6002" s="788">
        <v>40948</v>
      </c>
      <c r="G6002" s="788">
        <v>41815</v>
      </c>
      <c r="H6002" s="787">
        <v>1</v>
      </c>
      <c r="I6002" s="788">
        <v>41767</v>
      </c>
      <c r="J6002" s="788">
        <v>41815</v>
      </c>
      <c r="K6002" s="788">
        <v>41527</v>
      </c>
      <c r="L6002" s="787">
        <v>0.72</v>
      </c>
      <c r="M6002" s="787">
        <v>10</v>
      </c>
      <c r="N6002" s="787">
        <v>8.99</v>
      </c>
      <c r="O6002" s="788">
        <v>42164</v>
      </c>
    </row>
    <row r="6003" spans="1:15" x14ac:dyDescent="0.25">
      <c r="A6003" s="786" t="s">
        <v>10689</v>
      </c>
      <c r="B6003" s="787">
        <v>4</v>
      </c>
      <c r="C6003" s="787" t="s">
        <v>10690</v>
      </c>
      <c r="D6003" s="787">
        <v>0.6</v>
      </c>
      <c r="E6003" s="787">
        <v>0.6</v>
      </c>
      <c r="F6003" s="788">
        <v>41579</v>
      </c>
      <c r="G6003" s="788">
        <v>41824</v>
      </c>
      <c r="H6003" s="787">
        <v>1</v>
      </c>
      <c r="I6003" s="788">
        <v>41974</v>
      </c>
      <c r="J6003" s="788">
        <v>41824</v>
      </c>
      <c r="K6003" s="788">
        <v>41527</v>
      </c>
      <c r="L6003" s="787">
        <v>0.99</v>
      </c>
      <c r="M6003" s="787">
        <v>10</v>
      </c>
      <c r="N6003" s="787">
        <v>1.98</v>
      </c>
      <c r="O6003" s="788">
        <v>42164</v>
      </c>
    </row>
    <row r="6004" spans="1:15" x14ac:dyDescent="0.25">
      <c r="A6004" s="786" t="s">
        <v>10691</v>
      </c>
      <c r="B6004" s="787">
        <v>4</v>
      </c>
      <c r="C6004" s="787" t="s">
        <v>10692</v>
      </c>
      <c r="D6004" s="787">
        <v>4.58</v>
      </c>
      <c r="E6004" s="787">
        <v>25.86</v>
      </c>
      <c r="F6004" s="788">
        <v>39975</v>
      </c>
      <c r="G6004" s="788">
        <v>42115</v>
      </c>
      <c r="H6004" s="787">
        <v>1</v>
      </c>
      <c r="I6004" s="788">
        <v>42123</v>
      </c>
      <c r="J6004" s="788">
        <v>42066</v>
      </c>
      <c r="K6004" s="788">
        <v>41653</v>
      </c>
      <c r="L6004" s="787">
        <v>21</v>
      </c>
      <c r="M6004" s="787">
        <v>10</v>
      </c>
      <c r="N6004" s="787">
        <v>27.39</v>
      </c>
      <c r="O6004" s="788">
        <v>42162</v>
      </c>
    </row>
    <row r="6005" spans="1:15" x14ac:dyDescent="0.25">
      <c r="A6005" s="786" t="s">
        <v>10693</v>
      </c>
      <c r="B6005" s="787">
        <v>4</v>
      </c>
      <c r="C6005" s="787" t="s">
        <v>10694</v>
      </c>
      <c r="D6005" s="787">
        <v>0.26</v>
      </c>
      <c r="E6005" s="787">
        <v>1.22</v>
      </c>
      <c r="F6005" s="788">
        <v>39975</v>
      </c>
      <c r="G6005" s="788">
        <v>42095</v>
      </c>
      <c r="H6005" s="787">
        <v>1</v>
      </c>
      <c r="I6005" s="788">
        <v>42114</v>
      </c>
      <c r="J6005" s="788">
        <v>42074</v>
      </c>
      <c r="L6005" s="787">
        <v>0.66</v>
      </c>
      <c r="M6005" s="787">
        <v>10</v>
      </c>
      <c r="N6005" s="787">
        <v>4.8899999999999997</v>
      </c>
      <c r="O6005" s="788">
        <v>42162</v>
      </c>
    </row>
    <row r="6006" spans="1:15" x14ac:dyDescent="0.25">
      <c r="A6006" s="786" t="s">
        <v>10695</v>
      </c>
      <c r="B6006" s="787">
        <v>4</v>
      </c>
      <c r="C6006" s="787" t="s">
        <v>10696</v>
      </c>
      <c r="D6006" s="787">
        <v>0.27</v>
      </c>
      <c r="E6006" s="787">
        <v>0.68</v>
      </c>
      <c r="F6006" s="788">
        <v>39975</v>
      </c>
      <c r="G6006" s="788">
        <v>42095</v>
      </c>
      <c r="H6006" s="787">
        <v>1</v>
      </c>
      <c r="I6006" s="788">
        <v>42114</v>
      </c>
      <c r="J6006" s="788">
        <v>42074</v>
      </c>
      <c r="L6006" s="787">
        <v>0.66</v>
      </c>
      <c r="M6006" s="787">
        <v>10</v>
      </c>
      <c r="N6006" s="787">
        <v>2.2999999999999998</v>
      </c>
      <c r="O6006" s="788">
        <v>42162</v>
      </c>
    </row>
    <row r="6007" spans="1:15" x14ac:dyDescent="0.25">
      <c r="A6007" s="786" t="s">
        <v>10697</v>
      </c>
      <c r="B6007" s="787">
        <v>4</v>
      </c>
      <c r="C6007" s="787" t="s">
        <v>10698</v>
      </c>
      <c r="D6007" s="787">
        <v>0.32</v>
      </c>
      <c r="E6007" s="787">
        <v>8.4600000000000009</v>
      </c>
      <c r="F6007" s="788">
        <v>39975</v>
      </c>
      <c r="G6007" s="788">
        <v>42142</v>
      </c>
      <c r="H6007" s="787">
        <v>1</v>
      </c>
      <c r="I6007" s="788">
        <v>42109</v>
      </c>
      <c r="J6007" s="788">
        <v>42109</v>
      </c>
      <c r="L6007" s="787">
        <v>0.73</v>
      </c>
      <c r="M6007" s="787">
        <v>10</v>
      </c>
      <c r="N6007" s="787">
        <v>1.46</v>
      </c>
      <c r="O6007" s="788">
        <v>42162</v>
      </c>
    </row>
    <row r="6008" spans="1:15" x14ac:dyDescent="0.25">
      <c r="A6008" s="786" t="s">
        <v>10699</v>
      </c>
      <c r="B6008" s="787">
        <v>4</v>
      </c>
      <c r="C6008" s="787" t="s">
        <v>10700</v>
      </c>
      <c r="D6008" s="787">
        <v>0.08</v>
      </c>
      <c r="E6008" s="787">
        <v>0.52</v>
      </c>
      <c r="F6008" s="788">
        <v>39101</v>
      </c>
      <c r="G6008" s="788">
        <v>42030</v>
      </c>
      <c r="H6008" s="787">
        <v>1</v>
      </c>
      <c r="I6008" s="788">
        <v>42123</v>
      </c>
      <c r="J6008" s="788">
        <v>41990</v>
      </c>
      <c r="K6008" s="788">
        <v>41443</v>
      </c>
      <c r="L6008" s="787">
        <v>1</v>
      </c>
      <c r="M6008" s="787">
        <v>10</v>
      </c>
      <c r="N6008" s="787">
        <v>0.61</v>
      </c>
      <c r="O6008" s="788">
        <v>42162</v>
      </c>
    </row>
    <row r="6009" spans="1:15" x14ac:dyDescent="0.25">
      <c r="A6009" s="786" t="s">
        <v>10701</v>
      </c>
      <c r="B6009" s="787">
        <v>4</v>
      </c>
      <c r="C6009" s="787" t="s">
        <v>10702</v>
      </c>
      <c r="D6009" s="787">
        <v>0.08</v>
      </c>
      <c r="E6009" s="787">
        <v>0.36</v>
      </c>
      <c r="F6009" s="788">
        <v>39101</v>
      </c>
      <c r="G6009" s="788">
        <v>42030</v>
      </c>
      <c r="H6009" s="787">
        <v>1</v>
      </c>
      <c r="I6009" s="788">
        <v>42123</v>
      </c>
      <c r="J6009" s="788">
        <v>41990</v>
      </c>
      <c r="K6009" s="788">
        <v>41443</v>
      </c>
      <c r="L6009" s="787">
        <v>1</v>
      </c>
      <c r="M6009" s="787">
        <v>10</v>
      </c>
      <c r="N6009" s="787">
        <v>0.61</v>
      </c>
      <c r="O6009" s="788">
        <v>42162</v>
      </c>
    </row>
    <row r="6010" spans="1:15" x14ac:dyDescent="0.25">
      <c r="A6010" s="786" t="s">
        <v>10703</v>
      </c>
      <c r="B6010" s="787">
        <v>4</v>
      </c>
      <c r="C6010" s="787" t="s">
        <v>10704</v>
      </c>
      <c r="D6010" s="787">
        <v>4.18</v>
      </c>
      <c r="E6010" s="787">
        <v>16.170000000000002</v>
      </c>
      <c r="F6010" s="788">
        <v>39975</v>
      </c>
      <c r="G6010" s="788">
        <v>42142</v>
      </c>
      <c r="H6010" s="787">
        <v>1</v>
      </c>
      <c r="I6010" s="788">
        <v>42123</v>
      </c>
      <c r="J6010" s="788">
        <v>42109</v>
      </c>
      <c r="K6010" s="788">
        <v>42046</v>
      </c>
      <c r="L6010" s="787">
        <v>14.16</v>
      </c>
      <c r="M6010" s="787">
        <v>10</v>
      </c>
      <c r="N6010" s="787">
        <v>14.36</v>
      </c>
      <c r="O6010" s="788">
        <v>42162</v>
      </c>
    </row>
    <row r="6011" spans="1:15" x14ac:dyDescent="0.25">
      <c r="A6011" s="786" t="s">
        <v>10705</v>
      </c>
      <c r="B6011" s="787">
        <v>4</v>
      </c>
      <c r="C6011" s="787" t="s">
        <v>10706</v>
      </c>
      <c r="D6011" s="787">
        <v>0.01</v>
      </c>
      <c r="E6011" s="787">
        <v>0.01</v>
      </c>
      <c r="F6011" s="788">
        <v>39975</v>
      </c>
      <c r="G6011" s="788">
        <v>40178</v>
      </c>
      <c r="H6011" s="787">
        <v>1</v>
      </c>
      <c r="I6011" s="788">
        <v>39372</v>
      </c>
      <c r="J6011" s="788">
        <v>39261</v>
      </c>
      <c r="L6011" s="787">
        <v>0.1</v>
      </c>
      <c r="M6011" s="787">
        <v>10</v>
      </c>
      <c r="N6011" s="787">
        <v>0.16</v>
      </c>
      <c r="O6011" s="788">
        <v>41858</v>
      </c>
    </row>
    <row r="6012" spans="1:15" x14ac:dyDescent="0.25">
      <c r="A6012" s="786" t="s">
        <v>10707</v>
      </c>
      <c r="B6012" s="787">
        <v>4</v>
      </c>
      <c r="C6012" s="787" t="s">
        <v>10708</v>
      </c>
      <c r="D6012" s="787">
        <v>0.01</v>
      </c>
      <c r="E6012" s="787">
        <v>0.03</v>
      </c>
      <c r="F6012" s="788">
        <v>39456</v>
      </c>
      <c r="G6012" s="788">
        <v>40178</v>
      </c>
      <c r="H6012" s="787">
        <v>1</v>
      </c>
      <c r="I6012" s="788">
        <v>40164</v>
      </c>
      <c r="J6012" s="788">
        <v>39296</v>
      </c>
      <c r="L6012" s="787">
        <v>0.1</v>
      </c>
      <c r="M6012" s="787">
        <v>10</v>
      </c>
      <c r="N6012" s="787">
        <v>0.12</v>
      </c>
      <c r="O6012" s="788">
        <v>41858</v>
      </c>
    </row>
    <row r="6013" spans="1:15" x14ac:dyDescent="0.25">
      <c r="A6013" s="786" t="s">
        <v>10709</v>
      </c>
      <c r="B6013" s="787">
        <v>4</v>
      </c>
      <c r="C6013" s="787" t="s">
        <v>10710</v>
      </c>
      <c r="D6013" s="787">
        <v>5.78</v>
      </c>
      <c r="E6013" s="787">
        <v>7.6</v>
      </c>
      <c r="F6013" s="788">
        <v>38606</v>
      </c>
      <c r="G6013" s="788">
        <v>41943</v>
      </c>
      <c r="H6013" s="787">
        <v>1</v>
      </c>
      <c r="I6013" s="788">
        <v>41968</v>
      </c>
      <c r="J6013" s="788">
        <v>39149</v>
      </c>
      <c r="L6013" s="787">
        <v>5.87</v>
      </c>
      <c r="M6013" s="787">
        <v>10</v>
      </c>
      <c r="N6013" s="787">
        <v>6.69</v>
      </c>
      <c r="O6013" s="788">
        <v>42053</v>
      </c>
    </row>
    <row r="6014" spans="1:15" x14ac:dyDescent="0.25">
      <c r="A6014" s="786" t="s">
        <v>10711</v>
      </c>
      <c r="B6014" s="787">
        <v>4</v>
      </c>
      <c r="C6014" s="787" t="s">
        <v>10712</v>
      </c>
      <c r="D6014" s="787">
        <v>5.78</v>
      </c>
      <c r="E6014" s="787">
        <v>7.6</v>
      </c>
      <c r="F6014" s="788">
        <v>38606</v>
      </c>
      <c r="G6014" s="788">
        <v>41943</v>
      </c>
      <c r="H6014" s="787">
        <v>1</v>
      </c>
      <c r="I6014" s="788">
        <v>41968</v>
      </c>
      <c r="J6014" s="788">
        <v>39149</v>
      </c>
      <c r="L6014" s="787">
        <v>5.87</v>
      </c>
      <c r="M6014" s="787">
        <v>10</v>
      </c>
      <c r="N6014" s="787">
        <v>6.69</v>
      </c>
      <c r="O6014" s="788">
        <v>42053</v>
      </c>
    </row>
    <row r="6015" spans="1:15" x14ac:dyDescent="0.25">
      <c r="A6015" s="786" t="s">
        <v>10713</v>
      </c>
      <c r="B6015" s="787">
        <v>4</v>
      </c>
      <c r="C6015" s="787" t="s">
        <v>10467</v>
      </c>
      <c r="D6015" s="787">
        <v>0</v>
      </c>
      <c r="E6015" s="787">
        <v>0</v>
      </c>
      <c r="H6015" s="787">
        <v>1</v>
      </c>
      <c r="I6015" s="788">
        <v>41033</v>
      </c>
      <c r="J6015" s="788">
        <v>38736</v>
      </c>
      <c r="L6015" s="787">
        <v>0</v>
      </c>
      <c r="M6015" s="787">
        <v>10</v>
      </c>
      <c r="N6015" s="787">
        <v>13.03</v>
      </c>
      <c r="O6015" s="788">
        <v>42125</v>
      </c>
    </row>
    <row r="6016" spans="1:15" x14ac:dyDescent="0.25">
      <c r="A6016" s="786" t="s">
        <v>10714</v>
      </c>
      <c r="B6016" s="787">
        <v>4</v>
      </c>
      <c r="C6016" s="787" t="s">
        <v>10505</v>
      </c>
      <c r="D6016" s="787">
        <v>0</v>
      </c>
      <c r="E6016" s="787">
        <v>0</v>
      </c>
      <c r="H6016" s="787">
        <v>1</v>
      </c>
      <c r="I6016" s="788">
        <v>41033</v>
      </c>
      <c r="J6016" s="788">
        <v>38736</v>
      </c>
      <c r="L6016" s="787">
        <v>0</v>
      </c>
      <c r="M6016" s="787">
        <v>10</v>
      </c>
      <c r="N6016" s="787">
        <v>14.23</v>
      </c>
      <c r="O6016" s="788">
        <v>42125</v>
      </c>
    </row>
    <row r="6017" spans="1:15" x14ac:dyDescent="0.25">
      <c r="A6017" s="786" t="s">
        <v>10715</v>
      </c>
      <c r="B6017" s="787">
        <v>4</v>
      </c>
      <c r="C6017" s="787" t="s">
        <v>10679</v>
      </c>
      <c r="D6017" s="787">
        <v>5.2</v>
      </c>
      <c r="E6017" s="787">
        <v>7.66</v>
      </c>
      <c r="F6017" s="788">
        <v>38640</v>
      </c>
      <c r="G6017" s="788">
        <v>41806</v>
      </c>
      <c r="H6017" s="787">
        <v>1</v>
      </c>
      <c r="I6017" s="788">
        <v>42025</v>
      </c>
      <c r="J6017" s="788">
        <v>42025</v>
      </c>
      <c r="K6017" s="788">
        <v>42025</v>
      </c>
      <c r="L6017" s="787">
        <v>7.52</v>
      </c>
      <c r="M6017" s="787">
        <v>10</v>
      </c>
      <c r="N6017" s="787">
        <v>7.52</v>
      </c>
      <c r="O6017" s="788">
        <v>42025</v>
      </c>
    </row>
    <row r="6018" spans="1:15" x14ac:dyDescent="0.25">
      <c r="A6018" s="786" t="s">
        <v>10716</v>
      </c>
      <c r="B6018" s="787">
        <v>4</v>
      </c>
      <c r="C6018" s="787" t="s">
        <v>10479</v>
      </c>
      <c r="D6018" s="787">
        <v>5.22</v>
      </c>
      <c r="E6018" s="787">
        <v>5.22</v>
      </c>
      <c r="F6018" s="788">
        <v>38640</v>
      </c>
      <c r="G6018" s="788">
        <v>38736</v>
      </c>
      <c r="H6018" s="787">
        <v>1</v>
      </c>
      <c r="I6018" s="788">
        <v>42025</v>
      </c>
      <c r="J6018" s="788">
        <v>42025</v>
      </c>
      <c r="K6018" s="788">
        <v>42025</v>
      </c>
      <c r="L6018" s="787">
        <v>5.07</v>
      </c>
      <c r="M6018" s="787">
        <v>10</v>
      </c>
      <c r="N6018" s="787">
        <v>5.07</v>
      </c>
      <c r="O6018" s="788">
        <v>42125</v>
      </c>
    </row>
    <row r="6019" spans="1:15" x14ac:dyDescent="0.25">
      <c r="A6019" s="786" t="s">
        <v>10717</v>
      </c>
      <c r="B6019" s="787">
        <v>4</v>
      </c>
      <c r="C6019" s="787" t="s">
        <v>10473</v>
      </c>
      <c r="D6019" s="787">
        <v>5.2</v>
      </c>
      <c r="E6019" s="787">
        <v>8.1300000000000008</v>
      </c>
      <c r="F6019" s="788">
        <v>38640</v>
      </c>
      <c r="G6019" s="788">
        <v>41775</v>
      </c>
      <c r="H6019" s="787">
        <v>1</v>
      </c>
      <c r="I6019" s="788">
        <v>41711</v>
      </c>
      <c r="J6019" s="788">
        <v>41593</v>
      </c>
      <c r="K6019" s="788">
        <v>41562</v>
      </c>
      <c r="L6019" s="787">
        <v>6.5</v>
      </c>
      <c r="M6019" s="787">
        <v>10</v>
      </c>
      <c r="N6019" s="787">
        <v>19.920000000000002</v>
      </c>
      <c r="O6019" s="788">
        <v>42125</v>
      </c>
    </row>
    <row r="6020" spans="1:15" x14ac:dyDescent="0.25">
      <c r="A6020" s="786" t="s">
        <v>10718</v>
      </c>
      <c r="B6020" s="787">
        <v>4</v>
      </c>
      <c r="C6020" s="787" t="s">
        <v>10677</v>
      </c>
      <c r="D6020" s="787">
        <v>5.22</v>
      </c>
      <c r="E6020" s="787">
        <v>12.76</v>
      </c>
      <c r="F6020" s="788">
        <v>38640</v>
      </c>
      <c r="G6020" s="788">
        <v>41775</v>
      </c>
      <c r="H6020" s="787">
        <v>1</v>
      </c>
      <c r="I6020" s="788">
        <v>41711</v>
      </c>
      <c r="J6020" s="788">
        <v>41712</v>
      </c>
      <c r="K6020" s="788">
        <v>41562</v>
      </c>
      <c r="L6020" s="787">
        <v>5.5</v>
      </c>
      <c r="M6020" s="787">
        <v>10</v>
      </c>
      <c r="N6020" s="787">
        <v>19.690000000000001</v>
      </c>
      <c r="O6020" s="788">
        <v>41858</v>
      </c>
    </row>
    <row r="6021" spans="1:15" x14ac:dyDescent="0.25">
      <c r="A6021" s="786" t="s">
        <v>10719</v>
      </c>
      <c r="B6021" s="787">
        <v>4</v>
      </c>
      <c r="C6021" s="787" t="s">
        <v>10469</v>
      </c>
      <c r="D6021" s="787">
        <v>3.41</v>
      </c>
      <c r="E6021" s="787">
        <v>6.23</v>
      </c>
      <c r="F6021" s="788">
        <v>38640</v>
      </c>
      <c r="G6021" s="788">
        <v>41775</v>
      </c>
      <c r="H6021" s="787">
        <v>1</v>
      </c>
      <c r="I6021" s="788">
        <v>41722</v>
      </c>
      <c r="J6021" s="788">
        <v>41592</v>
      </c>
      <c r="K6021" s="788">
        <v>41562</v>
      </c>
      <c r="L6021" s="787">
        <v>7</v>
      </c>
      <c r="M6021" s="787">
        <v>10</v>
      </c>
      <c r="N6021" s="787">
        <v>13.49</v>
      </c>
      <c r="O6021" s="788">
        <v>42125</v>
      </c>
    </row>
    <row r="6022" spans="1:15" x14ac:dyDescent="0.25">
      <c r="A6022" s="786" t="s">
        <v>10720</v>
      </c>
      <c r="B6022" s="787">
        <v>4</v>
      </c>
      <c r="C6022" s="787" t="s">
        <v>10471</v>
      </c>
      <c r="D6022" s="787">
        <v>3.08</v>
      </c>
      <c r="E6022" s="787">
        <v>5.71</v>
      </c>
      <c r="F6022" s="788">
        <v>38640</v>
      </c>
      <c r="G6022" s="788">
        <v>41775</v>
      </c>
      <c r="H6022" s="787">
        <v>1</v>
      </c>
      <c r="I6022" s="788">
        <v>41711</v>
      </c>
      <c r="J6022" s="788">
        <v>41712</v>
      </c>
      <c r="K6022" s="788">
        <v>41562</v>
      </c>
      <c r="L6022" s="787">
        <v>6</v>
      </c>
      <c r="M6022" s="787">
        <v>10</v>
      </c>
      <c r="N6022" s="787">
        <v>7.78</v>
      </c>
      <c r="O6022" s="788">
        <v>42125</v>
      </c>
    </row>
    <row r="6023" spans="1:15" x14ac:dyDescent="0.25">
      <c r="A6023" s="786" t="s">
        <v>10721</v>
      </c>
      <c r="B6023" s="787">
        <v>4</v>
      </c>
      <c r="C6023" s="787" t="s">
        <v>10722</v>
      </c>
      <c r="D6023" s="787">
        <v>3.88</v>
      </c>
      <c r="E6023" s="787">
        <v>6.17</v>
      </c>
      <c r="F6023" s="788">
        <v>38640</v>
      </c>
      <c r="G6023" s="788">
        <v>41775</v>
      </c>
      <c r="H6023" s="787">
        <v>1</v>
      </c>
      <c r="I6023" s="788">
        <v>41711</v>
      </c>
      <c r="J6023" s="788">
        <v>41596</v>
      </c>
      <c r="K6023" s="788">
        <v>41562</v>
      </c>
      <c r="L6023" s="787">
        <v>7</v>
      </c>
      <c r="M6023" s="787">
        <v>10</v>
      </c>
      <c r="N6023" s="787">
        <v>13.28</v>
      </c>
      <c r="O6023" s="788">
        <v>42125</v>
      </c>
    </row>
    <row r="6024" spans="1:15" x14ac:dyDescent="0.25">
      <c r="A6024" s="786" t="s">
        <v>10723</v>
      </c>
      <c r="B6024" s="787">
        <v>4</v>
      </c>
      <c r="C6024" s="787" t="s">
        <v>10724</v>
      </c>
      <c r="D6024" s="787">
        <v>1.26</v>
      </c>
      <c r="E6024" s="787">
        <v>2.81</v>
      </c>
      <c r="F6024" s="788">
        <v>39101</v>
      </c>
      <c r="G6024" s="788">
        <v>42013</v>
      </c>
      <c r="H6024" s="787">
        <v>1</v>
      </c>
      <c r="I6024" s="788">
        <v>42159</v>
      </c>
      <c r="J6024" s="788">
        <v>41683</v>
      </c>
      <c r="L6024" s="787">
        <v>1.47</v>
      </c>
      <c r="M6024" s="787">
        <v>10</v>
      </c>
      <c r="N6024" s="787">
        <v>1.92</v>
      </c>
      <c r="O6024" s="788">
        <v>41858</v>
      </c>
    </row>
    <row r="6025" spans="1:15" x14ac:dyDescent="0.25">
      <c r="A6025" s="786" t="s">
        <v>10725</v>
      </c>
      <c r="B6025" s="787">
        <v>4</v>
      </c>
      <c r="C6025" s="787" t="s">
        <v>10726</v>
      </c>
      <c r="D6025" s="787">
        <v>0</v>
      </c>
      <c r="E6025" s="787">
        <v>0</v>
      </c>
      <c r="H6025" s="787">
        <v>1</v>
      </c>
      <c r="L6025" s="787">
        <v>0</v>
      </c>
      <c r="M6025" s="787">
        <v>10</v>
      </c>
      <c r="N6025" s="787">
        <v>122.34</v>
      </c>
      <c r="O6025" s="788">
        <v>41858</v>
      </c>
    </row>
    <row r="6026" spans="1:15" x14ac:dyDescent="0.25">
      <c r="A6026" s="786" t="s">
        <v>10727</v>
      </c>
      <c r="B6026" s="787">
        <v>4</v>
      </c>
      <c r="C6026" s="787" t="s">
        <v>10728</v>
      </c>
      <c r="D6026" s="787">
        <v>0</v>
      </c>
      <c r="E6026" s="787">
        <v>0</v>
      </c>
      <c r="H6026" s="787">
        <v>1</v>
      </c>
      <c r="L6026" s="787">
        <v>0</v>
      </c>
      <c r="M6026" s="787">
        <v>10</v>
      </c>
      <c r="N6026" s="787">
        <v>124.36</v>
      </c>
      <c r="O6026" s="788">
        <v>41858</v>
      </c>
    </row>
    <row r="6027" spans="1:15" x14ac:dyDescent="0.25">
      <c r="A6027" s="786" t="s">
        <v>10729</v>
      </c>
      <c r="B6027" s="787">
        <v>4</v>
      </c>
      <c r="C6027" s="787" t="s">
        <v>10730</v>
      </c>
      <c r="D6027" s="787">
        <v>0.62</v>
      </c>
      <c r="E6027" s="787">
        <v>0.62</v>
      </c>
      <c r="F6027" s="788">
        <v>39101</v>
      </c>
      <c r="G6027" s="788">
        <v>41565</v>
      </c>
      <c r="H6027" s="787">
        <v>1</v>
      </c>
      <c r="I6027" s="788">
        <v>40242</v>
      </c>
      <c r="J6027" s="788">
        <v>40045</v>
      </c>
      <c r="L6027" s="787">
        <v>0.81</v>
      </c>
      <c r="M6027" s="787">
        <v>10</v>
      </c>
      <c r="N6027" s="787">
        <v>21.28</v>
      </c>
      <c r="O6027" s="788">
        <v>42027</v>
      </c>
    </row>
    <row r="6028" spans="1:15" x14ac:dyDescent="0.25">
      <c r="A6028" s="786" t="s">
        <v>10731</v>
      </c>
      <c r="B6028" s="787">
        <v>4</v>
      </c>
      <c r="C6028" s="787" t="s">
        <v>10722</v>
      </c>
      <c r="D6028" s="787">
        <v>1.4</v>
      </c>
      <c r="E6028" s="787">
        <v>5.01</v>
      </c>
      <c r="F6028" s="788">
        <v>39456</v>
      </c>
      <c r="G6028" s="788">
        <v>42129</v>
      </c>
      <c r="H6028" s="787">
        <v>1</v>
      </c>
      <c r="I6028" s="788">
        <v>42103</v>
      </c>
      <c r="J6028" s="788">
        <v>42095</v>
      </c>
      <c r="K6028" s="788">
        <v>41744</v>
      </c>
      <c r="L6028" s="787">
        <v>5</v>
      </c>
      <c r="M6028" s="787">
        <v>10</v>
      </c>
      <c r="N6028" s="787">
        <v>15.9</v>
      </c>
      <c r="O6028" s="788">
        <v>42125</v>
      </c>
    </row>
    <row r="6029" spans="1:15" x14ac:dyDescent="0.25">
      <c r="A6029" s="786" t="s">
        <v>10732</v>
      </c>
      <c r="B6029" s="787">
        <v>4</v>
      </c>
      <c r="C6029" s="787" t="s">
        <v>10733</v>
      </c>
      <c r="D6029" s="787">
        <v>2.0699999999999998</v>
      </c>
      <c r="E6029" s="787">
        <v>6.1</v>
      </c>
      <c r="F6029" s="788">
        <v>39456</v>
      </c>
      <c r="G6029" s="788">
        <v>42013</v>
      </c>
      <c r="H6029" s="787">
        <v>1</v>
      </c>
      <c r="I6029" s="788">
        <v>41989</v>
      </c>
      <c r="J6029" s="788">
        <v>41619</v>
      </c>
      <c r="L6029" s="787">
        <v>5.13</v>
      </c>
      <c r="M6029" s="787">
        <v>10</v>
      </c>
      <c r="N6029" s="787">
        <v>8.91</v>
      </c>
      <c r="O6029" s="788">
        <v>42162</v>
      </c>
    </row>
    <row r="6030" spans="1:15" x14ac:dyDescent="0.25">
      <c r="A6030" s="786" t="s">
        <v>10734</v>
      </c>
      <c r="B6030" s="787">
        <v>4</v>
      </c>
      <c r="C6030" s="787" t="s">
        <v>10735</v>
      </c>
      <c r="D6030" s="787">
        <v>1.47</v>
      </c>
      <c r="E6030" s="787">
        <v>5.94</v>
      </c>
      <c r="F6030" s="788">
        <v>39456</v>
      </c>
      <c r="G6030" s="788">
        <v>42013</v>
      </c>
      <c r="H6030" s="787">
        <v>1</v>
      </c>
      <c r="I6030" s="788">
        <v>41995</v>
      </c>
      <c r="J6030" s="788">
        <v>41736</v>
      </c>
      <c r="L6030" s="787">
        <v>8.17</v>
      </c>
      <c r="M6030" s="787">
        <v>10</v>
      </c>
      <c r="N6030" s="787">
        <v>3.83</v>
      </c>
      <c r="O6030" s="788">
        <v>42162</v>
      </c>
    </row>
    <row r="6031" spans="1:15" x14ac:dyDescent="0.25">
      <c r="A6031" s="786" t="s">
        <v>10736</v>
      </c>
      <c r="B6031" s="787">
        <v>4</v>
      </c>
      <c r="C6031" s="787" t="s">
        <v>10737</v>
      </c>
      <c r="D6031" s="787">
        <v>0</v>
      </c>
      <c r="E6031" s="787">
        <v>0</v>
      </c>
      <c r="H6031" s="787">
        <v>1</v>
      </c>
      <c r="I6031" s="788">
        <v>40518</v>
      </c>
      <c r="J6031" s="788">
        <v>39101</v>
      </c>
      <c r="K6031" s="788">
        <v>41423</v>
      </c>
      <c r="L6031" s="787">
        <v>0.01</v>
      </c>
      <c r="M6031" s="787">
        <v>10</v>
      </c>
      <c r="N6031" s="787">
        <v>26.71</v>
      </c>
      <c r="O6031" s="788">
        <v>42162</v>
      </c>
    </row>
    <row r="6032" spans="1:15" x14ac:dyDescent="0.25">
      <c r="A6032" s="786" t="s">
        <v>10738</v>
      </c>
      <c r="B6032" s="787">
        <v>4</v>
      </c>
      <c r="C6032" s="787" t="s">
        <v>10739</v>
      </c>
      <c r="D6032" s="787">
        <v>0.37</v>
      </c>
      <c r="E6032" s="787">
        <v>3.4</v>
      </c>
      <c r="F6032" s="788">
        <v>40792</v>
      </c>
      <c r="G6032" s="788">
        <v>42089</v>
      </c>
      <c r="H6032" s="787">
        <v>1</v>
      </c>
      <c r="I6032" s="788">
        <v>42165</v>
      </c>
      <c r="J6032" s="788">
        <v>42062</v>
      </c>
      <c r="L6032" s="787">
        <v>1.74</v>
      </c>
      <c r="M6032" s="787">
        <v>10</v>
      </c>
      <c r="N6032" s="787">
        <v>2.36</v>
      </c>
      <c r="O6032" s="788">
        <v>42162</v>
      </c>
    </row>
    <row r="6033" spans="1:15" x14ac:dyDescent="0.25">
      <c r="A6033" s="786" t="s">
        <v>10740</v>
      </c>
      <c r="B6033" s="787">
        <v>4</v>
      </c>
      <c r="C6033" s="787" t="s">
        <v>10741</v>
      </c>
      <c r="D6033" s="787">
        <v>0</v>
      </c>
      <c r="E6033" s="787">
        <v>0</v>
      </c>
      <c r="H6033" s="787">
        <v>1</v>
      </c>
      <c r="L6033" s="787">
        <v>0</v>
      </c>
      <c r="M6033" s="787">
        <v>10</v>
      </c>
      <c r="N6033" s="787">
        <v>131.75</v>
      </c>
      <c r="O6033" s="788">
        <v>41869</v>
      </c>
    </row>
    <row r="6034" spans="1:15" x14ac:dyDescent="0.25">
      <c r="A6034" s="786" t="s">
        <v>10742</v>
      </c>
      <c r="B6034" s="787">
        <v>4</v>
      </c>
      <c r="C6034" s="787" t="s">
        <v>10743</v>
      </c>
      <c r="D6034" s="787">
        <v>0</v>
      </c>
      <c r="E6034" s="787">
        <v>0</v>
      </c>
      <c r="H6034" s="787">
        <v>1</v>
      </c>
      <c r="L6034" s="787">
        <v>0</v>
      </c>
      <c r="M6034" s="787">
        <v>10</v>
      </c>
      <c r="N6034" s="787">
        <v>131.75</v>
      </c>
      <c r="O6034" s="788">
        <v>41869</v>
      </c>
    </row>
    <row r="6035" spans="1:15" x14ac:dyDescent="0.25">
      <c r="A6035" s="786" t="s">
        <v>10744</v>
      </c>
      <c r="B6035" s="787">
        <v>4</v>
      </c>
      <c r="C6035" s="787" t="s">
        <v>10745</v>
      </c>
      <c r="D6035" s="787">
        <v>0</v>
      </c>
      <c r="E6035" s="787">
        <v>0</v>
      </c>
      <c r="H6035" s="787">
        <v>1</v>
      </c>
      <c r="I6035" s="788">
        <v>39318</v>
      </c>
      <c r="J6035" s="788">
        <v>38736</v>
      </c>
      <c r="L6035" s="787">
        <v>0</v>
      </c>
      <c r="M6035" s="787">
        <v>10</v>
      </c>
      <c r="N6035" s="787">
        <v>30.32</v>
      </c>
      <c r="O6035" s="788">
        <v>41869</v>
      </c>
    </row>
    <row r="6036" spans="1:15" x14ac:dyDescent="0.25">
      <c r="A6036" s="786" t="s">
        <v>10746</v>
      </c>
      <c r="B6036" s="787">
        <v>4</v>
      </c>
      <c r="C6036" s="787" t="s">
        <v>10747</v>
      </c>
      <c r="D6036" s="787">
        <v>0</v>
      </c>
      <c r="E6036" s="787">
        <v>0</v>
      </c>
      <c r="H6036" s="787">
        <v>1</v>
      </c>
      <c r="I6036" s="788">
        <v>39318</v>
      </c>
      <c r="J6036" s="788">
        <v>38736</v>
      </c>
      <c r="L6036" s="787">
        <v>0</v>
      </c>
      <c r="M6036" s="787">
        <v>10</v>
      </c>
      <c r="N6036" s="787">
        <v>30.32</v>
      </c>
      <c r="O6036" s="788">
        <v>41869</v>
      </c>
    </row>
    <row r="6037" spans="1:15" x14ac:dyDescent="0.25">
      <c r="A6037" s="786" t="s">
        <v>10748</v>
      </c>
      <c r="B6037" s="787">
        <v>4</v>
      </c>
      <c r="C6037" s="787" t="s">
        <v>10749</v>
      </c>
      <c r="D6037" s="787">
        <v>0</v>
      </c>
      <c r="E6037" s="787">
        <v>0</v>
      </c>
      <c r="H6037" s="787">
        <v>1</v>
      </c>
      <c r="I6037" s="788">
        <v>39318</v>
      </c>
      <c r="J6037" s="788">
        <v>38736</v>
      </c>
      <c r="L6037" s="787">
        <v>0</v>
      </c>
      <c r="M6037" s="787">
        <v>10</v>
      </c>
      <c r="N6037" s="787">
        <v>29.93</v>
      </c>
      <c r="O6037" s="788">
        <v>41869</v>
      </c>
    </row>
    <row r="6038" spans="1:15" x14ac:dyDescent="0.25">
      <c r="A6038" s="786" t="s">
        <v>10750</v>
      </c>
      <c r="B6038" s="787">
        <v>4</v>
      </c>
      <c r="C6038" s="787" t="s">
        <v>10751</v>
      </c>
      <c r="D6038" s="787">
        <v>0</v>
      </c>
      <c r="E6038" s="787">
        <v>0</v>
      </c>
      <c r="H6038" s="787">
        <v>1</v>
      </c>
      <c r="I6038" s="788">
        <v>39318</v>
      </c>
      <c r="J6038" s="788">
        <v>38736</v>
      </c>
      <c r="L6038" s="787">
        <v>0</v>
      </c>
      <c r="M6038" s="787">
        <v>10</v>
      </c>
      <c r="N6038" s="787">
        <v>29.93</v>
      </c>
      <c r="O6038" s="788">
        <v>41869</v>
      </c>
    </row>
    <row r="6039" spans="1:15" x14ac:dyDescent="0.25">
      <c r="A6039" s="786" t="s">
        <v>10752</v>
      </c>
      <c r="B6039" s="787">
        <v>4</v>
      </c>
      <c r="C6039" s="787" t="s">
        <v>10753</v>
      </c>
      <c r="D6039" s="787">
        <v>0</v>
      </c>
      <c r="E6039" s="787">
        <v>0</v>
      </c>
      <c r="H6039" s="787">
        <v>1</v>
      </c>
      <c r="I6039" s="788">
        <v>40434</v>
      </c>
      <c r="J6039" s="788">
        <v>38736</v>
      </c>
      <c r="L6039" s="787">
        <v>0</v>
      </c>
      <c r="M6039" s="787">
        <v>10</v>
      </c>
      <c r="N6039" s="787">
        <v>22.97</v>
      </c>
      <c r="O6039" s="788">
        <v>42162</v>
      </c>
    </row>
    <row r="6040" spans="1:15" x14ac:dyDescent="0.25">
      <c r="A6040" s="786" t="s">
        <v>10754</v>
      </c>
      <c r="B6040" s="787">
        <v>4</v>
      </c>
      <c r="C6040" s="787" t="s">
        <v>10755</v>
      </c>
      <c r="D6040" s="787">
        <v>0</v>
      </c>
      <c r="E6040" s="787">
        <v>0</v>
      </c>
      <c r="H6040" s="787">
        <v>1</v>
      </c>
      <c r="I6040" s="788">
        <v>40434</v>
      </c>
      <c r="J6040" s="788">
        <v>38736</v>
      </c>
      <c r="L6040" s="787">
        <v>0</v>
      </c>
      <c r="M6040" s="787">
        <v>10</v>
      </c>
      <c r="N6040" s="787">
        <v>22.97</v>
      </c>
      <c r="O6040" s="788">
        <v>42162</v>
      </c>
    </row>
    <row r="6041" spans="1:15" x14ac:dyDescent="0.25">
      <c r="A6041" s="786" t="s">
        <v>10756</v>
      </c>
      <c r="B6041" s="787">
        <v>4</v>
      </c>
      <c r="C6041" s="787" t="s">
        <v>10757</v>
      </c>
      <c r="D6041" s="787">
        <v>0</v>
      </c>
      <c r="E6041" s="787">
        <v>0</v>
      </c>
      <c r="H6041" s="787">
        <v>1</v>
      </c>
      <c r="I6041" s="788">
        <v>39318</v>
      </c>
      <c r="J6041" s="788">
        <v>38736</v>
      </c>
      <c r="L6041" s="787">
        <v>0</v>
      </c>
      <c r="M6041" s="787">
        <v>10</v>
      </c>
      <c r="N6041" s="787">
        <v>23.41</v>
      </c>
      <c r="O6041" s="788">
        <v>41869</v>
      </c>
    </row>
    <row r="6042" spans="1:15" x14ac:dyDescent="0.25">
      <c r="A6042" s="786" t="s">
        <v>10758</v>
      </c>
      <c r="B6042" s="787">
        <v>4</v>
      </c>
      <c r="C6042" s="787" t="s">
        <v>10759</v>
      </c>
      <c r="D6042" s="787">
        <v>0</v>
      </c>
      <c r="E6042" s="787">
        <v>0</v>
      </c>
      <c r="H6042" s="787">
        <v>1</v>
      </c>
      <c r="I6042" s="788">
        <v>39318</v>
      </c>
      <c r="J6042" s="788">
        <v>38736</v>
      </c>
      <c r="L6042" s="787">
        <v>0</v>
      </c>
      <c r="M6042" s="787">
        <v>10</v>
      </c>
      <c r="N6042" s="787">
        <v>23.41</v>
      </c>
      <c r="O6042" s="788">
        <v>41869</v>
      </c>
    </row>
    <row r="6043" spans="1:15" x14ac:dyDescent="0.25">
      <c r="A6043" s="786" t="s">
        <v>10760</v>
      </c>
      <c r="B6043" s="787">
        <v>4</v>
      </c>
      <c r="C6043" s="787" t="s">
        <v>10761</v>
      </c>
      <c r="D6043" s="787">
        <v>0</v>
      </c>
      <c r="E6043" s="787">
        <v>0</v>
      </c>
      <c r="H6043" s="787">
        <v>1</v>
      </c>
      <c r="I6043" s="788">
        <v>40518</v>
      </c>
      <c r="J6043" s="788">
        <v>39101</v>
      </c>
      <c r="L6043" s="787">
        <v>0</v>
      </c>
      <c r="M6043" s="787">
        <v>10</v>
      </c>
      <c r="N6043" s="787">
        <v>2.96</v>
      </c>
      <c r="O6043" s="788">
        <v>42162</v>
      </c>
    </row>
    <row r="6044" spans="1:15" x14ac:dyDescent="0.25">
      <c r="A6044" s="786" t="s">
        <v>10762</v>
      </c>
      <c r="B6044" s="787">
        <v>4</v>
      </c>
      <c r="C6044" s="787" t="s">
        <v>10763</v>
      </c>
      <c r="D6044" s="787">
        <v>0</v>
      </c>
      <c r="E6044" s="787">
        <v>0</v>
      </c>
      <c r="H6044" s="787">
        <v>1</v>
      </c>
      <c r="I6044" s="788">
        <v>40518</v>
      </c>
      <c r="J6044" s="788">
        <v>39101</v>
      </c>
      <c r="L6044" s="787">
        <v>0</v>
      </c>
      <c r="M6044" s="787">
        <v>10</v>
      </c>
      <c r="N6044" s="787">
        <v>2.96</v>
      </c>
      <c r="O6044" s="788">
        <v>42162</v>
      </c>
    </row>
    <row r="6045" spans="1:15" x14ac:dyDescent="0.25">
      <c r="A6045" s="786" t="s">
        <v>10764</v>
      </c>
      <c r="B6045" s="787">
        <v>4</v>
      </c>
      <c r="C6045" s="787" t="s">
        <v>10765</v>
      </c>
      <c r="D6045" s="787">
        <v>1.04</v>
      </c>
      <c r="E6045" s="787">
        <v>2.17</v>
      </c>
      <c r="F6045" s="788">
        <v>39975</v>
      </c>
      <c r="G6045" s="788">
        <v>42013</v>
      </c>
      <c r="H6045" s="787">
        <v>1</v>
      </c>
      <c r="I6045" s="788">
        <v>41897</v>
      </c>
      <c r="J6045" s="788">
        <v>42079</v>
      </c>
      <c r="K6045" s="788">
        <v>41516</v>
      </c>
      <c r="L6045" s="787">
        <v>2.63</v>
      </c>
      <c r="M6045" s="787">
        <v>10</v>
      </c>
      <c r="N6045" s="787">
        <v>2.63</v>
      </c>
      <c r="O6045" s="788">
        <v>42162</v>
      </c>
    </row>
    <row r="6046" spans="1:15" x14ac:dyDescent="0.25">
      <c r="A6046" s="786" t="s">
        <v>10766</v>
      </c>
      <c r="B6046" s="787">
        <v>4</v>
      </c>
      <c r="C6046" s="787" t="s">
        <v>10767</v>
      </c>
      <c r="D6046" s="787">
        <v>0</v>
      </c>
      <c r="E6046" s="787">
        <v>0</v>
      </c>
      <c r="H6046" s="787">
        <v>1</v>
      </c>
      <c r="I6046" s="788">
        <v>40434</v>
      </c>
      <c r="J6046" s="788">
        <v>38736</v>
      </c>
      <c r="K6046" s="788">
        <v>41423</v>
      </c>
      <c r="L6046" s="787">
        <v>0.01</v>
      </c>
      <c r="M6046" s="787">
        <v>10</v>
      </c>
      <c r="N6046" s="787">
        <v>30.26</v>
      </c>
      <c r="O6046" s="788">
        <v>42162</v>
      </c>
    </row>
    <row r="6047" spans="1:15" x14ac:dyDescent="0.25">
      <c r="A6047" s="786" t="s">
        <v>10768</v>
      </c>
      <c r="B6047" s="787">
        <v>4</v>
      </c>
      <c r="C6047" s="787" t="s">
        <v>10769</v>
      </c>
      <c r="D6047" s="787">
        <v>0.69</v>
      </c>
      <c r="E6047" s="787">
        <v>2.4700000000000002</v>
      </c>
      <c r="F6047" s="788">
        <v>39456</v>
      </c>
      <c r="G6047" s="788">
        <v>41824</v>
      </c>
      <c r="H6047" s="787">
        <v>1</v>
      </c>
      <c r="I6047" s="788">
        <v>42102</v>
      </c>
      <c r="J6047" s="788">
        <v>42079</v>
      </c>
      <c r="L6047" s="787">
        <v>7.54</v>
      </c>
      <c r="M6047" s="787">
        <v>10</v>
      </c>
      <c r="N6047" s="787">
        <v>5.16</v>
      </c>
      <c r="O6047" s="788">
        <v>42162</v>
      </c>
    </row>
    <row r="6048" spans="1:15" x14ac:dyDescent="0.25">
      <c r="A6048" s="786" t="s">
        <v>10770</v>
      </c>
      <c r="B6048" s="787">
        <v>4</v>
      </c>
      <c r="C6048" s="787" t="s">
        <v>10771</v>
      </c>
      <c r="D6048" s="787">
        <v>0</v>
      </c>
      <c r="E6048" s="787">
        <v>0</v>
      </c>
      <c r="H6048" s="787">
        <v>1</v>
      </c>
      <c r="L6048" s="787">
        <v>0</v>
      </c>
      <c r="M6048" s="787">
        <v>10</v>
      </c>
      <c r="N6048" s="787">
        <v>91.37</v>
      </c>
      <c r="O6048" s="788">
        <v>41858</v>
      </c>
    </row>
    <row r="6049" spans="1:15" x14ac:dyDescent="0.25">
      <c r="A6049" s="786" t="s">
        <v>10772</v>
      </c>
      <c r="B6049" s="787">
        <v>4</v>
      </c>
      <c r="C6049" s="787" t="s">
        <v>10773</v>
      </c>
      <c r="D6049" s="787">
        <v>0</v>
      </c>
      <c r="E6049" s="787">
        <v>0</v>
      </c>
      <c r="H6049" s="787">
        <v>1</v>
      </c>
      <c r="L6049" s="787">
        <v>0</v>
      </c>
      <c r="M6049" s="787">
        <v>10</v>
      </c>
      <c r="N6049" s="787">
        <v>91.37</v>
      </c>
      <c r="O6049" s="788">
        <v>41858</v>
      </c>
    </row>
    <row r="6050" spans="1:15" x14ac:dyDescent="0.25">
      <c r="A6050" s="786" t="s">
        <v>10774</v>
      </c>
      <c r="B6050" s="787">
        <v>4</v>
      </c>
      <c r="C6050" s="787" t="s">
        <v>10775</v>
      </c>
      <c r="D6050" s="787">
        <v>0</v>
      </c>
      <c r="E6050" s="787">
        <v>0</v>
      </c>
      <c r="H6050" s="787">
        <v>1</v>
      </c>
      <c r="I6050" s="788">
        <v>40434</v>
      </c>
      <c r="J6050" s="788">
        <v>38736</v>
      </c>
      <c r="L6050" s="787">
        <v>0</v>
      </c>
      <c r="M6050" s="787">
        <v>10</v>
      </c>
      <c r="N6050" s="787">
        <v>30.75</v>
      </c>
      <c r="O6050" s="788">
        <v>42162</v>
      </c>
    </row>
    <row r="6051" spans="1:15" x14ac:dyDescent="0.25">
      <c r="A6051" s="786" t="s">
        <v>10776</v>
      </c>
      <c r="B6051" s="787">
        <v>4</v>
      </c>
      <c r="C6051" s="787" t="s">
        <v>10777</v>
      </c>
      <c r="D6051" s="787">
        <v>0</v>
      </c>
      <c r="E6051" s="787">
        <v>0</v>
      </c>
      <c r="H6051" s="787">
        <v>1</v>
      </c>
      <c r="I6051" s="788">
        <v>40434</v>
      </c>
      <c r="J6051" s="788">
        <v>38736</v>
      </c>
      <c r="L6051" s="787">
        <v>0</v>
      </c>
      <c r="M6051" s="787">
        <v>10</v>
      </c>
      <c r="N6051" s="787">
        <v>30.75</v>
      </c>
      <c r="O6051" s="788">
        <v>42162</v>
      </c>
    </row>
    <row r="6052" spans="1:15" x14ac:dyDescent="0.25">
      <c r="A6052" s="786" t="s">
        <v>10778</v>
      </c>
      <c r="B6052" s="787">
        <v>4</v>
      </c>
      <c r="C6052" s="787" t="s">
        <v>10779</v>
      </c>
      <c r="D6052" s="787">
        <v>0</v>
      </c>
      <c r="E6052" s="787">
        <v>0</v>
      </c>
      <c r="H6052" s="787">
        <v>1</v>
      </c>
      <c r="I6052" s="788">
        <v>40434</v>
      </c>
      <c r="J6052" s="788">
        <v>38736</v>
      </c>
      <c r="L6052" s="787">
        <v>0</v>
      </c>
      <c r="M6052" s="787">
        <v>10</v>
      </c>
      <c r="N6052" s="787">
        <v>24.38</v>
      </c>
      <c r="O6052" s="788">
        <v>42162</v>
      </c>
    </row>
    <row r="6053" spans="1:15" x14ac:dyDescent="0.25">
      <c r="A6053" s="786" t="s">
        <v>10780</v>
      </c>
      <c r="B6053" s="787">
        <v>4</v>
      </c>
      <c r="C6053" s="787" t="s">
        <v>10781</v>
      </c>
      <c r="D6053" s="787">
        <v>0</v>
      </c>
      <c r="E6053" s="787">
        <v>0</v>
      </c>
      <c r="H6053" s="787">
        <v>1</v>
      </c>
      <c r="I6053" s="788">
        <v>40434</v>
      </c>
      <c r="J6053" s="788">
        <v>38736</v>
      </c>
      <c r="L6053" s="787">
        <v>0</v>
      </c>
      <c r="M6053" s="787">
        <v>10</v>
      </c>
      <c r="N6053" s="787">
        <v>24.38</v>
      </c>
      <c r="O6053" s="788">
        <v>42162</v>
      </c>
    </row>
    <row r="6054" spans="1:15" x14ac:dyDescent="0.25">
      <c r="A6054" s="786" t="s">
        <v>10782</v>
      </c>
      <c r="B6054" s="787">
        <v>4</v>
      </c>
      <c r="C6054" s="787" t="s">
        <v>10783</v>
      </c>
      <c r="D6054" s="787">
        <v>0</v>
      </c>
      <c r="E6054" s="787">
        <v>0</v>
      </c>
      <c r="H6054" s="787">
        <v>1</v>
      </c>
      <c r="I6054" s="788">
        <v>40434</v>
      </c>
      <c r="J6054" s="788">
        <v>38736</v>
      </c>
      <c r="L6054" s="787">
        <v>0</v>
      </c>
      <c r="M6054" s="787">
        <v>10</v>
      </c>
      <c r="N6054" s="787">
        <v>11.12</v>
      </c>
      <c r="O6054" s="788">
        <v>42162</v>
      </c>
    </row>
    <row r="6055" spans="1:15" x14ac:dyDescent="0.25">
      <c r="A6055" s="786" t="s">
        <v>10784</v>
      </c>
      <c r="B6055" s="787">
        <v>4</v>
      </c>
      <c r="C6055" s="787" t="s">
        <v>10785</v>
      </c>
      <c r="D6055" s="787">
        <v>3.04</v>
      </c>
      <c r="E6055" s="787">
        <v>3.04</v>
      </c>
      <c r="F6055" s="788">
        <v>39101</v>
      </c>
      <c r="G6055" s="788">
        <v>39101</v>
      </c>
      <c r="H6055" s="787">
        <v>1</v>
      </c>
      <c r="I6055" s="788">
        <v>39134</v>
      </c>
      <c r="J6055" s="788">
        <v>39149</v>
      </c>
      <c r="L6055" s="787">
        <v>0</v>
      </c>
      <c r="M6055" s="787">
        <v>10</v>
      </c>
      <c r="N6055" s="787">
        <v>4.0199999999999996</v>
      </c>
      <c r="O6055" s="788">
        <v>41858</v>
      </c>
    </row>
    <row r="6056" spans="1:15" x14ac:dyDescent="0.25">
      <c r="A6056" s="786" t="s">
        <v>10786</v>
      </c>
      <c r="B6056" s="787">
        <v>4</v>
      </c>
      <c r="C6056" s="787" t="s">
        <v>10787</v>
      </c>
      <c r="D6056" s="787">
        <v>2.21</v>
      </c>
      <c r="E6056" s="787">
        <v>7.01</v>
      </c>
      <c r="F6056" s="788">
        <v>39456</v>
      </c>
      <c r="G6056" s="788">
        <v>42017</v>
      </c>
      <c r="H6056" s="787">
        <v>1</v>
      </c>
      <c r="I6056" s="788">
        <v>42152</v>
      </c>
      <c r="J6056" s="788">
        <v>41985</v>
      </c>
      <c r="L6056" s="787">
        <v>2.72</v>
      </c>
      <c r="M6056" s="787">
        <v>10</v>
      </c>
      <c r="N6056" s="787">
        <v>7.29</v>
      </c>
      <c r="O6056" s="788">
        <v>42153</v>
      </c>
    </row>
    <row r="6057" spans="1:15" x14ac:dyDescent="0.25">
      <c r="A6057" s="786" t="s">
        <v>10788</v>
      </c>
      <c r="B6057" s="787">
        <v>4</v>
      </c>
      <c r="C6057" s="787" t="s">
        <v>10789</v>
      </c>
      <c r="D6057" s="787">
        <v>0.12</v>
      </c>
      <c r="E6057" s="787">
        <v>0.92</v>
      </c>
      <c r="F6057" s="788">
        <v>39456</v>
      </c>
      <c r="G6057" s="788">
        <v>42157</v>
      </c>
      <c r="H6057" s="787">
        <v>1</v>
      </c>
      <c r="I6057" s="788">
        <v>42146</v>
      </c>
      <c r="J6057" s="788">
        <v>42157</v>
      </c>
      <c r="L6057" s="787">
        <v>0.52</v>
      </c>
      <c r="M6057" s="787">
        <v>10</v>
      </c>
      <c r="N6057" s="787">
        <v>1.72</v>
      </c>
      <c r="O6057" s="788">
        <v>42156</v>
      </c>
    </row>
    <row r="6058" spans="1:15" x14ac:dyDescent="0.25">
      <c r="A6058" s="786" t="s">
        <v>10790</v>
      </c>
      <c r="B6058" s="787">
        <v>4</v>
      </c>
      <c r="C6058" s="787" t="s">
        <v>10791</v>
      </c>
      <c r="D6058" s="787">
        <v>1.1200000000000001</v>
      </c>
      <c r="E6058" s="787">
        <v>20.48</v>
      </c>
      <c r="F6058" s="788">
        <v>39456</v>
      </c>
      <c r="G6058" s="788">
        <v>42013</v>
      </c>
      <c r="H6058" s="787">
        <v>1</v>
      </c>
      <c r="I6058" s="788">
        <v>42102</v>
      </c>
      <c r="J6058" s="788">
        <v>41736</v>
      </c>
      <c r="K6058" s="788">
        <v>41516</v>
      </c>
      <c r="L6058" s="787">
        <v>7.44</v>
      </c>
      <c r="M6058" s="787">
        <v>10</v>
      </c>
      <c r="N6058" s="787">
        <v>7.12</v>
      </c>
      <c r="O6058" s="788">
        <v>42162</v>
      </c>
    </row>
    <row r="6059" spans="1:15" x14ac:dyDescent="0.25">
      <c r="A6059" s="786" t="s">
        <v>10792</v>
      </c>
      <c r="B6059" s="787">
        <v>4</v>
      </c>
      <c r="C6059" s="787" t="s">
        <v>10793</v>
      </c>
      <c r="D6059" s="787">
        <v>0</v>
      </c>
      <c r="E6059" s="787">
        <v>0</v>
      </c>
      <c r="H6059" s="787">
        <v>1</v>
      </c>
      <c r="I6059" s="788">
        <v>40868</v>
      </c>
      <c r="L6059" s="787">
        <v>0</v>
      </c>
      <c r="M6059" s="787">
        <v>10</v>
      </c>
      <c r="N6059" s="787">
        <v>3.3</v>
      </c>
      <c r="O6059" s="788">
        <v>42162</v>
      </c>
    </row>
    <row r="6060" spans="1:15" x14ac:dyDescent="0.25">
      <c r="A6060" s="786" t="s">
        <v>10794</v>
      </c>
      <c r="B6060" s="787">
        <v>4</v>
      </c>
      <c r="C6060" s="787" t="s">
        <v>10795</v>
      </c>
      <c r="D6060" s="787">
        <v>0</v>
      </c>
      <c r="E6060" s="787">
        <v>0</v>
      </c>
      <c r="H6060" s="787">
        <v>1</v>
      </c>
      <c r="I6060" s="788">
        <v>41079</v>
      </c>
      <c r="J6060" s="788">
        <v>39457</v>
      </c>
      <c r="L6060" s="787">
        <v>0</v>
      </c>
      <c r="M6060" s="787">
        <v>10</v>
      </c>
      <c r="N6060" s="787">
        <v>3.3</v>
      </c>
      <c r="O6060" s="788">
        <v>42162</v>
      </c>
    </row>
    <row r="6061" spans="1:15" x14ac:dyDescent="0.25">
      <c r="A6061" s="786" t="s">
        <v>10796</v>
      </c>
      <c r="B6061" s="787">
        <v>4</v>
      </c>
      <c r="C6061" s="787" t="s">
        <v>10797</v>
      </c>
      <c r="D6061" s="787">
        <v>0</v>
      </c>
      <c r="E6061" s="787">
        <v>0</v>
      </c>
      <c r="H6061" s="787">
        <v>1</v>
      </c>
      <c r="I6061" s="788">
        <v>41079</v>
      </c>
      <c r="J6061" s="788">
        <v>38736</v>
      </c>
      <c r="K6061" s="788">
        <v>41939</v>
      </c>
      <c r="L6061" s="787">
        <v>1.71</v>
      </c>
      <c r="M6061" s="787">
        <v>10</v>
      </c>
      <c r="N6061" s="787">
        <v>1.71</v>
      </c>
      <c r="O6061" s="788">
        <v>42162</v>
      </c>
    </row>
    <row r="6062" spans="1:15" x14ac:dyDescent="0.25">
      <c r="A6062" s="786" t="s">
        <v>10798</v>
      </c>
      <c r="B6062" s="787">
        <v>4</v>
      </c>
      <c r="C6062" s="787" t="s">
        <v>10799</v>
      </c>
      <c r="D6062" s="787">
        <v>0</v>
      </c>
      <c r="E6062" s="787">
        <v>0</v>
      </c>
      <c r="H6062" s="787">
        <v>1</v>
      </c>
      <c r="I6062" s="788">
        <v>40385</v>
      </c>
      <c r="J6062" s="788">
        <v>39101</v>
      </c>
      <c r="L6062" s="787">
        <v>0</v>
      </c>
      <c r="M6062" s="787">
        <v>10</v>
      </c>
      <c r="N6062" s="787">
        <v>29.73</v>
      </c>
      <c r="O6062" s="788">
        <v>42162</v>
      </c>
    </row>
    <row r="6063" spans="1:15" x14ac:dyDescent="0.25">
      <c r="A6063" s="786" t="s">
        <v>10800</v>
      </c>
      <c r="B6063" s="787">
        <v>4</v>
      </c>
      <c r="C6063" s="787" t="s">
        <v>10801</v>
      </c>
      <c r="D6063" s="787">
        <v>0</v>
      </c>
      <c r="E6063" s="787">
        <v>0</v>
      </c>
      <c r="H6063" s="787">
        <v>1</v>
      </c>
      <c r="I6063" s="788">
        <v>40518</v>
      </c>
      <c r="J6063" s="788">
        <v>39101</v>
      </c>
      <c r="L6063" s="787">
        <v>0</v>
      </c>
      <c r="M6063" s="787">
        <v>10</v>
      </c>
      <c r="N6063" s="787">
        <v>26.49</v>
      </c>
      <c r="O6063" s="788">
        <v>42162</v>
      </c>
    </row>
    <row r="6064" spans="1:15" x14ac:dyDescent="0.25">
      <c r="A6064" s="786" t="s">
        <v>10802</v>
      </c>
      <c r="B6064" s="787">
        <v>4</v>
      </c>
      <c r="C6064" s="787" t="s">
        <v>10803</v>
      </c>
      <c r="D6064" s="787">
        <v>0</v>
      </c>
      <c r="E6064" s="787">
        <v>0</v>
      </c>
      <c r="H6064" s="787">
        <v>1</v>
      </c>
      <c r="I6064" s="788">
        <v>40385</v>
      </c>
      <c r="J6064" s="788">
        <v>38736</v>
      </c>
      <c r="L6064" s="787">
        <v>0</v>
      </c>
      <c r="M6064" s="787">
        <v>10</v>
      </c>
      <c r="N6064" s="787">
        <v>29.37</v>
      </c>
      <c r="O6064" s="788">
        <v>42162</v>
      </c>
    </row>
    <row r="6065" spans="1:15" x14ac:dyDescent="0.25">
      <c r="A6065" s="786" t="s">
        <v>10804</v>
      </c>
      <c r="B6065" s="787">
        <v>4</v>
      </c>
      <c r="C6065" s="787" t="s">
        <v>10805</v>
      </c>
      <c r="D6065" s="787">
        <v>0</v>
      </c>
      <c r="E6065" s="787">
        <v>0</v>
      </c>
      <c r="H6065" s="787">
        <v>1</v>
      </c>
      <c r="I6065" s="788">
        <v>40385</v>
      </c>
      <c r="J6065" s="788">
        <v>38736</v>
      </c>
      <c r="L6065" s="787">
        <v>0</v>
      </c>
      <c r="M6065" s="787">
        <v>10</v>
      </c>
      <c r="N6065" s="787">
        <v>11.63</v>
      </c>
      <c r="O6065" s="788">
        <v>42162</v>
      </c>
    </row>
    <row r="6066" spans="1:15" x14ac:dyDescent="0.25">
      <c r="A6066" s="786" t="s">
        <v>10806</v>
      </c>
      <c r="B6066" s="787">
        <v>4</v>
      </c>
      <c r="C6066" s="787" t="s">
        <v>10807</v>
      </c>
      <c r="D6066" s="787">
        <v>0</v>
      </c>
      <c r="E6066" s="787">
        <v>0</v>
      </c>
      <c r="H6066" s="787">
        <v>1</v>
      </c>
      <c r="I6066" s="788">
        <v>40518</v>
      </c>
      <c r="J6066" s="788">
        <v>39101</v>
      </c>
      <c r="L6066" s="787">
        <v>0</v>
      </c>
      <c r="M6066" s="787">
        <v>10</v>
      </c>
      <c r="N6066" s="787">
        <v>30.19</v>
      </c>
      <c r="O6066" s="788">
        <v>42162</v>
      </c>
    </row>
    <row r="6067" spans="1:15" x14ac:dyDescent="0.25">
      <c r="A6067" s="786" t="s">
        <v>10808</v>
      </c>
      <c r="B6067" s="787">
        <v>4</v>
      </c>
      <c r="C6067" s="787" t="s">
        <v>10809</v>
      </c>
      <c r="D6067" s="787">
        <v>0</v>
      </c>
      <c r="E6067" s="787">
        <v>0</v>
      </c>
      <c r="H6067" s="787">
        <v>1</v>
      </c>
      <c r="I6067" s="788">
        <v>40518</v>
      </c>
      <c r="J6067" s="788">
        <v>39101</v>
      </c>
      <c r="L6067" s="787">
        <v>0</v>
      </c>
      <c r="M6067" s="787">
        <v>10</v>
      </c>
      <c r="N6067" s="787">
        <v>12.21</v>
      </c>
      <c r="O6067" s="788">
        <v>42162</v>
      </c>
    </row>
    <row r="6068" spans="1:15" x14ac:dyDescent="0.25">
      <c r="A6068" s="786" t="s">
        <v>10810</v>
      </c>
      <c r="B6068" s="787">
        <v>4</v>
      </c>
      <c r="C6068" s="787" t="s">
        <v>10811</v>
      </c>
      <c r="D6068" s="787">
        <v>0</v>
      </c>
      <c r="E6068" s="787">
        <v>0</v>
      </c>
      <c r="H6068" s="787">
        <v>1</v>
      </c>
      <c r="I6068" s="788">
        <v>40518</v>
      </c>
      <c r="J6068" s="788">
        <v>39101</v>
      </c>
      <c r="L6068" s="787">
        <v>0</v>
      </c>
      <c r="M6068" s="787">
        <v>10</v>
      </c>
      <c r="N6068" s="787">
        <v>30.36</v>
      </c>
      <c r="O6068" s="788">
        <v>42162</v>
      </c>
    </row>
    <row r="6069" spans="1:15" x14ac:dyDescent="0.25">
      <c r="A6069" s="786" t="s">
        <v>10812</v>
      </c>
      <c r="B6069" s="787">
        <v>4</v>
      </c>
      <c r="C6069" s="787" t="s">
        <v>10813</v>
      </c>
      <c r="D6069" s="787">
        <v>0</v>
      </c>
      <c r="E6069" s="787">
        <v>0</v>
      </c>
      <c r="H6069" s="787">
        <v>1</v>
      </c>
      <c r="I6069" s="788">
        <v>40518</v>
      </c>
      <c r="J6069" s="788">
        <v>39101</v>
      </c>
      <c r="L6069" s="787">
        <v>0</v>
      </c>
      <c r="M6069" s="787">
        <v>10</v>
      </c>
      <c r="N6069" s="787">
        <v>3.9</v>
      </c>
      <c r="O6069" s="788">
        <v>42162</v>
      </c>
    </row>
    <row r="6070" spans="1:15" x14ac:dyDescent="0.25">
      <c r="A6070" s="786" t="s">
        <v>10814</v>
      </c>
      <c r="B6070" s="787">
        <v>4</v>
      </c>
      <c r="C6070" s="787" t="s">
        <v>10815</v>
      </c>
      <c r="D6070" s="787">
        <v>0</v>
      </c>
      <c r="E6070" s="787">
        <v>0</v>
      </c>
      <c r="H6070" s="787">
        <v>1</v>
      </c>
      <c r="I6070" s="788">
        <v>39629</v>
      </c>
      <c r="J6070" s="788">
        <v>39101</v>
      </c>
      <c r="L6070" s="787">
        <v>0</v>
      </c>
      <c r="M6070" s="787">
        <v>10</v>
      </c>
      <c r="N6070" s="787">
        <v>3.9</v>
      </c>
      <c r="O6070" s="788">
        <v>42162</v>
      </c>
    </row>
    <row r="6071" spans="1:15" x14ac:dyDescent="0.25">
      <c r="A6071" s="786" t="s">
        <v>10816</v>
      </c>
      <c r="B6071" s="787">
        <v>4</v>
      </c>
      <c r="C6071" s="787" t="s">
        <v>10817</v>
      </c>
      <c r="D6071" s="787">
        <v>0</v>
      </c>
      <c r="E6071" s="787">
        <v>0</v>
      </c>
      <c r="H6071" s="787">
        <v>1</v>
      </c>
      <c r="I6071" s="788">
        <v>40518</v>
      </c>
      <c r="J6071" s="788">
        <v>39101</v>
      </c>
      <c r="K6071" s="788">
        <v>42038</v>
      </c>
      <c r="L6071" s="787">
        <v>2.36</v>
      </c>
      <c r="M6071" s="787">
        <v>10</v>
      </c>
      <c r="N6071" s="787">
        <v>2.36</v>
      </c>
      <c r="O6071" s="788">
        <v>42162</v>
      </c>
    </row>
    <row r="6072" spans="1:15" x14ac:dyDescent="0.25">
      <c r="A6072" s="786" t="s">
        <v>10818</v>
      </c>
      <c r="B6072" s="787">
        <v>4</v>
      </c>
      <c r="C6072" s="787" t="s">
        <v>10819</v>
      </c>
      <c r="D6072" s="787">
        <v>0.99</v>
      </c>
      <c r="E6072" s="787">
        <v>0.99</v>
      </c>
      <c r="F6072" s="788">
        <v>39101</v>
      </c>
      <c r="G6072" s="788">
        <v>41255</v>
      </c>
      <c r="H6072" s="787">
        <v>1</v>
      </c>
      <c r="I6072" s="788">
        <v>39134</v>
      </c>
      <c r="J6072" s="788">
        <v>39149</v>
      </c>
      <c r="L6072" s="787">
        <v>1.07</v>
      </c>
      <c r="M6072" s="787">
        <v>10</v>
      </c>
      <c r="N6072" s="787">
        <v>2.0699999999999998</v>
      </c>
      <c r="O6072" s="788">
        <v>41858</v>
      </c>
    </row>
    <row r="6073" spans="1:15" x14ac:dyDescent="0.25">
      <c r="A6073" s="786" t="s">
        <v>10820</v>
      </c>
      <c r="B6073" s="787">
        <v>4</v>
      </c>
      <c r="C6073" s="787" t="s">
        <v>10821</v>
      </c>
      <c r="D6073" s="787">
        <v>4.08</v>
      </c>
      <c r="E6073" s="787">
        <v>6.74</v>
      </c>
      <c r="F6073" s="788">
        <v>38606</v>
      </c>
      <c r="G6073" s="788">
        <v>42137</v>
      </c>
      <c r="H6073" s="787">
        <v>1</v>
      </c>
      <c r="I6073" s="788">
        <v>42123</v>
      </c>
      <c r="J6073" s="788">
        <v>42108</v>
      </c>
      <c r="L6073" s="787">
        <v>4.76</v>
      </c>
      <c r="M6073" s="787">
        <v>10</v>
      </c>
      <c r="N6073" s="787">
        <v>7.45</v>
      </c>
      <c r="O6073" s="788">
        <v>42162</v>
      </c>
    </row>
    <row r="6074" spans="1:15" x14ac:dyDescent="0.25">
      <c r="A6074" s="786" t="s">
        <v>10822</v>
      </c>
      <c r="B6074" s="787">
        <v>4</v>
      </c>
      <c r="C6074" s="787" t="s">
        <v>10823</v>
      </c>
      <c r="D6074" s="787">
        <v>0.06</v>
      </c>
      <c r="E6074" s="787">
        <v>0.45</v>
      </c>
      <c r="F6074" s="788">
        <v>39456</v>
      </c>
      <c r="G6074" s="788">
        <v>42075</v>
      </c>
      <c r="H6074" s="787">
        <v>1</v>
      </c>
      <c r="I6074" s="788">
        <v>42107</v>
      </c>
      <c r="J6074" s="788">
        <v>42041</v>
      </c>
      <c r="L6074" s="787">
        <v>7.35</v>
      </c>
      <c r="M6074" s="787">
        <v>10</v>
      </c>
      <c r="N6074" s="787">
        <v>0.98</v>
      </c>
      <c r="O6074" s="788">
        <v>42162</v>
      </c>
    </row>
    <row r="6075" spans="1:15" x14ac:dyDescent="0.25">
      <c r="A6075" s="786" t="s">
        <v>10824</v>
      </c>
      <c r="B6075" s="787">
        <v>4</v>
      </c>
      <c r="C6075" s="787" t="s">
        <v>10825</v>
      </c>
      <c r="D6075" s="787">
        <v>0.04</v>
      </c>
      <c r="E6075" s="787">
        <v>3.22</v>
      </c>
      <c r="F6075" s="788">
        <v>39975</v>
      </c>
      <c r="G6075" s="788">
        <v>41943</v>
      </c>
      <c r="H6075" s="787">
        <v>1</v>
      </c>
      <c r="I6075" s="788">
        <v>42020</v>
      </c>
      <c r="J6075" s="788">
        <v>41424</v>
      </c>
      <c r="K6075" s="788">
        <v>41418</v>
      </c>
      <c r="L6075" s="787">
        <v>2.58</v>
      </c>
      <c r="M6075" s="787">
        <v>10</v>
      </c>
      <c r="N6075" s="787">
        <v>2.46</v>
      </c>
      <c r="O6075" s="788">
        <v>41870</v>
      </c>
    </row>
    <row r="6076" spans="1:15" x14ac:dyDescent="0.25">
      <c r="A6076" s="786" t="s">
        <v>10826</v>
      </c>
      <c r="B6076" s="787">
        <v>4</v>
      </c>
      <c r="C6076" s="787" t="s">
        <v>10827</v>
      </c>
      <c r="D6076" s="787">
        <v>1.74</v>
      </c>
      <c r="E6076" s="787">
        <v>1.74</v>
      </c>
      <c r="F6076" s="788">
        <v>39975</v>
      </c>
      <c r="G6076" s="788">
        <v>42013</v>
      </c>
      <c r="H6076" s="787">
        <v>1</v>
      </c>
      <c r="I6076" s="788">
        <v>42066</v>
      </c>
      <c r="J6076" s="788">
        <v>38736</v>
      </c>
      <c r="L6076" s="787">
        <v>0</v>
      </c>
      <c r="M6076" s="787">
        <v>10</v>
      </c>
      <c r="N6076" s="787">
        <v>2.56</v>
      </c>
      <c r="O6076" s="788">
        <v>41858</v>
      </c>
    </row>
    <row r="6077" spans="1:15" x14ac:dyDescent="0.25">
      <c r="A6077" s="786" t="s">
        <v>10828</v>
      </c>
      <c r="B6077" s="787">
        <v>4</v>
      </c>
      <c r="C6077" s="787" t="s">
        <v>10829</v>
      </c>
      <c r="D6077" s="787">
        <v>0</v>
      </c>
      <c r="E6077" s="787">
        <v>0</v>
      </c>
      <c r="H6077" s="787">
        <v>1</v>
      </c>
      <c r="L6077" s="787">
        <v>0</v>
      </c>
      <c r="M6077" s="787">
        <v>10</v>
      </c>
      <c r="N6077" s="787">
        <v>3.26</v>
      </c>
      <c r="O6077" s="788">
        <v>41858</v>
      </c>
    </row>
    <row r="6078" spans="1:15" x14ac:dyDescent="0.25">
      <c r="A6078" s="786" t="s">
        <v>10830</v>
      </c>
      <c r="B6078" s="787">
        <v>4</v>
      </c>
      <c r="C6078" s="787" t="s">
        <v>10831</v>
      </c>
      <c r="D6078" s="787">
        <v>0.53</v>
      </c>
      <c r="E6078" s="787">
        <v>0.53</v>
      </c>
      <c r="F6078" s="788">
        <v>39975</v>
      </c>
      <c r="G6078" s="788">
        <v>40178</v>
      </c>
      <c r="H6078" s="787">
        <v>1</v>
      </c>
      <c r="I6078" s="788">
        <v>39134</v>
      </c>
      <c r="J6078" s="788">
        <v>39149</v>
      </c>
      <c r="L6078" s="787">
        <v>12.19</v>
      </c>
      <c r="M6078" s="787">
        <v>10</v>
      </c>
      <c r="N6078" s="787">
        <v>1.67</v>
      </c>
      <c r="O6078" s="788">
        <v>42082</v>
      </c>
    </row>
    <row r="6079" spans="1:15" x14ac:dyDescent="0.25">
      <c r="A6079" s="786" t="s">
        <v>10832</v>
      </c>
      <c r="B6079" s="787">
        <v>4</v>
      </c>
      <c r="C6079" s="787" t="s">
        <v>10833</v>
      </c>
      <c r="D6079" s="787">
        <v>0</v>
      </c>
      <c r="E6079" s="787">
        <v>0</v>
      </c>
      <c r="H6079" s="787">
        <v>1</v>
      </c>
      <c r="L6079" s="787">
        <v>0</v>
      </c>
      <c r="M6079" s="787">
        <v>10</v>
      </c>
      <c r="N6079" s="787">
        <v>3.31</v>
      </c>
      <c r="O6079" s="788">
        <v>41858</v>
      </c>
    </row>
    <row r="6080" spans="1:15" x14ac:dyDescent="0.25">
      <c r="A6080" s="786" t="s">
        <v>10834</v>
      </c>
      <c r="B6080" s="787">
        <v>4</v>
      </c>
      <c r="C6080" s="787" t="s">
        <v>10835</v>
      </c>
      <c r="D6080" s="787">
        <v>3.4</v>
      </c>
      <c r="E6080" s="787">
        <v>5.35</v>
      </c>
      <c r="F6080" s="788">
        <v>41215</v>
      </c>
      <c r="G6080" s="788">
        <v>42013</v>
      </c>
      <c r="H6080" s="787">
        <v>1</v>
      </c>
      <c r="I6080" s="788">
        <v>42164</v>
      </c>
      <c r="J6080" s="788">
        <v>41964</v>
      </c>
      <c r="K6080" s="788">
        <v>42157</v>
      </c>
      <c r="L6080" s="787">
        <v>6.55</v>
      </c>
      <c r="M6080" s="787">
        <v>20</v>
      </c>
      <c r="N6080" s="787">
        <v>4.84</v>
      </c>
      <c r="O6080" s="788">
        <v>42128</v>
      </c>
    </row>
    <row r="6081" spans="1:15" x14ac:dyDescent="0.25">
      <c r="A6081" s="786" t="s">
        <v>10836</v>
      </c>
      <c r="B6081" s="787">
        <v>4</v>
      </c>
      <c r="C6081" s="787" t="s">
        <v>10837</v>
      </c>
      <c r="D6081" s="787">
        <v>8.35</v>
      </c>
      <c r="E6081" s="787">
        <v>8.35</v>
      </c>
      <c r="F6081" s="788">
        <v>40016</v>
      </c>
      <c r="G6081" s="788">
        <v>42013</v>
      </c>
      <c r="H6081" s="787">
        <v>1</v>
      </c>
      <c r="I6081" s="788">
        <v>41465</v>
      </c>
      <c r="J6081" s="788">
        <v>40016</v>
      </c>
      <c r="K6081" s="788">
        <v>40001</v>
      </c>
      <c r="L6081" s="787">
        <v>8.35</v>
      </c>
      <c r="M6081" s="787">
        <v>20</v>
      </c>
      <c r="N6081" s="787">
        <v>8.98</v>
      </c>
      <c r="O6081" s="788">
        <v>42162</v>
      </c>
    </row>
    <row r="6082" spans="1:15" x14ac:dyDescent="0.25">
      <c r="A6082" s="786" t="s">
        <v>10838</v>
      </c>
      <c r="B6082" s="787">
        <v>4</v>
      </c>
      <c r="C6082" s="787" t="s">
        <v>8571</v>
      </c>
      <c r="D6082" s="787">
        <v>0.53</v>
      </c>
      <c r="E6082" s="787">
        <v>1.4</v>
      </c>
      <c r="F6082" s="788">
        <v>39975</v>
      </c>
      <c r="G6082" s="788">
        <v>42088</v>
      </c>
      <c r="H6082" s="787">
        <v>1</v>
      </c>
      <c r="I6082" s="788">
        <v>42062</v>
      </c>
      <c r="J6082" s="788">
        <v>42058</v>
      </c>
      <c r="K6082" s="788">
        <v>41417</v>
      </c>
      <c r="L6082" s="787">
        <v>0.97</v>
      </c>
      <c r="M6082" s="787">
        <v>10</v>
      </c>
      <c r="N6082" s="787">
        <v>1.18</v>
      </c>
      <c r="O6082" s="788">
        <v>42062</v>
      </c>
    </row>
    <row r="6083" spans="1:15" x14ac:dyDescent="0.25">
      <c r="A6083" s="786" t="s">
        <v>10839</v>
      </c>
      <c r="B6083" s="787">
        <v>4</v>
      </c>
      <c r="C6083" s="787" t="s">
        <v>10840</v>
      </c>
      <c r="D6083" s="787">
        <v>0.56000000000000005</v>
      </c>
      <c r="E6083" s="787">
        <v>1.1399999999999999</v>
      </c>
      <c r="F6083" s="788">
        <v>39456</v>
      </c>
      <c r="G6083" s="788">
        <v>42013</v>
      </c>
      <c r="H6083" s="787">
        <v>1</v>
      </c>
      <c r="I6083" s="788">
        <v>41831</v>
      </c>
      <c r="J6083" s="788">
        <v>40332</v>
      </c>
      <c r="L6083" s="787">
        <v>0.93</v>
      </c>
      <c r="M6083" s="787">
        <v>10</v>
      </c>
      <c r="N6083" s="787">
        <v>1.1100000000000001</v>
      </c>
      <c r="O6083" s="788">
        <v>42146</v>
      </c>
    </row>
    <row r="6084" spans="1:15" x14ac:dyDescent="0.25">
      <c r="A6084" s="786" t="s">
        <v>10841</v>
      </c>
      <c r="B6084" s="787">
        <v>4</v>
      </c>
      <c r="C6084" s="787" t="s">
        <v>10842</v>
      </c>
      <c r="D6084" s="787">
        <v>0</v>
      </c>
      <c r="E6084" s="787">
        <v>0</v>
      </c>
      <c r="H6084" s="787">
        <v>1</v>
      </c>
      <c r="I6084" s="788">
        <v>41465</v>
      </c>
      <c r="J6084" s="788">
        <v>41477</v>
      </c>
      <c r="L6084" s="787">
        <v>0</v>
      </c>
      <c r="M6084" s="787">
        <v>10</v>
      </c>
      <c r="N6084" s="787">
        <v>1.62</v>
      </c>
      <c r="O6084" s="788">
        <v>41858</v>
      </c>
    </row>
    <row r="6085" spans="1:15" x14ac:dyDescent="0.25">
      <c r="A6085" s="786" t="s">
        <v>10843</v>
      </c>
      <c r="B6085" s="787">
        <v>4</v>
      </c>
      <c r="C6085" s="787" t="s">
        <v>10844</v>
      </c>
      <c r="D6085" s="787">
        <v>0.74</v>
      </c>
      <c r="E6085" s="787">
        <v>0.74</v>
      </c>
      <c r="F6085" s="788">
        <v>39975</v>
      </c>
      <c r="G6085" s="788">
        <v>41943</v>
      </c>
      <c r="H6085" s="787">
        <v>1</v>
      </c>
      <c r="I6085" s="788">
        <v>39134</v>
      </c>
      <c r="J6085" s="788">
        <v>39149</v>
      </c>
      <c r="L6085" s="787">
        <v>0.62</v>
      </c>
      <c r="M6085" s="787">
        <v>10</v>
      </c>
      <c r="N6085" s="787">
        <v>0.81</v>
      </c>
      <c r="O6085" s="788">
        <v>42162</v>
      </c>
    </row>
    <row r="6086" spans="1:15" x14ac:dyDescent="0.25">
      <c r="A6086" s="786" t="s">
        <v>10845</v>
      </c>
      <c r="B6086" s="787">
        <v>4</v>
      </c>
      <c r="C6086" s="787" t="s">
        <v>10846</v>
      </c>
      <c r="D6086" s="787">
        <v>0.18</v>
      </c>
      <c r="E6086" s="787">
        <v>2</v>
      </c>
      <c r="F6086" s="788">
        <v>39456</v>
      </c>
      <c r="G6086" s="788">
        <v>41943</v>
      </c>
      <c r="H6086" s="787">
        <v>1</v>
      </c>
      <c r="I6086" s="788">
        <v>42123</v>
      </c>
      <c r="J6086" s="788">
        <v>41142</v>
      </c>
      <c r="L6086" s="787">
        <v>1.06</v>
      </c>
      <c r="M6086" s="787">
        <v>10</v>
      </c>
      <c r="N6086" s="787">
        <v>1.23</v>
      </c>
      <c r="O6086" s="788">
        <v>42111</v>
      </c>
    </row>
    <row r="6087" spans="1:15" x14ac:dyDescent="0.25">
      <c r="A6087" s="786" t="s">
        <v>10847</v>
      </c>
      <c r="B6087" s="787">
        <v>4</v>
      </c>
      <c r="C6087" s="787" t="s">
        <v>10848</v>
      </c>
      <c r="D6087" s="787">
        <v>0.17</v>
      </c>
      <c r="E6087" s="787">
        <v>0.28999999999999998</v>
      </c>
      <c r="F6087" s="788">
        <v>39456</v>
      </c>
      <c r="G6087" s="788">
        <v>41282</v>
      </c>
      <c r="H6087" s="787">
        <v>1</v>
      </c>
      <c r="I6087" s="788">
        <v>41968</v>
      </c>
      <c r="J6087" s="788">
        <v>40242</v>
      </c>
      <c r="K6087" s="788">
        <v>41969</v>
      </c>
      <c r="L6087" s="787">
        <v>1</v>
      </c>
      <c r="M6087" s="787">
        <v>10</v>
      </c>
      <c r="N6087" s="787">
        <v>0.67</v>
      </c>
      <c r="O6087" s="788">
        <v>42087</v>
      </c>
    </row>
    <row r="6088" spans="1:15" x14ac:dyDescent="0.25">
      <c r="A6088" s="786" t="s">
        <v>10849</v>
      </c>
      <c r="B6088" s="787">
        <v>4</v>
      </c>
      <c r="C6088" s="787" t="s">
        <v>10850</v>
      </c>
      <c r="D6088" s="787">
        <v>0.23</v>
      </c>
      <c r="E6088" s="787">
        <v>0.77</v>
      </c>
      <c r="F6088" s="788">
        <v>39456</v>
      </c>
      <c r="G6088" s="788">
        <v>42013</v>
      </c>
      <c r="H6088" s="787">
        <v>1</v>
      </c>
      <c r="I6088" s="788">
        <v>42164</v>
      </c>
      <c r="J6088" s="788">
        <v>41768</v>
      </c>
      <c r="L6088" s="787">
        <v>0.61</v>
      </c>
      <c r="M6088" s="787">
        <v>10</v>
      </c>
      <c r="N6088" s="787">
        <v>1.08</v>
      </c>
      <c r="O6088" s="788">
        <v>42128</v>
      </c>
    </row>
    <row r="6089" spans="1:15" x14ac:dyDescent="0.25">
      <c r="A6089" s="786" t="s">
        <v>10851</v>
      </c>
      <c r="B6089" s="787">
        <v>4</v>
      </c>
      <c r="C6089" s="787" t="s">
        <v>10852</v>
      </c>
      <c r="D6089" s="787">
        <v>0</v>
      </c>
      <c r="E6089" s="787">
        <v>0</v>
      </c>
      <c r="H6089" s="787">
        <v>1</v>
      </c>
      <c r="I6089" s="788">
        <v>41422</v>
      </c>
      <c r="J6089" s="788">
        <v>39101</v>
      </c>
      <c r="L6089" s="787">
        <v>0</v>
      </c>
      <c r="M6089" s="787">
        <v>10</v>
      </c>
      <c r="N6089" s="787">
        <v>0.91</v>
      </c>
      <c r="O6089" s="788">
        <v>41858</v>
      </c>
    </row>
    <row r="6090" spans="1:15" x14ac:dyDescent="0.25">
      <c r="A6090" s="786" t="s">
        <v>10853</v>
      </c>
      <c r="B6090" s="787">
        <v>4</v>
      </c>
      <c r="C6090" s="787" t="s">
        <v>10854</v>
      </c>
      <c r="D6090" s="787">
        <v>0.86</v>
      </c>
      <c r="E6090" s="787">
        <v>4.4400000000000004</v>
      </c>
      <c r="F6090" s="788">
        <v>39456</v>
      </c>
      <c r="G6090" s="788">
        <v>42013</v>
      </c>
      <c r="H6090" s="787">
        <v>1</v>
      </c>
      <c r="I6090" s="788">
        <v>42160</v>
      </c>
      <c r="J6090" s="788">
        <v>41184</v>
      </c>
      <c r="L6090" s="787">
        <v>0</v>
      </c>
      <c r="M6090" s="787">
        <v>10</v>
      </c>
      <c r="N6090" s="787">
        <v>2.44</v>
      </c>
      <c r="O6090" s="788">
        <v>42162</v>
      </c>
    </row>
    <row r="6091" spans="1:15" x14ac:dyDescent="0.25">
      <c r="A6091" s="786" t="s">
        <v>10855</v>
      </c>
      <c r="B6091" s="787">
        <v>4</v>
      </c>
      <c r="C6091" s="787" t="s">
        <v>10856</v>
      </c>
      <c r="D6091" s="787">
        <v>0.7</v>
      </c>
      <c r="E6091" s="787">
        <v>1.78</v>
      </c>
      <c r="F6091" s="788">
        <v>39456</v>
      </c>
      <c r="G6091" s="788">
        <v>41526</v>
      </c>
      <c r="H6091" s="787">
        <v>1</v>
      </c>
      <c r="I6091" s="788">
        <v>41512</v>
      </c>
      <c r="J6091" s="788">
        <v>41502</v>
      </c>
      <c r="L6091" s="787">
        <v>0.99</v>
      </c>
      <c r="M6091" s="787">
        <v>10</v>
      </c>
      <c r="N6091" s="787">
        <v>1.55</v>
      </c>
      <c r="O6091" s="788">
        <v>42038</v>
      </c>
    </row>
    <row r="6092" spans="1:15" x14ac:dyDescent="0.25">
      <c r="A6092" s="786" t="s">
        <v>10857</v>
      </c>
      <c r="B6092" s="787">
        <v>4</v>
      </c>
      <c r="C6092" s="787" t="s">
        <v>10858</v>
      </c>
      <c r="D6092" s="787">
        <v>5.15</v>
      </c>
      <c r="E6092" s="787">
        <v>225.15</v>
      </c>
      <c r="F6092" s="788">
        <v>42044</v>
      </c>
      <c r="G6092" s="788">
        <v>42044</v>
      </c>
      <c r="H6092" s="787">
        <v>1</v>
      </c>
      <c r="I6092" s="788">
        <v>42023</v>
      </c>
      <c r="J6092" s="788">
        <v>42024</v>
      </c>
      <c r="K6092" s="788">
        <v>41954</v>
      </c>
      <c r="L6092" s="787">
        <v>85.63</v>
      </c>
      <c r="M6092" s="787">
        <v>10</v>
      </c>
      <c r="N6092" s="787">
        <v>97.12</v>
      </c>
      <c r="O6092" s="788">
        <v>42011</v>
      </c>
    </row>
    <row r="6093" spans="1:15" x14ac:dyDescent="0.25">
      <c r="A6093" s="786" t="s">
        <v>10859</v>
      </c>
      <c r="B6093" s="787">
        <v>4</v>
      </c>
      <c r="C6093" s="787" t="s">
        <v>10860</v>
      </c>
      <c r="D6093" s="787">
        <v>1.34</v>
      </c>
      <c r="E6093" s="787">
        <v>1.34</v>
      </c>
      <c r="F6093" s="788">
        <v>42044</v>
      </c>
      <c r="G6093" s="788">
        <v>42044</v>
      </c>
      <c r="H6093" s="787">
        <v>1</v>
      </c>
      <c r="I6093" s="788">
        <v>42024</v>
      </c>
      <c r="J6093" s="788">
        <v>42018</v>
      </c>
      <c r="L6093" s="787">
        <v>0</v>
      </c>
      <c r="M6093" s="787">
        <v>10</v>
      </c>
      <c r="N6093" s="787">
        <v>5.1100000000000003</v>
      </c>
      <c r="O6093" s="788">
        <v>42163</v>
      </c>
    </row>
    <row r="6094" spans="1:15" x14ac:dyDescent="0.25">
      <c r="A6094" s="786" t="s">
        <v>10861</v>
      </c>
      <c r="B6094" s="787">
        <v>4</v>
      </c>
      <c r="C6094" s="787" t="s">
        <v>10862</v>
      </c>
      <c r="D6094" s="787">
        <v>0.94</v>
      </c>
      <c r="E6094" s="787">
        <v>5.5</v>
      </c>
      <c r="F6094" s="788">
        <v>39101</v>
      </c>
      <c r="G6094" s="788">
        <v>42044</v>
      </c>
      <c r="H6094" s="787">
        <v>1</v>
      </c>
      <c r="I6094" s="788">
        <v>42024</v>
      </c>
      <c r="J6094" s="788">
        <v>42018</v>
      </c>
      <c r="K6094" s="788">
        <v>41954</v>
      </c>
      <c r="L6094" s="787">
        <v>1.55</v>
      </c>
      <c r="M6094" s="787">
        <v>10</v>
      </c>
      <c r="N6094" s="787">
        <v>4.87</v>
      </c>
      <c r="O6094" s="788">
        <v>42163</v>
      </c>
    </row>
    <row r="6095" spans="1:15" x14ac:dyDescent="0.25">
      <c r="A6095" s="786" t="s">
        <v>10863</v>
      </c>
      <c r="B6095" s="787">
        <v>4</v>
      </c>
      <c r="C6095" s="787" t="s">
        <v>10864</v>
      </c>
      <c r="D6095" s="787">
        <v>1.47</v>
      </c>
      <c r="E6095" s="787">
        <v>5.51</v>
      </c>
      <c r="F6095" s="788">
        <v>39101</v>
      </c>
      <c r="G6095" s="788">
        <v>42044</v>
      </c>
      <c r="H6095" s="787">
        <v>1</v>
      </c>
      <c r="I6095" s="788">
        <v>42024</v>
      </c>
      <c r="J6095" s="788">
        <v>42018</v>
      </c>
      <c r="K6095" s="788">
        <v>41954</v>
      </c>
      <c r="L6095" s="787">
        <v>1.95</v>
      </c>
      <c r="M6095" s="787">
        <v>10</v>
      </c>
      <c r="N6095" s="787">
        <v>5.22</v>
      </c>
      <c r="O6095" s="788">
        <v>42163</v>
      </c>
    </row>
    <row r="6096" spans="1:15" x14ac:dyDescent="0.25">
      <c r="A6096" s="786" t="s">
        <v>10865</v>
      </c>
      <c r="B6096" s="787">
        <v>4</v>
      </c>
      <c r="C6096" s="787" t="s">
        <v>10866</v>
      </c>
      <c r="D6096" s="787">
        <v>1.4</v>
      </c>
      <c r="E6096" s="787">
        <v>2.97</v>
      </c>
      <c r="F6096" s="788">
        <v>39101</v>
      </c>
      <c r="G6096" s="788">
        <v>42044</v>
      </c>
      <c r="H6096" s="787">
        <v>1</v>
      </c>
      <c r="I6096" s="788">
        <v>42024</v>
      </c>
      <c r="J6096" s="788">
        <v>42018</v>
      </c>
      <c r="L6096" s="787">
        <v>0</v>
      </c>
      <c r="M6096" s="787">
        <v>10</v>
      </c>
      <c r="N6096" s="787">
        <v>2.9</v>
      </c>
      <c r="O6096" s="788">
        <v>42163</v>
      </c>
    </row>
    <row r="6097" spans="1:15" x14ac:dyDescent="0.25">
      <c r="A6097" s="786" t="s">
        <v>10867</v>
      </c>
      <c r="B6097" s="787">
        <v>4</v>
      </c>
      <c r="C6097" s="787" t="s">
        <v>10868</v>
      </c>
      <c r="D6097" s="787">
        <v>1.04</v>
      </c>
      <c r="E6097" s="787">
        <v>3.51</v>
      </c>
      <c r="F6097" s="788">
        <v>39101</v>
      </c>
      <c r="G6097" s="788">
        <v>42044</v>
      </c>
      <c r="H6097" s="787">
        <v>1</v>
      </c>
      <c r="I6097" s="788">
        <v>42024</v>
      </c>
      <c r="J6097" s="788">
        <v>42018</v>
      </c>
      <c r="K6097" s="788">
        <v>41954</v>
      </c>
      <c r="L6097" s="787">
        <v>1.5</v>
      </c>
      <c r="M6097" s="787">
        <v>10</v>
      </c>
      <c r="N6097" s="787">
        <v>2.0499999999999998</v>
      </c>
      <c r="O6097" s="788">
        <v>42163</v>
      </c>
    </row>
    <row r="6098" spans="1:15" x14ac:dyDescent="0.25">
      <c r="A6098" s="786" t="s">
        <v>10869</v>
      </c>
      <c r="B6098" s="787">
        <v>4</v>
      </c>
      <c r="C6098" s="787" t="s">
        <v>10870</v>
      </c>
      <c r="D6098" s="787">
        <v>1.1200000000000001</v>
      </c>
      <c r="E6098" s="787">
        <v>8.26</v>
      </c>
      <c r="F6098" s="788">
        <v>39101</v>
      </c>
      <c r="G6098" s="788">
        <v>42044</v>
      </c>
      <c r="H6098" s="787">
        <v>1</v>
      </c>
      <c r="I6098" s="788">
        <v>42024</v>
      </c>
      <c r="J6098" s="788">
        <v>42019</v>
      </c>
      <c r="L6098" s="787">
        <v>0</v>
      </c>
      <c r="M6098" s="787">
        <v>10</v>
      </c>
      <c r="N6098" s="787">
        <v>4.41</v>
      </c>
      <c r="O6098" s="788">
        <v>42163</v>
      </c>
    </row>
    <row r="6099" spans="1:15" x14ac:dyDescent="0.25">
      <c r="A6099" s="786" t="s">
        <v>10871</v>
      </c>
      <c r="B6099" s="787">
        <v>4</v>
      </c>
      <c r="C6099" s="787" t="s">
        <v>10872</v>
      </c>
      <c r="D6099" s="787">
        <v>0.84</v>
      </c>
      <c r="E6099" s="787">
        <v>2.86</v>
      </c>
      <c r="F6099" s="788">
        <v>39101</v>
      </c>
      <c r="G6099" s="788">
        <v>42044</v>
      </c>
      <c r="H6099" s="787">
        <v>1</v>
      </c>
      <c r="I6099" s="788">
        <v>42024</v>
      </c>
      <c r="J6099" s="788">
        <v>42020</v>
      </c>
      <c r="K6099" s="788">
        <v>41954</v>
      </c>
      <c r="L6099" s="787">
        <v>1.9</v>
      </c>
      <c r="M6099" s="787">
        <v>10</v>
      </c>
      <c r="N6099" s="787">
        <v>3</v>
      </c>
      <c r="O6099" s="788">
        <v>42163</v>
      </c>
    </row>
    <row r="6100" spans="1:15" x14ac:dyDescent="0.25">
      <c r="A6100" s="786" t="s">
        <v>10873</v>
      </c>
      <c r="B6100" s="787">
        <v>4</v>
      </c>
      <c r="C6100" s="787" t="s">
        <v>10874</v>
      </c>
      <c r="D6100" s="787">
        <v>0.25</v>
      </c>
      <c r="E6100" s="787">
        <v>2.99</v>
      </c>
      <c r="F6100" s="788">
        <v>39101</v>
      </c>
      <c r="G6100" s="788">
        <v>42044</v>
      </c>
      <c r="H6100" s="787">
        <v>1</v>
      </c>
      <c r="I6100" s="788">
        <v>42024</v>
      </c>
      <c r="J6100" s="788">
        <v>42018</v>
      </c>
      <c r="K6100" s="788">
        <v>41954</v>
      </c>
      <c r="L6100" s="787">
        <v>0.7</v>
      </c>
      <c r="M6100" s="787">
        <v>10</v>
      </c>
      <c r="N6100" s="787">
        <v>1.29</v>
      </c>
      <c r="O6100" s="788">
        <v>42163</v>
      </c>
    </row>
    <row r="6101" spans="1:15" x14ac:dyDescent="0.25">
      <c r="A6101" s="786" t="s">
        <v>10875</v>
      </c>
      <c r="B6101" s="787">
        <v>4</v>
      </c>
      <c r="C6101" s="787" t="s">
        <v>10876</v>
      </c>
      <c r="D6101" s="787">
        <v>1.27</v>
      </c>
      <c r="E6101" s="787">
        <v>6.24</v>
      </c>
      <c r="F6101" s="788">
        <v>39101</v>
      </c>
      <c r="G6101" s="788">
        <v>42044</v>
      </c>
      <c r="H6101" s="787">
        <v>1</v>
      </c>
      <c r="I6101" s="788">
        <v>42024</v>
      </c>
      <c r="J6101" s="788">
        <v>42018</v>
      </c>
      <c r="K6101" s="788">
        <v>41954</v>
      </c>
      <c r="L6101" s="787">
        <v>2.95</v>
      </c>
      <c r="M6101" s="787">
        <v>10</v>
      </c>
      <c r="N6101" s="787">
        <v>4.54</v>
      </c>
      <c r="O6101" s="788">
        <v>42163</v>
      </c>
    </row>
    <row r="6102" spans="1:15" x14ac:dyDescent="0.25">
      <c r="A6102" s="786" t="s">
        <v>10877</v>
      </c>
      <c r="B6102" s="787">
        <v>4</v>
      </c>
      <c r="C6102" s="787" t="s">
        <v>10878</v>
      </c>
      <c r="D6102" s="787">
        <v>0.53</v>
      </c>
      <c r="E6102" s="787">
        <v>7.75</v>
      </c>
      <c r="F6102" s="788">
        <v>39101</v>
      </c>
      <c r="G6102" s="788">
        <v>42044</v>
      </c>
      <c r="H6102" s="787">
        <v>1</v>
      </c>
      <c r="I6102" s="788">
        <v>42024</v>
      </c>
      <c r="J6102" s="788">
        <v>42018</v>
      </c>
      <c r="L6102" s="787">
        <v>0</v>
      </c>
      <c r="M6102" s="787">
        <v>10</v>
      </c>
      <c r="N6102" s="787">
        <v>0.98</v>
      </c>
      <c r="O6102" s="788">
        <v>42163</v>
      </c>
    </row>
    <row r="6103" spans="1:15" x14ac:dyDescent="0.25">
      <c r="A6103" s="786" t="s">
        <v>10879</v>
      </c>
      <c r="B6103" s="787">
        <v>4</v>
      </c>
      <c r="C6103" s="787" t="s">
        <v>10880</v>
      </c>
      <c r="D6103" s="787">
        <v>7.21</v>
      </c>
      <c r="E6103" s="787">
        <v>9.2899999999999991</v>
      </c>
      <c r="F6103" s="788">
        <v>41932</v>
      </c>
      <c r="G6103" s="788">
        <v>42020</v>
      </c>
      <c r="H6103" s="787">
        <v>1</v>
      </c>
      <c r="I6103" s="788">
        <v>42156</v>
      </c>
      <c r="J6103" s="788">
        <v>41991</v>
      </c>
      <c r="K6103" s="788">
        <v>41059</v>
      </c>
      <c r="L6103" s="787">
        <v>9.85</v>
      </c>
      <c r="M6103" s="787">
        <v>10</v>
      </c>
      <c r="N6103" s="787">
        <v>8.77</v>
      </c>
      <c r="O6103" s="788">
        <v>42039</v>
      </c>
    </row>
    <row r="6104" spans="1:15" x14ac:dyDescent="0.25">
      <c r="A6104" s="786" t="s">
        <v>10881</v>
      </c>
      <c r="B6104" s="787">
        <v>4</v>
      </c>
      <c r="C6104" s="787" t="s">
        <v>10882</v>
      </c>
      <c r="D6104" s="787">
        <v>2.91</v>
      </c>
      <c r="E6104" s="787">
        <v>6.85</v>
      </c>
      <c r="F6104" s="788">
        <v>39456</v>
      </c>
      <c r="G6104" s="788">
        <v>42086</v>
      </c>
      <c r="H6104" s="787">
        <v>1</v>
      </c>
      <c r="I6104" s="788">
        <v>42136</v>
      </c>
      <c r="J6104" s="788">
        <v>42055</v>
      </c>
      <c r="K6104" s="788">
        <v>41059</v>
      </c>
      <c r="L6104" s="787">
        <v>4.43</v>
      </c>
      <c r="M6104" s="787">
        <v>10</v>
      </c>
      <c r="N6104" s="787">
        <v>4.53</v>
      </c>
      <c r="O6104" s="788">
        <v>42039</v>
      </c>
    </row>
    <row r="6105" spans="1:15" x14ac:dyDescent="0.25">
      <c r="A6105" s="786" t="s">
        <v>10883</v>
      </c>
      <c r="B6105" s="787">
        <v>4</v>
      </c>
      <c r="C6105" s="787" t="s">
        <v>10884</v>
      </c>
      <c r="D6105" s="787">
        <v>0.1</v>
      </c>
      <c r="E6105" s="787">
        <v>0.64</v>
      </c>
      <c r="F6105" s="788">
        <v>39456</v>
      </c>
      <c r="G6105" s="788">
        <v>42150</v>
      </c>
      <c r="H6105" s="787">
        <v>1</v>
      </c>
      <c r="I6105" s="788">
        <v>42153</v>
      </c>
      <c r="J6105" s="788">
        <v>42150</v>
      </c>
      <c r="L6105" s="787">
        <v>0.21</v>
      </c>
      <c r="M6105" s="787">
        <v>10</v>
      </c>
      <c r="N6105" s="787">
        <v>1.1000000000000001</v>
      </c>
      <c r="O6105" s="788">
        <v>42162</v>
      </c>
    </row>
    <row r="6106" spans="1:15" x14ac:dyDescent="0.25">
      <c r="A6106" s="786" t="s">
        <v>10885</v>
      </c>
      <c r="B6106" s="787">
        <v>4</v>
      </c>
      <c r="C6106" s="787" t="s">
        <v>10886</v>
      </c>
      <c r="D6106" s="787">
        <v>5.87</v>
      </c>
      <c r="E6106" s="787">
        <v>95.87</v>
      </c>
      <c r="F6106" s="788">
        <v>38606</v>
      </c>
      <c r="G6106" s="788">
        <v>38606</v>
      </c>
      <c r="H6106" s="787">
        <v>1</v>
      </c>
      <c r="I6106" s="788">
        <v>38736</v>
      </c>
      <c r="J6106" s="788">
        <v>38372</v>
      </c>
      <c r="L6106" s="787">
        <v>95.79</v>
      </c>
      <c r="M6106" s="787">
        <v>10</v>
      </c>
      <c r="N6106" s="787">
        <v>110.77</v>
      </c>
      <c r="O6106" s="788">
        <v>41858</v>
      </c>
    </row>
    <row r="6107" spans="1:15" x14ac:dyDescent="0.25">
      <c r="A6107" s="786" t="s">
        <v>10887</v>
      </c>
      <c r="B6107" s="787">
        <v>4</v>
      </c>
      <c r="C6107" s="787" t="s">
        <v>10888</v>
      </c>
      <c r="D6107" s="787">
        <v>8.91</v>
      </c>
      <c r="E6107" s="787">
        <v>108.91</v>
      </c>
      <c r="F6107" s="788">
        <v>42067</v>
      </c>
      <c r="G6107" s="788">
        <v>42067</v>
      </c>
      <c r="H6107" s="787">
        <v>1</v>
      </c>
      <c r="I6107" s="788">
        <v>42033</v>
      </c>
      <c r="J6107" s="788">
        <v>42034</v>
      </c>
      <c r="L6107" s="787">
        <v>94.99</v>
      </c>
      <c r="M6107" s="787">
        <v>10</v>
      </c>
      <c r="N6107" s="787">
        <v>137.75</v>
      </c>
      <c r="O6107" s="788">
        <v>42047</v>
      </c>
    </row>
    <row r="6108" spans="1:15" x14ac:dyDescent="0.25">
      <c r="A6108" s="786" t="s">
        <v>10889</v>
      </c>
      <c r="B6108" s="787">
        <v>4</v>
      </c>
      <c r="C6108" s="787" t="s">
        <v>10890</v>
      </c>
      <c r="D6108" s="787">
        <v>0.43</v>
      </c>
      <c r="E6108" s="787">
        <v>1.63</v>
      </c>
      <c r="F6108" s="788">
        <v>39101</v>
      </c>
      <c r="G6108" s="788">
        <v>41255</v>
      </c>
      <c r="H6108" s="787">
        <v>5</v>
      </c>
      <c r="I6108" s="788">
        <v>41348</v>
      </c>
      <c r="J6108" s="788">
        <v>41129</v>
      </c>
      <c r="L6108" s="787">
        <v>0.51</v>
      </c>
      <c r="M6108" s="787">
        <v>10</v>
      </c>
      <c r="N6108" s="787">
        <v>0.65</v>
      </c>
      <c r="O6108" s="788">
        <v>42162</v>
      </c>
    </row>
    <row r="6109" spans="1:15" x14ac:dyDescent="0.25">
      <c r="A6109" s="786" t="s">
        <v>10891</v>
      </c>
      <c r="B6109" s="787">
        <v>4</v>
      </c>
      <c r="C6109" s="787" t="s">
        <v>10892</v>
      </c>
      <c r="D6109" s="787">
        <v>0.84</v>
      </c>
      <c r="E6109" s="787">
        <v>0.84</v>
      </c>
      <c r="F6109" s="788">
        <v>41209</v>
      </c>
      <c r="G6109" s="788">
        <v>41209</v>
      </c>
      <c r="H6109" s="787">
        <v>5</v>
      </c>
      <c r="I6109" s="788">
        <v>41348</v>
      </c>
      <c r="J6109" s="788">
        <v>41068</v>
      </c>
      <c r="L6109" s="787">
        <v>1.18</v>
      </c>
      <c r="M6109" s="787">
        <v>10</v>
      </c>
      <c r="N6109" s="787">
        <v>1.54</v>
      </c>
      <c r="O6109" s="788">
        <v>42162</v>
      </c>
    </row>
    <row r="6110" spans="1:15" x14ac:dyDescent="0.25">
      <c r="A6110" s="786" t="s">
        <v>10893</v>
      </c>
      <c r="B6110" s="787">
        <v>4</v>
      </c>
      <c r="C6110" s="787" t="s">
        <v>10894</v>
      </c>
      <c r="D6110" s="787">
        <v>0.59</v>
      </c>
      <c r="E6110" s="787">
        <v>0.59</v>
      </c>
      <c r="F6110" s="788">
        <v>41209</v>
      </c>
      <c r="G6110" s="788">
        <v>41209</v>
      </c>
      <c r="H6110" s="787">
        <v>5</v>
      </c>
      <c r="I6110" s="788">
        <v>41348</v>
      </c>
      <c r="J6110" s="788">
        <v>41068</v>
      </c>
      <c r="L6110" s="787">
        <v>1.1499999999999999</v>
      </c>
      <c r="M6110" s="787">
        <v>10</v>
      </c>
      <c r="N6110" s="787">
        <v>1.46</v>
      </c>
      <c r="O6110" s="788">
        <v>42162</v>
      </c>
    </row>
    <row r="6111" spans="1:15" x14ac:dyDescent="0.25">
      <c r="A6111" s="786" t="s">
        <v>10895</v>
      </c>
      <c r="B6111" s="787">
        <v>4</v>
      </c>
      <c r="C6111" s="787" t="s">
        <v>10896</v>
      </c>
      <c r="D6111" s="787">
        <v>0.33</v>
      </c>
      <c r="E6111" s="787">
        <v>0.73</v>
      </c>
      <c r="F6111" s="788">
        <v>39456</v>
      </c>
      <c r="G6111" s="788">
        <v>41943</v>
      </c>
      <c r="H6111" s="787">
        <v>1</v>
      </c>
      <c r="I6111" s="788">
        <v>40199</v>
      </c>
      <c r="J6111" s="788">
        <v>39315</v>
      </c>
      <c r="L6111" s="787">
        <v>1.28</v>
      </c>
      <c r="M6111" s="787">
        <v>10</v>
      </c>
      <c r="N6111" s="787">
        <v>3.9</v>
      </c>
      <c r="O6111" s="788">
        <v>41858</v>
      </c>
    </row>
    <row r="6112" spans="1:15" x14ac:dyDescent="0.25">
      <c r="A6112" s="786" t="s">
        <v>10897</v>
      </c>
      <c r="B6112" s="787">
        <v>4</v>
      </c>
      <c r="C6112" s="787" t="s">
        <v>10898</v>
      </c>
      <c r="D6112" s="787">
        <v>0.53</v>
      </c>
      <c r="E6112" s="787">
        <v>0.53</v>
      </c>
      <c r="F6112" s="788">
        <v>41209</v>
      </c>
      <c r="G6112" s="788">
        <v>41255</v>
      </c>
      <c r="H6112" s="787">
        <v>5</v>
      </c>
      <c r="I6112" s="788">
        <v>41348</v>
      </c>
      <c r="J6112" s="788">
        <v>41106</v>
      </c>
      <c r="L6112" s="787">
        <v>0.85</v>
      </c>
      <c r="M6112" s="787">
        <v>10</v>
      </c>
      <c r="N6112" s="787">
        <v>0.82</v>
      </c>
      <c r="O6112" s="788">
        <v>42162</v>
      </c>
    </row>
    <row r="6113" spans="1:15" x14ac:dyDescent="0.25">
      <c r="A6113" s="786" t="s">
        <v>10899</v>
      </c>
      <c r="B6113" s="787">
        <v>4</v>
      </c>
      <c r="C6113" s="787" t="s">
        <v>10900</v>
      </c>
      <c r="D6113" s="787">
        <v>1.89</v>
      </c>
      <c r="E6113" s="787">
        <v>12.49</v>
      </c>
      <c r="F6113" s="788">
        <v>39975</v>
      </c>
      <c r="G6113" s="788">
        <v>39975</v>
      </c>
      <c r="H6113" s="787">
        <v>1</v>
      </c>
      <c r="I6113" s="788">
        <v>39420</v>
      </c>
      <c r="J6113" s="788">
        <v>39101</v>
      </c>
      <c r="L6113" s="787">
        <v>9.0299999999999994</v>
      </c>
      <c r="M6113" s="787">
        <v>10</v>
      </c>
      <c r="N6113" s="787">
        <v>12.79</v>
      </c>
      <c r="O6113" s="788">
        <v>41869</v>
      </c>
    </row>
    <row r="6114" spans="1:15" x14ac:dyDescent="0.25">
      <c r="A6114" s="786" t="s">
        <v>10901</v>
      </c>
      <c r="B6114" s="787">
        <v>4</v>
      </c>
      <c r="C6114" s="787" t="s">
        <v>10902</v>
      </c>
      <c r="D6114" s="787">
        <v>8.25</v>
      </c>
      <c r="E6114" s="787">
        <v>8.25</v>
      </c>
      <c r="F6114" s="788">
        <v>39975</v>
      </c>
      <c r="H6114" s="787">
        <v>1</v>
      </c>
      <c r="I6114" s="788">
        <v>42153</v>
      </c>
      <c r="J6114" s="788">
        <v>39101</v>
      </c>
      <c r="L6114" s="787">
        <v>6.27</v>
      </c>
      <c r="M6114" s="787">
        <v>10</v>
      </c>
      <c r="N6114" s="787">
        <v>6</v>
      </c>
      <c r="O6114" s="788">
        <v>42146</v>
      </c>
    </row>
    <row r="6115" spans="1:15" x14ac:dyDescent="0.25">
      <c r="A6115" s="786" t="s">
        <v>10903</v>
      </c>
      <c r="B6115" s="787">
        <v>4</v>
      </c>
      <c r="C6115" s="787" t="s">
        <v>10904</v>
      </c>
      <c r="D6115" s="787">
        <v>8.3800000000000008</v>
      </c>
      <c r="E6115" s="787">
        <v>8.3800000000000008</v>
      </c>
      <c r="F6115" s="788">
        <v>39975</v>
      </c>
      <c r="G6115" s="788">
        <v>39975</v>
      </c>
      <c r="H6115" s="787">
        <v>1</v>
      </c>
      <c r="I6115" s="788">
        <v>39877</v>
      </c>
      <c r="J6115" s="788">
        <v>39101</v>
      </c>
      <c r="L6115" s="787">
        <v>6.72</v>
      </c>
      <c r="M6115" s="787">
        <v>10</v>
      </c>
      <c r="N6115" s="787">
        <v>9.93</v>
      </c>
      <c r="O6115" s="788">
        <v>41869</v>
      </c>
    </row>
    <row r="6116" spans="1:15" x14ac:dyDescent="0.25">
      <c r="A6116" s="786" t="s">
        <v>10905</v>
      </c>
      <c r="B6116" s="787">
        <v>4</v>
      </c>
      <c r="C6116" s="787" t="s">
        <v>9477</v>
      </c>
      <c r="D6116" s="787">
        <v>2.4300000000000002</v>
      </c>
      <c r="E6116" s="787">
        <v>5.72</v>
      </c>
      <c r="F6116" s="788">
        <v>39456</v>
      </c>
      <c r="G6116" s="788">
        <v>41548</v>
      </c>
      <c r="H6116" s="787">
        <v>1</v>
      </c>
      <c r="I6116" s="788">
        <v>42132</v>
      </c>
      <c r="J6116" s="788">
        <v>41596</v>
      </c>
      <c r="K6116" s="788">
        <v>41596</v>
      </c>
      <c r="L6116" s="787">
        <v>6</v>
      </c>
      <c r="M6116" s="787">
        <v>10</v>
      </c>
      <c r="N6116" s="787">
        <v>5.3</v>
      </c>
      <c r="O6116" s="788">
        <v>41858</v>
      </c>
    </row>
    <row r="6117" spans="1:15" x14ac:dyDescent="0.25">
      <c r="A6117" s="786" t="s">
        <v>10906</v>
      </c>
      <c r="B6117" s="787">
        <v>4</v>
      </c>
      <c r="C6117" s="787" t="s">
        <v>10360</v>
      </c>
      <c r="D6117" s="787">
        <v>2.2000000000000002</v>
      </c>
      <c r="E6117" s="787">
        <v>15.39</v>
      </c>
      <c r="F6117" s="788">
        <v>39456</v>
      </c>
      <c r="G6117" s="788">
        <v>41548</v>
      </c>
      <c r="H6117" s="787">
        <v>1</v>
      </c>
      <c r="I6117" s="788">
        <v>42132</v>
      </c>
      <c r="J6117" s="788">
        <v>41596</v>
      </c>
      <c r="K6117" s="788">
        <v>41596</v>
      </c>
      <c r="L6117" s="787">
        <v>6</v>
      </c>
      <c r="M6117" s="787">
        <v>10</v>
      </c>
      <c r="N6117" s="787">
        <v>5.01</v>
      </c>
      <c r="O6117" s="788">
        <v>41858</v>
      </c>
    </row>
    <row r="6118" spans="1:15" x14ac:dyDescent="0.25">
      <c r="A6118" s="786" t="s">
        <v>10907</v>
      </c>
      <c r="B6118" s="787">
        <v>4</v>
      </c>
      <c r="C6118" s="787" t="s">
        <v>10908</v>
      </c>
      <c r="D6118" s="787">
        <v>3.89</v>
      </c>
      <c r="E6118" s="787">
        <v>33.46</v>
      </c>
      <c r="F6118" s="788">
        <v>39101</v>
      </c>
      <c r="G6118" s="788">
        <v>41906</v>
      </c>
      <c r="H6118" s="787">
        <v>1</v>
      </c>
      <c r="I6118" s="788">
        <v>42153</v>
      </c>
      <c r="J6118" s="788">
        <v>41869</v>
      </c>
      <c r="K6118" s="788">
        <v>41596</v>
      </c>
      <c r="L6118" s="787">
        <v>6</v>
      </c>
      <c r="M6118" s="787">
        <v>10</v>
      </c>
      <c r="N6118" s="787">
        <v>5.3</v>
      </c>
      <c r="O6118" s="788">
        <v>42146</v>
      </c>
    </row>
    <row r="6119" spans="1:15" x14ac:dyDescent="0.25">
      <c r="A6119" s="786" t="s">
        <v>10909</v>
      </c>
      <c r="B6119" s="787">
        <v>4</v>
      </c>
      <c r="C6119" s="787" t="s">
        <v>9483</v>
      </c>
      <c r="D6119" s="787">
        <v>3.64</v>
      </c>
      <c r="E6119" s="787">
        <v>47.94</v>
      </c>
      <c r="F6119" s="788">
        <v>39101</v>
      </c>
      <c r="G6119" s="788">
        <v>41906</v>
      </c>
      <c r="H6119" s="787">
        <v>1</v>
      </c>
      <c r="I6119" s="788">
        <v>42090</v>
      </c>
      <c r="J6119" s="788">
        <v>41869</v>
      </c>
      <c r="K6119" s="788">
        <v>41596</v>
      </c>
      <c r="L6119" s="787">
        <v>6</v>
      </c>
      <c r="M6119" s="787">
        <v>10</v>
      </c>
      <c r="N6119" s="787">
        <v>5.01</v>
      </c>
      <c r="O6119" s="788">
        <v>42146</v>
      </c>
    </row>
    <row r="6120" spans="1:15" x14ac:dyDescent="0.25">
      <c r="A6120" s="786" t="s">
        <v>10910</v>
      </c>
      <c r="B6120" s="787">
        <v>4</v>
      </c>
      <c r="C6120" s="787" t="s">
        <v>10911</v>
      </c>
      <c r="D6120" s="787">
        <v>1.8</v>
      </c>
      <c r="E6120" s="787">
        <v>10.39</v>
      </c>
      <c r="F6120" s="788">
        <v>39456</v>
      </c>
      <c r="G6120" s="788">
        <v>42165</v>
      </c>
      <c r="H6120" s="787">
        <v>1</v>
      </c>
      <c r="I6120" s="788">
        <v>42153</v>
      </c>
      <c r="J6120" s="788">
        <v>42165</v>
      </c>
      <c r="L6120" s="787">
        <v>3.9</v>
      </c>
      <c r="M6120" s="787">
        <v>10</v>
      </c>
      <c r="N6120" s="787">
        <v>5.66</v>
      </c>
      <c r="O6120" s="788">
        <v>42146</v>
      </c>
    </row>
    <row r="6121" spans="1:15" x14ac:dyDescent="0.25">
      <c r="A6121" s="786" t="s">
        <v>10912</v>
      </c>
      <c r="B6121" s="787">
        <v>4</v>
      </c>
      <c r="C6121" s="787" t="s">
        <v>10913</v>
      </c>
      <c r="D6121" s="787">
        <v>0.79</v>
      </c>
      <c r="E6121" s="787">
        <v>1.65</v>
      </c>
      <c r="F6121" s="788">
        <v>39456</v>
      </c>
      <c r="G6121" s="788">
        <v>41943</v>
      </c>
      <c r="H6121" s="787">
        <v>1</v>
      </c>
      <c r="I6121" s="788">
        <v>41968</v>
      </c>
      <c r="J6121" s="788">
        <v>40422</v>
      </c>
      <c r="L6121" s="787">
        <v>1.95</v>
      </c>
      <c r="M6121" s="787">
        <v>10</v>
      </c>
      <c r="N6121" s="787">
        <v>3.16</v>
      </c>
      <c r="O6121" s="788">
        <v>42038</v>
      </c>
    </row>
    <row r="6122" spans="1:15" x14ac:dyDescent="0.25">
      <c r="A6122" s="786" t="s">
        <v>10914</v>
      </c>
      <c r="B6122" s="787">
        <v>4</v>
      </c>
      <c r="C6122" s="787" t="s">
        <v>10915</v>
      </c>
      <c r="D6122" s="787">
        <v>6.87</v>
      </c>
      <c r="E6122" s="787">
        <v>6.87</v>
      </c>
      <c r="F6122" s="788">
        <v>39975</v>
      </c>
      <c r="G6122" s="788">
        <v>39975</v>
      </c>
      <c r="H6122" s="787">
        <v>1</v>
      </c>
      <c r="I6122" s="788">
        <v>39211</v>
      </c>
      <c r="J6122" s="788">
        <v>39101</v>
      </c>
      <c r="L6122" s="787">
        <v>5.53</v>
      </c>
      <c r="M6122" s="787">
        <v>10</v>
      </c>
      <c r="N6122" s="787">
        <v>8.49</v>
      </c>
      <c r="O6122" s="788">
        <v>41869</v>
      </c>
    </row>
    <row r="6123" spans="1:15" x14ac:dyDescent="0.25">
      <c r="A6123" s="786" t="s">
        <v>10916</v>
      </c>
      <c r="B6123" s="787">
        <v>4</v>
      </c>
      <c r="C6123" s="787" t="s">
        <v>10917</v>
      </c>
      <c r="D6123" s="787">
        <v>0</v>
      </c>
      <c r="E6123" s="787">
        <v>0</v>
      </c>
      <c r="H6123" s="787">
        <v>1</v>
      </c>
      <c r="I6123" s="788">
        <v>39057</v>
      </c>
      <c r="J6123" s="788">
        <v>39101</v>
      </c>
      <c r="L6123" s="787">
        <v>4.58</v>
      </c>
      <c r="M6123" s="787">
        <v>10</v>
      </c>
      <c r="N6123" s="787">
        <v>6.91</v>
      </c>
      <c r="O6123" s="788">
        <v>41869</v>
      </c>
    </row>
    <row r="6124" spans="1:15" x14ac:dyDescent="0.25">
      <c r="A6124" s="786" t="s">
        <v>10918</v>
      </c>
      <c r="B6124" s="787">
        <v>4</v>
      </c>
      <c r="C6124" s="787" t="s">
        <v>10919</v>
      </c>
      <c r="D6124" s="787">
        <v>0.17</v>
      </c>
      <c r="E6124" s="787">
        <v>0.67</v>
      </c>
      <c r="F6124" s="788">
        <v>39456</v>
      </c>
      <c r="G6124" s="788">
        <v>41943</v>
      </c>
      <c r="H6124" s="787">
        <v>1</v>
      </c>
      <c r="I6124" s="788">
        <v>41968</v>
      </c>
      <c r="J6124" s="788">
        <v>40054</v>
      </c>
      <c r="L6124" s="787">
        <v>0.7</v>
      </c>
      <c r="M6124" s="787">
        <v>10</v>
      </c>
      <c r="N6124" s="787">
        <v>1.04</v>
      </c>
      <c r="O6124" s="788">
        <v>41869</v>
      </c>
    </row>
    <row r="6125" spans="1:15" x14ac:dyDescent="0.25">
      <c r="A6125" s="786" t="s">
        <v>10920</v>
      </c>
      <c r="B6125" s="787">
        <v>4</v>
      </c>
      <c r="C6125" s="787" t="s">
        <v>10921</v>
      </c>
      <c r="D6125" s="787">
        <v>0.84</v>
      </c>
      <c r="E6125" s="787">
        <v>1.29</v>
      </c>
      <c r="F6125" s="788">
        <v>39456</v>
      </c>
      <c r="G6125" s="788">
        <v>41943</v>
      </c>
      <c r="H6125" s="787">
        <v>1</v>
      </c>
      <c r="I6125" s="788">
        <v>41061</v>
      </c>
      <c r="J6125" s="788">
        <v>39974</v>
      </c>
      <c r="L6125" s="787">
        <v>0</v>
      </c>
      <c r="M6125" s="787">
        <v>10</v>
      </c>
      <c r="N6125" s="787">
        <v>2.14</v>
      </c>
      <c r="O6125" s="788">
        <v>41858</v>
      </c>
    </row>
    <row r="6126" spans="1:15" x14ac:dyDescent="0.25">
      <c r="A6126" s="786" t="s">
        <v>10922</v>
      </c>
      <c r="B6126" s="787">
        <v>4</v>
      </c>
      <c r="C6126" s="787" t="s">
        <v>10923</v>
      </c>
      <c r="D6126" s="787">
        <v>0</v>
      </c>
      <c r="E6126" s="787">
        <v>0</v>
      </c>
      <c r="H6126" s="787">
        <v>1</v>
      </c>
      <c r="I6126" s="788">
        <v>39387</v>
      </c>
      <c r="J6126" s="788">
        <v>39101</v>
      </c>
      <c r="L6126" s="787">
        <v>28.83</v>
      </c>
      <c r="M6126" s="787">
        <v>10</v>
      </c>
      <c r="N6126" s="787">
        <v>27.57</v>
      </c>
      <c r="O6126" s="788">
        <v>41858</v>
      </c>
    </row>
    <row r="6127" spans="1:15" x14ac:dyDescent="0.25">
      <c r="A6127" s="786" t="s">
        <v>10924</v>
      </c>
      <c r="B6127" s="787">
        <v>4</v>
      </c>
      <c r="C6127" s="787" t="s">
        <v>10925</v>
      </c>
      <c r="D6127" s="787">
        <v>0</v>
      </c>
      <c r="E6127" s="787">
        <v>0</v>
      </c>
      <c r="H6127" s="787">
        <v>1</v>
      </c>
      <c r="I6127" s="788">
        <v>39387</v>
      </c>
      <c r="J6127" s="788">
        <v>39101</v>
      </c>
      <c r="L6127" s="787">
        <v>28.83</v>
      </c>
      <c r="M6127" s="787">
        <v>10</v>
      </c>
      <c r="N6127" s="787">
        <v>29.31</v>
      </c>
      <c r="O6127" s="788">
        <v>41858</v>
      </c>
    </row>
    <row r="6128" spans="1:15" x14ac:dyDescent="0.25">
      <c r="A6128" s="786" t="s">
        <v>10926</v>
      </c>
      <c r="B6128" s="787">
        <v>4</v>
      </c>
      <c r="C6128" s="787" t="s">
        <v>10927</v>
      </c>
      <c r="D6128" s="787">
        <v>0.01</v>
      </c>
      <c r="E6128" s="787">
        <v>197.41</v>
      </c>
      <c r="F6128" s="788">
        <v>39975</v>
      </c>
      <c r="G6128" s="788">
        <v>41775</v>
      </c>
      <c r="H6128" s="787">
        <v>1</v>
      </c>
      <c r="I6128" s="788">
        <v>42023</v>
      </c>
      <c r="J6128" s="788">
        <v>42023</v>
      </c>
      <c r="L6128" s="787">
        <v>30.15</v>
      </c>
      <c r="M6128" s="787">
        <v>10</v>
      </c>
      <c r="N6128" s="787">
        <v>30.97</v>
      </c>
      <c r="O6128" s="788">
        <v>41858</v>
      </c>
    </row>
    <row r="6129" spans="1:15" x14ac:dyDescent="0.25">
      <c r="A6129" s="786" t="s">
        <v>10928</v>
      </c>
      <c r="B6129" s="787">
        <v>4</v>
      </c>
      <c r="C6129" s="787" t="s">
        <v>10929</v>
      </c>
      <c r="D6129" s="787">
        <v>6.24</v>
      </c>
      <c r="E6129" s="787">
        <v>176.24</v>
      </c>
      <c r="F6129" s="788">
        <v>41775</v>
      </c>
      <c r="G6129" s="788">
        <v>41775</v>
      </c>
      <c r="H6129" s="787">
        <v>1</v>
      </c>
      <c r="I6129" s="788">
        <v>42023</v>
      </c>
      <c r="J6129" s="788">
        <v>41596</v>
      </c>
      <c r="L6129" s="787">
        <v>30.15</v>
      </c>
      <c r="M6129" s="787">
        <v>10</v>
      </c>
      <c r="N6129" s="787">
        <v>30.59</v>
      </c>
      <c r="O6129" s="788">
        <v>41869</v>
      </c>
    </row>
    <row r="6130" spans="1:15" x14ac:dyDescent="0.25">
      <c r="A6130" s="786" t="s">
        <v>10930</v>
      </c>
      <c r="B6130" s="787">
        <v>4</v>
      </c>
      <c r="C6130" s="787" t="s">
        <v>10931</v>
      </c>
      <c r="D6130" s="787">
        <v>0.27</v>
      </c>
      <c r="E6130" s="787">
        <v>1.49</v>
      </c>
      <c r="F6130" s="788">
        <v>41474</v>
      </c>
      <c r="G6130" s="788">
        <v>42166</v>
      </c>
      <c r="H6130" s="787">
        <v>1</v>
      </c>
      <c r="I6130" s="788">
        <v>42166</v>
      </c>
      <c r="J6130" s="788">
        <v>42166</v>
      </c>
      <c r="K6130" s="788">
        <v>41127</v>
      </c>
      <c r="L6130" s="787">
        <v>1.25</v>
      </c>
      <c r="M6130" s="787">
        <v>10</v>
      </c>
      <c r="N6130" s="787">
        <v>1.1399999999999999</v>
      </c>
      <c r="O6130" s="788">
        <v>42162</v>
      </c>
    </row>
    <row r="6131" spans="1:15" x14ac:dyDescent="0.25">
      <c r="A6131" s="786" t="s">
        <v>10932</v>
      </c>
      <c r="B6131" s="787">
        <v>4</v>
      </c>
      <c r="C6131" s="787" t="s">
        <v>10933</v>
      </c>
      <c r="D6131" s="787">
        <v>0</v>
      </c>
      <c r="E6131" s="787">
        <v>0</v>
      </c>
      <c r="H6131" s="787">
        <v>1</v>
      </c>
      <c r="I6131" s="788">
        <v>41975</v>
      </c>
      <c r="J6131" s="788">
        <v>39101</v>
      </c>
      <c r="L6131" s="787">
        <v>8.15</v>
      </c>
      <c r="M6131" s="787">
        <v>10</v>
      </c>
      <c r="N6131" s="787">
        <v>12.55</v>
      </c>
      <c r="O6131" s="788">
        <v>42146</v>
      </c>
    </row>
    <row r="6132" spans="1:15" x14ac:dyDescent="0.25">
      <c r="A6132" s="786" t="s">
        <v>10934</v>
      </c>
      <c r="B6132" s="787">
        <v>4</v>
      </c>
      <c r="C6132" s="787" t="s">
        <v>10935</v>
      </c>
      <c r="D6132" s="787">
        <v>0</v>
      </c>
      <c r="E6132" s="787">
        <v>0</v>
      </c>
      <c r="H6132" s="787">
        <v>1</v>
      </c>
      <c r="I6132" s="788">
        <v>41975</v>
      </c>
      <c r="J6132" s="788">
        <v>41710</v>
      </c>
      <c r="K6132" s="788">
        <v>41710</v>
      </c>
      <c r="L6132" s="787">
        <v>12</v>
      </c>
      <c r="M6132" s="787">
        <v>10</v>
      </c>
      <c r="N6132" s="787">
        <v>12.55</v>
      </c>
      <c r="O6132" s="788">
        <v>42146</v>
      </c>
    </row>
    <row r="6133" spans="1:15" x14ac:dyDescent="0.25">
      <c r="A6133" s="786" t="s">
        <v>10936</v>
      </c>
      <c r="B6133" s="787">
        <v>4</v>
      </c>
      <c r="C6133" s="787" t="s">
        <v>10937</v>
      </c>
      <c r="D6133" s="787">
        <v>4.07</v>
      </c>
      <c r="E6133" s="787">
        <v>14.07</v>
      </c>
      <c r="F6133" s="788">
        <v>41548</v>
      </c>
      <c r="G6133" s="788">
        <v>41548</v>
      </c>
      <c r="H6133" s="787">
        <v>1</v>
      </c>
      <c r="I6133" s="788">
        <v>42023</v>
      </c>
      <c r="J6133" s="788">
        <v>41512</v>
      </c>
      <c r="L6133" s="787">
        <v>6.48</v>
      </c>
      <c r="M6133" s="787">
        <v>10</v>
      </c>
      <c r="N6133" s="787">
        <v>3.24</v>
      </c>
      <c r="O6133" s="788">
        <v>42146</v>
      </c>
    </row>
    <row r="6134" spans="1:15" x14ac:dyDescent="0.25">
      <c r="A6134" s="786" t="s">
        <v>10938</v>
      </c>
      <c r="B6134" s="787">
        <v>4</v>
      </c>
      <c r="C6134" s="787" t="s">
        <v>10939</v>
      </c>
      <c r="D6134" s="787">
        <v>1.63</v>
      </c>
      <c r="E6134" s="787">
        <v>1.63</v>
      </c>
      <c r="F6134" s="788">
        <v>41548</v>
      </c>
      <c r="G6134" s="788">
        <v>41548</v>
      </c>
      <c r="H6134" s="787">
        <v>1</v>
      </c>
      <c r="I6134" s="788">
        <v>42023</v>
      </c>
      <c r="J6134" s="788">
        <v>41512</v>
      </c>
      <c r="L6134" s="787">
        <v>6.48</v>
      </c>
      <c r="M6134" s="787">
        <v>10</v>
      </c>
      <c r="N6134" s="787">
        <v>4.97</v>
      </c>
      <c r="O6134" s="788">
        <v>42146</v>
      </c>
    </row>
    <row r="6135" spans="1:15" x14ac:dyDescent="0.25">
      <c r="A6135" s="786" t="s">
        <v>10940</v>
      </c>
      <c r="B6135" s="787">
        <v>4</v>
      </c>
      <c r="C6135" s="787" t="s">
        <v>10941</v>
      </c>
      <c r="D6135" s="787">
        <v>0.23</v>
      </c>
      <c r="E6135" s="787">
        <v>0.94</v>
      </c>
      <c r="F6135" s="788">
        <v>39456</v>
      </c>
      <c r="G6135" s="788">
        <v>42163</v>
      </c>
      <c r="H6135" s="787">
        <v>1</v>
      </c>
      <c r="I6135" s="788">
        <v>42166</v>
      </c>
      <c r="J6135" s="788">
        <v>42156</v>
      </c>
      <c r="K6135" s="788">
        <v>41127</v>
      </c>
      <c r="L6135" s="787">
        <v>1.33</v>
      </c>
      <c r="M6135" s="787">
        <v>10</v>
      </c>
      <c r="N6135" s="787">
        <v>1.95</v>
      </c>
      <c r="O6135" s="788">
        <v>42153</v>
      </c>
    </row>
    <row r="6136" spans="1:15" x14ac:dyDescent="0.25">
      <c r="A6136" s="786" t="s">
        <v>10942</v>
      </c>
      <c r="B6136" s="787">
        <v>4</v>
      </c>
      <c r="C6136" s="787" t="s">
        <v>10943</v>
      </c>
      <c r="D6136" s="787">
        <v>2.72</v>
      </c>
      <c r="E6136" s="787">
        <v>2.72</v>
      </c>
      <c r="F6136" s="788">
        <v>41548</v>
      </c>
      <c r="G6136" s="788">
        <v>41548</v>
      </c>
      <c r="H6136" s="787">
        <v>1</v>
      </c>
      <c r="I6136" s="788">
        <v>42023</v>
      </c>
      <c r="J6136" s="788">
        <v>41512</v>
      </c>
      <c r="L6136" s="787">
        <v>8.7899999999999991</v>
      </c>
      <c r="M6136" s="787">
        <v>10</v>
      </c>
      <c r="N6136" s="787">
        <v>6.55</v>
      </c>
      <c r="O6136" s="788">
        <v>41869</v>
      </c>
    </row>
    <row r="6137" spans="1:15" x14ac:dyDescent="0.25">
      <c r="A6137" s="786" t="s">
        <v>10944</v>
      </c>
      <c r="B6137" s="787">
        <v>4</v>
      </c>
      <c r="C6137" s="787" t="s">
        <v>10945</v>
      </c>
      <c r="D6137" s="787">
        <v>2.72</v>
      </c>
      <c r="E6137" s="787">
        <v>2.72</v>
      </c>
      <c r="F6137" s="788">
        <v>41548</v>
      </c>
      <c r="G6137" s="788">
        <v>41548</v>
      </c>
      <c r="H6137" s="787">
        <v>1</v>
      </c>
      <c r="I6137" s="788">
        <v>42023</v>
      </c>
      <c r="J6137" s="788">
        <v>41512</v>
      </c>
      <c r="L6137" s="787">
        <v>8.7899999999999991</v>
      </c>
      <c r="M6137" s="787">
        <v>10</v>
      </c>
      <c r="N6137" s="787">
        <v>6.55</v>
      </c>
      <c r="O6137" s="788">
        <v>41869</v>
      </c>
    </row>
    <row r="6138" spans="1:15" x14ac:dyDescent="0.25">
      <c r="A6138" s="786" t="s">
        <v>10946</v>
      </c>
      <c r="B6138" s="787">
        <v>4</v>
      </c>
      <c r="C6138" s="787" t="s">
        <v>10947</v>
      </c>
      <c r="D6138" s="787">
        <v>2.75</v>
      </c>
      <c r="E6138" s="787">
        <v>12.75</v>
      </c>
      <c r="F6138" s="788">
        <v>41548</v>
      </c>
      <c r="G6138" s="788">
        <v>41548</v>
      </c>
      <c r="H6138" s="787">
        <v>1</v>
      </c>
      <c r="I6138" s="788">
        <v>42023</v>
      </c>
      <c r="J6138" s="788">
        <v>41575</v>
      </c>
      <c r="L6138" s="787">
        <v>6.23</v>
      </c>
      <c r="M6138" s="787">
        <v>10</v>
      </c>
      <c r="N6138" s="787">
        <v>3.19</v>
      </c>
      <c r="O6138" s="788">
        <v>41869</v>
      </c>
    </row>
    <row r="6139" spans="1:15" x14ac:dyDescent="0.25">
      <c r="A6139" s="786" t="s">
        <v>10948</v>
      </c>
      <c r="B6139" s="787">
        <v>4</v>
      </c>
      <c r="C6139" s="787" t="s">
        <v>10949</v>
      </c>
      <c r="D6139" s="787">
        <v>0.59</v>
      </c>
      <c r="E6139" s="787">
        <v>0.59</v>
      </c>
      <c r="F6139" s="788">
        <v>41548</v>
      </c>
      <c r="G6139" s="788">
        <v>41548</v>
      </c>
      <c r="H6139" s="787">
        <v>1</v>
      </c>
      <c r="I6139" s="788">
        <v>42023</v>
      </c>
      <c r="J6139" s="788">
        <v>41596</v>
      </c>
      <c r="L6139" s="787">
        <v>6.23</v>
      </c>
      <c r="M6139" s="787">
        <v>10</v>
      </c>
      <c r="N6139" s="787">
        <v>3.19</v>
      </c>
      <c r="O6139" s="788">
        <v>41869</v>
      </c>
    </row>
    <row r="6140" spans="1:15" x14ac:dyDescent="0.25">
      <c r="A6140" s="786" t="s">
        <v>10950</v>
      </c>
      <c r="B6140" s="787">
        <v>4</v>
      </c>
      <c r="C6140" s="787" t="s">
        <v>10951</v>
      </c>
      <c r="D6140" s="787">
        <v>1.83</v>
      </c>
      <c r="E6140" s="787">
        <v>4.8499999999999996</v>
      </c>
      <c r="F6140" s="788">
        <v>39456</v>
      </c>
      <c r="G6140" s="788">
        <v>41548</v>
      </c>
      <c r="H6140" s="787">
        <v>1</v>
      </c>
      <c r="I6140" s="788">
        <v>42116</v>
      </c>
      <c r="J6140" s="788">
        <v>41512</v>
      </c>
      <c r="K6140" s="788">
        <v>41479</v>
      </c>
      <c r="L6140" s="787">
        <v>3</v>
      </c>
      <c r="M6140" s="787">
        <v>10</v>
      </c>
      <c r="N6140" s="787">
        <v>3.27</v>
      </c>
      <c r="O6140" s="788">
        <v>41869</v>
      </c>
    </row>
    <row r="6141" spans="1:15" x14ac:dyDescent="0.25">
      <c r="A6141" s="786" t="s">
        <v>10952</v>
      </c>
      <c r="B6141" s="787">
        <v>4</v>
      </c>
      <c r="C6141" s="787" t="s">
        <v>10953</v>
      </c>
      <c r="D6141" s="787">
        <v>0.09</v>
      </c>
      <c r="E6141" s="787">
        <v>0.09</v>
      </c>
      <c r="F6141" s="788">
        <v>41548</v>
      </c>
      <c r="G6141" s="788">
        <v>41548</v>
      </c>
      <c r="H6141" s="787">
        <v>1</v>
      </c>
      <c r="I6141" s="788">
        <v>42116</v>
      </c>
      <c r="J6141" s="788">
        <v>41512</v>
      </c>
      <c r="K6141" s="788">
        <v>41479</v>
      </c>
      <c r="L6141" s="787">
        <v>5</v>
      </c>
      <c r="M6141" s="787">
        <v>10</v>
      </c>
      <c r="N6141" s="787">
        <v>3.24</v>
      </c>
      <c r="O6141" s="788">
        <v>41869</v>
      </c>
    </row>
    <row r="6142" spans="1:15" x14ac:dyDescent="0.25">
      <c r="A6142" s="786" t="s">
        <v>10954</v>
      </c>
      <c r="B6142" s="787">
        <v>4</v>
      </c>
      <c r="C6142" s="787" t="s">
        <v>10955</v>
      </c>
      <c r="D6142" s="787">
        <v>0.59</v>
      </c>
      <c r="E6142" s="787">
        <v>0.59</v>
      </c>
      <c r="F6142" s="788">
        <v>41548</v>
      </c>
      <c r="G6142" s="788">
        <v>41548</v>
      </c>
      <c r="H6142" s="787">
        <v>1</v>
      </c>
      <c r="I6142" s="788">
        <v>42023</v>
      </c>
      <c r="J6142" s="788">
        <v>42023</v>
      </c>
      <c r="L6142" s="787">
        <v>6.23</v>
      </c>
      <c r="M6142" s="787">
        <v>10</v>
      </c>
      <c r="N6142" s="787">
        <v>3.19</v>
      </c>
      <c r="O6142" s="788">
        <v>41869</v>
      </c>
    </row>
    <row r="6143" spans="1:15" x14ac:dyDescent="0.25">
      <c r="A6143" s="786" t="s">
        <v>10956</v>
      </c>
      <c r="B6143" s="787">
        <v>4</v>
      </c>
      <c r="C6143" s="787" t="s">
        <v>10957</v>
      </c>
      <c r="D6143" s="787">
        <v>0.59</v>
      </c>
      <c r="E6143" s="787">
        <v>0.59</v>
      </c>
      <c r="F6143" s="788">
        <v>41548</v>
      </c>
      <c r="G6143" s="788">
        <v>41548</v>
      </c>
      <c r="H6143" s="787">
        <v>1</v>
      </c>
      <c r="I6143" s="788">
        <v>42023</v>
      </c>
      <c r="J6143" s="788">
        <v>42024</v>
      </c>
      <c r="L6143" s="787">
        <v>6.23</v>
      </c>
      <c r="M6143" s="787">
        <v>10</v>
      </c>
      <c r="N6143" s="787">
        <v>3.19</v>
      </c>
      <c r="O6143" s="788">
        <v>41869</v>
      </c>
    </row>
    <row r="6144" spans="1:15" x14ac:dyDescent="0.25">
      <c r="A6144" s="786" t="s">
        <v>10958</v>
      </c>
      <c r="B6144" s="787">
        <v>4</v>
      </c>
      <c r="C6144" s="787" t="s">
        <v>10959</v>
      </c>
      <c r="D6144" s="787">
        <v>1.59</v>
      </c>
      <c r="E6144" s="787">
        <v>1.59</v>
      </c>
      <c r="F6144" s="788">
        <v>39101</v>
      </c>
      <c r="G6144" s="788">
        <v>41565</v>
      </c>
      <c r="H6144" s="787">
        <v>1</v>
      </c>
      <c r="I6144" s="788">
        <v>41968</v>
      </c>
      <c r="J6144" s="788">
        <v>39149</v>
      </c>
      <c r="L6144" s="787">
        <v>0</v>
      </c>
      <c r="M6144" s="787">
        <v>10</v>
      </c>
      <c r="N6144" s="787">
        <v>4.57</v>
      </c>
      <c r="O6144" s="788">
        <v>41869</v>
      </c>
    </row>
    <row r="6145" spans="1:15" x14ac:dyDescent="0.25">
      <c r="A6145" s="786" t="s">
        <v>10960</v>
      </c>
      <c r="B6145" s="787">
        <v>4</v>
      </c>
      <c r="C6145" s="787" t="s">
        <v>10961</v>
      </c>
      <c r="D6145" s="787">
        <v>0.6</v>
      </c>
      <c r="E6145" s="787">
        <v>1.01</v>
      </c>
      <c r="F6145" s="788">
        <v>39101</v>
      </c>
      <c r="G6145" s="788">
        <v>41943</v>
      </c>
      <c r="H6145" s="787">
        <v>1</v>
      </c>
      <c r="I6145" s="788">
        <v>42023</v>
      </c>
      <c r="J6145" s="788">
        <v>42024</v>
      </c>
      <c r="K6145" s="788">
        <v>41484</v>
      </c>
      <c r="L6145" s="787">
        <v>1.5</v>
      </c>
      <c r="M6145" s="787">
        <v>10</v>
      </c>
      <c r="N6145" s="787">
        <v>1.67</v>
      </c>
      <c r="O6145" s="788">
        <v>41858</v>
      </c>
    </row>
    <row r="6146" spans="1:15" x14ac:dyDescent="0.25">
      <c r="A6146" s="786" t="s">
        <v>10962</v>
      </c>
      <c r="B6146" s="787">
        <v>4</v>
      </c>
      <c r="C6146" s="787" t="s">
        <v>10963</v>
      </c>
      <c r="D6146" s="787">
        <v>0.5</v>
      </c>
      <c r="E6146" s="787">
        <v>0.5</v>
      </c>
      <c r="F6146" s="788">
        <v>41548</v>
      </c>
      <c r="G6146" s="788">
        <v>41943</v>
      </c>
      <c r="H6146" s="787">
        <v>1</v>
      </c>
      <c r="I6146" s="788">
        <v>42023</v>
      </c>
      <c r="J6146" s="788">
        <v>42024</v>
      </c>
      <c r="K6146" s="788">
        <v>41484</v>
      </c>
      <c r="L6146" s="787">
        <v>1.5</v>
      </c>
      <c r="M6146" s="787">
        <v>10</v>
      </c>
      <c r="N6146" s="787">
        <v>2.0699999999999998</v>
      </c>
      <c r="O6146" s="788">
        <v>41858</v>
      </c>
    </row>
    <row r="6147" spans="1:15" x14ac:dyDescent="0.25">
      <c r="A6147" s="786" t="s">
        <v>10964</v>
      </c>
      <c r="B6147" s="787">
        <v>4</v>
      </c>
      <c r="C6147" s="787" t="s">
        <v>10965</v>
      </c>
      <c r="D6147" s="787">
        <v>0.01</v>
      </c>
      <c r="E6147" s="787">
        <v>7.0000000000000007E-2</v>
      </c>
      <c r="F6147" s="788">
        <v>39974</v>
      </c>
      <c r="G6147" s="788">
        <v>42163</v>
      </c>
      <c r="H6147" s="787">
        <v>1</v>
      </c>
      <c r="I6147" s="788">
        <v>42165</v>
      </c>
      <c r="J6147" s="788">
        <v>42163</v>
      </c>
      <c r="L6147" s="787">
        <v>0.06</v>
      </c>
      <c r="M6147" s="787">
        <v>10</v>
      </c>
      <c r="N6147" s="787">
        <v>0.15</v>
      </c>
      <c r="O6147" s="788">
        <v>42146</v>
      </c>
    </row>
    <row r="6148" spans="1:15" x14ac:dyDescent="0.25">
      <c r="A6148" s="786" t="s">
        <v>10966</v>
      </c>
      <c r="B6148" s="787">
        <v>4</v>
      </c>
      <c r="C6148" s="787" t="s">
        <v>10967</v>
      </c>
      <c r="D6148" s="787">
        <v>0</v>
      </c>
      <c r="E6148" s="787">
        <v>0</v>
      </c>
      <c r="H6148" s="787">
        <v>1</v>
      </c>
      <c r="L6148" s="787">
        <v>0</v>
      </c>
      <c r="M6148" s="787">
        <v>10</v>
      </c>
      <c r="N6148" s="787">
        <v>11.04</v>
      </c>
      <c r="O6148" s="788">
        <v>41858</v>
      </c>
    </row>
    <row r="6149" spans="1:15" x14ac:dyDescent="0.25">
      <c r="A6149" s="786" t="s">
        <v>10968</v>
      </c>
      <c r="B6149" s="787">
        <v>4</v>
      </c>
      <c r="C6149" s="787" t="s">
        <v>10969</v>
      </c>
      <c r="D6149" s="787">
        <v>0</v>
      </c>
      <c r="E6149" s="787">
        <v>0</v>
      </c>
      <c r="H6149" s="787">
        <v>1</v>
      </c>
      <c r="L6149" s="787">
        <v>0</v>
      </c>
      <c r="M6149" s="787">
        <v>10</v>
      </c>
      <c r="N6149" s="787">
        <v>11.04</v>
      </c>
      <c r="O6149" s="788">
        <v>41858</v>
      </c>
    </row>
    <row r="6150" spans="1:15" x14ac:dyDescent="0.25">
      <c r="A6150" s="786" t="s">
        <v>10970</v>
      </c>
      <c r="B6150" s="787">
        <v>4</v>
      </c>
      <c r="C6150" s="787" t="s">
        <v>10971</v>
      </c>
      <c r="D6150" s="787">
        <v>0</v>
      </c>
      <c r="E6150" s="787">
        <v>0</v>
      </c>
      <c r="H6150" s="787">
        <v>1</v>
      </c>
      <c r="L6150" s="787">
        <v>0</v>
      </c>
      <c r="M6150" s="787">
        <v>10</v>
      </c>
      <c r="N6150" s="787">
        <v>9.76</v>
      </c>
      <c r="O6150" s="788">
        <v>41858</v>
      </c>
    </row>
    <row r="6151" spans="1:15" x14ac:dyDescent="0.25">
      <c r="A6151" s="786" t="s">
        <v>10972</v>
      </c>
      <c r="B6151" s="787">
        <v>4</v>
      </c>
      <c r="C6151" s="787" t="s">
        <v>10973</v>
      </c>
      <c r="D6151" s="787">
        <v>0</v>
      </c>
      <c r="E6151" s="787">
        <v>0</v>
      </c>
      <c r="H6151" s="787">
        <v>1</v>
      </c>
      <c r="L6151" s="787">
        <v>0</v>
      </c>
      <c r="M6151" s="787">
        <v>10</v>
      </c>
      <c r="N6151" s="787">
        <v>9.76</v>
      </c>
      <c r="O6151" s="788">
        <v>41858</v>
      </c>
    </row>
    <row r="6152" spans="1:15" x14ac:dyDescent="0.25">
      <c r="A6152" s="786" t="s">
        <v>10974</v>
      </c>
      <c r="B6152" s="787">
        <v>4</v>
      </c>
      <c r="C6152" s="787" t="s">
        <v>10975</v>
      </c>
      <c r="D6152" s="787">
        <v>0</v>
      </c>
      <c r="E6152" s="787">
        <v>0</v>
      </c>
      <c r="H6152" s="787">
        <v>1</v>
      </c>
      <c r="I6152" s="788">
        <v>38959</v>
      </c>
      <c r="J6152" s="788">
        <v>39101</v>
      </c>
      <c r="L6152" s="787">
        <v>0</v>
      </c>
      <c r="M6152" s="787">
        <v>10</v>
      </c>
      <c r="N6152" s="787">
        <v>13.65</v>
      </c>
      <c r="O6152" s="788">
        <v>41869</v>
      </c>
    </row>
    <row r="6153" spans="1:15" x14ac:dyDescent="0.25">
      <c r="A6153" s="786" t="s">
        <v>10976</v>
      </c>
      <c r="B6153" s="787">
        <v>4</v>
      </c>
      <c r="C6153" s="787" t="s">
        <v>10977</v>
      </c>
      <c r="D6153" s="787">
        <v>0</v>
      </c>
      <c r="E6153" s="787">
        <v>0</v>
      </c>
      <c r="H6153" s="787">
        <v>1</v>
      </c>
      <c r="I6153" s="788">
        <v>38959</v>
      </c>
      <c r="J6153" s="788">
        <v>39101</v>
      </c>
      <c r="L6153" s="787">
        <v>0</v>
      </c>
      <c r="M6153" s="787">
        <v>10</v>
      </c>
      <c r="N6153" s="787">
        <v>9.51</v>
      </c>
      <c r="O6153" s="788">
        <v>41869</v>
      </c>
    </row>
    <row r="6154" spans="1:15" x14ac:dyDescent="0.25">
      <c r="A6154" s="786" t="s">
        <v>10978</v>
      </c>
      <c r="B6154" s="787">
        <v>4</v>
      </c>
      <c r="C6154" s="787" t="s">
        <v>10979</v>
      </c>
      <c r="D6154" s="787">
        <v>0</v>
      </c>
      <c r="E6154" s="787">
        <v>0</v>
      </c>
      <c r="H6154" s="787">
        <v>1</v>
      </c>
      <c r="I6154" s="788">
        <v>39876</v>
      </c>
      <c r="J6154" s="788">
        <v>39101</v>
      </c>
      <c r="L6154" s="787">
        <v>0</v>
      </c>
      <c r="M6154" s="787">
        <v>10</v>
      </c>
      <c r="N6154" s="787">
        <v>10.55</v>
      </c>
      <c r="O6154" s="788">
        <v>41869</v>
      </c>
    </row>
    <row r="6155" spans="1:15" x14ac:dyDescent="0.25">
      <c r="A6155" s="786" t="s">
        <v>10980</v>
      </c>
      <c r="B6155" s="787">
        <v>4</v>
      </c>
      <c r="C6155" s="787" t="s">
        <v>10981</v>
      </c>
      <c r="D6155" s="787">
        <v>0.49</v>
      </c>
      <c r="E6155" s="787">
        <v>2.99</v>
      </c>
      <c r="F6155" s="788">
        <v>39456</v>
      </c>
      <c r="G6155" s="788">
        <v>42104</v>
      </c>
      <c r="H6155" s="787">
        <v>1</v>
      </c>
      <c r="I6155" s="788">
        <v>42160</v>
      </c>
      <c r="J6155" s="788">
        <v>42074</v>
      </c>
      <c r="K6155" s="788">
        <v>41340</v>
      </c>
      <c r="L6155" s="787">
        <v>1.74</v>
      </c>
      <c r="M6155" s="787">
        <v>10</v>
      </c>
      <c r="N6155" s="787">
        <v>1.48</v>
      </c>
      <c r="O6155" s="788">
        <v>42146</v>
      </c>
    </row>
    <row r="6156" spans="1:15" x14ac:dyDescent="0.25">
      <c r="A6156" s="786" t="s">
        <v>10982</v>
      </c>
      <c r="B6156" s="787">
        <v>4</v>
      </c>
      <c r="C6156" s="787" t="s">
        <v>10983</v>
      </c>
      <c r="D6156" s="787">
        <v>1.02</v>
      </c>
      <c r="E6156" s="787">
        <v>5.23</v>
      </c>
      <c r="F6156" s="788">
        <v>39456</v>
      </c>
      <c r="G6156" s="788">
        <v>42013</v>
      </c>
      <c r="H6156" s="787">
        <v>1</v>
      </c>
      <c r="I6156" s="788">
        <v>40847</v>
      </c>
      <c r="J6156" s="788">
        <v>41930</v>
      </c>
      <c r="K6156" s="788">
        <v>41914</v>
      </c>
      <c r="L6156" s="787">
        <v>1.61</v>
      </c>
      <c r="M6156" s="787">
        <v>10</v>
      </c>
      <c r="N6156" s="787">
        <v>2.4</v>
      </c>
      <c r="O6156" s="788">
        <v>42026</v>
      </c>
    </row>
    <row r="6157" spans="1:15" x14ac:dyDescent="0.25">
      <c r="A6157" s="786" t="s">
        <v>10984</v>
      </c>
      <c r="B6157" s="787">
        <v>4</v>
      </c>
      <c r="C6157" s="787" t="s">
        <v>9477</v>
      </c>
      <c r="D6157" s="787">
        <v>5.0199999999999996</v>
      </c>
      <c r="E6157" s="787">
        <v>5.0199999999999996</v>
      </c>
      <c r="F6157" s="788">
        <v>39101</v>
      </c>
      <c r="G6157" s="788">
        <v>40553</v>
      </c>
      <c r="H6157" s="787">
        <v>1</v>
      </c>
      <c r="I6157" s="788">
        <v>41823</v>
      </c>
      <c r="J6157" s="788">
        <v>40261</v>
      </c>
      <c r="L6157" s="787">
        <v>5.46</v>
      </c>
      <c r="M6157" s="787">
        <v>10</v>
      </c>
      <c r="N6157" s="787">
        <v>6.63</v>
      </c>
      <c r="O6157" s="788">
        <v>41858</v>
      </c>
    </row>
    <row r="6158" spans="1:15" x14ac:dyDescent="0.25">
      <c r="A6158" s="786" t="s">
        <v>10985</v>
      </c>
      <c r="B6158" s="787">
        <v>4</v>
      </c>
      <c r="C6158" s="787" t="s">
        <v>10360</v>
      </c>
      <c r="D6158" s="787">
        <v>3.6</v>
      </c>
      <c r="E6158" s="787">
        <v>5.23</v>
      </c>
      <c r="F6158" s="788">
        <v>39456</v>
      </c>
      <c r="G6158" s="788">
        <v>40553</v>
      </c>
      <c r="H6158" s="787">
        <v>1</v>
      </c>
      <c r="I6158" s="788">
        <v>40847</v>
      </c>
      <c r="J6158" s="788">
        <v>39974</v>
      </c>
      <c r="L6158" s="787">
        <v>4.78</v>
      </c>
      <c r="M6158" s="787">
        <v>10</v>
      </c>
      <c r="N6158" s="787">
        <v>6.92</v>
      </c>
      <c r="O6158" s="788">
        <v>41858</v>
      </c>
    </row>
    <row r="6159" spans="1:15" x14ac:dyDescent="0.25">
      <c r="A6159" s="786" t="s">
        <v>10986</v>
      </c>
      <c r="B6159" s="787">
        <v>4</v>
      </c>
      <c r="C6159" s="787" t="s">
        <v>10908</v>
      </c>
      <c r="D6159" s="787">
        <v>3.94</v>
      </c>
      <c r="E6159" s="787">
        <v>3.94</v>
      </c>
      <c r="F6159" s="788">
        <v>39456</v>
      </c>
      <c r="G6159" s="788">
        <v>40178</v>
      </c>
      <c r="H6159" s="787">
        <v>1</v>
      </c>
      <c r="I6159" s="788">
        <v>40560</v>
      </c>
      <c r="J6159" s="788">
        <v>39983</v>
      </c>
      <c r="L6159" s="787">
        <v>0</v>
      </c>
      <c r="M6159" s="787">
        <v>10</v>
      </c>
      <c r="N6159" s="787">
        <v>8.08</v>
      </c>
      <c r="O6159" s="788">
        <v>41858</v>
      </c>
    </row>
    <row r="6160" spans="1:15" x14ac:dyDescent="0.25">
      <c r="A6160" s="786" t="s">
        <v>10987</v>
      </c>
      <c r="B6160" s="787">
        <v>4</v>
      </c>
      <c r="C6160" s="787" t="s">
        <v>9483</v>
      </c>
      <c r="D6160" s="787">
        <v>5.03</v>
      </c>
      <c r="E6160" s="787">
        <v>5.03</v>
      </c>
      <c r="F6160" s="788">
        <v>39456</v>
      </c>
      <c r="G6160" s="788">
        <v>40178</v>
      </c>
      <c r="H6160" s="787">
        <v>1</v>
      </c>
      <c r="I6160" s="788">
        <v>40560</v>
      </c>
      <c r="J6160" s="788">
        <v>39149</v>
      </c>
      <c r="L6160" s="787">
        <v>0</v>
      </c>
      <c r="M6160" s="787">
        <v>10</v>
      </c>
      <c r="N6160" s="787">
        <v>7.71</v>
      </c>
      <c r="O6160" s="788">
        <v>41858</v>
      </c>
    </row>
    <row r="6161" spans="1:15" x14ac:dyDescent="0.25">
      <c r="A6161" s="786" t="s">
        <v>10988</v>
      </c>
      <c r="B6161" s="787">
        <v>4</v>
      </c>
      <c r="C6161" s="787" t="s">
        <v>10913</v>
      </c>
      <c r="D6161" s="787">
        <v>0.11</v>
      </c>
      <c r="E6161" s="787">
        <v>0.11</v>
      </c>
      <c r="F6161" s="788">
        <v>39975</v>
      </c>
      <c r="G6161" s="788">
        <v>41943</v>
      </c>
      <c r="H6161" s="787">
        <v>1</v>
      </c>
      <c r="I6161" s="788">
        <v>41968</v>
      </c>
      <c r="J6161" s="788">
        <v>40007</v>
      </c>
      <c r="L6161" s="787">
        <v>0</v>
      </c>
      <c r="M6161" s="787">
        <v>10</v>
      </c>
      <c r="N6161" s="787">
        <v>3.94</v>
      </c>
      <c r="O6161" s="788">
        <v>42087</v>
      </c>
    </row>
    <row r="6162" spans="1:15" x14ac:dyDescent="0.25">
      <c r="A6162" s="786" t="s">
        <v>10989</v>
      </c>
      <c r="B6162" s="787">
        <v>4</v>
      </c>
      <c r="C6162" s="787" t="s">
        <v>10990</v>
      </c>
      <c r="D6162" s="787">
        <v>1.71</v>
      </c>
      <c r="E6162" s="787">
        <v>1.72</v>
      </c>
      <c r="F6162" s="788">
        <v>39456</v>
      </c>
      <c r="G6162" s="788">
        <v>41943</v>
      </c>
      <c r="H6162" s="787">
        <v>1</v>
      </c>
      <c r="I6162" s="788">
        <v>41968</v>
      </c>
      <c r="J6162" s="788">
        <v>40427</v>
      </c>
      <c r="L6162" s="787">
        <v>0</v>
      </c>
      <c r="M6162" s="787">
        <v>10</v>
      </c>
      <c r="N6162" s="787">
        <v>5.52</v>
      </c>
      <c r="O6162" s="788">
        <v>41858</v>
      </c>
    </row>
    <row r="6163" spans="1:15" x14ac:dyDescent="0.25">
      <c r="A6163" s="786" t="s">
        <v>10991</v>
      </c>
      <c r="B6163" s="787">
        <v>4</v>
      </c>
      <c r="C6163" s="787" t="s">
        <v>10992</v>
      </c>
      <c r="D6163" s="787">
        <v>0</v>
      </c>
      <c r="E6163" s="787">
        <v>0</v>
      </c>
      <c r="H6163" s="787">
        <v>1</v>
      </c>
      <c r="I6163" s="788">
        <v>39211</v>
      </c>
      <c r="J6163" s="788">
        <v>39101</v>
      </c>
      <c r="L6163" s="787">
        <v>0</v>
      </c>
      <c r="M6163" s="787">
        <v>10</v>
      </c>
      <c r="N6163" s="787">
        <v>7.45</v>
      </c>
      <c r="O6163" s="788">
        <v>41869</v>
      </c>
    </row>
    <row r="6164" spans="1:15" x14ac:dyDescent="0.25">
      <c r="A6164" s="786" t="s">
        <v>10993</v>
      </c>
      <c r="B6164" s="787">
        <v>4</v>
      </c>
      <c r="C6164" s="787" t="s">
        <v>10994</v>
      </c>
      <c r="D6164" s="787">
        <v>0.13</v>
      </c>
      <c r="E6164" s="787">
        <v>0.13</v>
      </c>
      <c r="F6164" s="788">
        <v>39975</v>
      </c>
      <c r="G6164" s="788">
        <v>41943</v>
      </c>
      <c r="H6164" s="787">
        <v>1</v>
      </c>
      <c r="I6164" s="788">
        <v>41968</v>
      </c>
      <c r="J6164" s="788">
        <v>39981</v>
      </c>
      <c r="L6164" s="787">
        <v>0</v>
      </c>
      <c r="M6164" s="787">
        <v>10</v>
      </c>
      <c r="N6164" s="787">
        <v>6.66</v>
      </c>
      <c r="O6164" s="788">
        <v>41858</v>
      </c>
    </row>
    <row r="6165" spans="1:15" x14ac:dyDescent="0.25">
      <c r="A6165" s="786" t="s">
        <v>10995</v>
      </c>
      <c r="B6165" s="787">
        <v>4</v>
      </c>
      <c r="C6165" s="787" t="s">
        <v>10996</v>
      </c>
      <c r="D6165" s="787">
        <v>0.03</v>
      </c>
      <c r="E6165" s="787">
        <v>0.03</v>
      </c>
      <c r="F6165" s="788">
        <v>39975</v>
      </c>
      <c r="G6165" s="788">
        <v>41255</v>
      </c>
      <c r="H6165" s="787">
        <v>1</v>
      </c>
      <c r="I6165" s="788">
        <v>40847</v>
      </c>
      <c r="J6165" s="788">
        <v>40054</v>
      </c>
      <c r="L6165" s="787">
        <v>1.17</v>
      </c>
      <c r="M6165" s="787">
        <v>10</v>
      </c>
      <c r="N6165" s="787">
        <v>1.34</v>
      </c>
      <c r="O6165" s="788">
        <v>41869</v>
      </c>
    </row>
    <row r="6166" spans="1:15" x14ac:dyDescent="0.25">
      <c r="A6166" s="786" t="s">
        <v>10997</v>
      </c>
      <c r="B6166" s="787">
        <v>4</v>
      </c>
      <c r="C6166" s="787" t="s">
        <v>10998</v>
      </c>
      <c r="D6166" s="787">
        <v>0.37</v>
      </c>
      <c r="E6166" s="787">
        <v>0.37</v>
      </c>
      <c r="F6166" s="788">
        <v>39975</v>
      </c>
      <c r="G6166" s="788">
        <v>41943</v>
      </c>
      <c r="H6166" s="787">
        <v>1</v>
      </c>
      <c r="I6166" s="788">
        <v>41968</v>
      </c>
      <c r="J6166" s="788">
        <v>40226</v>
      </c>
      <c r="L6166" s="787">
        <v>0</v>
      </c>
      <c r="M6166" s="787">
        <v>10</v>
      </c>
      <c r="N6166" s="787">
        <v>3.2</v>
      </c>
      <c r="O6166" s="788">
        <v>41858</v>
      </c>
    </row>
    <row r="6167" spans="1:15" x14ac:dyDescent="0.25">
      <c r="A6167" s="786" t="s">
        <v>10999</v>
      </c>
      <c r="B6167" s="787">
        <v>4</v>
      </c>
      <c r="C6167" s="787" t="s">
        <v>11000</v>
      </c>
      <c r="D6167" s="787">
        <v>0.01</v>
      </c>
      <c r="E6167" s="787">
        <v>0.17</v>
      </c>
      <c r="F6167" s="788">
        <v>39975</v>
      </c>
      <c r="G6167" s="788">
        <v>42086</v>
      </c>
      <c r="H6167" s="787">
        <v>1</v>
      </c>
      <c r="I6167" s="788">
        <v>42020</v>
      </c>
      <c r="J6167" s="788">
        <v>42055</v>
      </c>
      <c r="K6167" s="788">
        <v>41479</v>
      </c>
      <c r="L6167" s="787">
        <v>0.22</v>
      </c>
      <c r="M6167" s="787">
        <v>10</v>
      </c>
      <c r="N6167" s="787">
        <v>0.72</v>
      </c>
      <c r="O6167" s="788">
        <v>42038</v>
      </c>
    </row>
    <row r="6168" spans="1:15" x14ac:dyDescent="0.25">
      <c r="A6168" s="786" t="s">
        <v>11001</v>
      </c>
      <c r="B6168" s="787">
        <v>4</v>
      </c>
      <c r="C6168" s="787" t="s">
        <v>11002</v>
      </c>
      <c r="D6168" s="787">
        <v>0.42</v>
      </c>
      <c r="E6168" s="787">
        <v>0.87</v>
      </c>
      <c r="F6168" s="788">
        <v>39456</v>
      </c>
      <c r="G6168" s="788">
        <v>42013</v>
      </c>
      <c r="H6168" s="787">
        <v>1</v>
      </c>
      <c r="I6168" s="788">
        <v>42020</v>
      </c>
      <c r="J6168" s="788">
        <v>41493</v>
      </c>
      <c r="K6168" s="788">
        <v>41479</v>
      </c>
      <c r="L6168" s="787">
        <v>2.15</v>
      </c>
      <c r="M6168" s="787">
        <v>10</v>
      </c>
      <c r="N6168" s="787">
        <v>2.38</v>
      </c>
      <c r="O6168" s="788">
        <v>41858</v>
      </c>
    </row>
    <row r="6169" spans="1:15" x14ac:dyDescent="0.25">
      <c r="A6169" s="786" t="s">
        <v>11003</v>
      </c>
      <c r="B6169" s="787">
        <v>4</v>
      </c>
      <c r="C6169" s="787" t="s">
        <v>8464</v>
      </c>
      <c r="D6169" s="787">
        <v>2.96</v>
      </c>
      <c r="E6169" s="787">
        <v>2.96</v>
      </c>
      <c r="F6169" s="788">
        <v>39101</v>
      </c>
      <c r="G6169" s="788">
        <v>39101</v>
      </c>
      <c r="H6169" s="787">
        <v>1</v>
      </c>
      <c r="I6169" s="788">
        <v>39451</v>
      </c>
      <c r="J6169" s="788">
        <v>39149</v>
      </c>
      <c r="K6169" s="788">
        <v>41471</v>
      </c>
      <c r="L6169" s="787">
        <v>3.85</v>
      </c>
      <c r="M6169" s="787">
        <v>10</v>
      </c>
      <c r="N6169" s="787">
        <v>4.41</v>
      </c>
      <c r="O6169" s="788">
        <v>41858</v>
      </c>
    </row>
    <row r="6170" spans="1:15" x14ac:dyDescent="0.25">
      <c r="A6170" s="786" t="s">
        <v>11004</v>
      </c>
      <c r="B6170" s="787">
        <v>4</v>
      </c>
      <c r="C6170" s="787" t="s">
        <v>8466</v>
      </c>
      <c r="D6170" s="787">
        <v>2.96</v>
      </c>
      <c r="E6170" s="787">
        <v>2.96</v>
      </c>
      <c r="F6170" s="788">
        <v>39101</v>
      </c>
      <c r="G6170" s="788">
        <v>39101</v>
      </c>
      <c r="H6170" s="787">
        <v>1</v>
      </c>
      <c r="I6170" s="788">
        <v>39451</v>
      </c>
      <c r="J6170" s="788">
        <v>39149</v>
      </c>
      <c r="K6170" s="788">
        <v>41471</v>
      </c>
      <c r="L6170" s="787">
        <v>3.85</v>
      </c>
      <c r="M6170" s="787">
        <v>10</v>
      </c>
      <c r="N6170" s="787">
        <v>4.41</v>
      </c>
      <c r="O6170" s="788">
        <v>41858</v>
      </c>
    </row>
    <row r="6171" spans="1:15" x14ac:dyDescent="0.25">
      <c r="A6171" s="786" t="s">
        <v>11005</v>
      </c>
      <c r="B6171" s="787">
        <v>4</v>
      </c>
      <c r="C6171" s="787" t="s">
        <v>11006</v>
      </c>
      <c r="D6171" s="787">
        <v>0</v>
      </c>
      <c r="E6171" s="787">
        <v>0</v>
      </c>
      <c r="H6171" s="787">
        <v>1</v>
      </c>
      <c r="I6171" s="788">
        <v>41884</v>
      </c>
      <c r="J6171" s="788">
        <v>41885</v>
      </c>
      <c r="K6171" s="788">
        <v>41885</v>
      </c>
      <c r="L6171" s="787">
        <v>27</v>
      </c>
      <c r="M6171" s="787">
        <v>10</v>
      </c>
      <c r="N6171" s="787">
        <v>27.09</v>
      </c>
      <c r="O6171" s="788">
        <v>42156</v>
      </c>
    </row>
    <row r="6172" spans="1:15" x14ac:dyDescent="0.25">
      <c r="A6172" s="786" t="s">
        <v>11007</v>
      </c>
      <c r="B6172" s="787">
        <v>4</v>
      </c>
      <c r="C6172" s="787" t="s">
        <v>11008</v>
      </c>
      <c r="D6172" s="787">
        <v>0</v>
      </c>
      <c r="E6172" s="787">
        <v>0</v>
      </c>
      <c r="H6172" s="787">
        <v>1</v>
      </c>
      <c r="I6172" s="788">
        <v>41884</v>
      </c>
      <c r="J6172" s="788">
        <v>41885</v>
      </c>
      <c r="K6172" s="788">
        <v>41885</v>
      </c>
      <c r="L6172" s="787">
        <v>30</v>
      </c>
      <c r="M6172" s="787">
        <v>10</v>
      </c>
      <c r="N6172" s="787">
        <v>29.34</v>
      </c>
      <c r="O6172" s="788">
        <v>42156</v>
      </c>
    </row>
    <row r="6173" spans="1:15" x14ac:dyDescent="0.25">
      <c r="A6173" s="786" t="s">
        <v>11009</v>
      </c>
      <c r="B6173" s="787">
        <v>4</v>
      </c>
      <c r="C6173" s="787" t="s">
        <v>11010</v>
      </c>
      <c r="D6173" s="787">
        <v>0</v>
      </c>
      <c r="E6173" s="787">
        <v>0</v>
      </c>
      <c r="H6173" s="787">
        <v>1</v>
      </c>
      <c r="I6173" s="788">
        <v>41884</v>
      </c>
      <c r="J6173" s="788">
        <v>41885</v>
      </c>
      <c r="K6173" s="788">
        <v>41885</v>
      </c>
      <c r="L6173" s="787">
        <v>25</v>
      </c>
      <c r="M6173" s="787">
        <v>10</v>
      </c>
      <c r="N6173" s="787">
        <v>24.59</v>
      </c>
      <c r="O6173" s="788">
        <v>42156</v>
      </c>
    </row>
    <row r="6174" spans="1:15" x14ac:dyDescent="0.25">
      <c r="A6174" s="786" t="s">
        <v>11011</v>
      </c>
      <c r="B6174" s="787">
        <v>4</v>
      </c>
      <c r="C6174" s="787" t="s">
        <v>9477</v>
      </c>
      <c r="D6174" s="787">
        <v>3.58</v>
      </c>
      <c r="E6174" s="787">
        <v>4.4000000000000004</v>
      </c>
      <c r="F6174" s="788">
        <v>39456</v>
      </c>
      <c r="G6174" s="788">
        <v>41255</v>
      </c>
      <c r="H6174" s="787">
        <v>1</v>
      </c>
      <c r="I6174" s="788">
        <v>41884</v>
      </c>
      <c r="J6174" s="788">
        <v>41885</v>
      </c>
      <c r="K6174" s="788">
        <v>41885</v>
      </c>
      <c r="L6174" s="787">
        <v>7</v>
      </c>
      <c r="M6174" s="787">
        <v>10</v>
      </c>
      <c r="N6174" s="787">
        <v>7.07</v>
      </c>
      <c r="O6174" s="788">
        <v>42156</v>
      </c>
    </row>
    <row r="6175" spans="1:15" x14ac:dyDescent="0.25">
      <c r="A6175" s="786" t="s">
        <v>11012</v>
      </c>
      <c r="B6175" s="787">
        <v>4</v>
      </c>
      <c r="C6175" s="787" t="s">
        <v>10360</v>
      </c>
      <c r="D6175" s="787">
        <v>3.29</v>
      </c>
      <c r="E6175" s="787">
        <v>4.13</v>
      </c>
      <c r="F6175" s="788">
        <v>39456</v>
      </c>
      <c r="G6175" s="788">
        <v>41255</v>
      </c>
      <c r="H6175" s="787">
        <v>1</v>
      </c>
      <c r="I6175" s="788">
        <v>41884</v>
      </c>
      <c r="J6175" s="788">
        <v>41885</v>
      </c>
      <c r="K6175" s="788">
        <v>41885</v>
      </c>
      <c r="L6175" s="787">
        <v>7</v>
      </c>
      <c r="M6175" s="787">
        <v>10</v>
      </c>
      <c r="N6175" s="787">
        <v>6.75</v>
      </c>
      <c r="O6175" s="788">
        <v>42156</v>
      </c>
    </row>
    <row r="6176" spans="1:15" x14ac:dyDescent="0.25">
      <c r="A6176" s="786" t="s">
        <v>11013</v>
      </c>
      <c r="B6176" s="787">
        <v>4</v>
      </c>
      <c r="C6176" s="787" t="s">
        <v>11014</v>
      </c>
      <c r="D6176" s="787">
        <v>1.24</v>
      </c>
      <c r="E6176" s="787">
        <v>12.38</v>
      </c>
      <c r="F6176" s="788">
        <v>39456</v>
      </c>
      <c r="G6176" s="788">
        <v>39590</v>
      </c>
      <c r="H6176" s="787">
        <v>1</v>
      </c>
      <c r="I6176" s="788">
        <v>41884</v>
      </c>
      <c r="J6176" s="788">
        <v>41885</v>
      </c>
      <c r="K6176" s="788">
        <v>41885</v>
      </c>
      <c r="L6176" s="787">
        <v>5</v>
      </c>
      <c r="M6176" s="787">
        <v>10</v>
      </c>
      <c r="N6176" s="787">
        <v>4.18</v>
      </c>
      <c r="O6176" s="788">
        <v>42156</v>
      </c>
    </row>
    <row r="6177" spans="1:15" x14ac:dyDescent="0.25">
      <c r="A6177" s="786" t="s">
        <v>11015</v>
      </c>
      <c r="B6177" s="787">
        <v>4</v>
      </c>
      <c r="C6177" s="787" t="s">
        <v>11016</v>
      </c>
      <c r="D6177" s="787">
        <v>2.2000000000000002</v>
      </c>
      <c r="E6177" s="787">
        <v>7.47</v>
      </c>
      <c r="F6177" s="788">
        <v>39456</v>
      </c>
      <c r="G6177" s="788">
        <v>39458</v>
      </c>
      <c r="H6177" s="787">
        <v>1</v>
      </c>
      <c r="I6177" s="788">
        <v>41884</v>
      </c>
      <c r="J6177" s="788">
        <v>41885</v>
      </c>
      <c r="K6177" s="788">
        <v>41885</v>
      </c>
      <c r="L6177" s="787">
        <v>7</v>
      </c>
      <c r="M6177" s="787">
        <v>10</v>
      </c>
      <c r="N6177" s="787">
        <v>6.58</v>
      </c>
      <c r="O6177" s="788">
        <v>42156</v>
      </c>
    </row>
    <row r="6178" spans="1:15" x14ac:dyDescent="0.25">
      <c r="A6178" s="786" t="s">
        <v>11017</v>
      </c>
      <c r="B6178" s="787">
        <v>4</v>
      </c>
      <c r="C6178" s="787" t="s">
        <v>11018</v>
      </c>
      <c r="D6178" s="787">
        <v>0.74</v>
      </c>
      <c r="E6178" s="787">
        <v>1.34</v>
      </c>
      <c r="F6178" s="788">
        <v>39456</v>
      </c>
      <c r="G6178" s="788">
        <v>40553</v>
      </c>
      <c r="H6178" s="787">
        <v>1</v>
      </c>
      <c r="I6178" s="788">
        <v>41884</v>
      </c>
      <c r="J6178" s="788">
        <v>41885</v>
      </c>
      <c r="K6178" s="788">
        <v>41885</v>
      </c>
      <c r="L6178" s="787">
        <v>2.8</v>
      </c>
      <c r="M6178" s="787">
        <v>10</v>
      </c>
      <c r="N6178" s="787">
        <v>2.8</v>
      </c>
      <c r="O6178" s="788">
        <v>42156</v>
      </c>
    </row>
    <row r="6179" spans="1:15" x14ac:dyDescent="0.25">
      <c r="A6179" s="786" t="s">
        <v>11019</v>
      </c>
      <c r="B6179" s="787">
        <v>4</v>
      </c>
      <c r="C6179" s="787" t="s">
        <v>11020</v>
      </c>
      <c r="D6179" s="787">
        <v>2</v>
      </c>
      <c r="E6179" s="787">
        <v>2</v>
      </c>
      <c r="F6179" s="788">
        <v>38698</v>
      </c>
      <c r="G6179" s="788">
        <v>41943</v>
      </c>
      <c r="H6179" s="787">
        <v>1</v>
      </c>
      <c r="I6179" s="788">
        <v>41968</v>
      </c>
      <c r="J6179" s="788">
        <v>40385</v>
      </c>
      <c r="L6179" s="787">
        <v>0</v>
      </c>
      <c r="M6179" s="787">
        <v>10</v>
      </c>
      <c r="N6179" s="787">
        <v>2.81</v>
      </c>
      <c r="O6179" s="788">
        <v>42156</v>
      </c>
    </row>
    <row r="6180" spans="1:15" x14ac:dyDescent="0.25">
      <c r="A6180" s="786" t="s">
        <v>11021</v>
      </c>
      <c r="B6180" s="787">
        <v>4</v>
      </c>
      <c r="C6180" s="787" t="s">
        <v>11022</v>
      </c>
      <c r="D6180" s="787">
        <v>1.1200000000000001</v>
      </c>
      <c r="E6180" s="787">
        <v>1.97</v>
      </c>
      <c r="F6180" s="788">
        <v>39101</v>
      </c>
      <c r="G6180" s="788">
        <v>41943</v>
      </c>
      <c r="H6180" s="787">
        <v>1</v>
      </c>
      <c r="I6180" s="788">
        <v>41968</v>
      </c>
      <c r="J6180" s="788">
        <v>40561</v>
      </c>
      <c r="L6180" s="787">
        <v>0</v>
      </c>
      <c r="M6180" s="787">
        <v>10</v>
      </c>
      <c r="N6180" s="787">
        <v>1.88</v>
      </c>
      <c r="O6180" s="788">
        <v>42156</v>
      </c>
    </row>
    <row r="6181" spans="1:15" x14ac:dyDescent="0.25">
      <c r="A6181" s="786" t="s">
        <v>11023</v>
      </c>
      <c r="B6181" s="787">
        <v>4</v>
      </c>
      <c r="C6181" s="787" t="s">
        <v>11024</v>
      </c>
      <c r="D6181" s="787">
        <v>1.35</v>
      </c>
      <c r="E6181" s="787">
        <v>1.35</v>
      </c>
      <c r="F6181" s="788">
        <v>39975</v>
      </c>
      <c r="G6181" s="788">
        <v>41565</v>
      </c>
      <c r="H6181" s="787">
        <v>1</v>
      </c>
      <c r="I6181" s="788">
        <v>41968</v>
      </c>
      <c r="J6181" s="788">
        <v>40284</v>
      </c>
      <c r="K6181" s="788">
        <v>41914</v>
      </c>
      <c r="L6181" s="787">
        <v>1.51</v>
      </c>
      <c r="M6181" s="787">
        <v>10</v>
      </c>
      <c r="N6181" s="787">
        <v>1.51</v>
      </c>
      <c r="O6181" s="788">
        <v>41858</v>
      </c>
    </row>
    <row r="6182" spans="1:15" x14ac:dyDescent="0.25">
      <c r="A6182" s="786" t="s">
        <v>11025</v>
      </c>
      <c r="B6182" s="787">
        <v>4</v>
      </c>
      <c r="C6182" s="787" t="s">
        <v>11026</v>
      </c>
      <c r="D6182" s="787">
        <v>1.28</v>
      </c>
      <c r="E6182" s="787">
        <v>1.28</v>
      </c>
      <c r="F6182" s="788">
        <v>39975</v>
      </c>
      <c r="G6182" s="788">
        <v>41565</v>
      </c>
      <c r="H6182" s="787">
        <v>1</v>
      </c>
      <c r="I6182" s="788">
        <v>41968</v>
      </c>
      <c r="J6182" s="788">
        <v>40325</v>
      </c>
      <c r="K6182" s="788">
        <v>41914</v>
      </c>
      <c r="L6182" s="787">
        <v>1.42</v>
      </c>
      <c r="M6182" s="787">
        <v>10</v>
      </c>
      <c r="N6182" s="787">
        <v>1.42</v>
      </c>
      <c r="O6182" s="788">
        <v>41858</v>
      </c>
    </row>
    <row r="6183" spans="1:15" x14ac:dyDescent="0.25">
      <c r="A6183" s="786" t="s">
        <v>11027</v>
      </c>
      <c r="B6183" s="787">
        <v>4</v>
      </c>
      <c r="C6183" s="787" t="s">
        <v>11028</v>
      </c>
      <c r="D6183" s="787">
        <v>0</v>
      </c>
      <c r="E6183" s="787">
        <v>0</v>
      </c>
      <c r="H6183" s="787">
        <v>1</v>
      </c>
      <c r="I6183" s="788">
        <v>41884</v>
      </c>
      <c r="J6183" s="788">
        <v>39457</v>
      </c>
      <c r="L6183" s="787">
        <v>0</v>
      </c>
      <c r="M6183" s="787">
        <v>10</v>
      </c>
      <c r="N6183" s="787">
        <v>11.32</v>
      </c>
      <c r="O6183" s="788">
        <v>42156</v>
      </c>
    </row>
    <row r="6184" spans="1:15" x14ac:dyDescent="0.25">
      <c r="A6184" s="786" t="s">
        <v>11029</v>
      </c>
      <c r="B6184" s="787">
        <v>4</v>
      </c>
      <c r="C6184" s="787" t="s">
        <v>11030</v>
      </c>
      <c r="D6184" s="787">
        <v>0</v>
      </c>
      <c r="E6184" s="787">
        <v>0</v>
      </c>
      <c r="H6184" s="787">
        <v>1</v>
      </c>
      <c r="I6184" s="788">
        <v>41884</v>
      </c>
      <c r="J6184" s="788">
        <v>39457</v>
      </c>
      <c r="L6184" s="787">
        <v>0</v>
      </c>
      <c r="M6184" s="787">
        <v>10</v>
      </c>
      <c r="N6184" s="787">
        <v>11.32</v>
      </c>
      <c r="O6184" s="788">
        <v>42156</v>
      </c>
    </row>
    <row r="6185" spans="1:15" x14ac:dyDescent="0.25">
      <c r="A6185" s="786" t="s">
        <v>11031</v>
      </c>
      <c r="B6185" s="787">
        <v>4</v>
      </c>
      <c r="C6185" s="787" t="s">
        <v>11032</v>
      </c>
      <c r="D6185" s="787">
        <v>0</v>
      </c>
      <c r="E6185" s="787">
        <v>0</v>
      </c>
      <c r="H6185" s="787">
        <v>1</v>
      </c>
      <c r="I6185" s="788">
        <v>41884</v>
      </c>
      <c r="J6185" s="788">
        <v>39457</v>
      </c>
      <c r="L6185" s="787">
        <v>0</v>
      </c>
      <c r="M6185" s="787">
        <v>10</v>
      </c>
      <c r="N6185" s="787">
        <v>11.39</v>
      </c>
      <c r="O6185" s="788">
        <v>42156</v>
      </c>
    </row>
    <row r="6186" spans="1:15" x14ac:dyDescent="0.25">
      <c r="A6186" s="786" t="s">
        <v>11033</v>
      </c>
      <c r="B6186" s="787">
        <v>4</v>
      </c>
      <c r="C6186" s="787" t="s">
        <v>11034</v>
      </c>
      <c r="D6186" s="787">
        <v>0</v>
      </c>
      <c r="E6186" s="787">
        <v>0</v>
      </c>
      <c r="H6186" s="787">
        <v>1</v>
      </c>
      <c r="I6186" s="788">
        <v>41884</v>
      </c>
      <c r="J6186" s="788">
        <v>39457</v>
      </c>
      <c r="L6186" s="787">
        <v>0</v>
      </c>
      <c r="M6186" s="787">
        <v>10</v>
      </c>
      <c r="N6186" s="787">
        <v>11.39</v>
      </c>
      <c r="O6186" s="788">
        <v>42156</v>
      </c>
    </row>
    <row r="6187" spans="1:15" x14ac:dyDescent="0.25">
      <c r="A6187" s="786" t="s">
        <v>11035</v>
      </c>
      <c r="B6187" s="787">
        <v>4</v>
      </c>
      <c r="C6187" s="787" t="s">
        <v>11036</v>
      </c>
      <c r="D6187" s="787">
        <v>0.26</v>
      </c>
      <c r="E6187" s="787">
        <v>0.26</v>
      </c>
      <c r="F6187" s="788">
        <v>39456</v>
      </c>
      <c r="G6187" s="788">
        <v>40553</v>
      </c>
      <c r="H6187" s="787">
        <v>1</v>
      </c>
      <c r="I6187" s="788">
        <v>41884</v>
      </c>
      <c r="J6187" s="788">
        <v>41885</v>
      </c>
      <c r="K6187" s="788">
        <v>41885</v>
      </c>
      <c r="L6187" s="787">
        <v>2.5</v>
      </c>
      <c r="M6187" s="787">
        <v>10</v>
      </c>
      <c r="N6187" s="787">
        <v>2.14</v>
      </c>
      <c r="O6187" s="788">
        <v>41858</v>
      </c>
    </row>
    <row r="6188" spans="1:15" x14ac:dyDescent="0.25">
      <c r="A6188" s="786" t="s">
        <v>11037</v>
      </c>
      <c r="B6188" s="787">
        <v>4</v>
      </c>
      <c r="C6188" s="787" t="s">
        <v>11038</v>
      </c>
      <c r="D6188" s="787">
        <v>0</v>
      </c>
      <c r="E6188" s="787">
        <v>0</v>
      </c>
      <c r="H6188" s="787">
        <v>1</v>
      </c>
      <c r="I6188" s="788">
        <v>41884</v>
      </c>
      <c r="J6188" s="788">
        <v>39101</v>
      </c>
      <c r="L6188" s="787">
        <v>0</v>
      </c>
      <c r="M6188" s="787">
        <v>10</v>
      </c>
      <c r="N6188" s="787">
        <v>18.36</v>
      </c>
      <c r="O6188" s="788">
        <v>42156</v>
      </c>
    </row>
    <row r="6189" spans="1:15" x14ac:dyDescent="0.25">
      <c r="A6189" s="786" t="s">
        <v>11039</v>
      </c>
      <c r="B6189" s="787">
        <v>4</v>
      </c>
      <c r="C6189" s="787" t="s">
        <v>11040</v>
      </c>
      <c r="D6189" s="787">
        <v>0</v>
      </c>
      <c r="E6189" s="787">
        <v>0</v>
      </c>
      <c r="H6189" s="787">
        <v>1</v>
      </c>
      <c r="I6189" s="788">
        <v>41884</v>
      </c>
      <c r="J6189" s="788">
        <v>39457</v>
      </c>
      <c r="L6189" s="787">
        <v>0</v>
      </c>
      <c r="M6189" s="787">
        <v>10</v>
      </c>
      <c r="N6189" s="787">
        <v>18.97</v>
      </c>
      <c r="O6189" s="788">
        <v>41869</v>
      </c>
    </row>
    <row r="6190" spans="1:15" x14ac:dyDescent="0.25">
      <c r="A6190" s="786" t="s">
        <v>11041</v>
      </c>
      <c r="B6190" s="787">
        <v>4</v>
      </c>
      <c r="C6190" s="787" t="s">
        <v>11042</v>
      </c>
      <c r="D6190" s="787">
        <v>0</v>
      </c>
      <c r="E6190" s="787">
        <v>0</v>
      </c>
      <c r="H6190" s="787">
        <v>1</v>
      </c>
      <c r="I6190" s="788">
        <v>41884</v>
      </c>
      <c r="J6190" s="788">
        <v>39457</v>
      </c>
      <c r="L6190" s="787">
        <v>0</v>
      </c>
      <c r="M6190" s="787">
        <v>10</v>
      </c>
      <c r="N6190" s="787">
        <v>19.43</v>
      </c>
      <c r="O6190" s="788">
        <v>41869</v>
      </c>
    </row>
    <row r="6191" spans="1:15" x14ac:dyDescent="0.25">
      <c r="A6191" s="786" t="s">
        <v>11043</v>
      </c>
      <c r="B6191" s="787">
        <v>4</v>
      </c>
      <c r="C6191" s="787" t="s">
        <v>11044</v>
      </c>
      <c r="D6191" s="787">
        <v>0</v>
      </c>
      <c r="E6191" s="787">
        <v>0</v>
      </c>
      <c r="H6191" s="787">
        <v>1</v>
      </c>
      <c r="I6191" s="788">
        <v>41884</v>
      </c>
      <c r="J6191" s="788">
        <v>39457</v>
      </c>
      <c r="L6191" s="787">
        <v>0</v>
      </c>
      <c r="M6191" s="787">
        <v>10</v>
      </c>
      <c r="N6191" s="787">
        <v>18.920000000000002</v>
      </c>
      <c r="O6191" s="788">
        <v>41869</v>
      </c>
    </row>
    <row r="6192" spans="1:15" x14ac:dyDescent="0.25">
      <c r="A6192" s="786" t="s">
        <v>11045</v>
      </c>
      <c r="B6192" s="787">
        <v>4</v>
      </c>
      <c r="C6192" s="787" t="s">
        <v>11046</v>
      </c>
      <c r="D6192" s="787">
        <v>0</v>
      </c>
      <c r="E6192" s="787">
        <v>0</v>
      </c>
      <c r="H6192" s="787">
        <v>1</v>
      </c>
      <c r="I6192" s="788">
        <v>41884</v>
      </c>
      <c r="J6192" s="788">
        <v>39457</v>
      </c>
      <c r="L6192" s="787">
        <v>0</v>
      </c>
      <c r="M6192" s="787">
        <v>10</v>
      </c>
      <c r="N6192" s="787">
        <v>18.920000000000002</v>
      </c>
      <c r="O6192" s="788">
        <v>41869</v>
      </c>
    </row>
    <row r="6193" spans="1:15" x14ac:dyDescent="0.25">
      <c r="A6193" s="786" t="s">
        <v>11047</v>
      </c>
      <c r="B6193" s="787">
        <v>4</v>
      </c>
      <c r="C6193" s="787" t="s">
        <v>11048</v>
      </c>
      <c r="D6193" s="787">
        <v>0</v>
      </c>
      <c r="E6193" s="787">
        <v>0</v>
      </c>
      <c r="H6193" s="787">
        <v>1</v>
      </c>
      <c r="I6193" s="788">
        <v>41884</v>
      </c>
      <c r="J6193" s="788">
        <v>41885</v>
      </c>
      <c r="K6193" s="788">
        <v>41885</v>
      </c>
      <c r="L6193" s="787">
        <v>20</v>
      </c>
      <c r="M6193" s="787">
        <v>10</v>
      </c>
      <c r="N6193" s="787">
        <v>19.059999999999999</v>
      </c>
      <c r="O6193" s="788">
        <v>41869</v>
      </c>
    </row>
    <row r="6194" spans="1:15" x14ac:dyDescent="0.25">
      <c r="A6194" s="786" t="s">
        <v>11049</v>
      </c>
      <c r="B6194" s="787">
        <v>4</v>
      </c>
      <c r="C6194" s="787" t="s">
        <v>11050</v>
      </c>
      <c r="D6194" s="787">
        <v>2.72</v>
      </c>
      <c r="E6194" s="787">
        <v>23.69</v>
      </c>
      <c r="F6194" s="788">
        <v>39975</v>
      </c>
      <c r="G6194" s="788">
        <v>40872</v>
      </c>
      <c r="H6194" s="787">
        <v>1</v>
      </c>
      <c r="I6194" s="788">
        <v>42165</v>
      </c>
      <c r="J6194" s="788">
        <v>40872</v>
      </c>
      <c r="K6194" s="788">
        <v>41953</v>
      </c>
      <c r="L6194" s="787">
        <v>30.66</v>
      </c>
      <c r="M6194" s="787">
        <v>10</v>
      </c>
      <c r="N6194" s="787">
        <v>30.66</v>
      </c>
      <c r="O6194" s="788">
        <v>41858</v>
      </c>
    </row>
    <row r="6195" spans="1:15" x14ac:dyDescent="0.25">
      <c r="A6195" s="786" t="s">
        <v>11051</v>
      </c>
      <c r="B6195" s="787">
        <v>4</v>
      </c>
      <c r="C6195" s="787" t="s">
        <v>11052</v>
      </c>
      <c r="D6195" s="787">
        <v>9.1</v>
      </c>
      <c r="E6195" s="787">
        <v>19.920000000000002</v>
      </c>
      <c r="F6195" s="788">
        <v>39975</v>
      </c>
      <c r="G6195" s="788">
        <v>40872</v>
      </c>
      <c r="H6195" s="787">
        <v>1</v>
      </c>
      <c r="I6195" s="788">
        <v>42165</v>
      </c>
      <c r="J6195" s="788">
        <v>40872</v>
      </c>
      <c r="K6195" s="788">
        <v>41953</v>
      </c>
      <c r="L6195" s="787">
        <v>27.47</v>
      </c>
      <c r="M6195" s="787">
        <v>10</v>
      </c>
      <c r="N6195" s="787">
        <v>27.47</v>
      </c>
      <c r="O6195" s="788">
        <v>41858</v>
      </c>
    </row>
    <row r="6196" spans="1:15" x14ac:dyDescent="0.25">
      <c r="A6196" s="786" t="s">
        <v>11053</v>
      </c>
      <c r="B6196" s="787">
        <v>4</v>
      </c>
      <c r="C6196" s="787" t="s">
        <v>11054</v>
      </c>
      <c r="D6196" s="787">
        <v>1.4</v>
      </c>
      <c r="E6196" s="787">
        <v>22.32</v>
      </c>
      <c r="F6196" s="788">
        <v>39975</v>
      </c>
      <c r="G6196" s="788">
        <v>39975</v>
      </c>
      <c r="H6196" s="787">
        <v>1</v>
      </c>
      <c r="I6196" s="788">
        <v>38902</v>
      </c>
      <c r="J6196" s="788">
        <v>39101</v>
      </c>
      <c r="L6196" s="787">
        <v>0</v>
      </c>
      <c r="M6196" s="787">
        <v>10</v>
      </c>
      <c r="N6196" s="787">
        <v>26.02</v>
      </c>
      <c r="O6196" s="788">
        <v>41869</v>
      </c>
    </row>
    <row r="6197" spans="1:15" x14ac:dyDescent="0.25">
      <c r="A6197" s="786" t="s">
        <v>11055</v>
      </c>
      <c r="B6197" s="787">
        <v>4</v>
      </c>
      <c r="C6197" s="787" t="s">
        <v>11056</v>
      </c>
      <c r="D6197" s="787">
        <v>0.3</v>
      </c>
      <c r="E6197" s="787">
        <v>7.61</v>
      </c>
      <c r="F6197" s="788">
        <v>39975</v>
      </c>
      <c r="G6197" s="788">
        <v>42072</v>
      </c>
      <c r="H6197" s="787">
        <v>1</v>
      </c>
      <c r="I6197" s="788">
        <v>42157</v>
      </c>
      <c r="J6197" s="788">
        <v>42048</v>
      </c>
      <c r="K6197" s="788">
        <v>41417</v>
      </c>
      <c r="L6197" s="787">
        <v>5.47</v>
      </c>
      <c r="M6197" s="787">
        <v>10</v>
      </c>
      <c r="N6197" s="787">
        <v>5.4</v>
      </c>
      <c r="O6197" s="788">
        <v>42020</v>
      </c>
    </row>
    <row r="6198" spans="1:15" x14ac:dyDescent="0.25">
      <c r="A6198" s="786" t="s">
        <v>11057</v>
      </c>
      <c r="B6198" s="787">
        <v>4</v>
      </c>
      <c r="C6198" s="787" t="s">
        <v>11058</v>
      </c>
      <c r="D6198" s="787">
        <v>0.18</v>
      </c>
      <c r="E6198" s="787">
        <v>7.18</v>
      </c>
      <c r="F6198" s="788">
        <v>39975</v>
      </c>
      <c r="G6198" s="788">
        <v>42082</v>
      </c>
      <c r="H6198" s="787">
        <v>1</v>
      </c>
      <c r="I6198" s="788">
        <v>42062</v>
      </c>
      <c r="J6198" s="788">
        <v>42051</v>
      </c>
      <c r="K6198" s="788">
        <v>41507</v>
      </c>
      <c r="L6198" s="787">
        <v>5.18</v>
      </c>
      <c r="M6198" s="787">
        <v>10</v>
      </c>
      <c r="N6198" s="787">
        <v>12.52</v>
      </c>
      <c r="O6198" s="788">
        <v>42062</v>
      </c>
    </row>
    <row r="6199" spans="1:15" x14ac:dyDescent="0.25">
      <c r="A6199" s="786" t="s">
        <v>11059</v>
      </c>
      <c r="B6199" s="787">
        <v>4</v>
      </c>
      <c r="C6199" s="787" t="s">
        <v>11060</v>
      </c>
      <c r="D6199" s="787">
        <v>5.39</v>
      </c>
      <c r="E6199" s="787">
        <v>6.7</v>
      </c>
      <c r="F6199" s="788">
        <v>39975</v>
      </c>
      <c r="G6199" s="788">
        <v>42013</v>
      </c>
      <c r="H6199" s="787">
        <v>1</v>
      </c>
      <c r="I6199" s="788">
        <v>42165</v>
      </c>
      <c r="J6199" s="788">
        <v>41544</v>
      </c>
      <c r="K6199" s="788">
        <v>41537</v>
      </c>
      <c r="L6199" s="787">
        <v>5.47</v>
      </c>
      <c r="M6199" s="787">
        <v>10</v>
      </c>
      <c r="N6199" s="787">
        <v>5.13</v>
      </c>
      <c r="O6199" s="788">
        <v>41858</v>
      </c>
    </row>
    <row r="6200" spans="1:15" x14ac:dyDescent="0.25">
      <c r="A6200" s="786" t="s">
        <v>11061</v>
      </c>
      <c r="B6200" s="787">
        <v>4</v>
      </c>
      <c r="C6200" s="787" t="s">
        <v>11062</v>
      </c>
      <c r="D6200" s="787">
        <v>3.11</v>
      </c>
      <c r="E6200" s="787">
        <v>8.2799999999999994</v>
      </c>
      <c r="F6200" s="788">
        <v>42074</v>
      </c>
      <c r="G6200" s="788">
        <v>42089</v>
      </c>
      <c r="H6200" s="787">
        <v>1</v>
      </c>
      <c r="I6200" s="788">
        <v>42062</v>
      </c>
      <c r="J6200" s="788">
        <v>42065</v>
      </c>
      <c r="K6200" s="788">
        <v>41537</v>
      </c>
      <c r="L6200" s="787">
        <v>5.2</v>
      </c>
      <c r="M6200" s="787">
        <v>10</v>
      </c>
      <c r="N6200" s="787">
        <v>12.52</v>
      </c>
      <c r="O6200" s="788">
        <v>42062</v>
      </c>
    </row>
    <row r="6201" spans="1:15" x14ac:dyDescent="0.25">
      <c r="A6201" s="786" t="s">
        <v>11063</v>
      </c>
      <c r="B6201" s="787">
        <v>4</v>
      </c>
      <c r="C6201" s="787" t="s">
        <v>11064</v>
      </c>
      <c r="D6201" s="787">
        <v>1.77</v>
      </c>
      <c r="E6201" s="787">
        <v>2.13</v>
      </c>
      <c r="F6201" s="788">
        <v>39975</v>
      </c>
      <c r="G6201" s="788">
        <v>42013</v>
      </c>
      <c r="H6201" s="787">
        <v>1</v>
      </c>
      <c r="I6201" s="788">
        <v>40422</v>
      </c>
      <c r="J6201" s="788">
        <v>41930</v>
      </c>
      <c r="K6201" s="788">
        <v>41913</v>
      </c>
      <c r="L6201" s="787">
        <v>1.41</v>
      </c>
      <c r="M6201" s="787">
        <v>10</v>
      </c>
      <c r="N6201" s="787">
        <v>3.23</v>
      </c>
      <c r="O6201" s="788">
        <v>42026</v>
      </c>
    </row>
    <row r="6202" spans="1:15" x14ac:dyDescent="0.25">
      <c r="A6202" s="786" t="s">
        <v>11065</v>
      </c>
      <c r="B6202" s="787">
        <v>4</v>
      </c>
      <c r="C6202" s="787" t="s">
        <v>11066</v>
      </c>
      <c r="D6202" s="787">
        <v>5.3</v>
      </c>
      <c r="E6202" s="787">
        <v>5.3</v>
      </c>
      <c r="F6202" s="788">
        <v>40632</v>
      </c>
      <c r="G6202" s="788">
        <v>41282</v>
      </c>
      <c r="H6202" s="787">
        <v>1</v>
      </c>
      <c r="I6202" s="788">
        <v>42165</v>
      </c>
      <c r="J6202" s="788">
        <v>42163</v>
      </c>
      <c r="K6202" s="788">
        <v>40626</v>
      </c>
      <c r="L6202" s="787">
        <v>5.3</v>
      </c>
      <c r="M6202" s="787">
        <v>20</v>
      </c>
      <c r="N6202" s="787">
        <v>5.7</v>
      </c>
      <c r="O6202" s="788">
        <v>42146</v>
      </c>
    </row>
    <row r="6203" spans="1:15" x14ac:dyDescent="0.25">
      <c r="A6203" s="786" t="s">
        <v>11067</v>
      </c>
      <c r="B6203" s="787">
        <v>4</v>
      </c>
      <c r="C6203" s="787" t="s">
        <v>11068</v>
      </c>
      <c r="D6203" s="787">
        <v>0.24</v>
      </c>
      <c r="E6203" s="787">
        <v>0.38</v>
      </c>
      <c r="F6203" s="788">
        <v>39456</v>
      </c>
      <c r="G6203" s="788">
        <v>42156</v>
      </c>
      <c r="H6203" s="787">
        <v>1</v>
      </c>
      <c r="I6203" s="788">
        <v>42165</v>
      </c>
      <c r="J6203" s="788">
        <v>42156</v>
      </c>
      <c r="L6203" s="787">
        <v>0.57999999999999996</v>
      </c>
      <c r="M6203" s="787">
        <v>10</v>
      </c>
      <c r="N6203" s="787">
        <v>1.1000000000000001</v>
      </c>
      <c r="O6203" s="788">
        <v>42146</v>
      </c>
    </row>
    <row r="6204" spans="1:15" x14ac:dyDescent="0.25">
      <c r="A6204" s="786" t="s">
        <v>11069</v>
      </c>
      <c r="B6204" s="787">
        <v>4</v>
      </c>
      <c r="C6204" s="787" t="s">
        <v>11070</v>
      </c>
      <c r="D6204" s="787">
        <v>0.53</v>
      </c>
      <c r="E6204" s="787">
        <v>0.69</v>
      </c>
      <c r="F6204" s="788">
        <v>39101</v>
      </c>
      <c r="G6204" s="788">
        <v>41282</v>
      </c>
      <c r="H6204" s="787">
        <v>1</v>
      </c>
      <c r="I6204" s="788">
        <v>41667</v>
      </c>
      <c r="J6204" s="788">
        <v>40864</v>
      </c>
      <c r="L6204" s="787">
        <v>0.54</v>
      </c>
      <c r="M6204" s="787">
        <v>10</v>
      </c>
      <c r="N6204" s="787">
        <v>0.23</v>
      </c>
      <c r="O6204" s="788">
        <v>42164</v>
      </c>
    </row>
    <row r="6205" spans="1:15" x14ac:dyDescent="0.25">
      <c r="A6205" s="786" t="s">
        <v>11071</v>
      </c>
      <c r="B6205" s="787">
        <v>4</v>
      </c>
      <c r="C6205" s="787" t="s">
        <v>11072</v>
      </c>
      <c r="D6205" s="787">
        <v>2.5299999999999998</v>
      </c>
      <c r="E6205" s="787">
        <v>3.03</v>
      </c>
      <c r="F6205" s="788">
        <v>39456</v>
      </c>
      <c r="G6205" s="788">
        <v>42013</v>
      </c>
      <c r="H6205" s="787">
        <v>1</v>
      </c>
      <c r="I6205" s="788">
        <v>42165</v>
      </c>
      <c r="J6205" s="788">
        <v>41974</v>
      </c>
      <c r="L6205" s="787">
        <v>3.38</v>
      </c>
      <c r="M6205" s="787">
        <v>10</v>
      </c>
      <c r="N6205" s="787">
        <v>6.76</v>
      </c>
      <c r="O6205" s="788">
        <v>42020</v>
      </c>
    </row>
    <row r="6206" spans="1:15" x14ac:dyDescent="0.25">
      <c r="A6206" s="786" t="s">
        <v>11073</v>
      </c>
      <c r="B6206" s="787">
        <v>4</v>
      </c>
      <c r="C6206" s="787" t="s">
        <v>11074</v>
      </c>
      <c r="D6206" s="787">
        <v>7.02</v>
      </c>
      <c r="E6206" s="787">
        <v>17.75</v>
      </c>
      <c r="F6206" s="788">
        <v>39975</v>
      </c>
      <c r="G6206" s="788">
        <v>39975</v>
      </c>
      <c r="H6206" s="787">
        <v>1</v>
      </c>
      <c r="I6206" s="788">
        <v>38902</v>
      </c>
      <c r="J6206" s="788">
        <v>39101</v>
      </c>
      <c r="L6206" s="787">
        <v>0</v>
      </c>
      <c r="M6206" s="787">
        <v>10</v>
      </c>
      <c r="N6206" s="787">
        <v>21.78</v>
      </c>
      <c r="O6206" s="788">
        <v>41869</v>
      </c>
    </row>
    <row r="6207" spans="1:15" x14ac:dyDescent="0.25">
      <c r="A6207" s="786" t="s">
        <v>11075</v>
      </c>
      <c r="B6207" s="787">
        <v>4</v>
      </c>
      <c r="C6207" s="787" t="s">
        <v>11076</v>
      </c>
      <c r="D6207" s="787">
        <v>0.06</v>
      </c>
      <c r="E6207" s="787">
        <v>7.0000000000000007E-2</v>
      </c>
      <c r="F6207" s="788">
        <v>39456</v>
      </c>
      <c r="G6207" s="788">
        <v>41943</v>
      </c>
      <c r="H6207" s="787">
        <v>1</v>
      </c>
      <c r="I6207" s="788">
        <v>40686</v>
      </c>
      <c r="J6207" s="788">
        <v>40261</v>
      </c>
      <c r="L6207" s="787">
        <v>0</v>
      </c>
      <c r="M6207" s="787">
        <v>10</v>
      </c>
      <c r="N6207" s="787">
        <v>0.7</v>
      </c>
      <c r="O6207" s="788">
        <v>41858</v>
      </c>
    </row>
    <row r="6208" spans="1:15" x14ac:dyDescent="0.25">
      <c r="A6208" s="786" t="s">
        <v>11077</v>
      </c>
      <c r="B6208" s="787">
        <v>4</v>
      </c>
      <c r="C6208" s="787" t="s">
        <v>11078</v>
      </c>
      <c r="D6208" s="787">
        <v>0.17</v>
      </c>
      <c r="E6208" s="787">
        <v>0.17</v>
      </c>
      <c r="F6208" s="788">
        <v>39101</v>
      </c>
      <c r="G6208" s="788">
        <v>41565</v>
      </c>
      <c r="H6208" s="787">
        <v>1</v>
      </c>
      <c r="I6208" s="788">
        <v>40441</v>
      </c>
      <c r="J6208" s="788">
        <v>40261</v>
      </c>
      <c r="L6208" s="787">
        <v>0</v>
      </c>
      <c r="M6208" s="787">
        <v>10</v>
      </c>
      <c r="N6208" s="787">
        <v>0.35</v>
      </c>
      <c r="O6208" s="788">
        <v>41858</v>
      </c>
    </row>
    <row r="6209" spans="1:15" x14ac:dyDescent="0.25">
      <c r="A6209" s="786" t="s">
        <v>11079</v>
      </c>
      <c r="B6209" s="787">
        <v>4</v>
      </c>
      <c r="C6209" s="787" t="s">
        <v>11080</v>
      </c>
      <c r="D6209" s="787">
        <v>7.15</v>
      </c>
      <c r="E6209" s="787">
        <v>17.149999999999999</v>
      </c>
      <c r="F6209" s="788">
        <v>38772</v>
      </c>
      <c r="G6209" s="788">
        <v>38741</v>
      </c>
      <c r="H6209" s="787">
        <v>1</v>
      </c>
      <c r="I6209" s="788">
        <v>42146</v>
      </c>
      <c r="J6209" s="788">
        <v>39101</v>
      </c>
      <c r="L6209" s="787">
        <v>0</v>
      </c>
      <c r="M6209" s="787">
        <v>10</v>
      </c>
      <c r="N6209" s="787">
        <v>15</v>
      </c>
      <c r="O6209" s="788">
        <v>42146</v>
      </c>
    </row>
    <row r="6210" spans="1:15" x14ac:dyDescent="0.25">
      <c r="A6210" s="786" t="s">
        <v>11081</v>
      </c>
      <c r="B6210" s="787">
        <v>4</v>
      </c>
      <c r="C6210" s="787" t="s">
        <v>11082</v>
      </c>
      <c r="D6210" s="787">
        <v>1.44</v>
      </c>
      <c r="E6210" s="787">
        <v>22.42</v>
      </c>
      <c r="F6210" s="788">
        <v>38712</v>
      </c>
      <c r="G6210" s="788">
        <v>38750</v>
      </c>
      <c r="H6210" s="787">
        <v>1</v>
      </c>
      <c r="I6210" s="788">
        <v>42157</v>
      </c>
      <c r="J6210" s="788">
        <v>39101</v>
      </c>
      <c r="L6210" s="787">
        <v>0</v>
      </c>
      <c r="M6210" s="787">
        <v>10</v>
      </c>
      <c r="N6210" s="787">
        <v>19.850000000000001</v>
      </c>
      <c r="O6210" s="788">
        <v>42146</v>
      </c>
    </row>
    <row r="6211" spans="1:15" x14ac:dyDescent="0.25">
      <c r="A6211" s="786" t="s">
        <v>11083</v>
      </c>
      <c r="B6211" s="787">
        <v>4</v>
      </c>
      <c r="C6211" s="787" t="s">
        <v>11084</v>
      </c>
      <c r="D6211" s="787">
        <v>5.46</v>
      </c>
      <c r="E6211" s="787">
        <v>20.59</v>
      </c>
      <c r="F6211" s="788">
        <v>38712</v>
      </c>
      <c r="G6211" s="788">
        <v>38741</v>
      </c>
      <c r="H6211" s="787">
        <v>1</v>
      </c>
      <c r="I6211" s="788">
        <v>42157</v>
      </c>
      <c r="J6211" s="788">
        <v>39101</v>
      </c>
      <c r="L6211" s="787">
        <v>0</v>
      </c>
      <c r="M6211" s="787">
        <v>10</v>
      </c>
      <c r="N6211" s="787">
        <v>16.36</v>
      </c>
      <c r="O6211" s="788">
        <v>42146</v>
      </c>
    </row>
    <row r="6212" spans="1:15" x14ac:dyDescent="0.25">
      <c r="A6212" s="786" t="s">
        <v>11085</v>
      </c>
      <c r="B6212" s="787">
        <v>4</v>
      </c>
      <c r="C6212" s="787" t="s">
        <v>11086</v>
      </c>
      <c r="D6212" s="787">
        <v>0.19</v>
      </c>
      <c r="E6212" s="787">
        <v>6.34</v>
      </c>
      <c r="F6212" s="788">
        <v>39456</v>
      </c>
      <c r="G6212" s="788">
        <v>42013</v>
      </c>
      <c r="H6212" s="787">
        <v>1</v>
      </c>
      <c r="I6212" s="788">
        <v>42157</v>
      </c>
      <c r="J6212" s="788">
        <v>41943</v>
      </c>
      <c r="L6212" s="787">
        <v>1.05</v>
      </c>
      <c r="M6212" s="787">
        <v>10</v>
      </c>
      <c r="N6212" s="787">
        <v>3.12</v>
      </c>
      <c r="O6212" s="788">
        <v>42164</v>
      </c>
    </row>
    <row r="6213" spans="1:15" x14ac:dyDescent="0.25">
      <c r="A6213" s="786" t="s">
        <v>11087</v>
      </c>
      <c r="B6213" s="787">
        <v>4</v>
      </c>
      <c r="C6213" s="787" t="s">
        <v>11088</v>
      </c>
      <c r="D6213" s="787">
        <v>0.19</v>
      </c>
      <c r="E6213" s="787">
        <v>3.13</v>
      </c>
      <c r="F6213" s="788">
        <v>39456</v>
      </c>
      <c r="G6213" s="788">
        <v>42156</v>
      </c>
      <c r="H6213" s="787">
        <v>1</v>
      </c>
      <c r="I6213" s="788">
        <v>42157</v>
      </c>
      <c r="J6213" s="788">
        <v>42128</v>
      </c>
      <c r="L6213" s="787">
        <v>1.05</v>
      </c>
      <c r="M6213" s="787">
        <v>10</v>
      </c>
      <c r="N6213" s="787">
        <v>3.19</v>
      </c>
      <c r="O6213" s="788">
        <v>42164</v>
      </c>
    </row>
    <row r="6214" spans="1:15" x14ac:dyDescent="0.25">
      <c r="A6214" s="786" t="s">
        <v>11089</v>
      </c>
      <c r="B6214" s="787">
        <v>4</v>
      </c>
      <c r="C6214" s="787" t="s">
        <v>11090</v>
      </c>
      <c r="D6214" s="787">
        <v>0.61</v>
      </c>
      <c r="E6214" s="787">
        <v>6.83</v>
      </c>
      <c r="F6214" s="788">
        <v>39975</v>
      </c>
      <c r="G6214" s="788">
        <v>41976</v>
      </c>
      <c r="H6214" s="787">
        <v>1</v>
      </c>
      <c r="I6214" s="788">
        <v>42157</v>
      </c>
      <c r="J6214" s="788">
        <v>41956</v>
      </c>
      <c r="K6214" s="788">
        <v>41575</v>
      </c>
      <c r="L6214" s="787">
        <v>4.2699999999999996</v>
      </c>
      <c r="M6214" s="787">
        <v>10</v>
      </c>
      <c r="N6214" s="787">
        <v>3.98</v>
      </c>
      <c r="O6214" s="788">
        <v>42146</v>
      </c>
    </row>
    <row r="6215" spans="1:15" x14ac:dyDescent="0.25">
      <c r="A6215" s="786" t="s">
        <v>11091</v>
      </c>
      <c r="B6215" s="787">
        <v>4</v>
      </c>
      <c r="C6215" s="787" t="s">
        <v>11092</v>
      </c>
      <c r="D6215" s="787">
        <v>0.25</v>
      </c>
      <c r="E6215" s="787">
        <v>2.73</v>
      </c>
      <c r="F6215" s="788">
        <v>38772</v>
      </c>
      <c r="G6215" s="788">
        <v>41976</v>
      </c>
      <c r="H6215" s="787">
        <v>1</v>
      </c>
      <c r="I6215" s="788">
        <v>42157</v>
      </c>
      <c r="J6215" s="788">
        <v>41956</v>
      </c>
      <c r="K6215" s="788">
        <v>41575</v>
      </c>
      <c r="L6215" s="787">
        <v>3.19</v>
      </c>
      <c r="M6215" s="787">
        <v>10</v>
      </c>
      <c r="N6215" s="787">
        <v>2.77</v>
      </c>
      <c r="O6215" s="788">
        <v>42146</v>
      </c>
    </row>
    <row r="6216" spans="1:15" x14ac:dyDescent="0.25">
      <c r="A6216" s="786" t="s">
        <v>11093</v>
      </c>
      <c r="B6216" s="787">
        <v>4</v>
      </c>
      <c r="C6216" s="787" t="s">
        <v>11094</v>
      </c>
      <c r="D6216" s="787">
        <v>0.17</v>
      </c>
      <c r="E6216" s="787">
        <v>0.57999999999999996</v>
      </c>
      <c r="F6216" s="788">
        <v>39101</v>
      </c>
      <c r="G6216" s="788">
        <v>42013</v>
      </c>
      <c r="H6216" s="787">
        <v>1</v>
      </c>
      <c r="I6216" s="788">
        <v>42151</v>
      </c>
      <c r="J6216" s="788">
        <v>41226</v>
      </c>
      <c r="L6216" s="787">
        <v>0</v>
      </c>
      <c r="M6216" s="787">
        <v>10</v>
      </c>
      <c r="N6216" s="787">
        <v>13.39</v>
      </c>
      <c r="O6216" s="788">
        <v>42164</v>
      </c>
    </row>
    <row r="6217" spans="1:15" x14ac:dyDescent="0.25">
      <c r="A6217" s="786" t="s">
        <v>11095</v>
      </c>
      <c r="B6217" s="787">
        <v>4</v>
      </c>
      <c r="C6217" s="787" t="s">
        <v>11096</v>
      </c>
      <c r="D6217" s="787">
        <v>1.62</v>
      </c>
      <c r="E6217" s="787">
        <v>11.62</v>
      </c>
      <c r="F6217" s="788">
        <v>38772</v>
      </c>
      <c r="G6217" s="788">
        <v>41619</v>
      </c>
      <c r="H6217" s="787">
        <v>1</v>
      </c>
      <c r="I6217" s="788">
        <v>42146</v>
      </c>
      <c r="J6217" s="788">
        <v>41863</v>
      </c>
      <c r="K6217" s="788">
        <v>41863</v>
      </c>
      <c r="L6217" s="787">
        <v>12.77</v>
      </c>
      <c r="M6217" s="787">
        <v>10</v>
      </c>
      <c r="N6217" s="787">
        <v>9.2100000000000009</v>
      </c>
      <c r="O6217" s="788">
        <v>42164</v>
      </c>
    </row>
    <row r="6218" spans="1:15" x14ac:dyDescent="0.25">
      <c r="A6218" s="786" t="s">
        <v>11097</v>
      </c>
      <c r="B6218" s="787">
        <v>4</v>
      </c>
      <c r="C6218" s="787" t="s">
        <v>11098</v>
      </c>
      <c r="D6218" s="787">
        <v>3.04</v>
      </c>
      <c r="E6218" s="787">
        <v>14.02</v>
      </c>
      <c r="F6218" s="788">
        <v>38712</v>
      </c>
      <c r="G6218" s="788">
        <v>38750</v>
      </c>
      <c r="H6218" s="787">
        <v>1</v>
      </c>
      <c r="I6218" s="788">
        <v>42157</v>
      </c>
      <c r="J6218" s="788">
        <v>39101</v>
      </c>
      <c r="L6218" s="787">
        <v>0</v>
      </c>
      <c r="M6218" s="787">
        <v>10</v>
      </c>
      <c r="N6218" s="787">
        <v>18.61</v>
      </c>
      <c r="O6218" s="788">
        <v>42164</v>
      </c>
    </row>
    <row r="6219" spans="1:15" x14ac:dyDescent="0.25">
      <c r="A6219" s="786" t="s">
        <v>11099</v>
      </c>
      <c r="B6219" s="787">
        <v>4</v>
      </c>
      <c r="C6219" s="787" t="s">
        <v>11100</v>
      </c>
      <c r="D6219" s="787">
        <v>5.67</v>
      </c>
      <c r="E6219" s="787">
        <v>20.81</v>
      </c>
      <c r="F6219" s="788">
        <v>38712</v>
      </c>
      <c r="G6219" s="788">
        <v>38741</v>
      </c>
      <c r="H6219" s="787">
        <v>1</v>
      </c>
      <c r="I6219" s="788">
        <v>42157</v>
      </c>
      <c r="J6219" s="788">
        <v>39101</v>
      </c>
      <c r="L6219" s="787">
        <v>0</v>
      </c>
      <c r="M6219" s="787">
        <v>10</v>
      </c>
      <c r="N6219" s="787">
        <v>15.34</v>
      </c>
      <c r="O6219" s="788">
        <v>42164</v>
      </c>
    </row>
    <row r="6220" spans="1:15" x14ac:dyDescent="0.25">
      <c r="A6220" s="786" t="s">
        <v>11101</v>
      </c>
      <c r="B6220" s="787">
        <v>4</v>
      </c>
      <c r="C6220" s="787" t="s">
        <v>11102</v>
      </c>
      <c r="D6220" s="787">
        <v>1.42</v>
      </c>
      <c r="E6220" s="787">
        <v>11.42</v>
      </c>
      <c r="F6220" s="788">
        <v>38772</v>
      </c>
      <c r="G6220" s="788">
        <v>38741</v>
      </c>
      <c r="H6220" s="787">
        <v>1</v>
      </c>
      <c r="I6220" s="788">
        <v>42146</v>
      </c>
      <c r="J6220" s="788">
        <v>39101</v>
      </c>
      <c r="L6220" s="787">
        <v>0</v>
      </c>
      <c r="M6220" s="787">
        <v>10</v>
      </c>
      <c r="N6220" s="787">
        <v>9.0399999999999991</v>
      </c>
      <c r="O6220" s="788">
        <v>42164</v>
      </c>
    </row>
    <row r="6221" spans="1:15" x14ac:dyDescent="0.25">
      <c r="A6221" s="786" t="s">
        <v>11103</v>
      </c>
      <c r="B6221" s="787">
        <v>4</v>
      </c>
      <c r="C6221" s="787" t="s">
        <v>11104</v>
      </c>
      <c r="D6221" s="787">
        <v>2.83</v>
      </c>
      <c r="E6221" s="787">
        <v>13.81</v>
      </c>
      <c r="F6221" s="788">
        <v>38712</v>
      </c>
      <c r="G6221" s="788">
        <v>38750</v>
      </c>
      <c r="H6221" s="787">
        <v>1</v>
      </c>
      <c r="I6221" s="788">
        <v>42157</v>
      </c>
      <c r="J6221" s="788">
        <v>39101</v>
      </c>
      <c r="K6221" s="788">
        <v>41494</v>
      </c>
      <c r="L6221" s="787">
        <v>13.68</v>
      </c>
      <c r="M6221" s="787">
        <v>10</v>
      </c>
      <c r="N6221" s="787">
        <v>13.26</v>
      </c>
      <c r="O6221" s="788">
        <v>42164</v>
      </c>
    </row>
    <row r="6222" spans="1:15" x14ac:dyDescent="0.25">
      <c r="A6222" s="786" t="s">
        <v>11105</v>
      </c>
      <c r="B6222" s="787">
        <v>4</v>
      </c>
      <c r="C6222" s="787" t="s">
        <v>11106</v>
      </c>
      <c r="D6222" s="787">
        <v>5.44</v>
      </c>
      <c r="E6222" s="787">
        <v>20.58</v>
      </c>
      <c r="F6222" s="788">
        <v>38712</v>
      </c>
      <c r="G6222" s="788">
        <v>38741</v>
      </c>
      <c r="H6222" s="787">
        <v>1</v>
      </c>
      <c r="I6222" s="788">
        <v>42157</v>
      </c>
      <c r="J6222" s="788">
        <v>39101</v>
      </c>
      <c r="L6222" s="787">
        <v>0</v>
      </c>
      <c r="M6222" s="787">
        <v>10</v>
      </c>
      <c r="N6222" s="787">
        <v>15.14</v>
      </c>
      <c r="O6222" s="788">
        <v>42164</v>
      </c>
    </row>
    <row r="6223" spans="1:15" x14ac:dyDescent="0.25">
      <c r="A6223" s="786" t="s">
        <v>11107</v>
      </c>
      <c r="B6223" s="787">
        <v>4</v>
      </c>
      <c r="C6223" s="787" t="s">
        <v>11108</v>
      </c>
      <c r="D6223" s="787">
        <v>5.6</v>
      </c>
      <c r="E6223" s="787">
        <v>17.690000000000001</v>
      </c>
      <c r="F6223" s="788">
        <v>38772</v>
      </c>
      <c r="G6223" s="788">
        <v>41775</v>
      </c>
      <c r="H6223" s="787">
        <v>1</v>
      </c>
      <c r="I6223" s="788">
        <v>41297</v>
      </c>
      <c r="J6223" s="788">
        <v>40970</v>
      </c>
      <c r="L6223" s="787">
        <v>0</v>
      </c>
      <c r="M6223" s="787">
        <v>10</v>
      </c>
      <c r="N6223" s="787">
        <v>9.2799999999999994</v>
      </c>
      <c r="O6223" s="788">
        <v>42146</v>
      </c>
    </row>
    <row r="6224" spans="1:15" x14ac:dyDescent="0.25">
      <c r="A6224" s="786" t="s">
        <v>11109</v>
      </c>
      <c r="B6224" s="787">
        <v>4</v>
      </c>
      <c r="C6224" s="787" t="s">
        <v>11110</v>
      </c>
      <c r="D6224" s="787">
        <v>7.7</v>
      </c>
      <c r="E6224" s="787">
        <v>8.4600000000000009</v>
      </c>
      <c r="F6224" s="788">
        <v>39101</v>
      </c>
      <c r="G6224" s="788">
        <v>41565</v>
      </c>
      <c r="H6224" s="787">
        <v>1</v>
      </c>
      <c r="I6224" s="788">
        <v>41690</v>
      </c>
      <c r="J6224" s="788">
        <v>40476</v>
      </c>
      <c r="K6224" s="788">
        <v>41690</v>
      </c>
      <c r="L6224" s="787">
        <v>12.96</v>
      </c>
      <c r="M6224" s="787">
        <v>10</v>
      </c>
      <c r="N6224" s="787">
        <v>12.56</v>
      </c>
      <c r="O6224" s="788">
        <v>42164</v>
      </c>
    </row>
    <row r="6225" spans="1:15" x14ac:dyDescent="0.25">
      <c r="A6225" s="786" t="s">
        <v>11111</v>
      </c>
      <c r="B6225" s="787">
        <v>4</v>
      </c>
      <c r="C6225" s="787" t="s">
        <v>11112</v>
      </c>
      <c r="D6225" s="787">
        <v>7.68</v>
      </c>
      <c r="E6225" s="787">
        <v>32.909999999999997</v>
      </c>
      <c r="F6225" s="788">
        <v>39456</v>
      </c>
      <c r="G6225" s="788">
        <v>39744</v>
      </c>
      <c r="H6225" s="787">
        <v>1</v>
      </c>
      <c r="I6225" s="788">
        <v>41142</v>
      </c>
      <c r="J6225" s="788">
        <v>40694</v>
      </c>
      <c r="K6225" s="788">
        <v>41707</v>
      </c>
      <c r="L6225" s="787">
        <v>17.829999999999998</v>
      </c>
      <c r="M6225" s="787">
        <v>10</v>
      </c>
      <c r="N6225" s="787">
        <v>17.54</v>
      </c>
      <c r="O6225" s="788">
        <v>42164</v>
      </c>
    </row>
    <row r="6226" spans="1:15" x14ac:dyDescent="0.25">
      <c r="A6226" s="786" t="s">
        <v>11113</v>
      </c>
      <c r="B6226" s="787">
        <v>4</v>
      </c>
      <c r="C6226" s="787" t="s">
        <v>11114</v>
      </c>
      <c r="D6226" s="787">
        <v>4.8899999999999997</v>
      </c>
      <c r="E6226" s="787">
        <v>13.82</v>
      </c>
      <c r="F6226" s="788">
        <v>39456</v>
      </c>
      <c r="G6226" s="788">
        <v>41255</v>
      </c>
      <c r="H6226" s="787">
        <v>1</v>
      </c>
      <c r="I6226" s="788">
        <v>40574</v>
      </c>
      <c r="J6226" s="788">
        <v>40634</v>
      </c>
      <c r="K6226" s="788">
        <v>41707</v>
      </c>
      <c r="L6226" s="787">
        <v>10.7</v>
      </c>
      <c r="M6226" s="787">
        <v>10</v>
      </c>
      <c r="N6226" s="787">
        <v>10.49</v>
      </c>
      <c r="O6226" s="788">
        <v>42164</v>
      </c>
    </row>
    <row r="6227" spans="1:15" x14ac:dyDescent="0.25">
      <c r="A6227" s="786" t="s">
        <v>11115</v>
      </c>
      <c r="B6227" s="787">
        <v>4</v>
      </c>
      <c r="C6227" s="787" t="s">
        <v>11116</v>
      </c>
      <c r="D6227" s="787">
        <v>3.29</v>
      </c>
      <c r="E6227" s="787">
        <v>5.03</v>
      </c>
      <c r="F6227" s="788">
        <v>39101</v>
      </c>
      <c r="G6227" s="788">
        <v>41565</v>
      </c>
      <c r="H6227" s="787">
        <v>1</v>
      </c>
      <c r="I6227" s="788">
        <v>41690</v>
      </c>
      <c r="J6227" s="788">
        <v>40458</v>
      </c>
      <c r="K6227" s="788">
        <v>41690</v>
      </c>
      <c r="L6227" s="787">
        <v>4.9400000000000004</v>
      </c>
      <c r="M6227" s="787">
        <v>10</v>
      </c>
      <c r="N6227" s="787">
        <v>5.71</v>
      </c>
      <c r="O6227" s="788">
        <v>42164</v>
      </c>
    </row>
    <row r="6228" spans="1:15" x14ac:dyDescent="0.25">
      <c r="A6228" s="786" t="s">
        <v>11117</v>
      </c>
      <c r="B6228" s="787">
        <v>4</v>
      </c>
      <c r="C6228" s="787" t="s">
        <v>11118</v>
      </c>
      <c r="D6228" s="787">
        <v>2.87</v>
      </c>
      <c r="E6228" s="787">
        <v>10.74</v>
      </c>
      <c r="F6228" s="788">
        <v>39456</v>
      </c>
      <c r="G6228" s="788">
        <v>41255</v>
      </c>
      <c r="H6228" s="787">
        <v>1</v>
      </c>
      <c r="I6228" s="788">
        <v>41142</v>
      </c>
      <c r="J6228" s="788">
        <v>40694</v>
      </c>
      <c r="L6228" s="787">
        <v>0</v>
      </c>
      <c r="M6228" s="787">
        <v>10</v>
      </c>
      <c r="N6228" s="787">
        <v>4.29</v>
      </c>
      <c r="O6228" s="788">
        <v>42164</v>
      </c>
    </row>
    <row r="6229" spans="1:15" x14ac:dyDescent="0.25">
      <c r="A6229" s="786" t="s">
        <v>11119</v>
      </c>
      <c r="B6229" s="787">
        <v>4</v>
      </c>
      <c r="C6229" s="787" t="s">
        <v>11120</v>
      </c>
      <c r="D6229" s="787">
        <v>4.2699999999999996</v>
      </c>
      <c r="E6229" s="787">
        <v>9.42</v>
      </c>
      <c r="F6229" s="788">
        <v>39456</v>
      </c>
      <c r="G6229" s="788">
        <v>41255</v>
      </c>
      <c r="H6229" s="787">
        <v>1</v>
      </c>
      <c r="I6229" s="788">
        <v>40574</v>
      </c>
      <c r="J6229" s="788">
        <v>40631</v>
      </c>
      <c r="L6229" s="787">
        <v>0</v>
      </c>
      <c r="M6229" s="787">
        <v>10</v>
      </c>
      <c r="N6229" s="787">
        <v>8.91</v>
      </c>
      <c r="O6229" s="788">
        <v>42164</v>
      </c>
    </row>
    <row r="6230" spans="1:15" x14ac:dyDescent="0.25">
      <c r="A6230" s="786" t="s">
        <v>11121</v>
      </c>
      <c r="B6230" s="787">
        <v>4</v>
      </c>
      <c r="C6230" s="787" t="s">
        <v>11122</v>
      </c>
      <c r="D6230" s="787">
        <v>1.98</v>
      </c>
      <c r="E6230" s="787">
        <v>1.98</v>
      </c>
      <c r="F6230" s="788">
        <v>39975</v>
      </c>
      <c r="G6230" s="788">
        <v>41565</v>
      </c>
      <c r="H6230" s="787">
        <v>1</v>
      </c>
      <c r="I6230" s="788">
        <v>42146</v>
      </c>
      <c r="J6230" s="788">
        <v>40032</v>
      </c>
      <c r="K6230" s="788">
        <v>41690</v>
      </c>
      <c r="L6230" s="787">
        <v>6.67</v>
      </c>
      <c r="M6230" s="787">
        <v>10</v>
      </c>
      <c r="N6230" s="787">
        <v>8.4</v>
      </c>
      <c r="O6230" s="788">
        <v>42164</v>
      </c>
    </row>
    <row r="6231" spans="1:15" x14ac:dyDescent="0.25">
      <c r="A6231" s="786" t="s">
        <v>11123</v>
      </c>
      <c r="B6231" s="787">
        <v>4</v>
      </c>
      <c r="C6231" s="787" t="s">
        <v>11124</v>
      </c>
      <c r="D6231" s="787">
        <v>1.96</v>
      </c>
      <c r="E6231" s="787">
        <v>7.67</v>
      </c>
      <c r="F6231" s="788">
        <v>39975</v>
      </c>
      <c r="G6231" s="788">
        <v>41565</v>
      </c>
      <c r="H6231" s="787">
        <v>1</v>
      </c>
      <c r="I6231" s="788">
        <v>42157</v>
      </c>
      <c r="J6231" s="788">
        <v>40970</v>
      </c>
      <c r="K6231" s="788">
        <v>41690</v>
      </c>
      <c r="L6231" s="787">
        <v>6.97</v>
      </c>
      <c r="M6231" s="787">
        <v>10</v>
      </c>
      <c r="N6231" s="787">
        <v>8.6300000000000008</v>
      </c>
      <c r="O6231" s="788">
        <v>42164</v>
      </c>
    </row>
    <row r="6232" spans="1:15" x14ac:dyDescent="0.25">
      <c r="A6232" s="786" t="s">
        <v>11125</v>
      </c>
      <c r="B6232" s="787">
        <v>4</v>
      </c>
      <c r="C6232" s="787" t="s">
        <v>11126</v>
      </c>
      <c r="D6232" s="787">
        <v>2.93</v>
      </c>
      <c r="E6232" s="787">
        <v>5.0999999999999996</v>
      </c>
      <c r="F6232" s="788">
        <v>39975</v>
      </c>
      <c r="G6232" s="788">
        <v>41565</v>
      </c>
      <c r="H6232" s="787">
        <v>1</v>
      </c>
      <c r="I6232" s="788">
        <v>42157</v>
      </c>
      <c r="J6232" s="788">
        <v>40631</v>
      </c>
      <c r="K6232" s="788">
        <v>41690</v>
      </c>
      <c r="L6232" s="787">
        <v>8.4600000000000009</v>
      </c>
      <c r="M6232" s="787">
        <v>10</v>
      </c>
      <c r="N6232" s="787">
        <v>10.32</v>
      </c>
      <c r="O6232" s="788">
        <v>42164</v>
      </c>
    </row>
    <row r="6233" spans="1:15" x14ac:dyDescent="0.25">
      <c r="A6233" s="786" t="s">
        <v>11127</v>
      </c>
      <c r="B6233" s="787">
        <v>4</v>
      </c>
      <c r="C6233" s="787" t="s">
        <v>11128</v>
      </c>
      <c r="D6233" s="787">
        <v>0.18</v>
      </c>
      <c r="E6233" s="787">
        <v>1.4</v>
      </c>
      <c r="F6233" s="788">
        <v>39456</v>
      </c>
      <c r="G6233" s="788">
        <v>41943</v>
      </c>
      <c r="H6233" s="787">
        <v>1</v>
      </c>
      <c r="I6233" s="788">
        <v>41001</v>
      </c>
      <c r="J6233" s="788">
        <v>41575</v>
      </c>
      <c r="K6233" s="788">
        <v>41569</v>
      </c>
      <c r="L6233" s="787">
        <v>0.82</v>
      </c>
      <c r="M6233" s="787">
        <v>10</v>
      </c>
      <c r="N6233" s="787">
        <v>1.07</v>
      </c>
      <c r="O6233" s="788">
        <v>42164</v>
      </c>
    </row>
    <row r="6234" spans="1:15" x14ac:dyDescent="0.25">
      <c r="A6234" s="786" t="s">
        <v>11129</v>
      </c>
      <c r="B6234" s="787">
        <v>4</v>
      </c>
      <c r="C6234" s="787" t="s">
        <v>11130</v>
      </c>
      <c r="D6234" s="787">
        <v>1.66</v>
      </c>
      <c r="E6234" s="787">
        <v>1.7</v>
      </c>
      <c r="F6234" s="788">
        <v>39101</v>
      </c>
      <c r="G6234" s="788">
        <v>41943</v>
      </c>
      <c r="H6234" s="787">
        <v>1</v>
      </c>
      <c r="I6234" s="788">
        <v>40484</v>
      </c>
      <c r="J6234" s="788">
        <v>40458</v>
      </c>
      <c r="L6234" s="787">
        <v>2.2200000000000002</v>
      </c>
      <c r="M6234" s="787">
        <v>10</v>
      </c>
      <c r="N6234" s="787">
        <v>3.49</v>
      </c>
      <c r="O6234" s="788">
        <v>42164</v>
      </c>
    </row>
    <row r="6235" spans="1:15" x14ac:dyDescent="0.25">
      <c r="A6235" s="786" t="s">
        <v>11131</v>
      </c>
      <c r="B6235" s="787">
        <v>4</v>
      </c>
      <c r="C6235" s="787" t="s">
        <v>11132</v>
      </c>
      <c r="D6235" s="787">
        <v>0</v>
      </c>
      <c r="E6235" s="787">
        <v>0</v>
      </c>
      <c r="F6235" s="788">
        <v>40949</v>
      </c>
      <c r="G6235" s="788">
        <v>41565</v>
      </c>
      <c r="H6235" s="787">
        <v>1</v>
      </c>
      <c r="I6235" s="788">
        <v>41142</v>
      </c>
      <c r="J6235" s="788">
        <v>40560</v>
      </c>
      <c r="L6235" s="787">
        <v>2.77</v>
      </c>
      <c r="M6235" s="787">
        <v>10</v>
      </c>
      <c r="N6235" s="787">
        <v>4.0599999999999996</v>
      </c>
      <c r="O6235" s="788">
        <v>42164</v>
      </c>
    </row>
    <row r="6236" spans="1:15" x14ac:dyDescent="0.25">
      <c r="A6236" s="786" t="s">
        <v>11133</v>
      </c>
      <c r="B6236" s="787">
        <v>4</v>
      </c>
      <c r="C6236" s="787" t="s">
        <v>11134</v>
      </c>
      <c r="D6236" s="787">
        <v>1.73</v>
      </c>
      <c r="E6236" s="787">
        <v>1.92</v>
      </c>
      <c r="F6236" s="788">
        <v>39456</v>
      </c>
      <c r="G6236" s="788">
        <v>41255</v>
      </c>
      <c r="H6236" s="787">
        <v>1</v>
      </c>
      <c r="I6236" s="788">
        <v>40515</v>
      </c>
      <c r="J6236" s="788">
        <v>40527</v>
      </c>
      <c r="L6236" s="787">
        <v>4.49</v>
      </c>
      <c r="M6236" s="787">
        <v>10</v>
      </c>
      <c r="N6236" s="787">
        <v>7.1</v>
      </c>
      <c r="O6236" s="788">
        <v>42164</v>
      </c>
    </row>
    <row r="6237" spans="1:15" x14ac:dyDescent="0.25">
      <c r="A6237" s="786" t="s">
        <v>11135</v>
      </c>
      <c r="B6237" s="787">
        <v>4</v>
      </c>
      <c r="C6237" s="787" t="s">
        <v>11136</v>
      </c>
      <c r="D6237" s="787">
        <v>1.6</v>
      </c>
      <c r="E6237" s="787">
        <v>1.62</v>
      </c>
      <c r="F6237" s="788">
        <v>39101</v>
      </c>
      <c r="G6237" s="788">
        <v>41943</v>
      </c>
      <c r="H6237" s="787">
        <v>1</v>
      </c>
      <c r="I6237" s="788">
        <v>40352</v>
      </c>
      <c r="J6237" s="788">
        <v>40458</v>
      </c>
      <c r="L6237" s="787">
        <v>2.15</v>
      </c>
      <c r="M6237" s="787">
        <v>10</v>
      </c>
      <c r="N6237" s="787">
        <v>3.38</v>
      </c>
      <c r="O6237" s="788">
        <v>42164</v>
      </c>
    </row>
    <row r="6238" spans="1:15" x14ac:dyDescent="0.25">
      <c r="A6238" s="786" t="s">
        <v>11137</v>
      </c>
      <c r="B6238" s="787">
        <v>4</v>
      </c>
      <c r="C6238" s="787" t="s">
        <v>11138</v>
      </c>
      <c r="D6238" s="787">
        <v>0.63</v>
      </c>
      <c r="E6238" s="787">
        <v>3.21</v>
      </c>
      <c r="F6238" s="788">
        <v>39456</v>
      </c>
      <c r="G6238" s="788">
        <v>41134</v>
      </c>
      <c r="H6238" s="787">
        <v>1</v>
      </c>
      <c r="I6238" s="788">
        <v>41001</v>
      </c>
      <c r="J6238" s="788">
        <v>40970</v>
      </c>
      <c r="L6238" s="787">
        <v>2.21</v>
      </c>
      <c r="M6238" s="787">
        <v>10</v>
      </c>
      <c r="N6238" s="787">
        <v>3.75</v>
      </c>
      <c r="O6238" s="788">
        <v>42164</v>
      </c>
    </row>
    <row r="6239" spans="1:15" x14ac:dyDescent="0.25">
      <c r="A6239" s="786" t="s">
        <v>11139</v>
      </c>
      <c r="B6239" s="787">
        <v>4</v>
      </c>
      <c r="C6239" s="787" t="s">
        <v>11140</v>
      </c>
      <c r="D6239" s="787">
        <v>0.89</v>
      </c>
      <c r="E6239" s="787">
        <v>1.57</v>
      </c>
      <c r="F6239" s="788">
        <v>39456</v>
      </c>
      <c r="G6239" s="788">
        <v>41943</v>
      </c>
      <c r="H6239" s="787">
        <v>1</v>
      </c>
      <c r="I6239" s="788">
        <v>40515</v>
      </c>
      <c r="J6239" s="788">
        <v>40527</v>
      </c>
      <c r="L6239" s="787">
        <v>2.56</v>
      </c>
      <c r="M6239" s="787">
        <v>10</v>
      </c>
      <c r="N6239" s="787">
        <v>3.77</v>
      </c>
      <c r="O6239" s="788">
        <v>42164</v>
      </c>
    </row>
    <row r="6240" spans="1:15" x14ac:dyDescent="0.25">
      <c r="A6240" s="786" t="s">
        <v>11141</v>
      </c>
      <c r="B6240" s="787">
        <v>4</v>
      </c>
      <c r="C6240" s="787" t="s">
        <v>11142</v>
      </c>
      <c r="D6240" s="787">
        <v>0.25</v>
      </c>
      <c r="E6240" s="787">
        <v>0.43</v>
      </c>
      <c r="F6240" s="788">
        <v>39101</v>
      </c>
      <c r="G6240" s="788">
        <v>39101</v>
      </c>
      <c r="H6240" s="787">
        <v>6</v>
      </c>
      <c r="I6240" s="788">
        <v>40232</v>
      </c>
      <c r="J6240" s="788">
        <v>39149</v>
      </c>
      <c r="K6240" s="788">
        <v>41954</v>
      </c>
      <c r="L6240" s="787">
        <v>0.33</v>
      </c>
      <c r="M6240" s="787">
        <v>10</v>
      </c>
      <c r="N6240" s="787">
        <v>0.33</v>
      </c>
      <c r="O6240" s="788">
        <v>41543</v>
      </c>
    </row>
    <row r="6241" spans="1:15" x14ac:dyDescent="0.25">
      <c r="A6241" s="786" t="s">
        <v>11143</v>
      </c>
      <c r="B6241" s="787">
        <v>4</v>
      </c>
      <c r="C6241" s="787" t="s">
        <v>11144</v>
      </c>
      <c r="D6241" s="787">
        <v>6.92</v>
      </c>
      <c r="E6241" s="787">
        <v>22.06</v>
      </c>
      <c r="F6241" s="788">
        <v>38712</v>
      </c>
      <c r="G6241" s="788">
        <v>38741</v>
      </c>
      <c r="H6241" s="787">
        <v>1</v>
      </c>
      <c r="I6241" s="788">
        <v>42157</v>
      </c>
      <c r="J6241" s="788">
        <v>39101</v>
      </c>
      <c r="L6241" s="787">
        <v>0</v>
      </c>
      <c r="M6241" s="787">
        <v>10</v>
      </c>
      <c r="N6241" s="787">
        <v>17.71</v>
      </c>
      <c r="O6241" s="788">
        <v>42146</v>
      </c>
    </row>
    <row r="6242" spans="1:15" x14ac:dyDescent="0.25">
      <c r="A6242" s="786" t="s">
        <v>11145</v>
      </c>
      <c r="B6242" s="787">
        <v>4</v>
      </c>
      <c r="C6242" s="787" t="s">
        <v>11146</v>
      </c>
      <c r="D6242" s="787">
        <v>0.14000000000000001</v>
      </c>
      <c r="E6242" s="787">
        <v>0.14000000000000001</v>
      </c>
      <c r="F6242" s="788">
        <v>38772</v>
      </c>
      <c r="G6242" s="788">
        <v>38741</v>
      </c>
      <c r="H6242" s="787">
        <v>1</v>
      </c>
      <c r="I6242" s="788">
        <v>42157</v>
      </c>
      <c r="J6242" s="788">
        <v>39101</v>
      </c>
      <c r="L6242" s="787">
        <v>0</v>
      </c>
      <c r="M6242" s="787">
        <v>10</v>
      </c>
      <c r="N6242" s="787">
        <v>0.78</v>
      </c>
      <c r="O6242" s="788">
        <v>41956</v>
      </c>
    </row>
    <row r="6243" spans="1:15" x14ac:dyDescent="0.25">
      <c r="A6243" s="786" t="s">
        <v>11147</v>
      </c>
      <c r="B6243" s="787">
        <v>4</v>
      </c>
      <c r="C6243" s="787" t="s">
        <v>11148</v>
      </c>
      <c r="D6243" s="787">
        <v>0.26</v>
      </c>
      <c r="E6243" s="787">
        <v>0.26</v>
      </c>
      <c r="F6243" s="788">
        <v>39101</v>
      </c>
      <c r="G6243" s="788">
        <v>41565</v>
      </c>
      <c r="H6243" s="787">
        <v>1</v>
      </c>
      <c r="I6243" s="788">
        <v>40574</v>
      </c>
      <c r="J6243" s="788">
        <v>39828</v>
      </c>
      <c r="L6243" s="787">
        <v>0</v>
      </c>
      <c r="M6243" s="787">
        <v>10</v>
      </c>
      <c r="N6243" s="787">
        <v>0.56999999999999995</v>
      </c>
      <c r="O6243" s="788">
        <v>42164</v>
      </c>
    </row>
    <row r="6244" spans="1:15" x14ac:dyDescent="0.25">
      <c r="A6244" s="786" t="s">
        <v>11149</v>
      </c>
      <c r="B6244" s="787">
        <v>4</v>
      </c>
      <c r="C6244" s="787" t="s">
        <v>11150</v>
      </c>
      <c r="D6244" s="787">
        <v>5.43</v>
      </c>
      <c r="E6244" s="787">
        <v>15.28</v>
      </c>
      <c r="F6244" s="788">
        <v>39456</v>
      </c>
      <c r="G6244" s="788">
        <v>41255</v>
      </c>
      <c r="H6244" s="787">
        <v>1</v>
      </c>
      <c r="I6244" s="788">
        <v>40574</v>
      </c>
      <c r="J6244" s="788">
        <v>40634</v>
      </c>
      <c r="K6244" s="788">
        <v>41707</v>
      </c>
      <c r="L6244" s="787">
        <v>10.9</v>
      </c>
      <c r="M6244" s="787">
        <v>10</v>
      </c>
      <c r="N6244" s="787">
        <v>10.68</v>
      </c>
      <c r="O6244" s="788">
        <v>42164</v>
      </c>
    </row>
    <row r="6245" spans="1:15" x14ac:dyDescent="0.25">
      <c r="A6245" s="786" t="s">
        <v>11151</v>
      </c>
      <c r="B6245" s="787">
        <v>4</v>
      </c>
      <c r="C6245" s="787" t="s">
        <v>11152</v>
      </c>
      <c r="D6245" s="787">
        <v>0.24</v>
      </c>
      <c r="E6245" s="787">
        <v>1.99</v>
      </c>
      <c r="F6245" s="788">
        <v>39456</v>
      </c>
      <c r="G6245" s="788">
        <v>42013</v>
      </c>
      <c r="H6245" s="787">
        <v>1</v>
      </c>
      <c r="I6245" s="788">
        <v>41667</v>
      </c>
      <c r="J6245" s="788">
        <v>41207</v>
      </c>
      <c r="L6245" s="787">
        <v>1.63</v>
      </c>
      <c r="M6245" s="787">
        <v>10</v>
      </c>
      <c r="N6245" s="787">
        <v>1.36</v>
      </c>
      <c r="O6245" s="788">
        <v>42164</v>
      </c>
    </row>
    <row r="6246" spans="1:15" x14ac:dyDescent="0.25">
      <c r="A6246" s="786" t="s">
        <v>11153</v>
      </c>
      <c r="B6246" s="787">
        <v>4</v>
      </c>
      <c r="C6246" s="787" t="s">
        <v>11154</v>
      </c>
      <c r="D6246" s="787">
        <v>0.17</v>
      </c>
      <c r="E6246" s="787">
        <v>1.1200000000000001</v>
      </c>
      <c r="F6246" s="788">
        <v>39975</v>
      </c>
      <c r="G6246" s="788">
        <v>42013</v>
      </c>
      <c r="H6246" s="787">
        <v>1</v>
      </c>
      <c r="I6246" s="788">
        <v>40487</v>
      </c>
      <c r="J6246" s="788">
        <v>41619</v>
      </c>
      <c r="K6246" s="788">
        <v>41607</v>
      </c>
      <c r="L6246" s="787">
        <v>0.49</v>
      </c>
      <c r="M6246" s="787">
        <v>10</v>
      </c>
      <c r="N6246" s="787">
        <v>1.78</v>
      </c>
      <c r="O6246" s="788">
        <v>42164</v>
      </c>
    </row>
    <row r="6247" spans="1:15" x14ac:dyDescent="0.25">
      <c r="A6247" s="786" t="s">
        <v>11155</v>
      </c>
      <c r="B6247" s="787">
        <v>4</v>
      </c>
      <c r="C6247" s="787" t="s">
        <v>11156</v>
      </c>
      <c r="D6247" s="787">
        <v>1.01</v>
      </c>
      <c r="E6247" s="787">
        <v>1.37</v>
      </c>
      <c r="F6247" s="788">
        <v>39456</v>
      </c>
      <c r="G6247" s="788">
        <v>42013</v>
      </c>
      <c r="H6247" s="787">
        <v>1</v>
      </c>
      <c r="I6247" s="788">
        <v>42157</v>
      </c>
      <c r="J6247" s="788">
        <v>41676</v>
      </c>
      <c r="K6247" s="788">
        <v>41333</v>
      </c>
      <c r="L6247" s="787">
        <v>1.5</v>
      </c>
      <c r="M6247" s="787">
        <v>10</v>
      </c>
      <c r="N6247" s="787">
        <v>1.4</v>
      </c>
      <c r="O6247" s="788">
        <v>42164</v>
      </c>
    </row>
    <row r="6248" spans="1:15" x14ac:dyDescent="0.25">
      <c r="A6248" s="786" t="s">
        <v>11157</v>
      </c>
      <c r="B6248" s="787">
        <v>4</v>
      </c>
      <c r="C6248" s="787" t="s">
        <v>11158</v>
      </c>
      <c r="D6248" s="787">
        <v>0</v>
      </c>
      <c r="E6248" s="787">
        <v>0</v>
      </c>
      <c r="H6248" s="787">
        <v>1</v>
      </c>
      <c r="L6248" s="787">
        <v>0</v>
      </c>
      <c r="M6248" s="787">
        <v>10</v>
      </c>
      <c r="N6248" s="787">
        <v>10.32</v>
      </c>
      <c r="O6248" s="788">
        <v>41869</v>
      </c>
    </row>
    <row r="6249" spans="1:15" x14ac:dyDescent="0.25">
      <c r="A6249" s="786" t="s">
        <v>11159</v>
      </c>
      <c r="B6249" s="787">
        <v>4</v>
      </c>
      <c r="C6249" s="787" t="s">
        <v>11160</v>
      </c>
      <c r="D6249" s="787">
        <v>0</v>
      </c>
      <c r="E6249" s="787">
        <v>0</v>
      </c>
      <c r="H6249" s="787">
        <v>1</v>
      </c>
      <c r="L6249" s="787">
        <v>0</v>
      </c>
      <c r="M6249" s="787">
        <v>10</v>
      </c>
      <c r="N6249" s="787">
        <v>10.32</v>
      </c>
      <c r="O6249" s="788">
        <v>41869</v>
      </c>
    </row>
    <row r="6250" spans="1:15" x14ac:dyDescent="0.25">
      <c r="A6250" s="786" t="s">
        <v>11161</v>
      </c>
      <c r="B6250" s="787">
        <v>4</v>
      </c>
      <c r="C6250" s="787" t="s">
        <v>11162</v>
      </c>
      <c r="D6250" s="787">
        <v>0</v>
      </c>
      <c r="E6250" s="787">
        <v>0</v>
      </c>
      <c r="H6250" s="787">
        <v>1</v>
      </c>
      <c r="L6250" s="787">
        <v>0</v>
      </c>
      <c r="M6250" s="787">
        <v>10</v>
      </c>
      <c r="N6250" s="787">
        <v>22.5</v>
      </c>
      <c r="O6250" s="788">
        <v>41869</v>
      </c>
    </row>
    <row r="6251" spans="1:15" x14ac:dyDescent="0.25">
      <c r="A6251" s="786" t="s">
        <v>11163</v>
      </c>
      <c r="B6251" s="787">
        <v>4</v>
      </c>
      <c r="C6251" s="787" t="s">
        <v>11164</v>
      </c>
      <c r="D6251" s="787">
        <v>0</v>
      </c>
      <c r="E6251" s="787">
        <v>0</v>
      </c>
      <c r="H6251" s="787">
        <v>1</v>
      </c>
      <c r="L6251" s="787">
        <v>0</v>
      </c>
      <c r="M6251" s="787">
        <v>10</v>
      </c>
      <c r="N6251" s="787">
        <v>22.5</v>
      </c>
      <c r="O6251" s="788">
        <v>41869</v>
      </c>
    </row>
    <row r="6252" spans="1:15" x14ac:dyDescent="0.25">
      <c r="A6252" s="786" t="s">
        <v>11165</v>
      </c>
      <c r="B6252" s="787">
        <v>4</v>
      </c>
      <c r="C6252" s="787" t="s">
        <v>11166</v>
      </c>
      <c r="D6252" s="787">
        <v>0</v>
      </c>
      <c r="E6252" s="787">
        <v>0</v>
      </c>
      <c r="H6252" s="787">
        <v>1</v>
      </c>
      <c r="L6252" s="787">
        <v>0</v>
      </c>
      <c r="M6252" s="787">
        <v>10</v>
      </c>
      <c r="N6252" s="787">
        <v>10.32</v>
      </c>
      <c r="O6252" s="788">
        <v>41869</v>
      </c>
    </row>
    <row r="6253" spans="1:15" x14ac:dyDescent="0.25">
      <c r="A6253" s="786" t="s">
        <v>11167</v>
      </c>
      <c r="B6253" s="787">
        <v>4</v>
      </c>
      <c r="C6253" s="787" t="s">
        <v>11168</v>
      </c>
      <c r="D6253" s="787">
        <v>0</v>
      </c>
      <c r="E6253" s="787">
        <v>0</v>
      </c>
      <c r="H6253" s="787">
        <v>1</v>
      </c>
      <c r="L6253" s="787">
        <v>0</v>
      </c>
      <c r="M6253" s="787">
        <v>10</v>
      </c>
      <c r="N6253" s="787">
        <v>10.32</v>
      </c>
      <c r="O6253" s="788">
        <v>41869</v>
      </c>
    </row>
    <row r="6254" spans="1:15" x14ac:dyDescent="0.25">
      <c r="A6254" s="786" t="s">
        <v>11169</v>
      </c>
      <c r="B6254" s="787">
        <v>4</v>
      </c>
      <c r="C6254" s="787" t="s">
        <v>11170</v>
      </c>
      <c r="D6254" s="787">
        <v>0.4</v>
      </c>
      <c r="E6254" s="787">
        <v>0.4</v>
      </c>
      <c r="F6254" s="788">
        <v>39975</v>
      </c>
      <c r="G6254" s="788">
        <v>41619</v>
      </c>
      <c r="H6254" s="787">
        <v>1</v>
      </c>
      <c r="I6254" s="788">
        <v>42146</v>
      </c>
      <c r="J6254" s="788">
        <v>41690</v>
      </c>
      <c r="K6254" s="788">
        <v>41690</v>
      </c>
      <c r="L6254" s="787">
        <v>0.89</v>
      </c>
      <c r="M6254" s="787">
        <v>10</v>
      </c>
      <c r="N6254" s="787">
        <v>0.89</v>
      </c>
      <c r="O6254" s="788">
        <v>42164</v>
      </c>
    </row>
    <row r="6255" spans="1:15" x14ac:dyDescent="0.25">
      <c r="A6255" s="786" t="s">
        <v>11171</v>
      </c>
      <c r="B6255" s="787">
        <v>4</v>
      </c>
      <c r="C6255" s="787" t="s">
        <v>11172</v>
      </c>
      <c r="D6255" s="787">
        <v>0.36</v>
      </c>
      <c r="E6255" s="787">
        <v>0.84</v>
      </c>
      <c r="F6255" s="788">
        <v>39456</v>
      </c>
      <c r="G6255" s="788">
        <v>41619</v>
      </c>
      <c r="H6255" s="787">
        <v>1</v>
      </c>
      <c r="I6255" s="788">
        <v>42157</v>
      </c>
      <c r="J6255" s="788">
        <v>41690</v>
      </c>
      <c r="K6255" s="788">
        <v>41690</v>
      </c>
      <c r="L6255" s="787">
        <v>1.3</v>
      </c>
      <c r="M6255" s="787">
        <v>10</v>
      </c>
      <c r="N6255" s="787">
        <v>1.29</v>
      </c>
      <c r="O6255" s="788">
        <v>42164</v>
      </c>
    </row>
    <row r="6256" spans="1:15" x14ac:dyDescent="0.25">
      <c r="A6256" s="786" t="s">
        <v>11173</v>
      </c>
      <c r="B6256" s="787">
        <v>4</v>
      </c>
      <c r="C6256" s="787" t="s">
        <v>11174</v>
      </c>
      <c r="D6256" s="787">
        <v>0.53</v>
      </c>
      <c r="E6256" s="787">
        <v>1.18</v>
      </c>
      <c r="F6256" s="788">
        <v>39456</v>
      </c>
      <c r="G6256" s="788">
        <v>41619</v>
      </c>
      <c r="H6256" s="787">
        <v>1</v>
      </c>
      <c r="I6256" s="788">
        <v>42157</v>
      </c>
      <c r="J6256" s="788">
        <v>41660</v>
      </c>
      <c r="K6256" s="788">
        <v>41690</v>
      </c>
      <c r="L6256" s="787">
        <v>1.53</v>
      </c>
      <c r="M6256" s="787">
        <v>10</v>
      </c>
      <c r="N6256" s="787">
        <v>1.52</v>
      </c>
      <c r="O6256" s="788">
        <v>42164</v>
      </c>
    </row>
    <row r="6257" spans="1:15" x14ac:dyDescent="0.25">
      <c r="A6257" s="786" t="s">
        <v>11175</v>
      </c>
      <c r="B6257" s="787">
        <v>4</v>
      </c>
      <c r="C6257" s="787" t="s">
        <v>11176</v>
      </c>
      <c r="D6257" s="787">
        <v>0.54</v>
      </c>
      <c r="E6257" s="787">
        <v>2.41</v>
      </c>
      <c r="F6257" s="788">
        <v>41432</v>
      </c>
      <c r="G6257" s="788">
        <v>42013</v>
      </c>
      <c r="H6257" s="787">
        <v>1</v>
      </c>
      <c r="I6257" s="788">
        <v>42151</v>
      </c>
      <c r="J6257" s="788">
        <v>41957</v>
      </c>
      <c r="L6257" s="787">
        <v>0.76</v>
      </c>
      <c r="M6257" s="787">
        <v>10</v>
      </c>
      <c r="N6257" s="787">
        <v>9.91</v>
      </c>
      <c r="O6257" s="788">
        <v>42027</v>
      </c>
    </row>
    <row r="6258" spans="1:15" x14ac:dyDescent="0.25">
      <c r="A6258" s="786" t="s">
        <v>11177</v>
      </c>
      <c r="B6258" s="787">
        <v>4</v>
      </c>
      <c r="C6258" s="787" t="s">
        <v>11178</v>
      </c>
      <c r="D6258" s="787">
        <v>0.3</v>
      </c>
      <c r="E6258" s="787">
        <v>1.1499999999999999</v>
      </c>
      <c r="F6258" s="788">
        <v>39456</v>
      </c>
      <c r="G6258" s="788">
        <v>41943</v>
      </c>
      <c r="H6258" s="787">
        <v>1</v>
      </c>
      <c r="I6258" s="788">
        <v>42146</v>
      </c>
      <c r="J6258" s="788">
        <v>41473</v>
      </c>
      <c r="L6258" s="787">
        <v>1.27</v>
      </c>
      <c r="M6258" s="787">
        <v>10</v>
      </c>
      <c r="N6258" s="787">
        <v>4.7300000000000004</v>
      </c>
      <c r="O6258" s="788">
        <v>42146</v>
      </c>
    </row>
    <row r="6259" spans="1:15" x14ac:dyDescent="0.25">
      <c r="A6259" s="786" t="s">
        <v>11179</v>
      </c>
      <c r="B6259" s="787">
        <v>4</v>
      </c>
      <c r="C6259" s="787" t="s">
        <v>11180</v>
      </c>
      <c r="D6259" s="787">
        <v>0.38</v>
      </c>
      <c r="E6259" s="787">
        <v>0.38</v>
      </c>
      <c r="F6259" s="788">
        <v>39101</v>
      </c>
      <c r="G6259" s="788">
        <v>41255</v>
      </c>
      <c r="H6259" s="787">
        <v>1</v>
      </c>
      <c r="I6259" s="788">
        <v>39134</v>
      </c>
      <c r="J6259" s="788">
        <v>39149</v>
      </c>
      <c r="L6259" s="787">
        <v>0</v>
      </c>
      <c r="M6259" s="787">
        <v>10</v>
      </c>
      <c r="N6259" s="787">
        <v>0.66</v>
      </c>
      <c r="O6259" s="788">
        <v>41858</v>
      </c>
    </row>
    <row r="6260" spans="1:15" x14ac:dyDescent="0.25">
      <c r="A6260" s="786" t="s">
        <v>11181</v>
      </c>
      <c r="B6260" s="787">
        <v>4</v>
      </c>
      <c r="C6260" s="787" t="s">
        <v>11182</v>
      </c>
      <c r="D6260" s="787">
        <v>0.8</v>
      </c>
      <c r="E6260" s="787">
        <v>4.47</v>
      </c>
      <c r="F6260" s="788">
        <v>39101</v>
      </c>
      <c r="G6260" s="788">
        <v>42017</v>
      </c>
      <c r="H6260" s="787">
        <v>1</v>
      </c>
      <c r="I6260" s="788">
        <v>42157</v>
      </c>
      <c r="J6260" s="788">
        <v>41985</v>
      </c>
      <c r="L6260" s="787">
        <v>1.43</v>
      </c>
      <c r="M6260" s="787">
        <v>10</v>
      </c>
      <c r="N6260" s="787">
        <v>2.4</v>
      </c>
      <c r="O6260" s="788">
        <v>42026</v>
      </c>
    </row>
    <row r="6261" spans="1:15" x14ac:dyDescent="0.25">
      <c r="A6261" s="786" t="s">
        <v>11183</v>
      </c>
      <c r="B6261" s="787">
        <v>4</v>
      </c>
      <c r="C6261" s="787" t="s">
        <v>11184</v>
      </c>
      <c r="D6261" s="787">
        <v>0.21</v>
      </c>
      <c r="E6261" s="787">
        <v>2.69</v>
      </c>
      <c r="F6261" s="788">
        <v>39975</v>
      </c>
      <c r="G6261" s="788">
        <v>41943</v>
      </c>
      <c r="H6261" s="787">
        <v>1</v>
      </c>
      <c r="I6261" s="788">
        <v>41968</v>
      </c>
      <c r="J6261" s="788">
        <v>41535</v>
      </c>
      <c r="L6261" s="787">
        <v>0</v>
      </c>
      <c r="M6261" s="787">
        <v>10</v>
      </c>
      <c r="N6261" s="787">
        <v>5.54</v>
      </c>
      <c r="O6261" s="788">
        <v>42038</v>
      </c>
    </row>
    <row r="6262" spans="1:15" x14ac:dyDescent="0.25">
      <c r="A6262" s="786" t="s">
        <v>11185</v>
      </c>
      <c r="B6262" s="787">
        <v>4</v>
      </c>
      <c r="C6262" s="787" t="s">
        <v>11186</v>
      </c>
      <c r="D6262" s="787">
        <v>1.84</v>
      </c>
      <c r="E6262" s="787">
        <v>4.16</v>
      </c>
      <c r="F6262" s="788">
        <v>41519</v>
      </c>
      <c r="G6262" s="788">
        <v>41943</v>
      </c>
      <c r="H6262" s="787">
        <v>1</v>
      </c>
      <c r="I6262" s="788">
        <v>41968</v>
      </c>
      <c r="J6262" s="788">
        <v>41536</v>
      </c>
      <c r="L6262" s="787">
        <v>0</v>
      </c>
      <c r="M6262" s="787">
        <v>10</v>
      </c>
      <c r="N6262" s="787">
        <v>3.12</v>
      </c>
      <c r="O6262" s="788">
        <v>42038</v>
      </c>
    </row>
    <row r="6263" spans="1:15" x14ac:dyDescent="0.25">
      <c r="A6263" s="786" t="s">
        <v>11187</v>
      </c>
      <c r="B6263" s="787">
        <v>4</v>
      </c>
      <c r="C6263" s="787" t="s">
        <v>11188</v>
      </c>
      <c r="D6263" s="787">
        <v>0.17</v>
      </c>
      <c r="E6263" s="787">
        <v>0.17</v>
      </c>
      <c r="F6263" s="788">
        <v>41579</v>
      </c>
      <c r="G6263" s="788">
        <v>41943</v>
      </c>
      <c r="H6263" s="787">
        <v>1</v>
      </c>
      <c r="I6263" s="788">
        <v>41596</v>
      </c>
      <c r="J6263" s="788">
        <v>41547</v>
      </c>
      <c r="K6263" s="788">
        <v>41479</v>
      </c>
      <c r="L6263" s="787">
        <v>0.96</v>
      </c>
      <c r="M6263" s="787">
        <v>10</v>
      </c>
      <c r="N6263" s="787">
        <v>0.4</v>
      </c>
      <c r="O6263" s="788">
        <v>42038</v>
      </c>
    </row>
    <row r="6264" spans="1:15" x14ac:dyDescent="0.25">
      <c r="A6264" s="786" t="s">
        <v>11189</v>
      </c>
      <c r="B6264" s="787">
        <v>4</v>
      </c>
      <c r="C6264" s="787" t="s">
        <v>11190</v>
      </c>
      <c r="D6264" s="787">
        <v>0.16</v>
      </c>
      <c r="E6264" s="787">
        <v>0.16</v>
      </c>
      <c r="F6264" s="788">
        <v>41579</v>
      </c>
      <c r="G6264" s="788">
        <v>41943</v>
      </c>
      <c r="H6264" s="787">
        <v>1</v>
      </c>
      <c r="I6264" s="788">
        <v>41968</v>
      </c>
      <c r="J6264" s="788">
        <v>41547</v>
      </c>
      <c r="K6264" s="788">
        <v>41479</v>
      </c>
      <c r="L6264" s="787">
        <v>0.76</v>
      </c>
      <c r="M6264" s="787">
        <v>10</v>
      </c>
      <c r="N6264" s="787">
        <v>0.39</v>
      </c>
      <c r="O6264" s="788">
        <v>42038</v>
      </c>
    </row>
    <row r="6265" spans="1:15" x14ac:dyDescent="0.25">
      <c r="A6265" s="786" t="s">
        <v>11191</v>
      </c>
      <c r="B6265" s="787">
        <v>4</v>
      </c>
      <c r="C6265" s="787" t="s">
        <v>11192</v>
      </c>
      <c r="D6265" s="787">
        <v>0.28999999999999998</v>
      </c>
      <c r="E6265" s="787">
        <v>0.28999999999999998</v>
      </c>
      <c r="F6265" s="788">
        <v>41579</v>
      </c>
      <c r="G6265" s="788">
        <v>41943</v>
      </c>
      <c r="H6265" s="787">
        <v>1</v>
      </c>
      <c r="I6265" s="788">
        <v>41968</v>
      </c>
      <c r="J6265" s="788">
        <v>41544</v>
      </c>
      <c r="K6265" s="788">
        <v>41479</v>
      </c>
      <c r="L6265" s="787">
        <v>0.81</v>
      </c>
      <c r="M6265" s="787">
        <v>10</v>
      </c>
      <c r="N6265" s="787">
        <v>0.39</v>
      </c>
      <c r="O6265" s="788">
        <v>42038</v>
      </c>
    </row>
    <row r="6266" spans="1:15" x14ac:dyDescent="0.25">
      <c r="A6266" s="786" t="s">
        <v>11193</v>
      </c>
      <c r="B6266" s="787">
        <v>4</v>
      </c>
      <c r="C6266" s="787" t="s">
        <v>11194</v>
      </c>
      <c r="D6266" s="787">
        <v>1.4</v>
      </c>
      <c r="E6266" s="787">
        <v>2.27</v>
      </c>
      <c r="F6266" s="788">
        <v>39456</v>
      </c>
      <c r="G6266" s="788">
        <v>41943</v>
      </c>
      <c r="H6266" s="787">
        <v>1</v>
      </c>
      <c r="I6266" s="788">
        <v>42023</v>
      </c>
      <c r="J6266" s="788">
        <v>41520</v>
      </c>
      <c r="L6266" s="787">
        <v>3.24</v>
      </c>
      <c r="M6266" s="787">
        <v>10</v>
      </c>
      <c r="N6266" s="787">
        <v>3.75</v>
      </c>
      <c r="O6266" s="788">
        <v>41858</v>
      </c>
    </row>
    <row r="6267" spans="1:15" x14ac:dyDescent="0.25">
      <c r="A6267" s="786" t="s">
        <v>11195</v>
      </c>
      <c r="B6267" s="787">
        <v>4</v>
      </c>
      <c r="C6267" s="787" t="s">
        <v>11196</v>
      </c>
      <c r="D6267" s="787">
        <v>0</v>
      </c>
      <c r="E6267" s="787">
        <v>0</v>
      </c>
      <c r="H6267" s="787">
        <v>1</v>
      </c>
      <c r="I6267" s="788">
        <v>38888</v>
      </c>
      <c r="J6267" s="788">
        <v>39101</v>
      </c>
      <c r="L6267" s="787">
        <v>4.3600000000000003</v>
      </c>
      <c r="M6267" s="787">
        <v>10</v>
      </c>
      <c r="N6267" s="787">
        <v>6.87</v>
      </c>
      <c r="O6267" s="788">
        <v>41869</v>
      </c>
    </row>
    <row r="6268" spans="1:15" x14ac:dyDescent="0.25">
      <c r="A6268" s="786" t="s">
        <v>11197</v>
      </c>
      <c r="B6268" s="787">
        <v>4</v>
      </c>
      <c r="C6268" s="787" t="s">
        <v>11198</v>
      </c>
      <c r="D6268" s="787">
        <v>0.13</v>
      </c>
      <c r="E6268" s="787">
        <v>0.63</v>
      </c>
      <c r="F6268" s="788">
        <v>39456</v>
      </c>
      <c r="G6268" s="788">
        <v>41943</v>
      </c>
      <c r="H6268" s="787">
        <v>1</v>
      </c>
      <c r="I6268" s="788">
        <v>42023</v>
      </c>
      <c r="J6268" s="788">
        <v>40064</v>
      </c>
      <c r="L6268" s="787">
        <v>0.69</v>
      </c>
      <c r="M6268" s="787">
        <v>10</v>
      </c>
      <c r="N6268" s="787">
        <v>1.2</v>
      </c>
      <c r="O6268" s="788">
        <v>41858</v>
      </c>
    </row>
    <row r="6269" spans="1:15" x14ac:dyDescent="0.25">
      <c r="A6269" s="786" t="s">
        <v>11199</v>
      </c>
      <c r="B6269" s="787">
        <v>4</v>
      </c>
      <c r="C6269" s="787" t="s">
        <v>11200</v>
      </c>
      <c r="D6269" s="787">
        <v>0.57999999999999996</v>
      </c>
      <c r="E6269" s="787">
        <v>0.72</v>
      </c>
      <c r="F6269" s="788">
        <v>39456</v>
      </c>
      <c r="G6269" s="788">
        <v>41943</v>
      </c>
      <c r="H6269" s="787">
        <v>1</v>
      </c>
      <c r="I6269" s="788">
        <v>41968</v>
      </c>
      <c r="J6269" s="788">
        <v>41968</v>
      </c>
      <c r="L6269" s="787">
        <v>1.21</v>
      </c>
      <c r="M6269" s="787">
        <v>10</v>
      </c>
      <c r="N6269" s="787">
        <v>1.51</v>
      </c>
      <c r="O6269" s="788">
        <v>42038</v>
      </c>
    </row>
    <row r="6270" spans="1:15" x14ac:dyDescent="0.25">
      <c r="A6270" s="786" t="s">
        <v>11201</v>
      </c>
      <c r="B6270" s="787">
        <v>4</v>
      </c>
      <c r="C6270" s="787" t="s">
        <v>11202</v>
      </c>
      <c r="D6270" s="787">
        <v>0.04</v>
      </c>
      <c r="E6270" s="787">
        <v>0.32</v>
      </c>
      <c r="F6270" s="788">
        <v>39456</v>
      </c>
      <c r="G6270" s="788">
        <v>41565</v>
      </c>
      <c r="H6270" s="787">
        <v>1</v>
      </c>
      <c r="I6270" s="788">
        <v>39134</v>
      </c>
      <c r="J6270" s="788">
        <v>39953</v>
      </c>
      <c r="L6270" s="787">
        <v>0</v>
      </c>
      <c r="M6270" s="787">
        <v>10</v>
      </c>
      <c r="N6270" s="787">
        <v>0.39</v>
      </c>
      <c r="O6270" s="788">
        <v>41858</v>
      </c>
    </row>
    <row r="6271" spans="1:15" x14ac:dyDescent="0.25">
      <c r="A6271" s="786" t="s">
        <v>11203</v>
      </c>
      <c r="B6271" s="787">
        <v>4</v>
      </c>
      <c r="C6271" s="787" t="s">
        <v>11204</v>
      </c>
      <c r="D6271" s="787">
        <v>0.23</v>
      </c>
      <c r="E6271" s="787">
        <v>19.02</v>
      </c>
      <c r="F6271" s="788">
        <v>39974</v>
      </c>
      <c r="G6271" s="788">
        <v>42114</v>
      </c>
      <c r="H6271" s="787">
        <v>1</v>
      </c>
      <c r="I6271" s="788">
        <v>42165</v>
      </c>
      <c r="J6271" s="788">
        <v>42081</v>
      </c>
      <c r="K6271" s="788">
        <v>41648</v>
      </c>
      <c r="L6271" s="787">
        <v>22</v>
      </c>
      <c r="M6271" s="787">
        <v>10</v>
      </c>
      <c r="N6271" s="787">
        <v>22.72</v>
      </c>
      <c r="O6271" s="788">
        <v>42082</v>
      </c>
    </row>
    <row r="6272" spans="1:15" x14ac:dyDescent="0.25">
      <c r="A6272" s="786" t="s">
        <v>11205</v>
      </c>
      <c r="B6272" s="787">
        <v>4</v>
      </c>
      <c r="C6272" s="787" t="s">
        <v>11206</v>
      </c>
      <c r="D6272" s="787">
        <v>6.17</v>
      </c>
      <c r="E6272" s="787">
        <v>22.25</v>
      </c>
      <c r="F6272" s="788">
        <v>41218</v>
      </c>
      <c r="G6272" s="788">
        <v>42019</v>
      </c>
      <c r="H6272" s="787">
        <v>1</v>
      </c>
      <c r="I6272" s="788">
        <v>42124</v>
      </c>
      <c r="J6272" s="788">
        <v>41984</v>
      </c>
      <c r="L6272" s="787">
        <v>7.9</v>
      </c>
      <c r="M6272" s="787">
        <v>10</v>
      </c>
      <c r="N6272" s="787">
        <v>21.74</v>
      </c>
      <c r="O6272" s="788">
        <v>42082</v>
      </c>
    </row>
    <row r="6273" spans="1:15" x14ac:dyDescent="0.25">
      <c r="A6273" s="786" t="s">
        <v>11207</v>
      </c>
      <c r="B6273" s="787">
        <v>4</v>
      </c>
      <c r="C6273" s="787" t="s">
        <v>11208</v>
      </c>
      <c r="D6273" s="787">
        <v>5.88</v>
      </c>
      <c r="E6273" s="787">
        <v>19.87</v>
      </c>
      <c r="F6273" s="788">
        <v>41335</v>
      </c>
      <c r="G6273" s="788">
        <v>42163</v>
      </c>
      <c r="H6273" s="787">
        <v>1</v>
      </c>
      <c r="I6273" s="788">
        <v>42166</v>
      </c>
      <c r="J6273" s="788">
        <v>42163</v>
      </c>
      <c r="L6273" s="787">
        <v>10.6</v>
      </c>
      <c r="M6273" s="787">
        <v>10</v>
      </c>
      <c r="N6273" s="787">
        <v>20.399999999999999</v>
      </c>
      <c r="O6273" s="788">
        <v>42146</v>
      </c>
    </row>
    <row r="6274" spans="1:15" x14ac:dyDescent="0.25">
      <c r="A6274" s="786" t="s">
        <v>11209</v>
      </c>
      <c r="B6274" s="787">
        <v>4</v>
      </c>
      <c r="C6274" s="787" t="s">
        <v>11210</v>
      </c>
      <c r="D6274" s="787">
        <v>7.57</v>
      </c>
      <c r="E6274" s="787">
        <v>17.57</v>
      </c>
      <c r="F6274" s="788">
        <v>42143</v>
      </c>
      <c r="G6274" s="788">
        <v>42157</v>
      </c>
      <c r="H6274" s="787">
        <v>1</v>
      </c>
      <c r="I6274" s="788">
        <v>42166</v>
      </c>
      <c r="J6274" s="788">
        <v>42157</v>
      </c>
      <c r="L6274" s="787">
        <v>9.0399999999999991</v>
      </c>
      <c r="M6274" s="787">
        <v>10</v>
      </c>
      <c r="N6274" s="787">
        <v>21.74</v>
      </c>
      <c r="O6274" s="788">
        <v>42146</v>
      </c>
    </row>
    <row r="6275" spans="1:15" x14ac:dyDescent="0.25">
      <c r="A6275" s="786" t="s">
        <v>11211</v>
      </c>
      <c r="B6275" s="787">
        <v>4</v>
      </c>
      <c r="C6275" s="787" t="s">
        <v>11212</v>
      </c>
      <c r="D6275" s="787">
        <v>0.66</v>
      </c>
      <c r="E6275" s="787">
        <v>0.66</v>
      </c>
      <c r="F6275" s="788">
        <v>39974</v>
      </c>
      <c r="G6275" s="788">
        <v>41943</v>
      </c>
      <c r="H6275" s="787">
        <v>1</v>
      </c>
      <c r="I6275" s="788">
        <v>41981</v>
      </c>
      <c r="J6275" s="788">
        <v>41345</v>
      </c>
      <c r="L6275" s="787">
        <v>9.67</v>
      </c>
      <c r="M6275" s="787">
        <v>10</v>
      </c>
      <c r="N6275" s="787">
        <v>37.4</v>
      </c>
      <c r="O6275" s="788">
        <v>42128</v>
      </c>
    </row>
    <row r="6276" spans="1:15" x14ac:dyDescent="0.25">
      <c r="A6276" s="786" t="s">
        <v>11213</v>
      </c>
      <c r="B6276" s="787">
        <v>4</v>
      </c>
      <c r="C6276" s="787" t="s">
        <v>11214</v>
      </c>
      <c r="D6276" s="787">
        <v>0.57999999999999996</v>
      </c>
      <c r="E6276" s="787">
        <v>0.57999999999999996</v>
      </c>
      <c r="F6276" s="788">
        <v>39974</v>
      </c>
      <c r="G6276" s="788">
        <v>41255</v>
      </c>
      <c r="H6276" s="787">
        <v>1</v>
      </c>
      <c r="I6276" s="788">
        <v>41981</v>
      </c>
      <c r="J6276" s="788">
        <v>41981</v>
      </c>
      <c r="L6276" s="787">
        <v>8.2200000000000006</v>
      </c>
      <c r="M6276" s="787">
        <v>10</v>
      </c>
      <c r="N6276" s="787">
        <v>29.36</v>
      </c>
      <c r="O6276" s="788">
        <v>42146</v>
      </c>
    </row>
    <row r="6277" spans="1:15" x14ac:dyDescent="0.25">
      <c r="A6277" s="786" t="s">
        <v>11215</v>
      </c>
      <c r="B6277" s="787">
        <v>4</v>
      </c>
      <c r="C6277" s="787" t="s">
        <v>11216</v>
      </c>
      <c r="D6277" s="787">
        <v>0</v>
      </c>
      <c r="E6277" s="787">
        <v>0</v>
      </c>
      <c r="H6277" s="787">
        <v>1</v>
      </c>
      <c r="I6277" s="788">
        <v>39211</v>
      </c>
      <c r="J6277" s="788">
        <v>39101</v>
      </c>
      <c r="L6277" s="787">
        <v>0</v>
      </c>
      <c r="M6277" s="787">
        <v>10</v>
      </c>
      <c r="N6277" s="787">
        <v>12.3</v>
      </c>
      <c r="O6277" s="788">
        <v>41869</v>
      </c>
    </row>
    <row r="6278" spans="1:15" x14ac:dyDescent="0.25">
      <c r="A6278" s="786" t="s">
        <v>11217</v>
      </c>
      <c r="B6278" s="787">
        <v>4</v>
      </c>
      <c r="C6278" s="787" t="s">
        <v>11218</v>
      </c>
      <c r="D6278" s="787">
        <v>0</v>
      </c>
      <c r="E6278" s="787">
        <v>0</v>
      </c>
      <c r="H6278" s="787">
        <v>1</v>
      </c>
      <c r="I6278" s="788">
        <v>39211</v>
      </c>
      <c r="J6278" s="788">
        <v>39101</v>
      </c>
      <c r="L6278" s="787">
        <v>0</v>
      </c>
      <c r="M6278" s="787">
        <v>10</v>
      </c>
      <c r="N6278" s="787">
        <v>9.02</v>
      </c>
      <c r="O6278" s="788">
        <v>41869</v>
      </c>
    </row>
    <row r="6279" spans="1:15" x14ac:dyDescent="0.25">
      <c r="A6279" s="786" t="s">
        <v>11219</v>
      </c>
      <c r="B6279" s="787">
        <v>4</v>
      </c>
      <c r="C6279" s="787" t="s">
        <v>11220</v>
      </c>
      <c r="D6279" s="787">
        <v>0</v>
      </c>
      <c r="E6279" s="787">
        <v>0</v>
      </c>
      <c r="H6279" s="787">
        <v>1</v>
      </c>
      <c r="L6279" s="787">
        <v>0</v>
      </c>
      <c r="M6279" s="787">
        <v>10</v>
      </c>
      <c r="N6279" s="787">
        <v>9.69</v>
      </c>
      <c r="O6279" s="788">
        <v>41869</v>
      </c>
    </row>
    <row r="6280" spans="1:15" x14ac:dyDescent="0.25">
      <c r="A6280" s="786" t="s">
        <v>11221</v>
      </c>
      <c r="B6280" s="787">
        <v>4</v>
      </c>
      <c r="C6280" s="787" t="s">
        <v>11222</v>
      </c>
      <c r="D6280" s="787">
        <v>1.47</v>
      </c>
      <c r="E6280" s="787">
        <v>1.47</v>
      </c>
      <c r="F6280" s="788">
        <v>39975</v>
      </c>
      <c r="G6280" s="788">
        <v>41565</v>
      </c>
      <c r="H6280" s="787">
        <v>1</v>
      </c>
      <c r="I6280" s="788">
        <v>39211</v>
      </c>
      <c r="J6280" s="788">
        <v>39101</v>
      </c>
      <c r="K6280" s="788">
        <v>42019</v>
      </c>
      <c r="L6280" s="787">
        <v>1.51</v>
      </c>
      <c r="M6280" s="787">
        <v>10</v>
      </c>
      <c r="N6280" s="787">
        <v>13.57</v>
      </c>
      <c r="O6280" s="788">
        <v>42027</v>
      </c>
    </row>
    <row r="6281" spans="1:15" x14ac:dyDescent="0.25">
      <c r="A6281" s="786" t="s">
        <v>11223</v>
      </c>
      <c r="B6281" s="787">
        <v>4</v>
      </c>
      <c r="C6281" s="787" t="s">
        <v>9477</v>
      </c>
      <c r="D6281" s="787">
        <v>3.35</v>
      </c>
      <c r="E6281" s="787">
        <v>3.35</v>
      </c>
      <c r="F6281" s="788">
        <v>38949</v>
      </c>
      <c r="G6281" s="788">
        <v>41943</v>
      </c>
      <c r="H6281" s="787">
        <v>1</v>
      </c>
      <c r="I6281" s="788">
        <v>39134</v>
      </c>
      <c r="J6281" s="788">
        <v>38947</v>
      </c>
      <c r="L6281" s="787">
        <v>4.33</v>
      </c>
      <c r="M6281" s="787">
        <v>10</v>
      </c>
      <c r="N6281" s="787">
        <v>5.93</v>
      </c>
      <c r="O6281" s="788">
        <v>41858</v>
      </c>
    </row>
    <row r="6282" spans="1:15" x14ac:dyDescent="0.25">
      <c r="A6282" s="786" t="s">
        <v>11224</v>
      </c>
      <c r="B6282" s="787">
        <v>4</v>
      </c>
      <c r="C6282" s="787" t="s">
        <v>10360</v>
      </c>
      <c r="D6282" s="787">
        <v>3.12</v>
      </c>
      <c r="E6282" s="787">
        <v>3.12</v>
      </c>
      <c r="F6282" s="788">
        <v>38949</v>
      </c>
      <c r="G6282" s="788">
        <v>41943</v>
      </c>
      <c r="H6282" s="787">
        <v>1</v>
      </c>
      <c r="I6282" s="788">
        <v>39134</v>
      </c>
      <c r="J6282" s="788">
        <v>38947</v>
      </c>
      <c r="L6282" s="787">
        <v>4.04</v>
      </c>
      <c r="M6282" s="787">
        <v>10</v>
      </c>
      <c r="N6282" s="787">
        <v>5.59</v>
      </c>
      <c r="O6282" s="788">
        <v>41858</v>
      </c>
    </row>
    <row r="6283" spans="1:15" x14ac:dyDescent="0.25">
      <c r="A6283" s="786" t="s">
        <v>11225</v>
      </c>
      <c r="B6283" s="787">
        <v>4</v>
      </c>
      <c r="C6283" s="787" t="s">
        <v>10908</v>
      </c>
      <c r="D6283" s="787">
        <v>4.29</v>
      </c>
      <c r="E6283" s="787">
        <v>4.29</v>
      </c>
      <c r="F6283" s="788">
        <v>39068</v>
      </c>
      <c r="G6283" s="788">
        <v>41943</v>
      </c>
      <c r="H6283" s="787">
        <v>1</v>
      </c>
      <c r="I6283" s="788">
        <v>39134</v>
      </c>
      <c r="J6283" s="788">
        <v>39066</v>
      </c>
      <c r="L6283" s="787">
        <v>0</v>
      </c>
      <c r="M6283" s="787">
        <v>10</v>
      </c>
      <c r="N6283" s="787">
        <v>5.93</v>
      </c>
      <c r="O6283" s="788">
        <v>41858</v>
      </c>
    </row>
    <row r="6284" spans="1:15" x14ac:dyDescent="0.25">
      <c r="A6284" s="786" t="s">
        <v>11226</v>
      </c>
      <c r="B6284" s="787">
        <v>4</v>
      </c>
      <c r="C6284" s="787" t="s">
        <v>9483</v>
      </c>
      <c r="D6284" s="787">
        <v>3.76</v>
      </c>
      <c r="E6284" s="787">
        <v>3.76</v>
      </c>
      <c r="F6284" s="788">
        <v>39068</v>
      </c>
      <c r="G6284" s="788">
        <v>41943</v>
      </c>
      <c r="H6284" s="787">
        <v>1</v>
      </c>
      <c r="I6284" s="788">
        <v>39134</v>
      </c>
      <c r="J6284" s="788">
        <v>39051</v>
      </c>
      <c r="L6284" s="787">
        <v>0</v>
      </c>
      <c r="M6284" s="787">
        <v>10</v>
      </c>
      <c r="N6284" s="787">
        <v>5.59</v>
      </c>
      <c r="O6284" s="788">
        <v>41858</v>
      </c>
    </row>
    <row r="6285" spans="1:15" x14ac:dyDescent="0.25">
      <c r="A6285" s="786" t="s">
        <v>11227</v>
      </c>
      <c r="B6285" s="787">
        <v>4</v>
      </c>
      <c r="C6285" s="787" t="s">
        <v>10913</v>
      </c>
      <c r="D6285" s="787">
        <v>1.47</v>
      </c>
      <c r="E6285" s="787">
        <v>1.96</v>
      </c>
      <c r="F6285" s="788">
        <v>38991</v>
      </c>
      <c r="G6285" s="788">
        <v>39647</v>
      </c>
      <c r="H6285" s="787">
        <v>1</v>
      </c>
      <c r="I6285" s="788">
        <v>39134</v>
      </c>
      <c r="J6285" s="788">
        <v>39647</v>
      </c>
      <c r="L6285" s="787">
        <v>1.96</v>
      </c>
      <c r="M6285" s="787">
        <v>10</v>
      </c>
      <c r="N6285" s="787">
        <v>2.62</v>
      </c>
      <c r="O6285" s="788">
        <v>41858</v>
      </c>
    </row>
    <row r="6286" spans="1:15" x14ac:dyDescent="0.25">
      <c r="A6286" s="786" t="s">
        <v>11228</v>
      </c>
      <c r="B6286" s="787">
        <v>4</v>
      </c>
      <c r="C6286" s="787" t="s">
        <v>11229</v>
      </c>
      <c r="D6286" s="787">
        <v>0</v>
      </c>
      <c r="E6286" s="787">
        <v>0</v>
      </c>
      <c r="H6286" s="787">
        <v>1</v>
      </c>
      <c r="L6286" s="787">
        <v>0</v>
      </c>
      <c r="M6286" s="787">
        <v>10</v>
      </c>
      <c r="N6286" s="787">
        <v>3.58</v>
      </c>
      <c r="O6286" s="788">
        <v>41869</v>
      </c>
    </row>
    <row r="6287" spans="1:15" x14ac:dyDescent="0.25">
      <c r="A6287" s="786" t="s">
        <v>11230</v>
      </c>
      <c r="B6287" s="787">
        <v>4</v>
      </c>
      <c r="C6287" s="787" t="s">
        <v>11231</v>
      </c>
      <c r="D6287" s="787">
        <v>0</v>
      </c>
      <c r="E6287" s="787">
        <v>0</v>
      </c>
      <c r="H6287" s="787">
        <v>1</v>
      </c>
      <c r="L6287" s="787">
        <v>0</v>
      </c>
      <c r="M6287" s="787">
        <v>10</v>
      </c>
      <c r="N6287" s="787">
        <v>10.17</v>
      </c>
      <c r="O6287" s="788">
        <v>41869</v>
      </c>
    </row>
    <row r="6288" spans="1:15" x14ac:dyDescent="0.25">
      <c r="A6288" s="786" t="s">
        <v>11232</v>
      </c>
      <c r="B6288" s="787">
        <v>4</v>
      </c>
      <c r="C6288" s="787" t="s">
        <v>11233</v>
      </c>
      <c r="D6288" s="787">
        <v>0</v>
      </c>
      <c r="E6288" s="787">
        <v>0</v>
      </c>
      <c r="H6288" s="787">
        <v>1</v>
      </c>
      <c r="L6288" s="787">
        <v>0</v>
      </c>
      <c r="M6288" s="787">
        <v>10</v>
      </c>
      <c r="N6288" s="787">
        <v>10.17</v>
      </c>
      <c r="O6288" s="788">
        <v>41869</v>
      </c>
    </row>
    <row r="6289" spans="1:15" x14ac:dyDescent="0.25">
      <c r="A6289" s="786" t="s">
        <v>11234</v>
      </c>
      <c r="B6289" s="787">
        <v>4</v>
      </c>
      <c r="C6289" s="787" t="s">
        <v>11235</v>
      </c>
      <c r="D6289" s="787">
        <v>0</v>
      </c>
      <c r="E6289" s="787">
        <v>0</v>
      </c>
      <c r="H6289" s="787">
        <v>1</v>
      </c>
      <c r="I6289" s="788">
        <v>39134</v>
      </c>
      <c r="J6289" s="788">
        <v>39149</v>
      </c>
      <c r="L6289" s="787">
        <v>0</v>
      </c>
      <c r="M6289" s="787">
        <v>10</v>
      </c>
      <c r="N6289" s="787">
        <v>2.88</v>
      </c>
      <c r="O6289" s="788">
        <v>41869</v>
      </c>
    </row>
    <row r="6290" spans="1:15" x14ac:dyDescent="0.25">
      <c r="A6290" s="786" t="s">
        <v>11236</v>
      </c>
      <c r="B6290" s="787">
        <v>4</v>
      </c>
      <c r="C6290" s="787" t="s">
        <v>11237</v>
      </c>
      <c r="D6290" s="787">
        <v>0</v>
      </c>
      <c r="E6290" s="787">
        <v>0</v>
      </c>
      <c r="H6290" s="787">
        <v>1</v>
      </c>
      <c r="I6290" s="788">
        <v>39134</v>
      </c>
      <c r="J6290" s="788">
        <v>39149</v>
      </c>
      <c r="L6290" s="787">
        <v>0</v>
      </c>
      <c r="M6290" s="787">
        <v>10</v>
      </c>
      <c r="N6290" s="787">
        <v>2.88</v>
      </c>
      <c r="O6290" s="788">
        <v>41869</v>
      </c>
    </row>
    <row r="6291" spans="1:15" x14ac:dyDescent="0.25">
      <c r="A6291" s="786" t="s">
        <v>11238</v>
      </c>
      <c r="B6291" s="787">
        <v>4</v>
      </c>
      <c r="C6291" s="787" t="s">
        <v>11239</v>
      </c>
      <c r="D6291" s="787">
        <v>0.01</v>
      </c>
      <c r="E6291" s="787">
        <v>2.87</v>
      </c>
      <c r="F6291" s="788">
        <v>39975</v>
      </c>
      <c r="G6291" s="788">
        <v>42164</v>
      </c>
      <c r="H6291" s="787">
        <v>1</v>
      </c>
      <c r="I6291" s="788">
        <v>42166</v>
      </c>
      <c r="J6291" s="788">
        <v>42164</v>
      </c>
      <c r="L6291" s="787">
        <v>1.47</v>
      </c>
      <c r="M6291" s="787">
        <v>10</v>
      </c>
      <c r="N6291" s="787">
        <v>2.41</v>
      </c>
      <c r="O6291" s="788">
        <v>42136</v>
      </c>
    </row>
    <row r="6292" spans="1:15" x14ac:dyDescent="0.25">
      <c r="A6292" s="786" t="s">
        <v>11240</v>
      </c>
      <c r="B6292" s="787">
        <v>4</v>
      </c>
      <c r="C6292" s="787" t="s">
        <v>11241</v>
      </c>
      <c r="D6292" s="787">
        <v>0.02</v>
      </c>
      <c r="E6292" s="787">
        <v>2.52</v>
      </c>
      <c r="F6292" s="788">
        <v>39975</v>
      </c>
      <c r="G6292" s="788">
        <v>42013</v>
      </c>
      <c r="H6292" s="787">
        <v>1</v>
      </c>
      <c r="I6292" s="788">
        <v>42166</v>
      </c>
      <c r="J6292" s="788">
        <v>41965</v>
      </c>
      <c r="L6292" s="787">
        <v>1.47</v>
      </c>
      <c r="M6292" s="787">
        <v>10</v>
      </c>
      <c r="N6292" s="787">
        <v>2.41</v>
      </c>
      <c r="O6292" s="788">
        <v>42136</v>
      </c>
    </row>
    <row r="6293" spans="1:15" x14ac:dyDescent="0.25">
      <c r="A6293" s="786" t="s">
        <v>11242</v>
      </c>
      <c r="B6293" s="787">
        <v>4</v>
      </c>
      <c r="C6293" s="787" t="s">
        <v>11243</v>
      </c>
      <c r="D6293" s="787">
        <v>1.69</v>
      </c>
      <c r="E6293" s="787">
        <v>1.69</v>
      </c>
      <c r="F6293" s="788">
        <v>39101</v>
      </c>
      <c r="G6293" s="788">
        <v>39101</v>
      </c>
      <c r="H6293" s="787">
        <v>1</v>
      </c>
      <c r="I6293" s="788">
        <v>39134</v>
      </c>
      <c r="J6293" s="788">
        <v>39149</v>
      </c>
      <c r="L6293" s="787">
        <v>1.54</v>
      </c>
      <c r="M6293" s="787">
        <v>10</v>
      </c>
      <c r="N6293" s="787">
        <v>2.81</v>
      </c>
      <c r="O6293" s="788">
        <v>41858</v>
      </c>
    </row>
    <row r="6294" spans="1:15" x14ac:dyDescent="0.25">
      <c r="A6294" s="786" t="s">
        <v>11244</v>
      </c>
      <c r="B6294" s="787">
        <v>4</v>
      </c>
      <c r="C6294" s="787" t="s">
        <v>11245</v>
      </c>
      <c r="D6294" s="787">
        <v>1.69</v>
      </c>
      <c r="E6294" s="787">
        <v>1.69</v>
      </c>
      <c r="F6294" s="788">
        <v>39101</v>
      </c>
      <c r="G6294" s="788">
        <v>39101</v>
      </c>
      <c r="H6294" s="787">
        <v>1</v>
      </c>
      <c r="I6294" s="788">
        <v>39134</v>
      </c>
      <c r="J6294" s="788">
        <v>39149</v>
      </c>
      <c r="L6294" s="787">
        <v>1.54</v>
      </c>
      <c r="M6294" s="787">
        <v>10</v>
      </c>
      <c r="N6294" s="787">
        <v>2.81</v>
      </c>
      <c r="O6294" s="788">
        <v>41858</v>
      </c>
    </row>
    <row r="6295" spans="1:15" x14ac:dyDescent="0.25">
      <c r="A6295" s="786" t="s">
        <v>11246</v>
      </c>
      <c r="B6295" s="787">
        <v>4</v>
      </c>
      <c r="C6295" s="787" t="s">
        <v>11247</v>
      </c>
      <c r="D6295" s="787">
        <v>0.44</v>
      </c>
      <c r="E6295" s="787">
        <v>4.07</v>
      </c>
      <c r="F6295" s="788">
        <v>39456</v>
      </c>
      <c r="G6295" s="788">
        <v>42013</v>
      </c>
      <c r="H6295" s="787">
        <v>1</v>
      </c>
      <c r="I6295" s="788">
        <v>42166</v>
      </c>
      <c r="J6295" s="788">
        <v>41708</v>
      </c>
      <c r="L6295" s="787">
        <v>1.37</v>
      </c>
      <c r="M6295" s="787">
        <v>10</v>
      </c>
      <c r="N6295" s="787">
        <v>3.12</v>
      </c>
      <c r="O6295" s="788">
        <v>42082</v>
      </c>
    </row>
    <row r="6296" spans="1:15" x14ac:dyDescent="0.25">
      <c r="A6296" s="786" t="s">
        <v>11248</v>
      </c>
      <c r="B6296" s="787">
        <v>4</v>
      </c>
      <c r="C6296" s="787" t="s">
        <v>11249</v>
      </c>
      <c r="D6296" s="787">
        <v>0.01</v>
      </c>
      <c r="E6296" s="787">
        <v>3.2</v>
      </c>
      <c r="F6296" s="788">
        <v>39975</v>
      </c>
      <c r="G6296" s="788">
        <v>41943</v>
      </c>
      <c r="H6296" s="787">
        <v>1</v>
      </c>
      <c r="I6296" s="788">
        <v>42166</v>
      </c>
      <c r="J6296" s="788">
        <v>41712</v>
      </c>
      <c r="L6296" s="787">
        <v>1.37</v>
      </c>
      <c r="M6296" s="787">
        <v>10</v>
      </c>
      <c r="N6296" s="787">
        <v>3.12</v>
      </c>
      <c r="O6296" s="788">
        <v>42082</v>
      </c>
    </row>
    <row r="6297" spans="1:15" x14ac:dyDescent="0.25">
      <c r="A6297" s="786" t="s">
        <v>11250</v>
      </c>
      <c r="B6297" s="787">
        <v>4</v>
      </c>
      <c r="C6297" s="787" t="s">
        <v>11251</v>
      </c>
      <c r="D6297" s="787">
        <v>1.53</v>
      </c>
      <c r="E6297" s="787">
        <v>1.53</v>
      </c>
      <c r="F6297" s="788">
        <v>38991</v>
      </c>
      <c r="G6297" s="788">
        <v>38991</v>
      </c>
      <c r="H6297" s="787">
        <v>1</v>
      </c>
      <c r="I6297" s="788">
        <v>39134</v>
      </c>
      <c r="J6297" s="788">
        <v>38982</v>
      </c>
      <c r="L6297" s="787">
        <v>1.35</v>
      </c>
      <c r="M6297" s="787">
        <v>10</v>
      </c>
      <c r="N6297" s="787">
        <v>2.23</v>
      </c>
      <c r="O6297" s="788">
        <v>41858</v>
      </c>
    </row>
    <row r="6298" spans="1:15" x14ac:dyDescent="0.25">
      <c r="A6298" s="786" t="s">
        <v>11252</v>
      </c>
      <c r="B6298" s="787">
        <v>4</v>
      </c>
      <c r="C6298" s="787" t="s">
        <v>11253</v>
      </c>
      <c r="D6298" s="787">
        <v>0.45</v>
      </c>
      <c r="E6298" s="787">
        <v>0.45</v>
      </c>
      <c r="F6298" s="788">
        <v>39456</v>
      </c>
      <c r="G6298" s="788">
        <v>39456</v>
      </c>
      <c r="H6298" s="787">
        <v>1</v>
      </c>
      <c r="I6298" s="788">
        <v>39134</v>
      </c>
      <c r="J6298" s="788">
        <v>39339</v>
      </c>
      <c r="L6298" s="787">
        <v>1.35</v>
      </c>
      <c r="M6298" s="787">
        <v>10</v>
      </c>
      <c r="N6298" s="787">
        <v>2.23</v>
      </c>
      <c r="O6298" s="788">
        <v>41858</v>
      </c>
    </row>
    <row r="6299" spans="1:15" x14ac:dyDescent="0.25">
      <c r="A6299" s="786" t="s">
        <v>11254</v>
      </c>
      <c r="B6299" s="787">
        <v>4</v>
      </c>
      <c r="C6299" s="787" t="s">
        <v>11255</v>
      </c>
      <c r="D6299" s="787">
        <v>0.9</v>
      </c>
      <c r="E6299" s="787">
        <v>0.9</v>
      </c>
      <c r="F6299" s="788">
        <v>39101</v>
      </c>
      <c r="G6299" s="788">
        <v>39101</v>
      </c>
      <c r="H6299" s="787">
        <v>1</v>
      </c>
      <c r="I6299" s="788">
        <v>40357</v>
      </c>
      <c r="J6299" s="788">
        <v>39149</v>
      </c>
      <c r="L6299" s="787">
        <v>0.76</v>
      </c>
      <c r="M6299" s="787">
        <v>10</v>
      </c>
      <c r="N6299" s="787">
        <v>1.24</v>
      </c>
      <c r="O6299" s="788">
        <v>42082</v>
      </c>
    </row>
    <row r="6300" spans="1:15" x14ac:dyDescent="0.25">
      <c r="A6300" s="786" t="s">
        <v>11256</v>
      </c>
      <c r="B6300" s="787">
        <v>4</v>
      </c>
      <c r="C6300" s="787" t="s">
        <v>11257</v>
      </c>
      <c r="D6300" s="787">
        <v>0.23</v>
      </c>
      <c r="E6300" s="787">
        <v>0.23</v>
      </c>
      <c r="F6300" s="788">
        <v>39456</v>
      </c>
      <c r="G6300" s="788">
        <v>39456</v>
      </c>
      <c r="H6300" s="787">
        <v>1</v>
      </c>
      <c r="I6300" s="788">
        <v>39989</v>
      </c>
      <c r="J6300" s="788">
        <v>39339</v>
      </c>
      <c r="L6300" s="787">
        <v>0.68</v>
      </c>
      <c r="M6300" s="787">
        <v>10</v>
      </c>
      <c r="N6300" s="787">
        <v>1.1100000000000001</v>
      </c>
      <c r="O6300" s="788">
        <v>42082</v>
      </c>
    </row>
    <row r="6301" spans="1:15" x14ac:dyDescent="0.25">
      <c r="A6301" s="786" t="s">
        <v>11258</v>
      </c>
      <c r="B6301" s="787">
        <v>4</v>
      </c>
      <c r="C6301" s="787" t="s">
        <v>11259</v>
      </c>
      <c r="D6301" s="787">
        <v>0.62</v>
      </c>
      <c r="E6301" s="787">
        <v>1.85</v>
      </c>
      <c r="F6301" s="788">
        <v>40948</v>
      </c>
      <c r="G6301" s="788">
        <v>42163</v>
      </c>
      <c r="H6301" s="787">
        <v>1</v>
      </c>
      <c r="I6301" s="788">
        <v>42166</v>
      </c>
      <c r="J6301" s="788">
        <v>42157</v>
      </c>
      <c r="L6301" s="787">
        <v>1.89</v>
      </c>
      <c r="M6301" s="787">
        <v>10</v>
      </c>
      <c r="N6301" s="787">
        <v>2.69</v>
      </c>
      <c r="O6301" s="788">
        <v>42146</v>
      </c>
    </row>
    <row r="6302" spans="1:15" x14ac:dyDescent="0.25">
      <c r="A6302" s="786" t="s">
        <v>11260</v>
      </c>
      <c r="B6302" s="787">
        <v>4</v>
      </c>
      <c r="C6302" s="787" t="s">
        <v>11261</v>
      </c>
      <c r="D6302" s="787">
        <v>0.23</v>
      </c>
      <c r="E6302" s="787">
        <v>0.4</v>
      </c>
      <c r="F6302" s="788">
        <v>39456</v>
      </c>
      <c r="G6302" s="788">
        <v>39975</v>
      </c>
      <c r="H6302" s="787">
        <v>6</v>
      </c>
      <c r="I6302" s="788">
        <v>40595</v>
      </c>
      <c r="J6302" s="788">
        <v>39286</v>
      </c>
      <c r="L6302" s="787">
        <v>0.51</v>
      </c>
      <c r="M6302" s="787">
        <v>10</v>
      </c>
      <c r="N6302" s="787">
        <v>0.48</v>
      </c>
      <c r="O6302" s="788">
        <v>41809</v>
      </c>
    </row>
    <row r="6303" spans="1:15" x14ac:dyDescent="0.25">
      <c r="A6303" s="786" t="s">
        <v>11262</v>
      </c>
      <c r="B6303" s="787">
        <v>4</v>
      </c>
      <c r="C6303" s="787" t="s">
        <v>11263</v>
      </c>
      <c r="D6303" s="787">
        <v>1.01</v>
      </c>
      <c r="E6303" s="787">
        <v>5.68</v>
      </c>
      <c r="F6303" s="788">
        <v>39456</v>
      </c>
      <c r="G6303" s="788">
        <v>42013</v>
      </c>
      <c r="H6303" s="787">
        <v>1</v>
      </c>
      <c r="I6303" s="788">
        <v>42152</v>
      </c>
      <c r="J6303" s="788">
        <v>41817</v>
      </c>
      <c r="L6303" s="787">
        <v>2</v>
      </c>
      <c r="M6303" s="787">
        <v>10</v>
      </c>
      <c r="N6303" s="787">
        <v>5.26</v>
      </c>
      <c r="O6303" s="788">
        <v>42146</v>
      </c>
    </row>
    <row r="6304" spans="1:15" x14ac:dyDescent="0.25">
      <c r="A6304" s="786" t="s">
        <v>11264</v>
      </c>
      <c r="B6304" s="787">
        <v>4</v>
      </c>
      <c r="C6304" s="787" t="s">
        <v>11265</v>
      </c>
      <c r="D6304" s="787">
        <v>1.3</v>
      </c>
      <c r="E6304" s="787">
        <v>7.78</v>
      </c>
      <c r="F6304" s="788">
        <v>39456</v>
      </c>
      <c r="G6304" s="788">
        <v>41943</v>
      </c>
      <c r="H6304" s="787">
        <v>1</v>
      </c>
      <c r="I6304" s="788">
        <v>41690</v>
      </c>
      <c r="J6304" s="788">
        <v>41207</v>
      </c>
      <c r="L6304" s="787">
        <v>2.2599999999999998</v>
      </c>
      <c r="M6304" s="787">
        <v>10</v>
      </c>
      <c r="N6304" s="787">
        <v>3.5</v>
      </c>
      <c r="O6304" s="788">
        <v>42146</v>
      </c>
    </row>
    <row r="6305" spans="1:15" x14ac:dyDescent="0.25">
      <c r="A6305" s="786" t="s">
        <v>11266</v>
      </c>
      <c r="B6305" s="787">
        <v>4</v>
      </c>
      <c r="C6305" s="787" t="s">
        <v>11267</v>
      </c>
      <c r="D6305" s="787">
        <v>0.44</v>
      </c>
      <c r="E6305" s="787">
        <v>0.44</v>
      </c>
      <c r="F6305" s="788">
        <v>39456</v>
      </c>
      <c r="G6305" s="788">
        <v>39590</v>
      </c>
      <c r="H6305" s="787">
        <v>1</v>
      </c>
      <c r="I6305" s="788">
        <v>39899</v>
      </c>
      <c r="J6305" s="788">
        <v>39286</v>
      </c>
      <c r="L6305" s="787">
        <v>1.33</v>
      </c>
      <c r="M6305" s="787">
        <v>10</v>
      </c>
      <c r="N6305" s="787">
        <v>1.63</v>
      </c>
      <c r="O6305" s="788">
        <v>42082</v>
      </c>
    </row>
    <row r="6306" spans="1:15" x14ac:dyDescent="0.25">
      <c r="A6306" s="786" t="s">
        <v>11268</v>
      </c>
      <c r="B6306" s="787">
        <v>4</v>
      </c>
      <c r="C6306" s="787" t="s">
        <v>11269</v>
      </c>
      <c r="D6306" s="787">
        <v>0</v>
      </c>
      <c r="E6306" s="787">
        <v>0</v>
      </c>
      <c r="H6306" s="787">
        <v>1</v>
      </c>
      <c r="I6306" s="788">
        <v>42095</v>
      </c>
      <c r="L6306" s="787">
        <v>0</v>
      </c>
      <c r="M6306" s="787">
        <v>10</v>
      </c>
      <c r="N6306" s="787">
        <v>24.52</v>
      </c>
      <c r="O6306" s="788">
        <v>42136</v>
      </c>
    </row>
    <row r="6307" spans="1:15" x14ac:dyDescent="0.25">
      <c r="A6307" s="786" t="s">
        <v>11270</v>
      </c>
      <c r="B6307" s="787">
        <v>4</v>
      </c>
      <c r="C6307" s="787" t="s">
        <v>11271</v>
      </c>
      <c r="D6307" s="787">
        <v>0</v>
      </c>
      <c r="E6307" s="787">
        <v>0</v>
      </c>
      <c r="H6307" s="787">
        <v>1</v>
      </c>
      <c r="L6307" s="787">
        <v>0</v>
      </c>
      <c r="M6307" s="787">
        <v>10</v>
      </c>
      <c r="N6307" s="787">
        <v>38.85</v>
      </c>
      <c r="O6307" s="788">
        <v>41956</v>
      </c>
    </row>
    <row r="6308" spans="1:15" x14ac:dyDescent="0.25">
      <c r="A6308" s="786" t="s">
        <v>11272</v>
      </c>
      <c r="B6308" s="787">
        <v>4</v>
      </c>
      <c r="C6308" s="787" t="s">
        <v>11273</v>
      </c>
      <c r="D6308" s="787">
        <v>0</v>
      </c>
      <c r="E6308" s="787">
        <v>0</v>
      </c>
      <c r="H6308" s="787">
        <v>1</v>
      </c>
      <c r="L6308" s="787">
        <v>0</v>
      </c>
      <c r="M6308" s="787">
        <v>10</v>
      </c>
      <c r="N6308" s="787">
        <v>38.85</v>
      </c>
      <c r="O6308" s="788">
        <v>41956</v>
      </c>
    </row>
    <row r="6309" spans="1:15" x14ac:dyDescent="0.25">
      <c r="A6309" s="786" t="s">
        <v>11274</v>
      </c>
      <c r="B6309" s="787">
        <v>4</v>
      </c>
      <c r="C6309" s="787" t="s">
        <v>11275</v>
      </c>
      <c r="D6309" s="787">
        <v>0</v>
      </c>
      <c r="E6309" s="787">
        <v>0</v>
      </c>
      <c r="H6309" s="787">
        <v>1</v>
      </c>
      <c r="I6309" s="788">
        <v>42095</v>
      </c>
      <c r="L6309" s="787">
        <v>0</v>
      </c>
      <c r="M6309" s="787">
        <v>10</v>
      </c>
      <c r="N6309" s="787">
        <v>11.15</v>
      </c>
      <c r="O6309" s="788">
        <v>42136</v>
      </c>
    </row>
    <row r="6310" spans="1:15" x14ac:dyDescent="0.25">
      <c r="A6310" s="786" t="s">
        <v>11276</v>
      </c>
      <c r="B6310" s="787">
        <v>4</v>
      </c>
      <c r="C6310" s="787" t="s">
        <v>11277</v>
      </c>
      <c r="D6310" s="787">
        <v>0</v>
      </c>
      <c r="E6310" s="787">
        <v>0</v>
      </c>
      <c r="H6310" s="787">
        <v>1</v>
      </c>
      <c r="L6310" s="787">
        <v>0</v>
      </c>
      <c r="M6310" s="787">
        <v>10</v>
      </c>
      <c r="N6310" s="787">
        <v>27.01</v>
      </c>
      <c r="O6310" s="788">
        <v>42082</v>
      </c>
    </row>
    <row r="6311" spans="1:15" x14ac:dyDescent="0.25">
      <c r="A6311" s="786" t="s">
        <v>11278</v>
      </c>
      <c r="B6311" s="787">
        <v>4</v>
      </c>
      <c r="C6311" s="787" t="s">
        <v>11279</v>
      </c>
      <c r="D6311" s="787">
        <v>0</v>
      </c>
      <c r="E6311" s="787">
        <v>0</v>
      </c>
      <c r="H6311" s="787">
        <v>1</v>
      </c>
      <c r="I6311" s="788">
        <v>42166</v>
      </c>
      <c r="L6311" s="787">
        <v>0</v>
      </c>
      <c r="M6311" s="787">
        <v>10</v>
      </c>
      <c r="N6311" s="787">
        <v>16.37</v>
      </c>
      <c r="O6311" s="788">
        <v>42136</v>
      </c>
    </row>
    <row r="6312" spans="1:15" x14ac:dyDescent="0.25">
      <c r="A6312" s="786" t="s">
        <v>11280</v>
      </c>
      <c r="B6312" s="787">
        <v>4</v>
      </c>
      <c r="C6312" s="787" t="s">
        <v>11281</v>
      </c>
      <c r="D6312" s="787">
        <v>0</v>
      </c>
      <c r="E6312" s="787">
        <v>0</v>
      </c>
      <c r="H6312" s="787">
        <v>1</v>
      </c>
      <c r="L6312" s="787">
        <v>0</v>
      </c>
      <c r="M6312" s="787">
        <v>10</v>
      </c>
      <c r="N6312" s="787">
        <v>43.35</v>
      </c>
      <c r="O6312" s="788">
        <v>42082</v>
      </c>
    </row>
    <row r="6313" spans="1:15" x14ac:dyDescent="0.25">
      <c r="A6313" s="786" t="s">
        <v>11282</v>
      </c>
      <c r="B6313" s="787">
        <v>4</v>
      </c>
      <c r="C6313" s="787" t="s">
        <v>11283</v>
      </c>
      <c r="D6313" s="787">
        <v>0</v>
      </c>
      <c r="E6313" s="787">
        <v>0</v>
      </c>
      <c r="H6313" s="787">
        <v>1</v>
      </c>
      <c r="I6313" s="788">
        <v>42095</v>
      </c>
      <c r="L6313" s="787">
        <v>0</v>
      </c>
      <c r="M6313" s="787">
        <v>10</v>
      </c>
      <c r="N6313" s="787">
        <v>43.35</v>
      </c>
      <c r="O6313" s="788">
        <v>42082</v>
      </c>
    </row>
    <row r="6314" spans="1:15" x14ac:dyDescent="0.25">
      <c r="A6314" s="786" t="s">
        <v>11284</v>
      </c>
      <c r="B6314" s="787">
        <v>4</v>
      </c>
      <c r="C6314" s="787" t="s">
        <v>11285</v>
      </c>
      <c r="D6314" s="787">
        <v>0</v>
      </c>
      <c r="E6314" s="787">
        <v>0</v>
      </c>
      <c r="H6314" s="787">
        <v>1</v>
      </c>
      <c r="I6314" s="788">
        <v>42166</v>
      </c>
      <c r="L6314" s="787">
        <v>0</v>
      </c>
      <c r="M6314" s="787">
        <v>10</v>
      </c>
      <c r="N6314" s="787">
        <v>8.09</v>
      </c>
      <c r="O6314" s="788">
        <v>42136</v>
      </c>
    </row>
    <row r="6315" spans="1:15" x14ac:dyDescent="0.25">
      <c r="A6315" s="786" t="s">
        <v>11286</v>
      </c>
      <c r="B6315" s="787">
        <v>4</v>
      </c>
      <c r="C6315" s="787" t="s">
        <v>11287</v>
      </c>
      <c r="D6315" s="787">
        <v>0</v>
      </c>
      <c r="E6315" s="787">
        <v>0</v>
      </c>
      <c r="H6315" s="787">
        <v>1</v>
      </c>
      <c r="I6315" s="788">
        <v>42095</v>
      </c>
      <c r="L6315" s="787">
        <v>0</v>
      </c>
      <c r="M6315" s="787">
        <v>10</v>
      </c>
      <c r="N6315" s="787">
        <v>28.96</v>
      </c>
      <c r="O6315" s="788">
        <v>42082</v>
      </c>
    </row>
    <row r="6316" spans="1:15" x14ac:dyDescent="0.25">
      <c r="A6316" s="786" t="s">
        <v>11288</v>
      </c>
      <c r="B6316" s="787">
        <v>4</v>
      </c>
      <c r="C6316" s="787" t="s">
        <v>11289</v>
      </c>
      <c r="D6316" s="787">
        <v>0</v>
      </c>
      <c r="E6316" s="787">
        <v>0</v>
      </c>
      <c r="H6316" s="787">
        <v>1</v>
      </c>
      <c r="I6316" s="788">
        <v>42095</v>
      </c>
      <c r="L6316" s="787">
        <v>0</v>
      </c>
      <c r="M6316" s="787">
        <v>10</v>
      </c>
      <c r="N6316" s="787">
        <v>16.37</v>
      </c>
      <c r="O6316" s="788">
        <v>42136</v>
      </c>
    </row>
    <row r="6317" spans="1:15" x14ac:dyDescent="0.25">
      <c r="A6317" s="786" t="s">
        <v>11290</v>
      </c>
      <c r="B6317" s="787">
        <v>4</v>
      </c>
      <c r="C6317" s="787" t="s">
        <v>11291</v>
      </c>
      <c r="D6317" s="787">
        <v>0</v>
      </c>
      <c r="E6317" s="787">
        <v>0</v>
      </c>
      <c r="H6317" s="787">
        <v>1</v>
      </c>
      <c r="I6317" s="788">
        <v>41884</v>
      </c>
      <c r="L6317" s="787">
        <v>0</v>
      </c>
      <c r="M6317" s="787">
        <v>10</v>
      </c>
      <c r="N6317" s="787">
        <v>16.37</v>
      </c>
      <c r="O6317" s="788">
        <v>42136</v>
      </c>
    </row>
    <row r="6318" spans="1:15" x14ac:dyDescent="0.25">
      <c r="A6318" s="786" t="s">
        <v>11292</v>
      </c>
      <c r="B6318" s="787">
        <v>4</v>
      </c>
      <c r="C6318" s="787" t="s">
        <v>11293</v>
      </c>
      <c r="D6318" s="787">
        <v>0</v>
      </c>
      <c r="E6318" s="787">
        <v>0</v>
      </c>
      <c r="H6318" s="787">
        <v>1</v>
      </c>
      <c r="I6318" s="788">
        <v>41879</v>
      </c>
      <c r="L6318" s="787">
        <v>0</v>
      </c>
      <c r="M6318" s="787">
        <v>10</v>
      </c>
      <c r="N6318" s="787">
        <v>37.229999999999997</v>
      </c>
      <c r="O6318" s="788">
        <v>42082</v>
      </c>
    </row>
    <row r="6319" spans="1:15" x14ac:dyDescent="0.25">
      <c r="A6319" s="786" t="s">
        <v>11294</v>
      </c>
      <c r="B6319" s="787">
        <v>4</v>
      </c>
      <c r="C6319" s="787" t="s">
        <v>11295</v>
      </c>
      <c r="D6319" s="787">
        <v>0</v>
      </c>
      <c r="E6319" s="787">
        <v>0</v>
      </c>
      <c r="H6319" s="787">
        <v>1</v>
      </c>
      <c r="I6319" s="788">
        <v>42095</v>
      </c>
      <c r="L6319" s="787">
        <v>0</v>
      </c>
      <c r="M6319" s="787">
        <v>10</v>
      </c>
      <c r="N6319" s="787">
        <v>37.229999999999997</v>
      </c>
      <c r="O6319" s="788">
        <v>42082</v>
      </c>
    </row>
    <row r="6320" spans="1:15" x14ac:dyDescent="0.25">
      <c r="A6320" s="786" t="s">
        <v>11296</v>
      </c>
      <c r="B6320" s="787">
        <v>4</v>
      </c>
      <c r="C6320" s="787" t="s">
        <v>11297</v>
      </c>
      <c r="D6320" s="787">
        <v>0</v>
      </c>
      <c r="E6320" s="787">
        <v>0</v>
      </c>
      <c r="H6320" s="787">
        <v>1</v>
      </c>
      <c r="I6320" s="788">
        <v>42095</v>
      </c>
      <c r="L6320" s="787">
        <v>0</v>
      </c>
      <c r="M6320" s="787">
        <v>10</v>
      </c>
      <c r="N6320" s="787">
        <v>8.09</v>
      </c>
      <c r="O6320" s="788">
        <v>42136</v>
      </c>
    </row>
    <row r="6321" spans="1:15" x14ac:dyDescent="0.25">
      <c r="A6321" s="786" t="s">
        <v>11298</v>
      </c>
      <c r="B6321" s="787">
        <v>4</v>
      </c>
      <c r="C6321" s="787" t="s">
        <v>11299</v>
      </c>
      <c r="D6321" s="787">
        <v>0</v>
      </c>
      <c r="E6321" s="787">
        <v>0</v>
      </c>
      <c r="H6321" s="787">
        <v>1</v>
      </c>
      <c r="I6321" s="788">
        <v>42095</v>
      </c>
      <c r="L6321" s="787">
        <v>0</v>
      </c>
      <c r="M6321" s="787">
        <v>10</v>
      </c>
      <c r="N6321" s="787">
        <v>26.24</v>
      </c>
      <c r="O6321" s="788">
        <v>42082</v>
      </c>
    </row>
    <row r="6322" spans="1:15" x14ac:dyDescent="0.25">
      <c r="A6322" s="786" t="s">
        <v>11300</v>
      </c>
      <c r="B6322" s="787">
        <v>4</v>
      </c>
      <c r="C6322" s="787" t="s">
        <v>11301</v>
      </c>
      <c r="D6322" s="787">
        <v>0</v>
      </c>
      <c r="E6322" s="787">
        <v>0</v>
      </c>
      <c r="H6322" s="787">
        <v>1</v>
      </c>
      <c r="I6322" s="788">
        <v>40896</v>
      </c>
      <c r="L6322" s="787">
        <v>0</v>
      </c>
      <c r="M6322" s="787">
        <v>10</v>
      </c>
      <c r="N6322" s="787">
        <v>39.270000000000003</v>
      </c>
      <c r="O6322" s="788">
        <v>42082</v>
      </c>
    </row>
    <row r="6323" spans="1:15" x14ac:dyDescent="0.25">
      <c r="A6323" s="786" t="s">
        <v>11302</v>
      </c>
      <c r="B6323" s="787">
        <v>4</v>
      </c>
      <c r="C6323" s="787" t="s">
        <v>11303</v>
      </c>
      <c r="D6323" s="787">
        <v>0</v>
      </c>
      <c r="E6323" s="787">
        <v>0</v>
      </c>
      <c r="H6323" s="787">
        <v>1</v>
      </c>
      <c r="L6323" s="787">
        <v>0</v>
      </c>
      <c r="M6323" s="787">
        <v>10</v>
      </c>
      <c r="N6323" s="787">
        <v>39.270000000000003</v>
      </c>
      <c r="O6323" s="788">
        <v>42082</v>
      </c>
    </row>
    <row r="6324" spans="1:15" x14ac:dyDescent="0.25">
      <c r="A6324" s="786" t="s">
        <v>11304</v>
      </c>
      <c r="B6324" s="787">
        <v>4</v>
      </c>
      <c r="C6324" s="787" t="s">
        <v>11305</v>
      </c>
      <c r="D6324" s="787">
        <v>0</v>
      </c>
      <c r="E6324" s="787">
        <v>0</v>
      </c>
      <c r="H6324" s="787">
        <v>1</v>
      </c>
      <c r="L6324" s="787">
        <v>0</v>
      </c>
      <c r="M6324" s="787">
        <v>10</v>
      </c>
      <c r="N6324" s="787">
        <v>39.270000000000003</v>
      </c>
      <c r="O6324" s="788">
        <v>42082</v>
      </c>
    </row>
    <row r="6325" spans="1:15" x14ac:dyDescent="0.25">
      <c r="A6325" s="786" t="s">
        <v>11306</v>
      </c>
      <c r="B6325" s="787">
        <v>4</v>
      </c>
      <c r="C6325" s="787" t="s">
        <v>11307</v>
      </c>
      <c r="D6325" s="787">
        <v>0</v>
      </c>
      <c r="E6325" s="787">
        <v>0</v>
      </c>
      <c r="H6325" s="787">
        <v>1</v>
      </c>
      <c r="I6325" s="788">
        <v>40896</v>
      </c>
      <c r="L6325" s="787">
        <v>0</v>
      </c>
      <c r="M6325" s="787">
        <v>10</v>
      </c>
      <c r="N6325" s="787">
        <v>39.270000000000003</v>
      </c>
      <c r="O6325" s="788">
        <v>42082</v>
      </c>
    </row>
    <row r="6326" spans="1:15" x14ac:dyDescent="0.25">
      <c r="A6326" s="786" t="s">
        <v>11308</v>
      </c>
      <c r="B6326" s="787">
        <v>4</v>
      </c>
      <c r="C6326" s="787" t="s">
        <v>11309</v>
      </c>
      <c r="D6326" s="787">
        <v>0</v>
      </c>
      <c r="E6326" s="787">
        <v>0</v>
      </c>
      <c r="H6326" s="787">
        <v>1</v>
      </c>
      <c r="I6326" s="788">
        <v>40896</v>
      </c>
      <c r="L6326" s="787">
        <v>0</v>
      </c>
      <c r="M6326" s="787">
        <v>10</v>
      </c>
      <c r="N6326" s="787">
        <v>27.53</v>
      </c>
      <c r="O6326" s="788">
        <v>42082</v>
      </c>
    </row>
    <row r="6327" spans="1:15" x14ac:dyDescent="0.25">
      <c r="A6327" s="786" t="s">
        <v>11310</v>
      </c>
      <c r="B6327" s="787">
        <v>4</v>
      </c>
      <c r="C6327" s="787" t="s">
        <v>11311</v>
      </c>
      <c r="D6327" s="787">
        <v>0</v>
      </c>
      <c r="E6327" s="787">
        <v>0</v>
      </c>
      <c r="H6327" s="787">
        <v>1</v>
      </c>
      <c r="I6327" s="788">
        <v>40896</v>
      </c>
      <c r="L6327" s="787">
        <v>0</v>
      </c>
      <c r="M6327" s="787">
        <v>10</v>
      </c>
      <c r="N6327" s="787">
        <v>27.01</v>
      </c>
      <c r="O6327" s="788">
        <v>41956</v>
      </c>
    </row>
    <row r="6328" spans="1:15" x14ac:dyDescent="0.25">
      <c r="A6328" s="786" t="s">
        <v>11312</v>
      </c>
      <c r="B6328" s="787">
        <v>4</v>
      </c>
      <c r="C6328" s="787" t="s">
        <v>11313</v>
      </c>
      <c r="D6328" s="787">
        <v>7.0000000000000007E-2</v>
      </c>
      <c r="E6328" s="787">
        <v>7.0000000000000007E-2</v>
      </c>
      <c r="F6328" s="788">
        <v>41963</v>
      </c>
      <c r="G6328" s="788">
        <v>42163</v>
      </c>
      <c r="H6328" s="787">
        <v>1</v>
      </c>
      <c r="I6328" s="788">
        <v>42166</v>
      </c>
      <c r="J6328" s="788">
        <v>42163</v>
      </c>
      <c r="L6328" s="787">
        <v>0.51</v>
      </c>
      <c r="M6328" s="787">
        <v>10</v>
      </c>
      <c r="N6328" s="787">
        <v>0.96</v>
      </c>
      <c r="O6328" s="788">
        <v>42146</v>
      </c>
    </row>
    <row r="6329" spans="1:15" x14ac:dyDescent="0.25">
      <c r="A6329" s="786" t="s">
        <v>11314</v>
      </c>
      <c r="B6329" s="787">
        <v>4</v>
      </c>
      <c r="C6329" s="787" t="s">
        <v>11315</v>
      </c>
      <c r="D6329" s="787">
        <v>1.3</v>
      </c>
      <c r="E6329" s="787">
        <v>1.3</v>
      </c>
      <c r="F6329" s="788">
        <v>38991</v>
      </c>
      <c r="G6329" s="788">
        <v>38991</v>
      </c>
      <c r="H6329" s="787">
        <v>1</v>
      </c>
      <c r="I6329" s="788">
        <v>39134</v>
      </c>
      <c r="J6329" s="788">
        <v>38982</v>
      </c>
      <c r="L6329" s="787">
        <v>1.08</v>
      </c>
      <c r="M6329" s="787">
        <v>10</v>
      </c>
      <c r="N6329" s="787">
        <v>1.79</v>
      </c>
      <c r="O6329" s="788">
        <v>41869</v>
      </c>
    </row>
    <row r="6330" spans="1:15" x14ac:dyDescent="0.25">
      <c r="A6330" s="786" t="s">
        <v>11316</v>
      </c>
      <c r="B6330" s="787">
        <v>4</v>
      </c>
      <c r="C6330" s="787" t="s">
        <v>11317</v>
      </c>
      <c r="D6330" s="787">
        <v>0.02</v>
      </c>
      <c r="E6330" s="787">
        <v>0.02</v>
      </c>
      <c r="F6330" s="788">
        <v>39456</v>
      </c>
      <c r="G6330" s="788">
        <v>39590</v>
      </c>
      <c r="H6330" s="787">
        <v>1</v>
      </c>
      <c r="I6330" s="788">
        <v>39134</v>
      </c>
      <c r="J6330" s="788">
        <v>39346</v>
      </c>
      <c r="L6330" s="787">
        <v>1.01</v>
      </c>
      <c r="M6330" s="787">
        <v>10</v>
      </c>
      <c r="N6330" s="787">
        <v>0.61</v>
      </c>
      <c r="O6330" s="788">
        <v>42082</v>
      </c>
    </row>
    <row r="6331" spans="1:15" x14ac:dyDescent="0.25">
      <c r="A6331" s="786" t="s">
        <v>11318</v>
      </c>
      <c r="B6331" s="787">
        <v>4</v>
      </c>
      <c r="C6331" s="787" t="s">
        <v>11319</v>
      </c>
      <c r="D6331" s="787">
        <v>1.55</v>
      </c>
      <c r="E6331" s="787">
        <v>1.56</v>
      </c>
      <c r="F6331" s="788">
        <v>39456</v>
      </c>
      <c r="G6331" s="788">
        <v>39590</v>
      </c>
      <c r="H6331" s="787">
        <v>1</v>
      </c>
      <c r="I6331" s="788">
        <v>40952</v>
      </c>
      <c r="J6331" s="788">
        <v>39436</v>
      </c>
      <c r="L6331" s="787">
        <v>0</v>
      </c>
      <c r="M6331" s="787">
        <v>10</v>
      </c>
      <c r="N6331" s="787">
        <v>3.38</v>
      </c>
      <c r="O6331" s="788">
        <v>41858</v>
      </c>
    </row>
    <row r="6332" spans="1:15" x14ac:dyDescent="0.25">
      <c r="A6332" s="786" t="s">
        <v>11320</v>
      </c>
      <c r="B6332" s="787">
        <v>4</v>
      </c>
      <c r="C6332" s="787" t="s">
        <v>11319</v>
      </c>
      <c r="D6332" s="787">
        <v>0.09</v>
      </c>
      <c r="E6332" s="787">
        <v>6.43</v>
      </c>
      <c r="F6332" s="788">
        <v>39975</v>
      </c>
      <c r="G6332" s="788">
        <v>42013</v>
      </c>
      <c r="H6332" s="787">
        <v>1</v>
      </c>
      <c r="I6332" s="788">
        <v>42166</v>
      </c>
      <c r="J6332" s="788">
        <v>41556</v>
      </c>
      <c r="L6332" s="787">
        <v>2.41</v>
      </c>
      <c r="M6332" s="787">
        <v>10</v>
      </c>
      <c r="N6332" s="787">
        <v>5</v>
      </c>
      <c r="O6332" s="788">
        <v>42082</v>
      </c>
    </row>
    <row r="6333" spans="1:15" x14ac:dyDescent="0.25">
      <c r="A6333" s="786" t="s">
        <v>11321</v>
      </c>
      <c r="B6333" s="787">
        <v>4</v>
      </c>
      <c r="C6333" s="787" t="s">
        <v>11322</v>
      </c>
      <c r="D6333" s="787">
        <v>0.04</v>
      </c>
      <c r="E6333" s="787">
        <v>2.0099999999999998</v>
      </c>
      <c r="F6333" s="788">
        <v>39974</v>
      </c>
      <c r="G6333" s="788">
        <v>42146</v>
      </c>
      <c r="H6333" s="787">
        <v>1</v>
      </c>
      <c r="I6333" s="788">
        <v>42165</v>
      </c>
      <c r="J6333" s="788">
        <v>42146</v>
      </c>
      <c r="L6333" s="787">
        <v>1.72</v>
      </c>
      <c r="M6333" s="787">
        <v>10</v>
      </c>
      <c r="N6333" s="787">
        <v>3.67</v>
      </c>
      <c r="O6333" s="788">
        <v>42136</v>
      </c>
    </row>
    <row r="6334" spans="1:15" x14ac:dyDescent="0.25">
      <c r="A6334" s="786" t="s">
        <v>11323</v>
      </c>
      <c r="B6334" s="787">
        <v>4</v>
      </c>
      <c r="C6334" s="787" t="s">
        <v>11324</v>
      </c>
      <c r="D6334" s="787">
        <v>0.13</v>
      </c>
      <c r="E6334" s="787">
        <v>0.22</v>
      </c>
      <c r="F6334" s="788">
        <v>39456</v>
      </c>
      <c r="G6334" s="788">
        <v>42013</v>
      </c>
      <c r="H6334" s="787">
        <v>1</v>
      </c>
      <c r="I6334" s="788">
        <v>42118</v>
      </c>
      <c r="J6334" s="788">
        <v>41676</v>
      </c>
      <c r="L6334" s="787">
        <v>0.23</v>
      </c>
      <c r="M6334" s="787">
        <v>10</v>
      </c>
      <c r="N6334" s="787">
        <v>0.68</v>
      </c>
      <c r="O6334" s="788">
        <v>42082</v>
      </c>
    </row>
    <row r="6335" spans="1:15" x14ac:dyDescent="0.25">
      <c r="A6335" s="786" t="s">
        <v>11325</v>
      </c>
      <c r="B6335" s="787">
        <v>4</v>
      </c>
      <c r="C6335" s="787" t="s">
        <v>11326</v>
      </c>
      <c r="D6335" s="787">
        <v>0.51</v>
      </c>
      <c r="E6335" s="787">
        <v>0.51</v>
      </c>
      <c r="F6335" s="788">
        <v>38991</v>
      </c>
      <c r="G6335" s="788">
        <v>38991</v>
      </c>
      <c r="H6335" s="787">
        <v>1</v>
      </c>
      <c r="I6335" s="788">
        <v>39134</v>
      </c>
      <c r="J6335" s="788">
        <v>38982</v>
      </c>
      <c r="L6335" s="787">
        <v>0.46</v>
      </c>
      <c r="M6335" s="787">
        <v>10</v>
      </c>
      <c r="N6335" s="787">
        <v>0.74</v>
      </c>
      <c r="O6335" s="788">
        <v>41858</v>
      </c>
    </row>
    <row r="6336" spans="1:15" x14ac:dyDescent="0.25">
      <c r="A6336" s="786" t="s">
        <v>11327</v>
      </c>
      <c r="B6336" s="787">
        <v>4</v>
      </c>
      <c r="C6336" s="787" t="s">
        <v>11328</v>
      </c>
      <c r="D6336" s="787">
        <v>0</v>
      </c>
      <c r="E6336" s="787">
        <v>0</v>
      </c>
      <c r="H6336" s="787">
        <v>1</v>
      </c>
      <c r="I6336" s="788">
        <v>42061</v>
      </c>
      <c r="L6336" s="787">
        <v>0</v>
      </c>
      <c r="M6336" s="787">
        <v>10</v>
      </c>
      <c r="N6336" s="787">
        <v>12.59</v>
      </c>
      <c r="O6336" s="788">
        <v>42082</v>
      </c>
    </row>
    <row r="6337" spans="1:15" x14ac:dyDescent="0.25">
      <c r="A6337" s="786" t="s">
        <v>11329</v>
      </c>
      <c r="B6337" s="787">
        <v>4</v>
      </c>
      <c r="C6337" s="787" t="s">
        <v>11330</v>
      </c>
      <c r="D6337" s="787">
        <v>0</v>
      </c>
      <c r="E6337" s="787">
        <v>0</v>
      </c>
      <c r="H6337" s="787">
        <v>1</v>
      </c>
      <c r="I6337" s="788">
        <v>41876</v>
      </c>
      <c r="L6337" s="787">
        <v>0</v>
      </c>
      <c r="M6337" s="787">
        <v>10</v>
      </c>
      <c r="N6337" s="787">
        <v>12.59</v>
      </c>
      <c r="O6337" s="788">
        <v>42082</v>
      </c>
    </row>
    <row r="6338" spans="1:15" x14ac:dyDescent="0.25">
      <c r="A6338" s="786" t="s">
        <v>11331</v>
      </c>
      <c r="B6338" s="787">
        <v>4</v>
      </c>
      <c r="C6338" s="787" t="s">
        <v>11332</v>
      </c>
      <c r="D6338" s="787">
        <v>0</v>
      </c>
      <c r="E6338" s="787">
        <v>0</v>
      </c>
      <c r="H6338" s="787">
        <v>1</v>
      </c>
      <c r="I6338" s="788">
        <v>42095</v>
      </c>
      <c r="L6338" s="787">
        <v>0</v>
      </c>
      <c r="M6338" s="787">
        <v>10</v>
      </c>
      <c r="N6338" s="787">
        <v>12.59</v>
      </c>
      <c r="O6338" s="788">
        <v>42082</v>
      </c>
    </row>
    <row r="6339" spans="1:15" x14ac:dyDescent="0.25">
      <c r="A6339" s="786" t="s">
        <v>11333</v>
      </c>
      <c r="B6339" s="787">
        <v>4</v>
      </c>
      <c r="C6339" s="787" t="s">
        <v>11334</v>
      </c>
      <c r="D6339" s="787">
        <v>0</v>
      </c>
      <c r="E6339" s="787">
        <v>0</v>
      </c>
      <c r="H6339" s="787">
        <v>1</v>
      </c>
      <c r="I6339" s="788">
        <v>42095</v>
      </c>
      <c r="L6339" s="787">
        <v>0</v>
      </c>
      <c r="M6339" s="787">
        <v>10</v>
      </c>
      <c r="N6339" s="787">
        <v>12.59</v>
      </c>
      <c r="O6339" s="788">
        <v>42082</v>
      </c>
    </row>
    <row r="6340" spans="1:15" x14ac:dyDescent="0.25">
      <c r="A6340" s="786" t="s">
        <v>11335</v>
      </c>
      <c r="B6340" s="787">
        <v>4</v>
      </c>
      <c r="C6340" s="787" t="s">
        <v>11336</v>
      </c>
      <c r="D6340" s="787">
        <v>0</v>
      </c>
      <c r="E6340" s="787">
        <v>0</v>
      </c>
      <c r="H6340" s="787">
        <v>1</v>
      </c>
      <c r="I6340" s="788">
        <v>42095</v>
      </c>
      <c r="L6340" s="787">
        <v>0</v>
      </c>
      <c r="M6340" s="787">
        <v>10</v>
      </c>
      <c r="N6340" s="787">
        <v>9.98</v>
      </c>
      <c r="O6340" s="788">
        <v>42082</v>
      </c>
    </row>
    <row r="6341" spans="1:15" x14ac:dyDescent="0.25">
      <c r="A6341" s="786" t="s">
        <v>11337</v>
      </c>
      <c r="B6341" s="787">
        <v>4</v>
      </c>
      <c r="C6341" s="787" t="s">
        <v>11338</v>
      </c>
      <c r="D6341" s="787">
        <v>0</v>
      </c>
      <c r="E6341" s="787">
        <v>0</v>
      </c>
      <c r="H6341" s="787">
        <v>1</v>
      </c>
      <c r="I6341" s="788">
        <v>42095</v>
      </c>
      <c r="L6341" s="787">
        <v>0</v>
      </c>
      <c r="M6341" s="787">
        <v>10</v>
      </c>
      <c r="N6341" s="787">
        <v>9.98</v>
      </c>
      <c r="O6341" s="788">
        <v>42082</v>
      </c>
    </row>
    <row r="6342" spans="1:15" x14ac:dyDescent="0.25">
      <c r="A6342" s="786" t="s">
        <v>11339</v>
      </c>
      <c r="B6342" s="787">
        <v>4</v>
      </c>
      <c r="C6342" s="787" t="s">
        <v>11340</v>
      </c>
      <c r="D6342" s="787">
        <v>1.88</v>
      </c>
      <c r="E6342" s="787">
        <v>2.12</v>
      </c>
      <c r="F6342" s="788">
        <v>41389</v>
      </c>
      <c r="G6342" s="788">
        <v>42013</v>
      </c>
      <c r="H6342" s="787">
        <v>1</v>
      </c>
      <c r="I6342" s="788">
        <v>42152</v>
      </c>
      <c r="J6342" s="788">
        <v>41808</v>
      </c>
      <c r="L6342" s="787">
        <v>0.32</v>
      </c>
      <c r="M6342" s="787">
        <v>10</v>
      </c>
      <c r="N6342" s="787">
        <v>0.99</v>
      </c>
      <c r="O6342" s="788">
        <v>42146</v>
      </c>
    </row>
    <row r="6343" spans="1:15" x14ac:dyDescent="0.25">
      <c r="A6343" s="786" t="s">
        <v>11341</v>
      </c>
      <c r="B6343" s="787">
        <v>4</v>
      </c>
      <c r="C6343" s="787" t="s">
        <v>11319</v>
      </c>
      <c r="D6343" s="787">
        <v>0.25</v>
      </c>
      <c r="E6343" s="787">
        <v>2.27</v>
      </c>
      <c r="F6343" s="788">
        <v>39456</v>
      </c>
      <c r="G6343" s="788">
        <v>42013</v>
      </c>
      <c r="H6343" s="787">
        <v>1</v>
      </c>
      <c r="I6343" s="788">
        <v>42166</v>
      </c>
      <c r="J6343" s="788">
        <v>41939</v>
      </c>
      <c r="L6343" s="787">
        <v>1.32</v>
      </c>
      <c r="M6343" s="787">
        <v>10</v>
      </c>
      <c r="N6343" s="787">
        <v>2.78</v>
      </c>
      <c r="O6343" s="788">
        <v>42146</v>
      </c>
    </row>
    <row r="6344" spans="1:15" x14ac:dyDescent="0.25">
      <c r="A6344" s="786" t="s">
        <v>11342</v>
      </c>
      <c r="B6344" s="787">
        <v>4</v>
      </c>
      <c r="C6344" s="787" t="s">
        <v>11343</v>
      </c>
      <c r="D6344" s="787">
        <v>0</v>
      </c>
      <c r="E6344" s="787">
        <v>0</v>
      </c>
      <c r="H6344" s="787">
        <v>1</v>
      </c>
      <c r="I6344" s="788">
        <v>42152</v>
      </c>
      <c r="L6344" s="787">
        <v>0</v>
      </c>
      <c r="M6344" s="787">
        <v>10</v>
      </c>
      <c r="N6344" s="787">
        <v>30.38</v>
      </c>
      <c r="O6344" s="788">
        <v>42136</v>
      </c>
    </row>
    <row r="6345" spans="1:15" x14ac:dyDescent="0.25">
      <c r="A6345" s="786" t="s">
        <v>11344</v>
      </c>
      <c r="B6345" s="787">
        <v>4</v>
      </c>
      <c r="C6345" s="787" t="s">
        <v>11345</v>
      </c>
      <c r="D6345" s="787">
        <v>0</v>
      </c>
      <c r="E6345" s="787">
        <v>0</v>
      </c>
      <c r="H6345" s="787">
        <v>1</v>
      </c>
      <c r="I6345" s="788">
        <v>42152</v>
      </c>
      <c r="L6345" s="787">
        <v>0</v>
      </c>
      <c r="M6345" s="787">
        <v>10</v>
      </c>
      <c r="N6345" s="787">
        <v>24.87</v>
      </c>
      <c r="O6345" s="788">
        <v>42136</v>
      </c>
    </row>
    <row r="6346" spans="1:15" x14ac:dyDescent="0.25">
      <c r="A6346" s="786" t="s">
        <v>11346</v>
      </c>
      <c r="B6346" s="787">
        <v>4</v>
      </c>
      <c r="C6346" s="787" t="s">
        <v>11347</v>
      </c>
      <c r="D6346" s="787">
        <v>0</v>
      </c>
      <c r="E6346" s="787">
        <v>0</v>
      </c>
      <c r="H6346" s="787">
        <v>1</v>
      </c>
      <c r="I6346" s="788">
        <v>42137</v>
      </c>
      <c r="L6346" s="787">
        <v>0</v>
      </c>
      <c r="M6346" s="787">
        <v>10</v>
      </c>
      <c r="N6346" s="787">
        <v>31.1</v>
      </c>
      <c r="O6346" s="788">
        <v>42082</v>
      </c>
    </row>
    <row r="6347" spans="1:15" x14ac:dyDescent="0.25">
      <c r="A6347" s="786" t="s">
        <v>11348</v>
      </c>
      <c r="B6347" s="787">
        <v>4</v>
      </c>
      <c r="C6347" s="787" t="s">
        <v>11349</v>
      </c>
      <c r="D6347" s="787">
        <v>0</v>
      </c>
      <c r="E6347" s="787">
        <v>0</v>
      </c>
      <c r="H6347" s="787">
        <v>1</v>
      </c>
      <c r="I6347" s="788">
        <v>42137</v>
      </c>
      <c r="L6347" s="787">
        <v>0</v>
      </c>
      <c r="M6347" s="787">
        <v>10</v>
      </c>
      <c r="N6347" s="787">
        <v>31.1</v>
      </c>
      <c r="O6347" s="788">
        <v>42082</v>
      </c>
    </row>
    <row r="6348" spans="1:15" x14ac:dyDescent="0.25">
      <c r="A6348" s="786" t="s">
        <v>11350</v>
      </c>
      <c r="B6348" s="787">
        <v>4</v>
      </c>
      <c r="C6348" s="787" t="s">
        <v>11351</v>
      </c>
      <c r="D6348" s="787">
        <v>0</v>
      </c>
      <c r="E6348" s="787">
        <v>0</v>
      </c>
      <c r="H6348" s="787">
        <v>1</v>
      </c>
      <c r="I6348" s="788">
        <v>42137</v>
      </c>
      <c r="L6348" s="787">
        <v>0</v>
      </c>
      <c r="M6348" s="787">
        <v>10</v>
      </c>
      <c r="N6348" s="787">
        <v>26.36</v>
      </c>
      <c r="O6348" s="788">
        <v>42082</v>
      </c>
    </row>
    <row r="6349" spans="1:15" x14ac:dyDescent="0.25">
      <c r="A6349" s="786" t="s">
        <v>11352</v>
      </c>
      <c r="B6349" s="787">
        <v>4</v>
      </c>
      <c r="C6349" s="787" t="s">
        <v>11353</v>
      </c>
      <c r="D6349" s="787">
        <v>1.65</v>
      </c>
      <c r="E6349" s="787">
        <v>1.65</v>
      </c>
      <c r="F6349" s="788">
        <v>39101</v>
      </c>
      <c r="G6349" s="788">
        <v>39101</v>
      </c>
      <c r="H6349" s="787">
        <v>1</v>
      </c>
      <c r="I6349" s="788">
        <v>42034</v>
      </c>
      <c r="J6349" s="788">
        <v>42037</v>
      </c>
      <c r="K6349" s="788">
        <v>41233</v>
      </c>
      <c r="L6349" s="787">
        <v>1.65</v>
      </c>
      <c r="M6349" s="787">
        <v>20</v>
      </c>
      <c r="N6349" s="787">
        <v>1.77</v>
      </c>
      <c r="O6349" s="788">
        <v>41858</v>
      </c>
    </row>
    <row r="6350" spans="1:15" x14ac:dyDescent="0.25">
      <c r="A6350" s="786" t="s">
        <v>11354</v>
      </c>
      <c r="B6350" s="787">
        <v>4</v>
      </c>
      <c r="C6350" s="787" t="s">
        <v>11355</v>
      </c>
      <c r="D6350" s="787">
        <v>3.14</v>
      </c>
      <c r="E6350" s="787">
        <v>3.14</v>
      </c>
      <c r="F6350" s="788">
        <v>42096</v>
      </c>
      <c r="G6350" s="788">
        <v>42096</v>
      </c>
      <c r="H6350" s="787">
        <v>1</v>
      </c>
      <c r="I6350" s="788">
        <v>42160</v>
      </c>
      <c r="J6350" s="788">
        <v>42065</v>
      </c>
      <c r="L6350" s="787">
        <v>2.94</v>
      </c>
      <c r="M6350" s="787">
        <v>10</v>
      </c>
      <c r="N6350" s="787">
        <v>4.3600000000000003</v>
      </c>
      <c r="O6350" s="788">
        <v>42163</v>
      </c>
    </row>
    <row r="6351" spans="1:15" x14ac:dyDescent="0.25">
      <c r="A6351" s="786" t="s">
        <v>11356</v>
      </c>
      <c r="B6351" s="787">
        <v>4</v>
      </c>
      <c r="C6351" s="787" t="s">
        <v>11357</v>
      </c>
      <c r="D6351" s="787">
        <v>0.14000000000000001</v>
      </c>
      <c r="E6351" s="787">
        <v>3.79</v>
      </c>
      <c r="F6351" s="788">
        <v>39975</v>
      </c>
      <c r="G6351" s="788">
        <v>42096</v>
      </c>
      <c r="H6351" s="787">
        <v>1</v>
      </c>
      <c r="I6351" s="788">
        <v>42160</v>
      </c>
      <c r="J6351" s="788">
        <v>42065</v>
      </c>
      <c r="L6351" s="787">
        <v>2.94</v>
      </c>
      <c r="M6351" s="787">
        <v>10</v>
      </c>
      <c r="N6351" s="787">
        <v>4.3600000000000003</v>
      </c>
      <c r="O6351" s="788">
        <v>42163</v>
      </c>
    </row>
    <row r="6352" spans="1:15" x14ac:dyDescent="0.25">
      <c r="A6352" s="786" t="s">
        <v>11358</v>
      </c>
      <c r="B6352" s="787">
        <v>4</v>
      </c>
      <c r="C6352" s="787" t="s">
        <v>11359</v>
      </c>
      <c r="D6352" s="787">
        <v>0.33</v>
      </c>
      <c r="E6352" s="787">
        <v>4.91</v>
      </c>
      <c r="F6352" s="788">
        <v>39975</v>
      </c>
      <c r="G6352" s="788">
        <v>42163</v>
      </c>
      <c r="H6352" s="787">
        <v>1</v>
      </c>
      <c r="I6352" s="788">
        <v>42160</v>
      </c>
      <c r="J6352" s="788">
        <v>42135</v>
      </c>
      <c r="L6352" s="787">
        <v>2.94</v>
      </c>
      <c r="M6352" s="787">
        <v>10</v>
      </c>
      <c r="N6352" s="787">
        <v>4.8099999999999996</v>
      </c>
      <c r="O6352" s="788">
        <v>42163</v>
      </c>
    </row>
    <row r="6353" spans="1:15" x14ac:dyDescent="0.25">
      <c r="A6353" s="786" t="s">
        <v>11360</v>
      </c>
      <c r="B6353" s="787">
        <v>4</v>
      </c>
      <c r="C6353" s="787" t="s">
        <v>11361</v>
      </c>
      <c r="D6353" s="787">
        <v>0.33</v>
      </c>
      <c r="E6353" s="787">
        <v>3.95</v>
      </c>
      <c r="F6353" s="788">
        <v>39975</v>
      </c>
      <c r="G6353" s="788">
        <v>42163</v>
      </c>
      <c r="H6353" s="787">
        <v>1</v>
      </c>
      <c r="I6353" s="788">
        <v>42160</v>
      </c>
      <c r="J6353" s="788">
        <v>42135</v>
      </c>
      <c r="L6353" s="787">
        <v>2.94</v>
      </c>
      <c r="M6353" s="787">
        <v>10</v>
      </c>
      <c r="N6353" s="787">
        <v>4.8099999999999996</v>
      </c>
      <c r="O6353" s="788">
        <v>42163</v>
      </c>
    </row>
    <row r="6354" spans="1:15" x14ac:dyDescent="0.25">
      <c r="A6354" s="786" t="s">
        <v>11362</v>
      </c>
      <c r="B6354" s="787">
        <v>4</v>
      </c>
      <c r="C6354" s="787" t="s">
        <v>11363</v>
      </c>
      <c r="D6354" s="787">
        <v>1.1299999999999999</v>
      </c>
      <c r="E6354" s="787">
        <v>1.1299999999999999</v>
      </c>
      <c r="F6354" s="788">
        <v>39975</v>
      </c>
      <c r="G6354" s="788">
        <v>42013</v>
      </c>
      <c r="H6354" s="787">
        <v>1</v>
      </c>
      <c r="I6354" s="788">
        <v>41990</v>
      </c>
      <c r="J6354" s="788">
        <v>40414</v>
      </c>
      <c r="L6354" s="787">
        <v>2.94</v>
      </c>
      <c r="M6354" s="787">
        <v>10</v>
      </c>
      <c r="N6354" s="787">
        <v>4.04</v>
      </c>
      <c r="O6354" s="788">
        <v>42163</v>
      </c>
    </row>
    <row r="6355" spans="1:15" x14ac:dyDescent="0.25">
      <c r="A6355" s="786" t="s">
        <v>11364</v>
      </c>
      <c r="B6355" s="787">
        <v>4</v>
      </c>
      <c r="C6355" s="787" t="s">
        <v>11365</v>
      </c>
      <c r="D6355" s="787">
        <v>0.53</v>
      </c>
      <c r="E6355" s="787">
        <v>0.53</v>
      </c>
      <c r="F6355" s="788">
        <v>39975</v>
      </c>
      <c r="G6355" s="788">
        <v>42013</v>
      </c>
      <c r="H6355" s="787">
        <v>1</v>
      </c>
      <c r="I6355" s="788">
        <v>41990</v>
      </c>
      <c r="J6355" s="788">
        <v>40414</v>
      </c>
      <c r="L6355" s="787">
        <v>2.94</v>
      </c>
      <c r="M6355" s="787">
        <v>10</v>
      </c>
      <c r="N6355" s="787">
        <v>4.45</v>
      </c>
      <c r="O6355" s="788">
        <v>42163</v>
      </c>
    </row>
    <row r="6356" spans="1:15" x14ac:dyDescent="0.25">
      <c r="A6356" s="786" t="s">
        <v>11366</v>
      </c>
      <c r="B6356" s="787">
        <v>4</v>
      </c>
      <c r="C6356" s="787" t="s">
        <v>11363</v>
      </c>
      <c r="D6356" s="787">
        <v>1.46</v>
      </c>
      <c r="E6356" s="787">
        <v>11.55</v>
      </c>
      <c r="F6356" s="788">
        <v>39456</v>
      </c>
      <c r="G6356" s="788">
        <v>42013</v>
      </c>
      <c r="H6356" s="787">
        <v>1</v>
      </c>
      <c r="I6356" s="788">
        <v>42160</v>
      </c>
      <c r="J6356" s="788">
        <v>41548</v>
      </c>
      <c r="L6356" s="787">
        <v>2.83</v>
      </c>
      <c r="M6356" s="787">
        <v>10</v>
      </c>
      <c r="N6356" s="787">
        <v>2.84</v>
      </c>
      <c r="O6356" s="788">
        <v>42163</v>
      </c>
    </row>
    <row r="6357" spans="1:15" x14ac:dyDescent="0.25">
      <c r="A6357" s="786" t="s">
        <v>11367</v>
      </c>
      <c r="B6357" s="787">
        <v>4</v>
      </c>
      <c r="C6357" s="787" t="s">
        <v>11365</v>
      </c>
      <c r="D6357" s="787">
        <v>1.46</v>
      </c>
      <c r="E6357" s="787">
        <v>7.56</v>
      </c>
      <c r="F6357" s="788">
        <v>39456</v>
      </c>
      <c r="G6357" s="788">
        <v>41947</v>
      </c>
      <c r="H6357" s="787">
        <v>1</v>
      </c>
      <c r="I6357" s="788">
        <v>42160</v>
      </c>
      <c r="J6357" s="788">
        <v>41919</v>
      </c>
      <c r="L6357" s="787">
        <v>2.83</v>
      </c>
      <c r="M6357" s="787">
        <v>10</v>
      </c>
      <c r="N6357" s="787">
        <v>2.84</v>
      </c>
      <c r="O6357" s="788">
        <v>42163</v>
      </c>
    </row>
    <row r="6358" spans="1:15" x14ac:dyDescent="0.25">
      <c r="A6358" s="786" t="s">
        <v>11368</v>
      </c>
      <c r="B6358" s="787">
        <v>4</v>
      </c>
      <c r="C6358" s="787" t="s">
        <v>11363</v>
      </c>
      <c r="D6358" s="787">
        <v>1.83</v>
      </c>
      <c r="E6358" s="787">
        <v>6.97</v>
      </c>
      <c r="F6358" s="788">
        <v>39456</v>
      </c>
      <c r="G6358" s="788">
        <v>42065</v>
      </c>
      <c r="H6358" s="787">
        <v>1</v>
      </c>
      <c r="I6358" s="788">
        <v>42163</v>
      </c>
      <c r="J6358" s="788">
        <v>42033</v>
      </c>
      <c r="L6358" s="787">
        <v>3.22</v>
      </c>
      <c r="M6358" s="787">
        <v>10</v>
      </c>
      <c r="N6358" s="787">
        <v>4.6399999999999997</v>
      </c>
      <c r="O6358" s="788">
        <v>42163</v>
      </c>
    </row>
    <row r="6359" spans="1:15" x14ac:dyDescent="0.25">
      <c r="A6359" s="786" t="s">
        <v>11369</v>
      </c>
      <c r="B6359" s="787">
        <v>4</v>
      </c>
      <c r="C6359" s="787" t="s">
        <v>11365</v>
      </c>
      <c r="D6359" s="787">
        <v>1.83</v>
      </c>
      <c r="E6359" s="787">
        <v>9.7200000000000006</v>
      </c>
      <c r="F6359" s="788">
        <v>39456</v>
      </c>
      <c r="G6359" s="788">
        <v>42065</v>
      </c>
      <c r="H6359" s="787">
        <v>1</v>
      </c>
      <c r="I6359" s="788">
        <v>42163</v>
      </c>
      <c r="J6359" s="788">
        <v>42033</v>
      </c>
      <c r="L6359" s="787">
        <v>3.22</v>
      </c>
      <c r="M6359" s="787">
        <v>10</v>
      </c>
      <c r="N6359" s="787">
        <v>4.6399999999999997</v>
      </c>
      <c r="O6359" s="788">
        <v>42163</v>
      </c>
    </row>
    <row r="6360" spans="1:15" x14ac:dyDescent="0.25">
      <c r="A6360" s="786" t="s">
        <v>11370</v>
      </c>
      <c r="B6360" s="787">
        <v>4</v>
      </c>
      <c r="C6360" s="787" t="s">
        <v>11363</v>
      </c>
      <c r="D6360" s="787">
        <v>0.05</v>
      </c>
      <c r="E6360" s="787">
        <v>3.9</v>
      </c>
      <c r="F6360" s="788">
        <v>39975</v>
      </c>
      <c r="G6360" s="788">
        <v>41548</v>
      </c>
      <c r="H6360" s="787">
        <v>1</v>
      </c>
      <c r="I6360" s="788">
        <v>42160</v>
      </c>
      <c r="J6360" s="788">
        <v>41519</v>
      </c>
      <c r="L6360" s="787">
        <v>3.41</v>
      </c>
      <c r="M6360" s="787">
        <v>10</v>
      </c>
      <c r="N6360" s="787">
        <v>4.5599999999999996</v>
      </c>
      <c r="O6360" s="788">
        <v>42163</v>
      </c>
    </row>
    <row r="6361" spans="1:15" x14ac:dyDescent="0.25">
      <c r="A6361" s="786" t="s">
        <v>11371</v>
      </c>
      <c r="B6361" s="787">
        <v>4</v>
      </c>
      <c r="C6361" s="787" t="s">
        <v>11365</v>
      </c>
      <c r="D6361" s="787">
        <v>1.79</v>
      </c>
      <c r="E6361" s="787">
        <v>6.66</v>
      </c>
      <c r="F6361" s="788">
        <v>39975</v>
      </c>
      <c r="G6361" s="788">
        <v>42160</v>
      </c>
      <c r="H6361" s="787">
        <v>1</v>
      </c>
      <c r="I6361" s="788">
        <v>42160</v>
      </c>
      <c r="J6361" s="788">
        <v>42131</v>
      </c>
      <c r="L6361" s="787">
        <v>3.41</v>
      </c>
      <c r="M6361" s="787">
        <v>10</v>
      </c>
      <c r="N6361" s="787">
        <v>4.5599999999999996</v>
      </c>
      <c r="O6361" s="788">
        <v>42163</v>
      </c>
    </row>
    <row r="6362" spans="1:15" x14ac:dyDescent="0.25">
      <c r="A6362" s="786" t="s">
        <v>11372</v>
      </c>
      <c r="B6362" s="787">
        <v>4</v>
      </c>
      <c r="C6362" s="787" t="s">
        <v>11373</v>
      </c>
      <c r="D6362" s="787">
        <v>8.5500000000000007</v>
      </c>
      <c r="E6362" s="787">
        <v>9.1999999999999993</v>
      </c>
      <c r="F6362" s="788">
        <v>38991</v>
      </c>
      <c r="G6362" s="788">
        <v>39457</v>
      </c>
      <c r="H6362" s="787">
        <v>1</v>
      </c>
      <c r="I6362" s="788">
        <v>39134</v>
      </c>
      <c r="J6362" s="788">
        <v>39192</v>
      </c>
      <c r="L6362" s="787">
        <v>8.4600000000000009</v>
      </c>
      <c r="M6362" s="787">
        <v>10</v>
      </c>
      <c r="N6362" s="787">
        <v>11.25</v>
      </c>
      <c r="O6362" s="788">
        <v>41858</v>
      </c>
    </row>
    <row r="6363" spans="1:15" x14ac:dyDescent="0.25">
      <c r="A6363" s="786" t="s">
        <v>11374</v>
      </c>
      <c r="B6363" s="787">
        <v>4</v>
      </c>
      <c r="C6363" s="787" t="s">
        <v>11375</v>
      </c>
      <c r="D6363" s="787">
        <v>9.4700000000000006</v>
      </c>
      <c r="E6363" s="787">
        <v>9.4700000000000006</v>
      </c>
      <c r="F6363" s="788">
        <v>39975</v>
      </c>
      <c r="G6363" s="788">
        <v>39590</v>
      </c>
      <c r="H6363" s="787">
        <v>1</v>
      </c>
      <c r="I6363" s="788">
        <v>39134</v>
      </c>
      <c r="J6363" s="788">
        <v>39226</v>
      </c>
      <c r="L6363" s="787">
        <v>0</v>
      </c>
      <c r="M6363" s="787">
        <v>10</v>
      </c>
      <c r="N6363" s="787">
        <v>14.17</v>
      </c>
      <c r="O6363" s="788">
        <v>41858</v>
      </c>
    </row>
    <row r="6364" spans="1:15" x14ac:dyDescent="0.25">
      <c r="A6364" s="786" t="s">
        <v>11376</v>
      </c>
      <c r="B6364" s="787">
        <v>4</v>
      </c>
      <c r="C6364" s="787" t="s">
        <v>11377</v>
      </c>
      <c r="D6364" s="787">
        <v>0</v>
      </c>
      <c r="E6364" s="787">
        <v>0</v>
      </c>
      <c r="H6364" s="787">
        <v>1</v>
      </c>
      <c r="K6364" s="788">
        <v>41410</v>
      </c>
      <c r="L6364" s="787">
        <v>0.01</v>
      </c>
      <c r="M6364" s="787">
        <v>10</v>
      </c>
      <c r="N6364" s="787">
        <v>10.41</v>
      </c>
      <c r="O6364" s="788">
        <v>42121</v>
      </c>
    </row>
    <row r="6365" spans="1:15" x14ac:dyDescent="0.25">
      <c r="A6365" s="786" t="s">
        <v>11378</v>
      </c>
      <c r="B6365" s="787">
        <v>4</v>
      </c>
      <c r="C6365" s="787" t="s">
        <v>11379</v>
      </c>
      <c r="D6365" s="787">
        <v>0</v>
      </c>
      <c r="E6365" s="787">
        <v>0</v>
      </c>
      <c r="H6365" s="787">
        <v>1</v>
      </c>
      <c r="I6365" s="788">
        <v>40800</v>
      </c>
      <c r="K6365" s="788">
        <v>41410</v>
      </c>
      <c r="L6365" s="787">
        <v>0.01</v>
      </c>
      <c r="M6365" s="787">
        <v>10</v>
      </c>
      <c r="N6365" s="787">
        <v>10.79</v>
      </c>
      <c r="O6365" s="788">
        <v>42121</v>
      </c>
    </row>
    <row r="6366" spans="1:15" x14ac:dyDescent="0.25">
      <c r="A6366" s="786" t="s">
        <v>11380</v>
      </c>
      <c r="B6366" s="787">
        <v>4</v>
      </c>
      <c r="C6366" s="787" t="s">
        <v>11381</v>
      </c>
      <c r="D6366" s="787">
        <v>4.59</v>
      </c>
      <c r="E6366" s="787">
        <v>4.59</v>
      </c>
      <c r="F6366" s="788">
        <v>38921</v>
      </c>
      <c r="G6366" s="788">
        <v>41943</v>
      </c>
      <c r="H6366" s="787">
        <v>1</v>
      </c>
      <c r="I6366" s="788">
        <v>42052</v>
      </c>
      <c r="J6366" s="788">
        <v>38902</v>
      </c>
      <c r="K6366" s="788">
        <v>42052</v>
      </c>
      <c r="L6366" s="787">
        <v>5.51</v>
      </c>
      <c r="M6366" s="787">
        <v>10</v>
      </c>
      <c r="N6366" s="787">
        <v>5.51</v>
      </c>
      <c r="O6366" s="788">
        <v>42052</v>
      </c>
    </row>
    <row r="6367" spans="1:15" x14ac:dyDescent="0.25">
      <c r="A6367" s="786" t="s">
        <v>11382</v>
      </c>
      <c r="B6367" s="787">
        <v>4</v>
      </c>
      <c r="C6367" s="787" t="s">
        <v>11383</v>
      </c>
      <c r="D6367" s="787">
        <v>5.65</v>
      </c>
      <c r="E6367" s="787">
        <v>5.65</v>
      </c>
      <c r="F6367" s="788">
        <v>39101</v>
      </c>
      <c r="G6367" s="788">
        <v>39101</v>
      </c>
      <c r="H6367" s="787">
        <v>1</v>
      </c>
      <c r="I6367" s="788">
        <v>39134</v>
      </c>
      <c r="J6367" s="788">
        <v>39149</v>
      </c>
      <c r="L6367" s="787">
        <v>5.9</v>
      </c>
      <c r="M6367" s="787">
        <v>10</v>
      </c>
      <c r="N6367" s="787">
        <v>7.76</v>
      </c>
      <c r="O6367" s="788">
        <v>41858</v>
      </c>
    </row>
    <row r="6368" spans="1:15" x14ac:dyDescent="0.25">
      <c r="A6368" s="786" t="s">
        <v>11384</v>
      </c>
      <c r="B6368" s="787">
        <v>4</v>
      </c>
      <c r="C6368" s="787" t="s">
        <v>11385</v>
      </c>
      <c r="D6368" s="787">
        <v>1.69</v>
      </c>
      <c r="E6368" s="787">
        <v>1.69</v>
      </c>
      <c r="F6368" s="788">
        <v>39101</v>
      </c>
      <c r="G6368" s="788">
        <v>39101</v>
      </c>
      <c r="H6368" s="787">
        <v>1</v>
      </c>
      <c r="I6368" s="788">
        <v>39134</v>
      </c>
      <c r="J6368" s="788">
        <v>39149</v>
      </c>
      <c r="L6368" s="787">
        <v>0</v>
      </c>
      <c r="M6368" s="787">
        <v>10</v>
      </c>
      <c r="N6368" s="787">
        <v>2.11</v>
      </c>
      <c r="O6368" s="788">
        <v>41858</v>
      </c>
    </row>
    <row r="6369" spans="1:15" x14ac:dyDescent="0.25">
      <c r="A6369" s="786" t="s">
        <v>11386</v>
      </c>
      <c r="B6369" s="787">
        <v>4</v>
      </c>
      <c r="C6369" s="787" t="s">
        <v>11387</v>
      </c>
      <c r="D6369" s="787">
        <v>0</v>
      </c>
      <c r="E6369" s="787">
        <v>0</v>
      </c>
      <c r="H6369" s="787">
        <v>1</v>
      </c>
      <c r="L6369" s="787">
        <v>0</v>
      </c>
      <c r="M6369" s="787">
        <v>10</v>
      </c>
      <c r="N6369" s="787">
        <v>12.11</v>
      </c>
      <c r="O6369" s="788">
        <v>41858</v>
      </c>
    </row>
    <row r="6370" spans="1:15" x14ac:dyDescent="0.25">
      <c r="A6370" s="786" t="s">
        <v>11388</v>
      </c>
      <c r="B6370" s="787">
        <v>4</v>
      </c>
      <c r="C6370" s="787" t="s">
        <v>11389</v>
      </c>
      <c r="D6370" s="787">
        <v>0</v>
      </c>
      <c r="E6370" s="787">
        <v>0</v>
      </c>
      <c r="H6370" s="787">
        <v>1</v>
      </c>
      <c r="L6370" s="787">
        <v>0</v>
      </c>
      <c r="M6370" s="787">
        <v>10</v>
      </c>
      <c r="N6370" s="787">
        <v>1.35</v>
      </c>
      <c r="O6370" s="788">
        <v>41858</v>
      </c>
    </row>
    <row r="6371" spans="1:15" x14ac:dyDescent="0.25">
      <c r="A6371" s="786" t="s">
        <v>11390</v>
      </c>
      <c r="B6371" s="787">
        <v>4</v>
      </c>
      <c r="C6371" s="787" t="s">
        <v>11391</v>
      </c>
      <c r="D6371" s="787">
        <v>0</v>
      </c>
      <c r="E6371" s="787">
        <v>0</v>
      </c>
      <c r="H6371" s="787">
        <v>1</v>
      </c>
      <c r="L6371" s="787">
        <v>0</v>
      </c>
      <c r="M6371" s="787">
        <v>10</v>
      </c>
      <c r="N6371" s="787">
        <v>1.35</v>
      </c>
      <c r="O6371" s="788">
        <v>41858</v>
      </c>
    </row>
    <row r="6372" spans="1:15" x14ac:dyDescent="0.25">
      <c r="A6372" s="786" t="s">
        <v>11392</v>
      </c>
      <c r="B6372" s="787">
        <v>4</v>
      </c>
      <c r="C6372" s="787" t="s">
        <v>11393</v>
      </c>
      <c r="D6372" s="787">
        <v>0</v>
      </c>
      <c r="E6372" s="787">
        <v>0</v>
      </c>
      <c r="G6372" s="788">
        <v>42013</v>
      </c>
      <c r="H6372" s="787">
        <v>1</v>
      </c>
      <c r="I6372" s="788">
        <v>41767</v>
      </c>
      <c r="J6372" s="788">
        <v>40373</v>
      </c>
      <c r="K6372" s="788">
        <v>42052</v>
      </c>
      <c r="L6372" s="787">
        <v>2.61</v>
      </c>
      <c r="M6372" s="787">
        <v>10</v>
      </c>
      <c r="N6372" s="787">
        <v>2.61</v>
      </c>
      <c r="O6372" s="788">
        <v>42164</v>
      </c>
    </row>
    <row r="6373" spans="1:15" x14ac:dyDescent="0.25">
      <c r="A6373" s="786" t="s">
        <v>11394</v>
      </c>
      <c r="B6373" s="787">
        <v>4</v>
      </c>
      <c r="C6373" s="787" t="s">
        <v>11395</v>
      </c>
      <c r="D6373" s="787">
        <v>0.72</v>
      </c>
      <c r="E6373" s="787">
        <v>1.18</v>
      </c>
      <c r="F6373" s="788">
        <v>41449</v>
      </c>
      <c r="G6373" s="788">
        <v>42143</v>
      </c>
      <c r="H6373" s="787">
        <v>1</v>
      </c>
      <c r="I6373" s="788">
        <v>42163</v>
      </c>
      <c r="J6373" s="788">
        <v>42143</v>
      </c>
      <c r="L6373" s="787">
        <v>1.1200000000000001</v>
      </c>
      <c r="M6373" s="787">
        <v>10</v>
      </c>
      <c r="N6373" s="787">
        <v>2.2400000000000002</v>
      </c>
      <c r="O6373" s="788">
        <v>42163</v>
      </c>
    </row>
    <row r="6374" spans="1:15" x14ac:dyDescent="0.25">
      <c r="A6374" s="786" t="s">
        <v>11396</v>
      </c>
      <c r="B6374" s="787">
        <v>4</v>
      </c>
      <c r="C6374" s="787" t="s">
        <v>11397</v>
      </c>
      <c r="D6374" s="787">
        <v>1.36</v>
      </c>
      <c r="E6374" s="787">
        <v>7.79</v>
      </c>
      <c r="F6374" s="788">
        <v>41495</v>
      </c>
      <c r="G6374" s="788">
        <v>42165</v>
      </c>
      <c r="H6374" s="787">
        <v>1</v>
      </c>
      <c r="I6374" s="788">
        <v>42166</v>
      </c>
      <c r="J6374" s="788">
        <v>42159</v>
      </c>
      <c r="K6374" s="788">
        <v>41281</v>
      </c>
      <c r="L6374" s="787">
        <v>3.09</v>
      </c>
      <c r="M6374" s="787">
        <v>10</v>
      </c>
      <c r="N6374" s="787">
        <v>4.1399999999999997</v>
      </c>
      <c r="O6374" s="788">
        <v>42146</v>
      </c>
    </row>
    <row r="6375" spans="1:15" x14ac:dyDescent="0.25">
      <c r="A6375" s="786" t="s">
        <v>11398</v>
      </c>
      <c r="B6375" s="787">
        <v>4</v>
      </c>
      <c r="C6375" s="787" t="s">
        <v>11399</v>
      </c>
      <c r="D6375" s="787">
        <v>1.43</v>
      </c>
      <c r="E6375" s="787">
        <v>4.63</v>
      </c>
      <c r="F6375" s="788">
        <v>41977</v>
      </c>
      <c r="G6375" s="788">
        <v>42163</v>
      </c>
      <c r="H6375" s="787">
        <v>1</v>
      </c>
      <c r="I6375" s="788">
        <v>42166</v>
      </c>
      <c r="J6375" s="788">
        <v>42163</v>
      </c>
      <c r="K6375" s="788">
        <v>41281</v>
      </c>
      <c r="L6375" s="787">
        <v>3.81</v>
      </c>
      <c r="M6375" s="787">
        <v>10</v>
      </c>
      <c r="N6375" s="787">
        <v>3.86</v>
      </c>
      <c r="O6375" s="788">
        <v>42146</v>
      </c>
    </row>
    <row r="6376" spans="1:15" x14ac:dyDescent="0.25">
      <c r="A6376" s="786" t="s">
        <v>11400</v>
      </c>
      <c r="B6376" s="787">
        <v>4</v>
      </c>
      <c r="C6376" s="787" t="s">
        <v>11401</v>
      </c>
      <c r="D6376" s="787">
        <v>0.6</v>
      </c>
      <c r="E6376" s="787">
        <v>2.81</v>
      </c>
      <c r="F6376" s="788">
        <v>39456</v>
      </c>
      <c r="G6376" s="788">
        <v>42013</v>
      </c>
      <c r="H6376" s="787">
        <v>1</v>
      </c>
      <c r="I6376" s="788">
        <v>42117</v>
      </c>
      <c r="J6376" s="788">
        <v>41255</v>
      </c>
      <c r="K6376" s="788">
        <v>42038</v>
      </c>
      <c r="L6376" s="787">
        <v>3.01</v>
      </c>
      <c r="M6376" s="787">
        <v>10</v>
      </c>
      <c r="N6376" s="787">
        <v>3.13</v>
      </c>
      <c r="O6376" s="788">
        <v>42146</v>
      </c>
    </row>
    <row r="6377" spans="1:15" x14ac:dyDescent="0.25">
      <c r="A6377" s="786" t="s">
        <v>11402</v>
      </c>
      <c r="B6377" s="787">
        <v>4</v>
      </c>
      <c r="C6377" s="787" t="s">
        <v>11403</v>
      </c>
      <c r="D6377" s="787">
        <v>1.24</v>
      </c>
      <c r="E6377" s="787">
        <v>29.85</v>
      </c>
      <c r="F6377" s="788">
        <v>39974</v>
      </c>
      <c r="G6377" s="788">
        <v>42163</v>
      </c>
      <c r="H6377" s="787">
        <v>1</v>
      </c>
      <c r="I6377" s="788">
        <v>42166</v>
      </c>
      <c r="J6377" s="788">
        <v>42163</v>
      </c>
      <c r="K6377" s="788">
        <v>41347</v>
      </c>
      <c r="L6377" s="787">
        <v>5.34</v>
      </c>
      <c r="M6377" s="787">
        <v>10</v>
      </c>
      <c r="N6377" s="787">
        <v>5.82</v>
      </c>
      <c r="O6377" s="788">
        <v>42146</v>
      </c>
    </row>
    <row r="6378" spans="1:15" x14ac:dyDescent="0.25">
      <c r="A6378" s="786" t="s">
        <v>11404</v>
      </c>
      <c r="B6378" s="787">
        <v>4</v>
      </c>
      <c r="C6378" s="787" t="s">
        <v>11405</v>
      </c>
      <c r="D6378" s="787">
        <v>1.48</v>
      </c>
      <c r="E6378" s="787">
        <v>2.91</v>
      </c>
      <c r="F6378" s="788">
        <v>39975</v>
      </c>
      <c r="G6378" s="788">
        <v>39902</v>
      </c>
      <c r="H6378" s="787">
        <v>1</v>
      </c>
      <c r="I6378" s="788">
        <v>40683</v>
      </c>
      <c r="J6378" s="788">
        <v>40668</v>
      </c>
      <c r="L6378" s="787">
        <v>1.61</v>
      </c>
      <c r="M6378" s="787">
        <v>10</v>
      </c>
      <c r="N6378" s="787">
        <v>2.35</v>
      </c>
      <c r="O6378" s="788">
        <v>42146</v>
      </c>
    </row>
    <row r="6379" spans="1:15" x14ac:dyDescent="0.25">
      <c r="A6379" s="786" t="s">
        <v>11406</v>
      </c>
      <c r="B6379" s="787">
        <v>4</v>
      </c>
      <c r="C6379" s="787" t="s">
        <v>11407</v>
      </c>
      <c r="D6379" s="787">
        <v>0.33</v>
      </c>
      <c r="E6379" s="787">
        <v>0.37</v>
      </c>
      <c r="F6379" s="788">
        <v>39456</v>
      </c>
      <c r="G6379" s="788">
        <v>42150</v>
      </c>
      <c r="H6379" s="787">
        <v>1</v>
      </c>
      <c r="I6379" s="788">
        <v>42164</v>
      </c>
      <c r="J6379" s="788">
        <v>42150</v>
      </c>
      <c r="K6379" s="788">
        <v>41331</v>
      </c>
      <c r="L6379" s="787">
        <v>0.34</v>
      </c>
      <c r="M6379" s="787">
        <v>10</v>
      </c>
      <c r="N6379" s="787">
        <v>1.22</v>
      </c>
      <c r="O6379" s="788">
        <v>42146</v>
      </c>
    </row>
    <row r="6380" spans="1:15" x14ac:dyDescent="0.25">
      <c r="A6380" s="786" t="s">
        <v>11408</v>
      </c>
      <c r="B6380" s="787">
        <v>4</v>
      </c>
      <c r="C6380" s="787" t="s">
        <v>11409</v>
      </c>
      <c r="D6380" s="787">
        <v>0.59</v>
      </c>
      <c r="E6380" s="787">
        <v>1.73</v>
      </c>
      <c r="F6380" s="788">
        <v>41947</v>
      </c>
      <c r="G6380" s="788">
        <v>42152</v>
      </c>
      <c r="H6380" s="787">
        <v>1</v>
      </c>
      <c r="I6380" s="788">
        <v>42166</v>
      </c>
      <c r="J6380" s="788">
        <v>42152</v>
      </c>
      <c r="K6380" s="788">
        <v>41281</v>
      </c>
      <c r="L6380" s="787">
        <v>1.43</v>
      </c>
      <c r="M6380" s="787">
        <v>10</v>
      </c>
      <c r="N6380" s="787">
        <v>1.27</v>
      </c>
      <c r="O6380" s="788">
        <v>42146</v>
      </c>
    </row>
    <row r="6381" spans="1:15" x14ac:dyDescent="0.25">
      <c r="A6381" s="786" t="s">
        <v>11410</v>
      </c>
      <c r="B6381" s="787">
        <v>4</v>
      </c>
      <c r="C6381" s="787" t="s">
        <v>11411</v>
      </c>
      <c r="D6381" s="787">
        <v>3.1</v>
      </c>
      <c r="E6381" s="787">
        <v>3.1</v>
      </c>
      <c r="F6381" s="788">
        <v>41206</v>
      </c>
      <c r="G6381" s="788">
        <v>42013</v>
      </c>
      <c r="H6381" s="787">
        <v>1</v>
      </c>
      <c r="I6381" s="788">
        <v>42111</v>
      </c>
      <c r="J6381" s="788">
        <v>41176</v>
      </c>
      <c r="K6381" s="788">
        <v>40557</v>
      </c>
      <c r="L6381" s="787">
        <v>3.95</v>
      </c>
      <c r="M6381" s="787">
        <v>20</v>
      </c>
      <c r="N6381" s="787">
        <v>4.25</v>
      </c>
      <c r="O6381" s="788">
        <v>42146</v>
      </c>
    </row>
    <row r="6382" spans="1:15" x14ac:dyDescent="0.25">
      <c r="A6382" s="786" t="s">
        <v>11412</v>
      </c>
      <c r="B6382" s="787">
        <v>4</v>
      </c>
      <c r="C6382" s="787" t="s">
        <v>11413</v>
      </c>
      <c r="D6382" s="787">
        <v>1.63</v>
      </c>
      <c r="E6382" s="787">
        <v>18.16</v>
      </c>
      <c r="F6382" s="788">
        <v>41209</v>
      </c>
      <c r="G6382" s="788">
        <v>42013</v>
      </c>
      <c r="H6382" s="787">
        <v>1</v>
      </c>
      <c r="I6382" s="788">
        <v>42082</v>
      </c>
      <c r="J6382" s="788">
        <v>41232</v>
      </c>
      <c r="K6382" s="788">
        <v>41429</v>
      </c>
      <c r="L6382" s="787">
        <v>13.23</v>
      </c>
      <c r="M6382" s="787">
        <v>10</v>
      </c>
      <c r="N6382" s="787">
        <v>15.66</v>
      </c>
      <c r="O6382" s="788">
        <v>42146</v>
      </c>
    </row>
    <row r="6383" spans="1:15" x14ac:dyDescent="0.25">
      <c r="A6383" s="786" t="s">
        <v>11414</v>
      </c>
      <c r="B6383" s="787">
        <v>4</v>
      </c>
      <c r="C6383" s="787" t="s">
        <v>11415</v>
      </c>
      <c r="D6383" s="787">
        <v>9.11</v>
      </c>
      <c r="E6383" s="787">
        <v>19.11</v>
      </c>
      <c r="F6383" s="788">
        <v>40085</v>
      </c>
      <c r="G6383" s="788">
        <v>39814</v>
      </c>
      <c r="H6383" s="787">
        <v>1</v>
      </c>
      <c r="I6383" s="788">
        <v>41121</v>
      </c>
      <c r="J6383" s="788">
        <v>39686</v>
      </c>
      <c r="K6383" s="788">
        <v>41429</v>
      </c>
      <c r="L6383" s="787">
        <v>19.11</v>
      </c>
      <c r="M6383" s="787">
        <v>10</v>
      </c>
      <c r="N6383" s="787">
        <v>26.43</v>
      </c>
      <c r="O6383" s="788">
        <v>42146</v>
      </c>
    </row>
    <row r="6384" spans="1:15" x14ac:dyDescent="0.25">
      <c r="A6384" s="786" t="s">
        <v>11416</v>
      </c>
      <c r="B6384" s="787">
        <v>4</v>
      </c>
      <c r="C6384" s="787" t="s">
        <v>11417</v>
      </c>
      <c r="D6384" s="787">
        <v>1.06</v>
      </c>
      <c r="E6384" s="787">
        <v>1.06</v>
      </c>
      <c r="F6384" s="788">
        <v>41579</v>
      </c>
      <c r="G6384" s="788">
        <v>42013</v>
      </c>
      <c r="H6384" s="787">
        <v>1</v>
      </c>
      <c r="I6384" s="788">
        <v>42144</v>
      </c>
      <c r="J6384" s="788">
        <v>41540</v>
      </c>
      <c r="L6384" s="787">
        <v>0.6</v>
      </c>
      <c r="M6384" s="787">
        <v>10</v>
      </c>
      <c r="N6384" s="787">
        <v>1.03</v>
      </c>
      <c r="O6384" s="788">
        <v>42162</v>
      </c>
    </row>
    <row r="6385" spans="1:15" x14ac:dyDescent="0.25">
      <c r="A6385" s="786" t="s">
        <v>11418</v>
      </c>
      <c r="B6385" s="787">
        <v>4</v>
      </c>
      <c r="C6385" s="787" t="s">
        <v>11419</v>
      </c>
      <c r="D6385" s="787">
        <v>0.2</v>
      </c>
      <c r="E6385" s="787">
        <v>0.2</v>
      </c>
      <c r="F6385" s="788">
        <v>39975</v>
      </c>
      <c r="G6385" s="788">
        <v>42013</v>
      </c>
      <c r="H6385" s="787">
        <v>1</v>
      </c>
      <c r="I6385" s="788">
        <v>42122</v>
      </c>
      <c r="J6385" s="788">
        <v>40226</v>
      </c>
      <c r="L6385" s="787">
        <v>3.56</v>
      </c>
      <c r="M6385" s="787">
        <v>10</v>
      </c>
      <c r="N6385" s="787">
        <v>6.24</v>
      </c>
      <c r="O6385" s="788">
        <v>42082</v>
      </c>
    </row>
    <row r="6386" spans="1:15" x14ac:dyDescent="0.25">
      <c r="A6386" s="786" t="s">
        <v>11420</v>
      </c>
      <c r="B6386" s="787">
        <v>4</v>
      </c>
      <c r="C6386" s="787" t="s">
        <v>11421</v>
      </c>
      <c r="D6386" s="787">
        <v>0.24</v>
      </c>
      <c r="E6386" s="787">
        <v>0.24</v>
      </c>
      <c r="F6386" s="788">
        <v>39975</v>
      </c>
      <c r="G6386" s="788">
        <v>42013</v>
      </c>
      <c r="H6386" s="787">
        <v>1</v>
      </c>
      <c r="I6386" s="788">
        <v>42131</v>
      </c>
      <c r="J6386" s="788">
        <v>42145</v>
      </c>
      <c r="L6386" s="787">
        <v>3.56</v>
      </c>
      <c r="M6386" s="787">
        <v>10</v>
      </c>
      <c r="N6386" s="787">
        <v>6.24</v>
      </c>
      <c r="O6386" s="788">
        <v>42082</v>
      </c>
    </row>
    <row r="6387" spans="1:15" x14ac:dyDescent="0.25">
      <c r="A6387" s="786" t="s">
        <v>11422</v>
      </c>
      <c r="B6387" s="787">
        <v>4</v>
      </c>
      <c r="C6387" s="787" t="s">
        <v>11423</v>
      </c>
      <c r="D6387" s="787">
        <v>1.56</v>
      </c>
      <c r="E6387" s="787">
        <v>8.58</v>
      </c>
      <c r="F6387" s="788">
        <v>39975</v>
      </c>
      <c r="G6387" s="788">
        <v>42013</v>
      </c>
      <c r="H6387" s="787">
        <v>1</v>
      </c>
      <c r="I6387" s="788">
        <v>42122</v>
      </c>
      <c r="J6387" s="788">
        <v>41611</v>
      </c>
      <c r="L6387" s="787">
        <v>4.8600000000000003</v>
      </c>
      <c r="M6387" s="787">
        <v>10</v>
      </c>
      <c r="N6387" s="787">
        <v>8.75</v>
      </c>
      <c r="O6387" s="788">
        <v>42082</v>
      </c>
    </row>
    <row r="6388" spans="1:15" x14ac:dyDescent="0.25">
      <c r="A6388" s="786" t="s">
        <v>11424</v>
      </c>
      <c r="B6388" s="787">
        <v>4</v>
      </c>
      <c r="C6388" s="787" t="s">
        <v>11425</v>
      </c>
      <c r="D6388" s="787">
        <v>0.16</v>
      </c>
      <c r="E6388" s="787">
        <v>10.48</v>
      </c>
      <c r="F6388" s="788">
        <v>39975</v>
      </c>
      <c r="G6388" s="788">
        <v>42013</v>
      </c>
      <c r="H6388" s="787">
        <v>1</v>
      </c>
      <c r="I6388" s="788">
        <v>42061</v>
      </c>
      <c r="J6388" s="788">
        <v>41611</v>
      </c>
      <c r="L6388" s="787">
        <v>4.8600000000000003</v>
      </c>
      <c r="M6388" s="787">
        <v>10</v>
      </c>
      <c r="N6388" s="787">
        <v>8.75</v>
      </c>
      <c r="O6388" s="788">
        <v>42082</v>
      </c>
    </row>
    <row r="6389" spans="1:15" x14ac:dyDescent="0.25">
      <c r="A6389" s="786" t="s">
        <v>11426</v>
      </c>
      <c r="B6389" s="787">
        <v>4</v>
      </c>
      <c r="C6389" s="787" t="s">
        <v>11427</v>
      </c>
      <c r="D6389" s="787">
        <v>0.65</v>
      </c>
      <c r="E6389" s="787">
        <v>8.82</v>
      </c>
      <c r="F6389" s="788">
        <v>39975</v>
      </c>
      <c r="G6389" s="788">
        <v>42145</v>
      </c>
      <c r="H6389" s="787">
        <v>1</v>
      </c>
      <c r="I6389" s="788">
        <v>42122</v>
      </c>
      <c r="J6389" s="788">
        <v>42111</v>
      </c>
      <c r="L6389" s="787">
        <v>3.19</v>
      </c>
      <c r="M6389" s="787">
        <v>10</v>
      </c>
      <c r="N6389" s="787">
        <v>6.18</v>
      </c>
      <c r="O6389" s="788">
        <v>42082</v>
      </c>
    </row>
    <row r="6390" spans="1:15" x14ac:dyDescent="0.25">
      <c r="A6390" s="786" t="s">
        <v>11428</v>
      </c>
      <c r="B6390" s="787">
        <v>4</v>
      </c>
      <c r="C6390" s="787" t="s">
        <v>11429</v>
      </c>
      <c r="D6390" s="787">
        <v>0.11</v>
      </c>
      <c r="E6390" s="787">
        <v>9.2799999999999994</v>
      </c>
      <c r="F6390" s="788">
        <v>39975</v>
      </c>
      <c r="G6390" s="788">
        <v>42074</v>
      </c>
      <c r="H6390" s="787">
        <v>1</v>
      </c>
      <c r="I6390" s="788">
        <v>42122</v>
      </c>
      <c r="J6390" s="788">
        <v>42047</v>
      </c>
      <c r="L6390" s="787">
        <v>4.49</v>
      </c>
      <c r="M6390" s="787">
        <v>10</v>
      </c>
      <c r="N6390" s="787">
        <v>6.79</v>
      </c>
      <c r="O6390" s="788">
        <v>42082</v>
      </c>
    </row>
    <row r="6391" spans="1:15" x14ac:dyDescent="0.25">
      <c r="A6391" s="786" t="s">
        <v>11430</v>
      </c>
      <c r="B6391" s="787">
        <v>4</v>
      </c>
      <c r="C6391" s="787" t="s">
        <v>11431</v>
      </c>
      <c r="D6391" s="787">
        <v>0</v>
      </c>
      <c r="E6391" s="787">
        <v>0</v>
      </c>
      <c r="H6391" s="787">
        <v>1</v>
      </c>
      <c r="I6391" s="788">
        <v>41599</v>
      </c>
      <c r="J6391" s="788">
        <v>41621</v>
      </c>
      <c r="K6391" s="788">
        <v>41621</v>
      </c>
      <c r="L6391" s="787">
        <v>20</v>
      </c>
      <c r="M6391" s="787">
        <v>10</v>
      </c>
      <c r="N6391" s="787">
        <v>18.670000000000002</v>
      </c>
      <c r="O6391" s="788">
        <v>42082</v>
      </c>
    </row>
    <row r="6392" spans="1:15" x14ac:dyDescent="0.25">
      <c r="A6392" s="786" t="s">
        <v>11432</v>
      </c>
      <c r="B6392" s="787">
        <v>4</v>
      </c>
      <c r="C6392" s="787" t="s">
        <v>11433</v>
      </c>
      <c r="D6392" s="787">
        <v>0</v>
      </c>
      <c r="E6392" s="787">
        <v>0</v>
      </c>
      <c r="H6392" s="787">
        <v>1</v>
      </c>
      <c r="I6392" s="788">
        <v>41836</v>
      </c>
      <c r="J6392" s="788">
        <v>41621</v>
      </c>
      <c r="K6392" s="788">
        <v>41624</v>
      </c>
      <c r="L6392" s="787">
        <v>20</v>
      </c>
      <c r="M6392" s="787">
        <v>10</v>
      </c>
      <c r="N6392" s="787">
        <v>19.149999999999999</v>
      </c>
      <c r="O6392" s="788">
        <v>42082</v>
      </c>
    </row>
    <row r="6393" spans="1:15" x14ac:dyDescent="0.25">
      <c r="A6393" s="786" t="s">
        <v>11434</v>
      </c>
      <c r="B6393" s="787">
        <v>4</v>
      </c>
      <c r="C6393" s="787" t="s">
        <v>11435</v>
      </c>
      <c r="D6393" s="787">
        <v>0</v>
      </c>
      <c r="E6393" s="787">
        <v>0</v>
      </c>
      <c r="H6393" s="787">
        <v>1</v>
      </c>
      <c r="I6393" s="788">
        <v>41950</v>
      </c>
      <c r="J6393" s="788">
        <v>41621</v>
      </c>
      <c r="K6393" s="788">
        <v>41624</v>
      </c>
      <c r="L6393" s="787">
        <v>23</v>
      </c>
      <c r="M6393" s="787">
        <v>10</v>
      </c>
      <c r="N6393" s="787">
        <v>21.24</v>
      </c>
      <c r="O6393" s="788">
        <v>42082</v>
      </c>
    </row>
    <row r="6394" spans="1:15" x14ac:dyDescent="0.25">
      <c r="A6394" s="786" t="s">
        <v>11436</v>
      </c>
      <c r="B6394" s="787">
        <v>4</v>
      </c>
      <c r="C6394" s="787" t="s">
        <v>11437</v>
      </c>
      <c r="D6394" s="787">
        <v>0</v>
      </c>
      <c r="E6394" s="787">
        <v>0</v>
      </c>
      <c r="H6394" s="787">
        <v>1</v>
      </c>
      <c r="I6394" s="788">
        <v>42061</v>
      </c>
      <c r="L6394" s="787">
        <v>0</v>
      </c>
      <c r="M6394" s="787">
        <v>10</v>
      </c>
      <c r="N6394" s="787">
        <v>21.71</v>
      </c>
      <c r="O6394" s="788">
        <v>42082</v>
      </c>
    </row>
    <row r="6395" spans="1:15" x14ac:dyDescent="0.25">
      <c r="A6395" s="786" t="s">
        <v>11438</v>
      </c>
      <c r="B6395" s="787">
        <v>4</v>
      </c>
      <c r="C6395" s="787" t="s">
        <v>11439</v>
      </c>
      <c r="D6395" s="787">
        <v>0</v>
      </c>
      <c r="E6395" s="787">
        <v>0</v>
      </c>
      <c r="H6395" s="787">
        <v>1</v>
      </c>
      <c r="I6395" s="788">
        <v>42061</v>
      </c>
      <c r="L6395" s="787">
        <v>0</v>
      </c>
      <c r="M6395" s="787">
        <v>10</v>
      </c>
      <c r="N6395" s="787">
        <v>17.84</v>
      </c>
      <c r="O6395" s="788">
        <v>42082</v>
      </c>
    </row>
    <row r="6396" spans="1:15" x14ac:dyDescent="0.25">
      <c r="A6396" s="786" t="s">
        <v>11440</v>
      </c>
      <c r="B6396" s="787">
        <v>4</v>
      </c>
      <c r="C6396" s="787" t="s">
        <v>11441</v>
      </c>
      <c r="D6396" s="787">
        <v>0</v>
      </c>
      <c r="E6396" s="787">
        <v>0</v>
      </c>
      <c r="H6396" s="787">
        <v>1</v>
      </c>
      <c r="I6396" s="788">
        <v>42061</v>
      </c>
      <c r="L6396" s="787">
        <v>0</v>
      </c>
      <c r="M6396" s="787">
        <v>10</v>
      </c>
      <c r="N6396" s="787">
        <v>18.309999999999999</v>
      </c>
      <c r="O6396" s="788">
        <v>42082</v>
      </c>
    </row>
    <row r="6397" spans="1:15" x14ac:dyDescent="0.25">
      <c r="A6397" s="786" t="s">
        <v>11442</v>
      </c>
      <c r="B6397" s="787">
        <v>4</v>
      </c>
      <c r="C6397" s="787" t="s">
        <v>11443</v>
      </c>
      <c r="D6397" s="787">
        <v>0</v>
      </c>
      <c r="E6397" s="787">
        <v>0</v>
      </c>
      <c r="H6397" s="787">
        <v>1</v>
      </c>
      <c r="I6397" s="788">
        <v>39974</v>
      </c>
      <c r="L6397" s="787">
        <v>0</v>
      </c>
      <c r="M6397" s="787">
        <v>10</v>
      </c>
      <c r="N6397" s="787">
        <v>19.12</v>
      </c>
      <c r="O6397" s="788">
        <v>42082</v>
      </c>
    </row>
    <row r="6398" spans="1:15" x14ac:dyDescent="0.25">
      <c r="A6398" s="786" t="s">
        <v>11444</v>
      </c>
      <c r="B6398" s="787">
        <v>4</v>
      </c>
      <c r="C6398" s="787" t="s">
        <v>11445</v>
      </c>
      <c r="D6398" s="787">
        <v>0</v>
      </c>
      <c r="E6398" s="787">
        <v>0</v>
      </c>
      <c r="H6398" s="787">
        <v>1</v>
      </c>
      <c r="I6398" s="788">
        <v>39974</v>
      </c>
      <c r="L6398" s="787">
        <v>0</v>
      </c>
      <c r="M6398" s="787">
        <v>10</v>
      </c>
      <c r="N6398" s="787">
        <v>19.600000000000001</v>
      </c>
      <c r="O6398" s="788">
        <v>42082</v>
      </c>
    </row>
    <row r="6399" spans="1:15" x14ac:dyDescent="0.25">
      <c r="A6399" s="786" t="s">
        <v>11446</v>
      </c>
      <c r="B6399" s="787">
        <v>4</v>
      </c>
      <c r="C6399" s="787" t="s">
        <v>11447</v>
      </c>
      <c r="D6399" s="787">
        <v>0</v>
      </c>
      <c r="E6399" s="787">
        <v>0</v>
      </c>
      <c r="H6399" s="787">
        <v>1</v>
      </c>
      <c r="I6399" s="788">
        <v>41599</v>
      </c>
      <c r="J6399" s="788">
        <v>41621</v>
      </c>
      <c r="K6399" s="788">
        <v>41624</v>
      </c>
      <c r="L6399" s="787">
        <v>14</v>
      </c>
      <c r="M6399" s="787">
        <v>10</v>
      </c>
      <c r="N6399" s="787">
        <v>13.33</v>
      </c>
      <c r="O6399" s="788">
        <v>42082</v>
      </c>
    </row>
    <row r="6400" spans="1:15" x14ac:dyDescent="0.25">
      <c r="A6400" s="786" t="s">
        <v>11448</v>
      </c>
      <c r="B6400" s="787">
        <v>4</v>
      </c>
      <c r="C6400" s="787" t="s">
        <v>11449</v>
      </c>
      <c r="D6400" s="787">
        <v>0</v>
      </c>
      <c r="E6400" s="787">
        <v>0</v>
      </c>
      <c r="H6400" s="787">
        <v>1</v>
      </c>
      <c r="I6400" s="788">
        <v>41836</v>
      </c>
      <c r="J6400" s="788">
        <v>41621</v>
      </c>
      <c r="K6400" s="788">
        <v>41624</v>
      </c>
      <c r="L6400" s="787">
        <v>15</v>
      </c>
      <c r="M6400" s="787">
        <v>10</v>
      </c>
      <c r="N6400" s="787">
        <v>13.61</v>
      </c>
      <c r="O6400" s="788">
        <v>42082</v>
      </c>
    </row>
    <row r="6401" spans="1:15" x14ac:dyDescent="0.25">
      <c r="A6401" s="786" t="s">
        <v>11450</v>
      </c>
      <c r="B6401" s="787">
        <v>4</v>
      </c>
      <c r="C6401" s="787" t="s">
        <v>11451</v>
      </c>
      <c r="D6401" s="787">
        <v>0</v>
      </c>
      <c r="E6401" s="787">
        <v>0</v>
      </c>
      <c r="H6401" s="787">
        <v>1</v>
      </c>
      <c r="I6401" s="788">
        <v>41950</v>
      </c>
      <c r="J6401" s="788">
        <v>41621</v>
      </c>
      <c r="K6401" s="788">
        <v>41624</v>
      </c>
      <c r="L6401" s="787">
        <v>16</v>
      </c>
      <c r="M6401" s="787">
        <v>10</v>
      </c>
      <c r="N6401" s="787">
        <v>14.81</v>
      </c>
      <c r="O6401" s="788">
        <v>42082</v>
      </c>
    </row>
    <row r="6402" spans="1:15" x14ac:dyDescent="0.25">
      <c r="A6402" s="786" t="s">
        <v>11452</v>
      </c>
      <c r="B6402" s="787">
        <v>4</v>
      </c>
      <c r="C6402" s="787" t="s">
        <v>11453</v>
      </c>
      <c r="D6402" s="787">
        <v>0</v>
      </c>
      <c r="E6402" s="787">
        <v>0</v>
      </c>
      <c r="H6402" s="787">
        <v>1</v>
      </c>
      <c r="I6402" s="788">
        <v>42061</v>
      </c>
      <c r="L6402" s="787">
        <v>0</v>
      </c>
      <c r="M6402" s="787">
        <v>10</v>
      </c>
      <c r="N6402" s="787">
        <v>15.08</v>
      </c>
      <c r="O6402" s="788">
        <v>42082</v>
      </c>
    </row>
    <row r="6403" spans="1:15" x14ac:dyDescent="0.25">
      <c r="A6403" s="786" t="s">
        <v>11454</v>
      </c>
      <c r="B6403" s="787">
        <v>4</v>
      </c>
      <c r="C6403" s="787" t="s">
        <v>11455</v>
      </c>
      <c r="D6403" s="787">
        <v>0</v>
      </c>
      <c r="E6403" s="787">
        <v>0</v>
      </c>
      <c r="H6403" s="787">
        <v>1</v>
      </c>
      <c r="I6403" s="788">
        <v>42061</v>
      </c>
      <c r="L6403" s="787">
        <v>0</v>
      </c>
      <c r="M6403" s="787">
        <v>10</v>
      </c>
      <c r="N6403" s="787">
        <v>12.85</v>
      </c>
      <c r="O6403" s="788">
        <v>42082</v>
      </c>
    </row>
    <row r="6404" spans="1:15" x14ac:dyDescent="0.25">
      <c r="A6404" s="786" t="s">
        <v>11456</v>
      </c>
      <c r="B6404" s="787">
        <v>4</v>
      </c>
      <c r="C6404" s="787" t="s">
        <v>11457</v>
      </c>
      <c r="D6404" s="787">
        <v>0</v>
      </c>
      <c r="E6404" s="787">
        <v>0</v>
      </c>
      <c r="H6404" s="787">
        <v>1</v>
      </c>
      <c r="I6404" s="788">
        <v>42061</v>
      </c>
      <c r="L6404" s="787">
        <v>0</v>
      </c>
      <c r="M6404" s="787">
        <v>10</v>
      </c>
      <c r="N6404" s="787">
        <v>13.12</v>
      </c>
      <c r="O6404" s="788">
        <v>42082</v>
      </c>
    </row>
    <row r="6405" spans="1:15" x14ac:dyDescent="0.25">
      <c r="A6405" s="786" t="s">
        <v>11458</v>
      </c>
      <c r="B6405" s="787">
        <v>4</v>
      </c>
      <c r="C6405" s="787" t="s">
        <v>11459</v>
      </c>
      <c r="D6405" s="787">
        <v>0</v>
      </c>
      <c r="E6405" s="787">
        <v>0</v>
      </c>
      <c r="H6405" s="787">
        <v>1</v>
      </c>
      <c r="I6405" s="788">
        <v>39974</v>
      </c>
      <c r="L6405" s="787">
        <v>0</v>
      </c>
      <c r="M6405" s="787">
        <v>10</v>
      </c>
      <c r="N6405" s="787">
        <v>13.59</v>
      </c>
      <c r="O6405" s="788">
        <v>42082</v>
      </c>
    </row>
    <row r="6406" spans="1:15" x14ac:dyDescent="0.25">
      <c r="A6406" s="786" t="s">
        <v>11460</v>
      </c>
      <c r="B6406" s="787">
        <v>4</v>
      </c>
      <c r="C6406" s="787" t="s">
        <v>11461</v>
      </c>
      <c r="D6406" s="787">
        <v>0</v>
      </c>
      <c r="E6406" s="787">
        <v>0</v>
      </c>
      <c r="H6406" s="787">
        <v>1</v>
      </c>
      <c r="I6406" s="788">
        <v>39974</v>
      </c>
      <c r="L6406" s="787">
        <v>0</v>
      </c>
      <c r="M6406" s="787">
        <v>10</v>
      </c>
      <c r="N6406" s="787">
        <v>13.87</v>
      </c>
      <c r="O6406" s="788">
        <v>42082</v>
      </c>
    </row>
    <row r="6407" spans="1:15" x14ac:dyDescent="0.25">
      <c r="A6407" s="786" t="s">
        <v>11462</v>
      </c>
      <c r="B6407" s="787">
        <v>4</v>
      </c>
      <c r="C6407" s="787" t="s">
        <v>11463</v>
      </c>
      <c r="D6407" s="787">
        <v>0.36</v>
      </c>
      <c r="E6407" s="787">
        <v>0.36</v>
      </c>
      <c r="F6407" s="788">
        <v>39975</v>
      </c>
      <c r="G6407" s="788">
        <v>41943</v>
      </c>
      <c r="H6407" s="787">
        <v>1</v>
      </c>
      <c r="I6407" s="788">
        <v>42061</v>
      </c>
      <c r="J6407" s="788">
        <v>42026</v>
      </c>
      <c r="L6407" s="787">
        <v>0.72</v>
      </c>
      <c r="M6407" s="787">
        <v>10</v>
      </c>
      <c r="N6407" s="787">
        <v>0.85</v>
      </c>
      <c r="O6407" s="788">
        <v>42082</v>
      </c>
    </row>
    <row r="6408" spans="1:15" x14ac:dyDescent="0.25">
      <c r="A6408" s="786" t="s">
        <v>11464</v>
      </c>
      <c r="B6408" s="787">
        <v>4</v>
      </c>
      <c r="C6408" s="787" t="s">
        <v>11064</v>
      </c>
      <c r="D6408" s="787">
        <v>0.21</v>
      </c>
      <c r="E6408" s="787">
        <v>1.06</v>
      </c>
      <c r="F6408" s="788">
        <v>39975</v>
      </c>
      <c r="G6408" s="788">
        <v>42159</v>
      </c>
      <c r="H6408" s="787">
        <v>1</v>
      </c>
      <c r="I6408" s="788">
        <v>42166</v>
      </c>
      <c r="J6408" s="788">
        <v>42159</v>
      </c>
      <c r="K6408" s="788">
        <v>41358</v>
      </c>
      <c r="L6408" s="787">
        <v>0.47</v>
      </c>
      <c r="M6408" s="787">
        <v>10</v>
      </c>
      <c r="N6408" s="787">
        <v>1.29</v>
      </c>
      <c r="O6408" s="788">
        <v>42146</v>
      </c>
    </row>
    <row r="6409" spans="1:15" x14ac:dyDescent="0.25">
      <c r="A6409" s="786" t="s">
        <v>11465</v>
      </c>
      <c r="B6409" s="787">
        <v>4</v>
      </c>
      <c r="C6409" s="787" t="s">
        <v>11466</v>
      </c>
      <c r="D6409" s="787">
        <v>0</v>
      </c>
      <c r="E6409" s="787">
        <v>0</v>
      </c>
      <c r="H6409" s="787">
        <v>1</v>
      </c>
      <c r="K6409" s="788">
        <v>41471</v>
      </c>
      <c r="L6409" s="787">
        <v>12.02</v>
      </c>
      <c r="M6409" s="787">
        <v>10</v>
      </c>
      <c r="N6409" s="787">
        <v>11.66</v>
      </c>
      <c r="O6409" s="788">
        <v>42163</v>
      </c>
    </row>
    <row r="6410" spans="1:15" x14ac:dyDescent="0.25">
      <c r="A6410" s="786" t="s">
        <v>11467</v>
      </c>
      <c r="B6410" s="787">
        <v>4</v>
      </c>
      <c r="C6410" s="787" t="s">
        <v>11468</v>
      </c>
      <c r="D6410" s="787">
        <v>0</v>
      </c>
      <c r="E6410" s="787">
        <v>0</v>
      </c>
      <c r="H6410" s="787">
        <v>1</v>
      </c>
      <c r="K6410" s="788">
        <v>41415</v>
      </c>
      <c r="L6410" s="787">
        <v>0.01</v>
      </c>
      <c r="M6410" s="787">
        <v>10</v>
      </c>
      <c r="N6410" s="787">
        <v>11.08</v>
      </c>
      <c r="O6410" s="788">
        <v>42163</v>
      </c>
    </row>
    <row r="6411" spans="1:15" x14ac:dyDescent="0.25">
      <c r="A6411" s="786" t="s">
        <v>11469</v>
      </c>
      <c r="B6411" s="787">
        <v>4</v>
      </c>
      <c r="C6411" s="787" t="s">
        <v>11470</v>
      </c>
      <c r="D6411" s="787">
        <v>0</v>
      </c>
      <c r="E6411" s="787">
        <v>0</v>
      </c>
      <c r="H6411" s="787">
        <v>1</v>
      </c>
      <c r="I6411" s="788">
        <v>41991</v>
      </c>
      <c r="K6411" s="788">
        <v>41415</v>
      </c>
      <c r="L6411" s="787">
        <v>0.01</v>
      </c>
      <c r="M6411" s="787">
        <v>10</v>
      </c>
      <c r="N6411" s="787">
        <v>11.83</v>
      </c>
      <c r="O6411" s="788">
        <v>42121</v>
      </c>
    </row>
    <row r="6412" spans="1:15" x14ac:dyDescent="0.25">
      <c r="A6412" s="786" t="s">
        <v>11471</v>
      </c>
      <c r="B6412" s="787">
        <v>4</v>
      </c>
      <c r="C6412" s="787" t="s">
        <v>11472</v>
      </c>
      <c r="D6412" s="787">
        <v>0</v>
      </c>
      <c r="E6412" s="787">
        <v>0</v>
      </c>
      <c r="H6412" s="787">
        <v>1</v>
      </c>
      <c r="K6412" s="788">
        <v>41415</v>
      </c>
      <c r="L6412" s="787">
        <v>0.01</v>
      </c>
      <c r="M6412" s="787">
        <v>10</v>
      </c>
      <c r="N6412" s="787">
        <v>12.21</v>
      </c>
      <c r="O6412" s="788">
        <v>42121</v>
      </c>
    </row>
    <row r="6413" spans="1:15" x14ac:dyDescent="0.25">
      <c r="A6413" s="786" t="s">
        <v>11473</v>
      </c>
      <c r="B6413" s="787">
        <v>4</v>
      </c>
      <c r="C6413" s="787" t="s">
        <v>11474</v>
      </c>
      <c r="D6413" s="787">
        <v>0</v>
      </c>
      <c r="E6413" s="787">
        <v>0</v>
      </c>
      <c r="G6413" s="788">
        <v>41982</v>
      </c>
      <c r="H6413" s="787">
        <v>1</v>
      </c>
      <c r="I6413" s="788">
        <v>41982</v>
      </c>
      <c r="J6413" s="788">
        <v>41982</v>
      </c>
      <c r="K6413" s="788">
        <v>41415</v>
      </c>
      <c r="L6413" s="787">
        <v>0.01</v>
      </c>
      <c r="M6413" s="787">
        <v>10</v>
      </c>
      <c r="N6413" s="787">
        <v>10.029999999999999</v>
      </c>
      <c r="O6413" s="788">
        <v>42163</v>
      </c>
    </row>
    <row r="6414" spans="1:15" x14ac:dyDescent="0.25">
      <c r="A6414" s="786" t="s">
        <v>11475</v>
      </c>
      <c r="B6414" s="787">
        <v>4</v>
      </c>
      <c r="C6414" s="787" t="s">
        <v>11476</v>
      </c>
      <c r="D6414" s="787">
        <v>0</v>
      </c>
      <c r="E6414" s="787">
        <v>0</v>
      </c>
      <c r="G6414" s="788">
        <v>41982</v>
      </c>
      <c r="H6414" s="787">
        <v>1</v>
      </c>
      <c r="I6414" s="788">
        <v>41982</v>
      </c>
      <c r="J6414" s="788">
        <v>41982</v>
      </c>
      <c r="K6414" s="788">
        <v>41415</v>
      </c>
      <c r="L6414" s="787">
        <v>0.01</v>
      </c>
      <c r="M6414" s="787">
        <v>10</v>
      </c>
      <c r="N6414" s="787">
        <v>10.4</v>
      </c>
      <c r="O6414" s="788">
        <v>42163</v>
      </c>
    </row>
    <row r="6415" spans="1:15" x14ac:dyDescent="0.25">
      <c r="A6415" s="786" t="s">
        <v>11477</v>
      </c>
      <c r="B6415" s="787">
        <v>4</v>
      </c>
      <c r="C6415" s="787" t="s">
        <v>11478</v>
      </c>
      <c r="D6415" s="787">
        <v>4.09</v>
      </c>
      <c r="E6415" s="787">
        <v>4.3</v>
      </c>
      <c r="F6415" s="788">
        <v>41261</v>
      </c>
      <c r="G6415" s="788">
        <v>42158</v>
      </c>
      <c r="H6415" s="787">
        <v>1</v>
      </c>
      <c r="I6415" s="788">
        <v>42163</v>
      </c>
      <c r="J6415" s="788">
        <v>42158</v>
      </c>
      <c r="K6415" s="788">
        <v>40597</v>
      </c>
      <c r="L6415" s="787">
        <v>4.3</v>
      </c>
      <c r="M6415" s="787">
        <v>20</v>
      </c>
      <c r="N6415" s="787">
        <v>4.62</v>
      </c>
      <c r="O6415" s="788">
        <v>42146</v>
      </c>
    </row>
    <row r="6416" spans="1:15" x14ac:dyDescent="0.25">
      <c r="A6416" s="786" t="s">
        <v>11479</v>
      </c>
      <c r="B6416" s="787">
        <v>4</v>
      </c>
      <c r="C6416" s="787" t="s">
        <v>11480</v>
      </c>
      <c r="D6416" s="787">
        <v>1.17</v>
      </c>
      <c r="E6416" s="787">
        <v>1.1599999999999999</v>
      </c>
      <c r="F6416" s="788">
        <v>39101</v>
      </c>
      <c r="G6416" s="788">
        <v>39101</v>
      </c>
      <c r="H6416" s="787">
        <v>1</v>
      </c>
      <c r="I6416" s="788">
        <v>39134</v>
      </c>
      <c r="J6416" s="788">
        <v>39149</v>
      </c>
      <c r="L6416" s="787">
        <v>2.11</v>
      </c>
      <c r="M6416" s="787">
        <v>10</v>
      </c>
      <c r="N6416" s="787">
        <v>1.51</v>
      </c>
      <c r="O6416" s="788">
        <v>41858</v>
      </c>
    </row>
    <row r="6417" spans="1:15" x14ac:dyDescent="0.25">
      <c r="A6417" s="786" t="s">
        <v>11481</v>
      </c>
      <c r="B6417" s="787">
        <v>4</v>
      </c>
      <c r="C6417" s="787" t="s">
        <v>11482</v>
      </c>
      <c r="D6417" s="787">
        <v>1.34</v>
      </c>
      <c r="E6417" s="787">
        <v>1.34</v>
      </c>
      <c r="F6417" s="788">
        <v>39101</v>
      </c>
      <c r="G6417" s="788">
        <v>39101</v>
      </c>
      <c r="H6417" s="787">
        <v>1</v>
      </c>
      <c r="I6417" s="788">
        <v>39134</v>
      </c>
      <c r="J6417" s="788">
        <v>39149</v>
      </c>
      <c r="L6417" s="787">
        <v>1.59</v>
      </c>
      <c r="M6417" s="787">
        <v>10</v>
      </c>
      <c r="N6417" s="787">
        <v>1.96</v>
      </c>
      <c r="O6417" s="788">
        <v>41858</v>
      </c>
    </row>
    <row r="6418" spans="1:15" x14ac:dyDescent="0.25">
      <c r="A6418" s="786" t="s">
        <v>11483</v>
      </c>
      <c r="B6418" s="787">
        <v>4</v>
      </c>
      <c r="C6418" s="787" t="s">
        <v>11484</v>
      </c>
      <c r="D6418" s="787">
        <v>0</v>
      </c>
      <c r="E6418" s="787">
        <v>0</v>
      </c>
      <c r="H6418" s="787">
        <v>1</v>
      </c>
      <c r="L6418" s="787">
        <v>0</v>
      </c>
      <c r="M6418" s="787">
        <v>10</v>
      </c>
      <c r="N6418" s="787">
        <v>0</v>
      </c>
      <c r="O6418" s="788">
        <v>40824</v>
      </c>
    </row>
    <row r="6419" spans="1:15" x14ac:dyDescent="0.25">
      <c r="A6419" s="786" t="s">
        <v>11485</v>
      </c>
      <c r="B6419" s="787">
        <v>4</v>
      </c>
      <c r="C6419" s="787" t="s">
        <v>11486</v>
      </c>
      <c r="D6419" s="787">
        <v>0</v>
      </c>
      <c r="E6419" s="787">
        <v>0</v>
      </c>
      <c r="H6419" s="787">
        <v>1</v>
      </c>
      <c r="L6419" s="787">
        <v>0</v>
      </c>
      <c r="M6419" s="787">
        <v>10</v>
      </c>
      <c r="N6419" s="787">
        <v>0</v>
      </c>
      <c r="O6419" s="788">
        <v>40824</v>
      </c>
    </row>
    <row r="6420" spans="1:15" x14ac:dyDescent="0.25">
      <c r="A6420" s="786" t="s">
        <v>11487</v>
      </c>
      <c r="B6420" s="787">
        <v>4</v>
      </c>
      <c r="C6420" s="787" t="s">
        <v>11488</v>
      </c>
      <c r="D6420" s="787">
        <v>0</v>
      </c>
      <c r="E6420" s="787">
        <v>0</v>
      </c>
      <c r="H6420" s="787">
        <v>1</v>
      </c>
      <c r="L6420" s="787">
        <v>0</v>
      </c>
      <c r="M6420" s="787">
        <v>10</v>
      </c>
      <c r="N6420" s="787">
        <v>0</v>
      </c>
      <c r="O6420" s="788">
        <v>40824</v>
      </c>
    </row>
    <row r="6421" spans="1:15" x14ac:dyDescent="0.25">
      <c r="A6421" s="786" t="s">
        <v>11489</v>
      </c>
      <c r="B6421" s="787">
        <v>4</v>
      </c>
      <c r="C6421" s="787" t="s">
        <v>11490</v>
      </c>
      <c r="D6421" s="787">
        <v>0</v>
      </c>
      <c r="E6421" s="787">
        <v>0</v>
      </c>
      <c r="H6421" s="787">
        <v>1</v>
      </c>
      <c r="L6421" s="787">
        <v>0</v>
      </c>
      <c r="M6421" s="787">
        <v>10</v>
      </c>
      <c r="N6421" s="787">
        <v>0</v>
      </c>
      <c r="O6421" s="788">
        <v>40824</v>
      </c>
    </row>
    <row r="6422" spans="1:15" x14ac:dyDescent="0.25">
      <c r="A6422" s="786" t="s">
        <v>11491</v>
      </c>
      <c r="B6422" s="787">
        <v>4</v>
      </c>
      <c r="C6422" s="787" t="s">
        <v>11492</v>
      </c>
      <c r="D6422" s="787">
        <v>0</v>
      </c>
      <c r="E6422" s="787">
        <v>0</v>
      </c>
      <c r="H6422" s="787">
        <v>1</v>
      </c>
      <c r="L6422" s="787">
        <v>0</v>
      </c>
      <c r="M6422" s="787">
        <v>10</v>
      </c>
      <c r="N6422" s="787">
        <v>0</v>
      </c>
      <c r="O6422" s="788">
        <v>40824</v>
      </c>
    </row>
    <row r="6423" spans="1:15" x14ac:dyDescent="0.25">
      <c r="A6423" s="786" t="s">
        <v>11493</v>
      </c>
      <c r="B6423" s="787">
        <v>4</v>
      </c>
      <c r="C6423" s="787" t="s">
        <v>11494</v>
      </c>
      <c r="D6423" s="787">
        <v>0</v>
      </c>
      <c r="E6423" s="787">
        <v>0</v>
      </c>
      <c r="H6423" s="787">
        <v>1</v>
      </c>
      <c r="I6423" s="788">
        <v>40050</v>
      </c>
      <c r="L6423" s="787">
        <v>0</v>
      </c>
      <c r="M6423" s="787">
        <v>10</v>
      </c>
      <c r="N6423" s="787">
        <v>25.12</v>
      </c>
      <c r="O6423" s="788">
        <v>42156</v>
      </c>
    </row>
    <row r="6424" spans="1:15" x14ac:dyDescent="0.25">
      <c r="A6424" s="786" t="s">
        <v>11495</v>
      </c>
      <c r="B6424" s="787">
        <v>4</v>
      </c>
      <c r="C6424" s="787" t="s">
        <v>11496</v>
      </c>
      <c r="D6424" s="787">
        <v>0</v>
      </c>
      <c r="E6424" s="787">
        <v>0</v>
      </c>
      <c r="H6424" s="787">
        <v>1</v>
      </c>
      <c r="I6424" s="788">
        <v>40050</v>
      </c>
      <c r="L6424" s="787">
        <v>0</v>
      </c>
      <c r="M6424" s="787">
        <v>10</v>
      </c>
      <c r="N6424" s="787">
        <v>21.14</v>
      </c>
      <c r="O6424" s="788">
        <v>42156</v>
      </c>
    </row>
    <row r="6425" spans="1:15" x14ac:dyDescent="0.25">
      <c r="A6425" s="786" t="s">
        <v>11497</v>
      </c>
      <c r="B6425" s="787">
        <v>4</v>
      </c>
      <c r="C6425" s="787" t="s">
        <v>11498</v>
      </c>
      <c r="D6425" s="787">
        <v>0</v>
      </c>
      <c r="E6425" s="787">
        <v>0</v>
      </c>
      <c r="H6425" s="787">
        <v>1</v>
      </c>
      <c r="L6425" s="787">
        <v>0</v>
      </c>
      <c r="M6425" s="787">
        <v>10</v>
      </c>
      <c r="N6425" s="787">
        <v>21.14</v>
      </c>
      <c r="O6425" s="788">
        <v>42156</v>
      </c>
    </row>
    <row r="6426" spans="1:15" x14ac:dyDescent="0.25">
      <c r="A6426" s="786" t="s">
        <v>11499</v>
      </c>
      <c r="B6426" s="787">
        <v>4</v>
      </c>
      <c r="C6426" s="787" t="s">
        <v>11500</v>
      </c>
      <c r="D6426" s="787">
        <v>0</v>
      </c>
      <c r="E6426" s="787">
        <v>0</v>
      </c>
      <c r="H6426" s="787">
        <v>1</v>
      </c>
      <c r="I6426" s="788">
        <v>42144</v>
      </c>
      <c r="J6426" s="788">
        <v>41710</v>
      </c>
      <c r="K6426" s="788">
        <v>42150</v>
      </c>
      <c r="L6426" s="787">
        <v>8.5</v>
      </c>
      <c r="M6426" s="787">
        <v>10</v>
      </c>
      <c r="N6426" s="787">
        <v>8.48</v>
      </c>
      <c r="O6426" s="788">
        <v>42162</v>
      </c>
    </row>
    <row r="6427" spans="1:15" x14ac:dyDescent="0.25">
      <c r="A6427" s="786" t="s">
        <v>11501</v>
      </c>
      <c r="B6427" s="787">
        <v>4</v>
      </c>
      <c r="C6427" s="787" t="s">
        <v>11502</v>
      </c>
      <c r="D6427" s="787">
        <v>0</v>
      </c>
      <c r="E6427" s="787">
        <v>0</v>
      </c>
      <c r="H6427" s="787">
        <v>1</v>
      </c>
      <c r="I6427" s="788">
        <v>42144</v>
      </c>
      <c r="J6427" s="788">
        <v>41710</v>
      </c>
      <c r="K6427" s="788">
        <v>41710</v>
      </c>
      <c r="L6427" s="787">
        <v>20</v>
      </c>
      <c r="M6427" s="787">
        <v>10</v>
      </c>
      <c r="N6427" s="787">
        <v>20.62</v>
      </c>
      <c r="O6427" s="788">
        <v>42162</v>
      </c>
    </row>
    <row r="6428" spans="1:15" x14ac:dyDescent="0.25">
      <c r="A6428" s="786" t="s">
        <v>11503</v>
      </c>
      <c r="B6428" s="787">
        <v>4</v>
      </c>
      <c r="C6428" s="787" t="s">
        <v>11504</v>
      </c>
      <c r="D6428" s="787">
        <v>0</v>
      </c>
      <c r="E6428" s="787">
        <v>0</v>
      </c>
      <c r="H6428" s="787">
        <v>1</v>
      </c>
      <c r="I6428" s="788">
        <v>42144</v>
      </c>
      <c r="J6428" s="788">
        <v>41710</v>
      </c>
      <c r="K6428" s="788">
        <v>42150</v>
      </c>
      <c r="L6428" s="787">
        <v>9</v>
      </c>
      <c r="M6428" s="787">
        <v>10</v>
      </c>
      <c r="N6428" s="787">
        <v>8.48</v>
      </c>
      <c r="O6428" s="788">
        <v>42162</v>
      </c>
    </row>
    <row r="6429" spans="1:15" x14ac:dyDescent="0.25">
      <c r="A6429" s="786" t="s">
        <v>11505</v>
      </c>
      <c r="B6429" s="787">
        <v>4</v>
      </c>
      <c r="C6429" s="787" t="s">
        <v>11506</v>
      </c>
      <c r="D6429" s="787">
        <v>0</v>
      </c>
      <c r="E6429" s="787">
        <v>0</v>
      </c>
      <c r="H6429" s="787">
        <v>1</v>
      </c>
      <c r="I6429" s="788">
        <v>42144</v>
      </c>
      <c r="J6429" s="788">
        <v>41710</v>
      </c>
      <c r="K6429" s="788">
        <v>41710</v>
      </c>
      <c r="L6429" s="787">
        <v>20</v>
      </c>
      <c r="M6429" s="787">
        <v>10</v>
      </c>
      <c r="N6429" s="787">
        <v>20.62</v>
      </c>
      <c r="O6429" s="788">
        <v>42162</v>
      </c>
    </row>
    <row r="6430" spans="1:15" x14ac:dyDescent="0.25">
      <c r="A6430" s="786" t="s">
        <v>11507</v>
      </c>
      <c r="B6430" s="787">
        <v>4</v>
      </c>
      <c r="C6430" s="787" t="s">
        <v>11508</v>
      </c>
      <c r="D6430" s="787">
        <v>0</v>
      </c>
      <c r="E6430" s="787">
        <v>0</v>
      </c>
      <c r="H6430" s="787">
        <v>1</v>
      </c>
      <c r="L6430" s="787">
        <v>0</v>
      </c>
      <c r="M6430" s="787">
        <v>10</v>
      </c>
      <c r="N6430" s="787">
        <v>10.119999999999999</v>
      </c>
      <c r="O6430" s="788">
        <v>41858</v>
      </c>
    </row>
    <row r="6431" spans="1:15" x14ac:dyDescent="0.25">
      <c r="A6431" s="786" t="s">
        <v>11509</v>
      </c>
      <c r="B6431" s="787">
        <v>4</v>
      </c>
      <c r="C6431" s="787" t="s">
        <v>11510</v>
      </c>
      <c r="D6431" s="787">
        <v>0</v>
      </c>
      <c r="E6431" s="787">
        <v>0</v>
      </c>
      <c r="H6431" s="787">
        <v>1</v>
      </c>
      <c r="I6431" s="788">
        <v>40885</v>
      </c>
      <c r="L6431" s="787">
        <v>0</v>
      </c>
      <c r="M6431" s="787">
        <v>10</v>
      </c>
      <c r="N6431" s="787">
        <v>21.05</v>
      </c>
      <c r="O6431" s="788">
        <v>41858</v>
      </c>
    </row>
    <row r="6432" spans="1:15" x14ac:dyDescent="0.25">
      <c r="A6432" s="786" t="s">
        <v>11511</v>
      </c>
      <c r="B6432" s="787">
        <v>4</v>
      </c>
      <c r="C6432" s="787" t="s">
        <v>11512</v>
      </c>
      <c r="D6432" s="787">
        <v>0</v>
      </c>
      <c r="E6432" s="787">
        <v>0</v>
      </c>
      <c r="H6432" s="787">
        <v>1</v>
      </c>
      <c r="I6432" s="788">
        <v>40885</v>
      </c>
      <c r="L6432" s="787">
        <v>0</v>
      </c>
      <c r="M6432" s="787">
        <v>10</v>
      </c>
      <c r="N6432" s="787">
        <v>21.05</v>
      </c>
      <c r="O6432" s="788">
        <v>41858</v>
      </c>
    </row>
    <row r="6433" spans="1:15" x14ac:dyDescent="0.25">
      <c r="A6433" s="786" t="s">
        <v>11513</v>
      </c>
      <c r="B6433" s="787">
        <v>4</v>
      </c>
      <c r="C6433" s="787" t="s">
        <v>11514</v>
      </c>
      <c r="D6433" s="787">
        <v>0</v>
      </c>
      <c r="E6433" s="787">
        <v>0</v>
      </c>
      <c r="H6433" s="787">
        <v>1</v>
      </c>
      <c r="I6433" s="788">
        <v>40885</v>
      </c>
      <c r="L6433" s="787">
        <v>0</v>
      </c>
      <c r="M6433" s="787">
        <v>10</v>
      </c>
      <c r="N6433" s="787">
        <v>21.05</v>
      </c>
      <c r="O6433" s="788">
        <v>41858</v>
      </c>
    </row>
    <row r="6434" spans="1:15" x14ac:dyDescent="0.25">
      <c r="A6434" s="786" t="s">
        <v>11515</v>
      </c>
      <c r="B6434" s="787">
        <v>4</v>
      </c>
      <c r="C6434" s="787" t="s">
        <v>11516</v>
      </c>
      <c r="D6434" s="787">
        <v>0</v>
      </c>
      <c r="E6434" s="787">
        <v>0</v>
      </c>
      <c r="H6434" s="787">
        <v>1</v>
      </c>
      <c r="I6434" s="788">
        <v>40885</v>
      </c>
      <c r="L6434" s="787">
        <v>0</v>
      </c>
      <c r="M6434" s="787">
        <v>10</v>
      </c>
      <c r="N6434" s="787">
        <v>21.05</v>
      </c>
      <c r="O6434" s="788">
        <v>41858</v>
      </c>
    </row>
    <row r="6435" spans="1:15" x14ac:dyDescent="0.25">
      <c r="A6435" s="786" t="s">
        <v>11517</v>
      </c>
      <c r="B6435" s="787">
        <v>4</v>
      </c>
      <c r="C6435" s="787" t="s">
        <v>11518</v>
      </c>
      <c r="D6435" s="787">
        <v>0</v>
      </c>
      <c r="E6435" s="787">
        <v>0</v>
      </c>
      <c r="H6435" s="787">
        <v>1</v>
      </c>
      <c r="L6435" s="787">
        <v>0</v>
      </c>
      <c r="M6435" s="787">
        <v>10</v>
      </c>
      <c r="N6435" s="787">
        <v>25.12</v>
      </c>
      <c r="O6435" s="788">
        <v>42156</v>
      </c>
    </row>
    <row r="6436" spans="1:15" x14ac:dyDescent="0.25">
      <c r="A6436" s="786" t="s">
        <v>11519</v>
      </c>
      <c r="B6436" s="787">
        <v>4</v>
      </c>
      <c r="C6436" s="787" t="s">
        <v>11520</v>
      </c>
      <c r="D6436" s="787">
        <v>0</v>
      </c>
      <c r="E6436" s="787">
        <v>0</v>
      </c>
      <c r="H6436" s="787">
        <v>1</v>
      </c>
      <c r="L6436" s="787">
        <v>0</v>
      </c>
      <c r="M6436" s="787">
        <v>10</v>
      </c>
      <c r="N6436" s="787">
        <v>25.12</v>
      </c>
      <c r="O6436" s="788">
        <v>42156</v>
      </c>
    </row>
    <row r="6437" spans="1:15" x14ac:dyDescent="0.25">
      <c r="A6437" s="786" t="s">
        <v>11521</v>
      </c>
      <c r="B6437" s="787">
        <v>4</v>
      </c>
      <c r="C6437" s="787" t="s">
        <v>11522</v>
      </c>
      <c r="D6437" s="787">
        <v>0</v>
      </c>
      <c r="E6437" s="787">
        <v>0</v>
      </c>
      <c r="H6437" s="787">
        <v>1</v>
      </c>
      <c r="L6437" s="787">
        <v>0</v>
      </c>
      <c r="M6437" s="787">
        <v>10</v>
      </c>
      <c r="N6437" s="787">
        <v>21.14</v>
      </c>
      <c r="O6437" s="788">
        <v>42156</v>
      </c>
    </row>
    <row r="6438" spans="1:15" x14ac:dyDescent="0.25">
      <c r="A6438" s="786" t="s">
        <v>11523</v>
      </c>
      <c r="B6438" s="787">
        <v>4</v>
      </c>
      <c r="C6438" s="787" t="s">
        <v>11524</v>
      </c>
      <c r="D6438" s="787">
        <v>0</v>
      </c>
      <c r="E6438" s="787">
        <v>0</v>
      </c>
      <c r="H6438" s="787">
        <v>1</v>
      </c>
      <c r="L6438" s="787">
        <v>0</v>
      </c>
      <c r="M6438" s="787">
        <v>10</v>
      </c>
      <c r="N6438" s="787">
        <v>21.14</v>
      </c>
      <c r="O6438" s="788">
        <v>42156</v>
      </c>
    </row>
    <row r="6439" spans="1:15" x14ac:dyDescent="0.25">
      <c r="A6439" s="786" t="s">
        <v>11525</v>
      </c>
      <c r="B6439" s="787">
        <v>4</v>
      </c>
      <c r="C6439" s="787" t="s">
        <v>11526</v>
      </c>
      <c r="D6439" s="787">
        <v>7.48</v>
      </c>
      <c r="E6439" s="787">
        <v>17.53</v>
      </c>
      <c r="F6439" s="788">
        <v>41943</v>
      </c>
      <c r="G6439" s="788">
        <v>42164</v>
      </c>
      <c r="H6439" s="787">
        <v>1</v>
      </c>
      <c r="I6439" s="788">
        <v>42166</v>
      </c>
      <c r="J6439" s="788">
        <v>42164</v>
      </c>
      <c r="K6439" s="788">
        <v>41172</v>
      </c>
      <c r="L6439" s="787">
        <v>22.01</v>
      </c>
      <c r="M6439" s="787">
        <v>10</v>
      </c>
      <c r="N6439" s="787">
        <v>23.16</v>
      </c>
      <c r="O6439" s="788">
        <v>42146</v>
      </c>
    </row>
    <row r="6440" spans="1:15" x14ac:dyDescent="0.25">
      <c r="A6440" s="786" t="s">
        <v>11527</v>
      </c>
      <c r="B6440" s="787">
        <v>4</v>
      </c>
      <c r="C6440" s="787" t="s">
        <v>11528</v>
      </c>
      <c r="D6440" s="787">
        <v>0.12</v>
      </c>
      <c r="E6440" s="787">
        <v>0.54</v>
      </c>
      <c r="F6440" s="788">
        <v>41775</v>
      </c>
      <c r="G6440" s="788">
        <v>42146</v>
      </c>
      <c r="H6440" s="787">
        <v>1</v>
      </c>
      <c r="I6440" s="788">
        <v>42163</v>
      </c>
      <c r="J6440" s="788">
        <v>42166</v>
      </c>
      <c r="K6440" s="788">
        <v>41326</v>
      </c>
      <c r="L6440" s="787">
        <v>1.26</v>
      </c>
      <c r="M6440" s="787">
        <v>10</v>
      </c>
      <c r="N6440" s="787">
        <v>0.67</v>
      </c>
      <c r="O6440" s="788">
        <v>42146</v>
      </c>
    </row>
    <row r="6441" spans="1:15" x14ac:dyDescent="0.25">
      <c r="A6441" s="786" t="s">
        <v>11529</v>
      </c>
      <c r="B6441" s="787">
        <v>4</v>
      </c>
      <c r="C6441" s="787" t="s">
        <v>11530</v>
      </c>
      <c r="D6441" s="787">
        <v>0.28000000000000003</v>
      </c>
      <c r="E6441" s="787">
        <v>0.52</v>
      </c>
      <c r="F6441" s="788">
        <v>41906</v>
      </c>
      <c r="G6441" s="788">
        <v>42156</v>
      </c>
      <c r="H6441" s="787">
        <v>1</v>
      </c>
      <c r="I6441" s="788">
        <v>42163</v>
      </c>
      <c r="J6441" s="788">
        <v>42129</v>
      </c>
      <c r="K6441" s="788">
        <v>41197</v>
      </c>
      <c r="L6441" s="787">
        <v>0.44</v>
      </c>
      <c r="M6441" s="787">
        <v>10</v>
      </c>
      <c r="N6441" s="787">
        <v>1.08</v>
      </c>
      <c r="O6441" s="788">
        <v>42146</v>
      </c>
    </row>
    <row r="6442" spans="1:15" x14ac:dyDescent="0.25">
      <c r="A6442" s="786" t="s">
        <v>11531</v>
      </c>
      <c r="B6442" s="787">
        <v>4</v>
      </c>
      <c r="C6442" s="787" t="s">
        <v>11532</v>
      </c>
      <c r="D6442" s="787">
        <v>0.22</v>
      </c>
      <c r="E6442" s="787">
        <v>0.37</v>
      </c>
      <c r="F6442" s="788">
        <v>41209</v>
      </c>
      <c r="G6442" s="788">
        <v>42159</v>
      </c>
      <c r="H6442" s="787">
        <v>1</v>
      </c>
      <c r="I6442" s="788">
        <v>42160</v>
      </c>
      <c r="J6442" s="788">
        <v>42159</v>
      </c>
      <c r="K6442" s="788">
        <v>41254</v>
      </c>
      <c r="L6442" s="787">
        <v>0.1</v>
      </c>
      <c r="M6442" s="787">
        <v>10</v>
      </c>
      <c r="N6442" s="787">
        <v>1.08</v>
      </c>
      <c r="O6442" s="788">
        <v>42146</v>
      </c>
    </row>
    <row r="6443" spans="1:15" x14ac:dyDescent="0.25">
      <c r="A6443" s="786" t="s">
        <v>11533</v>
      </c>
      <c r="B6443" s="787">
        <v>4</v>
      </c>
      <c r="C6443" s="787" t="s">
        <v>11534</v>
      </c>
      <c r="D6443" s="787">
        <v>0.14000000000000001</v>
      </c>
      <c r="E6443" s="787">
        <v>0.93</v>
      </c>
      <c r="F6443" s="788">
        <v>39456</v>
      </c>
      <c r="G6443" s="788">
        <v>41278</v>
      </c>
      <c r="H6443" s="787">
        <v>1</v>
      </c>
      <c r="I6443" s="788">
        <v>41249</v>
      </c>
      <c r="J6443" s="788">
        <v>41248</v>
      </c>
      <c r="L6443" s="787">
        <v>0</v>
      </c>
      <c r="M6443" s="787">
        <v>10</v>
      </c>
      <c r="N6443" s="787">
        <v>0.37</v>
      </c>
      <c r="O6443" s="788">
        <v>42146</v>
      </c>
    </row>
    <row r="6444" spans="1:15" x14ac:dyDescent="0.25">
      <c r="A6444" s="786" t="s">
        <v>11535</v>
      </c>
      <c r="B6444" s="787">
        <v>4</v>
      </c>
      <c r="C6444" s="787" t="s">
        <v>11536</v>
      </c>
      <c r="D6444" s="787">
        <v>0.06</v>
      </c>
      <c r="E6444" s="787">
        <v>0.23</v>
      </c>
      <c r="F6444" s="788">
        <v>39456</v>
      </c>
      <c r="G6444" s="788">
        <v>42146</v>
      </c>
      <c r="H6444" s="787">
        <v>1</v>
      </c>
      <c r="I6444" s="788">
        <v>42160</v>
      </c>
      <c r="J6444" s="788">
        <v>42114</v>
      </c>
      <c r="K6444" s="788">
        <v>41172</v>
      </c>
      <c r="L6444" s="787">
        <v>0.28000000000000003</v>
      </c>
      <c r="M6444" s="787">
        <v>10</v>
      </c>
      <c r="N6444" s="787">
        <v>0.52</v>
      </c>
      <c r="O6444" s="788">
        <v>42146</v>
      </c>
    </row>
    <row r="6445" spans="1:15" x14ac:dyDescent="0.25">
      <c r="A6445" s="786" t="s">
        <v>11537</v>
      </c>
      <c r="B6445" s="787">
        <v>4</v>
      </c>
      <c r="C6445" s="787" t="s">
        <v>11538</v>
      </c>
      <c r="D6445" s="787">
        <v>0.06</v>
      </c>
      <c r="E6445" s="787">
        <v>0.67</v>
      </c>
      <c r="F6445" s="788">
        <v>41813</v>
      </c>
      <c r="G6445" s="788">
        <v>42159</v>
      </c>
      <c r="H6445" s="787">
        <v>1</v>
      </c>
      <c r="I6445" s="788">
        <v>42160</v>
      </c>
      <c r="J6445" s="788">
        <v>42159</v>
      </c>
      <c r="K6445" s="788">
        <v>41172</v>
      </c>
      <c r="L6445" s="787">
        <v>0.36</v>
      </c>
      <c r="M6445" s="787">
        <v>10</v>
      </c>
      <c r="N6445" s="787">
        <v>0.52</v>
      </c>
      <c r="O6445" s="788">
        <v>42146</v>
      </c>
    </row>
    <row r="6446" spans="1:15" x14ac:dyDescent="0.25">
      <c r="A6446" s="786" t="s">
        <v>11539</v>
      </c>
      <c r="B6446" s="787">
        <v>4</v>
      </c>
      <c r="C6446" s="787" t="s">
        <v>11540</v>
      </c>
      <c r="D6446" s="787">
        <v>0</v>
      </c>
      <c r="E6446" s="787">
        <v>0</v>
      </c>
      <c r="H6446" s="787">
        <v>1</v>
      </c>
      <c r="L6446" s="787">
        <v>0</v>
      </c>
      <c r="M6446" s="787">
        <v>10</v>
      </c>
      <c r="N6446" s="787">
        <v>0</v>
      </c>
      <c r="O6446" s="788">
        <v>40824</v>
      </c>
    </row>
    <row r="6447" spans="1:15" x14ac:dyDescent="0.25">
      <c r="A6447" s="786" t="s">
        <v>11541</v>
      </c>
      <c r="B6447" s="787">
        <v>4</v>
      </c>
      <c r="C6447" s="787" t="s">
        <v>11542</v>
      </c>
      <c r="D6447" s="787">
        <v>0</v>
      </c>
      <c r="E6447" s="787">
        <v>0</v>
      </c>
      <c r="H6447" s="787">
        <v>1</v>
      </c>
      <c r="L6447" s="787">
        <v>0</v>
      </c>
      <c r="M6447" s="787">
        <v>10</v>
      </c>
      <c r="N6447" s="787">
        <v>0</v>
      </c>
      <c r="O6447" s="788">
        <v>40824</v>
      </c>
    </row>
    <row r="6448" spans="1:15" x14ac:dyDescent="0.25">
      <c r="A6448" s="786" t="s">
        <v>11543</v>
      </c>
      <c r="B6448" s="787">
        <v>4</v>
      </c>
      <c r="C6448" s="787" t="s">
        <v>11544</v>
      </c>
      <c r="D6448" s="787">
        <v>0</v>
      </c>
      <c r="E6448" s="787">
        <v>0</v>
      </c>
      <c r="H6448" s="787">
        <v>1</v>
      </c>
      <c r="L6448" s="787">
        <v>0</v>
      </c>
      <c r="M6448" s="787">
        <v>10</v>
      </c>
      <c r="N6448" s="787">
        <v>0</v>
      </c>
      <c r="O6448" s="788">
        <v>40824</v>
      </c>
    </row>
    <row r="6449" spans="1:15" x14ac:dyDescent="0.25">
      <c r="A6449" s="786" t="s">
        <v>11545</v>
      </c>
      <c r="B6449" s="787">
        <v>4</v>
      </c>
      <c r="C6449" s="787" t="s">
        <v>11546</v>
      </c>
      <c r="D6449" s="787">
        <v>0</v>
      </c>
      <c r="E6449" s="787">
        <v>0</v>
      </c>
      <c r="H6449" s="787">
        <v>1</v>
      </c>
      <c r="L6449" s="787">
        <v>0</v>
      </c>
      <c r="M6449" s="787">
        <v>10</v>
      </c>
      <c r="N6449" s="787">
        <v>0</v>
      </c>
      <c r="O6449" s="788">
        <v>40824</v>
      </c>
    </row>
    <row r="6450" spans="1:15" x14ac:dyDescent="0.25">
      <c r="A6450" s="786" t="s">
        <v>11547</v>
      </c>
      <c r="B6450" s="787">
        <v>4</v>
      </c>
      <c r="C6450" s="787" t="s">
        <v>11548</v>
      </c>
      <c r="D6450" s="787">
        <v>0.04</v>
      </c>
      <c r="E6450" s="787">
        <v>2.67</v>
      </c>
      <c r="F6450" s="788">
        <v>39456</v>
      </c>
      <c r="G6450" s="788">
        <v>42013</v>
      </c>
      <c r="H6450" s="787">
        <v>1</v>
      </c>
      <c r="I6450" s="788">
        <v>42152</v>
      </c>
      <c r="J6450" s="788">
        <v>41808</v>
      </c>
      <c r="K6450" s="788">
        <v>41347</v>
      </c>
      <c r="L6450" s="787">
        <v>1.1499999999999999</v>
      </c>
      <c r="M6450" s="787">
        <v>10</v>
      </c>
      <c r="N6450" s="787">
        <v>0.97</v>
      </c>
      <c r="O6450" s="788">
        <v>42146</v>
      </c>
    </row>
    <row r="6451" spans="1:15" x14ac:dyDescent="0.25">
      <c r="A6451" s="786" t="s">
        <v>11549</v>
      </c>
      <c r="B6451" s="787">
        <v>4</v>
      </c>
      <c r="C6451" s="787" t="s">
        <v>11550</v>
      </c>
      <c r="D6451" s="787">
        <v>4.62</v>
      </c>
      <c r="E6451" s="787">
        <v>17.82</v>
      </c>
      <c r="F6451" s="788">
        <v>39945</v>
      </c>
      <c r="G6451" s="788">
        <v>42157</v>
      </c>
      <c r="H6451" s="787">
        <v>1</v>
      </c>
      <c r="I6451" s="788">
        <v>42151</v>
      </c>
      <c r="J6451" s="788">
        <v>42157</v>
      </c>
      <c r="K6451" s="788">
        <v>41577</v>
      </c>
      <c r="L6451" s="787">
        <v>17.440000000000001</v>
      </c>
      <c r="M6451" s="787">
        <v>10</v>
      </c>
      <c r="N6451" s="787">
        <v>18.739999999999998</v>
      </c>
      <c r="O6451" s="788">
        <v>42047</v>
      </c>
    </row>
    <row r="6452" spans="1:15" x14ac:dyDescent="0.25">
      <c r="A6452" s="786" t="s">
        <v>11551</v>
      </c>
      <c r="B6452" s="787">
        <v>4</v>
      </c>
      <c r="C6452" s="787" t="s">
        <v>11552</v>
      </c>
      <c r="D6452" s="787">
        <v>1.63</v>
      </c>
      <c r="E6452" s="787">
        <v>7.71</v>
      </c>
      <c r="F6452" s="788">
        <v>41218</v>
      </c>
      <c r="G6452" s="788">
        <v>42152</v>
      </c>
      <c r="H6452" s="787">
        <v>1</v>
      </c>
      <c r="I6452" s="788">
        <v>42157</v>
      </c>
      <c r="J6452" s="788">
        <v>42152</v>
      </c>
      <c r="K6452" s="788">
        <v>41652</v>
      </c>
      <c r="L6452" s="787">
        <v>3.76</v>
      </c>
      <c r="M6452" s="787">
        <v>10</v>
      </c>
      <c r="N6452" s="787">
        <v>11.71</v>
      </c>
      <c r="O6452" s="788">
        <v>42047</v>
      </c>
    </row>
    <row r="6453" spans="1:15" x14ac:dyDescent="0.25">
      <c r="A6453" s="786" t="s">
        <v>11553</v>
      </c>
      <c r="B6453" s="787">
        <v>4</v>
      </c>
      <c r="C6453" s="787" t="s">
        <v>11554</v>
      </c>
      <c r="D6453" s="787">
        <v>0.28999999999999998</v>
      </c>
      <c r="E6453" s="787">
        <v>2.29</v>
      </c>
      <c r="F6453" s="788">
        <v>39456</v>
      </c>
      <c r="G6453" s="788">
        <v>42044</v>
      </c>
      <c r="H6453" s="787">
        <v>1</v>
      </c>
      <c r="I6453" s="788">
        <v>42157</v>
      </c>
      <c r="J6453" s="788">
        <v>42016</v>
      </c>
      <c r="L6453" s="787">
        <v>0</v>
      </c>
      <c r="M6453" s="787">
        <v>10</v>
      </c>
      <c r="N6453" s="787">
        <v>0.4</v>
      </c>
      <c r="O6453" s="788">
        <v>42046</v>
      </c>
    </row>
    <row r="6454" spans="1:15" x14ac:dyDescent="0.25">
      <c r="A6454" s="786" t="s">
        <v>11555</v>
      </c>
      <c r="B6454" s="787">
        <v>4</v>
      </c>
      <c r="C6454" s="787" t="s">
        <v>11556</v>
      </c>
      <c r="D6454" s="787">
        <v>0</v>
      </c>
      <c r="E6454" s="787">
        <v>0</v>
      </c>
      <c r="H6454" s="787">
        <v>1</v>
      </c>
      <c r="L6454" s="787">
        <v>0</v>
      </c>
      <c r="M6454" s="787">
        <v>10</v>
      </c>
      <c r="N6454" s="787">
        <v>0.53</v>
      </c>
      <c r="O6454" s="788">
        <v>40458</v>
      </c>
    </row>
    <row r="6455" spans="1:15" x14ac:dyDescent="0.25">
      <c r="A6455" s="786" t="s">
        <v>11557</v>
      </c>
      <c r="B6455" s="787">
        <v>4</v>
      </c>
      <c r="C6455" s="787" t="s">
        <v>11558</v>
      </c>
      <c r="D6455" s="787">
        <v>0</v>
      </c>
      <c r="E6455" s="787">
        <v>0</v>
      </c>
      <c r="H6455" s="787">
        <v>1</v>
      </c>
      <c r="L6455" s="787">
        <v>0</v>
      </c>
      <c r="M6455" s="787">
        <v>10</v>
      </c>
      <c r="N6455" s="787">
        <v>0</v>
      </c>
      <c r="O6455" s="788">
        <v>40824</v>
      </c>
    </row>
    <row r="6456" spans="1:15" x14ac:dyDescent="0.25">
      <c r="A6456" s="786" t="s">
        <v>11559</v>
      </c>
      <c r="B6456" s="787">
        <v>4</v>
      </c>
      <c r="C6456" s="787" t="s">
        <v>11558</v>
      </c>
      <c r="D6456" s="787">
        <v>0</v>
      </c>
      <c r="E6456" s="787">
        <v>0</v>
      </c>
      <c r="H6456" s="787">
        <v>1</v>
      </c>
      <c r="L6456" s="787">
        <v>0</v>
      </c>
      <c r="M6456" s="787">
        <v>10</v>
      </c>
      <c r="N6456" s="787">
        <v>0</v>
      </c>
      <c r="O6456" s="788">
        <v>40824</v>
      </c>
    </row>
    <row r="6457" spans="1:15" x14ac:dyDescent="0.25">
      <c r="A6457" s="786" t="s">
        <v>11560</v>
      </c>
      <c r="B6457" s="787">
        <v>4</v>
      </c>
      <c r="C6457" s="787" t="s">
        <v>11558</v>
      </c>
      <c r="D6457" s="787">
        <v>0</v>
      </c>
      <c r="E6457" s="787">
        <v>0</v>
      </c>
      <c r="H6457" s="787">
        <v>1</v>
      </c>
      <c r="L6457" s="787">
        <v>0</v>
      </c>
      <c r="M6457" s="787">
        <v>10</v>
      </c>
      <c r="N6457" s="787">
        <v>0</v>
      </c>
      <c r="O6457" s="788">
        <v>40824</v>
      </c>
    </row>
    <row r="6458" spans="1:15" x14ac:dyDescent="0.25">
      <c r="A6458" s="786" t="s">
        <v>11561</v>
      </c>
      <c r="B6458" s="787">
        <v>4</v>
      </c>
      <c r="C6458" s="787" t="s">
        <v>11562</v>
      </c>
      <c r="D6458" s="787">
        <v>0.2</v>
      </c>
      <c r="E6458" s="787">
        <v>0.42</v>
      </c>
      <c r="F6458" s="788">
        <v>39456</v>
      </c>
      <c r="G6458" s="788">
        <v>40827</v>
      </c>
      <c r="H6458" s="787">
        <v>1</v>
      </c>
      <c r="I6458" s="788">
        <v>39422</v>
      </c>
      <c r="J6458" s="788">
        <v>40777</v>
      </c>
      <c r="L6458" s="787">
        <v>0</v>
      </c>
      <c r="M6458" s="787">
        <v>10</v>
      </c>
      <c r="N6458" s="787">
        <v>0.39</v>
      </c>
      <c r="O6458" s="788">
        <v>41858</v>
      </c>
    </row>
    <row r="6459" spans="1:15" x14ac:dyDescent="0.25">
      <c r="A6459" s="786" t="s">
        <v>11563</v>
      </c>
      <c r="B6459" s="787">
        <v>4</v>
      </c>
      <c r="C6459" s="787" t="s">
        <v>11564</v>
      </c>
      <c r="D6459" s="787">
        <v>0.19</v>
      </c>
      <c r="E6459" s="787">
        <v>0.19</v>
      </c>
      <c r="F6459" s="788">
        <v>39456</v>
      </c>
      <c r="G6459" s="788">
        <v>39456</v>
      </c>
      <c r="H6459" s="787">
        <v>1</v>
      </c>
      <c r="I6459" s="788">
        <v>39402</v>
      </c>
      <c r="J6459" s="788">
        <v>39125</v>
      </c>
      <c r="L6459" s="787">
        <v>0</v>
      </c>
      <c r="M6459" s="787">
        <v>10</v>
      </c>
      <c r="N6459" s="787">
        <v>0.39</v>
      </c>
      <c r="O6459" s="788">
        <v>41858</v>
      </c>
    </row>
    <row r="6460" spans="1:15" x14ac:dyDescent="0.25">
      <c r="A6460" s="786" t="s">
        <v>11565</v>
      </c>
      <c r="B6460" s="787">
        <v>4</v>
      </c>
      <c r="C6460" s="787" t="s">
        <v>11566</v>
      </c>
      <c r="D6460" s="787">
        <v>0.19</v>
      </c>
      <c r="E6460" s="787">
        <v>0.19</v>
      </c>
      <c r="F6460" s="788">
        <v>39456</v>
      </c>
      <c r="G6460" s="788">
        <v>39456</v>
      </c>
      <c r="H6460" s="787">
        <v>1</v>
      </c>
      <c r="I6460" s="788">
        <v>39386</v>
      </c>
      <c r="J6460" s="788">
        <v>39125</v>
      </c>
      <c r="L6460" s="787">
        <v>0</v>
      </c>
      <c r="M6460" s="787">
        <v>10</v>
      </c>
      <c r="N6460" s="787">
        <v>0.38</v>
      </c>
      <c r="O6460" s="788">
        <v>41858</v>
      </c>
    </row>
    <row r="6461" spans="1:15" x14ac:dyDescent="0.25">
      <c r="A6461" s="786" t="s">
        <v>11567</v>
      </c>
      <c r="B6461" s="787">
        <v>4</v>
      </c>
      <c r="C6461" s="787" t="s">
        <v>11568</v>
      </c>
      <c r="D6461" s="787">
        <v>0.59</v>
      </c>
      <c r="E6461" s="787">
        <v>0.94</v>
      </c>
      <c r="F6461" s="788">
        <v>39456</v>
      </c>
      <c r="G6461" s="788">
        <v>41824</v>
      </c>
      <c r="H6461" s="787">
        <v>1</v>
      </c>
      <c r="I6461" s="788">
        <v>42151</v>
      </c>
      <c r="J6461" s="788">
        <v>41790</v>
      </c>
      <c r="K6461" s="788">
        <v>41376</v>
      </c>
      <c r="L6461" s="787">
        <v>0.76</v>
      </c>
      <c r="M6461" s="787">
        <v>10</v>
      </c>
      <c r="N6461" s="787">
        <v>9.23</v>
      </c>
      <c r="O6461" s="788">
        <v>42027</v>
      </c>
    </row>
    <row r="6462" spans="1:15" x14ac:dyDescent="0.25">
      <c r="A6462" s="786" t="s">
        <v>11569</v>
      </c>
      <c r="B6462" s="787">
        <v>4</v>
      </c>
      <c r="C6462" s="787" t="s">
        <v>11570</v>
      </c>
      <c r="D6462" s="787">
        <v>0.48</v>
      </c>
      <c r="E6462" s="787">
        <v>31.58</v>
      </c>
      <c r="F6462" s="788">
        <v>39975</v>
      </c>
      <c r="G6462" s="788">
        <v>41775</v>
      </c>
      <c r="H6462" s="787">
        <v>1</v>
      </c>
      <c r="I6462" s="788">
        <v>42165</v>
      </c>
      <c r="J6462" s="788">
        <v>41542</v>
      </c>
      <c r="K6462" s="788">
        <v>41289</v>
      </c>
      <c r="L6462" s="787">
        <v>20.16</v>
      </c>
      <c r="M6462" s="787">
        <v>10</v>
      </c>
      <c r="N6462" s="787">
        <v>17.190000000000001</v>
      </c>
      <c r="O6462" s="788">
        <v>42156</v>
      </c>
    </row>
    <row r="6463" spans="1:15" x14ac:dyDescent="0.25">
      <c r="A6463" s="786" t="s">
        <v>11571</v>
      </c>
      <c r="B6463" s="787">
        <v>4</v>
      </c>
      <c r="C6463" s="787" t="s">
        <v>11572</v>
      </c>
      <c r="D6463" s="787">
        <v>3.73</v>
      </c>
      <c r="E6463" s="787">
        <v>3.73</v>
      </c>
      <c r="F6463" s="788">
        <v>39975</v>
      </c>
      <c r="G6463" s="788">
        <v>40553</v>
      </c>
      <c r="H6463" s="787">
        <v>1</v>
      </c>
      <c r="I6463" s="788">
        <v>42164</v>
      </c>
      <c r="J6463" s="788">
        <v>41710</v>
      </c>
      <c r="K6463" s="788">
        <v>41710</v>
      </c>
      <c r="L6463" s="787">
        <v>13</v>
      </c>
      <c r="M6463" s="787">
        <v>10</v>
      </c>
      <c r="N6463" s="787">
        <v>12.7</v>
      </c>
      <c r="O6463" s="788">
        <v>42156</v>
      </c>
    </row>
    <row r="6464" spans="1:15" x14ac:dyDescent="0.25">
      <c r="A6464" s="786" t="s">
        <v>11573</v>
      </c>
      <c r="B6464" s="787">
        <v>4</v>
      </c>
      <c r="C6464" s="787" t="s">
        <v>11570</v>
      </c>
      <c r="D6464" s="787">
        <v>0.03</v>
      </c>
      <c r="E6464" s="787">
        <v>19.48</v>
      </c>
      <c r="F6464" s="788">
        <v>39975</v>
      </c>
      <c r="G6464" s="788">
        <v>41425</v>
      </c>
      <c r="H6464" s="787">
        <v>1</v>
      </c>
      <c r="I6464" s="788">
        <v>42165</v>
      </c>
      <c r="J6464" s="788">
        <v>41522</v>
      </c>
      <c r="K6464" s="788">
        <v>41382</v>
      </c>
      <c r="L6464" s="787">
        <v>19.420000000000002</v>
      </c>
      <c r="M6464" s="787">
        <v>10</v>
      </c>
      <c r="N6464" s="787">
        <v>18.920000000000002</v>
      </c>
      <c r="O6464" s="788">
        <v>42156</v>
      </c>
    </row>
    <row r="6465" spans="1:15" x14ac:dyDescent="0.25">
      <c r="A6465" s="786" t="s">
        <v>11574</v>
      </c>
      <c r="B6465" s="787">
        <v>4</v>
      </c>
      <c r="C6465" s="787" t="s">
        <v>11575</v>
      </c>
      <c r="D6465" s="787">
        <v>0.21</v>
      </c>
      <c r="E6465" s="787">
        <v>0.21</v>
      </c>
      <c r="F6465" s="788">
        <v>39975</v>
      </c>
      <c r="G6465" s="788">
        <v>40394</v>
      </c>
      <c r="H6465" s="787">
        <v>1</v>
      </c>
      <c r="I6465" s="788">
        <v>42163</v>
      </c>
      <c r="J6465" s="788">
        <v>41710</v>
      </c>
      <c r="K6465" s="788">
        <v>41710</v>
      </c>
      <c r="L6465" s="787">
        <v>13</v>
      </c>
      <c r="M6465" s="787">
        <v>10</v>
      </c>
      <c r="N6465" s="787">
        <v>12.74</v>
      </c>
      <c r="O6465" s="788">
        <v>42156</v>
      </c>
    </row>
    <row r="6466" spans="1:15" x14ac:dyDescent="0.25">
      <c r="A6466" s="786" t="s">
        <v>11576</v>
      </c>
      <c r="B6466" s="787">
        <v>4</v>
      </c>
      <c r="C6466" s="787" t="s">
        <v>11577</v>
      </c>
      <c r="D6466" s="787">
        <v>0.03</v>
      </c>
      <c r="E6466" s="787">
        <v>7.62</v>
      </c>
      <c r="F6466" s="788">
        <v>39975</v>
      </c>
      <c r="G6466" s="788">
        <v>41449</v>
      </c>
      <c r="H6466" s="787">
        <v>1</v>
      </c>
      <c r="I6466" s="788">
        <v>42164</v>
      </c>
      <c r="J6466" s="788">
        <v>41542</v>
      </c>
      <c r="K6466" s="788">
        <v>40953</v>
      </c>
      <c r="L6466" s="787">
        <v>8.15</v>
      </c>
      <c r="M6466" s="787">
        <v>10</v>
      </c>
      <c r="N6466" s="787">
        <v>6.86</v>
      </c>
      <c r="O6466" s="788">
        <v>42156</v>
      </c>
    </row>
    <row r="6467" spans="1:15" x14ac:dyDescent="0.25">
      <c r="A6467" s="786" t="s">
        <v>11578</v>
      </c>
      <c r="B6467" s="787">
        <v>4</v>
      </c>
      <c r="C6467" s="787" t="s">
        <v>11579</v>
      </c>
      <c r="D6467" s="787">
        <v>0.51</v>
      </c>
      <c r="E6467" s="787">
        <v>11.3</v>
      </c>
      <c r="F6467" s="788">
        <v>39975</v>
      </c>
      <c r="G6467" s="788">
        <v>40648</v>
      </c>
      <c r="H6467" s="787">
        <v>1</v>
      </c>
      <c r="I6467" s="788">
        <v>42164</v>
      </c>
      <c r="J6467" s="788">
        <v>41621</v>
      </c>
      <c r="K6467" s="788">
        <v>41624</v>
      </c>
      <c r="L6467" s="787">
        <v>15</v>
      </c>
      <c r="M6467" s="787">
        <v>10</v>
      </c>
      <c r="N6467" s="787">
        <v>14.97</v>
      </c>
      <c r="O6467" s="788">
        <v>42156</v>
      </c>
    </row>
    <row r="6468" spans="1:15" x14ac:dyDescent="0.25">
      <c r="A6468" s="786" t="s">
        <v>11580</v>
      </c>
      <c r="B6468" s="787">
        <v>4</v>
      </c>
      <c r="C6468" s="787" t="s">
        <v>11581</v>
      </c>
      <c r="D6468" s="787">
        <v>7.89</v>
      </c>
      <c r="E6468" s="787">
        <v>7.89</v>
      </c>
      <c r="F6468" s="788">
        <v>41449</v>
      </c>
      <c r="G6468" s="788">
        <v>41449</v>
      </c>
      <c r="H6468" s="787">
        <v>1</v>
      </c>
      <c r="I6468" s="788">
        <v>42165</v>
      </c>
      <c r="J6468" s="788">
        <v>41542</v>
      </c>
      <c r="K6468" s="788">
        <v>41396</v>
      </c>
      <c r="L6468" s="787">
        <v>9.2100000000000009</v>
      </c>
      <c r="M6468" s="787">
        <v>10</v>
      </c>
      <c r="N6468" s="787">
        <v>9.69</v>
      </c>
      <c r="O6468" s="788">
        <v>42156</v>
      </c>
    </row>
    <row r="6469" spans="1:15" x14ac:dyDescent="0.25">
      <c r="A6469" s="786" t="s">
        <v>11582</v>
      </c>
      <c r="B6469" s="787">
        <v>4</v>
      </c>
      <c r="C6469" s="787" t="s">
        <v>11583</v>
      </c>
      <c r="D6469" s="787">
        <v>0.39</v>
      </c>
      <c r="E6469" s="787">
        <v>0.39</v>
      </c>
      <c r="F6469" s="788">
        <v>39975</v>
      </c>
      <c r="G6469" s="788">
        <v>40346</v>
      </c>
      <c r="H6469" s="787">
        <v>1</v>
      </c>
      <c r="I6469" s="788">
        <v>42164</v>
      </c>
      <c r="J6469" s="788">
        <v>41710</v>
      </c>
      <c r="K6469" s="788">
        <v>41710</v>
      </c>
      <c r="L6469" s="787">
        <v>9</v>
      </c>
      <c r="M6469" s="787">
        <v>10</v>
      </c>
      <c r="N6469" s="787">
        <v>8.75</v>
      </c>
      <c r="O6469" s="788">
        <v>42156</v>
      </c>
    </row>
    <row r="6470" spans="1:15" x14ac:dyDescent="0.25">
      <c r="A6470" s="786" t="s">
        <v>11584</v>
      </c>
      <c r="B6470" s="787">
        <v>4</v>
      </c>
      <c r="C6470" s="787" t="s">
        <v>11570</v>
      </c>
      <c r="D6470" s="787">
        <v>0.97</v>
      </c>
      <c r="E6470" s="787">
        <v>4.99</v>
      </c>
      <c r="F6470" s="788">
        <v>39975</v>
      </c>
      <c r="G6470" s="788">
        <v>41775</v>
      </c>
      <c r="H6470" s="787">
        <v>1</v>
      </c>
      <c r="I6470" s="788">
        <v>42145</v>
      </c>
      <c r="J6470" s="788">
        <v>41542</v>
      </c>
      <c r="K6470" s="788">
        <v>41408</v>
      </c>
      <c r="L6470" s="787">
        <v>14.3</v>
      </c>
      <c r="M6470" s="787">
        <v>10</v>
      </c>
      <c r="N6470" s="787">
        <v>13.82</v>
      </c>
      <c r="O6470" s="788">
        <v>42162</v>
      </c>
    </row>
    <row r="6471" spans="1:15" x14ac:dyDescent="0.25">
      <c r="A6471" s="786" t="s">
        <v>11585</v>
      </c>
      <c r="B6471" s="787">
        <v>4</v>
      </c>
      <c r="C6471" s="787" t="s">
        <v>11572</v>
      </c>
      <c r="D6471" s="787">
        <v>0.28999999999999998</v>
      </c>
      <c r="E6471" s="787">
        <v>0.28999999999999998</v>
      </c>
      <c r="F6471" s="788">
        <v>39975</v>
      </c>
      <c r="G6471" s="788">
        <v>40553</v>
      </c>
      <c r="H6471" s="787">
        <v>1</v>
      </c>
      <c r="I6471" s="788">
        <v>42123</v>
      </c>
      <c r="J6471" s="788">
        <v>41816</v>
      </c>
      <c r="K6471" s="788">
        <v>41817</v>
      </c>
      <c r="L6471" s="787">
        <v>13.5</v>
      </c>
      <c r="M6471" s="787">
        <v>10</v>
      </c>
      <c r="N6471" s="787">
        <v>37.89</v>
      </c>
      <c r="O6471" s="788">
        <v>42162</v>
      </c>
    </row>
    <row r="6472" spans="1:15" x14ac:dyDescent="0.25">
      <c r="A6472" s="786" t="s">
        <v>11586</v>
      </c>
      <c r="B6472" s="787">
        <v>4</v>
      </c>
      <c r="C6472" s="787" t="s">
        <v>11570</v>
      </c>
      <c r="D6472" s="787">
        <v>0.79</v>
      </c>
      <c r="E6472" s="787">
        <v>13.79</v>
      </c>
      <c r="F6472" s="788">
        <v>39975</v>
      </c>
      <c r="G6472" s="788">
        <v>41775</v>
      </c>
      <c r="H6472" s="787">
        <v>1</v>
      </c>
      <c r="I6472" s="788">
        <v>42165</v>
      </c>
      <c r="J6472" s="788">
        <v>41542</v>
      </c>
      <c r="K6472" s="788">
        <v>41376</v>
      </c>
      <c r="L6472" s="787">
        <v>14.39</v>
      </c>
      <c r="M6472" s="787">
        <v>10</v>
      </c>
      <c r="N6472" s="787">
        <v>13.82</v>
      </c>
      <c r="O6472" s="788">
        <v>42156</v>
      </c>
    </row>
    <row r="6473" spans="1:15" x14ac:dyDescent="0.25">
      <c r="A6473" s="786" t="s">
        <v>11587</v>
      </c>
      <c r="B6473" s="787">
        <v>4</v>
      </c>
      <c r="C6473" s="787" t="s">
        <v>11575</v>
      </c>
      <c r="D6473" s="787">
        <v>0.23</v>
      </c>
      <c r="E6473" s="787">
        <v>0.23</v>
      </c>
      <c r="F6473" s="788">
        <v>39975</v>
      </c>
      <c r="G6473" s="788">
        <v>41255</v>
      </c>
      <c r="H6473" s="787">
        <v>1</v>
      </c>
      <c r="I6473" s="788">
        <v>42146</v>
      </c>
      <c r="J6473" s="788">
        <v>41710</v>
      </c>
      <c r="K6473" s="788">
        <v>41710</v>
      </c>
      <c r="L6473" s="787">
        <v>15</v>
      </c>
      <c r="M6473" s="787">
        <v>10</v>
      </c>
      <c r="N6473" s="787">
        <v>13.82</v>
      </c>
      <c r="O6473" s="788">
        <v>42156</v>
      </c>
    </row>
    <row r="6474" spans="1:15" x14ac:dyDescent="0.25">
      <c r="A6474" s="786" t="s">
        <v>11588</v>
      </c>
      <c r="B6474" s="787">
        <v>4</v>
      </c>
      <c r="C6474" s="787" t="s">
        <v>11577</v>
      </c>
      <c r="D6474" s="787">
        <v>0.09</v>
      </c>
      <c r="E6474" s="787">
        <v>17.32</v>
      </c>
      <c r="F6474" s="788">
        <v>39975</v>
      </c>
      <c r="G6474" s="788">
        <v>41775</v>
      </c>
      <c r="H6474" s="787">
        <v>1</v>
      </c>
      <c r="I6474" s="788">
        <v>42165</v>
      </c>
      <c r="J6474" s="788">
        <v>41542</v>
      </c>
      <c r="K6474" s="788">
        <v>41358</v>
      </c>
      <c r="L6474" s="787">
        <v>8.9600000000000009</v>
      </c>
      <c r="M6474" s="787">
        <v>10</v>
      </c>
      <c r="N6474" s="787">
        <v>8.69</v>
      </c>
      <c r="O6474" s="788">
        <v>42162</v>
      </c>
    </row>
    <row r="6475" spans="1:15" x14ac:dyDescent="0.25">
      <c r="A6475" s="786" t="s">
        <v>11589</v>
      </c>
      <c r="B6475" s="787">
        <v>4</v>
      </c>
      <c r="C6475" s="787" t="s">
        <v>11579</v>
      </c>
      <c r="D6475" s="787">
        <v>0.03</v>
      </c>
      <c r="E6475" s="787">
        <v>0.03</v>
      </c>
      <c r="F6475" s="788">
        <v>39975</v>
      </c>
      <c r="G6475" s="788">
        <v>41255</v>
      </c>
      <c r="H6475" s="787">
        <v>1</v>
      </c>
      <c r="I6475" s="788">
        <v>42146</v>
      </c>
      <c r="J6475" s="788">
        <v>41710</v>
      </c>
      <c r="K6475" s="788">
        <v>41710</v>
      </c>
      <c r="L6475" s="787">
        <v>8</v>
      </c>
      <c r="M6475" s="787">
        <v>10</v>
      </c>
      <c r="N6475" s="787">
        <v>7.56</v>
      </c>
      <c r="O6475" s="788">
        <v>42162</v>
      </c>
    </row>
    <row r="6476" spans="1:15" x14ac:dyDescent="0.25">
      <c r="A6476" s="786" t="s">
        <v>11590</v>
      </c>
      <c r="B6476" s="787">
        <v>4</v>
      </c>
      <c r="C6476" s="787" t="s">
        <v>11581</v>
      </c>
      <c r="D6476" s="787">
        <v>6.22</v>
      </c>
      <c r="E6476" s="787">
        <v>12.62</v>
      </c>
      <c r="F6476" s="788">
        <v>40644</v>
      </c>
      <c r="G6476" s="788">
        <v>41418</v>
      </c>
      <c r="H6476" s="787">
        <v>1</v>
      </c>
      <c r="I6476" s="788">
        <v>42165</v>
      </c>
      <c r="J6476" s="788">
        <v>41542</v>
      </c>
      <c r="K6476" s="788">
        <v>41376</v>
      </c>
      <c r="L6476" s="787">
        <v>9.6199999999999992</v>
      </c>
      <c r="M6476" s="787">
        <v>10</v>
      </c>
      <c r="N6476" s="787">
        <v>9.92</v>
      </c>
      <c r="O6476" s="788">
        <v>42162</v>
      </c>
    </row>
    <row r="6477" spans="1:15" x14ac:dyDescent="0.25">
      <c r="A6477" s="786" t="s">
        <v>11591</v>
      </c>
      <c r="B6477" s="787">
        <v>4</v>
      </c>
      <c r="C6477" s="787" t="s">
        <v>11583</v>
      </c>
      <c r="D6477" s="787">
        <v>0.02</v>
      </c>
      <c r="E6477" s="787">
        <v>0.02</v>
      </c>
      <c r="F6477" s="788">
        <v>39975</v>
      </c>
      <c r="G6477" s="788">
        <v>40553</v>
      </c>
      <c r="H6477" s="787">
        <v>1</v>
      </c>
      <c r="I6477" s="788">
        <v>42146</v>
      </c>
      <c r="J6477" s="788">
        <v>41710</v>
      </c>
      <c r="K6477" s="788">
        <v>41710</v>
      </c>
      <c r="L6477" s="787">
        <v>9</v>
      </c>
      <c r="M6477" s="787">
        <v>10</v>
      </c>
      <c r="N6477" s="787">
        <v>8.98</v>
      </c>
      <c r="O6477" s="788">
        <v>42162</v>
      </c>
    </row>
    <row r="6478" spans="1:15" x14ac:dyDescent="0.25">
      <c r="A6478" s="786" t="s">
        <v>11592</v>
      </c>
      <c r="B6478" s="787">
        <v>4</v>
      </c>
      <c r="C6478" s="787" t="s">
        <v>11570</v>
      </c>
      <c r="D6478" s="787">
        <v>0</v>
      </c>
      <c r="E6478" s="787">
        <v>0</v>
      </c>
      <c r="H6478" s="787">
        <v>1</v>
      </c>
      <c r="I6478" s="788">
        <v>42150</v>
      </c>
      <c r="J6478" s="788">
        <v>41648</v>
      </c>
      <c r="K6478" s="788">
        <v>41624</v>
      </c>
      <c r="L6478" s="787">
        <v>16</v>
      </c>
      <c r="M6478" s="787">
        <v>10</v>
      </c>
      <c r="N6478" s="787">
        <v>15.29</v>
      </c>
      <c r="O6478" s="788">
        <v>42162</v>
      </c>
    </row>
    <row r="6479" spans="1:15" x14ac:dyDescent="0.25">
      <c r="A6479" s="786" t="s">
        <v>11593</v>
      </c>
      <c r="B6479" s="787">
        <v>4</v>
      </c>
      <c r="C6479" s="787" t="s">
        <v>11572</v>
      </c>
      <c r="D6479" s="787">
        <v>0</v>
      </c>
      <c r="E6479" s="787">
        <v>0</v>
      </c>
      <c r="H6479" s="787">
        <v>1</v>
      </c>
      <c r="I6479" s="788">
        <v>42150</v>
      </c>
      <c r="J6479" s="788">
        <v>41648</v>
      </c>
      <c r="K6479" s="788">
        <v>41621</v>
      </c>
      <c r="L6479" s="787">
        <v>16</v>
      </c>
      <c r="M6479" s="787">
        <v>10</v>
      </c>
      <c r="N6479" s="787">
        <v>15.29</v>
      </c>
      <c r="O6479" s="788">
        <v>42162</v>
      </c>
    </row>
    <row r="6480" spans="1:15" x14ac:dyDescent="0.25">
      <c r="A6480" s="786" t="s">
        <v>11594</v>
      </c>
      <c r="B6480" s="787">
        <v>4</v>
      </c>
      <c r="C6480" s="787" t="s">
        <v>11570</v>
      </c>
      <c r="D6480" s="787">
        <v>0</v>
      </c>
      <c r="E6480" s="787">
        <v>0</v>
      </c>
      <c r="H6480" s="787">
        <v>1</v>
      </c>
      <c r="I6480" s="788">
        <v>42166</v>
      </c>
      <c r="K6480" s="788">
        <v>42025</v>
      </c>
      <c r="L6480" s="787">
        <v>15.29</v>
      </c>
      <c r="M6480" s="787">
        <v>10</v>
      </c>
      <c r="N6480" s="787">
        <v>15.29</v>
      </c>
      <c r="O6480" s="788">
        <v>42156</v>
      </c>
    </row>
    <row r="6481" spans="1:15" x14ac:dyDescent="0.25">
      <c r="A6481" s="786" t="s">
        <v>11595</v>
      </c>
      <c r="B6481" s="787">
        <v>4</v>
      </c>
      <c r="C6481" s="787" t="s">
        <v>11596</v>
      </c>
      <c r="D6481" s="787">
        <v>0</v>
      </c>
      <c r="E6481" s="787">
        <v>0</v>
      </c>
      <c r="H6481" s="787">
        <v>1</v>
      </c>
      <c r="I6481" s="788">
        <v>42135</v>
      </c>
      <c r="L6481" s="787">
        <v>0</v>
      </c>
      <c r="M6481" s="787">
        <v>10</v>
      </c>
      <c r="N6481" s="787">
        <v>15.29</v>
      </c>
      <c r="O6481" s="788">
        <v>42156</v>
      </c>
    </row>
    <row r="6482" spans="1:15" x14ac:dyDescent="0.25">
      <c r="A6482" s="786" t="s">
        <v>11597</v>
      </c>
      <c r="B6482" s="787">
        <v>4</v>
      </c>
      <c r="C6482" s="787" t="s">
        <v>11598</v>
      </c>
      <c r="D6482" s="787">
        <v>0</v>
      </c>
      <c r="E6482" s="787">
        <v>0</v>
      </c>
      <c r="H6482" s="787">
        <v>1</v>
      </c>
      <c r="I6482" s="788">
        <v>42166</v>
      </c>
      <c r="L6482" s="787">
        <v>0</v>
      </c>
      <c r="M6482" s="787">
        <v>10</v>
      </c>
      <c r="N6482" s="787">
        <v>7.84</v>
      </c>
      <c r="O6482" s="788">
        <v>42162</v>
      </c>
    </row>
    <row r="6483" spans="1:15" x14ac:dyDescent="0.25">
      <c r="A6483" s="786" t="s">
        <v>11599</v>
      </c>
      <c r="B6483" s="787">
        <v>4</v>
      </c>
      <c r="C6483" s="787" t="s">
        <v>11600</v>
      </c>
      <c r="D6483" s="787">
        <v>0</v>
      </c>
      <c r="E6483" s="787">
        <v>0</v>
      </c>
      <c r="H6483" s="787">
        <v>1</v>
      </c>
      <c r="I6483" s="788">
        <v>42150</v>
      </c>
      <c r="L6483" s="787">
        <v>0</v>
      </c>
      <c r="M6483" s="787">
        <v>10</v>
      </c>
      <c r="N6483" s="787">
        <v>7.84</v>
      </c>
      <c r="O6483" s="788">
        <v>42162</v>
      </c>
    </row>
    <row r="6484" spans="1:15" x14ac:dyDescent="0.25">
      <c r="A6484" s="786" t="s">
        <v>11601</v>
      </c>
      <c r="B6484" s="787">
        <v>4</v>
      </c>
      <c r="C6484" s="787" t="s">
        <v>11602</v>
      </c>
      <c r="D6484" s="787">
        <v>0</v>
      </c>
      <c r="E6484" s="787">
        <v>0</v>
      </c>
      <c r="H6484" s="787">
        <v>1</v>
      </c>
      <c r="I6484" s="788">
        <v>42166</v>
      </c>
      <c r="L6484" s="787">
        <v>0</v>
      </c>
      <c r="M6484" s="787">
        <v>10</v>
      </c>
      <c r="N6484" s="787">
        <v>9.1300000000000008</v>
      </c>
      <c r="O6484" s="788">
        <v>42162</v>
      </c>
    </row>
    <row r="6485" spans="1:15" x14ac:dyDescent="0.25">
      <c r="A6485" s="786" t="s">
        <v>11603</v>
      </c>
      <c r="B6485" s="787">
        <v>4</v>
      </c>
      <c r="C6485" s="787" t="s">
        <v>11604</v>
      </c>
      <c r="D6485" s="787">
        <v>0</v>
      </c>
      <c r="E6485" s="787">
        <v>0</v>
      </c>
      <c r="H6485" s="787">
        <v>1</v>
      </c>
      <c r="I6485" s="788">
        <v>42150</v>
      </c>
      <c r="L6485" s="787">
        <v>0</v>
      </c>
      <c r="M6485" s="787">
        <v>10</v>
      </c>
      <c r="N6485" s="787">
        <v>9.1300000000000008</v>
      </c>
      <c r="O6485" s="788">
        <v>42162</v>
      </c>
    </row>
    <row r="6486" spans="1:15" x14ac:dyDescent="0.25">
      <c r="A6486" s="786" t="s">
        <v>11605</v>
      </c>
      <c r="B6486" s="787">
        <v>4</v>
      </c>
      <c r="C6486" s="787" t="s">
        <v>11606</v>
      </c>
      <c r="D6486" s="787">
        <v>2.56</v>
      </c>
      <c r="E6486" s="787">
        <v>2.56</v>
      </c>
      <c r="F6486" s="788">
        <v>39975</v>
      </c>
      <c r="G6486" s="788">
        <v>41943</v>
      </c>
      <c r="H6486" s="787">
        <v>1</v>
      </c>
      <c r="I6486" s="788">
        <v>39503</v>
      </c>
      <c r="J6486" s="788">
        <v>39503</v>
      </c>
      <c r="L6486" s="787">
        <v>0</v>
      </c>
      <c r="M6486" s="787">
        <v>10</v>
      </c>
      <c r="N6486" s="787">
        <v>2.5499999999999998</v>
      </c>
      <c r="O6486" s="788">
        <v>41858</v>
      </c>
    </row>
    <row r="6487" spans="1:15" x14ac:dyDescent="0.25">
      <c r="A6487" s="786" t="s">
        <v>11607</v>
      </c>
      <c r="B6487" s="787">
        <v>4</v>
      </c>
      <c r="C6487" s="787" t="s">
        <v>11608</v>
      </c>
      <c r="D6487" s="787">
        <v>6.74</v>
      </c>
      <c r="E6487" s="787">
        <v>6.74</v>
      </c>
      <c r="F6487" s="788">
        <v>39975</v>
      </c>
      <c r="G6487" s="788">
        <v>41943</v>
      </c>
      <c r="H6487" s="787">
        <v>1</v>
      </c>
      <c r="I6487" s="788">
        <v>41968</v>
      </c>
      <c r="J6487" s="788">
        <v>40226</v>
      </c>
      <c r="K6487" s="788">
        <v>42038</v>
      </c>
      <c r="L6487" s="787">
        <v>12.52</v>
      </c>
      <c r="M6487" s="787">
        <v>10</v>
      </c>
      <c r="N6487" s="787">
        <v>12.52</v>
      </c>
      <c r="O6487" s="788">
        <v>42038</v>
      </c>
    </row>
    <row r="6488" spans="1:15" x14ac:dyDescent="0.25">
      <c r="A6488" s="786" t="s">
        <v>11609</v>
      </c>
      <c r="B6488" s="787">
        <v>4</v>
      </c>
      <c r="C6488" s="787" t="s">
        <v>11610</v>
      </c>
      <c r="D6488" s="787">
        <v>3.4</v>
      </c>
      <c r="E6488" s="787">
        <v>13.4</v>
      </c>
      <c r="F6488" s="788">
        <v>39975</v>
      </c>
      <c r="G6488" s="788">
        <v>41943</v>
      </c>
      <c r="H6488" s="787">
        <v>1</v>
      </c>
      <c r="I6488" s="788">
        <v>41968</v>
      </c>
      <c r="K6488" s="788">
        <v>42038</v>
      </c>
      <c r="L6488" s="787">
        <v>14.46</v>
      </c>
      <c r="M6488" s="787">
        <v>10</v>
      </c>
      <c r="N6488" s="787">
        <v>14.46</v>
      </c>
      <c r="O6488" s="788">
        <v>42087</v>
      </c>
    </row>
    <row r="6489" spans="1:15" x14ac:dyDescent="0.25">
      <c r="A6489" s="786" t="s">
        <v>11611</v>
      </c>
      <c r="B6489" s="787">
        <v>4</v>
      </c>
      <c r="C6489" s="787" t="s">
        <v>11612</v>
      </c>
      <c r="D6489" s="787">
        <v>0.56999999999999995</v>
      </c>
      <c r="E6489" s="787">
        <v>8.34</v>
      </c>
      <c r="F6489" s="788">
        <v>39975</v>
      </c>
      <c r="G6489" s="788">
        <v>42013</v>
      </c>
      <c r="H6489" s="787">
        <v>1</v>
      </c>
      <c r="I6489" s="788">
        <v>41892</v>
      </c>
      <c r="J6489" s="788">
        <v>41892</v>
      </c>
      <c r="K6489" s="788">
        <v>41886</v>
      </c>
      <c r="L6489" s="787">
        <v>5.41</v>
      </c>
      <c r="M6489" s="787">
        <v>10</v>
      </c>
      <c r="N6489" s="787">
        <v>13.45</v>
      </c>
      <c r="O6489" s="788">
        <v>42159</v>
      </c>
    </row>
    <row r="6490" spans="1:15" x14ac:dyDescent="0.25">
      <c r="A6490" s="786" t="s">
        <v>11613</v>
      </c>
      <c r="B6490" s="787">
        <v>4</v>
      </c>
      <c r="C6490" s="787" t="s">
        <v>11614</v>
      </c>
      <c r="D6490" s="787">
        <v>2.02</v>
      </c>
      <c r="E6490" s="787">
        <v>2.82</v>
      </c>
      <c r="F6490" s="788">
        <v>39456</v>
      </c>
      <c r="G6490" s="788">
        <v>40827</v>
      </c>
      <c r="H6490" s="787">
        <v>1</v>
      </c>
      <c r="I6490" s="788">
        <v>40735</v>
      </c>
      <c r="J6490" s="788">
        <v>40725</v>
      </c>
      <c r="L6490" s="787">
        <v>0</v>
      </c>
      <c r="M6490" s="787">
        <v>10</v>
      </c>
      <c r="N6490" s="787">
        <v>2.2799999999999998</v>
      </c>
      <c r="O6490" s="788">
        <v>42159</v>
      </c>
    </row>
    <row r="6491" spans="1:15" x14ac:dyDescent="0.25">
      <c r="A6491" s="786" t="s">
        <v>11615</v>
      </c>
      <c r="B6491" s="787">
        <v>4</v>
      </c>
      <c r="C6491" s="787" t="s">
        <v>11616</v>
      </c>
      <c r="D6491" s="787">
        <v>0</v>
      </c>
      <c r="E6491" s="787">
        <v>0</v>
      </c>
      <c r="H6491" s="787">
        <v>1</v>
      </c>
      <c r="L6491" s="787">
        <v>0</v>
      </c>
      <c r="M6491" s="787">
        <v>10</v>
      </c>
      <c r="N6491" s="787">
        <v>1.86</v>
      </c>
      <c r="O6491" s="788">
        <v>41869</v>
      </c>
    </row>
    <row r="6492" spans="1:15" x14ac:dyDescent="0.25">
      <c r="A6492" s="786" t="s">
        <v>11617</v>
      </c>
      <c r="B6492" s="787">
        <v>4</v>
      </c>
      <c r="C6492" s="787" t="s">
        <v>11618</v>
      </c>
      <c r="D6492" s="787">
        <v>1.36</v>
      </c>
      <c r="E6492" s="787">
        <v>1.36</v>
      </c>
      <c r="F6492" s="788">
        <v>39456</v>
      </c>
      <c r="G6492" s="788">
        <v>41610</v>
      </c>
      <c r="H6492" s="787">
        <v>1</v>
      </c>
      <c r="I6492" s="788">
        <v>41824</v>
      </c>
      <c r="J6492" s="788">
        <v>41824</v>
      </c>
      <c r="L6492" s="787">
        <v>0</v>
      </c>
      <c r="M6492" s="787">
        <v>10</v>
      </c>
      <c r="N6492" s="787">
        <v>1.98</v>
      </c>
      <c r="O6492" s="788">
        <v>42159</v>
      </c>
    </row>
    <row r="6493" spans="1:15" x14ac:dyDescent="0.25">
      <c r="A6493" s="786" t="s">
        <v>11619</v>
      </c>
      <c r="B6493" s="787">
        <v>4</v>
      </c>
      <c r="C6493" s="787" t="s">
        <v>8624</v>
      </c>
      <c r="D6493" s="787">
        <v>0</v>
      </c>
      <c r="E6493" s="787">
        <v>0</v>
      </c>
      <c r="H6493" s="787">
        <v>1</v>
      </c>
      <c r="I6493" s="788">
        <v>41079</v>
      </c>
      <c r="L6493" s="787">
        <v>0</v>
      </c>
      <c r="M6493" s="787">
        <v>10</v>
      </c>
      <c r="N6493" s="787">
        <v>5.42</v>
      </c>
      <c r="O6493" s="788">
        <v>42162</v>
      </c>
    </row>
    <row r="6494" spans="1:15" x14ac:dyDescent="0.25">
      <c r="A6494" s="786" t="s">
        <v>11620</v>
      </c>
      <c r="B6494" s="787">
        <v>4</v>
      </c>
      <c r="C6494" s="787" t="s">
        <v>11621</v>
      </c>
      <c r="D6494" s="787">
        <v>0</v>
      </c>
      <c r="E6494" s="787">
        <v>0</v>
      </c>
      <c r="H6494" s="787">
        <v>1</v>
      </c>
      <c r="I6494" s="788">
        <v>41079</v>
      </c>
      <c r="K6494" s="788">
        <v>41494</v>
      </c>
      <c r="L6494" s="787">
        <v>4.21</v>
      </c>
      <c r="M6494" s="787">
        <v>10</v>
      </c>
      <c r="N6494" s="787">
        <v>4.21</v>
      </c>
      <c r="O6494" s="788">
        <v>42162</v>
      </c>
    </row>
    <row r="6495" spans="1:15" x14ac:dyDescent="0.25">
      <c r="A6495" s="786" t="s">
        <v>11622</v>
      </c>
      <c r="B6495" s="787">
        <v>4</v>
      </c>
      <c r="C6495" s="787" t="s">
        <v>8628</v>
      </c>
      <c r="D6495" s="787">
        <v>0</v>
      </c>
      <c r="E6495" s="787">
        <v>0</v>
      </c>
      <c r="H6495" s="787">
        <v>1</v>
      </c>
      <c r="I6495" s="788">
        <v>40868</v>
      </c>
      <c r="L6495" s="787">
        <v>0</v>
      </c>
      <c r="M6495" s="787">
        <v>10</v>
      </c>
      <c r="N6495" s="787">
        <v>5.42</v>
      </c>
      <c r="O6495" s="788">
        <v>42162</v>
      </c>
    </row>
    <row r="6496" spans="1:15" x14ac:dyDescent="0.25">
      <c r="A6496" s="786" t="s">
        <v>11623</v>
      </c>
      <c r="B6496" s="787">
        <v>4</v>
      </c>
      <c r="C6496" s="787" t="s">
        <v>11624</v>
      </c>
      <c r="D6496" s="787">
        <v>0</v>
      </c>
      <c r="E6496" s="787">
        <v>0</v>
      </c>
      <c r="H6496" s="787">
        <v>1</v>
      </c>
      <c r="I6496" s="788">
        <v>40946</v>
      </c>
      <c r="K6496" s="788">
        <v>41494</v>
      </c>
      <c r="L6496" s="787">
        <v>4.21</v>
      </c>
      <c r="M6496" s="787">
        <v>10</v>
      </c>
      <c r="N6496" s="787">
        <v>4.21</v>
      </c>
      <c r="O6496" s="788">
        <v>42162</v>
      </c>
    </row>
    <row r="6497" spans="1:15" x14ac:dyDescent="0.25">
      <c r="A6497" s="786" t="s">
        <v>11625</v>
      </c>
      <c r="B6497" s="787">
        <v>4</v>
      </c>
      <c r="C6497" s="787" t="s">
        <v>11626</v>
      </c>
      <c r="D6497" s="787">
        <v>0</v>
      </c>
      <c r="E6497" s="787">
        <v>0</v>
      </c>
      <c r="G6497" s="788">
        <v>42013</v>
      </c>
      <c r="H6497" s="787">
        <v>1</v>
      </c>
      <c r="I6497" s="788">
        <v>42109</v>
      </c>
      <c r="J6497" s="788">
        <v>40070</v>
      </c>
      <c r="K6497" s="788">
        <v>42019</v>
      </c>
      <c r="L6497" s="787">
        <v>1.27</v>
      </c>
      <c r="M6497" s="787">
        <v>10</v>
      </c>
      <c r="N6497" s="787">
        <v>16.87</v>
      </c>
      <c r="O6497" s="788">
        <v>42162</v>
      </c>
    </row>
    <row r="6498" spans="1:15" x14ac:dyDescent="0.25">
      <c r="A6498" s="786" t="s">
        <v>11627</v>
      </c>
      <c r="B6498" s="787">
        <v>4</v>
      </c>
      <c r="C6498" s="787" t="s">
        <v>11628</v>
      </c>
      <c r="D6498" s="787">
        <v>0</v>
      </c>
      <c r="E6498" s="787">
        <v>0</v>
      </c>
      <c r="H6498" s="787">
        <v>1</v>
      </c>
      <c r="L6498" s="787">
        <v>0</v>
      </c>
      <c r="M6498" s="787">
        <v>10</v>
      </c>
      <c r="N6498" s="787">
        <v>1.2</v>
      </c>
      <c r="O6498" s="788">
        <v>41858</v>
      </c>
    </row>
    <row r="6499" spans="1:15" x14ac:dyDescent="0.25">
      <c r="A6499" s="786" t="s">
        <v>11629</v>
      </c>
      <c r="B6499" s="787">
        <v>4</v>
      </c>
      <c r="C6499" s="787" t="s">
        <v>11630</v>
      </c>
      <c r="D6499" s="787">
        <v>0</v>
      </c>
      <c r="E6499" s="787">
        <v>0</v>
      </c>
      <c r="H6499" s="787">
        <v>1</v>
      </c>
      <c r="L6499" s="787">
        <v>0</v>
      </c>
      <c r="M6499" s="787">
        <v>10</v>
      </c>
      <c r="N6499" s="787">
        <v>1.18</v>
      </c>
      <c r="O6499" s="788">
        <v>41858</v>
      </c>
    </row>
    <row r="6500" spans="1:15" x14ac:dyDescent="0.25">
      <c r="A6500" s="786" t="s">
        <v>11631</v>
      </c>
      <c r="B6500" s="787">
        <v>4</v>
      </c>
      <c r="C6500" s="787" t="s">
        <v>11632</v>
      </c>
      <c r="D6500" s="787">
        <v>0</v>
      </c>
      <c r="E6500" s="787">
        <v>0</v>
      </c>
      <c r="G6500" s="788">
        <v>41884</v>
      </c>
      <c r="H6500" s="787">
        <v>1</v>
      </c>
      <c r="I6500" s="788">
        <v>42137</v>
      </c>
      <c r="J6500" s="788">
        <v>41884</v>
      </c>
      <c r="K6500" s="788">
        <v>41884</v>
      </c>
      <c r="L6500" s="787">
        <v>5.51</v>
      </c>
      <c r="M6500" s="787">
        <v>10</v>
      </c>
      <c r="N6500" s="787">
        <v>5.51</v>
      </c>
      <c r="O6500" s="788">
        <v>41858</v>
      </c>
    </row>
    <row r="6501" spans="1:15" x14ac:dyDescent="0.25">
      <c r="A6501" s="786" t="s">
        <v>11633</v>
      </c>
      <c r="B6501" s="787">
        <v>4</v>
      </c>
      <c r="C6501" s="787" t="s">
        <v>11634</v>
      </c>
      <c r="D6501" s="787">
        <v>0</v>
      </c>
      <c r="E6501" s="787">
        <v>0</v>
      </c>
      <c r="G6501" s="788">
        <v>42013</v>
      </c>
      <c r="H6501" s="787">
        <v>1</v>
      </c>
      <c r="I6501" s="788">
        <v>42058</v>
      </c>
      <c r="J6501" s="788">
        <v>40157</v>
      </c>
      <c r="L6501" s="787">
        <v>0</v>
      </c>
      <c r="M6501" s="787">
        <v>10</v>
      </c>
      <c r="N6501" s="787">
        <v>4.71</v>
      </c>
      <c r="O6501" s="788">
        <v>41858</v>
      </c>
    </row>
    <row r="6502" spans="1:15" x14ac:dyDescent="0.25">
      <c r="A6502" s="786" t="s">
        <v>11635</v>
      </c>
      <c r="B6502" s="787">
        <v>4</v>
      </c>
      <c r="C6502" s="787" t="s">
        <v>11636</v>
      </c>
      <c r="D6502" s="787">
        <v>8.8000000000000007</v>
      </c>
      <c r="E6502" s="787">
        <v>196.25</v>
      </c>
      <c r="F6502" s="788">
        <v>39975</v>
      </c>
      <c r="G6502" s="788">
        <v>41782</v>
      </c>
      <c r="H6502" s="787">
        <v>1</v>
      </c>
      <c r="I6502" s="788">
        <v>42058</v>
      </c>
      <c r="J6502" s="788">
        <v>41863</v>
      </c>
      <c r="K6502" s="788">
        <v>41863</v>
      </c>
      <c r="L6502" s="787">
        <v>20.18</v>
      </c>
      <c r="M6502" s="787">
        <v>10</v>
      </c>
      <c r="N6502" s="787">
        <v>20.18</v>
      </c>
      <c r="O6502" s="788">
        <v>41858</v>
      </c>
    </row>
    <row r="6503" spans="1:15" x14ac:dyDescent="0.25">
      <c r="A6503" s="786" t="s">
        <v>11637</v>
      </c>
      <c r="B6503" s="787">
        <v>4</v>
      </c>
      <c r="C6503" s="787" t="s">
        <v>11638</v>
      </c>
      <c r="D6503" s="787">
        <v>5.3</v>
      </c>
      <c r="E6503" s="787">
        <v>5.3</v>
      </c>
      <c r="F6503" s="788">
        <v>40035</v>
      </c>
      <c r="G6503" s="788">
        <v>41565</v>
      </c>
      <c r="H6503" s="787">
        <v>1</v>
      </c>
      <c r="I6503" s="788">
        <v>42058</v>
      </c>
      <c r="J6503" s="788">
        <v>41782</v>
      </c>
      <c r="K6503" s="788">
        <v>41884</v>
      </c>
      <c r="L6503" s="787">
        <v>5.3</v>
      </c>
      <c r="M6503" s="787">
        <v>10</v>
      </c>
      <c r="N6503" s="787">
        <v>5.2</v>
      </c>
      <c r="O6503" s="788">
        <v>41858</v>
      </c>
    </row>
    <row r="6504" spans="1:15" x14ac:dyDescent="0.25">
      <c r="A6504" s="786" t="s">
        <v>11639</v>
      </c>
      <c r="B6504" s="787">
        <v>4</v>
      </c>
      <c r="C6504" s="787" t="s">
        <v>11640</v>
      </c>
      <c r="D6504" s="787">
        <v>0</v>
      </c>
      <c r="E6504" s="787">
        <v>0</v>
      </c>
      <c r="G6504" s="788">
        <v>42013</v>
      </c>
      <c r="H6504" s="787">
        <v>1</v>
      </c>
      <c r="I6504" s="788">
        <v>42058</v>
      </c>
      <c r="J6504" s="788">
        <v>40157</v>
      </c>
      <c r="L6504" s="787">
        <v>0</v>
      </c>
      <c r="M6504" s="787">
        <v>10</v>
      </c>
      <c r="N6504" s="787">
        <v>4.66</v>
      </c>
      <c r="O6504" s="788">
        <v>41858</v>
      </c>
    </row>
    <row r="6505" spans="1:15" x14ac:dyDescent="0.25">
      <c r="A6505" s="786" t="s">
        <v>11641</v>
      </c>
      <c r="B6505" s="787">
        <v>4</v>
      </c>
      <c r="C6505" s="787" t="s">
        <v>11642</v>
      </c>
      <c r="D6505" s="787">
        <v>0</v>
      </c>
      <c r="E6505" s="787">
        <v>0</v>
      </c>
      <c r="G6505" s="788">
        <v>42013</v>
      </c>
      <c r="H6505" s="787">
        <v>1</v>
      </c>
      <c r="I6505" s="788">
        <v>42143</v>
      </c>
      <c r="J6505" s="788">
        <v>42146</v>
      </c>
      <c r="K6505" s="788">
        <v>42146</v>
      </c>
      <c r="L6505" s="787">
        <v>5.75</v>
      </c>
      <c r="M6505" s="787">
        <v>10</v>
      </c>
      <c r="N6505" s="787">
        <v>5.75</v>
      </c>
      <c r="O6505" s="788">
        <v>41858</v>
      </c>
    </row>
    <row r="6506" spans="1:15" x14ac:dyDescent="0.25">
      <c r="A6506" s="786" t="s">
        <v>11643</v>
      </c>
      <c r="B6506" s="787">
        <v>4</v>
      </c>
      <c r="C6506" s="787" t="s">
        <v>11644</v>
      </c>
      <c r="D6506" s="787">
        <v>1.0900000000000001</v>
      </c>
      <c r="E6506" s="787">
        <v>1.0900000000000001</v>
      </c>
      <c r="F6506" s="788">
        <v>40035</v>
      </c>
      <c r="G6506" s="788">
        <v>41611</v>
      </c>
      <c r="H6506" s="787">
        <v>1</v>
      </c>
      <c r="I6506" s="788">
        <v>41946</v>
      </c>
      <c r="J6506" s="788">
        <v>41863</v>
      </c>
      <c r="K6506" s="788">
        <v>41863</v>
      </c>
      <c r="L6506" s="787">
        <v>0.96</v>
      </c>
      <c r="M6506" s="787">
        <v>10</v>
      </c>
      <c r="N6506" s="787">
        <v>0.96</v>
      </c>
      <c r="O6506" s="788">
        <v>40458</v>
      </c>
    </row>
    <row r="6507" spans="1:15" x14ac:dyDescent="0.25">
      <c r="A6507" s="786" t="s">
        <v>11645</v>
      </c>
      <c r="B6507" s="787">
        <v>4</v>
      </c>
      <c r="C6507" s="787" t="s">
        <v>11646</v>
      </c>
      <c r="D6507" s="787">
        <v>0</v>
      </c>
      <c r="E6507" s="787">
        <v>0</v>
      </c>
      <c r="H6507" s="787">
        <v>1</v>
      </c>
      <c r="I6507" s="788">
        <v>40869</v>
      </c>
      <c r="J6507" s="788">
        <v>42079</v>
      </c>
      <c r="L6507" s="787">
        <v>0</v>
      </c>
      <c r="M6507" s="787">
        <v>10</v>
      </c>
      <c r="N6507" s="787">
        <v>2.14</v>
      </c>
      <c r="O6507" s="788">
        <v>42162</v>
      </c>
    </row>
    <row r="6508" spans="1:15" x14ac:dyDescent="0.25">
      <c r="A6508" s="786" t="s">
        <v>11647</v>
      </c>
      <c r="B6508" s="787">
        <v>4</v>
      </c>
      <c r="C6508" s="787" t="s">
        <v>11648</v>
      </c>
      <c r="D6508" s="787">
        <v>0</v>
      </c>
      <c r="E6508" s="787">
        <v>0</v>
      </c>
      <c r="G6508" s="788">
        <v>41611</v>
      </c>
      <c r="H6508" s="787">
        <v>1</v>
      </c>
      <c r="I6508" s="788">
        <v>42137</v>
      </c>
      <c r="J6508" s="788">
        <v>41863</v>
      </c>
      <c r="K6508" s="788">
        <v>41863</v>
      </c>
      <c r="L6508" s="787">
        <v>2.66</v>
      </c>
      <c r="M6508" s="787">
        <v>10</v>
      </c>
      <c r="N6508" s="787">
        <v>2.66</v>
      </c>
      <c r="O6508" s="788">
        <v>40458</v>
      </c>
    </row>
    <row r="6509" spans="1:15" x14ac:dyDescent="0.25">
      <c r="A6509" s="786" t="s">
        <v>11649</v>
      </c>
      <c r="B6509" s="787">
        <v>4</v>
      </c>
      <c r="C6509" s="787" t="s">
        <v>8553</v>
      </c>
      <c r="D6509" s="787">
        <v>0</v>
      </c>
      <c r="E6509" s="787">
        <v>0</v>
      </c>
      <c r="H6509" s="787">
        <v>1</v>
      </c>
      <c r="I6509" s="788">
        <v>40434</v>
      </c>
      <c r="J6509" s="788">
        <v>39457</v>
      </c>
      <c r="L6509" s="787">
        <v>0</v>
      </c>
      <c r="M6509" s="787">
        <v>10</v>
      </c>
      <c r="N6509" s="787">
        <v>6.41</v>
      </c>
      <c r="O6509" s="788">
        <v>42162</v>
      </c>
    </row>
    <row r="6510" spans="1:15" x14ac:dyDescent="0.25">
      <c r="A6510" s="786" t="s">
        <v>11650</v>
      </c>
      <c r="B6510" s="787">
        <v>4</v>
      </c>
      <c r="C6510" s="787" t="s">
        <v>8555</v>
      </c>
      <c r="D6510" s="787">
        <v>0</v>
      </c>
      <c r="E6510" s="787">
        <v>0</v>
      </c>
      <c r="H6510" s="787">
        <v>1</v>
      </c>
      <c r="I6510" s="788">
        <v>40434</v>
      </c>
      <c r="J6510" s="788">
        <v>39457</v>
      </c>
      <c r="L6510" s="787">
        <v>0</v>
      </c>
      <c r="M6510" s="787">
        <v>10</v>
      </c>
      <c r="N6510" s="787">
        <v>5.61</v>
      </c>
      <c r="O6510" s="788">
        <v>42162</v>
      </c>
    </row>
    <row r="6511" spans="1:15" x14ac:dyDescent="0.25">
      <c r="A6511" s="786" t="s">
        <v>11651</v>
      </c>
      <c r="B6511" s="787">
        <v>4</v>
      </c>
      <c r="C6511" s="787" t="s">
        <v>8557</v>
      </c>
      <c r="D6511" s="787">
        <v>0</v>
      </c>
      <c r="E6511" s="787">
        <v>0</v>
      </c>
      <c r="H6511" s="787">
        <v>1</v>
      </c>
      <c r="I6511" s="788">
        <v>40262</v>
      </c>
      <c r="L6511" s="787">
        <v>0</v>
      </c>
      <c r="M6511" s="787">
        <v>10</v>
      </c>
      <c r="N6511" s="787">
        <v>6.41</v>
      </c>
      <c r="O6511" s="788">
        <v>42162</v>
      </c>
    </row>
    <row r="6512" spans="1:15" x14ac:dyDescent="0.25">
      <c r="A6512" s="786" t="s">
        <v>11652</v>
      </c>
      <c r="B6512" s="787">
        <v>4</v>
      </c>
      <c r="C6512" s="787" t="s">
        <v>8559</v>
      </c>
      <c r="D6512" s="787">
        <v>0</v>
      </c>
      <c r="E6512" s="787">
        <v>0</v>
      </c>
      <c r="H6512" s="787">
        <v>1</v>
      </c>
      <c r="I6512" s="788">
        <v>40262</v>
      </c>
      <c r="L6512" s="787">
        <v>0</v>
      </c>
      <c r="M6512" s="787">
        <v>10</v>
      </c>
      <c r="N6512" s="787">
        <v>5.61</v>
      </c>
      <c r="O6512" s="788">
        <v>42162</v>
      </c>
    </row>
    <row r="6513" spans="1:15" x14ac:dyDescent="0.25">
      <c r="A6513" s="786" t="s">
        <v>11653</v>
      </c>
      <c r="B6513" s="787">
        <v>4</v>
      </c>
      <c r="C6513" s="787" t="s">
        <v>11654</v>
      </c>
      <c r="D6513" s="787">
        <v>0</v>
      </c>
      <c r="E6513" s="787">
        <v>0</v>
      </c>
      <c r="H6513" s="787">
        <v>1</v>
      </c>
      <c r="L6513" s="787">
        <v>0</v>
      </c>
      <c r="M6513" s="787">
        <v>10</v>
      </c>
      <c r="N6513" s="787">
        <v>25.11</v>
      </c>
      <c r="O6513" s="788">
        <v>41858</v>
      </c>
    </row>
    <row r="6514" spans="1:15" x14ac:dyDescent="0.25">
      <c r="A6514" s="786" t="s">
        <v>11655</v>
      </c>
      <c r="B6514" s="787">
        <v>4</v>
      </c>
      <c r="C6514" s="787" t="s">
        <v>11656</v>
      </c>
      <c r="D6514" s="787">
        <v>0</v>
      </c>
      <c r="E6514" s="787">
        <v>0</v>
      </c>
      <c r="H6514" s="787">
        <v>1</v>
      </c>
      <c r="L6514" s="787">
        <v>0</v>
      </c>
      <c r="M6514" s="787">
        <v>10</v>
      </c>
      <c r="N6514" s="787">
        <v>22.1</v>
      </c>
      <c r="O6514" s="788">
        <v>41869</v>
      </c>
    </row>
    <row r="6515" spans="1:15" x14ac:dyDescent="0.25">
      <c r="A6515" s="786" t="s">
        <v>11657</v>
      </c>
      <c r="B6515" s="787">
        <v>4</v>
      </c>
      <c r="C6515" s="787" t="s">
        <v>11658</v>
      </c>
      <c r="D6515" s="787">
        <v>0</v>
      </c>
      <c r="E6515" s="787">
        <v>0</v>
      </c>
      <c r="H6515" s="787">
        <v>1</v>
      </c>
      <c r="L6515" s="787">
        <v>0</v>
      </c>
      <c r="M6515" s="787">
        <v>10</v>
      </c>
      <c r="N6515" s="787">
        <v>20.21</v>
      </c>
      <c r="O6515" s="788">
        <v>41869</v>
      </c>
    </row>
    <row r="6516" spans="1:15" x14ac:dyDescent="0.25">
      <c r="A6516" s="786" t="s">
        <v>11659</v>
      </c>
      <c r="B6516" s="787">
        <v>4</v>
      </c>
      <c r="C6516" s="787" t="s">
        <v>11660</v>
      </c>
      <c r="D6516" s="787">
        <v>0</v>
      </c>
      <c r="E6516" s="787">
        <v>0</v>
      </c>
      <c r="H6516" s="787">
        <v>1</v>
      </c>
      <c r="L6516" s="787">
        <v>0</v>
      </c>
      <c r="M6516" s="787">
        <v>10</v>
      </c>
      <c r="N6516" s="787">
        <v>20.71</v>
      </c>
      <c r="O6516" s="788">
        <v>41858</v>
      </c>
    </row>
    <row r="6517" spans="1:15" x14ac:dyDescent="0.25">
      <c r="A6517" s="786" t="s">
        <v>11661</v>
      </c>
      <c r="B6517" s="787">
        <v>4</v>
      </c>
      <c r="C6517" s="787" t="s">
        <v>11662</v>
      </c>
      <c r="D6517" s="787">
        <v>0</v>
      </c>
      <c r="E6517" s="787">
        <v>0</v>
      </c>
      <c r="H6517" s="787">
        <v>1</v>
      </c>
      <c r="L6517" s="787">
        <v>0</v>
      </c>
      <c r="M6517" s="787">
        <v>10</v>
      </c>
      <c r="N6517" s="787">
        <v>19.82</v>
      </c>
      <c r="O6517" s="788">
        <v>41858</v>
      </c>
    </row>
    <row r="6518" spans="1:15" x14ac:dyDescent="0.25">
      <c r="A6518" s="786" t="s">
        <v>11663</v>
      </c>
      <c r="B6518" s="787">
        <v>4</v>
      </c>
      <c r="C6518" s="787" t="s">
        <v>11664</v>
      </c>
      <c r="D6518" s="787">
        <v>0</v>
      </c>
      <c r="E6518" s="787">
        <v>0</v>
      </c>
      <c r="H6518" s="787">
        <v>1</v>
      </c>
      <c r="L6518" s="787">
        <v>0</v>
      </c>
      <c r="M6518" s="787">
        <v>10</v>
      </c>
      <c r="N6518" s="787">
        <v>21.9</v>
      </c>
      <c r="O6518" s="788">
        <v>41858</v>
      </c>
    </row>
    <row r="6519" spans="1:15" x14ac:dyDescent="0.25">
      <c r="A6519" s="786" t="s">
        <v>11665</v>
      </c>
      <c r="B6519" s="787">
        <v>4</v>
      </c>
      <c r="C6519" s="787" t="s">
        <v>11666</v>
      </c>
      <c r="D6519" s="787">
        <v>0.02</v>
      </c>
      <c r="E6519" s="787">
        <v>0.02</v>
      </c>
      <c r="F6519" s="788">
        <v>39456</v>
      </c>
      <c r="G6519" s="788">
        <v>39456</v>
      </c>
      <c r="H6519" s="787">
        <v>1</v>
      </c>
      <c r="I6519" s="788">
        <v>39679</v>
      </c>
      <c r="J6519" s="788">
        <v>39248</v>
      </c>
      <c r="L6519" s="787">
        <v>0</v>
      </c>
      <c r="M6519" s="787">
        <v>10</v>
      </c>
      <c r="N6519" s="787">
        <v>0.56000000000000005</v>
      </c>
      <c r="O6519" s="788">
        <v>41858</v>
      </c>
    </row>
    <row r="6520" spans="1:15" x14ac:dyDescent="0.25">
      <c r="A6520" s="786" t="s">
        <v>11667</v>
      </c>
      <c r="B6520" s="787">
        <v>4</v>
      </c>
      <c r="C6520" s="787" t="s">
        <v>11668</v>
      </c>
      <c r="D6520" s="787">
        <v>0.02</v>
      </c>
      <c r="E6520" s="787">
        <v>0.02</v>
      </c>
      <c r="F6520" s="788">
        <v>39456</v>
      </c>
      <c r="G6520" s="788">
        <v>39456</v>
      </c>
      <c r="H6520" s="787">
        <v>1</v>
      </c>
      <c r="I6520" s="788">
        <v>39679</v>
      </c>
      <c r="J6520" s="788">
        <v>39248</v>
      </c>
      <c r="L6520" s="787">
        <v>0</v>
      </c>
      <c r="M6520" s="787">
        <v>10</v>
      </c>
      <c r="N6520" s="787">
        <v>0.13</v>
      </c>
      <c r="O6520" s="788">
        <v>41858</v>
      </c>
    </row>
    <row r="6521" spans="1:15" x14ac:dyDescent="0.25">
      <c r="A6521" s="786" t="s">
        <v>11669</v>
      </c>
      <c r="B6521" s="787">
        <v>4</v>
      </c>
      <c r="C6521" s="787" t="s">
        <v>11670</v>
      </c>
      <c r="D6521" s="787">
        <v>0.19</v>
      </c>
      <c r="E6521" s="787">
        <v>2.04</v>
      </c>
      <c r="F6521" s="788">
        <v>39975</v>
      </c>
      <c r="G6521" s="788">
        <v>42013</v>
      </c>
      <c r="H6521" s="787">
        <v>1</v>
      </c>
      <c r="I6521" s="788">
        <v>42166</v>
      </c>
      <c r="J6521" s="788">
        <v>41957</v>
      </c>
      <c r="K6521" s="788">
        <v>41841</v>
      </c>
      <c r="L6521" s="787">
        <v>1</v>
      </c>
      <c r="M6521" s="787">
        <v>10</v>
      </c>
      <c r="N6521" s="787">
        <v>2.5</v>
      </c>
      <c r="O6521" s="788">
        <v>42146</v>
      </c>
    </row>
    <row r="6522" spans="1:15" x14ac:dyDescent="0.25">
      <c r="A6522" s="786" t="s">
        <v>11671</v>
      </c>
      <c r="B6522" s="787">
        <v>4</v>
      </c>
      <c r="C6522" s="787" t="s">
        <v>11672</v>
      </c>
      <c r="D6522" s="787">
        <v>0.32</v>
      </c>
      <c r="E6522" s="787">
        <v>0.32</v>
      </c>
      <c r="F6522" s="788">
        <v>39456</v>
      </c>
      <c r="G6522" s="788">
        <v>39814</v>
      </c>
      <c r="H6522" s="787">
        <v>1</v>
      </c>
      <c r="I6522" s="788">
        <v>39679</v>
      </c>
      <c r="J6522" s="788">
        <v>39359</v>
      </c>
      <c r="L6522" s="787">
        <v>0</v>
      </c>
      <c r="M6522" s="787">
        <v>10</v>
      </c>
      <c r="N6522" s="787">
        <v>1.55</v>
      </c>
      <c r="O6522" s="788">
        <v>41858</v>
      </c>
    </row>
    <row r="6523" spans="1:15" x14ac:dyDescent="0.25">
      <c r="A6523" s="786" t="s">
        <v>11673</v>
      </c>
      <c r="B6523" s="787">
        <v>4</v>
      </c>
      <c r="C6523" s="787" t="s">
        <v>11674</v>
      </c>
      <c r="D6523" s="787">
        <v>7.85</v>
      </c>
      <c r="E6523" s="787">
        <v>15.2</v>
      </c>
      <c r="F6523" s="788">
        <v>41180</v>
      </c>
      <c r="G6523" s="788">
        <v>41278</v>
      </c>
      <c r="H6523" s="787">
        <v>1</v>
      </c>
      <c r="I6523" s="788">
        <v>41995</v>
      </c>
      <c r="J6523" s="788">
        <v>41995</v>
      </c>
      <c r="L6523" s="787">
        <v>0.9</v>
      </c>
      <c r="M6523" s="787">
        <v>10</v>
      </c>
      <c r="N6523" s="787">
        <v>28.37</v>
      </c>
      <c r="O6523" s="788">
        <v>42146</v>
      </c>
    </row>
    <row r="6524" spans="1:15" x14ac:dyDescent="0.25">
      <c r="A6524" s="786" t="s">
        <v>11675</v>
      </c>
      <c r="B6524" s="787">
        <v>4</v>
      </c>
      <c r="C6524" s="787" t="s">
        <v>11676</v>
      </c>
      <c r="D6524" s="787">
        <v>0.02</v>
      </c>
      <c r="E6524" s="787">
        <v>0.02</v>
      </c>
      <c r="F6524" s="788">
        <v>39456</v>
      </c>
      <c r="G6524" s="788">
        <v>39590</v>
      </c>
      <c r="H6524" s="787">
        <v>1</v>
      </c>
      <c r="I6524" s="788">
        <v>39679</v>
      </c>
      <c r="J6524" s="788">
        <v>39359</v>
      </c>
      <c r="L6524" s="787">
        <v>0</v>
      </c>
      <c r="M6524" s="787">
        <v>10</v>
      </c>
      <c r="N6524" s="787">
        <v>0.61</v>
      </c>
      <c r="O6524" s="788">
        <v>41869</v>
      </c>
    </row>
    <row r="6525" spans="1:15" x14ac:dyDescent="0.25">
      <c r="A6525" s="786" t="s">
        <v>11677</v>
      </c>
      <c r="B6525" s="787">
        <v>4</v>
      </c>
      <c r="C6525" s="787" t="s">
        <v>11678</v>
      </c>
      <c r="D6525" s="787">
        <v>0.06</v>
      </c>
      <c r="E6525" s="787">
        <v>0.06</v>
      </c>
      <c r="F6525" s="788">
        <v>39456</v>
      </c>
      <c r="G6525" s="788">
        <v>39590</v>
      </c>
      <c r="H6525" s="787">
        <v>1</v>
      </c>
      <c r="I6525" s="788">
        <v>39679</v>
      </c>
      <c r="J6525" s="788">
        <v>39359</v>
      </c>
      <c r="L6525" s="787">
        <v>0</v>
      </c>
      <c r="M6525" s="787">
        <v>10</v>
      </c>
      <c r="N6525" s="787">
        <v>1.08</v>
      </c>
      <c r="O6525" s="788">
        <v>41869</v>
      </c>
    </row>
    <row r="6526" spans="1:15" x14ac:dyDescent="0.25">
      <c r="A6526" s="786" t="s">
        <v>11679</v>
      </c>
      <c r="B6526" s="787">
        <v>4</v>
      </c>
      <c r="C6526" s="787" t="s">
        <v>11680</v>
      </c>
      <c r="D6526" s="787">
        <v>0</v>
      </c>
      <c r="E6526" s="787">
        <v>0</v>
      </c>
      <c r="F6526" s="788">
        <v>39456</v>
      </c>
      <c r="G6526" s="788">
        <v>39456</v>
      </c>
      <c r="H6526" s="787">
        <v>1</v>
      </c>
      <c r="I6526" s="788">
        <v>39679</v>
      </c>
      <c r="J6526" s="788">
        <v>39244</v>
      </c>
      <c r="K6526" s="788">
        <v>42052</v>
      </c>
      <c r="L6526" s="787">
        <v>2.4700000000000002</v>
      </c>
      <c r="M6526" s="787">
        <v>10</v>
      </c>
      <c r="N6526" s="787">
        <v>1.31</v>
      </c>
      <c r="O6526" s="788">
        <v>42053</v>
      </c>
    </row>
    <row r="6527" spans="1:15" x14ac:dyDescent="0.25">
      <c r="A6527" s="786" t="s">
        <v>11681</v>
      </c>
      <c r="B6527" s="787">
        <v>4</v>
      </c>
      <c r="C6527" s="787" t="s">
        <v>11682</v>
      </c>
      <c r="D6527" s="787">
        <v>0</v>
      </c>
      <c r="E6527" s="787">
        <v>0</v>
      </c>
      <c r="H6527" s="787">
        <v>1</v>
      </c>
      <c r="L6527" s="787">
        <v>0</v>
      </c>
      <c r="M6527" s="787">
        <v>10</v>
      </c>
      <c r="N6527" s="787">
        <v>1.26</v>
      </c>
      <c r="O6527" s="788">
        <v>40458</v>
      </c>
    </row>
    <row r="6528" spans="1:15" x14ac:dyDescent="0.25">
      <c r="A6528" s="786" t="s">
        <v>11683</v>
      </c>
      <c r="B6528" s="787">
        <v>4</v>
      </c>
      <c r="C6528" s="787" t="s">
        <v>11413</v>
      </c>
      <c r="D6528" s="787">
        <v>1.1299999999999999</v>
      </c>
      <c r="E6528" s="787">
        <v>11.82</v>
      </c>
      <c r="F6528" s="788">
        <v>41806</v>
      </c>
      <c r="G6528" s="788">
        <v>41813</v>
      </c>
      <c r="H6528" s="787">
        <v>1</v>
      </c>
      <c r="I6528" s="788">
        <v>41802</v>
      </c>
      <c r="J6528" s="788">
        <v>41783</v>
      </c>
      <c r="K6528" s="788">
        <v>41032</v>
      </c>
      <c r="L6528" s="787">
        <v>16.989999999999998</v>
      </c>
      <c r="M6528" s="787">
        <v>10</v>
      </c>
      <c r="N6528" s="787">
        <v>13.44</v>
      </c>
      <c r="O6528" s="788">
        <v>42146</v>
      </c>
    </row>
    <row r="6529" spans="1:15" x14ac:dyDescent="0.25">
      <c r="A6529" s="786" t="s">
        <v>11684</v>
      </c>
      <c r="B6529" s="787">
        <v>4</v>
      </c>
      <c r="C6529" s="787" t="s">
        <v>11685</v>
      </c>
      <c r="D6529" s="787">
        <v>0.69</v>
      </c>
      <c r="E6529" s="787">
        <v>25.2</v>
      </c>
      <c r="F6529" s="788">
        <v>39456</v>
      </c>
      <c r="G6529" s="788">
        <v>41565</v>
      </c>
      <c r="H6529" s="787">
        <v>1</v>
      </c>
      <c r="I6529" s="788">
        <v>40770</v>
      </c>
      <c r="J6529" s="788">
        <v>40604</v>
      </c>
      <c r="K6529" s="788">
        <v>42053</v>
      </c>
      <c r="L6529" s="787">
        <v>23.1</v>
      </c>
      <c r="M6529" s="787">
        <v>10</v>
      </c>
      <c r="N6529" s="787">
        <v>23.24</v>
      </c>
      <c r="O6529" s="788">
        <v>42146</v>
      </c>
    </row>
    <row r="6530" spans="1:15" x14ac:dyDescent="0.25">
      <c r="A6530" s="786" t="s">
        <v>11686</v>
      </c>
      <c r="B6530" s="787">
        <v>4</v>
      </c>
      <c r="C6530" s="787" t="s">
        <v>11687</v>
      </c>
      <c r="D6530" s="787">
        <v>0</v>
      </c>
      <c r="E6530" s="787">
        <v>0</v>
      </c>
      <c r="G6530" s="788">
        <v>42131</v>
      </c>
      <c r="H6530" s="787">
        <v>1</v>
      </c>
      <c r="I6530" s="788">
        <v>42136</v>
      </c>
      <c r="J6530" s="788">
        <v>42131</v>
      </c>
      <c r="K6530" s="788">
        <v>42046</v>
      </c>
      <c r="L6530" s="787">
        <v>1.19</v>
      </c>
      <c r="M6530" s="787">
        <v>10</v>
      </c>
      <c r="N6530" s="787">
        <v>11.04</v>
      </c>
      <c r="O6530" s="788">
        <v>42164</v>
      </c>
    </row>
    <row r="6531" spans="1:15" x14ac:dyDescent="0.25">
      <c r="A6531" s="786" t="s">
        <v>11688</v>
      </c>
      <c r="B6531" s="787">
        <v>4</v>
      </c>
      <c r="C6531" s="787" t="s">
        <v>11689</v>
      </c>
      <c r="D6531" s="787">
        <v>0.04</v>
      </c>
      <c r="E6531" s="787">
        <v>19.38</v>
      </c>
      <c r="F6531" s="788">
        <v>40721</v>
      </c>
      <c r="G6531" s="788">
        <v>42101</v>
      </c>
      <c r="H6531" s="787">
        <v>1</v>
      </c>
      <c r="I6531" s="788">
        <v>42163</v>
      </c>
      <c r="J6531" s="788">
        <v>42068</v>
      </c>
      <c r="K6531" s="788">
        <v>41443</v>
      </c>
      <c r="L6531" s="787">
        <v>1</v>
      </c>
      <c r="M6531" s="787">
        <v>10</v>
      </c>
      <c r="N6531" s="787">
        <v>3.87</v>
      </c>
      <c r="O6531" s="788">
        <v>42163</v>
      </c>
    </row>
    <row r="6532" spans="1:15" x14ac:dyDescent="0.25">
      <c r="A6532" s="786" t="s">
        <v>11690</v>
      </c>
      <c r="B6532" s="787">
        <v>4</v>
      </c>
      <c r="C6532" s="787" t="s">
        <v>11691</v>
      </c>
      <c r="D6532" s="787">
        <v>2.84</v>
      </c>
      <c r="E6532" s="787">
        <v>3.52</v>
      </c>
      <c r="F6532" s="788">
        <v>41180</v>
      </c>
      <c r="G6532" s="788">
        <v>42101</v>
      </c>
      <c r="H6532" s="787">
        <v>1</v>
      </c>
      <c r="I6532" s="788">
        <v>42163</v>
      </c>
      <c r="J6532" s="788">
        <v>42069</v>
      </c>
      <c r="K6532" s="788">
        <v>41443</v>
      </c>
      <c r="L6532" s="787">
        <v>1</v>
      </c>
      <c r="M6532" s="787">
        <v>10</v>
      </c>
      <c r="N6532" s="787">
        <v>3.87</v>
      </c>
      <c r="O6532" s="788">
        <v>42163</v>
      </c>
    </row>
    <row r="6533" spans="1:15" x14ac:dyDescent="0.25">
      <c r="A6533" s="786" t="s">
        <v>11692</v>
      </c>
      <c r="B6533" s="787">
        <v>4</v>
      </c>
      <c r="C6533" s="787" t="s">
        <v>11693</v>
      </c>
      <c r="D6533" s="787">
        <v>1.08</v>
      </c>
      <c r="E6533" s="787">
        <v>2.08</v>
      </c>
      <c r="F6533" s="788">
        <v>41135</v>
      </c>
      <c r="G6533" s="788">
        <v>42101</v>
      </c>
      <c r="H6533" s="787">
        <v>1</v>
      </c>
      <c r="I6533" s="788">
        <v>42163</v>
      </c>
      <c r="J6533" s="788">
        <v>42069</v>
      </c>
      <c r="K6533" s="788">
        <v>41421</v>
      </c>
      <c r="L6533" s="787">
        <v>3.63</v>
      </c>
      <c r="M6533" s="787">
        <v>10</v>
      </c>
      <c r="N6533" s="787">
        <v>3.5</v>
      </c>
      <c r="O6533" s="788">
        <v>42163</v>
      </c>
    </row>
    <row r="6534" spans="1:15" x14ac:dyDescent="0.25">
      <c r="A6534" s="786" t="s">
        <v>11694</v>
      </c>
      <c r="B6534" s="787">
        <v>4</v>
      </c>
      <c r="C6534" s="787" t="s">
        <v>11695</v>
      </c>
      <c r="D6534" s="787">
        <v>1.1299999999999999</v>
      </c>
      <c r="E6534" s="787">
        <v>1.78</v>
      </c>
      <c r="F6534" s="788">
        <v>39456</v>
      </c>
      <c r="G6534" s="788">
        <v>42101</v>
      </c>
      <c r="H6534" s="787">
        <v>1</v>
      </c>
      <c r="I6534" s="788">
        <v>42163</v>
      </c>
      <c r="J6534" s="788">
        <v>42069</v>
      </c>
      <c r="K6534" s="788">
        <v>41421</v>
      </c>
      <c r="L6534" s="787">
        <v>2.93</v>
      </c>
      <c r="M6534" s="787">
        <v>10</v>
      </c>
      <c r="N6534" s="787">
        <v>3.5</v>
      </c>
      <c r="O6534" s="788">
        <v>42163</v>
      </c>
    </row>
    <row r="6535" spans="1:15" x14ac:dyDescent="0.25">
      <c r="A6535" s="786" t="s">
        <v>11696</v>
      </c>
      <c r="B6535" s="787">
        <v>4</v>
      </c>
      <c r="C6535" s="787" t="s">
        <v>11697</v>
      </c>
      <c r="D6535" s="787">
        <v>1.24</v>
      </c>
      <c r="E6535" s="787">
        <v>4.5999999999999996</v>
      </c>
      <c r="F6535" s="788">
        <v>39975</v>
      </c>
      <c r="G6535" s="788">
        <v>41943</v>
      </c>
      <c r="H6535" s="787">
        <v>1</v>
      </c>
      <c r="I6535" s="788">
        <v>42146</v>
      </c>
      <c r="J6535" s="788">
        <v>41544</v>
      </c>
      <c r="K6535" s="788">
        <v>41471</v>
      </c>
      <c r="L6535" s="787">
        <v>2.83</v>
      </c>
      <c r="M6535" s="787">
        <v>10</v>
      </c>
      <c r="N6535" s="787">
        <v>3.01</v>
      </c>
      <c r="O6535" s="788">
        <v>42163</v>
      </c>
    </row>
    <row r="6536" spans="1:15" x14ac:dyDescent="0.25">
      <c r="A6536" s="786" t="s">
        <v>11698</v>
      </c>
      <c r="B6536" s="787">
        <v>4</v>
      </c>
      <c r="C6536" s="787" t="s">
        <v>11699</v>
      </c>
      <c r="D6536" s="787">
        <v>1.18</v>
      </c>
      <c r="E6536" s="787">
        <v>2.4900000000000002</v>
      </c>
      <c r="F6536" s="788">
        <v>39456</v>
      </c>
      <c r="G6536" s="788">
        <v>41943</v>
      </c>
      <c r="H6536" s="787">
        <v>1</v>
      </c>
      <c r="I6536" s="788">
        <v>42146</v>
      </c>
      <c r="J6536" s="788">
        <v>41544</v>
      </c>
      <c r="K6536" s="788">
        <v>41471</v>
      </c>
      <c r="L6536" s="787">
        <v>2.83</v>
      </c>
      <c r="M6536" s="787">
        <v>10</v>
      </c>
      <c r="N6536" s="787">
        <v>3.01</v>
      </c>
      <c r="O6536" s="788">
        <v>42163</v>
      </c>
    </row>
    <row r="6537" spans="1:15" x14ac:dyDescent="0.25">
      <c r="A6537" s="786" t="s">
        <v>11700</v>
      </c>
      <c r="B6537" s="787">
        <v>4</v>
      </c>
      <c r="C6537" s="787" t="s">
        <v>11701</v>
      </c>
      <c r="D6537" s="787">
        <v>0</v>
      </c>
      <c r="E6537" s="787">
        <v>0</v>
      </c>
      <c r="H6537" s="787">
        <v>1</v>
      </c>
      <c r="I6537" s="788">
        <v>42165</v>
      </c>
      <c r="J6537" s="788">
        <v>41710</v>
      </c>
      <c r="K6537" s="788">
        <v>41710</v>
      </c>
      <c r="L6537" s="787">
        <v>7</v>
      </c>
      <c r="M6537" s="787">
        <v>10</v>
      </c>
      <c r="N6537" s="787">
        <v>6.6</v>
      </c>
      <c r="O6537" s="788">
        <v>41858</v>
      </c>
    </row>
    <row r="6538" spans="1:15" x14ac:dyDescent="0.25">
      <c r="A6538" s="786" t="s">
        <v>11702</v>
      </c>
      <c r="B6538" s="787">
        <v>4</v>
      </c>
      <c r="C6538" s="787" t="s">
        <v>11701</v>
      </c>
      <c r="D6538" s="787">
        <v>0</v>
      </c>
      <c r="E6538" s="787">
        <v>0</v>
      </c>
      <c r="H6538" s="787">
        <v>1</v>
      </c>
      <c r="I6538" s="788">
        <v>42131</v>
      </c>
      <c r="J6538" s="788">
        <v>41710</v>
      </c>
      <c r="K6538" s="788">
        <v>41710</v>
      </c>
      <c r="L6538" s="787">
        <v>8</v>
      </c>
      <c r="M6538" s="787">
        <v>10</v>
      </c>
      <c r="N6538" s="787">
        <v>7.56</v>
      </c>
      <c r="O6538" s="788">
        <v>42162</v>
      </c>
    </row>
    <row r="6539" spans="1:15" x14ac:dyDescent="0.25">
      <c r="A6539" s="786" t="s">
        <v>11703</v>
      </c>
      <c r="B6539" s="787">
        <v>4</v>
      </c>
      <c r="C6539" s="787" t="s">
        <v>11704</v>
      </c>
      <c r="D6539" s="787">
        <v>0</v>
      </c>
      <c r="E6539" s="787">
        <v>0</v>
      </c>
      <c r="H6539" s="787">
        <v>1</v>
      </c>
      <c r="I6539" s="788">
        <v>42166</v>
      </c>
      <c r="K6539" s="788">
        <v>42017</v>
      </c>
      <c r="L6539" s="787">
        <v>4.07</v>
      </c>
      <c r="M6539" s="787">
        <v>10</v>
      </c>
      <c r="N6539" s="787">
        <v>7.02</v>
      </c>
      <c r="O6539" s="788">
        <v>42153</v>
      </c>
    </row>
    <row r="6540" spans="1:15" x14ac:dyDescent="0.25">
      <c r="A6540" s="786" t="s">
        <v>11705</v>
      </c>
      <c r="B6540" s="787">
        <v>4</v>
      </c>
      <c r="C6540" s="787" t="s">
        <v>11706</v>
      </c>
      <c r="D6540" s="787">
        <v>0</v>
      </c>
      <c r="E6540" s="787">
        <v>0</v>
      </c>
      <c r="H6540" s="787">
        <v>1</v>
      </c>
      <c r="I6540" s="788">
        <v>42166</v>
      </c>
      <c r="K6540" s="788">
        <v>42017</v>
      </c>
      <c r="L6540" s="787">
        <v>4.07</v>
      </c>
      <c r="M6540" s="787">
        <v>10</v>
      </c>
      <c r="N6540" s="787">
        <v>7.02</v>
      </c>
      <c r="O6540" s="788">
        <v>42153</v>
      </c>
    </row>
    <row r="6541" spans="1:15" x14ac:dyDescent="0.25">
      <c r="A6541" s="786" t="s">
        <v>11707</v>
      </c>
      <c r="B6541" s="787">
        <v>4</v>
      </c>
      <c r="C6541" s="787" t="s">
        <v>11708</v>
      </c>
      <c r="D6541" s="787">
        <v>0.23</v>
      </c>
      <c r="E6541" s="787">
        <v>1.76</v>
      </c>
      <c r="F6541" s="788">
        <v>39975</v>
      </c>
      <c r="G6541" s="788">
        <v>41886</v>
      </c>
      <c r="H6541" s="787">
        <v>1</v>
      </c>
      <c r="I6541" s="788">
        <v>42151</v>
      </c>
      <c r="J6541" s="788">
        <v>41848</v>
      </c>
      <c r="K6541" s="788">
        <v>41417</v>
      </c>
      <c r="L6541" s="787">
        <v>0.97</v>
      </c>
      <c r="M6541" s="787">
        <v>10</v>
      </c>
      <c r="N6541" s="787">
        <v>9.2200000000000006</v>
      </c>
      <c r="O6541" s="788">
        <v>42027</v>
      </c>
    </row>
    <row r="6542" spans="1:15" x14ac:dyDescent="0.25">
      <c r="A6542" s="786" t="s">
        <v>11709</v>
      </c>
      <c r="B6542" s="787">
        <v>4</v>
      </c>
      <c r="C6542" s="787" t="s">
        <v>11710</v>
      </c>
      <c r="D6542" s="787">
        <v>1.1399999999999999</v>
      </c>
      <c r="E6542" s="787">
        <v>2.58</v>
      </c>
      <c r="F6542" s="788">
        <v>41369</v>
      </c>
      <c r="G6542" s="788">
        <v>41613</v>
      </c>
      <c r="H6542" s="787">
        <v>1</v>
      </c>
      <c r="I6542" s="788">
        <v>42160</v>
      </c>
      <c r="J6542" s="788">
        <v>42079</v>
      </c>
      <c r="K6542" s="788">
        <v>41331</v>
      </c>
      <c r="L6542" s="787">
        <v>1.82</v>
      </c>
      <c r="M6542" s="787">
        <v>10</v>
      </c>
      <c r="N6542" s="787">
        <v>9.94</v>
      </c>
      <c r="O6542" s="788">
        <v>42027</v>
      </c>
    </row>
    <row r="6543" spans="1:15" x14ac:dyDescent="0.25">
      <c r="A6543" s="786" t="s">
        <v>11711</v>
      </c>
      <c r="B6543" s="787">
        <v>4</v>
      </c>
      <c r="C6543" s="787" t="s">
        <v>11712</v>
      </c>
      <c r="D6543" s="787">
        <v>0.06</v>
      </c>
      <c r="E6543" s="787">
        <v>0.06</v>
      </c>
      <c r="F6543" s="788">
        <v>39456</v>
      </c>
      <c r="G6543" s="788">
        <v>42013</v>
      </c>
      <c r="H6543" s="787">
        <v>1</v>
      </c>
      <c r="I6543" s="788">
        <v>42118</v>
      </c>
      <c r="J6543" s="788">
        <v>39791</v>
      </c>
      <c r="K6543" s="788">
        <v>41471</v>
      </c>
      <c r="L6543" s="787">
        <v>0.14000000000000001</v>
      </c>
      <c r="M6543" s="787">
        <v>10</v>
      </c>
      <c r="N6543" s="787">
        <v>0.14000000000000001</v>
      </c>
      <c r="O6543" s="788">
        <v>41858</v>
      </c>
    </row>
    <row r="6544" spans="1:15" x14ac:dyDescent="0.25">
      <c r="A6544" s="786" t="s">
        <v>11713</v>
      </c>
      <c r="B6544" s="787">
        <v>4</v>
      </c>
      <c r="C6544" s="787" t="s">
        <v>11714</v>
      </c>
      <c r="D6544" s="787">
        <v>0.06</v>
      </c>
      <c r="E6544" s="787">
        <v>3.27</v>
      </c>
      <c r="F6544" s="788">
        <v>41135</v>
      </c>
      <c r="G6544" s="788">
        <v>42013</v>
      </c>
      <c r="H6544" s="787">
        <v>1</v>
      </c>
      <c r="I6544" s="788">
        <v>42163</v>
      </c>
      <c r="J6544" s="788">
        <v>41905</v>
      </c>
      <c r="K6544" s="788">
        <v>41471</v>
      </c>
      <c r="L6544" s="787">
        <v>0.22</v>
      </c>
      <c r="M6544" s="787">
        <v>10</v>
      </c>
      <c r="N6544" s="787">
        <v>0.96</v>
      </c>
      <c r="O6544" s="788">
        <v>42163</v>
      </c>
    </row>
    <row r="6545" spans="1:15" x14ac:dyDescent="0.25">
      <c r="A6545" s="786" t="s">
        <v>11715</v>
      </c>
      <c r="B6545" s="787">
        <v>4</v>
      </c>
      <c r="C6545" s="787" t="s">
        <v>11716</v>
      </c>
      <c r="D6545" s="787">
        <v>0.11</v>
      </c>
      <c r="E6545" s="787">
        <v>0.25</v>
      </c>
      <c r="F6545" s="788">
        <v>41579</v>
      </c>
      <c r="G6545" s="788">
        <v>42150</v>
      </c>
      <c r="H6545" s="787">
        <v>1</v>
      </c>
      <c r="I6545" s="788">
        <v>42165</v>
      </c>
      <c r="J6545" s="788">
        <v>42122</v>
      </c>
      <c r="K6545" s="788">
        <v>41228</v>
      </c>
      <c r="L6545" s="787">
        <v>0.17</v>
      </c>
      <c r="M6545" s="787">
        <v>10</v>
      </c>
      <c r="N6545" s="787">
        <v>0.95</v>
      </c>
      <c r="O6545" s="788">
        <v>42146</v>
      </c>
    </row>
    <row r="6546" spans="1:15" x14ac:dyDescent="0.25">
      <c r="A6546" s="786" t="s">
        <v>11717</v>
      </c>
      <c r="B6546" s="787">
        <v>4</v>
      </c>
      <c r="C6546" s="787" t="s">
        <v>11718</v>
      </c>
      <c r="D6546" s="787">
        <v>5.57</v>
      </c>
      <c r="E6546" s="787">
        <v>12.34</v>
      </c>
      <c r="F6546" s="788">
        <v>41135</v>
      </c>
      <c r="G6546" s="788">
        <v>42159</v>
      </c>
      <c r="H6546" s="787">
        <v>1</v>
      </c>
      <c r="I6546" s="788">
        <v>42166</v>
      </c>
      <c r="J6546" s="788">
        <v>42159</v>
      </c>
      <c r="K6546" s="788">
        <v>41172</v>
      </c>
      <c r="L6546" s="787">
        <v>15.25</v>
      </c>
      <c r="M6546" s="787">
        <v>10</v>
      </c>
      <c r="N6546" s="787">
        <v>15.48</v>
      </c>
      <c r="O6546" s="788">
        <v>42146</v>
      </c>
    </row>
    <row r="6547" spans="1:15" x14ac:dyDescent="0.25">
      <c r="A6547" s="786" t="s">
        <v>11719</v>
      </c>
      <c r="B6547" s="787">
        <v>4</v>
      </c>
      <c r="C6547" s="787" t="s">
        <v>11720</v>
      </c>
      <c r="D6547" s="787">
        <v>0</v>
      </c>
      <c r="E6547" s="787">
        <v>0</v>
      </c>
      <c r="H6547" s="787">
        <v>6</v>
      </c>
      <c r="I6547" s="788">
        <v>40255</v>
      </c>
      <c r="L6547" s="787">
        <v>0.49</v>
      </c>
      <c r="M6547" s="787">
        <v>10</v>
      </c>
      <c r="N6547" s="787">
        <v>0</v>
      </c>
      <c r="O6547" s="788">
        <v>40824</v>
      </c>
    </row>
    <row r="6548" spans="1:15" x14ac:dyDescent="0.25">
      <c r="A6548" s="786" t="s">
        <v>11721</v>
      </c>
      <c r="B6548" s="787">
        <v>4</v>
      </c>
      <c r="C6548" s="787" t="s">
        <v>11722</v>
      </c>
      <c r="D6548" s="787">
        <v>0</v>
      </c>
      <c r="E6548" s="787">
        <v>0</v>
      </c>
      <c r="H6548" s="787">
        <v>1</v>
      </c>
      <c r="I6548" s="788">
        <v>40255</v>
      </c>
      <c r="L6548" s="787">
        <v>0</v>
      </c>
      <c r="M6548" s="787">
        <v>10</v>
      </c>
      <c r="N6548" s="787">
        <v>7.8</v>
      </c>
      <c r="O6548" s="788">
        <v>42146</v>
      </c>
    </row>
    <row r="6549" spans="1:15" x14ac:dyDescent="0.25">
      <c r="A6549" s="786" t="s">
        <v>11723</v>
      </c>
      <c r="B6549" s="787">
        <v>4</v>
      </c>
      <c r="C6549" s="787" t="s">
        <v>11724</v>
      </c>
      <c r="D6549" s="787">
        <v>0</v>
      </c>
      <c r="E6549" s="787">
        <v>0</v>
      </c>
      <c r="H6549" s="787">
        <v>1</v>
      </c>
      <c r="I6549" s="788">
        <v>40480</v>
      </c>
      <c r="L6549" s="787">
        <v>0</v>
      </c>
      <c r="M6549" s="787">
        <v>10</v>
      </c>
      <c r="N6549" s="787">
        <v>5.07</v>
      </c>
      <c r="O6549" s="788">
        <v>42146</v>
      </c>
    </row>
    <row r="6550" spans="1:15" x14ac:dyDescent="0.25">
      <c r="A6550" s="786" t="s">
        <v>11725</v>
      </c>
      <c r="B6550" s="787">
        <v>4</v>
      </c>
      <c r="C6550" s="787" t="s">
        <v>11726</v>
      </c>
      <c r="D6550" s="787">
        <v>0</v>
      </c>
      <c r="E6550" s="787">
        <v>0</v>
      </c>
      <c r="H6550" s="787">
        <v>1</v>
      </c>
      <c r="I6550" s="788">
        <v>40480</v>
      </c>
      <c r="L6550" s="787">
        <v>0</v>
      </c>
      <c r="M6550" s="787">
        <v>10</v>
      </c>
      <c r="N6550" s="787">
        <v>5.15</v>
      </c>
      <c r="O6550" s="788">
        <v>42146</v>
      </c>
    </row>
    <row r="6551" spans="1:15" x14ac:dyDescent="0.25">
      <c r="A6551" s="786" t="s">
        <v>11727</v>
      </c>
      <c r="B6551" s="787">
        <v>4</v>
      </c>
      <c r="C6551" s="787" t="s">
        <v>11728</v>
      </c>
      <c r="D6551" s="787">
        <v>0</v>
      </c>
      <c r="E6551" s="787">
        <v>0</v>
      </c>
      <c r="H6551" s="787">
        <v>1</v>
      </c>
      <c r="I6551" s="788">
        <v>41115</v>
      </c>
      <c r="L6551" s="787">
        <v>0</v>
      </c>
      <c r="M6551" s="787">
        <v>10</v>
      </c>
      <c r="N6551" s="787">
        <v>5.15</v>
      </c>
      <c r="O6551" s="788">
        <v>42146</v>
      </c>
    </row>
    <row r="6552" spans="1:15" x14ac:dyDescent="0.25">
      <c r="A6552" s="786" t="s">
        <v>11729</v>
      </c>
      <c r="B6552" s="787">
        <v>4</v>
      </c>
      <c r="C6552" s="787" t="s">
        <v>11730</v>
      </c>
      <c r="D6552" s="787">
        <v>0</v>
      </c>
      <c r="E6552" s="787">
        <v>0</v>
      </c>
      <c r="H6552" s="787">
        <v>1</v>
      </c>
      <c r="I6552" s="788">
        <v>41865</v>
      </c>
      <c r="J6552" s="788">
        <v>41865</v>
      </c>
      <c r="K6552" s="788">
        <v>41866</v>
      </c>
      <c r="L6552" s="787">
        <v>6</v>
      </c>
      <c r="M6552" s="787">
        <v>10</v>
      </c>
      <c r="N6552" s="787">
        <v>27.66</v>
      </c>
      <c r="O6552" s="788">
        <v>42146</v>
      </c>
    </row>
    <row r="6553" spans="1:15" x14ac:dyDescent="0.25">
      <c r="A6553" s="786" t="s">
        <v>11731</v>
      </c>
      <c r="B6553" s="787">
        <v>4</v>
      </c>
      <c r="C6553" s="787" t="s">
        <v>11732</v>
      </c>
      <c r="D6553" s="787">
        <v>0</v>
      </c>
      <c r="E6553" s="787">
        <v>0</v>
      </c>
      <c r="H6553" s="787">
        <v>1</v>
      </c>
      <c r="I6553" s="788">
        <v>41865</v>
      </c>
      <c r="J6553" s="788">
        <v>41865</v>
      </c>
      <c r="K6553" s="788">
        <v>41866</v>
      </c>
      <c r="L6553" s="787">
        <v>6</v>
      </c>
      <c r="M6553" s="787">
        <v>10</v>
      </c>
      <c r="N6553" s="787">
        <v>27.66</v>
      </c>
      <c r="O6553" s="788">
        <v>42146</v>
      </c>
    </row>
    <row r="6554" spans="1:15" x14ac:dyDescent="0.25">
      <c r="A6554" s="786" t="s">
        <v>11733</v>
      </c>
      <c r="B6554" s="787">
        <v>4</v>
      </c>
      <c r="C6554" s="787" t="s">
        <v>11720</v>
      </c>
      <c r="D6554" s="787">
        <v>0.21</v>
      </c>
      <c r="E6554" s="787">
        <v>0.63</v>
      </c>
      <c r="F6554" s="788">
        <v>41135</v>
      </c>
      <c r="G6554" s="788">
        <v>42013</v>
      </c>
      <c r="H6554" s="787">
        <v>1</v>
      </c>
      <c r="I6554" s="788">
        <v>41956</v>
      </c>
      <c r="J6554" s="788">
        <v>41955</v>
      </c>
      <c r="K6554" s="788">
        <v>41436</v>
      </c>
      <c r="L6554" s="787">
        <v>1</v>
      </c>
      <c r="M6554" s="787">
        <v>10</v>
      </c>
      <c r="N6554" s="787">
        <v>0.95</v>
      </c>
      <c r="O6554" s="788">
        <v>42146</v>
      </c>
    </row>
    <row r="6555" spans="1:15" x14ac:dyDescent="0.25">
      <c r="A6555" s="786" t="s">
        <v>11734</v>
      </c>
      <c r="B6555" s="787">
        <v>4</v>
      </c>
      <c r="C6555" s="787" t="s">
        <v>11735</v>
      </c>
      <c r="D6555" s="787">
        <v>0.13</v>
      </c>
      <c r="E6555" s="787">
        <v>0.23</v>
      </c>
      <c r="F6555" s="788">
        <v>41135</v>
      </c>
      <c r="G6555" s="788">
        <v>42013</v>
      </c>
      <c r="H6555" s="787">
        <v>1</v>
      </c>
      <c r="I6555" s="788">
        <v>41956</v>
      </c>
      <c r="J6555" s="788">
        <v>41955</v>
      </c>
      <c r="K6555" s="788">
        <v>41436</v>
      </c>
      <c r="L6555" s="787">
        <v>1</v>
      </c>
      <c r="M6555" s="787">
        <v>10</v>
      </c>
      <c r="N6555" s="787">
        <v>0.98</v>
      </c>
      <c r="O6555" s="788">
        <v>42146</v>
      </c>
    </row>
    <row r="6556" spans="1:15" x14ac:dyDescent="0.25">
      <c r="A6556" s="786" t="s">
        <v>11736</v>
      </c>
      <c r="B6556" s="787">
        <v>4</v>
      </c>
      <c r="C6556" s="787" t="s">
        <v>11737</v>
      </c>
      <c r="D6556" s="787">
        <v>0</v>
      </c>
      <c r="E6556" s="787">
        <v>0</v>
      </c>
      <c r="H6556" s="787">
        <v>1</v>
      </c>
      <c r="I6556" s="788">
        <v>40533</v>
      </c>
      <c r="L6556" s="787">
        <v>0</v>
      </c>
      <c r="M6556" s="787">
        <v>10</v>
      </c>
      <c r="N6556" s="787">
        <v>4.34</v>
      </c>
      <c r="O6556" s="788">
        <v>42146</v>
      </c>
    </row>
    <row r="6557" spans="1:15" x14ac:dyDescent="0.25">
      <c r="A6557" s="786" t="s">
        <v>11738</v>
      </c>
      <c r="B6557" s="787">
        <v>4</v>
      </c>
      <c r="C6557" s="787" t="s">
        <v>11739</v>
      </c>
      <c r="D6557" s="787">
        <v>1.17</v>
      </c>
      <c r="E6557" s="787">
        <v>1.17</v>
      </c>
      <c r="F6557" s="788">
        <v>39975</v>
      </c>
      <c r="G6557" s="788">
        <v>40553</v>
      </c>
      <c r="H6557" s="787">
        <v>1</v>
      </c>
      <c r="I6557" s="788">
        <v>40262</v>
      </c>
      <c r="J6557" s="788">
        <v>40233</v>
      </c>
      <c r="L6557" s="787">
        <v>0</v>
      </c>
      <c r="M6557" s="787">
        <v>10</v>
      </c>
      <c r="N6557" s="787">
        <v>1.24</v>
      </c>
      <c r="O6557" s="788">
        <v>42146</v>
      </c>
    </row>
    <row r="6558" spans="1:15" x14ac:dyDescent="0.25">
      <c r="A6558" s="786" t="s">
        <v>11740</v>
      </c>
      <c r="B6558" s="787">
        <v>4</v>
      </c>
      <c r="C6558" s="787" t="s">
        <v>11741</v>
      </c>
      <c r="D6558" s="787">
        <v>1.82</v>
      </c>
      <c r="E6558" s="787">
        <v>1.82</v>
      </c>
      <c r="F6558" s="788">
        <v>39975</v>
      </c>
      <c r="G6558" s="788">
        <v>40178</v>
      </c>
      <c r="H6558" s="787">
        <v>1</v>
      </c>
      <c r="I6558" s="788">
        <v>40262</v>
      </c>
      <c r="J6558" s="788">
        <v>40120</v>
      </c>
      <c r="L6558" s="787">
        <v>0</v>
      </c>
      <c r="M6558" s="787">
        <v>10</v>
      </c>
      <c r="N6558" s="787">
        <v>1.86</v>
      </c>
      <c r="O6558" s="788">
        <v>42146</v>
      </c>
    </row>
    <row r="6559" spans="1:15" x14ac:dyDescent="0.25">
      <c r="A6559" s="786" t="s">
        <v>11742</v>
      </c>
      <c r="B6559" s="787">
        <v>4</v>
      </c>
      <c r="C6559" s="787" t="s">
        <v>11743</v>
      </c>
      <c r="D6559" s="787">
        <v>2.42</v>
      </c>
      <c r="E6559" s="787">
        <v>13.33</v>
      </c>
      <c r="F6559" s="788">
        <v>39456</v>
      </c>
      <c r="G6559" s="788">
        <v>41976</v>
      </c>
      <c r="H6559" s="787">
        <v>1</v>
      </c>
      <c r="I6559" s="788">
        <v>42166</v>
      </c>
      <c r="J6559" s="788">
        <v>41956</v>
      </c>
      <c r="K6559" s="788">
        <v>41287</v>
      </c>
      <c r="L6559" s="787">
        <v>8.9700000000000006</v>
      </c>
      <c r="M6559" s="787">
        <v>10</v>
      </c>
      <c r="N6559" s="787">
        <v>13.76</v>
      </c>
      <c r="O6559" s="788">
        <v>42146</v>
      </c>
    </row>
    <row r="6560" spans="1:15" x14ac:dyDescent="0.25">
      <c r="A6560" s="786" t="s">
        <v>11744</v>
      </c>
      <c r="B6560" s="787">
        <v>4</v>
      </c>
      <c r="C6560" s="787" t="s">
        <v>11745</v>
      </c>
      <c r="D6560" s="787">
        <v>5.0999999999999996</v>
      </c>
      <c r="E6560" s="787">
        <v>5.3</v>
      </c>
      <c r="F6560" s="788">
        <v>41168</v>
      </c>
      <c r="G6560" s="788">
        <v>42163</v>
      </c>
      <c r="H6560" s="787">
        <v>1</v>
      </c>
      <c r="I6560" s="788">
        <v>42165</v>
      </c>
      <c r="J6560" s="788">
        <v>42163</v>
      </c>
      <c r="K6560" s="788">
        <v>41029</v>
      </c>
      <c r="L6560" s="787">
        <v>5.3</v>
      </c>
      <c r="M6560" s="787">
        <v>20</v>
      </c>
      <c r="N6560" s="787">
        <v>5.7</v>
      </c>
      <c r="O6560" s="788">
        <v>42146</v>
      </c>
    </row>
    <row r="6561" spans="1:15" x14ac:dyDescent="0.25">
      <c r="A6561" s="786" t="s">
        <v>11746</v>
      </c>
      <c r="B6561" s="787">
        <v>4</v>
      </c>
      <c r="C6561" s="787" t="s">
        <v>11747</v>
      </c>
      <c r="D6561" s="787">
        <v>0.51</v>
      </c>
      <c r="E6561" s="787">
        <v>2.7</v>
      </c>
      <c r="F6561" s="788">
        <v>39975</v>
      </c>
      <c r="G6561" s="788">
        <v>42156</v>
      </c>
      <c r="H6561" s="787">
        <v>1</v>
      </c>
      <c r="I6561" s="788">
        <v>42156</v>
      </c>
      <c r="J6561" s="788">
        <v>42128</v>
      </c>
      <c r="K6561" s="788">
        <v>41408</v>
      </c>
      <c r="L6561" s="787">
        <v>3.59</v>
      </c>
      <c r="M6561" s="787">
        <v>10</v>
      </c>
      <c r="N6561" s="787">
        <v>2.2400000000000002</v>
      </c>
      <c r="O6561" s="788">
        <v>42146</v>
      </c>
    </row>
    <row r="6562" spans="1:15" x14ac:dyDescent="0.25">
      <c r="A6562" s="786" t="s">
        <v>11748</v>
      </c>
      <c r="B6562" s="787">
        <v>4</v>
      </c>
      <c r="C6562" s="787" t="s">
        <v>11749</v>
      </c>
      <c r="D6562" s="787">
        <v>0</v>
      </c>
      <c r="E6562" s="787">
        <v>0</v>
      </c>
      <c r="G6562" s="788">
        <v>41943</v>
      </c>
      <c r="H6562" s="787">
        <v>1</v>
      </c>
      <c r="I6562" s="788">
        <v>41989</v>
      </c>
      <c r="J6562" s="788">
        <v>40261</v>
      </c>
      <c r="K6562" s="788">
        <v>42019</v>
      </c>
      <c r="L6562" s="787">
        <v>1.59</v>
      </c>
      <c r="M6562" s="787">
        <v>10</v>
      </c>
      <c r="N6562" s="787">
        <v>17.8</v>
      </c>
      <c r="O6562" s="788">
        <v>42027</v>
      </c>
    </row>
    <row r="6563" spans="1:15" x14ac:dyDescent="0.25">
      <c r="A6563" s="786" t="s">
        <v>11750</v>
      </c>
      <c r="B6563" s="787">
        <v>4</v>
      </c>
      <c r="C6563" s="787" t="s">
        <v>11751</v>
      </c>
      <c r="D6563" s="787">
        <v>0</v>
      </c>
      <c r="E6563" s="787">
        <v>0</v>
      </c>
      <c r="H6563" s="787">
        <v>1</v>
      </c>
      <c r="I6563" s="788">
        <v>41975</v>
      </c>
      <c r="L6563" s="787">
        <v>0</v>
      </c>
      <c r="M6563" s="787">
        <v>10</v>
      </c>
      <c r="N6563" s="787">
        <v>19.48</v>
      </c>
      <c r="O6563" s="788">
        <v>42146</v>
      </c>
    </row>
    <row r="6564" spans="1:15" x14ac:dyDescent="0.25">
      <c r="A6564" s="786" t="s">
        <v>11752</v>
      </c>
      <c r="B6564" s="787">
        <v>4</v>
      </c>
      <c r="C6564" s="787" t="s">
        <v>11753</v>
      </c>
      <c r="D6564" s="787">
        <v>0</v>
      </c>
      <c r="E6564" s="787">
        <v>0</v>
      </c>
      <c r="H6564" s="787">
        <v>1</v>
      </c>
      <c r="I6564" s="788">
        <v>41975</v>
      </c>
      <c r="L6564" s="787">
        <v>0</v>
      </c>
      <c r="M6564" s="787">
        <v>10</v>
      </c>
      <c r="N6564" s="787">
        <v>18.29</v>
      </c>
      <c r="O6564" s="788">
        <v>42146</v>
      </c>
    </row>
    <row r="6565" spans="1:15" x14ac:dyDescent="0.25">
      <c r="A6565" s="786" t="s">
        <v>11754</v>
      </c>
      <c r="B6565" s="787">
        <v>4</v>
      </c>
      <c r="C6565" s="787" t="s">
        <v>11755</v>
      </c>
      <c r="D6565" s="787">
        <v>0.79</v>
      </c>
      <c r="E6565" s="787">
        <v>1</v>
      </c>
      <c r="F6565" s="788">
        <v>39456</v>
      </c>
      <c r="G6565" s="788">
        <v>42013</v>
      </c>
      <c r="H6565" s="787">
        <v>1</v>
      </c>
      <c r="I6565" s="788">
        <v>41956</v>
      </c>
      <c r="J6565" s="788">
        <v>41921</v>
      </c>
      <c r="K6565" s="788">
        <v>41710</v>
      </c>
      <c r="L6565" s="787">
        <v>1.5</v>
      </c>
      <c r="M6565" s="787">
        <v>10</v>
      </c>
      <c r="N6565" s="787">
        <v>1.61</v>
      </c>
      <c r="O6565" s="788">
        <v>42146</v>
      </c>
    </row>
    <row r="6566" spans="1:15" x14ac:dyDescent="0.25">
      <c r="A6566" s="786" t="s">
        <v>11756</v>
      </c>
      <c r="B6566" s="787">
        <v>4</v>
      </c>
      <c r="C6566" s="787" t="s">
        <v>11757</v>
      </c>
      <c r="D6566" s="787">
        <v>0.69</v>
      </c>
      <c r="E6566" s="787">
        <v>11.17</v>
      </c>
      <c r="F6566" s="788">
        <v>39975</v>
      </c>
      <c r="G6566" s="788">
        <v>42013</v>
      </c>
      <c r="H6566" s="787">
        <v>1</v>
      </c>
      <c r="I6566" s="788">
        <v>42073</v>
      </c>
      <c r="J6566" s="788">
        <v>41957</v>
      </c>
      <c r="K6566" s="788">
        <v>41858</v>
      </c>
      <c r="L6566" s="787">
        <v>6.07</v>
      </c>
      <c r="M6566" s="787">
        <v>10</v>
      </c>
      <c r="N6566" s="787">
        <v>6.29</v>
      </c>
      <c r="O6566" s="788">
        <v>42146</v>
      </c>
    </row>
    <row r="6567" spans="1:15" x14ac:dyDescent="0.25">
      <c r="A6567" s="786" t="s">
        <v>11758</v>
      </c>
      <c r="B6567" s="787">
        <v>4</v>
      </c>
      <c r="C6567" s="787" t="s">
        <v>11759</v>
      </c>
      <c r="D6567" s="787">
        <v>0.01</v>
      </c>
      <c r="E6567" s="787">
        <v>10.75</v>
      </c>
      <c r="F6567" s="788">
        <v>39975</v>
      </c>
      <c r="G6567" s="788">
        <v>42013</v>
      </c>
      <c r="H6567" s="787">
        <v>1</v>
      </c>
      <c r="I6567" s="788">
        <v>42073</v>
      </c>
      <c r="J6567" s="788">
        <v>41957</v>
      </c>
      <c r="K6567" s="788">
        <v>41858</v>
      </c>
      <c r="L6567" s="787">
        <v>6.07</v>
      </c>
      <c r="M6567" s="787">
        <v>10</v>
      </c>
      <c r="N6567" s="787">
        <v>6.29</v>
      </c>
      <c r="O6567" s="788">
        <v>42146</v>
      </c>
    </row>
    <row r="6568" spans="1:15" x14ac:dyDescent="0.25">
      <c r="A6568" s="786" t="s">
        <v>11760</v>
      </c>
      <c r="B6568" s="787">
        <v>4</v>
      </c>
      <c r="C6568" s="787" t="s">
        <v>11761</v>
      </c>
      <c r="D6568" s="787">
        <v>0.43</v>
      </c>
      <c r="E6568" s="787">
        <v>2.2200000000000002</v>
      </c>
      <c r="F6568" s="788">
        <v>39975</v>
      </c>
      <c r="G6568" s="788">
        <v>42013</v>
      </c>
      <c r="H6568" s="787">
        <v>1</v>
      </c>
      <c r="I6568" s="788">
        <v>42073</v>
      </c>
      <c r="J6568" s="788">
        <v>41927</v>
      </c>
      <c r="K6568" s="788">
        <v>41858</v>
      </c>
      <c r="L6568" s="787">
        <v>1.72</v>
      </c>
      <c r="M6568" s="787">
        <v>10</v>
      </c>
      <c r="N6568" s="787">
        <v>3.05</v>
      </c>
      <c r="O6568" s="788">
        <v>42146</v>
      </c>
    </row>
    <row r="6569" spans="1:15" x14ac:dyDescent="0.25">
      <c r="A6569" s="786" t="s">
        <v>11762</v>
      </c>
      <c r="B6569" s="787">
        <v>4</v>
      </c>
      <c r="C6569" s="787" t="s">
        <v>11763</v>
      </c>
      <c r="D6569" s="787">
        <v>0.43</v>
      </c>
      <c r="E6569" s="787">
        <v>5.28</v>
      </c>
      <c r="F6569" s="788">
        <v>39975</v>
      </c>
      <c r="G6569" s="788">
        <v>42013</v>
      </c>
      <c r="H6569" s="787">
        <v>1</v>
      </c>
      <c r="I6569" s="788">
        <v>42073</v>
      </c>
      <c r="J6569" s="788">
        <v>41927</v>
      </c>
      <c r="K6569" s="788">
        <v>41858</v>
      </c>
      <c r="L6569" s="787">
        <v>1.72</v>
      </c>
      <c r="M6569" s="787">
        <v>10</v>
      </c>
      <c r="N6569" s="787">
        <v>3.05</v>
      </c>
      <c r="O6569" s="788">
        <v>42146</v>
      </c>
    </row>
    <row r="6570" spans="1:15" x14ac:dyDescent="0.25">
      <c r="A6570" s="786" t="s">
        <v>11764</v>
      </c>
      <c r="B6570" s="787">
        <v>4</v>
      </c>
      <c r="C6570" s="787" t="s">
        <v>11765</v>
      </c>
      <c r="D6570" s="787">
        <v>0.09</v>
      </c>
      <c r="E6570" s="787">
        <v>10.37</v>
      </c>
      <c r="F6570" s="788">
        <v>39975</v>
      </c>
      <c r="G6570" s="788">
        <v>42013</v>
      </c>
      <c r="H6570" s="787">
        <v>1</v>
      </c>
      <c r="I6570" s="788">
        <v>42041</v>
      </c>
      <c r="J6570" s="788">
        <v>41611</v>
      </c>
      <c r="K6570" s="788">
        <v>41858</v>
      </c>
      <c r="L6570" s="787">
        <v>10.81</v>
      </c>
      <c r="M6570" s="787">
        <v>10</v>
      </c>
      <c r="N6570" s="787">
        <v>8.64</v>
      </c>
      <c r="O6570" s="788">
        <v>42146</v>
      </c>
    </row>
    <row r="6571" spans="1:15" x14ac:dyDescent="0.25">
      <c r="A6571" s="786" t="s">
        <v>11766</v>
      </c>
      <c r="B6571" s="787">
        <v>4</v>
      </c>
      <c r="C6571" s="787" t="s">
        <v>11767</v>
      </c>
      <c r="D6571" s="787">
        <v>1.51</v>
      </c>
      <c r="E6571" s="787">
        <v>14.59</v>
      </c>
      <c r="F6571" s="788">
        <v>39975</v>
      </c>
      <c r="G6571" s="788">
        <v>42013</v>
      </c>
      <c r="H6571" s="787">
        <v>1</v>
      </c>
      <c r="I6571" s="788">
        <v>41971</v>
      </c>
      <c r="J6571" s="788">
        <v>41957</v>
      </c>
      <c r="K6571" s="788">
        <v>41858</v>
      </c>
      <c r="L6571" s="787">
        <v>12.54</v>
      </c>
      <c r="M6571" s="787">
        <v>10</v>
      </c>
      <c r="N6571" s="787">
        <v>8.2200000000000006</v>
      </c>
      <c r="O6571" s="788">
        <v>42045</v>
      </c>
    </row>
    <row r="6572" spans="1:15" x14ac:dyDescent="0.25">
      <c r="A6572" s="786" t="s">
        <v>11768</v>
      </c>
      <c r="B6572" s="787">
        <v>4</v>
      </c>
      <c r="C6572" s="787" t="s">
        <v>11769</v>
      </c>
      <c r="D6572" s="787">
        <v>0.96</v>
      </c>
      <c r="E6572" s="787">
        <v>12.9</v>
      </c>
      <c r="F6572" s="788">
        <v>39975</v>
      </c>
      <c r="G6572" s="788">
        <v>42013</v>
      </c>
      <c r="H6572" s="787">
        <v>1</v>
      </c>
      <c r="I6572" s="788">
        <v>41971</v>
      </c>
      <c r="J6572" s="788">
        <v>41957</v>
      </c>
      <c r="K6572" s="788">
        <v>41858</v>
      </c>
      <c r="L6572" s="787">
        <v>10.81</v>
      </c>
      <c r="M6572" s="787">
        <v>10</v>
      </c>
      <c r="N6572" s="787">
        <v>8.64</v>
      </c>
      <c r="O6572" s="788">
        <v>42045</v>
      </c>
    </row>
    <row r="6573" spans="1:15" x14ac:dyDescent="0.25">
      <c r="A6573" s="786" t="s">
        <v>11770</v>
      </c>
      <c r="B6573" s="787">
        <v>4</v>
      </c>
      <c r="C6573" s="787" t="s">
        <v>11771</v>
      </c>
      <c r="D6573" s="787">
        <v>0.67</v>
      </c>
      <c r="E6573" s="787">
        <v>20.82</v>
      </c>
      <c r="F6573" s="788">
        <v>39975</v>
      </c>
      <c r="G6573" s="788">
        <v>41943</v>
      </c>
      <c r="H6573" s="787">
        <v>1</v>
      </c>
      <c r="I6573" s="788">
        <v>42041</v>
      </c>
      <c r="J6573" s="788">
        <v>41232</v>
      </c>
      <c r="K6573" s="788">
        <v>41858</v>
      </c>
      <c r="L6573" s="787">
        <v>13.12</v>
      </c>
      <c r="M6573" s="787">
        <v>10</v>
      </c>
      <c r="N6573" s="787">
        <v>9.0299999999999994</v>
      </c>
      <c r="O6573" s="788">
        <v>42146</v>
      </c>
    </row>
    <row r="6574" spans="1:15" x14ac:dyDescent="0.25">
      <c r="A6574" s="786" t="s">
        <v>11772</v>
      </c>
      <c r="B6574" s="787">
        <v>4</v>
      </c>
      <c r="C6574" s="787" t="s">
        <v>11773</v>
      </c>
      <c r="D6574" s="787">
        <v>0.02</v>
      </c>
      <c r="E6574" s="787">
        <v>0.24</v>
      </c>
      <c r="F6574" s="788">
        <v>39975</v>
      </c>
      <c r="G6574" s="788">
        <v>42013</v>
      </c>
      <c r="H6574" s="787">
        <v>1</v>
      </c>
      <c r="I6574" s="788">
        <v>42073</v>
      </c>
      <c r="J6574" s="788">
        <v>41927</v>
      </c>
      <c r="K6574" s="788">
        <v>42019</v>
      </c>
      <c r="L6574" s="787">
        <v>0.16</v>
      </c>
      <c r="M6574" s="787">
        <v>10</v>
      </c>
      <c r="N6574" s="787">
        <v>0.54</v>
      </c>
      <c r="O6574" s="788">
        <v>42146</v>
      </c>
    </row>
    <row r="6575" spans="1:15" x14ac:dyDescent="0.25">
      <c r="A6575" s="786" t="s">
        <v>11774</v>
      </c>
      <c r="B6575" s="787">
        <v>4</v>
      </c>
      <c r="C6575" s="787" t="s">
        <v>11775</v>
      </c>
      <c r="D6575" s="787">
        <v>0.06</v>
      </c>
      <c r="E6575" s="787">
        <v>1.95</v>
      </c>
      <c r="F6575" s="788">
        <v>39456</v>
      </c>
      <c r="G6575" s="788">
        <v>41565</v>
      </c>
      <c r="H6575" s="787">
        <v>1</v>
      </c>
      <c r="I6575" s="788">
        <v>42073</v>
      </c>
      <c r="J6575" s="788">
        <v>40952</v>
      </c>
      <c r="K6575" s="788">
        <v>42019</v>
      </c>
      <c r="L6575" s="787">
        <v>0.85</v>
      </c>
      <c r="M6575" s="787">
        <v>10</v>
      </c>
      <c r="N6575" s="787">
        <v>1.6</v>
      </c>
      <c r="O6575" s="788">
        <v>42146</v>
      </c>
    </row>
    <row r="6576" spans="1:15" x14ac:dyDescent="0.25">
      <c r="A6576" s="786" t="s">
        <v>11776</v>
      </c>
      <c r="B6576" s="787">
        <v>4</v>
      </c>
      <c r="C6576" s="787" t="s">
        <v>11777</v>
      </c>
      <c r="D6576" s="787">
        <v>1.36</v>
      </c>
      <c r="E6576" s="787">
        <v>1.46</v>
      </c>
      <c r="F6576" s="788">
        <v>40018</v>
      </c>
      <c r="G6576" s="788">
        <v>42013</v>
      </c>
      <c r="H6576" s="787">
        <v>1</v>
      </c>
      <c r="I6576" s="788">
        <v>42073</v>
      </c>
      <c r="J6576" s="788">
        <v>41953</v>
      </c>
      <c r="K6576" s="788">
        <v>41969</v>
      </c>
      <c r="L6576" s="787">
        <v>1.58</v>
      </c>
      <c r="M6576" s="787">
        <v>20</v>
      </c>
      <c r="N6576" s="787">
        <v>1.7</v>
      </c>
      <c r="O6576" s="788">
        <v>42146</v>
      </c>
    </row>
    <row r="6577" spans="1:15" x14ac:dyDescent="0.25">
      <c r="A6577" s="786" t="s">
        <v>11778</v>
      </c>
      <c r="B6577" s="787">
        <v>4</v>
      </c>
      <c r="C6577" s="787" t="s">
        <v>11779</v>
      </c>
      <c r="D6577" s="787">
        <v>0</v>
      </c>
      <c r="E6577" s="787">
        <v>0</v>
      </c>
      <c r="H6577" s="787">
        <v>1</v>
      </c>
      <c r="I6577" s="788">
        <v>41975</v>
      </c>
      <c r="K6577" s="788">
        <v>41022</v>
      </c>
      <c r="L6577" s="787">
        <v>5.4</v>
      </c>
      <c r="M6577" s="787">
        <v>10</v>
      </c>
      <c r="N6577" s="787">
        <v>5.31</v>
      </c>
      <c r="O6577" s="788">
        <v>42146</v>
      </c>
    </row>
    <row r="6578" spans="1:15" x14ac:dyDescent="0.25">
      <c r="A6578" s="786" t="s">
        <v>11780</v>
      </c>
      <c r="B6578" s="787">
        <v>4</v>
      </c>
      <c r="C6578" s="787" t="s">
        <v>11781</v>
      </c>
      <c r="D6578" s="787">
        <v>0</v>
      </c>
      <c r="E6578" s="787">
        <v>0</v>
      </c>
      <c r="H6578" s="787">
        <v>1</v>
      </c>
      <c r="I6578" s="788">
        <v>41975</v>
      </c>
      <c r="K6578" s="788">
        <v>41022</v>
      </c>
      <c r="L6578" s="787">
        <v>5.4</v>
      </c>
      <c r="M6578" s="787">
        <v>10</v>
      </c>
      <c r="N6578" s="787">
        <v>5.31</v>
      </c>
      <c r="O6578" s="788">
        <v>42146</v>
      </c>
    </row>
    <row r="6579" spans="1:15" x14ac:dyDescent="0.25">
      <c r="A6579" s="786" t="s">
        <v>11782</v>
      </c>
      <c r="B6579" s="787">
        <v>4</v>
      </c>
      <c r="C6579" s="787" t="s">
        <v>11783</v>
      </c>
      <c r="D6579" s="787">
        <v>0.34</v>
      </c>
      <c r="E6579" s="787">
        <v>4.3600000000000003</v>
      </c>
      <c r="F6579" s="788">
        <v>39456</v>
      </c>
      <c r="G6579" s="788">
        <v>42164</v>
      </c>
      <c r="H6579" s="787">
        <v>1</v>
      </c>
      <c r="I6579" s="788">
        <v>42156</v>
      </c>
      <c r="J6579" s="788">
        <v>42164</v>
      </c>
      <c r="K6579" s="788">
        <v>41382</v>
      </c>
      <c r="L6579" s="787">
        <v>1.61</v>
      </c>
      <c r="M6579" s="787">
        <v>10</v>
      </c>
      <c r="N6579" s="787">
        <v>2.2799999999999998</v>
      </c>
      <c r="O6579" s="788">
        <v>42146</v>
      </c>
    </row>
    <row r="6580" spans="1:15" x14ac:dyDescent="0.25">
      <c r="A6580" s="786" t="s">
        <v>11784</v>
      </c>
      <c r="B6580" s="787">
        <v>4</v>
      </c>
      <c r="C6580" s="787" t="s">
        <v>11785</v>
      </c>
      <c r="D6580" s="787">
        <v>1.25</v>
      </c>
      <c r="E6580" s="787">
        <v>1.37</v>
      </c>
      <c r="F6580" s="788">
        <v>41927</v>
      </c>
      <c r="G6580" s="788">
        <v>42114</v>
      </c>
      <c r="H6580" s="787">
        <v>1</v>
      </c>
      <c r="I6580" s="788">
        <v>42165</v>
      </c>
      <c r="J6580" s="788">
        <v>42087</v>
      </c>
      <c r="K6580" s="788">
        <v>41376</v>
      </c>
      <c r="L6580" s="787">
        <v>5.04</v>
      </c>
      <c r="M6580" s="787">
        <v>10</v>
      </c>
      <c r="N6580" s="787">
        <v>3.07</v>
      </c>
      <c r="O6580" s="788">
        <v>42146</v>
      </c>
    </row>
    <row r="6581" spans="1:15" x14ac:dyDescent="0.25">
      <c r="A6581" s="786" t="s">
        <v>11786</v>
      </c>
      <c r="B6581" s="787">
        <v>4</v>
      </c>
      <c r="C6581" s="787" t="s">
        <v>11787</v>
      </c>
      <c r="D6581" s="787">
        <v>0.13</v>
      </c>
      <c r="E6581" s="787">
        <v>0.13</v>
      </c>
      <c r="F6581" s="788">
        <v>39974</v>
      </c>
      <c r="G6581" s="788">
        <v>42013</v>
      </c>
      <c r="H6581" s="787">
        <v>1</v>
      </c>
      <c r="I6581" s="788">
        <v>41971</v>
      </c>
      <c r="J6581" s="788">
        <v>40512</v>
      </c>
      <c r="K6581" s="788">
        <v>42038</v>
      </c>
      <c r="L6581" s="787">
        <v>0.15</v>
      </c>
      <c r="M6581" s="787">
        <v>10</v>
      </c>
      <c r="N6581" s="787">
        <v>0.21</v>
      </c>
      <c r="O6581" s="788">
        <v>42038</v>
      </c>
    </row>
    <row r="6582" spans="1:15" x14ac:dyDescent="0.25">
      <c r="A6582" s="786" t="s">
        <v>11788</v>
      </c>
      <c r="B6582" s="787">
        <v>4</v>
      </c>
      <c r="C6582" s="787" t="s">
        <v>11789</v>
      </c>
      <c r="D6582" s="787">
        <v>0</v>
      </c>
      <c r="E6582" s="787">
        <v>0</v>
      </c>
      <c r="H6582" s="787">
        <v>1</v>
      </c>
      <c r="I6582" s="788">
        <v>41914</v>
      </c>
      <c r="L6582" s="787">
        <v>0</v>
      </c>
      <c r="M6582" s="787">
        <v>10</v>
      </c>
      <c r="N6582" s="787">
        <v>6.7</v>
      </c>
      <c r="O6582" s="788">
        <v>40458</v>
      </c>
    </row>
    <row r="6583" spans="1:15" x14ac:dyDescent="0.25">
      <c r="A6583" s="786" t="s">
        <v>11790</v>
      </c>
      <c r="B6583" s="787">
        <v>4</v>
      </c>
      <c r="C6583" s="787" t="s">
        <v>11791</v>
      </c>
      <c r="D6583" s="787">
        <v>0.04</v>
      </c>
      <c r="E6583" s="787">
        <v>9.75</v>
      </c>
      <c r="F6583" s="788">
        <v>40077</v>
      </c>
      <c r="G6583" s="788">
        <v>42088</v>
      </c>
      <c r="H6583" s="787">
        <v>1</v>
      </c>
      <c r="I6583" s="788">
        <v>42075</v>
      </c>
      <c r="J6583" s="788">
        <v>42059</v>
      </c>
      <c r="K6583" s="788">
        <v>41331</v>
      </c>
      <c r="L6583" s="787">
        <v>6.26</v>
      </c>
      <c r="M6583" s="787">
        <v>10</v>
      </c>
      <c r="N6583" s="787">
        <v>8.93</v>
      </c>
      <c r="O6583" s="788">
        <v>42146</v>
      </c>
    </row>
    <row r="6584" spans="1:15" x14ac:dyDescent="0.25">
      <c r="A6584" s="786" t="s">
        <v>11792</v>
      </c>
      <c r="B6584" s="787">
        <v>4</v>
      </c>
      <c r="C6584" s="787" t="s">
        <v>11793</v>
      </c>
      <c r="D6584" s="787">
        <v>0.26</v>
      </c>
      <c r="E6584" s="787">
        <v>0.98</v>
      </c>
      <c r="F6584" s="788">
        <v>39456</v>
      </c>
      <c r="G6584" s="788">
        <v>41943</v>
      </c>
      <c r="H6584" s="787">
        <v>1</v>
      </c>
      <c r="I6584" s="788">
        <v>41968</v>
      </c>
      <c r="J6584" s="788">
        <v>40799</v>
      </c>
      <c r="L6584" s="787">
        <v>0</v>
      </c>
      <c r="M6584" s="787">
        <v>10</v>
      </c>
      <c r="N6584" s="787">
        <v>0.87</v>
      </c>
      <c r="O6584" s="788">
        <v>41858</v>
      </c>
    </row>
    <row r="6585" spans="1:15" x14ac:dyDescent="0.25">
      <c r="A6585" s="786" t="s">
        <v>11794</v>
      </c>
      <c r="B6585" s="787">
        <v>4</v>
      </c>
      <c r="C6585" s="787" t="s">
        <v>11795</v>
      </c>
      <c r="D6585" s="787">
        <v>3.48</v>
      </c>
      <c r="E6585" s="787">
        <v>3.48</v>
      </c>
      <c r="F6585" s="788">
        <v>39975</v>
      </c>
      <c r="G6585" s="788">
        <v>41943</v>
      </c>
      <c r="H6585" s="787">
        <v>1</v>
      </c>
      <c r="I6585" s="788">
        <v>42118</v>
      </c>
      <c r="J6585" s="788">
        <v>39848</v>
      </c>
      <c r="K6585" s="788">
        <v>41471</v>
      </c>
      <c r="L6585" s="787">
        <v>3.05</v>
      </c>
      <c r="M6585" s="787">
        <v>10</v>
      </c>
      <c r="N6585" s="787">
        <v>2.98</v>
      </c>
      <c r="O6585" s="788">
        <v>42163</v>
      </c>
    </row>
    <row r="6586" spans="1:15" x14ac:dyDescent="0.25">
      <c r="A6586" s="786" t="s">
        <v>11796</v>
      </c>
      <c r="B6586" s="787">
        <v>4</v>
      </c>
      <c r="C6586" s="787" t="s">
        <v>11797</v>
      </c>
      <c r="D6586" s="787">
        <v>1.1599999999999999</v>
      </c>
      <c r="E6586" s="787">
        <v>1.1599999999999999</v>
      </c>
      <c r="F6586" s="788">
        <v>39975</v>
      </c>
      <c r="G6586" s="788">
        <v>41943</v>
      </c>
      <c r="H6586" s="787">
        <v>1</v>
      </c>
      <c r="I6586" s="788">
        <v>42118</v>
      </c>
      <c r="J6586" s="788">
        <v>39848</v>
      </c>
      <c r="K6586" s="788">
        <v>41471</v>
      </c>
      <c r="L6586" s="787">
        <v>3.05</v>
      </c>
      <c r="M6586" s="787">
        <v>10</v>
      </c>
      <c r="N6586" s="787">
        <v>2.98</v>
      </c>
      <c r="O6586" s="788">
        <v>42163</v>
      </c>
    </row>
    <row r="6587" spans="1:15" x14ac:dyDescent="0.25">
      <c r="A6587" s="786" t="s">
        <v>11798</v>
      </c>
      <c r="B6587" s="787">
        <v>4</v>
      </c>
      <c r="C6587" s="787" t="s">
        <v>11799</v>
      </c>
      <c r="D6587" s="787">
        <v>1.77</v>
      </c>
      <c r="E6587" s="787">
        <v>7.51</v>
      </c>
      <c r="F6587" s="788">
        <v>39975</v>
      </c>
      <c r="G6587" s="788">
        <v>42088</v>
      </c>
      <c r="H6587" s="787">
        <v>1</v>
      </c>
      <c r="I6587" s="788">
        <v>42068</v>
      </c>
      <c r="J6587" s="788">
        <v>42065</v>
      </c>
      <c r="K6587" s="788">
        <v>41376</v>
      </c>
      <c r="L6587" s="787">
        <v>3.97</v>
      </c>
      <c r="M6587" s="787">
        <v>10</v>
      </c>
      <c r="N6587" s="787">
        <v>10.79</v>
      </c>
      <c r="O6587" s="788">
        <v>42162</v>
      </c>
    </row>
    <row r="6588" spans="1:15" x14ac:dyDescent="0.25">
      <c r="A6588" s="786" t="s">
        <v>11800</v>
      </c>
      <c r="B6588" s="787">
        <v>4</v>
      </c>
      <c r="C6588" s="787" t="s">
        <v>11801</v>
      </c>
      <c r="D6588" s="787">
        <v>0.09</v>
      </c>
      <c r="E6588" s="787">
        <v>0.92</v>
      </c>
      <c r="F6588" s="788">
        <v>39456</v>
      </c>
      <c r="G6588" s="788">
        <v>41565</v>
      </c>
      <c r="H6588" s="787">
        <v>1</v>
      </c>
      <c r="I6588" s="788">
        <v>41968</v>
      </c>
      <c r="J6588" s="788">
        <v>40799</v>
      </c>
      <c r="L6588" s="787">
        <v>0</v>
      </c>
      <c r="M6588" s="787">
        <v>10</v>
      </c>
      <c r="N6588" s="787">
        <v>0.69</v>
      </c>
      <c r="O6588" s="788">
        <v>41858</v>
      </c>
    </row>
    <row r="6589" spans="1:15" x14ac:dyDescent="0.25">
      <c r="A6589" s="786" t="s">
        <v>11802</v>
      </c>
      <c r="B6589" s="787">
        <v>4</v>
      </c>
      <c r="C6589" s="787" t="s">
        <v>11803</v>
      </c>
      <c r="D6589" s="787">
        <v>1.89</v>
      </c>
      <c r="E6589" s="787">
        <v>1.89</v>
      </c>
      <c r="F6589" s="788">
        <v>42074</v>
      </c>
      <c r="G6589" s="788">
        <v>42074</v>
      </c>
      <c r="H6589" s="787">
        <v>1</v>
      </c>
      <c r="I6589" s="788">
        <v>42160</v>
      </c>
      <c r="J6589" s="788">
        <v>42045</v>
      </c>
      <c r="K6589" s="788">
        <v>41332</v>
      </c>
      <c r="L6589" s="787">
        <v>2.13</v>
      </c>
      <c r="M6589" s="787">
        <v>10</v>
      </c>
      <c r="N6589" s="787">
        <v>2.14</v>
      </c>
      <c r="O6589" s="788">
        <v>42163</v>
      </c>
    </row>
    <row r="6590" spans="1:15" x14ac:dyDescent="0.25">
      <c r="A6590" s="786" t="s">
        <v>11804</v>
      </c>
      <c r="B6590" s="787">
        <v>4</v>
      </c>
      <c r="C6590" s="787" t="s">
        <v>11805</v>
      </c>
      <c r="D6590" s="787">
        <v>1.44</v>
      </c>
      <c r="E6590" s="787">
        <v>1.44</v>
      </c>
      <c r="F6590" s="788">
        <v>41418</v>
      </c>
      <c r="G6590" s="788">
        <v>41943</v>
      </c>
      <c r="H6590" s="787">
        <v>1</v>
      </c>
      <c r="I6590" s="788">
        <v>41541</v>
      </c>
      <c r="J6590" s="788">
        <v>41381</v>
      </c>
      <c r="K6590" s="788">
        <v>41368</v>
      </c>
      <c r="L6590" s="787">
        <v>2.93</v>
      </c>
      <c r="M6590" s="787">
        <v>10</v>
      </c>
      <c r="N6590" s="787">
        <v>2.94</v>
      </c>
      <c r="O6590" s="788">
        <v>41870</v>
      </c>
    </row>
    <row r="6591" spans="1:15" x14ac:dyDescent="0.25">
      <c r="A6591" s="786" t="s">
        <v>11806</v>
      </c>
      <c r="B6591" s="787">
        <v>4</v>
      </c>
      <c r="C6591" s="787" t="s">
        <v>11807</v>
      </c>
      <c r="D6591" s="787">
        <v>5.84</v>
      </c>
      <c r="E6591" s="787">
        <v>5.84</v>
      </c>
      <c r="F6591" s="788">
        <v>39974</v>
      </c>
      <c r="G6591" s="788">
        <v>39974</v>
      </c>
      <c r="H6591" s="787">
        <v>1</v>
      </c>
      <c r="I6591" s="788">
        <v>39623</v>
      </c>
      <c r="J6591" s="788">
        <v>39486</v>
      </c>
      <c r="L6591" s="787">
        <v>0</v>
      </c>
      <c r="M6591" s="787">
        <v>10</v>
      </c>
      <c r="N6591" s="787">
        <v>7.05</v>
      </c>
      <c r="O6591" s="788">
        <v>41858</v>
      </c>
    </row>
    <row r="6592" spans="1:15" x14ac:dyDescent="0.25">
      <c r="A6592" s="786" t="s">
        <v>11808</v>
      </c>
      <c r="B6592" s="787">
        <v>4</v>
      </c>
      <c r="C6592" s="787" t="s">
        <v>11809</v>
      </c>
      <c r="D6592" s="787">
        <v>0</v>
      </c>
      <c r="E6592" s="787">
        <v>0</v>
      </c>
      <c r="H6592" s="787">
        <v>1</v>
      </c>
      <c r="I6592" s="788">
        <v>42151</v>
      </c>
      <c r="L6592" s="787">
        <v>1</v>
      </c>
      <c r="M6592" s="787">
        <v>10</v>
      </c>
      <c r="N6592" s="787">
        <v>6.96</v>
      </c>
      <c r="O6592" s="788">
        <v>42032</v>
      </c>
    </row>
    <row r="6593" spans="1:15" x14ac:dyDescent="0.25">
      <c r="A6593" s="786" t="s">
        <v>11810</v>
      </c>
      <c r="B6593" s="787">
        <v>4</v>
      </c>
      <c r="C6593" s="787" t="s">
        <v>11811</v>
      </c>
      <c r="D6593" s="787">
        <v>0</v>
      </c>
      <c r="E6593" s="787">
        <v>0</v>
      </c>
      <c r="H6593" s="787">
        <v>1</v>
      </c>
      <c r="I6593" s="788">
        <v>42101</v>
      </c>
      <c r="L6593" s="787">
        <v>1</v>
      </c>
      <c r="M6593" s="787">
        <v>10</v>
      </c>
      <c r="N6593" s="787">
        <v>7.12</v>
      </c>
      <c r="O6593" s="788">
        <v>42021</v>
      </c>
    </row>
    <row r="6594" spans="1:15" x14ac:dyDescent="0.25">
      <c r="A6594" s="786" t="s">
        <v>11812</v>
      </c>
      <c r="B6594" s="787">
        <v>4</v>
      </c>
      <c r="C6594" s="787" t="s">
        <v>11813</v>
      </c>
      <c r="D6594" s="787">
        <v>0</v>
      </c>
      <c r="E6594" s="787">
        <v>0</v>
      </c>
      <c r="H6594" s="787">
        <v>1</v>
      </c>
      <c r="I6594" s="788">
        <v>42151</v>
      </c>
      <c r="K6594" s="788">
        <v>42013</v>
      </c>
      <c r="L6594" s="787">
        <v>10.14</v>
      </c>
      <c r="M6594" s="787">
        <v>10</v>
      </c>
      <c r="N6594" s="787">
        <v>10.14</v>
      </c>
      <c r="O6594" s="788">
        <v>42013</v>
      </c>
    </row>
    <row r="6595" spans="1:15" x14ac:dyDescent="0.25">
      <c r="A6595" s="786" t="s">
        <v>11814</v>
      </c>
      <c r="B6595" s="787">
        <v>4</v>
      </c>
      <c r="C6595" s="787" t="s">
        <v>11815</v>
      </c>
      <c r="D6595" s="787">
        <v>0</v>
      </c>
      <c r="E6595" s="787">
        <v>0</v>
      </c>
      <c r="H6595" s="787">
        <v>1</v>
      </c>
      <c r="I6595" s="788">
        <v>42151</v>
      </c>
      <c r="K6595" s="788">
        <v>42013</v>
      </c>
      <c r="L6595" s="787">
        <v>7.2</v>
      </c>
      <c r="M6595" s="787">
        <v>10</v>
      </c>
      <c r="N6595" s="787">
        <v>7.2</v>
      </c>
      <c r="O6595" s="788">
        <v>42013</v>
      </c>
    </row>
    <row r="6596" spans="1:15" x14ac:dyDescent="0.25">
      <c r="A6596" s="786" t="s">
        <v>11816</v>
      </c>
      <c r="B6596" s="787">
        <v>4</v>
      </c>
      <c r="C6596" s="787" t="s">
        <v>11817</v>
      </c>
      <c r="D6596" s="787">
        <v>0</v>
      </c>
      <c r="E6596" s="787">
        <v>0</v>
      </c>
      <c r="H6596" s="787">
        <v>1</v>
      </c>
      <c r="I6596" s="788">
        <v>42145</v>
      </c>
      <c r="L6596" s="787">
        <v>1</v>
      </c>
      <c r="M6596" s="787">
        <v>10</v>
      </c>
      <c r="N6596" s="787">
        <v>4.99</v>
      </c>
      <c r="O6596" s="788">
        <v>42020</v>
      </c>
    </row>
    <row r="6597" spans="1:15" x14ac:dyDescent="0.25">
      <c r="A6597" s="786" t="s">
        <v>11818</v>
      </c>
      <c r="B6597" s="787">
        <v>4</v>
      </c>
      <c r="C6597" s="787" t="s">
        <v>11819</v>
      </c>
      <c r="D6597" s="787">
        <v>0</v>
      </c>
      <c r="E6597" s="787">
        <v>0</v>
      </c>
      <c r="H6597" s="787">
        <v>1</v>
      </c>
      <c r="I6597" s="788">
        <v>42144</v>
      </c>
      <c r="L6597" s="787">
        <v>1</v>
      </c>
      <c r="M6597" s="787">
        <v>10</v>
      </c>
      <c r="N6597" s="787">
        <v>5.84</v>
      </c>
      <c r="O6597" s="788">
        <v>41991</v>
      </c>
    </row>
    <row r="6598" spans="1:15" x14ac:dyDescent="0.25">
      <c r="A6598" s="786" t="s">
        <v>11820</v>
      </c>
      <c r="B6598" s="787">
        <v>4</v>
      </c>
      <c r="C6598" s="787" t="s">
        <v>11821</v>
      </c>
      <c r="D6598" s="787">
        <v>0</v>
      </c>
      <c r="E6598" s="787">
        <v>0</v>
      </c>
      <c r="H6598" s="787">
        <v>1</v>
      </c>
      <c r="I6598" s="788">
        <v>42150</v>
      </c>
      <c r="L6598" s="787">
        <v>0</v>
      </c>
      <c r="M6598" s="787">
        <v>10</v>
      </c>
      <c r="N6598" s="787">
        <v>5.84</v>
      </c>
      <c r="O6598" s="788">
        <v>42162</v>
      </c>
    </row>
    <row r="6599" spans="1:15" x14ac:dyDescent="0.25">
      <c r="A6599" s="786" t="s">
        <v>11822</v>
      </c>
      <c r="B6599" s="787">
        <v>4</v>
      </c>
      <c r="C6599" s="787" t="s">
        <v>11823</v>
      </c>
      <c r="D6599" s="787">
        <v>0</v>
      </c>
      <c r="E6599" s="787">
        <v>0</v>
      </c>
      <c r="H6599" s="787">
        <v>1</v>
      </c>
      <c r="I6599" s="788">
        <v>42151</v>
      </c>
      <c r="L6599" s="787">
        <v>1</v>
      </c>
      <c r="M6599" s="787">
        <v>10</v>
      </c>
      <c r="N6599" s="787">
        <v>6.46</v>
      </c>
      <c r="O6599" s="788">
        <v>42068</v>
      </c>
    </row>
    <row r="6600" spans="1:15" x14ac:dyDescent="0.25">
      <c r="A6600" s="786" t="s">
        <v>11824</v>
      </c>
      <c r="B6600" s="787">
        <v>4</v>
      </c>
      <c r="C6600" s="787" t="s">
        <v>11825</v>
      </c>
      <c r="D6600" s="787">
        <v>0</v>
      </c>
      <c r="E6600" s="787">
        <v>0</v>
      </c>
      <c r="H6600" s="787">
        <v>1</v>
      </c>
      <c r="I6600" s="788">
        <v>42144</v>
      </c>
      <c r="L6600" s="787">
        <v>0</v>
      </c>
      <c r="M6600" s="787">
        <v>10</v>
      </c>
      <c r="N6600" s="787">
        <v>6.94</v>
      </c>
      <c r="O6600" s="788">
        <v>41858</v>
      </c>
    </row>
    <row r="6601" spans="1:15" x14ac:dyDescent="0.25">
      <c r="A6601" s="786" t="s">
        <v>11826</v>
      </c>
      <c r="B6601" s="787">
        <v>4</v>
      </c>
      <c r="C6601" s="787" t="s">
        <v>11827</v>
      </c>
      <c r="D6601" s="787">
        <v>0</v>
      </c>
      <c r="E6601" s="787">
        <v>0</v>
      </c>
      <c r="H6601" s="787">
        <v>1</v>
      </c>
      <c r="I6601" s="788">
        <v>42146</v>
      </c>
      <c r="K6601" s="788">
        <v>42135</v>
      </c>
      <c r="L6601" s="787">
        <v>4.7</v>
      </c>
      <c r="M6601" s="787">
        <v>10</v>
      </c>
      <c r="N6601" s="787">
        <v>4.7</v>
      </c>
      <c r="O6601" s="788">
        <v>41858</v>
      </c>
    </row>
    <row r="6602" spans="1:15" x14ac:dyDescent="0.25">
      <c r="A6602" s="786" t="s">
        <v>11828</v>
      </c>
      <c r="B6602" s="787">
        <v>4</v>
      </c>
      <c r="C6602" s="787" t="s">
        <v>11829</v>
      </c>
      <c r="D6602" s="787">
        <v>0</v>
      </c>
      <c r="E6602" s="787">
        <v>0</v>
      </c>
      <c r="H6602" s="787">
        <v>1</v>
      </c>
      <c r="I6602" s="788">
        <v>42146</v>
      </c>
      <c r="K6602" s="788">
        <v>42135</v>
      </c>
      <c r="L6602" s="787">
        <v>4.7</v>
      </c>
      <c r="M6602" s="787">
        <v>10</v>
      </c>
      <c r="N6602" s="787">
        <v>4.7</v>
      </c>
      <c r="O6602" s="788">
        <v>41858</v>
      </c>
    </row>
    <row r="6603" spans="1:15" x14ac:dyDescent="0.25">
      <c r="A6603" s="786" t="s">
        <v>11830</v>
      </c>
      <c r="B6603" s="787">
        <v>4</v>
      </c>
      <c r="C6603" s="787" t="s">
        <v>11831</v>
      </c>
      <c r="D6603" s="787">
        <v>0</v>
      </c>
      <c r="E6603" s="787">
        <v>0</v>
      </c>
      <c r="H6603" s="787">
        <v>1</v>
      </c>
      <c r="I6603" s="788">
        <v>42144</v>
      </c>
      <c r="K6603" s="788">
        <v>42031</v>
      </c>
      <c r="L6603" s="787">
        <v>2.7</v>
      </c>
      <c r="M6603" s="787">
        <v>10</v>
      </c>
      <c r="N6603" s="787">
        <v>2.7</v>
      </c>
      <c r="O6603" s="788">
        <v>42031</v>
      </c>
    </row>
    <row r="6604" spans="1:15" x14ac:dyDescent="0.25">
      <c r="A6604" s="786" t="s">
        <v>11832</v>
      </c>
      <c r="B6604" s="787">
        <v>4</v>
      </c>
      <c r="C6604" s="787" t="s">
        <v>11833</v>
      </c>
      <c r="D6604" s="787">
        <v>0</v>
      </c>
      <c r="E6604" s="787">
        <v>0</v>
      </c>
      <c r="H6604" s="787">
        <v>1</v>
      </c>
      <c r="I6604" s="788">
        <v>42144</v>
      </c>
      <c r="K6604" s="788">
        <v>42031</v>
      </c>
      <c r="L6604" s="787">
        <v>2.7</v>
      </c>
      <c r="M6604" s="787">
        <v>10</v>
      </c>
      <c r="N6604" s="787">
        <v>2.7</v>
      </c>
      <c r="O6604" s="788">
        <v>42031</v>
      </c>
    </row>
    <row r="6605" spans="1:15" x14ac:dyDescent="0.25">
      <c r="A6605" s="786" t="s">
        <v>11834</v>
      </c>
      <c r="B6605" s="787">
        <v>4</v>
      </c>
      <c r="C6605" s="787" t="s">
        <v>11835</v>
      </c>
      <c r="D6605" s="787">
        <v>1.54</v>
      </c>
      <c r="E6605" s="787">
        <v>1.95</v>
      </c>
      <c r="F6605" s="788">
        <v>40792</v>
      </c>
      <c r="G6605" s="788">
        <v>41255</v>
      </c>
      <c r="H6605" s="787">
        <v>1</v>
      </c>
      <c r="J6605" s="788">
        <v>40641</v>
      </c>
      <c r="K6605" s="788">
        <v>41471</v>
      </c>
      <c r="L6605" s="787">
        <v>1.24</v>
      </c>
      <c r="M6605" s="787">
        <v>10</v>
      </c>
      <c r="N6605" s="787">
        <v>1.1399999999999999</v>
      </c>
      <c r="O6605" s="788">
        <v>41870</v>
      </c>
    </row>
    <row r="6606" spans="1:15" x14ac:dyDescent="0.25">
      <c r="A6606" s="786" t="s">
        <v>11836</v>
      </c>
      <c r="B6606" s="787">
        <v>4</v>
      </c>
      <c r="C6606" s="787" t="s">
        <v>11837</v>
      </c>
      <c r="D6606" s="787">
        <v>1.78</v>
      </c>
      <c r="E6606" s="787">
        <v>2.02</v>
      </c>
      <c r="F6606" s="788">
        <v>40792</v>
      </c>
      <c r="G6606" s="788">
        <v>41255</v>
      </c>
      <c r="H6606" s="787">
        <v>1</v>
      </c>
      <c r="J6606" s="788">
        <v>40641</v>
      </c>
      <c r="K6606" s="788">
        <v>41471</v>
      </c>
      <c r="L6606" s="787">
        <v>1.45</v>
      </c>
      <c r="M6606" s="787">
        <v>10</v>
      </c>
      <c r="N6606" s="787">
        <v>1.32</v>
      </c>
      <c r="O6606" s="788">
        <v>41870</v>
      </c>
    </row>
    <row r="6607" spans="1:15" x14ac:dyDescent="0.25">
      <c r="A6607" s="786" t="s">
        <v>11838</v>
      </c>
      <c r="B6607" s="787">
        <v>4</v>
      </c>
      <c r="C6607" s="787" t="s">
        <v>11837</v>
      </c>
      <c r="D6607" s="787">
        <v>1.5</v>
      </c>
      <c r="E6607" s="787">
        <v>3.34</v>
      </c>
      <c r="F6607" s="788">
        <v>40721</v>
      </c>
      <c r="G6607" s="788">
        <v>41255</v>
      </c>
      <c r="H6607" s="787">
        <v>1</v>
      </c>
      <c r="J6607" s="788">
        <v>40641</v>
      </c>
      <c r="K6607" s="788">
        <v>41471</v>
      </c>
      <c r="L6607" s="787">
        <v>1.65</v>
      </c>
      <c r="M6607" s="787">
        <v>10</v>
      </c>
      <c r="N6607" s="787">
        <v>1.51</v>
      </c>
      <c r="O6607" s="788">
        <v>41870</v>
      </c>
    </row>
    <row r="6608" spans="1:15" x14ac:dyDescent="0.25">
      <c r="A6608" s="786" t="s">
        <v>11839</v>
      </c>
      <c r="B6608" s="787">
        <v>4</v>
      </c>
      <c r="C6608" s="787" t="s">
        <v>11840</v>
      </c>
      <c r="D6608" s="787">
        <v>1.0900000000000001</v>
      </c>
      <c r="E6608" s="787">
        <v>4.97</v>
      </c>
      <c r="F6608" s="788">
        <v>41369</v>
      </c>
      <c r="G6608" s="788">
        <v>42096</v>
      </c>
      <c r="H6608" s="787">
        <v>1</v>
      </c>
      <c r="I6608" s="788">
        <v>42150</v>
      </c>
      <c r="J6608" s="788">
        <v>42067</v>
      </c>
      <c r="K6608" s="788">
        <v>41393</v>
      </c>
      <c r="L6608" s="787">
        <v>16.5</v>
      </c>
      <c r="M6608" s="787">
        <v>10</v>
      </c>
      <c r="N6608" s="787">
        <v>11.97</v>
      </c>
      <c r="O6608" s="788">
        <v>42146</v>
      </c>
    </row>
    <row r="6609" spans="1:15" x14ac:dyDescent="0.25">
      <c r="A6609" s="786" t="s">
        <v>11841</v>
      </c>
      <c r="B6609" s="787">
        <v>4</v>
      </c>
      <c r="C6609" s="787" t="s">
        <v>11842</v>
      </c>
      <c r="D6609" s="787">
        <v>0.23</v>
      </c>
      <c r="E6609" s="787">
        <v>1.38</v>
      </c>
      <c r="F6609" s="788">
        <v>41775</v>
      </c>
      <c r="G6609" s="788">
        <v>42166</v>
      </c>
      <c r="H6609" s="787">
        <v>1</v>
      </c>
      <c r="I6609" s="788">
        <v>42158</v>
      </c>
      <c r="J6609" s="788">
        <v>42166</v>
      </c>
      <c r="K6609" s="788">
        <v>41348</v>
      </c>
      <c r="L6609" s="787">
        <v>2.36</v>
      </c>
      <c r="M6609" s="787">
        <v>10</v>
      </c>
      <c r="N6609" s="787">
        <v>1.7</v>
      </c>
      <c r="O6609" s="788">
        <v>42162</v>
      </c>
    </row>
    <row r="6610" spans="1:15" x14ac:dyDescent="0.25">
      <c r="A6610" s="786" t="s">
        <v>11843</v>
      </c>
      <c r="B6610" s="787">
        <v>4</v>
      </c>
      <c r="C6610" s="787" t="s">
        <v>11844</v>
      </c>
      <c r="D6610" s="787">
        <v>0.28000000000000003</v>
      </c>
      <c r="E6610" s="787">
        <v>0.28000000000000003</v>
      </c>
      <c r="F6610" s="788">
        <v>39975</v>
      </c>
      <c r="G6610" s="788">
        <v>41943</v>
      </c>
      <c r="H6610" s="787">
        <v>1</v>
      </c>
      <c r="I6610" s="788">
        <v>41118</v>
      </c>
      <c r="J6610" s="788">
        <v>39597</v>
      </c>
      <c r="L6610" s="787">
        <v>0</v>
      </c>
      <c r="M6610" s="787">
        <v>10</v>
      </c>
      <c r="N6610" s="787">
        <v>0.32</v>
      </c>
      <c r="O6610" s="788">
        <v>42162</v>
      </c>
    </row>
    <row r="6611" spans="1:15" x14ac:dyDescent="0.25">
      <c r="A6611" s="786" t="s">
        <v>11845</v>
      </c>
      <c r="B6611" s="787">
        <v>4</v>
      </c>
      <c r="C6611" s="787" t="s">
        <v>11846</v>
      </c>
      <c r="D6611" s="787">
        <v>4.41</v>
      </c>
      <c r="E6611" s="787">
        <v>24.46</v>
      </c>
      <c r="F6611" s="788">
        <v>39975</v>
      </c>
      <c r="G6611" s="788">
        <v>42156</v>
      </c>
      <c r="H6611" s="787">
        <v>1</v>
      </c>
      <c r="I6611" s="788">
        <v>42156</v>
      </c>
      <c r="J6611" s="788">
        <v>42156</v>
      </c>
      <c r="K6611" s="788">
        <v>40900</v>
      </c>
      <c r="L6611" s="787">
        <v>19.57</v>
      </c>
      <c r="M6611" s="787">
        <v>10</v>
      </c>
      <c r="N6611" s="787">
        <v>19.98</v>
      </c>
      <c r="O6611" s="788">
        <v>42156</v>
      </c>
    </row>
    <row r="6612" spans="1:15" x14ac:dyDescent="0.25">
      <c r="A6612" s="786" t="s">
        <v>11847</v>
      </c>
      <c r="B6612" s="787">
        <v>4</v>
      </c>
      <c r="C6612" s="787" t="s">
        <v>11848</v>
      </c>
      <c r="D6612" s="787">
        <v>9.3800000000000008</v>
      </c>
      <c r="E6612" s="787">
        <v>42.72</v>
      </c>
      <c r="F6612" s="788">
        <v>39975</v>
      </c>
      <c r="G6612" s="788">
        <v>41920</v>
      </c>
      <c r="H6612" s="787">
        <v>1</v>
      </c>
      <c r="I6612" s="788">
        <v>41143</v>
      </c>
      <c r="J6612" s="788">
        <v>41141</v>
      </c>
      <c r="K6612" s="788">
        <v>41127</v>
      </c>
      <c r="L6612" s="787">
        <v>33.92</v>
      </c>
      <c r="M6612" s="787">
        <v>10</v>
      </c>
      <c r="N6612" s="787">
        <v>64.11</v>
      </c>
      <c r="O6612" s="788">
        <v>42156</v>
      </c>
    </row>
    <row r="6613" spans="1:15" x14ac:dyDescent="0.25">
      <c r="A6613" s="786" t="s">
        <v>11849</v>
      </c>
      <c r="B6613" s="787">
        <v>4</v>
      </c>
      <c r="C6613" s="787" t="s">
        <v>11850</v>
      </c>
      <c r="D6613" s="787">
        <v>2.0699999999999998</v>
      </c>
      <c r="E6613" s="787">
        <v>25.66</v>
      </c>
      <c r="F6613" s="788">
        <v>39975</v>
      </c>
      <c r="G6613" s="788">
        <v>41943</v>
      </c>
      <c r="H6613" s="787">
        <v>1</v>
      </c>
      <c r="I6613" s="788">
        <v>41141</v>
      </c>
      <c r="J6613" s="788">
        <v>41141</v>
      </c>
      <c r="K6613" s="788">
        <v>40899</v>
      </c>
      <c r="L6613" s="787">
        <v>3.02</v>
      </c>
      <c r="M6613" s="787">
        <v>10</v>
      </c>
      <c r="N6613" s="787">
        <v>18.649999999999999</v>
      </c>
      <c r="O6613" s="788">
        <v>42156</v>
      </c>
    </row>
    <row r="6614" spans="1:15" x14ac:dyDescent="0.25">
      <c r="A6614" s="786" t="s">
        <v>11851</v>
      </c>
      <c r="B6614" s="787">
        <v>4</v>
      </c>
      <c r="C6614" s="787" t="s">
        <v>11852</v>
      </c>
      <c r="D6614" s="787">
        <v>1.0900000000000001</v>
      </c>
      <c r="E6614" s="787">
        <v>3.99</v>
      </c>
      <c r="F6614" s="788">
        <v>39986</v>
      </c>
      <c r="G6614" s="788">
        <v>41943</v>
      </c>
      <c r="H6614" s="787">
        <v>1</v>
      </c>
      <c r="I6614" s="788">
        <v>41141</v>
      </c>
      <c r="J6614" s="788">
        <v>41141</v>
      </c>
      <c r="K6614" s="788">
        <v>40899</v>
      </c>
      <c r="L6614" s="787">
        <v>2.14</v>
      </c>
      <c r="M6614" s="787">
        <v>10</v>
      </c>
      <c r="N6614" s="787">
        <v>17.93</v>
      </c>
      <c r="O6614" s="788">
        <v>42156</v>
      </c>
    </row>
    <row r="6615" spans="1:15" x14ac:dyDescent="0.25">
      <c r="A6615" s="786" t="s">
        <v>11853</v>
      </c>
      <c r="B6615" s="787">
        <v>4</v>
      </c>
      <c r="C6615" s="787" t="s">
        <v>11854</v>
      </c>
      <c r="D6615" s="787">
        <v>9.42</v>
      </c>
      <c r="E6615" s="787">
        <v>19.53</v>
      </c>
      <c r="F6615" s="788">
        <v>40827</v>
      </c>
      <c r="G6615" s="788">
        <v>41180</v>
      </c>
      <c r="H6615" s="787">
        <v>1</v>
      </c>
      <c r="I6615" s="788">
        <v>41141</v>
      </c>
      <c r="J6615" s="788">
        <v>41141</v>
      </c>
      <c r="K6615" s="788">
        <v>41129</v>
      </c>
      <c r="L6615" s="787">
        <v>9.24</v>
      </c>
      <c r="M6615" s="787">
        <v>10</v>
      </c>
      <c r="N6615" s="787">
        <v>8.4</v>
      </c>
      <c r="O6615" s="788">
        <v>42156</v>
      </c>
    </row>
    <row r="6616" spans="1:15" x14ac:dyDescent="0.25">
      <c r="A6616" s="786" t="s">
        <v>11855</v>
      </c>
      <c r="B6616" s="787">
        <v>4</v>
      </c>
      <c r="C6616" s="787" t="s">
        <v>11856</v>
      </c>
      <c r="D6616" s="787">
        <v>9.06</v>
      </c>
      <c r="E6616" s="787">
        <v>9.08</v>
      </c>
      <c r="F6616" s="788">
        <v>39975</v>
      </c>
      <c r="G6616" s="788">
        <v>41180</v>
      </c>
      <c r="H6616" s="787">
        <v>1</v>
      </c>
      <c r="I6616" s="788">
        <v>41141</v>
      </c>
      <c r="J6616" s="788">
        <v>41141</v>
      </c>
      <c r="K6616" s="788">
        <v>41129</v>
      </c>
      <c r="L6616" s="787">
        <v>8.83</v>
      </c>
      <c r="M6616" s="787">
        <v>10</v>
      </c>
      <c r="N6616" s="787">
        <v>7.22</v>
      </c>
      <c r="O6616" s="788">
        <v>42156</v>
      </c>
    </row>
    <row r="6617" spans="1:15" x14ac:dyDescent="0.25">
      <c r="A6617" s="786" t="s">
        <v>11857</v>
      </c>
      <c r="B6617" s="787">
        <v>4</v>
      </c>
      <c r="C6617" s="787" t="s">
        <v>11858</v>
      </c>
      <c r="D6617" s="787">
        <v>5.82</v>
      </c>
      <c r="E6617" s="787">
        <v>7.52</v>
      </c>
      <c r="F6617" s="788">
        <v>39975</v>
      </c>
      <c r="G6617" s="788">
        <v>40827</v>
      </c>
      <c r="H6617" s="787">
        <v>6</v>
      </c>
      <c r="I6617" s="788">
        <v>40738</v>
      </c>
      <c r="J6617" s="788">
        <v>40725</v>
      </c>
      <c r="K6617" s="788">
        <v>40899</v>
      </c>
      <c r="L6617" s="787">
        <v>7.45</v>
      </c>
      <c r="M6617" s="787">
        <v>10</v>
      </c>
      <c r="N6617" s="787">
        <v>6.68</v>
      </c>
      <c r="O6617" s="788">
        <v>41543</v>
      </c>
    </row>
    <row r="6618" spans="1:15" x14ac:dyDescent="0.25">
      <c r="A6618" s="786" t="s">
        <v>11859</v>
      </c>
      <c r="B6618" s="787">
        <v>4</v>
      </c>
      <c r="C6618" s="787" t="s">
        <v>11860</v>
      </c>
      <c r="D6618" s="787">
        <v>7.76</v>
      </c>
      <c r="E6618" s="787">
        <v>7.76</v>
      </c>
      <c r="F6618" s="788">
        <v>40827</v>
      </c>
      <c r="G6618" s="788">
        <v>40827</v>
      </c>
      <c r="H6618" s="787">
        <v>6</v>
      </c>
      <c r="I6618" s="788">
        <v>40738</v>
      </c>
      <c r="J6618" s="788">
        <v>40725</v>
      </c>
      <c r="K6618" s="788">
        <v>40899</v>
      </c>
      <c r="L6618" s="787">
        <v>7.5</v>
      </c>
      <c r="M6618" s="787">
        <v>10</v>
      </c>
      <c r="N6618" s="787">
        <v>6.79</v>
      </c>
      <c r="O6618" s="788">
        <v>41543</v>
      </c>
    </row>
    <row r="6619" spans="1:15" x14ac:dyDescent="0.25">
      <c r="A6619" s="786" t="s">
        <v>11861</v>
      </c>
      <c r="B6619" s="787">
        <v>4</v>
      </c>
      <c r="C6619" s="787" t="s">
        <v>11862</v>
      </c>
      <c r="D6619" s="787">
        <v>0</v>
      </c>
      <c r="E6619" s="787">
        <v>0</v>
      </c>
      <c r="G6619" s="788">
        <v>41758</v>
      </c>
      <c r="H6619" s="787">
        <v>1</v>
      </c>
      <c r="I6619" s="788">
        <v>42041</v>
      </c>
      <c r="J6619" s="788">
        <v>41758</v>
      </c>
      <c r="K6619" s="788">
        <v>41758</v>
      </c>
      <c r="L6619" s="787">
        <v>4</v>
      </c>
      <c r="M6619" s="787">
        <v>10</v>
      </c>
      <c r="N6619" s="787">
        <v>3.82</v>
      </c>
      <c r="O6619" s="788">
        <v>42146</v>
      </c>
    </row>
    <row r="6620" spans="1:15" x14ac:dyDescent="0.25">
      <c r="A6620" s="786" t="s">
        <v>11863</v>
      </c>
      <c r="B6620" s="787">
        <v>4</v>
      </c>
      <c r="C6620" s="787" t="s">
        <v>11864</v>
      </c>
      <c r="D6620" s="787">
        <v>0</v>
      </c>
      <c r="E6620" s="787">
        <v>0</v>
      </c>
      <c r="H6620" s="787">
        <v>1</v>
      </c>
      <c r="I6620" s="788">
        <v>41220</v>
      </c>
      <c r="L6620" s="787">
        <v>0</v>
      </c>
      <c r="M6620" s="787">
        <v>10</v>
      </c>
      <c r="N6620" s="787">
        <v>33.4</v>
      </c>
      <c r="O6620" s="788">
        <v>42080</v>
      </c>
    </row>
    <row r="6621" spans="1:15" x14ac:dyDescent="0.25">
      <c r="A6621" s="786" t="s">
        <v>11865</v>
      </c>
      <c r="B6621" s="787">
        <v>4</v>
      </c>
      <c r="C6621" s="787" t="s">
        <v>11866</v>
      </c>
      <c r="D6621" s="787">
        <v>0</v>
      </c>
      <c r="E6621" s="787">
        <v>0</v>
      </c>
      <c r="H6621" s="787">
        <v>1</v>
      </c>
      <c r="I6621" s="788">
        <v>41220</v>
      </c>
      <c r="L6621" s="787">
        <v>0</v>
      </c>
      <c r="M6621" s="787">
        <v>10</v>
      </c>
      <c r="N6621" s="787">
        <v>29.53</v>
      </c>
      <c r="O6621" s="788">
        <v>42080</v>
      </c>
    </row>
    <row r="6622" spans="1:15" x14ac:dyDescent="0.25">
      <c r="A6622" s="786" t="s">
        <v>11867</v>
      </c>
      <c r="B6622" s="787">
        <v>4</v>
      </c>
      <c r="C6622" s="787" t="s">
        <v>11868</v>
      </c>
      <c r="D6622" s="787">
        <v>0</v>
      </c>
      <c r="E6622" s="787">
        <v>0</v>
      </c>
      <c r="H6622" s="787">
        <v>1</v>
      </c>
      <c r="L6622" s="787">
        <v>0</v>
      </c>
      <c r="M6622" s="787">
        <v>10</v>
      </c>
      <c r="N6622" s="787">
        <v>29.53</v>
      </c>
      <c r="O6622" s="788">
        <v>41956</v>
      </c>
    </row>
    <row r="6623" spans="1:15" x14ac:dyDescent="0.25">
      <c r="A6623" s="786" t="s">
        <v>11869</v>
      </c>
      <c r="B6623" s="787">
        <v>4</v>
      </c>
      <c r="C6623" s="787" t="s">
        <v>11870</v>
      </c>
      <c r="D6623" s="787">
        <v>0</v>
      </c>
      <c r="E6623" s="787">
        <v>0</v>
      </c>
      <c r="G6623" s="788">
        <v>41943</v>
      </c>
      <c r="H6623" s="787">
        <v>1</v>
      </c>
      <c r="I6623" s="788">
        <v>41358</v>
      </c>
      <c r="K6623" s="788">
        <v>42038</v>
      </c>
      <c r="L6623" s="787">
        <v>6.26</v>
      </c>
      <c r="M6623" s="787">
        <v>10</v>
      </c>
      <c r="N6623" s="787">
        <v>6.26</v>
      </c>
      <c r="O6623" s="788">
        <v>42080</v>
      </c>
    </row>
    <row r="6624" spans="1:15" x14ac:dyDescent="0.25">
      <c r="A6624" s="786" t="s">
        <v>11871</v>
      </c>
      <c r="B6624" s="787">
        <v>4</v>
      </c>
      <c r="C6624" s="787" t="s">
        <v>11872</v>
      </c>
      <c r="D6624" s="787">
        <v>0.69</v>
      </c>
      <c r="E6624" s="787">
        <v>1.54</v>
      </c>
      <c r="F6624" s="788">
        <v>39975</v>
      </c>
      <c r="G6624" s="788">
        <v>42153</v>
      </c>
      <c r="H6624" s="787">
        <v>1</v>
      </c>
      <c r="I6624" s="788">
        <v>42166</v>
      </c>
      <c r="J6624" s="788">
        <v>42153</v>
      </c>
      <c r="K6624" s="788">
        <v>41348</v>
      </c>
      <c r="L6624" s="787">
        <v>1.38</v>
      </c>
      <c r="M6624" s="787">
        <v>10</v>
      </c>
      <c r="N6624" s="787">
        <v>2.0499999999999998</v>
      </c>
      <c r="O6624" s="788">
        <v>42080</v>
      </c>
    </row>
    <row r="6625" spans="1:15" x14ac:dyDescent="0.25">
      <c r="A6625" s="786" t="s">
        <v>11873</v>
      </c>
      <c r="B6625" s="787">
        <v>4</v>
      </c>
      <c r="C6625" s="787" t="s">
        <v>11874</v>
      </c>
      <c r="D6625" s="787">
        <v>1.54</v>
      </c>
      <c r="E6625" s="787">
        <v>4.7</v>
      </c>
      <c r="F6625" s="788">
        <v>41967</v>
      </c>
      <c r="G6625" s="788">
        <v>42151</v>
      </c>
      <c r="H6625" s="787">
        <v>1</v>
      </c>
      <c r="I6625" s="788">
        <v>42166</v>
      </c>
      <c r="J6625" s="788">
        <v>42151</v>
      </c>
      <c r="K6625" s="788">
        <v>41148</v>
      </c>
      <c r="L6625" s="787">
        <v>1.79</v>
      </c>
      <c r="M6625" s="787">
        <v>10</v>
      </c>
      <c r="N6625" s="787">
        <v>4.24</v>
      </c>
      <c r="O6625" s="788">
        <v>42080</v>
      </c>
    </row>
    <row r="6626" spans="1:15" x14ac:dyDescent="0.25">
      <c r="A6626" s="786" t="s">
        <v>11875</v>
      </c>
      <c r="B6626" s="787">
        <v>4</v>
      </c>
      <c r="C6626" s="787" t="s">
        <v>11876</v>
      </c>
      <c r="D6626" s="787">
        <v>0.11</v>
      </c>
      <c r="E6626" s="787">
        <v>0.96</v>
      </c>
      <c r="F6626" s="788">
        <v>40644</v>
      </c>
      <c r="G6626" s="788">
        <v>42160</v>
      </c>
      <c r="H6626" s="787">
        <v>1</v>
      </c>
      <c r="I6626" s="788">
        <v>42166</v>
      </c>
      <c r="J6626" s="788">
        <v>42160</v>
      </c>
      <c r="K6626" s="788">
        <v>41537</v>
      </c>
      <c r="L6626" s="787">
        <v>2.68</v>
      </c>
      <c r="M6626" s="787">
        <v>10</v>
      </c>
      <c r="N6626" s="787">
        <v>2.81</v>
      </c>
      <c r="O6626" s="788">
        <v>42080</v>
      </c>
    </row>
    <row r="6627" spans="1:15" x14ac:dyDescent="0.25">
      <c r="A6627" s="786" t="s">
        <v>11877</v>
      </c>
      <c r="B6627" s="787">
        <v>4</v>
      </c>
      <c r="C6627" s="787" t="s">
        <v>11878</v>
      </c>
      <c r="D6627" s="787">
        <v>0.72</v>
      </c>
      <c r="E6627" s="787">
        <v>3.52</v>
      </c>
      <c r="F6627" s="788">
        <v>41449</v>
      </c>
      <c r="G6627" s="788">
        <v>42152</v>
      </c>
      <c r="H6627" s="787">
        <v>1</v>
      </c>
      <c r="I6627" s="788">
        <v>42166</v>
      </c>
      <c r="J6627" s="788">
        <v>42152</v>
      </c>
      <c r="K6627" s="788">
        <v>41263</v>
      </c>
      <c r="L6627" s="787">
        <v>1.2</v>
      </c>
      <c r="M6627" s="787">
        <v>10</v>
      </c>
      <c r="N6627" s="787">
        <v>2.81</v>
      </c>
      <c r="O6627" s="788">
        <v>42080</v>
      </c>
    </row>
    <row r="6628" spans="1:15" x14ac:dyDescent="0.25">
      <c r="A6628" s="786" t="s">
        <v>11879</v>
      </c>
      <c r="B6628" s="787">
        <v>4</v>
      </c>
      <c r="C6628" s="787" t="s">
        <v>10882</v>
      </c>
      <c r="D6628" s="787">
        <v>2.79</v>
      </c>
      <c r="E6628" s="787">
        <v>3.48</v>
      </c>
      <c r="F6628" s="788">
        <v>39975</v>
      </c>
      <c r="G6628" s="788">
        <v>42013</v>
      </c>
      <c r="H6628" s="787">
        <v>1</v>
      </c>
      <c r="I6628" s="788">
        <v>42159</v>
      </c>
      <c r="J6628" s="788">
        <v>41782</v>
      </c>
      <c r="K6628" s="788">
        <v>41059</v>
      </c>
      <c r="L6628" s="787">
        <v>4.7699999999999996</v>
      </c>
      <c r="M6628" s="787">
        <v>10</v>
      </c>
      <c r="N6628" s="787">
        <v>3.78</v>
      </c>
      <c r="O6628" s="788">
        <v>42019</v>
      </c>
    </row>
    <row r="6629" spans="1:15" x14ac:dyDescent="0.25">
      <c r="A6629" s="786" t="s">
        <v>11880</v>
      </c>
      <c r="B6629" s="787">
        <v>4</v>
      </c>
      <c r="C6629" s="787" t="s">
        <v>11881</v>
      </c>
      <c r="D6629" s="787">
        <v>3.52</v>
      </c>
      <c r="E6629" s="787">
        <v>9.1199999999999992</v>
      </c>
      <c r="F6629" s="788">
        <v>41376</v>
      </c>
      <c r="G6629" s="788">
        <v>42101</v>
      </c>
      <c r="H6629" s="787">
        <v>1</v>
      </c>
      <c r="I6629" s="788">
        <v>42159</v>
      </c>
      <c r="J6629" s="788">
        <v>42068</v>
      </c>
      <c r="K6629" s="788">
        <v>41509</v>
      </c>
      <c r="L6629" s="787">
        <v>6.44</v>
      </c>
      <c r="M6629" s="787">
        <v>10</v>
      </c>
      <c r="N6629" s="787">
        <v>5.55</v>
      </c>
      <c r="O6629" s="788">
        <v>42019</v>
      </c>
    </row>
    <row r="6630" spans="1:15" x14ac:dyDescent="0.25">
      <c r="A6630" s="786" t="s">
        <v>11882</v>
      </c>
      <c r="B6630" s="787">
        <v>4</v>
      </c>
      <c r="C6630" s="787" t="s">
        <v>11883</v>
      </c>
      <c r="D6630" s="787">
        <v>0.14000000000000001</v>
      </c>
      <c r="E6630" s="787">
        <v>0.14000000000000001</v>
      </c>
      <c r="F6630" s="788">
        <v>41548</v>
      </c>
      <c r="G6630" s="788">
        <v>42013</v>
      </c>
      <c r="H6630" s="787">
        <v>1</v>
      </c>
      <c r="I6630" s="788">
        <v>42166</v>
      </c>
      <c r="J6630" s="788">
        <v>41507</v>
      </c>
      <c r="K6630" s="788">
        <v>42019</v>
      </c>
      <c r="L6630" s="787">
        <v>0.16</v>
      </c>
      <c r="M6630" s="787">
        <v>10</v>
      </c>
      <c r="N6630" s="787">
        <v>0.43</v>
      </c>
      <c r="O6630" s="788">
        <v>42080</v>
      </c>
    </row>
    <row r="6631" spans="1:15" x14ac:dyDescent="0.25">
      <c r="A6631" s="786" t="s">
        <v>11884</v>
      </c>
      <c r="B6631" s="787">
        <v>4</v>
      </c>
      <c r="C6631" s="787" t="s">
        <v>11885</v>
      </c>
      <c r="D6631" s="787">
        <v>0.17</v>
      </c>
      <c r="E6631" s="787">
        <v>0.17</v>
      </c>
      <c r="F6631" s="788">
        <v>39975</v>
      </c>
      <c r="G6631" s="788">
        <v>39679</v>
      </c>
      <c r="H6631" s="787">
        <v>1</v>
      </c>
      <c r="I6631" s="788">
        <v>40347</v>
      </c>
      <c r="J6631" s="788">
        <v>39679</v>
      </c>
      <c r="L6631" s="787">
        <v>0</v>
      </c>
      <c r="M6631" s="787">
        <v>10</v>
      </c>
      <c r="N6631" s="787">
        <v>1.1200000000000001</v>
      </c>
      <c r="O6631" s="788">
        <v>42082</v>
      </c>
    </row>
    <row r="6632" spans="1:15" x14ac:dyDescent="0.25">
      <c r="A6632" s="786" t="s">
        <v>11886</v>
      </c>
      <c r="B6632" s="787">
        <v>4</v>
      </c>
      <c r="C6632" s="787" t="s">
        <v>11887</v>
      </c>
      <c r="D6632" s="787">
        <v>0</v>
      </c>
      <c r="E6632" s="787">
        <v>0</v>
      </c>
      <c r="H6632" s="787">
        <v>1</v>
      </c>
      <c r="I6632" s="788">
        <v>41340</v>
      </c>
      <c r="L6632" s="787">
        <v>0</v>
      </c>
      <c r="M6632" s="787">
        <v>10</v>
      </c>
      <c r="N6632" s="787">
        <v>6.14</v>
      </c>
      <c r="O6632" s="788">
        <v>42080</v>
      </c>
    </row>
    <row r="6633" spans="1:15" x14ac:dyDescent="0.25">
      <c r="A6633" s="786" t="s">
        <v>11888</v>
      </c>
      <c r="B6633" s="787">
        <v>4</v>
      </c>
      <c r="C6633" s="787" t="s">
        <v>11889</v>
      </c>
      <c r="D6633" s="787">
        <v>0</v>
      </c>
      <c r="E6633" s="787">
        <v>0</v>
      </c>
      <c r="H6633" s="787">
        <v>1</v>
      </c>
      <c r="I6633" s="788">
        <v>41340</v>
      </c>
      <c r="L6633" s="787">
        <v>0</v>
      </c>
      <c r="M6633" s="787">
        <v>10</v>
      </c>
      <c r="N6633" s="787">
        <v>6.14</v>
      </c>
      <c r="O6633" s="788">
        <v>42080</v>
      </c>
    </row>
    <row r="6634" spans="1:15" x14ac:dyDescent="0.25">
      <c r="A6634" s="786" t="s">
        <v>11890</v>
      </c>
      <c r="B6634" s="787">
        <v>4</v>
      </c>
      <c r="C6634" s="787" t="s">
        <v>11891</v>
      </c>
      <c r="D6634" s="787">
        <v>0.41</v>
      </c>
      <c r="E6634" s="787">
        <v>0.41</v>
      </c>
      <c r="F6634" s="788">
        <v>41548</v>
      </c>
      <c r="G6634" s="788">
        <v>42013</v>
      </c>
      <c r="H6634" s="787">
        <v>1</v>
      </c>
      <c r="I6634" s="788">
        <v>41936</v>
      </c>
      <c r="J6634" s="788">
        <v>41522</v>
      </c>
      <c r="K6634" s="788">
        <v>41858</v>
      </c>
      <c r="L6634" s="787">
        <v>0.68</v>
      </c>
      <c r="M6634" s="787">
        <v>10</v>
      </c>
      <c r="N6634" s="787">
        <v>1.44</v>
      </c>
      <c r="O6634" s="788">
        <v>42080</v>
      </c>
    </row>
    <row r="6635" spans="1:15" x14ac:dyDescent="0.25">
      <c r="A6635" s="786" t="s">
        <v>11892</v>
      </c>
      <c r="B6635" s="787">
        <v>4</v>
      </c>
      <c r="C6635" s="787" t="s">
        <v>2635</v>
      </c>
      <c r="D6635" s="787">
        <v>2.68</v>
      </c>
      <c r="E6635" s="787">
        <v>5.37</v>
      </c>
      <c r="F6635" s="788">
        <v>39101</v>
      </c>
      <c r="G6635" s="788">
        <v>42145</v>
      </c>
      <c r="H6635" s="787">
        <v>1</v>
      </c>
      <c r="I6635" s="788">
        <v>42151</v>
      </c>
      <c r="J6635" s="788">
        <v>42145</v>
      </c>
      <c r="L6635" s="787">
        <v>3.27</v>
      </c>
      <c r="M6635" s="787">
        <v>20</v>
      </c>
      <c r="N6635" s="787">
        <v>3.94</v>
      </c>
      <c r="O6635" s="788">
        <v>41858</v>
      </c>
    </row>
    <row r="6636" spans="1:15" x14ac:dyDescent="0.25">
      <c r="A6636" s="786" t="s">
        <v>11893</v>
      </c>
      <c r="B6636" s="787">
        <v>4</v>
      </c>
      <c r="C6636" s="787" t="s">
        <v>11894</v>
      </c>
      <c r="D6636" s="787">
        <v>2.5</v>
      </c>
      <c r="E6636" s="787">
        <v>13.07</v>
      </c>
      <c r="F6636" s="788">
        <v>39101</v>
      </c>
      <c r="G6636" s="788">
        <v>39975</v>
      </c>
      <c r="H6636" s="787">
        <v>1</v>
      </c>
      <c r="I6636" s="788">
        <v>40422</v>
      </c>
      <c r="J6636" s="788">
        <v>39149</v>
      </c>
      <c r="L6636" s="787">
        <v>15.26</v>
      </c>
      <c r="M6636" s="787">
        <v>20</v>
      </c>
      <c r="N6636" s="787">
        <v>18.37</v>
      </c>
      <c r="O6636" s="788">
        <v>42055</v>
      </c>
    </row>
    <row r="6637" spans="1:15" x14ac:dyDescent="0.25">
      <c r="A6637" s="786" t="s">
        <v>11895</v>
      </c>
      <c r="B6637" s="787">
        <v>4</v>
      </c>
      <c r="C6637" s="787" t="s">
        <v>2635</v>
      </c>
      <c r="D6637" s="787">
        <v>2.21</v>
      </c>
      <c r="E6637" s="787">
        <v>2.21</v>
      </c>
      <c r="F6637" s="788">
        <v>39101</v>
      </c>
      <c r="G6637" s="788">
        <v>39101</v>
      </c>
      <c r="H6637" s="787">
        <v>1</v>
      </c>
      <c r="I6637" s="788">
        <v>39134</v>
      </c>
      <c r="J6637" s="788">
        <v>39149</v>
      </c>
      <c r="L6637" s="787">
        <v>1.67</v>
      </c>
      <c r="M6637" s="787">
        <v>20</v>
      </c>
      <c r="N6637" s="787">
        <v>2.0099999999999998</v>
      </c>
      <c r="O6637" s="788">
        <v>41858</v>
      </c>
    </row>
    <row r="6638" spans="1:15" x14ac:dyDescent="0.25">
      <c r="A6638" s="786" t="s">
        <v>11896</v>
      </c>
      <c r="B6638" s="787">
        <v>4</v>
      </c>
      <c r="C6638" s="787" t="s">
        <v>2635</v>
      </c>
      <c r="D6638" s="787">
        <v>1.35</v>
      </c>
      <c r="E6638" s="787">
        <v>1.94</v>
      </c>
      <c r="F6638" s="788">
        <v>39990</v>
      </c>
      <c r="G6638" s="788">
        <v>42150</v>
      </c>
      <c r="H6638" s="787">
        <v>1</v>
      </c>
      <c r="I6638" s="788">
        <v>42164</v>
      </c>
      <c r="J6638" s="788">
        <v>42137</v>
      </c>
      <c r="K6638" s="788">
        <v>41555</v>
      </c>
      <c r="L6638" s="787">
        <v>1.85</v>
      </c>
      <c r="M6638" s="787">
        <v>20</v>
      </c>
      <c r="N6638" s="787">
        <v>2.23</v>
      </c>
      <c r="O6638" s="788">
        <v>42159</v>
      </c>
    </row>
    <row r="6639" spans="1:15" x14ac:dyDescent="0.25">
      <c r="A6639" s="786" t="s">
        <v>11897</v>
      </c>
      <c r="B6639" s="787">
        <v>4</v>
      </c>
      <c r="C6639" s="787" t="s">
        <v>11898</v>
      </c>
      <c r="D6639" s="787">
        <v>2.08</v>
      </c>
      <c r="E6639" s="787">
        <v>2.29</v>
      </c>
      <c r="F6639" s="788">
        <v>39101</v>
      </c>
      <c r="G6639" s="788">
        <v>42013</v>
      </c>
      <c r="H6639" s="787">
        <v>1</v>
      </c>
      <c r="I6639" s="788">
        <v>42157</v>
      </c>
      <c r="J6639" s="788">
        <v>42158</v>
      </c>
      <c r="K6639" s="788">
        <v>41862</v>
      </c>
      <c r="L6639" s="787">
        <v>2.2000000000000002</v>
      </c>
      <c r="M6639" s="787">
        <v>20</v>
      </c>
      <c r="N6639" s="787">
        <v>2.83</v>
      </c>
      <c r="O6639" s="788">
        <v>41858</v>
      </c>
    </row>
    <row r="6640" spans="1:15" x14ac:dyDescent="0.25">
      <c r="A6640" s="786" t="s">
        <v>11899</v>
      </c>
      <c r="B6640" s="787">
        <v>4</v>
      </c>
      <c r="C6640" s="787" t="s">
        <v>2635</v>
      </c>
      <c r="D6640" s="787">
        <v>2.89</v>
      </c>
      <c r="E6640" s="787">
        <v>2.94</v>
      </c>
      <c r="F6640" s="788">
        <v>40070</v>
      </c>
      <c r="G6640" s="788">
        <v>41646</v>
      </c>
      <c r="H6640" s="787">
        <v>6</v>
      </c>
      <c r="I6640" s="788">
        <v>41976</v>
      </c>
      <c r="J6640" s="788">
        <v>40618</v>
      </c>
      <c r="K6640" s="788">
        <v>41869</v>
      </c>
      <c r="L6640" s="787">
        <v>2.94</v>
      </c>
      <c r="M6640" s="787">
        <v>20</v>
      </c>
      <c r="N6640" s="787">
        <v>6.61</v>
      </c>
      <c r="O6640" s="788">
        <v>41858</v>
      </c>
    </row>
    <row r="6641" spans="1:15" x14ac:dyDescent="0.25">
      <c r="A6641" s="786" t="s">
        <v>11900</v>
      </c>
      <c r="B6641" s="787">
        <v>4</v>
      </c>
      <c r="C6641" s="787" t="s">
        <v>2635</v>
      </c>
      <c r="D6641" s="787">
        <v>1.02</v>
      </c>
      <c r="E6641" s="787">
        <v>1.1499999999999999</v>
      </c>
      <c r="F6641" s="788">
        <v>39101</v>
      </c>
      <c r="G6641" s="788">
        <v>42030</v>
      </c>
      <c r="H6641" s="787">
        <v>1</v>
      </c>
      <c r="I6641" s="788">
        <v>42023</v>
      </c>
      <c r="J6641" s="788">
        <v>42020</v>
      </c>
      <c r="L6641" s="787">
        <v>1.02</v>
      </c>
      <c r="M6641" s="787">
        <v>20</v>
      </c>
      <c r="N6641" s="787">
        <v>1.23</v>
      </c>
      <c r="O6641" s="788">
        <v>42163</v>
      </c>
    </row>
    <row r="6642" spans="1:15" x14ac:dyDescent="0.25">
      <c r="A6642" s="786" t="s">
        <v>11901</v>
      </c>
      <c r="B6642" s="787">
        <v>4</v>
      </c>
      <c r="C6642" s="787" t="s">
        <v>2635</v>
      </c>
      <c r="D6642" s="787">
        <v>3.43</v>
      </c>
      <c r="E6642" s="787">
        <v>3.43</v>
      </c>
      <c r="F6642" s="788">
        <v>39101</v>
      </c>
      <c r="G6642" s="788">
        <v>39101</v>
      </c>
      <c r="H6642" s="787">
        <v>1</v>
      </c>
      <c r="I6642" s="788">
        <v>38861</v>
      </c>
      <c r="J6642" s="788">
        <v>39101</v>
      </c>
      <c r="L6642" s="787">
        <v>4.1900000000000004</v>
      </c>
      <c r="M6642" s="787">
        <v>20</v>
      </c>
      <c r="N6642" s="787">
        <v>5.04</v>
      </c>
      <c r="O6642" s="788">
        <v>41858</v>
      </c>
    </row>
    <row r="6643" spans="1:15" x14ac:dyDescent="0.25">
      <c r="A6643" s="786" t="s">
        <v>11902</v>
      </c>
      <c r="B6643" s="787">
        <v>4</v>
      </c>
      <c r="C6643" s="787" t="s">
        <v>2635</v>
      </c>
      <c r="D6643" s="787">
        <v>5.12</v>
      </c>
      <c r="E6643" s="787">
        <v>5.86</v>
      </c>
      <c r="F6643" s="788">
        <v>40210</v>
      </c>
      <c r="G6643" s="788">
        <v>41785</v>
      </c>
      <c r="H6643" s="787">
        <v>1</v>
      </c>
      <c r="I6643" s="788">
        <v>42034</v>
      </c>
      <c r="J6643" s="788">
        <v>42037</v>
      </c>
      <c r="K6643" s="788">
        <v>41869</v>
      </c>
      <c r="L6643" s="787">
        <v>5.86</v>
      </c>
      <c r="M6643" s="787">
        <v>20</v>
      </c>
      <c r="N6643" s="787">
        <v>10.78</v>
      </c>
      <c r="O6643" s="788">
        <v>41858</v>
      </c>
    </row>
    <row r="6644" spans="1:15" x14ac:dyDescent="0.25">
      <c r="A6644" s="786" t="s">
        <v>11903</v>
      </c>
      <c r="B6644" s="787">
        <v>4</v>
      </c>
      <c r="C6644" s="787" t="s">
        <v>11904</v>
      </c>
      <c r="D6644" s="787">
        <v>8.0500000000000007</v>
      </c>
      <c r="E6644" s="787">
        <v>9.99</v>
      </c>
      <c r="F6644" s="788">
        <v>41296</v>
      </c>
      <c r="G6644" s="788">
        <v>42013</v>
      </c>
      <c r="H6644" s="787">
        <v>1</v>
      </c>
      <c r="I6644" s="788">
        <v>42157</v>
      </c>
      <c r="J6644" s="788">
        <v>41478</v>
      </c>
      <c r="K6644" s="788">
        <v>41473</v>
      </c>
      <c r="L6644" s="787">
        <v>9.4499999999999993</v>
      </c>
      <c r="M6644" s="787">
        <v>20</v>
      </c>
      <c r="N6644" s="787">
        <v>11.38</v>
      </c>
      <c r="O6644" s="788">
        <v>41858</v>
      </c>
    </row>
    <row r="6645" spans="1:15" x14ac:dyDescent="0.25">
      <c r="A6645" s="786" t="s">
        <v>11905</v>
      </c>
      <c r="B6645" s="787">
        <v>4</v>
      </c>
      <c r="C6645" s="787" t="s">
        <v>2635</v>
      </c>
      <c r="D6645" s="787">
        <v>3.28</v>
      </c>
      <c r="E6645" s="787">
        <v>3.78</v>
      </c>
      <c r="F6645" s="788">
        <v>40121</v>
      </c>
      <c r="G6645" s="788">
        <v>42013</v>
      </c>
      <c r="H6645" s="787">
        <v>1</v>
      </c>
      <c r="I6645" s="788">
        <v>42123</v>
      </c>
      <c r="J6645" s="788">
        <v>41850</v>
      </c>
      <c r="K6645" s="788">
        <v>40679</v>
      </c>
      <c r="L6645" s="787">
        <v>3.71</v>
      </c>
      <c r="M6645" s="787">
        <v>20</v>
      </c>
      <c r="N6645" s="787">
        <v>4.47</v>
      </c>
      <c r="O6645" s="788">
        <v>42162</v>
      </c>
    </row>
    <row r="6646" spans="1:15" x14ac:dyDescent="0.25">
      <c r="A6646" s="786" t="s">
        <v>11906</v>
      </c>
      <c r="B6646" s="787">
        <v>4</v>
      </c>
      <c r="C6646" s="787" t="s">
        <v>11907</v>
      </c>
      <c r="D6646" s="787">
        <v>2.6</v>
      </c>
      <c r="E6646" s="787">
        <v>3.29</v>
      </c>
      <c r="F6646" s="788">
        <v>39924</v>
      </c>
      <c r="G6646" s="788">
        <v>42165</v>
      </c>
      <c r="H6646" s="787">
        <v>1</v>
      </c>
      <c r="I6646" s="788">
        <v>42157</v>
      </c>
      <c r="J6646" s="788">
        <v>42153</v>
      </c>
      <c r="K6646" s="788">
        <v>40744</v>
      </c>
      <c r="L6646" s="787">
        <v>3.3</v>
      </c>
      <c r="M6646" s="787">
        <v>20</v>
      </c>
      <c r="N6646" s="787">
        <v>3.97</v>
      </c>
      <c r="O6646" s="788">
        <v>42164</v>
      </c>
    </row>
    <row r="6647" spans="1:15" x14ac:dyDescent="0.25">
      <c r="A6647" s="786" t="s">
        <v>11908</v>
      </c>
      <c r="B6647" s="787">
        <v>4</v>
      </c>
      <c r="C6647" s="787" t="s">
        <v>2635</v>
      </c>
      <c r="D6647" s="787">
        <v>2.15</v>
      </c>
      <c r="E6647" s="787">
        <v>2.15</v>
      </c>
      <c r="F6647" s="788">
        <v>38146</v>
      </c>
      <c r="G6647" s="788">
        <v>38146</v>
      </c>
      <c r="H6647" s="787">
        <v>1</v>
      </c>
      <c r="I6647" s="788">
        <v>39128</v>
      </c>
      <c r="J6647" s="788">
        <v>38146</v>
      </c>
      <c r="L6647" s="787">
        <v>2.62</v>
      </c>
      <c r="M6647" s="787">
        <v>20</v>
      </c>
      <c r="N6647" s="787">
        <v>3.15</v>
      </c>
      <c r="O6647" s="788">
        <v>41858</v>
      </c>
    </row>
    <row r="6648" spans="1:15" x14ac:dyDescent="0.25">
      <c r="A6648" s="786" t="s">
        <v>11909</v>
      </c>
      <c r="B6648" s="787">
        <v>4</v>
      </c>
      <c r="C6648" s="787" t="s">
        <v>11910</v>
      </c>
      <c r="D6648" s="787">
        <v>1.72</v>
      </c>
      <c r="E6648" s="787">
        <v>11.72</v>
      </c>
      <c r="F6648" s="788">
        <v>39975</v>
      </c>
      <c r="G6648" s="788">
        <v>39975</v>
      </c>
      <c r="H6648" s="787">
        <v>1</v>
      </c>
      <c r="I6648" s="788">
        <v>40926</v>
      </c>
      <c r="J6648" s="788">
        <v>38145</v>
      </c>
      <c r="L6648" s="787">
        <v>14.59</v>
      </c>
      <c r="M6648" s="787">
        <v>20</v>
      </c>
      <c r="N6648" s="787">
        <v>17.57</v>
      </c>
      <c r="O6648" s="788">
        <v>41858</v>
      </c>
    </row>
    <row r="6649" spans="1:15" x14ac:dyDescent="0.25">
      <c r="A6649" s="786" t="s">
        <v>11911</v>
      </c>
      <c r="B6649" s="787">
        <v>4</v>
      </c>
      <c r="C6649" s="787" t="s">
        <v>11912</v>
      </c>
      <c r="D6649" s="787">
        <v>8.6999999999999993</v>
      </c>
      <c r="E6649" s="787">
        <v>10.11</v>
      </c>
      <c r="F6649" s="788">
        <v>40339</v>
      </c>
      <c r="G6649" s="788">
        <v>42103</v>
      </c>
      <c r="H6649" s="787">
        <v>1</v>
      </c>
      <c r="I6649" s="788">
        <v>42109</v>
      </c>
      <c r="J6649" s="788">
        <v>42054</v>
      </c>
      <c r="K6649" s="788">
        <v>41593</v>
      </c>
      <c r="L6649" s="787">
        <v>9.6</v>
      </c>
      <c r="M6649" s="787">
        <v>20</v>
      </c>
      <c r="N6649" s="787">
        <v>11.56</v>
      </c>
      <c r="O6649" s="788">
        <v>42159</v>
      </c>
    </row>
    <row r="6650" spans="1:15" x14ac:dyDescent="0.25">
      <c r="A6650" s="786" t="s">
        <v>11913</v>
      </c>
      <c r="B6650" s="787">
        <v>4</v>
      </c>
      <c r="C6650" s="787" t="s">
        <v>2635</v>
      </c>
      <c r="D6650" s="787">
        <v>1.73</v>
      </c>
      <c r="E6650" s="787">
        <v>1.82</v>
      </c>
      <c r="F6650" s="788">
        <v>39184</v>
      </c>
      <c r="G6650" s="788">
        <v>42159</v>
      </c>
      <c r="H6650" s="787">
        <v>1</v>
      </c>
      <c r="I6650" s="788">
        <v>42156</v>
      </c>
      <c r="J6650" s="788">
        <v>42159</v>
      </c>
      <c r="K6650" s="788">
        <v>41459</v>
      </c>
      <c r="L6650" s="787">
        <v>1.87</v>
      </c>
      <c r="M6650" s="787">
        <v>20</v>
      </c>
      <c r="N6650" s="787">
        <v>2.25</v>
      </c>
      <c r="O6650" s="788">
        <v>42040</v>
      </c>
    </row>
    <row r="6651" spans="1:15" x14ac:dyDescent="0.25">
      <c r="A6651" s="786" t="s">
        <v>11914</v>
      </c>
      <c r="B6651" s="787">
        <v>4</v>
      </c>
      <c r="C6651" s="787" t="s">
        <v>2635</v>
      </c>
      <c r="D6651" s="787">
        <v>2.59</v>
      </c>
      <c r="E6651" s="787">
        <v>4.1500000000000004</v>
      </c>
      <c r="F6651" s="788">
        <v>40203</v>
      </c>
      <c r="G6651" s="788">
        <v>42086</v>
      </c>
      <c r="H6651" s="787">
        <v>1</v>
      </c>
      <c r="I6651" s="788">
        <v>42118</v>
      </c>
      <c r="J6651" s="788">
        <v>42068</v>
      </c>
      <c r="L6651" s="787">
        <v>3.15</v>
      </c>
      <c r="M6651" s="787">
        <v>20</v>
      </c>
      <c r="N6651" s="787">
        <v>3.79</v>
      </c>
      <c r="O6651" s="788">
        <v>41858</v>
      </c>
    </row>
    <row r="6652" spans="1:15" x14ac:dyDescent="0.25">
      <c r="A6652" s="786" t="s">
        <v>11915</v>
      </c>
      <c r="B6652" s="787">
        <v>4</v>
      </c>
      <c r="C6652" s="787" t="s">
        <v>2635</v>
      </c>
      <c r="D6652" s="787">
        <v>2.17</v>
      </c>
      <c r="E6652" s="787">
        <v>2.25</v>
      </c>
      <c r="F6652" s="788">
        <v>41803</v>
      </c>
      <c r="G6652" s="788">
        <v>42150</v>
      </c>
      <c r="H6652" s="787">
        <v>1</v>
      </c>
      <c r="I6652" s="788">
        <v>42146</v>
      </c>
      <c r="J6652" s="788">
        <v>42137</v>
      </c>
      <c r="K6652" s="788">
        <v>41463</v>
      </c>
      <c r="L6652" s="787">
        <v>2.35</v>
      </c>
      <c r="M6652" s="787">
        <v>20</v>
      </c>
      <c r="N6652" s="787">
        <v>2.83</v>
      </c>
      <c r="O6652" s="788">
        <v>41858</v>
      </c>
    </row>
    <row r="6653" spans="1:15" x14ac:dyDescent="0.25">
      <c r="A6653" s="786" t="s">
        <v>11916</v>
      </c>
      <c r="B6653" s="787">
        <v>4</v>
      </c>
      <c r="C6653" s="787" t="s">
        <v>2635</v>
      </c>
      <c r="D6653" s="787">
        <v>2.78</v>
      </c>
      <c r="E6653" s="787">
        <v>3.02</v>
      </c>
      <c r="F6653" s="788">
        <v>42030</v>
      </c>
      <c r="G6653" s="788">
        <v>42158</v>
      </c>
      <c r="H6653" s="787">
        <v>1</v>
      </c>
      <c r="I6653" s="788">
        <v>42156</v>
      </c>
      <c r="J6653" s="788">
        <v>42156</v>
      </c>
      <c r="K6653" s="788">
        <v>41313</v>
      </c>
      <c r="L6653" s="787">
        <v>2.86</v>
      </c>
      <c r="M6653" s="787">
        <v>20</v>
      </c>
      <c r="N6653" s="787">
        <v>3.44</v>
      </c>
      <c r="O6653" s="788">
        <v>42123</v>
      </c>
    </row>
    <row r="6654" spans="1:15" x14ac:dyDescent="0.25">
      <c r="A6654" s="786" t="s">
        <v>11917</v>
      </c>
      <c r="B6654" s="787">
        <v>4</v>
      </c>
      <c r="C6654" s="787" t="s">
        <v>2635</v>
      </c>
      <c r="D6654" s="787">
        <v>3.11</v>
      </c>
      <c r="E6654" s="787">
        <v>3.46</v>
      </c>
      <c r="F6654" s="788">
        <v>41800</v>
      </c>
      <c r="G6654" s="788">
        <v>42013</v>
      </c>
      <c r="H6654" s="787">
        <v>1</v>
      </c>
      <c r="I6654" s="788">
        <v>42123</v>
      </c>
      <c r="J6654" s="788">
        <v>41908</v>
      </c>
      <c r="K6654" s="788">
        <v>41037</v>
      </c>
      <c r="L6654" s="787">
        <v>3.69</v>
      </c>
      <c r="M6654" s="787">
        <v>20</v>
      </c>
      <c r="N6654" s="787">
        <v>4.4400000000000004</v>
      </c>
      <c r="O6654" s="788">
        <v>41858</v>
      </c>
    </row>
    <row r="6655" spans="1:15" x14ac:dyDescent="0.25">
      <c r="A6655" s="786" t="s">
        <v>11918</v>
      </c>
      <c r="B6655" s="787">
        <v>4</v>
      </c>
      <c r="C6655" s="787" t="s">
        <v>11919</v>
      </c>
      <c r="D6655" s="787">
        <v>7.5</v>
      </c>
      <c r="E6655" s="787">
        <v>7.5</v>
      </c>
      <c r="F6655" s="788">
        <v>39101</v>
      </c>
      <c r="G6655" s="788">
        <v>39101</v>
      </c>
      <c r="H6655" s="787">
        <v>1</v>
      </c>
      <c r="I6655" s="788">
        <v>39730</v>
      </c>
      <c r="J6655" s="788">
        <v>39101</v>
      </c>
      <c r="L6655" s="787">
        <v>9.16</v>
      </c>
      <c r="M6655" s="787">
        <v>20</v>
      </c>
      <c r="N6655" s="787">
        <v>11.03</v>
      </c>
      <c r="O6655" s="788">
        <v>41955</v>
      </c>
    </row>
    <row r="6656" spans="1:15" x14ac:dyDescent="0.25">
      <c r="A6656" s="786" t="s">
        <v>11920</v>
      </c>
      <c r="B6656" s="787">
        <v>4</v>
      </c>
      <c r="C6656" s="787" t="s">
        <v>2635</v>
      </c>
      <c r="D6656" s="787">
        <v>1.98</v>
      </c>
      <c r="E6656" s="787">
        <v>2.14</v>
      </c>
      <c r="F6656" s="788">
        <v>39870</v>
      </c>
      <c r="G6656" s="788">
        <v>42103</v>
      </c>
      <c r="H6656" s="787">
        <v>1</v>
      </c>
      <c r="I6656" s="788">
        <v>41618</v>
      </c>
      <c r="J6656" s="788">
        <v>42062</v>
      </c>
      <c r="K6656" s="788">
        <v>40266</v>
      </c>
      <c r="L6656" s="787">
        <v>2.1</v>
      </c>
      <c r="M6656" s="787">
        <v>20</v>
      </c>
      <c r="N6656" s="787">
        <v>2.5299999999999998</v>
      </c>
      <c r="O6656" s="788">
        <v>41858</v>
      </c>
    </row>
    <row r="6657" spans="1:15" x14ac:dyDescent="0.25">
      <c r="A6657" s="786" t="s">
        <v>11921</v>
      </c>
      <c r="B6657" s="787">
        <v>4</v>
      </c>
      <c r="C6657" s="787" t="s">
        <v>2635</v>
      </c>
      <c r="D6657" s="787">
        <v>6.73</v>
      </c>
      <c r="E6657" s="787">
        <v>8.93</v>
      </c>
      <c r="F6657" s="788">
        <v>40329</v>
      </c>
      <c r="G6657" s="788">
        <v>42146</v>
      </c>
      <c r="H6657" s="787">
        <v>1</v>
      </c>
      <c r="I6657" s="788">
        <v>42160</v>
      </c>
      <c r="J6657" s="788">
        <v>42146</v>
      </c>
      <c r="K6657" s="788">
        <v>41249</v>
      </c>
      <c r="L6657" s="787">
        <v>8.84</v>
      </c>
      <c r="M6657" s="787">
        <v>20</v>
      </c>
      <c r="N6657" s="787">
        <v>10.64</v>
      </c>
      <c r="O6657" s="788">
        <v>42164</v>
      </c>
    </row>
    <row r="6658" spans="1:15" x14ac:dyDescent="0.25">
      <c r="A6658" s="786" t="s">
        <v>11922</v>
      </c>
      <c r="B6658" s="787">
        <v>4</v>
      </c>
      <c r="C6658" s="787" t="s">
        <v>2635</v>
      </c>
      <c r="D6658" s="787">
        <v>4.1100000000000003</v>
      </c>
      <c r="E6658" s="787">
        <v>5.66</v>
      </c>
      <c r="F6658" s="788">
        <v>39101</v>
      </c>
      <c r="G6658" s="788">
        <v>42030</v>
      </c>
      <c r="H6658" s="787">
        <v>1</v>
      </c>
      <c r="I6658" s="788">
        <v>42128</v>
      </c>
      <c r="J6658" s="788">
        <v>42020</v>
      </c>
      <c r="K6658" s="788">
        <v>41802</v>
      </c>
      <c r="L6658" s="787">
        <v>5.45</v>
      </c>
      <c r="M6658" s="787">
        <v>20</v>
      </c>
      <c r="N6658" s="787">
        <v>6.56</v>
      </c>
      <c r="O6658" s="788">
        <v>41858</v>
      </c>
    </row>
    <row r="6659" spans="1:15" x14ac:dyDescent="0.25">
      <c r="A6659" s="786" t="s">
        <v>11923</v>
      </c>
      <c r="B6659" s="787">
        <v>4</v>
      </c>
      <c r="C6659" s="787" t="s">
        <v>2635</v>
      </c>
      <c r="D6659" s="787">
        <v>2.76</v>
      </c>
      <c r="E6659" s="787">
        <v>4.7699999999999996</v>
      </c>
      <c r="F6659" s="788">
        <v>40070</v>
      </c>
      <c r="G6659" s="788">
        <v>42157</v>
      </c>
      <c r="H6659" s="787">
        <v>1</v>
      </c>
      <c r="I6659" s="788">
        <v>42157</v>
      </c>
      <c r="J6659" s="788">
        <v>42157</v>
      </c>
      <c r="K6659" s="788">
        <v>42156</v>
      </c>
      <c r="L6659" s="787">
        <v>3.08</v>
      </c>
      <c r="M6659" s="787">
        <v>20</v>
      </c>
      <c r="N6659" s="787">
        <v>3.71</v>
      </c>
      <c r="O6659" s="788">
        <v>42157</v>
      </c>
    </row>
    <row r="6660" spans="1:15" x14ac:dyDescent="0.25">
      <c r="A6660" s="786" t="s">
        <v>11924</v>
      </c>
      <c r="B6660" s="787">
        <v>4</v>
      </c>
      <c r="C6660" s="787" t="s">
        <v>2635</v>
      </c>
      <c r="D6660" s="787">
        <v>1.29</v>
      </c>
      <c r="E6660" s="787">
        <v>1.75</v>
      </c>
      <c r="F6660" s="788">
        <v>39883</v>
      </c>
      <c r="G6660" s="788">
        <v>42081</v>
      </c>
      <c r="H6660" s="787">
        <v>1</v>
      </c>
      <c r="I6660" s="788">
        <v>42066</v>
      </c>
      <c r="J6660" s="788">
        <v>42060</v>
      </c>
      <c r="K6660" s="788">
        <v>40266</v>
      </c>
      <c r="L6660" s="787">
        <v>1.29</v>
      </c>
      <c r="M6660" s="787">
        <v>20</v>
      </c>
      <c r="N6660" s="787">
        <v>1.55</v>
      </c>
      <c r="O6660" s="788">
        <v>41988</v>
      </c>
    </row>
    <row r="6661" spans="1:15" x14ac:dyDescent="0.25">
      <c r="A6661" s="786" t="s">
        <v>11925</v>
      </c>
      <c r="B6661" s="787">
        <v>4</v>
      </c>
      <c r="C6661" s="787" t="s">
        <v>2635</v>
      </c>
      <c r="D6661" s="787">
        <v>5.03</v>
      </c>
      <c r="E6661" s="787">
        <v>5.92</v>
      </c>
      <c r="F6661" s="788">
        <v>40035</v>
      </c>
      <c r="G6661" s="788">
        <v>42165</v>
      </c>
      <c r="H6661" s="787">
        <v>1</v>
      </c>
      <c r="I6661" s="788">
        <v>42020</v>
      </c>
      <c r="J6661" s="788">
        <v>42165</v>
      </c>
      <c r="K6661" s="788">
        <v>40290</v>
      </c>
      <c r="L6661" s="787">
        <v>5.87</v>
      </c>
      <c r="M6661" s="787">
        <v>20</v>
      </c>
      <c r="N6661" s="787">
        <v>7.07</v>
      </c>
      <c r="O6661" s="788">
        <v>42053</v>
      </c>
    </row>
    <row r="6662" spans="1:15" x14ac:dyDescent="0.25">
      <c r="A6662" s="786" t="s">
        <v>11926</v>
      </c>
      <c r="B6662" s="787">
        <v>4</v>
      </c>
      <c r="C6662" s="787" t="s">
        <v>2635</v>
      </c>
      <c r="D6662" s="787">
        <v>7.18</v>
      </c>
      <c r="E6662" s="787">
        <v>8.2200000000000006</v>
      </c>
      <c r="F6662" s="788">
        <v>41025</v>
      </c>
      <c r="G6662" s="788">
        <v>41943</v>
      </c>
      <c r="H6662" s="787">
        <v>1</v>
      </c>
      <c r="I6662" s="788">
        <v>42045</v>
      </c>
      <c r="J6662" s="788">
        <v>41883</v>
      </c>
      <c r="L6662" s="787">
        <v>8.1</v>
      </c>
      <c r="M6662" s="787">
        <v>20</v>
      </c>
      <c r="N6662" s="787">
        <v>8.7100000000000009</v>
      </c>
      <c r="O6662" s="788">
        <v>41858</v>
      </c>
    </row>
    <row r="6663" spans="1:15" x14ac:dyDescent="0.25">
      <c r="A6663" s="786" t="s">
        <v>11927</v>
      </c>
      <c r="B6663" s="787">
        <v>4</v>
      </c>
      <c r="C6663" s="787" t="s">
        <v>2635</v>
      </c>
      <c r="D6663" s="787">
        <v>2.2000000000000002</v>
      </c>
      <c r="E6663" s="787">
        <v>2.5099999999999998</v>
      </c>
      <c r="F6663" s="788">
        <v>42129</v>
      </c>
      <c r="G6663" s="788">
        <v>42156</v>
      </c>
      <c r="H6663" s="787">
        <v>1</v>
      </c>
      <c r="I6663" s="788">
        <v>42137</v>
      </c>
      <c r="J6663" s="788">
        <v>42128</v>
      </c>
      <c r="K6663" s="788">
        <v>40752</v>
      </c>
      <c r="L6663" s="787">
        <v>2.89</v>
      </c>
      <c r="M6663" s="787">
        <v>20</v>
      </c>
      <c r="N6663" s="787">
        <v>3.48</v>
      </c>
      <c r="O6663" s="788">
        <v>41858</v>
      </c>
    </row>
    <row r="6664" spans="1:15" x14ac:dyDescent="0.25">
      <c r="A6664" s="786" t="s">
        <v>11928</v>
      </c>
      <c r="B6664" s="787">
        <v>4</v>
      </c>
      <c r="C6664" s="787" t="s">
        <v>11929</v>
      </c>
      <c r="D6664" s="787">
        <v>7.2</v>
      </c>
      <c r="E6664" s="787">
        <v>17.2</v>
      </c>
      <c r="F6664" s="788">
        <v>37642</v>
      </c>
      <c r="G6664" s="788">
        <v>37642</v>
      </c>
      <c r="H6664" s="787">
        <v>1</v>
      </c>
      <c r="I6664" s="788">
        <v>41687</v>
      </c>
      <c r="J6664" s="788">
        <v>37642</v>
      </c>
      <c r="L6664" s="787">
        <v>21</v>
      </c>
      <c r="M6664" s="787">
        <v>20</v>
      </c>
      <c r="N6664" s="787">
        <v>25.28</v>
      </c>
      <c r="O6664" s="788">
        <v>41858</v>
      </c>
    </row>
    <row r="6665" spans="1:15" x14ac:dyDescent="0.25">
      <c r="A6665" s="786" t="s">
        <v>11930</v>
      </c>
      <c r="B6665" s="787">
        <v>4</v>
      </c>
      <c r="C6665" s="787" t="s">
        <v>2635</v>
      </c>
      <c r="D6665" s="787">
        <v>2.92</v>
      </c>
      <c r="E6665" s="787">
        <v>2.92</v>
      </c>
      <c r="F6665" s="788">
        <v>39101</v>
      </c>
      <c r="G6665" s="788">
        <v>39101</v>
      </c>
      <c r="H6665" s="787">
        <v>1</v>
      </c>
      <c r="I6665" s="788">
        <v>41780</v>
      </c>
      <c r="J6665" s="788">
        <v>41820</v>
      </c>
      <c r="L6665" s="787">
        <v>3.56</v>
      </c>
      <c r="M6665" s="787">
        <v>20</v>
      </c>
      <c r="N6665" s="787">
        <v>4.29</v>
      </c>
      <c r="O6665" s="788">
        <v>41858</v>
      </c>
    </row>
    <row r="6666" spans="1:15" x14ac:dyDescent="0.25">
      <c r="A6666" s="786" t="s">
        <v>11931</v>
      </c>
      <c r="B6666" s="787">
        <v>4</v>
      </c>
      <c r="C6666" s="787" t="s">
        <v>2635</v>
      </c>
      <c r="D6666" s="787">
        <v>8.27</v>
      </c>
      <c r="E6666" s="787">
        <v>9.32</v>
      </c>
      <c r="F6666" s="788">
        <v>38485</v>
      </c>
      <c r="G6666" s="788">
        <v>42013</v>
      </c>
      <c r="H6666" s="787">
        <v>1</v>
      </c>
      <c r="I6666" s="788">
        <v>41926</v>
      </c>
      <c r="J6666" s="788">
        <v>41914</v>
      </c>
      <c r="L6666" s="787">
        <v>8.67</v>
      </c>
      <c r="M6666" s="787">
        <v>20</v>
      </c>
      <c r="N6666" s="787">
        <v>9.32</v>
      </c>
      <c r="O6666" s="788">
        <v>41858</v>
      </c>
    </row>
    <row r="6667" spans="1:15" x14ac:dyDescent="0.25">
      <c r="A6667" s="786" t="s">
        <v>11932</v>
      </c>
      <c r="B6667" s="787">
        <v>4</v>
      </c>
      <c r="C6667" s="787" t="s">
        <v>11933</v>
      </c>
      <c r="D6667" s="787">
        <v>2.19</v>
      </c>
      <c r="E6667" s="787">
        <v>12.19</v>
      </c>
      <c r="F6667" s="788">
        <v>37642</v>
      </c>
      <c r="G6667" s="788">
        <v>40358</v>
      </c>
      <c r="H6667" s="787">
        <v>1</v>
      </c>
      <c r="I6667" s="788">
        <v>40249</v>
      </c>
      <c r="J6667" s="788">
        <v>39149</v>
      </c>
      <c r="L6667" s="787">
        <v>14.88</v>
      </c>
      <c r="M6667" s="787">
        <v>20</v>
      </c>
      <c r="N6667" s="787">
        <v>17.920000000000002</v>
      </c>
      <c r="O6667" s="788">
        <v>41858</v>
      </c>
    </row>
    <row r="6668" spans="1:15" x14ac:dyDescent="0.25">
      <c r="A6668" s="786" t="s">
        <v>11934</v>
      </c>
      <c r="B6668" s="787">
        <v>4</v>
      </c>
      <c r="C6668" s="787" t="s">
        <v>11935</v>
      </c>
      <c r="D6668" s="787">
        <v>3.25</v>
      </c>
      <c r="E6668" s="787">
        <v>7.03</v>
      </c>
      <c r="F6668" s="788">
        <v>38639</v>
      </c>
      <c r="G6668" s="788">
        <v>42081</v>
      </c>
      <c r="H6668" s="787">
        <v>1</v>
      </c>
      <c r="I6668" s="788">
        <v>42054</v>
      </c>
      <c r="J6668" s="788">
        <v>42060</v>
      </c>
      <c r="K6668" s="788">
        <v>40352</v>
      </c>
      <c r="L6668" s="787">
        <v>5.21</v>
      </c>
      <c r="M6668" s="787">
        <v>20</v>
      </c>
      <c r="N6668" s="787">
        <v>6.27</v>
      </c>
      <c r="O6668" s="788">
        <v>42164</v>
      </c>
    </row>
    <row r="6669" spans="1:15" x14ac:dyDescent="0.25">
      <c r="A6669" s="786" t="s">
        <v>11936</v>
      </c>
      <c r="B6669" s="787">
        <v>4</v>
      </c>
      <c r="C6669" s="787" t="s">
        <v>11935</v>
      </c>
      <c r="D6669" s="787">
        <v>2.04</v>
      </c>
      <c r="E6669" s="787">
        <v>2.0299999999999998</v>
      </c>
      <c r="F6669" s="788">
        <v>39101</v>
      </c>
      <c r="G6669" s="788">
        <v>39101</v>
      </c>
      <c r="H6669" s="787">
        <v>1</v>
      </c>
      <c r="I6669" s="788">
        <v>39001</v>
      </c>
      <c r="J6669" s="788">
        <v>39101</v>
      </c>
      <c r="L6669" s="787">
        <v>2.48</v>
      </c>
      <c r="M6669" s="787">
        <v>20</v>
      </c>
      <c r="N6669" s="787">
        <v>2.99</v>
      </c>
      <c r="O6669" s="788">
        <v>41955</v>
      </c>
    </row>
    <row r="6670" spans="1:15" x14ac:dyDescent="0.25">
      <c r="A6670" s="786" t="s">
        <v>11937</v>
      </c>
      <c r="B6670" s="787">
        <v>4</v>
      </c>
      <c r="C6670" s="787" t="s">
        <v>2635</v>
      </c>
      <c r="D6670" s="787">
        <v>3.18</v>
      </c>
      <c r="E6670" s="787">
        <v>5.61</v>
      </c>
      <c r="F6670" s="788">
        <v>37642</v>
      </c>
      <c r="G6670" s="788">
        <v>42013</v>
      </c>
      <c r="H6670" s="787">
        <v>1</v>
      </c>
      <c r="I6670" s="788">
        <v>41074</v>
      </c>
      <c r="J6670" s="788">
        <v>41060</v>
      </c>
      <c r="K6670" s="788">
        <v>41869</v>
      </c>
      <c r="L6670" s="787">
        <v>5.61</v>
      </c>
      <c r="M6670" s="787">
        <v>20</v>
      </c>
      <c r="N6670" s="787">
        <v>6.75</v>
      </c>
      <c r="O6670" s="788">
        <v>42053</v>
      </c>
    </row>
    <row r="6671" spans="1:15" x14ac:dyDescent="0.25">
      <c r="A6671" s="786" t="s">
        <v>11938</v>
      </c>
      <c r="B6671" s="787">
        <v>4</v>
      </c>
      <c r="C6671" s="787" t="s">
        <v>2635</v>
      </c>
      <c r="D6671" s="787">
        <v>4.78</v>
      </c>
      <c r="E6671" s="787">
        <v>5.51</v>
      </c>
      <c r="F6671" s="788">
        <v>39860</v>
      </c>
      <c r="G6671" s="788">
        <v>42013</v>
      </c>
      <c r="H6671" s="787">
        <v>1</v>
      </c>
      <c r="I6671" s="788">
        <v>41600</v>
      </c>
      <c r="J6671" s="788">
        <v>40959</v>
      </c>
      <c r="K6671" s="788">
        <v>40953</v>
      </c>
      <c r="L6671" s="787">
        <v>5.13</v>
      </c>
      <c r="M6671" s="787">
        <v>20</v>
      </c>
      <c r="N6671" s="787">
        <v>6.18</v>
      </c>
      <c r="O6671" s="788">
        <v>42087</v>
      </c>
    </row>
    <row r="6672" spans="1:15" x14ac:dyDescent="0.25">
      <c r="A6672" s="786" t="s">
        <v>11939</v>
      </c>
      <c r="B6672" s="787">
        <v>4</v>
      </c>
      <c r="C6672" s="787" t="s">
        <v>2635</v>
      </c>
      <c r="D6672" s="787">
        <v>3.84</v>
      </c>
      <c r="E6672" s="787">
        <v>3.84</v>
      </c>
      <c r="F6672" s="788">
        <v>38530</v>
      </c>
      <c r="G6672" s="788">
        <v>38530</v>
      </c>
      <c r="H6672" s="787">
        <v>1</v>
      </c>
      <c r="I6672" s="788">
        <v>40540</v>
      </c>
      <c r="J6672" s="788">
        <v>38567</v>
      </c>
      <c r="L6672" s="787">
        <v>3.84</v>
      </c>
      <c r="M6672" s="787">
        <v>20</v>
      </c>
      <c r="N6672" s="787">
        <v>4.13</v>
      </c>
      <c r="O6672" s="788">
        <v>41858</v>
      </c>
    </row>
    <row r="6673" spans="1:15" x14ac:dyDescent="0.25">
      <c r="A6673" s="786" t="s">
        <v>11940</v>
      </c>
      <c r="B6673" s="787">
        <v>4</v>
      </c>
      <c r="C6673" s="787" t="s">
        <v>11941</v>
      </c>
      <c r="D6673" s="787">
        <v>3.37</v>
      </c>
      <c r="E6673" s="787">
        <v>7.3</v>
      </c>
      <c r="F6673" s="788">
        <v>39391</v>
      </c>
      <c r="G6673" s="788">
        <v>40980</v>
      </c>
      <c r="H6673" s="787">
        <v>1</v>
      </c>
      <c r="I6673" s="788">
        <v>41613</v>
      </c>
      <c r="J6673" s="788">
        <v>40980</v>
      </c>
      <c r="K6673" s="788">
        <v>40969</v>
      </c>
      <c r="L6673" s="787">
        <v>7.3</v>
      </c>
      <c r="M6673" s="787">
        <v>20</v>
      </c>
      <c r="N6673" s="787">
        <v>8.7899999999999991</v>
      </c>
      <c r="O6673" s="788">
        <v>41858</v>
      </c>
    </row>
    <row r="6674" spans="1:15" x14ac:dyDescent="0.25">
      <c r="A6674" s="786" t="s">
        <v>11942</v>
      </c>
      <c r="B6674" s="787">
        <v>4</v>
      </c>
      <c r="C6674" s="787" t="s">
        <v>11943</v>
      </c>
      <c r="D6674" s="787">
        <v>5.49</v>
      </c>
      <c r="E6674" s="787">
        <v>15.49</v>
      </c>
      <c r="F6674" s="788">
        <v>41509</v>
      </c>
      <c r="G6674" s="788">
        <v>42013</v>
      </c>
      <c r="H6674" s="787">
        <v>1</v>
      </c>
      <c r="I6674" s="788">
        <v>41522</v>
      </c>
      <c r="J6674" s="788">
        <v>41507</v>
      </c>
      <c r="L6674" s="787">
        <v>15.49</v>
      </c>
      <c r="M6674" s="787">
        <v>20</v>
      </c>
      <c r="N6674" s="787">
        <v>16.649999999999999</v>
      </c>
      <c r="O6674" s="788">
        <v>41858</v>
      </c>
    </row>
    <row r="6675" spans="1:15" x14ac:dyDescent="0.25">
      <c r="A6675" s="786" t="s">
        <v>11944</v>
      </c>
      <c r="B6675" s="787">
        <v>4</v>
      </c>
      <c r="C6675" s="787" t="s">
        <v>11945</v>
      </c>
      <c r="D6675" s="787">
        <v>1.34</v>
      </c>
      <c r="E6675" s="787">
        <v>1.34</v>
      </c>
      <c r="F6675" s="788">
        <v>37642</v>
      </c>
      <c r="G6675" s="788">
        <v>37642</v>
      </c>
      <c r="H6675" s="787">
        <v>1</v>
      </c>
      <c r="I6675" s="788">
        <v>38330</v>
      </c>
      <c r="J6675" s="788">
        <v>37642</v>
      </c>
      <c r="L6675" s="787">
        <v>1.64</v>
      </c>
      <c r="M6675" s="787">
        <v>20</v>
      </c>
      <c r="N6675" s="787">
        <v>1.97</v>
      </c>
      <c r="O6675" s="788">
        <v>41858</v>
      </c>
    </row>
    <row r="6676" spans="1:15" x14ac:dyDescent="0.25">
      <c r="A6676" s="786" t="s">
        <v>11946</v>
      </c>
      <c r="B6676" s="787">
        <v>4</v>
      </c>
      <c r="C6676" s="787" t="s">
        <v>11947</v>
      </c>
      <c r="D6676" s="787">
        <v>6.52</v>
      </c>
      <c r="E6676" s="787">
        <v>9.76</v>
      </c>
      <c r="F6676" s="788">
        <v>40095</v>
      </c>
      <c r="G6676" s="788">
        <v>42013</v>
      </c>
      <c r="H6676" s="787">
        <v>1</v>
      </c>
      <c r="I6676" s="788">
        <v>41759</v>
      </c>
      <c r="J6676" s="788">
        <v>41785</v>
      </c>
      <c r="K6676" s="788">
        <v>41284</v>
      </c>
      <c r="L6676" s="787">
        <v>8.9499999999999993</v>
      </c>
      <c r="M6676" s="787">
        <v>20</v>
      </c>
      <c r="N6676" s="787">
        <v>10.78</v>
      </c>
      <c r="O6676" s="788">
        <v>41858</v>
      </c>
    </row>
    <row r="6677" spans="1:15" x14ac:dyDescent="0.25">
      <c r="A6677" s="786" t="s">
        <v>11948</v>
      </c>
      <c r="B6677" s="787">
        <v>4</v>
      </c>
      <c r="C6677" s="787" t="s">
        <v>11949</v>
      </c>
      <c r="D6677" s="787">
        <v>3.5</v>
      </c>
      <c r="E6677" s="787">
        <v>3.5</v>
      </c>
      <c r="F6677" s="788">
        <v>40701</v>
      </c>
      <c r="G6677" s="788">
        <v>41855</v>
      </c>
      <c r="H6677" s="787">
        <v>1</v>
      </c>
      <c r="I6677" s="788">
        <v>41859</v>
      </c>
      <c r="J6677" s="788">
        <v>41851</v>
      </c>
      <c r="K6677" s="788">
        <v>40673</v>
      </c>
      <c r="L6677" s="787">
        <v>3.5</v>
      </c>
      <c r="M6677" s="787">
        <v>20</v>
      </c>
      <c r="N6677" s="787">
        <v>4.21</v>
      </c>
      <c r="O6677" s="788">
        <v>42053</v>
      </c>
    </row>
    <row r="6678" spans="1:15" x14ac:dyDescent="0.25">
      <c r="A6678" s="786" t="s">
        <v>11950</v>
      </c>
      <c r="B6678" s="787">
        <v>4</v>
      </c>
      <c r="C6678" s="787" t="s">
        <v>11951</v>
      </c>
      <c r="D6678" s="787">
        <v>2</v>
      </c>
      <c r="E6678" s="787">
        <v>2.2000000000000002</v>
      </c>
      <c r="F6678" s="788">
        <v>40035</v>
      </c>
      <c r="G6678" s="788">
        <v>42165</v>
      </c>
      <c r="H6678" s="787">
        <v>1</v>
      </c>
      <c r="I6678" s="788">
        <v>42166</v>
      </c>
      <c r="J6678" s="788">
        <v>42146</v>
      </c>
      <c r="K6678" s="788">
        <v>41801</v>
      </c>
      <c r="L6678" s="787">
        <v>2.15</v>
      </c>
      <c r="M6678" s="787">
        <v>20</v>
      </c>
      <c r="N6678" s="787">
        <v>2.59</v>
      </c>
      <c r="O6678" s="788">
        <v>42162</v>
      </c>
    </row>
    <row r="6679" spans="1:15" x14ac:dyDescent="0.25">
      <c r="A6679" s="786" t="s">
        <v>11952</v>
      </c>
      <c r="B6679" s="787">
        <v>4</v>
      </c>
      <c r="C6679" s="787" t="s">
        <v>11953</v>
      </c>
      <c r="D6679" s="787">
        <v>1.92</v>
      </c>
      <c r="E6679" s="787">
        <v>4.95</v>
      </c>
      <c r="F6679" s="788">
        <v>39101</v>
      </c>
      <c r="G6679" s="788">
        <v>40553</v>
      </c>
      <c r="H6679" s="787">
        <v>1</v>
      </c>
      <c r="I6679" s="788">
        <v>41859</v>
      </c>
      <c r="J6679" s="788">
        <v>40518</v>
      </c>
      <c r="K6679" s="788">
        <v>40380</v>
      </c>
      <c r="L6679" s="787">
        <v>4.95</v>
      </c>
      <c r="M6679" s="787">
        <v>20</v>
      </c>
      <c r="N6679" s="787">
        <v>5.96</v>
      </c>
      <c r="O6679" s="788">
        <v>42159</v>
      </c>
    </row>
    <row r="6680" spans="1:15" x14ac:dyDescent="0.25">
      <c r="A6680" s="786" t="s">
        <v>11954</v>
      </c>
      <c r="B6680" s="787">
        <v>4</v>
      </c>
      <c r="C6680" s="787" t="s">
        <v>11955</v>
      </c>
      <c r="D6680" s="787">
        <v>3.82</v>
      </c>
      <c r="E6680" s="787">
        <v>3.92</v>
      </c>
      <c r="F6680" s="788">
        <v>41168</v>
      </c>
      <c r="G6680" s="788">
        <v>41646</v>
      </c>
      <c r="H6680" s="787">
        <v>1</v>
      </c>
      <c r="I6680" s="788">
        <v>41919</v>
      </c>
      <c r="J6680" s="788">
        <v>41606</v>
      </c>
      <c r="K6680" s="788">
        <v>41869</v>
      </c>
      <c r="L6680" s="787">
        <v>3.92</v>
      </c>
      <c r="M6680" s="787">
        <v>20</v>
      </c>
      <c r="N6680" s="787">
        <v>4.21</v>
      </c>
      <c r="O6680" s="788">
        <v>42163</v>
      </c>
    </row>
    <row r="6681" spans="1:15" x14ac:dyDescent="0.25">
      <c r="A6681" s="786" t="s">
        <v>11956</v>
      </c>
      <c r="B6681" s="787">
        <v>4</v>
      </c>
      <c r="C6681" s="787" t="s">
        <v>11957</v>
      </c>
      <c r="D6681" s="787">
        <v>4.7300000000000004</v>
      </c>
      <c r="E6681" s="787">
        <v>19.5</v>
      </c>
      <c r="F6681" s="788">
        <v>39101</v>
      </c>
      <c r="G6681" s="788">
        <v>41282</v>
      </c>
      <c r="H6681" s="787">
        <v>1</v>
      </c>
      <c r="I6681" s="788">
        <v>41823</v>
      </c>
      <c r="J6681" s="788">
        <v>41824</v>
      </c>
      <c r="K6681" s="788">
        <v>40520</v>
      </c>
      <c r="L6681" s="787">
        <v>19.5</v>
      </c>
      <c r="M6681" s="787">
        <v>20</v>
      </c>
      <c r="N6681" s="787">
        <v>23.48</v>
      </c>
      <c r="O6681" s="788">
        <v>41858</v>
      </c>
    </row>
    <row r="6682" spans="1:15" x14ac:dyDescent="0.25">
      <c r="A6682" s="786" t="s">
        <v>11958</v>
      </c>
      <c r="B6682" s="787">
        <v>4</v>
      </c>
      <c r="C6682" s="787" t="s">
        <v>11959</v>
      </c>
      <c r="D6682" s="787">
        <v>5.86</v>
      </c>
      <c r="E6682" s="787">
        <v>19.37</v>
      </c>
      <c r="F6682" s="788">
        <v>41281</v>
      </c>
      <c r="G6682" s="788">
        <v>42091</v>
      </c>
      <c r="H6682" s="787">
        <v>1</v>
      </c>
      <c r="I6682" s="788">
        <v>42111</v>
      </c>
      <c r="J6682" s="788">
        <v>42083</v>
      </c>
      <c r="K6682" s="788">
        <v>41688</v>
      </c>
      <c r="L6682" s="787">
        <v>19</v>
      </c>
      <c r="M6682" s="787">
        <v>20</v>
      </c>
      <c r="N6682" s="787">
        <v>22.88</v>
      </c>
      <c r="O6682" s="788">
        <v>42163</v>
      </c>
    </row>
    <row r="6683" spans="1:15" x14ac:dyDescent="0.25">
      <c r="A6683" s="786" t="s">
        <v>11960</v>
      </c>
      <c r="B6683" s="787">
        <v>4</v>
      </c>
      <c r="C6683" s="787" t="s">
        <v>11961</v>
      </c>
      <c r="D6683" s="787">
        <v>2.78</v>
      </c>
      <c r="E6683" s="787">
        <v>2.78</v>
      </c>
      <c r="F6683" s="788">
        <v>39101</v>
      </c>
      <c r="G6683" s="788">
        <v>39101</v>
      </c>
      <c r="H6683" s="787">
        <v>1</v>
      </c>
      <c r="I6683" s="788">
        <v>41624</v>
      </c>
      <c r="J6683" s="788">
        <v>41655</v>
      </c>
      <c r="K6683" s="788">
        <v>41549</v>
      </c>
      <c r="L6683" s="787">
        <v>3</v>
      </c>
      <c r="M6683" s="787">
        <v>20</v>
      </c>
      <c r="N6683" s="787">
        <v>3.23</v>
      </c>
      <c r="O6683" s="788">
        <v>41858</v>
      </c>
    </row>
    <row r="6684" spans="1:15" x14ac:dyDescent="0.25">
      <c r="A6684" s="786" t="s">
        <v>11962</v>
      </c>
      <c r="B6684" s="787">
        <v>4</v>
      </c>
      <c r="C6684" s="787" t="s">
        <v>11963</v>
      </c>
      <c r="D6684" s="787">
        <v>7.21</v>
      </c>
      <c r="E6684" s="787">
        <v>24.84</v>
      </c>
      <c r="F6684" s="788">
        <v>40051</v>
      </c>
      <c r="G6684" s="788">
        <v>42157</v>
      </c>
      <c r="H6684" s="787">
        <v>1</v>
      </c>
      <c r="I6684" s="788">
        <v>42150</v>
      </c>
      <c r="J6684" s="788">
        <v>42157</v>
      </c>
      <c r="K6684" s="788">
        <v>40497</v>
      </c>
      <c r="L6684" s="787">
        <v>19.899999999999999</v>
      </c>
      <c r="M6684" s="787">
        <v>20</v>
      </c>
      <c r="N6684" s="787">
        <v>23.96</v>
      </c>
      <c r="O6684" s="788">
        <v>42146</v>
      </c>
    </row>
    <row r="6685" spans="1:15" x14ac:dyDescent="0.25">
      <c r="A6685" s="786" t="s">
        <v>11964</v>
      </c>
      <c r="B6685" s="787">
        <v>4</v>
      </c>
      <c r="C6685" s="787" t="s">
        <v>11965</v>
      </c>
      <c r="D6685" s="787">
        <v>4.16</v>
      </c>
      <c r="E6685" s="787">
        <v>34.159999999999997</v>
      </c>
      <c r="F6685" s="788">
        <v>39101</v>
      </c>
      <c r="G6685" s="788">
        <v>39101</v>
      </c>
      <c r="H6685" s="787">
        <v>1</v>
      </c>
      <c r="I6685" s="788">
        <v>39134</v>
      </c>
      <c r="J6685" s="788">
        <v>39149</v>
      </c>
      <c r="L6685" s="787">
        <v>37.229999999999997</v>
      </c>
      <c r="M6685" s="787">
        <v>20</v>
      </c>
      <c r="N6685" s="787">
        <v>40.020000000000003</v>
      </c>
      <c r="O6685" s="788">
        <v>41858</v>
      </c>
    </row>
    <row r="6686" spans="1:15" x14ac:dyDescent="0.25">
      <c r="A6686" s="786" t="s">
        <v>11966</v>
      </c>
      <c r="B6686" s="787">
        <v>4</v>
      </c>
      <c r="C6686" s="787" t="s">
        <v>11967</v>
      </c>
      <c r="D6686" s="787">
        <v>2.4300000000000002</v>
      </c>
      <c r="E6686" s="787">
        <v>2.4300000000000002</v>
      </c>
      <c r="F6686" s="788">
        <v>38047</v>
      </c>
      <c r="G6686" s="788">
        <v>38047</v>
      </c>
      <c r="H6686" s="787">
        <v>1</v>
      </c>
      <c r="J6686" s="788">
        <v>38047</v>
      </c>
      <c r="L6686" s="787">
        <v>2.97</v>
      </c>
      <c r="M6686" s="787">
        <v>20</v>
      </c>
      <c r="N6686" s="787">
        <v>3.58</v>
      </c>
      <c r="O6686" s="788">
        <v>41858</v>
      </c>
    </row>
    <row r="6687" spans="1:15" x14ac:dyDescent="0.25">
      <c r="A6687" s="786" t="s">
        <v>11968</v>
      </c>
      <c r="B6687" s="787">
        <v>4</v>
      </c>
      <c r="C6687" s="787" t="s">
        <v>2635</v>
      </c>
      <c r="D6687" s="787">
        <v>2.58</v>
      </c>
      <c r="E6687" s="787">
        <v>2.97</v>
      </c>
      <c r="F6687" s="788">
        <v>37642</v>
      </c>
      <c r="G6687" s="788">
        <v>37872</v>
      </c>
      <c r="H6687" s="787">
        <v>1</v>
      </c>
      <c r="I6687" s="788">
        <v>40522</v>
      </c>
      <c r="J6687" s="788">
        <v>37847</v>
      </c>
      <c r="L6687" s="787">
        <v>3.63</v>
      </c>
      <c r="M6687" s="787">
        <v>20</v>
      </c>
      <c r="N6687" s="787">
        <v>4.37</v>
      </c>
      <c r="O6687" s="788">
        <v>41858</v>
      </c>
    </row>
    <row r="6688" spans="1:15" x14ac:dyDescent="0.25">
      <c r="A6688" s="786" t="s">
        <v>11969</v>
      </c>
      <c r="B6688" s="787">
        <v>4</v>
      </c>
      <c r="C6688" s="787" t="s">
        <v>11970</v>
      </c>
      <c r="D6688" s="787">
        <v>2.81</v>
      </c>
      <c r="E6688" s="787">
        <v>2.81</v>
      </c>
      <c r="F6688" s="788">
        <v>37642</v>
      </c>
      <c r="G6688" s="788">
        <v>37642</v>
      </c>
      <c r="H6688" s="787">
        <v>1</v>
      </c>
      <c r="J6688" s="788">
        <v>37642</v>
      </c>
      <c r="L6688" s="787">
        <v>3.43</v>
      </c>
      <c r="M6688" s="787">
        <v>20</v>
      </c>
      <c r="N6688" s="787">
        <v>4.13</v>
      </c>
      <c r="O6688" s="788">
        <v>41858</v>
      </c>
    </row>
    <row r="6689" spans="1:15" x14ac:dyDescent="0.25">
      <c r="A6689" s="786" t="s">
        <v>11971</v>
      </c>
      <c r="B6689" s="787">
        <v>4</v>
      </c>
      <c r="C6689" s="787" t="s">
        <v>11972</v>
      </c>
      <c r="D6689" s="787">
        <v>4.1900000000000004</v>
      </c>
      <c r="E6689" s="787">
        <v>30.16</v>
      </c>
      <c r="F6689" s="788">
        <v>39101</v>
      </c>
      <c r="G6689" s="788">
        <v>42013</v>
      </c>
      <c r="H6689" s="787">
        <v>1</v>
      </c>
      <c r="I6689" s="788">
        <v>39689</v>
      </c>
      <c r="J6689" s="788">
        <v>41939</v>
      </c>
      <c r="K6689" s="788">
        <v>41929</v>
      </c>
      <c r="L6689" s="787">
        <v>28.5</v>
      </c>
      <c r="M6689" s="787">
        <v>20</v>
      </c>
      <c r="N6689" s="787">
        <v>48.02</v>
      </c>
      <c r="O6689" s="788">
        <v>41858</v>
      </c>
    </row>
    <row r="6690" spans="1:15" x14ac:dyDescent="0.25">
      <c r="A6690" s="786" t="s">
        <v>11973</v>
      </c>
      <c r="B6690" s="787">
        <v>4</v>
      </c>
      <c r="C6690" s="787" t="s">
        <v>11974</v>
      </c>
      <c r="D6690" s="787">
        <v>7.15</v>
      </c>
      <c r="E6690" s="787">
        <v>7.63</v>
      </c>
      <c r="F6690" s="788">
        <v>42111</v>
      </c>
      <c r="G6690" s="788">
        <v>42165</v>
      </c>
      <c r="H6690" s="787">
        <v>1</v>
      </c>
      <c r="I6690" s="788">
        <v>42166</v>
      </c>
      <c r="J6690" s="788">
        <v>42163</v>
      </c>
      <c r="L6690" s="787">
        <v>9.33</v>
      </c>
      <c r="M6690" s="787">
        <v>20</v>
      </c>
      <c r="N6690" s="787">
        <v>11.23</v>
      </c>
      <c r="O6690" s="788">
        <v>42146</v>
      </c>
    </row>
    <row r="6691" spans="1:15" x14ac:dyDescent="0.25">
      <c r="A6691" s="786" t="s">
        <v>11975</v>
      </c>
      <c r="B6691" s="787">
        <v>4</v>
      </c>
      <c r="C6691" s="787" t="s">
        <v>11976</v>
      </c>
      <c r="D6691" s="787">
        <v>2.88</v>
      </c>
      <c r="E6691" s="787">
        <v>4.7300000000000004</v>
      </c>
      <c r="F6691" s="788">
        <v>37642</v>
      </c>
      <c r="G6691" s="788">
        <v>42013</v>
      </c>
      <c r="H6691" s="787">
        <v>1</v>
      </c>
      <c r="I6691" s="788">
        <v>42109</v>
      </c>
      <c r="J6691" s="788">
        <v>40716</v>
      </c>
      <c r="K6691" s="788">
        <v>40143</v>
      </c>
      <c r="L6691" s="787">
        <v>4.3899999999999997</v>
      </c>
      <c r="M6691" s="787">
        <v>20</v>
      </c>
      <c r="N6691" s="787">
        <v>5.29</v>
      </c>
      <c r="O6691" s="788">
        <v>41858</v>
      </c>
    </row>
    <row r="6692" spans="1:15" x14ac:dyDescent="0.25">
      <c r="A6692" s="786" t="s">
        <v>11977</v>
      </c>
      <c r="B6692" s="787">
        <v>4</v>
      </c>
      <c r="C6692" s="787" t="s">
        <v>2635</v>
      </c>
      <c r="D6692" s="787">
        <v>1.92</v>
      </c>
      <c r="E6692" s="787">
        <v>1.92</v>
      </c>
      <c r="F6692" s="788">
        <v>37642</v>
      </c>
      <c r="G6692" s="788">
        <v>42013</v>
      </c>
      <c r="H6692" s="787">
        <v>1</v>
      </c>
      <c r="I6692" s="788">
        <v>41709</v>
      </c>
      <c r="J6692" s="788">
        <v>41827</v>
      </c>
      <c r="L6692" s="787">
        <v>2.34</v>
      </c>
      <c r="M6692" s="787">
        <v>20</v>
      </c>
      <c r="N6692" s="787">
        <v>2.82</v>
      </c>
      <c r="O6692" s="788">
        <v>41858</v>
      </c>
    </row>
    <row r="6693" spans="1:15" x14ac:dyDescent="0.25">
      <c r="A6693" s="786" t="s">
        <v>11978</v>
      </c>
      <c r="B6693" s="787">
        <v>4</v>
      </c>
      <c r="C6693" s="787" t="s">
        <v>11979</v>
      </c>
      <c r="D6693" s="787">
        <v>4.6500000000000004</v>
      </c>
      <c r="E6693" s="787">
        <v>4.82</v>
      </c>
      <c r="F6693" s="788">
        <v>42131</v>
      </c>
      <c r="G6693" s="788">
        <v>42150</v>
      </c>
      <c r="H6693" s="787">
        <v>1</v>
      </c>
      <c r="I6693" s="788">
        <v>42166</v>
      </c>
      <c r="J6693" s="788">
        <v>42145</v>
      </c>
      <c r="K6693" s="788">
        <v>41801</v>
      </c>
      <c r="L6693" s="787">
        <v>4.8</v>
      </c>
      <c r="M6693" s="787">
        <v>20</v>
      </c>
      <c r="N6693" s="787">
        <v>5.78</v>
      </c>
      <c r="O6693" s="788">
        <v>42162</v>
      </c>
    </row>
    <row r="6694" spans="1:15" x14ac:dyDescent="0.25">
      <c r="A6694" s="786" t="s">
        <v>11980</v>
      </c>
      <c r="B6694" s="787">
        <v>4</v>
      </c>
      <c r="C6694" s="787" t="s">
        <v>11981</v>
      </c>
      <c r="D6694" s="787">
        <v>4.25</v>
      </c>
      <c r="E6694" s="787">
        <v>4.25</v>
      </c>
      <c r="F6694" s="788">
        <v>41655</v>
      </c>
      <c r="G6694" s="788">
        <v>42159</v>
      </c>
      <c r="H6694" s="787">
        <v>1</v>
      </c>
      <c r="I6694" s="788">
        <v>42163</v>
      </c>
      <c r="J6694" s="788">
        <v>42146</v>
      </c>
      <c r="K6694" s="788">
        <v>41548</v>
      </c>
      <c r="L6694" s="787">
        <v>4.25</v>
      </c>
      <c r="M6694" s="787">
        <v>20</v>
      </c>
      <c r="N6694" s="787">
        <v>4.57</v>
      </c>
      <c r="O6694" s="788">
        <v>42146</v>
      </c>
    </row>
    <row r="6695" spans="1:15" x14ac:dyDescent="0.25">
      <c r="A6695" s="786" t="s">
        <v>11982</v>
      </c>
      <c r="B6695" s="787">
        <v>4</v>
      </c>
      <c r="C6695" s="787" t="s">
        <v>11983</v>
      </c>
      <c r="D6695" s="787">
        <v>3.64</v>
      </c>
      <c r="E6695" s="787">
        <v>3.64</v>
      </c>
      <c r="F6695" s="788">
        <v>39975</v>
      </c>
      <c r="G6695" s="788">
        <v>39975</v>
      </c>
      <c r="H6695" s="787">
        <v>1</v>
      </c>
      <c r="J6695" s="788">
        <v>39825</v>
      </c>
      <c r="K6695" s="788">
        <v>39854</v>
      </c>
      <c r="L6695" s="787">
        <v>3.2</v>
      </c>
      <c r="M6695" s="787">
        <v>20</v>
      </c>
      <c r="N6695" s="787">
        <v>3.85</v>
      </c>
      <c r="O6695" s="788">
        <v>41858</v>
      </c>
    </row>
    <row r="6696" spans="1:15" x14ac:dyDescent="0.25">
      <c r="A6696" s="786" t="s">
        <v>11984</v>
      </c>
      <c r="B6696" s="787">
        <v>4</v>
      </c>
      <c r="C6696" s="787" t="s">
        <v>11985</v>
      </c>
      <c r="D6696" s="787">
        <v>8.25</v>
      </c>
      <c r="E6696" s="787">
        <v>9.86</v>
      </c>
      <c r="F6696" s="788">
        <v>40052</v>
      </c>
      <c r="G6696" s="788">
        <v>41719</v>
      </c>
      <c r="H6696" s="787">
        <v>1</v>
      </c>
      <c r="I6696" s="788">
        <v>41718</v>
      </c>
      <c r="J6696" s="788">
        <v>41719</v>
      </c>
      <c r="K6696" s="788">
        <v>41598</v>
      </c>
      <c r="L6696" s="787">
        <v>10</v>
      </c>
      <c r="M6696" s="787">
        <v>20</v>
      </c>
      <c r="N6696" s="787">
        <v>12.04</v>
      </c>
      <c r="O6696" s="788">
        <v>42087</v>
      </c>
    </row>
    <row r="6697" spans="1:15" x14ac:dyDescent="0.25">
      <c r="A6697" s="786" t="s">
        <v>11986</v>
      </c>
      <c r="B6697" s="787">
        <v>4</v>
      </c>
      <c r="C6697" s="787" t="s">
        <v>11987</v>
      </c>
      <c r="D6697" s="787">
        <v>3.31</v>
      </c>
      <c r="E6697" s="787">
        <v>14.3</v>
      </c>
      <c r="F6697" s="788">
        <v>41845</v>
      </c>
      <c r="G6697" s="788">
        <v>42135</v>
      </c>
      <c r="H6697" s="787">
        <v>1</v>
      </c>
      <c r="I6697" s="788">
        <v>42164</v>
      </c>
      <c r="J6697" s="788">
        <v>42132</v>
      </c>
      <c r="K6697" s="788">
        <v>41379</v>
      </c>
      <c r="L6697" s="787">
        <v>13.9</v>
      </c>
      <c r="M6697" s="787">
        <v>20</v>
      </c>
      <c r="N6697" s="787">
        <v>16.739999999999998</v>
      </c>
      <c r="O6697" s="788">
        <v>42146</v>
      </c>
    </row>
    <row r="6698" spans="1:15" x14ac:dyDescent="0.25">
      <c r="A6698" s="786" t="s">
        <v>11988</v>
      </c>
      <c r="B6698" s="787">
        <v>4</v>
      </c>
      <c r="C6698" s="787" t="s">
        <v>11989</v>
      </c>
      <c r="D6698" s="787">
        <v>8.3800000000000008</v>
      </c>
      <c r="E6698" s="787">
        <v>52.3</v>
      </c>
      <c r="F6698" s="788">
        <v>40541</v>
      </c>
      <c r="G6698" s="788">
        <v>41911</v>
      </c>
      <c r="H6698" s="787">
        <v>1</v>
      </c>
      <c r="I6698" s="788">
        <v>41905</v>
      </c>
      <c r="J6698" s="788">
        <v>41905</v>
      </c>
      <c r="K6698" s="788">
        <v>40527</v>
      </c>
      <c r="L6698" s="787">
        <v>48.38</v>
      </c>
      <c r="M6698" s="787">
        <v>20</v>
      </c>
      <c r="N6698" s="787">
        <v>58.25</v>
      </c>
      <c r="O6698" s="788">
        <v>42038</v>
      </c>
    </row>
    <row r="6699" spans="1:15" x14ac:dyDescent="0.25">
      <c r="A6699" s="786" t="s">
        <v>11990</v>
      </c>
      <c r="B6699" s="787">
        <v>4</v>
      </c>
      <c r="C6699" s="787" t="s">
        <v>11991</v>
      </c>
      <c r="D6699" s="787">
        <v>7.62</v>
      </c>
      <c r="E6699" s="787">
        <v>7.97</v>
      </c>
      <c r="F6699" s="788">
        <v>41519</v>
      </c>
      <c r="G6699" s="788">
        <v>42146</v>
      </c>
      <c r="H6699" s="787">
        <v>1</v>
      </c>
      <c r="I6699" s="788">
        <v>42157</v>
      </c>
      <c r="J6699" s="788">
        <v>42146</v>
      </c>
      <c r="K6699" s="788">
        <v>40647</v>
      </c>
      <c r="L6699" s="787">
        <v>8.3000000000000007</v>
      </c>
      <c r="M6699" s="787">
        <v>20</v>
      </c>
      <c r="N6699" s="787">
        <v>9.99</v>
      </c>
      <c r="O6699" s="788">
        <v>42136</v>
      </c>
    </row>
    <row r="6700" spans="1:15" x14ac:dyDescent="0.25">
      <c r="A6700" s="786" t="s">
        <v>11992</v>
      </c>
      <c r="B6700" s="787">
        <v>4</v>
      </c>
      <c r="C6700" s="787" t="s">
        <v>11993</v>
      </c>
      <c r="D6700" s="787">
        <v>9.83</v>
      </c>
      <c r="E6700" s="787">
        <v>11.44</v>
      </c>
      <c r="F6700" s="788">
        <v>40513</v>
      </c>
      <c r="G6700" s="788">
        <v>42146</v>
      </c>
      <c r="H6700" s="787">
        <v>1</v>
      </c>
      <c r="I6700" s="788">
        <v>42142</v>
      </c>
      <c r="J6700" s="788">
        <v>42146</v>
      </c>
      <c r="K6700" s="788">
        <v>41918</v>
      </c>
      <c r="L6700" s="787">
        <v>11.29</v>
      </c>
      <c r="M6700" s="787">
        <v>20</v>
      </c>
      <c r="N6700" s="787">
        <v>13.59</v>
      </c>
      <c r="O6700" s="788">
        <v>42144</v>
      </c>
    </row>
    <row r="6701" spans="1:15" x14ac:dyDescent="0.25">
      <c r="A6701" s="786" t="s">
        <v>11994</v>
      </c>
      <c r="B6701" s="787">
        <v>4</v>
      </c>
      <c r="C6701" s="787" t="s">
        <v>11943</v>
      </c>
      <c r="D6701" s="787">
        <v>2.68</v>
      </c>
      <c r="E6701" s="787">
        <v>13.94</v>
      </c>
      <c r="F6701" s="788">
        <v>41509</v>
      </c>
      <c r="G6701" s="788">
        <v>42013</v>
      </c>
      <c r="H6701" s="787">
        <v>1</v>
      </c>
      <c r="I6701" s="788">
        <v>42081</v>
      </c>
      <c r="J6701" s="788">
        <v>41759</v>
      </c>
      <c r="K6701" s="788">
        <v>41435</v>
      </c>
      <c r="L6701" s="787">
        <v>12.67</v>
      </c>
      <c r="M6701" s="787">
        <v>20</v>
      </c>
      <c r="N6701" s="787">
        <v>15.25</v>
      </c>
      <c r="O6701" s="788">
        <v>41858</v>
      </c>
    </row>
    <row r="6702" spans="1:15" x14ac:dyDescent="0.25">
      <c r="A6702" s="786" t="s">
        <v>11995</v>
      </c>
      <c r="B6702" s="787">
        <v>4</v>
      </c>
      <c r="C6702" s="787" t="s">
        <v>11996</v>
      </c>
      <c r="D6702" s="787">
        <v>5.87</v>
      </c>
      <c r="E6702" s="787">
        <v>27.71</v>
      </c>
      <c r="F6702" s="788">
        <v>40520</v>
      </c>
      <c r="G6702" s="788">
        <v>42013</v>
      </c>
      <c r="H6702" s="787">
        <v>1</v>
      </c>
      <c r="I6702" s="788">
        <v>41600</v>
      </c>
      <c r="J6702" s="788">
        <v>40756</v>
      </c>
      <c r="K6702" s="788">
        <v>40752</v>
      </c>
      <c r="L6702" s="787">
        <v>27.1</v>
      </c>
      <c r="M6702" s="787">
        <v>20</v>
      </c>
      <c r="N6702" s="787">
        <v>32.630000000000003</v>
      </c>
      <c r="O6702" s="788">
        <v>41858</v>
      </c>
    </row>
    <row r="6703" spans="1:15" x14ac:dyDescent="0.25">
      <c r="A6703" s="786" t="s">
        <v>11997</v>
      </c>
      <c r="B6703" s="787">
        <v>4</v>
      </c>
      <c r="C6703" s="787" t="s">
        <v>11998</v>
      </c>
      <c r="D6703" s="787">
        <v>0.71</v>
      </c>
      <c r="E6703" s="787">
        <v>20.71</v>
      </c>
      <c r="F6703" s="788">
        <v>40911</v>
      </c>
      <c r="G6703" s="788">
        <v>40911</v>
      </c>
      <c r="H6703" s="787">
        <v>1</v>
      </c>
      <c r="I6703" s="788">
        <v>40952</v>
      </c>
      <c r="J6703" s="788">
        <v>40898</v>
      </c>
      <c r="K6703" s="788">
        <v>40885</v>
      </c>
      <c r="L6703" s="787">
        <v>19.8</v>
      </c>
      <c r="M6703" s="787">
        <v>20</v>
      </c>
      <c r="N6703" s="787">
        <v>23.84</v>
      </c>
      <c r="O6703" s="788">
        <v>41858</v>
      </c>
    </row>
    <row r="6704" spans="1:15" x14ac:dyDescent="0.25">
      <c r="A6704" s="786" t="s">
        <v>11999</v>
      </c>
      <c r="B6704" s="787">
        <v>4</v>
      </c>
      <c r="C6704" s="787" t="s">
        <v>12000</v>
      </c>
      <c r="D6704" s="787">
        <v>7.73</v>
      </c>
      <c r="E6704" s="787">
        <v>19.13</v>
      </c>
      <c r="F6704" s="788">
        <v>41387</v>
      </c>
      <c r="G6704" s="788">
        <v>42013</v>
      </c>
      <c r="H6704" s="787">
        <v>1</v>
      </c>
      <c r="I6704" s="788">
        <v>42130</v>
      </c>
      <c r="J6704" s="788">
        <v>41709</v>
      </c>
      <c r="L6704" s="787">
        <v>19.100000000000001</v>
      </c>
      <c r="M6704" s="787">
        <v>20</v>
      </c>
      <c r="N6704" s="787">
        <v>23</v>
      </c>
      <c r="O6704" s="788">
        <v>41858</v>
      </c>
    </row>
    <row r="6705" spans="1:15" x14ac:dyDescent="0.25">
      <c r="A6705" s="786" t="s">
        <v>12001</v>
      </c>
      <c r="B6705" s="787">
        <v>4</v>
      </c>
      <c r="C6705" s="787" t="s">
        <v>11943</v>
      </c>
      <c r="D6705" s="787">
        <v>9.1300000000000008</v>
      </c>
      <c r="E6705" s="787">
        <v>19.13</v>
      </c>
      <c r="F6705" s="788">
        <v>41106</v>
      </c>
      <c r="G6705" s="788">
        <v>42013</v>
      </c>
      <c r="H6705" s="787">
        <v>1</v>
      </c>
      <c r="I6705" s="788">
        <v>42018</v>
      </c>
      <c r="J6705" s="788">
        <v>41101</v>
      </c>
      <c r="L6705" s="787">
        <v>19.13</v>
      </c>
      <c r="M6705" s="787">
        <v>20</v>
      </c>
      <c r="N6705" s="787">
        <v>20.56</v>
      </c>
      <c r="O6705" s="788">
        <v>42144</v>
      </c>
    </row>
    <row r="6706" spans="1:15" x14ac:dyDescent="0.25">
      <c r="A6706" s="786" t="s">
        <v>12002</v>
      </c>
      <c r="B6706" s="787">
        <v>4</v>
      </c>
      <c r="C6706" s="787" t="s">
        <v>12003</v>
      </c>
      <c r="D6706" s="787">
        <v>7</v>
      </c>
      <c r="E6706" s="787">
        <v>57</v>
      </c>
      <c r="F6706" s="788">
        <v>41142</v>
      </c>
      <c r="G6706" s="788">
        <v>41142</v>
      </c>
      <c r="H6706" s="787">
        <v>1</v>
      </c>
      <c r="I6706" s="788">
        <v>41136</v>
      </c>
      <c r="J6706" s="788">
        <v>41135</v>
      </c>
      <c r="L6706" s="787">
        <v>54</v>
      </c>
      <c r="M6706" s="787">
        <v>20</v>
      </c>
      <c r="N6706" s="787">
        <v>65.02</v>
      </c>
      <c r="O6706" s="788">
        <v>42052</v>
      </c>
    </row>
    <row r="6707" spans="1:15" x14ac:dyDescent="0.25">
      <c r="A6707" s="786" t="s">
        <v>12004</v>
      </c>
      <c r="B6707" s="787">
        <v>4</v>
      </c>
      <c r="C6707" s="787" t="s">
        <v>12005</v>
      </c>
      <c r="D6707" s="787">
        <v>0</v>
      </c>
      <c r="E6707" s="787">
        <v>0</v>
      </c>
      <c r="H6707" s="787">
        <v>1</v>
      </c>
      <c r="L6707" s="787">
        <v>0.01</v>
      </c>
      <c r="M6707" s="787">
        <v>20</v>
      </c>
      <c r="N6707" s="787">
        <v>0</v>
      </c>
    </row>
    <row r="6708" spans="1:15" x14ac:dyDescent="0.25">
      <c r="A6708" s="786" t="s">
        <v>12006</v>
      </c>
      <c r="B6708" s="787">
        <v>4</v>
      </c>
      <c r="C6708" s="787" t="s">
        <v>2635</v>
      </c>
      <c r="D6708" s="787">
        <v>3.57</v>
      </c>
      <c r="E6708" s="787">
        <v>4.03</v>
      </c>
      <c r="F6708" s="788">
        <v>39101</v>
      </c>
      <c r="G6708" s="788">
        <v>42156</v>
      </c>
      <c r="H6708" s="787">
        <v>1</v>
      </c>
      <c r="I6708" s="788">
        <v>42151</v>
      </c>
      <c r="J6708" s="788">
        <v>42142</v>
      </c>
      <c r="K6708" s="788">
        <v>40653</v>
      </c>
      <c r="L6708" s="787">
        <v>4.38</v>
      </c>
      <c r="M6708" s="787">
        <v>20</v>
      </c>
      <c r="N6708" s="787">
        <v>5.27</v>
      </c>
      <c r="O6708" s="788">
        <v>42163</v>
      </c>
    </row>
    <row r="6709" spans="1:15" x14ac:dyDescent="0.25">
      <c r="A6709" s="786" t="s">
        <v>12007</v>
      </c>
      <c r="B6709" s="787">
        <v>4</v>
      </c>
      <c r="C6709" s="787" t="s">
        <v>2635</v>
      </c>
      <c r="D6709" s="787">
        <v>5.33</v>
      </c>
      <c r="E6709" s="787">
        <v>18</v>
      </c>
      <c r="F6709" s="788">
        <v>39101</v>
      </c>
      <c r="G6709" s="788">
        <v>41822</v>
      </c>
      <c r="H6709" s="787">
        <v>1</v>
      </c>
      <c r="I6709" s="788">
        <v>42019</v>
      </c>
      <c r="J6709" s="788">
        <v>41822</v>
      </c>
      <c r="L6709" s="787">
        <v>21.97</v>
      </c>
      <c r="M6709" s="787">
        <v>20</v>
      </c>
      <c r="N6709" s="787">
        <v>26.45</v>
      </c>
      <c r="O6709" s="788">
        <v>41858</v>
      </c>
    </row>
    <row r="6710" spans="1:15" x14ac:dyDescent="0.25">
      <c r="A6710" s="786" t="s">
        <v>702</v>
      </c>
      <c r="B6710" s="787">
        <v>4</v>
      </c>
      <c r="C6710" s="787" t="s">
        <v>12008</v>
      </c>
      <c r="D6710" s="787">
        <v>1.5</v>
      </c>
      <c r="E6710" s="787">
        <v>1.5</v>
      </c>
      <c r="F6710" s="788">
        <v>40485</v>
      </c>
      <c r="G6710" s="788">
        <v>42013</v>
      </c>
      <c r="H6710" s="787">
        <v>1</v>
      </c>
      <c r="I6710" s="788">
        <v>42160</v>
      </c>
      <c r="J6710" s="788">
        <v>40472</v>
      </c>
      <c r="K6710" s="788">
        <v>40246</v>
      </c>
      <c r="L6710" s="787">
        <v>1.5</v>
      </c>
      <c r="M6710" s="787">
        <v>20</v>
      </c>
      <c r="N6710" s="787">
        <v>1.81</v>
      </c>
      <c r="O6710" s="788">
        <v>42163</v>
      </c>
    </row>
    <row r="6711" spans="1:15" x14ac:dyDescent="0.25">
      <c r="A6711" s="786" t="s">
        <v>12009</v>
      </c>
      <c r="B6711" s="787">
        <v>4</v>
      </c>
      <c r="C6711" s="787" t="s">
        <v>12010</v>
      </c>
      <c r="D6711" s="787">
        <v>2.2400000000000002</v>
      </c>
      <c r="E6711" s="787">
        <v>22.24</v>
      </c>
      <c r="F6711" s="788">
        <v>37642</v>
      </c>
      <c r="G6711" s="788">
        <v>37642</v>
      </c>
      <c r="H6711" s="787">
        <v>1</v>
      </c>
      <c r="I6711" s="788">
        <v>38071</v>
      </c>
      <c r="J6711" s="788">
        <v>37642</v>
      </c>
      <c r="L6711" s="787">
        <v>27.15</v>
      </c>
      <c r="M6711" s="787">
        <v>20</v>
      </c>
      <c r="N6711" s="787">
        <v>32.69</v>
      </c>
      <c r="O6711" s="788">
        <v>41858</v>
      </c>
    </row>
    <row r="6712" spans="1:15" x14ac:dyDescent="0.25">
      <c r="A6712" s="786" t="s">
        <v>12011</v>
      </c>
      <c r="B6712" s="787">
        <v>4</v>
      </c>
      <c r="C6712" s="787" t="s">
        <v>11935</v>
      </c>
      <c r="D6712" s="787">
        <v>1.7</v>
      </c>
      <c r="E6712" s="787">
        <v>1.79</v>
      </c>
      <c r="F6712" s="788">
        <v>41800</v>
      </c>
      <c r="G6712" s="788">
        <v>42046</v>
      </c>
      <c r="H6712" s="787">
        <v>1</v>
      </c>
      <c r="I6712" s="788">
        <v>42165</v>
      </c>
      <c r="J6712" s="788">
        <v>42032</v>
      </c>
      <c r="K6712" s="788">
        <v>40604</v>
      </c>
      <c r="L6712" s="787">
        <v>1.7</v>
      </c>
      <c r="M6712" s="787">
        <v>20</v>
      </c>
      <c r="N6712" s="787">
        <v>2.0499999999999998</v>
      </c>
      <c r="O6712" s="788">
        <v>41912</v>
      </c>
    </row>
    <row r="6713" spans="1:15" x14ac:dyDescent="0.25">
      <c r="A6713" s="786" t="s">
        <v>12012</v>
      </c>
      <c r="B6713" s="787">
        <v>4</v>
      </c>
      <c r="C6713" s="787" t="s">
        <v>12013</v>
      </c>
      <c r="D6713" s="787">
        <v>8.6</v>
      </c>
      <c r="E6713" s="787">
        <v>28.5</v>
      </c>
      <c r="F6713" s="788">
        <v>39101</v>
      </c>
      <c r="G6713" s="788">
        <v>39101</v>
      </c>
      <c r="H6713" s="787">
        <v>1</v>
      </c>
      <c r="I6713" s="788">
        <v>41551</v>
      </c>
      <c r="J6713" s="788">
        <v>39101</v>
      </c>
      <c r="L6713" s="787">
        <v>34.79</v>
      </c>
      <c r="M6713" s="787">
        <v>20</v>
      </c>
      <c r="N6713" s="787">
        <v>41.89</v>
      </c>
      <c r="O6713" s="788">
        <v>41858</v>
      </c>
    </row>
    <row r="6714" spans="1:15" x14ac:dyDescent="0.25">
      <c r="A6714" s="786" t="s">
        <v>12014</v>
      </c>
      <c r="B6714" s="787">
        <v>4</v>
      </c>
      <c r="C6714" s="787" t="s">
        <v>12015</v>
      </c>
      <c r="D6714" s="787">
        <v>9.91</v>
      </c>
      <c r="E6714" s="787">
        <v>9.91</v>
      </c>
      <c r="F6714" s="788">
        <v>37642</v>
      </c>
      <c r="G6714" s="788">
        <v>37642</v>
      </c>
      <c r="H6714" s="787">
        <v>6</v>
      </c>
      <c r="I6714" s="788">
        <v>41631</v>
      </c>
      <c r="J6714" s="788">
        <v>41666</v>
      </c>
      <c r="L6714" s="787">
        <v>12.1</v>
      </c>
      <c r="M6714" s="787">
        <v>20</v>
      </c>
      <c r="N6714" s="787">
        <v>11.93</v>
      </c>
      <c r="O6714" s="788">
        <v>41806</v>
      </c>
    </row>
    <row r="6715" spans="1:15" x14ac:dyDescent="0.25">
      <c r="A6715" s="786" t="s">
        <v>12016</v>
      </c>
      <c r="B6715" s="787">
        <v>4</v>
      </c>
      <c r="C6715" s="787" t="s">
        <v>2635</v>
      </c>
      <c r="D6715" s="787">
        <v>6.88</v>
      </c>
      <c r="E6715" s="787">
        <v>10.11</v>
      </c>
      <c r="F6715" s="788">
        <v>39944</v>
      </c>
      <c r="G6715" s="788">
        <v>42130</v>
      </c>
      <c r="H6715" s="787">
        <v>1</v>
      </c>
      <c r="I6715" s="788">
        <v>42164</v>
      </c>
      <c r="J6715" s="788">
        <v>42096</v>
      </c>
      <c r="K6715" s="788">
        <v>41918</v>
      </c>
      <c r="L6715" s="787">
        <v>9.9</v>
      </c>
      <c r="M6715" s="787">
        <v>20</v>
      </c>
      <c r="N6715" s="787">
        <v>11.92</v>
      </c>
      <c r="O6715" s="788">
        <v>42159</v>
      </c>
    </row>
    <row r="6716" spans="1:15" x14ac:dyDescent="0.25">
      <c r="A6716" s="786" t="s">
        <v>12017</v>
      </c>
      <c r="B6716" s="787">
        <v>4</v>
      </c>
      <c r="C6716" s="787" t="s">
        <v>12018</v>
      </c>
      <c r="D6716" s="787">
        <v>5.25</v>
      </c>
      <c r="E6716" s="787">
        <v>9.43</v>
      </c>
      <c r="F6716" s="788">
        <v>39944</v>
      </c>
      <c r="G6716" s="788">
        <v>42146</v>
      </c>
      <c r="H6716" s="787">
        <v>1</v>
      </c>
      <c r="I6716" s="788">
        <v>42164</v>
      </c>
      <c r="J6716" s="788">
        <v>42146</v>
      </c>
      <c r="K6716" s="788">
        <v>41918</v>
      </c>
      <c r="L6716" s="787">
        <v>9.3000000000000007</v>
      </c>
      <c r="M6716" s="787">
        <v>20</v>
      </c>
      <c r="N6716" s="787">
        <v>11.2</v>
      </c>
      <c r="O6716" s="788">
        <v>42159</v>
      </c>
    </row>
    <row r="6717" spans="1:15" x14ac:dyDescent="0.25">
      <c r="A6717" s="786" t="s">
        <v>12019</v>
      </c>
      <c r="B6717" s="787">
        <v>4</v>
      </c>
      <c r="C6717" s="787" t="s">
        <v>12020</v>
      </c>
      <c r="D6717" s="787">
        <v>2.19</v>
      </c>
      <c r="E6717" s="787">
        <v>59.9</v>
      </c>
      <c r="F6717" s="788">
        <v>39101</v>
      </c>
      <c r="G6717" s="788">
        <v>39883</v>
      </c>
      <c r="H6717" s="787">
        <v>1</v>
      </c>
      <c r="I6717" s="788">
        <v>41548</v>
      </c>
      <c r="J6717" s="788">
        <v>39883</v>
      </c>
      <c r="L6717" s="787">
        <v>59.9</v>
      </c>
      <c r="M6717" s="787">
        <v>20</v>
      </c>
      <c r="N6717" s="787">
        <v>64.39</v>
      </c>
      <c r="O6717" s="788">
        <v>41955</v>
      </c>
    </row>
    <row r="6718" spans="1:15" x14ac:dyDescent="0.25">
      <c r="A6718" s="786" t="s">
        <v>12021</v>
      </c>
      <c r="B6718" s="787">
        <v>4</v>
      </c>
      <c r="C6718" s="787" t="s">
        <v>2635</v>
      </c>
      <c r="D6718" s="787">
        <v>7.43</v>
      </c>
      <c r="E6718" s="787">
        <v>8.85</v>
      </c>
      <c r="F6718" s="788">
        <v>38364</v>
      </c>
      <c r="G6718" s="788">
        <v>41743</v>
      </c>
      <c r="H6718" s="787">
        <v>1</v>
      </c>
      <c r="I6718" s="788">
        <v>41822</v>
      </c>
      <c r="J6718" s="788">
        <v>41732</v>
      </c>
      <c r="K6718" s="788">
        <v>40970</v>
      </c>
      <c r="L6718" s="787">
        <v>8.36</v>
      </c>
      <c r="M6718" s="787">
        <v>20</v>
      </c>
      <c r="N6718" s="787">
        <v>10.07</v>
      </c>
      <c r="O6718" s="788">
        <v>41858</v>
      </c>
    </row>
    <row r="6719" spans="1:15" x14ac:dyDescent="0.25">
      <c r="A6719" s="786" t="s">
        <v>12022</v>
      </c>
      <c r="B6719" s="787">
        <v>4</v>
      </c>
      <c r="C6719" s="787" t="s">
        <v>2635</v>
      </c>
      <c r="D6719" s="787">
        <v>1.29</v>
      </c>
      <c r="E6719" s="787">
        <v>1.29</v>
      </c>
      <c r="F6719" s="788">
        <v>37642</v>
      </c>
      <c r="G6719" s="788">
        <v>37642</v>
      </c>
      <c r="H6719" s="787">
        <v>1</v>
      </c>
      <c r="I6719" s="788">
        <v>39199</v>
      </c>
      <c r="J6719" s="788">
        <v>37642</v>
      </c>
      <c r="L6719" s="787">
        <v>1.57</v>
      </c>
      <c r="M6719" s="787">
        <v>20</v>
      </c>
      <c r="N6719" s="787">
        <v>1.89</v>
      </c>
      <c r="O6719" s="788">
        <v>41858</v>
      </c>
    </row>
    <row r="6720" spans="1:15" x14ac:dyDescent="0.25">
      <c r="A6720" s="786" t="s">
        <v>12023</v>
      </c>
      <c r="B6720" s="787">
        <v>4</v>
      </c>
      <c r="C6720" s="787" t="s">
        <v>2635</v>
      </c>
      <c r="D6720" s="787">
        <v>4.93</v>
      </c>
      <c r="E6720" s="787">
        <v>4.93</v>
      </c>
      <c r="F6720" s="788">
        <v>37642</v>
      </c>
      <c r="G6720" s="788">
        <v>37642</v>
      </c>
      <c r="H6720" s="787">
        <v>1</v>
      </c>
      <c r="I6720" s="788">
        <v>40156</v>
      </c>
      <c r="J6720" s="788">
        <v>37642</v>
      </c>
      <c r="L6720" s="787">
        <v>6.02</v>
      </c>
      <c r="M6720" s="787">
        <v>20</v>
      </c>
      <c r="N6720" s="787">
        <v>7.25</v>
      </c>
      <c r="O6720" s="788">
        <v>41858</v>
      </c>
    </row>
    <row r="6721" spans="1:15" x14ac:dyDescent="0.25">
      <c r="A6721" s="786" t="s">
        <v>12024</v>
      </c>
      <c r="B6721" s="787">
        <v>4</v>
      </c>
      <c r="C6721" s="787" t="s">
        <v>2635</v>
      </c>
      <c r="D6721" s="787">
        <v>2.1</v>
      </c>
      <c r="E6721" s="787">
        <v>2.2400000000000002</v>
      </c>
      <c r="F6721" s="788">
        <v>41582</v>
      </c>
      <c r="G6721" s="788">
        <v>42103</v>
      </c>
      <c r="H6721" s="787">
        <v>1</v>
      </c>
      <c r="I6721" s="788">
        <v>42163</v>
      </c>
      <c r="J6721" s="788">
        <v>42072</v>
      </c>
      <c r="K6721" s="788">
        <v>41589</v>
      </c>
      <c r="L6721" s="787">
        <v>2.11</v>
      </c>
      <c r="M6721" s="787">
        <v>20</v>
      </c>
      <c r="N6721" s="787">
        <v>2.54</v>
      </c>
      <c r="O6721" s="788">
        <v>42075</v>
      </c>
    </row>
    <row r="6722" spans="1:15" x14ac:dyDescent="0.25">
      <c r="A6722" s="786" t="s">
        <v>12025</v>
      </c>
      <c r="B6722" s="787">
        <v>4</v>
      </c>
      <c r="C6722" s="787" t="s">
        <v>12026</v>
      </c>
      <c r="D6722" s="787">
        <v>3.91</v>
      </c>
      <c r="E6722" s="787">
        <v>13.91</v>
      </c>
      <c r="F6722" s="788">
        <v>40758</v>
      </c>
      <c r="G6722" s="788">
        <v>40758</v>
      </c>
      <c r="H6722" s="787">
        <v>1</v>
      </c>
      <c r="J6722" s="788">
        <v>40749</v>
      </c>
      <c r="K6722" s="788">
        <v>41864</v>
      </c>
      <c r="L6722" s="787">
        <v>13.91</v>
      </c>
      <c r="M6722" s="787">
        <v>20</v>
      </c>
      <c r="N6722" s="787">
        <v>16.75</v>
      </c>
      <c r="O6722" s="788">
        <v>42146</v>
      </c>
    </row>
    <row r="6723" spans="1:15" x14ac:dyDescent="0.25">
      <c r="A6723" s="786" t="s">
        <v>12027</v>
      </c>
      <c r="B6723" s="787">
        <v>4</v>
      </c>
      <c r="C6723" s="787" t="s">
        <v>12028</v>
      </c>
      <c r="D6723" s="787">
        <v>3.2</v>
      </c>
      <c r="E6723" s="787">
        <v>4.83</v>
      </c>
      <c r="F6723" s="788">
        <v>40625</v>
      </c>
      <c r="G6723" s="788">
        <v>42092</v>
      </c>
      <c r="H6723" s="787">
        <v>1</v>
      </c>
      <c r="I6723" s="788">
        <v>42165</v>
      </c>
      <c r="J6723" s="788">
        <v>42074</v>
      </c>
      <c r="K6723" s="788">
        <v>41871</v>
      </c>
      <c r="L6723" s="787">
        <v>4.7</v>
      </c>
      <c r="M6723" s="787">
        <v>20</v>
      </c>
      <c r="N6723" s="787">
        <v>5.66</v>
      </c>
      <c r="O6723" s="788">
        <v>42163</v>
      </c>
    </row>
    <row r="6724" spans="1:15" x14ac:dyDescent="0.25">
      <c r="A6724" s="786" t="s">
        <v>12029</v>
      </c>
      <c r="B6724" s="787">
        <v>4</v>
      </c>
      <c r="C6724" s="787" t="s">
        <v>12030</v>
      </c>
      <c r="D6724" s="787">
        <v>4.04</v>
      </c>
      <c r="E6724" s="787">
        <v>16.66</v>
      </c>
      <c r="F6724" s="788">
        <v>40000</v>
      </c>
      <c r="G6724" s="788">
        <v>41646</v>
      </c>
      <c r="H6724" s="787">
        <v>5</v>
      </c>
      <c r="I6724" s="788">
        <v>41436</v>
      </c>
      <c r="J6724" s="788">
        <v>41451</v>
      </c>
      <c r="K6724" s="788">
        <v>40737</v>
      </c>
      <c r="L6724" s="787">
        <v>16.66</v>
      </c>
      <c r="M6724" s="787">
        <v>20</v>
      </c>
      <c r="N6724" s="787">
        <v>20.059999999999999</v>
      </c>
      <c r="O6724" s="788">
        <v>41858</v>
      </c>
    </row>
    <row r="6725" spans="1:15" x14ac:dyDescent="0.25">
      <c r="A6725" s="786" t="s">
        <v>12031</v>
      </c>
      <c r="B6725" s="787">
        <v>4</v>
      </c>
      <c r="C6725" s="787" t="s">
        <v>12032</v>
      </c>
      <c r="D6725" s="787">
        <v>3.68</v>
      </c>
      <c r="E6725" s="787">
        <v>60.91</v>
      </c>
      <c r="F6725" s="788">
        <v>39101</v>
      </c>
      <c r="G6725" s="788">
        <v>42013</v>
      </c>
      <c r="H6725" s="787">
        <v>1</v>
      </c>
      <c r="I6725" s="788">
        <v>41841</v>
      </c>
      <c r="J6725" s="788">
        <v>41842</v>
      </c>
      <c r="K6725" s="788">
        <v>41829</v>
      </c>
      <c r="L6725" s="787">
        <v>58.97</v>
      </c>
      <c r="M6725" s="787">
        <v>20</v>
      </c>
      <c r="N6725" s="787">
        <v>63.39</v>
      </c>
      <c r="O6725" s="788">
        <v>41858</v>
      </c>
    </row>
    <row r="6726" spans="1:15" x14ac:dyDescent="0.25">
      <c r="A6726" s="786" t="s">
        <v>12033</v>
      </c>
      <c r="B6726" s="787">
        <v>4</v>
      </c>
      <c r="C6726" s="787" t="s">
        <v>12034</v>
      </c>
      <c r="D6726" s="787">
        <v>1.78</v>
      </c>
      <c r="E6726" s="787">
        <v>13.1</v>
      </c>
      <c r="F6726" s="788">
        <v>39352</v>
      </c>
      <c r="G6726" s="788">
        <v>42013</v>
      </c>
      <c r="H6726" s="787">
        <v>1</v>
      </c>
      <c r="I6726" s="788">
        <v>40589</v>
      </c>
      <c r="J6726" s="788">
        <v>41620</v>
      </c>
      <c r="K6726" s="788">
        <v>41865</v>
      </c>
      <c r="L6726" s="787">
        <v>9.18</v>
      </c>
      <c r="M6726" s="787">
        <v>20</v>
      </c>
      <c r="N6726" s="787">
        <v>11.05</v>
      </c>
      <c r="O6726" s="788">
        <v>42163</v>
      </c>
    </row>
    <row r="6727" spans="1:15" x14ac:dyDescent="0.25">
      <c r="A6727" s="786" t="s">
        <v>12035</v>
      </c>
      <c r="B6727" s="787">
        <v>4</v>
      </c>
      <c r="C6727" s="787" t="s">
        <v>11983</v>
      </c>
      <c r="D6727" s="787">
        <v>3.99</v>
      </c>
      <c r="E6727" s="787">
        <v>6.87</v>
      </c>
      <c r="F6727" s="788">
        <v>40618</v>
      </c>
      <c r="G6727" s="788">
        <v>42156</v>
      </c>
      <c r="H6727" s="787">
        <v>1</v>
      </c>
      <c r="I6727" s="788">
        <v>42163</v>
      </c>
      <c r="J6727" s="788">
        <v>42143</v>
      </c>
      <c r="K6727" s="788">
        <v>41394</v>
      </c>
      <c r="L6727" s="787">
        <v>6.69</v>
      </c>
      <c r="M6727" s="787">
        <v>20</v>
      </c>
      <c r="N6727" s="787">
        <v>8.0500000000000007</v>
      </c>
      <c r="O6727" s="788">
        <v>42163</v>
      </c>
    </row>
    <row r="6728" spans="1:15" x14ac:dyDescent="0.25">
      <c r="A6728" s="786" t="s">
        <v>12036</v>
      </c>
      <c r="B6728" s="787">
        <v>4</v>
      </c>
      <c r="C6728" s="787" t="s">
        <v>11983</v>
      </c>
      <c r="D6728" s="787">
        <v>9.44</v>
      </c>
      <c r="E6728" s="787">
        <v>9.44</v>
      </c>
      <c r="F6728" s="788">
        <v>38047</v>
      </c>
      <c r="G6728" s="788">
        <v>38736</v>
      </c>
      <c r="H6728" s="787">
        <v>1</v>
      </c>
      <c r="I6728" s="788">
        <v>40806</v>
      </c>
      <c r="J6728" s="788">
        <v>38047</v>
      </c>
      <c r="L6728" s="787">
        <v>11.52</v>
      </c>
      <c r="M6728" s="787">
        <v>20</v>
      </c>
      <c r="N6728" s="787">
        <v>13.87</v>
      </c>
      <c r="O6728" s="788">
        <v>41858</v>
      </c>
    </row>
    <row r="6729" spans="1:15" x14ac:dyDescent="0.25">
      <c r="A6729" s="786" t="s">
        <v>12037</v>
      </c>
      <c r="B6729" s="787">
        <v>4</v>
      </c>
      <c r="C6729" s="787" t="s">
        <v>11983</v>
      </c>
      <c r="D6729" s="787">
        <v>3.27</v>
      </c>
      <c r="E6729" s="787">
        <v>3.27</v>
      </c>
      <c r="F6729" s="788">
        <v>42094</v>
      </c>
      <c r="G6729" s="788">
        <v>42123</v>
      </c>
      <c r="H6729" s="787">
        <v>1</v>
      </c>
      <c r="I6729" s="788">
        <v>42076</v>
      </c>
      <c r="J6729" s="788">
        <v>42086</v>
      </c>
      <c r="K6729" s="788">
        <v>40051</v>
      </c>
      <c r="L6729" s="787">
        <v>5.25</v>
      </c>
      <c r="M6729" s="787">
        <v>20</v>
      </c>
      <c r="N6729" s="787">
        <v>6.32</v>
      </c>
      <c r="O6729" s="788">
        <v>41858</v>
      </c>
    </row>
    <row r="6730" spans="1:15" x14ac:dyDescent="0.25">
      <c r="A6730" s="786" t="s">
        <v>12038</v>
      </c>
      <c r="B6730" s="787">
        <v>4</v>
      </c>
      <c r="C6730" s="787" t="s">
        <v>11983</v>
      </c>
      <c r="D6730" s="787">
        <v>9.57</v>
      </c>
      <c r="E6730" s="787">
        <v>14.77</v>
      </c>
      <c r="F6730" s="788">
        <v>39101</v>
      </c>
      <c r="G6730" s="788">
        <v>41255</v>
      </c>
      <c r="H6730" s="787">
        <v>1</v>
      </c>
      <c r="I6730" s="788">
        <v>40952</v>
      </c>
      <c r="J6730" s="788">
        <v>40945</v>
      </c>
      <c r="K6730" s="788">
        <v>40393</v>
      </c>
      <c r="L6730" s="787">
        <v>18.2</v>
      </c>
      <c r="M6730" s="787">
        <v>20</v>
      </c>
      <c r="N6730" s="787">
        <v>21.91</v>
      </c>
      <c r="O6730" s="788">
        <v>41858</v>
      </c>
    </row>
    <row r="6731" spans="1:15" x14ac:dyDescent="0.25">
      <c r="A6731" s="786" t="s">
        <v>12039</v>
      </c>
      <c r="B6731" s="787">
        <v>4</v>
      </c>
      <c r="C6731" s="787" t="s">
        <v>11983</v>
      </c>
      <c r="D6731" s="787">
        <v>4.3</v>
      </c>
      <c r="E6731" s="787">
        <v>8.02</v>
      </c>
      <c r="F6731" s="788">
        <v>40283</v>
      </c>
      <c r="G6731" s="788">
        <v>42013</v>
      </c>
      <c r="H6731" s="787">
        <v>1</v>
      </c>
      <c r="I6731" s="788">
        <v>42137</v>
      </c>
      <c r="J6731" s="788">
        <v>41451</v>
      </c>
      <c r="K6731" s="788">
        <v>40246</v>
      </c>
      <c r="L6731" s="787">
        <v>4.0999999999999996</v>
      </c>
      <c r="M6731" s="787">
        <v>20</v>
      </c>
      <c r="N6731" s="787">
        <v>4.9400000000000004</v>
      </c>
      <c r="O6731" s="788">
        <v>42164</v>
      </c>
    </row>
    <row r="6732" spans="1:15" x14ac:dyDescent="0.25">
      <c r="A6732" s="786" t="s">
        <v>12040</v>
      </c>
      <c r="B6732" s="787">
        <v>4</v>
      </c>
      <c r="C6732" s="787" t="s">
        <v>12041</v>
      </c>
      <c r="D6732" s="787">
        <v>4.47</v>
      </c>
      <c r="E6732" s="787">
        <v>9.24</v>
      </c>
      <c r="F6732" s="788">
        <v>38470</v>
      </c>
      <c r="G6732" s="788">
        <v>42157</v>
      </c>
      <c r="H6732" s="787">
        <v>1</v>
      </c>
      <c r="I6732" s="788">
        <v>42165</v>
      </c>
      <c r="J6732" s="788">
        <v>42157</v>
      </c>
      <c r="K6732" s="788">
        <v>41865</v>
      </c>
      <c r="L6732" s="787">
        <v>12.38</v>
      </c>
      <c r="M6732" s="787">
        <v>20</v>
      </c>
      <c r="N6732" s="787">
        <v>14.91</v>
      </c>
      <c r="O6732" s="788">
        <v>42159</v>
      </c>
    </row>
    <row r="6733" spans="1:15" x14ac:dyDescent="0.25">
      <c r="A6733" s="786" t="s">
        <v>12042</v>
      </c>
      <c r="B6733" s="787">
        <v>4</v>
      </c>
      <c r="C6733" s="787" t="s">
        <v>12043</v>
      </c>
      <c r="D6733" s="787">
        <v>5.89</v>
      </c>
      <c r="E6733" s="787">
        <v>7.44</v>
      </c>
      <c r="F6733" s="788">
        <v>40210</v>
      </c>
      <c r="G6733" s="788">
        <v>42143</v>
      </c>
      <c r="H6733" s="787">
        <v>1</v>
      </c>
      <c r="I6733" s="788">
        <v>42144</v>
      </c>
      <c r="J6733" s="788">
        <v>42129</v>
      </c>
      <c r="K6733" s="788">
        <v>41871</v>
      </c>
      <c r="L6733" s="787">
        <v>7.3</v>
      </c>
      <c r="M6733" s="787">
        <v>20</v>
      </c>
      <c r="N6733" s="787">
        <v>7.85</v>
      </c>
      <c r="O6733" s="788">
        <v>42162</v>
      </c>
    </row>
    <row r="6734" spans="1:15" x14ac:dyDescent="0.25">
      <c r="A6734" s="786" t="s">
        <v>12044</v>
      </c>
      <c r="B6734" s="787">
        <v>4</v>
      </c>
      <c r="C6734" s="787" t="s">
        <v>2635</v>
      </c>
      <c r="D6734" s="787">
        <v>5.92</v>
      </c>
      <c r="E6734" s="787">
        <v>5.92</v>
      </c>
      <c r="F6734" s="788">
        <v>37642</v>
      </c>
      <c r="G6734" s="788">
        <v>37642</v>
      </c>
      <c r="H6734" s="787">
        <v>1</v>
      </c>
      <c r="I6734" s="788">
        <v>39198</v>
      </c>
      <c r="J6734" s="788">
        <v>37642</v>
      </c>
      <c r="L6734" s="787">
        <v>7.23</v>
      </c>
      <c r="M6734" s="787">
        <v>20</v>
      </c>
      <c r="N6734" s="787">
        <v>8.6999999999999993</v>
      </c>
      <c r="O6734" s="788">
        <v>41955</v>
      </c>
    </row>
    <row r="6735" spans="1:15" x14ac:dyDescent="0.25">
      <c r="A6735" s="786" t="s">
        <v>12045</v>
      </c>
      <c r="B6735" s="787">
        <v>4</v>
      </c>
      <c r="C6735" s="787" t="s">
        <v>12046</v>
      </c>
      <c r="D6735" s="787">
        <v>1.75</v>
      </c>
      <c r="E6735" s="787">
        <v>1.76</v>
      </c>
      <c r="F6735" s="788">
        <v>42037</v>
      </c>
      <c r="G6735" s="788">
        <v>42163</v>
      </c>
      <c r="H6735" s="787">
        <v>1</v>
      </c>
      <c r="I6735" s="788">
        <v>42165</v>
      </c>
      <c r="J6735" s="788">
        <v>42163</v>
      </c>
      <c r="K6735" s="788">
        <v>40351</v>
      </c>
      <c r="L6735" s="787">
        <v>2.36</v>
      </c>
      <c r="M6735" s="787">
        <v>20</v>
      </c>
      <c r="N6735" s="787">
        <v>2.61</v>
      </c>
      <c r="O6735" s="788">
        <v>42162</v>
      </c>
    </row>
    <row r="6736" spans="1:15" x14ac:dyDescent="0.25">
      <c r="A6736" s="786" t="s">
        <v>12047</v>
      </c>
      <c r="B6736" s="787">
        <v>4</v>
      </c>
      <c r="C6736" s="787" t="s">
        <v>11912</v>
      </c>
      <c r="D6736" s="787">
        <v>0</v>
      </c>
      <c r="E6736" s="787">
        <v>0</v>
      </c>
      <c r="H6736" s="787">
        <v>1</v>
      </c>
      <c r="J6736" s="788">
        <v>37642</v>
      </c>
      <c r="L6736" s="787">
        <v>3.56</v>
      </c>
      <c r="M6736" s="787">
        <v>20</v>
      </c>
      <c r="N6736" s="787">
        <v>4.29</v>
      </c>
      <c r="O6736" s="788">
        <v>41858</v>
      </c>
    </row>
    <row r="6737" spans="1:15" x14ac:dyDescent="0.25">
      <c r="A6737" s="786" t="s">
        <v>12048</v>
      </c>
      <c r="B6737" s="787">
        <v>4</v>
      </c>
      <c r="C6737" s="787" t="s">
        <v>2635</v>
      </c>
      <c r="D6737" s="787">
        <v>3</v>
      </c>
      <c r="E6737" s="787">
        <v>7.94</v>
      </c>
      <c r="F6737" s="788">
        <v>39897</v>
      </c>
      <c r="G6737" s="788">
        <v>42013</v>
      </c>
      <c r="H6737" s="787">
        <v>1</v>
      </c>
      <c r="I6737" s="788">
        <v>41682</v>
      </c>
      <c r="J6737" s="788">
        <v>41474</v>
      </c>
      <c r="K6737" s="788">
        <v>39896</v>
      </c>
      <c r="L6737" s="787">
        <v>3</v>
      </c>
      <c r="M6737" s="787">
        <v>20</v>
      </c>
      <c r="N6737" s="787">
        <v>3.61</v>
      </c>
      <c r="O6737" s="788">
        <v>41858</v>
      </c>
    </row>
    <row r="6738" spans="1:15" x14ac:dyDescent="0.25">
      <c r="A6738" s="786" t="s">
        <v>12049</v>
      </c>
      <c r="B6738" s="787">
        <v>4</v>
      </c>
      <c r="C6738" s="787" t="s">
        <v>12050</v>
      </c>
      <c r="D6738" s="787">
        <v>4.41</v>
      </c>
      <c r="E6738" s="787">
        <v>14.88</v>
      </c>
      <c r="F6738" s="788">
        <v>41249</v>
      </c>
      <c r="G6738" s="788">
        <v>42150</v>
      </c>
      <c r="H6738" s="787">
        <v>1</v>
      </c>
      <c r="I6738" s="788">
        <v>42166</v>
      </c>
      <c r="J6738" s="788">
        <v>42130</v>
      </c>
      <c r="K6738" s="788">
        <v>40163</v>
      </c>
      <c r="L6738" s="787">
        <v>14.7</v>
      </c>
      <c r="M6738" s="787">
        <v>20</v>
      </c>
      <c r="N6738" s="787">
        <v>15.8</v>
      </c>
      <c r="O6738" s="788">
        <v>42146</v>
      </c>
    </row>
    <row r="6739" spans="1:15" x14ac:dyDescent="0.25">
      <c r="A6739" s="786" t="s">
        <v>12051</v>
      </c>
      <c r="B6739" s="787">
        <v>4</v>
      </c>
      <c r="C6739" s="787" t="s">
        <v>12052</v>
      </c>
      <c r="D6739" s="787">
        <v>5.39</v>
      </c>
      <c r="E6739" s="787">
        <v>15.39</v>
      </c>
      <c r="F6739" s="788">
        <v>42041</v>
      </c>
      <c r="G6739" s="788">
        <v>42045</v>
      </c>
      <c r="H6739" s="787">
        <v>1</v>
      </c>
      <c r="I6739" s="788">
        <v>42111</v>
      </c>
      <c r="J6739" s="788">
        <v>42039</v>
      </c>
      <c r="L6739" s="787">
        <v>14.89</v>
      </c>
      <c r="M6739" s="787">
        <v>20</v>
      </c>
      <c r="N6739" s="787">
        <v>17.93</v>
      </c>
      <c r="O6739" s="788">
        <v>41858</v>
      </c>
    </row>
    <row r="6740" spans="1:15" x14ac:dyDescent="0.25">
      <c r="A6740" s="786" t="s">
        <v>12053</v>
      </c>
      <c r="B6740" s="787">
        <v>4</v>
      </c>
      <c r="C6740" s="787" t="s">
        <v>11945</v>
      </c>
      <c r="D6740" s="787">
        <v>7.13</v>
      </c>
      <c r="E6740" s="787">
        <v>7.13</v>
      </c>
      <c r="F6740" s="788">
        <v>37642</v>
      </c>
      <c r="G6740" s="788">
        <v>37642</v>
      </c>
      <c r="H6740" s="787">
        <v>1</v>
      </c>
      <c r="I6740" s="788">
        <v>37009</v>
      </c>
      <c r="J6740" s="788">
        <v>37642</v>
      </c>
      <c r="L6740" s="787">
        <v>8.6999999999999993</v>
      </c>
      <c r="M6740" s="787">
        <v>20</v>
      </c>
      <c r="N6740" s="787">
        <v>10.47</v>
      </c>
      <c r="O6740" s="788">
        <v>41858</v>
      </c>
    </row>
    <row r="6741" spans="1:15" x14ac:dyDescent="0.25">
      <c r="A6741" s="786" t="s">
        <v>12054</v>
      </c>
      <c r="B6741" s="787">
        <v>4</v>
      </c>
      <c r="C6741" s="787" t="s">
        <v>12055</v>
      </c>
      <c r="D6741" s="787">
        <v>1.77</v>
      </c>
      <c r="E6741" s="787">
        <v>2.83</v>
      </c>
      <c r="F6741" s="788">
        <v>39940</v>
      </c>
      <c r="G6741" s="788">
        <v>42150</v>
      </c>
      <c r="H6741" s="787">
        <v>1</v>
      </c>
      <c r="I6741" s="788">
        <v>42166</v>
      </c>
      <c r="J6741" s="788">
        <v>42144</v>
      </c>
      <c r="K6741" s="788">
        <v>41408</v>
      </c>
      <c r="L6741" s="787">
        <v>2.8</v>
      </c>
      <c r="M6741" s="787">
        <v>20</v>
      </c>
      <c r="N6741" s="787">
        <v>3.01</v>
      </c>
      <c r="O6741" s="788">
        <v>42162</v>
      </c>
    </row>
    <row r="6742" spans="1:15" x14ac:dyDescent="0.25">
      <c r="A6742" s="786" t="s">
        <v>12056</v>
      </c>
      <c r="B6742" s="787">
        <v>4</v>
      </c>
      <c r="C6742" s="787" t="s">
        <v>12008</v>
      </c>
      <c r="D6742" s="787">
        <v>4.0999999999999996</v>
      </c>
      <c r="E6742" s="787">
        <v>7.7</v>
      </c>
      <c r="F6742" s="788">
        <v>39101</v>
      </c>
      <c r="G6742" s="788">
        <v>42013</v>
      </c>
      <c r="H6742" s="787">
        <v>1</v>
      </c>
      <c r="I6742" s="788">
        <v>42111</v>
      </c>
      <c r="J6742" s="788">
        <v>41816</v>
      </c>
      <c r="K6742" s="788">
        <v>41810</v>
      </c>
      <c r="L6742" s="787">
        <v>5.74</v>
      </c>
      <c r="M6742" s="787">
        <v>20</v>
      </c>
      <c r="N6742" s="787">
        <v>6.91</v>
      </c>
      <c r="O6742" s="788">
        <v>42146</v>
      </c>
    </row>
    <row r="6743" spans="1:15" x14ac:dyDescent="0.25">
      <c r="A6743" s="786" t="s">
        <v>12057</v>
      </c>
      <c r="B6743" s="787">
        <v>4</v>
      </c>
      <c r="C6743" s="787" t="s">
        <v>12058</v>
      </c>
      <c r="D6743" s="787">
        <v>3.91</v>
      </c>
      <c r="E6743" s="787">
        <v>13.91</v>
      </c>
      <c r="F6743" s="788">
        <v>41038</v>
      </c>
      <c r="G6743" s="788">
        <v>42013</v>
      </c>
      <c r="H6743" s="787">
        <v>1</v>
      </c>
      <c r="I6743" s="788">
        <v>41589</v>
      </c>
      <c r="J6743" s="788">
        <v>41032</v>
      </c>
      <c r="K6743" s="788">
        <v>41865</v>
      </c>
      <c r="L6743" s="787">
        <v>13.2</v>
      </c>
      <c r="M6743" s="787">
        <v>20</v>
      </c>
      <c r="N6743" s="787">
        <v>15.89</v>
      </c>
      <c r="O6743" s="788">
        <v>41995</v>
      </c>
    </row>
    <row r="6744" spans="1:15" x14ac:dyDescent="0.25">
      <c r="A6744" s="786" t="s">
        <v>12059</v>
      </c>
      <c r="B6744" s="787">
        <v>4</v>
      </c>
      <c r="C6744" s="787" t="s">
        <v>12060</v>
      </c>
      <c r="D6744" s="787">
        <v>1.85</v>
      </c>
      <c r="E6744" s="787">
        <v>1.85</v>
      </c>
      <c r="F6744" s="788">
        <v>41676</v>
      </c>
      <c r="G6744" s="788">
        <v>42013</v>
      </c>
      <c r="H6744" s="787">
        <v>1</v>
      </c>
      <c r="I6744" s="788">
        <v>42132</v>
      </c>
      <c r="J6744" s="788">
        <v>41940</v>
      </c>
      <c r="K6744" s="788">
        <v>41372</v>
      </c>
      <c r="L6744" s="787">
        <v>1.85</v>
      </c>
      <c r="M6744" s="787">
        <v>20</v>
      </c>
      <c r="N6744" s="787">
        <v>2.23</v>
      </c>
      <c r="O6744" s="788">
        <v>42128</v>
      </c>
    </row>
    <row r="6745" spans="1:15" x14ac:dyDescent="0.25">
      <c r="A6745" s="786" t="s">
        <v>12061</v>
      </c>
      <c r="B6745" s="787">
        <v>4</v>
      </c>
      <c r="C6745" s="787" t="s">
        <v>11970</v>
      </c>
      <c r="D6745" s="787">
        <v>8.82</v>
      </c>
      <c r="E6745" s="787">
        <v>8.83</v>
      </c>
      <c r="F6745" s="788">
        <v>39101</v>
      </c>
      <c r="G6745" s="788">
        <v>39101</v>
      </c>
      <c r="H6745" s="787">
        <v>1</v>
      </c>
      <c r="I6745" s="788">
        <v>40147</v>
      </c>
      <c r="J6745" s="788">
        <v>39101</v>
      </c>
      <c r="L6745" s="787">
        <v>10.78</v>
      </c>
      <c r="M6745" s="787">
        <v>20</v>
      </c>
      <c r="N6745" s="787">
        <v>12.98</v>
      </c>
      <c r="O6745" s="788">
        <v>41858</v>
      </c>
    </row>
    <row r="6746" spans="1:15" x14ac:dyDescent="0.25">
      <c r="A6746" s="786" t="s">
        <v>12062</v>
      </c>
      <c r="B6746" s="787">
        <v>4</v>
      </c>
      <c r="C6746" s="787" t="s">
        <v>12063</v>
      </c>
      <c r="D6746" s="787">
        <v>4.7</v>
      </c>
      <c r="E6746" s="787">
        <v>4.72</v>
      </c>
      <c r="F6746" s="788">
        <v>41950</v>
      </c>
      <c r="G6746" s="788">
        <v>42142</v>
      </c>
      <c r="H6746" s="787">
        <v>1</v>
      </c>
      <c r="I6746" s="788">
        <v>42123</v>
      </c>
      <c r="J6746" s="788">
        <v>42118</v>
      </c>
      <c r="K6746" s="788">
        <v>40112</v>
      </c>
      <c r="L6746" s="787">
        <v>12.87</v>
      </c>
      <c r="M6746" s="787">
        <v>20</v>
      </c>
      <c r="N6746" s="787">
        <v>13.84</v>
      </c>
      <c r="O6746" s="788">
        <v>41858</v>
      </c>
    </row>
    <row r="6747" spans="1:15" x14ac:dyDescent="0.25">
      <c r="A6747" s="786" t="s">
        <v>12064</v>
      </c>
      <c r="B6747" s="787">
        <v>4</v>
      </c>
      <c r="C6747" s="787" t="s">
        <v>12065</v>
      </c>
      <c r="D6747" s="787">
        <v>0</v>
      </c>
      <c r="E6747" s="787">
        <v>0</v>
      </c>
      <c r="H6747" s="787">
        <v>1</v>
      </c>
      <c r="J6747" s="788">
        <v>37642</v>
      </c>
      <c r="L6747" s="787">
        <v>0</v>
      </c>
      <c r="M6747" s="787">
        <v>20</v>
      </c>
      <c r="N6747" s="787">
        <v>0</v>
      </c>
      <c r="O6747" s="788">
        <v>40824</v>
      </c>
    </row>
    <row r="6748" spans="1:15" x14ac:dyDescent="0.25">
      <c r="A6748" s="786" t="s">
        <v>12066</v>
      </c>
      <c r="B6748" s="787">
        <v>4</v>
      </c>
      <c r="C6748" s="787" t="s">
        <v>12067</v>
      </c>
      <c r="D6748" s="787">
        <v>2.0699999999999998</v>
      </c>
      <c r="E6748" s="787">
        <v>12.07</v>
      </c>
      <c r="F6748" s="788">
        <v>38047</v>
      </c>
      <c r="G6748" s="788">
        <v>38047</v>
      </c>
      <c r="H6748" s="787">
        <v>1</v>
      </c>
      <c r="I6748" s="788">
        <v>37287</v>
      </c>
      <c r="J6748" s="788">
        <v>38047</v>
      </c>
      <c r="L6748" s="787">
        <v>13.16</v>
      </c>
      <c r="M6748" s="787">
        <v>20</v>
      </c>
      <c r="N6748" s="787">
        <v>14.15</v>
      </c>
      <c r="O6748" s="788">
        <v>41858</v>
      </c>
    </row>
    <row r="6749" spans="1:15" x14ac:dyDescent="0.25">
      <c r="A6749" s="786" t="s">
        <v>12068</v>
      </c>
      <c r="B6749" s="787">
        <v>4</v>
      </c>
      <c r="C6749" s="787" t="s">
        <v>12069</v>
      </c>
      <c r="D6749" s="787">
        <v>7.29</v>
      </c>
      <c r="E6749" s="787">
        <v>27.29</v>
      </c>
      <c r="F6749" s="788">
        <v>40302</v>
      </c>
      <c r="G6749" s="788">
        <v>40247</v>
      </c>
      <c r="H6749" s="787">
        <v>1</v>
      </c>
      <c r="I6749" s="788">
        <v>40247</v>
      </c>
      <c r="J6749" s="788">
        <v>40247</v>
      </c>
      <c r="L6749" s="787">
        <v>37.9</v>
      </c>
      <c r="M6749" s="787">
        <v>20</v>
      </c>
      <c r="N6749" s="787">
        <v>40.74</v>
      </c>
      <c r="O6749" s="788">
        <v>41858</v>
      </c>
    </row>
    <row r="6750" spans="1:15" x14ac:dyDescent="0.25">
      <c r="A6750" s="786" t="s">
        <v>12070</v>
      </c>
      <c r="B6750" s="787">
        <v>4</v>
      </c>
      <c r="C6750" s="787" t="s">
        <v>8600</v>
      </c>
      <c r="D6750" s="787">
        <v>5.13</v>
      </c>
      <c r="E6750" s="787">
        <v>5.13</v>
      </c>
      <c r="F6750" s="788">
        <v>39021</v>
      </c>
      <c r="G6750" s="788">
        <v>39021</v>
      </c>
      <c r="H6750" s="787">
        <v>1</v>
      </c>
      <c r="L6750" s="787">
        <v>5.56</v>
      </c>
      <c r="M6750" s="787">
        <v>10</v>
      </c>
      <c r="N6750" s="787">
        <v>6.42</v>
      </c>
      <c r="O6750" s="788">
        <v>42087</v>
      </c>
    </row>
    <row r="6751" spans="1:15" x14ac:dyDescent="0.25">
      <c r="A6751" s="786" t="s">
        <v>12071</v>
      </c>
      <c r="B6751" s="787">
        <v>4</v>
      </c>
      <c r="C6751" s="787" t="s">
        <v>12072</v>
      </c>
      <c r="D6751" s="787">
        <v>5.16</v>
      </c>
      <c r="E6751" s="787">
        <v>6.45</v>
      </c>
      <c r="F6751" s="788">
        <v>40136</v>
      </c>
      <c r="G6751" s="788">
        <v>42156</v>
      </c>
      <c r="H6751" s="787">
        <v>1</v>
      </c>
      <c r="I6751" s="788">
        <v>42164</v>
      </c>
      <c r="J6751" s="788">
        <v>42142</v>
      </c>
      <c r="K6751" s="788">
        <v>41137</v>
      </c>
      <c r="L6751" s="787">
        <v>6.53</v>
      </c>
      <c r="M6751" s="787">
        <v>20</v>
      </c>
      <c r="N6751" s="787">
        <v>7.02</v>
      </c>
      <c r="O6751" s="788">
        <v>42146</v>
      </c>
    </row>
    <row r="6752" spans="1:15" x14ac:dyDescent="0.25">
      <c r="A6752" s="786" t="s">
        <v>12073</v>
      </c>
      <c r="B6752" s="787">
        <v>4</v>
      </c>
      <c r="C6752" s="787" t="s">
        <v>12074</v>
      </c>
      <c r="D6752" s="787">
        <v>0</v>
      </c>
      <c r="E6752" s="787">
        <v>0</v>
      </c>
      <c r="H6752" s="787">
        <v>1</v>
      </c>
      <c r="L6752" s="787">
        <v>0</v>
      </c>
      <c r="M6752" s="787">
        <v>20</v>
      </c>
      <c r="N6752" s="787">
        <v>0</v>
      </c>
      <c r="O6752" s="788">
        <v>40824</v>
      </c>
    </row>
    <row r="6753" spans="1:15" x14ac:dyDescent="0.25">
      <c r="A6753" s="786" t="s">
        <v>12075</v>
      </c>
      <c r="B6753" s="787">
        <v>4</v>
      </c>
      <c r="C6753" s="787" t="s">
        <v>12076</v>
      </c>
      <c r="D6753" s="787">
        <v>2.14</v>
      </c>
      <c r="E6753" s="787">
        <v>2.42</v>
      </c>
      <c r="F6753" s="788">
        <v>39101</v>
      </c>
      <c r="G6753" s="788">
        <v>42165</v>
      </c>
      <c r="H6753" s="787">
        <v>1</v>
      </c>
      <c r="I6753" s="788">
        <v>42160</v>
      </c>
      <c r="J6753" s="788">
        <v>42165</v>
      </c>
      <c r="K6753" s="788">
        <v>41583</v>
      </c>
      <c r="L6753" s="787">
        <v>2.59</v>
      </c>
      <c r="M6753" s="787">
        <v>20</v>
      </c>
      <c r="N6753" s="787">
        <v>3.12</v>
      </c>
      <c r="O6753" s="788">
        <v>42163</v>
      </c>
    </row>
    <row r="6754" spans="1:15" x14ac:dyDescent="0.25">
      <c r="A6754" s="786" t="s">
        <v>12077</v>
      </c>
      <c r="B6754" s="787">
        <v>4</v>
      </c>
      <c r="C6754" s="787" t="s">
        <v>12078</v>
      </c>
      <c r="D6754" s="787">
        <v>0.98</v>
      </c>
      <c r="E6754" s="787">
        <v>1.71</v>
      </c>
      <c r="F6754" s="788">
        <v>38621</v>
      </c>
      <c r="G6754" s="788">
        <v>42081</v>
      </c>
      <c r="H6754" s="787">
        <v>1</v>
      </c>
      <c r="I6754" s="788">
        <v>42160</v>
      </c>
      <c r="J6754" s="788">
        <v>42072</v>
      </c>
      <c r="K6754" s="788">
        <v>40805</v>
      </c>
      <c r="L6754" s="787">
        <v>1.55</v>
      </c>
      <c r="M6754" s="787">
        <v>20</v>
      </c>
      <c r="N6754" s="787">
        <v>1.87</v>
      </c>
      <c r="O6754" s="788">
        <v>42164</v>
      </c>
    </row>
    <row r="6755" spans="1:15" x14ac:dyDescent="0.25">
      <c r="A6755" s="786" t="s">
        <v>12079</v>
      </c>
      <c r="B6755" s="787">
        <v>4</v>
      </c>
      <c r="C6755" s="787" t="s">
        <v>12078</v>
      </c>
      <c r="D6755" s="787">
        <v>0.82</v>
      </c>
      <c r="E6755" s="787">
        <v>0.95</v>
      </c>
      <c r="F6755" s="788">
        <v>41848</v>
      </c>
      <c r="G6755" s="788">
        <v>42159</v>
      </c>
      <c r="H6755" s="787">
        <v>1</v>
      </c>
      <c r="I6755" s="788">
        <v>42159</v>
      </c>
      <c r="J6755" s="788">
        <v>42159</v>
      </c>
      <c r="K6755" s="788">
        <v>40828</v>
      </c>
      <c r="L6755" s="787">
        <v>0.98</v>
      </c>
      <c r="M6755" s="787">
        <v>20</v>
      </c>
      <c r="N6755" s="787">
        <v>1.18</v>
      </c>
      <c r="O6755" s="788">
        <v>42164</v>
      </c>
    </row>
    <row r="6756" spans="1:15" x14ac:dyDescent="0.25">
      <c r="A6756" s="786" t="s">
        <v>12080</v>
      </c>
      <c r="B6756" s="787">
        <v>4</v>
      </c>
      <c r="C6756" s="787" t="s">
        <v>12081</v>
      </c>
      <c r="D6756" s="787">
        <v>2.8</v>
      </c>
      <c r="E6756" s="787">
        <v>4.0199999999999996</v>
      </c>
      <c r="F6756" s="788">
        <v>39051</v>
      </c>
      <c r="G6756" s="788">
        <v>42096</v>
      </c>
      <c r="H6756" s="787">
        <v>1</v>
      </c>
      <c r="I6756" s="788">
        <v>42095</v>
      </c>
      <c r="J6756" s="788">
        <v>42096</v>
      </c>
      <c r="L6756" s="787">
        <v>3.97</v>
      </c>
      <c r="M6756" s="787">
        <v>20</v>
      </c>
      <c r="N6756" s="787">
        <v>4.78</v>
      </c>
      <c r="O6756" s="788">
        <v>42163</v>
      </c>
    </row>
    <row r="6757" spans="1:15" x14ac:dyDescent="0.25">
      <c r="A6757" s="786" t="s">
        <v>12082</v>
      </c>
      <c r="B6757" s="787">
        <v>4</v>
      </c>
      <c r="C6757" s="787" t="s">
        <v>12078</v>
      </c>
      <c r="D6757" s="787">
        <v>0.49</v>
      </c>
      <c r="E6757" s="787">
        <v>0.49</v>
      </c>
      <c r="F6757" s="788">
        <v>41887</v>
      </c>
      <c r="G6757" s="788">
        <v>39101</v>
      </c>
      <c r="H6757" s="787">
        <v>1</v>
      </c>
      <c r="I6757" s="788">
        <v>41898</v>
      </c>
      <c r="J6757" s="788">
        <v>41883</v>
      </c>
      <c r="L6757" s="787">
        <v>1.07</v>
      </c>
      <c r="M6757" s="787">
        <v>20</v>
      </c>
      <c r="N6757" s="787">
        <v>1.29</v>
      </c>
      <c r="O6757" s="788">
        <v>41858</v>
      </c>
    </row>
    <row r="6758" spans="1:15" x14ac:dyDescent="0.25">
      <c r="A6758" s="786" t="s">
        <v>12083</v>
      </c>
      <c r="B6758" s="787">
        <v>4</v>
      </c>
      <c r="C6758" s="787" t="s">
        <v>12078</v>
      </c>
      <c r="D6758" s="787">
        <v>1.38</v>
      </c>
      <c r="E6758" s="787">
        <v>1.38</v>
      </c>
      <c r="F6758" s="788">
        <v>38047</v>
      </c>
      <c r="G6758" s="788">
        <v>38047</v>
      </c>
      <c r="H6758" s="787">
        <v>1</v>
      </c>
      <c r="I6758" s="788">
        <v>41295</v>
      </c>
      <c r="J6758" s="788">
        <v>38047</v>
      </c>
      <c r="L6758" s="787">
        <v>1.68</v>
      </c>
      <c r="M6758" s="787">
        <v>20</v>
      </c>
      <c r="N6758" s="787">
        <v>2.02</v>
      </c>
      <c r="O6758" s="788">
        <v>41858</v>
      </c>
    </row>
    <row r="6759" spans="1:15" x14ac:dyDescent="0.25">
      <c r="A6759" s="786" t="s">
        <v>12084</v>
      </c>
      <c r="B6759" s="787">
        <v>4</v>
      </c>
      <c r="C6759" s="787" t="s">
        <v>12085</v>
      </c>
      <c r="D6759" s="787">
        <v>1.05</v>
      </c>
      <c r="E6759" s="787">
        <v>4.22</v>
      </c>
      <c r="F6759" s="788">
        <v>38047</v>
      </c>
      <c r="G6759" s="788">
        <v>42064</v>
      </c>
      <c r="H6759" s="787">
        <v>1</v>
      </c>
      <c r="I6759" s="788">
        <v>42083</v>
      </c>
      <c r="J6759" s="788">
        <v>42054</v>
      </c>
      <c r="K6759" s="788">
        <v>41872</v>
      </c>
      <c r="L6759" s="787">
        <v>4</v>
      </c>
      <c r="M6759" s="787">
        <v>20</v>
      </c>
      <c r="N6759" s="787">
        <v>4.82</v>
      </c>
      <c r="O6759" s="788">
        <v>42164</v>
      </c>
    </row>
    <row r="6760" spans="1:15" x14ac:dyDescent="0.25">
      <c r="A6760" s="786" t="s">
        <v>12086</v>
      </c>
      <c r="B6760" s="787">
        <v>4</v>
      </c>
      <c r="C6760" s="787" t="s">
        <v>12087</v>
      </c>
      <c r="D6760" s="787">
        <v>1.68</v>
      </c>
      <c r="E6760" s="787">
        <v>1.73</v>
      </c>
      <c r="F6760" s="788">
        <v>38126</v>
      </c>
      <c r="G6760" s="788">
        <v>38216</v>
      </c>
      <c r="H6760" s="787">
        <v>1</v>
      </c>
      <c r="I6760" s="788">
        <v>38230</v>
      </c>
      <c r="J6760" s="788">
        <v>38216</v>
      </c>
      <c r="L6760" s="787">
        <v>2.11</v>
      </c>
      <c r="M6760" s="787">
        <v>20</v>
      </c>
      <c r="N6760" s="787">
        <v>2.54</v>
      </c>
      <c r="O6760" s="788">
        <v>41858</v>
      </c>
    </row>
    <row r="6761" spans="1:15" x14ac:dyDescent="0.25">
      <c r="A6761" s="786" t="s">
        <v>12088</v>
      </c>
      <c r="B6761" s="787">
        <v>4</v>
      </c>
      <c r="C6761" s="787" t="s">
        <v>12078</v>
      </c>
      <c r="D6761" s="787">
        <v>1.1100000000000001</v>
      </c>
      <c r="E6761" s="787">
        <v>2.16</v>
      </c>
      <c r="F6761" s="788">
        <v>39101</v>
      </c>
      <c r="G6761" s="788">
        <v>42013</v>
      </c>
      <c r="H6761" s="787">
        <v>1</v>
      </c>
      <c r="I6761" s="788">
        <v>42165</v>
      </c>
      <c r="J6761" s="788">
        <v>41890</v>
      </c>
      <c r="L6761" s="787">
        <v>1.36</v>
      </c>
      <c r="M6761" s="787">
        <v>20</v>
      </c>
      <c r="N6761" s="787">
        <v>1.64</v>
      </c>
      <c r="O6761" s="788">
        <v>41955</v>
      </c>
    </row>
    <row r="6762" spans="1:15" x14ac:dyDescent="0.25">
      <c r="A6762" s="786" t="s">
        <v>12089</v>
      </c>
      <c r="B6762" s="787">
        <v>4</v>
      </c>
      <c r="C6762" s="787" t="s">
        <v>12090</v>
      </c>
      <c r="D6762" s="787">
        <v>3.12</v>
      </c>
      <c r="E6762" s="787">
        <v>49.83</v>
      </c>
      <c r="F6762" s="788">
        <v>39101</v>
      </c>
      <c r="G6762" s="788">
        <v>42013</v>
      </c>
      <c r="H6762" s="787">
        <v>1</v>
      </c>
      <c r="I6762" s="788">
        <v>42087</v>
      </c>
      <c r="J6762" s="788">
        <v>41939</v>
      </c>
      <c r="K6762" s="788">
        <v>41929</v>
      </c>
      <c r="L6762" s="787">
        <v>46.33</v>
      </c>
      <c r="M6762" s="787">
        <v>20</v>
      </c>
      <c r="N6762" s="787">
        <v>33.979999999999997</v>
      </c>
      <c r="O6762" s="788">
        <v>41858</v>
      </c>
    </row>
    <row r="6763" spans="1:15" x14ac:dyDescent="0.25">
      <c r="A6763" s="786" t="s">
        <v>12091</v>
      </c>
      <c r="B6763" s="787">
        <v>4</v>
      </c>
      <c r="C6763" s="787" t="s">
        <v>12092</v>
      </c>
      <c r="D6763" s="787">
        <v>3.11</v>
      </c>
      <c r="E6763" s="787">
        <v>2.93</v>
      </c>
      <c r="F6763" s="788">
        <v>39101</v>
      </c>
      <c r="G6763" s="788">
        <v>39590</v>
      </c>
      <c r="H6763" s="787">
        <v>1</v>
      </c>
      <c r="I6763" s="788">
        <v>39134</v>
      </c>
      <c r="J6763" s="788">
        <v>39149</v>
      </c>
      <c r="L6763" s="787">
        <v>3.58</v>
      </c>
      <c r="M6763" s="787">
        <v>20</v>
      </c>
      <c r="N6763" s="787">
        <v>4.3099999999999996</v>
      </c>
      <c r="O6763" s="788">
        <v>41858</v>
      </c>
    </row>
    <row r="6764" spans="1:15" x14ac:dyDescent="0.25">
      <c r="A6764" s="786" t="s">
        <v>12093</v>
      </c>
      <c r="B6764" s="787">
        <v>4</v>
      </c>
      <c r="C6764" s="787" t="s">
        <v>12078</v>
      </c>
      <c r="D6764" s="787">
        <v>0.62</v>
      </c>
      <c r="E6764" s="787">
        <v>0.7</v>
      </c>
      <c r="F6764" s="788">
        <v>40843</v>
      </c>
      <c r="G6764" s="788">
        <v>42156</v>
      </c>
      <c r="H6764" s="787">
        <v>1</v>
      </c>
      <c r="I6764" s="788">
        <v>42144</v>
      </c>
      <c r="J6764" s="788">
        <v>42142</v>
      </c>
      <c r="K6764" s="788">
        <v>40805</v>
      </c>
      <c r="L6764" s="787">
        <v>0.68</v>
      </c>
      <c r="M6764" s="787">
        <v>20</v>
      </c>
      <c r="N6764" s="787">
        <v>0.82</v>
      </c>
      <c r="O6764" s="788">
        <v>42164</v>
      </c>
    </row>
    <row r="6765" spans="1:15" x14ac:dyDescent="0.25">
      <c r="A6765" s="786" t="s">
        <v>12094</v>
      </c>
      <c r="B6765" s="787">
        <v>4</v>
      </c>
      <c r="C6765" s="787" t="s">
        <v>12078</v>
      </c>
      <c r="D6765" s="787">
        <v>0.94</v>
      </c>
      <c r="E6765" s="787">
        <v>1.81</v>
      </c>
      <c r="F6765" s="788">
        <v>39101</v>
      </c>
      <c r="G6765" s="788">
        <v>42013</v>
      </c>
      <c r="H6765" s="787">
        <v>1</v>
      </c>
      <c r="I6765" s="788">
        <v>42166</v>
      </c>
      <c r="J6765" s="788">
        <v>41914</v>
      </c>
      <c r="L6765" s="787">
        <v>1.57</v>
      </c>
      <c r="M6765" s="787">
        <v>20</v>
      </c>
      <c r="N6765" s="787">
        <v>1.89</v>
      </c>
      <c r="O6765" s="788">
        <v>41858</v>
      </c>
    </row>
    <row r="6766" spans="1:15" x14ac:dyDescent="0.25">
      <c r="A6766" s="786" t="s">
        <v>12095</v>
      </c>
      <c r="B6766" s="787">
        <v>4</v>
      </c>
      <c r="C6766" s="787" t="s">
        <v>12092</v>
      </c>
      <c r="D6766" s="787">
        <v>5.01</v>
      </c>
      <c r="E6766" s="787">
        <v>5.38</v>
      </c>
      <c r="F6766" s="788">
        <v>39101</v>
      </c>
      <c r="G6766" s="788">
        <v>39101</v>
      </c>
      <c r="H6766" s="787">
        <v>1</v>
      </c>
      <c r="I6766" s="788">
        <v>40904</v>
      </c>
      <c r="J6766" s="788">
        <v>39149</v>
      </c>
      <c r="L6766" s="787">
        <v>6.57</v>
      </c>
      <c r="M6766" s="787">
        <v>20</v>
      </c>
      <c r="N6766" s="787">
        <v>7.91</v>
      </c>
      <c r="O6766" s="788">
        <v>41858</v>
      </c>
    </row>
    <row r="6767" spans="1:15" x14ac:dyDescent="0.25">
      <c r="A6767" s="786" t="s">
        <v>12096</v>
      </c>
      <c r="B6767" s="787">
        <v>4</v>
      </c>
      <c r="C6767" s="787" t="s">
        <v>12097</v>
      </c>
      <c r="D6767" s="787">
        <v>0</v>
      </c>
      <c r="E6767" s="787">
        <v>0</v>
      </c>
      <c r="G6767" s="788">
        <v>37642</v>
      </c>
      <c r="H6767" s="787">
        <v>1</v>
      </c>
      <c r="J6767" s="788">
        <v>37642</v>
      </c>
      <c r="L6767" s="787">
        <v>0</v>
      </c>
      <c r="M6767" s="787">
        <v>20</v>
      </c>
      <c r="N6767" s="787">
        <v>0</v>
      </c>
      <c r="O6767" s="788">
        <v>40824</v>
      </c>
    </row>
    <row r="6768" spans="1:15" x14ac:dyDescent="0.25">
      <c r="A6768" s="786" t="s">
        <v>12098</v>
      </c>
      <c r="B6768" s="787">
        <v>4</v>
      </c>
      <c r="C6768" s="787" t="s">
        <v>12078</v>
      </c>
      <c r="D6768" s="787">
        <v>0.44</v>
      </c>
      <c r="E6768" s="787">
        <v>0.61</v>
      </c>
      <c r="F6768" s="788">
        <v>40382</v>
      </c>
      <c r="G6768" s="788">
        <v>42013</v>
      </c>
      <c r="H6768" s="787">
        <v>1</v>
      </c>
      <c r="I6768" s="788">
        <v>41369</v>
      </c>
      <c r="J6768" s="788">
        <v>41988</v>
      </c>
      <c r="K6768" s="788">
        <v>40652</v>
      </c>
      <c r="L6768" s="787">
        <v>0.47</v>
      </c>
      <c r="M6768" s="787">
        <v>20</v>
      </c>
      <c r="N6768" s="787">
        <v>0.56999999999999995</v>
      </c>
      <c r="O6768" s="788">
        <v>42123</v>
      </c>
    </row>
    <row r="6769" spans="1:15" x14ac:dyDescent="0.25">
      <c r="A6769" s="786" t="s">
        <v>12099</v>
      </c>
      <c r="B6769" s="787">
        <v>4</v>
      </c>
      <c r="C6769" s="787" t="s">
        <v>12100</v>
      </c>
      <c r="D6769" s="787">
        <v>1.1200000000000001</v>
      </c>
      <c r="E6769" s="787">
        <v>2.93</v>
      </c>
      <c r="F6769" s="788">
        <v>39101</v>
      </c>
      <c r="G6769" s="788">
        <v>42013</v>
      </c>
      <c r="H6769" s="787">
        <v>1</v>
      </c>
      <c r="I6769" s="788">
        <v>40108</v>
      </c>
      <c r="J6769" s="788">
        <v>40441</v>
      </c>
      <c r="K6769" s="788">
        <v>40099</v>
      </c>
      <c r="L6769" s="787">
        <v>2.21</v>
      </c>
      <c r="M6769" s="787">
        <v>20</v>
      </c>
      <c r="N6769" s="787">
        <v>2.66</v>
      </c>
      <c r="O6769" s="788">
        <v>42048</v>
      </c>
    </row>
    <row r="6770" spans="1:15" x14ac:dyDescent="0.25">
      <c r="A6770" s="786" t="s">
        <v>12101</v>
      </c>
      <c r="B6770" s="787">
        <v>4</v>
      </c>
      <c r="C6770" s="787" t="s">
        <v>12102</v>
      </c>
      <c r="D6770" s="787">
        <v>0.89</v>
      </c>
      <c r="E6770" s="787">
        <v>1.3</v>
      </c>
      <c r="F6770" s="788">
        <v>39101</v>
      </c>
      <c r="G6770" s="788">
        <v>42013</v>
      </c>
      <c r="H6770" s="787">
        <v>1</v>
      </c>
      <c r="I6770" s="788">
        <v>42031</v>
      </c>
      <c r="J6770" s="788">
        <v>41710</v>
      </c>
      <c r="L6770" s="787">
        <v>0.98</v>
      </c>
      <c r="M6770" s="787">
        <v>20</v>
      </c>
      <c r="N6770" s="787">
        <v>1.18</v>
      </c>
      <c r="O6770" s="788">
        <v>42053</v>
      </c>
    </row>
    <row r="6771" spans="1:15" x14ac:dyDescent="0.25">
      <c r="A6771" s="786" t="s">
        <v>12103</v>
      </c>
      <c r="B6771" s="787">
        <v>4</v>
      </c>
      <c r="C6771" s="787" t="s">
        <v>12104</v>
      </c>
      <c r="D6771" s="787">
        <v>0</v>
      </c>
      <c r="E6771" s="787">
        <v>0</v>
      </c>
      <c r="H6771" s="787">
        <v>1</v>
      </c>
      <c r="J6771" s="788">
        <v>37642</v>
      </c>
      <c r="L6771" s="787">
        <v>0</v>
      </c>
      <c r="M6771" s="787">
        <v>20</v>
      </c>
      <c r="N6771" s="787">
        <v>0</v>
      </c>
      <c r="O6771" s="788">
        <v>40824</v>
      </c>
    </row>
    <row r="6772" spans="1:15" x14ac:dyDescent="0.25">
      <c r="A6772" s="786" t="s">
        <v>12105</v>
      </c>
      <c r="B6772" s="787">
        <v>4</v>
      </c>
      <c r="C6772" s="787" t="s">
        <v>12078</v>
      </c>
      <c r="D6772" s="787">
        <v>1.66</v>
      </c>
      <c r="E6772" s="787">
        <v>3.09</v>
      </c>
      <c r="F6772" s="788">
        <v>40053</v>
      </c>
      <c r="G6772" s="788">
        <v>42013</v>
      </c>
      <c r="H6772" s="787">
        <v>1</v>
      </c>
      <c r="I6772" s="788">
        <v>42076</v>
      </c>
      <c r="J6772" s="788">
        <v>41537</v>
      </c>
      <c r="K6772" s="788">
        <v>41408</v>
      </c>
      <c r="L6772" s="787">
        <v>2.0299999999999998</v>
      </c>
      <c r="M6772" s="787">
        <v>20</v>
      </c>
      <c r="N6772" s="787">
        <v>2.44</v>
      </c>
      <c r="O6772" s="788">
        <v>42162</v>
      </c>
    </row>
    <row r="6773" spans="1:15" x14ac:dyDescent="0.25">
      <c r="A6773" s="786" t="s">
        <v>12106</v>
      </c>
      <c r="B6773" s="787">
        <v>4</v>
      </c>
      <c r="C6773" s="787" t="s">
        <v>12078</v>
      </c>
      <c r="D6773" s="787">
        <v>0.59</v>
      </c>
      <c r="E6773" s="787">
        <v>1.65</v>
      </c>
      <c r="F6773" s="788">
        <v>38047</v>
      </c>
      <c r="G6773" s="788">
        <v>40470</v>
      </c>
      <c r="H6773" s="787">
        <v>1</v>
      </c>
      <c r="I6773" s="788">
        <v>41190</v>
      </c>
      <c r="J6773" s="788">
        <v>40441</v>
      </c>
      <c r="L6773" s="787">
        <v>1.61</v>
      </c>
      <c r="M6773" s="787">
        <v>20</v>
      </c>
      <c r="N6773" s="787">
        <v>1.94</v>
      </c>
      <c r="O6773" s="788">
        <v>41858</v>
      </c>
    </row>
    <row r="6774" spans="1:15" x14ac:dyDescent="0.25">
      <c r="A6774" s="786" t="s">
        <v>12107</v>
      </c>
      <c r="B6774" s="787">
        <v>4</v>
      </c>
      <c r="C6774" s="787" t="s">
        <v>12078</v>
      </c>
      <c r="D6774" s="787">
        <v>1.9</v>
      </c>
      <c r="E6774" s="787">
        <v>3.53</v>
      </c>
      <c r="F6774" s="788">
        <v>39101</v>
      </c>
      <c r="G6774" s="788">
        <v>41646</v>
      </c>
      <c r="H6774" s="787">
        <v>1</v>
      </c>
      <c r="I6774" s="788">
        <v>42136</v>
      </c>
      <c r="J6774" s="788">
        <v>41457</v>
      </c>
      <c r="K6774" s="788">
        <v>41459</v>
      </c>
      <c r="L6774" s="787">
        <v>2.36</v>
      </c>
      <c r="M6774" s="787">
        <v>20</v>
      </c>
      <c r="N6774" s="787">
        <v>2.84</v>
      </c>
      <c r="O6774" s="788">
        <v>42164</v>
      </c>
    </row>
    <row r="6775" spans="1:15" x14ac:dyDescent="0.25">
      <c r="A6775" s="786" t="s">
        <v>12108</v>
      </c>
      <c r="B6775" s="787">
        <v>4</v>
      </c>
      <c r="C6775" s="787" t="s">
        <v>12078</v>
      </c>
      <c r="D6775" s="787">
        <v>7.93</v>
      </c>
      <c r="E6775" s="787">
        <v>8.59</v>
      </c>
      <c r="F6775" s="788">
        <v>38075</v>
      </c>
      <c r="G6775" s="788">
        <v>39814</v>
      </c>
      <c r="H6775" s="787">
        <v>1</v>
      </c>
      <c r="I6775" s="788">
        <v>39679</v>
      </c>
      <c r="J6775" s="788">
        <v>38097</v>
      </c>
      <c r="L6775" s="787">
        <v>11.3</v>
      </c>
      <c r="M6775" s="787">
        <v>20</v>
      </c>
      <c r="N6775" s="787">
        <v>13.61</v>
      </c>
      <c r="O6775" s="788">
        <v>41858</v>
      </c>
    </row>
    <row r="6776" spans="1:15" x14ac:dyDescent="0.25">
      <c r="A6776" s="786" t="s">
        <v>12109</v>
      </c>
      <c r="B6776" s="787">
        <v>4</v>
      </c>
      <c r="C6776" s="787" t="s">
        <v>12110</v>
      </c>
      <c r="D6776" s="787">
        <v>0.52</v>
      </c>
      <c r="E6776" s="787">
        <v>0.52</v>
      </c>
      <c r="F6776" s="788">
        <v>37642</v>
      </c>
      <c r="G6776" s="788">
        <v>41822</v>
      </c>
      <c r="H6776" s="787">
        <v>1</v>
      </c>
      <c r="I6776" s="788">
        <v>41967</v>
      </c>
      <c r="J6776" s="788">
        <v>41967</v>
      </c>
      <c r="L6776" s="787">
        <v>0.63</v>
      </c>
      <c r="M6776" s="787">
        <v>20</v>
      </c>
      <c r="N6776" s="787">
        <v>0.76</v>
      </c>
      <c r="O6776" s="788">
        <v>42087</v>
      </c>
    </row>
    <row r="6777" spans="1:15" x14ac:dyDescent="0.25">
      <c r="A6777" s="786" t="s">
        <v>12111</v>
      </c>
      <c r="B6777" s="787">
        <v>4</v>
      </c>
      <c r="C6777" s="787" t="s">
        <v>12078</v>
      </c>
      <c r="D6777" s="787">
        <v>5.1100000000000003</v>
      </c>
      <c r="E6777" s="787">
        <v>13.48</v>
      </c>
      <c r="F6777" s="788">
        <v>39101</v>
      </c>
      <c r="G6777" s="788">
        <v>42026</v>
      </c>
      <c r="H6777" s="787">
        <v>1</v>
      </c>
      <c r="I6777" s="788">
        <v>41842</v>
      </c>
      <c r="J6777" s="788">
        <v>41815</v>
      </c>
      <c r="K6777" s="788">
        <v>41869</v>
      </c>
      <c r="L6777" s="787">
        <v>4.84</v>
      </c>
      <c r="M6777" s="787">
        <v>20</v>
      </c>
      <c r="N6777" s="787">
        <v>20.52</v>
      </c>
      <c r="O6777" s="788">
        <v>41858</v>
      </c>
    </row>
    <row r="6778" spans="1:15" x14ac:dyDescent="0.25">
      <c r="A6778" s="786" t="s">
        <v>12112</v>
      </c>
      <c r="B6778" s="787">
        <v>4</v>
      </c>
      <c r="C6778" s="787" t="s">
        <v>12113</v>
      </c>
      <c r="D6778" s="787">
        <v>7.51</v>
      </c>
      <c r="E6778" s="787">
        <v>17.510000000000002</v>
      </c>
      <c r="F6778" s="788">
        <v>39101</v>
      </c>
      <c r="G6778" s="788">
        <v>39101</v>
      </c>
      <c r="H6778" s="787">
        <v>1</v>
      </c>
      <c r="I6778" s="788">
        <v>39170</v>
      </c>
      <c r="J6778" s="788">
        <v>39149</v>
      </c>
      <c r="L6778" s="787">
        <v>21.38</v>
      </c>
      <c r="M6778" s="787">
        <v>20</v>
      </c>
      <c r="N6778" s="787">
        <v>25.74</v>
      </c>
      <c r="O6778" s="788">
        <v>41858</v>
      </c>
    </row>
    <row r="6779" spans="1:15" x14ac:dyDescent="0.25">
      <c r="A6779" s="786" t="s">
        <v>12114</v>
      </c>
      <c r="B6779" s="787">
        <v>4</v>
      </c>
      <c r="C6779" s="787" t="s">
        <v>12115</v>
      </c>
      <c r="D6779" s="787">
        <v>6.78</v>
      </c>
      <c r="E6779" s="787">
        <v>9.42</v>
      </c>
      <c r="F6779" s="788">
        <v>40324</v>
      </c>
      <c r="G6779" s="788">
        <v>42013</v>
      </c>
      <c r="H6779" s="787">
        <v>1</v>
      </c>
      <c r="I6779" s="788">
        <v>41725</v>
      </c>
      <c r="J6779" s="788">
        <v>41729</v>
      </c>
      <c r="L6779" s="787">
        <v>10.65</v>
      </c>
      <c r="M6779" s="787">
        <v>20</v>
      </c>
      <c r="N6779" s="787">
        <v>12.82</v>
      </c>
      <c r="O6779" s="788">
        <v>41858</v>
      </c>
    </row>
    <row r="6780" spans="1:15" x14ac:dyDescent="0.25">
      <c r="A6780" s="786" t="s">
        <v>12116</v>
      </c>
      <c r="B6780" s="787">
        <v>4</v>
      </c>
      <c r="C6780" s="787" t="s">
        <v>12078</v>
      </c>
      <c r="D6780" s="787">
        <v>0.17</v>
      </c>
      <c r="E6780" s="787">
        <v>0.27</v>
      </c>
      <c r="F6780" s="788">
        <v>42150</v>
      </c>
      <c r="G6780" s="788">
        <v>42165</v>
      </c>
      <c r="H6780" s="787">
        <v>1</v>
      </c>
      <c r="I6780" s="788">
        <v>42145</v>
      </c>
      <c r="J6780" s="788">
        <v>42153</v>
      </c>
      <c r="K6780" s="788">
        <v>40512</v>
      </c>
      <c r="L6780" s="787">
        <v>0.21</v>
      </c>
      <c r="M6780" s="787">
        <v>20</v>
      </c>
      <c r="N6780" s="787">
        <v>0.25</v>
      </c>
      <c r="O6780" s="788">
        <v>42164</v>
      </c>
    </row>
    <row r="6781" spans="1:15" x14ac:dyDescent="0.25">
      <c r="A6781" s="786" t="s">
        <v>12117</v>
      </c>
      <c r="B6781" s="787">
        <v>4</v>
      </c>
      <c r="C6781" s="787" t="s">
        <v>12118</v>
      </c>
      <c r="D6781" s="787">
        <v>0.27</v>
      </c>
      <c r="E6781" s="787">
        <v>0.86</v>
      </c>
      <c r="F6781" s="788">
        <v>38791</v>
      </c>
      <c r="G6781" s="788">
        <v>42013</v>
      </c>
      <c r="H6781" s="787">
        <v>1</v>
      </c>
      <c r="I6781" s="788">
        <v>40712</v>
      </c>
      <c r="J6781" s="788">
        <v>40681</v>
      </c>
      <c r="L6781" s="787">
        <v>0.86</v>
      </c>
      <c r="M6781" s="787">
        <v>20</v>
      </c>
      <c r="N6781" s="787">
        <v>1.04</v>
      </c>
      <c r="O6781" s="788">
        <v>41858</v>
      </c>
    </row>
    <row r="6782" spans="1:15" x14ac:dyDescent="0.25">
      <c r="A6782" s="786" t="s">
        <v>12119</v>
      </c>
      <c r="B6782" s="787">
        <v>4</v>
      </c>
      <c r="C6782" s="787" t="s">
        <v>2016</v>
      </c>
      <c r="D6782" s="787">
        <v>0</v>
      </c>
      <c r="E6782" s="787">
        <v>0</v>
      </c>
      <c r="H6782" s="787">
        <v>6</v>
      </c>
      <c r="J6782" s="788">
        <v>37642</v>
      </c>
      <c r="L6782" s="787">
        <v>0.19</v>
      </c>
      <c r="M6782" s="787">
        <v>10</v>
      </c>
      <c r="N6782" s="787">
        <v>0</v>
      </c>
      <c r="O6782" s="788">
        <v>41806</v>
      </c>
    </row>
    <row r="6783" spans="1:15" x14ac:dyDescent="0.25">
      <c r="A6783" s="786" t="s">
        <v>12120</v>
      </c>
      <c r="B6783" s="787">
        <v>4</v>
      </c>
      <c r="C6783" s="787" t="s">
        <v>12121</v>
      </c>
      <c r="D6783" s="787">
        <v>0.36</v>
      </c>
      <c r="E6783" s="787">
        <v>0.36</v>
      </c>
      <c r="F6783" s="788">
        <v>38698</v>
      </c>
      <c r="G6783" s="788">
        <v>40031</v>
      </c>
      <c r="H6783" s="787">
        <v>1</v>
      </c>
      <c r="I6783" s="788">
        <v>40032</v>
      </c>
      <c r="J6783" s="788">
        <v>40031</v>
      </c>
      <c r="L6783" s="787">
        <v>0.5</v>
      </c>
      <c r="M6783" s="787">
        <v>10</v>
      </c>
      <c r="N6783" s="787">
        <v>0.81</v>
      </c>
      <c r="O6783" s="788">
        <v>42162</v>
      </c>
    </row>
    <row r="6784" spans="1:15" x14ac:dyDescent="0.25">
      <c r="A6784" s="786" t="s">
        <v>12122</v>
      </c>
      <c r="B6784" s="787">
        <v>4</v>
      </c>
      <c r="C6784" s="787" t="s">
        <v>12123</v>
      </c>
      <c r="D6784" s="787">
        <v>0.68</v>
      </c>
      <c r="E6784" s="787">
        <v>0.68</v>
      </c>
      <c r="F6784" s="788">
        <v>38606</v>
      </c>
      <c r="G6784" s="788">
        <v>38204</v>
      </c>
      <c r="H6784" s="787">
        <v>1</v>
      </c>
      <c r="I6784" s="788">
        <v>38204</v>
      </c>
      <c r="J6784" s="788">
        <v>38204</v>
      </c>
      <c r="L6784" s="787">
        <v>0.92</v>
      </c>
      <c r="M6784" s="787">
        <v>10</v>
      </c>
      <c r="N6784" s="787">
        <v>1.75</v>
      </c>
      <c r="O6784" s="788">
        <v>42162</v>
      </c>
    </row>
    <row r="6785" spans="1:15" x14ac:dyDescent="0.25">
      <c r="A6785" s="786" t="s">
        <v>12124</v>
      </c>
      <c r="B6785" s="787">
        <v>4</v>
      </c>
      <c r="C6785" s="787" t="s">
        <v>12125</v>
      </c>
      <c r="D6785" s="787">
        <v>0.98</v>
      </c>
      <c r="E6785" s="787">
        <v>1.23</v>
      </c>
      <c r="F6785" s="788">
        <v>39989</v>
      </c>
      <c r="G6785" s="788">
        <v>42130</v>
      </c>
      <c r="H6785" s="787">
        <v>1</v>
      </c>
      <c r="I6785" s="788">
        <v>42158</v>
      </c>
      <c r="J6785" s="788">
        <v>42150</v>
      </c>
      <c r="K6785" s="788">
        <v>41502</v>
      </c>
      <c r="L6785" s="787">
        <v>1.23</v>
      </c>
      <c r="M6785" s="787">
        <v>20</v>
      </c>
      <c r="N6785" s="787">
        <v>1.59</v>
      </c>
      <c r="O6785" s="788">
        <v>42162</v>
      </c>
    </row>
    <row r="6786" spans="1:15" x14ac:dyDescent="0.25">
      <c r="A6786" s="786" t="s">
        <v>12126</v>
      </c>
      <c r="B6786" s="787">
        <v>4</v>
      </c>
      <c r="C6786" s="787" t="s">
        <v>12127</v>
      </c>
      <c r="D6786" s="787">
        <v>1.88</v>
      </c>
      <c r="E6786" s="787">
        <v>10.23</v>
      </c>
      <c r="F6786" s="788">
        <v>39456</v>
      </c>
      <c r="G6786" s="788">
        <v>41943</v>
      </c>
      <c r="H6786" s="787">
        <v>1</v>
      </c>
      <c r="I6786" s="788">
        <v>42086</v>
      </c>
      <c r="J6786" s="788">
        <v>41183</v>
      </c>
      <c r="L6786" s="787">
        <v>1.95</v>
      </c>
      <c r="M6786" s="787">
        <v>10</v>
      </c>
      <c r="N6786" s="787">
        <v>3.99</v>
      </c>
      <c r="O6786" s="788">
        <v>42087</v>
      </c>
    </row>
    <row r="6787" spans="1:15" x14ac:dyDescent="0.25">
      <c r="A6787" s="786" t="s">
        <v>12128</v>
      </c>
      <c r="B6787" s="787">
        <v>4</v>
      </c>
      <c r="C6787" s="787" t="s">
        <v>12129</v>
      </c>
      <c r="D6787" s="787">
        <v>2.41</v>
      </c>
      <c r="E6787" s="787">
        <v>9.5</v>
      </c>
      <c r="F6787" s="788">
        <v>39456</v>
      </c>
      <c r="G6787" s="788">
        <v>41943</v>
      </c>
      <c r="H6787" s="787">
        <v>1</v>
      </c>
      <c r="I6787" s="788">
        <v>42086</v>
      </c>
      <c r="J6787" s="788">
        <v>41183</v>
      </c>
      <c r="L6787" s="787">
        <v>2.46</v>
      </c>
      <c r="M6787" s="787">
        <v>10</v>
      </c>
      <c r="N6787" s="787">
        <v>4.32</v>
      </c>
      <c r="O6787" s="788">
        <v>42087</v>
      </c>
    </row>
    <row r="6788" spans="1:15" x14ac:dyDescent="0.25">
      <c r="A6788" s="786" t="s">
        <v>12130</v>
      </c>
      <c r="B6788" s="787">
        <v>4</v>
      </c>
      <c r="C6788" s="787" t="s">
        <v>12131</v>
      </c>
      <c r="D6788" s="787">
        <v>2.69</v>
      </c>
      <c r="E6788" s="787">
        <v>2.69</v>
      </c>
      <c r="F6788" s="788">
        <v>39101</v>
      </c>
      <c r="G6788" s="788">
        <v>39101</v>
      </c>
      <c r="H6788" s="787">
        <v>1</v>
      </c>
      <c r="I6788" s="788">
        <v>42165</v>
      </c>
      <c r="J6788" s="788">
        <v>42118</v>
      </c>
      <c r="L6788" s="787">
        <v>3.52</v>
      </c>
      <c r="M6788" s="787">
        <v>20</v>
      </c>
      <c r="N6788" s="787">
        <v>4.54</v>
      </c>
      <c r="O6788" s="788">
        <v>42162</v>
      </c>
    </row>
    <row r="6789" spans="1:15" x14ac:dyDescent="0.25">
      <c r="A6789" s="786" t="s">
        <v>12132</v>
      </c>
      <c r="B6789" s="787">
        <v>4</v>
      </c>
      <c r="C6789" s="787" t="s">
        <v>12133</v>
      </c>
      <c r="D6789" s="787">
        <v>3.25</v>
      </c>
      <c r="E6789" s="787">
        <v>3.25</v>
      </c>
      <c r="F6789" s="788">
        <v>38538</v>
      </c>
      <c r="G6789" s="788">
        <v>42013</v>
      </c>
      <c r="H6789" s="787">
        <v>1</v>
      </c>
      <c r="I6789" s="788">
        <v>41900</v>
      </c>
      <c r="J6789" s="788">
        <v>41842</v>
      </c>
      <c r="K6789" s="788">
        <v>41708</v>
      </c>
      <c r="L6789" s="787">
        <v>3.5</v>
      </c>
      <c r="M6789" s="787">
        <v>20</v>
      </c>
      <c r="N6789" s="787">
        <v>4.5199999999999996</v>
      </c>
      <c r="O6789" s="788">
        <v>42045</v>
      </c>
    </row>
    <row r="6790" spans="1:15" x14ac:dyDescent="0.25">
      <c r="A6790" s="786" t="s">
        <v>12134</v>
      </c>
      <c r="B6790" s="787">
        <v>4</v>
      </c>
      <c r="C6790" s="787" t="s">
        <v>12135</v>
      </c>
      <c r="D6790" s="787">
        <v>3.44</v>
      </c>
      <c r="E6790" s="787">
        <v>163.44</v>
      </c>
      <c r="F6790" s="788">
        <v>40319</v>
      </c>
      <c r="G6790" s="788">
        <v>41646</v>
      </c>
      <c r="H6790" s="787">
        <v>1</v>
      </c>
      <c r="I6790" s="788">
        <v>41593</v>
      </c>
      <c r="J6790" s="788">
        <v>40280</v>
      </c>
      <c r="K6790" s="788">
        <v>40238</v>
      </c>
      <c r="L6790" s="787">
        <v>160</v>
      </c>
      <c r="M6790" s="787">
        <v>20</v>
      </c>
      <c r="N6790" s="787">
        <v>172</v>
      </c>
      <c r="O6790" s="788">
        <v>41858</v>
      </c>
    </row>
    <row r="6791" spans="1:15" x14ac:dyDescent="0.25">
      <c r="A6791" s="786" t="s">
        <v>12136</v>
      </c>
      <c r="B6791" s="787">
        <v>4</v>
      </c>
      <c r="C6791" s="787" t="s">
        <v>12137</v>
      </c>
      <c r="D6791" s="787">
        <v>3.44</v>
      </c>
      <c r="E6791" s="787">
        <v>163.44</v>
      </c>
      <c r="F6791" s="788">
        <v>40319</v>
      </c>
      <c r="G6791" s="788">
        <v>41943</v>
      </c>
      <c r="H6791" s="787">
        <v>1</v>
      </c>
      <c r="I6791" s="788">
        <v>41593</v>
      </c>
      <c r="J6791" s="788">
        <v>40280</v>
      </c>
      <c r="K6791" s="788">
        <v>40238</v>
      </c>
      <c r="L6791" s="787">
        <v>160</v>
      </c>
      <c r="M6791" s="787">
        <v>20</v>
      </c>
      <c r="N6791" s="787">
        <v>172</v>
      </c>
      <c r="O6791" s="788">
        <v>41858</v>
      </c>
    </row>
    <row r="6792" spans="1:15" x14ac:dyDescent="0.25">
      <c r="A6792" s="786" t="s">
        <v>12138</v>
      </c>
      <c r="B6792" s="787">
        <v>4</v>
      </c>
      <c r="C6792" s="787" t="s">
        <v>12139</v>
      </c>
      <c r="D6792" s="787">
        <v>1.83</v>
      </c>
      <c r="E6792" s="787">
        <v>181.83</v>
      </c>
      <c r="F6792" s="788">
        <v>40319</v>
      </c>
      <c r="G6792" s="788">
        <v>42017</v>
      </c>
      <c r="H6792" s="787">
        <v>1</v>
      </c>
      <c r="I6792" s="788">
        <v>41136</v>
      </c>
      <c r="J6792" s="788">
        <v>40280</v>
      </c>
      <c r="K6792" s="788">
        <v>40238</v>
      </c>
      <c r="L6792" s="787">
        <v>178</v>
      </c>
      <c r="M6792" s="787">
        <v>20</v>
      </c>
      <c r="N6792" s="787">
        <v>191.35</v>
      </c>
      <c r="O6792" s="788">
        <v>41858</v>
      </c>
    </row>
    <row r="6793" spans="1:15" x14ac:dyDescent="0.25">
      <c r="A6793" s="786" t="s">
        <v>12140</v>
      </c>
      <c r="B6793" s="787">
        <v>4</v>
      </c>
      <c r="C6793" s="787" t="s">
        <v>12141</v>
      </c>
      <c r="D6793" s="787">
        <v>1.83</v>
      </c>
      <c r="E6793" s="787">
        <v>181.83</v>
      </c>
      <c r="F6793" s="788">
        <v>40319</v>
      </c>
      <c r="G6793" s="788">
        <v>41943</v>
      </c>
      <c r="H6793" s="787">
        <v>1</v>
      </c>
      <c r="I6793" s="788">
        <v>41515</v>
      </c>
      <c r="J6793" s="788">
        <v>40280</v>
      </c>
      <c r="K6793" s="788">
        <v>40238</v>
      </c>
      <c r="L6793" s="787">
        <v>178</v>
      </c>
      <c r="M6793" s="787">
        <v>20</v>
      </c>
      <c r="N6793" s="787">
        <v>191.35</v>
      </c>
      <c r="O6793" s="788">
        <v>41858</v>
      </c>
    </row>
    <row r="6794" spans="1:15" x14ac:dyDescent="0.25">
      <c r="A6794" s="786" t="s">
        <v>12142</v>
      </c>
      <c r="B6794" s="787">
        <v>4</v>
      </c>
      <c r="C6794" s="787" t="s">
        <v>12143</v>
      </c>
      <c r="D6794" s="787">
        <v>6.71</v>
      </c>
      <c r="E6794" s="787">
        <v>16.71</v>
      </c>
      <c r="F6794" s="788">
        <v>40332</v>
      </c>
      <c r="G6794" s="788">
        <v>42013</v>
      </c>
      <c r="H6794" s="787">
        <v>1</v>
      </c>
      <c r="I6794" s="788">
        <v>41593</v>
      </c>
      <c r="J6794" s="788">
        <v>40262</v>
      </c>
      <c r="L6794" s="787">
        <v>16.71</v>
      </c>
      <c r="M6794" s="787">
        <v>20</v>
      </c>
      <c r="N6794" s="787">
        <v>17.96</v>
      </c>
      <c r="O6794" s="788">
        <v>41858</v>
      </c>
    </row>
    <row r="6795" spans="1:15" x14ac:dyDescent="0.25">
      <c r="A6795" s="786" t="s">
        <v>12144</v>
      </c>
      <c r="B6795" s="787">
        <v>4</v>
      </c>
      <c r="C6795" s="787" t="s">
        <v>12145</v>
      </c>
      <c r="D6795" s="787">
        <v>1.58</v>
      </c>
      <c r="E6795" s="787">
        <v>11.58</v>
      </c>
      <c r="F6795" s="788">
        <v>42157</v>
      </c>
      <c r="G6795" s="788">
        <v>42158</v>
      </c>
      <c r="H6795" s="787">
        <v>1</v>
      </c>
      <c r="I6795" s="788">
        <v>41858</v>
      </c>
      <c r="J6795" s="788">
        <v>42156</v>
      </c>
      <c r="K6795" s="788">
        <v>41579</v>
      </c>
      <c r="L6795" s="787">
        <v>11.2</v>
      </c>
      <c r="M6795" s="787">
        <v>20</v>
      </c>
      <c r="N6795" s="787">
        <v>12.04</v>
      </c>
      <c r="O6795" s="788">
        <v>42144</v>
      </c>
    </row>
    <row r="6796" spans="1:15" x14ac:dyDescent="0.25">
      <c r="A6796" s="786" t="s">
        <v>12146</v>
      </c>
      <c r="B6796" s="787">
        <v>4</v>
      </c>
      <c r="C6796" s="787" t="s">
        <v>12147</v>
      </c>
      <c r="D6796" s="787">
        <v>8.6999999999999993</v>
      </c>
      <c r="E6796" s="787">
        <v>8.6999999999999993</v>
      </c>
      <c r="F6796" s="788">
        <v>41509</v>
      </c>
      <c r="G6796" s="788">
        <v>41646</v>
      </c>
      <c r="H6796" s="787">
        <v>1</v>
      </c>
      <c r="I6796" s="788">
        <v>41929</v>
      </c>
      <c r="J6796" s="788">
        <v>41507</v>
      </c>
      <c r="L6796" s="787">
        <v>8.6999999999999993</v>
      </c>
      <c r="M6796" s="787">
        <v>20</v>
      </c>
      <c r="N6796" s="787">
        <v>10.47</v>
      </c>
      <c r="O6796" s="788">
        <v>42162</v>
      </c>
    </row>
    <row r="6797" spans="1:15" x14ac:dyDescent="0.25">
      <c r="A6797" s="786" t="s">
        <v>12148</v>
      </c>
      <c r="B6797" s="787">
        <v>4</v>
      </c>
      <c r="C6797" s="787" t="s">
        <v>12149</v>
      </c>
      <c r="D6797" s="787">
        <v>2.58</v>
      </c>
      <c r="E6797" s="787">
        <v>2.58</v>
      </c>
      <c r="F6797" s="788">
        <v>41942</v>
      </c>
      <c r="G6797" s="788">
        <v>42013</v>
      </c>
      <c r="H6797" s="787">
        <v>1</v>
      </c>
      <c r="I6797" s="788">
        <v>41956</v>
      </c>
      <c r="J6797" s="788">
        <v>41940</v>
      </c>
      <c r="K6797" s="788">
        <v>41435</v>
      </c>
      <c r="L6797" s="787">
        <v>2.5299999999999998</v>
      </c>
      <c r="M6797" s="787">
        <v>20</v>
      </c>
      <c r="N6797" s="787">
        <v>3.05</v>
      </c>
      <c r="O6797" s="788">
        <v>42083</v>
      </c>
    </row>
    <row r="6798" spans="1:15" x14ac:dyDescent="0.25">
      <c r="A6798" s="786" t="s">
        <v>12150</v>
      </c>
      <c r="B6798" s="787">
        <v>4</v>
      </c>
      <c r="C6798" s="787" t="s">
        <v>12151</v>
      </c>
      <c r="D6798" s="787">
        <v>2.56</v>
      </c>
      <c r="E6798" s="787">
        <v>5.84</v>
      </c>
      <c r="F6798" s="788">
        <v>37287</v>
      </c>
      <c r="G6798" s="788">
        <v>42013</v>
      </c>
      <c r="H6798" s="787">
        <v>1</v>
      </c>
      <c r="I6798" s="788">
        <v>41578</v>
      </c>
      <c r="J6798" s="788">
        <v>41578</v>
      </c>
      <c r="K6798" s="788">
        <v>40805</v>
      </c>
      <c r="L6798" s="787">
        <v>7.11</v>
      </c>
      <c r="M6798" s="787">
        <v>20</v>
      </c>
      <c r="N6798" s="787">
        <v>8.56</v>
      </c>
      <c r="O6798" s="788">
        <v>42162</v>
      </c>
    </row>
    <row r="6799" spans="1:15" x14ac:dyDescent="0.25">
      <c r="A6799" s="786" t="s">
        <v>12152</v>
      </c>
      <c r="B6799" s="787">
        <v>4</v>
      </c>
      <c r="C6799" s="787" t="s">
        <v>12153</v>
      </c>
      <c r="D6799" s="787">
        <v>2.97</v>
      </c>
      <c r="E6799" s="787">
        <v>24.36</v>
      </c>
      <c r="F6799" s="788">
        <v>39101</v>
      </c>
      <c r="G6799" s="788">
        <v>41943</v>
      </c>
      <c r="H6799" s="787">
        <v>1</v>
      </c>
      <c r="I6799" s="788">
        <v>42086</v>
      </c>
      <c r="J6799" s="788">
        <v>41375</v>
      </c>
      <c r="K6799" s="788">
        <v>41864</v>
      </c>
      <c r="L6799" s="787">
        <v>26.5</v>
      </c>
      <c r="M6799" s="787">
        <v>20</v>
      </c>
      <c r="N6799" s="787">
        <v>31.91</v>
      </c>
      <c r="O6799" s="788">
        <v>42034</v>
      </c>
    </row>
    <row r="6800" spans="1:15" x14ac:dyDescent="0.25">
      <c r="A6800" s="786" t="s">
        <v>12154</v>
      </c>
      <c r="B6800" s="787">
        <v>4</v>
      </c>
      <c r="C6800" s="787" t="s">
        <v>12155</v>
      </c>
      <c r="D6800" s="787">
        <v>1.95</v>
      </c>
      <c r="E6800" s="787">
        <v>2.86</v>
      </c>
      <c r="F6800" s="788">
        <v>39400</v>
      </c>
      <c r="G6800" s="788">
        <v>42013</v>
      </c>
      <c r="H6800" s="787">
        <v>1</v>
      </c>
      <c r="I6800" s="788">
        <v>41913</v>
      </c>
      <c r="J6800" s="788">
        <v>41919</v>
      </c>
      <c r="K6800" s="788">
        <v>41871</v>
      </c>
      <c r="L6800" s="787">
        <v>2.92</v>
      </c>
      <c r="M6800" s="787">
        <v>20</v>
      </c>
      <c r="N6800" s="787">
        <v>3.52</v>
      </c>
      <c r="O6800" s="788">
        <v>42163</v>
      </c>
    </row>
    <row r="6801" spans="1:15" x14ac:dyDescent="0.25">
      <c r="A6801" s="786" t="s">
        <v>12156</v>
      </c>
      <c r="B6801" s="787">
        <v>4</v>
      </c>
      <c r="C6801" s="787" t="s">
        <v>12157</v>
      </c>
      <c r="D6801" s="787">
        <v>8.14</v>
      </c>
      <c r="E6801" s="787">
        <v>13.78</v>
      </c>
      <c r="F6801" s="788">
        <v>38485</v>
      </c>
      <c r="G6801" s="788">
        <v>40178</v>
      </c>
      <c r="H6801" s="787">
        <v>1</v>
      </c>
      <c r="I6801" s="788">
        <v>41221</v>
      </c>
      <c r="J6801" s="788">
        <v>39681</v>
      </c>
      <c r="L6801" s="787">
        <v>13.78</v>
      </c>
      <c r="M6801" s="787">
        <v>20</v>
      </c>
      <c r="N6801" s="787">
        <v>14.81</v>
      </c>
      <c r="O6801" s="788">
        <v>41858</v>
      </c>
    </row>
    <row r="6802" spans="1:15" x14ac:dyDescent="0.25">
      <c r="A6802" s="786" t="s">
        <v>12158</v>
      </c>
      <c r="B6802" s="787">
        <v>4</v>
      </c>
      <c r="C6802" s="787" t="s">
        <v>12159</v>
      </c>
      <c r="D6802" s="787">
        <v>4.9800000000000004</v>
      </c>
      <c r="E6802" s="787">
        <v>4.9800000000000004</v>
      </c>
      <c r="F6802" s="788">
        <v>38485</v>
      </c>
      <c r="G6802" s="788">
        <v>38485</v>
      </c>
      <c r="H6802" s="787">
        <v>1</v>
      </c>
      <c r="I6802" s="788">
        <v>38736</v>
      </c>
      <c r="J6802" s="788">
        <v>38485</v>
      </c>
      <c r="L6802" s="787">
        <v>4.9800000000000004</v>
      </c>
      <c r="M6802" s="787">
        <v>20</v>
      </c>
      <c r="N6802" s="787">
        <v>5.35</v>
      </c>
      <c r="O6802" s="788">
        <v>41858</v>
      </c>
    </row>
    <row r="6803" spans="1:15" x14ac:dyDescent="0.25">
      <c r="A6803" s="786" t="s">
        <v>12160</v>
      </c>
      <c r="B6803" s="787">
        <v>4</v>
      </c>
      <c r="C6803" s="787" t="s">
        <v>12161</v>
      </c>
      <c r="D6803" s="787">
        <v>4.7699999999999996</v>
      </c>
      <c r="E6803" s="787">
        <v>10.38</v>
      </c>
      <c r="F6803" s="788">
        <v>39975</v>
      </c>
      <c r="G6803" s="788">
        <v>42033</v>
      </c>
      <c r="H6803" s="787">
        <v>1</v>
      </c>
      <c r="I6803" s="788">
        <v>42076</v>
      </c>
      <c r="J6803" s="788">
        <v>42025</v>
      </c>
      <c r="L6803" s="787">
        <v>10.86</v>
      </c>
      <c r="M6803" s="787">
        <v>20</v>
      </c>
      <c r="N6803" s="787">
        <v>11.67</v>
      </c>
      <c r="O6803" s="788">
        <v>42087</v>
      </c>
    </row>
    <row r="6804" spans="1:15" x14ac:dyDescent="0.25">
      <c r="A6804" s="786" t="s">
        <v>12162</v>
      </c>
      <c r="B6804" s="787">
        <v>4</v>
      </c>
      <c r="C6804" s="787" t="s">
        <v>12078</v>
      </c>
      <c r="D6804" s="787">
        <v>0.46</v>
      </c>
      <c r="E6804" s="787">
        <v>0.65</v>
      </c>
      <c r="F6804" s="788">
        <v>40865</v>
      </c>
      <c r="G6804" s="788">
        <v>42159</v>
      </c>
      <c r="H6804" s="787">
        <v>1</v>
      </c>
      <c r="I6804" s="788">
        <v>42166</v>
      </c>
      <c r="J6804" s="788">
        <v>42153</v>
      </c>
      <c r="K6804" s="788">
        <v>41453</v>
      </c>
      <c r="L6804" s="787">
        <v>0.61</v>
      </c>
      <c r="M6804" s="787">
        <v>20</v>
      </c>
      <c r="N6804" s="787">
        <v>0.66</v>
      </c>
      <c r="O6804" s="788">
        <v>42164</v>
      </c>
    </row>
    <row r="6805" spans="1:15" x14ac:dyDescent="0.25">
      <c r="A6805" s="786" t="s">
        <v>12163</v>
      </c>
      <c r="B6805" s="787">
        <v>4</v>
      </c>
      <c r="C6805" s="787" t="s">
        <v>12164</v>
      </c>
      <c r="D6805" s="787">
        <v>2.7</v>
      </c>
      <c r="E6805" s="787">
        <v>4.1500000000000004</v>
      </c>
      <c r="F6805" s="788">
        <v>41582</v>
      </c>
      <c r="G6805" s="788">
        <v>42064</v>
      </c>
      <c r="H6805" s="787">
        <v>1</v>
      </c>
      <c r="I6805" s="788">
        <v>42136</v>
      </c>
      <c r="J6805" s="788">
        <v>42054</v>
      </c>
      <c r="K6805" s="788">
        <v>41851</v>
      </c>
      <c r="L6805" s="787">
        <v>3.93</v>
      </c>
      <c r="M6805" s="787">
        <v>20</v>
      </c>
      <c r="N6805" s="787">
        <v>4.7300000000000004</v>
      </c>
      <c r="O6805" s="788">
        <v>42136</v>
      </c>
    </row>
    <row r="6806" spans="1:15" x14ac:dyDescent="0.25">
      <c r="A6806" s="786" t="s">
        <v>12165</v>
      </c>
      <c r="B6806" s="787">
        <v>4</v>
      </c>
      <c r="C6806" s="787" t="s">
        <v>12166</v>
      </c>
      <c r="D6806" s="787">
        <v>5.33</v>
      </c>
      <c r="E6806" s="787">
        <v>6.82</v>
      </c>
      <c r="F6806" s="788">
        <v>41530</v>
      </c>
      <c r="G6806" s="788">
        <v>42156</v>
      </c>
      <c r="H6806" s="787">
        <v>1</v>
      </c>
      <c r="I6806" s="788">
        <v>42164</v>
      </c>
      <c r="J6806" s="788">
        <v>42128</v>
      </c>
      <c r="K6806" s="788">
        <v>40749</v>
      </c>
      <c r="L6806" s="787">
        <v>6.6</v>
      </c>
      <c r="M6806" s="787">
        <v>20</v>
      </c>
      <c r="N6806" s="787">
        <v>7.95</v>
      </c>
      <c r="O6806" s="788">
        <v>42152</v>
      </c>
    </row>
    <row r="6807" spans="1:15" x14ac:dyDescent="0.25">
      <c r="A6807" s="786" t="s">
        <v>12167</v>
      </c>
      <c r="B6807" s="787">
        <v>4</v>
      </c>
      <c r="C6807" s="787" t="s">
        <v>12168</v>
      </c>
      <c r="D6807" s="787">
        <v>2.04</v>
      </c>
      <c r="E6807" s="787">
        <v>2.04</v>
      </c>
      <c r="F6807" s="788">
        <v>41668</v>
      </c>
      <c r="G6807" s="788">
        <v>42013</v>
      </c>
      <c r="H6807" s="787">
        <v>1</v>
      </c>
      <c r="I6807" s="788">
        <v>42129</v>
      </c>
      <c r="J6807" s="788">
        <v>41667</v>
      </c>
      <c r="L6807" s="787">
        <v>2.04</v>
      </c>
      <c r="M6807" s="787">
        <v>20</v>
      </c>
      <c r="N6807" s="787">
        <v>2.46</v>
      </c>
      <c r="O6807" s="788">
        <v>42146</v>
      </c>
    </row>
    <row r="6808" spans="1:15" x14ac:dyDescent="0.25">
      <c r="A6808" s="786" t="s">
        <v>12169</v>
      </c>
      <c r="B6808" s="787">
        <v>4</v>
      </c>
      <c r="C6808" s="787" t="s">
        <v>12113</v>
      </c>
      <c r="D6808" s="787">
        <v>4.99</v>
      </c>
      <c r="E6808" s="787">
        <v>14.99</v>
      </c>
      <c r="F6808" s="788">
        <v>41439</v>
      </c>
      <c r="G6808" s="788">
        <v>42013</v>
      </c>
      <c r="H6808" s="787">
        <v>1</v>
      </c>
      <c r="I6808" s="788">
        <v>41451</v>
      </c>
      <c r="J6808" s="788">
        <v>41449</v>
      </c>
      <c r="K6808" s="788">
        <v>41436</v>
      </c>
      <c r="L6808" s="787">
        <v>12.71</v>
      </c>
      <c r="M6808" s="787">
        <v>20</v>
      </c>
      <c r="N6808" s="787">
        <v>15.3</v>
      </c>
      <c r="O6808" s="788">
        <v>41858</v>
      </c>
    </row>
    <row r="6809" spans="1:15" x14ac:dyDescent="0.25">
      <c r="A6809" s="786" t="s">
        <v>12170</v>
      </c>
      <c r="B6809" s="787">
        <v>4</v>
      </c>
      <c r="C6809" s="787" t="s">
        <v>12171</v>
      </c>
      <c r="D6809" s="787">
        <v>6.07</v>
      </c>
      <c r="E6809" s="787">
        <v>6.07</v>
      </c>
      <c r="F6809" s="788">
        <v>41967</v>
      </c>
      <c r="G6809" s="788">
        <v>42013</v>
      </c>
      <c r="H6809" s="787">
        <v>1</v>
      </c>
      <c r="I6809" s="788">
        <v>42047</v>
      </c>
      <c r="J6809" s="788">
        <v>42048</v>
      </c>
      <c r="K6809" s="788">
        <v>41857</v>
      </c>
      <c r="L6809" s="787">
        <v>13</v>
      </c>
      <c r="M6809" s="787">
        <v>20</v>
      </c>
      <c r="N6809" s="787">
        <v>15.65</v>
      </c>
      <c r="O6809" s="788">
        <v>41989</v>
      </c>
    </row>
    <row r="6810" spans="1:15" x14ac:dyDescent="0.25">
      <c r="A6810" s="786" t="s">
        <v>12172</v>
      </c>
      <c r="B6810" s="787">
        <v>4</v>
      </c>
      <c r="C6810" s="787" t="s">
        <v>12173</v>
      </c>
      <c r="D6810" s="787">
        <v>6.61</v>
      </c>
      <c r="E6810" s="787">
        <v>6.61</v>
      </c>
      <c r="F6810" s="788">
        <v>41579</v>
      </c>
      <c r="G6810" s="788">
        <v>42013</v>
      </c>
      <c r="H6810" s="787">
        <v>1</v>
      </c>
      <c r="I6810" s="788">
        <v>42073</v>
      </c>
      <c r="J6810" s="788">
        <v>41578</v>
      </c>
      <c r="K6810" s="788">
        <v>40981</v>
      </c>
      <c r="L6810" s="787">
        <v>5</v>
      </c>
      <c r="M6810" s="787">
        <v>20</v>
      </c>
      <c r="N6810" s="787">
        <v>6.02</v>
      </c>
      <c r="O6810" s="788">
        <v>41995</v>
      </c>
    </row>
    <row r="6811" spans="1:15" x14ac:dyDescent="0.25">
      <c r="A6811" s="786" t="s">
        <v>12174</v>
      </c>
      <c r="B6811" s="787">
        <v>4</v>
      </c>
      <c r="C6811" s="787" t="s">
        <v>12175</v>
      </c>
      <c r="D6811" s="787">
        <v>1.72</v>
      </c>
      <c r="E6811" s="787">
        <v>2.0499999999999998</v>
      </c>
      <c r="F6811" s="788">
        <v>41825</v>
      </c>
      <c r="G6811" s="788">
        <v>42033</v>
      </c>
      <c r="H6811" s="787">
        <v>1</v>
      </c>
      <c r="I6811" s="788">
        <v>42165</v>
      </c>
      <c r="J6811" s="788">
        <v>42026</v>
      </c>
      <c r="K6811" s="788">
        <v>41397</v>
      </c>
      <c r="L6811" s="787">
        <v>1.7</v>
      </c>
      <c r="M6811" s="787">
        <v>20</v>
      </c>
      <c r="N6811" s="787">
        <v>2.0499999999999998</v>
      </c>
      <c r="O6811" s="788">
        <v>42128</v>
      </c>
    </row>
    <row r="6812" spans="1:15" x14ac:dyDescent="0.25">
      <c r="A6812" s="786" t="s">
        <v>12176</v>
      </c>
      <c r="B6812" s="787">
        <v>4</v>
      </c>
      <c r="C6812" s="787" t="s">
        <v>12078</v>
      </c>
      <c r="D6812" s="787">
        <v>1.44</v>
      </c>
      <c r="E6812" s="787">
        <v>3.39</v>
      </c>
      <c r="F6812" s="788">
        <v>41372</v>
      </c>
      <c r="G6812" s="788">
        <v>42013</v>
      </c>
      <c r="H6812" s="787">
        <v>1</v>
      </c>
      <c r="I6812" s="788">
        <v>42076</v>
      </c>
      <c r="J6812" s="788">
        <v>41908</v>
      </c>
      <c r="K6812" s="788">
        <v>41361</v>
      </c>
      <c r="L6812" s="787">
        <v>1.42</v>
      </c>
      <c r="M6812" s="787">
        <v>20</v>
      </c>
      <c r="N6812" s="787">
        <v>1.71</v>
      </c>
      <c r="O6812" s="788">
        <v>42066</v>
      </c>
    </row>
    <row r="6813" spans="1:15" x14ac:dyDescent="0.25">
      <c r="A6813" s="786" t="s">
        <v>12177</v>
      </c>
      <c r="B6813" s="787">
        <v>4</v>
      </c>
      <c r="C6813" s="787" t="s">
        <v>12178</v>
      </c>
      <c r="D6813" s="787">
        <v>2.42</v>
      </c>
      <c r="E6813" s="787">
        <v>3.78</v>
      </c>
      <c r="F6813" s="788">
        <v>40644</v>
      </c>
      <c r="G6813" s="788">
        <v>42152</v>
      </c>
      <c r="H6813" s="787">
        <v>1</v>
      </c>
      <c r="I6813" s="788">
        <v>42086</v>
      </c>
      <c r="J6813" s="788">
        <v>42130</v>
      </c>
      <c r="L6813" s="787">
        <v>4.0999999999999996</v>
      </c>
      <c r="M6813" s="787">
        <v>10</v>
      </c>
      <c r="N6813" s="787">
        <v>3.72</v>
      </c>
      <c r="O6813" s="788">
        <v>42024</v>
      </c>
    </row>
    <row r="6814" spans="1:15" x14ac:dyDescent="0.25">
      <c r="A6814" s="786" t="s">
        <v>826</v>
      </c>
      <c r="B6814" s="787">
        <v>4</v>
      </c>
      <c r="C6814" s="787" t="s">
        <v>12179</v>
      </c>
      <c r="D6814" s="787">
        <v>0.56000000000000005</v>
      </c>
      <c r="E6814" s="787">
        <v>0.98</v>
      </c>
      <c r="F6814" s="788">
        <v>41369</v>
      </c>
      <c r="G6814" s="788">
        <v>42055</v>
      </c>
      <c r="H6814" s="787">
        <v>1</v>
      </c>
      <c r="I6814" s="788">
        <v>42166</v>
      </c>
      <c r="J6814" s="788">
        <v>42032</v>
      </c>
      <c r="L6814" s="787">
        <v>0.78</v>
      </c>
      <c r="M6814" s="787">
        <v>10</v>
      </c>
      <c r="N6814" s="787">
        <v>1.32</v>
      </c>
      <c r="O6814" s="788">
        <v>42087</v>
      </c>
    </row>
    <row r="6815" spans="1:15" x14ac:dyDescent="0.25">
      <c r="A6815" s="786" t="s">
        <v>12180</v>
      </c>
      <c r="B6815" s="787">
        <v>4</v>
      </c>
      <c r="C6815" s="787" t="s">
        <v>12181</v>
      </c>
      <c r="D6815" s="787">
        <v>0.79</v>
      </c>
      <c r="E6815" s="787">
        <v>0.79</v>
      </c>
      <c r="F6815" s="788">
        <v>37643</v>
      </c>
      <c r="G6815" s="788">
        <v>37643</v>
      </c>
      <c r="H6815" s="787">
        <v>1</v>
      </c>
      <c r="I6815" s="788">
        <v>37278</v>
      </c>
      <c r="J6815" s="788">
        <v>37643</v>
      </c>
      <c r="L6815" s="787">
        <v>0.32</v>
      </c>
      <c r="M6815" s="787">
        <v>10</v>
      </c>
      <c r="N6815" s="787">
        <v>0.76</v>
      </c>
      <c r="O6815" s="788">
        <v>41858</v>
      </c>
    </row>
    <row r="6816" spans="1:15" x14ac:dyDescent="0.25">
      <c r="A6816" s="786" t="s">
        <v>12182</v>
      </c>
      <c r="B6816" s="787">
        <v>4</v>
      </c>
      <c r="C6816" s="787" t="s">
        <v>12183</v>
      </c>
      <c r="D6816" s="787">
        <v>0</v>
      </c>
      <c r="E6816" s="787">
        <v>0</v>
      </c>
      <c r="H6816" s="787">
        <v>1</v>
      </c>
      <c r="J6816" s="788">
        <v>37643</v>
      </c>
      <c r="L6816" s="787">
        <v>0</v>
      </c>
      <c r="M6816" s="787">
        <v>10</v>
      </c>
      <c r="N6816" s="787">
        <v>0</v>
      </c>
      <c r="O6816" s="788">
        <v>41858</v>
      </c>
    </row>
    <row r="6817" spans="1:15" x14ac:dyDescent="0.25">
      <c r="A6817" s="786" t="s">
        <v>12184</v>
      </c>
      <c r="B6817" s="787">
        <v>4</v>
      </c>
      <c r="C6817" s="787" t="s">
        <v>12181</v>
      </c>
      <c r="D6817" s="787">
        <v>1.1399999999999999</v>
      </c>
      <c r="E6817" s="787">
        <v>1.1399999999999999</v>
      </c>
      <c r="F6817" s="788">
        <v>37643</v>
      </c>
      <c r="G6817" s="788">
        <v>37643</v>
      </c>
      <c r="H6817" s="787">
        <v>1</v>
      </c>
      <c r="J6817" s="788">
        <v>37643</v>
      </c>
      <c r="L6817" s="787">
        <v>0.56000000000000005</v>
      </c>
      <c r="M6817" s="787">
        <v>10</v>
      </c>
      <c r="N6817" s="787">
        <v>0.98</v>
      </c>
      <c r="O6817" s="788">
        <v>41858</v>
      </c>
    </row>
    <row r="6818" spans="1:15" x14ac:dyDescent="0.25">
      <c r="A6818" s="786" t="s">
        <v>12185</v>
      </c>
      <c r="B6818" s="787">
        <v>4</v>
      </c>
      <c r="C6818" s="787" t="s">
        <v>12186</v>
      </c>
      <c r="D6818" s="787">
        <v>0.34</v>
      </c>
      <c r="E6818" s="787">
        <v>0.43</v>
      </c>
      <c r="F6818" s="788">
        <v>41135</v>
      </c>
      <c r="G6818" s="788">
        <v>42013</v>
      </c>
      <c r="H6818" s="787">
        <v>1</v>
      </c>
      <c r="I6818" s="788">
        <v>42163</v>
      </c>
      <c r="J6818" s="788">
        <v>41871</v>
      </c>
      <c r="L6818" s="787">
        <v>0.78</v>
      </c>
      <c r="M6818" s="787">
        <v>10</v>
      </c>
      <c r="N6818" s="787">
        <v>1.24</v>
      </c>
      <c r="O6818" s="788">
        <v>42087</v>
      </c>
    </row>
    <row r="6819" spans="1:15" x14ac:dyDescent="0.25">
      <c r="A6819" s="786" t="s">
        <v>12187</v>
      </c>
      <c r="B6819" s="787">
        <v>4</v>
      </c>
      <c r="C6819" s="787" t="s">
        <v>12188</v>
      </c>
      <c r="D6819" s="787">
        <v>0.24</v>
      </c>
      <c r="E6819" s="787">
        <v>1.53</v>
      </c>
      <c r="F6819" s="788">
        <v>41775</v>
      </c>
      <c r="G6819" s="788">
        <v>42074</v>
      </c>
      <c r="H6819" s="787">
        <v>1</v>
      </c>
      <c r="I6819" s="788">
        <v>42163</v>
      </c>
      <c r="J6819" s="788">
        <v>42046</v>
      </c>
      <c r="L6819" s="787">
        <v>1</v>
      </c>
      <c r="M6819" s="787">
        <v>10</v>
      </c>
      <c r="N6819" s="787">
        <v>2.06</v>
      </c>
      <c r="O6819" s="788">
        <v>42130</v>
      </c>
    </row>
    <row r="6820" spans="1:15" x14ac:dyDescent="0.25">
      <c r="A6820" s="786" t="s">
        <v>12189</v>
      </c>
      <c r="B6820" s="787">
        <v>4</v>
      </c>
      <c r="C6820" s="787" t="s">
        <v>12190</v>
      </c>
      <c r="D6820" s="787">
        <v>6.54</v>
      </c>
      <c r="E6820" s="787">
        <v>6.54</v>
      </c>
      <c r="F6820" s="788">
        <v>39101</v>
      </c>
      <c r="G6820" s="788">
        <v>39101</v>
      </c>
      <c r="H6820" s="787">
        <v>1</v>
      </c>
      <c r="I6820" s="788">
        <v>40701</v>
      </c>
      <c r="J6820" s="788">
        <v>39101</v>
      </c>
      <c r="L6820" s="787">
        <v>8.5500000000000007</v>
      </c>
      <c r="M6820" s="787">
        <v>20</v>
      </c>
      <c r="N6820" s="787">
        <v>11.03</v>
      </c>
      <c r="O6820" s="788">
        <v>41858</v>
      </c>
    </row>
    <row r="6821" spans="1:15" x14ac:dyDescent="0.25">
      <c r="A6821" s="786" t="s">
        <v>12191</v>
      </c>
      <c r="B6821" s="787">
        <v>4</v>
      </c>
      <c r="C6821" s="787" t="s">
        <v>12192</v>
      </c>
      <c r="D6821" s="787">
        <v>6.08</v>
      </c>
      <c r="E6821" s="787">
        <v>6.08</v>
      </c>
      <c r="F6821" s="788">
        <v>39101</v>
      </c>
      <c r="G6821" s="788">
        <v>39101</v>
      </c>
      <c r="H6821" s="787">
        <v>1</v>
      </c>
      <c r="I6821" s="788">
        <v>41045</v>
      </c>
      <c r="J6821" s="788">
        <v>39101</v>
      </c>
      <c r="L6821" s="787">
        <v>10.5</v>
      </c>
      <c r="M6821" s="787">
        <v>10</v>
      </c>
      <c r="N6821" s="787">
        <v>10.71</v>
      </c>
      <c r="O6821" s="788">
        <v>41858</v>
      </c>
    </row>
    <row r="6822" spans="1:15" x14ac:dyDescent="0.25">
      <c r="A6822" s="786" t="s">
        <v>12193</v>
      </c>
      <c r="B6822" s="787">
        <v>4</v>
      </c>
      <c r="C6822" s="787" t="s">
        <v>12194</v>
      </c>
      <c r="D6822" s="787">
        <v>0.56999999999999995</v>
      </c>
      <c r="E6822" s="787">
        <v>1.03</v>
      </c>
      <c r="F6822" s="788">
        <v>37643</v>
      </c>
      <c r="G6822" s="788">
        <v>42107</v>
      </c>
      <c r="H6822" s="787">
        <v>1</v>
      </c>
      <c r="I6822" s="788">
        <v>42121</v>
      </c>
      <c r="J6822" s="788">
        <v>42079</v>
      </c>
      <c r="K6822" s="788">
        <v>41586</v>
      </c>
      <c r="L6822" s="787">
        <v>1.44</v>
      </c>
      <c r="M6822" s="787">
        <v>10</v>
      </c>
      <c r="N6822" s="787">
        <v>1.45</v>
      </c>
      <c r="O6822" s="788">
        <v>42087</v>
      </c>
    </row>
    <row r="6823" spans="1:15" x14ac:dyDescent="0.25">
      <c r="A6823" s="786" t="s">
        <v>12195</v>
      </c>
      <c r="B6823" s="787">
        <v>4</v>
      </c>
      <c r="C6823" s="787" t="s">
        <v>12196</v>
      </c>
      <c r="D6823" s="787">
        <v>1.2</v>
      </c>
      <c r="E6823" s="787">
        <v>1.23</v>
      </c>
      <c r="F6823" s="788">
        <v>39101</v>
      </c>
      <c r="G6823" s="788">
        <v>39101</v>
      </c>
      <c r="H6823" s="787">
        <v>1</v>
      </c>
      <c r="I6823" s="788">
        <v>40032</v>
      </c>
      <c r="J6823" s="788">
        <v>39101</v>
      </c>
      <c r="L6823" s="787">
        <v>13.1</v>
      </c>
      <c r="M6823" s="787">
        <v>10</v>
      </c>
      <c r="N6823" s="787">
        <v>20.49</v>
      </c>
      <c r="O6823" s="788">
        <v>42127</v>
      </c>
    </row>
    <row r="6824" spans="1:15" x14ac:dyDescent="0.25">
      <c r="A6824" s="786" t="s">
        <v>12197</v>
      </c>
      <c r="B6824" s="787">
        <v>4</v>
      </c>
      <c r="C6824" s="787" t="s">
        <v>12198</v>
      </c>
      <c r="D6824" s="787">
        <v>4.1399999999999997</v>
      </c>
      <c r="E6824" s="787">
        <v>4.57</v>
      </c>
      <c r="F6824" s="788">
        <v>40493</v>
      </c>
      <c r="G6824" s="788">
        <v>41943</v>
      </c>
      <c r="H6824" s="787">
        <v>1</v>
      </c>
      <c r="I6824" s="788">
        <v>41627</v>
      </c>
      <c r="J6824" s="788">
        <v>41375</v>
      </c>
      <c r="L6824" s="787">
        <v>3.35</v>
      </c>
      <c r="M6824" s="787">
        <v>10</v>
      </c>
      <c r="N6824" s="787">
        <v>4.5599999999999996</v>
      </c>
      <c r="O6824" s="788">
        <v>42162</v>
      </c>
    </row>
    <row r="6825" spans="1:15" x14ac:dyDescent="0.25">
      <c r="A6825" s="786" t="s">
        <v>12199</v>
      </c>
      <c r="B6825" s="787">
        <v>4</v>
      </c>
      <c r="C6825" s="787" t="s">
        <v>12200</v>
      </c>
      <c r="D6825" s="787">
        <v>2.29</v>
      </c>
      <c r="E6825" s="787">
        <v>6.37</v>
      </c>
      <c r="F6825" s="788">
        <v>40827</v>
      </c>
      <c r="G6825" s="788">
        <v>42065</v>
      </c>
      <c r="H6825" s="787">
        <v>1</v>
      </c>
      <c r="I6825" s="788">
        <v>42163</v>
      </c>
      <c r="J6825" s="788">
        <v>42037</v>
      </c>
      <c r="L6825" s="787">
        <v>4.99</v>
      </c>
      <c r="M6825" s="787">
        <v>10</v>
      </c>
      <c r="N6825" s="787">
        <v>6.37</v>
      </c>
      <c r="O6825" s="788">
        <v>42122</v>
      </c>
    </row>
    <row r="6826" spans="1:15" x14ac:dyDescent="0.25">
      <c r="A6826" s="786" t="s">
        <v>12201</v>
      </c>
      <c r="B6826" s="787">
        <v>4</v>
      </c>
      <c r="C6826" s="787" t="s">
        <v>12202</v>
      </c>
      <c r="D6826" s="787">
        <v>9.4</v>
      </c>
      <c r="E6826" s="787">
        <v>12.03</v>
      </c>
      <c r="F6826" s="788">
        <v>39101</v>
      </c>
      <c r="G6826" s="788">
        <v>42093</v>
      </c>
      <c r="H6826" s="787">
        <v>1</v>
      </c>
      <c r="I6826" s="788">
        <v>41691</v>
      </c>
      <c r="J6826" s="788">
        <v>42061</v>
      </c>
      <c r="L6826" s="787">
        <v>9.64</v>
      </c>
      <c r="M6826" s="787">
        <v>10</v>
      </c>
      <c r="N6826" s="787">
        <v>10.94</v>
      </c>
      <c r="O6826" s="788">
        <v>42122</v>
      </c>
    </row>
    <row r="6827" spans="1:15" x14ac:dyDescent="0.25">
      <c r="A6827" s="786" t="s">
        <v>12203</v>
      </c>
      <c r="B6827" s="787">
        <v>4</v>
      </c>
      <c r="C6827" s="787" t="s">
        <v>12204</v>
      </c>
      <c r="D6827" s="787">
        <v>1.07</v>
      </c>
      <c r="E6827" s="787">
        <v>1.07</v>
      </c>
      <c r="F6827" s="788">
        <v>39101</v>
      </c>
      <c r="G6827" s="788">
        <v>41862</v>
      </c>
      <c r="H6827" s="787">
        <v>1</v>
      </c>
      <c r="I6827" s="788">
        <v>42074</v>
      </c>
      <c r="J6827" s="788">
        <v>41949</v>
      </c>
      <c r="L6827" s="787">
        <v>7.43</v>
      </c>
      <c r="M6827" s="787">
        <v>10</v>
      </c>
      <c r="N6827" s="787">
        <v>7.7</v>
      </c>
      <c r="O6827" s="788">
        <v>42162</v>
      </c>
    </row>
    <row r="6828" spans="1:15" x14ac:dyDescent="0.25">
      <c r="A6828" s="786" t="s">
        <v>12205</v>
      </c>
      <c r="B6828" s="787">
        <v>4</v>
      </c>
      <c r="C6828" s="787" t="s">
        <v>12206</v>
      </c>
      <c r="D6828" s="787">
        <v>3.89</v>
      </c>
      <c r="E6828" s="787">
        <v>4.29</v>
      </c>
      <c r="F6828" s="788">
        <v>38712</v>
      </c>
      <c r="G6828" s="788">
        <v>40032</v>
      </c>
      <c r="H6828" s="787">
        <v>1</v>
      </c>
      <c r="I6828" s="788">
        <v>40032</v>
      </c>
      <c r="J6828" s="788">
        <v>40032</v>
      </c>
      <c r="L6828" s="787">
        <v>4.87</v>
      </c>
      <c r="M6828" s="787">
        <v>10</v>
      </c>
      <c r="N6828" s="787">
        <v>6.07</v>
      </c>
      <c r="O6828" s="788">
        <v>42162</v>
      </c>
    </row>
    <row r="6829" spans="1:15" x14ac:dyDescent="0.25">
      <c r="A6829" s="786" t="s">
        <v>12207</v>
      </c>
      <c r="B6829" s="787">
        <v>4</v>
      </c>
      <c r="C6829" s="787" t="s">
        <v>12208</v>
      </c>
      <c r="D6829" s="787">
        <v>5.27</v>
      </c>
      <c r="E6829" s="787">
        <v>13.08</v>
      </c>
      <c r="F6829" s="788">
        <v>38047</v>
      </c>
      <c r="G6829" s="788">
        <v>41134</v>
      </c>
      <c r="H6829" s="787">
        <v>1</v>
      </c>
      <c r="I6829" s="788">
        <v>40239</v>
      </c>
      <c r="J6829" s="788">
        <v>40998</v>
      </c>
      <c r="L6829" s="787">
        <v>6.19</v>
      </c>
      <c r="M6829" s="787">
        <v>10</v>
      </c>
      <c r="N6829" s="787">
        <v>8.8000000000000007</v>
      </c>
      <c r="O6829" s="788">
        <v>42162</v>
      </c>
    </row>
    <row r="6830" spans="1:15" x14ac:dyDescent="0.25">
      <c r="A6830" s="786" t="s">
        <v>12209</v>
      </c>
      <c r="B6830" s="787">
        <v>4</v>
      </c>
      <c r="C6830" s="787" t="s">
        <v>12210</v>
      </c>
      <c r="D6830" s="787">
        <v>0</v>
      </c>
      <c r="E6830" s="787">
        <v>0</v>
      </c>
      <c r="H6830" s="787">
        <v>1</v>
      </c>
      <c r="J6830" s="788">
        <v>37643</v>
      </c>
      <c r="L6830" s="787">
        <v>0.85</v>
      </c>
      <c r="M6830" s="787">
        <v>10</v>
      </c>
      <c r="N6830" s="787">
        <v>0</v>
      </c>
      <c r="O6830" s="788">
        <v>41858</v>
      </c>
    </row>
    <row r="6831" spans="1:15" x14ac:dyDescent="0.25">
      <c r="A6831" s="786" t="s">
        <v>12211</v>
      </c>
      <c r="B6831" s="787">
        <v>4</v>
      </c>
      <c r="C6831" s="787" t="s">
        <v>12212</v>
      </c>
      <c r="D6831" s="787">
        <v>0</v>
      </c>
      <c r="E6831" s="787">
        <v>0</v>
      </c>
      <c r="H6831" s="787">
        <v>1</v>
      </c>
      <c r="J6831" s="788">
        <v>37643</v>
      </c>
      <c r="L6831" s="787">
        <v>0</v>
      </c>
      <c r="M6831" s="787">
        <v>20</v>
      </c>
      <c r="N6831" s="787">
        <v>0</v>
      </c>
      <c r="O6831" s="788">
        <v>40824</v>
      </c>
    </row>
    <row r="6832" spans="1:15" x14ac:dyDescent="0.25">
      <c r="A6832" s="786" t="s">
        <v>12213</v>
      </c>
      <c r="B6832" s="787">
        <v>4</v>
      </c>
      <c r="C6832" s="787" t="s">
        <v>12214</v>
      </c>
      <c r="D6832" s="787">
        <v>0.28999999999999998</v>
      </c>
      <c r="E6832" s="787">
        <v>5.2</v>
      </c>
      <c r="F6832" s="788">
        <v>39456</v>
      </c>
      <c r="G6832" s="788">
        <v>42158</v>
      </c>
      <c r="H6832" s="787">
        <v>1</v>
      </c>
      <c r="I6832" s="788">
        <v>42142</v>
      </c>
      <c r="J6832" s="788">
        <v>42129</v>
      </c>
      <c r="K6832" s="788">
        <v>41912</v>
      </c>
      <c r="L6832" s="787">
        <v>3.36</v>
      </c>
      <c r="M6832" s="787">
        <v>10</v>
      </c>
      <c r="N6832" s="787">
        <v>3.45</v>
      </c>
      <c r="O6832" s="788">
        <v>42164</v>
      </c>
    </row>
    <row r="6833" spans="1:15" x14ac:dyDescent="0.25">
      <c r="A6833" s="786" t="s">
        <v>12213</v>
      </c>
      <c r="B6833" s="787" t="s">
        <v>2333</v>
      </c>
      <c r="C6833" s="787" t="s">
        <v>12215</v>
      </c>
      <c r="D6833" s="787">
        <v>1.59</v>
      </c>
      <c r="E6833" s="787">
        <v>1.59</v>
      </c>
      <c r="F6833" s="788">
        <v>38047</v>
      </c>
      <c r="G6833" s="788">
        <v>38047</v>
      </c>
      <c r="H6833" s="787">
        <v>6</v>
      </c>
      <c r="J6833" s="788">
        <v>38047</v>
      </c>
      <c r="L6833" s="787">
        <v>1.07</v>
      </c>
      <c r="M6833" s="787">
        <v>10</v>
      </c>
      <c r="N6833" s="787">
        <v>1.37</v>
      </c>
      <c r="O6833" s="788">
        <v>41815</v>
      </c>
    </row>
    <row r="6834" spans="1:15" x14ac:dyDescent="0.25">
      <c r="A6834" s="786" t="s">
        <v>12216</v>
      </c>
      <c r="B6834" s="787">
        <v>4</v>
      </c>
      <c r="C6834" s="787" t="s">
        <v>12217</v>
      </c>
      <c r="D6834" s="787">
        <v>2.38</v>
      </c>
      <c r="E6834" s="787">
        <v>2.38</v>
      </c>
      <c r="F6834" s="788">
        <v>37643</v>
      </c>
      <c r="G6834" s="788">
        <v>37643</v>
      </c>
      <c r="H6834" s="787">
        <v>1</v>
      </c>
      <c r="I6834" s="788">
        <v>37817</v>
      </c>
      <c r="J6834" s="788">
        <v>37643</v>
      </c>
      <c r="L6834" s="787">
        <v>6.19</v>
      </c>
      <c r="M6834" s="787">
        <v>10</v>
      </c>
      <c r="N6834" s="787">
        <v>7.31</v>
      </c>
      <c r="O6834" s="788">
        <v>41858</v>
      </c>
    </row>
    <row r="6835" spans="1:15" x14ac:dyDescent="0.25">
      <c r="A6835" s="786" t="s">
        <v>12218</v>
      </c>
      <c r="B6835" s="787">
        <v>4</v>
      </c>
      <c r="C6835" s="787" t="s">
        <v>12219</v>
      </c>
      <c r="D6835" s="787">
        <v>1.57</v>
      </c>
      <c r="E6835" s="787">
        <v>5.01</v>
      </c>
      <c r="F6835" s="788">
        <v>39456</v>
      </c>
      <c r="G6835" s="788">
        <v>41943</v>
      </c>
      <c r="H6835" s="787">
        <v>1</v>
      </c>
      <c r="I6835" s="788">
        <v>41537</v>
      </c>
      <c r="J6835" s="788">
        <v>41359</v>
      </c>
      <c r="L6835" s="787">
        <v>2.64</v>
      </c>
      <c r="M6835" s="787">
        <v>10</v>
      </c>
      <c r="N6835" s="787">
        <v>3.42</v>
      </c>
      <c r="O6835" s="788">
        <v>42087</v>
      </c>
    </row>
    <row r="6836" spans="1:15" x14ac:dyDescent="0.25">
      <c r="A6836" s="786" t="s">
        <v>12220</v>
      </c>
      <c r="B6836" s="787">
        <v>4</v>
      </c>
      <c r="C6836" s="787" t="s">
        <v>12221</v>
      </c>
      <c r="D6836" s="787">
        <v>1.53</v>
      </c>
      <c r="E6836" s="787">
        <v>1.53</v>
      </c>
      <c r="F6836" s="788">
        <v>39101</v>
      </c>
      <c r="G6836" s="788">
        <v>41943</v>
      </c>
      <c r="H6836" s="787">
        <v>1</v>
      </c>
      <c r="I6836" s="788">
        <v>39134</v>
      </c>
      <c r="J6836" s="788">
        <v>39149</v>
      </c>
      <c r="L6836" s="787">
        <v>1.1299999999999999</v>
      </c>
      <c r="M6836" s="787">
        <v>10</v>
      </c>
      <c r="N6836" s="787">
        <v>1.86</v>
      </c>
      <c r="O6836" s="788">
        <v>41858</v>
      </c>
    </row>
    <row r="6837" spans="1:15" x14ac:dyDescent="0.25">
      <c r="A6837" s="786" t="s">
        <v>12222</v>
      </c>
      <c r="B6837" s="787">
        <v>4</v>
      </c>
      <c r="C6837" s="787" t="s">
        <v>12223</v>
      </c>
      <c r="D6837" s="787">
        <v>1.53</v>
      </c>
      <c r="E6837" s="787">
        <v>1.53</v>
      </c>
      <c r="F6837" s="788">
        <v>39101</v>
      </c>
      <c r="G6837" s="788">
        <v>41943</v>
      </c>
      <c r="H6837" s="787">
        <v>1</v>
      </c>
      <c r="I6837" s="788">
        <v>39134</v>
      </c>
      <c r="J6837" s="788">
        <v>39149</v>
      </c>
      <c r="L6837" s="787">
        <v>1.29</v>
      </c>
      <c r="M6837" s="787">
        <v>10</v>
      </c>
      <c r="N6837" s="787">
        <v>1.96</v>
      </c>
      <c r="O6837" s="788">
        <v>41858</v>
      </c>
    </row>
    <row r="6838" spans="1:15" x14ac:dyDescent="0.25">
      <c r="A6838" s="786" t="s">
        <v>12224</v>
      </c>
      <c r="B6838" s="787">
        <v>4</v>
      </c>
      <c r="C6838" s="787" t="s">
        <v>12194</v>
      </c>
      <c r="D6838" s="787">
        <v>0.48</v>
      </c>
      <c r="E6838" s="787">
        <v>0.48</v>
      </c>
      <c r="F6838" s="788">
        <v>37643</v>
      </c>
      <c r="G6838" s="788">
        <v>37643</v>
      </c>
      <c r="H6838" s="787">
        <v>6</v>
      </c>
      <c r="I6838" s="788">
        <v>41190</v>
      </c>
      <c r="J6838" s="788">
        <v>37643</v>
      </c>
      <c r="K6838" s="788">
        <v>41627</v>
      </c>
      <c r="L6838" s="787">
        <v>1.07</v>
      </c>
      <c r="M6838" s="787">
        <v>10</v>
      </c>
      <c r="N6838" s="787">
        <v>1.05</v>
      </c>
      <c r="O6838" s="788">
        <v>41806</v>
      </c>
    </row>
    <row r="6839" spans="1:15" x14ac:dyDescent="0.25">
      <c r="A6839" s="786" t="s">
        <v>12225</v>
      </c>
      <c r="B6839" s="787">
        <v>4</v>
      </c>
      <c r="C6839" s="787" t="s">
        <v>12226</v>
      </c>
      <c r="D6839" s="787">
        <v>0.76</v>
      </c>
      <c r="E6839" s="787">
        <v>0.76</v>
      </c>
      <c r="F6839" s="788">
        <v>39101</v>
      </c>
      <c r="G6839" s="788">
        <v>41943</v>
      </c>
      <c r="H6839" s="787">
        <v>1</v>
      </c>
      <c r="I6839" s="788">
        <v>39134</v>
      </c>
      <c r="J6839" s="788">
        <v>39149</v>
      </c>
      <c r="L6839" s="787">
        <v>1.52</v>
      </c>
      <c r="M6839" s="787">
        <v>10</v>
      </c>
      <c r="N6839" s="787">
        <v>3.23</v>
      </c>
      <c r="O6839" s="788">
        <v>41858</v>
      </c>
    </row>
    <row r="6840" spans="1:15" x14ac:dyDescent="0.25">
      <c r="A6840" s="786" t="s">
        <v>12227</v>
      </c>
      <c r="B6840" s="787">
        <v>4</v>
      </c>
      <c r="C6840" s="787" t="s">
        <v>12228</v>
      </c>
      <c r="D6840" s="787">
        <v>0.1</v>
      </c>
      <c r="E6840" s="787">
        <v>0.72</v>
      </c>
      <c r="F6840" s="788">
        <v>39456</v>
      </c>
      <c r="G6840" s="788">
        <v>41943</v>
      </c>
      <c r="H6840" s="787">
        <v>1</v>
      </c>
      <c r="I6840" s="788">
        <v>41542</v>
      </c>
      <c r="J6840" s="788">
        <v>41192</v>
      </c>
      <c r="L6840" s="787">
        <v>0.36</v>
      </c>
      <c r="M6840" s="787">
        <v>10</v>
      </c>
      <c r="N6840" s="787">
        <v>0.92</v>
      </c>
      <c r="O6840" s="788">
        <v>42087</v>
      </c>
    </row>
    <row r="6841" spans="1:15" x14ac:dyDescent="0.25">
      <c r="A6841" s="786" t="s">
        <v>12229</v>
      </c>
      <c r="B6841" s="787">
        <v>4</v>
      </c>
      <c r="C6841" s="787" t="s">
        <v>12230</v>
      </c>
      <c r="D6841" s="787">
        <v>0.48</v>
      </c>
      <c r="E6841" s="787">
        <v>0.48</v>
      </c>
      <c r="F6841" s="788">
        <v>39101</v>
      </c>
      <c r="G6841" s="788">
        <v>41943</v>
      </c>
      <c r="H6841" s="787">
        <v>1</v>
      </c>
      <c r="I6841" s="788">
        <v>39745</v>
      </c>
      <c r="J6841" s="788">
        <v>40007</v>
      </c>
      <c r="L6841" s="787">
        <v>0.56999999999999995</v>
      </c>
      <c r="M6841" s="787">
        <v>10</v>
      </c>
      <c r="N6841" s="787">
        <v>0.79</v>
      </c>
      <c r="O6841" s="788">
        <v>41858</v>
      </c>
    </row>
    <row r="6842" spans="1:15" x14ac:dyDescent="0.25">
      <c r="A6842" s="786" t="s">
        <v>12231</v>
      </c>
      <c r="B6842" s="787">
        <v>4</v>
      </c>
      <c r="C6842" s="787" t="s">
        <v>12232</v>
      </c>
      <c r="D6842" s="787">
        <v>0.48</v>
      </c>
      <c r="E6842" s="787">
        <v>0.49</v>
      </c>
      <c r="F6842" s="788">
        <v>37643</v>
      </c>
      <c r="G6842" s="788">
        <v>39975</v>
      </c>
      <c r="H6842" s="787">
        <v>1</v>
      </c>
      <c r="I6842" s="788">
        <v>40470</v>
      </c>
      <c r="J6842" s="788">
        <v>37643</v>
      </c>
      <c r="L6842" s="787">
        <v>0.28000000000000003</v>
      </c>
      <c r="M6842" s="787">
        <v>10</v>
      </c>
      <c r="N6842" s="787">
        <v>0.49</v>
      </c>
      <c r="O6842" s="788">
        <v>41858</v>
      </c>
    </row>
    <row r="6843" spans="1:15" x14ac:dyDescent="0.25">
      <c r="A6843" s="786" t="s">
        <v>12233</v>
      </c>
      <c r="B6843" s="787">
        <v>4</v>
      </c>
      <c r="C6843" s="787" t="s">
        <v>12234</v>
      </c>
      <c r="D6843" s="787">
        <v>0.64</v>
      </c>
      <c r="E6843" s="787">
        <v>2.13</v>
      </c>
      <c r="F6843" s="788">
        <v>39456</v>
      </c>
      <c r="G6843" s="788">
        <v>41943</v>
      </c>
      <c r="H6843" s="787">
        <v>1</v>
      </c>
      <c r="I6843" s="788">
        <v>39134</v>
      </c>
      <c r="J6843" s="788">
        <v>39149</v>
      </c>
      <c r="L6843" s="787">
        <v>0.19</v>
      </c>
      <c r="M6843" s="787">
        <v>10</v>
      </c>
      <c r="N6843" s="787">
        <v>0.68</v>
      </c>
      <c r="O6843" s="788">
        <v>42087</v>
      </c>
    </row>
    <row r="6844" spans="1:15" x14ac:dyDescent="0.25">
      <c r="A6844" s="786" t="s">
        <v>12235</v>
      </c>
      <c r="B6844" s="787">
        <v>4</v>
      </c>
      <c r="C6844" s="787" t="s">
        <v>12236</v>
      </c>
      <c r="D6844" s="787">
        <v>0.46</v>
      </c>
      <c r="E6844" s="787">
        <v>0.46</v>
      </c>
      <c r="F6844" s="788">
        <v>39101</v>
      </c>
      <c r="G6844" s="788">
        <v>41943</v>
      </c>
      <c r="H6844" s="787">
        <v>1</v>
      </c>
      <c r="I6844" s="788">
        <v>39134</v>
      </c>
      <c r="J6844" s="788">
        <v>39149</v>
      </c>
      <c r="L6844" s="787">
        <v>0.56999999999999995</v>
      </c>
      <c r="M6844" s="787">
        <v>10</v>
      </c>
      <c r="N6844" s="787">
        <v>0.82</v>
      </c>
      <c r="O6844" s="788">
        <v>42030</v>
      </c>
    </row>
    <row r="6845" spans="1:15" x14ac:dyDescent="0.25">
      <c r="A6845" s="786" t="s">
        <v>12237</v>
      </c>
      <c r="B6845" s="787">
        <v>4</v>
      </c>
      <c r="C6845" s="787" t="s">
        <v>12232</v>
      </c>
      <c r="D6845" s="787">
        <v>0.48</v>
      </c>
      <c r="E6845" s="787">
        <v>0.48</v>
      </c>
      <c r="F6845" s="788">
        <v>39101</v>
      </c>
      <c r="G6845" s="788">
        <v>41565</v>
      </c>
      <c r="H6845" s="787">
        <v>1</v>
      </c>
      <c r="I6845" s="788">
        <v>40959</v>
      </c>
      <c r="J6845" s="788">
        <v>39101</v>
      </c>
      <c r="L6845" s="787">
        <v>0.28000000000000003</v>
      </c>
      <c r="M6845" s="787">
        <v>10</v>
      </c>
      <c r="N6845" s="787">
        <v>0.49</v>
      </c>
      <c r="O6845" s="788">
        <v>41858</v>
      </c>
    </row>
    <row r="6846" spans="1:15" x14ac:dyDescent="0.25">
      <c r="A6846" s="786" t="s">
        <v>12238</v>
      </c>
      <c r="B6846" s="787">
        <v>4</v>
      </c>
      <c r="C6846" s="787" t="s">
        <v>12239</v>
      </c>
      <c r="D6846" s="787">
        <v>3.77</v>
      </c>
      <c r="E6846" s="787">
        <v>3.77</v>
      </c>
      <c r="F6846" s="788">
        <v>37643</v>
      </c>
      <c r="G6846" s="788">
        <v>37643</v>
      </c>
      <c r="H6846" s="787">
        <v>1</v>
      </c>
      <c r="J6846" s="788">
        <v>37643</v>
      </c>
      <c r="L6846" s="787">
        <v>6.63</v>
      </c>
      <c r="M6846" s="787">
        <v>10</v>
      </c>
      <c r="N6846" s="787">
        <v>11.23</v>
      </c>
      <c r="O6846" s="788">
        <v>42087</v>
      </c>
    </row>
    <row r="6847" spans="1:15" x14ac:dyDescent="0.25">
      <c r="A6847" s="786" t="s">
        <v>12240</v>
      </c>
      <c r="B6847" s="787">
        <v>4</v>
      </c>
      <c r="C6847" s="787" t="s">
        <v>12241</v>
      </c>
      <c r="D6847" s="787">
        <v>2.64</v>
      </c>
      <c r="E6847" s="787">
        <v>2.64</v>
      </c>
      <c r="F6847" s="788">
        <v>38047</v>
      </c>
      <c r="G6847" s="788">
        <v>38047</v>
      </c>
      <c r="H6847" s="787">
        <v>1</v>
      </c>
      <c r="I6847" s="788">
        <v>37951</v>
      </c>
      <c r="J6847" s="788">
        <v>38047</v>
      </c>
      <c r="L6847" s="787">
        <v>4</v>
      </c>
      <c r="M6847" s="787">
        <v>10</v>
      </c>
      <c r="N6847" s="787">
        <v>7.33</v>
      </c>
      <c r="O6847" s="788">
        <v>42030</v>
      </c>
    </row>
    <row r="6848" spans="1:15" x14ac:dyDescent="0.25">
      <c r="A6848" s="786" t="s">
        <v>12242</v>
      </c>
      <c r="B6848" s="787">
        <v>4</v>
      </c>
      <c r="C6848" s="787" t="s">
        <v>12243</v>
      </c>
      <c r="D6848" s="787">
        <v>1.01</v>
      </c>
      <c r="E6848" s="787">
        <v>1.01</v>
      </c>
      <c r="F6848" s="788">
        <v>41278</v>
      </c>
      <c r="G6848" s="788">
        <v>41943</v>
      </c>
      <c r="H6848" s="787">
        <v>1</v>
      </c>
      <c r="I6848" s="788">
        <v>41453</v>
      </c>
      <c r="J6848" s="788">
        <v>41232</v>
      </c>
      <c r="L6848" s="787">
        <v>0</v>
      </c>
      <c r="M6848" s="787">
        <v>10</v>
      </c>
      <c r="N6848" s="787">
        <v>1.0900000000000001</v>
      </c>
      <c r="O6848" s="788">
        <v>42089</v>
      </c>
    </row>
    <row r="6849" spans="1:15" x14ac:dyDescent="0.25">
      <c r="A6849" s="786" t="s">
        <v>12244</v>
      </c>
      <c r="B6849" s="787">
        <v>4</v>
      </c>
      <c r="C6849" s="787" t="s">
        <v>12245</v>
      </c>
      <c r="D6849" s="787">
        <v>1.1200000000000001</v>
      </c>
      <c r="E6849" s="787">
        <v>1.1200000000000001</v>
      </c>
      <c r="F6849" s="788">
        <v>39975</v>
      </c>
      <c r="G6849" s="788">
        <v>41943</v>
      </c>
      <c r="H6849" s="787">
        <v>1</v>
      </c>
      <c r="I6849" s="788">
        <v>40596</v>
      </c>
      <c r="J6849" s="788">
        <v>40315</v>
      </c>
      <c r="L6849" s="787">
        <v>0</v>
      </c>
      <c r="M6849" s="787">
        <v>10</v>
      </c>
      <c r="N6849" s="787">
        <v>1.03</v>
      </c>
      <c r="O6849" s="788">
        <v>42089</v>
      </c>
    </row>
    <row r="6850" spans="1:15" x14ac:dyDescent="0.25">
      <c r="A6850" s="786" t="s">
        <v>12246</v>
      </c>
      <c r="B6850" s="787">
        <v>4</v>
      </c>
      <c r="C6850" s="787" t="s">
        <v>12247</v>
      </c>
      <c r="D6850" s="787">
        <v>1.27</v>
      </c>
      <c r="E6850" s="787">
        <v>11.3</v>
      </c>
      <c r="F6850" s="788">
        <v>39101</v>
      </c>
      <c r="G6850" s="788">
        <v>39101</v>
      </c>
      <c r="H6850" s="787">
        <v>1</v>
      </c>
      <c r="I6850" s="788">
        <v>40032</v>
      </c>
      <c r="J6850" s="788">
        <v>39101</v>
      </c>
      <c r="L6850" s="787">
        <v>0</v>
      </c>
      <c r="M6850" s="787">
        <v>10</v>
      </c>
      <c r="N6850" s="787">
        <v>23.49</v>
      </c>
      <c r="O6850" s="788">
        <v>42127</v>
      </c>
    </row>
    <row r="6851" spans="1:15" x14ac:dyDescent="0.25">
      <c r="A6851" s="786" t="s">
        <v>12248</v>
      </c>
      <c r="B6851" s="787">
        <v>4</v>
      </c>
      <c r="C6851" s="787" t="s">
        <v>12249</v>
      </c>
      <c r="D6851" s="787">
        <v>0</v>
      </c>
      <c r="E6851" s="787">
        <v>0</v>
      </c>
      <c r="G6851" s="788">
        <v>42157</v>
      </c>
      <c r="H6851" s="787">
        <v>1</v>
      </c>
      <c r="I6851" s="788">
        <v>42165</v>
      </c>
      <c r="J6851" s="788">
        <v>42159</v>
      </c>
      <c r="K6851" s="788">
        <v>42143</v>
      </c>
      <c r="L6851" s="787">
        <v>2.13</v>
      </c>
      <c r="M6851" s="787">
        <v>10</v>
      </c>
      <c r="N6851" s="787">
        <v>2.34</v>
      </c>
      <c r="O6851" s="788">
        <v>42159</v>
      </c>
    </row>
    <row r="6852" spans="1:15" x14ac:dyDescent="0.25">
      <c r="A6852" s="786" t="s">
        <v>12250</v>
      </c>
      <c r="B6852" s="787">
        <v>4</v>
      </c>
      <c r="C6852" s="787" t="s">
        <v>12251</v>
      </c>
      <c r="D6852" s="787">
        <v>3.65</v>
      </c>
      <c r="E6852" s="787">
        <v>3.65</v>
      </c>
      <c r="F6852" s="788">
        <v>38047</v>
      </c>
      <c r="G6852" s="788">
        <v>38047</v>
      </c>
      <c r="H6852" s="787">
        <v>1</v>
      </c>
      <c r="J6852" s="788">
        <v>38047</v>
      </c>
      <c r="L6852" s="787">
        <v>3.98</v>
      </c>
      <c r="M6852" s="787">
        <v>20</v>
      </c>
      <c r="N6852" s="787">
        <v>4.28</v>
      </c>
      <c r="O6852" s="788">
        <v>41858</v>
      </c>
    </row>
    <row r="6853" spans="1:15" x14ac:dyDescent="0.25">
      <c r="A6853" s="786" t="s">
        <v>12252</v>
      </c>
      <c r="B6853" s="787">
        <v>4</v>
      </c>
      <c r="C6853" s="787" t="s">
        <v>12253</v>
      </c>
      <c r="D6853" s="787">
        <v>9.2200000000000006</v>
      </c>
      <c r="E6853" s="787">
        <v>9.2200000000000006</v>
      </c>
      <c r="F6853" s="788">
        <v>37643</v>
      </c>
      <c r="G6853" s="788">
        <v>37643</v>
      </c>
      <c r="H6853" s="787">
        <v>1</v>
      </c>
      <c r="I6853" s="788">
        <v>37481</v>
      </c>
      <c r="J6853" s="788">
        <v>37643</v>
      </c>
      <c r="L6853" s="787">
        <v>9.2200000000000006</v>
      </c>
      <c r="M6853" s="787">
        <v>10</v>
      </c>
      <c r="N6853" s="787">
        <v>0</v>
      </c>
      <c r="O6853" s="788">
        <v>41858</v>
      </c>
    </row>
    <row r="6854" spans="1:15" x14ac:dyDescent="0.25">
      <c r="A6854" s="786" t="s">
        <v>12254</v>
      </c>
      <c r="B6854" s="787">
        <v>4</v>
      </c>
      <c r="C6854" s="787" t="s">
        <v>12255</v>
      </c>
      <c r="D6854" s="787">
        <v>9.2200000000000006</v>
      </c>
      <c r="E6854" s="787">
        <v>9.2200000000000006</v>
      </c>
      <c r="F6854" s="788">
        <v>37643</v>
      </c>
      <c r="G6854" s="788">
        <v>37643</v>
      </c>
      <c r="H6854" s="787">
        <v>1</v>
      </c>
      <c r="I6854" s="788">
        <v>37481</v>
      </c>
      <c r="J6854" s="788">
        <v>37643</v>
      </c>
      <c r="L6854" s="787">
        <v>9.2200000000000006</v>
      </c>
      <c r="M6854" s="787">
        <v>10</v>
      </c>
      <c r="N6854" s="787">
        <v>0</v>
      </c>
      <c r="O6854" s="788">
        <v>41858</v>
      </c>
    </row>
    <row r="6855" spans="1:15" x14ac:dyDescent="0.25">
      <c r="A6855" s="786" t="s">
        <v>12256</v>
      </c>
      <c r="B6855" s="787">
        <v>4</v>
      </c>
      <c r="C6855" s="787" t="s">
        <v>12257</v>
      </c>
      <c r="D6855" s="787">
        <v>0.52</v>
      </c>
      <c r="E6855" s="787">
        <v>1.9</v>
      </c>
      <c r="F6855" s="788">
        <v>39456</v>
      </c>
      <c r="G6855" s="788">
        <v>41943</v>
      </c>
      <c r="H6855" s="787">
        <v>1</v>
      </c>
      <c r="I6855" s="788">
        <v>42164</v>
      </c>
      <c r="J6855" s="788">
        <v>41459</v>
      </c>
      <c r="L6855" s="787">
        <v>0.7</v>
      </c>
      <c r="M6855" s="787">
        <v>10</v>
      </c>
      <c r="N6855" s="787">
        <v>2.88</v>
      </c>
      <c r="O6855" s="788">
        <v>42159</v>
      </c>
    </row>
    <row r="6856" spans="1:15" x14ac:dyDescent="0.25">
      <c r="A6856" s="786" t="s">
        <v>12258</v>
      </c>
      <c r="B6856" s="787">
        <v>4</v>
      </c>
      <c r="C6856" s="787" t="s">
        <v>12259</v>
      </c>
      <c r="D6856" s="787">
        <v>1.05</v>
      </c>
      <c r="E6856" s="787">
        <v>2.2999999999999998</v>
      </c>
      <c r="F6856" s="788">
        <v>39951</v>
      </c>
      <c r="G6856" s="788">
        <v>42142</v>
      </c>
      <c r="H6856" s="787">
        <v>3</v>
      </c>
      <c r="I6856" s="788">
        <v>42165</v>
      </c>
      <c r="J6856" s="788">
        <v>42135</v>
      </c>
      <c r="L6856" s="787">
        <v>1.43</v>
      </c>
      <c r="M6856" s="787">
        <v>10</v>
      </c>
      <c r="N6856" s="787">
        <v>2.74</v>
      </c>
      <c r="O6856" s="788">
        <v>42156</v>
      </c>
    </row>
    <row r="6857" spans="1:15" x14ac:dyDescent="0.25">
      <c r="A6857" s="786" t="s">
        <v>12260</v>
      </c>
      <c r="B6857" s="787">
        <v>4</v>
      </c>
      <c r="C6857" s="787" t="s">
        <v>12261</v>
      </c>
      <c r="D6857" s="787">
        <v>2.56</v>
      </c>
      <c r="E6857" s="787">
        <v>2.56</v>
      </c>
      <c r="F6857" s="788">
        <v>39101</v>
      </c>
      <c r="G6857" s="788">
        <v>40109</v>
      </c>
      <c r="H6857" s="787">
        <v>5</v>
      </c>
      <c r="I6857" s="788">
        <v>41960</v>
      </c>
      <c r="J6857" s="788">
        <v>40119</v>
      </c>
      <c r="L6857" s="787">
        <v>4.9800000000000004</v>
      </c>
      <c r="M6857" s="787">
        <v>10</v>
      </c>
      <c r="N6857" s="787">
        <v>8.3800000000000008</v>
      </c>
      <c r="O6857" s="788">
        <v>42127</v>
      </c>
    </row>
    <row r="6858" spans="1:15" x14ac:dyDescent="0.25">
      <c r="A6858" s="786" t="s">
        <v>12262</v>
      </c>
      <c r="B6858" s="787">
        <v>4</v>
      </c>
      <c r="C6858" s="787" t="s">
        <v>12263</v>
      </c>
      <c r="D6858" s="787">
        <v>5.73</v>
      </c>
      <c r="E6858" s="787">
        <v>5.73</v>
      </c>
      <c r="F6858" s="788">
        <v>39101</v>
      </c>
      <c r="G6858" s="788">
        <v>40109</v>
      </c>
      <c r="H6858" s="787">
        <v>5</v>
      </c>
      <c r="I6858" s="788">
        <v>41960</v>
      </c>
      <c r="J6858" s="788">
        <v>40119</v>
      </c>
      <c r="L6858" s="787">
        <v>9.1</v>
      </c>
      <c r="M6858" s="787">
        <v>10</v>
      </c>
      <c r="N6858" s="787">
        <v>13.14</v>
      </c>
      <c r="O6858" s="788">
        <v>42127</v>
      </c>
    </row>
    <row r="6859" spans="1:15" x14ac:dyDescent="0.25">
      <c r="A6859" s="786" t="s">
        <v>12264</v>
      </c>
      <c r="B6859" s="787">
        <v>4</v>
      </c>
      <c r="C6859" s="787" t="s">
        <v>12265</v>
      </c>
      <c r="D6859" s="787">
        <v>1.87</v>
      </c>
      <c r="E6859" s="787">
        <v>1.87</v>
      </c>
      <c r="F6859" s="788">
        <v>37643</v>
      </c>
      <c r="G6859" s="788">
        <v>38364</v>
      </c>
      <c r="H6859" s="787">
        <v>1</v>
      </c>
      <c r="I6859" s="788">
        <v>39134</v>
      </c>
      <c r="J6859" s="788">
        <v>39149</v>
      </c>
      <c r="L6859" s="787">
        <v>0.9</v>
      </c>
      <c r="M6859" s="787">
        <v>10</v>
      </c>
      <c r="N6859" s="787">
        <v>1.89</v>
      </c>
      <c r="O6859" s="788">
        <v>41858</v>
      </c>
    </row>
    <row r="6860" spans="1:15" x14ac:dyDescent="0.25">
      <c r="A6860" s="786" t="s">
        <v>12266</v>
      </c>
      <c r="B6860" s="787">
        <v>4</v>
      </c>
      <c r="C6860" s="787" t="s">
        <v>12267</v>
      </c>
      <c r="D6860" s="787">
        <v>1.87</v>
      </c>
      <c r="E6860" s="787">
        <v>1.87</v>
      </c>
      <c r="F6860" s="788">
        <v>37643</v>
      </c>
      <c r="G6860" s="788">
        <v>38364</v>
      </c>
      <c r="H6860" s="787">
        <v>1</v>
      </c>
      <c r="I6860" s="788">
        <v>40392</v>
      </c>
      <c r="J6860" s="788">
        <v>39149</v>
      </c>
      <c r="L6860" s="787">
        <v>0.9</v>
      </c>
      <c r="M6860" s="787">
        <v>10</v>
      </c>
      <c r="N6860" s="787">
        <v>1.89</v>
      </c>
      <c r="O6860" s="788">
        <v>41858</v>
      </c>
    </row>
    <row r="6861" spans="1:15" x14ac:dyDescent="0.25">
      <c r="A6861" s="786" t="s">
        <v>12268</v>
      </c>
      <c r="B6861" s="787">
        <v>4</v>
      </c>
      <c r="C6861" s="787" t="s">
        <v>12269</v>
      </c>
      <c r="D6861" s="787">
        <v>5.1100000000000003</v>
      </c>
      <c r="E6861" s="787">
        <v>5.1100000000000003</v>
      </c>
      <c r="F6861" s="788">
        <v>37643</v>
      </c>
      <c r="G6861" s="788">
        <v>37643</v>
      </c>
      <c r="H6861" s="787">
        <v>1</v>
      </c>
      <c r="I6861" s="788">
        <v>37441</v>
      </c>
      <c r="J6861" s="788">
        <v>37643</v>
      </c>
      <c r="L6861" s="787">
        <v>5.1100000000000003</v>
      </c>
      <c r="M6861" s="787">
        <v>10</v>
      </c>
      <c r="N6861" s="787">
        <v>0</v>
      </c>
      <c r="O6861" s="788">
        <v>41858</v>
      </c>
    </row>
    <row r="6862" spans="1:15" x14ac:dyDescent="0.25">
      <c r="A6862" s="786" t="s">
        <v>12270</v>
      </c>
      <c r="B6862" s="787">
        <v>4</v>
      </c>
      <c r="C6862" s="787" t="s">
        <v>12271</v>
      </c>
      <c r="D6862" s="787">
        <v>9.51</v>
      </c>
      <c r="E6862" s="787">
        <v>9.5299999999999994</v>
      </c>
      <c r="F6862" s="788">
        <v>39101</v>
      </c>
      <c r="G6862" s="788">
        <v>39101</v>
      </c>
      <c r="H6862" s="787">
        <v>1</v>
      </c>
      <c r="I6862" s="788">
        <v>39387</v>
      </c>
      <c r="J6862" s="788">
        <v>39101</v>
      </c>
      <c r="L6862" s="787">
        <v>5.63</v>
      </c>
      <c r="M6862" s="787">
        <v>10</v>
      </c>
      <c r="N6862" s="787">
        <v>9.82</v>
      </c>
      <c r="O6862" s="788">
        <v>41869</v>
      </c>
    </row>
    <row r="6863" spans="1:15" x14ac:dyDescent="0.25">
      <c r="A6863" s="786" t="s">
        <v>12272</v>
      </c>
      <c r="B6863" s="787">
        <v>4</v>
      </c>
      <c r="C6863" s="787" t="s">
        <v>12273</v>
      </c>
      <c r="D6863" s="787">
        <v>0.7</v>
      </c>
      <c r="E6863" s="787">
        <v>10.68</v>
      </c>
      <c r="F6863" s="788">
        <v>39101</v>
      </c>
      <c r="G6863" s="788">
        <v>39101</v>
      </c>
      <c r="H6863" s="787">
        <v>1</v>
      </c>
      <c r="I6863" s="788">
        <v>39387</v>
      </c>
      <c r="J6863" s="788">
        <v>39101</v>
      </c>
      <c r="L6863" s="787">
        <v>5.63</v>
      </c>
      <c r="M6863" s="787">
        <v>10</v>
      </c>
      <c r="N6863" s="787">
        <v>9.82</v>
      </c>
      <c r="O6863" s="788">
        <v>41869</v>
      </c>
    </row>
    <row r="6864" spans="1:15" x14ac:dyDescent="0.25">
      <c r="A6864" s="786" t="s">
        <v>12274</v>
      </c>
      <c r="B6864" s="787">
        <v>4</v>
      </c>
      <c r="C6864" s="787" t="s">
        <v>12275</v>
      </c>
      <c r="D6864" s="787">
        <v>0.68</v>
      </c>
      <c r="E6864" s="787">
        <v>10.68</v>
      </c>
      <c r="F6864" s="788">
        <v>37643</v>
      </c>
      <c r="G6864" s="788">
        <v>37643</v>
      </c>
      <c r="H6864" s="787">
        <v>1</v>
      </c>
      <c r="J6864" s="788">
        <v>37643</v>
      </c>
      <c r="L6864" s="787">
        <v>5.63</v>
      </c>
      <c r="M6864" s="787">
        <v>10</v>
      </c>
      <c r="N6864" s="787">
        <v>9.82</v>
      </c>
      <c r="O6864" s="788">
        <v>41869</v>
      </c>
    </row>
    <row r="6865" spans="1:15" x14ac:dyDescent="0.25">
      <c r="A6865" s="786" t="s">
        <v>12276</v>
      </c>
      <c r="B6865" s="787">
        <v>4</v>
      </c>
      <c r="C6865" s="787" t="s">
        <v>12277</v>
      </c>
      <c r="D6865" s="787">
        <v>2.86</v>
      </c>
      <c r="E6865" s="787">
        <v>2.86</v>
      </c>
      <c r="F6865" s="788">
        <v>37643</v>
      </c>
      <c r="G6865" s="788">
        <v>37643</v>
      </c>
      <c r="H6865" s="787">
        <v>1</v>
      </c>
      <c r="J6865" s="788">
        <v>37643</v>
      </c>
      <c r="L6865" s="787">
        <v>5.63</v>
      </c>
      <c r="M6865" s="787">
        <v>10</v>
      </c>
      <c r="N6865" s="787">
        <v>9.82</v>
      </c>
      <c r="O6865" s="788">
        <v>41869</v>
      </c>
    </row>
    <row r="6866" spans="1:15" x14ac:dyDescent="0.25">
      <c r="A6866" s="786" t="s">
        <v>12278</v>
      </c>
      <c r="B6866" s="787">
        <v>4</v>
      </c>
      <c r="C6866" s="787" t="s">
        <v>12277</v>
      </c>
      <c r="D6866" s="787">
        <v>2.86</v>
      </c>
      <c r="E6866" s="787">
        <v>2.86</v>
      </c>
      <c r="F6866" s="788">
        <v>37643</v>
      </c>
      <c r="G6866" s="788">
        <v>37643</v>
      </c>
      <c r="H6866" s="787">
        <v>1</v>
      </c>
      <c r="I6866" s="788">
        <v>37070</v>
      </c>
      <c r="J6866" s="788">
        <v>37643</v>
      </c>
      <c r="L6866" s="787">
        <v>5.63</v>
      </c>
      <c r="M6866" s="787">
        <v>10</v>
      </c>
      <c r="N6866" s="787">
        <v>9.82</v>
      </c>
      <c r="O6866" s="788">
        <v>41869</v>
      </c>
    </row>
    <row r="6867" spans="1:15" x14ac:dyDescent="0.25">
      <c r="A6867" s="786" t="s">
        <v>12279</v>
      </c>
      <c r="B6867" s="787">
        <v>4</v>
      </c>
      <c r="C6867" s="787" t="s">
        <v>12277</v>
      </c>
      <c r="D6867" s="787">
        <v>1.1399999999999999</v>
      </c>
      <c r="E6867" s="787">
        <v>1.1399999999999999</v>
      </c>
      <c r="F6867" s="788">
        <v>37643</v>
      </c>
      <c r="G6867" s="788">
        <v>37643</v>
      </c>
      <c r="H6867" s="787">
        <v>1</v>
      </c>
      <c r="J6867" s="788">
        <v>37643</v>
      </c>
      <c r="L6867" s="787">
        <v>1.97</v>
      </c>
      <c r="M6867" s="787">
        <v>10</v>
      </c>
      <c r="N6867" s="787">
        <v>3.44</v>
      </c>
      <c r="O6867" s="788">
        <v>41858</v>
      </c>
    </row>
    <row r="6868" spans="1:15" x14ac:dyDescent="0.25">
      <c r="A6868" s="786" t="s">
        <v>12280</v>
      </c>
      <c r="B6868" s="787">
        <v>4</v>
      </c>
      <c r="C6868" s="787" t="s">
        <v>12277</v>
      </c>
      <c r="D6868" s="787">
        <v>1.1399999999999999</v>
      </c>
      <c r="E6868" s="787">
        <v>1.1399999999999999</v>
      </c>
      <c r="F6868" s="788">
        <v>37643</v>
      </c>
      <c r="G6868" s="788">
        <v>37643</v>
      </c>
      <c r="H6868" s="787">
        <v>1</v>
      </c>
      <c r="J6868" s="788">
        <v>37643</v>
      </c>
      <c r="L6868" s="787">
        <v>1.97</v>
      </c>
      <c r="M6868" s="787">
        <v>10</v>
      </c>
      <c r="N6868" s="787">
        <v>3.44</v>
      </c>
      <c r="O6868" s="788">
        <v>41858</v>
      </c>
    </row>
    <row r="6869" spans="1:15" x14ac:dyDescent="0.25">
      <c r="A6869" s="786" t="s">
        <v>12281</v>
      </c>
      <c r="B6869" s="787">
        <v>4</v>
      </c>
      <c r="C6869" s="787" t="s">
        <v>12282</v>
      </c>
      <c r="D6869" s="787">
        <v>1.1399999999999999</v>
      </c>
      <c r="E6869" s="787">
        <v>1.1399999999999999</v>
      </c>
      <c r="F6869" s="788">
        <v>37643</v>
      </c>
      <c r="G6869" s="788">
        <v>37643</v>
      </c>
      <c r="H6869" s="787">
        <v>1</v>
      </c>
      <c r="I6869" s="788">
        <v>37009</v>
      </c>
      <c r="J6869" s="788">
        <v>37643</v>
      </c>
      <c r="L6869" s="787">
        <v>1.97</v>
      </c>
      <c r="M6869" s="787">
        <v>10</v>
      </c>
      <c r="N6869" s="787">
        <v>3.44</v>
      </c>
      <c r="O6869" s="788">
        <v>41858</v>
      </c>
    </row>
    <row r="6870" spans="1:15" x14ac:dyDescent="0.25">
      <c r="A6870" s="786" t="s">
        <v>12283</v>
      </c>
      <c r="B6870" s="787">
        <v>4</v>
      </c>
      <c r="C6870" s="787" t="s">
        <v>12284</v>
      </c>
      <c r="D6870" s="787">
        <v>1.25</v>
      </c>
      <c r="E6870" s="787">
        <v>1.1399999999999999</v>
      </c>
      <c r="F6870" s="788">
        <v>39101</v>
      </c>
      <c r="G6870" s="788">
        <v>39101</v>
      </c>
      <c r="H6870" s="787">
        <v>1</v>
      </c>
      <c r="I6870" s="788">
        <v>38787</v>
      </c>
      <c r="J6870" s="788">
        <v>39101</v>
      </c>
      <c r="L6870" s="787">
        <v>1.97</v>
      </c>
      <c r="M6870" s="787">
        <v>10</v>
      </c>
      <c r="N6870" s="787">
        <v>3.44</v>
      </c>
      <c r="O6870" s="788">
        <v>41858</v>
      </c>
    </row>
    <row r="6871" spans="1:15" x14ac:dyDescent="0.25">
      <c r="A6871" s="786" t="s">
        <v>12285</v>
      </c>
      <c r="B6871" s="787">
        <v>4</v>
      </c>
      <c r="C6871" s="787" t="s">
        <v>12282</v>
      </c>
      <c r="D6871" s="787">
        <v>5.88</v>
      </c>
      <c r="E6871" s="787">
        <v>5.88</v>
      </c>
      <c r="F6871" s="788">
        <v>38047</v>
      </c>
      <c r="G6871" s="788">
        <v>38736</v>
      </c>
      <c r="H6871" s="787">
        <v>1</v>
      </c>
      <c r="I6871" s="788">
        <v>40422</v>
      </c>
      <c r="J6871" s="788">
        <v>38047</v>
      </c>
      <c r="L6871" s="787">
        <v>7.37</v>
      </c>
      <c r="M6871" s="787">
        <v>20</v>
      </c>
      <c r="N6871" s="787">
        <v>9.11</v>
      </c>
      <c r="O6871" s="788">
        <v>42127</v>
      </c>
    </row>
    <row r="6872" spans="1:15" x14ac:dyDescent="0.25">
      <c r="A6872" s="786" t="s">
        <v>12286</v>
      </c>
      <c r="B6872" s="787">
        <v>4</v>
      </c>
      <c r="C6872" s="787" t="s">
        <v>12284</v>
      </c>
      <c r="D6872" s="787">
        <v>5.37</v>
      </c>
      <c r="E6872" s="787">
        <v>5.37</v>
      </c>
      <c r="F6872" s="788">
        <v>38047</v>
      </c>
      <c r="G6872" s="788">
        <v>38736</v>
      </c>
      <c r="H6872" s="787">
        <v>1</v>
      </c>
      <c r="I6872" s="788">
        <v>40422</v>
      </c>
      <c r="J6872" s="788">
        <v>38047</v>
      </c>
      <c r="L6872" s="787">
        <v>6.56</v>
      </c>
      <c r="M6872" s="787">
        <v>20</v>
      </c>
      <c r="N6872" s="787">
        <v>7.9</v>
      </c>
      <c r="O6872" s="788">
        <v>42127</v>
      </c>
    </row>
    <row r="6873" spans="1:15" x14ac:dyDescent="0.25">
      <c r="A6873" s="786" t="s">
        <v>12287</v>
      </c>
      <c r="B6873" s="787">
        <v>4</v>
      </c>
      <c r="C6873" s="787" t="s">
        <v>12288</v>
      </c>
      <c r="D6873" s="787">
        <v>4.18</v>
      </c>
      <c r="E6873" s="787">
        <v>4.18</v>
      </c>
      <c r="F6873" s="788">
        <v>39101</v>
      </c>
      <c r="G6873" s="788">
        <v>39101</v>
      </c>
      <c r="H6873" s="787">
        <v>1</v>
      </c>
      <c r="I6873" s="788">
        <v>40032</v>
      </c>
      <c r="J6873" s="788">
        <v>39101</v>
      </c>
      <c r="L6873" s="787">
        <v>5.0999999999999996</v>
      </c>
      <c r="M6873" s="787">
        <v>20</v>
      </c>
      <c r="N6873" s="787">
        <v>6.14</v>
      </c>
      <c r="O6873" s="788">
        <v>42127</v>
      </c>
    </row>
    <row r="6874" spans="1:15" x14ac:dyDescent="0.25">
      <c r="A6874" s="786" t="s">
        <v>12289</v>
      </c>
      <c r="B6874" s="787">
        <v>4</v>
      </c>
      <c r="C6874" s="787" t="s">
        <v>12290</v>
      </c>
      <c r="D6874" s="787">
        <v>0</v>
      </c>
      <c r="E6874" s="787">
        <v>0</v>
      </c>
      <c r="G6874" s="788">
        <v>38364</v>
      </c>
      <c r="H6874" s="787">
        <v>1</v>
      </c>
      <c r="I6874" s="788">
        <v>40017</v>
      </c>
      <c r="J6874" s="788">
        <v>39101</v>
      </c>
      <c r="L6874" s="787">
        <v>1.99</v>
      </c>
      <c r="M6874" s="787">
        <v>10</v>
      </c>
      <c r="N6874" s="787">
        <v>2.66</v>
      </c>
      <c r="O6874" s="788">
        <v>42156</v>
      </c>
    </row>
    <row r="6875" spans="1:15" x14ac:dyDescent="0.25">
      <c r="A6875" s="786" t="s">
        <v>12291</v>
      </c>
      <c r="B6875" s="787">
        <v>4</v>
      </c>
      <c r="C6875" s="787" t="s">
        <v>12292</v>
      </c>
      <c r="D6875" s="787">
        <v>0</v>
      </c>
      <c r="E6875" s="787">
        <v>0</v>
      </c>
      <c r="G6875" s="788">
        <v>40107</v>
      </c>
      <c r="H6875" s="787">
        <v>1</v>
      </c>
      <c r="I6875" s="788">
        <v>41386</v>
      </c>
      <c r="J6875" s="788">
        <v>40107</v>
      </c>
      <c r="L6875" s="787">
        <v>1.19</v>
      </c>
      <c r="M6875" s="787">
        <v>10</v>
      </c>
      <c r="N6875" s="787">
        <v>1.89</v>
      </c>
      <c r="O6875" s="788">
        <v>42127</v>
      </c>
    </row>
    <row r="6876" spans="1:15" x14ac:dyDescent="0.25">
      <c r="A6876" s="786" t="s">
        <v>12293</v>
      </c>
      <c r="B6876" s="787">
        <v>4</v>
      </c>
      <c r="C6876" s="787" t="s">
        <v>12292</v>
      </c>
      <c r="D6876" s="787">
        <v>0</v>
      </c>
      <c r="E6876" s="787">
        <v>0</v>
      </c>
      <c r="G6876" s="788">
        <v>40107</v>
      </c>
      <c r="H6876" s="787">
        <v>1</v>
      </c>
      <c r="I6876" s="788">
        <v>41386</v>
      </c>
      <c r="J6876" s="788">
        <v>40107</v>
      </c>
      <c r="L6876" s="787">
        <v>1.19</v>
      </c>
      <c r="M6876" s="787">
        <v>10</v>
      </c>
      <c r="N6876" s="787">
        <v>1.89</v>
      </c>
      <c r="O6876" s="788">
        <v>42127</v>
      </c>
    </row>
    <row r="6877" spans="1:15" x14ac:dyDescent="0.25">
      <c r="A6877" s="786" t="s">
        <v>12294</v>
      </c>
      <c r="B6877" s="787">
        <v>4</v>
      </c>
      <c r="C6877" s="787" t="s">
        <v>12295</v>
      </c>
      <c r="D6877" s="787">
        <v>7.88</v>
      </c>
      <c r="E6877" s="787">
        <v>57.88</v>
      </c>
      <c r="F6877" s="788">
        <v>37643</v>
      </c>
      <c r="G6877" s="788">
        <v>37643</v>
      </c>
      <c r="H6877" s="787">
        <v>1</v>
      </c>
      <c r="J6877" s="788">
        <v>37643</v>
      </c>
      <c r="L6877" s="787">
        <v>72.38</v>
      </c>
      <c r="M6877" s="787">
        <v>10</v>
      </c>
      <c r="N6877" s="787">
        <v>56.35</v>
      </c>
      <c r="O6877" s="788">
        <v>42144</v>
      </c>
    </row>
    <row r="6878" spans="1:15" x14ac:dyDescent="0.25">
      <c r="A6878" s="786" t="s">
        <v>12296</v>
      </c>
      <c r="B6878" s="787">
        <v>4</v>
      </c>
      <c r="C6878" s="787" t="s">
        <v>12297</v>
      </c>
      <c r="D6878" s="787">
        <v>0</v>
      </c>
      <c r="E6878" s="787">
        <v>0</v>
      </c>
      <c r="H6878" s="787">
        <v>1</v>
      </c>
      <c r="J6878" s="788">
        <v>37643</v>
      </c>
      <c r="L6878" s="787">
        <v>0</v>
      </c>
      <c r="M6878" s="787">
        <v>10</v>
      </c>
      <c r="N6878" s="787">
        <v>0</v>
      </c>
      <c r="O6878" s="788">
        <v>41858</v>
      </c>
    </row>
    <row r="6879" spans="1:15" x14ac:dyDescent="0.25">
      <c r="A6879" s="786" t="s">
        <v>12296</v>
      </c>
      <c r="B6879" s="787" t="s">
        <v>12298</v>
      </c>
      <c r="C6879" s="787" t="s">
        <v>12299</v>
      </c>
      <c r="D6879" s="787">
        <v>6.85</v>
      </c>
      <c r="E6879" s="787">
        <v>36.85</v>
      </c>
      <c r="F6879" s="788">
        <v>37643</v>
      </c>
      <c r="G6879" s="788">
        <v>37643</v>
      </c>
      <c r="H6879" s="787">
        <v>1</v>
      </c>
      <c r="J6879" s="788">
        <v>37643</v>
      </c>
      <c r="L6879" s="787">
        <v>36.85</v>
      </c>
      <c r="M6879" s="787">
        <v>10</v>
      </c>
      <c r="N6879" s="787">
        <v>0</v>
      </c>
      <c r="O6879" s="788">
        <v>42144</v>
      </c>
    </row>
    <row r="6880" spans="1:15" x14ac:dyDescent="0.25">
      <c r="A6880" s="786" t="s">
        <v>12296</v>
      </c>
      <c r="B6880" s="787" t="s">
        <v>12300</v>
      </c>
      <c r="C6880" s="787" t="s">
        <v>12301</v>
      </c>
      <c r="D6880" s="787">
        <v>4.8600000000000003</v>
      </c>
      <c r="E6880" s="787">
        <v>134.86000000000001</v>
      </c>
      <c r="F6880" s="788">
        <v>37643</v>
      </c>
      <c r="G6880" s="788">
        <v>37643</v>
      </c>
      <c r="H6880" s="787">
        <v>1</v>
      </c>
      <c r="J6880" s="788">
        <v>37643</v>
      </c>
      <c r="L6880" s="787">
        <v>134.86000000000001</v>
      </c>
      <c r="M6880" s="787">
        <v>10</v>
      </c>
      <c r="N6880" s="787">
        <v>0</v>
      </c>
      <c r="O6880" s="788">
        <v>42144</v>
      </c>
    </row>
    <row r="6881" spans="1:15" x14ac:dyDescent="0.25">
      <c r="A6881" s="786" t="s">
        <v>12302</v>
      </c>
      <c r="B6881" s="787">
        <v>4</v>
      </c>
      <c r="C6881" s="787" t="s">
        <v>12303</v>
      </c>
      <c r="D6881" s="787">
        <v>8.33</v>
      </c>
      <c r="E6881" s="787">
        <v>8.33</v>
      </c>
      <c r="F6881" s="788">
        <v>37643</v>
      </c>
      <c r="G6881" s="788">
        <v>37643</v>
      </c>
      <c r="H6881" s="787">
        <v>1</v>
      </c>
      <c r="J6881" s="788">
        <v>37643</v>
      </c>
      <c r="L6881" s="787">
        <v>5.29</v>
      </c>
      <c r="M6881" s="787">
        <v>10</v>
      </c>
      <c r="N6881" s="787">
        <v>7.46</v>
      </c>
      <c r="O6881" s="788">
        <v>41955</v>
      </c>
    </row>
    <row r="6882" spans="1:15" x14ac:dyDescent="0.25">
      <c r="A6882" s="786" t="s">
        <v>12304</v>
      </c>
      <c r="B6882" s="787">
        <v>4</v>
      </c>
      <c r="C6882" s="787" t="s">
        <v>12305</v>
      </c>
      <c r="D6882" s="787">
        <v>5.51</v>
      </c>
      <c r="E6882" s="787">
        <v>255.51</v>
      </c>
      <c r="F6882" s="788">
        <v>37643</v>
      </c>
      <c r="G6882" s="788">
        <v>37643</v>
      </c>
      <c r="H6882" s="787">
        <v>1</v>
      </c>
      <c r="J6882" s="788">
        <v>37643</v>
      </c>
      <c r="L6882" s="787">
        <v>25.4</v>
      </c>
      <c r="M6882" s="787">
        <v>10</v>
      </c>
      <c r="N6882" s="787">
        <v>60.08</v>
      </c>
      <c r="O6882" s="788">
        <v>39897</v>
      </c>
    </row>
    <row r="6883" spans="1:15" x14ac:dyDescent="0.25">
      <c r="A6883" s="786" t="s">
        <v>12304</v>
      </c>
      <c r="B6883" s="787" t="s">
        <v>12298</v>
      </c>
      <c r="C6883" s="787" t="s">
        <v>12306</v>
      </c>
      <c r="D6883" s="787">
        <v>3.2</v>
      </c>
      <c r="E6883" s="787">
        <v>63.2</v>
      </c>
      <c r="F6883" s="788">
        <v>37643</v>
      </c>
      <c r="G6883" s="788">
        <v>37643</v>
      </c>
      <c r="H6883" s="787">
        <v>1</v>
      </c>
      <c r="J6883" s="788">
        <v>37643</v>
      </c>
      <c r="L6883" s="787">
        <v>63.2</v>
      </c>
      <c r="M6883" s="787">
        <v>10</v>
      </c>
      <c r="N6883" s="787">
        <v>0</v>
      </c>
      <c r="O6883" s="788">
        <v>41858</v>
      </c>
    </row>
    <row r="6884" spans="1:15" x14ac:dyDescent="0.25">
      <c r="A6884" s="786" t="s">
        <v>12304</v>
      </c>
      <c r="B6884" s="787" t="s">
        <v>12300</v>
      </c>
      <c r="C6884" s="787" t="s">
        <v>12307</v>
      </c>
      <c r="D6884" s="787">
        <v>9.34</v>
      </c>
      <c r="E6884" s="787">
        <v>139.34</v>
      </c>
      <c r="F6884" s="788">
        <v>37643</v>
      </c>
      <c r="G6884" s="788">
        <v>37643</v>
      </c>
      <c r="H6884" s="787">
        <v>1</v>
      </c>
      <c r="J6884" s="788">
        <v>37643</v>
      </c>
      <c r="L6884" s="787">
        <v>139.34</v>
      </c>
      <c r="M6884" s="787">
        <v>10</v>
      </c>
      <c r="N6884" s="787">
        <v>0</v>
      </c>
      <c r="O6884" s="788">
        <v>41858</v>
      </c>
    </row>
    <row r="6885" spans="1:15" x14ac:dyDescent="0.25">
      <c r="A6885" s="786" t="s">
        <v>12308</v>
      </c>
      <c r="B6885" s="787">
        <v>4</v>
      </c>
      <c r="C6885" s="787" t="s">
        <v>12309</v>
      </c>
      <c r="D6885" s="787">
        <v>5.51</v>
      </c>
      <c r="E6885" s="787">
        <v>255.51</v>
      </c>
      <c r="F6885" s="788">
        <v>37643</v>
      </c>
      <c r="G6885" s="788">
        <v>37643</v>
      </c>
      <c r="H6885" s="787">
        <v>1</v>
      </c>
      <c r="J6885" s="788">
        <v>37643</v>
      </c>
      <c r="L6885" s="787">
        <v>25.4</v>
      </c>
      <c r="M6885" s="787">
        <v>10</v>
      </c>
      <c r="N6885" s="787">
        <v>60.08</v>
      </c>
      <c r="O6885" s="788">
        <v>39897</v>
      </c>
    </row>
    <row r="6886" spans="1:15" x14ac:dyDescent="0.25">
      <c r="A6886" s="786" t="s">
        <v>12308</v>
      </c>
      <c r="B6886" s="787" t="s">
        <v>12298</v>
      </c>
      <c r="C6886" s="787" t="s">
        <v>12310</v>
      </c>
      <c r="D6886" s="787">
        <v>3.2</v>
      </c>
      <c r="E6886" s="787">
        <v>63.2</v>
      </c>
      <c r="F6886" s="788">
        <v>37643</v>
      </c>
      <c r="G6886" s="788">
        <v>37643</v>
      </c>
      <c r="H6886" s="787">
        <v>1</v>
      </c>
      <c r="J6886" s="788">
        <v>37643</v>
      </c>
      <c r="L6886" s="787">
        <v>63.2</v>
      </c>
      <c r="M6886" s="787">
        <v>10</v>
      </c>
      <c r="N6886" s="787">
        <v>0</v>
      </c>
      <c r="O6886" s="788">
        <v>41858</v>
      </c>
    </row>
    <row r="6887" spans="1:15" x14ac:dyDescent="0.25">
      <c r="A6887" s="786" t="s">
        <v>12308</v>
      </c>
      <c r="B6887" s="787" t="s">
        <v>12300</v>
      </c>
      <c r="C6887" s="787" t="s">
        <v>12311</v>
      </c>
      <c r="D6887" s="787">
        <v>9.34</v>
      </c>
      <c r="E6887" s="787">
        <v>139.34</v>
      </c>
      <c r="F6887" s="788">
        <v>37643</v>
      </c>
      <c r="G6887" s="788">
        <v>37643</v>
      </c>
      <c r="H6887" s="787">
        <v>1</v>
      </c>
      <c r="J6887" s="788">
        <v>37643</v>
      </c>
      <c r="L6887" s="787">
        <v>139.34</v>
      </c>
      <c r="M6887" s="787">
        <v>10</v>
      </c>
      <c r="N6887" s="787">
        <v>0</v>
      </c>
      <c r="O6887" s="788">
        <v>41858</v>
      </c>
    </row>
    <row r="6888" spans="1:15" x14ac:dyDescent="0.25">
      <c r="A6888" s="786" t="s">
        <v>12312</v>
      </c>
      <c r="B6888" s="787">
        <v>4</v>
      </c>
      <c r="C6888" s="787" t="s">
        <v>12313</v>
      </c>
      <c r="D6888" s="787">
        <v>3.88</v>
      </c>
      <c r="E6888" s="787">
        <v>3.88</v>
      </c>
      <c r="F6888" s="788">
        <v>40030</v>
      </c>
      <c r="G6888" s="788">
        <v>41255</v>
      </c>
      <c r="H6888" s="787">
        <v>1</v>
      </c>
      <c r="I6888" s="788">
        <v>40806</v>
      </c>
      <c r="J6888" s="788">
        <v>40232</v>
      </c>
      <c r="K6888" s="788">
        <v>40002</v>
      </c>
      <c r="L6888" s="787">
        <v>3.88</v>
      </c>
      <c r="M6888" s="787">
        <v>20</v>
      </c>
      <c r="N6888" s="787">
        <v>4.67</v>
      </c>
      <c r="O6888" s="788">
        <v>42156</v>
      </c>
    </row>
    <row r="6889" spans="1:15" x14ac:dyDescent="0.25">
      <c r="A6889" s="786" t="s">
        <v>12314</v>
      </c>
      <c r="B6889" s="787">
        <v>4</v>
      </c>
      <c r="C6889" s="787" t="s">
        <v>12315</v>
      </c>
      <c r="D6889" s="787">
        <v>3.88</v>
      </c>
      <c r="E6889" s="787">
        <v>3.88</v>
      </c>
      <c r="F6889" s="788">
        <v>40004</v>
      </c>
      <c r="G6889" s="788">
        <v>41822</v>
      </c>
      <c r="H6889" s="787">
        <v>1</v>
      </c>
      <c r="I6889" s="788">
        <v>42153</v>
      </c>
      <c r="J6889" s="788">
        <v>41981</v>
      </c>
      <c r="K6889" s="788">
        <v>40280</v>
      </c>
      <c r="L6889" s="787">
        <v>3.88</v>
      </c>
      <c r="M6889" s="787">
        <v>20</v>
      </c>
      <c r="N6889" s="787">
        <v>4.67</v>
      </c>
      <c r="O6889" s="788">
        <v>42156</v>
      </c>
    </row>
    <row r="6890" spans="1:15" x14ac:dyDescent="0.25">
      <c r="A6890" s="786" t="s">
        <v>12316</v>
      </c>
      <c r="B6890" s="787">
        <v>4</v>
      </c>
      <c r="C6890" s="787" t="s">
        <v>12317</v>
      </c>
      <c r="D6890" s="787">
        <v>4.17</v>
      </c>
      <c r="E6890" s="787">
        <v>4.17</v>
      </c>
      <c r="F6890" s="788">
        <v>39931</v>
      </c>
      <c r="G6890" s="788">
        <v>42013</v>
      </c>
      <c r="H6890" s="787">
        <v>1</v>
      </c>
      <c r="I6890" s="788">
        <v>41978</v>
      </c>
      <c r="J6890" s="788">
        <v>40280</v>
      </c>
      <c r="L6890" s="787">
        <v>6.04</v>
      </c>
      <c r="M6890" s="787">
        <v>20</v>
      </c>
      <c r="N6890" s="787">
        <v>7.27</v>
      </c>
      <c r="O6890" s="788">
        <v>42156</v>
      </c>
    </row>
    <row r="6891" spans="1:15" x14ac:dyDescent="0.25">
      <c r="A6891" s="786" t="s">
        <v>12318</v>
      </c>
      <c r="B6891" s="787">
        <v>4</v>
      </c>
      <c r="C6891" s="787" t="s">
        <v>12317</v>
      </c>
      <c r="D6891" s="787">
        <v>4.17</v>
      </c>
      <c r="E6891" s="787">
        <v>4.5599999999999996</v>
      </c>
      <c r="F6891" s="788">
        <v>39931</v>
      </c>
      <c r="G6891" s="788">
        <v>42013</v>
      </c>
      <c r="H6891" s="787">
        <v>1</v>
      </c>
      <c r="I6891" s="788">
        <v>41978</v>
      </c>
      <c r="J6891" s="788">
        <v>39931</v>
      </c>
      <c r="L6891" s="787">
        <v>6.04</v>
      </c>
      <c r="M6891" s="787">
        <v>20</v>
      </c>
      <c r="N6891" s="787">
        <v>7.27</v>
      </c>
      <c r="O6891" s="788">
        <v>42156</v>
      </c>
    </row>
    <row r="6892" spans="1:15" x14ac:dyDescent="0.25">
      <c r="A6892" s="786" t="s">
        <v>12319</v>
      </c>
      <c r="B6892" s="787">
        <v>4</v>
      </c>
      <c r="C6892" s="787" t="s">
        <v>12320</v>
      </c>
      <c r="D6892" s="787">
        <v>0</v>
      </c>
      <c r="E6892" s="787">
        <v>0</v>
      </c>
      <c r="H6892" s="787">
        <v>1</v>
      </c>
      <c r="I6892" s="788">
        <v>40843</v>
      </c>
      <c r="J6892" s="788">
        <v>37643</v>
      </c>
      <c r="L6892" s="787">
        <v>0.98</v>
      </c>
      <c r="M6892" s="787">
        <v>10</v>
      </c>
      <c r="N6892" s="787">
        <v>1.97</v>
      </c>
      <c r="O6892" s="788">
        <v>41858</v>
      </c>
    </row>
    <row r="6893" spans="1:15" x14ac:dyDescent="0.25">
      <c r="A6893" s="786" t="s">
        <v>12321</v>
      </c>
      <c r="B6893" s="787">
        <v>4</v>
      </c>
      <c r="C6893" s="787" t="s">
        <v>12322</v>
      </c>
      <c r="D6893" s="787">
        <v>0</v>
      </c>
      <c r="E6893" s="787">
        <v>0</v>
      </c>
      <c r="H6893" s="787">
        <v>6</v>
      </c>
      <c r="J6893" s="788">
        <v>37643</v>
      </c>
      <c r="L6893" s="787">
        <v>1.35</v>
      </c>
      <c r="M6893" s="787">
        <v>10</v>
      </c>
      <c r="N6893" s="787">
        <v>1.79</v>
      </c>
      <c r="O6893" s="788">
        <v>41806</v>
      </c>
    </row>
    <row r="6894" spans="1:15" x14ac:dyDescent="0.25">
      <c r="A6894" s="786" t="s">
        <v>12323</v>
      </c>
      <c r="B6894" s="787">
        <v>4</v>
      </c>
      <c r="C6894" s="787" t="s">
        <v>12324</v>
      </c>
      <c r="D6894" s="787">
        <v>0</v>
      </c>
      <c r="E6894" s="787">
        <v>0</v>
      </c>
      <c r="H6894" s="787">
        <v>1</v>
      </c>
      <c r="I6894" s="788">
        <v>40037</v>
      </c>
      <c r="J6894" s="788">
        <v>37643</v>
      </c>
      <c r="L6894" s="787">
        <v>0</v>
      </c>
      <c r="M6894" s="787">
        <v>10</v>
      </c>
      <c r="N6894" s="787">
        <v>0</v>
      </c>
      <c r="O6894" s="788">
        <v>41858</v>
      </c>
    </row>
    <row r="6895" spans="1:15" x14ac:dyDescent="0.25">
      <c r="A6895" s="786" t="s">
        <v>12325</v>
      </c>
      <c r="B6895" s="787">
        <v>4</v>
      </c>
      <c r="C6895" s="787" t="s">
        <v>12326</v>
      </c>
      <c r="D6895" s="787">
        <v>0</v>
      </c>
      <c r="E6895" s="787">
        <v>0</v>
      </c>
      <c r="F6895" s="788">
        <v>39975</v>
      </c>
      <c r="H6895" s="787">
        <v>1</v>
      </c>
      <c r="I6895" s="788">
        <v>40037</v>
      </c>
      <c r="J6895" s="788">
        <v>37643</v>
      </c>
      <c r="L6895" s="787">
        <v>0</v>
      </c>
      <c r="M6895" s="787">
        <v>10</v>
      </c>
      <c r="N6895" s="787">
        <v>0</v>
      </c>
      <c r="O6895" s="788">
        <v>41858</v>
      </c>
    </row>
    <row r="6896" spans="1:15" x14ac:dyDescent="0.25">
      <c r="A6896" s="786" t="s">
        <v>12327</v>
      </c>
      <c r="B6896" s="787">
        <v>4</v>
      </c>
      <c r="C6896" s="787" t="s">
        <v>12328</v>
      </c>
      <c r="D6896" s="787">
        <v>0</v>
      </c>
      <c r="E6896" s="787">
        <v>0</v>
      </c>
      <c r="F6896" s="788">
        <v>39975</v>
      </c>
      <c r="H6896" s="787">
        <v>1</v>
      </c>
      <c r="I6896" s="788">
        <v>40037</v>
      </c>
      <c r="J6896" s="788">
        <v>37643</v>
      </c>
      <c r="L6896" s="787">
        <v>0</v>
      </c>
      <c r="M6896" s="787">
        <v>10</v>
      </c>
      <c r="N6896" s="787">
        <v>0</v>
      </c>
      <c r="O6896" s="788">
        <v>41858</v>
      </c>
    </row>
    <row r="6897" spans="1:15" x14ac:dyDescent="0.25">
      <c r="A6897" s="786" t="s">
        <v>12329</v>
      </c>
      <c r="B6897" s="787">
        <v>4</v>
      </c>
      <c r="C6897" s="787" t="s">
        <v>12330</v>
      </c>
      <c r="D6897" s="787">
        <v>0</v>
      </c>
      <c r="E6897" s="787">
        <v>0</v>
      </c>
      <c r="F6897" s="788">
        <v>39975</v>
      </c>
      <c r="H6897" s="787">
        <v>1</v>
      </c>
      <c r="I6897" s="788">
        <v>40037</v>
      </c>
      <c r="J6897" s="788">
        <v>37643</v>
      </c>
      <c r="L6897" s="787">
        <v>0</v>
      </c>
      <c r="M6897" s="787">
        <v>10</v>
      </c>
      <c r="N6897" s="787">
        <v>0</v>
      </c>
      <c r="O6897" s="788">
        <v>41858</v>
      </c>
    </row>
    <row r="6898" spans="1:15" x14ac:dyDescent="0.25">
      <c r="A6898" s="786" t="s">
        <v>12331</v>
      </c>
      <c r="B6898" s="787">
        <v>4</v>
      </c>
      <c r="C6898" s="787" t="s">
        <v>12332</v>
      </c>
      <c r="D6898" s="787">
        <v>0.27</v>
      </c>
      <c r="E6898" s="787">
        <v>0.88</v>
      </c>
      <c r="F6898" s="788">
        <v>39456</v>
      </c>
      <c r="G6898" s="788">
        <v>39763</v>
      </c>
      <c r="H6898" s="787">
        <v>1</v>
      </c>
      <c r="I6898" s="788">
        <v>40133</v>
      </c>
      <c r="J6898" s="788">
        <v>39763</v>
      </c>
      <c r="L6898" s="787">
        <v>0.88</v>
      </c>
      <c r="M6898" s="787">
        <v>10</v>
      </c>
      <c r="N6898" s="787">
        <v>1.43</v>
      </c>
      <c r="O6898" s="788">
        <v>42164</v>
      </c>
    </row>
    <row r="6899" spans="1:15" x14ac:dyDescent="0.25">
      <c r="A6899" s="786" t="s">
        <v>12333</v>
      </c>
      <c r="B6899" s="787">
        <v>4</v>
      </c>
      <c r="C6899" s="787" t="s">
        <v>12334</v>
      </c>
      <c r="D6899" s="787">
        <v>0</v>
      </c>
      <c r="E6899" s="787">
        <v>0</v>
      </c>
      <c r="G6899" s="788">
        <v>38364</v>
      </c>
      <c r="H6899" s="787">
        <v>1</v>
      </c>
      <c r="I6899" s="788">
        <v>39937</v>
      </c>
      <c r="J6899" s="788">
        <v>38736</v>
      </c>
      <c r="L6899" s="787">
        <v>0.09</v>
      </c>
      <c r="M6899" s="787">
        <v>10</v>
      </c>
      <c r="N6899" s="787">
        <v>0.1</v>
      </c>
      <c r="O6899" s="788">
        <v>41858</v>
      </c>
    </row>
    <row r="6900" spans="1:15" x14ac:dyDescent="0.25">
      <c r="A6900" s="786" t="s">
        <v>12335</v>
      </c>
      <c r="B6900" s="787">
        <v>4</v>
      </c>
      <c r="C6900" s="787" t="s">
        <v>12336</v>
      </c>
      <c r="D6900" s="787">
        <v>0</v>
      </c>
      <c r="E6900" s="787">
        <v>0</v>
      </c>
      <c r="G6900" s="787" t="s">
        <v>1067</v>
      </c>
      <c r="H6900" s="787">
        <v>1</v>
      </c>
      <c r="L6900" s="787">
        <v>0</v>
      </c>
      <c r="M6900" s="787">
        <v>20</v>
      </c>
      <c r="N6900" s="787">
        <v>0</v>
      </c>
      <c r="O6900" s="788">
        <v>40824</v>
      </c>
    </row>
    <row r="6901" spans="1:15" x14ac:dyDescent="0.25">
      <c r="A6901" s="786" t="s">
        <v>12337</v>
      </c>
      <c r="B6901" s="787">
        <v>4</v>
      </c>
      <c r="C6901" s="787" t="s">
        <v>12338</v>
      </c>
      <c r="D6901" s="787">
        <v>0</v>
      </c>
      <c r="E6901" s="787">
        <v>0</v>
      </c>
      <c r="H6901" s="787">
        <v>1</v>
      </c>
      <c r="K6901" s="788">
        <v>41333</v>
      </c>
      <c r="L6901" s="787">
        <v>0.01</v>
      </c>
      <c r="M6901" s="787">
        <v>10</v>
      </c>
      <c r="N6901" s="789">
        <v>1255.81</v>
      </c>
      <c r="O6901" s="788">
        <v>42127</v>
      </c>
    </row>
    <row r="6902" spans="1:15" x14ac:dyDescent="0.25">
      <c r="A6902" s="786" t="s">
        <v>12339</v>
      </c>
      <c r="B6902" s="787">
        <v>4</v>
      </c>
      <c r="C6902" s="787" t="s">
        <v>12340</v>
      </c>
      <c r="D6902" s="787">
        <v>0</v>
      </c>
      <c r="E6902" s="787">
        <v>0</v>
      </c>
      <c r="H6902" s="787">
        <v>1</v>
      </c>
      <c r="K6902" s="788">
        <v>41333</v>
      </c>
      <c r="L6902" s="787">
        <v>0.01</v>
      </c>
      <c r="M6902" s="787">
        <v>10</v>
      </c>
      <c r="N6902" s="789">
        <v>1162.1300000000001</v>
      </c>
      <c r="O6902" s="788">
        <v>42127</v>
      </c>
    </row>
    <row r="6903" spans="1:15" x14ac:dyDescent="0.25">
      <c r="A6903" s="786" t="s">
        <v>12341</v>
      </c>
      <c r="B6903" s="787">
        <v>4</v>
      </c>
      <c r="C6903" s="787" t="s">
        <v>12342</v>
      </c>
      <c r="D6903" s="787">
        <v>6</v>
      </c>
      <c r="E6903" s="789">
        <v>1806</v>
      </c>
      <c r="F6903" s="788">
        <v>41526</v>
      </c>
      <c r="G6903" s="788">
        <v>41526</v>
      </c>
      <c r="H6903" s="787">
        <v>1</v>
      </c>
      <c r="I6903" s="788">
        <v>41505</v>
      </c>
      <c r="J6903" s="788">
        <v>41505</v>
      </c>
      <c r="K6903" s="788">
        <v>41333</v>
      </c>
      <c r="L6903" s="787">
        <v>0.01</v>
      </c>
      <c r="M6903" s="787">
        <v>10</v>
      </c>
      <c r="N6903" s="789">
        <v>1407.96</v>
      </c>
      <c r="O6903" s="788">
        <v>42127</v>
      </c>
    </row>
    <row r="6904" spans="1:15" x14ac:dyDescent="0.25">
      <c r="A6904" s="786" t="s">
        <v>12343</v>
      </c>
      <c r="B6904" s="787">
        <v>4</v>
      </c>
      <c r="C6904" s="787" t="s">
        <v>12344</v>
      </c>
      <c r="D6904" s="787">
        <v>0</v>
      </c>
      <c r="E6904" s="787">
        <v>0</v>
      </c>
      <c r="H6904" s="787">
        <v>1</v>
      </c>
      <c r="K6904" s="788">
        <v>41333</v>
      </c>
      <c r="L6904" s="787">
        <v>0.01</v>
      </c>
      <c r="M6904" s="787">
        <v>10</v>
      </c>
      <c r="N6904" s="789">
        <v>1314.27</v>
      </c>
      <c r="O6904" s="788">
        <v>42127</v>
      </c>
    </row>
    <row r="6905" spans="1:15" x14ac:dyDescent="0.25">
      <c r="A6905" s="786" t="s">
        <v>12345</v>
      </c>
      <c r="B6905" s="787">
        <v>4</v>
      </c>
      <c r="C6905" s="787" t="s">
        <v>12346</v>
      </c>
      <c r="D6905" s="787">
        <v>0</v>
      </c>
      <c r="E6905" s="787">
        <v>0</v>
      </c>
      <c r="H6905" s="787">
        <v>1</v>
      </c>
      <c r="K6905" s="788">
        <v>41333</v>
      </c>
      <c r="L6905" s="787">
        <v>0.01</v>
      </c>
      <c r="M6905" s="787">
        <v>10</v>
      </c>
      <c r="N6905" s="789">
        <v>1407.96</v>
      </c>
      <c r="O6905" s="788">
        <v>42127</v>
      </c>
    </row>
    <row r="6906" spans="1:15" x14ac:dyDescent="0.25">
      <c r="A6906" s="786" t="s">
        <v>12347</v>
      </c>
      <c r="B6906" s="787">
        <v>4</v>
      </c>
      <c r="C6906" s="787" t="s">
        <v>12348</v>
      </c>
      <c r="D6906" s="787">
        <v>7.2</v>
      </c>
      <c r="E6906" s="789">
        <v>1077.2</v>
      </c>
      <c r="F6906" s="788">
        <v>42031</v>
      </c>
      <c r="G6906" s="788">
        <v>42031</v>
      </c>
      <c r="H6906" s="787">
        <v>1</v>
      </c>
      <c r="I6906" s="788">
        <v>42003</v>
      </c>
      <c r="J6906" s="788">
        <v>41996</v>
      </c>
      <c r="K6906" s="788">
        <v>41333</v>
      </c>
      <c r="L6906" s="787">
        <v>0.01</v>
      </c>
      <c r="M6906" s="787">
        <v>10</v>
      </c>
      <c r="N6906" s="789">
        <v>1287.08</v>
      </c>
      <c r="O6906" s="788">
        <v>42127</v>
      </c>
    </row>
    <row r="6907" spans="1:15" x14ac:dyDescent="0.25">
      <c r="A6907" s="786" t="s">
        <v>12349</v>
      </c>
      <c r="B6907" s="787">
        <v>4</v>
      </c>
      <c r="C6907" s="787" t="s">
        <v>12350</v>
      </c>
      <c r="D6907" s="787">
        <v>0</v>
      </c>
      <c r="E6907" s="787">
        <v>0</v>
      </c>
      <c r="H6907" s="787">
        <v>1</v>
      </c>
      <c r="K6907" s="788">
        <v>41333</v>
      </c>
      <c r="L6907" s="787">
        <v>0.01</v>
      </c>
      <c r="M6907" s="787">
        <v>10</v>
      </c>
      <c r="N6907" s="789">
        <v>1532.84</v>
      </c>
      <c r="O6907" s="788">
        <v>42127</v>
      </c>
    </row>
    <row r="6908" spans="1:15" x14ac:dyDescent="0.25">
      <c r="A6908" s="786" t="s">
        <v>12351</v>
      </c>
      <c r="B6908" s="787">
        <v>4</v>
      </c>
      <c r="C6908" s="787" t="s">
        <v>12352</v>
      </c>
      <c r="D6908" s="787">
        <v>0</v>
      </c>
      <c r="E6908" s="787">
        <v>0</v>
      </c>
      <c r="H6908" s="787">
        <v>1</v>
      </c>
      <c r="K6908" s="788">
        <v>41333</v>
      </c>
      <c r="L6908" s="787">
        <v>0.01</v>
      </c>
      <c r="M6908" s="787">
        <v>10</v>
      </c>
      <c r="N6908" s="789">
        <v>1439.15</v>
      </c>
      <c r="O6908" s="788">
        <v>42127</v>
      </c>
    </row>
    <row r="6909" spans="1:15" x14ac:dyDescent="0.25">
      <c r="A6909" s="786" t="s">
        <v>12353</v>
      </c>
      <c r="B6909" s="787">
        <v>4</v>
      </c>
      <c r="C6909" s="787" t="s">
        <v>9662</v>
      </c>
      <c r="D6909" s="787">
        <v>3.25</v>
      </c>
      <c r="E6909" s="787">
        <v>3.25</v>
      </c>
      <c r="F6909" s="788">
        <v>41802</v>
      </c>
      <c r="G6909" s="788">
        <v>42013</v>
      </c>
      <c r="H6909" s="787">
        <v>1</v>
      </c>
      <c r="I6909" s="788">
        <v>41862</v>
      </c>
      <c r="J6909" s="788">
        <v>41800</v>
      </c>
      <c r="L6909" s="787">
        <v>3.78</v>
      </c>
      <c r="M6909" s="787">
        <v>20</v>
      </c>
      <c r="N6909" s="787">
        <v>4.55</v>
      </c>
      <c r="O6909" s="788">
        <v>41858</v>
      </c>
    </row>
    <row r="6910" spans="1:15" x14ac:dyDescent="0.25">
      <c r="A6910" s="786" t="s">
        <v>12354</v>
      </c>
      <c r="B6910" s="787">
        <v>4</v>
      </c>
      <c r="C6910" s="787" t="s">
        <v>12355</v>
      </c>
      <c r="D6910" s="787">
        <v>0</v>
      </c>
      <c r="E6910" s="787">
        <v>0</v>
      </c>
      <c r="H6910" s="787">
        <v>1</v>
      </c>
      <c r="L6910" s="787">
        <v>169.3</v>
      </c>
      <c r="M6910" s="787">
        <v>20</v>
      </c>
      <c r="N6910" s="787">
        <v>182</v>
      </c>
      <c r="O6910" s="788">
        <v>41858</v>
      </c>
    </row>
    <row r="6911" spans="1:15" x14ac:dyDescent="0.25">
      <c r="A6911" s="786" t="s">
        <v>12356</v>
      </c>
      <c r="B6911" s="787">
        <v>4</v>
      </c>
      <c r="C6911" s="787" t="s">
        <v>12355</v>
      </c>
      <c r="D6911" s="787">
        <v>0</v>
      </c>
      <c r="E6911" s="787">
        <v>0</v>
      </c>
      <c r="G6911" s="788">
        <v>42017</v>
      </c>
      <c r="H6911" s="787">
        <v>1</v>
      </c>
      <c r="L6911" s="787">
        <v>186.3</v>
      </c>
      <c r="M6911" s="787">
        <v>20</v>
      </c>
      <c r="N6911" s="787">
        <v>200.27</v>
      </c>
      <c r="O6911" s="788">
        <v>41858</v>
      </c>
    </row>
    <row r="6912" spans="1:15" x14ac:dyDescent="0.25">
      <c r="A6912" s="786" t="s">
        <v>12357</v>
      </c>
      <c r="B6912" s="787">
        <v>4</v>
      </c>
      <c r="C6912" s="787" t="s">
        <v>9675</v>
      </c>
      <c r="D6912" s="787">
        <v>0.88</v>
      </c>
      <c r="E6912" s="787">
        <v>10.88</v>
      </c>
      <c r="F6912" s="788">
        <v>41498</v>
      </c>
      <c r="G6912" s="788">
        <v>41562</v>
      </c>
      <c r="H6912" s="787">
        <v>1</v>
      </c>
      <c r="J6912" s="788">
        <v>41523</v>
      </c>
      <c r="L6912" s="787">
        <v>10.4</v>
      </c>
      <c r="M6912" s="787">
        <v>20</v>
      </c>
      <c r="N6912" s="787">
        <v>12.52</v>
      </c>
      <c r="O6912" s="788">
        <v>41858</v>
      </c>
    </row>
    <row r="6913" spans="1:15" x14ac:dyDescent="0.25">
      <c r="A6913" s="786" t="s">
        <v>12358</v>
      </c>
      <c r="B6913" s="787">
        <v>4</v>
      </c>
      <c r="C6913" s="787" t="s">
        <v>12359</v>
      </c>
      <c r="D6913" s="787">
        <v>0</v>
      </c>
      <c r="E6913" s="787">
        <v>0</v>
      </c>
      <c r="H6913" s="787">
        <v>1</v>
      </c>
      <c r="L6913" s="787">
        <v>5.78</v>
      </c>
      <c r="M6913" s="787">
        <v>20</v>
      </c>
      <c r="N6913" s="787">
        <v>6.96</v>
      </c>
      <c r="O6913" s="788">
        <v>42060</v>
      </c>
    </row>
    <row r="6914" spans="1:15" x14ac:dyDescent="0.25">
      <c r="A6914" s="786" t="s">
        <v>12360</v>
      </c>
      <c r="B6914" s="787">
        <v>4</v>
      </c>
      <c r="C6914" s="787" t="s">
        <v>2473</v>
      </c>
      <c r="D6914" s="787">
        <v>9.07</v>
      </c>
      <c r="E6914" s="787">
        <v>29.07</v>
      </c>
      <c r="F6914" s="788">
        <v>41537</v>
      </c>
      <c r="G6914" s="788">
        <v>42013</v>
      </c>
      <c r="H6914" s="787">
        <v>1</v>
      </c>
      <c r="J6914" s="788">
        <v>41535</v>
      </c>
      <c r="L6914" s="787">
        <v>24.79</v>
      </c>
      <c r="M6914" s="787">
        <v>20</v>
      </c>
      <c r="N6914" s="787">
        <v>26.65</v>
      </c>
      <c r="O6914" s="788">
        <v>41858</v>
      </c>
    </row>
    <row r="6915" spans="1:15" x14ac:dyDescent="0.25">
      <c r="A6915" s="786" t="s">
        <v>12361</v>
      </c>
      <c r="B6915" s="787">
        <v>4</v>
      </c>
      <c r="C6915" s="787" t="s">
        <v>12362</v>
      </c>
      <c r="D6915" s="787">
        <v>1.9</v>
      </c>
      <c r="E6915" s="787">
        <v>11.9</v>
      </c>
      <c r="F6915" s="788">
        <v>41584</v>
      </c>
      <c r="G6915" s="788">
        <v>41590</v>
      </c>
      <c r="H6915" s="787">
        <v>1</v>
      </c>
      <c r="I6915" s="788">
        <v>41625</v>
      </c>
      <c r="J6915" s="788">
        <v>41579</v>
      </c>
      <c r="L6915" s="787">
        <v>8.35</v>
      </c>
      <c r="M6915" s="787">
        <v>20</v>
      </c>
      <c r="N6915" s="787">
        <v>10.050000000000001</v>
      </c>
      <c r="O6915" s="788">
        <v>41858</v>
      </c>
    </row>
    <row r="6916" spans="1:15" x14ac:dyDescent="0.25">
      <c r="A6916" s="786" t="s">
        <v>12363</v>
      </c>
      <c r="B6916" s="787">
        <v>4</v>
      </c>
      <c r="C6916" s="787" t="s">
        <v>12364</v>
      </c>
      <c r="D6916" s="787">
        <v>3.33</v>
      </c>
      <c r="E6916" s="787">
        <v>13.33</v>
      </c>
      <c r="F6916" s="788">
        <v>41606</v>
      </c>
      <c r="G6916" s="788">
        <v>42013</v>
      </c>
      <c r="H6916" s="787">
        <v>1</v>
      </c>
      <c r="I6916" s="788">
        <v>42090</v>
      </c>
      <c r="J6916" s="788">
        <v>41606</v>
      </c>
      <c r="L6916" s="787">
        <v>9.3000000000000007</v>
      </c>
      <c r="M6916" s="787">
        <v>20</v>
      </c>
      <c r="N6916" s="787">
        <v>11.2</v>
      </c>
      <c r="O6916" s="788">
        <v>41858</v>
      </c>
    </row>
    <row r="6917" spans="1:15" x14ac:dyDescent="0.25">
      <c r="A6917" s="786" t="s">
        <v>12365</v>
      </c>
      <c r="B6917" s="787">
        <v>4</v>
      </c>
      <c r="C6917" s="787" t="s">
        <v>12366</v>
      </c>
      <c r="D6917" s="787">
        <v>6.7</v>
      </c>
      <c r="E6917" s="787">
        <v>16.7</v>
      </c>
      <c r="F6917" s="788">
        <v>41596</v>
      </c>
      <c r="G6917" s="788">
        <v>41586</v>
      </c>
      <c r="H6917" s="787">
        <v>1</v>
      </c>
      <c r="J6917" s="788">
        <v>42076</v>
      </c>
      <c r="L6917" s="787">
        <v>16.7</v>
      </c>
      <c r="M6917" s="787">
        <v>20</v>
      </c>
      <c r="N6917" s="787">
        <v>17.95</v>
      </c>
      <c r="O6917" s="788">
        <v>41858</v>
      </c>
    </row>
    <row r="6918" spans="1:15" x14ac:dyDescent="0.25">
      <c r="A6918" s="786" t="s">
        <v>12367</v>
      </c>
      <c r="B6918" s="787">
        <v>4</v>
      </c>
      <c r="C6918" s="787" t="s">
        <v>12368</v>
      </c>
      <c r="D6918" s="787">
        <v>4.34</v>
      </c>
      <c r="E6918" s="787">
        <v>14.84</v>
      </c>
      <c r="F6918" s="788">
        <v>41599</v>
      </c>
      <c r="G6918" s="788">
        <v>41943</v>
      </c>
      <c r="H6918" s="787">
        <v>1</v>
      </c>
      <c r="J6918" s="788">
        <v>41766</v>
      </c>
      <c r="K6918" s="788">
        <v>41758</v>
      </c>
      <c r="L6918" s="787">
        <v>14.84</v>
      </c>
      <c r="M6918" s="787">
        <v>20</v>
      </c>
      <c r="N6918" s="787">
        <v>15.95</v>
      </c>
      <c r="O6918" s="788">
        <v>41858</v>
      </c>
    </row>
    <row r="6919" spans="1:15" x14ac:dyDescent="0.25">
      <c r="A6919" s="786" t="s">
        <v>12369</v>
      </c>
      <c r="B6919" s="787">
        <v>4</v>
      </c>
      <c r="C6919" s="787" t="s">
        <v>12370</v>
      </c>
      <c r="D6919" s="787">
        <v>4.5999999999999996</v>
      </c>
      <c r="E6919" s="787">
        <v>264.60000000000002</v>
      </c>
      <c r="F6919" s="788">
        <v>42152</v>
      </c>
      <c r="G6919" s="788">
        <v>42158</v>
      </c>
      <c r="H6919" s="787">
        <v>1</v>
      </c>
      <c r="I6919" s="788">
        <v>42135</v>
      </c>
      <c r="J6919" s="788">
        <v>42153</v>
      </c>
      <c r="K6919" s="788">
        <v>41590</v>
      </c>
      <c r="L6919" s="787">
        <v>257.04000000000002</v>
      </c>
      <c r="M6919" s="787">
        <v>20</v>
      </c>
      <c r="N6919" s="787">
        <v>276.32</v>
      </c>
      <c r="O6919" s="788">
        <v>41858</v>
      </c>
    </row>
    <row r="6920" spans="1:15" x14ac:dyDescent="0.25">
      <c r="A6920" s="786" t="s">
        <v>12371</v>
      </c>
      <c r="B6920" s="787">
        <v>4</v>
      </c>
      <c r="C6920" s="787" t="s">
        <v>12372</v>
      </c>
      <c r="D6920" s="787">
        <v>0</v>
      </c>
      <c r="E6920" s="787">
        <v>40</v>
      </c>
      <c r="F6920" s="788">
        <v>41836</v>
      </c>
      <c r="G6920" s="788">
        <v>41836</v>
      </c>
      <c r="H6920" s="787">
        <v>1</v>
      </c>
      <c r="I6920" s="788">
        <v>41849</v>
      </c>
      <c r="J6920" s="788">
        <v>41836</v>
      </c>
      <c r="K6920" s="788">
        <v>41787</v>
      </c>
      <c r="L6920" s="787">
        <v>40</v>
      </c>
      <c r="M6920" s="787">
        <v>20</v>
      </c>
      <c r="N6920" s="787">
        <v>43</v>
      </c>
      <c r="O6920" s="788">
        <v>42136</v>
      </c>
    </row>
    <row r="6921" spans="1:15" x14ac:dyDescent="0.25">
      <c r="A6921" s="786" t="s">
        <v>12373</v>
      </c>
      <c r="B6921" s="787">
        <v>4</v>
      </c>
      <c r="C6921" s="787" t="s">
        <v>12374</v>
      </c>
      <c r="D6921" s="787">
        <v>3.5</v>
      </c>
      <c r="E6921" s="787">
        <v>28.85</v>
      </c>
      <c r="F6921" s="788">
        <v>41612</v>
      </c>
      <c r="G6921" s="788">
        <v>42107</v>
      </c>
      <c r="H6921" s="787">
        <v>1</v>
      </c>
      <c r="I6921" s="788">
        <v>41648</v>
      </c>
      <c r="J6921" s="788">
        <v>42107</v>
      </c>
      <c r="K6921" s="788">
        <v>41605</v>
      </c>
      <c r="L6921" s="787">
        <v>23.5</v>
      </c>
      <c r="M6921" s="787">
        <v>20</v>
      </c>
      <c r="N6921" s="787">
        <v>25.26</v>
      </c>
      <c r="O6921" s="788">
        <v>41858</v>
      </c>
    </row>
    <row r="6922" spans="1:15" x14ac:dyDescent="0.25">
      <c r="A6922" s="786" t="s">
        <v>12375</v>
      </c>
      <c r="B6922" s="787">
        <v>4</v>
      </c>
      <c r="C6922" s="787" t="s">
        <v>12376</v>
      </c>
      <c r="D6922" s="787">
        <v>3</v>
      </c>
      <c r="E6922" s="787">
        <v>13.2</v>
      </c>
      <c r="F6922" s="788">
        <v>41619</v>
      </c>
      <c r="G6922" s="788">
        <v>42079</v>
      </c>
      <c r="H6922" s="787">
        <v>3</v>
      </c>
      <c r="I6922" s="788">
        <v>42158</v>
      </c>
      <c r="J6922" s="788">
        <v>42079</v>
      </c>
      <c r="L6922" s="787">
        <v>13.2</v>
      </c>
      <c r="M6922" s="787">
        <v>20</v>
      </c>
      <c r="N6922" s="787">
        <v>14.19</v>
      </c>
      <c r="O6922" s="788">
        <v>42039</v>
      </c>
    </row>
    <row r="6923" spans="1:15" x14ac:dyDescent="0.25">
      <c r="A6923" s="786" t="s">
        <v>12377</v>
      </c>
      <c r="B6923" s="787">
        <v>4</v>
      </c>
      <c r="C6923" s="787" t="s">
        <v>12378</v>
      </c>
      <c r="D6923" s="787">
        <v>5</v>
      </c>
      <c r="E6923" s="787">
        <v>245</v>
      </c>
      <c r="F6923" s="788">
        <v>41627</v>
      </c>
      <c r="G6923" s="788">
        <v>42166</v>
      </c>
      <c r="H6923" s="787">
        <v>1</v>
      </c>
      <c r="I6923" s="788">
        <v>42158</v>
      </c>
      <c r="J6923" s="788">
        <v>42166</v>
      </c>
      <c r="L6923" s="787">
        <v>234</v>
      </c>
      <c r="M6923" s="787">
        <v>20</v>
      </c>
      <c r="N6923" s="787">
        <v>251.55</v>
      </c>
      <c r="O6923" s="788">
        <v>41858</v>
      </c>
    </row>
    <row r="6924" spans="1:15" x14ac:dyDescent="0.25">
      <c r="A6924" s="786" t="s">
        <v>12379</v>
      </c>
      <c r="B6924" s="787">
        <v>4</v>
      </c>
      <c r="C6924" s="787" t="s">
        <v>12380</v>
      </c>
      <c r="D6924" s="787">
        <v>5</v>
      </c>
      <c r="E6924" s="787">
        <v>785</v>
      </c>
      <c r="F6924" s="788">
        <v>41663</v>
      </c>
      <c r="G6924" s="788">
        <v>41663</v>
      </c>
      <c r="H6924" s="787">
        <v>1</v>
      </c>
      <c r="I6924" s="788">
        <v>42072</v>
      </c>
      <c r="J6924" s="788">
        <v>42034</v>
      </c>
      <c r="K6924" s="788">
        <v>41628</v>
      </c>
      <c r="L6924" s="787">
        <v>785</v>
      </c>
      <c r="M6924" s="787">
        <v>20</v>
      </c>
      <c r="N6924" s="787">
        <v>843.88</v>
      </c>
      <c r="O6924" s="788">
        <v>42039</v>
      </c>
    </row>
    <row r="6925" spans="1:15" x14ac:dyDescent="0.25">
      <c r="A6925" s="786" t="s">
        <v>12381</v>
      </c>
      <c r="B6925" s="787">
        <v>4</v>
      </c>
      <c r="C6925" s="787" t="s">
        <v>12382</v>
      </c>
      <c r="D6925" s="787">
        <v>1.24</v>
      </c>
      <c r="E6925" s="787">
        <v>1.24</v>
      </c>
      <c r="F6925" s="788">
        <v>41663</v>
      </c>
      <c r="G6925" s="788">
        <v>41663</v>
      </c>
      <c r="H6925" s="787">
        <v>1</v>
      </c>
      <c r="I6925" s="788">
        <v>41960</v>
      </c>
      <c r="J6925" s="788">
        <v>41775</v>
      </c>
      <c r="K6925" s="788">
        <v>41628</v>
      </c>
      <c r="L6925" s="787">
        <v>1.24</v>
      </c>
      <c r="M6925" s="787">
        <v>20</v>
      </c>
      <c r="N6925" s="787">
        <v>1.33</v>
      </c>
      <c r="O6925" s="788">
        <v>42039</v>
      </c>
    </row>
    <row r="6926" spans="1:15" x14ac:dyDescent="0.25">
      <c r="A6926" s="786" t="s">
        <v>12383</v>
      </c>
      <c r="B6926" s="787">
        <v>4</v>
      </c>
      <c r="C6926" s="787" t="s">
        <v>12384</v>
      </c>
      <c r="D6926" s="787">
        <v>4.0999999999999996</v>
      </c>
      <c r="E6926" s="787">
        <v>34.1</v>
      </c>
      <c r="F6926" s="788">
        <v>41659</v>
      </c>
      <c r="G6926" s="788">
        <v>42012</v>
      </c>
      <c r="H6926" s="787">
        <v>1</v>
      </c>
      <c r="I6926" s="788">
        <v>41978</v>
      </c>
      <c r="J6926" s="788">
        <v>41985</v>
      </c>
      <c r="L6926" s="787">
        <v>34.1</v>
      </c>
      <c r="M6926" s="787">
        <v>20</v>
      </c>
      <c r="N6926" s="787">
        <v>34.1</v>
      </c>
      <c r="O6926" s="788">
        <v>41858</v>
      </c>
    </row>
    <row r="6927" spans="1:15" x14ac:dyDescent="0.25">
      <c r="A6927" s="786" t="s">
        <v>12385</v>
      </c>
      <c r="B6927" s="787">
        <v>4</v>
      </c>
      <c r="C6927" s="787" t="s">
        <v>12386</v>
      </c>
      <c r="D6927" s="787">
        <v>1.8</v>
      </c>
      <c r="E6927" s="787">
        <v>31.8</v>
      </c>
      <c r="F6927" s="788">
        <v>41659</v>
      </c>
      <c r="G6927" s="788">
        <v>41655</v>
      </c>
      <c r="H6927" s="787">
        <v>1</v>
      </c>
      <c r="I6927" s="788">
        <v>41687</v>
      </c>
      <c r="J6927" s="788">
        <v>41655</v>
      </c>
      <c r="L6927" s="787">
        <v>31.8</v>
      </c>
      <c r="M6927" s="787">
        <v>20</v>
      </c>
      <c r="N6927" s="787">
        <v>31.8</v>
      </c>
      <c r="O6927" s="788">
        <v>41858</v>
      </c>
    </row>
    <row r="6928" spans="1:15" x14ac:dyDescent="0.25">
      <c r="A6928" s="786" t="s">
        <v>287</v>
      </c>
      <c r="B6928" s="787">
        <v>4</v>
      </c>
      <c r="C6928" s="787" t="s">
        <v>12387</v>
      </c>
      <c r="D6928" s="787">
        <v>2.09</v>
      </c>
      <c r="E6928" s="787">
        <v>12.09</v>
      </c>
      <c r="F6928" s="788">
        <v>42086</v>
      </c>
      <c r="G6928" s="788">
        <v>42091</v>
      </c>
      <c r="H6928" s="787">
        <v>1</v>
      </c>
      <c r="I6928" s="788">
        <v>42166</v>
      </c>
      <c r="J6928" s="788">
        <v>42079</v>
      </c>
      <c r="L6928" s="787">
        <v>12.1</v>
      </c>
      <c r="M6928" s="787">
        <v>20</v>
      </c>
      <c r="N6928" s="787">
        <v>13.66</v>
      </c>
      <c r="O6928" s="788">
        <v>41858</v>
      </c>
    </row>
    <row r="6929" spans="1:15" x14ac:dyDescent="0.25">
      <c r="A6929" s="786" t="s">
        <v>12388</v>
      </c>
      <c r="B6929" s="787">
        <v>4</v>
      </c>
      <c r="C6929" s="787" t="s">
        <v>9030</v>
      </c>
      <c r="D6929" s="787">
        <v>7.98</v>
      </c>
      <c r="E6929" s="787">
        <v>153.19999999999999</v>
      </c>
      <c r="F6929" s="788">
        <v>41655</v>
      </c>
      <c r="G6929" s="788">
        <v>41932</v>
      </c>
      <c r="H6929" s="787">
        <v>1</v>
      </c>
      <c r="I6929" s="788">
        <v>41911</v>
      </c>
      <c r="J6929" s="788">
        <v>41900</v>
      </c>
      <c r="K6929" s="788">
        <v>41885</v>
      </c>
      <c r="L6929" s="787">
        <v>149.4</v>
      </c>
      <c r="M6929" s="787">
        <v>20</v>
      </c>
      <c r="N6929" s="787">
        <v>154.80000000000001</v>
      </c>
      <c r="O6929" s="788">
        <v>41858</v>
      </c>
    </row>
    <row r="6930" spans="1:15" x14ac:dyDescent="0.25">
      <c r="A6930" s="786" t="s">
        <v>12389</v>
      </c>
      <c r="B6930" s="787">
        <v>4</v>
      </c>
      <c r="C6930" s="787" t="s">
        <v>12390</v>
      </c>
      <c r="D6930" s="787">
        <v>8.5500000000000007</v>
      </c>
      <c r="E6930" s="787">
        <v>299.02</v>
      </c>
      <c r="F6930" s="788">
        <v>41655</v>
      </c>
      <c r="G6930" s="788">
        <v>41932</v>
      </c>
      <c r="H6930" s="787">
        <v>1</v>
      </c>
      <c r="I6930" s="788">
        <v>41911</v>
      </c>
      <c r="J6930" s="788">
        <v>41900</v>
      </c>
      <c r="K6930" s="788">
        <v>41885</v>
      </c>
      <c r="L6930" s="787">
        <v>291.60000000000002</v>
      </c>
      <c r="M6930" s="787">
        <v>20</v>
      </c>
      <c r="N6930" s="787">
        <v>301.86</v>
      </c>
      <c r="O6930" s="788">
        <v>41858</v>
      </c>
    </row>
    <row r="6931" spans="1:15" x14ac:dyDescent="0.25">
      <c r="A6931" s="786" t="s">
        <v>12391</v>
      </c>
      <c r="B6931" s="787">
        <v>4</v>
      </c>
      <c r="C6931" s="787" t="s">
        <v>12392</v>
      </c>
      <c r="D6931" s="787">
        <v>0.3</v>
      </c>
      <c r="E6931" s="787">
        <v>160.30000000000001</v>
      </c>
      <c r="F6931" s="788">
        <v>41655</v>
      </c>
      <c r="G6931" s="788">
        <v>41659</v>
      </c>
      <c r="H6931" s="787">
        <v>1</v>
      </c>
      <c r="I6931" s="788">
        <v>41655</v>
      </c>
      <c r="J6931" s="788">
        <v>41652</v>
      </c>
      <c r="L6931" s="787">
        <v>156</v>
      </c>
      <c r="M6931" s="787">
        <v>20</v>
      </c>
      <c r="N6931" s="787">
        <v>167.7</v>
      </c>
      <c r="O6931" s="788">
        <v>41858</v>
      </c>
    </row>
    <row r="6932" spans="1:15" x14ac:dyDescent="0.25">
      <c r="A6932" s="786" t="s">
        <v>293</v>
      </c>
      <c r="B6932" s="787">
        <v>4</v>
      </c>
      <c r="C6932" s="787" t="s">
        <v>12393</v>
      </c>
      <c r="D6932" s="787">
        <v>2.4500000000000002</v>
      </c>
      <c r="E6932" s="787">
        <v>2.4500000000000002</v>
      </c>
      <c r="F6932" s="788">
        <v>42086</v>
      </c>
      <c r="G6932" s="788">
        <v>42091</v>
      </c>
      <c r="H6932" s="787">
        <v>1</v>
      </c>
      <c r="I6932" s="788">
        <v>42166</v>
      </c>
      <c r="J6932" s="788">
        <v>42079</v>
      </c>
      <c r="L6932" s="787">
        <v>2.61</v>
      </c>
      <c r="M6932" s="787">
        <v>20</v>
      </c>
      <c r="N6932" s="787">
        <v>2.95</v>
      </c>
      <c r="O6932" s="788">
        <v>41858</v>
      </c>
    </row>
    <row r="6933" spans="1:15" x14ac:dyDescent="0.25">
      <c r="A6933" s="786" t="s">
        <v>12394</v>
      </c>
      <c r="B6933" s="787">
        <v>4</v>
      </c>
      <c r="C6933" s="787" t="s">
        <v>12395</v>
      </c>
      <c r="D6933" s="787">
        <v>0</v>
      </c>
      <c r="E6933" s="787">
        <v>12.67</v>
      </c>
      <c r="G6933" s="788">
        <v>41702</v>
      </c>
      <c r="H6933" s="787">
        <v>6</v>
      </c>
      <c r="I6933" s="788">
        <v>41717</v>
      </c>
      <c r="J6933" s="788">
        <v>41717</v>
      </c>
      <c r="L6933" s="787">
        <v>12.67</v>
      </c>
      <c r="M6933" s="787">
        <v>20</v>
      </c>
      <c r="N6933" s="787">
        <v>13.62</v>
      </c>
      <c r="O6933" s="788">
        <v>41717</v>
      </c>
    </row>
    <row r="6934" spans="1:15" x14ac:dyDescent="0.25">
      <c r="A6934" s="786" t="s">
        <v>12396</v>
      </c>
      <c r="B6934" s="787">
        <v>4</v>
      </c>
      <c r="C6934" s="787" t="s">
        <v>12397</v>
      </c>
      <c r="D6934" s="787">
        <v>2.59</v>
      </c>
      <c r="E6934" s="787">
        <v>13.09</v>
      </c>
      <c r="F6934" s="788">
        <v>41652</v>
      </c>
      <c r="G6934" s="788">
        <v>42013</v>
      </c>
      <c r="H6934" s="787">
        <v>1</v>
      </c>
      <c r="J6934" s="788">
        <v>41886</v>
      </c>
      <c r="K6934" s="788">
        <v>41648</v>
      </c>
      <c r="L6934" s="787">
        <v>12.59</v>
      </c>
      <c r="M6934" s="787">
        <v>20</v>
      </c>
      <c r="N6934" s="787">
        <v>13.53</v>
      </c>
      <c r="O6934" s="788">
        <v>41858</v>
      </c>
    </row>
    <row r="6935" spans="1:15" x14ac:dyDescent="0.25">
      <c r="A6935" s="786" t="s">
        <v>12398</v>
      </c>
      <c r="B6935" s="787">
        <v>4</v>
      </c>
      <c r="C6935" s="787" t="s">
        <v>12399</v>
      </c>
      <c r="D6935" s="787">
        <v>4.34</v>
      </c>
      <c r="E6935" s="787">
        <v>14.84</v>
      </c>
      <c r="F6935" s="788">
        <v>41660</v>
      </c>
      <c r="G6935" s="788">
        <v>42013</v>
      </c>
      <c r="H6935" s="787">
        <v>1</v>
      </c>
      <c r="J6935" s="788">
        <v>41785</v>
      </c>
      <c r="L6935" s="787">
        <v>14.34</v>
      </c>
      <c r="M6935" s="787">
        <v>20</v>
      </c>
      <c r="N6935" s="787">
        <v>15.42</v>
      </c>
      <c r="O6935" s="788">
        <v>41858</v>
      </c>
    </row>
    <row r="6936" spans="1:15" x14ac:dyDescent="0.25">
      <c r="A6936" s="786" t="s">
        <v>12400</v>
      </c>
      <c r="B6936" s="787">
        <v>4</v>
      </c>
      <c r="C6936" s="787" t="s">
        <v>12401</v>
      </c>
      <c r="D6936" s="787">
        <v>1.39</v>
      </c>
      <c r="E6936" s="787">
        <v>1.44</v>
      </c>
      <c r="F6936" s="788">
        <v>41789</v>
      </c>
      <c r="G6936" s="788">
        <v>42150</v>
      </c>
      <c r="H6936" s="787">
        <v>1</v>
      </c>
      <c r="I6936" s="788">
        <v>42137</v>
      </c>
      <c r="J6936" s="788">
        <v>42137</v>
      </c>
      <c r="L6936" s="787">
        <v>1.4</v>
      </c>
      <c r="M6936" s="787">
        <v>20</v>
      </c>
      <c r="N6936" s="787">
        <v>1.51</v>
      </c>
      <c r="O6936" s="788">
        <v>42039</v>
      </c>
    </row>
    <row r="6937" spans="1:15" x14ac:dyDescent="0.25">
      <c r="A6937" s="786" t="s">
        <v>12402</v>
      </c>
      <c r="B6937" s="787">
        <v>4</v>
      </c>
      <c r="C6937" s="787" t="s">
        <v>12403</v>
      </c>
      <c r="D6937" s="787">
        <v>3</v>
      </c>
      <c r="E6937" s="787">
        <v>693</v>
      </c>
      <c r="F6937" s="788">
        <v>41680</v>
      </c>
      <c r="G6937" s="788">
        <v>41680</v>
      </c>
      <c r="H6937" s="787">
        <v>1</v>
      </c>
      <c r="J6937" s="788">
        <v>41680</v>
      </c>
      <c r="L6937" s="787">
        <v>693</v>
      </c>
      <c r="M6937" s="787">
        <v>20</v>
      </c>
      <c r="N6937" s="787">
        <v>744.98</v>
      </c>
      <c r="O6937" s="788">
        <v>41858</v>
      </c>
    </row>
    <row r="6938" spans="1:15" x14ac:dyDescent="0.25">
      <c r="A6938" s="786" t="s">
        <v>12404</v>
      </c>
      <c r="B6938" s="787">
        <v>4</v>
      </c>
      <c r="C6938" s="787" t="s">
        <v>12405</v>
      </c>
      <c r="D6938" s="787">
        <v>3</v>
      </c>
      <c r="E6938" s="787">
        <v>693</v>
      </c>
      <c r="F6938" s="788">
        <v>41680</v>
      </c>
      <c r="G6938" s="788">
        <v>41680</v>
      </c>
      <c r="H6938" s="787">
        <v>1</v>
      </c>
      <c r="J6938" s="788">
        <v>41680</v>
      </c>
      <c r="L6938" s="787">
        <v>693</v>
      </c>
      <c r="M6938" s="787">
        <v>20</v>
      </c>
      <c r="N6938" s="787">
        <v>744.98</v>
      </c>
      <c r="O6938" s="788">
        <v>41858</v>
      </c>
    </row>
    <row r="6939" spans="1:15" x14ac:dyDescent="0.25">
      <c r="A6939" s="786" t="s">
        <v>12406</v>
      </c>
      <c r="B6939" s="787">
        <v>4</v>
      </c>
      <c r="C6939" s="787" t="s">
        <v>12407</v>
      </c>
      <c r="D6939" s="787">
        <v>1.52</v>
      </c>
      <c r="E6939" s="787">
        <v>21.52</v>
      </c>
      <c r="F6939" s="788">
        <v>41689</v>
      </c>
      <c r="G6939" s="788">
        <v>41689</v>
      </c>
      <c r="H6939" s="787">
        <v>1</v>
      </c>
      <c r="J6939" s="788">
        <v>41680</v>
      </c>
      <c r="K6939" s="788">
        <v>41689</v>
      </c>
      <c r="L6939" s="787">
        <v>21.52</v>
      </c>
      <c r="M6939" s="787">
        <v>20</v>
      </c>
      <c r="N6939" s="787">
        <v>23.13</v>
      </c>
      <c r="O6939" s="788">
        <v>41858</v>
      </c>
    </row>
    <row r="6940" spans="1:15" x14ac:dyDescent="0.25">
      <c r="A6940" s="786" t="s">
        <v>12408</v>
      </c>
      <c r="B6940" s="787">
        <v>4</v>
      </c>
      <c r="C6940" s="787" t="s">
        <v>12409</v>
      </c>
      <c r="D6940" s="787">
        <v>1.5</v>
      </c>
      <c r="E6940" s="787">
        <v>31.5</v>
      </c>
      <c r="F6940" s="788">
        <v>42016</v>
      </c>
      <c r="G6940" s="788">
        <v>42017</v>
      </c>
      <c r="H6940" s="787">
        <v>1</v>
      </c>
      <c r="I6940" s="788">
        <v>42026</v>
      </c>
      <c r="J6940" s="788">
        <v>42003</v>
      </c>
      <c r="L6940" s="787">
        <v>26.05</v>
      </c>
      <c r="M6940" s="787">
        <v>20</v>
      </c>
      <c r="N6940" s="787">
        <v>28</v>
      </c>
      <c r="O6940" s="788">
        <v>41858</v>
      </c>
    </row>
    <row r="6941" spans="1:15" x14ac:dyDescent="0.25">
      <c r="A6941" s="786" t="s">
        <v>12410</v>
      </c>
      <c r="B6941" s="787">
        <v>4</v>
      </c>
      <c r="C6941" s="787" t="s">
        <v>2604</v>
      </c>
      <c r="D6941" s="787">
        <v>7.38</v>
      </c>
      <c r="E6941" s="787">
        <v>17.38</v>
      </c>
      <c r="F6941" s="788">
        <v>41689</v>
      </c>
      <c r="G6941" s="788">
        <v>41757</v>
      </c>
      <c r="H6941" s="787">
        <v>1</v>
      </c>
      <c r="I6941" s="788">
        <v>41738</v>
      </c>
      <c r="J6941" s="788">
        <v>41687</v>
      </c>
      <c r="K6941" s="788">
        <v>41682</v>
      </c>
      <c r="L6941" s="787">
        <v>16.75</v>
      </c>
      <c r="M6941" s="787">
        <v>20</v>
      </c>
      <c r="N6941" s="787">
        <v>18.010000000000002</v>
      </c>
      <c r="O6941" s="788">
        <v>41858</v>
      </c>
    </row>
    <row r="6942" spans="1:15" x14ac:dyDescent="0.25">
      <c r="A6942" s="786" t="s">
        <v>12411</v>
      </c>
      <c r="B6942" s="787">
        <v>4</v>
      </c>
      <c r="C6942" s="787" t="s">
        <v>12401</v>
      </c>
      <c r="D6942" s="787">
        <v>4.29</v>
      </c>
      <c r="E6942" s="787">
        <v>4.29</v>
      </c>
      <c r="F6942" s="788">
        <v>41694</v>
      </c>
      <c r="G6942" s="788">
        <v>41988</v>
      </c>
      <c r="H6942" s="787">
        <v>1</v>
      </c>
      <c r="I6942" s="788">
        <v>41709</v>
      </c>
      <c r="J6942" s="788">
        <v>41719</v>
      </c>
      <c r="K6942" s="788">
        <v>41689</v>
      </c>
      <c r="L6942" s="787">
        <v>4.3</v>
      </c>
      <c r="M6942" s="787">
        <v>20</v>
      </c>
      <c r="N6942" s="787">
        <v>4.62</v>
      </c>
      <c r="O6942" s="788">
        <v>41858</v>
      </c>
    </row>
    <row r="6943" spans="1:15" x14ac:dyDescent="0.25">
      <c r="A6943" s="786" t="s">
        <v>12412</v>
      </c>
      <c r="B6943" s="787">
        <v>4</v>
      </c>
      <c r="C6943" s="787" t="s">
        <v>12413</v>
      </c>
      <c r="D6943" s="787">
        <v>3.32</v>
      </c>
      <c r="E6943" s="787">
        <v>3.32</v>
      </c>
      <c r="F6943" s="788">
        <v>41732</v>
      </c>
      <c r="G6943" s="788">
        <v>41724</v>
      </c>
      <c r="H6943" s="787">
        <v>1</v>
      </c>
      <c r="I6943" s="788">
        <v>42040</v>
      </c>
      <c r="J6943" s="788">
        <v>41724</v>
      </c>
      <c r="L6943" s="787">
        <v>3.32</v>
      </c>
      <c r="M6943" s="787">
        <v>20</v>
      </c>
      <c r="N6943" s="787">
        <v>3.57</v>
      </c>
      <c r="O6943" s="788">
        <v>41858</v>
      </c>
    </row>
    <row r="6944" spans="1:15" x14ac:dyDescent="0.25">
      <c r="A6944" s="786" t="s">
        <v>12414</v>
      </c>
      <c r="B6944" s="787">
        <v>4</v>
      </c>
      <c r="C6944" s="787" t="s">
        <v>12415</v>
      </c>
      <c r="D6944" s="787">
        <v>3.32</v>
      </c>
      <c r="E6944" s="787">
        <v>3.32</v>
      </c>
      <c r="F6944" s="788">
        <v>41732</v>
      </c>
      <c r="G6944" s="788">
        <v>41724</v>
      </c>
      <c r="H6944" s="787">
        <v>1</v>
      </c>
      <c r="I6944" s="788">
        <v>42123</v>
      </c>
      <c r="J6944" s="788">
        <v>41724</v>
      </c>
      <c r="L6944" s="787">
        <v>3.32</v>
      </c>
      <c r="M6944" s="787">
        <v>20</v>
      </c>
      <c r="N6944" s="787">
        <v>3.57</v>
      </c>
      <c r="O6944" s="788">
        <v>41858</v>
      </c>
    </row>
    <row r="6945" spans="1:15" x14ac:dyDescent="0.25">
      <c r="A6945" s="786" t="s">
        <v>12416</v>
      </c>
      <c r="B6945" s="787">
        <v>4</v>
      </c>
      <c r="C6945" s="787" t="s">
        <v>12417</v>
      </c>
      <c r="D6945" s="787">
        <v>1.58</v>
      </c>
      <c r="E6945" s="787">
        <v>401.58</v>
      </c>
      <c r="F6945" s="788">
        <v>41695</v>
      </c>
      <c r="G6945" s="788">
        <v>41745</v>
      </c>
      <c r="H6945" s="787">
        <v>1</v>
      </c>
      <c r="I6945" s="788">
        <v>41701</v>
      </c>
      <c r="J6945" s="788">
        <v>41695</v>
      </c>
      <c r="L6945" s="787">
        <v>343.68</v>
      </c>
      <c r="M6945" s="787">
        <v>20</v>
      </c>
      <c r="N6945" s="787">
        <v>369.46</v>
      </c>
      <c r="O6945" s="788">
        <v>41858</v>
      </c>
    </row>
    <row r="6946" spans="1:15" x14ac:dyDescent="0.25">
      <c r="A6946" s="786" t="s">
        <v>12418</v>
      </c>
      <c r="B6946" s="787">
        <v>4</v>
      </c>
      <c r="C6946" s="787" t="s">
        <v>12401</v>
      </c>
      <c r="D6946" s="787">
        <v>8.8800000000000008</v>
      </c>
      <c r="E6946" s="787">
        <v>8.8800000000000008</v>
      </c>
      <c r="F6946" s="788">
        <v>41708</v>
      </c>
      <c r="G6946" s="788">
        <v>41789</v>
      </c>
      <c r="H6946" s="787">
        <v>1</v>
      </c>
      <c r="J6946" s="788">
        <v>41702</v>
      </c>
      <c r="K6946" s="788">
        <v>41865</v>
      </c>
      <c r="L6946" s="787">
        <v>1.58</v>
      </c>
      <c r="M6946" s="787">
        <v>20</v>
      </c>
      <c r="N6946" s="787">
        <v>1.7</v>
      </c>
      <c r="O6946" s="788">
        <v>42039</v>
      </c>
    </row>
    <row r="6947" spans="1:15" x14ac:dyDescent="0.25">
      <c r="A6947" s="786" t="s">
        <v>551</v>
      </c>
      <c r="B6947" s="787">
        <v>4</v>
      </c>
      <c r="C6947" s="787" t="s">
        <v>12419</v>
      </c>
      <c r="D6947" s="787">
        <v>1.5</v>
      </c>
      <c r="E6947" s="787">
        <v>1.5</v>
      </c>
      <c r="F6947" s="788">
        <v>41765</v>
      </c>
      <c r="G6947" s="788">
        <v>41758</v>
      </c>
      <c r="H6947" s="787">
        <v>1</v>
      </c>
      <c r="I6947" s="788">
        <v>42090</v>
      </c>
      <c r="J6947" s="788">
        <v>42069</v>
      </c>
      <c r="L6947" s="787">
        <v>1.5</v>
      </c>
      <c r="M6947" s="787">
        <v>20</v>
      </c>
      <c r="N6947" s="787">
        <v>1.61</v>
      </c>
      <c r="O6947" s="788">
        <v>41858</v>
      </c>
    </row>
    <row r="6948" spans="1:15" x14ac:dyDescent="0.25">
      <c r="A6948" s="786" t="s">
        <v>12420</v>
      </c>
      <c r="B6948" s="787">
        <v>4</v>
      </c>
      <c r="C6948" s="787" t="s">
        <v>12421</v>
      </c>
      <c r="D6948" s="787">
        <v>0.05</v>
      </c>
      <c r="E6948" s="787">
        <v>0.05</v>
      </c>
      <c r="F6948" s="788">
        <v>41712</v>
      </c>
      <c r="G6948" s="788">
        <v>42008</v>
      </c>
      <c r="H6948" s="787">
        <v>1</v>
      </c>
      <c r="J6948" s="788">
        <v>41960</v>
      </c>
      <c r="L6948" s="787">
        <v>0.05</v>
      </c>
      <c r="M6948" s="787">
        <v>20</v>
      </c>
      <c r="N6948" s="787">
        <v>0.05</v>
      </c>
      <c r="O6948" s="788">
        <v>41858</v>
      </c>
    </row>
    <row r="6949" spans="1:15" x14ac:dyDescent="0.25">
      <c r="A6949" s="786" t="s">
        <v>12422</v>
      </c>
      <c r="B6949" s="787">
        <v>4</v>
      </c>
      <c r="C6949" s="787" t="s">
        <v>12423</v>
      </c>
      <c r="D6949" s="787">
        <v>0.57999999999999996</v>
      </c>
      <c r="E6949" s="787">
        <v>0.57999999999999996</v>
      </c>
      <c r="F6949" s="788">
        <v>41705</v>
      </c>
      <c r="G6949" s="788">
        <v>41715</v>
      </c>
      <c r="H6949" s="787">
        <v>1</v>
      </c>
      <c r="J6949" s="788">
        <v>41701</v>
      </c>
      <c r="K6949" s="788">
        <v>41701</v>
      </c>
      <c r="L6949" s="787">
        <v>0.83</v>
      </c>
      <c r="M6949" s="787">
        <v>20</v>
      </c>
      <c r="N6949" s="787">
        <v>0.89</v>
      </c>
      <c r="O6949" s="788">
        <v>41858</v>
      </c>
    </row>
    <row r="6950" spans="1:15" x14ac:dyDescent="0.25">
      <c r="A6950" s="786" t="s">
        <v>740</v>
      </c>
      <c r="B6950" s="787">
        <v>4</v>
      </c>
      <c r="C6950" s="787" t="s">
        <v>12424</v>
      </c>
      <c r="D6950" s="787">
        <v>7.08</v>
      </c>
      <c r="E6950" s="787">
        <v>17.079999999999998</v>
      </c>
      <c r="F6950" s="788">
        <v>41708</v>
      </c>
      <c r="G6950" s="788">
        <v>41710</v>
      </c>
      <c r="H6950" s="787">
        <v>1</v>
      </c>
      <c r="I6950" s="788">
        <v>42054</v>
      </c>
      <c r="J6950" s="788">
        <v>42046</v>
      </c>
      <c r="L6950" s="787">
        <v>17.079999999999998</v>
      </c>
      <c r="M6950" s="787">
        <v>20</v>
      </c>
      <c r="N6950" s="787">
        <v>18.36</v>
      </c>
      <c r="O6950" s="788">
        <v>41858</v>
      </c>
    </row>
    <row r="6951" spans="1:15" x14ac:dyDescent="0.25">
      <c r="A6951" s="786" t="s">
        <v>12425</v>
      </c>
      <c r="B6951" s="787">
        <v>4</v>
      </c>
      <c r="C6951" s="787" t="s">
        <v>12426</v>
      </c>
      <c r="D6951" s="787">
        <v>4.82</v>
      </c>
      <c r="E6951" s="787">
        <v>4.82</v>
      </c>
      <c r="F6951" s="788">
        <v>41716</v>
      </c>
      <c r="G6951" s="788">
        <v>41716</v>
      </c>
      <c r="H6951" s="787">
        <v>1</v>
      </c>
      <c r="I6951" s="788">
        <v>41715</v>
      </c>
      <c r="J6951" s="788">
        <v>41716</v>
      </c>
      <c r="K6951" s="788">
        <v>41869</v>
      </c>
      <c r="L6951" s="787">
        <v>4.82</v>
      </c>
      <c r="M6951" s="787">
        <v>20</v>
      </c>
      <c r="N6951" s="787">
        <v>5.18</v>
      </c>
      <c r="O6951" s="788">
        <v>41955</v>
      </c>
    </row>
    <row r="6952" spans="1:15" x14ac:dyDescent="0.25">
      <c r="A6952" s="786" t="s">
        <v>12427</v>
      </c>
      <c r="B6952" s="787">
        <v>4</v>
      </c>
      <c r="C6952" s="787" t="s">
        <v>12428</v>
      </c>
      <c r="D6952" s="787">
        <v>0</v>
      </c>
      <c r="E6952" s="787">
        <v>20.92</v>
      </c>
      <c r="G6952" s="788">
        <v>41736</v>
      </c>
      <c r="H6952" s="787">
        <v>1</v>
      </c>
      <c r="J6952" s="788">
        <v>41736</v>
      </c>
      <c r="L6952" s="787">
        <v>20.92</v>
      </c>
      <c r="M6952" s="787">
        <v>20</v>
      </c>
      <c r="N6952" s="787">
        <v>22.49</v>
      </c>
      <c r="O6952" s="788">
        <v>41858</v>
      </c>
    </row>
    <row r="6953" spans="1:15" x14ac:dyDescent="0.25">
      <c r="A6953" s="786" t="s">
        <v>12429</v>
      </c>
      <c r="B6953" s="787">
        <v>4</v>
      </c>
      <c r="C6953" s="787" t="s">
        <v>12430</v>
      </c>
      <c r="D6953" s="787">
        <v>2.09</v>
      </c>
      <c r="E6953" s="787">
        <v>32.090000000000003</v>
      </c>
      <c r="F6953" s="788">
        <v>41736</v>
      </c>
      <c r="G6953" s="788">
        <v>41737</v>
      </c>
      <c r="H6953" s="787">
        <v>1</v>
      </c>
      <c r="I6953" s="788">
        <v>41821</v>
      </c>
      <c r="J6953" s="788">
        <v>41737</v>
      </c>
      <c r="L6953" s="787">
        <v>32.090000000000003</v>
      </c>
      <c r="M6953" s="787">
        <v>20</v>
      </c>
      <c r="N6953" s="787">
        <v>34.5</v>
      </c>
      <c r="O6953" s="788">
        <v>41858</v>
      </c>
    </row>
    <row r="6954" spans="1:15" x14ac:dyDescent="0.25">
      <c r="A6954" s="786" t="s">
        <v>12431</v>
      </c>
      <c r="B6954" s="787">
        <v>4</v>
      </c>
      <c r="C6954" s="787" t="s">
        <v>12432</v>
      </c>
      <c r="D6954" s="787">
        <v>1.96</v>
      </c>
      <c r="E6954" s="787">
        <v>13.78</v>
      </c>
      <c r="F6954" s="788">
        <v>41723</v>
      </c>
      <c r="G6954" s="788">
        <v>42166</v>
      </c>
      <c r="H6954" s="787">
        <v>1</v>
      </c>
      <c r="I6954" s="788">
        <v>41723</v>
      </c>
      <c r="J6954" s="788">
        <v>42160</v>
      </c>
      <c r="K6954" s="788">
        <v>41717</v>
      </c>
      <c r="L6954" s="787">
        <v>10.52</v>
      </c>
      <c r="M6954" s="787">
        <v>20</v>
      </c>
      <c r="N6954" s="787">
        <v>11.31</v>
      </c>
      <c r="O6954" s="788">
        <v>41858</v>
      </c>
    </row>
    <row r="6955" spans="1:15" x14ac:dyDescent="0.25">
      <c r="A6955" s="786" t="s">
        <v>12433</v>
      </c>
      <c r="B6955" s="787">
        <v>4</v>
      </c>
      <c r="C6955" s="787" t="s">
        <v>12434</v>
      </c>
      <c r="D6955" s="787">
        <v>5.19</v>
      </c>
      <c r="E6955" s="787">
        <v>5.19</v>
      </c>
      <c r="F6955" s="788">
        <v>41732</v>
      </c>
      <c r="G6955" s="788">
        <v>42131</v>
      </c>
      <c r="H6955" s="787">
        <v>1</v>
      </c>
      <c r="I6955" s="788">
        <v>41822</v>
      </c>
      <c r="J6955" s="788">
        <v>42131</v>
      </c>
      <c r="L6955" s="787">
        <v>5.19</v>
      </c>
      <c r="M6955" s="787">
        <v>20</v>
      </c>
      <c r="N6955" s="787">
        <v>5.58</v>
      </c>
      <c r="O6955" s="788">
        <v>41858</v>
      </c>
    </row>
    <row r="6956" spans="1:15" x14ac:dyDescent="0.25">
      <c r="A6956" s="786" t="s">
        <v>12435</v>
      </c>
      <c r="B6956" s="787">
        <v>4</v>
      </c>
      <c r="C6956" s="787" t="s">
        <v>3913</v>
      </c>
      <c r="D6956" s="787">
        <v>0</v>
      </c>
      <c r="E6956" s="787">
        <v>0</v>
      </c>
      <c r="H6956" s="787">
        <v>1</v>
      </c>
      <c r="L6956" s="787">
        <v>2</v>
      </c>
      <c r="M6956" s="787">
        <v>10</v>
      </c>
      <c r="N6956" s="787">
        <v>0</v>
      </c>
    </row>
    <row r="6957" spans="1:15" x14ac:dyDescent="0.25">
      <c r="A6957" s="786" t="s">
        <v>12436</v>
      </c>
      <c r="B6957" s="787">
        <v>4</v>
      </c>
      <c r="C6957" s="787" t="s">
        <v>12437</v>
      </c>
      <c r="D6957" s="787">
        <v>1.6</v>
      </c>
      <c r="E6957" s="787">
        <v>1.6</v>
      </c>
      <c r="F6957" s="788">
        <v>41734</v>
      </c>
      <c r="G6957" s="788">
        <v>41737</v>
      </c>
      <c r="H6957" s="787">
        <v>1</v>
      </c>
      <c r="J6957" s="788">
        <v>41772</v>
      </c>
      <c r="L6957" s="787">
        <v>1.6</v>
      </c>
      <c r="M6957" s="787">
        <v>20</v>
      </c>
      <c r="N6957" s="787">
        <v>1.72</v>
      </c>
      <c r="O6957" s="788">
        <v>41858</v>
      </c>
    </row>
    <row r="6958" spans="1:15" x14ac:dyDescent="0.25">
      <c r="A6958" s="786" t="s">
        <v>12438</v>
      </c>
      <c r="B6958" s="787">
        <v>4</v>
      </c>
      <c r="C6958" s="787" t="s">
        <v>12439</v>
      </c>
      <c r="D6958" s="787">
        <v>2.8</v>
      </c>
      <c r="E6958" s="787">
        <v>5.03</v>
      </c>
      <c r="F6958" s="788">
        <v>41734</v>
      </c>
      <c r="G6958" s="788">
        <v>41757</v>
      </c>
      <c r="H6958" s="787">
        <v>1</v>
      </c>
      <c r="J6958" s="788">
        <v>41739</v>
      </c>
      <c r="L6958" s="787">
        <v>2.8</v>
      </c>
      <c r="M6958" s="787">
        <v>20</v>
      </c>
      <c r="N6958" s="787">
        <v>3.01</v>
      </c>
      <c r="O6958" s="788">
        <v>41858</v>
      </c>
    </row>
    <row r="6959" spans="1:15" x14ac:dyDescent="0.25">
      <c r="A6959" s="786" t="s">
        <v>12440</v>
      </c>
      <c r="B6959" s="787">
        <v>4</v>
      </c>
      <c r="C6959" s="787" t="s">
        <v>12441</v>
      </c>
      <c r="D6959" s="787">
        <v>6</v>
      </c>
      <c r="E6959" s="787">
        <v>46</v>
      </c>
      <c r="F6959" s="788">
        <v>41745</v>
      </c>
      <c r="G6959" s="788">
        <v>41731</v>
      </c>
      <c r="H6959" s="787">
        <v>1</v>
      </c>
      <c r="I6959" s="788">
        <v>41988</v>
      </c>
      <c r="J6959" s="788">
        <v>41904</v>
      </c>
      <c r="L6959" s="787">
        <v>46</v>
      </c>
      <c r="M6959" s="787">
        <v>20</v>
      </c>
      <c r="N6959" s="787">
        <v>49.45</v>
      </c>
      <c r="O6959" s="788">
        <v>41858</v>
      </c>
    </row>
    <row r="6960" spans="1:15" x14ac:dyDescent="0.25">
      <c r="A6960" s="786" t="s">
        <v>12442</v>
      </c>
      <c r="B6960" s="787">
        <v>4</v>
      </c>
      <c r="C6960" s="787" t="s">
        <v>12443</v>
      </c>
      <c r="D6960" s="787">
        <v>0</v>
      </c>
      <c r="E6960" s="787">
        <v>0.01</v>
      </c>
      <c r="H6960" s="787">
        <v>1</v>
      </c>
      <c r="L6960" s="787">
        <v>0.01</v>
      </c>
      <c r="M6960" s="787">
        <v>20</v>
      </c>
      <c r="N6960" s="787">
        <v>0.01</v>
      </c>
      <c r="O6960" s="788">
        <v>41858</v>
      </c>
    </row>
    <row r="6961" spans="1:15" x14ac:dyDescent="0.25">
      <c r="A6961" s="786" t="s">
        <v>12444</v>
      </c>
      <c r="B6961" s="787">
        <v>4</v>
      </c>
      <c r="C6961" s="787" t="s">
        <v>12401</v>
      </c>
      <c r="D6961" s="787">
        <v>1</v>
      </c>
      <c r="E6961" s="787">
        <v>3.59</v>
      </c>
      <c r="F6961" s="788">
        <v>41827</v>
      </c>
      <c r="G6961" s="788">
        <v>42013</v>
      </c>
      <c r="H6961" s="787">
        <v>1</v>
      </c>
      <c r="I6961" s="788">
        <v>41926</v>
      </c>
      <c r="J6961" s="788">
        <v>41956</v>
      </c>
      <c r="L6961" s="787">
        <v>3.33</v>
      </c>
      <c r="M6961" s="787">
        <v>20</v>
      </c>
      <c r="N6961" s="787">
        <v>3.58</v>
      </c>
      <c r="O6961" s="788">
        <v>41858</v>
      </c>
    </row>
    <row r="6962" spans="1:15" x14ac:dyDescent="0.25">
      <c r="A6962" s="786" t="s">
        <v>12445</v>
      </c>
      <c r="B6962" s="787">
        <v>4</v>
      </c>
      <c r="C6962" s="787" t="s">
        <v>12446</v>
      </c>
      <c r="D6962" s="787">
        <v>4.0999999999999996</v>
      </c>
      <c r="E6962" s="787">
        <v>76.14</v>
      </c>
      <c r="F6962" s="788">
        <v>41743</v>
      </c>
      <c r="G6962" s="788">
        <v>42150</v>
      </c>
      <c r="H6962" s="787">
        <v>1</v>
      </c>
      <c r="I6962" s="788">
        <v>42136</v>
      </c>
      <c r="J6962" s="788">
        <v>42131</v>
      </c>
      <c r="K6962" s="788">
        <v>41731</v>
      </c>
      <c r="L6962" s="787">
        <v>74.099999999999994</v>
      </c>
      <c r="M6962" s="787">
        <v>20</v>
      </c>
      <c r="N6962" s="787">
        <v>89.22</v>
      </c>
      <c r="O6962" s="788">
        <v>41858</v>
      </c>
    </row>
    <row r="6963" spans="1:15" x14ac:dyDescent="0.25">
      <c r="A6963" s="786" t="s">
        <v>12447</v>
      </c>
      <c r="B6963" s="787">
        <v>4</v>
      </c>
      <c r="C6963" s="787" t="s">
        <v>9662</v>
      </c>
      <c r="D6963" s="787">
        <v>0.48</v>
      </c>
      <c r="E6963" s="787">
        <v>0.51</v>
      </c>
      <c r="F6963" s="788">
        <v>41773</v>
      </c>
      <c r="G6963" s="788">
        <v>42013</v>
      </c>
      <c r="H6963" s="787">
        <v>1</v>
      </c>
      <c r="I6963" s="788">
        <v>42136</v>
      </c>
      <c r="J6963" s="788">
        <v>41844</v>
      </c>
      <c r="L6963" s="787">
        <v>0.47</v>
      </c>
      <c r="M6963" s="787">
        <v>20</v>
      </c>
      <c r="N6963" s="787">
        <v>0.56999999999999995</v>
      </c>
      <c r="O6963" s="788">
        <v>42038</v>
      </c>
    </row>
    <row r="6964" spans="1:15" x14ac:dyDescent="0.25">
      <c r="A6964" s="786" t="s">
        <v>12448</v>
      </c>
      <c r="B6964" s="787">
        <v>4</v>
      </c>
      <c r="C6964" s="787" t="s">
        <v>12449</v>
      </c>
      <c r="D6964" s="787">
        <v>2.0299999999999998</v>
      </c>
      <c r="E6964" s="787">
        <v>2.0299999999999998</v>
      </c>
      <c r="F6964" s="788">
        <v>41746</v>
      </c>
      <c r="G6964" s="788">
        <v>41743</v>
      </c>
      <c r="H6964" s="787">
        <v>1</v>
      </c>
      <c r="I6964" s="788">
        <v>42136</v>
      </c>
      <c r="J6964" s="788">
        <v>42124</v>
      </c>
      <c r="L6964" s="787">
        <v>2.0299999999999998</v>
      </c>
      <c r="M6964" s="787">
        <v>20</v>
      </c>
      <c r="N6964" s="787">
        <v>2.1800000000000002</v>
      </c>
      <c r="O6964" s="788">
        <v>41858</v>
      </c>
    </row>
    <row r="6965" spans="1:15" x14ac:dyDescent="0.25">
      <c r="A6965" s="786" t="s">
        <v>12450</v>
      </c>
      <c r="B6965" s="787">
        <v>4</v>
      </c>
      <c r="C6965" s="787" t="s">
        <v>12451</v>
      </c>
      <c r="D6965" s="787">
        <v>4.3</v>
      </c>
      <c r="E6965" s="787">
        <v>4.3</v>
      </c>
      <c r="F6965" s="788">
        <v>41746</v>
      </c>
      <c r="G6965" s="788">
        <v>42156</v>
      </c>
      <c r="H6965" s="787">
        <v>1</v>
      </c>
      <c r="I6965" s="788">
        <v>42152</v>
      </c>
      <c r="J6965" s="788">
        <v>42156</v>
      </c>
      <c r="L6965" s="787">
        <v>4.3</v>
      </c>
      <c r="M6965" s="787">
        <v>20</v>
      </c>
      <c r="N6965" s="787">
        <v>4.62</v>
      </c>
      <c r="O6965" s="788">
        <v>41990</v>
      </c>
    </row>
    <row r="6966" spans="1:15" x14ac:dyDescent="0.25">
      <c r="A6966" s="786" t="s">
        <v>12452</v>
      </c>
      <c r="B6966" s="787">
        <v>4</v>
      </c>
      <c r="C6966" s="787" t="s">
        <v>12453</v>
      </c>
      <c r="D6966" s="787">
        <v>8</v>
      </c>
      <c r="E6966" s="787">
        <v>38</v>
      </c>
      <c r="F6966" s="788">
        <v>41935</v>
      </c>
      <c r="G6966" s="788">
        <v>41933</v>
      </c>
      <c r="H6966" s="787">
        <v>1</v>
      </c>
      <c r="I6966" s="788">
        <v>42152</v>
      </c>
      <c r="J6966" s="788">
        <v>42156</v>
      </c>
      <c r="K6966" s="788">
        <v>41767</v>
      </c>
      <c r="L6966" s="787">
        <v>39.5</v>
      </c>
      <c r="M6966" s="787">
        <v>20</v>
      </c>
      <c r="N6966" s="787">
        <v>42.46</v>
      </c>
      <c r="O6966" s="788">
        <v>41978</v>
      </c>
    </row>
    <row r="6967" spans="1:15" x14ac:dyDescent="0.25">
      <c r="A6967" s="786" t="s">
        <v>12454</v>
      </c>
      <c r="B6967" s="787">
        <v>4</v>
      </c>
      <c r="C6967" s="787" t="s">
        <v>12453</v>
      </c>
      <c r="D6967" s="787">
        <v>5.5</v>
      </c>
      <c r="E6967" s="787">
        <v>35.5</v>
      </c>
      <c r="F6967" s="788">
        <v>41792</v>
      </c>
      <c r="G6967" s="788">
        <v>41933</v>
      </c>
      <c r="H6967" s="787">
        <v>1</v>
      </c>
      <c r="I6967" s="788">
        <v>42152</v>
      </c>
      <c r="J6967" s="788">
        <v>41933</v>
      </c>
      <c r="K6967" s="788">
        <v>41767</v>
      </c>
      <c r="L6967" s="787">
        <v>35.5</v>
      </c>
      <c r="M6967" s="787">
        <v>20</v>
      </c>
      <c r="N6967" s="787">
        <v>38.159999999999997</v>
      </c>
      <c r="O6967" s="788">
        <v>41955</v>
      </c>
    </row>
    <row r="6968" spans="1:15" x14ac:dyDescent="0.25">
      <c r="A6968" s="786" t="s">
        <v>12455</v>
      </c>
      <c r="B6968" s="787">
        <v>4</v>
      </c>
      <c r="C6968" s="787" t="s">
        <v>12453</v>
      </c>
      <c r="D6968" s="787">
        <v>7</v>
      </c>
      <c r="E6968" s="787">
        <v>40</v>
      </c>
      <c r="F6968" s="788">
        <v>41792</v>
      </c>
      <c r="G6968" s="788">
        <v>41877</v>
      </c>
      <c r="H6968" s="787">
        <v>1</v>
      </c>
      <c r="I6968" s="788">
        <v>42152</v>
      </c>
      <c r="J6968" s="788">
        <v>41852</v>
      </c>
      <c r="K6968" s="788">
        <v>41767</v>
      </c>
      <c r="L6968" s="787">
        <v>37</v>
      </c>
      <c r="M6968" s="787">
        <v>20</v>
      </c>
      <c r="N6968" s="787">
        <v>39.78</v>
      </c>
      <c r="O6968" s="788">
        <v>41990</v>
      </c>
    </row>
    <row r="6969" spans="1:15" x14ac:dyDescent="0.25">
      <c r="A6969" s="786" t="s">
        <v>12456</v>
      </c>
      <c r="B6969" s="787">
        <v>4</v>
      </c>
      <c r="C6969" s="787" t="s">
        <v>12457</v>
      </c>
      <c r="D6969" s="787">
        <v>1.5</v>
      </c>
      <c r="E6969" s="787">
        <v>32.799999999999997</v>
      </c>
      <c r="F6969" s="788">
        <v>41792</v>
      </c>
      <c r="G6969" s="788">
        <v>41877</v>
      </c>
      <c r="H6969" s="787">
        <v>1</v>
      </c>
      <c r="I6969" s="788">
        <v>42152</v>
      </c>
      <c r="J6969" s="788">
        <v>41852</v>
      </c>
      <c r="K6969" s="788">
        <v>41767</v>
      </c>
      <c r="L6969" s="787">
        <v>31.5</v>
      </c>
      <c r="M6969" s="787">
        <v>20</v>
      </c>
      <c r="N6969" s="787">
        <v>33.86</v>
      </c>
      <c r="O6969" s="788">
        <v>41955</v>
      </c>
    </row>
    <row r="6970" spans="1:15" x14ac:dyDescent="0.25">
      <c r="A6970" s="786" t="s">
        <v>12458</v>
      </c>
      <c r="B6970" s="787">
        <v>4</v>
      </c>
      <c r="C6970" s="787" t="s">
        <v>12459</v>
      </c>
      <c r="D6970" s="787">
        <v>1.5</v>
      </c>
      <c r="E6970" s="787">
        <v>24</v>
      </c>
      <c r="F6970" s="788">
        <v>41792</v>
      </c>
      <c r="G6970" s="788">
        <v>41877</v>
      </c>
      <c r="H6970" s="787">
        <v>1</v>
      </c>
      <c r="I6970" s="788">
        <v>42152</v>
      </c>
      <c r="J6970" s="788">
        <v>42156</v>
      </c>
      <c r="K6970" s="788">
        <v>41767</v>
      </c>
      <c r="L6970" s="787">
        <v>21.5</v>
      </c>
      <c r="M6970" s="787">
        <v>20</v>
      </c>
      <c r="N6970" s="787">
        <v>23.11</v>
      </c>
      <c r="O6970" s="788">
        <v>41990</v>
      </c>
    </row>
    <row r="6971" spans="1:15" x14ac:dyDescent="0.25">
      <c r="A6971" s="786" t="s">
        <v>12460</v>
      </c>
      <c r="B6971" s="787">
        <v>4</v>
      </c>
      <c r="C6971" s="787" t="s">
        <v>12461</v>
      </c>
      <c r="D6971" s="787">
        <v>2.5</v>
      </c>
      <c r="E6971" s="787">
        <v>45</v>
      </c>
      <c r="F6971" s="788">
        <v>41792</v>
      </c>
      <c r="G6971" s="788">
        <v>41877</v>
      </c>
      <c r="H6971" s="787">
        <v>1</v>
      </c>
      <c r="I6971" s="788">
        <v>42152</v>
      </c>
      <c r="J6971" s="788">
        <v>42157</v>
      </c>
      <c r="K6971" s="788">
        <v>41767</v>
      </c>
      <c r="L6971" s="787">
        <v>42.5</v>
      </c>
      <c r="M6971" s="787">
        <v>20</v>
      </c>
      <c r="N6971" s="787">
        <v>45.69</v>
      </c>
      <c r="O6971" s="788">
        <v>41858</v>
      </c>
    </row>
    <row r="6972" spans="1:15" x14ac:dyDescent="0.25">
      <c r="A6972" s="786" t="s">
        <v>12462</v>
      </c>
      <c r="B6972" s="787">
        <v>4</v>
      </c>
      <c r="C6972" s="787" t="s">
        <v>12463</v>
      </c>
      <c r="D6972" s="787">
        <v>0</v>
      </c>
      <c r="E6972" s="787">
        <v>327.5</v>
      </c>
      <c r="F6972" s="788">
        <v>41745</v>
      </c>
      <c r="G6972" s="788">
        <v>42135</v>
      </c>
      <c r="H6972" s="787">
        <v>1</v>
      </c>
      <c r="I6972" s="788">
        <v>42150</v>
      </c>
      <c r="J6972" s="788">
        <v>42135</v>
      </c>
      <c r="K6972" s="788">
        <v>41767</v>
      </c>
      <c r="L6972" s="787">
        <v>327.5</v>
      </c>
      <c r="M6972" s="787">
        <v>20</v>
      </c>
      <c r="N6972" s="787">
        <v>352.06</v>
      </c>
      <c r="O6972" s="788">
        <v>41990</v>
      </c>
    </row>
    <row r="6973" spans="1:15" x14ac:dyDescent="0.25">
      <c r="A6973" s="786" t="s">
        <v>12464</v>
      </c>
      <c r="B6973" s="787">
        <v>4</v>
      </c>
      <c r="C6973" s="787" t="s">
        <v>12465</v>
      </c>
      <c r="D6973" s="787">
        <v>0</v>
      </c>
      <c r="E6973" s="787">
        <v>327.5</v>
      </c>
      <c r="F6973" s="788">
        <v>41745</v>
      </c>
      <c r="G6973" s="788">
        <v>42135</v>
      </c>
      <c r="H6973" s="787">
        <v>1</v>
      </c>
      <c r="I6973" s="788">
        <v>42152</v>
      </c>
      <c r="J6973" s="788">
        <v>42156</v>
      </c>
      <c r="K6973" s="788">
        <v>41767</v>
      </c>
      <c r="L6973" s="787">
        <v>327.5</v>
      </c>
      <c r="M6973" s="787">
        <v>20</v>
      </c>
      <c r="N6973" s="787">
        <v>352.06</v>
      </c>
      <c r="O6973" s="788">
        <v>41990</v>
      </c>
    </row>
    <row r="6974" spans="1:15" x14ac:dyDescent="0.25">
      <c r="A6974" s="786" t="s">
        <v>12466</v>
      </c>
      <c r="B6974" s="787">
        <v>4</v>
      </c>
      <c r="C6974" s="787" t="s">
        <v>12467</v>
      </c>
      <c r="D6974" s="787">
        <v>3.09</v>
      </c>
      <c r="E6974" s="787">
        <v>13.09</v>
      </c>
      <c r="F6974" s="788">
        <v>41740</v>
      </c>
      <c r="G6974" s="788">
        <v>41789</v>
      </c>
      <c r="H6974" s="787">
        <v>1</v>
      </c>
      <c r="J6974" s="788">
        <v>41736</v>
      </c>
      <c r="K6974" s="788">
        <v>41758</v>
      </c>
      <c r="L6974" s="787">
        <v>13.09</v>
      </c>
      <c r="M6974" s="787">
        <v>20</v>
      </c>
      <c r="N6974" s="787">
        <v>14.07</v>
      </c>
      <c r="O6974" s="788">
        <v>41858</v>
      </c>
    </row>
    <row r="6975" spans="1:15" x14ac:dyDescent="0.25">
      <c r="A6975" s="786" t="s">
        <v>12468</v>
      </c>
      <c r="B6975" s="787">
        <v>4</v>
      </c>
      <c r="C6975" s="787" t="s">
        <v>12469</v>
      </c>
      <c r="D6975" s="787">
        <v>8.4600000000000009</v>
      </c>
      <c r="E6975" s="787">
        <v>28.46</v>
      </c>
      <c r="F6975" s="788">
        <v>41764</v>
      </c>
      <c r="G6975" s="788">
        <v>41765</v>
      </c>
      <c r="H6975" s="787">
        <v>1</v>
      </c>
      <c r="J6975" s="788">
        <v>41739</v>
      </c>
      <c r="L6975" s="787">
        <v>26.79</v>
      </c>
      <c r="M6975" s="787">
        <v>20</v>
      </c>
      <c r="N6975" s="787">
        <v>28.8</v>
      </c>
      <c r="O6975" s="788">
        <v>41858</v>
      </c>
    </row>
    <row r="6976" spans="1:15" x14ac:dyDescent="0.25">
      <c r="A6976" s="786" t="s">
        <v>12470</v>
      </c>
      <c r="B6976" s="787">
        <v>4</v>
      </c>
      <c r="C6976" s="787" t="s">
        <v>12471</v>
      </c>
      <c r="D6976" s="787">
        <v>9.52</v>
      </c>
      <c r="E6976" s="787">
        <v>29.52</v>
      </c>
      <c r="F6976" s="788">
        <v>41764</v>
      </c>
      <c r="G6976" s="788">
        <v>41765</v>
      </c>
      <c r="H6976" s="787">
        <v>1</v>
      </c>
      <c r="J6976" s="788">
        <v>41739</v>
      </c>
      <c r="L6976" s="787">
        <v>27.79</v>
      </c>
      <c r="M6976" s="787">
        <v>20</v>
      </c>
      <c r="N6976" s="787">
        <v>29.87</v>
      </c>
      <c r="O6976" s="788">
        <v>41858</v>
      </c>
    </row>
    <row r="6977" spans="1:15" x14ac:dyDescent="0.25">
      <c r="A6977" s="786" t="s">
        <v>12472</v>
      </c>
      <c r="B6977" s="787">
        <v>4</v>
      </c>
      <c r="C6977" s="787" t="s">
        <v>12473</v>
      </c>
      <c r="D6977" s="787">
        <v>8.6300000000000008</v>
      </c>
      <c r="E6977" s="787">
        <v>28.63</v>
      </c>
      <c r="F6977" s="788">
        <v>41764</v>
      </c>
      <c r="G6977" s="788">
        <v>41765</v>
      </c>
      <c r="H6977" s="787">
        <v>1</v>
      </c>
      <c r="J6977" s="788">
        <v>41739</v>
      </c>
      <c r="K6977" s="788">
        <v>41733</v>
      </c>
      <c r="L6977" s="787">
        <v>26.95</v>
      </c>
      <c r="M6977" s="787">
        <v>20</v>
      </c>
      <c r="N6977" s="787">
        <v>28.97</v>
      </c>
      <c r="O6977" s="788">
        <v>41858</v>
      </c>
    </row>
    <row r="6978" spans="1:15" x14ac:dyDescent="0.25">
      <c r="A6978" s="786" t="s">
        <v>12474</v>
      </c>
      <c r="B6978" s="787">
        <v>4</v>
      </c>
      <c r="C6978" s="787" t="s">
        <v>12475</v>
      </c>
      <c r="D6978" s="787">
        <v>5.28</v>
      </c>
      <c r="E6978" s="787">
        <v>15.28</v>
      </c>
      <c r="F6978" s="788">
        <v>41754</v>
      </c>
      <c r="G6978" s="788">
        <v>42013</v>
      </c>
      <c r="H6978" s="787">
        <v>1</v>
      </c>
      <c r="I6978" s="788">
        <v>42150</v>
      </c>
      <c r="J6978" s="788">
        <v>41990</v>
      </c>
      <c r="L6978" s="787">
        <v>15.28</v>
      </c>
      <c r="M6978" s="787">
        <v>20</v>
      </c>
      <c r="N6978" s="787">
        <v>16.43</v>
      </c>
      <c r="O6978" s="788">
        <v>41858</v>
      </c>
    </row>
    <row r="6979" spans="1:15" x14ac:dyDescent="0.25">
      <c r="A6979" s="786" t="s">
        <v>12476</v>
      </c>
      <c r="B6979" s="787">
        <v>4</v>
      </c>
      <c r="C6979" s="787" t="s">
        <v>12477</v>
      </c>
      <c r="D6979" s="787">
        <v>6.23</v>
      </c>
      <c r="E6979" s="787">
        <v>16.23</v>
      </c>
      <c r="F6979" s="788">
        <v>41754</v>
      </c>
      <c r="G6979" s="788">
        <v>42092</v>
      </c>
      <c r="H6979" s="787">
        <v>1</v>
      </c>
      <c r="I6979" s="788">
        <v>42164</v>
      </c>
      <c r="J6979" s="788">
        <v>42089</v>
      </c>
      <c r="L6979" s="787">
        <v>16.23</v>
      </c>
      <c r="M6979" s="787">
        <v>20</v>
      </c>
      <c r="N6979" s="787">
        <v>17.45</v>
      </c>
      <c r="O6979" s="788">
        <v>41858</v>
      </c>
    </row>
    <row r="6980" spans="1:15" x14ac:dyDescent="0.25">
      <c r="A6980" s="786" t="s">
        <v>12478</v>
      </c>
      <c r="B6980" s="787">
        <v>4</v>
      </c>
      <c r="C6980" s="787" t="s">
        <v>12479</v>
      </c>
      <c r="D6980" s="787">
        <v>5.56</v>
      </c>
      <c r="E6980" s="787">
        <v>8.31</v>
      </c>
      <c r="F6980" s="788">
        <v>41813</v>
      </c>
      <c r="G6980" s="788">
        <v>41865</v>
      </c>
      <c r="H6980" s="787">
        <v>1</v>
      </c>
      <c r="I6980" s="788">
        <v>42152</v>
      </c>
      <c r="J6980" s="788">
        <v>42156</v>
      </c>
      <c r="L6980" s="787">
        <v>4.8499999999999996</v>
      </c>
      <c r="M6980" s="787">
        <v>20</v>
      </c>
      <c r="N6980" s="787">
        <v>5.21</v>
      </c>
      <c r="O6980" s="788">
        <v>41858</v>
      </c>
    </row>
    <row r="6981" spans="1:15" x14ac:dyDescent="0.25">
      <c r="A6981" s="786" t="s">
        <v>12480</v>
      </c>
      <c r="B6981" s="787">
        <v>4</v>
      </c>
      <c r="C6981" s="787" t="s">
        <v>12481</v>
      </c>
      <c r="D6981" s="787">
        <v>5.56</v>
      </c>
      <c r="E6981" s="787">
        <v>10.66</v>
      </c>
      <c r="F6981" s="788">
        <v>41813</v>
      </c>
      <c r="G6981" s="788">
        <v>42156</v>
      </c>
      <c r="H6981" s="787">
        <v>1</v>
      </c>
      <c r="I6981" s="788">
        <v>42152</v>
      </c>
      <c r="J6981" s="788">
        <v>42142</v>
      </c>
      <c r="L6981" s="787">
        <v>4.8499999999999996</v>
      </c>
      <c r="M6981" s="787">
        <v>20</v>
      </c>
      <c r="N6981" s="787">
        <v>5.21</v>
      </c>
      <c r="O6981" s="788">
        <v>41858</v>
      </c>
    </row>
    <row r="6982" spans="1:15" x14ac:dyDescent="0.25">
      <c r="A6982" s="786" t="s">
        <v>12482</v>
      </c>
      <c r="B6982" s="787">
        <v>4</v>
      </c>
      <c r="C6982" s="787" t="s">
        <v>12483</v>
      </c>
      <c r="D6982" s="787">
        <v>4.6500000000000004</v>
      </c>
      <c r="E6982" s="787">
        <v>8.8000000000000007</v>
      </c>
      <c r="F6982" s="788">
        <v>41813</v>
      </c>
      <c r="G6982" s="788">
        <v>41865</v>
      </c>
      <c r="H6982" s="787">
        <v>1</v>
      </c>
      <c r="I6982" s="788">
        <v>42152</v>
      </c>
      <c r="J6982" s="788">
        <v>41858</v>
      </c>
      <c r="K6982" s="788">
        <v>41869</v>
      </c>
      <c r="L6982" s="787">
        <v>4.6500000000000004</v>
      </c>
      <c r="M6982" s="787">
        <v>20</v>
      </c>
      <c r="N6982" s="787">
        <v>12.26</v>
      </c>
      <c r="O6982" s="788">
        <v>41858</v>
      </c>
    </row>
    <row r="6983" spans="1:15" x14ac:dyDescent="0.25">
      <c r="A6983" s="786" t="s">
        <v>12484</v>
      </c>
      <c r="B6983" s="787">
        <v>4</v>
      </c>
      <c r="C6983" s="787" t="s">
        <v>12485</v>
      </c>
      <c r="D6983" s="787">
        <v>0.51</v>
      </c>
      <c r="E6983" s="787">
        <v>1.51</v>
      </c>
      <c r="F6983" s="788">
        <v>41813</v>
      </c>
      <c r="G6983" s="788">
        <v>42013</v>
      </c>
      <c r="H6983" s="787">
        <v>1</v>
      </c>
      <c r="I6983" s="788">
        <v>42152</v>
      </c>
      <c r="J6983" s="788">
        <v>41858</v>
      </c>
      <c r="K6983" s="788">
        <v>41869</v>
      </c>
      <c r="L6983" s="787">
        <v>0.51</v>
      </c>
      <c r="M6983" s="787">
        <v>20</v>
      </c>
      <c r="N6983" s="787">
        <v>1.18</v>
      </c>
      <c r="O6983" s="788">
        <v>41858</v>
      </c>
    </row>
    <row r="6984" spans="1:15" x14ac:dyDescent="0.25">
      <c r="A6984" s="786" t="s">
        <v>12486</v>
      </c>
      <c r="B6984" s="787">
        <v>4</v>
      </c>
      <c r="C6984" s="787" t="s">
        <v>12487</v>
      </c>
      <c r="D6984" s="787">
        <v>3.42</v>
      </c>
      <c r="E6984" s="787">
        <v>5.36</v>
      </c>
      <c r="F6984" s="788">
        <v>41813</v>
      </c>
      <c r="G6984" s="788">
        <v>42013</v>
      </c>
      <c r="H6984" s="787">
        <v>1</v>
      </c>
      <c r="I6984" s="788">
        <v>42152</v>
      </c>
      <c r="J6984" s="788">
        <v>42157</v>
      </c>
      <c r="L6984" s="787">
        <v>3.9</v>
      </c>
      <c r="M6984" s="787">
        <v>20</v>
      </c>
      <c r="N6984" s="787">
        <v>4.1900000000000004</v>
      </c>
      <c r="O6984" s="788">
        <v>41858</v>
      </c>
    </row>
    <row r="6985" spans="1:15" x14ac:dyDescent="0.25">
      <c r="A6985" s="786" t="s">
        <v>12488</v>
      </c>
      <c r="B6985" s="787">
        <v>4</v>
      </c>
      <c r="C6985" s="787" t="s">
        <v>12489</v>
      </c>
      <c r="D6985" s="787">
        <v>1.95</v>
      </c>
      <c r="E6985" s="787">
        <v>2.97</v>
      </c>
      <c r="F6985" s="788">
        <v>41813</v>
      </c>
      <c r="G6985" s="788">
        <v>41911</v>
      </c>
      <c r="H6985" s="787">
        <v>1</v>
      </c>
      <c r="I6985" s="788">
        <v>42157</v>
      </c>
      <c r="J6985" s="788">
        <v>41907</v>
      </c>
      <c r="L6985" s="787">
        <v>2.4</v>
      </c>
      <c r="M6985" s="787">
        <v>20</v>
      </c>
      <c r="N6985" s="787">
        <v>2.58</v>
      </c>
      <c r="O6985" s="788">
        <v>42061</v>
      </c>
    </row>
    <row r="6986" spans="1:15" x14ac:dyDescent="0.25">
      <c r="A6986" s="786" t="s">
        <v>12490</v>
      </c>
      <c r="B6986" s="787">
        <v>4</v>
      </c>
      <c r="C6986" s="787" t="s">
        <v>12491</v>
      </c>
      <c r="D6986" s="787">
        <v>0.82</v>
      </c>
      <c r="E6986" s="787">
        <v>0.82</v>
      </c>
      <c r="F6986" s="788">
        <v>41813</v>
      </c>
      <c r="G6986" s="788">
        <v>41844</v>
      </c>
      <c r="H6986" s="787">
        <v>1</v>
      </c>
      <c r="I6986" s="788">
        <v>42152</v>
      </c>
      <c r="J6986" s="788">
        <v>41809</v>
      </c>
      <c r="K6986" s="788">
        <v>41869</v>
      </c>
      <c r="L6986" s="787">
        <v>0.82</v>
      </c>
      <c r="M6986" s="787">
        <v>20</v>
      </c>
      <c r="N6986" s="787">
        <v>3.11</v>
      </c>
      <c r="O6986" s="788">
        <v>41858</v>
      </c>
    </row>
    <row r="6987" spans="1:15" x14ac:dyDescent="0.25">
      <c r="A6987" s="786" t="s">
        <v>12492</v>
      </c>
      <c r="B6987" s="787">
        <v>4</v>
      </c>
      <c r="C6987" s="787" t="s">
        <v>12493</v>
      </c>
      <c r="D6987" s="787">
        <v>0.78</v>
      </c>
      <c r="E6987" s="787">
        <v>0.78</v>
      </c>
      <c r="F6987" s="788">
        <v>41813</v>
      </c>
      <c r="G6987" s="788">
        <v>41844</v>
      </c>
      <c r="H6987" s="787">
        <v>5</v>
      </c>
      <c r="I6987" s="788">
        <v>42152</v>
      </c>
      <c r="J6987" s="788">
        <v>41886</v>
      </c>
      <c r="K6987" s="788">
        <v>41869</v>
      </c>
      <c r="L6987" s="787">
        <v>0.78</v>
      </c>
      <c r="M6987" s="787">
        <v>20</v>
      </c>
      <c r="N6987" s="787">
        <v>1.45</v>
      </c>
      <c r="O6987" s="788">
        <v>41858</v>
      </c>
    </row>
    <row r="6988" spans="1:15" x14ac:dyDescent="0.25">
      <c r="A6988" s="786" t="s">
        <v>12494</v>
      </c>
      <c r="B6988" s="787">
        <v>4</v>
      </c>
      <c r="C6988" s="787" t="s">
        <v>12437</v>
      </c>
      <c r="D6988" s="787">
        <v>1.59</v>
      </c>
      <c r="E6988" s="787">
        <v>1.59</v>
      </c>
      <c r="F6988" s="788">
        <v>41963</v>
      </c>
      <c r="G6988" s="788">
        <v>41960</v>
      </c>
      <c r="H6988" s="787">
        <v>1</v>
      </c>
      <c r="J6988" s="788">
        <v>41960</v>
      </c>
      <c r="L6988" s="787">
        <v>1.77</v>
      </c>
      <c r="M6988" s="787">
        <v>20</v>
      </c>
      <c r="N6988" s="787">
        <v>1.9</v>
      </c>
      <c r="O6988" s="788">
        <v>41858</v>
      </c>
    </row>
    <row r="6989" spans="1:15" x14ac:dyDescent="0.25">
      <c r="A6989" s="786" t="s">
        <v>12495</v>
      </c>
      <c r="B6989" s="787">
        <v>4</v>
      </c>
      <c r="C6989" s="787" t="s">
        <v>12496</v>
      </c>
      <c r="D6989" s="787">
        <v>1.1000000000000001</v>
      </c>
      <c r="E6989" s="787">
        <v>11.1</v>
      </c>
      <c r="F6989" s="788">
        <v>41742</v>
      </c>
      <c r="G6989" s="788">
        <v>41739</v>
      </c>
      <c r="H6989" s="787">
        <v>1</v>
      </c>
      <c r="J6989" s="788">
        <v>41739</v>
      </c>
      <c r="L6989" s="787">
        <v>11.1</v>
      </c>
      <c r="M6989" s="787">
        <v>20</v>
      </c>
      <c r="N6989" s="787">
        <v>11.93</v>
      </c>
      <c r="O6989" s="788">
        <v>41858</v>
      </c>
    </row>
    <row r="6990" spans="1:15" x14ac:dyDescent="0.25">
      <c r="A6990" s="786" t="s">
        <v>12497</v>
      </c>
      <c r="B6990" s="787">
        <v>4</v>
      </c>
      <c r="C6990" s="787" t="s">
        <v>12498</v>
      </c>
      <c r="D6990" s="787">
        <v>4.5599999999999996</v>
      </c>
      <c r="E6990" s="787">
        <v>4.5599999999999996</v>
      </c>
      <c r="F6990" s="788">
        <v>41742</v>
      </c>
      <c r="G6990" s="788">
        <v>41739</v>
      </c>
      <c r="H6990" s="787">
        <v>1</v>
      </c>
      <c r="J6990" s="788">
        <v>41739</v>
      </c>
      <c r="L6990" s="787">
        <v>4.5599999999999996</v>
      </c>
      <c r="M6990" s="787">
        <v>20</v>
      </c>
      <c r="N6990" s="787">
        <v>4.9000000000000004</v>
      </c>
      <c r="O6990" s="788">
        <v>41858</v>
      </c>
    </row>
    <row r="6991" spans="1:15" x14ac:dyDescent="0.25">
      <c r="A6991" s="786" t="s">
        <v>12499</v>
      </c>
      <c r="B6991" s="787">
        <v>4</v>
      </c>
      <c r="C6991" s="787" t="s">
        <v>12498</v>
      </c>
      <c r="D6991" s="787">
        <v>4.5599999999999996</v>
      </c>
      <c r="E6991" s="787">
        <v>4.5599999999999996</v>
      </c>
      <c r="F6991" s="788">
        <v>41742</v>
      </c>
      <c r="G6991" s="788">
        <v>41739</v>
      </c>
      <c r="H6991" s="787">
        <v>1</v>
      </c>
      <c r="J6991" s="788">
        <v>41739</v>
      </c>
      <c r="L6991" s="787">
        <v>4.5599999999999996</v>
      </c>
      <c r="M6991" s="787">
        <v>20</v>
      </c>
      <c r="N6991" s="787">
        <v>4.9000000000000004</v>
      </c>
      <c r="O6991" s="788">
        <v>41858</v>
      </c>
    </row>
    <row r="6992" spans="1:15" x14ac:dyDescent="0.25">
      <c r="A6992" s="786" t="s">
        <v>12500</v>
      </c>
      <c r="B6992" s="787">
        <v>4</v>
      </c>
      <c r="C6992" s="787" t="s">
        <v>12501</v>
      </c>
      <c r="D6992" s="787">
        <v>5.6</v>
      </c>
      <c r="E6992" s="787">
        <v>45.6</v>
      </c>
      <c r="F6992" s="788">
        <v>41745</v>
      </c>
      <c r="G6992" s="788">
        <v>41744</v>
      </c>
      <c r="H6992" s="787">
        <v>1</v>
      </c>
      <c r="I6992" s="788">
        <v>41933</v>
      </c>
      <c r="J6992" s="788">
        <v>41744</v>
      </c>
      <c r="L6992" s="787">
        <v>45.6</v>
      </c>
      <c r="M6992" s="787">
        <v>20</v>
      </c>
      <c r="N6992" s="787">
        <v>49.02</v>
      </c>
      <c r="O6992" s="788">
        <v>41858</v>
      </c>
    </row>
    <row r="6993" spans="1:15" x14ac:dyDescent="0.25">
      <c r="A6993" s="786" t="s">
        <v>12502</v>
      </c>
      <c r="B6993" s="787">
        <v>4</v>
      </c>
      <c r="C6993" s="787" t="s">
        <v>12503</v>
      </c>
      <c r="D6993" s="787">
        <v>4.03</v>
      </c>
      <c r="E6993" s="787">
        <v>4.03</v>
      </c>
      <c r="F6993" s="788">
        <v>41757</v>
      </c>
      <c r="G6993" s="788">
        <v>41765</v>
      </c>
      <c r="H6993" s="787">
        <v>1</v>
      </c>
      <c r="J6993" s="788">
        <v>41752</v>
      </c>
      <c r="K6993" s="788">
        <v>41746</v>
      </c>
      <c r="L6993" s="787">
        <v>2.91</v>
      </c>
      <c r="M6993" s="787">
        <v>20</v>
      </c>
      <c r="N6993" s="787">
        <v>3.13</v>
      </c>
      <c r="O6993" s="788">
        <v>41858</v>
      </c>
    </row>
    <row r="6994" spans="1:15" x14ac:dyDescent="0.25">
      <c r="A6994" s="786" t="s">
        <v>12504</v>
      </c>
      <c r="B6994" s="787">
        <v>4</v>
      </c>
      <c r="C6994" s="787" t="s">
        <v>12505</v>
      </c>
      <c r="D6994" s="787">
        <v>0</v>
      </c>
      <c r="E6994" s="787">
        <v>0</v>
      </c>
      <c r="H6994" s="787">
        <v>1</v>
      </c>
      <c r="L6994" s="787">
        <v>0.01</v>
      </c>
      <c r="M6994" s="787">
        <v>20</v>
      </c>
      <c r="N6994" s="787">
        <v>0.01</v>
      </c>
      <c r="O6994" s="788">
        <v>41858</v>
      </c>
    </row>
    <row r="6995" spans="1:15" x14ac:dyDescent="0.25">
      <c r="A6995" s="786" t="s">
        <v>12506</v>
      </c>
      <c r="B6995" s="787">
        <v>4</v>
      </c>
      <c r="C6995" s="787" t="s">
        <v>12507</v>
      </c>
      <c r="D6995" s="787">
        <v>3.6</v>
      </c>
      <c r="E6995" s="787">
        <v>63.6</v>
      </c>
      <c r="F6995" s="788">
        <v>41757</v>
      </c>
      <c r="G6995" s="788">
        <v>41754</v>
      </c>
      <c r="H6995" s="787">
        <v>1</v>
      </c>
      <c r="J6995" s="788">
        <v>41754</v>
      </c>
      <c r="K6995" s="788">
        <v>41744</v>
      </c>
      <c r="L6995" s="787">
        <v>63.6</v>
      </c>
      <c r="M6995" s="787">
        <v>20</v>
      </c>
      <c r="N6995" s="787">
        <v>76.569999999999993</v>
      </c>
      <c r="O6995" s="788">
        <v>41858</v>
      </c>
    </row>
    <row r="6996" spans="1:15" x14ac:dyDescent="0.25">
      <c r="A6996" s="786" t="s">
        <v>12508</v>
      </c>
      <c r="B6996" s="787">
        <v>4</v>
      </c>
      <c r="C6996" s="787" t="s">
        <v>12509</v>
      </c>
      <c r="D6996" s="787">
        <v>0.9</v>
      </c>
      <c r="E6996" s="787">
        <v>10.9</v>
      </c>
      <c r="F6996" s="788">
        <v>41757</v>
      </c>
      <c r="G6996" s="788">
        <v>41754</v>
      </c>
      <c r="H6996" s="787">
        <v>1</v>
      </c>
      <c r="J6996" s="788">
        <v>41754</v>
      </c>
      <c r="K6996" s="788">
        <v>41744</v>
      </c>
      <c r="L6996" s="787">
        <v>10.9</v>
      </c>
      <c r="M6996" s="787">
        <v>20</v>
      </c>
      <c r="N6996" s="787">
        <v>11.72</v>
      </c>
      <c r="O6996" s="788">
        <v>41858</v>
      </c>
    </row>
    <row r="6997" spans="1:15" x14ac:dyDescent="0.25">
      <c r="A6997" s="786" t="s">
        <v>12510</v>
      </c>
      <c r="B6997" s="787">
        <v>4</v>
      </c>
      <c r="C6997" s="787" t="s">
        <v>12511</v>
      </c>
      <c r="D6997" s="787">
        <v>2.7</v>
      </c>
      <c r="E6997" s="787">
        <v>52.7</v>
      </c>
      <c r="F6997" s="788">
        <v>41757</v>
      </c>
      <c r="G6997" s="788">
        <v>41754</v>
      </c>
      <c r="H6997" s="787">
        <v>1</v>
      </c>
      <c r="J6997" s="788">
        <v>41754</v>
      </c>
      <c r="K6997" s="788">
        <v>41869</v>
      </c>
      <c r="L6997" s="787">
        <v>52.7</v>
      </c>
      <c r="M6997" s="787">
        <v>20</v>
      </c>
      <c r="N6997" s="787">
        <v>135.34</v>
      </c>
      <c r="O6997" s="788">
        <v>41858</v>
      </c>
    </row>
    <row r="6998" spans="1:15" x14ac:dyDescent="0.25">
      <c r="A6998" s="786" t="s">
        <v>12512</v>
      </c>
      <c r="B6998" s="787">
        <v>4</v>
      </c>
      <c r="C6998" s="787" t="s">
        <v>12513</v>
      </c>
      <c r="D6998" s="787">
        <v>5</v>
      </c>
      <c r="E6998" s="787">
        <v>125</v>
      </c>
      <c r="F6998" s="788">
        <v>41764</v>
      </c>
      <c r="G6998" s="788">
        <v>41757</v>
      </c>
      <c r="H6998" s="787">
        <v>1</v>
      </c>
      <c r="J6998" s="788">
        <v>41757</v>
      </c>
      <c r="L6998" s="787">
        <v>125</v>
      </c>
      <c r="M6998" s="787">
        <v>20</v>
      </c>
      <c r="N6998" s="787">
        <v>134.38</v>
      </c>
      <c r="O6998" s="788">
        <v>41858</v>
      </c>
    </row>
    <row r="6999" spans="1:15" x14ac:dyDescent="0.25">
      <c r="A6999" s="786" t="s">
        <v>12514</v>
      </c>
      <c r="B6999" s="787">
        <v>4</v>
      </c>
      <c r="C6999" s="787" t="s">
        <v>1444</v>
      </c>
      <c r="D6999" s="787">
        <v>0.81</v>
      </c>
      <c r="E6999" s="787">
        <v>0.81</v>
      </c>
      <c r="F6999" s="788">
        <v>42037</v>
      </c>
      <c r="G6999" s="788">
        <v>42081</v>
      </c>
      <c r="H6999" s="787">
        <v>1</v>
      </c>
      <c r="I6999" s="788">
        <v>42041</v>
      </c>
      <c r="J6999" s="788">
        <v>42062</v>
      </c>
      <c r="K6999" s="788">
        <v>41864</v>
      </c>
      <c r="L6999" s="787">
        <v>0.9</v>
      </c>
      <c r="M6999" s="787">
        <v>20</v>
      </c>
      <c r="N6999" s="787">
        <v>0.1</v>
      </c>
      <c r="O6999" s="788">
        <v>41858</v>
      </c>
    </row>
    <row r="7000" spans="1:15" x14ac:dyDescent="0.25">
      <c r="A7000" s="786" t="s">
        <v>12515</v>
      </c>
      <c r="B7000" s="787">
        <v>4</v>
      </c>
      <c r="C7000" s="787" t="s">
        <v>12516</v>
      </c>
      <c r="D7000" s="787">
        <v>4.21</v>
      </c>
      <c r="E7000" s="787">
        <v>5.26</v>
      </c>
      <c r="F7000" s="788">
        <v>41773</v>
      </c>
      <c r="G7000" s="788">
        <v>42144</v>
      </c>
      <c r="H7000" s="787">
        <v>1</v>
      </c>
      <c r="I7000" s="788">
        <v>42164</v>
      </c>
      <c r="J7000" s="788">
        <v>42144</v>
      </c>
      <c r="L7000" s="787">
        <v>5.26</v>
      </c>
      <c r="M7000" s="787">
        <v>20</v>
      </c>
      <c r="N7000" s="787">
        <v>5.65</v>
      </c>
      <c r="O7000" s="788">
        <v>41858</v>
      </c>
    </row>
    <row r="7001" spans="1:15" x14ac:dyDescent="0.25">
      <c r="A7001" s="786" t="s">
        <v>12517</v>
      </c>
      <c r="B7001" s="787">
        <v>4</v>
      </c>
      <c r="C7001" s="787" t="s">
        <v>12518</v>
      </c>
      <c r="D7001" s="787">
        <v>2</v>
      </c>
      <c r="E7001" s="787">
        <v>12</v>
      </c>
      <c r="F7001" s="788">
        <v>41821</v>
      </c>
      <c r="G7001" s="788">
        <v>41822</v>
      </c>
      <c r="H7001" s="787">
        <v>1</v>
      </c>
      <c r="J7001" s="788">
        <v>41822</v>
      </c>
      <c r="L7001" s="787">
        <v>12</v>
      </c>
      <c r="M7001" s="787">
        <v>20</v>
      </c>
      <c r="N7001" s="787">
        <v>12.9</v>
      </c>
      <c r="O7001" s="788">
        <v>41858</v>
      </c>
    </row>
    <row r="7002" spans="1:15" x14ac:dyDescent="0.25">
      <c r="A7002" s="786" t="s">
        <v>12519</v>
      </c>
      <c r="B7002" s="787">
        <v>4</v>
      </c>
      <c r="C7002" s="787" t="s">
        <v>12520</v>
      </c>
      <c r="D7002" s="787">
        <v>2.12</v>
      </c>
      <c r="E7002" s="787">
        <v>2.12</v>
      </c>
      <c r="F7002" s="788">
        <v>41765</v>
      </c>
      <c r="G7002" s="788">
        <v>41759</v>
      </c>
      <c r="H7002" s="787">
        <v>1</v>
      </c>
      <c r="I7002" s="788">
        <v>42157</v>
      </c>
      <c r="J7002" s="788">
        <v>41759</v>
      </c>
      <c r="L7002" s="787">
        <v>2.12</v>
      </c>
      <c r="M7002" s="787">
        <v>20</v>
      </c>
      <c r="N7002" s="787">
        <v>2.2799999999999998</v>
      </c>
      <c r="O7002" s="788">
        <v>41858</v>
      </c>
    </row>
    <row r="7003" spans="1:15" x14ac:dyDescent="0.25">
      <c r="A7003" s="786" t="s">
        <v>12521</v>
      </c>
      <c r="B7003" s="787">
        <v>4</v>
      </c>
      <c r="C7003" s="787" t="s">
        <v>12522</v>
      </c>
      <c r="D7003" s="787">
        <v>5.93</v>
      </c>
      <c r="E7003" s="787">
        <v>75.930000000000007</v>
      </c>
      <c r="F7003" s="788">
        <v>41761</v>
      </c>
      <c r="G7003" s="788">
        <v>41759</v>
      </c>
      <c r="H7003" s="787">
        <v>1</v>
      </c>
      <c r="J7003" s="788">
        <v>41759</v>
      </c>
      <c r="L7003" s="787">
        <v>75.900000000000006</v>
      </c>
      <c r="M7003" s="787">
        <v>20</v>
      </c>
      <c r="N7003" s="787">
        <v>81.59</v>
      </c>
      <c r="O7003" s="788">
        <v>41858</v>
      </c>
    </row>
    <row r="7004" spans="1:15" x14ac:dyDescent="0.25">
      <c r="A7004" s="786" t="s">
        <v>12523</v>
      </c>
      <c r="B7004" s="787">
        <v>4</v>
      </c>
      <c r="C7004" s="787" t="s">
        <v>12524</v>
      </c>
      <c r="D7004" s="787">
        <v>9.9</v>
      </c>
      <c r="E7004" s="787">
        <v>29.9</v>
      </c>
      <c r="F7004" s="788">
        <v>41761</v>
      </c>
      <c r="G7004" s="788">
        <v>42013</v>
      </c>
      <c r="H7004" s="787">
        <v>1</v>
      </c>
      <c r="I7004" s="788">
        <v>41894</v>
      </c>
      <c r="J7004" s="788">
        <v>41759</v>
      </c>
      <c r="L7004" s="787">
        <v>29.88</v>
      </c>
      <c r="M7004" s="787">
        <v>20</v>
      </c>
      <c r="N7004" s="787">
        <v>32.119999999999997</v>
      </c>
      <c r="O7004" s="788">
        <v>41858</v>
      </c>
    </row>
    <row r="7005" spans="1:15" x14ac:dyDescent="0.25">
      <c r="A7005" s="786" t="s">
        <v>12525</v>
      </c>
      <c r="B7005" s="787">
        <v>4</v>
      </c>
      <c r="C7005" s="787" t="s">
        <v>12526</v>
      </c>
      <c r="D7005" s="787">
        <v>7.18</v>
      </c>
      <c r="E7005" s="787">
        <v>237.18</v>
      </c>
      <c r="F7005" s="788">
        <v>41764</v>
      </c>
      <c r="G7005" s="788">
        <v>41764</v>
      </c>
      <c r="H7005" s="787">
        <v>1</v>
      </c>
      <c r="J7005" s="788">
        <v>41764</v>
      </c>
      <c r="L7005" s="787">
        <v>273.66000000000003</v>
      </c>
      <c r="M7005" s="787">
        <v>20</v>
      </c>
      <c r="N7005" s="787">
        <v>294.18</v>
      </c>
      <c r="O7005" s="788">
        <v>41858</v>
      </c>
    </row>
    <row r="7006" spans="1:15" x14ac:dyDescent="0.25">
      <c r="A7006" s="786" t="s">
        <v>12527</v>
      </c>
      <c r="B7006" s="787">
        <v>4</v>
      </c>
      <c r="C7006" s="787" t="s">
        <v>12528</v>
      </c>
      <c r="D7006" s="787">
        <v>7.62</v>
      </c>
      <c r="E7006" s="787">
        <v>17.62</v>
      </c>
      <c r="F7006" s="788">
        <v>41761</v>
      </c>
      <c r="G7006" s="788">
        <v>41759</v>
      </c>
      <c r="H7006" s="787">
        <v>1</v>
      </c>
      <c r="I7006" s="788">
        <v>41894</v>
      </c>
      <c r="J7006" s="788">
        <v>41759</v>
      </c>
      <c r="L7006" s="787">
        <v>20.34</v>
      </c>
      <c r="M7006" s="787">
        <v>20</v>
      </c>
      <c r="N7006" s="787">
        <v>21.87</v>
      </c>
      <c r="O7006" s="788">
        <v>41858</v>
      </c>
    </row>
    <row r="7007" spans="1:15" x14ac:dyDescent="0.25">
      <c r="A7007" s="786" t="s">
        <v>12529</v>
      </c>
      <c r="B7007" s="787">
        <v>4</v>
      </c>
      <c r="C7007" s="787" t="s">
        <v>12530</v>
      </c>
      <c r="D7007" s="787">
        <v>9.57</v>
      </c>
      <c r="E7007" s="787">
        <v>199.57</v>
      </c>
      <c r="F7007" s="788">
        <v>41761</v>
      </c>
      <c r="G7007" s="788">
        <v>41759</v>
      </c>
      <c r="H7007" s="787">
        <v>1</v>
      </c>
      <c r="I7007" s="788">
        <v>41894</v>
      </c>
      <c r="J7007" s="788">
        <v>41759</v>
      </c>
      <c r="L7007" s="787">
        <v>199.56</v>
      </c>
      <c r="M7007" s="787">
        <v>20</v>
      </c>
      <c r="N7007" s="787">
        <v>214.53</v>
      </c>
      <c r="O7007" s="788">
        <v>41858</v>
      </c>
    </row>
    <row r="7008" spans="1:15" x14ac:dyDescent="0.25">
      <c r="A7008" s="786" t="s">
        <v>12531</v>
      </c>
      <c r="B7008" s="787">
        <v>4</v>
      </c>
      <c r="C7008" s="787" t="s">
        <v>12532</v>
      </c>
      <c r="D7008" s="787">
        <v>9.8800000000000008</v>
      </c>
      <c r="E7008" s="787">
        <v>19.88</v>
      </c>
      <c r="F7008" s="788">
        <v>41761</v>
      </c>
      <c r="G7008" s="788">
        <v>41759</v>
      </c>
      <c r="H7008" s="787">
        <v>1</v>
      </c>
      <c r="I7008" s="788">
        <v>41894</v>
      </c>
      <c r="J7008" s="788">
        <v>41759</v>
      </c>
      <c r="L7008" s="787">
        <v>19.86</v>
      </c>
      <c r="M7008" s="787">
        <v>20</v>
      </c>
      <c r="N7008" s="787">
        <v>21.35</v>
      </c>
      <c r="O7008" s="788">
        <v>41858</v>
      </c>
    </row>
    <row r="7009" spans="1:15" x14ac:dyDescent="0.25">
      <c r="A7009" s="786" t="s">
        <v>12533</v>
      </c>
      <c r="B7009" s="787">
        <v>4</v>
      </c>
      <c r="C7009" s="787" t="s">
        <v>12534</v>
      </c>
      <c r="D7009" s="787">
        <v>7.5</v>
      </c>
      <c r="E7009" s="787">
        <v>27.5</v>
      </c>
      <c r="F7009" s="788">
        <v>41761</v>
      </c>
      <c r="G7009" s="788">
        <v>41759</v>
      </c>
      <c r="H7009" s="787">
        <v>1</v>
      </c>
      <c r="I7009" s="788">
        <v>41894</v>
      </c>
      <c r="J7009" s="788">
        <v>41759</v>
      </c>
      <c r="L7009" s="787">
        <v>31.74</v>
      </c>
      <c r="M7009" s="787">
        <v>20</v>
      </c>
      <c r="N7009" s="787">
        <v>34.119999999999997</v>
      </c>
      <c r="O7009" s="788">
        <v>41858</v>
      </c>
    </row>
    <row r="7010" spans="1:15" x14ac:dyDescent="0.25">
      <c r="A7010" s="786" t="s">
        <v>12535</v>
      </c>
      <c r="B7010" s="787">
        <v>4</v>
      </c>
      <c r="C7010" s="787" t="s">
        <v>12536</v>
      </c>
      <c r="D7010" s="787">
        <v>1.89</v>
      </c>
      <c r="E7010" s="787">
        <v>2.27</v>
      </c>
      <c r="F7010" s="788">
        <v>41869</v>
      </c>
      <c r="G7010" s="788">
        <v>41962</v>
      </c>
      <c r="H7010" s="787">
        <v>1</v>
      </c>
      <c r="J7010" s="788">
        <v>41943</v>
      </c>
      <c r="K7010" s="788">
        <v>41862</v>
      </c>
      <c r="L7010" s="787">
        <v>2.7</v>
      </c>
      <c r="M7010" s="787">
        <v>20</v>
      </c>
      <c r="N7010" s="787">
        <v>2.9</v>
      </c>
      <c r="O7010" s="788">
        <v>41971</v>
      </c>
    </row>
    <row r="7011" spans="1:15" x14ac:dyDescent="0.25">
      <c r="A7011" s="786" t="s">
        <v>12537</v>
      </c>
      <c r="B7011" s="787">
        <v>4</v>
      </c>
      <c r="C7011" s="787" t="s">
        <v>12538</v>
      </c>
      <c r="D7011" s="787">
        <v>0</v>
      </c>
      <c r="E7011" s="787">
        <v>0</v>
      </c>
      <c r="H7011" s="787">
        <v>1</v>
      </c>
      <c r="L7011" s="787">
        <v>2.35</v>
      </c>
      <c r="M7011" s="787">
        <v>20</v>
      </c>
      <c r="N7011" s="787">
        <v>2.5299999999999998</v>
      </c>
      <c r="O7011" s="788">
        <v>41858</v>
      </c>
    </row>
    <row r="7012" spans="1:15" x14ac:dyDescent="0.25">
      <c r="A7012" s="786" t="s">
        <v>838</v>
      </c>
      <c r="B7012" s="787">
        <v>4</v>
      </c>
      <c r="C7012" s="787" t="s">
        <v>12539</v>
      </c>
      <c r="D7012" s="787">
        <v>9.93</v>
      </c>
      <c r="E7012" s="787">
        <v>19.93</v>
      </c>
      <c r="F7012" s="788">
        <v>42087</v>
      </c>
      <c r="G7012" s="788">
        <v>42091</v>
      </c>
      <c r="H7012" s="787">
        <v>1</v>
      </c>
      <c r="I7012" s="788">
        <v>42163</v>
      </c>
      <c r="J7012" s="788">
        <v>42153</v>
      </c>
      <c r="L7012" s="787">
        <v>19.8</v>
      </c>
      <c r="M7012" s="787">
        <v>20</v>
      </c>
      <c r="N7012" s="787">
        <v>21.29</v>
      </c>
      <c r="O7012" s="788">
        <v>41858</v>
      </c>
    </row>
    <row r="7013" spans="1:15" x14ac:dyDescent="0.25">
      <c r="A7013" s="786" t="s">
        <v>12540</v>
      </c>
      <c r="B7013" s="787">
        <v>4</v>
      </c>
      <c r="C7013" s="787" t="s">
        <v>12541</v>
      </c>
      <c r="D7013" s="787">
        <v>0.8</v>
      </c>
      <c r="E7013" s="787">
        <v>0.8</v>
      </c>
      <c r="F7013" s="788">
        <v>42013</v>
      </c>
      <c r="G7013" s="788">
        <v>41890</v>
      </c>
      <c r="H7013" s="787">
        <v>1</v>
      </c>
      <c r="I7013" s="788">
        <v>42123</v>
      </c>
      <c r="J7013" s="788">
        <v>42145</v>
      </c>
      <c r="K7013" s="788">
        <v>41869</v>
      </c>
      <c r="L7013" s="787">
        <v>0.8</v>
      </c>
      <c r="M7013" s="787">
        <v>20</v>
      </c>
      <c r="N7013" s="787">
        <v>0.86</v>
      </c>
      <c r="O7013" s="788">
        <v>42127</v>
      </c>
    </row>
    <row r="7014" spans="1:15" x14ac:dyDescent="0.25">
      <c r="A7014" s="786" t="s">
        <v>12542</v>
      </c>
      <c r="B7014" s="787">
        <v>4</v>
      </c>
      <c r="C7014" s="787" t="s">
        <v>12543</v>
      </c>
      <c r="D7014" s="787">
        <v>7.62</v>
      </c>
      <c r="E7014" s="787">
        <v>117.62</v>
      </c>
      <c r="F7014" s="788">
        <v>41778</v>
      </c>
      <c r="G7014" s="788">
        <v>41806</v>
      </c>
      <c r="H7014" s="787">
        <v>1</v>
      </c>
      <c r="I7014" s="788">
        <v>41786</v>
      </c>
      <c r="J7014" s="788">
        <v>41775</v>
      </c>
      <c r="K7014" s="788">
        <v>41864</v>
      </c>
      <c r="L7014" s="787">
        <v>114.5</v>
      </c>
      <c r="M7014" s="787">
        <v>20</v>
      </c>
      <c r="N7014" s="787">
        <v>123.09</v>
      </c>
      <c r="O7014" s="788">
        <v>42110</v>
      </c>
    </row>
    <row r="7015" spans="1:15" x14ac:dyDescent="0.25">
      <c r="A7015" s="786" t="s">
        <v>12544</v>
      </c>
      <c r="B7015" s="787">
        <v>4</v>
      </c>
      <c r="C7015" s="787" t="s">
        <v>12545</v>
      </c>
      <c r="D7015" s="787">
        <v>1.03</v>
      </c>
      <c r="E7015" s="787">
        <v>41.03</v>
      </c>
      <c r="F7015" s="788">
        <v>41778</v>
      </c>
      <c r="G7015" s="788">
        <v>41806</v>
      </c>
      <c r="H7015" s="787">
        <v>1</v>
      </c>
      <c r="I7015" s="788">
        <v>41786</v>
      </c>
      <c r="J7015" s="788">
        <v>41775</v>
      </c>
      <c r="K7015" s="788">
        <v>41771</v>
      </c>
      <c r="L7015" s="787">
        <v>34.94</v>
      </c>
      <c r="M7015" s="787">
        <v>20</v>
      </c>
      <c r="N7015" s="787">
        <v>37.56</v>
      </c>
      <c r="O7015" s="788">
        <v>42110</v>
      </c>
    </row>
    <row r="7016" spans="1:15" x14ac:dyDescent="0.25">
      <c r="A7016" s="786" t="s">
        <v>12546</v>
      </c>
      <c r="B7016" s="787">
        <v>4</v>
      </c>
      <c r="C7016" s="787" t="s">
        <v>12547</v>
      </c>
      <c r="D7016" s="787">
        <v>6.74</v>
      </c>
      <c r="E7016" s="787">
        <v>96.74</v>
      </c>
      <c r="F7016" s="788">
        <v>41782</v>
      </c>
      <c r="G7016" s="788">
        <v>41778</v>
      </c>
      <c r="H7016" s="787">
        <v>1</v>
      </c>
      <c r="I7016" s="788">
        <v>41786</v>
      </c>
      <c r="J7016" s="788">
        <v>41787</v>
      </c>
      <c r="K7016" s="788">
        <v>41773</v>
      </c>
      <c r="L7016" s="787">
        <v>96.74</v>
      </c>
      <c r="M7016" s="787">
        <v>20</v>
      </c>
      <c r="N7016" s="787">
        <v>104</v>
      </c>
      <c r="O7016" s="788">
        <v>42110</v>
      </c>
    </row>
    <row r="7017" spans="1:15" x14ac:dyDescent="0.25">
      <c r="A7017" s="786" t="s">
        <v>12548</v>
      </c>
      <c r="B7017" s="787">
        <v>4</v>
      </c>
      <c r="C7017" s="787" t="s">
        <v>12549</v>
      </c>
      <c r="D7017" s="787">
        <v>2</v>
      </c>
      <c r="E7017" s="789">
        <v>1252</v>
      </c>
      <c r="F7017" s="788">
        <v>41782</v>
      </c>
      <c r="G7017" s="788">
        <v>41778</v>
      </c>
      <c r="H7017" s="787">
        <v>1</v>
      </c>
      <c r="I7017" s="788">
        <v>41990</v>
      </c>
      <c r="J7017" s="788">
        <v>41778</v>
      </c>
      <c r="K7017" s="788">
        <v>41864</v>
      </c>
      <c r="L7017" s="789">
        <v>1252</v>
      </c>
      <c r="M7017" s="787">
        <v>20</v>
      </c>
      <c r="N7017" s="789">
        <v>1345.9</v>
      </c>
      <c r="O7017" s="788">
        <v>42110</v>
      </c>
    </row>
    <row r="7018" spans="1:15" x14ac:dyDescent="0.25">
      <c r="A7018" s="786" t="s">
        <v>12550</v>
      </c>
      <c r="B7018" s="787">
        <v>4</v>
      </c>
      <c r="C7018" s="787" t="s">
        <v>12551</v>
      </c>
      <c r="D7018" s="787">
        <v>0</v>
      </c>
      <c r="E7018" s="787">
        <v>0</v>
      </c>
      <c r="H7018" s="787">
        <v>1</v>
      </c>
      <c r="L7018" s="787">
        <v>15.6</v>
      </c>
      <c r="M7018" s="787">
        <v>20</v>
      </c>
      <c r="N7018" s="787">
        <v>16.77</v>
      </c>
      <c r="O7018" s="788">
        <v>41858</v>
      </c>
    </row>
    <row r="7019" spans="1:15" x14ac:dyDescent="0.25">
      <c r="A7019" s="786" t="s">
        <v>12552</v>
      </c>
      <c r="B7019" s="787">
        <v>4</v>
      </c>
      <c r="C7019" s="787" t="s">
        <v>12553</v>
      </c>
      <c r="D7019" s="787">
        <v>0</v>
      </c>
      <c r="E7019" s="787">
        <v>0</v>
      </c>
      <c r="H7019" s="787">
        <v>1</v>
      </c>
      <c r="L7019" s="787">
        <v>20.43</v>
      </c>
      <c r="M7019" s="787">
        <v>20</v>
      </c>
      <c r="N7019" s="787">
        <v>21.96</v>
      </c>
      <c r="O7019" s="788">
        <v>41858</v>
      </c>
    </row>
    <row r="7020" spans="1:15" x14ac:dyDescent="0.25">
      <c r="A7020" s="786" t="s">
        <v>12554</v>
      </c>
      <c r="B7020" s="787">
        <v>4</v>
      </c>
      <c r="C7020" s="787" t="s">
        <v>12555</v>
      </c>
      <c r="D7020" s="787">
        <v>0.35</v>
      </c>
      <c r="E7020" s="787">
        <v>0.35</v>
      </c>
      <c r="F7020" s="788">
        <v>41779</v>
      </c>
      <c r="G7020" s="788">
        <v>41806</v>
      </c>
      <c r="H7020" s="787">
        <v>1</v>
      </c>
      <c r="I7020" s="788">
        <v>41799</v>
      </c>
      <c r="J7020" s="788">
        <v>41778</v>
      </c>
      <c r="K7020" s="788">
        <v>41774</v>
      </c>
      <c r="L7020" s="787">
        <v>0.28000000000000003</v>
      </c>
      <c r="M7020" s="787">
        <v>20</v>
      </c>
      <c r="N7020" s="787">
        <v>0.3</v>
      </c>
      <c r="O7020" s="788">
        <v>41858</v>
      </c>
    </row>
    <row r="7021" spans="1:15" x14ac:dyDescent="0.25">
      <c r="A7021" s="786" t="s">
        <v>12556</v>
      </c>
      <c r="B7021" s="787">
        <v>4</v>
      </c>
      <c r="C7021" s="787" t="s">
        <v>7810</v>
      </c>
      <c r="D7021" s="787">
        <v>0</v>
      </c>
      <c r="E7021" s="787">
        <v>0</v>
      </c>
      <c r="H7021" s="787">
        <v>1</v>
      </c>
      <c r="L7021" s="787">
        <v>6</v>
      </c>
      <c r="M7021" s="787">
        <v>20</v>
      </c>
      <c r="N7021" s="787">
        <v>6.45</v>
      </c>
      <c r="O7021" s="788">
        <v>41858</v>
      </c>
    </row>
    <row r="7022" spans="1:15" x14ac:dyDescent="0.25">
      <c r="A7022" s="786" t="s">
        <v>12557</v>
      </c>
      <c r="B7022" s="787">
        <v>4</v>
      </c>
      <c r="C7022" s="787" t="s">
        <v>12558</v>
      </c>
      <c r="D7022" s="787">
        <v>3.33</v>
      </c>
      <c r="E7022" s="787">
        <v>3.33</v>
      </c>
      <c r="F7022" s="788">
        <v>41787</v>
      </c>
      <c r="G7022" s="788">
        <v>41828</v>
      </c>
      <c r="H7022" s="787">
        <v>1</v>
      </c>
      <c r="I7022" s="788">
        <v>41842</v>
      </c>
      <c r="J7022" s="788">
        <v>41827</v>
      </c>
      <c r="K7022" s="788">
        <v>41821</v>
      </c>
      <c r="L7022" s="787">
        <v>3.33</v>
      </c>
      <c r="M7022" s="787">
        <v>20</v>
      </c>
      <c r="N7022" s="787">
        <v>3.58</v>
      </c>
      <c r="O7022" s="788">
        <v>41858</v>
      </c>
    </row>
    <row r="7023" spans="1:15" x14ac:dyDescent="0.25">
      <c r="A7023" s="786" t="s">
        <v>12559</v>
      </c>
      <c r="B7023" s="787">
        <v>4</v>
      </c>
      <c r="C7023" s="787" t="s">
        <v>1444</v>
      </c>
      <c r="D7023" s="787">
        <v>0.2</v>
      </c>
      <c r="E7023" s="787">
        <v>0.2</v>
      </c>
      <c r="F7023" s="788">
        <v>41787</v>
      </c>
      <c r="G7023" s="788">
        <v>41792</v>
      </c>
      <c r="H7023" s="787">
        <v>1</v>
      </c>
      <c r="J7023" s="788">
        <v>41792</v>
      </c>
      <c r="K7023" s="788">
        <v>41821</v>
      </c>
      <c r="L7023" s="787">
        <v>0.2</v>
      </c>
      <c r="M7023" s="787">
        <v>20</v>
      </c>
      <c r="N7023" s="787">
        <v>0.22</v>
      </c>
      <c r="O7023" s="788">
        <v>41858</v>
      </c>
    </row>
    <row r="7024" spans="1:15" x14ac:dyDescent="0.25">
      <c r="A7024" s="786" t="s">
        <v>12560</v>
      </c>
      <c r="B7024" s="787">
        <v>4</v>
      </c>
      <c r="C7024" s="787" t="s">
        <v>12561</v>
      </c>
      <c r="D7024" s="787">
        <v>5.25</v>
      </c>
      <c r="E7024" s="787">
        <v>5.6</v>
      </c>
      <c r="F7024" s="788">
        <v>41787</v>
      </c>
      <c r="G7024" s="788">
        <v>41810</v>
      </c>
      <c r="H7024" s="787">
        <v>1</v>
      </c>
      <c r="I7024" s="788">
        <v>41809</v>
      </c>
      <c r="J7024" s="788">
        <v>41796</v>
      </c>
      <c r="K7024" s="788">
        <v>41821</v>
      </c>
      <c r="L7024" s="787">
        <v>5.6</v>
      </c>
      <c r="M7024" s="787">
        <v>20</v>
      </c>
      <c r="N7024" s="787">
        <v>6.02</v>
      </c>
      <c r="O7024" s="788">
        <v>41858</v>
      </c>
    </row>
    <row r="7025" spans="1:15" x14ac:dyDescent="0.25">
      <c r="A7025" s="786" t="s">
        <v>12562</v>
      </c>
      <c r="B7025" s="787">
        <v>4</v>
      </c>
      <c r="C7025" s="787" t="s">
        <v>12563</v>
      </c>
      <c r="D7025" s="787">
        <v>0.71</v>
      </c>
      <c r="E7025" s="787">
        <v>0.71</v>
      </c>
      <c r="F7025" s="788">
        <v>41787</v>
      </c>
      <c r="G7025" s="788">
        <v>41792</v>
      </c>
      <c r="H7025" s="787">
        <v>1</v>
      </c>
      <c r="J7025" s="788">
        <v>41792</v>
      </c>
      <c r="K7025" s="788">
        <v>41821</v>
      </c>
      <c r="L7025" s="787">
        <v>0.71</v>
      </c>
      <c r="M7025" s="787">
        <v>20</v>
      </c>
      <c r="N7025" s="787">
        <v>0.76</v>
      </c>
      <c r="O7025" s="788">
        <v>41858</v>
      </c>
    </row>
    <row r="7026" spans="1:15" x14ac:dyDescent="0.25">
      <c r="A7026" s="786" t="s">
        <v>12564</v>
      </c>
      <c r="B7026" s="787">
        <v>4</v>
      </c>
      <c r="C7026" s="787" t="s">
        <v>11929</v>
      </c>
      <c r="D7026" s="787">
        <v>2</v>
      </c>
      <c r="E7026" s="787">
        <v>12</v>
      </c>
      <c r="F7026" s="788">
        <v>41794</v>
      </c>
      <c r="G7026" s="788">
        <v>41792</v>
      </c>
      <c r="H7026" s="787">
        <v>1</v>
      </c>
      <c r="J7026" s="788">
        <v>41792</v>
      </c>
      <c r="L7026" s="787">
        <v>12</v>
      </c>
      <c r="M7026" s="787">
        <v>20</v>
      </c>
      <c r="N7026" s="787">
        <v>12.9</v>
      </c>
      <c r="O7026" s="788">
        <v>41858</v>
      </c>
    </row>
    <row r="7027" spans="1:15" x14ac:dyDescent="0.25">
      <c r="A7027" s="786" t="s">
        <v>12565</v>
      </c>
      <c r="B7027" s="787">
        <v>4</v>
      </c>
      <c r="C7027" s="787" t="s">
        <v>12566</v>
      </c>
      <c r="D7027" s="787">
        <v>0.2</v>
      </c>
      <c r="E7027" s="787">
        <v>250.2</v>
      </c>
      <c r="F7027" s="788">
        <v>41795</v>
      </c>
      <c r="G7027" s="788">
        <v>41793</v>
      </c>
      <c r="H7027" s="787">
        <v>1</v>
      </c>
      <c r="I7027" s="788">
        <v>42016</v>
      </c>
      <c r="J7027" s="788">
        <v>42016</v>
      </c>
      <c r="K7027" s="788">
        <v>41787</v>
      </c>
      <c r="L7027" s="787">
        <v>250.2</v>
      </c>
      <c r="M7027" s="787">
        <v>20</v>
      </c>
      <c r="N7027" s="787">
        <v>268.97000000000003</v>
      </c>
      <c r="O7027" s="788">
        <v>41858</v>
      </c>
    </row>
    <row r="7028" spans="1:15" x14ac:dyDescent="0.25">
      <c r="A7028" s="786" t="s">
        <v>12567</v>
      </c>
      <c r="B7028" s="787">
        <v>4</v>
      </c>
      <c r="C7028" s="787" t="s">
        <v>12568</v>
      </c>
      <c r="D7028" s="787">
        <v>5.3</v>
      </c>
      <c r="E7028" s="787">
        <v>381.49</v>
      </c>
      <c r="F7028" s="788">
        <v>41795</v>
      </c>
      <c r="G7028" s="788">
        <v>42013</v>
      </c>
      <c r="H7028" s="787">
        <v>1</v>
      </c>
      <c r="I7028" s="788">
        <v>42016</v>
      </c>
      <c r="J7028" s="788">
        <v>41990</v>
      </c>
      <c r="K7028" s="788">
        <v>41787</v>
      </c>
      <c r="L7028" s="787">
        <v>375.3</v>
      </c>
      <c r="M7028" s="787">
        <v>20</v>
      </c>
      <c r="N7028" s="787">
        <v>403.45</v>
      </c>
      <c r="O7028" s="788">
        <v>41858</v>
      </c>
    </row>
    <row r="7029" spans="1:15" x14ac:dyDescent="0.25">
      <c r="A7029" s="786" t="s">
        <v>12569</v>
      </c>
      <c r="B7029" s="787">
        <v>4</v>
      </c>
      <c r="C7029" s="787" t="s">
        <v>12570</v>
      </c>
      <c r="D7029" s="787">
        <v>0.4</v>
      </c>
      <c r="E7029" s="787">
        <v>508.65</v>
      </c>
      <c r="F7029" s="788">
        <v>41795</v>
      </c>
      <c r="G7029" s="788">
        <v>42008</v>
      </c>
      <c r="H7029" s="787">
        <v>1</v>
      </c>
      <c r="I7029" s="788">
        <v>42016</v>
      </c>
      <c r="J7029" s="788">
        <v>41990</v>
      </c>
      <c r="K7029" s="788">
        <v>41787</v>
      </c>
      <c r="L7029" s="787">
        <v>500.4</v>
      </c>
      <c r="M7029" s="787">
        <v>20</v>
      </c>
      <c r="N7029" s="787">
        <v>537.92999999999995</v>
      </c>
      <c r="O7029" s="788">
        <v>41858</v>
      </c>
    </row>
    <row r="7030" spans="1:15" x14ac:dyDescent="0.25">
      <c r="A7030" s="786" t="s">
        <v>12571</v>
      </c>
      <c r="B7030" s="787">
        <v>4</v>
      </c>
      <c r="C7030" s="787" t="s">
        <v>12572</v>
      </c>
      <c r="D7030" s="787">
        <v>1.53</v>
      </c>
      <c r="E7030" s="787">
        <v>3.25</v>
      </c>
      <c r="F7030" s="788">
        <v>41786</v>
      </c>
      <c r="G7030" s="788">
        <v>41842</v>
      </c>
      <c r="H7030" s="787">
        <v>1</v>
      </c>
      <c r="I7030" s="788">
        <v>41842</v>
      </c>
      <c r="J7030" s="788">
        <v>41842</v>
      </c>
      <c r="K7030" s="788">
        <v>41869</v>
      </c>
      <c r="L7030" s="787">
        <v>1.53</v>
      </c>
      <c r="M7030" s="787">
        <v>20</v>
      </c>
      <c r="N7030" s="787">
        <v>3.23</v>
      </c>
      <c r="O7030" s="788">
        <v>41858</v>
      </c>
    </row>
    <row r="7031" spans="1:15" x14ac:dyDescent="0.25">
      <c r="A7031" s="786" t="s">
        <v>12573</v>
      </c>
      <c r="B7031" s="787">
        <v>4</v>
      </c>
      <c r="C7031" s="787" t="s">
        <v>12574</v>
      </c>
      <c r="D7031" s="787">
        <v>0</v>
      </c>
      <c r="E7031" s="787">
        <v>40</v>
      </c>
      <c r="G7031" s="788">
        <v>41803</v>
      </c>
      <c r="H7031" s="787">
        <v>1</v>
      </c>
      <c r="I7031" s="788">
        <v>41813</v>
      </c>
      <c r="J7031" s="788">
        <v>41803</v>
      </c>
      <c r="K7031" s="788">
        <v>41869</v>
      </c>
      <c r="L7031" s="787">
        <v>40</v>
      </c>
      <c r="M7031" s="787">
        <v>20</v>
      </c>
      <c r="N7031" s="787">
        <v>236.5</v>
      </c>
      <c r="O7031" s="788">
        <v>41858</v>
      </c>
    </row>
    <row r="7032" spans="1:15" x14ac:dyDescent="0.25">
      <c r="A7032" s="786" t="s">
        <v>12575</v>
      </c>
      <c r="B7032" s="787">
        <v>4</v>
      </c>
      <c r="C7032" s="787" t="s">
        <v>12576</v>
      </c>
      <c r="D7032" s="787">
        <v>9.5500000000000007</v>
      </c>
      <c r="E7032" s="787">
        <v>19.55</v>
      </c>
      <c r="F7032" s="788">
        <v>41782</v>
      </c>
      <c r="G7032" s="788">
        <v>41793</v>
      </c>
      <c r="H7032" s="787">
        <v>1</v>
      </c>
      <c r="I7032" s="788">
        <v>41802</v>
      </c>
      <c r="J7032" s="788">
        <v>41793</v>
      </c>
      <c r="L7032" s="787">
        <v>19.55</v>
      </c>
      <c r="M7032" s="787">
        <v>20</v>
      </c>
      <c r="N7032" s="787">
        <v>21.02</v>
      </c>
      <c r="O7032" s="788">
        <v>41858</v>
      </c>
    </row>
    <row r="7033" spans="1:15" x14ac:dyDescent="0.25">
      <c r="A7033" s="786" t="s">
        <v>12577</v>
      </c>
      <c r="B7033" s="787">
        <v>4</v>
      </c>
      <c r="C7033" s="787" t="s">
        <v>12578</v>
      </c>
      <c r="D7033" s="787">
        <v>9.06</v>
      </c>
      <c r="E7033" s="787">
        <v>10.130000000000001</v>
      </c>
      <c r="F7033" s="788">
        <v>41782</v>
      </c>
      <c r="G7033" s="788">
        <v>41869</v>
      </c>
      <c r="H7033" s="787">
        <v>1</v>
      </c>
      <c r="I7033" s="788">
        <v>41813</v>
      </c>
      <c r="J7033" s="788">
        <v>41842</v>
      </c>
      <c r="L7033" s="787">
        <v>9.06</v>
      </c>
      <c r="M7033" s="787">
        <v>20</v>
      </c>
      <c r="N7033" s="787">
        <v>9.74</v>
      </c>
      <c r="O7033" s="788">
        <v>41858</v>
      </c>
    </row>
    <row r="7034" spans="1:15" x14ac:dyDescent="0.25">
      <c r="A7034" s="786" t="s">
        <v>12579</v>
      </c>
      <c r="B7034" s="787">
        <v>4</v>
      </c>
      <c r="C7034" s="787" t="s">
        <v>12578</v>
      </c>
      <c r="D7034" s="787">
        <v>5.89</v>
      </c>
      <c r="E7034" s="787">
        <v>9.06</v>
      </c>
      <c r="F7034" s="788">
        <v>41782</v>
      </c>
      <c r="G7034" s="788">
        <v>41806</v>
      </c>
      <c r="H7034" s="787">
        <v>1</v>
      </c>
      <c r="I7034" s="788">
        <v>41802</v>
      </c>
      <c r="J7034" s="788">
        <v>41793</v>
      </c>
      <c r="L7034" s="787">
        <v>9.06</v>
      </c>
      <c r="M7034" s="787">
        <v>20</v>
      </c>
      <c r="N7034" s="787">
        <v>9.74</v>
      </c>
      <c r="O7034" s="788">
        <v>41858</v>
      </c>
    </row>
    <row r="7035" spans="1:15" x14ac:dyDescent="0.25">
      <c r="A7035" s="786" t="s">
        <v>12580</v>
      </c>
      <c r="B7035" s="787">
        <v>4</v>
      </c>
      <c r="C7035" s="787" t="s">
        <v>12581</v>
      </c>
      <c r="D7035" s="787">
        <v>8.48</v>
      </c>
      <c r="E7035" s="787">
        <v>28.48</v>
      </c>
      <c r="F7035" s="788">
        <v>41784</v>
      </c>
      <c r="G7035" s="788">
        <v>41793</v>
      </c>
      <c r="H7035" s="787">
        <v>1</v>
      </c>
      <c r="I7035" s="788">
        <v>41813</v>
      </c>
      <c r="J7035" s="788">
        <v>41842</v>
      </c>
      <c r="L7035" s="787">
        <v>28.48</v>
      </c>
      <c r="M7035" s="787">
        <v>20</v>
      </c>
      <c r="N7035" s="787">
        <v>30.62</v>
      </c>
      <c r="O7035" s="788">
        <v>41858</v>
      </c>
    </row>
    <row r="7036" spans="1:15" x14ac:dyDescent="0.25">
      <c r="A7036" s="786" t="s">
        <v>12582</v>
      </c>
      <c r="B7036" s="787">
        <v>4</v>
      </c>
      <c r="C7036" s="787" t="s">
        <v>12583</v>
      </c>
      <c r="D7036" s="787">
        <v>0.86</v>
      </c>
      <c r="E7036" s="787">
        <v>0.86</v>
      </c>
      <c r="F7036" s="788">
        <v>41789</v>
      </c>
      <c r="G7036" s="788">
        <v>41793</v>
      </c>
      <c r="H7036" s="787">
        <v>1</v>
      </c>
      <c r="I7036" s="788">
        <v>41813</v>
      </c>
      <c r="J7036" s="788">
        <v>41793</v>
      </c>
      <c r="L7036" s="787">
        <v>0.86</v>
      </c>
      <c r="M7036" s="787">
        <v>20</v>
      </c>
      <c r="N7036" s="787">
        <v>0.92</v>
      </c>
      <c r="O7036" s="788">
        <v>41858</v>
      </c>
    </row>
    <row r="7037" spans="1:15" x14ac:dyDescent="0.25">
      <c r="A7037" s="786" t="s">
        <v>12584</v>
      </c>
      <c r="B7037" s="787">
        <v>4</v>
      </c>
      <c r="C7037" s="787" t="s">
        <v>12585</v>
      </c>
      <c r="D7037" s="787">
        <v>1.87</v>
      </c>
      <c r="E7037" s="787">
        <v>1.87</v>
      </c>
      <c r="F7037" s="788">
        <v>41789</v>
      </c>
      <c r="G7037" s="788">
        <v>41793</v>
      </c>
      <c r="H7037" s="787">
        <v>1</v>
      </c>
      <c r="I7037" s="788">
        <v>41813</v>
      </c>
      <c r="J7037" s="788">
        <v>41793</v>
      </c>
      <c r="L7037" s="787">
        <v>1.87</v>
      </c>
      <c r="M7037" s="787">
        <v>20</v>
      </c>
      <c r="N7037" s="787">
        <v>2.0099999999999998</v>
      </c>
      <c r="O7037" s="788">
        <v>41858</v>
      </c>
    </row>
    <row r="7038" spans="1:15" x14ac:dyDescent="0.25">
      <c r="A7038" s="786" t="s">
        <v>12586</v>
      </c>
      <c r="B7038" s="787">
        <v>4</v>
      </c>
      <c r="C7038" s="787" t="s">
        <v>12587</v>
      </c>
      <c r="D7038" s="787">
        <v>1.5</v>
      </c>
      <c r="E7038" s="787">
        <v>1.5</v>
      </c>
      <c r="F7038" s="788">
        <v>41789</v>
      </c>
      <c r="G7038" s="788">
        <v>41793</v>
      </c>
      <c r="H7038" s="787">
        <v>1</v>
      </c>
      <c r="I7038" s="788">
        <v>41813</v>
      </c>
      <c r="J7038" s="788">
        <v>41793</v>
      </c>
      <c r="L7038" s="787">
        <v>1.5</v>
      </c>
      <c r="M7038" s="787">
        <v>20</v>
      </c>
      <c r="N7038" s="787">
        <v>1.61</v>
      </c>
      <c r="O7038" s="788">
        <v>41858</v>
      </c>
    </row>
    <row r="7039" spans="1:15" x14ac:dyDescent="0.25">
      <c r="A7039" s="786" t="s">
        <v>12588</v>
      </c>
      <c r="B7039" s="787">
        <v>4</v>
      </c>
      <c r="C7039" s="787" t="s">
        <v>12589</v>
      </c>
      <c r="D7039" s="787">
        <v>9.39</v>
      </c>
      <c r="E7039" s="787">
        <v>159.38999999999999</v>
      </c>
      <c r="F7039" s="788">
        <v>41786</v>
      </c>
      <c r="G7039" s="788">
        <v>41800</v>
      </c>
      <c r="H7039" s="787">
        <v>1</v>
      </c>
      <c r="I7039" s="788">
        <v>41813</v>
      </c>
      <c r="J7039" s="788">
        <v>41793</v>
      </c>
      <c r="L7039" s="787">
        <v>153.76</v>
      </c>
      <c r="M7039" s="787">
        <v>20</v>
      </c>
      <c r="N7039" s="787">
        <v>165.29</v>
      </c>
      <c r="O7039" s="788">
        <v>41858</v>
      </c>
    </row>
    <row r="7040" spans="1:15" x14ac:dyDescent="0.25">
      <c r="A7040" s="786" t="s">
        <v>12590</v>
      </c>
      <c r="B7040" s="787">
        <v>4</v>
      </c>
      <c r="C7040" s="787" t="s">
        <v>12050</v>
      </c>
      <c r="D7040" s="787">
        <v>2.5</v>
      </c>
      <c r="E7040" s="787">
        <v>12.5</v>
      </c>
      <c r="F7040" s="788">
        <v>41792</v>
      </c>
      <c r="G7040" s="788">
        <v>41809</v>
      </c>
      <c r="H7040" s="787">
        <v>1</v>
      </c>
      <c r="I7040" s="788">
        <v>41802</v>
      </c>
      <c r="J7040" s="788">
        <v>41800</v>
      </c>
      <c r="K7040" s="788">
        <v>41793</v>
      </c>
      <c r="L7040" s="787">
        <v>12.5</v>
      </c>
      <c r="M7040" s="787">
        <v>20</v>
      </c>
      <c r="N7040" s="787">
        <v>13.44</v>
      </c>
      <c r="O7040" s="788">
        <v>41858</v>
      </c>
    </row>
    <row r="7041" spans="1:15" x14ac:dyDescent="0.25">
      <c r="A7041" s="786" t="s">
        <v>12591</v>
      </c>
      <c r="B7041" s="787">
        <v>4</v>
      </c>
      <c r="C7041" s="787" t="s">
        <v>12592</v>
      </c>
      <c r="D7041" s="787">
        <v>8</v>
      </c>
      <c r="E7041" s="787">
        <v>18</v>
      </c>
      <c r="F7041" s="788">
        <v>41792</v>
      </c>
      <c r="G7041" s="788">
        <v>41793</v>
      </c>
      <c r="H7041" s="787">
        <v>1</v>
      </c>
      <c r="J7041" s="788">
        <v>41800</v>
      </c>
      <c r="L7041" s="787">
        <v>18</v>
      </c>
      <c r="M7041" s="787">
        <v>20</v>
      </c>
      <c r="N7041" s="787">
        <v>19.350000000000001</v>
      </c>
      <c r="O7041" s="788">
        <v>41858</v>
      </c>
    </row>
    <row r="7042" spans="1:15" x14ac:dyDescent="0.25">
      <c r="A7042" s="786" t="s">
        <v>12593</v>
      </c>
      <c r="B7042" s="787">
        <v>4</v>
      </c>
      <c r="C7042" s="787" t="s">
        <v>12594</v>
      </c>
      <c r="D7042" s="787">
        <v>6.3</v>
      </c>
      <c r="E7042" s="787">
        <v>6.3</v>
      </c>
      <c r="F7042" s="788">
        <v>41802</v>
      </c>
      <c r="G7042" s="788">
        <v>41802</v>
      </c>
      <c r="H7042" s="787">
        <v>1</v>
      </c>
      <c r="I7042" s="788">
        <v>41802</v>
      </c>
      <c r="J7042" s="788">
        <v>41802</v>
      </c>
      <c r="L7042" s="787">
        <v>6.3</v>
      </c>
      <c r="M7042" s="787">
        <v>20</v>
      </c>
      <c r="N7042" s="787">
        <v>6.77</v>
      </c>
      <c r="O7042" s="788">
        <v>41858</v>
      </c>
    </row>
    <row r="7043" spans="1:15" x14ac:dyDescent="0.25">
      <c r="A7043" s="786" t="s">
        <v>12595</v>
      </c>
      <c r="B7043" s="787">
        <v>4</v>
      </c>
      <c r="C7043" s="787" t="s">
        <v>12596</v>
      </c>
      <c r="D7043" s="787">
        <v>8</v>
      </c>
      <c r="E7043" s="787">
        <v>28</v>
      </c>
      <c r="F7043" s="788">
        <v>41808</v>
      </c>
      <c r="G7043" s="788">
        <v>41808</v>
      </c>
      <c r="H7043" s="787">
        <v>1</v>
      </c>
      <c r="I7043" s="788">
        <v>41957</v>
      </c>
      <c r="J7043" s="788">
        <v>41808</v>
      </c>
      <c r="L7043" s="787">
        <v>28</v>
      </c>
      <c r="M7043" s="787">
        <v>20</v>
      </c>
      <c r="N7043" s="787">
        <v>30.1</v>
      </c>
      <c r="O7043" s="788">
        <v>41858</v>
      </c>
    </row>
    <row r="7044" spans="1:15" x14ac:dyDescent="0.25">
      <c r="A7044" s="786" t="s">
        <v>12597</v>
      </c>
      <c r="B7044" s="787">
        <v>4</v>
      </c>
      <c r="C7044" s="787" t="s">
        <v>12598</v>
      </c>
      <c r="D7044" s="787">
        <v>3.5</v>
      </c>
      <c r="E7044" s="787">
        <v>3.5</v>
      </c>
      <c r="F7044" s="788">
        <v>41808</v>
      </c>
      <c r="G7044" s="788">
        <v>41864</v>
      </c>
      <c r="H7044" s="787">
        <v>1</v>
      </c>
      <c r="I7044" s="788">
        <v>41809</v>
      </c>
      <c r="J7044" s="788">
        <v>41806</v>
      </c>
      <c r="K7044" s="788">
        <v>41869</v>
      </c>
      <c r="L7044" s="787">
        <v>0.01</v>
      </c>
      <c r="M7044" s="787">
        <v>20</v>
      </c>
      <c r="N7044" s="787">
        <v>6.45</v>
      </c>
      <c r="O7044" s="788">
        <v>41858</v>
      </c>
    </row>
    <row r="7045" spans="1:15" x14ac:dyDescent="0.25">
      <c r="A7045" s="786" t="s">
        <v>12599</v>
      </c>
      <c r="B7045" s="787">
        <v>4</v>
      </c>
      <c r="C7045" s="787" t="s">
        <v>12600</v>
      </c>
      <c r="D7045" s="787">
        <v>6.07</v>
      </c>
      <c r="E7045" s="787">
        <v>6.25</v>
      </c>
      <c r="F7045" s="788">
        <v>41809</v>
      </c>
      <c r="G7045" s="788">
        <v>41971</v>
      </c>
      <c r="H7045" s="787">
        <v>1</v>
      </c>
      <c r="I7045" s="788">
        <v>41981</v>
      </c>
      <c r="J7045" s="788">
        <v>41971</v>
      </c>
      <c r="K7045" s="788">
        <v>41970</v>
      </c>
      <c r="L7045" s="787">
        <v>6.25</v>
      </c>
      <c r="M7045" s="787">
        <v>20</v>
      </c>
      <c r="N7045" s="787">
        <v>6.53</v>
      </c>
      <c r="O7045" s="788">
        <v>41858</v>
      </c>
    </row>
    <row r="7046" spans="1:15" x14ac:dyDescent="0.25">
      <c r="A7046" s="786" t="s">
        <v>12601</v>
      </c>
      <c r="B7046" s="787">
        <v>4</v>
      </c>
      <c r="C7046" s="787" t="s">
        <v>12600</v>
      </c>
      <c r="D7046" s="787">
        <v>6.07</v>
      </c>
      <c r="E7046" s="787">
        <v>6.07</v>
      </c>
      <c r="F7046" s="788">
        <v>41809</v>
      </c>
      <c r="G7046" s="788">
        <v>41807</v>
      </c>
      <c r="H7046" s="787">
        <v>1</v>
      </c>
      <c r="I7046" s="788">
        <v>41809</v>
      </c>
      <c r="J7046" s="788">
        <v>41807</v>
      </c>
      <c r="L7046" s="787">
        <v>6.07</v>
      </c>
      <c r="M7046" s="787">
        <v>20</v>
      </c>
      <c r="N7046" s="787">
        <v>6.53</v>
      </c>
      <c r="O7046" s="788">
        <v>41858</v>
      </c>
    </row>
    <row r="7047" spans="1:15" x14ac:dyDescent="0.25">
      <c r="A7047" s="786" t="s">
        <v>12602</v>
      </c>
      <c r="B7047" s="787">
        <v>4</v>
      </c>
      <c r="C7047" s="787" t="s">
        <v>12603</v>
      </c>
      <c r="D7047" s="787">
        <v>4.6100000000000003</v>
      </c>
      <c r="E7047" s="787">
        <v>15.05</v>
      </c>
      <c r="F7047" s="788">
        <v>41809</v>
      </c>
      <c r="G7047" s="788">
        <v>41943</v>
      </c>
      <c r="H7047" s="787">
        <v>1</v>
      </c>
      <c r="I7047" s="788">
        <v>42124</v>
      </c>
      <c r="J7047" s="788">
        <v>42115</v>
      </c>
      <c r="K7047" s="788">
        <v>42111</v>
      </c>
      <c r="L7047" s="787">
        <v>15.05</v>
      </c>
      <c r="M7047" s="787">
        <v>20</v>
      </c>
      <c r="N7047" s="787">
        <v>16.18</v>
      </c>
      <c r="O7047" s="788">
        <v>42146</v>
      </c>
    </row>
    <row r="7048" spans="1:15" x14ac:dyDescent="0.25">
      <c r="A7048" s="786" t="s">
        <v>12604</v>
      </c>
      <c r="B7048" s="787">
        <v>4</v>
      </c>
      <c r="C7048" s="787" t="s">
        <v>12605</v>
      </c>
      <c r="D7048" s="787">
        <v>7.96</v>
      </c>
      <c r="E7048" s="787">
        <v>7.96</v>
      </c>
      <c r="F7048" s="788">
        <v>41809</v>
      </c>
      <c r="G7048" s="788">
        <v>41807</v>
      </c>
      <c r="H7048" s="787">
        <v>1</v>
      </c>
      <c r="I7048" s="788">
        <v>41926</v>
      </c>
      <c r="J7048" s="788">
        <v>41900</v>
      </c>
      <c r="L7048" s="787">
        <v>7.96</v>
      </c>
      <c r="M7048" s="787">
        <v>20</v>
      </c>
      <c r="N7048" s="787">
        <v>8.56</v>
      </c>
      <c r="O7048" s="788">
        <v>41858</v>
      </c>
    </row>
    <row r="7049" spans="1:15" x14ac:dyDescent="0.25">
      <c r="A7049" s="786" t="s">
        <v>12606</v>
      </c>
      <c r="B7049" s="787">
        <v>4</v>
      </c>
      <c r="C7049" s="787" t="s">
        <v>12607</v>
      </c>
      <c r="D7049" s="787">
        <v>0.77</v>
      </c>
      <c r="E7049" s="787">
        <v>0.79</v>
      </c>
      <c r="F7049" s="788">
        <v>41900</v>
      </c>
      <c r="G7049" s="788">
        <v>42146</v>
      </c>
      <c r="H7049" s="787">
        <v>1</v>
      </c>
      <c r="I7049" s="788">
        <v>42124</v>
      </c>
      <c r="J7049" s="788">
        <v>42116</v>
      </c>
      <c r="K7049" s="788">
        <v>42115</v>
      </c>
      <c r="L7049" s="787">
        <v>0.79</v>
      </c>
      <c r="M7049" s="787">
        <v>20</v>
      </c>
      <c r="N7049" s="787">
        <v>0.83</v>
      </c>
      <c r="O7049" s="788">
        <v>41900</v>
      </c>
    </row>
    <row r="7050" spans="1:15" x14ac:dyDescent="0.25">
      <c r="A7050" s="786" t="s">
        <v>12608</v>
      </c>
      <c r="B7050" s="787">
        <v>4</v>
      </c>
      <c r="C7050" s="787" t="s">
        <v>12607</v>
      </c>
      <c r="D7050" s="787">
        <v>0.77</v>
      </c>
      <c r="E7050" s="787">
        <v>0.79</v>
      </c>
      <c r="F7050" s="788">
        <v>41900</v>
      </c>
      <c r="G7050" s="788">
        <v>42146</v>
      </c>
      <c r="H7050" s="787">
        <v>1</v>
      </c>
      <c r="I7050" s="788">
        <v>42124</v>
      </c>
      <c r="J7050" s="788">
        <v>42116</v>
      </c>
      <c r="K7050" s="788">
        <v>42115</v>
      </c>
      <c r="L7050" s="787">
        <v>0.79</v>
      </c>
      <c r="M7050" s="787">
        <v>20</v>
      </c>
      <c r="N7050" s="787">
        <v>0.83</v>
      </c>
      <c r="O7050" s="788">
        <v>41900</v>
      </c>
    </row>
    <row r="7051" spans="1:15" x14ac:dyDescent="0.25">
      <c r="A7051" s="786" t="s">
        <v>12609</v>
      </c>
      <c r="B7051" s="787">
        <v>4</v>
      </c>
      <c r="C7051" s="787" t="s">
        <v>12607</v>
      </c>
      <c r="D7051" s="787">
        <v>0.77</v>
      </c>
      <c r="E7051" s="787">
        <v>0.79</v>
      </c>
      <c r="F7051" s="788">
        <v>41900</v>
      </c>
      <c r="G7051" s="788">
        <v>42146</v>
      </c>
      <c r="H7051" s="787">
        <v>1</v>
      </c>
      <c r="I7051" s="788">
        <v>42124</v>
      </c>
      <c r="J7051" s="788">
        <v>42116</v>
      </c>
      <c r="K7051" s="788">
        <v>42115</v>
      </c>
      <c r="L7051" s="787">
        <v>0.79</v>
      </c>
      <c r="M7051" s="787">
        <v>20</v>
      </c>
      <c r="N7051" s="787">
        <v>0.83</v>
      </c>
      <c r="O7051" s="788">
        <v>41900</v>
      </c>
    </row>
    <row r="7052" spans="1:15" x14ac:dyDescent="0.25">
      <c r="A7052" s="786" t="s">
        <v>12610</v>
      </c>
      <c r="B7052" s="787">
        <v>4</v>
      </c>
      <c r="C7052" s="787" t="s">
        <v>12611</v>
      </c>
      <c r="D7052" s="787">
        <v>5.09</v>
      </c>
      <c r="E7052" s="787">
        <v>45.09</v>
      </c>
      <c r="F7052" s="788">
        <v>41813</v>
      </c>
      <c r="G7052" s="788">
        <v>41837</v>
      </c>
      <c r="H7052" s="787">
        <v>1</v>
      </c>
      <c r="I7052" s="788">
        <v>41823</v>
      </c>
      <c r="J7052" s="788">
        <v>41808</v>
      </c>
      <c r="K7052" s="788">
        <v>41869</v>
      </c>
      <c r="L7052" s="787">
        <v>45.09</v>
      </c>
      <c r="M7052" s="787">
        <v>20</v>
      </c>
      <c r="N7052" s="787">
        <v>302.99</v>
      </c>
      <c r="O7052" s="788">
        <v>41858</v>
      </c>
    </row>
    <row r="7053" spans="1:15" x14ac:dyDescent="0.25">
      <c r="A7053" s="786" t="s">
        <v>12612</v>
      </c>
      <c r="B7053" s="787">
        <v>4</v>
      </c>
      <c r="C7053" s="787" t="s">
        <v>12613</v>
      </c>
      <c r="D7053" s="787">
        <v>2.87</v>
      </c>
      <c r="E7053" s="787">
        <v>62.87</v>
      </c>
      <c r="F7053" s="788">
        <v>41813</v>
      </c>
      <c r="G7053" s="788">
        <v>41877</v>
      </c>
      <c r="H7053" s="787">
        <v>1</v>
      </c>
      <c r="I7053" s="788">
        <v>41837</v>
      </c>
      <c r="J7053" s="788">
        <v>41838</v>
      </c>
      <c r="K7053" s="788">
        <v>41817</v>
      </c>
      <c r="L7053" s="787">
        <v>62.86</v>
      </c>
      <c r="M7053" s="787">
        <v>20</v>
      </c>
      <c r="N7053" s="787">
        <v>67.569999999999993</v>
      </c>
      <c r="O7053" s="788">
        <v>41858</v>
      </c>
    </row>
    <row r="7054" spans="1:15" x14ac:dyDescent="0.25">
      <c r="A7054" s="786" t="s">
        <v>12614</v>
      </c>
      <c r="B7054" s="787">
        <v>4</v>
      </c>
      <c r="C7054" s="787" t="s">
        <v>12615</v>
      </c>
      <c r="D7054" s="787">
        <v>6.84</v>
      </c>
      <c r="E7054" s="787">
        <v>116.84</v>
      </c>
      <c r="F7054" s="788">
        <v>41813</v>
      </c>
      <c r="G7054" s="788">
        <v>41809</v>
      </c>
      <c r="H7054" s="787">
        <v>1</v>
      </c>
      <c r="I7054" s="788">
        <v>41820</v>
      </c>
      <c r="J7054" s="788">
        <v>41809</v>
      </c>
      <c r="K7054" s="788">
        <v>41855</v>
      </c>
      <c r="L7054" s="787">
        <v>116.84</v>
      </c>
      <c r="M7054" s="787">
        <v>20</v>
      </c>
      <c r="N7054" s="787">
        <v>125.6</v>
      </c>
      <c r="O7054" s="788">
        <v>41858</v>
      </c>
    </row>
    <row r="7055" spans="1:15" x14ac:dyDescent="0.25">
      <c r="A7055" s="786" t="s">
        <v>12616</v>
      </c>
      <c r="B7055" s="787">
        <v>4</v>
      </c>
      <c r="C7055" s="787" t="s">
        <v>12617</v>
      </c>
      <c r="D7055" s="787">
        <v>8.2899999999999991</v>
      </c>
      <c r="E7055" s="787">
        <v>498.29</v>
      </c>
      <c r="F7055" s="788">
        <v>41817</v>
      </c>
      <c r="G7055" s="788">
        <v>41864</v>
      </c>
      <c r="H7055" s="787">
        <v>1</v>
      </c>
      <c r="I7055" s="788">
        <v>41820</v>
      </c>
      <c r="J7055" s="788">
        <v>41815</v>
      </c>
      <c r="K7055" s="788">
        <v>41885</v>
      </c>
      <c r="L7055" s="787">
        <v>559.69000000000005</v>
      </c>
      <c r="M7055" s="787">
        <v>20</v>
      </c>
      <c r="N7055" s="787">
        <v>601.66999999999996</v>
      </c>
      <c r="O7055" s="788">
        <v>42164</v>
      </c>
    </row>
    <row r="7056" spans="1:15" x14ac:dyDescent="0.25">
      <c r="A7056" s="786" t="s">
        <v>12618</v>
      </c>
      <c r="B7056" s="787">
        <v>4</v>
      </c>
      <c r="C7056" s="787" t="s">
        <v>12619</v>
      </c>
      <c r="D7056" s="787">
        <v>8.0399999999999991</v>
      </c>
      <c r="E7056" s="787">
        <v>198.04</v>
      </c>
      <c r="F7056" s="788">
        <v>41884</v>
      </c>
      <c r="G7056" s="788">
        <v>41975</v>
      </c>
      <c r="H7056" s="787">
        <v>1</v>
      </c>
      <c r="I7056" s="788">
        <v>41990</v>
      </c>
      <c r="J7056" s="788">
        <v>41956</v>
      </c>
      <c r="L7056" s="787">
        <v>185</v>
      </c>
      <c r="M7056" s="787">
        <v>20</v>
      </c>
      <c r="N7056" s="787">
        <v>198.88</v>
      </c>
      <c r="O7056" s="788">
        <v>41858</v>
      </c>
    </row>
    <row r="7057" spans="1:15" x14ac:dyDescent="0.25">
      <c r="A7057" s="786" t="s">
        <v>12620</v>
      </c>
      <c r="B7057" s="787">
        <v>4</v>
      </c>
      <c r="C7057" s="787" t="s">
        <v>12621</v>
      </c>
      <c r="D7057" s="787">
        <v>8.5</v>
      </c>
      <c r="E7057" s="787">
        <v>48.5</v>
      </c>
      <c r="F7057" s="788">
        <v>41813</v>
      </c>
      <c r="G7057" s="788">
        <v>41822</v>
      </c>
      <c r="H7057" s="787">
        <v>1</v>
      </c>
      <c r="J7057" s="788">
        <v>41822</v>
      </c>
      <c r="L7057" s="787">
        <v>48.5</v>
      </c>
      <c r="M7057" s="787">
        <v>20</v>
      </c>
      <c r="N7057" s="787">
        <v>52.14</v>
      </c>
      <c r="O7057" s="788">
        <v>41858</v>
      </c>
    </row>
    <row r="7058" spans="1:15" x14ac:dyDescent="0.25">
      <c r="A7058" s="786" t="s">
        <v>12622</v>
      </c>
      <c r="B7058" s="787">
        <v>4</v>
      </c>
      <c r="C7058" s="787" t="s">
        <v>12623</v>
      </c>
      <c r="D7058" s="787">
        <v>4.01</v>
      </c>
      <c r="E7058" s="787">
        <v>14.01</v>
      </c>
      <c r="F7058" s="788">
        <v>41813</v>
      </c>
      <c r="G7058" s="788">
        <v>41822</v>
      </c>
      <c r="H7058" s="787">
        <v>1</v>
      </c>
      <c r="J7058" s="788">
        <v>41822</v>
      </c>
      <c r="L7058" s="787">
        <v>14.01</v>
      </c>
      <c r="M7058" s="787">
        <v>20</v>
      </c>
      <c r="N7058" s="787">
        <v>15.06</v>
      </c>
      <c r="O7058" s="788">
        <v>41858</v>
      </c>
    </row>
    <row r="7059" spans="1:15" x14ac:dyDescent="0.25">
      <c r="A7059" s="786" t="s">
        <v>12624</v>
      </c>
      <c r="B7059" s="787">
        <v>4</v>
      </c>
      <c r="C7059" s="787" t="s">
        <v>12625</v>
      </c>
      <c r="D7059" s="787">
        <v>8.5299999999999994</v>
      </c>
      <c r="E7059" s="787">
        <v>38.53</v>
      </c>
      <c r="F7059" s="788">
        <v>41818</v>
      </c>
      <c r="G7059" s="788">
        <v>41837</v>
      </c>
      <c r="H7059" s="787">
        <v>1</v>
      </c>
      <c r="I7059" s="788">
        <v>41820</v>
      </c>
      <c r="J7059" s="788">
        <v>41808</v>
      </c>
      <c r="K7059" s="788">
        <v>41806</v>
      </c>
      <c r="L7059" s="787">
        <v>38.53</v>
      </c>
      <c r="M7059" s="787">
        <v>20</v>
      </c>
      <c r="N7059" s="787">
        <v>41.42</v>
      </c>
      <c r="O7059" s="788">
        <v>41858</v>
      </c>
    </row>
    <row r="7060" spans="1:15" x14ac:dyDescent="0.25">
      <c r="A7060" s="786" t="s">
        <v>12626</v>
      </c>
      <c r="B7060" s="787">
        <v>4</v>
      </c>
      <c r="C7060" s="787" t="s">
        <v>12627</v>
      </c>
      <c r="D7060" s="787">
        <v>1.44</v>
      </c>
      <c r="E7060" s="787">
        <v>1.49</v>
      </c>
      <c r="F7060" s="788">
        <v>41810</v>
      </c>
      <c r="G7060" s="788">
        <v>42156</v>
      </c>
      <c r="H7060" s="787">
        <v>1</v>
      </c>
      <c r="J7060" s="788">
        <v>42131</v>
      </c>
      <c r="K7060" s="788">
        <v>41869</v>
      </c>
      <c r="L7060" s="787">
        <v>1.18</v>
      </c>
      <c r="M7060" s="787">
        <v>20</v>
      </c>
      <c r="N7060" s="787">
        <v>2.63</v>
      </c>
      <c r="O7060" s="788">
        <v>41858</v>
      </c>
    </row>
    <row r="7061" spans="1:15" x14ac:dyDescent="0.25">
      <c r="A7061" s="786" t="s">
        <v>12628</v>
      </c>
      <c r="B7061" s="787">
        <v>4</v>
      </c>
      <c r="C7061" s="787" t="s">
        <v>12629</v>
      </c>
      <c r="D7061" s="787">
        <v>3.5</v>
      </c>
      <c r="E7061" s="787">
        <v>3.57</v>
      </c>
      <c r="F7061" s="788">
        <v>41820</v>
      </c>
      <c r="G7061" s="788">
        <v>41911</v>
      </c>
      <c r="H7061" s="787">
        <v>1</v>
      </c>
      <c r="I7061" s="788">
        <v>41911</v>
      </c>
      <c r="J7061" s="788">
        <v>41905</v>
      </c>
      <c r="K7061" s="788">
        <v>41900</v>
      </c>
      <c r="L7061" s="787">
        <v>3.5</v>
      </c>
      <c r="M7061" s="787">
        <v>20</v>
      </c>
      <c r="N7061" s="787">
        <v>6.46</v>
      </c>
      <c r="O7061" s="788">
        <v>41858</v>
      </c>
    </row>
    <row r="7062" spans="1:15" x14ac:dyDescent="0.25">
      <c r="A7062" s="786" t="s">
        <v>12630</v>
      </c>
      <c r="B7062" s="787">
        <v>4</v>
      </c>
      <c r="C7062" s="787" t="s">
        <v>12631</v>
      </c>
      <c r="D7062" s="787">
        <v>2.37</v>
      </c>
      <c r="E7062" s="787">
        <v>12.37</v>
      </c>
      <c r="F7062" s="788">
        <v>41818</v>
      </c>
      <c r="G7062" s="788">
        <v>41808</v>
      </c>
      <c r="H7062" s="787">
        <v>1</v>
      </c>
      <c r="J7062" s="788">
        <v>41808</v>
      </c>
      <c r="K7062" s="788">
        <v>41807</v>
      </c>
      <c r="L7062" s="787">
        <v>12.37</v>
      </c>
      <c r="M7062" s="787">
        <v>20</v>
      </c>
      <c r="N7062" s="787">
        <v>13.3</v>
      </c>
      <c r="O7062" s="788">
        <v>41858</v>
      </c>
    </row>
    <row r="7063" spans="1:15" x14ac:dyDescent="0.25">
      <c r="A7063" s="786" t="s">
        <v>12632</v>
      </c>
      <c r="B7063" s="787">
        <v>4</v>
      </c>
      <c r="C7063" s="787" t="s">
        <v>12633</v>
      </c>
      <c r="D7063" s="787">
        <v>4.63</v>
      </c>
      <c r="E7063" s="787">
        <v>4.63</v>
      </c>
      <c r="F7063" s="788">
        <v>41810</v>
      </c>
      <c r="G7063" s="788">
        <v>41808</v>
      </c>
      <c r="H7063" s="787">
        <v>1</v>
      </c>
      <c r="J7063" s="788">
        <v>41808</v>
      </c>
      <c r="L7063" s="787">
        <v>4.38</v>
      </c>
      <c r="M7063" s="787">
        <v>10</v>
      </c>
      <c r="N7063" s="787">
        <v>0</v>
      </c>
    </row>
    <row r="7064" spans="1:15" x14ac:dyDescent="0.25">
      <c r="A7064" s="786" t="s">
        <v>12634</v>
      </c>
      <c r="B7064" s="787">
        <v>4</v>
      </c>
      <c r="C7064" s="787" t="s">
        <v>12635</v>
      </c>
      <c r="D7064" s="787">
        <v>1.73</v>
      </c>
      <c r="E7064" s="787">
        <v>1.73</v>
      </c>
      <c r="F7064" s="788">
        <v>41818</v>
      </c>
      <c r="G7064" s="788">
        <v>41837</v>
      </c>
      <c r="H7064" s="787">
        <v>1</v>
      </c>
      <c r="J7064" s="788">
        <v>41808</v>
      </c>
      <c r="L7064" s="787">
        <v>1.73</v>
      </c>
      <c r="M7064" s="787">
        <v>20</v>
      </c>
      <c r="N7064" s="787">
        <v>1.86</v>
      </c>
      <c r="O7064" s="788">
        <v>41858</v>
      </c>
    </row>
    <row r="7065" spans="1:15" x14ac:dyDescent="0.25">
      <c r="A7065" s="786" t="s">
        <v>12636</v>
      </c>
      <c r="B7065" s="787">
        <v>4</v>
      </c>
      <c r="C7065" s="787" t="s">
        <v>12637</v>
      </c>
      <c r="D7065" s="787">
        <v>0.64</v>
      </c>
      <c r="E7065" s="787">
        <v>0.64</v>
      </c>
      <c r="F7065" s="788">
        <v>41818</v>
      </c>
      <c r="G7065" s="788">
        <v>41837</v>
      </c>
      <c r="H7065" s="787">
        <v>1</v>
      </c>
      <c r="J7065" s="788">
        <v>41808</v>
      </c>
      <c r="L7065" s="787">
        <v>0.64</v>
      </c>
      <c r="M7065" s="787">
        <v>20</v>
      </c>
      <c r="N7065" s="787">
        <v>0.69</v>
      </c>
      <c r="O7065" s="788">
        <v>41858</v>
      </c>
    </row>
    <row r="7066" spans="1:15" x14ac:dyDescent="0.25">
      <c r="A7066" s="786" t="s">
        <v>12638</v>
      </c>
      <c r="B7066" s="787">
        <v>4</v>
      </c>
      <c r="C7066" s="787" t="s">
        <v>12639</v>
      </c>
      <c r="D7066" s="787">
        <v>7.22</v>
      </c>
      <c r="E7066" s="787">
        <v>144.44</v>
      </c>
      <c r="F7066" s="788">
        <v>41991</v>
      </c>
      <c r="G7066" s="788">
        <v>42095</v>
      </c>
      <c r="H7066" s="787">
        <v>1</v>
      </c>
      <c r="I7066" s="788">
        <v>42143</v>
      </c>
      <c r="J7066" s="788">
        <v>42144</v>
      </c>
      <c r="L7066" s="787">
        <v>144.44</v>
      </c>
      <c r="M7066" s="787">
        <v>20</v>
      </c>
      <c r="N7066" s="787">
        <v>155.27000000000001</v>
      </c>
      <c r="O7066" s="788">
        <v>41858</v>
      </c>
    </row>
    <row r="7067" spans="1:15" x14ac:dyDescent="0.25">
      <c r="A7067" s="786" t="s">
        <v>12640</v>
      </c>
      <c r="B7067" s="787">
        <v>4</v>
      </c>
      <c r="C7067" s="787" t="s">
        <v>12641</v>
      </c>
      <c r="D7067" s="787">
        <v>0</v>
      </c>
      <c r="E7067" s="787">
        <v>77.489999999999995</v>
      </c>
      <c r="H7067" s="787">
        <v>1</v>
      </c>
      <c r="L7067" s="787">
        <v>114.95</v>
      </c>
      <c r="M7067" s="787">
        <v>20</v>
      </c>
      <c r="N7067" s="787">
        <v>123.57</v>
      </c>
      <c r="O7067" s="788">
        <v>41858</v>
      </c>
    </row>
    <row r="7068" spans="1:15" x14ac:dyDescent="0.25">
      <c r="A7068" s="786" t="s">
        <v>12642</v>
      </c>
      <c r="B7068" s="787">
        <v>4</v>
      </c>
      <c r="C7068" s="787" t="s">
        <v>12643</v>
      </c>
      <c r="D7068" s="787">
        <v>8.56</v>
      </c>
      <c r="E7068" s="787">
        <v>68.56</v>
      </c>
      <c r="F7068" s="788">
        <v>42151</v>
      </c>
      <c r="G7068" s="788">
        <v>41813</v>
      </c>
      <c r="H7068" s="787">
        <v>1</v>
      </c>
      <c r="I7068" s="788">
        <v>42144</v>
      </c>
      <c r="J7068" s="788">
        <v>42135</v>
      </c>
      <c r="L7068" s="787">
        <v>80.72</v>
      </c>
      <c r="M7068" s="787">
        <v>20</v>
      </c>
      <c r="N7068" s="787">
        <v>86.77</v>
      </c>
      <c r="O7068" s="788">
        <v>41858</v>
      </c>
    </row>
    <row r="7069" spans="1:15" x14ac:dyDescent="0.25">
      <c r="A7069" s="786" t="s">
        <v>12644</v>
      </c>
      <c r="B7069" s="787">
        <v>4</v>
      </c>
      <c r="C7069" s="787" t="s">
        <v>12645</v>
      </c>
      <c r="D7069" s="787">
        <v>0.46</v>
      </c>
      <c r="E7069" s="787">
        <v>200.46</v>
      </c>
      <c r="F7069" s="788">
        <v>41817</v>
      </c>
      <c r="G7069" s="788">
        <v>41891</v>
      </c>
      <c r="H7069" s="787">
        <v>1</v>
      </c>
      <c r="J7069" s="788">
        <v>41883</v>
      </c>
      <c r="L7069" s="787">
        <v>135.9</v>
      </c>
      <c r="M7069" s="787">
        <v>20</v>
      </c>
      <c r="N7069" s="787">
        <v>146.09</v>
      </c>
      <c r="O7069" s="788">
        <v>41858</v>
      </c>
    </row>
    <row r="7070" spans="1:15" x14ac:dyDescent="0.25">
      <c r="A7070" s="786" t="s">
        <v>12646</v>
      </c>
      <c r="B7070" s="787">
        <v>4</v>
      </c>
      <c r="C7070" s="787" t="s">
        <v>12647</v>
      </c>
      <c r="D7070" s="787">
        <v>2.13</v>
      </c>
      <c r="E7070" s="787">
        <v>55.32</v>
      </c>
      <c r="F7070" s="788">
        <v>41817</v>
      </c>
      <c r="G7070" s="788">
        <v>41891</v>
      </c>
      <c r="H7070" s="787">
        <v>1</v>
      </c>
      <c r="I7070" s="788">
        <v>41981</v>
      </c>
      <c r="J7070" s="788">
        <v>41976</v>
      </c>
      <c r="K7070" s="788">
        <v>41900</v>
      </c>
      <c r="L7070" s="787">
        <v>52.99</v>
      </c>
      <c r="M7070" s="787">
        <v>20</v>
      </c>
      <c r="N7070" s="787">
        <v>44.67</v>
      </c>
      <c r="O7070" s="788">
        <v>41858</v>
      </c>
    </row>
    <row r="7071" spans="1:15" x14ac:dyDescent="0.25">
      <c r="A7071" s="786" t="s">
        <v>12648</v>
      </c>
      <c r="B7071" s="787">
        <v>4</v>
      </c>
      <c r="C7071" s="787" t="s">
        <v>12649</v>
      </c>
      <c r="D7071" s="787">
        <v>0.4</v>
      </c>
      <c r="E7071" s="787">
        <v>20.399999999999999</v>
      </c>
      <c r="F7071" s="788">
        <v>41817</v>
      </c>
      <c r="G7071" s="788">
        <v>41883</v>
      </c>
      <c r="H7071" s="787">
        <v>1</v>
      </c>
      <c r="J7071" s="788">
        <v>41883</v>
      </c>
      <c r="L7071" s="787">
        <v>20.399999999999999</v>
      </c>
      <c r="M7071" s="787">
        <v>20</v>
      </c>
      <c r="N7071" s="787">
        <v>21.93</v>
      </c>
      <c r="O7071" s="788">
        <v>41858</v>
      </c>
    </row>
    <row r="7072" spans="1:15" x14ac:dyDescent="0.25">
      <c r="A7072" s="786" t="s">
        <v>12650</v>
      </c>
      <c r="B7072" s="787">
        <v>4</v>
      </c>
      <c r="C7072" s="787" t="s">
        <v>12651</v>
      </c>
      <c r="D7072" s="787">
        <v>0</v>
      </c>
      <c r="E7072" s="789">
        <v>12800</v>
      </c>
      <c r="F7072" s="788">
        <v>41817</v>
      </c>
      <c r="G7072" s="788">
        <v>41883</v>
      </c>
      <c r="H7072" s="787">
        <v>1</v>
      </c>
      <c r="J7072" s="788">
        <v>41883</v>
      </c>
      <c r="L7072" s="789">
        <v>12800</v>
      </c>
      <c r="M7072" s="787">
        <v>20</v>
      </c>
      <c r="N7072" s="789">
        <v>13760</v>
      </c>
      <c r="O7072" s="788">
        <v>41858</v>
      </c>
    </row>
    <row r="7073" spans="1:15" x14ac:dyDescent="0.25">
      <c r="A7073" s="786" t="s">
        <v>12652</v>
      </c>
      <c r="B7073" s="787">
        <v>4</v>
      </c>
      <c r="C7073" s="787" t="s">
        <v>12653</v>
      </c>
      <c r="D7073" s="787">
        <v>2</v>
      </c>
      <c r="E7073" s="789">
        <v>2192</v>
      </c>
      <c r="F7073" s="788">
        <v>41817</v>
      </c>
      <c r="G7073" s="788">
        <v>41883</v>
      </c>
      <c r="H7073" s="787">
        <v>1</v>
      </c>
      <c r="J7073" s="788">
        <v>41883</v>
      </c>
      <c r="L7073" s="789">
        <v>2192</v>
      </c>
      <c r="M7073" s="787">
        <v>20</v>
      </c>
      <c r="N7073" s="789">
        <v>2356.4</v>
      </c>
      <c r="O7073" s="788">
        <v>41858</v>
      </c>
    </row>
    <row r="7074" spans="1:15" x14ac:dyDescent="0.25">
      <c r="A7074" s="786" t="s">
        <v>12654</v>
      </c>
      <c r="B7074" s="787">
        <v>4</v>
      </c>
      <c r="C7074" s="787" t="s">
        <v>12655</v>
      </c>
      <c r="D7074" s="787">
        <v>0.56000000000000005</v>
      </c>
      <c r="E7074" s="787">
        <v>1.21</v>
      </c>
      <c r="F7074" s="788">
        <v>41812</v>
      </c>
      <c r="G7074" s="788">
        <v>42152</v>
      </c>
      <c r="H7074" s="787">
        <v>1</v>
      </c>
      <c r="I7074" s="788">
        <v>42152</v>
      </c>
      <c r="J7074" s="788">
        <v>42135</v>
      </c>
      <c r="L7074" s="787">
        <v>0.56000000000000005</v>
      </c>
      <c r="M7074" s="787">
        <v>20</v>
      </c>
      <c r="N7074" s="787">
        <v>0.6</v>
      </c>
      <c r="O7074" s="788">
        <v>41858</v>
      </c>
    </row>
    <row r="7075" spans="1:15" x14ac:dyDescent="0.25">
      <c r="A7075" s="786" t="s">
        <v>12656</v>
      </c>
      <c r="B7075" s="787">
        <v>4</v>
      </c>
      <c r="C7075" s="787" t="s">
        <v>12657</v>
      </c>
      <c r="D7075" s="787">
        <v>2</v>
      </c>
      <c r="E7075" s="787">
        <v>4.8499999999999996</v>
      </c>
      <c r="F7075" s="788">
        <v>41812</v>
      </c>
      <c r="G7075" s="788">
        <v>42152</v>
      </c>
      <c r="H7075" s="787">
        <v>1</v>
      </c>
      <c r="I7075" s="788">
        <v>42152</v>
      </c>
      <c r="J7075" s="788">
        <v>42153</v>
      </c>
      <c r="L7075" s="787">
        <v>2</v>
      </c>
      <c r="M7075" s="787">
        <v>20</v>
      </c>
      <c r="N7075" s="787">
        <v>2.15</v>
      </c>
      <c r="O7075" s="788">
        <v>41955</v>
      </c>
    </row>
    <row r="7076" spans="1:15" x14ac:dyDescent="0.25">
      <c r="A7076" s="786" t="s">
        <v>12658</v>
      </c>
      <c r="B7076" s="787">
        <v>4</v>
      </c>
      <c r="C7076" s="787" t="s">
        <v>12659</v>
      </c>
      <c r="D7076" s="787">
        <v>3.9</v>
      </c>
      <c r="E7076" s="787">
        <v>153.9</v>
      </c>
      <c r="F7076" s="788">
        <v>41817</v>
      </c>
      <c r="G7076" s="788">
        <v>41864</v>
      </c>
      <c r="H7076" s="787">
        <v>1</v>
      </c>
      <c r="J7076" s="788">
        <v>41816</v>
      </c>
      <c r="L7076" s="787">
        <v>140.30000000000001</v>
      </c>
      <c r="M7076" s="787">
        <v>20</v>
      </c>
      <c r="N7076" s="787">
        <v>150.82</v>
      </c>
      <c r="O7076" s="788">
        <v>41858</v>
      </c>
    </row>
    <row r="7077" spans="1:15" x14ac:dyDescent="0.25">
      <c r="A7077" s="786" t="s">
        <v>12660</v>
      </c>
      <c r="B7077" s="787">
        <v>4</v>
      </c>
      <c r="C7077" s="787" t="s">
        <v>12661</v>
      </c>
      <c r="D7077" s="787">
        <v>1.3</v>
      </c>
      <c r="E7077" s="787">
        <v>1.3</v>
      </c>
      <c r="F7077" s="788">
        <v>41821</v>
      </c>
      <c r="G7077" s="788">
        <v>41816</v>
      </c>
      <c r="H7077" s="787">
        <v>1</v>
      </c>
      <c r="I7077" s="788">
        <v>41857</v>
      </c>
      <c r="J7077" s="788">
        <v>41816</v>
      </c>
      <c r="L7077" s="787">
        <v>1.3</v>
      </c>
      <c r="M7077" s="787">
        <v>20</v>
      </c>
      <c r="N7077" s="787">
        <v>1.4</v>
      </c>
      <c r="O7077" s="788">
        <v>41858</v>
      </c>
    </row>
    <row r="7078" spans="1:15" x14ac:dyDescent="0.25">
      <c r="A7078" s="786" t="s">
        <v>12662</v>
      </c>
      <c r="B7078" s="787">
        <v>4</v>
      </c>
      <c r="C7078" s="787" t="s">
        <v>12663</v>
      </c>
      <c r="D7078" s="787">
        <v>1.28</v>
      </c>
      <c r="E7078" s="787">
        <v>1.28</v>
      </c>
      <c r="F7078" s="788">
        <v>41821</v>
      </c>
      <c r="G7078" s="788">
        <v>41816</v>
      </c>
      <c r="H7078" s="787">
        <v>1</v>
      </c>
      <c r="I7078" s="788">
        <v>41865</v>
      </c>
      <c r="J7078" s="788">
        <v>41816</v>
      </c>
      <c r="L7078" s="787">
        <v>1.28</v>
      </c>
      <c r="M7078" s="787">
        <v>20</v>
      </c>
      <c r="N7078" s="787">
        <v>1.38</v>
      </c>
      <c r="O7078" s="788">
        <v>41858</v>
      </c>
    </row>
    <row r="7079" spans="1:15" x14ac:dyDescent="0.25">
      <c r="A7079" s="786" t="s">
        <v>12664</v>
      </c>
      <c r="B7079" s="787">
        <v>4</v>
      </c>
      <c r="C7079" s="787" t="s">
        <v>12665</v>
      </c>
      <c r="D7079" s="787">
        <v>0</v>
      </c>
      <c r="E7079" s="787">
        <v>28.11</v>
      </c>
      <c r="G7079" s="788">
        <v>41822</v>
      </c>
      <c r="H7079" s="787">
        <v>1</v>
      </c>
      <c r="I7079" s="788">
        <v>41824</v>
      </c>
      <c r="J7079" s="788">
        <v>41822</v>
      </c>
      <c r="L7079" s="787">
        <v>28.11</v>
      </c>
      <c r="M7079" s="787">
        <v>20</v>
      </c>
      <c r="N7079" s="787">
        <v>30.22</v>
      </c>
      <c r="O7079" s="788">
        <v>41858</v>
      </c>
    </row>
    <row r="7080" spans="1:15" x14ac:dyDescent="0.25">
      <c r="A7080" s="786" t="s">
        <v>12666</v>
      </c>
      <c r="B7080" s="787">
        <v>4</v>
      </c>
      <c r="C7080" s="787" t="s">
        <v>12667</v>
      </c>
      <c r="D7080" s="787">
        <v>2.5099999999999998</v>
      </c>
      <c r="E7080" s="787">
        <v>22.51</v>
      </c>
      <c r="F7080" s="788">
        <v>41821</v>
      </c>
      <c r="G7080" s="788">
        <v>42013</v>
      </c>
      <c r="H7080" s="787">
        <v>1</v>
      </c>
      <c r="I7080" s="788">
        <v>41836</v>
      </c>
      <c r="J7080" s="788">
        <v>41836</v>
      </c>
      <c r="L7080" s="787">
        <v>22.51</v>
      </c>
      <c r="M7080" s="787">
        <v>20</v>
      </c>
      <c r="N7080" s="787">
        <v>24.2</v>
      </c>
      <c r="O7080" s="788">
        <v>41858</v>
      </c>
    </row>
    <row r="7081" spans="1:15" x14ac:dyDescent="0.25">
      <c r="A7081" s="786" t="s">
        <v>12668</v>
      </c>
      <c r="B7081" s="787">
        <v>4</v>
      </c>
      <c r="C7081" s="787" t="s">
        <v>12669</v>
      </c>
      <c r="D7081" s="787">
        <v>2.97</v>
      </c>
      <c r="E7081" s="787">
        <v>2.97</v>
      </c>
      <c r="F7081" s="788">
        <v>41824</v>
      </c>
      <c r="G7081" s="788">
        <v>41837</v>
      </c>
      <c r="H7081" s="787">
        <v>1</v>
      </c>
      <c r="J7081" s="788">
        <v>41827</v>
      </c>
      <c r="L7081" s="787">
        <v>2.97</v>
      </c>
      <c r="M7081" s="787">
        <v>20</v>
      </c>
      <c r="N7081" s="787">
        <v>3.19</v>
      </c>
      <c r="O7081" s="788">
        <v>41858</v>
      </c>
    </row>
    <row r="7082" spans="1:15" x14ac:dyDescent="0.25">
      <c r="A7082" s="786" t="s">
        <v>12670</v>
      </c>
      <c r="B7082" s="787">
        <v>4</v>
      </c>
      <c r="C7082" s="787" t="s">
        <v>12671</v>
      </c>
      <c r="D7082" s="787">
        <v>1.57</v>
      </c>
      <c r="E7082" s="787">
        <v>1.57</v>
      </c>
      <c r="F7082" s="788">
        <v>41824</v>
      </c>
      <c r="G7082" s="788">
        <v>41837</v>
      </c>
      <c r="H7082" s="787">
        <v>1</v>
      </c>
      <c r="J7082" s="788">
        <v>41827</v>
      </c>
      <c r="L7082" s="787">
        <v>1.57</v>
      </c>
      <c r="M7082" s="787">
        <v>20</v>
      </c>
      <c r="N7082" s="787">
        <v>1.69</v>
      </c>
      <c r="O7082" s="788">
        <v>41858</v>
      </c>
    </row>
    <row r="7083" spans="1:15" x14ac:dyDescent="0.25">
      <c r="A7083" s="786" t="s">
        <v>12672</v>
      </c>
      <c r="B7083" s="787">
        <v>4</v>
      </c>
      <c r="C7083" s="787" t="s">
        <v>12673</v>
      </c>
      <c r="D7083" s="787">
        <v>3.27</v>
      </c>
      <c r="E7083" s="787">
        <v>23.27</v>
      </c>
      <c r="F7083" s="788">
        <v>41831</v>
      </c>
      <c r="G7083" s="788">
        <v>42013</v>
      </c>
      <c r="H7083" s="787">
        <v>1</v>
      </c>
      <c r="I7083" s="788">
        <v>41906</v>
      </c>
      <c r="J7083" s="788">
        <v>41830</v>
      </c>
      <c r="K7083" s="788">
        <v>41827</v>
      </c>
      <c r="L7083" s="787">
        <v>22</v>
      </c>
      <c r="M7083" s="787">
        <v>20</v>
      </c>
      <c r="N7083" s="787">
        <v>23.65</v>
      </c>
      <c r="O7083" s="788">
        <v>41858</v>
      </c>
    </row>
    <row r="7084" spans="1:15" x14ac:dyDescent="0.25">
      <c r="A7084" s="786" t="s">
        <v>12674</v>
      </c>
      <c r="B7084" s="787">
        <v>4</v>
      </c>
      <c r="C7084" s="787" t="s">
        <v>9662</v>
      </c>
      <c r="D7084" s="787">
        <v>6.95</v>
      </c>
      <c r="E7084" s="787">
        <v>7.4</v>
      </c>
      <c r="F7084" s="788">
        <v>41836</v>
      </c>
      <c r="G7084" s="788">
        <v>41869</v>
      </c>
      <c r="H7084" s="787">
        <v>1</v>
      </c>
      <c r="I7084" s="788">
        <v>41856</v>
      </c>
      <c r="J7084" s="788">
        <v>41866</v>
      </c>
      <c r="L7084" s="787">
        <v>7.07</v>
      </c>
      <c r="M7084" s="787">
        <v>20</v>
      </c>
      <c r="N7084" s="787">
        <v>7.6</v>
      </c>
      <c r="O7084" s="788">
        <v>41858</v>
      </c>
    </row>
    <row r="7085" spans="1:15" x14ac:dyDescent="0.25">
      <c r="A7085" s="786" t="s">
        <v>12675</v>
      </c>
      <c r="B7085" s="787">
        <v>4</v>
      </c>
      <c r="C7085" s="787" t="s">
        <v>12676</v>
      </c>
      <c r="D7085" s="787">
        <v>5.04</v>
      </c>
      <c r="E7085" s="787">
        <v>196.5</v>
      </c>
      <c r="F7085" s="788">
        <v>41842</v>
      </c>
      <c r="G7085" s="788">
        <v>42024</v>
      </c>
      <c r="H7085" s="787">
        <v>1</v>
      </c>
      <c r="J7085" s="788">
        <v>42019</v>
      </c>
      <c r="K7085" s="788">
        <v>41835</v>
      </c>
      <c r="L7085" s="787">
        <v>183.46</v>
      </c>
      <c r="M7085" s="787">
        <v>20</v>
      </c>
      <c r="N7085" s="787">
        <v>197.22</v>
      </c>
      <c r="O7085" s="788">
        <v>41858</v>
      </c>
    </row>
    <row r="7086" spans="1:15" x14ac:dyDescent="0.25">
      <c r="A7086" s="786" t="s">
        <v>12677</v>
      </c>
      <c r="B7086" s="787">
        <v>4</v>
      </c>
      <c r="C7086" s="787" t="s">
        <v>12678</v>
      </c>
      <c r="D7086" s="787">
        <v>5.38</v>
      </c>
      <c r="E7086" s="787">
        <v>5.38</v>
      </c>
      <c r="F7086" s="788">
        <v>41835</v>
      </c>
      <c r="G7086" s="788">
        <v>41869</v>
      </c>
      <c r="H7086" s="787">
        <v>1</v>
      </c>
      <c r="J7086" s="788">
        <v>41837</v>
      </c>
      <c r="L7086" s="787">
        <v>6.1</v>
      </c>
      <c r="M7086" s="787">
        <v>20</v>
      </c>
      <c r="N7086" s="787">
        <v>6.56</v>
      </c>
      <c r="O7086" s="788">
        <v>41858</v>
      </c>
    </row>
    <row r="7087" spans="1:15" x14ac:dyDescent="0.25">
      <c r="A7087" s="786" t="s">
        <v>12679</v>
      </c>
      <c r="B7087" s="787">
        <v>4</v>
      </c>
      <c r="C7087" s="787" t="s">
        <v>12680</v>
      </c>
      <c r="D7087" s="787">
        <v>3.92</v>
      </c>
      <c r="E7087" s="787">
        <v>3.92</v>
      </c>
      <c r="F7087" s="788">
        <v>41835</v>
      </c>
      <c r="G7087" s="788">
        <v>41869</v>
      </c>
      <c r="H7087" s="787">
        <v>1</v>
      </c>
      <c r="J7087" s="788">
        <v>41837</v>
      </c>
      <c r="L7087" s="787">
        <v>4.45</v>
      </c>
      <c r="M7087" s="787">
        <v>20</v>
      </c>
      <c r="N7087" s="787">
        <v>4.78</v>
      </c>
      <c r="O7087" s="788">
        <v>41858</v>
      </c>
    </row>
    <row r="7088" spans="1:15" x14ac:dyDescent="0.25">
      <c r="A7088" s="786" t="s">
        <v>12681</v>
      </c>
      <c r="B7088" s="787">
        <v>4</v>
      </c>
      <c r="C7088" s="787" t="s">
        <v>12682</v>
      </c>
      <c r="D7088" s="787">
        <v>0.31</v>
      </c>
      <c r="E7088" s="787">
        <v>0.31</v>
      </c>
      <c r="F7088" s="788">
        <v>41855</v>
      </c>
      <c r="G7088" s="788">
        <v>41837</v>
      </c>
      <c r="H7088" s="787">
        <v>1</v>
      </c>
      <c r="J7088" s="788">
        <v>41837</v>
      </c>
      <c r="L7088" s="787">
        <v>0.31</v>
      </c>
      <c r="M7088" s="787">
        <v>20</v>
      </c>
      <c r="N7088" s="787">
        <v>0.33</v>
      </c>
      <c r="O7088" s="788">
        <v>41858</v>
      </c>
    </row>
    <row r="7089" spans="1:15" x14ac:dyDescent="0.25">
      <c r="A7089" s="786" t="s">
        <v>12683</v>
      </c>
      <c r="B7089" s="787">
        <v>4</v>
      </c>
      <c r="C7089" s="787" t="s">
        <v>1777</v>
      </c>
      <c r="D7089" s="787">
        <v>0.23</v>
      </c>
      <c r="E7089" s="787">
        <v>0.23</v>
      </c>
      <c r="F7089" s="788">
        <v>41929</v>
      </c>
      <c r="G7089" s="788">
        <v>41942</v>
      </c>
      <c r="H7089" s="787">
        <v>1</v>
      </c>
      <c r="I7089" s="788">
        <v>41929</v>
      </c>
      <c r="J7089" s="788">
        <v>41928</v>
      </c>
      <c r="K7089" s="788">
        <v>41834</v>
      </c>
      <c r="L7089" s="787">
        <v>0.23</v>
      </c>
      <c r="M7089" s="787">
        <v>20</v>
      </c>
      <c r="N7089" s="787">
        <v>0.25</v>
      </c>
      <c r="O7089" s="788">
        <v>41858</v>
      </c>
    </row>
    <row r="7090" spans="1:15" x14ac:dyDescent="0.25">
      <c r="A7090" s="786" t="s">
        <v>12684</v>
      </c>
      <c r="B7090" s="787">
        <v>4</v>
      </c>
      <c r="C7090" s="787" t="s">
        <v>12685</v>
      </c>
      <c r="D7090" s="787">
        <v>1.22</v>
      </c>
      <c r="E7090" s="787">
        <v>1.22</v>
      </c>
      <c r="F7090" s="788">
        <v>41838</v>
      </c>
      <c r="G7090" s="788">
        <v>41869</v>
      </c>
      <c r="H7090" s="787">
        <v>1</v>
      </c>
      <c r="J7090" s="788">
        <v>41842</v>
      </c>
      <c r="L7090" s="787">
        <v>0.4</v>
      </c>
      <c r="M7090" s="787">
        <v>20</v>
      </c>
      <c r="N7090" s="787">
        <v>0.43</v>
      </c>
      <c r="O7090" s="788">
        <v>41858</v>
      </c>
    </row>
    <row r="7091" spans="1:15" x14ac:dyDescent="0.25">
      <c r="A7091" s="786" t="s">
        <v>12686</v>
      </c>
      <c r="B7091" s="787">
        <v>4</v>
      </c>
      <c r="C7091" s="787" t="s">
        <v>12687</v>
      </c>
      <c r="D7091" s="787">
        <v>4.7699999999999996</v>
      </c>
      <c r="E7091" s="787">
        <v>4.7699999999999996</v>
      </c>
      <c r="F7091" s="788">
        <v>41855</v>
      </c>
      <c r="G7091" s="788">
        <v>41837</v>
      </c>
      <c r="H7091" s="787">
        <v>1</v>
      </c>
      <c r="I7091" s="788">
        <v>41842</v>
      </c>
      <c r="J7091" s="788">
        <v>41837</v>
      </c>
      <c r="L7091" s="787">
        <v>4.7699999999999996</v>
      </c>
      <c r="M7091" s="787">
        <v>10</v>
      </c>
      <c r="N7091" s="787">
        <v>0</v>
      </c>
    </row>
    <row r="7092" spans="1:15" x14ac:dyDescent="0.25">
      <c r="A7092" s="786" t="s">
        <v>12688</v>
      </c>
      <c r="B7092" s="787">
        <v>4</v>
      </c>
      <c r="C7092" s="787" t="s">
        <v>12689</v>
      </c>
      <c r="D7092" s="787">
        <v>2.85</v>
      </c>
      <c r="E7092" s="787">
        <v>22.85</v>
      </c>
      <c r="F7092" s="788">
        <v>41841</v>
      </c>
      <c r="G7092" s="788">
        <v>41869</v>
      </c>
      <c r="H7092" s="787">
        <v>1</v>
      </c>
      <c r="I7092" s="788">
        <v>41842</v>
      </c>
      <c r="J7092" s="788">
        <v>41838</v>
      </c>
      <c r="L7092" s="787">
        <v>24</v>
      </c>
      <c r="M7092" s="787">
        <v>20</v>
      </c>
      <c r="N7092" s="787">
        <v>25.8</v>
      </c>
      <c r="O7092" s="788">
        <v>41858</v>
      </c>
    </row>
    <row r="7093" spans="1:15" x14ac:dyDescent="0.25">
      <c r="A7093" s="786" t="s">
        <v>12690</v>
      </c>
      <c r="B7093" s="787">
        <v>4</v>
      </c>
      <c r="C7093" s="787" t="s">
        <v>12691</v>
      </c>
      <c r="D7093" s="787">
        <v>1.05</v>
      </c>
      <c r="E7093" s="787">
        <v>51.05</v>
      </c>
      <c r="F7093" s="788">
        <v>41838</v>
      </c>
      <c r="G7093" s="788">
        <v>41869</v>
      </c>
      <c r="H7093" s="787">
        <v>1</v>
      </c>
      <c r="I7093" s="788">
        <v>41842</v>
      </c>
      <c r="J7093" s="788">
        <v>41842</v>
      </c>
      <c r="L7093" s="787">
        <v>48.89</v>
      </c>
      <c r="M7093" s="787">
        <v>20</v>
      </c>
      <c r="N7093" s="787">
        <v>52.56</v>
      </c>
      <c r="O7093" s="788">
        <v>41858</v>
      </c>
    </row>
    <row r="7094" spans="1:15" x14ac:dyDescent="0.25">
      <c r="A7094" s="786" t="s">
        <v>12692</v>
      </c>
      <c r="B7094" s="787">
        <v>4</v>
      </c>
      <c r="C7094" s="787" t="s">
        <v>12693</v>
      </c>
      <c r="D7094" s="787">
        <v>5.43</v>
      </c>
      <c r="E7094" s="787">
        <v>25.43</v>
      </c>
      <c r="F7094" s="788">
        <v>41840</v>
      </c>
      <c r="G7094" s="788">
        <v>41841</v>
      </c>
      <c r="H7094" s="787">
        <v>1</v>
      </c>
      <c r="I7094" s="788">
        <v>41876</v>
      </c>
      <c r="J7094" s="788">
        <v>41841</v>
      </c>
      <c r="L7094" s="787">
        <v>25.43</v>
      </c>
      <c r="M7094" s="787">
        <v>20</v>
      </c>
      <c r="N7094" s="787">
        <v>27.34</v>
      </c>
      <c r="O7094" s="788">
        <v>42060</v>
      </c>
    </row>
    <row r="7095" spans="1:15" x14ac:dyDescent="0.25">
      <c r="A7095" s="786" t="s">
        <v>12694</v>
      </c>
      <c r="B7095" s="787">
        <v>4</v>
      </c>
      <c r="C7095" s="787" t="s">
        <v>12401</v>
      </c>
      <c r="D7095" s="787">
        <v>9.0399999999999991</v>
      </c>
      <c r="E7095" s="787">
        <v>9.0399999999999991</v>
      </c>
      <c r="F7095" s="788">
        <v>41848</v>
      </c>
      <c r="G7095" s="788">
        <v>41850</v>
      </c>
      <c r="H7095" s="787">
        <v>1</v>
      </c>
      <c r="I7095" s="788">
        <v>41852</v>
      </c>
      <c r="J7095" s="788">
        <v>41845</v>
      </c>
      <c r="L7095" s="787">
        <v>4.05</v>
      </c>
      <c r="M7095" s="787">
        <v>20</v>
      </c>
      <c r="N7095" s="787">
        <v>4.3499999999999996</v>
      </c>
      <c r="O7095" s="788">
        <v>41858</v>
      </c>
    </row>
    <row r="7096" spans="1:15" x14ac:dyDescent="0.25">
      <c r="A7096" s="786" t="s">
        <v>12695</v>
      </c>
      <c r="B7096" s="787">
        <v>4</v>
      </c>
      <c r="C7096" s="787" t="s">
        <v>12401</v>
      </c>
      <c r="D7096" s="787">
        <v>9.0399999999999991</v>
      </c>
      <c r="E7096" s="787">
        <v>9.0399999999999991</v>
      </c>
      <c r="F7096" s="788">
        <v>41848</v>
      </c>
      <c r="G7096" s="788">
        <v>41850</v>
      </c>
      <c r="H7096" s="787">
        <v>1</v>
      </c>
      <c r="I7096" s="788">
        <v>41856</v>
      </c>
      <c r="J7096" s="788">
        <v>41845</v>
      </c>
      <c r="L7096" s="787">
        <v>7.92</v>
      </c>
      <c r="M7096" s="787">
        <v>20</v>
      </c>
      <c r="N7096" s="787">
        <v>8.51</v>
      </c>
      <c r="O7096" s="788">
        <v>41858</v>
      </c>
    </row>
    <row r="7097" spans="1:15" x14ac:dyDescent="0.25">
      <c r="A7097" s="786" t="s">
        <v>12696</v>
      </c>
      <c r="B7097" s="787">
        <v>4</v>
      </c>
      <c r="C7097" s="787" t="s">
        <v>12697</v>
      </c>
      <c r="D7097" s="787">
        <v>0.68</v>
      </c>
      <c r="E7097" s="787">
        <v>0.68</v>
      </c>
      <c r="F7097" s="788">
        <v>41855</v>
      </c>
      <c r="G7097" s="788">
        <v>41869</v>
      </c>
      <c r="H7097" s="787">
        <v>1</v>
      </c>
      <c r="J7097" s="788">
        <v>41841</v>
      </c>
      <c r="K7097" s="788">
        <v>41837</v>
      </c>
      <c r="L7097" s="787">
        <v>0.68</v>
      </c>
      <c r="M7097" s="787">
        <v>20</v>
      </c>
      <c r="N7097" s="787">
        <v>0.73</v>
      </c>
      <c r="O7097" s="788">
        <v>41858</v>
      </c>
    </row>
    <row r="7098" spans="1:15" x14ac:dyDescent="0.25">
      <c r="A7098" s="786" t="s">
        <v>12698</v>
      </c>
      <c r="B7098" s="787">
        <v>4</v>
      </c>
      <c r="C7098" s="787" t="s">
        <v>12619</v>
      </c>
      <c r="D7098" s="787">
        <v>8.9600000000000009</v>
      </c>
      <c r="E7098" s="787">
        <v>198.96</v>
      </c>
      <c r="F7098" s="788">
        <v>41852</v>
      </c>
      <c r="G7098" s="788">
        <v>41855</v>
      </c>
      <c r="H7098" s="787">
        <v>1</v>
      </c>
      <c r="I7098" s="788">
        <v>41990</v>
      </c>
      <c r="J7098" s="788">
        <v>41851</v>
      </c>
      <c r="L7098" s="787">
        <v>189.33</v>
      </c>
      <c r="M7098" s="787">
        <v>20</v>
      </c>
      <c r="N7098" s="787">
        <v>203.53</v>
      </c>
      <c r="O7098" s="788">
        <v>41858</v>
      </c>
    </row>
    <row r="7099" spans="1:15" x14ac:dyDescent="0.25">
      <c r="A7099" s="786" t="s">
        <v>12699</v>
      </c>
      <c r="B7099" s="787">
        <v>4</v>
      </c>
      <c r="C7099" s="787" t="s">
        <v>12700</v>
      </c>
      <c r="D7099" s="787">
        <v>5.65</v>
      </c>
      <c r="E7099" s="787">
        <v>15.65</v>
      </c>
      <c r="F7099" s="788">
        <v>41852</v>
      </c>
      <c r="G7099" s="788">
        <v>41855</v>
      </c>
      <c r="H7099" s="787">
        <v>1</v>
      </c>
      <c r="J7099" s="788">
        <v>41851</v>
      </c>
      <c r="L7099" s="787">
        <v>14.89</v>
      </c>
      <c r="M7099" s="787">
        <v>20</v>
      </c>
      <c r="N7099" s="787">
        <v>16.010000000000002</v>
      </c>
      <c r="O7099" s="788">
        <v>41858</v>
      </c>
    </row>
    <row r="7100" spans="1:15" x14ac:dyDescent="0.25">
      <c r="A7100" s="786" t="s">
        <v>12701</v>
      </c>
      <c r="B7100" s="787">
        <v>4</v>
      </c>
      <c r="C7100" s="787" t="s">
        <v>12702</v>
      </c>
      <c r="D7100" s="787">
        <v>0</v>
      </c>
      <c r="E7100" s="789">
        <v>1800</v>
      </c>
      <c r="F7100" s="788">
        <v>41871</v>
      </c>
      <c r="G7100" s="788">
        <v>41869</v>
      </c>
      <c r="H7100" s="787">
        <v>1</v>
      </c>
      <c r="I7100" s="788">
        <v>41878</v>
      </c>
      <c r="J7100" s="788">
        <v>41869</v>
      </c>
      <c r="K7100" s="788">
        <v>41842</v>
      </c>
      <c r="L7100" s="789">
        <v>1800</v>
      </c>
      <c r="M7100" s="787">
        <v>20</v>
      </c>
      <c r="N7100" s="789">
        <v>1935</v>
      </c>
      <c r="O7100" s="788">
        <v>41858</v>
      </c>
    </row>
    <row r="7101" spans="1:15" x14ac:dyDescent="0.25">
      <c r="A7101" s="786" t="s">
        <v>12703</v>
      </c>
      <c r="B7101" s="787">
        <v>4</v>
      </c>
      <c r="C7101" s="787" t="s">
        <v>12704</v>
      </c>
      <c r="D7101" s="787">
        <v>0</v>
      </c>
      <c r="E7101" s="789">
        <v>2200</v>
      </c>
      <c r="F7101" s="788">
        <v>41871</v>
      </c>
      <c r="G7101" s="788">
        <v>41869</v>
      </c>
      <c r="H7101" s="787">
        <v>1</v>
      </c>
      <c r="I7101" s="788">
        <v>41878</v>
      </c>
      <c r="J7101" s="788">
        <v>41869</v>
      </c>
      <c r="K7101" s="788">
        <v>41842</v>
      </c>
      <c r="L7101" s="789">
        <v>2200</v>
      </c>
      <c r="M7101" s="787">
        <v>20</v>
      </c>
      <c r="N7101" s="789">
        <v>2365</v>
      </c>
      <c r="O7101" s="788">
        <v>41858</v>
      </c>
    </row>
    <row r="7102" spans="1:15" x14ac:dyDescent="0.25">
      <c r="A7102" s="786" t="s">
        <v>12705</v>
      </c>
      <c r="B7102" s="787">
        <v>4</v>
      </c>
      <c r="C7102" s="787" t="s">
        <v>12706</v>
      </c>
      <c r="D7102" s="787">
        <v>1.2</v>
      </c>
      <c r="E7102" s="787">
        <v>151.19999999999999</v>
      </c>
      <c r="F7102" s="788">
        <v>41878</v>
      </c>
      <c r="G7102" s="788">
        <v>41891</v>
      </c>
      <c r="H7102" s="787">
        <v>1</v>
      </c>
      <c r="I7102" s="788">
        <v>41878</v>
      </c>
      <c r="J7102" s="788">
        <v>41872</v>
      </c>
      <c r="K7102" s="788">
        <v>41844</v>
      </c>
      <c r="L7102" s="787">
        <v>133</v>
      </c>
      <c r="M7102" s="787">
        <v>20</v>
      </c>
      <c r="N7102" s="787">
        <v>142.97999999999999</v>
      </c>
      <c r="O7102" s="788">
        <v>41858</v>
      </c>
    </row>
    <row r="7103" spans="1:15" x14ac:dyDescent="0.25">
      <c r="A7103" s="786" t="s">
        <v>12707</v>
      </c>
      <c r="B7103" s="787">
        <v>4</v>
      </c>
      <c r="C7103" s="787" t="s">
        <v>12708</v>
      </c>
      <c r="D7103" s="787">
        <v>2.8</v>
      </c>
      <c r="E7103" s="787">
        <v>172.8</v>
      </c>
      <c r="F7103" s="788">
        <v>41878</v>
      </c>
      <c r="G7103" s="788">
        <v>41891</v>
      </c>
      <c r="H7103" s="787">
        <v>1</v>
      </c>
      <c r="I7103" s="788">
        <v>41878</v>
      </c>
      <c r="J7103" s="788">
        <v>41872</v>
      </c>
      <c r="K7103" s="788">
        <v>41844</v>
      </c>
      <c r="L7103" s="787">
        <v>152</v>
      </c>
      <c r="M7103" s="787">
        <v>20</v>
      </c>
      <c r="N7103" s="787">
        <v>163.4</v>
      </c>
      <c r="O7103" s="788">
        <v>41858</v>
      </c>
    </row>
    <row r="7104" spans="1:15" x14ac:dyDescent="0.25">
      <c r="A7104" s="786" t="s">
        <v>12709</v>
      </c>
      <c r="B7104" s="787">
        <v>4</v>
      </c>
      <c r="C7104" s="787" t="s">
        <v>12710</v>
      </c>
      <c r="D7104" s="787">
        <v>0</v>
      </c>
      <c r="E7104" s="787">
        <v>204</v>
      </c>
      <c r="G7104" s="788">
        <v>41842</v>
      </c>
      <c r="H7104" s="787">
        <v>1</v>
      </c>
      <c r="I7104" s="788">
        <v>41856</v>
      </c>
      <c r="J7104" s="788">
        <v>41842</v>
      </c>
      <c r="K7104" s="788">
        <v>41869</v>
      </c>
      <c r="L7104" s="787">
        <v>40.799999999999997</v>
      </c>
      <c r="M7104" s="787">
        <v>20</v>
      </c>
      <c r="N7104" s="787">
        <v>219.3</v>
      </c>
      <c r="O7104" s="788">
        <v>41858</v>
      </c>
    </row>
    <row r="7105" spans="1:15" x14ac:dyDescent="0.25">
      <c r="A7105" s="786" t="s">
        <v>12711</v>
      </c>
      <c r="B7105" s="787">
        <v>4</v>
      </c>
      <c r="C7105" s="787" t="s">
        <v>12712</v>
      </c>
      <c r="D7105" s="787">
        <v>7.4</v>
      </c>
      <c r="E7105" s="787">
        <v>57.4</v>
      </c>
      <c r="F7105" s="788">
        <v>41856</v>
      </c>
      <c r="G7105" s="788">
        <v>41852</v>
      </c>
      <c r="H7105" s="787">
        <v>1</v>
      </c>
      <c r="J7105" s="788">
        <v>41852</v>
      </c>
      <c r="K7105" s="788">
        <v>41865</v>
      </c>
      <c r="L7105" s="787">
        <v>58</v>
      </c>
      <c r="M7105" s="787">
        <v>20</v>
      </c>
      <c r="N7105" s="787">
        <v>61.72</v>
      </c>
      <c r="O7105" s="788">
        <v>41858</v>
      </c>
    </row>
    <row r="7106" spans="1:15" x14ac:dyDescent="0.25">
      <c r="A7106" s="786" t="s">
        <v>12713</v>
      </c>
      <c r="B7106" s="787">
        <v>4</v>
      </c>
      <c r="C7106" s="787" t="s">
        <v>12714</v>
      </c>
      <c r="D7106" s="787">
        <v>4</v>
      </c>
      <c r="E7106" s="787">
        <v>94</v>
      </c>
      <c r="F7106" s="788">
        <v>41856</v>
      </c>
      <c r="G7106" s="788">
        <v>41852</v>
      </c>
      <c r="H7106" s="787">
        <v>1</v>
      </c>
      <c r="I7106" s="788">
        <v>42165</v>
      </c>
      <c r="J7106" s="788">
        <v>42165</v>
      </c>
      <c r="K7106" s="788">
        <v>41865</v>
      </c>
      <c r="L7106" s="787">
        <v>94</v>
      </c>
      <c r="M7106" s="787">
        <v>20</v>
      </c>
      <c r="N7106" s="787">
        <v>101.07</v>
      </c>
      <c r="O7106" s="788">
        <v>41858</v>
      </c>
    </row>
    <row r="7107" spans="1:15" x14ac:dyDescent="0.25">
      <c r="A7107" s="786" t="s">
        <v>12715</v>
      </c>
      <c r="B7107" s="787">
        <v>4</v>
      </c>
      <c r="C7107" s="787" t="s">
        <v>12716</v>
      </c>
      <c r="D7107" s="787">
        <v>8.2799999999999994</v>
      </c>
      <c r="E7107" s="787">
        <v>8.2799999999999994</v>
      </c>
      <c r="F7107" s="788">
        <v>41855</v>
      </c>
      <c r="G7107" s="788">
        <v>41857</v>
      </c>
      <c r="H7107" s="787">
        <v>1</v>
      </c>
      <c r="J7107" s="788">
        <v>41850</v>
      </c>
      <c r="L7107" s="787">
        <v>7.65</v>
      </c>
      <c r="M7107" s="787">
        <v>20</v>
      </c>
      <c r="N7107" s="787">
        <v>8.2200000000000006</v>
      </c>
      <c r="O7107" s="788">
        <v>41858</v>
      </c>
    </row>
    <row r="7108" spans="1:15" x14ac:dyDescent="0.25">
      <c r="A7108" s="786" t="s">
        <v>12717</v>
      </c>
      <c r="B7108" s="787">
        <v>4</v>
      </c>
      <c r="C7108" s="787" t="s">
        <v>12718</v>
      </c>
      <c r="D7108" s="787">
        <v>9.75</v>
      </c>
      <c r="E7108" s="787">
        <v>9.85</v>
      </c>
      <c r="F7108" s="788">
        <v>42044</v>
      </c>
      <c r="G7108" s="788">
        <v>42158</v>
      </c>
      <c r="H7108" s="787">
        <v>1</v>
      </c>
      <c r="I7108" s="788">
        <v>42165</v>
      </c>
      <c r="J7108" s="788">
        <v>42157</v>
      </c>
      <c r="L7108" s="787">
        <v>9.75</v>
      </c>
      <c r="M7108" s="787">
        <v>20</v>
      </c>
      <c r="N7108" s="787">
        <v>10.48</v>
      </c>
      <c r="O7108" s="788">
        <v>41955</v>
      </c>
    </row>
    <row r="7109" spans="1:15" x14ac:dyDescent="0.25">
      <c r="A7109" s="786" t="s">
        <v>12719</v>
      </c>
      <c r="B7109" s="787">
        <v>4</v>
      </c>
      <c r="C7109" s="787" t="s">
        <v>12718</v>
      </c>
      <c r="D7109" s="787">
        <v>3.48</v>
      </c>
      <c r="E7109" s="787">
        <v>3.51</v>
      </c>
      <c r="F7109" s="788">
        <v>42156</v>
      </c>
      <c r="G7109" s="788">
        <v>42159</v>
      </c>
      <c r="H7109" s="787">
        <v>1</v>
      </c>
      <c r="I7109" s="788">
        <v>42165</v>
      </c>
      <c r="J7109" s="788">
        <v>42160</v>
      </c>
      <c r="L7109" s="787">
        <v>3.45</v>
      </c>
      <c r="M7109" s="787">
        <v>20</v>
      </c>
      <c r="N7109" s="787">
        <v>3.71</v>
      </c>
      <c r="O7109" s="788">
        <v>41955</v>
      </c>
    </row>
    <row r="7110" spans="1:15" x14ac:dyDescent="0.25">
      <c r="A7110" s="786" t="s">
        <v>12720</v>
      </c>
      <c r="B7110" s="787">
        <v>4</v>
      </c>
      <c r="C7110" s="787" t="s">
        <v>12721</v>
      </c>
      <c r="D7110" s="787">
        <v>9.5</v>
      </c>
      <c r="E7110" s="787">
        <v>69.5</v>
      </c>
      <c r="F7110" s="788">
        <v>41876</v>
      </c>
      <c r="G7110" s="788">
        <v>41891</v>
      </c>
      <c r="H7110" s="787">
        <v>1</v>
      </c>
      <c r="J7110" s="788">
        <v>41878</v>
      </c>
      <c r="L7110" s="787">
        <v>48.9</v>
      </c>
      <c r="M7110" s="787">
        <v>20</v>
      </c>
      <c r="N7110" s="787">
        <v>52.57</v>
      </c>
      <c r="O7110" s="788">
        <v>41858</v>
      </c>
    </row>
    <row r="7111" spans="1:15" x14ac:dyDescent="0.25">
      <c r="A7111" s="786" t="s">
        <v>12722</v>
      </c>
      <c r="B7111" s="787">
        <v>4</v>
      </c>
      <c r="C7111" s="787" t="s">
        <v>9028</v>
      </c>
      <c r="D7111" s="787">
        <v>7.67</v>
      </c>
      <c r="E7111" s="787">
        <v>187.67</v>
      </c>
      <c r="F7111" s="788">
        <v>41857</v>
      </c>
      <c r="G7111" s="788">
        <v>41859</v>
      </c>
      <c r="H7111" s="787">
        <v>1</v>
      </c>
      <c r="I7111" s="788">
        <v>41857</v>
      </c>
      <c r="J7111" s="788">
        <v>41855</v>
      </c>
      <c r="L7111" s="787">
        <v>168</v>
      </c>
      <c r="M7111" s="787">
        <v>20</v>
      </c>
      <c r="N7111" s="787">
        <v>180.6</v>
      </c>
      <c r="O7111" s="788">
        <v>41858</v>
      </c>
    </row>
    <row r="7112" spans="1:15" x14ac:dyDescent="0.25">
      <c r="A7112" s="786" t="s">
        <v>12723</v>
      </c>
      <c r="B7112" s="787">
        <v>4</v>
      </c>
      <c r="C7112" s="787" t="s">
        <v>12724</v>
      </c>
      <c r="D7112" s="787">
        <v>4.63</v>
      </c>
      <c r="E7112" s="787">
        <v>364.63</v>
      </c>
      <c r="F7112" s="788">
        <v>41857</v>
      </c>
      <c r="G7112" s="788">
        <v>41859</v>
      </c>
      <c r="H7112" s="787">
        <v>1</v>
      </c>
      <c r="I7112" s="788">
        <v>41857</v>
      </c>
      <c r="J7112" s="788">
        <v>41855</v>
      </c>
      <c r="L7112" s="787">
        <v>326.39999999999998</v>
      </c>
      <c r="M7112" s="787">
        <v>20</v>
      </c>
      <c r="N7112" s="787">
        <v>350.88</v>
      </c>
      <c r="O7112" s="788">
        <v>41858</v>
      </c>
    </row>
    <row r="7113" spans="1:15" x14ac:dyDescent="0.25">
      <c r="A7113" s="786" t="s">
        <v>12725</v>
      </c>
      <c r="B7113" s="787">
        <v>4</v>
      </c>
      <c r="C7113" s="787" t="s">
        <v>12726</v>
      </c>
      <c r="D7113" s="787">
        <v>7.82</v>
      </c>
      <c r="E7113" s="787">
        <v>27.82</v>
      </c>
      <c r="F7113" s="788">
        <v>41855</v>
      </c>
      <c r="G7113" s="788">
        <v>41857</v>
      </c>
      <c r="H7113" s="787">
        <v>1</v>
      </c>
      <c r="J7113" s="788">
        <v>41856</v>
      </c>
      <c r="K7113" s="788">
        <v>41852</v>
      </c>
      <c r="L7113" s="787">
        <v>25.4</v>
      </c>
      <c r="M7113" s="787">
        <v>20</v>
      </c>
      <c r="N7113" s="787">
        <v>27.31</v>
      </c>
      <c r="O7113" s="788">
        <v>41858</v>
      </c>
    </row>
    <row r="7114" spans="1:15" x14ac:dyDescent="0.25">
      <c r="A7114" s="786" t="s">
        <v>12727</v>
      </c>
      <c r="B7114" s="787">
        <v>4</v>
      </c>
      <c r="C7114" s="787" t="s">
        <v>12728</v>
      </c>
      <c r="D7114" s="787">
        <v>6.55</v>
      </c>
      <c r="E7114" s="787">
        <v>196.55</v>
      </c>
      <c r="F7114" s="788">
        <v>41870</v>
      </c>
      <c r="G7114" s="788">
        <v>41872</v>
      </c>
      <c r="H7114" s="787">
        <v>1</v>
      </c>
      <c r="I7114" s="788">
        <v>41869</v>
      </c>
      <c r="J7114" s="788">
        <v>41866</v>
      </c>
      <c r="L7114" s="787">
        <v>186</v>
      </c>
      <c r="M7114" s="787">
        <v>20</v>
      </c>
      <c r="N7114" s="787">
        <v>199.95</v>
      </c>
      <c r="O7114" s="788">
        <v>41858</v>
      </c>
    </row>
    <row r="7115" spans="1:15" x14ac:dyDescent="0.25">
      <c r="A7115" s="786" t="s">
        <v>12729</v>
      </c>
      <c r="B7115" s="787">
        <v>4</v>
      </c>
      <c r="C7115" s="787" t="s">
        <v>12730</v>
      </c>
      <c r="D7115" s="787">
        <v>2.0699999999999998</v>
      </c>
      <c r="E7115" s="787">
        <v>182.07</v>
      </c>
      <c r="F7115" s="788">
        <v>41870</v>
      </c>
      <c r="G7115" s="788">
        <v>41872</v>
      </c>
      <c r="H7115" s="787">
        <v>1</v>
      </c>
      <c r="I7115" s="788">
        <v>42086</v>
      </c>
      <c r="J7115" s="788">
        <v>41866</v>
      </c>
      <c r="L7115" s="787">
        <v>176</v>
      </c>
      <c r="M7115" s="787">
        <v>20</v>
      </c>
      <c r="N7115" s="787">
        <v>189.2</v>
      </c>
      <c r="O7115" s="788">
        <v>41858</v>
      </c>
    </row>
    <row r="7116" spans="1:15" x14ac:dyDescent="0.25">
      <c r="A7116" s="786" t="s">
        <v>12731</v>
      </c>
      <c r="B7116" s="787">
        <v>4</v>
      </c>
      <c r="C7116" s="787" t="s">
        <v>12732</v>
      </c>
      <c r="D7116" s="787">
        <v>0</v>
      </c>
      <c r="E7116" s="787">
        <v>90</v>
      </c>
      <c r="F7116" s="788">
        <v>41862</v>
      </c>
      <c r="G7116" s="788">
        <v>41864</v>
      </c>
      <c r="H7116" s="787">
        <v>1</v>
      </c>
      <c r="J7116" s="788">
        <v>42066</v>
      </c>
      <c r="K7116" s="788">
        <v>41857</v>
      </c>
      <c r="L7116" s="787">
        <v>90</v>
      </c>
      <c r="M7116" s="787">
        <v>20</v>
      </c>
      <c r="N7116" s="787">
        <v>96.75</v>
      </c>
      <c r="O7116" s="788">
        <v>41858</v>
      </c>
    </row>
    <row r="7117" spans="1:15" x14ac:dyDescent="0.25">
      <c r="A7117" s="786" t="s">
        <v>12733</v>
      </c>
      <c r="B7117" s="787">
        <v>4</v>
      </c>
      <c r="C7117" s="787" t="s">
        <v>2473</v>
      </c>
      <c r="D7117" s="787">
        <v>4.66</v>
      </c>
      <c r="E7117" s="787">
        <v>24.66</v>
      </c>
      <c r="F7117" s="788">
        <v>41870</v>
      </c>
      <c r="G7117" s="788">
        <v>41871</v>
      </c>
      <c r="H7117" s="787">
        <v>1</v>
      </c>
      <c r="J7117" s="788">
        <v>41866</v>
      </c>
      <c r="L7117" s="787">
        <v>24.4</v>
      </c>
      <c r="M7117" s="787">
        <v>20</v>
      </c>
      <c r="N7117" s="787">
        <v>26.23</v>
      </c>
      <c r="O7117" s="788">
        <v>41858</v>
      </c>
    </row>
    <row r="7118" spans="1:15" x14ac:dyDescent="0.25">
      <c r="A7118" s="786" t="s">
        <v>12734</v>
      </c>
      <c r="B7118" s="787">
        <v>4</v>
      </c>
      <c r="C7118" s="787" t="s">
        <v>12735</v>
      </c>
      <c r="D7118" s="787">
        <v>3</v>
      </c>
      <c r="E7118" s="787">
        <v>223</v>
      </c>
      <c r="F7118" s="788">
        <v>41871</v>
      </c>
      <c r="G7118" s="788">
        <v>41862</v>
      </c>
      <c r="H7118" s="787">
        <v>1</v>
      </c>
      <c r="I7118" s="788">
        <v>41990</v>
      </c>
      <c r="J7118" s="788">
        <v>41883</v>
      </c>
      <c r="K7118" s="788">
        <v>41859</v>
      </c>
      <c r="L7118" s="787">
        <v>223</v>
      </c>
      <c r="M7118" s="787">
        <v>20</v>
      </c>
      <c r="N7118" s="787">
        <v>0.01</v>
      </c>
      <c r="O7118" s="788">
        <v>41858</v>
      </c>
    </row>
    <row r="7119" spans="1:15" x14ac:dyDescent="0.25">
      <c r="A7119" s="786" t="s">
        <v>12736</v>
      </c>
      <c r="B7119" s="787">
        <v>4</v>
      </c>
      <c r="C7119" s="787" t="s">
        <v>12737</v>
      </c>
      <c r="D7119" s="787">
        <v>4</v>
      </c>
      <c r="E7119" s="787">
        <v>194</v>
      </c>
      <c r="F7119" s="788">
        <v>41871</v>
      </c>
      <c r="G7119" s="788">
        <v>41862</v>
      </c>
      <c r="H7119" s="787">
        <v>1</v>
      </c>
      <c r="I7119" s="788">
        <v>41990</v>
      </c>
      <c r="J7119" s="788">
        <v>41911</v>
      </c>
      <c r="K7119" s="788">
        <v>41859</v>
      </c>
      <c r="L7119" s="787">
        <v>194</v>
      </c>
      <c r="M7119" s="787">
        <v>20</v>
      </c>
      <c r="N7119" s="787">
        <v>0.01</v>
      </c>
      <c r="O7119" s="788">
        <v>41858</v>
      </c>
    </row>
    <row r="7120" spans="1:15" x14ac:dyDescent="0.25">
      <c r="A7120" s="786" t="s">
        <v>12738</v>
      </c>
      <c r="B7120" s="787">
        <v>4</v>
      </c>
      <c r="C7120" s="787" t="s">
        <v>12737</v>
      </c>
      <c r="D7120" s="787">
        <v>8</v>
      </c>
      <c r="E7120" s="787">
        <v>198</v>
      </c>
      <c r="F7120" s="788">
        <v>41871</v>
      </c>
      <c r="G7120" s="788">
        <v>41862</v>
      </c>
      <c r="H7120" s="787">
        <v>1</v>
      </c>
      <c r="I7120" s="788">
        <v>41990</v>
      </c>
      <c r="J7120" s="788">
        <v>41862</v>
      </c>
      <c r="K7120" s="788">
        <v>41859</v>
      </c>
      <c r="L7120" s="787">
        <v>198</v>
      </c>
      <c r="M7120" s="787">
        <v>20</v>
      </c>
      <c r="N7120" s="787">
        <v>0.01</v>
      </c>
      <c r="O7120" s="788">
        <v>41858</v>
      </c>
    </row>
    <row r="7121" spans="1:15" x14ac:dyDescent="0.25">
      <c r="A7121" s="786" t="s">
        <v>12739</v>
      </c>
      <c r="B7121" s="787">
        <v>4</v>
      </c>
      <c r="C7121" s="787" t="s">
        <v>12740</v>
      </c>
      <c r="D7121" s="787">
        <v>9.5500000000000007</v>
      </c>
      <c r="E7121" s="787">
        <v>159.55000000000001</v>
      </c>
      <c r="F7121" s="788">
        <v>41878</v>
      </c>
      <c r="G7121" s="788">
        <v>41882</v>
      </c>
      <c r="H7121" s="787">
        <v>1</v>
      </c>
      <c r="I7121" s="788">
        <v>41990</v>
      </c>
      <c r="J7121" s="788">
        <v>41880</v>
      </c>
      <c r="K7121" s="788">
        <v>41857</v>
      </c>
      <c r="L7121" s="787">
        <v>147</v>
      </c>
      <c r="M7121" s="787">
        <v>20</v>
      </c>
      <c r="N7121" s="787">
        <v>158.03</v>
      </c>
      <c r="O7121" s="788">
        <v>41858</v>
      </c>
    </row>
    <row r="7122" spans="1:15" x14ac:dyDescent="0.25">
      <c r="A7122" s="786" t="s">
        <v>12741</v>
      </c>
      <c r="B7122" s="787">
        <v>4</v>
      </c>
      <c r="C7122" s="787" t="s">
        <v>12740</v>
      </c>
      <c r="D7122" s="787">
        <v>1.95</v>
      </c>
      <c r="E7122" s="787">
        <v>151.94999999999999</v>
      </c>
      <c r="F7122" s="788">
        <v>41878</v>
      </c>
      <c r="G7122" s="788">
        <v>41882</v>
      </c>
      <c r="H7122" s="787">
        <v>1</v>
      </c>
      <c r="I7122" s="788">
        <v>41990</v>
      </c>
      <c r="J7122" s="788">
        <v>41880</v>
      </c>
      <c r="K7122" s="788">
        <v>41857</v>
      </c>
      <c r="L7122" s="787">
        <v>140</v>
      </c>
      <c r="M7122" s="787">
        <v>20</v>
      </c>
      <c r="N7122" s="787">
        <v>150.5</v>
      </c>
      <c r="O7122" s="788">
        <v>41858</v>
      </c>
    </row>
    <row r="7123" spans="1:15" x14ac:dyDescent="0.25">
      <c r="A7123" s="786" t="s">
        <v>12742</v>
      </c>
      <c r="B7123" s="787">
        <v>4</v>
      </c>
      <c r="C7123" s="787" t="s">
        <v>12743</v>
      </c>
      <c r="D7123" s="787">
        <v>3.51</v>
      </c>
      <c r="E7123" s="787">
        <v>273.51</v>
      </c>
      <c r="F7123" s="788">
        <v>41878</v>
      </c>
      <c r="G7123" s="788">
        <v>41882</v>
      </c>
      <c r="H7123" s="787">
        <v>1</v>
      </c>
      <c r="I7123" s="788">
        <v>41990</v>
      </c>
      <c r="J7123" s="788">
        <v>41880</v>
      </c>
      <c r="K7123" s="788">
        <v>41857</v>
      </c>
      <c r="L7123" s="787">
        <v>252</v>
      </c>
      <c r="M7123" s="787">
        <v>20</v>
      </c>
      <c r="N7123" s="787">
        <v>270.89999999999998</v>
      </c>
      <c r="O7123" s="788">
        <v>41858</v>
      </c>
    </row>
    <row r="7124" spans="1:15" x14ac:dyDescent="0.25">
      <c r="A7124" s="786" t="s">
        <v>12744</v>
      </c>
      <c r="B7124" s="787">
        <v>4</v>
      </c>
      <c r="C7124" s="787" t="s">
        <v>12745</v>
      </c>
      <c r="D7124" s="787">
        <v>8.5500000000000007</v>
      </c>
      <c r="E7124" s="787">
        <v>68.55</v>
      </c>
      <c r="F7124" s="788">
        <v>41873</v>
      </c>
      <c r="G7124" s="788">
        <v>41873</v>
      </c>
      <c r="H7124" s="787">
        <v>1</v>
      </c>
      <c r="I7124" s="788">
        <v>41894</v>
      </c>
      <c r="J7124" s="788">
        <v>41873</v>
      </c>
      <c r="K7124" s="788">
        <v>41856</v>
      </c>
      <c r="L7124" s="787">
        <v>68.55</v>
      </c>
      <c r="M7124" s="787">
        <v>20</v>
      </c>
      <c r="N7124" s="787">
        <v>73.69</v>
      </c>
      <c r="O7124" s="788">
        <v>41858</v>
      </c>
    </row>
    <row r="7125" spans="1:15" x14ac:dyDescent="0.25">
      <c r="A7125" s="786" t="s">
        <v>12746</v>
      </c>
      <c r="B7125" s="787">
        <v>4</v>
      </c>
      <c r="C7125" s="787" t="s">
        <v>12747</v>
      </c>
      <c r="D7125" s="787">
        <v>1.22</v>
      </c>
      <c r="E7125" s="787">
        <v>11.22</v>
      </c>
      <c r="F7125" s="788">
        <v>41873</v>
      </c>
      <c r="G7125" s="788">
        <v>42016</v>
      </c>
      <c r="H7125" s="787">
        <v>1</v>
      </c>
      <c r="I7125" s="788">
        <v>42122</v>
      </c>
      <c r="J7125" s="788">
        <v>42108</v>
      </c>
      <c r="L7125" s="787">
        <v>11.22</v>
      </c>
      <c r="M7125" s="787">
        <v>20</v>
      </c>
      <c r="N7125" s="787">
        <v>12.06</v>
      </c>
      <c r="O7125" s="788">
        <v>41873</v>
      </c>
    </row>
    <row r="7126" spans="1:15" x14ac:dyDescent="0.25">
      <c r="A7126" s="786" t="s">
        <v>12748</v>
      </c>
      <c r="B7126" s="787">
        <v>4</v>
      </c>
      <c r="C7126" s="787" t="s">
        <v>12749</v>
      </c>
      <c r="D7126" s="787">
        <v>0.71</v>
      </c>
      <c r="E7126" s="787">
        <v>43.76</v>
      </c>
      <c r="F7126" s="788">
        <v>42023</v>
      </c>
      <c r="G7126" s="788">
        <v>42135</v>
      </c>
      <c r="H7126" s="787">
        <v>1</v>
      </c>
      <c r="I7126" s="788">
        <v>42122</v>
      </c>
      <c r="J7126" s="788">
        <v>42109</v>
      </c>
      <c r="L7126" s="787">
        <v>40.5</v>
      </c>
      <c r="M7126" s="787">
        <v>20</v>
      </c>
      <c r="N7126" s="787">
        <v>43.54</v>
      </c>
      <c r="O7126" s="788">
        <v>41858</v>
      </c>
    </row>
    <row r="7127" spans="1:15" x14ac:dyDescent="0.25">
      <c r="A7127" s="786" t="s">
        <v>12750</v>
      </c>
      <c r="B7127" s="787">
        <v>4</v>
      </c>
      <c r="C7127" s="787" t="s">
        <v>12751</v>
      </c>
      <c r="D7127" s="787">
        <v>9.18</v>
      </c>
      <c r="E7127" s="787">
        <v>22.27</v>
      </c>
      <c r="F7127" s="788">
        <v>41871</v>
      </c>
      <c r="G7127" s="788">
        <v>42008</v>
      </c>
      <c r="H7127" s="787">
        <v>1</v>
      </c>
      <c r="I7127" s="788">
        <v>41991</v>
      </c>
      <c r="J7127" s="788">
        <v>41969</v>
      </c>
      <c r="L7127" s="787">
        <v>18.5</v>
      </c>
      <c r="M7127" s="787">
        <v>20</v>
      </c>
      <c r="N7127" s="787">
        <v>19.89</v>
      </c>
      <c r="O7127" s="788">
        <v>41858</v>
      </c>
    </row>
    <row r="7128" spans="1:15" x14ac:dyDescent="0.25">
      <c r="A7128" s="786" t="s">
        <v>12752</v>
      </c>
      <c r="B7128" s="787">
        <v>4</v>
      </c>
      <c r="C7128" s="787" t="s">
        <v>12374</v>
      </c>
      <c r="D7128" s="787">
        <v>8.5</v>
      </c>
      <c r="E7128" s="787">
        <v>28.5</v>
      </c>
      <c r="F7128" s="788">
        <v>42083</v>
      </c>
      <c r="G7128" s="788">
        <v>42082</v>
      </c>
      <c r="H7128" s="787">
        <v>6</v>
      </c>
      <c r="J7128" s="788">
        <v>42082</v>
      </c>
      <c r="K7128" s="788">
        <v>41858</v>
      </c>
      <c r="L7128" s="787">
        <v>28.85</v>
      </c>
      <c r="M7128" s="787">
        <v>20</v>
      </c>
      <c r="N7128" s="787">
        <v>31.01</v>
      </c>
      <c r="O7128" s="788">
        <v>42053</v>
      </c>
    </row>
    <row r="7129" spans="1:15" x14ac:dyDescent="0.25">
      <c r="A7129" s="786" t="s">
        <v>12753</v>
      </c>
      <c r="B7129" s="787">
        <v>4</v>
      </c>
      <c r="C7129" s="787" t="s">
        <v>9926</v>
      </c>
      <c r="D7129" s="787">
        <v>5.0599999999999996</v>
      </c>
      <c r="E7129" s="787">
        <v>35.15</v>
      </c>
      <c r="F7129" s="788">
        <v>41866</v>
      </c>
      <c r="G7129" s="788">
        <v>42091</v>
      </c>
      <c r="H7129" s="787">
        <v>1</v>
      </c>
      <c r="I7129" s="788">
        <v>42103</v>
      </c>
      <c r="J7129" s="788">
        <v>42081</v>
      </c>
      <c r="L7129" s="787">
        <v>27.95</v>
      </c>
      <c r="M7129" s="787">
        <v>20</v>
      </c>
      <c r="N7129" s="787">
        <v>30.05</v>
      </c>
      <c r="O7129" s="788">
        <v>41858</v>
      </c>
    </row>
    <row r="7130" spans="1:15" x14ac:dyDescent="0.25">
      <c r="A7130" s="786" t="s">
        <v>12754</v>
      </c>
      <c r="B7130" s="787">
        <v>4</v>
      </c>
      <c r="C7130" s="787" t="s">
        <v>12755</v>
      </c>
      <c r="D7130" s="787">
        <v>2.1</v>
      </c>
      <c r="E7130" s="787">
        <v>3.05</v>
      </c>
      <c r="F7130" s="788">
        <v>41893</v>
      </c>
      <c r="G7130" s="788">
        <v>41974</v>
      </c>
      <c r="H7130" s="787">
        <v>1</v>
      </c>
      <c r="I7130" s="788">
        <v>42101</v>
      </c>
      <c r="J7130" s="788">
        <v>41975</v>
      </c>
      <c r="L7130" s="787">
        <v>2.1</v>
      </c>
      <c r="M7130" s="787">
        <v>20</v>
      </c>
      <c r="N7130" s="787">
        <v>0</v>
      </c>
    </row>
    <row r="7131" spans="1:15" x14ac:dyDescent="0.25">
      <c r="A7131" s="786" t="s">
        <v>12756</v>
      </c>
      <c r="B7131" s="787">
        <v>4</v>
      </c>
      <c r="C7131" s="787" t="s">
        <v>12757</v>
      </c>
      <c r="D7131" s="787">
        <v>2.33</v>
      </c>
      <c r="E7131" s="787">
        <v>3.39</v>
      </c>
      <c r="F7131" s="788">
        <v>41893</v>
      </c>
      <c r="G7131" s="788">
        <v>42013</v>
      </c>
      <c r="H7131" s="787">
        <v>1</v>
      </c>
      <c r="I7131" s="788">
        <v>42032</v>
      </c>
      <c r="J7131" s="788">
        <v>41975</v>
      </c>
      <c r="L7131" s="787">
        <v>2.33</v>
      </c>
      <c r="M7131" s="787">
        <v>20</v>
      </c>
      <c r="N7131" s="787">
        <v>0</v>
      </c>
    </row>
    <row r="7132" spans="1:15" x14ac:dyDescent="0.25">
      <c r="A7132" s="786" t="s">
        <v>12758</v>
      </c>
      <c r="B7132" s="787">
        <v>4</v>
      </c>
      <c r="C7132" s="787" t="s">
        <v>12759</v>
      </c>
      <c r="D7132" s="787">
        <v>0</v>
      </c>
      <c r="E7132" s="787">
        <v>0</v>
      </c>
      <c r="H7132" s="787">
        <v>1</v>
      </c>
      <c r="I7132" s="788">
        <v>41864</v>
      </c>
      <c r="K7132" s="788">
        <v>41862</v>
      </c>
      <c r="L7132" s="787">
        <v>0.32</v>
      </c>
      <c r="M7132" s="787">
        <v>20</v>
      </c>
      <c r="N7132" s="787">
        <v>0.34</v>
      </c>
      <c r="O7132" s="788">
        <v>41862</v>
      </c>
    </row>
    <row r="7133" spans="1:15" x14ac:dyDescent="0.25">
      <c r="A7133" s="786" t="s">
        <v>12760</v>
      </c>
      <c r="B7133" s="787">
        <v>4</v>
      </c>
      <c r="C7133" s="787" t="s">
        <v>12759</v>
      </c>
      <c r="D7133" s="787">
        <v>0</v>
      </c>
      <c r="E7133" s="787">
        <v>0</v>
      </c>
      <c r="H7133" s="787">
        <v>1</v>
      </c>
      <c r="K7133" s="788">
        <v>41862</v>
      </c>
      <c r="L7133" s="787">
        <v>0.34</v>
      </c>
      <c r="M7133" s="787">
        <v>20</v>
      </c>
      <c r="N7133" s="787">
        <v>0</v>
      </c>
    </row>
    <row r="7134" spans="1:15" x14ac:dyDescent="0.25">
      <c r="A7134" s="786" t="s">
        <v>12761</v>
      </c>
      <c r="B7134" s="787">
        <v>4</v>
      </c>
      <c r="C7134" s="787" t="s">
        <v>12762</v>
      </c>
      <c r="D7134" s="787">
        <v>0</v>
      </c>
      <c r="E7134" s="787">
        <v>0</v>
      </c>
      <c r="H7134" s="787">
        <v>1</v>
      </c>
      <c r="I7134" s="788">
        <v>41894</v>
      </c>
      <c r="L7134" s="787">
        <v>0.3</v>
      </c>
      <c r="M7134" s="787">
        <v>20</v>
      </c>
      <c r="N7134" s="787">
        <v>0</v>
      </c>
    </row>
    <row r="7135" spans="1:15" x14ac:dyDescent="0.25">
      <c r="A7135" s="786" t="s">
        <v>12763</v>
      </c>
      <c r="B7135" s="787">
        <v>4</v>
      </c>
      <c r="C7135" s="787" t="s">
        <v>12764</v>
      </c>
      <c r="D7135" s="787">
        <v>0</v>
      </c>
      <c r="E7135" s="787">
        <v>0</v>
      </c>
      <c r="H7135" s="787">
        <v>1</v>
      </c>
      <c r="I7135" s="788">
        <v>41894</v>
      </c>
      <c r="L7135" s="787">
        <v>0.3</v>
      </c>
      <c r="M7135" s="787">
        <v>20</v>
      </c>
      <c r="N7135" s="787">
        <v>0</v>
      </c>
    </row>
    <row r="7136" spans="1:15" x14ac:dyDescent="0.25">
      <c r="A7136" s="786" t="s">
        <v>12765</v>
      </c>
      <c r="B7136" s="787">
        <v>4</v>
      </c>
      <c r="C7136" s="787" t="s">
        <v>12766</v>
      </c>
      <c r="D7136" s="787">
        <v>0</v>
      </c>
      <c r="E7136" s="787">
        <v>0</v>
      </c>
      <c r="H7136" s="787">
        <v>1</v>
      </c>
      <c r="I7136" s="788">
        <v>41894</v>
      </c>
      <c r="L7136" s="787">
        <v>0.5</v>
      </c>
      <c r="M7136" s="787">
        <v>20</v>
      </c>
      <c r="N7136" s="787">
        <v>0</v>
      </c>
    </row>
    <row r="7137" spans="1:15" x14ac:dyDescent="0.25">
      <c r="A7137" s="786" t="s">
        <v>12767</v>
      </c>
      <c r="B7137" s="787">
        <v>4</v>
      </c>
      <c r="C7137" s="787" t="s">
        <v>12768</v>
      </c>
      <c r="D7137" s="787">
        <v>0</v>
      </c>
      <c r="E7137" s="787">
        <v>0</v>
      </c>
      <c r="H7137" s="787">
        <v>1</v>
      </c>
      <c r="I7137" s="788">
        <v>41894</v>
      </c>
      <c r="L7137" s="787">
        <v>0.5</v>
      </c>
      <c r="M7137" s="787">
        <v>20</v>
      </c>
      <c r="N7137" s="787">
        <v>0.54</v>
      </c>
      <c r="O7137" s="788">
        <v>41955</v>
      </c>
    </row>
    <row r="7138" spans="1:15" x14ac:dyDescent="0.25">
      <c r="A7138" s="786" t="s">
        <v>12769</v>
      </c>
      <c r="B7138" s="787">
        <v>4</v>
      </c>
      <c r="C7138" s="787" t="s">
        <v>12770</v>
      </c>
      <c r="D7138" s="787">
        <v>0</v>
      </c>
      <c r="E7138" s="787">
        <v>0</v>
      </c>
      <c r="H7138" s="787">
        <v>1</v>
      </c>
      <c r="I7138" s="788">
        <v>41894</v>
      </c>
      <c r="L7138" s="787">
        <v>0.5</v>
      </c>
      <c r="M7138" s="787">
        <v>20</v>
      </c>
      <c r="N7138" s="787">
        <v>0</v>
      </c>
    </row>
    <row r="7139" spans="1:15" x14ac:dyDescent="0.25">
      <c r="A7139" s="786" t="s">
        <v>12771</v>
      </c>
      <c r="B7139" s="787">
        <v>4</v>
      </c>
      <c r="C7139" s="787" t="s">
        <v>12772</v>
      </c>
      <c r="D7139" s="787">
        <v>0</v>
      </c>
      <c r="E7139" s="787">
        <v>0</v>
      </c>
      <c r="H7139" s="787">
        <v>1</v>
      </c>
      <c r="I7139" s="788">
        <v>41894</v>
      </c>
      <c r="L7139" s="787">
        <v>0.3</v>
      </c>
      <c r="M7139" s="787">
        <v>20</v>
      </c>
      <c r="N7139" s="787">
        <v>0</v>
      </c>
    </row>
    <row r="7140" spans="1:15" x14ac:dyDescent="0.25">
      <c r="A7140" s="786" t="s">
        <v>12773</v>
      </c>
      <c r="B7140" s="787">
        <v>4</v>
      </c>
      <c r="C7140" s="787" t="s">
        <v>12774</v>
      </c>
      <c r="D7140" s="787">
        <v>0</v>
      </c>
      <c r="E7140" s="787">
        <v>0</v>
      </c>
      <c r="H7140" s="787">
        <v>1</v>
      </c>
      <c r="I7140" s="788">
        <v>41894</v>
      </c>
      <c r="L7140" s="787">
        <v>0.5</v>
      </c>
      <c r="M7140" s="787">
        <v>20</v>
      </c>
      <c r="N7140" s="787">
        <v>0.54</v>
      </c>
      <c r="O7140" s="788">
        <v>41955</v>
      </c>
    </row>
    <row r="7141" spans="1:15" x14ac:dyDescent="0.25">
      <c r="A7141" s="786" t="s">
        <v>12775</v>
      </c>
      <c r="B7141" s="787">
        <v>4</v>
      </c>
      <c r="C7141" s="787" t="s">
        <v>12776</v>
      </c>
      <c r="D7141" s="787">
        <v>0</v>
      </c>
      <c r="E7141" s="787">
        <v>0</v>
      </c>
      <c r="H7141" s="787">
        <v>1</v>
      </c>
      <c r="I7141" s="788">
        <v>41894</v>
      </c>
      <c r="L7141" s="787">
        <v>0.5</v>
      </c>
      <c r="M7141" s="787">
        <v>20</v>
      </c>
      <c r="N7141" s="787">
        <v>0</v>
      </c>
    </row>
    <row r="7142" spans="1:15" x14ac:dyDescent="0.25">
      <c r="A7142" s="786" t="s">
        <v>12777</v>
      </c>
      <c r="B7142" s="787">
        <v>4</v>
      </c>
      <c r="C7142" s="787" t="s">
        <v>12778</v>
      </c>
      <c r="D7142" s="787">
        <v>0.62</v>
      </c>
      <c r="E7142" s="787">
        <v>0.62</v>
      </c>
      <c r="F7142" s="788">
        <v>41877</v>
      </c>
      <c r="G7142" s="788">
        <v>41884</v>
      </c>
      <c r="H7142" s="787">
        <v>1</v>
      </c>
      <c r="I7142" s="788">
        <v>41886</v>
      </c>
      <c r="J7142" s="788">
        <v>41883</v>
      </c>
      <c r="K7142" s="788">
        <v>41873</v>
      </c>
      <c r="L7142" s="787">
        <v>0.62</v>
      </c>
      <c r="M7142" s="787">
        <v>20</v>
      </c>
      <c r="N7142" s="787">
        <v>0.65</v>
      </c>
      <c r="O7142" s="788">
        <v>41870</v>
      </c>
    </row>
    <row r="7143" spans="1:15" x14ac:dyDescent="0.25">
      <c r="A7143" s="786" t="s">
        <v>12779</v>
      </c>
      <c r="B7143" s="787">
        <v>4</v>
      </c>
      <c r="C7143" s="787" t="s">
        <v>12780</v>
      </c>
      <c r="D7143" s="787">
        <v>0.44</v>
      </c>
      <c r="E7143" s="787">
        <v>0.44</v>
      </c>
      <c r="F7143" s="788">
        <v>41877</v>
      </c>
      <c r="G7143" s="788">
        <v>41884</v>
      </c>
      <c r="H7143" s="787">
        <v>1</v>
      </c>
      <c r="I7143" s="788">
        <v>41894</v>
      </c>
      <c r="J7143" s="788">
        <v>41883</v>
      </c>
      <c r="K7143" s="788">
        <v>41873</v>
      </c>
      <c r="L7143" s="787">
        <v>0.44</v>
      </c>
      <c r="M7143" s="787">
        <v>20</v>
      </c>
      <c r="N7143" s="787">
        <v>0</v>
      </c>
    </row>
    <row r="7144" spans="1:15" x14ac:dyDescent="0.25">
      <c r="A7144" s="786" t="s">
        <v>12781</v>
      </c>
      <c r="B7144" s="787">
        <v>4</v>
      </c>
      <c r="C7144" s="787" t="s">
        <v>12782</v>
      </c>
      <c r="D7144" s="787">
        <v>1.64</v>
      </c>
      <c r="E7144" s="787">
        <v>11.64</v>
      </c>
      <c r="F7144" s="788">
        <v>42164</v>
      </c>
      <c r="G7144" s="788">
        <v>42165</v>
      </c>
      <c r="H7144" s="787">
        <v>1</v>
      </c>
      <c r="I7144" s="788">
        <v>42164</v>
      </c>
      <c r="J7144" s="788">
        <v>42165</v>
      </c>
      <c r="K7144" s="788">
        <v>42163</v>
      </c>
      <c r="L7144" s="787">
        <v>11.64</v>
      </c>
      <c r="M7144" s="787">
        <v>20</v>
      </c>
      <c r="N7144" s="787">
        <v>0</v>
      </c>
    </row>
    <row r="7145" spans="1:15" x14ac:dyDescent="0.25">
      <c r="A7145" s="786" t="s">
        <v>12783</v>
      </c>
      <c r="B7145" s="787">
        <v>4</v>
      </c>
      <c r="C7145" s="787" t="s">
        <v>12784</v>
      </c>
      <c r="D7145" s="787">
        <v>5.46</v>
      </c>
      <c r="E7145" s="787">
        <v>5.46</v>
      </c>
      <c r="F7145" s="788">
        <v>41873</v>
      </c>
      <c r="G7145" s="788">
        <v>41870</v>
      </c>
      <c r="H7145" s="787">
        <v>1</v>
      </c>
      <c r="I7145" s="788">
        <v>41894</v>
      </c>
      <c r="J7145" s="788">
        <v>41870</v>
      </c>
      <c r="L7145" s="787">
        <v>5.46</v>
      </c>
      <c r="M7145" s="787">
        <v>20</v>
      </c>
      <c r="N7145" s="787">
        <v>0</v>
      </c>
    </row>
    <row r="7146" spans="1:15" x14ac:dyDescent="0.25">
      <c r="A7146" s="786" t="s">
        <v>12785</v>
      </c>
      <c r="B7146" s="787">
        <v>4</v>
      </c>
      <c r="C7146" s="787" t="s">
        <v>12784</v>
      </c>
      <c r="D7146" s="787">
        <v>5.46</v>
      </c>
      <c r="E7146" s="787">
        <v>5.46</v>
      </c>
      <c r="F7146" s="788">
        <v>41873</v>
      </c>
      <c r="G7146" s="788">
        <v>41870</v>
      </c>
      <c r="H7146" s="787">
        <v>1</v>
      </c>
      <c r="I7146" s="788">
        <v>41894</v>
      </c>
      <c r="J7146" s="788">
        <v>41870</v>
      </c>
      <c r="L7146" s="787">
        <v>5.46</v>
      </c>
      <c r="M7146" s="787">
        <v>20</v>
      </c>
      <c r="N7146" s="787">
        <v>0</v>
      </c>
    </row>
    <row r="7147" spans="1:15" x14ac:dyDescent="0.25">
      <c r="A7147" s="786" t="s">
        <v>12786</v>
      </c>
      <c r="B7147" s="787">
        <v>4</v>
      </c>
      <c r="C7147" s="787" t="s">
        <v>12787</v>
      </c>
      <c r="D7147" s="787">
        <v>9.7100000000000009</v>
      </c>
      <c r="E7147" s="787">
        <v>19.71</v>
      </c>
      <c r="F7147" s="788">
        <v>41873</v>
      </c>
      <c r="G7147" s="788">
        <v>41870</v>
      </c>
      <c r="H7147" s="787">
        <v>1</v>
      </c>
      <c r="I7147" s="788">
        <v>41894</v>
      </c>
      <c r="J7147" s="788">
        <v>41870</v>
      </c>
      <c r="L7147" s="787">
        <v>19.71</v>
      </c>
      <c r="M7147" s="787">
        <v>20</v>
      </c>
      <c r="N7147" s="787">
        <v>21.19</v>
      </c>
      <c r="O7147" s="788">
        <v>41907</v>
      </c>
    </row>
    <row r="7148" spans="1:15" x14ac:dyDescent="0.25">
      <c r="A7148" s="786" t="s">
        <v>12788</v>
      </c>
      <c r="B7148" s="787">
        <v>4</v>
      </c>
      <c r="C7148" s="787" t="s">
        <v>12789</v>
      </c>
      <c r="D7148" s="787">
        <v>0</v>
      </c>
      <c r="E7148" s="787">
        <v>53.35</v>
      </c>
      <c r="G7148" s="788">
        <v>41869</v>
      </c>
      <c r="H7148" s="787">
        <v>1</v>
      </c>
      <c r="I7148" s="788">
        <v>41894</v>
      </c>
      <c r="J7148" s="788">
        <v>41869</v>
      </c>
      <c r="L7148" s="787">
        <v>53.34</v>
      </c>
      <c r="M7148" s="787">
        <v>20</v>
      </c>
      <c r="N7148" s="787">
        <v>0</v>
      </c>
    </row>
    <row r="7149" spans="1:15" x14ac:dyDescent="0.25">
      <c r="A7149" s="786" t="s">
        <v>12790</v>
      </c>
      <c r="B7149" s="787">
        <v>4</v>
      </c>
      <c r="C7149" s="787" t="s">
        <v>12791</v>
      </c>
      <c r="D7149" s="787">
        <v>4.84</v>
      </c>
      <c r="E7149" s="787">
        <v>14.84</v>
      </c>
      <c r="F7149" s="788">
        <v>41873</v>
      </c>
      <c r="G7149" s="788">
        <v>41870</v>
      </c>
      <c r="H7149" s="787">
        <v>1</v>
      </c>
      <c r="I7149" s="788">
        <v>41894</v>
      </c>
      <c r="J7149" s="788">
        <v>41870</v>
      </c>
      <c r="L7149" s="787">
        <v>14.84</v>
      </c>
      <c r="M7149" s="787">
        <v>20</v>
      </c>
      <c r="N7149" s="787">
        <v>0</v>
      </c>
    </row>
    <row r="7150" spans="1:15" x14ac:dyDescent="0.25">
      <c r="A7150" s="786" t="s">
        <v>12792</v>
      </c>
      <c r="B7150" s="787">
        <v>4</v>
      </c>
      <c r="C7150" s="787" t="s">
        <v>12793</v>
      </c>
      <c r="D7150" s="787">
        <v>9</v>
      </c>
      <c r="E7150" s="787">
        <v>439</v>
      </c>
      <c r="F7150" s="788">
        <v>41876</v>
      </c>
      <c r="G7150" s="788">
        <v>41871</v>
      </c>
      <c r="H7150" s="787">
        <v>1</v>
      </c>
      <c r="I7150" s="788">
        <v>41865</v>
      </c>
      <c r="J7150" s="788">
        <v>41871</v>
      </c>
      <c r="K7150" s="788">
        <v>41866</v>
      </c>
      <c r="L7150" s="787">
        <v>439</v>
      </c>
      <c r="M7150" s="787">
        <v>20</v>
      </c>
      <c r="N7150" s="787">
        <v>0</v>
      </c>
    </row>
    <row r="7151" spans="1:15" x14ac:dyDescent="0.25">
      <c r="A7151" s="786" t="s">
        <v>12794</v>
      </c>
      <c r="B7151" s="787">
        <v>4</v>
      </c>
      <c r="C7151" s="787" t="s">
        <v>12795</v>
      </c>
      <c r="D7151" s="787">
        <v>7</v>
      </c>
      <c r="E7151" s="787">
        <v>777</v>
      </c>
      <c r="F7151" s="788">
        <v>41886</v>
      </c>
      <c r="G7151" s="788">
        <v>41886</v>
      </c>
      <c r="H7151" s="787">
        <v>1</v>
      </c>
      <c r="I7151" s="788">
        <v>41865</v>
      </c>
      <c r="J7151" s="788">
        <v>41885</v>
      </c>
      <c r="K7151" s="788">
        <v>41865</v>
      </c>
      <c r="L7151" s="787">
        <v>702</v>
      </c>
      <c r="M7151" s="787">
        <v>20</v>
      </c>
      <c r="N7151" s="787">
        <v>0</v>
      </c>
    </row>
    <row r="7152" spans="1:15" x14ac:dyDescent="0.25">
      <c r="A7152" s="786" t="s">
        <v>12796</v>
      </c>
      <c r="B7152" s="787">
        <v>4</v>
      </c>
      <c r="C7152" s="787" t="s">
        <v>12797</v>
      </c>
      <c r="D7152" s="787">
        <v>3.7</v>
      </c>
      <c r="E7152" s="787">
        <v>24.52</v>
      </c>
      <c r="F7152" s="788">
        <v>41871</v>
      </c>
      <c r="G7152" s="788">
        <v>42030</v>
      </c>
      <c r="H7152" s="787">
        <v>1</v>
      </c>
      <c r="J7152" s="788">
        <v>42024</v>
      </c>
      <c r="K7152" s="788">
        <v>42023</v>
      </c>
      <c r="L7152" s="787">
        <v>23.84</v>
      </c>
      <c r="M7152" s="787">
        <v>20</v>
      </c>
      <c r="N7152" s="787">
        <v>25.63</v>
      </c>
      <c r="O7152" s="788">
        <v>42023</v>
      </c>
    </row>
    <row r="7153" spans="1:15" x14ac:dyDescent="0.25">
      <c r="A7153" s="786" t="s">
        <v>12798</v>
      </c>
      <c r="B7153" s="787">
        <v>4</v>
      </c>
      <c r="C7153" s="787" t="s">
        <v>12799</v>
      </c>
      <c r="D7153" s="787">
        <v>0</v>
      </c>
      <c r="E7153" s="787">
        <v>17.22</v>
      </c>
      <c r="G7153" s="788">
        <v>41864</v>
      </c>
      <c r="H7153" s="787">
        <v>1</v>
      </c>
      <c r="J7153" s="788">
        <v>41864</v>
      </c>
      <c r="K7153" s="788">
        <v>41878</v>
      </c>
      <c r="L7153" s="787">
        <v>18.27</v>
      </c>
      <c r="M7153" s="787">
        <v>20</v>
      </c>
      <c r="N7153" s="787">
        <v>0</v>
      </c>
    </row>
    <row r="7154" spans="1:15" x14ac:dyDescent="0.25">
      <c r="A7154" s="786" t="s">
        <v>12800</v>
      </c>
      <c r="B7154" s="787">
        <v>4</v>
      </c>
      <c r="C7154" s="787" t="s">
        <v>12801</v>
      </c>
      <c r="D7154" s="787">
        <v>1.28</v>
      </c>
      <c r="E7154" s="787">
        <v>21.28</v>
      </c>
      <c r="F7154" s="788">
        <v>41877</v>
      </c>
      <c r="G7154" s="788">
        <v>41891</v>
      </c>
      <c r="H7154" s="787">
        <v>1</v>
      </c>
      <c r="J7154" s="788">
        <v>41877</v>
      </c>
      <c r="L7154" s="787">
        <v>17.190000000000001</v>
      </c>
      <c r="M7154" s="787">
        <v>20</v>
      </c>
      <c r="N7154" s="787">
        <v>0</v>
      </c>
    </row>
    <row r="7155" spans="1:15" x14ac:dyDescent="0.25">
      <c r="A7155" s="786" t="s">
        <v>12802</v>
      </c>
      <c r="B7155" s="787">
        <v>4</v>
      </c>
      <c r="C7155" s="787" t="s">
        <v>12803</v>
      </c>
      <c r="D7155" s="787">
        <v>3.44</v>
      </c>
      <c r="E7155" s="787">
        <v>33.44</v>
      </c>
      <c r="F7155" s="788">
        <v>41876</v>
      </c>
      <c r="G7155" s="788">
        <v>42013</v>
      </c>
      <c r="H7155" s="787">
        <v>1</v>
      </c>
      <c r="I7155" s="788">
        <v>41883</v>
      </c>
      <c r="J7155" s="788">
        <v>41871</v>
      </c>
      <c r="K7155" s="788">
        <v>41864</v>
      </c>
      <c r="L7155" s="787">
        <v>31.19</v>
      </c>
      <c r="M7155" s="787">
        <v>20</v>
      </c>
      <c r="N7155" s="787">
        <v>33.53</v>
      </c>
      <c r="O7155" s="788">
        <v>41955</v>
      </c>
    </row>
    <row r="7156" spans="1:15" x14ac:dyDescent="0.25">
      <c r="A7156" s="786" t="s">
        <v>12804</v>
      </c>
      <c r="B7156" s="787">
        <v>4</v>
      </c>
      <c r="C7156" s="787" t="s">
        <v>12805</v>
      </c>
      <c r="D7156" s="787">
        <v>4</v>
      </c>
      <c r="E7156" s="787">
        <v>94</v>
      </c>
      <c r="F7156" s="788">
        <v>41886</v>
      </c>
      <c r="G7156" s="788">
        <v>41885</v>
      </c>
      <c r="H7156" s="787">
        <v>1</v>
      </c>
      <c r="I7156" s="788">
        <v>41990</v>
      </c>
      <c r="J7156" s="788">
        <v>41885</v>
      </c>
      <c r="K7156" s="788">
        <v>41869</v>
      </c>
      <c r="L7156" s="787">
        <v>94</v>
      </c>
      <c r="M7156" s="787">
        <v>20</v>
      </c>
      <c r="N7156" s="787">
        <v>0</v>
      </c>
    </row>
    <row r="7157" spans="1:15" x14ac:dyDescent="0.25">
      <c r="A7157" s="786" t="s">
        <v>12806</v>
      </c>
      <c r="B7157" s="787">
        <v>4</v>
      </c>
      <c r="C7157" s="787" t="s">
        <v>12807</v>
      </c>
      <c r="D7157" s="787">
        <v>3</v>
      </c>
      <c r="E7157" s="787">
        <v>513</v>
      </c>
      <c r="F7157" s="788">
        <v>41876</v>
      </c>
      <c r="G7157" s="788">
        <v>41871</v>
      </c>
      <c r="H7157" s="787">
        <v>1</v>
      </c>
      <c r="I7157" s="788">
        <v>42053</v>
      </c>
      <c r="J7157" s="788">
        <v>42047</v>
      </c>
      <c r="K7157" s="788">
        <v>41869</v>
      </c>
      <c r="L7157" s="787">
        <v>513</v>
      </c>
      <c r="M7157" s="787">
        <v>20</v>
      </c>
      <c r="N7157" s="787">
        <v>0</v>
      </c>
    </row>
    <row r="7158" spans="1:15" x14ac:dyDescent="0.25">
      <c r="A7158" s="786" t="s">
        <v>12808</v>
      </c>
      <c r="B7158" s="787">
        <v>4</v>
      </c>
      <c r="C7158" s="787" t="s">
        <v>12809</v>
      </c>
      <c r="D7158" s="787">
        <v>4.78</v>
      </c>
      <c r="E7158" s="787">
        <v>34.78</v>
      </c>
      <c r="F7158" s="788">
        <v>42121</v>
      </c>
      <c r="G7158" s="788">
        <v>42157</v>
      </c>
      <c r="H7158" s="787">
        <v>1</v>
      </c>
      <c r="J7158" s="788">
        <v>42144</v>
      </c>
      <c r="K7158" s="788">
        <v>42023</v>
      </c>
      <c r="L7158" s="787">
        <v>34.78</v>
      </c>
      <c r="M7158" s="787">
        <v>20</v>
      </c>
      <c r="N7158" s="787">
        <v>37.39</v>
      </c>
      <c r="O7158" s="788">
        <v>42023</v>
      </c>
    </row>
    <row r="7159" spans="1:15" x14ac:dyDescent="0.25">
      <c r="A7159" s="786" t="s">
        <v>12810</v>
      </c>
      <c r="B7159" s="787">
        <v>4</v>
      </c>
      <c r="C7159" s="787" t="s">
        <v>12811</v>
      </c>
      <c r="D7159" s="787">
        <v>0.36</v>
      </c>
      <c r="E7159" s="787">
        <v>1.75</v>
      </c>
      <c r="F7159" s="788">
        <v>42137</v>
      </c>
      <c r="G7159" s="788">
        <v>42159</v>
      </c>
      <c r="H7159" s="787">
        <v>1</v>
      </c>
      <c r="I7159" s="788">
        <v>42158</v>
      </c>
      <c r="J7159" s="788">
        <v>42124</v>
      </c>
      <c r="K7159" s="788">
        <v>41869</v>
      </c>
      <c r="L7159" s="787">
        <v>0.89</v>
      </c>
      <c r="M7159" s="787">
        <v>10</v>
      </c>
      <c r="N7159" s="787">
        <v>1.07</v>
      </c>
      <c r="O7159" s="788">
        <v>41989</v>
      </c>
    </row>
    <row r="7160" spans="1:15" x14ac:dyDescent="0.25">
      <c r="A7160" s="786" t="s">
        <v>12812</v>
      </c>
      <c r="B7160" s="787">
        <v>4</v>
      </c>
      <c r="C7160" s="787" t="s">
        <v>12813</v>
      </c>
      <c r="D7160" s="787">
        <v>0.94</v>
      </c>
      <c r="E7160" s="787">
        <v>2.4700000000000002</v>
      </c>
      <c r="F7160" s="788">
        <v>41927</v>
      </c>
      <c r="G7160" s="788">
        <v>42159</v>
      </c>
      <c r="H7160" s="787">
        <v>1</v>
      </c>
      <c r="I7160" s="788">
        <v>42166</v>
      </c>
      <c r="J7160" s="788">
        <v>42158</v>
      </c>
      <c r="K7160" s="788">
        <v>41869</v>
      </c>
      <c r="L7160" s="787">
        <v>95</v>
      </c>
      <c r="M7160" s="787">
        <v>10</v>
      </c>
      <c r="N7160" s="787">
        <v>1.19</v>
      </c>
      <c r="O7160" s="788">
        <v>41989</v>
      </c>
    </row>
    <row r="7161" spans="1:15" x14ac:dyDescent="0.25">
      <c r="A7161" s="786" t="s">
        <v>12814</v>
      </c>
      <c r="B7161" s="787">
        <v>4</v>
      </c>
      <c r="C7161" s="787" t="s">
        <v>12815</v>
      </c>
      <c r="D7161" s="787">
        <v>0.53</v>
      </c>
      <c r="E7161" s="787">
        <v>1.47</v>
      </c>
      <c r="F7161" s="788">
        <v>42150</v>
      </c>
      <c r="G7161" s="788">
        <v>42163</v>
      </c>
      <c r="H7161" s="787">
        <v>1</v>
      </c>
      <c r="I7161" s="788">
        <v>42152</v>
      </c>
      <c r="J7161" s="788">
        <v>42137</v>
      </c>
      <c r="K7161" s="788">
        <v>41869</v>
      </c>
      <c r="L7161" s="787">
        <v>1.1000000000000001</v>
      </c>
      <c r="M7161" s="787">
        <v>10</v>
      </c>
      <c r="N7161" s="787">
        <v>1.32</v>
      </c>
      <c r="O7161" s="788">
        <v>41989</v>
      </c>
    </row>
    <row r="7162" spans="1:15" x14ac:dyDescent="0.25">
      <c r="A7162" s="786" t="s">
        <v>12816</v>
      </c>
      <c r="B7162" s="787">
        <v>4</v>
      </c>
      <c r="C7162" s="787" t="s">
        <v>12817</v>
      </c>
      <c r="D7162" s="787">
        <v>0</v>
      </c>
      <c r="E7162" s="787">
        <v>0</v>
      </c>
      <c r="H7162" s="787">
        <v>1</v>
      </c>
      <c r="K7162" s="788">
        <v>41869</v>
      </c>
      <c r="L7162" s="787">
        <v>1.24</v>
      </c>
      <c r="M7162" s="787">
        <v>10</v>
      </c>
      <c r="N7162" s="787">
        <v>8.31</v>
      </c>
      <c r="O7162" s="788">
        <v>41869</v>
      </c>
    </row>
    <row r="7163" spans="1:15" x14ac:dyDescent="0.25">
      <c r="A7163" s="786" t="s">
        <v>12818</v>
      </c>
      <c r="B7163" s="787">
        <v>4</v>
      </c>
      <c r="C7163" s="787" t="s">
        <v>12819</v>
      </c>
      <c r="D7163" s="787">
        <v>0.9</v>
      </c>
      <c r="E7163" s="787">
        <v>1.21</v>
      </c>
      <c r="F7163" s="788">
        <v>42104</v>
      </c>
      <c r="G7163" s="788">
        <v>42151</v>
      </c>
      <c r="H7163" s="787">
        <v>1</v>
      </c>
      <c r="I7163" s="788">
        <v>42165</v>
      </c>
      <c r="J7163" s="788">
        <v>42158</v>
      </c>
      <c r="K7163" s="788">
        <v>41869</v>
      </c>
      <c r="L7163" s="787">
        <v>1.35</v>
      </c>
      <c r="M7163" s="787">
        <v>10</v>
      </c>
      <c r="N7163" s="787">
        <v>8.36</v>
      </c>
      <c r="O7163" s="788">
        <v>41869</v>
      </c>
    </row>
    <row r="7164" spans="1:15" x14ac:dyDescent="0.25">
      <c r="A7164" s="786" t="s">
        <v>12820</v>
      </c>
      <c r="B7164" s="787">
        <v>4</v>
      </c>
      <c r="C7164" s="787" t="s">
        <v>12821</v>
      </c>
      <c r="D7164" s="787">
        <v>0.82</v>
      </c>
      <c r="E7164" s="787">
        <v>2.35</v>
      </c>
      <c r="F7164" s="788">
        <v>41976</v>
      </c>
      <c r="G7164" s="788">
        <v>42151</v>
      </c>
      <c r="H7164" s="787">
        <v>1</v>
      </c>
      <c r="I7164" s="788">
        <v>42123</v>
      </c>
      <c r="J7164" s="788">
        <v>42118</v>
      </c>
      <c r="K7164" s="788">
        <v>41869</v>
      </c>
      <c r="L7164" s="787">
        <v>1.56</v>
      </c>
      <c r="M7164" s="787">
        <v>10</v>
      </c>
      <c r="N7164" s="787">
        <v>8.91</v>
      </c>
      <c r="O7164" s="788">
        <v>41982</v>
      </c>
    </row>
    <row r="7165" spans="1:15" x14ac:dyDescent="0.25">
      <c r="A7165" s="786" t="s">
        <v>12822</v>
      </c>
      <c r="B7165" s="787">
        <v>4</v>
      </c>
      <c r="C7165" s="787" t="s">
        <v>12823</v>
      </c>
      <c r="D7165" s="787">
        <v>1.22</v>
      </c>
      <c r="E7165" s="787">
        <v>1.35</v>
      </c>
      <c r="F7165" s="788">
        <v>41906</v>
      </c>
      <c r="G7165" s="788">
        <v>42013</v>
      </c>
      <c r="H7165" s="787">
        <v>1</v>
      </c>
      <c r="I7165" s="788">
        <v>42102</v>
      </c>
      <c r="J7165" s="788">
        <v>41905</v>
      </c>
      <c r="K7165" s="788">
        <v>41869</v>
      </c>
      <c r="L7165" s="787">
        <v>0.7</v>
      </c>
      <c r="M7165" s="787">
        <v>10</v>
      </c>
      <c r="N7165" s="787">
        <v>1.18</v>
      </c>
      <c r="O7165" s="788">
        <v>41989</v>
      </c>
    </row>
    <row r="7166" spans="1:15" x14ac:dyDescent="0.25">
      <c r="A7166" s="786" t="s">
        <v>12824</v>
      </c>
      <c r="B7166" s="787">
        <v>4</v>
      </c>
      <c r="C7166" s="787" t="s">
        <v>12825</v>
      </c>
      <c r="D7166" s="787">
        <v>1.2</v>
      </c>
      <c r="E7166" s="787">
        <v>1.25</v>
      </c>
      <c r="F7166" s="788">
        <v>41992</v>
      </c>
      <c r="G7166" s="788">
        <v>42166</v>
      </c>
      <c r="H7166" s="787">
        <v>1</v>
      </c>
      <c r="I7166" s="788">
        <v>42165</v>
      </c>
      <c r="J7166" s="788">
        <v>42158</v>
      </c>
      <c r="K7166" s="788">
        <v>41869</v>
      </c>
      <c r="L7166" s="787">
        <v>0.83</v>
      </c>
      <c r="M7166" s="787">
        <v>10</v>
      </c>
      <c r="N7166" s="787">
        <v>1.34</v>
      </c>
      <c r="O7166" s="788">
        <v>41989</v>
      </c>
    </row>
    <row r="7167" spans="1:15" x14ac:dyDescent="0.25">
      <c r="A7167" s="786" t="s">
        <v>12826</v>
      </c>
      <c r="B7167" s="787">
        <v>4</v>
      </c>
      <c r="C7167" s="787" t="s">
        <v>12827</v>
      </c>
      <c r="D7167" s="787">
        <v>1.41</v>
      </c>
      <c r="E7167" s="787">
        <v>1.9</v>
      </c>
      <c r="F7167" s="788">
        <v>41963</v>
      </c>
      <c r="G7167" s="788">
        <v>42060</v>
      </c>
      <c r="H7167" s="787">
        <v>1</v>
      </c>
      <c r="I7167" s="788">
        <v>42019</v>
      </c>
      <c r="J7167" s="788">
        <v>42026</v>
      </c>
      <c r="K7167" s="788">
        <v>41869</v>
      </c>
      <c r="L7167" s="787">
        <v>0.93</v>
      </c>
      <c r="M7167" s="787">
        <v>10</v>
      </c>
      <c r="N7167" s="787">
        <v>1.43</v>
      </c>
      <c r="O7167" s="788">
        <v>41989</v>
      </c>
    </row>
    <row r="7168" spans="1:15" x14ac:dyDescent="0.25">
      <c r="A7168" s="786" t="s">
        <v>12828</v>
      </c>
      <c r="B7168" s="787">
        <v>4</v>
      </c>
      <c r="C7168" s="787" t="s">
        <v>12829</v>
      </c>
      <c r="D7168" s="787">
        <v>0</v>
      </c>
      <c r="E7168" s="787">
        <v>0</v>
      </c>
      <c r="H7168" s="787">
        <v>1</v>
      </c>
      <c r="K7168" s="788">
        <v>41869</v>
      </c>
      <c r="L7168" s="787">
        <v>1.02</v>
      </c>
      <c r="M7168" s="787">
        <v>10</v>
      </c>
      <c r="N7168" s="787">
        <v>8.52</v>
      </c>
      <c r="O7168" s="788">
        <v>41869</v>
      </c>
    </row>
    <row r="7169" spans="1:15" x14ac:dyDescent="0.25">
      <c r="A7169" s="786" t="s">
        <v>12830</v>
      </c>
      <c r="B7169" s="787">
        <v>4</v>
      </c>
      <c r="C7169" s="787" t="s">
        <v>12831</v>
      </c>
      <c r="D7169" s="787">
        <v>0</v>
      </c>
      <c r="E7169" s="787">
        <v>0</v>
      </c>
      <c r="G7169" s="788">
        <v>42137</v>
      </c>
      <c r="H7169" s="787">
        <v>1</v>
      </c>
      <c r="I7169" s="788">
        <v>42142</v>
      </c>
      <c r="J7169" s="788">
        <v>42137</v>
      </c>
      <c r="L7169" s="787">
        <v>1.1000000000000001</v>
      </c>
      <c r="M7169" s="787">
        <v>10</v>
      </c>
      <c r="N7169" s="787">
        <v>8.59</v>
      </c>
      <c r="O7169" s="788">
        <v>41869</v>
      </c>
    </row>
    <row r="7170" spans="1:15" x14ac:dyDescent="0.25">
      <c r="A7170" s="786" t="s">
        <v>12832</v>
      </c>
      <c r="B7170" s="787">
        <v>4</v>
      </c>
      <c r="C7170" s="787" t="s">
        <v>12833</v>
      </c>
      <c r="D7170" s="787">
        <v>4.4000000000000004</v>
      </c>
      <c r="E7170" s="787">
        <v>14.4</v>
      </c>
      <c r="F7170" s="788">
        <v>41890</v>
      </c>
      <c r="G7170" s="788">
        <v>41901</v>
      </c>
      <c r="H7170" s="787">
        <v>1</v>
      </c>
      <c r="J7170" s="788">
        <v>41901</v>
      </c>
      <c r="L7170" s="787">
        <v>14.4</v>
      </c>
      <c r="M7170" s="787">
        <v>20</v>
      </c>
      <c r="N7170" s="787">
        <v>0</v>
      </c>
    </row>
    <row r="7171" spans="1:15" x14ac:dyDescent="0.25">
      <c r="A7171" s="786" t="s">
        <v>12834</v>
      </c>
      <c r="B7171" s="787">
        <v>4</v>
      </c>
      <c r="C7171" s="787" t="s">
        <v>12743</v>
      </c>
      <c r="D7171" s="787">
        <v>2.84</v>
      </c>
      <c r="E7171" s="787">
        <v>272.83999999999997</v>
      </c>
      <c r="F7171" s="788">
        <v>41885</v>
      </c>
      <c r="G7171" s="788">
        <v>41886</v>
      </c>
      <c r="H7171" s="787">
        <v>1</v>
      </c>
      <c r="I7171" s="788">
        <v>41912</v>
      </c>
      <c r="J7171" s="788">
        <v>41885</v>
      </c>
      <c r="K7171" s="788">
        <v>41871</v>
      </c>
      <c r="L7171" s="787">
        <v>244</v>
      </c>
      <c r="M7171" s="787">
        <v>20</v>
      </c>
      <c r="N7171" s="787">
        <v>0</v>
      </c>
    </row>
    <row r="7172" spans="1:15" x14ac:dyDescent="0.25">
      <c r="A7172" s="786" t="s">
        <v>12835</v>
      </c>
      <c r="B7172" s="787">
        <v>4</v>
      </c>
      <c r="C7172" s="787" t="s">
        <v>12836</v>
      </c>
      <c r="D7172" s="787">
        <v>7.73</v>
      </c>
      <c r="E7172" s="787">
        <v>167.73</v>
      </c>
      <c r="F7172" s="788">
        <v>41885</v>
      </c>
      <c r="G7172" s="788">
        <v>41886</v>
      </c>
      <c r="H7172" s="787">
        <v>1</v>
      </c>
      <c r="I7172" s="788">
        <v>41912</v>
      </c>
      <c r="J7172" s="788">
        <v>41885</v>
      </c>
      <c r="K7172" s="788">
        <v>41871</v>
      </c>
      <c r="L7172" s="787">
        <v>150</v>
      </c>
      <c r="M7172" s="787">
        <v>20</v>
      </c>
      <c r="N7172" s="787">
        <v>0</v>
      </c>
    </row>
    <row r="7173" spans="1:15" x14ac:dyDescent="0.25">
      <c r="A7173" s="786" t="s">
        <v>12837</v>
      </c>
      <c r="B7173" s="787">
        <v>4</v>
      </c>
      <c r="C7173" s="787" t="s">
        <v>12740</v>
      </c>
      <c r="D7173" s="787">
        <v>5.43</v>
      </c>
      <c r="E7173" s="787">
        <v>155.43</v>
      </c>
      <c r="F7173" s="788">
        <v>41885</v>
      </c>
      <c r="G7173" s="788">
        <v>41886</v>
      </c>
      <c r="H7173" s="787">
        <v>1</v>
      </c>
      <c r="I7173" s="788">
        <v>41912</v>
      </c>
      <c r="J7173" s="788">
        <v>41885</v>
      </c>
      <c r="K7173" s="788">
        <v>41871</v>
      </c>
      <c r="L7173" s="787">
        <v>139</v>
      </c>
      <c r="M7173" s="787">
        <v>20</v>
      </c>
      <c r="N7173" s="787">
        <v>0</v>
      </c>
    </row>
    <row r="7174" spans="1:15" x14ac:dyDescent="0.25">
      <c r="A7174" s="786" t="s">
        <v>12838</v>
      </c>
      <c r="B7174" s="787">
        <v>4</v>
      </c>
      <c r="C7174" s="787" t="s">
        <v>12737</v>
      </c>
      <c r="D7174" s="787">
        <v>4</v>
      </c>
      <c r="E7174" s="787">
        <v>194</v>
      </c>
      <c r="F7174" s="788">
        <v>41890</v>
      </c>
      <c r="G7174" s="788">
        <v>41883</v>
      </c>
      <c r="H7174" s="787">
        <v>1</v>
      </c>
      <c r="I7174" s="788">
        <v>41912</v>
      </c>
      <c r="J7174" s="788">
        <v>41883</v>
      </c>
      <c r="K7174" s="788">
        <v>41872</v>
      </c>
      <c r="L7174" s="787">
        <v>194</v>
      </c>
      <c r="M7174" s="787">
        <v>20</v>
      </c>
      <c r="N7174" s="787">
        <v>0</v>
      </c>
    </row>
    <row r="7175" spans="1:15" x14ac:dyDescent="0.25">
      <c r="A7175" s="786" t="s">
        <v>12839</v>
      </c>
      <c r="B7175" s="787">
        <v>4</v>
      </c>
      <c r="C7175" s="787" t="s">
        <v>12840</v>
      </c>
      <c r="D7175" s="787">
        <v>3</v>
      </c>
      <c r="E7175" s="787">
        <v>203</v>
      </c>
      <c r="F7175" s="788">
        <v>41890</v>
      </c>
      <c r="G7175" s="788">
        <v>41883</v>
      </c>
      <c r="H7175" s="787">
        <v>1</v>
      </c>
      <c r="I7175" s="788">
        <v>41912</v>
      </c>
      <c r="J7175" s="788">
        <v>41883</v>
      </c>
      <c r="K7175" s="788">
        <v>41872</v>
      </c>
      <c r="L7175" s="787">
        <v>203</v>
      </c>
      <c r="M7175" s="787">
        <v>20</v>
      </c>
      <c r="N7175" s="787">
        <v>0</v>
      </c>
    </row>
    <row r="7176" spans="1:15" x14ac:dyDescent="0.25">
      <c r="A7176" s="786" t="s">
        <v>12841</v>
      </c>
      <c r="B7176" s="787">
        <v>4</v>
      </c>
      <c r="C7176" s="787" t="s">
        <v>12842</v>
      </c>
      <c r="D7176" s="787">
        <v>1.1399999999999999</v>
      </c>
      <c r="E7176" s="787">
        <v>102.24</v>
      </c>
      <c r="F7176" s="788">
        <v>41880</v>
      </c>
      <c r="G7176" s="788">
        <v>42046</v>
      </c>
      <c r="H7176" s="787">
        <v>1</v>
      </c>
      <c r="J7176" s="788">
        <v>42031</v>
      </c>
      <c r="L7176" s="787">
        <v>101.14</v>
      </c>
      <c r="M7176" s="787">
        <v>20</v>
      </c>
      <c r="N7176" s="787">
        <v>0</v>
      </c>
    </row>
    <row r="7177" spans="1:15" x14ac:dyDescent="0.25">
      <c r="A7177" s="786" t="s">
        <v>12843</v>
      </c>
      <c r="B7177" s="787">
        <v>4</v>
      </c>
      <c r="C7177" s="787" t="s">
        <v>12844</v>
      </c>
      <c r="D7177" s="787">
        <v>6</v>
      </c>
      <c r="E7177" s="787">
        <v>526</v>
      </c>
      <c r="F7177" s="788">
        <v>41890</v>
      </c>
      <c r="G7177" s="788">
        <v>41883</v>
      </c>
      <c r="H7177" s="787">
        <v>1</v>
      </c>
      <c r="I7177" s="788">
        <v>41990</v>
      </c>
      <c r="J7177" s="788">
        <v>41883</v>
      </c>
      <c r="K7177" s="788">
        <v>41878</v>
      </c>
      <c r="L7177" s="787">
        <v>526</v>
      </c>
      <c r="M7177" s="787">
        <v>20</v>
      </c>
      <c r="N7177" s="787">
        <v>0</v>
      </c>
    </row>
    <row r="7178" spans="1:15" x14ac:dyDescent="0.25">
      <c r="A7178" s="786" t="s">
        <v>12845</v>
      </c>
      <c r="B7178" s="787">
        <v>4</v>
      </c>
      <c r="C7178" s="787" t="s">
        <v>12846</v>
      </c>
      <c r="D7178" s="787">
        <v>7</v>
      </c>
      <c r="E7178" s="787">
        <v>177</v>
      </c>
      <c r="F7178" s="788">
        <v>41886</v>
      </c>
      <c r="G7178" s="788">
        <v>41885</v>
      </c>
      <c r="H7178" s="787">
        <v>1</v>
      </c>
      <c r="I7178" s="788">
        <v>41990</v>
      </c>
      <c r="J7178" s="788">
        <v>41885</v>
      </c>
      <c r="K7178" s="788">
        <v>41876</v>
      </c>
      <c r="L7178" s="787">
        <v>177</v>
      </c>
      <c r="M7178" s="787">
        <v>20</v>
      </c>
      <c r="N7178" s="787">
        <v>0</v>
      </c>
    </row>
    <row r="7179" spans="1:15" x14ac:dyDescent="0.25">
      <c r="A7179" s="786" t="s">
        <v>12847</v>
      </c>
      <c r="B7179" s="787">
        <v>4</v>
      </c>
      <c r="C7179" s="787" t="s">
        <v>12401</v>
      </c>
      <c r="D7179" s="787">
        <v>9.27</v>
      </c>
      <c r="E7179" s="787">
        <v>9.27</v>
      </c>
      <c r="F7179" s="788">
        <v>41878</v>
      </c>
      <c r="G7179" s="788">
        <v>41882</v>
      </c>
      <c r="H7179" s="787">
        <v>1</v>
      </c>
      <c r="I7179" s="788">
        <v>41914</v>
      </c>
      <c r="J7179" s="788">
        <v>41876</v>
      </c>
      <c r="L7179" s="787">
        <v>7.8</v>
      </c>
      <c r="M7179" s="787">
        <v>20</v>
      </c>
      <c r="N7179" s="787">
        <v>0</v>
      </c>
    </row>
    <row r="7180" spans="1:15" x14ac:dyDescent="0.25">
      <c r="A7180" s="786" t="s">
        <v>12848</v>
      </c>
      <c r="B7180" s="787">
        <v>4</v>
      </c>
      <c r="C7180" s="787" t="s">
        <v>12849</v>
      </c>
      <c r="D7180" s="787">
        <v>4.83</v>
      </c>
      <c r="E7180" s="787">
        <v>14.83</v>
      </c>
      <c r="F7180" s="788">
        <v>41905</v>
      </c>
      <c r="G7180" s="788">
        <v>42013</v>
      </c>
      <c r="H7180" s="787">
        <v>1</v>
      </c>
      <c r="I7180" s="788">
        <v>41977</v>
      </c>
      <c r="J7180" s="788">
        <v>41912</v>
      </c>
      <c r="L7180" s="787">
        <v>14.83</v>
      </c>
      <c r="M7180" s="787">
        <v>20</v>
      </c>
      <c r="N7180" s="787">
        <v>0</v>
      </c>
    </row>
    <row r="7181" spans="1:15" x14ac:dyDescent="0.25">
      <c r="A7181" s="786" t="s">
        <v>12850</v>
      </c>
      <c r="B7181" s="787">
        <v>4</v>
      </c>
      <c r="C7181" s="787" t="s">
        <v>12851</v>
      </c>
      <c r="D7181" s="787">
        <v>6.4</v>
      </c>
      <c r="E7181" s="787">
        <v>26.4</v>
      </c>
      <c r="F7181" s="788">
        <v>41883</v>
      </c>
      <c r="G7181" s="788">
        <v>41883</v>
      </c>
      <c r="H7181" s="787">
        <v>1</v>
      </c>
      <c r="I7181" s="788">
        <v>41892</v>
      </c>
      <c r="J7181" s="788">
        <v>41883</v>
      </c>
      <c r="L7181" s="787">
        <v>26.4</v>
      </c>
      <c r="M7181" s="787">
        <v>20</v>
      </c>
      <c r="N7181" s="787">
        <v>0</v>
      </c>
    </row>
    <row r="7182" spans="1:15" x14ac:dyDescent="0.25">
      <c r="A7182" s="786" t="s">
        <v>12852</v>
      </c>
      <c r="B7182" s="787">
        <v>4</v>
      </c>
      <c r="C7182" s="787" t="s">
        <v>12853</v>
      </c>
      <c r="D7182" s="787">
        <v>0.42</v>
      </c>
      <c r="E7182" s="787">
        <v>0.42</v>
      </c>
      <c r="F7182" s="788">
        <v>42121</v>
      </c>
      <c r="G7182" s="788">
        <v>42129</v>
      </c>
      <c r="H7182" s="787">
        <v>1</v>
      </c>
      <c r="I7182" s="788">
        <v>42122</v>
      </c>
      <c r="J7182" s="788">
        <v>42121</v>
      </c>
      <c r="L7182" s="787">
        <v>0.94</v>
      </c>
      <c r="M7182" s="787">
        <v>20</v>
      </c>
      <c r="N7182" s="787">
        <v>0</v>
      </c>
    </row>
    <row r="7183" spans="1:15" x14ac:dyDescent="0.25">
      <c r="A7183" s="786" t="s">
        <v>12854</v>
      </c>
      <c r="B7183" s="787">
        <v>4</v>
      </c>
      <c r="C7183" s="787" t="s">
        <v>12855</v>
      </c>
      <c r="D7183" s="787">
        <v>0.13</v>
      </c>
      <c r="E7183" s="787">
        <v>0.13</v>
      </c>
      <c r="F7183" s="788">
        <v>41883</v>
      </c>
      <c r="G7183" s="788">
        <v>42121</v>
      </c>
      <c r="H7183" s="787">
        <v>1</v>
      </c>
      <c r="I7183" s="788">
        <v>42122</v>
      </c>
      <c r="J7183" s="788">
        <v>42121</v>
      </c>
      <c r="L7183" s="787">
        <v>0.13</v>
      </c>
      <c r="M7183" s="787">
        <v>20</v>
      </c>
      <c r="N7183" s="787">
        <v>0</v>
      </c>
    </row>
    <row r="7184" spans="1:15" x14ac:dyDescent="0.25">
      <c r="A7184" s="786" t="s">
        <v>12856</v>
      </c>
      <c r="B7184" s="787">
        <v>4</v>
      </c>
      <c r="C7184" s="787" t="s">
        <v>12857</v>
      </c>
      <c r="D7184" s="787">
        <v>0.2</v>
      </c>
      <c r="E7184" s="787">
        <v>510.2</v>
      </c>
      <c r="F7184" s="788">
        <v>41884</v>
      </c>
      <c r="G7184" s="788">
        <v>41884</v>
      </c>
      <c r="H7184" s="787">
        <v>6</v>
      </c>
      <c r="I7184" s="788">
        <v>41904</v>
      </c>
      <c r="J7184" s="788">
        <v>41880</v>
      </c>
      <c r="K7184" s="788">
        <v>41873</v>
      </c>
      <c r="L7184" s="787">
        <v>488.7</v>
      </c>
      <c r="M7184" s="787">
        <v>20</v>
      </c>
      <c r="N7184" s="787">
        <v>0</v>
      </c>
    </row>
    <row r="7185" spans="1:15" x14ac:dyDescent="0.25">
      <c r="A7185" s="786" t="s">
        <v>12858</v>
      </c>
      <c r="B7185" s="787">
        <v>4</v>
      </c>
      <c r="C7185" s="787" t="s">
        <v>12859</v>
      </c>
      <c r="D7185" s="787">
        <v>0</v>
      </c>
      <c r="E7185" s="787">
        <v>0</v>
      </c>
      <c r="G7185" s="788">
        <v>41877</v>
      </c>
      <c r="H7185" s="787">
        <v>1</v>
      </c>
      <c r="I7185" s="788">
        <v>41906</v>
      </c>
      <c r="J7185" s="788">
        <v>41877</v>
      </c>
      <c r="K7185" s="788">
        <v>41906</v>
      </c>
      <c r="L7185" s="787">
        <v>0.31</v>
      </c>
      <c r="M7185" s="787">
        <v>20</v>
      </c>
      <c r="N7185" s="787">
        <v>0</v>
      </c>
    </row>
    <row r="7186" spans="1:15" x14ac:dyDescent="0.25">
      <c r="A7186" s="786" t="s">
        <v>12860</v>
      </c>
      <c r="B7186" s="787">
        <v>4</v>
      </c>
      <c r="C7186" s="787" t="s">
        <v>12861</v>
      </c>
      <c r="D7186" s="787">
        <v>0</v>
      </c>
      <c r="E7186" s="789">
        <v>2100</v>
      </c>
      <c r="F7186" s="788">
        <v>41883</v>
      </c>
      <c r="G7186" s="788">
        <v>41878</v>
      </c>
      <c r="H7186" s="787">
        <v>1</v>
      </c>
      <c r="I7186" s="788">
        <v>42150</v>
      </c>
      <c r="J7186" s="788">
        <v>42109</v>
      </c>
      <c r="L7186" s="789">
        <v>2100</v>
      </c>
      <c r="M7186" s="787">
        <v>20</v>
      </c>
      <c r="N7186" s="789">
        <v>2257.5</v>
      </c>
      <c r="O7186" s="788">
        <v>42164</v>
      </c>
    </row>
    <row r="7187" spans="1:15" x14ac:dyDescent="0.25">
      <c r="A7187" s="786" t="s">
        <v>12862</v>
      </c>
      <c r="B7187" s="787">
        <v>4</v>
      </c>
      <c r="C7187" s="787" t="s">
        <v>12863</v>
      </c>
      <c r="D7187" s="787">
        <v>0</v>
      </c>
      <c r="E7187" s="787">
        <v>0</v>
      </c>
      <c r="H7187" s="787">
        <v>1</v>
      </c>
      <c r="L7187" s="787">
        <v>0.1</v>
      </c>
      <c r="M7187" s="787">
        <v>20</v>
      </c>
      <c r="N7187" s="787">
        <v>0</v>
      </c>
    </row>
    <row r="7188" spans="1:15" x14ac:dyDescent="0.25">
      <c r="A7188" s="786" t="s">
        <v>12864</v>
      </c>
      <c r="B7188" s="787">
        <v>4</v>
      </c>
      <c r="C7188" s="787" t="s">
        <v>12865</v>
      </c>
      <c r="D7188" s="787">
        <v>8.4</v>
      </c>
      <c r="E7188" s="787">
        <v>98.4</v>
      </c>
      <c r="F7188" s="788">
        <v>41892</v>
      </c>
      <c r="G7188" s="788">
        <v>41897</v>
      </c>
      <c r="H7188" s="787">
        <v>1</v>
      </c>
      <c r="J7188" s="788">
        <v>41886</v>
      </c>
      <c r="L7188" s="787">
        <v>95</v>
      </c>
      <c r="M7188" s="787">
        <v>20</v>
      </c>
      <c r="N7188" s="787">
        <v>0</v>
      </c>
    </row>
    <row r="7189" spans="1:15" x14ac:dyDescent="0.25">
      <c r="A7189" s="786" t="s">
        <v>12866</v>
      </c>
      <c r="B7189" s="787">
        <v>4</v>
      </c>
      <c r="C7189" s="787" t="s">
        <v>2401</v>
      </c>
      <c r="D7189" s="787">
        <v>1.36</v>
      </c>
      <c r="E7189" s="787">
        <v>1.36</v>
      </c>
      <c r="F7189" s="788">
        <v>41884</v>
      </c>
      <c r="G7189" s="788">
        <v>41883</v>
      </c>
      <c r="H7189" s="787">
        <v>1</v>
      </c>
      <c r="J7189" s="788">
        <v>41883</v>
      </c>
      <c r="L7189" s="787">
        <v>1.36</v>
      </c>
      <c r="M7189" s="787">
        <v>20</v>
      </c>
      <c r="N7189" s="787">
        <v>0</v>
      </c>
    </row>
    <row r="7190" spans="1:15" x14ac:dyDescent="0.25">
      <c r="A7190" s="786" t="s">
        <v>12867</v>
      </c>
      <c r="B7190" s="787">
        <v>4</v>
      </c>
      <c r="C7190" s="787" t="s">
        <v>12868</v>
      </c>
      <c r="D7190" s="787">
        <v>0</v>
      </c>
      <c r="E7190" s="787">
        <v>0</v>
      </c>
      <c r="H7190" s="787">
        <v>1</v>
      </c>
      <c r="I7190" s="788">
        <v>42145</v>
      </c>
      <c r="L7190" s="787">
        <v>0.62</v>
      </c>
      <c r="M7190" s="787">
        <v>20</v>
      </c>
      <c r="N7190" s="787">
        <v>0</v>
      </c>
    </row>
    <row r="7191" spans="1:15" x14ac:dyDescent="0.25">
      <c r="A7191" s="786" t="s">
        <v>12869</v>
      </c>
      <c r="B7191" s="787">
        <v>4</v>
      </c>
      <c r="C7191" s="787" t="s">
        <v>12805</v>
      </c>
      <c r="D7191" s="787">
        <v>4.71</v>
      </c>
      <c r="E7191" s="787">
        <v>94.72</v>
      </c>
      <c r="F7191" s="788">
        <v>41912</v>
      </c>
      <c r="G7191" s="788">
        <v>41922</v>
      </c>
      <c r="H7191" s="787">
        <v>1</v>
      </c>
      <c r="I7191" s="788">
        <v>41990</v>
      </c>
      <c r="J7191" s="788">
        <v>41907</v>
      </c>
      <c r="K7191" s="788">
        <v>41887</v>
      </c>
      <c r="L7191" s="787">
        <v>81</v>
      </c>
      <c r="M7191" s="787">
        <v>20</v>
      </c>
      <c r="N7191" s="787">
        <v>0</v>
      </c>
    </row>
    <row r="7192" spans="1:15" x14ac:dyDescent="0.25">
      <c r="A7192" s="786" t="s">
        <v>12870</v>
      </c>
      <c r="B7192" s="787">
        <v>4</v>
      </c>
      <c r="C7192" s="787" t="s">
        <v>12805</v>
      </c>
      <c r="D7192" s="787">
        <v>4.71</v>
      </c>
      <c r="E7192" s="787">
        <v>94.71</v>
      </c>
      <c r="F7192" s="788">
        <v>41912</v>
      </c>
      <c r="G7192" s="788">
        <v>41922</v>
      </c>
      <c r="H7192" s="787">
        <v>1</v>
      </c>
      <c r="I7192" s="788">
        <v>41990</v>
      </c>
      <c r="J7192" s="788">
        <v>41907</v>
      </c>
      <c r="K7192" s="788">
        <v>41887</v>
      </c>
      <c r="L7192" s="787">
        <v>81</v>
      </c>
      <c r="M7192" s="787">
        <v>20</v>
      </c>
      <c r="N7192" s="787">
        <v>0</v>
      </c>
    </row>
    <row r="7193" spans="1:15" x14ac:dyDescent="0.25">
      <c r="A7193" s="786" t="s">
        <v>12871</v>
      </c>
      <c r="B7193" s="787">
        <v>4</v>
      </c>
      <c r="C7193" s="787" t="s">
        <v>12805</v>
      </c>
      <c r="D7193" s="787">
        <v>4.72</v>
      </c>
      <c r="E7193" s="787">
        <v>94.72</v>
      </c>
      <c r="F7193" s="788">
        <v>41912</v>
      </c>
      <c r="G7193" s="788">
        <v>41922</v>
      </c>
      <c r="H7193" s="787">
        <v>1</v>
      </c>
      <c r="I7193" s="788">
        <v>41990</v>
      </c>
      <c r="J7193" s="788">
        <v>41907</v>
      </c>
      <c r="K7193" s="788">
        <v>41887</v>
      </c>
      <c r="L7193" s="787">
        <v>81</v>
      </c>
      <c r="M7193" s="787">
        <v>20</v>
      </c>
      <c r="N7193" s="787">
        <v>0</v>
      </c>
    </row>
    <row r="7194" spans="1:15" x14ac:dyDescent="0.25">
      <c r="A7194" s="786" t="s">
        <v>12872</v>
      </c>
      <c r="B7194" s="787">
        <v>4</v>
      </c>
      <c r="C7194" s="787" t="s">
        <v>12805</v>
      </c>
      <c r="D7194" s="787">
        <v>4.71</v>
      </c>
      <c r="E7194" s="787">
        <v>94.71</v>
      </c>
      <c r="F7194" s="788">
        <v>41912</v>
      </c>
      <c r="G7194" s="788">
        <v>41922</v>
      </c>
      <c r="H7194" s="787">
        <v>1</v>
      </c>
      <c r="I7194" s="788">
        <v>41990</v>
      </c>
      <c r="J7194" s="788">
        <v>41907</v>
      </c>
      <c r="K7194" s="788">
        <v>41887</v>
      </c>
      <c r="L7194" s="787">
        <v>81</v>
      </c>
      <c r="M7194" s="787">
        <v>20</v>
      </c>
      <c r="N7194" s="787">
        <v>0</v>
      </c>
    </row>
    <row r="7195" spans="1:15" x14ac:dyDescent="0.25">
      <c r="A7195" s="786" t="s">
        <v>12873</v>
      </c>
      <c r="B7195" s="787">
        <v>4</v>
      </c>
      <c r="C7195" s="787" t="s">
        <v>12874</v>
      </c>
      <c r="D7195" s="787">
        <v>7</v>
      </c>
      <c r="E7195" s="787">
        <v>207</v>
      </c>
      <c r="F7195" s="788">
        <v>41920</v>
      </c>
      <c r="G7195" s="788">
        <v>41905</v>
      </c>
      <c r="H7195" s="787">
        <v>1</v>
      </c>
      <c r="I7195" s="788">
        <v>41990</v>
      </c>
      <c r="J7195" s="788">
        <v>41905</v>
      </c>
      <c r="K7195" s="788">
        <v>41893</v>
      </c>
      <c r="L7195" s="787">
        <v>207</v>
      </c>
      <c r="M7195" s="787">
        <v>20</v>
      </c>
      <c r="N7195" s="787">
        <v>0</v>
      </c>
    </row>
    <row r="7196" spans="1:15" x14ac:dyDescent="0.25">
      <c r="A7196" s="786" t="s">
        <v>12875</v>
      </c>
      <c r="B7196" s="787">
        <v>4</v>
      </c>
      <c r="C7196" s="787" t="s">
        <v>12876</v>
      </c>
      <c r="D7196" s="787">
        <v>4.84</v>
      </c>
      <c r="E7196" s="787">
        <v>14.84</v>
      </c>
      <c r="F7196" s="788">
        <v>41893</v>
      </c>
      <c r="G7196" s="788">
        <v>41886</v>
      </c>
      <c r="H7196" s="787">
        <v>1</v>
      </c>
      <c r="J7196" s="788">
        <v>41886</v>
      </c>
      <c r="K7196" s="788">
        <v>41885</v>
      </c>
      <c r="L7196" s="787">
        <v>14.84</v>
      </c>
      <c r="M7196" s="787">
        <v>20</v>
      </c>
      <c r="N7196" s="787">
        <v>0</v>
      </c>
    </row>
    <row r="7197" spans="1:15" x14ac:dyDescent="0.25">
      <c r="A7197" s="786" t="s">
        <v>12877</v>
      </c>
      <c r="B7197" s="787">
        <v>4</v>
      </c>
      <c r="C7197" s="787" t="s">
        <v>12878</v>
      </c>
      <c r="D7197" s="787">
        <v>8.75</v>
      </c>
      <c r="E7197" s="787">
        <v>398.75</v>
      </c>
      <c r="F7197" s="788">
        <v>41920</v>
      </c>
      <c r="G7197" s="788">
        <v>41905</v>
      </c>
      <c r="H7197" s="787">
        <v>1</v>
      </c>
      <c r="I7197" s="788">
        <v>41926</v>
      </c>
      <c r="J7197" s="788">
        <v>41905</v>
      </c>
      <c r="K7197" s="788">
        <v>41893</v>
      </c>
      <c r="L7197" s="787">
        <v>398.75</v>
      </c>
      <c r="M7197" s="787">
        <v>20</v>
      </c>
      <c r="N7197" s="787">
        <v>0</v>
      </c>
    </row>
    <row r="7198" spans="1:15" x14ac:dyDescent="0.25">
      <c r="A7198" s="786" t="s">
        <v>12879</v>
      </c>
      <c r="B7198" s="787">
        <v>4</v>
      </c>
      <c r="C7198" s="787" t="s">
        <v>12836</v>
      </c>
      <c r="D7198" s="787">
        <v>1</v>
      </c>
      <c r="E7198" s="787">
        <v>161</v>
      </c>
      <c r="F7198" s="788">
        <v>41913</v>
      </c>
      <c r="G7198" s="788">
        <v>41922</v>
      </c>
      <c r="H7198" s="787">
        <v>1</v>
      </c>
      <c r="I7198" s="788">
        <v>41926</v>
      </c>
      <c r="J7198" s="788">
        <v>41921</v>
      </c>
      <c r="K7198" s="788">
        <v>41900</v>
      </c>
      <c r="L7198" s="787">
        <v>140</v>
      </c>
      <c r="M7198" s="787">
        <v>20</v>
      </c>
      <c r="N7198" s="787">
        <v>0</v>
      </c>
    </row>
    <row r="7199" spans="1:15" x14ac:dyDescent="0.25">
      <c r="A7199" s="786" t="s">
        <v>12880</v>
      </c>
      <c r="B7199" s="787">
        <v>4</v>
      </c>
      <c r="C7199" s="787" t="s">
        <v>12881</v>
      </c>
      <c r="D7199" s="787">
        <v>7.45</v>
      </c>
      <c r="E7199" s="787">
        <v>437.45</v>
      </c>
      <c r="F7199" s="788">
        <v>41904</v>
      </c>
      <c r="G7199" s="788">
        <v>41932</v>
      </c>
      <c r="H7199" s="787">
        <v>1</v>
      </c>
      <c r="I7199" s="788">
        <v>41911</v>
      </c>
      <c r="J7199" s="788">
        <v>41900</v>
      </c>
      <c r="L7199" s="787">
        <v>426.6</v>
      </c>
      <c r="M7199" s="787">
        <v>20</v>
      </c>
      <c r="N7199" s="787">
        <v>0</v>
      </c>
    </row>
    <row r="7200" spans="1:15" x14ac:dyDescent="0.25">
      <c r="A7200" s="786" t="s">
        <v>12882</v>
      </c>
      <c r="B7200" s="787">
        <v>4</v>
      </c>
      <c r="C7200" s="787" t="s">
        <v>12883</v>
      </c>
      <c r="D7200" s="787">
        <v>5.51</v>
      </c>
      <c r="E7200" s="787">
        <v>125.51</v>
      </c>
      <c r="F7200" s="788">
        <v>41904</v>
      </c>
      <c r="G7200" s="788">
        <v>42013</v>
      </c>
      <c r="H7200" s="787">
        <v>1</v>
      </c>
      <c r="I7200" s="788">
        <v>41911</v>
      </c>
      <c r="J7200" s="788">
        <v>41900</v>
      </c>
      <c r="L7200" s="787">
        <v>122.4</v>
      </c>
      <c r="M7200" s="787">
        <v>20</v>
      </c>
      <c r="N7200" s="787">
        <v>0</v>
      </c>
    </row>
    <row r="7201" spans="1:15" x14ac:dyDescent="0.25">
      <c r="A7201" s="786" t="s">
        <v>12884</v>
      </c>
      <c r="B7201" s="787">
        <v>4</v>
      </c>
      <c r="C7201" s="787" t="s">
        <v>12885</v>
      </c>
      <c r="D7201" s="787">
        <v>0</v>
      </c>
      <c r="E7201" s="787">
        <v>110</v>
      </c>
      <c r="F7201" s="788">
        <v>41901</v>
      </c>
      <c r="G7201" s="788">
        <v>41897</v>
      </c>
      <c r="H7201" s="787">
        <v>1</v>
      </c>
      <c r="I7201" s="788">
        <v>41897</v>
      </c>
      <c r="J7201" s="788">
        <v>41897</v>
      </c>
      <c r="L7201" s="787">
        <v>110</v>
      </c>
      <c r="M7201" s="787">
        <v>20</v>
      </c>
      <c r="N7201" s="787">
        <v>0</v>
      </c>
    </row>
    <row r="7202" spans="1:15" x14ac:dyDescent="0.25">
      <c r="A7202" s="786" t="s">
        <v>12886</v>
      </c>
      <c r="B7202" s="787">
        <v>4</v>
      </c>
      <c r="C7202" s="787" t="s">
        <v>12887</v>
      </c>
      <c r="D7202" s="787">
        <v>5</v>
      </c>
      <c r="E7202" s="787">
        <v>135</v>
      </c>
      <c r="F7202" s="788">
        <v>41901</v>
      </c>
      <c r="G7202" s="788">
        <v>41897</v>
      </c>
      <c r="H7202" s="787">
        <v>1</v>
      </c>
      <c r="I7202" s="788">
        <v>41897</v>
      </c>
      <c r="J7202" s="788">
        <v>41897</v>
      </c>
      <c r="L7202" s="787">
        <v>135</v>
      </c>
      <c r="M7202" s="787">
        <v>20</v>
      </c>
      <c r="N7202" s="787">
        <v>0</v>
      </c>
    </row>
    <row r="7203" spans="1:15" x14ac:dyDescent="0.25">
      <c r="A7203" s="786" t="s">
        <v>12888</v>
      </c>
      <c r="B7203" s="787">
        <v>4</v>
      </c>
      <c r="C7203" s="787" t="s">
        <v>12889</v>
      </c>
      <c r="D7203" s="787">
        <v>0</v>
      </c>
      <c r="E7203" s="789">
        <v>1670</v>
      </c>
      <c r="F7203" s="788">
        <v>42143</v>
      </c>
      <c r="G7203" s="788">
        <v>42137</v>
      </c>
      <c r="H7203" s="787">
        <v>1</v>
      </c>
      <c r="J7203" s="788">
        <v>42137</v>
      </c>
      <c r="K7203" s="788">
        <v>42129</v>
      </c>
      <c r="L7203" s="789">
        <v>1850</v>
      </c>
      <c r="M7203" s="787">
        <v>20</v>
      </c>
      <c r="N7203" s="787">
        <v>0</v>
      </c>
    </row>
    <row r="7204" spans="1:15" x14ac:dyDescent="0.25">
      <c r="A7204" s="786" t="s">
        <v>12890</v>
      </c>
      <c r="B7204" s="787">
        <v>4</v>
      </c>
      <c r="C7204" s="787" t="s">
        <v>12891</v>
      </c>
      <c r="D7204" s="787">
        <v>9.99</v>
      </c>
      <c r="E7204" s="787">
        <v>253.74</v>
      </c>
      <c r="F7204" s="788">
        <v>41908</v>
      </c>
      <c r="G7204" s="788">
        <v>42135</v>
      </c>
      <c r="H7204" s="787">
        <v>1</v>
      </c>
      <c r="I7204" s="788">
        <v>41990</v>
      </c>
      <c r="J7204" s="788">
        <v>42103</v>
      </c>
      <c r="L7204" s="787">
        <v>249.99</v>
      </c>
      <c r="M7204" s="787">
        <v>20</v>
      </c>
      <c r="N7204" s="787">
        <v>0</v>
      </c>
    </row>
    <row r="7205" spans="1:15" x14ac:dyDescent="0.25">
      <c r="A7205" s="786" t="s">
        <v>12892</v>
      </c>
      <c r="B7205" s="787">
        <v>4</v>
      </c>
      <c r="C7205" s="787" t="s">
        <v>12893</v>
      </c>
      <c r="D7205" s="787">
        <v>9.15</v>
      </c>
      <c r="E7205" s="787">
        <v>189.15</v>
      </c>
      <c r="F7205" s="788">
        <v>41897</v>
      </c>
      <c r="G7205" s="788">
        <v>41897</v>
      </c>
      <c r="H7205" s="787">
        <v>1</v>
      </c>
      <c r="I7205" s="788">
        <v>41898</v>
      </c>
      <c r="J7205" s="788">
        <v>41894</v>
      </c>
      <c r="L7205" s="787">
        <v>141.25</v>
      </c>
      <c r="M7205" s="787">
        <v>20</v>
      </c>
      <c r="N7205" s="787">
        <v>0</v>
      </c>
    </row>
    <row r="7206" spans="1:15" x14ac:dyDescent="0.25">
      <c r="A7206" s="786" t="s">
        <v>12894</v>
      </c>
      <c r="B7206" s="787">
        <v>4</v>
      </c>
      <c r="C7206" s="787" t="s">
        <v>12895</v>
      </c>
      <c r="D7206" s="787">
        <v>7</v>
      </c>
      <c r="E7206" s="787">
        <v>257</v>
      </c>
      <c r="F7206" s="788">
        <v>41901</v>
      </c>
      <c r="G7206" s="788">
        <v>41904</v>
      </c>
      <c r="H7206" s="787">
        <v>1</v>
      </c>
      <c r="J7206" s="788">
        <v>41897</v>
      </c>
      <c r="L7206" s="787">
        <v>120</v>
      </c>
      <c r="M7206" s="787">
        <v>20</v>
      </c>
      <c r="N7206" s="787">
        <v>0</v>
      </c>
    </row>
    <row r="7207" spans="1:15" x14ac:dyDescent="0.25">
      <c r="A7207" s="786" t="s">
        <v>12896</v>
      </c>
      <c r="B7207" s="787">
        <v>4</v>
      </c>
      <c r="C7207" s="787" t="s">
        <v>12897</v>
      </c>
      <c r="D7207" s="787">
        <v>9.32</v>
      </c>
      <c r="E7207" s="787">
        <v>69.319999999999993</v>
      </c>
      <c r="F7207" s="788">
        <v>41953</v>
      </c>
      <c r="G7207" s="788">
        <v>41953</v>
      </c>
      <c r="H7207" s="787">
        <v>1</v>
      </c>
      <c r="I7207" s="788">
        <v>41929</v>
      </c>
      <c r="J7207" s="788">
        <v>41932</v>
      </c>
      <c r="K7207" s="788">
        <v>41894</v>
      </c>
      <c r="L7207" s="787">
        <v>55</v>
      </c>
      <c r="M7207" s="787">
        <v>10</v>
      </c>
      <c r="N7207" s="787">
        <v>94.84</v>
      </c>
      <c r="O7207" s="788">
        <v>42023</v>
      </c>
    </row>
    <row r="7208" spans="1:15" x14ac:dyDescent="0.25">
      <c r="A7208" s="786" t="s">
        <v>12898</v>
      </c>
      <c r="B7208" s="787">
        <v>4</v>
      </c>
      <c r="C7208" s="787" t="s">
        <v>12899</v>
      </c>
      <c r="D7208" s="787">
        <v>0</v>
      </c>
      <c r="E7208" s="787">
        <v>0</v>
      </c>
      <c r="H7208" s="787">
        <v>1</v>
      </c>
      <c r="L7208" s="787">
        <v>55</v>
      </c>
      <c r="M7208" s="787">
        <v>10</v>
      </c>
      <c r="N7208" s="787">
        <v>55.45</v>
      </c>
      <c r="O7208" s="788">
        <v>41894</v>
      </c>
    </row>
    <row r="7209" spans="1:15" x14ac:dyDescent="0.25">
      <c r="A7209" s="786" t="s">
        <v>12900</v>
      </c>
      <c r="B7209" s="787">
        <v>4</v>
      </c>
      <c r="C7209" s="787" t="s">
        <v>12901</v>
      </c>
      <c r="D7209" s="787">
        <v>0</v>
      </c>
      <c r="E7209" s="787">
        <v>0</v>
      </c>
      <c r="H7209" s="787">
        <v>1</v>
      </c>
      <c r="K7209" s="788">
        <v>41894</v>
      </c>
      <c r="L7209" s="787">
        <v>16</v>
      </c>
      <c r="M7209" s="787">
        <v>10</v>
      </c>
      <c r="N7209" s="787">
        <v>16.62</v>
      </c>
      <c r="O7209" s="788">
        <v>41894</v>
      </c>
    </row>
    <row r="7210" spans="1:15" x14ac:dyDescent="0.25">
      <c r="A7210" s="786" t="s">
        <v>12902</v>
      </c>
      <c r="B7210" s="787">
        <v>4</v>
      </c>
      <c r="C7210" s="787" t="s">
        <v>12901</v>
      </c>
      <c r="D7210" s="787">
        <v>4.09</v>
      </c>
      <c r="E7210" s="787">
        <v>4.09</v>
      </c>
      <c r="F7210" s="788">
        <v>41956</v>
      </c>
      <c r="G7210" s="788">
        <v>41956</v>
      </c>
      <c r="H7210" s="787">
        <v>1</v>
      </c>
      <c r="I7210" s="788">
        <v>41929</v>
      </c>
      <c r="J7210" s="788">
        <v>41920</v>
      </c>
      <c r="L7210" s="787">
        <v>16</v>
      </c>
      <c r="M7210" s="787">
        <v>10</v>
      </c>
      <c r="N7210" s="787">
        <v>16.62</v>
      </c>
      <c r="O7210" s="788">
        <v>42023</v>
      </c>
    </row>
    <row r="7211" spans="1:15" x14ac:dyDescent="0.25">
      <c r="A7211" s="786" t="s">
        <v>12903</v>
      </c>
      <c r="B7211" s="787">
        <v>4</v>
      </c>
      <c r="C7211" s="787" t="s">
        <v>12901</v>
      </c>
      <c r="D7211" s="787">
        <v>0</v>
      </c>
      <c r="E7211" s="787">
        <v>0</v>
      </c>
      <c r="H7211" s="787">
        <v>1</v>
      </c>
      <c r="L7211" s="787">
        <v>16</v>
      </c>
      <c r="M7211" s="787">
        <v>10</v>
      </c>
      <c r="N7211" s="787">
        <v>16.62</v>
      </c>
      <c r="O7211" s="788">
        <v>41894</v>
      </c>
    </row>
    <row r="7212" spans="1:15" x14ac:dyDescent="0.25">
      <c r="A7212" s="786" t="s">
        <v>12904</v>
      </c>
      <c r="B7212" s="787">
        <v>4</v>
      </c>
      <c r="C7212" s="787" t="s">
        <v>12905</v>
      </c>
      <c r="D7212" s="787">
        <v>0</v>
      </c>
      <c r="E7212" s="787">
        <v>0</v>
      </c>
      <c r="H7212" s="787">
        <v>1</v>
      </c>
      <c r="K7212" s="788">
        <v>41894</v>
      </c>
      <c r="L7212" s="787">
        <v>16</v>
      </c>
      <c r="M7212" s="787">
        <v>10</v>
      </c>
      <c r="N7212" s="787">
        <v>16.62</v>
      </c>
      <c r="O7212" s="788">
        <v>41894</v>
      </c>
    </row>
    <row r="7213" spans="1:15" x14ac:dyDescent="0.25">
      <c r="A7213" s="786" t="s">
        <v>12906</v>
      </c>
      <c r="B7213" s="787">
        <v>4</v>
      </c>
      <c r="C7213" s="787" t="s">
        <v>12905</v>
      </c>
      <c r="D7213" s="787">
        <v>0</v>
      </c>
      <c r="E7213" s="787">
        <v>0</v>
      </c>
      <c r="H7213" s="787">
        <v>1</v>
      </c>
      <c r="L7213" s="787">
        <v>16</v>
      </c>
      <c r="M7213" s="787">
        <v>10</v>
      </c>
      <c r="N7213" s="787">
        <v>16.62</v>
      </c>
      <c r="O7213" s="788">
        <v>41894</v>
      </c>
    </row>
    <row r="7214" spans="1:15" x14ac:dyDescent="0.25">
      <c r="A7214" s="786" t="s">
        <v>12907</v>
      </c>
      <c r="B7214" s="787">
        <v>4</v>
      </c>
      <c r="C7214" s="787" t="s">
        <v>12908</v>
      </c>
      <c r="D7214" s="787">
        <v>2.74</v>
      </c>
      <c r="E7214" s="787">
        <v>52.74</v>
      </c>
      <c r="F7214" s="788">
        <v>41956</v>
      </c>
      <c r="G7214" s="788">
        <v>41956</v>
      </c>
      <c r="H7214" s="787">
        <v>1</v>
      </c>
      <c r="I7214" s="788">
        <v>41929</v>
      </c>
      <c r="J7214" s="788">
        <v>41920</v>
      </c>
      <c r="L7214" s="787">
        <v>16</v>
      </c>
      <c r="M7214" s="787">
        <v>10</v>
      </c>
      <c r="N7214" s="787">
        <v>63.97</v>
      </c>
      <c r="O7214" s="788">
        <v>42023</v>
      </c>
    </row>
    <row r="7215" spans="1:15" x14ac:dyDescent="0.25">
      <c r="A7215" s="786" t="s">
        <v>12909</v>
      </c>
      <c r="B7215" s="787">
        <v>4</v>
      </c>
      <c r="C7215" s="787" t="s">
        <v>12905</v>
      </c>
      <c r="D7215" s="787">
        <v>0</v>
      </c>
      <c r="E7215" s="787">
        <v>0</v>
      </c>
      <c r="H7215" s="787">
        <v>1</v>
      </c>
      <c r="L7215" s="787">
        <v>16</v>
      </c>
      <c r="M7215" s="787">
        <v>10</v>
      </c>
      <c r="N7215" s="787">
        <v>16.62</v>
      </c>
      <c r="O7215" s="788">
        <v>41894</v>
      </c>
    </row>
    <row r="7216" spans="1:15" x14ac:dyDescent="0.25">
      <c r="A7216" s="786" t="s">
        <v>12910</v>
      </c>
      <c r="B7216" s="787">
        <v>4</v>
      </c>
      <c r="C7216" s="787" t="s">
        <v>12911</v>
      </c>
      <c r="D7216" s="787">
        <v>0.34</v>
      </c>
      <c r="E7216" s="787">
        <v>30.34</v>
      </c>
      <c r="F7216" s="788">
        <v>41956</v>
      </c>
      <c r="G7216" s="788">
        <v>41956</v>
      </c>
      <c r="H7216" s="787">
        <v>1</v>
      </c>
      <c r="I7216" s="788">
        <v>41929</v>
      </c>
      <c r="J7216" s="788">
        <v>41920</v>
      </c>
      <c r="K7216" s="788">
        <v>41897</v>
      </c>
      <c r="L7216" s="787">
        <v>4</v>
      </c>
      <c r="M7216" s="787">
        <v>10</v>
      </c>
      <c r="N7216" s="787">
        <v>3.37</v>
      </c>
      <c r="O7216" s="788">
        <v>42023</v>
      </c>
    </row>
    <row r="7217" spans="1:15" x14ac:dyDescent="0.25">
      <c r="A7217" s="786" t="s">
        <v>12912</v>
      </c>
      <c r="B7217" s="787">
        <v>4</v>
      </c>
      <c r="C7217" s="787" t="s">
        <v>12913</v>
      </c>
      <c r="D7217" s="787">
        <v>5.7</v>
      </c>
      <c r="E7217" s="787">
        <v>95.7</v>
      </c>
      <c r="F7217" s="788">
        <v>41914</v>
      </c>
      <c r="G7217" s="788">
        <v>41914</v>
      </c>
      <c r="H7217" s="787">
        <v>1</v>
      </c>
      <c r="I7217" s="788">
        <v>41935</v>
      </c>
      <c r="J7217" s="788">
        <v>41914</v>
      </c>
      <c r="K7217" s="788">
        <v>41898</v>
      </c>
      <c r="L7217" s="787">
        <v>95.7</v>
      </c>
      <c r="M7217" s="787">
        <v>20</v>
      </c>
      <c r="N7217" s="787">
        <v>102.88</v>
      </c>
      <c r="O7217" s="788">
        <v>42023</v>
      </c>
    </row>
    <row r="7218" spans="1:15" x14ac:dyDescent="0.25">
      <c r="A7218" s="786" t="s">
        <v>12914</v>
      </c>
      <c r="B7218" s="787">
        <v>4</v>
      </c>
      <c r="C7218" s="787" t="s">
        <v>12915</v>
      </c>
      <c r="D7218" s="787">
        <v>0</v>
      </c>
      <c r="E7218" s="787">
        <v>0</v>
      </c>
      <c r="H7218" s="787">
        <v>1</v>
      </c>
      <c r="L7218" s="787">
        <v>100</v>
      </c>
      <c r="M7218" s="787">
        <v>20</v>
      </c>
      <c r="N7218" s="787">
        <v>0</v>
      </c>
    </row>
    <row r="7219" spans="1:15" x14ac:dyDescent="0.25">
      <c r="A7219" s="786" t="s">
        <v>12916</v>
      </c>
      <c r="B7219" s="787">
        <v>4</v>
      </c>
      <c r="C7219" s="787" t="s">
        <v>12728</v>
      </c>
      <c r="D7219" s="787">
        <v>2.15</v>
      </c>
      <c r="E7219" s="787">
        <v>192.15</v>
      </c>
      <c r="F7219" s="788">
        <v>41911</v>
      </c>
      <c r="G7219" s="788">
        <v>41926</v>
      </c>
      <c r="H7219" s="787">
        <v>1</v>
      </c>
      <c r="I7219" s="788">
        <v>41911</v>
      </c>
      <c r="J7219" s="788">
        <v>41907</v>
      </c>
      <c r="K7219" s="788">
        <v>41905</v>
      </c>
      <c r="L7219" s="787">
        <v>175.2</v>
      </c>
      <c r="M7219" s="787">
        <v>20</v>
      </c>
      <c r="N7219" s="787">
        <v>0</v>
      </c>
    </row>
    <row r="7220" spans="1:15" x14ac:dyDescent="0.25">
      <c r="A7220" s="786" t="s">
        <v>12917</v>
      </c>
      <c r="B7220" s="787">
        <v>4</v>
      </c>
      <c r="C7220" s="787" t="s">
        <v>12737</v>
      </c>
      <c r="D7220" s="787">
        <v>8</v>
      </c>
      <c r="E7220" s="787">
        <v>198</v>
      </c>
      <c r="F7220" s="788">
        <v>41920</v>
      </c>
      <c r="G7220" s="788">
        <v>41911</v>
      </c>
      <c r="H7220" s="787">
        <v>1</v>
      </c>
      <c r="I7220" s="788">
        <v>41990</v>
      </c>
      <c r="J7220" s="788">
        <v>41911</v>
      </c>
      <c r="K7220" s="788">
        <v>41911</v>
      </c>
      <c r="L7220" s="787">
        <v>198</v>
      </c>
      <c r="M7220" s="787">
        <v>20</v>
      </c>
      <c r="N7220" s="787">
        <v>0</v>
      </c>
    </row>
    <row r="7221" spans="1:15" x14ac:dyDescent="0.25">
      <c r="A7221" s="786" t="s">
        <v>12918</v>
      </c>
      <c r="B7221" s="787">
        <v>4</v>
      </c>
      <c r="C7221" s="787" t="s">
        <v>12919</v>
      </c>
      <c r="D7221" s="787">
        <v>6</v>
      </c>
      <c r="E7221" s="787">
        <v>486</v>
      </c>
      <c r="F7221" s="788">
        <v>41903</v>
      </c>
      <c r="G7221" s="788">
        <v>41928</v>
      </c>
      <c r="H7221" s="787">
        <v>1</v>
      </c>
      <c r="I7221" s="788">
        <v>41990</v>
      </c>
      <c r="J7221" s="788">
        <v>41928</v>
      </c>
      <c r="K7221" s="788">
        <v>41911</v>
      </c>
      <c r="L7221" s="787">
        <v>486</v>
      </c>
      <c r="M7221" s="787">
        <v>20</v>
      </c>
      <c r="N7221" s="787">
        <v>0</v>
      </c>
    </row>
    <row r="7222" spans="1:15" x14ac:dyDescent="0.25">
      <c r="A7222" s="786" t="s">
        <v>12920</v>
      </c>
      <c r="B7222" s="787">
        <v>4</v>
      </c>
      <c r="C7222" s="787" t="s">
        <v>12921</v>
      </c>
      <c r="D7222" s="787">
        <v>3</v>
      </c>
      <c r="E7222" s="787">
        <v>543</v>
      </c>
      <c r="F7222" s="788">
        <v>41903</v>
      </c>
      <c r="G7222" s="788">
        <v>41928</v>
      </c>
      <c r="H7222" s="787">
        <v>1</v>
      </c>
      <c r="I7222" s="788">
        <v>41990</v>
      </c>
      <c r="J7222" s="788">
        <v>41928</v>
      </c>
      <c r="K7222" s="788">
        <v>41911</v>
      </c>
      <c r="L7222" s="787">
        <v>543</v>
      </c>
      <c r="M7222" s="787">
        <v>20</v>
      </c>
      <c r="N7222" s="787">
        <v>0</v>
      </c>
    </row>
    <row r="7223" spans="1:15" x14ac:dyDescent="0.25">
      <c r="A7223" s="786" t="s">
        <v>12922</v>
      </c>
      <c r="B7223" s="787">
        <v>4</v>
      </c>
      <c r="C7223" s="787" t="s">
        <v>12923</v>
      </c>
      <c r="D7223" s="787">
        <v>4.32</v>
      </c>
      <c r="E7223" s="787">
        <v>164.32</v>
      </c>
      <c r="F7223" s="788">
        <v>41977</v>
      </c>
      <c r="G7223" s="788">
        <v>42008</v>
      </c>
      <c r="H7223" s="787">
        <v>1</v>
      </c>
      <c r="I7223" s="788">
        <v>41990</v>
      </c>
      <c r="J7223" s="788">
        <v>41976</v>
      </c>
      <c r="K7223" s="788">
        <v>41964</v>
      </c>
      <c r="L7223" s="787">
        <v>146</v>
      </c>
      <c r="M7223" s="787">
        <v>20</v>
      </c>
      <c r="N7223" s="787">
        <v>0</v>
      </c>
    </row>
    <row r="7224" spans="1:15" x14ac:dyDescent="0.25">
      <c r="A7224" s="786" t="s">
        <v>12924</v>
      </c>
      <c r="B7224" s="787">
        <v>4</v>
      </c>
      <c r="C7224" s="787" t="s">
        <v>12925</v>
      </c>
      <c r="D7224" s="787">
        <v>1.38</v>
      </c>
      <c r="E7224" s="787">
        <v>21.38</v>
      </c>
      <c r="F7224" s="788">
        <v>41907</v>
      </c>
      <c r="G7224" s="788">
        <v>41906</v>
      </c>
      <c r="H7224" s="787">
        <v>1</v>
      </c>
      <c r="I7224" s="788">
        <v>41920</v>
      </c>
      <c r="J7224" s="788">
        <v>41906</v>
      </c>
      <c r="K7224" s="788">
        <v>41905</v>
      </c>
      <c r="L7224" s="787">
        <v>21.38</v>
      </c>
      <c r="M7224" s="787">
        <v>20</v>
      </c>
      <c r="N7224" s="787">
        <v>0</v>
      </c>
    </row>
    <row r="7225" spans="1:15" x14ac:dyDescent="0.25">
      <c r="A7225" s="786" t="s">
        <v>12926</v>
      </c>
      <c r="B7225" s="787">
        <v>4</v>
      </c>
      <c r="C7225" s="787" t="s">
        <v>12927</v>
      </c>
      <c r="D7225" s="787">
        <v>0</v>
      </c>
      <c r="E7225" s="787">
        <v>7.18</v>
      </c>
      <c r="G7225" s="788">
        <v>41911</v>
      </c>
      <c r="H7225" s="787">
        <v>1</v>
      </c>
      <c r="I7225" s="788">
        <v>41962</v>
      </c>
      <c r="J7225" s="788">
        <v>41961</v>
      </c>
      <c r="K7225" s="788">
        <v>41908</v>
      </c>
      <c r="L7225" s="787">
        <v>7.18</v>
      </c>
      <c r="M7225" s="787">
        <v>20</v>
      </c>
      <c r="N7225" s="787">
        <v>0</v>
      </c>
    </row>
    <row r="7226" spans="1:15" x14ac:dyDescent="0.25">
      <c r="A7226" s="786" t="s">
        <v>12928</v>
      </c>
      <c r="B7226" s="787">
        <v>4</v>
      </c>
      <c r="C7226" s="787" t="s">
        <v>12929</v>
      </c>
      <c r="D7226" s="787">
        <v>8.5500000000000007</v>
      </c>
      <c r="E7226" s="787">
        <v>48.55</v>
      </c>
      <c r="F7226" s="788">
        <v>41913</v>
      </c>
      <c r="G7226" s="788">
        <v>42013</v>
      </c>
      <c r="H7226" s="787">
        <v>1</v>
      </c>
      <c r="I7226" s="788">
        <v>42157</v>
      </c>
      <c r="J7226" s="788">
        <v>41914</v>
      </c>
      <c r="L7226" s="787">
        <v>47</v>
      </c>
      <c r="M7226" s="787">
        <v>20</v>
      </c>
      <c r="N7226" s="787">
        <v>0</v>
      </c>
    </row>
    <row r="7227" spans="1:15" x14ac:dyDescent="0.25">
      <c r="A7227" s="786" t="s">
        <v>12930</v>
      </c>
      <c r="B7227" s="787">
        <v>4</v>
      </c>
      <c r="C7227" s="787" t="s">
        <v>12931</v>
      </c>
      <c r="D7227" s="787">
        <v>6.27</v>
      </c>
      <c r="E7227" s="787">
        <v>6.27</v>
      </c>
      <c r="F7227" s="788">
        <v>41918</v>
      </c>
      <c r="G7227" s="788">
        <v>41907</v>
      </c>
      <c r="H7227" s="787">
        <v>1</v>
      </c>
      <c r="J7227" s="788">
        <v>41925</v>
      </c>
      <c r="L7227" s="787">
        <v>6.27</v>
      </c>
      <c r="M7227" s="787">
        <v>20</v>
      </c>
      <c r="N7227" s="787">
        <v>0</v>
      </c>
    </row>
    <row r="7228" spans="1:15" x14ac:dyDescent="0.25">
      <c r="A7228" s="786" t="s">
        <v>12932</v>
      </c>
      <c r="B7228" s="787">
        <v>4</v>
      </c>
      <c r="C7228" s="787" t="s">
        <v>12933</v>
      </c>
      <c r="D7228" s="787">
        <v>9.02</v>
      </c>
      <c r="E7228" s="787">
        <v>209.02</v>
      </c>
      <c r="F7228" s="788">
        <v>41928</v>
      </c>
      <c r="G7228" s="788">
        <v>41942</v>
      </c>
      <c r="H7228" s="787">
        <v>1</v>
      </c>
      <c r="I7228" s="788">
        <v>41929</v>
      </c>
      <c r="J7228" s="788">
        <v>41921</v>
      </c>
      <c r="K7228" s="788">
        <v>41918</v>
      </c>
      <c r="L7228" s="787">
        <v>202.27</v>
      </c>
      <c r="M7228" s="787">
        <v>20</v>
      </c>
      <c r="N7228" s="787">
        <v>0</v>
      </c>
    </row>
    <row r="7229" spans="1:15" x14ac:dyDescent="0.25">
      <c r="A7229" s="786" t="s">
        <v>12934</v>
      </c>
      <c r="B7229" s="787">
        <v>4</v>
      </c>
      <c r="C7229" s="787" t="s">
        <v>2635</v>
      </c>
      <c r="D7229" s="787">
        <v>2.99</v>
      </c>
      <c r="E7229" s="787">
        <v>2.99</v>
      </c>
      <c r="F7229" s="788">
        <v>41919</v>
      </c>
      <c r="G7229" s="788">
        <v>42013</v>
      </c>
      <c r="H7229" s="787">
        <v>1</v>
      </c>
      <c r="J7229" s="788">
        <v>41911</v>
      </c>
      <c r="K7229" s="788">
        <v>41907</v>
      </c>
      <c r="L7229" s="787">
        <v>1.88</v>
      </c>
      <c r="M7229" s="787">
        <v>20</v>
      </c>
      <c r="N7229" s="787">
        <v>0</v>
      </c>
    </row>
    <row r="7230" spans="1:15" x14ac:dyDescent="0.25">
      <c r="A7230" s="786" t="s">
        <v>12935</v>
      </c>
      <c r="B7230" s="787">
        <v>4</v>
      </c>
      <c r="C7230" s="787" t="s">
        <v>12936</v>
      </c>
      <c r="D7230" s="787">
        <v>0</v>
      </c>
      <c r="E7230" s="787">
        <v>0</v>
      </c>
      <c r="H7230" s="787">
        <v>1</v>
      </c>
      <c r="I7230" s="788">
        <v>42136</v>
      </c>
      <c r="L7230" s="787">
        <v>0.3</v>
      </c>
      <c r="M7230" s="787">
        <v>20</v>
      </c>
      <c r="N7230" s="787">
        <v>0.32</v>
      </c>
      <c r="O7230" s="788">
        <v>42027</v>
      </c>
    </row>
    <row r="7231" spans="1:15" x14ac:dyDescent="0.25">
      <c r="A7231" s="786" t="s">
        <v>12937</v>
      </c>
      <c r="B7231" s="787">
        <v>4</v>
      </c>
      <c r="C7231" s="787" t="s">
        <v>12938</v>
      </c>
      <c r="D7231" s="787">
        <v>0.79</v>
      </c>
      <c r="E7231" s="787">
        <v>0.79</v>
      </c>
      <c r="F7231" s="788">
        <v>41914</v>
      </c>
      <c r="G7231" s="788">
        <v>41926</v>
      </c>
      <c r="H7231" s="787">
        <v>1</v>
      </c>
      <c r="I7231" s="788">
        <v>41928</v>
      </c>
      <c r="J7231" s="788">
        <v>41914</v>
      </c>
      <c r="L7231" s="787">
        <v>1.2</v>
      </c>
      <c r="M7231" s="787">
        <v>20</v>
      </c>
      <c r="N7231" s="787">
        <v>0</v>
      </c>
    </row>
    <row r="7232" spans="1:15" x14ac:dyDescent="0.25">
      <c r="A7232" s="786" t="s">
        <v>12939</v>
      </c>
      <c r="B7232" s="787">
        <v>4</v>
      </c>
      <c r="C7232" s="787" t="s">
        <v>12940</v>
      </c>
      <c r="D7232" s="787">
        <v>8.23</v>
      </c>
      <c r="E7232" s="787">
        <v>178.23</v>
      </c>
      <c r="F7232" s="788">
        <v>41925</v>
      </c>
      <c r="G7232" s="788">
        <v>41926</v>
      </c>
      <c r="H7232" s="787">
        <v>1</v>
      </c>
      <c r="I7232" s="788">
        <v>41990</v>
      </c>
      <c r="J7232" s="788">
        <v>41922</v>
      </c>
      <c r="L7232" s="787">
        <v>173.5</v>
      </c>
      <c r="M7232" s="787">
        <v>20</v>
      </c>
      <c r="N7232" s="787">
        <v>0</v>
      </c>
    </row>
    <row r="7233" spans="1:15" x14ac:dyDescent="0.25">
      <c r="A7233" s="786" t="s">
        <v>12941</v>
      </c>
      <c r="B7233" s="787">
        <v>4</v>
      </c>
      <c r="C7233" s="787" t="s">
        <v>12942</v>
      </c>
      <c r="D7233" s="787">
        <v>5.9</v>
      </c>
      <c r="E7233" s="787">
        <v>15.9</v>
      </c>
      <c r="F7233" s="788">
        <v>41925</v>
      </c>
      <c r="G7233" s="788">
        <v>41926</v>
      </c>
      <c r="H7233" s="787">
        <v>1</v>
      </c>
      <c r="J7233" s="788">
        <v>41922</v>
      </c>
      <c r="L7233" s="787">
        <v>15.48</v>
      </c>
      <c r="M7233" s="787">
        <v>20</v>
      </c>
      <c r="N7233" s="787">
        <v>0</v>
      </c>
    </row>
    <row r="7234" spans="1:15" x14ac:dyDescent="0.25">
      <c r="A7234" s="786" t="s">
        <v>12943</v>
      </c>
      <c r="B7234" s="787">
        <v>4</v>
      </c>
      <c r="C7234" s="787" t="s">
        <v>12944</v>
      </c>
      <c r="D7234" s="787">
        <v>3.61</v>
      </c>
      <c r="E7234" s="787">
        <v>13.61</v>
      </c>
      <c r="F7234" s="788">
        <v>41925</v>
      </c>
      <c r="G7234" s="788">
        <v>41926</v>
      </c>
      <c r="H7234" s="787">
        <v>1</v>
      </c>
      <c r="J7234" s="788">
        <v>41922</v>
      </c>
      <c r="L7234" s="787">
        <v>13.25</v>
      </c>
      <c r="M7234" s="787">
        <v>20</v>
      </c>
      <c r="N7234" s="787">
        <v>0</v>
      </c>
    </row>
    <row r="7235" spans="1:15" x14ac:dyDescent="0.25">
      <c r="A7235" s="786" t="s">
        <v>12945</v>
      </c>
      <c r="B7235" s="787">
        <v>4</v>
      </c>
      <c r="C7235" s="787" t="s">
        <v>12946</v>
      </c>
      <c r="D7235" s="787">
        <v>0.18</v>
      </c>
      <c r="E7235" s="787">
        <v>0.18</v>
      </c>
      <c r="F7235" s="788">
        <v>42109</v>
      </c>
      <c r="G7235" s="788">
        <v>42142</v>
      </c>
      <c r="H7235" s="787">
        <v>1</v>
      </c>
      <c r="I7235" s="788">
        <v>42165</v>
      </c>
      <c r="J7235" s="788">
        <v>42163</v>
      </c>
      <c r="K7235" s="788">
        <v>42108</v>
      </c>
      <c r="L7235" s="787">
        <v>0.05</v>
      </c>
      <c r="M7235" s="787">
        <v>10</v>
      </c>
      <c r="N7235" s="787">
        <v>0.14000000000000001</v>
      </c>
      <c r="O7235" s="788">
        <v>42156</v>
      </c>
    </row>
    <row r="7236" spans="1:15" x14ac:dyDescent="0.25">
      <c r="A7236" s="786" t="s">
        <v>12947</v>
      </c>
      <c r="B7236" s="787">
        <v>4</v>
      </c>
      <c r="C7236" s="787" t="s">
        <v>12948</v>
      </c>
      <c r="D7236" s="787">
        <v>0.26</v>
      </c>
      <c r="E7236" s="787">
        <v>0.26</v>
      </c>
      <c r="F7236" s="788">
        <v>42109</v>
      </c>
      <c r="G7236" s="788">
        <v>42136</v>
      </c>
      <c r="H7236" s="787">
        <v>1</v>
      </c>
      <c r="J7236" s="788">
        <v>42160</v>
      </c>
      <c r="L7236" s="787">
        <v>0.01</v>
      </c>
      <c r="M7236" s="787">
        <v>10</v>
      </c>
      <c r="N7236" s="787">
        <v>0</v>
      </c>
    </row>
    <row r="7237" spans="1:15" x14ac:dyDescent="0.25">
      <c r="A7237" s="786" t="s">
        <v>12949</v>
      </c>
      <c r="B7237" s="787">
        <v>4</v>
      </c>
      <c r="C7237" s="787" t="s">
        <v>12950</v>
      </c>
      <c r="D7237" s="787">
        <v>4.72</v>
      </c>
      <c r="E7237" s="787">
        <v>4.72</v>
      </c>
      <c r="F7237" s="788">
        <v>41929</v>
      </c>
      <c r="G7237" s="788">
        <v>41962</v>
      </c>
      <c r="H7237" s="787">
        <v>1</v>
      </c>
      <c r="I7237" s="788">
        <v>41921</v>
      </c>
      <c r="J7237" s="788">
        <v>41921</v>
      </c>
      <c r="K7237" s="788">
        <v>41914</v>
      </c>
      <c r="L7237" s="787">
        <v>3.89</v>
      </c>
      <c r="M7237" s="787">
        <v>20</v>
      </c>
      <c r="N7237" s="787">
        <v>0</v>
      </c>
    </row>
    <row r="7238" spans="1:15" x14ac:dyDescent="0.25">
      <c r="A7238" s="786" t="s">
        <v>12951</v>
      </c>
      <c r="B7238" s="787">
        <v>4</v>
      </c>
      <c r="C7238" s="787" t="s">
        <v>12952</v>
      </c>
      <c r="D7238" s="787">
        <v>6.05</v>
      </c>
      <c r="E7238" s="787">
        <v>16.05</v>
      </c>
      <c r="F7238" s="788">
        <v>41990</v>
      </c>
      <c r="G7238" s="788">
        <v>41988</v>
      </c>
      <c r="H7238" s="787">
        <v>1</v>
      </c>
      <c r="J7238" s="788">
        <v>42130</v>
      </c>
      <c r="L7238" s="787">
        <v>16.05</v>
      </c>
      <c r="M7238" s="787">
        <v>20</v>
      </c>
      <c r="N7238" s="787">
        <v>0</v>
      </c>
    </row>
    <row r="7239" spans="1:15" x14ac:dyDescent="0.25">
      <c r="A7239" s="786" t="s">
        <v>12953</v>
      </c>
      <c r="B7239" s="787">
        <v>4</v>
      </c>
      <c r="C7239" s="787" t="s">
        <v>12954</v>
      </c>
      <c r="D7239" s="787">
        <v>0</v>
      </c>
      <c r="E7239" s="787">
        <v>0</v>
      </c>
      <c r="H7239" s="787">
        <v>1</v>
      </c>
      <c r="I7239" s="788">
        <v>42150</v>
      </c>
      <c r="J7239" s="788">
        <v>42156</v>
      </c>
      <c r="L7239" s="787">
        <v>2</v>
      </c>
      <c r="M7239" s="787">
        <v>20</v>
      </c>
      <c r="N7239" s="787">
        <v>2.15</v>
      </c>
      <c r="O7239" s="788">
        <v>41990</v>
      </c>
    </row>
    <row r="7240" spans="1:15" x14ac:dyDescent="0.25">
      <c r="A7240" s="786" t="s">
        <v>12955</v>
      </c>
      <c r="B7240" s="787">
        <v>4</v>
      </c>
      <c r="C7240" s="787" t="s">
        <v>12956</v>
      </c>
      <c r="D7240" s="787">
        <v>0</v>
      </c>
      <c r="E7240" s="787">
        <v>0</v>
      </c>
      <c r="H7240" s="787">
        <v>1</v>
      </c>
      <c r="I7240" s="788">
        <v>42150</v>
      </c>
      <c r="J7240" s="788">
        <v>42156</v>
      </c>
      <c r="L7240" s="787">
        <v>2</v>
      </c>
      <c r="M7240" s="787">
        <v>20</v>
      </c>
      <c r="N7240" s="787">
        <v>2.15</v>
      </c>
      <c r="O7240" s="788">
        <v>41990</v>
      </c>
    </row>
    <row r="7241" spans="1:15" x14ac:dyDescent="0.25">
      <c r="A7241" s="786" t="s">
        <v>12957</v>
      </c>
      <c r="B7241" s="787">
        <v>4</v>
      </c>
      <c r="C7241" s="787" t="s">
        <v>12958</v>
      </c>
      <c r="D7241" s="787">
        <v>0.08</v>
      </c>
      <c r="E7241" s="787">
        <v>0.08</v>
      </c>
      <c r="F7241" s="788">
        <v>42045</v>
      </c>
      <c r="G7241" s="788">
        <v>42050</v>
      </c>
      <c r="H7241" s="787">
        <v>1</v>
      </c>
      <c r="I7241" s="788">
        <v>42129</v>
      </c>
      <c r="J7241" s="788">
        <v>42041</v>
      </c>
      <c r="K7241" s="788">
        <v>42016</v>
      </c>
      <c r="L7241" s="787">
        <v>0.3</v>
      </c>
      <c r="M7241" s="787">
        <v>20</v>
      </c>
      <c r="N7241" s="787">
        <v>0.32</v>
      </c>
      <c r="O7241" s="788">
        <v>42017</v>
      </c>
    </row>
    <row r="7242" spans="1:15" x14ac:dyDescent="0.25">
      <c r="A7242" s="786" t="s">
        <v>12959</v>
      </c>
      <c r="B7242" s="787">
        <v>4</v>
      </c>
      <c r="C7242" s="787" t="s">
        <v>12960</v>
      </c>
      <c r="D7242" s="787">
        <v>9.93</v>
      </c>
      <c r="E7242" s="787">
        <v>139.93</v>
      </c>
      <c r="F7242" s="788">
        <v>41968</v>
      </c>
      <c r="G7242" s="788">
        <v>42008</v>
      </c>
      <c r="H7242" s="787">
        <v>1</v>
      </c>
      <c r="I7242" s="788">
        <v>41968</v>
      </c>
      <c r="J7242" s="788">
        <v>41967</v>
      </c>
      <c r="L7242" s="787">
        <v>136.05000000000001</v>
      </c>
      <c r="M7242" s="787">
        <v>20</v>
      </c>
      <c r="N7242" s="787">
        <v>0</v>
      </c>
    </row>
    <row r="7243" spans="1:15" x14ac:dyDescent="0.25">
      <c r="A7243" s="786" t="s">
        <v>12961</v>
      </c>
      <c r="B7243" s="787">
        <v>4</v>
      </c>
      <c r="C7243" s="787" t="s">
        <v>931</v>
      </c>
      <c r="D7243" s="787">
        <v>0.06</v>
      </c>
      <c r="E7243" s="787">
        <v>0.06</v>
      </c>
      <c r="F7243" s="788">
        <v>41928</v>
      </c>
      <c r="G7243" s="788">
        <v>41929</v>
      </c>
      <c r="H7243" s="787">
        <v>1</v>
      </c>
      <c r="I7243" s="788">
        <v>41977</v>
      </c>
      <c r="J7243" s="788">
        <v>41929</v>
      </c>
      <c r="K7243" s="788">
        <v>41921</v>
      </c>
      <c r="L7243" s="787">
        <v>0.06</v>
      </c>
      <c r="M7243" s="787">
        <v>20</v>
      </c>
      <c r="N7243" s="787">
        <v>0</v>
      </c>
    </row>
    <row r="7244" spans="1:15" x14ac:dyDescent="0.25">
      <c r="A7244" s="786" t="s">
        <v>12962</v>
      </c>
      <c r="B7244" s="787">
        <v>4</v>
      </c>
      <c r="C7244" s="787" t="s">
        <v>12561</v>
      </c>
      <c r="D7244" s="787">
        <v>2.15</v>
      </c>
      <c r="E7244" s="787">
        <v>2.15</v>
      </c>
      <c r="F7244" s="788">
        <v>41928</v>
      </c>
      <c r="G7244" s="788">
        <v>41929</v>
      </c>
      <c r="H7244" s="787">
        <v>1</v>
      </c>
      <c r="I7244" s="788">
        <v>41957</v>
      </c>
      <c r="J7244" s="788">
        <v>41929</v>
      </c>
      <c r="K7244" s="788">
        <v>41921</v>
      </c>
      <c r="L7244" s="787">
        <v>2.15</v>
      </c>
      <c r="M7244" s="787">
        <v>20</v>
      </c>
      <c r="N7244" s="787">
        <v>0</v>
      </c>
    </row>
    <row r="7245" spans="1:15" x14ac:dyDescent="0.25">
      <c r="A7245" s="786" t="s">
        <v>12963</v>
      </c>
      <c r="B7245" s="787">
        <v>4</v>
      </c>
      <c r="C7245" s="787" t="s">
        <v>12964</v>
      </c>
      <c r="D7245" s="787">
        <v>0.42</v>
      </c>
      <c r="E7245" s="787">
        <v>120.42</v>
      </c>
      <c r="F7245" s="788">
        <v>41948</v>
      </c>
      <c r="G7245" s="788">
        <v>41991</v>
      </c>
      <c r="H7245" s="787">
        <v>1</v>
      </c>
      <c r="J7245" s="788">
        <v>41947</v>
      </c>
      <c r="L7245" s="787">
        <v>112.95</v>
      </c>
      <c r="M7245" s="787">
        <v>20</v>
      </c>
      <c r="N7245" s="787">
        <v>0</v>
      </c>
    </row>
    <row r="7246" spans="1:15" x14ac:dyDescent="0.25">
      <c r="A7246" s="786" t="s">
        <v>12965</v>
      </c>
      <c r="B7246" s="787">
        <v>4</v>
      </c>
      <c r="C7246" s="787" t="s">
        <v>12966</v>
      </c>
      <c r="D7246" s="787">
        <v>9.6999999999999993</v>
      </c>
      <c r="E7246" s="787">
        <v>149.69999999999999</v>
      </c>
      <c r="F7246" s="788">
        <v>41948</v>
      </c>
      <c r="G7246" s="788">
        <v>41991</v>
      </c>
      <c r="H7246" s="787">
        <v>1</v>
      </c>
      <c r="J7246" s="788">
        <v>41947</v>
      </c>
      <c r="L7246" s="787">
        <v>142.41999999999999</v>
      </c>
      <c r="M7246" s="787">
        <v>20</v>
      </c>
      <c r="N7246" s="787">
        <v>0</v>
      </c>
    </row>
    <row r="7247" spans="1:15" x14ac:dyDescent="0.25">
      <c r="A7247" s="786" t="s">
        <v>12967</v>
      </c>
      <c r="B7247" s="787">
        <v>4</v>
      </c>
      <c r="C7247" s="787" t="s">
        <v>12968</v>
      </c>
      <c r="D7247" s="787">
        <v>4.9000000000000004</v>
      </c>
      <c r="E7247" s="787">
        <v>124.9</v>
      </c>
      <c r="F7247" s="788">
        <v>42023</v>
      </c>
      <c r="G7247" s="788">
        <v>42030</v>
      </c>
      <c r="H7247" s="787">
        <v>1</v>
      </c>
      <c r="I7247" s="788">
        <v>42023</v>
      </c>
      <c r="J7247" s="788">
        <v>42023</v>
      </c>
      <c r="K7247" s="788">
        <v>41981</v>
      </c>
      <c r="L7247" s="787">
        <v>113.7</v>
      </c>
      <c r="M7247" s="787">
        <v>20</v>
      </c>
      <c r="N7247" s="787">
        <v>122.23</v>
      </c>
      <c r="O7247" s="788">
        <v>41981</v>
      </c>
    </row>
    <row r="7248" spans="1:15" x14ac:dyDescent="0.25">
      <c r="A7248" s="786" t="s">
        <v>12969</v>
      </c>
      <c r="B7248" s="787">
        <v>4</v>
      </c>
      <c r="C7248" s="787" t="s">
        <v>12970</v>
      </c>
      <c r="D7248" s="787">
        <v>1.1000000000000001</v>
      </c>
      <c r="E7248" s="787">
        <v>461.1</v>
      </c>
      <c r="F7248" s="788">
        <v>41941</v>
      </c>
      <c r="G7248" s="788">
        <v>41946</v>
      </c>
      <c r="H7248" s="787">
        <v>1</v>
      </c>
      <c r="I7248" s="788">
        <v>41967</v>
      </c>
      <c r="J7248" s="788">
        <v>41939</v>
      </c>
      <c r="L7248" s="787">
        <v>432</v>
      </c>
      <c r="M7248" s="787">
        <v>20</v>
      </c>
      <c r="N7248" s="787">
        <v>0</v>
      </c>
    </row>
    <row r="7249" spans="1:14" x14ac:dyDescent="0.25">
      <c r="A7249" s="786" t="s">
        <v>12971</v>
      </c>
      <c r="B7249" s="787">
        <v>4</v>
      </c>
      <c r="C7249" s="787" t="s">
        <v>9662</v>
      </c>
      <c r="D7249" s="787">
        <v>8.67</v>
      </c>
      <c r="E7249" s="787">
        <v>8.67</v>
      </c>
      <c r="F7249" s="788">
        <v>42037</v>
      </c>
      <c r="G7249" s="788">
        <v>42046</v>
      </c>
      <c r="H7249" s="787">
        <v>1</v>
      </c>
      <c r="I7249" s="788">
        <v>42095</v>
      </c>
      <c r="J7249" s="788">
        <v>42034</v>
      </c>
      <c r="K7249" s="788">
        <v>41925</v>
      </c>
      <c r="L7249" s="787">
        <v>17.2</v>
      </c>
      <c r="M7249" s="787">
        <v>20</v>
      </c>
      <c r="N7249" s="787">
        <v>0</v>
      </c>
    </row>
    <row r="7250" spans="1:14" x14ac:dyDescent="0.25">
      <c r="A7250" s="786" t="s">
        <v>12972</v>
      </c>
      <c r="B7250" s="787">
        <v>4</v>
      </c>
      <c r="C7250" s="787" t="s">
        <v>1188</v>
      </c>
      <c r="D7250" s="787">
        <v>0</v>
      </c>
      <c r="E7250" s="787">
        <v>0</v>
      </c>
      <c r="H7250" s="787">
        <v>1</v>
      </c>
      <c r="I7250" s="788">
        <v>41971</v>
      </c>
      <c r="L7250" s="787">
        <v>0.04</v>
      </c>
      <c r="M7250" s="787">
        <v>20</v>
      </c>
      <c r="N7250" s="787">
        <v>0</v>
      </c>
    </row>
    <row r="7251" spans="1:14" x14ac:dyDescent="0.25">
      <c r="A7251" s="786" t="s">
        <v>12973</v>
      </c>
      <c r="B7251" s="787">
        <v>4</v>
      </c>
      <c r="C7251" s="787" t="s">
        <v>1188</v>
      </c>
      <c r="D7251" s="787">
        <v>0</v>
      </c>
      <c r="E7251" s="787">
        <v>0</v>
      </c>
      <c r="H7251" s="787">
        <v>1</v>
      </c>
      <c r="L7251" s="787">
        <v>7.0000000000000007E-2</v>
      </c>
      <c r="M7251" s="787">
        <v>20</v>
      </c>
      <c r="N7251" s="787">
        <v>0</v>
      </c>
    </row>
    <row r="7252" spans="1:14" x14ac:dyDescent="0.25">
      <c r="A7252" s="786" t="s">
        <v>12974</v>
      </c>
      <c r="B7252" s="787">
        <v>4</v>
      </c>
      <c r="C7252" s="787" t="s">
        <v>1188</v>
      </c>
      <c r="D7252" s="787">
        <v>0</v>
      </c>
      <c r="E7252" s="787">
        <v>0</v>
      </c>
      <c r="H7252" s="787">
        <v>1</v>
      </c>
      <c r="L7252" s="787">
        <v>0.08</v>
      </c>
      <c r="M7252" s="787">
        <v>20</v>
      </c>
      <c r="N7252" s="787">
        <v>0</v>
      </c>
    </row>
    <row r="7253" spans="1:14" x14ac:dyDescent="0.25">
      <c r="A7253" s="786" t="s">
        <v>12975</v>
      </c>
      <c r="B7253" s="787">
        <v>4</v>
      </c>
      <c r="C7253" s="787" t="s">
        <v>1188</v>
      </c>
      <c r="D7253" s="787">
        <v>0</v>
      </c>
      <c r="E7253" s="787">
        <v>0</v>
      </c>
      <c r="H7253" s="787">
        <v>1</v>
      </c>
      <c r="L7253" s="787">
        <v>0.08</v>
      </c>
      <c r="M7253" s="787">
        <v>20</v>
      </c>
      <c r="N7253" s="787">
        <v>0</v>
      </c>
    </row>
    <row r="7254" spans="1:14" x14ac:dyDescent="0.25">
      <c r="A7254" s="786" t="s">
        <v>12976</v>
      </c>
      <c r="B7254" s="787">
        <v>4</v>
      </c>
      <c r="C7254" s="787" t="s">
        <v>12977</v>
      </c>
      <c r="D7254" s="787">
        <v>0</v>
      </c>
      <c r="E7254" s="787">
        <v>10</v>
      </c>
      <c r="F7254" s="788">
        <v>41928</v>
      </c>
      <c r="G7254" s="788">
        <v>41929</v>
      </c>
      <c r="H7254" s="787">
        <v>1</v>
      </c>
      <c r="J7254" s="788">
        <v>41929</v>
      </c>
      <c r="L7254" s="787">
        <v>10</v>
      </c>
      <c r="M7254" s="787">
        <v>20</v>
      </c>
      <c r="N7254" s="787">
        <v>0</v>
      </c>
    </row>
    <row r="7255" spans="1:14" x14ac:dyDescent="0.25">
      <c r="A7255" s="786" t="s">
        <v>12978</v>
      </c>
      <c r="B7255" s="787">
        <v>4</v>
      </c>
      <c r="C7255" s="787" t="s">
        <v>12846</v>
      </c>
      <c r="D7255" s="787">
        <v>7</v>
      </c>
      <c r="E7255" s="787">
        <v>177</v>
      </c>
      <c r="F7255" s="788">
        <v>41946</v>
      </c>
      <c r="G7255" s="788">
        <v>41943</v>
      </c>
      <c r="H7255" s="787">
        <v>1</v>
      </c>
      <c r="I7255" s="788">
        <v>42025</v>
      </c>
      <c r="J7255" s="788">
        <v>41943</v>
      </c>
      <c r="K7255" s="788">
        <v>41934</v>
      </c>
      <c r="L7255" s="787">
        <v>177</v>
      </c>
      <c r="M7255" s="787">
        <v>20</v>
      </c>
      <c r="N7255" s="787">
        <v>0</v>
      </c>
    </row>
    <row r="7256" spans="1:14" x14ac:dyDescent="0.25">
      <c r="A7256" s="786" t="s">
        <v>12979</v>
      </c>
      <c r="B7256" s="787">
        <v>4</v>
      </c>
      <c r="C7256" s="787" t="s">
        <v>12980</v>
      </c>
      <c r="D7256" s="787">
        <v>4</v>
      </c>
      <c r="E7256" s="787">
        <v>214</v>
      </c>
      <c r="F7256" s="788">
        <v>41953</v>
      </c>
      <c r="G7256" s="788">
        <v>41941</v>
      </c>
      <c r="H7256" s="787">
        <v>1</v>
      </c>
      <c r="I7256" s="788">
        <v>42025</v>
      </c>
      <c r="J7256" s="788">
        <v>42023</v>
      </c>
      <c r="K7256" s="788">
        <v>41933</v>
      </c>
      <c r="L7256" s="787">
        <v>214</v>
      </c>
      <c r="M7256" s="787">
        <v>20</v>
      </c>
      <c r="N7256" s="787">
        <v>0</v>
      </c>
    </row>
    <row r="7257" spans="1:14" x14ac:dyDescent="0.25">
      <c r="A7257" s="786" t="s">
        <v>12981</v>
      </c>
      <c r="B7257" s="787">
        <v>4</v>
      </c>
      <c r="C7257" s="787" t="s">
        <v>12982</v>
      </c>
      <c r="D7257" s="787">
        <v>1.51</v>
      </c>
      <c r="E7257" s="787">
        <v>41.51</v>
      </c>
      <c r="F7257" s="788">
        <v>41941</v>
      </c>
      <c r="G7257" s="788">
        <v>41946</v>
      </c>
      <c r="H7257" s="787">
        <v>1</v>
      </c>
      <c r="I7257" s="788">
        <v>42018</v>
      </c>
      <c r="J7257" s="788">
        <v>42018</v>
      </c>
      <c r="L7257" s="787">
        <v>38.9</v>
      </c>
      <c r="M7257" s="787">
        <v>20</v>
      </c>
      <c r="N7257" s="787">
        <v>0</v>
      </c>
    </row>
    <row r="7258" spans="1:14" x14ac:dyDescent="0.25">
      <c r="A7258" s="786" t="s">
        <v>12983</v>
      </c>
      <c r="B7258" s="787">
        <v>4</v>
      </c>
      <c r="C7258" s="787" t="s">
        <v>12984</v>
      </c>
      <c r="D7258" s="787">
        <v>7.94</v>
      </c>
      <c r="E7258" s="787">
        <v>57.94</v>
      </c>
      <c r="F7258" s="788">
        <v>41941</v>
      </c>
      <c r="G7258" s="788">
        <v>41946</v>
      </c>
      <c r="H7258" s="787">
        <v>1</v>
      </c>
      <c r="J7258" s="788">
        <v>41941</v>
      </c>
      <c r="L7258" s="787">
        <v>54.3</v>
      </c>
      <c r="M7258" s="787">
        <v>20</v>
      </c>
      <c r="N7258" s="787">
        <v>0</v>
      </c>
    </row>
    <row r="7259" spans="1:14" x14ac:dyDescent="0.25">
      <c r="A7259" s="786" t="s">
        <v>12985</v>
      </c>
      <c r="B7259" s="787">
        <v>4</v>
      </c>
      <c r="C7259" s="787" t="s">
        <v>9675</v>
      </c>
      <c r="D7259" s="787">
        <v>2.73</v>
      </c>
      <c r="E7259" s="787">
        <v>12.73</v>
      </c>
      <c r="F7259" s="788">
        <v>41936</v>
      </c>
      <c r="G7259" s="788">
        <v>42013</v>
      </c>
      <c r="H7259" s="787">
        <v>1</v>
      </c>
      <c r="I7259" s="788">
        <v>41948</v>
      </c>
      <c r="J7259" s="788">
        <v>41934</v>
      </c>
      <c r="K7259" s="788">
        <v>41929</v>
      </c>
      <c r="L7259" s="787">
        <v>12.43</v>
      </c>
      <c r="M7259" s="787">
        <v>20</v>
      </c>
      <c r="N7259" s="787">
        <v>0</v>
      </c>
    </row>
    <row r="7260" spans="1:14" x14ac:dyDescent="0.25">
      <c r="A7260" s="786" t="s">
        <v>12986</v>
      </c>
      <c r="B7260" s="787">
        <v>4</v>
      </c>
      <c r="C7260" s="787" t="s">
        <v>12987</v>
      </c>
      <c r="D7260" s="787">
        <v>0</v>
      </c>
      <c r="E7260" s="787">
        <v>0</v>
      </c>
      <c r="H7260" s="787">
        <v>1</v>
      </c>
      <c r="L7260" s="787">
        <v>7.0000000000000007E-2</v>
      </c>
      <c r="M7260" s="787">
        <v>20</v>
      </c>
      <c r="N7260" s="787">
        <v>0</v>
      </c>
    </row>
    <row r="7261" spans="1:14" x14ac:dyDescent="0.25">
      <c r="A7261" s="786" t="s">
        <v>12988</v>
      </c>
      <c r="B7261" s="787">
        <v>4</v>
      </c>
      <c r="C7261" s="787" t="s">
        <v>12989</v>
      </c>
      <c r="D7261" s="787">
        <v>0</v>
      </c>
      <c r="E7261" s="787">
        <v>0</v>
      </c>
      <c r="H7261" s="787">
        <v>1</v>
      </c>
      <c r="L7261" s="787">
        <v>7.0000000000000007E-2</v>
      </c>
      <c r="M7261" s="787">
        <v>20</v>
      </c>
      <c r="N7261" s="787">
        <v>0</v>
      </c>
    </row>
    <row r="7262" spans="1:14" x14ac:dyDescent="0.25">
      <c r="A7262" s="786" t="s">
        <v>12990</v>
      </c>
      <c r="B7262" s="787">
        <v>4</v>
      </c>
      <c r="C7262" s="787" t="s">
        <v>1195</v>
      </c>
      <c r="D7262" s="787">
        <v>0</v>
      </c>
      <c r="E7262" s="787">
        <v>0</v>
      </c>
      <c r="H7262" s="787">
        <v>1</v>
      </c>
      <c r="L7262" s="787">
        <v>0.16</v>
      </c>
      <c r="M7262" s="787">
        <v>20</v>
      </c>
      <c r="N7262" s="787">
        <v>0</v>
      </c>
    </row>
    <row r="7263" spans="1:14" x14ac:dyDescent="0.25">
      <c r="A7263" s="786" t="s">
        <v>12991</v>
      </c>
      <c r="B7263" s="787">
        <v>4</v>
      </c>
      <c r="C7263" s="787" t="s">
        <v>1195</v>
      </c>
      <c r="D7263" s="787">
        <v>0</v>
      </c>
      <c r="E7263" s="787">
        <v>0</v>
      </c>
      <c r="H7263" s="787">
        <v>1</v>
      </c>
      <c r="L7263" s="787">
        <v>0.16</v>
      </c>
      <c r="M7263" s="787">
        <v>20</v>
      </c>
      <c r="N7263" s="787">
        <v>0</v>
      </c>
    </row>
    <row r="7264" spans="1:14" x14ac:dyDescent="0.25">
      <c r="A7264" s="786" t="s">
        <v>12992</v>
      </c>
      <c r="B7264" s="787">
        <v>4</v>
      </c>
      <c r="C7264" s="787" t="s">
        <v>1195</v>
      </c>
      <c r="D7264" s="787">
        <v>0</v>
      </c>
      <c r="E7264" s="787">
        <v>0</v>
      </c>
      <c r="H7264" s="787">
        <v>1</v>
      </c>
      <c r="L7264" s="787">
        <v>0.18</v>
      </c>
      <c r="M7264" s="787">
        <v>20</v>
      </c>
      <c r="N7264" s="787">
        <v>0</v>
      </c>
    </row>
    <row r="7265" spans="1:15" x14ac:dyDescent="0.25">
      <c r="A7265" s="786" t="s">
        <v>12993</v>
      </c>
      <c r="B7265" s="787">
        <v>4</v>
      </c>
      <c r="C7265" s="787" t="s">
        <v>1195</v>
      </c>
      <c r="D7265" s="787">
        <v>0</v>
      </c>
      <c r="E7265" s="787">
        <v>0</v>
      </c>
      <c r="H7265" s="787">
        <v>1</v>
      </c>
      <c r="L7265" s="787">
        <v>0.26</v>
      </c>
      <c r="M7265" s="787">
        <v>20</v>
      </c>
      <c r="N7265" s="787">
        <v>0</v>
      </c>
    </row>
    <row r="7266" spans="1:15" x14ac:dyDescent="0.25">
      <c r="A7266" s="786" t="s">
        <v>12994</v>
      </c>
      <c r="B7266" s="787">
        <v>4</v>
      </c>
      <c r="C7266" s="787" t="s">
        <v>1195</v>
      </c>
      <c r="D7266" s="787">
        <v>0</v>
      </c>
      <c r="E7266" s="787">
        <v>0</v>
      </c>
      <c r="H7266" s="787">
        <v>1</v>
      </c>
      <c r="L7266" s="787">
        <v>0.28000000000000003</v>
      </c>
      <c r="M7266" s="787">
        <v>20</v>
      </c>
      <c r="N7266" s="787">
        <v>0</v>
      </c>
    </row>
    <row r="7267" spans="1:15" x14ac:dyDescent="0.25">
      <c r="A7267" s="786" t="s">
        <v>12995</v>
      </c>
      <c r="B7267" s="787">
        <v>4</v>
      </c>
      <c r="C7267" s="787" t="s">
        <v>1195</v>
      </c>
      <c r="D7267" s="787">
        <v>0</v>
      </c>
      <c r="E7267" s="787">
        <v>0</v>
      </c>
      <c r="H7267" s="787">
        <v>1</v>
      </c>
      <c r="L7267" s="787">
        <v>0.3</v>
      </c>
      <c r="M7267" s="787">
        <v>20</v>
      </c>
      <c r="N7267" s="787">
        <v>0</v>
      </c>
    </row>
    <row r="7268" spans="1:15" x14ac:dyDescent="0.25">
      <c r="A7268" s="786" t="s">
        <v>12996</v>
      </c>
      <c r="B7268" s="787">
        <v>4</v>
      </c>
      <c r="C7268" s="787" t="s">
        <v>1195</v>
      </c>
      <c r="D7268" s="787">
        <v>0</v>
      </c>
      <c r="E7268" s="787">
        <v>0</v>
      </c>
      <c r="H7268" s="787">
        <v>1</v>
      </c>
      <c r="L7268" s="787">
        <v>0.28999999999999998</v>
      </c>
      <c r="M7268" s="787">
        <v>20</v>
      </c>
      <c r="N7268" s="787">
        <v>0</v>
      </c>
    </row>
    <row r="7269" spans="1:15" x14ac:dyDescent="0.25">
      <c r="A7269" s="786" t="s">
        <v>12997</v>
      </c>
      <c r="B7269" s="787">
        <v>4</v>
      </c>
      <c r="C7269" s="787" t="s">
        <v>12998</v>
      </c>
      <c r="D7269" s="787">
        <v>1.9</v>
      </c>
      <c r="E7269" s="787">
        <v>1.9</v>
      </c>
      <c r="F7269" s="788">
        <v>42118</v>
      </c>
      <c r="G7269" s="788">
        <v>42109</v>
      </c>
      <c r="H7269" s="787">
        <v>1</v>
      </c>
      <c r="J7269" s="788">
        <v>42109</v>
      </c>
      <c r="L7269" s="787">
        <v>2.33</v>
      </c>
      <c r="M7269" s="787">
        <v>20</v>
      </c>
      <c r="N7269" s="787">
        <v>0</v>
      </c>
    </row>
    <row r="7270" spans="1:15" x14ac:dyDescent="0.25">
      <c r="A7270" s="786" t="s">
        <v>12999</v>
      </c>
      <c r="B7270" s="787">
        <v>4</v>
      </c>
      <c r="C7270" s="787" t="s">
        <v>13000</v>
      </c>
      <c r="D7270" s="787">
        <v>5.7</v>
      </c>
      <c r="E7270" s="787">
        <v>45.7</v>
      </c>
      <c r="F7270" s="788">
        <v>42129</v>
      </c>
      <c r="G7270" s="788">
        <v>42164</v>
      </c>
      <c r="H7270" s="787">
        <v>1</v>
      </c>
      <c r="I7270" s="788">
        <v>42166</v>
      </c>
      <c r="J7270" s="788">
        <v>42164</v>
      </c>
      <c r="K7270" s="788">
        <v>42026</v>
      </c>
      <c r="L7270" s="787">
        <v>83</v>
      </c>
      <c r="M7270" s="787">
        <v>20</v>
      </c>
      <c r="N7270" s="787">
        <v>89.23</v>
      </c>
      <c r="O7270" s="788">
        <v>42026</v>
      </c>
    </row>
    <row r="7271" spans="1:15" x14ac:dyDescent="0.25">
      <c r="A7271" s="786" t="s">
        <v>13001</v>
      </c>
      <c r="B7271" s="787">
        <v>4</v>
      </c>
      <c r="C7271" s="787" t="s">
        <v>13002</v>
      </c>
      <c r="D7271" s="787">
        <v>3.98</v>
      </c>
      <c r="E7271" s="787">
        <v>23.98</v>
      </c>
      <c r="F7271" s="788">
        <v>41941</v>
      </c>
      <c r="G7271" s="788">
        <v>41946</v>
      </c>
      <c r="H7271" s="787">
        <v>1</v>
      </c>
      <c r="J7271" s="788">
        <v>41939</v>
      </c>
      <c r="L7271" s="787">
        <v>22.7</v>
      </c>
      <c r="M7271" s="787">
        <v>20</v>
      </c>
      <c r="N7271" s="787">
        <v>0</v>
      </c>
    </row>
    <row r="7272" spans="1:15" x14ac:dyDescent="0.25">
      <c r="A7272" s="786" t="s">
        <v>13003</v>
      </c>
      <c r="B7272" s="787">
        <v>4</v>
      </c>
      <c r="C7272" s="787" t="s">
        <v>13004</v>
      </c>
      <c r="D7272" s="787">
        <v>2.58</v>
      </c>
      <c r="E7272" s="787">
        <v>82.58</v>
      </c>
      <c r="F7272" s="788">
        <v>41936</v>
      </c>
      <c r="G7272" s="788">
        <v>41942</v>
      </c>
      <c r="H7272" s="787">
        <v>1</v>
      </c>
      <c r="I7272" s="788">
        <v>42095</v>
      </c>
      <c r="J7272" s="788">
        <v>42101</v>
      </c>
      <c r="L7272" s="787">
        <v>74.5</v>
      </c>
      <c r="M7272" s="787">
        <v>20</v>
      </c>
      <c r="N7272" s="787">
        <v>0</v>
      </c>
    </row>
    <row r="7273" spans="1:15" x14ac:dyDescent="0.25">
      <c r="A7273" s="786" t="s">
        <v>13005</v>
      </c>
      <c r="B7273" s="787">
        <v>4</v>
      </c>
      <c r="C7273" s="787" t="s">
        <v>7848</v>
      </c>
      <c r="D7273" s="787">
        <v>0</v>
      </c>
      <c r="E7273" s="787">
        <v>0</v>
      </c>
      <c r="G7273" s="788">
        <v>42017</v>
      </c>
      <c r="H7273" s="787">
        <v>1</v>
      </c>
      <c r="J7273" s="788">
        <v>41936</v>
      </c>
      <c r="K7273" s="788">
        <v>42017</v>
      </c>
      <c r="L7273" s="787">
        <v>3.9</v>
      </c>
      <c r="M7273" s="787">
        <v>20</v>
      </c>
      <c r="N7273" s="787">
        <v>4.1900000000000004</v>
      </c>
      <c r="O7273" s="788">
        <v>42017</v>
      </c>
    </row>
    <row r="7274" spans="1:15" x14ac:dyDescent="0.25">
      <c r="A7274" s="786" t="s">
        <v>13006</v>
      </c>
      <c r="B7274" s="787">
        <v>4</v>
      </c>
      <c r="C7274" s="787" t="s">
        <v>13007</v>
      </c>
      <c r="D7274" s="787">
        <v>1.22</v>
      </c>
      <c r="E7274" s="787">
        <v>1.27</v>
      </c>
      <c r="F7274" s="788">
        <v>41953</v>
      </c>
      <c r="G7274" s="788">
        <v>42046</v>
      </c>
      <c r="H7274" s="787">
        <v>1</v>
      </c>
      <c r="I7274" s="788">
        <v>42083</v>
      </c>
      <c r="J7274" s="788">
        <v>42026</v>
      </c>
      <c r="L7274" s="787">
        <v>1.22</v>
      </c>
      <c r="M7274" s="787">
        <v>20</v>
      </c>
      <c r="N7274" s="787">
        <v>0</v>
      </c>
    </row>
    <row r="7275" spans="1:15" x14ac:dyDescent="0.25">
      <c r="A7275" s="786" t="s">
        <v>13008</v>
      </c>
      <c r="B7275" s="787">
        <v>4</v>
      </c>
      <c r="C7275" s="787" t="s">
        <v>9662</v>
      </c>
      <c r="D7275" s="787">
        <v>0</v>
      </c>
      <c r="E7275" s="787">
        <v>0</v>
      </c>
      <c r="H7275" s="787">
        <v>1</v>
      </c>
      <c r="L7275" s="787">
        <v>14.91</v>
      </c>
      <c r="M7275" s="787">
        <v>20</v>
      </c>
      <c r="N7275" s="787">
        <v>0</v>
      </c>
    </row>
    <row r="7276" spans="1:15" x14ac:dyDescent="0.25">
      <c r="A7276" s="786" t="s">
        <v>13009</v>
      </c>
      <c r="B7276" s="787">
        <v>4</v>
      </c>
      <c r="C7276" s="787" t="s">
        <v>9662</v>
      </c>
      <c r="D7276" s="787">
        <v>0</v>
      </c>
      <c r="E7276" s="787">
        <v>0</v>
      </c>
      <c r="H7276" s="787">
        <v>1</v>
      </c>
      <c r="L7276" s="787">
        <v>10.4</v>
      </c>
      <c r="M7276" s="787">
        <v>20</v>
      </c>
      <c r="N7276" s="787">
        <v>0</v>
      </c>
    </row>
    <row r="7277" spans="1:15" x14ac:dyDescent="0.25">
      <c r="A7277" s="786" t="s">
        <v>13010</v>
      </c>
      <c r="B7277" s="787">
        <v>4</v>
      </c>
      <c r="C7277" s="787" t="s">
        <v>9662</v>
      </c>
      <c r="D7277" s="787">
        <v>0</v>
      </c>
      <c r="E7277" s="787">
        <v>0</v>
      </c>
      <c r="H7277" s="787">
        <v>1</v>
      </c>
      <c r="L7277" s="787">
        <v>12.4</v>
      </c>
      <c r="M7277" s="787">
        <v>20</v>
      </c>
      <c r="N7277" s="787">
        <v>0</v>
      </c>
    </row>
    <row r="7278" spans="1:15" x14ac:dyDescent="0.25">
      <c r="A7278" s="786" t="s">
        <v>13011</v>
      </c>
      <c r="B7278" s="787">
        <v>4</v>
      </c>
      <c r="C7278" s="787" t="s">
        <v>13012</v>
      </c>
      <c r="D7278" s="787">
        <v>9.68</v>
      </c>
      <c r="E7278" s="787">
        <v>29.68</v>
      </c>
      <c r="F7278" s="788">
        <v>41946</v>
      </c>
      <c r="G7278" s="788">
        <v>41963</v>
      </c>
      <c r="H7278" s="787">
        <v>1</v>
      </c>
      <c r="J7278" s="788">
        <v>41936</v>
      </c>
      <c r="L7278" s="787">
        <v>10</v>
      </c>
      <c r="M7278" s="787">
        <v>20</v>
      </c>
      <c r="N7278" s="787">
        <v>0</v>
      </c>
    </row>
    <row r="7279" spans="1:15" x14ac:dyDescent="0.25">
      <c r="A7279" s="786" t="s">
        <v>13013</v>
      </c>
      <c r="B7279" s="787">
        <v>4</v>
      </c>
      <c r="C7279" s="787" t="s">
        <v>13014</v>
      </c>
      <c r="D7279" s="787">
        <v>0</v>
      </c>
      <c r="E7279" s="787">
        <v>0</v>
      </c>
      <c r="H7279" s="787">
        <v>1</v>
      </c>
      <c r="L7279" s="787">
        <v>0.87</v>
      </c>
      <c r="M7279" s="787">
        <v>20</v>
      </c>
      <c r="N7279" s="787">
        <v>0.94</v>
      </c>
      <c r="O7279" s="788">
        <v>41946</v>
      </c>
    </row>
    <row r="7280" spans="1:15" x14ac:dyDescent="0.25">
      <c r="A7280" s="786" t="s">
        <v>13015</v>
      </c>
      <c r="B7280" s="787">
        <v>4</v>
      </c>
      <c r="C7280" s="787" t="s">
        <v>13014</v>
      </c>
      <c r="D7280" s="787">
        <v>0</v>
      </c>
      <c r="E7280" s="787">
        <v>0</v>
      </c>
      <c r="H7280" s="787">
        <v>1</v>
      </c>
      <c r="L7280" s="787">
        <v>0.99</v>
      </c>
      <c r="M7280" s="787">
        <v>20</v>
      </c>
      <c r="N7280" s="787">
        <v>0</v>
      </c>
    </row>
    <row r="7281" spans="1:15" x14ac:dyDescent="0.25">
      <c r="A7281" s="786" t="s">
        <v>13016</v>
      </c>
      <c r="B7281" s="787">
        <v>4</v>
      </c>
      <c r="C7281" s="787" t="s">
        <v>13017</v>
      </c>
      <c r="D7281" s="787">
        <v>0</v>
      </c>
      <c r="E7281" s="787">
        <v>0</v>
      </c>
      <c r="H7281" s="787">
        <v>1</v>
      </c>
      <c r="L7281" s="787">
        <v>0.84</v>
      </c>
      <c r="M7281" s="787">
        <v>20</v>
      </c>
      <c r="N7281" s="787">
        <v>0</v>
      </c>
    </row>
    <row r="7282" spans="1:15" x14ac:dyDescent="0.25">
      <c r="A7282" s="786" t="s">
        <v>13018</v>
      </c>
      <c r="B7282" s="787">
        <v>4</v>
      </c>
      <c r="C7282" s="787" t="s">
        <v>13017</v>
      </c>
      <c r="D7282" s="787">
        <v>0</v>
      </c>
      <c r="E7282" s="787">
        <v>0</v>
      </c>
      <c r="H7282" s="787">
        <v>1</v>
      </c>
      <c r="L7282" s="787">
        <v>0.74</v>
      </c>
      <c r="M7282" s="787">
        <v>20</v>
      </c>
      <c r="N7282" s="787">
        <v>0.8</v>
      </c>
      <c r="O7282" s="788">
        <v>41946</v>
      </c>
    </row>
    <row r="7283" spans="1:15" x14ac:dyDescent="0.25">
      <c r="A7283" s="786" t="s">
        <v>13019</v>
      </c>
      <c r="B7283" s="787">
        <v>4</v>
      </c>
      <c r="C7283" s="787" t="s">
        <v>13020</v>
      </c>
      <c r="D7283" s="787">
        <v>4.58</v>
      </c>
      <c r="E7283" s="787">
        <v>4.58</v>
      </c>
      <c r="F7283" s="788">
        <v>41946</v>
      </c>
      <c r="G7283" s="788">
        <v>41936</v>
      </c>
      <c r="H7283" s="787">
        <v>1</v>
      </c>
      <c r="J7283" s="788">
        <v>41936</v>
      </c>
      <c r="K7283" s="788">
        <v>41936</v>
      </c>
      <c r="L7283" s="787">
        <v>4.58</v>
      </c>
      <c r="M7283" s="787">
        <v>20</v>
      </c>
      <c r="N7283" s="787">
        <v>0</v>
      </c>
    </row>
    <row r="7284" spans="1:15" x14ac:dyDescent="0.25">
      <c r="A7284" s="786" t="s">
        <v>13021</v>
      </c>
      <c r="B7284" s="787">
        <v>4</v>
      </c>
      <c r="C7284" s="787" t="s">
        <v>9662</v>
      </c>
      <c r="D7284" s="787">
        <v>0</v>
      </c>
      <c r="E7284" s="787">
        <v>0</v>
      </c>
      <c r="H7284" s="787">
        <v>1</v>
      </c>
      <c r="L7284" s="787">
        <v>5.03</v>
      </c>
      <c r="M7284" s="787">
        <v>20</v>
      </c>
      <c r="N7284" s="787">
        <v>0</v>
      </c>
    </row>
    <row r="7285" spans="1:15" x14ac:dyDescent="0.25">
      <c r="A7285" s="786" t="s">
        <v>13022</v>
      </c>
      <c r="B7285" s="787">
        <v>4</v>
      </c>
      <c r="C7285" s="787" t="s">
        <v>9662</v>
      </c>
      <c r="D7285" s="787">
        <v>0</v>
      </c>
      <c r="E7285" s="787">
        <v>0</v>
      </c>
      <c r="H7285" s="787">
        <v>1</v>
      </c>
      <c r="L7285" s="787">
        <v>6.1</v>
      </c>
      <c r="M7285" s="787">
        <v>20</v>
      </c>
      <c r="N7285" s="787">
        <v>0</v>
      </c>
    </row>
    <row r="7286" spans="1:15" x14ac:dyDescent="0.25">
      <c r="A7286" s="786" t="s">
        <v>13023</v>
      </c>
      <c r="B7286" s="787">
        <v>4</v>
      </c>
      <c r="C7286" s="787" t="s">
        <v>9662</v>
      </c>
      <c r="D7286" s="787">
        <v>0</v>
      </c>
      <c r="E7286" s="787">
        <v>0</v>
      </c>
      <c r="H7286" s="787">
        <v>1</v>
      </c>
      <c r="L7286" s="787">
        <v>10.050000000000001</v>
      </c>
      <c r="M7286" s="787">
        <v>20</v>
      </c>
      <c r="N7286" s="787">
        <v>0</v>
      </c>
    </row>
    <row r="7287" spans="1:15" x14ac:dyDescent="0.25">
      <c r="A7287" s="786" t="s">
        <v>13024</v>
      </c>
      <c r="B7287" s="787">
        <v>4</v>
      </c>
      <c r="C7287" s="787" t="s">
        <v>9662</v>
      </c>
      <c r="D7287" s="787">
        <v>0</v>
      </c>
      <c r="E7287" s="787">
        <v>0</v>
      </c>
      <c r="H7287" s="787">
        <v>1</v>
      </c>
      <c r="I7287" s="788">
        <v>42124</v>
      </c>
      <c r="L7287" s="787">
        <v>3.21</v>
      </c>
      <c r="M7287" s="787">
        <v>20</v>
      </c>
      <c r="N7287" s="787">
        <v>0</v>
      </c>
    </row>
    <row r="7288" spans="1:15" x14ac:dyDescent="0.25">
      <c r="A7288" s="786" t="s">
        <v>13025</v>
      </c>
      <c r="B7288" s="787">
        <v>4</v>
      </c>
      <c r="C7288" s="787" t="s">
        <v>9778</v>
      </c>
      <c r="D7288" s="787">
        <v>0</v>
      </c>
      <c r="E7288" s="787">
        <v>0</v>
      </c>
      <c r="H7288" s="787">
        <v>1</v>
      </c>
      <c r="L7288" s="787">
        <v>4.0199999999999996</v>
      </c>
      <c r="M7288" s="787">
        <v>20</v>
      </c>
      <c r="N7288" s="787">
        <v>0</v>
      </c>
    </row>
    <row r="7289" spans="1:15" x14ac:dyDescent="0.25">
      <c r="A7289" s="786" t="s">
        <v>13026</v>
      </c>
      <c r="B7289" s="787">
        <v>4</v>
      </c>
      <c r="C7289" s="787" t="s">
        <v>13027</v>
      </c>
      <c r="D7289" s="787">
        <v>6.46</v>
      </c>
      <c r="E7289" s="787">
        <v>16.46</v>
      </c>
      <c r="F7289" s="788">
        <v>41947</v>
      </c>
      <c r="G7289" s="788">
        <v>41943</v>
      </c>
      <c r="H7289" s="787">
        <v>1</v>
      </c>
      <c r="I7289" s="788">
        <v>42124</v>
      </c>
      <c r="J7289" s="788">
        <v>42115</v>
      </c>
      <c r="K7289" s="788">
        <v>41939</v>
      </c>
      <c r="L7289" s="787">
        <v>16.46</v>
      </c>
      <c r="M7289" s="787">
        <v>20</v>
      </c>
      <c r="N7289" s="787">
        <v>0</v>
      </c>
    </row>
    <row r="7290" spans="1:15" x14ac:dyDescent="0.25">
      <c r="A7290" s="786" t="s">
        <v>13028</v>
      </c>
      <c r="B7290" s="787">
        <v>4</v>
      </c>
      <c r="C7290" s="787" t="s">
        <v>13029</v>
      </c>
      <c r="D7290" s="787">
        <v>1.35</v>
      </c>
      <c r="E7290" s="787">
        <v>1.35</v>
      </c>
      <c r="F7290" s="788">
        <v>41947</v>
      </c>
      <c r="G7290" s="788">
        <v>41962</v>
      </c>
      <c r="H7290" s="787">
        <v>1</v>
      </c>
      <c r="I7290" s="788">
        <v>41956</v>
      </c>
      <c r="J7290" s="788">
        <v>41943</v>
      </c>
      <c r="K7290" s="788">
        <v>41939</v>
      </c>
      <c r="L7290" s="787">
        <v>1.35</v>
      </c>
      <c r="M7290" s="787">
        <v>20</v>
      </c>
      <c r="N7290" s="787">
        <v>0</v>
      </c>
    </row>
    <row r="7291" spans="1:15" x14ac:dyDescent="0.25">
      <c r="A7291" s="786" t="s">
        <v>13030</v>
      </c>
      <c r="B7291" s="787">
        <v>4</v>
      </c>
      <c r="C7291" s="787" t="s">
        <v>13031</v>
      </c>
      <c r="D7291" s="787">
        <v>9.1999999999999993</v>
      </c>
      <c r="E7291" s="787">
        <v>99.2</v>
      </c>
      <c r="F7291" s="788">
        <v>41943</v>
      </c>
      <c r="G7291" s="788">
        <v>41943</v>
      </c>
      <c r="H7291" s="787">
        <v>1</v>
      </c>
      <c r="I7291" s="788">
        <v>41957</v>
      </c>
      <c r="J7291" s="788">
        <v>41943</v>
      </c>
      <c r="L7291" s="787">
        <v>99.2</v>
      </c>
      <c r="M7291" s="787">
        <v>20</v>
      </c>
      <c r="N7291" s="787">
        <v>0</v>
      </c>
    </row>
    <row r="7292" spans="1:15" x14ac:dyDescent="0.25">
      <c r="A7292" s="786" t="s">
        <v>13032</v>
      </c>
      <c r="B7292" s="787">
        <v>4</v>
      </c>
      <c r="C7292" s="787" t="s">
        <v>12836</v>
      </c>
      <c r="D7292" s="787">
        <v>0</v>
      </c>
      <c r="E7292" s="787">
        <v>160</v>
      </c>
      <c r="F7292" s="788">
        <v>41946</v>
      </c>
      <c r="G7292" s="788">
        <v>41947</v>
      </c>
      <c r="H7292" s="787">
        <v>1</v>
      </c>
      <c r="J7292" s="788">
        <v>41943</v>
      </c>
      <c r="K7292" s="788">
        <v>41941</v>
      </c>
      <c r="L7292" s="787">
        <v>108</v>
      </c>
      <c r="M7292" s="787">
        <v>20</v>
      </c>
      <c r="N7292" s="787">
        <v>0</v>
      </c>
    </row>
    <row r="7293" spans="1:15" x14ac:dyDescent="0.25">
      <c r="A7293" s="786" t="s">
        <v>13033</v>
      </c>
      <c r="B7293" s="787">
        <v>4</v>
      </c>
      <c r="C7293" s="787" t="s">
        <v>13034</v>
      </c>
      <c r="D7293" s="787">
        <v>0.95</v>
      </c>
      <c r="E7293" s="787">
        <v>20.95</v>
      </c>
      <c r="F7293" s="788">
        <v>41960</v>
      </c>
      <c r="G7293" s="788">
        <v>41989</v>
      </c>
      <c r="H7293" s="787">
        <v>1</v>
      </c>
      <c r="J7293" s="788">
        <v>41949</v>
      </c>
      <c r="L7293" s="787">
        <v>15.95</v>
      </c>
      <c r="M7293" s="787">
        <v>20</v>
      </c>
      <c r="N7293" s="787">
        <v>0</v>
      </c>
    </row>
    <row r="7294" spans="1:15" x14ac:dyDescent="0.25">
      <c r="A7294" s="786" t="s">
        <v>13035</v>
      </c>
      <c r="B7294" s="787">
        <v>4</v>
      </c>
      <c r="C7294" s="787" t="s">
        <v>13036</v>
      </c>
      <c r="D7294" s="787">
        <v>5.75</v>
      </c>
      <c r="E7294" s="787">
        <v>15.75</v>
      </c>
      <c r="F7294" s="788">
        <v>41953</v>
      </c>
      <c r="G7294" s="788">
        <v>41953</v>
      </c>
      <c r="H7294" s="787">
        <v>1</v>
      </c>
      <c r="J7294" s="788">
        <v>41953</v>
      </c>
      <c r="L7294" s="787">
        <v>16.75</v>
      </c>
      <c r="M7294" s="787">
        <v>20</v>
      </c>
      <c r="N7294" s="787">
        <v>0</v>
      </c>
    </row>
    <row r="7295" spans="1:15" x14ac:dyDescent="0.25">
      <c r="A7295" s="786" t="s">
        <v>13037</v>
      </c>
      <c r="B7295" s="787">
        <v>4</v>
      </c>
      <c r="C7295" s="787" t="s">
        <v>13036</v>
      </c>
      <c r="D7295" s="787">
        <v>5.75</v>
      </c>
      <c r="E7295" s="787">
        <v>15.75</v>
      </c>
      <c r="F7295" s="788">
        <v>41953</v>
      </c>
      <c r="G7295" s="788">
        <v>41953</v>
      </c>
      <c r="H7295" s="787">
        <v>1</v>
      </c>
      <c r="J7295" s="788">
        <v>41953</v>
      </c>
      <c r="L7295" s="787">
        <v>16.75</v>
      </c>
      <c r="M7295" s="787">
        <v>20</v>
      </c>
      <c r="N7295" s="787">
        <v>0</v>
      </c>
    </row>
    <row r="7296" spans="1:15" x14ac:dyDescent="0.25">
      <c r="A7296" s="786" t="s">
        <v>13038</v>
      </c>
      <c r="B7296" s="787">
        <v>4</v>
      </c>
      <c r="C7296" s="787" t="s">
        <v>13039</v>
      </c>
      <c r="D7296" s="787">
        <v>8.98</v>
      </c>
      <c r="E7296" s="787">
        <v>8.98</v>
      </c>
      <c r="F7296" s="788">
        <v>41953</v>
      </c>
      <c r="G7296" s="788">
        <v>41974</v>
      </c>
      <c r="H7296" s="787">
        <v>1</v>
      </c>
      <c r="J7296" s="788">
        <v>41947</v>
      </c>
      <c r="L7296" s="787">
        <v>7.5</v>
      </c>
      <c r="M7296" s="787">
        <v>20</v>
      </c>
      <c r="N7296" s="787">
        <v>0</v>
      </c>
    </row>
    <row r="7297" spans="1:14" x14ac:dyDescent="0.25">
      <c r="A7297" s="786" t="s">
        <v>13040</v>
      </c>
      <c r="B7297" s="787">
        <v>4</v>
      </c>
      <c r="C7297" s="787" t="s">
        <v>13041</v>
      </c>
      <c r="D7297" s="787">
        <v>7.84</v>
      </c>
      <c r="E7297" s="787">
        <v>17.84</v>
      </c>
      <c r="F7297" s="788">
        <v>41953</v>
      </c>
      <c r="G7297" s="788">
        <v>41946</v>
      </c>
      <c r="H7297" s="787">
        <v>1</v>
      </c>
      <c r="J7297" s="788">
        <v>41946</v>
      </c>
      <c r="K7297" s="788">
        <v>41946</v>
      </c>
      <c r="L7297" s="787">
        <v>17.84</v>
      </c>
      <c r="M7297" s="787">
        <v>20</v>
      </c>
      <c r="N7297" s="787">
        <v>0</v>
      </c>
    </row>
    <row r="7298" spans="1:14" x14ac:dyDescent="0.25">
      <c r="A7298" s="786" t="s">
        <v>13042</v>
      </c>
      <c r="B7298" s="787">
        <v>4</v>
      </c>
      <c r="C7298" s="787" t="s">
        <v>13043</v>
      </c>
      <c r="D7298" s="787">
        <v>3.14</v>
      </c>
      <c r="E7298" s="787">
        <v>63.14</v>
      </c>
      <c r="F7298" s="788">
        <v>41950</v>
      </c>
      <c r="G7298" s="788">
        <v>41974</v>
      </c>
      <c r="H7298" s="787">
        <v>1</v>
      </c>
      <c r="I7298" s="788">
        <v>41976</v>
      </c>
      <c r="J7298" s="788">
        <v>41949</v>
      </c>
      <c r="K7298" s="788">
        <v>41946</v>
      </c>
      <c r="L7298" s="787">
        <v>61.19</v>
      </c>
      <c r="M7298" s="787">
        <v>20</v>
      </c>
      <c r="N7298" s="787">
        <v>0</v>
      </c>
    </row>
    <row r="7299" spans="1:14" x14ac:dyDescent="0.25">
      <c r="A7299" s="786" t="s">
        <v>13044</v>
      </c>
      <c r="B7299" s="787">
        <v>4</v>
      </c>
      <c r="C7299" s="787" t="s">
        <v>13045</v>
      </c>
      <c r="D7299" s="787">
        <v>6.69</v>
      </c>
      <c r="E7299" s="787">
        <v>16.690000000000001</v>
      </c>
      <c r="F7299" s="788">
        <v>41950</v>
      </c>
      <c r="G7299" s="788">
        <v>41974</v>
      </c>
      <c r="H7299" s="787">
        <v>1</v>
      </c>
      <c r="I7299" s="788">
        <v>41976</v>
      </c>
      <c r="J7299" s="788">
        <v>41949</v>
      </c>
      <c r="K7299" s="788">
        <v>41946</v>
      </c>
      <c r="L7299" s="787">
        <v>16.170000000000002</v>
      </c>
      <c r="M7299" s="787">
        <v>20</v>
      </c>
      <c r="N7299" s="787">
        <v>0</v>
      </c>
    </row>
    <row r="7300" spans="1:14" x14ac:dyDescent="0.25">
      <c r="A7300" s="786" t="s">
        <v>13046</v>
      </c>
      <c r="B7300" s="787">
        <v>4</v>
      </c>
      <c r="C7300" s="787" t="s">
        <v>13047</v>
      </c>
      <c r="D7300" s="787">
        <v>6.2</v>
      </c>
      <c r="E7300" s="787">
        <v>16.2</v>
      </c>
      <c r="F7300" s="788">
        <v>41950</v>
      </c>
      <c r="G7300" s="788">
        <v>41974</v>
      </c>
      <c r="H7300" s="787">
        <v>1</v>
      </c>
      <c r="I7300" s="788">
        <v>41976</v>
      </c>
      <c r="J7300" s="788">
        <v>41949</v>
      </c>
      <c r="K7300" s="788">
        <v>41946</v>
      </c>
      <c r="L7300" s="787">
        <v>15.7</v>
      </c>
      <c r="M7300" s="787">
        <v>20</v>
      </c>
      <c r="N7300" s="787">
        <v>0</v>
      </c>
    </row>
    <row r="7301" spans="1:14" x14ac:dyDescent="0.25">
      <c r="A7301" s="786" t="s">
        <v>13048</v>
      </c>
      <c r="B7301" s="787">
        <v>4</v>
      </c>
      <c r="C7301" s="787" t="s">
        <v>13049</v>
      </c>
      <c r="D7301" s="787">
        <v>3.92</v>
      </c>
      <c r="E7301" s="787">
        <v>533.91999999999996</v>
      </c>
      <c r="F7301" s="788">
        <v>41948</v>
      </c>
      <c r="G7301" s="788">
        <v>41974</v>
      </c>
      <c r="H7301" s="787">
        <v>1</v>
      </c>
      <c r="I7301" s="788">
        <v>41976</v>
      </c>
      <c r="J7301" s="788">
        <v>41977</v>
      </c>
      <c r="K7301" s="788">
        <v>41947</v>
      </c>
      <c r="L7301" s="787">
        <v>516.89</v>
      </c>
      <c r="M7301" s="787">
        <v>20</v>
      </c>
      <c r="N7301" s="787">
        <v>0</v>
      </c>
    </row>
    <row r="7302" spans="1:14" x14ac:dyDescent="0.25">
      <c r="A7302" s="786" t="s">
        <v>13050</v>
      </c>
      <c r="B7302" s="787">
        <v>4</v>
      </c>
      <c r="C7302" s="787" t="s">
        <v>13051</v>
      </c>
      <c r="D7302" s="787">
        <v>4.57</v>
      </c>
      <c r="E7302" s="787">
        <v>24.57</v>
      </c>
      <c r="F7302" s="788">
        <v>41955</v>
      </c>
      <c r="G7302" s="788">
        <v>41953</v>
      </c>
      <c r="H7302" s="787">
        <v>1</v>
      </c>
      <c r="I7302" s="788">
        <v>42059</v>
      </c>
      <c r="J7302" s="788">
        <v>41953</v>
      </c>
      <c r="K7302" s="788">
        <v>41947</v>
      </c>
      <c r="L7302" s="787">
        <v>24.57</v>
      </c>
      <c r="M7302" s="787">
        <v>20</v>
      </c>
      <c r="N7302" s="787">
        <v>0</v>
      </c>
    </row>
    <row r="7303" spans="1:14" x14ac:dyDescent="0.25">
      <c r="A7303" s="786" t="s">
        <v>13052</v>
      </c>
      <c r="B7303" s="787">
        <v>4</v>
      </c>
      <c r="C7303" s="787" t="s">
        <v>13053</v>
      </c>
      <c r="D7303" s="787">
        <v>2.5299999999999998</v>
      </c>
      <c r="E7303" s="787">
        <v>2.5299999999999998</v>
      </c>
      <c r="F7303" s="788">
        <v>41955</v>
      </c>
      <c r="G7303" s="788">
        <v>41974</v>
      </c>
      <c r="H7303" s="787">
        <v>1</v>
      </c>
      <c r="J7303" s="788">
        <v>41953</v>
      </c>
      <c r="K7303" s="788">
        <v>41947</v>
      </c>
      <c r="L7303" s="787">
        <v>2.5299999999999998</v>
      </c>
      <c r="M7303" s="787">
        <v>20</v>
      </c>
      <c r="N7303" s="787">
        <v>0</v>
      </c>
    </row>
    <row r="7304" spans="1:14" x14ac:dyDescent="0.25">
      <c r="A7304" s="786" t="s">
        <v>13054</v>
      </c>
      <c r="B7304" s="787">
        <v>4</v>
      </c>
      <c r="C7304" s="787" t="s">
        <v>13055</v>
      </c>
      <c r="D7304" s="787">
        <v>0.56000000000000005</v>
      </c>
      <c r="E7304" s="787">
        <v>10.56</v>
      </c>
      <c r="F7304" s="788">
        <v>41951</v>
      </c>
      <c r="G7304" s="788">
        <v>41950</v>
      </c>
      <c r="H7304" s="787">
        <v>1</v>
      </c>
      <c r="J7304" s="788">
        <v>41950</v>
      </c>
      <c r="K7304" s="788">
        <v>41947</v>
      </c>
      <c r="L7304" s="787">
        <v>10.56</v>
      </c>
      <c r="M7304" s="787">
        <v>20</v>
      </c>
      <c r="N7304" s="787">
        <v>0</v>
      </c>
    </row>
    <row r="7305" spans="1:14" x14ac:dyDescent="0.25">
      <c r="A7305" s="786" t="s">
        <v>13056</v>
      </c>
      <c r="B7305" s="787">
        <v>4</v>
      </c>
      <c r="C7305" s="787" t="s">
        <v>13057</v>
      </c>
      <c r="D7305" s="787">
        <v>5.04</v>
      </c>
      <c r="E7305" s="787">
        <v>95.04</v>
      </c>
      <c r="F7305" s="788">
        <v>41951</v>
      </c>
      <c r="G7305" s="788">
        <v>41950</v>
      </c>
      <c r="H7305" s="787">
        <v>1</v>
      </c>
      <c r="I7305" s="788">
        <v>41991</v>
      </c>
      <c r="J7305" s="788">
        <v>41950</v>
      </c>
      <c r="K7305" s="788">
        <v>41947</v>
      </c>
      <c r="L7305" s="787">
        <v>95.04</v>
      </c>
      <c r="M7305" s="787">
        <v>20</v>
      </c>
      <c r="N7305" s="787">
        <v>0</v>
      </c>
    </row>
    <row r="7306" spans="1:14" x14ac:dyDescent="0.25">
      <c r="A7306" s="786" t="s">
        <v>13058</v>
      </c>
      <c r="B7306" s="787">
        <v>4</v>
      </c>
      <c r="C7306" s="787" t="s">
        <v>13059</v>
      </c>
      <c r="D7306" s="787">
        <v>3.96</v>
      </c>
      <c r="E7306" s="787">
        <v>33.96</v>
      </c>
      <c r="F7306" s="788">
        <v>41955</v>
      </c>
      <c r="G7306" s="788">
        <v>41974</v>
      </c>
      <c r="H7306" s="787">
        <v>1</v>
      </c>
      <c r="J7306" s="788">
        <v>41953</v>
      </c>
      <c r="K7306" s="788">
        <v>41947</v>
      </c>
      <c r="L7306" s="787">
        <v>33.96</v>
      </c>
      <c r="M7306" s="787">
        <v>20</v>
      </c>
      <c r="N7306" s="787">
        <v>0</v>
      </c>
    </row>
    <row r="7307" spans="1:14" x14ac:dyDescent="0.25">
      <c r="A7307" s="786" t="s">
        <v>13060</v>
      </c>
      <c r="B7307" s="787">
        <v>4</v>
      </c>
      <c r="C7307" s="787" t="s">
        <v>13061</v>
      </c>
      <c r="D7307" s="787">
        <v>3.67</v>
      </c>
      <c r="E7307" s="787">
        <v>23.67</v>
      </c>
      <c r="F7307" s="788">
        <v>41951</v>
      </c>
      <c r="G7307" s="788">
        <v>41974</v>
      </c>
      <c r="H7307" s="787">
        <v>1</v>
      </c>
      <c r="I7307" s="788">
        <v>41976</v>
      </c>
      <c r="J7307" s="788">
        <v>41950</v>
      </c>
      <c r="K7307" s="788">
        <v>41947</v>
      </c>
      <c r="L7307" s="787">
        <v>23.67</v>
      </c>
      <c r="M7307" s="787">
        <v>20</v>
      </c>
      <c r="N7307" s="787">
        <v>0</v>
      </c>
    </row>
    <row r="7308" spans="1:14" x14ac:dyDescent="0.25">
      <c r="A7308" s="786" t="s">
        <v>13062</v>
      </c>
      <c r="B7308" s="787">
        <v>4</v>
      </c>
      <c r="C7308" s="787" t="s">
        <v>13063</v>
      </c>
      <c r="D7308" s="787">
        <v>4.46</v>
      </c>
      <c r="E7308" s="787">
        <v>4.46</v>
      </c>
      <c r="F7308" s="788">
        <v>41955</v>
      </c>
      <c r="G7308" s="788">
        <v>42158</v>
      </c>
      <c r="H7308" s="787">
        <v>1</v>
      </c>
      <c r="I7308" s="788">
        <v>42123</v>
      </c>
      <c r="J7308" s="788">
        <v>42158</v>
      </c>
      <c r="K7308" s="788">
        <v>41947</v>
      </c>
      <c r="L7308" s="787">
        <v>4.46</v>
      </c>
      <c r="M7308" s="787">
        <v>20</v>
      </c>
      <c r="N7308" s="787">
        <v>0</v>
      </c>
    </row>
    <row r="7309" spans="1:14" x14ac:dyDescent="0.25">
      <c r="A7309" s="786" t="s">
        <v>13064</v>
      </c>
      <c r="B7309" s="787">
        <v>4</v>
      </c>
      <c r="C7309" s="787" t="s">
        <v>13065</v>
      </c>
      <c r="D7309" s="787">
        <v>6.86</v>
      </c>
      <c r="E7309" s="787">
        <v>56.86</v>
      </c>
      <c r="F7309" s="788">
        <v>41964</v>
      </c>
      <c r="G7309" s="788">
        <v>41960</v>
      </c>
      <c r="H7309" s="787">
        <v>1</v>
      </c>
      <c r="J7309" s="788">
        <v>41960</v>
      </c>
      <c r="L7309" s="787">
        <v>56.86</v>
      </c>
      <c r="M7309" s="787">
        <v>20</v>
      </c>
      <c r="N7309" s="787">
        <v>0</v>
      </c>
    </row>
    <row r="7310" spans="1:14" x14ac:dyDescent="0.25">
      <c r="A7310" s="786" t="s">
        <v>13066</v>
      </c>
      <c r="B7310" s="787">
        <v>4</v>
      </c>
      <c r="C7310" s="787" t="s">
        <v>13067</v>
      </c>
      <c r="D7310" s="787">
        <v>3.05</v>
      </c>
      <c r="E7310" s="787">
        <v>103.05</v>
      </c>
      <c r="F7310" s="788">
        <v>41964</v>
      </c>
      <c r="G7310" s="788">
        <v>41960</v>
      </c>
      <c r="H7310" s="787">
        <v>1</v>
      </c>
      <c r="J7310" s="788">
        <v>41960</v>
      </c>
      <c r="L7310" s="787">
        <v>103.05</v>
      </c>
      <c r="M7310" s="787">
        <v>20</v>
      </c>
      <c r="N7310" s="787">
        <v>0</v>
      </c>
    </row>
    <row r="7311" spans="1:14" x14ac:dyDescent="0.25">
      <c r="A7311" s="786" t="s">
        <v>13068</v>
      </c>
      <c r="B7311" s="787">
        <v>4</v>
      </c>
      <c r="C7311" s="787" t="s">
        <v>13069</v>
      </c>
      <c r="D7311" s="787">
        <v>5.86</v>
      </c>
      <c r="E7311" s="787">
        <v>155.86000000000001</v>
      </c>
      <c r="F7311" s="788">
        <v>41964</v>
      </c>
      <c r="G7311" s="788">
        <v>41960</v>
      </c>
      <c r="H7311" s="787">
        <v>1</v>
      </c>
      <c r="J7311" s="788">
        <v>41960</v>
      </c>
      <c r="L7311" s="787">
        <v>155.86000000000001</v>
      </c>
      <c r="M7311" s="787">
        <v>20</v>
      </c>
      <c r="N7311" s="787">
        <v>0</v>
      </c>
    </row>
    <row r="7312" spans="1:14" x14ac:dyDescent="0.25">
      <c r="A7312" s="786" t="s">
        <v>13070</v>
      </c>
      <c r="B7312" s="787">
        <v>4</v>
      </c>
      <c r="C7312" s="787" t="s">
        <v>13071</v>
      </c>
      <c r="D7312" s="787">
        <v>7.53</v>
      </c>
      <c r="E7312" s="787">
        <v>147.53</v>
      </c>
      <c r="F7312" s="788">
        <v>41964</v>
      </c>
      <c r="G7312" s="788">
        <v>41960</v>
      </c>
      <c r="H7312" s="787">
        <v>1</v>
      </c>
      <c r="J7312" s="788">
        <v>41960</v>
      </c>
      <c r="L7312" s="787">
        <v>147.53</v>
      </c>
      <c r="M7312" s="787">
        <v>20</v>
      </c>
      <c r="N7312" s="787">
        <v>0</v>
      </c>
    </row>
    <row r="7313" spans="1:14" x14ac:dyDescent="0.25">
      <c r="A7313" s="786" t="s">
        <v>13072</v>
      </c>
      <c r="B7313" s="787">
        <v>4</v>
      </c>
      <c r="C7313" s="787" t="s">
        <v>13073</v>
      </c>
      <c r="D7313" s="787">
        <v>9.09</v>
      </c>
      <c r="E7313" s="787">
        <v>159.09</v>
      </c>
      <c r="F7313" s="788">
        <v>41964</v>
      </c>
      <c r="G7313" s="788">
        <v>41960</v>
      </c>
      <c r="H7313" s="787">
        <v>1</v>
      </c>
      <c r="J7313" s="788">
        <v>41960</v>
      </c>
      <c r="L7313" s="787">
        <v>159.09</v>
      </c>
      <c r="M7313" s="787">
        <v>20</v>
      </c>
      <c r="N7313" s="787">
        <v>0</v>
      </c>
    </row>
    <row r="7314" spans="1:14" x14ac:dyDescent="0.25">
      <c r="A7314" s="786" t="s">
        <v>13074</v>
      </c>
      <c r="B7314" s="787">
        <v>4</v>
      </c>
      <c r="C7314" s="787" t="s">
        <v>13075</v>
      </c>
      <c r="D7314" s="787">
        <v>2.95</v>
      </c>
      <c r="E7314" s="787">
        <v>242.95</v>
      </c>
      <c r="F7314" s="788">
        <v>41964</v>
      </c>
      <c r="G7314" s="788">
        <v>41960</v>
      </c>
      <c r="H7314" s="787">
        <v>1</v>
      </c>
      <c r="J7314" s="788">
        <v>41960</v>
      </c>
      <c r="L7314" s="787">
        <v>242.95</v>
      </c>
      <c r="M7314" s="787">
        <v>20</v>
      </c>
      <c r="N7314" s="787">
        <v>0</v>
      </c>
    </row>
    <row r="7315" spans="1:14" x14ac:dyDescent="0.25">
      <c r="A7315" s="786" t="s">
        <v>13076</v>
      </c>
      <c r="B7315" s="787">
        <v>4</v>
      </c>
      <c r="C7315" s="787" t="s">
        <v>13077</v>
      </c>
      <c r="D7315" s="787">
        <v>9.4700000000000006</v>
      </c>
      <c r="E7315" s="787">
        <v>279.47000000000003</v>
      </c>
      <c r="F7315" s="788">
        <v>41964</v>
      </c>
      <c r="G7315" s="788">
        <v>41960</v>
      </c>
      <c r="H7315" s="787">
        <v>1</v>
      </c>
      <c r="J7315" s="788">
        <v>41960</v>
      </c>
      <c r="L7315" s="787">
        <v>279.47000000000003</v>
      </c>
      <c r="M7315" s="787">
        <v>20</v>
      </c>
      <c r="N7315" s="787">
        <v>0</v>
      </c>
    </row>
    <row r="7316" spans="1:14" x14ac:dyDescent="0.25">
      <c r="A7316" s="786" t="s">
        <v>13078</v>
      </c>
      <c r="B7316" s="787">
        <v>4</v>
      </c>
      <c r="C7316" s="787" t="s">
        <v>13079</v>
      </c>
      <c r="D7316" s="787">
        <v>0.2</v>
      </c>
      <c r="E7316" s="787">
        <v>0.2</v>
      </c>
      <c r="F7316" s="788">
        <v>41964</v>
      </c>
      <c r="G7316" s="788">
        <v>41960</v>
      </c>
      <c r="H7316" s="787">
        <v>1</v>
      </c>
      <c r="J7316" s="788">
        <v>41960</v>
      </c>
      <c r="L7316" s="787">
        <v>0.2</v>
      </c>
      <c r="M7316" s="787">
        <v>20</v>
      </c>
      <c r="N7316" s="787">
        <v>0</v>
      </c>
    </row>
    <row r="7317" spans="1:14" x14ac:dyDescent="0.25">
      <c r="A7317" s="786" t="s">
        <v>13080</v>
      </c>
      <c r="B7317" s="787">
        <v>4</v>
      </c>
      <c r="C7317" s="787" t="s">
        <v>13081</v>
      </c>
      <c r="D7317" s="787">
        <v>0.2</v>
      </c>
      <c r="E7317" s="787">
        <v>0.2</v>
      </c>
      <c r="F7317" s="788">
        <v>41964</v>
      </c>
      <c r="G7317" s="788">
        <v>42013</v>
      </c>
      <c r="H7317" s="787">
        <v>1</v>
      </c>
      <c r="J7317" s="788">
        <v>41960</v>
      </c>
      <c r="L7317" s="787">
        <v>0.2</v>
      </c>
      <c r="M7317" s="787">
        <v>20</v>
      </c>
      <c r="N7317" s="787">
        <v>0</v>
      </c>
    </row>
    <row r="7318" spans="1:14" x14ac:dyDescent="0.25">
      <c r="A7318" s="786" t="s">
        <v>13082</v>
      </c>
      <c r="B7318" s="787">
        <v>4</v>
      </c>
      <c r="C7318" s="787" t="s">
        <v>13083</v>
      </c>
      <c r="D7318" s="787">
        <v>0.16</v>
      </c>
      <c r="E7318" s="787">
        <v>0.16</v>
      </c>
      <c r="F7318" s="788">
        <v>41964</v>
      </c>
      <c r="G7318" s="788">
        <v>41960</v>
      </c>
      <c r="H7318" s="787">
        <v>1</v>
      </c>
      <c r="J7318" s="788">
        <v>41960</v>
      </c>
      <c r="L7318" s="787">
        <v>0.16</v>
      </c>
      <c r="M7318" s="787">
        <v>20</v>
      </c>
      <c r="N7318" s="787">
        <v>0</v>
      </c>
    </row>
    <row r="7319" spans="1:14" x14ac:dyDescent="0.25">
      <c r="A7319" s="786" t="s">
        <v>13084</v>
      </c>
      <c r="B7319" s="787">
        <v>4</v>
      </c>
      <c r="C7319" s="787" t="s">
        <v>13085</v>
      </c>
      <c r="D7319" s="787">
        <v>0.17</v>
      </c>
      <c r="E7319" s="787">
        <v>0.17</v>
      </c>
      <c r="F7319" s="788">
        <v>41964</v>
      </c>
      <c r="G7319" s="788">
        <v>41960</v>
      </c>
      <c r="H7319" s="787">
        <v>1</v>
      </c>
      <c r="J7319" s="788">
        <v>41960</v>
      </c>
      <c r="L7319" s="787">
        <v>0.17</v>
      </c>
      <c r="M7319" s="787">
        <v>20</v>
      </c>
      <c r="N7319" s="787">
        <v>0</v>
      </c>
    </row>
    <row r="7320" spans="1:14" x14ac:dyDescent="0.25">
      <c r="A7320" s="786" t="s">
        <v>13086</v>
      </c>
      <c r="B7320" s="787">
        <v>4</v>
      </c>
      <c r="C7320" s="787" t="s">
        <v>13087</v>
      </c>
      <c r="D7320" s="787">
        <v>0.2</v>
      </c>
      <c r="E7320" s="787">
        <v>0.2</v>
      </c>
      <c r="F7320" s="788">
        <v>41964</v>
      </c>
      <c r="G7320" s="788">
        <v>41960</v>
      </c>
      <c r="H7320" s="787">
        <v>1</v>
      </c>
      <c r="J7320" s="788">
        <v>41960</v>
      </c>
      <c r="L7320" s="787">
        <v>0.2</v>
      </c>
      <c r="M7320" s="787">
        <v>20</v>
      </c>
      <c r="N7320" s="787">
        <v>0</v>
      </c>
    </row>
    <row r="7321" spans="1:14" x14ac:dyDescent="0.25">
      <c r="A7321" s="786" t="s">
        <v>13088</v>
      </c>
      <c r="B7321" s="787">
        <v>4</v>
      </c>
      <c r="C7321" s="787" t="s">
        <v>13089</v>
      </c>
      <c r="D7321" s="787">
        <v>0.21</v>
      </c>
      <c r="E7321" s="787">
        <v>0.21</v>
      </c>
      <c r="F7321" s="788">
        <v>41964</v>
      </c>
      <c r="G7321" s="788">
        <v>41960</v>
      </c>
      <c r="H7321" s="787">
        <v>1</v>
      </c>
      <c r="J7321" s="788">
        <v>41960</v>
      </c>
      <c r="L7321" s="787">
        <v>0.21</v>
      </c>
      <c r="M7321" s="787">
        <v>20</v>
      </c>
      <c r="N7321" s="787">
        <v>0</v>
      </c>
    </row>
    <row r="7322" spans="1:14" x14ac:dyDescent="0.25">
      <c r="A7322" s="786" t="s">
        <v>13090</v>
      </c>
      <c r="B7322" s="787">
        <v>4</v>
      </c>
      <c r="C7322" s="787" t="s">
        <v>13091</v>
      </c>
      <c r="D7322" s="787">
        <v>0.25</v>
      </c>
      <c r="E7322" s="787">
        <v>0.25</v>
      </c>
      <c r="F7322" s="788">
        <v>41964</v>
      </c>
      <c r="G7322" s="788">
        <v>41960</v>
      </c>
      <c r="H7322" s="787">
        <v>1</v>
      </c>
      <c r="J7322" s="788">
        <v>41960</v>
      </c>
      <c r="L7322" s="787">
        <v>0.25</v>
      </c>
      <c r="M7322" s="787">
        <v>20</v>
      </c>
      <c r="N7322" s="787">
        <v>0</v>
      </c>
    </row>
    <row r="7323" spans="1:14" x14ac:dyDescent="0.25">
      <c r="A7323" s="786" t="s">
        <v>13092</v>
      </c>
      <c r="B7323" s="787">
        <v>4</v>
      </c>
      <c r="C7323" s="787" t="s">
        <v>13093</v>
      </c>
      <c r="D7323" s="787">
        <v>0.2</v>
      </c>
      <c r="E7323" s="787">
        <v>0.2</v>
      </c>
      <c r="F7323" s="788">
        <v>41964</v>
      </c>
      <c r="G7323" s="788">
        <v>41960</v>
      </c>
      <c r="H7323" s="787">
        <v>1</v>
      </c>
      <c r="J7323" s="788">
        <v>41960</v>
      </c>
      <c r="L7323" s="787">
        <v>0.2</v>
      </c>
      <c r="M7323" s="787">
        <v>20</v>
      </c>
      <c r="N7323" s="787">
        <v>0</v>
      </c>
    </row>
    <row r="7324" spans="1:14" x14ac:dyDescent="0.25">
      <c r="A7324" s="786" t="s">
        <v>13094</v>
      </c>
      <c r="B7324" s="787">
        <v>4</v>
      </c>
      <c r="C7324" s="787" t="s">
        <v>13095</v>
      </c>
      <c r="D7324" s="787">
        <v>0</v>
      </c>
      <c r="E7324" s="787">
        <v>125.52</v>
      </c>
      <c r="G7324" s="788">
        <v>41955</v>
      </c>
      <c r="H7324" s="787">
        <v>1</v>
      </c>
      <c r="I7324" s="788">
        <v>41954</v>
      </c>
      <c r="J7324" s="788">
        <v>41955</v>
      </c>
      <c r="L7324" s="787">
        <v>125.5</v>
      </c>
      <c r="M7324" s="787">
        <v>20</v>
      </c>
      <c r="N7324" s="787">
        <v>0</v>
      </c>
    </row>
    <row r="7325" spans="1:14" x14ac:dyDescent="0.25">
      <c r="A7325" s="786" t="s">
        <v>13096</v>
      </c>
      <c r="B7325" s="787">
        <v>4</v>
      </c>
      <c r="C7325" s="787" t="s">
        <v>13097</v>
      </c>
      <c r="D7325" s="787">
        <v>0</v>
      </c>
      <c r="E7325" s="787">
        <v>130</v>
      </c>
      <c r="G7325" s="788">
        <v>41955</v>
      </c>
      <c r="H7325" s="787">
        <v>1</v>
      </c>
      <c r="I7325" s="788">
        <v>42045</v>
      </c>
      <c r="J7325" s="788">
        <v>41955</v>
      </c>
      <c r="L7325" s="787">
        <v>130</v>
      </c>
      <c r="M7325" s="787">
        <v>20</v>
      </c>
      <c r="N7325" s="787">
        <v>0</v>
      </c>
    </row>
    <row r="7326" spans="1:14" x14ac:dyDescent="0.25">
      <c r="A7326" s="786" t="s">
        <v>13098</v>
      </c>
      <c r="B7326" s="787">
        <v>4</v>
      </c>
      <c r="C7326" s="787" t="s">
        <v>13099</v>
      </c>
      <c r="D7326" s="787">
        <v>0</v>
      </c>
      <c r="E7326" s="787">
        <v>221</v>
      </c>
      <c r="G7326" s="788">
        <v>41955</v>
      </c>
      <c r="H7326" s="787">
        <v>1</v>
      </c>
      <c r="I7326" s="788">
        <v>41954</v>
      </c>
      <c r="J7326" s="788">
        <v>41955</v>
      </c>
      <c r="L7326" s="787">
        <v>221</v>
      </c>
      <c r="M7326" s="787">
        <v>20</v>
      </c>
      <c r="N7326" s="787">
        <v>0</v>
      </c>
    </row>
    <row r="7327" spans="1:14" x14ac:dyDescent="0.25">
      <c r="A7327" s="786" t="s">
        <v>13100</v>
      </c>
      <c r="B7327" s="787">
        <v>4</v>
      </c>
      <c r="C7327" s="787" t="s">
        <v>13101</v>
      </c>
      <c r="D7327" s="787">
        <v>0</v>
      </c>
      <c r="E7327" s="787">
        <v>22</v>
      </c>
      <c r="G7327" s="788">
        <v>41955</v>
      </c>
      <c r="H7327" s="787">
        <v>1</v>
      </c>
      <c r="J7327" s="788">
        <v>41955</v>
      </c>
      <c r="L7327" s="787">
        <v>22</v>
      </c>
      <c r="M7327" s="787">
        <v>20</v>
      </c>
      <c r="N7327" s="787">
        <v>0</v>
      </c>
    </row>
    <row r="7328" spans="1:14" x14ac:dyDescent="0.25">
      <c r="A7328" s="786" t="s">
        <v>13102</v>
      </c>
      <c r="B7328" s="787">
        <v>4</v>
      </c>
      <c r="C7328" s="787" t="s">
        <v>13103</v>
      </c>
      <c r="D7328" s="787">
        <v>5.7</v>
      </c>
      <c r="E7328" s="787">
        <v>785.7</v>
      </c>
      <c r="F7328" s="788">
        <v>41969</v>
      </c>
      <c r="G7328" s="788">
        <v>41954</v>
      </c>
      <c r="H7328" s="787">
        <v>1</v>
      </c>
      <c r="I7328" s="788">
        <v>41975</v>
      </c>
      <c r="J7328" s="788">
        <v>41954</v>
      </c>
      <c r="L7328" s="787">
        <v>785.7</v>
      </c>
      <c r="M7328" s="787">
        <v>20</v>
      </c>
      <c r="N7328" s="787">
        <v>0</v>
      </c>
    </row>
    <row r="7329" spans="1:15" x14ac:dyDescent="0.25">
      <c r="A7329" s="786" t="s">
        <v>13104</v>
      </c>
      <c r="B7329" s="787">
        <v>4</v>
      </c>
      <c r="C7329" s="787" t="s">
        <v>13105</v>
      </c>
      <c r="D7329" s="787">
        <v>8.1999999999999993</v>
      </c>
      <c r="E7329" s="787">
        <v>898.2</v>
      </c>
      <c r="F7329" s="788">
        <v>41969</v>
      </c>
      <c r="G7329" s="788">
        <v>41954</v>
      </c>
      <c r="H7329" s="787">
        <v>1</v>
      </c>
      <c r="I7329" s="788">
        <v>41975</v>
      </c>
      <c r="J7329" s="788">
        <v>41954</v>
      </c>
      <c r="L7329" s="787">
        <v>898.2</v>
      </c>
      <c r="M7329" s="787">
        <v>20</v>
      </c>
      <c r="N7329" s="787">
        <v>0</v>
      </c>
    </row>
    <row r="7330" spans="1:15" x14ac:dyDescent="0.25">
      <c r="A7330" s="786" t="s">
        <v>13106</v>
      </c>
      <c r="B7330" s="787">
        <v>4</v>
      </c>
      <c r="C7330" s="787" t="s">
        <v>13107</v>
      </c>
      <c r="D7330" s="787">
        <v>2.76</v>
      </c>
      <c r="E7330" s="787">
        <v>92.76</v>
      </c>
      <c r="F7330" s="788">
        <v>41956</v>
      </c>
      <c r="G7330" s="788">
        <v>42008</v>
      </c>
      <c r="H7330" s="787">
        <v>1</v>
      </c>
      <c r="I7330" s="788">
        <v>41957</v>
      </c>
      <c r="J7330" s="788">
        <v>41953</v>
      </c>
      <c r="K7330" s="788">
        <v>41950</v>
      </c>
      <c r="L7330" s="787">
        <v>91.06</v>
      </c>
      <c r="M7330" s="787">
        <v>20</v>
      </c>
      <c r="N7330" s="787">
        <v>0</v>
      </c>
    </row>
    <row r="7331" spans="1:15" x14ac:dyDescent="0.25">
      <c r="A7331" s="786" t="s">
        <v>13108</v>
      </c>
      <c r="B7331" s="787">
        <v>4</v>
      </c>
      <c r="C7331" s="787" t="s">
        <v>13109</v>
      </c>
      <c r="D7331" s="787">
        <v>3.28</v>
      </c>
      <c r="E7331" s="787">
        <v>73.28</v>
      </c>
      <c r="F7331" s="788">
        <v>41958</v>
      </c>
      <c r="G7331" s="788">
        <v>42008</v>
      </c>
      <c r="H7331" s="787">
        <v>1</v>
      </c>
      <c r="J7331" s="788">
        <v>41956</v>
      </c>
      <c r="L7331" s="787">
        <v>108</v>
      </c>
      <c r="M7331" s="787">
        <v>20</v>
      </c>
      <c r="N7331" s="787">
        <v>0</v>
      </c>
    </row>
    <row r="7332" spans="1:15" x14ac:dyDescent="0.25">
      <c r="A7332" s="786" t="s">
        <v>13110</v>
      </c>
      <c r="B7332" s="787">
        <v>4</v>
      </c>
      <c r="C7332" s="787" t="s">
        <v>13111</v>
      </c>
      <c r="D7332" s="787">
        <v>0</v>
      </c>
      <c r="E7332" s="787">
        <v>0</v>
      </c>
      <c r="H7332" s="787">
        <v>1</v>
      </c>
      <c r="I7332" s="788">
        <v>41977</v>
      </c>
      <c r="K7332" s="788">
        <v>41953</v>
      </c>
      <c r="L7332" s="787">
        <v>0.77</v>
      </c>
      <c r="M7332" s="787">
        <v>20</v>
      </c>
      <c r="N7332" s="787">
        <v>0</v>
      </c>
    </row>
    <row r="7333" spans="1:15" x14ac:dyDescent="0.25">
      <c r="A7333" s="786" t="s">
        <v>13112</v>
      </c>
      <c r="B7333" s="787">
        <v>4</v>
      </c>
      <c r="C7333" s="787" t="s">
        <v>13113</v>
      </c>
      <c r="D7333" s="787">
        <v>5.08</v>
      </c>
      <c r="E7333" s="787">
        <v>25.08</v>
      </c>
      <c r="F7333" s="788">
        <v>41961</v>
      </c>
      <c r="G7333" s="788">
        <v>41956</v>
      </c>
      <c r="H7333" s="787">
        <v>1</v>
      </c>
      <c r="J7333" s="788">
        <v>41956</v>
      </c>
      <c r="K7333" s="788">
        <v>41953</v>
      </c>
      <c r="L7333" s="787">
        <v>15</v>
      </c>
      <c r="M7333" s="787">
        <v>20</v>
      </c>
      <c r="N7333" s="787">
        <v>0</v>
      </c>
    </row>
    <row r="7334" spans="1:15" x14ac:dyDescent="0.25">
      <c r="A7334" s="786" t="s">
        <v>13114</v>
      </c>
      <c r="B7334" s="787">
        <v>4</v>
      </c>
      <c r="C7334" s="787" t="s">
        <v>13115</v>
      </c>
      <c r="D7334" s="787">
        <v>8</v>
      </c>
      <c r="E7334" s="787">
        <v>108</v>
      </c>
      <c r="F7334" s="788">
        <v>41960</v>
      </c>
      <c r="G7334" s="788">
        <v>41960</v>
      </c>
      <c r="H7334" s="787">
        <v>1</v>
      </c>
      <c r="I7334" s="788">
        <v>41990</v>
      </c>
      <c r="J7334" s="788">
        <v>41960</v>
      </c>
      <c r="K7334" s="788">
        <v>41954</v>
      </c>
      <c r="L7334" s="787">
        <v>108</v>
      </c>
      <c r="M7334" s="787">
        <v>20</v>
      </c>
      <c r="N7334" s="787">
        <v>0</v>
      </c>
    </row>
    <row r="7335" spans="1:15" x14ac:dyDescent="0.25">
      <c r="A7335" s="786" t="s">
        <v>13116</v>
      </c>
      <c r="B7335" s="787">
        <v>4</v>
      </c>
      <c r="C7335" s="787" t="s">
        <v>13117</v>
      </c>
      <c r="D7335" s="787">
        <v>4</v>
      </c>
      <c r="E7335" s="789">
        <v>2864</v>
      </c>
      <c r="F7335" s="788">
        <v>42002</v>
      </c>
      <c r="G7335" s="788">
        <v>41977</v>
      </c>
      <c r="H7335" s="787">
        <v>1</v>
      </c>
      <c r="I7335" s="788">
        <v>41990</v>
      </c>
      <c r="J7335" s="788">
        <v>41977</v>
      </c>
      <c r="K7335" s="788">
        <v>41956</v>
      </c>
      <c r="L7335" s="789">
        <v>2864</v>
      </c>
      <c r="M7335" s="787">
        <v>20</v>
      </c>
      <c r="N7335" s="787">
        <v>0</v>
      </c>
    </row>
    <row r="7336" spans="1:15" x14ac:dyDescent="0.25">
      <c r="A7336" s="786" t="s">
        <v>13118</v>
      </c>
      <c r="B7336" s="787">
        <v>4</v>
      </c>
      <c r="C7336" s="787" t="s">
        <v>13119</v>
      </c>
      <c r="D7336" s="787">
        <v>6.61</v>
      </c>
      <c r="E7336" s="787">
        <v>846.61</v>
      </c>
      <c r="F7336" s="788">
        <v>41988</v>
      </c>
      <c r="G7336" s="788">
        <v>42008</v>
      </c>
      <c r="H7336" s="787">
        <v>1</v>
      </c>
      <c r="I7336" s="788">
        <v>42003</v>
      </c>
      <c r="J7336" s="788">
        <v>41984</v>
      </c>
      <c r="K7336" s="788">
        <v>41967</v>
      </c>
      <c r="L7336" s="787">
        <v>828.5</v>
      </c>
      <c r="M7336" s="787">
        <v>20</v>
      </c>
      <c r="N7336" s="787">
        <v>890.64</v>
      </c>
      <c r="O7336" s="788">
        <v>42018</v>
      </c>
    </row>
    <row r="7337" spans="1:15" x14ac:dyDescent="0.25">
      <c r="A7337" s="786" t="s">
        <v>13120</v>
      </c>
      <c r="B7337" s="787">
        <v>4</v>
      </c>
      <c r="C7337" s="787" t="s">
        <v>13121</v>
      </c>
      <c r="D7337" s="787">
        <v>0.09</v>
      </c>
      <c r="E7337" s="787">
        <v>210.09</v>
      </c>
      <c r="F7337" s="788">
        <v>41988</v>
      </c>
      <c r="G7337" s="788">
        <v>42008</v>
      </c>
      <c r="H7337" s="787">
        <v>1</v>
      </c>
      <c r="I7337" s="788">
        <v>42003</v>
      </c>
      <c r="J7337" s="788">
        <v>41984</v>
      </c>
      <c r="K7337" s="788">
        <v>41967</v>
      </c>
      <c r="L7337" s="787">
        <v>205.6</v>
      </c>
      <c r="M7337" s="787">
        <v>20</v>
      </c>
      <c r="N7337" s="787">
        <v>0</v>
      </c>
    </row>
    <row r="7338" spans="1:15" x14ac:dyDescent="0.25">
      <c r="A7338" s="786" t="s">
        <v>13122</v>
      </c>
      <c r="B7338" s="787">
        <v>4</v>
      </c>
      <c r="C7338" s="787" t="s">
        <v>12740</v>
      </c>
      <c r="D7338" s="787">
        <v>4</v>
      </c>
      <c r="E7338" s="787">
        <v>203</v>
      </c>
      <c r="F7338" s="788">
        <v>41960</v>
      </c>
      <c r="G7338" s="788">
        <v>42030</v>
      </c>
      <c r="H7338" s="787">
        <v>1</v>
      </c>
      <c r="I7338" s="788">
        <v>42026</v>
      </c>
      <c r="J7338" s="788">
        <v>42020</v>
      </c>
      <c r="K7338" s="788">
        <v>41955</v>
      </c>
      <c r="L7338" s="787">
        <v>109</v>
      </c>
      <c r="M7338" s="787">
        <v>20</v>
      </c>
      <c r="N7338" s="787">
        <v>0</v>
      </c>
    </row>
    <row r="7339" spans="1:15" x14ac:dyDescent="0.25">
      <c r="A7339" s="786" t="s">
        <v>13123</v>
      </c>
      <c r="B7339" s="787">
        <v>4</v>
      </c>
      <c r="C7339" s="787" t="s">
        <v>13124</v>
      </c>
      <c r="D7339" s="787">
        <v>5.4</v>
      </c>
      <c r="E7339" s="787">
        <v>5.51</v>
      </c>
      <c r="F7339" s="788">
        <v>41988</v>
      </c>
      <c r="G7339" s="788">
        <v>42158</v>
      </c>
      <c r="H7339" s="787">
        <v>1</v>
      </c>
      <c r="I7339" s="788">
        <v>42003</v>
      </c>
      <c r="J7339" s="788">
        <v>42157</v>
      </c>
      <c r="K7339" s="788">
        <v>41954</v>
      </c>
      <c r="L7339" s="787">
        <v>0.87</v>
      </c>
      <c r="M7339" s="787">
        <v>20</v>
      </c>
      <c r="N7339" s="787">
        <v>0</v>
      </c>
    </row>
    <row r="7340" spans="1:15" x14ac:dyDescent="0.25">
      <c r="A7340" s="786" t="s">
        <v>13125</v>
      </c>
      <c r="B7340" s="787">
        <v>4</v>
      </c>
      <c r="C7340" s="787" t="s">
        <v>13126</v>
      </c>
      <c r="D7340" s="787">
        <v>5.73</v>
      </c>
      <c r="E7340" s="787">
        <v>56.96</v>
      </c>
      <c r="F7340" s="788">
        <v>41988</v>
      </c>
      <c r="G7340" s="788">
        <v>42150</v>
      </c>
      <c r="H7340" s="787">
        <v>1</v>
      </c>
      <c r="I7340" s="788">
        <v>42158</v>
      </c>
      <c r="J7340" s="788">
        <v>42136</v>
      </c>
      <c r="K7340" s="788">
        <v>41967</v>
      </c>
      <c r="L7340" s="787">
        <v>28.48</v>
      </c>
      <c r="M7340" s="787">
        <v>20</v>
      </c>
      <c r="N7340" s="787">
        <v>0</v>
      </c>
    </row>
    <row r="7341" spans="1:15" x14ac:dyDescent="0.25">
      <c r="A7341" s="786" t="s">
        <v>13127</v>
      </c>
      <c r="B7341" s="787">
        <v>4</v>
      </c>
      <c r="C7341" s="787" t="s">
        <v>13128</v>
      </c>
      <c r="D7341" s="787">
        <v>7.2</v>
      </c>
      <c r="E7341" s="787">
        <v>17.579999999999998</v>
      </c>
      <c r="F7341" s="788">
        <v>41988</v>
      </c>
      <c r="G7341" s="788">
        <v>42150</v>
      </c>
      <c r="H7341" s="787">
        <v>1</v>
      </c>
      <c r="I7341" s="788">
        <v>42158</v>
      </c>
      <c r="J7341" s="788">
        <v>42136</v>
      </c>
      <c r="K7341" s="788">
        <v>41967</v>
      </c>
      <c r="L7341" s="787">
        <v>8.7899999999999991</v>
      </c>
      <c r="M7341" s="787">
        <v>20</v>
      </c>
      <c r="N7341" s="787">
        <v>0</v>
      </c>
    </row>
    <row r="7342" spans="1:15" x14ac:dyDescent="0.25">
      <c r="A7342" s="786" t="s">
        <v>13129</v>
      </c>
      <c r="B7342" s="787">
        <v>4</v>
      </c>
      <c r="C7342" s="787" t="s">
        <v>13130</v>
      </c>
      <c r="D7342" s="787">
        <v>5.47</v>
      </c>
      <c r="E7342" s="787">
        <v>25.47</v>
      </c>
      <c r="F7342" s="788">
        <v>41988</v>
      </c>
      <c r="G7342" s="788">
        <v>42008</v>
      </c>
      <c r="H7342" s="787">
        <v>1</v>
      </c>
      <c r="I7342" s="788">
        <v>42003</v>
      </c>
      <c r="J7342" s="788">
        <v>41984</v>
      </c>
      <c r="K7342" s="788">
        <v>41967</v>
      </c>
      <c r="L7342" s="787">
        <v>26.04</v>
      </c>
      <c r="M7342" s="787">
        <v>20</v>
      </c>
      <c r="N7342" s="787">
        <v>0</v>
      </c>
    </row>
    <row r="7343" spans="1:15" x14ac:dyDescent="0.25">
      <c r="A7343" s="786" t="s">
        <v>13131</v>
      </c>
      <c r="B7343" s="787">
        <v>4</v>
      </c>
      <c r="C7343" s="787" t="s">
        <v>13132</v>
      </c>
      <c r="D7343" s="787">
        <v>8.9499999999999993</v>
      </c>
      <c r="E7343" s="787">
        <v>18.95</v>
      </c>
      <c r="F7343" s="788">
        <v>41988</v>
      </c>
      <c r="G7343" s="788">
        <v>42008</v>
      </c>
      <c r="H7343" s="787">
        <v>1</v>
      </c>
      <c r="I7343" s="788">
        <v>42003</v>
      </c>
      <c r="J7343" s="788">
        <v>41984</v>
      </c>
      <c r="K7343" s="788">
        <v>41967</v>
      </c>
      <c r="L7343" s="787">
        <v>4.84</v>
      </c>
      <c r="M7343" s="787">
        <v>20</v>
      </c>
      <c r="N7343" s="787">
        <v>0</v>
      </c>
    </row>
    <row r="7344" spans="1:15" x14ac:dyDescent="0.25">
      <c r="A7344" s="786" t="s">
        <v>13133</v>
      </c>
      <c r="B7344" s="787">
        <v>4</v>
      </c>
      <c r="C7344" s="787" t="s">
        <v>13134</v>
      </c>
      <c r="D7344" s="787">
        <v>3.52</v>
      </c>
      <c r="E7344" s="787">
        <v>13.52</v>
      </c>
      <c r="F7344" s="788">
        <v>41988</v>
      </c>
      <c r="G7344" s="788">
        <v>42008</v>
      </c>
      <c r="H7344" s="787">
        <v>1</v>
      </c>
      <c r="I7344" s="788">
        <v>42003</v>
      </c>
      <c r="J7344" s="788">
        <v>41984</v>
      </c>
      <c r="K7344" s="788">
        <v>41967</v>
      </c>
      <c r="L7344" s="787">
        <v>13.82</v>
      </c>
      <c r="M7344" s="787">
        <v>20</v>
      </c>
      <c r="N7344" s="787">
        <v>0</v>
      </c>
    </row>
    <row r="7345" spans="1:15" x14ac:dyDescent="0.25">
      <c r="A7345" s="786" t="s">
        <v>13135</v>
      </c>
      <c r="B7345" s="787">
        <v>4</v>
      </c>
      <c r="C7345" s="787" t="s">
        <v>13136</v>
      </c>
      <c r="D7345" s="787">
        <v>8.7899999999999991</v>
      </c>
      <c r="E7345" s="787">
        <v>68.790000000000006</v>
      </c>
      <c r="F7345" s="788">
        <v>41988</v>
      </c>
      <c r="G7345" s="788">
        <v>42008</v>
      </c>
      <c r="H7345" s="787">
        <v>1</v>
      </c>
      <c r="I7345" s="788">
        <v>42003</v>
      </c>
      <c r="J7345" s="788">
        <v>41984</v>
      </c>
      <c r="K7345" s="788">
        <v>41967</v>
      </c>
      <c r="L7345" s="787">
        <v>70.31</v>
      </c>
      <c r="M7345" s="787">
        <v>20</v>
      </c>
      <c r="N7345" s="787">
        <v>0</v>
      </c>
    </row>
    <row r="7346" spans="1:15" x14ac:dyDescent="0.25">
      <c r="A7346" s="786" t="s">
        <v>13137</v>
      </c>
      <c r="B7346" s="787">
        <v>4</v>
      </c>
      <c r="C7346" s="787" t="s">
        <v>13138</v>
      </c>
      <c r="D7346" s="787">
        <v>7.2</v>
      </c>
      <c r="E7346" s="787">
        <v>17.2</v>
      </c>
      <c r="F7346" s="788">
        <v>41988</v>
      </c>
      <c r="G7346" s="788">
        <v>42008</v>
      </c>
      <c r="H7346" s="787">
        <v>1</v>
      </c>
      <c r="I7346" s="788">
        <v>42003</v>
      </c>
      <c r="J7346" s="788">
        <v>41984</v>
      </c>
      <c r="K7346" s="788">
        <v>41967</v>
      </c>
      <c r="L7346" s="787">
        <v>17.579999999999998</v>
      </c>
      <c r="M7346" s="787">
        <v>20</v>
      </c>
      <c r="N7346" s="787">
        <v>0</v>
      </c>
    </row>
    <row r="7347" spans="1:15" x14ac:dyDescent="0.25">
      <c r="A7347" s="786" t="s">
        <v>13139</v>
      </c>
      <c r="B7347" s="787">
        <v>4</v>
      </c>
      <c r="C7347" s="787" t="s">
        <v>13140</v>
      </c>
      <c r="D7347" s="787">
        <v>3.52</v>
      </c>
      <c r="E7347" s="787">
        <v>13.52</v>
      </c>
      <c r="F7347" s="788">
        <v>41988</v>
      </c>
      <c r="G7347" s="788">
        <v>42064</v>
      </c>
      <c r="H7347" s="787">
        <v>1</v>
      </c>
      <c r="I7347" s="788">
        <v>42061</v>
      </c>
      <c r="J7347" s="788">
        <v>42047</v>
      </c>
      <c r="K7347" s="788">
        <v>41967</v>
      </c>
      <c r="L7347" s="787">
        <v>13.82</v>
      </c>
      <c r="M7347" s="787">
        <v>20</v>
      </c>
      <c r="N7347" s="787">
        <v>0</v>
      </c>
    </row>
    <row r="7348" spans="1:15" x14ac:dyDescent="0.25">
      <c r="A7348" s="786" t="s">
        <v>13141</v>
      </c>
      <c r="B7348" s="787">
        <v>4</v>
      </c>
      <c r="C7348" s="787" t="s">
        <v>13142</v>
      </c>
      <c r="D7348" s="787">
        <v>6.85</v>
      </c>
      <c r="E7348" s="787">
        <v>6.85</v>
      </c>
      <c r="F7348" s="788">
        <v>41988</v>
      </c>
      <c r="G7348" s="788">
        <v>42008</v>
      </c>
      <c r="H7348" s="787">
        <v>1</v>
      </c>
      <c r="I7348" s="788">
        <v>42003</v>
      </c>
      <c r="J7348" s="788">
        <v>41984</v>
      </c>
      <c r="L7348" s="787">
        <v>6.7</v>
      </c>
      <c r="M7348" s="787">
        <v>20</v>
      </c>
      <c r="N7348" s="787">
        <v>0</v>
      </c>
    </row>
    <row r="7349" spans="1:15" x14ac:dyDescent="0.25">
      <c r="A7349" s="786" t="s">
        <v>13143</v>
      </c>
      <c r="B7349" s="787">
        <v>4</v>
      </c>
      <c r="C7349" s="787" t="s">
        <v>13144</v>
      </c>
      <c r="D7349" s="787">
        <v>3.44</v>
      </c>
      <c r="E7349" s="787">
        <v>53.44</v>
      </c>
      <c r="F7349" s="788">
        <v>41988</v>
      </c>
      <c r="G7349" s="788">
        <v>42008</v>
      </c>
      <c r="H7349" s="787">
        <v>1</v>
      </c>
      <c r="I7349" s="788">
        <v>42003</v>
      </c>
      <c r="J7349" s="788">
        <v>41984</v>
      </c>
      <c r="L7349" s="787">
        <v>52.3</v>
      </c>
      <c r="M7349" s="787">
        <v>20</v>
      </c>
      <c r="N7349" s="787">
        <v>0</v>
      </c>
    </row>
    <row r="7350" spans="1:15" x14ac:dyDescent="0.25">
      <c r="A7350" s="786" t="s">
        <v>13145</v>
      </c>
      <c r="B7350" s="787">
        <v>4</v>
      </c>
      <c r="C7350" s="787" t="s">
        <v>13146</v>
      </c>
      <c r="D7350" s="787">
        <v>0.09</v>
      </c>
      <c r="E7350" s="787">
        <v>0.13</v>
      </c>
      <c r="F7350" s="788">
        <v>41970</v>
      </c>
      <c r="G7350" s="788">
        <v>42092</v>
      </c>
      <c r="H7350" s="787">
        <v>1</v>
      </c>
      <c r="I7350" s="788">
        <v>42159</v>
      </c>
      <c r="J7350" s="788">
        <v>42079</v>
      </c>
      <c r="K7350" s="788">
        <v>42074</v>
      </c>
      <c r="L7350" s="787">
        <v>0.16</v>
      </c>
      <c r="M7350" s="787">
        <v>20</v>
      </c>
      <c r="N7350" s="787">
        <v>0.17</v>
      </c>
      <c r="O7350" s="788">
        <v>42074</v>
      </c>
    </row>
    <row r="7351" spans="1:15" x14ac:dyDescent="0.25">
      <c r="A7351" s="786" t="s">
        <v>13147</v>
      </c>
      <c r="B7351" s="787">
        <v>4</v>
      </c>
      <c r="C7351" s="787" t="s">
        <v>13148</v>
      </c>
      <c r="D7351" s="787">
        <v>1.36</v>
      </c>
      <c r="E7351" s="787">
        <v>41.36</v>
      </c>
      <c r="F7351" s="788">
        <v>41960</v>
      </c>
      <c r="G7351" s="788">
        <v>41974</v>
      </c>
      <c r="H7351" s="787">
        <v>1</v>
      </c>
      <c r="J7351" s="788">
        <v>41956</v>
      </c>
      <c r="L7351" s="787">
        <v>50</v>
      </c>
      <c r="M7351" s="787">
        <v>20</v>
      </c>
      <c r="N7351" s="787">
        <v>0</v>
      </c>
    </row>
    <row r="7352" spans="1:15" x14ac:dyDescent="0.25">
      <c r="A7352" s="786" t="s">
        <v>13149</v>
      </c>
      <c r="B7352" s="787">
        <v>4</v>
      </c>
      <c r="C7352" s="787" t="s">
        <v>9662</v>
      </c>
      <c r="D7352" s="787">
        <v>0</v>
      </c>
      <c r="E7352" s="787">
        <v>0</v>
      </c>
      <c r="G7352" s="788">
        <v>42017</v>
      </c>
      <c r="H7352" s="787">
        <v>1</v>
      </c>
      <c r="I7352" s="788">
        <v>41955</v>
      </c>
      <c r="J7352" s="788">
        <v>41955</v>
      </c>
      <c r="L7352" s="787">
        <v>9.1999999999999993</v>
      </c>
      <c r="M7352" s="787">
        <v>20</v>
      </c>
      <c r="N7352" s="787">
        <v>0</v>
      </c>
    </row>
    <row r="7353" spans="1:15" x14ac:dyDescent="0.25">
      <c r="A7353" s="786" t="s">
        <v>13150</v>
      </c>
      <c r="B7353" s="787">
        <v>4</v>
      </c>
      <c r="C7353" s="787" t="s">
        <v>13151</v>
      </c>
      <c r="D7353" s="787">
        <v>5.29</v>
      </c>
      <c r="E7353" s="787">
        <v>5.29</v>
      </c>
      <c r="F7353" s="788">
        <v>42019</v>
      </c>
      <c r="G7353" s="788">
        <v>42024</v>
      </c>
      <c r="H7353" s="787">
        <v>1</v>
      </c>
      <c r="I7353" s="788">
        <v>42101</v>
      </c>
      <c r="J7353" s="788">
        <v>42019</v>
      </c>
      <c r="K7353" s="788">
        <v>41955</v>
      </c>
      <c r="L7353" s="787">
        <v>4.59</v>
      </c>
      <c r="M7353" s="787">
        <v>20</v>
      </c>
      <c r="N7353" s="787">
        <v>0</v>
      </c>
    </row>
    <row r="7354" spans="1:15" x14ac:dyDescent="0.25">
      <c r="A7354" s="786" t="s">
        <v>13152</v>
      </c>
      <c r="B7354" s="787">
        <v>4</v>
      </c>
      <c r="C7354" s="787" t="s">
        <v>13153</v>
      </c>
      <c r="D7354" s="787">
        <v>5.6</v>
      </c>
      <c r="E7354" s="787">
        <v>5.6</v>
      </c>
      <c r="F7354" s="788">
        <v>42019</v>
      </c>
      <c r="G7354" s="788">
        <v>42024</v>
      </c>
      <c r="H7354" s="787">
        <v>1</v>
      </c>
      <c r="I7354" s="788">
        <v>42101</v>
      </c>
      <c r="J7354" s="788">
        <v>42019</v>
      </c>
      <c r="K7354" s="788">
        <v>41955</v>
      </c>
      <c r="L7354" s="787">
        <v>4.8899999999999997</v>
      </c>
      <c r="M7354" s="787">
        <v>20</v>
      </c>
      <c r="N7354" s="787">
        <v>0</v>
      </c>
    </row>
    <row r="7355" spans="1:15" x14ac:dyDescent="0.25">
      <c r="A7355" s="786" t="s">
        <v>13154</v>
      </c>
      <c r="B7355" s="787">
        <v>4</v>
      </c>
      <c r="C7355" s="787" t="s">
        <v>13155</v>
      </c>
      <c r="D7355" s="787">
        <v>9</v>
      </c>
      <c r="E7355" s="787">
        <v>189</v>
      </c>
      <c r="F7355" s="788">
        <v>41977</v>
      </c>
      <c r="G7355" s="788">
        <v>42008</v>
      </c>
      <c r="H7355" s="787">
        <v>1</v>
      </c>
      <c r="I7355" s="788">
        <v>41988</v>
      </c>
      <c r="J7355" s="788">
        <v>41976</v>
      </c>
      <c r="K7355" s="788">
        <v>41960</v>
      </c>
      <c r="L7355" s="787">
        <v>154</v>
      </c>
      <c r="M7355" s="787">
        <v>20</v>
      </c>
      <c r="N7355" s="787">
        <v>0</v>
      </c>
    </row>
    <row r="7356" spans="1:15" x14ac:dyDescent="0.25">
      <c r="A7356" s="786" t="s">
        <v>13156</v>
      </c>
      <c r="B7356" s="787">
        <v>4</v>
      </c>
      <c r="C7356" s="787" t="s">
        <v>13157</v>
      </c>
      <c r="D7356" s="787">
        <v>0</v>
      </c>
      <c r="E7356" s="789">
        <v>3440</v>
      </c>
      <c r="F7356" s="788">
        <v>42002</v>
      </c>
      <c r="G7356" s="788">
        <v>42008</v>
      </c>
      <c r="H7356" s="787">
        <v>1</v>
      </c>
      <c r="I7356" s="788">
        <v>41988</v>
      </c>
      <c r="J7356" s="788">
        <v>41983</v>
      </c>
      <c r="K7356" s="788">
        <v>41956</v>
      </c>
      <c r="L7356" s="789">
        <v>3200</v>
      </c>
      <c r="M7356" s="787">
        <v>20</v>
      </c>
      <c r="N7356" s="787">
        <v>0</v>
      </c>
    </row>
    <row r="7357" spans="1:15" x14ac:dyDescent="0.25">
      <c r="A7357" s="786" t="s">
        <v>13158</v>
      </c>
      <c r="B7357" s="787">
        <v>4</v>
      </c>
      <c r="C7357" s="787" t="s">
        <v>13159</v>
      </c>
      <c r="D7357" s="787">
        <v>6.5</v>
      </c>
      <c r="E7357" s="787">
        <v>6.5</v>
      </c>
      <c r="F7357" s="788">
        <v>41970</v>
      </c>
      <c r="G7357" s="788">
        <v>41963</v>
      </c>
      <c r="H7357" s="787">
        <v>1</v>
      </c>
      <c r="I7357" s="788">
        <v>42114</v>
      </c>
      <c r="J7357" s="788">
        <v>42114</v>
      </c>
      <c r="L7357" s="787">
        <v>6.5</v>
      </c>
      <c r="M7357" s="787">
        <v>20</v>
      </c>
      <c r="N7357" s="787">
        <v>0</v>
      </c>
    </row>
    <row r="7358" spans="1:15" x14ac:dyDescent="0.25">
      <c r="A7358" s="786" t="s">
        <v>13160</v>
      </c>
      <c r="B7358" s="787">
        <v>4</v>
      </c>
      <c r="C7358" s="787" t="s">
        <v>13161</v>
      </c>
      <c r="D7358" s="787">
        <v>3</v>
      </c>
      <c r="E7358" s="787">
        <v>3</v>
      </c>
      <c r="F7358" s="788">
        <v>41970</v>
      </c>
      <c r="G7358" s="788">
        <v>41963</v>
      </c>
      <c r="H7358" s="787">
        <v>1</v>
      </c>
      <c r="I7358" s="788">
        <v>41989</v>
      </c>
      <c r="J7358" s="788">
        <v>41963</v>
      </c>
      <c r="L7358" s="787">
        <v>3</v>
      </c>
      <c r="M7358" s="787">
        <v>20</v>
      </c>
      <c r="N7358" s="787">
        <v>0</v>
      </c>
    </row>
    <row r="7359" spans="1:15" x14ac:dyDescent="0.25">
      <c r="A7359" s="786" t="s">
        <v>13162</v>
      </c>
      <c r="B7359" s="787">
        <v>4</v>
      </c>
      <c r="C7359" s="787" t="s">
        <v>12437</v>
      </c>
      <c r="D7359" s="787">
        <v>1.19</v>
      </c>
      <c r="E7359" s="787">
        <v>1.19</v>
      </c>
      <c r="F7359" s="788">
        <v>41963</v>
      </c>
      <c r="G7359" s="788">
        <v>41960</v>
      </c>
      <c r="H7359" s="787">
        <v>1</v>
      </c>
      <c r="J7359" s="788">
        <v>41960</v>
      </c>
      <c r="L7359" s="787">
        <v>1.19</v>
      </c>
      <c r="M7359" s="787">
        <v>20</v>
      </c>
      <c r="N7359" s="787">
        <v>0</v>
      </c>
    </row>
    <row r="7360" spans="1:15" x14ac:dyDescent="0.25">
      <c r="A7360" s="786" t="s">
        <v>13163</v>
      </c>
      <c r="B7360" s="787">
        <v>4</v>
      </c>
      <c r="C7360" s="787" t="s">
        <v>13164</v>
      </c>
      <c r="D7360" s="787">
        <v>7.4</v>
      </c>
      <c r="E7360" s="787">
        <v>7.4</v>
      </c>
      <c r="F7360" s="788">
        <v>41970</v>
      </c>
      <c r="G7360" s="788">
        <v>41978</v>
      </c>
      <c r="H7360" s="787">
        <v>1</v>
      </c>
      <c r="I7360" s="788">
        <v>42164</v>
      </c>
      <c r="J7360" s="788">
        <v>42088</v>
      </c>
      <c r="K7360" s="788">
        <v>42011</v>
      </c>
      <c r="L7360" s="787">
        <v>7.4</v>
      </c>
      <c r="M7360" s="787">
        <v>20</v>
      </c>
      <c r="N7360" s="787">
        <v>7.96</v>
      </c>
      <c r="O7360" s="788">
        <v>42164</v>
      </c>
    </row>
    <row r="7361" spans="1:15" x14ac:dyDescent="0.25">
      <c r="A7361" s="786" t="s">
        <v>13165</v>
      </c>
      <c r="B7361" s="787">
        <v>4</v>
      </c>
      <c r="C7361" s="787" t="s">
        <v>13166</v>
      </c>
      <c r="D7361" s="787">
        <v>4.88</v>
      </c>
      <c r="E7361" s="787">
        <v>4.88</v>
      </c>
      <c r="F7361" s="788">
        <v>41981</v>
      </c>
      <c r="G7361" s="788">
        <v>42008</v>
      </c>
      <c r="H7361" s="787">
        <v>1</v>
      </c>
      <c r="I7361" s="788">
        <v>41984</v>
      </c>
      <c r="J7361" s="788">
        <v>41977</v>
      </c>
      <c r="K7361" s="788">
        <v>41961</v>
      </c>
      <c r="L7361" s="787">
        <v>4.29</v>
      </c>
      <c r="M7361" s="787">
        <v>20</v>
      </c>
      <c r="N7361" s="787">
        <v>0</v>
      </c>
    </row>
    <row r="7362" spans="1:15" x14ac:dyDescent="0.25">
      <c r="A7362" s="786" t="s">
        <v>13167</v>
      </c>
      <c r="B7362" s="787">
        <v>4</v>
      </c>
      <c r="C7362" s="787" t="s">
        <v>13168</v>
      </c>
      <c r="D7362" s="787">
        <v>8.08</v>
      </c>
      <c r="E7362" s="787">
        <v>8.08</v>
      </c>
      <c r="F7362" s="788">
        <v>41981</v>
      </c>
      <c r="G7362" s="788">
        <v>42008</v>
      </c>
      <c r="H7362" s="787">
        <v>1</v>
      </c>
      <c r="J7362" s="788">
        <v>41977</v>
      </c>
      <c r="K7362" s="788">
        <v>41961</v>
      </c>
      <c r="L7362" s="787">
        <v>7.1</v>
      </c>
      <c r="M7362" s="787">
        <v>20</v>
      </c>
      <c r="N7362" s="787">
        <v>0</v>
      </c>
    </row>
    <row r="7363" spans="1:15" x14ac:dyDescent="0.25">
      <c r="A7363" s="786" t="s">
        <v>13169</v>
      </c>
      <c r="B7363" s="787">
        <v>4</v>
      </c>
      <c r="C7363" s="787" t="s">
        <v>13170</v>
      </c>
      <c r="D7363" s="787">
        <v>8.8800000000000008</v>
      </c>
      <c r="E7363" s="787">
        <v>8.8800000000000008</v>
      </c>
      <c r="F7363" s="788">
        <v>41981</v>
      </c>
      <c r="G7363" s="788">
        <v>42008</v>
      </c>
      <c r="H7363" s="787">
        <v>1</v>
      </c>
      <c r="I7363" s="788">
        <v>41984</v>
      </c>
      <c r="J7363" s="788">
        <v>41977</v>
      </c>
      <c r="K7363" s="788">
        <v>41961</v>
      </c>
      <c r="L7363" s="787">
        <v>7.8</v>
      </c>
      <c r="M7363" s="787">
        <v>20</v>
      </c>
      <c r="N7363" s="787">
        <v>0</v>
      </c>
    </row>
    <row r="7364" spans="1:15" x14ac:dyDescent="0.25">
      <c r="A7364" s="786" t="s">
        <v>13171</v>
      </c>
      <c r="B7364" s="787">
        <v>4</v>
      </c>
      <c r="C7364" s="787" t="s">
        <v>11785</v>
      </c>
      <c r="D7364" s="787">
        <v>9.09</v>
      </c>
      <c r="E7364" s="787">
        <v>9.09</v>
      </c>
      <c r="F7364" s="788">
        <v>41981</v>
      </c>
      <c r="G7364" s="788">
        <v>42008</v>
      </c>
      <c r="H7364" s="787">
        <v>1</v>
      </c>
      <c r="J7364" s="788">
        <v>41977</v>
      </c>
      <c r="K7364" s="788">
        <v>41961</v>
      </c>
      <c r="L7364" s="787">
        <v>7.98</v>
      </c>
      <c r="M7364" s="787">
        <v>20</v>
      </c>
      <c r="N7364" s="787">
        <v>0</v>
      </c>
    </row>
    <row r="7365" spans="1:15" x14ac:dyDescent="0.25">
      <c r="A7365" s="786" t="s">
        <v>13172</v>
      </c>
      <c r="B7365" s="787">
        <v>4</v>
      </c>
      <c r="C7365" s="787" t="s">
        <v>13173</v>
      </c>
      <c r="D7365" s="787">
        <v>3.81</v>
      </c>
      <c r="E7365" s="787">
        <v>3.81</v>
      </c>
      <c r="F7365" s="788">
        <v>41981</v>
      </c>
      <c r="G7365" s="788">
        <v>42008</v>
      </c>
      <c r="H7365" s="787">
        <v>1</v>
      </c>
      <c r="I7365" s="788">
        <v>41982</v>
      </c>
      <c r="J7365" s="788">
        <v>41977</v>
      </c>
      <c r="K7365" s="788">
        <v>41961</v>
      </c>
      <c r="L7365" s="787">
        <v>3.21</v>
      </c>
      <c r="M7365" s="787">
        <v>20</v>
      </c>
      <c r="N7365" s="787">
        <v>0</v>
      </c>
    </row>
    <row r="7366" spans="1:15" x14ac:dyDescent="0.25">
      <c r="A7366" s="786" t="s">
        <v>13174</v>
      </c>
      <c r="B7366" s="787">
        <v>4</v>
      </c>
      <c r="C7366" s="787" t="s">
        <v>13175</v>
      </c>
      <c r="D7366" s="787">
        <v>5.48</v>
      </c>
      <c r="E7366" s="787">
        <v>5.48</v>
      </c>
      <c r="F7366" s="788">
        <v>41981</v>
      </c>
      <c r="G7366" s="788">
        <v>42008</v>
      </c>
      <c r="H7366" s="787">
        <v>1</v>
      </c>
      <c r="I7366" s="788">
        <v>41984</v>
      </c>
      <c r="J7366" s="788">
        <v>41977</v>
      </c>
      <c r="K7366" s="788">
        <v>41961</v>
      </c>
      <c r="L7366" s="787">
        <v>4.8099999999999996</v>
      </c>
      <c r="M7366" s="787">
        <v>20</v>
      </c>
      <c r="N7366" s="787">
        <v>0</v>
      </c>
    </row>
    <row r="7367" spans="1:15" x14ac:dyDescent="0.25">
      <c r="A7367" s="786" t="s">
        <v>13176</v>
      </c>
      <c r="B7367" s="787">
        <v>4</v>
      </c>
      <c r="C7367" s="787" t="s">
        <v>13177</v>
      </c>
      <c r="D7367" s="787">
        <v>3.36</v>
      </c>
      <c r="E7367" s="787">
        <v>3.36</v>
      </c>
      <c r="F7367" s="788">
        <v>41981</v>
      </c>
      <c r="G7367" s="788">
        <v>42008</v>
      </c>
      <c r="H7367" s="787">
        <v>1</v>
      </c>
      <c r="J7367" s="788">
        <v>41977</v>
      </c>
      <c r="K7367" s="788">
        <v>41961</v>
      </c>
      <c r="L7367" s="787">
        <v>2.75</v>
      </c>
      <c r="M7367" s="787">
        <v>20</v>
      </c>
      <c r="N7367" s="787">
        <v>2.96</v>
      </c>
      <c r="O7367" s="788">
        <v>41979</v>
      </c>
    </row>
    <row r="7368" spans="1:15" x14ac:dyDescent="0.25">
      <c r="A7368" s="786" t="s">
        <v>13178</v>
      </c>
      <c r="B7368" s="787">
        <v>4</v>
      </c>
      <c r="C7368" s="787" t="s">
        <v>13179</v>
      </c>
      <c r="D7368" s="787">
        <v>0</v>
      </c>
      <c r="E7368" s="787">
        <v>0</v>
      </c>
      <c r="G7368" s="788">
        <v>42164</v>
      </c>
      <c r="H7368" s="787">
        <v>1</v>
      </c>
      <c r="J7368" s="788">
        <v>42164</v>
      </c>
      <c r="L7368" s="787">
        <v>0.39</v>
      </c>
      <c r="M7368" s="787">
        <v>20</v>
      </c>
      <c r="N7368" s="787">
        <v>0.42</v>
      </c>
      <c r="O7368" s="788">
        <v>42054</v>
      </c>
    </row>
    <row r="7369" spans="1:15" x14ac:dyDescent="0.25">
      <c r="A7369" s="786" t="s">
        <v>13180</v>
      </c>
      <c r="B7369" s="787">
        <v>4</v>
      </c>
      <c r="C7369" s="787" t="s">
        <v>12362</v>
      </c>
      <c r="D7369" s="787">
        <v>0.93</v>
      </c>
      <c r="E7369" s="787">
        <v>10.93</v>
      </c>
      <c r="F7369" s="788">
        <v>41969</v>
      </c>
      <c r="G7369" s="788">
        <v>41974</v>
      </c>
      <c r="H7369" s="787">
        <v>1</v>
      </c>
      <c r="J7369" s="788">
        <v>41967</v>
      </c>
      <c r="L7369" s="787">
        <v>10.88</v>
      </c>
      <c r="M7369" s="787">
        <v>20</v>
      </c>
      <c r="N7369" s="787">
        <v>11.7</v>
      </c>
      <c r="O7369" s="788">
        <v>41979</v>
      </c>
    </row>
    <row r="7370" spans="1:15" x14ac:dyDescent="0.25">
      <c r="A7370" s="786" t="s">
        <v>13181</v>
      </c>
      <c r="B7370" s="787">
        <v>4</v>
      </c>
      <c r="C7370" s="787" t="s">
        <v>12362</v>
      </c>
      <c r="D7370" s="787">
        <v>6.71</v>
      </c>
      <c r="E7370" s="787">
        <v>16.71</v>
      </c>
      <c r="F7370" s="788">
        <v>41969</v>
      </c>
      <c r="G7370" s="788">
        <v>41974</v>
      </c>
      <c r="H7370" s="787">
        <v>1</v>
      </c>
      <c r="I7370" s="788">
        <v>41982</v>
      </c>
      <c r="J7370" s="788">
        <v>41967</v>
      </c>
      <c r="L7370" s="787">
        <v>17.46</v>
      </c>
      <c r="M7370" s="787">
        <v>20</v>
      </c>
      <c r="N7370" s="787">
        <v>0</v>
      </c>
    </row>
    <row r="7371" spans="1:15" x14ac:dyDescent="0.25">
      <c r="A7371" s="786" t="s">
        <v>820</v>
      </c>
      <c r="B7371" s="787">
        <v>4</v>
      </c>
      <c r="C7371" s="787" t="s">
        <v>13182</v>
      </c>
      <c r="D7371" s="787">
        <v>3.42</v>
      </c>
      <c r="E7371" s="787">
        <v>4.24</v>
      </c>
      <c r="F7371" s="788">
        <v>41974</v>
      </c>
      <c r="G7371" s="788">
        <v>42135</v>
      </c>
      <c r="H7371" s="787">
        <v>1</v>
      </c>
      <c r="I7371" s="788">
        <v>42103</v>
      </c>
      <c r="J7371" s="788">
        <v>42090</v>
      </c>
      <c r="K7371" s="788">
        <v>42089</v>
      </c>
      <c r="L7371" s="787">
        <v>3.29</v>
      </c>
      <c r="M7371" s="787">
        <v>20</v>
      </c>
      <c r="N7371" s="787">
        <v>0</v>
      </c>
    </row>
    <row r="7372" spans="1:15" x14ac:dyDescent="0.25">
      <c r="A7372" s="786" t="s">
        <v>13183</v>
      </c>
      <c r="B7372" s="787">
        <v>4</v>
      </c>
      <c r="C7372" s="787" t="s">
        <v>12740</v>
      </c>
      <c r="D7372" s="787">
        <v>8.52</v>
      </c>
      <c r="E7372" s="787">
        <v>158.52000000000001</v>
      </c>
      <c r="F7372" s="788">
        <v>41977</v>
      </c>
      <c r="G7372" s="788">
        <v>42008</v>
      </c>
      <c r="H7372" s="787">
        <v>1</v>
      </c>
      <c r="I7372" s="788">
        <v>42016</v>
      </c>
      <c r="J7372" s="788">
        <v>42016</v>
      </c>
      <c r="K7372" s="788">
        <v>41964</v>
      </c>
      <c r="L7372" s="787">
        <v>140</v>
      </c>
      <c r="M7372" s="787">
        <v>20</v>
      </c>
      <c r="N7372" s="787">
        <v>0</v>
      </c>
    </row>
    <row r="7373" spans="1:15" x14ac:dyDescent="0.25">
      <c r="A7373" s="786" t="s">
        <v>13184</v>
      </c>
      <c r="B7373" s="787">
        <v>4</v>
      </c>
      <c r="C7373" s="787" t="s">
        <v>13185</v>
      </c>
      <c r="D7373" s="787">
        <v>2.48</v>
      </c>
      <c r="E7373" s="787">
        <v>132.47999999999999</v>
      </c>
      <c r="F7373" s="788">
        <v>41977</v>
      </c>
      <c r="G7373" s="788">
        <v>42008</v>
      </c>
      <c r="H7373" s="787">
        <v>1</v>
      </c>
      <c r="I7373" s="788">
        <v>42016</v>
      </c>
      <c r="J7373" s="788">
        <v>42016</v>
      </c>
      <c r="K7373" s="788">
        <v>41964</v>
      </c>
      <c r="L7373" s="787">
        <v>117</v>
      </c>
      <c r="M7373" s="787">
        <v>20</v>
      </c>
      <c r="N7373" s="787">
        <v>0</v>
      </c>
    </row>
    <row r="7374" spans="1:15" x14ac:dyDescent="0.25">
      <c r="A7374" s="786" t="s">
        <v>13186</v>
      </c>
      <c r="B7374" s="787">
        <v>4</v>
      </c>
      <c r="C7374" s="787" t="s">
        <v>13187</v>
      </c>
      <c r="D7374" s="787">
        <v>0</v>
      </c>
      <c r="E7374" s="789">
        <v>1500</v>
      </c>
      <c r="F7374" s="788">
        <v>42011</v>
      </c>
      <c r="G7374" s="788">
        <v>41991</v>
      </c>
      <c r="H7374" s="787">
        <v>1</v>
      </c>
      <c r="I7374" s="788">
        <v>42016</v>
      </c>
      <c r="J7374" s="788">
        <v>42016</v>
      </c>
      <c r="K7374" s="788">
        <v>41969</v>
      </c>
      <c r="L7374" s="789">
        <v>1500</v>
      </c>
      <c r="M7374" s="787">
        <v>20</v>
      </c>
      <c r="N7374" s="787">
        <v>0</v>
      </c>
    </row>
    <row r="7375" spans="1:15" x14ac:dyDescent="0.25">
      <c r="A7375" s="786" t="s">
        <v>13188</v>
      </c>
      <c r="B7375" s="787">
        <v>4</v>
      </c>
      <c r="C7375" s="787" t="s">
        <v>13189</v>
      </c>
      <c r="D7375" s="787">
        <v>0</v>
      </c>
      <c r="E7375" s="789">
        <v>2100</v>
      </c>
      <c r="F7375" s="788">
        <v>42011</v>
      </c>
      <c r="G7375" s="788">
        <v>41991</v>
      </c>
      <c r="H7375" s="787">
        <v>1</v>
      </c>
      <c r="I7375" s="788">
        <v>42016</v>
      </c>
      <c r="J7375" s="788">
        <v>42016</v>
      </c>
      <c r="K7375" s="788">
        <v>41969</v>
      </c>
      <c r="L7375" s="789">
        <v>2100</v>
      </c>
      <c r="M7375" s="787">
        <v>20</v>
      </c>
      <c r="N7375" s="787">
        <v>0</v>
      </c>
    </row>
    <row r="7376" spans="1:15" x14ac:dyDescent="0.25">
      <c r="A7376" s="786" t="s">
        <v>13190</v>
      </c>
      <c r="B7376" s="787">
        <v>4</v>
      </c>
      <c r="C7376" s="787" t="s">
        <v>13191</v>
      </c>
      <c r="D7376" s="787">
        <v>9.68</v>
      </c>
      <c r="E7376" s="787">
        <v>149.68</v>
      </c>
      <c r="F7376" s="788">
        <v>41977</v>
      </c>
      <c r="G7376" s="788">
        <v>42008</v>
      </c>
      <c r="H7376" s="787">
        <v>1</v>
      </c>
      <c r="I7376" s="788">
        <v>41990</v>
      </c>
      <c r="J7376" s="788">
        <v>41976</v>
      </c>
      <c r="K7376" s="788">
        <v>41964</v>
      </c>
      <c r="L7376" s="787">
        <v>133</v>
      </c>
      <c r="M7376" s="787">
        <v>20</v>
      </c>
      <c r="N7376" s="787">
        <v>0</v>
      </c>
    </row>
    <row r="7377" spans="1:15" x14ac:dyDescent="0.25">
      <c r="A7377" s="786" t="s">
        <v>13192</v>
      </c>
      <c r="B7377" s="787">
        <v>4</v>
      </c>
      <c r="C7377" s="787" t="s">
        <v>13193</v>
      </c>
      <c r="D7377" s="787">
        <v>4</v>
      </c>
      <c r="E7377" s="787">
        <v>214</v>
      </c>
      <c r="F7377" s="788">
        <v>41976</v>
      </c>
      <c r="G7377" s="788">
        <v>41975</v>
      </c>
      <c r="H7377" s="787">
        <v>1</v>
      </c>
      <c r="J7377" s="788">
        <v>41975</v>
      </c>
      <c r="K7377" s="788">
        <v>41970</v>
      </c>
      <c r="L7377" s="787">
        <v>214</v>
      </c>
      <c r="M7377" s="787">
        <v>20</v>
      </c>
      <c r="N7377" s="787">
        <v>0</v>
      </c>
    </row>
    <row r="7378" spans="1:15" x14ac:dyDescent="0.25">
      <c r="A7378" s="786" t="s">
        <v>13194</v>
      </c>
      <c r="B7378" s="787">
        <v>4</v>
      </c>
      <c r="C7378" s="787" t="s">
        <v>13195</v>
      </c>
      <c r="D7378" s="787">
        <v>0.08</v>
      </c>
      <c r="E7378" s="787">
        <v>30.08</v>
      </c>
      <c r="F7378" s="788">
        <v>41974</v>
      </c>
      <c r="G7378" s="788">
        <v>42008</v>
      </c>
      <c r="H7378" s="787">
        <v>1</v>
      </c>
      <c r="I7378" s="788">
        <v>41984</v>
      </c>
      <c r="J7378" s="788">
        <v>41975</v>
      </c>
      <c r="L7378" s="787">
        <v>1</v>
      </c>
      <c r="M7378" s="787">
        <v>20</v>
      </c>
      <c r="N7378" s="787">
        <v>0</v>
      </c>
    </row>
    <row r="7379" spans="1:15" x14ac:dyDescent="0.25">
      <c r="A7379" s="786" t="s">
        <v>13196</v>
      </c>
      <c r="B7379" s="787">
        <v>4</v>
      </c>
      <c r="C7379" s="787" t="s">
        <v>13195</v>
      </c>
      <c r="D7379" s="787">
        <v>3.23</v>
      </c>
      <c r="E7379" s="787">
        <v>33.229999999999997</v>
      </c>
      <c r="F7379" s="788">
        <v>41974</v>
      </c>
      <c r="G7379" s="788">
        <v>42008</v>
      </c>
      <c r="H7379" s="787">
        <v>1</v>
      </c>
      <c r="I7379" s="788">
        <v>41984</v>
      </c>
      <c r="J7379" s="788">
        <v>41975</v>
      </c>
      <c r="L7379" s="787">
        <v>1</v>
      </c>
      <c r="M7379" s="787">
        <v>20</v>
      </c>
      <c r="N7379" s="787">
        <v>0</v>
      </c>
    </row>
    <row r="7380" spans="1:15" x14ac:dyDescent="0.25">
      <c r="A7380" s="786" t="s">
        <v>13197</v>
      </c>
      <c r="B7380" s="787">
        <v>4</v>
      </c>
      <c r="C7380" s="787" t="s">
        <v>13198</v>
      </c>
      <c r="D7380" s="787">
        <v>0.5</v>
      </c>
      <c r="E7380" s="787">
        <v>10.5</v>
      </c>
      <c r="F7380" s="788">
        <v>41974</v>
      </c>
      <c r="G7380" s="788">
        <v>41976</v>
      </c>
      <c r="H7380" s="787">
        <v>1</v>
      </c>
      <c r="J7380" s="788">
        <v>41976</v>
      </c>
      <c r="L7380" s="787">
        <v>10.5</v>
      </c>
      <c r="M7380" s="787">
        <v>20</v>
      </c>
      <c r="N7380" s="787">
        <v>0</v>
      </c>
    </row>
    <row r="7381" spans="1:15" x14ac:dyDescent="0.25">
      <c r="A7381" s="786" t="s">
        <v>13199</v>
      </c>
      <c r="B7381" s="787">
        <v>4</v>
      </c>
      <c r="C7381" s="787" t="s">
        <v>13200</v>
      </c>
      <c r="D7381" s="787">
        <v>3.05</v>
      </c>
      <c r="E7381" s="787">
        <v>3.05</v>
      </c>
      <c r="F7381" s="788">
        <v>42121</v>
      </c>
      <c r="G7381" s="788">
        <v>42114</v>
      </c>
      <c r="H7381" s="787">
        <v>1</v>
      </c>
      <c r="I7381" s="788">
        <v>42122</v>
      </c>
      <c r="J7381" s="788">
        <v>42114</v>
      </c>
      <c r="L7381" s="787">
        <v>4.1500000000000004</v>
      </c>
      <c r="M7381" s="787">
        <v>20</v>
      </c>
      <c r="N7381" s="787">
        <v>0</v>
      </c>
    </row>
    <row r="7382" spans="1:15" x14ac:dyDescent="0.25">
      <c r="A7382" s="786" t="s">
        <v>13201</v>
      </c>
      <c r="B7382" s="787">
        <v>4</v>
      </c>
      <c r="C7382" s="787" t="s">
        <v>13202</v>
      </c>
      <c r="D7382" s="787">
        <v>3</v>
      </c>
      <c r="E7382" s="787">
        <v>3</v>
      </c>
      <c r="F7382" s="788">
        <v>42121</v>
      </c>
      <c r="G7382" s="788">
        <v>42114</v>
      </c>
      <c r="H7382" s="787">
        <v>1</v>
      </c>
      <c r="I7382" s="788">
        <v>42122</v>
      </c>
      <c r="J7382" s="788">
        <v>42114</v>
      </c>
      <c r="L7382" s="787">
        <v>4.0999999999999996</v>
      </c>
      <c r="M7382" s="787">
        <v>20</v>
      </c>
      <c r="N7382" s="787">
        <v>0</v>
      </c>
    </row>
    <row r="7383" spans="1:15" x14ac:dyDescent="0.25">
      <c r="A7383" s="786" t="s">
        <v>13203</v>
      </c>
      <c r="B7383" s="787">
        <v>4</v>
      </c>
      <c r="C7383" s="787" t="s">
        <v>13204</v>
      </c>
      <c r="D7383" s="787">
        <v>3.55</v>
      </c>
      <c r="E7383" s="787">
        <v>3.55</v>
      </c>
      <c r="F7383" s="788">
        <v>42121</v>
      </c>
      <c r="G7383" s="788">
        <v>42114</v>
      </c>
      <c r="H7383" s="787">
        <v>1</v>
      </c>
      <c r="I7383" s="788">
        <v>42122</v>
      </c>
      <c r="J7383" s="788">
        <v>42114</v>
      </c>
      <c r="K7383" s="788">
        <v>42115</v>
      </c>
      <c r="L7383" s="787">
        <v>4.1399999999999997</v>
      </c>
      <c r="M7383" s="787">
        <v>10</v>
      </c>
      <c r="N7383" s="787">
        <v>4.1399999999999997</v>
      </c>
      <c r="O7383" s="788">
        <v>42115</v>
      </c>
    </row>
    <row r="7384" spans="1:15" x14ac:dyDescent="0.25">
      <c r="A7384" s="786" t="s">
        <v>13205</v>
      </c>
      <c r="B7384" s="787">
        <v>4</v>
      </c>
      <c r="C7384" s="787" t="s">
        <v>13206</v>
      </c>
      <c r="D7384" s="787">
        <v>2.19</v>
      </c>
      <c r="E7384" s="787">
        <v>182.19</v>
      </c>
      <c r="F7384" s="788">
        <v>41977</v>
      </c>
      <c r="G7384" s="788">
        <v>42008</v>
      </c>
      <c r="H7384" s="787">
        <v>1</v>
      </c>
      <c r="I7384" s="788">
        <v>41990</v>
      </c>
      <c r="J7384" s="788">
        <v>41976</v>
      </c>
      <c r="L7384" s="787">
        <v>176.5</v>
      </c>
      <c r="M7384" s="787">
        <v>20</v>
      </c>
      <c r="N7384" s="787">
        <v>0</v>
      </c>
    </row>
    <row r="7385" spans="1:15" x14ac:dyDescent="0.25">
      <c r="A7385" s="786" t="s">
        <v>13207</v>
      </c>
      <c r="B7385" s="787">
        <v>4</v>
      </c>
      <c r="C7385" s="787" t="s">
        <v>13208</v>
      </c>
      <c r="D7385" s="787">
        <v>4.0599999999999996</v>
      </c>
      <c r="E7385" s="787">
        <v>194.06</v>
      </c>
      <c r="F7385" s="788">
        <v>41977</v>
      </c>
      <c r="G7385" s="788">
        <v>42008</v>
      </c>
      <c r="H7385" s="787">
        <v>1</v>
      </c>
      <c r="I7385" s="788">
        <v>41990</v>
      </c>
      <c r="J7385" s="788">
        <v>41976</v>
      </c>
      <c r="L7385" s="787">
        <v>188</v>
      </c>
      <c r="M7385" s="787">
        <v>20</v>
      </c>
      <c r="N7385" s="787">
        <v>0</v>
      </c>
    </row>
    <row r="7386" spans="1:15" x14ac:dyDescent="0.25">
      <c r="A7386" s="786" t="s">
        <v>13209</v>
      </c>
      <c r="B7386" s="787">
        <v>4</v>
      </c>
      <c r="C7386" s="787" t="s">
        <v>2635</v>
      </c>
      <c r="D7386" s="787">
        <v>5.65</v>
      </c>
      <c r="E7386" s="787">
        <v>5.65</v>
      </c>
      <c r="F7386" s="788">
        <v>42121</v>
      </c>
      <c r="G7386" s="788">
        <v>42146</v>
      </c>
      <c r="H7386" s="787">
        <v>1</v>
      </c>
      <c r="I7386" s="788">
        <v>42136</v>
      </c>
      <c r="J7386" s="788">
        <v>42114</v>
      </c>
      <c r="L7386" s="787">
        <v>6.52</v>
      </c>
      <c r="M7386" s="787">
        <v>20</v>
      </c>
      <c r="N7386" s="787">
        <v>0</v>
      </c>
    </row>
    <row r="7387" spans="1:15" x14ac:dyDescent="0.25">
      <c r="A7387" s="786" t="s">
        <v>13210</v>
      </c>
      <c r="B7387" s="787">
        <v>4</v>
      </c>
      <c r="C7387" s="787" t="s">
        <v>13211</v>
      </c>
      <c r="D7387" s="787">
        <v>9.2200000000000006</v>
      </c>
      <c r="E7387" s="787">
        <v>319.22000000000003</v>
      </c>
      <c r="F7387" s="788">
        <v>41971</v>
      </c>
      <c r="G7387" s="788">
        <v>41974</v>
      </c>
      <c r="H7387" s="787">
        <v>1</v>
      </c>
      <c r="J7387" s="788">
        <v>41970</v>
      </c>
      <c r="L7387" s="787">
        <v>295</v>
      </c>
      <c r="M7387" s="787">
        <v>20</v>
      </c>
      <c r="N7387" s="787">
        <v>0</v>
      </c>
    </row>
    <row r="7388" spans="1:15" x14ac:dyDescent="0.25">
      <c r="A7388" s="786" t="s">
        <v>13212</v>
      </c>
      <c r="B7388" s="787">
        <v>4</v>
      </c>
      <c r="C7388" s="787" t="s">
        <v>12536</v>
      </c>
      <c r="D7388" s="787">
        <v>0</v>
      </c>
      <c r="E7388" s="787">
        <v>0</v>
      </c>
      <c r="H7388" s="787">
        <v>1</v>
      </c>
      <c r="L7388" s="787">
        <v>5.98</v>
      </c>
      <c r="M7388" s="787">
        <v>20</v>
      </c>
      <c r="N7388" s="787">
        <v>6.43</v>
      </c>
      <c r="O7388" s="788">
        <v>41996</v>
      </c>
    </row>
    <row r="7389" spans="1:15" x14ac:dyDescent="0.25">
      <c r="A7389" s="786" t="s">
        <v>13213</v>
      </c>
      <c r="B7389" s="787">
        <v>4</v>
      </c>
      <c r="C7389" s="787" t="s">
        <v>13214</v>
      </c>
      <c r="D7389" s="787">
        <v>7.05</v>
      </c>
      <c r="E7389" s="787">
        <v>97.05</v>
      </c>
      <c r="F7389" s="788">
        <v>41983</v>
      </c>
      <c r="G7389" s="788">
        <v>42009</v>
      </c>
      <c r="H7389" s="787">
        <v>1</v>
      </c>
      <c r="I7389" s="788">
        <v>41981</v>
      </c>
      <c r="J7389" s="788">
        <v>41981</v>
      </c>
      <c r="L7389" s="787">
        <v>92.85</v>
      </c>
      <c r="M7389" s="787">
        <v>20</v>
      </c>
      <c r="N7389" s="787">
        <v>0</v>
      </c>
    </row>
    <row r="7390" spans="1:15" x14ac:dyDescent="0.25">
      <c r="A7390" s="786" t="s">
        <v>13215</v>
      </c>
      <c r="B7390" s="787">
        <v>4</v>
      </c>
      <c r="C7390" s="787" t="s">
        <v>13216</v>
      </c>
      <c r="D7390" s="787">
        <v>6.32</v>
      </c>
      <c r="E7390" s="787">
        <v>66.319999999999993</v>
      </c>
      <c r="F7390" s="788">
        <v>41983</v>
      </c>
      <c r="G7390" s="788">
        <v>42009</v>
      </c>
      <c r="H7390" s="787">
        <v>1</v>
      </c>
      <c r="I7390" s="788">
        <v>41990</v>
      </c>
      <c r="J7390" s="788">
        <v>41984</v>
      </c>
      <c r="L7390" s="787">
        <v>63.51</v>
      </c>
      <c r="M7390" s="787">
        <v>20</v>
      </c>
      <c r="N7390" s="787">
        <v>0</v>
      </c>
    </row>
    <row r="7391" spans="1:15" x14ac:dyDescent="0.25">
      <c r="A7391" s="786" t="s">
        <v>13217</v>
      </c>
      <c r="B7391" s="787">
        <v>4</v>
      </c>
      <c r="C7391" s="787" t="s">
        <v>13218</v>
      </c>
      <c r="D7391" s="787">
        <v>0.93</v>
      </c>
      <c r="E7391" s="787">
        <v>50.93</v>
      </c>
      <c r="F7391" s="788">
        <v>41983</v>
      </c>
      <c r="G7391" s="788">
        <v>42009</v>
      </c>
      <c r="H7391" s="787">
        <v>1</v>
      </c>
      <c r="I7391" s="788">
        <v>41990</v>
      </c>
      <c r="J7391" s="788">
        <v>41984</v>
      </c>
      <c r="L7391" s="787">
        <v>48.76</v>
      </c>
      <c r="M7391" s="787">
        <v>20</v>
      </c>
      <c r="N7391" s="787">
        <v>0</v>
      </c>
    </row>
    <row r="7392" spans="1:15" x14ac:dyDescent="0.25">
      <c r="A7392" s="786" t="s">
        <v>13219</v>
      </c>
      <c r="B7392" s="787">
        <v>4</v>
      </c>
      <c r="C7392" s="787" t="s">
        <v>13220</v>
      </c>
      <c r="D7392" s="787">
        <v>8.1999999999999993</v>
      </c>
      <c r="E7392" s="787">
        <v>118.2</v>
      </c>
      <c r="F7392" s="788">
        <v>41983</v>
      </c>
      <c r="G7392" s="788">
        <v>42009</v>
      </c>
      <c r="H7392" s="787">
        <v>1</v>
      </c>
      <c r="I7392" s="788">
        <v>41990</v>
      </c>
      <c r="J7392" s="788">
        <v>41984</v>
      </c>
      <c r="K7392" s="788">
        <v>42034</v>
      </c>
      <c r="L7392" s="787">
        <v>113.19</v>
      </c>
      <c r="M7392" s="787">
        <v>20</v>
      </c>
      <c r="N7392" s="787">
        <v>121.68</v>
      </c>
      <c r="O7392" s="788">
        <v>42035</v>
      </c>
    </row>
    <row r="7393" spans="1:15" x14ac:dyDescent="0.25">
      <c r="A7393" s="786" t="s">
        <v>13221</v>
      </c>
      <c r="B7393" s="787">
        <v>4</v>
      </c>
      <c r="C7393" s="787" t="s">
        <v>13220</v>
      </c>
      <c r="D7393" s="787">
        <v>0.26</v>
      </c>
      <c r="E7393" s="787">
        <v>110.26</v>
      </c>
      <c r="F7393" s="788">
        <v>41983</v>
      </c>
      <c r="G7393" s="788">
        <v>42009</v>
      </c>
      <c r="H7393" s="787">
        <v>1</v>
      </c>
      <c r="I7393" s="788">
        <v>41990</v>
      </c>
      <c r="J7393" s="788">
        <v>41984</v>
      </c>
      <c r="L7393" s="787">
        <v>105.59</v>
      </c>
      <c r="M7393" s="787">
        <v>20</v>
      </c>
      <c r="N7393" s="787">
        <v>0</v>
      </c>
    </row>
    <row r="7394" spans="1:15" x14ac:dyDescent="0.25">
      <c r="A7394" s="786" t="s">
        <v>13222</v>
      </c>
      <c r="B7394" s="787">
        <v>4</v>
      </c>
      <c r="C7394" s="787" t="s">
        <v>13223</v>
      </c>
      <c r="D7394" s="787">
        <v>5.25</v>
      </c>
      <c r="E7394" s="787">
        <v>15.25</v>
      </c>
      <c r="F7394" s="788">
        <v>41983</v>
      </c>
      <c r="G7394" s="788">
        <v>42009</v>
      </c>
      <c r="H7394" s="787">
        <v>1</v>
      </c>
      <c r="I7394" s="788">
        <v>41990</v>
      </c>
      <c r="J7394" s="788">
        <v>41984</v>
      </c>
      <c r="L7394" s="787">
        <v>14.6</v>
      </c>
      <c r="M7394" s="787">
        <v>20</v>
      </c>
      <c r="N7394" s="787">
        <v>0</v>
      </c>
    </row>
    <row r="7395" spans="1:15" x14ac:dyDescent="0.25">
      <c r="A7395" s="786" t="s">
        <v>13224</v>
      </c>
      <c r="B7395" s="787">
        <v>4</v>
      </c>
      <c r="C7395" s="787" t="s">
        <v>13225</v>
      </c>
      <c r="D7395" s="787">
        <v>0.13</v>
      </c>
      <c r="E7395" s="787">
        <v>120.13</v>
      </c>
      <c r="F7395" s="788">
        <v>41977</v>
      </c>
      <c r="G7395" s="788">
        <v>42008</v>
      </c>
      <c r="H7395" s="787">
        <v>1</v>
      </c>
      <c r="I7395" s="788">
        <v>42013</v>
      </c>
      <c r="J7395" s="788">
        <v>42017</v>
      </c>
      <c r="L7395" s="787">
        <v>120.13</v>
      </c>
      <c r="M7395" s="787">
        <v>20</v>
      </c>
      <c r="N7395" s="787">
        <v>0</v>
      </c>
    </row>
    <row r="7396" spans="1:15" x14ac:dyDescent="0.25">
      <c r="A7396" s="786" t="s">
        <v>13226</v>
      </c>
      <c r="B7396" s="787">
        <v>4</v>
      </c>
      <c r="C7396" s="787" t="s">
        <v>13227</v>
      </c>
      <c r="D7396" s="787">
        <v>7.03</v>
      </c>
      <c r="E7396" s="787">
        <v>117.03</v>
      </c>
      <c r="F7396" s="788">
        <v>41985</v>
      </c>
      <c r="G7396" s="788">
        <v>41982</v>
      </c>
      <c r="H7396" s="787">
        <v>1</v>
      </c>
      <c r="J7396" s="788">
        <v>41982</v>
      </c>
      <c r="L7396" s="787">
        <v>117.03</v>
      </c>
      <c r="M7396" s="787">
        <v>20</v>
      </c>
      <c r="N7396" s="787">
        <v>0</v>
      </c>
    </row>
    <row r="7397" spans="1:15" x14ac:dyDescent="0.25">
      <c r="A7397" s="786" t="s">
        <v>13228</v>
      </c>
      <c r="B7397" s="787">
        <v>4</v>
      </c>
      <c r="C7397" s="787" t="s">
        <v>13229</v>
      </c>
      <c r="D7397" s="787">
        <v>6.41</v>
      </c>
      <c r="E7397" s="787">
        <v>22.26</v>
      </c>
      <c r="F7397" s="788">
        <v>42072</v>
      </c>
      <c r="G7397" s="788">
        <v>42142</v>
      </c>
      <c r="H7397" s="787">
        <v>1</v>
      </c>
      <c r="I7397" s="788">
        <v>42115</v>
      </c>
      <c r="J7397" s="788">
        <v>42109</v>
      </c>
      <c r="K7397" s="788">
        <v>42159</v>
      </c>
      <c r="L7397" s="787">
        <v>10.53</v>
      </c>
      <c r="M7397" s="787">
        <v>20</v>
      </c>
      <c r="N7397" s="787">
        <v>16.899999999999999</v>
      </c>
      <c r="O7397" s="788">
        <v>42156</v>
      </c>
    </row>
    <row r="7398" spans="1:15" x14ac:dyDescent="0.25">
      <c r="A7398" s="786" t="s">
        <v>13230</v>
      </c>
      <c r="B7398" s="787">
        <v>4</v>
      </c>
      <c r="C7398" s="787" t="s">
        <v>5904</v>
      </c>
      <c r="D7398" s="787">
        <v>0</v>
      </c>
      <c r="E7398" s="787">
        <v>0</v>
      </c>
      <c r="H7398" s="787">
        <v>6</v>
      </c>
      <c r="L7398" s="787">
        <v>3.2</v>
      </c>
      <c r="M7398" s="787">
        <v>10</v>
      </c>
      <c r="N7398" s="787">
        <v>0</v>
      </c>
    </row>
    <row r="7399" spans="1:15" x14ac:dyDescent="0.25">
      <c r="A7399" s="786" t="s">
        <v>13231</v>
      </c>
      <c r="B7399" s="787">
        <v>4</v>
      </c>
      <c r="C7399" s="787" t="s">
        <v>13232</v>
      </c>
      <c r="D7399" s="787">
        <v>0</v>
      </c>
      <c r="E7399" s="787">
        <v>0</v>
      </c>
      <c r="H7399" s="787">
        <v>1</v>
      </c>
      <c r="L7399" s="787">
        <v>0.01</v>
      </c>
      <c r="M7399" s="787">
        <v>20</v>
      </c>
      <c r="N7399" s="787">
        <v>0</v>
      </c>
    </row>
    <row r="7400" spans="1:15" x14ac:dyDescent="0.25">
      <c r="A7400" s="786" t="s">
        <v>13233</v>
      </c>
      <c r="B7400" s="787">
        <v>4</v>
      </c>
      <c r="C7400" s="787" t="s">
        <v>13232</v>
      </c>
      <c r="D7400" s="787">
        <v>0</v>
      </c>
      <c r="E7400" s="787">
        <v>0</v>
      </c>
      <c r="H7400" s="787">
        <v>1</v>
      </c>
      <c r="L7400" s="787">
        <v>0.01</v>
      </c>
      <c r="M7400" s="787">
        <v>20</v>
      </c>
      <c r="N7400" s="787">
        <v>0</v>
      </c>
    </row>
    <row r="7401" spans="1:15" x14ac:dyDescent="0.25">
      <c r="A7401" s="786" t="s">
        <v>13234</v>
      </c>
      <c r="B7401" s="787">
        <v>4</v>
      </c>
      <c r="C7401" s="787" t="s">
        <v>13232</v>
      </c>
      <c r="D7401" s="787">
        <v>0</v>
      </c>
      <c r="E7401" s="787">
        <v>0</v>
      </c>
      <c r="H7401" s="787">
        <v>1</v>
      </c>
      <c r="L7401" s="787">
        <v>0.01</v>
      </c>
      <c r="M7401" s="787">
        <v>20</v>
      </c>
      <c r="N7401" s="787">
        <v>0</v>
      </c>
    </row>
    <row r="7402" spans="1:15" x14ac:dyDescent="0.25">
      <c r="A7402" s="786" t="s">
        <v>13235</v>
      </c>
      <c r="B7402" s="787">
        <v>4</v>
      </c>
      <c r="C7402" s="787" t="s">
        <v>13232</v>
      </c>
      <c r="D7402" s="787">
        <v>0</v>
      </c>
      <c r="E7402" s="787">
        <v>0</v>
      </c>
      <c r="H7402" s="787">
        <v>1</v>
      </c>
      <c r="L7402" s="787">
        <v>0.01</v>
      </c>
      <c r="M7402" s="787">
        <v>20</v>
      </c>
      <c r="N7402" s="787">
        <v>0</v>
      </c>
    </row>
    <row r="7403" spans="1:15" x14ac:dyDescent="0.25">
      <c r="A7403" s="786" t="s">
        <v>13236</v>
      </c>
      <c r="B7403" s="787">
        <v>4</v>
      </c>
      <c r="C7403" s="787" t="s">
        <v>13232</v>
      </c>
      <c r="D7403" s="787">
        <v>0</v>
      </c>
      <c r="E7403" s="787">
        <v>0</v>
      </c>
      <c r="H7403" s="787">
        <v>1</v>
      </c>
      <c r="L7403" s="787">
        <v>0.01</v>
      </c>
      <c r="M7403" s="787">
        <v>20</v>
      </c>
      <c r="N7403" s="787">
        <v>0</v>
      </c>
    </row>
    <row r="7404" spans="1:15" x14ac:dyDescent="0.25">
      <c r="A7404" s="786" t="s">
        <v>13237</v>
      </c>
      <c r="B7404" s="787">
        <v>4</v>
      </c>
      <c r="C7404" s="787" t="s">
        <v>13232</v>
      </c>
      <c r="D7404" s="787">
        <v>0</v>
      </c>
      <c r="E7404" s="787">
        <v>0</v>
      </c>
      <c r="H7404" s="787">
        <v>1</v>
      </c>
      <c r="L7404" s="787">
        <v>0.01</v>
      </c>
      <c r="M7404" s="787">
        <v>20</v>
      </c>
      <c r="N7404" s="787">
        <v>0</v>
      </c>
    </row>
    <row r="7405" spans="1:15" x14ac:dyDescent="0.25">
      <c r="A7405" s="786" t="s">
        <v>13238</v>
      </c>
      <c r="B7405" s="787">
        <v>4</v>
      </c>
      <c r="C7405" s="787" t="s">
        <v>13232</v>
      </c>
      <c r="D7405" s="787">
        <v>0</v>
      </c>
      <c r="E7405" s="787">
        <v>0</v>
      </c>
      <c r="H7405" s="787">
        <v>1</v>
      </c>
      <c r="L7405" s="787">
        <v>0.01</v>
      </c>
      <c r="M7405" s="787">
        <v>20</v>
      </c>
      <c r="N7405" s="787">
        <v>0</v>
      </c>
    </row>
    <row r="7406" spans="1:15" x14ac:dyDescent="0.25">
      <c r="A7406" s="786" t="s">
        <v>13239</v>
      </c>
      <c r="B7406" s="787">
        <v>4</v>
      </c>
      <c r="C7406" s="787" t="s">
        <v>13232</v>
      </c>
      <c r="D7406" s="787">
        <v>0</v>
      </c>
      <c r="E7406" s="787">
        <v>0</v>
      </c>
      <c r="H7406" s="787">
        <v>1</v>
      </c>
      <c r="L7406" s="787">
        <v>0.01</v>
      </c>
      <c r="M7406" s="787">
        <v>20</v>
      </c>
      <c r="N7406" s="787">
        <v>0</v>
      </c>
    </row>
    <row r="7407" spans="1:15" x14ac:dyDescent="0.25">
      <c r="A7407" s="786" t="s">
        <v>13240</v>
      </c>
      <c r="B7407" s="787">
        <v>4</v>
      </c>
      <c r="C7407" s="787" t="s">
        <v>13241</v>
      </c>
      <c r="D7407" s="787">
        <v>2.36</v>
      </c>
      <c r="E7407" s="787">
        <v>502.36</v>
      </c>
      <c r="F7407" s="788">
        <v>42080</v>
      </c>
      <c r="G7407" s="788">
        <v>42080</v>
      </c>
      <c r="H7407" s="787">
        <v>1</v>
      </c>
      <c r="I7407" s="788">
        <v>42040</v>
      </c>
      <c r="J7407" s="788">
        <v>42018</v>
      </c>
      <c r="L7407" s="787">
        <v>502.36</v>
      </c>
      <c r="M7407" s="787">
        <v>20</v>
      </c>
      <c r="N7407" s="787">
        <v>0</v>
      </c>
    </row>
    <row r="7408" spans="1:15" x14ac:dyDescent="0.25">
      <c r="A7408" s="786" t="s">
        <v>13242</v>
      </c>
      <c r="B7408" s="787">
        <v>4</v>
      </c>
      <c r="C7408" s="787" t="s">
        <v>13243</v>
      </c>
      <c r="D7408" s="787">
        <v>0.96</v>
      </c>
      <c r="E7408" s="787">
        <v>40.96</v>
      </c>
      <c r="F7408" s="788">
        <v>42080</v>
      </c>
      <c r="G7408" s="788">
        <v>42080</v>
      </c>
      <c r="H7408" s="787">
        <v>1</v>
      </c>
      <c r="I7408" s="788">
        <v>42040</v>
      </c>
      <c r="J7408" s="788">
        <v>42018</v>
      </c>
      <c r="L7408" s="787">
        <v>40.950000000000003</v>
      </c>
      <c r="M7408" s="787">
        <v>20</v>
      </c>
      <c r="N7408" s="787">
        <v>0</v>
      </c>
    </row>
    <row r="7409" spans="1:15" x14ac:dyDescent="0.25">
      <c r="A7409" s="786" t="s">
        <v>13244</v>
      </c>
      <c r="B7409" s="787">
        <v>4</v>
      </c>
      <c r="C7409" s="787" t="s">
        <v>13245</v>
      </c>
      <c r="D7409" s="787">
        <v>1.67</v>
      </c>
      <c r="E7409" s="787">
        <v>31.67</v>
      </c>
      <c r="F7409" s="788">
        <v>42018</v>
      </c>
      <c r="G7409" s="788">
        <v>42019</v>
      </c>
      <c r="H7409" s="787">
        <v>1</v>
      </c>
      <c r="J7409" s="788">
        <v>42017</v>
      </c>
      <c r="L7409" s="787">
        <v>28.59</v>
      </c>
      <c r="M7409" s="787">
        <v>20</v>
      </c>
      <c r="N7409" s="787">
        <v>0</v>
      </c>
    </row>
    <row r="7410" spans="1:15" x14ac:dyDescent="0.25">
      <c r="A7410" s="786" t="s">
        <v>13246</v>
      </c>
      <c r="B7410" s="787">
        <v>4</v>
      </c>
      <c r="C7410" s="787" t="s">
        <v>13247</v>
      </c>
      <c r="D7410" s="787">
        <v>5.62</v>
      </c>
      <c r="E7410" s="787">
        <v>195.62</v>
      </c>
      <c r="F7410" s="788">
        <v>42128</v>
      </c>
      <c r="G7410" s="788">
        <v>42142</v>
      </c>
      <c r="H7410" s="787">
        <v>1</v>
      </c>
      <c r="I7410" s="788">
        <v>42124</v>
      </c>
      <c r="J7410" s="788">
        <v>42124</v>
      </c>
      <c r="L7410" s="787">
        <v>184.1</v>
      </c>
      <c r="M7410" s="787">
        <v>20</v>
      </c>
      <c r="N7410" s="787">
        <v>0</v>
      </c>
    </row>
    <row r="7411" spans="1:15" x14ac:dyDescent="0.25">
      <c r="A7411" s="786" t="s">
        <v>13248</v>
      </c>
      <c r="B7411" s="787">
        <v>4</v>
      </c>
      <c r="C7411" s="787" t="s">
        <v>13249</v>
      </c>
      <c r="D7411" s="787">
        <v>0.22</v>
      </c>
      <c r="E7411" s="787">
        <v>0.22</v>
      </c>
      <c r="F7411" s="788">
        <v>42080</v>
      </c>
      <c r="G7411" s="788">
        <v>42080</v>
      </c>
      <c r="H7411" s="787">
        <v>1</v>
      </c>
      <c r="J7411" s="788">
        <v>42018</v>
      </c>
      <c r="L7411" s="787">
        <v>1</v>
      </c>
      <c r="M7411" s="787">
        <v>20</v>
      </c>
      <c r="N7411" s="787">
        <v>0</v>
      </c>
    </row>
    <row r="7412" spans="1:15" x14ac:dyDescent="0.25">
      <c r="A7412" s="786" t="s">
        <v>13250</v>
      </c>
      <c r="B7412" s="787">
        <v>4</v>
      </c>
      <c r="C7412" s="787" t="s">
        <v>13251</v>
      </c>
      <c r="D7412" s="787">
        <v>3.01</v>
      </c>
      <c r="E7412" s="787">
        <v>23.01</v>
      </c>
      <c r="F7412" s="788">
        <v>42034</v>
      </c>
      <c r="G7412" s="788">
        <v>42034</v>
      </c>
      <c r="H7412" s="787">
        <v>1</v>
      </c>
      <c r="I7412" s="788">
        <v>42047</v>
      </c>
      <c r="J7412" s="788">
        <v>42034</v>
      </c>
      <c r="L7412" s="787">
        <v>23.01</v>
      </c>
      <c r="M7412" s="787">
        <v>20</v>
      </c>
      <c r="N7412" s="787">
        <v>0</v>
      </c>
    </row>
    <row r="7413" spans="1:15" x14ac:dyDescent="0.25">
      <c r="A7413" s="786" t="s">
        <v>13252</v>
      </c>
      <c r="B7413" s="787">
        <v>4</v>
      </c>
      <c r="C7413" s="787" t="s">
        <v>2473</v>
      </c>
      <c r="D7413" s="787">
        <v>7.23</v>
      </c>
      <c r="E7413" s="787">
        <v>27.45</v>
      </c>
      <c r="F7413" s="788">
        <v>42030</v>
      </c>
      <c r="G7413" s="788">
        <v>42142</v>
      </c>
      <c r="H7413" s="787">
        <v>1</v>
      </c>
      <c r="I7413" s="788">
        <v>42114</v>
      </c>
      <c r="J7413" s="788">
        <v>42107</v>
      </c>
      <c r="L7413" s="787">
        <v>27</v>
      </c>
      <c r="M7413" s="787">
        <v>20</v>
      </c>
      <c r="N7413" s="787">
        <v>0</v>
      </c>
    </row>
    <row r="7414" spans="1:15" x14ac:dyDescent="0.25">
      <c r="A7414" s="786" t="s">
        <v>13253</v>
      </c>
      <c r="B7414" s="787">
        <v>4</v>
      </c>
      <c r="C7414" s="787" t="s">
        <v>13254</v>
      </c>
      <c r="D7414" s="787">
        <v>7.15</v>
      </c>
      <c r="E7414" s="787">
        <v>47.15</v>
      </c>
      <c r="F7414" s="788">
        <v>42030</v>
      </c>
      <c r="G7414" s="788">
        <v>42033</v>
      </c>
      <c r="H7414" s="787">
        <v>1</v>
      </c>
      <c r="I7414" s="788">
        <v>42034</v>
      </c>
      <c r="J7414" s="788">
        <v>42027</v>
      </c>
      <c r="L7414" s="787">
        <v>41.75</v>
      </c>
      <c r="M7414" s="787">
        <v>20</v>
      </c>
      <c r="N7414" s="787">
        <v>0</v>
      </c>
    </row>
    <row r="7415" spans="1:15" x14ac:dyDescent="0.25">
      <c r="A7415" s="786" t="s">
        <v>13255</v>
      </c>
      <c r="B7415" s="787">
        <v>4</v>
      </c>
      <c r="C7415" s="787" t="s">
        <v>13256</v>
      </c>
      <c r="D7415" s="787">
        <v>1.23</v>
      </c>
      <c r="E7415" s="787">
        <v>21.23</v>
      </c>
      <c r="F7415" s="788">
        <v>42030</v>
      </c>
      <c r="G7415" s="788">
        <v>42033</v>
      </c>
      <c r="H7415" s="787">
        <v>1</v>
      </c>
      <c r="I7415" s="788">
        <v>42034</v>
      </c>
      <c r="J7415" s="788">
        <v>42027</v>
      </c>
      <c r="L7415" s="787">
        <v>18.8</v>
      </c>
      <c r="M7415" s="787">
        <v>20</v>
      </c>
      <c r="N7415" s="787">
        <v>0</v>
      </c>
    </row>
    <row r="7416" spans="1:15" x14ac:dyDescent="0.25">
      <c r="A7416" s="786" t="s">
        <v>13257</v>
      </c>
      <c r="B7416" s="787">
        <v>4</v>
      </c>
      <c r="C7416" s="787" t="s">
        <v>13258</v>
      </c>
      <c r="D7416" s="787">
        <v>8.51</v>
      </c>
      <c r="E7416" s="787">
        <v>58.51</v>
      </c>
      <c r="F7416" s="788">
        <v>42034</v>
      </c>
      <c r="G7416" s="788">
        <v>42034</v>
      </c>
      <c r="H7416" s="787">
        <v>1</v>
      </c>
      <c r="I7416" s="788">
        <v>42044</v>
      </c>
      <c r="J7416" s="788">
        <v>42034</v>
      </c>
      <c r="L7416" s="787">
        <v>58.51</v>
      </c>
      <c r="M7416" s="787">
        <v>20</v>
      </c>
      <c r="N7416" s="787">
        <v>0</v>
      </c>
    </row>
    <row r="7417" spans="1:15" x14ac:dyDescent="0.25">
      <c r="A7417" s="786" t="s">
        <v>13259</v>
      </c>
      <c r="B7417" s="787">
        <v>4</v>
      </c>
      <c r="C7417" s="787" t="s">
        <v>13260</v>
      </c>
      <c r="D7417" s="787">
        <v>7.4</v>
      </c>
      <c r="E7417" s="787">
        <v>137.4</v>
      </c>
      <c r="F7417" s="788">
        <v>42030</v>
      </c>
      <c r="G7417" s="788">
        <v>42033</v>
      </c>
      <c r="H7417" s="787">
        <v>1</v>
      </c>
      <c r="I7417" s="788">
        <v>42048</v>
      </c>
      <c r="J7417" s="788">
        <v>42027</v>
      </c>
      <c r="L7417" s="787">
        <v>138.24</v>
      </c>
      <c r="M7417" s="787">
        <v>20</v>
      </c>
      <c r="N7417" s="787">
        <v>0</v>
      </c>
    </row>
    <row r="7418" spans="1:15" x14ac:dyDescent="0.25">
      <c r="A7418" s="786" t="s">
        <v>13261</v>
      </c>
      <c r="B7418" s="787">
        <v>4</v>
      </c>
      <c r="C7418" s="787" t="s">
        <v>13262</v>
      </c>
      <c r="D7418" s="787">
        <v>1.92</v>
      </c>
      <c r="E7418" s="787">
        <v>21.92</v>
      </c>
      <c r="F7418" s="788">
        <v>42030</v>
      </c>
      <c r="G7418" s="788">
        <v>42033</v>
      </c>
      <c r="H7418" s="787">
        <v>1</v>
      </c>
      <c r="I7418" s="788">
        <v>42048</v>
      </c>
      <c r="J7418" s="788">
        <v>42027</v>
      </c>
      <c r="K7418" s="788">
        <v>42019</v>
      </c>
      <c r="L7418" s="787">
        <v>16.73</v>
      </c>
      <c r="M7418" s="787">
        <v>20</v>
      </c>
      <c r="N7418" s="787">
        <v>17.98</v>
      </c>
      <c r="O7418" s="788">
        <v>42019</v>
      </c>
    </row>
    <row r="7419" spans="1:15" x14ac:dyDescent="0.25">
      <c r="A7419" s="786" t="s">
        <v>13263</v>
      </c>
      <c r="B7419" s="787">
        <v>4</v>
      </c>
      <c r="C7419" s="787" t="s">
        <v>11935</v>
      </c>
      <c r="D7419" s="787">
        <v>6.26</v>
      </c>
      <c r="E7419" s="787">
        <v>6.26</v>
      </c>
      <c r="F7419" s="788">
        <v>42026</v>
      </c>
      <c r="G7419" s="788">
        <v>42033</v>
      </c>
      <c r="H7419" s="787">
        <v>1</v>
      </c>
      <c r="I7419" s="788">
        <v>42032</v>
      </c>
      <c r="J7419" s="788">
        <v>42023</v>
      </c>
      <c r="L7419" s="787">
        <v>5.75</v>
      </c>
      <c r="M7419" s="787">
        <v>20</v>
      </c>
      <c r="N7419" s="787">
        <v>0</v>
      </c>
    </row>
    <row r="7420" spans="1:15" x14ac:dyDescent="0.25">
      <c r="A7420" s="786" t="s">
        <v>13264</v>
      </c>
      <c r="B7420" s="787">
        <v>4</v>
      </c>
      <c r="C7420" s="787" t="s">
        <v>13265</v>
      </c>
      <c r="D7420" s="787">
        <v>7.2</v>
      </c>
      <c r="E7420" s="787">
        <v>7.2</v>
      </c>
      <c r="F7420" s="788">
        <v>42030</v>
      </c>
      <c r="G7420" s="788">
        <v>42033</v>
      </c>
      <c r="H7420" s="787">
        <v>1</v>
      </c>
      <c r="I7420" s="788">
        <v>42048</v>
      </c>
      <c r="J7420" s="788">
        <v>42027</v>
      </c>
      <c r="L7420" s="787">
        <v>2.21</v>
      </c>
      <c r="M7420" s="787">
        <v>20</v>
      </c>
      <c r="N7420" s="787">
        <v>0</v>
      </c>
    </row>
    <row r="7421" spans="1:15" x14ac:dyDescent="0.25">
      <c r="A7421" s="786" t="s">
        <v>13266</v>
      </c>
      <c r="B7421" s="787">
        <v>4</v>
      </c>
      <c r="C7421" s="787" t="s">
        <v>13267</v>
      </c>
      <c r="D7421" s="787">
        <v>2.77</v>
      </c>
      <c r="E7421" s="787">
        <v>32.770000000000003</v>
      </c>
      <c r="F7421" s="788">
        <v>42030</v>
      </c>
      <c r="G7421" s="788">
        <v>42033</v>
      </c>
      <c r="H7421" s="787">
        <v>1</v>
      </c>
      <c r="I7421" s="788">
        <v>42048</v>
      </c>
      <c r="J7421" s="788">
        <v>42027</v>
      </c>
      <c r="L7421" s="787">
        <v>9.61</v>
      </c>
      <c r="M7421" s="787">
        <v>20</v>
      </c>
      <c r="N7421" s="787">
        <v>0</v>
      </c>
    </row>
    <row r="7422" spans="1:15" x14ac:dyDescent="0.25">
      <c r="A7422" s="786" t="s">
        <v>13268</v>
      </c>
      <c r="B7422" s="787">
        <v>4</v>
      </c>
      <c r="C7422" s="787" t="s">
        <v>13269</v>
      </c>
      <c r="D7422" s="787">
        <v>9.9</v>
      </c>
      <c r="E7422" s="787">
        <v>139.9</v>
      </c>
      <c r="F7422" s="788">
        <v>42058</v>
      </c>
      <c r="G7422" s="788">
        <v>42038</v>
      </c>
      <c r="H7422" s="787">
        <v>1</v>
      </c>
      <c r="I7422" s="788">
        <v>42044</v>
      </c>
      <c r="J7422" s="788">
        <v>42038</v>
      </c>
      <c r="K7422" s="788">
        <v>42025</v>
      </c>
      <c r="L7422" s="787">
        <v>139.9</v>
      </c>
      <c r="M7422" s="787">
        <v>20</v>
      </c>
      <c r="N7422" s="787">
        <v>150.38999999999999</v>
      </c>
      <c r="O7422" s="788">
        <v>42025</v>
      </c>
    </row>
    <row r="7423" spans="1:15" x14ac:dyDescent="0.25">
      <c r="A7423" s="786" t="s">
        <v>13270</v>
      </c>
      <c r="B7423" s="787">
        <v>4</v>
      </c>
      <c r="C7423" s="787" t="s">
        <v>13271</v>
      </c>
      <c r="D7423" s="787">
        <v>0</v>
      </c>
      <c r="E7423" s="787">
        <v>140</v>
      </c>
      <c r="F7423" s="788">
        <v>42040</v>
      </c>
      <c r="G7423" s="788">
        <v>42050</v>
      </c>
      <c r="H7423" s="787">
        <v>1</v>
      </c>
      <c r="I7423" s="788">
        <v>42044</v>
      </c>
      <c r="J7423" s="788">
        <v>42040</v>
      </c>
      <c r="K7423" s="788">
        <v>42023</v>
      </c>
      <c r="L7423" s="787">
        <v>102</v>
      </c>
      <c r="M7423" s="787">
        <v>20</v>
      </c>
      <c r="N7423" s="787">
        <v>109.65</v>
      </c>
      <c r="O7423" s="788">
        <v>42023</v>
      </c>
    </row>
    <row r="7424" spans="1:15" x14ac:dyDescent="0.25">
      <c r="A7424" s="786" t="s">
        <v>13272</v>
      </c>
      <c r="B7424" s="787">
        <v>4</v>
      </c>
      <c r="C7424" s="787" t="s">
        <v>13273</v>
      </c>
      <c r="D7424" s="787">
        <v>0.65</v>
      </c>
      <c r="E7424" s="787">
        <v>0.65</v>
      </c>
      <c r="F7424" s="788">
        <v>42053</v>
      </c>
      <c r="G7424" s="788">
        <v>42063</v>
      </c>
      <c r="H7424" s="787">
        <v>1</v>
      </c>
      <c r="I7424" s="788">
        <v>42145</v>
      </c>
      <c r="J7424" s="788">
        <v>42044</v>
      </c>
      <c r="K7424" s="788">
        <v>42040</v>
      </c>
      <c r="L7424" s="787">
        <v>0.5</v>
      </c>
      <c r="M7424" s="787">
        <v>20</v>
      </c>
      <c r="N7424" s="787">
        <v>0.54</v>
      </c>
      <c r="O7424" s="788">
        <v>42040</v>
      </c>
    </row>
    <row r="7425" spans="1:15" x14ac:dyDescent="0.25">
      <c r="A7425" s="786" t="s">
        <v>13274</v>
      </c>
      <c r="B7425" s="787">
        <v>4</v>
      </c>
      <c r="C7425" s="787" t="s">
        <v>12424</v>
      </c>
      <c r="D7425" s="787">
        <v>7.08</v>
      </c>
      <c r="E7425" s="787">
        <v>17.079999999999998</v>
      </c>
      <c r="F7425" s="788">
        <v>42026</v>
      </c>
      <c r="G7425" s="788">
        <v>42026</v>
      </c>
      <c r="H7425" s="787">
        <v>1</v>
      </c>
      <c r="J7425" s="788">
        <v>42026</v>
      </c>
      <c r="L7425" s="787">
        <v>17.079999999999998</v>
      </c>
      <c r="M7425" s="787">
        <v>20</v>
      </c>
      <c r="N7425" s="787">
        <v>0</v>
      </c>
    </row>
    <row r="7426" spans="1:15" x14ac:dyDescent="0.25">
      <c r="A7426" s="786" t="s">
        <v>13275</v>
      </c>
      <c r="B7426" s="787">
        <v>4</v>
      </c>
      <c r="C7426" s="787" t="s">
        <v>13276</v>
      </c>
      <c r="D7426" s="787">
        <v>9</v>
      </c>
      <c r="E7426" s="787">
        <v>439</v>
      </c>
      <c r="F7426" s="788">
        <v>42058</v>
      </c>
      <c r="G7426" s="788">
        <v>42038</v>
      </c>
      <c r="H7426" s="787">
        <v>1</v>
      </c>
      <c r="J7426" s="788">
        <v>42038</v>
      </c>
      <c r="K7426" s="788">
        <v>42031</v>
      </c>
      <c r="L7426" s="787">
        <v>439</v>
      </c>
      <c r="M7426" s="787">
        <v>20</v>
      </c>
      <c r="N7426" s="787">
        <v>471.93</v>
      </c>
      <c r="O7426" s="788">
        <v>42032</v>
      </c>
    </row>
    <row r="7427" spans="1:15" x14ac:dyDescent="0.25">
      <c r="A7427" s="786" t="s">
        <v>13277</v>
      </c>
      <c r="B7427" s="787">
        <v>4</v>
      </c>
      <c r="C7427" s="787" t="s">
        <v>13278</v>
      </c>
      <c r="D7427" s="787">
        <v>8</v>
      </c>
      <c r="E7427" s="787">
        <v>248</v>
      </c>
      <c r="F7427" s="788">
        <v>42058</v>
      </c>
      <c r="G7427" s="788">
        <v>42064</v>
      </c>
      <c r="H7427" s="787">
        <v>1</v>
      </c>
      <c r="J7427" s="788">
        <v>42058</v>
      </c>
      <c r="K7427" s="788">
        <v>42030</v>
      </c>
      <c r="L7427" s="787">
        <v>175</v>
      </c>
      <c r="M7427" s="787">
        <v>20</v>
      </c>
      <c r="N7427" s="787">
        <v>188.13</v>
      </c>
      <c r="O7427" s="788">
        <v>42030</v>
      </c>
    </row>
    <row r="7428" spans="1:15" x14ac:dyDescent="0.25">
      <c r="A7428" s="786" t="s">
        <v>13279</v>
      </c>
      <c r="B7428" s="787">
        <v>4</v>
      </c>
      <c r="C7428" s="787" t="s">
        <v>13155</v>
      </c>
      <c r="D7428" s="787">
        <v>1</v>
      </c>
      <c r="E7428" s="787">
        <v>181</v>
      </c>
      <c r="F7428" s="788">
        <v>42051</v>
      </c>
      <c r="G7428" s="788">
        <v>42064</v>
      </c>
      <c r="H7428" s="787">
        <v>1</v>
      </c>
      <c r="I7428" s="788">
        <v>42053</v>
      </c>
      <c r="J7428" s="788">
        <v>42051</v>
      </c>
      <c r="K7428" s="788">
        <v>42037</v>
      </c>
      <c r="L7428" s="787">
        <v>125</v>
      </c>
      <c r="M7428" s="787">
        <v>20</v>
      </c>
      <c r="N7428" s="787">
        <v>134.38</v>
      </c>
      <c r="O7428" s="788">
        <v>42037</v>
      </c>
    </row>
    <row r="7429" spans="1:15" x14ac:dyDescent="0.25">
      <c r="A7429" s="786" t="s">
        <v>13280</v>
      </c>
      <c r="B7429" s="787">
        <v>4</v>
      </c>
      <c r="C7429" s="787" t="s">
        <v>13281</v>
      </c>
      <c r="D7429" s="787">
        <v>2.41</v>
      </c>
      <c r="E7429" s="787">
        <v>2.41</v>
      </c>
      <c r="F7429" s="788">
        <v>42037</v>
      </c>
      <c r="G7429" s="788">
        <v>42045</v>
      </c>
      <c r="H7429" s="787">
        <v>1</v>
      </c>
      <c r="I7429" s="788">
        <v>42059</v>
      </c>
      <c r="J7429" s="788">
        <v>42034</v>
      </c>
      <c r="K7429" s="788">
        <v>42031</v>
      </c>
      <c r="L7429" s="787">
        <v>2.41</v>
      </c>
      <c r="M7429" s="787">
        <v>20</v>
      </c>
      <c r="N7429" s="787">
        <v>2.59</v>
      </c>
      <c r="O7429" s="788">
        <v>42032</v>
      </c>
    </row>
    <row r="7430" spans="1:15" x14ac:dyDescent="0.25">
      <c r="A7430" s="786" t="s">
        <v>13282</v>
      </c>
      <c r="B7430" s="787">
        <v>4</v>
      </c>
      <c r="C7430" s="787" t="s">
        <v>13283</v>
      </c>
      <c r="D7430" s="787">
        <v>0</v>
      </c>
      <c r="E7430" s="787">
        <v>121</v>
      </c>
      <c r="H7430" s="787">
        <v>1</v>
      </c>
      <c r="L7430" s="787">
        <v>121</v>
      </c>
      <c r="M7430" s="787">
        <v>20</v>
      </c>
      <c r="N7430" s="787">
        <v>0</v>
      </c>
    </row>
    <row r="7431" spans="1:15" x14ac:dyDescent="0.25">
      <c r="A7431" s="786" t="s">
        <v>13284</v>
      </c>
      <c r="B7431" s="787">
        <v>4</v>
      </c>
      <c r="C7431" s="787" t="s">
        <v>13285</v>
      </c>
      <c r="D7431" s="787">
        <v>3.44</v>
      </c>
      <c r="E7431" s="787">
        <v>3.44</v>
      </c>
      <c r="F7431" s="788">
        <v>42037</v>
      </c>
      <c r="G7431" s="788">
        <v>42045</v>
      </c>
      <c r="H7431" s="787">
        <v>1</v>
      </c>
      <c r="I7431" s="788">
        <v>42046</v>
      </c>
      <c r="J7431" s="788">
        <v>42034</v>
      </c>
      <c r="K7431" s="788">
        <v>42031</v>
      </c>
      <c r="L7431" s="787">
        <v>3.44</v>
      </c>
      <c r="M7431" s="787">
        <v>20</v>
      </c>
      <c r="N7431" s="787">
        <v>3.7</v>
      </c>
      <c r="O7431" s="788">
        <v>42032</v>
      </c>
    </row>
    <row r="7432" spans="1:15" x14ac:dyDescent="0.25">
      <c r="A7432" s="786" t="s">
        <v>13286</v>
      </c>
      <c r="B7432" s="787">
        <v>4</v>
      </c>
      <c r="C7432" s="787" t="s">
        <v>739</v>
      </c>
      <c r="D7432" s="787">
        <v>4</v>
      </c>
      <c r="E7432" s="787">
        <v>4</v>
      </c>
      <c r="F7432" s="788">
        <v>42040</v>
      </c>
      <c r="G7432" s="788">
        <v>42037</v>
      </c>
      <c r="H7432" s="787">
        <v>1</v>
      </c>
      <c r="J7432" s="788">
        <v>42037</v>
      </c>
      <c r="L7432" s="787">
        <v>4</v>
      </c>
      <c r="M7432" s="787">
        <v>20</v>
      </c>
      <c r="N7432" s="787">
        <v>0</v>
      </c>
    </row>
    <row r="7433" spans="1:15" x14ac:dyDescent="0.25">
      <c r="A7433" s="786" t="s">
        <v>13287</v>
      </c>
      <c r="B7433" s="787">
        <v>4</v>
      </c>
      <c r="C7433" s="787" t="s">
        <v>13288</v>
      </c>
      <c r="D7433" s="787">
        <v>0.9</v>
      </c>
      <c r="E7433" s="787">
        <v>0.9</v>
      </c>
      <c r="F7433" s="788">
        <v>42062</v>
      </c>
      <c r="G7433" s="788">
        <v>42062</v>
      </c>
      <c r="H7433" s="787">
        <v>1</v>
      </c>
      <c r="I7433" s="788">
        <v>42041</v>
      </c>
      <c r="J7433" s="788">
        <v>42062</v>
      </c>
      <c r="L7433" s="787">
        <v>0.9</v>
      </c>
      <c r="M7433" s="787">
        <v>20</v>
      </c>
      <c r="N7433" s="787">
        <v>0</v>
      </c>
    </row>
    <row r="7434" spans="1:15" x14ac:dyDescent="0.25">
      <c r="A7434" s="786" t="s">
        <v>13289</v>
      </c>
      <c r="B7434" s="787">
        <v>4</v>
      </c>
      <c r="C7434" s="787" t="s">
        <v>3666</v>
      </c>
      <c r="D7434" s="787">
        <v>7.5</v>
      </c>
      <c r="E7434" s="787">
        <v>7.5</v>
      </c>
      <c r="F7434" s="788">
        <v>42044</v>
      </c>
      <c r="G7434" s="788">
        <v>42045</v>
      </c>
      <c r="H7434" s="787">
        <v>1</v>
      </c>
      <c r="J7434" s="788">
        <v>42045</v>
      </c>
      <c r="L7434" s="787">
        <v>7.5</v>
      </c>
      <c r="M7434" s="787">
        <v>20</v>
      </c>
      <c r="N7434" s="787">
        <v>0</v>
      </c>
    </row>
    <row r="7435" spans="1:15" x14ac:dyDescent="0.25">
      <c r="A7435" s="786" t="s">
        <v>13290</v>
      </c>
      <c r="B7435" s="787">
        <v>4</v>
      </c>
      <c r="C7435" s="787" t="s">
        <v>13291</v>
      </c>
      <c r="D7435" s="787">
        <v>7.45</v>
      </c>
      <c r="E7435" s="787">
        <v>17.45</v>
      </c>
      <c r="F7435" s="788">
        <v>42044</v>
      </c>
      <c r="G7435" s="788">
        <v>42045</v>
      </c>
      <c r="H7435" s="787">
        <v>1</v>
      </c>
      <c r="J7435" s="788">
        <v>42045</v>
      </c>
      <c r="L7435" s="787">
        <v>17.45</v>
      </c>
      <c r="M7435" s="787">
        <v>20</v>
      </c>
      <c r="N7435" s="787">
        <v>0</v>
      </c>
    </row>
    <row r="7436" spans="1:15" x14ac:dyDescent="0.25">
      <c r="A7436" s="786" t="s">
        <v>13292</v>
      </c>
      <c r="B7436" s="787">
        <v>4</v>
      </c>
      <c r="C7436" s="787" t="s">
        <v>13293</v>
      </c>
      <c r="D7436" s="787">
        <v>4.45</v>
      </c>
      <c r="E7436" s="787">
        <v>14.45</v>
      </c>
      <c r="F7436" s="788">
        <v>42044</v>
      </c>
      <c r="G7436" s="788">
        <v>42045</v>
      </c>
      <c r="H7436" s="787">
        <v>1</v>
      </c>
      <c r="J7436" s="788">
        <v>42045</v>
      </c>
      <c r="L7436" s="787">
        <v>14.45</v>
      </c>
      <c r="M7436" s="787">
        <v>20</v>
      </c>
      <c r="N7436" s="787">
        <v>0</v>
      </c>
    </row>
    <row r="7437" spans="1:15" x14ac:dyDescent="0.25">
      <c r="A7437" s="786" t="s">
        <v>13294</v>
      </c>
      <c r="B7437" s="787">
        <v>4</v>
      </c>
      <c r="C7437" s="787" t="s">
        <v>13295</v>
      </c>
      <c r="D7437" s="787">
        <v>5.0999999999999996</v>
      </c>
      <c r="E7437" s="787">
        <v>15.1</v>
      </c>
      <c r="F7437" s="788">
        <v>42044</v>
      </c>
      <c r="G7437" s="788">
        <v>42045</v>
      </c>
      <c r="H7437" s="787">
        <v>1</v>
      </c>
      <c r="J7437" s="788">
        <v>42067</v>
      </c>
      <c r="L7437" s="787">
        <v>15.1</v>
      </c>
      <c r="M7437" s="787">
        <v>20</v>
      </c>
      <c r="N7437" s="787">
        <v>0</v>
      </c>
    </row>
    <row r="7438" spans="1:15" x14ac:dyDescent="0.25">
      <c r="A7438" s="786" t="s">
        <v>13296</v>
      </c>
      <c r="B7438" s="787">
        <v>4</v>
      </c>
      <c r="C7438" s="787" t="s">
        <v>13297</v>
      </c>
      <c r="D7438" s="787">
        <v>8.9</v>
      </c>
      <c r="E7438" s="787">
        <v>8.9</v>
      </c>
      <c r="F7438" s="788">
        <v>42044</v>
      </c>
      <c r="G7438" s="788">
        <v>42045</v>
      </c>
      <c r="H7438" s="787">
        <v>1</v>
      </c>
      <c r="J7438" s="788">
        <v>42067</v>
      </c>
      <c r="L7438" s="787">
        <v>8.9</v>
      </c>
      <c r="M7438" s="787">
        <v>20</v>
      </c>
      <c r="N7438" s="787">
        <v>0</v>
      </c>
    </row>
    <row r="7439" spans="1:15" x14ac:dyDescent="0.25">
      <c r="A7439" s="786" t="s">
        <v>13298</v>
      </c>
      <c r="B7439" s="787">
        <v>4</v>
      </c>
      <c r="C7439" s="787" t="s">
        <v>13299</v>
      </c>
      <c r="D7439" s="787">
        <v>1.5</v>
      </c>
      <c r="E7439" s="787">
        <v>11.5</v>
      </c>
      <c r="F7439" s="788">
        <v>42102</v>
      </c>
      <c r="G7439" s="788">
        <v>42130</v>
      </c>
      <c r="H7439" s="787">
        <v>1</v>
      </c>
      <c r="I7439" s="788">
        <v>42132</v>
      </c>
      <c r="J7439" s="788">
        <v>42096</v>
      </c>
      <c r="K7439" s="788">
        <v>42034</v>
      </c>
      <c r="L7439" s="787">
        <v>18.3</v>
      </c>
      <c r="M7439" s="787">
        <v>20</v>
      </c>
      <c r="N7439" s="787">
        <v>19.670000000000002</v>
      </c>
      <c r="O7439" s="788">
        <v>42035</v>
      </c>
    </row>
    <row r="7440" spans="1:15" x14ac:dyDescent="0.25">
      <c r="A7440" s="786" t="s">
        <v>13300</v>
      </c>
      <c r="B7440" s="787">
        <v>4</v>
      </c>
      <c r="C7440" s="787" t="s">
        <v>13301</v>
      </c>
      <c r="D7440" s="787">
        <v>2.8</v>
      </c>
      <c r="E7440" s="787">
        <v>12.8</v>
      </c>
      <c r="F7440" s="788">
        <v>42040</v>
      </c>
      <c r="G7440" s="788">
        <v>42039</v>
      </c>
      <c r="H7440" s="787">
        <v>1</v>
      </c>
      <c r="J7440" s="788">
        <v>42039</v>
      </c>
      <c r="L7440" s="787">
        <v>12.8</v>
      </c>
      <c r="M7440" s="787">
        <v>20</v>
      </c>
      <c r="N7440" s="787">
        <v>0</v>
      </c>
    </row>
    <row r="7441" spans="1:15" x14ac:dyDescent="0.25">
      <c r="A7441" s="786" t="s">
        <v>13302</v>
      </c>
      <c r="B7441" s="787">
        <v>4</v>
      </c>
      <c r="C7441" s="787" t="s">
        <v>13303</v>
      </c>
      <c r="D7441" s="787">
        <v>0.28999999999999998</v>
      </c>
      <c r="E7441" s="787">
        <v>0.28999999999999998</v>
      </c>
      <c r="F7441" s="788">
        <v>42042</v>
      </c>
      <c r="G7441" s="788">
        <v>42045</v>
      </c>
      <c r="H7441" s="787">
        <v>1</v>
      </c>
      <c r="I7441" s="788">
        <v>42082</v>
      </c>
      <c r="J7441" s="788">
        <v>42041</v>
      </c>
      <c r="L7441" s="787">
        <v>0.05</v>
      </c>
      <c r="M7441" s="787">
        <v>20</v>
      </c>
      <c r="N7441" s="787">
        <v>0</v>
      </c>
    </row>
    <row r="7442" spans="1:15" x14ac:dyDescent="0.25">
      <c r="A7442" s="786" t="s">
        <v>13304</v>
      </c>
      <c r="B7442" s="787">
        <v>4</v>
      </c>
      <c r="C7442" s="787" t="s">
        <v>13305</v>
      </c>
      <c r="D7442" s="787">
        <v>0</v>
      </c>
      <c r="E7442" s="787">
        <v>0</v>
      </c>
      <c r="H7442" s="787">
        <v>1</v>
      </c>
      <c r="I7442" s="788">
        <v>42040</v>
      </c>
      <c r="J7442" s="788">
        <v>42041</v>
      </c>
      <c r="K7442" s="788">
        <v>42041</v>
      </c>
      <c r="L7442" s="787">
        <v>5.36</v>
      </c>
      <c r="M7442" s="787">
        <v>20</v>
      </c>
      <c r="N7442" s="787">
        <v>5.76</v>
      </c>
      <c r="O7442" s="788">
        <v>42146</v>
      </c>
    </row>
    <row r="7443" spans="1:15" x14ac:dyDescent="0.25">
      <c r="A7443" s="786" t="s">
        <v>13306</v>
      </c>
      <c r="B7443" s="787">
        <v>4</v>
      </c>
      <c r="C7443" s="787" t="s">
        <v>12942</v>
      </c>
      <c r="D7443" s="787">
        <v>5.7</v>
      </c>
      <c r="E7443" s="787">
        <v>15.7</v>
      </c>
      <c r="F7443" s="788">
        <v>42048</v>
      </c>
      <c r="G7443" s="788">
        <v>42050</v>
      </c>
      <c r="H7443" s="787">
        <v>1</v>
      </c>
      <c r="J7443" s="788">
        <v>42047</v>
      </c>
      <c r="K7443" s="788">
        <v>42040</v>
      </c>
      <c r="L7443" s="787">
        <v>15</v>
      </c>
      <c r="M7443" s="787">
        <v>20</v>
      </c>
      <c r="N7443" s="787">
        <v>16.13</v>
      </c>
      <c r="O7443" s="788">
        <v>42040</v>
      </c>
    </row>
    <row r="7444" spans="1:15" x14ac:dyDescent="0.25">
      <c r="A7444" s="786" t="s">
        <v>13307</v>
      </c>
      <c r="B7444" s="787">
        <v>4</v>
      </c>
      <c r="C7444" s="787" t="s">
        <v>12942</v>
      </c>
      <c r="D7444" s="787">
        <v>5.7</v>
      </c>
      <c r="E7444" s="787">
        <v>15.7</v>
      </c>
      <c r="F7444" s="788">
        <v>42048</v>
      </c>
      <c r="G7444" s="788">
        <v>42050</v>
      </c>
      <c r="H7444" s="787">
        <v>1</v>
      </c>
      <c r="J7444" s="788">
        <v>42047</v>
      </c>
      <c r="K7444" s="788">
        <v>42040</v>
      </c>
      <c r="L7444" s="787">
        <v>15</v>
      </c>
      <c r="M7444" s="787">
        <v>20</v>
      </c>
      <c r="N7444" s="787">
        <v>16.13</v>
      </c>
      <c r="O7444" s="788">
        <v>42040</v>
      </c>
    </row>
    <row r="7445" spans="1:15" x14ac:dyDescent="0.25">
      <c r="A7445" s="786" t="s">
        <v>13308</v>
      </c>
      <c r="B7445" s="787">
        <v>4</v>
      </c>
      <c r="C7445" s="787" t="s">
        <v>13309</v>
      </c>
      <c r="D7445" s="787">
        <v>0</v>
      </c>
      <c r="E7445" s="787">
        <v>2</v>
      </c>
      <c r="H7445" s="787">
        <v>1</v>
      </c>
      <c r="K7445" s="788">
        <v>42040</v>
      </c>
      <c r="L7445" s="787">
        <v>2</v>
      </c>
      <c r="M7445" s="787">
        <v>20</v>
      </c>
      <c r="N7445" s="787">
        <v>2.15</v>
      </c>
      <c r="O7445" s="788">
        <v>42040</v>
      </c>
    </row>
    <row r="7446" spans="1:15" x14ac:dyDescent="0.25">
      <c r="A7446" s="786" t="s">
        <v>13310</v>
      </c>
      <c r="B7446" s="787">
        <v>4</v>
      </c>
      <c r="C7446" s="787" t="s">
        <v>13311</v>
      </c>
      <c r="D7446" s="787">
        <v>1.1499999999999999</v>
      </c>
      <c r="E7446" s="787">
        <v>21.15</v>
      </c>
      <c r="F7446" s="788">
        <v>42048</v>
      </c>
      <c r="G7446" s="788">
        <v>42051</v>
      </c>
      <c r="H7446" s="787">
        <v>1</v>
      </c>
      <c r="J7446" s="788">
        <v>42045</v>
      </c>
      <c r="L7446" s="787">
        <v>14.65</v>
      </c>
      <c r="M7446" s="787">
        <v>20</v>
      </c>
      <c r="N7446" s="787">
        <v>0</v>
      </c>
    </row>
    <row r="7447" spans="1:15" x14ac:dyDescent="0.25">
      <c r="A7447" s="786" t="s">
        <v>13312</v>
      </c>
      <c r="B7447" s="787">
        <v>4</v>
      </c>
      <c r="C7447" s="787" t="s">
        <v>13313</v>
      </c>
      <c r="D7447" s="787">
        <v>5.75</v>
      </c>
      <c r="E7447" s="787">
        <v>495.75</v>
      </c>
      <c r="F7447" s="788">
        <v>42055</v>
      </c>
      <c r="G7447" s="788">
        <v>42064</v>
      </c>
      <c r="H7447" s="787">
        <v>1</v>
      </c>
      <c r="I7447" s="788">
        <v>42082</v>
      </c>
      <c r="J7447" s="788">
        <v>42055</v>
      </c>
      <c r="L7447" s="787">
        <v>485</v>
      </c>
      <c r="M7447" s="787">
        <v>20</v>
      </c>
      <c r="N7447" s="787">
        <v>521.38</v>
      </c>
      <c r="O7447" s="788">
        <v>42044</v>
      </c>
    </row>
    <row r="7448" spans="1:15" x14ac:dyDescent="0.25">
      <c r="A7448" s="786" t="s">
        <v>13314</v>
      </c>
      <c r="B7448" s="787">
        <v>4</v>
      </c>
      <c r="C7448" s="787" t="s">
        <v>13315</v>
      </c>
      <c r="D7448" s="787">
        <v>3.92</v>
      </c>
      <c r="E7448" s="787">
        <v>13.92</v>
      </c>
      <c r="F7448" s="788">
        <v>42047</v>
      </c>
      <c r="G7448" s="788">
        <v>42046</v>
      </c>
      <c r="H7448" s="787">
        <v>1</v>
      </c>
      <c r="I7448" s="788">
        <v>42068</v>
      </c>
      <c r="J7448" s="788">
        <v>42046</v>
      </c>
      <c r="L7448" s="787">
        <v>13.92</v>
      </c>
      <c r="M7448" s="787">
        <v>20</v>
      </c>
      <c r="N7448" s="787">
        <v>14.96</v>
      </c>
      <c r="O7448" s="788">
        <v>42061</v>
      </c>
    </row>
    <row r="7449" spans="1:15" x14ac:dyDescent="0.25">
      <c r="A7449" s="786" t="s">
        <v>13316</v>
      </c>
      <c r="B7449" s="787">
        <v>4</v>
      </c>
      <c r="C7449" s="787" t="s">
        <v>12840</v>
      </c>
      <c r="D7449" s="787">
        <v>3</v>
      </c>
      <c r="E7449" s="787">
        <v>203</v>
      </c>
      <c r="F7449" s="788">
        <v>42058</v>
      </c>
      <c r="G7449" s="788">
        <v>42054</v>
      </c>
      <c r="H7449" s="787">
        <v>1</v>
      </c>
      <c r="I7449" s="788">
        <v>42069</v>
      </c>
      <c r="J7449" s="788">
        <v>42054</v>
      </c>
      <c r="K7449" s="788">
        <v>42051</v>
      </c>
      <c r="L7449" s="787">
        <v>203</v>
      </c>
      <c r="M7449" s="787">
        <v>20</v>
      </c>
      <c r="N7449" s="787">
        <v>218.23</v>
      </c>
      <c r="O7449" s="788">
        <v>42051</v>
      </c>
    </row>
    <row r="7450" spans="1:15" x14ac:dyDescent="0.25">
      <c r="A7450" s="786" t="s">
        <v>13317</v>
      </c>
      <c r="B7450" s="787">
        <v>4</v>
      </c>
      <c r="C7450" s="787" t="s">
        <v>13318</v>
      </c>
      <c r="D7450" s="787">
        <v>7</v>
      </c>
      <c r="E7450" s="787">
        <v>117</v>
      </c>
      <c r="F7450" s="788">
        <v>42058</v>
      </c>
      <c r="G7450" s="788">
        <v>42055</v>
      </c>
      <c r="H7450" s="787">
        <v>1</v>
      </c>
      <c r="I7450" s="788">
        <v>42069</v>
      </c>
      <c r="J7450" s="788">
        <v>42055</v>
      </c>
      <c r="K7450" s="788">
        <v>42046</v>
      </c>
      <c r="L7450" s="787">
        <v>117</v>
      </c>
      <c r="M7450" s="787">
        <v>20</v>
      </c>
      <c r="N7450" s="787">
        <v>125.78</v>
      </c>
      <c r="O7450" s="788">
        <v>42047</v>
      </c>
    </row>
    <row r="7451" spans="1:15" x14ac:dyDescent="0.25">
      <c r="A7451" s="786" t="s">
        <v>13319</v>
      </c>
      <c r="B7451" s="787">
        <v>4</v>
      </c>
      <c r="C7451" s="787" t="s">
        <v>13320</v>
      </c>
      <c r="D7451" s="787">
        <v>5.5</v>
      </c>
      <c r="E7451" s="787">
        <v>85.5</v>
      </c>
      <c r="F7451" s="788">
        <v>42123</v>
      </c>
      <c r="G7451" s="788">
        <v>42145</v>
      </c>
      <c r="H7451" s="787">
        <v>1</v>
      </c>
      <c r="I7451" s="788">
        <v>42110</v>
      </c>
      <c r="J7451" s="788">
        <v>42095</v>
      </c>
      <c r="K7451" s="788">
        <v>42087</v>
      </c>
      <c r="L7451" s="787">
        <v>85.5</v>
      </c>
      <c r="M7451" s="787">
        <v>20</v>
      </c>
      <c r="N7451" s="787">
        <v>0</v>
      </c>
    </row>
    <row r="7452" spans="1:15" x14ac:dyDescent="0.25">
      <c r="A7452" s="786" t="s">
        <v>13321</v>
      </c>
      <c r="B7452" s="787">
        <v>4</v>
      </c>
      <c r="C7452" s="787" t="s">
        <v>13322</v>
      </c>
      <c r="D7452" s="787">
        <v>7.5</v>
      </c>
      <c r="E7452" s="787">
        <v>97.5</v>
      </c>
      <c r="F7452" s="788">
        <v>42123</v>
      </c>
      <c r="G7452" s="788">
        <v>42145</v>
      </c>
      <c r="H7452" s="787">
        <v>1</v>
      </c>
      <c r="I7452" s="788">
        <v>42110</v>
      </c>
      <c r="J7452" s="788">
        <v>42095</v>
      </c>
      <c r="K7452" s="788">
        <v>42087</v>
      </c>
      <c r="L7452" s="787">
        <v>97.5</v>
      </c>
      <c r="M7452" s="787">
        <v>20</v>
      </c>
      <c r="N7452" s="787">
        <v>0</v>
      </c>
    </row>
    <row r="7453" spans="1:15" x14ac:dyDescent="0.25">
      <c r="A7453" s="786" t="s">
        <v>13323</v>
      </c>
      <c r="B7453" s="787">
        <v>4</v>
      </c>
      <c r="C7453" s="787" t="s">
        <v>4173</v>
      </c>
      <c r="D7453" s="787">
        <v>0</v>
      </c>
      <c r="E7453" s="787">
        <v>0</v>
      </c>
      <c r="H7453" s="787">
        <v>1</v>
      </c>
      <c r="K7453" s="788">
        <v>42052</v>
      </c>
      <c r="L7453" s="787">
        <v>0.04</v>
      </c>
      <c r="M7453" s="787">
        <v>20</v>
      </c>
      <c r="N7453" s="787">
        <v>0.04</v>
      </c>
      <c r="O7453" s="788">
        <v>42146</v>
      </c>
    </row>
    <row r="7454" spans="1:15" x14ac:dyDescent="0.25">
      <c r="A7454" s="786" t="s">
        <v>13324</v>
      </c>
      <c r="B7454" s="787">
        <v>4</v>
      </c>
      <c r="C7454" s="787" t="s">
        <v>13325</v>
      </c>
      <c r="D7454" s="787">
        <v>0</v>
      </c>
      <c r="E7454" s="787">
        <v>17.96</v>
      </c>
      <c r="G7454" s="788">
        <v>42089</v>
      </c>
      <c r="H7454" s="787">
        <v>1</v>
      </c>
      <c r="I7454" s="788">
        <v>42158</v>
      </c>
      <c r="J7454" s="788">
        <v>42089</v>
      </c>
      <c r="L7454" s="787">
        <v>17.96</v>
      </c>
      <c r="M7454" s="787">
        <v>20</v>
      </c>
      <c r="N7454" s="787">
        <v>19.309999999999999</v>
      </c>
      <c r="O7454" s="788">
        <v>42053</v>
      </c>
    </row>
    <row r="7455" spans="1:15" x14ac:dyDescent="0.25">
      <c r="A7455" s="786" t="s">
        <v>13326</v>
      </c>
      <c r="B7455" s="787">
        <v>4</v>
      </c>
      <c r="C7455" s="787" t="s">
        <v>13327</v>
      </c>
      <c r="D7455" s="787">
        <v>3.37</v>
      </c>
      <c r="E7455" s="787">
        <v>13.37</v>
      </c>
      <c r="F7455" s="788">
        <v>42093</v>
      </c>
      <c r="G7455" s="788">
        <v>42093</v>
      </c>
      <c r="H7455" s="787">
        <v>1</v>
      </c>
      <c r="J7455" s="788">
        <v>42067</v>
      </c>
      <c r="K7455" s="788">
        <v>42072</v>
      </c>
      <c r="L7455" s="787">
        <v>13.37</v>
      </c>
      <c r="M7455" s="787">
        <v>20</v>
      </c>
      <c r="N7455" s="787">
        <v>14.37</v>
      </c>
      <c r="O7455" s="788">
        <v>42072</v>
      </c>
    </row>
    <row r="7456" spans="1:15" x14ac:dyDescent="0.25">
      <c r="A7456" s="786" t="s">
        <v>13328</v>
      </c>
      <c r="B7456" s="787">
        <v>4</v>
      </c>
      <c r="C7456" s="787" t="s">
        <v>12803</v>
      </c>
      <c r="D7456" s="787">
        <v>9.0500000000000007</v>
      </c>
      <c r="E7456" s="787">
        <v>39.049999999999997</v>
      </c>
      <c r="F7456" s="788">
        <v>42072</v>
      </c>
      <c r="G7456" s="788">
        <v>42086</v>
      </c>
      <c r="H7456" s="787">
        <v>1</v>
      </c>
      <c r="J7456" s="788">
        <v>42066</v>
      </c>
      <c r="K7456" s="788">
        <v>42054</v>
      </c>
      <c r="L7456" s="787">
        <v>38.94</v>
      </c>
      <c r="M7456" s="787">
        <v>20</v>
      </c>
      <c r="N7456" s="787">
        <v>41.86</v>
      </c>
      <c r="O7456" s="788">
        <v>42054</v>
      </c>
    </row>
    <row r="7457" spans="1:15" x14ac:dyDescent="0.25">
      <c r="A7457" s="786" t="s">
        <v>13329</v>
      </c>
      <c r="B7457" s="787">
        <v>4</v>
      </c>
      <c r="C7457" s="787" t="s">
        <v>12803</v>
      </c>
      <c r="D7457" s="787">
        <v>1.41</v>
      </c>
      <c r="E7457" s="787">
        <v>31.41</v>
      </c>
      <c r="F7457" s="788">
        <v>42065</v>
      </c>
      <c r="G7457" s="788">
        <v>42103</v>
      </c>
      <c r="H7457" s="787">
        <v>1</v>
      </c>
      <c r="J7457" s="788">
        <v>42062</v>
      </c>
      <c r="K7457" s="788">
        <v>42054</v>
      </c>
      <c r="L7457" s="787">
        <v>30.09</v>
      </c>
      <c r="M7457" s="787">
        <v>20</v>
      </c>
      <c r="N7457" s="787">
        <v>32.35</v>
      </c>
      <c r="O7457" s="788">
        <v>42054</v>
      </c>
    </row>
    <row r="7458" spans="1:15" x14ac:dyDescent="0.25">
      <c r="A7458" s="786" t="s">
        <v>13330</v>
      </c>
      <c r="B7458" s="787">
        <v>4</v>
      </c>
      <c r="C7458" s="787" t="s">
        <v>13331</v>
      </c>
      <c r="D7458" s="787">
        <v>0.6</v>
      </c>
      <c r="E7458" s="787">
        <v>0.6</v>
      </c>
      <c r="F7458" s="788">
        <v>42060</v>
      </c>
      <c r="G7458" s="788">
        <v>42060</v>
      </c>
      <c r="H7458" s="787">
        <v>1</v>
      </c>
      <c r="I7458" s="788">
        <v>42156</v>
      </c>
      <c r="J7458" s="788">
        <v>42101</v>
      </c>
      <c r="L7458" s="787">
        <v>0.6</v>
      </c>
      <c r="M7458" s="787">
        <v>20</v>
      </c>
      <c r="N7458" s="787">
        <v>0.65</v>
      </c>
      <c r="O7458" s="788">
        <v>42146</v>
      </c>
    </row>
    <row r="7459" spans="1:15" x14ac:dyDescent="0.25">
      <c r="A7459" s="786" t="s">
        <v>13332</v>
      </c>
      <c r="B7459" s="787">
        <v>4</v>
      </c>
      <c r="C7459" s="787" t="s">
        <v>13333</v>
      </c>
      <c r="D7459" s="787">
        <v>0.96</v>
      </c>
      <c r="E7459" s="787">
        <v>10.96</v>
      </c>
      <c r="F7459" s="788">
        <v>42065</v>
      </c>
      <c r="G7459" s="788">
        <v>42103</v>
      </c>
      <c r="H7459" s="787">
        <v>1</v>
      </c>
      <c r="I7459" s="788">
        <v>42074</v>
      </c>
      <c r="J7459" s="788">
        <v>42062</v>
      </c>
      <c r="L7459" s="787">
        <v>5.24</v>
      </c>
      <c r="M7459" s="787">
        <v>20</v>
      </c>
      <c r="N7459" s="787">
        <v>0</v>
      </c>
    </row>
    <row r="7460" spans="1:15" x14ac:dyDescent="0.25">
      <c r="A7460" s="786" t="s">
        <v>13334</v>
      </c>
      <c r="B7460" s="787">
        <v>4</v>
      </c>
      <c r="C7460" s="787" t="s">
        <v>13335</v>
      </c>
      <c r="D7460" s="787">
        <v>4.95</v>
      </c>
      <c r="E7460" s="787">
        <v>4.95</v>
      </c>
      <c r="F7460" s="788">
        <v>42128</v>
      </c>
      <c r="G7460" s="788">
        <v>42128</v>
      </c>
      <c r="H7460" s="787">
        <v>1</v>
      </c>
      <c r="J7460" s="788">
        <v>42061</v>
      </c>
      <c r="K7460" s="788">
        <v>42062</v>
      </c>
      <c r="L7460" s="787">
        <v>4.96</v>
      </c>
      <c r="M7460" s="787">
        <v>20</v>
      </c>
      <c r="N7460" s="787">
        <v>5.33</v>
      </c>
      <c r="O7460" s="788">
        <v>42065</v>
      </c>
    </row>
    <row r="7461" spans="1:15" x14ac:dyDescent="0.25">
      <c r="A7461" s="786" t="s">
        <v>13336</v>
      </c>
      <c r="B7461" s="787">
        <v>4</v>
      </c>
      <c r="C7461" s="787" t="s">
        <v>2431</v>
      </c>
      <c r="D7461" s="787">
        <v>0</v>
      </c>
      <c r="E7461" s="787">
        <v>0</v>
      </c>
      <c r="H7461" s="787">
        <v>1</v>
      </c>
      <c r="L7461" s="787">
        <v>42.95</v>
      </c>
      <c r="M7461" s="787">
        <v>20</v>
      </c>
      <c r="N7461" s="787">
        <v>0</v>
      </c>
    </row>
    <row r="7462" spans="1:15" x14ac:dyDescent="0.25">
      <c r="A7462" s="786" t="s">
        <v>13337</v>
      </c>
      <c r="B7462" s="787">
        <v>4</v>
      </c>
      <c r="C7462" s="787" t="s">
        <v>13338</v>
      </c>
      <c r="D7462" s="787">
        <v>9</v>
      </c>
      <c r="E7462" s="787">
        <v>289</v>
      </c>
      <c r="F7462" s="788">
        <v>42093</v>
      </c>
      <c r="G7462" s="788">
        <v>42079</v>
      </c>
      <c r="H7462" s="787">
        <v>1</v>
      </c>
      <c r="I7462" s="788">
        <v>42101</v>
      </c>
      <c r="J7462" s="788">
        <v>42079</v>
      </c>
      <c r="K7462" s="788">
        <v>42069</v>
      </c>
      <c r="L7462" s="787">
        <v>289</v>
      </c>
      <c r="M7462" s="787">
        <v>20</v>
      </c>
      <c r="N7462" s="787">
        <v>310.68</v>
      </c>
      <c r="O7462" s="788">
        <v>42069</v>
      </c>
    </row>
    <row r="7463" spans="1:15" x14ac:dyDescent="0.25">
      <c r="A7463" s="786" t="s">
        <v>13339</v>
      </c>
      <c r="B7463" s="787">
        <v>4</v>
      </c>
      <c r="C7463" s="787" t="s">
        <v>13340</v>
      </c>
      <c r="D7463" s="787">
        <v>9.99</v>
      </c>
      <c r="E7463" s="787">
        <v>299.99</v>
      </c>
      <c r="F7463" s="788">
        <v>42093</v>
      </c>
      <c r="G7463" s="788">
        <v>42093</v>
      </c>
      <c r="H7463" s="787">
        <v>1</v>
      </c>
      <c r="I7463" s="788">
        <v>42101</v>
      </c>
      <c r="J7463" s="788">
        <v>42082</v>
      </c>
      <c r="K7463" s="788">
        <v>42065</v>
      </c>
      <c r="L7463" s="787">
        <v>257</v>
      </c>
      <c r="M7463" s="787">
        <v>20</v>
      </c>
      <c r="N7463" s="787">
        <v>276.27999999999997</v>
      </c>
      <c r="O7463" s="788">
        <v>42065</v>
      </c>
    </row>
    <row r="7464" spans="1:15" x14ac:dyDescent="0.25">
      <c r="A7464" s="786" t="s">
        <v>13341</v>
      </c>
      <c r="B7464" s="787">
        <v>4</v>
      </c>
      <c r="C7464" s="787" t="s">
        <v>13342</v>
      </c>
      <c r="D7464" s="787">
        <v>9.73</v>
      </c>
      <c r="E7464" s="789">
        <v>1469.73</v>
      </c>
      <c r="F7464" s="788">
        <v>42067</v>
      </c>
      <c r="G7464" s="788">
        <v>42081</v>
      </c>
      <c r="H7464" s="787">
        <v>1</v>
      </c>
      <c r="I7464" s="788">
        <v>42082</v>
      </c>
      <c r="J7464" s="788">
        <v>42065</v>
      </c>
      <c r="K7464" s="788">
        <v>42062</v>
      </c>
      <c r="L7464" s="789">
        <v>1460</v>
      </c>
      <c r="M7464" s="787">
        <v>20</v>
      </c>
      <c r="N7464" s="789">
        <v>1569.5</v>
      </c>
      <c r="O7464" s="788">
        <v>42065</v>
      </c>
    </row>
    <row r="7465" spans="1:15" x14ac:dyDescent="0.25">
      <c r="A7465" s="786" t="s">
        <v>13343</v>
      </c>
      <c r="B7465" s="787">
        <v>4</v>
      </c>
      <c r="C7465" s="787" t="s">
        <v>13344</v>
      </c>
      <c r="D7465" s="787">
        <v>0.68</v>
      </c>
      <c r="E7465" s="787">
        <v>50.68</v>
      </c>
      <c r="F7465" s="788">
        <v>42078</v>
      </c>
      <c r="G7465" s="788">
        <v>42074</v>
      </c>
      <c r="H7465" s="787">
        <v>1</v>
      </c>
      <c r="I7465" s="788">
        <v>42083</v>
      </c>
      <c r="J7465" s="788">
        <v>42074</v>
      </c>
      <c r="L7465" s="787">
        <v>50.68</v>
      </c>
      <c r="M7465" s="787">
        <v>20</v>
      </c>
      <c r="N7465" s="787">
        <v>0</v>
      </c>
    </row>
    <row r="7466" spans="1:15" x14ac:dyDescent="0.25">
      <c r="A7466" s="786" t="s">
        <v>13345</v>
      </c>
      <c r="B7466" s="787">
        <v>4</v>
      </c>
      <c r="C7466" s="787" t="s">
        <v>9662</v>
      </c>
      <c r="D7466" s="787">
        <v>0</v>
      </c>
      <c r="E7466" s="787">
        <v>0</v>
      </c>
      <c r="H7466" s="787">
        <v>1</v>
      </c>
      <c r="L7466" s="787">
        <v>12.54</v>
      </c>
      <c r="M7466" s="787">
        <v>20</v>
      </c>
      <c r="N7466" s="787">
        <v>0</v>
      </c>
    </row>
    <row r="7467" spans="1:15" x14ac:dyDescent="0.25">
      <c r="A7467" s="786" t="s">
        <v>13346</v>
      </c>
      <c r="B7467" s="787">
        <v>4</v>
      </c>
      <c r="C7467" s="787" t="s">
        <v>13347</v>
      </c>
      <c r="D7467" s="787">
        <v>8</v>
      </c>
      <c r="E7467" s="787">
        <v>18</v>
      </c>
      <c r="F7467" s="788">
        <v>42083</v>
      </c>
      <c r="G7467" s="788">
        <v>42091</v>
      </c>
      <c r="H7467" s="787">
        <v>1</v>
      </c>
      <c r="I7467" s="788">
        <v>42093</v>
      </c>
      <c r="J7467" s="788">
        <v>42082</v>
      </c>
      <c r="L7467" s="787">
        <v>2.5</v>
      </c>
      <c r="M7467" s="787">
        <v>20</v>
      </c>
      <c r="N7467" s="787">
        <v>2.69</v>
      </c>
      <c r="O7467" s="788">
        <v>42115</v>
      </c>
    </row>
    <row r="7468" spans="1:15" x14ac:dyDescent="0.25">
      <c r="A7468" s="786" t="s">
        <v>13348</v>
      </c>
      <c r="B7468" s="787">
        <v>4</v>
      </c>
      <c r="C7468" s="787" t="s">
        <v>13349</v>
      </c>
      <c r="D7468" s="787">
        <v>7</v>
      </c>
      <c r="E7468" s="787">
        <v>127</v>
      </c>
      <c r="F7468" s="788">
        <v>42083</v>
      </c>
      <c r="G7468" s="788">
        <v>42081</v>
      </c>
      <c r="H7468" s="787">
        <v>1</v>
      </c>
      <c r="J7468" s="788">
        <v>42081</v>
      </c>
      <c r="K7468" s="788">
        <v>42076</v>
      </c>
      <c r="L7468" s="787">
        <v>127</v>
      </c>
      <c r="M7468" s="787">
        <v>20</v>
      </c>
      <c r="N7468" s="787">
        <v>136.53</v>
      </c>
      <c r="O7468" s="788">
        <v>42076</v>
      </c>
    </row>
    <row r="7469" spans="1:15" x14ac:dyDescent="0.25">
      <c r="A7469" s="786" t="s">
        <v>13350</v>
      </c>
      <c r="B7469" s="787">
        <v>4</v>
      </c>
      <c r="C7469" s="787" t="s">
        <v>13351</v>
      </c>
      <c r="D7469" s="787">
        <v>1.72</v>
      </c>
      <c r="E7469" s="787">
        <v>231.72</v>
      </c>
      <c r="F7469" s="788">
        <v>42128</v>
      </c>
      <c r="G7469" s="788">
        <v>42146</v>
      </c>
      <c r="H7469" s="787">
        <v>1</v>
      </c>
      <c r="I7469" s="788">
        <v>42156</v>
      </c>
      <c r="J7469" s="788">
        <v>42118</v>
      </c>
      <c r="K7469" s="788">
        <v>42128</v>
      </c>
      <c r="L7469" s="787">
        <v>232</v>
      </c>
      <c r="M7469" s="787">
        <v>20</v>
      </c>
      <c r="N7469" s="787">
        <v>249.4</v>
      </c>
      <c r="O7469" s="788">
        <v>42146</v>
      </c>
    </row>
    <row r="7470" spans="1:15" x14ac:dyDescent="0.25">
      <c r="A7470" s="786" t="s">
        <v>13352</v>
      </c>
      <c r="B7470" s="787">
        <v>4</v>
      </c>
      <c r="C7470" s="787" t="s">
        <v>13353</v>
      </c>
      <c r="D7470" s="787">
        <v>0</v>
      </c>
      <c r="E7470" s="787">
        <v>10</v>
      </c>
      <c r="F7470" s="788">
        <v>42086</v>
      </c>
      <c r="G7470" s="788">
        <v>42091</v>
      </c>
      <c r="H7470" s="787">
        <v>1</v>
      </c>
      <c r="I7470" s="788">
        <v>42088</v>
      </c>
      <c r="J7470" s="788">
        <v>42074</v>
      </c>
      <c r="K7470" s="788">
        <v>42075</v>
      </c>
      <c r="L7470" s="787">
        <v>10</v>
      </c>
      <c r="M7470" s="787">
        <v>20</v>
      </c>
      <c r="N7470" s="787">
        <v>10.75</v>
      </c>
      <c r="O7470" s="788">
        <v>42075</v>
      </c>
    </row>
    <row r="7471" spans="1:15" x14ac:dyDescent="0.25">
      <c r="A7471" s="786" t="s">
        <v>13354</v>
      </c>
      <c r="B7471" s="787">
        <v>4</v>
      </c>
      <c r="C7471" s="787" t="s">
        <v>13355</v>
      </c>
      <c r="D7471" s="787">
        <v>0</v>
      </c>
      <c r="E7471" s="787">
        <v>0</v>
      </c>
      <c r="H7471" s="787">
        <v>1</v>
      </c>
      <c r="I7471" s="788">
        <v>42159</v>
      </c>
      <c r="L7471" s="787">
        <v>1</v>
      </c>
      <c r="M7471" s="787">
        <v>20</v>
      </c>
      <c r="N7471" s="787">
        <v>1.08</v>
      </c>
      <c r="O7471" s="788">
        <v>42076</v>
      </c>
    </row>
    <row r="7472" spans="1:15" x14ac:dyDescent="0.25">
      <c r="A7472" s="786" t="s">
        <v>13356</v>
      </c>
      <c r="B7472" s="787">
        <v>4</v>
      </c>
      <c r="C7472" s="787" t="s">
        <v>13357</v>
      </c>
      <c r="D7472" s="787">
        <v>9.5399999999999991</v>
      </c>
      <c r="E7472" s="787">
        <v>9.5399999999999991</v>
      </c>
      <c r="F7472" s="788">
        <v>42121</v>
      </c>
      <c r="G7472" s="788">
        <v>42088</v>
      </c>
      <c r="H7472" s="787">
        <v>1</v>
      </c>
      <c r="J7472" s="788">
        <v>42143</v>
      </c>
      <c r="L7472" s="787">
        <v>9.5399999999999991</v>
      </c>
      <c r="M7472" s="787">
        <v>20</v>
      </c>
      <c r="N7472" s="787">
        <v>0</v>
      </c>
    </row>
    <row r="7473" spans="1:15" x14ac:dyDescent="0.25">
      <c r="A7473" s="786" t="s">
        <v>13358</v>
      </c>
      <c r="B7473" s="787">
        <v>4</v>
      </c>
      <c r="C7473" s="787" t="s">
        <v>13359</v>
      </c>
      <c r="D7473" s="787">
        <v>5.16</v>
      </c>
      <c r="E7473" s="787">
        <v>5.16</v>
      </c>
      <c r="F7473" s="788">
        <v>42082</v>
      </c>
      <c r="G7473" s="788">
        <v>42081</v>
      </c>
      <c r="H7473" s="787">
        <v>1</v>
      </c>
      <c r="J7473" s="788">
        <v>42143</v>
      </c>
      <c r="L7473" s="787">
        <v>5.16</v>
      </c>
      <c r="M7473" s="787">
        <v>20</v>
      </c>
      <c r="N7473" s="787">
        <v>0</v>
      </c>
    </row>
    <row r="7474" spans="1:15" x14ac:dyDescent="0.25">
      <c r="A7474" s="786" t="s">
        <v>13360</v>
      </c>
      <c r="B7474" s="787">
        <v>4</v>
      </c>
      <c r="C7474" s="787" t="s">
        <v>13361</v>
      </c>
      <c r="D7474" s="787">
        <v>2.44</v>
      </c>
      <c r="E7474" s="787">
        <v>2.44</v>
      </c>
      <c r="F7474" s="788">
        <v>42082</v>
      </c>
      <c r="G7474" s="788">
        <v>42081</v>
      </c>
      <c r="H7474" s="787">
        <v>1</v>
      </c>
      <c r="J7474" s="788">
        <v>42081</v>
      </c>
      <c r="L7474" s="787">
        <v>2.44</v>
      </c>
      <c r="M7474" s="787">
        <v>20</v>
      </c>
      <c r="N7474" s="787">
        <v>0</v>
      </c>
    </row>
    <row r="7475" spans="1:15" x14ac:dyDescent="0.25">
      <c r="A7475" s="786" t="s">
        <v>13362</v>
      </c>
      <c r="B7475" s="787">
        <v>4</v>
      </c>
      <c r="C7475" s="787" t="s">
        <v>13363</v>
      </c>
      <c r="D7475" s="787">
        <v>0</v>
      </c>
      <c r="E7475" s="787">
        <v>0</v>
      </c>
      <c r="H7475" s="787">
        <v>1</v>
      </c>
      <c r="L7475" s="787">
        <v>3.5</v>
      </c>
      <c r="M7475" s="787">
        <v>20</v>
      </c>
      <c r="N7475" s="787">
        <v>0</v>
      </c>
    </row>
    <row r="7476" spans="1:15" x14ac:dyDescent="0.25">
      <c r="A7476" s="786" t="s">
        <v>13364</v>
      </c>
      <c r="B7476" s="787">
        <v>4</v>
      </c>
      <c r="C7476" s="787" t="s">
        <v>11996</v>
      </c>
      <c r="D7476" s="787">
        <v>1.23</v>
      </c>
      <c r="E7476" s="787">
        <v>21.23</v>
      </c>
      <c r="F7476" s="788">
        <v>42129</v>
      </c>
      <c r="G7476" s="788">
        <v>42143</v>
      </c>
      <c r="H7476" s="787">
        <v>1</v>
      </c>
      <c r="I7476" s="788">
        <v>42144</v>
      </c>
      <c r="J7476" s="788">
        <v>42124</v>
      </c>
      <c r="K7476" s="788">
        <v>42081</v>
      </c>
      <c r="L7476" s="787">
        <v>27.27</v>
      </c>
      <c r="M7476" s="787">
        <v>20</v>
      </c>
      <c r="N7476" s="787">
        <v>29.32</v>
      </c>
      <c r="O7476" s="788">
        <v>42146</v>
      </c>
    </row>
    <row r="7477" spans="1:15" x14ac:dyDescent="0.25">
      <c r="A7477" s="786" t="s">
        <v>13365</v>
      </c>
      <c r="B7477" s="787">
        <v>4</v>
      </c>
      <c r="C7477" s="787" t="s">
        <v>13366</v>
      </c>
      <c r="D7477" s="787">
        <v>0.16</v>
      </c>
      <c r="E7477" s="787">
        <v>70.16</v>
      </c>
      <c r="F7477" s="788">
        <v>42094</v>
      </c>
      <c r="G7477" s="788">
        <v>42090</v>
      </c>
      <c r="H7477" s="787">
        <v>1</v>
      </c>
      <c r="I7477" s="788">
        <v>42107</v>
      </c>
      <c r="J7477" s="788">
        <v>42090</v>
      </c>
      <c r="L7477" s="787">
        <v>70.17</v>
      </c>
      <c r="M7477" s="787">
        <v>20</v>
      </c>
      <c r="N7477" s="787">
        <v>0</v>
      </c>
    </row>
    <row r="7478" spans="1:15" x14ac:dyDescent="0.25">
      <c r="A7478" s="786" t="s">
        <v>13367</v>
      </c>
      <c r="B7478" s="787">
        <v>4</v>
      </c>
      <c r="C7478" s="787" t="s">
        <v>13368</v>
      </c>
      <c r="D7478" s="787">
        <v>0.73</v>
      </c>
      <c r="E7478" s="787">
        <v>0.73</v>
      </c>
      <c r="F7478" s="788">
        <v>42101</v>
      </c>
      <c r="G7478" s="788">
        <v>42125</v>
      </c>
      <c r="H7478" s="787">
        <v>1</v>
      </c>
      <c r="J7478" s="788">
        <v>42087</v>
      </c>
      <c r="K7478" s="788">
        <v>42082</v>
      </c>
      <c r="L7478" s="787">
        <v>1.05</v>
      </c>
      <c r="M7478" s="787">
        <v>20</v>
      </c>
      <c r="N7478" s="787">
        <v>0</v>
      </c>
    </row>
    <row r="7479" spans="1:15" x14ac:dyDescent="0.25">
      <c r="A7479" s="786" t="s">
        <v>13369</v>
      </c>
      <c r="B7479" s="787">
        <v>4</v>
      </c>
      <c r="C7479" s="787" t="s">
        <v>13370</v>
      </c>
      <c r="D7479" s="787">
        <v>0</v>
      </c>
      <c r="E7479" s="787">
        <v>28.5</v>
      </c>
      <c r="H7479" s="787">
        <v>6</v>
      </c>
      <c r="L7479" s="787">
        <v>28.5</v>
      </c>
      <c r="M7479" s="787">
        <v>20</v>
      </c>
      <c r="N7479" s="787">
        <v>0</v>
      </c>
    </row>
    <row r="7480" spans="1:15" x14ac:dyDescent="0.25">
      <c r="A7480" s="786" t="s">
        <v>13371</v>
      </c>
      <c r="B7480" s="787">
        <v>4</v>
      </c>
      <c r="C7480" s="787" t="s">
        <v>13372</v>
      </c>
      <c r="D7480" s="787">
        <v>0</v>
      </c>
      <c r="E7480" s="787">
        <v>0</v>
      </c>
      <c r="G7480" s="788">
        <v>42109</v>
      </c>
      <c r="H7480" s="787">
        <v>1</v>
      </c>
      <c r="I7480" s="788">
        <v>42164</v>
      </c>
      <c r="J7480" s="788">
        <v>42109</v>
      </c>
      <c r="K7480" s="788">
        <v>42087</v>
      </c>
      <c r="L7480" s="787">
        <v>17.8</v>
      </c>
      <c r="M7480" s="787">
        <v>20</v>
      </c>
      <c r="N7480" s="787">
        <v>0</v>
      </c>
    </row>
    <row r="7481" spans="1:15" x14ac:dyDescent="0.25">
      <c r="A7481" s="786" t="s">
        <v>13373</v>
      </c>
      <c r="B7481" s="787">
        <v>4</v>
      </c>
      <c r="C7481" s="787" t="s">
        <v>13374</v>
      </c>
      <c r="D7481" s="787">
        <v>7.75</v>
      </c>
      <c r="E7481" s="787">
        <v>127.75</v>
      </c>
      <c r="F7481" s="788">
        <v>42108</v>
      </c>
      <c r="G7481" s="788">
        <v>42135</v>
      </c>
      <c r="H7481" s="787">
        <v>1</v>
      </c>
      <c r="J7481" s="788">
        <v>42107</v>
      </c>
      <c r="L7481" s="787">
        <v>110.6</v>
      </c>
      <c r="M7481" s="787">
        <v>20</v>
      </c>
      <c r="N7481" s="787">
        <v>0</v>
      </c>
    </row>
    <row r="7482" spans="1:15" x14ac:dyDescent="0.25">
      <c r="A7482" s="786" t="s">
        <v>13375</v>
      </c>
      <c r="B7482" s="787">
        <v>4</v>
      </c>
      <c r="C7482" s="787" t="s">
        <v>13376</v>
      </c>
      <c r="D7482" s="787">
        <v>6.9</v>
      </c>
      <c r="E7482" s="787">
        <v>16.899999999999999</v>
      </c>
      <c r="F7482" s="788">
        <v>42102</v>
      </c>
      <c r="G7482" s="788">
        <v>42126</v>
      </c>
      <c r="H7482" s="787">
        <v>1</v>
      </c>
      <c r="J7482" s="788">
        <v>42090</v>
      </c>
      <c r="K7482" s="788">
        <v>42087</v>
      </c>
      <c r="L7482" s="787">
        <v>16.899999999999999</v>
      </c>
      <c r="M7482" s="787">
        <v>20</v>
      </c>
      <c r="N7482" s="787">
        <v>0</v>
      </c>
    </row>
    <row r="7483" spans="1:15" x14ac:dyDescent="0.25">
      <c r="A7483" s="786" t="s">
        <v>13377</v>
      </c>
      <c r="B7483" s="787">
        <v>4</v>
      </c>
      <c r="C7483" s="787" t="s">
        <v>1137</v>
      </c>
      <c r="D7483" s="787">
        <v>0</v>
      </c>
      <c r="E7483" s="787">
        <v>0</v>
      </c>
      <c r="H7483" s="787">
        <v>1</v>
      </c>
      <c r="L7483" s="787">
        <v>1.99</v>
      </c>
      <c r="M7483" s="787">
        <v>20</v>
      </c>
      <c r="N7483" s="787">
        <v>0</v>
      </c>
    </row>
    <row r="7484" spans="1:15" x14ac:dyDescent="0.25">
      <c r="A7484" s="786" t="s">
        <v>13378</v>
      </c>
      <c r="B7484" s="787">
        <v>4</v>
      </c>
      <c r="C7484" s="787" t="s">
        <v>13379</v>
      </c>
      <c r="D7484" s="787">
        <v>0</v>
      </c>
      <c r="E7484" s="787">
        <v>0</v>
      </c>
      <c r="H7484" s="787">
        <v>1</v>
      </c>
      <c r="L7484" s="787">
        <v>9.66</v>
      </c>
      <c r="M7484" s="787">
        <v>20</v>
      </c>
      <c r="N7484" s="787">
        <v>0</v>
      </c>
    </row>
    <row r="7485" spans="1:15" x14ac:dyDescent="0.25">
      <c r="A7485" s="786" t="s">
        <v>13380</v>
      </c>
      <c r="B7485" s="787">
        <v>4</v>
      </c>
      <c r="C7485" s="787" t="s">
        <v>13381</v>
      </c>
      <c r="D7485" s="787">
        <v>4.9800000000000004</v>
      </c>
      <c r="E7485" s="787">
        <v>144.97999999999999</v>
      </c>
      <c r="F7485" s="788">
        <v>42104</v>
      </c>
      <c r="G7485" s="788">
        <v>42135</v>
      </c>
      <c r="H7485" s="787">
        <v>1</v>
      </c>
      <c r="J7485" s="788">
        <v>42096</v>
      </c>
      <c r="L7485" s="787">
        <v>138.18</v>
      </c>
      <c r="M7485" s="787">
        <v>20</v>
      </c>
      <c r="N7485" s="787">
        <v>0</v>
      </c>
    </row>
    <row r="7486" spans="1:15" x14ac:dyDescent="0.25">
      <c r="A7486" s="786" t="s">
        <v>13382</v>
      </c>
      <c r="B7486" s="787">
        <v>4</v>
      </c>
      <c r="C7486" s="787" t="s">
        <v>13383</v>
      </c>
      <c r="D7486" s="787">
        <v>3.94</v>
      </c>
      <c r="E7486" s="787">
        <v>3.94</v>
      </c>
      <c r="F7486" s="788">
        <v>42096</v>
      </c>
      <c r="G7486" s="788">
        <v>42125</v>
      </c>
      <c r="H7486" s="787">
        <v>1</v>
      </c>
      <c r="I7486" s="788">
        <v>42107</v>
      </c>
      <c r="J7486" s="788">
        <v>42095</v>
      </c>
      <c r="L7486" s="787">
        <v>3.8</v>
      </c>
      <c r="M7486" s="787">
        <v>20</v>
      </c>
      <c r="N7486" s="787">
        <v>0</v>
      </c>
    </row>
    <row r="7487" spans="1:15" x14ac:dyDescent="0.25">
      <c r="A7487" s="786" t="s">
        <v>13384</v>
      </c>
      <c r="B7487" s="787">
        <v>4</v>
      </c>
      <c r="C7487" s="787" t="s">
        <v>13385</v>
      </c>
      <c r="D7487" s="787">
        <v>3.43</v>
      </c>
      <c r="E7487" s="787">
        <v>13.43</v>
      </c>
      <c r="F7487" s="788">
        <v>42102</v>
      </c>
      <c r="G7487" s="788">
        <v>42130</v>
      </c>
      <c r="H7487" s="787">
        <v>1</v>
      </c>
      <c r="I7487" s="788">
        <v>42132</v>
      </c>
      <c r="J7487" s="788">
        <v>42096</v>
      </c>
      <c r="L7487" s="787">
        <v>13.15</v>
      </c>
      <c r="M7487" s="787">
        <v>20</v>
      </c>
      <c r="N7487" s="787">
        <v>0</v>
      </c>
    </row>
    <row r="7488" spans="1:15" x14ac:dyDescent="0.25">
      <c r="A7488" s="786" t="s">
        <v>13386</v>
      </c>
      <c r="B7488" s="787">
        <v>4</v>
      </c>
      <c r="C7488" s="787" t="s">
        <v>13387</v>
      </c>
      <c r="D7488" s="787">
        <v>0.54</v>
      </c>
      <c r="E7488" s="787">
        <v>10.54</v>
      </c>
      <c r="F7488" s="788">
        <v>42102</v>
      </c>
      <c r="G7488" s="788">
        <v>42126</v>
      </c>
      <c r="H7488" s="787">
        <v>1</v>
      </c>
      <c r="J7488" s="788">
        <v>42094</v>
      </c>
      <c r="L7488" s="787">
        <v>10.09</v>
      </c>
      <c r="M7488" s="787">
        <v>20</v>
      </c>
      <c r="N7488" s="787">
        <v>0</v>
      </c>
    </row>
    <row r="7489" spans="1:14" x14ac:dyDescent="0.25">
      <c r="A7489" s="786" t="s">
        <v>13388</v>
      </c>
      <c r="B7489" s="787">
        <v>4</v>
      </c>
      <c r="C7489" s="787" t="s">
        <v>13389</v>
      </c>
      <c r="D7489" s="787">
        <v>5.8</v>
      </c>
      <c r="E7489" s="787">
        <v>85.8</v>
      </c>
      <c r="F7489" s="788">
        <v>42111</v>
      </c>
      <c r="G7489" s="788">
        <v>42135</v>
      </c>
      <c r="H7489" s="787">
        <v>1</v>
      </c>
      <c r="I7489" s="788">
        <v>42132</v>
      </c>
      <c r="J7489" s="788">
        <v>42101</v>
      </c>
      <c r="L7489" s="787">
        <v>35.5</v>
      </c>
      <c r="M7489" s="787">
        <v>20</v>
      </c>
      <c r="N7489" s="787">
        <v>0</v>
      </c>
    </row>
    <row r="7490" spans="1:14" x14ac:dyDescent="0.25">
      <c r="A7490" s="786" t="s">
        <v>13390</v>
      </c>
      <c r="B7490" s="787">
        <v>4</v>
      </c>
      <c r="C7490" s="787" t="s">
        <v>13391</v>
      </c>
      <c r="D7490" s="787">
        <v>8.8000000000000007</v>
      </c>
      <c r="E7490" s="787">
        <v>8.8000000000000007</v>
      </c>
      <c r="F7490" s="788">
        <v>42111</v>
      </c>
      <c r="G7490" s="788">
        <v>42135</v>
      </c>
      <c r="H7490" s="787">
        <v>1</v>
      </c>
      <c r="I7490" s="788">
        <v>42123</v>
      </c>
      <c r="J7490" s="788">
        <v>42101</v>
      </c>
      <c r="L7490" s="787">
        <v>2.95</v>
      </c>
      <c r="M7490" s="787">
        <v>20</v>
      </c>
      <c r="N7490" s="787">
        <v>0</v>
      </c>
    </row>
    <row r="7491" spans="1:14" x14ac:dyDescent="0.25">
      <c r="A7491" s="786" t="s">
        <v>13392</v>
      </c>
      <c r="B7491" s="787">
        <v>4</v>
      </c>
      <c r="C7491" s="787" t="s">
        <v>13393</v>
      </c>
      <c r="D7491" s="787">
        <v>5</v>
      </c>
      <c r="E7491" s="787">
        <v>385</v>
      </c>
      <c r="F7491" s="788">
        <v>42123</v>
      </c>
      <c r="G7491" s="788">
        <v>42108</v>
      </c>
      <c r="H7491" s="787">
        <v>1</v>
      </c>
      <c r="I7491" s="788">
        <v>42110</v>
      </c>
      <c r="J7491" s="788">
        <v>42108</v>
      </c>
      <c r="L7491" s="787">
        <v>385</v>
      </c>
      <c r="M7491" s="787">
        <v>20</v>
      </c>
      <c r="N7491" s="787">
        <v>0</v>
      </c>
    </row>
    <row r="7492" spans="1:14" x14ac:dyDescent="0.25">
      <c r="A7492" s="786" t="s">
        <v>13394</v>
      </c>
      <c r="B7492" s="787">
        <v>4</v>
      </c>
      <c r="C7492" s="787" t="s">
        <v>13395</v>
      </c>
      <c r="D7492" s="787">
        <v>5.3</v>
      </c>
      <c r="E7492" s="787">
        <v>235.3</v>
      </c>
      <c r="F7492" s="788">
        <v>42110</v>
      </c>
      <c r="G7492" s="788">
        <v>42135</v>
      </c>
      <c r="H7492" s="787">
        <v>1</v>
      </c>
      <c r="I7492" s="788">
        <v>42114</v>
      </c>
      <c r="J7492" s="788">
        <v>42107</v>
      </c>
      <c r="L7492" s="787">
        <v>205.92</v>
      </c>
      <c r="M7492" s="787">
        <v>20</v>
      </c>
      <c r="N7492" s="787">
        <v>0</v>
      </c>
    </row>
    <row r="7493" spans="1:14" x14ac:dyDescent="0.25">
      <c r="A7493" s="786" t="s">
        <v>13396</v>
      </c>
      <c r="B7493" s="787">
        <v>4</v>
      </c>
      <c r="C7493" s="787" t="s">
        <v>13397</v>
      </c>
      <c r="D7493" s="787">
        <v>2</v>
      </c>
      <c r="E7493" s="787">
        <v>292</v>
      </c>
      <c r="F7493" s="788">
        <v>42129</v>
      </c>
      <c r="G7493" s="788">
        <v>42110</v>
      </c>
      <c r="H7493" s="787">
        <v>1</v>
      </c>
      <c r="I7493" s="788">
        <v>42123</v>
      </c>
      <c r="J7493" s="788">
        <v>42110</v>
      </c>
      <c r="K7493" s="788">
        <v>42107</v>
      </c>
      <c r="L7493" s="787">
        <v>292</v>
      </c>
      <c r="M7493" s="787">
        <v>20</v>
      </c>
      <c r="N7493" s="787">
        <v>0</v>
      </c>
    </row>
    <row r="7494" spans="1:14" x14ac:dyDescent="0.25">
      <c r="A7494" s="786" t="s">
        <v>13398</v>
      </c>
      <c r="B7494" s="787">
        <v>4</v>
      </c>
      <c r="C7494" s="787" t="s">
        <v>13399</v>
      </c>
      <c r="D7494" s="787">
        <v>2</v>
      </c>
      <c r="E7494" s="787">
        <v>412</v>
      </c>
      <c r="F7494" s="788">
        <v>42111</v>
      </c>
      <c r="G7494" s="788">
        <v>42142</v>
      </c>
      <c r="H7494" s="787">
        <v>1</v>
      </c>
      <c r="I7494" s="788">
        <v>42123</v>
      </c>
      <c r="J7494" s="788">
        <v>42110</v>
      </c>
      <c r="K7494" s="788">
        <v>42102</v>
      </c>
      <c r="L7494" s="787">
        <v>331</v>
      </c>
      <c r="M7494" s="787">
        <v>20</v>
      </c>
      <c r="N7494" s="787">
        <v>0</v>
      </c>
    </row>
    <row r="7495" spans="1:14" x14ac:dyDescent="0.25">
      <c r="A7495" s="786" t="s">
        <v>13400</v>
      </c>
      <c r="B7495" s="787">
        <v>4</v>
      </c>
      <c r="C7495" s="787" t="s">
        <v>13401</v>
      </c>
      <c r="D7495" s="787">
        <v>3.78</v>
      </c>
      <c r="E7495" s="787">
        <v>3.78</v>
      </c>
      <c r="F7495" s="788">
        <v>42104</v>
      </c>
      <c r="G7495" s="788">
        <v>42135</v>
      </c>
      <c r="H7495" s="787">
        <v>1</v>
      </c>
      <c r="J7495" s="788">
        <v>42104</v>
      </c>
      <c r="K7495" s="788">
        <v>42101</v>
      </c>
      <c r="L7495" s="787">
        <v>3.68</v>
      </c>
      <c r="M7495" s="787">
        <v>20</v>
      </c>
      <c r="N7495" s="787">
        <v>0</v>
      </c>
    </row>
    <row r="7496" spans="1:14" x14ac:dyDescent="0.25">
      <c r="A7496" s="786" t="s">
        <v>13402</v>
      </c>
      <c r="B7496" s="787">
        <v>4</v>
      </c>
      <c r="C7496" s="787" t="s">
        <v>13403</v>
      </c>
      <c r="D7496" s="787">
        <v>3.71</v>
      </c>
      <c r="E7496" s="787">
        <v>3.71</v>
      </c>
      <c r="F7496" s="788">
        <v>42104</v>
      </c>
      <c r="G7496" s="788">
        <v>42135</v>
      </c>
      <c r="H7496" s="787">
        <v>1</v>
      </c>
      <c r="J7496" s="788">
        <v>42104</v>
      </c>
      <c r="K7496" s="788">
        <v>42101</v>
      </c>
      <c r="L7496" s="787">
        <v>3.6</v>
      </c>
      <c r="M7496" s="787">
        <v>20</v>
      </c>
      <c r="N7496" s="787">
        <v>0</v>
      </c>
    </row>
    <row r="7497" spans="1:14" x14ac:dyDescent="0.25">
      <c r="A7497" s="786" t="s">
        <v>13404</v>
      </c>
      <c r="B7497" s="787">
        <v>4</v>
      </c>
      <c r="C7497" s="787" t="s">
        <v>13405</v>
      </c>
      <c r="D7497" s="787">
        <v>1.48</v>
      </c>
      <c r="E7497" s="787">
        <v>1.48</v>
      </c>
      <c r="F7497" s="788">
        <v>42104</v>
      </c>
      <c r="G7497" s="788">
        <v>42135</v>
      </c>
      <c r="H7497" s="787">
        <v>1</v>
      </c>
      <c r="J7497" s="788">
        <v>42104</v>
      </c>
      <c r="K7497" s="788">
        <v>42101</v>
      </c>
      <c r="L7497" s="787">
        <v>1.44</v>
      </c>
      <c r="M7497" s="787">
        <v>20</v>
      </c>
      <c r="N7497" s="787">
        <v>0</v>
      </c>
    </row>
    <row r="7498" spans="1:14" x14ac:dyDescent="0.25">
      <c r="A7498" s="786" t="s">
        <v>13406</v>
      </c>
      <c r="B7498" s="787">
        <v>4</v>
      </c>
      <c r="C7498" s="787" t="s">
        <v>13407</v>
      </c>
      <c r="D7498" s="787">
        <v>1.56</v>
      </c>
      <c r="E7498" s="787">
        <v>1.56</v>
      </c>
      <c r="F7498" s="788">
        <v>42104</v>
      </c>
      <c r="G7498" s="788">
        <v>42135</v>
      </c>
      <c r="H7498" s="787">
        <v>1</v>
      </c>
      <c r="J7498" s="788">
        <v>42104</v>
      </c>
      <c r="K7498" s="788">
        <v>42101</v>
      </c>
      <c r="L7498" s="787">
        <v>1.52</v>
      </c>
      <c r="M7498" s="787">
        <v>20</v>
      </c>
      <c r="N7498" s="787">
        <v>0</v>
      </c>
    </row>
    <row r="7499" spans="1:14" x14ac:dyDescent="0.25">
      <c r="A7499" s="786" t="s">
        <v>13408</v>
      </c>
      <c r="B7499" s="787">
        <v>4</v>
      </c>
      <c r="C7499" s="787" t="s">
        <v>13409</v>
      </c>
      <c r="D7499" s="787">
        <v>1.67</v>
      </c>
      <c r="E7499" s="787">
        <v>1.67</v>
      </c>
      <c r="F7499" s="788">
        <v>42104</v>
      </c>
      <c r="G7499" s="788">
        <v>42135</v>
      </c>
      <c r="H7499" s="787">
        <v>1</v>
      </c>
      <c r="J7499" s="788">
        <v>42104</v>
      </c>
      <c r="K7499" s="788">
        <v>42101</v>
      </c>
      <c r="L7499" s="787">
        <v>1.62</v>
      </c>
      <c r="M7499" s="787">
        <v>20</v>
      </c>
      <c r="N7499" s="787">
        <v>0</v>
      </c>
    </row>
    <row r="7500" spans="1:14" x14ac:dyDescent="0.25">
      <c r="A7500" s="786" t="s">
        <v>13410</v>
      </c>
      <c r="B7500" s="787">
        <v>4</v>
      </c>
      <c r="C7500" s="787" t="s">
        <v>13411</v>
      </c>
      <c r="D7500" s="787">
        <v>2.35</v>
      </c>
      <c r="E7500" s="787">
        <v>2.35</v>
      </c>
      <c r="F7500" s="788">
        <v>42104</v>
      </c>
      <c r="G7500" s="788">
        <v>42135</v>
      </c>
      <c r="H7500" s="787">
        <v>1</v>
      </c>
      <c r="J7500" s="788">
        <v>42104</v>
      </c>
      <c r="K7500" s="788">
        <v>42101</v>
      </c>
      <c r="L7500" s="787">
        <v>2.29</v>
      </c>
      <c r="M7500" s="787">
        <v>20</v>
      </c>
      <c r="N7500" s="787">
        <v>0</v>
      </c>
    </row>
    <row r="7501" spans="1:14" x14ac:dyDescent="0.25">
      <c r="A7501" s="786" t="s">
        <v>13412</v>
      </c>
      <c r="B7501" s="787">
        <v>4</v>
      </c>
      <c r="C7501" s="787" t="s">
        <v>13413</v>
      </c>
      <c r="D7501" s="787">
        <v>0.12</v>
      </c>
      <c r="E7501" s="787">
        <v>0.12</v>
      </c>
      <c r="F7501" s="788">
        <v>42104</v>
      </c>
      <c r="G7501" s="788">
        <v>42135</v>
      </c>
      <c r="H7501" s="787">
        <v>1</v>
      </c>
      <c r="J7501" s="788">
        <v>42104</v>
      </c>
      <c r="K7501" s="788">
        <v>42101</v>
      </c>
      <c r="L7501" s="787">
        <v>0.11</v>
      </c>
      <c r="M7501" s="787">
        <v>20</v>
      </c>
      <c r="N7501" s="787">
        <v>0</v>
      </c>
    </row>
    <row r="7502" spans="1:14" x14ac:dyDescent="0.25">
      <c r="A7502" s="786" t="s">
        <v>13414</v>
      </c>
      <c r="B7502" s="787">
        <v>4</v>
      </c>
      <c r="C7502" s="787" t="s">
        <v>13415</v>
      </c>
      <c r="D7502" s="787">
        <v>0.11</v>
      </c>
      <c r="E7502" s="787">
        <v>0.11</v>
      </c>
      <c r="F7502" s="788">
        <v>42104</v>
      </c>
      <c r="G7502" s="788">
        <v>42135</v>
      </c>
      <c r="H7502" s="787">
        <v>1</v>
      </c>
      <c r="J7502" s="788">
        <v>42104</v>
      </c>
      <c r="K7502" s="788">
        <v>42101</v>
      </c>
      <c r="L7502" s="787">
        <v>0.1</v>
      </c>
      <c r="M7502" s="787">
        <v>20</v>
      </c>
      <c r="N7502" s="787">
        <v>0</v>
      </c>
    </row>
    <row r="7503" spans="1:14" x14ac:dyDescent="0.25">
      <c r="A7503" s="786" t="s">
        <v>13416</v>
      </c>
      <c r="B7503" s="787">
        <v>4</v>
      </c>
      <c r="C7503" s="787" t="s">
        <v>13417</v>
      </c>
      <c r="D7503" s="787">
        <v>0</v>
      </c>
      <c r="E7503" s="787">
        <v>0</v>
      </c>
      <c r="H7503" s="787">
        <v>1</v>
      </c>
      <c r="I7503" s="788">
        <v>42102</v>
      </c>
      <c r="J7503" s="788">
        <v>42109</v>
      </c>
      <c r="L7503" s="787">
        <v>5.5</v>
      </c>
      <c r="M7503" s="787">
        <v>20</v>
      </c>
      <c r="N7503" s="787">
        <v>0</v>
      </c>
    </row>
    <row r="7504" spans="1:14" x14ac:dyDescent="0.25">
      <c r="A7504" s="786" t="s">
        <v>13418</v>
      </c>
      <c r="B7504" s="787">
        <v>4</v>
      </c>
      <c r="C7504" s="787" t="s">
        <v>13419</v>
      </c>
      <c r="D7504" s="787">
        <v>0</v>
      </c>
      <c r="E7504" s="787">
        <v>10.199999999999999</v>
      </c>
      <c r="G7504" s="788">
        <v>42137</v>
      </c>
      <c r="H7504" s="787">
        <v>1</v>
      </c>
      <c r="J7504" s="788">
        <v>42137</v>
      </c>
      <c r="L7504" s="787">
        <v>10.199999999999999</v>
      </c>
      <c r="M7504" s="787">
        <v>20</v>
      </c>
      <c r="N7504" s="787">
        <v>0</v>
      </c>
    </row>
    <row r="7505" spans="1:14" x14ac:dyDescent="0.25">
      <c r="A7505" s="786" t="s">
        <v>13420</v>
      </c>
      <c r="B7505" s="787">
        <v>4</v>
      </c>
      <c r="C7505" s="787" t="s">
        <v>12805</v>
      </c>
      <c r="D7505" s="787">
        <v>5</v>
      </c>
      <c r="E7505" s="787">
        <v>95</v>
      </c>
      <c r="F7505" s="788">
        <v>42111</v>
      </c>
      <c r="G7505" s="788">
        <v>42110</v>
      </c>
      <c r="H7505" s="787">
        <v>1</v>
      </c>
      <c r="J7505" s="788">
        <v>42110</v>
      </c>
      <c r="K7505" s="788">
        <v>42108</v>
      </c>
      <c r="L7505" s="787">
        <v>95</v>
      </c>
      <c r="M7505" s="787">
        <v>20</v>
      </c>
      <c r="N7505" s="787">
        <v>0</v>
      </c>
    </row>
    <row r="7506" spans="1:14" x14ac:dyDescent="0.25">
      <c r="A7506" s="786" t="s">
        <v>13421</v>
      </c>
      <c r="B7506" s="787">
        <v>4</v>
      </c>
      <c r="C7506" s="787" t="s">
        <v>13422</v>
      </c>
      <c r="D7506" s="787">
        <v>1</v>
      </c>
      <c r="E7506" s="787">
        <v>341</v>
      </c>
      <c r="F7506" s="788">
        <v>42129</v>
      </c>
      <c r="G7506" s="788">
        <v>42124</v>
      </c>
      <c r="H7506" s="787">
        <v>1</v>
      </c>
      <c r="J7506" s="788">
        <v>42124</v>
      </c>
      <c r="K7506" s="788">
        <v>42108</v>
      </c>
      <c r="L7506" s="787">
        <v>341</v>
      </c>
      <c r="M7506" s="787">
        <v>20</v>
      </c>
      <c r="N7506" s="787">
        <v>0</v>
      </c>
    </row>
    <row r="7507" spans="1:14" x14ac:dyDescent="0.25">
      <c r="A7507" s="786" t="s">
        <v>13423</v>
      </c>
      <c r="B7507" s="787">
        <v>4</v>
      </c>
      <c r="C7507" s="787" t="s">
        <v>13424</v>
      </c>
      <c r="D7507" s="787">
        <v>9.2100000000000009</v>
      </c>
      <c r="E7507" s="787">
        <v>9.2100000000000009</v>
      </c>
      <c r="F7507" s="788">
        <v>42116</v>
      </c>
      <c r="G7507" s="788">
        <v>42145</v>
      </c>
      <c r="H7507" s="787">
        <v>1</v>
      </c>
      <c r="J7507" s="788">
        <v>42108</v>
      </c>
      <c r="L7507" s="787">
        <v>10</v>
      </c>
      <c r="M7507" s="787">
        <v>20</v>
      </c>
      <c r="N7507" s="787">
        <v>0</v>
      </c>
    </row>
    <row r="7508" spans="1:14" x14ac:dyDescent="0.25">
      <c r="A7508" s="786" t="s">
        <v>13425</v>
      </c>
      <c r="B7508" s="787">
        <v>4</v>
      </c>
      <c r="C7508" s="787" t="s">
        <v>13426</v>
      </c>
      <c r="D7508" s="787">
        <v>8.5299999999999994</v>
      </c>
      <c r="E7508" s="787">
        <v>8.5299999999999994</v>
      </c>
      <c r="F7508" s="788">
        <v>42116</v>
      </c>
      <c r="G7508" s="788">
        <v>42143</v>
      </c>
      <c r="H7508" s="787">
        <v>1</v>
      </c>
      <c r="J7508" s="788">
        <v>42110</v>
      </c>
      <c r="K7508" s="788">
        <v>42107</v>
      </c>
      <c r="L7508" s="787">
        <v>8.5299999999999994</v>
      </c>
      <c r="M7508" s="787">
        <v>20</v>
      </c>
      <c r="N7508" s="787">
        <v>0</v>
      </c>
    </row>
    <row r="7509" spans="1:14" x14ac:dyDescent="0.25">
      <c r="A7509" s="786" t="s">
        <v>13427</v>
      </c>
      <c r="B7509" s="787">
        <v>4</v>
      </c>
      <c r="C7509" s="787" t="s">
        <v>13428</v>
      </c>
      <c r="D7509" s="787">
        <v>0</v>
      </c>
      <c r="E7509" s="787">
        <v>0</v>
      </c>
      <c r="H7509" s="787">
        <v>1</v>
      </c>
      <c r="L7509" s="787">
        <v>39.700000000000003</v>
      </c>
      <c r="M7509" s="787">
        <v>20</v>
      </c>
      <c r="N7509" s="787">
        <v>0</v>
      </c>
    </row>
    <row r="7510" spans="1:14" x14ac:dyDescent="0.25">
      <c r="A7510" s="786" t="s">
        <v>13429</v>
      </c>
      <c r="B7510" s="787">
        <v>4</v>
      </c>
      <c r="C7510" s="787" t="s">
        <v>13430</v>
      </c>
      <c r="D7510" s="787">
        <v>6.89</v>
      </c>
      <c r="E7510" s="787">
        <v>26.89</v>
      </c>
      <c r="F7510" s="788">
        <v>42116</v>
      </c>
      <c r="G7510" s="788">
        <v>42144</v>
      </c>
      <c r="H7510" s="787">
        <v>1</v>
      </c>
      <c r="J7510" s="788">
        <v>42116</v>
      </c>
      <c r="K7510" s="788">
        <v>42109</v>
      </c>
      <c r="L7510" s="787">
        <v>13.37</v>
      </c>
      <c r="M7510" s="787">
        <v>20</v>
      </c>
      <c r="N7510" s="787">
        <v>0</v>
      </c>
    </row>
    <row r="7511" spans="1:14" x14ac:dyDescent="0.25">
      <c r="A7511" s="786" t="s">
        <v>13431</v>
      </c>
      <c r="B7511" s="787">
        <v>4</v>
      </c>
      <c r="C7511" s="787" t="s">
        <v>13432</v>
      </c>
      <c r="D7511" s="787">
        <v>8.25</v>
      </c>
      <c r="E7511" s="787">
        <v>318.25</v>
      </c>
      <c r="F7511" s="788">
        <v>42143</v>
      </c>
      <c r="G7511" s="788">
        <v>42150</v>
      </c>
      <c r="H7511" s="787">
        <v>1</v>
      </c>
      <c r="J7511" s="788">
        <v>42137</v>
      </c>
      <c r="K7511" s="788">
        <v>42114</v>
      </c>
      <c r="L7511" s="787">
        <v>299</v>
      </c>
      <c r="M7511" s="787">
        <v>20</v>
      </c>
      <c r="N7511" s="787">
        <v>0</v>
      </c>
    </row>
    <row r="7512" spans="1:14" x14ac:dyDescent="0.25">
      <c r="A7512" s="786" t="s">
        <v>13433</v>
      </c>
      <c r="B7512" s="787">
        <v>4</v>
      </c>
      <c r="C7512" s="787" t="s">
        <v>13432</v>
      </c>
      <c r="D7512" s="787">
        <v>6.13</v>
      </c>
      <c r="E7512" s="787">
        <v>316.13</v>
      </c>
      <c r="F7512" s="788">
        <v>42143</v>
      </c>
      <c r="G7512" s="788">
        <v>42150</v>
      </c>
      <c r="H7512" s="787">
        <v>1</v>
      </c>
      <c r="J7512" s="788">
        <v>42137</v>
      </c>
      <c r="K7512" s="788">
        <v>42114</v>
      </c>
      <c r="L7512" s="787">
        <v>297</v>
      </c>
      <c r="M7512" s="787">
        <v>20</v>
      </c>
      <c r="N7512" s="787">
        <v>0</v>
      </c>
    </row>
    <row r="7513" spans="1:14" x14ac:dyDescent="0.25">
      <c r="A7513" s="786" t="s">
        <v>13434</v>
      </c>
      <c r="B7513" s="787">
        <v>4</v>
      </c>
      <c r="C7513" s="787" t="s">
        <v>13435</v>
      </c>
      <c r="D7513" s="787">
        <v>8</v>
      </c>
      <c r="E7513" s="787">
        <v>398</v>
      </c>
      <c r="F7513" s="788">
        <v>42157</v>
      </c>
      <c r="G7513" s="788">
        <v>42135</v>
      </c>
      <c r="H7513" s="787">
        <v>1</v>
      </c>
      <c r="J7513" s="788">
        <v>42135</v>
      </c>
      <c r="K7513" s="788">
        <v>42124</v>
      </c>
      <c r="L7513" s="787">
        <v>398</v>
      </c>
      <c r="M7513" s="787">
        <v>20</v>
      </c>
      <c r="N7513" s="787">
        <v>0</v>
      </c>
    </row>
    <row r="7514" spans="1:14" x14ac:dyDescent="0.25">
      <c r="A7514" s="786" t="s">
        <v>13436</v>
      </c>
      <c r="B7514" s="787">
        <v>4</v>
      </c>
      <c r="C7514" s="787" t="s">
        <v>13437</v>
      </c>
      <c r="D7514" s="787">
        <v>1</v>
      </c>
      <c r="E7514" s="787">
        <v>381</v>
      </c>
      <c r="F7514" s="788">
        <v>42157</v>
      </c>
      <c r="G7514" s="788">
        <v>42135</v>
      </c>
      <c r="H7514" s="787">
        <v>1</v>
      </c>
      <c r="J7514" s="788">
        <v>42135</v>
      </c>
      <c r="K7514" s="788">
        <v>42124</v>
      </c>
      <c r="L7514" s="787">
        <v>381</v>
      </c>
      <c r="M7514" s="787">
        <v>20</v>
      </c>
      <c r="N7514" s="787">
        <v>0</v>
      </c>
    </row>
    <row r="7515" spans="1:14" x14ac:dyDescent="0.25">
      <c r="A7515" s="786" t="s">
        <v>13438</v>
      </c>
      <c r="B7515" s="787">
        <v>4</v>
      </c>
      <c r="C7515" s="787" t="s">
        <v>13439</v>
      </c>
      <c r="D7515" s="787">
        <v>9.94</v>
      </c>
      <c r="E7515" s="787">
        <v>19.940000000000001</v>
      </c>
      <c r="F7515" s="788">
        <v>42122</v>
      </c>
      <c r="G7515" s="788">
        <v>42145</v>
      </c>
      <c r="H7515" s="787">
        <v>1</v>
      </c>
      <c r="J7515" s="788">
        <v>42121</v>
      </c>
      <c r="L7515" s="787">
        <v>15</v>
      </c>
      <c r="M7515" s="787">
        <v>20</v>
      </c>
      <c r="N7515" s="787">
        <v>0</v>
      </c>
    </row>
    <row r="7516" spans="1:14" x14ac:dyDescent="0.25">
      <c r="A7516" s="786" t="s">
        <v>13440</v>
      </c>
      <c r="B7516" s="787">
        <v>4</v>
      </c>
      <c r="C7516" s="787" t="s">
        <v>13441</v>
      </c>
      <c r="D7516" s="787">
        <v>5.7</v>
      </c>
      <c r="E7516" s="787">
        <v>5.7</v>
      </c>
      <c r="F7516" s="788">
        <v>42151</v>
      </c>
      <c r="G7516" s="788">
        <v>42165</v>
      </c>
      <c r="H7516" s="787">
        <v>1</v>
      </c>
      <c r="J7516" s="788">
        <v>42144</v>
      </c>
      <c r="K7516" s="788">
        <v>42121</v>
      </c>
      <c r="L7516" s="787">
        <v>5.71</v>
      </c>
      <c r="M7516" s="787">
        <v>20</v>
      </c>
      <c r="N7516" s="787">
        <v>0</v>
      </c>
    </row>
    <row r="7517" spans="1:14" x14ac:dyDescent="0.25">
      <c r="A7517" s="786" t="s">
        <v>13442</v>
      </c>
      <c r="B7517" s="787">
        <v>4</v>
      </c>
      <c r="C7517" s="787" t="s">
        <v>13443</v>
      </c>
      <c r="D7517" s="787">
        <v>2.36</v>
      </c>
      <c r="E7517" s="787">
        <v>2.36</v>
      </c>
      <c r="F7517" s="788">
        <v>42121</v>
      </c>
      <c r="G7517" s="788">
        <v>42121</v>
      </c>
      <c r="H7517" s="787">
        <v>1</v>
      </c>
      <c r="J7517" s="788">
        <v>42144</v>
      </c>
      <c r="L7517" s="787">
        <v>2.36</v>
      </c>
      <c r="M7517" s="787">
        <v>20</v>
      </c>
      <c r="N7517" s="787">
        <v>0</v>
      </c>
    </row>
    <row r="7518" spans="1:14" x14ac:dyDescent="0.25">
      <c r="A7518" s="786" t="s">
        <v>13444</v>
      </c>
      <c r="B7518" s="787">
        <v>4</v>
      </c>
      <c r="C7518" s="787" t="s">
        <v>13445</v>
      </c>
      <c r="D7518" s="787">
        <v>5.75</v>
      </c>
      <c r="E7518" s="787">
        <v>5.75</v>
      </c>
      <c r="F7518" s="788">
        <v>42145</v>
      </c>
      <c r="G7518" s="788">
        <v>42131</v>
      </c>
      <c r="H7518" s="787">
        <v>1</v>
      </c>
      <c r="I7518" s="788">
        <v>42151</v>
      </c>
      <c r="J7518" s="788">
        <v>42131</v>
      </c>
      <c r="K7518" s="788">
        <v>42116</v>
      </c>
      <c r="L7518" s="787">
        <v>5.75</v>
      </c>
      <c r="M7518" s="787">
        <v>20</v>
      </c>
      <c r="N7518" s="787">
        <v>0</v>
      </c>
    </row>
    <row r="7519" spans="1:14" x14ac:dyDescent="0.25">
      <c r="A7519" s="786" t="s">
        <v>13446</v>
      </c>
      <c r="B7519" s="787">
        <v>4</v>
      </c>
      <c r="C7519" s="787" t="s">
        <v>13413</v>
      </c>
      <c r="D7519" s="787">
        <v>0.33</v>
      </c>
      <c r="E7519" s="787">
        <v>0.33</v>
      </c>
      <c r="F7519" s="788">
        <v>42121</v>
      </c>
      <c r="G7519" s="788">
        <v>42146</v>
      </c>
      <c r="H7519" s="787">
        <v>1</v>
      </c>
      <c r="J7519" s="788">
        <v>42118</v>
      </c>
      <c r="K7519" s="788">
        <v>42151</v>
      </c>
      <c r="L7519" s="787">
        <v>0.25</v>
      </c>
      <c r="M7519" s="787">
        <v>20</v>
      </c>
      <c r="N7519" s="787">
        <v>0</v>
      </c>
    </row>
    <row r="7520" spans="1:14" x14ac:dyDescent="0.25">
      <c r="A7520" s="786" t="s">
        <v>13447</v>
      </c>
      <c r="B7520" s="787">
        <v>4</v>
      </c>
      <c r="C7520" s="787" t="s">
        <v>13415</v>
      </c>
      <c r="D7520" s="787">
        <v>0.32</v>
      </c>
      <c r="E7520" s="787">
        <v>0.32</v>
      </c>
      <c r="F7520" s="788">
        <v>42121</v>
      </c>
      <c r="G7520" s="788">
        <v>42146</v>
      </c>
      <c r="H7520" s="787">
        <v>1</v>
      </c>
      <c r="J7520" s="788">
        <v>42118</v>
      </c>
      <c r="K7520" s="788">
        <v>42151</v>
      </c>
      <c r="L7520" s="787">
        <v>0.24</v>
      </c>
      <c r="M7520" s="787">
        <v>20</v>
      </c>
      <c r="N7520" s="787">
        <v>0</v>
      </c>
    </row>
    <row r="7521" spans="1:15" x14ac:dyDescent="0.25">
      <c r="A7521" s="786" t="s">
        <v>13448</v>
      </c>
      <c r="B7521" s="787">
        <v>4</v>
      </c>
      <c r="C7521" s="787" t="s">
        <v>13449</v>
      </c>
      <c r="D7521" s="787">
        <v>5.26</v>
      </c>
      <c r="E7521" s="787">
        <v>5.26</v>
      </c>
      <c r="F7521" s="788">
        <v>42129</v>
      </c>
      <c r="G7521" s="788">
        <v>42128</v>
      </c>
      <c r="H7521" s="787">
        <v>1</v>
      </c>
      <c r="J7521" s="788">
        <v>42128</v>
      </c>
      <c r="L7521" s="787">
        <v>5.26</v>
      </c>
      <c r="M7521" s="787">
        <v>20</v>
      </c>
      <c r="N7521" s="787">
        <v>0</v>
      </c>
    </row>
    <row r="7522" spans="1:15" x14ac:dyDescent="0.25">
      <c r="A7522" s="786" t="s">
        <v>13450</v>
      </c>
      <c r="B7522" s="787">
        <v>4</v>
      </c>
      <c r="C7522" s="787" t="s">
        <v>12740</v>
      </c>
      <c r="D7522" s="787">
        <v>9</v>
      </c>
      <c r="E7522" s="787">
        <v>159</v>
      </c>
      <c r="F7522" s="788">
        <v>42143</v>
      </c>
      <c r="G7522" s="788">
        <v>42137</v>
      </c>
      <c r="H7522" s="787">
        <v>1</v>
      </c>
      <c r="J7522" s="788">
        <v>42137</v>
      </c>
      <c r="K7522" s="788">
        <v>42123</v>
      </c>
      <c r="L7522" s="787">
        <v>159</v>
      </c>
      <c r="M7522" s="787">
        <v>20</v>
      </c>
      <c r="N7522" s="787">
        <v>0</v>
      </c>
    </row>
    <row r="7523" spans="1:15" x14ac:dyDescent="0.25">
      <c r="A7523" s="786" t="s">
        <v>13451</v>
      </c>
      <c r="B7523" s="787">
        <v>4</v>
      </c>
      <c r="C7523" s="787" t="s">
        <v>13452</v>
      </c>
      <c r="D7523" s="787">
        <v>0</v>
      </c>
      <c r="E7523" s="787">
        <v>0</v>
      </c>
      <c r="G7523" s="788">
        <v>42158</v>
      </c>
      <c r="H7523" s="787">
        <v>1</v>
      </c>
      <c r="J7523" s="788">
        <v>42158</v>
      </c>
      <c r="K7523" s="788">
        <v>42130</v>
      </c>
      <c r="L7523" s="789">
        <v>2450</v>
      </c>
      <c r="M7523" s="787">
        <v>20</v>
      </c>
      <c r="N7523" s="787">
        <v>0</v>
      </c>
    </row>
    <row r="7524" spans="1:15" x14ac:dyDescent="0.25">
      <c r="A7524" s="786" t="s">
        <v>13453</v>
      </c>
      <c r="B7524" s="787">
        <v>4</v>
      </c>
      <c r="C7524" s="787" t="s">
        <v>13454</v>
      </c>
      <c r="D7524" s="787">
        <v>5.77</v>
      </c>
      <c r="E7524" s="787">
        <v>175.77</v>
      </c>
      <c r="F7524" s="788">
        <v>42136</v>
      </c>
      <c r="G7524" s="788">
        <v>42150</v>
      </c>
      <c r="H7524" s="787">
        <v>1</v>
      </c>
      <c r="J7524" s="788">
        <v>42135</v>
      </c>
      <c r="L7524" s="787">
        <v>173.54</v>
      </c>
      <c r="M7524" s="787">
        <v>20</v>
      </c>
      <c r="N7524" s="787">
        <v>0</v>
      </c>
    </row>
    <row r="7525" spans="1:15" x14ac:dyDescent="0.25">
      <c r="A7525" s="786" t="s">
        <v>13455</v>
      </c>
      <c r="B7525" s="787">
        <v>4</v>
      </c>
      <c r="C7525" s="787" t="s">
        <v>13456</v>
      </c>
      <c r="D7525" s="787">
        <v>8.36</v>
      </c>
      <c r="E7525" s="787">
        <v>28.36</v>
      </c>
      <c r="F7525" s="788">
        <v>42136</v>
      </c>
      <c r="G7525" s="788">
        <v>42150</v>
      </c>
      <c r="H7525" s="787">
        <v>1</v>
      </c>
      <c r="J7525" s="788">
        <v>42135</v>
      </c>
      <c r="L7525" s="787">
        <v>28</v>
      </c>
      <c r="M7525" s="787">
        <v>20</v>
      </c>
      <c r="N7525" s="787">
        <v>0</v>
      </c>
    </row>
    <row r="7526" spans="1:15" x14ac:dyDescent="0.25">
      <c r="A7526" s="786" t="s">
        <v>13457</v>
      </c>
      <c r="B7526" s="787">
        <v>4</v>
      </c>
      <c r="C7526" s="787" t="s">
        <v>13458</v>
      </c>
      <c r="D7526" s="787">
        <v>8.6999999999999993</v>
      </c>
      <c r="E7526" s="787">
        <v>98.7</v>
      </c>
      <c r="F7526" s="788">
        <v>42131</v>
      </c>
      <c r="G7526" s="788">
        <v>42150</v>
      </c>
      <c r="H7526" s="787">
        <v>1</v>
      </c>
      <c r="I7526" s="788">
        <v>42151</v>
      </c>
      <c r="J7526" s="788">
        <v>42136</v>
      </c>
      <c r="L7526" s="787">
        <v>75</v>
      </c>
      <c r="M7526" s="787">
        <v>20</v>
      </c>
      <c r="N7526" s="787">
        <v>80.63</v>
      </c>
      <c r="O7526" s="788">
        <v>42142</v>
      </c>
    </row>
    <row r="7527" spans="1:15" x14ac:dyDescent="0.25">
      <c r="A7527" s="786" t="s">
        <v>13459</v>
      </c>
      <c r="B7527" s="787">
        <v>4</v>
      </c>
      <c r="C7527" s="787" t="s">
        <v>13460</v>
      </c>
      <c r="D7527" s="787">
        <v>5.6</v>
      </c>
      <c r="E7527" s="787">
        <v>105.6</v>
      </c>
      <c r="F7527" s="788">
        <v>42143</v>
      </c>
      <c r="G7527" s="788">
        <v>42135</v>
      </c>
      <c r="H7527" s="787">
        <v>1</v>
      </c>
      <c r="J7527" s="788">
        <v>42135</v>
      </c>
      <c r="L7527" s="787">
        <v>105.6</v>
      </c>
      <c r="M7527" s="787">
        <v>20</v>
      </c>
      <c r="N7527" s="787">
        <v>0</v>
      </c>
    </row>
    <row r="7528" spans="1:15" x14ac:dyDescent="0.25">
      <c r="A7528" s="786" t="s">
        <v>13461</v>
      </c>
      <c r="B7528" s="787">
        <v>4</v>
      </c>
      <c r="C7528" s="787" t="s">
        <v>13462</v>
      </c>
      <c r="D7528" s="787">
        <v>3.92</v>
      </c>
      <c r="E7528" s="787">
        <v>533.91999999999996</v>
      </c>
      <c r="F7528" s="788">
        <v>42143</v>
      </c>
      <c r="G7528" s="788">
        <v>42150</v>
      </c>
      <c r="H7528" s="787">
        <v>1</v>
      </c>
      <c r="I7528" s="788">
        <v>42158</v>
      </c>
      <c r="J7528" s="788">
        <v>42136</v>
      </c>
      <c r="K7528" s="788">
        <v>42129</v>
      </c>
      <c r="L7528" s="787">
        <v>533.91999999999996</v>
      </c>
      <c r="M7528" s="787">
        <v>20</v>
      </c>
      <c r="N7528" s="787">
        <v>0</v>
      </c>
    </row>
    <row r="7529" spans="1:15" x14ac:dyDescent="0.25">
      <c r="A7529" s="786" t="s">
        <v>13463</v>
      </c>
      <c r="B7529" s="787">
        <v>4</v>
      </c>
      <c r="C7529" s="787" t="s">
        <v>931</v>
      </c>
      <c r="D7529" s="787">
        <v>0</v>
      </c>
      <c r="E7529" s="787">
        <v>0</v>
      </c>
      <c r="H7529" s="787">
        <v>1</v>
      </c>
      <c r="L7529" s="787">
        <v>0.05</v>
      </c>
      <c r="M7529" s="787">
        <v>20</v>
      </c>
      <c r="N7529" s="787">
        <v>0</v>
      </c>
    </row>
    <row r="7530" spans="1:15" x14ac:dyDescent="0.25">
      <c r="A7530" s="786" t="s">
        <v>13464</v>
      </c>
      <c r="B7530" s="787">
        <v>4</v>
      </c>
      <c r="C7530" s="787" t="s">
        <v>13465</v>
      </c>
      <c r="D7530" s="787">
        <v>0</v>
      </c>
      <c r="E7530" s="787">
        <v>0</v>
      </c>
      <c r="H7530" s="787">
        <v>1</v>
      </c>
      <c r="L7530" s="787">
        <v>100</v>
      </c>
      <c r="M7530" s="787">
        <v>20</v>
      </c>
      <c r="N7530" s="787">
        <v>0</v>
      </c>
    </row>
    <row r="7531" spans="1:15" x14ac:dyDescent="0.25">
      <c r="A7531" s="786" t="s">
        <v>13466</v>
      </c>
      <c r="B7531" s="787">
        <v>4</v>
      </c>
      <c r="C7531" s="787" t="s">
        <v>13467</v>
      </c>
      <c r="D7531" s="787">
        <v>7</v>
      </c>
      <c r="E7531" s="787">
        <v>497</v>
      </c>
      <c r="F7531" s="788">
        <v>42157</v>
      </c>
      <c r="G7531" s="788">
        <v>42142</v>
      </c>
      <c r="H7531" s="787">
        <v>1</v>
      </c>
      <c r="I7531" s="788">
        <v>42164</v>
      </c>
      <c r="J7531" s="788">
        <v>42142</v>
      </c>
      <c r="K7531" s="788">
        <v>42132</v>
      </c>
      <c r="L7531" s="787">
        <v>497</v>
      </c>
      <c r="M7531" s="787">
        <v>20</v>
      </c>
      <c r="N7531" s="787">
        <v>0</v>
      </c>
    </row>
    <row r="7532" spans="1:15" x14ac:dyDescent="0.25">
      <c r="A7532" s="786" t="s">
        <v>13468</v>
      </c>
      <c r="B7532" s="787">
        <v>4</v>
      </c>
      <c r="C7532" s="787" t="s">
        <v>13469</v>
      </c>
      <c r="D7532" s="787">
        <v>0</v>
      </c>
      <c r="E7532" s="787">
        <v>0</v>
      </c>
      <c r="H7532" s="787">
        <v>1</v>
      </c>
      <c r="L7532" s="787">
        <v>22.81</v>
      </c>
      <c r="M7532" s="787">
        <v>20</v>
      </c>
      <c r="N7532" s="787">
        <v>0</v>
      </c>
    </row>
    <row r="7533" spans="1:15" x14ac:dyDescent="0.25">
      <c r="A7533" s="786" t="s">
        <v>13470</v>
      </c>
      <c r="B7533" s="787">
        <v>4</v>
      </c>
      <c r="C7533" s="787" t="s">
        <v>12836</v>
      </c>
      <c r="D7533" s="787">
        <v>7</v>
      </c>
      <c r="E7533" s="787">
        <v>167</v>
      </c>
      <c r="F7533" s="788">
        <v>42143</v>
      </c>
      <c r="G7533" s="788">
        <v>42137</v>
      </c>
      <c r="H7533" s="787">
        <v>1</v>
      </c>
      <c r="I7533" s="788">
        <v>42164</v>
      </c>
      <c r="J7533" s="788">
        <v>42137</v>
      </c>
      <c r="K7533" s="788">
        <v>42135</v>
      </c>
      <c r="L7533" s="787">
        <v>167</v>
      </c>
      <c r="M7533" s="787">
        <v>20</v>
      </c>
      <c r="N7533" s="787">
        <v>0</v>
      </c>
    </row>
    <row r="7534" spans="1:15" x14ac:dyDescent="0.25">
      <c r="A7534" s="786" t="s">
        <v>13471</v>
      </c>
      <c r="B7534" s="787">
        <v>4</v>
      </c>
      <c r="C7534" s="787" t="s">
        <v>13472</v>
      </c>
      <c r="D7534" s="787">
        <v>0</v>
      </c>
      <c r="E7534" s="787">
        <v>6.99</v>
      </c>
      <c r="G7534" s="788">
        <v>42159</v>
      </c>
      <c r="H7534" s="787">
        <v>1</v>
      </c>
      <c r="J7534" s="788">
        <v>42159</v>
      </c>
      <c r="L7534" s="787">
        <v>6.99</v>
      </c>
      <c r="M7534" s="787">
        <v>20</v>
      </c>
      <c r="N7534" s="787">
        <v>0</v>
      </c>
    </row>
    <row r="7535" spans="1:15" x14ac:dyDescent="0.25">
      <c r="A7535" s="786" t="s">
        <v>13473</v>
      </c>
      <c r="B7535" s="787">
        <v>4</v>
      </c>
      <c r="C7535" s="787" t="s">
        <v>13474</v>
      </c>
      <c r="D7535" s="787">
        <v>4.2</v>
      </c>
      <c r="E7535" s="787">
        <v>44.2</v>
      </c>
      <c r="F7535" s="788">
        <v>42157</v>
      </c>
      <c r="G7535" s="788">
        <v>42158</v>
      </c>
      <c r="H7535" s="787">
        <v>1</v>
      </c>
      <c r="J7535" s="788">
        <v>42153</v>
      </c>
      <c r="L7535" s="787">
        <v>35.15</v>
      </c>
      <c r="M7535" s="787">
        <v>20</v>
      </c>
      <c r="N7535" s="787">
        <v>0</v>
      </c>
    </row>
    <row r="7536" spans="1:15" x14ac:dyDescent="0.25">
      <c r="A7536" s="786" t="s">
        <v>13475</v>
      </c>
      <c r="B7536" s="787">
        <v>4</v>
      </c>
      <c r="C7536" s="787" t="s">
        <v>13476</v>
      </c>
      <c r="D7536" s="787">
        <v>2.44</v>
      </c>
      <c r="E7536" s="787">
        <v>2.44</v>
      </c>
      <c r="F7536" s="788">
        <v>42151</v>
      </c>
      <c r="G7536" s="788">
        <v>42143</v>
      </c>
      <c r="H7536" s="787">
        <v>1</v>
      </c>
      <c r="J7536" s="788">
        <v>42143</v>
      </c>
      <c r="L7536" s="787">
        <v>2.44</v>
      </c>
      <c r="M7536" s="787">
        <v>20</v>
      </c>
      <c r="N7536" s="787">
        <v>0</v>
      </c>
    </row>
    <row r="7537" spans="1:15" x14ac:dyDescent="0.25">
      <c r="A7537" s="786" t="s">
        <v>13477</v>
      </c>
      <c r="B7537" s="787">
        <v>4</v>
      </c>
      <c r="C7537" s="787" t="s">
        <v>9662</v>
      </c>
      <c r="D7537" s="787">
        <v>6.56</v>
      </c>
      <c r="E7537" s="787">
        <v>6.56</v>
      </c>
      <c r="F7537" s="788">
        <v>42143</v>
      </c>
      <c r="G7537" s="788">
        <v>42156</v>
      </c>
      <c r="H7537" s="787">
        <v>1</v>
      </c>
      <c r="J7537" s="788">
        <v>42142</v>
      </c>
      <c r="L7537" s="787">
        <v>5.5</v>
      </c>
      <c r="M7537" s="787">
        <v>20</v>
      </c>
      <c r="N7537" s="787">
        <v>0</v>
      </c>
    </row>
    <row r="7538" spans="1:15" x14ac:dyDescent="0.25">
      <c r="A7538" s="786" t="s">
        <v>13478</v>
      </c>
      <c r="B7538" s="787">
        <v>4</v>
      </c>
      <c r="C7538" s="787" t="s">
        <v>9662</v>
      </c>
      <c r="D7538" s="787">
        <v>2.85</v>
      </c>
      <c r="E7538" s="787">
        <v>2.85</v>
      </c>
      <c r="F7538" s="788">
        <v>42143</v>
      </c>
      <c r="G7538" s="788">
        <v>42156</v>
      </c>
      <c r="H7538" s="787">
        <v>1</v>
      </c>
      <c r="J7538" s="788">
        <v>42142</v>
      </c>
      <c r="L7538" s="787">
        <v>2.2400000000000002</v>
      </c>
      <c r="M7538" s="787">
        <v>20</v>
      </c>
      <c r="N7538" s="787">
        <v>0</v>
      </c>
    </row>
    <row r="7539" spans="1:15" x14ac:dyDescent="0.25">
      <c r="A7539" s="786" t="s">
        <v>13479</v>
      </c>
      <c r="B7539" s="787">
        <v>4</v>
      </c>
      <c r="C7539" s="787" t="s">
        <v>9662</v>
      </c>
      <c r="D7539" s="787">
        <v>1.62</v>
      </c>
      <c r="E7539" s="787">
        <v>1.62</v>
      </c>
      <c r="F7539" s="788">
        <v>42143</v>
      </c>
      <c r="G7539" s="788">
        <v>42156</v>
      </c>
      <c r="H7539" s="787">
        <v>1</v>
      </c>
      <c r="J7539" s="788">
        <v>42142</v>
      </c>
      <c r="L7539" s="787">
        <v>1.34</v>
      </c>
      <c r="M7539" s="787">
        <v>20</v>
      </c>
      <c r="N7539" s="787">
        <v>0</v>
      </c>
    </row>
    <row r="7540" spans="1:15" x14ac:dyDescent="0.25">
      <c r="A7540" s="786" t="s">
        <v>13480</v>
      </c>
      <c r="B7540" s="787">
        <v>4</v>
      </c>
      <c r="C7540" s="787" t="s">
        <v>13481</v>
      </c>
      <c r="D7540" s="787">
        <v>1.08</v>
      </c>
      <c r="E7540" s="787">
        <v>1.08</v>
      </c>
      <c r="F7540" s="788">
        <v>42146</v>
      </c>
      <c r="G7540" s="788">
        <v>42150</v>
      </c>
      <c r="H7540" s="787">
        <v>1</v>
      </c>
      <c r="J7540" s="788">
        <v>42144</v>
      </c>
      <c r="K7540" s="788">
        <v>42142</v>
      </c>
      <c r="L7540" s="787">
        <v>1.08</v>
      </c>
      <c r="M7540" s="787">
        <v>20</v>
      </c>
      <c r="N7540" s="787">
        <v>0</v>
      </c>
    </row>
    <row r="7541" spans="1:15" x14ac:dyDescent="0.25">
      <c r="A7541" s="786" t="s">
        <v>13482</v>
      </c>
      <c r="B7541" s="787">
        <v>4</v>
      </c>
      <c r="C7541" s="787" t="s">
        <v>13481</v>
      </c>
      <c r="D7541" s="787">
        <v>1.21</v>
      </c>
      <c r="E7541" s="787">
        <v>1.21</v>
      </c>
      <c r="F7541" s="788">
        <v>42146</v>
      </c>
      <c r="G7541" s="788">
        <v>42150</v>
      </c>
      <c r="H7541" s="787">
        <v>1</v>
      </c>
      <c r="J7541" s="788">
        <v>42144</v>
      </c>
      <c r="K7541" s="788">
        <v>42142</v>
      </c>
      <c r="L7541" s="787">
        <v>1.21</v>
      </c>
      <c r="M7541" s="787">
        <v>20</v>
      </c>
      <c r="N7541" s="787">
        <v>0</v>
      </c>
    </row>
    <row r="7542" spans="1:15" x14ac:dyDescent="0.25">
      <c r="A7542" s="786" t="s">
        <v>13483</v>
      </c>
      <c r="B7542" s="787">
        <v>4</v>
      </c>
      <c r="C7542" s="787" t="s">
        <v>13484</v>
      </c>
      <c r="D7542" s="787">
        <v>0.9</v>
      </c>
      <c r="E7542" s="787">
        <v>170.9</v>
      </c>
      <c r="F7542" s="788">
        <v>42151</v>
      </c>
      <c r="G7542" s="788">
        <v>42159</v>
      </c>
      <c r="H7542" s="787">
        <v>1</v>
      </c>
      <c r="J7542" s="788">
        <v>42146</v>
      </c>
      <c r="L7542" s="787">
        <v>165</v>
      </c>
      <c r="M7542" s="787">
        <v>20</v>
      </c>
      <c r="N7542" s="787">
        <v>0</v>
      </c>
    </row>
    <row r="7543" spans="1:15" x14ac:dyDescent="0.25">
      <c r="A7543" s="786" t="s">
        <v>13485</v>
      </c>
      <c r="B7543" s="787">
        <v>4</v>
      </c>
      <c r="C7543" s="787" t="s">
        <v>13486</v>
      </c>
      <c r="D7543" s="787">
        <v>0.9</v>
      </c>
      <c r="E7543" s="787">
        <v>40.9</v>
      </c>
      <c r="F7543" s="788">
        <v>42150</v>
      </c>
      <c r="G7543" s="788">
        <v>42165</v>
      </c>
      <c r="H7543" s="787">
        <v>1</v>
      </c>
      <c r="I7543" s="788">
        <v>42165</v>
      </c>
      <c r="J7543" s="788">
        <v>42159</v>
      </c>
      <c r="L7543" s="787">
        <v>10.9</v>
      </c>
      <c r="M7543" s="787">
        <v>20</v>
      </c>
      <c r="N7543" s="787">
        <v>0</v>
      </c>
    </row>
    <row r="7544" spans="1:15" x14ac:dyDescent="0.25">
      <c r="A7544" s="786" t="s">
        <v>13487</v>
      </c>
      <c r="B7544" s="787">
        <v>4</v>
      </c>
      <c r="C7544" s="787" t="s">
        <v>13488</v>
      </c>
      <c r="D7544" s="787">
        <v>3.84</v>
      </c>
      <c r="E7544" s="787">
        <v>23.84</v>
      </c>
      <c r="F7544" s="788">
        <v>42158</v>
      </c>
      <c r="G7544" s="788">
        <v>42160</v>
      </c>
      <c r="H7544" s="787">
        <v>1</v>
      </c>
      <c r="J7544" s="788">
        <v>42151</v>
      </c>
      <c r="K7544" s="788">
        <v>42164</v>
      </c>
      <c r="L7544" s="787">
        <v>23.84</v>
      </c>
      <c r="M7544" s="787">
        <v>20</v>
      </c>
      <c r="N7544" s="787">
        <v>0</v>
      </c>
    </row>
    <row r="7545" spans="1:15" x14ac:dyDescent="0.25">
      <c r="A7545" s="786" t="s">
        <v>13489</v>
      </c>
      <c r="B7545" s="787">
        <v>4</v>
      </c>
      <c r="C7545" s="787" t="s">
        <v>1958</v>
      </c>
      <c r="D7545" s="787">
        <v>0</v>
      </c>
      <c r="E7545" s="787">
        <v>0</v>
      </c>
      <c r="H7545" s="787">
        <v>1</v>
      </c>
      <c r="L7545" s="787">
        <v>0.28000000000000003</v>
      </c>
      <c r="M7545" s="787">
        <v>20</v>
      </c>
      <c r="N7545" s="787">
        <v>0.3</v>
      </c>
      <c r="O7545" s="788">
        <v>42162</v>
      </c>
    </row>
    <row r="7546" spans="1:15" x14ac:dyDescent="0.25">
      <c r="A7546" s="786" t="s">
        <v>13490</v>
      </c>
      <c r="B7546" s="787">
        <v>4</v>
      </c>
      <c r="C7546" s="787" t="s">
        <v>13491</v>
      </c>
      <c r="D7546" s="787">
        <v>0</v>
      </c>
      <c r="E7546" s="787">
        <v>3</v>
      </c>
      <c r="G7546" s="788">
        <v>42158</v>
      </c>
      <c r="H7546" s="787">
        <v>1</v>
      </c>
      <c r="J7546" s="788">
        <v>42158</v>
      </c>
      <c r="L7546" s="787">
        <v>4</v>
      </c>
      <c r="M7546" s="787">
        <v>20</v>
      </c>
      <c r="N7546" s="787">
        <v>0</v>
      </c>
    </row>
    <row r="7547" spans="1:15" x14ac:dyDescent="0.25">
      <c r="A7547" s="786" t="s">
        <v>13492</v>
      </c>
      <c r="B7547" s="787">
        <v>4</v>
      </c>
      <c r="C7547" s="787" t="s">
        <v>13493</v>
      </c>
      <c r="D7547" s="787">
        <v>0</v>
      </c>
      <c r="E7547" s="787">
        <v>5</v>
      </c>
      <c r="H7547" s="787">
        <v>1</v>
      </c>
      <c r="L7547" s="787">
        <v>5</v>
      </c>
      <c r="M7547" s="787">
        <v>20</v>
      </c>
      <c r="N7547" s="787">
        <v>0</v>
      </c>
    </row>
    <row r="7548" spans="1:15" x14ac:dyDescent="0.25">
      <c r="A7548" s="786" t="s">
        <v>13494</v>
      </c>
      <c r="B7548" s="787">
        <v>4</v>
      </c>
      <c r="C7548" s="787" t="s">
        <v>13495</v>
      </c>
      <c r="D7548" s="787">
        <v>5.57</v>
      </c>
      <c r="E7548" s="787">
        <v>16</v>
      </c>
      <c r="F7548" s="788">
        <v>42158</v>
      </c>
      <c r="G7548" s="788">
        <v>42159</v>
      </c>
      <c r="H7548" s="787">
        <v>1</v>
      </c>
      <c r="J7548" s="788">
        <v>42153</v>
      </c>
      <c r="L7548" s="787">
        <v>1</v>
      </c>
      <c r="M7548" s="787">
        <v>20</v>
      </c>
      <c r="N7548" s="787">
        <v>0</v>
      </c>
    </row>
    <row r="7549" spans="1:15" x14ac:dyDescent="0.25">
      <c r="A7549" s="786" t="s">
        <v>13496</v>
      </c>
      <c r="B7549" s="787">
        <v>4</v>
      </c>
      <c r="C7549" s="787" t="s">
        <v>13497</v>
      </c>
      <c r="D7549" s="787">
        <v>0</v>
      </c>
      <c r="E7549" s="787">
        <v>500</v>
      </c>
      <c r="G7549" s="788">
        <v>42166</v>
      </c>
      <c r="H7549" s="787">
        <v>1</v>
      </c>
      <c r="J7549" s="788">
        <v>42166</v>
      </c>
      <c r="K7549" s="788">
        <v>42158</v>
      </c>
      <c r="L7549" s="787">
        <v>600.09</v>
      </c>
      <c r="M7549" s="787">
        <v>20</v>
      </c>
      <c r="N7549" s="787">
        <v>0</v>
      </c>
    </row>
    <row r="7550" spans="1:15" x14ac:dyDescent="0.25">
      <c r="A7550" s="786" t="s">
        <v>13498</v>
      </c>
      <c r="B7550" s="787">
        <v>4</v>
      </c>
      <c r="C7550" s="787" t="s">
        <v>13499</v>
      </c>
      <c r="D7550" s="787">
        <v>0</v>
      </c>
      <c r="E7550" s="787">
        <v>0</v>
      </c>
      <c r="H7550" s="787">
        <v>1</v>
      </c>
      <c r="K7550" s="788">
        <v>42164</v>
      </c>
      <c r="L7550" s="787">
        <v>168</v>
      </c>
      <c r="M7550" s="787">
        <v>20</v>
      </c>
      <c r="N7550" s="787">
        <v>0</v>
      </c>
    </row>
    <row r="7551" spans="1:15" x14ac:dyDescent="0.25">
      <c r="A7551" s="786" t="s">
        <v>13500</v>
      </c>
      <c r="B7551" s="787">
        <v>4</v>
      </c>
      <c r="C7551" s="787" t="s">
        <v>13501</v>
      </c>
      <c r="D7551" s="787">
        <v>0</v>
      </c>
      <c r="E7551" s="787">
        <v>0</v>
      </c>
      <c r="H7551" s="787">
        <v>1</v>
      </c>
      <c r="K7551" s="788">
        <v>42157</v>
      </c>
      <c r="L7551" s="789">
        <v>2450</v>
      </c>
      <c r="M7551" s="787">
        <v>20</v>
      </c>
      <c r="N7551" s="787">
        <v>0</v>
      </c>
    </row>
    <row r="7552" spans="1:15" x14ac:dyDescent="0.25">
      <c r="A7552" s="786" t="s">
        <v>13502</v>
      </c>
      <c r="B7552" s="787">
        <v>4</v>
      </c>
      <c r="C7552" s="787" t="s">
        <v>13503</v>
      </c>
      <c r="D7552" s="787">
        <v>0</v>
      </c>
      <c r="E7552" s="787">
        <v>6.82</v>
      </c>
      <c r="H7552" s="787">
        <v>1</v>
      </c>
      <c r="L7552" s="787">
        <v>6.82</v>
      </c>
      <c r="M7552" s="787">
        <v>20</v>
      </c>
      <c r="N7552" s="787">
        <v>0</v>
      </c>
    </row>
    <row r="7553" spans="1:15" x14ac:dyDescent="0.25">
      <c r="A7553" s="786" t="s">
        <v>13504</v>
      </c>
      <c r="B7553" s="787">
        <v>4</v>
      </c>
      <c r="C7553" s="787" t="s">
        <v>13505</v>
      </c>
      <c r="D7553" s="787">
        <v>0</v>
      </c>
      <c r="E7553" s="787">
        <v>0</v>
      </c>
      <c r="H7553" s="787">
        <v>1</v>
      </c>
      <c r="K7553" s="788">
        <v>42164</v>
      </c>
      <c r="L7553" s="787">
        <v>176</v>
      </c>
      <c r="M7553" s="787">
        <v>20</v>
      </c>
      <c r="N7553" s="787">
        <v>0</v>
      </c>
    </row>
    <row r="7554" spans="1:15" x14ac:dyDescent="0.25">
      <c r="A7554" s="786" t="s">
        <v>13506</v>
      </c>
      <c r="B7554" s="787">
        <v>4</v>
      </c>
      <c r="C7554" s="787" t="s">
        <v>13499</v>
      </c>
      <c r="D7554" s="787">
        <v>0</v>
      </c>
      <c r="E7554" s="787">
        <v>0</v>
      </c>
      <c r="H7554" s="787">
        <v>1</v>
      </c>
      <c r="K7554" s="788">
        <v>42163</v>
      </c>
      <c r="L7554" s="787">
        <v>119</v>
      </c>
      <c r="M7554" s="787">
        <v>20</v>
      </c>
      <c r="N7554" s="787">
        <v>0</v>
      </c>
    </row>
    <row r="7555" spans="1:15" x14ac:dyDescent="0.25">
      <c r="A7555" s="786" t="s">
        <v>13507</v>
      </c>
      <c r="B7555" s="787">
        <v>4</v>
      </c>
      <c r="C7555" s="787" t="s">
        <v>1182</v>
      </c>
      <c r="D7555" s="787">
        <v>0</v>
      </c>
      <c r="E7555" s="787">
        <v>0</v>
      </c>
      <c r="G7555" s="788">
        <v>42166</v>
      </c>
      <c r="H7555" s="787">
        <v>1</v>
      </c>
      <c r="J7555" s="788">
        <v>42166</v>
      </c>
      <c r="L7555" s="787">
        <v>1</v>
      </c>
      <c r="M7555" s="787">
        <v>20</v>
      </c>
      <c r="N7555" s="787">
        <v>0</v>
      </c>
    </row>
    <row r="7556" spans="1:15" x14ac:dyDescent="0.25">
      <c r="A7556" s="786" t="s">
        <v>13508</v>
      </c>
      <c r="B7556" s="787">
        <v>4</v>
      </c>
      <c r="C7556" s="787" t="s">
        <v>11919</v>
      </c>
      <c r="D7556" s="787">
        <v>0</v>
      </c>
      <c r="E7556" s="787">
        <v>7.42</v>
      </c>
      <c r="G7556" s="788">
        <v>42165</v>
      </c>
      <c r="H7556" s="787">
        <v>1</v>
      </c>
      <c r="J7556" s="788">
        <v>42165</v>
      </c>
      <c r="L7556" s="787">
        <v>7.42</v>
      </c>
      <c r="M7556" s="787">
        <v>20</v>
      </c>
      <c r="N7556" s="787">
        <v>0</v>
      </c>
    </row>
    <row r="7557" spans="1:15" x14ac:dyDescent="0.25">
      <c r="A7557" s="786" t="s">
        <v>13509</v>
      </c>
      <c r="B7557" s="787">
        <v>4</v>
      </c>
      <c r="C7557" s="787" t="s">
        <v>13499</v>
      </c>
      <c r="D7557" s="787">
        <v>0</v>
      </c>
      <c r="E7557" s="787">
        <v>0</v>
      </c>
      <c r="H7557" s="787">
        <v>1</v>
      </c>
      <c r="K7557" s="788">
        <v>42164</v>
      </c>
      <c r="L7557" s="787">
        <v>147</v>
      </c>
      <c r="M7557" s="787">
        <v>20</v>
      </c>
      <c r="N7557" s="787">
        <v>0</v>
      </c>
    </row>
    <row r="7558" spans="1:15" x14ac:dyDescent="0.25">
      <c r="A7558" s="786" t="s">
        <v>13510</v>
      </c>
      <c r="B7558" s="787">
        <v>4</v>
      </c>
      <c r="C7558" s="787" t="s">
        <v>13511</v>
      </c>
      <c r="D7558" s="787">
        <v>0</v>
      </c>
      <c r="E7558" s="787">
        <v>20</v>
      </c>
      <c r="G7558" s="788">
        <v>42166</v>
      </c>
      <c r="H7558" s="787">
        <v>1</v>
      </c>
      <c r="J7558" s="788">
        <v>42166</v>
      </c>
      <c r="K7558" s="788">
        <v>42165</v>
      </c>
      <c r="L7558" s="787">
        <v>40</v>
      </c>
      <c r="M7558" s="787">
        <v>20</v>
      </c>
      <c r="N7558" s="787">
        <v>0</v>
      </c>
    </row>
    <row r="7559" spans="1:15" x14ac:dyDescent="0.25">
      <c r="A7559" s="786" t="s">
        <v>13512</v>
      </c>
      <c r="B7559" s="787">
        <v>4</v>
      </c>
      <c r="C7559" s="787" t="s">
        <v>13513</v>
      </c>
      <c r="D7559" s="787">
        <v>0</v>
      </c>
      <c r="E7559" s="787">
        <v>0</v>
      </c>
      <c r="H7559" s="787">
        <v>1</v>
      </c>
      <c r="K7559" s="788">
        <v>41115</v>
      </c>
      <c r="L7559" s="787">
        <v>42.95</v>
      </c>
      <c r="M7559" s="787">
        <v>10</v>
      </c>
      <c r="N7559" s="787">
        <v>46.71</v>
      </c>
      <c r="O7559" s="788">
        <v>41858</v>
      </c>
    </row>
    <row r="7560" spans="1:15" x14ac:dyDescent="0.25">
      <c r="A7560" s="786" t="s">
        <v>13514</v>
      </c>
      <c r="B7560" s="787">
        <v>4</v>
      </c>
      <c r="C7560" s="787" t="s">
        <v>13515</v>
      </c>
      <c r="D7560" s="787">
        <v>0</v>
      </c>
      <c r="E7560" s="787">
        <v>0</v>
      </c>
      <c r="H7560" s="787">
        <v>1</v>
      </c>
      <c r="K7560" s="788">
        <v>41115</v>
      </c>
      <c r="L7560" s="787">
        <v>42.95</v>
      </c>
      <c r="M7560" s="787">
        <v>10</v>
      </c>
      <c r="N7560" s="787">
        <v>46.71</v>
      </c>
      <c r="O7560" s="788">
        <v>41858</v>
      </c>
    </row>
    <row r="7561" spans="1:15" x14ac:dyDescent="0.25">
      <c r="A7561" s="786" t="s">
        <v>13516</v>
      </c>
      <c r="B7561" s="787">
        <v>4</v>
      </c>
      <c r="C7561" s="787" t="s">
        <v>13517</v>
      </c>
      <c r="D7561" s="787">
        <v>0</v>
      </c>
      <c r="E7561" s="787">
        <v>0</v>
      </c>
      <c r="H7561" s="787">
        <v>1</v>
      </c>
      <c r="K7561" s="788">
        <v>41115</v>
      </c>
      <c r="L7561" s="787">
        <v>42.95</v>
      </c>
      <c r="M7561" s="787">
        <v>10</v>
      </c>
      <c r="N7561" s="787">
        <v>46.71</v>
      </c>
      <c r="O7561" s="788">
        <v>41858</v>
      </c>
    </row>
    <row r="7562" spans="1:15" x14ac:dyDescent="0.25">
      <c r="A7562" s="786" t="s">
        <v>13518</v>
      </c>
      <c r="B7562" s="787">
        <v>4</v>
      </c>
      <c r="C7562" s="787" t="s">
        <v>13517</v>
      </c>
      <c r="D7562" s="787">
        <v>0</v>
      </c>
      <c r="E7562" s="787">
        <v>0</v>
      </c>
      <c r="H7562" s="787">
        <v>1</v>
      </c>
      <c r="K7562" s="788">
        <v>41115</v>
      </c>
      <c r="L7562" s="787">
        <v>42.95</v>
      </c>
      <c r="M7562" s="787">
        <v>10</v>
      </c>
      <c r="N7562" s="787">
        <v>46.71</v>
      </c>
      <c r="O7562" s="788">
        <v>41858</v>
      </c>
    </row>
    <row r="7563" spans="1:15" x14ac:dyDescent="0.25">
      <c r="A7563" s="786" t="s">
        <v>13519</v>
      </c>
      <c r="B7563" s="787">
        <v>4</v>
      </c>
      <c r="C7563" s="787" t="s">
        <v>13520</v>
      </c>
      <c r="D7563" s="787">
        <v>0</v>
      </c>
      <c r="E7563" s="787">
        <v>0</v>
      </c>
      <c r="H7563" s="787">
        <v>1</v>
      </c>
      <c r="K7563" s="788">
        <v>41115</v>
      </c>
      <c r="L7563" s="787">
        <v>67.900000000000006</v>
      </c>
      <c r="M7563" s="787">
        <v>10</v>
      </c>
      <c r="N7563" s="787">
        <v>70.75</v>
      </c>
      <c r="O7563" s="788">
        <v>42153</v>
      </c>
    </row>
    <row r="7564" spans="1:15" x14ac:dyDescent="0.25">
      <c r="A7564" s="786" t="s">
        <v>13521</v>
      </c>
      <c r="B7564" s="787">
        <v>4</v>
      </c>
      <c r="C7564" s="787" t="s">
        <v>13522</v>
      </c>
      <c r="D7564" s="787">
        <v>0</v>
      </c>
      <c r="E7564" s="787">
        <v>0</v>
      </c>
      <c r="H7564" s="787">
        <v>1</v>
      </c>
      <c r="K7564" s="788">
        <v>41115</v>
      </c>
      <c r="L7564" s="787">
        <v>83.01</v>
      </c>
      <c r="M7564" s="787">
        <v>10</v>
      </c>
      <c r="N7564" s="787">
        <v>94.71</v>
      </c>
      <c r="O7564" s="788">
        <v>42153</v>
      </c>
    </row>
    <row r="7565" spans="1:15" x14ac:dyDescent="0.25">
      <c r="A7565" s="786" t="s">
        <v>13523</v>
      </c>
      <c r="B7565" s="787">
        <v>4</v>
      </c>
      <c r="C7565" s="787" t="s">
        <v>13524</v>
      </c>
      <c r="D7565" s="787">
        <v>0</v>
      </c>
      <c r="E7565" s="787">
        <v>0</v>
      </c>
      <c r="H7565" s="787">
        <v>1</v>
      </c>
      <c r="K7565" s="788">
        <v>41115</v>
      </c>
      <c r="L7565" s="787">
        <v>83.01</v>
      </c>
      <c r="M7565" s="787">
        <v>10</v>
      </c>
      <c r="N7565" s="787">
        <v>94.71</v>
      </c>
      <c r="O7565" s="788">
        <v>42153</v>
      </c>
    </row>
    <row r="7566" spans="1:15" x14ac:dyDescent="0.25">
      <c r="A7566" s="786" t="s">
        <v>13525</v>
      </c>
      <c r="B7566" s="787">
        <v>4</v>
      </c>
      <c r="C7566" s="787" t="s">
        <v>13526</v>
      </c>
      <c r="D7566" s="787">
        <v>0</v>
      </c>
      <c r="E7566" s="787">
        <v>0</v>
      </c>
      <c r="H7566" s="787">
        <v>1</v>
      </c>
      <c r="K7566" s="788">
        <v>41115</v>
      </c>
      <c r="L7566" s="787">
        <v>68.430000000000007</v>
      </c>
      <c r="M7566" s="787">
        <v>10</v>
      </c>
      <c r="N7566" s="787">
        <v>78.459999999999994</v>
      </c>
      <c r="O7566" s="788">
        <v>42153</v>
      </c>
    </row>
    <row r="7567" spans="1:15" x14ac:dyDescent="0.25">
      <c r="A7567" s="786" t="s">
        <v>13527</v>
      </c>
      <c r="B7567" s="787">
        <v>4</v>
      </c>
      <c r="C7567" s="787" t="s">
        <v>13526</v>
      </c>
      <c r="D7567" s="787">
        <v>0</v>
      </c>
      <c r="E7567" s="787">
        <v>0</v>
      </c>
      <c r="H7567" s="787">
        <v>1</v>
      </c>
      <c r="K7567" s="788">
        <v>41115</v>
      </c>
      <c r="L7567" s="787">
        <v>68.430000000000007</v>
      </c>
      <c r="M7567" s="787">
        <v>10</v>
      </c>
      <c r="N7567" s="787">
        <v>75.62</v>
      </c>
      <c r="O7567" s="788">
        <v>42153</v>
      </c>
    </row>
    <row r="7568" spans="1:15" x14ac:dyDescent="0.25">
      <c r="A7568" s="786" t="s">
        <v>13528</v>
      </c>
      <c r="B7568" s="787">
        <v>4</v>
      </c>
      <c r="C7568" s="787" t="s">
        <v>13526</v>
      </c>
      <c r="D7568" s="787">
        <v>0</v>
      </c>
      <c r="E7568" s="787">
        <v>0</v>
      </c>
      <c r="H7568" s="787">
        <v>1</v>
      </c>
      <c r="K7568" s="788">
        <v>41115</v>
      </c>
      <c r="L7568" s="787">
        <v>83.01</v>
      </c>
      <c r="M7568" s="787">
        <v>10</v>
      </c>
      <c r="N7568" s="787">
        <v>94.71</v>
      </c>
      <c r="O7568" s="788">
        <v>42153</v>
      </c>
    </row>
    <row r="7569" spans="1:15" x14ac:dyDescent="0.25">
      <c r="A7569" s="786" t="s">
        <v>13529</v>
      </c>
      <c r="B7569" s="787">
        <v>4</v>
      </c>
      <c r="C7569" s="787" t="s">
        <v>13526</v>
      </c>
      <c r="D7569" s="787">
        <v>0</v>
      </c>
      <c r="E7569" s="787">
        <v>0</v>
      </c>
      <c r="H7569" s="787">
        <v>1</v>
      </c>
      <c r="K7569" s="788">
        <v>41115</v>
      </c>
      <c r="L7569" s="787">
        <v>83.01</v>
      </c>
      <c r="M7569" s="787">
        <v>10</v>
      </c>
      <c r="N7569" s="787">
        <v>94.71</v>
      </c>
      <c r="O7569" s="788">
        <v>42153</v>
      </c>
    </row>
    <row r="7570" spans="1:15" x14ac:dyDescent="0.25">
      <c r="A7570" s="786" t="s">
        <v>13530</v>
      </c>
      <c r="B7570" s="787">
        <v>4</v>
      </c>
      <c r="C7570" s="787" t="s">
        <v>13531</v>
      </c>
      <c r="D7570" s="787">
        <v>0</v>
      </c>
      <c r="E7570" s="787">
        <v>0</v>
      </c>
      <c r="H7570" s="787">
        <v>1</v>
      </c>
      <c r="K7570" s="788">
        <v>41115</v>
      </c>
      <c r="L7570" s="787">
        <v>120.07</v>
      </c>
      <c r="M7570" s="787">
        <v>10</v>
      </c>
      <c r="N7570" s="787">
        <v>112.38</v>
      </c>
      <c r="O7570" s="788">
        <v>41988</v>
      </c>
    </row>
    <row r="7571" spans="1:15" x14ac:dyDescent="0.25">
      <c r="A7571" s="786" t="s">
        <v>13532</v>
      </c>
      <c r="B7571" s="787">
        <v>4</v>
      </c>
      <c r="C7571" s="787" t="s">
        <v>13533</v>
      </c>
      <c r="D7571" s="787">
        <v>0</v>
      </c>
      <c r="E7571" s="787">
        <v>0</v>
      </c>
      <c r="H7571" s="787">
        <v>1</v>
      </c>
      <c r="K7571" s="788">
        <v>41115</v>
      </c>
      <c r="L7571" s="787">
        <v>135.16999999999999</v>
      </c>
      <c r="M7571" s="787">
        <v>10</v>
      </c>
      <c r="N7571" s="787">
        <v>134.68</v>
      </c>
      <c r="O7571" s="788">
        <v>42027</v>
      </c>
    </row>
    <row r="7572" spans="1:15" x14ac:dyDescent="0.25">
      <c r="A7572" s="786" t="s">
        <v>13534</v>
      </c>
      <c r="B7572" s="787">
        <v>4</v>
      </c>
      <c r="C7572" s="787" t="s">
        <v>13535</v>
      </c>
      <c r="D7572" s="787">
        <v>0</v>
      </c>
      <c r="E7572" s="787">
        <v>0</v>
      </c>
      <c r="H7572" s="787">
        <v>1</v>
      </c>
      <c r="K7572" s="788">
        <v>41115</v>
      </c>
      <c r="L7572" s="787">
        <v>135.16999999999999</v>
      </c>
      <c r="M7572" s="787">
        <v>10</v>
      </c>
      <c r="N7572" s="787">
        <v>134.68</v>
      </c>
      <c r="O7572" s="788">
        <v>42027</v>
      </c>
    </row>
    <row r="7573" spans="1:15" x14ac:dyDescent="0.25">
      <c r="A7573" s="786" t="s">
        <v>13536</v>
      </c>
      <c r="B7573" s="787">
        <v>4</v>
      </c>
      <c r="C7573" s="787" t="s">
        <v>13537</v>
      </c>
      <c r="D7573" s="787">
        <v>0</v>
      </c>
      <c r="E7573" s="787">
        <v>0</v>
      </c>
      <c r="H7573" s="787">
        <v>1</v>
      </c>
      <c r="K7573" s="788">
        <v>41115</v>
      </c>
      <c r="L7573" s="787">
        <v>127.62</v>
      </c>
      <c r="M7573" s="787">
        <v>10</v>
      </c>
      <c r="N7573" s="787">
        <v>122.94</v>
      </c>
      <c r="O7573" s="788">
        <v>42027</v>
      </c>
    </row>
    <row r="7574" spans="1:15" x14ac:dyDescent="0.25">
      <c r="A7574" s="786" t="s">
        <v>13538</v>
      </c>
      <c r="B7574" s="787">
        <v>4</v>
      </c>
      <c r="C7574" s="787" t="s">
        <v>13537</v>
      </c>
      <c r="D7574" s="787">
        <v>0</v>
      </c>
      <c r="E7574" s="787">
        <v>0</v>
      </c>
      <c r="H7574" s="787">
        <v>1</v>
      </c>
      <c r="K7574" s="788">
        <v>41115</v>
      </c>
      <c r="L7574" s="787">
        <v>127.62</v>
      </c>
      <c r="M7574" s="787">
        <v>10</v>
      </c>
      <c r="N7574" s="787">
        <v>124.12</v>
      </c>
      <c r="O7574" s="788">
        <v>42027</v>
      </c>
    </row>
    <row r="7575" spans="1:15" x14ac:dyDescent="0.25">
      <c r="A7575" s="786" t="s">
        <v>13539</v>
      </c>
      <c r="B7575" s="787">
        <v>4</v>
      </c>
      <c r="C7575" s="787" t="s">
        <v>13537</v>
      </c>
      <c r="D7575" s="787">
        <v>0</v>
      </c>
      <c r="E7575" s="787">
        <v>0</v>
      </c>
      <c r="H7575" s="787">
        <v>1</v>
      </c>
      <c r="K7575" s="788">
        <v>41116</v>
      </c>
      <c r="L7575" s="787">
        <v>135.16999999999999</v>
      </c>
      <c r="M7575" s="787">
        <v>10</v>
      </c>
      <c r="N7575" s="787">
        <v>134.68</v>
      </c>
      <c r="O7575" s="788">
        <v>42027</v>
      </c>
    </row>
    <row r="7576" spans="1:15" x14ac:dyDescent="0.25">
      <c r="A7576" s="786" t="s">
        <v>13540</v>
      </c>
      <c r="B7576" s="787">
        <v>4</v>
      </c>
      <c r="C7576" s="787" t="s">
        <v>13537</v>
      </c>
      <c r="D7576" s="787">
        <v>0</v>
      </c>
      <c r="E7576" s="787">
        <v>0</v>
      </c>
      <c r="H7576" s="787">
        <v>1</v>
      </c>
      <c r="K7576" s="788">
        <v>41116</v>
      </c>
      <c r="L7576" s="787">
        <v>135.16999999999999</v>
      </c>
      <c r="M7576" s="787">
        <v>10</v>
      </c>
      <c r="N7576" s="787">
        <v>134.68</v>
      </c>
      <c r="O7576" s="788">
        <v>42027</v>
      </c>
    </row>
    <row r="7577" spans="1:15" x14ac:dyDescent="0.25">
      <c r="A7577" s="786" t="s">
        <v>13541</v>
      </c>
      <c r="B7577" s="787">
        <v>4</v>
      </c>
      <c r="C7577" s="787" t="s">
        <v>13542</v>
      </c>
      <c r="D7577" s="787">
        <v>0</v>
      </c>
      <c r="E7577" s="787">
        <v>0</v>
      </c>
      <c r="H7577" s="787">
        <v>1</v>
      </c>
      <c r="K7577" s="788">
        <v>41117</v>
      </c>
      <c r="L7577" s="787">
        <v>252.46</v>
      </c>
      <c r="M7577" s="787">
        <v>10</v>
      </c>
      <c r="N7577" s="787">
        <v>254.73</v>
      </c>
      <c r="O7577" s="788">
        <v>42146</v>
      </c>
    </row>
    <row r="7578" spans="1:15" x14ac:dyDescent="0.25">
      <c r="A7578" s="786" t="s">
        <v>13543</v>
      </c>
      <c r="B7578" s="787">
        <v>4</v>
      </c>
      <c r="C7578" s="787" t="s">
        <v>13542</v>
      </c>
      <c r="D7578" s="787">
        <v>0</v>
      </c>
      <c r="E7578" s="787">
        <v>0</v>
      </c>
      <c r="H7578" s="787">
        <v>1</v>
      </c>
      <c r="K7578" s="788">
        <v>41117</v>
      </c>
      <c r="L7578" s="787">
        <v>336.99</v>
      </c>
      <c r="M7578" s="787">
        <v>10</v>
      </c>
      <c r="N7578" s="787">
        <v>339.87</v>
      </c>
      <c r="O7578" s="788">
        <v>42146</v>
      </c>
    </row>
    <row r="7579" spans="1:15" x14ac:dyDescent="0.25">
      <c r="A7579" s="786" t="s">
        <v>13544</v>
      </c>
      <c r="B7579" s="787">
        <v>4</v>
      </c>
      <c r="C7579" s="787" t="s">
        <v>13545</v>
      </c>
      <c r="D7579" s="787">
        <v>0</v>
      </c>
      <c r="E7579" s="787">
        <v>0</v>
      </c>
      <c r="H7579" s="787">
        <v>1</v>
      </c>
      <c r="K7579" s="788">
        <v>41116</v>
      </c>
      <c r="L7579" s="787">
        <v>185.61</v>
      </c>
      <c r="M7579" s="787">
        <v>10</v>
      </c>
      <c r="N7579" s="787">
        <v>159.68</v>
      </c>
      <c r="O7579" s="788">
        <v>42150</v>
      </c>
    </row>
    <row r="7580" spans="1:15" x14ac:dyDescent="0.25">
      <c r="A7580" s="786" t="s">
        <v>13546</v>
      </c>
      <c r="B7580" s="787">
        <v>4</v>
      </c>
      <c r="C7580" s="787" t="s">
        <v>13547</v>
      </c>
      <c r="D7580" s="787">
        <v>0</v>
      </c>
      <c r="E7580" s="787">
        <v>0</v>
      </c>
      <c r="H7580" s="787">
        <v>1</v>
      </c>
      <c r="K7580" s="788">
        <v>41116</v>
      </c>
      <c r="L7580" s="787">
        <v>199.96</v>
      </c>
      <c r="M7580" s="787">
        <v>10</v>
      </c>
      <c r="N7580" s="787">
        <v>175.04</v>
      </c>
      <c r="O7580" s="788">
        <v>42150</v>
      </c>
    </row>
    <row r="7581" spans="1:15" x14ac:dyDescent="0.25">
      <c r="A7581" s="786" t="s">
        <v>13548</v>
      </c>
      <c r="B7581" s="787">
        <v>4</v>
      </c>
      <c r="C7581" s="787" t="s">
        <v>13549</v>
      </c>
      <c r="D7581" s="787">
        <v>0</v>
      </c>
      <c r="E7581" s="787">
        <v>0</v>
      </c>
      <c r="H7581" s="787">
        <v>1</v>
      </c>
      <c r="K7581" s="788">
        <v>41116</v>
      </c>
      <c r="L7581" s="787">
        <v>199.96</v>
      </c>
      <c r="M7581" s="787">
        <v>10</v>
      </c>
      <c r="N7581" s="787">
        <v>175.04</v>
      </c>
      <c r="O7581" s="788">
        <v>42150</v>
      </c>
    </row>
    <row r="7582" spans="1:15" x14ac:dyDescent="0.25">
      <c r="A7582" s="786" t="s">
        <v>13550</v>
      </c>
      <c r="B7582" s="787">
        <v>4</v>
      </c>
      <c r="C7582" s="787" t="s">
        <v>13551</v>
      </c>
      <c r="D7582" s="787">
        <v>0</v>
      </c>
      <c r="E7582" s="787">
        <v>0</v>
      </c>
      <c r="H7582" s="787">
        <v>1</v>
      </c>
      <c r="K7582" s="788">
        <v>41116</v>
      </c>
      <c r="L7582" s="787">
        <v>192.78</v>
      </c>
      <c r="M7582" s="787">
        <v>10</v>
      </c>
      <c r="N7582" s="787">
        <v>167.36</v>
      </c>
      <c r="O7582" s="788">
        <v>42150</v>
      </c>
    </row>
    <row r="7583" spans="1:15" x14ac:dyDescent="0.25">
      <c r="A7583" s="786" t="s">
        <v>13552</v>
      </c>
      <c r="B7583" s="787">
        <v>4</v>
      </c>
      <c r="C7583" s="787" t="s">
        <v>13551</v>
      </c>
      <c r="D7583" s="787">
        <v>0</v>
      </c>
      <c r="E7583" s="787">
        <v>0</v>
      </c>
      <c r="H7583" s="787">
        <v>1</v>
      </c>
      <c r="K7583" s="788">
        <v>41116</v>
      </c>
      <c r="L7583" s="787">
        <v>192.78</v>
      </c>
      <c r="M7583" s="787">
        <v>10</v>
      </c>
      <c r="N7583" s="787">
        <v>167.36</v>
      </c>
      <c r="O7583" s="788">
        <v>42150</v>
      </c>
    </row>
    <row r="7584" spans="1:15" x14ac:dyDescent="0.25">
      <c r="A7584" s="786" t="s">
        <v>13553</v>
      </c>
      <c r="B7584" s="787">
        <v>4</v>
      </c>
      <c r="C7584" s="787" t="s">
        <v>13551</v>
      </c>
      <c r="D7584" s="787">
        <v>0</v>
      </c>
      <c r="E7584" s="787">
        <v>0</v>
      </c>
      <c r="H7584" s="787">
        <v>1</v>
      </c>
      <c r="K7584" s="788">
        <v>41116</v>
      </c>
      <c r="L7584" s="787">
        <v>199.96</v>
      </c>
      <c r="M7584" s="787">
        <v>10</v>
      </c>
      <c r="N7584" s="787">
        <v>175.04</v>
      </c>
      <c r="O7584" s="788">
        <v>42150</v>
      </c>
    </row>
    <row r="7585" spans="1:15" x14ac:dyDescent="0.25">
      <c r="A7585" s="786" t="s">
        <v>13554</v>
      </c>
      <c r="B7585" s="787">
        <v>4</v>
      </c>
      <c r="C7585" s="787" t="s">
        <v>13551</v>
      </c>
      <c r="D7585" s="787">
        <v>0</v>
      </c>
      <c r="E7585" s="787">
        <v>0</v>
      </c>
      <c r="H7585" s="787">
        <v>1</v>
      </c>
      <c r="K7585" s="788">
        <v>41116</v>
      </c>
      <c r="L7585" s="787">
        <v>199.96</v>
      </c>
      <c r="M7585" s="787">
        <v>10</v>
      </c>
      <c r="N7585" s="787">
        <v>175.04</v>
      </c>
      <c r="O7585" s="788">
        <v>42150</v>
      </c>
    </row>
    <row r="7586" spans="1:15" x14ac:dyDescent="0.25">
      <c r="A7586" s="786" t="s">
        <v>13555</v>
      </c>
      <c r="B7586" s="787">
        <v>4</v>
      </c>
      <c r="C7586" s="787" t="s">
        <v>13556</v>
      </c>
      <c r="D7586" s="787">
        <v>3.27</v>
      </c>
      <c r="E7586" s="787">
        <v>3.27</v>
      </c>
      <c r="F7586" s="788">
        <v>37643</v>
      </c>
      <c r="G7586" s="788">
        <v>37643</v>
      </c>
      <c r="H7586" s="787">
        <v>1</v>
      </c>
      <c r="I7586" s="788">
        <v>39150</v>
      </c>
      <c r="J7586" s="788">
        <v>37643</v>
      </c>
      <c r="L7586" s="787">
        <v>3.56</v>
      </c>
      <c r="M7586" s="787">
        <v>20</v>
      </c>
      <c r="N7586" s="787">
        <v>3.83</v>
      </c>
      <c r="O7586" s="788">
        <v>42146</v>
      </c>
    </row>
    <row r="7587" spans="1:15" x14ac:dyDescent="0.25">
      <c r="A7587" s="786" t="s">
        <v>13557</v>
      </c>
      <c r="B7587" s="787">
        <v>4</v>
      </c>
      <c r="C7587" s="787" t="s">
        <v>13558</v>
      </c>
      <c r="D7587" s="787">
        <v>2.74</v>
      </c>
      <c r="E7587" s="787">
        <v>2.74</v>
      </c>
      <c r="F7587" s="788">
        <v>39101</v>
      </c>
      <c r="G7587" s="788">
        <v>39101</v>
      </c>
      <c r="H7587" s="787">
        <v>1</v>
      </c>
      <c r="I7587" s="788">
        <v>39134</v>
      </c>
      <c r="J7587" s="788">
        <v>39149</v>
      </c>
      <c r="L7587" s="787">
        <v>2.99</v>
      </c>
      <c r="M7587" s="787">
        <v>20</v>
      </c>
      <c r="N7587" s="787">
        <v>3.21</v>
      </c>
      <c r="O7587" s="788">
        <v>42146</v>
      </c>
    </row>
    <row r="7588" spans="1:15" x14ac:dyDescent="0.25">
      <c r="A7588" s="786" t="s">
        <v>13559</v>
      </c>
      <c r="B7588" s="787">
        <v>4</v>
      </c>
      <c r="C7588" s="787" t="s">
        <v>13560</v>
      </c>
      <c r="D7588" s="787">
        <v>5.12</v>
      </c>
      <c r="E7588" s="787">
        <v>5.5</v>
      </c>
      <c r="F7588" s="788">
        <v>39101</v>
      </c>
      <c r="G7588" s="788">
        <v>39101</v>
      </c>
      <c r="H7588" s="787">
        <v>1</v>
      </c>
      <c r="I7588" s="788">
        <v>39049</v>
      </c>
      <c r="J7588" s="788">
        <v>39101</v>
      </c>
      <c r="L7588" s="787">
        <v>5.5</v>
      </c>
      <c r="M7588" s="787">
        <v>20</v>
      </c>
      <c r="N7588" s="787">
        <v>5.91</v>
      </c>
      <c r="O7588" s="788">
        <v>42146</v>
      </c>
    </row>
    <row r="7589" spans="1:15" x14ac:dyDescent="0.25">
      <c r="A7589" s="786" t="s">
        <v>13561</v>
      </c>
      <c r="B7589" s="787">
        <v>4</v>
      </c>
      <c r="C7589" s="787" t="s">
        <v>13562</v>
      </c>
      <c r="D7589" s="787">
        <v>0</v>
      </c>
      <c r="E7589" s="787">
        <v>0</v>
      </c>
      <c r="H7589" s="787">
        <v>1</v>
      </c>
      <c r="I7589" s="788">
        <v>40037</v>
      </c>
      <c r="L7589" s="787">
        <v>0</v>
      </c>
      <c r="M7589" s="787">
        <v>10</v>
      </c>
      <c r="N7589" s="787">
        <v>9.17</v>
      </c>
      <c r="O7589" s="788">
        <v>42146</v>
      </c>
    </row>
    <row r="7590" spans="1:15" x14ac:dyDescent="0.25">
      <c r="A7590" s="786" t="s">
        <v>13563</v>
      </c>
      <c r="B7590" s="787">
        <v>4</v>
      </c>
      <c r="C7590" s="787" t="s">
        <v>13564</v>
      </c>
      <c r="D7590" s="787">
        <v>0</v>
      </c>
      <c r="E7590" s="787">
        <v>0</v>
      </c>
      <c r="G7590" s="788">
        <v>41943</v>
      </c>
      <c r="H7590" s="787">
        <v>1</v>
      </c>
      <c r="I7590" s="788">
        <v>41328</v>
      </c>
      <c r="J7590" s="788">
        <v>39797</v>
      </c>
      <c r="L7590" s="787">
        <v>0</v>
      </c>
      <c r="M7590" s="787">
        <v>10</v>
      </c>
      <c r="N7590" s="787">
        <v>2.08</v>
      </c>
      <c r="O7590" s="788">
        <v>42146</v>
      </c>
    </row>
    <row r="7591" spans="1:15" x14ac:dyDescent="0.25">
      <c r="A7591" s="786" t="s">
        <v>13565</v>
      </c>
      <c r="B7591" s="787">
        <v>4</v>
      </c>
      <c r="C7591" s="787" t="s">
        <v>13566</v>
      </c>
      <c r="D7591" s="787">
        <v>0.72</v>
      </c>
      <c r="E7591" s="787">
        <v>0.72</v>
      </c>
      <c r="F7591" s="788">
        <v>39975</v>
      </c>
      <c r="G7591" s="788">
        <v>41943</v>
      </c>
      <c r="H7591" s="787">
        <v>1</v>
      </c>
      <c r="I7591" s="788">
        <v>41328</v>
      </c>
      <c r="J7591" s="788">
        <v>39790</v>
      </c>
      <c r="L7591" s="787">
        <v>0</v>
      </c>
      <c r="M7591" s="787">
        <v>10</v>
      </c>
      <c r="N7591" s="787">
        <v>2.34</v>
      </c>
      <c r="O7591" s="788">
        <v>42146</v>
      </c>
    </row>
    <row r="7592" spans="1:15" x14ac:dyDescent="0.25">
      <c r="A7592" s="786" t="s">
        <v>13567</v>
      </c>
      <c r="B7592" s="787">
        <v>4</v>
      </c>
      <c r="C7592" s="787" t="s">
        <v>13568</v>
      </c>
      <c r="D7592" s="787">
        <v>0.62</v>
      </c>
      <c r="E7592" s="787">
        <v>0.62</v>
      </c>
      <c r="F7592" s="788">
        <v>39975</v>
      </c>
      <c r="G7592" s="788">
        <v>41943</v>
      </c>
      <c r="H7592" s="787">
        <v>1</v>
      </c>
      <c r="I7592" s="788">
        <v>41328</v>
      </c>
      <c r="J7592" s="788">
        <v>39790</v>
      </c>
      <c r="L7592" s="787">
        <v>0</v>
      </c>
      <c r="M7592" s="787">
        <v>10</v>
      </c>
      <c r="N7592" s="787">
        <v>2.27</v>
      </c>
      <c r="O7592" s="788">
        <v>42146</v>
      </c>
    </row>
    <row r="7593" spans="1:15" x14ac:dyDescent="0.25">
      <c r="A7593" s="786" t="s">
        <v>13569</v>
      </c>
      <c r="B7593" s="787">
        <v>4</v>
      </c>
      <c r="C7593" s="787" t="s">
        <v>13570</v>
      </c>
      <c r="D7593" s="787">
        <v>0.62</v>
      </c>
      <c r="E7593" s="787">
        <v>0.62</v>
      </c>
      <c r="F7593" s="788">
        <v>39975</v>
      </c>
      <c r="G7593" s="788">
        <v>41943</v>
      </c>
      <c r="H7593" s="787">
        <v>1</v>
      </c>
      <c r="I7593" s="788">
        <v>41328</v>
      </c>
      <c r="J7593" s="788">
        <v>39790</v>
      </c>
      <c r="L7593" s="787">
        <v>0</v>
      </c>
      <c r="M7593" s="787">
        <v>10</v>
      </c>
      <c r="N7593" s="787">
        <v>2.27</v>
      </c>
      <c r="O7593" s="788">
        <v>42146</v>
      </c>
    </row>
    <row r="7594" spans="1:15" x14ac:dyDescent="0.25">
      <c r="A7594" s="786" t="s">
        <v>13571</v>
      </c>
      <c r="B7594" s="787">
        <v>4</v>
      </c>
      <c r="C7594" s="787" t="s">
        <v>13572</v>
      </c>
      <c r="D7594" s="787">
        <v>0.31</v>
      </c>
      <c r="E7594" s="787">
        <v>0.31</v>
      </c>
      <c r="F7594" s="788">
        <v>39975</v>
      </c>
      <c r="G7594" s="788">
        <v>41943</v>
      </c>
      <c r="H7594" s="787">
        <v>1</v>
      </c>
      <c r="I7594" s="788">
        <v>40997</v>
      </c>
      <c r="J7594" s="788">
        <v>40191</v>
      </c>
      <c r="K7594" s="788">
        <v>42046</v>
      </c>
      <c r="L7594" s="787">
        <v>0.55000000000000004</v>
      </c>
      <c r="M7594" s="787">
        <v>10</v>
      </c>
      <c r="N7594" s="787">
        <v>0.55000000000000004</v>
      </c>
      <c r="O7594" s="788">
        <v>42146</v>
      </c>
    </row>
    <row r="7595" spans="1:15" x14ac:dyDescent="0.25">
      <c r="A7595" s="786" t="s">
        <v>13573</v>
      </c>
      <c r="B7595" s="787">
        <v>4</v>
      </c>
      <c r="C7595" s="787" t="s">
        <v>13574</v>
      </c>
      <c r="D7595" s="787">
        <v>0.31</v>
      </c>
      <c r="E7595" s="787">
        <v>0.31</v>
      </c>
      <c r="F7595" s="788">
        <v>39975</v>
      </c>
      <c r="G7595" s="788">
        <v>41943</v>
      </c>
      <c r="H7595" s="787">
        <v>1</v>
      </c>
      <c r="I7595" s="788">
        <v>40997</v>
      </c>
      <c r="J7595" s="788">
        <v>40191</v>
      </c>
      <c r="K7595" s="788">
        <v>42046</v>
      </c>
      <c r="L7595" s="787">
        <v>0.87</v>
      </c>
      <c r="M7595" s="787">
        <v>10</v>
      </c>
      <c r="N7595" s="787">
        <v>0.87</v>
      </c>
      <c r="O7595" s="788">
        <v>42146</v>
      </c>
    </row>
    <row r="7596" spans="1:15" x14ac:dyDescent="0.25">
      <c r="A7596" s="786" t="s">
        <v>13575</v>
      </c>
      <c r="B7596" s="787">
        <v>4</v>
      </c>
      <c r="C7596" s="787" t="s">
        <v>13576</v>
      </c>
      <c r="D7596" s="787">
        <v>0</v>
      </c>
      <c r="E7596" s="787">
        <v>0</v>
      </c>
      <c r="G7596" s="788">
        <v>42013</v>
      </c>
      <c r="H7596" s="787">
        <v>1</v>
      </c>
      <c r="I7596" s="788">
        <v>41961</v>
      </c>
      <c r="J7596" s="788">
        <v>41775</v>
      </c>
      <c r="K7596" s="788">
        <v>41774</v>
      </c>
      <c r="L7596" s="787">
        <v>8</v>
      </c>
      <c r="M7596" s="787">
        <v>10</v>
      </c>
      <c r="N7596" s="787">
        <v>7.86</v>
      </c>
      <c r="O7596" s="788">
        <v>42146</v>
      </c>
    </row>
    <row r="7597" spans="1:15" x14ac:dyDescent="0.25">
      <c r="A7597" s="786" t="s">
        <v>13577</v>
      </c>
      <c r="B7597" s="787">
        <v>4</v>
      </c>
      <c r="C7597" s="787" t="s">
        <v>13578</v>
      </c>
      <c r="D7597" s="787">
        <v>0</v>
      </c>
      <c r="E7597" s="787">
        <v>0</v>
      </c>
      <c r="H7597" s="787">
        <v>1</v>
      </c>
      <c r="I7597" s="788">
        <v>42150</v>
      </c>
      <c r="L7597" s="787">
        <v>0</v>
      </c>
      <c r="M7597" s="787">
        <v>10</v>
      </c>
      <c r="N7597" s="787">
        <v>30.5</v>
      </c>
      <c r="O7597" s="788">
        <v>42146</v>
      </c>
    </row>
    <row r="7598" spans="1:15" x14ac:dyDescent="0.25">
      <c r="A7598" s="786" t="s">
        <v>13579</v>
      </c>
      <c r="B7598" s="787">
        <v>4</v>
      </c>
      <c r="C7598" s="787" t="s">
        <v>13580</v>
      </c>
      <c r="D7598" s="787">
        <v>0</v>
      </c>
      <c r="E7598" s="787">
        <v>0</v>
      </c>
      <c r="H7598" s="787">
        <v>1</v>
      </c>
      <c r="I7598" s="788">
        <v>42150</v>
      </c>
      <c r="L7598" s="787">
        <v>0</v>
      </c>
      <c r="M7598" s="787">
        <v>10</v>
      </c>
      <c r="N7598" s="787">
        <v>6.86</v>
      </c>
      <c r="O7598" s="788">
        <v>42146</v>
      </c>
    </row>
    <row r="7599" spans="1:15" x14ac:dyDescent="0.25">
      <c r="A7599" s="786" t="s">
        <v>13581</v>
      </c>
      <c r="B7599" s="787">
        <v>4</v>
      </c>
      <c r="C7599" s="787" t="s">
        <v>13582</v>
      </c>
      <c r="D7599" s="787">
        <v>0.09</v>
      </c>
      <c r="E7599" s="787">
        <v>0.5</v>
      </c>
      <c r="F7599" s="788">
        <v>41499</v>
      </c>
      <c r="G7599" s="788">
        <v>42089</v>
      </c>
      <c r="H7599" s="787">
        <v>1</v>
      </c>
      <c r="I7599" s="788">
        <v>42150</v>
      </c>
      <c r="J7599" s="788">
        <v>42061</v>
      </c>
      <c r="K7599" s="788">
        <v>41467</v>
      </c>
      <c r="L7599" s="787">
        <v>1.63</v>
      </c>
      <c r="M7599" s="787">
        <v>10</v>
      </c>
      <c r="N7599" s="787">
        <v>1.62</v>
      </c>
      <c r="O7599" s="788">
        <v>42146</v>
      </c>
    </row>
    <row r="7600" spans="1:15" x14ac:dyDescent="0.25">
      <c r="A7600" s="786" t="s">
        <v>13583</v>
      </c>
      <c r="B7600" s="787">
        <v>4</v>
      </c>
      <c r="C7600" s="787" t="s">
        <v>13584</v>
      </c>
      <c r="D7600" s="787">
        <v>0.03</v>
      </c>
      <c r="E7600" s="787">
        <v>0.55000000000000004</v>
      </c>
      <c r="F7600" s="788">
        <v>41813</v>
      </c>
      <c r="G7600" s="788">
        <v>42093</v>
      </c>
      <c r="H7600" s="787">
        <v>1</v>
      </c>
      <c r="I7600" s="788">
        <v>42150</v>
      </c>
      <c r="J7600" s="788">
        <v>42072</v>
      </c>
      <c r="K7600" s="788">
        <v>41467</v>
      </c>
      <c r="L7600" s="787">
        <v>1.63</v>
      </c>
      <c r="M7600" s="787">
        <v>10</v>
      </c>
      <c r="N7600" s="787">
        <v>1.62</v>
      </c>
      <c r="O7600" s="788">
        <v>42146</v>
      </c>
    </row>
    <row r="7601" spans="1:15" x14ac:dyDescent="0.25">
      <c r="A7601" s="786" t="s">
        <v>13585</v>
      </c>
      <c r="B7601" s="787">
        <v>4</v>
      </c>
      <c r="C7601" s="787" t="s">
        <v>13586</v>
      </c>
      <c r="D7601" s="787">
        <v>1.64</v>
      </c>
      <c r="E7601" s="787">
        <v>4</v>
      </c>
      <c r="F7601" s="788">
        <v>39975</v>
      </c>
      <c r="G7601" s="788">
        <v>42160</v>
      </c>
      <c r="H7601" s="787">
        <v>1</v>
      </c>
      <c r="I7601" s="788">
        <v>42160</v>
      </c>
      <c r="J7601" s="788">
        <v>42160</v>
      </c>
      <c r="K7601" s="788">
        <v>41529</v>
      </c>
      <c r="L7601" s="787">
        <v>1.6</v>
      </c>
      <c r="M7601" s="787">
        <v>10</v>
      </c>
      <c r="N7601" s="787">
        <v>2.7</v>
      </c>
      <c r="O7601" s="788">
        <v>42146</v>
      </c>
    </row>
    <row r="7602" spans="1:15" x14ac:dyDescent="0.25">
      <c r="A7602" s="786" t="s">
        <v>13587</v>
      </c>
      <c r="B7602" s="787">
        <v>4</v>
      </c>
      <c r="C7602" s="787" t="s">
        <v>13588</v>
      </c>
      <c r="D7602" s="787">
        <v>0</v>
      </c>
      <c r="E7602" s="787">
        <v>0</v>
      </c>
      <c r="H7602" s="787">
        <v>1</v>
      </c>
      <c r="I7602" s="788">
        <v>40032</v>
      </c>
      <c r="L7602" s="787">
        <v>0</v>
      </c>
      <c r="M7602" s="787">
        <v>10</v>
      </c>
      <c r="N7602" s="787">
        <v>8.39</v>
      </c>
      <c r="O7602" s="788">
        <v>42146</v>
      </c>
    </row>
    <row r="7603" spans="1:15" x14ac:dyDescent="0.25">
      <c r="A7603" s="786" t="s">
        <v>13589</v>
      </c>
      <c r="B7603" s="787">
        <v>4</v>
      </c>
      <c r="C7603" s="787" t="s">
        <v>10923</v>
      </c>
      <c r="D7603" s="787">
        <v>0</v>
      </c>
      <c r="E7603" s="787">
        <v>0</v>
      </c>
      <c r="H7603" s="787">
        <v>1</v>
      </c>
      <c r="I7603" s="788">
        <v>40017</v>
      </c>
      <c r="L7603" s="787">
        <v>0</v>
      </c>
      <c r="M7603" s="787">
        <v>10</v>
      </c>
      <c r="N7603" s="787">
        <v>44.75</v>
      </c>
      <c r="O7603" s="788">
        <v>42146</v>
      </c>
    </row>
    <row r="7604" spans="1:15" x14ac:dyDescent="0.25">
      <c r="A7604" s="786" t="s">
        <v>13590</v>
      </c>
      <c r="B7604" s="787">
        <v>4</v>
      </c>
      <c r="C7604" s="787" t="s">
        <v>10925</v>
      </c>
      <c r="D7604" s="787">
        <v>0</v>
      </c>
      <c r="E7604" s="787">
        <v>0</v>
      </c>
      <c r="H7604" s="787">
        <v>1</v>
      </c>
      <c r="I7604" s="788">
        <v>40017</v>
      </c>
      <c r="L7604" s="787">
        <v>0</v>
      </c>
      <c r="M7604" s="787">
        <v>10</v>
      </c>
      <c r="N7604" s="787">
        <v>39.700000000000003</v>
      </c>
      <c r="O7604" s="788">
        <v>42146</v>
      </c>
    </row>
    <row r="7605" spans="1:15" x14ac:dyDescent="0.25">
      <c r="A7605" s="786" t="s">
        <v>13591</v>
      </c>
      <c r="B7605" s="787">
        <v>4</v>
      </c>
      <c r="C7605" s="787" t="s">
        <v>13592</v>
      </c>
      <c r="D7605" s="787">
        <v>0</v>
      </c>
      <c r="E7605" s="787">
        <v>0</v>
      </c>
      <c r="H7605" s="787">
        <v>1</v>
      </c>
      <c r="I7605" s="788">
        <v>40046</v>
      </c>
      <c r="L7605" s="787">
        <v>0</v>
      </c>
      <c r="M7605" s="787">
        <v>10</v>
      </c>
      <c r="N7605" s="787">
        <v>45.93</v>
      </c>
      <c r="O7605" s="788">
        <v>42146</v>
      </c>
    </row>
    <row r="7606" spans="1:15" x14ac:dyDescent="0.25">
      <c r="A7606" s="786" t="s">
        <v>13593</v>
      </c>
      <c r="B7606" s="787">
        <v>4</v>
      </c>
      <c r="C7606" s="787" t="s">
        <v>13594</v>
      </c>
      <c r="D7606" s="787">
        <v>0</v>
      </c>
      <c r="E7606" s="787">
        <v>0</v>
      </c>
      <c r="H7606" s="787">
        <v>1</v>
      </c>
      <c r="I7606" s="788">
        <v>40053</v>
      </c>
      <c r="L7606" s="787">
        <v>0</v>
      </c>
      <c r="M7606" s="787">
        <v>10</v>
      </c>
      <c r="N7606" s="787">
        <v>41.7</v>
      </c>
      <c r="O7606" s="788">
        <v>42146</v>
      </c>
    </row>
    <row r="7607" spans="1:15" x14ac:dyDescent="0.25">
      <c r="A7607" s="786" t="s">
        <v>13595</v>
      </c>
      <c r="B7607" s="787">
        <v>4</v>
      </c>
      <c r="C7607" s="787" t="s">
        <v>10933</v>
      </c>
      <c r="D7607" s="787">
        <v>0</v>
      </c>
      <c r="E7607" s="787">
        <v>0</v>
      </c>
      <c r="H7607" s="787">
        <v>1</v>
      </c>
      <c r="I7607" s="788">
        <v>42166</v>
      </c>
      <c r="K7607" s="788">
        <v>41857</v>
      </c>
      <c r="L7607" s="787">
        <v>10.1</v>
      </c>
      <c r="M7607" s="787">
        <v>10</v>
      </c>
      <c r="N7607" s="787">
        <v>10.1</v>
      </c>
      <c r="O7607" s="788">
        <v>42162</v>
      </c>
    </row>
    <row r="7608" spans="1:15" x14ac:dyDescent="0.25">
      <c r="A7608" s="786" t="s">
        <v>13596</v>
      </c>
      <c r="B7608" s="787">
        <v>4</v>
      </c>
      <c r="C7608" s="787" t="s">
        <v>13597</v>
      </c>
      <c r="D7608" s="787">
        <v>0</v>
      </c>
      <c r="E7608" s="787">
        <v>0</v>
      </c>
      <c r="H7608" s="787">
        <v>1</v>
      </c>
      <c r="I7608" s="788">
        <v>42166</v>
      </c>
      <c r="L7608" s="787">
        <v>0</v>
      </c>
      <c r="M7608" s="787">
        <v>10</v>
      </c>
      <c r="N7608" s="787">
        <v>9.2799999999999994</v>
      </c>
      <c r="O7608" s="788">
        <v>42162</v>
      </c>
    </row>
    <row r="7609" spans="1:15" x14ac:dyDescent="0.25">
      <c r="A7609" s="786" t="s">
        <v>13598</v>
      </c>
      <c r="B7609" s="787">
        <v>4</v>
      </c>
      <c r="C7609" s="787" t="s">
        <v>10943</v>
      </c>
      <c r="D7609" s="787">
        <v>0</v>
      </c>
      <c r="E7609" s="787">
        <v>0</v>
      </c>
      <c r="H7609" s="787">
        <v>1</v>
      </c>
      <c r="I7609" s="788">
        <v>42166</v>
      </c>
      <c r="J7609" s="788">
        <v>41648</v>
      </c>
      <c r="K7609" s="788">
        <v>41624</v>
      </c>
      <c r="L7609" s="787">
        <v>12</v>
      </c>
      <c r="M7609" s="787">
        <v>10</v>
      </c>
      <c r="N7609" s="787">
        <v>11.28</v>
      </c>
      <c r="O7609" s="788">
        <v>42146</v>
      </c>
    </row>
    <row r="7610" spans="1:15" x14ac:dyDescent="0.25">
      <c r="A7610" s="786" t="s">
        <v>13599</v>
      </c>
      <c r="B7610" s="787">
        <v>4</v>
      </c>
      <c r="C7610" s="787" t="s">
        <v>10945</v>
      </c>
      <c r="D7610" s="787">
        <v>0</v>
      </c>
      <c r="E7610" s="787">
        <v>0</v>
      </c>
      <c r="H7610" s="787">
        <v>1</v>
      </c>
      <c r="I7610" s="788">
        <v>42166</v>
      </c>
      <c r="J7610" s="788">
        <v>41710</v>
      </c>
      <c r="K7610" s="788">
        <v>41624</v>
      </c>
      <c r="L7610" s="787">
        <v>12</v>
      </c>
      <c r="M7610" s="787">
        <v>10</v>
      </c>
      <c r="N7610" s="787">
        <v>11.28</v>
      </c>
      <c r="O7610" s="788">
        <v>42146</v>
      </c>
    </row>
    <row r="7611" spans="1:15" x14ac:dyDescent="0.25">
      <c r="A7611" s="786" t="s">
        <v>13600</v>
      </c>
      <c r="B7611" s="787">
        <v>4</v>
      </c>
      <c r="C7611" s="787" t="s">
        <v>13601</v>
      </c>
      <c r="D7611" s="787">
        <v>0</v>
      </c>
      <c r="E7611" s="787">
        <v>0</v>
      </c>
      <c r="H7611" s="787">
        <v>1</v>
      </c>
      <c r="I7611" s="788">
        <v>42166</v>
      </c>
      <c r="L7611" s="787">
        <v>0</v>
      </c>
      <c r="M7611" s="787">
        <v>10</v>
      </c>
      <c r="N7611" s="787">
        <v>9.5500000000000007</v>
      </c>
      <c r="O7611" s="788">
        <v>42162</v>
      </c>
    </row>
    <row r="7612" spans="1:15" x14ac:dyDescent="0.25">
      <c r="A7612" s="786" t="s">
        <v>13602</v>
      </c>
      <c r="B7612" s="787">
        <v>4</v>
      </c>
      <c r="C7612" s="787" t="s">
        <v>10939</v>
      </c>
      <c r="D7612" s="787">
        <v>0</v>
      </c>
      <c r="E7612" s="787">
        <v>0</v>
      </c>
      <c r="H7612" s="787">
        <v>1</v>
      </c>
      <c r="I7612" s="788">
        <v>42166</v>
      </c>
      <c r="L7612" s="787">
        <v>0</v>
      </c>
      <c r="M7612" s="787">
        <v>10</v>
      </c>
      <c r="N7612" s="787">
        <v>5.32</v>
      </c>
      <c r="O7612" s="788">
        <v>42162</v>
      </c>
    </row>
    <row r="7613" spans="1:15" x14ac:dyDescent="0.25">
      <c r="A7613" s="786" t="s">
        <v>13603</v>
      </c>
      <c r="B7613" s="787">
        <v>4</v>
      </c>
      <c r="C7613" s="787" t="s">
        <v>13604</v>
      </c>
      <c r="D7613" s="787">
        <v>0</v>
      </c>
      <c r="E7613" s="787">
        <v>0</v>
      </c>
      <c r="H7613" s="787">
        <v>1</v>
      </c>
      <c r="I7613" s="788">
        <v>42165</v>
      </c>
      <c r="L7613" s="787">
        <v>0</v>
      </c>
      <c r="M7613" s="787">
        <v>10</v>
      </c>
      <c r="N7613" s="787">
        <v>10.220000000000001</v>
      </c>
      <c r="O7613" s="788">
        <v>42146</v>
      </c>
    </row>
    <row r="7614" spans="1:15" x14ac:dyDescent="0.25">
      <c r="A7614" s="786" t="s">
        <v>13605</v>
      </c>
      <c r="B7614" s="787">
        <v>4</v>
      </c>
      <c r="C7614" s="787" t="s">
        <v>13606</v>
      </c>
      <c r="D7614" s="787">
        <v>0</v>
      </c>
      <c r="E7614" s="787">
        <v>0</v>
      </c>
      <c r="H7614" s="787">
        <v>1</v>
      </c>
      <c r="I7614" s="788">
        <v>42165</v>
      </c>
      <c r="L7614" s="787">
        <v>0</v>
      </c>
      <c r="M7614" s="787">
        <v>10</v>
      </c>
      <c r="N7614" s="787">
        <v>10.220000000000001</v>
      </c>
      <c r="O7614" s="788">
        <v>42146</v>
      </c>
    </row>
    <row r="7615" spans="1:15" x14ac:dyDescent="0.25">
      <c r="A7615" s="786" t="s">
        <v>13607</v>
      </c>
      <c r="B7615" s="787">
        <v>4</v>
      </c>
      <c r="C7615" s="787" t="s">
        <v>13608</v>
      </c>
      <c r="D7615" s="787">
        <v>0</v>
      </c>
      <c r="E7615" s="787">
        <v>0</v>
      </c>
      <c r="H7615" s="787">
        <v>1</v>
      </c>
      <c r="I7615" s="788">
        <v>42165</v>
      </c>
      <c r="L7615" s="787">
        <v>0</v>
      </c>
      <c r="M7615" s="787">
        <v>10</v>
      </c>
      <c r="N7615" s="787">
        <v>10.17</v>
      </c>
      <c r="O7615" s="788">
        <v>42146</v>
      </c>
    </row>
    <row r="7616" spans="1:15" x14ac:dyDescent="0.25">
      <c r="A7616" s="786" t="s">
        <v>13609</v>
      </c>
      <c r="B7616" s="787">
        <v>4</v>
      </c>
      <c r="C7616" s="787" t="s">
        <v>13610</v>
      </c>
      <c r="D7616" s="787">
        <v>0</v>
      </c>
      <c r="E7616" s="787">
        <v>0</v>
      </c>
      <c r="H7616" s="787">
        <v>1</v>
      </c>
      <c r="I7616" s="788">
        <v>42165</v>
      </c>
      <c r="K7616" s="788">
        <v>41977</v>
      </c>
      <c r="L7616" s="787">
        <v>10</v>
      </c>
      <c r="M7616" s="787">
        <v>10</v>
      </c>
      <c r="N7616" s="787">
        <v>10.17</v>
      </c>
      <c r="O7616" s="788">
        <v>42146</v>
      </c>
    </row>
    <row r="7617" spans="1:15" x14ac:dyDescent="0.25">
      <c r="A7617" s="786" t="s">
        <v>13611</v>
      </c>
      <c r="B7617" s="787">
        <v>4</v>
      </c>
      <c r="C7617" s="787" t="s">
        <v>13612</v>
      </c>
      <c r="D7617" s="787">
        <v>0</v>
      </c>
      <c r="E7617" s="787">
        <v>0</v>
      </c>
      <c r="H7617" s="787">
        <v>1</v>
      </c>
      <c r="I7617" s="788">
        <v>40899</v>
      </c>
      <c r="K7617" s="788">
        <v>42038</v>
      </c>
      <c r="L7617" s="787">
        <v>10.71</v>
      </c>
      <c r="M7617" s="787">
        <v>10</v>
      </c>
      <c r="N7617" s="787">
        <v>10.71</v>
      </c>
      <c r="O7617" s="788">
        <v>42146</v>
      </c>
    </row>
    <row r="7618" spans="1:15" x14ac:dyDescent="0.25">
      <c r="A7618" s="786" t="s">
        <v>13613</v>
      </c>
      <c r="B7618" s="787">
        <v>4</v>
      </c>
      <c r="C7618" s="787" t="s">
        <v>13614</v>
      </c>
      <c r="D7618" s="787">
        <v>0</v>
      </c>
      <c r="E7618" s="787">
        <v>0</v>
      </c>
      <c r="H7618" s="787">
        <v>1</v>
      </c>
      <c r="I7618" s="788">
        <v>40001</v>
      </c>
      <c r="L7618" s="787">
        <v>0</v>
      </c>
      <c r="M7618" s="787">
        <v>10</v>
      </c>
      <c r="N7618" s="787">
        <v>4.83</v>
      </c>
      <c r="O7618" s="788">
        <v>42146</v>
      </c>
    </row>
    <row r="7619" spans="1:15" x14ac:dyDescent="0.25">
      <c r="A7619" s="786" t="s">
        <v>13615</v>
      </c>
      <c r="B7619" s="787">
        <v>4</v>
      </c>
      <c r="C7619" s="787" t="s">
        <v>13616</v>
      </c>
      <c r="D7619" s="787">
        <v>0</v>
      </c>
      <c r="E7619" s="787">
        <v>0</v>
      </c>
      <c r="H7619" s="787">
        <v>1</v>
      </c>
      <c r="I7619" s="788">
        <v>40001</v>
      </c>
      <c r="K7619" s="788">
        <v>42051</v>
      </c>
      <c r="L7619" s="787">
        <v>4.83</v>
      </c>
      <c r="M7619" s="787">
        <v>10</v>
      </c>
      <c r="N7619" s="787">
        <v>4.83</v>
      </c>
      <c r="O7619" s="788">
        <v>42146</v>
      </c>
    </row>
    <row r="7620" spans="1:15" x14ac:dyDescent="0.25">
      <c r="A7620" s="786" t="s">
        <v>13617</v>
      </c>
      <c r="B7620" s="787">
        <v>4</v>
      </c>
      <c r="C7620" s="787" t="s">
        <v>13618</v>
      </c>
      <c r="D7620" s="787">
        <v>0</v>
      </c>
      <c r="E7620" s="787">
        <v>0</v>
      </c>
      <c r="H7620" s="787">
        <v>1</v>
      </c>
      <c r="I7620" s="788">
        <v>40001</v>
      </c>
      <c r="K7620" s="788">
        <v>41953</v>
      </c>
      <c r="L7620" s="787">
        <v>0.01</v>
      </c>
      <c r="M7620" s="787">
        <v>10</v>
      </c>
      <c r="N7620" s="787">
        <v>2.9</v>
      </c>
      <c r="O7620" s="788">
        <v>42146</v>
      </c>
    </row>
    <row r="7621" spans="1:15" x14ac:dyDescent="0.25">
      <c r="A7621" s="786" t="s">
        <v>13619</v>
      </c>
      <c r="B7621" s="787">
        <v>4</v>
      </c>
      <c r="C7621" s="787" t="s">
        <v>13620</v>
      </c>
      <c r="D7621" s="787">
        <v>0</v>
      </c>
      <c r="E7621" s="787">
        <v>0</v>
      </c>
      <c r="H7621" s="787">
        <v>1</v>
      </c>
      <c r="I7621" s="788">
        <v>41877</v>
      </c>
      <c r="L7621" s="787">
        <v>0</v>
      </c>
      <c r="M7621" s="787">
        <v>10</v>
      </c>
      <c r="N7621" s="787">
        <v>31.59</v>
      </c>
      <c r="O7621" s="788">
        <v>42146</v>
      </c>
    </row>
    <row r="7622" spans="1:15" x14ac:dyDescent="0.25">
      <c r="A7622" s="786" t="s">
        <v>13621</v>
      </c>
      <c r="B7622" s="787">
        <v>4</v>
      </c>
      <c r="C7622" s="787" t="s">
        <v>13622</v>
      </c>
      <c r="D7622" s="787">
        <v>0</v>
      </c>
      <c r="E7622" s="787">
        <v>0</v>
      </c>
      <c r="H7622" s="787">
        <v>1</v>
      </c>
      <c r="I7622" s="788">
        <v>41964</v>
      </c>
      <c r="K7622" s="788">
        <v>42134</v>
      </c>
      <c r="L7622" s="787">
        <v>28.56</v>
      </c>
      <c r="M7622" s="787">
        <v>10</v>
      </c>
      <c r="N7622" s="787">
        <v>28.56</v>
      </c>
      <c r="O7622" s="788">
        <v>42146</v>
      </c>
    </row>
    <row r="7623" spans="1:15" x14ac:dyDescent="0.25">
      <c r="A7623" s="786" t="s">
        <v>13623</v>
      </c>
      <c r="B7623" s="787">
        <v>4</v>
      </c>
      <c r="C7623" s="787" t="s">
        <v>13624</v>
      </c>
      <c r="D7623" s="787">
        <v>0</v>
      </c>
      <c r="E7623" s="787">
        <v>0</v>
      </c>
      <c r="H7623" s="787">
        <v>1</v>
      </c>
      <c r="I7623" s="788">
        <v>41964</v>
      </c>
      <c r="L7623" s="787">
        <v>0</v>
      </c>
      <c r="M7623" s="787">
        <v>10</v>
      </c>
      <c r="N7623" s="787">
        <v>29.66</v>
      </c>
      <c r="O7623" s="788">
        <v>42146</v>
      </c>
    </row>
    <row r="7624" spans="1:15" x14ac:dyDescent="0.25">
      <c r="A7624" s="786" t="s">
        <v>13625</v>
      </c>
      <c r="B7624" s="787">
        <v>4</v>
      </c>
      <c r="C7624" s="787" t="s">
        <v>13626</v>
      </c>
      <c r="D7624" s="787">
        <v>0</v>
      </c>
      <c r="E7624" s="787">
        <v>0</v>
      </c>
      <c r="H7624" s="787">
        <v>1</v>
      </c>
      <c r="I7624" s="788">
        <v>41964</v>
      </c>
      <c r="J7624" s="788">
        <v>41816</v>
      </c>
      <c r="K7624" s="788">
        <v>41817</v>
      </c>
      <c r="L7624" s="787">
        <v>7</v>
      </c>
      <c r="M7624" s="787">
        <v>10</v>
      </c>
      <c r="N7624" s="787">
        <v>23.15</v>
      </c>
      <c r="O7624" s="788">
        <v>42146</v>
      </c>
    </row>
    <row r="7625" spans="1:15" x14ac:dyDescent="0.25">
      <c r="A7625" s="786" t="s">
        <v>13627</v>
      </c>
      <c r="B7625" s="787">
        <v>4</v>
      </c>
      <c r="C7625" s="787" t="s">
        <v>13628</v>
      </c>
      <c r="D7625" s="787">
        <v>0</v>
      </c>
      <c r="E7625" s="787">
        <v>0</v>
      </c>
      <c r="H7625" s="787">
        <v>1</v>
      </c>
      <c r="I7625" s="788">
        <v>41964</v>
      </c>
      <c r="J7625" s="788">
        <v>41885</v>
      </c>
      <c r="K7625" s="788">
        <v>41885</v>
      </c>
      <c r="L7625" s="787">
        <v>8</v>
      </c>
      <c r="M7625" s="787">
        <v>10</v>
      </c>
      <c r="N7625" s="787">
        <v>7.97</v>
      </c>
      <c r="O7625" s="788">
        <v>42146</v>
      </c>
    </row>
    <row r="7626" spans="1:15" x14ac:dyDescent="0.25">
      <c r="A7626" s="786" t="s">
        <v>13629</v>
      </c>
      <c r="B7626" s="787">
        <v>4</v>
      </c>
      <c r="C7626" s="787" t="s">
        <v>13630</v>
      </c>
      <c r="D7626" s="787">
        <v>0</v>
      </c>
      <c r="E7626" s="787">
        <v>0</v>
      </c>
      <c r="H7626" s="787">
        <v>1</v>
      </c>
      <c r="I7626" s="788">
        <v>41841</v>
      </c>
      <c r="J7626" s="788">
        <v>41866</v>
      </c>
      <c r="K7626" s="788">
        <v>41866</v>
      </c>
      <c r="L7626" s="787">
        <v>8.5</v>
      </c>
      <c r="M7626" s="787">
        <v>10</v>
      </c>
      <c r="N7626" s="787">
        <v>23.15</v>
      </c>
      <c r="O7626" s="788">
        <v>42146</v>
      </c>
    </row>
    <row r="7627" spans="1:15" x14ac:dyDescent="0.25">
      <c r="A7627" s="786" t="s">
        <v>13631</v>
      </c>
      <c r="B7627" s="787">
        <v>4</v>
      </c>
      <c r="C7627" s="787" t="s">
        <v>13632</v>
      </c>
      <c r="D7627" s="787">
        <v>0</v>
      </c>
      <c r="E7627" s="787">
        <v>0</v>
      </c>
      <c r="H7627" s="787">
        <v>1</v>
      </c>
      <c r="I7627" s="788">
        <v>40928</v>
      </c>
      <c r="L7627" s="787">
        <v>0</v>
      </c>
      <c r="M7627" s="787">
        <v>10</v>
      </c>
      <c r="N7627" s="787">
        <v>7.97</v>
      </c>
      <c r="O7627" s="788">
        <v>42146</v>
      </c>
    </row>
    <row r="7628" spans="1:15" x14ac:dyDescent="0.25">
      <c r="A7628" s="786" t="s">
        <v>13633</v>
      </c>
      <c r="B7628" s="787">
        <v>4</v>
      </c>
      <c r="C7628" s="787" t="s">
        <v>13586</v>
      </c>
      <c r="D7628" s="787">
        <v>0</v>
      </c>
      <c r="E7628" s="787">
        <v>0</v>
      </c>
      <c r="H7628" s="787">
        <v>1</v>
      </c>
      <c r="I7628" s="788">
        <v>41964</v>
      </c>
      <c r="J7628" s="788">
        <v>41885</v>
      </c>
      <c r="K7628" s="788">
        <v>41885</v>
      </c>
      <c r="L7628" s="787">
        <v>6</v>
      </c>
      <c r="M7628" s="787">
        <v>10</v>
      </c>
      <c r="N7628" s="787">
        <v>5.44</v>
      </c>
      <c r="O7628" s="788">
        <v>42146</v>
      </c>
    </row>
    <row r="7629" spans="1:15" x14ac:dyDescent="0.25">
      <c r="A7629" s="786" t="s">
        <v>13634</v>
      </c>
      <c r="B7629" s="787">
        <v>4</v>
      </c>
      <c r="C7629" s="787" t="s">
        <v>13635</v>
      </c>
      <c r="D7629" s="787">
        <v>0</v>
      </c>
      <c r="E7629" s="787">
        <v>0</v>
      </c>
      <c r="H7629" s="787">
        <v>1</v>
      </c>
      <c r="I7629" s="788">
        <v>40928</v>
      </c>
      <c r="L7629" s="787">
        <v>0</v>
      </c>
      <c r="M7629" s="787">
        <v>10</v>
      </c>
      <c r="N7629" s="787">
        <v>14.61</v>
      </c>
      <c r="O7629" s="788">
        <v>42146</v>
      </c>
    </row>
    <row r="7630" spans="1:15" x14ac:dyDescent="0.25">
      <c r="A7630" s="786" t="s">
        <v>13636</v>
      </c>
      <c r="B7630" s="787">
        <v>4</v>
      </c>
      <c r="C7630" s="787" t="s">
        <v>13637</v>
      </c>
      <c r="D7630" s="787">
        <v>0</v>
      </c>
      <c r="E7630" s="787">
        <v>0</v>
      </c>
      <c r="H7630" s="787">
        <v>1</v>
      </c>
      <c r="I7630" s="788">
        <v>41964</v>
      </c>
      <c r="J7630" s="788">
        <v>41885</v>
      </c>
      <c r="K7630" s="788">
        <v>41885</v>
      </c>
      <c r="L7630" s="787">
        <v>6</v>
      </c>
      <c r="M7630" s="787">
        <v>10</v>
      </c>
      <c r="N7630" s="787">
        <v>5.64</v>
      </c>
      <c r="O7630" s="788">
        <v>42146</v>
      </c>
    </row>
    <row r="7631" spans="1:15" x14ac:dyDescent="0.25">
      <c r="A7631" s="786" t="s">
        <v>13638</v>
      </c>
      <c r="B7631" s="787">
        <v>4</v>
      </c>
      <c r="C7631" s="787" t="s">
        <v>13639</v>
      </c>
      <c r="D7631" s="787">
        <v>0</v>
      </c>
      <c r="E7631" s="787">
        <v>0</v>
      </c>
      <c r="H7631" s="787">
        <v>1</v>
      </c>
      <c r="I7631" s="788">
        <v>41877</v>
      </c>
      <c r="J7631" s="788">
        <v>41675</v>
      </c>
      <c r="K7631" s="788">
        <v>41676</v>
      </c>
      <c r="L7631" s="787">
        <v>5</v>
      </c>
      <c r="M7631" s="787">
        <v>10</v>
      </c>
      <c r="N7631" s="787">
        <v>5.64</v>
      </c>
      <c r="O7631" s="788">
        <v>42146</v>
      </c>
    </row>
    <row r="7632" spans="1:15" x14ac:dyDescent="0.25">
      <c r="A7632" s="786" t="s">
        <v>13640</v>
      </c>
      <c r="B7632" s="787">
        <v>4</v>
      </c>
      <c r="C7632" s="787" t="s">
        <v>13641</v>
      </c>
      <c r="D7632" s="787">
        <v>0</v>
      </c>
      <c r="E7632" s="787">
        <v>0</v>
      </c>
      <c r="H7632" s="787">
        <v>1</v>
      </c>
      <c r="I7632" s="788">
        <v>41877</v>
      </c>
      <c r="J7632" s="788">
        <v>41675</v>
      </c>
      <c r="K7632" s="788">
        <v>41676</v>
      </c>
      <c r="L7632" s="787">
        <v>7</v>
      </c>
      <c r="M7632" s="787">
        <v>10</v>
      </c>
      <c r="N7632" s="787">
        <v>12.75</v>
      </c>
      <c r="O7632" s="788">
        <v>42146</v>
      </c>
    </row>
    <row r="7633" spans="1:15" x14ac:dyDescent="0.25">
      <c r="A7633" s="786" t="s">
        <v>13642</v>
      </c>
      <c r="B7633" s="787">
        <v>4</v>
      </c>
      <c r="C7633" s="787" t="s">
        <v>13643</v>
      </c>
      <c r="D7633" s="787">
        <v>0</v>
      </c>
      <c r="E7633" s="787">
        <v>0</v>
      </c>
      <c r="H7633" s="787">
        <v>1</v>
      </c>
      <c r="I7633" s="788">
        <v>41964</v>
      </c>
      <c r="J7633" s="788">
        <v>41885</v>
      </c>
      <c r="K7633" s="788">
        <v>41885</v>
      </c>
      <c r="L7633" s="787">
        <v>7.5</v>
      </c>
      <c r="M7633" s="787">
        <v>10</v>
      </c>
      <c r="N7633" s="787">
        <v>5.41</v>
      </c>
      <c r="O7633" s="788">
        <v>42146</v>
      </c>
    </row>
    <row r="7634" spans="1:15" x14ac:dyDescent="0.25">
      <c r="A7634" s="786" t="s">
        <v>13644</v>
      </c>
      <c r="B7634" s="787">
        <v>4</v>
      </c>
      <c r="C7634" s="787" t="s">
        <v>13645</v>
      </c>
      <c r="D7634" s="787">
        <v>7.09</v>
      </c>
      <c r="E7634" s="787">
        <v>17.09</v>
      </c>
      <c r="F7634" s="788">
        <v>41886</v>
      </c>
      <c r="G7634" s="788">
        <v>41886</v>
      </c>
      <c r="H7634" s="787">
        <v>1</v>
      </c>
      <c r="I7634" s="788">
        <v>41212</v>
      </c>
      <c r="J7634" s="788">
        <v>41834</v>
      </c>
      <c r="K7634" s="788">
        <v>41829</v>
      </c>
      <c r="L7634" s="787">
        <v>1.4</v>
      </c>
      <c r="M7634" s="787">
        <v>10</v>
      </c>
      <c r="N7634" s="787">
        <v>1.68</v>
      </c>
      <c r="O7634" s="788">
        <v>42146</v>
      </c>
    </row>
    <row r="7635" spans="1:15" x14ac:dyDescent="0.25">
      <c r="A7635" s="786" t="s">
        <v>13646</v>
      </c>
      <c r="B7635" s="787">
        <v>4</v>
      </c>
      <c r="C7635" s="787" t="s">
        <v>13647</v>
      </c>
      <c r="D7635" s="787">
        <v>9.61</v>
      </c>
      <c r="E7635" s="787">
        <v>39.61</v>
      </c>
      <c r="F7635" s="788">
        <v>41886</v>
      </c>
      <c r="G7635" s="788">
        <v>41886</v>
      </c>
      <c r="H7635" s="787">
        <v>1</v>
      </c>
      <c r="I7635" s="788">
        <v>41841</v>
      </c>
      <c r="J7635" s="788">
        <v>41832</v>
      </c>
      <c r="K7635" s="788">
        <v>42053</v>
      </c>
      <c r="L7635" s="787">
        <v>30.43</v>
      </c>
      <c r="M7635" s="787">
        <v>10</v>
      </c>
      <c r="N7635" s="787">
        <v>29.15</v>
      </c>
      <c r="O7635" s="788">
        <v>42146</v>
      </c>
    </row>
    <row r="7636" spans="1:15" x14ac:dyDescent="0.25">
      <c r="A7636" s="786" t="s">
        <v>13648</v>
      </c>
      <c r="B7636" s="787">
        <v>4</v>
      </c>
      <c r="C7636" s="787" t="s">
        <v>13649</v>
      </c>
      <c r="D7636" s="787">
        <v>3.46</v>
      </c>
      <c r="E7636" s="787">
        <v>3.46</v>
      </c>
      <c r="F7636" s="788">
        <v>42090</v>
      </c>
      <c r="G7636" s="788">
        <v>42157</v>
      </c>
      <c r="H7636" s="787">
        <v>1</v>
      </c>
      <c r="I7636" s="788">
        <v>42166</v>
      </c>
      <c r="J7636" s="788">
        <v>42157</v>
      </c>
      <c r="K7636" s="788">
        <v>42019</v>
      </c>
      <c r="L7636" s="787">
        <v>0.72</v>
      </c>
      <c r="M7636" s="787">
        <v>10</v>
      </c>
      <c r="N7636" s="787">
        <v>1.81</v>
      </c>
      <c r="O7636" s="788">
        <v>42146</v>
      </c>
    </row>
    <row r="7637" spans="1:15" x14ac:dyDescent="0.25">
      <c r="A7637" s="786" t="s">
        <v>13650</v>
      </c>
      <c r="B7637" s="787">
        <v>4</v>
      </c>
      <c r="C7637" s="787" t="s">
        <v>13651</v>
      </c>
      <c r="D7637" s="787">
        <v>0.54</v>
      </c>
      <c r="E7637" s="787">
        <v>2.64</v>
      </c>
      <c r="F7637" s="788">
        <v>41135</v>
      </c>
      <c r="G7637" s="788">
        <v>42088</v>
      </c>
      <c r="H7637" s="787">
        <v>1</v>
      </c>
      <c r="I7637" s="788">
        <v>42165</v>
      </c>
      <c r="J7637" s="788">
        <v>42060</v>
      </c>
      <c r="K7637" s="788">
        <v>41113</v>
      </c>
      <c r="L7637" s="787">
        <v>2.79</v>
      </c>
      <c r="M7637" s="787">
        <v>10</v>
      </c>
      <c r="N7637" s="787">
        <v>2.46</v>
      </c>
      <c r="O7637" s="788">
        <v>42146</v>
      </c>
    </row>
    <row r="7638" spans="1:15" x14ac:dyDescent="0.25">
      <c r="A7638" s="786" t="s">
        <v>13652</v>
      </c>
      <c r="B7638" s="787">
        <v>4</v>
      </c>
      <c r="C7638" s="787" t="s">
        <v>13653</v>
      </c>
      <c r="D7638" s="787">
        <v>0.36</v>
      </c>
      <c r="E7638" s="787">
        <v>2.1800000000000002</v>
      </c>
      <c r="F7638" s="788">
        <v>41135</v>
      </c>
      <c r="G7638" s="788">
        <v>42164</v>
      </c>
      <c r="H7638" s="787">
        <v>1</v>
      </c>
      <c r="I7638" s="788">
        <v>42165</v>
      </c>
      <c r="J7638" s="788">
        <v>42164</v>
      </c>
      <c r="K7638" s="788">
        <v>41113</v>
      </c>
      <c r="L7638" s="787">
        <v>3.32</v>
      </c>
      <c r="M7638" s="787">
        <v>10</v>
      </c>
      <c r="N7638" s="787">
        <v>2.99</v>
      </c>
      <c r="O7638" s="788">
        <v>42146</v>
      </c>
    </row>
    <row r="7639" spans="1:15" x14ac:dyDescent="0.25">
      <c r="A7639" s="786" t="s">
        <v>13654</v>
      </c>
      <c r="B7639" s="787">
        <v>4</v>
      </c>
      <c r="C7639" s="787" t="s">
        <v>13655</v>
      </c>
      <c r="D7639" s="787">
        <v>0</v>
      </c>
      <c r="E7639" s="787">
        <v>0</v>
      </c>
      <c r="H7639" s="787">
        <v>1</v>
      </c>
      <c r="L7639" s="787">
        <v>0</v>
      </c>
      <c r="M7639" s="787">
        <v>10</v>
      </c>
      <c r="N7639" s="787">
        <v>2.66</v>
      </c>
      <c r="O7639" s="788">
        <v>42146</v>
      </c>
    </row>
    <row r="7640" spans="1:15" x14ac:dyDescent="0.25">
      <c r="A7640" s="786" t="s">
        <v>13656</v>
      </c>
      <c r="B7640" s="787">
        <v>4</v>
      </c>
      <c r="C7640" s="787" t="s">
        <v>13657</v>
      </c>
      <c r="D7640" s="787">
        <v>2.23</v>
      </c>
      <c r="E7640" s="787">
        <v>4.1399999999999997</v>
      </c>
      <c r="F7640" s="788">
        <v>39975</v>
      </c>
      <c r="G7640" s="788">
        <v>42013</v>
      </c>
      <c r="H7640" s="787">
        <v>1</v>
      </c>
      <c r="I7640" s="788">
        <v>41555</v>
      </c>
      <c r="J7640" s="788">
        <v>41619</v>
      </c>
      <c r="K7640" s="788">
        <v>41396</v>
      </c>
      <c r="L7640" s="787">
        <v>3.04</v>
      </c>
      <c r="M7640" s="787">
        <v>10</v>
      </c>
      <c r="N7640" s="787">
        <v>3.15</v>
      </c>
      <c r="O7640" s="788">
        <v>42146</v>
      </c>
    </row>
    <row r="7641" spans="1:15" x14ac:dyDescent="0.25">
      <c r="A7641" s="786" t="s">
        <v>13658</v>
      </c>
      <c r="B7641" s="787">
        <v>4</v>
      </c>
      <c r="C7641" s="787" t="s">
        <v>13659</v>
      </c>
      <c r="D7641" s="787">
        <v>2.23</v>
      </c>
      <c r="E7641" s="787">
        <v>4.43</v>
      </c>
      <c r="F7641" s="788">
        <v>39975</v>
      </c>
      <c r="G7641" s="788">
        <v>42013</v>
      </c>
      <c r="H7641" s="787">
        <v>1</v>
      </c>
      <c r="I7641" s="788">
        <v>41555</v>
      </c>
      <c r="J7641" s="788">
        <v>41619</v>
      </c>
      <c r="K7641" s="788">
        <v>41396</v>
      </c>
      <c r="L7641" s="787">
        <v>3.04</v>
      </c>
      <c r="M7641" s="787">
        <v>10</v>
      </c>
      <c r="N7641" s="787">
        <v>3.15</v>
      </c>
      <c r="O7641" s="788">
        <v>42146</v>
      </c>
    </row>
    <row r="7642" spans="1:15" x14ac:dyDescent="0.25">
      <c r="A7642" s="786" t="s">
        <v>13660</v>
      </c>
      <c r="B7642" s="787">
        <v>4</v>
      </c>
      <c r="C7642" s="787" t="s">
        <v>13661</v>
      </c>
      <c r="D7642" s="787">
        <v>0</v>
      </c>
      <c r="E7642" s="787">
        <v>0</v>
      </c>
      <c r="H7642" s="787">
        <v>1</v>
      </c>
      <c r="I7642" s="788">
        <v>41933</v>
      </c>
      <c r="L7642" s="787">
        <v>0</v>
      </c>
      <c r="M7642" s="787">
        <v>10</v>
      </c>
      <c r="N7642" s="787">
        <v>6.54</v>
      </c>
      <c r="O7642" s="788">
        <v>42156</v>
      </c>
    </row>
    <row r="7643" spans="1:15" x14ac:dyDescent="0.25">
      <c r="A7643" s="786" t="s">
        <v>13662</v>
      </c>
      <c r="B7643" s="787">
        <v>4</v>
      </c>
      <c r="C7643" s="787" t="s">
        <v>13663</v>
      </c>
      <c r="D7643" s="787">
        <v>0</v>
      </c>
      <c r="E7643" s="787">
        <v>0</v>
      </c>
      <c r="H7643" s="787">
        <v>1</v>
      </c>
      <c r="I7643" s="788">
        <v>41876</v>
      </c>
      <c r="L7643" s="787">
        <v>0</v>
      </c>
      <c r="M7643" s="787">
        <v>10</v>
      </c>
      <c r="N7643" s="787">
        <v>7.38</v>
      </c>
      <c r="O7643" s="788">
        <v>42156</v>
      </c>
    </row>
    <row r="7644" spans="1:15" x14ac:dyDescent="0.25">
      <c r="A7644" s="786" t="s">
        <v>13664</v>
      </c>
      <c r="B7644" s="787">
        <v>4</v>
      </c>
      <c r="C7644" s="787" t="s">
        <v>13665</v>
      </c>
      <c r="D7644" s="787">
        <v>0</v>
      </c>
      <c r="E7644" s="787">
        <v>0</v>
      </c>
      <c r="H7644" s="787">
        <v>1</v>
      </c>
      <c r="I7644" s="788">
        <v>41933</v>
      </c>
      <c r="L7644" s="787">
        <v>0</v>
      </c>
      <c r="M7644" s="787">
        <v>10</v>
      </c>
      <c r="N7644" s="787">
        <v>11.16</v>
      </c>
      <c r="O7644" s="788">
        <v>42156</v>
      </c>
    </row>
    <row r="7645" spans="1:15" x14ac:dyDescent="0.25">
      <c r="A7645" s="786" t="s">
        <v>13666</v>
      </c>
      <c r="B7645" s="787">
        <v>4</v>
      </c>
      <c r="C7645" s="787" t="s">
        <v>13667</v>
      </c>
      <c r="D7645" s="787">
        <v>0</v>
      </c>
      <c r="E7645" s="787">
        <v>0</v>
      </c>
      <c r="H7645" s="787">
        <v>1</v>
      </c>
      <c r="I7645" s="788">
        <v>41876</v>
      </c>
      <c r="L7645" s="787">
        <v>0</v>
      </c>
      <c r="M7645" s="787">
        <v>10</v>
      </c>
      <c r="N7645" s="787">
        <v>12</v>
      </c>
      <c r="O7645" s="788">
        <v>42156</v>
      </c>
    </row>
    <row r="7646" spans="1:15" x14ac:dyDescent="0.25">
      <c r="A7646" s="786" t="s">
        <v>13668</v>
      </c>
      <c r="B7646" s="787">
        <v>4</v>
      </c>
      <c r="C7646" s="787" t="s">
        <v>13669</v>
      </c>
      <c r="D7646" s="787">
        <v>7.73</v>
      </c>
      <c r="E7646" s="787">
        <v>9.6999999999999993</v>
      </c>
      <c r="F7646" s="788">
        <v>41857</v>
      </c>
      <c r="G7646" s="788">
        <v>42110</v>
      </c>
      <c r="H7646" s="787">
        <v>1</v>
      </c>
      <c r="I7646" s="788">
        <v>42164</v>
      </c>
      <c r="J7646" s="788">
        <v>42158</v>
      </c>
      <c r="K7646" s="788">
        <v>41031</v>
      </c>
      <c r="L7646" s="787">
        <v>8.25</v>
      </c>
      <c r="M7646" s="787">
        <v>20</v>
      </c>
      <c r="N7646" s="787">
        <v>8.8699999999999992</v>
      </c>
      <c r="O7646" s="788">
        <v>42156</v>
      </c>
    </row>
    <row r="7647" spans="1:15" x14ac:dyDescent="0.25">
      <c r="A7647" s="786" t="s">
        <v>13670</v>
      </c>
      <c r="B7647" s="787">
        <v>4</v>
      </c>
      <c r="C7647" s="787" t="s">
        <v>13671</v>
      </c>
      <c r="D7647" s="787">
        <v>5.05</v>
      </c>
      <c r="E7647" s="787">
        <v>6.58</v>
      </c>
      <c r="F7647" s="788">
        <v>39846</v>
      </c>
      <c r="G7647" s="788">
        <v>42110</v>
      </c>
      <c r="H7647" s="787">
        <v>1</v>
      </c>
      <c r="I7647" s="788">
        <v>42164</v>
      </c>
      <c r="J7647" s="788">
        <v>42158</v>
      </c>
      <c r="K7647" s="788">
        <v>41031</v>
      </c>
      <c r="L7647" s="787">
        <v>5.98</v>
      </c>
      <c r="M7647" s="787">
        <v>20</v>
      </c>
      <c r="N7647" s="787">
        <v>6.43</v>
      </c>
      <c r="O7647" s="788">
        <v>42156</v>
      </c>
    </row>
    <row r="7648" spans="1:15" x14ac:dyDescent="0.25">
      <c r="A7648" s="786" t="s">
        <v>13672</v>
      </c>
      <c r="B7648" s="787">
        <v>4</v>
      </c>
      <c r="C7648" s="787" t="s">
        <v>13673</v>
      </c>
      <c r="D7648" s="787">
        <v>1.52</v>
      </c>
      <c r="E7648" s="787">
        <v>11.52</v>
      </c>
      <c r="F7648" s="788">
        <v>41813</v>
      </c>
      <c r="G7648" s="788">
        <v>41813</v>
      </c>
      <c r="H7648" s="787">
        <v>1</v>
      </c>
      <c r="I7648" s="788">
        <v>42083</v>
      </c>
      <c r="J7648" s="788">
        <v>41502</v>
      </c>
      <c r="L7648" s="787">
        <v>0</v>
      </c>
      <c r="M7648" s="787">
        <v>10</v>
      </c>
      <c r="N7648" s="787">
        <v>22.71</v>
      </c>
      <c r="O7648" s="788">
        <v>42146</v>
      </c>
    </row>
    <row r="7649" spans="1:15" x14ac:dyDescent="0.25">
      <c r="A7649" s="786" t="s">
        <v>13674</v>
      </c>
      <c r="B7649" s="787">
        <v>4</v>
      </c>
      <c r="C7649" s="787" t="s">
        <v>13675</v>
      </c>
      <c r="D7649" s="787">
        <v>0</v>
      </c>
      <c r="E7649" s="787">
        <v>0</v>
      </c>
      <c r="H7649" s="787">
        <v>1</v>
      </c>
      <c r="I7649" s="788">
        <v>40098</v>
      </c>
      <c r="K7649" s="788">
        <v>42052</v>
      </c>
      <c r="L7649" s="787">
        <v>2.15</v>
      </c>
      <c r="M7649" s="787">
        <v>10</v>
      </c>
      <c r="N7649" s="787">
        <v>2.15</v>
      </c>
      <c r="O7649" s="788">
        <v>42146</v>
      </c>
    </row>
    <row r="7650" spans="1:15" x14ac:dyDescent="0.25">
      <c r="A7650" s="786" t="s">
        <v>13676</v>
      </c>
      <c r="B7650" s="787">
        <v>4</v>
      </c>
      <c r="C7650" s="787" t="s">
        <v>13677</v>
      </c>
      <c r="D7650" s="787">
        <v>0.4</v>
      </c>
      <c r="E7650" s="787">
        <v>13.5</v>
      </c>
      <c r="F7650" s="788">
        <v>39975</v>
      </c>
      <c r="G7650" s="788">
        <v>42158</v>
      </c>
      <c r="H7650" s="787">
        <v>1</v>
      </c>
      <c r="I7650" s="788">
        <v>42166</v>
      </c>
      <c r="J7650" s="788">
        <v>42158</v>
      </c>
      <c r="K7650" s="788">
        <v>41817</v>
      </c>
      <c r="L7650" s="787">
        <v>13.78</v>
      </c>
      <c r="M7650" s="787">
        <v>20</v>
      </c>
      <c r="N7650" s="787">
        <v>14.81</v>
      </c>
      <c r="O7650" s="788">
        <v>42146</v>
      </c>
    </row>
    <row r="7651" spans="1:15" x14ac:dyDescent="0.25">
      <c r="A7651" s="786" t="s">
        <v>13678</v>
      </c>
      <c r="B7651" s="787">
        <v>4</v>
      </c>
      <c r="C7651" s="787" t="s">
        <v>13679</v>
      </c>
      <c r="D7651" s="787">
        <v>0</v>
      </c>
      <c r="E7651" s="787">
        <v>0</v>
      </c>
      <c r="G7651" s="788">
        <v>42013</v>
      </c>
      <c r="H7651" s="787">
        <v>1</v>
      </c>
      <c r="I7651" s="788">
        <v>42164</v>
      </c>
      <c r="J7651" s="788">
        <v>40267</v>
      </c>
      <c r="K7651" s="788">
        <v>41646</v>
      </c>
      <c r="L7651" s="787">
        <v>3</v>
      </c>
      <c r="M7651" s="787">
        <v>10</v>
      </c>
      <c r="N7651" s="787">
        <v>2.08</v>
      </c>
      <c r="O7651" s="788">
        <v>42146</v>
      </c>
    </row>
    <row r="7652" spans="1:15" x14ac:dyDescent="0.25">
      <c r="A7652" s="786" t="s">
        <v>13680</v>
      </c>
      <c r="B7652" s="787">
        <v>4</v>
      </c>
      <c r="C7652" s="787" t="s">
        <v>13681</v>
      </c>
      <c r="D7652" s="787">
        <v>0.27</v>
      </c>
      <c r="E7652" s="787">
        <v>0.27</v>
      </c>
      <c r="F7652" s="788">
        <v>39975</v>
      </c>
      <c r="G7652" s="788">
        <v>39861</v>
      </c>
      <c r="H7652" s="787">
        <v>1</v>
      </c>
      <c r="I7652" s="788">
        <v>41060</v>
      </c>
      <c r="J7652" s="788">
        <v>40029</v>
      </c>
      <c r="L7652" s="787">
        <v>0</v>
      </c>
      <c r="M7652" s="787">
        <v>10</v>
      </c>
      <c r="N7652" s="787">
        <v>1.36</v>
      </c>
      <c r="O7652" s="788">
        <v>42146</v>
      </c>
    </row>
    <row r="7653" spans="1:15" x14ac:dyDescent="0.25">
      <c r="A7653" s="786" t="s">
        <v>13682</v>
      </c>
      <c r="B7653" s="787">
        <v>4</v>
      </c>
      <c r="C7653" s="787" t="s">
        <v>13683</v>
      </c>
      <c r="D7653" s="787">
        <v>0.23</v>
      </c>
      <c r="E7653" s="787">
        <v>0.23</v>
      </c>
      <c r="F7653" s="788">
        <v>39975</v>
      </c>
      <c r="G7653" s="788">
        <v>41943</v>
      </c>
      <c r="H7653" s="787">
        <v>1</v>
      </c>
      <c r="J7653" s="788">
        <v>39861</v>
      </c>
      <c r="L7653" s="787">
        <v>0</v>
      </c>
      <c r="M7653" s="787">
        <v>10</v>
      </c>
      <c r="N7653" s="787">
        <v>1.5</v>
      </c>
      <c r="O7653" s="788">
        <v>42146</v>
      </c>
    </row>
    <row r="7654" spans="1:15" x14ac:dyDescent="0.25">
      <c r="A7654" s="786" t="s">
        <v>13684</v>
      </c>
      <c r="B7654" s="787">
        <v>4</v>
      </c>
      <c r="C7654" s="787" t="s">
        <v>13685</v>
      </c>
      <c r="D7654" s="787">
        <v>8.83</v>
      </c>
      <c r="E7654" s="787">
        <v>71.72</v>
      </c>
      <c r="F7654" s="788">
        <v>41135</v>
      </c>
      <c r="G7654" s="788">
        <v>42165</v>
      </c>
      <c r="H7654" s="787">
        <v>1</v>
      </c>
      <c r="I7654" s="788">
        <v>42165</v>
      </c>
      <c r="J7654" s="788">
        <v>42136</v>
      </c>
      <c r="K7654" s="788">
        <v>41129</v>
      </c>
      <c r="L7654" s="787">
        <v>51.73</v>
      </c>
      <c r="M7654" s="787">
        <v>10</v>
      </c>
      <c r="N7654" s="787">
        <v>58.69</v>
      </c>
      <c r="O7654" s="788">
        <v>42146</v>
      </c>
    </row>
    <row r="7655" spans="1:15" x14ac:dyDescent="0.25">
      <c r="A7655" s="786" t="s">
        <v>13686</v>
      </c>
      <c r="B7655" s="787">
        <v>4</v>
      </c>
      <c r="C7655" s="787" t="s">
        <v>13687</v>
      </c>
      <c r="D7655" s="787">
        <v>2.65</v>
      </c>
      <c r="E7655" s="787">
        <v>14.46</v>
      </c>
      <c r="F7655" s="788">
        <v>39975</v>
      </c>
      <c r="G7655" s="788">
        <v>42082</v>
      </c>
      <c r="H7655" s="787">
        <v>1</v>
      </c>
      <c r="I7655" s="788">
        <v>42156</v>
      </c>
      <c r="J7655" s="788">
        <v>42048</v>
      </c>
      <c r="K7655" s="788">
        <v>41281</v>
      </c>
      <c r="L7655" s="787">
        <v>4.51</v>
      </c>
      <c r="M7655" s="787">
        <v>10</v>
      </c>
      <c r="N7655" s="787">
        <v>4.51</v>
      </c>
      <c r="O7655" s="788">
        <v>42146</v>
      </c>
    </row>
    <row r="7656" spans="1:15" x14ac:dyDescent="0.25">
      <c r="A7656" s="786" t="s">
        <v>13688</v>
      </c>
      <c r="B7656" s="787">
        <v>4</v>
      </c>
      <c r="C7656" s="787" t="s">
        <v>13689</v>
      </c>
      <c r="D7656" s="787">
        <v>1.55</v>
      </c>
      <c r="E7656" s="787">
        <v>7.13</v>
      </c>
      <c r="F7656" s="788">
        <v>41548</v>
      </c>
      <c r="G7656" s="788">
        <v>42082</v>
      </c>
      <c r="H7656" s="787">
        <v>1</v>
      </c>
      <c r="I7656" s="788">
        <v>42135</v>
      </c>
      <c r="J7656" s="788">
        <v>42081</v>
      </c>
      <c r="K7656" s="788">
        <v>41281</v>
      </c>
      <c r="L7656" s="787">
        <v>3.86</v>
      </c>
      <c r="M7656" s="787">
        <v>10</v>
      </c>
      <c r="N7656" s="787">
        <v>4.3600000000000003</v>
      </c>
      <c r="O7656" s="788">
        <v>42146</v>
      </c>
    </row>
    <row r="7657" spans="1:15" x14ac:dyDescent="0.25">
      <c r="A7657" s="786" t="s">
        <v>13690</v>
      </c>
      <c r="B7657" s="787">
        <v>4</v>
      </c>
      <c r="C7657" s="787" t="s">
        <v>13691</v>
      </c>
      <c r="D7657" s="787">
        <v>0</v>
      </c>
      <c r="E7657" s="787">
        <v>0</v>
      </c>
      <c r="H7657" s="787">
        <v>1</v>
      </c>
      <c r="I7657" s="788">
        <v>41933</v>
      </c>
      <c r="K7657" s="788">
        <v>41962</v>
      </c>
      <c r="L7657" s="787">
        <v>12</v>
      </c>
      <c r="M7657" s="787">
        <v>10</v>
      </c>
      <c r="N7657" s="787">
        <v>12</v>
      </c>
      <c r="O7657" s="788">
        <v>42156</v>
      </c>
    </row>
    <row r="7658" spans="1:15" x14ac:dyDescent="0.25">
      <c r="A7658" s="786" t="s">
        <v>13692</v>
      </c>
      <c r="B7658" s="787">
        <v>4</v>
      </c>
      <c r="C7658" s="787" t="s">
        <v>13693</v>
      </c>
      <c r="D7658" s="787">
        <v>0</v>
      </c>
      <c r="E7658" s="787">
        <v>0</v>
      </c>
      <c r="H7658" s="787">
        <v>1</v>
      </c>
      <c r="I7658" s="788">
        <v>41933</v>
      </c>
      <c r="L7658" s="787">
        <v>0</v>
      </c>
      <c r="M7658" s="787">
        <v>10</v>
      </c>
      <c r="N7658" s="787">
        <v>12</v>
      </c>
      <c r="O7658" s="788">
        <v>42156</v>
      </c>
    </row>
    <row r="7659" spans="1:15" x14ac:dyDescent="0.25">
      <c r="A7659" s="786" t="s">
        <v>13694</v>
      </c>
      <c r="B7659" s="787">
        <v>4</v>
      </c>
      <c r="C7659" s="787" t="s">
        <v>13695</v>
      </c>
      <c r="D7659" s="787">
        <v>0</v>
      </c>
      <c r="E7659" s="787">
        <v>0</v>
      </c>
      <c r="G7659" s="788">
        <v>42165</v>
      </c>
      <c r="H7659" s="787">
        <v>1</v>
      </c>
      <c r="I7659" s="788">
        <v>42165</v>
      </c>
      <c r="J7659" s="788">
        <v>42165</v>
      </c>
      <c r="K7659" s="788">
        <v>42038</v>
      </c>
      <c r="L7659" s="787">
        <v>11.44</v>
      </c>
      <c r="M7659" s="787">
        <v>10</v>
      </c>
      <c r="N7659" s="787">
        <v>11.44</v>
      </c>
      <c r="O7659" s="788">
        <v>42146</v>
      </c>
    </row>
    <row r="7660" spans="1:15" x14ac:dyDescent="0.25">
      <c r="A7660" s="786" t="s">
        <v>13696</v>
      </c>
      <c r="B7660" s="787">
        <v>4</v>
      </c>
      <c r="C7660" s="787" t="s">
        <v>13697</v>
      </c>
      <c r="D7660" s="787">
        <v>0</v>
      </c>
      <c r="E7660" s="787">
        <v>0</v>
      </c>
      <c r="H7660" s="787">
        <v>1</v>
      </c>
      <c r="I7660" s="788">
        <v>40458</v>
      </c>
      <c r="K7660" s="788">
        <v>42038</v>
      </c>
      <c r="L7660" s="787">
        <v>11.44</v>
      </c>
      <c r="M7660" s="787">
        <v>10</v>
      </c>
      <c r="N7660" s="787">
        <v>11.44</v>
      </c>
      <c r="O7660" s="788">
        <v>42146</v>
      </c>
    </row>
    <row r="7661" spans="1:15" x14ac:dyDescent="0.25">
      <c r="A7661" s="786" t="s">
        <v>13698</v>
      </c>
      <c r="B7661" s="787">
        <v>4</v>
      </c>
      <c r="C7661" s="787" t="s">
        <v>13699</v>
      </c>
      <c r="D7661" s="787">
        <v>0.24</v>
      </c>
      <c r="E7661" s="787">
        <v>0.82</v>
      </c>
      <c r="F7661" s="788">
        <v>41335</v>
      </c>
      <c r="G7661" s="788">
        <v>42164</v>
      </c>
      <c r="H7661" s="787">
        <v>1</v>
      </c>
      <c r="I7661" s="788">
        <v>42165</v>
      </c>
      <c r="J7661" s="788">
        <v>42164</v>
      </c>
      <c r="K7661" s="788">
        <v>41281</v>
      </c>
      <c r="L7661" s="787">
        <v>0.71</v>
      </c>
      <c r="M7661" s="787">
        <v>10</v>
      </c>
      <c r="N7661" s="787">
        <v>1.1100000000000001</v>
      </c>
      <c r="O7661" s="788">
        <v>42146</v>
      </c>
    </row>
    <row r="7662" spans="1:15" x14ac:dyDescent="0.25">
      <c r="A7662" s="786" t="s">
        <v>13700</v>
      </c>
      <c r="B7662" s="787">
        <v>4</v>
      </c>
      <c r="C7662" s="787" t="s">
        <v>13701</v>
      </c>
      <c r="D7662" s="787">
        <v>2.6</v>
      </c>
      <c r="E7662" s="787">
        <v>2.6</v>
      </c>
      <c r="F7662" s="788">
        <v>39975</v>
      </c>
      <c r="G7662" s="788">
        <v>42166</v>
      </c>
      <c r="H7662" s="787">
        <v>1</v>
      </c>
      <c r="I7662" s="788">
        <v>42165</v>
      </c>
      <c r="J7662" s="788">
        <v>42166</v>
      </c>
      <c r="K7662" s="788">
        <v>42160</v>
      </c>
      <c r="L7662" s="787">
        <v>4.33</v>
      </c>
      <c r="M7662" s="787">
        <v>10</v>
      </c>
      <c r="N7662" s="787">
        <v>4.33</v>
      </c>
      <c r="O7662" s="788">
        <v>42146</v>
      </c>
    </row>
    <row r="7663" spans="1:15" x14ac:dyDescent="0.25">
      <c r="A7663" s="786" t="s">
        <v>13702</v>
      </c>
      <c r="B7663" s="787">
        <v>4</v>
      </c>
      <c r="C7663" s="787" t="s">
        <v>13703</v>
      </c>
      <c r="D7663" s="787">
        <v>2.6</v>
      </c>
      <c r="E7663" s="787">
        <v>2.6</v>
      </c>
      <c r="F7663" s="788">
        <v>39975</v>
      </c>
      <c r="G7663" s="788">
        <v>39891</v>
      </c>
      <c r="H7663" s="787">
        <v>1</v>
      </c>
      <c r="J7663" s="788">
        <v>39944</v>
      </c>
      <c r="L7663" s="787">
        <v>0</v>
      </c>
      <c r="M7663" s="787">
        <v>10</v>
      </c>
      <c r="N7663" s="787">
        <v>4.33</v>
      </c>
      <c r="O7663" s="788">
        <v>42146</v>
      </c>
    </row>
    <row r="7664" spans="1:15" x14ac:dyDescent="0.25">
      <c r="A7664" s="786" t="s">
        <v>13704</v>
      </c>
      <c r="B7664" s="787">
        <v>4</v>
      </c>
      <c r="C7664" s="787" t="s">
        <v>13705</v>
      </c>
      <c r="D7664" s="787">
        <v>0.91</v>
      </c>
      <c r="E7664" s="787">
        <v>8.49</v>
      </c>
      <c r="F7664" s="788">
        <v>41813</v>
      </c>
      <c r="G7664" s="788">
        <v>42013</v>
      </c>
      <c r="H7664" s="787">
        <v>1</v>
      </c>
      <c r="I7664" s="788">
        <v>42039</v>
      </c>
      <c r="J7664" s="788">
        <v>41950</v>
      </c>
      <c r="K7664" s="788">
        <v>41719</v>
      </c>
      <c r="L7664" s="787">
        <v>2.5</v>
      </c>
      <c r="M7664" s="787">
        <v>10</v>
      </c>
      <c r="N7664" s="787">
        <v>9.98</v>
      </c>
      <c r="O7664" s="788">
        <v>42146</v>
      </c>
    </row>
    <row r="7665" spans="1:15" x14ac:dyDescent="0.25">
      <c r="A7665" s="786" t="s">
        <v>13706</v>
      </c>
      <c r="B7665" s="787">
        <v>4</v>
      </c>
      <c r="C7665" s="787" t="s">
        <v>11581</v>
      </c>
      <c r="D7665" s="787">
        <v>0</v>
      </c>
      <c r="E7665" s="787">
        <v>0</v>
      </c>
      <c r="H7665" s="787">
        <v>1</v>
      </c>
      <c r="I7665" s="788">
        <v>42160</v>
      </c>
      <c r="J7665" s="788">
        <v>41621</v>
      </c>
      <c r="K7665" s="788">
        <v>41624</v>
      </c>
      <c r="L7665" s="787">
        <v>11</v>
      </c>
      <c r="M7665" s="787">
        <v>10</v>
      </c>
      <c r="N7665" s="787">
        <v>10.87</v>
      </c>
      <c r="O7665" s="788">
        <v>42146</v>
      </c>
    </row>
    <row r="7666" spans="1:15" x14ac:dyDescent="0.25">
      <c r="A7666" s="786" t="s">
        <v>13707</v>
      </c>
      <c r="B7666" s="787">
        <v>4</v>
      </c>
      <c r="C7666" s="787" t="s">
        <v>13708</v>
      </c>
      <c r="D7666" s="787">
        <v>7.2</v>
      </c>
      <c r="E7666" s="787">
        <v>25.22</v>
      </c>
      <c r="F7666" s="788">
        <v>40644</v>
      </c>
      <c r="G7666" s="788">
        <v>42163</v>
      </c>
      <c r="H7666" s="787">
        <v>1</v>
      </c>
      <c r="I7666" s="788">
        <v>42165</v>
      </c>
      <c r="J7666" s="788">
        <v>42157</v>
      </c>
      <c r="K7666" s="788">
        <v>41856</v>
      </c>
      <c r="L7666" s="787">
        <v>25</v>
      </c>
      <c r="M7666" s="787">
        <v>10</v>
      </c>
      <c r="N7666" s="787">
        <v>21.65</v>
      </c>
      <c r="O7666" s="788">
        <v>42146</v>
      </c>
    </row>
    <row r="7667" spans="1:15" x14ac:dyDescent="0.25">
      <c r="A7667" s="786" t="s">
        <v>13709</v>
      </c>
      <c r="B7667" s="787">
        <v>4</v>
      </c>
      <c r="C7667" s="787" t="s">
        <v>13710</v>
      </c>
      <c r="D7667" s="787">
        <v>0</v>
      </c>
      <c r="E7667" s="787">
        <v>0</v>
      </c>
      <c r="H7667" s="787">
        <v>1</v>
      </c>
      <c r="L7667" s="787">
        <v>0</v>
      </c>
      <c r="M7667" s="787">
        <v>10</v>
      </c>
      <c r="N7667" s="787">
        <v>10.67</v>
      </c>
      <c r="O7667" s="788">
        <v>42146</v>
      </c>
    </row>
    <row r="7668" spans="1:15" x14ac:dyDescent="0.25">
      <c r="A7668" s="786" t="s">
        <v>13711</v>
      </c>
      <c r="B7668" s="787">
        <v>4</v>
      </c>
      <c r="C7668" s="787" t="s">
        <v>13710</v>
      </c>
      <c r="D7668" s="787">
        <v>0</v>
      </c>
      <c r="E7668" s="787">
        <v>0</v>
      </c>
      <c r="H7668" s="787">
        <v>1</v>
      </c>
      <c r="L7668" s="787">
        <v>0</v>
      </c>
      <c r="M7668" s="787">
        <v>10</v>
      </c>
      <c r="N7668" s="787">
        <v>10.67</v>
      </c>
      <c r="O7668" s="788">
        <v>42146</v>
      </c>
    </row>
    <row r="7669" spans="1:15" x14ac:dyDescent="0.25">
      <c r="A7669" s="786" t="s">
        <v>13712</v>
      </c>
      <c r="B7669" s="787">
        <v>4</v>
      </c>
      <c r="C7669" s="787" t="s">
        <v>13710</v>
      </c>
      <c r="D7669" s="787">
        <v>0</v>
      </c>
      <c r="E7669" s="787">
        <v>0</v>
      </c>
      <c r="H7669" s="787">
        <v>1</v>
      </c>
      <c r="L7669" s="787">
        <v>0</v>
      </c>
      <c r="M7669" s="787">
        <v>10</v>
      </c>
      <c r="N7669" s="787">
        <v>5.74</v>
      </c>
      <c r="O7669" s="788">
        <v>42146</v>
      </c>
    </row>
    <row r="7670" spans="1:15" x14ac:dyDescent="0.25">
      <c r="A7670" s="786" t="s">
        <v>13713</v>
      </c>
      <c r="B7670" s="787">
        <v>4</v>
      </c>
      <c r="C7670" s="787" t="s">
        <v>13714</v>
      </c>
      <c r="D7670" s="787">
        <v>0</v>
      </c>
      <c r="E7670" s="787">
        <v>0</v>
      </c>
      <c r="H7670" s="787">
        <v>1</v>
      </c>
      <c r="L7670" s="787">
        <v>0</v>
      </c>
      <c r="M7670" s="787">
        <v>10</v>
      </c>
      <c r="N7670" s="787">
        <v>13.26</v>
      </c>
      <c r="O7670" s="788">
        <v>42146</v>
      </c>
    </row>
    <row r="7671" spans="1:15" x14ac:dyDescent="0.25">
      <c r="A7671" s="786" t="s">
        <v>13715</v>
      </c>
      <c r="B7671" s="787">
        <v>4</v>
      </c>
      <c r="C7671" s="787" t="s">
        <v>13714</v>
      </c>
      <c r="D7671" s="787">
        <v>0</v>
      </c>
      <c r="E7671" s="787">
        <v>0</v>
      </c>
      <c r="H7671" s="787">
        <v>1</v>
      </c>
      <c r="L7671" s="787">
        <v>0</v>
      </c>
      <c r="M7671" s="787">
        <v>10</v>
      </c>
      <c r="N7671" s="787">
        <v>13.26</v>
      </c>
      <c r="O7671" s="788">
        <v>42146</v>
      </c>
    </row>
    <row r="7672" spans="1:15" x14ac:dyDescent="0.25">
      <c r="A7672" s="786" t="s">
        <v>13716</v>
      </c>
      <c r="B7672" s="787">
        <v>4</v>
      </c>
      <c r="C7672" s="787" t="s">
        <v>13714</v>
      </c>
      <c r="D7672" s="787">
        <v>0</v>
      </c>
      <c r="E7672" s="787">
        <v>0</v>
      </c>
      <c r="H7672" s="787">
        <v>1</v>
      </c>
      <c r="L7672" s="787">
        <v>0</v>
      </c>
      <c r="M7672" s="787">
        <v>10</v>
      </c>
      <c r="N7672" s="787">
        <v>6.6</v>
      </c>
      <c r="O7672" s="788">
        <v>42146</v>
      </c>
    </row>
    <row r="7673" spans="1:15" x14ac:dyDescent="0.25">
      <c r="A7673" s="786" t="s">
        <v>13717</v>
      </c>
      <c r="B7673" s="787">
        <v>4</v>
      </c>
      <c r="C7673" s="787" t="s">
        <v>13714</v>
      </c>
      <c r="D7673" s="787">
        <v>0</v>
      </c>
      <c r="E7673" s="787">
        <v>0</v>
      </c>
      <c r="H7673" s="787">
        <v>1</v>
      </c>
      <c r="I7673" s="788">
        <v>42076</v>
      </c>
      <c r="J7673" s="788">
        <v>41621</v>
      </c>
      <c r="K7673" s="788">
        <v>41624</v>
      </c>
      <c r="L7673" s="787">
        <v>15</v>
      </c>
      <c r="M7673" s="787">
        <v>10</v>
      </c>
      <c r="N7673" s="787">
        <v>14.26</v>
      </c>
      <c r="O7673" s="788">
        <v>42146</v>
      </c>
    </row>
    <row r="7674" spans="1:15" x14ac:dyDescent="0.25">
      <c r="A7674" s="786" t="s">
        <v>13718</v>
      </c>
      <c r="B7674" s="787">
        <v>4</v>
      </c>
      <c r="C7674" s="787" t="s">
        <v>13719</v>
      </c>
      <c r="D7674" s="787">
        <v>1.94</v>
      </c>
      <c r="E7674" s="787">
        <v>3.19</v>
      </c>
      <c r="F7674" s="788">
        <v>40644</v>
      </c>
      <c r="G7674" s="788">
        <v>42159</v>
      </c>
      <c r="H7674" s="787">
        <v>1</v>
      </c>
      <c r="I7674" s="788">
        <v>42157</v>
      </c>
      <c r="J7674" s="788">
        <v>42159</v>
      </c>
      <c r="K7674" s="788">
        <v>41340</v>
      </c>
      <c r="L7674" s="787">
        <v>11.23</v>
      </c>
      <c r="M7674" s="787">
        <v>10</v>
      </c>
      <c r="N7674" s="787">
        <v>6.83</v>
      </c>
      <c r="O7674" s="788">
        <v>42146</v>
      </c>
    </row>
    <row r="7675" spans="1:15" x14ac:dyDescent="0.25">
      <c r="A7675" s="786" t="s">
        <v>13720</v>
      </c>
      <c r="B7675" s="787">
        <v>4</v>
      </c>
      <c r="C7675" s="787" t="s">
        <v>13721</v>
      </c>
      <c r="D7675" s="787">
        <v>0.34</v>
      </c>
      <c r="E7675" s="787">
        <v>2.35</v>
      </c>
      <c r="F7675" s="788">
        <v>41613</v>
      </c>
      <c r="G7675" s="788">
        <v>42142</v>
      </c>
      <c r="H7675" s="787">
        <v>1</v>
      </c>
      <c r="I7675" s="788">
        <v>42157</v>
      </c>
      <c r="J7675" s="788">
        <v>42142</v>
      </c>
      <c r="K7675" s="788">
        <v>42143</v>
      </c>
      <c r="L7675" s="787">
        <v>2.5</v>
      </c>
      <c r="M7675" s="787">
        <v>10</v>
      </c>
      <c r="N7675" s="787">
        <v>0.69</v>
      </c>
      <c r="O7675" s="788">
        <v>42146</v>
      </c>
    </row>
    <row r="7676" spans="1:15" x14ac:dyDescent="0.25">
      <c r="A7676" s="786" t="s">
        <v>13722</v>
      </c>
      <c r="B7676" s="787">
        <v>4</v>
      </c>
      <c r="C7676" s="787" t="s">
        <v>13723</v>
      </c>
      <c r="D7676" s="787">
        <v>0</v>
      </c>
      <c r="E7676" s="787">
        <v>0</v>
      </c>
      <c r="H7676" s="787">
        <v>1</v>
      </c>
      <c r="I7676" s="788">
        <v>40458</v>
      </c>
      <c r="K7676" s="788">
        <v>42038</v>
      </c>
      <c r="L7676" s="787">
        <v>19.03</v>
      </c>
      <c r="M7676" s="787">
        <v>10</v>
      </c>
      <c r="N7676" s="787">
        <v>19.07</v>
      </c>
      <c r="O7676" s="788">
        <v>42146</v>
      </c>
    </row>
    <row r="7677" spans="1:15" x14ac:dyDescent="0.25">
      <c r="A7677" s="786" t="s">
        <v>13724</v>
      </c>
      <c r="B7677" s="787">
        <v>4</v>
      </c>
      <c r="C7677" s="787" t="s">
        <v>13725</v>
      </c>
      <c r="D7677" s="787">
        <v>2.2400000000000002</v>
      </c>
      <c r="E7677" s="787">
        <v>2.2400000000000002</v>
      </c>
      <c r="F7677" s="788">
        <v>39975</v>
      </c>
      <c r="G7677" s="788">
        <v>39891</v>
      </c>
      <c r="H7677" s="787">
        <v>1</v>
      </c>
      <c r="I7677" s="788">
        <v>40654</v>
      </c>
      <c r="J7677" s="788">
        <v>40458</v>
      </c>
      <c r="L7677" s="787">
        <v>0</v>
      </c>
      <c r="M7677" s="787">
        <v>10</v>
      </c>
      <c r="N7677" s="787">
        <v>5.31</v>
      </c>
      <c r="O7677" s="788">
        <v>42146</v>
      </c>
    </row>
    <row r="7678" spans="1:15" x14ac:dyDescent="0.25">
      <c r="A7678" s="786" t="s">
        <v>13726</v>
      </c>
      <c r="B7678" s="787">
        <v>4</v>
      </c>
      <c r="C7678" s="787" t="s">
        <v>13727</v>
      </c>
      <c r="D7678" s="787">
        <v>3.65</v>
      </c>
      <c r="E7678" s="787">
        <v>3.65</v>
      </c>
      <c r="F7678" s="788">
        <v>39974</v>
      </c>
      <c r="G7678" s="788">
        <v>39870</v>
      </c>
      <c r="H7678" s="787">
        <v>1</v>
      </c>
      <c r="J7678" s="788">
        <v>39870</v>
      </c>
      <c r="L7678" s="787">
        <v>0</v>
      </c>
      <c r="M7678" s="787">
        <v>10</v>
      </c>
      <c r="N7678" s="787">
        <v>4.3099999999999996</v>
      </c>
      <c r="O7678" s="788">
        <v>42146</v>
      </c>
    </row>
    <row r="7679" spans="1:15" x14ac:dyDescent="0.25">
      <c r="A7679" s="786" t="s">
        <v>13728</v>
      </c>
      <c r="B7679" s="787">
        <v>4</v>
      </c>
      <c r="C7679" s="787" t="s">
        <v>13729</v>
      </c>
      <c r="D7679" s="787">
        <v>0.65</v>
      </c>
      <c r="E7679" s="787">
        <v>0.65</v>
      </c>
      <c r="F7679" s="788">
        <v>39974</v>
      </c>
      <c r="G7679" s="788">
        <v>39870</v>
      </c>
      <c r="H7679" s="787">
        <v>1</v>
      </c>
      <c r="I7679" s="788">
        <v>40351</v>
      </c>
      <c r="J7679" s="788">
        <v>39870</v>
      </c>
      <c r="L7679" s="787">
        <v>0</v>
      </c>
      <c r="M7679" s="787">
        <v>10</v>
      </c>
      <c r="N7679" s="787">
        <v>2.41</v>
      </c>
      <c r="O7679" s="788">
        <v>42146</v>
      </c>
    </row>
    <row r="7680" spans="1:15" x14ac:dyDescent="0.25">
      <c r="A7680" s="786" t="s">
        <v>13730</v>
      </c>
      <c r="B7680" s="787">
        <v>4</v>
      </c>
      <c r="C7680" s="787" t="s">
        <v>13731</v>
      </c>
      <c r="D7680" s="787">
        <v>5.94</v>
      </c>
      <c r="E7680" s="787">
        <v>16.25</v>
      </c>
      <c r="F7680" s="788">
        <v>41775</v>
      </c>
      <c r="G7680" s="788">
        <v>42163</v>
      </c>
      <c r="H7680" s="787">
        <v>1</v>
      </c>
      <c r="I7680" s="788">
        <v>42165</v>
      </c>
      <c r="J7680" s="788">
        <v>42156</v>
      </c>
      <c r="K7680" s="788">
        <v>41129</v>
      </c>
      <c r="L7680" s="787">
        <v>15.57</v>
      </c>
      <c r="M7680" s="787">
        <v>10</v>
      </c>
      <c r="N7680" s="787">
        <v>15.13</v>
      </c>
      <c r="O7680" s="788">
        <v>42146</v>
      </c>
    </row>
    <row r="7681" spans="1:15" x14ac:dyDescent="0.25">
      <c r="A7681" s="786" t="s">
        <v>13732</v>
      </c>
      <c r="B7681" s="787">
        <v>4</v>
      </c>
      <c r="C7681" s="787" t="s">
        <v>13733</v>
      </c>
      <c r="D7681" s="787">
        <v>4.43</v>
      </c>
      <c r="E7681" s="787">
        <v>14.43</v>
      </c>
      <c r="F7681" s="788">
        <v>40659</v>
      </c>
      <c r="G7681" s="788">
        <v>41255</v>
      </c>
      <c r="H7681" s="787">
        <v>1</v>
      </c>
      <c r="I7681" s="788">
        <v>40654</v>
      </c>
      <c r="J7681" s="788">
        <v>40654</v>
      </c>
      <c r="K7681" s="788">
        <v>42038</v>
      </c>
      <c r="L7681" s="787">
        <v>13.99</v>
      </c>
      <c r="M7681" s="787">
        <v>10</v>
      </c>
      <c r="N7681" s="787">
        <v>13.99</v>
      </c>
      <c r="O7681" s="788">
        <v>42146</v>
      </c>
    </row>
    <row r="7682" spans="1:15" x14ac:dyDescent="0.25">
      <c r="A7682" s="786" t="s">
        <v>13734</v>
      </c>
      <c r="B7682" s="787">
        <v>4</v>
      </c>
      <c r="C7682" s="787" t="s">
        <v>13735</v>
      </c>
      <c r="D7682" s="787">
        <v>0.14000000000000001</v>
      </c>
      <c r="E7682" s="787">
        <v>0.92</v>
      </c>
      <c r="F7682" s="788">
        <v>41369</v>
      </c>
      <c r="G7682" s="788">
        <v>42158</v>
      </c>
      <c r="H7682" s="787">
        <v>1</v>
      </c>
      <c r="I7682" s="788">
        <v>42157</v>
      </c>
      <c r="J7682" s="788">
        <v>42158</v>
      </c>
      <c r="K7682" s="788">
        <v>41348</v>
      </c>
      <c r="L7682" s="787">
        <v>1.94</v>
      </c>
      <c r="M7682" s="787">
        <v>10</v>
      </c>
      <c r="N7682" s="787">
        <v>3.21</v>
      </c>
      <c r="O7682" s="788">
        <v>42146</v>
      </c>
    </row>
    <row r="7683" spans="1:15" x14ac:dyDescent="0.25">
      <c r="A7683" s="786" t="s">
        <v>13736</v>
      </c>
      <c r="B7683" s="787">
        <v>4</v>
      </c>
      <c r="C7683" s="787" t="s">
        <v>13737</v>
      </c>
      <c r="D7683" s="787">
        <v>0.14000000000000001</v>
      </c>
      <c r="E7683" s="787">
        <v>1.73</v>
      </c>
      <c r="F7683" s="788">
        <v>41810</v>
      </c>
      <c r="G7683" s="788">
        <v>42159</v>
      </c>
      <c r="H7683" s="787">
        <v>1</v>
      </c>
      <c r="I7683" s="788">
        <v>42157</v>
      </c>
      <c r="J7683" s="788">
        <v>42159</v>
      </c>
      <c r="K7683" s="788">
        <v>41211</v>
      </c>
      <c r="L7683" s="787">
        <v>1.27</v>
      </c>
      <c r="M7683" s="787">
        <v>10</v>
      </c>
      <c r="N7683" s="787">
        <v>3.19</v>
      </c>
      <c r="O7683" s="788">
        <v>42146</v>
      </c>
    </row>
    <row r="7684" spans="1:15" x14ac:dyDescent="0.25">
      <c r="A7684" s="786" t="s">
        <v>13738</v>
      </c>
      <c r="B7684" s="787">
        <v>4</v>
      </c>
      <c r="C7684" s="787" t="s">
        <v>13739</v>
      </c>
      <c r="D7684" s="787">
        <v>2.04</v>
      </c>
      <c r="E7684" s="787">
        <v>4.72</v>
      </c>
      <c r="F7684" s="788">
        <v>41278</v>
      </c>
      <c r="G7684" s="788">
        <v>42165</v>
      </c>
      <c r="H7684" s="787">
        <v>1</v>
      </c>
      <c r="I7684" s="788">
        <v>42165</v>
      </c>
      <c r="J7684" s="788">
        <v>42157</v>
      </c>
      <c r="K7684" s="788">
        <v>41932</v>
      </c>
      <c r="L7684" s="787">
        <v>4.2300000000000004</v>
      </c>
      <c r="M7684" s="787">
        <v>10</v>
      </c>
      <c r="N7684" s="787">
        <v>4.63</v>
      </c>
      <c r="O7684" s="788">
        <v>42146</v>
      </c>
    </row>
    <row r="7685" spans="1:15" x14ac:dyDescent="0.25">
      <c r="A7685" s="786" t="s">
        <v>13740</v>
      </c>
      <c r="B7685" s="787">
        <v>4</v>
      </c>
      <c r="C7685" s="787" t="s">
        <v>13741</v>
      </c>
      <c r="D7685" s="787">
        <v>2.27</v>
      </c>
      <c r="E7685" s="787">
        <v>5.26</v>
      </c>
      <c r="F7685" s="788">
        <v>41278</v>
      </c>
      <c r="G7685" s="788">
        <v>42165</v>
      </c>
      <c r="H7685" s="787">
        <v>1</v>
      </c>
      <c r="I7685" s="788">
        <v>42165</v>
      </c>
      <c r="J7685" s="788">
        <v>42157</v>
      </c>
      <c r="K7685" s="788">
        <v>41883</v>
      </c>
      <c r="L7685" s="787">
        <v>4.22</v>
      </c>
      <c r="M7685" s="787">
        <v>10</v>
      </c>
      <c r="N7685" s="787">
        <v>4.66</v>
      </c>
      <c r="O7685" s="788">
        <v>42146</v>
      </c>
    </row>
    <row r="7686" spans="1:15" x14ac:dyDescent="0.25">
      <c r="A7686" s="786" t="s">
        <v>13742</v>
      </c>
      <c r="B7686" s="787">
        <v>4</v>
      </c>
      <c r="C7686" s="787" t="s">
        <v>13743</v>
      </c>
      <c r="D7686" s="787">
        <v>0.21</v>
      </c>
      <c r="E7686" s="787">
        <v>0.56999999999999995</v>
      </c>
      <c r="F7686" s="788">
        <v>39975</v>
      </c>
      <c r="G7686" s="788">
        <v>41920</v>
      </c>
      <c r="H7686" s="787">
        <v>6</v>
      </c>
      <c r="I7686" s="788">
        <v>41309</v>
      </c>
      <c r="J7686" s="788">
        <v>41310</v>
      </c>
      <c r="K7686" s="788">
        <v>41310</v>
      </c>
      <c r="L7686" s="787">
        <v>0.46</v>
      </c>
      <c r="M7686" s="787">
        <v>10</v>
      </c>
      <c r="N7686" s="787">
        <v>0.45</v>
      </c>
      <c r="O7686" s="788">
        <v>41808</v>
      </c>
    </row>
    <row r="7687" spans="1:15" x14ac:dyDescent="0.25">
      <c r="A7687" s="786" t="s">
        <v>13744</v>
      </c>
      <c r="B7687" s="787">
        <v>4</v>
      </c>
      <c r="C7687" s="787" t="s">
        <v>13745</v>
      </c>
      <c r="D7687" s="787">
        <v>0.15</v>
      </c>
      <c r="E7687" s="787">
        <v>0.25</v>
      </c>
      <c r="F7687" s="788">
        <v>39948</v>
      </c>
      <c r="G7687" s="788">
        <v>42164</v>
      </c>
      <c r="H7687" s="787">
        <v>1</v>
      </c>
      <c r="I7687" s="788">
        <v>42157</v>
      </c>
      <c r="J7687" s="788">
        <v>42164</v>
      </c>
      <c r="K7687" s="788">
        <v>41466</v>
      </c>
      <c r="L7687" s="787">
        <v>0.23</v>
      </c>
      <c r="M7687" s="787">
        <v>20</v>
      </c>
      <c r="N7687" s="787">
        <v>0.25</v>
      </c>
      <c r="O7687" s="788">
        <v>42146</v>
      </c>
    </row>
    <row r="7688" spans="1:15" x14ac:dyDescent="0.25">
      <c r="A7688" s="786" t="s">
        <v>13746</v>
      </c>
      <c r="B7688" s="787">
        <v>4</v>
      </c>
      <c r="C7688" s="787" t="s">
        <v>11581</v>
      </c>
      <c r="D7688" s="787">
        <v>0</v>
      </c>
      <c r="E7688" s="787">
        <v>0</v>
      </c>
      <c r="H7688" s="787">
        <v>1</v>
      </c>
      <c r="L7688" s="787">
        <v>0</v>
      </c>
      <c r="M7688" s="787">
        <v>10</v>
      </c>
      <c r="N7688" s="787">
        <v>11.63</v>
      </c>
      <c r="O7688" s="788">
        <v>42146</v>
      </c>
    </row>
    <row r="7689" spans="1:15" x14ac:dyDescent="0.25">
      <c r="A7689" s="786" t="s">
        <v>13747</v>
      </c>
      <c r="B7689" s="787">
        <v>4</v>
      </c>
      <c r="C7689" s="787" t="s">
        <v>11583</v>
      </c>
      <c r="D7689" s="787">
        <v>0</v>
      </c>
      <c r="E7689" s="787">
        <v>0</v>
      </c>
      <c r="H7689" s="787">
        <v>1</v>
      </c>
      <c r="L7689" s="787">
        <v>0</v>
      </c>
      <c r="M7689" s="787">
        <v>10</v>
      </c>
      <c r="N7689" s="787">
        <v>11.63</v>
      </c>
      <c r="O7689" s="788">
        <v>42146</v>
      </c>
    </row>
    <row r="7690" spans="1:15" x14ac:dyDescent="0.25">
      <c r="A7690" s="786" t="s">
        <v>13748</v>
      </c>
      <c r="B7690" s="787">
        <v>4</v>
      </c>
      <c r="C7690" s="787" t="s">
        <v>13749</v>
      </c>
      <c r="D7690" s="787">
        <v>0</v>
      </c>
      <c r="E7690" s="787">
        <v>0</v>
      </c>
      <c r="H7690" s="787">
        <v>1</v>
      </c>
      <c r="L7690" s="787">
        <v>0</v>
      </c>
      <c r="M7690" s="787">
        <v>10</v>
      </c>
      <c r="N7690" s="787">
        <v>6.06</v>
      </c>
      <c r="O7690" s="788">
        <v>42146</v>
      </c>
    </row>
    <row r="7691" spans="1:15" x14ac:dyDescent="0.25">
      <c r="A7691" s="786" t="s">
        <v>13750</v>
      </c>
      <c r="B7691" s="787">
        <v>4</v>
      </c>
      <c r="C7691" s="787" t="s">
        <v>11581</v>
      </c>
      <c r="D7691" s="787">
        <v>0</v>
      </c>
      <c r="E7691" s="787">
        <v>0</v>
      </c>
      <c r="H7691" s="787">
        <v>1</v>
      </c>
      <c r="I7691" s="788">
        <v>42089</v>
      </c>
      <c r="J7691" s="788">
        <v>41621</v>
      </c>
      <c r="K7691" s="788">
        <v>41624</v>
      </c>
      <c r="L7691" s="787">
        <v>12</v>
      </c>
      <c r="M7691" s="787">
        <v>10</v>
      </c>
      <c r="N7691" s="787">
        <v>11.73</v>
      </c>
      <c r="O7691" s="788">
        <v>42146</v>
      </c>
    </row>
    <row r="7692" spans="1:15" x14ac:dyDescent="0.25">
      <c r="A7692" s="786" t="s">
        <v>13751</v>
      </c>
      <c r="B7692" s="787">
        <v>4</v>
      </c>
      <c r="C7692" s="787" t="s">
        <v>11583</v>
      </c>
      <c r="D7692" s="787">
        <v>0</v>
      </c>
      <c r="E7692" s="787">
        <v>0</v>
      </c>
      <c r="H7692" s="787">
        <v>1</v>
      </c>
      <c r="I7692" s="788">
        <v>42089</v>
      </c>
      <c r="J7692" s="788">
        <v>42093</v>
      </c>
      <c r="K7692" s="788">
        <v>42093</v>
      </c>
      <c r="L7692" s="787">
        <v>11.73</v>
      </c>
      <c r="M7692" s="787">
        <v>10</v>
      </c>
      <c r="N7692" s="787">
        <v>11.73</v>
      </c>
      <c r="O7692" s="788">
        <v>42146</v>
      </c>
    </row>
    <row r="7693" spans="1:15" x14ac:dyDescent="0.25">
      <c r="A7693" s="786" t="s">
        <v>13752</v>
      </c>
      <c r="B7693" s="787">
        <v>4</v>
      </c>
      <c r="C7693" s="787" t="s">
        <v>13749</v>
      </c>
      <c r="D7693" s="787">
        <v>0</v>
      </c>
      <c r="E7693" s="787">
        <v>0</v>
      </c>
      <c r="H7693" s="787">
        <v>1</v>
      </c>
      <c r="I7693" s="788">
        <v>42089</v>
      </c>
      <c r="J7693" s="788">
        <v>41865</v>
      </c>
      <c r="K7693" s="788">
        <v>41866</v>
      </c>
      <c r="L7693" s="787">
        <v>6.5</v>
      </c>
      <c r="M7693" s="787">
        <v>10</v>
      </c>
      <c r="N7693" s="787">
        <v>24.51</v>
      </c>
      <c r="O7693" s="788">
        <v>42146</v>
      </c>
    </row>
    <row r="7694" spans="1:15" x14ac:dyDescent="0.25">
      <c r="A7694" s="786" t="s">
        <v>13753</v>
      </c>
      <c r="B7694" s="787">
        <v>4</v>
      </c>
      <c r="C7694" s="787" t="s">
        <v>13714</v>
      </c>
      <c r="D7694" s="787">
        <v>0</v>
      </c>
      <c r="E7694" s="787">
        <v>0</v>
      </c>
      <c r="H7694" s="787">
        <v>1</v>
      </c>
      <c r="L7694" s="787">
        <v>0</v>
      </c>
      <c r="M7694" s="787">
        <v>10</v>
      </c>
      <c r="N7694" s="787">
        <v>12.14</v>
      </c>
      <c r="O7694" s="788">
        <v>42146</v>
      </c>
    </row>
    <row r="7695" spans="1:15" x14ac:dyDescent="0.25">
      <c r="A7695" s="786" t="s">
        <v>13754</v>
      </c>
      <c r="B7695" s="787">
        <v>4</v>
      </c>
      <c r="C7695" s="787" t="s">
        <v>13714</v>
      </c>
      <c r="D7695" s="787">
        <v>0</v>
      </c>
      <c r="E7695" s="787">
        <v>0</v>
      </c>
      <c r="H7695" s="787">
        <v>1</v>
      </c>
      <c r="L7695" s="787">
        <v>0</v>
      </c>
      <c r="M7695" s="787">
        <v>10</v>
      </c>
      <c r="N7695" s="787">
        <v>12.14</v>
      </c>
      <c r="O7695" s="788">
        <v>42146</v>
      </c>
    </row>
    <row r="7696" spans="1:15" x14ac:dyDescent="0.25">
      <c r="A7696" s="786" t="s">
        <v>13755</v>
      </c>
      <c r="B7696" s="787">
        <v>4</v>
      </c>
      <c r="C7696" s="787" t="s">
        <v>13714</v>
      </c>
      <c r="D7696" s="787">
        <v>0</v>
      </c>
      <c r="E7696" s="787">
        <v>0</v>
      </c>
      <c r="H7696" s="787">
        <v>1</v>
      </c>
      <c r="L7696" s="787">
        <v>0</v>
      </c>
      <c r="M7696" s="787">
        <v>10</v>
      </c>
      <c r="N7696" s="787">
        <v>6.22</v>
      </c>
      <c r="O7696" s="788">
        <v>42146</v>
      </c>
    </row>
    <row r="7697" spans="1:15" x14ac:dyDescent="0.25">
      <c r="A7697" s="786" t="s">
        <v>13756</v>
      </c>
      <c r="B7697" s="787">
        <v>4</v>
      </c>
      <c r="C7697" s="787" t="s">
        <v>13714</v>
      </c>
      <c r="D7697" s="787">
        <v>0</v>
      </c>
      <c r="E7697" s="787">
        <v>0</v>
      </c>
      <c r="H7697" s="787">
        <v>1</v>
      </c>
      <c r="I7697" s="788">
        <v>42089</v>
      </c>
      <c r="J7697" s="788">
        <v>41621</v>
      </c>
      <c r="K7697" s="788">
        <v>41624</v>
      </c>
      <c r="L7697" s="787">
        <v>16.5</v>
      </c>
      <c r="M7697" s="787">
        <v>10</v>
      </c>
      <c r="N7697" s="787">
        <v>15.87</v>
      </c>
      <c r="O7697" s="788">
        <v>42146</v>
      </c>
    </row>
    <row r="7698" spans="1:15" x14ac:dyDescent="0.25">
      <c r="A7698" s="786" t="s">
        <v>13757</v>
      </c>
      <c r="B7698" s="787">
        <v>4</v>
      </c>
      <c r="C7698" s="787" t="s">
        <v>13714</v>
      </c>
      <c r="D7698" s="787">
        <v>0</v>
      </c>
      <c r="E7698" s="787">
        <v>0</v>
      </c>
      <c r="H7698" s="787">
        <v>1</v>
      </c>
      <c r="I7698" s="788">
        <v>42089</v>
      </c>
      <c r="J7698" s="788">
        <v>42093</v>
      </c>
      <c r="K7698" s="788">
        <v>42093</v>
      </c>
      <c r="L7698" s="787">
        <v>15.87</v>
      </c>
      <c r="M7698" s="787">
        <v>10</v>
      </c>
      <c r="N7698" s="787">
        <v>15.87</v>
      </c>
      <c r="O7698" s="788">
        <v>42146</v>
      </c>
    </row>
    <row r="7699" spans="1:15" x14ac:dyDescent="0.25">
      <c r="A7699" s="786" t="s">
        <v>13758</v>
      </c>
      <c r="B7699" s="787">
        <v>4</v>
      </c>
      <c r="C7699" s="787" t="s">
        <v>13714</v>
      </c>
      <c r="D7699" s="787">
        <v>0</v>
      </c>
      <c r="E7699" s="787">
        <v>0</v>
      </c>
      <c r="H7699" s="787">
        <v>1</v>
      </c>
      <c r="I7699" s="788">
        <v>42089</v>
      </c>
      <c r="J7699" s="788">
        <v>42093</v>
      </c>
      <c r="K7699" s="788">
        <v>42093</v>
      </c>
      <c r="L7699" s="787">
        <v>0.01</v>
      </c>
      <c r="M7699" s="787">
        <v>10</v>
      </c>
      <c r="N7699" s="787">
        <v>0</v>
      </c>
      <c r="O7699" s="788">
        <v>40824</v>
      </c>
    </row>
    <row r="7700" spans="1:15" x14ac:dyDescent="0.25">
      <c r="A7700" s="786" t="s">
        <v>13759</v>
      </c>
      <c r="B7700" s="787">
        <v>4</v>
      </c>
      <c r="C7700" s="787" t="s">
        <v>13714</v>
      </c>
      <c r="D7700" s="787">
        <v>0</v>
      </c>
      <c r="E7700" s="787">
        <v>0</v>
      </c>
      <c r="H7700" s="787">
        <v>1</v>
      </c>
      <c r="L7700" s="787">
        <v>0</v>
      </c>
      <c r="M7700" s="787">
        <v>10</v>
      </c>
      <c r="N7700" s="787">
        <v>13.26</v>
      </c>
      <c r="O7700" s="788">
        <v>42146</v>
      </c>
    </row>
    <row r="7701" spans="1:15" x14ac:dyDescent="0.25">
      <c r="A7701" s="786" t="s">
        <v>13760</v>
      </c>
      <c r="B7701" s="787">
        <v>4</v>
      </c>
      <c r="C7701" s="787" t="s">
        <v>13714</v>
      </c>
      <c r="D7701" s="787">
        <v>0</v>
      </c>
      <c r="E7701" s="787">
        <v>0</v>
      </c>
      <c r="H7701" s="787">
        <v>1</v>
      </c>
      <c r="L7701" s="787">
        <v>0</v>
      </c>
      <c r="M7701" s="787">
        <v>10</v>
      </c>
      <c r="N7701" s="787">
        <v>13.26</v>
      </c>
      <c r="O7701" s="788">
        <v>42146</v>
      </c>
    </row>
    <row r="7702" spans="1:15" x14ac:dyDescent="0.25">
      <c r="A7702" s="786" t="s">
        <v>13761</v>
      </c>
      <c r="B7702" s="787">
        <v>4</v>
      </c>
      <c r="C7702" s="787" t="s">
        <v>13714</v>
      </c>
      <c r="D7702" s="787">
        <v>0</v>
      </c>
      <c r="E7702" s="787">
        <v>0</v>
      </c>
      <c r="H7702" s="787">
        <v>1</v>
      </c>
      <c r="L7702" s="787">
        <v>0</v>
      </c>
      <c r="M7702" s="787">
        <v>10</v>
      </c>
      <c r="N7702" s="787">
        <v>7.42</v>
      </c>
      <c r="O7702" s="788">
        <v>42146</v>
      </c>
    </row>
    <row r="7703" spans="1:15" x14ac:dyDescent="0.25">
      <c r="A7703" s="786" t="s">
        <v>13762</v>
      </c>
      <c r="B7703" s="787">
        <v>4</v>
      </c>
      <c r="C7703" s="787" t="s">
        <v>13714</v>
      </c>
      <c r="D7703" s="787">
        <v>0</v>
      </c>
      <c r="E7703" s="787">
        <v>0</v>
      </c>
      <c r="H7703" s="787">
        <v>1</v>
      </c>
      <c r="I7703" s="788">
        <v>42160</v>
      </c>
      <c r="J7703" s="788">
        <v>41621</v>
      </c>
      <c r="K7703" s="788">
        <v>41624</v>
      </c>
      <c r="L7703" s="787">
        <v>15</v>
      </c>
      <c r="M7703" s="787">
        <v>10</v>
      </c>
      <c r="N7703" s="787">
        <v>14.26</v>
      </c>
      <c r="O7703" s="788">
        <v>42146</v>
      </c>
    </row>
    <row r="7704" spans="1:15" x14ac:dyDescent="0.25">
      <c r="A7704" s="786" t="s">
        <v>13763</v>
      </c>
      <c r="B7704" s="787">
        <v>4</v>
      </c>
      <c r="C7704" s="787" t="s">
        <v>13714</v>
      </c>
      <c r="D7704" s="787">
        <v>0</v>
      </c>
      <c r="E7704" s="787">
        <v>0</v>
      </c>
      <c r="H7704" s="787">
        <v>1</v>
      </c>
      <c r="L7704" s="787">
        <v>0</v>
      </c>
      <c r="M7704" s="787">
        <v>10</v>
      </c>
      <c r="N7704" s="787">
        <v>14.26</v>
      </c>
      <c r="O7704" s="788">
        <v>42146</v>
      </c>
    </row>
    <row r="7705" spans="1:15" x14ac:dyDescent="0.25">
      <c r="A7705" s="786" t="s">
        <v>13764</v>
      </c>
      <c r="B7705" s="787">
        <v>4</v>
      </c>
      <c r="C7705" s="787" t="s">
        <v>13714</v>
      </c>
      <c r="D7705" s="787">
        <v>0</v>
      </c>
      <c r="E7705" s="787">
        <v>0</v>
      </c>
      <c r="H7705" s="787">
        <v>1</v>
      </c>
      <c r="I7705" s="788">
        <v>42166</v>
      </c>
      <c r="J7705" s="788">
        <v>42079</v>
      </c>
      <c r="K7705" s="788">
        <v>42068</v>
      </c>
      <c r="L7705" s="787">
        <v>6.94</v>
      </c>
      <c r="M7705" s="787">
        <v>10</v>
      </c>
      <c r="N7705" s="787">
        <v>6.94</v>
      </c>
      <c r="O7705" s="788">
        <v>42146</v>
      </c>
    </row>
    <row r="7706" spans="1:15" x14ac:dyDescent="0.25">
      <c r="A7706" s="786" t="s">
        <v>13765</v>
      </c>
      <c r="B7706" s="787">
        <v>4</v>
      </c>
      <c r="C7706" s="787" t="s">
        <v>13714</v>
      </c>
      <c r="D7706" s="787">
        <v>0</v>
      </c>
      <c r="E7706" s="787">
        <v>0</v>
      </c>
      <c r="H7706" s="787">
        <v>1</v>
      </c>
      <c r="L7706" s="787">
        <v>0</v>
      </c>
      <c r="M7706" s="787">
        <v>10</v>
      </c>
      <c r="N7706" s="787">
        <v>15.01</v>
      </c>
      <c r="O7706" s="788">
        <v>42146</v>
      </c>
    </row>
    <row r="7707" spans="1:15" x14ac:dyDescent="0.25">
      <c r="A7707" s="786" t="s">
        <v>13766</v>
      </c>
      <c r="B7707" s="787">
        <v>4</v>
      </c>
      <c r="C7707" s="787" t="s">
        <v>13714</v>
      </c>
      <c r="D7707" s="787">
        <v>0</v>
      </c>
      <c r="E7707" s="787">
        <v>0</v>
      </c>
      <c r="H7707" s="787">
        <v>1</v>
      </c>
      <c r="L7707" s="787">
        <v>0</v>
      </c>
      <c r="M7707" s="787">
        <v>10</v>
      </c>
      <c r="N7707" s="787">
        <v>15.01</v>
      </c>
      <c r="O7707" s="788">
        <v>42146</v>
      </c>
    </row>
    <row r="7708" spans="1:15" x14ac:dyDescent="0.25">
      <c r="A7708" s="786" t="s">
        <v>13767</v>
      </c>
      <c r="B7708" s="787">
        <v>4</v>
      </c>
      <c r="C7708" s="787" t="s">
        <v>13714</v>
      </c>
      <c r="D7708" s="787">
        <v>0</v>
      </c>
      <c r="E7708" s="787">
        <v>0</v>
      </c>
      <c r="H7708" s="787">
        <v>1</v>
      </c>
      <c r="L7708" s="787">
        <v>0</v>
      </c>
      <c r="M7708" s="787">
        <v>10</v>
      </c>
      <c r="N7708" s="787">
        <v>7.18</v>
      </c>
      <c r="O7708" s="788">
        <v>42146</v>
      </c>
    </row>
    <row r="7709" spans="1:15" x14ac:dyDescent="0.25">
      <c r="A7709" s="786" t="s">
        <v>13768</v>
      </c>
      <c r="B7709" s="787">
        <v>4</v>
      </c>
      <c r="C7709" s="787" t="s">
        <v>13714</v>
      </c>
      <c r="D7709" s="787">
        <v>0</v>
      </c>
      <c r="E7709" s="787">
        <v>0</v>
      </c>
      <c r="H7709" s="787">
        <v>1</v>
      </c>
      <c r="I7709" s="788">
        <v>41927</v>
      </c>
      <c r="J7709" s="788">
        <v>41865</v>
      </c>
      <c r="K7709" s="788">
        <v>41866</v>
      </c>
      <c r="L7709" s="787">
        <v>16</v>
      </c>
      <c r="M7709" s="787">
        <v>10</v>
      </c>
      <c r="N7709" s="787">
        <v>34.29</v>
      </c>
      <c r="O7709" s="788">
        <v>42146</v>
      </c>
    </row>
    <row r="7710" spans="1:15" x14ac:dyDescent="0.25">
      <c r="A7710" s="786" t="s">
        <v>13769</v>
      </c>
      <c r="B7710" s="787">
        <v>4</v>
      </c>
      <c r="C7710" s="787" t="s">
        <v>13714</v>
      </c>
      <c r="D7710" s="787">
        <v>0</v>
      </c>
      <c r="E7710" s="787">
        <v>0</v>
      </c>
      <c r="H7710" s="787">
        <v>1</v>
      </c>
      <c r="L7710" s="787">
        <v>0</v>
      </c>
      <c r="M7710" s="787">
        <v>10</v>
      </c>
      <c r="N7710" s="787">
        <v>15.87</v>
      </c>
      <c r="O7710" s="788">
        <v>42146</v>
      </c>
    </row>
    <row r="7711" spans="1:15" x14ac:dyDescent="0.25">
      <c r="A7711" s="786" t="s">
        <v>13770</v>
      </c>
      <c r="B7711" s="787">
        <v>4</v>
      </c>
      <c r="C7711" s="787" t="s">
        <v>13714</v>
      </c>
      <c r="D7711" s="787">
        <v>0</v>
      </c>
      <c r="E7711" s="787">
        <v>0</v>
      </c>
      <c r="H7711" s="787">
        <v>1</v>
      </c>
      <c r="I7711" s="788">
        <v>41929</v>
      </c>
      <c r="J7711" s="788">
        <v>41865</v>
      </c>
      <c r="K7711" s="788">
        <v>41866</v>
      </c>
      <c r="L7711" s="787">
        <v>7.5</v>
      </c>
      <c r="M7711" s="787">
        <v>10</v>
      </c>
      <c r="N7711" s="787">
        <v>25.89</v>
      </c>
      <c r="O7711" s="788">
        <v>42146</v>
      </c>
    </row>
    <row r="7712" spans="1:15" x14ac:dyDescent="0.25">
      <c r="A7712" s="786" t="s">
        <v>13771</v>
      </c>
      <c r="B7712" s="787">
        <v>4</v>
      </c>
      <c r="C7712" s="787" t="s">
        <v>13772</v>
      </c>
      <c r="D7712" s="787">
        <v>1.1399999999999999</v>
      </c>
      <c r="E7712" s="787">
        <v>1.1399999999999999</v>
      </c>
      <c r="F7712" s="788">
        <v>39975</v>
      </c>
      <c r="G7712" s="788">
        <v>39975</v>
      </c>
      <c r="H7712" s="787">
        <v>1</v>
      </c>
      <c r="J7712" s="788">
        <v>39857</v>
      </c>
      <c r="L7712" s="787">
        <v>0</v>
      </c>
      <c r="M7712" s="787">
        <v>10</v>
      </c>
      <c r="N7712" s="787">
        <v>1.21</v>
      </c>
      <c r="O7712" s="788">
        <v>42146</v>
      </c>
    </row>
    <row r="7713" spans="1:15" x14ac:dyDescent="0.25">
      <c r="A7713" s="786" t="s">
        <v>13773</v>
      </c>
      <c r="B7713" s="787">
        <v>4</v>
      </c>
      <c r="C7713" s="787" t="s">
        <v>13774</v>
      </c>
      <c r="D7713" s="787">
        <v>2.54</v>
      </c>
      <c r="E7713" s="787">
        <v>2.54</v>
      </c>
      <c r="F7713" s="788">
        <v>40659</v>
      </c>
      <c r="G7713" s="788">
        <v>41565</v>
      </c>
      <c r="H7713" s="787">
        <v>1</v>
      </c>
      <c r="I7713" s="788">
        <v>42160</v>
      </c>
      <c r="J7713" s="788">
        <v>41694</v>
      </c>
      <c r="K7713" s="788">
        <v>41694</v>
      </c>
      <c r="L7713" s="787">
        <v>2</v>
      </c>
      <c r="M7713" s="787">
        <v>10</v>
      </c>
      <c r="N7713" s="787">
        <v>21.69</v>
      </c>
      <c r="O7713" s="788">
        <v>42146</v>
      </c>
    </row>
    <row r="7714" spans="1:15" x14ac:dyDescent="0.25">
      <c r="A7714" s="786" t="s">
        <v>13775</v>
      </c>
      <c r="B7714" s="787">
        <v>4</v>
      </c>
      <c r="C7714" s="787" t="s">
        <v>13776</v>
      </c>
      <c r="D7714" s="787">
        <v>0</v>
      </c>
      <c r="E7714" s="787">
        <v>0</v>
      </c>
      <c r="H7714" s="787">
        <v>1</v>
      </c>
      <c r="I7714" s="788">
        <v>42089</v>
      </c>
      <c r="J7714" s="788">
        <v>41935</v>
      </c>
      <c r="K7714" s="788">
        <v>41936</v>
      </c>
      <c r="L7714" s="787">
        <v>1.67</v>
      </c>
      <c r="M7714" s="787">
        <v>10</v>
      </c>
      <c r="N7714" s="787">
        <v>1.67</v>
      </c>
      <c r="O7714" s="788">
        <v>42146</v>
      </c>
    </row>
    <row r="7715" spans="1:15" x14ac:dyDescent="0.25">
      <c r="A7715" s="786" t="s">
        <v>13777</v>
      </c>
      <c r="B7715" s="787">
        <v>4</v>
      </c>
      <c r="C7715" s="787" t="s">
        <v>13778</v>
      </c>
      <c r="D7715" s="787">
        <v>1.79</v>
      </c>
      <c r="E7715" s="787">
        <v>1.79</v>
      </c>
      <c r="F7715" s="788">
        <v>39975</v>
      </c>
      <c r="G7715" s="788">
        <v>39975</v>
      </c>
      <c r="H7715" s="787">
        <v>1</v>
      </c>
      <c r="J7715" s="788">
        <v>39850</v>
      </c>
      <c r="L7715" s="787">
        <v>0</v>
      </c>
      <c r="M7715" s="787">
        <v>10</v>
      </c>
      <c r="N7715" s="787">
        <v>1.72</v>
      </c>
      <c r="O7715" s="788">
        <v>42146</v>
      </c>
    </row>
    <row r="7716" spans="1:15" x14ac:dyDescent="0.25">
      <c r="A7716" s="786" t="s">
        <v>13779</v>
      </c>
      <c r="B7716" s="787">
        <v>4</v>
      </c>
      <c r="C7716" s="787" t="s">
        <v>13778</v>
      </c>
      <c r="D7716" s="787">
        <v>0</v>
      </c>
      <c r="E7716" s="787">
        <v>0</v>
      </c>
      <c r="H7716" s="787">
        <v>1</v>
      </c>
      <c r="I7716" s="788">
        <v>42166</v>
      </c>
      <c r="J7716" s="788">
        <v>41694</v>
      </c>
      <c r="K7716" s="788">
        <v>41694</v>
      </c>
      <c r="L7716" s="787">
        <v>2</v>
      </c>
      <c r="M7716" s="787">
        <v>10</v>
      </c>
      <c r="N7716" s="787">
        <v>1.84</v>
      </c>
      <c r="O7716" s="788">
        <v>42146</v>
      </c>
    </row>
    <row r="7717" spans="1:15" x14ac:dyDescent="0.25">
      <c r="A7717" s="786" t="s">
        <v>13780</v>
      </c>
      <c r="B7717" s="787">
        <v>4</v>
      </c>
      <c r="C7717" s="787" t="s">
        <v>13781</v>
      </c>
      <c r="D7717" s="787">
        <v>0</v>
      </c>
      <c r="E7717" s="787">
        <v>0</v>
      </c>
      <c r="H7717" s="787">
        <v>1</v>
      </c>
      <c r="I7717" s="788">
        <v>42089</v>
      </c>
      <c r="J7717" s="788">
        <v>41935</v>
      </c>
      <c r="K7717" s="788">
        <v>41936</v>
      </c>
      <c r="L7717" s="787">
        <v>2.38</v>
      </c>
      <c r="M7717" s="787">
        <v>10</v>
      </c>
      <c r="N7717" s="787">
        <v>2.38</v>
      </c>
      <c r="O7717" s="788">
        <v>42146</v>
      </c>
    </row>
    <row r="7718" spans="1:15" x14ac:dyDescent="0.25">
      <c r="A7718" s="786" t="s">
        <v>13782</v>
      </c>
      <c r="B7718" s="787">
        <v>4</v>
      </c>
      <c r="C7718" s="787" t="s">
        <v>13783</v>
      </c>
      <c r="D7718" s="787">
        <v>0.19</v>
      </c>
      <c r="E7718" s="787">
        <v>0.68</v>
      </c>
      <c r="F7718" s="788">
        <v>41579</v>
      </c>
      <c r="G7718" s="788">
        <v>42163</v>
      </c>
      <c r="H7718" s="787">
        <v>1</v>
      </c>
      <c r="I7718" s="788">
        <v>42157</v>
      </c>
      <c r="J7718" s="788">
        <v>42163</v>
      </c>
      <c r="K7718" s="788">
        <v>41227</v>
      </c>
      <c r="L7718" s="787">
        <v>1.23</v>
      </c>
      <c r="M7718" s="787">
        <v>10</v>
      </c>
      <c r="N7718" s="787">
        <v>2.2200000000000002</v>
      </c>
      <c r="O7718" s="788">
        <v>42146</v>
      </c>
    </row>
    <row r="7719" spans="1:15" x14ac:dyDescent="0.25">
      <c r="A7719" s="786" t="s">
        <v>13784</v>
      </c>
      <c r="B7719" s="787">
        <v>4</v>
      </c>
      <c r="C7719" s="787" t="s">
        <v>13785</v>
      </c>
      <c r="D7719" s="787">
        <v>0.16</v>
      </c>
      <c r="E7719" s="787">
        <v>0.31</v>
      </c>
      <c r="F7719" s="788">
        <v>41499</v>
      </c>
      <c r="G7719" s="788">
        <v>42163</v>
      </c>
      <c r="H7719" s="787">
        <v>1</v>
      </c>
      <c r="I7719" s="788">
        <v>42157</v>
      </c>
      <c r="J7719" s="788">
        <v>42163</v>
      </c>
      <c r="K7719" s="788">
        <v>41227</v>
      </c>
      <c r="L7719" s="787">
        <v>1.23</v>
      </c>
      <c r="M7719" s="787">
        <v>10</v>
      </c>
      <c r="N7719" s="787">
        <v>1.35</v>
      </c>
      <c r="O7719" s="788">
        <v>42146</v>
      </c>
    </row>
    <row r="7720" spans="1:15" x14ac:dyDescent="0.25">
      <c r="A7720" s="786" t="s">
        <v>13786</v>
      </c>
      <c r="B7720" s="787">
        <v>4</v>
      </c>
      <c r="C7720" s="787" t="s">
        <v>13787</v>
      </c>
      <c r="D7720" s="787">
        <v>1.34</v>
      </c>
      <c r="E7720" s="787">
        <v>6.76</v>
      </c>
      <c r="F7720" s="788">
        <v>41813</v>
      </c>
      <c r="G7720" s="788">
        <v>42157</v>
      </c>
      <c r="H7720" s="787">
        <v>1</v>
      </c>
      <c r="I7720" s="788">
        <v>42156</v>
      </c>
      <c r="J7720" s="788">
        <v>42157</v>
      </c>
      <c r="K7720" s="788">
        <v>42107</v>
      </c>
      <c r="L7720" s="787">
        <v>5.5</v>
      </c>
      <c r="M7720" s="787">
        <v>10</v>
      </c>
      <c r="N7720" s="787">
        <v>5.44</v>
      </c>
      <c r="O7720" s="788">
        <v>42146</v>
      </c>
    </row>
    <row r="7721" spans="1:15" x14ac:dyDescent="0.25">
      <c r="A7721" s="786" t="s">
        <v>13788</v>
      </c>
      <c r="B7721" s="787">
        <v>4</v>
      </c>
      <c r="C7721" s="787" t="s">
        <v>13789</v>
      </c>
      <c r="D7721" s="787">
        <v>0.17</v>
      </c>
      <c r="E7721" s="787">
        <v>0.5</v>
      </c>
      <c r="F7721" s="788">
        <v>41180</v>
      </c>
      <c r="G7721" s="788">
        <v>42158</v>
      </c>
      <c r="H7721" s="787">
        <v>1</v>
      </c>
      <c r="I7721" s="788">
        <v>42157</v>
      </c>
      <c r="J7721" s="788">
        <v>42158</v>
      </c>
      <c r="K7721" s="788">
        <v>41229</v>
      </c>
      <c r="L7721" s="787">
        <v>0.49</v>
      </c>
      <c r="M7721" s="787">
        <v>10</v>
      </c>
      <c r="N7721" s="787">
        <v>0.98</v>
      </c>
      <c r="O7721" s="788">
        <v>42146</v>
      </c>
    </row>
    <row r="7722" spans="1:15" x14ac:dyDescent="0.25">
      <c r="A7722" s="786" t="s">
        <v>13790</v>
      </c>
      <c r="B7722" s="787">
        <v>4</v>
      </c>
      <c r="C7722" s="787" t="s">
        <v>13791</v>
      </c>
      <c r="D7722" s="787">
        <v>0.5</v>
      </c>
      <c r="E7722" s="787">
        <v>10.5</v>
      </c>
      <c r="F7722" s="788">
        <v>41290</v>
      </c>
      <c r="G7722" s="788">
        <v>42159</v>
      </c>
      <c r="H7722" s="787">
        <v>1</v>
      </c>
      <c r="I7722" s="788">
        <v>42165</v>
      </c>
      <c r="J7722" s="788">
        <v>42151</v>
      </c>
      <c r="K7722" s="788">
        <v>41500</v>
      </c>
      <c r="L7722" s="787">
        <v>10.5</v>
      </c>
      <c r="M7722" s="787">
        <v>20</v>
      </c>
      <c r="N7722" s="787">
        <v>11.29</v>
      </c>
      <c r="O7722" s="788">
        <v>42146</v>
      </c>
    </row>
    <row r="7723" spans="1:15" x14ac:dyDescent="0.25">
      <c r="A7723" s="786" t="s">
        <v>13792</v>
      </c>
      <c r="B7723" s="787">
        <v>4</v>
      </c>
      <c r="C7723" s="787" t="s">
        <v>13793</v>
      </c>
      <c r="D7723" s="787">
        <v>0.19</v>
      </c>
      <c r="E7723" s="787">
        <v>2.08</v>
      </c>
      <c r="F7723" s="788">
        <v>41135</v>
      </c>
      <c r="G7723" s="788">
        <v>42159</v>
      </c>
      <c r="H7723" s="787">
        <v>1</v>
      </c>
      <c r="I7723" s="788">
        <v>42158</v>
      </c>
      <c r="J7723" s="788">
        <v>42159</v>
      </c>
      <c r="K7723" s="788">
        <v>41704</v>
      </c>
      <c r="L7723" s="787">
        <v>1.1399999999999999</v>
      </c>
      <c r="M7723" s="787">
        <v>10</v>
      </c>
      <c r="N7723" s="787">
        <v>1.93</v>
      </c>
      <c r="O7723" s="788">
        <v>42146</v>
      </c>
    </row>
    <row r="7724" spans="1:15" x14ac:dyDescent="0.25">
      <c r="A7724" s="786" t="s">
        <v>13794</v>
      </c>
      <c r="B7724" s="787">
        <v>4</v>
      </c>
      <c r="C7724" s="787" t="s">
        <v>13795</v>
      </c>
      <c r="D7724" s="787">
        <v>0.14000000000000001</v>
      </c>
      <c r="E7724" s="787">
        <v>0.81</v>
      </c>
      <c r="F7724" s="788">
        <v>41775</v>
      </c>
      <c r="G7724" s="788">
        <v>42159</v>
      </c>
      <c r="H7724" s="787">
        <v>1</v>
      </c>
      <c r="I7724" s="788">
        <v>42158</v>
      </c>
      <c r="J7724" s="788">
        <v>42159</v>
      </c>
      <c r="K7724" s="788">
        <v>41131</v>
      </c>
      <c r="L7724" s="787">
        <v>0.68</v>
      </c>
      <c r="M7724" s="787">
        <v>10</v>
      </c>
      <c r="N7724" s="787">
        <v>1.1000000000000001</v>
      </c>
      <c r="O7724" s="788">
        <v>42146</v>
      </c>
    </row>
    <row r="7725" spans="1:15" x14ac:dyDescent="0.25">
      <c r="A7725" s="786" t="s">
        <v>13796</v>
      </c>
      <c r="B7725" s="787">
        <v>4</v>
      </c>
      <c r="C7725" s="787" t="s">
        <v>13797</v>
      </c>
      <c r="D7725" s="787">
        <v>0.38</v>
      </c>
      <c r="E7725" s="787">
        <v>5.36</v>
      </c>
      <c r="F7725" s="788">
        <v>41376</v>
      </c>
      <c r="G7725" s="788">
        <v>42165</v>
      </c>
      <c r="H7725" s="787">
        <v>1</v>
      </c>
      <c r="I7725" s="788">
        <v>42165</v>
      </c>
      <c r="J7725" s="788">
        <v>42135</v>
      </c>
      <c r="K7725" s="788">
        <v>39895</v>
      </c>
      <c r="L7725" s="787">
        <v>4.3</v>
      </c>
      <c r="M7725" s="787">
        <v>10</v>
      </c>
      <c r="N7725" s="787">
        <v>2.39</v>
      </c>
      <c r="O7725" s="788">
        <v>42146</v>
      </c>
    </row>
    <row r="7726" spans="1:15" x14ac:dyDescent="0.25">
      <c r="A7726" s="786" t="s">
        <v>13798</v>
      </c>
      <c r="B7726" s="787">
        <v>4</v>
      </c>
      <c r="C7726" s="787" t="s">
        <v>13799</v>
      </c>
      <c r="D7726" s="787">
        <v>0.11</v>
      </c>
      <c r="E7726" s="787">
        <v>0.66</v>
      </c>
      <c r="F7726" s="788">
        <v>41855</v>
      </c>
      <c r="G7726" s="788">
        <v>42166</v>
      </c>
      <c r="H7726" s="787">
        <v>1</v>
      </c>
      <c r="I7726" s="788">
        <v>42165</v>
      </c>
      <c r="J7726" s="788">
        <v>42166</v>
      </c>
      <c r="K7726" s="788">
        <v>41127</v>
      </c>
      <c r="L7726" s="787">
        <v>1.35</v>
      </c>
      <c r="M7726" s="787">
        <v>10</v>
      </c>
      <c r="N7726" s="787">
        <v>1.86</v>
      </c>
      <c r="O7726" s="788">
        <v>42146</v>
      </c>
    </row>
    <row r="7727" spans="1:15" x14ac:dyDescent="0.25">
      <c r="A7727" s="786" t="s">
        <v>13800</v>
      </c>
      <c r="B7727" s="787">
        <v>4</v>
      </c>
      <c r="C7727" s="787" t="s">
        <v>13801</v>
      </c>
      <c r="D7727" s="787">
        <v>8.8800000000000008</v>
      </c>
      <c r="E7727" s="787">
        <v>28.92</v>
      </c>
      <c r="F7727" s="788">
        <v>40827</v>
      </c>
      <c r="G7727" s="788">
        <v>41255</v>
      </c>
      <c r="H7727" s="787">
        <v>1</v>
      </c>
      <c r="I7727" s="788">
        <v>41696</v>
      </c>
      <c r="J7727" s="788">
        <v>41708</v>
      </c>
      <c r="K7727" s="788">
        <v>42107</v>
      </c>
      <c r="L7727" s="787">
        <v>30</v>
      </c>
      <c r="M7727" s="787">
        <v>10</v>
      </c>
      <c r="N7727" s="787">
        <v>23.64</v>
      </c>
      <c r="O7727" s="788">
        <v>42146</v>
      </c>
    </row>
    <row r="7728" spans="1:15" x14ac:dyDescent="0.25">
      <c r="A7728" s="786" t="s">
        <v>13802</v>
      </c>
      <c r="B7728" s="787">
        <v>4</v>
      </c>
      <c r="C7728" s="787" t="s">
        <v>13803</v>
      </c>
      <c r="D7728" s="787">
        <v>0</v>
      </c>
      <c r="E7728" s="787">
        <v>0</v>
      </c>
      <c r="H7728" s="787">
        <v>1</v>
      </c>
      <c r="L7728" s="787">
        <v>0</v>
      </c>
      <c r="M7728" s="787">
        <v>10</v>
      </c>
      <c r="N7728" s="787">
        <v>6.51</v>
      </c>
      <c r="O7728" s="788">
        <v>42146</v>
      </c>
    </row>
    <row r="7729" spans="1:15" x14ac:dyDescent="0.25">
      <c r="A7729" s="786" t="s">
        <v>13804</v>
      </c>
      <c r="B7729" s="787">
        <v>4</v>
      </c>
      <c r="C7729" s="787" t="s">
        <v>13805</v>
      </c>
      <c r="D7729" s="787">
        <v>1.52</v>
      </c>
      <c r="E7729" s="787">
        <v>1.52</v>
      </c>
      <c r="F7729" s="788">
        <v>39975</v>
      </c>
      <c r="G7729" s="788">
        <v>40553</v>
      </c>
      <c r="H7729" s="787">
        <v>1</v>
      </c>
      <c r="I7729" s="788">
        <v>40535</v>
      </c>
      <c r="J7729" s="788">
        <v>40154</v>
      </c>
      <c r="L7729" s="787">
        <v>0</v>
      </c>
      <c r="M7729" s="787">
        <v>10</v>
      </c>
      <c r="N7729" s="787">
        <v>1.59</v>
      </c>
      <c r="O7729" s="788">
        <v>42146</v>
      </c>
    </row>
    <row r="7730" spans="1:15" x14ac:dyDescent="0.25">
      <c r="A7730" s="786" t="s">
        <v>13806</v>
      </c>
      <c r="B7730" s="787">
        <v>4</v>
      </c>
      <c r="C7730" s="787" t="s">
        <v>13807</v>
      </c>
      <c r="D7730" s="787">
        <v>0</v>
      </c>
      <c r="E7730" s="787">
        <v>0</v>
      </c>
      <c r="H7730" s="787">
        <v>1</v>
      </c>
      <c r="L7730" s="787">
        <v>0</v>
      </c>
      <c r="M7730" s="787">
        <v>10</v>
      </c>
      <c r="N7730" s="787">
        <v>5.73</v>
      </c>
      <c r="O7730" s="788">
        <v>42146</v>
      </c>
    </row>
    <row r="7731" spans="1:15" x14ac:dyDescent="0.25">
      <c r="A7731" s="786" t="s">
        <v>13808</v>
      </c>
      <c r="B7731" s="787">
        <v>4</v>
      </c>
      <c r="C7731" s="787" t="s">
        <v>13809</v>
      </c>
      <c r="D7731" s="787">
        <v>0</v>
      </c>
      <c r="E7731" s="787">
        <v>0</v>
      </c>
      <c r="H7731" s="787">
        <v>1</v>
      </c>
      <c r="I7731" s="788">
        <v>40953</v>
      </c>
      <c r="K7731" s="788">
        <v>42107</v>
      </c>
      <c r="L7731" s="787">
        <v>9</v>
      </c>
      <c r="M7731" s="787">
        <v>10</v>
      </c>
      <c r="N7731" s="787">
        <v>9.34</v>
      </c>
      <c r="O7731" s="788">
        <v>42146</v>
      </c>
    </row>
    <row r="7732" spans="1:15" x14ac:dyDescent="0.25">
      <c r="A7732" s="786" t="s">
        <v>13810</v>
      </c>
      <c r="B7732" s="787">
        <v>4</v>
      </c>
      <c r="C7732" s="787" t="s">
        <v>13811</v>
      </c>
      <c r="D7732" s="787">
        <v>0</v>
      </c>
      <c r="E7732" s="787">
        <v>0</v>
      </c>
      <c r="H7732" s="787">
        <v>1</v>
      </c>
      <c r="L7732" s="787">
        <v>0</v>
      </c>
      <c r="M7732" s="787">
        <v>10</v>
      </c>
      <c r="N7732" s="787">
        <v>9.68</v>
      </c>
      <c r="O7732" s="788">
        <v>42146</v>
      </c>
    </row>
    <row r="7733" spans="1:15" x14ac:dyDescent="0.25">
      <c r="A7733" s="786" t="s">
        <v>13812</v>
      </c>
      <c r="B7733" s="787">
        <v>4</v>
      </c>
      <c r="C7733" s="787" t="s">
        <v>13813</v>
      </c>
      <c r="D7733" s="787">
        <v>1.1200000000000001</v>
      </c>
      <c r="E7733" s="787">
        <v>74.569999999999993</v>
      </c>
      <c r="F7733" s="788">
        <v>40659</v>
      </c>
      <c r="G7733" s="788">
        <v>41775</v>
      </c>
      <c r="H7733" s="787">
        <v>1</v>
      </c>
      <c r="I7733" s="788">
        <v>41705</v>
      </c>
      <c r="J7733" s="788">
        <v>41703</v>
      </c>
      <c r="K7733" s="788">
        <v>41880</v>
      </c>
      <c r="L7733" s="787">
        <v>23.5</v>
      </c>
      <c r="M7733" s="787">
        <v>10</v>
      </c>
      <c r="N7733" s="787">
        <v>23.5</v>
      </c>
      <c r="O7733" s="788">
        <v>42146</v>
      </c>
    </row>
    <row r="7734" spans="1:15" x14ac:dyDescent="0.25">
      <c r="A7734" s="786" t="s">
        <v>13814</v>
      </c>
      <c r="B7734" s="787">
        <v>4</v>
      </c>
      <c r="C7734" s="787" t="s">
        <v>13815</v>
      </c>
      <c r="D7734" s="787">
        <v>0</v>
      </c>
      <c r="E7734" s="787">
        <v>0</v>
      </c>
      <c r="H7734" s="787">
        <v>1</v>
      </c>
      <c r="I7734" s="788">
        <v>40953</v>
      </c>
      <c r="K7734" s="788">
        <v>42109</v>
      </c>
      <c r="L7734" s="787">
        <v>14</v>
      </c>
      <c r="M7734" s="787">
        <v>10</v>
      </c>
      <c r="N7734" s="787">
        <v>13.98</v>
      </c>
      <c r="O7734" s="788">
        <v>42146</v>
      </c>
    </row>
    <row r="7735" spans="1:15" x14ac:dyDescent="0.25">
      <c r="A7735" s="786" t="s">
        <v>13816</v>
      </c>
      <c r="B7735" s="787">
        <v>4</v>
      </c>
      <c r="C7735" s="787" t="s">
        <v>13817</v>
      </c>
      <c r="D7735" s="787">
        <v>4.7300000000000004</v>
      </c>
      <c r="E7735" s="787">
        <v>4.7300000000000004</v>
      </c>
      <c r="F7735" s="788">
        <v>41135</v>
      </c>
      <c r="G7735" s="788">
        <v>41565</v>
      </c>
      <c r="H7735" s="787">
        <v>1</v>
      </c>
      <c r="J7735" s="788">
        <v>40784</v>
      </c>
      <c r="K7735" s="788">
        <v>42107</v>
      </c>
      <c r="L7735" s="787">
        <v>10</v>
      </c>
      <c r="M7735" s="787">
        <v>10</v>
      </c>
      <c r="N7735" s="787">
        <v>11.6</v>
      </c>
      <c r="O7735" s="788">
        <v>42146</v>
      </c>
    </row>
    <row r="7736" spans="1:15" x14ac:dyDescent="0.25">
      <c r="A7736" s="786" t="s">
        <v>13818</v>
      </c>
      <c r="B7736" s="787">
        <v>4</v>
      </c>
      <c r="C7736" s="787" t="s">
        <v>13819</v>
      </c>
      <c r="D7736" s="787">
        <v>0</v>
      </c>
      <c r="E7736" s="787">
        <v>0</v>
      </c>
      <c r="H7736" s="787">
        <v>1</v>
      </c>
      <c r="L7736" s="787">
        <v>0</v>
      </c>
      <c r="M7736" s="787">
        <v>10</v>
      </c>
      <c r="N7736" s="787">
        <v>9.5299999999999994</v>
      </c>
      <c r="O7736" s="788">
        <v>42146</v>
      </c>
    </row>
    <row r="7737" spans="1:15" x14ac:dyDescent="0.25">
      <c r="A7737" s="786" t="s">
        <v>13820</v>
      </c>
      <c r="B7737" s="787">
        <v>4</v>
      </c>
      <c r="C7737" s="787" t="s">
        <v>13821</v>
      </c>
      <c r="D7737" s="787">
        <v>0</v>
      </c>
      <c r="E7737" s="787">
        <v>0</v>
      </c>
      <c r="H7737" s="787">
        <v>1</v>
      </c>
      <c r="I7737" s="788">
        <v>42103</v>
      </c>
      <c r="K7737" s="788">
        <v>42120</v>
      </c>
      <c r="L7737" s="787">
        <v>11.16</v>
      </c>
      <c r="M7737" s="787">
        <v>10</v>
      </c>
      <c r="N7737" s="787">
        <v>11.16</v>
      </c>
      <c r="O7737" s="788">
        <v>42156</v>
      </c>
    </row>
    <row r="7738" spans="1:15" x14ac:dyDescent="0.25">
      <c r="A7738" s="786" t="s">
        <v>13822</v>
      </c>
      <c r="B7738" s="787">
        <v>4</v>
      </c>
      <c r="C7738" s="787" t="s">
        <v>13823</v>
      </c>
      <c r="D7738" s="787">
        <v>0</v>
      </c>
      <c r="E7738" s="787">
        <v>0</v>
      </c>
      <c r="H7738" s="787">
        <v>1</v>
      </c>
      <c r="I7738" s="788">
        <v>42103</v>
      </c>
      <c r="K7738" s="788">
        <v>42019</v>
      </c>
      <c r="L7738" s="787">
        <v>12</v>
      </c>
      <c r="M7738" s="787">
        <v>10</v>
      </c>
      <c r="N7738" s="787">
        <v>12</v>
      </c>
      <c r="O7738" s="788">
        <v>42156</v>
      </c>
    </row>
    <row r="7739" spans="1:15" x14ac:dyDescent="0.25">
      <c r="A7739" s="786" t="s">
        <v>13824</v>
      </c>
      <c r="B7739" s="787">
        <v>4</v>
      </c>
      <c r="C7739" s="787" t="s">
        <v>13825</v>
      </c>
      <c r="D7739" s="787">
        <v>0</v>
      </c>
      <c r="E7739" s="787">
        <v>0</v>
      </c>
      <c r="H7739" s="787">
        <v>1</v>
      </c>
      <c r="I7739" s="788">
        <v>42103</v>
      </c>
      <c r="K7739" s="788">
        <v>42120</v>
      </c>
      <c r="L7739" s="787">
        <v>11.16</v>
      </c>
      <c r="M7739" s="787">
        <v>10</v>
      </c>
      <c r="N7739" s="787">
        <v>11.16</v>
      </c>
      <c r="O7739" s="788">
        <v>42156</v>
      </c>
    </row>
    <row r="7740" spans="1:15" x14ac:dyDescent="0.25">
      <c r="A7740" s="786" t="s">
        <v>13826</v>
      </c>
      <c r="B7740" s="787">
        <v>4</v>
      </c>
      <c r="C7740" s="787" t="s">
        <v>13827</v>
      </c>
      <c r="D7740" s="787">
        <v>0</v>
      </c>
      <c r="E7740" s="787">
        <v>0</v>
      </c>
      <c r="H7740" s="787">
        <v>1</v>
      </c>
      <c r="I7740" s="788">
        <v>42103</v>
      </c>
      <c r="K7740" s="788">
        <v>42019</v>
      </c>
      <c r="L7740" s="787">
        <v>12</v>
      </c>
      <c r="M7740" s="787">
        <v>10</v>
      </c>
      <c r="N7740" s="787">
        <v>12</v>
      </c>
      <c r="O7740" s="788">
        <v>42156</v>
      </c>
    </row>
    <row r="7741" spans="1:15" x14ac:dyDescent="0.25">
      <c r="A7741" s="786" t="s">
        <v>13828</v>
      </c>
      <c r="B7741" s="787">
        <v>4</v>
      </c>
      <c r="C7741" s="787" t="s">
        <v>13829</v>
      </c>
      <c r="D7741" s="787">
        <v>0</v>
      </c>
      <c r="E7741" s="787">
        <v>0</v>
      </c>
      <c r="H7741" s="787">
        <v>1</v>
      </c>
      <c r="I7741" s="788">
        <v>41948</v>
      </c>
      <c r="L7741" s="787">
        <v>0</v>
      </c>
      <c r="M7741" s="787">
        <v>10</v>
      </c>
      <c r="N7741" s="787">
        <v>12</v>
      </c>
      <c r="O7741" s="788">
        <v>42156</v>
      </c>
    </row>
    <row r="7742" spans="1:15" x14ac:dyDescent="0.25">
      <c r="A7742" s="786" t="s">
        <v>13830</v>
      </c>
      <c r="B7742" s="787">
        <v>4</v>
      </c>
      <c r="C7742" s="787" t="s">
        <v>13831</v>
      </c>
      <c r="D7742" s="787">
        <v>0</v>
      </c>
      <c r="E7742" s="787">
        <v>0</v>
      </c>
      <c r="H7742" s="787">
        <v>1</v>
      </c>
      <c r="I7742" s="788">
        <v>41948</v>
      </c>
      <c r="L7742" s="787">
        <v>0</v>
      </c>
      <c r="M7742" s="787">
        <v>10</v>
      </c>
      <c r="N7742" s="787">
        <v>12</v>
      </c>
      <c r="O7742" s="788">
        <v>42156</v>
      </c>
    </row>
    <row r="7743" spans="1:15" x14ac:dyDescent="0.25">
      <c r="A7743" s="786" t="s">
        <v>13832</v>
      </c>
      <c r="B7743" s="787">
        <v>4</v>
      </c>
      <c r="C7743" s="787" t="s">
        <v>13833</v>
      </c>
      <c r="D7743" s="787">
        <v>0</v>
      </c>
      <c r="E7743" s="787">
        <v>0</v>
      </c>
      <c r="H7743" s="787">
        <v>1</v>
      </c>
      <c r="L7743" s="787">
        <v>0</v>
      </c>
      <c r="M7743" s="787">
        <v>10</v>
      </c>
      <c r="N7743" s="787">
        <v>6.65</v>
      </c>
      <c r="O7743" s="788">
        <v>42146</v>
      </c>
    </row>
    <row r="7744" spans="1:15" x14ac:dyDescent="0.25">
      <c r="A7744" s="786" t="s">
        <v>13834</v>
      </c>
      <c r="B7744" s="787">
        <v>4</v>
      </c>
      <c r="C7744" s="787" t="s">
        <v>13835</v>
      </c>
      <c r="D7744" s="787">
        <v>0</v>
      </c>
      <c r="E7744" s="787">
        <v>0</v>
      </c>
      <c r="H7744" s="787">
        <v>1</v>
      </c>
      <c r="L7744" s="787">
        <v>0</v>
      </c>
      <c r="M7744" s="787">
        <v>10</v>
      </c>
      <c r="N7744" s="787">
        <v>6.65</v>
      </c>
      <c r="O7744" s="788">
        <v>42146</v>
      </c>
    </row>
    <row r="7745" spans="1:15" x14ac:dyDescent="0.25">
      <c r="A7745" s="786" t="s">
        <v>13836</v>
      </c>
      <c r="B7745" s="787">
        <v>4</v>
      </c>
      <c r="C7745" s="787" t="s">
        <v>13837</v>
      </c>
      <c r="D7745" s="787">
        <v>0</v>
      </c>
      <c r="E7745" s="787">
        <v>0</v>
      </c>
      <c r="H7745" s="787">
        <v>1</v>
      </c>
      <c r="L7745" s="787">
        <v>0</v>
      </c>
      <c r="M7745" s="787">
        <v>10</v>
      </c>
      <c r="N7745" s="787">
        <v>6.65</v>
      </c>
      <c r="O7745" s="788">
        <v>42146</v>
      </c>
    </row>
    <row r="7746" spans="1:15" x14ac:dyDescent="0.25">
      <c r="A7746" s="786" t="s">
        <v>13838</v>
      </c>
      <c r="B7746" s="787">
        <v>4</v>
      </c>
      <c r="C7746" s="787" t="s">
        <v>13839</v>
      </c>
      <c r="D7746" s="787">
        <v>0</v>
      </c>
      <c r="E7746" s="787">
        <v>0</v>
      </c>
      <c r="H7746" s="787">
        <v>1</v>
      </c>
      <c r="L7746" s="787">
        <v>0</v>
      </c>
      <c r="M7746" s="787">
        <v>10</v>
      </c>
      <c r="N7746" s="787">
        <v>6.65</v>
      </c>
      <c r="O7746" s="788">
        <v>42146</v>
      </c>
    </row>
    <row r="7747" spans="1:15" x14ac:dyDescent="0.25">
      <c r="A7747" s="786" t="s">
        <v>13840</v>
      </c>
      <c r="B7747" s="787">
        <v>4</v>
      </c>
      <c r="C7747" s="787" t="s">
        <v>13841</v>
      </c>
      <c r="D7747" s="787">
        <v>0</v>
      </c>
      <c r="E7747" s="787">
        <v>0</v>
      </c>
      <c r="H7747" s="787">
        <v>1</v>
      </c>
      <c r="K7747" s="788">
        <v>42109</v>
      </c>
      <c r="L7747" s="787">
        <v>14</v>
      </c>
      <c r="M7747" s="787">
        <v>10</v>
      </c>
      <c r="N7747" s="787">
        <v>13.98</v>
      </c>
      <c r="O7747" s="788">
        <v>42146</v>
      </c>
    </row>
    <row r="7748" spans="1:15" x14ac:dyDescent="0.25">
      <c r="A7748" s="786" t="s">
        <v>13842</v>
      </c>
      <c r="B7748" s="787">
        <v>4</v>
      </c>
      <c r="C7748" s="787" t="s">
        <v>13843</v>
      </c>
      <c r="D7748" s="787">
        <v>0</v>
      </c>
      <c r="E7748" s="787">
        <v>0</v>
      </c>
      <c r="H7748" s="787">
        <v>1</v>
      </c>
      <c r="L7748" s="787">
        <v>0</v>
      </c>
      <c r="M7748" s="787">
        <v>10</v>
      </c>
      <c r="N7748" s="787">
        <v>9.68</v>
      </c>
      <c r="O7748" s="788">
        <v>42146</v>
      </c>
    </row>
    <row r="7749" spans="1:15" x14ac:dyDescent="0.25">
      <c r="A7749" s="786" t="s">
        <v>13844</v>
      </c>
      <c r="B7749" s="787">
        <v>4</v>
      </c>
      <c r="C7749" s="787" t="s">
        <v>13845</v>
      </c>
      <c r="D7749" s="787">
        <v>3.76</v>
      </c>
      <c r="E7749" s="787">
        <v>13.76</v>
      </c>
      <c r="F7749" s="788">
        <v>41579</v>
      </c>
      <c r="G7749" s="788">
        <v>41579</v>
      </c>
      <c r="H7749" s="787">
        <v>1</v>
      </c>
      <c r="I7749" s="788">
        <v>41547</v>
      </c>
      <c r="J7749" s="788">
        <v>41544</v>
      </c>
      <c r="L7749" s="787">
        <v>2</v>
      </c>
      <c r="M7749" s="787">
        <v>10</v>
      </c>
      <c r="N7749" s="787">
        <v>11.07</v>
      </c>
      <c r="O7749" s="788">
        <v>42146</v>
      </c>
    </row>
    <row r="7750" spans="1:15" x14ac:dyDescent="0.25">
      <c r="A7750" s="786" t="s">
        <v>13846</v>
      </c>
      <c r="B7750" s="787">
        <v>4</v>
      </c>
      <c r="C7750" s="787" t="s">
        <v>13847</v>
      </c>
      <c r="D7750" s="787">
        <v>6.89</v>
      </c>
      <c r="E7750" s="787">
        <v>39.68</v>
      </c>
      <c r="F7750" s="788">
        <v>39975</v>
      </c>
      <c r="G7750" s="788">
        <v>41646</v>
      </c>
      <c r="H7750" s="787">
        <v>1</v>
      </c>
      <c r="I7750" s="788">
        <v>42060</v>
      </c>
      <c r="J7750" s="788">
        <v>42061</v>
      </c>
      <c r="K7750" s="788">
        <v>41428</v>
      </c>
      <c r="L7750" s="787">
        <v>1</v>
      </c>
      <c r="M7750" s="787">
        <v>10</v>
      </c>
      <c r="N7750" s="787">
        <v>34.770000000000003</v>
      </c>
      <c r="O7750" s="788">
        <v>42146</v>
      </c>
    </row>
    <row r="7751" spans="1:15" x14ac:dyDescent="0.25">
      <c r="A7751" s="786" t="s">
        <v>13848</v>
      </c>
      <c r="B7751" s="787">
        <v>4</v>
      </c>
      <c r="C7751" s="787" t="s">
        <v>13849</v>
      </c>
      <c r="D7751" s="787">
        <v>6.59</v>
      </c>
      <c r="E7751" s="787">
        <v>16.59</v>
      </c>
      <c r="F7751" s="788">
        <v>41579</v>
      </c>
      <c r="G7751" s="788">
        <v>41579</v>
      </c>
      <c r="H7751" s="787">
        <v>1</v>
      </c>
      <c r="I7751" s="788">
        <v>41547</v>
      </c>
      <c r="J7751" s="788">
        <v>41547</v>
      </c>
      <c r="L7751" s="787">
        <v>2.5</v>
      </c>
      <c r="M7751" s="787">
        <v>10</v>
      </c>
      <c r="N7751" s="787">
        <v>16.8</v>
      </c>
      <c r="O7751" s="788">
        <v>42146</v>
      </c>
    </row>
    <row r="7752" spans="1:15" x14ac:dyDescent="0.25">
      <c r="A7752" s="786" t="s">
        <v>13850</v>
      </c>
      <c r="B7752" s="787">
        <v>4</v>
      </c>
      <c r="C7752" s="787" t="s">
        <v>13851</v>
      </c>
      <c r="D7752" s="787">
        <v>0.68</v>
      </c>
      <c r="E7752" s="787">
        <v>0.68</v>
      </c>
      <c r="F7752" s="788">
        <v>41813</v>
      </c>
      <c r="G7752" s="788">
        <v>41943</v>
      </c>
      <c r="H7752" s="787">
        <v>6</v>
      </c>
      <c r="I7752" s="788">
        <v>41954</v>
      </c>
      <c r="J7752" s="788">
        <v>41544</v>
      </c>
      <c r="K7752" s="788">
        <v>41331</v>
      </c>
      <c r="L7752" s="787">
        <v>1</v>
      </c>
      <c r="M7752" s="787">
        <v>10</v>
      </c>
      <c r="N7752" s="787">
        <v>1.1000000000000001</v>
      </c>
      <c r="O7752" s="788">
        <v>41946</v>
      </c>
    </row>
    <row r="7753" spans="1:15" x14ac:dyDescent="0.25">
      <c r="A7753" s="786" t="s">
        <v>13852</v>
      </c>
      <c r="B7753" s="787">
        <v>4</v>
      </c>
      <c r="C7753" s="787" t="s">
        <v>13853</v>
      </c>
      <c r="D7753" s="787">
        <v>0.2</v>
      </c>
      <c r="E7753" s="787">
        <v>2.4500000000000002</v>
      </c>
      <c r="F7753" s="788">
        <v>40644</v>
      </c>
      <c r="G7753" s="788">
        <v>42118</v>
      </c>
      <c r="H7753" s="787">
        <v>1</v>
      </c>
      <c r="I7753" s="788">
        <v>42093</v>
      </c>
      <c r="J7753" s="788">
        <v>42088</v>
      </c>
      <c r="K7753" s="788">
        <v>41331</v>
      </c>
      <c r="L7753" s="787">
        <v>1.03</v>
      </c>
      <c r="M7753" s="787">
        <v>10</v>
      </c>
      <c r="N7753" s="787">
        <v>0.99</v>
      </c>
      <c r="O7753" s="788">
        <v>42146</v>
      </c>
    </row>
    <row r="7754" spans="1:15" x14ac:dyDescent="0.25">
      <c r="A7754" s="786" t="s">
        <v>13854</v>
      </c>
      <c r="B7754" s="787">
        <v>4</v>
      </c>
      <c r="C7754" s="787" t="s">
        <v>13855</v>
      </c>
      <c r="D7754" s="787">
        <v>0.74</v>
      </c>
      <c r="E7754" s="787">
        <v>1.05</v>
      </c>
      <c r="F7754" s="788">
        <v>41369</v>
      </c>
      <c r="G7754" s="788">
        <v>41943</v>
      </c>
      <c r="H7754" s="787">
        <v>1</v>
      </c>
      <c r="I7754" s="788">
        <v>41968</v>
      </c>
      <c r="J7754" s="788">
        <v>41667</v>
      </c>
      <c r="L7754" s="787">
        <v>0</v>
      </c>
      <c r="M7754" s="787">
        <v>10</v>
      </c>
      <c r="N7754" s="787">
        <v>2.71</v>
      </c>
      <c r="O7754" s="788">
        <v>42146</v>
      </c>
    </row>
    <row r="7755" spans="1:15" x14ac:dyDescent="0.25">
      <c r="A7755" s="786" t="s">
        <v>13856</v>
      </c>
      <c r="B7755" s="787">
        <v>4</v>
      </c>
      <c r="C7755" s="787" t="s">
        <v>13857</v>
      </c>
      <c r="D7755" s="787">
        <v>1.47</v>
      </c>
      <c r="E7755" s="787">
        <v>1.7</v>
      </c>
      <c r="F7755" s="788">
        <v>41247</v>
      </c>
      <c r="G7755" s="788">
        <v>41943</v>
      </c>
      <c r="H7755" s="787">
        <v>1</v>
      </c>
      <c r="I7755" s="788">
        <v>41968</v>
      </c>
      <c r="J7755" s="788">
        <v>41613</v>
      </c>
      <c r="K7755" s="788">
        <v>41477</v>
      </c>
      <c r="L7755" s="787">
        <v>2.64</v>
      </c>
      <c r="M7755" s="787">
        <v>10</v>
      </c>
      <c r="N7755" s="787">
        <v>2.64</v>
      </c>
      <c r="O7755" s="788">
        <v>42146</v>
      </c>
    </row>
    <row r="7756" spans="1:15" x14ac:dyDescent="0.25">
      <c r="A7756" s="786" t="s">
        <v>13858</v>
      </c>
      <c r="B7756" s="787">
        <v>4</v>
      </c>
      <c r="C7756" s="787" t="s">
        <v>13859</v>
      </c>
      <c r="D7756" s="787">
        <v>0.91</v>
      </c>
      <c r="E7756" s="787">
        <v>1.08</v>
      </c>
      <c r="F7756" s="788">
        <v>41134</v>
      </c>
      <c r="G7756" s="788">
        <v>41943</v>
      </c>
      <c r="H7756" s="787">
        <v>1</v>
      </c>
      <c r="I7756" s="788">
        <v>41968</v>
      </c>
      <c r="J7756" s="788">
        <v>41337</v>
      </c>
      <c r="L7756" s="787">
        <v>0</v>
      </c>
      <c r="M7756" s="787">
        <v>10</v>
      </c>
      <c r="N7756" s="787">
        <v>3.14</v>
      </c>
      <c r="O7756" s="788">
        <v>42146</v>
      </c>
    </row>
    <row r="7757" spans="1:15" x14ac:dyDescent="0.25">
      <c r="A7757" s="786" t="s">
        <v>13860</v>
      </c>
      <c r="B7757" s="787">
        <v>4</v>
      </c>
      <c r="C7757" s="787" t="s">
        <v>13861</v>
      </c>
      <c r="D7757" s="787">
        <v>0</v>
      </c>
      <c r="E7757" s="787">
        <v>0</v>
      </c>
      <c r="H7757" s="787">
        <v>1</v>
      </c>
      <c r="L7757" s="787">
        <v>0</v>
      </c>
      <c r="M7757" s="787">
        <v>10</v>
      </c>
      <c r="N7757" s="787">
        <v>10.19</v>
      </c>
      <c r="O7757" s="788">
        <v>42146</v>
      </c>
    </row>
    <row r="7758" spans="1:15" x14ac:dyDescent="0.25">
      <c r="A7758" s="786" t="s">
        <v>13862</v>
      </c>
      <c r="B7758" s="787">
        <v>4</v>
      </c>
      <c r="C7758" s="787" t="s">
        <v>13863</v>
      </c>
      <c r="D7758" s="787">
        <v>0</v>
      </c>
      <c r="E7758" s="787">
        <v>0</v>
      </c>
      <c r="H7758" s="787">
        <v>1</v>
      </c>
      <c r="I7758" s="788">
        <v>42152</v>
      </c>
      <c r="K7758" s="788">
        <v>41709</v>
      </c>
      <c r="L7758" s="787">
        <v>1</v>
      </c>
      <c r="M7758" s="787">
        <v>10</v>
      </c>
      <c r="N7758" s="787">
        <v>0.21</v>
      </c>
      <c r="O7758" s="788">
        <v>42146</v>
      </c>
    </row>
    <row r="7759" spans="1:15" x14ac:dyDescent="0.25">
      <c r="A7759" s="786" t="s">
        <v>13864</v>
      </c>
      <c r="B7759" s="787">
        <v>4</v>
      </c>
      <c r="C7759" s="787" t="s">
        <v>13865</v>
      </c>
      <c r="D7759" s="787">
        <v>0</v>
      </c>
      <c r="E7759" s="787">
        <v>0</v>
      </c>
      <c r="H7759" s="787">
        <v>1</v>
      </c>
      <c r="L7759" s="787">
        <v>0</v>
      </c>
      <c r="M7759" s="787">
        <v>10</v>
      </c>
      <c r="N7759" s="787">
        <v>5.57</v>
      </c>
      <c r="O7759" s="788">
        <v>42146</v>
      </c>
    </row>
    <row r="7760" spans="1:15" x14ac:dyDescent="0.25">
      <c r="A7760" s="786" t="s">
        <v>13866</v>
      </c>
      <c r="B7760" s="787">
        <v>4</v>
      </c>
      <c r="C7760" s="787" t="s">
        <v>13867</v>
      </c>
      <c r="D7760" s="787">
        <v>0</v>
      </c>
      <c r="E7760" s="787">
        <v>0</v>
      </c>
      <c r="H7760" s="787">
        <v>1</v>
      </c>
      <c r="L7760" s="787">
        <v>0</v>
      </c>
      <c r="M7760" s="787">
        <v>10</v>
      </c>
      <c r="N7760" s="787">
        <v>7.64</v>
      </c>
      <c r="O7760" s="788">
        <v>42146</v>
      </c>
    </row>
    <row r="7761" spans="1:15" x14ac:dyDescent="0.25">
      <c r="A7761" s="786" t="s">
        <v>13868</v>
      </c>
      <c r="B7761" s="787">
        <v>4</v>
      </c>
      <c r="C7761" s="787" t="s">
        <v>13869</v>
      </c>
      <c r="D7761" s="787">
        <v>0.1</v>
      </c>
      <c r="E7761" s="787">
        <v>1.02</v>
      </c>
      <c r="F7761" s="788">
        <v>41369</v>
      </c>
      <c r="G7761" s="788">
        <v>41943</v>
      </c>
      <c r="H7761" s="787">
        <v>1</v>
      </c>
      <c r="I7761" s="788">
        <v>41968</v>
      </c>
      <c r="J7761" s="788">
        <v>41571</v>
      </c>
      <c r="K7761" s="788">
        <v>41376</v>
      </c>
      <c r="L7761" s="787">
        <v>1.72</v>
      </c>
      <c r="M7761" s="787">
        <v>10</v>
      </c>
      <c r="N7761" s="787">
        <v>1.04</v>
      </c>
      <c r="O7761" s="788">
        <v>42146</v>
      </c>
    </row>
    <row r="7762" spans="1:15" x14ac:dyDescent="0.25">
      <c r="A7762" s="786" t="s">
        <v>13870</v>
      </c>
      <c r="B7762" s="787">
        <v>4</v>
      </c>
      <c r="C7762" s="787" t="s">
        <v>13871</v>
      </c>
      <c r="D7762" s="787">
        <v>0</v>
      </c>
      <c r="E7762" s="787">
        <v>0</v>
      </c>
      <c r="H7762" s="787">
        <v>1</v>
      </c>
      <c r="L7762" s="787">
        <v>0</v>
      </c>
      <c r="M7762" s="787">
        <v>10</v>
      </c>
      <c r="N7762" s="787">
        <v>7.6</v>
      </c>
      <c r="O7762" s="788">
        <v>42146</v>
      </c>
    </row>
    <row r="7763" spans="1:15" x14ac:dyDescent="0.25">
      <c r="A7763" s="786" t="s">
        <v>13872</v>
      </c>
      <c r="B7763" s="787">
        <v>4</v>
      </c>
      <c r="C7763" s="787" t="s">
        <v>13873</v>
      </c>
      <c r="D7763" s="787">
        <v>3.15</v>
      </c>
      <c r="E7763" s="787">
        <v>3.2</v>
      </c>
      <c r="F7763" s="788">
        <v>39903</v>
      </c>
      <c r="G7763" s="788">
        <v>39986</v>
      </c>
      <c r="H7763" s="787">
        <v>1</v>
      </c>
      <c r="I7763" s="788">
        <v>40393</v>
      </c>
      <c r="J7763" s="788">
        <v>39966</v>
      </c>
      <c r="K7763" s="788">
        <v>40078</v>
      </c>
      <c r="L7763" s="787">
        <v>3.8</v>
      </c>
      <c r="M7763" s="787">
        <v>20</v>
      </c>
      <c r="N7763" s="787">
        <v>4.58</v>
      </c>
      <c r="O7763" s="788">
        <v>42146</v>
      </c>
    </row>
    <row r="7764" spans="1:15" x14ac:dyDescent="0.25">
      <c r="A7764" s="786" t="s">
        <v>13874</v>
      </c>
      <c r="B7764" s="787">
        <v>4</v>
      </c>
      <c r="C7764" s="787" t="s">
        <v>13875</v>
      </c>
      <c r="D7764" s="787">
        <v>0</v>
      </c>
      <c r="E7764" s="787">
        <v>0</v>
      </c>
      <c r="H7764" s="787">
        <v>1</v>
      </c>
      <c r="L7764" s="787">
        <v>0</v>
      </c>
      <c r="M7764" s="787">
        <v>10</v>
      </c>
      <c r="N7764" s="787">
        <v>10.19</v>
      </c>
      <c r="O7764" s="788">
        <v>42146</v>
      </c>
    </row>
    <row r="7765" spans="1:15" x14ac:dyDescent="0.25">
      <c r="A7765" s="786" t="s">
        <v>13876</v>
      </c>
      <c r="B7765" s="787">
        <v>4</v>
      </c>
      <c r="C7765" s="787" t="s">
        <v>13877</v>
      </c>
      <c r="D7765" s="787">
        <v>0</v>
      </c>
      <c r="E7765" s="787">
        <v>0</v>
      </c>
      <c r="H7765" s="787">
        <v>1</v>
      </c>
      <c r="L7765" s="787">
        <v>0</v>
      </c>
      <c r="M7765" s="787">
        <v>10</v>
      </c>
      <c r="N7765" s="787">
        <v>7.6</v>
      </c>
      <c r="O7765" s="788">
        <v>42146</v>
      </c>
    </row>
    <row r="7766" spans="1:15" x14ac:dyDescent="0.25">
      <c r="A7766" s="786" t="s">
        <v>13878</v>
      </c>
      <c r="B7766" s="787">
        <v>4</v>
      </c>
      <c r="C7766" s="787" t="s">
        <v>13879</v>
      </c>
      <c r="D7766" s="787">
        <v>0</v>
      </c>
      <c r="E7766" s="787">
        <v>0</v>
      </c>
      <c r="H7766" s="787">
        <v>1</v>
      </c>
      <c r="L7766" s="787">
        <v>0</v>
      </c>
      <c r="M7766" s="787">
        <v>10</v>
      </c>
      <c r="N7766" s="787">
        <v>7.64</v>
      </c>
      <c r="O7766" s="788">
        <v>42146</v>
      </c>
    </row>
    <row r="7767" spans="1:15" x14ac:dyDescent="0.25">
      <c r="A7767" s="786" t="s">
        <v>13880</v>
      </c>
      <c r="B7767" s="787">
        <v>4</v>
      </c>
      <c r="C7767" s="787" t="s">
        <v>13881</v>
      </c>
      <c r="D7767" s="787">
        <v>0</v>
      </c>
      <c r="E7767" s="787">
        <v>0</v>
      </c>
      <c r="H7767" s="787">
        <v>1</v>
      </c>
      <c r="L7767" s="787">
        <v>0</v>
      </c>
      <c r="M7767" s="787">
        <v>10</v>
      </c>
      <c r="N7767" s="787">
        <v>5.57</v>
      </c>
      <c r="O7767" s="788">
        <v>42146</v>
      </c>
    </row>
    <row r="7768" spans="1:15" x14ac:dyDescent="0.25">
      <c r="A7768" s="786" t="s">
        <v>13882</v>
      </c>
      <c r="B7768" s="787">
        <v>4</v>
      </c>
      <c r="C7768" s="787" t="s">
        <v>13883</v>
      </c>
      <c r="D7768" s="787">
        <v>0</v>
      </c>
      <c r="E7768" s="787">
        <v>0</v>
      </c>
      <c r="H7768" s="787">
        <v>1</v>
      </c>
      <c r="I7768" s="788">
        <v>42152</v>
      </c>
      <c r="K7768" s="788">
        <v>41709</v>
      </c>
      <c r="L7768" s="787">
        <v>1</v>
      </c>
      <c r="M7768" s="787">
        <v>10</v>
      </c>
      <c r="N7768" s="787">
        <v>0.21</v>
      </c>
      <c r="O7768" s="788">
        <v>42146</v>
      </c>
    </row>
    <row r="7769" spans="1:15" x14ac:dyDescent="0.25">
      <c r="A7769" s="786" t="s">
        <v>13884</v>
      </c>
      <c r="B7769" s="787">
        <v>4</v>
      </c>
      <c r="C7769" s="787" t="s">
        <v>13885</v>
      </c>
      <c r="D7769" s="787">
        <v>0</v>
      </c>
      <c r="E7769" s="787">
        <v>0</v>
      </c>
      <c r="H7769" s="787">
        <v>1</v>
      </c>
      <c r="I7769" s="788">
        <v>40305</v>
      </c>
      <c r="L7769" s="787">
        <v>0</v>
      </c>
      <c r="M7769" s="787">
        <v>10</v>
      </c>
      <c r="N7769" s="787">
        <v>3.95</v>
      </c>
      <c r="O7769" s="788">
        <v>42146</v>
      </c>
    </row>
    <row r="7770" spans="1:15" x14ac:dyDescent="0.25">
      <c r="A7770" s="786" t="s">
        <v>13886</v>
      </c>
      <c r="B7770" s="787">
        <v>4</v>
      </c>
      <c r="C7770" s="787" t="s">
        <v>13887</v>
      </c>
      <c r="D7770" s="787">
        <v>0</v>
      </c>
      <c r="E7770" s="787">
        <v>0</v>
      </c>
      <c r="H7770" s="787">
        <v>1</v>
      </c>
      <c r="L7770" s="787">
        <v>0</v>
      </c>
      <c r="M7770" s="787">
        <v>10</v>
      </c>
      <c r="N7770" s="787">
        <v>6.51</v>
      </c>
      <c r="O7770" s="788">
        <v>42146</v>
      </c>
    </row>
    <row r="7771" spans="1:15" x14ac:dyDescent="0.25">
      <c r="A7771" s="786" t="s">
        <v>13888</v>
      </c>
      <c r="B7771" s="787">
        <v>4</v>
      </c>
      <c r="C7771" s="787" t="s">
        <v>13889</v>
      </c>
      <c r="D7771" s="787">
        <v>0</v>
      </c>
      <c r="E7771" s="787">
        <v>0</v>
      </c>
      <c r="H7771" s="787">
        <v>1</v>
      </c>
      <c r="L7771" s="787">
        <v>0</v>
      </c>
      <c r="M7771" s="787">
        <v>10</v>
      </c>
      <c r="N7771" s="787">
        <v>6.51</v>
      </c>
      <c r="O7771" s="788">
        <v>42146</v>
      </c>
    </row>
    <row r="7772" spans="1:15" x14ac:dyDescent="0.25">
      <c r="A7772" s="786" t="s">
        <v>13890</v>
      </c>
      <c r="B7772" s="787">
        <v>4</v>
      </c>
      <c r="C7772" s="787" t="s">
        <v>11002</v>
      </c>
      <c r="D7772" s="787">
        <v>2</v>
      </c>
      <c r="E7772" s="787">
        <v>2</v>
      </c>
      <c r="F7772" s="788">
        <v>39975</v>
      </c>
      <c r="G7772" s="788">
        <v>39905</v>
      </c>
      <c r="H7772" s="787">
        <v>1</v>
      </c>
      <c r="J7772" s="788">
        <v>39905</v>
      </c>
      <c r="L7772" s="787">
        <v>0</v>
      </c>
      <c r="M7772" s="787">
        <v>10</v>
      </c>
      <c r="N7772" s="787">
        <v>2.1800000000000002</v>
      </c>
      <c r="O7772" s="788">
        <v>42146</v>
      </c>
    </row>
    <row r="7773" spans="1:15" x14ac:dyDescent="0.25">
      <c r="A7773" s="786" t="s">
        <v>13891</v>
      </c>
      <c r="B7773" s="787">
        <v>4</v>
      </c>
      <c r="C7773" s="787" t="s">
        <v>13892</v>
      </c>
      <c r="D7773" s="787">
        <v>0</v>
      </c>
      <c r="E7773" s="787">
        <v>0</v>
      </c>
      <c r="H7773" s="787">
        <v>1</v>
      </c>
      <c r="K7773" s="788">
        <v>42109</v>
      </c>
      <c r="L7773" s="787">
        <v>6</v>
      </c>
      <c r="M7773" s="787">
        <v>10</v>
      </c>
      <c r="N7773" s="787">
        <v>17.88</v>
      </c>
      <c r="O7773" s="788">
        <v>42146</v>
      </c>
    </row>
    <row r="7774" spans="1:15" x14ac:dyDescent="0.25">
      <c r="A7774" s="786" t="s">
        <v>13893</v>
      </c>
      <c r="B7774" s="787">
        <v>4</v>
      </c>
      <c r="C7774" s="787" t="s">
        <v>13894</v>
      </c>
      <c r="D7774" s="787">
        <v>0</v>
      </c>
      <c r="E7774" s="787">
        <v>0</v>
      </c>
      <c r="H7774" s="787">
        <v>1</v>
      </c>
      <c r="I7774" s="788">
        <v>41582</v>
      </c>
      <c r="K7774" s="788">
        <v>42109</v>
      </c>
      <c r="L7774" s="787">
        <v>6</v>
      </c>
      <c r="M7774" s="787">
        <v>10</v>
      </c>
      <c r="N7774" s="787">
        <v>17.88</v>
      </c>
      <c r="O7774" s="788">
        <v>42146</v>
      </c>
    </row>
    <row r="7775" spans="1:15" x14ac:dyDescent="0.25">
      <c r="A7775" s="786" t="s">
        <v>13895</v>
      </c>
      <c r="B7775" s="787">
        <v>4</v>
      </c>
      <c r="C7775" s="787" t="s">
        <v>13896</v>
      </c>
      <c r="D7775" s="787">
        <v>1.0900000000000001</v>
      </c>
      <c r="E7775" s="787">
        <v>13.22</v>
      </c>
      <c r="F7775" s="788">
        <v>40659</v>
      </c>
      <c r="G7775" s="788">
        <v>41565</v>
      </c>
      <c r="H7775" s="787">
        <v>1</v>
      </c>
      <c r="J7775" s="788">
        <v>40784</v>
      </c>
      <c r="K7775" s="788">
        <v>42107</v>
      </c>
      <c r="L7775" s="787">
        <v>10</v>
      </c>
      <c r="M7775" s="787">
        <v>10</v>
      </c>
      <c r="N7775" s="787">
        <v>9.4700000000000006</v>
      </c>
      <c r="O7775" s="788">
        <v>42146</v>
      </c>
    </row>
    <row r="7776" spans="1:15" x14ac:dyDescent="0.25">
      <c r="A7776" s="786" t="s">
        <v>13897</v>
      </c>
      <c r="B7776" s="787">
        <v>4</v>
      </c>
      <c r="C7776" s="787" t="s">
        <v>13898</v>
      </c>
      <c r="D7776" s="787">
        <v>0</v>
      </c>
      <c r="E7776" s="787">
        <v>0</v>
      </c>
      <c r="H7776" s="787">
        <v>1</v>
      </c>
      <c r="I7776" s="788">
        <v>40953</v>
      </c>
      <c r="K7776" s="788">
        <v>42159</v>
      </c>
      <c r="L7776" s="787">
        <v>6.3</v>
      </c>
      <c r="M7776" s="787">
        <v>10</v>
      </c>
      <c r="N7776" s="787">
        <v>6.3</v>
      </c>
      <c r="O7776" s="788">
        <v>42146</v>
      </c>
    </row>
    <row r="7777" spans="1:15" x14ac:dyDescent="0.25">
      <c r="A7777" s="786" t="s">
        <v>13899</v>
      </c>
      <c r="B7777" s="787">
        <v>4</v>
      </c>
      <c r="C7777" s="787" t="s">
        <v>13900</v>
      </c>
      <c r="D7777" s="787">
        <v>0</v>
      </c>
      <c r="E7777" s="787">
        <v>0</v>
      </c>
      <c r="H7777" s="787">
        <v>1</v>
      </c>
      <c r="K7777" s="788">
        <v>42159</v>
      </c>
      <c r="L7777" s="787">
        <v>5.82</v>
      </c>
      <c r="M7777" s="787">
        <v>10</v>
      </c>
      <c r="N7777" s="787">
        <v>5.82</v>
      </c>
      <c r="O7777" s="788">
        <v>42146</v>
      </c>
    </row>
    <row r="7778" spans="1:15" x14ac:dyDescent="0.25">
      <c r="A7778" s="786" t="s">
        <v>13901</v>
      </c>
      <c r="B7778" s="787">
        <v>4</v>
      </c>
      <c r="C7778" s="787" t="s">
        <v>13902</v>
      </c>
      <c r="D7778" s="787">
        <v>3.21</v>
      </c>
      <c r="E7778" s="787">
        <v>13.21</v>
      </c>
      <c r="F7778" s="788">
        <v>41135</v>
      </c>
      <c r="G7778" s="788">
        <v>41135</v>
      </c>
      <c r="H7778" s="787">
        <v>1</v>
      </c>
      <c r="J7778" s="788">
        <v>40793</v>
      </c>
      <c r="L7778" s="787">
        <v>0</v>
      </c>
      <c r="M7778" s="787">
        <v>10</v>
      </c>
      <c r="N7778" s="787">
        <v>11.49</v>
      </c>
      <c r="O7778" s="788">
        <v>42146</v>
      </c>
    </row>
    <row r="7779" spans="1:15" x14ac:dyDescent="0.25">
      <c r="A7779" s="786" t="s">
        <v>13903</v>
      </c>
      <c r="B7779" s="787">
        <v>4</v>
      </c>
      <c r="C7779" s="787" t="s">
        <v>13904</v>
      </c>
      <c r="D7779" s="787">
        <v>0</v>
      </c>
      <c r="E7779" s="787">
        <v>0</v>
      </c>
      <c r="H7779" s="787">
        <v>1</v>
      </c>
      <c r="L7779" s="787">
        <v>0</v>
      </c>
      <c r="M7779" s="787">
        <v>10</v>
      </c>
      <c r="N7779" s="787">
        <v>7.28</v>
      </c>
      <c r="O7779" s="788">
        <v>42146</v>
      </c>
    </row>
    <row r="7780" spans="1:15" x14ac:dyDescent="0.25">
      <c r="A7780" s="786" t="s">
        <v>13905</v>
      </c>
      <c r="B7780" s="787">
        <v>4</v>
      </c>
      <c r="C7780" s="787" t="s">
        <v>13906</v>
      </c>
      <c r="D7780" s="787">
        <v>0</v>
      </c>
      <c r="E7780" s="787">
        <v>0</v>
      </c>
      <c r="H7780" s="787">
        <v>1</v>
      </c>
      <c r="L7780" s="787">
        <v>0</v>
      </c>
      <c r="M7780" s="787">
        <v>10</v>
      </c>
      <c r="N7780" s="787">
        <v>7.28</v>
      </c>
      <c r="O7780" s="788">
        <v>42146</v>
      </c>
    </row>
    <row r="7781" spans="1:15" x14ac:dyDescent="0.25">
      <c r="A7781" s="786" t="s">
        <v>13907</v>
      </c>
      <c r="B7781" s="787">
        <v>4</v>
      </c>
      <c r="C7781" s="787" t="s">
        <v>13833</v>
      </c>
      <c r="D7781" s="787">
        <v>0</v>
      </c>
      <c r="E7781" s="787">
        <v>0</v>
      </c>
      <c r="H7781" s="787">
        <v>1</v>
      </c>
      <c r="L7781" s="787">
        <v>0</v>
      </c>
      <c r="M7781" s="787">
        <v>10</v>
      </c>
      <c r="N7781" s="787">
        <v>7.28</v>
      </c>
      <c r="O7781" s="788">
        <v>42146</v>
      </c>
    </row>
    <row r="7782" spans="1:15" x14ac:dyDescent="0.25">
      <c r="A7782" s="786" t="s">
        <v>13908</v>
      </c>
      <c r="B7782" s="787">
        <v>4</v>
      </c>
      <c r="C7782" s="787" t="s">
        <v>13839</v>
      </c>
      <c r="D7782" s="787">
        <v>0</v>
      </c>
      <c r="E7782" s="787">
        <v>0</v>
      </c>
      <c r="H7782" s="787">
        <v>1</v>
      </c>
      <c r="L7782" s="787">
        <v>0</v>
      </c>
      <c r="M7782" s="787">
        <v>10</v>
      </c>
      <c r="N7782" s="787">
        <v>7.28</v>
      </c>
      <c r="O7782" s="788">
        <v>42146</v>
      </c>
    </row>
    <row r="7783" spans="1:15" x14ac:dyDescent="0.25">
      <c r="A7783" s="786" t="s">
        <v>13909</v>
      </c>
      <c r="B7783" s="787">
        <v>4</v>
      </c>
      <c r="C7783" s="787" t="s">
        <v>13837</v>
      </c>
      <c r="D7783" s="787">
        <v>0</v>
      </c>
      <c r="E7783" s="787">
        <v>0</v>
      </c>
      <c r="H7783" s="787">
        <v>1</v>
      </c>
      <c r="L7783" s="787">
        <v>0</v>
      </c>
      <c r="M7783" s="787">
        <v>10</v>
      </c>
      <c r="N7783" s="787">
        <v>7.28</v>
      </c>
      <c r="O7783" s="788">
        <v>42146</v>
      </c>
    </row>
    <row r="7784" spans="1:15" x14ac:dyDescent="0.25">
      <c r="A7784" s="786" t="s">
        <v>13910</v>
      </c>
      <c r="B7784" s="787">
        <v>4</v>
      </c>
      <c r="C7784" s="787" t="s">
        <v>13911</v>
      </c>
      <c r="D7784" s="787">
        <v>1.37</v>
      </c>
      <c r="E7784" s="787">
        <v>5.48</v>
      </c>
      <c r="F7784" s="788">
        <v>41775</v>
      </c>
      <c r="G7784" s="788">
        <v>42017</v>
      </c>
      <c r="H7784" s="787">
        <v>1</v>
      </c>
      <c r="I7784" s="788">
        <v>42094</v>
      </c>
      <c r="J7784" s="788">
        <v>41982</v>
      </c>
      <c r="K7784" s="788">
        <v>41719</v>
      </c>
      <c r="L7784" s="787">
        <v>2.5</v>
      </c>
      <c r="M7784" s="787">
        <v>10</v>
      </c>
      <c r="N7784" s="787">
        <v>10.050000000000001</v>
      </c>
      <c r="O7784" s="788">
        <v>42146</v>
      </c>
    </row>
    <row r="7785" spans="1:15" x14ac:dyDescent="0.25">
      <c r="A7785" s="786" t="s">
        <v>13912</v>
      </c>
      <c r="B7785" s="787">
        <v>4</v>
      </c>
      <c r="C7785" s="787" t="s">
        <v>13913</v>
      </c>
      <c r="D7785" s="787">
        <v>0.33</v>
      </c>
      <c r="E7785" s="787">
        <v>0.35</v>
      </c>
      <c r="F7785" s="788">
        <v>41809</v>
      </c>
      <c r="G7785" s="788">
        <v>42142</v>
      </c>
      <c r="H7785" s="787">
        <v>1</v>
      </c>
      <c r="I7785" s="788">
        <v>42157</v>
      </c>
      <c r="J7785" s="788">
        <v>42142</v>
      </c>
      <c r="K7785" s="788">
        <v>41359</v>
      </c>
      <c r="L7785" s="787">
        <v>1.24</v>
      </c>
      <c r="M7785" s="787">
        <v>10</v>
      </c>
      <c r="N7785" s="787">
        <v>1.23</v>
      </c>
      <c r="O7785" s="788">
        <v>42146</v>
      </c>
    </row>
    <row r="7786" spans="1:15" x14ac:dyDescent="0.25">
      <c r="A7786" s="786" t="s">
        <v>13914</v>
      </c>
      <c r="B7786" s="787">
        <v>4</v>
      </c>
      <c r="C7786" s="787" t="s">
        <v>13915</v>
      </c>
      <c r="D7786" s="787">
        <v>0</v>
      </c>
      <c r="E7786" s="787">
        <v>0</v>
      </c>
      <c r="H7786" s="787">
        <v>1</v>
      </c>
      <c r="L7786" s="787">
        <v>0</v>
      </c>
      <c r="M7786" s="787">
        <v>10</v>
      </c>
      <c r="N7786" s="787">
        <v>6</v>
      </c>
      <c r="O7786" s="788">
        <v>42146</v>
      </c>
    </row>
    <row r="7787" spans="1:15" x14ac:dyDescent="0.25">
      <c r="A7787" s="786" t="s">
        <v>13916</v>
      </c>
      <c r="B7787" s="787">
        <v>4</v>
      </c>
      <c r="C7787" s="787" t="s">
        <v>13917</v>
      </c>
      <c r="D7787" s="787">
        <v>0</v>
      </c>
      <c r="E7787" s="787">
        <v>0</v>
      </c>
      <c r="H7787" s="787">
        <v>1</v>
      </c>
      <c r="L7787" s="787">
        <v>0</v>
      </c>
      <c r="M7787" s="787">
        <v>10</v>
      </c>
      <c r="N7787" s="787">
        <v>6</v>
      </c>
      <c r="O7787" s="788">
        <v>42146</v>
      </c>
    </row>
    <row r="7788" spans="1:15" x14ac:dyDescent="0.25">
      <c r="A7788" s="786" t="s">
        <v>13918</v>
      </c>
      <c r="B7788" s="787">
        <v>4</v>
      </c>
      <c r="C7788" s="787" t="s">
        <v>13919</v>
      </c>
      <c r="D7788" s="787">
        <v>0</v>
      </c>
      <c r="E7788" s="787">
        <v>0</v>
      </c>
      <c r="H7788" s="787">
        <v>1</v>
      </c>
      <c r="L7788" s="787">
        <v>0</v>
      </c>
      <c r="M7788" s="787">
        <v>10</v>
      </c>
      <c r="N7788" s="787">
        <v>13.23</v>
      </c>
      <c r="O7788" s="788">
        <v>42146</v>
      </c>
    </row>
    <row r="7789" spans="1:15" x14ac:dyDescent="0.25">
      <c r="A7789" s="786" t="s">
        <v>13920</v>
      </c>
      <c r="B7789" s="787">
        <v>4</v>
      </c>
      <c r="C7789" s="787" t="s">
        <v>13921</v>
      </c>
      <c r="D7789" s="787">
        <v>0</v>
      </c>
      <c r="E7789" s="787">
        <v>0</v>
      </c>
      <c r="H7789" s="787">
        <v>1</v>
      </c>
      <c r="L7789" s="787">
        <v>0</v>
      </c>
      <c r="M7789" s="787">
        <v>10</v>
      </c>
      <c r="N7789" s="787">
        <v>13.23</v>
      </c>
      <c r="O7789" s="788">
        <v>42146</v>
      </c>
    </row>
    <row r="7790" spans="1:15" x14ac:dyDescent="0.25">
      <c r="A7790" s="786" t="s">
        <v>13922</v>
      </c>
      <c r="B7790" s="787">
        <v>4</v>
      </c>
      <c r="C7790" s="787" t="s">
        <v>13923</v>
      </c>
      <c r="D7790" s="787">
        <v>1.44</v>
      </c>
      <c r="E7790" s="787">
        <v>3.06</v>
      </c>
      <c r="F7790" s="788">
        <v>39974</v>
      </c>
      <c r="G7790" s="788">
        <v>42013</v>
      </c>
      <c r="H7790" s="787">
        <v>1</v>
      </c>
      <c r="I7790" s="788">
        <v>42087</v>
      </c>
      <c r="J7790" s="788">
        <v>41380</v>
      </c>
      <c r="K7790" s="788">
        <v>41372</v>
      </c>
      <c r="L7790" s="787">
        <v>1.37</v>
      </c>
      <c r="M7790" s="787">
        <v>10</v>
      </c>
      <c r="N7790" s="787">
        <v>1.43</v>
      </c>
      <c r="O7790" s="788">
        <v>42146</v>
      </c>
    </row>
    <row r="7791" spans="1:15" x14ac:dyDescent="0.25">
      <c r="A7791" s="786" t="s">
        <v>13924</v>
      </c>
      <c r="B7791" s="787">
        <v>4</v>
      </c>
      <c r="C7791" s="787" t="s">
        <v>13925</v>
      </c>
      <c r="D7791" s="787">
        <v>1.1399999999999999</v>
      </c>
      <c r="E7791" s="787">
        <v>8.85</v>
      </c>
      <c r="F7791" s="788">
        <v>39975</v>
      </c>
      <c r="G7791" s="788">
        <v>42157</v>
      </c>
      <c r="H7791" s="787">
        <v>1</v>
      </c>
      <c r="I7791" s="788">
        <v>42151</v>
      </c>
      <c r="J7791" s="788">
        <v>42157</v>
      </c>
      <c r="K7791" s="788">
        <v>41197</v>
      </c>
      <c r="L7791" s="787">
        <v>1.28</v>
      </c>
      <c r="M7791" s="787">
        <v>10</v>
      </c>
      <c r="N7791" s="787">
        <v>2.44</v>
      </c>
      <c r="O7791" s="788">
        <v>42146</v>
      </c>
    </row>
    <row r="7792" spans="1:15" x14ac:dyDescent="0.25">
      <c r="A7792" s="786" t="s">
        <v>13926</v>
      </c>
      <c r="B7792" s="787">
        <v>4</v>
      </c>
      <c r="C7792" s="787" t="s">
        <v>13927</v>
      </c>
      <c r="D7792" s="787">
        <v>0.16</v>
      </c>
      <c r="E7792" s="787">
        <v>0.16</v>
      </c>
      <c r="F7792" s="788">
        <v>41775</v>
      </c>
      <c r="G7792" s="788">
        <v>41775</v>
      </c>
      <c r="H7792" s="787">
        <v>1</v>
      </c>
      <c r="I7792" s="788">
        <v>42026</v>
      </c>
      <c r="J7792" s="788">
        <v>42030</v>
      </c>
      <c r="K7792" s="788">
        <v>41443</v>
      </c>
      <c r="L7792" s="787">
        <v>5</v>
      </c>
      <c r="M7792" s="787">
        <v>10</v>
      </c>
      <c r="N7792" s="787">
        <v>8.19</v>
      </c>
      <c r="O7792" s="788">
        <v>42146</v>
      </c>
    </row>
    <row r="7793" spans="1:15" x14ac:dyDescent="0.25">
      <c r="A7793" s="786" t="s">
        <v>13926</v>
      </c>
      <c r="B7793" s="787" t="s">
        <v>13928</v>
      </c>
      <c r="C7793" s="787" t="s">
        <v>13929</v>
      </c>
      <c r="D7793" s="787">
        <v>0</v>
      </c>
      <c r="E7793" s="787">
        <v>0</v>
      </c>
      <c r="G7793" s="787" t="s">
        <v>1067</v>
      </c>
      <c r="H7793" s="787">
        <v>1</v>
      </c>
      <c r="L7793" s="787">
        <v>0</v>
      </c>
      <c r="M7793" s="787">
        <v>10</v>
      </c>
      <c r="N7793" s="787">
        <v>8.19</v>
      </c>
      <c r="O7793" s="788">
        <v>42146</v>
      </c>
    </row>
    <row r="7794" spans="1:15" x14ac:dyDescent="0.25">
      <c r="A7794" s="786" t="s">
        <v>13926</v>
      </c>
      <c r="B7794" s="787" t="s">
        <v>13930</v>
      </c>
      <c r="C7794" s="787" t="s">
        <v>13929</v>
      </c>
      <c r="D7794" s="787">
        <v>0</v>
      </c>
      <c r="E7794" s="787">
        <v>0</v>
      </c>
      <c r="G7794" s="787" t="s">
        <v>1067</v>
      </c>
      <c r="H7794" s="787">
        <v>1</v>
      </c>
      <c r="I7794" s="788">
        <v>40840</v>
      </c>
      <c r="L7794" s="787">
        <v>0</v>
      </c>
      <c r="M7794" s="787">
        <v>10</v>
      </c>
      <c r="N7794" s="787">
        <v>8.19</v>
      </c>
      <c r="O7794" s="788">
        <v>42146</v>
      </c>
    </row>
    <row r="7795" spans="1:15" x14ac:dyDescent="0.25">
      <c r="A7795" s="786" t="s">
        <v>13926</v>
      </c>
      <c r="B7795" s="787" t="s">
        <v>13931</v>
      </c>
      <c r="C7795" s="787" t="s">
        <v>13929</v>
      </c>
      <c r="D7795" s="787">
        <v>0</v>
      </c>
      <c r="E7795" s="787">
        <v>0</v>
      </c>
      <c r="G7795" s="787" t="s">
        <v>1067</v>
      </c>
      <c r="H7795" s="787">
        <v>1</v>
      </c>
      <c r="L7795" s="787">
        <v>0</v>
      </c>
      <c r="M7795" s="787">
        <v>10</v>
      </c>
      <c r="N7795" s="787">
        <v>8.19</v>
      </c>
      <c r="O7795" s="788">
        <v>42146</v>
      </c>
    </row>
    <row r="7796" spans="1:15" x14ac:dyDescent="0.25">
      <c r="A7796" s="786" t="s">
        <v>13926</v>
      </c>
      <c r="B7796" s="787" t="s">
        <v>13932</v>
      </c>
      <c r="C7796" s="787" t="s">
        <v>13929</v>
      </c>
      <c r="D7796" s="787">
        <v>0</v>
      </c>
      <c r="E7796" s="787">
        <v>0</v>
      </c>
      <c r="G7796" s="787" t="s">
        <v>1067</v>
      </c>
      <c r="H7796" s="787">
        <v>1</v>
      </c>
      <c r="L7796" s="787">
        <v>0</v>
      </c>
      <c r="M7796" s="787">
        <v>10</v>
      </c>
      <c r="N7796" s="787">
        <v>8.19</v>
      </c>
      <c r="O7796" s="788">
        <v>42146</v>
      </c>
    </row>
    <row r="7797" spans="1:15" x14ac:dyDescent="0.25">
      <c r="A7797" s="786" t="s">
        <v>13926</v>
      </c>
      <c r="B7797" s="787" t="s">
        <v>13933</v>
      </c>
      <c r="C7797" s="787" t="s">
        <v>13929</v>
      </c>
      <c r="D7797" s="787">
        <v>0</v>
      </c>
      <c r="E7797" s="787">
        <v>0</v>
      </c>
      <c r="G7797" s="787" t="s">
        <v>1067</v>
      </c>
      <c r="H7797" s="787">
        <v>1</v>
      </c>
      <c r="L7797" s="787">
        <v>0</v>
      </c>
      <c r="M7797" s="787">
        <v>10</v>
      </c>
      <c r="N7797" s="787">
        <v>8.19</v>
      </c>
      <c r="O7797" s="788">
        <v>42146</v>
      </c>
    </row>
    <row r="7798" spans="1:15" x14ac:dyDescent="0.25">
      <c r="A7798" s="786" t="s">
        <v>13926</v>
      </c>
      <c r="B7798" s="787" t="s">
        <v>13934</v>
      </c>
      <c r="C7798" s="787" t="s">
        <v>13929</v>
      </c>
      <c r="D7798" s="787">
        <v>0</v>
      </c>
      <c r="E7798" s="787">
        <v>0</v>
      </c>
      <c r="G7798" s="787" t="s">
        <v>1067</v>
      </c>
      <c r="H7798" s="787">
        <v>1</v>
      </c>
      <c r="L7798" s="787">
        <v>0</v>
      </c>
      <c r="M7798" s="787">
        <v>10</v>
      </c>
      <c r="N7798" s="787">
        <v>8.19</v>
      </c>
      <c r="O7798" s="788">
        <v>42146</v>
      </c>
    </row>
    <row r="7799" spans="1:15" x14ac:dyDescent="0.25">
      <c r="A7799" s="786" t="s">
        <v>13926</v>
      </c>
      <c r="B7799" s="787" t="s">
        <v>13935</v>
      </c>
      <c r="C7799" s="787" t="s">
        <v>13936</v>
      </c>
      <c r="D7799" s="787">
        <v>0</v>
      </c>
      <c r="E7799" s="787">
        <v>0</v>
      </c>
      <c r="G7799" s="787" t="s">
        <v>1067</v>
      </c>
      <c r="H7799" s="787">
        <v>1</v>
      </c>
      <c r="L7799" s="787">
        <v>0</v>
      </c>
      <c r="M7799" s="787">
        <v>10</v>
      </c>
      <c r="N7799" s="787">
        <v>8.19</v>
      </c>
      <c r="O7799" s="788">
        <v>42146</v>
      </c>
    </row>
    <row r="7800" spans="1:15" x14ac:dyDescent="0.25">
      <c r="A7800" s="786" t="s">
        <v>13926</v>
      </c>
      <c r="B7800" s="787" t="s">
        <v>13937</v>
      </c>
      <c r="C7800" s="787" t="s">
        <v>13938</v>
      </c>
      <c r="D7800" s="787">
        <v>0</v>
      </c>
      <c r="E7800" s="787">
        <v>0</v>
      </c>
      <c r="H7800" s="787">
        <v>1</v>
      </c>
      <c r="L7800" s="787">
        <v>0</v>
      </c>
      <c r="M7800" s="787">
        <v>10</v>
      </c>
      <c r="N7800" s="787">
        <v>8.19</v>
      </c>
      <c r="O7800" s="788">
        <v>42146</v>
      </c>
    </row>
    <row r="7801" spans="1:15" x14ac:dyDescent="0.25">
      <c r="A7801" s="786" t="s">
        <v>13926</v>
      </c>
      <c r="B7801" s="787" t="s">
        <v>13939</v>
      </c>
      <c r="C7801" s="787" t="s">
        <v>13929</v>
      </c>
      <c r="D7801" s="787">
        <v>0</v>
      </c>
      <c r="E7801" s="787">
        <v>0</v>
      </c>
      <c r="H7801" s="787">
        <v>1</v>
      </c>
      <c r="L7801" s="787">
        <v>0</v>
      </c>
      <c r="M7801" s="787">
        <v>10</v>
      </c>
      <c r="N7801" s="787">
        <v>8.19</v>
      </c>
      <c r="O7801" s="788">
        <v>42146</v>
      </c>
    </row>
    <row r="7802" spans="1:15" x14ac:dyDescent="0.25">
      <c r="A7802" s="786" t="s">
        <v>13926</v>
      </c>
      <c r="B7802" s="787" t="s">
        <v>13940</v>
      </c>
      <c r="C7802" s="787" t="s">
        <v>13929</v>
      </c>
      <c r="D7802" s="787">
        <v>0</v>
      </c>
      <c r="E7802" s="787">
        <v>0</v>
      </c>
      <c r="H7802" s="787">
        <v>1</v>
      </c>
      <c r="L7802" s="787">
        <v>0</v>
      </c>
      <c r="M7802" s="787">
        <v>10</v>
      </c>
      <c r="N7802" s="787">
        <v>8.19</v>
      </c>
      <c r="O7802" s="788">
        <v>42146</v>
      </c>
    </row>
    <row r="7803" spans="1:15" x14ac:dyDescent="0.25">
      <c r="A7803" s="786" t="s">
        <v>13926</v>
      </c>
      <c r="B7803" s="787" t="s">
        <v>13941</v>
      </c>
      <c r="C7803" s="787" t="s">
        <v>13929</v>
      </c>
      <c r="D7803" s="787">
        <v>0</v>
      </c>
      <c r="E7803" s="787">
        <v>0</v>
      </c>
      <c r="H7803" s="787">
        <v>1</v>
      </c>
      <c r="L7803" s="787">
        <v>0</v>
      </c>
      <c r="M7803" s="787">
        <v>10</v>
      </c>
      <c r="N7803" s="787">
        <v>8.19</v>
      </c>
      <c r="O7803" s="788">
        <v>42146</v>
      </c>
    </row>
    <row r="7804" spans="1:15" x14ac:dyDescent="0.25">
      <c r="A7804" s="786" t="s">
        <v>13926</v>
      </c>
      <c r="B7804" s="787" t="s">
        <v>13942</v>
      </c>
      <c r="C7804" s="787" t="s">
        <v>13929</v>
      </c>
      <c r="D7804" s="787">
        <v>0</v>
      </c>
      <c r="E7804" s="787">
        <v>0</v>
      </c>
      <c r="H7804" s="787">
        <v>1</v>
      </c>
      <c r="L7804" s="787">
        <v>0</v>
      </c>
      <c r="M7804" s="787">
        <v>10</v>
      </c>
      <c r="N7804" s="787">
        <v>8.19</v>
      </c>
      <c r="O7804" s="788">
        <v>42146</v>
      </c>
    </row>
    <row r="7805" spans="1:15" x14ac:dyDescent="0.25">
      <c r="A7805" s="786" t="s">
        <v>13926</v>
      </c>
      <c r="B7805" s="787" t="s">
        <v>13943</v>
      </c>
      <c r="C7805" s="787" t="s">
        <v>13929</v>
      </c>
      <c r="D7805" s="787">
        <v>0</v>
      </c>
      <c r="E7805" s="787">
        <v>0</v>
      </c>
      <c r="H7805" s="787">
        <v>1</v>
      </c>
      <c r="L7805" s="787">
        <v>0</v>
      </c>
      <c r="M7805" s="787">
        <v>20</v>
      </c>
      <c r="N7805" s="787">
        <v>0</v>
      </c>
    </row>
    <row r="7806" spans="1:15" x14ac:dyDescent="0.25">
      <c r="A7806" s="786" t="s">
        <v>13926</v>
      </c>
      <c r="B7806" s="787" t="s">
        <v>13944</v>
      </c>
      <c r="C7806" s="787" t="s">
        <v>13929</v>
      </c>
      <c r="D7806" s="787">
        <v>0</v>
      </c>
      <c r="E7806" s="787">
        <v>0</v>
      </c>
      <c r="F7806" s="788">
        <v>40948</v>
      </c>
      <c r="H7806" s="787">
        <v>1</v>
      </c>
      <c r="J7806" s="788">
        <v>40913</v>
      </c>
      <c r="L7806" s="787">
        <v>0</v>
      </c>
      <c r="M7806" s="787">
        <v>10</v>
      </c>
      <c r="N7806" s="787">
        <v>8.19</v>
      </c>
      <c r="O7806" s="788">
        <v>42146</v>
      </c>
    </row>
    <row r="7807" spans="1:15" x14ac:dyDescent="0.25">
      <c r="A7807" s="786" t="s">
        <v>13926</v>
      </c>
      <c r="B7807" s="787" t="s">
        <v>13945</v>
      </c>
      <c r="C7807" s="787" t="s">
        <v>13929</v>
      </c>
      <c r="D7807" s="787">
        <v>0</v>
      </c>
      <c r="E7807" s="787">
        <v>0</v>
      </c>
      <c r="H7807" s="787">
        <v>1</v>
      </c>
      <c r="L7807" s="787">
        <v>0</v>
      </c>
      <c r="M7807" s="787">
        <v>10</v>
      </c>
      <c r="N7807" s="787">
        <v>8.19</v>
      </c>
      <c r="O7807" s="788">
        <v>42146</v>
      </c>
    </row>
    <row r="7808" spans="1:15" x14ac:dyDescent="0.25">
      <c r="A7808" s="786" t="s">
        <v>13926</v>
      </c>
      <c r="B7808" s="787" t="s">
        <v>13946</v>
      </c>
      <c r="C7808" s="787" t="s">
        <v>13947</v>
      </c>
      <c r="D7808" s="787">
        <v>2.41</v>
      </c>
      <c r="E7808" s="787">
        <v>312.41000000000003</v>
      </c>
      <c r="F7808" s="788">
        <v>41134</v>
      </c>
      <c r="G7808" s="788">
        <v>41134</v>
      </c>
      <c r="H7808" s="787">
        <v>1</v>
      </c>
      <c r="I7808" s="788">
        <v>41024</v>
      </c>
      <c r="J7808" s="788">
        <v>41003</v>
      </c>
      <c r="L7808" s="787">
        <v>0</v>
      </c>
      <c r="M7808" s="787">
        <v>10</v>
      </c>
      <c r="N7808" s="787">
        <v>8.19</v>
      </c>
      <c r="O7808" s="788">
        <v>42146</v>
      </c>
    </row>
    <row r="7809" spans="1:15" x14ac:dyDescent="0.25">
      <c r="A7809" s="786" t="s">
        <v>13948</v>
      </c>
      <c r="B7809" s="787">
        <v>4</v>
      </c>
      <c r="C7809" s="787" t="s">
        <v>13949</v>
      </c>
      <c r="D7809" s="787">
        <v>4.83</v>
      </c>
      <c r="E7809" s="787">
        <v>9.19</v>
      </c>
      <c r="F7809" s="788">
        <v>41180</v>
      </c>
      <c r="G7809" s="788">
        <v>42165</v>
      </c>
      <c r="H7809" s="787">
        <v>1</v>
      </c>
      <c r="I7809" s="788">
        <v>42165</v>
      </c>
      <c r="J7809" s="788">
        <v>42165</v>
      </c>
      <c r="K7809" s="788">
        <v>41340</v>
      </c>
      <c r="L7809" s="787">
        <v>8.5299999999999994</v>
      </c>
      <c r="M7809" s="787">
        <v>10</v>
      </c>
      <c r="N7809" s="787">
        <v>9.31</v>
      </c>
      <c r="O7809" s="788">
        <v>42146</v>
      </c>
    </row>
    <row r="7810" spans="1:15" x14ac:dyDescent="0.25">
      <c r="A7810" s="786" t="s">
        <v>13950</v>
      </c>
      <c r="B7810" s="787">
        <v>4</v>
      </c>
      <c r="C7810" s="787" t="s">
        <v>13951</v>
      </c>
      <c r="D7810" s="787">
        <v>4.9400000000000004</v>
      </c>
      <c r="E7810" s="787">
        <v>8.2799999999999994</v>
      </c>
      <c r="F7810" s="788">
        <v>41449</v>
      </c>
      <c r="G7810" s="788">
        <v>42165</v>
      </c>
      <c r="H7810" s="787">
        <v>1</v>
      </c>
      <c r="I7810" s="788">
        <v>42165</v>
      </c>
      <c r="J7810" s="788">
        <v>42165</v>
      </c>
      <c r="K7810" s="788">
        <v>41340</v>
      </c>
      <c r="L7810" s="787">
        <v>8.5299999999999994</v>
      </c>
      <c r="M7810" s="787">
        <v>10</v>
      </c>
      <c r="N7810" s="787">
        <v>9.31</v>
      </c>
      <c r="O7810" s="788">
        <v>42146</v>
      </c>
    </row>
    <row r="7811" spans="1:15" x14ac:dyDescent="0.25">
      <c r="A7811" s="786" t="s">
        <v>13952</v>
      </c>
      <c r="B7811" s="787">
        <v>4</v>
      </c>
      <c r="C7811" s="787" t="s">
        <v>13953</v>
      </c>
      <c r="D7811" s="787">
        <v>4.3499999999999996</v>
      </c>
      <c r="E7811" s="787">
        <v>11.52</v>
      </c>
      <c r="F7811" s="788">
        <v>41932</v>
      </c>
      <c r="G7811" s="788">
        <v>42150</v>
      </c>
      <c r="H7811" s="787">
        <v>1</v>
      </c>
      <c r="I7811" s="788">
        <v>42160</v>
      </c>
      <c r="J7811" s="788">
        <v>42144</v>
      </c>
      <c r="K7811" s="788">
        <v>41359</v>
      </c>
      <c r="L7811" s="787">
        <v>6.98</v>
      </c>
      <c r="M7811" s="787">
        <v>10</v>
      </c>
      <c r="N7811" s="787">
        <v>6.88</v>
      </c>
      <c r="O7811" s="788">
        <v>42146</v>
      </c>
    </row>
    <row r="7812" spans="1:15" x14ac:dyDescent="0.25">
      <c r="A7812" s="786" t="s">
        <v>13954</v>
      </c>
      <c r="B7812" s="787">
        <v>4</v>
      </c>
      <c r="C7812" s="787" t="s">
        <v>13955</v>
      </c>
      <c r="D7812" s="787">
        <v>3.15</v>
      </c>
      <c r="E7812" s="787">
        <v>16.399999999999999</v>
      </c>
      <c r="F7812" s="788">
        <v>40948</v>
      </c>
      <c r="G7812" s="788">
        <v>42142</v>
      </c>
      <c r="H7812" s="787">
        <v>1</v>
      </c>
      <c r="I7812" s="788">
        <v>42165</v>
      </c>
      <c r="J7812" s="788">
        <v>42165</v>
      </c>
      <c r="K7812" s="788">
        <v>41359</v>
      </c>
      <c r="L7812" s="787">
        <v>9.7200000000000006</v>
      </c>
      <c r="M7812" s="787">
        <v>10</v>
      </c>
      <c r="N7812" s="787">
        <v>6.65</v>
      </c>
      <c r="O7812" s="788">
        <v>42146</v>
      </c>
    </row>
    <row r="7813" spans="1:15" x14ac:dyDescent="0.25">
      <c r="A7813" s="786" t="s">
        <v>13956</v>
      </c>
      <c r="B7813" s="787">
        <v>4</v>
      </c>
      <c r="C7813" s="787" t="s">
        <v>13957</v>
      </c>
      <c r="D7813" s="787">
        <v>3.77</v>
      </c>
      <c r="E7813" s="787">
        <v>11.64</v>
      </c>
      <c r="F7813" s="788">
        <v>41932</v>
      </c>
      <c r="G7813" s="788">
        <v>42142</v>
      </c>
      <c r="H7813" s="787">
        <v>1</v>
      </c>
      <c r="I7813" s="788">
        <v>42165</v>
      </c>
      <c r="J7813" s="788">
        <v>42109</v>
      </c>
      <c r="K7813" s="788">
        <v>41368</v>
      </c>
      <c r="L7813" s="787">
        <v>7.66</v>
      </c>
      <c r="M7813" s="787">
        <v>10</v>
      </c>
      <c r="N7813" s="787">
        <v>7.27</v>
      </c>
      <c r="O7813" s="788">
        <v>42146</v>
      </c>
    </row>
    <row r="7814" spans="1:15" x14ac:dyDescent="0.25">
      <c r="A7814" s="786" t="s">
        <v>13958</v>
      </c>
      <c r="B7814" s="787">
        <v>4</v>
      </c>
      <c r="C7814" s="787" t="s">
        <v>13959</v>
      </c>
      <c r="D7814" s="787">
        <v>5.22</v>
      </c>
      <c r="E7814" s="787">
        <v>14.15</v>
      </c>
      <c r="F7814" s="788">
        <v>41404</v>
      </c>
      <c r="G7814" s="788">
        <v>42142</v>
      </c>
      <c r="H7814" s="787">
        <v>1</v>
      </c>
      <c r="I7814" s="788">
        <v>42143</v>
      </c>
      <c r="J7814" s="788">
        <v>42142</v>
      </c>
      <c r="K7814" s="788">
        <v>41221</v>
      </c>
      <c r="L7814" s="787">
        <v>7.33</v>
      </c>
      <c r="M7814" s="787">
        <v>10</v>
      </c>
      <c r="N7814" s="787">
        <v>5.92</v>
      </c>
      <c r="O7814" s="788">
        <v>42146</v>
      </c>
    </row>
    <row r="7815" spans="1:15" x14ac:dyDescent="0.25">
      <c r="A7815" s="786" t="s">
        <v>13960</v>
      </c>
      <c r="B7815" s="787">
        <v>4</v>
      </c>
      <c r="C7815" s="787" t="s">
        <v>13961</v>
      </c>
      <c r="D7815" s="787">
        <v>1.53</v>
      </c>
      <c r="E7815" s="787">
        <v>1.53</v>
      </c>
      <c r="F7815" s="788">
        <v>40080</v>
      </c>
      <c r="G7815" s="788">
        <v>40018</v>
      </c>
      <c r="H7815" s="787">
        <v>1</v>
      </c>
      <c r="I7815" s="788">
        <v>40492</v>
      </c>
      <c r="J7815" s="788">
        <v>40469</v>
      </c>
      <c r="L7815" s="787">
        <v>0</v>
      </c>
      <c r="M7815" s="787">
        <v>10</v>
      </c>
      <c r="N7815" s="787">
        <v>0.37</v>
      </c>
      <c r="O7815" s="788">
        <v>42146</v>
      </c>
    </row>
    <row r="7816" spans="1:15" x14ac:dyDescent="0.25">
      <c r="A7816" s="786" t="s">
        <v>13962</v>
      </c>
      <c r="B7816" s="787">
        <v>4</v>
      </c>
      <c r="C7816" s="787" t="s">
        <v>13963</v>
      </c>
      <c r="D7816" s="787">
        <v>5.1100000000000003</v>
      </c>
      <c r="E7816" s="787">
        <v>13.42</v>
      </c>
      <c r="F7816" s="788">
        <v>41855</v>
      </c>
      <c r="G7816" s="788">
        <v>42165</v>
      </c>
      <c r="H7816" s="787">
        <v>1</v>
      </c>
      <c r="I7816" s="788">
        <v>42165</v>
      </c>
      <c r="J7816" s="788">
        <v>42165</v>
      </c>
      <c r="K7816" s="788">
        <v>41200</v>
      </c>
      <c r="L7816" s="787">
        <v>6</v>
      </c>
      <c r="M7816" s="787">
        <v>10</v>
      </c>
      <c r="N7816" s="787">
        <v>9.36</v>
      </c>
      <c r="O7816" s="788">
        <v>42146</v>
      </c>
    </row>
    <row r="7817" spans="1:15" x14ac:dyDescent="0.25">
      <c r="A7817" s="786" t="s">
        <v>13964</v>
      </c>
      <c r="B7817" s="787">
        <v>4</v>
      </c>
      <c r="C7817" s="787" t="s">
        <v>13965</v>
      </c>
      <c r="D7817" s="787">
        <v>5.5</v>
      </c>
      <c r="E7817" s="787">
        <v>19.38</v>
      </c>
      <c r="F7817" s="788">
        <v>41806</v>
      </c>
      <c r="G7817" s="788">
        <v>42163</v>
      </c>
      <c r="H7817" s="787">
        <v>1</v>
      </c>
      <c r="I7817" s="788">
        <v>42165</v>
      </c>
      <c r="J7817" s="788">
        <v>42159</v>
      </c>
      <c r="K7817" s="788">
        <v>41200</v>
      </c>
      <c r="L7817" s="787">
        <v>7</v>
      </c>
      <c r="M7817" s="787">
        <v>10</v>
      </c>
      <c r="N7817" s="787">
        <v>12.43</v>
      </c>
      <c r="O7817" s="788">
        <v>42146</v>
      </c>
    </row>
    <row r="7818" spans="1:15" x14ac:dyDescent="0.25">
      <c r="A7818" s="786" t="s">
        <v>13966</v>
      </c>
      <c r="B7818" s="787">
        <v>4</v>
      </c>
      <c r="C7818" s="787" t="s">
        <v>13967</v>
      </c>
      <c r="D7818" s="787">
        <v>0</v>
      </c>
      <c r="E7818" s="787">
        <v>0</v>
      </c>
      <c r="H7818" s="787">
        <v>1</v>
      </c>
      <c r="I7818" s="788">
        <v>42156</v>
      </c>
      <c r="K7818" s="788">
        <v>41221</v>
      </c>
      <c r="L7818" s="787">
        <v>28.85</v>
      </c>
      <c r="M7818" s="787">
        <v>10</v>
      </c>
      <c r="N7818" s="787">
        <v>28.05</v>
      </c>
      <c r="O7818" s="788">
        <v>42146</v>
      </c>
    </row>
    <row r="7819" spans="1:15" x14ac:dyDescent="0.25">
      <c r="A7819" s="786" t="s">
        <v>13968</v>
      </c>
      <c r="B7819" s="787">
        <v>4</v>
      </c>
      <c r="C7819" s="787" t="s">
        <v>13969</v>
      </c>
      <c r="D7819" s="787">
        <v>0</v>
      </c>
      <c r="E7819" s="787">
        <v>0</v>
      </c>
      <c r="H7819" s="787">
        <v>1</v>
      </c>
      <c r="I7819" s="788">
        <v>42165</v>
      </c>
      <c r="K7819" s="788">
        <v>41221</v>
      </c>
      <c r="L7819" s="787">
        <v>23.82</v>
      </c>
      <c r="M7819" s="787">
        <v>10</v>
      </c>
      <c r="N7819" s="787">
        <v>23.5</v>
      </c>
      <c r="O7819" s="788">
        <v>42146</v>
      </c>
    </row>
    <row r="7820" spans="1:15" x14ac:dyDescent="0.25">
      <c r="A7820" s="786" t="s">
        <v>13970</v>
      </c>
      <c r="B7820" s="787">
        <v>4</v>
      </c>
      <c r="C7820" s="787" t="s">
        <v>13971</v>
      </c>
      <c r="D7820" s="787">
        <v>0</v>
      </c>
      <c r="E7820" s="787">
        <v>0</v>
      </c>
      <c r="H7820" s="787">
        <v>1</v>
      </c>
      <c r="I7820" s="788">
        <v>42165</v>
      </c>
      <c r="K7820" s="788">
        <v>41221</v>
      </c>
      <c r="L7820" s="787">
        <v>26.64</v>
      </c>
      <c r="M7820" s="787">
        <v>10</v>
      </c>
      <c r="N7820" s="787">
        <v>26.13</v>
      </c>
      <c r="O7820" s="788">
        <v>42146</v>
      </c>
    </row>
    <row r="7821" spans="1:15" x14ac:dyDescent="0.25">
      <c r="A7821" s="786" t="s">
        <v>13972</v>
      </c>
      <c r="B7821" s="787">
        <v>4</v>
      </c>
      <c r="C7821" s="787" t="s">
        <v>13973</v>
      </c>
      <c r="D7821" s="787">
        <v>0</v>
      </c>
      <c r="E7821" s="787">
        <v>0</v>
      </c>
      <c r="G7821" s="788">
        <v>41619</v>
      </c>
      <c r="H7821" s="787">
        <v>1</v>
      </c>
      <c r="I7821" s="788">
        <v>41486</v>
      </c>
      <c r="J7821" s="788">
        <v>41619</v>
      </c>
      <c r="K7821" s="788">
        <v>41954</v>
      </c>
      <c r="L7821" s="787">
        <v>83.89</v>
      </c>
      <c r="M7821" s="787">
        <v>10</v>
      </c>
      <c r="N7821" s="787">
        <v>84.53</v>
      </c>
      <c r="O7821" s="788">
        <v>42164</v>
      </c>
    </row>
    <row r="7822" spans="1:15" x14ac:dyDescent="0.25">
      <c r="A7822" s="786" t="s">
        <v>13974</v>
      </c>
      <c r="B7822" s="787">
        <v>4</v>
      </c>
      <c r="C7822" s="787" t="s">
        <v>13975</v>
      </c>
      <c r="D7822" s="787">
        <v>8.94</v>
      </c>
      <c r="E7822" s="787">
        <v>18.940000000000001</v>
      </c>
      <c r="F7822" s="788">
        <v>41134</v>
      </c>
      <c r="G7822" s="788">
        <v>41690</v>
      </c>
      <c r="H7822" s="787">
        <v>1</v>
      </c>
      <c r="I7822" s="788">
        <v>42157</v>
      </c>
      <c r="J7822" s="788">
        <v>41690</v>
      </c>
      <c r="K7822" s="788">
        <v>41690</v>
      </c>
      <c r="L7822" s="787">
        <v>31.81</v>
      </c>
      <c r="M7822" s="787">
        <v>10</v>
      </c>
      <c r="N7822" s="787">
        <v>31.61</v>
      </c>
      <c r="O7822" s="788">
        <v>42164</v>
      </c>
    </row>
    <row r="7823" spans="1:15" x14ac:dyDescent="0.25">
      <c r="A7823" s="786" t="s">
        <v>13976</v>
      </c>
      <c r="B7823" s="787">
        <v>4</v>
      </c>
      <c r="C7823" s="787" t="s">
        <v>13977</v>
      </c>
      <c r="D7823" s="787">
        <v>5.86</v>
      </c>
      <c r="E7823" s="787">
        <v>77.510000000000005</v>
      </c>
      <c r="F7823" s="788">
        <v>40659</v>
      </c>
      <c r="G7823" s="788">
        <v>41282</v>
      </c>
      <c r="H7823" s="787">
        <v>1</v>
      </c>
      <c r="I7823" s="788">
        <v>41733</v>
      </c>
      <c r="J7823" s="788">
        <v>41519</v>
      </c>
      <c r="K7823" s="788">
        <v>41519</v>
      </c>
      <c r="L7823" s="787">
        <v>85</v>
      </c>
      <c r="M7823" s="787">
        <v>10</v>
      </c>
      <c r="N7823" s="787">
        <v>88.32</v>
      </c>
      <c r="O7823" s="788">
        <v>42164</v>
      </c>
    </row>
    <row r="7824" spans="1:15" x14ac:dyDescent="0.25">
      <c r="A7824" s="786" t="s">
        <v>13978</v>
      </c>
      <c r="B7824" s="787">
        <v>4</v>
      </c>
      <c r="C7824" s="787" t="s">
        <v>13979</v>
      </c>
      <c r="D7824" s="787">
        <v>6.06</v>
      </c>
      <c r="E7824" s="787">
        <v>94.28</v>
      </c>
      <c r="F7824" s="788">
        <v>40634</v>
      </c>
      <c r="G7824" s="788">
        <v>41705</v>
      </c>
      <c r="H7824" s="787">
        <v>1</v>
      </c>
      <c r="I7824" s="788">
        <v>41704</v>
      </c>
      <c r="J7824" s="788">
        <v>41705</v>
      </c>
      <c r="K7824" s="788">
        <v>41954</v>
      </c>
      <c r="L7824" s="787">
        <v>98.19</v>
      </c>
      <c r="M7824" s="787">
        <v>10</v>
      </c>
      <c r="N7824" s="787">
        <v>98.83</v>
      </c>
      <c r="O7824" s="788">
        <v>42164</v>
      </c>
    </row>
    <row r="7825" spans="1:15" x14ac:dyDescent="0.25">
      <c r="A7825" s="786" t="s">
        <v>13980</v>
      </c>
      <c r="B7825" s="787">
        <v>4</v>
      </c>
      <c r="C7825" s="787" t="s">
        <v>13981</v>
      </c>
      <c r="D7825" s="787">
        <v>0</v>
      </c>
      <c r="E7825" s="787">
        <v>0</v>
      </c>
      <c r="G7825" s="788">
        <v>41282</v>
      </c>
      <c r="H7825" s="787">
        <v>1</v>
      </c>
      <c r="I7825" s="788">
        <v>42157</v>
      </c>
      <c r="J7825" s="788">
        <v>41570</v>
      </c>
      <c r="K7825" s="788">
        <v>41570</v>
      </c>
      <c r="L7825" s="787">
        <v>21</v>
      </c>
      <c r="M7825" s="787">
        <v>10</v>
      </c>
      <c r="N7825" s="787">
        <v>18.04</v>
      </c>
      <c r="O7825" s="788">
        <v>42164</v>
      </c>
    </row>
    <row r="7826" spans="1:15" x14ac:dyDescent="0.25">
      <c r="A7826" s="786" t="s">
        <v>13982</v>
      </c>
      <c r="B7826" s="787">
        <v>4</v>
      </c>
      <c r="C7826" s="787" t="s">
        <v>13983</v>
      </c>
      <c r="D7826" s="787">
        <v>0</v>
      </c>
      <c r="E7826" s="787">
        <v>0</v>
      </c>
      <c r="G7826" s="788">
        <v>41282</v>
      </c>
      <c r="H7826" s="787">
        <v>1</v>
      </c>
      <c r="I7826" s="788">
        <v>42157</v>
      </c>
      <c r="J7826" s="788">
        <v>41570</v>
      </c>
      <c r="K7826" s="788">
        <v>41570</v>
      </c>
      <c r="L7826" s="787">
        <v>38</v>
      </c>
      <c r="M7826" s="787">
        <v>10</v>
      </c>
      <c r="N7826" s="787">
        <v>37.729999999999997</v>
      </c>
      <c r="O7826" s="788">
        <v>42164</v>
      </c>
    </row>
    <row r="7827" spans="1:15" x14ac:dyDescent="0.25">
      <c r="A7827" s="786" t="s">
        <v>13984</v>
      </c>
      <c r="B7827" s="787">
        <v>4</v>
      </c>
      <c r="C7827" s="787" t="s">
        <v>13985</v>
      </c>
      <c r="D7827" s="787">
        <v>0</v>
      </c>
      <c r="E7827" s="787">
        <v>0</v>
      </c>
      <c r="G7827" s="788">
        <v>41619</v>
      </c>
      <c r="H7827" s="787">
        <v>1</v>
      </c>
      <c r="I7827" s="788">
        <v>42146</v>
      </c>
      <c r="J7827" s="788">
        <v>41619</v>
      </c>
      <c r="K7827" s="788">
        <v>41667</v>
      </c>
      <c r="L7827" s="787">
        <v>30</v>
      </c>
      <c r="M7827" s="787">
        <v>10</v>
      </c>
      <c r="N7827" s="787">
        <v>29.73</v>
      </c>
      <c r="O7827" s="788">
        <v>42164</v>
      </c>
    </row>
    <row r="7828" spans="1:15" x14ac:dyDescent="0.25">
      <c r="A7828" s="786" t="s">
        <v>13986</v>
      </c>
      <c r="B7828" s="787">
        <v>4</v>
      </c>
      <c r="C7828" s="787" t="s">
        <v>13987</v>
      </c>
      <c r="D7828" s="787">
        <v>6.24</v>
      </c>
      <c r="E7828" s="787">
        <v>26.24</v>
      </c>
      <c r="F7828" s="788">
        <v>40827</v>
      </c>
      <c r="G7828" s="788">
        <v>41282</v>
      </c>
      <c r="H7828" s="787">
        <v>1</v>
      </c>
      <c r="I7828" s="788">
        <v>42157</v>
      </c>
      <c r="J7828" s="788">
        <v>41565</v>
      </c>
      <c r="K7828" s="788">
        <v>41565</v>
      </c>
      <c r="L7828" s="787">
        <v>35</v>
      </c>
      <c r="M7828" s="787">
        <v>10</v>
      </c>
      <c r="N7828" s="787">
        <v>38.06</v>
      </c>
      <c r="O7828" s="788">
        <v>42164</v>
      </c>
    </row>
    <row r="7829" spans="1:15" x14ac:dyDescent="0.25">
      <c r="A7829" s="786" t="s">
        <v>13988</v>
      </c>
      <c r="B7829" s="787">
        <v>4</v>
      </c>
      <c r="C7829" s="787" t="s">
        <v>13989</v>
      </c>
      <c r="D7829" s="787">
        <v>2.06</v>
      </c>
      <c r="E7829" s="787">
        <v>48.6</v>
      </c>
      <c r="F7829" s="788">
        <v>41775</v>
      </c>
      <c r="G7829" s="788">
        <v>42076</v>
      </c>
      <c r="H7829" s="787">
        <v>1</v>
      </c>
      <c r="I7829" s="788">
        <v>42166</v>
      </c>
      <c r="J7829" s="788">
        <v>42046</v>
      </c>
      <c r="K7829" s="788">
        <v>41977</v>
      </c>
      <c r="L7829" s="787">
        <v>33.65</v>
      </c>
      <c r="M7829" s="787">
        <v>10</v>
      </c>
      <c r="N7829" s="787">
        <v>34.19</v>
      </c>
      <c r="O7829" s="788">
        <v>42146</v>
      </c>
    </row>
    <row r="7830" spans="1:15" x14ac:dyDescent="0.25">
      <c r="A7830" s="786" t="s">
        <v>13990</v>
      </c>
      <c r="B7830" s="787">
        <v>4</v>
      </c>
      <c r="C7830" s="787" t="s">
        <v>13991</v>
      </c>
      <c r="D7830" s="787">
        <v>5.09</v>
      </c>
      <c r="E7830" s="787">
        <v>10.89</v>
      </c>
      <c r="F7830" s="788">
        <v>41996</v>
      </c>
      <c r="G7830" s="788">
        <v>42114</v>
      </c>
      <c r="H7830" s="787">
        <v>1</v>
      </c>
      <c r="I7830" s="788">
        <v>42166</v>
      </c>
      <c r="J7830" s="788">
        <v>42082</v>
      </c>
      <c r="K7830" s="788">
        <v>41977</v>
      </c>
      <c r="L7830" s="787">
        <v>15.21</v>
      </c>
      <c r="M7830" s="787">
        <v>10</v>
      </c>
      <c r="N7830" s="787">
        <v>16.47</v>
      </c>
      <c r="O7830" s="788">
        <v>42146</v>
      </c>
    </row>
    <row r="7831" spans="1:15" x14ac:dyDescent="0.25">
      <c r="A7831" s="786" t="s">
        <v>13992</v>
      </c>
      <c r="B7831" s="787">
        <v>4</v>
      </c>
      <c r="C7831" s="787" t="s">
        <v>13993</v>
      </c>
      <c r="D7831" s="787">
        <v>0.43</v>
      </c>
      <c r="E7831" s="787">
        <v>15.45</v>
      </c>
      <c r="F7831" s="788">
        <v>40946</v>
      </c>
      <c r="G7831" s="788">
        <v>41247</v>
      </c>
      <c r="H7831" s="787">
        <v>1</v>
      </c>
      <c r="I7831" s="788">
        <v>41215</v>
      </c>
      <c r="J7831" s="788">
        <v>41214</v>
      </c>
      <c r="L7831" s="787">
        <v>0</v>
      </c>
      <c r="M7831" s="787">
        <v>10</v>
      </c>
      <c r="N7831" s="787">
        <v>1.37</v>
      </c>
      <c r="O7831" s="788">
        <v>42146</v>
      </c>
    </row>
    <row r="7832" spans="1:15" x14ac:dyDescent="0.25">
      <c r="A7832" s="786" t="s">
        <v>13994</v>
      </c>
      <c r="B7832" s="787">
        <v>4</v>
      </c>
      <c r="C7832" s="787" t="s">
        <v>13995</v>
      </c>
      <c r="D7832" s="787">
        <v>0.43</v>
      </c>
      <c r="E7832" s="787">
        <v>9.5</v>
      </c>
      <c r="F7832" s="788">
        <v>40946</v>
      </c>
      <c r="G7832" s="788">
        <v>41247</v>
      </c>
      <c r="H7832" s="787">
        <v>1</v>
      </c>
      <c r="I7832" s="788">
        <v>41215</v>
      </c>
      <c r="J7832" s="788">
        <v>41214</v>
      </c>
      <c r="L7832" s="787">
        <v>0</v>
      </c>
      <c r="M7832" s="787">
        <v>10</v>
      </c>
      <c r="N7832" s="787">
        <v>2.02</v>
      </c>
      <c r="O7832" s="788">
        <v>42146</v>
      </c>
    </row>
    <row r="7833" spans="1:15" x14ac:dyDescent="0.25">
      <c r="A7833" s="786" t="s">
        <v>13996</v>
      </c>
      <c r="B7833" s="787">
        <v>4</v>
      </c>
      <c r="C7833" s="787" t="s">
        <v>13997</v>
      </c>
      <c r="D7833" s="787">
        <v>7.92</v>
      </c>
      <c r="E7833" s="787">
        <v>32.86</v>
      </c>
      <c r="F7833" s="788">
        <v>40946</v>
      </c>
      <c r="G7833" s="788">
        <v>41754</v>
      </c>
      <c r="H7833" s="787">
        <v>1</v>
      </c>
      <c r="I7833" s="788">
        <v>41841</v>
      </c>
      <c r="J7833" s="788">
        <v>41754</v>
      </c>
      <c r="K7833" s="788">
        <v>42053</v>
      </c>
      <c r="L7833" s="787">
        <v>17.47</v>
      </c>
      <c r="M7833" s="787">
        <v>10</v>
      </c>
      <c r="N7833" s="787">
        <v>17.47</v>
      </c>
      <c r="O7833" s="788">
        <v>42146</v>
      </c>
    </row>
    <row r="7834" spans="1:15" x14ac:dyDescent="0.25">
      <c r="A7834" s="786" t="s">
        <v>13998</v>
      </c>
      <c r="B7834" s="787">
        <v>4</v>
      </c>
      <c r="C7834" s="787" t="s">
        <v>13999</v>
      </c>
      <c r="D7834" s="787">
        <v>0.82</v>
      </c>
      <c r="E7834" s="787">
        <v>2.1800000000000002</v>
      </c>
      <c r="F7834" s="788">
        <v>41519</v>
      </c>
      <c r="G7834" s="788">
        <v>42013</v>
      </c>
      <c r="H7834" s="787">
        <v>1</v>
      </c>
      <c r="I7834" s="788">
        <v>41955</v>
      </c>
      <c r="J7834" s="788">
        <v>41782</v>
      </c>
      <c r="K7834" s="788">
        <v>41129</v>
      </c>
      <c r="L7834" s="787">
        <v>1.39</v>
      </c>
      <c r="M7834" s="787">
        <v>10</v>
      </c>
      <c r="N7834" s="787">
        <v>1.85</v>
      </c>
      <c r="O7834" s="788">
        <v>42146</v>
      </c>
    </row>
    <row r="7835" spans="1:15" x14ac:dyDescent="0.25">
      <c r="A7835" s="786" t="s">
        <v>14000</v>
      </c>
      <c r="B7835" s="787">
        <v>4</v>
      </c>
      <c r="C7835" s="787" t="s">
        <v>14001</v>
      </c>
      <c r="D7835" s="787">
        <v>0.11</v>
      </c>
      <c r="E7835" s="787">
        <v>0.11</v>
      </c>
      <c r="F7835" s="788">
        <v>41813</v>
      </c>
      <c r="G7835" s="788">
        <v>42013</v>
      </c>
      <c r="H7835" s="787">
        <v>1</v>
      </c>
      <c r="I7835" s="788">
        <v>41955</v>
      </c>
      <c r="J7835" s="788">
        <v>41782</v>
      </c>
      <c r="K7835" s="788">
        <v>41129</v>
      </c>
      <c r="L7835" s="787">
        <v>1.72</v>
      </c>
      <c r="M7835" s="787">
        <v>10</v>
      </c>
      <c r="N7835" s="787">
        <v>2.29</v>
      </c>
      <c r="O7835" s="788">
        <v>42146</v>
      </c>
    </row>
    <row r="7836" spans="1:15" x14ac:dyDescent="0.25">
      <c r="A7836" s="786" t="s">
        <v>14002</v>
      </c>
      <c r="B7836" s="787">
        <v>4</v>
      </c>
      <c r="C7836" s="787" t="s">
        <v>14003</v>
      </c>
      <c r="D7836" s="787">
        <v>8.1300000000000008</v>
      </c>
      <c r="E7836" s="787">
        <v>12.29</v>
      </c>
      <c r="F7836" s="788">
        <v>41180</v>
      </c>
      <c r="G7836" s="788">
        <v>41976</v>
      </c>
      <c r="H7836" s="787">
        <v>1</v>
      </c>
      <c r="I7836" s="788">
        <v>42164</v>
      </c>
      <c r="J7836" s="788">
        <v>41956</v>
      </c>
      <c r="K7836" s="788">
        <v>41129</v>
      </c>
      <c r="L7836" s="787">
        <v>9.2200000000000006</v>
      </c>
      <c r="M7836" s="787">
        <v>10</v>
      </c>
      <c r="N7836" s="787">
        <v>11.07</v>
      </c>
      <c r="O7836" s="788">
        <v>42146</v>
      </c>
    </row>
    <row r="7837" spans="1:15" x14ac:dyDescent="0.25">
      <c r="A7837" s="786" t="s">
        <v>14004</v>
      </c>
      <c r="B7837" s="787">
        <v>4</v>
      </c>
      <c r="C7837" s="787" t="s">
        <v>14005</v>
      </c>
      <c r="D7837" s="787">
        <v>2.72</v>
      </c>
      <c r="E7837" s="787">
        <v>4.92</v>
      </c>
      <c r="F7837" s="788">
        <v>41920</v>
      </c>
      <c r="G7837" s="788">
        <v>42165</v>
      </c>
      <c r="H7837" s="787">
        <v>1</v>
      </c>
      <c r="I7837" s="788">
        <v>42152</v>
      </c>
      <c r="J7837" s="788">
        <v>42136</v>
      </c>
      <c r="K7837" s="788">
        <v>41394</v>
      </c>
      <c r="L7837" s="787">
        <v>3.24</v>
      </c>
      <c r="M7837" s="787">
        <v>10</v>
      </c>
      <c r="N7837" s="787">
        <v>3.35</v>
      </c>
      <c r="O7837" s="788">
        <v>42146</v>
      </c>
    </row>
    <row r="7838" spans="1:15" x14ac:dyDescent="0.25">
      <c r="A7838" s="786" t="s">
        <v>14006</v>
      </c>
      <c r="B7838" s="787">
        <v>4</v>
      </c>
      <c r="C7838" s="787" t="s">
        <v>14007</v>
      </c>
      <c r="D7838" s="787">
        <v>2.09</v>
      </c>
      <c r="E7838" s="787">
        <v>6.59</v>
      </c>
      <c r="F7838" s="788">
        <v>41886</v>
      </c>
      <c r="G7838" s="788">
        <v>42142</v>
      </c>
      <c r="H7838" s="787">
        <v>1</v>
      </c>
      <c r="I7838" s="788">
        <v>42142</v>
      </c>
      <c r="J7838" s="788">
        <v>42110</v>
      </c>
      <c r="K7838" s="788">
        <v>41394</v>
      </c>
      <c r="L7838" s="787">
        <v>3.12</v>
      </c>
      <c r="M7838" s="787">
        <v>10</v>
      </c>
      <c r="N7838" s="787">
        <v>3.35</v>
      </c>
      <c r="O7838" s="788">
        <v>42146</v>
      </c>
    </row>
    <row r="7839" spans="1:15" x14ac:dyDescent="0.25">
      <c r="A7839" s="786" t="s">
        <v>14008</v>
      </c>
      <c r="B7839" s="787">
        <v>4</v>
      </c>
      <c r="C7839" s="787" t="s">
        <v>14009</v>
      </c>
      <c r="D7839" s="787">
        <v>0.61</v>
      </c>
      <c r="E7839" s="787">
        <v>2.09</v>
      </c>
      <c r="F7839" s="788">
        <v>40948</v>
      </c>
      <c r="G7839" s="788">
        <v>42107</v>
      </c>
      <c r="H7839" s="787">
        <v>1</v>
      </c>
      <c r="I7839" s="788">
        <v>42109</v>
      </c>
      <c r="J7839" s="788">
        <v>42079</v>
      </c>
      <c r="K7839" s="788">
        <v>41331</v>
      </c>
      <c r="L7839" s="787">
        <v>1.56</v>
      </c>
      <c r="M7839" s="787">
        <v>10</v>
      </c>
      <c r="N7839" s="787">
        <v>2.1800000000000002</v>
      </c>
      <c r="O7839" s="788">
        <v>42146</v>
      </c>
    </row>
    <row r="7840" spans="1:15" x14ac:dyDescent="0.25">
      <c r="A7840" s="786" t="s">
        <v>14010</v>
      </c>
      <c r="B7840" s="787">
        <v>4</v>
      </c>
      <c r="C7840" s="787" t="s">
        <v>14011</v>
      </c>
      <c r="D7840" s="787">
        <v>0</v>
      </c>
      <c r="E7840" s="787">
        <v>0</v>
      </c>
      <c r="H7840" s="787">
        <v>1</v>
      </c>
      <c r="I7840" s="788">
        <v>42165</v>
      </c>
      <c r="K7840" s="788">
        <v>41221</v>
      </c>
      <c r="L7840" s="787">
        <v>8.36</v>
      </c>
      <c r="M7840" s="787">
        <v>10</v>
      </c>
      <c r="N7840" s="787">
        <v>8.36</v>
      </c>
      <c r="O7840" s="788">
        <v>42146</v>
      </c>
    </row>
    <row r="7841" spans="1:15" x14ac:dyDescent="0.25">
      <c r="A7841" s="786" t="s">
        <v>14012</v>
      </c>
      <c r="B7841" s="787">
        <v>4</v>
      </c>
      <c r="C7841" s="787" t="s">
        <v>14013</v>
      </c>
      <c r="D7841" s="787">
        <v>0.67</v>
      </c>
      <c r="E7841" s="787">
        <v>16.89</v>
      </c>
      <c r="F7841" s="788">
        <v>40659</v>
      </c>
      <c r="G7841" s="788">
        <v>41565</v>
      </c>
      <c r="H7841" s="787">
        <v>1</v>
      </c>
      <c r="I7841" s="788">
        <v>40855</v>
      </c>
      <c r="J7841" s="788">
        <v>40784</v>
      </c>
      <c r="K7841" s="788">
        <v>42107</v>
      </c>
      <c r="L7841" s="787">
        <v>15</v>
      </c>
      <c r="M7841" s="787">
        <v>10</v>
      </c>
      <c r="N7841" s="787">
        <v>15.03</v>
      </c>
      <c r="O7841" s="788">
        <v>42146</v>
      </c>
    </row>
    <row r="7842" spans="1:15" x14ac:dyDescent="0.25">
      <c r="A7842" s="786" t="s">
        <v>14014</v>
      </c>
      <c r="B7842" s="787">
        <v>4</v>
      </c>
      <c r="C7842" s="787" t="s">
        <v>14015</v>
      </c>
      <c r="D7842" s="787">
        <v>0</v>
      </c>
      <c r="E7842" s="787">
        <v>0</v>
      </c>
      <c r="H7842" s="787">
        <v>1</v>
      </c>
      <c r="I7842" s="788">
        <v>41582</v>
      </c>
      <c r="K7842" s="788">
        <v>42109</v>
      </c>
      <c r="L7842" s="787">
        <v>10</v>
      </c>
      <c r="M7842" s="787">
        <v>10</v>
      </c>
      <c r="N7842" s="787">
        <v>19.489999999999998</v>
      </c>
      <c r="O7842" s="788">
        <v>42146</v>
      </c>
    </row>
    <row r="7843" spans="1:15" x14ac:dyDescent="0.25">
      <c r="A7843" s="786" t="s">
        <v>14016</v>
      </c>
      <c r="B7843" s="787">
        <v>4</v>
      </c>
      <c r="C7843" s="787" t="s">
        <v>14017</v>
      </c>
      <c r="D7843" s="787">
        <v>0</v>
      </c>
      <c r="E7843" s="787">
        <v>0</v>
      </c>
      <c r="H7843" s="787">
        <v>1</v>
      </c>
      <c r="I7843" s="788">
        <v>41582</v>
      </c>
      <c r="K7843" s="788">
        <v>42109</v>
      </c>
      <c r="L7843" s="787">
        <v>10</v>
      </c>
      <c r="M7843" s="787">
        <v>10</v>
      </c>
      <c r="N7843" s="787">
        <v>19.489999999999998</v>
      </c>
      <c r="O7843" s="788">
        <v>42146</v>
      </c>
    </row>
    <row r="7844" spans="1:15" x14ac:dyDescent="0.25">
      <c r="A7844" s="786" t="s">
        <v>14018</v>
      </c>
      <c r="B7844" s="787">
        <v>4</v>
      </c>
      <c r="C7844" s="787" t="s">
        <v>14019</v>
      </c>
      <c r="D7844" s="787">
        <v>0</v>
      </c>
      <c r="E7844" s="787">
        <v>0</v>
      </c>
      <c r="H7844" s="787">
        <v>1</v>
      </c>
      <c r="K7844" s="788">
        <v>41306</v>
      </c>
      <c r="L7844" s="787">
        <v>11</v>
      </c>
      <c r="M7844" s="787">
        <v>10</v>
      </c>
      <c r="N7844" s="787">
        <v>11.7</v>
      </c>
      <c r="O7844" s="788">
        <v>42146</v>
      </c>
    </row>
    <row r="7845" spans="1:15" x14ac:dyDescent="0.25">
      <c r="A7845" s="786" t="s">
        <v>14020</v>
      </c>
      <c r="B7845" s="787">
        <v>4</v>
      </c>
      <c r="C7845" s="787" t="s">
        <v>14021</v>
      </c>
      <c r="D7845" s="787">
        <v>0</v>
      </c>
      <c r="E7845" s="787">
        <v>0</v>
      </c>
      <c r="H7845" s="787">
        <v>1</v>
      </c>
      <c r="I7845" s="788">
        <v>40953</v>
      </c>
      <c r="L7845" s="787">
        <v>0</v>
      </c>
      <c r="M7845" s="787">
        <v>10</v>
      </c>
      <c r="N7845" s="787">
        <v>7.83</v>
      </c>
      <c r="O7845" s="788">
        <v>42146</v>
      </c>
    </row>
    <row r="7846" spans="1:15" x14ac:dyDescent="0.25">
      <c r="A7846" s="786" t="s">
        <v>14022</v>
      </c>
      <c r="B7846" s="787">
        <v>4</v>
      </c>
      <c r="C7846" s="787" t="s">
        <v>14023</v>
      </c>
      <c r="D7846" s="787">
        <v>0</v>
      </c>
      <c r="E7846" s="787">
        <v>0</v>
      </c>
      <c r="H7846" s="787">
        <v>1</v>
      </c>
      <c r="L7846" s="787">
        <v>0</v>
      </c>
      <c r="M7846" s="787">
        <v>10</v>
      </c>
      <c r="N7846" s="787">
        <v>7.83</v>
      </c>
      <c r="O7846" s="788">
        <v>42146</v>
      </c>
    </row>
    <row r="7847" spans="1:15" x14ac:dyDescent="0.25">
      <c r="A7847" s="786" t="s">
        <v>14024</v>
      </c>
      <c r="B7847" s="787">
        <v>4</v>
      </c>
      <c r="C7847" s="787" t="s">
        <v>14025</v>
      </c>
      <c r="D7847" s="787">
        <v>3.13</v>
      </c>
      <c r="E7847" s="787">
        <v>5.66</v>
      </c>
      <c r="F7847" s="788">
        <v>41135</v>
      </c>
      <c r="G7847" s="788">
        <v>42163</v>
      </c>
      <c r="H7847" s="787">
        <v>1</v>
      </c>
      <c r="I7847" s="788">
        <v>42160</v>
      </c>
      <c r="J7847" s="788">
        <v>42152</v>
      </c>
      <c r="K7847" s="788">
        <v>41858</v>
      </c>
      <c r="L7847" s="787">
        <v>557</v>
      </c>
      <c r="M7847" s="787">
        <v>10</v>
      </c>
      <c r="N7847" s="787">
        <v>5.78</v>
      </c>
      <c r="O7847" s="788">
        <v>42146</v>
      </c>
    </row>
    <row r="7848" spans="1:15" x14ac:dyDescent="0.25">
      <c r="A7848" s="786" t="s">
        <v>14026</v>
      </c>
      <c r="B7848" s="787">
        <v>4</v>
      </c>
      <c r="C7848" s="787" t="s">
        <v>14027</v>
      </c>
      <c r="D7848" s="787">
        <v>2.67</v>
      </c>
      <c r="E7848" s="787">
        <v>3.48</v>
      </c>
      <c r="F7848" s="788">
        <v>41135</v>
      </c>
      <c r="G7848" s="788">
        <v>42143</v>
      </c>
      <c r="H7848" s="787">
        <v>1</v>
      </c>
      <c r="I7848" s="788">
        <v>42165</v>
      </c>
      <c r="J7848" s="788">
        <v>42109</v>
      </c>
      <c r="K7848" s="788">
        <v>41128</v>
      </c>
      <c r="L7848" s="787">
        <v>5.43</v>
      </c>
      <c r="M7848" s="787">
        <v>10</v>
      </c>
      <c r="N7848" s="787">
        <v>5.89</v>
      </c>
      <c r="O7848" s="788">
        <v>42146</v>
      </c>
    </row>
    <row r="7849" spans="1:15" x14ac:dyDescent="0.25">
      <c r="A7849" s="786" t="s">
        <v>14028</v>
      </c>
      <c r="B7849" s="787">
        <v>4</v>
      </c>
      <c r="C7849" s="787" t="s">
        <v>14029</v>
      </c>
      <c r="D7849" s="787">
        <v>2</v>
      </c>
      <c r="E7849" s="787">
        <v>5.34</v>
      </c>
      <c r="F7849" s="788">
        <v>41135</v>
      </c>
      <c r="G7849" s="788">
        <v>42142</v>
      </c>
      <c r="H7849" s="787">
        <v>1</v>
      </c>
      <c r="I7849" s="788">
        <v>42165</v>
      </c>
      <c r="J7849" s="788">
        <v>42109</v>
      </c>
      <c r="K7849" s="788">
        <v>41128</v>
      </c>
      <c r="L7849" s="787">
        <v>6.65</v>
      </c>
      <c r="M7849" s="787">
        <v>10</v>
      </c>
      <c r="N7849" s="787">
        <v>4.63</v>
      </c>
      <c r="O7849" s="788">
        <v>42146</v>
      </c>
    </row>
    <row r="7850" spans="1:15" x14ac:dyDescent="0.25">
      <c r="A7850" s="786" t="s">
        <v>14030</v>
      </c>
      <c r="B7850" s="787">
        <v>4</v>
      </c>
      <c r="C7850" s="787" t="s">
        <v>14031</v>
      </c>
      <c r="D7850" s="787">
        <v>1.56</v>
      </c>
      <c r="E7850" s="787">
        <v>9.39</v>
      </c>
      <c r="F7850" s="788">
        <v>41135</v>
      </c>
      <c r="G7850" s="788">
        <v>42163</v>
      </c>
      <c r="H7850" s="787">
        <v>1</v>
      </c>
      <c r="I7850" s="788">
        <v>42160</v>
      </c>
      <c r="J7850" s="788">
        <v>42157</v>
      </c>
      <c r="K7850" s="788">
        <v>41844</v>
      </c>
      <c r="L7850" s="787">
        <v>8.77</v>
      </c>
      <c r="M7850" s="787">
        <v>10</v>
      </c>
      <c r="N7850" s="787">
        <v>8.57</v>
      </c>
      <c r="O7850" s="788">
        <v>42146</v>
      </c>
    </row>
    <row r="7851" spans="1:15" x14ac:dyDescent="0.25">
      <c r="A7851" s="786" t="s">
        <v>14032</v>
      </c>
      <c r="B7851" s="787">
        <v>4</v>
      </c>
      <c r="C7851" s="787" t="s">
        <v>14033</v>
      </c>
      <c r="D7851" s="787">
        <v>3.05</v>
      </c>
      <c r="E7851" s="787">
        <v>4.63</v>
      </c>
      <c r="F7851" s="788">
        <v>41135</v>
      </c>
      <c r="G7851" s="788">
        <v>41775</v>
      </c>
      <c r="H7851" s="787">
        <v>1</v>
      </c>
      <c r="I7851" s="788">
        <v>40938</v>
      </c>
      <c r="J7851" s="788">
        <v>40945</v>
      </c>
      <c r="K7851" s="788">
        <v>42038</v>
      </c>
      <c r="L7851" s="787">
        <v>23.02</v>
      </c>
      <c r="M7851" s="787">
        <v>10</v>
      </c>
      <c r="N7851" s="787">
        <v>24.48</v>
      </c>
      <c r="O7851" s="788">
        <v>42146</v>
      </c>
    </row>
    <row r="7852" spans="1:15" x14ac:dyDescent="0.25">
      <c r="A7852" s="786" t="s">
        <v>14034</v>
      </c>
      <c r="B7852" s="787">
        <v>4</v>
      </c>
      <c r="C7852" s="787" t="s">
        <v>14035</v>
      </c>
      <c r="D7852" s="787">
        <v>0.44</v>
      </c>
      <c r="E7852" s="787">
        <v>3.33</v>
      </c>
      <c r="F7852" s="788">
        <v>41449</v>
      </c>
      <c r="G7852" s="788">
        <v>42163</v>
      </c>
      <c r="H7852" s="787">
        <v>1</v>
      </c>
      <c r="I7852" s="788">
        <v>42103</v>
      </c>
      <c r="J7852" s="788">
        <v>42163</v>
      </c>
      <c r="K7852" s="788">
        <v>41407</v>
      </c>
      <c r="L7852" s="787">
        <v>1.93</v>
      </c>
      <c r="M7852" s="787">
        <v>10</v>
      </c>
      <c r="N7852" s="787">
        <v>2.2200000000000002</v>
      </c>
      <c r="O7852" s="788">
        <v>42146</v>
      </c>
    </row>
    <row r="7853" spans="1:15" x14ac:dyDescent="0.25">
      <c r="A7853" s="786" t="s">
        <v>14036</v>
      </c>
      <c r="B7853" s="787">
        <v>4</v>
      </c>
      <c r="C7853" s="787" t="s">
        <v>14037</v>
      </c>
      <c r="D7853" s="787">
        <v>0.44</v>
      </c>
      <c r="E7853" s="787">
        <v>1.69</v>
      </c>
      <c r="F7853" s="788">
        <v>41209</v>
      </c>
      <c r="G7853" s="788">
        <v>42163</v>
      </c>
      <c r="H7853" s="787">
        <v>1</v>
      </c>
      <c r="I7853" s="788">
        <v>42103</v>
      </c>
      <c r="J7853" s="788">
        <v>42163</v>
      </c>
      <c r="K7853" s="788">
        <v>41383</v>
      </c>
      <c r="L7853" s="787">
        <v>3.47</v>
      </c>
      <c r="M7853" s="787">
        <v>10</v>
      </c>
      <c r="N7853" s="787">
        <v>3.09</v>
      </c>
      <c r="O7853" s="788">
        <v>42146</v>
      </c>
    </row>
    <row r="7854" spans="1:15" x14ac:dyDescent="0.25">
      <c r="A7854" s="786" t="s">
        <v>14038</v>
      </c>
      <c r="B7854" s="787">
        <v>4</v>
      </c>
      <c r="C7854" s="787" t="s">
        <v>14039</v>
      </c>
      <c r="D7854" s="787">
        <v>6.1</v>
      </c>
      <c r="E7854" s="787">
        <v>14.18</v>
      </c>
      <c r="F7854" s="788">
        <v>40074</v>
      </c>
      <c r="G7854" s="788">
        <v>42135</v>
      </c>
      <c r="H7854" s="787">
        <v>1</v>
      </c>
      <c r="I7854" s="788">
        <v>42164</v>
      </c>
      <c r="J7854" s="788">
        <v>42104</v>
      </c>
      <c r="K7854" s="788">
        <v>41058</v>
      </c>
      <c r="L7854" s="787">
        <v>12.17</v>
      </c>
      <c r="M7854" s="787">
        <v>10</v>
      </c>
      <c r="N7854" s="787">
        <v>13.76</v>
      </c>
      <c r="O7854" s="788">
        <v>42146</v>
      </c>
    </row>
    <row r="7855" spans="1:15" x14ac:dyDescent="0.25">
      <c r="A7855" s="786" t="s">
        <v>14040</v>
      </c>
      <c r="B7855" s="787">
        <v>4</v>
      </c>
      <c r="C7855" s="787" t="s">
        <v>14041</v>
      </c>
      <c r="D7855" s="787">
        <v>0</v>
      </c>
      <c r="E7855" s="787">
        <v>0</v>
      </c>
      <c r="H7855" s="787">
        <v>1</v>
      </c>
      <c r="I7855" s="788">
        <v>40953</v>
      </c>
      <c r="K7855" s="788">
        <v>42109</v>
      </c>
      <c r="L7855" s="787">
        <v>14</v>
      </c>
      <c r="M7855" s="787">
        <v>10</v>
      </c>
      <c r="N7855" s="787">
        <v>16.079999999999998</v>
      </c>
      <c r="O7855" s="788">
        <v>42146</v>
      </c>
    </row>
    <row r="7856" spans="1:15" x14ac:dyDescent="0.25">
      <c r="A7856" s="786" t="s">
        <v>14042</v>
      </c>
      <c r="B7856" s="787">
        <v>4</v>
      </c>
      <c r="C7856" s="787" t="s">
        <v>14043</v>
      </c>
      <c r="D7856" s="787">
        <v>0</v>
      </c>
      <c r="E7856" s="787">
        <v>0</v>
      </c>
      <c r="H7856" s="787">
        <v>1</v>
      </c>
      <c r="K7856" s="788">
        <v>42109</v>
      </c>
      <c r="L7856" s="787">
        <v>14</v>
      </c>
      <c r="M7856" s="787">
        <v>10</v>
      </c>
      <c r="N7856" s="787">
        <v>16.079999999999998</v>
      </c>
      <c r="O7856" s="788">
        <v>42146</v>
      </c>
    </row>
    <row r="7857" spans="1:15" x14ac:dyDescent="0.25">
      <c r="A7857" s="786" t="s">
        <v>14044</v>
      </c>
      <c r="B7857" s="787">
        <v>4</v>
      </c>
      <c r="C7857" s="787" t="s">
        <v>14045</v>
      </c>
      <c r="D7857" s="787">
        <v>7.21</v>
      </c>
      <c r="E7857" s="787">
        <v>11.01</v>
      </c>
      <c r="F7857" s="788">
        <v>41775</v>
      </c>
      <c r="G7857" s="788">
        <v>42163</v>
      </c>
      <c r="H7857" s="787">
        <v>1</v>
      </c>
      <c r="I7857" s="788">
        <v>42165</v>
      </c>
      <c r="J7857" s="788">
        <v>42135</v>
      </c>
      <c r="K7857" s="788">
        <v>42109</v>
      </c>
      <c r="L7857" s="787">
        <v>18</v>
      </c>
      <c r="M7857" s="787">
        <v>10</v>
      </c>
      <c r="N7857" s="787">
        <v>17.79</v>
      </c>
      <c r="O7857" s="788">
        <v>42146</v>
      </c>
    </row>
    <row r="7858" spans="1:15" x14ac:dyDescent="0.25">
      <c r="A7858" s="786" t="s">
        <v>14046</v>
      </c>
      <c r="B7858" s="787">
        <v>4</v>
      </c>
      <c r="C7858" s="787" t="s">
        <v>14047</v>
      </c>
      <c r="D7858" s="787">
        <v>0.15</v>
      </c>
      <c r="E7858" s="787">
        <v>0.65</v>
      </c>
      <c r="F7858" s="788">
        <v>41376</v>
      </c>
      <c r="G7858" s="788">
        <v>42114</v>
      </c>
      <c r="H7858" s="787">
        <v>1</v>
      </c>
      <c r="I7858" s="788">
        <v>42152</v>
      </c>
      <c r="J7858" s="788">
        <v>42081</v>
      </c>
      <c r="K7858" s="788">
        <v>42109</v>
      </c>
      <c r="L7858" s="787">
        <v>1.5</v>
      </c>
      <c r="M7858" s="787">
        <v>10</v>
      </c>
      <c r="N7858" s="787">
        <v>1.25</v>
      </c>
      <c r="O7858" s="788">
        <v>42146</v>
      </c>
    </row>
    <row r="7859" spans="1:15" x14ac:dyDescent="0.25">
      <c r="A7859" s="786" t="s">
        <v>14048</v>
      </c>
      <c r="B7859" s="787">
        <v>4</v>
      </c>
      <c r="C7859" s="787" t="s">
        <v>14049</v>
      </c>
      <c r="D7859" s="787">
        <v>0</v>
      </c>
      <c r="E7859" s="787">
        <v>0</v>
      </c>
      <c r="H7859" s="787">
        <v>1</v>
      </c>
      <c r="I7859" s="788">
        <v>40953</v>
      </c>
      <c r="K7859" s="788">
        <v>42109</v>
      </c>
      <c r="L7859" s="787">
        <v>13</v>
      </c>
      <c r="M7859" s="787">
        <v>10</v>
      </c>
      <c r="N7859" s="787">
        <v>12.85</v>
      </c>
      <c r="O7859" s="788">
        <v>42146</v>
      </c>
    </row>
    <row r="7860" spans="1:15" x14ac:dyDescent="0.25">
      <c r="A7860" s="786" t="s">
        <v>14050</v>
      </c>
      <c r="B7860" s="787">
        <v>4</v>
      </c>
      <c r="C7860" s="787" t="s">
        <v>14051</v>
      </c>
      <c r="D7860" s="787">
        <v>8.39</v>
      </c>
      <c r="E7860" s="787">
        <v>78.39</v>
      </c>
      <c r="F7860" s="788">
        <v>41135</v>
      </c>
      <c r="G7860" s="788">
        <v>41782</v>
      </c>
      <c r="H7860" s="787">
        <v>1</v>
      </c>
      <c r="I7860" s="788">
        <v>42118</v>
      </c>
      <c r="J7860" s="788">
        <v>41858</v>
      </c>
      <c r="K7860" s="788">
        <v>41863</v>
      </c>
      <c r="L7860" s="787">
        <v>12.8</v>
      </c>
      <c r="M7860" s="787">
        <v>10</v>
      </c>
      <c r="N7860" s="787">
        <v>13.57</v>
      </c>
      <c r="O7860" s="788">
        <v>42146</v>
      </c>
    </row>
    <row r="7861" spans="1:15" x14ac:dyDescent="0.25">
      <c r="A7861" s="786" t="s">
        <v>14052</v>
      </c>
      <c r="B7861" s="787">
        <v>4</v>
      </c>
      <c r="C7861" s="787" t="s">
        <v>14053</v>
      </c>
      <c r="D7861" s="787">
        <v>1.23</v>
      </c>
      <c r="E7861" s="787">
        <v>1.73</v>
      </c>
      <c r="F7861" s="788">
        <v>41253</v>
      </c>
      <c r="G7861" s="788">
        <v>42013</v>
      </c>
      <c r="H7861" s="787">
        <v>1</v>
      </c>
      <c r="I7861" s="788">
        <v>42072</v>
      </c>
      <c r="J7861" s="788">
        <v>41519</v>
      </c>
      <c r="K7861" s="788">
        <v>41869</v>
      </c>
      <c r="L7861" s="787">
        <v>1.73</v>
      </c>
      <c r="M7861" s="787">
        <v>20</v>
      </c>
      <c r="N7861" s="787">
        <v>2.23</v>
      </c>
      <c r="O7861" s="788">
        <v>42146</v>
      </c>
    </row>
    <row r="7862" spans="1:15" x14ac:dyDescent="0.25">
      <c r="A7862" s="786" t="s">
        <v>14054</v>
      </c>
      <c r="B7862" s="787">
        <v>4</v>
      </c>
      <c r="C7862" s="787" t="s">
        <v>14055</v>
      </c>
      <c r="D7862" s="787">
        <v>0</v>
      </c>
      <c r="E7862" s="787">
        <v>0</v>
      </c>
      <c r="H7862" s="787">
        <v>1</v>
      </c>
      <c r="L7862" s="787">
        <v>0</v>
      </c>
      <c r="M7862" s="787">
        <v>10</v>
      </c>
      <c r="N7862" s="787">
        <v>5.53</v>
      </c>
      <c r="O7862" s="788">
        <v>42146</v>
      </c>
    </row>
    <row r="7863" spans="1:15" x14ac:dyDescent="0.25">
      <c r="A7863" s="786" t="s">
        <v>14056</v>
      </c>
      <c r="B7863" s="787">
        <v>4</v>
      </c>
      <c r="C7863" s="787" t="s">
        <v>14057</v>
      </c>
      <c r="D7863" s="787">
        <v>0</v>
      </c>
      <c r="E7863" s="787">
        <v>0</v>
      </c>
      <c r="H7863" s="787">
        <v>1</v>
      </c>
      <c r="I7863" s="788">
        <v>40532</v>
      </c>
      <c r="L7863" s="787">
        <v>0</v>
      </c>
      <c r="M7863" s="787">
        <v>10</v>
      </c>
      <c r="N7863" s="787">
        <v>5.53</v>
      </c>
      <c r="O7863" s="788">
        <v>42146</v>
      </c>
    </row>
    <row r="7864" spans="1:15" x14ac:dyDescent="0.25">
      <c r="A7864" s="786" t="s">
        <v>14058</v>
      </c>
      <c r="B7864" s="787">
        <v>4</v>
      </c>
      <c r="C7864" s="787" t="s">
        <v>14059</v>
      </c>
      <c r="D7864" s="787">
        <v>1.21</v>
      </c>
      <c r="E7864" s="787">
        <v>3.45</v>
      </c>
      <c r="F7864" s="788">
        <v>41180</v>
      </c>
      <c r="G7864" s="788">
        <v>41947</v>
      </c>
      <c r="H7864" s="787">
        <v>1</v>
      </c>
      <c r="I7864" s="788">
        <v>41925</v>
      </c>
      <c r="J7864" s="788">
        <v>41919</v>
      </c>
      <c r="K7864" s="788">
        <v>41423</v>
      </c>
      <c r="L7864" s="787">
        <v>1</v>
      </c>
      <c r="M7864" s="787">
        <v>10</v>
      </c>
      <c r="N7864" s="787">
        <v>14.83</v>
      </c>
      <c r="O7864" s="788">
        <v>42163</v>
      </c>
    </row>
    <row r="7865" spans="1:15" x14ac:dyDescent="0.25">
      <c r="A7865" s="786" t="s">
        <v>14060</v>
      </c>
      <c r="B7865" s="787">
        <v>4</v>
      </c>
      <c r="C7865" s="787" t="s">
        <v>14061</v>
      </c>
      <c r="D7865" s="787">
        <v>2.95</v>
      </c>
      <c r="E7865" s="787">
        <v>2.95</v>
      </c>
      <c r="F7865" s="788">
        <v>41947</v>
      </c>
      <c r="G7865" s="788">
        <v>41947</v>
      </c>
      <c r="H7865" s="787">
        <v>1</v>
      </c>
      <c r="I7865" s="788">
        <v>41919</v>
      </c>
      <c r="J7865" s="788">
        <v>41919</v>
      </c>
      <c r="K7865" s="788">
        <v>41423</v>
      </c>
      <c r="L7865" s="787">
        <v>1</v>
      </c>
      <c r="M7865" s="787">
        <v>10</v>
      </c>
      <c r="N7865" s="787">
        <v>11.59</v>
      </c>
      <c r="O7865" s="788">
        <v>42163</v>
      </c>
    </row>
    <row r="7866" spans="1:15" x14ac:dyDescent="0.25">
      <c r="A7866" s="786" t="s">
        <v>14062</v>
      </c>
      <c r="B7866" s="787">
        <v>4</v>
      </c>
      <c r="C7866" s="787" t="s">
        <v>14063</v>
      </c>
      <c r="D7866" s="787">
        <v>4.42</v>
      </c>
      <c r="E7866" s="787">
        <v>4.42</v>
      </c>
      <c r="F7866" s="788">
        <v>41775</v>
      </c>
      <c r="G7866" s="788">
        <v>41943</v>
      </c>
      <c r="H7866" s="787">
        <v>1</v>
      </c>
      <c r="I7866" s="788">
        <v>41914</v>
      </c>
      <c r="J7866" s="788">
        <v>41590</v>
      </c>
      <c r="K7866" s="788">
        <v>41583</v>
      </c>
      <c r="L7866" s="787">
        <v>3.99</v>
      </c>
      <c r="M7866" s="787">
        <v>10</v>
      </c>
      <c r="N7866" s="787">
        <v>11.99</v>
      </c>
      <c r="O7866" s="788">
        <v>42163</v>
      </c>
    </row>
    <row r="7867" spans="1:15" x14ac:dyDescent="0.25">
      <c r="A7867" s="786" t="s">
        <v>14064</v>
      </c>
      <c r="B7867" s="787">
        <v>4</v>
      </c>
      <c r="C7867" s="787" t="s">
        <v>14065</v>
      </c>
      <c r="D7867" s="787">
        <v>6.42</v>
      </c>
      <c r="E7867" s="787">
        <v>7.38</v>
      </c>
      <c r="F7867" s="788">
        <v>41467</v>
      </c>
      <c r="G7867" s="788">
        <v>41947</v>
      </c>
      <c r="H7867" s="787">
        <v>1</v>
      </c>
      <c r="I7867" s="788">
        <v>41919</v>
      </c>
      <c r="J7867" s="788">
        <v>41919</v>
      </c>
      <c r="K7867" s="788">
        <v>41423</v>
      </c>
      <c r="L7867" s="787">
        <v>1</v>
      </c>
      <c r="M7867" s="787">
        <v>10</v>
      </c>
      <c r="N7867" s="787">
        <v>12.19</v>
      </c>
      <c r="O7867" s="788">
        <v>42163</v>
      </c>
    </row>
    <row r="7868" spans="1:15" x14ac:dyDescent="0.25">
      <c r="A7868" s="786" t="s">
        <v>14066</v>
      </c>
      <c r="B7868" s="787">
        <v>4</v>
      </c>
      <c r="C7868" s="787" t="s">
        <v>14067</v>
      </c>
      <c r="D7868" s="787">
        <v>0</v>
      </c>
      <c r="E7868" s="787">
        <v>0</v>
      </c>
      <c r="H7868" s="787">
        <v>1</v>
      </c>
      <c r="L7868" s="787">
        <v>0</v>
      </c>
      <c r="M7868" s="787">
        <v>10</v>
      </c>
      <c r="N7868" s="787">
        <v>4.3</v>
      </c>
      <c r="O7868" s="788">
        <v>42163</v>
      </c>
    </row>
    <row r="7869" spans="1:15" x14ac:dyDescent="0.25">
      <c r="A7869" s="786" t="s">
        <v>14068</v>
      </c>
      <c r="B7869" s="787">
        <v>4</v>
      </c>
      <c r="C7869" s="787" t="s">
        <v>14069</v>
      </c>
      <c r="D7869" s="787">
        <v>7.43</v>
      </c>
      <c r="E7869" s="787">
        <v>7.43</v>
      </c>
      <c r="F7869" s="788">
        <v>41477</v>
      </c>
      <c r="G7869" s="788">
        <v>41477</v>
      </c>
      <c r="H7869" s="787">
        <v>1</v>
      </c>
      <c r="I7869" s="788">
        <v>41474</v>
      </c>
      <c r="J7869" s="788">
        <v>41450</v>
      </c>
      <c r="K7869" s="788">
        <v>41443</v>
      </c>
      <c r="L7869" s="787">
        <v>1</v>
      </c>
      <c r="M7869" s="787">
        <v>10</v>
      </c>
      <c r="N7869" s="787">
        <v>15.55</v>
      </c>
      <c r="O7869" s="788">
        <v>42163</v>
      </c>
    </row>
    <row r="7870" spans="1:15" x14ac:dyDescent="0.25">
      <c r="A7870" s="786" t="s">
        <v>14070</v>
      </c>
      <c r="B7870" s="787">
        <v>4</v>
      </c>
      <c r="C7870" s="787" t="s">
        <v>14071</v>
      </c>
      <c r="D7870" s="787">
        <v>1.08</v>
      </c>
      <c r="E7870" s="787">
        <v>1.1200000000000001</v>
      </c>
      <c r="F7870" s="788">
        <v>41134</v>
      </c>
      <c r="G7870" s="788">
        <v>41495</v>
      </c>
      <c r="H7870" s="787">
        <v>1</v>
      </c>
      <c r="I7870" s="788">
        <v>41968</v>
      </c>
      <c r="J7870" s="788">
        <v>41465</v>
      </c>
      <c r="K7870" s="788">
        <v>41457</v>
      </c>
      <c r="L7870" s="787">
        <v>0.88</v>
      </c>
      <c r="M7870" s="787">
        <v>10</v>
      </c>
      <c r="N7870" s="787">
        <v>1.08</v>
      </c>
      <c r="O7870" s="788">
        <v>42146</v>
      </c>
    </row>
    <row r="7871" spans="1:15" x14ac:dyDescent="0.25">
      <c r="A7871" s="786" t="s">
        <v>14072</v>
      </c>
      <c r="B7871" s="787">
        <v>4</v>
      </c>
      <c r="C7871" s="787" t="s">
        <v>14073</v>
      </c>
      <c r="D7871" s="787">
        <v>2.39</v>
      </c>
      <c r="E7871" s="787">
        <v>2.39</v>
      </c>
      <c r="F7871" s="788">
        <v>41247</v>
      </c>
      <c r="G7871" s="788">
        <v>41943</v>
      </c>
      <c r="H7871" s="787">
        <v>1</v>
      </c>
      <c r="I7871" s="788">
        <v>41968</v>
      </c>
      <c r="J7871" s="788">
        <v>41225</v>
      </c>
      <c r="L7871" s="787">
        <v>0</v>
      </c>
      <c r="M7871" s="787">
        <v>10</v>
      </c>
      <c r="N7871" s="787">
        <v>0.85</v>
      </c>
      <c r="O7871" s="788">
        <v>42146</v>
      </c>
    </row>
    <row r="7872" spans="1:15" x14ac:dyDescent="0.25">
      <c r="A7872" s="786" t="s">
        <v>14074</v>
      </c>
      <c r="B7872" s="787">
        <v>4</v>
      </c>
      <c r="C7872" s="787" t="s">
        <v>14075</v>
      </c>
      <c r="D7872" s="787">
        <v>0.43</v>
      </c>
      <c r="E7872" s="787">
        <v>0.43</v>
      </c>
      <c r="F7872" s="788">
        <v>41813</v>
      </c>
      <c r="G7872" s="788">
        <v>41943</v>
      </c>
      <c r="H7872" s="787">
        <v>1</v>
      </c>
      <c r="I7872" s="788">
        <v>41968</v>
      </c>
      <c r="J7872" s="788">
        <v>41484</v>
      </c>
      <c r="L7872" s="787">
        <v>0</v>
      </c>
      <c r="M7872" s="787">
        <v>10</v>
      </c>
      <c r="N7872" s="787">
        <v>1.06</v>
      </c>
      <c r="O7872" s="788">
        <v>42146</v>
      </c>
    </row>
    <row r="7873" spans="1:15" x14ac:dyDescent="0.25">
      <c r="A7873" s="786" t="s">
        <v>14076</v>
      </c>
      <c r="B7873" s="787">
        <v>4</v>
      </c>
      <c r="C7873" s="787" t="s">
        <v>14077</v>
      </c>
      <c r="D7873" s="787">
        <v>1.22</v>
      </c>
      <c r="E7873" s="787">
        <v>1.22</v>
      </c>
      <c r="F7873" s="788">
        <v>41418</v>
      </c>
      <c r="G7873" s="788">
        <v>41943</v>
      </c>
      <c r="H7873" s="787">
        <v>1</v>
      </c>
      <c r="I7873" s="788">
        <v>41968</v>
      </c>
      <c r="J7873" s="788">
        <v>41379</v>
      </c>
      <c r="K7873" s="788">
        <v>41368</v>
      </c>
      <c r="L7873" s="787">
        <v>0.84</v>
      </c>
      <c r="M7873" s="787">
        <v>10</v>
      </c>
      <c r="N7873" s="787">
        <v>1.05</v>
      </c>
      <c r="O7873" s="788">
        <v>42146</v>
      </c>
    </row>
    <row r="7874" spans="1:15" x14ac:dyDescent="0.25">
      <c r="A7874" s="786" t="s">
        <v>14078</v>
      </c>
      <c r="B7874" s="787">
        <v>4</v>
      </c>
      <c r="C7874" s="787" t="s">
        <v>14079</v>
      </c>
      <c r="D7874" s="787">
        <v>5.26</v>
      </c>
      <c r="E7874" s="787">
        <v>10.36</v>
      </c>
      <c r="F7874" s="788">
        <v>42137</v>
      </c>
      <c r="G7874" s="788">
        <v>42166</v>
      </c>
      <c r="H7874" s="787">
        <v>1</v>
      </c>
      <c r="I7874" s="788">
        <v>42152</v>
      </c>
      <c r="J7874" s="788">
        <v>42136</v>
      </c>
      <c r="K7874" s="788">
        <v>41353</v>
      </c>
      <c r="L7874" s="787">
        <v>9.32</v>
      </c>
      <c r="M7874" s="787">
        <v>10</v>
      </c>
      <c r="N7874" s="787">
        <v>9</v>
      </c>
      <c r="O7874" s="788">
        <v>42146</v>
      </c>
    </row>
    <row r="7875" spans="1:15" x14ac:dyDescent="0.25">
      <c r="A7875" s="786" t="s">
        <v>14080</v>
      </c>
      <c r="B7875" s="787">
        <v>4</v>
      </c>
      <c r="C7875" s="787" t="s">
        <v>14081</v>
      </c>
      <c r="D7875" s="787">
        <v>6.95</v>
      </c>
      <c r="E7875" s="787">
        <v>7.19</v>
      </c>
      <c r="F7875" s="788">
        <v>41773</v>
      </c>
      <c r="G7875" s="788">
        <v>42158</v>
      </c>
      <c r="H7875" s="787">
        <v>1</v>
      </c>
      <c r="I7875" s="788">
        <v>42156</v>
      </c>
      <c r="J7875" s="788">
        <v>42153</v>
      </c>
      <c r="K7875" s="788">
        <v>41766</v>
      </c>
      <c r="L7875" s="787">
        <v>6.95</v>
      </c>
      <c r="M7875" s="787">
        <v>20</v>
      </c>
      <c r="N7875" s="787">
        <v>8.3699999999999992</v>
      </c>
      <c r="O7875" s="788">
        <v>42163</v>
      </c>
    </row>
    <row r="7876" spans="1:15" x14ac:dyDescent="0.25">
      <c r="A7876" s="786" t="s">
        <v>14082</v>
      </c>
      <c r="B7876" s="787">
        <v>4</v>
      </c>
      <c r="C7876" s="787" t="s">
        <v>14083</v>
      </c>
      <c r="D7876" s="787">
        <v>0</v>
      </c>
      <c r="E7876" s="787">
        <v>0</v>
      </c>
      <c r="H7876" s="787">
        <v>1</v>
      </c>
      <c r="I7876" s="788">
        <v>42145</v>
      </c>
      <c r="K7876" s="788">
        <v>41393</v>
      </c>
      <c r="L7876" s="787">
        <v>12.08</v>
      </c>
      <c r="M7876" s="787">
        <v>10</v>
      </c>
      <c r="N7876" s="787">
        <v>11.92</v>
      </c>
      <c r="O7876" s="788">
        <v>42146</v>
      </c>
    </row>
    <row r="7877" spans="1:15" x14ac:dyDescent="0.25">
      <c r="A7877" s="786" t="s">
        <v>14084</v>
      </c>
      <c r="B7877" s="787">
        <v>4</v>
      </c>
      <c r="C7877" s="787" t="s">
        <v>14085</v>
      </c>
      <c r="D7877" s="787">
        <v>0</v>
      </c>
      <c r="E7877" s="787">
        <v>0</v>
      </c>
      <c r="H7877" s="787">
        <v>1</v>
      </c>
      <c r="I7877" s="788">
        <v>42145</v>
      </c>
      <c r="K7877" s="788">
        <v>41393</v>
      </c>
      <c r="L7877" s="787">
        <v>11.94</v>
      </c>
      <c r="M7877" s="787">
        <v>10</v>
      </c>
      <c r="N7877" s="787">
        <v>11.92</v>
      </c>
      <c r="O7877" s="788">
        <v>42146</v>
      </c>
    </row>
    <row r="7878" spans="1:15" x14ac:dyDescent="0.25">
      <c r="A7878" s="786" t="s">
        <v>14086</v>
      </c>
      <c r="B7878" s="787">
        <v>4</v>
      </c>
      <c r="C7878" s="787" t="s">
        <v>14087</v>
      </c>
      <c r="D7878" s="787">
        <v>9.42</v>
      </c>
      <c r="E7878" s="787">
        <v>19.420000000000002</v>
      </c>
      <c r="F7878" s="788">
        <v>41459</v>
      </c>
      <c r="G7878" s="788">
        <v>42013</v>
      </c>
      <c r="H7878" s="787">
        <v>1</v>
      </c>
      <c r="I7878" s="788">
        <v>41473</v>
      </c>
      <c r="J7878" s="788">
        <v>41463</v>
      </c>
      <c r="K7878" s="788">
        <v>41865</v>
      </c>
      <c r="L7878" s="787">
        <v>9.26</v>
      </c>
      <c r="M7878" s="787">
        <v>20</v>
      </c>
      <c r="N7878" s="787">
        <v>9.9499999999999993</v>
      </c>
      <c r="O7878" s="788">
        <v>42146</v>
      </c>
    </row>
    <row r="7879" spans="1:15" x14ac:dyDescent="0.25">
      <c r="A7879" s="786" t="s">
        <v>14088</v>
      </c>
      <c r="B7879" s="787">
        <v>4</v>
      </c>
      <c r="C7879" s="787" t="s">
        <v>14089</v>
      </c>
      <c r="D7879" s="787">
        <v>0</v>
      </c>
      <c r="E7879" s="787">
        <v>0</v>
      </c>
      <c r="H7879" s="787">
        <v>1</v>
      </c>
      <c r="L7879" s="787">
        <v>23.65</v>
      </c>
      <c r="M7879" s="787">
        <v>20</v>
      </c>
      <c r="N7879" s="787">
        <v>25.42</v>
      </c>
      <c r="O7879" s="788">
        <v>42146</v>
      </c>
    </row>
    <row r="7880" spans="1:15" x14ac:dyDescent="0.25">
      <c r="A7880" s="786" t="s">
        <v>14090</v>
      </c>
      <c r="B7880" s="787">
        <v>4</v>
      </c>
      <c r="C7880" s="787" t="s">
        <v>14091</v>
      </c>
      <c r="D7880" s="787">
        <v>4.9400000000000004</v>
      </c>
      <c r="E7880" s="787">
        <v>4.9400000000000004</v>
      </c>
      <c r="F7880" s="788">
        <v>41444</v>
      </c>
      <c r="G7880" s="788">
        <v>41432</v>
      </c>
      <c r="H7880" s="787">
        <v>1</v>
      </c>
      <c r="J7880" s="788">
        <v>41432</v>
      </c>
      <c r="K7880" s="788">
        <v>41415</v>
      </c>
      <c r="L7880" s="787">
        <v>4.9400000000000004</v>
      </c>
      <c r="M7880" s="787">
        <v>10</v>
      </c>
      <c r="N7880" s="787">
        <v>1.42</v>
      </c>
      <c r="O7880" s="788">
        <v>42146</v>
      </c>
    </row>
    <row r="7881" spans="1:15" x14ac:dyDescent="0.25">
      <c r="A7881" s="786" t="s">
        <v>14092</v>
      </c>
      <c r="B7881" s="787">
        <v>4</v>
      </c>
      <c r="C7881" s="787" t="s">
        <v>14093</v>
      </c>
      <c r="D7881" s="787">
        <v>0</v>
      </c>
      <c r="E7881" s="787">
        <v>0</v>
      </c>
      <c r="H7881" s="787">
        <v>1</v>
      </c>
      <c r="L7881" s="787">
        <v>0</v>
      </c>
      <c r="M7881" s="787">
        <v>10</v>
      </c>
      <c r="N7881" s="787">
        <v>3.34</v>
      </c>
      <c r="O7881" s="788">
        <v>42146</v>
      </c>
    </row>
    <row r="7882" spans="1:15" x14ac:dyDescent="0.25">
      <c r="A7882" s="786" t="s">
        <v>14094</v>
      </c>
      <c r="B7882" s="787">
        <v>4</v>
      </c>
      <c r="C7882" s="787" t="s">
        <v>14095</v>
      </c>
      <c r="D7882" s="787">
        <v>1.17</v>
      </c>
      <c r="E7882" s="787">
        <v>21.17</v>
      </c>
      <c r="F7882" s="788">
        <v>40331</v>
      </c>
      <c r="G7882" s="788">
        <v>40331</v>
      </c>
      <c r="H7882" s="787">
        <v>1</v>
      </c>
      <c r="J7882" s="788">
        <v>40308</v>
      </c>
      <c r="L7882" s="787">
        <v>21.17</v>
      </c>
      <c r="M7882" s="787">
        <v>20</v>
      </c>
      <c r="N7882" s="787">
        <v>22.76</v>
      </c>
      <c r="O7882" s="788">
        <v>42146</v>
      </c>
    </row>
    <row r="7883" spans="1:15" x14ac:dyDescent="0.25">
      <c r="A7883" s="786" t="s">
        <v>14096</v>
      </c>
      <c r="B7883" s="787">
        <v>4</v>
      </c>
      <c r="C7883" s="787" t="s">
        <v>14097</v>
      </c>
      <c r="D7883" s="787">
        <v>0</v>
      </c>
      <c r="E7883" s="787">
        <v>0</v>
      </c>
      <c r="H7883" s="787">
        <v>1</v>
      </c>
      <c r="L7883" s="787">
        <v>0</v>
      </c>
      <c r="M7883" s="787">
        <v>10</v>
      </c>
      <c r="N7883" s="787">
        <v>2.79</v>
      </c>
      <c r="O7883" s="788">
        <v>42146</v>
      </c>
    </row>
    <row r="7884" spans="1:15" x14ac:dyDescent="0.25">
      <c r="A7884" s="786" t="s">
        <v>14098</v>
      </c>
      <c r="B7884" s="787">
        <v>4</v>
      </c>
      <c r="C7884" s="787" t="s">
        <v>14099</v>
      </c>
      <c r="D7884" s="787">
        <v>6.66</v>
      </c>
      <c r="E7884" s="787">
        <v>6.66</v>
      </c>
      <c r="F7884" s="788">
        <v>41806</v>
      </c>
      <c r="G7884" s="788">
        <v>42013</v>
      </c>
      <c r="H7884" s="787">
        <v>1</v>
      </c>
      <c r="I7884" s="788">
        <v>42165</v>
      </c>
      <c r="J7884" s="788">
        <v>41765</v>
      </c>
      <c r="K7884" s="788">
        <v>41471</v>
      </c>
      <c r="L7884" s="787">
        <v>4.46</v>
      </c>
      <c r="M7884" s="787">
        <v>10</v>
      </c>
      <c r="N7884" s="787">
        <v>5.85</v>
      </c>
      <c r="O7884" s="788">
        <v>42146</v>
      </c>
    </row>
    <row r="7885" spans="1:15" x14ac:dyDescent="0.25">
      <c r="A7885" s="786" t="s">
        <v>14100</v>
      </c>
      <c r="B7885" s="787">
        <v>4</v>
      </c>
      <c r="C7885" s="787" t="s">
        <v>14101</v>
      </c>
      <c r="D7885" s="787">
        <v>4.58</v>
      </c>
      <c r="E7885" s="787">
        <v>4.58</v>
      </c>
      <c r="F7885" s="788">
        <v>41806</v>
      </c>
      <c r="G7885" s="788">
        <v>42013</v>
      </c>
      <c r="H7885" s="787">
        <v>1</v>
      </c>
      <c r="I7885" s="788">
        <v>42165</v>
      </c>
      <c r="J7885" s="788">
        <v>41765</v>
      </c>
      <c r="K7885" s="788">
        <v>41471</v>
      </c>
      <c r="L7885" s="787">
        <v>4.46</v>
      </c>
      <c r="M7885" s="787">
        <v>10</v>
      </c>
      <c r="N7885" s="787">
        <v>4.9400000000000004</v>
      </c>
      <c r="O7885" s="788">
        <v>42146</v>
      </c>
    </row>
    <row r="7886" spans="1:15" x14ac:dyDescent="0.25">
      <c r="A7886" s="786" t="s">
        <v>14102</v>
      </c>
      <c r="B7886" s="787">
        <v>4</v>
      </c>
      <c r="C7886" s="787" t="s">
        <v>14103</v>
      </c>
      <c r="D7886" s="787">
        <v>0</v>
      </c>
      <c r="E7886" s="787">
        <v>0</v>
      </c>
      <c r="H7886" s="787">
        <v>1</v>
      </c>
      <c r="I7886" s="788">
        <v>42051</v>
      </c>
      <c r="L7886" s="787">
        <v>0</v>
      </c>
      <c r="M7886" s="787">
        <v>10</v>
      </c>
      <c r="N7886" s="787">
        <v>13.85</v>
      </c>
      <c r="O7886" s="788">
        <v>42146</v>
      </c>
    </row>
    <row r="7887" spans="1:15" x14ac:dyDescent="0.25">
      <c r="A7887" s="786" t="s">
        <v>14104</v>
      </c>
      <c r="B7887" s="787">
        <v>4</v>
      </c>
      <c r="C7887" s="787" t="s">
        <v>14105</v>
      </c>
      <c r="D7887" s="787">
        <v>0</v>
      </c>
      <c r="E7887" s="787">
        <v>0</v>
      </c>
      <c r="H7887" s="787">
        <v>1</v>
      </c>
      <c r="L7887" s="787">
        <v>0</v>
      </c>
      <c r="M7887" s="787">
        <v>10</v>
      </c>
      <c r="N7887" s="787">
        <v>19.670000000000002</v>
      </c>
      <c r="O7887" s="788">
        <v>42146</v>
      </c>
    </row>
    <row r="7888" spans="1:15" x14ac:dyDescent="0.25">
      <c r="A7888" s="786" t="s">
        <v>14106</v>
      </c>
      <c r="B7888" s="787">
        <v>4</v>
      </c>
      <c r="C7888" s="787" t="s">
        <v>14107</v>
      </c>
      <c r="D7888" s="787">
        <v>0</v>
      </c>
      <c r="E7888" s="787">
        <v>0</v>
      </c>
      <c r="H7888" s="787">
        <v>1</v>
      </c>
      <c r="I7888" s="788">
        <v>41037</v>
      </c>
      <c r="L7888" s="787">
        <v>0</v>
      </c>
      <c r="M7888" s="787">
        <v>10</v>
      </c>
      <c r="N7888" s="787">
        <v>26.84</v>
      </c>
      <c r="O7888" s="788">
        <v>42146</v>
      </c>
    </row>
    <row r="7889" spans="1:15" x14ac:dyDescent="0.25">
      <c r="A7889" s="786" t="s">
        <v>14108</v>
      </c>
      <c r="B7889" s="787">
        <v>4</v>
      </c>
      <c r="C7889" s="787" t="s">
        <v>14109</v>
      </c>
      <c r="D7889" s="787">
        <v>0</v>
      </c>
      <c r="E7889" s="787">
        <v>0</v>
      </c>
      <c r="H7889" s="787">
        <v>1</v>
      </c>
      <c r="I7889" s="788">
        <v>41823</v>
      </c>
      <c r="L7889" s="787">
        <v>0</v>
      </c>
      <c r="M7889" s="787">
        <v>10</v>
      </c>
      <c r="N7889" s="787">
        <v>33.53</v>
      </c>
      <c r="O7889" s="788">
        <v>42146</v>
      </c>
    </row>
    <row r="7890" spans="1:15" x14ac:dyDescent="0.25">
      <c r="A7890" s="786" t="s">
        <v>14110</v>
      </c>
      <c r="B7890" s="787">
        <v>4</v>
      </c>
      <c r="C7890" s="787" t="s">
        <v>14111</v>
      </c>
      <c r="D7890" s="787">
        <v>0</v>
      </c>
      <c r="E7890" s="787">
        <v>0</v>
      </c>
      <c r="H7890" s="787">
        <v>1</v>
      </c>
      <c r="I7890" s="788">
        <v>42051</v>
      </c>
      <c r="L7890" s="787">
        <v>0</v>
      </c>
      <c r="M7890" s="787">
        <v>10</v>
      </c>
      <c r="N7890" s="787">
        <v>7.56</v>
      </c>
      <c r="O7890" s="788">
        <v>42146</v>
      </c>
    </row>
    <row r="7891" spans="1:15" x14ac:dyDescent="0.25">
      <c r="A7891" s="786" t="s">
        <v>14112</v>
      </c>
      <c r="B7891" s="787">
        <v>4</v>
      </c>
      <c r="C7891" s="787" t="s">
        <v>14113</v>
      </c>
      <c r="D7891" s="787">
        <v>0</v>
      </c>
      <c r="E7891" s="787">
        <v>0</v>
      </c>
      <c r="H7891" s="787">
        <v>1</v>
      </c>
      <c r="L7891" s="787">
        <v>0</v>
      </c>
      <c r="M7891" s="787">
        <v>10</v>
      </c>
      <c r="N7891" s="787">
        <v>10.36</v>
      </c>
      <c r="O7891" s="788">
        <v>42146</v>
      </c>
    </row>
    <row r="7892" spans="1:15" x14ac:dyDescent="0.25">
      <c r="A7892" s="786" t="s">
        <v>14114</v>
      </c>
      <c r="B7892" s="787">
        <v>4</v>
      </c>
      <c r="C7892" s="787" t="s">
        <v>14115</v>
      </c>
      <c r="D7892" s="787">
        <v>0</v>
      </c>
      <c r="E7892" s="787">
        <v>0</v>
      </c>
      <c r="H7892" s="787">
        <v>1</v>
      </c>
      <c r="I7892" s="788">
        <v>41037</v>
      </c>
      <c r="L7892" s="787">
        <v>0</v>
      </c>
      <c r="M7892" s="787">
        <v>10</v>
      </c>
      <c r="N7892" s="787">
        <v>13.84</v>
      </c>
      <c r="O7892" s="788">
        <v>42146</v>
      </c>
    </row>
    <row r="7893" spans="1:15" x14ac:dyDescent="0.25">
      <c r="A7893" s="786" t="s">
        <v>14116</v>
      </c>
      <c r="B7893" s="787">
        <v>4</v>
      </c>
      <c r="C7893" s="787" t="s">
        <v>14117</v>
      </c>
      <c r="D7893" s="787">
        <v>0</v>
      </c>
      <c r="E7893" s="787">
        <v>0</v>
      </c>
      <c r="H7893" s="787">
        <v>1</v>
      </c>
      <c r="I7893" s="788">
        <v>41823</v>
      </c>
      <c r="L7893" s="787">
        <v>0</v>
      </c>
      <c r="M7893" s="787">
        <v>10</v>
      </c>
      <c r="N7893" s="787">
        <v>16.739999999999998</v>
      </c>
      <c r="O7893" s="788">
        <v>42146</v>
      </c>
    </row>
    <row r="7894" spans="1:15" x14ac:dyDescent="0.25">
      <c r="A7894" s="786" t="s">
        <v>14118</v>
      </c>
      <c r="B7894" s="787">
        <v>4</v>
      </c>
      <c r="C7894" s="787" t="s">
        <v>14119</v>
      </c>
      <c r="D7894" s="787">
        <v>0</v>
      </c>
      <c r="E7894" s="787">
        <v>0</v>
      </c>
      <c r="H7894" s="787">
        <v>1</v>
      </c>
      <c r="I7894" s="788">
        <v>41327</v>
      </c>
      <c r="L7894" s="787">
        <v>0</v>
      </c>
      <c r="M7894" s="787">
        <v>10</v>
      </c>
      <c r="N7894" s="787">
        <v>6.66</v>
      </c>
      <c r="O7894" s="788">
        <v>42146</v>
      </c>
    </row>
    <row r="7895" spans="1:15" x14ac:dyDescent="0.25">
      <c r="A7895" s="786" t="s">
        <v>14120</v>
      </c>
      <c r="B7895" s="787">
        <v>4</v>
      </c>
      <c r="C7895" s="787" t="s">
        <v>14121</v>
      </c>
      <c r="D7895" s="787">
        <v>0</v>
      </c>
      <c r="E7895" s="787">
        <v>0</v>
      </c>
      <c r="H7895" s="787">
        <v>1</v>
      </c>
      <c r="I7895" s="788">
        <v>41037</v>
      </c>
      <c r="L7895" s="787">
        <v>0</v>
      </c>
      <c r="M7895" s="787">
        <v>10</v>
      </c>
      <c r="N7895" s="787">
        <v>6.94</v>
      </c>
      <c r="O7895" s="788">
        <v>42146</v>
      </c>
    </row>
    <row r="7896" spans="1:15" x14ac:dyDescent="0.25">
      <c r="A7896" s="786" t="s">
        <v>14122</v>
      </c>
      <c r="B7896" s="787">
        <v>4</v>
      </c>
      <c r="C7896" s="787" t="s">
        <v>14123</v>
      </c>
      <c r="D7896" s="787">
        <v>0</v>
      </c>
      <c r="E7896" s="787">
        <v>0</v>
      </c>
      <c r="H7896" s="787">
        <v>1</v>
      </c>
      <c r="I7896" s="788">
        <v>41823</v>
      </c>
      <c r="L7896" s="787">
        <v>0</v>
      </c>
      <c r="M7896" s="787">
        <v>10</v>
      </c>
      <c r="N7896" s="787">
        <v>7.36</v>
      </c>
      <c r="O7896" s="788">
        <v>42146</v>
      </c>
    </row>
    <row r="7897" spans="1:15" x14ac:dyDescent="0.25">
      <c r="A7897" s="786" t="s">
        <v>14124</v>
      </c>
      <c r="B7897" s="787">
        <v>4</v>
      </c>
      <c r="C7897" s="787" t="s">
        <v>14125</v>
      </c>
      <c r="D7897" s="787">
        <v>0</v>
      </c>
      <c r="E7897" s="787">
        <v>0</v>
      </c>
      <c r="H7897" s="787">
        <v>1</v>
      </c>
      <c r="I7897" s="788">
        <v>41327</v>
      </c>
      <c r="L7897" s="787">
        <v>0</v>
      </c>
      <c r="M7897" s="787">
        <v>10</v>
      </c>
      <c r="N7897" s="787">
        <v>6.66</v>
      </c>
      <c r="O7897" s="788">
        <v>42146</v>
      </c>
    </row>
    <row r="7898" spans="1:15" x14ac:dyDescent="0.25">
      <c r="A7898" s="786" t="s">
        <v>14126</v>
      </c>
      <c r="B7898" s="787">
        <v>4</v>
      </c>
      <c r="C7898" s="787" t="s">
        <v>14125</v>
      </c>
      <c r="D7898" s="787">
        <v>0</v>
      </c>
      <c r="E7898" s="787">
        <v>0</v>
      </c>
      <c r="H7898" s="787">
        <v>1</v>
      </c>
      <c r="I7898" s="788">
        <v>41037</v>
      </c>
      <c r="L7898" s="787">
        <v>0</v>
      </c>
      <c r="M7898" s="787">
        <v>10</v>
      </c>
      <c r="N7898" s="787">
        <v>6.94</v>
      </c>
      <c r="O7898" s="788">
        <v>42146</v>
      </c>
    </row>
    <row r="7899" spans="1:15" x14ac:dyDescent="0.25">
      <c r="A7899" s="786" t="s">
        <v>14127</v>
      </c>
      <c r="B7899" s="787">
        <v>4</v>
      </c>
      <c r="C7899" s="787" t="s">
        <v>14125</v>
      </c>
      <c r="D7899" s="787">
        <v>0</v>
      </c>
      <c r="E7899" s="787">
        <v>0</v>
      </c>
      <c r="H7899" s="787">
        <v>1</v>
      </c>
      <c r="I7899" s="788">
        <v>41823</v>
      </c>
      <c r="L7899" s="787">
        <v>0</v>
      </c>
      <c r="M7899" s="787">
        <v>10</v>
      </c>
      <c r="N7899" s="787">
        <v>7.36</v>
      </c>
      <c r="O7899" s="788">
        <v>42146</v>
      </c>
    </row>
    <row r="7900" spans="1:15" x14ac:dyDescent="0.25">
      <c r="A7900" s="786" t="s">
        <v>14128</v>
      </c>
      <c r="B7900" s="787">
        <v>4</v>
      </c>
      <c r="C7900" s="787" t="s">
        <v>14129</v>
      </c>
      <c r="D7900" s="787">
        <v>0</v>
      </c>
      <c r="E7900" s="787">
        <v>0</v>
      </c>
      <c r="H7900" s="787">
        <v>1</v>
      </c>
      <c r="I7900" s="788">
        <v>41327</v>
      </c>
      <c r="L7900" s="787">
        <v>0</v>
      </c>
      <c r="M7900" s="787">
        <v>10</v>
      </c>
      <c r="N7900" s="787">
        <v>7.27</v>
      </c>
      <c r="O7900" s="788">
        <v>42146</v>
      </c>
    </row>
    <row r="7901" spans="1:15" x14ac:dyDescent="0.25">
      <c r="A7901" s="786" t="s">
        <v>14130</v>
      </c>
      <c r="B7901" s="787">
        <v>4</v>
      </c>
      <c r="C7901" s="787" t="s">
        <v>14131</v>
      </c>
      <c r="D7901" s="787">
        <v>0</v>
      </c>
      <c r="E7901" s="787">
        <v>0</v>
      </c>
      <c r="H7901" s="787">
        <v>1</v>
      </c>
      <c r="I7901" s="788">
        <v>41037</v>
      </c>
      <c r="L7901" s="787">
        <v>0</v>
      </c>
      <c r="M7901" s="787">
        <v>10</v>
      </c>
      <c r="N7901" s="787">
        <v>7.6</v>
      </c>
      <c r="O7901" s="788">
        <v>42146</v>
      </c>
    </row>
    <row r="7902" spans="1:15" x14ac:dyDescent="0.25">
      <c r="A7902" s="786" t="s">
        <v>14132</v>
      </c>
      <c r="B7902" s="787">
        <v>4</v>
      </c>
      <c r="C7902" s="787" t="s">
        <v>14133</v>
      </c>
      <c r="D7902" s="787">
        <v>0</v>
      </c>
      <c r="E7902" s="787">
        <v>0</v>
      </c>
      <c r="H7902" s="787">
        <v>1</v>
      </c>
      <c r="I7902" s="788">
        <v>41823</v>
      </c>
      <c r="L7902" s="787">
        <v>0</v>
      </c>
      <c r="M7902" s="787">
        <v>10</v>
      </c>
      <c r="N7902" s="787">
        <v>8.09</v>
      </c>
      <c r="O7902" s="788">
        <v>42146</v>
      </c>
    </row>
    <row r="7903" spans="1:15" x14ac:dyDescent="0.25">
      <c r="A7903" s="786" t="s">
        <v>14134</v>
      </c>
      <c r="B7903" s="787">
        <v>4</v>
      </c>
      <c r="C7903" s="787" t="s">
        <v>14135</v>
      </c>
      <c r="D7903" s="787">
        <v>0</v>
      </c>
      <c r="E7903" s="787">
        <v>0</v>
      </c>
      <c r="H7903" s="787">
        <v>1</v>
      </c>
      <c r="I7903" s="788">
        <v>42051</v>
      </c>
      <c r="L7903" s="787">
        <v>0</v>
      </c>
      <c r="M7903" s="787">
        <v>10</v>
      </c>
      <c r="N7903" s="787">
        <v>4.93</v>
      </c>
      <c r="O7903" s="788">
        <v>42146</v>
      </c>
    </row>
    <row r="7904" spans="1:15" x14ac:dyDescent="0.25">
      <c r="A7904" s="786" t="s">
        <v>14136</v>
      </c>
      <c r="B7904" s="787">
        <v>4</v>
      </c>
      <c r="C7904" s="787" t="s">
        <v>14137</v>
      </c>
      <c r="D7904" s="787">
        <v>0</v>
      </c>
      <c r="E7904" s="787">
        <v>0</v>
      </c>
      <c r="H7904" s="787">
        <v>1</v>
      </c>
      <c r="I7904" s="788">
        <v>41037</v>
      </c>
      <c r="L7904" s="787">
        <v>0</v>
      </c>
      <c r="M7904" s="787">
        <v>10</v>
      </c>
      <c r="N7904" s="787">
        <v>5.1100000000000003</v>
      </c>
      <c r="O7904" s="788">
        <v>42146</v>
      </c>
    </row>
    <row r="7905" spans="1:15" x14ac:dyDescent="0.25">
      <c r="A7905" s="786" t="s">
        <v>14138</v>
      </c>
      <c r="B7905" s="787">
        <v>4</v>
      </c>
      <c r="C7905" s="787" t="s">
        <v>14139</v>
      </c>
      <c r="D7905" s="787">
        <v>0</v>
      </c>
      <c r="E7905" s="787">
        <v>0</v>
      </c>
      <c r="H7905" s="787">
        <v>1</v>
      </c>
      <c r="I7905" s="788">
        <v>41823</v>
      </c>
      <c r="L7905" s="787">
        <v>0</v>
      </c>
      <c r="M7905" s="787">
        <v>10</v>
      </c>
      <c r="N7905" s="787">
        <v>5.39</v>
      </c>
      <c r="O7905" s="788">
        <v>42146</v>
      </c>
    </row>
    <row r="7906" spans="1:15" x14ac:dyDescent="0.25">
      <c r="A7906" s="786" t="s">
        <v>14140</v>
      </c>
      <c r="B7906" s="787">
        <v>4</v>
      </c>
      <c r="C7906" s="787" t="s">
        <v>14141</v>
      </c>
      <c r="D7906" s="787">
        <v>0</v>
      </c>
      <c r="E7906" s="787">
        <v>0</v>
      </c>
      <c r="H7906" s="787">
        <v>1</v>
      </c>
      <c r="I7906" s="788">
        <v>42051</v>
      </c>
      <c r="L7906" s="787">
        <v>0</v>
      </c>
      <c r="M7906" s="787">
        <v>10</v>
      </c>
      <c r="N7906" s="787">
        <v>5.0199999999999996</v>
      </c>
      <c r="O7906" s="788">
        <v>42146</v>
      </c>
    </row>
    <row r="7907" spans="1:15" x14ac:dyDescent="0.25">
      <c r="A7907" s="786" t="s">
        <v>14142</v>
      </c>
      <c r="B7907" s="787">
        <v>4</v>
      </c>
      <c r="C7907" s="787" t="s">
        <v>14143</v>
      </c>
      <c r="D7907" s="787">
        <v>0</v>
      </c>
      <c r="E7907" s="787">
        <v>0</v>
      </c>
      <c r="H7907" s="787">
        <v>1</v>
      </c>
      <c r="L7907" s="787">
        <v>0</v>
      </c>
      <c r="M7907" s="787">
        <v>10</v>
      </c>
      <c r="N7907" s="787">
        <v>5.66</v>
      </c>
      <c r="O7907" s="788">
        <v>42146</v>
      </c>
    </row>
    <row r="7908" spans="1:15" x14ac:dyDescent="0.25">
      <c r="A7908" s="786" t="s">
        <v>14144</v>
      </c>
      <c r="B7908" s="787">
        <v>4</v>
      </c>
      <c r="C7908" s="787" t="s">
        <v>14145</v>
      </c>
      <c r="D7908" s="787">
        <v>0</v>
      </c>
      <c r="E7908" s="787">
        <v>0</v>
      </c>
      <c r="H7908" s="787">
        <v>1</v>
      </c>
      <c r="I7908" s="788">
        <v>41037</v>
      </c>
      <c r="L7908" s="787">
        <v>0</v>
      </c>
      <c r="M7908" s="787">
        <v>10</v>
      </c>
      <c r="N7908" s="787">
        <v>6.68</v>
      </c>
      <c r="O7908" s="788">
        <v>42146</v>
      </c>
    </row>
    <row r="7909" spans="1:15" x14ac:dyDescent="0.25">
      <c r="A7909" s="786" t="s">
        <v>14146</v>
      </c>
      <c r="B7909" s="787">
        <v>4</v>
      </c>
      <c r="C7909" s="787" t="s">
        <v>14147</v>
      </c>
      <c r="D7909" s="787">
        <v>0</v>
      </c>
      <c r="E7909" s="787">
        <v>0</v>
      </c>
      <c r="H7909" s="787">
        <v>1</v>
      </c>
      <c r="I7909" s="788">
        <v>41823</v>
      </c>
      <c r="L7909" s="787">
        <v>0</v>
      </c>
      <c r="M7909" s="787">
        <v>10</v>
      </c>
      <c r="N7909" s="787">
        <v>6.87</v>
      </c>
      <c r="O7909" s="788">
        <v>42146</v>
      </c>
    </row>
    <row r="7910" spans="1:15" x14ac:dyDescent="0.25">
      <c r="A7910" s="786" t="s">
        <v>14148</v>
      </c>
      <c r="B7910" s="787">
        <v>4</v>
      </c>
      <c r="C7910" s="787" t="s">
        <v>14149</v>
      </c>
      <c r="D7910" s="787">
        <v>0</v>
      </c>
      <c r="E7910" s="787">
        <v>0</v>
      </c>
      <c r="H7910" s="787">
        <v>1</v>
      </c>
      <c r="I7910" s="788">
        <v>41327</v>
      </c>
      <c r="L7910" s="787">
        <v>0</v>
      </c>
      <c r="M7910" s="787">
        <v>10</v>
      </c>
      <c r="N7910" s="787">
        <v>5.8</v>
      </c>
      <c r="O7910" s="788">
        <v>42146</v>
      </c>
    </row>
    <row r="7911" spans="1:15" x14ac:dyDescent="0.25">
      <c r="A7911" s="786" t="s">
        <v>14150</v>
      </c>
      <c r="B7911" s="787">
        <v>4</v>
      </c>
      <c r="C7911" s="787" t="s">
        <v>14149</v>
      </c>
      <c r="D7911" s="787">
        <v>0</v>
      </c>
      <c r="E7911" s="787">
        <v>0</v>
      </c>
      <c r="H7911" s="787">
        <v>1</v>
      </c>
      <c r="L7911" s="787">
        <v>0</v>
      </c>
      <c r="M7911" s="787">
        <v>10</v>
      </c>
      <c r="N7911" s="787">
        <v>6.78</v>
      </c>
      <c r="O7911" s="788">
        <v>42146</v>
      </c>
    </row>
    <row r="7912" spans="1:15" x14ac:dyDescent="0.25">
      <c r="A7912" s="786" t="s">
        <v>14151</v>
      </c>
      <c r="B7912" s="787">
        <v>4</v>
      </c>
      <c r="C7912" s="787" t="s">
        <v>14149</v>
      </c>
      <c r="D7912" s="787">
        <v>0</v>
      </c>
      <c r="E7912" s="787">
        <v>0</v>
      </c>
      <c r="H7912" s="787">
        <v>1</v>
      </c>
      <c r="I7912" s="788">
        <v>41037</v>
      </c>
      <c r="L7912" s="787">
        <v>0</v>
      </c>
      <c r="M7912" s="787">
        <v>10</v>
      </c>
      <c r="N7912" s="787">
        <v>8.33</v>
      </c>
      <c r="O7912" s="788">
        <v>42146</v>
      </c>
    </row>
    <row r="7913" spans="1:15" x14ac:dyDescent="0.25">
      <c r="A7913" s="786" t="s">
        <v>14152</v>
      </c>
      <c r="B7913" s="787">
        <v>4</v>
      </c>
      <c r="C7913" s="787" t="s">
        <v>14149</v>
      </c>
      <c r="D7913" s="787">
        <v>0</v>
      </c>
      <c r="E7913" s="787">
        <v>0</v>
      </c>
      <c r="H7913" s="787">
        <v>1</v>
      </c>
      <c r="I7913" s="788">
        <v>41823</v>
      </c>
      <c r="L7913" s="787">
        <v>0</v>
      </c>
      <c r="M7913" s="787">
        <v>10</v>
      </c>
      <c r="N7913" s="787">
        <v>8.6199999999999992</v>
      </c>
      <c r="O7913" s="788">
        <v>42146</v>
      </c>
    </row>
    <row r="7914" spans="1:15" x14ac:dyDescent="0.25">
      <c r="A7914" s="786" t="s">
        <v>14153</v>
      </c>
      <c r="B7914" s="787">
        <v>4</v>
      </c>
      <c r="C7914" s="787" t="s">
        <v>14154</v>
      </c>
      <c r="D7914" s="787">
        <v>0</v>
      </c>
      <c r="E7914" s="787">
        <v>0</v>
      </c>
      <c r="H7914" s="787">
        <v>1</v>
      </c>
      <c r="I7914" s="788">
        <v>41327</v>
      </c>
      <c r="L7914" s="787">
        <v>0</v>
      </c>
      <c r="M7914" s="787">
        <v>10</v>
      </c>
      <c r="N7914" s="787">
        <v>5.8</v>
      </c>
      <c r="O7914" s="788">
        <v>42146</v>
      </c>
    </row>
    <row r="7915" spans="1:15" x14ac:dyDescent="0.25">
      <c r="A7915" s="786" t="s">
        <v>14155</v>
      </c>
      <c r="B7915" s="787">
        <v>4</v>
      </c>
      <c r="C7915" s="787" t="s">
        <v>14156</v>
      </c>
      <c r="D7915" s="787">
        <v>0</v>
      </c>
      <c r="E7915" s="787">
        <v>0</v>
      </c>
      <c r="H7915" s="787">
        <v>1</v>
      </c>
      <c r="L7915" s="787">
        <v>0</v>
      </c>
      <c r="M7915" s="787">
        <v>10</v>
      </c>
      <c r="N7915" s="787">
        <v>6.78</v>
      </c>
      <c r="O7915" s="788">
        <v>42146</v>
      </c>
    </row>
    <row r="7916" spans="1:15" x14ac:dyDescent="0.25">
      <c r="A7916" s="786" t="s">
        <v>14157</v>
      </c>
      <c r="B7916" s="787">
        <v>4</v>
      </c>
      <c r="C7916" s="787" t="s">
        <v>14158</v>
      </c>
      <c r="D7916" s="787">
        <v>0</v>
      </c>
      <c r="E7916" s="787">
        <v>0</v>
      </c>
      <c r="H7916" s="787">
        <v>1</v>
      </c>
      <c r="I7916" s="788">
        <v>41037</v>
      </c>
      <c r="L7916" s="787">
        <v>0</v>
      </c>
      <c r="M7916" s="787">
        <v>10</v>
      </c>
      <c r="N7916" s="787">
        <v>8.33</v>
      </c>
      <c r="O7916" s="788">
        <v>42146</v>
      </c>
    </row>
    <row r="7917" spans="1:15" x14ac:dyDescent="0.25">
      <c r="A7917" s="786" t="s">
        <v>14159</v>
      </c>
      <c r="B7917" s="787">
        <v>4</v>
      </c>
      <c r="C7917" s="787" t="s">
        <v>14160</v>
      </c>
      <c r="D7917" s="787">
        <v>0</v>
      </c>
      <c r="E7917" s="787">
        <v>0</v>
      </c>
      <c r="H7917" s="787">
        <v>1</v>
      </c>
      <c r="I7917" s="788">
        <v>41823</v>
      </c>
      <c r="L7917" s="787">
        <v>0</v>
      </c>
      <c r="M7917" s="787">
        <v>10</v>
      </c>
      <c r="N7917" s="787">
        <v>8.6199999999999992</v>
      </c>
      <c r="O7917" s="788">
        <v>42146</v>
      </c>
    </row>
    <row r="7918" spans="1:15" x14ac:dyDescent="0.25">
      <c r="A7918" s="786" t="s">
        <v>14161</v>
      </c>
      <c r="B7918" s="787">
        <v>4</v>
      </c>
      <c r="C7918" s="787" t="s">
        <v>14162</v>
      </c>
      <c r="D7918" s="787">
        <v>0</v>
      </c>
      <c r="E7918" s="787">
        <v>0</v>
      </c>
      <c r="H7918" s="787">
        <v>1</v>
      </c>
      <c r="I7918" s="788">
        <v>41327</v>
      </c>
      <c r="L7918" s="787">
        <v>0</v>
      </c>
      <c r="M7918" s="787">
        <v>10</v>
      </c>
      <c r="N7918" s="787">
        <v>5.0999999999999996</v>
      </c>
      <c r="O7918" s="788">
        <v>42146</v>
      </c>
    </row>
    <row r="7919" spans="1:15" x14ac:dyDescent="0.25">
      <c r="A7919" s="786" t="s">
        <v>14163</v>
      </c>
      <c r="B7919" s="787">
        <v>4</v>
      </c>
      <c r="C7919" s="787" t="s">
        <v>14164</v>
      </c>
      <c r="D7919" s="787">
        <v>0</v>
      </c>
      <c r="E7919" s="787">
        <v>0</v>
      </c>
      <c r="H7919" s="787">
        <v>1</v>
      </c>
      <c r="L7919" s="787">
        <v>0</v>
      </c>
      <c r="M7919" s="787">
        <v>10</v>
      </c>
      <c r="N7919" s="787">
        <v>6.13</v>
      </c>
      <c r="O7919" s="788">
        <v>42146</v>
      </c>
    </row>
    <row r="7920" spans="1:15" x14ac:dyDescent="0.25">
      <c r="A7920" s="786" t="s">
        <v>14165</v>
      </c>
      <c r="B7920" s="787">
        <v>4</v>
      </c>
      <c r="C7920" s="787" t="s">
        <v>14166</v>
      </c>
      <c r="D7920" s="787">
        <v>0</v>
      </c>
      <c r="E7920" s="787">
        <v>0</v>
      </c>
      <c r="H7920" s="787">
        <v>1</v>
      </c>
      <c r="I7920" s="788">
        <v>41037</v>
      </c>
      <c r="L7920" s="787">
        <v>0</v>
      </c>
      <c r="M7920" s="787">
        <v>10</v>
      </c>
      <c r="N7920" s="787">
        <v>7.74</v>
      </c>
      <c r="O7920" s="788">
        <v>42146</v>
      </c>
    </row>
    <row r="7921" spans="1:15" x14ac:dyDescent="0.25">
      <c r="A7921" s="786" t="s">
        <v>14167</v>
      </c>
      <c r="B7921" s="787">
        <v>4</v>
      </c>
      <c r="C7921" s="787" t="s">
        <v>14168</v>
      </c>
      <c r="D7921" s="787">
        <v>0</v>
      </c>
      <c r="E7921" s="787">
        <v>0</v>
      </c>
      <c r="H7921" s="787">
        <v>1</v>
      </c>
      <c r="I7921" s="788">
        <v>41823</v>
      </c>
      <c r="L7921" s="787">
        <v>0</v>
      </c>
      <c r="M7921" s="787">
        <v>10</v>
      </c>
      <c r="N7921" s="787">
        <v>8.0399999999999991</v>
      </c>
      <c r="O7921" s="788">
        <v>42146</v>
      </c>
    </row>
    <row r="7922" spans="1:15" x14ac:dyDescent="0.25">
      <c r="A7922" s="786" t="s">
        <v>14169</v>
      </c>
      <c r="B7922" s="787">
        <v>4</v>
      </c>
      <c r="C7922" s="787" t="s">
        <v>14170</v>
      </c>
      <c r="D7922" s="787">
        <v>0</v>
      </c>
      <c r="E7922" s="787">
        <v>0</v>
      </c>
      <c r="H7922" s="787">
        <v>1</v>
      </c>
      <c r="I7922" s="788">
        <v>42051</v>
      </c>
      <c r="L7922" s="787">
        <v>0</v>
      </c>
      <c r="M7922" s="787">
        <v>10</v>
      </c>
      <c r="N7922" s="787">
        <v>1.62</v>
      </c>
      <c r="O7922" s="788">
        <v>42146</v>
      </c>
    </row>
    <row r="7923" spans="1:15" x14ac:dyDescent="0.25">
      <c r="A7923" s="786" t="s">
        <v>14171</v>
      </c>
      <c r="B7923" s="787">
        <v>4</v>
      </c>
      <c r="C7923" s="787" t="s">
        <v>14172</v>
      </c>
      <c r="D7923" s="787">
        <v>0</v>
      </c>
      <c r="E7923" s="787">
        <v>0</v>
      </c>
      <c r="H7923" s="787">
        <v>1</v>
      </c>
      <c r="I7923" s="788">
        <v>41037</v>
      </c>
      <c r="L7923" s="787">
        <v>0</v>
      </c>
      <c r="M7923" s="787">
        <v>10</v>
      </c>
      <c r="N7923" s="787">
        <v>1.66</v>
      </c>
      <c r="O7923" s="788">
        <v>42146</v>
      </c>
    </row>
    <row r="7924" spans="1:15" x14ac:dyDescent="0.25">
      <c r="A7924" s="786" t="s">
        <v>14173</v>
      </c>
      <c r="B7924" s="787">
        <v>4</v>
      </c>
      <c r="C7924" s="787" t="s">
        <v>14174</v>
      </c>
      <c r="D7924" s="787">
        <v>0</v>
      </c>
      <c r="E7924" s="787">
        <v>0</v>
      </c>
      <c r="H7924" s="787">
        <v>1</v>
      </c>
      <c r="I7924" s="788">
        <v>41823</v>
      </c>
      <c r="L7924" s="787">
        <v>0</v>
      </c>
      <c r="M7924" s="787">
        <v>10</v>
      </c>
      <c r="N7924" s="787">
        <v>1.72</v>
      </c>
      <c r="O7924" s="788">
        <v>42146</v>
      </c>
    </row>
    <row r="7925" spans="1:15" x14ac:dyDescent="0.25">
      <c r="A7925" s="786" t="s">
        <v>14175</v>
      </c>
      <c r="B7925" s="787">
        <v>4</v>
      </c>
      <c r="C7925" s="787" t="s">
        <v>14176</v>
      </c>
      <c r="D7925" s="787">
        <v>0</v>
      </c>
      <c r="E7925" s="787">
        <v>0</v>
      </c>
      <c r="H7925" s="787">
        <v>1</v>
      </c>
      <c r="I7925" s="788">
        <v>42051</v>
      </c>
      <c r="L7925" s="787">
        <v>0</v>
      </c>
      <c r="M7925" s="787">
        <v>10</v>
      </c>
      <c r="N7925" s="787">
        <v>1.63</v>
      </c>
      <c r="O7925" s="788">
        <v>42146</v>
      </c>
    </row>
    <row r="7926" spans="1:15" x14ac:dyDescent="0.25">
      <c r="A7926" s="786" t="s">
        <v>14177</v>
      </c>
      <c r="B7926" s="787">
        <v>4</v>
      </c>
      <c r="C7926" s="787" t="s">
        <v>14178</v>
      </c>
      <c r="D7926" s="787">
        <v>0</v>
      </c>
      <c r="E7926" s="787">
        <v>0</v>
      </c>
      <c r="H7926" s="787">
        <v>1</v>
      </c>
      <c r="L7926" s="787">
        <v>0</v>
      </c>
      <c r="M7926" s="787">
        <v>10</v>
      </c>
      <c r="N7926" s="787">
        <v>1.73</v>
      </c>
      <c r="O7926" s="788">
        <v>42146</v>
      </c>
    </row>
    <row r="7927" spans="1:15" x14ac:dyDescent="0.25">
      <c r="A7927" s="786" t="s">
        <v>14179</v>
      </c>
      <c r="B7927" s="787">
        <v>4</v>
      </c>
      <c r="C7927" s="787" t="s">
        <v>14180</v>
      </c>
      <c r="D7927" s="787">
        <v>0</v>
      </c>
      <c r="E7927" s="787">
        <v>0</v>
      </c>
      <c r="H7927" s="787">
        <v>1</v>
      </c>
      <c r="I7927" s="788">
        <v>41037</v>
      </c>
      <c r="L7927" s="787">
        <v>0</v>
      </c>
      <c r="M7927" s="787">
        <v>10</v>
      </c>
      <c r="N7927" s="787">
        <v>1.86</v>
      </c>
      <c r="O7927" s="788">
        <v>42146</v>
      </c>
    </row>
    <row r="7928" spans="1:15" x14ac:dyDescent="0.25">
      <c r="A7928" s="786" t="s">
        <v>14181</v>
      </c>
      <c r="B7928" s="787">
        <v>4</v>
      </c>
      <c r="C7928" s="787" t="s">
        <v>14182</v>
      </c>
      <c r="D7928" s="787">
        <v>0</v>
      </c>
      <c r="E7928" s="787">
        <v>0</v>
      </c>
      <c r="H7928" s="787">
        <v>1</v>
      </c>
      <c r="I7928" s="788">
        <v>41823</v>
      </c>
      <c r="L7928" s="787">
        <v>0</v>
      </c>
      <c r="M7928" s="787">
        <v>10</v>
      </c>
      <c r="N7928" s="787">
        <v>1.88</v>
      </c>
      <c r="O7928" s="788">
        <v>42146</v>
      </c>
    </row>
    <row r="7929" spans="1:15" x14ac:dyDescent="0.25">
      <c r="A7929" s="786" t="s">
        <v>14183</v>
      </c>
      <c r="B7929" s="787">
        <v>4</v>
      </c>
      <c r="C7929" s="787" t="s">
        <v>14184</v>
      </c>
      <c r="D7929" s="787">
        <v>0</v>
      </c>
      <c r="E7929" s="787">
        <v>0</v>
      </c>
      <c r="H7929" s="787">
        <v>1</v>
      </c>
      <c r="I7929" s="788">
        <v>42051</v>
      </c>
      <c r="L7929" s="787">
        <v>0</v>
      </c>
      <c r="M7929" s="787">
        <v>10</v>
      </c>
      <c r="N7929" s="787">
        <v>6.26</v>
      </c>
      <c r="O7929" s="788">
        <v>42146</v>
      </c>
    </row>
    <row r="7930" spans="1:15" x14ac:dyDescent="0.25">
      <c r="A7930" s="786" t="s">
        <v>14185</v>
      </c>
      <c r="B7930" s="787">
        <v>4</v>
      </c>
      <c r="C7930" s="787" t="s">
        <v>14186</v>
      </c>
      <c r="D7930" s="787">
        <v>0</v>
      </c>
      <c r="E7930" s="787">
        <v>0</v>
      </c>
      <c r="H7930" s="787">
        <v>1</v>
      </c>
      <c r="I7930" s="788">
        <v>41037</v>
      </c>
      <c r="L7930" s="787">
        <v>0</v>
      </c>
      <c r="M7930" s="787">
        <v>10</v>
      </c>
      <c r="N7930" s="787">
        <v>6.54</v>
      </c>
      <c r="O7930" s="788">
        <v>42146</v>
      </c>
    </row>
    <row r="7931" spans="1:15" x14ac:dyDescent="0.25">
      <c r="A7931" s="786" t="s">
        <v>14187</v>
      </c>
      <c r="B7931" s="787">
        <v>4</v>
      </c>
      <c r="C7931" s="787" t="s">
        <v>14188</v>
      </c>
      <c r="D7931" s="787">
        <v>0</v>
      </c>
      <c r="E7931" s="787">
        <v>0</v>
      </c>
      <c r="H7931" s="787">
        <v>1</v>
      </c>
      <c r="I7931" s="788">
        <v>41823</v>
      </c>
      <c r="L7931" s="787">
        <v>0</v>
      </c>
      <c r="M7931" s="787">
        <v>10</v>
      </c>
      <c r="N7931" s="787">
        <v>7.27</v>
      </c>
      <c r="O7931" s="788">
        <v>42146</v>
      </c>
    </row>
    <row r="7932" spans="1:15" x14ac:dyDescent="0.25">
      <c r="A7932" s="786" t="s">
        <v>14189</v>
      </c>
      <c r="B7932" s="787">
        <v>4</v>
      </c>
      <c r="C7932" s="787" t="s">
        <v>14190</v>
      </c>
      <c r="D7932" s="787">
        <v>0</v>
      </c>
      <c r="E7932" s="787">
        <v>0</v>
      </c>
      <c r="H7932" s="787">
        <v>1</v>
      </c>
      <c r="I7932" s="788">
        <v>42051</v>
      </c>
      <c r="L7932" s="787">
        <v>0</v>
      </c>
      <c r="M7932" s="787">
        <v>10</v>
      </c>
      <c r="N7932" s="787">
        <v>6.39</v>
      </c>
      <c r="O7932" s="788">
        <v>42146</v>
      </c>
    </row>
    <row r="7933" spans="1:15" x14ac:dyDescent="0.25">
      <c r="A7933" s="786" t="s">
        <v>14191</v>
      </c>
      <c r="B7933" s="787">
        <v>4</v>
      </c>
      <c r="C7933" s="787" t="s">
        <v>14190</v>
      </c>
      <c r="D7933" s="787">
        <v>0</v>
      </c>
      <c r="E7933" s="787">
        <v>0</v>
      </c>
      <c r="H7933" s="787">
        <v>1</v>
      </c>
      <c r="L7933" s="787">
        <v>0</v>
      </c>
      <c r="M7933" s="787">
        <v>10</v>
      </c>
      <c r="N7933" s="787">
        <v>7.4</v>
      </c>
      <c r="O7933" s="788">
        <v>42146</v>
      </c>
    </row>
    <row r="7934" spans="1:15" x14ac:dyDescent="0.25">
      <c r="A7934" s="786" t="s">
        <v>14192</v>
      </c>
      <c r="B7934" s="787">
        <v>4</v>
      </c>
      <c r="C7934" s="787" t="s">
        <v>14190</v>
      </c>
      <c r="D7934" s="787">
        <v>0</v>
      </c>
      <c r="E7934" s="787">
        <v>0</v>
      </c>
      <c r="H7934" s="787">
        <v>1</v>
      </c>
      <c r="I7934" s="788">
        <v>41037</v>
      </c>
      <c r="L7934" s="787">
        <v>0</v>
      </c>
      <c r="M7934" s="787">
        <v>10</v>
      </c>
      <c r="N7934" s="787">
        <v>8.99</v>
      </c>
      <c r="O7934" s="788">
        <v>42146</v>
      </c>
    </row>
    <row r="7935" spans="1:15" x14ac:dyDescent="0.25">
      <c r="A7935" s="786" t="s">
        <v>14193</v>
      </c>
      <c r="B7935" s="787">
        <v>4</v>
      </c>
      <c r="C7935" s="787" t="s">
        <v>14190</v>
      </c>
      <c r="D7935" s="787">
        <v>0</v>
      </c>
      <c r="E7935" s="787">
        <v>0</v>
      </c>
      <c r="H7935" s="787">
        <v>1</v>
      </c>
      <c r="I7935" s="788">
        <v>41823</v>
      </c>
      <c r="L7935" s="787">
        <v>0</v>
      </c>
      <c r="M7935" s="787">
        <v>10</v>
      </c>
      <c r="N7935" s="787">
        <v>9.2799999999999994</v>
      </c>
      <c r="O7935" s="788">
        <v>42146</v>
      </c>
    </row>
    <row r="7936" spans="1:15" x14ac:dyDescent="0.25">
      <c r="A7936" s="786" t="s">
        <v>14194</v>
      </c>
      <c r="B7936" s="787">
        <v>4</v>
      </c>
      <c r="C7936" s="787" t="s">
        <v>14195</v>
      </c>
      <c r="D7936" s="787">
        <v>0</v>
      </c>
      <c r="E7936" s="787">
        <v>0</v>
      </c>
      <c r="H7936" s="787">
        <v>1</v>
      </c>
      <c r="I7936" s="788">
        <v>42051</v>
      </c>
      <c r="L7936" s="787">
        <v>0</v>
      </c>
      <c r="M7936" s="787">
        <v>10</v>
      </c>
      <c r="N7936" s="787">
        <v>6.39</v>
      </c>
      <c r="O7936" s="788">
        <v>42146</v>
      </c>
    </row>
    <row r="7937" spans="1:15" x14ac:dyDescent="0.25">
      <c r="A7937" s="786" t="s">
        <v>14196</v>
      </c>
      <c r="B7937" s="787">
        <v>4</v>
      </c>
      <c r="C7937" s="787" t="s">
        <v>14197</v>
      </c>
      <c r="D7937" s="787">
        <v>0</v>
      </c>
      <c r="E7937" s="787">
        <v>0</v>
      </c>
      <c r="H7937" s="787">
        <v>1</v>
      </c>
      <c r="L7937" s="787">
        <v>0</v>
      </c>
      <c r="M7937" s="787">
        <v>10</v>
      </c>
      <c r="N7937" s="787">
        <v>7.4</v>
      </c>
      <c r="O7937" s="788">
        <v>42146</v>
      </c>
    </row>
    <row r="7938" spans="1:15" x14ac:dyDescent="0.25">
      <c r="A7938" s="786" t="s">
        <v>14198</v>
      </c>
      <c r="B7938" s="787">
        <v>4</v>
      </c>
      <c r="C7938" s="787" t="s">
        <v>14199</v>
      </c>
      <c r="D7938" s="787">
        <v>0</v>
      </c>
      <c r="E7938" s="787">
        <v>0</v>
      </c>
      <c r="H7938" s="787">
        <v>1</v>
      </c>
      <c r="I7938" s="788">
        <v>41037</v>
      </c>
      <c r="L7938" s="787">
        <v>0</v>
      </c>
      <c r="M7938" s="787">
        <v>10</v>
      </c>
      <c r="N7938" s="787">
        <v>8.99</v>
      </c>
      <c r="O7938" s="788">
        <v>42146</v>
      </c>
    </row>
    <row r="7939" spans="1:15" x14ac:dyDescent="0.25">
      <c r="A7939" s="786" t="s">
        <v>14200</v>
      </c>
      <c r="B7939" s="787">
        <v>4</v>
      </c>
      <c r="C7939" s="787" t="s">
        <v>14201</v>
      </c>
      <c r="D7939" s="787">
        <v>0</v>
      </c>
      <c r="E7939" s="787">
        <v>0</v>
      </c>
      <c r="H7939" s="787">
        <v>1</v>
      </c>
      <c r="I7939" s="788">
        <v>41823</v>
      </c>
      <c r="L7939" s="787">
        <v>0</v>
      </c>
      <c r="M7939" s="787">
        <v>10</v>
      </c>
      <c r="N7939" s="787">
        <v>9.2899999999999991</v>
      </c>
      <c r="O7939" s="788">
        <v>42146</v>
      </c>
    </row>
    <row r="7940" spans="1:15" x14ac:dyDescent="0.25">
      <c r="A7940" s="786" t="s">
        <v>14202</v>
      </c>
      <c r="B7940" s="787">
        <v>4</v>
      </c>
      <c r="C7940" s="787" t="s">
        <v>14203</v>
      </c>
      <c r="D7940" s="787">
        <v>0</v>
      </c>
      <c r="E7940" s="787">
        <v>0</v>
      </c>
      <c r="H7940" s="787">
        <v>1</v>
      </c>
      <c r="I7940" s="788">
        <v>41327</v>
      </c>
      <c r="K7940" s="788">
        <v>41001</v>
      </c>
      <c r="L7940" s="787">
        <v>1</v>
      </c>
      <c r="M7940" s="787">
        <v>10</v>
      </c>
      <c r="N7940" s="787">
        <v>2.2200000000000002</v>
      </c>
      <c r="O7940" s="788">
        <v>42146</v>
      </c>
    </row>
    <row r="7941" spans="1:15" x14ac:dyDescent="0.25">
      <c r="A7941" s="786" t="s">
        <v>14204</v>
      </c>
      <c r="B7941" s="787">
        <v>4</v>
      </c>
      <c r="C7941" s="787" t="s">
        <v>14205</v>
      </c>
      <c r="D7941" s="787">
        <v>0</v>
      </c>
      <c r="E7941" s="787">
        <v>0</v>
      </c>
      <c r="H7941" s="787">
        <v>1</v>
      </c>
      <c r="I7941" s="788">
        <v>41037</v>
      </c>
      <c r="K7941" s="788">
        <v>41001</v>
      </c>
      <c r="L7941" s="787">
        <v>2.4300000000000002</v>
      </c>
      <c r="M7941" s="787">
        <v>10</v>
      </c>
      <c r="N7941" s="787">
        <v>2.33</v>
      </c>
      <c r="O7941" s="788">
        <v>42146</v>
      </c>
    </row>
    <row r="7942" spans="1:15" x14ac:dyDescent="0.25">
      <c r="A7942" s="786" t="s">
        <v>14206</v>
      </c>
      <c r="B7942" s="787">
        <v>4</v>
      </c>
      <c r="C7942" s="787" t="s">
        <v>14207</v>
      </c>
      <c r="D7942" s="787">
        <v>0</v>
      </c>
      <c r="E7942" s="787">
        <v>0</v>
      </c>
      <c r="H7942" s="787">
        <v>1</v>
      </c>
      <c r="I7942" s="788">
        <v>41823</v>
      </c>
      <c r="K7942" s="788">
        <v>41001</v>
      </c>
      <c r="L7942" s="787">
        <v>1</v>
      </c>
      <c r="M7942" s="787">
        <v>10</v>
      </c>
      <c r="N7942" s="787">
        <v>3.26</v>
      </c>
      <c r="O7942" s="788">
        <v>42146</v>
      </c>
    </row>
    <row r="7943" spans="1:15" x14ac:dyDescent="0.25">
      <c r="A7943" s="786" t="s">
        <v>14208</v>
      </c>
      <c r="B7943" s="787">
        <v>4</v>
      </c>
      <c r="C7943" s="787" t="s">
        <v>14209</v>
      </c>
      <c r="D7943" s="787">
        <v>0</v>
      </c>
      <c r="E7943" s="787">
        <v>0</v>
      </c>
      <c r="H7943" s="787">
        <v>1</v>
      </c>
      <c r="I7943" s="788">
        <v>41327</v>
      </c>
      <c r="K7943" s="788">
        <v>41001</v>
      </c>
      <c r="L7943" s="787">
        <v>1</v>
      </c>
      <c r="M7943" s="787">
        <v>10</v>
      </c>
      <c r="N7943" s="787">
        <v>2.2599999999999998</v>
      </c>
      <c r="O7943" s="788">
        <v>42146</v>
      </c>
    </row>
    <row r="7944" spans="1:15" x14ac:dyDescent="0.25">
      <c r="A7944" s="786" t="s">
        <v>14210</v>
      </c>
      <c r="B7944" s="787">
        <v>4</v>
      </c>
      <c r="C7944" s="787" t="s">
        <v>14211</v>
      </c>
      <c r="D7944" s="787">
        <v>0</v>
      </c>
      <c r="E7944" s="787">
        <v>0</v>
      </c>
      <c r="H7944" s="787">
        <v>1</v>
      </c>
      <c r="K7944" s="788">
        <v>41001</v>
      </c>
      <c r="L7944" s="787">
        <v>1</v>
      </c>
      <c r="M7944" s="787">
        <v>10</v>
      </c>
      <c r="N7944" s="787">
        <v>2.41</v>
      </c>
      <c r="O7944" s="788">
        <v>42146</v>
      </c>
    </row>
    <row r="7945" spans="1:15" x14ac:dyDescent="0.25">
      <c r="A7945" s="786" t="s">
        <v>14212</v>
      </c>
      <c r="B7945" s="787">
        <v>4</v>
      </c>
      <c r="C7945" s="787" t="s">
        <v>14213</v>
      </c>
      <c r="D7945" s="787">
        <v>0</v>
      </c>
      <c r="E7945" s="787">
        <v>0</v>
      </c>
      <c r="H7945" s="787">
        <v>1</v>
      </c>
      <c r="I7945" s="788">
        <v>41743</v>
      </c>
      <c r="K7945" s="788">
        <v>41001</v>
      </c>
      <c r="L7945" s="787">
        <v>2.94</v>
      </c>
      <c r="M7945" s="787">
        <v>10</v>
      </c>
      <c r="N7945" s="787">
        <v>2.75</v>
      </c>
      <c r="O7945" s="788">
        <v>42146</v>
      </c>
    </row>
    <row r="7946" spans="1:15" x14ac:dyDescent="0.25">
      <c r="A7946" s="786" t="s">
        <v>14214</v>
      </c>
      <c r="B7946" s="787">
        <v>4</v>
      </c>
      <c r="C7946" s="787" t="s">
        <v>14215</v>
      </c>
      <c r="D7946" s="787">
        <v>0</v>
      </c>
      <c r="E7946" s="787">
        <v>0</v>
      </c>
      <c r="H7946" s="787">
        <v>1</v>
      </c>
      <c r="I7946" s="788">
        <v>41823</v>
      </c>
      <c r="K7946" s="788">
        <v>41001</v>
      </c>
      <c r="L7946" s="787">
        <v>3.04</v>
      </c>
      <c r="M7946" s="787">
        <v>10</v>
      </c>
      <c r="N7946" s="787">
        <v>2.84</v>
      </c>
      <c r="O7946" s="788">
        <v>42146</v>
      </c>
    </row>
    <row r="7947" spans="1:15" x14ac:dyDescent="0.25">
      <c r="A7947" s="786" t="s">
        <v>14216</v>
      </c>
      <c r="B7947" s="787">
        <v>4</v>
      </c>
      <c r="C7947" s="787" t="s">
        <v>14217</v>
      </c>
      <c r="D7947" s="787">
        <v>0</v>
      </c>
      <c r="E7947" s="787">
        <v>0</v>
      </c>
      <c r="H7947" s="787">
        <v>1</v>
      </c>
      <c r="I7947" s="788">
        <v>42051</v>
      </c>
      <c r="L7947" s="787">
        <v>0</v>
      </c>
      <c r="M7947" s="787">
        <v>10</v>
      </c>
      <c r="N7947" s="787">
        <v>6.75</v>
      </c>
      <c r="O7947" s="788">
        <v>42146</v>
      </c>
    </row>
    <row r="7948" spans="1:15" x14ac:dyDescent="0.25">
      <c r="A7948" s="786" t="s">
        <v>14218</v>
      </c>
      <c r="B7948" s="787">
        <v>4</v>
      </c>
      <c r="C7948" s="787" t="s">
        <v>14219</v>
      </c>
      <c r="D7948" s="787">
        <v>0</v>
      </c>
      <c r="E7948" s="787">
        <v>0</v>
      </c>
      <c r="H7948" s="787">
        <v>1</v>
      </c>
      <c r="I7948" s="788">
        <v>42051</v>
      </c>
      <c r="L7948" s="787">
        <v>0</v>
      </c>
      <c r="M7948" s="787">
        <v>10</v>
      </c>
      <c r="N7948" s="787">
        <v>108.16</v>
      </c>
      <c r="O7948" s="788">
        <v>42146</v>
      </c>
    </row>
    <row r="7949" spans="1:15" x14ac:dyDescent="0.25">
      <c r="A7949" s="786" t="s">
        <v>14220</v>
      </c>
      <c r="B7949" s="787">
        <v>4</v>
      </c>
      <c r="C7949" s="787" t="s">
        <v>14221</v>
      </c>
      <c r="D7949" s="787">
        <v>0</v>
      </c>
      <c r="E7949" s="787">
        <v>0</v>
      </c>
      <c r="H7949" s="787">
        <v>1</v>
      </c>
      <c r="L7949" s="787">
        <v>0</v>
      </c>
      <c r="M7949" s="787">
        <v>10</v>
      </c>
      <c r="N7949" s="787">
        <v>115.58</v>
      </c>
      <c r="O7949" s="788">
        <v>42146</v>
      </c>
    </row>
    <row r="7950" spans="1:15" x14ac:dyDescent="0.25">
      <c r="A7950" s="786" t="s">
        <v>14222</v>
      </c>
      <c r="B7950" s="787">
        <v>4</v>
      </c>
      <c r="C7950" s="787" t="s">
        <v>14223</v>
      </c>
      <c r="D7950" s="787">
        <v>0</v>
      </c>
      <c r="E7950" s="787">
        <v>0</v>
      </c>
      <c r="H7950" s="787">
        <v>1</v>
      </c>
      <c r="I7950" s="788">
        <v>41037</v>
      </c>
      <c r="L7950" s="787">
        <v>0</v>
      </c>
      <c r="M7950" s="787">
        <v>10</v>
      </c>
      <c r="N7950" s="787">
        <v>121.6</v>
      </c>
      <c r="O7950" s="788">
        <v>42146</v>
      </c>
    </row>
    <row r="7951" spans="1:15" x14ac:dyDescent="0.25">
      <c r="A7951" s="786" t="s">
        <v>14224</v>
      </c>
      <c r="B7951" s="787">
        <v>4</v>
      </c>
      <c r="C7951" s="787" t="s">
        <v>14225</v>
      </c>
      <c r="D7951" s="787">
        <v>0</v>
      </c>
      <c r="E7951" s="787">
        <v>0</v>
      </c>
      <c r="H7951" s="787">
        <v>1</v>
      </c>
      <c r="I7951" s="788">
        <v>41823</v>
      </c>
      <c r="L7951" s="787">
        <v>0</v>
      </c>
      <c r="M7951" s="787">
        <v>10</v>
      </c>
      <c r="N7951" s="787">
        <v>124.5</v>
      </c>
      <c r="O7951" s="788">
        <v>42146</v>
      </c>
    </row>
    <row r="7952" spans="1:15" x14ac:dyDescent="0.25">
      <c r="A7952" s="786" t="s">
        <v>14226</v>
      </c>
      <c r="B7952" s="787">
        <v>4</v>
      </c>
      <c r="C7952" s="787" t="s">
        <v>14227</v>
      </c>
      <c r="D7952" s="787">
        <v>0</v>
      </c>
      <c r="E7952" s="787">
        <v>0</v>
      </c>
      <c r="G7952" s="788">
        <v>41660</v>
      </c>
      <c r="H7952" s="787">
        <v>1</v>
      </c>
      <c r="I7952" s="788">
        <v>42051</v>
      </c>
      <c r="J7952" s="788">
        <v>41660</v>
      </c>
      <c r="K7952" s="788">
        <v>41690</v>
      </c>
      <c r="L7952" s="787">
        <v>3.97</v>
      </c>
      <c r="M7952" s="787">
        <v>10</v>
      </c>
      <c r="N7952" s="787">
        <v>3.96</v>
      </c>
      <c r="O7952" s="788">
        <v>42146</v>
      </c>
    </row>
    <row r="7953" spans="1:15" x14ac:dyDescent="0.25">
      <c r="A7953" s="786" t="s">
        <v>14228</v>
      </c>
      <c r="B7953" s="787">
        <v>4</v>
      </c>
      <c r="C7953" s="787" t="s">
        <v>14229</v>
      </c>
      <c r="D7953" s="787">
        <v>0</v>
      </c>
      <c r="E7953" s="787">
        <v>0</v>
      </c>
      <c r="G7953" s="788">
        <v>41660</v>
      </c>
      <c r="H7953" s="787">
        <v>1</v>
      </c>
      <c r="I7953" s="788">
        <v>42051</v>
      </c>
      <c r="J7953" s="788">
        <v>41660</v>
      </c>
      <c r="K7953" s="788">
        <v>41001</v>
      </c>
      <c r="L7953" s="787">
        <v>1.52</v>
      </c>
      <c r="M7953" s="787">
        <v>10</v>
      </c>
      <c r="N7953" s="787">
        <v>1.1100000000000001</v>
      </c>
      <c r="O7953" s="788">
        <v>42146</v>
      </c>
    </row>
    <row r="7954" spans="1:15" x14ac:dyDescent="0.25">
      <c r="A7954" s="786" t="s">
        <v>14230</v>
      </c>
      <c r="B7954" s="787">
        <v>4</v>
      </c>
      <c r="C7954" s="787" t="s">
        <v>14231</v>
      </c>
      <c r="D7954" s="787">
        <v>0</v>
      </c>
      <c r="E7954" s="787">
        <v>0</v>
      </c>
      <c r="G7954" s="788">
        <v>41660</v>
      </c>
      <c r="H7954" s="787">
        <v>1</v>
      </c>
      <c r="I7954" s="788">
        <v>42051</v>
      </c>
      <c r="J7954" s="788">
        <v>41660</v>
      </c>
      <c r="K7954" s="788">
        <v>41690</v>
      </c>
      <c r="L7954" s="787">
        <v>1.77</v>
      </c>
      <c r="M7954" s="787">
        <v>10</v>
      </c>
      <c r="N7954" s="787">
        <v>1.76</v>
      </c>
      <c r="O7954" s="788">
        <v>42146</v>
      </c>
    </row>
    <row r="7955" spans="1:15" x14ac:dyDescent="0.25">
      <c r="A7955" s="786" t="s">
        <v>14232</v>
      </c>
      <c r="B7955" s="787">
        <v>4</v>
      </c>
      <c r="C7955" s="787" t="s">
        <v>14233</v>
      </c>
      <c r="D7955" s="787">
        <v>0</v>
      </c>
      <c r="E7955" s="787">
        <v>0</v>
      </c>
      <c r="G7955" s="788">
        <v>41660</v>
      </c>
      <c r="H7955" s="787">
        <v>1</v>
      </c>
      <c r="I7955" s="788">
        <v>42051</v>
      </c>
      <c r="J7955" s="788">
        <v>41660</v>
      </c>
      <c r="K7955" s="788">
        <v>41690</v>
      </c>
      <c r="L7955" s="787">
        <v>2.89</v>
      </c>
      <c r="M7955" s="787">
        <v>10</v>
      </c>
      <c r="N7955" s="787">
        <v>2.89</v>
      </c>
      <c r="O7955" s="788">
        <v>42146</v>
      </c>
    </row>
    <row r="7956" spans="1:15" x14ac:dyDescent="0.25">
      <c r="A7956" s="786" t="s">
        <v>14234</v>
      </c>
      <c r="B7956" s="787">
        <v>4</v>
      </c>
      <c r="C7956" s="787" t="s">
        <v>14235</v>
      </c>
      <c r="D7956" s="787">
        <v>0</v>
      </c>
      <c r="E7956" s="787">
        <v>0</v>
      </c>
      <c r="G7956" s="788">
        <v>41660</v>
      </c>
      <c r="H7956" s="787">
        <v>1</v>
      </c>
      <c r="I7956" s="788">
        <v>42051</v>
      </c>
      <c r="J7956" s="788">
        <v>41660</v>
      </c>
      <c r="K7956" s="788">
        <v>41690</v>
      </c>
      <c r="L7956" s="787">
        <v>6.33</v>
      </c>
      <c r="M7956" s="787">
        <v>10</v>
      </c>
      <c r="N7956" s="787">
        <v>7.25</v>
      </c>
      <c r="O7956" s="788">
        <v>42146</v>
      </c>
    </row>
    <row r="7957" spans="1:15" x14ac:dyDescent="0.25">
      <c r="A7957" s="786" t="s">
        <v>14236</v>
      </c>
      <c r="B7957" s="787">
        <v>4</v>
      </c>
      <c r="C7957" s="787" t="s">
        <v>14237</v>
      </c>
      <c r="D7957" s="787">
        <v>0</v>
      </c>
      <c r="E7957" s="787">
        <v>0</v>
      </c>
      <c r="G7957" s="788">
        <v>41660</v>
      </c>
      <c r="H7957" s="787">
        <v>1</v>
      </c>
      <c r="I7957" s="788">
        <v>42051</v>
      </c>
      <c r="J7957" s="788">
        <v>41660</v>
      </c>
      <c r="K7957" s="788">
        <v>41690</v>
      </c>
      <c r="L7957" s="787">
        <v>5.0999999999999996</v>
      </c>
      <c r="M7957" s="787">
        <v>10</v>
      </c>
      <c r="N7957" s="787">
        <v>5.74</v>
      </c>
      <c r="O7957" s="788">
        <v>42146</v>
      </c>
    </row>
    <row r="7958" spans="1:15" x14ac:dyDescent="0.25">
      <c r="A7958" s="786" t="s">
        <v>14238</v>
      </c>
      <c r="B7958" s="787">
        <v>4</v>
      </c>
      <c r="C7958" s="787" t="s">
        <v>14239</v>
      </c>
      <c r="D7958" s="787">
        <v>0</v>
      </c>
      <c r="E7958" s="787">
        <v>0</v>
      </c>
      <c r="G7958" s="788">
        <v>41660</v>
      </c>
      <c r="H7958" s="787">
        <v>1</v>
      </c>
      <c r="I7958" s="788">
        <v>42051</v>
      </c>
      <c r="J7958" s="788">
        <v>41660</v>
      </c>
      <c r="K7958" s="788">
        <v>41690</v>
      </c>
      <c r="L7958" s="787">
        <v>4.72</v>
      </c>
      <c r="M7958" s="787">
        <v>10</v>
      </c>
      <c r="N7958" s="787">
        <v>4.67</v>
      </c>
      <c r="O7958" s="788">
        <v>42146</v>
      </c>
    </row>
    <row r="7959" spans="1:15" x14ac:dyDescent="0.25">
      <c r="A7959" s="786" t="s">
        <v>14240</v>
      </c>
      <c r="B7959" s="787">
        <v>4</v>
      </c>
      <c r="C7959" s="787" t="s">
        <v>14241</v>
      </c>
      <c r="D7959" s="787">
        <v>0</v>
      </c>
      <c r="E7959" s="787">
        <v>0</v>
      </c>
      <c r="G7959" s="788">
        <v>41660</v>
      </c>
      <c r="H7959" s="787">
        <v>1</v>
      </c>
      <c r="I7959" s="788">
        <v>42051</v>
      </c>
      <c r="J7959" s="788">
        <v>41660</v>
      </c>
      <c r="K7959" s="788">
        <v>41690</v>
      </c>
      <c r="L7959" s="787">
        <v>4.04</v>
      </c>
      <c r="M7959" s="787">
        <v>10</v>
      </c>
      <c r="N7959" s="787">
        <v>4.41</v>
      </c>
      <c r="O7959" s="788">
        <v>42146</v>
      </c>
    </row>
    <row r="7960" spans="1:15" x14ac:dyDescent="0.25">
      <c r="A7960" s="786" t="s">
        <v>14242</v>
      </c>
      <c r="B7960" s="787">
        <v>4</v>
      </c>
      <c r="C7960" s="787" t="s">
        <v>14243</v>
      </c>
      <c r="D7960" s="787">
        <v>0</v>
      </c>
      <c r="E7960" s="787">
        <v>0</v>
      </c>
      <c r="G7960" s="788">
        <v>41660</v>
      </c>
      <c r="H7960" s="787">
        <v>1</v>
      </c>
      <c r="I7960" s="788">
        <v>42051</v>
      </c>
      <c r="J7960" s="788">
        <v>41660</v>
      </c>
      <c r="K7960" s="788">
        <v>41690</v>
      </c>
      <c r="L7960" s="787">
        <v>3.77</v>
      </c>
      <c r="M7960" s="787">
        <v>10</v>
      </c>
      <c r="N7960" s="787">
        <v>3.77</v>
      </c>
      <c r="O7960" s="788">
        <v>42146</v>
      </c>
    </row>
    <row r="7961" spans="1:15" x14ac:dyDescent="0.25">
      <c r="A7961" s="786" t="s">
        <v>14244</v>
      </c>
      <c r="B7961" s="787">
        <v>4</v>
      </c>
      <c r="C7961" s="787" t="s">
        <v>14245</v>
      </c>
      <c r="D7961" s="787">
        <v>0</v>
      </c>
      <c r="E7961" s="787">
        <v>0</v>
      </c>
      <c r="G7961" s="788">
        <v>41660</v>
      </c>
      <c r="H7961" s="787">
        <v>1</v>
      </c>
      <c r="I7961" s="788">
        <v>42051</v>
      </c>
      <c r="J7961" s="788">
        <v>41660</v>
      </c>
      <c r="K7961" s="788">
        <v>41690</v>
      </c>
      <c r="L7961" s="787">
        <v>3.28</v>
      </c>
      <c r="M7961" s="787">
        <v>10</v>
      </c>
      <c r="N7961" s="787">
        <v>3.28</v>
      </c>
      <c r="O7961" s="788">
        <v>42146</v>
      </c>
    </row>
    <row r="7962" spans="1:15" x14ac:dyDescent="0.25">
      <c r="A7962" s="786" t="s">
        <v>14246</v>
      </c>
      <c r="B7962" s="787">
        <v>4</v>
      </c>
      <c r="C7962" s="787" t="s">
        <v>14247</v>
      </c>
      <c r="D7962" s="787">
        <v>0</v>
      </c>
      <c r="E7962" s="787">
        <v>0</v>
      </c>
      <c r="H7962" s="787">
        <v>1</v>
      </c>
      <c r="I7962" s="788">
        <v>42104</v>
      </c>
      <c r="K7962" s="788">
        <v>42102</v>
      </c>
      <c r="L7962" s="787">
        <v>33.200000000000003</v>
      </c>
      <c r="M7962" s="787">
        <v>10</v>
      </c>
      <c r="N7962" s="787">
        <v>33.200000000000003</v>
      </c>
      <c r="O7962" s="788">
        <v>42146</v>
      </c>
    </row>
    <row r="7963" spans="1:15" x14ac:dyDescent="0.25">
      <c r="A7963" s="786" t="s">
        <v>14248</v>
      </c>
      <c r="B7963" s="787">
        <v>4</v>
      </c>
      <c r="C7963" s="787" t="s">
        <v>14247</v>
      </c>
      <c r="D7963" s="787">
        <v>0</v>
      </c>
      <c r="E7963" s="787">
        <v>0</v>
      </c>
      <c r="H7963" s="787">
        <v>1</v>
      </c>
      <c r="I7963" s="788">
        <v>42104</v>
      </c>
      <c r="K7963" s="788">
        <v>42102</v>
      </c>
      <c r="L7963" s="787">
        <v>33.200000000000003</v>
      </c>
      <c r="M7963" s="787">
        <v>10</v>
      </c>
      <c r="N7963" s="787">
        <v>33.200000000000003</v>
      </c>
      <c r="O7963" s="788">
        <v>42146</v>
      </c>
    </row>
    <row r="7964" spans="1:15" x14ac:dyDescent="0.25">
      <c r="A7964" s="786" t="s">
        <v>14249</v>
      </c>
      <c r="B7964" s="787">
        <v>4</v>
      </c>
      <c r="C7964" s="787" t="s">
        <v>14247</v>
      </c>
      <c r="D7964" s="787">
        <v>0</v>
      </c>
      <c r="E7964" s="787">
        <v>0</v>
      </c>
      <c r="H7964" s="787">
        <v>1</v>
      </c>
      <c r="I7964" s="788">
        <v>42159</v>
      </c>
      <c r="J7964" s="788">
        <v>41667</v>
      </c>
      <c r="K7964" s="788">
        <v>41667</v>
      </c>
      <c r="L7964" s="787">
        <v>3.5</v>
      </c>
      <c r="M7964" s="787">
        <v>10</v>
      </c>
      <c r="N7964" s="787">
        <v>3.04</v>
      </c>
      <c r="O7964" s="788">
        <v>42146</v>
      </c>
    </row>
    <row r="7965" spans="1:15" x14ac:dyDescent="0.25">
      <c r="A7965" s="786" t="s">
        <v>14250</v>
      </c>
      <c r="B7965" s="787">
        <v>4</v>
      </c>
      <c r="C7965" s="787" t="s">
        <v>14247</v>
      </c>
      <c r="D7965" s="787">
        <v>0</v>
      </c>
      <c r="E7965" s="787">
        <v>0</v>
      </c>
      <c r="H7965" s="787">
        <v>1</v>
      </c>
      <c r="I7965" s="788">
        <v>42159</v>
      </c>
      <c r="J7965" s="788">
        <v>41667</v>
      </c>
      <c r="K7965" s="788">
        <v>41667</v>
      </c>
      <c r="L7965" s="787">
        <v>3.5</v>
      </c>
      <c r="M7965" s="787">
        <v>10</v>
      </c>
      <c r="N7965" s="787">
        <v>3.04</v>
      </c>
      <c r="O7965" s="788">
        <v>42146</v>
      </c>
    </row>
    <row r="7966" spans="1:15" x14ac:dyDescent="0.25">
      <c r="A7966" s="786" t="s">
        <v>14251</v>
      </c>
      <c r="B7966" s="787">
        <v>4</v>
      </c>
      <c r="C7966" s="787" t="s">
        <v>14252</v>
      </c>
      <c r="D7966" s="787">
        <v>0</v>
      </c>
      <c r="E7966" s="787">
        <v>0</v>
      </c>
      <c r="H7966" s="787">
        <v>1</v>
      </c>
      <c r="L7966" s="787">
        <v>0</v>
      </c>
      <c r="M7966" s="787">
        <v>10</v>
      </c>
      <c r="N7966" s="787">
        <v>0.32</v>
      </c>
      <c r="O7966" s="788">
        <v>42146</v>
      </c>
    </row>
    <row r="7967" spans="1:15" x14ac:dyDescent="0.25">
      <c r="A7967" s="786" t="s">
        <v>14253</v>
      </c>
      <c r="B7967" s="787">
        <v>4</v>
      </c>
      <c r="C7967" s="787" t="s">
        <v>14254</v>
      </c>
      <c r="D7967" s="787">
        <v>1.1000000000000001</v>
      </c>
      <c r="E7967" s="787">
        <v>3.32</v>
      </c>
      <c r="F7967" s="788">
        <v>41932</v>
      </c>
      <c r="G7967" s="788">
        <v>42164</v>
      </c>
      <c r="H7967" s="787">
        <v>1</v>
      </c>
      <c r="I7967" s="788">
        <v>42166</v>
      </c>
      <c r="J7967" s="788">
        <v>42164</v>
      </c>
      <c r="K7967" s="788">
        <v>41262</v>
      </c>
      <c r="L7967" s="787">
        <v>1.58</v>
      </c>
      <c r="M7967" s="787">
        <v>10</v>
      </c>
      <c r="N7967" s="787">
        <v>2.6</v>
      </c>
      <c r="O7967" s="788">
        <v>42146</v>
      </c>
    </row>
    <row r="7968" spans="1:15" x14ac:dyDescent="0.25">
      <c r="A7968" s="786" t="s">
        <v>14255</v>
      </c>
      <c r="B7968" s="787">
        <v>4</v>
      </c>
      <c r="C7968" s="787" t="s">
        <v>14256</v>
      </c>
      <c r="D7968" s="787">
        <v>0</v>
      </c>
      <c r="E7968" s="787">
        <v>0</v>
      </c>
      <c r="H7968" s="787">
        <v>1</v>
      </c>
      <c r="I7968" s="788">
        <v>42104</v>
      </c>
      <c r="K7968" s="788">
        <v>42102</v>
      </c>
      <c r="L7968" s="787">
        <v>31.3</v>
      </c>
      <c r="M7968" s="787">
        <v>10</v>
      </c>
      <c r="N7968" s="787">
        <v>31.3</v>
      </c>
      <c r="O7968" s="788">
        <v>42146</v>
      </c>
    </row>
    <row r="7969" spans="1:15" x14ac:dyDescent="0.25">
      <c r="A7969" s="786" t="s">
        <v>14257</v>
      </c>
      <c r="B7969" s="787">
        <v>4</v>
      </c>
      <c r="C7969" s="787" t="s">
        <v>14258</v>
      </c>
      <c r="D7969" s="787">
        <v>0</v>
      </c>
      <c r="E7969" s="787">
        <v>0</v>
      </c>
      <c r="H7969" s="787">
        <v>1</v>
      </c>
      <c r="I7969" s="788">
        <v>42104</v>
      </c>
      <c r="K7969" s="788">
        <v>42102</v>
      </c>
      <c r="L7969" s="787">
        <v>31.3</v>
      </c>
      <c r="M7969" s="787">
        <v>10</v>
      </c>
      <c r="N7969" s="787">
        <v>31.3</v>
      </c>
      <c r="O7969" s="788">
        <v>42146</v>
      </c>
    </row>
    <row r="7970" spans="1:15" x14ac:dyDescent="0.25">
      <c r="A7970" s="786" t="s">
        <v>14259</v>
      </c>
      <c r="B7970" s="787">
        <v>4</v>
      </c>
      <c r="C7970" s="787" t="s">
        <v>8685</v>
      </c>
      <c r="D7970" s="787">
        <v>8.2899999999999991</v>
      </c>
      <c r="E7970" s="787">
        <v>12.44</v>
      </c>
      <c r="F7970" s="788">
        <v>41218</v>
      </c>
      <c r="G7970" s="788">
        <v>42137</v>
      </c>
      <c r="H7970" s="787">
        <v>1</v>
      </c>
      <c r="I7970" s="788">
        <v>42165</v>
      </c>
      <c r="J7970" s="788">
        <v>42137</v>
      </c>
      <c r="K7970" s="788">
        <v>41751</v>
      </c>
      <c r="L7970" s="787">
        <v>9</v>
      </c>
      <c r="M7970" s="787">
        <v>10</v>
      </c>
      <c r="N7970" s="787">
        <v>8.7200000000000006</v>
      </c>
      <c r="O7970" s="788">
        <v>42146</v>
      </c>
    </row>
    <row r="7971" spans="1:15" x14ac:dyDescent="0.25">
      <c r="A7971" s="786" t="s">
        <v>14260</v>
      </c>
      <c r="B7971" s="787">
        <v>4</v>
      </c>
      <c r="C7971" s="787" t="s">
        <v>8689</v>
      </c>
      <c r="D7971" s="787">
        <v>2.34</v>
      </c>
      <c r="E7971" s="787">
        <v>12.94</v>
      </c>
      <c r="F7971" s="788">
        <v>41813</v>
      </c>
      <c r="G7971" s="788">
        <v>42128</v>
      </c>
      <c r="H7971" s="787">
        <v>1</v>
      </c>
      <c r="I7971" s="788">
        <v>42166</v>
      </c>
      <c r="J7971" s="788">
        <v>42101</v>
      </c>
      <c r="K7971" s="788">
        <v>41751</v>
      </c>
      <c r="L7971" s="787">
        <v>7</v>
      </c>
      <c r="M7971" s="787">
        <v>10</v>
      </c>
      <c r="N7971" s="787">
        <v>12.35</v>
      </c>
      <c r="O7971" s="788">
        <v>42156</v>
      </c>
    </row>
    <row r="7972" spans="1:15" x14ac:dyDescent="0.25">
      <c r="A7972" s="786" t="s">
        <v>14261</v>
      </c>
      <c r="B7972" s="787">
        <v>4</v>
      </c>
      <c r="C7972" s="787" t="s">
        <v>8685</v>
      </c>
      <c r="D7972" s="787">
        <v>2.6</v>
      </c>
      <c r="E7972" s="787">
        <v>14.94</v>
      </c>
      <c r="F7972" s="788">
        <v>41135</v>
      </c>
      <c r="G7972" s="788">
        <v>42051</v>
      </c>
      <c r="H7972" s="787">
        <v>1</v>
      </c>
      <c r="I7972" s="788">
        <v>42166</v>
      </c>
      <c r="J7972" s="788">
        <v>42023</v>
      </c>
      <c r="K7972" s="788">
        <v>41751</v>
      </c>
      <c r="L7972" s="787">
        <v>11</v>
      </c>
      <c r="M7972" s="787">
        <v>10</v>
      </c>
      <c r="N7972" s="787">
        <v>10.02</v>
      </c>
      <c r="O7972" s="788">
        <v>42146</v>
      </c>
    </row>
    <row r="7973" spans="1:15" x14ac:dyDescent="0.25">
      <c r="A7973" s="786" t="s">
        <v>14262</v>
      </c>
      <c r="B7973" s="787">
        <v>4</v>
      </c>
      <c r="C7973" s="787" t="s">
        <v>8689</v>
      </c>
      <c r="D7973" s="787">
        <v>9.9499999999999993</v>
      </c>
      <c r="E7973" s="787">
        <v>14.26</v>
      </c>
      <c r="F7973" s="788">
        <v>41775</v>
      </c>
      <c r="G7973" s="788">
        <v>42023</v>
      </c>
      <c r="H7973" s="787">
        <v>1</v>
      </c>
      <c r="I7973" s="788">
        <v>42165</v>
      </c>
      <c r="J7973" s="788">
        <v>41989</v>
      </c>
      <c r="K7973" s="788">
        <v>41751</v>
      </c>
      <c r="L7973" s="787">
        <v>11</v>
      </c>
      <c r="M7973" s="787">
        <v>10</v>
      </c>
      <c r="N7973" s="787">
        <v>10.199999999999999</v>
      </c>
      <c r="O7973" s="788">
        <v>42156</v>
      </c>
    </row>
    <row r="7974" spans="1:15" x14ac:dyDescent="0.25">
      <c r="A7974" s="786" t="s">
        <v>14263</v>
      </c>
      <c r="B7974" s="787">
        <v>4</v>
      </c>
      <c r="C7974" s="787" t="s">
        <v>8693</v>
      </c>
      <c r="D7974" s="787">
        <v>8.14</v>
      </c>
      <c r="E7974" s="787">
        <v>14.86</v>
      </c>
      <c r="F7974" s="788">
        <v>40792</v>
      </c>
      <c r="G7974" s="788">
        <v>42163</v>
      </c>
      <c r="H7974" s="787">
        <v>1</v>
      </c>
      <c r="I7974" s="788">
        <v>42165</v>
      </c>
      <c r="J7974" s="788">
        <v>42129</v>
      </c>
      <c r="K7974" s="788">
        <v>41751</v>
      </c>
      <c r="L7974" s="787">
        <v>11</v>
      </c>
      <c r="M7974" s="787">
        <v>10</v>
      </c>
      <c r="N7974" s="787">
        <v>10.59</v>
      </c>
      <c r="O7974" s="788">
        <v>42156</v>
      </c>
    </row>
    <row r="7975" spans="1:15" x14ac:dyDescent="0.25">
      <c r="A7975" s="786" t="s">
        <v>14264</v>
      </c>
      <c r="B7975" s="787">
        <v>4</v>
      </c>
      <c r="C7975" s="787" t="s">
        <v>14265</v>
      </c>
      <c r="D7975" s="787">
        <v>0</v>
      </c>
      <c r="E7975" s="787">
        <v>0</v>
      </c>
      <c r="H7975" s="787">
        <v>1</v>
      </c>
      <c r="I7975" s="788">
        <v>42145</v>
      </c>
      <c r="K7975" s="788">
        <v>41393</v>
      </c>
      <c r="L7975" s="787">
        <v>12.14</v>
      </c>
      <c r="M7975" s="787">
        <v>10</v>
      </c>
      <c r="N7975" s="787">
        <v>11.97</v>
      </c>
      <c r="O7975" s="788">
        <v>42146</v>
      </c>
    </row>
    <row r="7976" spans="1:15" x14ac:dyDescent="0.25">
      <c r="A7976" s="786" t="s">
        <v>14266</v>
      </c>
      <c r="B7976" s="787">
        <v>4</v>
      </c>
      <c r="C7976" s="787" t="s">
        <v>14267</v>
      </c>
      <c r="D7976" s="787">
        <v>0</v>
      </c>
      <c r="E7976" s="787">
        <v>0</v>
      </c>
      <c r="H7976" s="787">
        <v>1</v>
      </c>
      <c r="I7976" s="788">
        <v>42145</v>
      </c>
      <c r="K7976" s="788">
        <v>41393</v>
      </c>
      <c r="L7976" s="787">
        <v>11.99</v>
      </c>
      <c r="M7976" s="787">
        <v>10</v>
      </c>
      <c r="N7976" s="787">
        <v>11.97</v>
      </c>
      <c r="O7976" s="788">
        <v>42146</v>
      </c>
    </row>
    <row r="7977" spans="1:15" x14ac:dyDescent="0.25">
      <c r="A7977" s="786" t="s">
        <v>14268</v>
      </c>
      <c r="B7977" s="787">
        <v>4</v>
      </c>
      <c r="C7977" s="787" t="s">
        <v>14269</v>
      </c>
      <c r="D7977" s="787">
        <v>0</v>
      </c>
      <c r="E7977" s="787">
        <v>0</v>
      </c>
      <c r="H7977" s="787">
        <v>1</v>
      </c>
      <c r="L7977" s="787">
        <v>0</v>
      </c>
      <c r="M7977" s="787">
        <v>10</v>
      </c>
      <c r="N7977" s="787">
        <v>3.31</v>
      </c>
      <c r="O7977" s="788">
        <v>42146</v>
      </c>
    </row>
    <row r="7978" spans="1:15" x14ac:dyDescent="0.25">
      <c r="A7978" s="786" t="s">
        <v>14270</v>
      </c>
      <c r="B7978" s="787">
        <v>4</v>
      </c>
      <c r="C7978" s="787" t="s">
        <v>14271</v>
      </c>
      <c r="D7978" s="787">
        <v>0</v>
      </c>
      <c r="E7978" s="787">
        <v>0</v>
      </c>
      <c r="H7978" s="787">
        <v>1</v>
      </c>
      <c r="L7978" s="787">
        <v>0</v>
      </c>
      <c r="M7978" s="787">
        <v>10</v>
      </c>
      <c r="N7978" s="787">
        <v>35.15</v>
      </c>
      <c r="O7978" s="788">
        <v>42146</v>
      </c>
    </row>
    <row r="7979" spans="1:15" x14ac:dyDescent="0.25">
      <c r="A7979" s="786" t="s">
        <v>14272</v>
      </c>
      <c r="B7979" s="787">
        <v>4</v>
      </c>
      <c r="C7979" s="787" t="s">
        <v>14273</v>
      </c>
      <c r="D7979" s="787">
        <v>0</v>
      </c>
      <c r="E7979" s="787">
        <v>0</v>
      </c>
      <c r="H7979" s="787">
        <v>1</v>
      </c>
      <c r="L7979" s="787">
        <v>0</v>
      </c>
      <c r="M7979" s="787">
        <v>10</v>
      </c>
      <c r="N7979" s="787">
        <v>47.46</v>
      </c>
      <c r="O7979" s="788">
        <v>42146</v>
      </c>
    </row>
    <row r="7980" spans="1:15" x14ac:dyDescent="0.25">
      <c r="A7980" s="786" t="s">
        <v>14274</v>
      </c>
      <c r="B7980" s="787">
        <v>4</v>
      </c>
      <c r="C7980" s="787" t="s">
        <v>14275</v>
      </c>
      <c r="D7980" s="787">
        <v>0</v>
      </c>
      <c r="E7980" s="787">
        <v>0</v>
      </c>
      <c r="H7980" s="787">
        <v>1</v>
      </c>
      <c r="L7980" s="787">
        <v>0</v>
      </c>
      <c r="M7980" s="787">
        <v>10</v>
      </c>
      <c r="N7980" s="787">
        <v>47.46</v>
      </c>
      <c r="O7980" s="788">
        <v>42146</v>
      </c>
    </row>
    <row r="7981" spans="1:15" x14ac:dyDescent="0.25">
      <c r="A7981" s="786" t="s">
        <v>14276</v>
      </c>
      <c r="B7981" s="787">
        <v>4</v>
      </c>
      <c r="C7981" s="787" t="s">
        <v>14277</v>
      </c>
      <c r="D7981" s="787">
        <v>0.85</v>
      </c>
      <c r="E7981" s="787">
        <v>0.85</v>
      </c>
      <c r="F7981" s="788">
        <v>41947</v>
      </c>
      <c r="G7981" s="788">
        <v>41947</v>
      </c>
      <c r="H7981" s="787">
        <v>1</v>
      </c>
      <c r="I7981" s="788">
        <v>42146</v>
      </c>
      <c r="J7981" s="788">
        <v>41927</v>
      </c>
      <c r="K7981" s="788">
        <v>41408</v>
      </c>
      <c r="L7981" s="787">
        <v>0.93</v>
      </c>
      <c r="M7981" s="787">
        <v>10</v>
      </c>
      <c r="N7981" s="787">
        <v>2.1800000000000002</v>
      </c>
      <c r="O7981" s="788">
        <v>42146</v>
      </c>
    </row>
    <row r="7982" spans="1:15" x14ac:dyDescent="0.25">
      <c r="A7982" s="786" t="s">
        <v>14278</v>
      </c>
      <c r="B7982" s="787">
        <v>4</v>
      </c>
      <c r="C7982" s="787" t="s">
        <v>14279</v>
      </c>
      <c r="D7982" s="787">
        <v>0</v>
      </c>
      <c r="E7982" s="787">
        <v>0</v>
      </c>
      <c r="G7982" s="788">
        <v>40247</v>
      </c>
      <c r="H7982" s="787">
        <v>1</v>
      </c>
      <c r="I7982" s="788">
        <v>40255</v>
      </c>
      <c r="J7982" s="788">
        <v>40247</v>
      </c>
      <c r="L7982" s="787">
        <v>0</v>
      </c>
      <c r="M7982" s="787">
        <v>10</v>
      </c>
      <c r="N7982" s="787">
        <v>4.8899999999999997</v>
      </c>
      <c r="O7982" s="788">
        <v>42146</v>
      </c>
    </row>
    <row r="7983" spans="1:15" x14ac:dyDescent="0.25">
      <c r="A7983" s="786" t="s">
        <v>14280</v>
      </c>
      <c r="B7983" s="787">
        <v>4</v>
      </c>
      <c r="C7983" s="787" t="s">
        <v>14281</v>
      </c>
      <c r="D7983" s="787">
        <v>0</v>
      </c>
      <c r="E7983" s="787">
        <v>0</v>
      </c>
      <c r="H7983" s="787">
        <v>1</v>
      </c>
      <c r="L7983" s="787">
        <v>0</v>
      </c>
      <c r="M7983" s="787">
        <v>10</v>
      </c>
      <c r="N7983" s="787">
        <v>31.51</v>
      </c>
      <c r="O7983" s="788">
        <v>42146</v>
      </c>
    </row>
    <row r="7984" spans="1:15" x14ac:dyDescent="0.25">
      <c r="A7984" s="786" t="s">
        <v>14282</v>
      </c>
      <c r="B7984" s="787">
        <v>4</v>
      </c>
      <c r="C7984" s="787" t="s">
        <v>14283</v>
      </c>
      <c r="D7984" s="787">
        <v>0</v>
      </c>
      <c r="E7984" s="787">
        <v>0</v>
      </c>
      <c r="G7984" s="788">
        <v>41255</v>
      </c>
      <c r="H7984" s="787">
        <v>1</v>
      </c>
      <c r="I7984" s="788">
        <v>40507</v>
      </c>
      <c r="J7984" s="788">
        <v>40303</v>
      </c>
      <c r="L7984" s="787">
        <v>0</v>
      </c>
      <c r="M7984" s="787">
        <v>10</v>
      </c>
      <c r="N7984" s="787">
        <v>1.1100000000000001</v>
      </c>
      <c r="O7984" s="788">
        <v>42146</v>
      </c>
    </row>
    <row r="7985" spans="1:15" x14ac:dyDescent="0.25">
      <c r="A7985" s="786" t="s">
        <v>14284</v>
      </c>
      <c r="B7985" s="787">
        <v>4</v>
      </c>
      <c r="C7985" s="787" t="s">
        <v>14283</v>
      </c>
      <c r="D7985" s="787">
        <v>0</v>
      </c>
      <c r="E7985" s="787">
        <v>0</v>
      </c>
      <c r="G7985" s="788">
        <v>41255</v>
      </c>
      <c r="H7985" s="787">
        <v>1</v>
      </c>
      <c r="I7985" s="788">
        <v>40462</v>
      </c>
      <c r="J7985" s="788">
        <v>40357</v>
      </c>
      <c r="L7985" s="787">
        <v>0</v>
      </c>
      <c r="M7985" s="787">
        <v>10</v>
      </c>
      <c r="N7985" s="787">
        <v>1.1100000000000001</v>
      </c>
      <c r="O7985" s="788">
        <v>42146</v>
      </c>
    </row>
    <row r="7986" spans="1:15" x14ac:dyDescent="0.25">
      <c r="A7986" s="786" t="s">
        <v>14285</v>
      </c>
      <c r="B7986" s="787">
        <v>4</v>
      </c>
      <c r="C7986" s="787" t="s">
        <v>14286</v>
      </c>
      <c r="D7986" s="787">
        <v>6.35</v>
      </c>
      <c r="E7986" s="787">
        <v>7.47</v>
      </c>
      <c r="F7986" s="788">
        <v>40948</v>
      </c>
      <c r="G7986" s="788">
        <v>42072</v>
      </c>
      <c r="H7986" s="787">
        <v>1</v>
      </c>
      <c r="I7986" s="788">
        <v>42165</v>
      </c>
      <c r="J7986" s="788">
        <v>42046</v>
      </c>
      <c r="K7986" s="788">
        <v>41535</v>
      </c>
      <c r="L7986" s="787">
        <v>6.58</v>
      </c>
      <c r="M7986" s="787">
        <v>10</v>
      </c>
      <c r="N7986" s="787">
        <v>12.22</v>
      </c>
      <c r="O7986" s="788">
        <v>42162</v>
      </c>
    </row>
    <row r="7987" spans="1:15" x14ac:dyDescent="0.25">
      <c r="A7987" s="786" t="s">
        <v>14287</v>
      </c>
      <c r="B7987" s="787">
        <v>4</v>
      </c>
      <c r="C7987" s="787" t="s">
        <v>9662</v>
      </c>
      <c r="D7987" s="787">
        <v>0</v>
      </c>
      <c r="E7987" s="787">
        <v>0</v>
      </c>
      <c r="H7987" s="787">
        <v>1</v>
      </c>
      <c r="I7987" s="788">
        <v>40241</v>
      </c>
      <c r="K7987" s="788">
        <v>40240</v>
      </c>
      <c r="L7987" s="787">
        <v>8.57</v>
      </c>
      <c r="M7987" s="787">
        <v>20</v>
      </c>
      <c r="N7987" s="787">
        <v>9.2100000000000009</v>
      </c>
      <c r="O7987" s="788">
        <v>42146</v>
      </c>
    </row>
    <row r="7988" spans="1:15" x14ac:dyDescent="0.25">
      <c r="A7988" s="786" t="s">
        <v>14288</v>
      </c>
      <c r="B7988" s="787">
        <v>4</v>
      </c>
      <c r="C7988" s="787" t="s">
        <v>9675</v>
      </c>
      <c r="D7988" s="787">
        <v>4.3600000000000003</v>
      </c>
      <c r="E7988" s="787">
        <v>14.36</v>
      </c>
      <c r="F7988" s="788">
        <v>40913</v>
      </c>
      <c r="G7988" s="788">
        <v>40913</v>
      </c>
      <c r="H7988" s="787">
        <v>1</v>
      </c>
      <c r="J7988" s="788">
        <v>40898</v>
      </c>
      <c r="L7988" s="787">
        <v>11.93</v>
      </c>
      <c r="M7988" s="787">
        <v>20</v>
      </c>
      <c r="N7988" s="787">
        <v>12.82</v>
      </c>
      <c r="O7988" s="788">
        <v>42146</v>
      </c>
    </row>
    <row r="7989" spans="1:15" x14ac:dyDescent="0.25">
      <c r="A7989" s="786" t="s">
        <v>14289</v>
      </c>
      <c r="B7989" s="787">
        <v>4</v>
      </c>
      <c r="C7989" s="787" t="s">
        <v>14290</v>
      </c>
      <c r="D7989" s="787">
        <v>0.1</v>
      </c>
      <c r="E7989" s="787">
        <v>0.35</v>
      </c>
      <c r="F7989" s="788">
        <v>41824</v>
      </c>
      <c r="G7989" s="788">
        <v>42142</v>
      </c>
      <c r="H7989" s="787">
        <v>1</v>
      </c>
      <c r="I7989" s="788">
        <v>42150</v>
      </c>
      <c r="J7989" s="788">
        <v>42110</v>
      </c>
      <c r="K7989" s="788">
        <v>41025</v>
      </c>
      <c r="L7989" s="787">
        <v>0.01</v>
      </c>
      <c r="M7989" s="787">
        <v>10</v>
      </c>
      <c r="N7989" s="787">
        <v>0.49</v>
      </c>
      <c r="O7989" s="788">
        <v>42164</v>
      </c>
    </row>
    <row r="7990" spans="1:15" x14ac:dyDescent="0.25">
      <c r="A7990" s="786" t="s">
        <v>14291</v>
      </c>
      <c r="B7990" s="787">
        <v>4</v>
      </c>
      <c r="C7990" s="787" t="s">
        <v>14292</v>
      </c>
      <c r="D7990" s="787">
        <v>0.44</v>
      </c>
      <c r="E7990" s="787">
        <v>1.69</v>
      </c>
      <c r="F7990" s="788">
        <v>41775</v>
      </c>
      <c r="G7990" s="788">
        <v>42145</v>
      </c>
      <c r="H7990" s="787">
        <v>1</v>
      </c>
      <c r="I7990" s="788">
        <v>42150</v>
      </c>
      <c r="J7990" s="788">
        <v>42144</v>
      </c>
      <c r="K7990" s="788">
        <v>41025</v>
      </c>
      <c r="L7990" s="787">
        <v>1.62</v>
      </c>
      <c r="M7990" s="787">
        <v>10</v>
      </c>
      <c r="N7990" s="787">
        <v>2</v>
      </c>
      <c r="O7990" s="788">
        <v>42164</v>
      </c>
    </row>
    <row r="7991" spans="1:15" x14ac:dyDescent="0.25">
      <c r="A7991" s="786" t="s">
        <v>14293</v>
      </c>
      <c r="B7991" s="787">
        <v>4</v>
      </c>
      <c r="C7991" s="787" t="s">
        <v>9662</v>
      </c>
      <c r="D7991" s="787">
        <v>0.31</v>
      </c>
      <c r="E7991" s="787">
        <v>0.53</v>
      </c>
      <c r="F7991" s="788">
        <v>41517</v>
      </c>
      <c r="G7991" s="788">
        <v>42135</v>
      </c>
      <c r="H7991" s="787">
        <v>1</v>
      </c>
      <c r="I7991" s="788">
        <v>42150</v>
      </c>
      <c r="J7991" s="788">
        <v>42104</v>
      </c>
      <c r="K7991" s="788">
        <v>40948</v>
      </c>
      <c r="L7991" s="787">
        <v>0.34</v>
      </c>
      <c r="M7991" s="787">
        <v>20</v>
      </c>
      <c r="N7991" s="787">
        <v>0.41</v>
      </c>
      <c r="O7991" s="788">
        <v>42146</v>
      </c>
    </row>
    <row r="7992" spans="1:15" x14ac:dyDescent="0.25">
      <c r="A7992" s="786" t="s">
        <v>14294</v>
      </c>
      <c r="B7992" s="787">
        <v>4</v>
      </c>
      <c r="C7992" s="787" t="s">
        <v>14295</v>
      </c>
      <c r="D7992" s="787">
        <v>0</v>
      </c>
      <c r="E7992" s="787">
        <v>0</v>
      </c>
      <c r="G7992" s="788">
        <v>40291</v>
      </c>
      <c r="H7992" s="787">
        <v>1</v>
      </c>
      <c r="J7992" s="788">
        <v>40291</v>
      </c>
      <c r="L7992" s="787">
        <v>0</v>
      </c>
      <c r="M7992" s="787">
        <v>10</v>
      </c>
      <c r="N7992" s="787">
        <v>0.24</v>
      </c>
      <c r="O7992" s="788">
        <v>42146</v>
      </c>
    </row>
    <row r="7993" spans="1:15" x14ac:dyDescent="0.25">
      <c r="A7993" s="786" t="s">
        <v>14296</v>
      </c>
      <c r="B7993" s="787">
        <v>4</v>
      </c>
      <c r="C7993" s="787" t="s">
        <v>14297</v>
      </c>
      <c r="D7993" s="787">
        <v>0.37</v>
      </c>
      <c r="E7993" s="787">
        <v>2.99</v>
      </c>
      <c r="F7993" s="788">
        <v>41376</v>
      </c>
      <c r="G7993" s="788">
        <v>42165</v>
      </c>
      <c r="H7993" s="787">
        <v>1</v>
      </c>
      <c r="I7993" s="788">
        <v>42165</v>
      </c>
      <c r="J7993" s="788">
        <v>42135</v>
      </c>
      <c r="K7993" s="788">
        <v>42107</v>
      </c>
      <c r="L7993" s="787">
        <v>2</v>
      </c>
      <c r="M7993" s="787">
        <v>10</v>
      </c>
      <c r="N7993" s="787">
        <v>2.11</v>
      </c>
      <c r="O7993" s="788">
        <v>42146</v>
      </c>
    </row>
    <row r="7994" spans="1:15" x14ac:dyDescent="0.25">
      <c r="A7994" s="786" t="s">
        <v>14298</v>
      </c>
      <c r="B7994" s="787">
        <v>4</v>
      </c>
      <c r="C7994" s="787" t="s">
        <v>14299</v>
      </c>
      <c r="D7994" s="787">
        <v>0.66</v>
      </c>
      <c r="E7994" s="787">
        <v>1.99</v>
      </c>
      <c r="F7994" s="788">
        <v>41418</v>
      </c>
      <c r="G7994" s="788">
        <v>42142</v>
      </c>
      <c r="H7994" s="787">
        <v>1</v>
      </c>
      <c r="I7994" s="788">
        <v>42165</v>
      </c>
      <c r="J7994" s="788">
        <v>42142</v>
      </c>
      <c r="K7994" s="788">
        <v>41752</v>
      </c>
      <c r="L7994" s="787">
        <v>1.2</v>
      </c>
      <c r="M7994" s="787">
        <v>10</v>
      </c>
      <c r="N7994" s="787">
        <v>1.1000000000000001</v>
      </c>
      <c r="O7994" s="788">
        <v>42146</v>
      </c>
    </row>
    <row r="7995" spans="1:15" x14ac:dyDescent="0.25">
      <c r="A7995" s="786" t="s">
        <v>14300</v>
      </c>
      <c r="B7995" s="787">
        <v>4</v>
      </c>
      <c r="C7995" s="787" t="s">
        <v>14301</v>
      </c>
      <c r="D7995" s="787">
        <v>5.21</v>
      </c>
      <c r="E7995" s="787">
        <v>8.17</v>
      </c>
      <c r="F7995" s="788">
        <v>41180</v>
      </c>
      <c r="G7995" s="788">
        <v>42111</v>
      </c>
      <c r="H7995" s="787">
        <v>1</v>
      </c>
      <c r="I7995" s="788">
        <v>42144</v>
      </c>
      <c r="J7995" s="788">
        <v>42087</v>
      </c>
      <c r="K7995" s="788">
        <v>41389</v>
      </c>
      <c r="L7995" s="787">
        <v>5.96</v>
      </c>
      <c r="M7995" s="787">
        <v>10</v>
      </c>
      <c r="N7995" s="787">
        <v>7.68</v>
      </c>
      <c r="O7995" s="788">
        <v>42146</v>
      </c>
    </row>
    <row r="7996" spans="1:15" x14ac:dyDescent="0.25">
      <c r="A7996" s="786" t="s">
        <v>14302</v>
      </c>
      <c r="B7996" s="787">
        <v>4</v>
      </c>
      <c r="C7996" s="787" t="s">
        <v>14303</v>
      </c>
      <c r="D7996" s="787">
        <v>0.85</v>
      </c>
      <c r="E7996" s="787">
        <v>0.85</v>
      </c>
      <c r="F7996" s="788">
        <v>42163</v>
      </c>
      <c r="G7996" s="788">
        <v>42163</v>
      </c>
      <c r="H7996" s="787">
        <v>1</v>
      </c>
      <c r="I7996" s="788">
        <v>42160</v>
      </c>
      <c r="J7996" s="788">
        <v>42132</v>
      </c>
      <c r="K7996" s="788">
        <v>41221</v>
      </c>
      <c r="L7996" s="787">
        <v>1.38</v>
      </c>
      <c r="M7996" s="787">
        <v>10</v>
      </c>
      <c r="N7996" s="787">
        <v>2.2799999999999998</v>
      </c>
      <c r="O7996" s="788">
        <v>42146</v>
      </c>
    </row>
    <row r="7997" spans="1:15" x14ac:dyDescent="0.25">
      <c r="A7997" s="786" t="s">
        <v>14304</v>
      </c>
      <c r="B7997" s="787">
        <v>4</v>
      </c>
      <c r="C7997" s="787" t="s">
        <v>14305</v>
      </c>
      <c r="D7997" s="787">
        <v>2.2999999999999998</v>
      </c>
      <c r="E7997" s="787">
        <v>12.3</v>
      </c>
      <c r="F7997" s="788">
        <v>40322</v>
      </c>
      <c r="G7997" s="788">
        <v>40322</v>
      </c>
      <c r="H7997" s="787">
        <v>1</v>
      </c>
      <c r="I7997" s="788">
        <v>42051</v>
      </c>
      <c r="J7997" s="788">
        <v>40939</v>
      </c>
      <c r="K7997" s="788">
        <v>40948</v>
      </c>
      <c r="L7997" s="787">
        <v>12.3</v>
      </c>
      <c r="M7997" s="787">
        <v>20</v>
      </c>
      <c r="N7997" s="787">
        <v>13.22</v>
      </c>
      <c r="O7997" s="788">
        <v>42146</v>
      </c>
    </row>
    <row r="7998" spans="1:15" x14ac:dyDescent="0.25">
      <c r="A7998" s="786" t="s">
        <v>14306</v>
      </c>
      <c r="B7998" s="787">
        <v>4</v>
      </c>
      <c r="C7998" s="787" t="s">
        <v>14307</v>
      </c>
      <c r="D7998" s="787">
        <v>5.8</v>
      </c>
      <c r="E7998" s="787">
        <v>15.8</v>
      </c>
      <c r="F7998" s="788">
        <v>40948</v>
      </c>
      <c r="G7998" s="788">
        <v>42013</v>
      </c>
      <c r="H7998" s="787">
        <v>1</v>
      </c>
      <c r="I7998" s="788">
        <v>42051</v>
      </c>
      <c r="J7998" s="788">
        <v>40939</v>
      </c>
      <c r="K7998" s="788">
        <v>40948</v>
      </c>
      <c r="L7998" s="787">
        <v>15.8</v>
      </c>
      <c r="M7998" s="787">
        <v>20</v>
      </c>
      <c r="N7998" s="787">
        <v>16.989999999999998</v>
      </c>
      <c r="O7998" s="788">
        <v>42146</v>
      </c>
    </row>
    <row r="7999" spans="1:15" x14ac:dyDescent="0.25">
      <c r="A7999" s="786" t="s">
        <v>14308</v>
      </c>
      <c r="B7999" s="787">
        <v>4</v>
      </c>
      <c r="C7999" s="787" t="s">
        <v>14309</v>
      </c>
      <c r="D7999" s="787">
        <v>6.9</v>
      </c>
      <c r="E7999" s="787">
        <v>6.9</v>
      </c>
      <c r="F7999" s="788">
        <v>40948</v>
      </c>
      <c r="G7999" s="788">
        <v>40948</v>
      </c>
      <c r="H7999" s="787">
        <v>1</v>
      </c>
      <c r="I7999" s="788">
        <v>42051</v>
      </c>
      <c r="J7999" s="788">
        <v>42016</v>
      </c>
      <c r="K7999" s="788">
        <v>40948</v>
      </c>
      <c r="L7999" s="787">
        <v>6.9</v>
      </c>
      <c r="M7999" s="787">
        <v>20</v>
      </c>
      <c r="N7999" s="787">
        <v>7.42</v>
      </c>
      <c r="O7999" s="788">
        <v>42146</v>
      </c>
    </row>
    <row r="8000" spans="1:15" x14ac:dyDescent="0.25">
      <c r="A8000" s="786" t="s">
        <v>14310</v>
      </c>
      <c r="B8000" s="787">
        <v>4</v>
      </c>
      <c r="C8000" s="787" t="s">
        <v>14311</v>
      </c>
      <c r="D8000" s="787">
        <v>6.25</v>
      </c>
      <c r="E8000" s="787">
        <v>16.25</v>
      </c>
      <c r="F8000" s="788">
        <v>40948</v>
      </c>
      <c r="G8000" s="788">
        <v>42013</v>
      </c>
      <c r="H8000" s="787">
        <v>1</v>
      </c>
      <c r="I8000" s="788">
        <v>42051</v>
      </c>
      <c r="J8000" s="788">
        <v>40939</v>
      </c>
      <c r="K8000" s="788">
        <v>40948</v>
      </c>
      <c r="L8000" s="787">
        <v>16.25</v>
      </c>
      <c r="M8000" s="787">
        <v>20</v>
      </c>
      <c r="N8000" s="787">
        <v>17.47</v>
      </c>
      <c r="O8000" s="788">
        <v>42146</v>
      </c>
    </row>
    <row r="8001" spans="1:15" x14ac:dyDescent="0.25">
      <c r="A8001" s="786" t="s">
        <v>14312</v>
      </c>
      <c r="B8001" s="787">
        <v>4</v>
      </c>
      <c r="C8001" s="787" t="s">
        <v>14313</v>
      </c>
      <c r="D8001" s="787">
        <v>0</v>
      </c>
      <c r="E8001" s="787">
        <v>0</v>
      </c>
      <c r="H8001" s="787">
        <v>1</v>
      </c>
      <c r="I8001" s="788">
        <v>42104</v>
      </c>
      <c r="L8001" s="787">
        <v>0</v>
      </c>
      <c r="M8001" s="787">
        <v>10</v>
      </c>
      <c r="N8001" s="787">
        <v>9.83</v>
      </c>
      <c r="O8001" s="788">
        <v>42146</v>
      </c>
    </row>
    <row r="8002" spans="1:15" x14ac:dyDescent="0.25">
      <c r="A8002" s="786" t="s">
        <v>14314</v>
      </c>
      <c r="B8002" s="787">
        <v>4</v>
      </c>
      <c r="C8002" s="787" t="s">
        <v>14315</v>
      </c>
      <c r="D8002" s="787">
        <v>0</v>
      </c>
      <c r="E8002" s="787">
        <v>0</v>
      </c>
      <c r="H8002" s="787">
        <v>1</v>
      </c>
      <c r="I8002" s="788">
        <v>42104</v>
      </c>
      <c r="L8002" s="787">
        <v>0</v>
      </c>
      <c r="M8002" s="787">
        <v>10</v>
      </c>
      <c r="N8002" s="787">
        <v>9.83</v>
      </c>
      <c r="O8002" s="788">
        <v>42146</v>
      </c>
    </row>
    <row r="8003" spans="1:15" x14ac:dyDescent="0.25">
      <c r="A8003" s="786" t="s">
        <v>14316</v>
      </c>
      <c r="B8003" s="787">
        <v>4</v>
      </c>
      <c r="C8003" s="787" t="s">
        <v>11413</v>
      </c>
      <c r="D8003" s="787">
        <v>0.55000000000000004</v>
      </c>
      <c r="E8003" s="787">
        <v>15.79</v>
      </c>
      <c r="F8003" s="788">
        <v>41209</v>
      </c>
      <c r="G8003" s="788">
        <v>42013</v>
      </c>
      <c r="H8003" s="787">
        <v>1</v>
      </c>
      <c r="I8003" s="788">
        <v>42082</v>
      </c>
      <c r="J8003" s="788">
        <v>41815</v>
      </c>
      <c r="K8003" s="788">
        <v>41429</v>
      </c>
      <c r="L8003" s="787">
        <v>13.88</v>
      </c>
      <c r="M8003" s="787">
        <v>10</v>
      </c>
      <c r="N8003" s="787">
        <v>17.97</v>
      </c>
      <c r="O8003" s="788">
        <v>42146</v>
      </c>
    </row>
    <row r="8004" spans="1:15" x14ac:dyDescent="0.25">
      <c r="A8004" s="786" t="s">
        <v>14317</v>
      </c>
      <c r="B8004" s="787">
        <v>4</v>
      </c>
      <c r="C8004" s="787" t="s">
        <v>14318</v>
      </c>
      <c r="D8004" s="787">
        <v>0.14000000000000001</v>
      </c>
      <c r="E8004" s="787">
        <v>0.14000000000000001</v>
      </c>
      <c r="F8004" s="788">
        <v>41775</v>
      </c>
      <c r="G8004" s="788">
        <v>42013</v>
      </c>
      <c r="H8004" s="787">
        <v>1</v>
      </c>
      <c r="I8004" s="788">
        <v>41809</v>
      </c>
      <c r="J8004" s="788">
        <v>41151</v>
      </c>
      <c r="K8004" s="788">
        <v>42046</v>
      </c>
      <c r="L8004" s="787">
        <v>0.37</v>
      </c>
      <c r="M8004" s="787">
        <v>10</v>
      </c>
      <c r="N8004" s="787">
        <v>0.37</v>
      </c>
      <c r="O8004" s="788">
        <v>42146</v>
      </c>
    </row>
    <row r="8005" spans="1:15" x14ac:dyDescent="0.25">
      <c r="A8005" s="786" t="s">
        <v>14319</v>
      </c>
      <c r="B8005" s="787">
        <v>4</v>
      </c>
      <c r="C8005" s="787" t="s">
        <v>14320</v>
      </c>
      <c r="D8005" s="787">
        <v>0</v>
      </c>
      <c r="E8005" s="787">
        <v>0</v>
      </c>
      <c r="G8005" s="788">
        <v>41943</v>
      </c>
      <c r="H8005" s="787">
        <v>1</v>
      </c>
      <c r="I8005" s="788">
        <v>41568</v>
      </c>
      <c r="J8005" s="788">
        <v>40437</v>
      </c>
      <c r="L8005" s="787">
        <v>0</v>
      </c>
      <c r="M8005" s="787">
        <v>10</v>
      </c>
      <c r="N8005" s="787">
        <v>1.75</v>
      </c>
      <c r="O8005" s="788">
        <v>42146</v>
      </c>
    </row>
    <row r="8006" spans="1:15" x14ac:dyDescent="0.25">
      <c r="A8006" s="786" t="s">
        <v>14321</v>
      </c>
      <c r="B8006" s="787">
        <v>4</v>
      </c>
      <c r="C8006" s="787" t="s">
        <v>14322</v>
      </c>
      <c r="D8006" s="787">
        <v>0.48</v>
      </c>
      <c r="E8006" s="787">
        <v>1.37</v>
      </c>
      <c r="F8006" s="788">
        <v>40948</v>
      </c>
      <c r="G8006" s="788">
        <v>42013</v>
      </c>
      <c r="H8006" s="787">
        <v>1</v>
      </c>
      <c r="I8006" s="788">
        <v>42123</v>
      </c>
      <c r="J8006" s="788">
        <v>41922</v>
      </c>
      <c r="K8006" s="788">
        <v>41304</v>
      </c>
      <c r="L8006" s="787">
        <v>2</v>
      </c>
      <c r="M8006" s="787">
        <v>10</v>
      </c>
      <c r="N8006" s="787">
        <v>5.03</v>
      </c>
      <c r="O8006" s="788">
        <v>42146</v>
      </c>
    </row>
    <row r="8007" spans="1:15" x14ac:dyDescent="0.25">
      <c r="A8007" s="786" t="s">
        <v>14323</v>
      </c>
      <c r="B8007" s="787">
        <v>4</v>
      </c>
      <c r="C8007" s="787" t="s">
        <v>14324</v>
      </c>
      <c r="D8007" s="787">
        <v>0.48</v>
      </c>
      <c r="E8007" s="787">
        <v>1.18</v>
      </c>
      <c r="F8007" s="788">
        <v>40948</v>
      </c>
      <c r="G8007" s="788">
        <v>42013</v>
      </c>
      <c r="H8007" s="787">
        <v>1</v>
      </c>
      <c r="I8007" s="788">
        <v>42123</v>
      </c>
      <c r="J8007" s="788">
        <v>41922</v>
      </c>
      <c r="K8007" s="788">
        <v>41304</v>
      </c>
      <c r="L8007" s="787">
        <v>2</v>
      </c>
      <c r="M8007" s="787">
        <v>10</v>
      </c>
      <c r="N8007" s="787">
        <v>5.03</v>
      </c>
      <c r="O8007" s="788">
        <v>42146</v>
      </c>
    </row>
    <row r="8008" spans="1:15" x14ac:dyDescent="0.25">
      <c r="A8008" s="786" t="s">
        <v>14325</v>
      </c>
      <c r="B8008" s="787">
        <v>4</v>
      </c>
      <c r="C8008" s="787" t="s">
        <v>14326</v>
      </c>
      <c r="D8008" s="787">
        <v>0</v>
      </c>
      <c r="E8008" s="787">
        <v>0</v>
      </c>
      <c r="H8008" s="787">
        <v>1</v>
      </c>
      <c r="L8008" s="787">
        <v>0</v>
      </c>
      <c r="M8008" s="787">
        <v>10</v>
      </c>
      <c r="N8008" s="787">
        <v>5.84</v>
      </c>
      <c r="O8008" s="788">
        <v>42146</v>
      </c>
    </row>
    <row r="8009" spans="1:15" x14ac:dyDescent="0.25">
      <c r="A8009" s="786" t="s">
        <v>14327</v>
      </c>
      <c r="B8009" s="787">
        <v>4</v>
      </c>
      <c r="C8009" s="787" t="s">
        <v>14328</v>
      </c>
      <c r="D8009" s="787">
        <v>0</v>
      </c>
      <c r="E8009" s="787">
        <v>0</v>
      </c>
      <c r="H8009" s="787">
        <v>1</v>
      </c>
      <c r="I8009" s="788">
        <v>41745</v>
      </c>
      <c r="L8009" s="787">
        <v>0</v>
      </c>
      <c r="M8009" s="787">
        <v>10</v>
      </c>
      <c r="N8009" s="787">
        <v>5.84</v>
      </c>
      <c r="O8009" s="788">
        <v>42146</v>
      </c>
    </row>
    <row r="8010" spans="1:15" x14ac:dyDescent="0.25">
      <c r="A8010" s="786" t="s">
        <v>14329</v>
      </c>
      <c r="B8010" s="787">
        <v>4</v>
      </c>
      <c r="C8010" s="787" t="s">
        <v>14330</v>
      </c>
      <c r="D8010" s="787">
        <v>0.35</v>
      </c>
      <c r="E8010" s="787">
        <v>0.79</v>
      </c>
      <c r="F8010" s="788">
        <v>41369</v>
      </c>
      <c r="G8010" s="788">
        <v>42153</v>
      </c>
      <c r="H8010" s="787">
        <v>1</v>
      </c>
      <c r="I8010" s="788">
        <v>42160</v>
      </c>
      <c r="J8010" s="788">
        <v>42153</v>
      </c>
      <c r="K8010" s="788">
        <v>41197</v>
      </c>
      <c r="L8010" s="787">
        <v>1.39</v>
      </c>
      <c r="M8010" s="787">
        <v>10</v>
      </c>
      <c r="N8010" s="787">
        <v>1.82</v>
      </c>
      <c r="O8010" s="788">
        <v>42156</v>
      </c>
    </row>
    <row r="8011" spans="1:15" x14ac:dyDescent="0.25">
      <c r="A8011" s="786" t="s">
        <v>14331</v>
      </c>
      <c r="B8011" s="787">
        <v>4</v>
      </c>
      <c r="C8011" s="787" t="s">
        <v>14332</v>
      </c>
      <c r="D8011" s="787">
        <v>1.46</v>
      </c>
      <c r="E8011" s="787">
        <v>1.73</v>
      </c>
      <c r="F8011" s="788">
        <v>41499</v>
      </c>
      <c r="G8011" s="788">
        <v>42075</v>
      </c>
      <c r="H8011" s="787">
        <v>1</v>
      </c>
      <c r="I8011" s="788">
        <v>41982</v>
      </c>
      <c r="J8011" s="788">
        <v>42047</v>
      </c>
      <c r="K8011" s="788">
        <v>41430</v>
      </c>
      <c r="L8011" s="787">
        <v>0.96</v>
      </c>
      <c r="M8011" s="787">
        <v>10</v>
      </c>
      <c r="N8011" s="787">
        <v>1</v>
      </c>
      <c r="O8011" s="788">
        <v>42163</v>
      </c>
    </row>
    <row r="8012" spans="1:15" x14ac:dyDescent="0.25">
      <c r="A8012" s="786" t="s">
        <v>14333</v>
      </c>
      <c r="B8012" s="787">
        <v>4</v>
      </c>
      <c r="C8012" s="787" t="s">
        <v>14334</v>
      </c>
      <c r="D8012" s="787">
        <v>0.71</v>
      </c>
      <c r="E8012" s="787">
        <v>0.71</v>
      </c>
      <c r="F8012" s="788">
        <v>42082</v>
      </c>
      <c r="G8012" s="788">
        <v>42082</v>
      </c>
      <c r="H8012" s="787">
        <v>1</v>
      </c>
      <c r="I8012" s="788">
        <v>41982</v>
      </c>
      <c r="J8012" s="788">
        <v>42047</v>
      </c>
      <c r="K8012" s="788">
        <v>41430</v>
      </c>
      <c r="L8012" s="787">
        <v>1.32</v>
      </c>
      <c r="M8012" s="787">
        <v>10</v>
      </c>
      <c r="N8012" s="787">
        <v>1.33</v>
      </c>
      <c r="O8012" s="788">
        <v>42163</v>
      </c>
    </row>
    <row r="8013" spans="1:15" x14ac:dyDescent="0.25">
      <c r="A8013" s="786" t="s">
        <v>14335</v>
      </c>
      <c r="B8013" s="787">
        <v>4</v>
      </c>
      <c r="C8013" s="787" t="s">
        <v>14336</v>
      </c>
      <c r="D8013" s="787">
        <v>0.04</v>
      </c>
      <c r="E8013" s="787">
        <v>0.04</v>
      </c>
      <c r="F8013" s="788">
        <v>41209</v>
      </c>
      <c r="G8013" s="788">
        <v>41209</v>
      </c>
      <c r="H8013" s="787">
        <v>1</v>
      </c>
      <c r="I8013" s="788">
        <v>41121</v>
      </c>
      <c r="J8013" s="788">
        <v>41081</v>
      </c>
      <c r="K8013" s="788">
        <v>41417</v>
      </c>
      <c r="L8013" s="787">
        <v>1</v>
      </c>
      <c r="M8013" s="787">
        <v>10</v>
      </c>
      <c r="N8013" s="787">
        <v>0.55000000000000004</v>
      </c>
      <c r="O8013" s="788">
        <v>42146</v>
      </c>
    </row>
    <row r="8014" spans="1:15" x14ac:dyDescent="0.25">
      <c r="A8014" s="786" t="s">
        <v>14337</v>
      </c>
      <c r="B8014" s="787">
        <v>4</v>
      </c>
      <c r="C8014" s="787" t="s">
        <v>14338</v>
      </c>
      <c r="D8014" s="787">
        <v>0</v>
      </c>
      <c r="E8014" s="787">
        <v>0</v>
      </c>
      <c r="F8014" s="788">
        <v>41376</v>
      </c>
      <c r="G8014" s="788">
        <v>41376</v>
      </c>
      <c r="H8014" s="787">
        <v>1</v>
      </c>
      <c r="I8014" s="788">
        <v>42165</v>
      </c>
      <c r="J8014" s="788">
        <v>41353</v>
      </c>
      <c r="K8014" s="788">
        <v>41953</v>
      </c>
      <c r="L8014" s="787">
        <v>8.7200000000000006</v>
      </c>
      <c r="M8014" s="787">
        <v>10</v>
      </c>
      <c r="N8014" s="787">
        <v>8.7200000000000006</v>
      </c>
      <c r="O8014" s="788">
        <v>42146</v>
      </c>
    </row>
    <row r="8015" spans="1:15" x14ac:dyDescent="0.25">
      <c r="A8015" s="786" t="s">
        <v>14339</v>
      </c>
      <c r="B8015" s="787">
        <v>4</v>
      </c>
      <c r="C8015" s="787" t="s">
        <v>11395</v>
      </c>
      <c r="D8015" s="787">
        <v>0</v>
      </c>
      <c r="E8015" s="787">
        <v>0</v>
      </c>
      <c r="H8015" s="787">
        <v>1</v>
      </c>
      <c r="L8015" s="787">
        <v>0</v>
      </c>
      <c r="M8015" s="787">
        <v>10</v>
      </c>
      <c r="N8015" s="787">
        <v>1.57</v>
      </c>
      <c r="O8015" s="788">
        <v>42146</v>
      </c>
    </row>
    <row r="8016" spans="1:15" x14ac:dyDescent="0.25">
      <c r="A8016" s="786" t="s">
        <v>14340</v>
      </c>
      <c r="B8016" s="787">
        <v>4</v>
      </c>
      <c r="C8016" s="787" t="s">
        <v>14341</v>
      </c>
      <c r="D8016" s="787">
        <v>0</v>
      </c>
      <c r="E8016" s="787">
        <v>0</v>
      </c>
      <c r="H8016" s="787">
        <v>1</v>
      </c>
      <c r="I8016" s="788">
        <v>42041</v>
      </c>
      <c r="L8016" s="787">
        <v>0</v>
      </c>
      <c r="M8016" s="787">
        <v>10</v>
      </c>
      <c r="N8016" s="787">
        <v>5.56</v>
      </c>
      <c r="O8016" s="788">
        <v>42146</v>
      </c>
    </row>
    <row r="8017" spans="1:15" x14ac:dyDescent="0.25">
      <c r="A8017" s="786" t="s">
        <v>14342</v>
      </c>
      <c r="B8017" s="787">
        <v>4</v>
      </c>
      <c r="C8017" s="787" t="s">
        <v>14343</v>
      </c>
      <c r="D8017" s="787">
        <v>0</v>
      </c>
      <c r="E8017" s="787">
        <v>0</v>
      </c>
      <c r="H8017" s="787">
        <v>1</v>
      </c>
      <c r="I8017" s="788">
        <v>42041</v>
      </c>
      <c r="L8017" s="787">
        <v>0</v>
      </c>
      <c r="M8017" s="787">
        <v>10</v>
      </c>
      <c r="N8017" s="787">
        <v>2.04</v>
      </c>
      <c r="O8017" s="788">
        <v>42146</v>
      </c>
    </row>
    <row r="8018" spans="1:15" x14ac:dyDescent="0.25">
      <c r="A8018" s="786" t="s">
        <v>14344</v>
      </c>
      <c r="B8018" s="787">
        <v>4</v>
      </c>
      <c r="C8018" s="787" t="s">
        <v>14345</v>
      </c>
      <c r="D8018" s="787">
        <v>0</v>
      </c>
      <c r="E8018" s="787">
        <v>0</v>
      </c>
      <c r="H8018" s="787">
        <v>1</v>
      </c>
      <c r="L8018" s="787">
        <v>0</v>
      </c>
      <c r="M8018" s="787">
        <v>10</v>
      </c>
      <c r="N8018" s="787">
        <v>25.29</v>
      </c>
      <c r="O8018" s="788">
        <v>42146</v>
      </c>
    </row>
    <row r="8019" spans="1:15" x14ac:dyDescent="0.25">
      <c r="A8019" s="786" t="s">
        <v>14346</v>
      </c>
      <c r="B8019" s="787">
        <v>4</v>
      </c>
      <c r="C8019" s="787" t="s">
        <v>14347</v>
      </c>
      <c r="D8019" s="787">
        <v>0</v>
      </c>
      <c r="E8019" s="787">
        <v>0</v>
      </c>
      <c r="H8019" s="787">
        <v>1</v>
      </c>
      <c r="L8019" s="787">
        <v>0</v>
      </c>
      <c r="M8019" s="787">
        <v>10</v>
      </c>
      <c r="N8019" s="787">
        <v>25.29</v>
      </c>
      <c r="O8019" s="788">
        <v>42146</v>
      </c>
    </row>
    <row r="8020" spans="1:15" x14ac:dyDescent="0.25">
      <c r="A8020" s="786" t="s">
        <v>14348</v>
      </c>
      <c r="B8020" s="787">
        <v>4</v>
      </c>
      <c r="C8020" s="787" t="s">
        <v>14349</v>
      </c>
      <c r="D8020" s="787">
        <v>0.26</v>
      </c>
      <c r="E8020" s="787">
        <v>0.26</v>
      </c>
      <c r="F8020" s="788">
        <v>41209</v>
      </c>
      <c r="G8020" s="788">
        <v>41943</v>
      </c>
      <c r="H8020" s="787">
        <v>1</v>
      </c>
      <c r="I8020" s="788">
        <v>41968</v>
      </c>
      <c r="J8020" s="788">
        <v>41177</v>
      </c>
      <c r="K8020" s="788">
        <v>41969</v>
      </c>
      <c r="L8020" s="787">
        <v>1</v>
      </c>
      <c r="M8020" s="787">
        <v>10</v>
      </c>
      <c r="N8020" s="787">
        <v>0.16</v>
      </c>
      <c r="O8020" s="788">
        <v>42146</v>
      </c>
    </row>
    <row r="8021" spans="1:15" x14ac:dyDescent="0.25">
      <c r="A8021" s="786" t="s">
        <v>14350</v>
      </c>
      <c r="B8021" s="787">
        <v>4</v>
      </c>
      <c r="C8021" s="787" t="s">
        <v>14351</v>
      </c>
      <c r="D8021" s="787">
        <v>1.59</v>
      </c>
      <c r="E8021" s="787">
        <v>5.42</v>
      </c>
      <c r="F8021" s="788">
        <v>41499</v>
      </c>
      <c r="G8021" s="788">
        <v>42086</v>
      </c>
      <c r="H8021" s="787">
        <v>1</v>
      </c>
      <c r="I8021" s="788">
        <v>42059</v>
      </c>
      <c r="J8021" s="788">
        <v>42054</v>
      </c>
      <c r="K8021" s="788">
        <v>41368</v>
      </c>
      <c r="L8021" s="787">
        <v>5.13</v>
      </c>
      <c r="M8021" s="787">
        <v>10</v>
      </c>
      <c r="N8021" s="787">
        <v>6.09</v>
      </c>
      <c r="O8021" s="788">
        <v>42146</v>
      </c>
    </row>
    <row r="8022" spans="1:15" x14ac:dyDescent="0.25">
      <c r="A8022" s="786" t="s">
        <v>14352</v>
      </c>
      <c r="B8022" s="787">
        <v>4</v>
      </c>
      <c r="C8022" s="787" t="s">
        <v>14353</v>
      </c>
      <c r="D8022" s="787">
        <v>0</v>
      </c>
      <c r="E8022" s="787">
        <v>0</v>
      </c>
      <c r="H8022" s="787">
        <v>1</v>
      </c>
      <c r="I8022" s="788">
        <v>41710</v>
      </c>
      <c r="L8022" s="787">
        <v>0</v>
      </c>
      <c r="M8022" s="787">
        <v>10</v>
      </c>
      <c r="N8022" s="787">
        <v>3.53</v>
      </c>
      <c r="O8022" s="788">
        <v>42146</v>
      </c>
    </row>
    <row r="8023" spans="1:15" x14ac:dyDescent="0.25">
      <c r="A8023" s="786" t="s">
        <v>14354</v>
      </c>
      <c r="B8023" s="787">
        <v>4</v>
      </c>
      <c r="C8023" s="787" t="s">
        <v>14355</v>
      </c>
      <c r="D8023" s="787">
        <v>0</v>
      </c>
      <c r="E8023" s="787">
        <v>0</v>
      </c>
      <c r="H8023" s="787">
        <v>1</v>
      </c>
      <c r="L8023" s="787">
        <v>0</v>
      </c>
      <c r="M8023" s="787">
        <v>10</v>
      </c>
      <c r="N8023" s="787">
        <v>5.07</v>
      </c>
      <c r="O8023" s="788">
        <v>42146</v>
      </c>
    </row>
    <row r="8024" spans="1:15" x14ac:dyDescent="0.25">
      <c r="A8024" s="786" t="s">
        <v>14356</v>
      </c>
      <c r="B8024" s="787">
        <v>4</v>
      </c>
      <c r="C8024" s="787" t="s">
        <v>14355</v>
      </c>
      <c r="D8024" s="787">
        <v>0</v>
      </c>
      <c r="E8024" s="787">
        <v>0</v>
      </c>
      <c r="H8024" s="787">
        <v>1</v>
      </c>
      <c r="L8024" s="787">
        <v>0</v>
      </c>
      <c r="M8024" s="787">
        <v>10</v>
      </c>
      <c r="N8024" s="787">
        <v>5.07</v>
      </c>
      <c r="O8024" s="788">
        <v>42146</v>
      </c>
    </row>
    <row r="8025" spans="1:15" x14ac:dyDescent="0.25">
      <c r="A8025" s="786" t="s">
        <v>14357</v>
      </c>
      <c r="B8025" s="787">
        <v>4</v>
      </c>
      <c r="C8025" s="787" t="s">
        <v>14358</v>
      </c>
      <c r="D8025" s="787">
        <v>0</v>
      </c>
      <c r="E8025" s="787">
        <v>0</v>
      </c>
      <c r="H8025" s="787">
        <v>1</v>
      </c>
      <c r="L8025" s="787">
        <v>0</v>
      </c>
      <c r="M8025" s="787">
        <v>10</v>
      </c>
      <c r="N8025" s="787">
        <v>4.0999999999999996</v>
      </c>
      <c r="O8025" s="788">
        <v>42163</v>
      </c>
    </row>
    <row r="8026" spans="1:15" x14ac:dyDescent="0.25">
      <c r="A8026" s="786" t="s">
        <v>14359</v>
      </c>
      <c r="B8026" s="787">
        <v>4</v>
      </c>
      <c r="C8026" s="787" t="s">
        <v>14360</v>
      </c>
      <c r="D8026" s="787">
        <v>0.56000000000000005</v>
      </c>
      <c r="E8026" s="787">
        <v>0.56000000000000005</v>
      </c>
      <c r="F8026" s="788">
        <v>41135</v>
      </c>
      <c r="G8026" s="788">
        <v>41565</v>
      </c>
      <c r="H8026" s="787">
        <v>1</v>
      </c>
      <c r="I8026" s="788">
        <v>40400</v>
      </c>
      <c r="J8026" s="788">
        <v>40590</v>
      </c>
      <c r="L8026" s="787">
        <v>0</v>
      </c>
      <c r="M8026" s="787">
        <v>10</v>
      </c>
      <c r="N8026" s="787">
        <v>4.8899999999999997</v>
      </c>
      <c r="O8026" s="788">
        <v>42163</v>
      </c>
    </row>
    <row r="8027" spans="1:15" x14ac:dyDescent="0.25">
      <c r="A8027" s="786" t="s">
        <v>14361</v>
      </c>
      <c r="B8027" s="787">
        <v>4</v>
      </c>
      <c r="C8027" s="787" t="s">
        <v>14362</v>
      </c>
      <c r="D8027" s="787">
        <v>0</v>
      </c>
      <c r="E8027" s="787">
        <v>0</v>
      </c>
      <c r="H8027" s="787">
        <v>1</v>
      </c>
      <c r="L8027" s="787">
        <v>0</v>
      </c>
      <c r="M8027" s="787">
        <v>10</v>
      </c>
      <c r="N8027" s="787">
        <v>5.71</v>
      </c>
      <c r="O8027" s="788">
        <v>42163</v>
      </c>
    </row>
    <row r="8028" spans="1:15" x14ac:dyDescent="0.25">
      <c r="A8028" s="786" t="s">
        <v>14363</v>
      </c>
      <c r="B8028" s="787">
        <v>4</v>
      </c>
      <c r="C8028" s="787" t="s">
        <v>14364</v>
      </c>
      <c r="D8028" s="787">
        <v>0</v>
      </c>
      <c r="E8028" s="787">
        <v>0</v>
      </c>
      <c r="H8028" s="787">
        <v>1</v>
      </c>
      <c r="L8028" s="787">
        <v>0</v>
      </c>
      <c r="M8028" s="787">
        <v>10</v>
      </c>
      <c r="N8028" s="787">
        <v>6.14</v>
      </c>
      <c r="O8028" s="788">
        <v>42163</v>
      </c>
    </row>
    <row r="8029" spans="1:15" x14ac:dyDescent="0.25">
      <c r="A8029" s="786" t="s">
        <v>14365</v>
      </c>
      <c r="B8029" s="787">
        <v>4</v>
      </c>
      <c r="C8029" s="787" t="s">
        <v>14366</v>
      </c>
      <c r="D8029" s="787">
        <v>0</v>
      </c>
      <c r="E8029" s="787">
        <v>0</v>
      </c>
      <c r="H8029" s="787">
        <v>6</v>
      </c>
      <c r="K8029" s="788">
        <v>41624</v>
      </c>
      <c r="L8029" s="787">
        <v>8.9</v>
      </c>
      <c r="M8029" s="787">
        <v>10</v>
      </c>
      <c r="N8029" s="787">
        <v>8.8699999999999992</v>
      </c>
      <c r="O8029" s="788">
        <v>41810</v>
      </c>
    </row>
    <row r="8030" spans="1:15" x14ac:dyDescent="0.25">
      <c r="A8030" s="786" t="s">
        <v>14367</v>
      </c>
      <c r="B8030" s="787">
        <v>4</v>
      </c>
      <c r="C8030" s="787" t="s">
        <v>14368</v>
      </c>
      <c r="D8030" s="787">
        <v>0</v>
      </c>
      <c r="E8030" s="787">
        <v>0</v>
      </c>
      <c r="H8030" s="787">
        <v>6</v>
      </c>
      <c r="K8030" s="788">
        <v>41624</v>
      </c>
      <c r="L8030" s="787">
        <v>11.72</v>
      </c>
      <c r="M8030" s="787">
        <v>10</v>
      </c>
      <c r="N8030" s="787">
        <v>11.67</v>
      </c>
      <c r="O8030" s="788">
        <v>41810</v>
      </c>
    </row>
    <row r="8031" spans="1:15" x14ac:dyDescent="0.25">
      <c r="A8031" s="786" t="s">
        <v>14369</v>
      </c>
      <c r="B8031" s="787">
        <v>4</v>
      </c>
      <c r="C8031" s="787" t="s">
        <v>14370</v>
      </c>
      <c r="D8031" s="787">
        <v>0</v>
      </c>
      <c r="E8031" s="787">
        <v>0</v>
      </c>
      <c r="H8031" s="787">
        <v>6</v>
      </c>
      <c r="I8031" s="788">
        <v>40673</v>
      </c>
      <c r="K8031" s="788">
        <v>41625</v>
      </c>
      <c r="L8031" s="787">
        <v>20.11</v>
      </c>
      <c r="M8031" s="787">
        <v>10</v>
      </c>
      <c r="N8031" s="787">
        <v>20.170000000000002</v>
      </c>
      <c r="O8031" s="788">
        <v>41810</v>
      </c>
    </row>
    <row r="8032" spans="1:15" x14ac:dyDescent="0.25">
      <c r="A8032" s="786" t="s">
        <v>14371</v>
      </c>
      <c r="B8032" s="787">
        <v>4</v>
      </c>
      <c r="C8032" s="787" t="s">
        <v>14372</v>
      </c>
      <c r="D8032" s="787">
        <v>0</v>
      </c>
      <c r="E8032" s="787">
        <v>0</v>
      </c>
      <c r="H8032" s="787">
        <v>6</v>
      </c>
      <c r="I8032" s="788">
        <v>40673</v>
      </c>
      <c r="K8032" s="788">
        <v>41625</v>
      </c>
      <c r="L8032" s="787">
        <v>20.11</v>
      </c>
      <c r="M8032" s="787">
        <v>10</v>
      </c>
      <c r="N8032" s="787">
        <v>20.170000000000002</v>
      </c>
      <c r="O8032" s="788">
        <v>41810</v>
      </c>
    </row>
    <row r="8033" spans="1:15" x14ac:dyDescent="0.25">
      <c r="A8033" s="786" t="s">
        <v>14373</v>
      </c>
      <c r="B8033" s="787">
        <v>4</v>
      </c>
      <c r="C8033" s="787" t="s">
        <v>14374</v>
      </c>
      <c r="D8033" s="787">
        <v>2.15</v>
      </c>
      <c r="E8033" s="787">
        <v>12.15</v>
      </c>
      <c r="F8033" s="788">
        <v>40644</v>
      </c>
      <c r="G8033" s="788">
        <v>41806</v>
      </c>
      <c r="H8033" s="787">
        <v>1</v>
      </c>
      <c r="I8033" s="788">
        <v>42160</v>
      </c>
      <c r="J8033" s="788">
        <v>41815</v>
      </c>
      <c r="K8033" s="788">
        <v>41575</v>
      </c>
      <c r="L8033" s="787">
        <v>6</v>
      </c>
      <c r="M8033" s="787">
        <v>10</v>
      </c>
      <c r="N8033" s="787">
        <v>5.47</v>
      </c>
      <c r="O8033" s="788">
        <v>42146</v>
      </c>
    </row>
    <row r="8034" spans="1:15" x14ac:dyDescent="0.25">
      <c r="A8034" s="786" t="s">
        <v>14375</v>
      </c>
      <c r="B8034" s="787">
        <v>4</v>
      </c>
      <c r="C8034" s="787" t="s">
        <v>14376</v>
      </c>
      <c r="D8034" s="787">
        <v>0</v>
      </c>
      <c r="E8034" s="787">
        <v>0</v>
      </c>
      <c r="H8034" s="787">
        <v>1</v>
      </c>
      <c r="I8034" s="788">
        <v>40760</v>
      </c>
      <c r="L8034" s="787">
        <v>0</v>
      </c>
      <c r="M8034" s="787">
        <v>10</v>
      </c>
      <c r="N8034" s="787">
        <v>53.9</v>
      </c>
      <c r="O8034" s="788">
        <v>42146</v>
      </c>
    </row>
    <row r="8035" spans="1:15" x14ac:dyDescent="0.25">
      <c r="A8035" s="786" t="s">
        <v>14377</v>
      </c>
      <c r="B8035" s="787">
        <v>4</v>
      </c>
      <c r="C8035" s="787" t="s">
        <v>14378</v>
      </c>
      <c r="D8035" s="787">
        <v>0.59</v>
      </c>
      <c r="E8035" s="787">
        <v>0.59</v>
      </c>
      <c r="F8035" s="788">
        <v>42030</v>
      </c>
      <c r="G8035" s="788">
        <v>42030</v>
      </c>
      <c r="H8035" s="787">
        <v>1</v>
      </c>
      <c r="I8035" s="788">
        <v>40730</v>
      </c>
      <c r="J8035" s="788">
        <v>41984</v>
      </c>
      <c r="K8035" s="788">
        <v>41354</v>
      </c>
      <c r="L8035" s="787">
        <v>2.82</v>
      </c>
      <c r="M8035" s="787">
        <v>10</v>
      </c>
      <c r="N8035" s="787">
        <v>1.78</v>
      </c>
      <c r="O8035" s="788">
        <v>42146</v>
      </c>
    </row>
    <row r="8036" spans="1:15" x14ac:dyDescent="0.25">
      <c r="A8036" s="786" t="s">
        <v>14379</v>
      </c>
      <c r="B8036" s="787">
        <v>4</v>
      </c>
      <c r="C8036" s="787" t="s">
        <v>14380</v>
      </c>
      <c r="D8036" s="787">
        <v>2.37</v>
      </c>
      <c r="E8036" s="787">
        <v>2.37</v>
      </c>
      <c r="F8036" s="788">
        <v>40948</v>
      </c>
      <c r="G8036" s="788">
        <v>41712</v>
      </c>
      <c r="H8036" s="787">
        <v>1</v>
      </c>
      <c r="I8036" s="788">
        <v>41704</v>
      </c>
      <c r="J8036" s="788">
        <v>41712</v>
      </c>
      <c r="K8036" s="788">
        <v>41547</v>
      </c>
      <c r="L8036" s="787">
        <v>2.15</v>
      </c>
      <c r="M8036" s="787">
        <v>10</v>
      </c>
      <c r="N8036" s="787">
        <v>2.0499999999999998</v>
      </c>
      <c r="O8036" s="788">
        <v>42146</v>
      </c>
    </row>
    <row r="8037" spans="1:15" x14ac:dyDescent="0.25">
      <c r="A8037" s="786" t="s">
        <v>14381</v>
      </c>
      <c r="B8037" s="787">
        <v>4</v>
      </c>
      <c r="C8037" s="787" t="s">
        <v>14382</v>
      </c>
      <c r="D8037" s="787">
        <v>4.92</v>
      </c>
      <c r="E8037" s="787">
        <v>6.03</v>
      </c>
      <c r="F8037" s="788">
        <v>41134</v>
      </c>
      <c r="G8037" s="788">
        <v>41920</v>
      </c>
      <c r="H8037" s="787">
        <v>6</v>
      </c>
      <c r="I8037" s="788">
        <v>41354</v>
      </c>
      <c r="J8037" s="788">
        <v>41207</v>
      </c>
      <c r="K8037" s="788">
        <v>41354</v>
      </c>
      <c r="L8037" s="787">
        <v>5.66</v>
      </c>
      <c r="M8037" s="787">
        <v>10</v>
      </c>
      <c r="N8037" s="787">
        <v>6.01</v>
      </c>
      <c r="O8037" s="788">
        <v>41810</v>
      </c>
    </row>
    <row r="8038" spans="1:15" x14ac:dyDescent="0.25">
      <c r="A8038" s="786" t="s">
        <v>14383</v>
      </c>
      <c r="B8038" s="787">
        <v>4</v>
      </c>
      <c r="C8038" s="787" t="s">
        <v>14384</v>
      </c>
      <c r="D8038" s="787">
        <v>1.3</v>
      </c>
      <c r="E8038" s="787">
        <v>1.3</v>
      </c>
      <c r="F8038" s="788">
        <v>42159</v>
      </c>
      <c r="G8038" s="788">
        <v>42159</v>
      </c>
      <c r="H8038" s="787">
        <v>1</v>
      </c>
      <c r="I8038" s="788">
        <v>42160</v>
      </c>
      <c r="J8038" s="788">
        <v>42131</v>
      </c>
      <c r="K8038" s="788">
        <v>41354</v>
      </c>
      <c r="L8038" s="787">
        <v>4.76</v>
      </c>
      <c r="M8038" s="787">
        <v>10</v>
      </c>
      <c r="N8038" s="787">
        <v>3.32</v>
      </c>
      <c r="O8038" s="788">
        <v>42146</v>
      </c>
    </row>
    <row r="8039" spans="1:15" x14ac:dyDescent="0.25">
      <c r="A8039" s="786" t="s">
        <v>14385</v>
      </c>
      <c r="B8039" s="787">
        <v>4</v>
      </c>
      <c r="C8039" s="787" t="s">
        <v>14386</v>
      </c>
      <c r="D8039" s="787">
        <v>1.72</v>
      </c>
      <c r="E8039" s="787">
        <v>1.72</v>
      </c>
      <c r="F8039" s="788">
        <v>42061</v>
      </c>
      <c r="G8039" s="788">
        <v>42061</v>
      </c>
      <c r="H8039" s="787">
        <v>1</v>
      </c>
      <c r="I8039" s="788">
        <v>42166</v>
      </c>
      <c r="J8039" s="788">
        <v>42027</v>
      </c>
      <c r="K8039" s="788">
        <v>41354</v>
      </c>
      <c r="L8039" s="787">
        <v>3.87</v>
      </c>
      <c r="M8039" s="787">
        <v>10</v>
      </c>
      <c r="N8039" s="787">
        <v>2.5099999999999998</v>
      </c>
      <c r="O8039" s="788">
        <v>42146</v>
      </c>
    </row>
    <row r="8040" spans="1:15" x14ac:dyDescent="0.25">
      <c r="A8040" s="786" t="s">
        <v>14387</v>
      </c>
      <c r="B8040" s="787">
        <v>4</v>
      </c>
      <c r="C8040" s="787" t="s">
        <v>14388</v>
      </c>
      <c r="D8040" s="787">
        <v>1.45</v>
      </c>
      <c r="E8040" s="787">
        <v>3.69</v>
      </c>
      <c r="F8040" s="788">
        <v>40792</v>
      </c>
      <c r="G8040" s="788">
        <v>42061</v>
      </c>
      <c r="H8040" s="787">
        <v>1</v>
      </c>
      <c r="I8040" s="788">
        <v>42166</v>
      </c>
      <c r="J8040" s="788">
        <v>42027</v>
      </c>
      <c r="K8040" s="788">
        <v>41354</v>
      </c>
      <c r="L8040" s="787">
        <v>3.47</v>
      </c>
      <c r="M8040" s="787">
        <v>10</v>
      </c>
      <c r="N8040" s="787">
        <v>2.5099999999999998</v>
      </c>
      <c r="O8040" s="788">
        <v>42146</v>
      </c>
    </row>
    <row r="8041" spans="1:15" x14ac:dyDescent="0.25">
      <c r="A8041" s="786" t="s">
        <v>14389</v>
      </c>
      <c r="B8041" s="787">
        <v>4</v>
      </c>
      <c r="C8041" s="787" t="s">
        <v>14390</v>
      </c>
      <c r="D8041" s="787">
        <v>0.4</v>
      </c>
      <c r="E8041" s="787">
        <v>4.83</v>
      </c>
      <c r="F8041" s="788">
        <v>41775</v>
      </c>
      <c r="G8041" s="788">
        <v>42164</v>
      </c>
      <c r="H8041" s="787">
        <v>1</v>
      </c>
      <c r="I8041" s="788">
        <v>42166</v>
      </c>
      <c r="J8041" s="788">
        <v>42164</v>
      </c>
      <c r="K8041" s="788">
        <v>41354</v>
      </c>
      <c r="L8041" s="787">
        <v>1.21</v>
      </c>
      <c r="M8041" s="787">
        <v>10</v>
      </c>
      <c r="N8041" s="787">
        <v>1.87</v>
      </c>
      <c r="O8041" s="788">
        <v>42146</v>
      </c>
    </row>
    <row r="8042" spans="1:15" x14ac:dyDescent="0.25">
      <c r="A8042" s="786" t="s">
        <v>14391</v>
      </c>
      <c r="B8042" s="787">
        <v>4</v>
      </c>
      <c r="C8042" s="787" t="s">
        <v>14392</v>
      </c>
      <c r="D8042" s="787">
        <v>1.1299999999999999</v>
      </c>
      <c r="E8042" s="787">
        <v>1.58</v>
      </c>
      <c r="F8042" s="788">
        <v>40948</v>
      </c>
      <c r="G8042" s="788">
        <v>41920</v>
      </c>
      <c r="H8042" s="787">
        <v>1</v>
      </c>
      <c r="I8042" s="788">
        <v>41704</v>
      </c>
      <c r="J8042" s="788">
        <v>41712</v>
      </c>
      <c r="K8042" s="788">
        <v>41621</v>
      </c>
      <c r="L8042" s="787">
        <v>1.39</v>
      </c>
      <c r="M8042" s="787">
        <v>10</v>
      </c>
      <c r="N8042" s="787">
        <v>1.59</v>
      </c>
      <c r="O8042" s="788">
        <v>42146</v>
      </c>
    </row>
    <row r="8043" spans="1:15" x14ac:dyDescent="0.25">
      <c r="A8043" s="786" t="s">
        <v>14393</v>
      </c>
      <c r="B8043" s="787">
        <v>4</v>
      </c>
      <c r="C8043" s="787" t="s">
        <v>14394</v>
      </c>
      <c r="D8043" s="787">
        <v>9.8699999999999992</v>
      </c>
      <c r="E8043" s="787">
        <v>33.54</v>
      </c>
      <c r="F8043" s="788">
        <v>42058</v>
      </c>
      <c r="G8043" s="788">
        <v>42165</v>
      </c>
      <c r="H8043" s="787">
        <v>1</v>
      </c>
      <c r="I8043" s="788">
        <v>42160</v>
      </c>
      <c r="J8043" s="788">
        <v>42166</v>
      </c>
      <c r="K8043" s="788">
        <v>41934</v>
      </c>
      <c r="L8043" s="787">
        <v>55.6</v>
      </c>
      <c r="M8043" s="787">
        <v>10</v>
      </c>
      <c r="N8043" s="787">
        <v>26.25</v>
      </c>
      <c r="O8043" s="788">
        <v>42146</v>
      </c>
    </row>
    <row r="8044" spans="1:15" x14ac:dyDescent="0.25">
      <c r="A8044" s="786" t="s">
        <v>14395</v>
      </c>
      <c r="B8044" s="787">
        <v>4</v>
      </c>
      <c r="C8044" s="787" t="s">
        <v>14396</v>
      </c>
      <c r="D8044" s="787">
        <v>0.98</v>
      </c>
      <c r="E8044" s="787">
        <v>3.92</v>
      </c>
      <c r="F8044" s="788">
        <v>41548</v>
      </c>
      <c r="G8044" s="788">
        <v>41971</v>
      </c>
      <c r="H8044" s="787">
        <v>1</v>
      </c>
      <c r="I8044" s="788">
        <v>41985</v>
      </c>
      <c r="J8044" s="788">
        <v>41988</v>
      </c>
      <c r="K8044" s="788">
        <v>41200</v>
      </c>
      <c r="L8044" s="787">
        <v>2.98</v>
      </c>
      <c r="M8044" s="787">
        <v>10</v>
      </c>
      <c r="N8044" s="787">
        <v>1.77</v>
      </c>
      <c r="O8044" s="788">
        <v>42146</v>
      </c>
    </row>
    <row r="8045" spans="1:15" x14ac:dyDescent="0.25">
      <c r="A8045" s="786" t="s">
        <v>14397</v>
      </c>
      <c r="B8045" s="787">
        <v>4</v>
      </c>
      <c r="C8045" s="787" t="s">
        <v>14398</v>
      </c>
      <c r="D8045" s="787">
        <v>0.98</v>
      </c>
      <c r="E8045" s="787">
        <v>1.22</v>
      </c>
      <c r="F8045" s="788">
        <v>41548</v>
      </c>
      <c r="G8045" s="788">
        <v>41957</v>
      </c>
      <c r="H8045" s="787">
        <v>1</v>
      </c>
      <c r="I8045" s="788">
        <v>42128</v>
      </c>
      <c r="J8045" s="788">
        <v>41988</v>
      </c>
      <c r="K8045" s="788">
        <v>41200</v>
      </c>
      <c r="L8045" s="787">
        <v>2.85</v>
      </c>
      <c r="M8045" s="787">
        <v>10</v>
      </c>
      <c r="N8045" s="787">
        <v>1.73</v>
      </c>
      <c r="O8045" s="788">
        <v>42146</v>
      </c>
    </row>
    <row r="8046" spans="1:15" x14ac:dyDescent="0.25">
      <c r="A8046" s="786" t="s">
        <v>14399</v>
      </c>
      <c r="B8046" s="787">
        <v>4</v>
      </c>
      <c r="C8046" s="787" t="s">
        <v>14400</v>
      </c>
      <c r="D8046" s="787">
        <v>0</v>
      </c>
      <c r="E8046" s="787">
        <v>0</v>
      </c>
      <c r="H8046" s="787">
        <v>1</v>
      </c>
      <c r="I8046" s="788">
        <v>40716</v>
      </c>
      <c r="L8046" s="787">
        <v>0</v>
      </c>
      <c r="M8046" s="787">
        <v>10</v>
      </c>
      <c r="N8046" s="787">
        <v>1.6</v>
      </c>
      <c r="O8046" s="788">
        <v>42146</v>
      </c>
    </row>
    <row r="8047" spans="1:15" x14ac:dyDescent="0.25">
      <c r="A8047" s="786" t="s">
        <v>14401</v>
      </c>
      <c r="B8047" s="787">
        <v>4</v>
      </c>
      <c r="C8047" s="787" t="s">
        <v>14402</v>
      </c>
      <c r="D8047" s="787">
        <v>1.17</v>
      </c>
      <c r="E8047" s="787">
        <v>2.4900000000000002</v>
      </c>
      <c r="F8047" s="788">
        <v>41920</v>
      </c>
      <c r="G8047" s="788">
        <v>42090</v>
      </c>
      <c r="H8047" s="787">
        <v>1</v>
      </c>
      <c r="I8047" s="788">
        <v>42151</v>
      </c>
      <c r="J8047" s="788">
        <v>42061</v>
      </c>
      <c r="K8047" s="788">
        <v>41514</v>
      </c>
      <c r="L8047" s="787">
        <v>1.64</v>
      </c>
      <c r="M8047" s="787">
        <v>10</v>
      </c>
      <c r="N8047" s="787">
        <v>2.2799999999999998</v>
      </c>
      <c r="O8047" s="788">
        <v>42146</v>
      </c>
    </row>
    <row r="8048" spans="1:15" x14ac:dyDescent="0.25">
      <c r="A8048" s="786" t="s">
        <v>14403</v>
      </c>
      <c r="B8048" s="787">
        <v>4</v>
      </c>
      <c r="C8048" s="787" t="s">
        <v>14404</v>
      </c>
      <c r="D8048" s="787">
        <v>2.92</v>
      </c>
      <c r="E8048" s="787">
        <v>4.9400000000000004</v>
      </c>
      <c r="F8048" s="788">
        <v>41306</v>
      </c>
      <c r="G8048" s="788">
        <v>42090</v>
      </c>
      <c r="H8048" s="787">
        <v>1</v>
      </c>
      <c r="I8048" s="788">
        <v>42062</v>
      </c>
      <c r="J8048" s="788">
        <v>42061</v>
      </c>
      <c r="K8048" s="788">
        <v>41892</v>
      </c>
      <c r="L8048" s="787">
        <v>2.84</v>
      </c>
      <c r="M8048" s="787">
        <v>10</v>
      </c>
      <c r="N8048" s="787">
        <v>9.84</v>
      </c>
      <c r="O8048" s="788">
        <v>42146</v>
      </c>
    </row>
    <row r="8049" spans="1:15" x14ac:dyDescent="0.25">
      <c r="A8049" s="786" t="s">
        <v>14405</v>
      </c>
      <c r="B8049" s="787">
        <v>4</v>
      </c>
      <c r="C8049" s="787" t="s">
        <v>14406</v>
      </c>
      <c r="D8049" s="787">
        <v>1.96</v>
      </c>
      <c r="E8049" s="787">
        <v>3.6</v>
      </c>
      <c r="F8049" s="788">
        <v>40948</v>
      </c>
      <c r="G8049" s="788">
        <v>41943</v>
      </c>
      <c r="H8049" s="787">
        <v>1</v>
      </c>
      <c r="I8049" s="788">
        <v>42051</v>
      </c>
      <c r="J8049" s="788">
        <v>41240</v>
      </c>
      <c r="K8049" s="788">
        <v>41719</v>
      </c>
      <c r="L8049" s="787">
        <v>2.1</v>
      </c>
      <c r="M8049" s="787">
        <v>10</v>
      </c>
      <c r="N8049" s="787">
        <v>1.97</v>
      </c>
      <c r="O8049" s="788">
        <v>42146</v>
      </c>
    </row>
    <row r="8050" spans="1:15" x14ac:dyDescent="0.25">
      <c r="A8050" s="786" t="s">
        <v>14407</v>
      </c>
      <c r="B8050" s="787">
        <v>4</v>
      </c>
      <c r="C8050" s="787" t="s">
        <v>14408</v>
      </c>
      <c r="D8050" s="787">
        <v>6.25</v>
      </c>
      <c r="E8050" s="787">
        <v>6.49</v>
      </c>
      <c r="F8050" s="788">
        <v>40827</v>
      </c>
      <c r="G8050" s="788">
        <v>42093</v>
      </c>
      <c r="H8050" s="787">
        <v>1</v>
      </c>
      <c r="I8050" s="788">
        <v>42051</v>
      </c>
      <c r="J8050" s="788">
        <v>42065</v>
      </c>
      <c r="K8050" s="788">
        <v>41722</v>
      </c>
      <c r="L8050" s="787">
        <v>4</v>
      </c>
      <c r="M8050" s="787">
        <v>10</v>
      </c>
      <c r="N8050" s="787">
        <v>5.18</v>
      </c>
      <c r="O8050" s="788">
        <v>42146</v>
      </c>
    </row>
    <row r="8051" spans="1:15" x14ac:dyDescent="0.25">
      <c r="A8051" s="786" t="s">
        <v>14409</v>
      </c>
      <c r="B8051" s="787">
        <v>4</v>
      </c>
      <c r="C8051" s="787" t="s">
        <v>14410</v>
      </c>
      <c r="D8051" s="787">
        <v>8.33</v>
      </c>
      <c r="E8051" s="787">
        <v>8.48</v>
      </c>
      <c r="F8051" s="788">
        <v>41306</v>
      </c>
      <c r="G8051" s="788">
        <v>41943</v>
      </c>
      <c r="H8051" s="787">
        <v>1</v>
      </c>
      <c r="I8051" s="788">
        <v>42051</v>
      </c>
      <c r="J8051" s="788">
        <v>41782</v>
      </c>
      <c r="K8051" s="788">
        <v>41722</v>
      </c>
      <c r="L8051" s="787">
        <v>5.5</v>
      </c>
      <c r="M8051" s="787">
        <v>10</v>
      </c>
      <c r="N8051" s="787">
        <v>7.29</v>
      </c>
      <c r="O8051" s="788">
        <v>42146</v>
      </c>
    </row>
    <row r="8052" spans="1:15" x14ac:dyDescent="0.25">
      <c r="A8052" s="786" t="s">
        <v>14411</v>
      </c>
      <c r="B8052" s="787">
        <v>4</v>
      </c>
      <c r="C8052" s="787" t="s">
        <v>14412</v>
      </c>
      <c r="D8052" s="787">
        <v>2.48</v>
      </c>
      <c r="E8052" s="787">
        <v>2.48</v>
      </c>
      <c r="F8052" s="788">
        <v>41526</v>
      </c>
      <c r="G8052" s="788">
        <v>41943</v>
      </c>
      <c r="H8052" s="787">
        <v>1</v>
      </c>
      <c r="I8052" s="788">
        <v>41894</v>
      </c>
      <c r="J8052" s="788">
        <v>41501</v>
      </c>
      <c r="K8052" s="788">
        <v>41722</v>
      </c>
      <c r="L8052" s="787">
        <v>2.5</v>
      </c>
      <c r="M8052" s="787">
        <v>10</v>
      </c>
      <c r="N8052" s="787">
        <v>2.42</v>
      </c>
      <c r="O8052" s="788">
        <v>42146</v>
      </c>
    </row>
    <row r="8053" spans="1:15" x14ac:dyDescent="0.25">
      <c r="A8053" s="786" t="s">
        <v>14413</v>
      </c>
      <c r="B8053" s="787">
        <v>4</v>
      </c>
      <c r="C8053" s="787" t="s">
        <v>14414</v>
      </c>
      <c r="D8053" s="787">
        <v>0</v>
      </c>
      <c r="E8053" s="787">
        <v>0</v>
      </c>
      <c r="H8053" s="787">
        <v>1</v>
      </c>
      <c r="I8053" s="788">
        <v>41914</v>
      </c>
      <c r="J8053" s="788">
        <v>41919</v>
      </c>
      <c r="K8053" s="788">
        <v>41919</v>
      </c>
      <c r="L8053" s="787">
        <v>5.16</v>
      </c>
      <c r="M8053" s="787">
        <v>10</v>
      </c>
      <c r="N8053" s="787">
        <v>5.16</v>
      </c>
      <c r="O8053" s="788">
        <v>42146</v>
      </c>
    </row>
    <row r="8054" spans="1:15" x14ac:dyDescent="0.25">
      <c r="A8054" s="786" t="s">
        <v>14415</v>
      </c>
      <c r="B8054" s="787">
        <v>4</v>
      </c>
      <c r="C8054" s="787" t="s">
        <v>14414</v>
      </c>
      <c r="D8054" s="787">
        <v>0</v>
      </c>
      <c r="E8054" s="787">
        <v>0</v>
      </c>
      <c r="H8054" s="787">
        <v>1</v>
      </c>
      <c r="I8054" s="788">
        <v>41914</v>
      </c>
      <c r="J8054" s="788">
        <v>41919</v>
      </c>
      <c r="K8054" s="788">
        <v>41919</v>
      </c>
      <c r="L8054" s="787">
        <v>5.16</v>
      </c>
      <c r="M8054" s="787">
        <v>10</v>
      </c>
      <c r="N8054" s="787">
        <v>5.16</v>
      </c>
      <c r="O8054" s="788">
        <v>42146</v>
      </c>
    </row>
    <row r="8055" spans="1:15" x14ac:dyDescent="0.25">
      <c r="A8055" s="786" t="s">
        <v>14416</v>
      </c>
      <c r="B8055" s="787">
        <v>4</v>
      </c>
      <c r="C8055" s="787" t="s">
        <v>14417</v>
      </c>
      <c r="D8055" s="787">
        <v>0</v>
      </c>
      <c r="E8055" s="787">
        <v>0</v>
      </c>
      <c r="G8055" s="788">
        <v>41255</v>
      </c>
      <c r="H8055" s="787">
        <v>1</v>
      </c>
      <c r="I8055" s="788">
        <v>41914</v>
      </c>
      <c r="J8055" s="788">
        <v>41919</v>
      </c>
      <c r="K8055" s="788">
        <v>41919</v>
      </c>
      <c r="L8055" s="787">
        <v>2.52</v>
      </c>
      <c r="M8055" s="787">
        <v>10</v>
      </c>
      <c r="N8055" s="787">
        <v>2.52</v>
      </c>
      <c r="O8055" s="788">
        <v>42146</v>
      </c>
    </row>
    <row r="8056" spans="1:15" x14ac:dyDescent="0.25">
      <c r="A8056" s="786" t="s">
        <v>14418</v>
      </c>
      <c r="B8056" s="787">
        <v>4</v>
      </c>
      <c r="C8056" s="787" t="s">
        <v>14419</v>
      </c>
      <c r="D8056" s="787">
        <v>0</v>
      </c>
      <c r="E8056" s="787">
        <v>0</v>
      </c>
      <c r="G8056" s="788">
        <v>41255</v>
      </c>
      <c r="H8056" s="787">
        <v>1</v>
      </c>
      <c r="I8056" s="788">
        <v>41914</v>
      </c>
      <c r="J8056" s="788">
        <v>41919</v>
      </c>
      <c r="K8056" s="788">
        <v>41919</v>
      </c>
      <c r="L8056" s="787">
        <v>2.52</v>
      </c>
      <c r="M8056" s="787">
        <v>10</v>
      </c>
      <c r="N8056" s="787">
        <v>2.52</v>
      </c>
      <c r="O8056" s="788">
        <v>42146</v>
      </c>
    </row>
    <row r="8057" spans="1:15" x14ac:dyDescent="0.25">
      <c r="A8057" s="786" t="s">
        <v>14420</v>
      </c>
      <c r="B8057" s="787">
        <v>4</v>
      </c>
      <c r="C8057" s="787" t="s">
        <v>14421</v>
      </c>
      <c r="D8057" s="787">
        <v>0</v>
      </c>
      <c r="E8057" s="787">
        <v>0</v>
      </c>
      <c r="H8057" s="787">
        <v>1</v>
      </c>
      <c r="K8057" s="788">
        <v>40984</v>
      </c>
      <c r="L8057" s="787">
        <v>9.6999999999999993</v>
      </c>
      <c r="M8057" s="787">
        <v>10</v>
      </c>
      <c r="N8057" s="787">
        <v>8.8800000000000008</v>
      </c>
      <c r="O8057" s="788">
        <v>42146</v>
      </c>
    </row>
    <row r="8058" spans="1:15" x14ac:dyDescent="0.25">
      <c r="A8058" s="786" t="s">
        <v>14422</v>
      </c>
      <c r="B8058" s="787">
        <v>4</v>
      </c>
      <c r="C8058" s="787" t="s">
        <v>14423</v>
      </c>
      <c r="D8058" s="787">
        <v>0</v>
      </c>
      <c r="E8058" s="787">
        <v>0</v>
      </c>
      <c r="H8058" s="787">
        <v>1</v>
      </c>
      <c r="K8058" s="788">
        <v>40984</v>
      </c>
      <c r="L8058" s="787">
        <v>9.6999999999999993</v>
      </c>
      <c r="M8058" s="787">
        <v>10</v>
      </c>
      <c r="N8058" s="787">
        <v>8.8800000000000008</v>
      </c>
      <c r="O8058" s="788">
        <v>42146</v>
      </c>
    </row>
    <row r="8059" spans="1:15" x14ac:dyDescent="0.25">
      <c r="A8059" s="786" t="s">
        <v>14424</v>
      </c>
      <c r="B8059" s="787">
        <v>4</v>
      </c>
      <c r="C8059" s="787" t="s">
        <v>14425</v>
      </c>
      <c r="D8059" s="787">
        <v>0</v>
      </c>
      <c r="E8059" s="787">
        <v>0</v>
      </c>
      <c r="H8059" s="787">
        <v>1</v>
      </c>
      <c r="K8059" s="788">
        <v>40984</v>
      </c>
      <c r="L8059" s="787">
        <v>9.6999999999999993</v>
      </c>
      <c r="M8059" s="787">
        <v>10</v>
      </c>
      <c r="N8059" s="787">
        <v>8.8800000000000008</v>
      </c>
      <c r="O8059" s="788">
        <v>42146</v>
      </c>
    </row>
    <row r="8060" spans="1:15" x14ac:dyDescent="0.25">
      <c r="A8060" s="786" t="s">
        <v>14426</v>
      </c>
      <c r="B8060" s="787">
        <v>4</v>
      </c>
      <c r="C8060" s="787" t="s">
        <v>14427</v>
      </c>
      <c r="D8060" s="787">
        <v>0</v>
      </c>
      <c r="E8060" s="787">
        <v>0</v>
      </c>
      <c r="H8060" s="787">
        <v>1</v>
      </c>
      <c r="L8060" s="787">
        <v>0</v>
      </c>
      <c r="M8060" s="787">
        <v>10</v>
      </c>
      <c r="N8060" s="787">
        <v>6.16</v>
      </c>
      <c r="O8060" s="788">
        <v>42146</v>
      </c>
    </row>
    <row r="8061" spans="1:15" x14ac:dyDescent="0.25">
      <c r="A8061" s="786" t="s">
        <v>14428</v>
      </c>
      <c r="B8061" s="787">
        <v>4</v>
      </c>
      <c r="C8061" s="787" t="s">
        <v>14429</v>
      </c>
      <c r="D8061" s="787">
        <v>0</v>
      </c>
      <c r="E8061" s="787">
        <v>0</v>
      </c>
      <c r="H8061" s="787">
        <v>1</v>
      </c>
      <c r="L8061" s="787">
        <v>0</v>
      </c>
      <c r="M8061" s="787">
        <v>10</v>
      </c>
      <c r="N8061" s="787">
        <v>6.16</v>
      </c>
      <c r="O8061" s="788">
        <v>42146</v>
      </c>
    </row>
    <row r="8062" spans="1:15" x14ac:dyDescent="0.25">
      <c r="A8062" s="786" t="s">
        <v>14430</v>
      </c>
      <c r="B8062" s="787">
        <v>4</v>
      </c>
      <c r="C8062" s="787" t="s">
        <v>14431</v>
      </c>
      <c r="D8062" s="787">
        <v>0</v>
      </c>
      <c r="E8062" s="787">
        <v>0</v>
      </c>
      <c r="H8062" s="787">
        <v>1</v>
      </c>
      <c r="L8062" s="787">
        <v>0</v>
      </c>
      <c r="M8062" s="787">
        <v>10</v>
      </c>
      <c r="N8062" s="787">
        <v>6.16</v>
      </c>
      <c r="O8062" s="788">
        <v>42146</v>
      </c>
    </row>
    <row r="8063" spans="1:15" x14ac:dyDescent="0.25">
      <c r="A8063" s="786" t="s">
        <v>14432</v>
      </c>
      <c r="B8063" s="787">
        <v>4</v>
      </c>
      <c r="C8063" s="787" t="s">
        <v>14433</v>
      </c>
      <c r="D8063" s="787">
        <v>0</v>
      </c>
      <c r="E8063" s="787">
        <v>0</v>
      </c>
      <c r="H8063" s="787">
        <v>1</v>
      </c>
      <c r="L8063" s="787">
        <v>0</v>
      </c>
      <c r="M8063" s="787">
        <v>10</v>
      </c>
      <c r="N8063" s="787">
        <v>10.18</v>
      </c>
      <c r="O8063" s="788">
        <v>42146</v>
      </c>
    </row>
    <row r="8064" spans="1:15" x14ac:dyDescent="0.25">
      <c r="A8064" s="786" t="s">
        <v>14434</v>
      </c>
      <c r="B8064" s="787">
        <v>4</v>
      </c>
      <c r="C8064" s="787" t="s">
        <v>14435</v>
      </c>
      <c r="D8064" s="787">
        <v>0</v>
      </c>
      <c r="E8064" s="787">
        <v>0</v>
      </c>
      <c r="H8064" s="787">
        <v>1</v>
      </c>
      <c r="L8064" s="787">
        <v>0</v>
      </c>
      <c r="M8064" s="787">
        <v>10</v>
      </c>
      <c r="N8064" s="787">
        <v>10.18</v>
      </c>
      <c r="O8064" s="788">
        <v>42146</v>
      </c>
    </row>
    <row r="8065" spans="1:15" x14ac:dyDescent="0.25">
      <c r="A8065" s="786" t="s">
        <v>14436</v>
      </c>
      <c r="B8065" s="787">
        <v>4</v>
      </c>
      <c r="C8065" s="787" t="s">
        <v>14437</v>
      </c>
      <c r="D8065" s="787">
        <v>0</v>
      </c>
      <c r="E8065" s="787">
        <v>0</v>
      </c>
      <c r="H8065" s="787">
        <v>1</v>
      </c>
      <c r="L8065" s="787">
        <v>0</v>
      </c>
      <c r="M8065" s="787">
        <v>10</v>
      </c>
      <c r="N8065" s="787">
        <v>10.18</v>
      </c>
      <c r="O8065" s="788">
        <v>42146</v>
      </c>
    </row>
    <row r="8066" spans="1:15" x14ac:dyDescent="0.25">
      <c r="A8066" s="786" t="s">
        <v>14438</v>
      </c>
      <c r="B8066" s="787">
        <v>4</v>
      </c>
      <c r="C8066" s="787" t="s">
        <v>14439</v>
      </c>
      <c r="D8066" s="787">
        <v>0</v>
      </c>
      <c r="E8066" s="787">
        <v>0</v>
      </c>
      <c r="H8066" s="787">
        <v>1</v>
      </c>
      <c r="L8066" s="787">
        <v>0</v>
      </c>
      <c r="M8066" s="787">
        <v>10</v>
      </c>
      <c r="N8066" s="787">
        <v>10.18</v>
      </c>
      <c r="O8066" s="788">
        <v>42146</v>
      </c>
    </row>
    <row r="8067" spans="1:15" x14ac:dyDescent="0.25">
      <c r="A8067" s="786" t="s">
        <v>14440</v>
      </c>
      <c r="B8067" s="787">
        <v>4</v>
      </c>
      <c r="C8067" s="787" t="s">
        <v>14441</v>
      </c>
      <c r="D8067" s="787">
        <v>0.14000000000000001</v>
      </c>
      <c r="E8067" s="787">
        <v>10.14</v>
      </c>
      <c r="F8067" s="788">
        <v>42082</v>
      </c>
      <c r="G8067" s="788">
        <v>42082</v>
      </c>
      <c r="H8067" s="787">
        <v>1</v>
      </c>
      <c r="I8067" s="788">
        <v>40693</v>
      </c>
      <c r="J8067" s="788">
        <v>42052</v>
      </c>
      <c r="K8067" s="788">
        <v>42019</v>
      </c>
      <c r="L8067" s="787">
        <v>2.89</v>
      </c>
      <c r="M8067" s="787">
        <v>10</v>
      </c>
      <c r="N8067" s="787">
        <v>6.4</v>
      </c>
      <c r="O8067" s="788">
        <v>42146</v>
      </c>
    </row>
    <row r="8068" spans="1:15" x14ac:dyDescent="0.25">
      <c r="A8068" s="786" t="s">
        <v>14442</v>
      </c>
      <c r="B8068" s="787">
        <v>4</v>
      </c>
      <c r="C8068" s="787" t="s">
        <v>14443</v>
      </c>
      <c r="D8068" s="787">
        <v>2.99</v>
      </c>
      <c r="E8068" s="787">
        <v>12.99</v>
      </c>
      <c r="F8068" s="788">
        <v>40486</v>
      </c>
      <c r="G8068" s="788">
        <v>42013</v>
      </c>
      <c r="H8068" s="787">
        <v>1</v>
      </c>
      <c r="I8068" s="788">
        <v>41927</v>
      </c>
      <c r="J8068" s="788">
        <v>41785</v>
      </c>
      <c r="K8068" s="788">
        <v>40465</v>
      </c>
      <c r="L8068" s="787">
        <v>12.99</v>
      </c>
      <c r="M8068" s="787">
        <v>10</v>
      </c>
      <c r="N8068" s="787">
        <v>8.33</v>
      </c>
      <c r="O8068" s="788">
        <v>42146</v>
      </c>
    </row>
    <row r="8069" spans="1:15" x14ac:dyDescent="0.25">
      <c r="A8069" s="786" t="s">
        <v>14444</v>
      </c>
      <c r="B8069" s="787">
        <v>4</v>
      </c>
      <c r="C8069" s="787" t="s">
        <v>14445</v>
      </c>
      <c r="D8069" s="787">
        <v>2.56</v>
      </c>
      <c r="E8069" s="787">
        <v>25.23</v>
      </c>
      <c r="F8069" s="788">
        <v>41278</v>
      </c>
      <c r="G8069" s="788">
        <v>42093</v>
      </c>
      <c r="H8069" s="787">
        <v>1</v>
      </c>
      <c r="I8069" s="788">
        <v>42051</v>
      </c>
      <c r="J8069" s="788">
        <v>42065</v>
      </c>
      <c r="K8069" s="788">
        <v>41719</v>
      </c>
      <c r="L8069" s="787">
        <v>2</v>
      </c>
      <c r="M8069" s="787">
        <v>10</v>
      </c>
      <c r="N8069" s="787">
        <v>4.37</v>
      </c>
      <c r="O8069" s="788">
        <v>42146</v>
      </c>
    </row>
    <row r="8070" spans="1:15" x14ac:dyDescent="0.25">
      <c r="A8070" s="786" t="s">
        <v>14446</v>
      </c>
      <c r="B8070" s="787">
        <v>4</v>
      </c>
      <c r="C8070" s="787" t="s">
        <v>14447</v>
      </c>
      <c r="D8070" s="787">
        <v>1.69</v>
      </c>
      <c r="E8070" s="787">
        <v>1.69</v>
      </c>
      <c r="F8070" s="788">
        <v>42093</v>
      </c>
      <c r="G8070" s="788">
        <v>42093</v>
      </c>
      <c r="H8070" s="787">
        <v>1</v>
      </c>
      <c r="I8070" s="788">
        <v>42051</v>
      </c>
      <c r="J8070" s="788">
        <v>42065</v>
      </c>
      <c r="K8070" s="788">
        <v>41719</v>
      </c>
      <c r="L8070" s="787">
        <v>2</v>
      </c>
      <c r="M8070" s="787">
        <v>10</v>
      </c>
      <c r="N8070" s="787">
        <v>4.37</v>
      </c>
      <c r="O8070" s="788">
        <v>42146</v>
      </c>
    </row>
    <row r="8071" spans="1:15" x14ac:dyDescent="0.25">
      <c r="A8071" s="786" t="s">
        <v>14448</v>
      </c>
      <c r="B8071" s="787">
        <v>4</v>
      </c>
      <c r="C8071" s="787" t="s">
        <v>14449</v>
      </c>
      <c r="D8071" s="787">
        <v>5.25</v>
      </c>
      <c r="E8071" s="787">
        <v>8.4</v>
      </c>
      <c r="F8071" s="788">
        <v>41278</v>
      </c>
      <c r="G8071" s="788">
        <v>41943</v>
      </c>
      <c r="H8071" s="787">
        <v>1</v>
      </c>
      <c r="I8071" s="788">
        <v>42051</v>
      </c>
      <c r="J8071" s="788">
        <v>41256</v>
      </c>
      <c r="K8071" s="788">
        <v>41719</v>
      </c>
      <c r="L8071" s="787">
        <v>4</v>
      </c>
      <c r="M8071" s="787">
        <v>10</v>
      </c>
      <c r="N8071" s="787">
        <v>3.57</v>
      </c>
      <c r="O8071" s="788">
        <v>42146</v>
      </c>
    </row>
    <row r="8072" spans="1:15" x14ac:dyDescent="0.25">
      <c r="A8072" s="786" t="s">
        <v>14450</v>
      </c>
      <c r="B8072" s="787">
        <v>4</v>
      </c>
      <c r="C8072" s="787" t="s">
        <v>14451</v>
      </c>
      <c r="D8072" s="787">
        <v>0.11</v>
      </c>
      <c r="E8072" s="787">
        <v>1.31</v>
      </c>
      <c r="F8072" s="788">
        <v>41775</v>
      </c>
      <c r="G8072" s="788">
        <v>42013</v>
      </c>
      <c r="H8072" s="787">
        <v>1</v>
      </c>
      <c r="I8072" s="788">
        <v>42051</v>
      </c>
      <c r="J8072" s="788">
        <v>42157</v>
      </c>
      <c r="K8072" s="788">
        <v>41722</v>
      </c>
      <c r="L8072" s="787">
        <v>1</v>
      </c>
      <c r="M8072" s="787">
        <v>10</v>
      </c>
      <c r="N8072" s="787">
        <v>1.41</v>
      </c>
      <c r="O8072" s="788">
        <v>42146</v>
      </c>
    </row>
    <row r="8073" spans="1:15" x14ac:dyDescent="0.25">
      <c r="A8073" s="786" t="s">
        <v>14452</v>
      </c>
      <c r="B8073" s="787">
        <v>4</v>
      </c>
      <c r="C8073" s="787" t="s">
        <v>14453</v>
      </c>
      <c r="D8073" s="787">
        <v>4.07</v>
      </c>
      <c r="E8073" s="787">
        <v>12.45</v>
      </c>
      <c r="F8073" s="788">
        <v>41335</v>
      </c>
      <c r="G8073" s="788">
        <v>42013</v>
      </c>
      <c r="H8073" s="787">
        <v>1</v>
      </c>
      <c r="J8073" s="788">
        <v>41731</v>
      </c>
      <c r="K8073" s="788">
        <v>41715</v>
      </c>
      <c r="L8073" s="787">
        <v>5.29</v>
      </c>
      <c r="M8073" s="787">
        <v>10</v>
      </c>
      <c r="N8073" s="787">
        <v>5.26</v>
      </c>
      <c r="O8073" s="788">
        <v>42146</v>
      </c>
    </row>
    <row r="8074" spans="1:15" x14ac:dyDescent="0.25">
      <c r="A8074" s="786" t="s">
        <v>14454</v>
      </c>
      <c r="B8074" s="787">
        <v>4</v>
      </c>
      <c r="C8074" s="787" t="s">
        <v>14455</v>
      </c>
      <c r="D8074" s="787">
        <v>0.26</v>
      </c>
      <c r="E8074" s="787">
        <v>0.42</v>
      </c>
      <c r="F8074" s="788">
        <v>41369</v>
      </c>
      <c r="G8074" s="788">
        <v>42013</v>
      </c>
      <c r="H8074" s="787">
        <v>1</v>
      </c>
      <c r="I8074" s="788">
        <v>42051</v>
      </c>
      <c r="J8074" s="788">
        <v>41627</v>
      </c>
      <c r="K8074" s="788">
        <v>41722</v>
      </c>
      <c r="L8074" s="787">
        <v>0.5</v>
      </c>
      <c r="M8074" s="787">
        <v>10</v>
      </c>
      <c r="N8074" s="787">
        <v>0.38</v>
      </c>
      <c r="O8074" s="788">
        <v>42146</v>
      </c>
    </row>
    <row r="8075" spans="1:15" x14ac:dyDescent="0.25">
      <c r="A8075" s="786" t="s">
        <v>14456</v>
      </c>
      <c r="B8075" s="787">
        <v>4</v>
      </c>
      <c r="C8075" s="787" t="s">
        <v>14457</v>
      </c>
      <c r="D8075" s="787">
        <v>0</v>
      </c>
      <c r="E8075" s="787">
        <v>0</v>
      </c>
      <c r="H8075" s="787">
        <v>1</v>
      </c>
      <c r="L8075" s="787">
        <v>0</v>
      </c>
      <c r="M8075" s="787">
        <v>10</v>
      </c>
      <c r="N8075" s="787">
        <v>1.99</v>
      </c>
      <c r="O8075" s="788">
        <v>42146</v>
      </c>
    </row>
    <row r="8076" spans="1:15" x14ac:dyDescent="0.25">
      <c r="A8076" s="786" t="s">
        <v>14458</v>
      </c>
      <c r="B8076" s="787">
        <v>4</v>
      </c>
      <c r="C8076" s="787" t="s">
        <v>14459</v>
      </c>
      <c r="D8076" s="787">
        <v>0</v>
      </c>
      <c r="E8076" s="787">
        <v>0</v>
      </c>
      <c r="H8076" s="787">
        <v>1</v>
      </c>
      <c r="I8076" s="788">
        <v>41530</v>
      </c>
      <c r="L8076" s="787">
        <v>0</v>
      </c>
      <c r="M8076" s="787">
        <v>10</v>
      </c>
      <c r="N8076" s="787">
        <v>6.68</v>
      </c>
      <c r="O8076" s="788">
        <v>42146</v>
      </c>
    </row>
    <row r="8077" spans="1:15" x14ac:dyDescent="0.25">
      <c r="A8077" s="786" t="s">
        <v>14460</v>
      </c>
      <c r="B8077" s="787">
        <v>4</v>
      </c>
      <c r="C8077" s="787" t="s">
        <v>14461</v>
      </c>
      <c r="D8077" s="787">
        <v>0</v>
      </c>
      <c r="E8077" s="787">
        <v>0</v>
      </c>
      <c r="H8077" s="787">
        <v>1</v>
      </c>
      <c r="L8077" s="787">
        <v>0</v>
      </c>
      <c r="M8077" s="787">
        <v>10</v>
      </c>
      <c r="N8077" s="787">
        <v>6.68</v>
      </c>
      <c r="O8077" s="788">
        <v>42146</v>
      </c>
    </row>
    <row r="8078" spans="1:15" x14ac:dyDescent="0.25">
      <c r="A8078" s="786" t="s">
        <v>14462</v>
      </c>
      <c r="B8078" s="787">
        <v>4</v>
      </c>
      <c r="C8078" s="787" t="s">
        <v>14463</v>
      </c>
      <c r="D8078" s="787">
        <v>0</v>
      </c>
      <c r="E8078" s="787">
        <v>0</v>
      </c>
      <c r="H8078" s="787">
        <v>1</v>
      </c>
      <c r="L8078" s="787">
        <v>0</v>
      </c>
      <c r="M8078" s="787">
        <v>10</v>
      </c>
      <c r="N8078" s="787">
        <v>6.68</v>
      </c>
      <c r="O8078" s="788">
        <v>42146</v>
      </c>
    </row>
    <row r="8079" spans="1:15" x14ac:dyDescent="0.25">
      <c r="A8079" s="786" t="s">
        <v>14464</v>
      </c>
      <c r="B8079" s="787">
        <v>4</v>
      </c>
      <c r="C8079" s="787" t="s">
        <v>14465</v>
      </c>
      <c r="D8079" s="787">
        <v>4.95</v>
      </c>
      <c r="E8079" s="787">
        <v>14.95</v>
      </c>
      <c r="F8079" s="788">
        <v>40499</v>
      </c>
      <c r="G8079" s="788">
        <v>40499</v>
      </c>
      <c r="H8079" s="787">
        <v>1</v>
      </c>
      <c r="I8079" s="788">
        <v>42054</v>
      </c>
      <c r="J8079" s="788">
        <v>41806</v>
      </c>
      <c r="K8079" s="788">
        <v>41642</v>
      </c>
      <c r="L8079" s="787">
        <v>15</v>
      </c>
      <c r="M8079" s="787">
        <v>20</v>
      </c>
      <c r="N8079" s="787">
        <v>16.13</v>
      </c>
      <c r="O8079" s="788">
        <v>42146</v>
      </c>
    </row>
    <row r="8080" spans="1:15" x14ac:dyDescent="0.25">
      <c r="A8080" s="786" t="s">
        <v>14466</v>
      </c>
      <c r="B8080" s="787">
        <v>4</v>
      </c>
      <c r="C8080" s="787" t="s">
        <v>14467</v>
      </c>
      <c r="D8080" s="787">
        <v>0.24</v>
      </c>
      <c r="E8080" s="787">
        <v>0.24</v>
      </c>
      <c r="F8080" s="788">
        <v>41135</v>
      </c>
      <c r="G8080" s="788">
        <v>41943</v>
      </c>
      <c r="H8080" s="787">
        <v>1</v>
      </c>
      <c r="I8080" s="788">
        <v>42054</v>
      </c>
      <c r="J8080" s="788">
        <v>42047</v>
      </c>
      <c r="K8080" s="788">
        <v>42046</v>
      </c>
      <c r="L8080" s="787">
        <v>0.56999999999999995</v>
      </c>
      <c r="M8080" s="787">
        <v>10</v>
      </c>
      <c r="N8080" s="787">
        <v>0.56999999999999995</v>
      </c>
      <c r="O8080" s="788">
        <v>42146</v>
      </c>
    </row>
    <row r="8081" spans="1:15" x14ac:dyDescent="0.25">
      <c r="A8081" s="786" t="s">
        <v>14468</v>
      </c>
      <c r="B8081" s="787">
        <v>4</v>
      </c>
      <c r="C8081" s="787" t="s">
        <v>14469</v>
      </c>
      <c r="D8081" s="787">
        <v>0.18</v>
      </c>
      <c r="E8081" s="787">
        <v>0.33</v>
      </c>
      <c r="F8081" s="788">
        <v>40792</v>
      </c>
      <c r="G8081" s="788">
        <v>42013</v>
      </c>
      <c r="H8081" s="787">
        <v>1</v>
      </c>
      <c r="I8081" s="788">
        <v>42052</v>
      </c>
      <c r="J8081" s="788">
        <v>41498</v>
      </c>
      <c r="K8081" s="788">
        <v>41282</v>
      </c>
      <c r="L8081" s="787">
        <v>0.32</v>
      </c>
      <c r="M8081" s="787">
        <v>20</v>
      </c>
      <c r="N8081" s="787">
        <v>0.34</v>
      </c>
      <c r="O8081" s="788">
        <v>42146</v>
      </c>
    </row>
    <row r="8082" spans="1:15" x14ac:dyDescent="0.25">
      <c r="A8082" s="786" t="s">
        <v>14470</v>
      </c>
      <c r="B8082" s="787">
        <v>4</v>
      </c>
      <c r="C8082" s="787" t="s">
        <v>14471</v>
      </c>
      <c r="D8082" s="787">
        <v>0</v>
      </c>
      <c r="E8082" s="787">
        <v>0</v>
      </c>
      <c r="H8082" s="787">
        <v>1</v>
      </c>
      <c r="I8082" s="788">
        <v>42053</v>
      </c>
      <c r="L8082" s="787">
        <v>0</v>
      </c>
      <c r="M8082" s="787">
        <v>10</v>
      </c>
      <c r="N8082" s="787">
        <v>5.56</v>
      </c>
      <c r="O8082" s="788">
        <v>42146</v>
      </c>
    </row>
    <row r="8083" spans="1:15" x14ac:dyDescent="0.25">
      <c r="A8083" s="786" t="s">
        <v>14472</v>
      </c>
      <c r="B8083" s="787">
        <v>4</v>
      </c>
      <c r="C8083" s="787" t="s">
        <v>14473</v>
      </c>
      <c r="D8083" s="787">
        <v>0</v>
      </c>
      <c r="E8083" s="787">
        <v>0</v>
      </c>
      <c r="H8083" s="787">
        <v>1</v>
      </c>
      <c r="L8083" s="787">
        <v>0</v>
      </c>
      <c r="M8083" s="787">
        <v>10</v>
      </c>
      <c r="N8083" s="787">
        <v>5.56</v>
      </c>
      <c r="O8083" s="788">
        <v>42146</v>
      </c>
    </row>
    <row r="8084" spans="1:15" x14ac:dyDescent="0.25">
      <c r="A8084" s="786" t="s">
        <v>14474</v>
      </c>
      <c r="B8084" s="787">
        <v>4</v>
      </c>
      <c r="C8084" s="787" t="s">
        <v>14475</v>
      </c>
      <c r="D8084" s="787">
        <v>0</v>
      </c>
      <c r="E8084" s="787">
        <v>0</v>
      </c>
      <c r="H8084" s="787">
        <v>1</v>
      </c>
      <c r="I8084" s="788">
        <v>41340</v>
      </c>
      <c r="L8084" s="787">
        <v>0</v>
      </c>
      <c r="M8084" s="787">
        <v>10</v>
      </c>
      <c r="N8084" s="787">
        <v>3.77</v>
      </c>
      <c r="O8084" s="788">
        <v>42146</v>
      </c>
    </row>
    <row r="8085" spans="1:15" x14ac:dyDescent="0.25">
      <c r="A8085" s="786" t="s">
        <v>14476</v>
      </c>
      <c r="B8085" s="787">
        <v>4</v>
      </c>
      <c r="C8085" s="787" t="s">
        <v>14477</v>
      </c>
      <c r="D8085" s="787">
        <v>0</v>
      </c>
      <c r="E8085" s="787">
        <v>0</v>
      </c>
      <c r="H8085" s="787">
        <v>1</v>
      </c>
      <c r="I8085" s="788">
        <v>41340</v>
      </c>
      <c r="L8085" s="787">
        <v>0</v>
      </c>
      <c r="M8085" s="787">
        <v>10</v>
      </c>
      <c r="N8085" s="787">
        <v>3.77</v>
      </c>
      <c r="O8085" s="788">
        <v>42146</v>
      </c>
    </row>
    <row r="8086" spans="1:15" x14ac:dyDescent="0.25">
      <c r="A8086" s="786" t="s">
        <v>14478</v>
      </c>
      <c r="B8086" s="787">
        <v>4</v>
      </c>
      <c r="C8086" s="787" t="s">
        <v>14479</v>
      </c>
      <c r="D8086" s="787">
        <v>0</v>
      </c>
      <c r="E8086" s="787">
        <v>0</v>
      </c>
      <c r="H8086" s="787">
        <v>1</v>
      </c>
      <c r="I8086" s="788">
        <v>41340</v>
      </c>
      <c r="L8086" s="787">
        <v>0</v>
      </c>
      <c r="M8086" s="787">
        <v>10</v>
      </c>
      <c r="N8086" s="787">
        <v>1.93</v>
      </c>
      <c r="O8086" s="788">
        <v>42146</v>
      </c>
    </row>
    <row r="8087" spans="1:15" x14ac:dyDescent="0.25">
      <c r="A8087" s="786" t="s">
        <v>14480</v>
      </c>
      <c r="B8087" s="787">
        <v>4</v>
      </c>
      <c r="C8087" s="787" t="s">
        <v>14481</v>
      </c>
      <c r="D8087" s="787">
        <v>2.0699999999999998</v>
      </c>
      <c r="E8087" s="787">
        <v>5.01</v>
      </c>
      <c r="F8087" s="788">
        <v>40827</v>
      </c>
      <c r="G8087" s="788">
        <v>42013</v>
      </c>
      <c r="H8087" s="787">
        <v>1</v>
      </c>
      <c r="I8087" s="788">
        <v>42051</v>
      </c>
      <c r="J8087" s="788">
        <v>41900</v>
      </c>
      <c r="K8087" s="788">
        <v>41722</v>
      </c>
      <c r="L8087" s="787">
        <v>2</v>
      </c>
      <c r="M8087" s="787">
        <v>10</v>
      </c>
      <c r="N8087" s="787">
        <v>2.44</v>
      </c>
      <c r="O8087" s="788">
        <v>42146</v>
      </c>
    </row>
    <row r="8088" spans="1:15" x14ac:dyDescent="0.25">
      <c r="A8088" s="786" t="s">
        <v>14482</v>
      </c>
      <c r="B8088" s="787">
        <v>4</v>
      </c>
      <c r="C8088" s="787" t="s">
        <v>14483</v>
      </c>
      <c r="D8088" s="787">
        <v>0</v>
      </c>
      <c r="E8088" s="787">
        <v>0</v>
      </c>
      <c r="H8088" s="787">
        <v>1</v>
      </c>
      <c r="L8088" s="787">
        <v>0</v>
      </c>
      <c r="M8088" s="787">
        <v>10</v>
      </c>
      <c r="N8088" s="787">
        <v>1.45</v>
      </c>
      <c r="O8088" s="788">
        <v>42146</v>
      </c>
    </row>
    <row r="8089" spans="1:15" x14ac:dyDescent="0.25">
      <c r="A8089" s="786" t="s">
        <v>14484</v>
      </c>
      <c r="B8089" s="787">
        <v>4</v>
      </c>
      <c r="C8089" s="787" t="s">
        <v>14485</v>
      </c>
      <c r="D8089" s="787">
        <v>1.86</v>
      </c>
      <c r="E8089" s="787">
        <v>1.86</v>
      </c>
      <c r="F8089" s="788">
        <v>41335</v>
      </c>
      <c r="G8089" s="788">
        <v>41943</v>
      </c>
      <c r="H8089" s="787">
        <v>1</v>
      </c>
      <c r="I8089" s="788">
        <v>42051</v>
      </c>
      <c r="J8089" s="788">
        <v>41302</v>
      </c>
      <c r="K8089" s="788">
        <v>41722</v>
      </c>
      <c r="L8089" s="787">
        <v>2</v>
      </c>
      <c r="M8089" s="787">
        <v>10</v>
      </c>
      <c r="N8089" s="787">
        <v>1.78</v>
      </c>
      <c r="O8089" s="788">
        <v>42146</v>
      </c>
    </row>
    <row r="8090" spans="1:15" x14ac:dyDescent="0.25">
      <c r="A8090" s="786" t="s">
        <v>14486</v>
      </c>
      <c r="B8090" s="787">
        <v>4</v>
      </c>
      <c r="C8090" s="787" t="s">
        <v>14487</v>
      </c>
      <c r="D8090" s="787">
        <v>1.07</v>
      </c>
      <c r="E8090" s="787">
        <v>1.07</v>
      </c>
      <c r="F8090" s="788">
        <v>40514</v>
      </c>
      <c r="G8090" s="788">
        <v>41943</v>
      </c>
      <c r="H8090" s="787">
        <v>1</v>
      </c>
      <c r="I8090" s="788">
        <v>40640</v>
      </c>
      <c r="J8090" s="788">
        <v>40539</v>
      </c>
      <c r="K8090" s="788">
        <v>42046</v>
      </c>
      <c r="L8090" s="787">
        <v>1.03</v>
      </c>
      <c r="M8090" s="787">
        <v>10</v>
      </c>
      <c r="N8090" s="787">
        <v>21.09</v>
      </c>
      <c r="O8090" s="788">
        <v>42146</v>
      </c>
    </row>
    <row r="8091" spans="1:15" x14ac:dyDescent="0.25">
      <c r="A8091" s="786" t="s">
        <v>14488</v>
      </c>
      <c r="B8091" s="787">
        <v>4</v>
      </c>
      <c r="C8091" s="787" t="s">
        <v>14489</v>
      </c>
      <c r="D8091" s="787">
        <v>1.1399999999999999</v>
      </c>
      <c r="E8091" s="787">
        <v>1.1399999999999999</v>
      </c>
      <c r="F8091" s="788">
        <v>40514</v>
      </c>
      <c r="G8091" s="788">
        <v>41255</v>
      </c>
      <c r="H8091" s="787">
        <v>1</v>
      </c>
      <c r="I8091" s="788">
        <v>40640</v>
      </c>
      <c r="J8091" s="788">
        <v>40539</v>
      </c>
      <c r="L8091" s="787">
        <v>0</v>
      </c>
      <c r="M8091" s="787">
        <v>10</v>
      </c>
      <c r="N8091" s="787">
        <v>1.0900000000000001</v>
      </c>
      <c r="O8091" s="788">
        <v>42146</v>
      </c>
    </row>
    <row r="8092" spans="1:15" x14ac:dyDescent="0.25">
      <c r="A8092" s="786" t="s">
        <v>14490</v>
      </c>
      <c r="B8092" s="787">
        <v>4</v>
      </c>
      <c r="C8092" s="787" t="s">
        <v>14491</v>
      </c>
      <c r="D8092" s="787">
        <v>0.91</v>
      </c>
      <c r="E8092" s="787">
        <v>0.91</v>
      </c>
      <c r="F8092" s="788">
        <v>40514</v>
      </c>
      <c r="G8092" s="788">
        <v>41565</v>
      </c>
      <c r="H8092" s="787">
        <v>1</v>
      </c>
      <c r="I8092" s="788">
        <v>40640</v>
      </c>
      <c r="J8092" s="788">
        <v>40539</v>
      </c>
      <c r="K8092" s="788">
        <v>42046</v>
      </c>
      <c r="L8092" s="787">
        <v>89</v>
      </c>
      <c r="M8092" s="787">
        <v>10</v>
      </c>
      <c r="N8092" s="787">
        <v>20.95</v>
      </c>
      <c r="O8092" s="788">
        <v>42146</v>
      </c>
    </row>
    <row r="8093" spans="1:15" x14ac:dyDescent="0.25">
      <c r="A8093" s="786" t="s">
        <v>14492</v>
      </c>
      <c r="B8093" s="787">
        <v>4</v>
      </c>
      <c r="C8093" s="787" t="s">
        <v>14493</v>
      </c>
      <c r="D8093" s="787">
        <v>0.79</v>
      </c>
      <c r="E8093" s="787">
        <v>3.77</v>
      </c>
      <c r="F8093" s="788">
        <v>40827</v>
      </c>
      <c r="G8093" s="788">
        <v>42013</v>
      </c>
      <c r="H8093" s="787">
        <v>1</v>
      </c>
      <c r="I8093" s="788">
        <v>41702</v>
      </c>
      <c r="J8093" s="788">
        <v>41869</v>
      </c>
      <c r="K8093" s="788">
        <v>41864</v>
      </c>
      <c r="L8093" s="787">
        <v>1.98</v>
      </c>
      <c r="M8093" s="787">
        <v>10</v>
      </c>
      <c r="N8093" s="787">
        <v>3.08</v>
      </c>
      <c r="O8093" s="788">
        <v>42146</v>
      </c>
    </row>
    <row r="8094" spans="1:15" x14ac:dyDescent="0.25">
      <c r="A8094" s="786" t="s">
        <v>14494</v>
      </c>
      <c r="B8094" s="787">
        <v>4</v>
      </c>
      <c r="C8094" s="787" t="s">
        <v>14495</v>
      </c>
      <c r="D8094" s="787">
        <v>0</v>
      </c>
      <c r="E8094" s="787">
        <v>0</v>
      </c>
      <c r="H8094" s="787">
        <v>1</v>
      </c>
      <c r="L8094" s="787">
        <v>0</v>
      </c>
      <c r="M8094" s="787">
        <v>10</v>
      </c>
      <c r="N8094" s="787">
        <v>1.3</v>
      </c>
      <c r="O8094" s="788">
        <v>42146</v>
      </c>
    </row>
    <row r="8095" spans="1:15" x14ac:dyDescent="0.25">
      <c r="A8095" s="786" t="s">
        <v>14496</v>
      </c>
      <c r="B8095" s="787">
        <v>4</v>
      </c>
      <c r="C8095" s="787" t="s">
        <v>14497</v>
      </c>
      <c r="D8095" s="787">
        <v>0</v>
      </c>
      <c r="E8095" s="787">
        <v>0</v>
      </c>
      <c r="H8095" s="787">
        <v>1</v>
      </c>
      <c r="I8095" s="788">
        <v>41340</v>
      </c>
      <c r="L8095" s="787">
        <v>0</v>
      </c>
      <c r="M8095" s="787">
        <v>10</v>
      </c>
      <c r="N8095" s="787">
        <v>3.75</v>
      </c>
      <c r="O8095" s="788">
        <v>42146</v>
      </c>
    </row>
    <row r="8096" spans="1:15" x14ac:dyDescent="0.25">
      <c r="A8096" s="786" t="s">
        <v>14498</v>
      </c>
      <c r="B8096" s="787">
        <v>4</v>
      </c>
      <c r="C8096" s="787" t="s">
        <v>14499</v>
      </c>
      <c r="D8096" s="787">
        <v>0</v>
      </c>
      <c r="E8096" s="787">
        <v>0</v>
      </c>
      <c r="H8096" s="787">
        <v>1</v>
      </c>
      <c r="I8096" s="788">
        <v>41340</v>
      </c>
      <c r="L8096" s="787">
        <v>0</v>
      </c>
      <c r="M8096" s="787">
        <v>10</v>
      </c>
      <c r="N8096" s="787">
        <v>3.75</v>
      </c>
      <c r="O8096" s="788">
        <v>42146</v>
      </c>
    </row>
    <row r="8097" spans="1:15" x14ac:dyDescent="0.25">
      <c r="A8097" s="786" t="s">
        <v>14500</v>
      </c>
      <c r="B8097" s="787">
        <v>4</v>
      </c>
      <c r="C8097" s="787" t="s">
        <v>14501</v>
      </c>
      <c r="D8097" s="787">
        <v>0</v>
      </c>
      <c r="E8097" s="787">
        <v>0</v>
      </c>
      <c r="H8097" s="787">
        <v>1</v>
      </c>
      <c r="I8097" s="788">
        <v>41340</v>
      </c>
      <c r="L8097" s="787">
        <v>0</v>
      </c>
      <c r="M8097" s="787">
        <v>10</v>
      </c>
      <c r="N8097" s="787">
        <v>3.75</v>
      </c>
      <c r="O8097" s="788">
        <v>42146</v>
      </c>
    </row>
    <row r="8098" spans="1:15" x14ac:dyDescent="0.25">
      <c r="A8098" s="786" t="s">
        <v>14502</v>
      </c>
      <c r="B8098" s="787">
        <v>4</v>
      </c>
      <c r="C8098" s="787" t="s">
        <v>14503</v>
      </c>
      <c r="D8098" s="787">
        <v>0</v>
      </c>
      <c r="E8098" s="787">
        <v>0</v>
      </c>
      <c r="H8098" s="787">
        <v>1</v>
      </c>
      <c r="L8098" s="787">
        <v>0</v>
      </c>
      <c r="M8098" s="787">
        <v>10</v>
      </c>
      <c r="N8098" s="787">
        <v>3.75</v>
      </c>
      <c r="O8098" s="788">
        <v>42146</v>
      </c>
    </row>
    <row r="8099" spans="1:15" x14ac:dyDescent="0.25">
      <c r="A8099" s="786" t="s">
        <v>14504</v>
      </c>
      <c r="B8099" s="787">
        <v>4</v>
      </c>
      <c r="C8099" s="787" t="s">
        <v>14505</v>
      </c>
      <c r="D8099" s="787">
        <v>0</v>
      </c>
      <c r="E8099" s="787">
        <v>0</v>
      </c>
      <c r="H8099" s="787">
        <v>1</v>
      </c>
      <c r="I8099" s="788">
        <v>41340</v>
      </c>
      <c r="L8099" s="787">
        <v>0</v>
      </c>
      <c r="M8099" s="787">
        <v>10</v>
      </c>
      <c r="N8099" s="787">
        <v>3.75</v>
      </c>
      <c r="O8099" s="788">
        <v>42146</v>
      </c>
    </row>
    <row r="8100" spans="1:15" x14ac:dyDescent="0.25">
      <c r="A8100" s="786" t="s">
        <v>14506</v>
      </c>
      <c r="B8100" s="787">
        <v>4</v>
      </c>
      <c r="C8100" s="787" t="s">
        <v>14507</v>
      </c>
      <c r="D8100" s="787">
        <v>0</v>
      </c>
      <c r="E8100" s="787">
        <v>0</v>
      </c>
      <c r="H8100" s="787">
        <v>1</v>
      </c>
      <c r="I8100" s="788">
        <v>41340</v>
      </c>
      <c r="L8100" s="787">
        <v>0</v>
      </c>
      <c r="M8100" s="787">
        <v>10</v>
      </c>
      <c r="N8100" s="787">
        <v>3.75</v>
      </c>
      <c r="O8100" s="788">
        <v>42146</v>
      </c>
    </row>
    <row r="8101" spans="1:15" x14ac:dyDescent="0.25">
      <c r="A8101" s="786" t="s">
        <v>14508</v>
      </c>
      <c r="B8101" s="787">
        <v>4</v>
      </c>
      <c r="C8101" s="787" t="s">
        <v>14509</v>
      </c>
      <c r="D8101" s="787">
        <v>0</v>
      </c>
      <c r="E8101" s="787">
        <v>0</v>
      </c>
      <c r="H8101" s="787">
        <v>1</v>
      </c>
      <c r="I8101" s="788">
        <v>41340</v>
      </c>
      <c r="L8101" s="787">
        <v>0</v>
      </c>
      <c r="M8101" s="787">
        <v>10</v>
      </c>
      <c r="N8101" s="787">
        <v>3.75</v>
      </c>
      <c r="O8101" s="788">
        <v>42146</v>
      </c>
    </row>
    <row r="8102" spans="1:15" x14ac:dyDescent="0.25">
      <c r="A8102" s="786" t="s">
        <v>14510</v>
      </c>
      <c r="B8102" s="787">
        <v>4</v>
      </c>
      <c r="C8102" s="787" t="s">
        <v>14511</v>
      </c>
      <c r="D8102" s="787">
        <v>0</v>
      </c>
      <c r="E8102" s="787">
        <v>0</v>
      </c>
      <c r="H8102" s="787">
        <v>1</v>
      </c>
      <c r="L8102" s="787">
        <v>0</v>
      </c>
      <c r="M8102" s="787">
        <v>10</v>
      </c>
      <c r="N8102" s="787">
        <v>3.75</v>
      </c>
      <c r="O8102" s="788">
        <v>42146</v>
      </c>
    </row>
    <row r="8103" spans="1:15" x14ac:dyDescent="0.25">
      <c r="A8103" s="786" t="s">
        <v>14512</v>
      </c>
      <c r="B8103" s="787">
        <v>4</v>
      </c>
      <c r="C8103" s="787" t="s">
        <v>14513</v>
      </c>
      <c r="D8103" s="787">
        <v>0</v>
      </c>
      <c r="E8103" s="787">
        <v>0</v>
      </c>
      <c r="H8103" s="787">
        <v>1</v>
      </c>
      <c r="L8103" s="787">
        <v>0</v>
      </c>
      <c r="M8103" s="787">
        <v>10</v>
      </c>
      <c r="N8103" s="787">
        <v>4.51</v>
      </c>
      <c r="O8103" s="788">
        <v>42146</v>
      </c>
    </row>
    <row r="8104" spans="1:15" x14ac:dyDescent="0.25">
      <c r="A8104" s="786" t="s">
        <v>14514</v>
      </c>
      <c r="B8104" s="787">
        <v>4</v>
      </c>
      <c r="C8104" s="787" t="s">
        <v>14515</v>
      </c>
      <c r="D8104" s="787">
        <v>0</v>
      </c>
      <c r="E8104" s="787">
        <v>0</v>
      </c>
      <c r="H8104" s="787">
        <v>1</v>
      </c>
      <c r="L8104" s="787">
        <v>0</v>
      </c>
      <c r="M8104" s="787">
        <v>10</v>
      </c>
      <c r="N8104" s="787">
        <v>4.51</v>
      </c>
      <c r="O8104" s="788">
        <v>42146</v>
      </c>
    </row>
    <row r="8105" spans="1:15" x14ac:dyDescent="0.25">
      <c r="A8105" s="786" t="s">
        <v>14516</v>
      </c>
      <c r="B8105" s="787">
        <v>4</v>
      </c>
      <c r="C8105" s="787" t="s">
        <v>14513</v>
      </c>
      <c r="D8105" s="787">
        <v>0</v>
      </c>
      <c r="E8105" s="787">
        <v>0</v>
      </c>
      <c r="H8105" s="787">
        <v>1</v>
      </c>
      <c r="L8105" s="787">
        <v>0</v>
      </c>
      <c r="M8105" s="787">
        <v>10</v>
      </c>
      <c r="N8105" s="787">
        <v>4.51</v>
      </c>
      <c r="O8105" s="788">
        <v>42146</v>
      </c>
    </row>
    <row r="8106" spans="1:15" x14ac:dyDescent="0.25">
      <c r="A8106" s="786" t="s">
        <v>14517</v>
      </c>
      <c r="B8106" s="787">
        <v>4</v>
      </c>
      <c r="C8106" s="787" t="s">
        <v>14513</v>
      </c>
      <c r="D8106" s="787">
        <v>0</v>
      </c>
      <c r="E8106" s="787">
        <v>0</v>
      </c>
      <c r="H8106" s="787">
        <v>1</v>
      </c>
      <c r="L8106" s="787">
        <v>0</v>
      </c>
      <c r="M8106" s="787">
        <v>10</v>
      </c>
      <c r="N8106" s="787">
        <v>4.51</v>
      </c>
      <c r="O8106" s="788">
        <v>42146</v>
      </c>
    </row>
    <row r="8107" spans="1:15" x14ac:dyDescent="0.25">
      <c r="A8107" s="786" t="s">
        <v>14518</v>
      </c>
      <c r="B8107" s="787">
        <v>4</v>
      </c>
      <c r="C8107" s="787" t="s">
        <v>14519</v>
      </c>
      <c r="D8107" s="787">
        <v>6.8</v>
      </c>
      <c r="E8107" s="787">
        <v>16.8</v>
      </c>
      <c r="F8107" s="788">
        <v>40948</v>
      </c>
      <c r="G8107" s="788">
        <v>40948</v>
      </c>
      <c r="H8107" s="787">
        <v>1</v>
      </c>
      <c r="J8107" s="788">
        <v>40939</v>
      </c>
      <c r="K8107" s="788">
        <v>40948</v>
      </c>
      <c r="L8107" s="787">
        <v>16.8</v>
      </c>
      <c r="M8107" s="787">
        <v>20</v>
      </c>
      <c r="N8107" s="787">
        <v>18.059999999999999</v>
      </c>
      <c r="O8107" s="788">
        <v>42146</v>
      </c>
    </row>
    <row r="8108" spans="1:15" x14ac:dyDescent="0.25">
      <c r="A8108" s="786" t="s">
        <v>14520</v>
      </c>
      <c r="B8108" s="787">
        <v>4</v>
      </c>
      <c r="C8108" s="787" t="s">
        <v>14521</v>
      </c>
      <c r="D8108" s="787">
        <v>9.3800000000000008</v>
      </c>
      <c r="E8108" s="787">
        <v>9.3800000000000008</v>
      </c>
      <c r="F8108" s="788">
        <v>40948</v>
      </c>
      <c r="G8108" s="788">
        <v>40948</v>
      </c>
      <c r="H8108" s="787">
        <v>1</v>
      </c>
      <c r="J8108" s="788">
        <v>40939</v>
      </c>
      <c r="K8108" s="788">
        <v>40948</v>
      </c>
      <c r="L8108" s="787">
        <v>9.3800000000000008</v>
      </c>
      <c r="M8108" s="787">
        <v>20</v>
      </c>
      <c r="N8108" s="787">
        <v>10.08</v>
      </c>
      <c r="O8108" s="788">
        <v>42146</v>
      </c>
    </row>
    <row r="8109" spans="1:15" x14ac:dyDescent="0.25">
      <c r="A8109" s="786" t="s">
        <v>14522</v>
      </c>
      <c r="B8109" s="787">
        <v>4</v>
      </c>
      <c r="C8109" s="787" t="s">
        <v>14523</v>
      </c>
      <c r="D8109" s="787">
        <v>0</v>
      </c>
      <c r="E8109" s="787">
        <v>0</v>
      </c>
      <c r="H8109" s="787">
        <v>1</v>
      </c>
      <c r="L8109" s="787">
        <v>0</v>
      </c>
      <c r="M8109" s="787">
        <v>10</v>
      </c>
      <c r="N8109" s="787">
        <v>6.87</v>
      </c>
      <c r="O8109" s="788">
        <v>42146</v>
      </c>
    </row>
    <row r="8110" spans="1:15" x14ac:dyDescent="0.25">
      <c r="A8110" s="786" t="s">
        <v>14524</v>
      </c>
      <c r="B8110" s="787">
        <v>4</v>
      </c>
      <c r="C8110" s="787" t="s">
        <v>14523</v>
      </c>
      <c r="D8110" s="787">
        <v>0</v>
      </c>
      <c r="E8110" s="787">
        <v>0</v>
      </c>
      <c r="H8110" s="787">
        <v>1</v>
      </c>
      <c r="I8110" s="788">
        <v>41425</v>
      </c>
      <c r="L8110" s="787">
        <v>0</v>
      </c>
      <c r="M8110" s="787">
        <v>10</v>
      </c>
      <c r="N8110" s="787">
        <v>6.87</v>
      </c>
      <c r="O8110" s="788">
        <v>42146</v>
      </c>
    </row>
    <row r="8111" spans="1:15" x14ac:dyDescent="0.25">
      <c r="A8111" s="786" t="s">
        <v>14525</v>
      </c>
      <c r="B8111" s="787">
        <v>4</v>
      </c>
      <c r="C8111" s="787" t="s">
        <v>14526</v>
      </c>
      <c r="D8111" s="787">
        <v>0</v>
      </c>
      <c r="E8111" s="787">
        <v>0</v>
      </c>
      <c r="H8111" s="787">
        <v>1</v>
      </c>
      <c r="L8111" s="787">
        <v>0</v>
      </c>
      <c r="M8111" s="787">
        <v>10</v>
      </c>
      <c r="N8111" s="787">
        <v>5.81</v>
      </c>
      <c r="O8111" s="788">
        <v>42146</v>
      </c>
    </row>
    <row r="8112" spans="1:15" x14ac:dyDescent="0.25">
      <c r="A8112" s="786" t="s">
        <v>14527</v>
      </c>
      <c r="B8112" s="787">
        <v>4</v>
      </c>
      <c r="C8112" s="787" t="s">
        <v>14526</v>
      </c>
      <c r="D8112" s="787">
        <v>0</v>
      </c>
      <c r="E8112" s="787">
        <v>0</v>
      </c>
      <c r="H8112" s="787">
        <v>1</v>
      </c>
      <c r="L8112" s="787">
        <v>0</v>
      </c>
      <c r="M8112" s="787">
        <v>10</v>
      </c>
      <c r="N8112" s="787">
        <v>5.81</v>
      </c>
      <c r="O8112" s="788">
        <v>42146</v>
      </c>
    </row>
    <row r="8113" spans="1:15" x14ac:dyDescent="0.25">
      <c r="A8113" s="786" t="s">
        <v>14528</v>
      </c>
      <c r="B8113" s="787">
        <v>4</v>
      </c>
      <c r="C8113" s="787" t="s">
        <v>14529</v>
      </c>
      <c r="D8113" s="787">
        <v>0</v>
      </c>
      <c r="E8113" s="787">
        <v>0</v>
      </c>
      <c r="H8113" s="787">
        <v>1</v>
      </c>
      <c r="L8113" s="787">
        <v>0</v>
      </c>
      <c r="M8113" s="787">
        <v>10</v>
      </c>
      <c r="N8113" s="787">
        <v>4.24</v>
      </c>
      <c r="O8113" s="788">
        <v>42146</v>
      </c>
    </row>
    <row r="8114" spans="1:15" x14ac:dyDescent="0.25">
      <c r="A8114" s="786" t="s">
        <v>14530</v>
      </c>
      <c r="B8114" s="787">
        <v>4</v>
      </c>
      <c r="C8114" s="787" t="s">
        <v>14531</v>
      </c>
      <c r="D8114" s="787">
        <v>0</v>
      </c>
      <c r="E8114" s="787">
        <v>0</v>
      </c>
      <c r="H8114" s="787">
        <v>1</v>
      </c>
      <c r="I8114" s="788">
        <v>41425</v>
      </c>
      <c r="L8114" s="787">
        <v>0</v>
      </c>
      <c r="M8114" s="787">
        <v>10</v>
      </c>
      <c r="N8114" s="787">
        <v>4.24</v>
      </c>
      <c r="O8114" s="788">
        <v>42146</v>
      </c>
    </row>
    <row r="8115" spans="1:15" x14ac:dyDescent="0.25">
      <c r="A8115" s="786" t="s">
        <v>14532</v>
      </c>
      <c r="B8115" s="787">
        <v>4</v>
      </c>
      <c r="C8115" s="787" t="s">
        <v>14533</v>
      </c>
      <c r="D8115" s="787">
        <v>0</v>
      </c>
      <c r="E8115" s="787">
        <v>0</v>
      </c>
      <c r="H8115" s="787">
        <v>1</v>
      </c>
      <c r="L8115" s="787">
        <v>0</v>
      </c>
      <c r="M8115" s="787">
        <v>10</v>
      </c>
      <c r="N8115" s="787">
        <v>4.24</v>
      </c>
      <c r="O8115" s="788">
        <v>42146</v>
      </c>
    </row>
    <row r="8116" spans="1:15" x14ac:dyDescent="0.25">
      <c r="A8116" s="786" t="s">
        <v>14534</v>
      </c>
      <c r="B8116" s="787">
        <v>4</v>
      </c>
      <c r="C8116" s="787" t="s">
        <v>14535</v>
      </c>
      <c r="D8116" s="787">
        <v>0</v>
      </c>
      <c r="E8116" s="787">
        <v>0</v>
      </c>
      <c r="H8116" s="787">
        <v>1</v>
      </c>
      <c r="I8116" s="788">
        <v>41425</v>
      </c>
      <c r="L8116" s="787">
        <v>0</v>
      </c>
      <c r="M8116" s="787">
        <v>10</v>
      </c>
      <c r="N8116" s="787">
        <v>4.24</v>
      </c>
      <c r="O8116" s="788">
        <v>42146</v>
      </c>
    </row>
    <row r="8117" spans="1:15" x14ac:dyDescent="0.25">
      <c r="A8117" s="786" t="s">
        <v>14536</v>
      </c>
      <c r="B8117" s="787">
        <v>4</v>
      </c>
      <c r="C8117" s="787" t="s">
        <v>14537</v>
      </c>
      <c r="D8117" s="787">
        <v>0</v>
      </c>
      <c r="E8117" s="787">
        <v>0</v>
      </c>
      <c r="H8117" s="787">
        <v>1</v>
      </c>
      <c r="L8117" s="787">
        <v>0</v>
      </c>
      <c r="M8117" s="787">
        <v>10</v>
      </c>
      <c r="N8117" s="787">
        <v>7.46</v>
      </c>
      <c r="O8117" s="788">
        <v>42146</v>
      </c>
    </row>
    <row r="8118" spans="1:15" x14ac:dyDescent="0.25">
      <c r="A8118" s="786" t="s">
        <v>14538</v>
      </c>
      <c r="B8118" s="787">
        <v>4</v>
      </c>
      <c r="C8118" s="787" t="s">
        <v>14539</v>
      </c>
      <c r="D8118" s="787">
        <v>0</v>
      </c>
      <c r="E8118" s="787">
        <v>0</v>
      </c>
      <c r="H8118" s="787">
        <v>1</v>
      </c>
      <c r="I8118" s="788">
        <v>41425</v>
      </c>
      <c r="L8118" s="787">
        <v>0</v>
      </c>
      <c r="M8118" s="787">
        <v>10</v>
      </c>
      <c r="N8118" s="787">
        <v>7.46</v>
      </c>
      <c r="O8118" s="788">
        <v>42146</v>
      </c>
    </row>
    <row r="8119" spans="1:15" x14ac:dyDescent="0.25">
      <c r="A8119" s="786" t="s">
        <v>14540</v>
      </c>
      <c r="B8119" s="787">
        <v>4</v>
      </c>
      <c r="C8119" s="787" t="s">
        <v>14541</v>
      </c>
      <c r="D8119" s="787">
        <v>0.37</v>
      </c>
      <c r="E8119" s="787">
        <v>0.49</v>
      </c>
      <c r="F8119" s="788">
        <v>41369</v>
      </c>
      <c r="G8119" s="788">
        <v>42142</v>
      </c>
      <c r="H8119" s="787">
        <v>1</v>
      </c>
      <c r="I8119" s="788">
        <v>42136</v>
      </c>
      <c r="J8119" s="788">
        <v>42109</v>
      </c>
      <c r="K8119" s="788">
        <v>41353</v>
      </c>
      <c r="L8119" s="787">
        <v>0.96</v>
      </c>
      <c r="M8119" s="787">
        <v>10</v>
      </c>
      <c r="N8119" s="787">
        <v>0.96</v>
      </c>
      <c r="O8119" s="788">
        <v>42146</v>
      </c>
    </row>
    <row r="8120" spans="1:15" x14ac:dyDescent="0.25">
      <c r="A8120" s="786" t="s">
        <v>14542</v>
      </c>
      <c r="B8120" s="787">
        <v>4</v>
      </c>
      <c r="C8120" s="787" t="s">
        <v>14543</v>
      </c>
      <c r="D8120" s="787">
        <v>0</v>
      </c>
      <c r="E8120" s="787">
        <v>0</v>
      </c>
      <c r="G8120" s="788">
        <v>40437</v>
      </c>
      <c r="H8120" s="787">
        <v>1</v>
      </c>
      <c r="J8120" s="788">
        <v>40437</v>
      </c>
      <c r="L8120" s="787">
        <v>0</v>
      </c>
      <c r="M8120" s="787">
        <v>10</v>
      </c>
      <c r="N8120" s="787">
        <v>4.33</v>
      </c>
      <c r="O8120" s="788">
        <v>42146</v>
      </c>
    </row>
    <row r="8121" spans="1:15" x14ac:dyDescent="0.25">
      <c r="A8121" s="786" t="s">
        <v>14544</v>
      </c>
      <c r="B8121" s="787">
        <v>4</v>
      </c>
      <c r="C8121" s="787" t="s">
        <v>14545</v>
      </c>
      <c r="D8121" s="787">
        <v>5.65</v>
      </c>
      <c r="E8121" s="787">
        <v>5.65</v>
      </c>
      <c r="F8121" s="788">
        <v>40659</v>
      </c>
      <c r="G8121" s="788">
        <v>40659</v>
      </c>
      <c r="H8121" s="787">
        <v>1</v>
      </c>
      <c r="J8121" s="788">
        <v>40654</v>
      </c>
      <c r="L8121" s="787">
        <v>0</v>
      </c>
      <c r="M8121" s="787">
        <v>10</v>
      </c>
      <c r="N8121" s="787">
        <v>3.82</v>
      </c>
      <c r="O8121" s="788">
        <v>42146</v>
      </c>
    </row>
    <row r="8122" spans="1:15" x14ac:dyDescent="0.25">
      <c r="A8122" s="786" t="s">
        <v>14546</v>
      </c>
      <c r="B8122" s="787">
        <v>4</v>
      </c>
      <c r="C8122" s="787" t="s">
        <v>14547</v>
      </c>
      <c r="D8122" s="787">
        <v>1.8</v>
      </c>
      <c r="E8122" s="787">
        <v>11.8</v>
      </c>
      <c r="F8122" s="788">
        <v>40665</v>
      </c>
      <c r="G8122" s="788">
        <v>40665</v>
      </c>
      <c r="H8122" s="787">
        <v>1</v>
      </c>
      <c r="J8122" s="788">
        <v>40665</v>
      </c>
      <c r="L8122" s="787">
        <v>11.8</v>
      </c>
      <c r="M8122" s="787">
        <v>20</v>
      </c>
      <c r="N8122" s="787">
        <v>12.69</v>
      </c>
      <c r="O8122" s="788">
        <v>42146</v>
      </c>
    </row>
    <row r="8123" spans="1:15" x14ac:dyDescent="0.25">
      <c r="A8123" s="786" t="s">
        <v>14548</v>
      </c>
      <c r="B8123" s="787">
        <v>4</v>
      </c>
      <c r="C8123" s="787" t="s">
        <v>13705</v>
      </c>
      <c r="D8123" s="787">
        <v>3.75</v>
      </c>
      <c r="E8123" s="787">
        <v>3.75</v>
      </c>
      <c r="F8123" s="788">
        <v>40659</v>
      </c>
      <c r="G8123" s="788">
        <v>40437</v>
      </c>
      <c r="H8123" s="787">
        <v>1</v>
      </c>
      <c r="J8123" s="788">
        <v>40654</v>
      </c>
      <c r="L8123" s="787">
        <v>0</v>
      </c>
      <c r="M8123" s="787">
        <v>10</v>
      </c>
      <c r="N8123" s="787">
        <v>1.38</v>
      </c>
      <c r="O8123" s="788">
        <v>42146</v>
      </c>
    </row>
    <row r="8124" spans="1:15" x14ac:dyDescent="0.25">
      <c r="A8124" s="786" t="s">
        <v>14549</v>
      </c>
      <c r="B8124" s="787">
        <v>4</v>
      </c>
      <c r="C8124" s="787" t="s">
        <v>14550</v>
      </c>
      <c r="D8124" s="787">
        <v>9.66</v>
      </c>
      <c r="E8124" s="787">
        <v>29.66</v>
      </c>
      <c r="F8124" s="788">
        <v>40659</v>
      </c>
      <c r="G8124" s="788">
        <v>40661</v>
      </c>
      <c r="H8124" s="787">
        <v>1</v>
      </c>
      <c r="J8124" s="788">
        <v>40661</v>
      </c>
      <c r="K8124" s="788">
        <v>40652</v>
      </c>
      <c r="L8124" s="787">
        <v>29.66</v>
      </c>
      <c r="M8124" s="787">
        <v>20</v>
      </c>
      <c r="N8124" s="787">
        <v>31.88</v>
      </c>
      <c r="O8124" s="788">
        <v>42146</v>
      </c>
    </row>
    <row r="8125" spans="1:15" x14ac:dyDescent="0.25">
      <c r="A8125" s="786" t="s">
        <v>14551</v>
      </c>
      <c r="B8125" s="787">
        <v>4</v>
      </c>
      <c r="C8125" s="787" t="s">
        <v>14552</v>
      </c>
      <c r="D8125" s="787">
        <v>1.76</v>
      </c>
      <c r="E8125" s="787">
        <v>106.14</v>
      </c>
      <c r="F8125" s="788">
        <v>40659</v>
      </c>
      <c r="G8125" s="788">
        <v>41565</v>
      </c>
      <c r="H8125" s="787">
        <v>1</v>
      </c>
      <c r="I8125" s="788">
        <v>41557</v>
      </c>
      <c r="J8125" s="788">
        <v>41381</v>
      </c>
      <c r="K8125" s="788">
        <v>42054</v>
      </c>
      <c r="L8125" s="787">
        <v>114.1</v>
      </c>
      <c r="M8125" s="787">
        <v>10</v>
      </c>
      <c r="N8125" s="787">
        <v>118.85</v>
      </c>
      <c r="O8125" s="788">
        <v>42163</v>
      </c>
    </row>
    <row r="8126" spans="1:15" x14ac:dyDescent="0.25">
      <c r="A8126" s="786" t="s">
        <v>14553</v>
      </c>
      <c r="B8126" s="787">
        <v>4</v>
      </c>
      <c r="C8126" s="787" t="s">
        <v>14554</v>
      </c>
      <c r="D8126" s="787">
        <v>6.98</v>
      </c>
      <c r="E8126" s="787">
        <v>115.35</v>
      </c>
      <c r="F8126" s="788">
        <v>41813</v>
      </c>
      <c r="G8126" s="788">
        <v>42128</v>
      </c>
      <c r="H8126" s="787">
        <v>1</v>
      </c>
      <c r="I8126" s="788">
        <v>42156</v>
      </c>
      <c r="J8126" s="788">
        <v>42102</v>
      </c>
      <c r="K8126" s="788">
        <v>41287</v>
      </c>
      <c r="L8126" s="787">
        <v>1</v>
      </c>
      <c r="M8126" s="787">
        <v>10</v>
      </c>
      <c r="N8126" s="787">
        <v>113.94</v>
      </c>
      <c r="O8126" s="788">
        <v>42163</v>
      </c>
    </row>
    <row r="8127" spans="1:15" x14ac:dyDescent="0.25">
      <c r="A8127" s="786" t="s">
        <v>14555</v>
      </c>
      <c r="B8127" s="787">
        <v>4</v>
      </c>
      <c r="C8127" s="787" t="s">
        <v>14556</v>
      </c>
      <c r="D8127" s="787">
        <v>0</v>
      </c>
      <c r="E8127" s="787">
        <v>0</v>
      </c>
      <c r="H8127" s="787">
        <v>6</v>
      </c>
      <c r="K8127" s="788">
        <v>41626</v>
      </c>
      <c r="L8127" s="787">
        <v>30.39</v>
      </c>
      <c r="M8127" s="787">
        <v>10</v>
      </c>
      <c r="N8127" s="787">
        <v>30.8</v>
      </c>
      <c r="O8127" s="788">
        <v>41810</v>
      </c>
    </row>
    <row r="8128" spans="1:15" x14ac:dyDescent="0.25">
      <c r="A8128" s="786" t="s">
        <v>14557</v>
      </c>
      <c r="B8128" s="787">
        <v>4</v>
      </c>
      <c r="C8128" s="787" t="s">
        <v>14558</v>
      </c>
      <c r="D8128" s="787">
        <v>0</v>
      </c>
      <c r="E8128" s="787">
        <v>0</v>
      </c>
      <c r="H8128" s="787">
        <v>1</v>
      </c>
      <c r="I8128" s="788">
        <v>40716</v>
      </c>
      <c r="L8128" s="787">
        <v>0</v>
      </c>
      <c r="M8128" s="787">
        <v>10</v>
      </c>
      <c r="N8128" s="787">
        <v>4</v>
      </c>
      <c r="O8128" s="788">
        <v>42146</v>
      </c>
    </row>
    <row r="8129" spans="1:15" x14ac:dyDescent="0.25">
      <c r="A8129" s="786" t="s">
        <v>14559</v>
      </c>
      <c r="B8129" s="787">
        <v>4</v>
      </c>
      <c r="C8129" s="787" t="s">
        <v>14560</v>
      </c>
      <c r="D8129" s="787">
        <v>2.63</v>
      </c>
      <c r="E8129" s="787">
        <v>6.77</v>
      </c>
      <c r="F8129" s="788">
        <v>41397</v>
      </c>
      <c r="G8129" s="788">
        <v>42142</v>
      </c>
      <c r="H8129" s="787">
        <v>1</v>
      </c>
      <c r="I8129" s="788">
        <v>42157</v>
      </c>
      <c r="J8129" s="788">
        <v>42159</v>
      </c>
      <c r="K8129" s="788">
        <v>41281</v>
      </c>
      <c r="L8129" s="787">
        <v>6</v>
      </c>
      <c r="M8129" s="787">
        <v>10</v>
      </c>
      <c r="N8129" s="787">
        <v>5.64</v>
      </c>
      <c r="O8129" s="788">
        <v>42146</v>
      </c>
    </row>
    <row r="8130" spans="1:15" x14ac:dyDescent="0.25">
      <c r="A8130" s="786" t="s">
        <v>14561</v>
      </c>
      <c r="B8130" s="787">
        <v>4</v>
      </c>
      <c r="C8130" s="787" t="s">
        <v>14562</v>
      </c>
      <c r="D8130" s="787">
        <v>2.14</v>
      </c>
      <c r="E8130" s="787">
        <v>14.77</v>
      </c>
      <c r="F8130" s="788">
        <v>41813</v>
      </c>
      <c r="G8130" s="788">
        <v>42165</v>
      </c>
      <c r="H8130" s="787">
        <v>1</v>
      </c>
      <c r="I8130" s="788">
        <v>42156</v>
      </c>
      <c r="J8130" s="788">
        <v>42157</v>
      </c>
      <c r="K8130" s="788">
        <v>41856</v>
      </c>
      <c r="L8130" s="787">
        <v>16.5</v>
      </c>
      <c r="M8130" s="787">
        <v>10</v>
      </c>
      <c r="N8130" s="787">
        <v>15.32</v>
      </c>
      <c r="O8130" s="788">
        <v>42146</v>
      </c>
    </row>
    <row r="8131" spans="1:15" x14ac:dyDescent="0.25">
      <c r="A8131" s="786" t="s">
        <v>14563</v>
      </c>
      <c r="B8131" s="787">
        <v>4</v>
      </c>
      <c r="C8131" s="787" t="s">
        <v>14564</v>
      </c>
      <c r="D8131" s="787">
        <v>8.19</v>
      </c>
      <c r="E8131" s="787">
        <v>23.2</v>
      </c>
      <c r="F8131" s="788">
        <v>40827</v>
      </c>
      <c r="G8131" s="788">
        <v>42136</v>
      </c>
      <c r="H8131" s="787">
        <v>1</v>
      </c>
      <c r="I8131" s="788">
        <v>42156</v>
      </c>
      <c r="J8131" s="788">
        <v>42136</v>
      </c>
      <c r="K8131" s="788">
        <v>41856</v>
      </c>
      <c r="L8131" s="787">
        <v>23.5</v>
      </c>
      <c r="M8131" s="787">
        <v>10</v>
      </c>
      <c r="N8131" s="787">
        <v>20.95</v>
      </c>
      <c r="O8131" s="788">
        <v>42146</v>
      </c>
    </row>
    <row r="8132" spans="1:15" x14ac:dyDescent="0.25">
      <c r="A8132" s="786" t="s">
        <v>14565</v>
      </c>
      <c r="B8132" s="787">
        <v>4</v>
      </c>
      <c r="C8132" s="787" t="s">
        <v>14566</v>
      </c>
      <c r="D8132" s="787">
        <v>0.18</v>
      </c>
      <c r="E8132" s="787">
        <v>0.56000000000000005</v>
      </c>
      <c r="F8132" s="788">
        <v>41775</v>
      </c>
      <c r="G8132" s="788">
        <v>42160</v>
      </c>
      <c r="H8132" s="787">
        <v>1</v>
      </c>
      <c r="I8132" s="788">
        <v>42163</v>
      </c>
      <c r="J8132" s="788">
        <v>42160</v>
      </c>
      <c r="K8132" s="788">
        <v>41430</v>
      </c>
      <c r="L8132" s="787">
        <v>1</v>
      </c>
      <c r="M8132" s="787">
        <v>10</v>
      </c>
      <c r="N8132" s="787">
        <v>0.91</v>
      </c>
      <c r="O8132" s="788">
        <v>42163</v>
      </c>
    </row>
    <row r="8133" spans="1:15" x14ac:dyDescent="0.25">
      <c r="A8133" s="786" t="s">
        <v>14567</v>
      </c>
      <c r="B8133" s="787">
        <v>4</v>
      </c>
      <c r="C8133" s="787" t="s">
        <v>14568</v>
      </c>
      <c r="D8133" s="787">
        <v>1.1399999999999999</v>
      </c>
      <c r="E8133" s="787">
        <v>3.41</v>
      </c>
      <c r="F8133" s="788">
        <v>42023</v>
      </c>
      <c r="G8133" s="788">
        <v>42159</v>
      </c>
      <c r="H8133" s="787">
        <v>1</v>
      </c>
      <c r="I8133" s="788">
        <v>42156</v>
      </c>
      <c r="J8133" s="788">
        <v>42159</v>
      </c>
      <c r="K8133" s="788">
        <v>41358</v>
      </c>
      <c r="L8133" s="787">
        <v>3.59</v>
      </c>
      <c r="M8133" s="787">
        <v>10</v>
      </c>
      <c r="N8133" s="787">
        <v>2.4500000000000002</v>
      </c>
      <c r="O8133" s="788">
        <v>42146</v>
      </c>
    </row>
    <row r="8134" spans="1:15" x14ac:dyDescent="0.25">
      <c r="A8134" s="786" t="s">
        <v>14569</v>
      </c>
      <c r="B8134" s="787">
        <v>4</v>
      </c>
      <c r="C8134" s="787" t="s">
        <v>14570</v>
      </c>
      <c r="D8134" s="787">
        <v>5.86</v>
      </c>
      <c r="E8134" s="787">
        <v>5.86</v>
      </c>
      <c r="F8134" s="788">
        <v>41418</v>
      </c>
      <c r="G8134" s="788">
        <v>41943</v>
      </c>
      <c r="H8134" s="787">
        <v>1</v>
      </c>
      <c r="I8134" s="788">
        <v>42115</v>
      </c>
      <c r="J8134" s="788">
        <v>41379</v>
      </c>
      <c r="K8134" s="788">
        <v>42108</v>
      </c>
      <c r="L8134" s="787">
        <v>4.43</v>
      </c>
      <c r="M8134" s="787">
        <v>10</v>
      </c>
      <c r="N8134" s="787">
        <v>4.43</v>
      </c>
      <c r="O8134" s="788">
        <v>42146</v>
      </c>
    </row>
    <row r="8135" spans="1:15" x14ac:dyDescent="0.25">
      <c r="A8135" s="786" t="s">
        <v>14571</v>
      </c>
      <c r="B8135" s="787">
        <v>4</v>
      </c>
      <c r="C8135" s="787" t="s">
        <v>14572</v>
      </c>
      <c r="D8135" s="787">
        <v>1.66</v>
      </c>
      <c r="E8135" s="787">
        <v>2.99</v>
      </c>
      <c r="F8135" s="788">
        <v>41180</v>
      </c>
      <c r="G8135" s="788">
        <v>42013</v>
      </c>
      <c r="H8135" s="787">
        <v>1</v>
      </c>
      <c r="I8135" s="788">
        <v>42130</v>
      </c>
      <c r="J8135" s="788">
        <v>41575</v>
      </c>
      <c r="K8135" s="788">
        <v>41347</v>
      </c>
      <c r="L8135" s="787">
        <v>3.26</v>
      </c>
      <c r="M8135" s="787">
        <v>10</v>
      </c>
      <c r="N8135" s="787">
        <v>3.7</v>
      </c>
      <c r="O8135" s="788">
        <v>42164</v>
      </c>
    </row>
    <row r="8136" spans="1:15" x14ac:dyDescent="0.25">
      <c r="A8136" s="786" t="s">
        <v>14573</v>
      </c>
      <c r="B8136" s="787">
        <v>4</v>
      </c>
      <c r="C8136" s="787" t="s">
        <v>14574</v>
      </c>
      <c r="D8136" s="787">
        <v>9.44</v>
      </c>
      <c r="E8136" s="787">
        <v>9.44</v>
      </c>
      <c r="F8136" s="788">
        <v>41813</v>
      </c>
      <c r="G8136" s="788">
        <v>42131</v>
      </c>
      <c r="H8136" s="787">
        <v>1</v>
      </c>
      <c r="I8136" s="788">
        <v>42130</v>
      </c>
      <c r="J8136" s="788">
        <v>42131</v>
      </c>
      <c r="K8136" s="788">
        <v>41374</v>
      </c>
      <c r="L8136" s="787">
        <v>1.59</v>
      </c>
      <c r="M8136" s="787">
        <v>10</v>
      </c>
      <c r="N8136" s="787">
        <v>1.54</v>
      </c>
      <c r="O8136" s="788">
        <v>42164</v>
      </c>
    </row>
    <row r="8137" spans="1:15" x14ac:dyDescent="0.25">
      <c r="A8137" s="786" t="s">
        <v>14575</v>
      </c>
      <c r="B8137" s="787">
        <v>4</v>
      </c>
      <c r="C8137" s="787" t="s">
        <v>14576</v>
      </c>
      <c r="D8137" s="787">
        <v>1.22</v>
      </c>
      <c r="E8137" s="787">
        <v>1.22</v>
      </c>
      <c r="F8137" s="788">
        <v>41467</v>
      </c>
      <c r="G8137" s="788">
        <v>42013</v>
      </c>
      <c r="H8137" s="787">
        <v>1</v>
      </c>
      <c r="I8137" s="788">
        <v>42115</v>
      </c>
      <c r="J8137" s="788">
        <v>41437</v>
      </c>
      <c r="K8137" s="788">
        <v>42108</v>
      </c>
      <c r="L8137" s="787">
        <v>3.7</v>
      </c>
      <c r="M8137" s="787">
        <v>10</v>
      </c>
      <c r="N8137" s="787">
        <v>3.7</v>
      </c>
      <c r="O8137" s="788">
        <v>42146</v>
      </c>
    </row>
    <row r="8138" spans="1:15" x14ac:dyDescent="0.25">
      <c r="A8138" s="786" t="s">
        <v>14577</v>
      </c>
      <c r="B8138" s="787">
        <v>4</v>
      </c>
      <c r="C8138" s="787" t="s">
        <v>14578</v>
      </c>
      <c r="D8138" s="787">
        <v>6.65</v>
      </c>
      <c r="E8138" s="787">
        <v>26.65</v>
      </c>
      <c r="F8138" s="788">
        <v>42030</v>
      </c>
      <c r="G8138" s="788">
        <v>42030</v>
      </c>
      <c r="H8138" s="787">
        <v>1</v>
      </c>
      <c r="I8138" s="788">
        <v>41988</v>
      </c>
      <c r="J8138" s="788">
        <v>41985</v>
      </c>
      <c r="K8138" s="788">
        <v>41516</v>
      </c>
      <c r="L8138" s="787">
        <v>27.12</v>
      </c>
      <c r="M8138" s="787">
        <v>10</v>
      </c>
      <c r="N8138" s="787">
        <v>27.06</v>
      </c>
      <c r="O8138" s="788">
        <v>41543</v>
      </c>
    </row>
    <row r="8139" spans="1:15" x14ac:dyDescent="0.25">
      <c r="A8139" s="786" t="s">
        <v>14579</v>
      </c>
      <c r="B8139" s="787">
        <v>4</v>
      </c>
      <c r="C8139" s="787" t="s">
        <v>14580</v>
      </c>
      <c r="D8139" s="787">
        <v>4.54</v>
      </c>
      <c r="E8139" s="787">
        <v>21.14</v>
      </c>
      <c r="F8139" s="788">
        <v>41135</v>
      </c>
      <c r="G8139" s="788">
        <v>41813</v>
      </c>
      <c r="H8139" s="787">
        <v>1</v>
      </c>
      <c r="I8139" s="788">
        <v>41985</v>
      </c>
      <c r="J8139" s="788">
        <v>41725</v>
      </c>
      <c r="K8139" s="788">
        <v>41516</v>
      </c>
      <c r="L8139" s="787">
        <v>32.630000000000003</v>
      </c>
      <c r="M8139" s="787">
        <v>10</v>
      </c>
      <c r="N8139" s="787">
        <v>32.630000000000003</v>
      </c>
      <c r="O8139" s="788">
        <v>40853</v>
      </c>
    </row>
    <row r="8140" spans="1:15" x14ac:dyDescent="0.25">
      <c r="A8140" s="786" t="s">
        <v>14581</v>
      </c>
      <c r="B8140" s="787">
        <v>4</v>
      </c>
      <c r="C8140" s="787" t="s">
        <v>14582</v>
      </c>
      <c r="D8140" s="787">
        <v>3.43</v>
      </c>
      <c r="E8140" s="787">
        <v>17.940000000000001</v>
      </c>
      <c r="F8140" s="788">
        <v>40948</v>
      </c>
      <c r="G8140" s="788">
        <v>41775</v>
      </c>
      <c r="H8140" s="787">
        <v>1</v>
      </c>
      <c r="I8140" s="788">
        <v>41985</v>
      </c>
      <c r="J8140" s="788">
        <v>41725</v>
      </c>
      <c r="K8140" s="788">
        <v>41516</v>
      </c>
      <c r="L8140" s="787">
        <v>4</v>
      </c>
      <c r="M8140" s="787">
        <v>10</v>
      </c>
      <c r="N8140" s="787">
        <v>4.18</v>
      </c>
      <c r="O8140" s="788">
        <v>42146</v>
      </c>
    </row>
    <row r="8141" spans="1:15" x14ac:dyDescent="0.25">
      <c r="A8141" s="786" t="s">
        <v>14583</v>
      </c>
      <c r="B8141" s="787">
        <v>4</v>
      </c>
      <c r="C8141" s="787" t="s">
        <v>14584</v>
      </c>
      <c r="D8141" s="787">
        <v>2.58</v>
      </c>
      <c r="E8141" s="787">
        <v>21.73</v>
      </c>
      <c r="F8141" s="788">
        <v>40948</v>
      </c>
      <c r="G8141" s="788">
        <v>41775</v>
      </c>
      <c r="H8141" s="787">
        <v>1</v>
      </c>
      <c r="I8141" s="788">
        <v>41985</v>
      </c>
      <c r="J8141" s="788">
        <v>41725</v>
      </c>
      <c r="K8141" s="788">
        <v>41516</v>
      </c>
      <c r="L8141" s="787">
        <v>1.91</v>
      </c>
      <c r="M8141" s="787">
        <v>10</v>
      </c>
      <c r="N8141" s="787">
        <v>5.04</v>
      </c>
      <c r="O8141" s="788">
        <v>42146</v>
      </c>
    </row>
    <row r="8142" spans="1:15" x14ac:dyDescent="0.25">
      <c r="A8142" s="786" t="s">
        <v>14585</v>
      </c>
      <c r="B8142" s="787">
        <v>4</v>
      </c>
      <c r="C8142" s="787" t="s">
        <v>14586</v>
      </c>
      <c r="D8142" s="787">
        <v>1.07</v>
      </c>
      <c r="E8142" s="787">
        <v>6.77</v>
      </c>
      <c r="F8142" s="788">
        <v>40948</v>
      </c>
      <c r="G8142" s="788">
        <v>41775</v>
      </c>
      <c r="H8142" s="787">
        <v>1</v>
      </c>
      <c r="I8142" s="788">
        <v>41985</v>
      </c>
      <c r="J8142" s="788">
        <v>41725</v>
      </c>
      <c r="K8142" s="788">
        <v>41516</v>
      </c>
      <c r="L8142" s="787">
        <v>0.53</v>
      </c>
      <c r="M8142" s="787">
        <v>10</v>
      </c>
      <c r="N8142" s="787">
        <v>0.76</v>
      </c>
      <c r="O8142" s="788">
        <v>42146</v>
      </c>
    </row>
    <row r="8143" spans="1:15" x14ac:dyDescent="0.25">
      <c r="A8143" s="786" t="s">
        <v>14587</v>
      </c>
      <c r="B8143" s="787">
        <v>4</v>
      </c>
      <c r="C8143" s="787" t="s">
        <v>14588</v>
      </c>
      <c r="D8143" s="787">
        <v>0.79</v>
      </c>
      <c r="E8143" s="787">
        <v>88.19</v>
      </c>
      <c r="F8143" s="788">
        <v>41278</v>
      </c>
      <c r="G8143" s="788">
        <v>41813</v>
      </c>
      <c r="H8143" s="787">
        <v>1</v>
      </c>
      <c r="I8143" s="788">
        <v>41737</v>
      </c>
      <c r="J8143" s="788">
        <v>41732</v>
      </c>
      <c r="K8143" s="788">
        <v>41506</v>
      </c>
      <c r="L8143" s="787">
        <v>17.420000000000002</v>
      </c>
      <c r="M8143" s="787">
        <v>10</v>
      </c>
      <c r="N8143" s="787">
        <v>28.95</v>
      </c>
      <c r="O8143" s="788">
        <v>41717</v>
      </c>
    </row>
    <row r="8144" spans="1:15" x14ac:dyDescent="0.25">
      <c r="A8144" s="786" t="s">
        <v>14589</v>
      </c>
      <c r="B8144" s="787">
        <v>4</v>
      </c>
      <c r="C8144" s="787" t="s">
        <v>14590</v>
      </c>
      <c r="D8144" s="787">
        <v>1.99</v>
      </c>
      <c r="E8144" s="787">
        <v>21.94</v>
      </c>
      <c r="F8144" s="788">
        <v>41135</v>
      </c>
      <c r="G8144" s="788">
        <v>41813</v>
      </c>
      <c r="H8144" s="787">
        <v>1</v>
      </c>
      <c r="I8144" s="788">
        <v>41732</v>
      </c>
      <c r="J8144" s="788">
        <v>41725</v>
      </c>
      <c r="K8144" s="788">
        <v>41506</v>
      </c>
      <c r="L8144" s="787">
        <v>33.68</v>
      </c>
      <c r="M8144" s="787">
        <v>10</v>
      </c>
      <c r="N8144" s="787">
        <v>33.68</v>
      </c>
      <c r="O8144" s="788">
        <v>40853</v>
      </c>
    </row>
    <row r="8145" spans="1:15" x14ac:dyDescent="0.25">
      <c r="A8145" s="786" t="s">
        <v>14591</v>
      </c>
      <c r="B8145" s="787">
        <v>4</v>
      </c>
      <c r="C8145" s="787" t="s">
        <v>14592</v>
      </c>
      <c r="D8145" s="787">
        <v>3.16</v>
      </c>
      <c r="E8145" s="787">
        <v>4.83</v>
      </c>
      <c r="F8145" s="788">
        <v>40948</v>
      </c>
      <c r="G8145" s="788">
        <v>41775</v>
      </c>
      <c r="H8145" s="787">
        <v>1</v>
      </c>
      <c r="I8145" s="788">
        <v>41732</v>
      </c>
      <c r="J8145" s="788">
        <v>41725</v>
      </c>
      <c r="K8145" s="788">
        <v>41506</v>
      </c>
      <c r="L8145" s="787">
        <v>4.49</v>
      </c>
      <c r="M8145" s="787">
        <v>10</v>
      </c>
      <c r="N8145" s="787">
        <v>5.77</v>
      </c>
      <c r="O8145" s="788">
        <v>42146</v>
      </c>
    </row>
    <row r="8146" spans="1:15" x14ac:dyDescent="0.25">
      <c r="A8146" s="786" t="s">
        <v>14593</v>
      </c>
      <c r="B8146" s="787">
        <v>4</v>
      </c>
      <c r="C8146" s="787" t="s">
        <v>14594</v>
      </c>
      <c r="D8146" s="787">
        <v>5.63</v>
      </c>
      <c r="E8146" s="787">
        <v>5.63</v>
      </c>
      <c r="F8146" s="788">
        <v>41775</v>
      </c>
      <c r="G8146" s="788">
        <v>41775</v>
      </c>
      <c r="H8146" s="787">
        <v>1</v>
      </c>
      <c r="I8146" s="788">
        <v>41732</v>
      </c>
      <c r="J8146" s="788">
        <v>41725</v>
      </c>
      <c r="K8146" s="788">
        <v>41506</v>
      </c>
      <c r="L8146" s="787">
        <v>1.89</v>
      </c>
      <c r="M8146" s="787">
        <v>10</v>
      </c>
      <c r="N8146" s="787">
        <v>1.6</v>
      </c>
      <c r="O8146" s="788">
        <v>42146</v>
      </c>
    </row>
    <row r="8147" spans="1:15" x14ac:dyDescent="0.25">
      <c r="A8147" s="786" t="s">
        <v>14595</v>
      </c>
      <c r="B8147" s="787">
        <v>4</v>
      </c>
      <c r="C8147" s="787" t="s">
        <v>14596</v>
      </c>
      <c r="D8147" s="787">
        <v>0.95</v>
      </c>
      <c r="E8147" s="787">
        <v>2.5499999999999998</v>
      </c>
      <c r="F8147" s="788">
        <v>40948</v>
      </c>
      <c r="G8147" s="788">
        <v>41775</v>
      </c>
      <c r="H8147" s="787">
        <v>1</v>
      </c>
      <c r="I8147" s="788">
        <v>41732</v>
      </c>
      <c r="J8147" s="788">
        <v>41725</v>
      </c>
      <c r="K8147" s="788">
        <v>41506</v>
      </c>
      <c r="L8147" s="787">
        <v>0.55000000000000004</v>
      </c>
      <c r="M8147" s="787">
        <v>10</v>
      </c>
      <c r="N8147" s="787">
        <v>2.08</v>
      </c>
      <c r="O8147" s="788">
        <v>42146</v>
      </c>
    </row>
    <row r="8148" spans="1:15" x14ac:dyDescent="0.25">
      <c r="A8148" s="786" t="s">
        <v>14597</v>
      </c>
      <c r="B8148" s="787">
        <v>4</v>
      </c>
      <c r="C8148" s="787" t="s">
        <v>14598</v>
      </c>
      <c r="D8148" s="787">
        <v>0</v>
      </c>
      <c r="E8148" s="787">
        <v>0</v>
      </c>
      <c r="H8148" s="787">
        <v>1</v>
      </c>
      <c r="L8148" s="787">
        <v>0</v>
      </c>
      <c r="M8148" s="787">
        <v>10</v>
      </c>
      <c r="N8148" s="787">
        <v>0.76</v>
      </c>
      <c r="O8148" s="788">
        <v>42146</v>
      </c>
    </row>
    <row r="8149" spans="1:15" x14ac:dyDescent="0.25">
      <c r="A8149" s="786" t="s">
        <v>14599</v>
      </c>
      <c r="B8149" s="787">
        <v>4</v>
      </c>
      <c r="C8149" s="787" t="s">
        <v>14600</v>
      </c>
      <c r="D8149" s="787">
        <v>8.73</v>
      </c>
      <c r="E8149" s="787">
        <v>38.75</v>
      </c>
      <c r="F8149" s="788">
        <v>40644</v>
      </c>
      <c r="G8149" s="788">
        <v>41933</v>
      </c>
      <c r="H8149" s="787">
        <v>1</v>
      </c>
      <c r="I8149" s="788">
        <v>42059</v>
      </c>
      <c r="J8149" s="788">
        <v>42059</v>
      </c>
      <c r="K8149" s="788">
        <v>41719</v>
      </c>
      <c r="L8149" s="787">
        <v>33.619999999999997</v>
      </c>
      <c r="M8149" s="787">
        <v>10</v>
      </c>
      <c r="N8149" s="787">
        <v>34.97</v>
      </c>
      <c r="O8149" s="788">
        <v>42146</v>
      </c>
    </row>
    <row r="8150" spans="1:15" x14ac:dyDescent="0.25">
      <c r="A8150" s="786" t="s">
        <v>14601</v>
      </c>
      <c r="B8150" s="787">
        <v>4</v>
      </c>
      <c r="C8150" s="787" t="s">
        <v>14602</v>
      </c>
      <c r="D8150" s="787">
        <v>9.07</v>
      </c>
      <c r="E8150" s="787">
        <v>42.16</v>
      </c>
      <c r="F8150" s="788">
        <v>40659</v>
      </c>
      <c r="G8150" s="788">
        <v>42086</v>
      </c>
      <c r="H8150" s="787">
        <v>1</v>
      </c>
      <c r="I8150" s="788">
        <v>41717</v>
      </c>
      <c r="J8150" s="788">
        <v>42055</v>
      </c>
      <c r="K8150" s="788">
        <v>41339</v>
      </c>
      <c r="L8150" s="787">
        <v>36.29</v>
      </c>
      <c r="M8150" s="787">
        <v>10</v>
      </c>
      <c r="N8150" s="787">
        <v>37.479999999999997</v>
      </c>
      <c r="O8150" s="788">
        <v>42146</v>
      </c>
    </row>
    <row r="8151" spans="1:15" x14ac:dyDescent="0.25">
      <c r="A8151" s="786" t="s">
        <v>14603</v>
      </c>
      <c r="B8151" s="787">
        <v>4</v>
      </c>
      <c r="C8151" s="787" t="s">
        <v>14604</v>
      </c>
      <c r="D8151" s="787">
        <v>8.26</v>
      </c>
      <c r="E8151" s="787">
        <v>18.03</v>
      </c>
      <c r="F8151" s="788">
        <v>40644</v>
      </c>
      <c r="G8151" s="788">
        <v>41282</v>
      </c>
      <c r="H8151" s="787">
        <v>1</v>
      </c>
      <c r="I8151" s="788">
        <v>42053</v>
      </c>
      <c r="J8151" s="788">
        <v>42053</v>
      </c>
      <c r="K8151" s="788">
        <v>42053</v>
      </c>
      <c r="L8151" s="787">
        <v>15.51</v>
      </c>
      <c r="M8151" s="787">
        <v>10</v>
      </c>
      <c r="N8151" s="787">
        <v>17.91</v>
      </c>
      <c r="O8151" s="788">
        <v>42146</v>
      </c>
    </row>
    <row r="8152" spans="1:15" x14ac:dyDescent="0.25">
      <c r="A8152" s="786" t="s">
        <v>14605</v>
      </c>
      <c r="B8152" s="787">
        <v>4</v>
      </c>
      <c r="C8152" s="787" t="s">
        <v>14606</v>
      </c>
      <c r="D8152" s="787">
        <v>1.72</v>
      </c>
      <c r="E8152" s="787">
        <v>1.72</v>
      </c>
      <c r="F8152" s="788">
        <v>41278</v>
      </c>
      <c r="G8152" s="788">
        <v>42013</v>
      </c>
      <c r="H8152" s="787">
        <v>1</v>
      </c>
      <c r="I8152" s="788">
        <v>42053</v>
      </c>
      <c r="J8152" s="788">
        <v>41240</v>
      </c>
      <c r="K8152" s="788">
        <v>41719</v>
      </c>
      <c r="L8152" s="787">
        <v>2</v>
      </c>
      <c r="M8152" s="787">
        <v>10</v>
      </c>
      <c r="N8152" s="787">
        <v>1.97</v>
      </c>
      <c r="O8152" s="788">
        <v>42146</v>
      </c>
    </row>
    <row r="8153" spans="1:15" x14ac:dyDescent="0.25">
      <c r="A8153" s="786" t="s">
        <v>14607</v>
      </c>
      <c r="B8153" s="787">
        <v>4</v>
      </c>
      <c r="C8153" s="787" t="s">
        <v>14608</v>
      </c>
      <c r="D8153" s="787">
        <v>0.31</v>
      </c>
      <c r="E8153" s="787">
        <v>0.31</v>
      </c>
      <c r="F8153" s="788">
        <v>42086</v>
      </c>
      <c r="G8153" s="788">
        <v>42086</v>
      </c>
      <c r="H8153" s="787">
        <v>1</v>
      </c>
      <c r="I8153" s="788">
        <v>40693</v>
      </c>
      <c r="J8153" s="788">
        <v>42051</v>
      </c>
      <c r="K8153" s="788">
        <v>41493</v>
      </c>
      <c r="L8153" s="787">
        <v>1.2</v>
      </c>
      <c r="M8153" s="787">
        <v>10</v>
      </c>
      <c r="N8153" s="787">
        <v>1.49</v>
      </c>
      <c r="O8153" s="788">
        <v>42146</v>
      </c>
    </row>
    <row r="8154" spans="1:15" x14ac:dyDescent="0.25">
      <c r="A8154" s="786" t="s">
        <v>14609</v>
      </c>
      <c r="B8154" s="787">
        <v>4</v>
      </c>
      <c r="C8154" s="787" t="s">
        <v>14610</v>
      </c>
      <c r="D8154" s="787">
        <v>5.48</v>
      </c>
      <c r="E8154" s="787">
        <v>15.48</v>
      </c>
      <c r="F8154" s="788">
        <v>42086</v>
      </c>
      <c r="G8154" s="788">
        <v>42086</v>
      </c>
      <c r="H8154" s="787">
        <v>1</v>
      </c>
      <c r="I8154" s="788">
        <v>41564</v>
      </c>
      <c r="J8154" s="788">
        <v>42058</v>
      </c>
      <c r="K8154" s="788">
        <v>42038</v>
      </c>
      <c r="L8154" s="787">
        <v>8.6999999999999993</v>
      </c>
      <c r="M8154" s="787">
        <v>10</v>
      </c>
      <c r="N8154" s="787">
        <v>9.06</v>
      </c>
      <c r="O8154" s="788">
        <v>42146</v>
      </c>
    </row>
    <row r="8155" spans="1:15" x14ac:dyDescent="0.25">
      <c r="A8155" s="786" t="s">
        <v>14611</v>
      </c>
      <c r="B8155" s="787">
        <v>4</v>
      </c>
      <c r="C8155" s="787" t="s">
        <v>14612</v>
      </c>
      <c r="D8155" s="787">
        <v>7.23</v>
      </c>
      <c r="E8155" s="787">
        <v>7.23</v>
      </c>
      <c r="F8155" s="788">
        <v>42086</v>
      </c>
      <c r="G8155" s="788">
        <v>42086</v>
      </c>
      <c r="H8155" s="787">
        <v>1</v>
      </c>
      <c r="I8155" s="788">
        <v>42053</v>
      </c>
      <c r="J8155" s="788">
        <v>42051</v>
      </c>
      <c r="K8155" s="788">
        <v>42038</v>
      </c>
      <c r="L8155" s="787">
        <v>7.6</v>
      </c>
      <c r="M8155" s="787">
        <v>10</v>
      </c>
      <c r="N8155" s="787">
        <v>7.95</v>
      </c>
      <c r="O8155" s="788">
        <v>42146</v>
      </c>
    </row>
    <row r="8156" spans="1:15" x14ac:dyDescent="0.25">
      <c r="A8156" s="786" t="s">
        <v>14613</v>
      </c>
      <c r="B8156" s="787">
        <v>4</v>
      </c>
      <c r="C8156" s="787" t="s">
        <v>14614</v>
      </c>
      <c r="D8156" s="787">
        <v>9.57</v>
      </c>
      <c r="E8156" s="787">
        <v>9.57</v>
      </c>
      <c r="F8156" s="788">
        <v>42086</v>
      </c>
      <c r="G8156" s="788">
        <v>42086</v>
      </c>
      <c r="H8156" s="787">
        <v>1</v>
      </c>
      <c r="I8156" s="788">
        <v>41564</v>
      </c>
      <c r="J8156" s="788">
        <v>42051</v>
      </c>
      <c r="K8156" s="788">
        <v>42038</v>
      </c>
      <c r="L8156" s="787">
        <v>13.92</v>
      </c>
      <c r="M8156" s="787">
        <v>10</v>
      </c>
      <c r="N8156" s="787">
        <v>15.26</v>
      </c>
      <c r="O8156" s="788">
        <v>42146</v>
      </c>
    </row>
    <row r="8157" spans="1:15" x14ac:dyDescent="0.25">
      <c r="A8157" s="786" t="s">
        <v>14615</v>
      </c>
      <c r="B8157" s="787">
        <v>4</v>
      </c>
      <c r="C8157" s="787" t="s">
        <v>14616</v>
      </c>
      <c r="D8157" s="787">
        <v>0</v>
      </c>
      <c r="E8157" s="787">
        <v>0</v>
      </c>
      <c r="H8157" s="787">
        <v>1</v>
      </c>
      <c r="I8157" s="788">
        <v>41299</v>
      </c>
      <c r="K8157" s="788">
        <v>42038</v>
      </c>
      <c r="L8157" s="787">
        <v>49.07</v>
      </c>
      <c r="M8157" s="787">
        <v>10</v>
      </c>
      <c r="N8157" s="787">
        <v>51.81</v>
      </c>
      <c r="O8157" s="788">
        <v>42146</v>
      </c>
    </row>
    <row r="8158" spans="1:15" x14ac:dyDescent="0.25">
      <c r="A8158" s="786" t="s">
        <v>14617</v>
      </c>
      <c r="B8158" s="787">
        <v>4</v>
      </c>
      <c r="C8158" s="787" t="s">
        <v>14618</v>
      </c>
      <c r="D8158" s="787">
        <v>9.85</v>
      </c>
      <c r="E8158" s="787">
        <v>9.85</v>
      </c>
      <c r="F8158" s="788">
        <v>40486</v>
      </c>
      <c r="G8158" s="788">
        <v>40470</v>
      </c>
      <c r="H8158" s="787">
        <v>5</v>
      </c>
      <c r="I8158" s="788">
        <v>40893</v>
      </c>
      <c r="J8158" s="788">
        <v>40550</v>
      </c>
      <c r="L8158" s="787">
        <v>9.85</v>
      </c>
      <c r="M8158" s="787">
        <v>10</v>
      </c>
      <c r="N8158" s="787">
        <v>0</v>
      </c>
      <c r="O8158" s="788">
        <v>40824</v>
      </c>
    </row>
    <row r="8159" spans="1:15" x14ac:dyDescent="0.25">
      <c r="A8159" s="786" t="s">
        <v>14619</v>
      </c>
      <c r="B8159" s="787">
        <v>4</v>
      </c>
      <c r="C8159" s="787" t="s">
        <v>14620</v>
      </c>
      <c r="D8159" s="787">
        <v>6.09</v>
      </c>
      <c r="E8159" s="787">
        <v>9.69</v>
      </c>
      <c r="F8159" s="788">
        <v>40827</v>
      </c>
      <c r="G8159" s="788">
        <v>42089</v>
      </c>
      <c r="H8159" s="787">
        <v>1</v>
      </c>
      <c r="I8159" s="788">
        <v>42051</v>
      </c>
      <c r="J8159" s="788">
        <v>42054</v>
      </c>
      <c r="K8159" s="788">
        <v>41722</v>
      </c>
      <c r="L8159" s="787">
        <v>9</v>
      </c>
      <c r="M8159" s="787">
        <v>10</v>
      </c>
      <c r="N8159" s="787">
        <v>9.7200000000000006</v>
      </c>
      <c r="O8159" s="788">
        <v>42146</v>
      </c>
    </row>
    <row r="8160" spans="1:15" x14ac:dyDescent="0.25">
      <c r="A8160" s="786" t="s">
        <v>14621</v>
      </c>
      <c r="B8160" s="787">
        <v>4</v>
      </c>
      <c r="C8160" s="787" t="s">
        <v>14622</v>
      </c>
      <c r="D8160" s="787">
        <v>5.2</v>
      </c>
      <c r="E8160" s="787">
        <v>15.2</v>
      </c>
      <c r="F8160" s="788">
        <v>40659</v>
      </c>
      <c r="G8160" s="788">
        <v>42013</v>
      </c>
      <c r="H8160" s="787">
        <v>1</v>
      </c>
      <c r="I8160" s="788">
        <v>42053</v>
      </c>
      <c r="J8160" s="788">
        <v>40640</v>
      </c>
      <c r="K8160" s="788">
        <v>41291</v>
      </c>
      <c r="L8160" s="787">
        <v>16.760000000000002</v>
      </c>
      <c r="M8160" s="787">
        <v>10</v>
      </c>
      <c r="N8160" s="787">
        <v>56.12</v>
      </c>
      <c r="O8160" s="788">
        <v>42146</v>
      </c>
    </row>
    <row r="8161" spans="1:15" x14ac:dyDescent="0.25">
      <c r="A8161" s="786" t="s">
        <v>14623</v>
      </c>
      <c r="B8161" s="787">
        <v>4</v>
      </c>
      <c r="C8161" s="787" t="s">
        <v>14624</v>
      </c>
      <c r="D8161" s="787">
        <v>0</v>
      </c>
      <c r="E8161" s="787">
        <v>0</v>
      </c>
      <c r="H8161" s="787">
        <v>1</v>
      </c>
      <c r="I8161" s="788">
        <v>42053</v>
      </c>
      <c r="L8161" s="787">
        <v>0</v>
      </c>
      <c r="M8161" s="787">
        <v>10</v>
      </c>
      <c r="N8161" s="787">
        <v>2.14</v>
      </c>
      <c r="O8161" s="788">
        <v>42146</v>
      </c>
    </row>
    <row r="8162" spans="1:15" x14ac:dyDescent="0.25">
      <c r="A8162" s="786" t="s">
        <v>14625</v>
      </c>
      <c r="B8162" s="787">
        <v>4</v>
      </c>
      <c r="C8162" s="787" t="s">
        <v>14626</v>
      </c>
      <c r="D8162" s="787">
        <v>0</v>
      </c>
      <c r="E8162" s="787">
        <v>0</v>
      </c>
      <c r="H8162" s="787">
        <v>1</v>
      </c>
      <c r="I8162" s="788">
        <v>42051</v>
      </c>
      <c r="J8162" s="788">
        <v>42052</v>
      </c>
      <c r="K8162" s="788">
        <v>42038</v>
      </c>
      <c r="L8162" s="787">
        <v>6.81</v>
      </c>
      <c r="M8162" s="787">
        <v>10</v>
      </c>
      <c r="N8162" s="787">
        <v>11.28</v>
      </c>
      <c r="O8162" s="788">
        <v>42146</v>
      </c>
    </row>
    <row r="8163" spans="1:15" x14ac:dyDescent="0.25">
      <c r="A8163" s="786" t="s">
        <v>14627</v>
      </c>
      <c r="B8163" s="787">
        <v>4</v>
      </c>
      <c r="C8163" s="787" t="s">
        <v>14628</v>
      </c>
      <c r="D8163" s="787">
        <v>0</v>
      </c>
      <c r="E8163" s="787">
        <v>0</v>
      </c>
      <c r="H8163" s="787">
        <v>1</v>
      </c>
      <c r="L8163" s="787">
        <v>0</v>
      </c>
      <c r="M8163" s="787">
        <v>10</v>
      </c>
      <c r="N8163" s="787">
        <v>15.74</v>
      </c>
      <c r="O8163" s="788">
        <v>42146</v>
      </c>
    </row>
    <row r="8164" spans="1:15" x14ac:dyDescent="0.25">
      <c r="A8164" s="786" t="s">
        <v>14629</v>
      </c>
      <c r="B8164" s="787">
        <v>4</v>
      </c>
      <c r="C8164" s="787" t="s">
        <v>14630</v>
      </c>
      <c r="D8164" s="787">
        <v>0.42</v>
      </c>
      <c r="E8164" s="787">
        <v>0.42</v>
      </c>
      <c r="F8164" s="788">
        <v>40996</v>
      </c>
      <c r="G8164" s="788">
        <v>41908</v>
      </c>
      <c r="H8164" s="787">
        <v>1</v>
      </c>
      <c r="I8164" s="788">
        <v>41913</v>
      </c>
      <c r="J8164" s="788">
        <v>41908</v>
      </c>
      <c r="K8164" s="788">
        <v>40976</v>
      </c>
      <c r="L8164" s="787">
        <v>0.42</v>
      </c>
      <c r="M8164" s="787">
        <v>20</v>
      </c>
      <c r="N8164" s="787">
        <v>0.45</v>
      </c>
      <c r="O8164" s="788">
        <v>42162</v>
      </c>
    </row>
    <row r="8165" spans="1:15" x14ac:dyDescent="0.25">
      <c r="A8165" s="786" t="s">
        <v>14631</v>
      </c>
      <c r="B8165" s="787">
        <v>4</v>
      </c>
      <c r="C8165" s="787" t="s">
        <v>14632</v>
      </c>
      <c r="D8165" s="787">
        <v>0</v>
      </c>
      <c r="E8165" s="787">
        <v>0</v>
      </c>
      <c r="G8165" s="788">
        <v>41255</v>
      </c>
      <c r="H8165" s="787">
        <v>1</v>
      </c>
      <c r="I8165" s="788">
        <v>40480</v>
      </c>
      <c r="J8165" s="788">
        <v>40484</v>
      </c>
      <c r="L8165" s="787">
        <v>0</v>
      </c>
      <c r="M8165" s="787">
        <v>10</v>
      </c>
      <c r="N8165" s="787">
        <v>2.36</v>
      </c>
      <c r="O8165" s="788">
        <v>42146</v>
      </c>
    </row>
    <row r="8166" spans="1:15" x14ac:dyDescent="0.25">
      <c r="A8166" s="786" t="s">
        <v>14633</v>
      </c>
      <c r="B8166" s="787">
        <v>4</v>
      </c>
      <c r="C8166" s="787" t="s">
        <v>14634</v>
      </c>
      <c r="D8166" s="787">
        <v>0</v>
      </c>
      <c r="E8166" s="787">
        <v>0</v>
      </c>
      <c r="H8166" s="787">
        <v>1</v>
      </c>
      <c r="L8166" s="787">
        <v>0</v>
      </c>
      <c r="M8166" s="787">
        <v>10</v>
      </c>
      <c r="N8166" s="787">
        <v>9.9499999999999993</v>
      </c>
      <c r="O8166" s="788">
        <v>42146</v>
      </c>
    </row>
    <row r="8167" spans="1:15" x14ac:dyDescent="0.25">
      <c r="A8167" s="786" t="s">
        <v>14635</v>
      </c>
      <c r="B8167" s="787">
        <v>4</v>
      </c>
      <c r="C8167" s="787" t="s">
        <v>14636</v>
      </c>
      <c r="D8167" s="787">
        <v>0</v>
      </c>
      <c r="E8167" s="787">
        <v>0</v>
      </c>
      <c r="H8167" s="787">
        <v>6</v>
      </c>
      <c r="K8167" s="788">
        <v>41663</v>
      </c>
      <c r="L8167" s="787">
        <v>15.57</v>
      </c>
      <c r="M8167" s="787">
        <v>10</v>
      </c>
      <c r="N8167" s="787">
        <v>15.56</v>
      </c>
      <c r="O8167" s="788">
        <v>41663</v>
      </c>
    </row>
    <row r="8168" spans="1:15" x14ac:dyDescent="0.25">
      <c r="A8168" s="786" t="s">
        <v>14637</v>
      </c>
      <c r="B8168" s="787">
        <v>4</v>
      </c>
      <c r="C8168" s="787" t="s">
        <v>14638</v>
      </c>
      <c r="D8168" s="787">
        <v>0</v>
      </c>
      <c r="E8168" s="787">
        <v>0</v>
      </c>
      <c r="H8168" s="787">
        <v>6</v>
      </c>
      <c r="K8168" s="788">
        <v>41666</v>
      </c>
      <c r="L8168" s="787">
        <v>40.770000000000003</v>
      </c>
      <c r="M8168" s="787">
        <v>10</v>
      </c>
      <c r="N8168" s="787">
        <v>40.450000000000003</v>
      </c>
      <c r="O8168" s="788">
        <v>41666</v>
      </c>
    </row>
    <row r="8169" spans="1:15" x14ac:dyDescent="0.25">
      <c r="A8169" s="786" t="s">
        <v>14639</v>
      </c>
      <c r="B8169" s="787">
        <v>4</v>
      </c>
      <c r="C8169" s="787" t="s">
        <v>14640</v>
      </c>
      <c r="D8169" s="787">
        <v>0</v>
      </c>
      <c r="E8169" s="787">
        <v>0</v>
      </c>
      <c r="H8169" s="787">
        <v>1</v>
      </c>
      <c r="L8169" s="787">
        <v>0</v>
      </c>
      <c r="M8169" s="787">
        <v>10</v>
      </c>
      <c r="N8169" s="787">
        <v>39.659999999999997</v>
      </c>
      <c r="O8169" s="788">
        <v>42146</v>
      </c>
    </row>
    <row r="8170" spans="1:15" x14ac:dyDescent="0.25">
      <c r="A8170" s="786" t="s">
        <v>14641</v>
      </c>
      <c r="B8170" s="787">
        <v>4</v>
      </c>
      <c r="C8170" s="787" t="s">
        <v>14642</v>
      </c>
      <c r="D8170" s="787">
        <v>3.18</v>
      </c>
      <c r="E8170" s="787">
        <v>4.09</v>
      </c>
      <c r="F8170" s="788">
        <v>41613</v>
      </c>
      <c r="G8170" s="788">
        <v>42013</v>
      </c>
      <c r="H8170" s="787">
        <v>1</v>
      </c>
      <c r="I8170" s="788">
        <v>42136</v>
      </c>
      <c r="J8170" s="788">
        <v>41947</v>
      </c>
      <c r="K8170" s="788">
        <v>41354</v>
      </c>
      <c r="L8170" s="787">
        <v>5.33</v>
      </c>
      <c r="M8170" s="787">
        <v>10</v>
      </c>
      <c r="N8170" s="787">
        <v>4.6399999999999997</v>
      </c>
      <c r="O8170" s="788">
        <v>42146</v>
      </c>
    </row>
    <row r="8171" spans="1:15" x14ac:dyDescent="0.25">
      <c r="A8171" s="786" t="s">
        <v>14643</v>
      </c>
      <c r="B8171" s="787">
        <v>4</v>
      </c>
      <c r="C8171" s="787" t="s">
        <v>14644</v>
      </c>
      <c r="D8171" s="787">
        <v>1.42</v>
      </c>
      <c r="E8171" s="787">
        <v>1.42</v>
      </c>
      <c r="F8171" s="788">
        <v>41775</v>
      </c>
      <c r="G8171" s="788">
        <v>42164</v>
      </c>
      <c r="H8171" s="787">
        <v>1</v>
      </c>
      <c r="I8171" s="788">
        <v>42058</v>
      </c>
      <c r="J8171" s="788">
        <v>42164</v>
      </c>
      <c r="K8171" s="788">
        <v>41354</v>
      </c>
      <c r="L8171" s="787">
        <v>0.62</v>
      </c>
      <c r="M8171" s="787">
        <v>10</v>
      </c>
      <c r="N8171" s="787">
        <v>1.27</v>
      </c>
      <c r="O8171" s="788">
        <v>42146</v>
      </c>
    </row>
    <row r="8172" spans="1:15" x14ac:dyDescent="0.25">
      <c r="A8172" s="786" t="s">
        <v>14645</v>
      </c>
      <c r="B8172" s="787">
        <v>4</v>
      </c>
      <c r="C8172" s="787" t="s">
        <v>14646</v>
      </c>
      <c r="D8172" s="787">
        <v>2.38</v>
      </c>
      <c r="E8172" s="787">
        <v>2.38</v>
      </c>
      <c r="F8172" s="788">
        <v>41526</v>
      </c>
      <c r="G8172" s="788">
        <v>42013</v>
      </c>
      <c r="H8172" s="787">
        <v>1</v>
      </c>
      <c r="I8172" s="788">
        <v>42058</v>
      </c>
      <c r="J8172" s="788">
        <v>41501</v>
      </c>
      <c r="K8172" s="788">
        <v>41354</v>
      </c>
      <c r="L8172" s="787">
        <v>2.0099999999999998</v>
      </c>
      <c r="M8172" s="787">
        <v>10</v>
      </c>
      <c r="N8172" s="787">
        <v>1.99</v>
      </c>
      <c r="O8172" s="788">
        <v>42146</v>
      </c>
    </row>
    <row r="8173" spans="1:15" x14ac:dyDescent="0.25">
      <c r="A8173" s="786" t="s">
        <v>14647</v>
      </c>
      <c r="B8173" s="787">
        <v>4</v>
      </c>
      <c r="C8173" s="787" t="s">
        <v>14648</v>
      </c>
      <c r="D8173" s="787">
        <v>3.54</v>
      </c>
      <c r="E8173" s="787">
        <v>4.16</v>
      </c>
      <c r="F8173" s="788">
        <v>41335</v>
      </c>
      <c r="G8173" s="788">
        <v>42013</v>
      </c>
      <c r="H8173" s="787">
        <v>1</v>
      </c>
      <c r="I8173" s="788">
        <v>42058</v>
      </c>
      <c r="J8173" s="788">
        <v>41501</v>
      </c>
      <c r="K8173" s="788">
        <v>41354</v>
      </c>
      <c r="L8173" s="787">
        <v>2.76</v>
      </c>
      <c r="M8173" s="787">
        <v>10</v>
      </c>
      <c r="N8173" s="787">
        <v>1.99</v>
      </c>
      <c r="O8173" s="788">
        <v>42146</v>
      </c>
    </row>
    <row r="8174" spans="1:15" x14ac:dyDescent="0.25">
      <c r="A8174" s="786" t="s">
        <v>14649</v>
      </c>
      <c r="B8174" s="787">
        <v>4</v>
      </c>
      <c r="C8174" s="787" t="s">
        <v>14650</v>
      </c>
      <c r="D8174" s="787">
        <v>3.54</v>
      </c>
      <c r="E8174" s="787">
        <v>23.54</v>
      </c>
      <c r="F8174" s="788">
        <v>42059</v>
      </c>
      <c r="G8174" s="788">
        <v>42059</v>
      </c>
      <c r="H8174" s="787">
        <v>1</v>
      </c>
      <c r="I8174" s="788">
        <v>42145</v>
      </c>
      <c r="J8174" s="788">
        <v>42031</v>
      </c>
      <c r="K8174" s="788">
        <v>41934</v>
      </c>
      <c r="L8174" s="787">
        <v>21.34</v>
      </c>
      <c r="M8174" s="787">
        <v>10</v>
      </c>
      <c r="N8174" s="787">
        <v>19.079999999999998</v>
      </c>
      <c r="O8174" s="788">
        <v>42146</v>
      </c>
    </row>
    <row r="8175" spans="1:15" x14ac:dyDescent="0.25">
      <c r="A8175" s="786" t="s">
        <v>14651</v>
      </c>
      <c r="B8175" s="787">
        <v>4</v>
      </c>
      <c r="C8175" s="787" t="s">
        <v>14652</v>
      </c>
      <c r="D8175" s="787">
        <v>0</v>
      </c>
      <c r="E8175" s="787">
        <v>0</v>
      </c>
      <c r="H8175" s="787">
        <v>1</v>
      </c>
      <c r="I8175" s="788">
        <v>41533</v>
      </c>
      <c r="L8175" s="787">
        <v>0</v>
      </c>
      <c r="M8175" s="787">
        <v>10</v>
      </c>
      <c r="N8175" s="787">
        <v>1.57</v>
      </c>
      <c r="O8175" s="788">
        <v>42146</v>
      </c>
    </row>
    <row r="8176" spans="1:15" x14ac:dyDescent="0.25">
      <c r="A8176" s="786" t="s">
        <v>14653</v>
      </c>
      <c r="B8176" s="787">
        <v>4</v>
      </c>
      <c r="C8176" s="787" t="s">
        <v>14654</v>
      </c>
      <c r="D8176" s="787">
        <v>0</v>
      </c>
      <c r="E8176" s="787">
        <v>0</v>
      </c>
      <c r="H8176" s="787">
        <v>1</v>
      </c>
      <c r="L8176" s="787">
        <v>0</v>
      </c>
      <c r="M8176" s="787">
        <v>10</v>
      </c>
      <c r="N8176" s="787">
        <v>6.69</v>
      </c>
      <c r="O8176" s="788">
        <v>42146</v>
      </c>
    </row>
    <row r="8177" spans="1:15" x14ac:dyDescent="0.25">
      <c r="A8177" s="786" t="s">
        <v>14655</v>
      </c>
      <c r="B8177" s="787">
        <v>4</v>
      </c>
      <c r="C8177" s="787" t="s">
        <v>14656</v>
      </c>
      <c r="D8177" s="787">
        <v>0</v>
      </c>
      <c r="E8177" s="787">
        <v>0</v>
      </c>
      <c r="H8177" s="787">
        <v>1</v>
      </c>
      <c r="L8177" s="787">
        <v>0</v>
      </c>
      <c r="M8177" s="787">
        <v>10</v>
      </c>
      <c r="N8177" s="787">
        <v>5.04</v>
      </c>
      <c r="O8177" s="788">
        <v>42146</v>
      </c>
    </row>
    <row r="8178" spans="1:15" x14ac:dyDescent="0.25">
      <c r="A8178" s="786" t="s">
        <v>14657</v>
      </c>
      <c r="B8178" s="787">
        <v>4</v>
      </c>
      <c r="C8178" s="787" t="s">
        <v>14658</v>
      </c>
      <c r="D8178" s="787">
        <v>0</v>
      </c>
      <c r="E8178" s="787">
        <v>0</v>
      </c>
      <c r="H8178" s="787">
        <v>1</v>
      </c>
      <c r="L8178" s="787">
        <v>0</v>
      </c>
      <c r="M8178" s="787">
        <v>10</v>
      </c>
      <c r="N8178" s="787">
        <v>1.25</v>
      </c>
      <c r="O8178" s="788">
        <v>42146</v>
      </c>
    </row>
    <row r="8179" spans="1:15" x14ac:dyDescent="0.25">
      <c r="A8179" s="786" t="s">
        <v>14659</v>
      </c>
      <c r="B8179" s="787">
        <v>4</v>
      </c>
      <c r="C8179" s="787" t="s">
        <v>14660</v>
      </c>
      <c r="D8179" s="787">
        <v>0</v>
      </c>
      <c r="E8179" s="787">
        <v>0</v>
      </c>
      <c r="H8179" s="787">
        <v>1</v>
      </c>
      <c r="L8179" s="787">
        <v>0</v>
      </c>
      <c r="M8179" s="787">
        <v>10</v>
      </c>
      <c r="N8179" s="787">
        <v>55.39</v>
      </c>
      <c r="O8179" s="788">
        <v>42146</v>
      </c>
    </row>
    <row r="8180" spans="1:15" x14ac:dyDescent="0.25">
      <c r="A8180" s="786" t="s">
        <v>14661</v>
      </c>
      <c r="B8180" s="787">
        <v>4</v>
      </c>
      <c r="C8180" s="787" t="s">
        <v>14662</v>
      </c>
      <c r="D8180" s="787">
        <v>0.18</v>
      </c>
      <c r="E8180" s="787">
        <v>0.24</v>
      </c>
      <c r="F8180" s="788">
        <v>41369</v>
      </c>
      <c r="G8180" s="788">
        <v>42013</v>
      </c>
      <c r="H8180" s="787">
        <v>1</v>
      </c>
      <c r="I8180" s="788">
        <v>42083</v>
      </c>
      <c r="J8180" s="788">
        <v>41841</v>
      </c>
      <c r="K8180" s="788">
        <v>41393</v>
      </c>
      <c r="L8180" s="787">
        <v>0.46</v>
      </c>
      <c r="M8180" s="787">
        <v>10</v>
      </c>
      <c r="N8180" s="787">
        <v>1.91</v>
      </c>
      <c r="O8180" s="788">
        <v>42146</v>
      </c>
    </row>
    <row r="8181" spans="1:15" x14ac:dyDescent="0.25">
      <c r="A8181" s="786" t="s">
        <v>14663</v>
      </c>
      <c r="B8181" s="787">
        <v>4</v>
      </c>
      <c r="C8181" s="787" t="s">
        <v>14664</v>
      </c>
      <c r="D8181" s="787">
        <v>0</v>
      </c>
      <c r="E8181" s="787">
        <v>0</v>
      </c>
      <c r="H8181" s="787">
        <v>1</v>
      </c>
      <c r="L8181" s="787">
        <v>0</v>
      </c>
      <c r="M8181" s="787">
        <v>10</v>
      </c>
      <c r="N8181" s="787">
        <v>1.47</v>
      </c>
      <c r="O8181" s="788">
        <v>42146</v>
      </c>
    </row>
    <row r="8182" spans="1:15" x14ac:dyDescent="0.25">
      <c r="A8182" s="786" t="s">
        <v>14665</v>
      </c>
      <c r="B8182" s="787">
        <v>4</v>
      </c>
      <c r="C8182" s="787" t="s">
        <v>14376</v>
      </c>
      <c r="D8182" s="787">
        <v>0</v>
      </c>
      <c r="E8182" s="787">
        <v>0</v>
      </c>
      <c r="H8182" s="787">
        <v>1</v>
      </c>
      <c r="I8182" s="788">
        <v>40716</v>
      </c>
      <c r="K8182" s="788">
        <v>42038</v>
      </c>
      <c r="L8182" s="787">
        <v>29.92</v>
      </c>
      <c r="M8182" s="787">
        <v>10</v>
      </c>
      <c r="N8182" s="787">
        <v>29.92</v>
      </c>
      <c r="O8182" s="788">
        <v>42146</v>
      </c>
    </row>
    <row r="8183" spans="1:15" x14ac:dyDescent="0.25">
      <c r="A8183" s="786" t="s">
        <v>14666</v>
      </c>
      <c r="B8183" s="787">
        <v>4</v>
      </c>
      <c r="C8183" s="787" t="s">
        <v>14667</v>
      </c>
      <c r="D8183" s="787">
        <v>0</v>
      </c>
      <c r="E8183" s="787">
        <v>0</v>
      </c>
      <c r="H8183" s="787">
        <v>1</v>
      </c>
      <c r="L8183" s="787">
        <v>0</v>
      </c>
      <c r="M8183" s="787">
        <v>10</v>
      </c>
      <c r="N8183" s="787">
        <v>29.56</v>
      </c>
      <c r="O8183" s="788">
        <v>42146</v>
      </c>
    </row>
    <row r="8184" spans="1:15" x14ac:dyDescent="0.25">
      <c r="A8184" s="786" t="s">
        <v>14668</v>
      </c>
      <c r="B8184" s="787">
        <v>4</v>
      </c>
      <c r="C8184" s="787" t="s">
        <v>14669</v>
      </c>
      <c r="D8184" s="787">
        <v>1.3</v>
      </c>
      <c r="E8184" s="787">
        <v>18.66</v>
      </c>
      <c r="F8184" s="788">
        <v>41180</v>
      </c>
      <c r="G8184" s="788">
        <v>42093</v>
      </c>
      <c r="H8184" s="787">
        <v>1</v>
      </c>
      <c r="I8184" s="788">
        <v>42159</v>
      </c>
      <c r="J8184" s="788">
        <v>42065</v>
      </c>
      <c r="K8184" s="788">
        <v>41891</v>
      </c>
      <c r="L8184" s="787">
        <v>11.02</v>
      </c>
      <c r="M8184" s="787">
        <v>10</v>
      </c>
      <c r="N8184" s="787">
        <v>25.06</v>
      </c>
      <c r="O8184" s="788">
        <v>42146</v>
      </c>
    </row>
    <row r="8185" spans="1:15" x14ac:dyDescent="0.25">
      <c r="A8185" s="786" t="s">
        <v>14670</v>
      </c>
      <c r="B8185" s="787">
        <v>4</v>
      </c>
      <c r="C8185" s="787" t="s">
        <v>14671</v>
      </c>
      <c r="D8185" s="787">
        <v>8.25</v>
      </c>
      <c r="E8185" s="787">
        <v>38.25</v>
      </c>
      <c r="F8185" s="788">
        <v>42086</v>
      </c>
      <c r="G8185" s="788">
        <v>42086</v>
      </c>
      <c r="H8185" s="787">
        <v>1</v>
      </c>
      <c r="I8185" s="788">
        <v>42159</v>
      </c>
      <c r="J8185" s="788">
        <v>42058</v>
      </c>
      <c r="K8185" s="788">
        <v>41339</v>
      </c>
      <c r="L8185" s="787">
        <v>42.16</v>
      </c>
      <c r="M8185" s="787">
        <v>10</v>
      </c>
      <c r="N8185" s="787">
        <v>39.46</v>
      </c>
      <c r="O8185" s="788">
        <v>42146</v>
      </c>
    </row>
    <row r="8186" spans="1:15" x14ac:dyDescent="0.25">
      <c r="A8186" s="786" t="s">
        <v>14672</v>
      </c>
      <c r="B8186" s="787">
        <v>4</v>
      </c>
      <c r="C8186" s="787" t="s">
        <v>14673</v>
      </c>
      <c r="D8186" s="787">
        <v>0.56999999999999995</v>
      </c>
      <c r="E8186" s="787">
        <v>1.22</v>
      </c>
      <c r="F8186" s="788">
        <v>40948</v>
      </c>
      <c r="G8186" s="788">
        <v>41180</v>
      </c>
      <c r="H8186" s="787">
        <v>1</v>
      </c>
      <c r="I8186" s="788">
        <v>41138</v>
      </c>
      <c r="J8186" s="788">
        <v>41135</v>
      </c>
      <c r="L8186" s="787">
        <v>0</v>
      </c>
      <c r="M8186" s="787">
        <v>10</v>
      </c>
      <c r="N8186" s="787">
        <v>0.68</v>
      </c>
      <c r="O8186" s="788">
        <v>42146</v>
      </c>
    </row>
    <row r="8187" spans="1:15" x14ac:dyDescent="0.25">
      <c r="A8187" s="786" t="s">
        <v>14674</v>
      </c>
      <c r="B8187" s="787">
        <v>4</v>
      </c>
      <c r="C8187" s="787" t="s">
        <v>14675</v>
      </c>
      <c r="D8187" s="787">
        <v>0</v>
      </c>
      <c r="E8187" s="787">
        <v>0</v>
      </c>
      <c r="H8187" s="787">
        <v>1</v>
      </c>
      <c r="L8187" s="787">
        <v>0</v>
      </c>
      <c r="M8187" s="787">
        <v>10</v>
      </c>
      <c r="N8187" s="787">
        <v>11.23</v>
      </c>
      <c r="O8187" s="788">
        <v>42146</v>
      </c>
    </row>
    <row r="8188" spans="1:15" x14ac:dyDescent="0.25">
      <c r="A8188" s="786" t="s">
        <v>14676</v>
      </c>
      <c r="B8188" s="787">
        <v>4</v>
      </c>
      <c r="C8188" s="787" t="s">
        <v>14677</v>
      </c>
      <c r="D8188" s="787">
        <v>0.31</v>
      </c>
      <c r="E8188" s="787">
        <v>0.31</v>
      </c>
      <c r="F8188" s="788">
        <v>41806</v>
      </c>
      <c r="G8188" s="788">
        <v>42013</v>
      </c>
      <c r="H8188" s="787">
        <v>1</v>
      </c>
      <c r="J8188" s="788">
        <v>41772</v>
      </c>
      <c r="K8188" s="788">
        <v>41771</v>
      </c>
      <c r="L8188" s="787">
        <v>0.03</v>
      </c>
      <c r="M8188" s="787">
        <v>10</v>
      </c>
      <c r="N8188" s="787">
        <v>1.05</v>
      </c>
      <c r="O8188" s="788">
        <v>42146</v>
      </c>
    </row>
    <row r="8189" spans="1:15" x14ac:dyDescent="0.25">
      <c r="A8189" s="786" t="s">
        <v>14678</v>
      </c>
      <c r="B8189" s="787">
        <v>4</v>
      </c>
      <c r="C8189" s="787" t="s">
        <v>14679</v>
      </c>
      <c r="D8189" s="787">
        <v>0.39</v>
      </c>
      <c r="E8189" s="787">
        <v>0.39</v>
      </c>
      <c r="F8189" s="788">
        <v>41806</v>
      </c>
      <c r="G8189" s="788">
        <v>42013</v>
      </c>
      <c r="H8189" s="787">
        <v>1</v>
      </c>
      <c r="J8189" s="788">
        <v>41772</v>
      </c>
      <c r="K8189" s="788">
        <v>41771</v>
      </c>
      <c r="L8189" s="787">
        <v>0.03</v>
      </c>
      <c r="M8189" s="787">
        <v>10</v>
      </c>
      <c r="N8189" s="787">
        <v>1.3</v>
      </c>
      <c r="O8189" s="788">
        <v>42146</v>
      </c>
    </row>
    <row r="8190" spans="1:15" x14ac:dyDescent="0.25">
      <c r="A8190" s="786" t="s">
        <v>14680</v>
      </c>
      <c r="B8190" s="787">
        <v>4</v>
      </c>
      <c r="C8190" s="787" t="s">
        <v>14681</v>
      </c>
      <c r="D8190" s="787">
        <v>0.77</v>
      </c>
      <c r="E8190" s="787">
        <v>0.77</v>
      </c>
      <c r="F8190" s="788">
        <v>41806</v>
      </c>
      <c r="G8190" s="788">
        <v>42013</v>
      </c>
      <c r="H8190" s="787">
        <v>1</v>
      </c>
      <c r="J8190" s="788">
        <v>41772</v>
      </c>
      <c r="K8190" s="788">
        <v>41771</v>
      </c>
      <c r="L8190" s="787">
        <v>0.85</v>
      </c>
      <c r="M8190" s="787">
        <v>10</v>
      </c>
      <c r="N8190" s="787">
        <v>1.88</v>
      </c>
      <c r="O8190" s="788">
        <v>42146</v>
      </c>
    </row>
    <row r="8191" spans="1:15" x14ac:dyDescent="0.25">
      <c r="A8191" s="786" t="s">
        <v>14682</v>
      </c>
      <c r="B8191" s="787">
        <v>4</v>
      </c>
      <c r="C8191" s="787" t="s">
        <v>14683</v>
      </c>
      <c r="D8191" s="787">
        <v>0</v>
      </c>
      <c r="E8191" s="787">
        <v>0</v>
      </c>
      <c r="H8191" s="787">
        <v>1</v>
      </c>
      <c r="I8191" s="788">
        <v>40928</v>
      </c>
      <c r="L8191" s="787">
        <v>0</v>
      </c>
      <c r="M8191" s="787">
        <v>10</v>
      </c>
      <c r="N8191" s="787">
        <v>5.86</v>
      </c>
      <c r="O8191" s="788">
        <v>42146</v>
      </c>
    </row>
    <row r="8192" spans="1:15" x14ac:dyDescent="0.25">
      <c r="A8192" s="786" t="s">
        <v>14684</v>
      </c>
      <c r="B8192" s="787">
        <v>4</v>
      </c>
      <c r="C8192" s="787" t="s">
        <v>14685</v>
      </c>
      <c r="D8192" s="787">
        <v>0</v>
      </c>
      <c r="E8192" s="787">
        <v>0</v>
      </c>
      <c r="H8192" s="787">
        <v>1</v>
      </c>
      <c r="L8192" s="787">
        <v>0</v>
      </c>
      <c r="M8192" s="787">
        <v>10</v>
      </c>
      <c r="N8192" s="787">
        <v>10.33</v>
      </c>
      <c r="O8192" s="788">
        <v>42146</v>
      </c>
    </row>
    <row r="8193" spans="1:15" x14ac:dyDescent="0.25">
      <c r="A8193" s="786" t="s">
        <v>14686</v>
      </c>
      <c r="B8193" s="787">
        <v>4</v>
      </c>
      <c r="C8193" s="787" t="s">
        <v>14687</v>
      </c>
      <c r="D8193" s="787">
        <v>0</v>
      </c>
      <c r="E8193" s="787">
        <v>0</v>
      </c>
      <c r="H8193" s="787">
        <v>1</v>
      </c>
      <c r="L8193" s="787">
        <v>0</v>
      </c>
      <c r="M8193" s="787">
        <v>10</v>
      </c>
      <c r="N8193" s="787">
        <v>10.63</v>
      </c>
      <c r="O8193" s="788">
        <v>42146</v>
      </c>
    </row>
    <row r="8194" spans="1:15" x14ac:dyDescent="0.25">
      <c r="A8194" s="786" t="s">
        <v>14688</v>
      </c>
      <c r="B8194" s="787">
        <v>4</v>
      </c>
      <c r="C8194" s="787" t="s">
        <v>14689</v>
      </c>
      <c r="D8194" s="787">
        <v>0</v>
      </c>
      <c r="E8194" s="787">
        <v>0</v>
      </c>
      <c r="H8194" s="787">
        <v>1</v>
      </c>
      <c r="I8194" s="788">
        <v>40928</v>
      </c>
      <c r="L8194" s="787">
        <v>0</v>
      </c>
      <c r="M8194" s="787">
        <v>10</v>
      </c>
      <c r="N8194" s="787">
        <v>10.14</v>
      </c>
      <c r="O8194" s="788">
        <v>42146</v>
      </c>
    </row>
    <row r="8195" spans="1:15" x14ac:dyDescent="0.25">
      <c r="A8195" s="786" t="s">
        <v>14690</v>
      </c>
      <c r="B8195" s="787">
        <v>4</v>
      </c>
      <c r="C8195" s="787" t="s">
        <v>14691</v>
      </c>
      <c r="D8195" s="787">
        <v>0</v>
      </c>
      <c r="E8195" s="787">
        <v>0</v>
      </c>
      <c r="H8195" s="787">
        <v>1</v>
      </c>
      <c r="I8195" s="788">
        <v>40928</v>
      </c>
      <c r="K8195" s="788">
        <v>41038</v>
      </c>
      <c r="L8195" s="787">
        <v>6.27</v>
      </c>
      <c r="M8195" s="787">
        <v>10</v>
      </c>
      <c r="N8195" s="787">
        <v>4.37</v>
      </c>
      <c r="O8195" s="788">
        <v>42146</v>
      </c>
    </row>
    <row r="8196" spans="1:15" x14ac:dyDescent="0.25">
      <c r="A8196" s="786" t="s">
        <v>14692</v>
      </c>
      <c r="B8196" s="787">
        <v>4</v>
      </c>
      <c r="C8196" s="787" t="s">
        <v>14693</v>
      </c>
      <c r="D8196" s="787">
        <v>0</v>
      </c>
      <c r="E8196" s="787">
        <v>0</v>
      </c>
      <c r="H8196" s="787">
        <v>1</v>
      </c>
      <c r="L8196" s="787">
        <v>0</v>
      </c>
      <c r="M8196" s="787">
        <v>10</v>
      </c>
      <c r="N8196" s="787">
        <v>10.19</v>
      </c>
      <c r="O8196" s="788">
        <v>42146</v>
      </c>
    </row>
    <row r="8197" spans="1:15" x14ac:dyDescent="0.25">
      <c r="A8197" s="786" t="s">
        <v>14694</v>
      </c>
      <c r="B8197" s="787">
        <v>4</v>
      </c>
      <c r="C8197" s="787" t="s">
        <v>14695</v>
      </c>
      <c r="D8197" s="787">
        <v>2.77</v>
      </c>
      <c r="E8197" s="787">
        <v>5.78</v>
      </c>
      <c r="F8197" s="788">
        <v>42017</v>
      </c>
      <c r="G8197" s="788">
        <v>42136</v>
      </c>
      <c r="H8197" s="787">
        <v>1</v>
      </c>
      <c r="I8197" s="788">
        <v>42165</v>
      </c>
      <c r="J8197" s="788">
        <v>42136</v>
      </c>
      <c r="K8197" s="788">
        <v>42143</v>
      </c>
      <c r="L8197" s="787">
        <v>5.8</v>
      </c>
      <c r="M8197" s="787">
        <v>10</v>
      </c>
      <c r="N8197" s="787">
        <v>3.09</v>
      </c>
      <c r="O8197" s="788">
        <v>42146</v>
      </c>
    </row>
    <row r="8198" spans="1:15" x14ac:dyDescent="0.25">
      <c r="A8198" s="786" t="s">
        <v>14696</v>
      </c>
      <c r="B8198" s="787">
        <v>4</v>
      </c>
      <c r="C8198" s="787" t="s">
        <v>14697</v>
      </c>
      <c r="D8198" s="787">
        <v>0.14000000000000001</v>
      </c>
      <c r="E8198" s="787">
        <v>0.53</v>
      </c>
      <c r="F8198" s="788">
        <v>41775</v>
      </c>
      <c r="G8198" s="788">
        <v>42160</v>
      </c>
      <c r="H8198" s="787">
        <v>1</v>
      </c>
      <c r="I8198" s="788">
        <v>42166</v>
      </c>
      <c r="J8198" s="788">
        <v>42160</v>
      </c>
      <c r="K8198" s="788">
        <v>41376</v>
      </c>
      <c r="L8198" s="787">
        <v>0.56000000000000005</v>
      </c>
      <c r="M8198" s="787">
        <v>10</v>
      </c>
      <c r="N8198" s="787">
        <v>0.54</v>
      </c>
      <c r="O8198" s="788">
        <v>42146</v>
      </c>
    </row>
    <row r="8199" spans="1:15" x14ac:dyDescent="0.25">
      <c r="A8199" s="786" t="s">
        <v>14698</v>
      </c>
      <c r="B8199" s="787">
        <v>4</v>
      </c>
      <c r="C8199" s="787" t="s">
        <v>14699</v>
      </c>
      <c r="D8199" s="787">
        <v>1.27</v>
      </c>
      <c r="E8199" s="787">
        <v>1.27</v>
      </c>
      <c r="F8199" s="788">
        <v>41775</v>
      </c>
      <c r="G8199" s="788">
        <v>42013</v>
      </c>
      <c r="H8199" s="787">
        <v>1</v>
      </c>
      <c r="I8199" s="788">
        <v>42163</v>
      </c>
      <c r="J8199" s="788">
        <v>41689</v>
      </c>
      <c r="K8199" s="788">
        <v>41393</v>
      </c>
      <c r="L8199" s="787">
        <v>1.32</v>
      </c>
      <c r="M8199" s="787">
        <v>10</v>
      </c>
      <c r="N8199" s="787">
        <v>2.12</v>
      </c>
      <c r="O8199" s="788">
        <v>42163</v>
      </c>
    </row>
    <row r="8200" spans="1:15" x14ac:dyDescent="0.25">
      <c r="A8200" s="786" t="s">
        <v>14700</v>
      </c>
      <c r="B8200" s="787">
        <v>4</v>
      </c>
      <c r="C8200" s="787" t="s">
        <v>14701</v>
      </c>
      <c r="D8200" s="787">
        <v>1.23</v>
      </c>
      <c r="E8200" s="787">
        <v>2.42</v>
      </c>
      <c r="F8200" s="788">
        <v>41548</v>
      </c>
      <c r="G8200" s="788">
        <v>42088</v>
      </c>
      <c r="H8200" s="787">
        <v>1</v>
      </c>
      <c r="I8200" s="788">
        <v>42164</v>
      </c>
      <c r="J8200" s="788">
        <v>42055</v>
      </c>
      <c r="K8200" s="788">
        <v>41495</v>
      </c>
      <c r="L8200" s="787">
        <v>0.99</v>
      </c>
      <c r="M8200" s="787">
        <v>10</v>
      </c>
      <c r="N8200" s="787">
        <v>1.62</v>
      </c>
      <c r="O8200" s="788">
        <v>42146</v>
      </c>
    </row>
    <row r="8201" spans="1:15" x14ac:dyDescent="0.25">
      <c r="A8201" s="786" t="s">
        <v>14702</v>
      </c>
      <c r="B8201" s="787">
        <v>4</v>
      </c>
      <c r="C8201" s="787" t="s">
        <v>14703</v>
      </c>
      <c r="D8201" s="787">
        <v>0.3</v>
      </c>
      <c r="E8201" s="787">
        <v>44.91</v>
      </c>
      <c r="F8201" s="788">
        <v>41886</v>
      </c>
      <c r="G8201" s="788">
        <v>42164</v>
      </c>
      <c r="H8201" s="787">
        <v>1</v>
      </c>
      <c r="I8201" s="788">
        <v>42164</v>
      </c>
      <c r="J8201" s="788">
        <v>42164</v>
      </c>
      <c r="K8201" s="788">
        <v>41339</v>
      </c>
      <c r="L8201" s="787">
        <v>36.19</v>
      </c>
      <c r="M8201" s="787">
        <v>10</v>
      </c>
      <c r="N8201" s="787">
        <v>41.82</v>
      </c>
      <c r="O8201" s="788">
        <v>42146</v>
      </c>
    </row>
    <row r="8202" spans="1:15" x14ac:dyDescent="0.25">
      <c r="A8202" s="786" t="s">
        <v>14704</v>
      </c>
      <c r="B8202" s="787">
        <v>4</v>
      </c>
      <c r="C8202" s="787" t="s">
        <v>14705</v>
      </c>
      <c r="D8202" s="787">
        <v>1.89</v>
      </c>
      <c r="E8202" s="787">
        <v>2.27</v>
      </c>
      <c r="F8202" s="788">
        <v>41134</v>
      </c>
      <c r="G8202" s="788">
        <v>42093</v>
      </c>
      <c r="H8202" s="787">
        <v>1</v>
      </c>
      <c r="I8202" s="788">
        <v>42163</v>
      </c>
      <c r="J8202" s="788">
        <v>42062</v>
      </c>
      <c r="K8202" s="788">
        <v>41445</v>
      </c>
      <c r="L8202" s="787">
        <v>1</v>
      </c>
      <c r="M8202" s="787">
        <v>10</v>
      </c>
      <c r="N8202" s="787">
        <v>2.66</v>
      </c>
      <c r="O8202" s="788">
        <v>42146</v>
      </c>
    </row>
    <row r="8203" spans="1:15" x14ac:dyDescent="0.25">
      <c r="A8203" s="786" t="s">
        <v>14706</v>
      </c>
      <c r="B8203" s="787">
        <v>4</v>
      </c>
      <c r="C8203" s="787" t="s">
        <v>14707</v>
      </c>
      <c r="D8203" s="787">
        <v>0.84</v>
      </c>
      <c r="E8203" s="787">
        <v>2.8</v>
      </c>
      <c r="F8203" s="788">
        <v>41134</v>
      </c>
      <c r="G8203" s="788">
        <v>41963</v>
      </c>
      <c r="H8203" s="787">
        <v>1</v>
      </c>
      <c r="I8203" s="788">
        <v>42163</v>
      </c>
      <c r="J8203" s="788">
        <v>41963</v>
      </c>
      <c r="K8203" s="788">
        <v>41445</v>
      </c>
      <c r="L8203" s="787">
        <v>1</v>
      </c>
      <c r="M8203" s="787">
        <v>10</v>
      </c>
      <c r="N8203" s="787">
        <v>1.98</v>
      </c>
      <c r="O8203" s="788">
        <v>42146</v>
      </c>
    </row>
    <row r="8204" spans="1:15" x14ac:dyDescent="0.25">
      <c r="A8204" s="786" t="s">
        <v>14708</v>
      </c>
      <c r="B8204" s="787">
        <v>4</v>
      </c>
      <c r="C8204" s="787" t="s">
        <v>14709</v>
      </c>
      <c r="D8204" s="787">
        <v>3.2</v>
      </c>
      <c r="E8204" s="787">
        <v>131.36000000000001</v>
      </c>
      <c r="F8204" s="788">
        <v>41775</v>
      </c>
      <c r="G8204" s="788">
        <v>42122</v>
      </c>
      <c r="H8204" s="787">
        <v>1</v>
      </c>
      <c r="I8204" s="788">
        <v>42090</v>
      </c>
      <c r="J8204" s="788">
        <v>42089</v>
      </c>
      <c r="K8204" s="788">
        <v>42145</v>
      </c>
      <c r="L8204" s="787">
        <v>130</v>
      </c>
      <c r="M8204" s="787">
        <v>10</v>
      </c>
      <c r="N8204" s="787">
        <v>94.2</v>
      </c>
      <c r="O8204" s="788">
        <v>42146</v>
      </c>
    </row>
    <row r="8205" spans="1:15" x14ac:dyDescent="0.25">
      <c r="A8205" s="786" t="s">
        <v>14710</v>
      </c>
      <c r="B8205" s="787">
        <v>4</v>
      </c>
      <c r="C8205" s="787" t="s">
        <v>14711</v>
      </c>
      <c r="D8205" s="787">
        <v>3.2</v>
      </c>
      <c r="E8205" s="787">
        <v>122.53</v>
      </c>
      <c r="F8205" s="788">
        <v>41775</v>
      </c>
      <c r="G8205" s="788">
        <v>42124</v>
      </c>
      <c r="H8205" s="787">
        <v>1</v>
      </c>
      <c r="I8205" s="788">
        <v>42128</v>
      </c>
      <c r="J8205" s="788">
        <v>42129</v>
      </c>
      <c r="K8205" s="788">
        <v>41703</v>
      </c>
      <c r="L8205" s="787">
        <v>92</v>
      </c>
      <c r="M8205" s="787">
        <v>10</v>
      </c>
      <c r="N8205" s="787">
        <v>98.43</v>
      </c>
      <c r="O8205" s="788">
        <v>42146</v>
      </c>
    </row>
    <row r="8206" spans="1:15" x14ac:dyDescent="0.25">
      <c r="A8206" s="786" t="s">
        <v>14712</v>
      </c>
      <c r="B8206" s="787">
        <v>4</v>
      </c>
      <c r="C8206" s="787" t="s">
        <v>14713</v>
      </c>
      <c r="D8206" s="787">
        <v>1.56</v>
      </c>
      <c r="E8206" s="787">
        <v>3.11</v>
      </c>
      <c r="F8206" s="788">
        <v>40644</v>
      </c>
      <c r="G8206" s="788">
        <v>42013</v>
      </c>
      <c r="H8206" s="787">
        <v>1</v>
      </c>
      <c r="I8206" s="788">
        <v>41694</v>
      </c>
      <c r="J8206" s="788">
        <v>41726</v>
      </c>
      <c r="K8206" s="788">
        <v>41856</v>
      </c>
      <c r="L8206" s="787">
        <v>3.11</v>
      </c>
      <c r="M8206" s="787">
        <v>10</v>
      </c>
      <c r="N8206" s="787">
        <v>3.84</v>
      </c>
      <c r="O8206" s="788">
        <v>42163</v>
      </c>
    </row>
    <row r="8207" spans="1:15" x14ac:dyDescent="0.25">
      <c r="A8207" s="786" t="s">
        <v>14714</v>
      </c>
      <c r="B8207" s="787">
        <v>4</v>
      </c>
      <c r="C8207" s="787" t="s">
        <v>14715</v>
      </c>
      <c r="D8207" s="787">
        <v>0</v>
      </c>
      <c r="E8207" s="787">
        <v>0</v>
      </c>
      <c r="H8207" s="787">
        <v>6</v>
      </c>
      <c r="K8207" s="788">
        <v>41624</v>
      </c>
      <c r="L8207" s="787">
        <v>8.86</v>
      </c>
      <c r="M8207" s="787">
        <v>10</v>
      </c>
      <c r="N8207" s="787">
        <v>8.6999999999999993</v>
      </c>
      <c r="O8207" s="788">
        <v>41810</v>
      </c>
    </row>
    <row r="8208" spans="1:15" x14ac:dyDescent="0.25">
      <c r="A8208" s="786" t="s">
        <v>14716</v>
      </c>
      <c r="B8208" s="787">
        <v>4</v>
      </c>
      <c r="C8208" s="787" t="s">
        <v>14717</v>
      </c>
      <c r="D8208" s="787">
        <v>0</v>
      </c>
      <c r="E8208" s="787">
        <v>0</v>
      </c>
      <c r="H8208" s="787">
        <v>6</v>
      </c>
      <c r="K8208" s="788">
        <v>41624</v>
      </c>
      <c r="L8208" s="787">
        <v>8.86</v>
      </c>
      <c r="M8208" s="787">
        <v>10</v>
      </c>
      <c r="N8208" s="787">
        <v>8.6999999999999993</v>
      </c>
      <c r="O8208" s="788">
        <v>41810</v>
      </c>
    </row>
    <row r="8209" spans="1:15" x14ac:dyDescent="0.25">
      <c r="A8209" s="786" t="s">
        <v>14718</v>
      </c>
      <c r="B8209" s="787">
        <v>4</v>
      </c>
      <c r="C8209" s="787" t="s">
        <v>14719</v>
      </c>
      <c r="D8209" s="787">
        <v>0</v>
      </c>
      <c r="E8209" s="787">
        <v>0</v>
      </c>
      <c r="H8209" s="787">
        <v>6</v>
      </c>
      <c r="K8209" s="788">
        <v>41624</v>
      </c>
      <c r="L8209" s="787">
        <v>11.53</v>
      </c>
      <c r="M8209" s="787">
        <v>10</v>
      </c>
      <c r="N8209" s="787">
        <v>11.3</v>
      </c>
      <c r="O8209" s="788">
        <v>41810</v>
      </c>
    </row>
    <row r="8210" spans="1:15" x14ac:dyDescent="0.25">
      <c r="A8210" s="786" t="s">
        <v>14720</v>
      </c>
      <c r="B8210" s="787">
        <v>4</v>
      </c>
      <c r="C8210" s="787" t="s">
        <v>14721</v>
      </c>
      <c r="D8210" s="787">
        <v>0</v>
      </c>
      <c r="E8210" s="787">
        <v>0</v>
      </c>
      <c r="H8210" s="787">
        <v>6</v>
      </c>
      <c r="K8210" s="788">
        <v>41624</v>
      </c>
      <c r="L8210" s="787">
        <v>11.53</v>
      </c>
      <c r="M8210" s="787">
        <v>10</v>
      </c>
      <c r="N8210" s="787">
        <v>11.3</v>
      </c>
      <c r="O8210" s="788">
        <v>41810</v>
      </c>
    </row>
    <row r="8211" spans="1:15" x14ac:dyDescent="0.25">
      <c r="A8211" s="786" t="s">
        <v>14722</v>
      </c>
      <c r="B8211" s="787">
        <v>4</v>
      </c>
      <c r="C8211" s="787" t="s">
        <v>14723</v>
      </c>
      <c r="D8211" s="787">
        <v>0</v>
      </c>
      <c r="E8211" s="787">
        <v>0</v>
      </c>
      <c r="H8211" s="787">
        <v>1</v>
      </c>
      <c r="L8211" s="787">
        <v>0</v>
      </c>
      <c r="M8211" s="787">
        <v>10</v>
      </c>
      <c r="N8211" s="787">
        <v>5.94</v>
      </c>
      <c r="O8211" s="788">
        <v>42146</v>
      </c>
    </row>
    <row r="8212" spans="1:15" x14ac:dyDescent="0.25">
      <c r="A8212" s="786" t="s">
        <v>14724</v>
      </c>
      <c r="B8212" s="787">
        <v>4</v>
      </c>
      <c r="C8212" s="787" t="s">
        <v>14725</v>
      </c>
      <c r="D8212" s="787">
        <v>0.78</v>
      </c>
      <c r="E8212" s="787">
        <v>3.24</v>
      </c>
      <c r="F8212" s="788">
        <v>41927</v>
      </c>
      <c r="G8212" s="788">
        <v>42018</v>
      </c>
      <c r="H8212" s="787">
        <v>1</v>
      </c>
      <c r="I8212" s="788">
        <v>42152</v>
      </c>
      <c r="J8212" s="788">
        <v>41981</v>
      </c>
      <c r="K8212" s="788">
        <v>41891</v>
      </c>
      <c r="L8212" s="787">
        <v>2.2000000000000002</v>
      </c>
      <c r="M8212" s="787">
        <v>10</v>
      </c>
      <c r="N8212" s="787">
        <v>1.65</v>
      </c>
      <c r="O8212" s="788">
        <v>42146</v>
      </c>
    </row>
    <row r="8213" spans="1:15" x14ac:dyDescent="0.25">
      <c r="A8213" s="786" t="s">
        <v>14726</v>
      </c>
      <c r="B8213" s="787">
        <v>4</v>
      </c>
      <c r="C8213" s="787" t="s">
        <v>14727</v>
      </c>
      <c r="D8213" s="787">
        <v>4.01</v>
      </c>
      <c r="E8213" s="787">
        <v>54.01</v>
      </c>
      <c r="F8213" s="788">
        <v>42086</v>
      </c>
      <c r="G8213" s="788">
        <v>42086</v>
      </c>
      <c r="H8213" s="787">
        <v>1</v>
      </c>
      <c r="I8213" s="788">
        <v>40613</v>
      </c>
      <c r="J8213" s="788">
        <v>42051</v>
      </c>
      <c r="L8213" s="787">
        <v>0</v>
      </c>
      <c r="M8213" s="787">
        <v>10</v>
      </c>
      <c r="N8213" s="787">
        <v>14.04</v>
      </c>
      <c r="O8213" s="788">
        <v>42146</v>
      </c>
    </row>
    <row r="8214" spans="1:15" x14ac:dyDescent="0.25">
      <c r="A8214" s="786" t="s">
        <v>14728</v>
      </c>
      <c r="B8214" s="787">
        <v>4</v>
      </c>
      <c r="C8214" s="787" t="s">
        <v>14729</v>
      </c>
      <c r="D8214" s="787">
        <v>1.91</v>
      </c>
      <c r="E8214" s="787">
        <v>11.91</v>
      </c>
      <c r="F8214" s="788">
        <v>42086</v>
      </c>
      <c r="G8214" s="788">
        <v>42086</v>
      </c>
      <c r="H8214" s="787">
        <v>1</v>
      </c>
      <c r="I8214" s="788">
        <v>40613</v>
      </c>
      <c r="J8214" s="788">
        <v>42051</v>
      </c>
      <c r="L8214" s="787">
        <v>0</v>
      </c>
      <c r="M8214" s="787">
        <v>10</v>
      </c>
      <c r="N8214" s="787">
        <v>14.04</v>
      </c>
      <c r="O8214" s="788">
        <v>42146</v>
      </c>
    </row>
    <row r="8215" spans="1:15" x14ac:dyDescent="0.25">
      <c r="A8215" s="786" t="s">
        <v>14730</v>
      </c>
      <c r="B8215" s="787">
        <v>4</v>
      </c>
      <c r="C8215" s="787" t="s">
        <v>11701</v>
      </c>
      <c r="D8215" s="787">
        <v>0</v>
      </c>
      <c r="E8215" s="787">
        <v>0</v>
      </c>
      <c r="H8215" s="787">
        <v>1</v>
      </c>
      <c r="I8215" s="788">
        <v>42165</v>
      </c>
      <c r="L8215" s="787">
        <v>0</v>
      </c>
      <c r="M8215" s="787">
        <v>10</v>
      </c>
      <c r="N8215" s="787">
        <v>5.9</v>
      </c>
      <c r="O8215" s="788">
        <v>42146</v>
      </c>
    </row>
    <row r="8216" spans="1:15" x14ac:dyDescent="0.25">
      <c r="A8216" s="786" t="s">
        <v>14731</v>
      </c>
      <c r="B8216" s="787">
        <v>4</v>
      </c>
      <c r="C8216" s="787" t="s">
        <v>14732</v>
      </c>
      <c r="D8216" s="787">
        <v>0</v>
      </c>
      <c r="E8216" s="787">
        <v>0</v>
      </c>
      <c r="H8216" s="787">
        <v>1</v>
      </c>
      <c r="I8216" s="788">
        <v>42131</v>
      </c>
      <c r="L8216" s="787">
        <v>0</v>
      </c>
      <c r="M8216" s="787">
        <v>10</v>
      </c>
      <c r="N8216" s="787">
        <v>6.37</v>
      </c>
      <c r="O8216" s="788">
        <v>42162</v>
      </c>
    </row>
    <row r="8217" spans="1:15" x14ac:dyDescent="0.25">
      <c r="A8217" s="786" t="s">
        <v>14733</v>
      </c>
      <c r="B8217" s="787">
        <v>4</v>
      </c>
      <c r="C8217" s="787" t="s">
        <v>14732</v>
      </c>
      <c r="D8217" s="787">
        <v>0</v>
      </c>
      <c r="E8217" s="787">
        <v>0</v>
      </c>
      <c r="H8217" s="787">
        <v>1</v>
      </c>
      <c r="I8217" s="788">
        <v>42150</v>
      </c>
      <c r="L8217" s="787">
        <v>0</v>
      </c>
      <c r="M8217" s="787">
        <v>10</v>
      </c>
      <c r="N8217" s="787">
        <v>6.74</v>
      </c>
      <c r="O8217" s="788">
        <v>42162</v>
      </c>
    </row>
    <row r="8218" spans="1:15" x14ac:dyDescent="0.25">
      <c r="A8218" s="786" t="s">
        <v>14734</v>
      </c>
      <c r="B8218" s="787">
        <v>4</v>
      </c>
      <c r="C8218" s="787" t="s">
        <v>14735</v>
      </c>
      <c r="D8218" s="787">
        <v>0</v>
      </c>
      <c r="E8218" s="787">
        <v>0</v>
      </c>
      <c r="H8218" s="787">
        <v>1</v>
      </c>
      <c r="I8218" s="788">
        <v>42146</v>
      </c>
      <c r="L8218" s="787">
        <v>0</v>
      </c>
      <c r="M8218" s="787">
        <v>10</v>
      </c>
      <c r="N8218" s="787">
        <v>6.65</v>
      </c>
      <c r="O8218" s="788">
        <v>42146</v>
      </c>
    </row>
    <row r="8219" spans="1:15" x14ac:dyDescent="0.25">
      <c r="A8219" s="786" t="s">
        <v>14736</v>
      </c>
      <c r="B8219" s="787">
        <v>4</v>
      </c>
      <c r="C8219" s="787" t="s">
        <v>14735</v>
      </c>
      <c r="D8219" s="787">
        <v>0</v>
      </c>
      <c r="E8219" s="787">
        <v>0</v>
      </c>
      <c r="H8219" s="787">
        <v>1</v>
      </c>
      <c r="I8219" s="788">
        <v>42144</v>
      </c>
      <c r="L8219" s="787">
        <v>0</v>
      </c>
      <c r="M8219" s="787">
        <v>10</v>
      </c>
      <c r="N8219" s="787">
        <v>6.65</v>
      </c>
      <c r="O8219" s="788">
        <v>42146</v>
      </c>
    </row>
    <row r="8220" spans="1:15" x14ac:dyDescent="0.25">
      <c r="A8220" s="786" t="s">
        <v>14737</v>
      </c>
      <c r="B8220" s="787">
        <v>4</v>
      </c>
      <c r="C8220" s="787" t="s">
        <v>14738</v>
      </c>
      <c r="D8220" s="787">
        <v>0</v>
      </c>
      <c r="E8220" s="787">
        <v>0</v>
      </c>
      <c r="H8220" s="787">
        <v>1</v>
      </c>
      <c r="I8220" s="788">
        <v>42160</v>
      </c>
      <c r="L8220" s="787">
        <v>0</v>
      </c>
      <c r="M8220" s="787">
        <v>10</v>
      </c>
      <c r="N8220" s="787">
        <v>6.94</v>
      </c>
      <c r="O8220" s="788">
        <v>42146</v>
      </c>
    </row>
    <row r="8221" spans="1:15" x14ac:dyDescent="0.25">
      <c r="A8221" s="786" t="s">
        <v>14739</v>
      </c>
      <c r="B8221" s="787">
        <v>4</v>
      </c>
      <c r="C8221" s="787" t="s">
        <v>14740</v>
      </c>
      <c r="D8221" s="787">
        <v>0</v>
      </c>
      <c r="E8221" s="787">
        <v>0</v>
      </c>
      <c r="H8221" s="787">
        <v>1</v>
      </c>
      <c r="I8221" s="788">
        <v>42151</v>
      </c>
      <c r="K8221" s="788">
        <v>42017</v>
      </c>
      <c r="L8221" s="787">
        <v>6.65</v>
      </c>
      <c r="M8221" s="787">
        <v>10</v>
      </c>
      <c r="N8221" s="787">
        <v>6.65</v>
      </c>
      <c r="O8221" s="788">
        <v>42153</v>
      </c>
    </row>
    <row r="8222" spans="1:15" x14ac:dyDescent="0.25">
      <c r="A8222" s="786" t="s">
        <v>14741</v>
      </c>
      <c r="B8222" s="787">
        <v>4</v>
      </c>
      <c r="C8222" s="787" t="s">
        <v>14742</v>
      </c>
      <c r="D8222" s="787">
        <v>0</v>
      </c>
      <c r="E8222" s="787">
        <v>0</v>
      </c>
      <c r="H8222" s="787">
        <v>1</v>
      </c>
      <c r="I8222" s="788">
        <v>42153</v>
      </c>
      <c r="K8222" s="788">
        <v>42017</v>
      </c>
      <c r="L8222" s="787">
        <v>6.65</v>
      </c>
      <c r="M8222" s="787">
        <v>10</v>
      </c>
      <c r="N8222" s="787">
        <v>3.8</v>
      </c>
      <c r="O8222" s="788">
        <v>42156</v>
      </c>
    </row>
    <row r="8223" spans="1:15" x14ac:dyDescent="0.25">
      <c r="A8223" s="786" t="s">
        <v>14743</v>
      </c>
      <c r="B8223" s="787">
        <v>4</v>
      </c>
      <c r="C8223" s="787" t="s">
        <v>14744</v>
      </c>
      <c r="D8223" s="787">
        <v>0</v>
      </c>
      <c r="E8223" s="787">
        <v>0</v>
      </c>
      <c r="H8223" s="787">
        <v>1</v>
      </c>
      <c r="I8223" s="788">
        <v>42166</v>
      </c>
      <c r="K8223" s="788">
        <v>42002</v>
      </c>
      <c r="L8223" s="787">
        <v>6.65</v>
      </c>
      <c r="M8223" s="787">
        <v>10</v>
      </c>
      <c r="N8223" s="787">
        <v>6.65</v>
      </c>
      <c r="O8223" s="788">
        <v>42153</v>
      </c>
    </row>
    <row r="8224" spans="1:15" x14ac:dyDescent="0.25">
      <c r="A8224" s="786" t="s">
        <v>14745</v>
      </c>
      <c r="B8224" s="787">
        <v>4</v>
      </c>
      <c r="C8224" s="787" t="s">
        <v>14746</v>
      </c>
      <c r="D8224" s="787">
        <v>0</v>
      </c>
      <c r="E8224" s="787">
        <v>0</v>
      </c>
      <c r="H8224" s="787">
        <v>1</v>
      </c>
      <c r="I8224" s="788">
        <v>42166</v>
      </c>
      <c r="K8224" s="788">
        <v>42002</v>
      </c>
      <c r="L8224" s="787">
        <v>6.65</v>
      </c>
      <c r="M8224" s="787">
        <v>10</v>
      </c>
      <c r="N8224" s="787">
        <v>6.65</v>
      </c>
      <c r="O8224" s="788">
        <v>42153</v>
      </c>
    </row>
    <row r="8225" spans="1:15" x14ac:dyDescent="0.25">
      <c r="A8225" s="786" t="s">
        <v>14747</v>
      </c>
      <c r="B8225" s="787">
        <v>4</v>
      </c>
      <c r="C8225" s="787" t="s">
        <v>14748</v>
      </c>
      <c r="D8225" s="787">
        <v>0</v>
      </c>
      <c r="E8225" s="787">
        <v>0</v>
      </c>
      <c r="H8225" s="787">
        <v>1</v>
      </c>
      <c r="I8225" s="788">
        <v>42166</v>
      </c>
      <c r="L8225" s="787">
        <v>0</v>
      </c>
      <c r="M8225" s="787">
        <v>10</v>
      </c>
      <c r="N8225" s="787">
        <v>5.17</v>
      </c>
      <c r="O8225" s="788">
        <v>42153</v>
      </c>
    </row>
    <row r="8226" spans="1:15" x14ac:dyDescent="0.25">
      <c r="A8226" s="786" t="s">
        <v>14749</v>
      </c>
      <c r="B8226" s="787">
        <v>4</v>
      </c>
      <c r="C8226" s="787" t="s">
        <v>14750</v>
      </c>
      <c r="D8226" s="787">
        <v>0</v>
      </c>
      <c r="E8226" s="787">
        <v>0</v>
      </c>
      <c r="H8226" s="787">
        <v>1</v>
      </c>
      <c r="I8226" s="788">
        <v>42166</v>
      </c>
      <c r="L8226" s="787">
        <v>0</v>
      </c>
      <c r="M8226" s="787">
        <v>10</v>
      </c>
      <c r="N8226" s="787">
        <v>2.74</v>
      </c>
      <c r="O8226" s="788">
        <v>42156</v>
      </c>
    </row>
    <row r="8227" spans="1:15" x14ac:dyDescent="0.25">
      <c r="A8227" s="786" t="s">
        <v>14751</v>
      </c>
      <c r="B8227" s="787">
        <v>4</v>
      </c>
      <c r="C8227" s="787" t="s">
        <v>14752</v>
      </c>
      <c r="D8227" s="787">
        <v>8.1199999999999992</v>
      </c>
      <c r="E8227" s="787">
        <v>18.12</v>
      </c>
      <c r="F8227" s="788">
        <v>40644</v>
      </c>
      <c r="G8227" s="788">
        <v>41255</v>
      </c>
      <c r="H8227" s="787">
        <v>1</v>
      </c>
      <c r="J8227" s="788">
        <v>40568</v>
      </c>
      <c r="K8227" s="788">
        <v>42038</v>
      </c>
      <c r="L8227" s="787">
        <v>18.29</v>
      </c>
      <c r="M8227" s="787">
        <v>10</v>
      </c>
      <c r="N8227" s="787">
        <v>18.29</v>
      </c>
      <c r="O8227" s="788">
        <v>42146</v>
      </c>
    </row>
    <row r="8228" spans="1:15" x14ac:dyDescent="0.25">
      <c r="A8228" s="786" t="s">
        <v>14753</v>
      </c>
      <c r="B8228" s="787">
        <v>4</v>
      </c>
      <c r="C8228" s="787" t="s">
        <v>14754</v>
      </c>
      <c r="D8228" s="787">
        <v>1.21</v>
      </c>
      <c r="E8228" s="787">
        <v>4.1100000000000003</v>
      </c>
      <c r="F8228" s="788">
        <v>41135</v>
      </c>
      <c r="G8228" s="788">
        <v>42124</v>
      </c>
      <c r="H8228" s="787">
        <v>1</v>
      </c>
      <c r="I8228" s="788">
        <v>42152</v>
      </c>
      <c r="J8228" s="788">
        <v>42095</v>
      </c>
      <c r="K8228" s="788">
        <v>41891</v>
      </c>
      <c r="L8228" s="787">
        <v>4.91</v>
      </c>
      <c r="M8228" s="787">
        <v>10</v>
      </c>
      <c r="N8228" s="787">
        <v>3.44</v>
      </c>
      <c r="O8228" s="788">
        <v>42146</v>
      </c>
    </row>
    <row r="8229" spans="1:15" x14ac:dyDescent="0.25">
      <c r="A8229" s="786" t="s">
        <v>14755</v>
      </c>
      <c r="B8229" s="787">
        <v>4</v>
      </c>
      <c r="C8229" s="787" t="s">
        <v>14756</v>
      </c>
      <c r="D8229" s="787">
        <v>4.2300000000000004</v>
      </c>
      <c r="E8229" s="787">
        <v>7.1</v>
      </c>
      <c r="F8229" s="788">
        <v>41209</v>
      </c>
      <c r="G8229" s="788">
        <v>41943</v>
      </c>
      <c r="H8229" s="787">
        <v>5</v>
      </c>
      <c r="I8229" s="788">
        <v>41654</v>
      </c>
      <c r="J8229" s="788">
        <v>41535</v>
      </c>
      <c r="K8229" s="788">
        <v>41534</v>
      </c>
      <c r="L8229" s="787">
        <v>7.1</v>
      </c>
      <c r="M8229" s="787">
        <v>10</v>
      </c>
      <c r="N8229" s="787">
        <v>5.33</v>
      </c>
      <c r="O8229" s="788">
        <v>42146</v>
      </c>
    </row>
    <row r="8230" spans="1:15" x14ac:dyDescent="0.25">
      <c r="A8230" s="786" t="s">
        <v>14757</v>
      </c>
      <c r="B8230" s="787">
        <v>4</v>
      </c>
      <c r="C8230" s="787" t="s">
        <v>14758</v>
      </c>
      <c r="D8230" s="787">
        <v>7.16</v>
      </c>
      <c r="E8230" s="787">
        <v>15.61</v>
      </c>
      <c r="F8230" s="788">
        <v>41135</v>
      </c>
      <c r="G8230" s="788">
        <v>42013</v>
      </c>
      <c r="H8230" s="787">
        <v>1</v>
      </c>
      <c r="I8230" s="788">
        <v>41654</v>
      </c>
      <c r="J8230" s="788">
        <v>41576</v>
      </c>
      <c r="L8230" s="787">
        <v>0</v>
      </c>
      <c r="M8230" s="787">
        <v>10</v>
      </c>
      <c r="N8230" s="787">
        <v>13.95</v>
      </c>
      <c r="O8230" s="788">
        <v>42146</v>
      </c>
    </row>
    <row r="8231" spans="1:15" x14ac:dyDescent="0.25">
      <c r="A8231" s="786" t="s">
        <v>14759</v>
      </c>
      <c r="B8231" s="787">
        <v>4</v>
      </c>
      <c r="C8231" s="787" t="s">
        <v>14760</v>
      </c>
      <c r="D8231" s="787">
        <v>0</v>
      </c>
      <c r="E8231" s="787">
        <v>0</v>
      </c>
      <c r="H8231" s="787">
        <v>1</v>
      </c>
      <c r="I8231" s="788">
        <v>41925</v>
      </c>
      <c r="L8231" s="787">
        <v>0</v>
      </c>
      <c r="M8231" s="787">
        <v>10</v>
      </c>
      <c r="N8231" s="787">
        <v>7.06</v>
      </c>
      <c r="O8231" s="788">
        <v>42162</v>
      </c>
    </row>
    <row r="8232" spans="1:15" x14ac:dyDescent="0.25">
      <c r="A8232" s="786" t="s">
        <v>14761</v>
      </c>
      <c r="B8232" s="787">
        <v>4</v>
      </c>
      <c r="C8232" s="787" t="s">
        <v>14762</v>
      </c>
      <c r="D8232" s="787">
        <v>0</v>
      </c>
      <c r="E8232" s="787">
        <v>0</v>
      </c>
      <c r="H8232" s="787">
        <v>1</v>
      </c>
      <c r="I8232" s="788">
        <v>41925</v>
      </c>
      <c r="L8232" s="787">
        <v>0</v>
      </c>
      <c r="M8232" s="787">
        <v>10</v>
      </c>
      <c r="N8232" s="787">
        <v>7.06</v>
      </c>
      <c r="O8232" s="788">
        <v>42162</v>
      </c>
    </row>
    <row r="8233" spans="1:15" x14ac:dyDescent="0.25">
      <c r="A8233" s="786" t="s">
        <v>14763</v>
      </c>
      <c r="B8233" s="787">
        <v>4</v>
      </c>
      <c r="C8233" s="787" t="s">
        <v>14764</v>
      </c>
      <c r="D8233" s="787">
        <v>0</v>
      </c>
      <c r="E8233" s="787">
        <v>0</v>
      </c>
      <c r="H8233" s="787">
        <v>1</v>
      </c>
      <c r="I8233" s="788">
        <v>41925</v>
      </c>
      <c r="L8233" s="787">
        <v>0</v>
      </c>
      <c r="M8233" s="787">
        <v>10</v>
      </c>
      <c r="N8233" s="787">
        <v>4.75</v>
      </c>
      <c r="O8233" s="788">
        <v>42162</v>
      </c>
    </row>
    <row r="8234" spans="1:15" x14ac:dyDescent="0.25">
      <c r="A8234" s="786" t="s">
        <v>14765</v>
      </c>
      <c r="B8234" s="787">
        <v>4</v>
      </c>
      <c r="C8234" s="787" t="s">
        <v>14766</v>
      </c>
      <c r="D8234" s="787">
        <v>0</v>
      </c>
      <c r="E8234" s="787">
        <v>0</v>
      </c>
      <c r="H8234" s="787">
        <v>1</v>
      </c>
      <c r="I8234" s="788">
        <v>41925</v>
      </c>
      <c r="L8234" s="787">
        <v>0</v>
      </c>
      <c r="M8234" s="787">
        <v>10</v>
      </c>
      <c r="N8234" s="787">
        <v>4.75</v>
      </c>
      <c r="O8234" s="788">
        <v>42162</v>
      </c>
    </row>
    <row r="8235" spans="1:15" x14ac:dyDescent="0.25">
      <c r="A8235" s="786" t="s">
        <v>14767</v>
      </c>
      <c r="B8235" s="787">
        <v>4</v>
      </c>
      <c r="C8235" s="787" t="s">
        <v>14768</v>
      </c>
      <c r="D8235" s="787">
        <v>2.4900000000000002</v>
      </c>
      <c r="E8235" s="787">
        <v>2.4900000000000002</v>
      </c>
      <c r="F8235" s="788">
        <v>42090</v>
      </c>
      <c r="G8235" s="788">
        <v>42090</v>
      </c>
      <c r="H8235" s="787">
        <v>1</v>
      </c>
      <c r="I8235" s="788">
        <v>41381</v>
      </c>
      <c r="J8235" s="788">
        <v>42072</v>
      </c>
      <c r="K8235" s="788">
        <v>41368</v>
      </c>
      <c r="L8235" s="787">
        <v>2.56</v>
      </c>
      <c r="M8235" s="787">
        <v>10</v>
      </c>
      <c r="N8235" s="787">
        <v>2.99</v>
      </c>
      <c r="O8235" s="788">
        <v>42162</v>
      </c>
    </row>
    <row r="8236" spans="1:15" x14ac:dyDescent="0.25">
      <c r="A8236" s="786" t="s">
        <v>14769</v>
      </c>
      <c r="B8236" s="787">
        <v>4</v>
      </c>
      <c r="C8236" s="787" t="s">
        <v>14770</v>
      </c>
      <c r="D8236" s="787">
        <v>1.76</v>
      </c>
      <c r="E8236" s="787">
        <v>13.83</v>
      </c>
      <c r="F8236" s="788">
        <v>41135</v>
      </c>
      <c r="G8236" s="788">
        <v>42090</v>
      </c>
      <c r="H8236" s="787">
        <v>1</v>
      </c>
      <c r="I8236" s="788">
        <v>41381</v>
      </c>
      <c r="J8236" s="788">
        <v>42072</v>
      </c>
      <c r="K8236" s="788">
        <v>41368</v>
      </c>
      <c r="L8236" s="787">
        <v>2.56</v>
      </c>
      <c r="M8236" s="787">
        <v>10</v>
      </c>
      <c r="N8236" s="787">
        <v>2.99</v>
      </c>
      <c r="O8236" s="788">
        <v>42162</v>
      </c>
    </row>
    <row r="8237" spans="1:15" x14ac:dyDescent="0.25">
      <c r="A8237" s="786" t="s">
        <v>14771</v>
      </c>
      <c r="B8237" s="787">
        <v>4</v>
      </c>
      <c r="C8237" s="787" t="s">
        <v>14772</v>
      </c>
      <c r="D8237" s="787">
        <v>2.54</v>
      </c>
      <c r="E8237" s="787">
        <v>3.21</v>
      </c>
      <c r="F8237" s="788">
        <v>40644</v>
      </c>
      <c r="G8237" s="788">
        <v>41613</v>
      </c>
      <c r="H8237" s="787">
        <v>1</v>
      </c>
      <c r="I8237" s="788">
        <v>41593</v>
      </c>
      <c r="J8237" s="788">
        <v>41593</v>
      </c>
      <c r="L8237" s="787">
        <v>0</v>
      </c>
      <c r="M8237" s="787">
        <v>10</v>
      </c>
      <c r="N8237" s="787">
        <v>2.46</v>
      </c>
      <c r="O8237" s="788">
        <v>42146</v>
      </c>
    </row>
    <row r="8238" spans="1:15" x14ac:dyDescent="0.25">
      <c r="A8238" s="786" t="s">
        <v>14773</v>
      </c>
      <c r="B8238" s="787">
        <v>4</v>
      </c>
      <c r="C8238" s="787" t="s">
        <v>14774</v>
      </c>
      <c r="D8238" s="787">
        <v>0</v>
      </c>
      <c r="E8238" s="787">
        <v>0</v>
      </c>
      <c r="H8238" s="787">
        <v>1</v>
      </c>
      <c r="I8238" s="788">
        <v>41779</v>
      </c>
      <c r="L8238" s="787">
        <v>0</v>
      </c>
      <c r="M8238" s="787">
        <v>10</v>
      </c>
      <c r="N8238" s="787">
        <v>7.06</v>
      </c>
      <c r="O8238" s="788">
        <v>42150</v>
      </c>
    </row>
    <row r="8239" spans="1:15" x14ac:dyDescent="0.25">
      <c r="A8239" s="786" t="s">
        <v>14775</v>
      </c>
      <c r="B8239" s="787">
        <v>4</v>
      </c>
      <c r="C8239" s="787" t="s">
        <v>14776</v>
      </c>
      <c r="D8239" s="787">
        <v>0</v>
      </c>
      <c r="E8239" s="787">
        <v>0</v>
      </c>
      <c r="H8239" s="787">
        <v>1</v>
      </c>
      <c r="I8239" s="788">
        <v>41780</v>
      </c>
      <c r="L8239" s="787">
        <v>0</v>
      </c>
      <c r="M8239" s="787">
        <v>10</v>
      </c>
      <c r="N8239" s="787">
        <v>7.06</v>
      </c>
      <c r="O8239" s="788">
        <v>42150</v>
      </c>
    </row>
    <row r="8240" spans="1:15" x14ac:dyDescent="0.25">
      <c r="A8240" s="786" t="s">
        <v>14777</v>
      </c>
      <c r="B8240" s="787">
        <v>4</v>
      </c>
      <c r="C8240" s="787" t="s">
        <v>14778</v>
      </c>
      <c r="D8240" s="787">
        <v>0</v>
      </c>
      <c r="E8240" s="787">
        <v>0</v>
      </c>
      <c r="H8240" s="787">
        <v>1</v>
      </c>
      <c r="L8240" s="787">
        <v>0</v>
      </c>
      <c r="M8240" s="787">
        <v>10</v>
      </c>
      <c r="N8240" s="787">
        <v>2.46</v>
      </c>
      <c r="O8240" s="788">
        <v>42146</v>
      </c>
    </row>
    <row r="8241" spans="1:15" x14ac:dyDescent="0.25">
      <c r="A8241" s="786" t="s">
        <v>14779</v>
      </c>
      <c r="B8241" s="787">
        <v>4</v>
      </c>
      <c r="C8241" s="787" t="s">
        <v>14780</v>
      </c>
      <c r="D8241" s="787">
        <v>0.77</v>
      </c>
      <c r="E8241" s="787">
        <v>0.77</v>
      </c>
      <c r="F8241" s="788">
        <v>41775</v>
      </c>
      <c r="G8241" s="788">
        <v>42013</v>
      </c>
      <c r="H8241" s="787">
        <v>1</v>
      </c>
      <c r="I8241" s="788">
        <v>41593</v>
      </c>
      <c r="J8241" s="788">
        <v>41592</v>
      </c>
      <c r="K8241" s="788">
        <v>41582</v>
      </c>
      <c r="L8241" s="787">
        <v>1.61</v>
      </c>
      <c r="M8241" s="787">
        <v>10</v>
      </c>
      <c r="N8241" s="787">
        <v>2.2799999999999998</v>
      </c>
      <c r="O8241" s="788">
        <v>42162</v>
      </c>
    </row>
    <row r="8242" spans="1:15" x14ac:dyDescent="0.25">
      <c r="A8242" s="786" t="s">
        <v>14781</v>
      </c>
      <c r="B8242" s="787">
        <v>4</v>
      </c>
      <c r="C8242" s="787" t="s">
        <v>14782</v>
      </c>
      <c r="D8242" s="787">
        <v>1.64</v>
      </c>
      <c r="E8242" s="787">
        <v>5.99</v>
      </c>
      <c r="F8242" s="788">
        <v>41775</v>
      </c>
      <c r="G8242" s="788">
        <v>41943</v>
      </c>
      <c r="H8242" s="787">
        <v>1</v>
      </c>
      <c r="I8242" s="788">
        <v>42067</v>
      </c>
      <c r="J8242" s="788">
        <v>41593</v>
      </c>
      <c r="K8242" s="788">
        <v>42038</v>
      </c>
      <c r="L8242" s="787">
        <v>5.55</v>
      </c>
      <c r="M8242" s="787">
        <v>10</v>
      </c>
      <c r="N8242" s="787">
        <v>5.55</v>
      </c>
      <c r="O8242" s="788">
        <v>42146</v>
      </c>
    </row>
    <row r="8243" spans="1:15" x14ac:dyDescent="0.25">
      <c r="A8243" s="786" t="s">
        <v>14783</v>
      </c>
      <c r="B8243" s="787">
        <v>4</v>
      </c>
      <c r="C8243" s="787" t="s">
        <v>14784</v>
      </c>
      <c r="D8243" s="787">
        <v>0</v>
      </c>
      <c r="E8243" s="787">
        <v>0</v>
      </c>
      <c r="H8243" s="787">
        <v>1</v>
      </c>
      <c r="K8243" s="788">
        <v>42038</v>
      </c>
      <c r="L8243" s="787">
        <v>5.73</v>
      </c>
      <c r="M8243" s="787">
        <v>10</v>
      </c>
      <c r="N8243" s="787">
        <v>5.73</v>
      </c>
      <c r="O8243" s="788">
        <v>42146</v>
      </c>
    </row>
    <row r="8244" spans="1:15" x14ac:dyDescent="0.25">
      <c r="A8244" s="786" t="s">
        <v>14785</v>
      </c>
      <c r="B8244" s="787">
        <v>4</v>
      </c>
      <c r="C8244" s="787" t="s">
        <v>14786</v>
      </c>
      <c r="D8244" s="787">
        <v>1.51</v>
      </c>
      <c r="E8244" s="787">
        <v>3.41</v>
      </c>
      <c r="F8244" s="788">
        <v>41495</v>
      </c>
      <c r="G8244" s="788">
        <v>42143</v>
      </c>
      <c r="H8244" s="787">
        <v>1</v>
      </c>
      <c r="I8244" s="788">
        <v>42136</v>
      </c>
      <c r="J8244" s="788">
        <v>42166</v>
      </c>
      <c r="K8244" s="788">
        <v>41331</v>
      </c>
      <c r="L8244" s="787">
        <v>2.46</v>
      </c>
      <c r="M8244" s="787">
        <v>10</v>
      </c>
      <c r="N8244" s="787">
        <v>2.54</v>
      </c>
      <c r="O8244" s="788">
        <v>42162</v>
      </c>
    </row>
    <row r="8245" spans="1:15" x14ac:dyDescent="0.25">
      <c r="A8245" s="786" t="s">
        <v>14787</v>
      </c>
      <c r="B8245" s="787">
        <v>4</v>
      </c>
      <c r="C8245" s="787" t="s">
        <v>13175</v>
      </c>
      <c r="D8245" s="787">
        <v>1.07</v>
      </c>
      <c r="E8245" s="787">
        <v>5.2</v>
      </c>
      <c r="F8245" s="788">
        <v>41495</v>
      </c>
      <c r="G8245" s="788">
        <v>42150</v>
      </c>
      <c r="H8245" s="787">
        <v>1</v>
      </c>
      <c r="I8245" s="788">
        <v>42131</v>
      </c>
      <c r="J8245" s="788">
        <v>42118</v>
      </c>
      <c r="K8245" s="788">
        <v>41417</v>
      </c>
      <c r="L8245" s="787">
        <v>2.41</v>
      </c>
      <c r="M8245" s="787">
        <v>10</v>
      </c>
      <c r="N8245" s="787">
        <v>2.39</v>
      </c>
      <c r="O8245" s="788">
        <v>42150</v>
      </c>
    </row>
    <row r="8246" spans="1:15" x14ac:dyDescent="0.25">
      <c r="A8246" s="786" t="s">
        <v>14788</v>
      </c>
      <c r="B8246" s="787">
        <v>4</v>
      </c>
      <c r="C8246" s="787" t="s">
        <v>14789</v>
      </c>
      <c r="D8246" s="787">
        <v>5.12</v>
      </c>
      <c r="E8246" s="787">
        <v>6.96</v>
      </c>
      <c r="F8246" s="788">
        <v>40659</v>
      </c>
      <c r="G8246" s="788">
        <v>41943</v>
      </c>
      <c r="H8246" s="787">
        <v>1</v>
      </c>
      <c r="I8246" s="788">
        <v>41925</v>
      </c>
      <c r="J8246" s="788">
        <v>41381</v>
      </c>
      <c r="K8246" s="788">
        <v>42038</v>
      </c>
      <c r="L8246" s="787">
        <v>6.08</v>
      </c>
      <c r="M8246" s="787">
        <v>10</v>
      </c>
      <c r="N8246" s="787">
        <v>6.08</v>
      </c>
      <c r="O8246" s="788">
        <v>42162</v>
      </c>
    </row>
    <row r="8247" spans="1:15" x14ac:dyDescent="0.25">
      <c r="A8247" s="786" t="s">
        <v>14790</v>
      </c>
      <c r="B8247" s="787">
        <v>4</v>
      </c>
      <c r="C8247" s="787" t="s">
        <v>14791</v>
      </c>
      <c r="D8247" s="787">
        <v>5.42</v>
      </c>
      <c r="E8247" s="787">
        <v>7.55</v>
      </c>
      <c r="F8247" s="788">
        <v>40659</v>
      </c>
      <c r="G8247" s="788">
        <v>41943</v>
      </c>
      <c r="H8247" s="787">
        <v>1</v>
      </c>
      <c r="I8247" s="788">
        <v>41925</v>
      </c>
      <c r="J8247" s="788">
        <v>41381</v>
      </c>
      <c r="K8247" s="788">
        <v>42038</v>
      </c>
      <c r="L8247" s="787">
        <v>6.08</v>
      </c>
      <c r="M8247" s="787">
        <v>10</v>
      </c>
      <c r="N8247" s="787">
        <v>6.08</v>
      </c>
      <c r="O8247" s="788">
        <v>42162</v>
      </c>
    </row>
    <row r="8248" spans="1:15" x14ac:dyDescent="0.25">
      <c r="A8248" s="786" t="s">
        <v>14792</v>
      </c>
      <c r="B8248" s="787">
        <v>4</v>
      </c>
      <c r="C8248" s="787" t="s">
        <v>14793</v>
      </c>
      <c r="D8248" s="787">
        <v>2.12</v>
      </c>
      <c r="E8248" s="787">
        <v>3.97</v>
      </c>
      <c r="F8248" s="788">
        <v>41907</v>
      </c>
      <c r="G8248" s="788">
        <v>42160</v>
      </c>
      <c r="H8248" s="787">
        <v>1</v>
      </c>
      <c r="I8248" s="788">
        <v>42165</v>
      </c>
      <c r="J8248" s="788">
        <v>42151</v>
      </c>
      <c r="K8248" s="788">
        <v>41864</v>
      </c>
      <c r="L8248" s="787">
        <v>3.19</v>
      </c>
      <c r="M8248" s="787">
        <v>10</v>
      </c>
      <c r="N8248" s="787">
        <v>3.24</v>
      </c>
      <c r="O8248" s="788">
        <v>42146</v>
      </c>
    </row>
    <row r="8249" spans="1:15" x14ac:dyDescent="0.25">
      <c r="A8249" s="786" t="s">
        <v>14794</v>
      </c>
      <c r="B8249" s="787">
        <v>4</v>
      </c>
      <c r="C8249" s="787" t="s">
        <v>14795</v>
      </c>
      <c r="D8249" s="787">
        <v>1.26</v>
      </c>
      <c r="E8249" s="787">
        <v>3.09</v>
      </c>
      <c r="F8249" s="788">
        <v>41775</v>
      </c>
      <c r="G8249" s="788">
        <v>42160</v>
      </c>
      <c r="H8249" s="787">
        <v>1</v>
      </c>
      <c r="I8249" s="788">
        <v>42165</v>
      </c>
      <c r="J8249" s="788">
        <v>42151</v>
      </c>
      <c r="K8249" s="788">
        <v>41864</v>
      </c>
      <c r="L8249" s="787">
        <v>3.19</v>
      </c>
      <c r="M8249" s="787">
        <v>10</v>
      </c>
      <c r="N8249" s="787">
        <v>3.24</v>
      </c>
      <c r="O8249" s="788">
        <v>42146</v>
      </c>
    </row>
    <row r="8250" spans="1:15" x14ac:dyDescent="0.25">
      <c r="A8250" s="786" t="s">
        <v>14796</v>
      </c>
      <c r="B8250" s="787">
        <v>4</v>
      </c>
      <c r="C8250" s="787" t="s">
        <v>14797</v>
      </c>
      <c r="D8250" s="787">
        <v>2.4</v>
      </c>
      <c r="E8250" s="787">
        <v>4.2300000000000004</v>
      </c>
      <c r="F8250" s="788">
        <v>41813</v>
      </c>
      <c r="G8250" s="788">
        <v>42166</v>
      </c>
      <c r="H8250" s="787">
        <v>1</v>
      </c>
      <c r="I8250" s="788">
        <v>42160</v>
      </c>
      <c r="J8250" s="788">
        <v>42136</v>
      </c>
      <c r="K8250" s="788">
        <v>41872</v>
      </c>
      <c r="L8250" s="787">
        <v>3.59</v>
      </c>
      <c r="M8250" s="787">
        <v>10</v>
      </c>
      <c r="N8250" s="787">
        <v>3.62</v>
      </c>
      <c r="O8250" s="788">
        <v>42146</v>
      </c>
    </row>
    <row r="8251" spans="1:15" x14ac:dyDescent="0.25">
      <c r="A8251" s="786" t="s">
        <v>14798</v>
      </c>
      <c r="B8251" s="787">
        <v>4</v>
      </c>
      <c r="C8251" s="787" t="s">
        <v>14799</v>
      </c>
      <c r="D8251" s="787">
        <v>0</v>
      </c>
      <c r="E8251" s="787">
        <v>0</v>
      </c>
      <c r="H8251" s="787">
        <v>1</v>
      </c>
      <c r="I8251" s="788">
        <v>42151</v>
      </c>
      <c r="J8251" s="788">
        <v>41905</v>
      </c>
      <c r="K8251" s="788">
        <v>41905</v>
      </c>
      <c r="L8251" s="787">
        <v>2.3199999999999998</v>
      </c>
      <c r="M8251" s="787">
        <v>10</v>
      </c>
      <c r="N8251" s="787">
        <v>2.3199999999999998</v>
      </c>
      <c r="O8251" s="788">
        <v>42146</v>
      </c>
    </row>
    <row r="8252" spans="1:15" x14ac:dyDescent="0.25">
      <c r="A8252" s="786" t="s">
        <v>14800</v>
      </c>
      <c r="B8252" s="787">
        <v>4</v>
      </c>
      <c r="C8252" s="787" t="s">
        <v>14801</v>
      </c>
      <c r="D8252" s="787">
        <v>0.81</v>
      </c>
      <c r="E8252" s="787">
        <v>0.81</v>
      </c>
      <c r="F8252" s="788">
        <v>41209</v>
      </c>
      <c r="G8252" s="788">
        <v>41209</v>
      </c>
      <c r="H8252" s="787">
        <v>1</v>
      </c>
      <c r="I8252" s="788">
        <v>41121</v>
      </c>
      <c r="J8252" s="788">
        <v>41081</v>
      </c>
      <c r="K8252" s="788">
        <v>41071</v>
      </c>
      <c r="L8252" s="787">
        <v>0.73</v>
      </c>
      <c r="M8252" s="787">
        <v>10</v>
      </c>
      <c r="N8252" s="787">
        <v>0.7</v>
      </c>
      <c r="O8252" s="788">
        <v>42146</v>
      </c>
    </row>
    <row r="8253" spans="1:15" x14ac:dyDescent="0.25">
      <c r="A8253" s="786" t="s">
        <v>14802</v>
      </c>
      <c r="B8253" s="787">
        <v>4</v>
      </c>
      <c r="C8253" s="787" t="s">
        <v>14803</v>
      </c>
      <c r="D8253" s="787">
        <v>0</v>
      </c>
      <c r="E8253" s="787">
        <v>0</v>
      </c>
      <c r="G8253" s="788">
        <v>42013</v>
      </c>
      <c r="H8253" s="787">
        <v>1</v>
      </c>
      <c r="I8253" s="788">
        <v>42160</v>
      </c>
      <c r="K8253" s="788">
        <v>42052</v>
      </c>
      <c r="L8253" s="787">
        <v>0.26</v>
      </c>
      <c r="M8253" s="787">
        <v>10</v>
      </c>
      <c r="N8253" s="787">
        <v>0.34</v>
      </c>
      <c r="O8253" s="788">
        <v>42164</v>
      </c>
    </row>
    <row r="8254" spans="1:15" x14ac:dyDescent="0.25">
      <c r="A8254" s="786" t="s">
        <v>14804</v>
      </c>
      <c r="B8254" s="787">
        <v>4</v>
      </c>
      <c r="C8254" s="787" t="s">
        <v>14805</v>
      </c>
      <c r="D8254" s="787">
        <v>0</v>
      </c>
      <c r="E8254" s="787">
        <v>0</v>
      </c>
      <c r="H8254" s="787">
        <v>1</v>
      </c>
      <c r="L8254" s="787">
        <v>0</v>
      </c>
      <c r="M8254" s="787">
        <v>10</v>
      </c>
      <c r="N8254" s="787">
        <v>6.23</v>
      </c>
      <c r="O8254" s="788">
        <v>42146</v>
      </c>
    </row>
    <row r="8255" spans="1:15" x14ac:dyDescent="0.25">
      <c r="A8255" s="786" t="s">
        <v>14806</v>
      </c>
      <c r="B8255" s="787">
        <v>4</v>
      </c>
      <c r="C8255" s="787" t="s">
        <v>13969</v>
      </c>
      <c r="D8255" s="787">
        <v>0</v>
      </c>
      <c r="E8255" s="787">
        <v>0</v>
      </c>
      <c r="H8255" s="787">
        <v>1</v>
      </c>
      <c r="I8255" s="788">
        <v>42160</v>
      </c>
      <c r="K8255" s="788">
        <v>41495</v>
      </c>
      <c r="L8255" s="787">
        <v>4.2699999999999996</v>
      </c>
      <c r="M8255" s="787">
        <v>10</v>
      </c>
      <c r="N8255" s="787">
        <v>4.18</v>
      </c>
      <c r="O8255" s="788">
        <v>42146</v>
      </c>
    </row>
    <row r="8256" spans="1:15" x14ac:dyDescent="0.25">
      <c r="A8256" s="786" t="s">
        <v>14807</v>
      </c>
      <c r="B8256" s="787">
        <v>4</v>
      </c>
      <c r="C8256" s="787" t="s">
        <v>13969</v>
      </c>
      <c r="D8256" s="787">
        <v>0</v>
      </c>
      <c r="E8256" s="787">
        <v>0</v>
      </c>
      <c r="H8256" s="787">
        <v>1</v>
      </c>
      <c r="I8256" s="788">
        <v>42160</v>
      </c>
      <c r="K8256" s="788">
        <v>41876</v>
      </c>
      <c r="L8256" s="787">
        <v>0.1</v>
      </c>
      <c r="M8256" s="787">
        <v>10</v>
      </c>
      <c r="N8256" s="787">
        <v>23.5</v>
      </c>
      <c r="O8256" s="788">
        <v>42146</v>
      </c>
    </row>
    <row r="8257" spans="1:15" x14ac:dyDescent="0.25">
      <c r="A8257" s="786" t="s">
        <v>14808</v>
      </c>
      <c r="B8257" s="787">
        <v>4</v>
      </c>
      <c r="C8257" s="787" t="s">
        <v>13969</v>
      </c>
      <c r="D8257" s="787">
        <v>0</v>
      </c>
      <c r="E8257" s="787">
        <v>0</v>
      </c>
      <c r="H8257" s="787">
        <v>1</v>
      </c>
      <c r="I8257" s="788">
        <v>42160</v>
      </c>
      <c r="K8257" s="788">
        <v>41876</v>
      </c>
      <c r="L8257" s="787">
        <v>0.1</v>
      </c>
      <c r="M8257" s="787">
        <v>10</v>
      </c>
      <c r="N8257" s="787">
        <v>11.64</v>
      </c>
      <c r="O8257" s="788">
        <v>42146</v>
      </c>
    </row>
    <row r="8258" spans="1:15" x14ac:dyDescent="0.25">
      <c r="A8258" s="786" t="s">
        <v>14809</v>
      </c>
      <c r="B8258" s="787">
        <v>4</v>
      </c>
      <c r="C8258" s="787" t="s">
        <v>13971</v>
      </c>
      <c r="D8258" s="787">
        <v>0</v>
      </c>
      <c r="E8258" s="787">
        <v>0</v>
      </c>
      <c r="H8258" s="787">
        <v>1</v>
      </c>
      <c r="I8258" s="788">
        <v>42160</v>
      </c>
      <c r="K8258" s="788">
        <v>41592</v>
      </c>
      <c r="L8258" s="787">
        <v>7.76</v>
      </c>
      <c r="M8258" s="787">
        <v>10</v>
      </c>
      <c r="N8258" s="787">
        <v>7.71</v>
      </c>
      <c r="O8258" s="788">
        <v>42146</v>
      </c>
    </row>
    <row r="8259" spans="1:15" x14ac:dyDescent="0.25">
      <c r="A8259" s="786" t="s">
        <v>14810</v>
      </c>
      <c r="B8259" s="787">
        <v>4</v>
      </c>
      <c r="C8259" s="787" t="s">
        <v>13971</v>
      </c>
      <c r="D8259" s="787">
        <v>0</v>
      </c>
      <c r="E8259" s="787">
        <v>0</v>
      </c>
      <c r="H8259" s="787">
        <v>1</v>
      </c>
      <c r="I8259" s="788">
        <v>42160</v>
      </c>
      <c r="K8259" s="788">
        <v>41221</v>
      </c>
      <c r="L8259" s="787">
        <v>26.64</v>
      </c>
      <c r="M8259" s="787">
        <v>10</v>
      </c>
      <c r="N8259" s="787">
        <v>26.13</v>
      </c>
      <c r="O8259" s="788">
        <v>42146</v>
      </c>
    </row>
    <row r="8260" spans="1:15" x14ac:dyDescent="0.25">
      <c r="A8260" s="786" t="s">
        <v>14811</v>
      </c>
      <c r="B8260" s="787">
        <v>4</v>
      </c>
      <c r="C8260" s="787" t="s">
        <v>13971</v>
      </c>
      <c r="D8260" s="787">
        <v>0</v>
      </c>
      <c r="E8260" s="787">
        <v>0</v>
      </c>
      <c r="H8260" s="787">
        <v>1</v>
      </c>
      <c r="I8260" s="788">
        <v>42160</v>
      </c>
      <c r="K8260" s="788">
        <v>41592</v>
      </c>
      <c r="L8260" s="787">
        <v>7.76</v>
      </c>
      <c r="M8260" s="787">
        <v>10</v>
      </c>
      <c r="N8260" s="787">
        <v>7.71</v>
      </c>
      <c r="O8260" s="788">
        <v>42146</v>
      </c>
    </row>
    <row r="8261" spans="1:15" x14ac:dyDescent="0.25">
      <c r="A8261" s="786" t="s">
        <v>14812</v>
      </c>
      <c r="B8261" s="787">
        <v>4</v>
      </c>
      <c r="C8261" s="787" t="s">
        <v>13967</v>
      </c>
      <c r="D8261" s="787">
        <v>0</v>
      </c>
      <c r="E8261" s="787">
        <v>0</v>
      </c>
      <c r="H8261" s="787">
        <v>1</v>
      </c>
      <c r="I8261" s="788">
        <v>42146</v>
      </c>
      <c r="K8261" s="788">
        <v>41221</v>
      </c>
      <c r="L8261" s="787">
        <v>28.85</v>
      </c>
      <c r="M8261" s="787">
        <v>10</v>
      </c>
      <c r="N8261" s="787">
        <v>28.05</v>
      </c>
      <c r="O8261" s="788">
        <v>42146</v>
      </c>
    </row>
    <row r="8262" spans="1:15" x14ac:dyDescent="0.25">
      <c r="A8262" s="786" t="s">
        <v>14813</v>
      </c>
      <c r="B8262" s="787">
        <v>4</v>
      </c>
      <c r="C8262" s="787" t="s">
        <v>13967</v>
      </c>
      <c r="D8262" s="787">
        <v>0</v>
      </c>
      <c r="E8262" s="787">
        <v>0</v>
      </c>
      <c r="H8262" s="787">
        <v>1</v>
      </c>
      <c r="I8262" s="788">
        <v>41972</v>
      </c>
      <c r="L8262" s="787">
        <v>0</v>
      </c>
      <c r="M8262" s="787">
        <v>10</v>
      </c>
      <c r="N8262" s="787">
        <v>28.05</v>
      </c>
      <c r="O8262" s="788">
        <v>42146</v>
      </c>
    </row>
    <row r="8263" spans="1:15" x14ac:dyDescent="0.25">
      <c r="A8263" s="786" t="s">
        <v>14814</v>
      </c>
      <c r="B8263" s="787">
        <v>4</v>
      </c>
      <c r="C8263" s="787" t="s">
        <v>13967</v>
      </c>
      <c r="D8263" s="787">
        <v>0</v>
      </c>
      <c r="E8263" s="787">
        <v>0</v>
      </c>
      <c r="H8263" s="787">
        <v>1</v>
      </c>
      <c r="I8263" s="788">
        <v>42146</v>
      </c>
      <c r="K8263" s="788">
        <v>41221</v>
      </c>
      <c r="L8263" s="787">
        <v>28.85</v>
      </c>
      <c r="M8263" s="787">
        <v>10</v>
      </c>
      <c r="N8263" s="787">
        <v>28.05</v>
      </c>
      <c r="O8263" s="788">
        <v>42146</v>
      </c>
    </row>
    <row r="8264" spans="1:15" x14ac:dyDescent="0.25">
      <c r="A8264" s="786" t="s">
        <v>14815</v>
      </c>
      <c r="B8264" s="787">
        <v>4</v>
      </c>
      <c r="C8264" s="787" t="s">
        <v>13967</v>
      </c>
      <c r="D8264" s="787">
        <v>0</v>
      </c>
      <c r="E8264" s="787">
        <v>0</v>
      </c>
      <c r="H8264" s="787">
        <v>1</v>
      </c>
      <c r="I8264" s="788">
        <v>42165</v>
      </c>
      <c r="K8264" s="788">
        <v>41221</v>
      </c>
      <c r="L8264" s="787">
        <v>28.85</v>
      </c>
      <c r="M8264" s="787">
        <v>10</v>
      </c>
      <c r="N8264" s="787">
        <v>28.05</v>
      </c>
      <c r="O8264" s="788">
        <v>41858</v>
      </c>
    </row>
    <row r="8265" spans="1:15" x14ac:dyDescent="0.25">
      <c r="A8265" s="786" t="s">
        <v>14816</v>
      </c>
      <c r="B8265" s="787">
        <v>4</v>
      </c>
      <c r="C8265" s="787" t="s">
        <v>13967</v>
      </c>
      <c r="D8265" s="787">
        <v>0</v>
      </c>
      <c r="E8265" s="787">
        <v>0</v>
      </c>
      <c r="H8265" s="787">
        <v>1</v>
      </c>
      <c r="I8265" s="788">
        <v>42160</v>
      </c>
      <c r="K8265" s="788">
        <v>41179</v>
      </c>
      <c r="L8265" s="787">
        <v>28.85</v>
      </c>
      <c r="M8265" s="787">
        <v>10</v>
      </c>
      <c r="N8265" s="787">
        <v>28.05</v>
      </c>
      <c r="O8265" s="788">
        <v>41858</v>
      </c>
    </row>
    <row r="8266" spans="1:15" x14ac:dyDescent="0.25">
      <c r="A8266" s="786" t="s">
        <v>14817</v>
      </c>
      <c r="B8266" s="787">
        <v>4</v>
      </c>
      <c r="C8266" s="787" t="s">
        <v>13967</v>
      </c>
      <c r="D8266" s="787">
        <v>0</v>
      </c>
      <c r="E8266" s="787">
        <v>0</v>
      </c>
      <c r="H8266" s="787">
        <v>1</v>
      </c>
      <c r="I8266" s="788">
        <v>42160</v>
      </c>
      <c r="K8266" s="788">
        <v>41221</v>
      </c>
      <c r="L8266" s="787">
        <v>28.85</v>
      </c>
      <c r="M8266" s="787">
        <v>10</v>
      </c>
      <c r="N8266" s="787">
        <v>28.05</v>
      </c>
      <c r="O8266" s="788">
        <v>41858</v>
      </c>
    </row>
    <row r="8267" spans="1:15" x14ac:dyDescent="0.25">
      <c r="A8267" s="786" t="s">
        <v>14818</v>
      </c>
      <c r="B8267" s="787">
        <v>4</v>
      </c>
      <c r="C8267" s="787" t="s">
        <v>13967</v>
      </c>
      <c r="D8267" s="787">
        <v>0</v>
      </c>
      <c r="E8267" s="787">
        <v>0</v>
      </c>
      <c r="H8267" s="787">
        <v>1</v>
      </c>
      <c r="I8267" s="788">
        <v>42160</v>
      </c>
      <c r="K8267" s="788">
        <v>41221</v>
      </c>
      <c r="L8267" s="787">
        <v>28.85</v>
      </c>
      <c r="M8267" s="787">
        <v>10</v>
      </c>
      <c r="N8267" s="787">
        <v>28.05</v>
      </c>
      <c r="O8267" s="788">
        <v>41858</v>
      </c>
    </row>
    <row r="8268" spans="1:15" x14ac:dyDescent="0.25">
      <c r="A8268" s="786" t="s">
        <v>14819</v>
      </c>
      <c r="B8268" s="787">
        <v>4</v>
      </c>
      <c r="C8268" s="787" t="s">
        <v>14820</v>
      </c>
      <c r="D8268" s="787">
        <v>0</v>
      </c>
      <c r="E8268" s="787">
        <v>0</v>
      </c>
      <c r="H8268" s="787">
        <v>1</v>
      </c>
      <c r="L8268" s="787">
        <v>0</v>
      </c>
      <c r="M8268" s="787">
        <v>10</v>
      </c>
      <c r="N8268" s="787">
        <v>0.9</v>
      </c>
      <c r="O8268" s="788">
        <v>41858</v>
      </c>
    </row>
    <row r="8269" spans="1:15" x14ac:dyDescent="0.25">
      <c r="A8269" s="786" t="s">
        <v>14821</v>
      </c>
      <c r="B8269" s="787">
        <v>4</v>
      </c>
      <c r="C8269" s="787" t="s">
        <v>14822</v>
      </c>
      <c r="D8269" s="787">
        <v>0</v>
      </c>
      <c r="E8269" s="787">
        <v>0</v>
      </c>
      <c r="H8269" s="787">
        <v>1</v>
      </c>
      <c r="I8269" s="788">
        <v>42055</v>
      </c>
      <c r="K8269" s="788">
        <v>42035</v>
      </c>
      <c r="L8269" s="787">
        <v>10.73</v>
      </c>
      <c r="M8269" s="787">
        <v>10</v>
      </c>
      <c r="N8269" s="787">
        <v>10.73</v>
      </c>
      <c r="O8269" s="788">
        <v>42156</v>
      </c>
    </row>
    <row r="8270" spans="1:15" x14ac:dyDescent="0.25">
      <c r="A8270" s="786" t="s">
        <v>14823</v>
      </c>
      <c r="B8270" s="787">
        <v>4</v>
      </c>
      <c r="C8270" s="787" t="s">
        <v>14824</v>
      </c>
      <c r="D8270" s="787">
        <v>0</v>
      </c>
      <c r="E8270" s="787">
        <v>0</v>
      </c>
      <c r="H8270" s="787">
        <v>1</v>
      </c>
      <c r="K8270" s="788">
        <v>42027</v>
      </c>
      <c r="L8270" s="787">
        <v>10.73</v>
      </c>
      <c r="M8270" s="787">
        <v>10</v>
      </c>
      <c r="N8270" s="787">
        <v>9.5299999999999994</v>
      </c>
      <c r="O8270" s="788">
        <v>42156</v>
      </c>
    </row>
    <row r="8271" spans="1:15" x14ac:dyDescent="0.25">
      <c r="A8271" s="786" t="s">
        <v>14825</v>
      </c>
      <c r="B8271" s="787">
        <v>4</v>
      </c>
      <c r="C8271" s="787" t="s">
        <v>14826</v>
      </c>
      <c r="D8271" s="787">
        <v>0</v>
      </c>
      <c r="E8271" s="787">
        <v>0</v>
      </c>
      <c r="H8271" s="787">
        <v>1</v>
      </c>
      <c r="I8271" s="788">
        <v>42055</v>
      </c>
      <c r="K8271" s="788">
        <v>42035</v>
      </c>
      <c r="L8271" s="787">
        <v>10.73</v>
      </c>
      <c r="M8271" s="787">
        <v>10</v>
      </c>
      <c r="N8271" s="787">
        <v>10.73</v>
      </c>
      <c r="O8271" s="788">
        <v>42156</v>
      </c>
    </row>
    <row r="8272" spans="1:15" x14ac:dyDescent="0.25">
      <c r="A8272" s="786" t="s">
        <v>14827</v>
      </c>
      <c r="B8272" s="787">
        <v>4</v>
      </c>
      <c r="C8272" s="787" t="s">
        <v>14828</v>
      </c>
      <c r="D8272" s="787">
        <v>0</v>
      </c>
      <c r="E8272" s="787">
        <v>0</v>
      </c>
      <c r="H8272" s="787">
        <v>1</v>
      </c>
      <c r="L8272" s="787">
        <v>0</v>
      </c>
      <c r="M8272" s="787">
        <v>10</v>
      </c>
      <c r="N8272" s="787">
        <v>10.73</v>
      </c>
      <c r="O8272" s="788">
        <v>42156</v>
      </c>
    </row>
    <row r="8273" spans="1:15" x14ac:dyDescent="0.25">
      <c r="A8273" s="786" t="s">
        <v>14829</v>
      </c>
      <c r="B8273" s="787">
        <v>4</v>
      </c>
      <c r="C8273" s="787" t="s">
        <v>14830</v>
      </c>
      <c r="D8273" s="787">
        <v>0</v>
      </c>
      <c r="E8273" s="787">
        <v>0</v>
      </c>
      <c r="H8273" s="787">
        <v>1</v>
      </c>
      <c r="L8273" s="787">
        <v>0</v>
      </c>
      <c r="M8273" s="787">
        <v>10</v>
      </c>
      <c r="N8273" s="787">
        <v>2</v>
      </c>
      <c r="O8273" s="788">
        <v>41858</v>
      </c>
    </row>
    <row r="8274" spans="1:15" x14ac:dyDescent="0.25">
      <c r="A8274" s="786" t="s">
        <v>14831</v>
      </c>
      <c r="B8274" s="787">
        <v>4</v>
      </c>
      <c r="C8274" s="787" t="s">
        <v>11726</v>
      </c>
      <c r="D8274" s="787">
        <v>0</v>
      </c>
      <c r="E8274" s="787">
        <v>0</v>
      </c>
      <c r="H8274" s="787">
        <v>1</v>
      </c>
      <c r="L8274" s="787">
        <v>0</v>
      </c>
      <c r="M8274" s="787">
        <v>10</v>
      </c>
      <c r="N8274" s="787">
        <v>6.74</v>
      </c>
      <c r="O8274" s="788">
        <v>41858</v>
      </c>
    </row>
    <row r="8275" spans="1:15" x14ac:dyDescent="0.25">
      <c r="A8275" s="786" t="s">
        <v>14832</v>
      </c>
      <c r="B8275" s="787">
        <v>4</v>
      </c>
      <c r="C8275" s="787" t="s">
        <v>11728</v>
      </c>
      <c r="D8275" s="787">
        <v>0</v>
      </c>
      <c r="E8275" s="787">
        <v>0</v>
      </c>
      <c r="H8275" s="787">
        <v>1</v>
      </c>
      <c r="L8275" s="787">
        <v>0</v>
      </c>
      <c r="M8275" s="787">
        <v>10</v>
      </c>
      <c r="N8275" s="787">
        <v>6.74</v>
      </c>
      <c r="O8275" s="788">
        <v>41858</v>
      </c>
    </row>
    <row r="8276" spans="1:15" x14ac:dyDescent="0.25">
      <c r="A8276" s="786" t="s">
        <v>14833</v>
      </c>
      <c r="B8276" s="787">
        <v>4</v>
      </c>
      <c r="C8276" s="787" t="s">
        <v>14834</v>
      </c>
      <c r="D8276" s="787">
        <v>2.04</v>
      </c>
      <c r="E8276" s="787">
        <v>32.04</v>
      </c>
      <c r="F8276" s="788">
        <v>41914</v>
      </c>
      <c r="G8276" s="788">
        <v>42013</v>
      </c>
      <c r="H8276" s="787">
        <v>1</v>
      </c>
      <c r="I8276" s="788">
        <v>42059</v>
      </c>
      <c r="J8276" s="788">
        <v>41894</v>
      </c>
      <c r="K8276" s="788">
        <v>41866</v>
      </c>
      <c r="L8276" s="787">
        <v>31.22</v>
      </c>
      <c r="M8276" s="787">
        <v>10</v>
      </c>
      <c r="N8276" s="787">
        <v>30.7</v>
      </c>
      <c r="O8276" s="788">
        <v>42146</v>
      </c>
    </row>
    <row r="8277" spans="1:15" x14ac:dyDescent="0.25">
      <c r="A8277" s="786" t="s">
        <v>14835</v>
      </c>
      <c r="B8277" s="787">
        <v>4</v>
      </c>
      <c r="C8277" s="787" t="s">
        <v>14836</v>
      </c>
      <c r="D8277" s="787">
        <v>4.8099999999999996</v>
      </c>
      <c r="E8277" s="787">
        <v>84.81</v>
      </c>
      <c r="F8277" s="788">
        <v>42086</v>
      </c>
      <c r="G8277" s="788">
        <v>42086</v>
      </c>
      <c r="H8277" s="787">
        <v>1</v>
      </c>
      <c r="I8277" s="788">
        <v>42053</v>
      </c>
      <c r="J8277" s="788">
        <v>42051</v>
      </c>
      <c r="K8277" s="788">
        <v>42038</v>
      </c>
      <c r="L8277" s="787">
        <v>55.89</v>
      </c>
      <c r="M8277" s="787">
        <v>10</v>
      </c>
      <c r="N8277" s="787">
        <v>63.09</v>
      </c>
      <c r="O8277" s="788">
        <v>42146</v>
      </c>
    </row>
    <row r="8278" spans="1:15" x14ac:dyDescent="0.25">
      <c r="A8278" s="786" t="s">
        <v>14837</v>
      </c>
      <c r="B8278" s="787">
        <v>4</v>
      </c>
      <c r="C8278" s="787" t="s">
        <v>14838</v>
      </c>
      <c r="D8278" s="787">
        <v>0.13</v>
      </c>
      <c r="E8278" s="787">
        <v>0.13</v>
      </c>
      <c r="F8278" s="788">
        <v>41548</v>
      </c>
      <c r="G8278" s="788">
        <v>41548</v>
      </c>
      <c r="H8278" s="787">
        <v>1</v>
      </c>
      <c r="I8278" s="788">
        <v>41533</v>
      </c>
      <c r="J8278" s="788">
        <v>41520</v>
      </c>
      <c r="K8278" s="788">
        <v>41506</v>
      </c>
      <c r="L8278" s="787">
        <v>0.19</v>
      </c>
      <c r="M8278" s="787">
        <v>10</v>
      </c>
      <c r="N8278" s="787">
        <v>0.18</v>
      </c>
      <c r="O8278" s="788">
        <v>41858</v>
      </c>
    </row>
    <row r="8279" spans="1:15" x14ac:dyDescent="0.25">
      <c r="A8279" s="786" t="s">
        <v>14839</v>
      </c>
      <c r="B8279" s="787">
        <v>4</v>
      </c>
      <c r="C8279" s="787" t="s">
        <v>14840</v>
      </c>
      <c r="D8279" s="787">
        <v>0</v>
      </c>
      <c r="E8279" s="787">
        <v>0</v>
      </c>
      <c r="H8279" s="787">
        <v>1</v>
      </c>
      <c r="L8279" s="787">
        <v>0</v>
      </c>
      <c r="M8279" s="787">
        <v>10</v>
      </c>
      <c r="N8279" s="787">
        <v>0.7</v>
      </c>
      <c r="O8279" s="788">
        <v>41858</v>
      </c>
    </row>
    <row r="8280" spans="1:15" x14ac:dyDescent="0.25">
      <c r="A8280" s="786" t="s">
        <v>14841</v>
      </c>
      <c r="B8280" s="787">
        <v>4</v>
      </c>
      <c r="C8280" s="787" t="s">
        <v>14842</v>
      </c>
      <c r="D8280" s="787">
        <v>0.5</v>
      </c>
      <c r="E8280" s="787">
        <v>2.13</v>
      </c>
      <c r="F8280" s="788">
        <v>40792</v>
      </c>
      <c r="G8280" s="788">
        <v>42013</v>
      </c>
      <c r="H8280" s="787">
        <v>1</v>
      </c>
      <c r="I8280" s="788">
        <v>41628</v>
      </c>
      <c r="J8280" s="788">
        <v>41624</v>
      </c>
      <c r="K8280" s="788">
        <v>41618</v>
      </c>
      <c r="L8280" s="787">
        <v>0.17</v>
      </c>
      <c r="M8280" s="787">
        <v>10</v>
      </c>
      <c r="N8280" s="787">
        <v>0.53</v>
      </c>
      <c r="O8280" s="788">
        <v>41858</v>
      </c>
    </row>
    <row r="8281" spans="1:15" x14ac:dyDescent="0.25">
      <c r="A8281" s="786" t="s">
        <v>14843</v>
      </c>
      <c r="B8281" s="787">
        <v>4</v>
      </c>
      <c r="C8281" s="787" t="s">
        <v>14844</v>
      </c>
      <c r="D8281" s="787">
        <v>2.77</v>
      </c>
      <c r="E8281" s="787">
        <v>6.21</v>
      </c>
      <c r="F8281" s="788">
        <v>41376</v>
      </c>
      <c r="G8281" s="788">
        <v>42086</v>
      </c>
      <c r="H8281" s="787">
        <v>1</v>
      </c>
      <c r="I8281" s="788">
        <v>40675</v>
      </c>
      <c r="J8281" s="788">
        <v>42053</v>
      </c>
      <c r="K8281" s="788">
        <v>41270</v>
      </c>
      <c r="L8281" s="787">
        <v>5.6</v>
      </c>
      <c r="M8281" s="787">
        <v>10</v>
      </c>
      <c r="N8281" s="787">
        <v>5.93</v>
      </c>
      <c r="O8281" s="788">
        <v>42146</v>
      </c>
    </row>
    <row r="8282" spans="1:15" x14ac:dyDescent="0.25">
      <c r="A8282" s="786" t="s">
        <v>14845</v>
      </c>
      <c r="B8282" s="787">
        <v>4</v>
      </c>
      <c r="C8282" s="787" t="s">
        <v>14846</v>
      </c>
      <c r="D8282" s="787">
        <v>4.79</v>
      </c>
      <c r="E8282" s="787">
        <v>4.79</v>
      </c>
      <c r="F8282" s="788">
        <v>41180</v>
      </c>
      <c r="G8282" s="788">
        <v>41646</v>
      </c>
      <c r="H8282" s="787">
        <v>1</v>
      </c>
      <c r="I8282" s="788">
        <v>41894</v>
      </c>
      <c r="J8282" s="788">
        <v>41087</v>
      </c>
      <c r="K8282" s="788">
        <v>41053</v>
      </c>
      <c r="L8282" s="787">
        <v>4.96</v>
      </c>
      <c r="M8282" s="787">
        <v>10</v>
      </c>
      <c r="N8282" s="787">
        <v>4.38</v>
      </c>
      <c r="O8282" s="788">
        <v>41858</v>
      </c>
    </row>
    <row r="8283" spans="1:15" x14ac:dyDescent="0.25">
      <c r="A8283" s="786" t="s">
        <v>14847</v>
      </c>
      <c r="B8283" s="787">
        <v>4</v>
      </c>
      <c r="C8283" s="787" t="s">
        <v>14848</v>
      </c>
      <c r="D8283" s="787">
        <v>0</v>
      </c>
      <c r="E8283" s="787">
        <v>0</v>
      </c>
      <c r="H8283" s="787">
        <v>1</v>
      </c>
      <c r="L8283" s="787">
        <v>0</v>
      </c>
      <c r="M8283" s="787">
        <v>10</v>
      </c>
      <c r="N8283" s="787">
        <v>5.93</v>
      </c>
      <c r="O8283" s="788">
        <v>41858</v>
      </c>
    </row>
    <row r="8284" spans="1:15" x14ac:dyDescent="0.25">
      <c r="A8284" s="786" t="s">
        <v>14849</v>
      </c>
      <c r="B8284" s="787">
        <v>4</v>
      </c>
      <c r="C8284" s="787" t="s">
        <v>14850</v>
      </c>
      <c r="D8284" s="787">
        <v>0</v>
      </c>
      <c r="E8284" s="787">
        <v>0</v>
      </c>
      <c r="H8284" s="787">
        <v>1</v>
      </c>
      <c r="L8284" s="787">
        <v>0</v>
      </c>
      <c r="M8284" s="787">
        <v>10</v>
      </c>
      <c r="N8284" s="787">
        <v>7.95</v>
      </c>
      <c r="O8284" s="788">
        <v>41858</v>
      </c>
    </row>
    <row r="8285" spans="1:15" x14ac:dyDescent="0.25">
      <c r="A8285" s="786" t="s">
        <v>14851</v>
      </c>
      <c r="B8285" s="787">
        <v>4</v>
      </c>
      <c r="C8285" s="787" t="s">
        <v>14852</v>
      </c>
      <c r="D8285" s="787">
        <v>0</v>
      </c>
      <c r="E8285" s="787">
        <v>0</v>
      </c>
      <c r="H8285" s="787">
        <v>1</v>
      </c>
      <c r="I8285" s="788">
        <v>41124</v>
      </c>
      <c r="J8285" s="788">
        <v>41575</v>
      </c>
      <c r="L8285" s="787">
        <v>0</v>
      </c>
      <c r="M8285" s="787">
        <v>10</v>
      </c>
      <c r="N8285" s="787">
        <v>15.52</v>
      </c>
      <c r="O8285" s="788">
        <v>41858</v>
      </c>
    </row>
    <row r="8286" spans="1:15" x14ac:dyDescent="0.25">
      <c r="A8286" s="786" t="s">
        <v>14853</v>
      </c>
      <c r="B8286" s="787">
        <v>4</v>
      </c>
      <c r="C8286" s="787" t="s">
        <v>14854</v>
      </c>
      <c r="D8286" s="787">
        <v>1.55</v>
      </c>
      <c r="E8286" s="787">
        <v>61.55</v>
      </c>
      <c r="F8286" s="788">
        <v>40948</v>
      </c>
      <c r="G8286" s="788">
        <v>41565</v>
      </c>
      <c r="H8286" s="787">
        <v>1</v>
      </c>
      <c r="I8286" s="788">
        <v>41894</v>
      </c>
      <c r="J8286" s="788">
        <v>40841</v>
      </c>
      <c r="L8286" s="787">
        <v>0</v>
      </c>
      <c r="M8286" s="787">
        <v>10</v>
      </c>
      <c r="N8286" s="787">
        <v>22.05</v>
      </c>
      <c r="O8286" s="788">
        <v>41858</v>
      </c>
    </row>
    <row r="8287" spans="1:15" x14ac:dyDescent="0.25">
      <c r="A8287" s="786" t="s">
        <v>14855</v>
      </c>
      <c r="B8287" s="787">
        <v>4</v>
      </c>
      <c r="C8287" s="787" t="s">
        <v>14856</v>
      </c>
      <c r="D8287" s="787">
        <v>2.75</v>
      </c>
      <c r="E8287" s="787">
        <v>10.15</v>
      </c>
      <c r="F8287" s="788">
        <v>41775</v>
      </c>
      <c r="G8287" s="788">
        <v>42150</v>
      </c>
      <c r="H8287" s="787">
        <v>1</v>
      </c>
      <c r="I8287" s="788">
        <v>42166</v>
      </c>
      <c r="J8287" s="788">
        <v>42121</v>
      </c>
      <c r="K8287" s="788">
        <v>41977</v>
      </c>
      <c r="L8287" s="787">
        <v>16</v>
      </c>
      <c r="M8287" s="787">
        <v>10</v>
      </c>
      <c r="N8287" s="787">
        <v>16.22</v>
      </c>
      <c r="O8287" s="788">
        <v>42020</v>
      </c>
    </row>
    <row r="8288" spans="1:15" x14ac:dyDescent="0.25">
      <c r="A8288" s="786" t="s">
        <v>14857</v>
      </c>
      <c r="B8288" s="787">
        <v>4</v>
      </c>
      <c r="C8288" s="787" t="s">
        <v>14858</v>
      </c>
      <c r="D8288" s="787">
        <v>0.32</v>
      </c>
      <c r="E8288" s="787">
        <v>0.64</v>
      </c>
      <c r="F8288" s="788">
        <v>41495</v>
      </c>
      <c r="G8288" s="788">
        <v>42093</v>
      </c>
      <c r="H8288" s="787">
        <v>1</v>
      </c>
      <c r="I8288" s="788">
        <v>42061</v>
      </c>
      <c r="J8288" s="788">
        <v>42065</v>
      </c>
      <c r="K8288" s="788">
        <v>41383</v>
      </c>
      <c r="L8288" s="787">
        <v>0.49</v>
      </c>
      <c r="M8288" s="787">
        <v>10</v>
      </c>
      <c r="N8288" s="787">
        <v>2.6</v>
      </c>
      <c r="O8288" s="788">
        <v>42061</v>
      </c>
    </row>
    <row r="8289" spans="1:15" x14ac:dyDescent="0.25">
      <c r="A8289" s="786" t="s">
        <v>14859</v>
      </c>
      <c r="B8289" s="787">
        <v>4</v>
      </c>
      <c r="C8289" s="787" t="s">
        <v>14860</v>
      </c>
      <c r="D8289" s="787">
        <v>1.81</v>
      </c>
      <c r="E8289" s="787">
        <v>11.61</v>
      </c>
      <c r="F8289" s="788">
        <v>41813</v>
      </c>
      <c r="G8289" s="788">
        <v>42093</v>
      </c>
      <c r="H8289" s="787">
        <v>1</v>
      </c>
      <c r="I8289" s="788">
        <v>42061</v>
      </c>
      <c r="J8289" s="788">
        <v>42065</v>
      </c>
      <c r="K8289" s="788">
        <v>41383</v>
      </c>
      <c r="L8289" s="787">
        <v>1.59</v>
      </c>
      <c r="M8289" s="787">
        <v>10</v>
      </c>
      <c r="N8289" s="787">
        <v>5.58</v>
      </c>
      <c r="O8289" s="788">
        <v>42061</v>
      </c>
    </row>
    <row r="8290" spans="1:15" x14ac:dyDescent="0.25">
      <c r="A8290" s="786" t="s">
        <v>14861</v>
      </c>
      <c r="B8290" s="787">
        <v>4</v>
      </c>
      <c r="C8290" s="787" t="s">
        <v>14862</v>
      </c>
      <c r="D8290" s="787">
        <v>2.59</v>
      </c>
      <c r="E8290" s="787">
        <v>2.59</v>
      </c>
      <c r="F8290" s="788">
        <v>41813</v>
      </c>
      <c r="G8290" s="788">
        <v>41943</v>
      </c>
      <c r="H8290" s="787">
        <v>1</v>
      </c>
      <c r="I8290" s="788">
        <v>42061</v>
      </c>
      <c r="J8290" s="788">
        <v>41445</v>
      </c>
      <c r="K8290" s="788">
        <v>41383</v>
      </c>
      <c r="L8290" s="787">
        <v>1.59</v>
      </c>
      <c r="M8290" s="787">
        <v>10</v>
      </c>
      <c r="N8290" s="787">
        <v>5.58</v>
      </c>
      <c r="O8290" s="788">
        <v>42061</v>
      </c>
    </row>
    <row r="8291" spans="1:15" x14ac:dyDescent="0.25">
      <c r="A8291" s="786" t="s">
        <v>14863</v>
      </c>
      <c r="B8291" s="787">
        <v>4</v>
      </c>
      <c r="C8291" s="787" t="s">
        <v>14864</v>
      </c>
      <c r="D8291" s="787">
        <v>0</v>
      </c>
      <c r="E8291" s="787">
        <v>0</v>
      </c>
      <c r="H8291" s="787">
        <v>1</v>
      </c>
      <c r="L8291" s="787">
        <v>0</v>
      </c>
      <c r="M8291" s="787">
        <v>10</v>
      </c>
      <c r="N8291" s="787">
        <v>4.4400000000000004</v>
      </c>
      <c r="O8291" s="788">
        <v>41858</v>
      </c>
    </row>
    <row r="8292" spans="1:15" x14ac:dyDescent="0.25">
      <c r="A8292" s="786" t="s">
        <v>14865</v>
      </c>
      <c r="B8292" s="787">
        <v>4</v>
      </c>
      <c r="C8292" s="787" t="s">
        <v>14866</v>
      </c>
      <c r="D8292" s="787">
        <v>0</v>
      </c>
      <c r="E8292" s="787">
        <v>0</v>
      </c>
      <c r="H8292" s="787">
        <v>1</v>
      </c>
      <c r="L8292" s="787">
        <v>0</v>
      </c>
      <c r="M8292" s="787">
        <v>10</v>
      </c>
      <c r="N8292" s="787">
        <v>4.4400000000000004</v>
      </c>
      <c r="O8292" s="788">
        <v>41858</v>
      </c>
    </row>
    <row r="8293" spans="1:15" x14ac:dyDescent="0.25">
      <c r="A8293" s="786" t="s">
        <v>14867</v>
      </c>
      <c r="B8293" s="787">
        <v>4</v>
      </c>
      <c r="C8293" s="787" t="s">
        <v>14868</v>
      </c>
      <c r="D8293" s="787">
        <v>0</v>
      </c>
      <c r="E8293" s="787">
        <v>0</v>
      </c>
      <c r="H8293" s="787">
        <v>1</v>
      </c>
      <c r="K8293" s="788">
        <v>41376</v>
      </c>
      <c r="L8293" s="787">
        <v>2.09</v>
      </c>
      <c r="M8293" s="787">
        <v>10</v>
      </c>
      <c r="N8293" s="787">
        <v>2.06</v>
      </c>
      <c r="O8293" s="788">
        <v>41858</v>
      </c>
    </row>
    <row r="8294" spans="1:15" x14ac:dyDescent="0.25">
      <c r="A8294" s="786" t="s">
        <v>14869</v>
      </c>
      <c r="B8294" s="787">
        <v>4</v>
      </c>
      <c r="C8294" s="787" t="s">
        <v>14870</v>
      </c>
      <c r="D8294" s="787">
        <v>0</v>
      </c>
      <c r="E8294" s="787">
        <v>0</v>
      </c>
      <c r="H8294" s="787">
        <v>1</v>
      </c>
      <c r="K8294" s="788">
        <v>41376</v>
      </c>
      <c r="L8294" s="787">
        <v>1.84</v>
      </c>
      <c r="M8294" s="787">
        <v>10</v>
      </c>
      <c r="N8294" s="787">
        <v>1.83</v>
      </c>
      <c r="O8294" s="788">
        <v>41858</v>
      </c>
    </row>
    <row r="8295" spans="1:15" x14ac:dyDescent="0.25">
      <c r="A8295" s="786" t="s">
        <v>14871</v>
      </c>
      <c r="B8295" s="787">
        <v>4</v>
      </c>
      <c r="C8295" s="787" t="s">
        <v>14872</v>
      </c>
      <c r="D8295" s="787">
        <v>0</v>
      </c>
      <c r="E8295" s="787">
        <v>0</v>
      </c>
      <c r="H8295" s="787">
        <v>1</v>
      </c>
      <c r="I8295" s="788">
        <v>41547</v>
      </c>
      <c r="L8295" s="787">
        <v>0</v>
      </c>
      <c r="M8295" s="787">
        <v>10</v>
      </c>
      <c r="N8295" s="787">
        <v>4.17</v>
      </c>
      <c r="O8295" s="788">
        <v>42061</v>
      </c>
    </row>
    <row r="8296" spans="1:15" x14ac:dyDescent="0.25">
      <c r="A8296" s="786" t="s">
        <v>14873</v>
      </c>
      <c r="B8296" s="787">
        <v>4</v>
      </c>
      <c r="C8296" s="787" t="s">
        <v>14874</v>
      </c>
      <c r="D8296" s="787">
        <v>1.52</v>
      </c>
      <c r="E8296" s="787">
        <v>1.52</v>
      </c>
      <c r="F8296" s="788">
        <v>40792</v>
      </c>
      <c r="G8296" s="788">
        <v>41255</v>
      </c>
      <c r="H8296" s="787">
        <v>1</v>
      </c>
      <c r="I8296" s="788">
        <v>40791</v>
      </c>
      <c r="J8296" s="788">
        <v>40681</v>
      </c>
      <c r="K8296" s="788">
        <v>42052</v>
      </c>
      <c r="L8296" s="787">
        <v>0.93</v>
      </c>
      <c r="M8296" s="787">
        <v>10</v>
      </c>
      <c r="N8296" s="787">
        <v>0.93</v>
      </c>
      <c r="O8296" s="788">
        <v>42053</v>
      </c>
    </row>
    <row r="8297" spans="1:15" x14ac:dyDescent="0.25">
      <c r="A8297" s="786" t="s">
        <v>14875</v>
      </c>
      <c r="B8297" s="787">
        <v>4</v>
      </c>
      <c r="C8297" s="787" t="s">
        <v>14876</v>
      </c>
      <c r="D8297" s="787">
        <v>0</v>
      </c>
      <c r="E8297" s="787">
        <v>0</v>
      </c>
      <c r="H8297" s="787">
        <v>1</v>
      </c>
      <c r="L8297" s="787">
        <v>0</v>
      </c>
      <c r="M8297" s="787">
        <v>10</v>
      </c>
      <c r="N8297" s="787">
        <v>0.52</v>
      </c>
      <c r="O8297" s="788">
        <v>41858</v>
      </c>
    </row>
    <row r="8298" spans="1:15" x14ac:dyDescent="0.25">
      <c r="A8298" s="786" t="s">
        <v>14877</v>
      </c>
      <c r="B8298" s="787">
        <v>4</v>
      </c>
      <c r="C8298" s="787" t="s">
        <v>14878</v>
      </c>
      <c r="D8298" s="787">
        <v>2.4900000000000002</v>
      </c>
      <c r="E8298" s="787">
        <v>9.6300000000000008</v>
      </c>
      <c r="F8298" s="788">
        <v>41813</v>
      </c>
      <c r="G8298" s="788">
        <v>42108</v>
      </c>
      <c r="H8298" s="787">
        <v>1</v>
      </c>
      <c r="I8298" s="788">
        <v>42088</v>
      </c>
      <c r="J8298" s="788">
        <v>42067</v>
      </c>
      <c r="K8298" s="788">
        <v>41383</v>
      </c>
      <c r="L8298" s="787">
        <v>0.72</v>
      </c>
      <c r="M8298" s="787">
        <v>10</v>
      </c>
      <c r="N8298" s="787">
        <v>4.45</v>
      </c>
      <c r="O8298" s="788">
        <v>42061</v>
      </c>
    </row>
    <row r="8299" spans="1:15" x14ac:dyDescent="0.25">
      <c r="A8299" s="786" t="s">
        <v>14879</v>
      </c>
      <c r="B8299" s="787">
        <v>4</v>
      </c>
      <c r="C8299" s="787" t="s">
        <v>14880</v>
      </c>
      <c r="D8299" s="787">
        <v>3.31</v>
      </c>
      <c r="E8299" s="787">
        <v>3.31</v>
      </c>
      <c r="F8299" s="788">
        <v>41813</v>
      </c>
      <c r="G8299" s="788">
        <v>41813</v>
      </c>
      <c r="H8299" s="787">
        <v>1</v>
      </c>
      <c r="I8299" s="788">
        <v>42088</v>
      </c>
      <c r="J8299" s="788">
        <v>41446</v>
      </c>
      <c r="K8299" s="788">
        <v>41391</v>
      </c>
      <c r="L8299" s="787">
        <v>1</v>
      </c>
      <c r="M8299" s="787">
        <v>10</v>
      </c>
      <c r="N8299" s="787">
        <v>4.42</v>
      </c>
      <c r="O8299" s="788">
        <v>42061</v>
      </c>
    </row>
    <row r="8300" spans="1:15" x14ac:dyDescent="0.25">
      <c r="A8300" s="786" t="s">
        <v>14881</v>
      </c>
      <c r="B8300" s="787">
        <v>4</v>
      </c>
      <c r="C8300" s="787" t="s">
        <v>14882</v>
      </c>
      <c r="D8300" s="787">
        <v>0</v>
      </c>
      <c r="E8300" s="787">
        <v>0</v>
      </c>
      <c r="H8300" s="787">
        <v>1</v>
      </c>
      <c r="L8300" s="787">
        <v>0</v>
      </c>
      <c r="M8300" s="787">
        <v>10</v>
      </c>
      <c r="N8300" s="787">
        <v>1.67</v>
      </c>
      <c r="O8300" s="788">
        <v>41858</v>
      </c>
    </row>
    <row r="8301" spans="1:15" x14ac:dyDescent="0.25">
      <c r="A8301" s="786" t="s">
        <v>14883</v>
      </c>
      <c r="B8301" s="787">
        <v>4</v>
      </c>
      <c r="C8301" s="787" t="s">
        <v>14884</v>
      </c>
      <c r="D8301" s="787">
        <v>0</v>
      </c>
      <c r="E8301" s="787">
        <v>0</v>
      </c>
      <c r="H8301" s="787">
        <v>1</v>
      </c>
      <c r="L8301" s="787">
        <v>0</v>
      </c>
      <c r="M8301" s="787">
        <v>10</v>
      </c>
      <c r="N8301" s="787">
        <v>1.07</v>
      </c>
      <c r="O8301" s="788">
        <v>41858</v>
      </c>
    </row>
    <row r="8302" spans="1:15" x14ac:dyDescent="0.25">
      <c r="A8302" s="786" t="s">
        <v>14885</v>
      </c>
      <c r="B8302" s="787">
        <v>4</v>
      </c>
      <c r="C8302" s="787" t="s">
        <v>14886</v>
      </c>
      <c r="D8302" s="787">
        <v>0</v>
      </c>
      <c r="E8302" s="787">
        <v>0</v>
      </c>
      <c r="H8302" s="787">
        <v>1</v>
      </c>
      <c r="L8302" s="787">
        <v>0.3</v>
      </c>
      <c r="M8302" s="787">
        <v>20</v>
      </c>
      <c r="N8302" s="787">
        <v>0.32</v>
      </c>
      <c r="O8302" s="788">
        <v>42038</v>
      </c>
    </row>
    <row r="8303" spans="1:15" x14ac:dyDescent="0.25">
      <c r="A8303" s="786" t="s">
        <v>14887</v>
      </c>
      <c r="B8303" s="787">
        <v>4</v>
      </c>
      <c r="C8303" s="787" t="s">
        <v>14888</v>
      </c>
      <c r="D8303" s="787">
        <v>0</v>
      </c>
      <c r="E8303" s="787">
        <v>0</v>
      </c>
      <c r="H8303" s="787">
        <v>1</v>
      </c>
      <c r="L8303" s="787">
        <v>0</v>
      </c>
      <c r="M8303" s="787">
        <v>10</v>
      </c>
      <c r="N8303" s="787">
        <v>0.32</v>
      </c>
      <c r="O8303" s="788">
        <v>41858</v>
      </c>
    </row>
    <row r="8304" spans="1:15" x14ac:dyDescent="0.25">
      <c r="A8304" s="786" t="s">
        <v>14889</v>
      </c>
      <c r="B8304" s="787">
        <v>4</v>
      </c>
      <c r="C8304" s="787" t="s">
        <v>14890</v>
      </c>
      <c r="D8304" s="787">
        <v>1.69</v>
      </c>
      <c r="E8304" s="787">
        <v>1.69</v>
      </c>
      <c r="F8304" s="788">
        <v>42093</v>
      </c>
      <c r="G8304" s="788">
        <v>42093</v>
      </c>
      <c r="H8304" s="787">
        <v>1</v>
      </c>
      <c r="I8304" s="788">
        <v>41786</v>
      </c>
      <c r="J8304" s="788">
        <v>42072</v>
      </c>
      <c r="K8304" s="788">
        <v>41416</v>
      </c>
      <c r="L8304" s="787">
        <v>1</v>
      </c>
      <c r="M8304" s="787">
        <v>10</v>
      </c>
      <c r="N8304" s="787">
        <v>2.04</v>
      </c>
      <c r="O8304" s="788">
        <v>42061</v>
      </c>
    </row>
    <row r="8305" spans="1:15" x14ac:dyDescent="0.25">
      <c r="A8305" s="786" t="s">
        <v>14891</v>
      </c>
      <c r="B8305" s="787">
        <v>4</v>
      </c>
      <c r="C8305" s="787" t="s">
        <v>14892</v>
      </c>
      <c r="D8305" s="787">
        <v>0</v>
      </c>
      <c r="E8305" s="787">
        <v>0</v>
      </c>
      <c r="H8305" s="787">
        <v>1</v>
      </c>
      <c r="L8305" s="787">
        <v>0</v>
      </c>
      <c r="M8305" s="787">
        <v>10</v>
      </c>
      <c r="N8305" s="787">
        <v>0.33</v>
      </c>
      <c r="O8305" s="788">
        <v>41858</v>
      </c>
    </row>
    <row r="8306" spans="1:15" x14ac:dyDescent="0.25">
      <c r="A8306" s="786" t="s">
        <v>14893</v>
      </c>
      <c r="B8306" s="787">
        <v>4</v>
      </c>
      <c r="C8306" s="787" t="s">
        <v>14894</v>
      </c>
      <c r="D8306" s="787">
        <v>0</v>
      </c>
      <c r="E8306" s="787">
        <v>0</v>
      </c>
      <c r="H8306" s="787">
        <v>1</v>
      </c>
      <c r="L8306" s="787">
        <v>0</v>
      </c>
      <c r="M8306" s="787">
        <v>10</v>
      </c>
      <c r="N8306" s="787">
        <v>1.56</v>
      </c>
      <c r="O8306" s="788">
        <v>41858</v>
      </c>
    </row>
    <row r="8307" spans="1:15" x14ac:dyDescent="0.25">
      <c r="A8307" s="786" t="s">
        <v>14895</v>
      </c>
      <c r="B8307" s="787">
        <v>4</v>
      </c>
      <c r="C8307" s="787" t="s">
        <v>14896</v>
      </c>
      <c r="D8307" s="787">
        <v>3.4</v>
      </c>
      <c r="E8307" s="787">
        <v>20.71</v>
      </c>
      <c r="F8307" s="788">
        <v>41495</v>
      </c>
      <c r="G8307" s="788">
        <v>42095</v>
      </c>
      <c r="H8307" s="787">
        <v>1</v>
      </c>
      <c r="I8307" s="788">
        <v>42088</v>
      </c>
      <c r="J8307" s="788">
        <v>42065</v>
      </c>
      <c r="K8307" s="788">
        <v>41416</v>
      </c>
      <c r="L8307" s="787">
        <v>1</v>
      </c>
      <c r="M8307" s="787">
        <v>10</v>
      </c>
      <c r="N8307" s="787">
        <v>21.6</v>
      </c>
      <c r="O8307" s="788">
        <v>42061</v>
      </c>
    </row>
    <row r="8308" spans="1:15" x14ac:dyDescent="0.25">
      <c r="A8308" s="786" t="s">
        <v>14897</v>
      </c>
      <c r="B8308" s="787">
        <v>4</v>
      </c>
      <c r="C8308" s="787" t="s">
        <v>14898</v>
      </c>
      <c r="D8308" s="787">
        <v>4.7699999999999996</v>
      </c>
      <c r="E8308" s="787">
        <v>21.58</v>
      </c>
      <c r="F8308" s="788">
        <v>41495</v>
      </c>
      <c r="G8308" s="788">
        <v>42095</v>
      </c>
      <c r="H8308" s="787">
        <v>1</v>
      </c>
      <c r="I8308" s="788">
        <v>42088</v>
      </c>
      <c r="J8308" s="788">
        <v>42065</v>
      </c>
      <c r="K8308" s="788">
        <v>41439</v>
      </c>
      <c r="L8308" s="787">
        <v>1</v>
      </c>
      <c r="M8308" s="787">
        <v>10</v>
      </c>
      <c r="N8308" s="787">
        <v>23.38</v>
      </c>
      <c r="O8308" s="788">
        <v>42061</v>
      </c>
    </row>
    <row r="8309" spans="1:15" x14ac:dyDescent="0.25">
      <c r="A8309" s="786" t="s">
        <v>14899</v>
      </c>
      <c r="B8309" s="787">
        <v>4</v>
      </c>
      <c r="C8309" s="787" t="s">
        <v>14900</v>
      </c>
      <c r="D8309" s="787">
        <v>0</v>
      </c>
      <c r="E8309" s="787">
        <v>0</v>
      </c>
      <c r="H8309" s="787">
        <v>1</v>
      </c>
      <c r="K8309" s="788">
        <v>42038</v>
      </c>
      <c r="L8309" s="787">
        <v>0.67</v>
      </c>
      <c r="M8309" s="787">
        <v>10</v>
      </c>
      <c r="N8309" s="787">
        <v>0.67</v>
      </c>
      <c r="O8309" s="788">
        <v>42038</v>
      </c>
    </row>
    <row r="8310" spans="1:15" x14ac:dyDescent="0.25">
      <c r="A8310" s="786" t="s">
        <v>14901</v>
      </c>
      <c r="B8310" s="787">
        <v>4</v>
      </c>
      <c r="C8310" s="787" t="s">
        <v>14902</v>
      </c>
      <c r="D8310" s="787">
        <v>0</v>
      </c>
      <c r="E8310" s="787">
        <v>0</v>
      </c>
      <c r="H8310" s="787">
        <v>1</v>
      </c>
      <c r="K8310" s="788">
        <v>42038</v>
      </c>
      <c r="L8310" s="787">
        <v>4.1500000000000004</v>
      </c>
      <c r="M8310" s="787">
        <v>10</v>
      </c>
      <c r="N8310" s="787">
        <v>4.1500000000000004</v>
      </c>
      <c r="O8310" s="788">
        <v>42038</v>
      </c>
    </row>
    <row r="8311" spans="1:15" x14ac:dyDescent="0.25">
      <c r="A8311" s="786" t="s">
        <v>14903</v>
      </c>
      <c r="B8311" s="787">
        <v>4</v>
      </c>
      <c r="C8311" s="787" t="s">
        <v>14904</v>
      </c>
      <c r="D8311" s="787">
        <v>0</v>
      </c>
      <c r="E8311" s="787">
        <v>0</v>
      </c>
      <c r="H8311" s="787">
        <v>1</v>
      </c>
      <c r="I8311" s="788">
        <v>41547</v>
      </c>
      <c r="L8311" s="787">
        <v>0</v>
      </c>
      <c r="M8311" s="787">
        <v>10</v>
      </c>
      <c r="N8311" s="787">
        <v>15.94</v>
      </c>
      <c r="O8311" s="788">
        <v>42061</v>
      </c>
    </row>
    <row r="8312" spans="1:15" x14ac:dyDescent="0.25">
      <c r="A8312" s="786" t="s">
        <v>14905</v>
      </c>
      <c r="B8312" s="787">
        <v>4</v>
      </c>
      <c r="C8312" s="787" t="s">
        <v>14906</v>
      </c>
      <c r="D8312" s="787">
        <v>0</v>
      </c>
      <c r="E8312" s="787">
        <v>0</v>
      </c>
      <c r="H8312" s="787">
        <v>1</v>
      </c>
      <c r="L8312" s="787">
        <v>0</v>
      </c>
      <c r="M8312" s="787">
        <v>10</v>
      </c>
      <c r="N8312" s="787">
        <v>11.59</v>
      </c>
      <c r="O8312" s="788">
        <v>41858</v>
      </c>
    </row>
    <row r="8313" spans="1:15" x14ac:dyDescent="0.25">
      <c r="A8313" s="786" t="s">
        <v>14907</v>
      </c>
      <c r="B8313" s="787">
        <v>4</v>
      </c>
      <c r="C8313" s="787" t="s">
        <v>14908</v>
      </c>
      <c r="D8313" s="787">
        <v>0</v>
      </c>
      <c r="E8313" s="787">
        <v>0</v>
      </c>
      <c r="H8313" s="787">
        <v>1</v>
      </c>
      <c r="I8313" s="788">
        <v>42088</v>
      </c>
      <c r="K8313" s="788">
        <v>41425</v>
      </c>
      <c r="L8313" s="787">
        <v>1</v>
      </c>
      <c r="M8313" s="787">
        <v>10</v>
      </c>
      <c r="N8313" s="787">
        <v>15.94</v>
      </c>
      <c r="O8313" s="788">
        <v>42061</v>
      </c>
    </row>
    <row r="8314" spans="1:15" x14ac:dyDescent="0.25">
      <c r="A8314" s="786" t="s">
        <v>14909</v>
      </c>
      <c r="B8314" s="787">
        <v>4</v>
      </c>
      <c r="C8314" s="787" t="s">
        <v>14910</v>
      </c>
      <c r="D8314" s="787">
        <v>0</v>
      </c>
      <c r="E8314" s="787">
        <v>0</v>
      </c>
      <c r="H8314" s="787">
        <v>1</v>
      </c>
      <c r="I8314" s="788">
        <v>41547</v>
      </c>
      <c r="L8314" s="787">
        <v>0</v>
      </c>
      <c r="M8314" s="787">
        <v>10</v>
      </c>
      <c r="N8314" s="787">
        <v>15.94</v>
      </c>
      <c r="O8314" s="788">
        <v>42061</v>
      </c>
    </row>
    <row r="8315" spans="1:15" x14ac:dyDescent="0.25">
      <c r="A8315" s="786" t="s">
        <v>14911</v>
      </c>
      <c r="B8315" s="787">
        <v>4</v>
      </c>
      <c r="C8315" s="787" t="s">
        <v>14912</v>
      </c>
      <c r="D8315" s="787">
        <v>0</v>
      </c>
      <c r="E8315" s="787">
        <v>0</v>
      </c>
      <c r="H8315" s="787">
        <v>1</v>
      </c>
      <c r="I8315" s="788">
        <v>42088</v>
      </c>
      <c r="K8315" s="788">
        <v>41425</v>
      </c>
      <c r="L8315" s="787">
        <v>1</v>
      </c>
      <c r="M8315" s="787">
        <v>10</v>
      </c>
      <c r="N8315" s="787">
        <v>15.94</v>
      </c>
      <c r="O8315" s="788">
        <v>42061</v>
      </c>
    </row>
    <row r="8316" spans="1:15" x14ac:dyDescent="0.25">
      <c r="A8316" s="786" t="s">
        <v>14913</v>
      </c>
      <c r="B8316" s="787">
        <v>4</v>
      </c>
      <c r="C8316" s="787" t="s">
        <v>14914</v>
      </c>
      <c r="D8316" s="787">
        <v>0</v>
      </c>
      <c r="E8316" s="787">
        <v>0</v>
      </c>
      <c r="H8316" s="787">
        <v>1</v>
      </c>
      <c r="I8316" s="788">
        <v>42088</v>
      </c>
      <c r="L8316" s="787">
        <v>0</v>
      </c>
      <c r="M8316" s="787">
        <v>10</v>
      </c>
      <c r="N8316" s="787">
        <v>9.4499999999999993</v>
      </c>
      <c r="O8316" s="788">
        <v>42060</v>
      </c>
    </row>
    <row r="8317" spans="1:15" x14ac:dyDescent="0.25">
      <c r="A8317" s="786" t="s">
        <v>14915</v>
      </c>
      <c r="B8317" s="787">
        <v>4</v>
      </c>
      <c r="C8317" s="787" t="s">
        <v>14914</v>
      </c>
      <c r="D8317" s="787">
        <v>0</v>
      </c>
      <c r="E8317" s="787">
        <v>0</v>
      </c>
      <c r="H8317" s="787">
        <v>1</v>
      </c>
      <c r="I8317" s="788">
        <v>41547</v>
      </c>
      <c r="K8317" s="788">
        <v>41383</v>
      </c>
      <c r="L8317" s="787">
        <v>9.61</v>
      </c>
      <c r="M8317" s="787">
        <v>10</v>
      </c>
      <c r="N8317" s="787">
        <v>9.4499999999999993</v>
      </c>
      <c r="O8317" s="788">
        <v>42061</v>
      </c>
    </row>
    <row r="8318" spans="1:15" x14ac:dyDescent="0.25">
      <c r="A8318" s="786" t="s">
        <v>14916</v>
      </c>
      <c r="B8318" s="787">
        <v>4</v>
      </c>
      <c r="C8318" s="787" t="s">
        <v>14914</v>
      </c>
      <c r="D8318" s="787">
        <v>0</v>
      </c>
      <c r="E8318" s="787">
        <v>0</v>
      </c>
      <c r="H8318" s="787">
        <v>1</v>
      </c>
      <c r="I8318" s="788">
        <v>42088</v>
      </c>
      <c r="L8318" s="787">
        <v>0</v>
      </c>
      <c r="M8318" s="787">
        <v>10</v>
      </c>
      <c r="N8318" s="787">
        <v>9.4499999999999993</v>
      </c>
      <c r="O8318" s="788">
        <v>42060</v>
      </c>
    </row>
    <row r="8319" spans="1:15" x14ac:dyDescent="0.25">
      <c r="A8319" s="786" t="s">
        <v>14917</v>
      </c>
      <c r="B8319" s="787">
        <v>4</v>
      </c>
      <c r="C8319" s="787" t="s">
        <v>14918</v>
      </c>
      <c r="D8319" s="787">
        <v>0</v>
      </c>
      <c r="E8319" s="787">
        <v>0</v>
      </c>
      <c r="H8319" s="787">
        <v>1</v>
      </c>
      <c r="I8319" s="788">
        <v>42088</v>
      </c>
      <c r="L8319" s="787">
        <v>0</v>
      </c>
      <c r="M8319" s="787">
        <v>10</v>
      </c>
      <c r="N8319" s="787">
        <v>13.08</v>
      </c>
      <c r="O8319" s="788">
        <v>42061</v>
      </c>
    </row>
    <row r="8320" spans="1:15" x14ac:dyDescent="0.25">
      <c r="A8320" s="786" t="s">
        <v>14919</v>
      </c>
      <c r="B8320" s="787">
        <v>4</v>
      </c>
      <c r="C8320" s="787" t="s">
        <v>14920</v>
      </c>
      <c r="D8320" s="787">
        <v>0</v>
      </c>
      <c r="E8320" s="787">
        <v>0</v>
      </c>
      <c r="H8320" s="787">
        <v>1</v>
      </c>
      <c r="I8320" s="788">
        <v>41547</v>
      </c>
      <c r="L8320" s="787">
        <v>0</v>
      </c>
      <c r="M8320" s="787">
        <v>10</v>
      </c>
      <c r="N8320" s="787">
        <v>13.08</v>
      </c>
      <c r="O8320" s="788">
        <v>42061</v>
      </c>
    </row>
    <row r="8321" spans="1:15" x14ac:dyDescent="0.25">
      <c r="A8321" s="786" t="s">
        <v>14921</v>
      </c>
      <c r="B8321" s="787">
        <v>4</v>
      </c>
      <c r="C8321" s="787" t="s">
        <v>14922</v>
      </c>
      <c r="D8321" s="787">
        <v>0</v>
      </c>
      <c r="E8321" s="787">
        <v>0</v>
      </c>
      <c r="H8321" s="787">
        <v>1</v>
      </c>
      <c r="I8321" s="788">
        <v>42088</v>
      </c>
      <c r="L8321" s="787">
        <v>0</v>
      </c>
      <c r="M8321" s="787">
        <v>10</v>
      </c>
      <c r="N8321" s="787">
        <v>13.08</v>
      </c>
      <c r="O8321" s="788">
        <v>42061</v>
      </c>
    </row>
    <row r="8322" spans="1:15" x14ac:dyDescent="0.25">
      <c r="A8322" s="786" t="s">
        <v>14923</v>
      </c>
      <c r="B8322" s="787">
        <v>4</v>
      </c>
      <c r="C8322" s="787" t="s">
        <v>14924</v>
      </c>
      <c r="D8322" s="787">
        <v>0</v>
      </c>
      <c r="E8322" s="787">
        <v>0</v>
      </c>
      <c r="H8322" s="787">
        <v>1</v>
      </c>
      <c r="I8322" s="788">
        <v>42088</v>
      </c>
      <c r="L8322" s="787">
        <v>0</v>
      </c>
      <c r="M8322" s="787">
        <v>10</v>
      </c>
      <c r="N8322" s="787">
        <v>8.2899999999999991</v>
      </c>
      <c r="O8322" s="788">
        <v>42060</v>
      </c>
    </row>
    <row r="8323" spans="1:15" x14ac:dyDescent="0.25">
      <c r="A8323" s="786" t="s">
        <v>14925</v>
      </c>
      <c r="B8323" s="787">
        <v>4</v>
      </c>
      <c r="C8323" s="787" t="s">
        <v>14926</v>
      </c>
      <c r="D8323" s="787">
        <v>0</v>
      </c>
      <c r="E8323" s="787">
        <v>0</v>
      </c>
      <c r="H8323" s="787">
        <v>1</v>
      </c>
      <c r="I8323" s="788">
        <v>41547</v>
      </c>
      <c r="L8323" s="787">
        <v>0</v>
      </c>
      <c r="M8323" s="787">
        <v>10</v>
      </c>
      <c r="N8323" s="787">
        <v>8.2899999999999991</v>
      </c>
      <c r="O8323" s="788">
        <v>42061</v>
      </c>
    </row>
    <row r="8324" spans="1:15" x14ac:dyDescent="0.25">
      <c r="A8324" s="786" t="s">
        <v>14927</v>
      </c>
      <c r="B8324" s="787">
        <v>4</v>
      </c>
      <c r="C8324" s="787" t="s">
        <v>14928</v>
      </c>
      <c r="D8324" s="787">
        <v>0</v>
      </c>
      <c r="E8324" s="787">
        <v>0</v>
      </c>
      <c r="H8324" s="787">
        <v>1</v>
      </c>
      <c r="I8324" s="788">
        <v>42088</v>
      </c>
      <c r="L8324" s="787">
        <v>0</v>
      </c>
      <c r="M8324" s="787">
        <v>10</v>
      </c>
      <c r="N8324" s="787">
        <v>8.2899999999999991</v>
      </c>
      <c r="O8324" s="788">
        <v>42060</v>
      </c>
    </row>
    <row r="8325" spans="1:15" x14ac:dyDescent="0.25">
      <c r="A8325" s="786" t="s">
        <v>14929</v>
      </c>
      <c r="B8325" s="787">
        <v>4</v>
      </c>
      <c r="C8325" s="787" t="s">
        <v>14930</v>
      </c>
      <c r="D8325" s="787">
        <v>0</v>
      </c>
      <c r="E8325" s="787">
        <v>0</v>
      </c>
      <c r="H8325" s="787">
        <v>1</v>
      </c>
      <c r="I8325" s="788">
        <v>42088</v>
      </c>
      <c r="L8325" s="787">
        <v>0</v>
      </c>
      <c r="M8325" s="787">
        <v>10</v>
      </c>
      <c r="N8325" s="787">
        <v>10.11</v>
      </c>
      <c r="O8325" s="788">
        <v>42060</v>
      </c>
    </row>
    <row r="8326" spans="1:15" x14ac:dyDescent="0.25">
      <c r="A8326" s="786" t="s">
        <v>14931</v>
      </c>
      <c r="B8326" s="787">
        <v>4</v>
      </c>
      <c r="C8326" s="787" t="s">
        <v>14932</v>
      </c>
      <c r="D8326" s="787">
        <v>0</v>
      </c>
      <c r="E8326" s="787">
        <v>0</v>
      </c>
      <c r="H8326" s="787">
        <v>1</v>
      </c>
      <c r="L8326" s="787">
        <v>0</v>
      </c>
      <c r="M8326" s="787">
        <v>10</v>
      </c>
      <c r="N8326" s="787">
        <v>9.3000000000000007</v>
      </c>
      <c r="O8326" s="788">
        <v>41858</v>
      </c>
    </row>
    <row r="8327" spans="1:15" x14ac:dyDescent="0.25">
      <c r="A8327" s="786" t="s">
        <v>14933</v>
      </c>
      <c r="B8327" s="787">
        <v>4</v>
      </c>
      <c r="C8327" s="787" t="s">
        <v>14934</v>
      </c>
      <c r="D8327" s="787">
        <v>0</v>
      </c>
      <c r="E8327" s="787">
        <v>0</v>
      </c>
      <c r="H8327" s="787">
        <v>1</v>
      </c>
      <c r="L8327" s="787">
        <v>0</v>
      </c>
      <c r="M8327" s="787">
        <v>10</v>
      </c>
      <c r="N8327" s="787">
        <v>9.84</v>
      </c>
      <c r="O8327" s="788">
        <v>41858</v>
      </c>
    </row>
    <row r="8328" spans="1:15" x14ac:dyDescent="0.25">
      <c r="A8328" s="786" t="s">
        <v>14935</v>
      </c>
      <c r="B8328" s="787">
        <v>4</v>
      </c>
      <c r="C8328" s="787" t="s">
        <v>14936</v>
      </c>
      <c r="D8328" s="787">
        <v>0</v>
      </c>
      <c r="E8328" s="787">
        <v>0</v>
      </c>
      <c r="H8328" s="787">
        <v>1</v>
      </c>
      <c r="L8328" s="787">
        <v>0</v>
      </c>
      <c r="M8328" s="787">
        <v>10</v>
      </c>
      <c r="N8328" s="787">
        <v>9.84</v>
      </c>
      <c r="O8328" s="788">
        <v>41858</v>
      </c>
    </row>
    <row r="8329" spans="1:15" x14ac:dyDescent="0.25">
      <c r="A8329" s="786" t="s">
        <v>14937</v>
      </c>
      <c r="B8329" s="787">
        <v>4</v>
      </c>
      <c r="C8329" s="787" t="s">
        <v>14938</v>
      </c>
      <c r="D8329" s="787">
        <v>0</v>
      </c>
      <c r="E8329" s="787">
        <v>0</v>
      </c>
      <c r="H8329" s="787">
        <v>1</v>
      </c>
      <c r="L8329" s="787">
        <v>0</v>
      </c>
      <c r="M8329" s="787">
        <v>10</v>
      </c>
      <c r="N8329" s="787">
        <v>9.84</v>
      </c>
      <c r="O8329" s="788">
        <v>41858</v>
      </c>
    </row>
    <row r="8330" spans="1:15" x14ac:dyDescent="0.25">
      <c r="A8330" s="786" t="s">
        <v>14939</v>
      </c>
      <c r="B8330" s="787">
        <v>4</v>
      </c>
      <c r="C8330" s="787" t="s">
        <v>14940</v>
      </c>
      <c r="D8330" s="787">
        <v>0</v>
      </c>
      <c r="E8330" s="787">
        <v>0</v>
      </c>
      <c r="H8330" s="787">
        <v>1</v>
      </c>
      <c r="I8330" s="788">
        <v>42088</v>
      </c>
      <c r="K8330" s="788">
        <v>41391</v>
      </c>
      <c r="L8330" s="787">
        <v>1</v>
      </c>
      <c r="M8330" s="787">
        <v>10</v>
      </c>
      <c r="N8330" s="787">
        <v>6.52</v>
      </c>
      <c r="O8330" s="788">
        <v>42061</v>
      </c>
    </row>
    <row r="8331" spans="1:15" x14ac:dyDescent="0.25">
      <c r="A8331" s="786" t="s">
        <v>14941</v>
      </c>
      <c r="B8331" s="787">
        <v>4</v>
      </c>
      <c r="C8331" s="787" t="s">
        <v>14942</v>
      </c>
      <c r="D8331" s="787">
        <v>0</v>
      </c>
      <c r="E8331" s="787">
        <v>0</v>
      </c>
      <c r="H8331" s="787">
        <v>1</v>
      </c>
      <c r="L8331" s="787">
        <v>0</v>
      </c>
      <c r="M8331" s="787">
        <v>10</v>
      </c>
      <c r="N8331" s="787">
        <v>9.94</v>
      </c>
      <c r="O8331" s="788">
        <v>41858</v>
      </c>
    </row>
    <row r="8332" spans="1:15" x14ac:dyDescent="0.25">
      <c r="A8332" s="786" t="s">
        <v>14943</v>
      </c>
      <c r="B8332" s="787">
        <v>4</v>
      </c>
      <c r="C8332" s="787" t="s">
        <v>14944</v>
      </c>
      <c r="D8332" s="787">
        <v>0</v>
      </c>
      <c r="E8332" s="787">
        <v>0</v>
      </c>
      <c r="H8332" s="787">
        <v>1</v>
      </c>
      <c r="L8332" s="787">
        <v>0</v>
      </c>
      <c r="M8332" s="787">
        <v>10</v>
      </c>
      <c r="N8332" s="787">
        <v>9.84</v>
      </c>
      <c r="O8332" s="788">
        <v>41858</v>
      </c>
    </row>
    <row r="8333" spans="1:15" x14ac:dyDescent="0.25">
      <c r="A8333" s="786" t="s">
        <v>14945</v>
      </c>
      <c r="B8333" s="787">
        <v>4</v>
      </c>
      <c r="C8333" s="787" t="s">
        <v>14946</v>
      </c>
      <c r="D8333" s="787">
        <v>0</v>
      </c>
      <c r="E8333" s="787">
        <v>0</v>
      </c>
      <c r="H8333" s="787">
        <v>1</v>
      </c>
      <c r="L8333" s="787">
        <v>0</v>
      </c>
      <c r="M8333" s="787">
        <v>10</v>
      </c>
      <c r="N8333" s="787">
        <v>9.84</v>
      </c>
      <c r="O8333" s="788">
        <v>41858</v>
      </c>
    </row>
    <row r="8334" spans="1:15" x14ac:dyDescent="0.25">
      <c r="A8334" s="786" t="s">
        <v>14947</v>
      </c>
      <c r="B8334" s="787">
        <v>4</v>
      </c>
      <c r="C8334" s="787" t="s">
        <v>14948</v>
      </c>
      <c r="D8334" s="787">
        <v>0</v>
      </c>
      <c r="E8334" s="787">
        <v>0</v>
      </c>
      <c r="H8334" s="787">
        <v>1</v>
      </c>
      <c r="I8334" s="788">
        <v>42110</v>
      </c>
      <c r="K8334" s="788">
        <v>42128</v>
      </c>
      <c r="L8334" s="787">
        <v>1.1000000000000001</v>
      </c>
      <c r="M8334" s="787">
        <v>10</v>
      </c>
      <c r="N8334" s="787">
        <v>1.1000000000000001</v>
      </c>
      <c r="O8334" s="788">
        <v>41858</v>
      </c>
    </row>
    <row r="8335" spans="1:15" x14ac:dyDescent="0.25">
      <c r="A8335" s="786" t="s">
        <v>14949</v>
      </c>
      <c r="B8335" s="787">
        <v>4</v>
      </c>
      <c r="C8335" s="787" t="s">
        <v>14950</v>
      </c>
      <c r="D8335" s="787">
        <v>0.09</v>
      </c>
      <c r="E8335" s="787">
        <v>0.28000000000000003</v>
      </c>
      <c r="F8335" s="788">
        <v>41369</v>
      </c>
      <c r="G8335" s="788">
        <v>42158</v>
      </c>
      <c r="H8335" s="787">
        <v>1</v>
      </c>
      <c r="I8335" s="788">
        <v>42163</v>
      </c>
      <c r="J8335" s="788">
        <v>42158</v>
      </c>
      <c r="K8335" s="788">
        <v>41215</v>
      </c>
      <c r="L8335" s="787">
        <v>0.47</v>
      </c>
      <c r="M8335" s="787">
        <v>10</v>
      </c>
      <c r="N8335" s="787">
        <v>1.1000000000000001</v>
      </c>
      <c r="O8335" s="788">
        <v>42019</v>
      </c>
    </row>
    <row r="8336" spans="1:15" x14ac:dyDescent="0.25">
      <c r="A8336" s="786" t="s">
        <v>14951</v>
      </c>
      <c r="B8336" s="787">
        <v>4</v>
      </c>
      <c r="C8336" s="787" t="s">
        <v>14952</v>
      </c>
      <c r="D8336" s="787">
        <v>0.23</v>
      </c>
      <c r="E8336" s="787">
        <v>0.27</v>
      </c>
      <c r="F8336" s="788">
        <v>41775</v>
      </c>
      <c r="G8336" s="788">
        <v>42158</v>
      </c>
      <c r="H8336" s="787">
        <v>1</v>
      </c>
      <c r="I8336" s="788">
        <v>42163</v>
      </c>
      <c r="J8336" s="788">
        <v>42158</v>
      </c>
      <c r="K8336" s="788">
        <v>41215</v>
      </c>
      <c r="L8336" s="787">
        <v>0.43</v>
      </c>
      <c r="M8336" s="787">
        <v>10</v>
      </c>
      <c r="N8336" s="787">
        <v>1.06</v>
      </c>
      <c r="O8336" s="788">
        <v>42146</v>
      </c>
    </row>
    <row r="8337" spans="1:15" x14ac:dyDescent="0.25">
      <c r="A8337" s="786" t="s">
        <v>14953</v>
      </c>
      <c r="B8337" s="787">
        <v>4</v>
      </c>
      <c r="C8337" s="787" t="s">
        <v>14954</v>
      </c>
      <c r="D8337" s="787">
        <v>3.46</v>
      </c>
      <c r="E8337" s="787">
        <v>13.46</v>
      </c>
      <c r="F8337" s="788">
        <v>41134</v>
      </c>
      <c r="G8337" s="788">
        <v>41134</v>
      </c>
      <c r="H8337" s="787">
        <v>1</v>
      </c>
      <c r="I8337" s="788">
        <v>41894</v>
      </c>
      <c r="J8337" s="788">
        <v>40970</v>
      </c>
      <c r="L8337" s="787">
        <v>0</v>
      </c>
      <c r="M8337" s="787">
        <v>10</v>
      </c>
      <c r="N8337" s="787">
        <v>11.95</v>
      </c>
      <c r="O8337" s="788">
        <v>41858</v>
      </c>
    </row>
    <row r="8338" spans="1:15" x14ac:dyDescent="0.25">
      <c r="A8338" s="786" t="s">
        <v>14955</v>
      </c>
      <c r="B8338" s="787">
        <v>4</v>
      </c>
      <c r="C8338" s="787" t="s">
        <v>14956</v>
      </c>
      <c r="D8338" s="787">
        <v>0</v>
      </c>
      <c r="E8338" s="787">
        <v>0</v>
      </c>
      <c r="H8338" s="787">
        <v>1</v>
      </c>
      <c r="I8338" s="788">
        <v>41340</v>
      </c>
      <c r="L8338" s="787">
        <v>0</v>
      </c>
      <c r="M8338" s="787">
        <v>10</v>
      </c>
      <c r="N8338" s="787">
        <v>21.5</v>
      </c>
      <c r="O8338" s="788">
        <v>41858</v>
      </c>
    </row>
    <row r="8339" spans="1:15" x14ac:dyDescent="0.25">
      <c r="A8339" s="786" t="s">
        <v>14957</v>
      </c>
      <c r="B8339" s="787">
        <v>4</v>
      </c>
      <c r="C8339" s="787" t="s">
        <v>14958</v>
      </c>
      <c r="D8339" s="787">
        <v>0</v>
      </c>
      <c r="E8339" s="787">
        <v>0</v>
      </c>
      <c r="H8339" s="787">
        <v>1</v>
      </c>
      <c r="I8339" s="788">
        <v>41340</v>
      </c>
      <c r="L8339" s="787">
        <v>0</v>
      </c>
      <c r="M8339" s="787">
        <v>10</v>
      </c>
      <c r="N8339" s="787">
        <v>18</v>
      </c>
      <c r="O8339" s="788">
        <v>41858</v>
      </c>
    </row>
    <row r="8340" spans="1:15" x14ac:dyDescent="0.25">
      <c r="A8340" s="786" t="s">
        <v>14959</v>
      </c>
      <c r="B8340" s="787">
        <v>4</v>
      </c>
      <c r="C8340" s="787" t="s">
        <v>14960</v>
      </c>
      <c r="D8340" s="787">
        <v>0</v>
      </c>
      <c r="E8340" s="787">
        <v>0</v>
      </c>
      <c r="H8340" s="787">
        <v>1</v>
      </c>
      <c r="L8340" s="787">
        <v>0</v>
      </c>
      <c r="M8340" s="787">
        <v>10</v>
      </c>
      <c r="N8340" s="787">
        <v>2.02</v>
      </c>
      <c r="O8340" s="788">
        <v>41955</v>
      </c>
    </row>
    <row r="8341" spans="1:15" x14ac:dyDescent="0.25">
      <c r="A8341" s="786" t="s">
        <v>14961</v>
      </c>
      <c r="B8341" s="787">
        <v>4</v>
      </c>
      <c r="C8341" s="787" t="s">
        <v>14962</v>
      </c>
      <c r="D8341" s="787">
        <v>0</v>
      </c>
      <c r="E8341" s="787">
        <v>0</v>
      </c>
      <c r="H8341" s="787">
        <v>1</v>
      </c>
      <c r="L8341" s="787">
        <v>0</v>
      </c>
      <c r="M8341" s="787">
        <v>10</v>
      </c>
      <c r="N8341" s="787">
        <v>2.02</v>
      </c>
      <c r="O8341" s="788">
        <v>41955</v>
      </c>
    </row>
    <row r="8342" spans="1:15" x14ac:dyDescent="0.25">
      <c r="A8342" s="786" t="s">
        <v>14963</v>
      </c>
      <c r="B8342" s="787">
        <v>4</v>
      </c>
      <c r="C8342" s="787" t="s">
        <v>14964</v>
      </c>
      <c r="D8342" s="787">
        <v>0</v>
      </c>
      <c r="E8342" s="787">
        <v>0</v>
      </c>
      <c r="H8342" s="787">
        <v>1</v>
      </c>
      <c r="L8342" s="787">
        <v>0</v>
      </c>
      <c r="M8342" s="787">
        <v>10</v>
      </c>
      <c r="N8342" s="787">
        <v>2.96</v>
      </c>
      <c r="O8342" s="788">
        <v>41955</v>
      </c>
    </row>
    <row r="8343" spans="1:15" x14ac:dyDescent="0.25">
      <c r="A8343" s="786" t="s">
        <v>14965</v>
      </c>
      <c r="B8343" s="787">
        <v>4</v>
      </c>
      <c r="C8343" s="787" t="s">
        <v>14966</v>
      </c>
      <c r="D8343" s="787">
        <v>0</v>
      </c>
      <c r="E8343" s="787">
        <v>0</v>
      </c>
      <c r="H8343" s="787">
        <v>1</v>
      </c>
      <c r="L8343" s="787">
        <v>0</v>
      </c>
      <c r="M8343" s="787">
        <v>10</v>
      </c>
      <c r="N8343" s="787">
        <v>2.96</v>
      </c>
      <c r="O8343" s="788">
        <v>41955</v>
      </c>
    </row>
    <row r="8344" spans="1:15" x14ac:dyDescent="0.25">
      <c r="A8344" s="786" t="s">
        <v>14967</v>
      </c>
      <c r="B8344" s="787">
        <v>4</v>
      </c>
      <c r="C8344" s="787" t="s">
        <v>14968</v>
      </c>
      <c r="D8344" s="787">
        <v>0</v>
      </c>
      <c r="E8344" s="787">
        <v>0</v>
      </c>
      <c r="H8344" s="787">
        <v>1</v>
      </c>
      <c r="L8344" s="787">
        <v>0</v>
      </c>
      <c r="M8344" s="787">
        <v>10</v>
      </c>
      <c r="N8344" s="787">
        <v>58.46</v>
      </c>
      <c r="O8344" s="788">
        <v>41955</v>
      </c>
    </row>
    <row r="8345" spans="1:15" x14ac:dyDescent="0.25">
      <c r="A8345" s="786" t="s">
        <v>14969</v>
      </c>
      <c r="B8345" s="787">
        <v>4</v>
      </c>
      <c r="C8345" s="787" t="s">
        <v>14970</v>
      </c>
      <c r="D8345" s="787">
        <v>0</v>
      </c>
      <c r="E8345" s="787">
        <v>0</v>
      </c>
      <c r="H8345" s="787">
        <v>1</v>
      </c>
      <c r="L8345" s="787">
        <v>0</v>
      </c>
      <c r="M8345" s="787">
        <v>10</v>
      </c>
      <c r="N8345" s="787">
        <v>2.12</v>
      </c>
      <c r="O8345" s="788">
        <v>42055</v>
      </c>
    </row>
    <row r="8346" spans="1:15" x14ac:dyDescent="0.25">
      <c r="A8346" s="786" t="s">
        <v>14971</v>
      </c>
      <c r="B8346" s="787">
        <v>4</v>
      </c>
      <c r="C8346" s="787" t="s">
        <v>14972</v>
      </c>
      <c r="D8346" s="787">
        <v>0</v>
      </c>
      <c r="E8346" s="787">
        <v>0</v>
      </c>
      <c r="H8346" s="787">
        <v>1</v>
      </c>
      <c r="L8346" s="787">
        <v>0</v>
      </c>
      <c r="M8346" s="787">
        <v>10</v>
      </c>
      <c r="N8346" s="787">
        <v>2</v>
      </c>
      <c r="O8346" s="788">
        <v>42055</v>
      </c>
    </row>
    <row r="8347" spans="1:15" x14ac:dyDescent="0.25">
      <c r="A8347" s="786" t="s">
        <v>14973</v>
      </c>
      <c r="B8347" s="787">
        <v>4</v>
      </c>
      <c r="C8347" s="787" t="s">
        <v>14974</v>
      </c>
      <c r="D8347" s="787">
        <v>0</v>
      </c>
      <c r="E8347" s="787">
        <v>0</v>
      </c>
      <c r="H8347" s="787">
        <v>1</v>
      </c>
      <c r="K8347" s="788">
        <v>42038</v>
      </c>
      <c r="L8347" s="787">
        <v>39.71</v>
      </c>
      <c r="M8347" s="787">
        <v>10</v>
      </c>
      <c r="N8347" s="787">
        <v>39.74</v>
      </c>
      <c r="O8347" s="788">
        <v>40853</v>
      </c>
    </row>
    <row r="8348" spans="1:15" x14ac:dyDescent="0.25">
      <c r="A8348" s="786" t="s">
        <v>14975</v>
      </c>
      <c r="B8348" s="787">
        <v>4</v>
      </c>
      <c r="C8348" s="787" t="s">
        <v>14976</v>
      </c>
      <c r="D8348" s="787">
        <v>0</v>
      </c>
      <c r="E8348" s="787">
        <v>0</v>
      </c>
      <c r="H8348" s="787">
        <v>1</v>
      </c>
      <c r="L8348" s="787">
        <v>0</v>
      </c>
      <c r="M8348" s="787">
        <v>10</v>
      </c>
      <c r="N8348" s="787">
        <v>1.3</v>
      </c>
      <c r="O8348" s="788">
        <v>42038</v>
      </c>
    </row>
    <row r="8349" spans="1:15" x14ac:dyDescent="0.25">
      <c r="A8349" s="786" t="s">
        <v>14977</v>
      </c>
      <c r="B8349" s="787">
        <v>4</v>
      </c>
      <c r="C8349" s="787" t="s">
        <v>14978</v>
      </c>
      <c r="D8349" s="787">
        <v>0</v>
      </c>
      <c r="E8349" s="787">
        <v>0</v>
      </c>
      <c r="H8349" s="787">
        <v>1</v>
      </c>
      <c r="L8349" s="787">
        <v>0</v>
      </c>
      <c r="M8349" s="787">
        <v>10</v>
      </c>
      <c r="N8349" s="787">
        <v>3.08</v>
      </c>
      <c r="O8349" s="788">
        <v>42038</v>
      </c>
    </row>
    <row r="8350" spans="1:15" x14ac:dyDescent="0.25">
      <c r="A8350" s="786" t="s">
        <v>14979</v>
      </c>
      <c r="B8350" s="787">
        <v>4</v>
      </c>
      <c r="C8350" s="787" t="s">
        <v>14980</v>
      </c>
      <c r="D8350" s="787">
        <v>0</v>
      </c>
      <c r="E8350" s="787">
        <v>0</v>
      </c>
      <c r="H8350" s="787">
        <v>1</v>
      </c>
      <c r="L8350" s="787">
        <v>0</v>
      </c>
      <c r="M8350" s="787">
        <v>10</v>
      </c>
      <c r="N8350" s="787">
        <v>1.05</v>
      </c>
      <c r="O8350" s="788">
        <v>41955</v>
      </c>
    </row>
    <row r="8351" spans="1:15" x14ac:dyDescent="0.25">
      <c r="A8351" s="786" t="s">
        <v>14981</v>
      </c>
      <c r="B8351" s="787">
        <v>4</v>
      </c>
      <c r="C8351" s="787" t="s">
        <v>14982</v>
      </c>
      <c r="D8351" s="787">
        <v>0</v>
      </c>
      <c r="E8351" s="787">
        <v>0</v>
      </c>
      <c r="H8351" s="787">
        <v>1</v>
      </c>
      <c r="L8351" s="787">
        <v>0</v>
      </c>
      <c r="M8351" s="787">
        <v>10</v>
      </c>
      <c r="N8351" s="787">
        <v>4.72</v>
      </c>
      <c r="O8351" s="788">
        <v>41955</v>
      </c>
    </row>
    <row r="8352" spans="1:15" x14ac:dyDescent="0.25">
      <c r="A8352" s="786" t="s">
        <v>14983</v>
      </c>
      <c r="B8352" s="787">
        <v>4</v>
      </c>
      <c r="C8352" s="787" t="s">
        <v>14984</v>
      </c>
      <c r="D8352" s="787">
        <v>0</v>
      </c>
      <c r="E8352" s="787">
        <v>0</v>
      </c>
      <c r="H8352" s="787">
        <v>1</v>
      </c>
      <c r="L8352" s="787">
        <v>0</v>
      </c>
      <c r="M8352" s="787">
        <v>10</v>
      </c>
      <c r="N8352" s="787">
        <v>4.72</v>
      </c>
      <c r="O8352" s="788">
        <v>41955</v>
      </c>
    </row>
    <row r="8353" spans="1:15" x14ac:dyDescent="0.25">
      <c r="A8353" s="786" t="s">
        <v>14985</v>
      </c>
      <c r="B8353" s="787">
        <v>4</v>
      </c>
      <c r="C8353" s="787" t="s">
        <v>14986</v>
      </c>
      <c r="D8353" s="787">
        <v>0</v>
      </c>
      <c r="E8353" s="787">
        <v>0</v>
      </c>
      <c r="H8353" s="787">
        <v>1</v>
      </c>
      <c r="L8353" s="787">
        <v>0</v>
      </c>
      <c r="M8353" s="787">
        <v>10</v>
      </c>
      <c r="N8353" s="787">
        <v>158.49</v>
      </c>
      <c r="O8353" s="788">
        <v>40853</v>
      </c>
    </row>
    <row r="8354" spans="1:15" x14ac:dyDescent="0.25">
      <c r="A8354" s="786" t="s">
        <v>14987</v>
      </c>
      <c r="B8354" s="787">
        <v>4</v>
      </c>
      <c r="C8354" s="787" t="s">
        <v>14988</v>
      </c>
      <c r="D8354" s="787">
        <v>0</v>
      </c>
      <c r="E8354" s="787">
        <v>0</v>
      </c>
      <c r="H8354" s="787">
        <v>1</v>
      </c>
      <c r="L8354" s="787">
        <v>0</v>
      </c>
      <c r="M8354" s="787">
        <v>10</v>
      </c>
      <c r="N8354" s="787">
        <v>158.49</v>
      </c>
      <c r="O8354" s="788">
        <v>40853</v>
      </c>
    </row>
    <row r="8355" spans="1:15" x14ac:dyDescent="0.25">
      <c r="A8355" s="786" t="s">
        <v>14989</v>
      </c>
      <c r="B8355" s="787">
        <v>4</v>
      </c>
      <c r="C8355" s="787" t="s">
        <v>14990</v>
      </c>
      <c r="D8355" s="787">
        <v>0</v>
      </c>
      <c r="E8355" s="787">
        <v>0</v>
      </c>
      <c r="H8355" s="787">
        <v>1</v>
      </c>
      <c r="L8355" s="787">
        <v>0</v>
      </c>
      <c r="M8355" s="787">
        <v>10</v>
      </c>
      <c r="N8355" s="787">
        <v>10.28</v>
      </c>
      <c r="O8355" s="788">
        <v>41955</v>
      </c>
    </row>
    <row r="8356" spans="1:15" x14ac:dyDescent="0.25">
      <c r="A8356" s="786" t="s">
        <v>14991</v>
      </c>
      <c r="B8356" s="787">
        <v>4</v>
      </c>
      <c r="C8356" s="787" t="s">
        <v>14992</v>
      </c>
      <c r="D8356" s="787">
        <v>0</v>
      </c>
      <c r="E8356" s="787">
        <v>0</v>
      </c>
      <c r="H8356" s="787">
        <v>1</v>
      </c>
      <c r="L8356" s="787">
        <v>0</v>
      </c>
      <c r="M8356" s="787">
        <v>10</v>
      </c>
      <c r="N8356" s="787">
        <v>4.0599999999999996</v>
      </c>
      <c r="O8356" s="788">
        <v>41858</v>
      </c>
    </row>
    <row r="8357" spans="1:15" x14ac:dyDescent="0.25">
      <c r="A8357" s="786" t="s">
        <v>14993</v>
      </c>
      <c r="B8357" s="787">
        <v>4</v>
      </c>
      <c r="C8357" s="787" t="s">
        <v>14994</v>
      </c>
      <c r="D8357" s="787">
        <v>0</v>
      </c>
      <c r="E8357" s="787">
        <v>0</v>
      </c>
      <c r="H8357" s="787">
        <v>1</v>
      </c>
      <c r="L8357" s="787">
        <v>0</v>
      </c>
      <c r="M8357" s="787">
        <v>10</v>
      </c>
      <c r="N8357" s="787">
        <v>4.0599999999999996</v>
      </c>
      <c r="O8357" s="788">
        <v>41858</v>
      </c>
    </row>
    <row r="8358" spans="1:15" x14ac:dyDescent="0.25">
      <c r="A8358" s="786" t="s">
        <v>14995</v>
      </c>
      <c r="B8358" s="787">
        <v>4</v>
      </c>
      <c r="C8358" s="787" t="s">
        <v>14996</v>
      </c>
      <c r="D8358" s="787">
        <v>0</v>
      </c>
      <c r="E8358" s="787">
        <v>0</v>
      </c>
      <c r="H8358" s="787">
        <v>1</v>
      </c>
      <c r="L8358" s="787">
        <v>0</v>
      </c>
      <c r="M8358" s="787">
        <v>10</v>
      </c>
      <c r="N8358" s="787">
        <v>3.94</v>
      </c>
      <c r="O8358" s="788">
        <v>41955</v>
      </c>
    </row>
    <row r="8359" spans="1:15" x14ac:dyDescent="0.25">
      <c r="A8359" s="786" t="s">
        <v>14997</v>
      </c>
      <c r="B8359" s="787">
        <v>4</v>
      </c>
      <c r="C8359" s="787" t="s">
        <v>14998</v>
      </c>
      <c r="D8359" s="787">
        <v>0</v>
      </c>
      <c r="E8359" s="787">
        <v>0</v>
      </c>
      <c r="H8359" s="787">
        <v>1</v>
      </c>
      <c r="L8359" s="787">
        <v>0</v>
      </c>
      <c r="M8359" s="787">
        <v>10</v>
      </c>
      <c r="N8359" s="787">
        <v>3.94</v>
      </c>
      <c r="O8359" s="788">
        <v>41955</v>
      </c>
    </row>
    <row r="8360" spans="1:15" x14ac:dyDescent="0.25">
      <c r="A8360" s="786" t="s">
        <v>14999</v>
      </c>
      <c r="B8360" s="787">
        <v>4</v>
      </c>
      <c r="C8360" s="787" t="s">
        <v>15000</v>
      </c>
      <c r="D8360" s="787">
        <v>0</v>
      </c>
      <c r="E8360" s="787">
        <v>0</v>
      </c>
      <c r="H8360" s="787">
        <v>1</v>
      </c>
      <c r="L8360" s="787">
        <v>0</v>
      </c>
      <c r="M8360" s="787">
        <v>10</v>
      </c>
      <c r="N8360" s="787">
        <v>1.22</v>
      </c>
      <c r="O8360" s="788">
        <v>41955</v>
      </c>
    </row>
    <row r="8361" spans="1:15" x14ac:dyDescent="0.25">
      <c r="A8361" s="786" t="s">
        <v>15001</v>
      </c>
      <c r="B8361" s="787">
        <v>4</v>
      </c>
      <c r="C8361" s="787" t="s">
        <v>15002</v>
      </c>
      <c r="D8361" s="787">
        <v>0</v>
      </c>
      <c r="E8361" s="787">
        <v>0</v>
      </c>
      <c r="H8361" s="787">
        <v>1</v>
      </c>
      <c r="L8361" s="787">
        <v>0</v>
      </c>
      <c r="M8361" s="787">
        <v>10</v>
      </c>
      <c r="N8361" s="787">
        <v>2.2400000000000002</v>
      </c>
      <c r="O8361" s="788">
        <v>42055</v>
      </c>
    </row>
    <row r="8362" spans="1:15" x14ac:dyDescent="0.25">
      <c r="A8362" s="786" t="s">
        <v>15003</v>
      </c>
      <c r="B8362" s="787">
        <v>4</v>
      </c>
      <c r="C8362" s="787" t="s">
        <v>15004</v>
      </c>
      <c r="D8362" s="787">
        <v>0</v>
      </c>
      <c r="E8362" s="787">
        <v>0</v>
      </c>
      <c r="H8362" s="787">
        <v>1</v>
      </c>
      <c r="L8362" s="787">
        <v>0</v>
      </c>
      <c r="M8362" s="787">
        <v>10</v>
      </c>
      <c r="N8362" s="787">
        <v>2.1</v>
      </c>
      <c r="O8362" s="788">
        <v>42055</v>
      </c>
    </row>
    <row r="8363" spans="1:15" x14ac:dyDescent="0.25">
      <c r="A8363" s="786" t="s">
        <v>15005</v>
      </c>
      <c r="B8363" s="787">
        <v>4</v>
      </c>
      <c r="C8363" s="787" t="s">
        <v>15006</v>
      </c>
      <c r="D8363" s="787">
        <v>0</v>
      </c>
      <c r="E8363" s="787">
        <v>0</v>
      </c>
      <c r="H8363" s="787">
        <v>1</v>
      </c>
      <c r="L8363" s="787">
        <v>0</v>
      </c>
      <c r="M8363" s="787">
        <v>10</v>
      </c>
      <c r="N8363" s="787">
        <v>19.13</v>
      </c>
      <c r="O8363" s="788">
        <v>41955</v>
      </c>
    </row>
    <row r="8364" spans="1:15" x14ac:dyDescent="0.25">
      <c r="A8364" s="786" t="s">
        <v>15007</v>
      </c>
      <c r="B8364" s="787">
        <v>4</v>
      </c>
      <c r="C8364" s="787" t="s">
        <v>15008</v>
      </c>
      <c r="D8364" s="787">
        <v>0</v>
      </c>
      <c r="E8364" s="787">
        <v>0</v>
      </c>
      <c r="H8364" s="787">
        <v>1</v>
      </c>
      <c r="L8364" s="787">
        <v>0</v>
      </c>
      <c r="M8364" s="787">
        <v>10</v>
      </c>
      <c r="N8364" s="787">
        <v>3.92</v>
      </c>
      <c r="O8364" s="788">
        <v>42055</v>
      </c>
    </row>
    <row r="8365" spans="1:15" x14ac:dyDescent="0.25">
      <c r="A8365" s="786" t="s">
        <v>15009</v>
      </c>
      <c r="B8365" s="787">
        <v>4</v>
      </c>
      <c r="C8365" s="787" t="s">
        <v>15010</v>
      </c>
      <c r="D8365" s="787">
        <v>0</v>
      </c>
      <c r="E8365" s="787">
        <v>0</v>
      </c>
      <c r="H8365" s="787">
        <v>1</v>
      </c>
      <c r="L8365" s="787">
        <v>0</v>
      </c>
      <c r="M8365" s="787">
        <v>10</v>
      </c>
      <c r="N8365" s="787">
        <v>3.34</v>
      </c>
      <c r="O8365" s="788">
        <v>42055</v>
      </c>
    </row>
    <row r="8366" spans="1:15" x14ac:dyDescent="0.25">
      <c r="A8366" s="786" t="s">
        <v>15011</v>
      </c>
      <c r="B8366" s="787">
        <v>4</v>
      </c>
      <c r="C8366" s="787" t="s">
        <v>15012</v>
      </c>
      <c r="D8366" s="787">
        <v>0</v>
      </c>
      <c r="E8366" s="787">
        <v>0</v>
      </c>
      <c r="H8366" s="787">
        <v>1</v>
      </c>
      <c r="L8366" s="787">
        <v>0</v>
      </c>
      <c r="M8366" s="787">
        <v>10</v>
      </c>
      <c r="N8366" s="787">
        <v>0.56999999999999995</v>
      </c>
      <c r="O8366" s="788">
        <v>41955</v>
      </c>
    </row>
    <row r="8367" spans="1:15" x14ac:dyDescent="0.25">
      <c r="A8367" s="786" t="s">
        <v>15013</v>
      </c>
      <c r="B8367" s="787">
        <v>4</v>
      </c>
      <c r="C8367" s="787" t="s">
        <v>15014</v>
      </c>
      <c r="D8367" s="787">
        <v>0</v>
      </c>
      <c r="E8367" s="787">
        <v>0</v>
      </c>
      <c r="H8367" s="787">
        <v>1</v>
      </c>
      <c r="L8367" s="787">
        <v>0</v>
      </c>
      <c r="M8367" s="787">
        <v>10</v>
      </c>
      <c r="N8367" s="787">
        <v>1.28</v>
      </c>
      <c r="O8367" s="788">
        <v>41955</v>
      </c>
    </row>
    <row r="8368" spans="1:15" x14ac:dyDescent="0.25">
      <c r="A8368" s="786" t="s">
        <v>15015</v>
      </c>
      <c r="B8368" s="787">
        <v>4</v>
      </c>
      <c r="C8368" s="787" t="s">
        <v>15016</v>
      </c>
      <c r="D8368" s="787">
        <v>0</v>
      </c>
      <c r="E8368" s="787">
        <v>0</v>
      </c>
      <c r="H8368" s="787">
        <v>1</v>
      </c>
      <c r="K8368" s="788">
        <v>41886</v>
      </c>
      <c r="L8368" s="787">
        <v>1</v>
      </c>
      <c r="M8368" s="787">
        <v>10</v>
      </c>
      <c r="N8368" s="787">
        <v>0.78</v>
      </c>
      <c r="O8368" s="788">
        <v>42055</v>
      </c>
    </row>
    <row r="8369" spans="1:15" x14ac:dyDescent="0.25">
      <c r="A8369" s="786" t="s">
        <v>15017</v>
      </c>
      <c r="B8369" s="787">
        <v>4</v>
      </c>
      <c r="C8369" s="787" t="s">
        <v>15018</v>
      </c>
      <c r="D8369" s="787">
        <v>0</v>
      </c>
      <c r="E8369" s="787">
        <v>0</v>
      </c>
      <c r="H8369" s="787">
        <v>1</v>
      </c>
      <c r="L8369" s="787">
        <v>0</v>
      </c>
      <c r="M8369" s="787">
        <v>10</v>
      </c>
      <c r="N8369" s="787">
        <v>1.75</v>
      </c>
      <c r="O8369" s="788">
        <v>41858</v>
      </c>
    </row>
    <row r="8370" spans="1:15" x14ac:dyDescent="0.25">
      <c r="A8370" s="786" t="s">
        <v>15019</v>
      </c>
      <c r="B8370" s="787">
        <v>4</v>
      </c>
      <c r="C8370" s="787" t="s">
        <v>15020</v>
      </c>
      <c r="D8370" s="787">
        <v>0</v>
      </c>
      <c r="E8370" s="787">
        <v>0</v>
      </c>
      <c r="H8370" s="787">
        <v>1</v>
      </c>
      <c r="L8370" s="787">
        <v>0</v>
      </c>
      <c r="M8370" s="787">
        <v>10</v>
      </c>
      <c r="N8370" s="787">
        <v>1.75</v>
      </c>
      <c r="O8370" s="788">
        <v>41955</v>
      </c>
    </row>
    <row r="8371" spans="1:15" x14ac:dyDescent="0.25">
      <c r="A8371" s="786" t="s">
        <v>15021</v>
      </c>
      <c r="B8371" s="787">
        <v>4</v>
      </c>
      <c r="C8371" s="787" t="s">
        <v>15022</v>
      </c>
      <c r="D8371" s="787">
        <v>0</v>
      </c>
      <c r="E8371" s="787">
        <v>0</v>
      </c>
      <c r="H8371" s="787">
        <v>1</v>
      </c>
      <c r="L8371" s="787">
        <v>0</v>
      </c>
      <c r="M8371" s="787">
        <v>10</v>
      </c>
      <c r="N8371" s="787">
        <v>213.51</v>
      </c>
      <c r="O8371" s="788">
        <v>40853</v>
      </c>
    </row>
    <row r="8372" spans="1:15" x14ac:dyDescent="0.25">
      <c r="A8372" s="786" t="s">
        <v>15023</v>
      </c>
      <c r="B8372" s="787">
        <v>4</v>
      </c>
      <c r="C8372" s="787" t="s">
        <v>15024</v>
      </c>
      <c r="D8372" s="787">
        <v>0</v>
      </c>
      <c r="E8372" s="787">
        <v>0</v>
      </c>
      <c r="H8372" s="787">
        <v>1</v>
      </c>
      <c r="L8372" s="787">
        <v>0</v>
      </c>
      <c r="M8372" s="787">
        <v>10</v>
      </c>
      <c r="N8372" s="787">
        <v>2.13</v>
      </c>
      <c r="O8372" s="788">
        <v>42055</v>
      </c>
    </row>
    <row r="8373" spans="1:15" x14ac:dyDescent="0.25">
      <c r="A8373" s="786" t="s">
        <v>15025</v>
      </c>
      <c r="B8373" s="787">
        <v>4</v>
      </c>
      <c r="C8373" s="787" t="s">
        <v>15026</v>
      </c>
      <c r="D8373" s="787">
        <v>0</v>
      </c>
      <c r="E8373" s="787">
        <v>0</v>
      </c>
      <c r="H8373" s="787">
        <v>1</v>
      </c>
      <c r="L8373" s="787">
        <v>0</v>
      </c>
      <c r="M8373" s="787">
        <v>10</v>
      </c>
      <c r="N8373" s="787">
        <v>536.87</v>
      </c>
      <c r="O8373" s="788">
        <v>42055</v>
      </c>
    </row>
    <row r="8374" spans="1:15" x14ac:dyDescent="0.25">
      <c r="A8374" s="786" t="s">
        <v>15027</v>
      </c>
      <c r="B8374" s="787">
        <v>4</v>
      </c>
      <c r="C8374" s="787" t="s">
        <v>15028</v>
      </c>
      <c r="D8374" s="787">
        <v>0</v>
      </c>
      <c r="E8374" s="787">
        <v>0</v>
      </c>
      <c r="H8374" s="787">
        <v>1</v>
      </c>
      <c r="L8374" s="787">
        <v>0</v>
      </c>
      <c r="M8374" s="787">
        <v>10</v>
      </c>
      <c r="N8374" s="787">
        <v>12.96</v>
      </c>
      <c r="O8374" s="788">
        <v>42055</v>
      </c>
    </row>
    <row r="8375" spans="1:15" x14ac:dyDescent="0.25">
      <c r="A8375" s="786" t="s">
        <v>15029</v>
      </c>
      <c r="B8375" s="787">
        <v>4</v>
      </c>
      <c r="C8375" s="787" t="s">
        <v>15030</v>
      </c>
      <c r="D8375" s="787">
        <v>0</v>
      </c>
      <c r="E8375" s="787">
        <v>0</v>
      </c>
      <c r="H8375" s="787">
        <v>1</v>
      </c>
      <c r="L8375" s="787">
        <v>0</v>
      </c>
      <c r="M8375" s="787">
        <v>10</v>
      </c>
      <c r="N8375" s="787">
        <v>2.7</v>
      </c>
      <c r="O8375" s="788">
        <v>41858</v>
      </c>
    </row>
    <row r="8376" spans="1:15" x14ac:dyDescent="0.25">
      <c r="A8376" s="786" t="s">
        <v>15031</v>
      </c>
      <c r="B8376" s="787">
        <v>4</v>
      </c>
      <c r="C8376" s="787" t="s">
        <v>15032</v>
      </c>
      <c r="D8376" s="787">
        <v>0</v>
      </c>
      <c r="E8376" s="787">
        <v>0</v>
      </c>
      <c r="H8376" s="787">
        <v>1</v>
      </c>
      <c r="L8376" s="787">
        <v>0</v>
      </c>
      <c r="M8376" s="787">
        <v>10</v>
      </c>
      <c r="N8376" s="787">
        <v>2.02</v>
      </c>
      <c r="O8376" s="788">
        <v>41858</v>
      </c>
    </row>
    <row r="8377" spans="1:15" x14ac:dyDescent="0.25">
      <c r="A8377" s="786" t="s">
        <v>15033</v>
      </c>
      <c r="B8377" s="787">
        <v>4</v>
      </c>
      <c r="C8377" s="787" t="s">
        <v>15034</v>
      </c>
      <c r="D8377" s="787">
        <v>0</v>
      </c>
      <c r="E8377" s="787">
        <v>0</v>
      </c>
      <c r="H8377" s="787">
        <v>1</v>
      </c>
      <c r="L8377" s="787">
        <v>0</v>
      </c>
      <c r="M8377" s="787">
        <v>10</v>
      </c>
      <c r="N8377" s="787">
        <v>52.56</v>
      </c>
      <c r="O8377" s="788">
        <v>40853</v>
      </c>
    </row>
    <row r="8378" spans="1:15" x14ac:dyDescent="0.25">
      <c r="A8378" s="786" t="s">
        <v>15035</v>
      </c>
      <c r="B8378" s="787">
        <v>4</v>
      </c>
      <c r="C8378" s="787" t="s">
        <v>15036</v>
      </c>
      <c r="D8378" s="787">
        <v>0</v>
      </c>
      <c r="E8378" s="787">
        <v>0</v>
      </c>
      <c r="H8378" s="787">
        <v>1</v>
      </c>
      <c r="L8378" s="787">
        <v>0</v>
      </c>
      <c r="M8378" s="787">
        <v>10</v>
      </c>
      <c r="N8378" s="787">
        <v>2.02</v>
      </c>
      <c r="O8378" s="788">
        <v>41955</v>
      </c>
    </row>
    <row r="8379" spans="1:15" x14ac:dyDescent="0.25">
      <c r="A8379" s="786" t="s">
        <v>15037</v>
      </c>
      <c r="B8379" s="787">
        <v>4</v>
      </c>
      <c r="C8379" s="787" t="s">
        <v>15038</v>
      </c>
      <c r="D8379" s="787">
        <v>0</v>
      </c>
      <c r="E8379" s="787">
        <v>0</v>
      </c>
      <c r="H8379" s="787">
        <v>1</v>
      </c>
      <c r="L8379" s="787">
        <v>0</v>
      </c>
      <c r="M8379" s="787">
        <v>10</v>
      </c>
      <c r="N8379" s="787">
        <v>2.02</v>
      </c>
      <c r="O8379" s="788">
        <v>41955</v>
      </c>
    </row>
    <row r="8380" spans="1:15" x14ac:dyDescent="0.25">
      <c r="A8380" s="786" t="s">
        <v>15039</v>
      </c>
      <c r="B8380" s="787">
        <v>4</v>
      </c>
      <c r="C8380" s="787" t="s">
        <v>15040</v>
      </c>
      <c r="D8380" s="787">
        <v>0</v>
      </c>
      <c r="E8380" s="787">
        <v>0</v>
      </c>
      <c r="H8380" s="787">
        <v>1</v>
      </c>
      <c r="L8380" s="787">
        <v>0</v>
      </c>
      <c r="M8380" s="787">
        <v>10</v>
      </c>
      <c r="N8380" s="787">
        <v>2.4700000000000002</v>
      </c>
      <c r="O8380" s="788">
        <v>41858</v>
      </c>
    </row>
    <row r="8381" spans="1:15" x14ac:dyDescent="0.25">
      <c r="A8381" s="786" t="s">
        <v>15041</v>
      </c>
      <c r="B8381" s="787">
        <v>4</v>
      </c>
      <c r="C8381" s="787" t="s">
        <v>15042</v>
      </c>
      <c r="D8381" s="787">
        <v>0</v>
      </c>
      <c r="E8381" s="787">
        <v>0</v>
      </c>
      <c r="H8381" s="787">
        <v>1</v>
      </c>
      <c r="L8381" s="787">
        <v>0</v>
      </c>
      <c r="M8381" s="787">
        <v>10</v>
      </c>
      <c r="N8381" s="787">
        <v>1.37</v>
      </c>
      <c r="O8381" s="788">
        <v>41955</v>
      </c>
    </row>
    <row r="8382" spans="1:15" x14ac:dyDescent="0.25">
      <c r="A8382" s="786" t="s">
        <v>15043</v>
      </c>
      <c r="B8382" s="787">
        <v>4</v>
      </c>
      <c r="C8382" s="787" t="s">
        <v>15044</v>
      </c>
      <c r="D8382" s="787">
        <v>0</v>
      </c>
      <c r="E8382" s="787">
        <v>0</v>
      </c>
      <c r="H8382" s="787">
        <v>1</v>
      </c>
      <c r="L8382" s="787">
        <v>0</v>
      </c>
      <c r="M8382" s="787">
        <v>10</v>
      </c>
      <c r="N8382" s="787">
        <v>17.02</v>
      </c>
      <c r="O8382" s="788">
        <v>42055</v>
      </c>
    </row>
    <row r="8383" spans="1:15" x14ac:dyDescent="0.25">
      <c r="A8383" s="786" t="s">
        <v>15045</v>
      </c>
      <c r="B8383" s="787">
        <v>4</v>
      </c>
      <c r="C8383" s="787" t="s">
        <v>15046</v>
      </c>
      <c r="D8383" s="787">
        <v>0</v>
      </c>
      <c r="E8383" s="787">
        <v>0</v>
      </c>
      <c r="H8383" s="787">
        <v>1</v>
      </c>
      <c r="L8383" s="787">
        <v>0</v>
      </c>
      <c r="M8383" s="787">
        <v>10</v>
      </c>
      <c r="N8383" s="787">
        <v>5.23</v>
      </c>
      <c r="O8383" s="788">
        <v>41858</v>
      </c>
    </row>
    <row r="8384" spans="1:15" x14ac:dyDescent="0.25">
      <c r="A8384" s="786" t="s">
        <v>15047</v>
      </c>
      <c r="B8384" s="787">
        <v>4</v>
      </c>
      <c r="C8384" s="787" t="s">
        <v>15048</v>
      </c>
      <c r="D8384" s="787">
        <v>1.67</v>
      </c>
      <c r="E8384" s="787">
        <v>2.86</v>
      </c>
      <c r="F8384" s="788">
        <v>41135</v>
      </c>
      <c r="G8384" s="788">
        <v>42067</v>
      </c>
      <c r="H8384" s="787">
        <v>1</v>
      </c>
      <c r="I8384" s="788">
        <v>42041</v>
      </c>
      <c r="J8384" s="788">
        <v>42034</v>
      </c>
      <c r="K8384" s="788">
        <v>42019</v>
      </c>
      <c r="L8384" s="787">
        <v>2.21</v>
      </c>
      <c r="M8384" s="787">
        <v>10</v>
      </c>
      <c r="N8384" s="787">
        <v>2.19</v>
      </c>
      <c r="O8384" s="788">
        <v>42032</v>
      </c>
    </row>
    <row r="8385" spans="1:15" x14ac:dyDescent="0.25">
      <c r="A8385" s="786" t="s">
        <v>15049</v>
      </c>
      <c r="B8385" s="787">
        <v>4</v>
      </c>
      <c r="C8385" s="787" t="s">
        <v>15050</v>
      </c>
      <c r="D8385" s="787">
        <v>0</v>
      </c>
      <c r="E8385" s="787">
        <v>0</v>
      </c>
      <c r="H8385" s="787">
        <v>1</v>
      </c>
      <c r="L8385" s="787">
        <v>0</v>
      </c>
      <c r="M8385" s="787">
        <v>10</v>
      </c>
      <c r="N8385" s="787">
        <v>11.59</v>
      </c>
      <c r="O8385" s="788">
        <v>41858</v>
      </c>
    </row>
    <row r="8386" spans="1:15" x14ac:dyDescent="0.25">
      <c r="A8386" s="786" t="s">
        <v>15051</v>
      </c>
      <c r="B8386" s="787">
        <v>4</v>
      </c>
      <c r="C8386" s="787" t="s">
        <v>15052</v>
      </c>
      <c r="D8386" s="787">
        <v>0</v>
      </c>
      <c r="E8386" s="787">
        <v>0</v>
      </c>
      <c r="H8386" s="787">
        <v>1</v>
      </c>
      <c r="L8386" s="787">
        <v>0</v>
      </c>
      <c r="M8386" s="787">
        <v>10</v>
      </c>
      <c r="N8386" s="787">
        <v>11.59</v>
      </c>
      <c r="O8386" s="788">
        <v>41858</v>
      </c>
    </row>
    <row r="8387" spans="1:15" x14ac:dyDescent="0.25">
      <c r="A8387" s="786" t="s">
        <v>15053</v>
      </c>
      <c r="B8387" s="787">
        <v>4</v>
      </c>
      <c r="C8387" s="787" t="s">
        <v>15054</v>
      </c>
      <c r="D8387" s="787">
        <v>0</v>
      </c>
      <c r="E8387" s="787">
        <v>0</v>
      </c>
      <c r="H8387" s="787">
        <v>1</v>
      </c>
      <c r="L8387" s="787">
        <v>0</v>
      </c>
      <c r="M8387" s="787">
        <v>10</v>
      </c>
      <c r="N8387" s="787">
        <v>11.59</v>
      </c>
      <c r="O8387" s="788">
        <v>41858</v>
      </c>
    </row>
    <row r="8388" spans="1:15" x14ac:dyDescent="0.25">
      <c r="A8388" s="786" t="s">
        <v>15055</v>
      </c>
      <c r="B8388" s="787">
        <v>4</v>
      </c>
      <c r="C8388" s="787" t="s">
        <v>15056</v>
      </c>
      <c r="D8388" s="787">
        <v>0</v>
      </c>
      <c r="E8388" s="787">
        <v>0</v>
      </c>
      <c r="H8388" s="787">
        <v>1</v>
      </c>
      <c r="L8388" s="787">
        <v>0</v>
      </c>
      <c r="M8388" s="787">
        <v>10</v>
      </c>
      <c r="N8388" s="787">
        <v>6.35</v>
      </c>
      <c r="O8388" s="788">
        <v>41858</v>
      </c>
    </row>
    <row r="8389" spans="1:15" x14ac:dyDescent="0.25">
      <c r="A8389" s="786" t="s">
        <v>15057</v>
      </c>
      <c r="B8389" s="787">
        <v>4</v>
      </c>
      <c r="C8389" s="787" t="s">
        <v>15058</v>
      </c>
      <c r="D8389" s="787">
        <v>0</v>
      </c>
      <c r="E8389" s="787">
        <v>0</v>
      </c>
      <c r="H8389" s="787">
        <v>1</v>
      </c>
      <c r="L8389" s="787">
        <v>0</v>
      </c>
      <c r="M8389" s="787">
        <v>10</v>
      </c>
      <c r="N8389" s="787">
        <v>6.35</v>
      </c>
      <c r="O8389" s="788">
        <v>41858</v>
      </c>
    </row>
    <row r="8390" spans="1:15" x14ac:dyDescent="0.25">
      <c r="A8390" s="786" t="s">
        <v>15059</v>
      </c>
      <c r="B8390" s="787">
        <v>4</v>
      </c>
      <c r="C8390" s="787" t="s">
        <v>15060</v>
      </c>
      <c r="D8390" s="787">
        <v>0</v>
      </c>
      <c r="E8390" s="787">
        <v>0</v>
      </c>
      <c r="H8390" s="787">
        <v>1</v>
      </c>
      <c r="L8390" s="787">
        <v>0</v>
      </c>
      <c r="M8390" s="787">
        <v>10</v>
      </c>
      <c r="N8390" s="787">
        <v>6.27</v>
      </c>
      <c r="O8390" s="788">
        <v>41858</v>
      </c>
    </row>
    <row r="8391" spans="1:15" x14ac:dyDescent="0.25">
      <c r="A8391" s="786" t="s">
        <v>15061</v>
      </c>
      <c r="B8391" s="787">
        <v>4</v>
      </c>
      <c r="C8391" s="787" t="s">
        <v>15062</v>
      </c>
      <c r="D8391" s="787">
        <v>0</v>
      </c>
      <c r="E8391" s="787">
        <v>0</v>
      </c>
      <c r="H8391" s="787">
        <v>1</v>
      </c>
      <c r="L8391" s="787">
        <v>0</v>
      </c>
      <c r="M8391" s="787">
        <v>10</v>
      </c>
      <c r="N8391" s="787">
        <v>6.27</v>
      </c>
      <c r="O8391" s="788">
        <v>41858</v>
      </c>
    </row>
    <row r="8392" spans="1:15" x14ac:dyDescent="0.25">
      <c r="A8392" s="786" t="s">
        <v>15063</v>
      </c>
      <c r="B8392" s="787">
        <v>4</v>
      </c>
      <c r="C8392" s="787" t="s">
        <v>15064</v>
      </c>
      <c r="D8392" s="787">
        <v>0</v>
      </c>
      <c r="E8392" s="787">
        <v>0</v>
      </c>
      <c r="H8392" s="787">
        <v>1</v>
      </c>
      <c r="L8392" s="787">
        <v>0</v>
      </c>
      <c r="M8392" s="787">
        <v>10</v>
      </c>
      <c r="N8392" s="787">
        <v>5.71</v>
      </c>
      <c r="O8392" s="788">
        <v>41858</v>
      </c>
    </row>
    <row r="8393" spans="1:15" x14ac:dyDescent="0.25">
      <c r="A8393" s="786" t="s">
        <v>15065</v>
      </c>
      <c r="B8393" s="787">
        <v>4</v>
      </c>
      <c r="C8393" s="787" t="s">
        <v>15066</v>
      </c>
      <c r="D8393" s="787">
        <v>0</v>
      </c>
      <c r="E8393" s="787">
        <v>0</v>
      </c>
      <c r="H8393" s="787">
        <v>1</v>
      </c>
      <c r="L8393" s="787">
        <v>0</v>
      </c>
      <c r="M8393" s="787">
        <v>10</v>
      </c>
      <c r="N8393" s="787">
        <v>5.71</v>
      </c>
      <c r="O8393" s="788">
        <v>41858</v>
      </c>
    </row>
    <row r="8394" spans="1:15" x14ac:dyDescent="0.25">
      <c r="A8394" s="786" t="s">
        <v>15067</v>
      </c>
      <c r="B8394" s="787">
        <v>4</v>
      </c>
      <c r="C8394" s="787" t="s">
        <v>15068</v>
      </c>
      <c r="D8394" s="787">
        <v>0</v>
      </c>
      <c r="E8394" s="787">
        <v>0</v>
      </c>
      <c r="H8394" s="787">
        <v>1</v>
      </c>
      <c r="L8394" s="787">
        <v>0</v>
      </c>
      <c r="M8394" s="787">
        <v>10</v>
      </c>
      <c r="N8394" s="787">
        <v>11.02</v>
      </c>
      <c r="O8394" s="788">
        <v>41858</v>
      </c>
    </row>
    <row r="8395" spans="1:15" x14ac:dyDescent="0.25">
      <c r="A8395" s="786" t="s">
        <v>15069</v>
      </c>
      <c r="B8395" s="787">
        <v>4</v>
      </c>
      <c r="C8395" s="787" t="s">
        <v>15070</v>
      </c>
      <c r="D8395" s="787">
        <v>0</v>
      </c>
      <c r="E8395" s="787">
        <v>0</v>
      </c>
      <c r="H8395" s="787">
        <v>1</v>
      </c>
      <c r="L8395" s="787">
        <v>0</v>
      </c>
      <c r="M8395" s="787">
        <v>10</v>
      </c>
      <c r="N8395" s="787">
        <v>11.02</v>
      </c>
      <c r="O8395" s="788">
        <v>41858</v>
      </c>
    </row>
    <row r="8396" spans="1:15" x14ac:dyDescent="0.25">
      <c r="A8396" s="786" t="s">
        <v>15071</v>
      </c>
      <c r="B8396" s="787">
        <v>4</v>
      </c>
      <c r="C8396" s="787" t="s">
        <v>15072</v>
      </c>
      <c r="D8396" s="787">
        <v>0</v>
      </c>
      <c r="E8396" s="787">
        <v>0</v>
      </c>
      <c r="H8396" s="787">
        <v>1</v>
      </c>
      <c r="L8396" s="787">
        <v>0</v>
      </c>
      <c r="M8396" s="787">
        <v>10</v>
      </c>
      <c r="N8396" s="787">
        <v>11.02</v>
      </c>
      <c r="O8396" s="788">
        <v>41858</v>
      </c>
    </row>
    <row r="8397" spans="1:15" x14ac:dyDescent="0.25">
      <c r="A8397" s="786" t="s">
        <v>15073</v>
      </c>
      <c r="B8397" s="787">
        <v>4</v>
      </c>
      <c r="C8397" s="787" t="s">
        <v>15074</v>
      </c>
      <c r="D8397" s="787">
        <v>0</v>
      </c>
      <c r="E8397" s="787">
        <v>0</v>
      </c>
      <c r="H8397" s="787">
        <v>1</v>
      </c>
      <c r="L8397" s="787">
        <v>0</v>
      </c>
      <c r="M8397" s="787">
        <v>10</v>
      </c>
      <c r="N8397" s="787">
        <v>11.02</v>
      </c>
      <c r="O8397" s="788">
        <v>41858</v>
      </c>
    </row>
    <row r="8398" spans="1:15" x14ac:dyDescent="0.25">
      <c r="A8398" s="786" t="s">
        <v>15075</v>
      </c>
      <c r="B8398" s="787">
        <v>4</v>
      </c>
      <c r="C8398" s="787" t="s">
        <v>15076</v>
      </c>
      <c r="D8398" s="787">
        <v>0</v>
      </c>
      <c r="E8398" s="787">
        <v>0</v>
      </c>
      <c r="H8398" s="787">
        <v>1</v>
      </c>
      <c r="I8398" s="788">
        <v>41547</v>
      </c>
      <c r="L8398" s="787">
        <v>0</v>
      </c>
      <c r="M8398" s="787">
        <v>10</v>
      </c>
      <c r="N8398" s="787">
        <v>9.0399999999999991</v>
      </c>
      <c r="O8398" s="788">
        <v>41858</v>
      </c>
    </row>
    <row r="8399" spans="1:15" x14ac:dyDescent="0.25">
      <c r="A8399" s="786" t="s">
        <v>15077</v>
      </c>
      <c r="B8399" s="787">
        <v>4</v>
      </c>
      <c r="C8399" s="787" t="s">
        <v>15078</v>
      </c>
      <c r="D8399" s="787">
        <v>0</v>
      </c>
      <c r="E8399" s="787">
        <v>0</v>
      </c>
      <c r="H8399" s="787">
        <v>1</v>
      </c>
      <c r="I8399" s="788">
        <v>41547</v>
      </c>
      <c r="L8399" s="787">
        <v>0</v>
      </c>
      <c r="M8399" s="787">
        <v>10</v>
      </c>
      <c r="N8399" s="787">
        <v>8.65</v>
      </c>
      <c r="O8399" s="788">
        <v>41858</v>
      </c>
    </row>
    <row r="8400" spans="1:15" x14ac:dyDescent="0.25">
      <c r="A8400" s="786" t="s">
        <v>15079</v>
      </c>
      <c r="B8400" s="787">
        <v>4</v>
      </c>
      <c r="C8400" s="787" t="s">
        <v>14880</v>
      </c>
      <c r="D8400" s="787">
        <v>0</v>
      </c>
      <c r="E8400" s="787">
        <v>0</v>
      </c>
      <c r="H8400" s="787">
        <v>1</v>
      </c>
      <c r="I8400" s="788">
        <v>41885</v>
      </c>
      <c r="K8400" s="788">
        <v>41391</v>
      </c>
      <c r="L8400" s="787">
        <v>1</v>
      </c>
      <c r="M8400" s="787">
        <v>10</v>
      </c>
      <c r="N8400" s="787">
        <v>8.81</v>
      </c>
      <c r="O8400" s="788">
        <v>41955</v>
      </c>
    </row>
    <row r="8401" spans="1:15" x14ac:dyDescent="0.25">
      <c r="A8401" s="786" t="s">
        <v>15080</v>
      </c>
      <c r="B8401" s="787">
        <v>4</v>
      </c>
      <c r="C8401" s="787" t="s">
        <v>14880</v>
      </c>
      <c r="D8401" s="787">
        <v>0</v>
      </c>
      <c r="E8401" s="787">
        <v>0</v>
      </c>
      <c r="G8401" s="788">
        <v>42013</v>
      </c>
      <c r="H8401" s="787">
        <v>1</v>
      </c>
      <c r="I8401" s="788">
        <v>42088</v>
      </c>
      <c r="K8401" s="788">
        <v>41391</v>
      </c>
      <c r="L8401" s="787">
        <v>1</v>
      </c>
      <c r="M8401" s="787">
        <v>10</v>
      </c>
      <c r="N8401" s="787">
        <v>7.99</v>
      </c>
      <c r="O8401" s="788">
        <v>42061</v>
      </c>
    </row>
    <row r="8402" spans="1:15" x14ac:dyDescent="0.25">
      <c r="A8402" s="786" t="s">
        <v>15081</v>
      </c>
      <c r="B8402" s="787">
        <v>4</v>
      </c>
      <c r="C8402" s="787" t="s">
        <v>15082</v>
      </c>
      <c r="D8402" s="787">
        <v>0</v>
      </c>
      <c r="E8402" s="787">
        <v>0</v>
      </c>
      <c r="H8402" s="787">
        <v>1</v>
      </c>
      <c r="I8402" s="788">
        <v>41547</v>
      </c>
      <c r="L8402" s="787">
        <v>0</v>
      </c>
      <c r="M8402" s="787">
        <v>10</v>
      </c>
      <c r="N8402" s="787">
        <v>12.77</v>
      </c>
      <c r="O8402" s="788">
        <v>42061</v>
      </c>
    </row>
    <row r="8403" spans="1:15" x14ac:dyDescent="0.25">
      <c r="A8403" s="786" t="s">
        <v>15083</v>
      </c>
      <c r="B8403" s="787">
        <v>4</v>
      </c>
      <c r="C8403" s="787" t="s">
        <v>15084</v>
      </c>
      <c r="D8403" s="787">
        <v>0</v>
      </c>
      <c r="E8403" s="787">
        <v>0</v>
      </c>
      <c r="H8403" s="787">
        <v>1</v>
      </c>
      <c r="L8403" s="787">
        <v>0</v>
      </c>
      <c r="M8403" s="787">
        <v>10</v>
      </c>
      <c r="N8403" s="787">
        <v>9.94</v>
      </c>
      <c r="O8403" s="788">
        <v>41858</v>
      </c>
    </row>
    <row r="8404" spans="1:15" x14ac:dyDescent="0.25">
      <c r="A8404" s="786" t="s">
        <v>15085</v>
      </c>
      <c r="B8404" s="787">
        <v>4</v>
      </c>
      <c r="C8404" s="787" t="s">
        <v>14878</v>
      </c>
      <c r="D8404" s="787">
        <v>0</v>
      </c>
      <c r="E8404" s="787">
        <v>0</v>
      </c>
      <c r="H8404" s="787">
        <v>1</v>
      </c>
      <c r="I8404" s="788">
        <v>41885</v>
      </c>
      <c r="K8404" s="788">
        <v>41391</v>
      </c>
      <c r="L8404" s="787">
        <v>1</v>
      </c>
      <c r="M8404" s="787">
        <v>10</v>
      </c>
      <c r="N8404" s="787">
        <v>11.63</v>
      </c>
      <c r="O8404" s="788">
        <v>42053</v>
      </c>
    </row>
    <row r="8405" spans="1:15" x14ac:dyDescent="0.25">
      <c r="A8405" s="786" t="s">
        <v>15086</v>
      </c>
      <c r="B8405" s="787">
        <v>4</v>
      </c>
      <c r="C8405" s="787" t="s">
        <v>14878</v>
      </c>
      <c r="D8405" s="787">
        <v>0</v>
      </c>
      <c r="E8405" s="787">
        <v>0</v>
      </c>
      <c r="G8405" s="788">
        <v>42013</v>
      </c>
      <c r="H8405" s="787">
        <v>1</v>
      </c>
      <c r="I8405" s="788">
        <v>42088</v>
      </c>
      <c r="K8405" s="788">
        <v>41391</v>
      </c>
      <c r="L8405" s="787">
        <v>1</v>
      </c>
      <c r="M8405" s="787">
        <v>10</v>
      </c>
      <c r="N8405" s="787">
        <v>7.31</v>
      </c>
      <c r="O8405" s="788">
        <v>42061</v>
      </c>
    </row>
    <row r="8406" spans="1:15" x14ac:dyDescent="0.25">
      <c r="A8406" s="786" t="s">
        <v>15087</v>
      </c>
      <c r="B8406" s="787">
        <v>4</v>
      </c>
      <c r="C8406" s="787" t="s">
        <v>15088</v>
      </c>
      <c r="D8406" s="787">
        <v>0</v>
      </c>
      <c r="E8406" s="787">
        <v>0</v>
      </c>
      <c r="H8406" s="787">
        <v>1</v>
      </c>
      <c r="L8406" s="787">
        <v>0</v>
      </c>
      <c r="M8406" s="787">
        <v>10</v>
      </c>
      <c r="N8406" s="787">
        <v>6.2</v>
      </c>
      <c r="O8406" s="788">
        <v>41858</v>
      </c>
    </row>
    <row r="8407" spans="1:15" x14ac:dyDescent="0.25">
      <c r="A8407" s="786" t="s">
        <v>15089</v>
      </c>
      <c r="B8407" s="787">
        <v>4</v>
      </c>
      <c r="C8407" s="787" t="s">
        <v>15090</v>
      </c>
      <c r="D8407" s="787">
        <v>0</v>
      </c>
      <c r="E8407" s="787">
        <v>0</v>
      </c>
      <c r="H8407" s="787">
        <v>1</v>
      </c>
      <c r="L8407" s="787">
        <v>0</v>
      </c>
      <c r="M8407" s="787">
        <v>10</v>
      </c>
      <c r="N8407" s="787">
        <v>6.2</v>
      </c>
      <c r="O8407" s="788">
        <v>42146</v>
      </c>
    </row>
    <row r="8408" spans="1:15" x14ac:dyDescent="0.25">
      <c r="A8408" s="786" t="s">
        <v>15091</v>
      </c>
      <c r="B8408" s="787">
        <v>4</v>
      </c>
      <c r="C8408" s="787" t="s">
        <v>15092</v>
      </c>
      <c r="D8408" s="787">
        <v>0</v>
      </c>
      <c r="E8408" s="787">
        <v>0</v>
      </c>
      <c r="H8408" s="787">
        <v>1</v>
      </c>
      <c r="L8408" s="787">
        <v>0</v>
      </c>
      <c r="M8408" s="787">
        <v>10</v>
      </c>
      <c r="N8408" s="787">
        <v>12.76</v>
      </c>
      <c r="O8408" s="788">
        <v>42146</v>
      </c>
    </row>
    <row r="8409" spans="1:15" x14ac:dyDescent="0.25">
      <c r="A8409" s="786" t="s">
        <v>15093</v>
      </c>
      <c r="B8409" s="787">
        <v>4</v>
      </c>
      <c r="C8409" s="787" t="s">
        <v>15094</v>
      </c>
      <c r="D8409" s="787">
        <v>0</v>
      </c>
      <c r="E8409" s="787">
        <v>0</v>
      </c>
      <c r="H8409" s="787">
        <v>1</v>
      </c>
      <c r="L8409" s="787">
        <v>0</v>
      </c>
      <c r="M8409" s="787">
        <v>10</v>
      </c>
      <c r="N8409" s="787">
        <v>8.24</v>
      </c>
      <c r="O8409" s="788">
        <v>42146</v>
      </c>
    </row>
    <row r="8410" spans="1:15" x14ac:dyDescent="0.25">
      <c r="A8410" s="786" t="s">
        <v>15095</v>
      </c>
      <c r="B8410" s="787">
        <v>4</v>
      </c>
      <c r="C8410" s="787" t="s">
        <v>15096</v>
      </c>
      <c r="D8410" s="787">
        <v>0</v>
      </c>
      <c r="E8410" s="787">
        <v>0</v>
      </c>
      <c r="H8410" s="787">
        <v>1</v>
      </c>
      <c r="L8410" s="787">
        <v>0</v>
      </c>
      <c r="M8410" s="787">
        <v>10</v>
      </c>
      <c r="N8410" s="787">
        <v>8.27</v>
      </c>
      <c r="O8410" s="788">
        <v>42146</v>
      </c>
    </row>
    <row r="8411" spans="1:15" x14ac:dyDescent="0.25">
      <c r="A8411" s="786" t="s">
        <v>15097</v>
      </c>
      <c r="B8411" s="787">
        <v>4</v>
      </c>
      <c r="C8411" s="787" t="s">
        <v>15098</v>
      </c>
      <c r="D8411" s="787">
        <v>0</v>
      </c>
      <c r="E8411" s="787">
        <v>0</v>
      </c>
      <c r="H8411" s="787">
        <v>1</v>
      </c>
      <c r="L8411" s="787">
        <v>0</v>
      </c>
      <c r="M8411" s="787">
        <v>10</v>
      </c>
      <c r="N8411" s="787">
        <v>8.24</v>
      </c>
      <c r="O8411" s="788">
        <v>41858</v>
      </c>
    </row>
    <row r="8412" spans="1:15" x14ac:dyDescent="0.25">
      <c r="A8412" s="786" t="s">
        <v>15099</v>
      </c>
      <c r="B8412" s="787">
        <v>4</v>
      </c>
      <c r="C8412" s="787" t="s">
        <v>15100</v>
      </c>
      <c r="D8412" s="787">
        <v>0</v>
      </c>
      <c r="E8412" s="787">
        <v>0</v>
      </c>
      <c r="H8412" s="787">
        <v>1</v>
      </c>
      <c r="L8412" s="787">
        <v>0</v>
      </c>
      <c r="M8412" s="787">
        <v>10</v>
      </c>
      <c r="N8412" s="787">
        <v>8.27</v>
      </c>
      <c r="O8412" s="788">
        <v>41858</v>
      </c>
    </row>
    <row r="8413" spans="1:15" x14ac:dyDescent="0.25">
      <c r="A8413" s="786" t="s">
        <v>15101</v>
      </c>
      <c r="B8413" s="787">
        <v>4</v>
      </c>
      <c r="C8413" s="787" t="s">
        <v>15102</v>
      </c>
      <c r="D8413" s="787">
        <v>0</v>
      </c>
      <c r="E8413" s="787">
        <v>0</v>
      </c>
      <c r="H8413" s="787">
        <v>1</v>
      </c>
      <c r="I8413" s="788">
        <v>40928</v>
      </c>
      <c r="L8413" s="787">
        <v>0</v>
      </c>
      <c r="M8413" s="787">
        <v>10</v>
      </c>
      <c r="N8413" s="787">
        <v>9.7899999999999991</v>
      </c>
      <c r="O8413" s="788">
        <v>42146</v>
      </c>
    </row>
    <row r="8414" spans="1:15" x14ac:dyDescent="0.25">
      <c r="A8414" s="786" t="s">
        <v>15103</v>
      </c>
      <c r="B8414" s="787">
        <v>4</v>
      </c>
      <c r="C8414" s="787" t="s">
        <v>15104</v>
      </c>
      <c r="D8414" s="787">
        <v>0</v>
      </c>
      <c r="E8414" s="787">
        <v>0</v>
      </c>
      <c r="H8414" s="787">
        <v>1</v>
      </c>
      <c r="L8414" s="787">
        <v>0</v>
      </c>
      <c r="M8414" s="787">
        <v>10</v>
      </c>
      <c r="N8414" s="787">
        <v>10.06</v>
      </c>
      <c r="O8414" s="788">
        <v>42146</v>
      </c>
    </row>
    <row r="8415" spans="1:15" x14ac:dyDescent="0.25">
      <c r="A8415" s="786" t="s">
        <v>15105</v>
      </c>
      <c r="B8415" s="787">
        <v>4</v>
      </c>
      <c r="C8415" s="787" t="s">
        <v>15106</v>
      </c>
      <c r="D8415" s="787">
        <v>0</v>
      </c>
      <c r="E8415" s="787">
        <v>0</v>
      </c>
      <c r="H8415" s="787">
        <v>1</v>
      </c>
      <c r="K8415" s="788">
        <v>42052</v>
      </c>
      <c r="L8415" s="787">
        <v>2.2799999999999998</v>
      </c>
      <c r="M8415" s="787">
        <v>10</v>
      </c>
      <c r="N8415" s="787">
        <v>2.2799999999999998</v>
      </c>
      <c r="O8415" s="788">
        <v>42053</v>
      </c>
    </row>
    <row r="8416" spans="1:15" x14ac:dyDescent="0.25">
      <c r="A8416" s="786" t="s">
        <v>15107</v>
      </c>
      <c r="B8416" s="787">
        <v>4</v>
      </c>
      <c r="C8416" s="787" t="s">
        <v>15108</v>
      </c>
      <c r="D8416" s="787">
        <v>0</v>
      </c>
      <c r="E8416" s="787">
        <v>0</v>
      </c>
      <c r="H8416" s="787">
        <v>1</v>
      </c>
      <c r="L8416" s="787">
        <v>0</v>
      </c>
      <c r="M8416" s="787">
        <v>10</v>
      </c>
      <c r="N8416" s="787">
        <v>0.28999999999999998</v>
      </c>
      <c r="O8416" s="788">
        <v>41858</v>
      </c>
    </row>
    <row r="8417" spans="1:15" x14ac:dyDescent="0.25">
      <c r="A8417" s="786" t="s">
        <v>15109</v>
      </c>
      <c r="B8417" s="787">
        <v>4</v>
      </c>
      <c r="C8417" s="787" t="s">
        <v>15110</v>
      </c>
      <c r="D8417" s="787">
        <v>0</v>
      </c>
      <c r="E8417" s="787">
        <v>0</v>
      </c>
      <c r="H8417" s="787">
        <v>1</v>
      </c>
      <c r="L8417" s="787">
        <v>0</v>
      </c>
      <c r="M8417" s="787">
        <v>10</v>
      </c>
      <c r="N8417" s="787">
        <v>40.98</v>
      </c>
      <c r="O8417" s="788">
        <v>41858</v>
      </c>
    </row>
    <row r="8418" spans="1:15" x14ac:dyDescent="0.25">
      <c r="A8418" s="786" t="s">
        <v>15111</v>
      </c>
      <c r="B8418" s="787">
        <v>4</v>
      </c>
      <c r="C8418" s="787" t="s">
        <v>15112</v>
      </c>
      <c r="D8418" s="787">
        <v>0</v>
      </c>
      <c r="E8418" s="787">
        <v>0</v>
      </c>
      <c r="H8418" s="787">
        <v>1</v>
      </c>
      <c r="L8418" s="787">
        <v>0</v>
      </c>
      <c r="M8418" s="787">
        <v>10</v>
      </c>
      <c r="N8418" s="787">
        <v>0.16</v>
      </c>
      <c r="O8418" s="788">
        <v>41858</v>
      </c>
    </row>
    <row r="8419" spans="1:15" x14ac:dyDescent="0.25">
      <c r="A8419" s="786" t="s">
        <v>15113</v>
      </c>
      <c r="B8419" s="787">
        <v>4</v>
      </c>
      <c r="C8419" s="787" t="s">
        <v>15114</v>
      </c>
      <c r="D8419" s="787">
        <v>0</v>
      </c>
      <c r="E8419" s="787">
        <v>0</v>
      </c>
      <c r="H8419" s="787">
        <v>1</v>
      </c>
      <c r="L8419" s="787">
        <v>0</v>
      </c>
      <c r="M8419" s="787">
        <v>10</v>
      </c>
      <c r="N8419" s="787">
        <v>0.17</v>
      </c>
      <c r="O8419" s="788">
        <v>41858</v>
      </c>
    </row>
    <row r="8420" spans="1:15" x14ac:dyDescent="0.25">
      <c r="A8420" s="786" t="s">
        <v>15115</v>
      </c>
      <c r="B8420" s="787">
        <v>4</v>
      </c>
      <c r="C8420" s="787" t="s">
        <v>15116</v>
      </c>
      <c r="D8420" s="787">
        <v>0</v>
      </c>
      <c r="E8420" s="787">
        <v>0</v>
      </c>
      <c r="H8420" s="787">
        <v>1</v>
      </c>
      <c r="L8420" s="787">
        <v>0</v>
      </c>
      <c r="M8420" s="787">
        <v>10</v>
      </c>
      <c r="N8420" s="787">
        <v>0.19</v>
      </c>
      <c r="O8420" s="788">
        <v>41858</v>
      </c>
    </row>
    <row r="8421" spans="1:15" x14ac:dyDescent="0.25">
      <c r="A8421" s="786" t="s">
        <v>15117</v>
      </c>
      <c r="B8421" s="787">
        <v>4</v>
      </c>
      <c r="C8421" s="787" t="s">
        <v>15118</v>
      </c>
      <c r="D8421" s="787">
        <v>0</v>
      </c>
      <c r="E8421" s="787">
        <v>0</v>
      </c>
      <c r="H8421" s="787">
        <v>1</v>
      </c>
      <c r="L8421" s="787">
        <v>0</v>
      </c>
      <c r="M8421" s="787">
        <v>10</v>
      </c>
      <c r="N8421" s="787">
        <v>0.23</v>
      </c>
      <c r="O8421" s="788">
        <v>41858</v>
      </c>
    </row>
    <row r="8422" spans="1:15" x14ac:dyDescent="0.25">
      <c r="A8422" s="786" t="s">
        <v>15119</v>
      </c>
      <c r="B8422" s="787">
        <v>4</v>
      </c>
      <c r="C8422" s="787" t="s">
        <v>15120</v>
      </c>
      <c r="D8422" s="787">
        <v>0</v>
      </c>
      <c r="E8422" s="787">
        <v>0</v>
      </c>
      <c r="H8422" s="787">
        <v>1</v>
      </c>
      <c r="L8422" s="787">
        <v>0</v>
      </c>
      <c r="M8422" s="787">
        <v>10</v>
      </c>
      <c r="N8422" s="787">
        <v>2.88</v>
      </c>
      <c r="O8422" s="788">
        <v>41858</v>
      </c>
    </row>
    <row r="8423" spans="1:15" x14ac:dyDescent="0.25">
      <c r="A8423" s="786" t="s">
        <v>15121</v>
      </c>
      <c r="B8423" s="787">
        <v>4</v>
      </c>
      <c r="C8423" s="787" t="s">
        <v>15122</v>
      </c>
      <c r="D8423" s="787">
        <v>0</v>
      </c>
      <c r="E8423" s="787">
        <v>0</v>
      </c>
      <c r="H8423" s="787">
        <v>1</v>
      </c>
      <c r="L8423" s="787">
        <v>0</v>
      </c>
      <c r="M8423" s="787">
        <v>10</v>
      </c>
      <c r="N8423" s="787">
        <v>38.880000000000003</v>
      </c>
      <c r="O8423" s="788">
        <v>41858</v>
      </c>
    </row>
    <row r="8424" spans="1:15" x14ac:dyDescent="0.25">
      <c r="A8424" s="786" t="s">
        <v>15123</v>
      </c>
      <c r="B8424" s="787">
        <v>4</v>
      </c>
      <c r="C8424" s="787" t="s">
        <v>15124</v>
      </c>
      <c r="D8424" s="787">
        <v>0</v>
      </c>
      <c r="E8424" s="787">
        <v>0</v>
      </c>
      <c r="H8424" s="787">
        <v>1</v>
      </c>
      <c r="L8424" s="787">
        <v>0</v>
      </c>
      <c r="M8424" s="787">
        <v>10</v>
      </c>
      <c r="N8424" s="787">
        <v>37.729999999999997</v>
      </c>
      <c r="O8424" s="788">
        <v>41858</v>
      </c>
    </row>
    <row r="8425" spans="1:15" x14ac:dyDescent="0.25">
      <c r="A8425" s="786" t="s">
        <v>15125</v>
      </c>
      <c r="B8425" s="787">
        <v>4</v>
      </c>
      <c r="C8425" s="787" t="s">
        <v>15126</v>
      </c>
      <c r="D8425" s="787">
        <v>0</v>
      </c>
      <c r="E8425" s="787">
        <v>0</v>
      </c>
      <c r="H8425" s="787">
        <v>1</v>
      </c>
      <c r="L8425" s="787">
        <v>0</v>
      </c>
      <c r="M8425" s="787">
        <v>10</v>
      </c>
      <c r="N8425" s="787">
        <v>29.7</v>
      </c>
      <c r="O8425" s="788">
        <v>41858</v>
      </c>
    </row>
    <row r="8426" spans="1:15" x14ac:dyDescent="0.25">
      <c r="A8426" s="786" t="s">
        <v>15127</v>
      </c>
      <c r="B8426" s="787">
        <v>4</v>
      </c>
      <c r="C8426" s="787" t="s">
        <v>15128</v>
      </c>
      <c r="D8426" s="787">
        <v>0</v>
      </c>
      <c r="E8426" s="787">
        <v>0</v>
      </c>
      <c r="H8426" s="787">
        <v>1</v>
      </c>
      <c r="L8426" s="787">
        <v>0</v>
      </c>
      <c r="M8426" s="787">
        <v>10</v>
      </c>
      <c r="N8426" s="787">
        <v>29.84</v>
      </c>
      <c r="O8426" s="788">
        <v>41858</v>
      </c>
    </row>
    <row r="8427" spans="1:15" x14ac:dyDescent="0.25">
      <c r="A8427" s="786" t="s">
        <v>15129</v>
      </c>
      <c r="B8427" s="787">
        <v>4</v>
      </c>
      <c r="C8427" s="787" t="s">
        <v>15130</v>
      </c>
      <c r="D8427" s="787">
        <v>0</v>
      </c>
      <c r="E8427" s="787">
        <v>0</v>
      </c>
      <c r="H8427" s="787">
        <v>1</v>
      </c>
      <c r="K8427" s="788">
        <v>42052</v>
      </c>
      <c r="L8427" s="787">
        <v>3.47</v>
      </c>
      <c r="M8427" s="787">
        <v>10</v>
      </c>
      <c r="N8427" s="787">
        <v>3.47</v>
      </c>
      <c r="O8427" s="788">
        <v>42053</v>
      </c>
    </row>
    <row r="8428" spans="1:15" x14ac:dyDescent="0.25">
      <c r="A8428" s="786" t="s">
        <v>15131</v>
      </c>
      <c r="B8428" s="787">
        <v>4</v>
      </c>
      <c r="C8428" s="787" t="s">
        <v>15132</v>
      </c>
      <c r="D8428" s="787">
        <v>0</v>
      </c>
      <c r="E8428" s="787">
        <v>0</v>
      </c>
      <c r="H8428" s="787">
        <v>1</v>
      </c>
      <c r="L8428" s="787">
        <v>0</v>
      </c>
      <c r="M8428" s="787">
        <v>10</v>
      </c>
      <c r="N8428" s="787">
        <v>34.42</v>
      </c>
      <c r="O8428" s="788">
        <v>41858</v>
      </c>
    </row>
    <row r="8429" spans="1:15" x14ac:dyDescent="0.25">
      <c r="A8429" s="786" t="s">
        <v>15133</v>
      </c>
      <c r="B8429" s="787">
        <v>4</v>
      </c>
      <c r="C8429" s="787" t="s">
        <v>15134</v>
      </c>
      <c r="D8429" s="787">
        <v>0</v>
      </c>
      <c r="E8429" s="787">
        <v>0</v>
      </c>
      <c r="H8429" s="787">
        <v>1</v>
      </c>
      <c r="L8429" s="787">
        <v>0</v>
      </c>
      <c r="M8429" s="787">
        <v>10</v>
      </c>
      <c r="N8429" s="787">
        <v>0.46</v>
      </c>
      <c r="O8429" s="788">
        <v>41858</v>
      </c>
    </row>
    <row r="8430" spans="1:15" x14ac:dyDescent="0.25">
      <c r="A8430" s="786" t="s">
        <v>15135</v>
      </c>
      <c r="B8430" s="787">
        <v>4</v>
      </c>
      <c r="C8430" s="787" t="s">
        <v>15136</v>
      </c>
      <c r="D8430" s="787">
        <v>0</v>
      </c>
      <c r="E8430" s="787">
        <v>0</v>
      </c>
      <c r="H8430" s="787">
        <v>1</v>
      </c>
      <c r="L8430" s="787">
        <v>0</v>
      </c>
      <c r="M8430" s="787">
        <v>10</v>
      </c>
      <c r="N8430" s="787">
        <v>1.94</v>
      </c>
      <c r="O8430" s="788">
        <v>41858</v>
      </c>
    </row>
    <row r="8431" spans="1:15" x14ac:dyDescent="0.25">
      <c r="A8431" s="786" t="s">
        <v>15137</v>
      </c>
      <c r="B8431" s="787">
        <v>4</v>
      </c>
      <c r="C8431" s="787" t="s">
        <v>15138</v>
      </c>
      <c r="D8431" s="787">
        <v>0</v>
      </c>
      <c r="E8431" s="787">
        <v>0</v>
      </c>
      <c r="H8431" s="787">
        <v>1</v>
      </c>
      <c r="I8431" s="788">
        <v>41943</v>
      </c>
      <c r="K8431" s="788">
        <v>42107</v>
      </c>
      <c r="L8431" s="787">
        <v>12</v>
      </c>
      <c r="M8431" s="787">
        <v>10</v>
      </c>
      <c r="N8431" s="787">
        <v>11.75</v>
      </c>
      <c r="O8431" s="788">
        <v>42146</v>
      </c>
    </row>
    <row r="8432" spans="1:15" x14ac:dyDescent="0.25">
      <c r="A8432" s="786" t="s">
        <v>15139</v>
      </c>
      <c r="B8432" s="787">
        <v>4</v>
      </c>
      <c r="C8432" s="787" t="s">
        <v>15140</v>
      </c>
      <c r="D8432" s="787">
        <v>0</v>
      </c>
      <c r="E8432" s="787">
        <v>0</v>
      </c>
      <c r="H8432" s="787">
        <v>1</v>
      </c>
      <c r="I8432" s="788">
        <v>41800</v>
      </c>
      <c r="K8432" s="788">
        <v>41123</v>
      </c>
      <c r="L8432" s="787">
        <v>23.37</v>
      </c>
      <c r="M8432" s="787">
        <v>10</v>
      </c>
      <c r="N8432" s="787">
        <v>20.239999999999998</v>
      </c>
      <c r="O8432" s="788">
        <v>42131</v>
      </c>
    </row>
    <row r="8433" spans="1:15" x14ac:dyDescent="0.25">
      <c r="A8433" s="786" t="s">
        <v>15141</v>
      </c>
      <c r="B8433" s="787">
        <v>4</v>
      </c>
      <c r="C8433" s="787" t="s">
        <v>15142</v>
      </c>
      <c r="D8433" s="787">
        <v>3.37</v>
      </c>
      <c r="E8433" s="787">
        <v>13.37</v>
      </c>
      <c r="F8433" s="788">
        <v>41824</v>
      </c>
      <c r="G8433" s="788">
        <v>41824</v>
      </c>
      <c r="H8433" s="787">
        <v>1</v>
      </c>
      <c r="I8433" s="788">
        <v>42102</v>
      </c>
      <c r="J8433" s="788">
        <v>41806</v>
      </c>
      <c r="K8433" s="788">
        <v>41123</v>
      </c>
      <c r="L8433" s="787">
        <v>6.91</v>
      </c>
      <c r="M8433" s="787">
        <v>10</v>
      </c>
      <c r="N8433" s="787">
        <v>6.52</v>
      </c>
      <c r="O8433" s="788">
        <v>42131</v>
      </c>
    </row>
    <row r="8434" spans="1:15" x14ac:dyDescent="0.25">
      <c r="A8434" s="786" t="s">
        <v>15143</v>
      </c>
      <c r="B8434" s="787">
        <v>4</v>
      </c>
      <c r="C8434" s="787" t="s">
        <v>15144</v>
      </c>
      <c r="D8434" s="787">
        <v>0.64</v>
      </c>
      <c r="E8434" s="787">
        <v>10.64</v>
      </c>
      <c r="F8434" s="788">
        <v>41824</v>
      </c>
      <c r="G8434" s="788">
        <v>41824</v>
      </c>
      <c r="H8434" s="787">
        <v>1</v>
      </c>
      <c r="I8434" s="788">
        <v>42156</v>
      </c>
      <c r="J8434" s="788">
        <v>41806</v>
      </c>
      <c r="K8434" s="788">
        <v>41123</v>
      </c>
      <c r="L8434" s="787">
        <v>0.13</v>
      </c>
      <c r="M8434" s="787">
        <v>10</v>
      </c>
      <c r="N8434" s="787">
        <v>0.13</v>
      </c>
      <c r="O8434" s="788">
        <v>40666</v>
      </c>
    </row>
    <row r="8435" spans="1:15" x14ac:dyDescent="0.25">
      <c r="A8435" s="786" t="s">
        <v>15145</v>
      </c>
      <c r="B8435" s="787">
        <v>4</v>
      </c>
      <c r="C8435" s="787" t="s">
        <v>15146</v>
      </c>
      <c r="D8435" s="787">
        <v>3.91</v>
      </c>
      <c r="E8435" s="787">
        <v>3.91</v>
      </c>
      <c r="F8435" s="788">
        <v>41060</v>
      </c>
      <c r="G8435" s="788">
        <v>42013</v>
      </c>
      <c r="H8435" s="787">
        <v>1</v>
      </c>
      <c r="I8435" s="788">
        <v>41591</v>
      </c>
      <c r="J8435" s="788">
        <v>41060</v>
      </c>
      <c r="K8435" s="788">
        <v>40956</v>
      </c>
      <c r="L8435" s="787">
        <v>4.4000000000000004</v>
      </c>
      <c r="M8435" s="787">
        <v>20</v>
      </c>
      <c r="N8435" s="787">
        <v>5.3</v>
      </c>
      <c r="O8435" s="788">
        <v>42163</v>
      </c>
    </row>
    <row r="8436" spans="1:15" x14ac:dyDescent="0.25">
      <c r="A8436" s="786" t="s">
        <v>15147</v>
      </c>
      <c r="B8436" s="787">
        <v>4</v>
      </c>
      <c r="C8436" s="787" t="s">
        <v>15148</v>
      </c>
      <c r="D8436" s="787">
        <v>8.19</v>
      </c>
      <c r="E8436" s="787">
        <v>8.19</v>
      </c>
      <c r="F8436" s="788">
        <v>40792</v>
      </c>
      <c r="G8436" s="788">
        <v>41565</v>
      </c>
      <c r="H8436" s="787">
        <v>1</v>
      </c>
      <c r="I8436" s="788">
        <v>41591</v>
      </c>
      <c r="J8436" s="788">
        <v>40695</v>
      </c>
      <c r="K8436" s="788">
        <v>40963</v>
      </c>
      <c r="L8436" s="787">
        <v>4.2</v>
      </c>
      <c r="M8436" s="787">
        <v>10</v>
      </c>
      <c r="N8436" s="787">
        <v>3.77</v>
      </c>
      <c r="O8436" s="788">
        <v>42163</v>
      </c>
    </row>
    <row r="8437" spans="1:15" x14ac:dyDescent="0.25">
      <c r="A8437" s="786" t="s">
        <v>15149</v>
      </c>
      <c r="B8437" s="787">
        <v>4</v>
      </c>
      <c r="C8437" s="787" t="s">
        <v>15150</v>
      </c>
      <c r="D8437" s="787">
        <v>7.5</v>
      </c>
      <c r="E8437" s="787">
        <v>7.5</v>
      </c>
      <c r="F8437" s="788">
        <v>40792</v>
      </c>
      <c r="G8437" s="788">
        <v>41565</v>
      </c>
      <c r="H8437" s="787">
        <v>1</v>
      </c>
      <c r="I8437" s="788">
        <v>41591</v>
      </c>
      <c r="J8437" s="788">
        <v>40695</v>
      </c>
      <c r="K8437" s="788">
        <v>41232</v>
      </c>
      <c r="L8437" s="787">
        <v>4.01</v>
      </c>
      <c r="M8437" s="787">
        <v>10</v>
      </c>
      <c r="N8437" s="787">
        <v>3.4</v>
      </c>
      <c r="O8437" s="788">
        <v>42163</v>
      </c>
    </row>
    <row r="8438" spans="1:15" x14ac:dyDescent="0.25">
      <c r="A8438" s="786" t="s">
        <v>15151</v>
      </c>
      <c r="B8438" s="787">
        <v>4</v>
      </c>
      <c r="C8438" s="787" t="s">
        <v>15152</v>
      </c>
      <c r="D8438" s="787">
        <v>6.51</v>
      </c>
      <c r="E8438" s="787">
        <v>7.98</v>
      </c>
      <c r="F8438" s="788">
        <v>40792</v>
      </c>
      <c r="G8438" s="788">
        <v>41943</v>
      </c>
      <c r="H8438" s="787">
        <v>1</v>
      </c>
      <c r="I8438" s="788">
        <v>41464</v>
      </c>
      <c r="J8438" s="788">
        <v>41394</v>
      </c>
      <c r="K8438" s="788">
        <v>41232</v>
      </c>
      <c r="L8438" s="787">
        <v>4.04</v>
      </c>
      <c r="M8438" s="787">
        <v>10</v>
      </c>
      <c r="N8438" s="787">
        <v>3.62</v>
      </c>
      <c r="O8438" s="788">
        <v>42163</v>
      </c>
    </row>
    <row r="8439" spans="1:15" x14ac:dyDescent="0.25">
      <c r="A8439" s="786" t="s">
        <v>15153</v>
      </c>
      <c r="B8439" s="787">
        <v>4</v>
      </c>
      <c r="C8439" s="787" t="s">
        <v>15154</v>
      </c>
      <c r="D8439" s="787">
        <v>4.99</v>
      </c>
      <c r="E8439" s="787">
        <v>7.94</v>
      </c>
      <c r="F8439" s="788">
        <v>40792</v>
      </c>
      <c r="G8439" s="788">
        <v>41943</v>
      </c>
      <c r="H8439" s="787">
        <v>1</v>
      </c>
      <c r="I8439" s="788">
        <v>41464</v>
      </c>
      <c r="J8439" s="788">
        <v>41394</v>
      </c>
      <c r="K8439" s="788">
        <v>41232</v>
      </c>
      <c r="L8439" s="787">
        <v>4.04</v>
      </c>
      <c r="M8439" s="787">
        <v>10</v>
      </c>
      <c r="N8439" s="787">
        <v>6.22</v>
      </c>
      <c r="O8439" s="788">
        <v>42163</v>
      </c>
    </row>
    <row r="8440" spans="1:15" x14ac:dyDescent="0.25">
      <c r="A8440" s="786" t="s">
        <v>15155</v>
      </c>
      <c r="B8440" s="787">
        <v>4</v>
      </c>
      <c r="C8440" s="787" t="s">
        <v>15156</v>
      </c>
      <c r="D8440" s="787">
        <v>5.59</v>
      </c>
      <c r="E8440" s="787">
        <v>5.59</v>
      </c>
      <c r="F8440" s="788">
        <v>40792</v>
      </c>
      <c r="G8440" s="788">
        <v>41943</v>
      </c>
      <c r="H8440" s="787">
        <v>1</v>
      </c>
      <c r="I8440" s="788">
        <v>41591</v>
      </c>
      <c r="J8440" s="788">
        <v>40695</v>
      </c>
      <c r="K8440" s="788">
        <v>41232</v>
      </c>
      <c r="L8440" s="787">
        <v>3.49</v>
      </c>
      <c r="M8440" s="787">
        <v>10</v>
      </c>
      <c r="N8440" s="787">
        <v>3.27</v>
      </c>
      <c r="O8440" s="788">
        <v>42163</v>
      </c>
    </row>
    <row r="8441" spans="1:15" x14ac:dyDescent="0.25">
      <c r="A8441" s="786" t="s">
        <v>15157</v>
      </c>
      <c r="B8441" s="787">
        <v>4</v>
      </c>
      <c r="C8441" s="787" t="s">
        <v>15158</v>
      </c>
      <c r="D8441" s="787">
        <v>4.93</v>
      </c>
      <c r="E8441" s="787">
        <v>4.93</v>
      </c>
      <c r="F8441" s="788">
        <v>40792</v>
      </c>
      <c r="G8441" s="788">
        <v>42013</v>
      </c>
      <c r="H8441" s="787">
        <v>1</v>
      </c>
      <c r="I8441" s="788">
        <v>41591</v>
      </c>
      <c r="J8441" s="788">
        <v>40695</v>
      </c>
      <c r="K8441" s="788">
        <v>41232</v>
      </c>
      <c r="L8441" s="787">
        <v>3.49</v>
      </c>
      <c r="M8441" s="787">
        <v>10</v>
      </c>
      <c r="N8441" s="787">
        <v>3.3</v>
      </c>
      <c r="O8441" s="788">
        <v>42163</v>
      </c>
    </row>
    <row r="8442" spans="1:15" x14ac:dyDescent="0.25">
      <c r="A8442" s="786" t="s">
        <v>15159</v>
      </c>
      <c r="B8442" s="787">
        <v>4</v>
      </c>
      <c r="C8442" s="787" t="s">
        <v>15160</v>
      </c>
      <c r="D8442" s="787">
        <v>3.07</v>
      </c>
      <c r="E8442" s="787">
        <v>3.07</v>
      </c>
      <c r="F8442" s="788">
        <v>41425</v>
      </c>
      <c r="G8442" s="788">
        <v>42013</v>
      </c>
      <c r="H8442" s="787">
        <v>1</v>
      </c>
      <c r="I8442" s="788">
        <v>41591</v>
      </c>
      <c r="J8442" s="788">
        <v>41394</v>
      </c>
      <c r="K8442" s="788">
        <v>41232</v>
      </c>
      <c r="L8442" s="787">
        <v>4.05</v>
      </c>
      <c r="M8442" s="787">
        <v>10</v>
      </c>
      <c r="N8442" s="787">
        <v>3.63</v>
      </c>
      <c r="O8442" s="788">
        <v>42163</v>
      </c>
    </row>
    <row r="8443" spans="1:15" x14ac:dyDescent="0.25">
      <c r="A8443" s="786" t="s">
        <v>15161</v>
      </c>
      <c r="B8443" s="787">
        <v>4</v>
      </c>
      <c r="C8443" s="787" t="s">
        <v>15162</v>
      </c>
      <c r="D8443" s="787">
        <v>4.6399999999999997</v>
      </c>
      <c r="E8443" s="787">
        <v>5.15</v>
      </c>
      <c r="F8443" s="788">
        <v>40792</v>
      </c>
      <c r="G8443" s="788">
        <v>42013</v>
      </c>
      <c r="H8443" s="787">
        <v>1</v>
      </c>
      <c r="I8443" s="788">
        <v>41869</v>
      </c>
      <c r="J8443" s="788">
        <v>41394</v>
      </c>
      <c r="K8443" s="788">
        <v>41232</v>
      </c>
      <c r="L8443" s="787">
        <v>4.05</v>
      </c>
      <c r="M8443" s="787">
        <v>10</v>
      </c>
      <c r="N8443" s="787">
        <v>3.63</v>
      </c>
      <c r="O8443" s="788">
        <v>42163</v>
      </c>
    </row>
    <row r="8444" spans="1:15" x14ac:dyDescent="0.25">
      <c r="A8444" s="786" t="s">
        <v>15163</v>
      </c>
      <c r="B8444" s="787">
        <v>4</v>
      </c>
      <c r="C8444" s="787" t="s">
        <v>15164</v>
      </c>
      <c r="D8444" s="787">
        <v>3.93</v>
      </c>
      <c r="E8444" s="787">
        <v>3.93</v>
      </c>
      <c r="F8444" s="788">
        <v>41180</v>
      </c>
      <c r="G8444" s="788">
        <v>41943</v>
      </c>
      <c r="H8444" s="787">
        <v>1</v>
      </c>
      <c r="I8444" s="788">
        <v>41591</v>
      </c>
      <c r="J8444" s="788">
        <v>41152</v>
      </c>
      <c r="K8444" s="788">
        <v>41232</v>
      </c>
      <c r="L8444" s="787">
        <v>2.84</v>
      </c>
      <c r="M8444" s="787">
        <v>10</v>
      </c>
      <c r="N8444" s="787">
        <v>3.1</v>
      </c>
      <c r="O8444" s="788">
        <v>42163</v>
      </c>
    </row>
    <row r="8445" spans="1:15" x14ac:dyDescent="0.25">
      <c r="A8445" s="786" t="s">
        <v>15165</v>
      </c>
      <c r="B8445" s="787">
        <v>4</v>
      </c>
      <c r="C8445" s="787" t="s">
        <v>15166</v>
      </c>
      <c r="D8445" s="787">
        <v>1.36</v>
      </c>
      <c r="E8445" s="787">
        <v>6.37</v>
      </c>
      <c r="F8445" s="788">
        <v>40792</v>
      </c>
      <c r="G8445" s="788">
        <v>41646</v>
      </c>
      <c r="H8445" s="787">
        <v>1</v>
      </c>
      <c r="I8445" s="788">
        <v>41591</v>
      </c>
      <c r="J8445" s="788">
        <v>41152</v>
      </c>
      <c r="K8445" s="788">
        <v>41232</v>
      </c>
      <c r="L8445" s="787">
        <v>2.84</v>
      </c>
      <c r="M8445" s="787">
        <v>10</v>
      </c>
      <c r="N8445" s="787">
        <v>2.57</v>
      </c>
      <c r="O8445" s="788">
        <v>42163</v>
      </c>
    </row>
    <row r="8446" spans="1:15" x14ac:dyDescent="0.25">
      <c r="A8446" s="786" t="s">
        <v>15167</v>
      </c>
      <c r="B8446" s="787">
        <v>4</v>
      </c>
      <c r="C8446" s="787" t="s">
        <v>15168</v>
      </c>
      <c r="D8446" s="787">
        <v>1.36</v>
      </c>
      <c r="E8446" s="787">
        <v>1.45</v>
      </c>
      <c r="F8446" s="788">
        <v>40792</v>
      </c>
      <c r="G8446" s="788">
        <v>41943</v>
      </c>
      <c r="H8446" s="787">
        <v>1</v>
      </c>
      <c r="I8446" s="788">
        <v>41464</v>
      </c>
      <c r="J8446" s="788">
        <v>41417</v>
      </c>
      <c r="K8446" s="788">
        <v>41232</v>
      </c>
      <c r="L8446" s="787">
        <v>2.68</v>
      </c>
      <c r="M8446" s="787">
        <v>10</v>
      </c>
      <c r="N8446" s="787">
        <v>2.63</v>
      </c>
      <c r="O8446" s="788">
        <v>42163</v>
      </c>
    </row>
    <row r="8447" spans="1:15" x14ac:dyDescent="0.25">
      <c r="A8447" s="786" t="s">
        <v>15169</v>
      </c>
      <c r="B8447" s="787">
        <v>4</v>
      </c>
      <c r="C8447" s="787" t="s">
        <v>15170</v>
      </c>
      <c r="D8447" s="787">
        <v>1.36</v>
      </c>
      <c r="E8447" s="787">
        <v>3.38</v>
      </c>
      <c r="F8447" s="788">
        <v>40792</v>
      </c>
      <c r="G8447" s="788">
        <v>41943</v>
      </c>
      <c r="H8447" s="787">
        <v>1</v>
      </c>
      <c r="I8447" s="788">
        <v>41464</v>
      </c>
      <c r="J8447" s="788">
        <v>41417</v>
      </c>
      <c r="K8447" s="788">
        <v>41232</v>
      </c>
      <c r="L8447" s="787">
        <v>2.68</v>
      </c>
      <c r="M8447" s="787">
        <v>10</v>
      </c>
      <c r="N8447" s="787">
        <v>2.63</v>
      </c>
      <c r="O8447" s="788">
        <v>42163</v>
      </c>
    </row>
    <row r="8448" spans="1:15" x14ac:dyDescent="0.25">
      <c r="A8448" s="786" t="s">
        <v>15171</v>
      </c>
      <c r="B8448" s="787">
        <v>4</v>
      </c>
      <c r="C8448" s="787" t="s">
        <v>15172</v>
      </c>
      <c r="D8448" s="787">
        <v>1.2</v>
      </c>
      <c r="E8448" s="787">
        <v>2.66</v>
      </c>
      <c r="F8448" s="788">
        <v>40792</v>
      </c>
      <c r="G8448" s="788">
        <v>41943</v>
      </c>
      <c r="H8448" s="787">
        <v>1</v>
      </c>
      <c r="I8448" s="788">
        <v>41591</v>
      </c>
      <c r="J8448" s="788">
        <v>41459</v>
      </c>
      <c r="K8448" s="788">
        <v>41232</v>
      </c>
      <c r="L8448" s="787">
        <v>2.4900000000000002</v>
      </c>
      <c r="M8448" s="787">
        <v>10</v>
      </c>
      <c r="N8448" s="787">
        <v>2.4900000000000002</v>
      </c>
      <c r="O8448" s="788">
        <v>42163</v>
      </c>
    </row>
    <row r="8449" spans="1:15" x14ac:dyDescent="0.25">
      <c r="A8449" s="786" t="s">
        <v>15173</v>
      </c>
      <c r="B8449" s="787">
        <v>4</v>
      </c>
      <c r="C8449" s="787" t="s">
        <v>15174</v>
      </c>
      <c r="D8449" s="787">
        <v>1.2</v>
      </c>
      <c r="E8449" s="787">
        <v>5.97</v>
      </c>
      <c r="F8449" s="788">
        <v>40792</v>
      </c>
      <c r="G8449" s="788">
        <v>41943</v>
      </c>
      <c r="H8449" s="787">
        <v>1</v>
      </c>
      <c r="I8449" s="788">
        <v>41591</v>
      </c>
      <c r="J8449" s="788">
        <v>41295</v>
      </c>
      <c r="K8449" s="788">
        <v>41232</v>
      </c>
      <c r="L8449" s="787">
        <v>2.4900000000000002</v>
      </c>
      <c r="M8449" s="787">
        <v>10</v>
      </c>
      <c r="N8449" s="787">
        <v>2.4900000000000002</v>
      </c>
      <c r="O8449" s="788">
        <v>42163</v>
      </c>
    </row>
    <row r="8450" spans="1:15" x14ac:dyDescent="0.25">
      <c r="A8450" s="786" t="s">
        <v>15175</v>
      </c>
      <c r="B8450" s="787">
        <v>4</v>
      </c>
      <c r="C8450" s="787" t="s">
        <v>15176</v>
      </c>
      <c r="D8450" s="787">
        <v>3.51</v>
      </c>
      <c r="E8450" s="787">
        <v>3.51</v>
      </c>
      <c r="F8450" s="788">
        <v>40827</v>
      </c>
      <c r="G8450" s="788">
        <v>40827</v>
      </c>
      <c r="H8450" s="787">
        <v>1</v>
      </c>
      <c r="I8450" s="788">
        <v>40708</v>
      </c>
      <c r="J8450" s="788">
        <v>40704</v>
      </c>
      <c r="K8450" s="788">
        <v>41232</v>
      </c>
      <c r="L8450" s="787">
        <v>2.84</v>
      </c>
      <c r="M8450" s="787">
        <v>10</v>
      </c>
      <c r="N8450" s="787">
        <v>2.59</v>
      </c>
      <c r="O8450" s="788">
        <v>42163</v>
      </c>
    </row>
    <row r="8451" spans="1:15" x14ac:dyDescent="0.25">
      <c r="A8451" s="786" t="s">
        <v>15177</v>
      </c>
      <c r="B8451" s="787">
        <v>4</v>
      </c>
      <c r="C8451" s="787" t="s">
        <v>15178</v>
      </c>
      <c r="D8451" s="787">
        <v>3.52</v>
      </c>
      <c r="E8451" s="787">
        <v>3.52</v>
      </c>
      <c r="F8451" s="788">
        <v>40827</v>
      </c>
      <c r="G8451" s="788">
        <v>41593</v>
      </c>
      <c r="H8451" s="787">
        <v>1</v>
      </c>
      <c r="I8451" s="788">
        <v>41591</v>
      </c>
      <c r="J8451" s="788">
        <v>41593</v>
      </c>
      <c r="K8451" s="788">
        <v>41232</v>
      </c>
      <c r="L8451" s="787">
        <v>1.73</v>
      </c>
      <c r="M8451" s="787">
        <v>10</v>
      </c>
      <c r="N8451" s="787">
        <v>5.46</v>
      </c>
      <c r="O8451" s="788">
        <v>42163</v>
      </c>
    </row>
    <row r="8452" spans="1:15" x14ac:dyDescent="0.25">
      <c r="A8452" s="786" t="s">
        <v>15179</v>
      </c>
      <c r="B8452" s="787">
        <v>4</v>
      </c>
      <c r="C8452" s="787" t="s">
        <v>15180</v>
      </c>
      <c r="D8452" s="787">
        <v>4.53</v>
      </c>
      <c r="E8452" s="787">
        <v>5.23</v>
      </c>
      <c r="F8452" s="788">
        <v>41134</v>
      </c>
      <c r="G8452" s="788">
        <v>42013</v>
      </c>
      <c r="H8452" s="787">
        <v>1</v>
      </c>
      <c r="I8452" s="788">
        <v>41591</v>
      </c>
      <c r="J8452" s="788">
        <v>41295</v>
      </c>
      <c r="K8452" s="788">
        <v>40963</v>
      </c>
      <c r="L8452" s="787">
        <v>5</v>
      </c>
      <c r="M8452" s="787">
        <v>10</v>
      </c>
      <c r="N8452" s="787">
        <v>5.31</v>
      </c>
      <c r="O8452" s="788">
        <v>42163</v>
      </c>
    </row>
    <row r="8453" spans="1:15" x14ac:dyDescent="0.25">
      <c r="A8453" s="786" t="s">
        <v>15181</v>
      </c>
      <c r="B8453" s="787">
        <v>4</v>
      </c>
      <c r="C8453" s="787" t="s">
        <v>15182</v>
      </c>
      <c r="D8453" s="787">
        <v>6.63</v>
      </c>
      <c r="E8453" s="787">
        <v>6.63</v>
      </c>
      <c r="F8453" s="788">
        <v>41438</v>
      </c>
      <c r="G8453" s="788">
        <v>42013</v>
      </c>
      <c r="H8453" s="787">
        <v>1</v>
      </c>
      <c r="I8453" s="788">
        <v>41726</v>
      </c>
      <c r="J8453" s="788">
        <v>41438</v>
      </c>
      <c r="K8453" s="788">
        <v>41400</v>
      </c>
      <c r="L8453" s="787">
        <v>6.63</v>
      </c>
      <c r="M8453" s="787">
        <v>10</v>
      </c>
      <c r="N8453" s="787">
        <v>0.9</v>
      </c>
      <c r="O8453" s="788">
        <v>42163</v>
      </c>
    </row>
    <row r="8454" spans="1:15" x14ac:dyDescent="0.25">
      <c r="A8454" s="786" t="s">
        <v>15183</v>
      </c>
      <c r="B8454" s="787">
        <v>4</v>
      </c>
      <c r="C8454" s="787" t="s">
        <v>15184</v>
      </c>
      <c r="D8454" s="787">
        <v>1.31</v>
      </c>
      <c r="E8454" s="787">
        <v>1.31</v>
      </c>
      <c r="F8454" s="788">
        <v>41449</v>
      </c>
      <c r="G8454" s="788">
        <v>41943</v>
      </c>
      <c r="H8454" s="787">
        <v>1</v>
      </c>
      <c r="I8454" s="788">
        <v>41591</v>
      </c>
      <c r="J8454" s="788">
        <v>41417</v>
      </c>
      <c r="K8454" s="788">
        <v>41621</v>
      </c>
      <c r="L8454" s="787">
        <v>3.26</v>
      </c>
      <c r="M8454" s="787">
        <v>10</v>
      </c>
      <c r="N8454" s="787">
        <v>3.26</v>
      </c>
      <c r="O8454" s="788">
        <v>42163</v>
      </c>
    </row>
    <row r="8455" spans="1:15" x14ac:dyDescent="0.25">
      <c r="A8455" s="786" t="s">
        <v>15185</v>
      </c>
      <c r="B8455" s="787">
        <v>4</v>
      </c>
      <c r="C8455" s="787" t="s">
        <v>15186</v>
      </c>
      <c r="D8455" s="787">
        <v>0.63</v>
      </c>
      <c r="E8455" s="787">
        <v>0.72</v>
      </c>
      <c r="F8455" s="788">
        <v>41369</v>
      </c>
      <c r="G8455" s="788">
        <v>42013</v>
      </c>
      <c r="H8455" s="787">
        <v>1</v>
      </c>
      <c r="I8455" s="788">
        <v>41591</v>
      </c>
      <c r="J8455" s="788">
        <v>41957</v>
      </c>
      <c r="K8455" s="788">
        <v>41232</v>
      </c>
      <c r="L8455" s="787">
        <v>0.6</v>
      </c>
      <c r="M8455" s="787">
        <v>10</v>
      </c>
      <c r="N8455" s="787">
        <v>1.31</v>
      </c>
      <c r="O8455" s="788">
        <v>41858</v>
      </c>
    </row>
    <row r="8456" spans="1:15" x14ac:dyDescent="0.25">
      <c r="A8456" s="786" t="s">
        <v>15187</v>
      </c>
      <c r="B8456" s="787">
        <v>4</v>
      </c>
      <c r="C8456" s="787" t="s">
        <v>15188</v>
      </c>
      <c r="D8456" s="787">
        <v>0.47</v>
      </c>
      <c r="E8456" s="787">
        <v>0.47</v>
      </c>
      <c r="F8456" s="788">
        <v>41977</v>
      </c>
      <c r="G8456" s="788">
        <v>42013</v>
      </c>
      <c r="H8456" s="787">
        <v>1</v>
      </c>
      <c r="I8456" s="788">
        <v>41591</v>
      </c>
      <c r="J8456" s="788">
        <v>41957</v>
      </c>
      <c r="K8456" s="788">
        <v>41232</v>
      </c>
      <c r="L8456" s="787">
        <v>0.69</v>
      </c>
      <c r="M8456" s="787">
        <v>10</v>
      </c>
      <c r="N8456" s="787">
        <v>1.38</v>
      </c>
      <c r="O8456" s="788">
        <v>41858</v>
      </c>
    </row>
    <row r="8457" spans="1:15" x14ac:dyDescent="0.25">
      <c r="A8457" s="786" t="s">
        <v>15189</v>
      </c>
      <c r="B8457" s="787">
        <v>4</v>
      </c>
      <c r="C8457" s="787" t="s">
        <v>15190</v>
      </c>
      <c r="D8457" s="787">
        <v>2.31</v>
      </c>
      <c r="E8457" s="787">
        <v>2.31</v>
      </c>
      <c r="F8457" s="788">
        <v>41335</v>
      </c>
      <c r="G8457" s="788">
        <v>41335</v>
      </c>
      <c r="H8457" s="787">
        <v>1</v>
      </c>
      <c r="J8457" s="788">
        <v>41296</v>
      </c>
      <c r="K8457" s="788">
        <v>41232</v>
      </c>
      <c r="L8457" s="787">
        <v>1.99</v>
      </c>
      <c r="M8457" s="787">
        <v>10</v>
      </c>
      <c r="N8457" s="787">
        <v>2.73</v>
      </c>
      <c r="O8457" s="788">
        <v>41858</v>
      </c>
    </row>
    <row r="8458" spans="1:15" x14ac:dyDescent="0.25">
      <c r="A8458" s="786" t="s">
        <v>15191</v>
      </c>
      <c r="B8458" s="787">
        <v>4</v>
      </c>
      <c r="C8458" s="787" t="s">
        <v>15192</v>
      </c>
      <c r="D8458" s="787">
        <v>0</v>
      </c>
      <c r="E8458" s="787">
        <v>0</v>
      </c>
      <c r="H8458" s="787">
        <v>1</v>
      </c>
      <c r="K8458" s="788">
        <v>41232</v>
      </c>
      <c r="L8458" s="787">
        <v>4.29</v>
      </c>
      <c r="M8458" s="787">
        <v>10</v>
      </c>
      <c r="N8458" s="787">
        <v>3.32</v>
      </c>
      <c r="O8458" s="788">
        <v>41858</v>
      </c>
    </row>
    <row r="8459" spans="1:15" x14ac:dyDescent="0.25">
      <c r="A8459" s="786" t="s">
        <v>15193</v>
      </c>
      <c r="B8459" s="787">
        <v>4</v>
      </c>
      <c r="C8459" s="787" t="s">
        <v>15194</v>
      </c>
      <c r="D8459" s="787">
        <v>0</v>
      </c>
      <c r="E8459" s="787">
        <v>0</v>
      </c>
      <c r="H8459" s="787">
        <v>1</v>
      </c>
      <c r="K8459" s="788">
        <v>41232</v>
      </c>
      <c r="L8459" s="787">
        <v>2.65</v>
      </c>
      <c r="M8459" s="787">
        <v>10</v>
      </c>
      <c r="N8459" s="787">
        <v>2.11</v>
      </c>
      <c r="O8459" s="788">
        <v>41858</v>
      </c>
    </row>
    <row r="8460" spans="1:15" x14ac:dyDescent="0.25">
      <c r="A8460" s="786" t="s">
        <v>15195</v>
      </c>
      <c r="B8460" s="787">
        <v>4</v>
      </c>
      <c r="C8460" s="787" t="s">
        <v>15196</v>
      </c>
      <c r="D8460" s="787">
        <v>3.93</v>
      </c>
      <c r="E8460" s="787">
        <v>63.93</v>
      </c>
      <c r="F8460" s="788">
        <v>40827</v>
      </c>
      <c r="G8460" s="788">
        <v>40827</v>
      </c>
      <c r="H8460" s="787">
        <v>1</v>
      </c>
      <c r="J8460" s="788">
        <v>40701</v>
      </c>
      <c r="K8460" s="788">
        <v>41232</v>
      </c>
      <c r="L8460" s="787">
        <v>60</v>
      </c>
      <c r="M8460" s="787">
        <v>10</v>
      </c>
      <c r="N8460" s="787">
        <v>67.47</v>
      </c>
      <c r="O8460" s="788">
        <v>41858</v>
      </c>
    </row>
    <row r="8461" spans="1:15" x14ac:dyDescent="0.25">
      <c r="A8461" s="786" t="s">
        <v>15197</v>
      </c>
      <c r="B8461" s="787">
        <v>4</v>
      </c>
      <c r="C8461" s="787" t="s">
        <v>15198</v>
      </c>
      <c r="D8461" s="787">
        <v>3.93</v>
      </c>
      <c r="E8461" s="787">
        <v>63.93</v>
      </c>
      <c r="F8461" s="788">
        <v>40827</v>
      </c>
      <c r="G8461" s="788">
        <v>40827</v>
      </c>
      <c r="H8461" s="787">
        <v>1</v>
      </c>
      <c r="J8461" s="788">
        <v>40701</v>
      </c>
      <c r="K8461" s="788">
        <v>41232</v>
      </c>
      <c r="L8461" s="787">
        <v>60</v>
      </c>
      <c r="M8461" s="787">
        <v>10</v>
      </c>
      <c r="N8461" s="787">
        <v>66.569999999999993</v>
      </c>
      <c r="O8461" s="788">
        <v>41858</v>
      </c>
    </row>
    <row r="8462" spans="1:15" x14ac:dyDescent="0.25">
      <c r="A8462" s="786" t="s">
        <v>15199</v>
      </c>
      <c r="B8462" s="787">
        <v>4</v>
      </c>
      <c r="C8462" s="787" t="s">
        <v>15200</v>
      </c>
      <c r="D8462" s="787">
        <v>5.97</v>
      </c>
      <c r="E8462" s="787">
        <v>105.97</v>
      </c>
      <c r="F8462" s="788">
        <v>40827</v>
      </c>
      <c r="G8462" s="788">
        <v>40827</v>
      </c>
      <c r="H8462" s="787">
        <v>1</v>
      </c>
      <c r="J8462" s="788">
        <v>40701</v>
      </c>
      <c r="K8462" s="788">
        <v>41232</v>
      </c>
      <c r="L8462" s="787">
        <v>60</v>
      </c>
      <c r="M8462" s="787">
        <v>10</v>
      </c>
      <c r="N8462" s="787">
        <v>66.849999999999994</v>
      </c>
      <c r="O8462" s="788">
        <v>41858</v>
      </c>
    </row>
    <row r="8463" spans="1:15" x14ac:dyDescent="0.25">
      <c r="A8463" s="786" t="s">
        <v>15201</v>
      </c>
      <c r="B8463" s="787">
        <v>4</v>
      </c>
      <c r="C8463" s="787" t="s">
        <v>15202</v>
      </c>
      <c r="D8463" s="787">
        <v>1.68</v>
      </c>
      <c r="E8463" s="787">
        <v>61.68</v>
      </c>
      <c r="F8463" s="788">
        <v>40827</v>
      </c>
      <c r="G8463" s="788">
        <v>40827</v>
      </c>
      <c r="H8463" s="787">
        <v>1</v>
      </c>
      <c r="J8463" s="788">
        <v>40701</v>
      </c>
      <c r="K8463" s="788">
        <v>41232</v>
      </c>
      <c r="L8463" s="787">
        <v>60</v>
      </c>
      <c r="M8463" s="787">
        <v>10</v>
      </c>
      <c r="N8463" s="787">
        <v>67.709999999999994</v>
      </c>
      <c r="O8463" s="788">
        <v>41858</v>
      </c>
    </row>
    <row r="8464" spans="1:15" x14ac:dyDescent="0.25">
      <c r="A8464" s="786" t="s">
        <v>15203</v>
      </c>
      <c r="B8464" s="787">
        <v>4</v>
      </c>
      <c r="C8464" s="787" t="s">
        <v>15204</v>
      </c>
      <c r="D8464" s="787">
        <v>2.99</v>
      </c>
      <c r="E8464" s="787">
        <v>62.99</v>
      </c>
      <c r="F8464" s="788">
        <v>40827</v>
      </c>
      <c r="G8464" s="788">
        <v>40827</v>
      </c>
      <c r="H8464" s="787">
        <v>1</v>
      </c>
      <c r="J8464" s="788">
        <v>40701</v>
      </c>
      <c r="K8464" s="788">
        <v>41232</v>
      </c>
      <c r="L8464" s="787">
        <v>60</v>
      </c>
      <c r="M8464" s="787">
        <v>10</v>
      </c>
      <c r="N8464" s="787">
        <v>65.989999999999995</v>
      </c>
      <c r="O8464" s="788">
        <v>41858</v>
      </c>
    </row>
    <row r="8465" spans="1:15" x14ac:dyDescent="0.25">
      <c r="A8465" s="786" t="s">
        <v>15205</v>
      </c>
      <c r="B8465" s="787">
        <v>4</v>
      </c>
      <c r="C8465" s="787" t="s">
        <v>15206</v>
      </c>
      <c r="D8465" s="787">
        <v>2.99</v>
      </c>
      <c r="E8465" s="787">
        <v>62.99</v>
      </c>
      <c r="F8465" s="788">
        <v>40827</v>
      </c>
      <c r="G8465" s="788">
        <v>40827</v>
      </c>
      <c r="H8465" s="787">
        <v>1</v>
      </c>
      <c r="J8465" s="788">
        <v>40701</v>
      </c>
      <c r="K8465" s="788">
        <v>41232</v>
      </c>
      <c r="L8465" s="787">
        <v>60</v>
      </c>
      <c r="M8465" s="787">
        <v>10</v>
      </c>
      <c r="N8465" s="787">
        <v>66.02</v>
      </c>
      <c r="O8465" s="788">
        <v>41858</v>
      </c>
    </row>
    <row r="8466" spans="1:15" x14ac:dyDescent="0.25">
      <c r="A8466" s="786" t="s">
        <v>15207</v>
      </c>
      <c r="B8466" s="787">
        <v>4</v>
      </c>
      <c r="C8466" s="787" t="s">
        <v>15208</v>
      </c>
      <c r="D8466" s="787">
        <v>3.68</v>
      </c>
      <c r="E8466" s="787">
        <v>83.68</v>
      </c>
      <c r="F8466" s="788">
        <v>40827</v>
      </c>
      <c r="G8466" s="788">
        <v>40827</v>
      </c>
      <c r="H8466" s="787">
        <v>1</v>
      </c>
      <c r="J8466" s="788">
        <v>40702</v>
      </c>
      <c r="K8466" s="788">
        <v>41232</v>
      </c>
      <c r="L8466" s="787">
        <v>70</v>
      </c>
      <c r="M8466" s="787">
        <v>10</v>
      </c>
      <c r="N8466" s="787">
        <v>85.16</v>
      </c>
      <c r="O8466" s="788">
        <v>41858</v>
      </c>
    </row>
    <row r="8467" spans="1:15" x14ac:dyDescent="0.25">
      <c r="A8467" s="786" t="s">
        <v>15209</v>
      </c>
      <c r="B8467" s="787">
        <v>4</v>
      </c>
      <c r="C8467" s="787" t="s">
        <v>15210</v>
      </c>
      <c r="D8467" s="787">
        <v>3.65</v>
      </c>
      <c r="E8467" s="787">
        <v>83.65</v>
      </c>
      <c r="F8467" s="788">
        <v>40827</v>
      </c>
      <c r="G8467" s="788">
        <v>40827</v>
      </c>
      <c r="H8467" s="787">
        <v>1</v>
      </c>
      <c r="J8467" s="788">
        <v>40702</v>
      </c>
      <c r="K8467" s="788">
        <v>41232</v>
      </c>
      <c r="L8467" s="787">
        <v>70</v>
      </c>
      <c r="M8467" s="787">
        <v>10</v>
      </c>
      <c r="N8467" s="787">
        <v>85.16</v>
      </c>
      <c r="O8467" s="788">
        <v>41858</v>
      </c>
    </row>
    <row r="8468" spans="1:15" x14ac:dyDescent="0.25">
      <c r="A8468" s="786" t="s">
        <v>15211</v>
      </c>
      <c r="B8468" s="787">
        <v>4</v>
      </c>
      <c r="C8468" s="787" t="s">
        <v>15212</v>
      </c>
      <c r="D8468" s="787">
        <v>0</v>
      </c>
      <c r="E8468" s="787">
        <v>0</v>
      </c>
      <c r="H8468" s="787">
        <v>1</v>
      </c>
      <c r="K8468" s="788">
        <v>41232</v>
      </c>
      <c r="L8468" s="787">
        <v>50</v>
      </c>
      <c r="M8468" s="787">
        <v>10</v>
      </c>
      <c r="N8468" s="787">
        <v>0</v>
      </c>
      <c r="O8468" s="788">
        <v>40824</v>
      </c>
    </row>
    <row r="8469" spans="1:15" x14ac:dyDescent="0.25">
      <c r="A8469" s="786" t="s">
        <v>15213</v>
      </c>
      <c r="B8469" s="787">
        <v>4</v>
      </c>
      <c r="C8469" s="787" t="s">
        <v>15214</v>
      </c>
      <c r="D8469" s="787">
        <v>0</v>
      </c>
      <c r="E8469" s="787">
        <v>0</v>
      </c>
      <c r="H8469" s="787">
        <v>1</v>
      </c>
      <c r="K8469" s="788">
        <v>41232</v>
      </c>
      <c r="L8469" s="787">
        <v>50</v>
      </c>
      <c r="M8469" s="787">
        <v>10</v>
      </c>
      <c r="N8469" s="787">
        <v>0</v>
      </c>
      <c r="O8469" s="788">
        <v>40824</v>
      </c>
    </row>
    <row r="8470" spans="1:15" x14ac:dyDescent="0.25">
      <c r="A8470" s="786" t="s">
        <v>15215</v>
      </c>
      <c r="B8470" s="787">
        <v>4</v>
      </c>
      <c r="C8470" s="787" t="s">
        <v>15216</v>
      </c>
      <c r="D8470" s="787">
        <v>0</v>
      </c>
      <c r="E8470" s="787">
        <v>0</v>
      </c>
      <c r="H8470" s="787">
        <v>1</v>
      </c>
      <c r="K8470" s="788">
        <v>41232</v>
      </c>
      <c r="L8470" s="787">
        <v>60</v>
      </c>
      <c r="M8470" s="787">
        <v>10</v>
      </c>
      <c r="N8470" s="787">
        <v>0</v>
      </c>
      <c r="O8470" s="788">
        <v>40824</v>
      </c>
    </row>
    <row r="8471" spans="1:15" x14ac:dyDescent="0.25">
      <c r="A8471" s="786" t="s">
        <v>15217</v>
      </c>
      <c r="B8471" s="787">
        <v>4</v>
      </c>
      <c r="C8471" s="787" t="s">
        <v>15218</v>
      </c>
      <c r="D8471" s="787">
        <v>0</v>
      </c>
      <c r="E8471" s="787">
        <v>0</v>
      </c>
      <c r="H8471" s="787">
        <v>1</v>
      </c>
      <c r="K8471" s="788">
        <v>41232</v>
      </c>
      <c r="L8471" s="787">
        <v>60</v>
      </c>
      <c r="M8471" s="787">
        <v>10</v>
      </c>
      <c r="N8471" s="787">
        <v>0</v>
      </c>
      <c r="O8471" s="788">
        <v>40824</v>
      </c>
    </row>
    <row r="8472" spans="1:15" x14ac:dyDescent="0.25">
      <c r="A8472" s="786" t="s">
        <v>15219</v>
      </c>
      <c r="B8472" s="787">
        <v>4</v>
      </c>
      <c r="C8472" s="787" t="s">
        <v>15220</v>
      </c>
      <c r="D8472" s="787">
        <v>0</v>
      </c>
      <c r="E8472" s="787">
        <v>0</v>
      </c>
      <c r="H8472" s="787">
        <v>1</v>
      </c>
      <c r="K8472" s="788">
        <v>41232</v>
      </c>
      <c r="L8472" s="787">
        <v>60</v>
      </c>
      <c r="M8472" s="787">
        <v>10</v>
      </c>
      <c r="N8472" s="787">
        <v>0</v>
      </c>
      <c r="O8472" s="788">
        <v>40824</v>
      </c>
    </row>
    <row r="8473" spans="1:15" x14ac:dyDescent="0.25">
      <c r="A8473" s="786" t="s">
        <v>15221</v>
      </c>
      <c r="B8473" s="787">
        <v>4</v>
      </c>
      <c r="C8473" s="787" t="s">
        <v>15222</v>
      </c>
      <c r="D8473" s="787">
        <v>0</v>
      </c>
      <c r="E8473" s="787">
        <v>0</v>
      </c>
      <c r="H8473" s="787">
        <v>1</v>
      </c>
      <c r="K8473" s="788">
        <v>41232</v>
      </c>
      <c r="L8473" s="787">
        <v>60</v>
      </c>
      <c r="M8473" s="787">
        <v>10</v>
      </c>
      <c r="N8473" s="787">
        <v>0</v>
      </c>
      <c r="O8473" s="788">
        <v>40824</v>
      </c>
    </row>
    <row r="8474" spans="1:15" x14ac:dyDescent="0.25">
      <c r="A8474" s="786" t="s">
        <v>15223</v>
      </c>
      <c r="B8474" s="787">
        <v>4</v>
      </c>
      <c r="C8474" s="787" t="s">
        <v>15224</v>
      </c>
      <c r="D8474" s="787">
        <v>0</v>
      </c>
      <c r="E8474" s="787">
        <v>0</v>
      </c>
      <c r="H8474" s="787">
        <v>1</v>
      </c>
      <c r="K8474" s="788">
        <v>41232</v>
      </c>
      <c r="L8474" s="787">
        <v>70</v>
      </c>
      <c r="M8474" s="787">
        <v>10</v>
      </c>
      <c r="N8474" s="787">
        <v>0</v>
      </c>
      <c r="O8474" s="788">
        <v>40824</v>
      </c>
    </row>
    <row r="8475" spans="1:15" x14ac:dyDescent="0.25">
      <c r="A8475" s="786" t="s">
        <v>15225</v>
      </c>
      <c r="B8475" s="787">
        <v>4</v>
      </c>
      <c r="C8475" s="787" t="s">
        <v>15226</v>
      </c>
      <c r="D8475" s="787">
        <v>0</v>
      </c>
      <c r="E8475" s="787">
        <v>0</v>
      </c>
      <c r="H8475" s="787">
        <v>1</v>
      </c>
      <c r="K8475" s="788">
        <v>41233</v>
      </c>
      <c r="L8475" s="787">
        <v>30</v>
      </c>
      <c r="M8475" s="787">
        <v>10</v>
      </c>
      <c r="N8475" s="787">
        <v>0</v>
      </c>
      <c r="O8475" s="788">
        <v>40824</v>
      </c>
    </row>
    <row r="8476" spans="1:15" x14ac:dyDescent="0.25">
      <c r="A8476" s="786" t="s">
        <v>15227</v>
      </c>
      <c r="B8476" s="787">
        <v>4</v>
      </c>
      <c r="C8476" s="787" t="s">
        <v>15228</v>
      </c>
      <c r="D8476" s="787">
        <v>0</v>
      </c>
      <c r="E8476" s="787">
        <v>0</v>
      </c>
      <c r="H8476" s="787">
        <v>1</v>
      </c>
      <c r="L8476" s="787">
        <v>0</v>
      </c>
      <c r="M8476" s="787">
        <v>10</v>
      </c>
      <c r="N8476" s="787">
        <v>3.11</v>
      </c>
      <c r="O8476" s="788">
        <v>41858</v>
      </c>
    </row>
    <row r="8477" spans="1:15" x14ac:dyDescent="0.25">
      <c r="A8477" s="786" t="s">
        <v>15229</v>
      </c>
      <c r="B8477" s="787">
        <v>4</v>
      </c>
      <c r="C8477" s="787" t="s">
        <v>15230</v>
      </c>
      <c r="D8477" s="787">
        <v>0</v>
      </c>
      <c r="E8477" s="787">
        <v>0</v>
      </c>
      <c r="H8477" s="787">
        <v>1</v>
      </c>
      <c r="I8477" s="788">
        <v>41780</v>
      </c>
      <c r="L8477" s="787">
        <v>0</v>
      </c>
      <c r="M8477" s="787">
        <v>10</v>
      </c>
      <c r="N8477" s="787">
        <v>7.74</v>
      </c>
      <c r="O8477" s="788">
        <v>42128</v>
      </c>
    </row>
    <row r="8478" spans="1:15" x14ac:dyDescent="0.25">
      <c r="A8478" s="786" t="s">
        <v>15231</v>
      </c>
      <c r="B8478" s="787">
        <v>4</v>
      </c>
      <c r="C8478" s="787" t="s">
        <v>15232</v>
      </c>
      <c r="D8478" s="787">
        <v>0</v>
      </c>
      <c r="E8478" s="787">
        <v>0</v>
      </c>
      <c r="H8478" s="787">
        <v>1</v>
      </c>
      <c r="I8478" s="788">
        <v>41820</v>
      </c>
      <c r="L8478" s="787">
        <v>0</v>
      </c>
      <c r="M8478" s="787">
        <v>10</v>
      </c>
      <c r="N8478" s="787">
        <v>2.77</v>
      </c>
      <c r="O8478" s="788">
        <v>41858</v>
      </c>
    </row>
    <row r="8479" spans="1:15" x14ac:dyDescent="0.25">
      <c r="A8479" s="786" t="s">
        <v>15233</v>
      </c>
      <c r="B8479" s="787">
        <v>4</v>
      </c>
      <c r="C8479" s="787" t="s">
        <v>15234</v>
      </c>
      <c r="D8479" s="787">
        <v>0</v>
      </c>
      <c r="E8479" s="787">
        <v>0</v>
      </c>
      <c r="H8479" s="787">
        <v>1</v>
      </c>
      <c r="I8479" s="788">
        <v>41820</v>
      </c>
      <c r="L8479" s="787">
        <v>0</v>
      </c>
      <c r="M8479" s="787">
        <v>10</v>
      </c>
      <c r="N8479" s="787">
        <v>2.77</v>
      </c>
      <c r="O8479" s="788">
        <v>41858</v>
      </c>
    </row>
    <row r="8480" spans="1:15" x14ac:dyDescent="0.25">
      <c r="A8480" s="786" t="s">
        <v>15235</v>
      </c>
      <c r="B8480" s="787">
        <v>4</v>
      </c>
      <c r="C8480" s="787" t="s">
        <v>15236</v>
      </c>
      <c r="D8480" s="787">
        <v>0.19</v>
      </c>
      <c r="E8480" s="787">
        <v>1.61</v>
      </c>
      <c r="F8480" s="788">
        <v>41806</v>
      </c>
      <c r="G8480" s="788">
        <v>41806</v>
      </c>
      <c r="H8480" s="787">
        <v>1</v>
      </c>
      <c r="I8480" s="788">
        <v>41822</v>
      </c>
      <c r="J8480" s="788">
        <v>41753</v>
      </c>
      <c r="K8480" s="788">
        <v>41739</v>
      </c>
      <c r="L8480" s="787">
        <v>0.5</v>
      </c>
      <c r="M8480" s="787">
        <v>10</v>
      </c>
      <c r="N8480" s="787">
        <v>0.5</v>
      </c>
      <c r="O8480" s="788">
        <v>42128</v>
      </c>
    </row>
    <row r="8481" spans="1:15" x14ac:dyDescent="0.25">
      <c r="A8481" s="786" t="s">
        <v>15237</v>
      </c>
      <c r="B8481" s="787">
        <v>4</v>
      </c>
      <c r="C8481" s="787" t="s">
        <v>15238</v>
      </c>
      <c r="D8481" s="787">
        <v>0</v>
      </c>
      <c r="E8481" s="787">
        <v>0</v>
      </c>
      <c r="H8481" s="787">
        <v>1</v>
      </c>
      <c r="I8481" s="788">
        <v>41820</v>
      </c>
      <c r="L8481" s="787">
        <v>0</v>
      </c>
      <c r="M8481" s="787">
        <v>10</v>
      </c>
      <c r="N8481" s="787">
        <v>3.94</v>
      </c>
      <c r="O8481" s="788">
        <v>42128</v>
      </c>
    </row>
    <row r="8482" spans="1:15" x14ac:dyDescent="0.25">
      <c r="A8482" s="786" t="s">
        <v>15239</v>
      </c>
      <c r="B8482" s="787">
        <v>4</v>
      </c>
      <c r="C8482" s="787" t="s">
        <v>15240</v>
      </c>
      <c r="D8482" s="787">
        <v>0</v>
      </c>
      <c r="E8482" s="787">
        <v>0</v>
      </c>
      <c r="H8482" s="787">
        <v>1</v>
      </c>
      <c r="I8482" s="788">
        <v>41820</v>
      </c>
      <c r="L8482" s="787">
        <v>0</v>
      </c>
      <c r="M8482" s="787">
        <v>10</v>
      </c>
      <c r="N8482" s="787">
        <v>3.94</v>
      </c>
      <c r="O8482" s="788">
        <v>42128</v>
      </c>
    </row>
    <row r="8483" spans="1:15" x14ac:dyDescent="0.25">
      <c r="A8483" s="786" t="s">
        <v>15241</v>
      </c>
      <c r="B8483" s="787">
        <v>4</v>
      </c>
      <c r="C8483" s="787" t="s">
        <v>15242</v>
      </c>
      <c r="D8483" s="787">
        <v>0</v>
      </c>
      <c r="E8483" s="787">
        <v>0</v>
      </c>
      <c r="H8483" s="787">
        <v>1</v>
      </c>
      <c r="I8483" s="788">
        <v>41820</v>
      </c>
      <c r="L8483" s="787">
        <v>0</v>
      </c>
      <c r="M8483" s="787">
        <v>10</v>
      </c>
      <c r="N8483" s="787">
        <v>5.36</v>
      </c>
      <c r="O8483" s="788">
        <v>42128</v>
      </c>
    </row>
    <row r="8484" spans="1:15" x14ac:dyDescent="0.25">
      <c r="A8484" s="786" t="s">
        <v>15243</v>
      </c>
      <c r="B8484" s="787">
        <v>4</v>
      </c>
      <c r="C8484" s="787" t="s">
        <v>15244</v>
      </c>
      <c r="D8484" s="787">
        <v>0</v>
      </c>
      <c r="E8484" s="787">
        <v>0</v>
      </c>
      <c r="H8484" s="787">
        <v>1</v>
      </c>
      <c r="I8484" s="788">
        <v>41820</v>
      </c>
      <c r="L8484" s="787">
        <v>0</v>
      </c>
      <c r="M8484" s="787">
        <v>10</v>
      </c>
      <c r="N8484" s="787">
        <v>5.36</v>
      </c>
      <c r="O8484" s="788">
        <v>42128</v>
      </c>
    </row>
    <row r="8485" spans="1:15" x14ac:dyDescent="0.25">
      <c r="A8485" s="786" t="s">
        <v>15245</v>
      </c>
      <c r="B8485" s="787">
        <v>4</v>
      </c>
      <c r="C8485" s="787" t="s">
        <v>15246</v>
      </c>
      <c r="D8485" s="787">
        <v>3.38</v>
      </c>
      <c r="E8485" s="787">
        <v>5.65</v>
      </c>
      <c r="F8485" s="788">
        <v>41806</v>
      </c>
      <c r="G8485" s="788">
        <v>41806</v>
      </c>
      <c r="H8485" s="787">
        <v>1</v>
      </c>
      <c r="I8485" s="788">
        <v>41765</v>
      </c>
      <c r="J8485" s="788">
        <v>41764</v>
      </c>
      <c r="K8485" s="788">
        <v>42052</v>
      </c>
      <c r="L8485" s="787">
        <v>3.19</v>
      </c>
      <c r="M8485" s="787">
        <v>10</v>
      </c>
      <c r="N8485" s="787">
        <v>3.19</v>
      </c>
      <c r="O8485" s="788">
        <v>42053</v>
      </c>
    </row>
    <row r="8486" spans="1:15" x14ac:dyDescent="0.25">
      <c r="A8486" s="786" t="s">
        <v>15247</v>
      </c>
      <c r="B8486" s="787">
        <v>4</v>
      </c>
      <c r="C8486" s="787" t="s">
        <v>15248</v>
      </c>
      <c r="D8486" s="787">
        <v>1.22</v>
      </c>
      <c r="E8486" s="787">
        <v>1.22</v>
      </c>
      <c r="F8486" s="788">
        <v>41813</v>
      </c>
      <c r="G8486" s="788">
        <v>41813</v>
      </c>
      <c r="H8486" s="787">
        <v>1</v>
      </c>
      <c r="I8486" s="788">
        <v>41823</v>
      </c>
      <c r="J8486" s="788">
        <v>41753</v>
      </c>
      <c r="L8486" s="787">
        <v>0</v>
      </c>
      <c r="M8486" s="787">
        <v>10</v>
      </c>
      <c r="N8486" s="787">
        <v>3.24</v>
      </c>
      <c r="O8486" s="788">
        <v>42128</v>
      </c>
    </row>
    <row r="8487" spans="1:15" x14ac:dyDescent="0.25">
      <c r="A8487" s="786" t="s">
        <v>15249</v>
      </c>
      <c r="B8487" s="787">
        <v>4</v>
      </c>
      <c r="C8487" s="787" t="s">
        <v>15250</v>
      </c>
      <c r="D8487" s="787">
        <v>0.55000000000000004</v>
      </c>
      <c r="E8487" s="787">
        <v>0.55000000000000004</v>
      </c>
      <c r="F8487" s="788">
        <v>41813</v>
      </c>
      <c r="G8487" s="788">
        <v>41813</v>
      </c>
      <c r="H8487" s="787">
        <v>1</v>
      </c>
      <c r="I8487" s="788">
        <v>41823</v>
      </c>
      <c r="J8487" s="788">
        <v>41753</v>
      </c>
      <c r="L8487" s="787">
        <v>0</v>
      </c>
      <c r="M8487" s="787">
        <v>10</v>
      </c>
      <c r="N8487" s="787">
        <v>3.24</v>
      </c>
      <c r="O8487" s="788">
        <v>42128</v>
      </c>
    </row>
    <row r="8488" spans="1:15" x14ac:dyDescent="0.25">
      <c r="A8488" s="786" t="s">
        <v>15251</v>
      </c>
      <c r="B8488" s="787">
        <v>4</v>
      </c>
      <c r="C8488" s="787" t="s">
        <v>15252</v>
      </c>
      <c r="D8488" s="787">
        <v>0.92</v>
      </c>
      <c r="E8488" s="787">
        <v>0.92</v>
      </c>
      <c r="F8488" s="788">
        <v>41855</v>
      </c>
      <c r="G8488" s="788">
        <v>41855</v>
      </c>
      <c r="H8488" s="787">
        <v>1</v>
      </c>
      <c r="I8488" s="788">
        <v>41823</v>
      </c>
      <c r="J8488" s="788">
        <v>41810</v>
      </c>
      <c r="L8488" s="787">
        <v>0</v>
      </c>
      <c r="M8488" s="787">
        <v>10</v>
      </c>
      <c r="N8488" s="787">
        <v>1.73</v>
      </c>
      <c r="O8488" s="788">
        <v>42128</v>
      </c>
    </row>
    <row r="8489" spans="1:15" x14ac:dyDescent="0.25">
      <c r="A8489" s="786" t="s">
        <v>15253</v>
      </c>
      <c r="B8489" s="787">
        <v>4</v>
      </c>
      <c r="C8489" s="787" t="s">
        <v>15254</v>
      </c>
      <c r="D8489" s="787">
        <v>2.4300000000000002</v>
      </c>
      <c r="E8489" s="787">
        <v>2.4300000000000002</v>
      </c>
      <c r="F8489" s="788">
        <v>41813</v>
      </c>
      <c r="G8489" s="788">
        <v>41813</v>
      </c>
      <c r="H8489" s="787">
        <v>1</v>
      </c>
      <c r="I8489" s="788">
        <v>41823</v>
      </c>
      <c r="J8489" s="788">
        <v>41757</v>
      </c>
      <c r="L8489" s="787">
        <v>0</v>
      </c>
      <c r="M8489" s="787">
        <v>10</v>
      </c>
      <c r="N8489" s="787">
        <v>4.6900000000000004</v>
      </c>
      <c r="O8489" s="788">
        <v>42128</v>
      </c>
    </row>
    <row r="8490" spans="1:15" x14ac:dyDescent="0.25">
      <c r="A8490" s="786" t="s">
        <v>15255</v>
      </c>
      <c r="B8490" s="787">
        <v>4</v>
      </c>
      <c r="C8490" s="787" t="s">
        <v>15256</v>
      </c>
      <c r="D8490" s="787">
        <v>1.01</v>
      </c>
      <c r="E8490" s="787">
        <v>1.01</v>
      </c>
      <c r="F8490" s="788">
        <v>41813</v>
      </c>
      <c r="G8490" s="788">
        <v>41813</v>
      </c>
      <c r="H8490" s="787">
        <v>1</v>
      </c>
      <c r="I8490" s="788">
        <v>41823</v>
      </c>
      <c r="J8490" s="788">
        <v>41766</v>
      </c>
      <c r="L8490" s="787">
        <v>0</v>
      </c>
      <c r="M8490" s="787">
        <v>10</v>
      </c>
      <c r="N8490" s="787">
        <v>4.6900000000000004</v>
      </c>
      <c r="O8490" s="788">
        <v>42128</v>
      </c>
    </row>
    <row r="8491" spans="1:15" x14ac:dyDescent="0.25">
      <c r="A8491" s="786" t="s">
        <v>15257</v>
      </c>
      <c r="B8491" s="787">
        <v>4</v>
      </c>
      <c r="C8491" s="787" t="s">
        <v>15258</v>
      </c>
      <c r="D8491" s="787">
        <v>0</v>
      </c>
      <c r="E8491" s="787">
        <v>0</v>
      </c>
      <c r="H8491" s="787">
        <v>1</v>
      </c>
      <c r="I8491" s="788">
        <v>41823</v>
      </c>
      <c r="L8491" s="787">
        <v>0</v>
      </c>
      <c r="M8491" s="787">
        <v>10</v>
      </c>
      <c r="N8491" s="787">
        <v>4.47</v>
      </c>
      <c r="O8491" s="788">
        <v>42128</v>
      </c>
    </row>
    <row r="8492" spans="1:15" x14ac:dyDescent="0.25">
      <c r="A8492" s="786" t="s">
        <v>15259</v>
      </c>
      <c r="B8492" s="787">
        <v>4</v>
      </c>
      <c r="C8492" s="787" t="s">
        <v>15260</v>
      </c>
      <c r="D8492" s="787">
        <v>4.93</v>
      </c>
      <c r="E8492" s="787">
        <v>4.93</v>
      </c>
      <c r="F8492" s="788">
        <v>41806</v>
      </c>
      <c r="G8492" s="788">
        <v>41824</v>
      </c>
      <c r="H8492" s="787">
        <v>1</v>
      </c>
      <c r="I8492" s="788">
        <v>41823</v>
      </c>
      <c r="J8492" s="788">
        <v>41795</v>
      </c>
      <c r="L8492" s="787">
        <v>0</v>
      </c>
      <c r="M8492" s="787">
        <v>10</v>
      </c>
      <c r="N8492" s="787">
        <v>4.46</v>
      </c>
      <c r="O8492" s="788">
        <v>42128</v>
      </c>
    </row>
    <row r="8493" spans="1:15" x14ac:dyDescent="0.25">
      <c r="A8493" s="786" t="s">
        <v>15261</v>
      </c>
      <c r="B8493" s="787">
        <v>4</v>
      </c>
      <c r="C8493" s="787" t="s">
        <v>15262</v>
      </c>
      <c r="D8493" s="787">
        <v>9.6199999999999992</v>
      </c>
      <c r="E8493" s="787">
        <v>9.6199999999999992</v>
      </c>
      <c r="F8493" s="788">
        <v>41824</v>
      </c>
      <c r="G8493" s="788">
        <v>41824</v>
      </c>
      <c r="H8493" s="787">
        <v>1</v>
      </c>
      <c r="I8493" s="788">
        <v>41823</v>
      </c>
      <c r="J8493" s="788">
        <v>41795</v>
      </c>
      <c r="L8493" s="787">
        <v>0</v>
      </c>
      <c r="M8493" s="787">
        <v>10</v>
      </c>
      <c r="N8493" s="787">
        <v>3.28</v>
      </c>
      <c r="O8493" s="788">
        <v>42128</v>
      </c>
    </row>
    <row r="8494" spans="1:15" x14ac:dyDescent="0.25">
      <c r="A8494" s="786" t="s">
        <v>15263</v>
      </c>
      <c r="B8494" s="787">
        <v>4</v>
      </c>
      <c r="C8494" s="787" t="s">
        <v>15264</v>
      </c>
      <c r="D8494" s="787">
        <v>0</v>
      </c>
      <c r="E8494" s="787">
        <v>0</v>
      </c>
      <c r="H8494" s="787">
        <v>1</v>
      </c>
      <c r="I8494" s="788">
        <v>41823</v>
      </c>
      <c r="L8494" s="787">
        <v>0</v>
      </c>
      <c r="M8494" s="787">
        <v>10</v>
      </c>
      <c r="N8494" s="787">
        <v>2.61</v>
      </c>
      <c r="O8494" s="788">
        <v>41858</v>
      </c>
    </row>
    <row r="8495" spans="1:15" x14ac:dyDescent="0.25">
      <c r="A8495" s="786" t="s">
        <v>15265</v>
      </c>
      <c r="B8495" s="787">
        <v>4</v>
      </c>
      <c r="C8495" s="787" t="s">
        <v>15266</v>
      </c>
      <c r="D8495" s="787">
        <v>0</v>
      </c>
      <c r="E8495" s="787">
        <v>0</v>
      </c>
      <c r="H8495" s="787">
        <v>1</v>
      </c>
      <c r="I8495" s="788">
        <v>41823</v>
      </c>
      <c r="L8495" s="787">
        <v>0</v>
      </c>
      <c r="M8495" s="787">
        <v>10</v>
      </c>
      <c r="N8495" s="787">
        <v>2.61</v>
      </c>
      <c r="O8495" s="788">
        <v>41858</v>
      </c>
    </row>
    <row r="8496" spans="1:15" x14ac:dyDescent="0.25">
      <c r="A8496" s="786" t="s">
        <v>15267</v>
      </c>
      <c r="B8496" s="787">
        <v>4</v>
      </c>
      <c r="C8496" s="787" t="s">
        <v>15268</v>
      </c>
      <c r="D8496" s="787">
        <v>0</v>
      </c>
      <c r="E8496" s="787">
        <v>0</v>
      </c>
      <c r="H8496" s="787">
        <v>1</v>
      </c>
      <c r="I8496" s="788">
        <v>41823</v>
      </c>
      <c r="L8496" s="787">
        <v>0</v>
      </c>
      <c r="M8496" s="787">
        <v>10</v>
      </c>
      <c r="N8496" s="787">
        <v>2.61</v>
      </c>
      <c r="O8496" s="788">
        <v>42128</v>
      </c>
    </row>
    <row r="8497" spans="1:15" x14ac:dyDescent="0.25">
      <c r="A8497" s="786" t="s">
        <v>15269</v>
      </c>
      <c r="B8497" s="787">
        <v>4</v>
      </c>
      <c r="C8497" s="787" t="s">
        <v>15270</v>
      </c>
      <c r="D8497" s="787">
        <v>5.2</v>
      </c>
      <c r="E8497" s="787">
        <v>5.2</v>
      </c>
      <c r="F8497" s="788">
        <v>41813</v>
      </c>
      <c r="G8497" s="788">
        <v>41813</v>
      </c>
      <c r="H8497" s="787">
        <v>1</v>
      </c>
      <c r="I8497" s="788">
        <v>41823</v>
      </c>
      <c r="J8497" s="788">
        <v>41752</v>
      </c>
      <c r="L8497" s="787">
        <v>0</v>
      </c>
      <c r="M8497" s="787">
        <v>10</v>
      </c>
      <c r="N8497" s="787">
        <v>4.83</v>
      </c>
      <c r="O8497" s="788">
        <v>42128</v>
      </c>
    </row>
    <row r="8498" spans="1:15" x14ac:dyDescent="0.25">
      <c r="A8498" s="786" t="s">
        <v>15271</v>
      </c>
      <c r="B8498" s="787">
        <v>4</v>
      </c>
      <c r="C8498" s="787" t="s">
        <v>15272</v>
      </c>
      <c r="D8498" s="787">
        <v>4.25</v>
      </c>
      <c r="E8498" s="787">
        <v>4.25</v>
      </c>
      <c r="F8498" s="788">
        <v>41813</v>
      </c>
      <c r="G8498" s="788">
        <v>41813</v>
      </c>
      <c r="H8498" s="787">
        <v>1</v>
      </c>
      <c r="I8498" s="788">
        <v>41823</v>
      </c>
      <c r="J8498" s="788">
        <v>41752</v>
      </c>
      <c r="L8498" s="787">
        <v>0</v>
      </c>
      <c r="M8498" s="787">
        <v>10</v>
      </c>
      <c r="N8498" s="787">
        <v>4.83</v>
      </c>
      <c r="O8498" s="788">
        <v>42128</v>
      </c>
    </row>
    <row r="8499" spans="1:15" x14ac:dyDescent="0.25">
      <c r="A8499" s="786" t="s">
        <v>15273</v>
      </c>
      <c r="B8499" s="787">
        <v>4</v>
      </c>
      <c r="C8499" s="787" t="s">
        <v>15274</v>
      </c>
      <c r="D8499" s="787">
        <v>0</v>
      </c>
      <c r="E8499" s="787">
        <v>0</v>
      </c>
      <c r="H8499" s="787">
        <v>1</v>
      </c>
      <c r="I8499" s="788">
        <v>41820</v>
      </c>
      <c r="L8499" s="787">
        <v>0</v>
      </c>
      <c r="M8499" s="787">
        <v>10</v>
      </c>
      <c r="N8499" s="787">
        <v>4.8600000000000003</v>
      </c>
      <c r="O8499" s="788">
        <v>42128</v>
      </c>
    </row>
    <row r="8500" spans="1:15" x14ac:dyDescent="0.25">
      <c r="A8500" s="786" t="s">
        <v>15275</v>
      </c>
      <c r="B8500" s="787">
        <v>4</v>
      </c>
      <c r="C8500" s="787" t="s">
        <v>15276</v>
      </c>
      <c r="D8500" s="787">
        <v>0</v>
      </c>
      <c r="E8500" s="787">
        <v>0</v>
      </c>
      <c r="H8500" s="787">
        <v>1</v>
      </c>
      <c r="I8500" s="788">
        <v>41820</v>
      </c>
      <c r="L8500" s="787">
        <v>0</v>
      </c>
      <c r="M8500" s="787">
        <v>10</v>
      </c>
      <c r="N8500" s="787">
        <v>4.8600000000000003</v>
      </c>
      <c r="O8500" s="788">
        <v>42128</v>
      </c>
    </row>
    <row r="8501" spans="1:15" x14ac:dyDescent="0.25">
      <c r="A8501" s="786" t="s">
        <v>15277</v>
      </c>
      <c r="B8501" s="787">
        <v>4</v>
      </c>
      <c r="C8501" s="787" t="s">
        <v>15278</v>
      </c>
      <c r="D8501" s="787">
        <v>0</v>
      </c>
      <c r="E8501" s="787">
        <v>0</v>
      </c>
      <c r="H8501" s="787">
        <v>1</v>
      </c>
      <c r="I8501" s="788">
        <v>41820</v>
      </c>
      <c r="L8501" s="787">
        <v>0</v>
      </c>
      <c r="M8501" s="787">
        <v>10</v>
      </c>
      <c r="N8501" s="787">
        <v>4.8600000000000003</v>
      </c>
      <c r="O8501" s="788">
        <v>42128</v>
      </c>
    </row>
    <row r="8502" spans="1:15" x14ac:dyDescent="0.25">
      <c r="A8502" s="786" t="s">
        <v>15279</v>
      </c>
      <c r="B8502" s="787">
        <v>4</v>
      </c>
      <c r="C8502" s="787" t="s">
        <v>15280</v>
      </c>
      <c r="D8502" s="787">
        <v>0</v>
      </c>
      <c r="E8502" s="787">
        <v>0</v>
      </c>
      <c r="H8502" s="787">
        <v>1</v>
      </c>
      <c r="I8502" s="788">
        <v>41820</v>
      </c>
      <c r="L8502" s="787">
        <v>0</v>
      </c>
      <c r="M8502" s="787">
        <v>10</v>
      </c>
      <c r="N8502" s="787">
        <v>4.8600000000000003</v>
      </c>
      <c r="O8502" s="788">
        <v>42128</v>
      </c>
    </row>
    <row r="8503" spans="1:15" x14ac:dyDescent="0.25">
      <c r="A8503" s="786" t="s">
        <v>15281</v>
      </c>
      <c r="B8503" s="787">
        <v>4</v>
      </c>
      <c r="C8503" s="787" t="s">
        <v>15282</v>
      </c>
      <c r="D8503" s="787">
        <v>0</v>
      </c>
      <c r="E8503" s="787">
        <v>0</v>
      </c>
      <c r="H8503" s="787">
        <v>1</v>
      </c>
      <c r="I8503" s="788">
        <v>41780</v>
      </c>
      <c r="L8503" s="787">
        <v>0</v>
      </c>
      <c r="M8503" s="787">
        <v>10</v>
      </c>
      <c r="N8503" s="787">
        <v>5.58</v>
      </c>
      <c r="O8503" s="788">
        <v>42128</v>
      </c>
    </row>
    <row r="8504" spans="1:15" x14ac:dyDescent="0.25">
      <c r="A8504" s="786" t="s">
        <v>15283</v>
      </c>
      <c r="B8504" s="787">
        <v>4</v>
      </c>
      <c r="C8504" s="787" t="s">
        <v>15284</v>
      </c>
      <c r="D8504" s="787">
        <v>0</v>
      </c>
      <c r="E8504" s="787">
        <v>0</v>
      </c>
      <c r="H8504" s="787">
        <v>1</v>
      </c>
      <c r="I8504" s="788">
        <v>41820</v>
      </c>
      <c r="L8504" s="787">
        <v>0</v>
      </c>
      <c r="M8504" s="787">
        <v>10</v>
      </c>
      <c r="N8504" s="787">
        <v>5.58</v>
      </c>
      <c r="O8504" s="788">
        <v>41858</v>
      </c>
    </row>
    <row r="8505" spans="1:15" x14ac:dyDescent="0.25">
      <c r="A8505" s="786" t="s">
        <v>15285</v>
      </c>
      <c r="B8505" s="787">
        <v>4</v>
      </c>
      <c r="C8505" s="787" t="s">
        <v>15286</v>
      </c>
      <c r="D8505" s="787">
        <v>0</v>
      </c>
      <c r="E8505" s="787">
        <v>0</v>
      </c>
      <c r="H8505" s="787">
        <v>1</v>
      </c>
      <c r="I8505" s="788">
        <v>41820</v>
      </c>
      <c r="L8505" s="787">
        <v>0</v>
      </c>
      <c r="M8505" s="787">
        <v>10</v>
      </c>
      <c r="N8505" s="787">
        <v>5.58</v>
      </c>
      <c r="O8505" s="788">
        <v>41858</v>
      </c>
    </row>
    <row r="8506" spans="1:15" x14ac:dyDescent="0.25">
      <c r="A8506" s="786" t="s">
        <v>15287</v>
      </c>
      <c r="B8506" s="787">
        <v>4</v>
      </c>
      <c r="C8506" s="787" t="s">
        <v>15288</v>
      </c>
      <c r="D8506" s="787">
        <v>0</v>
      </c>
      <c r="E8506" s="787">
        <v>0</v>
      </c>
      <c r="H8506" s="787">
        <v>1</v>
      </c>
      <c r="I8506" s="788">
        <v>41780</v>
      </c>
      <c r="L8506" s="787">
        <v>0</v>
      </c>
      <c r="M8506" s="787">
        <v>10</v>
      </c>
      <c r="N8506" s="787">
        <v>5.74</v>
      </c>
      <c r="O8506" s="788">
        <v>42128</v>
      </c>
    </row>
    <row r="8507" spans="1:15" x14ac:dyDescent="0.25">
      <c r="A8507" s="786" t="s">
        <v>15289</v>
      </c>
      <c r="B8507" s="787">
        <v>4</v>
      </c>
      <c r="C8507" s="787" t="s">
        <v>15290</v>
      </c>
      <c r="D8507" s="787">
        <v>0</v>
      </c>
      <c r="E8507" s="787">
        <v>0</v>
      </c>
      <c r="H8507" s="787">
        <v>1</v>
      </c>
      <c r="I8507" s="788">
        <v>41820</v>
      </c>
      <c r="L8507" s="787">
        <v>0</v>
      </c>
      <c r="M8507" s="787">
        <v>10</v>
      </c>
      <c r="N8507" s="787">
        <v>5.74</v>
      </c>
      <c r="O8507" s="788">
        <v>41858</v>
      </c>
    </row>
    <row r="8508" spans="1:15" x14ac:dyDescent="0.25">
      <c r="A8508" s="786" t="s">
        <v>15291</v>
      </c>
      <c r="B8508" s="787">
        <v>4</v>
      </c>
      <c r="C8508" s="787" t="s">
        <v>15292</v>
      </c>
      <c r="D8508" s="787">
        <v>0</v>
      </c>
      <c r="E8508" s="787">
        <v>0</v>
      </c>
      <c r="H8508" s="787">
        <v>1</v>
      </c>
      <c r="I8508" s="788">
        <v>41820</v>
      </c>
      <c r="L8508" s="787">
        <v>0</v>
      </c>
      <c r="M8508" s="787">
        <v>10</v>
      </c>
      <c r="N8508" s="787">
        <v>5.74</v>
      </c>
      <c r="O8508" s="788">
        <v>41858</v>
      </c>
    </row>
    <row r="8509" spans="1:15" x14ac:dyDescent="0.25">
      <c r="A8509" s="786" t="s">
        <v>15293</v>
      </c>
      <c r="B8509" s="787">
        <v>4</v>
      </c>
      <c r="C8509" s="787" t="s">
        <v>15294</v>
      </c>
      <c r="D8509" s="787">
        <v>0</v>
      </c>
      <c r="E8509" s="787">
        <v>0</v>
      </c>
      <c r="H8509" s="787">
        <v>1</v>
      </c>
      <c r="I8509" s="788">
        <v>41809</v>
      </c>
      <c r="L8509" s="787">
        <v>0</v>
      </c>
      <c r="M8509" s="787">
        <v>10</v>
      </c>
      <c r="N8509" s="787">
        <v>2.62</v>
      </c>
      <c r="O8509" s="788">
        <v>42128</v>
      </c>
    </row>
    <row r="8510" spans="1:15" x14ac:dyDescent="0.25">
      <c r="A8510" s="786" t="s">
        <v>15295</v>
      </c>
      <c r="B8510" s="787">
        <v>4</v>
      </c>
      <c r="C8510" s="787" t="s">
        <v>15296</v>
      </c>
      <c r="D8510" s="787">
        <v>0</v>
      </c>
      <c r="E8510" s="787">
        <v>0</v>
      </c>
      <c r="H8510" s="787">
        <v>1</v>
      </c>
      <c r="I8510" s="788">
        <v>41823</v>
      </c>
      <c r="L8510" s="787">
        <v>0</v>
      </c>
      <c r="M8510" s="787">
        <v>10</v>
      </c>
      <c r="N8510" s="787">
        <v>2.62</v>
      </c>
      <c r="O8510" s="788">
        <v>41858</v>
      </c>
    </row>
    <row r="8511" spans="1:15" x14ac:dyDescent="0.25">
      <c r="A8511" s="786" t="s">
        <v>15297</v>
      </c>
      <c r="B8511" s="787">
        <v>4</v>
      </c>
      <c r="C8511" s="787" t="s">
        <v>15298</v>
      </c>
      <c r="D8511" s="787">
        <v>0</v>
      </c>
      <c r="E8511" s="787">
        <v>0</v>
      </c>
      <c r="H8511" s="787">
        <v>1</v>
      </c>
      <c r="I8511" s="788">
        <v>41823</v>
      </c>
      <c r="L8511" s="787">
        <v>0</v>
      </c>
      <c r="M8511" s="787">
        <v>10</v>
      </c>
      <c r="N8511" s="787">
        <v>2.62</v>
      </c>
      <c r="O8511" s="788">
        <v>41858</v>
      </c>
    </row>
    <row r="8512" spans="1:15" x14ac:dyDescent="0.25">
      <c r="A8512" s="786" t="s">
        <v>15299</v>
      </c>
      <c r="B8512" s="787">
        <v>4</v>
      </c>
      <c r="C8512" s="787" t="s">
        <v>15300</v>
      </c>
      <c r="D8512" s="787">
        <v>0</v>
      </c>
      <c r="E8512" s="787">
        <v>0</v>
      </c>
      <c r="H8512" s="787">
        <v>1</v>
      </c>
      <c r="I8512" s="788">
        <v>41820</v>
      </c>
      <c r="L8512" s="787">
        <v>0</v>
      </c>
      <c r="M8512" s="787">
        <v>10</v>
      </c>
      <c r="N8512" s="787">
        <v>9.3800000000000008</v>
      </c>
      <c r="O8512" s="788">
        <v>42128</v>
      </c>
    </row>
    <row r="8513" spans="1:15" x14ac:dyDescent="0.25">
      <c r="A8513" s="786" t="s">
        <v>15301</v>
      </c>
      <c r="B8513" s="787">
        <v>4</v>
      </c>
      <c r="C8513" s="787" t="s">
        <v>15302</v>
      </c>
      <c r="D8513" s="787">
        <v>0</v>
      </c>
      <c r="E8513" s="787">
        <v>0</v>
      </c>
      <c r="H8513" s="787">
        <v>1</v>
      </c>
      <c r="I8513" s="788">
        <v>41820</v>
      </c>
      <c r="L8513" s="787">
        <v>0</v>
      </c>
      <c r="M8513" s="787">
        <v>10</v>
      </c>
      <c r="N8513" s="787">
        <v>9.3800000000000008</v>
      </c>
      <c r="O8513" s="788">
        <v>42128</v>
      </c>
    </row>
    <row r="8514" spans="1:15" x14ac:dyDescent="0.25">
      <c r="A8514" s="786" t="s">
        <v>15303</v>
      </c>
      <c r="B8514" s="787">
        <v>4</v>
      </c>
      <c r="C8514" s="787" t="s">
        <v>15304</v>
      </c>
      <c r="D8514" s="787">
        <v>0</v>
      </c>
      <c r="E8514" s="787">
        <v>0</v>
      </c>
      <c r="H8514" s="787">
        <v>1</v>
      </c>
      <c r="L8514" s="787">
        <v>0</v>
      </c>
      <c r="M8514" s="787">
        <v>10</v>
      </c>
      <c r="N8514" s="787">
        <v>17.84</v>
      </c>
      <c r="O8514" s="788">
        <v>41955</v>
      </c>
    </row>
    <row r="8515" spans="1:15" x14ac:dyDescent="0.25">
      <c r="A8515" s="786" t="s">
        <v>15305</v>
      </c>
      <c r="B8515" s="787">
        <v>4</v>
      </c>
      <c r="C8515" s="787" t="s">
        <v>15306</v>
      </c>
      <c r="D8515" s="787">
        <v>0</v>
      </c>
      <c r="E8515" s="787">
        <v>0</v>
      </c>
      <c r="H8515" s="787">
        <v>1</v>
      </c>
      <c r="L8515" s="787">
        <v>0</v>
      </c>
      <c r="M8515" s="787">
        <v>10</v>
      </c>
      <c r="N8515" s="787">
        <v>17.84</v>
      </c>
      <c r="O8515" s="788">
        <v>41955</v>
      </c>
    </row>
    <row r="8516" spans="1:15" x14ac:dyDescent="0.25">
      <c r="A8516" s="786" t="s">
        <v>15307</v>
      </c>
      <c r="B8516" s="787">
        <v>4</v>
      </c>
      <c r="C8516" s="787" t="s">
        <v>15308</v>
      </c>
      <c r="D8516" s="787">
        <v>0</v>
      </c>
      <c r="E8516" s="787">
        <v>0</v>
      </c>
      <c r="H8516" s="787">
        <v>1</v>
      </c>
      <c r="I8516" s="788">
        <v>41471</v>
      </c>
      <c r="L8516" s="787">
        <v>0</v>
      </c>
      <c r="M8516" s="787">
        <v>10</v>
      </c>
      <c r="N8516" s="787">
        <v>12.21</v>
      </c>
      <c r="O8516" s="788">
        <v>41858</v>
      </c>
    </row>
    <row r="8517" spans="1:15" x14ac:dyDescent="0.25">
      <c r="A8517" s="786" t="s">
        <v>15309</v>
      </c>
      <c r="B8517" s="787">
        <v>4</v>
      </c>
      <c r="C8517" s="787" t="s">
        <v>15310</v>
      </c>
      <c r="D8517" s="787">
        <v>0</v>
      </c>
      <c r="E8517" s="787">
        <v>0</v>
      </c>
      <c r="H8517" s="787">
        <v>1</v>
      </c>
      <c r="I8517" s="788">
        <v>41471</v>
      </c>
      <c r="L8517" s="787">
        <v>0</v>
      </c>
      <c r="M8517" s="787">
        <v>10</v>
      </c>
      <c r="N8517" s="787">
        <v>12.21</v>
      </c>
      <c r="O8517" s="788">
        <v>41858</v>
      </c>
    </row>
    <row r="8518" spans="1:15" x14ac:dyDescent="0.25">
      <c r="A8518" s="786" t="s">
        <v>15311</v>
      </c>
      <c r="B8518" s="787">
        <v>4</v>
      </c>
      <c r="C8518" s="787" t="s">
        <v>15312</v>
      </c>
      <c r="D8518" s="787">
        <v>0</v>
      </c>
      <c r="E8518" s="787">
        <v>0</v>
      </c>
      <c r="H8518" s="787">
        <v>1</v>
      </c>
      <c r="I8518" s="788">
        <v>41418</v>
      </c>
      <c r="L8518" s="787">
        <v>0</v>
      </c>
      <c r="M8518" s="787">
        <v>10</v>
      </c>
      <c r="N8518" s="787">
        <v>40.67</v>
      </c>
      <c r="O8518" s="788">
        <v>41858</v>
      </c>
    </row>
    <row r="8519" spans="1:15" x14ac:dyDescent="0.25">
      <c r="A8519" s="786" t="s">
        <v>15313</v>
      </c>
      <c r="B8519" s="787">
        <v>4</v>
      </c>
      <c r="C8519" s="787" t="s">
        <v>15314</v>
      </c>
      <c r="D8519" s="787">
        <v>0</v>
      </c>
      <c r="E8519" s="787">
        <v>0</v>
      </c>
      <c r="H8519" s="787">
        <v>1</v>
      </c>
      <c r="I8519" s="788">
        <v>41402</v>
      </c>
      <c r="L8519" s="787">
        <v>0</v>
      </c>
      <c r="M8519" s="787">
        <v>10</v>
      </c>
      <c r="N8519" s="787">
        <v>35.700000000000003</v>
      </c>
      <c r="O8519" s="788">
        <v>41858</v>
      </c>
    </row>
    <row r="8520" spans="1:15" x14ac:dyDescent="0.25">
      <c r="A8520" s="786" t="s">
        <v>15315</v>
      </c>
      <c r="B8520" s="787">
        <v>4</v>
      </c>
      <c r="C8520" s="787" t="s">
        <v>15316</v>
      </c>
      <c r="D8520" s="787">
        <v>0</v>
      </c>
      <c r="E8520" s="787">
        <v>0</v>
      </c>
      <c r="H8520" s="787">
        <v>1</v>
      </c>
      <c r="I8520" s="788">
        <v>41402</v>
      </c>
      <c r="L8520" s="787">
        <v>0</v>
      </c>
      <c r="M8520" s="787">
        <v>10</v>
      </c>
      <c r="N8520" s="787">
        <v>35.700000000000003</v>
      </c>
      <c r="O8520" s="788">
        <v>41858</v>
      </c>
    </row>
    <row r="8521" spans="1:15" x14ac:dyDescent="0.25">
      <c r="A8521" s="786" t="s">
        <v>15317</v>
      </c>
      <c r="B8521" s="787">
        <v>4</v>
      </c>
      <c r="C8521" s="787" t="s">
        <v>15318</v>
      </c>
      <c r="D8521" s="787">
        <v>0</v>
      </c>
      <c r="E8521" s="787">
        <v>0</v>
      </c>
      <c r="H8521" s="787">
        <v>1</v>
      </c>
      <c r="I8521" s="788">
        <v>41418</v>
      </c>
      <c r="L8521" s="787">
        <v>0</v>
      </c>
      <c r="M8521" s="787">
        <v>10</v>
      </c>
      <c r="N8521" s="787">
        <v>30.67</v>
      </c>
      <c r="O8521" s="788">
        <v>41858</v>
      </c>
    </row>
    <row r="8522" spans="1:15" x14ac:dyDescent="0.25">
      <c r="A8522" s="786" t="s">
        <v>15319</v>
      </c>
      <c r="B8522" s="787">
        <v>4</v>
      </c>
      <c r="C8522" s="787" t="s">
        <v>15320</v>
      </c>
      <c r="D8522" s="787">
        <v>0</v>
      </c>
      <c r="E8522" s="787">
        <v>0</v>
      </c>
      <c r="H8522" s="787">
        <v>1</v>
      </c>
      <c r="I8522" s="788">
        <v>41418</v>
      </c>
      <c r="L8522" s="787">
        <v>0</v>
      </c>
      <c r="M8522" s="787">
        <v>10</v>
      </c>
      <c r="N8522" s="787">
        <v>30.67</v>
      </c>
      <c r="O8522" s="788">
        <v>41858</v>
      </c>
    </row>
    <row r="8523" spans="1:15" x14ac:dyDescent="0.25">
      <c r="A8523" s="786" t="s">
        <v>15321</v>
      </c>
      <c r="B8523" s="787">
        <v>4</v>
      </c>
      <c r="C8523" s="787" t="s">
        <v>15322</v>
      </c>
      <c r="D8523" s="787">
        <v>0</v>
      </c>
      <c r="E8523" s="787">
        <v>0</v>
      </c>
      <c r="H8523" s="787">
        <v>1</v>
      </c>
      <c r="I8523" s="788">
        <v>41780</v>
      </c>
      <c r="K8523" s="788">
        <v>41751</v>
      </c>
      <c r="L8523" s="787">
        <v>16</v>
      </c>
      <c r="M8523" s="787">
        <v>10</v>
      </c>
      <c r="N8523" s="787">
        <v>14.92</v>
      </c>
      <c r="O8523" s="788">
        <v>42128</v>
      </c>
    </row>
    <row r="8524" spans="1:15" x14ac:dyDescent="0.25">
      <c r="A8524" s="786" t="s">
        <v>15323</v>
      </c>
      <c r="B8524" s="787">
        <v>4</v>
      </c>
      <c r="C8524" s="787" t="s">
        <v>15324</v>
      </c>
      <c r="D8524" s="787">
        <v>0</v>
      </c>
      <c r="E8524" s="787">
        <v>0</v>
      </c>
      <c r="H8524" s="787">
        <v>1</v>
      </c>
      <c r="I8524" s="788">
        <v>41820</v>
      </c>
      <c r="L8524" s="787">
        <v>0</v>
      </c>
      <c r="M8524" s="787">
        <v>10</v>
      </c>
      <c r="N8524" s="787">
        <v>14.92</v>
      </c>
      <c r="O8524" s="788">
        <v>41858</v>
      </c>
    </row>
    <row r="8525" spans="1:15" x14ac:dyDescent="0.25">
      <c r="A8525" s="786" t="s">
        <v>15325</v>
      </c>
      <c r="B8525" s="787">
        <v>4</v>
      </c>
      <c r="C8525" s="787" t="s">
        <v>15326</v>
      </c>
      <c r="D8525" s="787">
        <v>0</v>
      </c>
      <c r="E8525" s="787">
        <v>0</v>
      </c>
      <c r="H8525" s="787">
        <v>1</v>
      </c>
      <c r="I8525" s="788">
        <v>41820</v>
      </c>
      <c r="L8525" s="787">
        <v>0</v>
      </c>
      <c r="M8525" s="787">
        <v>10</v>
      </c>
      <c r="N8525" s="787">
        <v>14.92</v>
      </c>
      <c r="O8525" s="788">
        <v>41858</v>
      </c>
    </row>
    <row r="8526" spans="1:15" x14ac:dyDescent="0.25">
      <c r="A8526" s="786" t="s">
        <v>15327</v>
      </c>
      <c r="B8526" s="787">
        <v>4</v>
      </c>
      <c r="C8526" s="787" t="s">
        <v>15328</v>
      </c>
      <c r="D8526" s="787">
        <v>0</v>
      </c>
      <c r="E8526" s="787">
        <v>0</v>
      </c>
      <c r="H8526" s="787">
        <v>1</v>
      </c>
      <c r="K8526" s="788">
        <v>42038</v>
      </c>
      <c r="L8526" s="787">
        <v>0.01</v>
      </c>
      <c r="M8526" s="787">
        <v>10</v>
      </c>
      <c r="N8526" s="787">
        <v>0</v>
      </c>
      <c r="O8526" s="788">
        <v>40824</v>
      </c>
    </row>
    <row r="8527" spans="1:15" x14ac:dyDescent="0.25">
      <c r="A8527" s="786" t="s">
        <v>15329</v>
      </c>
      <c r="B8527" s="787">
        <v>4</v>
      </c>
      <c r="C8527" s="787" t="s">
        <v>15330</v>
      </c>
      <c r="D8527" s="787">
        <v>0</v>
      </c>
      <c r="E8527" s="787">
        <v>0</v>
      </c>
      <c r="H8527" s="787">
        <v>5</v>
      </c>
      <c r="K8527" s="788">
        <v>41626</v>
      </c>
      <c r="L8527" s="787">
        <v>38.71</v>
      </c>
      <c r="M8527" s="787">
        <v>10</v>
      </c>
      <c r="N8527" s="787">
        <v>38.19</v>
      </c>
      <c r="O8527" s="788">
        <v>42146</v>
      </c>
    </row>
    <row r="8528" spans="1:15" x14ac:dyDescent="0.25">
      <c r="A8528" s="786" t="s">
        <v>15331</v>
      </c>
      <c r="B8528" s="787">
        <v>4</v>
      </c>
      <c r="C8528" s="787" t="s">
        <v>15332</v>
      </c>
      <c r="D8528" s="787">
        <v>0</v>
      </c>
      <c r="E8528" s="787">
        <v>0</v>
      </c>
      <c r="H8528" s="787">
        <v>5</v>
      </c>
      <c r="K8528" s="788">
        <v>41626</v>
      </c>
      <c r="L8528" s="787">
        <v>38.71</v>
      </c>
      <c r="M8528" s="787">
        <v>10</v>
      </c>
      <c r="N8528" s="787">
        <v>38.19</v>
      </c>
      <c r="O8528" s="788">
        <v>42146</v>
      </c>
    </row>
    <row r="8529" spans="1:15" x14ac:dyDescent="0.25">
      <c r="A8529" s="786" t="s">
        <v>15333</v>
      </c>
      <c r="B8529" s="787">
        <v>4</v>
      </c>
      <c r="C8529" s="787" t="s">
        <v>15334</v>
      </c>
      <c r="D8529" s="787">
        <v>0</v>
      </c>
      <c r="E8529" s="787">
        <v>0</v>
      </c>
      <c r="H8529" s="787">
        <v>6</v>
      </c>
      <c r="K8529" s="788">
        <v>41626</v>
      </c>
      <c r="L8529" s="787">
        <v>31.91</v>
      </c>
      <c r="M8529" s="787">
        <v>10</v>
      </c>
      <c r="N8529" s="787">
        <v>31.83</v>
      </c>
      <c r="O8529" s="788">
        <v>41810</v>
      </c>
    </row>
    <row r="8530" spans="1:15" x14ac:dyDescent="0.25">
      <c r="A8530" s="786" t="s">
        <v>15335</v>
      </c>
      <c r="B8530" s="787">
        <v>4</v>
      </c>
      <c r="C8530" s="787" t="s">
        <v>15336</v>
      </c>
      <c r="D8530" s="787">
        <v>0</v>
      </c>
      <c r="E8530" s="787">
        <v>0</v>
      </c>
      <c r="H8530" s="787">
        <v>6</v>
      </c>
      <c r="K8530" s="788">
        <v>41626</v>
      </c>
      <c r="L8530" s="787">
        <v>27.03</v>
      </c>
      <c r="M8530" s="787">
        <v>10</v>
      </c>
      <c r="N8530" s="787">
        <v>0</v>
      </c>
      <c r="O8530" s="788">
        <v>41810</v>
      </c>
    </row>
    <row r="8531" spans="1:15" x14ac:dyDescent="0.25">
      <c r="A8531" s="786" t="s">
        <v>15337</v>
      </c>
      <c r="B8531" s="787">
        <v>4</v>
      </c>
      <c r="C8531" s="787" t="s">
        <v>15338</v>
      </c>
      <c r="D8531" s="787">
        <v>0</v>
      </c>
      <c r="E8531" s="787">
        <v>0</v>
      </c>
      <c r="H8531" s="787">
        <v>6</v>
      </c>
      <c r="K8531" s="788">
        <v>41626</v>
      </c>
      <c r="L8531" s="787">
        <v>31.81</v>
      </c>
      <c r="M8531" s="787">
        <v>10</v>
      </c>
      <c r="N8531" s="787">
        <v>31.74</v>
      </c>
      <c r="O8531" s="788">
        <v>41810</v>
      </c>
    </row>
    <row r="8532" spans="1:15" x14ac:dyDescent="0.25">
      <c r="A8532" s="786" t="s">
        <v>15339</v>
      </c>
      <c r="B8532" s="787">
        <v>4</v>
      </c>
      <c r="C8532" s="787" t="s">
        <v>15340</v>
      </c>
      <c r="D8532" s="787">
        <v>0</v>
      </c>
      <c r="E8532" s="787">
        <v>0</v>
      </c>
      <c r="H8532" s="787">
        <v>6</v>
      </c>
      <c r="K8532" s="788">
        <v>41626</v>
      </c>
      <c r="L8532" s="787">
        <v>35.04</v>
      </c>
      <c r="M8532" s="787">
        <v>10</v>
      </c>
      <c r="N8532" s="787">
        <v>34.92</v>
      </c>
      <c r="O8532" s="788">
        <v>41810</v>
      </c>
    </row>
    <row r="8533" spans="1:15" x14ac:dyDescent="0.25">
      <c r="A8533" s="786" t="s">
        <v>15341</v>
      </c>
      <c r="B8533" s="787">
        <v>4</v>
      </c>
      <c r="C8533" s="787" t="s">
        <v>15342</v>
      </c>
      <c r="D8533" s="787">
        <v>0</v>
      </c>
      <c r="E8533" s="787">
        <v>0</v>
      </c>
      <c r="H8533" s="787">
        <v>6</v>
      </c>
      <c r="K8533" s="788">
        <v>41626</v>
      </c>
      <c r="L8533" s="787">
        <v>34.96</v>
      </c>
      <c r="M8533" s="787">
        <v>10</v>
      </c>
      <c r="N8533" s="787">
        <v>34.840000000000003</v>
      </c>
      <c r="O8533" s="788">
        <v>41810</v>
      </c>
    </row>
    <row r="8534" spans="1:15" x14ac:dyDescent="0.25">
      <c r="A8534" s="786" t="s">
        <v>15343</v>
      </c>
      <c r="B8534" s="787">
        <v>4</v>
      </c>
      <c r="C8534" s="787" t="s">
        <v>15344</v>
      </c>
      <c r="D8534" s="787">
        <v>0</v>
      </c>
      <c r="E8534" s="787">
        <v>0</v>
      </c>
      <c r="H8534" s="787">
        <v>6</v>
      </c>
      <c r="K8534" s="788">
        <v>41626</v>
      </c>
      <c r="L8534" s="787">
        <v>34.96</v>
      </c>
      <c r="M8534" s="787">
        <v>10</v>
      </c>
      <c r="N8534" s="787">
        <v>34.840000000000003</v>
      </c>
      <c r="O8534" s="788">
        <v>41810</v>
      </c>
    </row>
    <row r="8535" spans="1:15" x14ac:dyDescent="0.25">
      <c r="A8535" s="786" t="s">
        <v>15345</v>
      </c>
      <c r="B8535" s="787">
        <v>4</v>
      </c>
      <c r="C8535" s="787" t="s">
        <v>14667</v>
      </c>
      <c r="D8535" s="787">
        <v>0</v>
      </c>
      <c r="E8535" s="787">
        <v>0</v>
      </c>
      <c r="H8535" s="787">
        <v>1</v>
      </c>
      <c r="L8535" s="787">
        <v>0</v>
      </c>
      <c r="M8535" s="787">
        <v>10</v>
      </c>
      <c r="N8535" s="787">
        <v>55.47</v>
      </c>
      <c r="O8535" s="788">
        <v>42146</v>
      </c>
    </row>
    <row r="8536" spans="1:15" x14ac:dyDescent="0.25">
      <c r="A8536" s="786" t="s">
        <v>15346</v>
      </c>
      <c r="B8536" s="787">
        <v>4</v>
      </c>
      <c r="C8536" s="787" t="s">
        <v>14660</v>
      </c>
      <c r="D8536" s="787">
        <v>0</v>
      </c>
      <c r="E8536" s="787">
        <v>0</v>
      </c>
      <c r="H8536" s="787">
        <v>1</v>
      </c>
      <c r="L8536" s="787">
        <v>0</v>
      </c>
      <c r="M8536" s="787">
        <v>10</v>
      </c>
      <c r="N8536" s="787">
        <v>79.849999999999994</v>
      </c>
      <c r="O8536" s="788">
        <v>42146</v>
      </c>
    </row>
    <row r="8537" spans="1:15" x14ac:dyDescent="0.25">
      <c r="A8537" s="786" t="s">
        <v>15347</v>
      </c>
      <c r="B8537" s="787">
        <v>4</v>
      </c>
      <c r="C8537" s="787" t="s">
        <v>15348</v>
      </c>
      <c r="D8537" s="787">
        <v>0</v>
      </c>
      <c r="E8537" s="787">
        <v>0</v>
      </c>
      <c r="H8537" s="787">
        <v>1</v>
      </c>
      <c r="L8537" s="787">
        <v>0</v>
      </c>
      <c r="M8537" s="787">
        <v>10</v>
      </c>
      <c r="N8537" s="787">
        <v>24.75</v>
      </c>
      <c r="O8537" s="788">
        <v>42146</v>
      </c>
    </row>
    <row r="8538" spans="1:15" x14ac:dyDescent="0.25">
      <c r="A8538" s="786" t="s">
        <v>15349</v>
      </c>
      <c r="B8538" s="787">
        <v>4</v>
      </c>
      <c r="C8538" s="787" t="s">
        <v>15350</v>
      </c>
      <c r="D8538" s="787">
        <v>0</v>
      </c>
      <c r="E8538" s="787">
        <v>0</v>
      </c>
      <c r="H8538" s="787">
        <v>1</v>
      </c>
      <c r="L8538" s="787">
        <v>0</v>
      </c>
      <c r="M8538" s="787">
        <v>10</v>
      </c>
      <c r="N8538" s="787">
        <v>19.739999999999998</v>
      </c>
      <c r="O8538" s="788">
        <v>42146</v>
      </c>
    </row>
    <row r="8539" spans="1:15" x14ac:dyDescent="0.25">
      <c r="A8539" s="786" t="s">
        <v>15351</v>
      </c>
      <c r="B8539" s="787">
        <v>4</v>
      </c>
      <c r="C8539" s="787" t="s">
        <v>15352</v>
      </c>
      <c r="D8539" s="787">
        <v>0</v>
      </c>
      <c r="E8539" s="787">
        <v>0</v>
      </c>
      <c r="H8539" s="787">
        <v>1</v>
      </c>
      <c r="K8539" s="788">
        <v>42052</v>
      </c>
      <c r="L8539" s="787">
        <v>10.57</v>
      </c>
      <c r="M8539" s="787">
        <v>10</v>
      </c>
      <c r="N8539" s="787">
        <v>10.57</v>
      </c>
      <c r="O8539" s="788">
        <v>42146</v>
      </c>
    </row>
    <row r="8540" spans="1:15" x14ac:dyDescent="0.25">
      <c r="A8540" s="786" t="s">
        <v>15353</v>
      </c>
      <c r="B8540" s="787">
        <v>4</v>
      </c>
      <c r="C8540" s="787" t="s">
        <v>15354</v>
      </c>
      <c r="D8540" s="787">
        <v>2.31</v>
      </c>
      <c r="E8540" s="787">
        <v>2.31</v>
      </c>
      <c r="F8540" s="788">
        <v>41432</v>
      </c>
      <c r="G8540" s="788">
        <v>41738</v>
      </c>
      <c r="H8540" s="787">
        <v>1</v>
      </c>
      <c r="I8540" s="788">
        <v>41726</v>
      </c>
      <c r="J8540" s="788">
        <v>41738</v>
      </c>
      <c r="K8540" s="788">
        <v>40963</v>
      </c>
      <c r="L8540" s="787">
        <v>2</v>
      </c>
      <c r="M8540" s="787">
        <v>10</v>
      </c>
      <c r="N8540" s="787">
        <v>2.2400000000000002</v>
      </c>
      <c r="O8540" s="788">
        <v>42163</v>
      </c>
    </row>
    <row r="8541" spans="1:15" x14ac:dyDescent="0.25">
      <c r="A8541" s="786" t="s">
        <v>15355</v>
      </c>
      <c r="B8541" s="787">
        <v>4</v>
      </c>
      <c r="C8541" s="787" t="s">
        <v>15356</v>
      </c>
      <c r="D8541" s="787">
        <v>8.36</v>
      </c>
      <c r="E8541" s="787">
        <v>8.36</v>
      </c>
      <c r="F8541" s="788">
        <v>41449</v>
      </c>
      <c r="G8541" s="788">
        <v>42013</v>
      </c>
      <c r="H8541" s="787">
        <v>1</v>
      </c>
      <c r="I8541" s="788">
        <v>41726</v>
      </c>
      <c r="J8541" s="788">
        <v>41407</v>
      </c>
      <c r="K8541" s="788">
        <v>40963</v>
      </c>
      <c r="L8541" s="787">
        <v>3.5</v>
      </c>
      <c r="M8541" s="787">
        <v>10</v>
      </c>
      <c r="N8541" s="787">
        <v>4.74</v>
      </c>
      <c r="O8541" s="788">
        <v>42163</v>
      </c>
    </row>
    <row r="8542" spans="1:15" x14ac:dyDescent="0.25">
      <c r="A8542" s="786" t="s">
        <v>15357</v>
      </c>
      <c r="B8542" s="787">
        <v>4</v>
      </c>
      <c r="C8542" s="787" t="s">
        <v>15358</v>
      </c>
      <c r="D8542" s="787">
        <v>0</v>
      </c>
      <c r="E8542" s="787">
        <v>0</v>
      </c>
      <c r="H8542" s="787">
        <v>1</v>
      </c>
      <c r="L8542" s="787">
        <v>0</v>
      </c>
      <c r="M8542" s="787">
        <v>10</v>
      </c>
      <c r="N8542" s="787">
        <v>3.5</v>
      </c>
      <c r="O8542" s="788">
        <v>42146</v>
      </c>
    </row>
    <row r="8543" spans="1:15" x14ac:dyDescent="0.25">
      <c r="A8543" s="786" t="s">
        <v>15359</v>
      </c>
      <c r="B8543" s="787">
        <v>4</v>
      </c>
      <c r="C8543" s="787" t="s">
        <v>15360</v>
      </c>
      <c r="D8543" s="787">
        <v>0</v>
      </c>
      <c r="E8543" s="787">
        <v>0</v>
      </c>
      <c r="H8543" s="787">
        <v>1</v>
      </c>
      <c r="L8543" s="787">
        <v>0</v>
      </c>
      <c r="M8543" s="787">
        <v>10</v>
      </c>
      <c r="N8543" s="787">
        <v>42.45</v>
      </c>
      <c r="O8543" s="788">
        <v>42146</v>
      </c>
    </row>
    <row r="8544" spans="1:15" x14ac:dyDescent="0.25">
      <c r="A8544" s="786" t="s">
        <v>15361</v>
      </c>
      <c r="B8544" s="787">
        <v>4</v>
      </c>
      <c r="C8544" s="787" t="s">
        <v>15360</v>
      </c>
      <c r="D8544" s="787">
        <v>0</v>
      </c>
      <c r="E8544" s="787">
        <v>0</v>
      </c>
      <c r="H8544" s="787">
        <v>1</v>
      </c>
      <c r="L8544" s="787">
        <v>0</v>
      </c>
      <c r="M8544" s="787">
        <v>10</v>
      </c>
      <c r="N8544" s="787">
        <v>42.45</v>
      </c>
      <c r="O8544" s="788">
        <v>42146</v>
      </c>
    </row>
    <row r="8545" spans="1:15" x14ac:dyDescent="0.25">
      <c r="A8545" s="786" t="s">
        <v>15362</v>
      </c>
      <c r="B8545" s="787">
        <v>4</v>
      </c>
      <c r="C8545" s="787" t="s">
        <v>15363</v>
      </c>
      <c r="D8545" s="787">
        <v>0</v>
      </c>
      <c r="E8545" s="787">
        <v>0</v>
      </c>
      <c r="H8545" s="787">
        <v>1</v>
      </c>
      <c r="L8545" s="787">
        <v>0</v>
      </c>
      <c r="M8545" s="787">
        <v>10</v>
      </c>
      <c r="N8545" s="787">
        <v>34.64</v>
      </c>
      <c r="O8545" s="788">
        <v>42146</v>
      </c>
    </row>
    <row r="8546" spans="1:15" x14ac:dyDescent="0.25">
      <c r="A8546" s="786" t="s">
        <v>15364</v>
      </c>
      <c r="B8546" s="787">
        <v>4</v>
      </c>
      <c r="C8546" s="787" t="s">
        <v>15363</v>
      </c>
      <c r="D8546" s="787">
        <v>0</v>
      </c>
      <c r="E8546" s="787">
        <v>0</v>
      </c>
      <c r="H8546" s="787">
        <v>1</v>
      </c>
      <c r="L8546" s="787">
        <v>0</v>
      </c>
      <c r="M8546" s="787">
        <v>10</v>
      </c>
      <c r="N8546" s="787">
        <v>34.64</v>
      </c>
      <c r="O8546" s="788">
        <v>42146</v>
      </c>
    </row>
    <row r="8547" spans="1:15" x14ac:dyDescent="0.25">
      <c r="A8547" s="786" t="s">
        <v>15365</v>
      </c>
      <c r="B8547" s="787">
        <v>4</v>
      </c>
      <c r="C8547" s="787" t="s">
        <v>15366</v>
      </c>
      <c r="D8547" s="787">
        <v>0</v>
      </c>
      <c r="E8547" s="787">
        <v>0</v>
      </c>
      <c r="H8547" s="787">
        <v>1</v>
      </c>
      <c r="L8547" s="787">
        <v>0</v>
      </c>
      <c r="M8547" s="787">
        <v>10</v>
      </c>
      <c r="N8547" s="787">
        <v>156.82</v>
      </c>
      <c r="O8547" s="788">
        <v>42146</v>
      </c>
    </row>
    <row r="8548" spans="1:15" x14ac:dyDescent="0.25">
      <c r="A8548" s="786" t="s">
        <v>15367</v>
      </c>
      <c r="B8548" s="787">
        <v>4</v>
      </c>
      <c r="C8548" s="787" t="s">
        <v>15368</v>
      </c>
      <c r="D8548" s="787">
        <v>0</v>
      </c>
      <c r="E8548" s="787">
        <v>0</v>
      </c>
      <c r="H8548" s="787">
        <v>1</v>
      </c>
      <c r="L8548" s="787">
        <v>0</v>
      </c>
      <c r="M8548" s="787">
        <v>10</v>
      </c>
      <c r="N8548" s="787">
        <v>156.82</v>
      </c>
      <c r="O8548" s="788">
        <v>42146</v>
      </c>
    </row>
    <row r="8549" spans="1:15" x14ac:dyDescent="0.25">
      <c r="A8549" s="786" t="s">
        <v>15369</v>
      </c>
      <c r="B8549" s="787">
        <v>4</v>
      </c>
      <c r="C8549" s="787" t="s">
        <v>10767</v>
      </c>
      <c r="D8549" s="787">
        <v>0</v>
      </c>
      <c r="E8549" s="787">
        <v>0</v>
      </c>
      <c r="H8549" s="787">
        <v>1</v>
      </c>
      <c r="K8549" s="788">
        <v>41423</v>
      </c>
      <c r="L8549" s="787">
        <v>0.01</v>
      </c>
      <c r="M8549" s="787">
        <v>10</v>
      </c>
      <c r="N8549" s="787">
        <v>30.26</v>
      </c>
      <c r="O8549" s="788">
        <v>41858</v>
      </c>
    </row>
    <row r="8550" spans="1:15" x14ac:dyDescent="0.25">
      <c r="A8550" s="786" t="s">
        <v>15370</v>
      </c>
      <c r="B8550" s="787">
        <v>4</v>
      </c>
      <c r="C8550" s="787" t="s">
        <v>15371</v>
      </c>
      <c r="D8550" s="787">
        <v>0</v>
      </c>
      <c r="E8550" s="787">
        <v>0</v>
      </c>
      <c r="H8550" s="787">
        <v>1</v>
      </c>
      <c r="L8550" s="787">
        <v>0</v>
      </c>
      <c r="M8550" s="787">
        <v>10</v>
      </c>
      <c r="N8550" s="787">
        <v>0.99</v>
      </c>
      <c r="O8550" s="788">
        <v>41858</v>
      </c>
    </row>
    <row r="8551" spans="1:15" x14ac:dyDescent="0.25">
      <c r="A8551" s="786" t="s">
        <v>15372</v>
      </c>
      <c r="B8551" s="787">
        <v>4</v>
      </c>
      <c r="C8551" s="787" t="s">
        <v>15373</v>
      </c>
      <c r="D8551" s="787">
        <v>0</v>
      </c>
      <c r="E8551" s="787">
        <v>0</v>
      </c>
      <c r="H8551" s="787">
        <v>1</v>
      </c>
      <c r="L8551" s="787">
        <v>0</v>
      </c>
      <c r="M8551" s="787">
        <v>10</v>
      </c>
      <c r="N8551" s="787">
        <v>21.95</v>
      </c>
      <c r="O8551" s="788">
        <v>41858</v>
      </c>
    </row>
    <row r="8552" spans="1:15" x14ac:dyDescent="0.25">
      <c r="A8552" s="786" t="s">
        <v>15374</v>
      </c>
      <c r="B8552" s="787">
        <v>4</v>
      </c>
      <c r="C8552" s="787" t="s">
        <v>15375</v>
      </c>
      <c r="D8552" s="787">
        <v>0</v>
      </c>
      <c r="E8552" s="787">
        <v>0</v>
      </c>
      <c r="H8552" s="787">
        <v>1</v>
      </c>
      <c r="L8552" s="787">
        <v>0</v>
      </c>
      <c r="M8552" s="787">
        <v>10</v>
      </c>
      <c r="N8552" s="787">
        <v>21.95</v>
      </c>
      <c r="O8552" s="788">
        <v>41858</v>
      </c>
    </row>
    <row r="8553" spans="1:15" x14ac:dyDescent="0.25">
      <c r="A8553" s="786" t="s">
        <v>15376</v>
      </c>
      <c r="B8553" s="787">
        <v>4</v>
      </c>
      <c r="C8553" s="787" t="s">
        <v>15377</v>
      </c>
      <c r="D8553" s="787">
        <v>0</v>
      </c>
      <c r="E8553" s="787">
        <v>0</v>
      </c>
      <c r="H8553" s="787">
        <v>1</v>
      </c>
      <c r="L8553" s="787">
        <v>0</v>
      </c>
      <c r="M8553" s="787">
        <v>10</v>
      </c>
      <c r="N8553" s="787">
        <v>1.02</v>
      </c>
      <c r="O8553" s="788">
        <v>41858</v>
      </c>
    </row>
    <row r="8554" spans="1:15" x14ac:dyDescent="0.25">
      <c r="A8554" s="786" t="s">
        <v>15378</v>
      </c>
      <c r="B8554" s="787">
        <v>4</v>
      </c>
      <c r="C8554" s="787" t="s">
        <v>15379</v>
      </c>
      <c r="D8554" s="787">
        <v>0</v>
      </c>
      <c r="E8554" s="787">
        <v>0</v>
      </c>
      <c r="H8554" s="787">
        <v>1</v>
      </c>
      <c r="L8554" s="787">
        <v>0</v>
      </c>
      <c r="M8554" s="787">
        <v>10</v>
      </c>
      <c r="N8554" s="787">
        <v>39.99</v>
      </c>
      <c r="O8554" s="788">
        <v>41858</v>
      </c>
    </row>
    <row r="8555" spans="1:15" x14ac:dyDescent="0.25">
      <c r="A8555" s="786" t="s">
        <v>15380</v>
      </c>
      <c r="B8555" s="787">
        <v>4</v>
      </c>
      <c r="C8555" s="787" t="s">
        <v>15381</v>
      </c>
      <c r="D8555" s="787">
        <v>0</v>
      </c>
      <c r="E8555" s="787">
        <v>0</v>
      </c>
      <c r="H8555" s="787">
        <v>1</v>
      </c>
      <c r="L8555" s="787">
        <v>0</v>
      </c>
      <c r="M8555" s="787">
        <v>10</v>
      </c>
      <c r="N8555" s="787">
        <v>39.99</v>
      </c>
      <c r="O8555" s="788">
        <v>41858</v>
      </c>
    </row>
    <row r="8556" spans="1:15" x14ac:dyDescent="0.25">
      <c r="A8556" s="786" t="s">
        <v>15382</v>
      </c>
      <c r="B8556" s="787">
        <v>4</v>
      </c>
      <c r="C8556" s="787" t="s">
        <v>15383</v>
      </c>
      <c r="D8556" s="787">
        <v>0</v>
      </c>
      <c r="E8556" s="787">
        <v>0</v>
      </c>
      <c r="H8556" s="787">
        <v>1</v>
      </c>
      <c r="L8556" s="787">
        <v>0</v>
      </c>
      <c r="M8556" s="787">
        <v>10</v>
      </c>
      <c r="N8556" s="787">
        <v>1.04</v>
      </c>
      <c r="O8556" s="788">
        <v>42146</v>
      </c>
    </row>
    <row r="8557" spans="1:15" x14ac:dyDescent="0.25">
      <c r="A8557" s="786" t="s">
        <v>15384</v>
      </c>
      <c r="B8557" s="787">
        <v>4</v>
      </c>
      <c r="C8557" s="787" t="s">
        <v>15385</v>
      </c>
      <c r="D8557" s="787">
        <v>0</v>
      </c>
      <c r="E8557" s="787">
        <v>0</v>
      </c>
      <c r="H8557" s="787">
        <v>1</v>
      </c>
      <c r="L8557" s="787">
        <v>0</v>
      </c>
      <c r="M8557" s="787">
        <v>10</v>
      </c>
      <c r="N8557" s="787">
        <v>42.27</v>
      </c>
      <c r="O8557" s="788">
        <v>41858</v>
      </c>
    </row>
    <row r="8558" spans="1:15" x14ac:dyDescent="0.25">
      <c r="A8558" s="786" t="s">
        <v>15386</v>
      </c>
      <c r="B8558" s="787">
        <v>4</v>
      </c>
      <c r="C8558" s="787" t="s">
        <v>15387</v>
      </c>
      <c r="D8558" s="787">
        <v>0</v>
      </c>
      <c r="E8558" s="787">
        <v>0</v>
      </c>
      <c r="H8558" s="787">
        <v>1</v>
      </c>
      <c r="L8558" s="787">
        <v>0</v>
      </c>
      <c r="M8558" s="787">
        <v>10</v>
      </c>
      <c r="N8558" s="787">
        <v>41.48</v>
      </c>
      <c r="O8558" s="788">
        <v>42146</v>
      </c>
    </row>
    <row r="8559" spans="1:15" x14ac:dyDescent="0.25">
      <c r="A8559" s="786" t="s">
        <v>15388</v>
      </c>
      <c r="B8559" s="787">
        <v>4</v>
      </c>
      <c r="C8559" s="787" t="s">
        <v>15389</v>
      </c>
      <c r="D8559" s="787">
        <v>0</v>
      </c>
      <c r="E8559" s="787">
        <v>0</v>
      </c>
      <c r="H8559" s="787">
        <v>1</v>
      </c>
      <c r="L8559" s="787">
        <v>0</v>
      </c>
      <c r="M8559" s="787">
        <v>10</v>
      </c>
      <c r="N8559" s="787">
        <v>34.33</v>
      </c>
      <c r="O8559" s="788">
        <v>42146</v>
      </c>
    </row>
    <row r="8560" spans="1:15" x14ac:dyDescent="0.25">
      <c r="A8560" s="786" t="s">
        <v>15390</v>
      </c>
      <c r="B8560" s="787">
        <v>4</v>
      </c>
      <c r="C8560" s="787" t="s">
        <v>15389</v>
      </c>
      <c r="D8560" s="787">
        <v>0</v>
      </c>
      <c r="E8560" s="787">
        <v>0</v>
      </c>
      <c r="H8560" s="787">
        <v>1</v>
      </c>
      <c r="L8560" s="787">
        <v>0</v>
      </c>
      <c r="M8560" s="787">
        <v>10</v>
      </c>
      <c r="N8560" s="787">
        <v>53.61</v>
      </c>
      <c r="O8560" s="788">
        <v>42030</v>
      </c>
    </row>
    <row r="8561" spans="1:15" x14ac:dyDescent="0.25">
      <c r="A8561" s="786" t="s">
        <v>15391</v>
      </c>
      <c r="B8561" s="787">
        <v>4</v>
      </c>
      <c r="C8561" s="787" t="s">
        <v>15392</v>
      </c>
      <c r="D8561" s="787">
        <v>0</v>
      </c>
      <c r="E8561" s="787">
        <v>0</v>
      </c>
      <c r="H8561" s="787">
        <v>1</v>
      </c>
      <c r="K8561" s="788">
        <v>41471</v>
      </c>
      <c r="L8561" s="787">
        <v>1.81</v>
      </c>
      <c r="M8561" s="787">
        <v>10</v>
      </c>
      <c r="N8561" s="787">
        <v>1.81</v>
      </c>
      <c r="O8561" s="788">
        <v>41858</v>
      </c>
    </row>
    <row r="8562" spans="1:15" x14ac:dyDescent="0.25">
      <c r="A8562" s="786" t="s">
        <v>15393</v>
      </c>
      <c r="B8562" s="787">
        <v>4</v>
      </c>
      <c r="C8562" s="787" t="s">
        <v>15394</v>
      </c>
      <c r="D8562" s="787">
        <v>0</v>
      </c>
      <c r="E8562" s="787">
        <v>0</v>
      </c>
      <c r="H8562" s="787">
        <v>1</v>
      </c>
      <c r="I8562" s="788">
        <v>42166</v>
      </c>
      <c r="L8562" s="787">
        <v>0</v>
      </c>
      <c r="M8562" s="787">
        <v>10</v>
      </c>
      <c r="N8562" s="787">
        <v>9.85</v>
      </c>
      <c r="O8562" s="788">
        <v>42080</v>
      </c>
    </row>
    <row r="8563" spans="1:15" x14ac:dyDescent="0.25">
      <c r="A8563" s="786" t="s">
        <v>15395</v>
      </c>
      <c r="B8563" s="787">
        <v>4</v>
      </c>
      <c r="C8563" s="787" t="s">
        <v>15396</v>
      </c>
      <c r="D8563" s="787">
        <v>0</v>
      </c>
      <c r="E8563" s="787">
        <v>0</v>
      </c>
      <c r="H8563" s="787">
        <v>1</v>
      </c>
      <c r="I8563" s="788">
        <v>42166</v>
      </c>
      <c r="L8563" s="787">
        <v>0</v>
      </c>
      <c r="M8563" s="787">
        <v>10</v>
      </c>
      <c r="N8563" s="787">
        <v>4.63</v>
      </c>
      <c r="O8563" s="788">
        <v>42080</v>
      </c>
    </row>
    <row r="8564" spans="1:15" x14ac:dyDescent="0.25">
      <c r="A8564" s="786" t="s">
        <v>15397</v>
      </c>
      <c r="B8564" s="787">
        <v>4</v>
      </c>
      <c r="C8564" s="787" t="s">
        <v>15394</v>
      </c>
      <c r="D8564" s="787">
        <v>0</v>
      </c>
      <c r="E8564" s="787">
        <v>0</v>
      </c>
      <c r="H8564" s="787">
        <v>1</v>
      </c>
      <c r="L8564" s="787">
        <v>0</v>
      </c>
      <c r="M8564" s="787">
        <v>10</v>
      </c>
      <c r="N8564" s="787">
        <v>9.85</v>
      </c>
      <c r="O8564" s="788">
        <v>41858</v>
      </c>
    </row>
    <row r="8565" spans="1:15" x14ac:dyDescent="0.25">
      <c r="A8565" s="786" t="s">
        <v>15398</v>
      </c>
      <c r="B8565" s="787">
        <v>4</v>
      </c>
      <c r="C8565" s="787" t="s">
        <v>15396</v>
      </c>
      <c r="D8565" s="787">
        <v>0</v>
      </c>
      <c r="E8565" s="787">
        <v>0</v>
      </c>
      <c r="H8565" s="787">
        <v>1</v>
      </c>
      <c r="L8565" s="787">
        <v>0</v>
      </c>
      <c r="M8565" s="787">
        <v>10</v>
      </c>
      <c r="N8565" s="787">
        <v>4.63</v>
      </c>
      <c r="O8565" s="788">
        <v>41858</v>
      </c>
    </row>
    <row r="8566" spans="1:15" x14ac:dyDescent="0.25">
      <c r="A8566" s="786" t="s">
        <v>15399</v>
      </c>
      <c r="B8566" s="787">
        <v>4</v>
      </c>
      <c r="C8566" s="787" t="s">
        <v>15400</v>
      </c>
      <c r="D8566" s="787">
        <v>0</v>
      </c>
      <c r="E8566" s="787">
        <v>0</v>
      </c>
      <c r="H8566" s="787">
        <v>1</v>
      </c>
      <c r="K8566" s="788">
        <v>41471</v>
      </c>
      <c r="L8566" s="787">
        <v>2.73</v>
      </c>
      <c r="M8566" s="787">
        <v>10</v>
      </c>
      <c r="N8566" s="787">
        <v>2.7</v>
      </c>
      <c r="O8566" s="788">
        <v>41858</v>
      </c>
    </row>
    <row r="8567" spans="1:15" x14ac:dyDescent="0.25">
      <c r="A8567" s="786" t="s">
        <v>15401</v>
      </c>
      <c r="B8567" s="787">
        <v>4</v>
      </c>
      <c r="C8567" s="787" t="s">
        <v>15402</v>
      </c>
      <c r="D8567" s="787">
        <v>0</v>
      </c>
      <c r="E8567" s="787">
        <v>0</v>
      </c>
      <c r="H8567" s="787">
        <v>1</v>
      </c>
      <c r="K8567" s="788">
        <v>41471</v>
      </c>
      <c r="L8567" s="787">
        <v>2.73</v>
      </c>
      <c r="M8567" s="787">
        <v>10</v>
      </c>
      <c r="N8567" s="787">
        <v>2.7</v>
      </c>
      <c r="O8567" s="788">
        <v>41858</v>
      </c>
    </row>
    <row r="8568" spans="1:15" x14ac:dyDescent="0.25">
      <c r="A8568" s="786" t="s">
        <v>15403</v>
      </c>
      <c r="B8568" s="787">
        <v>4</v>
      </c>
      <c r="C8568" s="787" t="s">
        <v>15404</v>
      </c>
      <c r="D8568" s="787">
        <v>0</v>
      </c>
      <c r="E8568" s="787">
        <v>0</v>
      </c>
      <c r="H8568" s="787">
        <v>1</v>
      </c>
      <c r="K8568" s="788">
        <v>41471</v>
      </c>
      <c r="L8568" s="787">
        <v>2.98</v>
      </c>
      <c r="M8568" s="787">
        <v>10</v>
      </c>
      <c r="N8568" s="787">
        <v>2.91</v>
      </c>
      <c r="O8568" s="788">
        <v>41858</v>
      </c>
    </row>
    <row r="8569" spans="1:15" x14ac:dyDescent="0.25">
      <c r="A8569" s="786" t="s">
        <v>15405</v>
      </c>
      <c r="B8569" s="787">
        <v>4</v>
      </c>
      <c r="C8569" s="787" t="s">
        <v>15406</v>
      </c>
      <c r="D8569" s="787">
        <v>2.15</v>
      </c>
      <c r="E8569" s="787">
        <v>5.78</v>
      </c>
      <c r="F8569" s="788">
        <v>41209</v>
      </c>
      <c r="G8569" s="788">
        <v>42146</v>
      </c>
      <c r="H8569" s="787">
        <v>1</v>
      </c>
      <c r="I8569" s="788">
        <v>42118</v>
      </c>
      <c r="J8569" s="788">
        <v>42116</v>
      </c>
      <c r="K8569" s="788">
        <v>41348</v>
      </c>
      <c r="L8569" s="787">
        <v>2.81</v>
      </c>
      <c r="M8569" s="787">
        <v>10</v>
      </c>
      <c r="N8569" s="787">
        <v>4.47</v>
      </c>
      <c r="O8569" s="788">
        <v>42156</v>
      </c>
    </row>
    <row r="8570" spans="1:15" x14ac:dyDescent="0.25">
      <c r="A8570" s="786" t="s">
        <v>15407</v>
      </c>
      <c r="B8570" s="787">
        <v>4</v>
      </c>
      <c r="C8570" s="787" t="s">
        <v>15408</v>
      </c>
      <c r="D8570" s="787">
        <v>1.69</v>
      </c>
      <c r="E8570" s="787">
        <v>6.29</v>
      </c>
      <c r="F8570" s="788">
        <v>40948</v>
      </c>
      <c r="G8570" s="788">
        <v>42146</v>
      </c>
      <c r="H8570" s="787">
        <v>1</v>
      </c>
      <c r="I8570" s="788">
        <v>42118</v>
      </c>
      <c r="J8570" s="788">
        <v>42116</v>
      </c>
      <c r="K8570" s="788">
        <v>41348</v>
      </c>
      <c r="L8570" s="787">
        <v>2.93</v>
      </c>
      <c r="M8570" s="787">
        <v>10</v>
      </c>
      <c r="N8570" s="787">
        <v>4.5</v>
      </c>
      <c r="O8570" s="788">
        <v>42156</v>
      </c>
    </row>
    <row r="8571" spans="1:15" x14ac:dyDescent="0.25">
      <c r="A8571" s="786" t="s">
        <v>15409</v>
      </c>
      <c r="B8571" s="787">
        <v>4</v>
      </c>
      <c r="C8571" s="787" t="s">
        <v>15410</v>
      </c>
      <c r="D8571" s="787">
        <v>2.4300000000000002</v>
      </c>
      <c r="E8571" s="787">
        <v>4.0599999999999996</v>
      </c>
      <c r="F8571" s="788">
        <v>41579</v>
      </c>
      <c r="G8571" s="788">
        <v>42123</v>
      </c>
      <c r="H8571" s="787">
        <v>1</v>
      </c>
      <c r="I8571" s="788">
        <v>42093</v>
      </c>
      <c r="J8571" s="788">
        <v>42093</v>
      </c>
      <c r="K8571" s="788">
        <v>41359</v>
      </c>
      <c r="L8571" s="787">
        <v>3.96</v>
      </c>
      <c r="M8571" s="787">
        <v>10</v>
      </c>
      <c r="N8571" s="787">
        <v>4.24</v>
      </c>
      <c r="O8571" s="788">
        <v>42156</v>
      </c>
    </row>
    <row r="8572" spans="1:15" x14ac:dyDescent="0.25">
      <c r="A8572" s="786" t="s">
        <v>15411</v>
      </c>
      <c r="B8572" s="787">
        <v>4</v>
      </c>
      <c r="C8572" s="787" t="s">
        <v>15412</v>
      </c>
      <c r="D8572" s="787">
        <v>1.75</v>
      </c>
      <c r="E8572" s="787">
        <v>2.73</v>
      </c>
      <c r="F8572" s="788">
        <v>41813</v>
      </c>
      <c r="G8572" s="788">
        <v>42123</v>
      </c>
      <c r="H8572" s="787">
        <v>1</v>
      </c>
      <c r="I8572" s="788">
        <v>42093</v>
      </c>
      <c r="J8572" s="788">
        <v>42093</v>
      </c>
      <c r="K8572" s="788">
        <v>41359</v>
      </c>
      <c r="L8572" s="787">
        <v>4.78</v>
      </c>
      <c r="M8572" s="787">
        <v>10</v>
      </c>
      <c r="N8572" s="787">
        <v>4.2699999999999996</v>
      </c>
      <c r="O8572" s="788">
        <v>42156</v>
      </c>
    </row>
    <row r="8573" spans="1:15" x14ac:dyDescent="0.25">
      <c r="A8573" s="786" t="s">
        <v>15413</v>
      </c>
      <c r="B8573" s="787">
        <v>4</v>
      </c>
      <c r="C8573" s="787" t="s">
        <v>15414</v>
      </c>
      <c r="D8573" s="787">
        <v>5.86</v>
      </c>
      <c r="E8573" s="787">
        <v>6.55</v>
      </c>
      <c r="F8573" s="788">
        <v>41561</v>
      </c>
      <c r="G8573" s="788">
        <v>42144</v>
      </c>
      <c r="H8573" s="787">
        <v>1</v>
      </c>
      <c r="I8573" s="788">
        <v>42137</v>
      </c>
      <c r="J8573" s="788">
        <v>42144</v>
      </c>
      <c r="K8573" s="788">
        <v>41299</v>
      </c>
      <c r="L8573" s="787">
        <v>5.33</v>
      </c>
      <c r="M8573" s="787">
        <v>20</v>
      </c>
      <c r="N8573" s="787">
        <v>5.73</v>
      </c>
      <c r="O8573" s="788">
        <v>42152</v>
      </c>
    </row>
    <row r="8574" spans="1:15" x14ac:dyDescent="0.25">
      <c r="A8574" s="786" t="s">
        <v>15415</v>
      </c>
      <c r="B8574" s="787">
        <v>4</v>
      </c>
      <c r="C8574" s="787" t="s">
        <v>15416</v>
      </c>
      <c r="D8574" s="787">
        <v>1.79</v>
      </c>
      <c r="E8574" s="787">
        <v>2</v>
      </c>
      <c r="F8574" s="788">
        <v>41813</v>
      </c>
      <c r="G8574" s="788">
        <v>42067</v>
      </c>
      <c r="H8574" s="787">
        <v>1</v>
      </c>
      <c r="I8574" s="788">
        <v>42166</v>
      </c>
      <c r="J8574" s="788">
        <v>42039</v>
      </c>
      <c r="K8574" s="788">
        <v>41429</v>
      </c>
      <c r="L8574" s="787">
        <v>1.44</v>
      </c>
      <c r="M8574" s="787">
        <v>10</v>
      </c>
      <c r="N8574" s="787">
        <v>1.03</v>
      </c>
      <c r="O8574" s="788">
        <v>42146</v>
      </c>
    </row>
    <row r="8575" spans="1:15" x14ac:dyDescent="0.25">
      <c r="A8575" s="786" t="s">
        <v>15417</v>
      </c>
      <c r="B8575" s="787">
        <v>4</v>
      </c>
      <c r="C8575" s="787" t="s">
        <v>15418</v>
      </c>
      <c r="D8575" s="787">
        <v>7.32</v>
      </c>
      <c r="E8575" s="787">
        <v>22.1</v>
      </c>
      <c r="F8575" s="788">
        <v>41806</v>
      </c>
      <c r="G8575" s="788">
        <v>41886</v>
      </c>
      <c r="H8575" s="787">
        <v>1</v>
      </c>
      <c r="I8575" s="788">
        <v>41855</v>
      </c>
      <c r="J8575" s="788">
        <v>41855</v>
      </c>
      <c r="K8575" s="788">
        <v>41744</v>
      </c>
      <c r="L8575" s="787">
        <v>20</v>
      </c>
      <c r="M8575" s="787">
        <v>10</v>
      </c>
      <c r="N8575" s="787">
        <v>26.46</v>
      </c>
      <c r="O8575" s="788">
        <v>42082</v>
      </c>
    </row>
    <row r="8576" spans="1:15" x14ac:dyDescent="0.25">
      <c r="A8576" s="786" t="s">
        <v>15419</v>
      </c>
      <c r="B8576" s="787">
        <v>4</v>
      </c>
      <c r="C8576" s="787" t="s">
        <v>15420</v>
      </c>
      <c r="D8576" s="787">
        <v>0.24</v>
      </c>
      <c r="E8576" s="787">
        <v>20.239999999999998</v>
      </c>
      <c r="F8576" s="788">
        <v>41886</v>
      </c>
      <c r="G8576" s="788">
        <v>41886</v>
      </c>
      <c r="H8576" s="787">
        <v>1</v>
      </c>
      <c r="I8576" s="788">
        <v>41855</v>
      </c>
      <c r="J8576" s="788">
        <v>41855</v>
      </c>
      <c r="K8576" s="788">
        <v>41744</v>
      </c>
      <c r="L8576" s="787">
        <v>20</v>
      </c>
      <c r="M8576" s="787">
        <v>10</v>
      </c>
      <c r="N8576" s="787">
        <v>22.77</v>
      </c>
      <c r="O8576" s="788">
        <v>42082</v>
      </c>
    </row>
    <row r="8577" spans="1:15" x14ac:dyDescent="0.25">
      <c r="A8577" s="786" t="s">
        <v>15421</v>
      </c>
      <c r="B8577" s="787">
        <v>4</v>
      </c>
      <c r="C8577" s="787" t="s">
        <v>15422</v>
      </c>
      <c r="D8577" s="787">
        <v>0.38</v>
      </c>
      <c r="E8577" s="787">
        <v>10.82</v>
      </c>
      <c r="F8577" s="788">
        <v>41906</v>
      </c>
      <c r="G8577" s="788">
        <v>42082</v>
      </c>
      <c r="H8577" s="787">
        <v>1</v>
      </c>
      <c r="I8577" s="788">
        <v>42160</v>
      </c>
      <c r="J8577" s="788">
        <v>42052</v>
      </c>
      <c r="K8577" s="788">
        <v>41347</v>
      </c>
      <c r="L8577" s="787">
        <v>18.66</v>
      </c>
      <c r="M8577" s="787">
        <v>10</v>
      </c>
      <c r="N8577" s="787">
        <v>15.6</v>
      </c>
      <c r="O8577" s="788">
        <v>42146</v>
      </c>
    </row>
    <row r="8578" spans="1:15" x14ac:dyDescent="0.25">
      <c r="A8578" s="786" t="s">
        <v>15423</v>
      </c>
      <c r="B8578" s="787">
        <v>4</v>
      </c>
      <c r="C8578" s="787" t="s">
        <v>11208</v>
      </c>
      <c r="D8578" s="787">
        <v>9.6199999999999992</v>
      </c>
      <c r="E8578" s="787">
        <v>30.57</v>
      </c>
      <c r="F8578" s="788">
        <v>42124</v>
      </c>
      <c r="G8578" s="788">
        <v>42143</v>
      </c>
      <c r="H8578" s="787">
        <v>1</v>
      </c>
      <c r="I8578" s="788">
        <v>42131</v>
      </c>
      <c r="J8578" s="788">
        <v>42157</v>
      </c>
      <c r="K8578" s="788">
        <v>41429</v>
      </c>
      <c r="L8578" s="787">
        <v>13.52</v>
      </c>
      <c r="M8578" s="787">
        <v>10</v>
      </c>
      <c r="N8578" s="787">
        <v>15.64</v>
      </c>
      <c r="O8578" s="788">
        <v>42146</v>
      </c>
    </row>
    <row r="8579" spans="1:15" x14ac:dyDescent="0.25">
      <c r="A8579" s="786" t="s">
        <v>15424</v>
      </c>
      <c r="B8579" s="787">
        <v>4</v>
      </c>
      <c r="C8579" s="787" t="s">
        <v>15425</v>
      </c>
      <c r="D8579" s="787">
        <v>0</v>
      </c>
      <c r="E8579" s="787">
        <v>0</v>
      </c>
      <c r="H8579" s="787">
        <v>1</v>
      </c>
      <c r="K8579" s="788">
        <v>40963</v>
      </c>
      <c r="L8579" s="787">
        <v>12.5</v>
      </c>
      <c r="M8579" s="787">
        <v>10</v>
      </c>
      <c r="N8579" s="787">
        <v>11.29</v>
      </c>
      <c r="O8579" s="788">
        <v>41858</v>
      </c>
    </row>
    <row r="8580" spans="1:15" x14ac:dyDescent="0.25">
      <c r="A8580" s="786" t="s">
        <v>15426</v>
      </c>
      <c r="B8580" s="787">
        <v>4</v>
      </c>
      <c r="C8580" s="787" t="s">
        <v>15427</v>
      </c>
      <c r="D8580" s="787">
        <v>0</v>
      </c>
      <c r="E8580" s="787">
        <v>0</v>
      </c>
      <c r="H8580" s="787">
        <v>1</v>
      </c>
      <c r="K8580" s="788">
        <v>40963</v>
      </c>
      <c r="L8580" s="787">
        <v>11.5</v>
      </c>
      <c r="M8580" s="787">
        <v>10</v>
      </c>
      <c r="N8580" s="787">
        <v>10.8</v>
      </c>
      <c r="O8580" s="788">
        <v>41858</v>
      </c>
    </row>
    <row r="8581" spans="1:15" x14ac:dyDescent="0.25">
      <c r="A8581" s="786" t="s">
        <v>15428</v>
      </c>
      <c r="B8581" s="787">
        <v>4</v>
      </c>
      <c r="C8581" s="787" t="s">
        <v>15429</v>
      </c>
      <c r="D8581" s="787">
        <v>0</v>
      </c>
      <c r="E8581" s="787">
        <v>0</v>
      </c>
      <c r="H8581" s="787">
        <v>1</v>
      </c>
      <c r="K8581" s="788">
        <v>42038</v>
      </c>
      <c r="L8581" s="787">
        <v>58.43</v>
      </c>
      <c r="M8581" s="787">
        <v>10</v>
      </c>
      <c r="N8581" s="787">
        <v>58.43</v>
      </c>
      <c r="O8581" s="788">
        <v>42038</v>
      </c>
    </row>
    <row r="8582" spans="1:15" x14ac:dyDescent="0.25">
      <c r="A8582" s="786" t="s">
        <v>15430</v>
      </c>
      <c r="B8582" s="787">
        <v>4</v>
      </c>
      <c r="C8582" s="787" t="s">
        <v>15431</v>
      </c>
      <c r="D8582" s="787">
        <v>0</v>
      </c>
      <c r="E8582" s="787">
        <v>0</v>
      </c>
      <c r="H8582" s="787">
        <v>1</v>
      </c>
      <c r="I8582" s="788">
        <v>41761</v>
      </c>
      <c r="J8582" s="788">
        <v>41816</v>
      </c>
      <c r="K8582" s="788">
        <v>41817</v>
      </c>
      <c r="L8582" s="787">
        <v>11</v>
      </c>
      <c r="M8582" s="787">
        <v>10</v>
      </c>
      <c r="N8582" s="787">
        <v>29.06</v>
      </c>
      <c r="O8582" s="788">
        <v>42038</v>
      </c>
    </row>
    <row r="8583" spans="1:15" x14ac:dyDescent="0.25">
      <c r="A8583" s="786" t="s">
        <v>15432</v>
      </c>
      <c r="B8583" s="787">
        <v>4</v>
      </c>
      <c r="C8583" s="787" t="s">
        <v>15433</v>
      </c>
      <c r="D8583" s="787">
        <v>0</v>
      </c>
      <c r="E8583" s="787">
        <v>0</v>
      </c>
      <c r="H8583" s="787">
        <v>1</v>
      </c>
      <c r="I8583" s="788">
        <v>41761</v>
      </c>
      <c r="J8583" s="788">
        <v>41816</v>
      </c>
      <c r="K8583" s="788">
        <v>41817</v>
      </c>
      <c r="L8583" s="787">
        <v>1</v>
      </c>
      <c r="M8583" s="787">
        <v>10</v>
      </c>
      <c r="N8583" s="787">
        <v>8.4700000000000006</v>
      </c>
      <c r="O8583" s="788">
        <v>42038</v>
      </c>
    </row>
    <row r="8584" spans="1:15" x14ac:dyDescent="0.25">
      <c r="A8584" s="786" t="s">
        <v>15434</v>
      </c>
      <c r="B8584" s="787">
        <v>4</v>
      </c>
      <c r="C8584" s="787" t="s">
        <v>15435</v>
      </c>
      <c r="D8584" s="787">
        <v>0.4</v>
      </c>
      <c r="E8584" s="787">
        <v>2.7</v>
      </c>
      <c r="F8584" s="788">
        <v>42142</v>
      </c>
      <c r="G8584" s="788">
        <v>42163</v>
      </c>
      <c r="H8584" s="787">
        <v>1</v>
      </c>
      <c r="I8584" s="788">
        <v>42160</v>
      </c>
      <c r="J8584" s="788">
        <v>42144</v>
      </c>
      <c r="K8584" s="788">
        <v>41221</v>
      </c>
      <c r="L8584" s="787">
        <v>2.14</v>
      </c>
      <c r="M8584" s="787">
        <v>10</v>
      </c>
      <c r="N8584" s="787">
        <v>2.61</v>
      </c>
      <c r="O8584" s="788">
        <v>42146</v>
      </c>
    </row>
    <row r="8585" spans="1:15" x14ac:dyDescent="0.25">
      <c r="A8585" s="786" t="s">
        <v>15436</v>
      </c>
      <c r="B8585" s="787">
        <v>4</v>
      </c>
      <c r="C8585" s="787" t="s">
        <v>15437</v>
      </c>
      <c r="D8585" s="787">
        <v>0</v>
      </c>
      <c r="E8585" s="787">
        <v>0</v>
      </c>
      <c r="H8585" s="787">
        <v>1</v>
      </c>
      <c r="I8585" s="788">
        <v>41984</v>
      </c>
      <c r="L8585" s="787">
        <v>0</v>
      </c>
      <c r="M8585" s="787">
        <v>10</v>
      </c>
      <c r="N8585" s="787">
        <v>11.99</v>
      </c>
      <c r="O8585" s="788">
        <v>42067</v>
      </c>
    </row>
    <row r="8586" spans="1:15" x14ac:dyDescent="0.25">
      <c r="A8586" s="786" t="s">
        <v>15438</v>
      </c>
      <c r="B8586" s="787">
        <v>4</v>
      </c>
      <c r="C8586" s="787" t="s">
        <v>15439</v>
      </c>
      <c r="D8586" s="787">
        <v>0</v>
      </c>
      <c r="E8586" s="787">
        <v>0</v>
      </c>
      <c r="H8586" s="787">
        <v>1</v>
      </c>
      <c r="I8586" s="788">
        <v>41793</v>
      </c>
      <c r="L8586" s="787">
        <v>0</v>
      </c>
      <c r="M8586" s="787">
        <v>10</v>
      </c>
      <c r="N8586" s="787">
        <v>26.26</v>
      </c>
      <c r="O8586" s="788">
        <v>42124</v>
      </c>
    </row>
    <row r="8587" spans="1:15" x14ac:dyDescent="0.25">
      <c r="A8587" s="786" t="s">
        <v>15440</v>
      </c>
      <c r="B8587" s="787">
        <v>4</v>
      </c>
      <c r="C8587" s="787" t="s">
        <v>15441</v>
      </c>
      <c r="D8587" s="787">
        <v>0</v>
      </c>
      <c r="E8587" s="787">
        <v>0</v>
      </c>
      <c r="H8587" s="787">
        <v>1</v>
      </c>
      <c r="I8587" s="788">
        <v>41984</v>
      </c>
      <c r="L8587" s="787">
        <v>0</v>
      </c>
      <c r="M8587" s="787">
        <v>10</v>
      </c>
      <c r="N8587" s="787">
        <v>1.73</v>
      </c>
      <c r="O8587" s="788">
        <v>41858</v>
      </c>
    </row>
    <row r="8588" spans="1:15" x14ac:dyDescent="0.25">
      <c r="A8588" s="786" t="s">
        <v>15442</v>
      </c>
      <c r="B8588" s="787">
        <v>4</v>
      </c>
      <c r="C8588" s="787" t="s">
        <v>15443</v>
      </c>
      <c r="D8588" s="787">
        <v>0</v>
      </c>
      <c r="E8588" s="787">
        <v>0</v>
      </c>
      <c r="H8588" s="787">
        <v>1</v>
      </c>
      <c r="I8588" s="788">
        <v>41793</v>
      </c>
      <c r="L8588" s="787">
        <v>0</v>
      </c>
      <c r="M8588" s="787">
        <v>10</v>
      </c>
      <c r="N8588" s="787">
        <v>9.7200000000000006</v>
      </c>
      <c r="O8588" s="788">
        <v>41858</v>
      </c>
    </row>
    <row r="8589" spans="1:15" x14ac:dyDescent="0.25">
      <c r="A8589" s="786" t="s">
        <v>15444</v>
      </c>
      <c r="B8589" s="787">
        <v>4</v>
      </c>
      <c r="C8589" s="787" t="s">
        <v>15445</v>
      </c>
      <c r="D8589" s="787">
        <v>0</v>
      </c>
      <c r="E8589" s="787">
        <v>0</v>
      </c>
      <c r="H8589" s="787">
        <v>1</v>
      </c>
      <c r="I8589" s="788">
        <v>41089</v>
      </c>
      <c r="L8589" s="787">
        <v>0</v>
      </c>
      <c r="M8589" s="787">
        <v>10</v>
      </c>
      <c r="N8589" s="787">
        <v>11.7</v>
      </c>
      <c r="O8589" s="788">
        <v>41858</v>
      </c>
    </row>
    <row r="8590" spans="1:15" x14ac:dyDescent="0.25">
      <c r="A8590" s="786" t="s">
        <v>15446</v>
      </c>
      <c r="B8590" s="787">
        <v>4</v>
      </c>
      <c r="C8590" s="787" t="s">
        <v>15447</v>
      </c>
      <c r="D8590" s="787">
        <v>0</v>
      </c>
      <c r="E8590" s="787">
        <v>0</v>
      </c>
      <c r="H8590" s="787">
        <v>1</v>
      </c>
      <c r="I8590" s="788">
        <v>41956</v>
      </c>
      <c r="L8590" s="787">
        <v>0</v>
      </c>
      <c r="M8590" s="787">
        <v>10</v>
      </c>
      <c r="N8590" s="787">
        <v>25.97</v>
      </c>
      <c r="O8590" s="788">
        <v>42124</v>
      </c>
    </row>
    <row r="8591" spans="1:15" x14ac:dyDescent="0.25">
      <c r="A8591" s="786" t="s">
        <v>15448</v>
      </c>
      <c r="B8591" s="787">
        <v>4</v>
      </c>
      <c r="C8591" s="787" t="s">
        <v>15449</v>
      </c>
      <c r="D8591" s="787">
        <v>7.44</v>
      </c>
      <c r="E8591" s="787">
        <v>27.44</v>
      </c>
      <c r="F8591" s="788">
        <v>41134</v>
      </c>
      <c r="G8591" s="788">
        <v>41565</v>
      </c>
      <c r="H8591" s="787">
        <v>1</v>
      </c>
      <c r="I8591" s="788">
        <v>41894</v>
      </c>
      <c r="J8591" s="788">
        <v>40970</v>
      </c>
      <c r="L8591" s="787">
        <v>0</v>
      </c>
      <c r="M8591" s="787">
        <v>10</v>
      </c>
      <c r="N8591" s="787">
        <v>11.99</v>
      </c>
      <c r="O8591" s="788">
        <v>41858</v>
      </c>
    </row>
    <row r="8592" spans="1:15" x14ac:dyDescent="0.25">
      <c r="A8592" s="786" t="s">
        <v>15450</v>
      </c>
      <c r="B8592" s="787">
        <v>4</v>
      </c>
      <c r="C8592" s="787" t="s">
        <v>15451</v>
      </c>
      <c r="D8592" s="787">
        <v>0</v>
      </c>
      <c r="E8592" s="787">
        <v>0</v>
      </c>
      <c r="H8592" s="787">
        <v>1</v>
      </c>
      <c r="I8592" s="788">
        <v>41794</v>
      </c>
      <c r="K8592" s="788">
        <v>41778</v>
      </c>
      <c r="L8592" s="787">
        <v>24.22</v>
      </c>
      <c r="M8592" s="787">
        <v>10</v>
      </c>
      <c r="N8592" s="787">
        <v>22.72</v>
      </c>
      <c r="O8592" s="788">
        <v>42146</v>
      </c>
    </row>
    <row r="8593" spans="1:15" x14ac:dyDescent="0.25">
      <c r="A8593" s="786" t="s">
        <v>15452</v>
      </c>
      <c r="B8593" s="787">
        <v>4</v>
      </c>
      <c r="C8593" s="787" t="s">
        <v>15453</v>
      </c>
      <c r="D8593" s="787">
        <v>0</v>
      </c>
      <c r="E8593" s="787">
        <v>0</v>
      </c>
      <c r="H8593" s="787">
        <v>1</v>
      </c>
      <c r="L8593" s="787">
        <v>0</v>
      </c>
      <c r="M8593" s="787">
        <v>10</v>
      </c>
      <c r="N8593" s="787">
        <v>20.87</v>
      </c>
      <c r="O8593" s="788">
        <v>41858</v>
      </c>
    </row>
    <row r="8594" spans="1:15" x14ac:dyDescent="0.25">
      <c r="A8594" s="786" t="s">
        <v>15454</v>
      </c>
      <c r="B8594" s="787">
        <v>4</v>
      </c>
      <c r="C8594" s="787" t="s">
        <v>15453</v>
      </c>
      <c r="D8594" s="787">
        <v>0</v>
      </c>
      <c r="E8594" s="787">
        <v>0</v>
      </c>
      <c r="H8594" s="787">
        <v>1</v>
      </c>
      <c r="L8594" s="787">
        <v>0</v>
      </c>
      <c r="M8594" s="787">
        <v>10</v>
      </c>
      <c r="N8594" s="787">
        <v>20.87</v>
      </c>
      <c r="O8594" s="788">
        <v>41858</v>
      </c>
    </row>
    <row r="8595" spans="1:15" x14ac:dyDescent="0.25">
      <c r="A8595" s="786" t="s">
        <v>15455</v>
      </c>
      <c r="B8595" s="787">
        <v>4</v>
      </c>
      <c r="C8595" s="787" t="s">
        <v>15456</v>
      </c>
      <c r="D8595" s="787">
        <v>0</v>
      </c>
      <c r="E8595" s="787">
        <v>0</v>
      </c>
      <c r="H8595" s="787">
        <v>1</v>
      </c>
      <c r="I8595" s="788">
        <v>41794</v>
      </c>
      <c r="K8595" s="788">
        <v>41778</v>
      </c>
      <c r="L8595" s="787">
        <v>8.6999999999999993</v>
      </c>
      <c r="M8595" s="787">
        <v>10</v>
      </c>
      <c r="N8595" s="787">
        <v>8.52</v>
      </c>
      <c r="O8595" s="788">
        <v>42146</v>
      </c>
    </row>
    <row r="8596" spans="1:15" x14ac:dyDescent="0.25">
      <c r="A8596" s="786" t="s">
        <v>15457</v>
      </c>
      <c r="B8596" s="787">
        <v>4</v>
      </c>
      <c r="C8596" s="787" t="s">
        <v>15458</v>
      </c>
      <c r="D8596" s="787">
        <v>0</v>
      </c>
      <c r="E8596" s="787">
        <v>0</v>
      </c>
      <c r="H8596" s="787">
        <v>1</v>
      </c>
      <c r="L8596" s="787">
        <v>0</v>
      </c>
      <c r="M8596" s="787">
        <v>10</v>
      </c>
      <c r="N8596" s="787">
        <v>6.98</v>
      </c>
      <c r="O8596" s="788">
        <v>41858</v>
      </c>
    </row>
    <row r="8597" spans="1:15" x14ac:dyDescent="0.25">
      <c r="A8597" s="786" t="s">
        <v>15459</v>
      </c>
      <c r="B8597" s="787">
        <v>4</v>
      </c>
      <c r="C8597" s="787" t="s">
        <v>15458</v>
      </c>
      <c r="D8597" s="787">
        <v>0</v>
      </c>
      <c r="E8597" s="787">
        <v>0</v>
      </c>
      <c r="H8597" s="787">
        <v>1</v>
      </c>
      <c r="L8597" s="787">
        <v>0</v>
      </c>
      <c r="M8597" s="787">
        <v>10</v>
      </c>
      <c r="N8597" s="787">
        <v>6.54</v>
      </c>
      <c r="O8597" s="788">
        <v>41858</v>
      </c>
    </row>
    <row r="8598" spans="1:15" x14ac:dyDescent="0.25">
      <c r="A8598" s="786" t="s">
        <v>15460</v>
      </c>
      <c r="B8598" s="787">
        <v>4</v>
      </c>
      <c r="C8598" s="787" t="s">
        <v>15461</v>
      </c>
      <c r="D8598" s="787">
        <v>0</v>
      </c>
      <c r="E8598" s="787">
        <v>0</v>
      </c>
      <c r="H8598" s="787">
        <v>1</v>
      </c>
      <c r="I8598" s="788">
        <v>41803</v>
      </c>
      <c r="L8598" s="787">
        <v>0</v>
      </c>
      <c r="M8598" s="787">
        <v>10</v>
      </c>
      <c r="N8598" s="787">
        <v>28.92</v>
      </c>
      <c r="O8598" s="788">
        <v>42146</v>
      </c>
    </row>
    <row r="8599" spans="1:15" x14ac:dyDescent="0.25">
      <c r="A8599" s="786" t="s">
        <v>15462</v>
      </c>
      <c r="B8599" s="787">
        <v>4</v>
      </c>
      <c r="C8599" s="787" t="s">
        <v>15463</v>
      </c>
      <c r="D8599" s="787">
        <v>0</v>
      </c>
      <c r="E8599" s="787">
        <v>0</v>
      </c>
      <c r="H8599" s="787">
        <v>1</v>
      </c>
      <c r="I8599" s="788">
        <v>41794</v>
      </c>
      <c r="L8599" s="787">
        <v>0</v>
      </c>
      <c r="M8599" s="787">
        <v>10</v>
      </c>
      <c r="N8599" s="787">
        <v>25.92</v>
      </c>
      <c r="O8599" s="788">
        <v>42146</v>
      </c>
    </row>
    <row r="8600" spans="1:15" x14ac:dyDescent="0.25">
      <c r="A8600" s="786" t="s">
        <v>15464</v>
      </c>
      <c r="B8600" s="787">
        <v>4</v>
      </c>
      <c r="C8600" s="787" t="s">
        <v>15463</v>
      </c>
      <c r="D8600" s="787">
        <v>0</v>
      </c>
      <c r="E8600" s="787">
        <v>0</v>
      </c>
      <c r="H8600" s="787">
        <v>1</v>
      </c>
      <c r="L8600" s="787">
        <v>0</v>
      </c>
      <c r="M8600" s="787">
        <v>10</v>
      </c>
      <c r="N8600" s="787">
        <v>25.92</v>
      </c>
      <c r="O8600" s="788">
        <v>42146</v>
      </c>
    </row>
    <row r="8601" spans="1:15" x14ac:dyDescent="0.25">
      <c r="A8601" s="786" t="s">
        <v>15465</v>
      </c>
      <c r="B8601" s="787">
        <v>4</v>
      </c>
      <c r="C8601" s="787" t="s">
        <v>15466</v>
      </c>
      <c r="D8601" s="787">
        <v>0</v>
      </c>
      <c r="E8601" s="787">
        <v>0</v>
      </c>
      <c r="H8601" s="787">
        <v>1</v>
      </c>
      <c r="I8601" s="788">
        <v>41803</v>
      </c>
      <c r="L8601" s="787">
        <v>0</v>
      </c>
      <c r="M8601" s="787">
        <v>10</v>
      </c>
      <c r="N8601" s="787">
        <v>9.58</v>
      </c>
      <c r="O8601" s="788">
        <v>42146</v>
      </c>
    </row>
    <row r="8602" spans="1:15" x14ac:dyDescent="0.25">
      <c r="A8602" s="786" t="s">
        <v>15467</v>
      </c>
      <c r="B8602" s="787">
        <v>4</v>
      </c>
      <c r="C8602" s="787" t="s">
        <v>15468</v>
      </c>
      <c r="D8602" s="787">
        <v>0</v>
      </c>
      <c r="E8602" s="787">
        <v>0</v>
      </c>
      <c r="H8602" s="787">
        <v>1</v>
      </c>
      <c r="I8602" s="788">
        <v>41794</v>
      </c>
      <c r="L8602" s="787">
        <v>0</v>
      </c>
      <c r="M8602" s="787">
        <v>10</v>
      </c>
      <c r="N8602" s="787">
        <v>8.26</v>
      </c>
      <c r="O8602" s="788">
        <v>42146</v>
      </c>
    </row>
    <row r="8603" spans="1:15" x14ac:dyDescent="0.25">
      <c r="A8603" s="786" t="s">
        <v>15469</v>
      </c>
      <c r="B8603" s="787">
        <v>4</v>
      </c>
      <c r="C8603" s="787" t="s">
        <v>15468</v>
      </c>
      <c r="D8603" s="787">
        <v>0</v>
      </c>
      <c r="E8603" s="787">
        <v>0</v>
      </c>
      <c r="H8603" s="787">
        <v>1</v>
      </c>
      <c r="L8603" s="787">
        <v>0</v>
      </c>
      <c r="M8603" s="787">
        <v>10</v>
      </c>
      <c r="N8603" s="787">
        <v>7.83</v>
      </c>
      <c r="O8603" s="788">
        <v>42146</v>
      </c>
    </row>
    <row r="8604" spans="1:15" x14ac:dyDescent="0.25">
      <c r="A8604" s="786" t="s">
        <v>15470</v>
      </c>
      <c r="B8604" s="787">
        <v>4</v>
      </c>
      <c r="C8604" s="787" t="s">
        <v>15471</v>
      </c>
      <c r="D8604" s="787">
        <v>0</v>
      </c>
      <c r="E8604" s="787">
        <v>0</v>
      </c>
      <c r="H8604" s="787">
        <v>1</v>
      </c>
      <c r="I8604" s="788">
        <v>42156</v>
      </c>
      <c r="L8604" s="787">
        <v>0</v>
      </c>
      <c r="M8604" s="787">
        <v>10</v>
      </c>
      <c r="N8604" s="787">
        <v>6.24</v>
      </c>
      <c r="O8604" s="788">
        <v>42146</v>
      </c>
    </row>
    <row r="8605" spans="1:15" x14ac:dyDescent="0.25">
      <c r="A8605" s="786" t="s">
        <v>15472</v>
      </c>
      <c r="B8605" s="787">
        <v>4</v>
      </c>
      <c r="C8605" s="787" t="s">
        <v>15473</v>
      </c>
      <c r="D8605" s="787">
        <v>0</v>
      </c>
      <c r="E8605" s="787">
        <v>0</v>
      </c>
      <c r="H8605" s="787">
        <v>1</v>
      </c>
      <c r="I8605" s="788">
        <v>42156</v>
      </c>
      <c r="L8605" s="787">
        <v>0</v>
      </c>
      <c r="M8605" s="787">
        <v>10</v>
      </c>
      <c r="N8605" s="787">
        <v>6.24</v>
      </c>
      <c r="O8605" s="788">
        <v>42146</v>
      </c>
    </row>
    <row r="8606" spans="1:15" x14ac:dyDescent="0.25">
      <c r="A8606" s="786" t="s">
        <v>15474</v>
      </c>
      <c r="B8606" s="787">
        <v>4</v>
      </c>
      <c r="C8606" s="787" t="s">
        <v>15475</v>
      </c>
      <c r="D8606" s="787">
        <v>0</v>
      </c>
      <c r="E8606" s="787">
        <v>0</v>
      </c>
      <c r="H8606" s="787">
        <v>1</v>
      </c>
      <c r="I8606" s="788">
        <v>42156</v>
      </c>
      <c r="L8606" s="787">
        <v>0</v>
      </c>
      <c r="M8606" s="787">
        <v>10</v>
      </c>
      <c r="N8606" s="787">
        <v>10.81</v>
      </c>
      <c r="O8606" s="788">
        <v>42146</v>
      </c>
    </row>
    <row r="8607" spans="1:15" x14ac:dyDescent="0.25">
      <c r="A8607" s="786" t="s">
        <v>15476</v>
      </c>
      <c r="B8607" s="787">
        <v>4</v>
      </c>
      <c r="C8607" s="787" t="s">
        <v>15477</v>
      </c>
      <c r="D8607" s="787">
        <v>0</v>
      </c>
      <c r="E8607" s="787">
        <v>0</v>
      </c>
      <c r="H8607" s="787">
        <v>1</v>
      </c>
      <c r="I8607" s="788">
        <v>41803</v>
      </c>
      <c r="L8607" s="787">
        <v>0</v>
      </c>
      <c r="M8607" s="787">
        <v>10</v>
      </c>
      <c r="N8607" s="787">
        <v>10.81</v>
      </c>
      <c r="O8607" s="788">
        <v>42146</v>
      </c>
    </row>
    <row r="8608" spans="1:15" x14ac:dyDescent="0.25">
      <c r="A8608" s="786" t="s">
        <v>15478</v>
      </c>
      <c r="B8608" s="787">
        <v>4</v>
      </c>
      <c r="C8608" s="787" t="s">
        <v>15479</v>
      </c>
      <c r="D8608" s="787">
        <v>0</v>
      </c>
      <c r="E8608" s="787">
        <v>0</v>
      </c>
      <c r="H8608" s="787">
        <v>1</v>
      </c>
      <c r="I8608" s="788">
        <v>42156</v>
      </c>
      <c r="L8608" s="787">
        <v>0</v>
      </c>
      <c r="M8608" s="787">
        <v>10</v>
      </c>
      <c r="N8608" s="787">
        <v>2.34</v>
      </c>
      <c r="O8608" s="788">
        <v>42146</v>
      </c>
    </row>
    <row r="8609" spans="1:15" x14ac:dyDescent="0.25">
      <c r="A8609" s="786" t="s">
        <v>15480</v>
      </c>
      <c r="B8609" s="787">
        <v>4</v>
      </c>
      <c r="C8609" s="787" t="s">
        <v>15481</v>
      </c>
      <c r="D8609" s="787">
        <v>0</v>
      </c>
      <c r="E8609" s="787">
        <v>0</v>
      </c>
      <c r="H8609" s="787">
        <v>1</v>
      </c>
      <c r="I8609" s="788">
        <v>42156</v>
      </c>
      <c r="L8609" s="787">
        <v>0</v>
      </c>
      <c r="M8609" s="787">
        <v>10</v>
      </c>
      <c r="N8609" s="787">
        <v>4.8499999999999996</v>
      </c>
      <c r="O8609" s="788">
        <v>42146</v>
      </c>
    </row>
    <row r="8610" spans="1:15" x14ac:dyDescent="0.25">
      <c r="A8610" s="786" t="s">
        <v>15482</v>
      </c>
      <c r="B8610" s="787">
        <v>4</v>
      </c>
      <c r="C8610" s="787" t="s">
        <v>15483</v>
      </c>
      <c r="D8610" s="787">
        <v>0</v>
      </c>
      <c r="E8610" s="787">
        <v>0</v>
      </c>
      <c r="H8610" s="787">
        <v>1</v>
      </c>
      <c r="I8610" s="788">
        <v>42157</v>
      </c>
      <c r="L8610" s="787">
        <v>0</v>
      </c>
      <c r="M8610" s="787">
        <v>10</v>
      </c>
      <c r="N8610" s="787">
        <v>20.02</v>
      </c>
      <c r="O8610" s="788">
        <v>42146</v>
      </c>
    </row>
    <row r="8611" spans="1:15" x14ac:dyDescent="0.25">
      <c r="A8611" s="786" t="s">
        <v>15484</v>
      </c>
      <c r="B8611" s="787">
        <v>4</v>
      </c>
      <c r="C8611" s="787" t="s">
        <v>15485</v>
      </c>
      <c r="D8611" s="787">
        <v>0</v>
      </c>
      <c r="E8611" s="787">
        <v>0</v>
      </c>
      <c r="H8611" s="787">
        <v>1</v>
      </c>
      <c r="I8611" s="788">
        <v>42157</v>
      </c>
      <c r="K8611" s="788">
        <v>41962</v>
      </c>
      <c r="L8611" s="787">
        <v>20.02</v>
      </c>
      <c r="M8611" s="787">
        <v>10</v>
      </c>
      <c r="N8611" s="787">
        <v>20.02</v>
      </c>
      <c r="O8611" s="788">
        <v>42146</v>
      </c>
    </row>
    <row r="8612" spans="1:15" x14ac:dyDescent="0.25">
      <c r="A8612" s="786" t="s">
        <v>15486</v>
      </c>
      <c r="B8612" s="787">
        <v>4</v>
      </c>
      <c r="C8612" s="787" t="s">
        <v>15487</v>
      </c>
      <c r="D8612" s="787">
        <v>0</v>
      </c>
      <c r="E8612" s="787">
        <v>0</v>
      </c>
      <c r="H8612" s="787">
        <v>1</v>
      </c>
      <c r="L8612" s="787">
        <v>0</v>
      </c>
      <c r="M8612" s="787">
        <v>10</v>
      </c>
      <c r="N8612" s="787">
        <v>6.49</v>
      </c>
      <c r="O8612" s="788">
        <v>42146</v>
      </c>
    </row>
    <row r="8613" spans="1:15" x14ac:dyDescent="0.25">
      <c r="A8613" s="786" t="s">
        <v>15488</v>
      </c>
      <c r="B8613" s="787">
        <v>4</v>
      </c>
      <c r="C8613" s="787" t="s">
        <v>15489</v>
      </c>
      <c r="D8613" s="787">
        <v>0</v>
      </c>
      <c r="E8613" s="787">
        <v>0</v>
      </c>
      <c r="H8613" s="787">
        <v>1</v>
      </c>
      <c r="L8613" s="787">
        <v>0</v>
      </c>
      <c r="M8613" s="787">
        <v>10</v>
      </c>
      <c r="N8613" s="787">
        <v>12.82</v>
      </c>
      <c r="O8613" s="788">
        <v>42146</v>
      </c>
    </row>
    <row r="8614" spans="1:15" x14ac:dyDescent="0.25">
      <c r="A8614" s="786" t="s">
        <v>15490</v>
      </c>
      <c r="B8614" s="787">
        <v>4</v>
      </c>
      <c r="C8614" s="787" t="s">
        <v>15491</v>
      </c>
      <c r="D8614" s="787">
        <v>0</v>
      </c>
      <c r="E8614" s="787">
        <v>0</v>
      </c>
      <c r="H8614" s="787">
        <v>1</v>
      </c>
      <c r="I8614" s="788">
        <v>42157</v>
      </c>
      <c r="L8614" s="787">
        <v>0</v>
      </c>
      <c r="M8614" s="787">
        <v>10</v>
      </c>
      <c r="N8614" s="787">
        <v>3.48</v>
      </c>
      <c r="O8614" s="788">
        <v>42146</v>
      </c>
    </row>
    <row r="8615" spans="1:15" x14ac:dyDescent="0.25">
      <c r="A8615" s="786" t="s">
        <v>15492</v>
      </c>
      <c r="B8615" s="787">
        <v>4</v>
      </c>
      <c r="C8615" s="787" t="s">
        <v>15493</v>
      </c>
      <c r="D8615" s="787">
        <v>3.9</v>
      </c>
      <c r="E8615" s="787">
        <v>23.9</v>
      </c>
      <c r="F8615" s="788">
        <v>41775</v>
      </c>
      <c r="G8615" s="788">
        <v>41775</v>
      </c>
      <c r="H8615" s="787">
        <v>1</v>
      </c>
      <c r="I8615" s="788">
        <v>41711</v>
      </c>
      <c r="J8615" s="788">
        <v>41659</v>
      </c>
      <c r="L8615" s="787">
        <v>8</v>
      </c>
      <c r="M8615" s="787">
        <v>10</v>
      </c>
      <c r="N8615" s="787">
        <v>27.9</v>
      </c>
      <c r="O8615" s="788">
        <v>42125</v>
      </c>
    </row>
    <row r="8616" spans="1:15" x14ac:dyDescent="0.25">
      <c r="A8616" s="786" t="s">
        <v>15494</v>
      </c>
      <c r="B8616" s="787">
        <v>4</v>
      </c>
      <c r="C8616" s="787" t="s">
        <v>15495</v>
      </c>
      <c r="D8616" s="787">
        <v>0</v>
      </c>
      <c r="E8616" s="787">
        <v>0</v>
      </c>
      <c r="H8616" s="787">
        <v>1</v>
      </c>
      <c r="I8616" s="788">
        <v>41949</v>
      </c>
      <c r="L8616" s="787">
        <v>0</v>
      </c>
      <c r="M8616" s="787">
        <v>10</v>
      </c>
      <c r="N8616" s="787">
        <v>33.619999999999997</v>
      </c>
      <c r="O8616" s="788">
        <v>42146</v>
      </c>
    </row>
    <row r="8617" spans="1:15" x14ac:dyDescent="0.25">
      <c r="A8617" s="786" t="s">
        <v>15496</v>
      </c>
      <c r="B8617" s="787">
        <v>4</v>
      </c>
      <c r="C8617" s="787" t="s">
        <v>15497</v>
      </c>
      <c r="D8617" s="787">
        <v>0</v>
      </c>
      <c r="E8617" s="787">
        <v>0</v>
      </c>
      <c r="F8617" s="788">
        <v>41775</v>
      </c>
      <c r="G8617" s="788">
        <v>41775</v>
      </c>
      <c r="H8617" s="787">
        <v>1</v>
      </c>
      <c r="I8617" s="788">
        <v>41711</v>
      </c>
      <c r="J8617" s="788">
        <v>41659</v>
      </c>
      <c r="L8617" s="787">
        <v>8</v>
      </c>
      <c r="M8617" s="787">
        <v>10</v>
      </c>
      <c r="N8617" s="787">
        <v>32.700000000000003</v>
      </c>
      <c r="O8617" s="788">
        <v>42125</v>
      </c>
    </row>
    <row r="8618" spans="1:15" x14ac:dyDescent="0.25">
      <c r="A8618" s="786" t="s">
        <v>15498</v>
      </c>
      <c r="B8618" s="787">
        <v>4</v>
      </c>
      <c r="C8618" s="787" t="s">
        <v>15499</v>
      </c>
      <c r="D8618" s="787">
        <v>1.81</v>
      </c>
      <c r="E8618" s="787">
        <v>1.81</v>
      </c>
      <c r="F8618" s="788">
        <v>41813</v>
      </c>
      <c r="G8618" s="788">
        <v>41943</v>
      </c>
      <c r="H8618" s="787">
        <v>1</v>
      </c>
      <c r="I8618" s="788">
        <v>42137</v>
      </c>
      <c r="J8618" s="788">
        <v>41923</v>
      </c>
      <c r="K8618" s="788">
        <v>41451</v>
      </c>
      <c r="L8618" s="787">
        <v>8.0500000000000007</v>
      </c>
      <c r="M8618" s="787">
        <v>10</v>
      </c>
      <c r="N8618" s="787">
        <v>5.51</v>
      </c>
      <c r="O8618" s="788">
        <v>42136</v>
      </c>
    </row>
    <row r="8619" spans="1:15" x14ac:dyDescent="0.25">
      <c r="A8619" s="786" t="s">
        <v>15500</v>
      </c>
      <c r="B8619" s="787">
        <v>4</v>
      </c>
      <c r="C8619" s="787" t="s">
        <v>15491</v>
      </c>
      <c r="D8619" s="787">
        <v>0</v>
      </c>
      <c r="E8619" s="787">
        <v>0</v>
      </c>
      <c r="H8619" s="787">
        <v>1</v>
      </c>
      <c r="I8619" s="788">
        <v>41949</v>
      </c>
      <c r="L8619" s="787">
        <v>0</v>
      </c>
      <c r="M8619" s="787">
        <v>10</v>
      </c>
      <c r="N8619" s="787">
        <v>4.8499999999999996</v>
      </c>
      <c r="O8619" s="788">
        <v>42146</v>
      </c>
    </row>
    <row r="8620" spans="1:15" x14ac:dyDescent="0.25">
      <c r="A8620" s="786" t="s">
        <v>15501</v>
      </c>
      <c r="B8620" s="787">
        <v>4</v>
      </c>
      <c r="C8620" s="787" t="s">
        <v>15502</v>
      </c>
      <c r="D8620" s="787">
        <v>0</v>
      </c>
      <c r="E8620" s="787">
        <v>0</v>
      </c>
      <c r="H8620" s="787">
        <v>1</v>
      </c>
      <c r="I8620" s="788">
        <v>42157</v>
      </c>
      <c r="L8620" s="787">
        <v>0</v>
      </c>
      <c r="M8620" s="787">
        <v>10</v>
      </c>
      <c r="N8620" s="787">
        <v>7.36</v>
      </c>
      <c r="O8620" s="788">
        <v>42146</v>
      </c>
    </row>
    <row r="8621" spans="1:15" x14ac:dyDescent="0.25">
      <c r="A8621" s="786" t="s">
        <v>15503</v>
      </c>
      <c r="B8621" s="787">
        <v>4</v>
      </c>
      <c r="C8621" s="787" t="s">
        <v>15504</v>
      </c>
      <c r="D8621" s="787">
        <v>0</v>
      </c>
      <c r="E8621" s="787">
        <v>0</v>
      </c>
      <c r="H8621" s="787">
        <v>1</v>
      </c>
      <c r="I8621" s="788">
        <v>42157</v>
      </c>
      <c r="L8621" s="787">
        <v>0</v>
      </c>
      <c r="M8621" s="787">
        <v>10</v>
      </c>
      <c r="N8621" s="787">
        <v>6.1</v>
      </c>
      <c r="O8621" s="788">
        <v>42146</v>
      </c>
    </row>
    <row r="8622" spans="1:15" x14ac:dyDescent="0.25">
      <c r="A8622" s="786" t="s">
        <v>15505</v>
      </c>
      <c r="B8622" s="787">
        <v>4</v>
      </c>
      <c r="C8622" s="787" t="s">
        <v>15506</v>
      </c>
      <c r="D8622" s="787">
        <v>0</v>
      </c>
      <c r="E8622" s="787">
        <v>0</v>
      </c>
      <c r="H8622" s="787">
        <v>1</v>
      </c>
      <c r="I8622" s="788">
        <v>42157</v>
      </c>
      <c r="L8622" s="787">
        <v>0</v>
      </c>
      <c r="M8622" s="787">
        <v>10</v>
      </c>
      <c r="N8622" s="787">
        <v>6.1</v>
      </c>
      <c r="O8622" s="788">
        <v>42146</v>
      </c>
    </row>
    <row r="8623" spans="1:15" x14ac:dyDescent="0.25">
      <c r="A8623" s="786" t="s">
        <v>15507</v>
      </c>
      <c r="B8623" s="787">
        <v>4</v>
      </c>
      <c r="C8623" s="787" t="s">
        <v>15508</v>
      </c>
      <c r="D8623" s="787">
        <v>0</v>
      </c>
      <c r="E8623" s="787">
        <v>0</v>
      </c>
      <c r="H8623" s="787">
        <v>1</v>
      </c>
      <c r="I8623" s="788">
        <v>42156</v>
      </c>
      <c r="L8623" s="787">
        <v>0</v>
      </c>
      <c r="M8623" s="787">
        <v>10</v>
      </c>
      <c r="N8623" s="787">
        <v>3.89</v>
      </c>
      <c r="O8623" s="788">
        <v>42146</v>
      </c>
    </row>
    <row r="8624" spans="1:15" x14ac:dyDescent="0.25">
      <c r="A8624" s="786" t="s">
        <v>15509</v>
      </c>
      <c r="B8624" s="787">
        <v>4</v>
      </c>
      <c r="C8624" s="787" t="s">
        <v>15510</v>
      </c>
      <c r="D8624" s="787">
        <v>0</v>
      </c>
      <c r="E8624" s="787">
        <v>0</v>
      </c>
      <c r="H8624" s="787">
        <v>1</v>
      </c>
      <c r="I8624" s="788">
        <v>41803</v>
      </c>
      <c r="L8624" s="787">
        <v>0</v>
      </c>
      <c r="M8624" s="787">
        <v>10</v>
      </c>
      <c r="N8624" s="787">
        <v>3.89</v>
      </c>
      <c r="O8624" s="788">
        <v>42146</v>
      </c>
    </row>
    <row r="8625" spans="1:15" x14ac:dyDescent="0.25">
      <c r="A8625" s="786" t="s">
        <v>15511</v>
      </c>
      <c r="B8625" s="787">
        <v>4</v>
      </c>
      <c r="C8625" s="787" t="s">
        <v>15512</v>
      </c>
      <c r="D8625" s="787">
        <v>0</v>
      </c>
      <c r="E8625" s="787">
        <v>0</v>
      </c>
      <c r="H8625" s="787">
        <v>1</v>
      </c>
      <c r="I8625" s="788">
        <v>42157</v>
      </c>
      <c r="L8625" s="787">
        <v>0</v>
      </c>
      <c r="M8625" s="787">
        <v>10</v>
      </c>
      <c r="N8625" s="787">
        <v>3.54</v>
      </c>
      <c r="O8625" s="788">
        <v>42146</v>
      </c>
    </row>
    <row r="8626" spans="1:15" x14ac:dyDescent="0.25">
      <c r="A8626" s="786" t="s">
        <v>15513</v>
      </c>
      <c r="B8626" s="787">
        <v>4</v>
      </c>
      <c r="C8626" s="787" t="s">
        <v>15514</v>
      </c>
      <c r="D8626" s="787">
        <v>0</v>
      </c>
      <c r="E8626" s="787">
        <v>0</v>
      </c>
      <c r="H8626" s="787">
        <v>1</v>
      </c>
      <c r="I8626" s="788">
        <v>42156</v>
      </c>
      <c r="L8626" s="787">
        <v>0</v>
      </c>
      <c r="M8626" s="787">
        <v>10</v>
      </c>
      <c r="N8626" s="787">
        <v>3.71</v>
      </c>
      <c r="O8626" s="788">
        <v>41858</v>
      </c>
    </row>
    <row r="8627" spans="1:15" x14ac:dyDescent="0.25">
      <c r="A8627" s="786" t="s">
        <v>15515</v>
      </c>
      <c r="B8627" s="787">
        <v>4</v>
      </c>
      <c r="C8627" s="787" t="s">
        <v>15516</v>
      </c>
      <c r="D8627" s="787">
        <v>0</v>
      </c>
      <c r="E8627" s="787">
        <v>0</v>
      </c>
      <c r="H8627" s="787">
        <v>1</v>
      </c>
      <c r="I8627" s="788">
        <v>41785</v>
      </c>
      <c r="L8627" s="787">
        <v>0</v>
      </c>
      <c r="M8627" s="787">
        <v>10</v>
      </c>
      <c r="N8627" s="787">
        <v>5.0199999999999996</v>
      </c>
      <c r="O8627" s="788">
        <v>42146</v>
      </c>
    </row>
    <row r="8628" spans="1:15" x14ac:dyDescent="0.25">
      <c r="A8628" s="786" t="s">
        <v>15517</v>
      </c>
      <c r="B8628" s="787">
        <v>4</v>
      </c>
      <c r="C8628" s="787" t="s">
        <v>15518</v>
      </c>
      <c r="D8628" s="787">
        <v>0</v>
      </c>
      <c r="E8628" s="787">
        <v>0</v>
      </c>
      <c r="H8628" s="787">
        <v>1</v>
      </c>
      <c r="I8628" s="788">
        <v>40857</v>
      </c>
      <c r="L8628" s="787">
        <v>0</v>
      </c>
      <c r="M8628" s="787">
        <v>10</v>
      </c>
      <c r="N8628" s="787">
        <v>5.89</v>
      </c>
      <c r="O8628" s="788">
        <v>42136</v>
      </c>
    </row>
    <row r="8629" spans="1:15" x14ac:dyDescent="0.25">
      <c r="A8629" s="786" t="s">
        <v>15519</v>
      </c>
      <c r="B8629" s="787">
        <v>4</v>
      </c>
      <c r="C8629" s="787" t="s">
        <v>15520</v>
      </c>
      <c r="D8629" s="787">
        <v>0</v>
      </c>
      <c r="E8629" s="787">
        <v>0</v>
      </c>
      <c r="H8629" s="787">
        <v>1</v>
      </c>
      <c r="I8629" s="788">
        <v>42104</v>
      </c>
      <c r="K8629" s="788">
        <v>42102</v>
      </c>
      <c r="L8629" s="787">
        <v>1.26</v>
      </c>
      <c r="M8629" s="787">
        <v>10</v>
      </c>
      <c r="N8629" s="787">
        <v>1.26</v>
      </c>
      <c r="O8629" s="788">
        <v>42102</v>
      </c>
    </row>
    <row r="8630" spans="1:15" x14ac:dyDescent="0.25">
      <c r="A8630" s="786" t="s">
        <v>15521</v>
      </c>
      <c r="B8630" s="787">
        <v>4</v>
      </c>
      <c r="C8630" s="787" t="s">
        <v>15522</v>
      </c>
      <c r="D8630" s="787">
        <v>0</v>
      </c>
      <c r="E8630" s="787">
        <v>0</v>
      </c>
      <c r="H8630" s="787">
        <v>1</v>
      </c>
      <c r="L8630" s="787">
        <v>0</v>
      </c>
      <c r="M8630" s="787">
        <v>10</v>
      </c>
      <c r="N8630" s="787">
        <v>0.88</v>
      </c>
      <c r="O8630" s="788">
        <v>41858</v>
      </c>
    </row>
    <row r="8631" spans="1:15" x14ac:dyDescent="0.25">
      <c r="A8631" s="786" t="s">
        <v>15523</v>
      </c>
      <c r="B8631" s="787">
        <v>4</v>
      </c>
      <c r="C8631" s="787" t="s">
        <v>15524</v>
      </c>
      <c r="D8631" s="787">
        <v>0.48</v>
      </c>
      <c r="E8631" s="787">
        <v>0.51</v>
      </c>
      <c r="F8631" s="788">
        <v>41218</v>
      </c>
      <c r="G8631" s="788">
        <v>42081</v>
      </c>
      <c r="H8631" s="787">
        <v>1</v>
      </c>
      <c r="I8631" s="788">
        <v>42136</v>
      </c>
      <c r="J8631" s="788">
        <v>42062</v>
      </c>
      <c r="K8631" s="788">
        <v>41787</v>
      </c>
      <c r="L8631" s="787">
        <v>0.51</v>
      </c>
      <c r="M8631" s="787">
        <v>20</v>
      </c>
      <c r="N8631" s="787">
        <v>0.55000000000000004</v>
      </c>
      <c r="O8631" s="788">
        <v>42146</v>
      </c>
    </row>
    <row r="8632" spans="1:15" x14ac:dyDescent="0.25">
      <c r="A8632" s="786" t="s">
        <v>15525</v>
      </c>
      <c r="B8632" s="787">
        <v>4</v>
      </c>
      <c r="C8632" s="787" t="s">
        <v>15526</v>
      </c>
      <c r="D8632" s="787">
        <v>5.29</v>
      </c>
      <c r="E8632" s="787">
        <v>15.29</v>
      </c>
      <c r="F8632" s="788">
        <v>41135</v>
      </c>
      <c r="G8632" s="788">
        <v>41135</v>
      </c>
      <c r="H8632" s="787">
        <v>1</v>
      </c>
      <c r="J8632" s="788">
        <v>40885</v>
      </c>
      <c r="L8632" s="787">
        <v>0</v>
      </c>
      <c r="M8632" s="787">
        <v>10</v>
      </c>
      <c r="N8632" s="787">
        <v>29.5</v>
      </c>
      <c r="O8632" s="788">
        <v>41858</v>
      </c>
    </row>
    <row r="8633" spans="1:15" x14ac:dyDescent="0.25">
      <c r="A8633" s="786" t="s">
        <v>15527</v>
      </c>
      <c r="B8633" s="787">
        <v>4</v>
      </c>
      <c r="C8633" s="787" t="s">
        <v>15528</v>
      </c>
      <c r="D8633" s="787">
        <v>4.8600000000000003</v>
      </c>
      <c r="E8633" s="787">
        <v>4.8600000000000003</v>
      </c>
      <c r="F8633" s="788">
        <v>40878</v>
      </c>
      <c r="G8633" s="788">
        <v>40878</v>
      </c>
      <c r="H8633" s="787">
        <v>1</v>
      </c>
      <c r="J8633" s="788">
        <v>40878</v>
      </c>
      <c r="L8633" s="787">
        <v>4.8600000000000003</v>
      </c>
      <c r="M8633" s="787">
        <v>20</v>
      </c>
      <c r="N8633" s="787">
        <v>5.22</v>
      </c>
      <c r="O8633" s="788">
        <v>41858</v>
      </c>
    </row>
    <row r="8634" spans="1:15" x14ac:dyDescent="0.25">
      <c r="A8634" s="786" t="s">
        <v>15529</v>
      </c>
      <c r="B8634" s="787">
        <v>4</v>
      </c>
      <c r="C8634" s="787" t="s">
        <v>15530</v>
      </c>
      <c r="D8634" s="787">
        <v>1.19</v>
      </c>
      <c r="E8634" s="787">
        <v>1.19</v>
      </c>
      <c r="F8634" s="788">
        <v>40878</v>
      </c>
      <c r="G8634" s="788">
        <v>40878</v>
      </c>
      <c r="H8634" s="787">
        <v>1</v>
      </c>
      <c r="J8634" s="788">
        <v>40878</v>
      </c>
      <c r="L8634" s="787">
        <v>1.19</v>
      </c>
      <c r="M8634" s="787">
        <v>20</v>
      </c>
      <c r="N8634" s="787">
        <v>1.28</v>
      </c>
      <c r="O8634" s="788">
        <v>41858</v>
      </c>
    </row>
    <row r="8635" spans="1:15" x14ac:dyDescent="0.25">
      <c r="A8635" s="786" t="s">
        <v>15531</v>
      </c>
      <c r="B8635" s="787">
        <v>4</v>
      </c>
      <c r="C8635" s="787" t="s">
        <v>15532</v>
      </c>
      <c r="D8635" s="787">
        <v>1.07</v>
      </c>
      <c r="E8635" s="787">
        <v>1.07</v>
      </c>
      <c r="F8635" s="788">
        <v>40878</v>
      </c>
      <c r="G8635" s="788">
        <v>40878</v>
      </c>
      <c r="H8635" s="787">
        <v>1</v>
      </c>
      <c r="J8635" s="788">
        <v>40878</v>
      </c>
      <c r="L8635" s="787">
        <v>1.07</v>
      </c>
      <c r="M8635" s="787">
        <v>20</v>
      </c>
      <c r="N8635" s="787">
        <v>1.1499999999999999</v>
      </c>
      <c r="O8635" s="788">
        <v>41858</v>
      </c>
    </row>
    <row r="8636" spans="1:15" x14ac:dyDescent="0.25">
      <c r="A8636" s="786" t="s">
        <v>15533</v>
      </c>
      <c r="B8636" s="787">
        <v>4</v>
      </c>
      <c r="C8636" s="787" t="s">
        <v>15534</v>
      </c>
      <c r="D8636" s="787">
        <v>0</v>
      </c>
      <c r="E8636" s="787">
        <v>0</v>
      </c>
      <c r="F8636" s="788">
        <v>41134</v>
      </c>
      <c r="G8636" s="788">
        <v>41134</v>
      </c>
      <c r="H8636" s="787">
        <v>1</v>
      </c>
      <c r="J8636" s="788">
        <v>41003</v>
      </c>
      <c r="L8636" s="787">
        <v>0</v>
      </c>
      <c r="M8636" s="787">
        <v>20</v>
      </c>
      <c r="N8636" s="787">
        <v>2.93</v>
      </c>
      <c r="O8636" s="788">
        <v>41858</v>
      </c>
    </row>
    <row r="8637" spans="1:15" x14ac:dyDescent="0.25">
      <c r="A8637" s="786" t="s">
        <v>15535</v>
      </c>
      <c r="B8637" s="787">
        <v>4</v>
      </c>
      <c r="C8637" s="787" t="s">
        <v>15536</v>
      </c>
      <c r="D8637" s="787">
        <v>0</v>
      </c>
      <c r="E8637" s="787">
        <v>0</v>
      </c>
      <c r="H8637" s="787">
        <v>1</v>
      </c>
      <c r="K8637" s="788">
        <v>42132</v>
      </c>
      <c r="L8637" s="787">
        <v>6</v>
      </c>
      <c r="M8637" s="787">
        <v>10</v>
      </c>
      <c r="N8637" s="787">
        <v>6</v>
      </c>
      <c r="O8637" s="788">
        <v>41858</v>
      </c>
    </row>
    <row r="8638" spans="1:15" x14ac:dyDescent="0.25">
      <c r="A8638" s="786" t="s">
        <v>15537</v>
      </c>
      <c r="B8638" s="787">
        <v>4</v>
      </c>
      <c r="C8638" s="787" t="s">
        <v>15536</v>
      </c>
      <c r="D8638" s="787">
        <v>0</v>
      </c>
      <c r="E8638" s="787">
        <v>0</v>
      </c>
      <c r="H8638" s="787">
        <v>1</v>
      </c>
      <c r="L8638" s="787">
        <v>0</v>
      </c>
      <c r="M8638" s="787">
        <v>10</v>
      </c>
      <c r="N8638" s="787">
        <v>6</v>
      </c>
      <c r="O8638" s="788">
        <v>41858</v>
      </c>
    </row>
    <row r="8639" spans="1:15" x14ac:dyDescent="0.25">
      <c r="A8639" s="786" t="s">
        <v>15538</v>
      </c>
      <c r="B8639" s="787">
        <v>4</v>
      </c>
      <c r="C8639" s="787" t="s">
        <v>15536</v>
      </c>
      <c r="D8639" s="787">
        <v>0</v>
      </c>
      <c r="E8639" s="787">
        <v>0</v>
      </c>
      <c r="H8639" s="787">
        <v>1</v>
      </c>
      <c r="L8639" s="787">
        <v>0</v>
      </c>
      <c r="M8639" s="787">
        <v>10</v>
      </c>
      <c r="N8639" s="787">
        <v>6</v>
      </c>
      <c r="O8639" s="788">
        <v>41858</v>
      </c>
    </row>
    <row r="8640" spans="1:15" x14ac:dyDescent="0.25">
      <c r="A8640" s="786" t="s">
        <v>15539</v>
      </c>
      <c r="B8640" s="787">
        <v>4</v>
      </c>
      <c r="C8640" s="787" t="s">
        <v>13580</v>
      </c>
      <c r="D8640" s="787">
        <v>0</v>
      </c>
      <c r="E8640" s="787">
        <v>0</v>
      </c>
      <c r="H8640" s="787">
        <v>1</v>
      </c>
      <c r="L8640" s="787">
        <v>0</v>
      </c>
      <c r="M8640" s="787">
        <v>10</v>
      </c>
      <c r="N8640" s="787">
        <v>6.86</v>
      </c>
      <c r="O8640" s="788">
        <v>41858</v>
      </c>
    </row>
    <row r="8641" spans="1:15" x14ac:dyDescent="0.25">
      <c r="A8641" s="786" t="s">
        <v>15540</v>
      </c>
      <c r="B8641" s="787">
        <v>4</v>
      </c>
      <c r="C8641" s="787" t="s">
        <v>13580</v>
      </c>
      <c r="D8641" s="787">
        <v>0</v>
      </c>
      <c r="E8641" s="787">
        <v>0</v>
      </c>
      <c r="H8641" s="787">
        <v>1</v>
      </c>
      <c r="L8641" s="787">
        <v>0</v>
      </c>
      <c r="M8641" s="787">
        <v>10</v>
      </c>
      <c r="N8641" s="787">
        <v>6.86</v>
      </c>
      <c r="O8641" s="788">
        <v>41858</v>
      </c>
    </row>
    <row r="8642" spans="1:15" x14ac:dyDescent="0.25">
      <c r="A8642" s="786" t="s">
        <v>15541</v>
      </c>
      <c r="B8642" s="787">
        <v>4</v>
      </c>
      <c r="C8642" s="787" t="s">
        <v>13580</v>
      </c>
      <c r="D8642" s="787">
        <v>0</v>
      </c>
      <c r="E8642" s="787">
        <v>0</v>
      </c>
      <c r="H8642" s="787">
        <v>1</v>
      </c>
      <c r="L8642" s="787">
        <v>0</v>
      </c>
      <c r="M8642" s="787">
        <v>10</v>
      </c>
      <c r="N8642" s="787">
        <v>6.86</v>
      </c>
      <c r="O8642" s="788">
        <v>41858</v>
      </c>
    </row>
    <row r="8643" spans="1:15" x14ac:dyDescent="0.25">
      <c r="A8643" s="786" t="s">
        <v>15542</v>
      </c>
      <c r="B8643" s="787">
        <v>4</v>
      </c>
      <c r="C8643" s="787" t="s">
        <v>13578</v>
      </c>
      <c r="D8643" s="787">
        <v>0</v>
      </c>
      <c r="E8643" s="787">
        <v>0</v>
      </c>
      <c r="H8643" s="787">
        <v>1</v>
      </c>
      <c r="L8643" s="787">
        <v>0</v>
      </c>
      <c r="M8643" s="787">
        <v>10</v>
      </c>
      <c r="N8643" s="787">
        <v>30.5</v>
      </c>
      <c r="O8643" s="788">
        <v>41858</v>
      </c>
    </row>
    <row r="8644" spans="1:15" x14ac:dyDescent="0.25">
      <c r="A8644" s="786" t="s">
        <v>15543</v>
      </c>
      <c r="B8644" s="787">
        <v>4</v>
      </c>
      <c r="C8644" s="787" t="s">
        <v>13578</v>
      </c>
      <c r="D8644" s="787">
        <v>0</v>
      </c>
      <c r="E8644" s="787">
        <v>0</v>
      </c>
      <c r="H8644" s="787">
        <v>1</v>
      </c>
      <c r="L8644" s="787">
        <v>0</v>
      </c>
      <c r="M8644" s="787">
        <v>10</v>
      </c>
      <c r="N8644" s="787">
        <v>30.5</v>
      </c>
      <c r="O8644" s="788">
        <v>41858</v>
      </c>
    </row>
    <row r="8645" spans="1:15" x14ac:dyDescent="0.25">
      <c r="A8645" s="786" t="s">
        <v>15544</v>
      </c>
      <c r="B8645" s="787">
        <v>4</v>
      </c>
      <c r="C8645" s="787" t="s">
        <v>13578</v>
      </c>
      <c r="D8645" s="787">
        <v>0</v>
      </c>
      <c r="E8645" s="787">
        <v>0</v>
      </c>
      <c r="H8645" s="787">
        <v>1</v>
      </c>
      <c r="L8645" s="787">
        <v>0</v>
      </c>
      <c r="M8645" s="787">
        <v>10</v>
      </c>
      <c r="N8645" s="787">
        <v>30.5</v>
      </c>
      <c r="O8645" s="788">
        <v>41858</v>
      </c>
    </row>
    <row r="8646" spans="1:15" x14ac:dyDescent="0.25">
      <c r="A8646" s="786" t="s">
        <v>15545</v>
      </c>
      <c r="B8646" s="787">
        <v>4</v>
      </c>
      <c r="C8646" s="787" t="s">
        <v>13578</v>
      </c>
      <c r="D8646" s="787">
        <v>0</v>
      </c>
      <c r="E8646" s="787">
        <v>0</v>
      </c>
      <c r="H8646" s="787">
        <v>1</v>
      </c>
      <c r="L8646" s="787">
        <v>0</v>
      </c>
      <c r="M8646" s="787">
        <v>10</v>
      </c>
      <c r="N8646" s="787">
        <v>30.5</v>
      </c>
      <c r="O8646" s="788">
        <v>41858</v>
      </c>
    </row>
    <row r="8647" spans="1:15" x14ac:dyDescent="0.25">
      <c r="A8647" s="786" t="s">
        <v>15546</v>
      </c>
      <c r="B8647" s="787">
        <v>4</v>
      </c>
      <c r="C8647" s="787" t="s">
        <v>13578</v>
      </c>
      <c r="D8647" s="787">
        <v>0</v>
      </c>
      <c r="E8647" s="787">
        <v>0</v>
      </c>
      <c r="H8647" s="787">
        <v>1</v>
      </c>
      <c r="L8647" s="787">
        <v>0</v>
      </c>
      <c r="M8647" s="787">
        <v>10</v>
      </c>
      <c r="N8647" s="787">
        <v>30.5</v>
      </c>
      <c r="O8647" s="788">
        <v>41858</v>
      </c>
    </row>
    <row r="8648" spans="1:15" x14ac:dyDescent="0.25">
      <c r="A8648" s="786" t="s">
        <v>15547</v>
      </c>
      <c r="B8648" s="787">
        <v>4</v>
      </c>
      <c r="C8648" s="787" t="s">
        <v>13578</v>
      </c>
      <c r="D8648" s="787">
        <v>0</v>
      </c>
      <c r="E8648" s="787">
        <v>0</v>
      </c>
      <c r="H8648" s="787">
        <v>1</v>
      </c>
      <c r="L8648" s="787">
        <v>0</v>
      </c>
      <c r="M8648" s="787">
        <v>10</v>
      </c>
      <c r="N8648" s="787">
        <v>30.5</v>
      </c>
      <c r="O8648" s="788">
        <v>41858</v>
      </c>
    </row>
    <row r="8649" spans="1:15" x14ac:dyDescent="0.25">
      <c r="A8649" s="786" t="s">
        <v>15548</v>
      </c>
      <c r="B8649" s="787">
        <v>4</v>
      </c>
      <c r="C8649" s="787" t="s">
        <v>13578</v>
      </c>
      <c r="D8649" s="787">
        <v>0</v>
      </c>
      <c r="E8649" s="787">
        <v>0</v>
      </c>
      <c r="H8649" s="787">
        <v>1</v>
      </c>
      <c r="I8649" s="788">
        <v>42153</v>
      </c>
      <c r="L8649" s="787">
        <v>0</v>
      </c>
      <c r="M8649" s="787">
        <v>10</v>
      </c>
      <c r="N8649" s="787">
        <v>30.5</v>
      </c>
      <c r="O8649" s="788">
        <v>41858</v>
      </c>
    </row>
    <row r="8650" spans="1:15" x14ac:dyDescent="0.25">
      <c r="A8650" s="786" t="s">
        <v>15549</v>
      </c>
      <c r="B8650" s="787">
        <v>4</v>
      </c>
      <c r="C8650" s="787" t="s">
        <v>13622</v>
      </c>
      <c r="D8650" s="787">
        <v>0</v>
      </c>
      <c r="E8650" s="787">
        <v>0</v>
      </c>
      <c r="H8650" s="787">
        <v>1</v>
      </c>
      <c r="I8650" s="788">
        <v>41841</v>
      </c>
      <c r="K8650" s="788">
        <v>42132</v>
      </c>
      <c r="L8650" s="787">
        <v>28.56</v>
      </c>
      <c r="M8650" s="787">
        <v>10</v>
      </c>
      <c r="N8650" s="787">
        <v>28.56</v>
      </c>
      <c r="O8650" s="788">
        <v>41858</v>
      </c>
    </row>
    <row r="8651" spans="1:15" x14ac:dyDescent="0.25">
      <c r="A8651" s="786" t="s">
        <v>15550</v>
      </c>
      <c r="B8651" s="787">
        <v>4</v>
      </c>
      <c r="C8651" s="787" t="s">
        <v>13622</v>
      </c>
      <c r="D8651" s="787">
        <v>0</v>
      </c>
      <c r="E8651" s="787">
        <v>0</v>
      </c>
      <c r="H8651" s="787">
        <v>1</v>
      </c>
      <c r="I8651" s="788">
        <v>41841</v>
      </c>
      <c r="L8651" s="787">
        <v>0</v>
      </c>
      <c r="M8651" s="787">
        <v>10</v>
      </c>
      <c r="N8651" s="787">
        <v>28.56</v>
      </c>
      <c r="O8651" s="788">
        <v>41858</v>
      </c>
    </row>
    <row r="8652" spans="1:15" x14ac:dyDescent="0.25">
      <c r="A8652" s="786" t="s">
        <v>15551</v>
      </c>
      <c r="B8652" s="787">
        <v>4</v>
      </c>
      <c r="C8652" s="787" t="s">
        <v>13622</v>
      </c>
      <c r="D8652" s="787">
        <v>0</v>
      </c>
      <c r="E8652" s="787">
        <v>0</v>
      </c>
      <c r="H8652" s="787">
        <v>1</v>
      </c>
      <c r="I8652" s="788">
        <v>42016</v>
      </c>
      <c r="L8652" s="787">
        <v>0</v>
      </c>
      <c r="M8652" s="787">
        <v>10</v>
      </c>
      <c r="N8652" s="787">
        <v>28.56</v>
      </c>
      <c r="O8652" s="788">
        <v>41858</v>
      </c>
    </row>
    <row r="8653" spans="1:15" x14ac:dyDescent="0.25">
      <c r="A8653" s="786" t="s">
        <v>15552</v>
      </c>
      <c r="B8653" s="787">
        <v>4</v>
      </c>
      <c r="C8653" s="787" t="s">
        <v>13624</v>
      </c>
      <c r="D8653" s="787">
        <v>0</v>
      </c>
      <c r="E8653" s="787">
        <v>0</v>
      </c>
      <c r="H8653" s="787">
        <v>1</v>
      </c>
      <c r="I8653" s="788">
        <v>41898</v>
      </c>
      <c r="L8653" s="787">
        <v>0</v>
      </c>
      <c r="M8653" s="787">
        <v>10</v>
      </c>
      <c r="N8653" s="787">
        <v>29.66</v>
      </c>
      <c r="O8653" s="788">
        <v>41858</v>
      </c>
    </row>
    <row r="8654" spans="1:15" x14ac:dyDescent="0.25">
      <c r="A8654" s="786" t="s">
        <v>15553</v>
      </c>
      <c r="B8654" s="787">
        <v>4</v>
      </c>
      <c r="C8654" s="787" t="s">
        <v>13624</v>
      </c>
      <c r="D8654" s="787">
        <v>0</v>
      </c>
      <c r="E8654" s="787">
        <v>0</v>
      </c>
      <c r="H8654" s="787">
        <v>1</v>
      </c>
      <c r="I8654" s="788">
        <v>41898</v>
      </c>
      <c r="L8654" s="787">
        <v>0</v>
      </c>
      <c r="M8654" s="787">
        <v>10</v>
      </c>
      <c r="N8654" s="787">
        <v>29.66</v>
      </c>
      <c r="O8654" s="788">
        <v>41858</v>
      </c>
    </row>
    <row r="8655" spans="1:15" x14ac:dyDescent="0.25">
      <c r="A8655" s="786" t="s">
        <v>15554</v>
      </c>
      <c r="B8655" s="787">
        <v>4</v>
      </c>
      <c r="C8655" s="787" t="s">
        <v>13624</v>
      </c>
      <c r="D8655" s="787">
        <v>0</v>
      </c>
      <c r="E8655" s="787">
        <v>0</v>
      </c>
      <c r="H8655" s="787">
        <v>1</v>
      </c>
      <c r="I8655" s="788">
        <v>42016</v>
      </c>
      <c r="L8655" s="787">
        <v>0</v>
      </c>
      <c r="M8655" s="787">
        <v>10</v>
      </c>
      <c r="N8655" s="787">
        <v>29.66</v>
      </c>
      <c r="O8655" s="788">
        <v>41858</v>
      </c>
    </row>
    <row r="8656" spans="1:15" x14ac:dyDescent="0.25">
      <c r="A8656" s="786" t="s">
        <v>15555</v>
      </c>
      <c r="B8656" s="787">
        <v>4</v>
      </c>
      <c r="C8656" s="787" t="s">
        <v>13620</v>
      </c>
      <c r="D8656" s="787">
        <v>0</v>
      </c>
      <c r="E8656" s="787">
        <v>0</v>
      </c>
      <c r="H8656" s="787">
        <v>1</v>
      </c>
      <c r="I8656" s="788">
        <v>41841</v>
      </c>
      <c r="L8656" s="787">
        <v>0</v>
      </c>
      <c r="M8656" s="787">
        <v>10</v>
      </c>
      <c r="N8656" s="787">
        <v>48.04</v>
      </c>
      <c r="O8656" s="788">
        <v>41858</v>
      </c>
    </row>
    <row r="8657" spans="1:15" x14ac:dyDescent="0.25">
      <c r="A8657" s="786" t="s">
        <v>15556</v>
      </c>
      <c r="B8657" s="787">
        <v>4</v>
      </c>
      <c r="C8657" s="787" t="s">
        <v>13620</v>
      </c>
      <c r="D8657" s="787">
        <v>0</v>
      </c>
      <c r="E8657" s="787">
        <v>0</v>
      </c>
      <c r="H8657" s="787">
        <v>1</v>
      </c>
      <c r="I8657" s="788">
        <v>41841</v>
      </c>
      <c r="L8657" s="787">
        <v>0</v>
      </c>
      <c r="M8657" s="787">
        <v>10</v>
      </c>
      <c r="N8657" s="787">
        <v>48.04</v>
      </c>
      <c r="O8657" s="788">
        <v>41858</v>
      </c>
    </row>
    <row r="8658" spans="1:15" x14ac:dyDescent="0.25">
      <c r="A8658" s="786" t="s">
        <v>15557</v>
      </c>
      <c r="B8658" s="787">
        <v>4</v>
      </c>
      <c r="C8658" s="787" t="s">
        <v>13620</v>
      </c>
      <c r="D8658" s="787">
        <v>0</v>
      </c>
      <c r="E8658" s="787">
        <v>0</v>
      </c>
      <c r="H8658" s="787">
        <v>1</v>
      </c>
      <c r="I8658" s="788">
        <v>42016</v>
      </c>
      <c r="L8658" s="787">
        <v>0</v>
      </c>
      <c r="M8658" s="787">
        <v>10</v>
      </c>
      <c r="N8658" s="787">
        <v>48.04</v>
      </c>
      <c r="O8658" s="788">
        <v>41858</v>
      </c>
    </row>
    <row r="8659" spans="1:15" x14ac:dyDescent="0.25">
      <c r="A8659" s="786" t="s">
        <v>15558</v>
      </c>
      <c r="B8659" s="787">
        <v>4</v>
      </c>
      <c r="C8659" s="787" t="s">
        <v>13620</v>
      </c>
      <c r="D8659" s="787">
        <v>0</v>
      </c>
      <c r="E8659" s="787">
        <v>0</v>
      </c>
      <c r="H8659" s="787">
        <v>1</v>
      </c>
      <c r="L8659" s="787">
        <v>0</v>
      </c>
      <c r="M8659" s="787">
        <v>10</v>
      </c>
      <c r="N8659" s="787">
        <v>48.04</v>
      </c>
      <c r="O8659" s="788">
        <v>41858</v>
      </c>
    </row>
    <row r="8660" spans="1:15" x14ac:dyDescent="0.25">
      <c r="A8660" s="786" t="s">
        <v>15559</v>
      </c>
      <c r="B8660" s="787">
        <v>4</v>
      </c>
      <c r="C8660" s="787" t="s">
        <v>13620</v>
      </c>
      <c r="D8660" s="787">
        <v>0</v>
      </c>
      <c r="E8660" s="787">
        <v>0</v>
      </c>
      <c r="H8660" s="787">
        <v>1</v>
      </c>
      <c r="L8660" s="787">
        <v>0</v>
      </c>
      <c r="M8660" s="787">
        <v>10</v>
      </c>
      <c r="N8660" s="787">
        <v>48.04</v>
      </c>
      <c r="O8660" s="788">
        <v>41858</v>
      </c>
    </row>
    <row r="8661" spans="1:15" x14ac:dyDescent="0.25">
      <c r="A8661" s="786" t="s">
        <v>15560</v>
      </c>
      <c r="B8661" s="787">
        <v>4</v>
      </c>
      <c r="C8661" s="787" t="s">
        <v>13620</v>
      </c>
      <c r="D8661" s="787">
        <v>0</v>
      </c>
      <c r="E8661" s="787">
        <v>0</v>
      </c>
      <c r="H8661" s="787">
        <v>1</v>
      </c>
      <c r="L8661" s="787">
        <v>0</v>
      </c>
      <c r="M8661" s="787">
        <v>10</v>
      </c>
      <c r="N8661" s="787">
        <v>48.04</v>
      </c>
      <c r="O8661" s="788">
        <v>41858</v>
      </c>
    </row>
    <row r="8662" spans="1:15" x14ac:dyDescent="0.25">
      <c r="A8662" s="786" t="s">
        <v>15561</v>
      </c>
      <c r="B8662" s="787">
        <v>4</v>
      </c>
      <c r="C8662" s="787" t="s">
        <v>13620</v>
      </c>
      <c r="D8662" s="787">
        <v>0</v>
      </c>
      <c r="E8662" s="787">
        <v>0</v>
      </c>
      <c r="H8662" s="787">
        <v>1</v>
      </c>
      <c r="I8662" s="788">
        <v>41964</v>
      </c>
      <c r="L8662" s="787">
        <v>0</v>
      </c>
      <c r="M8662" s="787">
        <v>10</v>
      </c>
      <c r="N8662" s="787">
        <v>48.04</v>
      </c>
      <c r="O8662" s="788">
        <v>41858</v>
      </c>
    </row>
    <row r="8663" spans="1:15" x14ac:dyDescent="0.25">
      <c r="A8663" s="786" t="s">
        <v>15562</v>
      </c>
      <c r="B8663" s="787">
        <v>4</v>
      </c>
      <c r="C8663" s="787" t="s">
        <v>15563</v>
      </c>
      <c r="D8663" s="787">
        <v>0</v>
      </c>
      <c r="E8663" s="787">
        <v>0</v>
      </c>
      <c r="H8663" s="787">
        <v>1</v>
      </c>
      <c r="I8663" s="788">
        <v>42157</v>
      </c>
      <c r="K8663" s="788">
        <v>41894</v>
      </c>
      <c r="L8663" s="787">
        <v>27.47</v>
      </c>
      <c r="M8663" s="787">
        <v>10</v>
      </c>
      <c r="N8663" s="787">
        <v>27.47</v>
      </c>
      <c r="O8663" s="788">
        <v>41858</v>
      </c>
    </row>
    <row r="8664" spans="1:15" x14ac:dyDescent="0.25">
      <c r="A8664" s="786" t="s">
        <v>15564</v>
      </c>
      <c r="B8664" s="787">
        <v>4</v>
      </c>
      <c r="C8664" s="787" t="s">
        <v>15563</v>
      </c>
      <c r="D8664" s="787">
        <v>0</v>
      </c>
      <c r="E8664" s="787">
        <v>0</v>
      </c>
      <c r="H8664" s="787">
        <v>1</v>
      </c>
      <c r="L8664" s="787">
        <v>0</v>
      </c>
      <c r="M8664" s="787">
        <v>10</v>
      </c>
      <c r="N8664" s="787">
        <v>27.47</v>
      </c>
      <c r="O8664" s="788">
        <v>41858</v>
      </c>
    </row>
    <row r="8665" spans="1:15" x14ac:dyDescent="0.25">
      <c r="A8665" s="786" t="s">
        <v>15565</v>
      </c>
      <c r="B8665" s="787">
        <v>4</v>
      </c>
      <c r="C8665" s="787" t="s">
        <v>15563</v>
      </c>
      <c r="D8665" s="787">
        <v>0</v>
      </c>
      <c r="E8665" s="787">
        <v>0</v>
      </c>
      <c r="H8665" s="787">
        <v>1</v>
      </c>
      <c r="I8665" s="788">
        <v>42157</v>
      </c>
      <c r="K8665" s="788">
        <v>41894</v>
      </c>
      <c r="L8665" s="787">
        <v>27.47</v>
      </c>
      <c r="M8665" s="787">
        <v>10</v>
      </c>
      <c r="N8665" s="787">
        <v>27.47</v>
      </c>
      <c r="O8665" s="788">
        <v>41858</v>
      </c>
    </row>
    <row r="8666" spans="1:15" x14ac:dyDescent="0.25">
      <c r="A8666" s="786" t="s">
        <v>15566</v>
      </c>
      <c r="B8666" s="787">
        <v>4</v>
      </c>
      <c r="C8666" s="787" t="s">
        <v>15567</v>
      </c>
      <c r="D8666" s="787">
        <v>0</v>
      </c>
      <c r="E8666" s="787">
        <v>0</v>
      </c>
      <c r="H8666" s="787">
        <v>1</v>
      </c>
      <c r="I8666" s="788">
        <v>42157</v>
      </c>
      <c r="K8666" s="788">
        <v>41894</v>
      </c>
      <c r="L8666" s="787">
        <v>8.7200000000000006</v>
      </c>
      <c r="M8666" s="787">
        <v>10</v>
      </c>
      <c r="N8666" s="787">
        <v>8.7200000000000006</v>
      </c>
      <c r="O8666" s="788">
        <v>41858</v>
      </c>
    </row>
    <row r="8667" spans="1:15" x14ac:dyDescent="0.25">
      <c r="A8667" s="786" t="s">
        <v>15568</v>
      </c>
      <c r="B8667" s="787">
        <v>4</v>
      </c>
      <c r="C8667" s="787" t="s">
        <v>14338</v>
      </c>
      <c r="D8667" s="787">
        <v>0</v>
      </c>
      <c r="E8667" s="787">
        <v>0</v>
      </c>
      <c r="H8667" s="787">
        <v>1</v>
      </c>
      <c r="L8667" s="787">
        <v>0</v>
      </c>
      <c r="M8667" s="787">
        <v>10</v>
      </c>
      <c r="N8667" s="787">
        <v>8.7200000000000006</v>
      </c>
      <c r="O8667" s="788">
        <v>41858</v>
      </c>
    </row>
    <row r="8668" spans="1:15" x14ac:dyDescent="0.25">
      <c r="A8668" s="786" t="s">
        <v>15569</v>
      </c>
      <c r="B8668" s="787">
        <v>4</v>
      </c>
      <c r="C8668" s="787" t="s">
        <v>15570</v>
      </c>
      <c r="D8668" s="787">
        <v>0</v>
      </c>
      <c r="E8668" s="787">
        <v>0</v>
      </c>
      <c r="H8668" s="787">
        <v>1</v>
      </c>
      <c r="I8668" s="788">
        <v>42157</v>
      </c>
      <c r="K8668" s="788">
        <v>41894</v>
      </c>
      <c r="L8668" s="787">
        <v>8.7200000000000006</v>
      </c>
      <c r="M8668" s="787">
        <v>10</v>
      </c>
      <c r="N8668" s="787">
        <v>8.7200000000000006</v>
      </c>
      <c r="O8668" s="788">
        <v>41858</v>
      </c>
    </row>
    <row r="8669" spans="1:15" x14ac:dyDescent="0.25">
      <c r="A8669" s="786" t="s">
        <v>15571</v>
      </c>
      <c r="B8669" s="787">
        <v>4</v>
      </c>
      <c r="C8669" s="787" t="s">
        <v>15572</v>
      </c>
      <c r="D8669" s="787">
        <v>0</v>
      </c>
      <c r="E8669" s="787">
        <v>0</v>
      </c>
      <c r="H8669" s="787">
        <v>1</v>
      </c>
      <c r="I8669" s="788">
        <v>42157</v>
      </c>
      <c r="K8669" s="788">
        <v>41894</v>
      </c>
      <c r="L8669" s="787">
        <v>30.66</v>
      </c>
      <c r="M8669" s="787">
        <v>10</v>
      </c>
      <c r="N8669" s="787">
        <v>30.66</v>
      </c>
      <c r="O8669" s="788">
        <v>41858</v>
      </c>
    </row>
    <row r="8670" spans="1:15" x14ac:dyDescent="0.25">
      <c r="A8670" s="786" t="s">
        <v>15573</v>
      </c>
      <c r="B8670" s="787">
        <v>4</v>
      </c>
      <c r="C8670" s="787" t="s">
        <v>15572</v>
      </c>
      <c r="D8670" s="787">
        <v>0</v>
      </c>
      <c r="E8670" s="787">
        <v>0</v>
      </c>
      <c r="H8670" s="787">
        <v>1</v>
      </c>
      <c r="L8670" s="787">
        <v>0</v>
      </c>
      <c r="M8670" s="787">
        <v>10</v>
      </c>
      <c r="N8670" s="787">
        <v>30.66</v>
      </c>
      <c r="O8670" s="788">
        <v>41858</v>
      </c>
    </row>
    <row r="8671" spans="1:15" x14ac:dyDescent="0.25">
      <c r="A8671" s="786" t="s">
        <v>15574</v>
      </c>
      <c r="B8671" s="787">
        <v>4</v>
      </c>
      <c r="C8671" s="787" t="s">
        <v>15572</v>
      </c>
      <c r="D8671" s="787">
        <v>0</v>
      </c>
      <c r="E8671" s="787">
        <v>0</v>
      </c>
      <c r="H8671" s="787">
        <v>1</v>
      </c>
      <c r="I8671" s="788">
        <v>42157</v>
      </c>
      <c r="K8671" s="788">
        <v>41894</v>
      </c>
      <c r="L8671" s="787">
        <v>30.66</v>
      </c>
      <c r="M8671" s="787">
        <v>10</v>
      </c>
      <c r="N8671" s="787">
        <v>30.66</v>
      </c>
      <c r="O8671" s="788">
        <v>41858</v>
      </c>
    </row>
    <row r="8672" spans="1:15" x14ac:dyDescent="0.25">
      <c r="A8672" s="786" t="s">
        <v>15575</v>
      </c>
      <c r="B8672" s="787">
        <v>4</v>
      </c>
      <c r="C8672" s="787" t="s">
        <v>15576</v>
      </c>
      <c r="D8672" s="787">
        <v>2.4</v>
      </c>
      <c r="E8672" s="787">
        <v>107.83</v>
      </c>
      <c r="F8672" s="788">
        <v>41519</v>
      </c>
      <c r="G8672" s="788">
        <v>42013</v>
      </c>
      <c r="H8672" s="787">
        <v>1</v>
      </c>
      <c r="I8672" s="788">
        <v>42158</v>
      </c>
      <c r="J8672" s="788">
        <v>41949</v>
      </c>
      <c r="K8672" s="788">
        <v>41453</v>
      </c>
      <c r="L8672" s="787">
        <v>122.51</v>
      </c>
      <c r="M8672" s="787">
        <v>10</v>
      </c>
      <c r="N8672" s="787">
        <v>118.64</v>
      </c>
      <c r="O8672" s="788">
        <v>42146</v>
      </c>
    </row>
    <row r="8673" spans="1:15" x14ac:dyDescent="0.25">
      <c r="A8673" s="786" t="s">
        <v>15577</v>
      </c>
      <c r="B8673" s="787">
        <v>4</v>
      </c>
      <c r="C8673" s="787" t="s">
        <v>15578</v>
      </c>
      <c r="D8673" s="787">
        <v>4.3</v>
      </c>
      <c r="E8673" s="787">
        <v>43.44</v>
      </c>
      <c r="F8673" s="788">
        <v>41976</v>
      </c>
      <c r="G8673" s="788">
        <v>42053</v>
      </c>
      <c r="H8673" s="787">
        <v>1</v>
      </c>
      <c r="I8673" s="788">
        <v>42093</v>
      </c>
      <c r="J8673" s="788">
        <v>42027</v>
      </c>
      <c r="K8673" s="788">
        <v>41582</v>
      </c>
      <c r="L8673" s="787">
        <v>13.17</v>
      </c>
      <c r="M8673" s="787">
        <v>10</v>
      </c>
      <c r="N8673" s="787">
        <v>18.09</v>
      </c>
      <c r="O8673" s="788">
        <v>42157</v>
      </c>
    </row>
    <row r="8674" spans="1:15" x14ac:dyDescent="0.25">
      <c r="A8674" s="786" t="s">
        <v>15579</v>
      </c>
      <c r="B8674" s="787">
        <v>4</v>
      </c>
      <c r="C8674" s="787" t="s">
        <v>15580</v>
      </c>
      <c r="D8674" s="787">
        <v>1.4</v>
      </c>
      <c r="E8674" s="787">
        <v>12.86</v>
      </c>
      <c r="F8674" s="788">
        <v>41855</v>
      </c>
      <c r="G8674" s="788">
        <v>42013</v>
      </c>
      <c r="H8674" s="787">
        <v>1</v>
      </c>
      <c r="I8674" s="788">
        <v>42023</v>
      </c>
      <c r="J8674" s="788">
        <v>41976</v>
      </c>
      <c r="K8674" s="788">
        <v>42157</v>
      </c>
      <c r="L8674" s="787">
        <v>3</v>
      </c>
      <c r="M8674" s="787">
        <v>20</v>
      </c>
      <c r="N8674" s="787">
        <v>3.23</v>
      </c>
      <c r="O8674" s="788">
        <v>42157</v>
      </c>
    </row>
    <row r="8675" spans="1:15" x14ac:dyDescent="0.25">
      <c r="A8675" s="786" t="s">
        <v>15581</v>
      </c>
      <c r="B8675" s="787">
        <v>4</v>
      </c>
      <c r="C8675" s="787" t="s">
        <v>15578</v>
      </c>
      <c r="D8675" s="787">
        <v>9.35</v>
      </c>
      <c r="E8675" s="787">
        <v>37.5</v>
      </c>
      <c r="F8675" s="788">
        <v>41855</v>
      </c>
      <c r="G8675" s="788">
        <v>41996</v>
      </c>
      <c r="H8675" s="787">
        <v>1</v>
      </c>
      <c r="I8675" s="788">
        <v>41964</v>
      </c>
      <c r="J8675" s="788">
        <v>41964</v>
      </c>
      <c r="K8675" s="788">
        <v>41429</v>
      </c>
      <c r="L8675" s="787">
        <v>13.57</v>
      </c>
      <c r="M8675" s="787">
        <v>10</v>
      </c>
      <c r="N8675" s="787">
        <v>22.58</v>
      </c>
      <c r="O8675" s="788">
        <v>42157</v>
      </c>
    </row>
    <row r="8676" spans="1:15" x14ac:dyDescent="0.25">
      <c r="A8676" s="786" t="s">
        <v>15582</v>
      </c>
      <c r="B8676" s="787">
        <v>4</v>
      </c>
      <c r="C8676" s="787" t="s">
        <v>11208</v>
      </c>
      <c r="D8676" s="787">
        <v>9.3800000000000008</v>
      </c>
      <c r="E8676" s="787">
        <v>19.38</v>
      </c>
      <c r="F8676" s="788">
        <v>42131</v>
      </c>
      <c r="G8676" s="788">
        <v>42145</v>
      </c>
      <c r="H8676" s="787">
        <v>1</v>
      </c>
      <c r="I8676" s="788">
        <v>42166</v>
      </c>
      <c r="J8676" s="788">
        <v>42145</v>
      </c>
      <c r="K8676" s="788">
        <v>41429</v>
      </c>
      <c r="L8676" s="787">
        <v>18.78</v>
      </c>
      <c r="M8676" s="787">
        <v>10</v>
      </c>
      <c r="N8676" s="787">
        <v>21.57</v>
      </c>
      <c r="O8676" s="788">
        <v>42038</v>
      </c>
    </row>
    <row r="8677" spans="1:15" x14ac:dyDescent="0.25">
      <c r="A8677" s="786" t="s">
        <v>15583</v>
      </c>
      <c r="B8677" s="787">
        <v>4</v>
      </c>
      <c r="C8677" s="787" t="s">
        <v>15584</v>
      </c>
      <c r="D8677" s="787">
        <v>0.34</v>
      </c>
      <c r="E8677" s="787">
        <v>20.34</v>
      </c>
      <c r="F8677" s="788">
        <v>42065</v>
      </c>
      <c r="G8677" s="788">
        <v>42065</v>
      </c>
      <c r="H8677" s="787">
        <v>1</v>
      </c>
      <c r="I8677" s="788">
        <v>42166</v>
      </c>
      <c r="J8677" s="788">
        <v>42034</v>
      </c>
      <c r="K8677" s="788">
        <v>41429</v>
      </c>
      <c r="L8677" s="787">
        <v>18.78</v>
      </c>
      <c r="M8677" s="787">
        <v>10</v>
      </c>
      <c r="N8677" s="787">
        <v>21.57</v>
      </c>
      <c r="O8677" s="788">
        <v>42146</v>
      </c>
    </row>
    <row r="8678" spans="1:15" x14ac:dyDescent="0.25">
      <c r="A8678" s="786" t="s">
        <v>15585</v>
      </c>
      <c r="B8678" s="787">
        <v>4</v>
      </c>
      <c r="C8678" s="787" t="s">
        <v>15586</v>
      </c>
      <c r="D8678" s="787">
        <v>3.25</v>
      </c>
      <c r="E8678" s="787">
        <v>3.25</v>
      </c>
      <c r="F8678" s="788">
        <v>41579</v>
      </c>
      <c r="G8678" s="788">
        <v>42013</v>
      </c>
      <c r="H8678" s="787">
        <v>1</v>
      </c>
      <c r="I8678" s="788">
        <v>42122</v>
      </c>
      <c r="J8678" s="788">
        <v>41529</v>
      </c>
      <c r="K8678" s="788">
        <v>41522</v>
      </c>
      <c r="L8678" s="787">
        <v>2.36</v>
      </c>
      <c r="M8678" s="787">
        <v>10</v>
      </c>
      <c r="N8678" s="787">
        <v>2.61</v>
      </c>
      <c r="O8678" s="788">
        <v>42146</v>
      </c>
    </row>
    <row r="8679" spans="1:15" x14ac:dyDescent="0.25">
      <c r="A8679" s="786" t="s">
        <v>15587</v>
      </c>
      <c r="B8679" s="787">
        <v>4</v>
      </c>
      <c r="C8679" s="787" t="s">
        <v>15588</v>
      </c>
      <c r="D8679" s="787">
        <v>4.5</v>
      </c>
      <c r="E8679" s="787">
        <v>4.5</v>
      </c>
      <c r="F8679" s="788">
        <v>41579</v>
      </c>
      <c r="G8679" s="788">
        <v>42013</v>
      </c>
      <c r="H8679" s="787">
        <v>1</v>
      </c>
      <c r="I8679" s="788">
        <v>42136</v>
      </c>
      <c r="J8679" s="788">
        <v>41529</v>
      </c>
      <c r="K8679" s="788">
        <v>41522</v>
      </c>
      <c r="L8679" s="787">
        <v>2.76</v>
      </c>
      <c r="M8679" s="787">
        <v>10</v>
      </c>
      <c r="N8679" s="787">
        <v>2.95</v>
      </c>
      <c r="O8679" s="788">
        <v>41858</v>
      </c>
    </row>
    <row r="8680" spans="1:15" x14ac:dyDescent="0.25">
      <c r="A8680" s="786" t="s">
        <v>15589</v>
      </c>
      <c r="B8680" s="787">
        <v>4</v>
      </c>
      <c r="C8680" s="787" t="s">
        <v>15590</v>
      </c>
      <c r="D8680" s="787">
        <v>3.63</v>
      </c>
      <c r="E8680" s="787">
        <v>4.09</v>
      </c>
      <c r="F8680" s="788">
        <v>41134</v>
      </c>
      <c r="G8680" s="788">
        <v>42013</v>
      </c>
      <c r="H8680" s="787">
        <v>1</v>
      </c>
      <c r="I8680" s="788">
        <v>42136</v>
      </c>
      <c r="J8680" s="788">
        <v>41529</v>
      </c>
      <c r="K8680" s="788">
        <v>41522</v>
      </c>
      <c r="L8680" s="787">
        <v>2.2400000000000002</v>
      </c>
      <c r="M8680" s="787">
        <v>10</v>
      </c>
      <c r="N8680" s="787">
        <v>2.5</v>
      </c>
      <c r="O8680" s="788">
        <v>42146</v>
      </c>
    </row>
    <row r="8681" spans="1:15" x14ac:dyDescent="0.25">
      <c r="A8681" s="786" t="s">
        <v>15591</v>
      </c>
      <c r="B8681" s="787">
        <v>4</v>
      </c>
      <c r="C8681" s="787" t="s">
        <v>15592</v>
      </c>
      <c r="D8681" s="787">
        <v>0</v>
      </c>
      <c r="E8681" s="787">
        <v>0</v>
      </c>
      <c r="H8681" s="787">
        <v>1</v>
      </c>
      <c r="L8681" s="787">
        <v>0</v>
      </c>
      <c r="M8681" s="787">
        <v>10</v>
      </c>
      <c r="N8681" s="787">
        <v>29.71</v>
      </c>
      <c r="O8681" s="788">
        <v>41858</v>
      </c>
    </row>
    <row r="8682" spans="1:15" x14ac:dyDescent="0.25">
      <c r="A8682" s="786" t="s">
        <v>15593</v>
      </c>
      <c r="B8682" s="787">
        <v>4</v>
      </c>
      <c r="C8682" s="787" t="s">
        <v>15594</v>
      </c>
      <c r="D8682" s="787">
        <v>0</v>
      </c>
      <c r="E8682" s="787">
        <v>0</v>
      </c>
      <c r="H8682" s="787">
        <v>1</v>
      </c>
      <c r="L8682" s="787">
        <v>0</v>
      </c>
      <c r="M8682" s="787">
        <v>10</v>
      </c>
      <c r="N8682" s="787">
        <v>29.4</v>
      </c>
      <c r="O8682" s="788">
        <v>41858</v>
      </c>
    </row>
    <row r="8683" spans="1:15" x14ac:dyDescent="0.25">
      <c r="A8683" s="786" t="s">
        <v>15595</v>
      </c>
      <c r="B8683" s="787">
        <v>4</v>
      </c>
      <c r="C8683" s="787" t="s">
        <v>15596</v>
      </c>
      <c r="D8683" s="787">
        <v>0</v>
      </c>
      <c r="E8683" s="787">
        <v>0</v>
      </c>
      <c r="H8683" s="787">
        <v>1</v>
      </c>
      <c r="L8683" s="787">
        <v>0</v>
      </c>
      <c r="M8683" s="787">
        <v>10</v>
      </c>
      <c r="N8683" s="787">
        <v>26.22</v>
      </c>
      <c r="O8683" s="788">
        <v>41858</v>
      </c>
    </row>
    <row r="8684" spans="1:15" x14ac:dyDescent="0.25">
      <c r="A8684" s="786" t="s">
        <v>15597</v>
      </c>
      <c r="B8684" s="787">
        <v>4</v>
      </c>
      <c r="C8684" s="787" t="s">
        <v>15598</v>
      </c>
      <c r="D8684" s="787">
        <v>0</v>
      </c>
      <c r="E8684" s="787">
        <v>0</v>
      </c>
      <c r="H8684" s="787">
        <v>1</v>
      </c>
      <c r="L8684" s="787">
        <v>0</v>
      </c>
      <c r="M8684" s="787">
        <v>10</v>
      </c>
      <c r="N8684" s="787">
        <v>7.36</v>
      </c>
      <c r="O8684" s="788">
        <v>41858</v>
      </c>
    </row>
    <row r="8685" spans="1:15" x14ac:dyDescent="0.25">
      <c r="A8685" s="786" t="s">
        <v>15599</v>
      </c>
      <c r="B8685" s="787">
        <v>4</v>
      </c>
      <c r="C8685" s="787" t="s">
        <v>15600</v>
      </c>
      <c r="D8685" s="787">
        <v>0</v>
      </c>
      <c r="E8685" s="787">
        <v>0</v>
      </c>
      <c r="H8685" s="787">
        <v>1</v>
      </c>
      <c r="L8685" s="787">
        <v>0</v>
      </c>
      <c r="M8685" s="787">
        <v>10</v>
      </c>
      <c r="N8685" s="787">
        <v>8.51</v>
      </c>
      <c r="O8685" s="788">
        <v>41858</v>
      </c>
    </row>
    <row r="8686" spans="1:15" x14ac:dyDescent="0.25">
      <c r="A8686" s="786" t="s">
        <v>15601</v>
      </c>
      <c r="B8686" s="787">
        <v>4</v>
      </c>
      <c r="C8686" s="787" t="s">
        <v>15602</v>
      </c>
      <c r="D8686" s="787">
        <v>0</v>
      </c>
      <c r="E8686" s="787">
        <v>0</v>
      </c>
      <c r="H8686" s="787">
        <v>1</v>
      </c>
      <c r="L8686" s="787">
        <v>0</v>
      </c>
      <c r="M8686" s="787">
        <v>10</v>
      </c>
      <c r="N8686" s="787">
        <v>6.84</v>
      </c>
      <c r="O8686" s="788">
        <v>41858</v>
      </c>
    </row>
    <row r="8687" spans="1:15" x14ac:dyDescent="0.25">
      <c r="A8687" s="786" t="s">
        <v>15603</v>
      </c>
      <c r="B8687" s="787">
        <v>4</v>
      </c>
      <c r="C8687" s="787" t="s">
        <v>15604</v>
      </c>
      <c r="D8687" s="787">
        <v>0.47</v>
      </c>
      <c r="E8687" s="787">
        <v>0.56000000000000005</v>
      </c>
      <c r="F8687" s="788">
        <v>41709</v>
      </c>
      <c r="G8687" s="788">
        <v>42125</v>
      </c>
      <c r="H8687" s="787">
        <v>1</v>
      </c>
      <c r="I8687" s="788">
        <v>42094</v>
      </c>
      <c r="J8687" s="788">
        <v>42082</v>
      </c>
      <c r="K8687" s="788">
        <v>40919</v>
      </c>
      <c r="L8687" s="787">
        <v>0.47</v>
      </c>
      <c r="M8687" s="787">
        <v>20</v>
      </c>
      <c r="N8687" s="787">
        <v>0.51</v>
      </c>
      <c r="O8687" s="788">
        <v>42162</v>
      </c>
    </row>
    <row r="8688" spans="1:15" x14ac:dyDescent="0.25">
      <c r="A8688" s="786" t="s">
        <v>15605</v>
      </c>
      <c r="B8688" s="787">
        <v>4</v>
      </c>
      <c r="C8688" s="787" t="s">
        <v>15606</v>
      </c>
      <c r="D8688" s="787">
        <v>0.75</v>
      </c>
      <c r="E8688" s="787">
        <v>0.81</v>
      </c>
      <c r="F8688" s="788">
        <v>41829</v>
      </c>
      <c r="G8688" s="788">
        <v>42093</v>
      </c>
      <c r="H8688" s="787">
        <v>1</v>
      </c>
      <c r="I8688" s="788">
        <v>42163</v>
      </c>
      <c r="J8688" s="788">
        <v>42060</v>
      </c>
      <c r="K8688" s="788">
        <v>40897</v>
      </c>
      <c r="L8688" s="787">
        <v>0.68</v>
      </c>
      <c r="M8688" s="787">
        <v>10</v>
      </c>
      <c r="N8688" s="787">
        <v>3.17</v>
      </c>
      <c r="O8688" s="788">
        <v>42146</v>
      </c>
    </row>
    <row r="8689" spans="1:15" x14ac:dyDescent="0.25">
      <c r="A8689" s="786" t="s">
        <v>15607</v>
      </c>
      <c r="B8689" s="787">
        <v>4</v>
      </c>
      <c r="C8689" s="787" t="s">
        <v>15608</v>
      </c>
      <c r="D8689" s="787">
        <v>0.2</v>
      </c>
      <c r="E8689" s="787">
        <v>3.46</v>
      </c>
      <c r="F8689" s="788">
        <v>41813</v>
      </c>
      <c r="G8689" s="788">
        <v>42163</v>
      </c>
      <c r="H8689" s="787">
        <v>1</v>
      </c>
      <c r="I8689" s="788">
        <v>42166</v>
      </c>
      <c r="J8689" s="788">
        <v>42163</v>
      </c>
      <c r="K8689" s="788">
        <v>40897</v>
      </c>
      <c r="L8689" s="787">
        <v>0.75</v>
      </c>
      <c r="M8689" s="787">
        <v>10</v>
      </c>
      <c r="N8689" s="787">
        <v>3.58</v>
      </c>
      <c r="O8689" s="788">
        <v>42146</v>
      </c>
    </row>
    <row r="8690" spans="1:15" x14ac:dyDescent="0.25">
      <c r="A8690" s="786" t="s">
        <v>15609</v>
      </c>
      <c r="B8690" s="787">
        <v>4</v>
      </c>
      <c r="C8690" s="787" t="s">
        <v>15610</v>
      </c>
      <c r="D8690" s="787">
        <v>0.34</v>
      </c>
      <c r="E8690" s="787">
        <v>1.32</v>
      </c>
      <c r="F8690" s="788">
        <v>41922</v>
      </c>
      <c r="G8690" s="788">
        <v>42104</v>
      </c>
      <c r="H8690" s="787">
        <v>1</v>
      </c>
      <c r="I8690" s="788">
        <v>42165</v>
      </c>
      <c r="J8690" s="788">
        <v>42076</v>
      </c>
      <c r="K8690" s="788">
        <v>41394</v>
      </c>
      <c r="L8690" s="787">
        <v>0.72</v>
      </c>
      <c r="M8690" s="787">
        <v>10</v>
      </c>
      <c r="N8690" s="787">
        <v>1.05</v>
      </c>
      <c r="O8690" s="788">
        <v>42146</v>
      </c>
    </row>
    <row r="8691" spans="1:15" x14ac:dyDescent="0.25">
      <c r="A8691" s="786" t="s">
        <v>15611</v>
      </c>
      <c r="B8691" s="787">
        <v>4</v>
      </c>
      <c r="C8691" s="787" t="s">
        <v>15612</v>
      </c>
      <c r="D8691" s="787">
        <v>9.0399999999999991</v>
      </c>
      <c r="E8691" s="787">
        <v>9.0399999999999991</v>
      </c>
      <c r="F8691" s="788">
        <v>42072</v>
      </c>
      <c r="G8691" s="788">
        <v>42156</v>
      </c>
      <c r="H8691" s="787">
        <v>1</v>
      </c>
      <c r="I8691" s="788">
        <v>42156</v>
      </c>
      <c r="J8691" s="788">
        <v>42156</v>
      </c>
      <c r="K8691" s="788">
        <v>40899</v>
      </c>
      <c r="L8691" s="787">
        <v>11.46</v>
      </c>
      <c r="M8691" s="787">
        <v>10</v>
      </c>
      <c r="N8691" s="787">
        <v>5.43</v>
      </c>
      <c r="O8691" s="788">
        <v>42156</v>
      </c>
    </row>
    <row r="8692" spans="1:15" x14ac:dyDescent="0.25">
      <c r="A8692" s="786" t="s">
        <v>15613</v>
      </c>
      <c r="B8692" s="787">
        <v>4</v>
      </c>
      <c r="C8692" s="787" t="s">
        <v>15614</v>
      </c>
      <c r="D8692" s="787">
        <v>6.59</v>
      </c>
      <c r="E8692" s="787">
        <v>7.89</v>
      </c>
      <c r="F8692" s="788">
        <v>41389</v>
      </c>
      <c r="G8692" s="788">
        <v>42156</v>
      </c>
      <c r="H8692" s="787">
        <v>1</v>
      </c>
      <c r="I8692" s="788">
        <v>42156</v>
      </c>
      <c r="J8692" s="788">
        <v>42156</v>
      </c>
      <c r="K8692" s="788">
        <v>40899</v>
      </c>
      <c r="L8692" s="787">
        <v>9.77</v>
      </c>
      <c r="M8692" s="787">
        <v>10</v>
      </c>
      <c r="N8692" s="787">
        <v>5.51</v>
      </c>
      <c r="O8692" s="788">
        <v>42156</v>
      </c>
    </row>
    <row r="8693" spans="1:15" x14ac:dyDescent="0.25">
      <c r="A8693" s="786" t="s">
        <v>15615</v>
      </c>
      <c r="B8693" s="787">
        <v>4</v>
      </c>
      <c r="C8693" s="787" t="s">
        <v>15616</v>
      </c>
      <c r="D8693" s="787">
        <v>8.1300000000000008</v>
      </c>
      <c r="E8693" s="787">
        <v>26.03</v>
      </c>
      <c r="F8693" s="788">
        <v>41166</v>
      </c>
      <c r="G8693" s="788">
        <v>42165</v>
      </c>
      <c r="H8693" s="787">
        <v>1</v>
      </c>
      <c r="I8693" s="788">
        <v>42160</v>
      </c>
      <c r="J8693" s="788">
        <v>42165</v>
      </c>
      <c r="K8693" s="788">
        <v>41752</v>
      </c>
      <c r="L8693" s="787">
        <v>12.5</v>
      </c>
      <c r="M8693" s="787">
        <v>10</v>
      </c>
      <c r="N8693" s="787">
        <v>11.77</v>
      </c>
      <c r="O8693" s="788">
        <v>42146</v>
      </c>
    </row>
    <row r="8694" spans="1:15" x14ac:dyDescent="0.25">
      <c r="A8694" s="786" t="s">
        <v>15617</v>
      </c>
      <c r="B8694" s="787">
        <v>4</v>
      </c>
      <c r="C8694" s="787" t="s">
        <v>15618</v>
      </c>
      <c r="D8694" s="787">
        <v>1.96</v>
      </c>
      <c r="E8694" s="787">
        <v>23.4</v>
      </c>
      <c r="F8694" s="788">
        <v>41813</v>
      </c>
      <c r="G8694" s="788">
        <v>42144</v>
      </c>
      <c r="H8694" s="787">
        <v>1</v>
      </c>
      <c r="I8694" s="788">
        <v>42165</v>
      </c>
      <c r="J8694" s="788">
        <v>42144</v>
      </c>
      <c r="K8694" s="788">
        <v>41752</v>
      </c>
      <c r="L8694" s="787">
        <v>10.5</v>
      </c>
      <c r="M8694" s="787">
        <v>10</v>
      </c>
      <c r="N8694" s="787">
        <v>11.71</v>
      </c>
      <c r="O8694" s="788">
        <v>42146</v>
      </c>
    </row>
    <row r="8695" spans="1:15" x14ac:dyDescent="0.25">
      <c r="A8695" s="786" t="s">
        <v>15619</v>
      </c>
      <c r="B8695" s="787">
        <v>4</v>
      </c>
      <c r="C8695" s="787" t="s">
        <v>15620</v>
      </c>
      <c r="D8695" s="787">
        <v>5.94</v>
      </c>
      <c r="E8695" s="787">
        <v>5.94</v>
      </c>
      <c r="F8695" s="788">
        <v>41134</v>
      </c>
      <c r="G8695" s="788">
        <v>41134</v>
      </c>
      <c r="H8695" s="787">
        <v>6</v>
      </c>
      <c r="I8695" s="788">
        <v>41032</v>
      </c>
      <c r="J8695" s="788">
        <v>40998</v>
      </c>
      <c r="K8695" s="788">
        <v>40920</v>
      </c>
      <c r="L8695" s="787">
        <v>5.91</v>
      </c>
      <c r="M8695" s="787">
        <v>10</v>
      </c>
      <c r="N8695" s="787">
        <v>5.66</v>
      </c>
      <c r="O8695" s="788">
        <v>41543</v>
      </c>
    </row>
    <row r="8696" spans="1:15" x14ac:dyDescent="0.25">
      <c r="A8696" s="786" t="s">
        <v>15621</v>
      </c>
      <c r="B8696" s="787">
        <v>4</v>
      </c>
      <c r="C8696" s="787" t="s">
        <v>15622</v>
      </c>
      <c r="D8696" s="787">
        <v>6.45</v>
      </c>
      <c r="E8696" s="787">
        <v>6.45</v>
      </c>
      <c r="F8696" s="788">
        <v>41134</v>
      </c>
      <c r="G8696" s="788">
        <v>41134</v>
      </c>
      <c r="H8696" s="787">
        <v>6</v>
      </c>
      <c r="I8696" s="788">
        <v>41032</v>
      </c>
      <c r="J8696" s="788">
        <v>40998</v>
      </c>
      <c r="K8696" s="788">
        <v>40920</v>
      </c>
      <c r="L8696" s="787">
        <v>4.92</v>
      </c>
      <c r="M8696" s="787">
        <v>10</v>
      </c>
      <c r="N8696" s="787">
        <v>4.4000000000000004</v>
      </c>
      <c r="O8696" s="788">
        <v>41543</v>
      </c>
    </row>
    <row r="8697" spans="1:15" x14ac:dyDescent="0.25">
      <c r="A8697" s="786" t="s">
        <v>15623</v>
      </c>
      <c r="B8697" s="787">
        <v>4</v>
      </c>
      <c r="C8697" s="787" t="s">
        <v>15624</v>
      </c>
      <c r="D8697" s="787">
        <v>2.4700000000000002</v>
      </c>
      <c r="E8697" s="787">
        <v>2.4700000000000002</v>
      </c>
      <c r="F8697" s="788">
        <v>41134</v>
      </c>
      <c r="G8697" s="788">
        <v>41134</v>
      </c>
      <c r="H8697" s="787">
        <v>6</v>
      </c>
      <c r="I8697" s="788">
        <v>41032</v>
      </c>
      <c r="J8697" s="788">
        <v>40998</v>
      </c>
      <c r="K8697" s="788">
        <v>41032</v>
      </c>
      <c r="L8697" s="787">
        <v>2</v>
      </c>
      <c r="M8697" s="787">
        <v>10</v>
      </c>
      <c r="N8697" s="787">
        <v>2.35</v>
      </c>
      <c r="O8697" s="788">
        <v>41543</v>
      </c>
    </row>
    <row r="8698" spans="1:15" x14ac:dyDescent="0.25">
      <c r="A8698" s="786" t="s">
        <v>15625</v>
      </c>
      <c r="B8698" s="787">
        <v>4</v>
      </c>
      <c r="C8698" s="787" t="s">
        <v>15626</v>
      </c>
      <c r="D8698" s="787">
        <v>0.17</v>
      </c>
      <c r="E8698" s="787">
        <v>0.33</v>
      </c>
      <c r="F8698" s="788">
        <v>41278</v>
      </c>
      <c r="G8698" s="788">
        <v>42013</v>
      </c>
      <c r="H8698" s="787">
        <v>1</v>
      </c>
      <c r="I8698" s="788">
        <v>42156</v>
      </c>
      <c r="J8698" s="788">
        <v>41719</v>
      </c>
      <c r="K8698" s="788">
        <v>41032</v>
      </c>
      <c r="L8698" s="787">
        <v>0.6</v>
      </c>
      <c r="M8698" s="787">
        <v>10</v>
      </c>
      <c r="N8698" s="787">
        <v>1.02</v>
      </c>
      <c r="O8698" s="788">
        <v>42038</v>
      </c>
    </row>
    <row r="8699" spans="1:15" x14ac:dyDescent="0.25">
      <c r="A8699" s="786" t="s">
        <v>15627</v>
      </c>
      <c r="B8699" s="787">
        <v>4</v>
      </c>
      <c r="C8699" s="787" t="s">
        <v>15628</v>
      </c>
      <c r="D8699" s="787">
        <v>0.82</v>
      </c>
      <c r="E8699" s="787">
        <v>4.71</v>
      </c>
      <c r="F8699" s="788">
        <v>41806</v>
      </c>
      <c r="G8699" s="788">
        <v>42103</v>
      </c>
      <c r="H8699" s="787">
        <v>1</v>
      </c>
      <c r="I8699" s="788">
        <v>42165</v>
      </c>
      <c r="J8699" s="788">
        <v>42072</v>
      </c>
      <c r="K8699" s="788">
        <v>42146</v>
      </c>
      <c r="L8699" s="787">
        <v>5</v>
      </c>
      <c r="M8699" s="787">
        <v>10</v>
      </c>
      <c r="N8699" s="787">
        <v>3.64</v>
      </c>
      <c r="O8699" s="788">
        <v>42156</v>
      </c>
    </row>
    <row r="8700" spans="1:15" x14ac:dyDescent="0.25">
      <c r="A8700" s="786" t="s">
        <v>15629</v>
      </c>
      <c r="B8700" s="787">
        <v>4</v>
      </c>
      <c r="C8700" s="787" t="s">
        <v>15630</v>
      </c>
      <c r="D8700" s="787">
        <v>1.03</v>
      </c>
      <c r="E8700" s="787">
        <v>1.38</v>
      </c>
      <c r="F8700" s="788">
        <v>41526</v>
      </c>
      <c r="G8700" s="788">
        <v>42013</v>
      </c>
      <c r="H8700" s="787">
        <v>1</v>
      </c>
      <c r="I8700" s="788">
        <v>42146</v>
      </c>
      <c r="J8700" s="788">
        <v>41941</v>
      </c>
      <c r="K8700" s="788">
        <v>41408</v>
      </c>
      <c r="L8700" s="787">
        <v>1.81</v>
      </c>
      <c r="M8700" s="787">
        <v>10</v>
      </c>
      <c r="N8700" s="787">
        <v>2.27</v>
      </c>
      <c r="O8700" s="788">
        <v>42019</v>
      </c>
    </row>
    <row r="8701" spans="1:15" x14ac:dyDescent="0.25">
      <c r="A8701" s="786" t="s">
        <v>15631</v>
      </c>
      <c r="B8701" s="787">
        <v>4</v>
      </c>
      <c r="C8701" s="787" t="s">
        <v>15632</v>
      </c>
      <c r="D8701" s="787">
        <v>1.71</v>
      </c>
      <c r="E8701" s="787">
        <v>8.64</v>
      </c>
      <c r="F8701" s="788">
        <v>41996</v>
      </c>
      <c r="G8701" s="788">
        <v>42146</v>
      </c>
      <c r="H8701" s="787">
        <v>1</v>
      </c>
      <c r="I8701" s="788">
        <v>42136</v>
      </c>
      <c r="J8701" s="788">
        <v>42143</v>
      </c>
      <c r="K8701" s="788">
        <v>41702</v>
      </c>
      <c r="L8701" s="787">
        <v>4.4000000000000004</v>
      </c>
      <c r="M8701" s="787">
        <v>10</v>
      </c>
      <c r="N8701" s="787">
        <v>3.59</v>
      </c>
      <c r="O8701" s="788">
        <v>42156</v>
      </c>
    </row>
    <row r="8702" spans="1:15" x14ac:dyDescent="0.25">
      <c r="A8702" s="786" t="s">
        <v>15633</v>
      </c>
      <c r="B8702" s="787">
        <v>4</v>
      </c>
      <c r="C8702" s="787" t="s">
        <v>15634</v>
      </c>
      <c r="D8702" s="787">
        <v>3.2</v>
      </c>
      <c r="E8702" s="787">
        <v>3.2</v>
      </c>
      <c r="F8702" s="788">
        <v>41775</v>
      </c>
      <c r="G8702" s="788">
        <v>42118</v>
      </c>
      <c r="H8702" s="787">
        <v>1</v>
      </c>
      <c r="I8702" s="788">
        <v>42131</v>
      </c>
      <c r="J8702" s="788">
        <v>42118</v>
      </c>
      <c r="K8702" s="788">
        <v>41443</v>
      </c>
      <c r="L8702" s="787">
        <v>1</v>
      </c>
      <c r="M8702" s="787">
        <v>10</v>
      </c>
      <c r="N8702" s="787">
        <v>4.3499999999999996</v>
      </c>
      <c r="O8702" s="788">
        <v>41858</v>
      </c>
    </row>
    <row r="8703" spans="1:15" x14ac:dyDescent="0.25">
      <c r="A8703" s="786" t="s">
        <v>15635</v>
      </c>
      <c r="B8703" s="787">
        <v>4</v>
      </c>
      <c r="C8703" s="787" t="s">
        <v>15636</v>
      </c>
      <c r="D8703" s="787">
        <v>1.1000000000000001</v>
      </c>
      <c r="E8703" s="787">
        <v>1.29</v>
      </c>
      <c r="F8703" s="788">
        <v>40984</v>
      </c>
      <c r="G8703" s="788">
        <v>41646</v>
      </c>
      <c r="H8703" s="787">
        <v>5</v>
      </c>
      <c r="I8703" s="788">
        <v>41954</v>
      </c>
      <c r="J8703" s="788">
        <v>41332</v>
      </c>
      <c r="K8703" s="788">
        <v>40962</v>
      </c>
      <c r="L8703" s="787">
        <v>1.1000000000000001</v>
      </c>
      <c r="M8703" s="787">
        <v>20</v>
      </c>
      <c r="N8703" s="787">
        <v>1.18</v>
      </c>
      <c r="O8703" s="788">
        <v>41954</v>
      </c>
    </row>
    <row r="8704" spans="1:15" x14ac:dyDescent="0.25">
      <c r="A8704" s="786" t="s">
        <v>15637</v>
      </c>
      <c r="B8704" s="787">
        <v>4</v>
      </c>
      <c r="C8704" s="787" t="s">
        <v>15638</v>
      </c>
      <c r="D8704" s="787">
        <v>0.56000000000000005</v>
      </c>
      <c r="E8704" s="787">
        <v>0.88</v>
      </c>
      <c r="F8704" s="788">
        <v>41376</v>
      </c>
      <c r="G8704" s="788">
        <v>41775</v>
      </c>
      <c r="H8704" s="787">
        <v>6</v>
      </c>
      <c r="I8704" s="788">
        <v>41425</v>
      </c>
      <c r="J8704" s="788">
        <v>41347</v>
      </c>
      <c r="L8704" s="787">
        <v>0.5</v>
      </c>
      <c r="M8704" s="787">
        <v>10</v>
      </c>
      <c r="N8704" s="787">
        <v>2.0299999999999998</v>
      </c>
      <c r="O8704" s="788">
        <v>41925</v>
      </c>
    </row>
    <row r="8705" spans="1:15" x14ac:dyDescent="0.25">
      <c r="A8705" s="786" t="s">
        <v>15639</v>
      </c>
      <c r="B8705" s="787">
        <v>4</v>
      </c>
      <c r="C8705" s="787" t="s">
        <v>15640</v>
      </c>
      <c r="D8705" s="787">
        <v>0</v>
      </c>
      <c r="E8705" s="787">
        <v>0</v>
      </c>
      <c r="H8705" s="787">
        <v>1</v>
      </c>
      <c r="L8705" s="787">
        <v>5</v>
      </c>
      <c r="M8705" s="787">
        <v>10</v>
      </c>
      <c r="N8705" s="787">
        <v>3.1</v>
      </c>
      <c r="O8705" s="788">
        <v>41858</v>
      </c>
    </row>
    <row r="8706" spans="1:15" x14ac:dyDescent="0.25">
      <c r="A8706" s="786" t="s">
        <v>15641</v>
      </c>
      <c r="B8706" s="787">
        <v>4</v>
      </c>
      <c r="C8706" s="787" t="s">
        <v>15642</v>
      </c>
      <c r="D8706" s="787">
        <v>0</v>
      </c>
      <c r="E8706" s="787">
        <v>0</v>
      </c>
      <c r="H8706" s="787">
        <v>1</v>
      </c>
      <c r="I8706" s="788">
        <v>41464</v>
      </c>
      <c r="L8706" s="787">
        <v>4</v>
      </c>
      <c r="M8706" s="787">
        <v>10</v>
      </c>
      <c r="N8706" s="787">
        <v>4.16</v>
      </c>
      <c r="O8706" s="788">
        <v>42163</v>
      </c>
    </row>
    <row r="8707" spans="1:15" x14ac:dyDescent="0.25">
      <c r="A8707" s="786" t="s">
        <v>15643</v>
      </c>
      <c r="B8707" s="787">
        <v>4</v>
      </c>
      <c r="C8707" s="787" t="s">
        <v>15644</v>
      </c>
      <c r="D8707" s="787">
        <v>0</v>
      </c>
      <c r="E8707" s="787">
        <v>0</v>
      </c>
      <c r="H8707" s="787">
        <v>1</v>
      </c>
      <c r="I8707" s="788">
        <v>41464</v>
      </c>
      <c r="L8707" s="787">
        <v>4</v>
      </c>
      <c r="M8707" s="787">
        <v>10</v>
      </c>
      <c r="N8707" s="787">
        <v>4.16</v>
      </c>
      <c r="O8707" s="788">
        <v>42163</v>
      </c>
    </row>
    <row r="8708" spans="1:15" x14ac:dyDescent="0.25">
      <c r="A8708" s="786" t="s">
        <v>15645</v>
      </c>
      <c r="B8708" s="787">
        <v>4</v>
      </c>
      <c r="C8708" s="787" t="s">
        <v>15646</v>
      </c>
      <c r="D8708" s="787">
        <v>0</v>
      </c>
      <c r="E8708" s="787">
        <v>0</v>
      </c>
      <c r="H8708" s="787">
        <v>1</v>
      </c>
      <c r="L8708" s="787">
        <v>4</v>
      </c>
      <c r="M8708" s="787">
        <v>10</v>
      </c>
      <c r="N8708" s="787">
        <v>4.08</v>
      </c>
      <c r="O8708" s="788">
        <v>42163</v>
      </c>
    </row>
    <row r="8709" spans="1:15" x14ac:dyDescent="0.25">
      <c r="A8709" s="786" t="s">
        <v>15647</v>
      </c>
      <c r="B8709" s="787">
        <v>4</v>
      </c>
      <c r="C8709" s="787" t="s">
        <v>15648</v>
      </c>
      <c r="D8709" s="787">
        <v>0</v>
      </c>
      <c r="E8709" s="787">
        <v>0</v>
      </c>
      <c r="H8709" s="787">
        <v>1</v>
      </c>
      <c r="L8709" s="787">
        <v>4</v>
      </c>
      <c r="M8709" s="787">
        <v>10</v>
      </c>
      <c r="N8709" s="787">
        <v>4.08</v>
      </c>
      <c r="O8709" s="788">
        <v>42163</v>
      </c>
    </row>
    <row r="8710" spans="1:15" x14ac:dyDescent="0.25">
      <c r="A8710" s="786" t="s">
        <v>15649</v>
      </c>
      <c r="B8710" s="787">
        <v>4</v>
      </c>
      <c r="C8710" s="787" t="s">
        <v>15650</v>
      </c>
      <c r="D8710" s="787">
        <v>0</v>
      </c>
      <c r="E8710" s="787">
        <v>0</v>
      </c>
      <c r="H8710" s="787">
        <v>1</v>
      </c>
      <c r="K8710" s="788">
        <v>40983</v>
      </c>
      <c r="L8710" s="787">
        <v>28.6</v>
      </c>
      <c r="M8710" s="787">
        <v>10</v>
      </c>
      <c r="N8710" s="787">
        <v>31.17</v>
      </c>
      <c r="O8710" s="788">
        <v>41858</v>
      </c>
    </row>
    <row r="8711" spans="1:15" x14ac:dyDescent="0.25">
      <c r="A8711" s="786" t="s">
        <v>15651</v>
      </c>
      <c r="B8711" s="787">
        <v>4</v>
      </c>
      <c r="C8711" s="787" t="s">
        <v>15652</v>
      </c>
      <c r="D8711" s="787">
        <v>0</v>
      </c>
      <c r="E8711" s="787">
        <v>0</v>
      </c>
      <c r="H8711" s="787">
        <v>1</v>
      </c>
      <c r="K8711" s="788">
        <v>40983</v>
      </c>
      <c r="L8711" s="787">
        <v>28.6</v>
      </c>
      <c r="M8711" s="787">
        <v>10</v>
      </c>
      <c r="N8711" s="787">
        <v>31.17</v>
      </c>
      <c r="O8711" s="788">
        <v>41858</v>
      </c>
    </row>
    <row r="8712" spans="1:15" x14ac:dyDescent="0.25">
      <c r="A8712" s="786" t="s">
        <v>15653</v>
      </c>
      <c r="B8712" s="787">
        <v>4</v>
      </c>
      <c r="C8712" s="787" t="s">
        <v>15654</v>
      </c>
      <c r="D8712" s="787">
        <v>0</v>
      </c>
      <c r="E8712" s="787">
        <v>0</v>
      </c>
      <c r="H8712" s="787">
        <v>1</v>
      </c>
      <c r="K8712" s="788">
        <v>40983</v>
      </c>
      <c r="L8712" s="787">
        <v>28.6</v>
      </c>
      <c r="M8712" s="787">
        <v>10</v>
      </c>
      <c r="N8712" s="787">
        <v>31.17</v>
      </c>
      <c r="O8712" s="788">
        <v>41858</v>
      </c>
    </row>
    <row r="8713" spans="1:15" x14ac:dyDescent="0.25">
      <c r="A8713" s="786" t="s">
        <v>15655</v>
      </c>
      <c r="B8713" s="787">
        <v>4</v>
      </c>
      <c r="C8713" s="787" t="s">
        <v>15656</v>
      </c>
      <c r="D8713" s="787">
        <v>0</v>
      </c>
      <c r="E8713" s="787">
        <v>0</v>
      </c>
      <c r="H8713" s="787">
        <v>1</v>
      </c>
      <c r="K8713" s="788">
        <v>40983</v>
      </c>
      <c r="L8713" s="787">
        <v>28.6</v>
      </c>
      <c r="M8713" s="787">
        <v>10</v>
      </c>
      <c r="N8713" s="787">
        <v>31.17</v>
      </c>
      <c r="O8713" s="788">
        <v>41858</v>
      </c>
    </row>
    <row r="8714" spans="1:15" x14ac:dyDescent="0.25">
      <c r="A8714" s="786" t="s">
        <v>15657</v>
      </c>
      <c r="B8714" s="787">
        <v>4</v>
      </c>
      <c r="C8714" s="787" t="s">
        <v>15658</v>
      </c>
      <c r="D8714" s="787">
        <v>0</v>
      </c>
      <c r="E8714" s="787">
        <v>0</v>
      </c>
      <c r="H8714" s="787">
        <v>1</v>
      </c>
      <c r="K8714" s="788">
        <v>40983</v>
      </c>
      <c r="L8714" s="787">
        <v>28.6</v>
      </c>
      <c r="M8714" s="787">
        <v>10</v>
      </c>
      <c r="N8714" s="787">
        <v>31.17</v>
      </c>
      <c r="O8714" s="788">
        <v>41858</v>
      </c>
    </row>
    <row r="8715" spans="1:15" x14ac:dyDescent="0.25">
      <c r="A8715" s="786" t="s">
        <v>15659</v>
      </c>
      <c r="B8715" s="787">
        <v>4</v>
      </c>
      <c r="C8715" s="787" t="s">
        <v>15660</v>
      </c>
      <c r="D8715" s="787">
        <v>0</v>
      </c>
      <c r="E8715" s="787">
        <v>0</v>
      </c>
      <c r="H8715" s="787">
        <v>1</v>
      </c>
      <c r="K8715" s="788">
        <v>40983</v>
      </c>
      <c r="L8715" s="787">
        <v>28.6</v>
      </c>
      <c r="M8715" s="787">
        <v>10</v>
      </c>
      <c r="N8715" s="787">
        <v>31.17</v>
      </c>
      <c r="O8715" s="788">
        <v>41858</v>
      </c>
    </row>
    <row r="8716" spans="1:15" x14ac:dyDescent="0.25">
      <c r="A8716" s="786" t="s">
        <v>15661</v>
      </c>
      <c r="B8716" s="787">
        <v>4</v>
      </c>
      <c r="C8716" s="787" t="s">
        <v>15656</v>
      </c>
      <c r="D8716" s="787">
        <v>0</v>
      </c>
      <c r="E8716" s="787">
        <v>0</v>
      </c>
      <c r="H8716" s="787">
        <v>1</v>
      </c>
      <c r="K8716" s="788">
        <v>40983</v>
      </c>
      <c r="L8716" s="787">
        <v>28.6</v>
      </c>
      <c r="M8716" s="787">
        <v>10</v>
      </c>
      <c r="N8716" s="787">
        <v>31.17</v>
      </c>
      <c r="O8716" s="788">
        <v>41858</v>
      </c>
    </row>
    <row r="8717" spans="1:15" x14ac:dyDescent="0.25">
      <c r="A8717" s="786" t="s">
        <v>15662</v>
      </c>
      <c r="B8717" s="787">
        <v>4</v>
      </c>
      <c r="C8717" s="787" t="s">
        <v>15658</v>
      </c>
      <c r="D8717" s="787">
        <v>0</v>
      </c>
      <c r="E8717" s="787">
        <v>0</v>
      </c>
      <c r="H8717" s="787">
        <v>1</v>
      </c>
      <c r="K8717" s="788">
        <v>40983</v>
      </c>
      <c r="L8717" s="787">
        <v>28.6</v>
      </c>
      <c r="M8717" s="787">
        <v>10</v>
      </c>
      <c r="N8717" s="787">
        <v>31.17</v>
      </c>
      <c r="O8717" s="788">
        <v>41858</v>
      </c>
    </row>
    <row r="8718" spans="1:15" x14ac:dyDescent="0.25">
      <c r="A8718" s="786" t="s">
        <v>15663</v>
      </c>
      <c r="B8718" s="787">
        <v>4</v>
      </c>
      <c r="C8718" s="787" t="s">
        <v>15664</v>
      </c>
      <c r="D8718" s="787">
        <v>0</v>
      </c>
      <c r="E8718" s="787">
        <v>0</v>
      </c>
      <c r="H8718" s="787">
        <v>1</v>
      </c>
      <c r="K8718" s="788">
        <v>40983</v>
      </c>
      <c r="L8718" s="787">
        <v>28.6</v>
      </c>
      <c r="M8718" s="787">
        <v>10</v>
      </c>
      <c r="N8718" s="787">
        <v>31.17</v>
      </c>
      <c r="O8718" s="788">
        <v>41858</v>
      </c>
    </row>
    <row r="8719" spans="1:15" x14ac:dyDescent="0.25">
      <c r="A8719" s="786" t="s">
        <v>15665</v>
      </c>
      <c r="B8719" s="787">
        <v>4</v>
      </c>
      <c r="C8719" s="787" t="s">
        <v>10360</v>
      </c>
      <c r="D8719" s="787">
        <v>0</v>
      </c>
      <c r="E8719" s="787">
        <v>0</v>
      </c>
      <c r="H8719" s="787">
        <v>1</v>
      </c>
      <c r="K8719" s="788">
        <v>40980</v>
      </c>
      <c r="L8719" s="787">
        <v>13.13</v>
      </c>
      <c r="M8719" s="787">
        <v>10</v>
      </c>
      <c r="N8719" s="787">
        <v>15.04</v>
      </c>
      <c r="O8719" s="788">
        <v>41858</v>
      </c>
    </row>
    <row r="8720" spans="1:15" x14ac:dyDescent="0.25">
      <c r="A8720" s="786" t="s">
        <v>15666</v>
      </c>
      <c r="B8720" s="787">
        <v>4</v>
      </c>
      <c r="C8720" s="787" t="s">
        <v>9483</v>
      </c>
      <c r="D8720" s="787">
        <v>0</v>
      </c>
      <c r="E8720" s="787">
        <v>0</v>
      </c>
      <c r="H8720" s="787">
        <v>1</v>
      </c>
      <c r="I8720" s="788">
        <v>42153</v>
      </c>
      <c r="K8720" s="788">
        <v>40980</v>
      </c>
      <c r="L8720" s="787">
        <v>13.13</v>
      </c>
      <c r="M8720" s="787">
        <v>10</v>
      </c>
      <c r="N8720" s="787">
        <v>14.99</v>
      </c>
      <c r="O8720" s="788">
        <v>42146</v>
      </c>
    </row>
    <row r="8721" spans="1:15" x14ac:dyDescent="0.25">
      <c r="A8721" s="786" t="s">
        <v>15667</v>
      </c>
      <c r="B8721" s="787">
        <v>4</v>
      </c>
      <c r="C8721" s="787" t="s">
        <v>15668</v>
      </c>
      <c r="D8721" s="787">
        <v>0</v>
      </c>
      <c r="E8721" s="787">
        <v>0</v>
      </c>
      <c r="H8721" s="787">
        <v>1</v>
      </c>
      <c r="I8721" s="788">
        <v>42151</v>
      </c>
      <c r="K8721" s="788">
        <v>41083</v>
      </c>
      <c r="L8721" s="787">
        <v>8.15</v>
      </c>
      <c r="M8721" s="787">
        <v>10</v>
      </c>
      <c r="N8721" s="787">
        <v>7.54</v>
      </c>
      <c r="O8721" s="788">
        <v>42115</v>
      </c>
    </row>
    <row r="8722" spans="1:15" x14ac:dyDescent="0.25">
      <c r="A8722" s="786" t="s">
        <v>15669</v>
      </c>
      <c r="B8722" s="787">
        <v>4</v>
      </c>
      <c r="C8722" s="787" t="s">
        <v>15670</v>
      </c>
      <c r="D8722" s="787">
        <v>0</v>
      </c>
      <c r="E8722" s="787">
        <v>0</v>
      </c>
      <c r="H8722" s="787">
        <v>1</v>
      </c>
      <c r="I8722" s="788">
        <v>42151</v>
      </c>
      <c r="K8722" s="788">
        <v>41083</v>
      </c>
      <c r="L8722" s="787">
        <v>11.85</v>
      </c>
      <c r="M8722" s="787">
        <v>10</v>
      </c>
      <c r="N8722" s="787">
        <v>10.64</v>
      </c>
      <c r="O8722" s="788">
        <v>42115</v>
      </c>
    </row>
    <row r="8723" spans="1:15" x14ac:dyDescent="0.25">
      <c r="A8723" s="786" t="s">
        <v>15671</v>
      </c>
      <c r="B8723" s="787">
        <v>4</v>
      </c>
      <c r="C8723" s="787" t="s">
        <v>15672</v>
      </c>
      <c r="D8723" s="787">
        <v>0</v>
      </c>
      <c r="E8723" s="787">
        <v>0</v>
      </c>
      <c r="H8723" s="787">
        <v>1</v>
      </c>
      <c r="I8723" s="788">
        <v>42151</v>
      </c>
      <c r="K8723" s="788">
        <v>41083</v>
      </c>
      <c r="L8723" s="787">
        <v>9.02</v>
      </c>
      <c r="M8723" s="787">
        <v>10</v>
      </c>
      <c r="N8723" s="787">
        <v>8.35</v>
      </c>
      <c r="O8723" s="788">
        <v>42115</v>
      </c>
    </row>
    <row r="8724" spans="1:15" x14ac:dyDescent="0.25">
      <c r="A8724" s="786" t="s">
        <v>15673</v>
      </c>
      <c r="B8724" s="787">
        <v>4</v>
      </c>
      <c r="C8724" s="787" t="s">
        <v>15672</v>
      </c>
      <c r="D8724" s="787">
        <v>0</v>
      </c>
      <c r="E8724" s="787">
        <v>0</v>
      </c>
      <c r="H8724" s="787">
        <v>1</v>
      </c>
      <c r="I8724" s="788">
        <v>42151</v>
      </c>
      <c r="K8724" s="788">
        <v>41083</v>
      </c>
      <c r="L8724" s="787">
        <v>8.9700000000000006</v>
      </c>
      <c r="M8724" s="787">
        <v>10</v>
      </c>
      <c r="N8724" s="787">
        <v>8.31</v>
      </c>
      <c r="O8724" s="788">
        <v>42115</v>
      </c>
    </row>
    <row r="8725" spans="1:15" x14ac:dyDescent="0.25">
      <c r="A8725" s="786" t="s">
        <v>15674</v>
      </c>
      <c r="B8725" s="787">
        <v>4</v>
      </c>
      <c r="C8725" s="787" t="s">
        <v>15675</v>
      </c>
      <c r="D8725" s="787">
        <v>7.54</v>
      </c>
      <c r="E8725" s="787">
        <v>17.54</v>
      </c>
      <c r="F8725" s="788">
        <v>42158</v>
      </c>
      <c r="G8725" s="788">
        <v>42158</v>
      </c>
      <c r="H8725" s="787">
        <v>1</v>
      </c>
      <c r="I8725" s="788">
        <v>42151</v>
      </c>
      <c r="J8725" s="788">
        <v>42131</v>
      </c>
      <c r="K8725" s="788">
        <v>41083</v>
      </c>
      <c r="L8725" s="787">
        <v>5.32</v>
      </c>
      <c r="M8725" s="787">
        <v>10</v>
      </c>
      <c r="N8725" s="787">
        <v>12.83</v>
      </c>
      <c r="O8725" s="788">
        <v>42115</v>
      </c>
    </row>
    <row r="8726" spans="1:15" x14ac:dyDescent="0.25">
      <c r="A8726" s="786" t="s">
        <v>15676</v>
      </c>
      <c r="B8726" s="787">
        <v>4</v>
      </c>
      <c r="C8726" s="787" t="s">
        <v>15677</v>
      </c>
      <c r="D8726" s="787">
        <v>0.22</v>
      </c>
      <c r="E8726" s="787">
        <v>10.220000000000001</v>
      </c>
      <c r="F8726" s="788">
        <v>42158</v>
      </c>
      <c r="G8726" s="788">
        <v>42158</v>
      </c>
      <c r="H8726" s="787">
        <v>1</v>
      </c>
      <c r="I8726" s="788">
        <v>42144</v>
      </c>
      <c r="J8726" s="788">
        <v>42131</v>
      </c>
      <c r="K8726" s="788">
        <v>41083</v>
      </c>
      <c r="L8726" s="787">
        <v>5.32</v>
      </c>
      <c r="M8726" s="787">
        <v>10</v>
      </c>
      <c r="N8726" s="787">
        <v>12.83</v>
      </c>
      <c r="O8726" s="788">
        <v>42115</v>
      </c>
    </row>
    <row r="8727" spans="1:15" x14ac:dyDescent="0.25">
      <c r="A8727" s="786" t="s">
        <v>15678</v>
      </c>
      <c r="B8727" s="787">
        <v>4</v>
      </c>
      <c r="C8727" s="787" t="s">
        <v>15679</v>
      </c>
      <c r="D8727" s="787">
        <v>5.84</v>
      </c>
      <c r="E8727" s="787">
        <v>25.84</v>
      </c>
      <c r="F8727" s="788">
        <v>42158</v>
      </c>
      <c r="G8727" s="788">
        <v>42158</v>
      </c>
      <c r="H8727" s="787">
        <v>1</v>
      </c>
      <c r="I8727" s="788">
        <v>42144</v>
      </c>
      <c r="J8727" s="788">
        <v>42131</v>
      </c>
      <c r="K8727" s="788">
        <v>41083</v>
      </c>
      <c r="L8727" s="787">
        <v>5.36</v>
      </c>
      <c r="M8727" s="787">
        <v>10</v>
      </c>
      <c r="N8727" s="787">
        <v>12.83</v>
      </c>
      <c r="O8727" s="788">
        <v>42115</v>
      </c>
    </row>
    <row r="8728" spans="1:15" x14ac:dyDescent="0.25">
      <c r="A8728" s="786" t="s">
        <v>15680</v>
      </c>
      <c r="B8728" s="787">
        <v>4</v>
      </c>
      <c r="C8728" s="787" t="s">
        <v>15681</v>
      </c>
      <c r="D8728" s="787">
        <v>8.3699999999999992</v>
      </c>
      <c r="E8728" s="787">
        <v>8.3699999999999992</v>
      </c>
      <c r="F8728" s="788">
        <v>42158</v>
      </c>
      <c r="G8728" s="788">
        <v>42158</v>
      </c>
      <c r="H8728" s="787">
        <v>1</v>
      </c>
      <c r="I8728" s="788">
        <v>42151</v>
      </c>
      <c r="J8728" s="788">
        <v>42131</v>
      </c>
      <c r="K8728" s="788">
        <v>41083</v>
      </c>
      <c r="L8728" s="787">
        <v>5.36</v>
      </c>
      <c r="M8728" s="787">
        <v>10</v>
      </c>
      <c r="N8728" s="787">
        <v>12.83</v>
      </c>
      <c r="O8728" s="788">
        <v>42115</v>
      </c>
    </row>
    <row r="8729" spans="1:15" x14ac:dyDescent="0.25">
      <c r="A8729" s="786" t="s">
        <v>15682</v>
      </c>
      <c r="B8729" s="787">
        <v>4</v>
      </c>
      <c r="C8729" s="787" t="s">
        <v>15683</v>
      </c>
      <c r="D8729" s="787">
        <v>5.43</v>
      </c>
      <c r="E8729" s="787">
        <v>5.43</v>
      </c>
      <c r="F8729" s="788">
        <v>42159</v>
      </c>
      <c r="G8729" s="788">
        <v>42159</v>
      </c>
      <c r="H8729" s="787">
        <v>1</v>
      </c>
      <c r="I8729" s="788">
        <v>42156</v>
      </c>
      <c r="J8729" s="788">
        <v>42130</v>
      </c>
      <c r="K8729" s="788">
        <v>42115</v>
      </c>
      <c r="L8729" s="787">
        <v>6</v>
      </c>
      <c r="M8729" s="787">
        <v>10</v>
      </c>
      <c r="N8729" s="787">
        <v>6.03</v>
      </c>
      <c r="O8729" s="788">
        <v>42115</v>
      </c>
    </row>
    <row r="8730" spans="1:15" x14ac:dyDescent="0.25">
      <c r="A8730" s="786" t="s">
        <v>15684</v>
      </c>
      <c r="B8730" s="787">
        <v>4</v>
      </c>
      <c r="C8730" s="787" t="s">
        <v>15685</v>
      </c>
      <c r="D8730" s="787">
        <v>2.89</v>
      </c>
      <c r="E8730" s="787">
        <v>2.89</v>
      </c>
      <c r="F8730" s="788">
        <v>42159</v>
      </c>
      <c r="G8730" s="788">
        <v>42159</v>
      </c>
      <c r="H8730" s="787">
        <v>1</v>
      </c>
      <c r="I8730" s="788">
        <v>42156</v>
      </c>
      <c r="J8730" s="788">
        <v>42130</v>
      </c>
      <c r="K8730" s="788">
        <v>42115</v>
      </c>
      <c r="L8730" s="787">
        <v>6</v>
      </c>
      <c r="M8730" s="787">
        <v>10</v>
      </c>
      <c r="N8730" s="787">
        <v>6.03</v>
      </c>
      <c r="O8730" s="788">
        <v>42115</v>
      </c>
    </row>
    <row r="8731" spans="1:15" x14ac:dyDescent="0.25">
      <c r="A8731" s="786" t="s">
        <v>15686</v>
      </c>
      <c r="B8731" s="787">
        <v>4</v>
      </c>
      <c r="C8731" s="787" t="s">
        <v>15687</v>
      </c>
      <c r="D8731" s="787">
        <v>0</v>
      </c>
      <c r="E8731" s="787">
        <v>0</v>
      </c>
      <c r="G8731" s="788">
        <v>42130</v>
      </c>
      <c r="H8731" s="787">
        <v>1</v>
      </c>
      <c r="I8731" s="788">
        <v>42144</v>
      </c>
      <c r="J8731" s="788">
        <v>42151</v>
      </c>
      <c r="K8731" s="788">
        <v>42115</v>
      </c>
      <c r="L8731" s="787">
        <v>6</v>
      </c>
      <c r="M8731" s="787">
        <v>10</v>
      </c>
      <c r="N8731" s="787">
        <v>5.74</v>
      </c>
      <c r="O8731" s="788">
        <v>42146</v>
      </c>
    </row>
    <row r="8732" spans="1:15" x14ac:dyDescent="0.25">
      <c r="A8732" s="786" t="s">
        <v>15688</v>
      </c>
      <c r="B8732" s="787">
        <v>4</v>
      </c>
      <c r="C8732" s="787" t="s">
        <v>15689</v>
      </c>
      <c r="D8732" s="787">
        <v>0</v>
      </c>
      <c r="E8732" s="787">
        <v>0</v>
      </c>
      <c r="G8732" s="788">
        <v>42132</v>
      </c>
      <c r="H8732" s="787">
        <v>1</v>
      </c>
      <c r="I8732" s="788">
        <v>42151</v>
      </c>
      <c r="J8732" s="788">
        <v>42156</v>
      </c>
      <c r="K8732" s="788">
        <v>41083</v>
      </c>
      <c r="L8732" s="787">
        <v>0.3</v>
      </c>
      <c r="M8732" s="787">
        <v>10</v>
      </c>
      <c r="N8732" s="787">
        <v>0.3</v>
      </c>
      <c r="O8732" s="788">
        <v>42115</v>
      </c>
    </row>
    <row r="8733" spans="1:15" x14ac:dyDescent="0.25">
      <c r="A8733" s="786" t="s">
        <v>15690</v>
      </c>
      <c r="B8733" s="787">
        <v>4</v>
      </c>
      <c r="C8733" s="787" t="s">
        <v>15691</v>
      </c>
      <c r="D8733" s="787">
        <v>0</v>
      </c>
      <c r="E8733" s="787">
        <v>0</v>
      </c>
      <c r="G8733" s="788">
        <v>42132</v>
      </c>
      <c r="H8733" s="787">
        <v>1</v>
      </c>
      <c r="I8733" s="788">
        <v>42151</v>
      </c>
      <c r="J8733" s="788">
        <v>42156</v>
      </c>
      <c r="K8733" s="788">
        <v>41083</v>
      </c>
      <c r="L8733" s="787">
        <v>0.38</v>
      </c>
      <c r="M8733" s="787">
        <v>10</v>
      </c>
      <c r="N8733" s="787">
        <v>0.38</v>
      </c>
      <c r="O8733" s="788">
        <v>42115</v>
      </c>
    </row>
    <row r="8734" spans="1:15" x14ac:dyDescent="0.25">
      <c r="A8734" s="786" t="s">
        <v>15692</v>
      </c>
      <c r="B8734" s="787">
        <v>4</v>
      </c>
      <c r="C8734" s="787" t="s">
        <v>15693</v>
      </c>
      <c r="D8734" s="787">
        <v>0</v>
      </c>
      <c r="E8734" s="787">
        <v>0</v>
      </c>
      <c r="H8734" s="787">
        <v>1</v>
      </c>
      <c r="K8734" s="788">
        <v>42166</v>
      </c>
      <c r="L8734" s="787">
        <v>8.18</v>
      </c>
      <c r="M8734" s="787">
        <v>10</v>
      </c>
      <c r="N8734" s="787">
        <v>8.18</v>
      </c>
      <c r="O8734" s="788">
        <v>42166</v>
      </c>
    </row>
    <row r="8735" spans="1:15" x14ac:dyDescent="0.25">
      <c r="A8735" s="786" t="s">
        <v>15694</v>
      </c>
      <c r="B8735" s="787">
        <v>4</v>
      </c>
      <c r="C8735" s="787" t="s">
        <v>15695</v>
      </c>
      <c r="D8735" s="787">
        <v>0</v>
      </c>
      <c r="E8735" s="787">
        <v>0</v>
      </c>
      <c r="H8735" s="787">
        <v>1</v>
      </c>
      <c r="I8735" s="788">
        <v>42151</v>
      </c>
      <c r="K8735" s="788">
        <v>41083</v>
      </c>
      <c r="L8735" s="787">
        <v>7.36</v>
      </c>
      <c r="M8735" s="787">
        <v>10</v>
      </c>
      <c r="N8735" s="787">
        <v>7.5</v>
      </c>
      <c r="O8735" s="788">
        <v>42115</v>
      </c>
    </row>
    <row r="8736" spans="1:15" x14ac:dyDescent="0.25">
      <c r="A8736" s="786" t="s">
        <v>15696</v>
      </c>
      <c r="B8736" s="787">
        <v>4</v>
      </c>
      <c r="C8736" s="787" t="s">
        <v>15697</v>
      </c>
      <c r="D8736" s="787">
        <v>0</v>
      </c>
      <c r="E8736" s="787">
        <v>0</v>
      </c>
      <c r="H8736" s="787">
        <v>1</v>
      </c>
      <c r="I8736" s="788">
        <v>42151</v>
      </c>
      <c r="K8736" s="788">
        <v>41083</v>
      </c>
      <c r="L8736" s="787">
        <v>7.36</v>
      </c>
      <c r="M8736" s="787">
        <v>10</v>
      </c>
      <c r="N8736" s="787">
        <v>7.5</v>
      </c>
      <c r="O8736" s="788">
        <v>42115</v>
      </c>
    </row>
    <row r="8737" spans="1:15" x14ac:dyDescent="0.25">
      <c r="A8737" s="786" t="s">
        <v>15698</v>
      </c>
      <c r="B8737" s="787">
        <v>4</v>
      </c>
      <c r="C8737" s="787" t="s">
        <v>15699</v>
      </c>
      <c r="D8737" s="787">
        <v>0</v>
      </c>
      <c r="E8737" s="787">
        <v>0</v>
      </c>
      <c r="H8737" s="787">
        <v>1</v>
      </c>
      <c r="I8737" s="788">
        <v>42151</v>
      </c>
      <c r="K8737" s="788">
        <v>41083</v>
      </c>
      <c r="L8737" s="787">
        <v>6.48</v>
      </c>
      <c r="M8737" s="787">
        <v>10</v>
      </c>
      <c r="N8737" s="787">
        <v>5.32</v>
      </c>
      <c r="O8737" s="788">
        <v>42115</v>
      </c>
    </row>
    <row r="8738" spans="1:15" x14ac:dyDescent="0.25">
      <c r="A8738" s="786" t="s">
        <v>15700</v>
      </c>
      <c r="B8738" s="787">
        <v>4</v>
      </c>
      <c r="C8738" s="787" t="s">
        <v>15701</v>
      </c>
      <c r="D8738" s="787">
        <v>0</v>
      </c>
      <c r="E8738" s="787">
        <v>0</v>
      </c>
      <c r="H8738" s="787">
        <v>1</v>
      </c>
      <c r="I8738" s="788">
        <v>42151</v>
      </c>
      <c r="K8738" s="788">
        <v>41083</v>
      </c>
      <c r="L8738" s="787">
        <v>6.48</v>
      </c>
      <c r="M8738" s="787">
        <v>10</v>
      </c>
      <c r="N8738" s="787">
        <v>5.32</v>
      </c>
      <c r="O8738" s="788">
        <v>42115</v>
      </c>
    </row>
    <row r="8739" spans="1:15" x14ac:dyDescent="0.25">
      <c r="A8739" s="786" t="s">
        <v>15702</v>
      </c>
      <c r="B8739" s="787">
        <v>4</v>
      </c>
      <c r="C8739" s="787" t="s">
        <v>15703</v>
      </c>
      <c r="D8739" s="787">
        <v>0</v>
      </c>
      <c r="E8739" s="787">
        <v>0</v>
      </c>
      <c r="H8739" s="787">
        <v>1</v>
      </c>
      <c r="I8739" s="788">
        <v>42151</v>
      </c>
      <c r="K8739" s="788">
        <v>41083</v>
      </c>
      <c r="L8739" s="787">
        <v>5.32</v>
      </c>
      <c r="M8739" s="787">
        <v>10</v>
      </c>
      <c r="N8739" s="787">
        <v>3.66</v>
      </c>
      <c r="O8739" s="788">
        <v>42115</v>
      </c>
    </row>
    <row r="8740" spans="1:15" x14ac:dyDescent="0.25">
      <c r="A8740" s="786" t="s">
        <v>15704</v>
      </c>
      <c r="B8740" s="787">
        <v>4</v>
      </c>
      <c r="C8740" s="787" t="s">
        <v>15705</v>
      </c>
      <c r="D8740" s="787">
        <v>0</v>
      </c>
      <c r="E8740" s="787">
        <v>0</v>
      </c>
      <c r="H8740" s="787">
        <v>1</v>
      </c>
      <c r="I8740" s="788">
        <v>42151</v>
      </c>
      <c r="K8740" s="788">
        <v>41083</v>
      </c>
      <c r="L8740" s="787">
        <v>5.32</v>
      </c>
      <c r="M8740" s="787">
        <v>10</v>
      </c>
      <c r="N8740" s="787">
        <v>3.66</v>
      </c>
      <c r="O8740" s="788">
        <v>42115</v>
      </c>
    </row>
    <row r="8741" spans="1:15" x14ac:dyDescent="0.25">
      <c r="A8741" s="786" t="s">
        <v>15706</v>
      </c>
      <c r="B8741" s="787">
        <v>4</v>
      </c>
      <c r="C8741" s="787" t="s">
        <v>15707</v>
      </c>
      <c r="D8741" s="787">
        <v>0</v>
      </c>
      <c r="E8741" s="787">
        <v>0</v>
      </c>
      <c r="H8741" s="787">
        <v>1</v>
      </c>
      <c r="I8741" s="788">
        <v>42151</v>
      </c>
      <c r="K8741" s="788">
        <v>41085</v>
      </c>
      <c r="L8741" s="787">
        <v>5.4</v>
      </c>
      <c r="M8741" s="787">
        <v>10</v>
      </c>
      <c r="N8741" s="787">
        <v>3.66</v>
      </c>
      <c r="O8741" s="788">
        <v>42115</v>
      </c>
    </row>
    <row r="8742" spans="1:15" x14ac:dyDescent="0.25">
      <c r="A8742" s="786" t="s">
        <v>15708</v>
      </c>
      <c r="B8742" s="787">
        <v>4</v>
      </c>
      <c r="C8742" s="787" t="s">
        <v>15709</v>
      </c>
      <c r="D8742" s="787">
        <v>0</v>
      </c>
      <c r="E8742" s="787">
        <v>0</v>
      </c>
      <c r="H8742" s="787">
        <v>1</v>
      </c>
      <c r="I8742" s="788">
        <v>42151</v>
      </c>
      <c r="K8742" s="788">
        <v>41085</v>
      </c>
      <c r="L8742" s="787">
        <v>5.4</v>
      </c>
      <c r="M8742" s="787">
        <v>10</v>
      </c>
      <c r="N8742" s="787">
        <v>3.66</v>
      </c>
      <c r="O8742" s="788">
        <v>42115</v>
      </c>
    </row>
    <row r="8743" spans="1:15" x14ac:dyDescent="0.25">
      <c r="A8743" s="786" t="s">
        <v>15710</v>
      </c>
      <c r="B8743" s="787">
        <v>4</v>
      </c>
      <c r="C8743" s="787" t="s">
        <v>15711</v>
      </c>
      <c r="D8743" s="787">
        <v>0</v>
      </c>
      <c r="E8743" s="787">
        <v>0</v>
      </c>
      <c r="H8743" s="787">
        <v>6</v>
      </c>
      <c r="I8743" s="788">
        <v>42093</v>
      </c>
      <c r="J8743" s="788">
        <v>41675</v>
      </c>
      <c r="K8743" s="788">
        <v>42115</v>
      </c>
      <c r="L8743" s="787">
        <v>6</v>
      </c>
      <c r="M8743" s="787">
        <v>10</v>
      </c>
      <c r="N8743" s="787">
        <v>5.71</v>
      </c>
      <c r="O8743" s="788">
        <v>42115</v>
      </c>
    </row>
    <row r="8744" spans="1:15" x14ac:dyDescent="0.25">
      <c r="A8744" s="786" t="s">
        <v>15712</v>
      </c>
      <c r="B8744" s="787">
        <v>4</v>
      </c>
      <c r="C8744" s="787" t="s">
        <v>15713</v>
      </c>
      <c r="D8744" s="787">
        <v>0</v>
      </c>
      <c r="E8744" s="787">
        <v>0</v>
      </c>
      <c r="H8744" s="787">
        <v>6</v>
      </c>
      <c r="I8744" s="788">
        <v>42093</v>
      </c>
      <c r="J8744" s="788">
        <v>41675</v>
      </c>
      <c r="K8744" s="788">
        <v>41676</v>
      </c>
      <c r="L8744" s="787">
        <v>6</v>
      </c>
      <c r="M8744" s="787">
        <v>10</v>
      </c>
      <c r="N8744" s="787">
        <v>5.44</v>
      </c>
      <c r="O8744" s="788">
        <v>42115</v>
      </c>
    </row>
    <row r="8745" spans="1:15" x14ac:dyDescent="0.25">
      <c r="A8745" s="786" t="s">
        <v>15714</v>
      </c>
      <c r="B8745" s="787">
        <v>4</v>
      </c>
      <c r="C8745" s="787" t="s">
        <v>15715</v>
      </c>
      <c r="D8745" s="787">
        <v>0.56000000000000005</v>
      </c>
      <c r="E8745" s="787">
        <v>0.56000000000000005</v>
      </c>
      <c r="F8745" s="788">
        <v>42163</v>
      </c>
      <c r="G8745" s="788">
        <v>42163</v>
      </c>
      <c r="H8745" s="787">
        <v>1</v>
      </c>
      <c r="I8745" s="788">
        <v>42151</v>
      </c>
      <c r="J8745" s="788">
        <v>42131</v>
      </c>
      <c r="K8745" s="788">
        <v>41083</v>
      </c>
      <c r="L8745" s="787">
        <v>0.26</v>
      </c>
      <c r="M8745" s="787">
        <v>10</v>
      </c>
      <c r="N8745" s="787">
        <v>2.1800000000000002</v>
      </c>
      <c r="O8745" s="788">
        <v>42115</v>
      </c>
    </row>
    <row r="8746" spans="1:15" x14ac:dyDescent="0.25">
      <c r="A8746" s="786" t="s">
        <v>15716</v>
      </c>
      <c r="B8746" s="787">
        <v>4</v>
      </c>
      <c r="C8746" s="787" t="s">
        <v>15717</v>
      </c>
      <c r="D8746" s="787">
        <v>2.13</v>
      </c>
      <c r="E8746" s="787">
        <v>52.13</v>
      </c>
      <c r="F8746" s="788">
        <v>42135</v>
      </c>
      <c r="G8746" s="788">
        <v>42164</v>
      </c>
      <c r="H8746" s="787">
        <v>1</v>
      </c>
      <c r="I8746" s="788">
        <v>42165</v>
      </c>
      <c r="J8746" s="788">
        <v>42164</v>
      </c>
      <c r="L8746" s="787">
        <v>10</v>
      </c>
      <c r="M8746" s="787">
        <v>10</v>
      </c>
      <c r="N8746" s="787">
        <v>16.97</v>
      </c>
      <c r="O8746" s="788">
        <v>42046</v>
      </c>
    </row>
    <row r="8747" spans="1:15" x14ac:dyDescent="0.25">
      <c r="A8747" s="786" t="s">
        <v>15718</v>
      </c>
      <c r="B8747" s="787">
        <v>4</v>
      </c>
      <c r="C8747" s="787" t="s">
        <v>15719</v>
      </c>
      <c r="D8747" s="787">
        <v>0</v>
      </c>
      <c r="E8747" s="787">
        <v>0</v>
      </c>
      <c r="H8747" s="787">
        <v>1</v>
      </c>
      <c r="L8747" s="787">
        <v>1</v>
      </c>
      <c r="M8747" s="787">
        <v>10</v>
      </c>
      <c r="N8747" s="787">
        <v>5.31</v>
      </c>
      <c r="O8747" s="788">
        <v>41858</v>
      </c>
    </row>
    <row r="8748" spans="1:15" x14ac:dyDescent="0.25">
      <c r="A8748" s="786" t="s">
        <v>15720</v>
      </c>
      <c r="B8748" s="787">
        <v>4</v>
      </c>
      <c r="C8748" s="787" t="s">
        <v>15721</v>
      </c>
      <c r="D8748" s="787">
        <v>0</v>
      </c>
      <c r="E8748" s="787">
        <v>0</v>
      </c>
      <c r="H8748" s="787">
        <v>1</v>
      </c>
      <c r="K8748" s="788">
        <v>41022</v>
      </c>
      <c r="L8748" s="787">
        <v>5.4</v>
      </c>
      <c r="M8748" s="787">
        <v>10</v>
      </c>
      <c r="N8748" s="787">
        <v>5.31</v>
      </c>
      <c r="O8748" s="788">
        <v>41858</v>
      </c>
    </row>
    <row r="8749" spans="1:15" x14ac:dyDescent="0.25">
      <c r="A8749" s="786" t="s">
        <v>15722</v>
      </c>
      <c r="B8749" s="787">
        <v>4</v>
      </c>
      <c r="C8749" s="787" t="s">
        <v>11581</v>
      </c>
      <c r="D8749" s="787">
        <v>0</v>
      </c>
      <c r="E8749" s="787">
        <v>0</v>
      </c>
      <c r="H8749" s="787">
        <v>1</v>
      </c>
      <c r="K8749" s="788">
        <v>41018</v>
      </c>
      <c r="L8749" s="787">
        <v>10.95</v>
      </c>
      <c r="M8749" s="787">
        <v>10</v>
      </c>
      <c r="N8749" s="787">
        <v>10.59</v>
      </c>
      <c r="O8749" s="788">
        <v>41858</v>
      </c>
    </row>
    <row r="8750" spans="1:15" x14ac:dyDescent="0.25">
      <c r="A8750" s="786" t="s">
        <v>15723</v>
      </c>
      <c r="B8750" s="787">
        <v>4</v>
      </c>
      <c r="C8750" s="787" t="s">
        <v>15724</v>
      </c>
      <c r="D8750" s="787">
        <v>6.96</v>
      </c>
      <c r="E8750" s="787">
        <v>26.96</v>
      </c>
      <c r="F8750" s="788">
        <v>42103</v>
      </c>
      <c r="G8750" s="788">
        <v>42103</v>
      </c>
      <c r="H8750" s="787">
        <v>1</v>
      </c>
      <c r="J8750" s="788">
        <v>42074</v>
      </c>
      <c r="K8750" s="788">
        <v>42052</v>
      </c>
      <c r="L8750" s="787">
        <v>20.05</v>
      </c>
      <c r="M8750" s="787">
        <v>10</v>
      </c>
      <c r="N8750" s="787">
        <v>20.05</v>
      </c>
      <c r="O8750" s="788">
        <v>42052</v>
      </c>
    </row>
    <row r="8751" spans="1:15" x14ac:dyDescent="0.25">
      <c r="A8751" s="786" t="s">
        <v>15725</v>
      </c>
      <c r="B8751" s="787">
        <v>4</v>
      </c>
      <c r="C8751" s="787" t="s">
        <v>15726</v>
      </c>
      <c r="D8751" s="787">
        <v>8.6199999999999992</v>
      </c>
      <c r="E8751" s="787">
        <v>18.62</v>
      </c>
      <c r="F8751" s="788">
        <v>42103</v>
      </c>
      <c r="G8751" s="788">
        <v>42103</v>
      </c>
      <c r="H8751" s="787">
        <v>1</v>
      </c>
      <c r="J8751" s="788">
        <v>42074</v>
      </c>
      <c r="K8751" s="788">
        <v>42052</v>
      </c>
      <c r="L8751" s="787">
        <v>20.05</v>
      </c>
      <c r="M8751" s="787">
        <v>10</v>
      </c>
      <c r="N8751" s="787">
        <v>20.05</v>
      </c>
      <c r="O8751" s="788">
        <v>42052</v>
      </c>
    </row>
    <row r="8752" spans="1:15" x14ac:dyDescent="0.25">
      <c r="A8752" s="786" t="s">
        <v>15727</v>
      </c>
      <c r="B8752" s="787">
        <v>4</v>
      </c>
      <c r="C8752" s="787" t="s">
        <v>15728</v>
      </c>
      <c r="D8752" s="787">
        <v>0</v>
      </c>
      <c r="E8752" s="787">
        <v>0</v>
      </c>
      <c r="H8752" s="787">
        <v>1</v>
      </c>
      <c r="I8752" s="788">
        <v>42055</v>
      </c>
      <c r="K8752" s="788">
        <v>41032</v>
      </c>
      <c r="L8752" s="787">
        <v>11.52</v>
      </c>
      <c r="M8752" s="787">
        <v>10</v>
      </c>
      <c r="N8752" s="787">
        <v>10.69</v>
      </c>
      <c r="O8752" s="788">
        <v>41858</v>
      </c>
    </row>
    <row r="8753" spans="1:15" x14ac:dyDescent="0.25">
      <c r="A8753" s="786" t="s">
        <v>15729</v>
      </c>
      <c r="B8753" s="787">
        <v>4</v>
      </c>
      <c r="C8753" s="787" t="s">
        <v>15730</v>
      </c>
      <c r="D8753" s="787">
        <v>0.04</v>
      </c>
      <c r="E8753" s="787">
        <v>0.5</v>
      </c>
      <c r="F8753" s="788">
        <v>41813</v>
      </c>
      <c r="G8753" s="788">
        <v>42164</v>
      </c>
      <c r="H8753" s="787">
        <v>1</v>
      </c>
      <c r="I8753" s="788">
        <v>42164</v>
      </c>
      <c r="J8753" s="788">
        <v>42164</v>
      </c>
      <c r="K8753" s="788">
        <v>41032</v>
      </c>
      <c r="L8753" s="787">
        <v>0.56000000000000005</v>
      </c>
      <c r="M8753" s="787">
        <v>10</v>
      </c>
      <c r="N8753" s="787">
        <v>1</v>
      </c>
      <c r="O8753" s="788">
        <v>42146</v>
      </c>
    </row>
    <row r="8754" spans="1:15" x14ac:dyDescent="0.25">
      <c r="A8754" s="786" t="s">
        <v>15731</v>
      </c>
      <c r="B8754" s="787">
        <v>4</v>
      </c>
      <c r="C8754" s="787" t="s">
        <v>15732</v>
      </c>
      <c r="D8754" s="787">
        <v>0</v>
      </c>
      <c r="E8754" s="787">
        <v>0</v>
      </c>
      <c r="H8754" s="787">
        <v>1</v>
      </c>
      <c r="I8754" s="788">
        <v>42055</v>
      </c>
      <c r="K8754" s="788">
        <v>41032</v>
      </c>
      <c r="L8754" s="787">
        <v>10.73</v>
      </c>
      <c r="M8754" s="787">
        <v>10</v>
      </c>
      <c r="N8754" s="787">
        <v>9.9700000000000006</v>
      </c>
      <c r="O8754" s="788">
        <v>41858</v>
      </c>
    </row>
    <row r="8755" spans="1:15" x14ac:dyDescent="0.25">
      <c r="A8755" s="786" t="s">
        <v>15733</v>
      </c>
      <c r="B8755" s="787">
        <v>4</v>
      </c>
      <c r="C8755" s="787" t="s">
        <v>15734</v>
      </c>
      <c r="D8755" s="787">
        <v>0</v>
      </c>
      <c r="E8755" s="787">
        <v>0</v>
      </c>
      <c r="H8755" s="787">
        <v>1</v>
      </c>
      <c r="I8755" s="788">
        <v>42055</v>
      </c>
      <c r="K8755" s="788">
        <v>41032</v>
      </c>
      <c r="L8755" s="787">
        <v>11.52</v>
      </c>
      <c r="M8755" s="787">
        <v>10</v>
      </c>
      <c r="N8755" s="787">
        <v>10.69</v>
      </c>
      <c r="O8755" s="788">
        <v>41858</v>
      </c>
    </row>
    <row r="8756" spans="1:15" x14ac:dyDescent="0.25">
      <c r="A8756" s="786" t="s">
        <v>15735</v>
      </c>
      <c r="B8756" s="787">
        <v>4</v>
      </c>
      <c r="C8756" s="787" t="s">
        <v>15736</v>
      </c>
      <c r="D8756" s="787">
        <v>0</v>
      </c>
      <c r="E8756" s="787">
        <v>0</v>
      </c>
      <c r="H8756" s="787">
        <v>1</v>
      </c>
      <c r="K8756" s="788">
        <v>41032</v>
      </c>
      <c r="L8756" s="787">
        <v>12.32</v>
      </c>
      <c r="M8756" s="787">
        <v>10</v>
      </c>
      <c r="N8756" s="787">
        <v>11.43</v>
      </c>
      <c r="O8756" s="788">
        <v>41858</v>
      </c>
    </row>
    <row r="8757" spans="1:15" x14ac:dyDescent="0.25">
      <c r="A8757" s="786" t="s">
        <v>15737</v>
      </c>
      <c r="B8757" s="787">
        <v>4</v>
      </c>
      <c r="C8757" s="787" t="s">
        <v>15738</v>
      </c>
      <c r="D8757" s="787">
        <v>0</v>
      </c>
      <c r="E8757" s="787">
        <v>0</v>
      </c>
      <c r="H8757" s="787">
        <v>1</v>
      </c>
      <c r="K8757" s="788">
        <v>41032</v>
      </c>
      <c r="L8757" s="787">
        <v>2.13</v>
      </c>
      <c r="M8757" s="787">
        <v>10</v>
      </c>
      <c r="N8757" s="787">
        <v>2.09</v>
      </c>
      <c r="O8757" s="788">
        <v>41858</v>
      </c>
    </row>
    <row r="8758" spans="1:15" x14ac:dyDescent="0.25">
      <c r="A8758" s="786" t="s">
        <v>15739</v>
      </c>
      <c r="B8758" s="787">
        <v>4</v>
      </c>
      <c r="C8758" s="787" t="s">
        <v>15740</v>
      </c>
      <c r="D8758" s="787">
        <v>0</v>
      </c>
      <c r="E8758" s="787">
        <v>0</v>
      </c>
      <c r="H8758" s="787">
        <v>1</v>
      </c>
      <c r="I8758" s="788">
        <v>41255</v>
      </c>
      <c r="K8758" s="788">
        <v>41032</v>
      </c>
      <c r="L8758" s="787">
        <v>2.04</v>
      </c>
      <c r="M8758" s="787">
        <v>10</v>
      </c>
      <c r="N8758" s="787">
        <v>2.0099999999999998</v>
      </c>
      <c r="O8758" s="788">
        <v>41858</v>
      </c>
    </row>
    <row r="8759" spans="1:15" x14ac:dyDescent="0.25">
      <c r="A8759" s="786" t="s">
        <v>15741</v>
      </c>
      <c r="B8759" s="787">
        <v>4</v>
      </c>
      <c r="C8759" s="787" t="s">
        <v>15742</v>
      </c>
      <c r="D8759" s="787">
        <v>0</v>
      </c>
      <c r="E8759" s="787">
        <v>0</v>
      </c>
      <c r="H8759" s="787">
        <v>1</v>
      </c>
      <c r="L8759" s="787">
        <v>1</v>
      </c>
      <c r="M8759" s="787">
        <v>10</v>
      </c>
      <c r="N8759" s="787">
        <v>6.21</v>
      </c>
      <c r="O8759" s="788">
        <v>41858</v>
      </c>
    </row>
    <row r="8760" spans="1:15" x14ac:dyDescent="0.25">
      <c r="A8760" s="786" t="s">
        <v>15743</v>
      </c>
      <c r="B8760" s="787">
        <v>4</v>
      </c>
      <c r="C8760" s="787" t="s">
        <v>15744</v>
      </c>
      <c r="D8760" s="787">
        <v>0</v>
      </c>
      <c r="E8760" s="787">
        <v>0</v>
      </c>
      <c r="H8760" s="787">
        <v>1</v>
      </c>
      <c r="K8760" s="788">
        <v>41050</v>
      </c>
      <c r="L8760" s="787">
        <v>1.39</v>
      </c>
      <c r="M8760" s="787">
        <v>10</v>
      </c>
      <c r="N8760" s="787">
        <v>1.21</v>
      </c>
      <c r="O8760" s="788">
        <v>42053</v>
      </c>
    </row>
    <row r="8761" spans="1:15" x14ac:dyDescent="0.25">
      <c r="A8761" s="786" t="s">
        <v>15745</v>
      </c>
      <c r="B8761" s="787">
        <v>4</v>
      </c>
      <c r="C8761" s="787" t="s">
        <v>15746</v>
      </c>
      <c r="D8761" s="787">
        <v>0</v>
      </c>
      <c r="E8761" s="787">
        <v>0</v>
      </c>
      <c r="G8761" s="788">
        <v>41565</v>
      </c>
      <c r="H8761" s="787">
        <v>1</v>
      </c>
      <c r="I8761" s="788">
        <v>41775</v>
      </c>
      <c r="J8761" s="788">
        <v>41778</v>
      </c>
      <c r="K8761" s="788">
        <v>41050</v>
      </c>
      <c r="L8761" s="787">
        <v>1.73</v>
      </c>
      <c r="M8761" s="787">
        <v>10</v>
      </c>
      <c r="N8761" s="787">
        <v>1.9</v>
      </c>
      <c r="O8761" s="788">
        <v>42053</v>
      </c>
    </row>
    <row r="8762" spans="1:15" x14ac:dyDescent="0.25">
      <c r="A8762" s="786" t="s">
        <v>15747</v>
      </c>
      <c r="B8762" s="787">
        <v>4</v>
      </c>
      <c r="C8762" s="787" t="s">
        <v>15748</v>
      </c>
      <c r="D8762" s="787">
        <v>0.87</v>
      </c>
      <c r="E8762" s="787">
        <v>1</v>
      </c>
      <c r="F8762" s="788">
        <v>41519</v>
      </c>
      <c r="G8762" s="788">
        <v>42082</v>
      </c>
      <c r="H8762" s="787">
        <v>1</v>
      </c>
      <c r="I8762" s="788">
        <v>42052</v>
      </c>
      <c r="J8762" s="788">
        <v>42052</v>
      </c>
      <c r="K8762" s="788">
        <v>41050</v>
      </c>
      <c r="L8762" s="787">
        <v>1.35</v>
      </c>
      <c r="M8762" s="787">
        <v>10</v>
      </c>
      <c r="N8762" s="787">
        <v>9.81</v>
      </c>
      <c r="O8762" s="788">
        <v>42048</v>
      </c>
    </row>
    <row r="8763" spans="1:15" x14ac:dyDescent="0.25">
      <c r="A8763" s="786" t="s">
        <v>15749</v>
      </c>
      <c r="B8763" s="787">
        <v>4</v>
      </c>
      <c r="C8763" s="787" t="s">
        <v>15750</v>
      </c>
      <c r="D8763" s="787">
        <v>2.08</v>
      </c>
      <c r="E8763" s="787">
        <v>2.08</v>
      </c>
      <c r="F8763" s="788">
        <v>42086</v>
      </c>
      <c r="G8763" s="788">
        <v>42086</v>
      </c>
      <c r="H8763" s="787">
        <v>1</v>
      </c>
      <c r="I8763" s="788">
        <v>41789</v>
      </c>
      <c r="J8763" s="788">
        <v>42053</v>
      </c>
      <c r="K8763" s="788">
        <v>41050</v>
      </c>
      <c r="L8763" s="787">
        <v>2.85</v>
      </c>
      <c r="M8763" s="787">
        <v>10</v>
      </c>
      <c r="N8763" s="787">
        <v>11.76</v>
      </c>
      <c r="O8763" s="788">
        <v>42048</v>
      </c>
    </row>
    <row r="8764" spans="1:15" x14ac:dyDescent="0.25">
      <c r="A8764" s="786" t="s">
        <v>15751</v>
      </c>
      <c r="B8764" s="787">
        <v>4</v>
      </c>
      <c r="C8764" s="787" t="s">
        <v>15752</v>
      </c>
      <c r="D8764" s="787">
        <v>7.0000000000000007E-2</v>
      </c>
      <c r="E8764" s="787">
        <v>3.21</v>
      </c>
      <c r="F8764" s="788">
        <v>41813</v>
      </c>
      <c r="G8764" s="788">
        <v>42135</v>
      </c>
      <c r="H8764" s="787">
        <v>1</v>
      </c>
      <c r="I8764" s="788">
        <v>42095</v>
      </c>
      <c r="J8764" s="788">
        <v>42103</v>
      </c>
      <c r="K8764" s="788">
        <v>41869</v>
      </c>
      <c r="L8764" s="787">
        <v>7.0000000000000007E-2</v>
      </c>
      <c r="M8764" s="787">
        <v>20</v>
      </c>
      <c r="N8764" s="787">
        <v>0.08</v>
      </c>
      <c r="O8764" s="788">
        <v>42047</v>
      </c>
    </row>
    <row r="8765" spans="1:15" x14ac:dyDescent="0.25">
      <c r="A8765" s="786" t="s">
        <v>15753</v>
      </c>
      <c r="B8765" s="787">
        <v>4</v>
      </c>
      <c r="C8765" s="787" t="s">
        <v>15754</v>
      </c>
      <c r="D8765" s="787">
        <v>7.77</v>
      </c>
      <c r="E8765" s="787">
        <v>17.77</v>
      </c>
      <c r="F8765" s="788">
        <v>42131</v>
      </c>
      <c r="G8765" s="788">
        <v>42131</v>
      </c>
      <c r="H8765" s="787">
        <v>1</v>
      </c>
      <c r="I8765" s="788">
        <v>42089</v>
      </c>
      <c r="J8765" s="788">
        <v>42101</v>
      </c>
      <c r="K8765" s="788">
        <v>41050</v>
      </c>
      <c r="L8765" s="787">
        <v>14.11</v>
      </c>
      <c r="M8765" s="787">
        <v>10</v>
      </c>
      <c r="N8765" s="787">
        <v>13.87</v>
      </c>
      <c r="O8765" s="788">
        <v>42047</v>
      </c>
    </row>
    <row r="8766" spans="1:15" x14ac:dyDescent="0.25">
      <c r="A8766" s="786" t="s">
        <v>15755</v>
      </c>
      <c r="B8766" s="787">
        <v>4</v>
      </c>
      <c r="C8766" s="787" t="s">
        <v>15756</v>
      </c>
      <c r="D8766" s="787">
        <v>0</v>
      </c>
      <c r="E8766" s="787">
        <v>0</v>
      </c>
      <c r="H8766" s="787">
        <v>1</v>
      </c>
      <c r="K8766" s="788">
        <v>41080</v>
      </c>
      <c r="L8766" s="787">
        <v>5.45</v>
      </c>
      <c r="M8766" s="787">
        <v>10</v>
      </c>
      <c r="N8766" s="787">
        <v>5.33</v>
      </c>
      <c r="O8766" s="788">
        <v>41858</v>
      </c>
    </row>
    <row r="8767" spans="1:15" x14ac:dyDescent="0.25">
      <c r="A8767" s="786" t="s">
        <v>15757</v>
      </c>
      <c r="B8767" s="787">
        <v>4</v>
      </c>
      <c r="C8767" s="787" t="s">
        <v>15758</v>
      </c>
      <c r="D8767" s="787">
        <v>0</v>
      </c>
      <c r="E8767" s="787">
        <v>0</v>
      </c>
      <c r="H8767" s="787">
        <v>1</v>
      </c>
      <c r="K8767" s="788">
        <v>41080</v>
      </c>
      <c r="L8767" s="787">
        <v>5.45</v>
      </c>
      <c r="M8767" s="787">
        <v>10</v>
      </c>
      <c r="N8767" s="787">
        <v>5.33</v>
      </c>
      <c r="O8767" s="788">
        <v>41858</v>
      </c>
    </row>
    <row r="8768" spans="1:15" x14ac:dyDescent="0.25">
      <c r="A8768" s="786" t="s">
        <v>15759</v>
      </c>
      <c r="B8768" s="787">
        <v>4</v>
      </c>
      <c r="C8768" s="787" t="s">
        <v>15760</v>
      </c>
      <c r="D8768" s="787">
        <v>0</v>
      </c>
      <c r="E8768" s="787">
        <v>0</v>
      </c>
      <c r="H8768" s="787">
        <v>1</v>
      </c>
      <c r="K8768" s="788">
        <v>41080</v>
      </c>
      <c r="L8768" s="787">
        <v>6.24</v>
      </c>
      <c r="M8768" s="787">
        <v>10</v>
      </c>
      <c r="N8768" s="787">
        <v>6.04</v>
      </c>
      <c r="O8768" s="788">
        <v>41858</v>
      </c>
    </row>
    <row r="8769" spans="1:15" x14ac:dyDescent="0.25">
      <c r="A8769" s="786" t="s">
        <v>15761</v>
      </c>
      <c r="B8769" s="787">
        <v>4</v>
      </c>
      <c r="C8769" s="787" t="s">
        <v>15762</v>
      </c>
      <c r="D8769" s="787">
        <v>0</v>
      </c>
      <c r="E8769" s="787">
        <v>0</v>
      </c>
      <c r="H8769" s="787">
        <v>1</v>
      </c>
      <c r="I8769" s="788">
        <v>41306</v>
      </c>
      <c r="K8769" s="788">
        <v>41080</v>
      </c>
      <c r="L8769" s="787">
        <v>6.24</v>
      </c>
      <c r="M8769" s="787">
        <v>10</v>
      </c>
      <c r="N8769" s="787">
        <v>6.04</v>
      </c>
      <c r="O8769" s="788">
        <v>41858</v>
      </c>
    </row>
    <row r="8770" spans="1:15" x14ac:dyDescent="0.25">
      <c r="A8770" s="786" t="s">
        <v>15763</v>
      </c>
      <c r="B8770" s="787">
        <v>4</v>
      </c>
      <c r="C8770" s="787" t="s">
        <v>15764</v>
      </c>
      <c r="D8770" s="787">
        <v>2.5</v>
      </c>
      <c r="E8770" s="787">
        <v>2.5</v>
      </c>
      <c r="F8770" s="788">
        <v>41161</v>
      </c>
      <c r="G8770" s="788">
        <v>41142</v>
      </c>
      <c r="H8770" s="787">
        <v>1</v>
      </c>
      <c r="J8770" s="788">
        <v>41142</v>
      </c>
      <c r="K8770" s="788">
        <v>41135</v>
      </c>
      <c r="L8770" s="787">
        <v>2.5</v>
      </c>
      <c r="M8770" s="787">
        <v>10</v>
      </c>
      <c r="N8770" s="787">
        <v>1.66</v>
      </c>
      <c r="O8770" s="788">
        <v>41858</v>
      </c>
    </row>
    <row r="8771" spans="1:15" x14ac:dyDescent="0.25">
      <c r="A8771" s="786" t="s">
        <v>15765</v>
      </c>
      <c r="B8771" s="787">
        <v>4</v>
      </c>
      <c r="C8771" s="787" t="s">
        <v>15766</v>
      </c>
      <c r="D8771" s="787">
        <v>0</v>
      </c>
      <c r="E8771" s="787">
        <v>0</v>
      </c>
      <c r="H8771" s="787">
        <v>1</v>
      </c>
      <c r="K8771" s="788">
        <v>41081</v>
      </c>
      <c r="L8771" s="787">
        <v>0.56999999999999995</v>
      </c>
      <c r="M8771" s="787">
        <v>10</v>
      </c>
      <c r="N8771" s="787">
        <v>0.56000000000000005</v>
      </c>
      <c r="O8771" s="788">
        <v>41858</v>
      </c>
    </row>
    <row r="8772" spans="1:15" x14ac:dyDescent="0.25">
      <c r="A8772" s="786" t="s">
        <v>15767</v>
      </c>
      <c r="B8772" s="787">
        <v>4</v>
      </c>
      <c r="C8772" s="787" t="s">
        <v>15768</v>
      </c>
      <c r="D8772" s="787">
        <v>0</v>
      </c>
      <c r="E8772" s="787">
        <v>0</v>
      </c>
      <c r="H8772" s="787">
        <v>1</v>
      </c>
      <c r="K8772" s="788">
        <v>41081</v>
      </c>
      <c r="L8772" s="787">
        <v>0.43</v>
      </c>
      <c r="M8772" s="787">
        <v>10</v>
      </c>
      <c r="N8772" s="787">
        <v>0.36</v>
      </c>
      <c r="O8772" s="788">
        <v>41858</v>
      </c>
    </row>
    <row r="8773" spans="1:15" x14ac:dyDescent="0.25">
      <c r="A8773" s="786" t="s">
        <v>15769</v>
      </c>
      <c r="B8773" s="787">
        <v>4</v>
      </c>
      <c r="C8773" s="787" t="s">
        <v>15770</v>
      </c>
      <c r="D8773" s="787">
        <v>0</v>
      </c>
      <c r="E8773" s="787">
        <v>0</v>
      </c>
      <c r="H8773" s="787">
        <v>1</v>
      </c>
      <c r="K8773" s="788">
        <v>41081</v>
      </c>
      <c r="L8773" s="787">
        <v>4.96</v>
      </c>
      <c r="M8773" s="787">
        <v>10</v>
      </c>
      <c r="N8773" s="787">
        <v>4.84</v>
      </c>
      <c r="O8773" s="788">
        <v>41858</v>
      </c>
    </row>
    <row r="8774" spans="1:15" x14ac:dyDescent="0.25">
      <c r="A8774" s="786" t="s">
        <v>15771</v>
      </c>
      <c r="B8774" s="787">
        <v>4</v>
      </c>
      <c r="C8774" s="787" t="s">
        <v>15772</v>
      </c>
      <c r="D8774" s="787">
        <v>0</v>
      </c>
      <c r="E8774" s="787">
        <v>0</v>
      </c>
      <c r="H8774" s="787">
        <v>1</v>
      </c>
      <c r="K8774" s="788">
        <v>41081</v>
      </c>
      <c r="L8774" s="787">
        <v>4.96</v>
      </c>
      <c r="M8774" s="787">
        <v>10</v>
      </c>
      <c r="N8774" s="787">
        <v>4.84</v>
      </c>
      <c r="O8774" s="788">
        <v>41858</v>
      </c>
    </row>
    <row r="8775" spans="1:15" x14ac:dyDescent="0.25">
      <c r="A8775" s="786" t="s">
        <v>15773</v>
      </c>
      <c r="B8775" s="787">
        <v>4</v>
      </c>
      <c r="C8775" s="787" t="s">
        <v>15774</v>
      </c>
      <c r="D8775" s="787">
        <v>0</v>
      </c>
      <c r="E8775" s="787">
        <v>0</v>
      </c>
      <c r="H8775" s="787">
        <v>1</v>
      </c>
      <c r="K8775" s="788">
        <v>41081</v>
      </c>
      <c r="L8775" s="787">
        <v>4.93</v>
      </c>
      <c r="M8775" s="787">
        <v>10</v>
      </c>
      <c r="N8775" s="787">
        <v>4.83</v>
      </c>
      <c r="O8775" s="788">
        <v>41858</v>
      </c>
    </row>
    <row r="8776" spans="1:15" x14ac:dyDescent="0.25">
      <c r="A8776" s="786" t="s">
        <v>15775</v>
      </c>
      <c r="B8776" s="787">
        <v>4</v>
      </c>
      <c r="C8776" s="787" t="s">
        <v>15776</v>
      </c>
      <c r="D8776" s="787">
        <v>0</v>
      </c>
      <c r="E8776" s="787">
        <v>0</v>
      </c>
      <c r="H8776" s="787">
        <v>1</v>
      </c>
      <c r="K8776" s="788">
        <v>41081</v>
      </c>
      <c r="L8776" s="787">
        <v>4.93</v>
      </c>
      <c r="M8776" s="787">
        <v>10</v>
      </c>
      <c r="N8776" s="787">
        <v>4.83</v>
      </c>
      <c r="O8776" s="788">
        <v>41858</v>
      </c>
    </row>
    <row r="8777" spans="1:15" x14ac:dyDescent="0.25">
      <c r="A8777" s="786" t="s">
        <v>15777</v>
      </c>
      <c r="B8777" s="787">
        <v>4</v>
      </c>
      <c r="C8777" s="787" t="s">
        <v>15778</v>
      </c>
      <c r="D8777" s="787">
        <v>9.44</v>
      </c>
      <c r="E8777" s="787">
        <v>29.44</v>
      </c>
      <c r="F8777" s="788">
        <v>42086</v>
      </c>
      <c r="G8777" s="788">
        <v>42086</v>
      </c>
      <c r="H8777" s="787">
        <v>1</v>
      </c>
      <c r="I8777" s="788">
        <v>42075</v>
      </c>
      <c r="J8777" s="788">
        <v>42060</v>
      </c>
      <c r="K8777" s="788">
        <v>41141</v>
      </c>
      <c r="L8777" s="787">
        <v>41.62</v>
      </c>
      <c r="M8777" s="787">
        <v>10</v>
      </c>
      <c r="N8777" s="787">
        <v>49</v>
      </c>
      <c r="O8777" s="788">
        <v>42038</v>
      </c>
    </row>
    <row r="8778" spans="1:15" x14ac:dyDescent="0.25">
      <c r="A8778" s="786" t="s">
        <v>15779</v>
      </c>
      <c r="B8778" s="787">
        <v>4</v>
      </c>
      <c r="C8778" s="787" t="s">
        <v>15780</v>
      </c>
      <c r="D8778" s="787">
        <v>9.2799999999999994</v>
      </c>
      <c r="E8778" s="787">
        <v>33.520000000000003</v>
      </c>
      <c r="F8778" s="788">
        <v>41906</v>
      </c>
      <c r="G8778" s="788">
        <v>42086</v>
      </c>
      <c r="H8778" s="787">
        <v>1</v>
      </c>
      <c r="I8778" s="788">
        <v>42075</v>
      </c>
      <c r="J8778" s="788">
        <v>42060</v>
      </c>
      <c r="K8778" s="788">
        <v>41141</v>
      </c>
      <c r="L8778" s="787">
        <v>30.06</v>
      </c>
      <c r="M8778" s="787">
        <v>10</v>
      </c>
      <c r="N8778" s="787">
        <v>28.84</v>
      </c>
      <c r="O8778" s="788">
        <v>42082</v>
      </c>
    </row>
    <row r="8779" spans="1:15" x14ac:dyDescent="0.25">
      <c r="A8779" s="786" t="s">
        <v>15781</v>
      </c>
      <c r="B8779" s="787">
        <v>4</v>
      </c>
      <c r="C8779" s="787" t="s">
        <v>15782</v>
      </c>
      <c r="D8779" s="787">
        <v>3.07</v>
      </c>
      <c r="E8779" s="787">
        <v>54.59</v>
      </c>
      <c r="F8779" s="788">
        <v>41906</v>
      </c>
      <c r="G8779" s="788">
        <v>42165</v>
      </c>
      <c r="H8779" s="787">
        <v>1</v>
      </c>
      <c r="I8779" s="788">
        <v>42039</v>
      </c>
      <c r="J8779" s="788">
        <v>42165</v>
      </c>
      <c r="K8779" s="788">
        <v>41141</v>
      </c>
      <c r="L8779" s="787">
        <v>39.97</v>
      </c>
      <c r="M8779" s="787">
        <v>10</v>
      </c>
      <c r="N8779" s="787">
        <v>33.979999999999997</v>
      </c>
      <c r="O8779" s="788">
        <v>41908</v>
      </c>
    </row>
    <row r="8780" spans="1:15" x14ac:dyDescent="0.25">
      <c r="A8780" s="786" t="s">
        <v>15783</v>
      </c>
      <c r="B8780" s="787">
        <v>4</v>
      </c>
      <c r="C8780" s="787" t="s">
        <v>15784</v>
      </c>
      <c r="D8780" s="787">
        <v>0</v>
      </c>
      <c r="E8780" s="787">
        <v>0</v>
      </c>
      <c r="G8780" s="788">
        <v>42132</v>
      </c>
      <c r="H8780" s="787">
        <v>1</v>
      </c>
      <c r="I8780" s="788">
        <v>42151</v>
      </c>
      <c r="J8780" s="788">
        <v>42156</v>
      </c>
      <c r="K8780" s="788">
        <v>41083</v>
      </c>
      <c r="L8780" s="787">
        <v>0.35</v>
      </c>
      <c r="M8780" s="787">
        <v>10</v>
      </c>
      <c r="N8780" s="787">
        <v>0.32</v>
      </c>
      <c r="O8780" s="788">
        <v>42115</v>
      </c>
    </row>
    <row r="8781" spans="1:15" x14ac:dyDescent="0.25">
      <c r="A8781" s="786" t="s">
        <v>15785</v>
      </c>
      <c r="B8781" s="787">
        <v>4</v>
      </c>
      <c r="C8781" s="787" t="s">
        <v>15786</v>
      </c>
      <c r="D8781" s="787">
        <v>0</v>
      </c>
      <c r="E8781" s="787">
        <v>0</v>
      </c>
      <c r="G8781" s="788">
        <v>42132</v>
      </c>
      <c r="H8781" s="787">
        <v>1</v>
      </c>
      <c r="I8781" s="788">
        <v>42151</v>
      </c>
      <c r="J8781" s="788">
        <v>42156</v>
      </c>
      <c r="K8781" s="788">
        <v>41083</v>
      </c>
      <c r="L8781" s="787">
        <v>0.39</v>
      </c>
      <c r="M8781" s="787">
        <v>10</v>
      </c>
      <c r="N8781" s="787">
        <v>0.36</v>
      </c>
      <c r="O8781" s="788">
        <v>42115</v>
      </c>
    </row>
    <row r="8782" spans="1:15" x14ac:dyDescent="0.25">
      <c r="A8782" s="786" t="s">
        <v>15787</v>
      </c>
      <c r="B8782" s="787">
        <v>4</v>
      </c>
      <c r="C8782" s="787" t="s">
        <v>15788</v>
      </c>
      <c r="D8782" s="787">
        <v>0</v>
      </c>
      <c r="E8782" s="787">
        <v>0</v>
      </c>
      <c r="H8782" s="787">
        <v>1</v>
      </c>
      <c r="I8782" s="788">
        <v>41306</v>
      </c>
      <c r="K8782" s="788">
        <v>41089</v>
      </c>
      <c r="L8782" s="787">
        <v>4.1900000000000004</v>
      </c>
      <c r="M8782" s="787">
        <v>10</v>
      </c>
      <c r="N8782" s="787">
        <v>4.18</v>
      </c>
      <c r="O8782" s="788">
        <v>41858</v>
      </c>
    </row>
    <row r="8783" spans="1:15" x14ac:dyDescent="0.25">
      <c r="A8783" s="786" t="s">
        <v>15789</v>
      </c>
      <c r="B8783" s="787">
        <v>4</v>
      </c>
      <c r="C8783" s="787" t="s">
        <v>15790</v>
      </c>
      <c r="D8783" s="787">
        <v>0</v>
      </c>
      <c r="E8783" s="787">
        <v>0</v>
      </c>
      <c r="H8783" s="787">
        <v>1</v>
      </c>
      <c r="I8783" s="788">
        <v>41977</v>
      </c>
      <c r="L8783" s="787">
        <v>0.01</v>
      </c>
      <c r="M8783" s="787">
        <v>10</v>
      </c>
      <c r="N8783" s="787">
        <v>6.63</v>
      </c>
      <c r="O8783" s="788">
        <v>41858</v>
      </c>
    </row>
    <row r="8784" spans="1:15" x14ac:dyDescent="0.25">
      <c r="A8784" s="786" t="s">
        <v>15791</v>
      </c>
      <c r="B8784" s="787">
        <v>4</v>
      </c>
      <c r="C8784" s="787" t="s">
        <v>15792</v>
      </c>
      <c r="D8784" s="787">
        <v>0</v>
      </c>
      <c r="E8784" s="787">
        <v>0</v>
      </c>
      <c r="H8784" s="787">
        <v>1</v>
      </c>
      <c r="I8784" s="788">
        <v>41977</v>
      </c>
      <c r="L8784" s="787">
        <v>0.01</v>
      </c>
      <c r="M8784" s="787">
        <v>10</v>
      </c>
      <c r="N8784" s="787">
        <v>10.33</v>
      </c>
      <c r="O8784" s="788">
        <v>41858</v>
      </c>
    </row>
    <row r="8785" spans="1:15" x14ac:dyDescent="0.25">
      <c r="A8785" s="786" t="s">
        <v>15793</v>
      </c>
      <c r="B8785" s="787">
        <v>4</v>
      </c>
      <c r="C8785" s="787" t="s">
        <v>15794</v>
      </c>
      <c r="D8785" s="787">
        <v>0</v>
      </c>
      <c r="E8785" s="787">
        <v>0</v>
      </c>
      <c r="H8785" s="787">
        <v>1</v>
      </c>
      <c r="L8785" s="787">
        <v>0.01</v>
      </c>
      <c r="M8785" s="787">
        <v>10</v>
      </c>
      <c r="N8785" s="787">
        <v>6.29</v>
      </c>
      <c r="O8785" s="788">
        <v>41858</v>
      </c>
    </row>
    <row r="8786" spans="1:15" x14ac:dyDescent="0.25">
      <c r="A8786" s="786" t="s">
        <v>15795</v>
      </c>
      <c r="B8786" s="787">
        <v>4</v>
      </c>
      <c r="C8786" s="787" t="s">
        <v>15796</v>
      </c>
      <c r="D8786" s="787">
        <v>1.1499999999999999</v>
      </c>
      <c r="E8786" s="787">
        <v>1.1499999999999999</v>
      </c>
      <c r="F8786" s="788">
        <v>41548</v>
      </c>
      <c r="G8786" s="788">
        <v>41548</v>
      </c>
      <c r="H8786" s="787">
        <v>1</v>
      </c>
      <c r="I8786" s="788">
        <v>42023</v>
      </c>
      <c r="J8786" s="788">
        <v>42024</v>
      </c>
      <c r="L8786" s="787">
        <v>2.5</v>
      </c>
      <c r="M8786" s="787">
        <v>10</v>
      </c>
      <c r="N8786" s="787">
        <v>5.51</v>
      </c>
      <c r="O8786" s="788">
        <v>41858</v>
      </c>
    </row>
    <row r="8787" spans="1:15" x14ac:dyDescent="0.25">
      <c r="A8787" s="786" t="s">
        <v>15797</v>
      </c>
      <c r="B8787" s="787">
        <v>4</v>
      </c>
      <c r="C8787" s="787" t="s">
        <v>15742</v>
      </c>
      <c r="D8787" s="787">
        <v>0</v>
      </c>
      <c r="E8787" s="787">
        <v>0</v>
      </c>
      <c r="H8787" s="787">
        <v>1</v>
      </c>
      <c r="K8787" s="788">
        <v>41141</v>
      </c>
      <c r="L8787" s="787">
        <v>4.43</v>
      </c>
      <c r="M8787" s="787">
        <v>10</v>
      </c>
      <c r="N8787" s="787">
        <v>4.37</v>
      </c>
      <c r="O8787" s="788">
        <v>41858</v>
      </c>
    </row>
    <row r="8788" spans="1:15" x14ac:dyDescent="0.25">
      <c r="A8788" s="786" t="s">
        <v>15798</v>
      </c>
      <c r="B8788" s="787">
        <v>4</v>
      </c>
      <c r="C8788" s="787" t="s">
        <v>15799</v>
      </c>
      <c r="D8788" s="787">
        <v>1.32</v>
      </c>
      <c r="E8788" s="787">
        <v>1.32</v>
      </c>
      <c r="F8788" s="788">
        <v>41474</v>
      </c>
      <c r="G8788" s="788">
        <v>42013</v>
      </c>
      <c r="H8788" s="787">
        <v>1</v>
      </c>
      <c r="I8788" s="788">
        <v>42073</v>
      </c>
      <c r="J8788" s="788">
        <v>41438</v>
      </c>
      <c r="K8788" s="788">
        <v>41156</v>
      </c>
      <c r="L8788" s="787">
        <v>4.5</v>
      </c>
      <c r="M8788" s="787">
        <v>10</v>
      </c>
      <c r="N8788" s="787">
        <v>3.46</v>
      </c>
      <c r="O8788" s="788">
        <v>42061</v>
      </c>
    </row>
    <row r="8789" spans="1:15" x14ac:dyDescent="0.25">
      <c r="A8789" s="786" t="s">
        <v>15800</v>
      </c>
      <c r="B8789" s="787">
        <v>4</v>
      </c>
      <c r="C8789" s="787" t="s">
        <v>15801</v>
      </c>
      <c r="D8789" s="787">
        <v>4.2300000000000004</v>
      </c>
      <c r="E8789" s="787">
        <v>4.2300000000000004</v>
      </c>
      <c r="F8789" s="788">
        <v>42095</v>
      </c>
      <c r="G8789" s="788">
        <v>42095</v>
      </c>
      <c r="H8789" s="787">
        <v>1</v>
      </c>
      <c r="I8789" s="788">
        <v>42073</v>
      </c>
      <c r="J8789" s="788">
        <v>42075</v>
      </c>
      <c r="K8789" s="788">
        <v>41156</v>
      </c>
      <c r="L8789" s="787">
        <v>5.99</v>
      </c>
      <c r="M8789" s="787">
        <v>10</v>
      </c>
      <c r="N8789" s="787">
        <v>5</v>
      </c>
      <c r="O8789" s="788">
        <v>42061</v>
      </c>
    </row>
    <row r="8790" spans="1:15" x14ac:dyDescent="0.25">
      <c r="A8790" s="786" t="s">
        <v>15802</v>
      </c>
      <c r="B8790" s="787">
        <v>4</v>
      </c>
      <c r="C8790" s="787" t="s">
        <v>15803</v>
      </c>
      <c r="D8790" s="787">
        <v>4.24</v>
      </c>
      <c r="E8790" s="787">
        <v>24.24</v>
      </c>
      <c r="F8790" s="788">
        <v>42094</v>
      </c>
      <c r="G8790" s="788">
        <v>42094</v>
      </c>
      <c r="H8790" s="787">
        <v>1</v>
      </c>
      <c r="I8790" s="788">
        <v>42088</v>
      </c>
      <c r="J8790" s="788">
        <v>42074</v>
      </c>
      <c r="K8790" s="788">
        <v>41379</v>
      </c>
      <c r="L8790" s="787">
        <v>57.73</v>
      </c>
      <c r="M8790" s="787">
        <v>10</v>
      </c>
      <c r="N8790" s="787">
        <v>25.95</v>
      </c>
      <c r="O8790" s="788">
        <v>42061</v>
      </c>
    </row>
    <row r="8791" spans="1:15" x14ac:dyDescent="0.25">
      <c r="A8791" s="786" t="s">
        <v>15804</v>
      </c>
      <c r="B8791" s="787">
        <v>4</v>
      </c>
      <c r="C8791" s="787" t="s">
        <v>15805</v>
      </c>
      <c r="D8791" s="787">
        <v>2.6</v>
      </c>
      <c r="E8791" s="787">
        <v>11.08</v>
      </c>
      <c r="F8791" s="788">
        <v>41913</v>
      </c>
      <c r="G8791" s="788">
        <v>42093</v>
      </c>
      <c r="H8791" s="787">
        <v>1</v>
      </c>
      <c r="I8791" s="788">
        <v>42088</v>
      </c>
      <c r="J8791" s="788">
        <v>42060</v>
      </c>
      <c r="K8791" s="788">
        <v>41156</v>
      </c>
      <c r="L8791" s="787">
        <v>5.16</v>
      </c>
      <c r="M8791" s="787">
        <v>10</v>
      </c>
      <c r="N8791" s="787">
        <v>4.6100000000000003</v>
      </c>
      <c r="O8791" s="788">
        <v>42061</v>
      </c>
    </row>
    <row r="8792" spans="1:15" x14ac:dyDescent="0.25">
      <c r="A8792" s="786" t="s">
        <v>15806</v>
      </c>
      <c r="B8792" s="787">
        <v>4</v>
      </c>
      <c r="C8792" s="787" t="s">
        <v>15807</v>
      </c>
      <c r="D8792" s="787">
        <v>6</v>
      </c>
      <c r="E8792" s="787">
        <v>6.12</v>
      </c>
      <c r="F8792" s="788">
        <v>41466</v>
      </c>
      <c r="G8792" s="788">
        <v>42092</v>
      </c>
      <c r="H8792" s="787">
        <v>1</v>
      </c>
      <c r="I8792" s="788">
        <v>42073</v>
      </c>
      <c r="J8792" s="788">
        <v>42072</v>
      </c>
      <c r="K8792" s="788">
        <v>41411</v>
      </c>
      <c r="L8792" s="787">
        <v>5.58</v>
      </c>
      <c r="M8792" s="787">
        <v>20</v>
      </c>
      <c r="N8792" s="787">
        <v>6</v>
      </c>
      <c r="O8792" s="788">
        <v>42061</v>
      </c>
    </row>
    <row r="8793" spans="1:15" x14ac:dyDescent="0.25">
      <c r="A8793" s="786" t="s">
        <v>15808</v>
      </c>
      <c r="B8793" s="787">
        <v>4</v>
      </c>
      <c r="C8793" s="787" t="s">
        <v>15809</v>
      </c>
      <c r="D8793" s="787">
        <v>0</v>
      </c>
      <c r="E8793" s="787">
        <v>0</v>
      </c>
      <c r="H8793" s="787">
        <v>1</v>
      </c>
      <c r="I8793" s="788">
        <v>42088</v>
      </c>
      <c r="K8793" s="788">
        <v>41380</v>
      </c>
      <c r="L8793" s="787">
        <v>17.45</v>
      </c>
      <c r="M8793" s="787">
        <v>10</v>
      </c>
      <c r="N8793" s="787">
        <v>38.69</v>
      </c>
      <c r="O8793" s="788">
        <v>42061</v>
      </c>
    </row>
    <row r="8794" spans="1:15" x14ac:dyDescent="0.25">
      <c r="A8794" s="786" t="s">
        <v>15810</v>
      </c>
      <c r="B8794" s="787">
        <v>4</v>
      </c>
      <c r="C8794" s="787" t="s">
        <v>15811</v>
      </c>
      <c r="D8794" s="787">
        <v>4.78</v>
      </c>
      <c r="E8794" s="787">
        <v>4.78</v>
      </c>
      <c r="F8794" s="788">
        <v>42101</v>
      </c>
      <c r="G8794" s="788">
        <v>42101</v>
      </c>
      <c r="H8794" s="787">
        <v>1</v>
      </c>
      <c r="I8794" s="788">
        <v>42061</v>
      </c>
      <c r="J8794" s="788">
        <v>42068</v>
      </c>
      <c r="K8794" s="788">
        <v>41156</v>
      </c>
      <c r="L8794" s="787">
        <v>5.15</v>
      </c>
      <c r="M8794" s="787">
        <v>10</v>
      </c>
      <c r="N8794" s="787">
        <v>3.79</v>
      </c>
      <c r="O8794" s="788">
        <v>42061</v>
      </c>
    </row>
    <row r="8795" spans="1:15" x14ac:dyDescent="0.25">
      <c r="A8795" s="786" t="s">
        <v>15812</v>
      </c>
      <c r="B8795" s="787">
        <v>4</v>
      </c>
      <c r="C8795" s="787" t="s">
        <v>15813</v>
      </c>
      <c r="D8795" s="787">
        <v>0</v>
      </c>
      <c r="E8795" s="787">
        <v>0</v>
      </c>
      <c r="H8795" s="787">
        <v>1</v>
      </c>
      <c r="I8795" s="788">
        <v>41786</v>
      </c>
      <c r="J8795" s="788">
        <v>42047</v>
      </c>
      <c r="K8795" s="788">
        <v>41156</v>
      </c>
      <c r="L8795" s="787">
        <v>4.3099999999999996</v>
      </c>
      <c r="M8795" s="787">
        <v>10</v>
      </c>
      <c r="N8795" s="787">
        <v>3.68</v>
      </c>
      <c r="O8795" s="788">
        <v>42061</v>
      </c>
    </row>
    <row r="8796" spans="1:15" x14ac:dyDescent="0.25">
      <c r="A8796" s="786" t="s">
        <v>15814</v>
      </c>
      <c r="B8796" s="787">
        <v>4</v>
      </c>
      <c r="C8796" s="787" t="s">
        <v>15815</v>
      </c>
      <c r="D8796" s="787">
        <v>0</v>
      </c>
      <c r="E8796" s="787">
        <v>0</v>
      </c>
      <c r="H8796" s="787">
        <v>1</v>
      </c>
      <c r="I8796" s="788">
        <v>41786</v>
      </c>
      <c r="K8796" s="788">
        <v>41156</v>
      </c>
      <c r="L8796" s="787">
        <v>4.1900000000000004</v>
      </c>
      <c r="M8796" s="787">
        <v>10</v>
      </c>
      <c r="N8796" s="787">
        <v>3.56</v>
      </c>
      <c r="O8796" s="788">
        <v>42061</v>
      </c>
    </row>
    <row r="8797" spans="1:15" x14ac:dyDescent="0.25">
      <c r="A8797" s="786" t="s">
        <v>15816</v>
      </c>
      <c r="B8797" s="787">
        <v>4</v>
      </c>
      <c r="C8797" s="787" t="s">
        <v>15809</v>
      </c>
      <c r="D8797" s="787">
        <v>0</v>
      </c>
      <c r="E8797" s="787">
        <v>0</v>
      </c>
      <c r="H8797" s="787">
        <v>1</v>
      </c>
      <c r="I8797" s="788">
        <v>42088</v>
      </c>
      <c r="K8797" s="788">
        <v>41380</v>
      </c>
      <c r="L8797" s="787">
        <v>17.45</v>
      </c>
      <c r="M8797" s="787">
        <v>10</v>
      </c>
      <c r="N8797" s="787">
        <v>38.69</v>
      </c>
      <c r="O8797" s="788">
        <v>42061</v>
      </c>
    </row>
    <row r="8798" spans="1:15" x14ac:dyDescent="0.25">
      <c r="A8798" s="786" t="s">
        <v>15817</v>
      </c>
      <c r="B8798" s="787">
        <v>4</v>
      </c>
      <c r="C8798" s="787" t="s">
        <v>15818</v>
      </c>
      <c r="D8798" s="787">
        <v>2.84</v>
      </c>
      <c r="E8798" s="787">
        <v>7.8</v>
      </c>
      <c r="F8798" s="788">
        <v>41813</v>
      </c>
      <c r="G8798" s="788">
        <v>42101</v>
      </c>
      <c r="H8798" s="787">
        <v>1</v>
      </c>
      <c r="I8798" s="788">
        <v>42061</v>
      </c>
      <c r="J8798" s="788">
        <v>42068</v>
      </c>
      <c r="K8798" s="788">
        <v>41156</v>
      </c>
      <c r="L8798" s="787">
        <v>5.15</v>
      </c>
      <c r="M8798" s="787">
        <v>10</v>
      </c>
      <c r="N8798" s="787">
        <v>4.1399999999999997</v>
      </c>
      <c r="O8798" s="788">
        <v>42061</v>
      </c>
    </row>
    <row r="8799" spans="1:15" x14ac:dyDescent="0.25">
      <c r="A8799" s="786" t="s">
        <v>15819</v>
      </c>
      <c r="B8799" s="787">
        <v>4</v>
      </c>
      <c r="C8799" s="787" t="s">
        <v>15820</v>
      </c>
      <c r="D8799" s="787">
        <v>0</v>
      </c>
      <c r="E8799" s="787">
        <v>0</v>
      </c>
      <c r="H8799" s="787">
        <v>1</v>
      </c>
      <c r="I8799" s="788">
        <v>41786</v>
      </c>
      <c r="K8799" s="788">
        <v>41156</v>
      </c>
      <c r="L8799" s="787">
        <v>4.3099999999999996</v>
      </c>
      <c r="M8799" s="787">
        <v>10</v>
      </c>
      <c r="N8799" s="787">
        <v>3.68</v>
      </c>
      <c r="O8799" s="788">
        <v>42061</v>
      </c>
    </row>
    <row r="8800" spans="1:15" x14ac:dyDescent="0.25">
      <c r="A8800" s="786" t="s">
        <v>15821</v>
      </c>
      <c r="B8800" s="787">
        <v>4</v>
      </c>
      <c r="C8800" s="787" t="s">
        <v>15822</v>
      </c>
      <c r="D8800" s="787">
        <v>0</v>
      </c>
      <c r="E8800" s="787">
        <v>0</v>
      </c>
      <c r="H8800" s="787">
        <v>1</v>
      </c>
      <c r="I8800" s="788">
        <v>41786</v>
      </c>
      <c r="K8800" s="788">
        <v>41156</v>
      </c>
      <c r="L8800" s="787">
        <v>4.1900000000000004</v>
      </c>
      <c r="M8800" s="787">
        <v>10</v>
      </c>
      <c r="N8800" s="787">
        <v>3.56</v>
      </c>
      <c r="O8800" s="788">
        <v>42061</v>
      </c>
    </row>
    <row r="8801" spans="1:15" x14ac:dyDescent="0.25">
      <c r="A8801" s="786" t="s">
        <v>15823</v>
      </c>
      <c r="B8801" s="787">
        <v>4</v>
      </c>
      <c r="C8801" s="787" t="s">
        <v>15824</v>
      </c>
      <c r="D8801" s="787">
        <v>0</v>
      </c>
      <c r="E8801" s="787">
        <v>0</v>
      </c>
      <c r="H8801" s="787">
        <v>1</v>
      </c>
      <c r="I8801" s="788">
        <v>41743</v>
      </c>
      <c r="K8801" s="788">
        <v>41157</v>
      </c>
      <c r="L8801" s="787">
        <v>3.87</v>
      </c>
      <c r="M8801" s="787">
        <v>10</v>
      </c>
      <c r="N8801" s="787">
        <v>3.84</v>
      </c>
      <c r="O8801" s="788">
        <v>41858</v>
      </c>
    </row>
    <row r="8802" spans="1:15" x14ac:dyDescent="0.25">
      <c r="A8802" s="786" t="s">
        <v>15825</v>
      </c>
      <c r="B8802" s="787">
        <v>4</v>
      </c>
      <c r="C8802" s="787" t="s">
        <v>15826</v>
      </c>
      <c r="D8802" s="787">
        <v>0</v>
      </c>
      <c r="E8802" s="787">
        <v>0</v>
      </c>
      <c r="H8802" s="787">
        <v>1</v>
      </c>
      <c r="I8802" s="788">
        <v>41743</v>
      </c>
      <c r="K8802" s="788">
        <v>41157</v>
      </c>
      <c r="L8802" s="787">
        <v>3.87</v>
      </c>
      <c r="M8802" s="787">
        <v>10</v>
      </c>
      <c r="N8802" s="787">
        <v>3.84</v>
      </c>
      <c r="O8802" s="788">
        <v>41858</v>
      </c>
    </row>
    <row r="8803" spans="1:15" x14ac:dyDescent="0.25">
      <c r="A8803" s="786" t="s">
        <v>15827</v>
      </c>
      <c r="B8803" s="787">
        <v>4</v>
      </c>
      <c r="C8803" s="787" t="s">
        <v>15828</v>
      </c>
      <c r="D8803" s="787">
        <v>0</v>
      </c>
      <c r="E8803" s="787">
        <v>0</v>
      </c>
      <c r="H8803" s="787">
        <v>1</v>
      </c>
      <c r="I8803" s="788">
        <v>42060</v>
      </c>
      <c r="K8803" s="788">
        <v>41157</v>
      </c>
      <c r="L8803" s="787">
        <v>3.91</v>
      </c>
      <c r="M8803" s="787">
        <v>10</v>
      </c>
      <c r="N8803" s="787">
        <v>3.88</v>
      </c>
      <c r="O8803" s="788">
        <v>41858</v>
      </c>
    </row>
    <row r="8804" spans="1:15" x14ac:dyDescent="0.25">
      <c r="A8804" s="786" t="s">
        <v>15829</v>
      </c>
      <c r="B8804" s="787">
        <v>4</v>
      </c>
      <c r="C8804" s="787" t="s">
        <v>15830</v>
      </c>
      <c r="D8804" s="787">
        <v>0</v>
      </c>
      <c r="E8804" s="787">
        <v>0</v>
      </c>
      <c r="H8804" s="787">
        <v>1</v>
      </c>
      <c r="I8804" s="788">
        <v>41858</v>
      </c>
      <c r="K8804" s="788">
        <v>41157</v>
      </c>
      <c r="L8804" s="787">
        <v>3.92</v>
      </c>
      <c r="M8804" s="787">
        <v>10</v>
      </c>
      <c r="N8804" s="787">
        <v>3.89</v>
      </c>
      <c r="O8804" s="788">
        <v>41858</v>
      </c>
    </row>
    <row r="8805" spans="1:15" x14ac:dyDescent="0.25">
      <c r="A8805" s="786" t="s">
        <v>15831</v>
      </c>
      <c r="B8805" s="787">
        <v>4</v>
      </c>
      <c r="C8805" s="787" t="s">
        <v>15832</v>
      </c>
      <c r="D8805" s="787">
        <v>0</v>
      </c>
      <c r="E8805" s="787">
        <v>0</v>
      </c>
      <c r="H8805" s="787">
        <v>1</v>
      </c>
      <c r="K8805" s="788">
        <v>41157</v>
      </c>
      <c r="L8805" s="787">
        <v>4.05</v>
      </c>
      <c r="M8805" s="787">
        <v>10</v>
      </c>
      <c r="N8805" s="787">
        <v>4</v>
      </c>
      <c r="O8805" s="788">
        <v>41858</v>
      </c>
    </row>
    <row r="8806" spans="1:15" x14ac:dyDescent="0.25">
      <c r="A8806" s="786" t="s">
        <v>15833</v>
      </c>
      <c r="B8806" s="787">
        <v>4</v>
      </c>
      <c r="C8806" s="787" t="s">
        <v>15834</v>
      </c>
      <c r="D8806" s="787">
        <v>0</v>
      </c>
      <c r="E8806" s="787">
        <v>0</v>
      </c>
      <c r="H8806" s="787">
        <v>1</v>
      </c>
      <c r="K8806" s="788">
        <v>41157</v>
      </c>
      <c r="L8806" s="787">
        <v>4.0599999999999996</v>
      </c>
      <c r="M8806" s="787">
        <v>10</v>
      </c>
      <c r="N8806" s="787">
        <v>4.01</v>
      </c>
      <c r="O8806" s="788">
        <v>41858</v>
      </c>
    </row>
    <row r="8807" spans="1:15" x14ac:dyDescent="0.25">
      <c r="A8807" s="786" t="s">
        <v>15835</v>
      </c>
      <c r="B8807" s="787">
        <v>4</v>
      </c>
      <c r="C8807" s="787" t="s">
        <v>15836</v>
      </c>
      <c r="D8807" s="787">
        <v>0</v>
      </c>
      <c r="E8807" s="787">
        <v>0</v>
      </c>
      <c r="H8807" s="787">
        <v>1</v>
      </c>
      <c r="I8807" s="788">
        <v>42088</v>
      </c>
      <c r="K8807" s="788">
        <v>41376</v>
      </c>
      <c r="L8807" s="787">
        <v>2.82</v>
      </c>
      <c r="M8807" s="787">
        <v>10</v>
      </c>
      <c r="N8807" s="787">
        <v>2.8</v>
      </c>
      <c r="O8807" s="788">
        <v>41858</v>
      </c>
    </row>
    <row r="8808" spans="1:15" x14ac:dyDescent="0.25">
      <c r="A8808" s="786" t="s">
        <v>15837</v>
      </c>
      <c r="B8808" s="787">
        <v>4</v>
      </c>
      <c r="C8808" s="787" t="s">
        <v>15838</v>
      </c>
      <c r="D8808" s="787">
        <v>0</v>
      </c>
      <c r="E8808" s="787">
        <v>0</v>
      </c>
      <c r="H8808" s="787">
        <v>1</v>
      </c>
      <c r="I8808" s="788">
        <v>42088</v>
      </c>
      <c r="K8808" s="788">
        <v>41376</v>
      </c>
      <c r="L8808" s="787">
        <v>2.82</v>
      </c>
      <c r="M8808" s="787">
        <v>10</v>
      </c>
      <c r="N8808" s="787">
        <v>2.8</v>
      </c>
      <c r="O8808" s="788">
        <v>41858</v>
      </c>
    </row>
    <row r="8809" spans="1:15" x14ac:dyDescent="0.25">
      <c r="A8809" s="786" t="s">
        <v>15839</v>
      </c>
      <c r="B8809" s="787">
        <v>4</v>
      </c>
      <c r="C8809" s="787" t="s">
        <v>15840</v>
      </c>
      <c r="D8809" s="787">
        <v>2.21</v>
      </c>
      <c r="E8809" s="787">
        <v>2.21</v>
      </c>
      <c r="F8809" s="788">
        <v>41813</v>
      </c>
      <c r="G8809" s="788">
        <v>42013</v>
      </c>
      <c r="H8809" s="787">
        <v>1</v>
      </c>
      <c r="I8809" s="788">
        <v>42088</v>
      </c>
      <c r="J8809" s="788">
        <v>41438</v>
      </c>
      <c r="K8809" s="788">
        <v>41157</v>
      </c>
      <c r="L8809" s="787">
        <v>5.0199999999999996</v>
      </c>
      <c r="M8809" s="787">
        <v>10</v>
      </c>
      <c r="N8809" s="787">
        <v>4.05</v>
      </c>
      <c r="O8809" s="788">
        <v>42061</v>
      </c>
    </row>
    <row r="8810" spans="1:15" x14ac:dyDescent="0.25">
      <c r="A8810" s="786" t="s">
        <v>15841</v>
      </c>
      <c r="B8810" s="787">
        <v>4</v>
      </c>
      <c r="C8810" s="787" t="s">
        <v>15842</v>
      </c>
      <c r="D8810" s="787">
        <v>0</v>
      </c>
      <c r="E8810" s="787">
        <v>0</v>
      </c>
      <c r="H8810" s="787">
        <v>1</v>
      </c>
      <c r="I8810" s="788">
        <v>41948</v>
      </c>
      <c r="K8810" s="788">
        <v>41158</v>
      </c>
      <c r="L8810" s="787">
        <v>6.23</v>
      </c>
      <c r="M8810" s="787">
        <v>10</v>
      </c>
      <c r="N8810" s="787">
        <v>6.12</v>
      </c>
      <c r="O8810" s="788">
        <v>42084</v>
      </c>
    </row>
    <row r="8811" spans="1:15" x14ac:dyDescent="0.25">
      <c r="A8811" s="786" t="s">
        <v>15843</v>
      </c>
      <c r="B8811" s="787">
        <v>4</v>
      </c>
      <c r="C8811" s="787" t="s">
        <v>15844</v>
      </c>
      <c r="D8811" s="787">
        <v>0</v>
      </c>
      <c r="E8811" s="787">
        <v>0</v>
      </c>
      <c r="H8811" s="787">
        <v>1</v>
      </c>
      <c r="I8811" s="788">
        <v>41948</v>
      </c>
      <c r="K8811" s="788">
        <v>41158</v>
      </c>
      <c r="L8811" s="787">
        <v>6.23</v>
      </c>
      <c r="M8811" s="787">
        <v>10</v>
      </c>
      <c r="N8811" s="787">
        <v>6.12</v>
      </c>
      <c r="O8811" s="788">
        <v>42084</v>
      </c>
    </row>
    <row r="8812" spans="1:15" x14ac:dyDescent="0.25">
      <c r="A8812" s="786" t="s">
        <v>15845</v>
      </c>
      <c r="B8812" s="787">
        <v>4</v>
      </c>
      <c r="C8812" s="787" t="s">
        <v>9481</v>
      </c>
      <c r="D8812" s="787">
        <v>0</v>
      </c>
      <c r="E8812" s="787">
        <v>0</v>
      </c>
      <c r="H8812" s="787">
        <v>1</v>
      </c>
      <c r="I8812" s="788">
        <v>41809</v>
      </c>
      <c r="K8812" s="788">
        <v>41158</v>
      </c>
      <c r="L8812" s="787">
        <v>5.3</v>
      </c>
      <c r="M8812" s="787">
        <v>10</v>
      </c>
      <c r="N8812" s="787">
        <v>4.97</v>
      </c>
      <c r="O8812" s="788">
        <v>41858</v>
      </c>
    </row>
    <row r="8813" spans="1:15" x14ac:dyDescent="0.25">
      <c r="A8813" s="786" t="s">
        <v>15846</v>
      </c>
      <c r="B8813" s="787">
        <v>4</v>
      </c>
      <c r="C8813" s="787" t="s">
        <v>9526</v>
      </c>
      <c r="D8813" s="787">
        <v>0</v>
      </c>
      <c r="E8813" s="787">
        <v>0</v>
      </c>
      <c r="H8813" s="787">
        <v>1</v>
      </c>
      <c r="I8813" s="788">
        <v>41809</v>
      </c>
      <c r="K8813" s="788">
        <v>41158</v>
      </c>
      <c r="L8813" s="787">
        <v>4.16</v>
      </c>
      <c r="M8813" s="787">
        <v>10</v>
      </c>
      <c r="N8813" s="787">
        <v>3.87</v>
      </c>
      <c r="O8813" s="788">
        <v>41858</v>
      </c>
    </row>
    <row r="8814" spans="1:15" x14ac:dyDescent="0.25">
      <c r="A8814" s="786" t="s">
        <v>15847</v>
      </c>
      <c r="B8814" s="787">
        <v>4</v>
      </c>
      <c r="C8814" s="787" t="s">
        <v>15848</v>
      </c>
      <c r="D8814" s="787">
        <v>0</v>
      </c>
      <c r="E8814" s="787">
        <v>0</v>
      </c>
      <c r="H8814" s="787">
        <v>1</v>
      </c>
      <c r="I8814" s="788">
        <v>41809</v>
      </c>
      <c r="K8814" s="788">
        <v>41158</v>
      </c>
      <c r="L8814" s="787">
        <v>5.3</v>
      </c>
      <c r="M8814" s="787">
        <v>10</v>
      </c>
      <c r="N8814" s="787">
        <v>4.97</v>
      </c>
      <c r="O8814" s="788">
        <v>41858</v>
      </c>
    </row>
    <row r="8815" spans="1:15" x14ac:dyDescent="0.25">
      <c r="A8815" s="786" t="s">
        <v>15849</v>
      </c>
      <c r="B8815" s="787">
        <v>4</v>
      </c>
      <c r="C8815" s="787" t="s">
        <v>9479</v>
      </c>
      <c r="D8815" s="787">
        <v>0</v>
      </c>
      <c r="E8815" s="787">
        <v>0</v>
      </c>
      <c r="H8815" s="787">
        <v>1</v>
      </c>
      <c r="I8815" s="788">
        <v>41809</v>
      </c>
      <c r="K8815" s="788">
        <v>41158</v>
      </c>
      <c r="L8815" s="787">
        <v>4.16</v>
      </c>
      <c r="M8815" s="787">
        <v>10</v>
      </c>
      <c r="N8815" s="787">
        <v>3.87</v>
      </c>
      <c r="O8815" s="788">
        <v>41858</v>
      </c>
    </row>
    <row r="8816" spans="1:15" x14ac:dyDescent="0.25">
      <c r="A8816" s="786" t="s">
        <v>15850</v>
      </c>
      <c r="B8816" s="787">
        <v>4</v>
      </c>
      <c r="C8816" s="787" t="s">
        <v>15851</v>
      </c>
      <c r="D8816" s="787">
        <v>0</v>
      </c>
      <c r="E8816" s="787">
        <v>0</v>
      </c>
      <c r="H8816" s="787">
        <v>1</v>
      </c>
      <c r="K8816" s="788">
        <v>41158</v>
      </c>
      <c r="L8816" s="787">
        <v>6.64</v>
      </c>
      <c r="M8816" s="787">
        <v>10</v>
      </c>
      <c r="N8816" s="787">
        <v>7.38</v>
      </c>
      <c r="O8816" s="788">
        <v>41858</v>
      </c>
    </row>
    <row r="8817" spans="1:15" x14ac:dyDescent="0.25">
      <c r="A8817" s="786" t="s">
        <v>15852</v>
      </c>
      <c r="B8817" s="787">
        <v>4</v>
      </c>
      <c r="C8817" s="787" t="s">
        <v>15853</v>
      </c>
      <c r="D8817" s="787">
        <v>0</v>
      </c>
      <c r="E8817" s="787">
        <v>0</v>
      </c>
      <c r="H8817" s="787">
        <v>1</v>
      </c>
      <c r="K8817" s="788">
        <v>41158</v>
      </c>
      <c r="L8817" s="787">
        <v>6.64</v>
      </c>
      <c r="M8817" s="787">
        <v>10</v>
      </c>
      <c r="N8817" s="787">
        <v>7.38</v>
      </c>
      <c r="O8817" s="788">
        <v>41858</v>
      </c>
    </row>
    <row r="8818" spans="1:15" x14ac:dyDescent="0.25">
      <c r="A8818" s="786" t="s">
        <v>15854</v>
      </c>
      <c r="B8818" s="787">
        <v>4</v>
      </c>
      <c r="C8818" s="787" t="s">
        <v>11577</v>
      </c>
      <c r="D8818" s="787">
        <v>0</v>
      </c>
      <c r="E8818" s="787">
        <v>0</v>
      </c>
      <c r="H8818" s="787">
        <v>1</v>
      </c>
      <c r="K8818" s="788">
        <v>41160</v>
      </c>
      <c r="L8818" s="787">
        <v>2.33</v>
      </c>
      <c r="M8818" s="787">
        <v>10</v>
      </c>
      <c r="N8818" s="787">
        <v>2.12</v>
      </c>
      <c r="O8818" s="788">
        <v>41858</v>
      </c>
    </row>
    <row r="8819" spans="1:15" x14ac:dyDescent="0.25">
      <c r="A8819" s="786" t="s">
        <v>15855</v>
      </c>
      <c r="B8819" s="787">
        <v>4</v>
      </c>
      <c r="C8819" s="787" t="s">
        <v>11579</v>
      </c>
      <c r="D8819" s="787">
        <v>0</v>
      </c>
      <c r="E8819" s="787">
        <v>0</v>
      </c>
      <c r="H8819" s="787">
        <v>1</v>
      </c>
      <c r="K8819" s="788">
        <v>41160</v>
      </c>
      <c r="L8819" s="787">
        <v>2.33</v>
      </c>
      <c r="M8819" s="787">
        <v>10</v>
      </c>
      <c r="N8819" s="787">
        <v>2.12</v>
      </c>
      <c r="O8819" s="788">
        <v>41858</v>
      </c>
    </row>
    <row r="8820" spans="1:15" x14ac:dyDescent="0.25">
      <c r="A8820" s="786" t="s">
        <v>15856</v>
      </c>
      <c r="B8820" s="787">
        <v>4</v>
      </c>
      <c r="C8820" s="787" t="s">
        <v>15857</v>
      </c>
      <c r="D8820" s="787">
        <v>0</v>
      </c>
      <c r="E8820" s="787">
        <v>0</v>
      </c>
      <c r="H8820" s="787">
        <v>1</v>
      </c>
      <c r="I8820" s="788">
        <v>41505</v>
      </c>
      <c r="K8820" s="788">
        <v>41160</v>
      </c>
      <c r="L8820" s="787">
        <v>2.33</v>
      </c>
      <c r="M8820" s="787">
        <v>10</v>
      </c>
      <c r="N8820" s="787">
        <v>2.12</v>
      </c>
      <c r="O8820" s="788">
        <v>41858</v>
      </c>
    </row>
    <row r="8821" spans="1:15" x14ac:dyDescent="0.25">
      <c r="A8821" s="786" t="s">
        <v>15858</v>
      </c>
      <c r="B8821" s="787">
        <v>4</v>
      </c>
      <c r="C8821" s="787" t="s">
        <v>11570</v>
      </c>
      <c r="D8821" s="787">
        <v>0</v>
      </c>
      <c r="E8821" s="787">
        <v>0</v>
      </c>
      <c r="H8821" s="787">
        <v>1</v>
      </c>
      <c r="K8821" s="788">
        <v>41160</v>
      </c>
      <c r="L8821" s="787">
        <v>5.32</v>
      </c>
      <c r="M8821" s="787">
        <v>10</v>
      </c>
      <c r="N8821" s="787">
        <v>4.8600000000000003</v>
      </c>
      <c r="O8821" s="788">
        <v>41858</v>
      </c>
    </row>
    <row r="8822" spans="1:15" x14ac:dyDescent="0.25">
      <c r="A8822" s="786" t="s">
        <v>15859</v>
      </c>
      <c r="B8822" s="787">
        <v>4</v>
      </c>
      <c r="C8822" s="787" t="s">
        <v>11572</v>
      </c>
      <c r="D8822" s="787">
        <v>0</v>
      </c>
      <c r="E8822" s="787">
        <v>0</v>
      </c>
      <c r="H8822" s="787">
        <v>1</v>
      </c>
      <c r="K8822" s="788">
        <v>41160</v>
      </c>
      <c r="L8822" s="787">
        <v>5.32</v>
      </c>
      <c r="M8822" s="787">
        <v>10</v>
      </c>
      <c r="N8822" s="787">
        <v>4.8600000000000003</v>
      </c>
      <c r="O8822" s="788">
        <v>41858</v>
      </c>
    </row>
    <row r="8823" spans="1:15" x14ac:dyDescent="0.25">
      <c r="A8823" s="786" t="s">
        <v>15860</v>
      </c>
      <c r="B8823" s="787">
        <v>4</v>
      </c>
      <c r="C8823" s="787" t="s">
        <v>15861</v>
      </c>
      <c r="D8823" s="787">
        <v>0</v>
      </c>
      <c r="E8823" s="787">
        <v>0</v>
      </c>
      <c r="H8823" s="787">
        <v>1</v>
      </c>
      <c r="I8823" s="788">
        <v>41505</v>
      </c>
      <c r="K8823" s="788">
        <v>41160</v>
      </c>
      <c r="L8823" s="787">
        <v>5.32</v>
      </c>
      <c r="M8823" s="787">
        <v>10</v>
      </c>
      <c r="N8823" s="787">
        <v>4.8600000000000003</v>
      </c>
      <c r="O8823" s="788">
        <v>41858</v>
      </c>
    </row>
    <row r="8824" spans="1:15" x14ac:dyDescent="0.25">
      <c r="A8824" s="786" t="s">
        <v>15862</v>
      </c>
      <c r="B8824" s="787">
        <v>4</v>
      </c>
      <c r="C8824" s="787" t="s">
        <v>15863</v>
      </c>
      <c r="D8824" s="787">
        <v>0</v>
      </c>
      <c r="E8824" s="787">
        <v>0</v>
      </c>
      <c r="H8824" s="787">
        <v>1</v>
      </c>
      <c r="I8824" s="788">
        <v>41568</v>
      </c>
      <c r="L8824" s="787">
        <v>1</v>
      </c>
      <c r="M8824" s="787">
        <v>10</v>
      </c>
      <c r="N8824" s="787">
        <v>0.96</v>
      </c>
      <c r="O8824" s="788">
        <v>41858</v>
      </c>
    </row>
    <row r="8825" spans="1:15" x14ac:dyDescent="0.25">
      <c r="A8825" s="786" t="s">
        <v>15864</v>
      </c>
      <c r="B8825" s="787">
        <v>4</v>
      </c>
      <c r="C8825" s="787" t="s">
        <v>15865</v>
      </c>
      <c r="D8825" s="787">
        <v>0</v>
      </c>
      <c r="E8825" s="787">
        <v>0</v>
      </c>
      <c r="H8825" s="787">
        <v>1</v>
      </c>
      <c r="I8825" s="788">
        <v>41568</v>
      </c>
      <c r="K8825" s="788">
        <v>41160</v>
      </c>
      <c r="L8825" s="787">
        <v>4</v>
      </c>
      <c r="M8825" s="787">
        <v>10</v>
      </c>
      <c r="N8825" s="787">
        <v>3.75</v>
      </c>
      <c r="O8825" s="788">
        <v>41858</v>
      </c>
    </row>
    <row r="8826" spans="1:15" x14ac:dyDescent="0.25">
      <c r="A8826" s="786" t="s">
        <v>15866</v>
      </c>
      <c r="B8826" s="787">
        <v>4</v>
      </c>
      <c r="C8826" s="787" t="s">
        <v>15867</v>
      </c>
      <c r="D8826" s="787">
        <v>0</v>
      </c>
      <c r="E8826" s="787">
        <v>0</v>
      </c>
      <c r="H8826" s="787">
        <v>1</v>
      </c>
      <c r="K8826" s="788">
        <v>41160</v>
      </c>
      <c r="L8826" s="787">
        <v>4</v>
      </c>
      <c r="M8826" s="787">
        <v>10</v>
      </c>
      <c r="N8826" s="787">
        <v>3.75</v>
      </c>
      <c r="O8826" s="788">
        <v>41858</v>
      </c>
    </row>
    <row r="8827" spans="1:15" x14ac:dyDescent="0.25">
      <c r="A8827" s="786" t="s">
        <v>15868</v>
      </c>
      <c r="B8827" s="787">
        <v>4</v>
      </c>
      <c r="C8827" s="787" t="s">
        <v>15869</v>
      </c>
      <c r="D8827" s="787">
        <v>0</v>
      </c>
      <c r="E8827" s="787">
        <v>0</v>
      </c>
      <c r="H8827" s="787">
        <v>1</v>
      </c>
      <c r="I8827" s="788">
        <v>41505</v>
      </c>
      <c r="K8827" s="788">
        <v>41160</v>
      </c>
      <c r="L8827" s="787">
        <v>4</v>
      </c>
      <c r="M8827" s="787">
        <v>10</v>
      </c>
      <c r="N8827" s="787">
        <v>3.75</v>
      </c>
      <c r="O8827" s="788">
        <v>41858</v>
      </c>
    </row>
    <row r="8828" spans="1:15" x14ac:dyDescent="0.25">
      <c r="A8828" s="786" t="s">
        <v>15870</v>
      </c>
      <c r="B8828" s="787">
        <v>4</v>
      </c>
      <c r="C8828" s="787" t="s">
        <v>11749</v>
      </c>
      <c r="D8828" s="787">
        <v>0</v>
      </c>
      <c r="E8828" s="787">
        <v>0</v>
      </c>
      <c r="H8828" s="787">
        <v>1</v>
      </c>
      <c r="I8828" s="788">
        <v>41787</v>
      </c>
      <c r="K8828" s="788">
        <v>41160</v>
      </c>
      <c r="L8828" s="787">
        <v>1.23</v>
      </c>
      <c r="M8828" s="787">
        <v>10</v>
      </c>
      <c r="N8828" s="787">
        <v>1.21</v>
      </c>
      <c r="O8828" s="788">
        <v>41858</v>
      </c>
    </row>
    <row r="8829" spans="1:15" x14ac:dyDescent="0.25">
      <c r="A8829" s="786" t="s">
        <v>15871</v>
      </c>
      <c r="B8829" s="787">
        <v>4</v>
      </c>
      <c r="C8829" s="787" t="s">
        <v>10913</v>
      </c>
      <c r="D8829" s="787">
        <v>0</v>
      </c>
      <c r="E8829" s="787">
        <v>0</v>
      </c>
      <c r="H8829" s="787">
        <v>1</v>
      </c>
      <c r="I8829" s="788">
        <v>41787</v>
      </c>
      <c r="K8829" s="788">
        <v>41160</v>
      </c>
      <c r="L8829" s="787">
        <v>5.3</v>
      </c>
      <c r="M8829" s="787">
        <v>10</v>
      </c>
      <c r="N8829" s="787">
        <v>5.19</v>
      </c>
      <c r="O8829" s="788">
        <v>42146</v>
      </c>
    </row>
    <row r="8830" spans="1:15" x14ac:dyDescent="0.25">
      <c r="A8830" s="786" t="s">
        <v>15872</v>
      </c>
      <c r="B8830" s="787">
        <v>4</v>
      </c>
      <c r="C8830" s="787" t="s">
        <v>8646</v>
      </c>
      <c r="D8830" s="787">
        <v>0</v>
      </c>
      <c r="E8830" s="787">
        <v>0</v>
      </c>
      <c r="H8830" s="787">
        <v>1</v>
      </c>
      <c r="I8830" s="788">
        <v>42023</v>
      </c>
      <c r="K8830" s="788">
        <v>41160</v>
      </c>
      <c r="L8830" s="787">
        <v>7.41</v>
      </c>
      <c r="M8830" s="787">
        <v>10</v>
      </c>
      <c r="N8830" s="787">
        <v>7.2</v>
      </c>
      <c r="O8830" s="788">
        <v>42146</v>
      </c>
    </row>
    <row r="8831" spans="1:15" x14ac:dyDescent="0.25">
      <c r="A8831" s="786" t="s">
        <v>15873</v>
      </c>
      <c r="B8831" s="787">
        <v>4</v>
      </c>
      <c r="C8831" s="787" t="s">
        <v>15874</v>
      </c>
      <c r="D8831" s="787">
        <v>0</v>
      </c>
      <c r="E8831" s="787">
        <v>0</v>
      </c>
      <c r="H8831" s="787">
        <v>1</v>
      </c>
      <c r="I8831" s="788">
        <v>41505</v>
      </c>
      <c r="K8831" s="788">
        <v>41160</v>
      </c>
      <c r="L8831" s="787">
        <v>28.57</v>
      </c>
      <c r="M8831" s="787">
        <v>10</v>
      </c>
      <c r="N8831" s="787">
        <v>28</v>
      </c>
      <c r="O8831" s="788">
        <v>41858</v>
      </c>
    </row>
    <row r="8832" spans="1:15" x14ac:dyDescent="0.25">
      <c r="A8832" s="786" t="s">
        <v>15875</v>
      </c>
      <c r="B8832" s="787">
        <v>4</v>
      </c>
      <c r="C8832" s="787" t="s">
        <v>15874</v>
      </c>
      <c r="D8832" s="787">
        <v>0</v>
      </c>
      <c r="E8832" s="787">
        <v>0</v>
      </c>
      <c r="H8832" s="787">
        <v>1</v>
      </c>
      <c r="I8832" s="788">
        <v>41505</v>
      </c>
      <c r="K8832" s="788">
        <v>41160</v>
      </c>
      <c r="L8832" s="787">
        <v>36.74</v>
      </c>
      <c r="M8832" s="787">
        <v>10</v>
      </c>
      <c r="N8832" s="787">
        <v>30.23</v>
      </c>
      <c r="O8832" s="788">
        <v>42146</v>
      </c>
    </row>
    <row r="8833" spans="1:15" x14ac:dyDescent="0.25">
      <c r="A8833" s="786" t="s">
        <v>15876</v>
      </c>
      <c r="B8833" s="787">
        <v>4</v>
      </c>
      <c r="C8833" s="787" t="s">
        <v>15877</v>
      </c>
      <c r="D8833" s="787">
        <v>0</v>
      </c>
      <c r="E8833" s="787">
        <v>0</v>
      </c>
      <c r="H8833" s="787">
        <v>1</v>
      </c>
      <c r="I8833" s="788">
        <v>41291</v>
      </c>
      <c r="K8833" s="788">
        <v>41144</v>
      </c>
      <c r="L8833" s="787">
        <v>9.67</v>
      </c>
      <c r="M8833" s="787">
        <v>10</v>
      </c>
      <c r="N8833" s="787">
        <v>9.61</v>
      </c>
      <c r="O8833" s="788">
        <v>41858</v>
      </c>
    </row>
    <row r="8834" spans="1:15" x14ac:dyDescent="0.25">
      <c r="A8834" s="786" t="s">
        <v>15878</v>
      </c>
      <c r="B8834" s="787">
        <v>4</v>
      </c>
      <c r="C8834" s="787" t="s">
        <v>15879</v>
      </c>
      <c r="D8834" s="787">
        <v>0</v>
      </c>
      <c r="E8834" s="787">
        <v>0</v>
      </c>
      <c r="H8834" s="787">
        <v>1</v>
      </c>
      <c r="I8834" s="788">
        <v>41291</v>
      </c>
      <c r="K8834" s="788">
        <v>41144</v>
      </c>
      <c r="L8834" s="787">
        <v>9.67</v>
      </c>
      <c r="M8834" s="787">
        <v>10</v>
      </c>
      <c r="N8834" s="787">
        <v>9.61</v>
      </c>
      <c r="O8834" s="788">
        <v>41858</v>
      </c>
    </row>
    <row r="8835" spans="1:15" x14ac:dyDescent="0.25">
      <c r="A8835" s="786" t="s">
        <v>15880</v>
      </c>
      <c r="B8835" s="787">
        <v>4</v>
      </c>
      <c r="C8835" s="787" t="s">
        <v>15881</v>
      </c>
      <c r="D8835" s="787">
        <v>0</v>
      </c>
      <c r="E8835" s="787">
        <v>0</v>
      </c>
      <c r="H8835" s="787">
        <v>1</v>
      </c>
      <c r="I8835" s="788">
        <v>41291</v>
      </c>
      <c r="K8835" s="788">
        <v>41148</v>
      </c>
      <c r="L8835" s="787">
        <v>1.95</v>
      </c>
      <c r="M8835" s="787">
        <v>10</v>
      </c>
      <c r="N8835" s="787">
        <v>1.91</v>
      </c>
      <c r="O8835" s="788">
        <v>41858</v>
      </c>
    </row>
    <row r="8836" spans="1:15" x14ac:dyDescent="0.25">
      <c r="A8836" s="786" t="s">
        <v>15882</v>
      </c>
      <c r="B8836" s="787">
        <v>4</v>
      </c>
      <c r="C8836" s="787" t="s">
        <v>15883</v>
      </c>
      <c r="D8836" s="787">
        <v>0</v>
      </c>
      <c r="E8836" s="787">
        <v>0</v>
      </c>
      <c r="H8836" s="787">
        <v>1</v>
      </c>
      <c r="I8836" s="788">
        <v>41291</v>
      </c>
      <c r="K8836" s="788">
        <v>41148</v>
      </c>
      <c r="L8836" s="787">
        <v>23.08</v>
      </c>
      <c r="M8836" s="787">
        <v>10</v>
      </c>
      <c r="N8836" s="787">
        <v>21.03</v>
      </c>
      <c r="O8836" s="788">
        <v>41858</v>
      </c>
    </row>
    <row r="8837" spans="1:15" x14ac:dyDescent="0.25">
      <c r="A8837" s="786" t="s">
        <v>15884</v>
      </c>
      <c r="B8837" s="787">
        <v>4</v>
      </c>
      <c r="C8837" s="787" t="s">
        <v>15885</v>
      </c>
      <c r="D8837" s="787">
        <v>0</v>
      </c>
      <c r="E8837" s="787">
        <v>0</v>
      </c>
      <c r="H8837" s="787">
        <v>1</v>
      </c>
      <c r="K8837" s="788">
        <v>41144</v>
      </c>
      <c r="L8837" s="787">
        <v>7.39</v>
      </c>
      <c r="M8837" s="787">
        <v>10</v>
      </c>
      <c r="N8837" s="787">
        <v>7.36</v>
      </c>
      <c r="O8837" s="788">
        <v>41858</v>
      </c>
    </row>
    <row r="8838" spans="1:15" x14ac:dyDescent="0.25">
      <c r="A8838" s="786" t="s">
        <v>15886</v>
      </c>
      <c r="B8838" s="787">
        <v>4</v>
      </c>
      <c r="C8838" s="787" t="s">
        <v>15887</v>
      </c>
      <c r="D8838" s="787">
        <v>0</v>
      </c>
      <c r="E8838" s="787">
        <v>0</v>
      </c>
      <c r="H8838" s="787">
        <v>1</v>
      </c>
      <c r="K8838" s="788">
        <v>41144</v>
      </c>
      <c r="L8838" s="787">
        <v>7.39</v>
      </c>
      <c r="M8838" s="787">
        <v>10</v>
      </c>
      <c r="N8838" s="787">
        <v>7.36</v>
      </c>
      <c r="O8838" s="788">
        <v>41858</v>
      </c>
    </row>
    <row r="8839" spans="1:15" x14ac:dyDescent="0.25">
      <c r="A8839" s="786" t="s">
        <v>15888</v>
      </c>
      <c r="B8839" s="787">
        <v>4</v>
      </c>
      <c r="C8839" s="787" t="s">
        <v>15889</v>
      </c>
      <c r="D8839" s="787">
        <v>0</v>
      </c>
      <c r="E8839" s="787">
        <v>0</v>
      </c>
      <c r="H8839" s="787">
        <v>1</v>
      </c>
      <c r="I8839" s="788">
        <v>42166</v>
      </c>
      <c r="K8839" s="788">
        <v>41194</v>
      </c>
      <c r="L8839" s="787">
        <v>5.28</v>
      </c>
      <c r="M8839" s="787">
        <v>10</v>
      </c>
      <c r="N8839" s="787">
        <v>7.57</v>
      </c>
      <c r="O8839" s="788">
        <v>42146</v>
      </c>
    </row>
    <row r="8840" spans="1:15" x14ac:dyDescent="0.25">
      <c r="A8840" s="786" t="s">
        <v>15890</v>
      </c>
      <c r="B8840" s="787">
        <v>4</v>
      </c>
      <c r="C8840" s="787" t="s">
        <v>15891</v>
      </c>
      <c r="D8840" s="787">
        <v>0</v>
      </c>
      <c r="E8840" s="787">
        <v>0</v>
      </c>
      <c r="H8840" s="787">
        <v>1</v>
      </c>
      <c r="I8840" s="788">
        <v>42166</v>
      </c>
      <c r="K8840" s="788">
        <v>41194</v>
      </c>
      <c r="L8840" s="787">
        <v>7.08</v>
      </c>
      <c r="M8840" s="787">
        <v>10</v>
      </c>
      <c r="N8840" s="787">
        <v>10.11</v>
      </c>
      <c r="O8840" s="788">
        <v>42146</v>
      </c>
    </row>
    <row r="8841" spans="1:15" x14ac:dyDescent="0.25">
      <c r="A8841" s="786" t="s">
        <v>15892</v>
      </c>
      <c r="B8841" s="787">
        <v>4</v>
      </c>
      <c r="C8841" s="787" t="s">
        <v>15893</v>
      </c>
      <c r="D8841" s="787">
        <v>0</v>
      </c>
      <c r="E8841" s="787">
        <v>0</v>
      </c>
      <c r="H8841" s="787">
        <v>1</v>
      </c>
      <c r="I8841" s="788">
        <v>42143</v>
      </c>
      <c r="K8841" s="788">
        <v>41194</v>
      </c>
      <c r="L8841" s="787">
        <v>7.12</v>
      </c>
      <c r="M8841" s="787">
        <v>10</v>
      </c>
      <c r="N8841" s="787">
        <v>6.6</v>
      </c>
      <c r="O8841" s="788">
        <v>41858</v>
      </c>
    </row>
    <row r="8842" spans="1:15" x14ac:dyDescent="0.25">
      <c r="A8842" s="786" t="s">
        <v>15894</v>
      </c>
      <c r="B8842" s="787">
        <v>4</v>
      </c>
      <c r="C8842" s="787" t="s">
        <v>15891</v>
      </c>
      <c r="D8842" s="787">
        <v>0</v>
      </c>
      <c r="E8842" s="787">
        <v>0</v>
      </c>
      <c r="H8842" s="787">
        <v>1</v>
      </c>
      <c r="I8842" s="788">
        <v>42165</v>
      </c>
      <c r="K8842" s="788">
        <v>41194</v>
      </c>
      <c r="L8842" s="787">
        <v>7.08</v>
      </c>
      <c r="M8842" s="787">
        <v>10</v>
      </c>
      <c r="N8842" s="787">
        <v>6.56</v>
      </c>
      <c r="O8842" s="788">
        <v>42156</v>
      </c>
    </row>
    <row r="8843" spans="1:15" x14ac:dyDescent="0.25">
      <c r="A8843" s="786" t="s">
        <v>15895</v>
      </c>
      <c r="B8843" s="787">
        <v>4</v>
      </c>
      <c r="C8843" s="787" t="s">
        <v>15891</v>
      </c>
      <c r="D8843" s="787">
        <v>0</v>
      </c>
      <c r="E8843" s="787">
        <v>0</v>
      </c>
      <c r="H8843" s="787">
        <v>1</v>
      </c>
      <c r="I8843" s="788">
        <v>42165</v>
      </c>
      <c r="K8843" s="788">
        <v>41194</v>
      </c>
      <c r="L8843" s="787">
        <v>7.12</v>
      </c>
      <c r="M8843" s="787">
        <v>10</v>
      </c>
      <c r="N8843" s="787">
        <v>6.6</v>
      </c>
      <c r="O8843" s="788">
        <v>41858</v>
      </c>
    </row>
    <row r="8844" spans="1:15" x14ac:dyDescent="0.25">
      <c r="A8844" s="786" t="s">
        <v>15896</v>
      </c>
      <c r="B8844" s="787">
        <v>4</v>
      </c>
      <c r="C8844" s="787" t="s">
        <v>15889</v>
      </c>
      <c r="D8844" s="787">
        <v>0</v>
      </c>
      <c r="E8844" s="787">
        <v>0</v>
      </c>
      <c r="H8844" s="787">
        <v>1</v>
      </c>
      <c r="I8844" s="788">
        <v>42164</v>
      </c>
      <c r="K8844" s="788">
        <v>41194</v>
      </c>
      <c r="L8844" s="787">
        <v>5.28</v>
      </c>
      <c r="M8844" s="787">
        <v>10</v>
      </c>
      <c r="N8844" s="787">
        <v>5.01</v>
      </c>
      <c r="O8844" s="788">
        <v>42156</v>
      </c>
    </row>
    <row r="8845" spans="1:15" x14ac:dyDescent="0.25">
      <c r="A8845" s="786" t="s">
        <v>15897</v>
      </c>
      <c r="B8845" s="787">
        <v>4</v>
      </c>
      <c r="C8845" s="787" t="s">
        <v>15898</v>
      </c>
      <c r="D8845" s="787">
        <v>0</v>
      </c>
      <c r="E8845" s="787">
        <v>0</v>
      </c>
      <c r="H8845" s="787">
        <v>1</v>
      </c>
      <c r="I8845" s="788">
        <v>42165</v>
      </c>
      <c r="K8845" s="788">
        <v>41220</v>
      </c>
      <c r="L8845" s="787">
        <v>4.12</v>
      </c>
      <c r="M8845" s="787">
        <v>10</v>
      </c>
      <c r="N8845" s="787">
        <v>3.55</v>
      </c>
      <c r="O8845" s="788">
        <v>42156</v>
      </c>
    </row>
    <row r="8846" spans="1:15" x14ac:dyDescent="0.25">
      <c r="A8846" s="786" t="s">
        <v>15899</v>
      </c>
      <c r="B8846" s="787">
        <v>4</v>
      </c>
      <c r="C8846" s="787" t="s">
        <v>15898</v>
      </c>
      <c r="D8846" s="787">
        <v>0</v>
      </c>
      <c r="E8846" s="787">
        <v>0</v>
      </c>
      <c r="H8846" s="787">
        <v>1</v>
      </c>
      <c r="I8846" s="788">
        <v>42165</v>
      </c>
      <c r="K8846" s="788">
        <v>41220</v>
      </c>
      <c r="L8846" s="787">
        <v>4.2</v>
      </c>
      <c r="M8846" s="787">
        <v>10</v>
      </c>
      <c r="N8846" s="787">
        <v>3.62</v>
      </c>
      <c r="O8846" s="788">
        <v>41858</v>
      </c>
    </row>
    <row r="8847" spans="1:15" x14ac:dyDescent="0.25">
      <c r="A8847" s="786" t="s">
        <v>15900</v>
      </c>
      <c r="B8847" s="787">
        <v>4</v>
      </c>
      <c r="C8847" s="787" t="s">
        <v>15898</v>
      </c>
      <c r="D8847" s="787">
        <v>0</v>
      </c>
      <c r="E8847" s="787">
        <v>0</v>
      </c>
      <c r="H8847" s="787">
        <v>1</v>
      </c>
      <c r="I8847" s="788">
        <v>42145</v>
      </c>
      <c r="K8847" s="788">
        <v>41220</v>
      </c>
      <c r="L8847" s="787">
        <v>4.1399999999999997</v>
      </c>
      <c r="M8847" s="787">
        <v>10</v>
      </c>
      <c r="N8847" s="787">
        <v>3.57</v>
      </c>
      <c r="O8847" s="788">
        <v>42156</v>
      </c>
    </row>
    <row r="8848" spans="1:15" x14ac:dyDescent="0.25">
      <c r="A8848" s="786" t="s">
        <v>15901</v>
      </c>
      <c r="B8848" s="787">
        <v>4</v>
      </c>
      <c r="C8848" s="787" t="s">
        <v>15898</v>
      </c>
      <c r="D8848" s="787">
        <v>0</v>
      </c>
      <c r="E8848" s="787">
        <v>0</v>
      </c>
      <c r="H8848" s="787">
        <v>1</v>
      </c>
      <c r="I8848" s="788">
        <v>42165</v>
      </c>
      <c r="K8848" s="788">
        <v>41220</v>
      </c>
      <c r="L8848" s="787">
        <v>4.22</v>
      </c>
      <c r="M8848" s="787">
        <v>10</v>
      </c>
      <c r="N8848" s="787">
        <v>3.64</v>
      </c>
      <c r="O8848" s="788">
        <v>41858</v>
      </c>
    </row>
    <row r="8849" spans="1:15" x14ac:dyDescent="0.25">
      <c r="A8849" s="786" t="s">
        <v>15902</v>
      </c>
      <c r="B8849" s="787">
        <v>4</v>
      </c>
      <c r="C8849" s="787" t="s">
        <v>15903</v>
      </c>
      <c r="D8849" s="787">
        <v>0</v>
      </c>
      <c r="E8849" s="787">
        <v>0</v>
      </c>
      <c r="H8849" s="787">
        <v>1</v>
      </c>
      <c r="I8849" s="788">
        <v>42166</v>
      </c>
      <c r="K8849" s="788">
        <v>41984</v>
      </c>
      <c r="L8849" s="787">
        <v>4.99</v>
      </c>
      <c r="M8849" s="787">
        <v>10</v>
      </c>
      <c r="N8849" s="787">
        <v>4.99</v>
      </c>
      <c r="O8849" s="788">
        <v>42156</v>
      </c>
    </row>
    <row r="8850" spans="1:15" x14ac:dyDescent="0.25">
      <c r="A8850" s="786" t="s">
        <v>15904</v>
      </c>
      <c r="B8850" s="787">
        <v>4</v>
      </c>
      <c r="C8850" s="787" t="s">
        <v>15905</v>
      </c>
      <c r="D8850" s="787">
        <v>0</v>
      </c>
      <c r="E8850" s="787">
        <v>0</v>
      </c>
      <c r="H8850" s="787">
        <v>1</v>
      </c>
      <c r="I8850" s="788">
        <v>42165</v>
      </c>
      <c r="K8850" s="788">
        <v>41220</v>
      </c>
      <c r="L8850" s="787">
        <v>2.59</v>
      </c>
      <c r="M8850" s="787">
        <v>10</v>
      </c>
      <c r="N8850" s="787">
        <v>2.27</v>
      </c>
      <c r="O8850" s="788">
        <v>42156</v>
      </c>
    </row>
    <row r="8851" spans="1:15" x14ac:dyDescent="0.25">
      <c r="A8851" s="786" t="s">
        <v>15906</v>
      </c>
      <c r="B8851" s="787">
        <v>4</v>
      </c>
      <c r="C8851" s="787" t="s">
        <v>15907</v>
      </c>
      <c r="D8851" s="787">
        <v>0</v>
      </c>
      <c r="E8851" s="787">
        <v>0</v>
      </c>
      <c r="H8851" s="787">
        <v>1</v>
      </c>
      <c r="I8851" s="788">
        <v>42088</v>
      </c>
      <c r="K8851" s="788">
        <v>41195</v>
      </c>
      <c r="L8851" s="787">
        <v>11.96</v>
      </c>
      <c r="M8851" s="787">
        <v>10</v>
      </c>
      <c r="N8851" s="787">
        <v>11.92</v>
      </c>
      <c r="O8851" s="788">
        <v>42060</v>
      </c>
    </row>
    <row r="8852" spans="1:15" x14ac:dyDescent="0.25">
      <c r="A8852" s="786" t="s">
        <v>15908</v>
      </c>
      <c r="B8852" s="787">
        <v>4</v>
      </c>
      <c r="C8852" s="787" t="s">
        <v>15907</v>
      </c>
      <c r="D8852" s="787">
        <v>0</v>
      </c>
      <c r="E8852" s="787">
        <v>0</v>
      </c>
      <c r="H8852" s="787">
        <v>1</v>
      </c>
      <c r="K8852" s="788">
        <v>41195</v>
      </c>
      <c r="L8852" s="787">
        <v>11.96</v>
      </c>
      <c r="M8852" s="787">
        <v>10</v>
      </c>
      <c r="N8852" s="787">
        <v>17.239999999999998</v>
      </c>
      <c r="O8852" s="788">
        <v>41870</v>
      </c>
    </row>
    <row r="8853" spans="1:15" x14ac:dyDescent="0.25">
      <c r="A8853" s="786" t="s">
        <v>15909</v>
      </c>
      <c r="B8853" s="787">
        <v>4</v>
      </c>
      <c r="C8853" s="787" t="s">
        <v>15910</v>
      </c>
      <c r="D8853" s="787">
        <v>0</v>
      </c>
      <c r="E8853" s="787">
        <v>0</v>
      </c>
      <c r="H8853" s="787">
        <v>1</v>
      </c>
      <c r="I8853" s="788">
        <v>41547</v>
      </c>
      <c r="K8853" s="788">
        <v>41197</v>
      </c>
      <c r="L8853" s="787">
        <v>15.36</v>
      </c>
      <c r="M8853" s="787">
        <v>10</v>
      </c>
      <c r="N8853" s="787">
        <v>15.02</v>
      </c>
      <c r="O8853" s="788">
        <v>42061</v>
      </c>
    </row>
    <row r="8854" spans="1:15" x14ac:dyDescent="0.25">
      <c r="A8854" s="786" t="s">
        <v>15911</v>
      </c>
      <c r="B8854" s="787">
        <v>4</v>
      </c>
      <c r="C8854" s="787" t="s">
        <v>15912</v>
      </c>
      <c r="D8854" s="787">
        <v>7.5</v>
      </c>
      <c r="E8854" s="787">
        <v>19.5</v>
      </c>
      <c r="F8854" s="788">
        <v>41456</v>
      </c>
      <c r="G8854" s="788">
        <v>42093</v>
      </c>
      <c r="H8854" s="787">
        <v>1</v>
      </c>
      <c r="I8854" s="788">
        <v>42088</v>
      </c>
      <c r="J8854" s="788">
        <v>42086</v>
      </c>
      <c r="K8854" s="788">
        <v>41690</v>
      </c>
      <c r="L8854" s="787">
        <v>19</v>
      </c>
      <c r="M8854" s="787">
        <v>20</v>
      </c>
      <c r="N8854" s="787">
        <v>20.43</v>
      </c>
      <c r="O8854" s="788">
        <v>42061</v>
      </c>
    </row>
    <row r="8855" spans="1:15" x14ac:dyDescent="0.25">
      <c r="A8855" s="786" t="s">
        <v>15913</v>
      </c>
      <c r="B8855" s="787">
        <v>4</v>
      </c>
      <c r="C8855" s="787" t="s">
        <v>15914</v>
      </c>
      <c r="D8855" s="787">
        <v>0.08</v>
      </c>
      <c r="E8855" s="787">
        <v>0.51</v>
      </c>
      <c r="F8855" s="788">
        <v>41813</v>
      </c>
      <c r="G8855" s="788">
        <v>42013</v>
      </c>
      <c r="H8855" s="787">
        <v>1</v>
      </c>
      <c r="I8855" s="788">
        <v>42088</v>
      </c>
      <c r="J8855" s="788">
        <v>41904</v>
      </c>
      <c r="K8855" s="788">
        <v>41353</v>
      </c>
      <c r="L8855" s="787">
        <v>3.51</v>
      </c>
      <c r="M8855" s="787">
        <v>10</v>
      </c>
      <c r="N8855" s="787">
        <v>1.52</v>
      </c>
      <c r="O8855" s="788">
        <v>42061</v>
      </c>
    </row>
    <row r="8856" spans="1:15" x14ac:dyDescent="0.25">
      <c r="A8856" s="786" t="s">
        <v>15913</v>
      </c>
      <c r="B8856" s="787" t="s">
        <v>15915</v>
      </c>
      <c r="C8856" s="787" t="s">
        <v>15916</v>
      </c>
      <c r="D8856" s="787">
        <v>0</v>
      </c>
      <c r="E8856" s="787">
        <v>0</v>
      </c>
      <c r="H8856" s="787">
        <v>1</v>
      </c>
      <c r="L8856" s="787">
        <v>1</v>
      </c>
      <c r="M8856" s="787">
        <v>10</v>
      </c>
      <c r="N8856" s="787">
        <v>7.85</v>
      </c>
      <c r="O8856" s="788">
        <v>41858</v>
      </c>
    </row>
    <row r="8857" spans="1:15" x14ac:dyDescent="0.25">
      <c r="A8857" s="786" t="s">
        <v>15917</v>
      </c>
      <c r="B8857" s="787">
        <v>4</v>
      </c>
      <c r="C8857" s="787" t="s">
        <v>15916</v>
      </c>
      <c r="D8857" s="787">
        <v>1.81</v>
      </c>
      <c r="E8857" s="787">
        <v>6.2</v>
      </c>
      <c r="F8857" s="788">
        <v>41829</v>
      </c>
      <c r="G8857" s="788">
        <v>42144</v>
      </c>
      <c r="H8857" s="787">
        <v>1</v>
      </c>
      <c r="I8857" s="788">
        <v>42143</v>
      </c>
      <c r="J8857" s="788">
        <v>42144</v>
      </c>
      <c r="K8857" s="788">
        <v>41863</v>
      </c>
      <c r="L8857" s="787">
        <v>5</v>
      </c>
      <c r="M8857" s="787">
        <v>10</v>
      </c>
      <c r="N8857" s="787">
        <v>5.24</v>
      </c>
      <c r="O8857" s="788">
        <v>42045</v>
      </c>
    </row>
    <row r="8858" spans="1:15" x14ac:dyDescent="0.25">
      <c r="A8858" s="786" t="s">
        <v>15918</v>
      </c>
      <c r="B8858" s="787">
        <v>4</v>
      </c>
      <c r="C8858" s="787" t="s">
        <v>15919</v>
      </c>
      <c r="D8858" s="787">
        <v>0</v>
      </c>
      <c r="E8858" s="787">
        <v>0</v>
      </c>
      <c r="H8858" s="787">
        <v>1</v>
      </c>
      <c r="L8858" s="787">
        <v>1.8</v>
      </c>
      <c r="M8858" s="787">
        <v>10</v>
      </c>
      <c r="N8858" s="787">
        <v>1.45</v>
      </c>
      <c r="O8858" s="788">
        <v>41858</v>
      </c>
    </row>
    <row r="8859" spans="1:15" x14ac:dyDescent="0.25">
      <c r="A8859" s="786" t="s">
        <v>15920</v>
      </c>
      <c r="B8859" s="787">
        <v>4</v>
      </c>
      <c r="C8859" s="787" t="s">
        <v>15921</v>
      </c>
      <c r="D8859" s="787">
        <v>0.57999999999999996</v>
      </c>
      <c r="E8859" s="787">
        <v>0.57999999999999996</v>
      </c>
      <c r="F8859" s="788">
        <v>42051</v>
      </c>
      <c r="G8859" s="788">
        <v>42051</v>
      </c>
      <c r="H8859" s="787">
        <v>1</v>
      </c>
      <c r="I8859" s="788">
        <v>42160</v>
      </c>
      <c r="J8859" s="788">
        <v>42020</v>
      </c>
      <c r="K8859" s="788">
        <v>41201</v>
      </c>
      <c r="L8859" s="787">
        <v>3.06</v>
      </c>
      <c r="M8859" s="787">
        <v>10</v>
      </c>
      <c r="N8859" s="787">
        <v>2.09</v>
      </c>
      <c r="O8859" s="788">
        <v>42026</v>
      </c>
    </row>
    <row r="8860" spans="1:15" x14ac:dyDescent="0.25">
      <c r="A8860" s="786" t="s">
        <v>15922</v>
      </c>
      <c r="B8860" s="787">
        <v>4</v>
      </c>
      <c r="C8860" s="787" t="s">
        <v>15923</v>
      </c>
      <c r="D8860" s="787">
        <v>0</v>
      </c>
      <c r="E8860" s="787">
        <v>0</v>
      </c>
      <c r="H8860" s="787">
        <v>1</v>
      </c>
      <c r="I8860" s="788">
        <v>42115</v>
      </c>
      <c r="L8860" s="787">
        <v>1</v>
      </c>
      <c r="M8860" s="787">
        <v>10</v>
      </c>
      <c r="N8860" s="787">
        <v>1.34</v>
      </c>
      <c r="O8860" s="788">
        <v>42146</v>
      </c>
    </row>
    <row r="8861" spans="1:15" x14ac:dyDescent="0.25">
      <c r="A8861" s="786" t="s">
        <v>15924</v>
      </c>
      <c r="B8861" s="787">
        <v>4</v>
      </c>
      <c r="C8861" s="787" t="s">
        <v>15925</v>
      </c>
      <c r="D8861" s="787">
        <v>0</v>
      </c>
      <c r="E8861" s="787">
        <v>0</v>
      </c>
      <c r="H8861" s="787">
        <v>1</v>
      </c>
      <c r="I8861" s="788">
        <v>42115</v>
      </c>
      <c r="L8861" s="787">
        <v>1</v>
      </c>
      <c r="M8861" s="787">
        <v>10</v>
      </c>
      <c r="N8861" s="787">
        <v>1.34</v>
      </c>
      <c r="O8861" s="788">
        <v>42146</v>
      </c>
    </row>
    <row r="8862" spans="1:15" x14ac:dyDescent="0.25">
      <c r="A8862" s="786" t="s">
        <v>15926</v>
      </c>
      <c r="B8862" s="787">
        <v>4</v>
      </c>
      <c r="C8862" s="787" t="s">
        <v>15927</v>
      </c>
      <c r="D8862" s="787">
        <v>7.35</v>
      </c>
      <c r="E8862" s="787">
        <v>7.35</v>
      </c>
      <c r="F8862" s="788">
        <v>41946</v>
      </c>
      <c r="G8862" s="788">
        <v>42013</v>
      </c>
      <c r="H8862" s="787">
        <v>1</v>
      </c>
      <c r="I8862" s="788">
        <v>42130</v>
      </c>
      <c r="J8862" s="788">
        <v>41943</v>
      </c>
      <c r="K8862" s="788">
        <v>41701</v>
      </c>
      <c r="L8862" s="787">
        <v>7.35</v>
      </c>
      <c r="M8862" s="787">
        <v>20</v>
      </c>
      <c r="N8862" s="787">
        <v>7.9</v>
      </c>
      <c r="O8862" s="788">
        <v>42146</v>
      </c>
    </row>
    <row r="8863" spans="1:15" x14ac:dyDescent="0.25">
      <c r="A8863" s="786" t="s">
        <v>15928</v>
      </c>
      <c r="B8863" s="787">
        <v>4</v>
      </c>
      <c r="C8863" s="787" t="s">
        <v>15929</v>
      </c>
      <c r="D8863" s="787">
        <v>6.16</v>
      </c>
      <c r="E8863" s="787">
        <v>7.32</v>
      </c>
      <c r="F8863" s="788">
        <v>41453</v>
      </c>
      <c r="G8863" s="788">
        <v>42013</v>
      </c>
      <c r="H8863" s="787">
        <v>1</v>
      </c>
      <c r="I8863" s="788">
        <v>42152</v>
      </c>
      <c r="J8863" s="788">
        <v>41816</v>
      </c>
      <c r="L8863" s="787">
        <v>1</v>
      </c>
      <c r="M8863" s="787">
        <v>10</v>
      </c>
      <c r="N8863" s="787">
        <v>4.3499999999999996</v>
      </c>
      <c r="O8863" s="788">
        <v>42146</v>
      </c>
    </row>
    <row r="8864" spans="1:15" x14ac:dyDescent="0.25">
      <c r="A8864" s="786" t="s">
        <v>15930</v>
      </c>
      <c r="B8864" s="787">
        <v>4</v>
      </c>
      <c r="C8864" s="787" t="s">
        <v>15931</v>
      </c>
      <c r="D8864" s="787">
        <v>2.61</v>
      </c>
      <c r="E8864" s="787">
        <v>2.61</v>
      </c>
      <c r="F8864" s="788">
        <v>41855</v>
      </c>
      <c r="G8864" s="788">
        <v>42013</v>
      </c>
      <c r="H8864" s="787">
        <v>1</v>
      </c>
      <c r="I8864" s="788">
        <v>42152</v>
      </c>
      <c r="J8864" s="788">
        <v>41816</v>
      </c>
      <c r="L8864" s="787">
        <v>1</v>
      </c>
      <c r="M8864" s="787">
        <v>10</v>
      </c>
      <c r="N8864" s="787">
        <v>4.3499999999999996</v>
      </c>
      <c r="O8864" s="788">
        <v>42146</v>
      </c>
    </row>
    <row r="8865" spans="1:15" x14ac:dyDescent="0.25">
      <c r="A8865" s="786" t="s">
        <v>15932</v>
      </c>
      <c r="B8865" s="787">
        <v>4</v>
      </c>
      <c r="C8865" s="787" t="s">
        <v>15933</v>
      </c>
      <c r="D8865" s="787">
        <v>0</v>
      </c>
      <c r="E8865" s="787">
        <v>0</v>
      </c>
      <c r="H8865" s="787">
        <v>1</v>
      </c>
      <c r="I8865" s="788">
        <v>42109</v>
      </c>
      <c r="L8865" s="787">
        <v>1</v>
      </c>
      <c r="M8865" s="787">
        <v>10</v>
      </c>
      <c r="N8865" s="787">
        <v>5.16</v>
      </c>
      <c r="O8865" s="788">
        <v>42146</v>
      </c>
    </row>
    <row r="8866" spans="1:15" x14ac:dyDescent="0.25">
      <c r="A8866" s="786" t="s">
        <v>15934</v>
      </c>
      <c r="B8866" s="787">
        <v>4</v>
      </c>
      <c r="C8866" s="787" t="s">
        <v>15935</v>
      </c>
      <c r="D8866" s="787">
        <v>0</v>
      </c>
      <c r="E8866" s="787">
        <v>0</v>
      </c>
      <c r="H8866" s="787">
        <v>1</v>
      </c>
      <c r="I8866" s="788">
        <v>41687</v>
      </c>
      <c r="L8866" s="787">
        <v>1</v>
      </c>
      <c r="M8866" s="787">
        <v>10</v>
      </c>
      <c r="N8866" s="787">
        <v>5.16</v>
      </c>
      <c r="O8866" s="788">
        <v>42146</v>
      </c>
    </row>
    <row r="8867" spans="1:15" x14ac:dyDescent="0.25">
      <c r="A8867" s="786" t="s">
        <v>15936</v>
      </c>
      <c r="B8867" s="787">
        <v>4</v>
      </c>
      <c r="C8867" s="787" t="s">
        <v>15937</v>
      </c>
      <c r="D8867" s="787">
        <v>0</v>
      </c>
      <c r="E8867" s="787">
        <v>0</v>
      </c>
      <c r="H8867" s="787">
        <v>1</v>
      </c>
      <c r="I8867" s="788">
        <v>41687</v>
      </c>
      <c r="L8867" s="787">
        <v>1</v>
      </c>
      <c r="M8867" s="787">
        <v>10</v>
      </c>
      <c r="N8867" s="787">
        <v>5.16</v>
      </c>
      <c r="O8867" s="788">
        <v>42146</v>
      </c>
    </row>
    <row r="8868" spans="1:15" x14ac:dyDescent="0.25">
      <c r="A8868" s="786" t="s">
        <v>15938</v>
      </c>
      <c r="B8868" s="787">
        <v>4</v>
      </c>
      <c r="C8868" s="787" t="s">
        <v>15939</v>
      </c>
      <c r="D8868" s="787">
        <v>0</v>
      </c>
      <c r="E8868" s="787">
        <v>0</v>
      </c>
      <c r="H8868" s="787">
        <v>1</v>
      </c>
      <c r="I8868" s="788">
        <v>41687</v>
      </c>
      <c r="L8868" s="787">
        <v>1</v>
      </c>
      <c r="M8868" s="787">
        <v>10</v>
      </c>
      <c r="N8868" s="787">
        <v>3.08</v>
      </c>
      <c r="O8868" s="788">
        <v>42146</v>
      </c>
    </row>
    <row r="8869" spans="1:15" x14ac:dyDescent="0.25">
      <c r="A8869" s="786" t="s">
        <v>15940</v>
      </c>
      <c r="B8869" s="787">
        <v>4</v>
      </c>
      <c r="C8869" s="787" t="s">
        <v>15941</v>
      </c>
      <c r="D8869" s="787">
        <v>0</v>
      </c>
      <c r="E8869" s="787">
        <v>0</v>
      </c>
      <c r="H8869" s="787">
        <v>1</v>
      </c>
      <c r="I8869" s="788">
        <v>42109</v>
      </c>
      <c r="L8869" s="787">
        <v>1</v>
      </c>
      <c r="M8869" s="787">
        <v>10</v>
      </c>
      <c r="N8869" s="787">
        <v>3.08</v>
      </c>
      <c r="O8869" s="788">
        <v>42146</v>
      </c>
    </row>
    <row r="8870" spans="1:15" x14ac:dyDescent="0.25">
      <c r="A8870" s="786" t="s">
        <v>15942</v>
      </c>
      <c r="B8870" s="787">
        <v>4</v>
      </c>
      <c r="C8870" s="787" t="s">
        <v>15943</v>
      </c>
      <c r="D8870" s="787">
        <v>0</v>
      </c>
      <c r="E8870" s="787">
        <v>0</v>
      </c>
      <c r="H8870" s="787">
        <v>1</v>
      </c>
      <c r="I8870" s="788">
        <v>41687</v>
      </c>
      <c r="L8870" s="787">
        <v>1</v>
      </c>
      <c r="M8870" s="787">
        <v>10</v>
      </c>
      <c r="N8870" s="787">
        <v>3.08</v>
      </c>
      <c r="O8870" s="788">
        <v>42146</v>
      </c>
    </row>
    <row r="8871" spans="1:15" x14ac:dyDescent="0.25">
      <c r="A8871" s="786" t="s">
        <v>15944</v>
      </c>
      <c r="B8871" s="787">
        <v>4</v>
      </c>
      <c r="C8871" s="787" t="s">
        <v>15945</v>
      </c>
      <c r="D8871" s="787">
        <v>0</v>
      </c>
      <c r="E8871" s="787">
        <v>0</v>
      </c>
      <c r="H8871" s="787">
        <v>1</v>
      </c>
      <c r="I8871" s="788">
        <v>41332</v>
      </c>
      <c r="L8871" s="787">
        <v>1</v>
      </c>
      <c r="M8871" s="787">
        <v>10</v>
      </c>
      <c r="N8871" s="787">
        <v>0.16</v>
      </c>
      <c r="O8871" s="788">
        <v>41858</v>
      </c>
    </row>
    <row r="8872" spans="1:15" x14ac:dyDescent="0.25">
      <c r="A8872" s="786" t="s">
        <v>15946</v>
      </c>
      <c r="B8872" s="787">
        <v>4</v>
      </c>
      <c r="C8872" s="787" t="s">
        <v>15947</v>
      </c>
      <c r="D8872" s="787">
        <v>0</v>
      </c>
      <c r="E8872" s="787">
        <v>0</v>
      </c>
      <c r="H8872" s="787">
        <v>1</v>
      </c>
      <c r="I8872" s="788">
        <v>41527</v>
      </c>
      <c r="L8872" s="787">
        <v>1</v>
      </c>
      <c r="M8872" s="787">
        <v>10</v>
      </c>
      <c r="N8872" s="787">
        <v>4.42</v>
      </c>
      <c r="O8872" s="788">
        <v>42146</v>
      </c>
    </row>
    <row r="8873" spans="1:15" x14ac:dyDescent="0.25">
      <c r="A8873" s="786" t="s">
        <v>15948</v>
      </c>
      <c r="B8873" s="787">
        <v>4</v>
      </c>
      <c r="C8873" s="787" t="s">
        <v>15949</v>
      </c>
      <c r="D8873" s="787">
        <v>0</v>
      </c>
      <c r="E8873" s="787">
        <v>0</v>
      </c>
      <c r="H8873" s="787">
        <v>1</v>
      </c>
      <c r="I8873" s="788">
        <v>41527</v>
      </c>
      <c r="L8873" s="787">
        <v>1</v>
      </c>
      <c r="M8873" s="787">
        <v>10</v>
      </c>
      <c r="N8873" s="787">
        <v>4.42</v>
      </c>
      <c r="O8873" s="788">
        <v>42146</v>
      </c>
    </row>
    <row r="8874" spans="1:15" x14ac:dyDescent="0.25">
      <c r="A8874" s="786" t="s">
        <v>15950</v>
      </c>
      <c r="B8874" s="787">
        <v>4</v>
      </c>
      <c r="C8874" s="787" t="s">
        <v>15951</v>
      </c>
      <c r="D8874" s="787">
        <v>0</v>
      </c>
      <c r="E8874" s="787">
        <v>0</v>
      </c>
      <c r="H8874" s="787">
        <v>1</v>
      </c>
      <c r="I8874" s="788">
        <v>42109</v>
      </c>
      <c r="L8874" s="787">
        <v>1</v>
      </c>
      <c r="M8874" s="787">
        <v>10</v>
      </c>
      <c r="N8874" s="787">
        <v>4.42</v>
      </c>
      <c r="O8874" s="788">
        <v>42146</v>
      </c>
    </row>
    <row r="8875" spans="1:15" x14ac:dyDescent="0.25">
      <c r="A8875" s="786" t="s">
        <v>15952</v>
      </c>
      <c r="B8875" s="787">
        <v>4</v>
      </c>
      <c r="C8875" s="787" t="s">
        <v>15953</v>
      </c>
      <c r="D8875" s="787">
        <v>0</v>
      </c>
      <c r="E8875" s="787">
        <v>0</v>
      </c>
      <c r="H8875" s="787">
        <v>1</v>
      </c>
      <c r="I8875" s="788">
        <v>42109</v>
      </c>
      <c r="L8875" s="787">
        <v>1</v>
      </c>
      <c r="M8875" s="787">
        <v>10</v>
      </c>
      <c r="N8875" s="787">
        <v>4.42</v>
      </c>
      <c r="O8875" s="788">
        <v>42146</v>
      </c>
    </row>
    <row r="8876" spans="1:15" x14ac:dyDescent="0.25">
      <c r="A8876" s="786" t="s">
        <v>15954</v>
      </c>
      <c r="B8876" s="787">
        <v>4</v>
      </c>
      <c r="C8876" s="787" t="s">
        <v>15955</v>
      </c>
      <c r="D8876" s="787">
        <v>0</v>
      </c>
      <c r="E8876" s="787">
        <v>0</v>
      </c>
      <c r="H8876" s="787">
        <v>1</v>
      </c>
      <c r="I8876" s="788">
        <v>41527</v>
      </c>
      <c r="L8876" s="787">
        <v>1</v>
      </c>
      <c r="M8876" s="787">
        <v>10</v>
      </c>
      <c r="N8876" s="787">
        <v>4.42</v>
      </c>
      <c r="O8876" s="788">
        <v>42146</v>
      </c>
    </row>
    <row r="8877" spans="1:15" x14ac:dyDescent="0.25">
      <c r="A8877" s="786" t="s">
        <v>15956</v>
      </c>
      <c r="B8877" s="787">
        <v>4</v>
      </c>
      <c r="C8877" s="787" t="s">
        <v>15957</v>
      </c>
      <c r="D8877" s="787">
        <v>0</v>
      </c>
      <c r="E8877" s="787">
        <v>0</v>
      </c>
      <c r="H8877" s="787">
        <v>1</v>
      </c>
      <c r="I8877" s="788">
        <v>41527</v>
      </c>
      <c r="L8877" s="787">
        <v>1</v>
      </c>
      <c r="M8877" s="787">
        <v>10</v>
      </c>
      <c r="N8877" s="787">
        <v>4.42</v>
      </c>
      <c r="O8877" s="788">
        <v>42146</v>
      </c>
    </row>
    <row r="8878" spans="1:15" x14ac:dyDescent="0.25">
      <c r="A8878" s="786" t="s">
        <v>15958</v>
      </c>
      <c r="B8878" s="787">
        <v>4</v>
      </c>
      <c r="C8878" s="787" t="s">
        <v>15959</v>
      </c>
      <c r="D8878" s="787">
        <v>0</v>
      </c>
      <c r="E8878" s="787">
        <v>0</v>
      </c>
      <c r="H8878" s="787">
        <v>1</v>
      </c>
      <c r="L8878" s="787">
        <v>1</v>
      </c>
      <c r="M8878" s="787">
        <v>10</v>
      </c>
      <c r="N8878" s="787">
        <v>4.42</v>
      </c>
      <c r="O8878" s="788">
        <v>41858</v>
      </c>
    </row>
    <row r="8879" spans="1:15" x14ac:dyDescent="0.25">
      <c r="A8879" s="786" t="s">
        <v>15960</v>
      </c>
      <c r="B8879" s="787">
        <v>4</v>
      </c>
      <c r="C8879" s="787" t="s">
        <v>15959</v>
      </c>
      <c r="D8879" s="787">
        <v>0</v>
      </c>
      <c r="E8879" s="787">
        <v>0</v>
      </c>
      <c r="H8879" s="787">
        <v>1</v>
      </c>
      <c r="L8879" s="787">
        <v>1</v>
      </c>
      <c r="M8879" s="787">
        <v>10</v>
      </c>
      <c r="N8879" s="787">
        <v>4.42</v>
      </c>
      <c r="O8879" s="788">
        <v>41858</v>
      </c>
    </row>
    <row r="8880" spans="1:15" x14ac:dyDescent="0.25">
      <c r="A8880" s="786" t="s">
        <v>15961</v>
      </c>
      <c r="B8880" s="787">
        <v>4</v>
      </c>
      <c r="C8880" s="787" t="s">
        <v>15962</v>
      </c>
      <c r="D8880" s="787">
        <v>0</v>
      </c>
      <c r="E8880" s="787">
        <v>0</v>
      </c>
      <c r="H8880" s="787">
        <v>1</v>
      </c>
      <c r="L8880" s="787">
        <v>1</v>
      </c>
      <c r="M8880" s="787">
        <v>10</v>
      </c>
      <c r="N8880" s="787">
        <v>4.42</v>
      </c>
      <c r="O8880" s="788">
        <v>41858</v>
      </c>
    </row>
    <row r="8881" spans="1:15" x14ac:dyDescent="0.25">
      <c r="A8881" s="786" t="s">
        <v>15963</v>
      </c>
      <c r="B8881" s="787">
        <v>4</v>
      </c>
      <c r="C8881" s="787" t="s">
        <v>15964</v>
      </c>
      <c r="D8881" s="787">
        <v>5.18</v>
      </c>
      <c r="E8881" s="787">
        <v>11.58</v>
      </c>
      <c r="F8881" s="788">
        <v>41366</v>
      </c>
      <c r="G8881" s="788">
        <v>42165</v>
      </c>
      <c r="H8881" s="787">
        <v>1</v>
      </c>
      <c r="I8881" s="788">
        <v>42166</v>
      </c>
      <c r="J8881" s="788">
        <v>42165</v>
      </c>
      <c r="K8881" s="788">
        <v>41577</v>
      </c>
      <c r="L8881" s="787">
        <v>12</v>
      </c>
      <c r="M8881" s="787">
        <v>20</v>
      </c>
      <c r="N8881" s="787">
        <v>12.9</v>
      </c>
      <c r="O8881" s="788">
        <v>42047</v>
      </c>
    </row>
    <row r="8882" spans="1:15" x14ac:dyDescent="0.25">
      <c r="A8882" s="786" t="s">
        <v>15965</v>
      </c>
      <c r="B8882" s="787">
        <v>4</v>
      </c>
      <c r="C8882" s="787" t="s">
        <v>15962</v>
      </c>
      <c r="D8882" s="787">
        <v>0</v>
      </c>
      <c r="E8882" s="787">
        <v>0</v>
      </c>
      <c r="H8882" s="787">
        <v>1</v>
      </c>
      <c r="L8882" s="787">
        <v>1</v>
      </c>
      <c r="M8882" s="787">
        <v>10</v>
      </c>
      <c r="N8882" s="787">
        <v>4.42</v>
      </c>
      <c r="O8882" s="788">
        <v>41858</v>
      </c>
    </row>
    <row r="8883" spans="1:15" x14ac:dyDescent="0.25">
      <c r="A8883" s="786" t="s">
        <v>15966</v>
      </c>
      <c r="B8883" s="787">
        <v>4</v>
      </c>
      <c r="C8883" s="787" t="s">
        <v>15967</v>
      </c>
      <c r="D8883" s="787">
        <v>5.08</v>
      </c>
      <c r="E8883" s="787">
        <v>5.08</v>
      </c>
      <c r="F8883" s="788">
        <v>41813</v>
      </c>
      <c r="G8883" s="788">
        <v>42013</v>
      </c>
      <c r="H8883" s="787">
        <v>1</v>
      </c>
      <c r="I8883" s="788">
        <v>42152</v>
      </c>
      <c r="J8883" s="788">
        <v>41425</v>
      </c>
      <c r="L8883" s="787">
        <v>1</v>
      </c>
      <c r="M8883" s="787">
        <v>10</v>
      </c>
      <c r="N8883" s="787">
        <v>3.77</v>
      </c>
      <c r="O8883" s="788">
        <v>42146</v>
      </c>
    </row>
    <row r="8884" spans="1:15" x14ac:dyDescent="0.25">
      <c r="A8884" s="786" t="s">
        <v>15968</v>
      </c>
      <c r="B8884" s="787">
        <v>4</v>
      </c>
      <c r="C8884" s="787" t="s">
        <v>15969</v>
      </c>
      <c r="D8884" s="787">
        <v>0.64</v>
      </c>
      <c r="E8884" s="787">
        <v>0.64</v>
      </c>
      <c r="F8884" s="788">
        <v>41813</v>
      </c>
      <c r="G8884" s="788">
        <v>42013</v>
      </c>
      <c r="H8884" s="787">
        <v>1</v>
      </c>
      <c r="I8884" s="788">
        <v>42152</v>
      </c>
      <c r="J8884" s="788">
        <v>41425</v>
      </c>
      <c r="L8884" s="787">
        <v>1</v>
      </c>
      <c r="M8884" s="787">
        <v>10</v>
      </c>
      <c r="N8884" s="787">
        <v>3.77</v>
      </c>
      <c r="O8884" s="788">
        <v>42146</v>
      </c>
    </row>
    <row r="8885" spans="1:15" x14ac:dyDescent="0.25">
      <c r="A8885" s="786" t="s">
        <v>15970</v>
      </c>
      <c r="B8885" s="787">
        <v>4</v>
      </c>
      <c r="C8885" s="787" t="s">
        <v>15971</v>
      </c>
      <c r="D8885" s="787">
        <v>0.54</v>
      </c>
      <c r="E8885" s="787">
        <v>3.84</v>
      </c>
      <c r="F8885" s="788">
        <v>41467</v>
      </c>
      <c r="G8885" s="788">
        <v>42142</v>
      </c>
      <c r="H8885" s="787">
        <v>1</v>
      </c>
      <c r="I8885" s="788">
        <v>42152</v>
      </c>
      <c r="J8885" s="788">
        <v>42110</v>
      </c>
      <c r="L8885" s="787">
        <v>1</v>
      </c>
      <c r="M8885" s="787">
        <v>10</v>
      </c>
      <c r="N8885" s="787">
        <v>4.6399999999999997</v>
      </c>
      <c r="O8885" s="788">
        <v>42146</v>
      </c>
    </row>
    <row r="8886" spans="1:15" x14ac:dyDescent="0.25">
      <c r="A8886" s="786" t="s">
        <v>15972</v>
      </c>
      <c r="B8886" s="787">
        <v>4</v>
      </c>
      <c r="C8886" s="787" t="s">
        <v>15973</v>
      </c>
      <c r="D8886" s="787">
        <v>3.52</v>
      </c>
      <c r="E8886" s="787">
        <v>3.52</v>
      </c>
      <c r="F8886" s="788">
        <v>42142</v>
      </c>
      <c r="G8886" s="788">
        <v>42142</v>
      </c>
      <c r="H8886" s="787">
        <v>1</v>
      </c>
      <c r="I8886" s="788">
        <v>42152</v>
      </c>
      <c r="J8886" s="788">
        <v>42110</v>
      </c>
      <c r="L8886" s="787">
        <v>1</v>
      </c>
      <c r="M8886" s="787">
        <v>10</v>
      </c>
      <c r="N8886" s="787">
        <v>4.6399999999999997</v>
      </c>
      <c r="O8886" s="788">
        <v>42146</v>
      </c>
    </row>
    <row r="8887" spans="1:15" x14ac:dyDescent="0.25">
      <c r="A8887" s="786" t="s">
        <v>15974</v>
      </c>
      <c r="B8887" s="787">
        <v>4</v>
      </c>
      <c r="C8887" s="787" t="s">
        <v>15975</v>
      </c>
      <c r="D8887" s="787">
        <v>1.42</v>
      </c>
      <c r="E8887" s="787">
        <v>1.42</v>
      </c>
      <c r="F8887" s="788">
        <v>41813</v>
      </c>
      <c r="G8887" s="788">
        <v>42013</v>
      </c>
      <c r="H8887" s="787">
        <v>1</v>
      </c>
      <c r="I8887" s="788">
        <v>41808</v>
      </c>
      <c r="J8887" s="788">
        <v>41431</v>
      </c>
      <c r="L8887" s="787">
        <v>0.01</v>
      </c>
      <c r="M8887" s="787">
        <v>10</v>
      </c>
      <c r="N8887" s="787">
        <v>1.8</v>
      </c>
      <c r="O8887" s="788">
        <v>42146</v>
      </c>
    </row>
    <row r="8888" spans="1:15" x14ac:dyDescent="0.25">
      <c r="A8888" s="786" t="s">
        <v>15976</v>
      </c>
      <c r="B8888" s="787">
        <v>4</v>
      </c>
      <c r="C8888" s="787" t="s">
        <v>15977</v>
      </c>
      <c r="D8888" s="787">
        <v>0.82</v>
      </c>
      <c r="E8888" s="787">
        <v>0.82</v>
      </c>
      <c r="F8888" s="788">
        <v>41813</v>
      </c>
      <c r="G8888" s="788">
        <v>42013</v>
      </c>
      <c r="H8888" s="787">
        <v>1</v>
      </c>
      <c r="I8888" s="788">
        <v>41808</v>
      </c>
      <c r="J8888" s="788">
        <v>41431</v>
      </c>
      <c r="L8888" s="787">
        <v>1</v>
      </c>
      <c r="M8888" s="787">
        <v>10</v>
      </c>
      <c r="N8888" s="787">
        <v>1.8</v>
      </c>
      <c r="O8888" s="788">
        <v>42146</v>
      </c>
    </row>
    <row r="8889" spans="1:15" x14ac:dyDescent="0.25">
      <c r="A8889" s="786" t="s">
        <v>15978</v>
      </c>
      <c r="B8889" s="787">
        <v>4</v>
      </c>
      <c r="C8889" s="787" t="s">
        <v>15979</v>
      </c>
      <c r="D8889" s="787">
        <v>1.29</v>
      </c>
      <c r="E8889" s="787">
        <v>1.29</v>
      </c>
      <c r="F8889" s="788">
        <v>42135</v>
      </c>
      <c r="G8889" s="788">
        <v>42135</v>
      </c>
      <c r="H8889" s="787">
        <v>1</v>
      </c>
      <c r="I8889" s="788">
        <v>42152</v>
      </c>
      <c r="J8889" s="788">
        <v>42103</v>
      </c>
      <c r="K8889" s="788">
        <v>41558</v>
      </c>
      <c r="L8889" s="787">
        <v>4</v>
      </c>
      <c r="M8889" s="787">
        <v>10</v>
      </c>
      <c r="N8889" s="787">
        <v>3.09</v>
      </c>
      <c r="O8889" s="788">
        <v>42146</v>
      </c>
    </row>
    <row r="8890" spans="1:15" x14ac:dyDescent="0.25">
      <c r="A8890" s="786" t="s">
        <v>15980</v>
      </c>
      <c r="B8890" s="787">
        <v>4</v>
      </c>
      <c r="C8890" s="787" t="s">
        <v>15981</v>
      </c>
      <c r="D8890" s="787">
        <v>0.76</v>
      </c>
      <c r="E8890" s="787">
        <v>1.2</v>
      </c>
      <c r="F8890" s="788">
        <v>41613</v>
      </c>
      <c r="G8890" s="788">
        <v>42069</v>
      </c>
      <c r="H8890" s="787">
        <v>1</v>
      </c>
      <c r="I8890" s="788">
        <v>42152</v>
      </c>
      <c r="J8890" s="788">
        <v>42041</v>
      </c>
      <c r="K8890" s="788">
        <v>41558</v>
      </c>
      <c r="L8890" s="787">
        <v>3</v>
      </c>
      <c r="M8890" s="787">
        <v>10</v>
      </c>
      <c r="N8890" s="787">
        <v>2.96</v>
      </c>
      <c r="O8890" s="788">
        <v>42146</v>
      </c>
    </row>
    <row r="8891" spans="1:15" x14ac:dyDescent="0.25">
      <c r="A8891" s="786" t="s">
        <v>15982</v>
      </c>
      <c r="B8891" s="787">
        <v>4</v>
      </c>
      <c r="C8891" s="787" t="s">
        <v>15983</v>
      </c>
      <c r="D8891" s="787">
        <v>0.62</v>
      </c>
      <c r="E8891" s="787">
        <v>0.62</v>
      </c>
      <c r="F8891" s="788">
        <v>41813</v>
      </c>
      <c r="G8891" s="788">
        <v>42013</v>
      </c>
      <c r="H8891" s="787">
        <v>1</v>
      </c>
      <c r="I8891" s="788">
        <v>41808</v>
      </c>
      <c r="J8891" s="788">
        <v>41431</v>
      </c>
      <c r="L8891" s="787">
        <v>1</v>
      </c>
      <c r="M8891" s="787">
        <v>10</v>
      </c>
      <c r="N8891" s="787">
        <v>1.29</v>
      </c>
      <c r="O8891" s="788">
        <v>42146</v>
      </c>
    </row>
    <row r="8892" spans="1:15" x14ac:dyDescent="0.25">
      <c r="A8892" s="786" t="s">
        <v>15984</v>
      </c>
      <c r="B8892" s="787">
        <v>4</v>
      </c>
      <c r="C8892" s="787" t="s">
        <v>15985</v>
      </c>
      <c r="D8892" s="787">
        <v>0</v>
      </c>
      <c r="E8892" s="787">
        <v>0</v>
      </c>
      <c r="H8892" s="787">
        <v>1</v>
      </c>
      <c r="L8892" s="787">
        <v>1</v>
      </c>
      <c r="M8892" s="787">
        <v>10</v>
      </c>
      <c r="N8892" s="787">
        <v>14.27</v>
      </c>
      <c r="O8892" s="788">
        <v>41858</v>
      </c>
    </row>
    <row r="8893" spans="1:15" x14ac:dyDescent="0.25">
      <c r="A8893" s="786" t="s">
        <v>15986</v>
      </c>
      <c r="B8893" s="787">
        <v>4</v>
      </c>
      <c r="C8893" s="787" t="s">
        <v>15987</v>
      </c>
      <c r="D8893" s="787">
        <v>0</v>
      </c>
      <c r="E8893" s="787">
        <v>0</v>
      </c>
      <c r="H8893" s="787">
        <v>1</v>
      </c>
      <c r="I8893" s="788">
        <v>42032</v>
      </c>
      <c r="L8893" s="787">
        <v>1</v>
      </c>
      <c r="M8893" s="787">
        <v>10</v>
      </c>
      <c r="N8893" s="787">
        <v>5.33</v>
      </c>
      <c r="O8893" s="788">
        <v>41858</v>
      </c>
    </row>
    <row r="8894" spans="1:15" x14ac:dyDescent="0.25">
      <c r="A8894" s="786" t="s">
        <v>15988</v>
      </c>
      <c r="B8894" s="787">
        <v>4</v>
      </c>
      <c r="C8894" s="787" t="s">
        <v>15989</v>
      </c>
      <c r="D8894" s="787">
        <v>0.14000000000000001</v>
      </c>
      <c r="E8894" s="787">
        <v>4.49</v>
      </c>
      <c r="F8894" s="788">
        <v>41907</v>
      </c>
      <c r="G8894" s="788">
        <v>41947</v>
      </c>
      <c r="H8894" s="787">
        <v>1</v>
      </c>
      <c r="I8894" s="788">
        <v>42152</v>
      </c>
      <c r="J8894" s="788">
        <v>41939</v>
      </c>
      <c r="L8894" s="787">
        <v>0.01</v>
      </c>
      <c r="M8894" s="787">
        <v>10</v>
      </c>
      <c r="N8894" s="787">
        <v>1.52</v>
      </c>
      <c r="O8894" s="788">
        <v>42146</v>
      </c>
    </row>
    <row r="8895" spans="1:15" x14ac:dyDescent="0.25">
      <c r="A8895" s="786" t="s">
        <v>15990</v>
      </c>
      <c r="B8895" s="787">
        <v>4</v>
      </c>
      <c r="C8895" s="787" t="s">
        <v>15991</v>
      </c>
      <c r="D8895" s="787">
        <v>0.84</v>
      </c>
      <c r="E8895" s="787">
        <v>0.84</v>
      </c>
      <c r="F8895" s="788">
        <v>42160</v>
      </c>
      <c r="G8895" s="788">
        <v>42160</v>
      </c>
      <c r="H8895" s="787">
        <v>1</v>
      </c>
      <c r="I8895" s="788">
        <v>42152</v>
      </c>
      <c r="J8895" s="788">
        <v>42131</v>
      </c>
      <c r="L8895" s="787">
        <v>0.01</v>
      </c>
      <c r="M8895" s="787">
        <v>10</v>
      </c>
      <c r="N8895" s="787">
        <v>3.52</v>
      </c>
      <c r="O8895" s="788">
        <v>42146</v>
      </c>
    </row>
    <row r="8896" spans="1:15" x14ac:dyDescent="0.25">
      <c r="A8896" s="786" t="s">
        <v>15992</v>
      </c>
      <c r="B8896" s="787">
        <v>4</v>
      </c>
      <c r="C8896" s="787" t="s">
        <v>15993</v>
      </c>
      <c r="D8896" s="787">
        <v>1.68</v>
      </c>
      <c r="E8896" s="787">
        <v>4.49</v>
      </c>
      <c r="F8896" s="788">
        <v>41775</v>
      </c>
      <c r="G8896" s="788">
        <v>42160</v>
      </c>
      <c r="H8896" s="787">
        <v>1</v>
      </c>
      <c r="I8896" s="788">
        <v>42152</v>
      </c>
      <c r="J8896" s="788">
        <v>42131</v>
      </c>
      <c r="L8896" s="787">
        <v>0.01</v>
      </c>
      <c r="M8896" s="787">
        <v>10</v>
      </c>
      <c r="N8896" s="787">
        <v>3.52</v>
      </c>
      <c r="O8896" s="788">
        <v>42146</v>
      </c>
    </row>
    <row r="8897" spans="1:15" x14ac:dyDescent="0.25">
      <c r="A8897" s="786" t="s">
        <v>15994</v>
      </c>
      <c r="B8897" s="787">
        <v>4</v>
      </c>
      <c r="C8897" s="787" t="s">
        <v>15995</v>
      </c>
      <c r="D8897" s="787">
        <v>0</v>
      </c>
      <c r="E8897" s="787">
        <v>0</v>
      </c>
      <c r="H8897" s="787">
        <v>1</v>
      </c>
      <c r="I8897" s="788">
        <v>42109</v>
      </c>
      <c r="L8897" s="787">
        <v>0.01</v>
      </c>
      <c r="M8897" s="787">
        <v>10</v>
      </c>
      <c r="N8897" s="787">
        <v>4.97</v>
      </c>
      <c r="O8897" s="788">
        <v>42146</v>
      </c>
    </row>
    <row r="8898" spans="1:15" x14ac:dyDescent="0.25">
      <c r="A8898" s="786" t="s">
        <v>15996</v>
      </c>
      <c r="B8898" s="787">
        <v>4</v>
      </c>
      <c r="C8898" s="787" t="s">
        <v>15997</v>
      </c>
      <c r="D8898" s="787">
        <v>0</v>
      </c>
      <c r="E8898" s="787">
        <v>0</v>
      </c>
      <c r="H8898" s="787">
        <v>1</v>
      </c>
      <c r="I8898" s="788">
        <v>42109</v>
      </c>
      <c r="L8898" s="787">
        <v>0.01</v>
      </c>
      <c r="M8898" s="787">
        <v>10</v>
      </c>
      <c r="N8898" s="787">
        <v>4.97</v>
      </c>
      <c r="O8898" s="788">
        <v>42146</v>
      </c>
    </row>
    <row r="8899" spans="1:15" x14ac:dyDescent="0.25">
      <c r="A8899" s="786" t="s">
        <v>15998</v>
      </c>
      <c r="B8899" s="787">
        <v>4</v>
      </c>
      <c r="C8899" s="787" t="s">
        <v>15999</v>
      </c>
      <c r="D8899" s="787">
        <v>1.02</v>
      </c>
      <c r="E8899" s="787">
        <v>2.2999999999999998</v>
      </c>
      <c r="F8899" s="788">
        <v>41806</v>
      </c>
      <c r="G8899" s="788">
        <v>42142</v>
      </c>
      <c r="H8899" s="787">
        <v>1</v>
      </c>
      <c r="I8899" s="788">
        <v>42152</v>
      </c>
      <c r="J8899" s="788">
        <v>42110</v>
      </c>
      <c r="K8899" s="788">
        <v>41397</v>
      </c>
      <c r="L8899" s="787">
        <v>2.5499999999999998</v>
      </c>
      <c r="M8899" s="787">
        <v>10</v>
      </c>
      <c r="N8899" s="787">
        <v>2.36</v>
      </c>
      <c r="O8899" s="788">
        <v>42146</v>
      </c>
    </row>
    <row r="8900" spans="1:15" x14ac:dyDescent="0.25">
      <c r="A8900" s="786" t="s">
        <v>16000</v>
      </c>
      <c r="B8900" s="787">
        <v>4</v>
      </c>
      <c r="C8900" s="787" t="s">
        <v>16001</v>
      </c>
      <c r="D8900" s="787">
        <v>1.1200000000000001</v>
      </c>
      <c r="E8900" s="787">
        <v>4.24</v>
      </c>
      <c r="F8900" s="788">
        <v>41813</v>
      </c>
      <c r="G8900" s="788">
        <v>41943</v>
      </c>
      <c r="H8900" s="787">
        <v>1</v>
      </c>
      <c r="I8900" s="788">
        <v>42152</v>
      </c>
      <c r="J8900" s="788">
        <v>41697</v>
      </c>
      <c r="K8900" s="788">
        <v>41558</v>
      </c>
      <c r="L8900" s="787">
        <v>3</v>
      </c>
      <c r="M8900" s="787">
        <v>10</v>
      </c>
      <c r="N8900" s="787">
        <v>2.4500000000000002</v>
      </c>
      <c r="O8900" s="788">
        <v>42146</v>
      </c>
    </row>
    <row r="8901" spans="1:15" x14ac:dyDescent="0.25">
      <c r="A8901" s="786" t="s">
        <v>16002</v>
      </c>
      <c r="B8901" s="787">
        <v>4</v>
      </c>
      <c r="C8901" s="787" t="s">
        <v>16003</v>
      </c>
      <c r="D8901" s="787">
        <v>0.99</v>
      </c>
      <c r="E8901" s="787">
        <v>4.24</v>
      </c>
      <c r="F8901" s="788">
        <v>41613</v>
      </c>
      <c r="G8901" s="788">
        <v>42013</v>
      </c>
      <c r="H8901" s="787">
        <v>1</v>
      </c>
      <c r="I8901" s="788">
        <v>42152</v>
      </c>
      <c r="J8901" s="788">
        <v>41592</v>
      </c>
      <c r="K8901" s="788">
        <v>41397</v>
      </c>
      <c r="L8901" s="787">
        <v>2.4900000000000002</v>
      </c>
      <c r="M8901" s="787">
        <v>10</v>
      </c>
      <c r="N8901" s="787">
        <v>2.4500000000000002</v>
      </c>
      <c r="O8901" s="788">
        <v>42146</v>
      </c>
    </row>
    <row r="8902" spans="1:15" x14ac:dyDescent="0.25">
      <c r="A8902" s="786" t="s">
        <v>16004</v>
      </c>
      <c r="B8902" s="787">
        <v>4</v>
      </c>
      <c r="C8902" s="787" t="s">
        <v>16005</v>
      </c>
      <c r="D8902" s="787">
        <v>2.19</v>
      </c>
      <c r="E8902" s="787">
        <v>3.53</v>
      </c>
      <c r="F8902" s="788">
        <v>41467</v>
      </c>
      <c r="G8902" s="788">
        <v>42013</v>
      </c>
      <c r="H8902" s="787">
        <v>1</v>
      </c>
      <c r="I8902" s="788">
        <v>42152</v>
      </c>
      <c r="J8902" s="788">
        <v>41823</v>
      </c>
      <c r="K8902" s="788">
        <v>41397</v>
      </c>
      <c r="L8902" s="787">
        <v>3.02</v>
      </c>
      <c r="M8902" s="787">
        <v>10</v>
      </c>
      <c r="N8902" s="787">
        <v>2.95</v>
      </c>
      <c r="O8902" s="788">
        <v>42146</v>
      </c>
    </row>
    <row r="8903" spans="1:15" x14ac:dyDescent="0.25">
      <c r="A8903" s="786" t="s">
        <v>16006</v>
      </c>
      <c r="B8903" s="787">
        <v>4</v>
      </c>
      <c r="C8903" s="787" t="s">
        <v>16007</v>
      </c>
      <c r="D8903" s="787">
        <v>6.73</v>
      </c>
      <c r="E8903" s="787">
        <v>7.65</v>
      </c>
      <c r="F8903" s="788">
        <v>41813</v>
      </c>
      <c r="G8903" s="788">
        <v>42166</v>
      </c>
      <c r="H8903" s="787">
        <v>1</v>
      </c>
      <c r="I8903" s="788">
        <v>42152</v>
      </c>
      <c r="J8903" s="788">
        <v>42136</v>
      </c>
      <c r="K8903" s="788">
        <v>41397</v>
      </c>
      <c r="L8903" s="787">
        <v>5.34</v>
      </c>
      <c r="M8903" s="787">
        <v>10</v>
      </c>
      <c r="N8903" s="787">
        <v>5.14</v>
      </c>
      <c r="O8903" s="788">
        <v>42146</v>
      </c>
    </row>
    <row r="8904" spans="1:15" x14ac:dyDescent="0.25">
      <c r="A8904" s="786" t="s">
        <v>16008</v>
      </c>
      <c r="B8904" s="787">
        <v>4</v>
      </c>
      <c r="C8904" s="787" t="s">
        <v>16009</v>
      </c>
      <c r="D8904" s="787">
        <v>2.5099999999999998</v>
      </c>
      <c r="E8904" s="787">
        <v>2.5099999999999998</v>
      </c>
      <c r="F8904" s="788">
        <v>42160</v>
      </c>
      <c r="G8904" s="788">
        <v>42160</v>
      </c>
      <c r="H8904" s="787">
        <v>1</v>
      </c>
      <c r="I8904" s="788">
        <v>42152</v>
      </c>
      <c r="J8904" s="788">
        <v>42131</v>
      </c>
      <c r="K8904" s="788">
        <v>41397</v>
      </c>
      <c r="L8904" s="787">
        <v>1.32</v>
      </c>
      <c r="M8904" s="787">
        <v>10</v>
      </c>
      <c r="N8904" s="787">
        <v>1.73</v>
      </c>
      <c r="O8904" s="788">
        <v>42146</v>
      </c>
    </row>
    <row r="8905" spans="1:15" x14ac:dyDescent="0.25">
      <c r="A8905" s="786" t="s">
        <v>16010</v>
      </c>
      <c r="B8905" s="787">
        <v>4</v>
      </c>
      <c r="C8905" s="787" t="s">
        <v>16011</v>
      </c>
      <c r="D8905" s="787">
        <v>3.95</v>
      </c>
      <c r="E8905" s="787">
        <v>3.95</v>
      </c>
      <c r="F8905" s="788">
        <v>41946</v>
      </c>
      <c r="G8905" s="788">
        <v>42013</v>
      </c>
      <c r="H8905" s="787">
        <v>1</v>
      </c>
      <c r="I8905" s="788">
        <v>42152</v>
      </c>
      <c r="J8905" s="788">
        <v>41943</v>
      </c>
      <c r="K8905" s="788">
        <v>41969</v>
      </c>
      <c r="L8905" s="787">
        <v>2.1</v>
      </c>
      <c r="M8905" s="787">
        <v>20</v>
      </c>
      <c r="N8905" s="787">
        <v>2.2599999999999998</v>
      </c>
      <c r="O8905" s="788">
        <v>42146</v>
      </c>
    </row>
    <row r="8906" spans="1:15" x14ac:dyDescent="0.25">
      <c r="A8906" s="786" t="s">
        <v>16012</v>
      </c>
      <c r="B8906" s="787">
        <v>4</v>
      </c>
      <c r="C8906" s="787" t="s">
        <v>16013</v>
      </c>
      <c r="D8906" s="787">
        <v>3.44</v>
      </c>
      <c r="E8906" s="787">
        <v>3.44</v>
      </c>
      <c r="F8906" s="788">
        <v>41957</v>
      </c>
      <c r="G8906" s="788">
        <v>42013</v>
      </c>
      <c r="H8906" s="787">
        <v>1</v>
      </c>
      <c r="I8906" s="788">
        <v>42152</v>
      </c>
      <c r="J8906" s="788">
        <v>41930</v>
      </c>
      <c r="K8906" s="788">
        <v>41397</v>
      </c>
      <c r="L8906" s="787">
        <v>3.52</v>
      </c>
      <c r="M8906" s="787">
        <v>10</v>
      </c>
      <c r="N8906" s="787">
        <v>3.77</v>
      </c>
      <c r="O8906" s="788">
        <v>42146</v>
      </c>
    </row>
    <row r="8907" spans="1:15" x14ac:dyDescent="0.25">
      <c r="A8907" s="786" t="s">
        <v>16014</v>
      </c>
      <c r="B8907" s="787">
        <v>4</v>
      </c>
      <c r="C8907" s="787" t="s">
        <v>16015</v>
      </c>
      <c r="D8907" s="787">
        <v>2.12</v>
      </c>
      <c r="E8907" s="787">
        <v>4.63</v>
      </c>
      <c r="F8907" s="788">
        <v>41775</v>
      </c>
      <c r="G8907" s="788">
        <v>42013</v>
      </c>
      <c r="H8907" s="787">
        <v>1</v>
      </c>
      <c r="I8907" s="788">
        <v>42152</v>
      </c>
      <c r="J8907" s="788">
        <v>41939</v>
      </c>
      <c r="K8907" s="788">
        <v>41397</v>
      </c>
      <c r="L8907" s="787">
        <v>3.52</v>
      </c>
      <c r="M8907" s="787">
        <v>10</v>
      </c>
      <c r="N8907" s="787">
        <v>3.77</v>
      </c>
      <c r="O8907" s="788">
        <v>42146</v>
      </c>
    </row>
    <row r="8908" spans="1:15" x14ac:dyDescent="0.25">
      <c r="A8908" s="786" t="s">
        <v>16016</v>
      </c>
      <c r="B8908" s="787">
        <v>4</v>
      </c>
      <c r="C8908" s="787" t="s">
        <v>16017</v>
      </c>
      <c r="D8908" s="787">
        <v>0</v>
      </c>
      <c r="E8908" s="787">
        <v>0</v>
      </c>
      <c r="H8908" s="787">
        <v>1</v>
      </c>
      <c r="I8908" s="788">
        <v>41527</v>
      </c>
      <c r="K8908" s="788">
        <v>41397</v>
      </c>
      <c r="L8908" s="787">
        <v>4.7300000000000004</v>
      </c>
      <c r="M8908" s="787">
        <v>10</v>
      </c>
      <c r="N8908" s="787">
        <v>4.6399999999999997</v>
      </c>
      <c r="O8908" s="788">
        <v>41858</v>
      </c>
    </row>
    <row r="8909" spans="1:15" x14ac:dyDescent="0.25">
      <c r="A8909" s="786" t="s">
        <v>16018</v>
      </c>
      <c r="B8909" s="787">
        <v>4</v>
      </c>
      <c r="C8909" s="787" t="s">
        <v>16019</v>
      </c>
      <c r="D8909" s="787">
        <v>0</v>
      </c>
      <c r="E8909" s="787">
        <v>0</v>
      </c>
      <c r="H8909" s="787">
        <v>1</v>
      </c>
      <c r="K8909" s="788">
        <v>41397</v>
      </c>
      <c r="L8909" s="787">
        <v>4.7300000000000004</v>
      </c>
      <c r="M8909" s="787">
        <v>10</v>
      </c>
      <c r="N8909" s="787">
        <v>4.6399999999999997</v>
      </c>
      <c r="O8909" s="788">
        <v>41858</v>
      </c>
    </row>
    <row r="8910" spans="1:15" x14ac:dyDescent="0.25">
      <c r="A8910" s="786" t="s">
        <v>16020</v>
      </c>
      <c r="B8910" s="787">
        <v>4</v>
      </c>
      <c r="C8910" s="787" t="s">
        <v>16021</v>
      </c>
      <c r="D8910" s="787">
        <v>0</v>
      </c>
      <c r="E8910" s="787">
        <v>0</v>
      </c>
      <c r="H8910" s="787">
        <v>1</v>
      </c>
      <c r="I8910" s="788">
        <v>41527</v>
      </c>
      <c r="K8910" s="788">
        <v>41397</v>
      </c>
      <c r="L8910" s="787">
        <v>4.7300000000000004</v>
      </c>
      <c r="M8910" s="787">
        <v>10</v>
      </c>
      <c r="N8910" s="787">
        <v>4.6399999999999997</v>
      </c>
      <c r="O8910" s="788">
        <v>41858</v>
      </c>
    </row>
    <row r="8911" spans="1:15" x14ac:dyDescent="0.25">
      <c r="A8911" s="786" t="s">
        <v>16022</v>
      </c>
      <c r="B8911" s="787">
        <v>4</v>
      </c>
      <c r="C8911" s="787" t="s">
        <v>16023</v>
      </c>
      <c r="D8911" s="787">
        <v>0</v>
      </c>
      <c r="E8911" s="787">
        <v>0</v>
      </c>
      <c r="H8911" s="787">
        <v>1</v>
      </c>
      <c r="I8911" s="788">
        <v>41527</v>
      </c>
      <c r="L8911" s="787">
        <v>1</v>
      </c>
      <c r="M8911" s="787">
        <v>10</v>
      </c>
      <c r="N8911" s="787">
        <v>4.03</v>
      </c>
      <c r="O8911" s="788">
        <v>42146</v>
      </c>
    </row>
    <row r="8912" spans="1:15" x14ac:dyDescent="0.25">
      <c r="A8912" s="786" t="s">
        <v>16024</v>
      </c>
      <c r="B8912" s="787">
        <v>4</v>
      </c>
      <c r="C8912" s="787" t="s">
        <v>16025</v>
      </c>
      <c r="D8912" s="787">
        <v>0</v>
      </c>
      <c r="E8912" s="787">
        <v>0</v>
      </c>
      <c r="H8912" s="787">
        <v>1</v>
      </c>
      <c r="I8912" s="788">
        <v>41527</v>
      </c>
      <c r="K8912" s="788">
        <v>41397</v>
      </c>
      <c r="L8912" s="787">
        <v>4.08</v>
      </c>
      <c r="M8912" s="787">
        <v>10</v>
      </c>
      <c r="N8912" s="787">
        <v>4.03</v>
      </c>
      <c r="O8912" s="788">
        <v>42146</v>
      </c>
    </row>
    <row r="8913" spans="1:15" x14ac:dyDescent="0.25">
      <c r="A8913" s="786" t="s">
        <v>16026</v>
      </c>
      <c r="B8913" s="787">
        <v>4</v>
      </c>
      <c r="C8913" s="787" t="s">
        <v>16027</v>
      </c>
      <c r="D8913" s="787">
        <v>0</v>
      </c>
      <c r="E8913" s="787">
        <v>0</v>
      </c>
      <c r="H8913" s="787">
        <v>1</v>
      </c>
      <c r="I8913" s="788">
        <v>41527</v>
      </c>
      <c r="K8913" s="788">
        <v>41397</v>
      </c>
      <c r="L8913" s="787">
        <v>4.08</v>
      </c>
      <c r="M8913" s="787">
        <v>10</v>
      </c>
      <c r="N8913" s="787">
        <v>4.03</v>
      </c>
      <c r="O8913" s="788">
        <v>42146</v>
      </c>
    </row>
    <row r="8914" spans="1:15" x14ac:dyDescent="0.25">
      <c r="A8914" s="786" t="s">
        <v>16028</v>
      </c>
      <c r="B8914" s="787">
        <v>4</v>
      </c>
      <c r="C8914" s="787" t="s">
        <v>16029</v>
      </c>
      <c r="D8914" s="787">
        <v>1.38</v>
      </c>
      <c r="E8914" s="787">
        <v>7.98</v>
      </c>
      <c r="F8914" s="788">
        <v>41831</v>
      </c>
      <c r="G8914" s="788">
        <v>42135</v>
      </c>
      <c r="H8914" s="787">
        <v>1</v>
      </c>
      <c r="I8914" s="788">
        <v>42152</v>
      </c>
      <c r="J8914" s="788">
        <v>42103</v>
      </c>
      <c r="K8914" s="788">
        <v>41869</v>
      </c>
      <c r="L8914" s="787">
        <v>1.38</v>
      </c>
      <c r="M8914" s="787">
        <v>20</v>
      </c>
      <c r="N8914" s="787">
        <v>1.48</v>
      </c>
      <c r="O8914" s="788">
        <v>42146</v>
      </c>
    </row>
    <row r="8915" spans="1:15" x14ac:dyDescent="0.25">
      <c r="A8915" s="786" t="s">
        <v>16030</v>
      </c>
      <c r="B8915" s="787">
        <v>4</v>
      </c>
      <c r="C8915" s="787" t="s">
        <v>16031</v>
      </c>
      <c r="D8915" s="787">
        <v>5.97</v>
      </c>
      <c r="E8915" s="787">
        <v>20.2</v>
      </c>
      <c r="F8915" s="788">
        <v>41418</v>
      </c>
      <c r="G8915" s="788">
        <v>42165</v>
      </c>
      <c r="H8915" s="787">
        <v>1</v>
      </c>
      <c r="I8915" s="788">
        <v>42152</v>
      </c>
      <c r="J8915" s="788">
        <v>42146</v>
      </c>
      <c r="K8915" s="788">
        <v>41393</v>
      </c>
      <c r="L8915" s="787">
        <v>15.97</v>
      </c>
      <c r="M8915" s="787">
        <v>20</v>
      </c>
      <c r="N8915" s="787">
        <v>17.170000000000002</v>
      </c>
      <c r="O8915" s="788">
        <v>42146</v>
      </c>
    </row>
    <row r="8916" spans="1:15" x14ac:dyDescent="0.25">
      <c r="A8916" s="786" t="s">
        <v>16032</v>
      </c>
      <c r="B8916" s="787">
        <v>4</v>
      </c>
      <c r="C8916" s="787" t="s">
        <v>16033</v>
      </c>
      <c r="D8916" s="787">
        <v>5.97</v>
      </c>
      <c r="E8916" s="787">
        <v>20.2</v>
      </c>
      <c r="F8916" s="788">
        <v>41418</v>
      </c>
      <c r="G8916" s="788">
        <v>42165</v>
      </c>
      <c r="H8916" s="787">
        <v>1</v>
      </c>
      <c r="I8916" s="788">
        <v>42152</v>
      </c>
      <c r="J8916" s="788">
        <v>42146</v>
      </c>
      <c r="K8916" s="788">
        <v>41393</v>
      </c>
      <c r="L8916" s="787">
        <v>15.97</v>
      </c>
      <c r="M8916" s="787">
        <v>20</v>
      </c>
      <c r="N8916" s="787">
        <v>17.170000000000002</v>
      </c>
      <c r="O8916" s="788">
        <v>42146</v>
      </c>
    </row>
    <row r="8917" spans="1:15" x14ac:dyDescent="0.25">
      <c r="A8917" s="786" t="s">
        <v>16034</v>
      </c>
      <c r="B8917" s="787">
        <v>4</v>
      </c>
      <c r="C8917" s="787" t="s">
        <v>16035</v>
      </c>
      <c r="D8917" s="787">
        <v>0.67</v>
      </c>
      <c r="E8917" s="787">
        <v>0.67</v>
      </c>
      <c r="F8917" s="788">
        <v>42072</v>
      </c>
      <c r="G8917" s="788">
        <v>42072</v>
      </c>
      <c r="H8917" s="787">
        <v>1</v>
      </c>
      <c r="I8917" s="788">
        <v>42152</v>
      </c>
      <c r="J8917" s="788">
        <v>42041</v>
      </c>
      <c r="K8917" s="788">
        <v>41397</v>
      </c>
      <c r="L8917" s="787">
        <v>2.2599999999999998</v>
      </c>
      <c r="M8917" s="787">
        <v>10</v>
      </c>
      <c r="N8917" s="787">
        <v>2.25</v>
      </c>
      <c r="O8917" s="788">
        <v>42146</v>
      </c>
    </row>
    <row r="8918" spans="1:15" x14ac:dyDescent="0.25">
      <c r="A8918" s="786" t="s">
        <v>16036</v>
      </c>
      <c r="B8918" s="787">
        <v>4</v>
      </c>
      <c r="C8918" s="787" t="s">
        <v>16037</v>
      </c>
      <c r="D8918" s="787">
        <v>2.2000000000000002</v>
      </c>
      <c r="E8918" s="787">
        <v>16</v>
      </c>
      <c r="F8918" s="788">
        <v>41418</v>
      </c>
      <c r="G8918" s="788">
        <v>42051</v>
      </c>
      <c r="H8918" s="787">
        <v>1</v>
      </c>
      <c r="I8918" s="788">
        <v>42046</v>
      </c>
      <c r="J8918" s="788">
        <v>42051</v>
      </c>
      <c r="K8918" s="788">
        <v>41754</v>
      </c>
      <c r="L8918" s="787">
        <v>16</v>
      </c>
      <c r="M8918" s="787">
        <v>20</v>
      </c>
      <c r="N8918" s="787">
        <v>17.2</v>
      </c>
      <c r="O8918" s="788">
        <v>42146</v>
      </c>
    </row>
    <row r="8919" spans="1:15" x14ac:dyDescent="0.25">
      <c r="A8919" s="786" t="s">
        <v>16038</v>
      </c>
      <c r="B8919" s="787">
        <v>4</v>
      </c>
      <c r="C8919" s="787" t="s">
        <v>16039</v>
      </c>
      <c r="D8919" s="787">
        <v>1.71</v>
      </c>
      <c r="E8919" s="787">
        <v>11.71</v>
      </c>
      <c r="F8919" s="788">
        <v>42053</v>
      </c>
      <c r="G8919" s="788">
        <v>42053</v>
      </c>
      <c r="H8919" s="787">
        <v>1</v>
      </c>
      <c r="I8919" s="788">
        <v>42152</v>
      </c>
      <c r="J8919" s="788">
        <v>42023</v>
      </c>
      <c r="K8919" s="788">
        <v>41397</v>
      </c>
      <c r="L8919" s="787">
        <v>7.49</v>
      </c>
      <c r="M8919" s="787">
        <v>10</v>
      </c>
      <c r="N8919" s="787">
        <v>8.31</v>
      </c>
      <c r="O8919" s="788">
        <v>42146</v>
      </c>
    </row>
    <row r="8920" spans="1:15" x14ac:dyDescent="0.25">
      <c r="A8920" s="786" t="s">
        <v>16040</v>
      </c>
      <c r="B8920" s="787">
        <v>4</v>
      </c>
      <c r="C8920" s="787" t="s">
        <v>16041</v>
      </c>
      <c r="D8920" s="787">
        <v>6.73</v>
      </c>
      <c r="E8920" s="787">
        <v>9.23</v>
      </c>
      <c r="F8920" s="788">
        <v>41453</v>
      </c>
      <c r="G8920" s="788">
        <v>42053</v>
      </c>
      <c r="H8920" s="787">
        <v>1</v>
      </c>
      <c r="I8920" s="788">
        <v>42152</v>
      </c>
      <c r="J8920" s="788">
        <v>42023</v>
      </c>
      <c r="K8920" s="788">
        <v>41397</v>
      </c>
      <c r="L8920" s="787">
        <v>7.49</v>
      </c>
      <c r="M8920" s="787">
        <v>10</v>
      </c>
      <c r="N8920" s="787">
        <v>8.31</v>
      </c>
      <c r="O8920" s="788">
        <v>42146</v>
      </c>
    </row>
    <row r="8921" spans="1:15" x14ac:dyDescent="0.25">
      <c r="A8921" s="786" t="s">
        <v>16042</v>
      </c>
      <c r="B8921" s="787">
        <v>4</v>
      </c>
      <c r="C8921" s="787" t="s">
        <v>16043</v>
      </c>
      <c r="D8921" s="787">
        <v>4.5</v>
      </c>
      <c r="E8921" s="787">
        <v>4.8</v>
      </c>
      <c r="F8921" s="788">
        <v>41709</v>
      </c>
      <c r="G8921" s="788">
        <v>42142</v>
      </c>
      <c r="H8921" s="787">
        <v>1</v>
      </c>
      <c r="I8921" s="788">
        <v>42152</v>
      </c>
      <c r="J8921" s="788">
        <v>42124</v>
      </c>
      <c r="K8921" s="788">
        <v>41690</v>
      </c>
      <c r="L8921" s="787">
        <v>4.5</v>
      </c>
      <c r="M8921" s="787">
        <v>20</v>
      </c>
      <c r="N8921" s="787">
        <v>4.84</v>
      </c>
      <c r="O8921" s="788">
        <v>42146</v>
      </c>
    </row>
    <row r="8922" spans="1:15" x14ac:dyDescent="0.25">
      <c r="A8922" s="786" t="s">
        <v>16044</v>
      </c>
      <c r="B8922" s="787">
        <v>4</v>
      </c>
      <c r="C8922" s="787" t="s">
        <v>16045</v>
      </c>
      <c r="D8922" s="787">
        <v>4.5</v>
      </c>
      <c r="E8922" s="787">
        <v>4.8</v>
      </c>
      <c r="F8922" s="788">
        <v>41709</v>
      </c>
      <c r="G8922" s="788">
        <v>42142</v>
      </c>
      <c r="H8922" s="787">
        <v>1</v>
      </c>
      <c r="I8922" s="788">
        <v>42152</v>
      </c>
      <c r="J8922" s="788">
        <v>42124</v>
      </c>
      <c r="K8922" s="788">
        <v>41690</v>
      </c>
      <c r="L8922" s="787">
        <v>4.5</v>
      </c>
      <c r="M8922" s="787">
        <v>20</v>
      </c>
      <c r="N8922" s="787">
        <v>4.84</v>
      </c>
      <c r="O8922" s="788">
        <v>42146</v>
      </c>
    </row>
    <row r="8923" spans="1:15" x14ac:dyDescent="0.25">
      <c r="A8923" s="786" t="s">
        <v>16046</v>
      </c>
      <c r="B8923" s="787">
        <v>4</v>
      </c>
      <c r="C8923" s="787" t="s">
        <v>16047</v>
      </c>
      <c r="D8923" s="787">
        <v>0.4</v>
      </c>
      <c r="E8923" s="787">
        <v>0.4</v>
      </c>
      <c r="F8923" s="788">
        <v>41957</v>
      </c>
      <c r="G8923" s="788">
        <v>42013</v>
      </c>
      <c r="H8923" s="787">
        <v>1</v>
      </c>
      <c r="I8923" s="788">
        <v>41808</v>
      </c>
      <c r="J8923" s="788">
        <v>41930</v>
      </c>
      <c r="L8923" s="787">
        <v>1</v>
      </c>
      <c r="M8923" s="787">
        <v>10</v>
      </c>
      <c r="N8923" s="787">
        <v>1.31</v>
      </c>
      <c r="O8923" s="788">
        <v>42146</v>
      </c>
    </row>
    <row r="8924" spans="1:15" x14ac:dyDescent="0.25">
      <c r="A8924" s="786" t="s">
        <v>16048</v>
      </c>
      <c r="B8924" s="787">
        <v>4</v>
      </c>
      <c r="C8924" s="787" t="s">
        <v>16049</v>
      </c>
      <c r="D8924" s="787">
        <v>2.74</v>
      </c>
      <c r="E8924" s="787">
        <v>12.74</v>
      </c>
      <c r="F8924" s="788">
        <v>42053</v>
      </c>
      <c r="G8924" s="788">
        <v>42053</v>
      </c>
      <c r="H8924" s="787">
        <v>1</v>
      </c>
      <c r="I8924" s="788">
        <v>41527</v>
      </c>
      <c r="J8924" s="788">
        <v>42023</v>
      </c>
      <c r="L8924" s="787">
        <v>1</v>
      </c>
      <c r="M8924" s="787">
        <v>10</v>
      </c>
      <c r="N8924" s="787">
        <v>5.13</v>
      </c>
      <c r="O8924" s="788">
        <v>42146</v>
      </c>
    </row>
    <row r="8925" spans="1:15" x14ac:dyDescent="0.25">
      <c r="A8925" s="786" t="s">
        <v>16050</v>
      </c>
      <c r="B8925" s="787">
        <v>4</v>
      </c>
      <c r="C8925" s="787" t="s">
        <v>16051</v>
      </c>
      <c r="D8925" s="787">
        <v>0.7</v>
      </c>
      <c r="E8925" s="787">
        <v>0.7</v>
      </c>
      <c r="F8925" s="788">
        <v>41957</v>
      </c>
      <c r="G8925" s="788">
        <v>42013</v>
      </c>
      <c r="H8925" s="787">
        <v>1</v>
      </c>
      <c r="I8925" s="788">
        <v>42152</v>
      </c>
      <c r="J8925" s="788">
        <v>41930</v>
      </c>
      <c r="L8925" s="787">
        <v>1</v>
      </c>
      <c r="M8925" s="787">
        <v>10</v>
      </c>
      <c r="N8925" s="787">
        <v>1.87</v>
      </c>
      <c r="O8925" s="788">
        <v>42146</v>
      </c>
    </row>
    <row r="8926" spans="1:15" x14ac:dyDescent="0.25">
      <c r="A8926" s="786" t="s">
        <v>16052</v>
      </c>
      <c r="B8926" s="787">
        <v>4</v>
      </c>
      <c r="C8926" s="787" t="s">
        <v>12485</v>
      </c>
      <c r="D8926" s="787">
        <v>0.2</v>
      </c>
      <c r="E8926" s="787">
        <v>0.2</v>
      </c>
      <c r="F8926" s="788">
        <v>41453</v>
      </c>
      <c r="G8926" s="788">
        <v>42013</v>
      </c>
      <c r="H8926" s="787">
        <v>1</v>
      </c>
      <c r="I8926" s="788">
        <v>42152</v>
      </c>
      <c r="J8926" s="788">
        <v>41421</v>
      </c>
      <c r="L8926" s="787">
        <v>1</v>
      </c>
      <c r="M8926" s="787">
        <v>10</v>
      </c>
      <c r="N8926" s="787">
        <v>1.29</v>
      </c>
      <c r="O8926" s="788">
        <v>42146</v>
      </c>
    </row>
    <row r="8927" spans="1:15" x14ac:dyDescent="0.25">
      <c r="A8927" s="786" t="s">
        <v>16053</v>
      </c>
      <c r="B8927" s="787">
        <v>4</v>
      </c>
      <c r="C8927" s="787" t="s">
        <v>12491</v>
      </c>
      <c r="D8927" s="787">
        <v>0.74</v>
      </c>
      <c r="E8927" s="787">
        <v>0.74</v>
      </c>
      <c r="F8927" s="788">
        <v>41939</v>
      </c>
      <c r="G8927" s="788">
        <v>42013</v>
      </c>
      <c r="H8927" s="787">
        <v>1</v>
      </c>
      <c r="I8927" s="788">
        <v>42152</v>
      </c>
      <c r="J8927" s="788">
        <v>41925</v>
      </c>
      <c r="K8927" s="788">
        <v>41704</v>
      </c>
      <c r="L8927" s="787">
        <v>0.57999999999999996</v>
      </c>
      <c r="M8927" s="787">
        <v>20</v>
      </c>
      <c r="N8927" s="787">
        <v>0.62</v>
      </c>
      <c r="O8927" s="788">
        <v>42146</v>
      </c>
    </row>
    <row r="8928" spans="1:15" x14ac:dyDescent="0.25">
      <c r="A8928" s="786" t="s">
        <v>16054</v>
      </c>
      <c r="B8928" s="787">
        <v>4</v>
      </c>
      <c r="C8928" s="787" t="s">
        <v>16055</v>
      </c>
      <c r="D8928" s="787">
        <v>0</v>
      </c>
      <c r="E8928" s="787">
        <v>0</v>
      </c>
      <c r="H8928" s="787">
        <v>1</v>
      </c>
      <c r="I8928" s="788">
        <v>42109</v>
      </c>
      <c r="L8928" s="787">
        <v>1</v>
      </c>
      <c r="M8928" s="787">
        <v>10</v>
      </c>
      <c r="N8928" s="787">
        <v>13.12</v>
      </c>
      <c r="O8928" s="788">
        <v>42146</v>
      </c>
    </row>
    <row r="8929" spans="1:15" x14ac:dyDescent="0.25">
      <c r="A8929" s="786" t="s">
        <v>16056</v>
      </c>
      <c r="B8929" s="787">
        <v>4</v>
      </c>
      <c r="C8929" s="787" t="s">
        <v>14427</v>
      </c>
      <c r="D8929" s="787">
        <v>0</v>
      </c>
      <c r="E8929" s="787">
        <v>0</v>
      </c>
      <c r="H8929" s="787">
        <v>1</v>
      </c>
      <c r="I8929" s="788">
        <v>41687</v>
      </c>
      <c r="L8929" s="787">
        <v>1</v>
      </c>
      <c r="M8929" s="787">
        <v>10</v>
      </c>
      <c r="N8929" s="787">
        <v>13.12</v>
      </c>
      <c r="O8929" s="788">
        <v>42146</v>
      </c>
    </row>
    <row r="8930" spans="1:15" x14ac:dyDescent="0.25">
      <c r="A8930" s="786" t="s">
        <v>16057</v>
      </c>
      <c r="B8930" s="787">
        <v>4</v>
      </c>
      <c r="C8930" s="787" t="s">
        <v>16058</v>
      </c>
      <c r="D8930" s="787">
        <v>0</v>
      </c>
      <c r="E8930" s="787">
        <v>0</v>
      </c>
      <c r="H8930" s="787">
        <v>1</v>
      </c>
      <c r="L8930" s="787">
        <v>1</v>
      </c>
      <c r="M8930" s="787">
        <v>10</v>
      </c>
      <c r="N8930" s="787">
        <v>13.12</v>
      </c>
      <c r="O8930" s="788">
        <v>41858</v>
      </c>
    </row>
    <row r="8931" spans="1:15" x14ac:dyDescent="0.25">
      <c r="A8931" s="786" t="s">
        <v>16059</v>
      </c>
      <c r="B8931" s="787">
        <v>4</v>
      </c>
      <c r="C8931" s="787" t="s">
        <v>14429</v>
      </c>
      <c r="D8931" s="787">
        <v>0</v>
      </c>
      <c r="E8931" s="787">
        <v>0</v>
      </c>
      <c r="H8931" s="787">
        <v>1</v>
      </c>
      <c r="I8931" s="788">
        <v>41687</v>
      </c>
      <c r="L8931" s="787">
        <v>1</v>
      </c>
      <c r="M8931" s="787">
        <v>10</v>
      </c>
      <c r="N8931" s="787">
        <v>13.12</v>
      </c>
      <c r="O8931" s="788">
        <v>42146</v>
      </c>
    </row>
    <row r="8932" spans="1:15" x14ac:dyDescent="0.25">
      <c r="A8932" s="786" t="s">
        <v>16060</v>
      </c>
      <c r="B8932" s="787">
        <v>4</v>
      </c>
      <c r="C8932" s="787" t="s">
        <v>16061</v>
      </c>
      <c r="D8932" s="787">
        <v>0</v>
      </c>
      <c r="E8932" s="787">
        <v>0</v>
      </c>
      <c r="H8932" s="787">
        <v>1</v>
      </c>
      <c r="I8932" s="788">
        <v>41527</v>
      </c>
      <c r="L8932" s="787">
        <v>1</v>
      </c>
      <c r="M8932" s="787">
        <v>10</v>
      </c>
      <c r="N8932" s="787">
        <v>11.8</v>
      </c>
      <c r="O8932" s="788">
        <v>42146</v>
      </c>
    </row>
    <row r="8933" spans="1:15" x14ac:dyDescent="0.25">
      <c r="A8933" s="786" t="s">
        <v>16062</v>
      </c>
      <c r="B8933" s="787">
        <v>4</v>
      </c>
      <c r="C8933" s="787" t="s">
        <v>16063</v>
      </c>
      <c r="D8933" s="787">
        <v>0</v>
      </c>
      <c r="E8933" s="787">
        <v>0</v>
      </c>
      <c r="H8933" s="787">
        <v>1</v>
      </c>
      <c r="I8933" s="788">
        <v>41527</v>
      </c>
      <c r="L8933" s="787">
        <v>1</v>
      </c>
      <c r="M8933" s="787">
        <v>10</v>
      </c>
      <c r="N8933" s="787">
        <v>11.8</v>
      </c>
      <c r="O8933" s="788">
        <v>42146</v>
      </c>
    </row>
    <row r="8934" spans="1:15" x14ac:dyDescent="0.25">
      <c r="A8934" s="786" t="s">
        <v>16064</v>
      </c>
      <c r="B8934" s="787">
        <v>4</v>
      </c>
      <c r="C8934" s="787" t="s">
        <v>16065</v>
      </c>
      <c r="D8934" s="787">
        <v>0</v>
      </c>
      <c r="E8934" s="787">
        <v>0</v>
      </c>
      <c r="H8934" s="787">
        <v>1</v>
      </c>
      <c r="I8934" s="788">
        <v>42109</v>
      </c>
      <c r="L8934" s="787">
        <v>1</v>
      </c>
      <c r="M8934" s="787">
        <v>10</v>
      </c>
      <c r="N8934" s="787">
        <v>11.8</v>
      </c>
      <c r="O8934" s="788">
        <v>42146</v>
      </c>
    </row>
    <row r="8935" spans="1:15" x14ac:dyDescent="0.25">
      <c r="A8935" s="786" t="s">
        <v>16066</v>
      </c>
      <c r="B8935" s="787">
        <v>4</v>
      </c>
      <c r="C8935" s="787" t="s">
        <v>16067</v>
      </c>
      <c r="D8935" s="787">
        <v>0</v>
      </c>
      <c r="E8935" s="787">
        <v>0</v>
      </c>
      <c r="H8935" s="787">
        <v>1</v>
      </c>
      <c r="I8935" s="788">
        <v>41527</v>
      </c>
      <c r="L8935" s="787">
        <v>1</v>
      </c>
      <c r="M8935" s="787">
        <v>10</v>
      </c>
      <c r="N8935" s="787">
        <v>11.8</v>
      </c>
      <c r="O8935" s="788">
        <v>42146</v>
      </c>
    </row>
    <row r="8936" spans="1:15" x14ac:dyDescent="0.25">
      <c r="A8936" s="786" t="s">
        <v>16068</v>
      </c>
      <c r="B8936" s="787">
        <v>4</v>
      </c>
      <c r="C8936" s="787" t="s">
        <v>16069</v>
      </c>
      <c r="D8936" s="787">
        <v>0</v>
      </c>
      <c r="E8936" s="787">
        <v>0</v>
      </c>
      <c r="H8936" s="787">
        <v>1</v>
      </c>
      <c r="I8936" s="788">
        <v>42109</v>
      </c>
      <c r="L8936" s="787">
        <v>1</v>
      </c>
      <c r="M8936" s="787">
        <v>10</v>
      </c>
      <c r="N8936" s="787">
        <v>11.8</v>
      </c>
      <c r="O8936" s="788">
        <v>42146</v>
      </c>
    </row>
    <row r="8937" spans="1:15" x14ac:dyDescent="0.25">
      <c r="A8937" s="786" t="s">
        <v>16070</v>
      </c>
      <c r="B8937" s="787">
        <v>4</v>
      </c>
      <c r="C8937" s="787" t="s">
        <v>16071</v>
      </c>
      <c r="D8937" s="787">
        <v>2.2999999999999998</v>
      </c>
      <c r="E8937" s="787">
        <v>2.2999999999999998</v>
      </c>
      <c r="F8937" s="788">
        <v>42157</v>
      </c>
      <c r="G8937" s="788">
        <v>42158</v>
      </c>
      <c r="H8937" s="787">
        <v>1</v>
      </c>
      <c r="I8937" s="788">
        <v>42152</v>
      </c>
      <c r="J8937" s="788">
        <v>42144</v>
      </c>
      <c r="K8937" s="788">
        <v>41547</v>
      </c>
      <c r="L8937" s="787">
        <v>2.2999999999999998</v>
      </c>
      <c r="M8937" s="787">
        <v>20</v>
      </c>
      <c r="N8937" s="787">
        <v>2.4300000000000002</v>
      </c>
      <c r="O8937" s="788">
        <v>42026</v>
      </c>
    </row>
    <row r="8938" spans="1:15" x14ac:dyDescent="0.25">
      <c r="A8938" s="786" t="s">
        <v>16072</v>
      </c>
      <c r="B8938" s="787">
        <v>4</v>
      </c>
      <c r="C8938" s="787" t="s">
        <v>16073</v>
      </c>
      <c r="D8938" s="787">
        <v>0.31</v>
      </c>
      <c r="E8938" s="787">
        <v>0.31</v>
      </c>
      <c r="F8938" s="788">
        <v>42144</v>
      </c>
      <c r="G8938" s="788">
        <v>42144</v>
      </c>
      <c r="H8938" s="787">
        <v>1</v>
      </c>
      <c r="I8938" s="788">
        <v>42152</v>
      </c>
      <c r="J8938" s="788">
        <v>42157</v>
      </c>
      <c r="L8938" s="787">
        <v>1</v>
      </c>
      <c r="M8938" s="787">
        <v>10</v>
      </c>
      <c r="N8938" s="787">
        <v>1.0900000000000001</v>
      </c>
      <c r="O8938" s="788">
        <v>42146</v>
      </c>
    </row>
    <row r="8939" spans="1:15" x14ac:dyDescent="0.25">
      <c r="A8939" s="786" t="s">
        <v>16074</v>
      </c>
      <c r="B8939" s="787">
        <v>4</v>
      </c>
      <c r="C8939" s="787" t="s">
        <v>12493</v>
      </c>
      <c r="D8939" s="787">
        <v>2.86</v>
      </c>
      <c r="E8939" s="787">
        <v>4.28</v>
      </c>
      <c r="F8939" s="788">
        <v>41547</v>
      </c>
      <c r="G8939" s="788">
        <v>42158</v>
      </c>
      <c r="H8939" s="787">
        <v>1</v>
      </c>
      <c r="I8939" s="788">
        <v>42157</v>
      </c>
      <c r="J8939" s="788">
        <v>42135</v>
      </c>
      <c r="K8939" s="788">
        <v>41855</v>
      </c>
      <c r="L8939" s="787">
        <v>4.0999999999999996</v>
      </c>
      <c r="M8939" s="787">
        <v>20</v>
      </c>
      <c r="N8939" s="787">
        <v>4.41</v>
      </c>
      <c r="O8939" s="788">
        <v>42146</v>
      </c>
    </row>
    <row r="8940" spans="1:15" x14ac:dyDescent="0.25">
      <c r="A8940" s="786" t="s">
        <v>16075</v>
      </c>
      <c r="B8940" s="787">
        <v>4</v>
      </c>
      <c r="C8940" s="787" t="s">
        <v>16076</v>
      </c>
      <c r="D8940" s="787">
        <v>1.63</v>
      </c>
      <c r="E8940" s="787">
        <v>2.65</v>
      </c>
      <c r="F8940" s="788">
        <v>41806</v>
      </c>
      <c r="G8940" s="788">
        <v>42013</v>
      </c>
      <c r="H8940" s="787">
        <v>1</v>
      </c>
      <c r="I8940" s="788">
        <v>42152</v>
      </c>
      <c r="J8940" s="788">
        <v>41765</v>
      </c>
      <c r="K8940" s="788">
        <v>41558</v>
      </c>
      <c r="L8940" s="787">
        <v>2.5</v>
      </c>
      <c r="M8940" s="787">
        <v>10</v>
      </c>
      <c r="N8940" s="787">
        <v>1.97</v>
      </c>
      <c r="O8940" s="788">
        <v>42146</v>
      </c>
    </row>
    <row r="8941" spans="1:15" x14ac:dyDescent="0.25">
      <c r="A8941" s="786" t="s">
        <v>16077</v>
      </c>
      <c r="B8941" s="787">
        <v>4</v>
      </c>
      <c r="C8941" s="787" t="s">
        <v>16078</v>
      </c>
      <c r="D8941" s="787">
        <v>0.96</v>
      </c>
      <c r="E8941" s="787">
        <v>0.96</v>
      </c>
      <c r="F8941" s="788">
        <v>41813</v>
      </c>
      <c r="G8941" s="788">
        <v>42013</v>
      </c>
      <c r="H8941" s="787">
        <v>1</v>
      </c>
      <c r="I8941" s="788">
        <v>42152</v>
      </c>
      <c r="J8941" s="788">
        <v>41765</v>
      </c>
      <c r="L8941" s="787">
        <v>1</v>
      </c>
      <c r="M8941" s="787">
        <v>10</v>
      </c>
      <c r="N8941" s="787">
        <v>1.97</v>
      </c>
      <c r="O8941" s="788">
        <v>42146</v>
      </c>
    </row>
    <row r="8942" spans="1:15" x14ac:dyDescent="0.25">
      <c r="A8942" s="786" t="s">
        <v>16079</v>
      </c>
      <c r="B8942" s="787">
        <v>4</v>
      </c>
      <c r="C8942" s="787" t="s">
        <v>16080</v>
      </c>
      <c r="D8942" s="787">
        <v>2.3199999999999998</v>
      </c>
      <c r="E8942" s="787">
        <v>3.07</v>
      </c>
      <c r="F8942" s="788">
        <v>41453</v>
      </c>
      <c r="G8942" s="788">
        <v>42013</v>
      </c>
      <c r="H8942" s="787">
        <v>1</v>
      </c>
      <c r="I8942" s="788">
        <v>42152</v>
      </c>
      <c r="J8942" s="788">
        <v>41930</v>
      </c>
      <c r="K8942" s="788">
        <v>41921</v>
      </c>
      <c r="L8942" s="787">
        <v>3.37</v>
      </c>
      <c r="M8942" s="787">
        <v>10</v>
      </c>
      <c r="N8942" s="787">
        <v>4.0199999999999996</v>
      </c>
      <c r="O8942" s="788">
        <v>42146</v>
      </c>
    </row>
    <row r="8943" spans="1:15" x14ac:dyDescent="0.25">
      <c r="A8943" s="786" t="s">
        <v>16081</v>
      </c>
      <c r="B8943" s="787">
        <v>4</v>
      </c>
      <c r="C8943" s="787" t="s">
        <v>16082</v>
      </c>
      <c r="D8943" s="787">
        <v>2.56</v>
      </c>
      <c r="E8943" s="787">
        <v>2.56</v>
      </c>
      <c r="F8943" s="788">
        <v>41813</v>
      </c>
      <c r="G8943" s="788">
        <v>42013</v>
      </c>
      <c r="H8943" s="787">
        <v>1</v>
      </c>
      <c r="I8943" s="788">
        <v>42152</v>
      </c>
      <c r="J8943" s="788">
        <v>41568</v>
      </c>
      <c r="L8943" s="787">
        <v>1</v>
      </c>
      <c r="M8943" s="787">
        <v>10</v>
      </c>
      <c r="N8943" s="787">
        <v>6.13</v>
      </c>
      <c r="O8943" s="788">
        <v>42146</v>
      </c>
    </row>
    <row r="8944" spans="1:15" x14ac:dyDescent="0.25">
      <c r="A8944" s="786" t="s">
        <v>16083</v>
      </c>
      <c r="B8944" s="787">
        <v>4</v>
      </c>
      <c r="C8944" s="787" t="s">
        <v>16084</v>
      </c>
      <c r="D8944" s="787">
        <v>2.2000000000000002</v>
      </c>
      <c r="E8944" s="787">
        <v>3.37</v>
      </c>
      <c r="F8944" s="788">
        <v>41709</v>
      </c>
      <c r="G8944" s="788">
        <v>42064</v>
      </c>
      <c r="H8944" s="787">
        <v>1</v>
      </c>
      <c r="I8944" s="788">
        <v>42152</v>
      </c>
      <c r="J8944" s="788">
        <v>42041</v>
      </c>
      <c r="K8944" s="788">
        <v>41690</v>
      </c>
      <c r="L8944" s="787">
        <v>2.2000000000000002</v>
      </c>
      <c r="M8944" s="787">
        <v>20</v>
      </c>
      <c r="N8944" s="787">
        <v>2.37</v>
      </c>
      <c r="O8944" s="788">
        <v>42146</v>
      </c>
    </row>
    <row r="8945" spans="1:15" x14ac:dyDescent="0.25">
      <c r="A8945" s="786" t="s">
        <v>16085</v>
      </c>
      <c r="B8945" s="787">
        <v>4</v>
      </c>
      <c r="C8945" s="787" t="s">
        <v>16086</v>
      </c>
      <c r="D8945" s="787">
        <v>2.94</v>
      </c>
      <c r="E8945" s="787">
        <v>6.82</v>
      </c>
      <c r="F8945" s="788">
        <v>41453</v>
      </c>
      <c r="G8945" s="788">
        <v>42142</v>
      </c>
      <c r="H8945" s="787">
        <v>1</v>
      </c>
      <c r="I8945" s="788">
        <v>42152</v>
      </c>
      <c r="J8945" s="788">
        <v>42110</v>
      </c>
      <c r="L8945" s="787">
        <v>1</v>
      </c>
      <c r="M8945" s="787">
        <v>10</v>
      </c>
      <c r="N8945" s="787">
        <v>5.79</v>
      </c>
      <c r="O8945" s="788">
        <v>42146</v>
      </c>
    </row>
    <row r="8946" spans="1:15" x14ac:dyDescent="0.25">
      <c r="A8946" s="786" t="s">
        <v>16087</v>
      </c>
      <c r="B8946" s="787">
        <v>4</v>
      </c>
      <c r="C8946" s="787" t="s">
        <v>16088</v>
      </c>
      <c r="D8946" s="787">
        <v>5.22</v>
      </c>
      <c r="E8946" s="787">
        <v>17.05</v>
      </c>
      <c r="F8946" s="788">
        <v>41775</v>
      </c>
      <c r="G8946" s="788">
        <v>42160</v>
      </c>
      <c r="H8946" s="787">
        <v>1</v>
      </c>
      <c r="I8946" s="788">
        <v>42152</v>
      </c>
      <c r="J8946" s="788">
        <v>42131</v>
      </c>
      <c r="K8946" s="788">
        <v>41921</v>
      </c>
      <c r="L8946" s="787">
        <v>5.3</v>
      </c>
      <c r="M8946" s="787">
        <v>10</v>
      </c>
      <c r="N8946" s="787">
        <v>5.79</v>
      </c>
      <c r="O8946" s="788">
        <v>42146</v>
      </c>
    </row>
    <row r="8947" spans="1:15" x14ac:dyDescent="0.25">
      <c r="A8947" s="786" t="s">
        <v>16089</v>
      </c>
      <c r="B8947" s="787">
        <v>4</v>
      </c>
      <c r="C8947" s="787" t="s">
        <v>16090</v>
      </c>
      <c r="D8947" s="787">
        <v>0</v>
      </c>
      <c r="E8947" s="787">
        <v>0</v>
      </c>
      <c r="H8947" s="787">
        <v>1</v>
      </c>
      <c r="I8947" s="788">
        <v>41445</v>
      </c>
      <c r="L8947" s="787">
        <v>1</v>
      </c>
      <c r="M8947" s="787">
        <v>10</v>
      </c>
      <c r="N8947" s="787">
        <v>14.7</v>
      </c>
      <c r="O8947" s="788">
        <v>41858</v>
      </c>
    </row>
    <row r="8948" spans="1:15" x14ac:dyDescent="0.25">
      <c r="A8948" s="786" t="s">
        <v>16091</v>
      </c>
      <c r="B8948" s="787">
        <v>4</v>
      </c>
      <c r="C8948" s="787" t="s">
        <v>16092</v>
      </c>
      <c r="D8948" s="787">
        <v>0</v>
      </c>
      <c r="E8948" s="787">
        <v>0</v>
      </c>
      <c r="H8948" s="787">
        <v>1</v>
      </c>
      <c r="I8948" s="788">
        <v>41687</v>
      </c>
      <c r="L8948" s="787">
        <v>1</v>
      </c>
      <c r="M8948" s="787">
        <v>10</v>
      </c>
      <c r="N8948" s="787">
        <v>14.7</v>
      </c>
      <c r="O8948" s="788">
        <v>42146</v>
      </c>
    </row>
    <row r="8949" spans="1:15" x14ac:dyDescent="0.25">
      <c r="A8949" s="786" t="s">
        <v>16093</v>
      </c>
      <c r="B8949" s="787">
        <v>4</v>
      </c>
      <c r="C8949" s="787" t="s">
        <v>16094</v>
      </c>
      <c r="D8949" s="787">
        <v>0</v>
      </c>
      <c r="E8949" s="787">
        <v>0</v>
      </c>
      <c r="H8949" s="787">
        <v>1</v>
      </c>
      <c r="I8949" s="788">
        <v>41687</v>
      </c>
      <c r="L8949" s="787">
        <v>1</v>
      </c>
      <c r="M8949" s="787">
        <v>10</v>
      </c>
      <c r="N8949" s="787">
        <v>14.7</v>
      </c>
      <c r="O8949" s="788">
        <v>42146</v>
      </c>
    </row>
    <row r="8950" spans="1:15" x14ac:dyDescent="0.25">
      <c r="A8950" s="786" t="s">
        <v>16095</v>
      </c>
      <c r="B8950" s="787">
        <v>4</v>
      </c>
      <c r="C8950" s="787" t="s">
        <v>16096</v>
      </c>
      <c r="D8950" s="787">
        <v>0</v>
      </c>
      <c r="E8950" s="787">
        <v>0</v>
      </c>
      <c r="H8950" s="787">
        <v>1</v>
      </c>
      <c r="I8950" s="788">
        <v>41527</v>
      </c>
      <c r="L8950" s="787">
        <v>1</v>
      </c>
      <c r="M8950" s="787">
        <v>10</v>
      </c>
      <c r="N8950" s="787">
        <v>12.6</v>
      </c>
      <c r="O8950" s="788">
        <v>42146</v>
      </c>
    </row>
    <row r="8951" spans="1:15" x14ac:dyDescent="0.25">
      <c r="A8951" s="786" t="s">
        <v>16097</v>
      </c>
      <c r="B8951" s="787">
        <v>4</v>
      </c>
      <c r="C8951" s="787" t="s">
        <v>16098</v>
      </c>
      <c r="D8951" s="787">
        <v>0</v>
      </c>
      <c r="E8951" s="787">
        <v>0</v>
      </c>
      <c r="H8951" s="787">
        <v>1</v>
      </c>
      <c r="I8951" s="788">
        <v>41527</v>
      </c>
      <c r="L8951" s="787">
        <v>1</v>
      </c>
      <c r="M8951" s="787">
        <v>10</v>
      </c>
      <c r="N8951" s="787">
        <v>12.6</v>
      </c>
      <c r="O8951" s="788">
        <v>42146</v>
      </c>
    </row>
    <row r="8952" spans="1:15" x14ac:dyDescent="0.25">
      <c r="A8952" s="786" t="s">
        <v>16099</v>
      </c>
      <c r="B8952" s="787">
        <v>4</v>
      </c>
      <c r="C8952" s="787" t="s">
        <v>16100</v>
      </c>
      <c r="D8952" s="787">
        <v>0</v>
      </c>
      <c r="E8952" s="787">
        <v>0</v>
      </c>
      <c r="H8952" s="787">
        <v>1</v>
      </c>
      <c r="I8952" s="788">
        <v>41527</v>
      </c>
      <c r="L8952" s="787">
        <v>1</v>
      </c>
      <c r="M8952" s="787">
        <v>10</v>
      </c>
      <c r="N8952" s="787">
        <v>12.6</v>
      </c>
      <c r="O8952" s="788">
        <v>42146</v>
      </c>
    </row>
    <row r="8953" spans="1:15" x14ac:dyDescent="0.25">
      <c r="A8953" s="786" t="s">
        <v>16101</v>
      </c>
      <c r="B8953" s="787">
        <v>4</v>
      </c>
      <c r="C8953" s="787" t="s">
        <v>16102</v>
      </c>
      <c r="D8953" s="787">
        <v>0</v>
      </c>
      <c r="E8953" s="787">
        <v>0</v>
      </c>
      <c r="H8953" s="787">
        <v>1</v>
      </c>
      <c r="I8953" s="788">
        <v>41527</v>
      </c>
      <c r="L8953" s="787">
        <v>1</v>
      </c>
      <c r="M8953" s="787">
        <v>10</v>
      </c>
      <c r="N8953" s="787">
        <v>12.6</v>
      </c>
      <c r="O8953" s="788">
        <v>42146</v>
      </c>
    </row>
    <row r="8954" spans="1:15" x14ac:dyDescent="0.25">
      <c r="A8954" s="786" t="s">
        <v>16103</v>
      </c>
      <c r="B8954" s="787">
        <v>4</v>
      </c>
      <c r="C8954" s="787" t="s">
        <v>16104</v>
      </c>
      <c r="D8954" s="787">
        <v>0</v>
      </c>
      <c r="E8954" s="787">
        <v>0</v>
      </c>
      <c r="H8954" s="787">
        <v>1</v>
      </c>
      <c r="L8954" s="787">
        <v>1</v>
      </c>
      <c r="M8954" s="787">
        <v>10</v>
      </c>
      <c r="N8954" s="787">
        <v>12.6</v>
      </c>
      <c r="O8954" s="788">
        <v>41858</v>
      </c>
    </row>
    <row r="8955" spans="1:15" x14ac:dyDescent="0.25">
      <c r="A8955" s="786" t="s">
        <v>16105</v>
      </c>
      <c r="B8955" s="787">
        <v>4</v>
      </c>
      <c r="C8955" s="787" t="s">
        <v>16106</v>
      </c>
      <c r="D8955" s="787">
        <v>0</v>
      </c>
      <c r="E8955" s="787">
        <v>0</v>
      </c>
      <c r="H8955" s="787">
        <v>1</v>
      </c>
      <c r="I8955" s="788">
        <v>42109</v>
      </c>
      <c r="L8955" s="787">
        <v>1</v>
      </c>
      <c r="M8955" s="787">
        <v>10</v>
      </c>
      <c r="N8955" s="787">
        <v>12.6</v>
      </c>
      <c r="O8955" s="788">
        <v>42146</v>
      </c>
    </row>
    <row r="8956" spans="1:15" x14ac:dyDescent="0.25">
      <c r="A8956" s="786" t="s">
        <v>16107</v>
      </c>
      <c r="B8956" s="787">
        <v>4</v>
      </c>
      <c r="C8956" s="787" t="s">
        <v>16108</v>
      </c>
      <c r="D8956" s="787">
        <v>0</v>
      </c>
      <c r="E8956" s="787">
        <v>0</v>
      </c>
      <c r="H8956" s="787">
        <v>1</v>
      </c>
      <c r="I8956" s="788">
        <v>42109</v>
      </c>
      <c r="L8956" s="787">
        <v>1</v>
      </c>
      <c r="M8956" s="787">
        <v>10</v>
      </c>
      <c r="N8956" s="787">
        <v>12.6</v>
      </c>
      <c r="O8956" s="788">
        <v>42146</v>
      </c>
    </row>
    <row r="8957" spans="1:15" x14ac:dyDescent="0.25">
      <c r="A8957" s="786" t="s">
        <v>16109</v>
      </c>
      <c r="B8957" s="787">
        <v>4</v>
      </c>
      <c r="C8957" s="787" t="s">
        <v>16110</v>
      </c>
      <c r="D8957" s="787">
        <v>2.52</v>
      </c>
      <c r="E8957" s="787">
        <v>5.96</v>
      </c>
      <c r="F8957" s="788">
        <v>41813</v>
      </c>
      <c r="G8957" s="788">
        <v>42013</v>
      </c>
      <c r="H8957" s="787">
        <v>1</v>
      </c>
      <c r="I8957" s="788">
        <v>42152</v>
      </c>
      <c r="J8957" s="788">
        <v>41930</v>
      </c>
      <c r="K8957" s="788">
        <v>41921</v>
      </c>
      <c r="L8957" s="787">
        <v>2.92</v>
      </c>
      <c r="M8957" s="787">
        <v>10</v>
      </c>
      <c r="N8957" s="787">
        <v>3.16</v>
      </c>
      <c r="O8957" s="788">
        <v>42146</v>
      </c>
    </row>
    <row r="8958" spans="1:15" x14ac:dyDescent="0.25">
      <c r="A8958" s="786" t="s">
        <v>16111</v>
      </c>
      <c r="B8958" s="787">
        <v>4</v>
      </c>
      <c r="C8958" s="787" t="s">
        <v>16112</v>
      </c>
      <c r="D8958" s="787">
        <v>5.5</v>
      </c>
      <c r="E8958" s="787">
        <v>5.5</v>
      </c>
      <c r="F8958" s="788">
        <v>41946</v>
      </c>
      <c r="G8958" s="788">
        <v>42013</v>
      </c>
      <c r="H8958" s="787">
        <v>1</v>
      </c>
      <c r="I8958" s="788">
        <v>42152</v>
      </c>
      <c r="J8958" s="788">
        <v>41943</v>
      </c>
      <c r="K8958" s="788">
        <v>41701</v>
      </c>
      <c r="L8958" s="787">
        <v>5.5</v>
      </c>
      <c r="M8958" s="787">
        <v>20</v>
      </c>
      <c r="N8958" s="787">
        <v>5.91</v>
      </c>
      <c r="O8958" s="788">
        <v>42146</v>
      </c>
    </row>
    <row r="8959" spans="1:15" x14ac:dyDescent="0.25">
      <c r="A8959" s="786" t="s">
        <v>16113</v>
      </c>
      <c r="B8959" s="787">
        <v>4</v>
      </c>
      <c r="C8959" s="787" t="s">
        <v>16114</v>
      </c>
      <c r="D8959" s="787">
        <v>0.64</v>
      </c>
      <c r="E8959" s="787">
        <v>2.9</v>
      </c>
      <c r="F8959" s="788">
        <v>41996</v>
      </c>
      <c r="G8959" s="788">
        <v>42067</v>
      </c>
      <c r="H8959" s="787">
        <v>1</v>
      </c>
      <c r="I8959" s="788">
        <v>42152</v>
      </c>
      <c r="J8959" s="788">
        <v>42034</v>
      </c>
      <c r="K8959" s="788">
        <v>41544</v>
      </c>
      <c r="L8959" s="787">
        <v>1.23</v>
      </c>
      <c r="M8959" s="787">
        <v>10</v>
      </c>
      <c r="N8959" s="787">
        <v>1.46</v>
      </c>
      <c r="O8959" s="788">
        <v>42146</v>
      </c>
    </row>
    <row r="8960" spans="1:15" x14ac:dyDescent="0.25">
      <c r="A8960" s="786" t="s">
        <v>16115</v>
      </c>
      <c r="B8960" s="787">
        <v>4</v>
      </c>
      <c r="C8960" s="787" t="s">
        <v>16116</v>
      </c>
      <c r="D8960" s="787">
        <v>0.71</v>
      </c>
      <c r="E8960" s="787">
        <v>1.06</v>
      </c>
      <c r="F8960" s="788">
        <v>41996</v>
      </c>
      <c r="G8960" s="788">
        <v>42072</v>
      </c>
      <c r="H8960" s="787">
        <v>1</v>
      </c>
      <c r="J8960" s="788">
        <v>42052</v>
      </c>
      <c r="K8960" s="788">
        <v>41544</v>
      </c>
      <c r="L8960" s="787">
        <v>1.07</v>
      </c>
      <c r="M8960" s="787">
        <v>10</v>
      </c>
      <c r="N8960" s="787">
        <v>1.31</v>
      </c>
      <c r="O8960" s="788">
        <v>42146</v>
      </c>
    </row>
    <row r="8961" spans="1:15" x14ac:dyDescent="0.25">
      <c r="A8961" s="786" t="s">
        <v>16117</v>
      </c>
      <c r="B8961" s="787">
        <v>4</v>
      </c>
      <c r="C8961" s="787" t="s">
        <v>16118</v>
      </c>
      <c r="D8961" s="787">
        <v>0.75</v>
      </c>
      <c r="E8961" s="787">
        <v>2.0299999999999998</v>
      </c>
      <c r="F8961" s="788">
        <v>41369</v>
      </c>
      <c r="G8961" s="788">
        <v>42137</v>
      </c>
      <c r="H8961" s="787">
        <v>1</v>
      </c>
      <c r="I8961" s="788">
        <v>42165</v>
      </c>
      <c r="J8961" s="788">
        <v>42137</v>
      </c>
      <c r="L8961" s="787">
        <v>1</v>
      </c>
      <c r="M8961" s="787">
        <v>10</v>
      </c>
      <c r="N8961" s="787">
        <v>1.98</v>
      </c>
      <c r="O8961" s="788">
        <v>42047</v>
      </c>
    </row>
    <row r="8962" spans="1:15" x14ac:dyDescent="0.25">
      <c r="A8962" s="786" t="s">
        <v>16119</v>
      </c>
      <c r="B8962" s="787">
        <v>4</v>
      </c>
      <c r="C8962" s="787" t="s">
        <v>16120</v>
      </c>
      <c r="D8962" s="787">
        <v>0</v>
      </c>
      <c r="E8962" s="787">
        <v>0</v>
      </c>
      <c r="H8962" s="787">
        <v>1</v>
      </c>
      <c r="I8962" s="788">
        <v>41901</v>
      </c>
      <c r="L8962" s="787">
        <v>0.01</v>
      </c>
      <c r="M8962" s="787">
        <v>10</v>
      </c>
      <c r="N8962" s="787">
        <v>0</v>
      </c>
    </row>
    <row r="8963" spans="1:15" x14ac:dyDescent="0.25">
      <c r="A8963" s="786" t="s">
        <v>16121</v>
      </c>
      <c r="B8963" s="787">
        <v>4</v>
      </c>
      <c r="C8963" s="787" t="s">
        <v>16122</v>
      </c>
      <c r="D8963" s="787">
        <v>0</v>
      </c>
      <c r="E8963" s="787">
        <v>0</v>
      </c>
      <c r="H8963" s="787">
        <v>1</v>
      </c>
      <c r="I8963" s="788">
        <v>42151</v>
      </c>
      <c r="K8963" s="788">
        <v>41620</v>
      </c>
      <c r="L8963" s="787">
        <v>5.15</v>
      </c>
      <c r="M8963" s="787">
        <v>10</v>
      </c>
      <c r="N8963" s="787">
        <v>5.09</v>
      </c>
      <c r="O8963" s="788">
        <v>41858</v>
      </c>
    </row>
    <row r="8964" spans="1:15" x14ac:dyDescent="0.25">
      <c r="A8964" s="786" t="s">
        <v>16123</v>
      </c>
      <c r="B8964" s="787">
        <v>4</v>
      </c>
      <c r="C8964" s="787" t="s">
        <v>16124</v>
      </c>
      <c r="D8964" s="787">
        <v>0</v>
      </c>
      <c r="E8964" s="787">
        <v>0</v>
      </c>
      <c r="H8964" s="787">
        <v>1</v>
      </c>
      <c r="K8964" s="788">
        <v>41620</v>
      </c>
      <c r="L8964" s="787">
        <v>6.16</v>
      </c>
      <c r="M8964" s="787">
        <v>10</v>
      </c>
      <c r="N8964" s="787">
        <v>6.16</v>
      </c>
      <c r="O8964" s="788">
        <v>41858</v>
      </c>
    </row>
    <row r="8965" spans="1:15" x14ac:dyDescent="0.25">
      <c r="A8965" s="786" t="s">
        <v>16125</v>
      </c>
      <c r="B8965" s="787">
        <v>4</v>
      </c>
      <c r="C8965" s="787" t="s">
        <v>16126</v>
      </c>
      <c r="D8965" s="787">
        <v>1.05</v>
      </c>
      <c r="E8965" s="787">
        <v>1.05</v>
      </c>
      <c r="F8965" s="788">
        <v>41813</v>
      </c>
      <c r="G8965" s="788">
        <v>41813</v>
      </c>
      <c r="H8965" s="787">
        <v>1</v>
      </c>
      <c r="I8965" s="788">
        <v>41689</v>
      </c>
      <c r="J8965" s="788">
        <v>41457</v>
      </c>
      <c r="K8965" s="788">
        <v>41376</v>
      </c>
      <c r="L8965" s="787">
        <v>2.62</v>
      </c>
      <c r="M8965" s="787">
        <v>10</v>
      </c>
      <c r="N8965" s="787">
        <v>13.27</v>
      </c>
      <c r="O8965" s="788">
        <v>42061</v>
      </c>
    </row>
    <row r="8966" spans="1:15" x14ac:dyDescent="0.25">
      <c r="A8966" s="786" t="s">
        <v>16127</v>
      </c>
      <c r="B8966" s="787">
        <v>4</v>
      </c>
      <c r="C8966" s="787" t="s">
        <v>16128</v>
      </c>
      <c r="D8966" s="787">
        <v>2.59</v>
      </c>
      <c r="E8966" s="787">
        <v>2.59</v>
      </c>
      <c r="F8966" s="788">
        <v>41495</v>
      </c>
      <c r="G8966" s="788">
        <v>41495</v>
      </c>
      <c r="H8966" s="787">
        <v>1</v>
      </c>
      <c r="I8966" s="788">
        <v>41689</v>
      </c>
      <c r="J8966" s="788">
        <v>41464</v>
      </c>
      <c r="K8966" s="788">
        <v>41376</v>
      </c>
      <c r="L8966" s="787">
        <v>1.75</v>
      </c>
      <c r="M8966" s="787">
        <v>10</v>
      </c>
      <c r="N8966" s="787">
        <v>10.94</v>
      </c>
      <c r="O8966" s="788">
        <v>42061</v>
      </c>
    </row>
    <row r="8967" spans="1:15" x14ac:dyDescent="0.25">
      <c r="A8967" s="786" t="s">
        <v>16129</v>
      </c>
      <c r="B8967" s="787">
        <v>4</v>
      </c>
      <c r="C8967" s="787" t="s">
        <v>16130</v>
      </c>
      <c r="D8967" s="787">
        <v>2.94</v>
      </c>
      <c r="E8967" s="787">
        <v>12.94</v>
      </c>
      <c r="F8967" s="788">
        <v>41495</v>
      </c>
      <c r="G8967" s="788">
        <v>42013</v>
      </c>
      <c r="H8967" s="787">
        <v>1</v>
      </c>
      <c r="I8967" s="788">
        <v>42075</v>
      </c>
      <c r="J8967" s="788">
        <v>41792</v>
      </c>
      <c r="K8967" s="788">
        <v>41376</v>
      </c>
      <c r="L8967" s="787">
        <v>6.44</v>
      </c>
      <c r="M8967" s="787">
        <v>10</v>
      </c>
      <c r="N8967" s="787">
        <v>29.84</v>
      </c>
      <c r="O8967" s="788">
        <v>42061</v>
      </c>
    </row>
    <row r="8968" spans="1:15" x14ac:dyDescent="0.25">
      <c r="A8968" s="786" t="s">
        <v>16131</v>
      </c>
      <c r="B8968" s="787">
        <v>4</v>
      </c>
      <c r="C8968" s="787" t="s">
        <v>16132</v>
      </c>
      <c r="D8968" s="787">
        <v>3.53</v>
      </c>
      <c r="E8968" s="787">
        <v>5.57</v>
      </c>
      <c r="F8968" s="788">
        <v>41306</v>
      </c>
      <c r="G8968" s="788">
        <v>42013</v>
      </c>
      <c r="H8968" s="787">
        <v>1</v>
      </c>
      <c r="J8968" s="788">
        <v>41655</v>
      </c>
      <c r="K8968" s="788">
        <v>41240</v>
      </c>
      <c r="L8968" s="787">
        <v>2.08</v>
      </c>
      <c r="M8968" s="787">
        <v>10</v>
      </c>
      <c r="N8968" s="787">
        <v>2.08</v>
      </c>
      <c r="O8968" s="788">
        <v>41858</v>
      </c>
    </row>
    <row r="8969" spans="1:15" x14ac:dyDescent="0.25">
      <c r="A8969" s="786" t="s">
        <v>16133</v>
      </c>
      <c r="B8969" s="787">
        <v>4</v>
      </c>
      <c r="C8969" s="787" t="s">
        <v>16134</v>
      </c>
      <c r="D8969" s="787">
        <v>0</v>
      </c>
      <c r="E8969" s="787">
        <v>0</v>
      </c>
      <c r="H8969" s="787">
        <v>6</v>
      </c>
      <c r="K8969" s="788">
        <v>41243</v>
      </c>
      <c r="L8969" s="787">
        <v>9.6999999999999993</v>
      </c>
      <c r="M8969" s="787">
        <v>10</v>
      </c>
      <c r="N8969" s="787">
        <v>8.93</v>
      </c>
      <c r="O8969" s="788">
        <v>41666</v>
      </c>
    </row>
    <row r="8970" spans="1:15" x14ac:dyDescent="0.25">
      <c r="A8970" s="786" t="s">
        <v>16135</v>
      </c>
      <c r="B8970" s="787">
        <v>4</v>
      </c>
      <c r="C8970" s="787" t="s">
        <v>16136</v>
      </c>
      <c r="D8970" s="787">
        <v>0</v>
      </c>
      <c r="E8970" s="787">
        <v>0</v>
      </c>
      <c r="H8970" s="787">
        <v>6</v>
      </c>
      <c r="K8970" s="788">
        <v>41243</v>
      </c>
      <c r="L8970" s="787">
        <v>14.14</v>
      </c>
      <c r="M8970" s="787">
        <v>10</v>
      </c>
      <c r="N8970" s="787">
        <v>12.84</v>
      </c>
      <c r="O8970" s="788">
        <v>41666</v>
      </c>
    </row>
    <row r="8971" spans="1:15" x14ac:dyDescent="0.25">
      <c r="A8971" s="786" t="s">
        <v>16137</v>
      </c>
      <c r="B8971" s="787">
        <v>4</v>
      </c>
      <c r="C8971" s="787" t="s">
        <v>16138</v>
      </c>
      <c r="D8971" s="787">
        <v>0</v>
      </c>
      <c r="E8971" s="787">
        <v>0</v>
      </c>
      <c r="H8971" s="787">
        <v>6</v>
      </c>
      <c r="K8971" s="788">
        <v>41243</v>
      </c>
      <c r="L8971" s="787">
        <v>9.7200000000000006</v>
      </c>
      <c r="M8971" s="787">
        <v>10</v>
      </c>
      <c r="N8971" s="787">
        <v>8.9499999999999993</v>
      </c>
      <c r="O8971" s="788">
        <v>41666</v>
      </c>
    </row>
    <row r="8972" spans="1:15" x14ac:dyDescent="0.25">
      <c r="A8972" s="786" t="s">
        <v>16139</v>
      </c>
      <c r="B8972" s="787">
        <v>4</v>
      </c>
      <c r="C8972" s="787" t="s">
        <v>16140</v>
      </c>
      <c r="D8972" s="787">
        <v>0</v>
      </c>
      <c r="E8972" s="787">
        <v>0</v>
      </c>
      <c r="H8972" s="787">
        <v>6</v>
      </c>
      <c r="K8972" s="788">
        <v>41243</v>
      </c>
      <c r="L8972" s="787">
        <v>9.7200000000000006</v>
      </c>
      <c r="M8972" s="787">
        <v>10</v>
      </c>
      <c r="N8972" s="787">
        <v>8.9499999999999993</v>
      </c>
      <c r="O8972" s="788">
        <v>41666</v>
      </c>
    </row>
    <row r="8973" spans="1:15" x14ac:dyDescent="0.25">
      <c r="A8973" s="786" t="s">
        <v>16141</v>
      </c>
      <c r="B8973" s="787">
        <v>4</v>
      </c>
      <c r="C8973" s="787" t="s">
        <v>16142</v>
      </c>
      <c r="D8973" s="787">
        <v>0</v>
      </c>
      <c r="E8973" s="787">
        <v>0</v>
      </c>
      <c r="H8973" s="787">
        <v>6</v>
      </c>
      <c r="K8973" s="788">
        <v>41243</v>
      </c>
      <c r="L8973" s="787">
        <v>14.1</v>
      </c>
      <c r="M8973" s="787">
        <v>10</v>
      </c>
      <c r="N8973" s="787">
        <v>12.8</v>
      </c>
      <c r="O8973" s="788">
        <v>41666</v>
      </c>
    </row>
    <row r="8974" spans="1:15" x14ac:dyDescent="0.25">
      <c r="A8974" s="786" t="s">
        <v>16143</v>
      </c>
      <c r="B8974" s="787">
        <v>4</v>
      </c>
      <c r="C8974" s="787" t="s">
        <v>16144</v>
      </c>
      <c r="D8974" s="787">
        <v>0</v>
      </c>
      <c r="E8974" s="787">
        <v>0</v>
      </c>
      <c r="H8974" s="787">
        <v>6</v>
      </c>
      <c r="K8974" s="788">
        <v>41243</v>
      </c>
      <c r="L8974" s="787">
        <v>14.1</v>
      </c>
      <c r="M8974" s="787">
        <v>10</v>
      </c>
      <c r="N8974" s="787">
        <v>12.8</v>
      </c>
      <c r="O8974" s="788">
        <v>41666</v>
      </c>
    </row>
    <row r="8975" spans="1:15" x14ac:dyDescent="0.25">
      <c r="A8975" s="786" t="s">
        <v>16145</v>
      </c>
      <c r="B8975" s="787">
        <v>4</v>
      </c>
      <c r="C8975" s="787" t="s">
        <v>16146</v>
      </c>
      <c r="D8975" s="787">
        <v>0</v>
      </c>
      <c r="E8975" s="787">
        <v>0</v>
      </c>
      <c r="H8975" s="787">
        <v>1</v>
      </c>
      <c r="K8975" s="788">
        <v>41243</v>
      </c>
      <c r="L8975" s="787">
        <v>38.54</v>
      </c>
      <c r="M8975" s="787">
        <v>10</v>
      </c>
      <c r="N8975" s="787">
        <v>34.36</v>
      </c>
      <c r="O8975" s="788">
        <v>41858</v>
      </c>
    </row>
    <row r="8976" spans="1:15" x14ac:dyDescent="0.25">
      <c r="A8976" s="786" t="s">
        <v>16147</v>
      </c>
      <c r="B8976" s="787">
        <v>4</v>
      </c>
      <c r="C8976" s="787" t="s">
        <v>16148</v>
      </c>
      <c r="D8976" s="787">
        <v>0</v>
      </c>
      <c r="E8976" s="787">
        <v>0</v>
      </c>
      <c r="H8976" s="787">
        <v>6</v>
      </c>
      <c r="K8976" s="788">
        <v>41243</v>
      </c>
      <c r="L8976" s="787">
        <v>34.700000000000003</v>
      </c>
      <c r="M8976" s="787">
        <v>10</v>
      </c>
      <c r="N8976" s="787">
        <v>30.24</v>
      </c>
      <c r="O8976" s="788">
        <v>41808</v>
      </c>
    </row>
    <row r="8977" spans="1:15" x14ac:dyDescent="0.25">
      <c r="A8977" s="786" t="s">
        <v>16149</v>
      </c>
      <c r="B8977" s="787">
        <v>4</v>
      </c>
      <c r="C8977" s="787" t="s">
        <v>16150</v>
      </c>
      <c r="D8977" s="787">
        <v>0</v>
      </c>
      <c r="E8977" s="787">
        <v>0</v>
      </c>
      <c r="H8977" s="787">
        <v>1</v>
      </c>
      <c r="K8977" s="788">
        <v>41243</v>
      </c>
      <c r="L8977" s="787">
        <v>38.54</v>
      </c>
      <c r="M8977" s="787">
        <v>10</v>
      </c>
      <c r="N8977" s="787">
        <v>34.36</v>
      </c>
      <c r="O8977" s="788">
        <v>41858</v>
      </c>
    </row>
    <row r="8978" spans="1:15" x14ac:dyDescent="0.25">
      <c r="A8978" s="786" t="s">
        <v>16151</v>
      </c>
      <c r="B8978" s="787">
        <v>4</v>
      </c>
      <c r="C8978" s="787" t="s">
        <v>16152</v>
      </c>
      <c r="D8978" s="787">
        <v>0</v>
      </c>
      <c r="E8978" s="787">
        <v>0</v>
      </c>
      <c r="H8978" s="787">
        <v>6</v>
      </c>
      <c r="K8978" s="788">
        <v>41243</v>
      </c>
      <c r="L8978" s="787">
        <v>34.700000000000003</v>
      </c>
      <c r="M8978" s="787">
        <v>10</v>
      </c>
      <c r="N8978" s="787">
        <v>30.24</v>
      </c>
      <c r="O8978" s="788">
        <v>41808</v>
      </c>
    </row>
    <row r="8979" spans="1:15" x14ac:dyDescent="0.25">
      <c r="A8979" s="786" t="s">
        <v>16153</v>
      </c>
      <c r="B8979" s="787">
        <v>4</v>
      </c>
      <c r="C8979" s="787" t="s">
        <v>16154</v>
      </c>
      <c r="D8979" s="787">
        <v>0</v>
      </c>
      <c r="E8979" s="787">
        <v>0</v>
      </c>
      <c r="H8979" s="787">
        <v>1</v>
      </c>
      <c r="K8979" s="788">
        <v>41243</v>
      </c>
      <c r="L8979" s="787">
        <v>1.92</v>
      </c>
      <c r="M8979" s="787">
        <v>10</v>
      </c>
      <c r="N8979" s="787">
        <v>1.9</v>
      </c>
      <c r="O8979" s="788">
        <v>41858</v>
      </c>
    </row>
    <row r="8980" spans="1:15" x14ac:dyDescent="0.25">
      <c r="A8980" s="786" t="s">
        <v>16155</v>
      </c>
      <c r="B8980" s="787">
        <v>4</v>
      </c>
      <c r="C8980" s="787" t="s">
        <v>15389</v>
      </c>
      <c r="D8980" s="787">
        <v>0</v>
      </c>
      <c r="E8980" s="787">
        <v>0</v>
      </c>
      <c r="H8980" s="787">
        <v>1</v>
      </c>
      <c r="K8980" s="788">
        <v>41253</v>
      </c>
      <c r="L8980" s="787">
        <v>30.59</v>
      </c>
      <c r="M8980" s="787">
        <v>10</v>
      </c>
      <c r="N8980" s="787">
        <v>31.41</v>
      </c>
      <c r="O8980" s="788">
        <v>42146</v>
      </c>
    </row>
    <row r="8981" spans="1:15" x14ac:dyDescent="0.25">
      <c r="A8981" s="786" t="s">
        <v>16156</v>
      </c>
      <c r="B8981" s="787">
        <v>4</v>
      </c>
      <c r="C8981" s="787" t="s">
        <v>14660</v>
      </c>
      <c r="D8981" s="787">
        <v>0</v>
      </c>
      <c r="E8981" s="787">
        <v>0</v>
      </c>
      <c r="H8981" s="787">
        <v>1</v>
      </c>
      <c r="K8981" s="788">
        <v>41253</v>
      </c>
      <c r="L8981" s="787">
        <v>50.04</v>
      </c>
      <c r="M8981" s="787">
        <v>10</v>
      </c>
      <c r="N8981" s="787">
        <v>55.66</v>
      </c>
      <c r="O8981" s="788">
        <v>42146</v>
      </c>
    </row>
    <row r="8982" spans="1:15" x14ac:dyDescent="0.25">
      <c r="A8982" s="786" t="s">
        <v>16157</v>
      </c>
      <c r="B8982" s="787">
        <v>4</v>
      </c>
      <c r="C8982" s="787" t="s">
        <v>16158</v>
      </c>
      <c r="D8982" s="787">
        <v>0</v>
      </c>
      <c r="E8982" s="787">
        <v>0</v>
      </c>
      <c r="H8982" s="787">
        <v>1</v>
      </c>
      <c r="K8982" s="788">
        <v>41243</v>
      </c>
      <c r="L8982" s="787">
        <v>8.02</v>
      </c>
      <c r="M8982" s="787">
        <v>10</v>
      </c>
      <c r="N8982" s="787">
        <v>7.06</v>
      </c>
      <c r="O8982" s="788">
        <v>41858</v>
      </c>
    </row>
    <row r="8983" spans="1:15" x14ac:dyDescent="0.25">
      <c r="A8983" s="786" t="s">
        <v>16159</v>
      </c>
      <c r="B8983" s="787">
        <v>4</v>
      </c>
      <c r="C8983" s="787" t="s">
        <v>14654</v>
      </c>
      <c r="D8983" s="787">
        <v>0</v>
      </c>
      <c r="E8983" s="787">
        <v>0</v>
      </c>
      <c r="H8983" s="787">
        <v>1</v>
      </c>
      <c r="K8983" s="788">
        <v>41253</v>
      </c>
      <c r="L8983" s="787">
        <v>12.54</v>
      </c>
      <c r="M8983" s="787">
        <v>10</v>
      </c>
      <c r="N8983" s="787">
        <v>11.52</v>
      </c>
      <c r="O8983" s="788">
        <v>41858</v>
      </c>
    </row>
    <row r="8984" spans="1:15" x14ac:dyDescent="0.25">
      <c r="A8984" s="786" t="s">
        <v>16160</v>
      </c>
      <c r="B8984" s="787">
        <v>4</v>
      </c>
      <c r="C8984" s="787" t="s">
        <v>16161</v>
      </c>
      <c r="D8984" s="787">
        <v>0</v>
      </c>
      <c r="E8984" s="787">
        <v>0</v>
      </c>
      <c r="H8984" s="787">
        <v>1</v>
      </c>
      <c r="I8984" s="788">
        <v>41492</v>
      </c>
      <c r="K8984" s="788">
        <v>41253</v>
      </c>
      <c r="L8984" s="787">
        <v>2.37</v>
      </c>
      <c r="M8984" s="787">
        <v>10</v>
      </c>
      <c r="N8984" s="787">
        <v>2.02</v>
      </c>
      <c r="O8984" s="788">
        <v>41858</v>
      </c>
    </row>
    <row r="8985" spans="1:15" x14ac:dyDescent="0.25">
      <c r="A8985" s="786" t="s">
        <v>16162</v>
      </c>
      <c r="B8985" s="787">
        <v>4</v>
      </c>
      <c r="C8985" s="787" t="s">
        <v>16163</v>
      </c>
      <c r="D8985" s="787">
        <v>0</v>
      </c>
      <c r="E8985" s="787">
        <v>0</v>
      </c>
      <c r="H8985" s="787">
        <v>1</v>
      </c>
      <c r="I8985" s="788">
        <v>42157</v>
      </c>
      <c r="K8985" s="788">
        <v>41534</v>
      </c>
      <c r="L8985" s="787">
        <v>13.96</v>
      </c>
      <c r="M8985" s="787">
        <v>10</v>
      </c>
      <c r="N8985" s="787">
        <v>13.81</v>
      </c>
      <c r="O8985" s="788">
        <v>42164</v>
      </c>
    </row>
    <row r="8986" spans="1:15" x14ac:dyDescent="0.25">
      <c r="A8986" s="786" t="s">
        <v>16164</v>
      </c>
      <c r="B8986" s="787">
        <v>4</v>
      </c>
      <c r="C8986" s="787" t="s">
        <v>16165</v>
      </c>
      <c r="D8986" s="787">
        <v>0</v>
      </c>
      <c r="E8986" s="787">
        <v>0</v>
      </c>
      <c r="H8986" s="787">
        <v>1</v>
      </c>
      <c r="I8986" s="788">
        <v>42157</v>
      </c>
      <c r="K8986" s="788">
        <v>41534</v>
      </c>
      <c r="L8986" s="787">
        <v>13.96</v>
      </c>
      <c r="M8986" s="787">
        <v>10</v>
      </c>
      <c r="N8986" s="787">
        <v>13.81</v>
      </c>
      <c r="O8986" s="788">
        <v>42164</v>
      </c>
    </row>
    <row r="8987" spans="1:15" x14ac:dyDescent="0.25">
      <c r="A8987" s="786" t="s">
        <v>16166</v>
      </c>
      <c r="B8987" s="787">
        <v>4</v>
      </c>
      <c r="C8987" s="787" t="s">
        <v>16167</v>
      </c>
      <c r="D8987" s="787">
        <v>0</v>
      </c>
      <c r="E8987" s="787">
        <v>0</v>
      </c>
      <c r="H8987" s="787">
        <v>1</v>
      </c>
      <c r="I8987" s="788">
        <v>42059</v>
      </c>
      <c r="L8987" s="787">
        <v>1</v>
      </c>
      <c r="M8987" s="787">
        <v>10</v>
      </c>
      <c r="N8987" s="787">
        <v>5.35</v>
      </c>
      <c r="O8987" s="788">
        <v>41858</v>
      </c>
    </row>
    <row r="8988" spans="1:15" x14ac:dyDescent="0.25">
      <c r="A8988" s="786" t="s">
        <v>16168</v>
      </c>
      <c r="B8988" s="787">
        <v>4</v>
      </c>
      <c r="C8988" s="787" t="s">
        <v>16169</v>
      </c>
      <c r="D8988" s="787">
        <v>0</v>
      </c>
      <c r="E8988" s="787">
        <v>0</v>
      </c>
      <c r="H8988" s="787">
        <v>1</v>
      </c>
      <c r="I8988" s="788">
        <v>42059</v>
      </c>
      <c r="L8988" s="787">
        <v>1</v>
      </c>
      <c r="M8988" s="787">
        <v>10</v>
      </c>
      <c r="N8988" s="787">
        <v>5.35</v>
      </c>
      <c r="O8988" s="788">
        <v>41858</v>
      </c>
    </row>
    <row r="8989" spans="1:15" x14ac:dyDescent="0.25">
      <c r="A8989" s="786" t="s">
        <v>16170</v>
      </c>
      <c r="B8989" s="787">
        <v>4</v>
      </c>
      <c r="C8989" s="787" t="s">
        <v>16171</v>
      </c>
      <c r="D8989" s="787">
        <v>0</v>
      </c>
      <c r="E8989" s="787">
        <v>0</v>
      </c>
      <c r="H8989" s="787">
        <v>1</v>
      </c>
      <c r="I8989" s="788">
        <v>42059</v>
      </c>
      <c r="L8989" s="787">
        <v>1</v>
      </c>
      <c r="M8989" s="787">
        <v>10</v>
      </c>
      <c r="N8989" s="787">
        <v>5.05</v>
      </c>
      <c r="O8989" s="788">
        <v>41858</v>
      </c>
    </row>
    <row r="8990" spans="1:15" x14ac:dyDescent="0.25">
      <c r="A8990" s="786" t="s">
        <v>16172</v>
      </c>
      <c r="B8990" s="787">
        <v>4</v>
      </c>
      <c r="C8990" s="787" t="s">
        <v>16173</v>
      </c>
      <c r="D8990" s="787">
        <v>0</v>
      </c>
      <c r="E8990" s="787">
        <v>0</v>
      </c>
      <c r="H8990" s="787">
        <v>1</v>
      </c>
      <c r="I8990" s="788">
        <v>42059</v>
      </c>
      <c r="L8990" s="787">
        <v>1</v>
      </c>
      <c r="M8990" s="787">
        <v>10</v>
      </c>
      <c r="N8990" s="787">
        <v>5.05</v>
      </c>
      <c r="O8990" s="788">
        <v>41858</v>
      </c>
    </row>
    <row r="8991" spans="1:15" x14ac:dyDescent="0.25">
      <c r="A8991" s="786" t="s">
        <v>16174</v>
      </c>
      <c r="B8991" s="787">
        <v>4</v>
      </c>
      <c r="C8991" s="787" t="s">
        <v>16175</v>
      </c>
      <c r="D8991" s="787">
        <v>0</v>
      </c>
      <c r="E8991" s="787">
        <v>0</v>
      </c>
      <c r="H8991" s="787">
        <v>1</v>
      </c>
      <c r="I8991" s="788">
        <v>41899</v>
      </c>
      <c r="L8991" s="787">
        <v>1</v>
      </c>
      <c r="M8991" s="787">
        <v>10</v>
      </c>
      <c r="N8991" s="787">
        <v>5.35</v>
      </c>
      <c r="O8991" s="788">
        <v>41858</v>
      </c>
    </row>
    <row r="8992" spans="1:15" x14ac:dyDescent="0.25">
      <c r="A8992" s="786" t="s">
        <v>16176</v>
      </c>
      <c r="B8992" s="787">
        <v>4</v>
      </c>
      <c r="C8992" s="787" t="s">
        <v>16177</v>
      </c>
      <c r="D8992" s="787">
        <v>0</v>
      </c>
      <c r="E8992" s="787">
        <v>0</v>
      </c>
      <c r="H8992" s="787">
        <v>1</v>
      </c>
      <c r="I8992" s="788">
        <v>41845</v>
      </c>
      <c r="L8992" s="787">
        <v>1</v>
      </c>
      <c r="M8992" s="787">
        <v>10</v>
      </c>
      <c r="N8992" s="787">
        <v>5.35</v>
      </c>
      <c r="O8992" s="788">
        <v>41858</v>
      </c>
    </row>
    <row r="8993" spans="1:15" x14ac:dyDescent="0.25">
      <c r="A8993" s="786" t="s">
        <v>16178</v>
      </c>
      <c r="B8993" s="787">
        <v>4</v>
      </c>
      <c r="C8993" s="787" t="s">
        <v>16179</v>
      </c>
      <c r="D8993" s="787">
        <v>0</v>
      </c>
      <c r="E8993" s="787">
        <v>0</v>
      </c>
      <c r="H8993" s="787">
        <v>1</v>
      </c>
      <c r="I8993" s="788">
        <v>41899</v>
      </c>
      <c r="L8993" s="787">
        <v>1</v>
      </c>
      <c r="M8993" s="787">
        <v>10</v>
      </c>
      <c r="N8993" s="787">
        <v>5.07</v>
      </c>
      <c r="O8993" s="788">
        <v>41858</v>
      </c>
    </row>
    <row r="8994" spans="1:15" x14ac:dyDescent="0.25">
      <c r="A8994" s="786" t="s">
        <v>16180</v>
      </c>
      <c r="B8994" s="787">
        <v>4</v>
      </c>
      <c r="C8994" s="787" t="s">
        <v>16181</v>
      </c>
      <c r="D8994" s="787">
        <v>0</v>
      </c>
      <c r="E8994" s="787">
        <v>0</v>
      </c>
      <c r="H8994" s="787">
        <v>1</v>
      </c>
      <c r="I8994" s="788">
        <v>41845</v>
      </c>
      <c r="L8994" s="787">
        <v>1</v>
      </c>
      <c r="M8994" s="787">
        <v>10</v>
      </c>
      <c r="N8994" s="787">
        <v>5.07</v>
      </c>
      <c r="O8994" s="788">
        <v>41858</v>
      </c>
    </row>
    <row r="8995" spans="1:15" x14ac:dyDescent="0.25">
      <c r="A8995" s="786" t="s">
        <v>16182</v>
      </c>
      <c r="B8995" s="787">
        <v>4</v>
      </c>
      <c r="C8995" s="787" t="s">
        <v>16183</v>
      </c>
      <c r="D8995" s="787">
        <v>1.02</v>
      </c>
      <c r="E8995" s="787">
        <v>1.02</v>
      </c>
      <c r="F8995" s="788">
        <v>41968</v>
      </c>
      <c r="G8995" s="788">
        <v>41968</v>
      </c>
      <c r="H8995" s="787">
        <v>1</v>
      </c>
      <c r="I8995" s="788">
        <v>41892</v>
      </c>
      <c r="J8995" s="788">
        <v>42047</v>
      </c>
      <c r="L8995" s="787">
        <v>1</v>
      </c>
      <c r="M8995" s="787">
        <v>10</v>
      </c>
      <c r="N8995" s="787">
        <v>1.1100000000000001</v>
      </c>
      <c r="O8995" s="788">
        <v>42079</v>
      </c>
    </row>
    <row r="8996" spans="1:15" x14ac:dyDescent="0.25">
      <c r="A8996" s="786" t="s">
        <v>16184</v>
      </c>
      <c r="B8996" s="787">
        <v>4</v>
      </c>
      <c r="C8996" s="787" t="s">
        <v>16185</v>
      </c>
      <c r="D8996" s="787">
        <v>1.1100000000000001</v>
      </c>
      <c r="E8996" s="787">
        <v>2.96</v>
      </c>
      <c r="F8996" s="788">
        <v>41813</v>
      </c>
      <c r="G8996" s="788">
        <v>41968</v>
      </c>
      <c r="H8996" s="787">
        <v>1</v>
      </c>
      <c r="I8996" s="788">
        <v>41892</v>
      </c>
      <c r="J8996" s="788">
        <v>42047</v>
      </c>
      <c r="L8996" s="787">
        <v>1</v>
      </c>
      <c r="M8996" s="787">
        <v>10</v>
      </c>
      <c r="N8996" s="787">
        <v>1.54</v>
      </c>
      <c r="O8996" s="788">
        <v>42079</v>
      </c>
    </row>
    <row r="8997" spans="1:15" x14ac:dyDescent="0.25">
      <c r="A8997" s="786" t="s">
        <v>16186</v>
      </c>
      <c r="B8997" s="787">
        <v>4</v>
      </c>
      <c r="C8997" s="787" t="s">
        <v>16187</v>
      </c>
      <c r="D8997" s="787">
        <v>6.95</v>
      </c>
      <c r="E8997" s="787">
        <v>37.24</v>
      </c>
      <c r="F8997" s="788">
        <v>41813</v>
      </c>
      <c r="G8997" s="788">
        <v>41943</v>
      </c>
      <c r="H8997" s="787">
        <v>1</v>
      </c>
      <c r="I8997" s="788">
        <v>41890</v>
      </c>
      <c r="J8997" s="788">
        <v>41893</v>
      </c>
      <c r="L8997" s="787">
        <v>1</v>
      </c>
      <c r="M8997" s="787">
        <v>10</v>
      </c>
      <c r="N8997" s="787">
        <v>46.16</v>
      </c>
      <c r="O8997" s="788">
        <v>42079</v>
      </c>
    </row>
    <row r="8998" spans="1:15" x14ac:dyDescent="0.25">
      <c r="A8998" s="786" t="s">
        <v>16188</v>
      </c>
      <c r="B8998" s="787">
        <v>4</v>
      </c>
      <c r="C8998" s="787" t="s">
        <v>16189</v>
      </c>
      <c r="D8998" s="787">
        <v>5.42</v>
      </c>
      <c r="E8998" s="787">
        <v>9.99</v>
      </c>
      <c r="F8998" s="788">
        <v>41775</v>
      </c>
      <c r="G8998" s="788">
        <v>41813</v>
      </c>
      <c r="H8998" s="787">
        <v>1</v>
      </c>
      <c r="I8998" s="788">
        <v>41638</v>
      </c>
      <c r="J8998" s="788">
        <v>41605</v>
      </c>
      <c r="L8998" s="787">
        <v>1</v>
      </c>
      <c r="M8998" s="787">
        <v>10</v>
      </c>
      <c r="N8998" s="787">
        <v>5.96</v>
      </c>
      <c r="O8998" s="788">
        <v>42045</v>
      </c>
    </row>
    <row r="8999" spans="1:15" x14ac:dyDescent="0.25">
      <c r="A8999" s="786" t="s">
        <v>16190</v>
      </c>
      <c r="B8999" s="787">
        <v>4</v>
      </c>
      <c r="C8999" s="787" t="s">
        <v>16191</v>
      </c>
      <c r="D8999" s="787">
        <v>2.09</v>
      </c>
      <c r="E8999" s="787">
        <v>4.74</v>
      </c>
      <c r="F8999" s="788">
        <v>41613</v>
      </c>
      <c r="G8999" s="788">
        <v>42013</v>
      </c>
      <c r="H8999" s="787">
        <v>1</v>
      </c>
      <c r="I8999" s="788">
        <v>42146</v>
      </c>
      <c r="J8999" s="788">
        <v>41913</v>
      </c>
      <c r="L8999" s="787">
        <v>1</v>
      </c>
      <c r="M8999" s="787">
        <v>10</v>
      </c>
      <c r="N8999" s="787">
        <v>5.05</v>
      </c>
      <c r="O8999" s="788">
        <v>42082</v>
      </c>
    </row>
    <row r="9000" spans="1:15" x14ac:dyDescent="0.25">
      <c r="A9000" s="786" t="s">
        <v>16192</v>
      </c>
      <c r="B9000" s="787">
        <v>4</v>
      </c>
      <c r="C9000" s="787" t="s">
        <v>16193</v>
      </c>
      <c r="D9000" s="787">
        <v>3.21</v>
      </c>
      <c r="E9000" s="787">
        <v>6.51</v>
      </c>
      <c r="F9000" s="788">
        <v>41613</v>
      </c>
      <c r="G9000" s="788">
        <v>42163</v>
      </c>
      <c r="H9000" s="787">
        <v>1</v>
      </c>
      <c r="I9000" s="788">
        <v>42146</v>
      </c>
      <c r="J9000" s="788">
        <v>42136</v>
      </c>
      <c r="L9000" s="787">
        <v>1</v>
      </c>
      <c r="M9000" s="787">
        <v>10</v>
      </c>
      <c r="N9000" s="787">
        <v>5.68</v>
      </c>
      <c r="O9000" s="788">
        <v>42082</v>
      </c>
    </row>
    <row r="9001" spans="1:15" x14ac:dyDescent="0.25">
      <c r="A9001" s="786" t="s">
        <v>16194</v>
      </c>
      <c r="B9001" s="787">
        <v>4</v>
      </c>
      <c r="C9001" s="787" t="s">
        <v>16195</v>
      </c>
      <c r="D9001" s="787">
        <v>0</v>
      </c>
      <c r="E9001" s="787">
        <v>0</v>
      </c>
      <c r="H9001" s="787">
        <v>1</v>
      </c>
      <c r="I9001" s="788">
        <v>42132</v>
      </c>
      <c r="L9001" s="787">
        <v>1</v>
      </c>
      <c r="M9001" s="787">
        <v>10</v>
      </c>
      <c r="N9001" s="787">
        <v>7.51</v>
      </c>
      <c r="O9001" s="788">
        <v>42128</v>
      </c>
    </row>
    <row r="9002" spans="1:15" x14ac:dyDescent="0.25">
      <c r="A9002" s="786" t="s">
        <v>16196</v>
      </c>
      <c r="B9002" s="787">
        <v>4</v>
      </c>
      <c r="C9002" s="787" t="s">
        <v>16197</v>
      </c>
      <c r="D9002" s="787">
        <v>0</v>
      </c>
      <c r="E9002" s="787">
        <v>0</v>
      </c>
      <c r="H9002" s="787">
        <v>1</v>
      </c>
      <c r="I9002" s="788">
        <v>42132</v>
      </c>
      <c r="L9002" s="787">
        <v>1</v>
      </c>
      <c r="M9002" s="787">
        <v>10</v>
      </c>
      <c r="N9002" s="787">
        <v>7.51</v>
      </c>
      <c r="O9002" s="788">
        <v>42128</v>
      </c>
    </row>
    <row r="9003" spans="1:15" x14ac:dyDescent="0.25">
      <c r="A9003" s="786" t="s">
        <v>16198</v>
      </c>
      <c r="B9003" s="787">
        <v>4</v>
      </c>
      <c r="C9003" s="787" t="s">
        <v>16199</v>
      </c>
      <c r="D9003" s="787">
        <v>0</v>
      </c>
      <c r="E9003" s="787">
        <v>0</v>
      </c>
      <c r="H9003" s="787">
        <v>1</v>
      </c>
      <c r="I9003" s="788">
        <v>42132</v>
      </c>
      <c r="L9003" s="787">
        <v>1</v>
      </c>
      <c r="M9003" s="787">
        <v>10</v>
      </c>
      <c r="N9003" s="787">
        <v>9.2200000000000006</v>
      </c>
      <c r="O9003" s="788">
        <v>42128</v>
      </c>
    </row>
    <row r="9004" spans="1:15" x14ac:dyDescent="0.25">
      <c r="A9004" s="786" t="s">
        <v>16200</v>
      </c>
      <c r="B9004" s="787">
        <v>4</v>
      </c>
      <c r="C9004" s="787" t="s">
        <v>16201</v>
      </c>
      <c r="D9004" s="787">
        <v>0</v>
      </c>
      <c r="E9004" s="787">
        <v>0</v>
      </c>
      <c r="H9004" s="787">
        <v>1</v>
      </c>
      <c r="I9004" s="788">
        <v>42132</v>
      </c>
      <c r="L9004" s="787">
        <v>1</v>
      </c>
      <c r="M9004" s="787">
        <v>10</v>
      </c>
      <c r="N9004" s="787">
        <v>9.2200000000000006</v>
      </c>
      <c r="O9004" s="788">
        <v>42128</v>
      </c>
    </row>
    <row r="9005" spans="1:15" x14ac:dyDescent="0.25">
      <c r="A9005" s="786" t="s">
        <v>16202</v>
      </c>
      <c r="B9005" s="787">
        <v>4</v>
      </c>
      <c r="C9005" s="787" t="s">
        <v>14479</v>
      </c>
      <c r="D9005" s="787">
        <v>2.08</v>
      </c>
      <c r="E9005" s="787">
        <v>2.97</v>
      </c>
      <c r="F9005" s="788">
        <v>41775</v>
      </c>
      <c r="G9005" s="788">
        <v>42013</v>
      </c>
      <c r="H9005" s="787">
        <v>1</v>
      </c>
      <c r="I9005" s="788">
        <v>42132</v>
      </c>
      <c r="J9005" s="788">
        <v>41957</v>
      </c>
      <c r="L9005" s="787">
        <v>1</v>
      </c>
      <c r="M9005" s="787">
        <v>10</v>
      </c>
      <c r="N9005" s="787">
        <v>4.76</v>
      </c>
      <c r="O9005" s="788">
        <v>42128</v>
      </c>
    </row>
    <row r="9006" spans="1:15" x14ac:dyDescent="0.25">
      <c r="A9006" s="786" t="s">
        <v>16203</v>
      </c>
      <c r="B9006" s="787">
        <v>4</v>
      </c>
      <c r="C9006" s="787" t="s">
        <v>16204</v>
      </c>
      <c r="D9006" s="787">
        <v>3.7</v>
      </c>
      <c r="E9006" s="787">
        <v>13.7</v>
      </c>
      <c r="F9006" s="788">
        <v>41775</v>
      </c>
      <c r="G9006" s="788">
        <v>41775</v>
      </c>
      <c r="H9006" s="787">
        <v>1</v>
      </c>
      <c r="I9006" s="788">
        <v>42041</v>
      </c>
      <c r="J9006" s="788">
        <v>41604</v>
      </c>
      <c r="L9006" s="787">
        <v>1</v>
      </c>
      <c r="M9006" s="787">
        <v>10</v>
      </c>
      <c r="N9006" s="787">
        <v>5.94</v>
      </c>
      <c r="O9006" s="788">
        <v>41858</v>
      </c>
    </row>
    <row r="9007" spans="1:15" x14ac:dyDescent="0.25">
      <c r="A9007" s="786" t="s">
        <v>16205</v>
      </c>
      <c r="B9007" s="787">
        <v>4</v>
      </c>
      <c r="C9007" s="787" t="s">
        <v>16206</v>
      </c>
      <c r="D9007" s="787">
        <v>2.5499999999999998</v>
      </c>
      <c r="E9007" s="787">
        <v>2.5499999999999998</v>
      </c>
      <c r="F9007" s="788">
        <v>41465</v>
      </c>
      <c r="G9007" s="788">
        <v>42013</v>
      </c>
      <c r="H9007" s="787">
        <v>1</v>
      </c>
      <c r="I9007" s="788">
        <v>41681</v>
      </c>
      <c r="J9007" s="788">
        <v>41667</v>
      </c>
      <c r="K9007" s="788">
        <v>41610</v>
      </c>
      <c r="L9007" s="787">
        <v>2.4500000000000002</v>
      </c>
      <c r="M9007" s="787">
        <v>20</v>
      </c>
      <c r="N9007" s="787">
        <v>2.63</v>
      </c>
      <c r="O9007" s="788">
        <v>42128</v>
      </c>
    </row>
    <row r="9008" spans="1:15" x14ac:dyDescent="0.25">
      <c r="A9008" s="786" t="s">
        <v>16207</v>
      </c>
      <c r="B9008" s="787">
        <v>4</v>
      </c>
      <c r="C9008" s="787" t="s">
        <v>16208</v>
      </c>
      <c r="D9008" s="787">
        <v>5.88</v>
      </c>
      <c r="E9008" s="787">
        <v>5.88</v>
      </c>
      <c r="F9008" s="788">
        <v>41990</v>
      </c>
      <c r="G9008" s="788">
        <v>41990</v>
      </c>
      <c r="H9008" s="787">
        <v>1</v>
      </c>
      <c r="I9008" s="788">
        <v>42146</v>
      </c>
      <c r="J9008" s="788">
        <v>41969</v>
      </c>
      <c r="L9008" s="787">
        <v>1</v>
      </c>
      <c r="M9008" s="787">
        <v>10</v>
      </c>
      <c r="N9008" s="787">
        <v>6.75</v>
      </c>
      <c r="O9008" s="788">
        <v>42079</v>
      </c>
    </row>
    <row r="9009" spans="1:15" x14ac:dyDescent="0.25">
      <c r="A9009" s="786" t="s">
        <v>16209</v>
      </c>
      <c r="B9009" s="787">
        <v>4</v>
      </c>
      <c r="C9009" s="787" t="s">
        <v>16210</v>
      </c>
      <c r="D9009" s="787">
        <v>0</v>
      </c>
      <c r="E9009" s="787">
        <v>0</v>
      </c>
      <c r="H9009" s="787">
        <v>1</v>
      </c>
      <c r="I9009" s="788">
        <v>42088</v>
      </c>
      <c r="K9009" s="788">
        <v>41376</v>
      </c>
      <c r="L9009" s="787">
        <v>4.71</v>
      </c>
      <c r="M9009" s="787">
        <v>10</v>
      </c>
      <c r="N9009" s="787">
        <v>4.5</v>
      </c>
      <c r="O9009" s="788">
        <v>42061</v>
      </c>
    </row>
    <row r="9010" spans="1:15" x14ac:dyDescent="0.25">
      <c r="A9010" s="786" t="s">
        <v>16211</v>
      </c>
      <c r="B9010" s="787">
        <v>4</v>
      </c>
      <c r="C9010" s="787" t="s">
        <v>16212</v>
      </c>
      <c r="D9010" s="787">
        <v>0</v>
      </c>
      <c r="E9010" s="787">
        <v>0</v>
      </c>
      <c r="H9010" s="787">
        <v>1</v>
      </c>
      <c r="I9010" s="788">
        <v>42088</v>
      </c>
      <c r="K9010" s="788">
        <v>41376</v>
      </c>
      <c r="L9010" s="787">
        <v>4.71</v>
      </c>
      <c r="M9010" s="787">
        <v>10</v>
      </c>
      <c r="N9010" s="787">
        <v>4.5</v>
      </c>
      <c r="O9010" s="788">
        <v>42061</v>
      </c>
    </row>
    <row r="9011" spans="1:15" x14ac:dyDescent="0.25">
      <c r="A9011" s="786" t="s">
        <v>16213</v>
      </c>
      <c r="B9011" s="787">
        <v>4</v>
      </c>
      <c r="C9011" s="787" t="s">
        <v>16214</v>
      </c>
      <c r="D9011" s="787">
        <v>2.1800000000000002</v>
      </c>
      <c r="E9011" s="787">
        <v>2.1800000000000002</v>
      </c>
      <c r="F9011" s="788">
        <v>41467</v>
      </c>
      <c r="G9011" s="788">
        <v>42013</v>
      </c>
      <c r="H9011" s="787">
        <v>1</v>
      </c>
      <c r="I9011" s="788">
        <v>42088</v>
      </c>
      <c r="J9011" s="788">
        <v>41437</v>
      </c>
      <c r="K9011" s="788">
        <v>41376</v>
      </c>
      <c r="L9011" s="787">
        <v>3.03</v>
      </c>
      <c r="M9011" s="787">
        <v>10</v>
      </c>
      <c r="N9011" s="787">
        <v>3.7</v>
      </c>
      <c r="O9011" s="788">
        <v>42061</v>
      </c>
    </row>
    <row r="9012" spans="1:15" x14ac:dyDescent="0.25">
      <c r="A9012" s="786" t="s">
        <v>16215</v>
      </c>
      <c r="B9012" s="787">
        <v>4</v>
      </c>
      <c r="C9012" s="787" t="s">
        <v>16216</v>
      </c>
      <c r="D9012" s="787">
        <v>0</v>
      </c>
      <c r="E9012" s="787">
        <v>0</v>
      </c>
      <c r="H9012" s="787">
        <v>1</v>
      </c>
      <c r="I9012" s="788">
        <v>42088</v>
      </c>
      <c r="K9012" s="788">
        <v>41376</v>
      </c>
      <c r="L9012" s="787">
        <v>2.09</v>
      </c>
      <c r="M9012" s="787">
        <v>10</v>
      </c>
      <c r="N9012" s="787">
        <v>2.06</v>
      </c>
      <c r="O9012" s="788">
        <v>42061</v>
      </c>
    </row>
    <row r="9013" spans="1:15" x14ac:dyDescent="0.25">
      <c r="A9013" s="786" t="s">
        <v>16217</v>
      </c>
      <c r="B9013" s="787">
        <v>4</v>
      </c>
      <c r="C9013" s="787" t="s">
        <v>16218</v>
      </c>
      <c r="D9013" s="787">
        <v>0</v>
      </c>
      <c r="E9013" s="787">
        <v>0</v>
      </c>
      <c r="H9013" s="787">
        <v>1</v>
      </c>
      <c r="I9013" s="788">
        <v>42088</v>
      </c>
      <c r="K9013" s="788">
        <v>41376</v>
      </c>
      <c r="L9013" s="787">
        <v>2.09</v>
      </c>
      <c r="M9013" s="787">
        <v>10</v>
      </c>
      <c r="N9013" s="787">
        <v>2.06</v>
      </c>
      <c r="O9013" s="788">
        <v>42061</v>
      </c>
    </row>
    <row r="9014" spans="1:15" x14ac:dyDescent="0.25">
      <c r="A9014" s="786" t="s">
        <v>16219</v>
      </c>
      <c r="B9014" s="787">
        <v>4</v>
      </c>
      <c r="C9014" s="787" t="s">
        <v>16220</v>
      </c>
      <c r="D9014" s="787">
        <v>0.3</v>
      </c>
      <c r="E9014" s="787">
        <v>0.3</v>
      </c>
      <c r="F9014" s="788">
        <v>41813</v>
      </c>
      <c r="G9014" s="788">
        <v>42013</v>
      </c>
      <c r="H9014" s="787">
        <v>1</v>
      </c>
      <c r="I9014" s="788">
        <v>42088</v>
      </c>
      <c r="J9014" s="788">
        <v>41438</v>
      </c>
      <c r="K9014" s="788">
        <v>41376</v>
      </c>
      <c r="L9014" s="787">
        <v>1.34</v>
      </c>
      <c r="M9014" s="787">
        <v>10</v>
      </c>
      <c r="N9014" s="787">
        <v>1.28</v>
      </c>
      <c r="O9014" s="788">
        <v>42061</v>
      </c>
    </row>
    <row r="9015" spans="1:15" x14ac:dyDescent="0.25">
      <c r="A9015" s="786" t="s">
        <v>16221</v>
      </c>
      <c r="B9015" s="787">
        <v>4</v>
      </c>
      <c r="C9015" s="787" t="s">
        <v>16222</v>
      </c>
      <c r="D9015" s="787">
        <v>1.05</v>
      </c>
      <c r="E9015" s="787">
        <v>1.05</v>
      </c>
      <c r="F9015" s="788">
        <v>41397</v>
      </c>
      <c r="G9015" s="788">
        <v>41943</v>
      </c>
      <c r="H9015" s="787">
        <v>5</v>
      </c>
      <c r="I9015" s="788">
        <v>41968</v>
      </c>
      <c r="J9015" s="788">
        <v>41366</v>
      </c>
      <c r="K9015" s="788">
        <v>41358</v>
      </c>
      <c r="L9015" s="787">
        <v>2.02</v>
      </c>
      <c r="M9015" s="787">
        <v>10</v>
      </c>
      <c r="N9015" s="787">
        <v>2</v>
      </c>
      <c r="O9015" s="788">
        <v>42038</v>
      </c>
    </row>
    <row r="9016" spans="1:15" x14ac:dyDescent="0.25">
      <c r="A9016" s="786" t="s">
        <v>16223</v>
      </c>
      <c r="B9016" s="787">
        <v>4</v>
      </c>
      <c r="C9016" s="787" t="s">
        <v>16224</v>
      </c>
      <c r="D9016" s="787">
        <v>3.87</v>
      </c>
      <c r="E9016" s="787">
        <v>5.18</v>
      </c>
      <c r="F9016" s="788">
        <v>41813</v>
      </c>
      <c r="G9016" s="788">
        <v>42072</v>
      </c>
      <c r="H9016" s="787">
        <v>1</v>
      </c>
      <c r="I9016" s="788">
        <v>42046</v>
      </c>
      <c r="J9016" s="788">
        <v>42041</v>
      </c>
      <c r="K9016" s="788">
        <v>41544</v>
      </c>
      <c r="L9016" s="787">
        <v>0.7</v>
      </c>
      <c r="M9016" s="787">
        <v>10</v>
      </c>
      <c r="N9016" s="787">
        <v>16.91</v>
      </c>
      <c r="O9016" s="788">
        <v>42047</v>
      </c>
    </row>
    <row r="9017" spans="1:15" x14ac:dyDescent="0.25">
      <c r="A9017" s="786" t="s">
        <v>16225</v>
      </c>
      <c r="B9017" s="787">
        <v>4</v>
      </c>
      <c r="C9017" s="787" t="s">
        <v>16226</v>
      </c>
      <c r="D9017" s="787">
        <v>0</v>
      </c>
      <c r="E9017" s="787">
        <v>0</v>
      </c>
      <c r="H9017" s="787">
        <v>1</v>
      </c>
      <c r="K9017" s="788">
        <v>41621</v>
      </c>
      <c r="L9017" s="787">
        <v>54.03</v>
      </c>
      <c r="M9017" s="787">
        <v>10</v>
      </c>
      <c r="N9017" s="787">
        <v>54.06</v>
      </c>
      <c r="O9017" s="788">
        <v>41710</v>
      </c>
    </row>
    <row r="9018" spans="1:15" x14ac:dyDescent="0.25">
      <c r="A9018" s="786" t="s">
        <v>16227</v>
      </c>
      <c r="B9018" s="787">
        <v>4</v>
      </c>
      <c r="C9018" s="787" t="s">
        <v>16228</v>
      </c>
      <c r="D9018" s="787">
        <v>0</v>
      </c>
      <c r="E9018" s="787">
        <v>0</v>
      </c>
      <c r="H9018" s="787">
        <v>1</v>
      </c>
      <c r="K9018" s="788">
        <v>41621</v>
      </c>
      <c r="L9018" s="787">
        <v>54.03</v>
      </c>
      <c r="M9018" s="787">
        <v>10</v>
      </c>
      <c r="N9018" s="787">
        <v>54.06</v>
      </c>
      <c r="O9018" s="788">
        <v>41710</v>
      </c>
    </row>
    <row r="9019" spans="1:15" x14ac:dyDescent="0.25">
      <c r="A9019" s="786" t="s">
        <v>16229</v>
      </c>
      <c r="B9019" s="787">
        <v>4</v>
      </c>
      <c r="C9019" s="787" t="s">
        <v>16230</v>
      </c>
      <c r="D9019" s="787">
        <v>0</v>
      </c>
      <c r="E9019" s="787">
        <v>0</v>
      </c>
      <c r="H9019" s="787">
        <v>1</v>
      </c>
      <c r="K9019" s="788">
        <v>41621</v>
      </c>
      <c r="L9019" s="787">
        <v>71.47</v>
      </c>
      <c r="M9019" s="787">
        <v>10</v>
      </c>
      <c r="N9019" s="787">
        <v>71.5</v>
      </c>
      <c r="O9019" s="788">
        <v>41710</v>
      </c>
    </row>
    <row r="9020" spans="1:15" x14ac:dyDescent="0.25">
      <c r="A9020" s="786" t="s">
        <v>16231</v>
      </c>
      <c r="B9020" s="787">
        <v>4</v>
      </c>
      <c r="C9020" s="787" t="s">
        <v>16232</v>
      </c>
      <c r="D9020" s="787">
        <v>0</v>
      </c>
      <c r="E9020" s="787">
        <v>0</v>
      </c>
      <c r="H9020" s="787">
        <v>1</v>
      </c>
      <c r="K9020" s="788">
        <v>41621</v>
      </c>
      <c r="L9020" s="787">
        <v>71.47</v>
      </c>
      <c r="M9020" s="787">
        <v>10</v>
      </c>
      <c r="N9020" s="787">
        <v>71.5</v>
      </c>
      <c r="O9020" s="788">
        <v>41710</v>
      </c>
    </row>
    <row r="9021" spans="1:15" x14ac:dyDescent="0.25">
      <c r="A9021" s="786" t="s">
        <v>16233</v>
      </c>
      <c r="B9021" s="787">
        <v>4</v>
      </c>
      <c r="C9021" s="787" t="s">
        <v>16234</v>
      </c>
      <c r="D9021" s="787">
        <v>0</v>
      </c>
      <c r="E9021" s="787">
        <v>0</v>
      </c>
      <c r="H9021" s="787">
        <v>1</v>
      </c>
      <c r="K9021" s="788">
        <v>41620</v>
      </c>
      <c r="L9021" s="787">
        <v>8.06</v>
      </c>
      <c r="M9021" s="787">
        <v>10</v>
      </c>
      <c r="N9021" s="787">
        <v>7.99</v>
      </c>
      <c r="O9021" s="788">
        <v>41858</v>
      </c>
    </row>
    <row r="9022" spans="1:15" x14ac:dyDescent="0.25">
      <c r="A9022" s="786" t="s">
        <v>16235</v>
      </c>
      <c r="B9022" s="787">
        <v>4</v>
      </c>
      <c r="C9022" s="787" t="s">
        <v>16236</v>
      </c>
      <c r="D9022" s="787">
        <v>0</v>
      </c>
      <c r="E9022" s="787">
        <v>0</v>
      </c>
      <c r="H9022" s="787">
        <v>1</v>
      </c>
      <c r="K9022" s="788">
        <v>41620</v>
      </c>
      <c r="L9022" s="787">
        <v>8.26</v>
      </c>
      <c r="M9022" s="787">
        <v>10</v>
      </c>
      <c r="N9022" s="787">
        <v>8.18</v>
      </c>
      <c r="O9022" s="788">
        <v>41858</v>
      </c>
    </row>
    <row r="9023" spans="1:15" x14ac:dyDescent="0.25">
      <c r="A9023" s="786" t="s">
        <v>16237</v>
      </c>
      <c r="B9023" s="787">
        <v>4</v>
      </c>
      <c r="C9023" s="787" t="s">
        <v>16238</v>
      </c>
      <c r="D9023" s="787">
        <v>0</v>
      </c>
      <c r="E9023" s="787">
        <v>0</v>
      </c>
      <c r="H9023" s="787">
        <v>1</v>
      </c>
      <c r="K9023" s="788">
        <v>41620</v>
      </c>
      <c r="L9023" s="787">
        <v>9.83</v>
      </c>
      <c r="M9023" s="787">
        <v>10</v>
      </c>
      <c r="N9023" s="787">
        <v>9.73</v>
      </c>
      <c r="O9023" s="788">
        <v>41858</v>
      </c>
    </row>
    <row r="9024" spans="1:15" x14ac:dyDescent="0.25">
      <c r="A9024" s="786" t="s">
        <v>16239</v>
      </c>
      <c r="B9024" s="787">
        <v>4</v>
      </c>
      <c r="C9024" s="787" t="s">
        <v>16240</v>
      </c>
      <c r="D9024" s="787">
        <v>0</v>
      </c>
      <c r="E9024" s="787">
        <v>0</v>
      </c>
      <c r="H9024" s="787">
        <v>1</v>
      </c>
      <c r="K9024" s="788">
        <v>41620</v>
      </c>
      <c r="L9024" s="787">
        <v>10.19</v>
      </c>
      <c r="M9024" s="787">
        <v>10</v>
      </c>
      <c r="N9024" s="787">
        <v>10.08</v>
      </c>
      <c r="O9024" s="788">
        <v>41858</v>
      </c>
    </row>
    <row r="9025" spans="1:15" x14ac:dyDescent="0.25">
      <c r="A9025" s="786" t="s">
        <v>16241</v>
      </c>
      <c r="B9025" s="787">
        <v>4</v>
      </c>
      <c r="C9025" s="787" t="s">
        <v>16122</v>
      </c>
      <c r="D9025" s="787">
        <v>0</v>
      </c>
      <c r="E9025" s="787">
        <v>0</v>
      </c>
      <c r="H9025" s="787">
        <v>1</v>
      </c>
      <c r="K9025" s="788">
        <v>41620</v>
      </c>
      <c r="L9025" s="787">
        <v>5.25</v>
      </c>
      <c r="M9025" s="787">
        <v>10</v>
      </c>
      <c r="N9025" s="787">
        <v>5.18</v>
      </c>
      <c r="O9025" s="788">
        <v>41858</v>
      </c>
    </row>
    <row r="9026" spans="1:15" x14ac:dyDescent="0.25">
      <c r="A9026" s="786" t="s">
        <v>16242</v>
      </c>
      <c r="B9026" s="787">
        <v>4</v>
      </c>
      <c r="C9026" s="787" t="s">
        <v>16243</v>
      </c>
      <c r="D9026" s="787">
        <v>0</v>
      </c>
      <c r="E9026" s="787">
        <v>0</v>
      </c>
      <c r="H9026" s="787">
        <v>1</v>
      </c>
      <c r="K9026" s="788">
        <v>41620</v>
      </c>
      <c r="L9026" s="787">
        <v>5</v>
      </c>
      <c r="M9026" s="787">
        <v>10</v>
      </c>
      <c r="N9026" s="787">
        <v>4.96</v>
      </c>
      <c r="O9026" s="788">
        <v>41858</v>
      </c>
    </row>
    <row r="9027" spans="1:15" x14ac:dyDescent="0.25">
      <c r="A9027" s="786" t="s">
        <v>16244</v>
      </c>
      <c r="B9027" s="787">
        <v>4</v>
      </c>
      <c r="C9027" s="787" t="s">
        <v>16245</v>
      </c>
      <c r="D9027" s="787">
        <v>0</v>
      </c>
      <c r="E9027" s="787">
        <v>0</v>
      </c>
      <c r="H9027" s="787">
        <v>1</v>
      </c>
      <c r="K9027" s="788">
        <v>41621</v>
      </c>
      <c r="L9027" s="787">
        <v>72.05</v>
      </c>
      <c r="M9027" s="787">
        <v>10</v>
      </c>
      <c r="N9027" s="787">
        <v>72.75</v>
      </c>
      <c r="O9027" s="788">
        <v>41858</v>
      </c>
    </row>
    <row r="9028" spans="1:15" x14ac:dyDescent="0.25">
      <c r="A9028" s="786" t="s">
        <v>16246</v>
      </c>
      <c r="B9028" s="787">
        <v>4</v>
      </c>
      <c r="C9028" s="787" t="s">
        <v>16247</v>
      </c>
      <c r="D9028" s="787">
        <v>0</v>
      </c>
      <c r="E9028" s="787">
        <v>0</v>
      </c>
      <c r="H9028" s="787">
        <v>1</v>
      </c>
      <c r="K9028" s="788">
        <v>41621</v>
      </c>
      <c r="L9028" s="787">
        <v>72.05</v>
      </c>
      <c r="M9028" s="787">
        <v>10</v>
      </c>
      <c r="N9028" s="787">
        <v>72.75</v>
      </c>
      <c r="O9028" s="788">
        <v>41858</v>
      </c>
    </row>
    <row r="9029" spans="1:15" x14ac:dyDescent="0.25">
      <c r="A9029" s="786" t="s">
        <v>16248</v>
      </c>
      <c r="B9029" s="787">
        <v>4</v>
      </c>
      <c r="C9029" s="787" t="s">
        <v>16249</v>
      </c>
      <c r="D9029" s="787">
        <v>0</v>
      </c>
      <c r="E9029" s="787">
        <v>0</v>
      </c>
      <c r="H9029" s="787">
        <v>1</v>
      </c>
      <c r="K9029" s="788">
        <v>41621</v>
      </c>
      <c r="L9029" s="787">
        <v>89.49</v>
      </c>
      <c r="M9029" s="787">
        <v>10</v>
      </c>
      <c r="N9029" s="787">
        <v>77.84</v>
      </c>
      <c r="O9029" s="788">
        <v>42163</v>
      </c>
    </row>
    <row r="9030" spans="1:15" x14ac:dyDescent="0.25">
      <c r="A9030" s="786" t="s">
        <v>16250</v>
      </c>
      <c r="B9030" s="787">
        <v>4</v>
      </c>
      <c r="C9030" s="787" t="s">
        <v>16251</v>
      </c>
      <c r="D9030" s="787">
        <v>0</v>
      </c>
      <c r="E9030" s="787">
        <v>0</v>
      </c>
      <c r="H9030" s="787">
        <v>1</v>
      </c>
      <c r="K9030" s="788">
        <v>41621</v>
      </c>
      <c r="L9030" s="787">
        <v>89.49</v>
      </c>
      <c r="M9030" s="787">
        <v>10</v>
      </c>
      <c r="N9030" s="787">
        <v>77.84</v>
      </c>
      <c r="O9030" s="788">
        <v>42163</v>
      </c>
    </row>
    <row r="9031" spans="1:15" x14ac:dyDescent="0.25">
      <c r="A9031" s="786" t="s">
        <v>16252</v>
      </c>
      <c r="B9031" s="787">
        <v>4</v>
      </c>
      <c r="C9031" s="787" t="s">
        <v>16253</v>
      </c>
      <c r="D9031" s="787">
        <v>0.87</v>
      </c>
      <c r="E9031" s="787">
        <v>1.19</v>
      </c>
      <c r="F9031" s="788">
        <v>42018</v>
      </c>
      <c r="G9031" s="788">
        <v>42101</v>
      </c>
      <c r="H9031" s="787">
        <v>1</v>
      </c>
      <c r="I9031" s="788">
        <v>42068</v>
      </c>
      <c r="J9031" s="788">
        <v>42068</v>
      </c>
      <c r="K9031" s="788">
        <v>41621</v>
      </c>
      <c r="L9031" s="787">
        <v>1.27</v>
      </c>
      <c r="M9031" s="787">
        <v>10</v>
      </c>
      <c r="N9031" s="787">
        <v>1.24</v>
      </c>
      <c r="O9031" s="788">
        <v>42048</v>
      </c>
    </row>
    <row r="9032" spans="1:15" x14ac:dyDescent="0.25">
      <c r="A9032" s="786" t="s">
        <v>16254</v>
      </c>
      <c r="B9032" s="787">
        <v>4</v>
      </c>
      <c r="C9032" s="787" t="s">
        <v>16255</v>
      </c>
      <c r="D9032" s="787">
        <v>6.26</v>
      </c>
      <c r="E9032" s="787">
        <v>15.41</v>
      </c>
      <c r="F9032" s="788">
        <v>41970</v>
      </c>
      <c r="G9032" s="788">
        <v>42093</v>
      </c>
      <c r="H9032" s="787">
        <v>1</v>
      </c>
      <c r="I9032" s="788">
        <v>42114</v>
      </c>
      <c r="J9032" s="788">
        <v>42068</v>
      </c>
      <c r="L9032" s="787">
        <v>1</v>
      </c>
      <c r="M9032" s="787">
        <v>10</v>
      </c>
      <c r="N9032" s="787">
        <v>13.8</v>
      </c>
      <c r="O9032" s="788">
        <v>42048</v>
      </c>
    </row>
    <row r="9033" spans="1:15" x14ac:dyDescent="0.25">
      <c r="A9033" s="786" t="s">
        <v>16256</v>
      </c>
      <c r="B9033" s="787">
        <v>4</v>
      </c>
      <c r="C9033" s="787" t="s">
        <v>16257</v>
      </c>
      <c r="D9033" s="787">
        <v>9.73</v>
      </c>
      <c r="E9033" s="787">
        <v>39.729999999999997</v>
      </c>
      <c r="F9033" s="788">
        <v>41908</v>
      </c>
      <c r="G9033" s="788">
        <v>41943</v>
      </c>
      <c r="H9033" s="787">
        <v>1</v>
      </c>
      <c r="I9033" s="788">
        <v>42150</v>
      </c>
      <c r="J9033" s="788">
        <v>42032</v>
      </c>
      <c r="L9033" s="787">
        <v>1</v>
      </c>
      <c r="M9033" s="787">
        <v>10</v>
      </c>
      <c r="N9033" s="787">
        <v>24.3</v>
      </c>
      <c r="O9033" s="788">
        <v>42146</v>
      </c>
    </row>
    <row r="9034" spans="1:15" x14ac:dyDescent="0.25">
      <c r="A9034" s="786" t="s">
        <v>16258</v>
      </c>
      <c r="B9034" s="787">
        <v>4</v>
      </c>
      <c r="C9034" s="787" t="s">
        <v>16259</v>
      </c>
      <c r="D9034" s="787">
        <v>8.39</v>
      </c>
      <c r="E9034" s="787">
        <v>40.42</v>
      </c>
      <c r="F9034" s="788">
        <v>41519</v>
      </c>
      <c r="G9034" s="788">
        <v>41943</v>
      </c>
      <c r="H9034" s="787">
        <v>1</v>
      </c>
      <c r="I9034" s="788">
        <v>42150</v>
      </c>
      <c r="J9034" s="788">
        <v>42032</v>
      </c>
      <c r="L9034" s="787">
        <v>1</v>
      </c>
      <c r="M9034" s="787">
        <v>10</v>
      </c>
      <c r="N9034" s="787">
        <v>20.02</v>
      </c>
      <c r="O9034" s="788">
        <v>42146</v>
      </c>
    </row>
    <row r="9035" spans="1:15" x14ac:dyDescent="0.25">
      <c r="A9035" s="786" t="s">
        <v>16260</v>
      </c>
      <c r="B9035" s="787">
        <v>4</v>
      </c>
      <c r="C9035" s="787" t="s">
        <v>16261</v>
      </c>
      <c r="D9035" s="787">
        <v>1.36</v>
      </c>
      <c r="E9035" s="787">
        <v>51.36</v>
      </c>
      <c r="F9035" s="788">
        <v>42072</v>
      </c>
      <c r="G9035" s="788">
        <v>42072</v>
      </c>
      <c r="H9035" s="787">
        <v>1</v>
      </c>
      <c r="I9035" s="788">
        <v>42152</v>
      </c>
      <c r="J9035" s="788">
        <v>42046</v>
      </c>
      <c r="K9035" s="788">
        <v>41919</v>
      </c>
      <c r="L9035" s="787">
        <v>82.28</v>
      </c>
      <c r="M9035" s="787">
        <v>10</v>
      </c>
      <c r="N9035" s="787">
        <v>59.71</v>
      </c>
      <c r="O9035" s="788">
        <v>42146</v>
      </c>
    </row>
    <row r="9036" spans="1:15" x14ac:dyDescent="0.25">
      <c r="A9036" s="786" t="s">
        <v>16262</v>
      </c>
      <c r="B9036" s="787">
        <v>4</v>
      </c>
      <c r="C9036" s="787" t="s">
        <v>15989</v>
      </c>
      <c r="D9036" s="787">
        <v>2.85</v>
      </c>
      <c r="E9036" s="787">
        <v>11.33</v>
      </c>
      <c r="F9036" s="788">
        <v>41908</v>
      </c>
      <c r="G9036" s="788">
        <v>41963</v>
      </c>
      <c r="H9036" s="787">
        <v>1</v>
      </c>
      <c r="I9036" s="788">
        <v>42165</v>
      </c>
      <c r="J9036" s="788">
        <v>42066</v>
      </c>
      <c r="L9036" s="787">
        <v>1</v>
      </c>
      <c r="M9036" s="787">
        <v>10</v>
      </c>
      <c r="N9036" s="787">
        <v>9.8699999999999992</v>
      </c>
      <c r="O9036" s="788">
        <v>42146</v>
      </c>
    </row>
    <row r="9037" spans="1:15" x14ac:dyDescent="0.25">
      <c r="A9037" s="786" t="s">
        <v>16263</v>
      </c>
      <c r="B9037" s="787">
        <v>4</v>
      </c>
      <c r="C9037" s="787" t="s">
        <v>16264</v>
      </c>
      <c r="D9037" s="787">
        <v>9.9700000000000006</v>
      </c>
      <c r="E9037" s="787">
        <v>16.73</v>
      </c>
      <c r="F9037" s="788">
        <v>41613</v>
      </c>
      <c r="G9037" s="788">
        <v>42114</v>
      </c>
      <c r="H9037" s="787">
        <v>1</v>
      </c>
      <c r="I9037" s="788">
        <v>42152</v>
      </c>
      <c r="J9037" s="788">
        <v>42114</v>
      </c>
      <c r="L9037" s="787">
        <v>1</v>
      </c>
      <c r="M9037" s="787">
        <v>10</v>
      </c>
      <c r="N9037" s="787">
        <v>10.8</v>
      </c>
      <c r="O9037" s="788">
        <v>42146</v>
      </c>
    </row>
    <row r="9038" spans="1:15" x14ac:dyDescent="0.25">
      <c r="A9038" s="786" t="s">
        <v>16265</v>
      </c>
      <c r="B9038" s="787">
        <v>4</v>
      </c>
      <c r="C9038" s="787" t="s">
        <v>16266</v>
      </c>
      <c r="D9038" s="787">
        <v>0.25</v>
      </c>
      <c r="E9038" s="787">
        <v>34.33</v>
      </c>
      <c r="F9038" s="788">
        <v>41996</v>
      </c>
      <c r="G9038" s="788">
        <v>42166</v>
      </c>
      <c r="H9038" s="787">
        <v>1</v>
      </c>
      <c r="I9038" s="788">
        <v>42153</v>
      </c>
      <c r="J9038" s="788">
        <v>42136</v>
      </c>
      <c r="L9038" s="787">
        <v>1</v>
      </c>
      <c r="M9038" s="787">
        <v>10</v>
      </c>
      <c r="N9038" s="787">
        <v>36.270000000000003</v>
      </c>
      <c r="O9038" s="788">
        <v>42027</v>
      </c>
    </row>
    <row r="9039" spans="1:15" x14ac:dyDescent="0.25">
      <c r="A9039" s="786" t="s">
        <v>16267</v>
      </c>
      <c r="B9039" s="787">
        <v>4</v>
      </c>
      <c r="C9039" s="787" t="s">
        <v>16268</v>
      </c>
      <c r="D9039" s="787">
        <v>7.78</v>
      </c>
      <c r="E9039" s="787">
        <v>17.78</v>
      </c>
      <c r="F9039" s="788">
        <v>42075</v>
      </c>
      <c r="G9039" s="788">
        <v>42075</v>
      </c>
      <c r="H9039" s="787">
        <v>1</v>
      </c>
      <c r="I9039" s="788">
        <v>41687</v>
      </c>
      <c r="J9039" s="788">
        <v>42048</v>
      </c>
      <c r="L9039" s="787">
        <v>1</v>
      </c>
      <c r="M9039" s="787">
        <v>10</v>
      </c>
      <c r="N9039" s="787">
        <v>38.71</v>
      </c>
      <c r="O9039" s="788">
        <v>42047</v>
      </c>
    </row>
    <row r="9040" spans="1:15" x14ac:dyDescent="0.25">
      <c r="A9040" s="786" t="s">
        <v>16269</v>
      </c>
      <c r="B9040" s="787">
        <v>4</v>
      </c>
      <c r="C9040" s="787" t="s">
        <v>16270</v>
      </c>
      <c r="D9040" s="787">
        <v>7.27</v>
      </c>
      <c r="E9040" s="787">
        <v>27.27</v>
      </c>
      <c r="F9040" s="788">
        <v>42072</v>
      </c>
      <c r="G9040" s="788">
        <v>42072</v>
      </c>
      <c r="H9040" s="787">
        <v>1</v>
      </c>
      <c r="J9040" s="788">
        <v>42045</v>
      </c>
      <c r="K9040" s="788">
        <v>41562</v>
      </c>
      <c r="L9040" s="787">
        <v>25</v>
      </c>
      <c r="M9040" s="787">
        <v>10</v>
      </c>
      <c r="N9040" s="787">
        <v>26.92</v>
      </c>
      <c r="O9040" s="788">
        <v>42045</v>
      </c>
    </row>
    <row r="9041" spans="1:15" x14ac:dyDescent="0.25">
      <c r="A9041" s="786" t="s">
        <v>16271</v>
      </c>
      <c r="B9041" s="787">
        <v>4</v>
      </c>
      <c r="C9041" s="787" t="s">
        <v>15302</v>
      </c>
      <c r="D9041" s="787">
        <v>0</v>
      </c>
      <c r="E9041" s="787">
        <v>0</v>
      </c>
      <c r="H9041" s="787">
        <v>1</v>
      </c>
      <c r="I9041" s="788">
        <v>41808</v>
      </c>
      <c r="L9041" s="787">
        <v>1</v>
      </c>
      <c r="M9041" s="787">
        <v>10</v>
      </c>
      <c r="N9041" s="787">
        <v>84.59</v>
      </c>
      <c r="O9041" s="788">
        <v>42069</v>
      </c>
    </row>
    <row r="9042" spans="1:15" x14ac:dyDescent="0.25">
      <c r="A9042" s="786" t="s">
        <v>16272</v>
      </c>
      <c r="B9042" s="787">
        <v>4</v>
      </c>
      <c r="C9042" s="787" t="s">
        <v>16273</v>
      </c>
      <c r="D9042" s="787">
        <v>1.17</v>
      </c>
      <c r="E9042" s="787">
        <v>24.23</v>
      </c>
      <c r="F9042" s="788">
        <v>41775</v>
      </c>
      <c r="G9042" s="788">
        <v>42165</v>
      </c>
      <c r="H9042" s="787">
        <v>1</v>
      </c>
      <c r="I9042" s="788">
        <v>42152</v>
      </c>
      <c r="J9042" s="788">
        <v>42132</v>
      </c>
      <c r="L9042" s="787">
        <v>1</v>
      </c>
      <c r="M9042" s="787">
        <v>10</v>
      </c>
      <c r="N9042" s="787">
        <v>24.92</v>
      </c>
      <c r="O9042" s="788">
        <v>42146</v>
      </c>
    </row>
    <row r="9043" spans="1:15" x14ac:dyDescent="0.25">
      <c r="A9043" s="786" t="s">
        <v>16274</v>
      </c>
      <c r="B9043" s="787">
        <v>4</v>
      </c>
      <c r="C9043" s="787" t="s">
        <v>16275</v>
      </c>
      <c r="D9043" s="787">
        <v>0</v>
      </c>
      <c r="E9043" s="787">
        <v>0</v>
      </c>
      <c r="H9043" s="787">
        <v>1</v>
      </c>
      <c r="I9043" s="788">
        <v>41808</v>
      </c>
      <c r="L9043" s="787">
        <v>1</v>
      </c>
      <c r="M9043" s="787">
        <v>10</v>
      </c>
      <c r="N9043" s="787">
        <v>71.41</v>
      </c>
      <c r="O9043" s="788">
        <v>42061</v>
      </c>
    </row>
    <row r="9044" spans="1:15" x14ac:dyDescent="0.25">
      <c r="A9044" s="786" t="s">
        <v>16276</v>
      </c>
      <c r="B9044" s="787">
        <v>4</v>
      </c>
      <c r="C9044" s="787" t="s">
        <v>16277</v>
      </c>
      <c r="D9044" s="787">
        <v>0</v>
      </c>
      <c r="E9044" s="787">
        <v>0</v>
      </c>
      <c r="H9044" s="787">
        <v>1</v>
      </c>
      <c r="I9044" s="788">
        <v>41808</v>
      </c>
      <c r="L9044" s="787">
        <v>1</v>
      </c>
      <c r="M9044" s="787">
        <v>10</v>
      </c>
      <c r="N9044" s="787">
        <v>0</v>
      </c>
    </row>
    <row r="9045" spans="1:15" x14ac:dyDescent="0.25">
      <c r="A9045" s="786" t="s">
        <v>16278</v>
      </c>
      <c r="B9045" s="787">
        <v>4</v>
      </c>
      <c r="C9045" s="787" t="s">
        <v>15300</v>
      </c>
      <c r="D9045" s="787">
        <v>0</v>
      </c>
      <c r="E9045" s="787">
        <v>0</v>
      </c>
      <c r="H9045" s="787">
        <v>1</v>
      </c>
      <c r="I9045" s="788">
        <v>41808</v>
      </c>
      <c r="L9045" s="787">
        <v>1</v>
      </c>
      <c r="M9045" s="787">
        <v>10</v>
      </c>
      <c r="N9045" s="787">
        <v>86.07</v>
      </c>
      <c r="O9045" s="788">
        <v>42069</v>
      </c>
    </row>
    <row r="9046" spans="1:15" x14ac:dyDescent="0.25">
      <c r="A9046" s="786" t="s">
        <v>16279</v>
      </c>
      <c r="B9046" s="787">
        <v>4</v>
      </c>
      <c r="C9046" s="787" t="s">
        <v>16280</v>
      </c>
      <c r="D9046" s="787">
        <v>8.3800000000000008</v>
      </c>
      <c r="E9046" s="787">
        <v>29.08</v>
      </c>
      <c r="F9046" s="788">
        <v>41613</v>
      </c>
      <c r="G9046" s="788">
        <v>42075</v>
      </c>
      <c r="H9046" s="787">
        <v>1</v>
      </c>
      <c r="I9046" s="788">
        <v>41808</v>
      </c>
      <c r="J9046" s="788">
        <v>42048</v>
      </c>
      <c r="L9046" s="787">
        <v>1</v>
      </c>
      <c r="M9046" s="787">
        <v>10</v>
      </c>
      <c r="N9046" s="787">
        <v>38.71</v>
      </c>
      <c r="O9046" s="788">
        <v>42047</v>
      </c>
    </row>
    <row r="9047" spans="1:15" x14ac:dyDescent="0.25">
      <c r="A9047" s="786" t="s">
        <v>16281</v>
      </c>
      <c r="B9047" s="787">
        <v>4</v>
      </c>
      <c r="C9047" s="787" t="s">
        <v>16282</v>
      </c>
      <c r="D9047" s="787">
        <v>0.9</v>
      </c>
      <c r="E9047" s="787">
        <v>55.21</v>
      </c>
      <c r="F9047" s="788">
        <v>41809</v>
      </c>
      <c r="G9047" s="788">
        <v>42075</v>
      </c>
      <c r="H9047" s="787">
        <v>1</v>
      </c>
      <c r="I9047" s="788">
        <v>42152</v>
      </c>
      <c r="J9047" s="788">
        <v>42048</v>
      </c>
      <c r="K9047" s="788">
        <v>41558</v>
      </c>
      <c r="L9047" s="787">
        <v>30</v>
      </c>
      <c r="M9047" s="787">
        <v>10</v>
      </c>
      <c r="N9047" s="787">
        <v>59</v>
      </c>
      <c r="O9047" s="788">
        <v>42146</v>
      </c>
    </row>
    <row r="9048" spans="1:15" x14ac:dyDescent="0.25">
      <c r="A9048" s="786" t="s">
        <v>16283</v>
      </c>
      <c r="B9048" s="787">
        <v>4</v>
      </c>
      <c r="C9048" s="787" t="s">
        <v>16284</v>
      </c>
      <c r="D9048" s="787">
        <v>3.31</v>
      </c>
      <c r="E9048" s="787">
        <v>5.43</v>
      </c>
      <c r="F9048" s="788">
        <v>41855</v>
      </c>
      <c r="G9048" s="788">
        <v>41963</v>
      </c>
      <c r="H9048" s="787">
        <v>1</v>
      </c>
      <c r="I9048" s="788">
        <v>42031</v>
      </c>
      <c r="J9048" s="788">
        <v>42047</v>
      </c>
      <c r="L9048" s="787">
        <v>1</v>
      </c>
      <c r="M9048" s="787">
        <v>10</v>
      </c>
      <c r="N9048" s="787">
        <v>2.11</v>
      </c>
      <c r="O9048" s="788">
        <v>42146</v>
      </c>
    </row>
    <row r="9049" spans="1:15" x14ac:dyDescent="0.25">
      <c r="A9049" s="786" t="s">
        <v>16285</v>
      </c>
      <c r="B9049" s="787">
        <v>4</v>
      </c>
      <c r="C9049" s="787" t="s">
        <v>16286</v>
      </c>
      <c r="D9049" s="787">
        <v>0</v>
      </c>
      <c r="E9049" s="787">
        <v>0</v>
      </c>
      <c r="H9049" s="787">
        <v>1</v>
      </c>
      <c r="I9049" s="788">
        <v>42109</v>
      </c>
      <c r="L9049" s="787">
        <v>1</v>
      </c>
      <c r="M9049" s="787">
        <v>10</v>
      </c>
      <c r="N9049" s="787">
        <v>11.51</v>
      </c>
      <c r="O9049" s="788">
        <v>42146</v>
      </c>
    </row>
    <row r="9050" spans="1:15" x14ac:dyDescent="0.25">
      <c r="A9050" s="786" t="s">
        <v>16287</v>
      </c>
      <c r="B9050" s="787">
        <v>4</v>
      </c>
      <c r="C9050" s="787" t="s">
        <v>16288</v>
      </c>
      <c r="D9050" s="787">
        <v>0</v>
      </c>
      <c r="E9050" s="787">
        <v>0</v>
      </c>
      <c r="H9050" s="787">
        <v>1</v>
      </c>
      <c r="I9050" s="788">
        <v>41527</v>
      </c>
      <c r="L9050" s="787">
        <v>1</v>
      </c>
      <c r="M9050" s="787">
        <v>10</v>
      </c>
      <c r="N9050" s="787">
        <v>11.51</v>
      </c>
      <c r="O9050" s="788">
        <v>41858</v>
      </c>
    </row>
    <row r="9051" spans="1:15" x14ac:dyDescent="0.25">
      <c r="A9051" s="786" t="s">
        <v>16289</v>
      </c>
      <c r="B9051" s="787">
        <v>4</v>
      </c>
      <c r="C9051" s="787" t="s">
        <v>16290</v>
      </c>
      <c r="D9051" s="787">
        <v>0</v>
      </c>
      <c r="E9051" s="787">
        <v>0</v>
      </c>
      <c r="H9051" s="787">
        <v>1</v>
      </c>
      <c r="I9051" s="788">
        <v>41527</v>
      </c>
      <c r="L9051" s="787">
        <v>1</v>
      </c>
      <c r="M9051" s="787">
        <v>10</v>
      </c>
      <c r="N9051" s="787">
        <v>11.51</v>
      </c>
      <c r="O9051" s="788">
        <v>41858</v>
      </c>
    </row>
    <row r="9052" spans="1:15" x14ac:dyDescent="0.25">
      <c r="A9052" s="786" t="s">
        <v>16291</v>
      </c>
      <c r="B9052" s="787">
        <v>4</v>
      </c>
      <c r="C9052" s="787" t="s">
        <v>16292</v>
      </c>
      <c r="D9052" s="787">
        <v>0</v>
      </c>
      <c r="E9052" s="787">
        <v>0</v>
      </c>
      <c r="H9052" s="787">
        <v>1</v>
      </c>
      <c r="L9052" s="787">
        <v>1</v>
      </c>
      <c r="M9052" s="787">
        <v>10</v>
      </c>
      <c r="N9052" s="787">
        <v>64.849999999999994</v>
      </c>
      <c r="O9052" s="788">
        <v>42144</v>
      </c>
    </row>
    <row r="9053" spans="1:15" x14ac:dyDescent="0.25">
      <c r="A9053" s="786" t="s">
        <v>16293</v>
      </c>
      <c r="B9053" s="787">
        <v>4</v>
      </c>
      <c r="C9053" s="787" t="s">
        <v>16294</v>
      </c>
      <c r="D9053" s="787">
        <v>0</v>
      </c>
      <c r="E9053" s="787">
        <v>0</v>
      </c>
      <c r="H9053" s="787">
        <v>1</v>
      </c>
      <c r="L9053" s="787">
        <v>1</v>
      </c>
      <c r="M9053" s="787">
        <v>10</v>
      </c>
      <c r="N9053" s="787">
        <v>64.13</v>
      </c>
      <c r="O9053" s="788">
        <v>42048</v>
      </c>
    </row>
    <row r="9054" spans="1:15" x14ac:dyDescent="0.25">
      <c r="A9054" s="786" t="s">
        <v>16295</v>
      </c>
      <c r="B9054" s="787">
        <v>4</v>
      </c>
      <c r="C9054" s="787" t="s">
        <v>16296</v>
      </c>
      <c r="D9054" s="787">
        <v>6.23</v>
      </c>
      <c r="E9054" s="787">
        <v>20.02</v>
      </c>
      <c r="F9054" s="788">
        <v>41908</v>
      </c>
      <c r="G9054" s="788">
        <v>42163</v>
      </c>
      <c r="H9054" s="787">
        <v>1</v>
      </c>
      <c r="I9054" s="788">
        <v>42152</v>
      </c>
      <c r="J9054" s="788">
        <v>42136</v>
      </c>
      <c r="L9054" s="787">
        <v>1</v>
      </c>
      <c r="M9054" s="787">
        <v>10</v>
      </c>
      <c r="N9054" s="787">
        <v>4.91</v>
      </c>
      <c r="O9054" s="788">
        <v>42146</v>
      </c>
    </row>
    <row r="9055" spans="1:15" x14ac:dyDescent="0.25">
      <c r="A9055" s="786" t="s">
        <v>16297</v>
      </c>
      <c r="B9055" s="787">
        <v>4</v>
      </c>
      <c r="C9055" s="787" t="s">
        <v>16298</v>
      </c>
      <c r="D9055" s="787">
        <v>0</v>
      </c>
      <c r="E9055" s="787">
        <v>0</v>
      </c>
      <c r="H9055" s="787">
        <v>1</v>
      </c>
      <c r="I9055" s="788">
        <v>42109</v>
      </c>
      <c r="L9055" s="787">
        <v>1</v>
      </c>
      <c r="M9055" s="787">
        <v>10</v>
      </c>
      <c r="N9055" s="787">
        <v>4.03</v>
      </c>
      <c r="O9055" s="788">
        <v>42146</v>
      </c>
    </row>
    <row r="9056" spans="1:15" x14ac:dyDescent="0.25">
      <c r="A9056" s="786" t="s">
        <v>16299</v>
      </c>
      <c r="B9056" s="787">
        <v>4</v>
      </c>
      <c r="C9056" s="787" t="s">
        <v>16300</v>
      </c>
      <c r="D9056" s="787">
        <v>0</v>
      </c>
      <c r="E9056" s="787">
        <v>0</v>
      </c>
      <c r="H9056" s="787">
        <v>1</v>
      </c>
      <c r="I9056" s="788">
        <v>42109</v>
      </c>
      <c r="L9056" s="787">
        <v>1</v>
      </c>
      <c r="M9056" s="787">
        <v>10</v>
      </c>
      <c r="N9056" s="787">
        <v>4.03</v>
      </c>
      <c r="O9056" s="788">
        <v>42146</v>
      </c>
    </row>
    <row r="9057" spans="1:15" x14ac:dyDescent="0.25">
      <c r="A9057" s="786" t="s">
        <v>16301</v>
      </c>
      <c r="B9057" s="787">
        <v>4</v>
      </c>
      <c r="C9057" s="787" t="s">
        <v>16302</v>
      </c>
      <c r="D9057" s="787">
        <v>0</v>
      </c>
      <c r="E9057" s="787">
        <v>0</v>
      </c>
      <c r="H9057" s="787">
        <v>1</v>
      </c>
      <c r="I9057" s="788">
        <v>42109</v>
      </c>
      <c r="L9057" s="787">
        <v>1</v>
      </c>
      <c r="M9057" s="787">
        <v>10</v>
      </c>
      <c r="N9057" s="787">
        <v>4.6399999999999997</v>
      </c>
      <c r="O9057" s="788">
        <v>42146</v>
      </c>
    </row>
    <row r="9058" spans="1:15" x14ac:dyDescent="0.25">
      <c r="A9058" s="786" t="s">
        <v>16303</v>
      </c>
      <c r="B9058" s="787">
        <v>4</v>
      </c>
      <c r="C9058" s="787" t="s">
        <v>16304</v>
      </c>
      <c r="D9058" s="787">
        <v>0</v>
      </c>
      <c r="E9058" s="787">
        <v>0</v>
      </c>
      <c r="H9058" s="787">
        <v>1</v>
      </c>
      <c r="L9058" s="787">
        <v>1</v>
      </c>
      <c r="M9058" s="787">
        <v>10</v>
      </c>
      <c r="N9058" s="787">
        <v>52.39</v>
      </c>
      <c r="O9058" s="788">
        <v>41858</v>
      </c>
    </row>
    <row r="9059" spans="1:15" x14ac:dyDescent="0.25">
      <c r="A9059" s="786" t="s">
        <v>16305</v>
      </c>
      <c r="B9059" s="787">
        <v>4</v>
      </c>
      <c r="C9059" s="787" t="s">
        <v>16306</v>
      </c>
      <c r="D9059" s="787">
        <v>4.5</v>
      </c>
      <c r="E9059" s="787">
        <v>4.5</v>
      </c>
      <c r="F9059" s="788">
        <v>41813</v>
      </c>
      <c r="G9059" s="788">
        <v>41813</v>
      </c>
      <c r="H9059" s="787">
        <v>1</v>
      </c>
      <c r="I9059" s="788">
        <v>41626</v>
      </c>
      <c r="J9059" s="788">
        <v>41445</v>
      </c>
      <c r="L9059" s="787">
        <v>1</v>
      </c>
      <c r="M9059" s="787">
        <v>10</v>
      </c>
      <c r="N9059" s="787">
        <v>5.96</v>
      </c>
      <c r="O9059" s="788">
        <v>42045</v>
      </c>
    </row>
    <row r="9060" spans="1:15" x14ac:dyDescent="0.25">
      <c r="A9060" s="786" t="s">
        <v>16307</v>
      </c>
      <c r="B9060" s="787">
        <v>4</v>
      </c>
      <c r="C9060" s="787" t="s">
        <v>16308</v>
      </c>
      <c r="D9060" s="787">
        <v>2.73</v>
      </c>
      <c r="E9060" s="787">
        <v>2.73</v>
      </c>
      <c r="F9060" s="788">
        <v>41813</v>
      </c>
      <c r="G9060" s="788">
        <v>41813</v>
      </c>
      <c r="H9060" s="787">
        <v>1</v>
      </c>
      <c r="I9060" s="788">
        <v>41572</v>
      </c>
      <c r="J9060" s="788">
        <v>41564</v>
      </c>
      <c r="L9060" s="787">
        <v>1</v>
      </c>
      <c r="M9060" s="787">
        <v>10</v>
      </c>
      <c r="N9060" s="787">
        <v>5.96</v>
      </c>
      <c r="O9060" s="788">
        <v>42079</v>
      </c>
    </row>
    <row r="9061" spans="1:15" x14ac:dyDescent="0.25">
      <c r="A9061" s="786" t="s">
        <v>16309</v>
      </c>
      <c r="B9061" s="787">
        <v>4</v>
      </c>
      <c r="C9061" s="787" t="s">
        <v>16310</v>
      </c>
      <c r="D9061" s="787">
        <v>1.04</v>
      </c>
      <c r="E9061" s="787">
        <v>1.04</v>
      </c>
      <c r="F9061" s="788">
        <v>41813</v>
      </c>
      <c r="G9061" s="788">
        <v>41813</v>
      </c>
      <c r="H9061" s="787">
        <v>1</v>
      </c>
      <c r="I9061" s="788">
        <v>41572</v>
      </c>
      <c r="J9061" s="788">
        <v>41568</v>
      </c>
      <c r="L9061" s="787">
        <v>1</v>
      </c>
      <c r="M9061" s="787">
        <v>10</v>
      </c>
      <c r="N9061" s="787">
        <v>5.96</v>
      </c>
      <c r="O9061" s="788">
        <v>42079</v>
      </c>
    </row>
    <row r="9062" spans="1:15" x14ac:dyDescent="0.25">
      <c r="A9062" s="786" t="s">
        <v>16311</v>
      </c>
      <c r="B9062" s="787">
        <v>4</v>
      </c>
      <c r="C9062" s="787" t="s">
        <v>16312</v>
      </c>
      <c r="D9062" s="787">
        <v>2.35</v>
      </c>
      <c r="E9062" s="787">
        <v>2.35</v>
      </c>
      <c r="F9062" s="788">
        <v>41613</v>
      </c>
      <c r="G9062" s="788">
        <v>41613</v>
      </c>
      <c r="H9062" s="787">
        <v>1</v>
      </c>
      <c r="I9062" s="788">
        <v>41583</v>
      </c>
      <c r="J9062" s="788">
        <v>41583</v>
      </c>
      <c r="L9062" s="787">
        <v>1</v>
      </c>
      <c r="M9062" s="787">
        <v>10</v>
      </c>
      <c r="N9062" s="787">
        <v>3.65</v>
      </c>
      <c r="O9062" s="788">
        <v>42082</v>
      </c>
    </row>
    <row r="9063" spans="1:15" x14ac:dyDescent="0.25">
      <c r="A9063" s="786" t="s">
        <v>16313</v>
      </c>
      <c r="B9063" s="787">
        <v>4</v>
      </c>
      <c r="C9063" s="787" t="s">
        <v>16314</v>
      </c>
      <c r="D9063" s="787">
        <v>1.21</v>
      </c>
      <c r="E9063" s="787">
        <v>11.21</v>
      </c>
      <c r="F9063" s="788">
        <v>41613</v>
      </c>
      <c r="G9063" s="788">
        <v>42013</v>
      </c>
      <c r="H9063" s="787">
        <v>1</v>
      </c>
      <c r="I9063" s="788">
        <v>42059</v>
      </c>
      <c r="J9063" s="788">
        <v>41583</v>
      </c>
      <c r="L9063" s="787">
        <v>1</v>
      </c>
      <c r="M9063" s="787">
        <v>10</v>
      </c>
      <c r="N9063" s="787">
        <v>6.8</v>
      </c>
      <c r="O9063" s="788">
        <v>42082</v>
      </c>
    </row>
    <row r="9064" spans="1:15" x14ac:dyDescent="0.25">
      <c r="A9064" s="786" t="s">
        <v>16315</v>
      </c>
      <c r="B9064" s="787">
        <v>4</v>
      </c>
      <c r="C9064" s="787" t="s">
        <v>16316</v>
      </c>
      <c r="D9064" s="787">
        <v>0.82</v>
      </c>
      <c r="E9064" s="787">
        <v>0.82</v>
      </c>
      <c r="F9064" s="788">
        <v>41813</v>
      </c>
      <c r="G9064" s="788">
        <v>41943</v>
      </c>
      <c r="H9064" s="787">
        <v>1</v>
      </c>
      <c r="I9064" s="788">
        <v>42059</v>
      </c>
      <c r="J9064" s="788">
        <v>41583</v>
      </c>
      <c r="K9064" s="788">
        <v>41463</v>
      </c>
      <c r="L9064" s="787">
        <v>3.83</v>
      </c>
      <c r="M9064" s="787">
        <v>10</v>
      </c>
      <c r="N9064" s="787">
        <v>3.65</v>
      </c>
      <c r="O9064" s="788">
        <v>42082</v>
      </c>
    </row>
    <row r="9065" spans="1:15" x14ac:dyDescent="0.25">
      <c r="A9065" s="786" t="s">
        <v>16317</v>
      </c>
      <c r="B9065" s="787">
        <v>4</v>
      </c>
      <c r="C9065" s="787" t="s">
        <v>16318</v>
      </c>
      <c r="D9065" s="787">
        <v>2.29</v>
      </c>
      <c r="E9065" s="787">
        <v>8.77</v>
      </c>
      <c r="F9065" s="788">
        <v>41775</v>
      </c>
      <c r="G9065" s="788">
        <v>42166</v>
      </c>
      <c r="H9065" s="787">
        <v>1</v>
      </c>
      <c r="I9065" s="788">
        <v>42132</v>
      </c>
      <c r="J9065" s="788">
        <v>42166</v>
      </c>
      <c r="L9065" s="787">
        <v>1</v>
      </c>
      <c r="M9065" s="787">
        <v>10</v>
      </c>
      <c r="N9065" s="787">
        <v>5.01</v>
      </c>
      <c r="O9065" s="788">
        <v>42128</v>
      </c>
    </row>
    <row r="9066" spans="1:15" x14ac:dyDescent="0.25">
      <c r="A9066" s="786" t="s">
        <v>16319</v>
      </c>
      <c r="B9066" s="787">
        <v>4</v>
      </c>
      <c r="C9066" s="787" t="s">
        <v>16320</v>
      </c>
      <c r="D9066" s="787">
        <v>2.5299999999999998</v>
      </c>
      <c r="E9066" s="787">
        <v>7.85</v>
      </c>
      <c r="F9066" s="788">
        <v>41775</v>
      </c>
      <c r="G9066" s="788">
        <v>42013</v>
      </c>
      <c r="H9066" s="787">
        <v>1</v>
      </c>
      <c r="I9066" s="788">
        <v>42132</v>
      </c>
      <c r="J9066" s="788">
        <v>41919</v>
      </c>
      <c r="L9066" s="787">
        <v>1</v>
      </c>
      <c r="M9066" s="787">
        <v>10</v>
      </c>
      <c r="N9066" s="787">
        <v>7.92</v>
      </c>
      <c r="O9066" s="788">
        <v>42128</v>
      </c>
    </row>
    <row r="9067" spans="1:15" x14ac:dyDescent="0.25">
      <c r="A9067" s="786" t="s">
        <v>16321</v>
      </c>
      <c r="B9067" s="787">
        <v>4</v>
      </c>
      <c r="C9067" s="787" t="s">
        <v>16322</v>
      </c>
      <c r="D9067" s="787">
        <v>6.38</v>
      </c>
      <c r="E9067" s="787">
        <v>16.38</v>
      </c>
      <c r="F9067" s="788">
        <v>41613</v>
      </c>
      <c r="G9067" s="788">
        <v>42013</v>
      </c>
      <c r="H9067" s="787">
        <v>1</v>
      </c>
      <c r="I9067" s="788">
        <v>42146</v>
      </c>
      <c r="J9067" s="788">
        <v>41572</v>
      </c>
      <c r="L9067" s="787">
        <v>1</v>
      </c>
      <c r="M9067" s="787">
        <v>10</v>
      </c>
      <c r="N9067" s="787">
        <v>18.23</v>
      </c>
      <c r="O9067" s="788">
        <v>42079</v>
      </c>
    </row>
    <row r="9068" spans="1:15" x14ac:dyDescent="0.25">
      <c r="A9068" s="786" t="s">
        <v>16323</v>
      </c>
      <c r="B9068" s="787">
        <v>4</v>
      </c>
      <c r="C9068" s="787" t="s">
        <v>16324</v>
      </c>
      <c r="D9068" s="787">
        <v>2.39</v>
      </c>
      <c r="E9068" s="787">
        <v>23.31</v>
      </c>
      <c r="F9068" s="788">
        <v>41477</v>
      </c>
      <c r="G9068" s="788">
        <v>41943</v>
      </c>
      <c r="H9068" s="787">
        <v>1</v>
      </c>
      <c r="I9068" s="788">
        <v>42146</v>
      </c>
      <c r="J9068" s="788">
        <v>41572</v>
      </c>
      <c r="L9068" s="787">
        <v>1</v>
      </c>
      <c r="M9068" s="787">
        <v>10</v>
      </c>
      <c r="N9068" s="787">
        <v>18.23</v>
      </c>
      <c r="O9068" s="788">
        <v>42079</v>
      </c>
    </row>
    <row r="9069" spans="1:15" x14ac:dyDescent="0.25">
      <c r="A9069" s="786" t="s">
        <v>16325</v>
      </c>
      <c r="B9069" s="787">
        <v>4</v>
      </c>
      <c r="C9069" s="787" t="s">
        <v>16326</v>
      </c>
      <c r="D9069" s="787">
        <v>8.2200000000000006</v>
      </c>
      <c r="E9069" s="787">
        <v>98.49</v>
      </c>
      <c r="F9069" s="788">
        <v>42020</v>
      </c>
      <c r="G9069" s="788">
        <v>42137</v>
      </c>
      <c r="H9069" s="787">
        <v>1</v>
      </c>
      <c r="I9069" s="788">
        <v>42165</v>
      </c>
      <c r="J9069" s="788">
        <v>42152</v>
      </c>
      <c r="K9069" s="788">
        <v>42145</v>
      </c>
      <c r="L9069" s="787">
        <v>90</v>
      </c>
      <c r="M9069" s="787">
        <v>10</v>
      </c>
      <c r="N9069" s="787">
        <v>77.75</v>
      </c>
      <c r="O9069" s="788">
        <v>42146</v>
      </c>
    </row>
    <row r="9070" spans="1:15" x14ac:dyDescent="0.25">
      <c r="A9070" s="786" t="s">
        <v>16327</v>
      </c>
      <c r="B9070" s="787">
        <v>4</v>
      </c>
      <c r="C9070" s="787" t="s">
        <v>16328</v>
      </c>
      <c r="D9070" s="787">
        <v>0.6</v>
      </c>
      <c r="E9070" s="787">
        <v>0.6</v>
      </c>
      <c r="F9070" s="788">
        <v>41824</v>
      </c>
      <c r="G9070" s="788">
        <v>42013</v>
      </c>
      <c r="H9070" s="787">
        <v>1</v>
      </c>
      <c r="I9070" s="788">
        <v>42152</v>
      </c>
      <c r="J9070" s="788">
        <v>41789</v>
      </c>
      <c r="K9070" s="788">
        <v>41354</v>
      </c>
      <c r="L9070" s="787">
        <v>1.07</v>
      </c>
      <c r="M9070" s="787">
        <v>10</v>
      </c>
      <c r="N9070" s="787">
        <v>1.1000000000000001</v>
      </c>
      <c r="O9070" s="788">
        <v>42146</v>
      </c>
    </row>
    <row r="9071" spans="1:15" x14ac:dyDescent="0.25">
      <c r="A9071" s="786" t="s">
        <v>16329</v>
      </c>
      <c r="B9071" s="787">
        <v>4</v>
      </c>
      <c r="C9071" s="787" t="s">
        <v>16330</v>
      </c>
      <c r="D9071" s="787">
        <v>1.76</v>
      </c>
      <c r="E9071" s="787">
        <v>1.76</v>
      </c>
      <c r="F9071" s="788">
        <v>41855</v>
      </c>
      <c r="G9071" s="788">
        <v>42013</v>
      </c>
      <c r="H9071" s="787">
        <v>1</v>
      </c>
      <c r="I9071" s="788">
        <v>42152</v>
      </c>
      <c r="J9071" s="788">
        <v>41813</v>
      </c>
      <c r="K9071" s="788">
        <v>41354</v>
      </c>
      <c r="L9071" s="787">
        <v>1.52</v>
      </c>
      <c r="M9071" s="787">
        <v>10</v>
      </c>
      <c r="N9071" s="787">
        <v>1.55</v>
      </c>
      <c r="O9071" s="788">
        <v>42146</v>
      </c>
    </row>
    <row r="9072" spans="1:15" x14ac:dyDescent="0.25">
      <c r="A9072" s="786" t="s">
        <v>16331</v>
      </c>
      <c r="B9072" s="787">
        <v>4</v>
      </c>
      <c r="C9072" s="787" t="s">
        <v>16332</v>
      </c>
      <c r="D9072" s="787">
        <v>2.97</v>
      </c>
      <c r="E9072" s="787">
        <v>3.63</v>
      </c>
      <c r="F9072" s="788">
        <v>41775</v>
      </c>
      <c r="G9072" s="788">
        <v>41963</v>
      </c>
      <c r="H9072" s="787">
        <v>1</v>
      </c>
      <c r="I9072" s="788">
        <v>41943</v>
      </c>
      <c r="J9072" s="788">
        <v>41943</v>
      </c>
      <c r="L9072" s="787">
        <v>1</v>
      </c>
      <c r="M9072" s="787">
        <v>10</v>
      </c>
      <c r="N9072" s="787">
        <v>10.29</v>
      </c>
      <c r="O9072" s="788">
        <v>42128</v>
      </c>
    </row>
    <row r="9073" spans="1:15" x14ac:dyDescent="0.25">
      <c r="A9073" s="786" t="s">
        <v>16333</v>
      </c>
      <c r="B9073" s="787">
        <v>4</v>
      </c>
      <c r="C9073" s="787" t="s">
        <v>16334</v>
      </c>
      <c r="D9073" s="787">
        <v>2.0099999999999998</v>
      </c>
      <c r="E9073" s="787">
        <v>3.85</v>
      </c>
      <c r="F9073" s="788">
        <v>41495</v>
      </c>
      <c r="G9073" s="788">
        <v>41963</v>
      </c>
      <c r="H9073" s="787">
        <v>1</v>
      </c>
      <c r="I9073" s="788">
        <v>41943</v>
      </c>
      <c r="J9073" s="788">
        <v>41940</v>
      </c>
      <c r="L9073" s="787">
        <v>1</v>
      </c>
      <c r="M9073" s="787">
        <v>10</v>
      </c>
      <c r="N9073" s="787">
        <v>2.33</v>
      </c>
      <c r="O9073" s="788">
        <v>42143</v>
      </c>
    </row>
    <row r="9074" spans="1:15" x14ac:dyDescent="0.25">
      <c r="A9074" s="786" t="s">
        <v>16335</v>
      </c>
      <c r="B9074" s="787">
        <v>4</v>
      </c>
      <c r="C9074" s="787" t="s">
        <v>16336</v>
      </c>
      <c r="D9074" s="787">
        <v>3.3</v>
      </c>
      <c r="E9074" s="787">
        <v>3.3</v>
      </c>
      <c r="F9074" s="788">
        <v>41452</v>
      </c>
      <c r="G9074" s="788">
        <v>41451</v>
      </c>
      <c r="H9074" s="787">
        <v>1</v>
      </c>
      <c r="I9074" s="788">
        <v>41943</v>
      </c>
      <c r="J9074" s="788">
        <v>41451</v>
      </c>
      <c r="K9074" s="788">
        <v>41869</v>
      </c>
      <c r="L9074" s="787">
        <v>3.3</v>
      </c>
      <c r="M9074" s="787">
        <v>20</v>
      </c>
      <c r="N9074" s="787">
        <v>3.55</v>
      </c>
      <c r="O9074" s="788">
        <v>42128</v>
      </c>
    </row>
    <row r="9075" spans="1:15" x14ac:dyDescent="0.25">
      <c r="A9075" s="786" t="s">
        <v>16337</v>
      </c>
      <c r="B9075" s="787">
        <v>4</v>
      </c>
      <c r="C9075" s="787" t="s">
        <v>16338</v>
      </c>
      <c r="D9075" s="787">
        <v>0</v>
      </c>
      <c r="E9075" s="787">
        <v>0</v>
      </c>
      <c r="H9075" s="787">
        <v>1</v>
      </c>
      <c r="K9075" s="788">
        <v>41624</v>
      </c>
      <c r="L9075" s="787">
        <v>9.9700000000000006</v>
      </c>
      <c r="M9075" s="787">
        <v>10</v>
      </c>
      <c r="N9075" s="787">
        <v>9.82</v>
      </c>
      <c r="O9075" s="788">
        <v>41858</v>
      </c>
    </row>
    <row r="9076" spans="1:15" x14ac:dyDescent="0.25">
      <c r="A9076" s="786" t="s">
        <v>16339</v>
      </c>
      <c r="B9076" s="787">
        <v>4</v>
      </c>
      <c r="C9076" s="787" t="s">
        <v>16338</v>
      </c>
      <c r="D9076" s="787">
        <v>0</v>
      </c>
      <c r="E9076" s="787">
        <v>0</v>
      </c>
      <c r="H9076" s="787">
        <v>1</v>
      </c>
      <c r="K9076" s="788">
        <v>41624</v>
      </c>
      <c r="L9076" s="787">
        <v>20.010000000000002</v>
      </c>
      <c r="M9076" s="787">
        <v>10</v>
      </c>
      <c r="N9076" s="787">
        <v>19.62</v>
      </c>
      <c r="O9076" s="788">
        <v>42143</v>
      </c>
    </row>
    <row r="9077" spans="1:15" x14ac:dyDescent="0.25">
      <c r="A9077" s="786" t="s">
        <v>16340</v>
      </c>
      <c r="B9077" s="787">
        <v>4</v>
      </c>
      <c r="C9077" s="787" t="s">
        <v>16338</v>
      </c>
      <c r="D9077" s="787">
        <v>0</v>
      </c>
      <c r="E9077" s="787">
        <v>0</v>
      </c>
      <c r="H9077" s="787">
        <v>1</v>
      </c>
      <c r="K9077" s="788">
        <v>41624</v>
      </c>
      <c r="L9077" s="787">
        <v>9.9700000000000006</v>
      </c>
      <c r="M9077" s="787">
        <v>10</v>
      </c>
      <c r="N9077" s="787">
        <v>9.82</v>
      </c>
      <c r="O9077" s="788">
        <v>41858</v>
      </c>
    </row>
    <row r="9078" spans="1:15" x14ac:dyDescent="0.25">
      <c r="A9078" s="786" t="s">
        <v>16341</v>
      </c>
      <c r="B9078" s="787">
        <v>4</v>
      </c>
      <c r="C9078" s="787" t="s">
        <v>16342</v>
      </c>
      <c r="D9078" s="787">
        <v>0</v>
      </c>
      <c r="E9078" s="787">
        <v>0</v>
      </c>
      <c r="H9078" s="787">
        <v>1</v>
      </c>
      <c r="K9078" s="788">
        <v>41624</v>
      </c>
      <c r="L9078" s="787">
        <v>4.16</v>
      </c>
      <c r="M9078" s="787">
        <v>10</v>
      </c>
      <c r="N9078" s="787">
        <v>4.1100000000000003</v>
      </c>
      <c r="O9078" s="788">
        <v>42146</v>
      </c>
    </row>
    <row r="9079" spans="1:15" x14ac:dyDescent="0.25">
      <c r="A9079" s="786" t="s">
        <v>16343</v>
      </c>
      <c r="B9079" s="787">
        <v>4</v>
      </c>
      <c r="C9079" s="787" t="s">
        <v>16344</v>
      </c>
      <c r="D9079" s="787">
        <v>0</v>
      </c>
      <c r="E9079" s="787">
        <v>0</v>
      </c>
      <c r="H9079" s="787">
        <v>1</v>
      </c>
      <c r="K9079" s="788">
        <v>41624</v>
      </c>
      <c r="L9079" s="787">
        <v>3.13</v>
      </c>
      <c r="M9079" s="787">
        <v>10</v>
      </c>
      <c r="N9079" s="787">
        <v>3.09</v>
      </c>
      <c r="O9079" s="788">
        <v>42146</v>
      </c>
    </row>
    <row r="9080" spans="1:15" x14ac:dyDescent="0.25">
      <c r="A9080" s="786" t="s">
        <v>16345</v>
      </c>
      <c r="B9080" s="787">
        <v>4</v>
      </c>
      <c r="C9080" s="787" t="s">
        <v>16346</v>
      </c>
      <c r="D9080" s="787">
        <v>0</v>
      </c>
      <c r="E9080" s="787">
        <v>0</v>
      </c>
      <c r="H9080" s="787">
        <v>1</v>
      </c>
      <c r="K9080" s="788">
        <v>41624</v>
      </c>
      <c r="L9080" s="787">
        <v>8.75</v>
      </c>
      <c r="M9080" s="787">
        <v>10</v>
      </c>
      <c r="N9080" s="787">
        <v>8.49</v>
      </c>
      <c r="O9080" s="788">
        <v>42146</v>
      </c>
    </row>
    <row r="9081" spans="1:15" x14ac:dyDescent="0.25">
      <c r="A9081" s="786" t="s">
        <v>16347</v>
      </c>
      <c r="B9081" s="787">
        <v>4</v>
      </c>
      <c r="C9081" s="787" t="s">
        <v>16348</v>
      </c>
      <c r="D9081" s="787">
        <v>0</v>
      </c>
      <c r="E9081" s="787">
        <v>0</v>
      </c>
      <c r="H9081" s="787">
        <v>1</v>
      </c>
      <c r="K9081" s="788">
        <v>41624</v>
      </c>
      <c r="L9081" s="787">
        <v>23.8</v>
      </c>
      <c r="M9081" s="787">
        <v>10</v>
      </c>
      <c r="N9081" s="787">
        <v>23.94</v>
      </c>
      <c r="O9081" s="788">
        <v>42143</v>
      </c>
    </row>
    <row r="9082" spans="1:15" x14ac:dyDescent="0.25">
      <c r="A9082" s="786" t="s">
        <v>16349</v>
      </c>
      <c r="B9082" s="787">
        <v>4</v>
      </c>
      <c r="C9082" s="787" t="s">
        <v>16350</v>
      </c>
      <c r="D9082" s="787">
        <v>0</v>
      </c>
      <c r="E9082" s="787">
        <v>0</v>
      </c>
      <c r="H9082" s="787">
        <v>1</v>
      </c>
      <c r="K9082" s="788">
        <v>41624</v>
      </c>
      <c r="L9082" s="787">
        <v>19.100000000000001</v>
      </c>
      <c r="M9082" s="787">
        <v>10</v>
      </c>
      <c r="N9082" s="787">
        <v>18.86</v>
      </c>
      <c r="O9082" s="788">
        <v>42146</v>
      </c>
    </row>
    <row r="9083" spans="1:15" x14ac:dyDescent="0.25">
      <c r="A9083" s="786" t="s">
        <v>16351</v>
      </c>
      <c r="B9083" s="787">
        <v>4</v>
      </c>
      <c r="C9083" s="787" t="s">
        <v>16352</v>
      </c>
      <c r="D9083" s="787">
        <v>0</v>
      </c>
      <c r="E9083" s="787">
        <v>0</v>
      </c>
      <c r="H9083" s="787">
        <v>1</v>
      </c>
      <c r="K9083" s="788">
        <v>41624</v>
      </c>
      <c r="L9083" s="787">
        <v>7.95</v>
      </c>
      <c r="M9083" s="787">
        <v>10</v>
      </c>
      <c r="N9083" s="787">
        <v>7.82</v>
      </c>
      <c r="O9083" s="788">
        <v>41858</v>
      </c>
    </row>
    <row r="9084" spans="1:15" x14ac:dyDescent="0.25">
      <c r="A9084" s="786" t="s">
        <v>16353</v>
      </c>
      <c r="B9084" s="787">
        <v>4</v>
      </c>
      <c r="C9084" s="787" t="s">
        <v>16354</v>
      </c>
      <c r="D9084" s="787">
        <v>0</v>
      </c>
      <c r="E9084" s="787">
        <v>0</v>
      </c>
      <c r="H9084" s="787">
        <v>1</v>
      </c>
      <c r="K9084" s="788">
        <v>41624</v>
      </c>
      <c r="L9084" s="787">
        <v>13.03</v>
      </c>
      <c r="M9084" s="787">
        <v>10</v>
      </c>
      <c r="N9084" s="787">
        <v>12.81</v>
      </c>
      <c r="O9084" s="788">
        <v>41858</v>
      </c>
    </row>
    <row r="9085" spans="1:15" x14ac:dyDescent="0.25">
      <c r="A9085" s="786" t="s">
        <v>16355</v>
      </c>
      <c r="B9085" s="787">
        <v>4</v>
      </c>
      <c r="C9085" s="787" t="s">
        <v>16356</v>
      </c>
      <c r="D9085" s="787">
        <v>0</v>
      </c>
      <c r="E9085" s="787">
        <v>0</v>
      </c>
      <c r="H9085" s="787">
        <v>1</v>
      </c>
      <c r="K9085" s="788">
        <v>41624</v>
      </c>
      <c r="L9085" s="787">
        <v>7.95</v>
      </c>
      <c r="M9085" s="787">
        <v>10</v>
      </c>
      <c r="N9085" s="787">
        <v>7.82</v>
      </c>
      <c r="O9085" s="788">
        <v>41858</v>
      </c>
    </row>
    <row r="9086" spans="1:15" x14ac:dyDescent="0.25">
      <c r="A9086" s="786" t="s">
        <v>16357</v>
      </c>
      <c r="B9086" s="787">
        <v>4</v>
      </c>
      <c r="C9086" s="787" t="s">
        <v>16358</v>
      </c>
      <c r="D9086" s="787">
        <v>0</v>
      </c>
      <c r="E9086" s="787">
        <v>0</v>
      </c>
      <c r="H9086" s="787">
        <v>1</v>
      </c>
      <c r="K9086" s="788">
        <v>41624</v>
      </c>
      <c r="L9086" s="787">
        <v>7.95</v>
      </c>
      <c r="M9086" s="787">
        <v>10</v>
      </c>
      <c r="N9086" s="787">
        <v>7.82</v>
      </c>
      <c r="O9086" s="788">
        <v>41858</v>
      </c>
    </row>
    <row r="9087" spans="1:15" x14ac:dyDescent="0.25">
      <c r="A9087" s="786" t="s">
        <v>16359</v>
      </c>
      <c r="B9087" s="787">
        <v>4</v>
      </c>
      <c r="C9087" s="787" t="s">
        <v>16360</v>
      </c>
      <c r="D9087" s="787">
        <v>0</v>
      </c>
      <c r="E9087" s="787">
        <v>0</v>
      </c>
      <c r="H9087" s="787">
        <v>1</v>
      </c>
      <c r="K9087" s="788">
        <v>41624</v>
      </c>
      <c r="L9087" s="787">
        <v>13.03</v>
      </c>
      <c r="M9087" s="787">
        <v>10</v>
      </c>
      <c r="N9087" s="787">
        <v>12.81</v>
      </c>
      <c r="O9087" s="788">
        <v>41858</v>
      </c>
    </row>
    <row r="9088" spans="1:15" x14ac:dyDescent="0.25">
      <c r="A9088" s="786" t="s">
        <v>16361</v>
      </c>
      <c r="B9088" s="787">
        <v>4</v>
      </c>
      <c r="C9088" s="787" t="s">
        <v>16362</v>
      </c>
      <c r="D9088" s="787">
        <v>0</v>
      </c>
      <c r="E9088" s="787">
        <v>0</v>
      </c>
      <c r="H9088" s="787">
        <v>1</v>
      </c>
      <c r="K9088" s="788">
        <v>41624</v>
      </c>
      <c r="L9088" s="787">
        <v>13.03</v>
      </c>
      <c r="M9088" s="787">
        <v>10</v>
      </c>
      <c r="N9088" s="787">
        <v>12.81</v>
      </c>
      <c r="O9088" s="788">
        <v>41858</v>
      </c>
    </row>
    <row r="9089" spans="1:15" x14ac:dyDescent="0.25">
      <c r="A9089" s="786" t="s">
        <v>16363</v>
      </c>
      <c r="B9089" s="787">
        <v>4</v>
      </c>
      <c r="C9089" s="787" t="s">
        <v>16364</v>
      </c>
      <c r="D9089" s="787">
        <v>0</v>
      </c>
      <c r="E9089" s="787">
        <v>0</v>
      </c>
      <c r="H9089" s="787">
        <v>1</v>
      </c>
      <c r="K9089" s="788">
        <v>41625</v>
      </c>
      <c r="L9089" s="787">
        <v>20.010000000000002</v>
      </c>
      <c r="M9089" s="787">
        <v>10</v>
      </c>
      <c r="N9089" s="787">
        <v>19.64</v>
      </c>
      <c r="O9089" s="788">
        <v>41858</v>
      </c>
    </row>
    <row r="9090" spans="1:15" x14ac:dyDescent="0.25">
      <c r="A9090" s="786" t="s">
        <v>16365</v>
      </c>
      <c r="B9090" s="787">
        <v>4</v>
      </c>
      <c r="C9090" s="787" t="s">
        <v>16366</v>
      </c>
      <c r="D9090" s="787">
        <v>0</v>
      </c>
      <c r="E9090" s="787">
        <v>0</v>
      </c>
      <c r="H9090" s="787">
        <v>1</v>
      </c>
      <c r="K9090" s="788">
        <v>41625</v>
      </c>
      <c r="L9090" s="787">
        <v>20.010000000000002</v>
      </c>
      <c r="M9090" s="787">
        <v>10</v>
      </c>
      <c r="N9090" s="787">
        <v>19.64</v>
      </c>
      <c r="O9090" s="788">
        <v>41858</v>
      </c>
    </row>
    <row r="9091" spans="1:15" x14ac:dyDescent="0.25">
      <c r="A9091" s="786" t="s">
        <v>16367</v>
      </c>
      <c r="B9091" s="787">
        <v>4</v>
      </c>
      <c r="C9091" s="787" t="s">
        <v>15334</v>
      </c>
      <c r="D9091" s="787">
        <v>0</v>
      </c>
      <c r="E9091" s="787">
        <v>0</v>
      </c>
      <c r="H9091" s="787">
        <v>1</v>
      </c>
      <c r="K9091" s="788">
        <v>41626</v>
      </c>
      <c r="L9091" s="787">
        <v>11.23</v>
      </c>
      <c r="M9091" s="787">
        <v>10</v>
      </c>
      <c r="N9091" s="787">
        <v>10.86</v>
      </c>
      <c r="O9091" s="788">
        <v>41858</v>
      </c>
    </row>
    <row r="9092" spans="1:15" x14ac:dyDescent="0.25">
      <c r="A9092" s="786" t="s">
        <v>16368</v>
      </c>
      <c r="B9092" s="787">
        <v>4</v>
      </c>
      <c r="C9092" s="787" t="s">
        <v>15340</v>
      </c>
      <c r="D9092" s="787">
        <v>0</v>
      </c>
      <c r="E9092" s="787">
        <v>0</v>
      </c>
      <c r="H9092" s="787">
        <v>1</v>
      </c>
      <c r="K9092" s="788">
        <v>41626</v>
      </c>
      <c r="L9092" s="787">
        <v>14.13</v>
      </c>
      <c r="M9092" s="787">
        <v>10</v>
      </c>
      <c r="N9092" s="787">
        <v>13.53</v>
      </c>
      <c r="O9092" s="788">
        <v>41858</v>
      </c>
    </row>
    <row r="9093" spans="1:15" x14ac:dyDescent="0.25">
      <c r="A9093" s="786" t="s">
        <v>16369</v>
      </c>
      <c r="B9093" s="787">
        <v>4</v>
      </c>
      <c r="C9093" s="787" t="s">
        <v>16370</v>
      </c>
      <c r="D9093" s="787">
        <v>0</v>
      </c>
      <c r="E9093" s="787">
        <v>0</v>
      </c>
      <c r="H9093" s="787">
        <v>1</v>
      </c>
      <c r="K9093" s="788">
        <v>41626</v>
      </c>
      <c r="L9093" s="787">
        <v>11.23</v>
      </c>
      <c r="M9093" s="787">
        <v>10</v>
      </c>
      <c r="N9093" s="787">
        <v>10.86</v>
      </c>
      <c r="O9093" s="788">
        <v>41858</v>
      </c>
    </row>
    <row r="9094" spans="1:15" x14ac:dyDescent="0.25">
      <c r="A9094" s="786" t="s">
        <v>16371</v>
      </c>
      <c r="B9094" s="787">
        <v>4</v>
      </c>
      <c r="C9094" s="787" t="s">
        <v>16372</v>
      </c>
      <c r="D9094" s="787">
        <v>0</v>
      </c>
      <c r="E9094" s="787">
        <v>0</v>
      </c>
      <c r="H9094" s="787">
        <v>1</v>
      </c>
      <c r="K9094" s="788">
        <v>41626</v>
      </c>
      <c r="L9094" s="787">
        <v>11.23</v>
      </c>
      <c r="M9094" s="787">
        <v>10</v>
      </c>
      <c r="N9094" s="787">
        <v>10.86</v>
      </c>
      <c r="O9094" s="788">
        <v>41858</v>
      </c>
    </row>
    <row r="9095" spans="1:15" x14ac:dyDescent="0.25">
      <c r="A9095" s="786" t="s">
        <v>16373</v>
      </c>
      <c r="B9095" s="787">
        <v>4</v>
      </c>
      <c r="C9095" s="787" t="s">
        <v>16374</v>
      </c>
      <c r="D9095" s="787">
        <v>0</v>
      </c>
      <c r="E9095" s="787">
        <v>0</v>
      </c>
      <c r="H9095" s="787">
        <v>1</v>
      </c>
      <c r="K9095" s="788">
        <v>41626</v>
      </c>
      <c r="L9095" s="787">
        <v>14.13</v>
      </c>
      <c r="M9095" s="787">
        <v>10</v>
      </c>
      <c r="N9095" s="787">
        <v>13.53</v>
      </c>
      <c r="O9095" s="788">
        <v>41858</v>
      </c>
    </row>
    <row r="9096" spans="1:15" x14ac:dyDescent="0.25">
      <c r="A9096" s="786" t="s">
        <v>16375</v>
      </c>
      <c r="B9096" s="787">
        <v>4</v>
      </c>
      <c r="C9096" s="787" t="s">
        <v>16376</v>
      </c>
      <c r="D9096" s="787">
        <v>0</v>
      </c>
      <c r="E9096" s="787">
        <v>0</v>
      </c>
      <c r="H9096" s="787">
        <v>1</v>
      </c>
      <c r="K9096" s="788">
        <v>41626</v>
      </c>
      <c r="L9096" s="787">
        <v>14.13</v>
      </c>
      <c r="M9096" s="787">
        <v>10</v>
      </c>
      <c r="N9096" s="787">
        <v>13.53</v>
      </c>
      <c r="O9096" s="788">
        <v>41858</v>
      </c>
    </row>
    <row r="9097" spans="1:15" x14ac:dyDescent="0.25">
      <c r="A9097" s="786" t="s">
        <v>16377</v>
      </c>
      <c r="B9097" s="787">
        <v>4</v>
      </c>
      <c r="C9097" s="787" t="s">
        <v>16378</v>
      </c>
      <c r="D9097" s="787">
        <v>0</v>
      </c>
      <c r="E9097" s="787">
        <v>0</v>
      </c>
      <c r="H9097" s="787">
        <v>1</v>
      </c>
      <c r="K9097" s="788">
        <v>41626</v>
      </c>
      <c r="L9097" s="787">
        <v>23.75</v>
      </c>
      <c r="M9097" s="787">
        <v>10</v>
      </c>
      <c r="N9097" s="787">
        <v>23.01</v>
      </c>
      <c r="O9097" s="788">
        <v>41858</v>
      </c>
    </row>
    <row r="9098" spans="1:15" x14ac:dyDescent="0.25">
      <c r="A9098" s="786" t="s">
        <v>16379</v>
      </c>
      <c r="B9098" s="787">
        <v>4</v>
      </c>
      <c r="C9098" s="787" t="s">
        <v>16380</v>
      </c>
      <c r="D9098" s="787">
        <v>0</v>
      </c>
      <c r="E9098" s="787">
        <v>0</v>
      </c>
      <c r="H9098" s="787">
        <v>1</v>
      </c>
      <c r="K9098" s="788">
        <v>41626</v>
      </c>
      <c r="L9098" s="787">
        <v>23.75</v>
      </c>
      <c r="M9098" s="787">
        <v>10</v>
      </c>
      <c r="N9098" s="787">
        <v>23.01</v>
      </c>
      <c r="O9098" s="788">
        <v>41858</v>
      </c>
    </row>
    <row r="9099" spans="1:15" x14ac:dyDescent="0.25">
      <c r="A9099" s="786" t="s">
        <v>16381</v>
      </c>
      <c r="B9099" s="787">
        <v>4</v>
      </c>
      <c r="C9099" s="787" t="s">
        <v>16382</v>
      </c>
      <c r="D9099" s="787">
        <v>0</v>
      </c>
      <c r="E9099" s="787">
        <v>0</v>
      </c>
      <c r="H9099" s="787">
        <v>1</v>
      </c>
      <c r="K9099" s="788">
        <v>41663</v>
      </c>
      <c r="L9099" s="787">
        <v>11.36</v>
      </c>
      <c r="M9099" s="787">
        <v>10</v>
      </c>
      <c r="N9099" s="787">
        <v>11.05</v>
      </c>
      <c r="O9099" s="788">
        <v>41858</v>
      </c>
    </row>
    <row r="9100" spans="1:15" x14ac:dyDescent="0.25">
      <c r="A9100" s="786" t="s">
        <v>16383</v>
      </c>
      <c r="B9100" s="787">
        <v>4</v>
      </c>
      <c r="C9100" s="787" t="s">
        <v>16384</v>
      </c>
      <c r="D9100" s="787">
        <v>0</v>
      </c>
      <c r="E9100" s="787">
        <v>0</v>
      </c>
      <c r="H9100" s="787">
        <v>1</v>
      </c>
      <c r="K9100" s="788">
        <v>41663</v>
      </c>
      <c r="L9100" s="787">
        <v>15.17</v>
      </c>
      <c r="M9100" s="787">
        <v>10</v>
      </c>
      <c r="N9100" s="787">
        <v>14.62</v>
      </c>
      <c r="O9100" s="788">
        <v>41858</v>
      </c>
    </row>
    <row r="9101" spans="1:15" x14ac:dyDescent="0.25">
      <c r="A9101" s="786" t="s">
        <v>16385</v>
      </c>
      <c r="B9101" s="787">
        <v>4</v>
      </c>
      <c r="C9101" s="787" t="s">
        <v>16386</v>
      </c>
      <c r="D9101" s="787">
        <v>0</v>
      </c>
      <c r="E9101" s="787">
        <v>0</v>
      </c>
      <c r="H9101" s="787">
        <v>1</v>
      </c>
      <c r="K9101" s="788">
        <v>41663</v>
      </c>
      <c r="L9101" s="787">
        <v>11.36</v>
      </c>
      <c r="M9101" s="787">
        <v>10</v>
      </c>
      <c r="N9101" s="787">
        <v>11.05</v>
      </c>
      <c r="O9101" s="788">
        <v>41858</v>
      </c>
    </row>
    <row r="9102" spans="1:15" x14ac:dyDescent="0.25">
      <c r="A9102" s="786" t="s">
        <v>16387</v>
      </c>
      <c r="B9102" s="787">
        <v>4</v>
      </c>
      <c r="C9102" s="787" t="s">
        <v>16388</v>
      </c>
      <c r="D9102" s="787">
        <v>0</v>
      </c>
      <c r="E9102" s="787">
        <v>0</v>
      </c>
      <c r="H9102" s="787">
        <v>1</v>
      </c>
      <c r="K9102" s="788">
        <v>41666</v>
      </c>
      <c r="L9102" s="787">
        <v>11.36</v>
      </c>
      <c r="M9102" s="787">
        <v>10</v>
      </c>
      <c r="N9102" s="787">
        <v>11.05</v>
      </c>
      <c r="O9102" s="788">
        <v>41858</v>
      </c>
    </row>
    <row r="9103" spans="1:15" x14ac:dyDescent="0.25">
      <c r="A9103" s="786" t="s">
        <v>16389</v>
      </c>
      <c r="B9103" s="787">
        <v>4</v>
      </c>
      <c r="C9103" s="787" t="s">
        <v>16390</v>
      </c>
      <c r="D9103" s="787">
        <v>0</v>
      </c>
      <c r="E9103" s="787">
        <v>0</v>
      </c>
      <c r="H9103" s="787">
        <v>1</v>
      </c>
      <c r="K9103" s="788">
        <v>41666</v>
      </c>
      <c r="L9103" s="787">
        <v>15.17</v>
      </c>
      <c r="M9103" s="787">
        <v>10</v>
      </c>
      <c r="N9103" s="787">
        <v>14.62</v>
      </c>
      <c r="O9103" s="788">
        <v>41858</v>
      </c>
    </row>
    <row r="9104" spans="1:15" x14ac:dyDescent="0.25">
      <c r="A9104" s="786" t="s">
        <v>16391</v>
      </c>
      <c r="B9104" s="787">
        <v>4</v>
      </c>
      <c r="C9104" s="787" t="s">
        <v>16392</v>
      </c>
      <c r="D9104" s="787">
        <v>0</v>
      </c>
      <c r="E9104" s="787">
        <v>0</v>
      </c>
      <c r="H9104" s="787">
        <v>1</v>
      </c>
      <c r="K9104" s="788">
        <v>41666</v>
      </c>
      <c r="L9104" s="787">
        <v>15.17</v>
      </c>
      <c r="M9104" s="787">
        <v>10</v>
      </c>
      <c r="N9104" s="787">
        <v>14.62</v>
      </c>
      <c r="O9104" s="788">
        <v>41858</v>
      </c>
    </row>
    <row r="9105" spans="1:15" x14ac:dyDescent="0.25">
      <c r="A9105" s="786" t="s">
        <v>16393</v>
      </c>
      <c r="B9105" s="787">
        <v>4</v>
      </c>
      <c r="C9105" s="787" t="s">
        <v>16394</v>
      </c>
      <c r="D9105" s="787">
        <v>0</v>
      </c>
      <c r="E9105" s="787">
        <v>0</v>
      </c>
      <c r="H9105" s="787">
        <v>1</v>
      </c>
      <c r="K9105" s="788">
        <v>41666</v>
      </c>
      <c r="L9105" s="787">
        <v>28.3</v>
      </c>
      <c r="M9105" s="787">
        <v>10</v>
      </c>
      <c r="N9105" s="787">
        <v>27.52</v>
      </c>
      <c r="O9105" s="788">
        <v>41858</v>
      </c>
    </row>
    <row r="9106" spans="1:15" x14ac:dyDescent="0.25">
      <c r="A9106" s="786" t="s">
        <v>16395</v>
      </c>
      <c r="B9106" s="787">
        <v>4</v>
      </c>
      <c r="C9106" s="787" t="s">
        <v>16396</v>
      </c>
      <c r="D9106" s="787">
        <v>0</v>
      </c>
      <c r="E9106" s="787">
        <v>0</v>
      </c>
      <c r="H9106" s="787">
        <v>1</v>
      </c>
      <c r="K9106" s="788">
        <v>41666</v>
      </c>
      <c r="L9106" s="787">
        <v>28.3</v>
      </c>
      <c r="M9106" s="787">
        <v>10</v>
      </c>
      <c r="N9106" s="787">
        <v>27.52</v>
      </c>
      <c r="O9106" s="788">
        <v>41858</v>
      </c>
    </row>
    <row r="9107" spans="1:15" x14ac:dyDescent="0.25">
      <c r="A9107" s="786" t="s">
        <v>16397</v>
      </c>
      <c r="B9107" s="787">
        <v>4</v>
      </c>
      <c r="C9107" s="787" t="s">
        <v>15334</v>
      </c>
      <c r="D9107" s="787">
        <v>0</v>
      </c>
      <c r="E9107" s="787">
        <v>0</v>
      </c>
      <c r="H9107" s="787">
        <v>1</v>
      </c>
      <c r="K9107" s="788">
        <v>41666</v>
      </c>
      <c r="L9107" s="787">
        <v>12.25</v>
      </c>
      <c r="M9107" s="787">
        <v>10</v>
      </c>
      <c r="N9107" s="787">
        <v>11.88</v>
      </c>
      <c r="O9107" s="788">
        <v>41858</v>
      </c>
    </row>
    <row r="9108" spans="1:15" x14ac:dyDescent="0.25">
      <c r="A9108" s="786" t="s">
        <v>16398</v>
      </c>
      <c r="B9108" s="787">
        <v>4</v>
      </c>
      <c r="C9108" s="787" t="s">
        <v>15340</v>
      </c>
      <c r="D9108" s="787">
        <v>0</v>
      </c>
      <c r="E9108" s="787">
        <v>0</v>
      </c>
      <c r="H9108" s="787">
        <v>1</v>
      </c>
      <c r="K9108" s="788">
        <v>41666</v>
      </c>
      <c r="L9108" s="787">
        <v>16.37</v>
      </c>
      <c r="M9108" s="787">
        <v>10</v>
      </c>
      <c r="N9108" s="787">
        <v>15.74</v>
      </c>
      <c r="O9108" s="788">
        <v>41858</v>
      </c>
    </row>
    <row r="9109" spans="1:15" x14ac:dyDescent="0.25">
      <c r="A9109" s="786" t="s">
        <v>16399</v>
      </c>
      <c r="B9109" s="787">
        <v>4</v>
      </c>
      <c r="C9109" s="787" t="s">
        <v>16370</v>
      </c>
      <c r="D9109" s="787">
        <v>0</v>
      </c>
      <c r="E9109" s="787">
        <v>0</v>
      </c>
      <c r="H9109" s="787">
        <v>1</v>
      </c>
      <c r="K9109" s="788">
        <v>41666</v>
      </c>
      <c r="L9109" s="787">
        <v>12.25</v>
      </c>
      <c r="M9109" s="787">
        <v>10</v>
      </c>
      <c r="N9109" s="787">
        <v>11.88</v>
      </c>
      <c r="O9109" s="788">
        <v>41858</v>
      </c>
    </row>
    <row r="9110" spans="1:15" x14ac:dyDescent="0.25">
      <c r="A9110" s="786" t="s">
        <v>16400</v>
      </c>
      <c r="B9110" s="787">
        <v>4</v>
      </c>
      <c r="C9110" s="787" t="s">
        <v>16372</v>
      </c>
      <c r="D9110" s="787">
        <v>0</v>
      </c>
      <c r="E9110" s="787">
        <v>0</v>
      </c>
      <c r="H9110" s="787">
        <v>1</v>
      </c>
      <c r="K9110" s="788">
        <v>41666</v>
      </c>
      <c r="L9110" s="787">
        <v>12.25</v>
      </c>
      <c r="M9110" s="787">
        <v>10</v>
      </c>
      <c r="N9110" s="787">
        <v>11.88</v>
      </c>
      <c r="O9110" s="788">
        <v>41858</v>
      </c>
    </row>
    <row r="9111" spans="1:15" x14ac:dyDescent="0.25">
      <c r="A9111" s="786" t="s">
        <v>16401</v>
      </c>
      <c r="B9111" s="787">
        <v>4</v>
      </c>
      <c r="C9111" s="787" t="s">
        <v>16402</v>
      </c>
      <c r="D9111" s="787">
        <v>0</v>
      </c>
      <c r="E9111" s="787">
        <v>0</v>
      </c>
      <c r="H9111" s="787">
        <v>1</v>
      </c>
      <c r="K9111" s="788">
        <v>41666</v>
      </c>
      <c r="L9111" s="787">
        <v>16.37</v>
      </c>
      <c r="M9111" s="787">
        <v>10</v>
      </c>
      <c r="N9111" s="787">
        <v>15.74</v>
      </c>
      <c r="O9111" s="788">
        <v>41858</v>
      </c>
    </row>
    <row r="9112" spans="1:15" x14ac:dyDescent="0.25">
      <c r="A9112" s="786" t="s">
        <v>16403</v>
      </c>
      <c r="B9112" s="787">
        <v>4</v>
      </c>
      <c r="C9112" s="787" t="s">
        <v>16404</v>
      </c>
      <c r="D9112" s="787">
        <v>0</v>
      </c>
      <c r="E9112" s="787">
        <v>0</v>
      </c>
      <c r="H9112" s="787">
        <v>1</v>
      </c>
      <c r="K9112" s="788">
        <v>41666</v>
      </c>
      <c r="L9112" s="787">
        <v>16.37</v>
      </c>
      <c r="M9112" s="787">
        <v>10</v>
      </c>
      <c r="N9112" s="787">
        <v>15.74</v>
      </c>
      <c r="O9112" s="788">
        <v>41858</v>
      </c>
    </row>
    <row r="9113" spans="1:15" x14ac:dyDescent="0.25">
      <c r="A9113" s="786" t="s">
        <v>16405</v>
      </c>
      <c r="B9113" s="787">
        <v>4</v>
      </c>
      <c r="C9113" s="787" t="s">
        <v>16152</v>
      </c>
      <c r="D9113" s="787">
        <v>0</v>
      </c>
      <c r="E9113" s="787">
        <v>0</v>
      </c>
      <c r="H9113" s="787">
        <v>1</v>
      </c>
      <c r="K9113" s="788">
        <v>41666</v>
      </c>
      <c r="L9113" s="787">
        <v>33.25</v>
      </c>
      <c r="M9113" s="787">
        <v>10</v>
      </c>
      <c r="N9113" s="787">
        <v>32.29</v>
      </c>
      <c r="O9113" s="788">
        <v>41858</v>
      </c>
    </row>
    <row r="9114" spans="1:15" x14ac:dyDescent="0.25">
      <c r="A9114" s="786" t="s">
        <v>16406</v>
      </c>
      <c r="B9114" s="787">
        <v>4</v>
      </c>
      <c r="C9114" s="787" t="s">
        <v>16148</v>
      </c>
      <c r="D9114" s="787">
        <v>0</v>
      </c>
      <c r="E9114" s="787">
        <v>0</v>
      </c>
      <c r="H9114" s="787">
        <v>1</v>
      </c>
      <c r="K9114" s="788">
        <v>41666</v>
      </c>
      <c r="L9114" s="787">
        <v>33.25</v>
      </c>
      <c r="M9114" s="787">
        <v>10</v>
      </c>
      <c r="N9114" s="787">
        <v>32.29</v>
      </c>
      <c r="O9114" s="788">
        <v>41858</v>
      </c>
    </row>
    <row r="9115" spans="1:15" x14ac:dyDescent="0.25">
      <c r="A9115" s="786" t="s">
        <v>16407</v>
      </c>
      <c r="B9115" s="787">
        <v>4</v>
      </c>
      <c r="C9115" s="787" t="s">
        <v>16408</v>
      </c>
      <c r="D9115" s="787">
        <v>4.75</v>
      </c>
      <c r="E9115" s="787">
        <v>5.35</v>
      </c>
      <c r="F9115" s="788">
        <v>41886</v>
      </c>
      <c r="G9115" s="788">
        <v>42107</v>
      </c>
      <c r="H9115" s="787">
        <v>1</v>
      </c>
      <c r="I9115" s="788">
        <v>42145</v>
      </c>
      <c r="J9115" s="788">
        <v>42080</v>
      </c>
      <c r="K9115" s="788">
        <v>41317</v>
      </c>
      <c r="L9115" s="787">
        <v>6</v>
      </c>
      <c r="M9115" s="787">
        <v>10</v>
      </c>
      <c r="N9115" s="787">
        <v>5.42</v>
      </c>
      <c r="O9115" s="788">
        <v>42146</v>
      </c>
    </row>
    <row r="9116" spans="1:15" x14ac:dyDescent="0.25">
      <c r="A9116" s="786" t="s">
        <v>16409</v>
      </c>
      <c r="B9116" s="787">
        <v>4</v>
      </c>
      <c r="C9116" s="787" t="s">
        <v>16410</v>
      </c>
      <c r="D9116" s="787">
        <v>0</v>
      </c>
      <c r="E9116" s="787">
        <v>0</v>
      </c>
      <c r="H9116" s="787">
        <v>1</v>
      </c>
      <c r="L9116" s="787">
        <v>1</v>
      </c>
      <c r="M9116" s="787">
        <v>10</v>
      </c>
      <c r="N9116" s="787">
        <v>34.130000000000003</v>
      </c>
      <c r="O9116" s="788">
        <v>41858</v>
      </c>
    </row>
    <row r="9117" spans="1:15" x14ac:dyDescent="0.25">
      <c r="A9117" s="786" t="s">
        <v>16411</v>
      </c>
      <c r="B9117" s="787">
        <v>4</v>
      </c>
      <c r="C9117" s="787" t="s">
        <v>16412</v>
      </c>
      <c r="D9117" s="787">
        <v>9.43</v>
      </c>
      <c r="E9117" s="787">
        <v>9.43</v>
      </c>
      <c r="F9117" s="788">
        <v>41775</v>
      </c>
      <c r="G9117" s="788">
        <v>42013</v>
      </c>
      <c r="H9117" s="787">
        <v>1</v>
      </c>
      <c r="I9117" s="788">
        <v>41886</v>
      </c>
      <c r="J9117" s="788">
        <v>41638</v>
      </c>
      <c r="L9117" s="787">
        <v>1</v>
      </c>
      <c r="M9117" s="787">
        <v>10</v>
      </c>
      <c r="N9117" s="787">
        <v>10.34</v>
      </c>
      <c r="O9117" s="788">
        <v>42045</v>
      </c>
    </row>
    <row r="9118" spans="1:15" x14ac:dyDescent="0.25">
      <c r="A9118" s="786" t="s">
        <v>16413</v>
      </c>
      <c r="B9118" s="787">
        <v>4</v>
      </c>
      <c r="C9118" s="787" t="s">
        <v>16414</v>
      </c>
      <c r="D9118" s="787">
        <v>0.73</v>
      </c>
      <c r="E9118" s="787">
        <v>10.73</v>
      </c>
      <c r="F9118" s="788">
        <v>41775</v>
      </c>
      <c r="G9118" s="788">
        <v>42013</v>
      </c>
      <c r="H9118" s="787">
        <v>1</v>
      </c>
      <c r="I9118" s="788">
        <v>41897</v>
      </c>
      <c r="J9118" s="788">
        <v>41626</v>
      </c>
      <c r="L9118" s="787">
        <v>1</v>
      </c>
      <c r="M9118" s="787">
        <v>10</v>
      </c>
      <c r="N9118" s="787">
        <v>10.34</v>
      </c>
      <c r="O9118" s="788">
        <v>42045</v>
      </c>
    </row>
    <row r="9119" spans="1:15" x14ac:dyDescent="0.25">
      <c r="A9119" s="786" t="s">
        <v>16415</v>
      </c>
      <c r="B9119" s="787">
        <v>4</v>
      </c>
      <c r="C9119" s="787" t="s">
        <v>16416</v>
      </c>
      <c r="D9119" s="787">
        <v>0</v>
      </c>
      <c r="E9119" s="787">
        <v>0</v>
      </c>
      <c r="H9119" s="787">
        <v>1</v>
      </c>
      <c r="I9119" s="788">
        <v>41886</v>
      </c>
      <c r="L9119" s="787">
        <v>1</v>
      </c>
      <c r="M9119" s="787">
        <v>10</v>
      </c>
      <c r="N9119" s="787">
        <v>11.37</v>
      </c>
      <c r="O9119" s="788">
        <v>42079</v>
      </c>
    </row>
    <row r="9120" spans="1:15" x14ac:dyDescent="0.25">
      <c r="A9120" s="786" t="s">
        <v>16417</v>
      </c>
      <c r="B9120" s="787">
        <v>4</v>
      </c>
      <c r="C9120" s="787" t="s">
        <v>16418</v>
      </c>
      <c r="D9120" s="787">
        <v>0</v>
      </c>
      <c r="E9120" s="787">
        <v>0</v>
      </c>
      <c r="H9120" s="787">
        <v>1</v>
      </c>
      <c r="I9120" s="788">
        <v>41879</v>
      </c>
      <c r="L9120" s="787">
        <v>1</v>
      </c>
      <c r="M9120" s="787">
        <v>10</v>
      </c>
      <c r="N9120" s="787">
        <v>10.66</v>
      </c>
      <c r="O9120" s="788">
        <v>41858</v>
      </c>
    </row>
    <row r="9121" spans="1:15" x14ac:dyDescent="0.25">
      <c r="A9121" s="786" t="s">
        <v>16419</v>
      </c>
      <c r="B9121" s="787">
        <v>4</v>
      </c>
      <c r="C9121" s="787" t="s">
        <v>16420</v>
      </c>
      <c r="D9121" s="787">
        <v>0</v>
      </c>
      <c r="E9121" s="787">
        <v>0</v>
      </c>
      <c r="H9121" s="787">
        <v>1</v>
      </c>
      <c r="I9121" s="788">
        <v>41886</v>
      </c>
      <c r="L9121" s="787">
        <v>1</v>
      </c>
      <c r="M9121" s="787">
        <v>10</v>
      </c>
      <c r="N9121" s="787">
        <v>6.26</v>
      </c>
      <c r="O9121" s="788">
        <v>42040</v>
      </c>
    </row>
    <row r="9122" spans="1:15" x14ac:dyDescent="0.25">
      <c r="A9122" s="786" t="s">
        <v>16421</v>
      </c>
      <c r="B9122" s="787">
        <v>4</v>
      </c>
      <c r="C9122" s="787" t="s">
        <v>16422</v>
      </c>
      <c r="D9122" s="787">
        <v>2.06</v>
      </c>
      <c r="E9122" s="787">
        <v>2.06</v>
      </c>
      <c r="F9122" s="788">
        <v>41813</v>
      </c>
      <c r="G9122" s="788">
        <v>42013</v>
      </c>
      <c r="H9122" s="787">
        <v>1</v>
      </c>
      <c r="I9122" s="788">
        <v>42059</v>
      </c>
      <c r="J9122" s="788">
        <v>41598</v>
      </c>
      <c r="L9122" s="787">
        <v>1</v>
      </c>
      <c r="M9122" s="787">
        <v>10</v>
      </c>
      <c r="N9122" s="787">
        <v>5.96</v>
      </c>
      <c r="O9122" s="788">
        <v>42082</v>
      </c>
    </row>
    <row r="9123" spans="1:15" x14ac:dyDescent="0.25">
      <c r="A9123" s="786" t="s">
        <v>16423</v>
      </c>
      <c r="B9123" s="787">
        <v>4</v>
      </c>
      <c r="C9123" s="787" t="s">
        <v>16424</v>
      </c>
      <c r="D9123" s="787">
        <v>0</v>
      </c>
      <c r="E9123" s="787">
        <v>0</v>
      </c>
      <c r="H9123" s="787">
        <v>1</v>
      </c>
      <c r="I9123" s="788">
        <v>42059</v>
      </c>
      <c r="L9123" s="787">
        <v>1</v>
      </c>
      <c r="M9123" s="787">
        <v>10</v>
      </c>
      <c r="N9123" s="787">
        <v>6.69</v>
      </c>
      <c r="O9123" s="788">
        <v>42082</v>
      </c>
    </row>
    <row r="9124" spans="1:15" x14ac:dyDescent="0.25">
      <c r="A9124" s="786" t="s">
        <v>16425</v>
      </c>
      <c r="B9124" s="787">
        <v>4</v>
      </c>
      <c r="C9124" s="787" t="s">
        <v>16426</v>
      </c>
      <c r="D9124" s="787">
        <v>0</v>
      </c>
      <c r="E9124" s="787">
        <v>0</v>
      </c>
      <c r="H9124" s="787">
        <v>1</v>
      </c>
      <c r="I9124" s="788">
        <v>42146</v>
      </c>
      <c r="L9124" s="787">
        <v>1</v>
      </c>
      <c r="M9124" s="787">
        <v>10</v>
      </c>
      <c r="N9124" s="787">
        <v>14.85</v>
      </c>
      <c r="O9124" s="788">
        <v>42040</v>
      </c>
    </row>
    <row r="9125" spans="1:15" x14ac:dyDescent="0.25">
      <c r="A9125" s="786" t="s">
        <v>16427</v>
      </c>
      <c r="B9125" s="787">
        <v>4</v>
      </c>
      <c r="C9125" s="787" t="s">
        <v>16428</v>
      </c>
      <c r="D9125" s="787">
        <v>0</v>
      </c>
      <c r="E9125" s="787">
        <v>0</v>
      </c>
      <c r="H9125" s="787">
        <v>1</v>
      </c>
      <c r="I9125" s="788">
        <v>42146</v>
      </c>
      <c r="L9125" s="787">
        <v>1</v>
      </c>
      <c r="M9125" s="787">
        <v>10</v>
      </c>
      <c r="N9125" s="787">
        <v>14.94</v>
      </c>
      <c r="O9125" s="788">
        <v>41858</v>
      </c>
    </row>
    <row r="9126" spans="1:15" x14ac:dyDescent="0.25">
      <c r="A9126" s="786" t="s">
        <v>16429</v>
      </c>
      <c r="B9126" s="787">
        <v>4</v>
      </c>
      <c r="C9126" s="787" t="s">
        <v>16430</v>
      </c>
      <c r="D9126" s="787">
        <v>2.02</v>
      </c>
      <c r="E9126" s="787">
        <v>2.02</v>
      </c>
      <c r="F9126" s="788">
        <v>41813</v>
      </c>
      <c r="G9126" s="788">
        <v>42013</v>
      </c>
      <c r="H9126" s="787">
        <v>1</v>
      </c>
      <c r="I9126" s="788">
        <v>42059</v>
      </c>
      <c r="J9126" s="788">
        <v>41598</v>
      </c>
      <c r="L9126" s="787">
        <v>1</v>
      </c>
      <c r="M9126" s="787">
        <v>10</v>
      </c>
      <c r="N9126" s="787">
        <v>5.96</v>
      </c>
      <c r="O9126" s="788">
        <v>42082</v>
      </c>
    </row>
    <row r="9127" spans="1:15" x14ac:dyDescent="0.25">
      <c r="A9127" s="786" t="s">
        <v>16431</v>
      </c>
      <c r="B9127" s="787">
        <v>4</v>
      </c>
      <c r="C9127" s="787" t="s">
        <v>16432</v>
      </c>
      <c r="D9127" s="787">
        <v>0</v>
      </c>
      <c r="E9127" s="787">
        <v>0</v>
      </c>
      <c r="H9127" s="787">
        <v>1</v>
      </c>
      <c r="I9127" s="788">
        <v>42146</v>
      </c>
      <c r="K9127" s="788">
        <v>41575</v>
      </c>
      <c r="L9127" s="787">
        <v>11</v>
      </c>
      <c r="M9127" s="787">
        <v>10</v>
      </c>
      <c r="N9127" s="787">
        <v>11.35</v>
      </c>
      <c r="O9127" s="788">
        <v>42040</v>
      </c>
    </row>
    <row r="9128" spans="1:15" x14ac:dyDescent="0.25">
      <c r="A9128" s="786" t="s">
        <v>16433</v>
      </c>
      <c r="B9128" s="787">
        <v>4</v>
      </c>
      <c r="C9128" s="787" t="s">
        <v>16434</v>
      </c>
      <c r="D9128" s="787">
        <v>0</v>
      </c>
      <c r="E9128" s="787">
        <v>0</v>
      </c>
      <c r="H9128" s="787">
        <v>1</v>
      </c>
      <c r="I9128" s="788">
        <v>42059</v>
      </c>
      <c r="L9128" s="787">
        <v>1</v>
      </c>
      <c r="M9128" s="787">
        <v>10</v>
      </c>
      <c r="N9128" s="787">
        <v>11.35</v>
      </c>
      <c r="O9128" s="788">
        <v>42082</v>
      </c>
    </row>
    <row r="9129" spans="1:15" x14ac:dyDescent="0.25">
      <c r="A9129" s="786" t="s">
        <v>16435</v>
      </c>
      <c r="B9129" s="787">
        <v>4</v>
      </c>
      <c r="C9129" s="787" t="s">
        <v>16436</v>
      </c>
      <c r="D9129" s="787">
        <v>0</v>
      </c>
      <c r="E9129" s="787">
        <v>0</v>
      </c>
      <c r="H9129" s="787">
        <v>1</v>
      </c>
      <c r="I9129" s="788">
        <v>42146</v>
      </c>
      <c r="L9129" s="787">
        <v>1</v>
      </c>
      <c r="M9129" s="787">
        <v>10</v>
      </c>
      <c r="N9129" s="787">
        <v>12.31</v>
      </c>
      <c r="O9129" s="788">
        <v>42128</v>
      </c>
    </row>
    <row r="9130" spans="1:15" x14ac:dyDescent="0.25">
      <c r="A9130" s="786" t="s">
        <v>16437</v>
      </c>
      <c r="B9130" s="787">
        <v>4</v>
      </c>
      <c r="C9130" s="787" t="s">
        <v>16438</v>
      </c>
      <c r="D9130" s="787">
        <v>0</v>
      </c>
      <c r="E9130" s="787">
        <v>0</v>
      </c>
      <c r="H9130" s="787">
        <v>1</v>
      </c>
      <c r="I9130" s="788">
        <v>42146</v>
      </c>
      <c r="L9130" s="787">
        <v>1</v>
      </c>
      <c r="M9130" s="787">
        <v>10</v>
      </c>
      <c r="N9130" s="787">
        <v>12.35</v>
      </c>
      <c r="O9130" s="788">
        <v>41858</v>
      </c>
    </row>
    <row r="9131" spans="1:15" x14ac:dyDescent="0.25">
      <c r="A9131" s="786" t="s">
        <v>16439</v>
      </c>
      <c r="B9131" s="787">
        <v>4</v>
      </c>
      <c r="C9131" s="787" t="s">
        <v>16189</v>
      </c>
      <c r="D9131" s="787">
        <v>4.99</v>
      </c>
      <c r="E9131" s="787">
        <v>4.99</v>
      </c>
      <c r="F9131" s="788">
        <v>41775</v>
      </c>
      <c r="G9131" s="788">
        <v>41775</v>
      </c>
      <c r="H9131" s="787">
        <v>1</v>
      </c>
      <c r="I9131" s="788">
        <v>41681</v>
      </c>
      <c r="J9131" s="788">
        <v>41680</v>
      </c>
      <c r="L9131" s="787">
        <v>2.5</v>
      </c>
      <c r="M9131" s="787">
        <v>10</v>
      </c>
      <c r="N9131" s="787">
        <v>5.96</v>
      </c>
      <c r="O9131" s="788">
        <v>42128</v>
      </c>
    </row>
    <row r="9132" spans="1:15" x14ac:dyDescent="0.25">
      <c r="A9132" s="786" t="s">
        <v>16440</v>
      </c>
      <c r="B9132" s="787">
        <v>4</v>
      </c>
      <c r="C9132" s="787" t="s">
        <v>16441</v>
      </c>
      <c r="D9132" s="787">
        <v>0</v>
      </c>
      <c r="E9132" s="787">
        <v>0</v>
      </c>
      <c r="H9132" s="787">
        <v>1</v>
      </c>
      <c r="I9132" s="788">
        <v>42041</v>
      </c>
      <c r="L9132" s="787">
        <v>1</v>
      </c>
      <c r="M9132" s="787">
        <v>10</v>
      </c>
      <c r="N9132" s="787">
        <v>3.27</v>
      </c>
      <c r="O9132" s="788">
        <v>42128</v>
      </c>
    </row>
    <row r="9133" spans="1:15" x14ac:dyDescent="0.25">
      <c r="A9133" s="786" t="s">
        <v>16442</v>
      </c>
      <c r="B9133" s="787">
        <v>4</v>
      </c>
      <c r="C9133" s="787" t="s">
        <v>16443</v>
      </c>
      <c r="D9133" s="787">
        <v>0</v>
      </c>
      <c r="E9133" s="787">
        <v>0</v>
      </c>
      <c r="H9133" s="787">
        <v>1</v>
      </c>
      <c r="I9133" s="788">
        <v>42132</v>
      </c>
      <c r="L9133" s="787">
        <v>1</v>
      </c>
      <c r="M9133" s="787">
        <v>10</v>
      </c>
      <c r="N9133" s="787">
        <v>8.7200000000000006</v>
      </c>
      <c r="O9133" s="788">
        <v>42082</v>
      </c>
    </row>
    <row r="9134" spans="1:15" x14ac:dyDescent="0.25">
      <c r="A9134" s="786" t="s">
        <v>16444</v>
      </c>
      <c r="B9134" s="787">
        <v>4</v>
      </c>
      <c r="C9134" s="787" t="s">
        <v>16445</v>
      </c>
      <c r="D9134" s="787">
        <v>0</v>
      </c>
      <c r="E9134" s="787">
        <v>0</v>
      </c>
      <c r="H9134" s="787">
        <v>1</v>
      </c>
      <c r="I9134" s="788">
        <v>42146</v>
      </c>
      <c r="L9134" s="787">
        <v>1</v>
      </c>
      <c r="M9134" s="787">
        <v>10</v>
      </c>
      <c r="N9134" s="787">
        <v>10.5</v>
      </c>
      <c r="O9134" s="788">
        <v>41858</v>
      </c>
    </row>
    <row r="9135" spans="1:15" x14ac:dyDescent="0.25">
      <c r="A9135" s="786" t="s">
        <v>16446</v>
      </c>
      <c r="B9135" s="787">
        <v>4</v>
      </c>
      <c r="C9135" s="787" t="s">
        <v>16447</v>
      </c>
      <c r="D9135" s="787">
        <v>0</v>
      </c>
      <c r="E9135" s="787">
        <v>0</v>
      </c>
      <c r="H9135" s="787">
        <v>1</v>
      </c>
      <c r="I9135" s="788">
        <v>42146</v>
      </c>
      <c r="L9135" s="787">
        <v>1</v>
      </c>
      <c r="M9135" s="787">
        <v>10</v>
      </c>
      <c r="N9135" s="787">
        <v>10.66</v>
      </c>
      <c r="O9135" s="788">
        <v>41858</v>
      </c>
    </row>
    <row r="9136" spans="1:15" x14ac:dyDescent="0.25">
      <c r="A9136" s="786" t="s">
        <v>16448</v>
      </c>
      <c r="B9136" s="787">
        <v>4</v>
      </c>
      <c r="C9136" s="787" t="s">
        <v>16306</v>
      </c>
      <c r="D9136" s="787">
        <v>3.7</v>
      </c>
      <c r="E9136" s="787">
        <v>3.7</v>
      </c>
      <c r="F9136" s="788">
        <v>41775</v>
      </c>
      <c r="G9136" s="788">
        <v>41775</v>
      </c>
      <c r="H9136" s="787">
        <v>1</v>
      </c>
      <c r="I9136" s="788">
        <v>41673</v>
      </c>
      <c r="J9136" s="788">
        <v>41667</v>
      </c>
      <c r="L9136" s="787">
        <v>2.5</v>
      </c>
      <c r="M9136" s="787">
        <v>10</v>
      </c>
      <c r="N9136" s="787">
        <v>5.96</v>
      </c>
      <c r="O9136" s="788">
        <v>42045</v>
      </c>
    </row>
    <row r="9137" spans="1:15" x14ac:dyDescent="0.25">
      <c r="A9137" s="786" t="s">
        <v>16449</v>
      </c>
      <c r="B9137" s="787">
        <v>4</v>
      </c>
      <c r="C9137" s="787" t="s">
        <v>16450</v>
      </c>
      <c r="D9137" s="787">
        <v>0</v>
      </c>
      <c r="E9137" s="787">
        <v>0</v>
      </c>
      <c r="H9137" s="787">
        <v>1</v>
      </c>
      <c r="I9137" s="788">
        <v>41897</v>
      </c>
      <c r="L9137" s="787">
        <v>1</v>
      </c>
      <c r="M9137" s="787">
        <v>10</v>
      </c>
      <c r="N9137" s="787">
        <v>6.26</v>
      </c>
      <c r="O9137" s="788">
        <v>41858</v>
      </c>
    </row>
    <row r="9138" spans="1:15" x14ac:dyDescent="0.25">
      <c r="A9138" s="786" t="s">
        <v>16451</v>
      </c>
      <c r="B9138" s="787">
        <v>4</v>
      </c>
      <c r="C9138" s="787" t="s">
        <v>16452</v>
      </c>
      <c r="D9138" s="787">
        <v>0</v>
      </c>
      <c r="E9138" s="787">
        <v>0</v>
      </c>
      <c r="H9138" s="787">
        <v>1</v>
      </c>
      <c r="I9138" s="788">
        <v>41989</v>
      </c>
      <c r="L9138" s="787">
        <v>1</v>
      </c>
      <c r="M9138" s="787">
        <v>10</v>
      </c>
      <c r="N9138" s="787">
        <v>6.26</v>
      </c>
      <c r="O9138" s="788">
        <v>41858</v>
      </c>
    </row>
    <row r="9139" spans="1:15" x14ac:dyDescent="0.25">
      <c r="A9139" s="786" t="s">
        <v>16453</v>
      </c>
      <c r="B9139" s="787">
        <v>4</v>
      </c>
      <c r="C9139" s="787" t="s">
        <v>16454</v>
      </c>
      <c r="D9139" s="787">
        <v>0</v>
      </c>
      <c r="E9139" s="787">
        <v>0</v>
      </c>
      <c r="H9139" s="787">
        <v>1</v>
      </c>
      <c r="I9139" s="788">
        <v>42041</v>
      </c>
      <c r="L9139" s="787">
        <v>21</v>
      </c>
      <c r="M9139" s="787">
        <v>10</v>
      </c>
      <c r="N9139" s="787">
        <v>12.12</v>
      </c>
      <c r="O9139" s="788">
        <v>42128</v>
      </c>
    </row>
    <row r="9140" spans="1:15" x14ac:dyDescent="0.25">
      <c r="A9140" s="786" t="s">
        <v>16455</v>
      </c>
      <c r="B9140" s="787">
        <v>4</v>
      </c>
      <c r="C9140" s="787" t="s">
        <v>16456</v>
      </c>
      <c r="D9140" s="787">
        <v>0</v>
      </c>
      <c r="E9140" s="787">
        <v>0</v>
      </c>
      <c r="H9140" s="787">
        <v>1</v>
      </c>
      <c r="I9140" s="788">
        <v>41970</v>
      </c>
      <c r="L9140" s="787">
        <v>8</v>
      </c>
      <c r="M9140" s="787">
        <v>10</v>
      </c>
      <c r="N9140" s="787">
        <v>10.66</v>
      </c>
      <c r="O9140" s="788">
        <v>41858</v>
      </c>
    </row>
    <row r="9141" spans="1:15" x14ac:dyDescent="0.25">
      <c r="A9141" s="786" t="s">
        <v>16457</v>
      </c>
      <c r="B9141" s="787">
        <v>4</v>
      </c>
      <c r="C9141" s="787" t="s">
        <v>16420</v>
      </c>
      <c r="D9141" s="787">
        <v>0</v>
      </c>
      <c r="E9141" s="787">
        <v>0</v>
      </c>
      <c r="H9141" s="787">
        <v>1</v>
      </c>
      <c r="I9141" s="788">
        <v>42041</v>
      </c>
      <c r="L9141" s="787">
        <v>6</v>
      </c>
      <c r="M9141" s="787">
        <v>10</v>
      </c>
      <c r="N9141" s="787">
        <v>6.26</v>
      </c>
      <c r="O9141" s="788">
        <v>42128</v>
      </c>
    </row>
    <row r="9142" spans="1:15" x14ac:dyDescent="0.25">
      <c r="A9142" s="786" t="s">
        <v>16458</v>
      </c>
      <c r="B9142" s="787">
        <v>4</v>
      </c>
      <c r="C9142" s="787" t="s">
        <v>16424</v>
      </c>
      <c r="D9142" s="787">
        <v>0</v>
      </c>
      <c r="E9142" s="787">
        <v>0</v>
      </c>
      <c r="H9142" s="787">
        <v>1</v>
      </c>
      <c r="I9142" s="788">
        <v>42132</v>
      </c>
      <c r="L9142" s="787">
        <v>7</v>
      </c>
      <c r="M9142" s="787">
        <v>10</v>
      </c>
      <c r="N9142" s="787">
        <v>7.19</v>
      </c>
      <c r="O9142" s="788">
        <v>41858</v>
      </c>
    </row>
    <row r="9143" spans="1:15" x14ac:dyDescent="0.25">
      <c r="A9143" s="786" t="s">
        <v>16459</v>
      </c>
      <c r="B9143" s="787">
        <v>4</v>
      </c>
      <c r="C9143" s="787" t="s">
        <v>16460</v>
      </c>
      <c r="D9143" s="787">
        <v>0</v>
      </c>
      <c r="E9143" s="787">
        <v>0</v>
      </c>
      <c r="H9143" s="787">
        <v>1</v>
      </c>
      <c r="I9143" s="788">
        <v>42041</v>
      </c>
      <c r="L9143" s="787">
        <v>8</v>
      </c>
      <c r="M9143" s="787">
        <v>10</v>
      </c>
      <c r="N9143" s="787">
        <v>10.19</v>
      </c>
      <c r="O9143" s="788">
        <v>42128</v>
      </c>
    </row>
    <row r="9144" spans="1:15" x14ac:dyDescent="0.25">
      <c r="A9144" s="786" t="s">
        <v>16461</v>
      </c>
      <c r="B9144" s="787">
        <v>4</v>
      </c>
      <c r="C9144" s="787" t="s">
        <v>16462</v>
      </c>
      <c r="D9144" s="787">
        <v>0</v>
      </c>
      <c r="E9144" s="787">
        <v>0</v>
      </c>
      <c r="H9144" s="787">
        <v>1</v>
      </c>
      <c r="I9144" s="788">
        <v>41970</v>
      </c>
      <c r="L9144" s="787">
        <v>8</v>
      </c>
      <c r="M9144" s="787">
        <v>10</v>
      </c>
      <c r="N9144" s="787">
        <v>10.19</v>
      </c>
      <c r="O9144" s="788">
        <v>41858</v>
      </c>
    </row>
    <row r="9145" spans="1:15" x14ac:dyDescent="0.25">
      <c r="A9145" s="786" t="s">
        <v>16463</v>
      </c>
      <c r="B9145" s="787">
        <v>4</v>
      </c>
      <c r="C9145" s="787" t="s">
        <v>16464</v>
      </c>
      <c r="D9145" s="787">
        <v>0</v>
      </c>
      <c r="E9145" s="787">
        <v>0</v>
      </c>
      <c r="H9145" s="787">
        <v>1</v>
      </c>
      <c r="I9145" s="788">
        <v>42041</v>
      </c>
      <c r="L9145" s="787">
        <v>5</v>
      </c>
      <c r="M9145" s="787">
        <v>10</v>
      </c>
      <c r="N9145" s="787">
        <v>5.8</v>
      </c>
      <c r="O9145" s="788">
        <v>42128</v>
      </c>
    </row>
    <row r="9146" spans="1:15" x14ac:dyDescent="0.25">
      <c r="A9146" s="786" t="s">
        <v>16465</v>
      </c>
      <c r="B9146" s="787">
        <v>4</v>
      </c>
      <c r="C9146" s="787" t="s">
        <v>16466</v>
      </c>
      <c r="D9146" s="787">
        <v>0</v>
      </c>
      <c r="E9146" s="787">
        <v>0</v>
      </c>
      <c r="H9146" s="787">
        <v>1</v>
      </c>
      <c r="I9146" s="788">
        <v>42132</v>
      </c>
      <c r="L9146" s="787">
        <v>5</v>
      </c>
      <c r="M9146" s="787">
        <v>10</v>
      </c>
      <c r="N9146" s="787">
        <v>5.8</v>
      </c>
      <c r="O9146" s="788">
        <v>41858</v>
      </c>
    </row>
    <row r="9147" spans="1:15" x14ac:dyDescent="0.25">
      <c r="A9147" s="786" t="s">
        <v>16467</v>
      </c>
      <c r="B9147" s="787">
        <v>4</v>
      </c>
      <c r="C9147" s="787" t="s">
        <v>16468</v>
      </c>
      <c r="D9147" s="787">
        <v>0.62</v>
      </c>
      <c r="E9147" s="787">
        <v>1.0900000000000001</v>
      </c>
      <c r="F9147" s="788">
        <v>41775</v>
      </c>
      <c r="G9147" s="788">
        <v>41963</v>
      </c>
      <c r="H9147" s="787">
        <v>1</v>
      </c>
      <c r="I9147" s="788">
        <v>41943</v>
      </c>
      <c r="J9147" s="788">
        <v>41940</v>
      </c>
      <c r="L9147" s="787">
        <v>1</v>
      </c>
      <c r="M9147" s="787">
        <v>10</v>
      </c>
      <c r="N9147" s="787">
        <v>1.1100000000000001</v>
      </c>
      <c r="O9147" s="788">
        <v>42128</v>
      </c>
    </row>
    <row r="9148" spans="1:15" x14ac:dyDescent="0.25">
      <c r="A9148" s="786" t="s">
        <v>16469</v>
      </c>
      <c r="B9148" s="787">
        <v>4</v>
      </c>
      <c r="C9148" s="787" t="s">
        <v>16470</v>
      </c>
      <c r="D9148" s="787">
        <v>0.37</v>
      </c>
      <c r="E9148" s="787">
        <v>2.81</v>
      </c>
      <c r="F9148" s="788">
        <v>41963</v>
      </c>
      <c r="G9148" s="788">
        <v>41963</v>
      </c>
      <c r="H9148" s="787">
        <v>1</v>
      </c>
      <c r="I9148" s="788">
        <v>41943</v>
      </c>
      <c r="J9148" s="788">
        <v>42047</v>
      </c>
      <c r="L9148" s="787">
        <v>1</v>
      </c>
      <c r="M9148" s="787">
        <v>10</v>
      </c>
      <c r="N9148" s="787">
        <v>1.54</v>
      </c>
      <c r="O9148" s="788">
        <v>42128</v>
      </c>
    </row>
    <row r="9149" spans="1:15" x14ac:dyDescent="0.25">
      <c r="A9149" s="786" t="s">
        <v>16471</v>
      </c>
      <c r="B9149" s="787">
        <v>4</v>
      </c>
      <c r="C9149" s="787" t="s">
        <v>16472</v>
      </c>
      <c r="D9149" s="787">
        <v>3.76</v>
      </c>
      <c r="E9149" s="787">
        <v>33.93</v>
      </c>
      <c r="F9149" s="788">
        <v>41775</v>
      </c>
      <c r="G9149" s="788">
        <v>42013</v>
      </c>
      <c r="H9149" s="787">
        <v>1</v>
      </c>
      <c r="I9149" s="788">
        <v>42165</v>
      </c>
      <c r="J9149" s="788">
        <v>41943</v>
      </c>
      <c r="L9149" s="787">
        <v>1</v>
      </c>
      <c r="M9149" s="787">
        <v>10</v>
      </c>
      <c r="N9149" s="787">
        <v>46.16</v>
      </c>
      <c r="O9149" s="788">
        <v>42128</v>
      </c>
    </row>
    <row r="9150" spans="1:15" x14ac:dyDescent="0.25">
      <c r="A9150" s="786" t="s">
        <v>16473</v>
      </c>
      <c r="B9150" s="787">
        <v>4</v>
      </c>
      <c r="C9150" s="787" t="s">
        <v>16445</v>
      </c>
      <c r="D9150" s="787">
        <v>0</v>
      </c>
      <c r="E9150" s="787">
        <v>0</v>
      </c>
      <c r="H9150" s="787">
        <v>1</v>
      </c>
      <c r="I9150" s="788">
        <v>41900</v>
      </c>
      <c r="L9150" s="787">
        <v>8</v>
      </c>
      <c r="M9150" s="787">
        <v>10</v>
      </c>
      <c r="N9150" s="787">
        <v>10.5</v>
      </c>
      <c r="O9150" s="788">
        <v>41858</v>
      </c>
    </row>
    <row r="9151" spans="1:15" x14ac:dyDescent="0.25">
      <c r="A9151" s="786" t="s">
        <v>16474</v>
      </c>
      <c r="B9151" s="787">
        <v>4</v>
      </c>
      <c r="C9151" s="787" t="s">
        <v>16447</v>
      </c>
      <c r="D9151" s="787">
        <v>0</v>
      </c>
      <c r="E9151" s="787">
        <v>0</v>
      </c>
      <c r="H9151" s="787">
        <v>1</v>
      </c>
      <c r="I9151" s="788">
        <v>41570</v>
      </c>
      <c r="L9151" s="787">
        <v>8</v>
      </c>
      <c r="M9151" s="787">
        <v>10</v>
      </c>
      <c r="N9151" s="787">
        <v>10.66</v>
      </c>
      <c r="O9151" s="788">
        <v>41858</v>
      </c>
    </row>
    <row r="9152" spans="1:15" x14ac:dyDescent="0.25">
      <c r="A9152" s="786" t="s">
        <v>16475</v>
      </c>
      <c r="B9152" s="787">
        <v>4</v>
      </c>
      <c r="C9152" s="787" t="s">
        <v>16450</v>
      </c>
      <c r="D9152" s="787">
        <v>0</v>
      </c>
      <c r="E9152" s="787">
        <v>0</v>
      </c>
      <c r="H9152" s="787">
        <v>1</v>
      </c>
      <c r="I9152" s="788">
        <v>41900</v>
      </c>
      <c r="L9152" s="787">
        <v>5</v>
      </c>
      <c r="M9152" s="787">
        <v>10</v>
      </c>
      <c r="N9152" s="787">
        <v>6.26</v>
      </c>
      <c r="O9152" s="788">
        <v>41858</v>
      </c>
    </row>
    <row r="9153" spans="1:15" x14ac:dyDescent="0.25">
      <c r="A9153" s="786" t="s">
        <v>16476</v>
      </c>
      <c r="B9153" s="787">
        <v>4</v>
      </c>
      <c r="C9153" s="787" t="s">
        <v>16452</v>
      </c>
      <c r="D9153" s="787">
        <v>0</v>
      </c>
      <c r="E9153" s="787">
        <v>0</v>
      </c>
      <c r="H9153" s="787">
        <v>1</v>
      </c>
      <c r="I9153" s="788">
        <v>41830</v>
      </c>
      <c r="L9153" s="787">
        <v>5</v>
      </c>
      <c r="M9153" s="787">
        <v>10</v>
      </c>
      <c r="N9153" s="787">
        <v>6.26</v>
      </c>
      <c r="O9153" s="788">
        <v>41858</v>
      </c>
    </row>
    <row r="9154" spans="1:15" x14ac:dyDescent="0.25">
      <c r="A9154" s="786" t="s">
        <v>16477</v>
      </c>
      <c r="B9154" s="787">
        <v>4</v>
      </c>
      <c r="C9154" s="787" t="s">
        <v>16422</v>
      </c>
      <c r="D9154" s="787">
        <v>5.67</v>
      </c>
      <c r="E9154" s="787">
        <v>5.67</v>
      </c>
      <c r="F9154" s="788">
        <v>41775</v>
      </c>
      <c r="G9154" s="788">
        <v>42013</v>
      </c>
      <c r="H9154" s="787">
        <v>1</v>
      </c>
      <c r="I9154" s="788">
        <v>42132</v>
      </c>
      <c r="J9154" s="788">
        <v>41605</v>
      </c>
      <c r="L9154" s="787">
        <v>2.5</v>
      </c>
      <c r="M9154" s="787">
        <v>10</v>
      </c>
      <c r="N9154" s="787">
        <v>5.96</v>
      </c>
      <c r="O9154" s="788">
        <v>42045</v>
      </c>
    </row>
    <row r="9155" spans="1:15" x14ac:dyDescent="0.25">
      <c r="A9155" s="786" t="s">
        <v>16478</v>
      </c>
      <c r="B9155" s="787">
        <v>4</v>
      </c>
      <c r="C9155" s="787" t="s">
        <v>16430</v>
      </c>
      <c r="D9155" s="787">
        <v>3.01</v>
      </c>
      <c r="E9155" s="787">
        <v>8.73</v>
      </c>
      <c r="F9155" s="788">
        <v>41499</v>
      </c>
      <c r="G9155" s="788">
        <v>42013</v>
      </c>
      <c r="H9155" s="787">
        <v>1</v>
      </c>
      <c r="I9155" s="788">
        <v>42132</v>
      </c>
      <c r="J9155" s="788">
        <v>41605</v>
      </c>
      <c r="L9155" s="787">
        <v>2.5</v>
      </c>
      <c r="M9155" s="787">
        <v>10</v>
      </c>
      <c r="N9155" s="787">
        <v>5.96</v>
      </c>
      <c r="O9155" s="788">
        <v>42045</v>
      </c>
    </row>
    <row r="9156" spans="1:15" x14ac:dyDescent="0.25">
      <c r="A9156" s="786" t="s">
        <v>16479</v>
      </c>
      <c r="B9156" s="787">
        <v>4</v>
      </c>
      <c r="C9156" s="787" t="s">
        <v>16308</v>
      </c>
      <c r="D9156" s="787">
        <v>4.37</v>
      </c>
      <c r="E9156" s="787">
        <v>4.37</v>
      </c>
      <c r="F9156" s="788">
        <v>41775</v>
      </c>
      <c r="G9156" s="788">
        <v>41775</v>
      </c>
      <c r="H9156" s="787">
        <v>1</v>
      </c>
      <c r="I9156" s="788">
        <v>41681</v>
      </c>
      <c r="J9156" s="788">
        <v>41680</v>
      </c>
      <c r="L9156" s="787">
        <v>2.5</v>
      </c>
      <c r="M9156" s="787">
        <v>10</v>
      </c>
      <c r="N9156" s="787">
        <v>5.96</v>
      </c>
      <c r="O9156" s="788">
        <v>42128</v>
      </c>
    </row>
    <row r="9157" spans="1:15" x14ac:dyDescent="0.25">
      <c r="A9157" s="786" t="s">
        <v>16480</v>
      </c>
      <c r="B9157" s="787">
        <v>4</v>
      </c>
      <c r="C9157" s="787" t="s">
        <v>16310</v>
      </c>
      <c r="D9157" s="787">
        <v>1.95</v>
      </c>
      <c r="E9157" s="787">
        <v>12.26</v>
      </c>
      <c r="F9157" s="788">
        <v>41499</v>
      </c>
      <c r="G9157" s="788">
        <v>41775</v>
      </c>
      <c r="H9157" s="787">
        <v>1</v>
      </c>
      <c r="I9157" s="788">
        <v>41667</v>
      </c>
      <c r="J9157" s="788">
        <v>41667</v>
      </c>
      <c r="L9157" s="787">
        <v>2.5</v>
      </c>
      <c r="M9157" s="787">
        <v>10</v>
      </c>
      <c r="N9157" s="787">
        <v>5.96</v>
      </c>
      <c r="O9157" s="788">
        <v>41858</v>
      </c>
    </row>
    <row r="9158" spans="1:15" x14ac:dyDescent="0.25">
      <c r="A9158" s="786" t="s">
        <v>16481</v>
      </c>
      <c r="B9158" s="787">
        <v>4</v>
      </c>
      <c r="C9158" s="787" t="s">
        <v>16482</v>
      </c>
      <c r="D9158" s="787">
        <v>0</v>
      </c>
      <c r="E9158" s="787">
        <v>32.81</v>
      </c>
      <c r="F9158" s="788">
        <v>41813</v>
      </c>
      <c r="G9158" s="788">
        <v>41908</v>
      </c>
      <c r="H9158" s="787">
        <v>1</v>
      </c>
      <c r="I9158" s="788">
        <v>42075</v>
      </c>
      <c r="J9158" s="788">
        <v>41876</v>
      </c>
      <c r="K9158" s="788">
        <v>41428</v>
      </c>
      <c r="L9158" s="787">
        <v>52</v>
      </c>
      <c r="M9158" s="787">
        <v>10</v>
      </c>
      <c r="N9158" s="787">
        <v>33.97</v>
      </c>
      <c r="O9158" s="788">
        <v>41884</v>
      </c>
    </row>
    <row r="9159" spans="1:15" x14ac:dyDescent="0.25">
      <c r="A9159" s="786" t="s">
        <v>16483</v>
      </c>
      <c r="B9159" s="787">
        <v>4</v>
      </c>
      <c r="C9159" s="787" t="s">
        <v>16484</v>
      </c>
      <c r="D9159" s="787">
        <v>7.57</v>
      </c>
      <c r="E9159" s="787">
        <v>18.989999999999998</v>
      </c>
      <c r="F9159" s="788">
        <v>41519</v>
      </c>
      <c r="G9159" s="788">
        <v>42047</v>
      </c>
      <c r="H9159" s="787">
        <v>1</v>
      </c>
      <c r="I9159" s="788">
        <v>42018</v>
      </c>
      <c r="J9159" s="788">
        <v>42018</v>
      </c>
      <c r="L9159" s="787">
        <v>15</v>
      </c>
      <c r="M9159" s="787">
        <v>10</v>
      </c>
      <c r="N9159" s="787">
        <v>24.69</v>
      </c>
      <c r="O9159" s="788">
        <v>42082</v>
      </c>
    </row>
    <row r="9160" spans="1:15" x14ac:dyDescent="0.25">
      <c r="A9160" s="786" t="s">
        <v>16485</v>
      </c>
      <c r="B9160" s="787">
        <v>4</v>
      </c>
      <c r="C9160" s="787" t="s">
        <v>16486</v>
      </c>
      <c r="D9160" s="787">
        <v>1.55</v>
      </c>
      <c r="E9160" s="787">
        <v>5.1100000000000003</v>
      </c>
      <c r="F9160" s="788">
        <v>42044</v>
      </c>
      <c r="G9160" s="788">
        <v>42110</v>
      </c>
      <c r="H9160" s="787">
        <v>1</v>
      </c>
      <c r="I9160" s="788">
        <v>42080</v>
      </c>
      <c r="J9160" s="788">
        <v>42079</v>
      </c>
      <c r="L9160" s="787">
        <v>5</v>
      </c>
      <c r="M9160" s="787">
        <v>10</v>
      </c>
      <c r="N9160" s="787">
        <v>5.04</v>
      </c>
      <c r="O9160" s="788">
        <v>42082</v>
      </c>
    </row>
    <row r="9161" spans="1:15" x14ac:dyDescent="0.25">
      <c r="A9161" s="786" t="s">
        <v>16487</v>
      </c>
      <c r="B9161" s="787">
        <v>4</v>
      </c>
      <c r="C9161" s="787" t="s">
        <v>16484</v>
      </c>
      <c r="D9161" s="787">
        <v>5.5</v>
      </c>
      <c r="E9161" s="787">
        <v>48.66</v>
      </c>
      <c r="F9161" s="788">
        <v>41519</v>
      </c>
      <c r="G9161" s="788">
        <v>42047</v>
      </c>
      <c r="H9161" s="787">
        <v>1</v>
      </c>
      <c r="I9161" s="788">
        <v>42018</v>
      </c>
      <c r="J9161" s="788">
        <v>42018</v>
      </c>
      <c r="L9161" s="787">
        <v>15</v>
      </c>
      <c r="M9161" s="787">
        <v>10</v>
      </c>
      <c r="N9161" s="787">
        <v>23.27</v>
      </c>
      <c r="O9161" s="788">
        <v>42082</v>
      </c>
    </row>
    <row r="9162" spans="1:15" x14ac:dyDescent="0.25">
      <c r="A9162" s="786" t="s">
        <v>16488</v>
      </c>
      <c r="B9162" s="787">
        <v>4</v>
      </c>
      <c r="C9162" s="787" t="s">
        <v>16486</v>
      </c>
      <c r="D9162" s="787">
        <v>0</v>
      </c>
      <c r="E9162" s="787">
        <v>0</v>
      </c>
      <c r="H9162" s="787">
        <v>1</v>
      </c>
      <c r="L9162" s="787">
        <v>2.5</v>
      </c>
      <c r="M9162" s="787">
        <v>10</v>
      </c>
      <c r="N9162" s="787">
        <v>19.440000000000001</v>
      </c>
      <c r="O9162" s="788">
        <v>41858</v>
      </c>
    </row>
    <row r="9163" spans="1:15" x14ac:dyDescent="0.25">
      <c r="A9163" s="786" t="s">
        <v>16489</v>
      </c>
      <c r="B9163" s="787">
        <v>4</v>
      </c>
      <c r="C9163" s="787" t="s">
        <v>16490</v>
      </c>
      <c r="D9163" s="787">
        <v>1.39</v>
      </c>
      <c r="E9163" s="787">
        <v>2.62</v>
      </c>
      <c r="F9163" s="788">
        <v>41813</v>
      </c>
      <c r="G9163" s="788">
        <v>42163</v>
      </c>
      <c r="H9163" s="787">
        <v>1</v>
      </c>
      <c r="I9163" s="788">
        <v>42163</v>
      </c>
      <c r="J9163" s="788">
        <v>42163</v>
      </c>
      <c r="L9163" s="787">
        <v>0.5</v>
      </c>
      <c r="M9163" s="787">
        <v>10</v>
      </c>
      <c r="N9163" s="787">
        <v>2.4700000000000002</v>
      </c>
      <c r="O9163" s="788">
        <v>42019</v>
      </c>
    </row>
    <row r="9164" spans="1:15" x14ac:dyDescent="0.25">
      <c r="A9164" s="786" t="s">
        <v>16491</v>
      </c>
      <c r="B9164" s="787">
        <v>4</v>
      </c>
      <c r="C9164" s="787" t="s">
        <v>16492</v>
      </c>
      <c r="D9164" s="787">
        <v>2.56</v>
      </c>
      <c r="E9164" s="787">
        <v>3.18</v>
      </c>
      <c r="F9164" s="788">
        <v>41775</v>
      </c>
      <c r="G9164" s="788">
        <v>42165</v>
      </c>
      <c r="H9164" s="787">
        <v>1</v>
      </c>
      <c r="I9164" s="788">
        <v>42166</v>
      </c>
      <c r="J9164" s="788">
        <v>42163</v>
      </c>
      <c r="L9164" s="787">
        <v>0.5</v>
      </c>
      <c r="M9164" s="787">
        <v>10</v>
      </c>
      <c r="N9164" s="787">
        <v>2.86</v>
      </c>
      <c r="O9164" s="788">
        <v>42146</v>
      </c>
    </row>
    <row r="9165" spans="1:15" x14ac:dyDescent="0.25">
      <c r="A9165" s="786" t="s">
        <v>16493</v>
      </c>
      <c r="B9165" s="787">
        <v>4</v>
      </c>
      <c r="C9165" s="787" t="s">
        <v>16494</v>
      </c>
      <c r="D9165" s="787">
        <v>2.1</v>
      </c>
      <c r="E9165" s="787">
        <v>3.93</v>
      </c>
      <c r="F9165" s="788">
        <v>41775</v>
      </c>
      <c r="G9165" s="788">
        <v>42163</v>
      </c>
      <c r="H9165" s="787">
        <v>1</v>
      </c>
      <c r="I9165" s="788">
        <v>42166</v>
      </c>
      <c r="J9165" s="788">
        <v>42163</v>
      </c>
      <c r="L9165" s="787">
        <v>0.5</v>
      </c>
      <c r="M9165" s="787">
        <v>10</v>
      </c>
      <c r="N9165" s="787">
        <v>3.18</v>
      </c>
      <c r="O9165" s="788">
        <v>42146</v>
      </c>
    </row>
    <row r="9166" spans="1:15" x14ac:dyDescent="0.25">
      <c r="A9166" s="786" t="s">
        <v>16495</v>
      </c>
      <c r="B9166" s="787">
        <v>4</v>
      </c>
      <c r="C9166" s="787" t="s">
        <v>16496</v>
      </c>
      <c r="D9166" s="787">
        <v>0</v>
      </c>
      <c r="E9166" s="787">
        <v>0</v>
      </c>
      <c r="H9166" s="787">
        <v>1</v>
      </c>
      <c r="I9166" s="788">
        <v>41603</v>
      </c>
      <c r="L9166" s="787">
        <v>1</v>
      </c>
      <c r="M9166" s="787">
        <v>10</v>
      </c>
      <c r="N9166" s="787">
        <v>2.65</v>
      </c>
      <c r="O9166" s="788">
        <v>41858</v>
      </c>
    </row>
    <row r="9167" spans="1:15" x14ac:dyDescent="0.25">
      <c r="A9167" s="786" t="s">
        <v>16497</v>
      </c>
      <c r="B9167" s="787">
        <v>4</v>
      </c>
      <c r="C9167" s="787" t="s">
        <v>16498</v>
      </c>
      <c r="D9167" s="787">
        <v>1.5</v>
      </c>
      <c r="E9167" s="787">
        <v>11.5</v>
      </c>
      <c r="F9167" s="788">
        <v>41589</v>
      </c>
      <c r="G9167" s="788">
        <v>41592</v>
      </c>
      <c r="H9167" s="787">
        <v>1</v>
      </c>
      <c r="I9167" s="788">
        <v>42152</v>
      </c>
      <c r="J9167" s="788">
        <v>41822</v>
      </c>
      <c r="K9167" s="788">
        <v>41754</v>
      </c>
      <c r="L9167" s="787">
        <v>11.5</v>
      </c>
      <c r="M9167" s="787">
        <v>20</v>
      </c>
      <c r="N9167" s="787">
        <v>12.36</v>
      </c>
      <c r="O9167" s="788">
        <v>42146</v>
      </c>
    </row>
    <row r="9168" spans="1:15" x14ac:dyDescent="0.25">
      <c r="A9168" s="786" t="s">
        <v>16499</v>
      </c>
      <c r="B9168" s="787">
        <v>4</v>
      </c>
      <c r="C9168" s="787" t="s">
        <v>16322</v>
      </c>
      <c r="D9168" s="787">
        <v>3.49</v>
      </c>
      <c r="E9168" s="787">
        <v>19.22</v>
      </c>
      <c r="F9168" s="788">
        <v>41495</v>
      </c>
      <c r="G9168" s="788">
        <v>42013</v>
      </c>
      <c r="H9168" s="787">
        <v>1</v>
      </c>
      <c r="I9168" s="788">
        <v>41970</v>
      </c>
      <c r="J9168" s="788">
        <v>41681</v>
      </c>
      <c r="L9168" s="787">
        <v>5</v>
      </c>
      <c r="M9168" s="787">
        <v>10</v>
      </c>
      <c r="N9168" s="787">
        <v>18.23</v>
      </c>
      <c r="O9168" s="788">
        <v>42128</v>
      </c>
    </row>
    <row r="9169" spans="1:15" x14ac:dyDescent="0.25">
      <c r="A9169" s="786" t="s">
        <v>16500</v>
      </c>
      <c r="B9169" s="787">
        <v>4</v>
      </c>
      <c r="C9169" s="787" t="s">
        <v>16501</v>
      </c>
      <c r="D9169" s="787">
        <v>3.52</v>
      </c>
      <c r="E9169" s="787">
        <v>21.9</v>
      </c>
      <c r="F9169" s="788">
        <v>41499</v>
      </c>
      <c r="G9169" s="788">
        <v>42013</v>
      </c>
      <c r="H9169" s="787">
        <v>1</v>
      </c>
      <c r="I9169" s="788">
        <v>42041</v>
      </c>
      <c r="J9169" s="788">
        <v>41667</v>
      </c>
      <c r="L9169" s="787">
        <v>5</v>
      </c>
      <c r="M9169" s="787">
        <v>10</v>
      </c>
      <c r="N9169" s="787">
        <v>18.23</v>
      </c>
      <c r="O9169" s="788">
        <v>41858</v>
      </c>
    </row>
    <row r="9170" spans="1:15" x14ac:dyDescent="0.25">
      <c r="A9170" s="786" t="s">
        <v>16502</v>
      </c>
      <c r="B9170" s="787">
        <v>4</v>
      </c>
      <c r="C9170" s="787" t="s">
        <v>16412</v>
      </c>
      <c r="D9170" s="787">
        <v>8.8699999999999992</v>
      </c>
      <c r="E9170" s="787">
        <v>10.23</v>
      </c>
      <c r="F9170" s="788">
        <v>41499</v>
      </c>
      <c r="G9170" s="788">
        <v>41943</v>
      </c>
      <c r="H9170" s="787">
        <v>1</v>
      </c>
      <c r="I9170" s="788">
        <v>41940</v>
      </c>
      <c r="J9170" s="788">
        <v>41681</v>
      </c>
      <c r="L9170" s="787">
        <v>5</v>
      </c>
      <c r="M9170" s="787">
        <v>10</v>
      </c>
      <c r="N9170" s="787">
        <v>10.34</v>
      </c>
      <c r="O9170" s="788">
        <v>42128</v>
      </c>
    </row>
    <row r="9171" spans="1:15" x14ac:dyDescent="0.25">
      <c r="A9171" s="786" t="s">
        <v>16503</v>
      </c>
      <c r="B9171" s="787">
        <v>4</v>
      </c>
      <c r="C9171" s="787" t="s">
        <v>16504</v>
      </c>
      <c r="D9171" s="787">
        <v>8.91</v>
      </c>
      <c r="E9171" s="787">
        <v>13.76</v>
      </c>
      <c r="F9171" s="788">
        <v>41499</v>
      </c>
      <c r="G9171" s="788">
        <v>42013</v>
      </c>
      <c r="H9171" s="787">
        <v>1</v>
      </c>
      <c r="I9171" s="788">
        <v>42041</v>
      </c>
      <c r="J9171" s="788">
        <v>41673</v>
      </c>
      <c r="L9171" s="787">
        <v>5</v>
      </c>
      <c r="M9171" s="787">
        <v>10</v>
      </c>
      <c r="N9171" s="787">
        <v>10.34</v>
      </c>
      <c r="O9171" s="788">
        <v>42045</v>
      </c>
    </row>
    <row r="9172" spans="1:15" x14ac:dyDescent="0.25">
      <c r="A9172" s="786" t="s">
        <v>16505</v>
      </c>
      <c r="B9172" s="787">
        <v>4</v>
      </c>
      <c r="C9172" s="787" t="s">
        <v>16208</v>
      </c>
      <c r="D9172" s="787">
        <v>5.59</v>
      </c>
      <c r="E9172" s="787">
        <v>6.47</v>
      </c>
      <c r="F9172" s="788">
        <v>41775</v>
      </c>
      <c r="G9172" s="788">
        <v>42013</v>
      </c>
      <c r="H9172" s="787">
        <v>1</v>
      </c>
      <c r="I9172" s="788">
        <v>42041</v>
      </c>
      <c r="J9172" s="788">
        <v>41969</v>
      </c>
      <c r="L9172" s="787">
        <v>1</v>
      </c>
      <c r="M9172" s="787">
        <v>10</v>
      </c>
      <c r="N9172" s="787">
        <v>11.2</v>
      </c>
      <c r="O9172" s="788">
        <v>42128</v>
      </c>
    </row>
    <row r="9173" spans="1:15" x14ac:dyDescent="0.25">
      <c r="A9173" s="786" t="s">
        <v>16506</v>
      </c>
      <c r="B9173" s="787">
        <v>4</v>
      </c>
      <c r="C9173" s="787" t="s">
        <v>16312</v>
      </c>
      <c r="D9173" s="787">
        <v>4.13</v>
      </c>
      <c r="E9173" s="787">
        <v>4.13</v>
      </c>
      <c r="F9173" s="788">
        <v>41775</v>
      </c>
      <c r="G9173" s="788">
        <v>41775</v>
      </c>
      <c r="H9173" s="787">
        <v>1</v>
      </c>
      <c r="I9173" s="788">
        <v>41684</v>
      </c>
      <c r="J9173" s="788">
        <v>41680</v>
      </c>
      <c r="L9173" s="787">
        <v>1</v>
      </c>
      <c r="M9173" s="787">
        <v>10</v>
      </c>
      <c r="N9173" s="787">
        <v>3.65</v>
      </c>
      <c r="O9173" s="788">
        <v>42045</v>
      </c>
    </row>
    <row r="9174" spans="1:15" x14ac:dyDescent="0.25">
      <c r="A9174" s="786" t="s">
        <v>16507</v>
      </c>
      <c r="B9174" s="787">
        <v>4</v>
      </c>
      <c r="C9174" s="787" t="s">
        <v>16508</v>
      </c>
      <c r="D9174" s="787">
        <v>7.95</v>
      </c>
      <c r="E9174" s="787">
        <v>8.32</v>
      </c>
      <c r="F9174" s="788">
        <v>41499</v>
      </c>
      <c r="G9174" s="788">
        <v>42013</v>
      </c>
      <c r="H9174" s="787">
        <v>1</v>
      </c>
      <c r="I9174" s="788">
        <v>42132</v>
      </c>
      <c r="J9174" s="788">
        <v>41684</v>
      </c>
      <c r="L9174" s="787">
        <v>5</v>
      </c>
      <c r="M9174" s="787">
        <v>10</v>
      </c>
      <c r="N9174" s="787">
        <v>6.8</v>
      </c>
      <c r="O9174" s="788">
        <v>42045</v>
      </c>
    </row>
    <row r="9175" spans="1:15" x14ac:dyDescent="0.25">
      <c r="A9175" s="786" t="s">
        <v>16509</v>
      </c>
      <c r="B9175" s="787">
        <v>4</v>
      </c>
      <c r="C9175" s="787" t="s">
        <v>16316</v>
      </c>
      <c r="D9175" s="787">
        <v>3.95</v>
      </c>
      <c r="E9175" s="787">
        <v>3.95</v>
      </c>
      <c r="F9175" s="788">
        <v>41775</v>
      </c>
      <c r="G9175" s="788">
        <v>42013</v>
      </c>
      <c r="H9175" s="787">
        <v>1</v>
      </c>
      <c r="I9175" s="788">
        <v>42132</v>
      </c>
      <c r="J9175" s="788">
        <v>41617</v>
      </c>
      <c r="K9175" s="788">
        <v>41463</v>
      </c>
      <c r="L9175" s="787">
        <v>4.3099999999999996</v>
      </c>
      <c r="M9175" s="787">
        <v>10</v>
      </c>
      <c r="N9175" s="787">
        <v>4.13</v>
      </c>
      <c r="O9175" s="788">
        <v>42019</v>
      </c>
    </row>
    <row r="9176" spans="1:15" x14ac:dyDescent="0.25">
      <c r="A9176" s="786" t="s">
        <v>16510</v>
      </c>
      <c r="B9176" s="787">
        <v>4</v>
      </c>
      <c r="C9176" s="787" t="s">
        <v>16511</v>
      </c>
      <c r="D9176" s="787">
        <v>0.36</v>
      </c>
      <c r="E9176" s="787">
        <v>2.69</v>
      </c>
      <c r="F9176" s="788">
        <v>41519</v>
      </c>
      <c r="G9176" s="788">
        <v>42013</v>
      </c>
      <c r="H9176" s="787">
        <v>1</v>
      </c>
      <c r="I9176" s="788">
        <v>42146</v>
      </c>
      <c r="J9176" s="788">
        <v>41920</v>
      </c>
      <c r="K9176" s="788">
        <v>41886</v>
      </c>
      <c r="L9176" s="787">
        <v>2.69</v>
      </c>
      <c r="M9176" s="787">
        <v>20</v>
      </c>
      <c r="N9176" s="787">
        <v>2.89</v>
      </c>
      <c r="O9176" s="788">
        <v>42079</v>
      </c>
    </row>
    <row r="9177" spans="1:15" x14ac:dyDescent="0.25">
      <c r="A9177" s="786" t="s">
        <v>16512</v>
      </c>
      <c r="B9177" s="787">
        <v>4</v>
      </c>
      <c r="C9177" s="787" t="s">
        <v>16513</v>
      </c>
      <c r="D9177" s="787">
        <v>2.14</v>
      </c>
      <c r="E9177" s="787">
        <v>2.93</v>
      </c>
      <c r="F9177" s="788">
        <v>41499</v>
      </c>
      <c r="G9177" s="788">
        <v>42013</v>
      </c>
      <c r="H9177" s="787">
        <v>1</v>
      </c>
      <c r="I9177" s="788">
        <v>42165</v>
      </c>
      <c r="J9177" s="788">
        <v>41920</v>
      </c>
      <c r="K9177" s="788">
        <v>41886</v>
      </c>
      <c r="L9177" s="787">
        <v>2.93</v>
      </c>
      <c r="M9177" s="787">
        <v>20</v>
      </c>
      <c r="N9177" s="787">
        <v>3.15</v>
      </c>
      <c r="O9177" s="788">
        <v>42128</v>
      </c>
    </row>
    <row r="9178" spans="1:15" x14ac:dyDescent="0.25">
      <c r="A9178" s="786" t="s">
        <v>16514</v>
      </c>
      <c r="B9178" s="787">
        <v>4</v>
      </c>
      <c r="C9178" s="787" t="s">
        <v>16515</v>
      </c>
      <c r="D9178" s="787">
        <v>3.94</v>
      </c>
      <c r="E9178" s="787">
        <v>42.78</v>
      </c>
      <c r="F9178" s="788">
        <v>41908</v>
      </c>
      <c r="G9178" s="788">
        <v>42159</v>
      </c>
      <c r="H9178" s="787">
        <v>1</v>
      </c>
      <c r="I9178" s="788">
        <v>42166</v>
      </c>
      <c r="J9178" s="788">
        <v>42159</v>
      </c>
      <c r="K9178" s="788">
        <v>42143</v>
      </c>
      <c r="L9178" s="787">
        <v>45</v>
      </c>
      <c r="M9178" s="787">
        <v>10</v>
      </c>
      <c r="N9178" s="787">
        <v>36.75</v>
      </c>
      <c r="O9178" s="788">
        <v>42146</v>
      </c>
    </row>
    <row r="9179" spans="1:15" x14ac:dyDescent="0.25">
      <c r="A9179" s="786" t="s">
        <v>16516</v>
      </c>
      <c r="B9179" s="787">
        <v>4</v>
      </c>
      <c r="C9179" s="787" t="s">
        <v>16517</v>
      </c>
      <c r="D9179" s="787">
        <v>0</v>
      </c>
      <c r="E9179" s="787">
        <v>0</v>
      </c>
      <c r="H9179" s="787">
        <v>1</v>
      </c>
      <c r="L9179" s="787">
        <v>2.5</v>
      </c>
      <c r="M9179" s="787">
        <v>10</v>
      </c>
      <c r="N9179" s="787">
        <v>2.6</v>
      </c>
      <c r="O9179" s="788">
        <v>41858</v>
      </c>
    </row>
    <row r="9180" spans="1:15" x14ac:dyDescent="0.25">
      <c r="A9180" s="786" t="s">
        <v>16518</v>
      </c>
      <c r="B9180" s="787">
        <v>4</v>
      </c>
      <c r="C9180" s="787" t="s">
        <v>13847</v>
      </c>
      <c r="D9180" s="787">
        <v>0</v>
      </c>
      <c r="E9180" s="787">
        <v>0</v>
      </c>
      <c r="G9180" s="788">
        <v>42145</v>
      </c>
      <c r="H9180" s="787">
        <v>1</v>
      </c>
      <c r="I9180" s="788">
        <v>42145</v>
      </c>
      <c r="J9180" s="788">
        <v>42145</v>
      </c>
      <c r="K9180" s="788">
        <v>42131</v>
      </c>
      <c r="L9180" s="787">
        <v>71.97</v>
      </c>
      <c r="M9180" s="787">
        <v>10</v>
      </c>
      <c r="N9180" s="787">
        <v>95</v>
      </c>
      <c r="O9180" s="788">
        <v>42131</v>
      </c>
    </row>
    <row r="9181" spans="1:15" x14ac:dyDescent="0.25">
      <c r="A9181" s="786" t="s">
        <v>16519</v>
      </c>
      <c r="B9181" s="787">
        <v>4</v>
      </c>
      <c r="C9181" s="787" t="s">
        <v>16520</v>
      </c>
      <c r="D9181" s="787">
        <v>8.2100000000000009</v>
      </c>
      <c r="E9181" s="787">
        <v>15.73</v>
      </c>
      <c r="F9181" s="788">
        <v>41813</v>
      </c>
      <c r="G9181" s="788">
        <v>42093</v>
      </c>
      <c r="H9181" s="787">
        <v>1</v>
      </c>
      <c r="I9181" s="788">
        <v>42088</v>
      </c>
      <c r="J9181" s="788">
        <v>42065</v>
      </c>
      <c r="L9181" s="787">
        <v>12</v>
      </c>
      <c r="M9181" s="787">
        <v>10</v>
      </c>
      <c r="N9181" s="787">
        <v>11.15</v>
      </c>
      <c r="O9181" s="788">
        <v>42026</v>
      </c>
    </row>
    <row r="9182" spans="1:15" x14ac:dyDescent="0.25">
      <c r="A9182" s="786" t="s">
        <v>16521</v>
      </c>
      <c r="B9182" s="787">
        <v>4</v>
      </c>
      <c r="C9182" s="787" t="s">
        <v>16522</v>
      </c>
      <c r="D9182" s="787">
        <v>0.21</v>
      </c>
      <c r="E9182" s="787">
        <v>10.210000000000001</v>
      </c>
      <c r="F9182" s="788">
        <v>42093</v>
      </c>
      <c r="G9182" s="788">
        <v>42093</v>
      </c>
      <c r="H9182" s="787">
        <v>1</v>
      </c>
      <c r="I9182" s="788">
        <v>42088</v>
      </c>
      <c r="J9182" s="788">
        <v>42065</v>
      </c>
      <c r="L9182" s="787">
        <v>12</v>
      </c>
      <c r="M9182" s="787">
        <v>10</v>
      </c>
      <c r="N9182" s="787">
        <v>9.73</v>
      </c>
      <c r="O9182" s="788">
        <v>42061</v>
      </c>
    </row>
    <row r="9183" spans="1:15" x14ac:dyDescent="0.25">
      <c r="A9183" s="786" t="s">
        <v>16523</v>
      </c>
      <c r="B9183" s="787">
        <v>4</v>
      </c>
      <c r="C9183" s="787" t="s">
        <v>16524</v>
      </c>
      <c r="D9183" s="787">
        <v>1.32</v>
      </c>
      <c r="E9183" s="787">
        <v>8.91</v>
      </c>
      <c r="F9183" s="788">
        <v>41813</v>
      </c>
      <c r="G9183" s="788">
        <v>42101</v>
      </c>
      <c r="H9183" s="787">
        <v>1</v>
      </c>
      <c r="I9183" s="788">
        <v>42061</v>
      </c>
      <c r="J9183" s="788">
        <v>42068</v>
      </c>
      <c r="L9183" s="787">
        <v>3</v>
      </c>
      <c r="M9183" s="787">
        <v>10</v>
      </c>
      <c r="N9183" s="787">
        <v>4.1399999999999997</v>
      </c>
      <c r="O9183" s="788">
        <v>42026</v>
      </c>
    </row>
    <row r="9184" spans="1:15" x14ac:dyDescent="0.25">
      <c r="A9184" s="786" t="s">
        <v>16525</v>
      </c>
      <c r="B9184" s="787">
        <v>4</v>
      </c>
      <c r="C9184" s="787" t="s">
        <v>16526</v>
      </c>
      <c r="D9184" s="787">
        <v>2.4900000000000002</v>
      </c>
      <c r="E9184" s="787">
        <v>4.34</v>
      </c>
      <c r="F9184" s="788">
        <v>41813</v>
      </c>
      <c r="G9184" s="788">
        <v>42093</v>
      </c>
      <c r="H9184" s="787">
        <v>1</v>
      </c>
      <c r="I9184" s="788">
        <v>42061</v>
      </c>
      <c r="J9184" s="788">
        <v>42061</v>
      </c>
      <c r="L9184" s="787">
        <v>3</v>
      </c>
      <c r="M9184" s="787">
        <v>10</v>
      </c>
      <c r="N9184" s="787">
        <v>3.08</v>
      </c>
      <c r="O9184" s="788">
        <v>42061</v>
      </c>
    </row>
    <row r="9185" spans="1:15" x14ac:dyDescent="0.25">
      <c r="A9185" s="786" t="s">
        <v>16527</v>
      </c>
      <c r="B9185" s="787">
        <v>4</v>
      </c>
      <c r="C9185" s="787" t="s">
        <v>16528</v>
      </c>
      <c r="D9185" s="787">
        <v>1.1399999999999999</v>
      </c>
      <c r="E9185" s="787">
        <v>11.14</v>
      </c>
      <c r="F9185" s="788">
        <v>41775</v>
      </c>
      <c r="G9185" s="788">
        <v>42013</v>
      </c>
      <c r="H9185" s="787">
        <v>1</v>
      </c>
      <c r="I9185" s="788">
        <v>42111</v>
      </c>
      <c r="J9185" s="788">
        <v>41710</v>
      </c>
      <c r="K9185" s="788">
        <v>41682</v>
      </c>
      <c r="L9185" s="787">
        <v>5</v>
      </c>
      <c r="M9185" s="787">
        <v>10</v>
      </c>
      <c r="N9185" s="787">
        <v>14.56</v>
      </c>
      <c r="O9185" s="788">
        <v>41858</v>
      </c>
    </row>
    <row r="9186" spans="1:15" x14ac:dyDescent="0.25">
      <c r="A9186" s="786" t="s">
        <v>16529</v>
      </c>
      <c r="B9186" s="787">
        <v>4</v>
      </c>
      <c r="C9186" s="787" t="s">
        <v>16530</v>
      </c>
      <c r="D9186" s="787">
        <v>0</v>
      </c>
      <c r="E9186" s="787">
        <v>0</v>
      </c>
      <c r="H9186" s="787">
        <v>1</v>
      </c>
      <c r="L9186" s="787">
        <v>2.5</v>
      </c>
      <c r="M9186" s="787">
        <v>10</v>
      </c>
      <c r="N9186" s="787">
        <v>7</v>
      </c>
      <c r="O9186" s="788">
        <v>41858</v>
      </c>
    </row>
    <row r="9187" spans="1:15" x14ac:dyDescent="0.25">
      <c r="A9187" s="786" t="s">
        <v>16531</v>
      </c>
      <c r="B9187" s="787">
        <v>4</v>
      </c>
      <c r="C9187" s="787" t="s">
        <v>16532</v>
      </c>
      <c r="D9187" s="787">
        <v>0</v>
      </c>
      <c r="E9187" s="787">
        <v>0</v>
      </c>
      <c r="H9187" s="787">
        <v>1</v>
      </c>
      <c r="L9187" s="787">
        <v>2.5</v>
      </c>
      <c r="M9187" s="787">
        <v>10</v>
      </c>
      <c r="N9187" s="787">
        <v>7</v>
      </c>
      <c r="O9187" s="788">
        <v>41858</v>
      </c>
    </row>
    <row r="9188" spans="1:15" x14ac:dyDescent="0.25">
      <c r="A9188" s="786" t="s">
        <v>16533</v>
      </c>
      <c r="B9188" s="787">
        <v>4</v>
      </c>
      <c r="C9188" s="787" t="s">
        <v>16534</v>
      </c>
      <c r="D9188" s="787">
        <v>0</v>
      </c>
      <c r="E9188" s="787">
        <v>0</v>
      </c>
      <c r="H9188" s="787">
        <v>1</v>
      </c>
      <c r="L9188" s="787">
        <v>2.5</v>
      </c>
      <c r="M9188" s="787">
        <v>10</v>
      </c>
      <c r="N9188" s="787">
        <v>7</v>
      </c>
      <c r="O9188" s="788">
        <v>41858</v>
      </c>
    </row>
    <row r="9189" spans="1:15" x14ac:dyDescent="0.25">
      <c r="A9189" s="786" t="s">
        <v>16535</v>
      </c>
      <c r="B9189" s="787">
        <v>4</v>
      </c>
      <c r="C9189" s="787" t="s">
        <v>16536</v>
      </c>
      <c r="D9189" s="787">
        <v>0</v>
      </c>
      <c r="E9189" s="787">
        <v>0</v>
      </c>
      <c r="H9189" s="787">
        <v>1</v>
      </c>
      <c r="L9189" s="787">
        <v>2.5</v>
      </c>
      <c r="M9189" s="787">
        <v>10</v>
      </c>
      <c r="N9189" s="787">
        <v>7</v>
      </c>
      <c r="O9189" s="788">
        <v>41858</v>
      </c>
    </row>
    <row r="9190" spans="1:15" x14ac:dyDescent="0.25">
      <c r="A9190" s="786" t="s">
        <v>16537</v>
      </c>
      <c r="B9190" s="787">
        <v>4</v>
      </c>
      <c r="C9190" s="787" t="s">
        <v>16538</v>
      </c>
      <c r="D9190" s="787">
        <v>4.2300000000000004</v>
      </c>
      <c r="E9190" s="787">
        <v>41.8</v>
      </c>
      <c r="F9190" s="788">
        <v>41579</v>
      </c>
      <c r="G9190" s="788">
        <v>41775</v>
      </c>
      <c r="H9190" s="787">
        <v>5</v>
      </c>
      <c r="I9190" s="788">
        <v>42023</v>
      </c>
      <c r="J9190" s="788">
        <v>42023</v>
      </c>
      <c r="L9190" s="787">
        <v>25</v>
      </c>
      <c r="M9190" s="787">
        <v>10</v>
      </c>
      <c r="N9190" s="787">
        <v>32.46</v>
      </c>
      <c r="O9190" s="788">
        <v>42038</v>
      </c>
    </row>
    <row r="9191" spans="1:15" x14ac:dyDescent="0.25">
      <c r="A9191" s="786" t="s">
        <v>16539</v>
      </c>
      <c r="B9191" s="787">
        <v>4</v>
      </c>
      <c r="C9191" s="787" t="s">
        <v>16540</v>
      </c>
      <c r="D9191" s="787">
        <v>8.35</v>
      </c>
      <c r="E9191" s="787">
        <v>128.35</v>
      </c>
      <c r="F9191" s="788">
        <v>41548</v>
      </c>
      <c r="G9191" s="788">
        <v>41548</v>
      </c>
      <c r="H9191" s="787">
        <v>1</v>
      </c>
      <c r="I9191" s="788">
        <v>42023</v>
      </c>
      <c r="J9191" s="788">
        <v>41575</v>
      </c>
      <c r="L9191" s="787">
        <v>25</v>
      </c>
      <c r="M9191" s="787">
        <v>10</v>
      </c>
      <c r="N9191" s="787">
        <v>16.52</v>
      </c>
      <c r="O9191" s="788">
        <v>41858</v>
      </c>
    </row>
    <row r="9192" spans="1:15" x14ac:dyDescent="0.25">
      <c r="A9192" s="786" t="s">
        <v>16541</v>
      </c>
      <c r="B9192" s="787">
        <v>4</v>
      </c>
      <c r="C9192" s="787" t="s">
        <v>16542</v>
      </c>
      <c r="D9192" s="787">
        <v>3.6</v>
      </c>
      <c r="E9192" s="787">
        <v>3.6</v>
      </c>
      <c r="F9192" s="788">
        <v>41548</v>
      </c>
      <c r="G9192" s="788">
        <v>41548</v>
      </c>
      <c r="H9192" s="787">
        <v>1</v>
      </c>
      <c r="I9192" s="788">
        <v>42023</v>
      </c>
      <c r="J9192" s="788">
        <v>42024</v>
      </c>
      <c r="L9192" s="787">
        <v>8</v>
      </c>
      <c r="M9192" s="787">
        <v>10</v>
      </c>
      <c r="N9192" s="787">
        <v>7.53</v>
      </c>
      <c r="O9192" s="788">
        <v>41858</v>
      </c>
    </row>
    <row r="9193" spans="1:15" x14ac:dyDescent="0.25">
      <c r="A9193" s="786" t="s">
        <v>16543</v>
      </c>
      <c r="B9193" s="787">
        <v>4</v>
      </c>
      <c r="C9193" s="787" t="s">
        <v>11577</v>
      </c>
      <c r="D9193" s="787">
        <v>5.66</v>
      </c>
      <c r="E9193" s="787">
        <v>5.66</v>
      </c>
      <c r="F9193" s="788">
        <v>41548</v>
      </c>
      <c r="G9193" s="788">
        <v>41548</v>
      </c>
      <c r="H9193" s="787">
        <v>1</v>
      </c>
      <c r="I9193" s="788">
        <v>42023</v>
      </c>
      <c r="J9193" s="788">
        <v>41596</v>
      </c>
      <c r="L9193" s="787">
        <v>8</v>
      </c>
      <c r="M9193" s="787">
        <v>10</v>
      </c>
      <c r="N9193" s="787">
        <v>9.66</v>
      </c>
      <c r="O9193" s="788">
        <v>41858</v>
      </c>
    </row>
    <row r="9194" spans="1:15" x14ac:dyDescent="0.25">
      <c r="A9194" s="786" t="s">
        <v>16544</v>
      </c>
      <c r="B9194" s="787">
        <v>4</v>
      </c>
      <c r="C9194" s="787" t="s">
        <v>11581</v>
      </c>
      <c r="D9194" s="787">
        <v>5.15</v>
      </c>
      <c r="E9194" s="787">
        <v>5.15</v>
      </c>
      <c r="F9194" s="788">
        <v>41548</v>
      </c>
      <c r="G9194" s="788">
        <v>41548</v>
      </c>
      <c r="H9194" s="787">
        <v>1</v>
      </c>
      <c r="I9194" s="788">
        <v>42023</v>
      </c>
      <c r="J9194" s="788">
        <v>41596</v>
      </c>
      <c r="L9194" s="787">
        <v>10</v>
      </c>
      <c r="M9194" s="787">
        <v>10</v>
      </c>
      <c r="N9194" s="787">
        <v>11.72</v>
      </c>
      <c r="O9194" s="788">
        <v>41858</v>
      </c>
    </row>
    <row r="9195" spans="1:15" x14ac:dyDescent="0.25">
      <c r="A9195" s="786" t="s">
        <v>16545</v>
      </c>
      <c r="B9195" s="787">
        <v>4</v>
      </c>
      <c r="C9195" s="787" t="s">
        <v>16546</v>
      </c>
      <c r="D9195" s="787">
        <v>0.04</v>
      </c>
      <c r="E9195" s="787">
        <v>10.039999999999999</v>
      </c>
      <c r="F9195" s="788">
        <v>41548</v>
      </c>
      <c r="G9195" s="788">
        <v>41548</v>
      </c>
      <c r="H9195" s="787">
        <v>1</v>
      </c>
      <c r="I9195" s="788">
        <v>42023</v>
      </c>
      <c r="J9195" s="788">
        <v>42023</v>
      </c>
      <c r="L9195" s="787">
        <v>15</v>
      </c>
      <c r="M9195" s="787">
        <v>10</v>
      </c>
      <c r="N9195" s="787">
        <v>16.52</v>
      </c>
      <c r="O9195" s="788">
        <v>41858</v>
      </c>
    </row>
    <row r="9196" spans="1:15" x14ac:dyDescent="0.25">
      <c r="A9196" s="786" t="s">
        <v>16547</v>
      </c>
      <c r="B9196" s="787">
        <v>4</v>
      </c>
      <c r="C9196" s="787" t="s">
        <v>16548</v>
      </c>
      <c r="D9196" s="787">
        <v>3.47</v>
      </c>
      <c r="E9196" s="787">
        <v>3.47</v>
      </c>
      <c r="F9196" s="788">
        <v>41548</v>
      </c>
      <c r="G9196" s="788">
        <v>41548</v>
      </c>
      <c r="H9196" s="787">
        <v>1</v>
      </c>
      <c r="J9196" s="788">
        <v>41516</v>
      </c>
      <c r="L9196" s="787">
        <v>6</v>
      </c>
      <c r="M9196" s="787">
        <v>10</v>
      </c>
      <c r="N9196" s="787">
        <v>7.53</v>
      </c>
      <c r="O9196" s="788">
        <v>41858</v>
      </c>
    </row>
    <row r="9197" spans="1:15" x14ac:dyDescent="0.25">
      <c r="A9197" s="786" t="s">
        <v>16549</v>
      </c>
      <c r="B9197" s="787">
        <v>4</v>
      </c>
      <c r="C9197" s="787" t="s">
        <v>11579</v>
      </c>
      <c r="D9197" s="787">
        <v>5.79</v>
      </c>
      <c r="E9197" s="787">
        <v>5.79</v>
      </c>
      <c r="F9197" s="788">
        <v>41548</v>
      </c>
      <c r="G9197" s="788">
        <v>41548</v>
      </c>
      <c r="H9197" s="787">
        <v>1</v>
      </c>
      <c r="I9197" s="788">
        <v>42023</v>
      </c>
      <c r="J9197" s="788">
        <v>42024</v>
      </c>
      <c r="L9197" s="787">
        <v>12</v>
      </c>
      <c r="M9197" s="787">
        <v>10</v>
      </c>
      <c r="N9197" s="787">
        <v>9.66</v>
      </c>
      <c r="O9197" s="788">
        <v>41858</v>
      </c>
    </row>
    <row r="9198" spans="1:15" x14ac:dyDescent="0.25">
      <c r="A9198" s="786" t="s">
        <v>16550</v>
      </c>
      <c r="B9198" s="787">
        <v>4</v>
      </c>
      <c r="C9198" s="787" t="s">
        <v>11583</v>
      </c>
      <c r="D9198" s="787">
        <v>5.0199999999999996</v>
      </c>
      <c r="E9198" s="787">
        <v>5.0199999999999996</v>
      </c>
      <c r="F9198" s="788">
        <v>41548</v>
      </c>
      <c r="G9198" s="788">
        <v>41548</v>
      </c>
      <c r="H9198" s="787">
        <v>1</v>
      </c>
      <c r="I9198" s="788">
        <v>42023</v>
      </c>
      <c r="J9198" s="788">
        <v>42024</v>
      </c>
      <c r="L9198" s="787">
        <v>15</v>
      </c>
      <c r="M9198" s="787">
        <v>10</v>
      </c>
      <c r="N9198" s="787">
        <v>11.72</v>
      </c>
      <c r="O9198" s="788">
        <v>41858</v>
      </c>
    </row>
    <row r="9199" spans="1:15" x14ac:dyDescent="0.25">
      <c r="A9199" s="786" t="s">
        <v>16551</v>
      </c>
      <c r="B9199" s="787">
        <v>4</v>
      </c>
      <c r="C9199" s="787" t="s">
        <v>16552</v>
      </c>
      <c r="D9199" s="787">
        <v>7.22</v>
      </c>
      <c r="E9199" s="787">
        <v>7.22</v>
      </c>
      <c r="F9199" s="788">
        <v>41548</v>
      </c>
      <c r="G9199" s="788">
        <v>41548</v>
      </c>
      <c r="H9199" s="787">
        <v>1</v>
      </c>
      <c r="I9199" s="788">
        <v>41549</v>
      </c>
      <c r="J9199" s="788">
        <v>41606</v>
      </c>
      <c r="L9199" s="787">
        <v>12</v>
      </c>
      <c r="M9199" s="787">
        <v>10</v>
      </c>
      <c r="N9199" s="787">
        <v>7.27</v>
      </c>
      <c r="O9199" s="788">
        <v>42038</v>
      </c>
    </row>
    <row r="9200" spans="1:15" x14ac:dyDescent="0.25">
      <c r="A9200" s="786" t="s">
        <v>16553</v>
      </c>
      <c r="B9200" s="787">
        <v>4</v>
      </c>
      <c r="C9200" s="787" t="s">
        <v>16554</v>
      </c>
      <c r="D9200" s="787">
        <v>0.06</v>
      </c>
      <c r="E9200" s="787">
        <v>10.06</v>
      </c>
      <c r="F9200" s="788">
        <v>41548</v>
      </c>
      <c r="G9200" s="788">
        <v>41548</v>
      </c>
      <c r="H9200" s="787">
        <v>5</v>
      </c>
      <c r="I9200" s="788">
        <v>41549</v>
      </c>
      <c r="J9200" s="788">
        <v>41512</v>
      </c>
      <c r="L9200" s="787">
        <v>12</v>
      </c>
      <c r="M9200" s="787">
        <v>10</v>
      </c>
      <c r="N9200" s="787">
        <v>7.27</v>
      </c>
      <c r="O9200" s="788">
        <v>42038</v>
      </c>
    </row>
    <row r="9201" spans="1:15" x14ac:dyDescent="0.25">
      <c r="A9201" s="786" t="s">
        <v>16555</v>
      </c>
      <c r="B9201" s="787">
        <v>4</v>
      </c>
      <c r="C9201" s="787" t="s">
        <v>16556</v>
      </c>
      <c r="D9201" s="787">
        <v>0</v>
      </c>
      <c r="E9201" s="787">
        <v>0</v>
      </c>
      <c r="H9201" s="787">
        <v>1</v>
      </c>
      <c r="I9201" s="788">
        <v>42165</v>
      </c>
      <c r="K9201" s="788">
        <v>42096</v>
      </c>
      <c r="L9201" s="787">
        <v>0.01</v>
      </c>
      <c r="M9201" s="787">
        <v>10</v>
      </c>
      <c r="N9201" s="787">
        <v>29.63</v>
      </c>
      <c r="O9201" s="788">
        <v>42146</v>
      </c>
    </row>
    <row r="9202" spans="1:15" x14ac:dyDescent="0.25">
      <c r="A9202" s="786" t="s">
        <v>16557</v>
      </c>
      <c r="B9202" s="787">
        <v>4</v>
      </c>
      <c r="C9202" s="787" t="s">
        <v>16558</v>
      </c>
      <c r="D9202" s="787">
        <v>0</v>
      </c>
      <c r="E9202" s="787">
        <v>0</v>
      </c>
      <c r="H9202" s="787">
        <v>1</v>
      </c>
      <c r="L9202" s="787">
        <v>20</v>
      </c>
      <c r="M9202" s="787">
        <v>20</v>
      </c>
      <c r="N9202" s="787">
        <v>21.5</v>
      </c>
      <c r="O9202" s="788">
        <v>41858</v>
      </c>
    </row>
    <row r="9203" spans="1:15" x14ac:dyDescent="0.25">
      <c r="A9203" s="786" t="s">
        <v>16559</v>
      </c>
      <c r="B9203" s="787">
        <v>4</v>
      </c>
      <c r="C9203" s="787" t="s">
        <v>16560</v>
      </c>
      <c r="D9203" s="787">
        <v>1.59</v>
      </c>
      <c r="E9203" s="787">
        <v>1.59</v>
      </c>
      <c r="F9203" s="788">
        <v>41775</v>
      </c>
      <c r="G9203" s="788">
        <v>41775</v>
      </c>
      <c r="H9203" s="787">
        <v>1</v>
      </c>
      <c r="I9203" s="788">
        <v>41759</v>
      </c>
      <c r="J9203" s="788">
        <v>41592</v>
      </c>
      <c r="K9203" s="788">
        <v>41542</v>
      </c>
      <c r="L9203" s="787">
        <v>15</v>
      </c>
      <c r="M9203" s="787">
        <v>10</v>
      </c>
      <c r="N9203" s="787">
        <v>1.1399999999999999</v>
      </c>
      <c r="O9203" s="788">
        <v>42128</v>
      </c>
    </row>
    <row r="9204" spans="1:15" x14ac:dyDescent="0.25">
      <c r="A9204" s="786" t="s">
        <v>16561</v>
      </c>
      <c r="B9204" s="787">
        <v>4</v>
      </c>
      <c r="C9204" s="787" t="s">
        <v>16562</v>
      </c>
      <c r="D9204" s="787">
        <v>0.89</v>
      </c>
      <c r="E9204" s="787">
        <v>0.89</v>
      </c>
      <c r="F9204" s="788">
        <v>41855</v>
      </c>
      <c r="G9204" s="788">
        <v>41855</v>
      </c>
      <c r="H9204" s="787">
        <v>1</v>
      </c>
      <c r="I9204" s="788">
        <v>41817</v>
      </c>
      <c r="J9204" s="788">
        <v>41816</v>
      </c>
      <c r="L9204" s="787">
        <v>2</v>
      </c>
      <c r="M9204" s="787">
        <v>10</v>
      </c>
      <c r="N9204" s="787">
        <v>5.73</v>
      </c>
      <c r="O9204" s="788">
        <v>41858</v>
      </c>
    </row>
    <row r="9205" spans="1:15" x14ac:dyDescent="0.25">
      <c r="A9205" s="786" t="s">
        <v>16563</v>
      </c>
      <c r="B9205" s="787">
        <v>4</v>
      </c>
      <c r="C9205" s="787" t="s">
        <v>16564</v>
      </c>
      <c r="D9205" s="787">
        <v>0.81</v>
      </c>
      <c r="E9205" s="787">
        <v>1.71</v>
      </c>
      <c r="F9205" s="788">
        <v>41855</v>
      </c>
      <c r="G9205" s="788">
        <v>42144</v>
      </c>
      <c r="H9205" s="787">
        <v>1</v>
      </c>
      <c r="I9205" s="788">
        <v>42129</v>
      </c>
      <c r="J9205" s="788">
        <v>42130</v>
      </c>
      <c r="L9205" s="787">
        <v>5</v>
      </c>
      <c r="M9205" s="787">
        <v>10</v>
      </c>
      <c r="N9205" s="787">
        <v>1.91</v>
      </c>
      <c r="O9205" s="788">
        <v>42146</v>
      </c>
    </row>
    <row r="9206" spans="1:15" x14ac:dyDescent="0.25">
      <c r="A9206" s="786" t="s">
        <v>16565</v>
      </c>
      <c r="B9206" s="787">
        <v>4</v>
      </c>
      <c r="C9206" s="787" t="s">
        <v>16566</v>
      </c>
      <c r="D9206" s="787">
        <v>0</v>
      </c>
      <c r="E9206" s="787">
        <v>0</v>
      </c>
      <c r="H9206" s="787">
        <v>1</v>
      </c>
      <c r="L9206" s="787">
        <v>15</v>
      </c>
      <c r="M9206" s="787">
        <v>10</v>
      </c>
      <c r="N9206" s="787">
        <v>18.920000000000002</v>
      </c>
      <c r="O9206" s="788">
        <v>41858</v>
      </c>
    </row>
    <row r="9207" spans="1:15" x14ac:dyDescent="0.25">
      <c r="A9207" s="786" t="s">
        <v>16567</v>
      </c>
      <c r="B9207" s="787">
        <v>4</v>
      </c>
      <c r="C9207" s="787" t="s">
        <v>16568</v>
      </c>
      <c r="D9207" s="787">
        <v>0</v>
      </c>
      <c r="E9207" s="787">
        <v>0</v>
      </c>
      <c r="H9207" s="787">
        <v>1</v>
      </c>
      <c r="L9207" s="787">
        <v>15</v>
      </c>
      <c r="M9207" s="787">
        <v>10</v>
      </c>
      <c r="N9207" s="787">
        <v>18.920000000000002</v>
      </c>
      <c r="O9207" s="788">
        <v>41858</v>
      </c>
    </row>
    <row r="9208" spans="1:15" x14ac:dyDescent="0.25">
      <c r="A9208" s="786" t="s">
        <v>16569</v>
      </c>
      <c r="B9208" s="787">
        <v>4</v>
      </c>
      <c r="C9208" s="787" t="s">
        <v>16570</v>
      </c>
      <c r="D9208" s="787">
        <v>3.26</v>
      </c>
      <c r="E9208" s="787">
        <v>3.26</v>
      </c>
      <c r="F9208" s="788">
        <v>41563</v>
      </c>
      <c r="G9208" s="788">
        <v>42013</v>
      </c>
      <c r="H9208" s="787">
        <v>1</v>
      </c>
      <c r="I9208" s="788">
        <v>42037</v>
      </c>
      <c r="J9208" s="788">
        <v>41562</v>
      </c>
      <c r="K9208" s="788">
        <v>41544</v>
      </c>
      <c r="L9208" s="787">
        <v>3.15</v>
      </c>
      <c r="M9208" s="787">
        <v>20</v>
      </c>
      <c r="N9208" s="787">
        <v>3.39</v>
      </c>
      <c r="O9208" s="788">
        <v>41858</v>
      </c>
    </row>
    <row r="9209" spans="1:15" x14ac:dyDescent="0.25">
      <c r="A9209" s="786" t="s">
        <v>16571</v>
      </c>
      <c r="B9209" s="787">
        <v>4</v>
      </c>
      <c r="C9209" s="787" t="s">
        <v>16572</v>
      </c>
      <c r="D9209" s="787">
        <v>1.07</v>
      </c>
      <c r="E9209" s="787">
        <v>2.87</v>
      </c>
      <c r="F9209" s="788">
        <v>41613</v>
      </c>
      <c r="G9209" s="788">
        <v>41775</v>
      </c>
      <c r="H9209" s="787">
        <v>1</v>
      </c>
      <c r="I9209" s="788">
        <v>41598</v>
      </c>
      <c r="J9209" s="788">
        <v>41680</v>
      </c>
      <c r="L9209" s="787">
        <v>1.5</v>
      </c>
      <c r="M9209" s="787">
        <v>10</v>
      </c>
      <c r="N9209" s="787">
        <v>4.43</v>
      </c>
      <c r="O9209" s="788">
        <v>41858</v>
      </c>
    </row>
    <row r="9210" spans="1:15" x14ac:dyDescent="0.25">
      <c r="A9210" s="786" t="s">
        <v>16573</v>
      </c>
      <c r="B9210" s="787">
        <v>4</v>
      </c>
      <c r="C9210" s="787" t="s">
        <v>16574</v>
      </c>
      <c r="D9210" s="787">
        <v>0.04</v>
      </c>
      <c r="E9210" s="787">
        <v>6.03</v>
      </c>
      <c r="F9210" s="788">
        <v>41775</v>
      </c>
      <c r="G9210" s="788">
        <v>41813</v>
      </c>
      <c r="H9210" s="787">
        <v>1</v>
      </c>
      <c r="I9210" s="788">
        <v>41598</v>
      </c>
      <c r="J9210" s="788">
        <v>41680</v>
      </c>
      <c r="L9210" s="787">
        <v>1</v>
      </c>
      <c r="M9210" s="787">
        <v>10</v>
      </c>
      <c r="N9210" s="787">
        <v>1.79</v>
      </c>
      <c r="O9210" s="788">
        <v>41858</v>
      </c>
    </row>
    <row r="9211" spans="1:15" x14ac:dyDescent="0.25">
      <c r="A9211" s="786" t="s">
        <v>16575</v>
      </c>
      <c r="B9211" s="787">
        <v>4</v>
      </c>
      <c r="C9211" s="787" t="s">
        <v>16576</v>
      </c>
      <c r="D9211" s="787">
        <v>5.84</v>
      </c>
      <c r="E9211" s="787">
        <v>15.84</v>
      </c>
      <c r="F9211" s="788">
        <v>41813</v>
      </c>
      <c r="G9211" s="788">
        <v>41813</v>
      </c>
      <c r="H9211" s="787">
        <v>1</v>
      </c>
      <c r="I9211" s="788">
        <v>41866</v>
      </c>
      <c r="J9211" s="788">
        <v>41869</v>
      </c>
      <c r="L9211" s="787">
        <v>8</v>
      </c>
      <c r="M9211" s="787">
        <v>10</v>
      </c>
      <c r="N9211" s="787">
        <v>24.91</v>
      </c>
      <c r="O9211" s="788">
        <v>41858</v>
      </c>
    </row>
    <row r="9212" spans="1:15" x14ac:dyDescent="0.25">
      <c r="A9212" s="786" t="s">
        <v>16577</v>
      </c>
      <c r="B9212" s="787">
        <v>4</v>
      </c>
      <c r="C9212" s="787" t="s">
        <v>16578</v>
      </c>
      <c r="D9212" s="787">
        <v>0.04</v>
      </c>
      <c r="E9212" s="787">
        <v>0.04</v>
      </c>
      <c r="F9212" s="788">
        <v>41775</v>
      </c>
      <c r="G9212" s="788">
        <v>41775</v>
      </c>
      <c r="H9212" s="787">
        <v>1</v>
      </c>
      <c r="I9212" s="788">
        <v>41598</v>
      </c>
      <c r="J9212" s="788">
        <v>41680</v>
      </c>
      <c r="L9212" s="787">
        <v>0.5</v>
      </c>
      <c r="M9212" s="787">
        <v>10</v>
      </c>
      <c r="N9212" s="787">
        <v>4.3600000000000003</v>
      </c>
      <c r="O9212" s="788">
        <v>41858</v>
      </c>
    </row>
    <row r="9213" spans="1:15" x14ac:dyDescent="0.25">
      <c r="A9213" s="786" t="s">
        <v>16579</v>
      </c>
      <c r="B9213" s="787">
        <v>4</v>
      </c>
      <c r="C9213" s="787" t="s">
        <v>16580</v>
      </c>
      <c r="D9213" s="787">
        <v>2.69</v>
      </c>
      <c r="E9213" s="787">
        <v>25.45</v>
      </c>
      <c r="F9213" s="788">
        <v>41920</v>
      </c>
      <c r="G9213" s="788">
        <v>42054</v>
      </c>
      <c r="H9213" s="787">
        <v>1</v>
      </c>
      <c r="I9213" s="788">
        <v>42146</v>
      </c>
      <c r="J9213" s="788">
        <v>41920</v>
      </c>
      <c r="K9213" s="788">
        <v>41886</v>
      </c>
      <c r="L9213" s="787">
        <v>2.69</v>
      </c>
      <c r="M9213" s="787">
        <v>20</v>
      </c>
      <c r="N9213" s="787">
        <v>2.89</v>
      </c>
      <c r="O9213" s="788">
        <v>41886</v>
      </c>
    </row>
    <row r="9214" spans="1:15" x14ac:dyDescent="0.25">
      <c r="A9214" s="786" t="s">
        <v>16581</v>
      </c>
      <c r="B9214" s="787">
        <v>4</v>
      </c>
      <c r="C9214" s="787" t="s">
        <v>16582</v>
      </c>
      <c r="D9214" s="787">
        <v>0</v>
      </c>
      <c r="E9214" s="787">
        <v>0</v>
      </c>
      <c r="H9214" s="787">
        <v>1</v>
      </c>
      <c r="L9214" s="787">
        <v>2.5</v>
      </c>
      <c r="M9214" s="787">
        <v>10</v>
      </c>
      <c r="N9214" s="787">
        <v>0</v>
      </c>
    </row>
    <row r="9215" spans="1:15" x14ac:dyDescent="0.25">
      <c r="A9215" s="786" t="s">
        <v>16583</v>
      </c>
      <c r="B9215" s="787">
        <v>4</v>
      </c>
      <c r="C9215" s="787" t="s">
        <v>16584</v>
      </c>
      <c r="D9215" s="787">
        <v>0</v>
      </c>
      <c r="E9215" s="787">
        <v>0</v>
      </c>
      <c r="H9215" s="787">
        <v>1</v>
      </c>
      <c r="L9215" s="787">
        <v>2.5</v>
      </c>
      <c r="M9215" s="787">
        <v>10</v>
      </c>
      <c r="N9215" s="787">
        <v>0</v>
      </c>
    </row>
    <row r="9216" spans="1:15" x14ac:dyDescent="0.25">
      <c r="A9216" s="786" t="s">
        <v>16585</v>
      </c>
      <c r="B9216" s="787">
        <v>4</v>
      </c>
      <c r="C9216" s="787" t="s">
        <v>16586</v>
      </c>
      <c r="D9216" s="787">
        <v>0</v>
      </c>
      <c r="E9216" s="787">
        <v>0</v>
      </c>
      <c r="H9216" s="787">
        <v>1</v>
      </c>
      <c r="L9216" s="787">
        <v>2.5</v>
      </c>
      <c r="M9216" s="787">
        <v>10</v>
      </c>
      <c r="N9216" s="787">
        <v>0</v>
      </c>
    </row>
    <row r="9217" spans="1:14" x14ac:dyDescent="0.25">
      <c r="A9217" s="786" t="s">
        <v>16587</v>
      </c>
      <c r="B9217" s="787">
        <v>4</v>
      </c>
      <c r="C9217" s="787" t="s">
        <v>16588</v>
      </c>
      <c r="D9217" s="787">
        <v>0</v>
      </c>
      <c r="E9217" s="787">
        <v>0</v>
      </c>
      <c r="H9217" s="787">
        <v>1</v>
      </c>
      <c r="L9217" s="787">
        <v>2.5</v>
      </c>
      <c r="M9217" s="787">
        <v>10</v>
      </c>
      <c r="N9217" s="787">
        <v>0</v>
      </c>
    </row>
    <row r="9218" spans="1:14" x14ac:dyDescent="0.25">
      <c r="A9218" s="786" t="s">
        <v>16589</v>
      </c>
      <c r="B9218" s="787">
        <v>4</v>
      </c>
      <c r="C9218" s="787" t="s">
        <v>16590</v>
      </c>
      <c r="D9218" s="787">
        <v>0</v>
      </c>
      <c r="E9218" s="787">
        <v>0</v>
      </c>
      <c r="H9218" s="787">
        <v>1</v>
      </c>
      <c r="L9218" s="787">
        <v>2</v>
      </c>
      <c r="M9218" s="787">
        <v>10</v>
      </c>
      <c r="N9218" s="787">
        <v>0</v>
      </c>
    </row>
    <row r="9219" spans="1:14" x14ac:dyDescent="0.25">
      <c r="A9219" s="786" t="s">
        <v>16591</v>
      </c>
      <c r="B9219" s="787">
        <v>4</v>
      </c>
      <c r="C9219" s="787" t="s">
        <v>16592</v>
      </c>
      <c r="D9219" s="787">
        <v>0</v>
      </c>
      <c r="E9219" s="787">
        <v>0</v>
      </c>
      <c r="H9219" s="787">
        <v>1</v>
      </c>
      <c r="L9219" s="787">
        <v>2</v>
      </c>
      <c r="M9219" s="787">
        <v>10</v>
      </c>
      <c r="N9219" s="787">
        <v>0</v>
      </c>
    </row>
    <row r="9220" spans="1:14" x14ac:dyDescent="0.25">
      <c r="A9220" s="786" t="s">
        <v>16593</v>
      </c>
      <c r="B9220" s="787">
        <v>4</v>
      </c>
      <c r="C9220" s="787" t="s">
        <v>16594</v>
      </c>
      <c r="D9220" s="787">
        <v>0</v>
      </c>
      <c r="E9220" s="787">
        <v>0</v>
      </c>
      <c r="H9220" s="787">
        <v>1</v>
      </c>
      <c r="L9220" s="787">
        <v>2</v>
      </c>
      <c r="M9220" s="787">
        <v>10</v>
      </c>
      <c r="N9220" s="787">
        <v>0</v>
      </c>
    </row>
    <row r="9221" spans="1:14" x14ac:dyDescent="0.25">
      <c r="A9221" s="786" t="s">
        <v>16595</v>
      </c>
      <c r="B9221" s="787">
        <v>4</v>
      </c>
      <c r="C9221" s="787" t="s">
        <v>16596</v>
      </c>
      <c r="D9221" s="787">
        <v>0</v>
      </c>
      <c r="E9221" s="787">
        <v>0</v>
      </c>
      <c r="H9221" s="787">
        <v>1</v>
      </c>
      <c r="L9221" s="787">
        <v>2</v>
      </c>
      <c r="M9221" s="787">
        <v>10</v>
      </c>
      <c r="N9221" s="787">
        <v>0</v>
      </c>
    </row>
    <row r="9222" spans="1:14" x14ac:dyDescent="0.25">
      <c r="A9222" s="786" t="s">
        <v>16597</v>
      </c>
      <c r="B9222" s="787">
        <v>4</v>
      </c>
      <c r="C9222" s="787" t="s">
        <v>16598</v>
      </c>
      <c r="D9222" s="787">
        <v>0</v>
      </c>
      <c r="E9222" s="787">
        <v>0</v>
      </c>
      <c r="H9222" s="787">
        <v>1</v>
      </c>
      <c r="L9222" s="787">
        <v>2</v>
      </c>
      <c r="M9222" s="787">
        <v>10</v>
      </c>
      <c r="N9222" s="787">
        <v>0</v>
      </c>
    </row>
    <row r="9223" spans="1:14" x14ac:dyDescent="0.25">
      <c r="A9223" s="786" t="s">
        <v>16599</v>
      </c>
      <c r="B9223" s="787">
        <v>4</v>
      </c>
      <c r="C9223" s="787" t="s">
        <v>16600</v>
      </c>
      <c r="D9223" s="787">
        <v>0</v>
      </c>
      <c r="E9223" s="787">
        <v>0</v>
      </c>
      <c r="H9223" s="787">
        <v>1</v>
      </c>
      <c r="L9223" s="787">
        <v>2</v>
      </c>
      <c r="M9223" s="787">
        <v>10</v>
      </c>
      <c r="N9223" s="787">
        <v>0</v>
      </c>
    </row>
    <row r="9224" spans="1:14" x14ac:dyDescent="0.25">
      <c r="A9224" s="786" t="s">
        <v>16601</v>
      </c>
      <c r="B9224" s="787">
        <v>4</v>
      </c>
      <c r="C9224" s="787" t="s">
        <v>16602</v>
      </c>
      <c r="D9224" s="787">
        <v>0</v>
      </c>
      <c r="E9224" s="787">
        <v>0</v>
      </c>
      <c r="H9224" s="787">
        <v>1</v>
      </c>
      <c r="L9224" s="787">
        <v>5</v>
      </c>
      <c r="M9224" s="787">
        <v>10</v>
      </c>
      <c r="N9224" s="787">
        <v>0</v>
      </c>
    </row>
    <row r="9225" spans="1:14" x14ac:dyDescent="0.25">
      <c r="A9225" s="786" t="s">
        <v>16603</v>
      </c>
      <c r="B9225" s="787">
        <v>4</v>
      </c>
      <c r="C9225" s="787" t="s">
        <v>16604</v>
      </c>
      <c r="D9225" s="787">
        <v>0</v>
      </c>
      <c r="E9225" s="787">
        <v>0</v>
      </c>
      <c r="H9225" s="787">
        <v>1</v>
      </c>
      <c r="L9225" s="787">
        <v>3</v>
      </c>
      <c r="M9225" s="787">
        <v>10</v>
      </c>
      <c r="N9225" s="787">
        <v>0</v>
      </c>
    </row>
    <row r="9226" spans="1:14" x14ac:dyDescent="0.25">
      <c r="A9226" s="786" t="s">
        <v>16605</v>
      </c>
      <c r="B9226" s="787">
        <v>4</v>
      </c>
      <c r="C9226" s="787" t="s">
        <v>16606</v>
      </c>
      <c r="D9226" s="787">
        <v>0</v>
      </c>
      <c r="E9226" s="787">
        <v>0</v>
      </c>
      <c r="H9226" s="787">
        <v>1</v>
      </c>
      <c r="L9226" s="787">
        <v>1</v>
      </c>
      <c r="M9226" s="787">
        <v>10</v>
      </c>
      <c r="N9226" s="787">
        <v>0</v>
      </c>
    </row>
    <row r="9227" spans="1:14" x14ac:dyDescent="0.25">
      <c r="A9227" s="786" t="s">
        <v>16607</v>
      </c>
      <c r="B9227" s="787">
        <v>4</v>
      </c>
      <c r="C9227" s="787" t="s">
        <v>16608</v>
      </c>
      <c r="D9227" s="787">
        <v>0</v>
      </c>
      <c r="E9227" s="787">
        <v>0</v>
      </c>
      <c r="H9227" s="787">
        <v>1</v>
      </c>
      <c r="L9227" s="787">
        <v>4.5</v>
      </c>
      <c r="M9227" s="787">
        <v>10</v>
      </c>
      <c r="N9227" s="787">
        <v>0</v>
      </c>
    </row>
    <row r="9228" spans="1:14" x14ac:dyDescent="0.25">
      <c r="A9228" s="786" t="s">
        <v>16609</v>
      </c>
      <c r="B9228" s="787">
        <v>4</v>
      </c>
      <c r="C9228" s="787" t="s">
        <v>16610</v>
      </c>
      <c r="D9228" s="787">
        <v>0</v>
      </c>
      <c r="E9228" s="787">
        <v>0</v>
      </c>
      <c r="H9228" s="787">
        <v>1</v>
      </c>
      <c r="L9228" s="787">
        <v>4.5</v>
      </c>
      <c r="M9228" s="787">
        <v>10</v>
      </c>
      <c r="N9228" s="787">
        <v>0</v>
      </c>
    </row>
    <row r="9229" spans="1:14" x14ac:dyDescent="0.25">
      <c r="A9229" s="786" t="s">
        <v>16611</v>
      </c>
      <c r="B9229" s="787">
        <v>4</v>
      </c>
      <c r="C9229" s="787" t="s">
        <v>16612</v>
      </c>
      <c r="D9229" s="787">
        <v>0</v>
      </c>
      <c r="E9229" s="787">
        <v>0</v>
      </c>
      <c r="H9229" s="787">
        <v>1</v>
      </c>
      <c r="L9229" s="787">
        <v>4.5</v>
      </c>
      <c r="M9229" s="787">
        <v>10</v>
      </c>
      <c r="N9229" s="787">
        <v>0</v>
      </c>
    </row>
    <row r="9230" spans="1:14" x14ac:dyDescent="0.25">
      <c r="A9230" s="786" t="s">
        <v>16613</v>
      </c>
      <c r="B9230" s="787">
        <v>4</v>
      </c>
      <c r="C9230" s="787" t="s">
        <v>16614</v>
      </c>
      <c r="D9230" s="787">
        <v>0</v>
      </c>
      <c r="E9230" s="787">
        <v>0</v>
      </c>
      <c r="H9230" s="787">
        <v>1</v>
      </c>
      <c r="L9230" s="787">
        <v>4.5</v>
      </c>
      <c r="M9230" s="787">
        <v>10</v>
      </c>
      <c r="N9230" s="787">
        <v>0</v>
      </c>
    </row>
    <row r="9231" spans="1:14" x14ac:dyDescent="0.25">
      <c r="A9231" s="786" t="s">
        <v>16615</v>
      </c>
      <c r="B9231" s="787">
        <v>4</v>
      </c>
      <c r="C9231" s="787" t="s">
        <v>16616</v>
      </c>
      <c r="D9231" s="787">
        <v>0</v>
      </c>
      <c r="E9231" s="787">
        <v>0</v>
      </c>
      <c r="H9231" s="787">
        <v>1</v>
      </c>
      <c r="L9231" s="787">
        <v>4</v>
      </c>
      <c r="M9231" s="787">
        <v>10</v>
      </c>
      <c r="N9231" s="787">
        <v>0</v>
      </c>
    </row>
    <row r="9232" spans="1:14" x14ac:dyDescent="0.25">
      <c r="A9232" s="786" t="s">
        <v>16617</v>
      </c>
      <c r="B9232" s="787">
        <v>4</v>
      </c>
      <c r="C9232" s="787" t="s">
        <v>16618</v>
      </c>
      <c r="D9232" s="787">
        <v>0</v>
      </c>
      <c r="E9232" s="787">
        <v>0</v>
      </c>
      <c r="H9232" s="787">
        <v>1</v>
      </c>
      <c r="L9232" s="787">
        <v>4</v>
      </c>
      <c r="M9232" s="787">
        <v>10</v>
      </c>
      <c r="N9232" s="787">
        <v>0</v>
      </c>
    </row>
    <row r="9233" spans="1:14" x14ac:dyDescent="0.25">
      <c r="A9233" s="786" t="s">
        <v>16619</v>
      </c>
      <c r="B9233" s="787">
        <v>4</v>
      </c>
      <c r="C9233" s="787" t="s">
        <v>16620</v>
      </c>
      <c r="D9233" s="787">
        <v>0</v>
      </c>
      <c r="E9233" s="787">
        <v>0</v>
      </c>
      <c r="H9233" s="787">
        <v>1</v>
      </c>
      <c r="L9233" s="787">
        <v>4</v>
      </c>
      <c r="M9233" s="787">
        <v>10</v>
      </c>
      <c r="N9233" s="787">
        <v>0</v>
      </c>
    </row>
    <row r="9234" spans="1:14" x14ac:dyDescent="0.25">
      <c r="A9234" s="786" t="s">
        <v>16621</v>
      </c>
      <c r="B9234" s="787">
        <v>4</v>
      </c>
      <c r="C9234" s="787" t="s">
        <v>16622</v>
      </c>
      <c r="D9234" s="787">
        <v>0</v>
      </c>
      <c r="E9234" s="787">
        <v>0</v>
      </c>
      <c r="H9234" s="787">
        <v>1</v>
      </c>
      <c r="L9234" s="787">
        <v>4</v>
      </c>
      <c r="M9234" s="787">
        <v>10</v>
      </c>
      <c r="N9234" s="787">
        <v>0</v>
      </c>
    </row>
    <row r="9235" spans="1:14" x14ac:dyDescent="0.25">
      <c r="A9235" s="786" t="s">
        <v>16623</v>
      </c>
      <c r="B9235" s="787">
        <v>4</v>
      </c>
      <c r="C9235" s="787" t="s">
        <v>16624</v>
      </c>
      <c r="D9235" s="787">
        <v>0</v>
      </c>
      <c r="E9235" s="787">
        <v>0</v>
      </c>
      <c r="H9235" s="787">
        <v>1</v>
      </c>
      <c r="L9235" s="787">
        <v>4</v>
      </c>
      <c r="M9235" s="787">
        <v>10</v>
      </c>
      <c r="N9235" s="787">
        <v>0</v>
      </c>
    </row>
    <row r="9236" spans="1:14" x14ac:dyDescent="0.25">
      <c r="A9236" s="786" t="s">
        <v>16625</v>
      </c>
      <c r="B9236" s="787">
        <v>4</v>
      </c>
      <c r="C9236" s="787" t="s">
        <v>16626</v>
      </c>
      <c r="D9236" s="787">
        <v>0</v>
      </c>
      <c r="E9236" s="787">
        <v>0</v>
      </c>
      <c r="H9236" s="787">
        <v>1</v>
      </c>
      <c r="L9236" s="787">
        <v>4</v>
      </c>
      <c r="M9236" s="787">
        <v>10</v>
      </c>
      <c r="N9236" s="787">
        <v>0</v>
      </c>
    </row>
    <row r="9237" spans="1:14" x14ac:dyDescent="0.25">
      <c r="A9237" s="786" t="s">
        <v>16627</v>
      </c>
      <c r="B9237" s="787">
        <v>4</v>
      </c>
      <c r="C9237" s="787" t="s">
        <v>16628</v>
      </c>
      <c r="D9237" s="787">
        <v>0</v>
      </c>
      <c r="E9237" s="787">
        <v>0</v>
      </c>
      <c r="H9237" s="787">
        <v>1</v>
      </c>
      <c r="L9237" s="787">
        <v>4.5</v>
      </c>
      <c r="M9237" s="787">
        <v>10</v>
      </c>
      <c r="N9237" s="787">
        <v>0</v>
      </c>
    </row>
    <row r="9238" spans="1:14" x14ac:dyDescent="0.25">
      <c r="A9238" s="786" t="s">
        <v>16629</v>
      </c>
      <c r="B9238" s="787">
        <v>4</v>
      </c>
      <c r="C9238" s="787" t="s">
        <v>16630</v>
      </c>
      <c r="D9238" s="787">
        <v>0</v>
      </c>
      <c r="E9238" s="787">
        <v>0</v>
      </c>
      <c r="H9238" s="787">
        <v>1</v>
      </c>
      <c r="L9238" s="787">
        <v>4.5</v>
      </c>
      <c r="M9238" s="787">
        <v>10</v>
      </c>
      <c r="N9238" s="787">
        <v>0</v>
      </c>
    </row>
    <row r="9239" spans="1:14" x14ac:dyDescent="0.25">
      <c r="A9239" s="786" t="s">
        <v>16631</v>
      </c>
      <c r="B9239" s="787">
        <v>4</v>
      </c>
      <c r="C9239" s="787" t="s">
        <v>16632</v>
      </c>
      <c r="D9239" s="787">
        <v>0</v>
      </c>
      <c r="E9239" s="787">
        <v>0</v>
      </c>
      <c r="H9239" s="787">
        <v>1</v>
      </c>
      <c r="L9239" s="787">
        <v>4.5</v>
      </c>
      <c r="M9239" s="787">
        <v>10</v>
      </c>
      <c r="N9239" s="787">
        <v>0</v>
      </c>
    </row>
    <row r="9240" spans="1:14" x14ac:dyDescent="0.25">
      <c r="A9240" s="786" t="s">
        <v>16633</v>
      </c>
      <c r="B9240" s="787">
        <v>4</v>
      </c>
      <c r="C9240" s="787" t="s">
        <v>16634</v>
      </c>
      <c r="D9240" s="787">
        <v>0</v>
      </c>
      <c r="E9240" s="787">
        <v>0</v>
      </c>
      <c r="H9240" s="787">
        <v>1</v>
      </c>
      <c r="L9240" s="787">
        <v>4.5</v>
      </c>
      <c r="M9240" s="787">
        <v>10</v>
      </c>
      <c r="N9240" s="787">
        <v>0</v>
      </c>
    </row>
    <row r="9241" spans="1:14" x14ac:dyDescent="0.25">
      <c r="A9241" s="786" t="s">
        <v>16635</v>
      </c>
      <c r="B9241" s="787">
        <v>4</v>
      </c>
      <c r="C9241" s="787" t="s">
        <v>16636</v>
      </c>
      <c r="D9241" s="787">
        <v>0</v>
      </c>
      <c r="E9241" s="787">
        <v>0</v>
      </c>
      <c r="H9241" s="787">
        <v>1</v>
      </c>
      <c r="L9241" s="787">
        <v>4</v>
      </c>
      <c r="M9241" s="787">
        <v>10</v>
      </c>
      <c r="N9241" s="787">
        <v>0</v>
      </c>
    </row>
    <row r="9242" spans="1:14" x14ac:dyDescent="0.25">
      <c r="A9242" s="786" t="s">
        <v>16637</v>
      </c>
      <c r="B9242" s="787">
        <v>4</v>
      </c>
      <c r="C9242" s="787" t="s">
        <v>16638</v>
      </c>
      <c r="D9242" s="787">
        <v>0</v>
      </c>
      <c r="E9242" s="787">
        <v>0</v>
      </c>
      <c r="H9242" s="787">
        <v>1</v>
      </c>
      <c r="L9242" s="787">
        <v>4</v>
      </c>
      <c r="M9242" s="787">
        <v>10</v>
      </c>
      <c r="N9242" s="787">
        <v>0</v>
      </c>
    </row>
    <row r="9243" spans="1:14" x14ac:dyDescent="0.25">
      <c r="A9243" s="786" t="s">
        <v>16639</v>
      </c>
      <c r="B9243" s="787">
        <v>4</v>
      </c>
      <c r="C9243" s="787" t="s">
        <v>16640</v>
      </c>
      <c r="D9243" s="787">
        <v>0</v>
      </c>
      <c r="E9243" s="787">
        <v>0</v>
      </c>
      <c r="H9243" s="787">
        <v>1</v>
      </c>
      <c r="L9243" s="787">
        <v>4</v>
      </c>
      <c r="M9243" s="787">
        <v>10</v>
      </c>
      <c r="N9243" s="787">
        <v>0</v>
      </c>
    </row>
    <row r="9244" spans="1:14" x14ac:dyDescent="0.25">
      <c r="A9244" s="786" t="s">
        <v>16641</v>
      </c>
      <c r="B9244" s="787">
        <v>4</v>
      </c>
      <c r="C9244" s="787" t="s">
        <v>16642</v>
      </c>
      <c r="D9244" s="787">
        <v>0</v>
      </c>
      <c r="E9244" s="787">
        <v>0</v>
      </c>
      <c r="H9244" s="787">
        <v>1</v>
      </c>
      <c r="L9244" s="787">
        <v>4</v>
      </c>
      <c r="M9244" s="787">
        <v>10</v>
      </c>
      <c r="N9244" s="787">
        <v>0</v>
      </c>
    </row>
    <row r="9245" spans="1:14" x14ac:dyDescent="0.25">
      <c r="A9245" s="786" t="s">
        <v>16643</v>
      </c>
      <c r="B9245" s="787">
        <v>4</v>
      </c>
      <c r="C9245" s="787" t="s">
        <v>16644</v>
      </c>
      <c r="D9245" s="787">
        <v>0</v>
      </c>
      <c r="E9245" s="787">
        <v>0</v>
      </c>
      <c r="H9245" s="787">
        <v>1</v>
      </c>
      <c r="L9245" s="787">
        <v>4</v>
      </c>
      <c r="M9245" s="787">
        <v>10</v>
      </c>
      <c r="N9245" s="787">
        <v>0</v>
      </c>
    </row>
    <row r="9246" spans="1:14" x14ac:dyDescent="0.25">
      <c r="A9246" s="786" t="s">
        <v>16645</v>
      </c>
      <c r="B9246" s="787">
        <v>4</v>
      </c>
      <c r="C9246" s="787" t="s">
        <v>16646</v>
      </c>
      <c r="D9246" s="787">
        <v>0</v>
      </c>
      <c r="E9246" s="787">
        <v>0</v>
      </c>
      <c r="H9246" s="787">
        <v>1</v>
      </c>
      <c r="L9246" s="787">
        <v>4</v>
      </c>
      <c r="M9246" s="787">
        <v>10</v>
      </c>
      <c r="N9246" s="787">
        <v>0</v>
      </c>
    </row>
    <row r="9247" spans="1:14" x14ac:dyDescent="0.25">
      <c r="A9247" s="786" t="s">
        <v>16647</v>
      </c>
      <c r="B9247" s="787">
        <v>4</v>
      </c>
      <c r="C9247" s="787" t="s">
        <v>16648</v>
      </c>
      <c r="D9247" s="787">
        <v>0</v>
      </c>
      <c r="E9247" s="787">
        <v>0</v>
      </c>
      <c r="H9247" s="787">
        <v>1</v>
      </c>
      <c r="L9247" s="787">
        <v>10</v>
      </c>
      <c r="M9247" s="787">
        <v>10</v>
      </c>
      <c r="N9247" s="787">
        <v>0</v>
      </c>
    </row>
    <row r="9248" spans="1:14" x14ac:dyDescent="0.25">
      <c r="A9248" s="786" t="s">
        <v>16649</v>
      </c>
      <c r="B9248" s="787">
        <v>4</v>
      </c>
      <c r="C9248" s="787" t="s">
        <v>16650</v>
      </c>
      <c r="D9248" s="787">
        <v>0</v>
      </c>
      <c r="E9248" s="787">
        <v>0</v>
      </c>
      <c r="H9248" s="787">
        <v>1</v>
      </c>
      <c r="L9248" s="787">
        <v>6</v>
      </c>
      <c r="M9248" s="787">
        <v>10</v>
      </c>
      <c r="N9248" s="787">
        <v>0</v>
      </c>
    </row>
    <row r="9249" spans="1:15" x14ac:dyDescent="0.25">
      <c r="A9249" s="786" t="s">
        <v>16651</v>
      </c>
      <c r="B9249" s="787">
        <v>4</v>
      </c>
      <c r="C9249" s="787" t="s">
        <v>16652</v>
      </c>
      <c r="D9249" s="787">
        <v>0</v>
      </c>
      <c r="E9249" s="787">
        <v>0</v>
      </c>
      <c r="H9249" s="787">
        <v>1</v>
      </c>
      <c r="L9249" s="787">
        <v>2</v>
      </c>
      <c r="M9249" s="787">
        <v>10</v>
      </c>
      <c r="N9249" s="787">
        <v>0</v>
      </c>
    </row>
    <row r="9250" spans="1:15" x14ac:dyDescent="0.25">
      <c r="A9250" s="786" t="s">
        <v>16653</v>
      </c>
      <c r="B9250" s="787">
        <v>4</v>
      </c>
      <c r="C9250" s="787" t="s">
        <v>16654</v>
      </c>
      <c r="D9250" s="787">
        <v>0.66</v>
      </c>
      <c r="E9250" s="787">
        <v>49.28</v>
      </c>
      <c r="F9250" s="788">
        <v>41775</v>
      </c>
      <c r="G9250" s="788">
        <v>41908</v>
      </c>
      <c r="H9250" s="787">
        <v>1</v>
      </c>
      <c r="I9250" s="788">
        <v>41823</v>
      </c>
      <c r="J9250" s="788">
        <v>41824</v>
      </c>
      <c r="L9250" s="787">
        <v>10</v>
      </c>
      <c r="M9250" s="787">
        <v>10</v>
      </c>
      <c r="N9250" s="787">
        <v>70.19</v>
      </c>
      <c r="O9250" s="788">
        <v>42045</v>
      </c>
    </row>
    <row r="9251" spans="1:15" x14ac:dyDescent="0.25">
      <c r="A9251" s="786" t="s">
        <v>16655</v>
      </c>
      <c r="B9251" s="787">
        <v>4</v>
      </c>
      <c r="C9251" s="787" t="s">
        <v>16656</v>
      </c>
      <c r="D9251" s="787">
        <v>0</v>
      </c>
      <c r="E9251" s="787">
        <v>0</v>
      </c>
      <c r="H9251" s="787">
        <v>1</v>
      </c>
      <c r="K9251" s="788">
        <v>41575</v>
      </c>
      <c r="L9251" s="787">
        <v>2.5</v>
      </c>
      <c r="M9251" s="787">
        <v>10</v>
      </c>
      <c r="N9251" s="787">
        <v>11.25</v>
      </c>
      <c r="O9251" s="788">
        <v>41858</v>
      </c>
    </row>
    <row r="9252" spans="1:15" x14ac:dyDescent="0.25">
      <c r="A9252" s="786" t="s">
        <v>16657</v>
      </c>
      <c r="B9252" s="787">
        <v>4</v>
      </c>
      <c r="C9252" s="787" t="s">
        <v>16658</v>
      </c>
      <c r="D9252" s="787">
        <v>1.33</v>
      </c>
      <c r="E9252" s="787">
        <v>6.22</v>
      </c>
      <c r="F9252" s="788">
        <v>41775</v>
      </c>
      <c r="G9252" s="788">
        <v>42142</v>
      </c>
      <c r="H9252" s="787">
        <v>1</v>
      </c>
      <c r="I9252" s="788">
        <v>42136</v>
      </c>
      <c r="J9252" s="788">
        <v>42142</v>
      </c>
      <c r="K9252" s="788">
        <v>41578</v>
      </c>
      <c r="L9252" s="787">
        <v>5</v>
      </c>
      <c r="M9252" s="787">
        <v>10</v>
      </c>
      <c r="N9252" s="787">
        <v>4.6399999999999997</v>
      </c>
      <c r="O9252" s="788">
        <v>42156</v>
      </c>
    </row>
    <row r="9253" spans="1:15" x14ac:dyDescent="0.25">
      <c r="A9253" s="786" t="s">
        <v>16659</v>
      </c>
      <c r="B9253" s="787">
        <v>4</v>
      </c>
      <c r="C9253" s="787" t="s">
        <v>16660</v>
      </c>
      <c r="D9253" s="787">
        <v>1.44</v>
      </c>
      <c r="E9253" s="787">
        <v>5.45</v>
      </c>
      <c r="F9253" s="788">
        <v>41855</v>
      </c>
      <c r="G9253" s="788">
        <v>42159</v>
      </c>
      <c r="H9253" s="787">
        <v>1</v>
      </c>
      <c r="I9253" s="788">
        <v>42137</v>
      </c>
      <c r="J9253" s="788">
        <v>42128</v>
      </c>
      <c r="L9253" s="787">
        <v>5</v>
      </c>
      <c r="M9253" s="787">
        <v>10</v>
      </c>
      <c r="N9253" s="787">
        <v>5.95</v>
      </c>
      <c r="O9253" s="788">
        <v>42067</v>
      </c>
    </row>
    <row r="9254" spans="1:15" x14ac:dyDescent="0.25">
      <c r="A9254" s="786" t="s">
        <v>16661</v>
      </c>
      <c r="B9254" s="787">
        <v>4</v>
      </c>
      <c r="C9254" s="787" t="s">
        <v>16662</v>
      </c>
      <c r="D9254" s="787">
        <v>0.05</v>
      </c>
      <c r="E9254" s="787">
        <v>1.98</v>
      </c>
      <c r="F9254" s="788">
        <v>41813</v>
      </c>
      <c r="G9254" s="788">
        <v>42114</v>
      </c>
      <c r="H9254" s="787">
        <v>1</v>
      </c>
      <c r="I9254" s="788">
        <v>42151</v>
      </c>
      <c r="J9254" s="788">
        <v>42086</v>
      </c>
      <c r="K9254" s="788">
        <v>41578</v>
      </c>
      <c r="L9254" s="787">
        <v>5</v>
      </c>
      <c r="M9254" s="787">
        <v>10</v>
      </c>
      <c r="N9254" s="787">
        <v>4.6399999999999997</v>
      </c>
      <c r="O9254" s="788">
        <v>42156</v>
      </c>
    </row>
    <row r="9255" spans="1:15" x14ac:dyDescent="0.25">
      <c r="A9255" s="786" t="s">
        <v>16663</v>
      </c>
      <c r="B9255" s="787">
        <v>4</v>
      </c>
      <c r="C9255" s="787" t="s">
        <v>16664</v>
      </c>
      <c r="D9255" s="787">
        <v>1.1000000000000001</v>
      </c>
      <c r="E9255" s="787">
        <v>1.1000000000000001</v>
      </c>
      <c r="F9255" s="788">
        <v>42132</v>
      </c>
      <c r="G9255" s="788">
        <v>42132</v>
      </c>
      <c r="H9255" s="787">
        <v>1</v>
      </c>
      <c r="I9255" s="788">
        <v>42129</v>
      </c>
      <c r="J9255" s="788">
        <v>42107</v>
      </c>
      <c r="K9255" s="788">
        <v>41578</v>
      </c>
      <c r="L9255" s="787">
        <v>5</v>
      </c>
      <c r="M9255" s="787">
        <v>10</v>
      </c>
      <c r="N9255" s="787">
        <v>4.6399999999999997</v>
      </c>
      <c r="O9255" s="788">
        <v>42156</v>
      </c>
    </row>
    <row r="9256" spans="1:15" x14ac:dyDescent="0.25">
      <c r="A9256" s="786" t="s">
        <v>16665</v>
      </c>
      <c r="B9256" s="787">
        <v>4</v>
      </c>
      <c r="C9256" s="787" t="s">
        <v>16666</v>
      </c>
      <c r="D9256" s="787">
        <v>1.54</v>
      </c>
      <c r="E9256" s="787">
        <v>2.2000000000000002</v>
      </c>
      <c r="F9256" s="788">
        <v>41775</v>
      </c>
      <c r="G9256" s="788">
        <v>42118</v>
      </c>
      <c r="H9256" s="787">
        <v>1</v>
      </c>
      <c r="I9256" s="788">
        <v>42088</v>
      </c>
      <c r="J9256" s="788">
        <v>42088</v>
      </c>
      <c r="K9256" s="788">
        <v>41578</v>
      </c>
      <c r="L9256" s="787">
        <v>5</v>
      </c>
      <c r="M9256" s="787">
        <v>10</v>
      </c>
      <c r="N9256" s="787">
        <v>4.6399999999999997</v>
      </c>
      <c r="O9256" s="788">
        <v>42156</v>
      </c>
    </row>
    <row r="9257" spans="1:15" x14ac:dyDescent="0.25">
      <c r="A9257" s="786" t="s">
        <v>16667</v>
      </c>
      <c r="B9257" s="787">
        <v>4</v>
      </c>
      <c r="C9257" s="787" t="s">
        <v>16668</v>
      </c>
      <c r="D9257" s="787">
        <v>1.7</v>
      </c>
      <c r="E9257" s="787">
        <v>1.72</v>
      </c>
      <c r="F9257" s="788">
        <v>41907</v>
      </c>
      <c r="G9257" s="788">
        <v>42163</v>
      </c>
      <c r="H9257" s="787">
        <v>1</v>
      </c>
      <c r="I9257" s="788">
        <v>42157</v>
      </c>
      <c r="J9257" s="788">
        <v>42163</v>
      </c>
      <c r="K9257" s="788">
        <v>41578</v>
      </c>
      <c r="L9257" s="787">
        <v>7</v>
      </c>
      <c r="M9257" s="787">
        <v>10</v>
      </c>
      <c r="N9257" s="787">
        <v>5.88</v>
      </c>
      <c r="O9257" s="788">
        <v>42146</v>
      </c>
    </row>
    <row r="9258" spans="1:15" x14ac:dyDescent="0.25">
      <c r="A9258" s="786" t="s">
        <v>16669</v>
      </c>
      <c r="B9258" s="787">
        <v>4</v>
      </c>
      <c r="C9258" s="787" t="s">
        <v>16670</v>
      </c>
      <c r="D9258" s="787">
        <v>0.48</v>
      </c>
      <c r="E9258" s="787">
        <v>0.48</v>
      </c>
      <c r="F9258" s="788">
        <v>41824</v>
      </c>
      <c r="G9258" s="788">
        <v>42013</v>
      </c>
      <c r="H9258" s="787">
        <v>1</v>
      </c>
      <c r="I9258" s="788">
        <v>42114</v>
      </c>
      <c r="J9258" s="788">
        <v>41793</v>
      </c>
      <c r="K9258" s="788">
        <v>41578</v>
      </c>
      <c r="L9258" s="787">
        <v>5</v>
      </c>
      <c r="M9258" s="787">
        <v>10</v>
      </c>
      <c r="N9258" s="787">
        <v>5.88</v>
      </c>
      <c r="O9258" s="788">
        <v>42156</v>
      </c>
    </row>
    <row r="9259" spans="1:15" x14ac:dyDescent="0.25">
      <c r="A9259" s="786" t="s">
        <v>16671</v>
      </c>
      <c r="B9259" s="787">
        <v>4</v>
      </c>
      <c r="C9259" s="787" t="s">
        <v>16672</v>
      </c>
      <c r="D9259" s="787">
        <v>0.66</v>
      </c>
      <c r="E9259" s="787">
        <v>1.29</v>
      </c>
      <c r="F9259" s="788">
        <v>41947</v>
      </c>
      <c r="G9259" s="788">
        <v>42163</v>
      </c>
      <c r="H9259" s="787">
        <v>1</v>
      </c>
      <c r="I9259" s="788">
        <v>42163</v>
      </c>
      <c r="J9259" s="788">
        <v>42163</v>
      </c>
      <c r="K9259" s="788">
        <v>41578</v>
      </c>
      <c r="L9259" s="787">
        <v>5</v>
      </c>
      <c r="M9259" s="787">
        <v>10</v>
      </c>
      <c r="N9259" s="787">
        <v>5.0999999999999996</v>
      </c>
      <c r="O9259" s="788">
        <v>42146</v>
      </c>
    </row>
    <row r="9260" spans="1:15" x14ac:dyDescent="0.25">
      <c r="A9260" s="786" t="s">
        <v>16673</v>
      </c>
      <c r="B9260" s="787">
        <v>4</v>
      </c>
      <c r="C9260" s="787" t="s">
        <v>16674</v>
      </c>
      <c r="D9260" s="787">
        <v>8.8000000000000007</v>
      </c>
      <c r="E9260" s="787">
        <v>20.02</v>
      </c>
      <c r="F9260" s="788">
        <v>41806</v>
      </c>
      <c r="G9260" s="788">
        <v>41806</v>
      </c>
      <c r="H9260" s="787">
        <v>1</v>
      </c>
      <c r="I9260" s="788">
        <v>41821</v>
      </c>
      <c r="J9260" s="788">
        <v>41759</v>
      </c>
      <c r="K9260" s="788">
        <v>41739</v>
      </c>
      <c r="L9260" s="787">
        <v>1</v>
      </c>
      <c r="M9260" s="787">
        <v>10</v>
      </c>
      <c r="N9260" s="787">
        <v>17.920000000000002</v>
      </c>
      <c r="O9260" s="788">
        <v>42046</v>
      </c>
    </row>
    <row r="9261" spans="1:15" x14ac:dyDescent="0.25">
      <c r="A9261" s="786" t="s">
        <v>16675</v>
      </c>
      <c r="B9261" s="787">
        <v>4</v>
      </c>
      <c r="C9261" s="787" t="s">
        <v>16676</v>
      </c>
      <c r="D9261" s="787">
        <v>1.32</v>
      </c>
      <c r="E9261" s="787">
        <v>21.32</v>
      </c>
      <c r="F9261" s="788">
        <v>41809</v>
      </c>
      <c r="G9261" s="788">
        <v>41809</v>
      </c>
      <c r="H9261" s="787">
        <v>1</v>
      </c>
      <c r="I9261" s="788">
        <v>41821</v>
      </c>
      <c r="J9261" s="788">
        <v>41766</v>
      </c>
      <c r="K9261" s="788">
        <v>41739</v>
      </c>
      <c r="L9261" s="787">
        <v>1</v>
      </c>
      <c r="M9261" s="787">
        <v>10</v>
      </c>
      <c r="N9261" s="787">
        <v>40.31</v>
      </c>
      <c r="O9261" s="788">
        <v>42053</v>
      </c>
    </row>
    <row r="9262" spans="1:15" x14ac:dyDescent="0.25">
      <c r="A9262" s="786" t="s">
        <v>16677</v>
      </c>
      <c r="B9262" s="787">
        <v>4</v>
      </c>
      <c r="C9262" s="787" t="s">
        <v>16678</v>
      </c>
      <c r="D9262" s="787">
        <v>0.23</v>
      </c>
      <c r="E9262" s="787">
        <v>0.23</v>
      </c>
      <c r="F9262" s="788">
        <v>41806</v>
      </c>
      <c r="G9262" s="788">
        <v>41806</v>
      </c>
      <c r="H9262" s="787">
        <v>1</v>
      </c>
      <c r="I9262" s="788">
        <v>41755</v>
      </c>
      <c r="J9262" s="788">
        <v>41751</v>
      </c>
      <c r="K9262" s="788">
        <v>41751</v>
      </c>
      <c r="L9262" s="787">
        <v>12</v>
      </c>
      <c r="M9262" s="787">
        <v>10</v>
      </c>
      <c r="N9262" s="787">
        <v>11.68</v>
      </c>
      <c r="O9262" s="788">
        <v>42053</v>
      </c>
    </row>
    <row r="9263" spans="1:15" x14ac:dyDescent="0.25">
      <c r="A9263" s="786" t="s">
        <v>16679</v>
      </c>
      <c r="B9263" s="787">
        <v>4</v>
      </c>
      <c r="C9263" s="787" t="s">
        <v>16680</v>
      </c>
      <c r="D9263" s="787">
        <v>0</v>
      </c>
      <c r="E9263" s="787">
        <v>0</v>
      </c>
      <c r="H9263" s="787">
        <v>1</v>
      </c>
      <c r="I9263" s="788">
        <v>41722</v>
      </c>
      <c r="K9263" s="788">
        <v>41590</v>
      </c>
      <c r="L9263" s="787">
        <v>6</v>
      </c>
      <c r="M9263" s="787">
        <v>10</v>
      </c>
      <c r="N9263" s="787">
        <v>10.85</v>
      </c>
      <c r="O9263" s="788">
        <v>42136</v>
      </c>
    </row>
    <row r="9264" spans="1:15" x14ac:dyDescent="0.25">
      <c r="A9264" s="786" t="s">
        <v>16681</v>
      </c>
      <c r="B9264" s="787">
        <v>4</v>
      </c>
      <c r="C9264" s="787" t="s">
        <v>16682</v>
      </c>
      <c r="D9264" s="787">
        <v>0</v>
      </c>
      <c r="E9264" s="787">
        <v>0</v>
      </c>
      <c r="H9264" s="787">
        <v>1</v>
      </c>
      <c r="I9264" s="788">
        <v>41722</v>
      </c>
      <c r="K9264" s="788">
        <v>41590</v>
      </c>
      <c r="L9264" s="787">
        <v>6</v>
      </c>
      <c r="M9264" s="787">
        <v>10</v>
      </c>
      <c r="N9264" s="787">
        <v>10.85</v>
      </c>
      <c r="O9264" s="788">
        <v>42136</v>
      </c>
    </row>
    <row r="9265" spans="1:15" x14ac:dyDescent="0.25">
      <c r="A9265" s="786" t="s">
        <v>16683</v>
      </c>
      <c r="B9265" s="787">
        <v>4</v>
      </c>
      <c r="C9265" s="787" t="s">
        <v>16684</v>
      </c>
      <c r="D9265" s="787">
        <v>0</v>
      </c>
      <c r="E9265" s="787">
        <v>0</v>
      </c>
      <c r="H9265" s="787">
        <v>1</v>
      </c>
      <c r="K9265" s="788">
        <v>41590</v>
      </c>
      <c r="L9265" s="787">
        <v>6</v>
      </c>
      <c r="M9265" s="787">
        <v>10</v>
      </c>
      <c r="N9265" s="787">
        <v>10.85</v>
      </c>
      <c r="O9265" s="788">
        <v>41858</v>
      </c>
    </row>
    <row r="9266" spans="1:15" x14ac:dyDescent="0.25">
      <c r="A9266" s="786" t="s">
        <v>16685</v>
      </c>
      <c r="B9266" s="787">
        <v>4</v>
      </c>
      <c r="C9266" s="787" t="s">
        <v>14427</v>
      </c>
      <c r="D9266" s="787">
        <v>0</v>
      </c>
      <c r="E9266" s="787">
        <v>0</v>
      </c>
      <c r="H9266" s="787">
        <v>1</v>
      </c>
      <c r="I9266" s="788">
        <v>41722</v>
      </c>
      <c r="K9266" s="788">
        <v>41597</v>
      </c>
      <c r="L9266" s="787">
        <v>5</v>
      </c>
      <c r="M9266" s="787">
        <v>10</v>
      </c>
      <c r="N9266" s="787">
        <v>14.95</v>
      </c>
      <c r="O9266" s="788">
        <v>42136</v>
      </c>
    </row>
    <row r="9267" spans="1:15" x14ac:dyDescent="0.25">
      <c r="A9267" s="786" t="s">
        <v>16686</v>
      </c>
      <c r="B9267" s="787">
        <v>4</v>
      </c>
      <c r="C9267" s="787" t="s">
        <v>14429</v>
      </c>
      <c r="D9267" s="787">
        <v>0</v>
      </c>
      <c r="E9267" s="787">
        <v>0</v>
      </c>
      <c r="H9267" s="787">
        <v>1</v>
      </c>
      <c r="I9267" s="788">
        <v>41722</v>
      </c>
      <c r="K9267" s="788">
        <v>41597</v>
      </c>
      <c r="L9267" s="787">
        <v>5</v>
      </c>
      <c r="M9267" s="787">
        <v>10</v>
      </c>
      <c r="N9267" s="787">
        <v>14.95</v>
      </c>
      <c r="O9267" s="788">
        <v>42136</v>
      </c>
    </row>
    <row r="9268" spans="1:15" x14ac:dyDescent="0.25">
      <c r="A9268" s="786" t="s">
        <v>16687</v>
      </c>
      <c r="B9268" s="787">
        <v>4</v>
      </c>
      <c r="C9268" s="787" t="s">
        <v>16688</v>
      </c>
      <c r="D9268" s="787">
        <v>0</v>
      </c>
      <c r="E9268" s="787">
        <v>0</v>
      </c>
      <c r="H9268" s="787">
        <v>1</v>
      </c>
      <c r="K9268" s="788">
        <v>41597</v>
      </c>
      <c r="L9268" s="787">
        <v>5</v>
      </c>
      <c r="M9268" s="787">
        <v>10</v>
      </c>
      <c r="N9268" s="787">
        <v>14.95</v>
      </c>
      <c r="O9268" s="788">
        <v>41858</v>
      </c>
    </row>
    <row r="9269" spans="1:15" x14ac:dyDescent="0.25">
      <c r="A9269" s="786" t="s">
        <v>16689</v>
      </c>
      <c r="B9269" s="787">
        <v>4</v>
      </c>
      <c r="C9269" s="787" t="s">
        <v>16690</v>
      </c>
      <c r="D9269" s="787">
        <v>0</v>
      </c>
      <c r="E9269" s="787">
        <v>0</v>
      </c>
      <c r="H9269" s="787">
        <v>1</v>
      </c>
      <c r="K9269" s="788">
        <v>41597</v>
      </c>
      <c r="L9269" s="787">
        <v>5</v>
      </c>
      <c r="M9269" s="787">
        <v>10</v>
      </c>
      <c r="N9269" s="787">
        <v>13.56</v>
      </c>
      <c r="O9269" s="788">
        <v>41858</v>
      </c>
    </row>
    <row r="9270" spans="1:15" x14ac:dyDescent="0.25">
      <c r="A9270" s="786" t="s">
        <v>16691</v>
      </c>
      <c r="B9270" s="787">
        <v>4</v>
      </c>
      <c r="C9270" s="787" t="s">
        <v>16692</v>
      </c>
      <c r="D9270" s="787">
        <v>0</v>
      </c>
      <c r="E9270" s="787">
        <v>0</v>
      </c>
      <c r="H9270" s="787">
        <v>1</v>
      </c>
      <c r="I9270" s="788">
        <v>41722</v>
      </c>
      <c r="K9270" s="788">
        <v>41597</v>
      </c>
      <c r="L9270" s="787">
        <v>5</v>
      </c>
      <c r="M9270" s="787">
        <v>10</v>
      </c>
      <c r="N9270" s="787">
        <v>13.56</v>
      </c>
      <c r="O9270" s="788">
        <v>42136</v>
      </c>
    </row>
    <row r="9271" spans="1:15" x14ac:dyDescent="0.25">
      <c r="A9271" s="786" t="s">
        <v>16693</v>
      </c>
      <c r="B9271" s="787">
        <v>4</v>
      </c>
      <c r="C9271" s="787" t="s">
        <v>16694</v>
      </c>
      <c r="D9271" s="787">
        <v>0</v>
      </c>
      <c r="E9271" s="787">
        <v>0</v>
      </c>
      <c r="H9271" s="787">
        <v>1</v>
      </c>
      <c r="I9271" s="788">
        <v>41722</v>
      </c>
      <c r="K9271" s="788">
        <v>41597</v>
      </c>
      <c r="L9271" s="787">
        <v>5</v>
      </c>
      <c r="M9271" s="787">
        <v>10</v>
      </c>
      <c r="N9271" s="787">
        <v>13.56</v>
      </c>
      <c r="O9271" s="788">
        <v>42136</v>
      </c>
    </row>
    <row r="9272" spans="1:15" x14ac:dyDescent="0.25">
      <c r="A9272" s="786" t="s">
        <v>16695</v>
      </c>
      <c r="B9272" s="787">
        <v>4</v>
      </c>
      <c r="C9272" s="787" t="s">
        <v>16696</v>
      </c>
      <c r="D9272" s="787">
        <v>0</v>
      </c>
      <c r="E9272" s="787">
        <v>0</v>
      </c>
      <c r="H9272" s="787">
        <v>1</v>
      </c>
      <c r="I9272" s="788">
        <v>41722</v>
      </c>
      <c r="K9272" s="788">
        <v>41598</v>
      </c>
      <c r="L9272" s="787">
        <v>5</v>
      </c>
      <c r="M9272" s="787">
        <v>10</v>
      </c>
      <c r="N9272" s="787">
        <v>12.15</v>
      </c>
      <c r="O9272" s="788">
        <v>42136</v>
      </c>
    </row>
    <row r="9273" spans="1:15" x14ac:dyDescent="0.25">
      <c r="A9273" s="786" t="s">
        <v>16697</v>
      </c>
      <c r="B9273" s="787">
        <v>4</v>
      </c>
      <c r="C9273" s="787" t="s">
        <v>16698</v>
      </c>
      <c r="D9273" s="787">
        <v>0</v>
      </c>
      <c r="E9273" s="787">
        <v>0</v>
      </c>
      <c r="H9273" s="787">
        <v>1</v>
      </c>
      <c r="I9273" s="788">
        <v>41722</v>
      </c>
      <c r="K9273" s="788">
        <v>41598</v>
      </c>
      <c r="L9273" s="787">
        <v>5</v>
      </c>
      <c r="M9273" s="787">
        <v>10</v>
      </c>
      <c r="N9273" s="787">
        <v>12.15</v>
      </c>
      <c r="O9273" s="788">
        <v>42136</v>
      </c>
    </row>
    <row r="9274" spans="1:15" x14ac:dyDescent="0.25">
      <c r="A9274" s="786" t="s">
        <v>16699</v>
      </c>
      <c r="B9274" s="787">
        <v>4</v>
      </c>
      <c r="C9274" s="787" t="s">
        <v>11338</v>
      </c>
      <c r="D9274" s="787">
        <v>0</v>
      </c>
      <c r="E9274" s="787">
        <v>0</v>
      </c>
      <c r="H9274" s="787">
        <v>1</v>
      </c>
      <c r="I9274" s="788">
        <v>41722</v>
      </c>
      <c r="K9274" s="788">
        <v>41598</v>
      </c>
      <c r="L9274" s="787">
        <v>5</v>
      </c>
      <c r="M9274" s="787">
        <v>10</v>
      </c>
      <c r="N9274" s="787">
        <v>8.1</v>
      </c>
      <c r="O9274" s="788">
        <v>42136</v>
      </c>
    </row>
    <row r="9275" spans="1:15" x14ac:dyDescent="0.25">
      <c r="A9275" s="786" t="s">
        <v>16700</v>
      </c>
      <c r="B9275" s="787">
        <v>4</v>
      </c>
      <c r="C9275" s="787" t="s">
        <v>11336</v>
      </c>
      <c r="D9275" s="787">
        <v>0</v>
      </c>
      <c r="E9275" s="787">
        <v>0</v>
      </c>
      <c r="H9275" s="787">
        <v>1</v>
      </c>
      <c r="I9275" s="788">
        <v>41722</v>
      </c>
      <c r="K9275" s="788">
        <v>41598</v>
      </c>
      <c r="L9275" s="787">
        <v>5</v>
      </c>
      <c r="M9275" s="787">
        <v>10</v>
      </c>
      <c r="N9275" s="787">
        <v>8.1</v>
      </c>
      <c r="O9275" s="788">
        <v>42136</v>
      </c>
    </row>
    <row r="9276" spans="1:15" x14ac:dyDescent="0.25">
      <c r="A9276" s="786" t="s">
        <v>16701</v>
      </c>
      <c r="B9276" s="787">
        <v>4</v>
      </c>
      <c r="C9276" s="787" t="s">
        <v>15709</v>
      </c>
      <c r="D9276" s="787">
        <v>0</v>
      </c>
      <c r="E9276" s="787">
        <v>0</v>
      </c>
      <c r="H9276" s="787">
        <v>1</v>
      </c>
      <c r="I9276" s="788">
        <v>41929</v>
      </c>
      <c r="K9276" s="788">
        <v>41598</v>
      </c>
      <c r="L9276" s="787">
        <v>5</v>
      </c>
      <c r="M9276" s="787">
        <v>10</v>
      </c>
      <c r="N9276" s="787">
        <v>14.43</v>
      </c>
      <c r="O9276" s="788">
        <v>42136</v>
      </c>
    </row>
    <row r="9277" spans="1:15" x14ac:dyDescent="0.25">
      <c r="A9277" s="786" t="s">
        <v>16702</v>
      </c>
      <c r="B9277" s="787">
        <v>4</v>
      </c>
      <c r="C9277" s="787" t="s">
        <v>15707</v>
      </c>
      <c r="D9277" s="787">
        <v>0</v>
      </c>
      <c r="E9277" s="787">
        <v>0</v>
      </c>
      <c r="H9277" s="787">
        <v>1</v>
      </c>
      <c r="I9277" s="788">
        <v>41722</v>
      </c>
      <c r="K9277" s="788">
        <v>41598</v>
      </c>
      <c r="L9277" s="787">
        <v>5</v>
      </c>
      <c r="M9277" s="787">
        <v>10</v>
      </c>
      <c r="N9277" s="787">
        <v>14.43</v>
      </c>
      <c r="O9277" s="788">
        <v>42136</v>
      </c>
    </row>
    <row r="9278" spans="1:15" x14ac:dyDescent="0.25">
      <c r="A9278" s="786" t="s">
        <v>16703</v>
      </c>
      <c r="B9278" s="787">
        <v>4</v>
      </c>
      <c r="C9278" s="787" t="s">
        <v>15705</v>
      </c>
      <c r="D9278" s="787">
        <v>0</v>
      </c>
      <c r="E9278" s="787">
        <v>0</v>
      </c>
      <c r="H9278" s="787">
        <v>1</v>
      </c>
      <c r="I9278" s="788">
        <v>41722</v>
      </c>
      <c r="K9278" s="788">
        <v>41598</v>
      </c>
      <c r="L9278" s="787">
        <v>5</v>
      </c>
      <c r="M9278" s="787">
        <v>10</v>
      </c>
      <c r="N9278" s="787">
        <v>14.43</v>
      </c>
      <c r="O9278" s="788">
        <v>42136</v>
      </c>
    </row>
    <row r="9279" spans="1:15" x14ac:dyDescent="0.25">
      <c r="A9279" s="786" t="s">
        <v>16704</v>
      </c>
      <c r="B9279" s="787">
        <v>4</v>
      </c>
      <c r="C9279" s="787" t="s">
        <v>15703</v>
      </c>
      <c r="D9279" s="787">
        <v>0</v>
      </c>
      <c r="E9279" s="787">
        <v>0</v>
      </c>
      <c r="H9279" s="787">
        <v>1</v>
      </c>
      <c r="I9279" s="788">
        <v>41722</v>
      </c>
      <c r="K9279" s="788">
        <v>41598</v>
      </c>
      <c r="L9279" s="787">
        <v>5</v>
      </c>
      <c r="M9279" s="787">
        <v>10</v>
      </c>
      <c r="N9279" s="787">
        <v>14.43</v>
      </c>
      <c r="O9279" s="788">
        <v>42136</v>
      </c>
    </row>
    <row r="9280" spans="1:15" x14ac:dyDescent="0.25">
      <c r="A9280" s="786" t="s">
        <v>16705</v>
      </c>
      <c r="B9280" s="787">
        <v>4</v>
      </c>
      <c r="C9280" s="787" t="s">
        <v>14396</v>
      </c>
      <c r="D9280" s="787">
        <v>1.88</v>
      </c>
      <c r="E9280" s="787">
        <v>1.88</v>
      </c>
      <c r="F9280" s="788">
        <v>41886</v>
      </c>
      <c r="G9280" s="788">
        <v>41886</v>
      </c>
      <c r="H9280" s="787">
        <v>1</v>
      </c>
      <c r="I9280" s="788">
        <v>41856</v>
      </c>
      <c r="J9280" s="788">
        <v>41830</v>
      </c>
      <c r="K9280" s="788">
        <v>41598</v>
      </c>
      <c r="L9280" s="787">
        <v>5</v>
      </c>
      <c r="M9280" s="787">
        <v>10</v>
      </c>
      <c r="N9280" s="787">
        <v>6</v>
      </c>
      <c r="O9280" s="788">
        <v>42136</v>
      </c>
    </row>
    <row r="9281" spans="1:15" x14ac:dyDescent="0.25">
      <c r="A9281" s="786" t="s">
        <v>16706</v>
      </c>
      <c r="B9281" s="787">
        <v>4</v>
      </c>
      <c r="C9281" s="787" t="s">
        <v>14398</v>
      </c>
      <c r="D9281" s="787">
        <v>0.09</v>
      </c>
      <c r="E9281" s="787">
        <v>0.09</v>
      </c>
      <c r="F9281" s="788">
        <v>41886</v>
      </c>
      <c r="G9281" s="788">
        <v>41886</v>
      </c>
      <c r="H9281" s="787">
        <v>1</v>
      </c>
      <c r="I9281" s="788">
        <v>41856</v>
      </c>
      <c r="J9281" s="788">
        <v>41830</v>
      </c>
      <c r="K9281" s="788">
        <v>41598</v>
      </c>
      <c r="L9281" s="787">
        <v>5</v>
      </c>
      <c r="M9281" s="787">
        <v>10</v>
      </c>
      <c r="N9281" s="787">
        <v>3.13</v>
      </c>
      <c r="O9281" s="788">
        <v>42136</v>
      </c>
    </row>
    <row r="9282" spans="1:15" x14ac:dyDescent="0.25">
      <c r="A9282" s="786" t="s">
        <v>16707</v>
      </c>
      <c r="B9282" s="787">
        <v>4</v>
      </c>
      <c r="C9282" s="787" t="s">
        <v>16708</v>
      </c>
      <c r="D9282" s="787">
        <v>5.38</v>
      </c>
      <c r="E9282" s="787">
        <v>29.64</v>
      </c>
      <c r="F9282" s="788">
        <v>41886</v>
      </c>
      <c r="G9282" s="788">
        <v>41955</v>
      </c>
      <c r="H9282" s="787">
        <v>1</v>
      </c>
      <c r="I9282" s="788">
        <v>41856</v>
      </c>
      <c r="J9282" s="788">
        <v>41848</v>
      </c>
      <c r="K9282" s="788">
        <v>41598</v>
      </c>
      <c r="L9282" s="787">
        <v>40</v>
      </c>
      <c r="M9282" s="787">
        <v>10</v>
      </c>
      <c r="N9282" s="787">
        <v>43.15</v>
      </c>
      <c r="O9282" s="788">
        <v>42136</v>
      </c>
    </row>
    <row r="9283" spans="1:15" x14ac:dyDescent="0.25">
      <c r="A9283" s="786" t="s">
        <v>16709</v>
      </c>
      <c r="B9283" s="787">
        <v>4</v>
      </c>
      <c r="C9283" s="787" t="s">
        <v>16710</v>
      </c>
      <c r="D9283" s="787">
        <v>3.29</v>
      </c>
      <c r="E9283" s="787">
        <v>3.88</v>
      </c>
      <c r="F9283" s="788">
        <v>41858</v>
      </c>
      <c r="G9283" s="788">
        <v>41886</v>
      </c>
      <c r="H9283" s="787">
        <v>1</v>
      </c>
      <c r="I9283" s="788">
        <v>41845</v>
      </c>
      <c r="J9283" s="788">
        <v>41843</v>
      </c>
      <c r="K9283" s="788">
        <v>41598</v>
      </c>
      <c r="L9283" s="787">
        <v>3</v>
      </c>
      <c r="M9283" s="787">
        <v>10</v>
      </c>
      <c r="N9283" s="787">
        <v>3.09</v>
      </c>
      <c r="O9283" s="788">
        <v>42136</v>
      </c>
    </row>
    <row r="9284" spans="1:15" x14ac:dyDescent="0.25">
      <c r="A9284" s="786" t="s">
        <v>16711</v>
      </c>
      <c r="B9284" s="787">
        <v>4</v>
      </c>
      <c r="C9284" s="787" t="s">
        <v>16712</v>
      </c>
      <c r="D9284" s="787">
        <v>0.5</v>
      </c>
      <c r="E9284" s="787">
        <v>10.5</v>
      </c>
      <c r="F9284" s="788">
        <v>41886</v>
      </c>
      <c r="G9284" s="788">
        <v>41886</v>
      </c>
      <c r="H9284" s="787">
        <v>1</v>
      </c>
      <c r="I9284" s="788">
        <v>41856</v>
      </c>
      <c r="J9284" s="788">
        <v>41836</v>
      </c>
      <c r="K9284" s="788">
        <v>41598</v>
      </c>
      <c r="L9284" s="787">
        <v>5</v>
      </c>
      <c r="M9284" s="787">
        <v>10</v>
      </c>
      <c r="N9284" s="787">
        <v>10.02</v>
      </c>
      <c r="O9284" s="788">
        <v>42136</v>
      </c>
    </row>
    <row r="9285" spans="1:15" x14ac:dyDescent="0.25">
      <c r="A9285" s="786" t="s">
        <v>16713</v>
      </c>
      <c r="B9285" s="787">
        <v>4</v>
      </c>
      <c r="C9285" s="787" t="s">
        <v>16714</v>
      </c>
      <c r="D9285" s="787">
        <v>1.92</v>
      </c>
      <c r="E9285" s="787">
        <v>11.92</v>
      </c>
      <c r="F9285" s="788">
        <v>41886</v>
      </c>
      <c r="G9285" s="788">
        <v>41886</v>
      </c>
      <c r="H9285" s="787">
        <v>1</v>
      </c>
      <c r="I9285" s="788">
        <v>41856</v>
      </c>
      <c r="J9285" s="788">
        <v>41836</v>
      </c>
      <c r="K9285" s="788">
        <v>41598</v>
      </c>
      <c r="L9285" s="787">
        <v>5</v>
      </c>
      <c r="M9285" s="787">
        <v>10</v>
      </c>
      <c r="N9285" s="787">
        <v>10.02</v>
      </c>
      <c r="O9285" s="788">
        <v>42136</v>
      </c>
    </row>
    <row r="9286" spans="1:15" x14ac:dyDescent="0.25">
      <c r="A9286" s="786" t="s">
        <v>16715</v>
      </c>
      <c r="B9286" s="787">
        <v>4</v>
      </c>
      <c r="C9286" s="787" t="s">
        <v>16716</v>
      </c>
      <c r="D9286" s="787">
        <v>7.12</v>
      </c>
      <c r="E9286" s="787">
        <v>17.12</v>
      </c>
      <c r="F9286" s="788">
        <v>41886</v>
      </c>
      <c r="G9286" s="788">
        <v>41886</v>
      </c>
      <c r="H9286" s="787">
        <v>1</v>
      </c>
      <c r="I9286" s="788">
        <v>41865</v>
      </c>
      <c r="J9286" s="788">
        <v>41865</v>
      </c>
      <c r="K9286" s="788">
        <v>41604</v>
      </c>
      <c r="L9286" s="787">
        <v>12</v>
      </c>
      <c r="M9286" s="787">
        <v>10</v>
      </c>
      <c r="N9286" s="787">
        <v>11.4</v>
      </c>
      <c r="O9286" s="788">
        <v>42136</v>
      </c>
    </row>
    <row r="9287" spans="1:15" x14ac:dyDescent="0.25">
      <c r="A9287" s="786" t="s">
        <v>16717</v>
      </c>
      <c r="B9287" s="787">
        <v>4</v>
      </c>
      <c r="C9287" s="787" t="s">
        <v>8646</v>
      </c>
      <c r="D9287" s="787">
        <v>7.05</v>
      </c>
      <c r="E9287" s="787">
        <v>7.05</v>
      </c>
      <c r="F9287" s="788">
        <v>41886</v>
      </c>
      <c r="G9287" s="788">
        <v>41886</v>
      </c>
      <c r="H9287" s="787">
        <v>1</v>
      </c>
      <c r="I9287" s="788">
        <v>41856</v>
      </c>
      <c r="J9287" s="788">
        <v>41831</v>
      </c>
      <c r="K9287" s="788">
        <v>41604</v>
      </c>
      <c r="L9287" s="787">
        <v>12</v>
      </c>
      <c r="M9287" s="787">
        <v>10</v>
      </c>
      <c r="N9287" s="787">
        <v>13.1</v>
      </c>
      <c r="O9287" s="788">
        <v>42136</v>
      </c>
    </row>
    <row r="9288" spans="1:15" x14ac:dyDescent="0.25">
      <c r="A9288" s="786" t="s">
        <v>16718</v>
      </c>
      <c r="B9288" s="787">
        <v>4</v>
      </c>
      <c r="C9288" s="787" t="s">
        <v>10913</v>
      </c>
      <c r="D9288" s="787">
        <v>4.16</v>
      </c>
      <c r="E9288" s="787">
        <v>4.16</v>
      </c>
      <c r="F9288" s="788">
        <v>41886</v>
      </c>
      <c r="G9288" s="788">
        <v>41886</v>
      </c>
      <c r="H9288" s="787">
        <v>1</v>
      </c>
      <c r="I9288" s="788">
        <v>41856</v>
      </c>
      <c r="J9288" s="788">
        <v>41836</v>
      </c>
      <c r="K9288" s="788">
        <v>41604</v>
      </c>
      <c r="L9288" s="787">
        <v>8</v>
      </c>
      <c r="M9288" s="787">
        <v>10</v>
      </c>
      <c r="N9288" s="787">
        <v>5.63</v>
      </c>
      <c r="O9288" s="788">
        <v>42136</v>
      </c>
    </row>
    <row r="9289" spans="1:15" x14ac:dyDescent="0.25">
      <c r="A9289" s="786" t="s">
        <v>16719</v>
      </c>
      <c r="B9289" s="787">
        <v>4</v>
      </c>
      <c r="C9289" s="787" t="s">
        <v>16720</v>
      </c>
      <c r="D9289" s="787">
        <v>5.95</v>
      </c>
      <c r="E9289" s="787">
        <v>5.95</v>
      </c>
      <c r="F9289" s="788">
        <v>41908</v>
      </c>
      <c r="G9289" s="788">
        <v>41908</v>
      </c>
      <c r="H9289" s="787">
        <v>1</v>
      </c>
      <c r="I9289" s="788">
        <v>41856</v>
      </c>
      <c r="J9289" s="788">
        <v>41836</v>
      </c>
      <c r="K9289" s="788">
        <v>41604</v>
      </c>
      <c r="L9289" s="787">
        <v>5</v>
      </c>
      <c r="M9289" s="787">
        <v>10</v>
      </c>
      <c r="N9289" s="787">
        <v>5.42</v>
      </c>
      <c r="O9289" s="788">
        <v>42136</v>
      </c>
    </row>
    <row r="9290" spans="1:15" x14ac:dyDescent="0.25">
      <c r="A9290" s="786" t="s">
        <v>16721</v>
      </c>
      <c r="B9290" s="787">
        <v>4</v>
      </c>
      <c r="C9290" s="787" t="s">
        <v>16722</v>
      </c>
      <c r="D9290" s="787">
        <v>9.81</v>
      </c>
      <c r="E9290" s="787">
        <v>9.81</v>
      </c>
      <c r="F9290" s="788">
        <v>41886</v>
      </c>
      <c r="G9290" s="788">
        <v>41886</v>
      </c>
      <c r="H9290" s="787">
        <v>1</v>
      </c>
      <c r="I9290" s="788">
        <v>41856</v>
      </c>
      <c r="J9290" s="788">
        <v>41836</v>
      </c>
      <c r="K9290" s="788">
        <v>41604</v>
      </c>
      <c r="L9290" s="787">
        <v>5</v>
      </c>
      <c r="M9290" s="787">
        <v>10</v>
      </c>
      <c r="N9290" s="787">
        <v>5.42</v>
      </c>
      <c r="O9290" s="788">
        <v>42136</v>
      </c>
    </row>
    <row r="9291" spans="1:15" x14ac:dyDescent="0.25">
      <c r="A9291" s="786" t="s">
        <v>16723</v>
      </c>
      <c r="B9291" s="787">
        <v>4</v>
      </c>
      <c r="C9291" s="787" t="s">
        <v>16724</v>
      </c>
      <c r="D9291" s="787">
        <v>4.1399999999999997</v>
      </c>
      <c r="E9291" s="787">
        <v>4.1399999999999997</v>
      </c>
      <c r="F9291" s="788">
        <v>41886</v>
      </c>
      <c r="G9291" s="788">
        <v>41886</v>
      </c>
      <c r="H9291" s="787">
        <v>1</v>
      </c>
      <c r="I9291" s="788">
        <v>41865</v>
      </c>
      <c r="J9291" s="788">
        <v>41834</v>
      </c>
      <c r="K9291" s="788">
        <v>41604</v>
      </c>
      <c r="L9291" s="787">
        <v>2.5</v>
      </c>
      <c r="M9291" s="787">
        <v>10</v>
      </c>
      <c r="N9291" s="787">
        <v>3.21</v>
      </c>
      <c r="O9291" s="788">
        <v>42136</v>
      </c>
    </row>
    <row r="9292" spans="1:15" x14ac:dyDescent="0.25">
      <c r="A9292" s="786" t="s">
        <v>16725</v>
      </c>
      <c r="B9292" s="787">
        <v>4</v>
      </c>
      <c r="C9292" s="787" t="s">
        <v>16726</v>
      </c>
      <c r="D9292" s="787">
        <v>0</v>
      </c>
      <c r="E9292" s="787">
        <v>0</v>
      </c>
      <c r="H9292" s="787">
        <v>1</v>
      </c>
      <c r="I9292" s="788">
        <v>41722</v>
      </c>
      <c r="K9292" s="788">
        <v>41604</v>
      </c>
      <c r="L9292" s="787">
        <v>0.5</v>
      </c>
      <c r="M9292" s="787">
        <v>10</v>
      </c>
      <c r="N9292" s="787">
        <v>4.79</v>
      </c>
      <c r="O9292" s="788">
        <v>42136</v>
      </c>
    </row>
    <row r="9293" spans="1:15" x14ac:dyDescent="0.25">
      <c r="A9293" s="786" t="s">
        <v>16727</v>
      </c>
      <c r="B9293" s="787">
        <v>4</v>
      </c>
      <c r="C9293" s="787" t="s">
        <v>16728</v>
      </c>
      <c r="D9293" s="787">
        <v>0</v>
      </c>
      <c r="E9293" s="787">
        <v>0</v>
      </c>
      <c r="H9293" s="787">
        <v>1</v>
      </c>
      <c r="I9293" s="788">
        <v>41722</v>
      </c>
      <c r="K9293" s="788">
        <v>41604</v>
      </c>
      <c r="L9293" s="787">
        <v>0.5</v>
      </c>
      <c r="M9293" s="787">
        <v>10</v>
      </c>
      <c r="N9293" s="787">
        <v>4.79</v>
      </c>
      <c r="O9293" s="788">
        <v>42136</v>
      </c>
    </row>
    <row r="9294" spans="1:15" x14ac:dyDescent="0.25">
      <c r="A9294" s="786" t="s">
        <v>16729</v>
      </c>
      <c r="B9294" s="787">
        <v>4</v>
      </c>
      <c r="C9294" s="787" t="s">
        <v>16730</v>
      </c>
      <c r="D9294" s="787">
        <v>1.75</v>
      </c>
      <c r="E9294" s="787">
        <v>11.75</v>
      </c>
      <c r="F9294" s="788">
        <v>41842</v>
      </c>
      <c r="G9294" s="788">
        <v>41864</v>
      </c>
      <c r="H9294" s="787">
        <v>1</v>
      </c>
      <c r="I9294" s="788">
        <v>41849</v>
      </c>
      <c r="J9294" s="788">
        <v>41848</v>
      </c>
      <c r="K9294" s="788">
        <v>41676</v>
      </c>
      <c r="L9294" s="787">
        <v>11.1</v>
      </c>
      <c r="M9294" s="787">
        <v>20</v>
      </c>
      <c r="N9294" s="787">
        <v>11.93</v>
      </c>
      <c r="O9294" s="788">
        <v>42136</v>
      </c>
    </row>
    <row r="9295" spans="1:15" x14ac:dyDescent="0.25">
      <c r="A9295" s="786" t="s">
        <v>16731</v>
      </c>
      <c r="B9295" s="787">
        <v>4</v>
      </c>
      <c r="C9295" s="787" t="s">
        <v>16732</v>
      </c>
      <c r="D9295" s="787">
        <v>2.4900000000000002</v>
      </c>
      <c r="E9295" s="787">
        <v>12.49</v>
      </c>
      <c r="F9295" s="788">
        <v>41848</v>
      </c>
      <c r="G9295" s="788">
        <v>42013</v>
      </c>
      <c r="H9295" s="787">
        <v>1</v>
      </c>
      <c r="I9295" s="788">
        <v>41670</v>
      </c>
      <c r="J9295" s="788">
        <v>41848</v>
      </c>
      <c r="K9295" s="788">
        <v>41835</v>
      </c>
      <c r="L9295" s="787">
        <v>12.3</v>
      </c>
      <c r="M9295" s="787">
        <v>20</v>
      </c>
      <c r="N9295" s="787">
        <v>13.22</v>
      </c>
      <c r="O9295" s="788">
        <v>42136</v>
      </c>
    </row>
    <row r="9296" spans="1:15" x14ac:dyDescent="0.25">
      <c r="A9296" s="786" t="s">
        <v>16733</v>
      </c>
      <c r="B9296" s="787">
        <v>4</v>
      </c>
      <c r="C9296" s="787" t="s">
        <v>16734</v>
      </c>
      <c r="D9296" s="787">
        <v>5.35</v>
      </c>
      <c r="E9296" s="787">
        <v>5.35</v>
      </c>
      <c r="F9296" s="788">
        <v>41836</v>
      </c>
      <c r="G9296" s="788">
        <v>41869</v>
      </c>
      <c r="H9296" s="787">
        <v>1</v>
      </c>
      <c r="J9296" s="788">
        <v>41837</v>
      </c>
      <c r="K9296" s="788">
        <v>41604</v>
      </c>
      <c r="L9296" s="787">
        <v>10</v>
      </c>
      <c r="M9296" s="787">
        <v>20</v>
      </c>
      <c r="N9296" s="787">
        <v>10.75</v>
      </c>
      <c r="O9296" s="788">
        <v>42136</v>
      </c>
    </row>
    <row r="9297" spans="1:15" x14ac:dyDescent="0.25">
      <c r="A9297" s="786" t="s">
        <v>16735</v>
      </c>
      <c r="B9297" s="787">
        <v>4</v>
      </c>
      <c r="C9297" s="787" t="s">
        <v>16736</v>
      </c>
      <c r="D9297" s="787">
        <v>3.84</v>
      </c>
      <c r="E9297" s="787">
        <v>13.84</v>
      </c>
      <c r="F9297" s="788">
        <v>41886</v>
      </c>
      <c r="G9297" s="788">
        <v>41886</v>
      </c>
      <c r="H9297" s="787">
        <v>1</v>
      </c>
      <c r="I9297" s="788">
        <v>41856</v>
      </c>
      <c r="J9297" s="788">
        <v>41842</v>
      </c>
      <c r="K9297" s="788">
        <v>41604</v>
      </c>
      <c r="L9297" s="787">
        <v>5</v>
      </c>
      <c r="M9297" s="787">
        <v>10</v>
      </c>
      <c r="N9297" s="787">
        <v>22.21</v>
      </c>
      <c r="O9297" s="788">
        <v>42136</v>
      </c>
    </row>
    <row r="9298" spans="1:15" x14ac:dyDescent="0.25">
      <c r="A9298" s="786" t="s">
        <v>16737</v>
      </c>
      <c r="B9298" s="787">
        <v>4</v>
      </c>
      <c r="C9298" s="787" t="s">
        <v>16738</v>
      </c>
      <c r="D9298" s="787">
        <v>2.2599999999999998</v>
      </c>
      <c r="E9298" s="787">
        <v>48.09</v>
      </c>
      <c r="F9298" s="788">
        <v>41775</v>
      </c>
      <c r="G9298" s="788">
        <v>41886</v>
      </c>
      <c r="H9298" s="787">
        <v>1</v>
      </c>
      <c r="I9298" s="788">
        <v>41856</v>
      </c>
      <c r="J9298" s="788">
        <v>41835</v>
      </c>
      <c r="K9298" s="788">
        <v>41655</v>
      </c>
      <c r="L9298" s="787">
        <v>22</v>
      </c>
      <c r="M9298" s="787">
        <v>10</v>
      </c>
      <c r="N9298" s="787">
        <v>47.47</v>
      </c>
      <c r="O9298" s="788">
        <v>42136</v>
      </c>
    </row>
    <row r="9299" spans="1:15" x14ac:dyDescent="0.25">
      <c r="A9299" s="786" t="s">
        <v>16739</v>
      </c>
      <c r="B9299" s="787">
        <v>4</v>
      </c>
      <c r="C9299" s="787" t="s">
        <v>16740</v>
      </c>
      <c r="D9299" s="787">
        <v>0.39</v>
      </c>
      <c r="E9299" s="787">
        <v>0.39</v>
      </c>
      <c r="F9299" s="788">
        <v>41947</v>
      </c>
      <c r="G9299" s="788">
        <v>42013</v>
      </c>
      <c r="H9299" s="787">
        <v>1</v>
      </c>
      <c r="I9299" s="788">
        <v>42166</v>
      </c>
      <c r="J9299" s="788">
        <v>41925</v>
      </c>
      <c r="K9299" s="788">
        <v>41598</v>
      </c>
      <c r="L9299" s="787">
        <v>1</v>
      </c>
      <c r="M9299" s="787">
        <v>10</v>
      </c>
      <c r="N9299" s="787">
        <v>0.99</v>
      </c>
      <c r="O9299" s="788">
        <v>42146</v>
      </c>
    </row>
    <row r="9300" spans="1:15" x14ac:dyDescent="0.25">
      <c r="A9300" s="786" t="s">
        <v>16741</v>
      </c>
      <c r="B9300" s="787">
        <v>4</v>
      </c>
      <c r="C9300" s="787" t="s">
        <v>16742</v>
      </c>
      <c r="D9300" s="787">
        <v>0</v>
      </c>
      <c r="E9300" s="787">
        <v>0</v>
      </c>
      <c r="H9300" s="787">
        <v>1</v>
      </c>
      <c r="L9300" s="787">
        <v>0</v>
      </c>
      <c r="M9300" s="787">
        <v>10</v>
      </c>
      <c r="N9300" s="787">
        <v>0</v>
      </c>
    </row>
    <row r="9301" spans="1:15" x14ac:dyDescent="0.25">
      <c r="A9301" s="786" t="s">
        <v>16743</v>
      </c>
      <c r="B9301" s="787">
        <v>4</v>
      </c>
      <c r="C9301" s="787" t="s">
        <v>16744</v>
      </c>
      <c r="D9301" s="787">
        <v>0</v>
      </c>
      <c r="E9301" s="787">
        <v>0</v>
      </c>
      <c r="H9301" s="787">
        <v>1</v>
      </c>
      <c r="I9301" s="788">
        <v>41927</v>
      </c>
      <c r="L9301" s="787">
        <v>0</v>
      </c>
      <c r="M9301" s="787">
        <v>10</v>
      </c>
      <c r="N9301" s="787">
        <v>0</v>
      </c>
    </row>
    <row r="9302" spans="1:15" x14ac:dyDescent="0.25">
      <c r="A9302" s="786" t="s">
        <v>16745</v>
      </c>
      <c r="B9302" s="787">
        <v>4</v>
      </c>
      <c r="C9302" s="787" t="s">
        <v>16746</v>
      </c>
      <c r="D9302" s="787">
        <v>0.37</v>
      </c>
      <c r="E9302" s="787">
        <v>0.49</v>
      </c>
      <c r="F9302" s="788">
        <v>41806</v>
      </c>
      <c r="G9302" s="788">
        <v>42143</v>
      </c>
      <c r="H9302" s="787">
        <v>1</v>
      </c>
      <c r="I9302" s="788">
        <v>42166</v>
      </c>
      <c r="J9302" s="788">
        <v>42143</v>
      </c>
      <c r="K9302" s="788">
        <v>41618</v>
      </c>
      <c r="L9302" s="787">
        <v>1.5</v>
      </c>
      <c r="M9302" s="787">
        <v>10</v>
      </c>
      <c r="N9302" s="787">
        <v>2.16</v>
      </c>
      <c r="O9302" s="788">
        <v>42156</v>
      </c>
    </row>
    <row r="9303" spans="1:15" x14ac:dyDescent="0.25">
      <c r="A9303" s="786" t="s">
        <v>16747</v>
      </c>
      <c r="B9303" s="787">
        <v>4</v>
      </c>
      <c r="C9303" s="787" t="s">
        <v>16748</v>
      </c>
      <c r="D9303" s="787">
        <v>0.42</v>
      </c>
      <c r="E9303" s="787">
        <v>1.3</v>
      </c>
      <c r="F9303" s="788">
        <v>42051</v>
      </c>
      <c r="G9303" s="788">
        <v>42156</v>
      </c>
      <c r="H9303" s="787">
        <v>1</v>
      </c>
      <c r="I9303" s="788">
        <v>42166</v>
      </c>
      <c r="J9303" s="788">
        <v>42150</v>
      </c>
      <c r="K9303" s="788">
        <v>41618</v>
      </c>
      <c r="L9303" s="787">
        <v>2</v>
      </c>
      <c r="M9303" s="787">
        <v>10</v>
      </c>
      <c r="N9303" s="787">
        <v>1.9</v>
      </c>
      <c r="O9303" s="788">
        <v>42156</v>
      </c>
    </row>
    <row r="9304" spans="1:15" x14ac:dyDescent="0.25">
      <c r="A9304" s="786" t="s">
        <v>16749</v>
      </c>
      <c r="B9304" s="787">
        <v>4</v>
      </c>
      <c r="C9304" s="787" t="s">
        <v>16750</v>
      </c>
      <c r="D9304" s="787">
        <v>0.3</v>
      </c>
      <c r="E9304" s="787">
        <v>0.3</v>
      </c>
      <c r="F9304" s="788">
        <v>41907</v>
      </c>
      <c r="G9304" s="788">
        <v>42013</v>
      </c>
      <c r="H9304" s="787">
        <v>1</v>
      </c>
      <c r="I9304" s="788">
        <v>42089</v>
      </c>
      <c r="J9304" s="788">
        <v>41880</v>
      </c>
      <c r="K9304" s="788">
        <v>41619</v>
      </c>
      <c r="L9304" s="787">
        <v>1</v>
      </c>
      <c r="M9304" s="787">
        <v>10</v>
      </c>
      <c r="N9304" s="787">
        <v>2.2799999999999998</v>
      </c>
      <c r="O9304" s="788">
        <v>41858</v>
      </c>
    </row>
    <row r="9305" spans="1:15" x14ac:dyDescent="0.25">
      <c r="A9305" s="786" t="s">
        <v>16751</v>
      </c>
      <c r="B9305" s="787">
        <v>4</v>
      </c>
      <c r="C9305" s="787" t="s">
        <v>16746</v>
      </c>
      <c r="D9305" s="787">
        <v>0.3</v>
      </c>
      <c r="E9305" s="787">
        <v>0.66</v>
      </c>
      <c r="F9305" s="788">
        <v>41775</v>
      </c>
      <c r="G9305" s="788">
        <v>42065</v>
      </c>
      <c r="H9305" s="787">
        <v>1</v>
      </c>
      <c r="I9305" s="788">
        <v>42164</v>
      </c>
      <c r="J9305" s="788">
        <v>42034</v>
      </c>
      <c r="K9305" s="788">
        <v>41649</v>
      </c>
      <c r="L9305" s="787">
        <v>3.17</v>
      </c>
      <c r="M9305" s="787">
        <v>10</v>
      </c>
      <c r="N9305" s="787">
        <v>3.03</v>
      </c>
      <c r="O9305" s="788">
        <v>42146</v>
      </c>
    </row>
    <row r="9306" spans="1:15" x14ac:dyDescent="0.25">
      <c r="A9306" s="786" t="s">
        <v>16752</v>
      </c>
      <c r="B9306" s="787">
        <v>4</v>
      </c>
      <c r="C9306" s="787" t="s">
        <v>16753</v>
      </c>
      <c r="D9306" s="787">
        <v>0.75</v>
      </c>
      <c r="E9306" s="787">
        <v>1.33</v>
      </c>
      <c r="F9306" s="788">
        <v>41775</v>
      </c>
      <c r="G9306" s="788">
        <v>42020</v>
      </c>
      <c r="H9306" s="787">
        <v>1</v>
      </c>
      <c r="I9306" s="788">
        <v>41890</v>
      </c>
      <c r="J9306" s="788">
        <v>41991</v>
      </c>
      <c r="K9306" s="788">
        <v>41589</v>
      </c>
      <c r="L9306" s="787">
        <v>5</v>
      </c>
      <c r="M9306" s="787">
        <v>10</v>
      </c>
      <c r="N9306" s="787">
        <v>1.83</v>
      </c>
      <c r="O9306" s="788">
        <v>41858</v>
      </c>
    </row>
    <row r="9307" spans="1:15" x14ac:dyDescent="0.25">
      <c r="A9307" s="786" t="s">
        <v>16754</v>
      </c>
      <c r="B9307" s="787">
        <v>4</v>
      </c>
      <c r="C9307" s="787" t="s">
        <v>16755</v>
      </c>
      <c r="D9307" s="787">
        <v>2.64</v>
      </c>
      <c r="E9307" s="787">
        <v>54.66</v>
      </c>
      <c r="F9307" s="788">
        <v>41813</v>
      </c>
      <c r="G9307" s="788">
        <v>42157</v>
      </c>
      <c r="H9307" s="787">
        <v>1</v>
      </c>
      <c r="I9307" s="788">
        <v>42102</v>
      </c>
      <c r="J9307" s="788">
        <v>42157</v>
      </c>
      <c r="K9307" s="788">
        <v>41856</v>
      </c>
      <c r="L9307" s="787">
        <v>58.5</v>
      </c>
      <c r="M9307" s="787">
        <v>10</v>
      </c>
      <c r="N9307" s="787">
        <v>58.77</v>
      </c>
      <c r="O9307" s="788">
        <v>42146</v>
      </c>
    </row>
    <row r="9308" spans="1:15" x14ac:dyDescent="0.25">
      <c r="A9308" s="786" t="s">
        <v>16756</v>
      </c>
      <c r="B9308" s="787">
        <v>4</v>
      </c>
      <c r="C9308" s="787" t="s">
        <v>16757</v>
      </c>
      <c r="D9308" s="787">
        <v>4.62</v>
      </c>
      <c r="E9308" s="787">
        <v>6.87</v>
      </c>
      <c r="F9308" s="788">
        <v>41857</v>
      </c>
      <c r="G9308" s="788">
        <v>41886</v>
      </c>
      <c r="H9308" s="787">
        <v>1</v>
      </c>
      <c r="I9308" s="788">
        <v>41845</v>
      </c>
      <c r="J9308" s="788">
        <v>41843</v>
      </c>
      <c r="K9308" s="788">
        <v>41598</v>
      </c>
      <c r="L9308" s="787">
        <v>5</v>
      </c>
      <c r="M9308" s="787">
        <v>10</v>
      </c>
      <c r="N9308" s="787">
        <v>19.3</v>
      </c>
      <c r="O9308" s="788">
        <v>42136</v>
      </c>
    </row>
    <row r="9309" spans="1:15" x14ac:dyDescent="0.25">
      <c r="A9309" s="786" t="s">
        <v>16758</v>
      </c>
      <c r="B9309" s="787">
        <v>4</v>
      </c>
      <c r="C9309" s="787" t="s">
        <v>16759</v>
      </c>
      <c r="D9309" s="787">
        <v>1.2</v>
      </c>
      <c r="E9309" s="787">
        <v>1.2</v>
      </c>
      <c r="F9309" s="788">
        <v>41886</v>
      </c>
      <c r="G9309" s="788">
        <v>41886</v>
      </c>
      <c r="H9309" s="787">
        <v>1</v>
      </c>
      <c r="I9309" s="788">
        <v>41842</v>
      </c>
      <c r="J9309" s="788">
        <v>41841</v>
      </c>
      <c r="K9309" s="788">
        <v>41604</v>
      </c>
      <c r="L9309" s="787">
        <v>2</v>
      </c>
      <c r="M9309" s="787">
        <v>10</v>
      </c>
      <c r="N9309" s="787">
        <v>5.08</v>
      </c>
      <c r="O9309" s="788">
        <v>42136</v>
      </c>
    </row>
    <row r="9310" spans="1:15" x14ac:dyDescent="0.25">
      <c r="A9310" s="786" t="s">
        <v>16760</v>
      </c>
      <c r="B9310" s="787">
        <v>4</v>
      </c>
      <c r="C9310" s="787" t="s">
        <v>16761</v>
      </c>
      <c r="D9310" s="787">
        <v>0.15</v>
      </c>
      <c r="E9310" s="787">
        <v>2.17</v>
      </c>
      <c r="F9310" s="788">
        <v>42018</v>
      </c>
      <c r="G9310" s="788">
        <v>42160</v>
      </c>
      <c r="H9310" s="787">
        <v>1</v>
      </c>
      <c r="I9310" s="788">
        <v>42166</v>
      </c>
      <c r="J9310" s="788">
        <v>42160</v>
      </c>
      <c r="K9310" s="788">
        <v>41618</v>
      </c>
      <c r="L9310" s="787">
        <v>2</v>
      </c>
      <c r="M9310" s="787">
        <v>10</v>
      </c>
      <c r="N9310" s="787">
        <v>2.33</v>
      </c>
      <c r="O9310" s="788">
        <v>42146</v>
      </c>
    </row>
    <row r="9311" spans="1:15" x14ac:dyDescent="0.25">
      <c r="A9311" s="786" t="s">
        <v>16762</v>
      </c>
      <c r="B9311" s="787">
        <v>4</v>
      </c>
      <c r="C9311" s="787" t="s">
        <v>16750</v>
      </c>
      <c r="D9311" s="787">
        <v>1.3</v>
      </c>
      <c r="E9311" s="787">
        <v>1.3</v>
      </c>
      <c r="F9311" s="788">
        <v>41813</v>
      </c>
      <c r="G9311" s="788">
        <v>42013</v>
      </c>
      <c r="H9311" s="787">
        <v>1</v>
      </c>
      <c r="I9311" s="788">
        <v>42116</v>
      </c>
      <c r="J9311" s="788">
        <v>41627</v>
      </c>
      <c r="K9311" s="788">
        <v>41619</v>
      </c>
      <c r="L9311" s="787">
        <v>1</v>
      </c>
      <c r="M9311" s="787">
        <v>10</v>
      </c>
      <c r="N9311" s="787">
        <v>2.2799999999999998</v>
      </c>
      <c r="O9311" s="788">
        <v>41858</v>
      </c>
    </row>
    <row r="9312" spans="1:15" x14ac:dyDescent="0.25">
      <c r="A9312" s="786" t="s">
        <v>16763</v>
      </c>
      <c r="B9312" s="787">
        <v>4</v>
      </c>
      <c r="C9312" s="787" t="s">
        <v>16764</v>
      </c>
      <c r="D9312" s="787">
        <v>4.41</v>
      </c>
      <c r="E9312" s="787">
        <v>4.7699999999999996</v>
      </c>
      <c r="F9312" s="788">
        <v>41775</v>
      </c>
      <c r="G9312" s="788">
        <v>41886</v>
      </c>
      <c r="H9312" s="787">
        <v>1</v>
      </c>
      <c r="I9312" s="788">
        <v>41842</v>
      </c>
      <c r="J9312" s="788">
        <v>41842</v>
      </c>
      <c r="L9312" s="787">
        <v>0.5</v>
      </c>
      <c r="M9312" s="787">
        <v>10</v>
      </c>
      <c r="N9312" s="787">
        <v>1.98</v>
      </c>
      <c r="O9312" s="788">
        <v>42136</v>
      </c>
    </row>
    <row r="9313" spans="1:15" x14ac:dyDescent="0.25">
      <c r="A9313" s="786" t="s">
        <v>16765</v>
      </c>
      <c r="B9313" s="787">
        <v>4</v>
      </c>
      <c r="C9313" s="787" t="s">
        <v>16766</v>
      </c>
      <c r="D9313" s="787">
        <v>0.34</v>
      </c>
      <c r="E9313" s="787">
        <v>0.34</v>
      </c>
      <c r="F9313" s="788">
        <v>41886</v>
      </c>
      <c r="G9313" s="788">
        <v>41886</v>
      </c>
      <c r="H9313" s="787">
        <v>1</v>
      </c>
      <c r="I9313" s="788">
        <v>41842</v>
      </c>
      <c r="J9313" s="788">
        <v>41842</v>
      </c>
      <c r="L9313" s="787">
        <v>0.5</v>
      </c>
      <c r="M9313" s="787">
        <v>10</v>
      </c>
      <c r="N9313" s="787">
        <v>1.98</v>
      </c>
      <c r="O9313" s="788">
        <v>42136</v>
      </c>
    </row>
    <row r="9314" spans="1:15" x14ac:dyDescent="0.25">
      <c r="A9314" s="786" t="s">
        <v>16767</v>
      </c>
      <c r="B9314" s="787">
        <v>4</v>
      </c>
      <c r="C9314" s="787" t="s">
        <v>16768</v>
      </c>
      <c r="D9314" s="787">
        <v>0.34</v>
      </c>
      <c r="E9314" s="787">
        <v>0.34</v>
      </c>
      <c r="F9314" s="788">
        <v>41886</v>
      </c>
      <c r="G9314" s="788">
        <v>41886</v>
      </c>
      <c r="H9314" s="787">
        <v>1</v>
      </c>
      <c r="I9314" s="788">
        <v>41842</v>
      </c>
      <c r="J9314" s="788">
        <v>41842</v>
      </c>
      <c r="L9314" s="787">
        <v>0.5</v>
      </c>
      <c r="M9314" s="787">
        <v>10</v>
      </c>
      <c r="N9314" s="787">
        <v>1.98</v>
      </c>
      <c r="O9314" s="788">
        <v>42136</v>
      </c>
    </row>
    <row r="9315" spans="1:15" x14ac:dyDescent="0.25">
      <c r="A9315" s="786" t="s">
        <v>16769</v>
      </c>
      <c r="B9315" s="787">
        <v>4</v>
      </c>
      <c r="C9315" s="787" t="s">
        <v>16770</v>
      </c>
      <c r="D9315" s="787">
        <v>0.34</v>
      </c>
      <c r="E9315" s="787">
        <v>0.34</v>
      </c>
      <c r="F9315" s="788">
        <v>41886</v>
      </c>
      <c r="G9315" s="788">
        <v>41886</v>
      </c>
      <c r="H9315" s="787">
        <v>1</v>
      </c>
      <c r="I9315" s="788">
        <v>41842</v>
      </c>
      <c r="J9315" s="788">
        <v>41842</v>
      </c>
      <c r="L9315" s="787">
        <v>0.5</v>
      </c>
      <c r="M9315" s="787">
        <v>10</v>
      </c>
      <c r="N9315" s="787">
        <v>1.98</v>
      </c>
      <c r="O9315" s="788">
        <v>42136</v>
      </c>
    </row>
    <row r="9316" spans="1:15" x14ac:dyDescent="0.25">
      <c r="A9316" s="786" t="s">
        <v>16771</v>
      </c>
      <c r="B9316" s="787">
        <v>4</v>
      </c>
      <c r="C9316" s="787" t="s">
        <v>16772</v>
      </c>
      <c r="D9316" s="787">
        <v>0.34</v>
      </c>
      <c r="E9316" s="787">
        <v>0.34</v>
      </c>
      <c r="F9316" s="788">
        <v>41886</v>
      </c>
      <c r="G9316" s="788">
        <v>41886</v>
      </c>
      <c r="H9316" s="787">
        <v>1</v>
      </c>
      <c r="I9316" s="788">
        <v>41842</v>
      </c>
      <c r="J9316" s="788">
        <v>41842</v>
      </c>
      <c r="L9316" s="787">
        <v>0.5</v>
      </c>
      <c r="M9316" s="787">
        <v>10</v>
      </c>
      <c r="N9316" s="787">
        <v>1.98</v>
      </c>
      <c r="O9316" s="788">
        <v>42136</v>
      </c>
    </row>
    <row r="9317" spans="1:15" x14ac:dyDescent="0.25">
      <c r="A9317" s="786" t="s">
        <v>16773</v>
      </c>
      <c r="B9317" s="787">
        <v>4</v>
      </c>
      <c r="C9317" s="787" t="s">
        <v>16774</v>
      </c>
      <c r="D9317" s="787">
        <v>0</v>
      </c>
      <c r="E9317" s="787">
        <v>0</v>
      </c>
      <c r="H9317" s="787">
        <v>1</v>
      </c>
      <c r="I9317" s="788">
        <v>41780</v>
      </c>
      <c r="K9317" s="788">
        <v>41617</v>
      </c>
      <c r="L9317" s="787">
        <v>2.5</v>
      </c>
      <c r="M9317" s="787">
        <v>10</v>
      </c>
      <c r="N9317" s="787">
        <v>12.29</v>
      </c>
      <c r="O9317" s="788">
        <v>41858</v>
      </c>
    </row>
    <row r="9318" spans="1:15" x14ac:dyDescent="0.25">
      <c r="A9318" s="786" t="s">
        <v>16775</v>
      </c>
      <c r="B9318" s="787">
        <v>4</v>
      </c>
      <c r="C9318" s="787" t="s">
        <v>11581</v>
      </c>
      <c r="D9318" s="787">
        <v>0</v>
      </c>
      <c r="E9318" s="787">
        <v>0</v>
      </c>
      <c r="H9318" s="787">
        <v>1</v>
      </c>
      <c r="I9318" s="788">
        <v>41670</v>
      </c>
      <c r="K9318" s="788">
        <v>41617</v>
      </c>
      <c r="L9318" s="787">
        <v>2.5</v>
      </c>
      <c r="M9318" s="787">
        <v>10</v>
      </c>
      <c r="N9318" s="787">
        <v>12.29</v>
      </c>
      <c r="O9318" s="788">
        <v>41858</v>
      </c>
    </row>
    <row r="9319" spans="1:15" x14ac:dyDescent="0.25">
      <c r="A9319" s="786" t="s">
        <v>628</v>
      </c>
      <c r="B9319" s="787">
        <v>4</v>
      </c>
      <c r="C9319" s="787" t="s">
        <v>16776</v>
      </c>
      <c r="D9319" s="787">
        <v>0</v>
      </c>
      <c r="E9319" s="787">
        <v>0</v>
      </c>
      <c r="H9319" s="787">
        <v>1</v>
      </c>
      <c r="I9319" s="788">
        <v>42166</v>
      </c>
      <c r="L9319" s="787">
        <v>0.1</v>
      </c>
      <c r="M9319" s="787">
        <v>20</v>
      </c>
      <c r="N9319" s="787">
        <v>0.11</v>
      </c>
      <c r="O9319" s="788">
        <v>42136</v>
      </c>
    </row>
    <row r="9320" spans="1:15" x14ac:dyDescent="0.25">
      <c r="A9320" s="786" t="s">
        <v>16777</v>
      </c>
      <c r="B9320" s="787">
        <v>4</v>
      </c>
      <c r="C9320" s="787" t="s">
        <v>13749</v>
      </c>
      <c r="D9320" s="787">
        <v>0</v>
      </c>
      <c r="E9320" s="787">
        <v>0</v>
      </c>
      <c r="H9320" s="787">
        <v>1</v>
      </c>
      <c r="I9320" s="788">
        <v>41670</v>
      </c>
      <c r="K9320" s="788">
        <v>41617</v>
      </c>
      <c r="L9320" s="787">
        <v>2.5</v>
      </c>
      <c r="M9320" s="787">
        <v>10</v>
      </c>
      <c r="N9320" s="787">
        <v>12.29</v>
      </c>
      <c r="O9320" s="788">
        <v>41858</v>
      </c>
    </row>
    <row r="9321" spans="1:15" x14ac:dyDescent="0.25">
      <c r="A9321" s="786" t="s">
        <v>16778</v>
      </c>
      <c r="B9321" s="787">
        <v>4</v>
      </c>
      <c r="C9321" s="787" t="s">
        <v>9502</v>
      </c>
      <c r="D9321" s="787">
        <v>0</v>
      </c>
      <c r="E9321" s="787">
        <v>0</v>
      </c>
      <c r="H9321" s="787">
        <v>1</v>
      </c>
      <c r="K9321" s="788">
        <v>41617</v>
      </c>
      <c r="L9321" s="787">
        <v>1</v>
      </c>
      <c r="M9321" s="787">
        <v>10</v>
      </c>
      <c r="N9321" s="787">
        <v>4.82</v>
      </c>
      <c r="O9321" s="788">
        <v>41858</v>
      </c>
    </row>
    <row r="9322" spans="1:15" x14ac:dyDescent="0.25">
      <c r="A9322" s="786" t="s">
        <v>16779</v>
      </c>
      <c r="B9322" s="787">
        <v>4</v>
      </c>
      <c r="C9322" s="787" t="s">
        <v>16780</v>
      </c>
      <c r="D9322" s="787">
        <v>0</v>
      </c>
      <c r="E9322" s="787">
        <v>0</v>
      </c>
      <c r="H9322" s="787">
        <v>1</v>
      </c>
      <c r="K9322" s="788">
        <v>41617</v>
      </c>
      <c r="L9322" s="787">
        <v>3.5</v>
      </c>
      <c r="M9322" s="787">
        <v>10</v>
      </c>
      <c r="N9322" s="787">
        <v>11.72</v>
      </c>
      <c r="O9322" s="788">
        <v>41858</v>
      </c>
    </row>
    <row r="9323" spans="1:15" x14ac:dyDescent="0.25">
      <c r="A9323" s="786" t="s">
        <v>16781</v>
      </c>
      <c r="B9323" s="787">
        <v>4</v>
      </c>
      <c r="C9323" s="787" t="s">
        <v>16782</v>
      </c>
      <c r="D9323" s="787">
        <v>0</v>
      </c>
      <c r="E9323" s="787">
        <v>0</v>
      </c>
      <c r="H9323" s="787">
        <v>1</v>
      </c>
      <c r="I9323" s="788">
        <v>42152</v>
      </c>
      <c r="K9323" s="788">
        <v>41709</v>
      </c>
      <c r="L9323" s="787">
        <v>5</v>
      </c>
      <c r="M9323" s="787">
        <v>10</v>
      </c>
      <c r="N9323" s="787">
        <v>3.87</v>
      </c>
      <c r="O9323" s="788">
        <v>41858</v>
      </c>
    </row>
    <row r="9324" spans="1:15" x14ac:dyDescent="0.25">
      <c r="A9324" s="786" t="s">
        <v>16783</v>
      </c>
      <c r="B9324" s="787">
        <v>4</v>
      </c>
      <c r="C9324" s="787" t="s">
        <v>16784</v>
      </c>
      <c r="D9324" s="787">
        <v>0</v>
      </c>
      <c r="E9324" s="787">
        <v>0</v>
      </c>
      <c r="H9324" s="787">
        <v>1</v>
      </c>
      <c r="I9324" s="788">
        <v>42152</v>
      </c>
      <c r="K9324" s="788">
        <v>41709</v>
      </c>
      <c r="L9324" s="787">
        <v>3</v>
      </c>
      <c r="M9324" s="787">
        <v>10</v>
      </c>
      <c r="N9324" s="787">
        <v>2.3199999999999998</v>
      </c>
      <c r="O9324" s="788">
        <v>41858</v>
      </c>
    </row>
    <row r="9325" spans="1:15" x14ac:dyDescent="0.25">
      <c r="A9325" s="786" t="s">
        <v>16785</v>
      </c>
      <c r="B9325" s="787">
        <v>4</v>
      </c>
      <c r="C9325" s="787" t="s">
        <v>16786</v>
      </c>
      <c r="D9325" s="787">
        <v>0</v>
      </c>
      <c r="E9325" s="787">
        <v>0</v>
      </c>
      <c r="H9325" s="787">
        <v>1</v>
      </c>
      <c r="L9325" s="787">
        <v>0</v>
      </c>
      <c r="M9325" s="787">
        <v>10</v>
      </c>
      <c r="N9325" s="787">
        <v>0</v>
      </c>
    </row>
    <row r="9326" spans="1:15" x14ac:dyDescent="0.25">
      <c r="A9326" s="786" t="s">
        <v>16787</v>
      </c>
      <c r="B9326" s="787">
        <v>4</v>
      </c>
      <c r="C9326" s="787" t="s">
        <v>16788</v>
      </c>
      <c r="D9326" s="787">
        <v>0.5</v>
      </c>
      <c r="E9326" s="787">
        <v>2.31</v>
      </c>
      <c r="F9326" s="788">
        <v>41775</v>
      </c>
      <c r="G9326" s="788">
        <v>42102</v>
      </c>
      <c r="H9326" s="787">
        <v>1</v>
      </c>
      <c r="I9326" s="788">
        <v>42152</v>
      </c>
      <c r="J9326" s="788">
        <v>42072</v>
      </c>
      <c r="K9326" s="788">
        <v>41709</v>
      </c>
      <c r="L9326" s="787">
        <v>5</v>
      </c>
      <c r="M9326" s="787">
        <v>10</v>
      </c>
      <c r="N9326" s="787">
        <v>4.4400000000000004</v>
      </c>
      <c r="O9326" s="788">
        <v>42146</v>
      </c>
    </row>
    <row r="9327" spans="1:15" x14ac:dyDescent="0.25">
      <c r="A9327" s="786" t="s">
        <v>16789</v>
      </c>
      <c r="B9327" s="787">
        <v>4</v>
      </c>
      <c r="C9327" s="787" t="s">
        <v>16790</v>
      </c>
      <c r="D9327" s="787">
        <v>0</v>
      </c>
      <c r="E9327" s="787">
        <v>0</v>
      </c>
      <c r="H9327" s="787">
        <v>6</v>
      </c>
      <c r="I9327" s="788">
        <v>41708</v>
      </c>
      <c r="K9327" s="788">
        <v>41669</v>
      </c>
      <c r="L9327" s="787">
        <v>1</v>
      </c>
      <c r="M9327" s="787">
        <v>10</v>
      </c>
      <c r="N9327" s="787">
        <v>0</v>
      </c>
    </row>
    <row r="9328" spans="1:15" x14ac:dyDescent="0.25">
      <c r="A9328" s="786" t="s">
        <v>16791</v>
      </c>
      <c r="B9328" s="787">
        <v>4</v>
      </c>
      <c r="C9328" s="787" t="s">
        <v>16792</v>
      </c>
      <c r="D9328" s="787">
        <v>0.71</v>
      </c>
      <c r="E9328" s="787">
        <v>6.71</v>
      </c>
      <c r="F9328" s="788">
        <v>41920</v>
      </c>
      <c r="G9328" s="788">
        <v>42114</v>
      </c>
      <c r="H9328" s="787">
        <v>1</v>
      </c>
      <c r="I9328" s="788">
        <v>42152</v>
      </c>
      <c r="J9328" s="788">
        <v>42081</v>
      </c>
      <c r="K9328" s="788">
        <v>41669</v>
      </c>
      <c r="L9328" s="787">
        <v>1</v>
      </c>
      <c r="M9328" s="787">
        <v>10</v>
      </c>
      <c r="N9328" s="787">
        <v>3.77</v>
      </c>
      <c r="O9328" s="788">
        <v>42146</v>
      </c>
    </row>
    <row r="9329" spans="1:15" x14ac:dyDescent="0.25">
      <c r="A9329" s="786" t="s">
        <v>16793</v>
      </c>
      <c r="B9329" s="787">
        <v>4</v>
      </c>
      <c r="C9329" s="787" t="s">
        <v>16794</v>
      </c>
      <c r="D9329" s="787">
        <v>0</v>
      </c>
      <c r="E9329" s="787">
        <v>0</v>
      </c>
      <c r="H9329" s="787">
        <v>1</v>
      </c>
      <c r="I9329" s="788">
        <v>42152</v>
      </c>
      <c r="K9329" s="788">
        <v>41709</v>
      </c>
      <c r="L9329" s="787">
        <v>1</v>
      </c>
      <c r="M9329" s="787">
        <v>10</v>
      </c>
      <c r="N9329" s="787">
        <v>0.31</v>
      </c>
      <c r="O9329" s="788">
        <v>41858</v>
      </c>
    </row>
    <row r="9330" spans="1:15" x14ac:dyDescent="0.25">
      <c r="A9330" s="786" t="s">
        <v>16795</v>
      </c>
      <c r="B9330" s="787">
        <v>4</v>
      </c>
      <c r="C9330" s="787" t="s">
        <v>16796</v>
      </c>
      <c r="D9330" s="787">
        <v>0</v>
      </c>
      <c r="E9330" s="787">
        <v>0</v>
      </c>
      <c r="H9330" s="787">
        <v>1</v>
      </c>
      <c r="I9330" s="788">
        <v>42152</v>
      </c>
      <c r="K9330" s="788">
        <v>41709</v>
      </c>
      <c r="L9330" s="787">
        <v>1</v>
      </c>
      <c r="M9330" s="787">
        <v>10</v>
      </c>
      <c r="N9330" s="787">
        <v>0.31</v>
      </c>
      <c r="O9330" s="788">
        <v>42146</v>
      </c>
    </row>
    <row r="9331" spans="1:15" x14ac:dyDescent="0.25">
      <c r="A9331" s="786" t="s">
        <v>16797</v>
      </c>
      <c r="B9331" s="787">
        <v>4</v>
      </c>
      <c r="C9331" s="787" t="s">
        <v>16798</v>
      </c>
      <c r="D9331" s="787">
        <v>0.96</v>
      </c>
      <c r="E9331" s="787">
        <v>0.98</v>
      </c>
      <c r="F9331" s="788">
        <v>41775</v>
      </c>
      <c r="G9331" s="788">
        <v>42114</v>
      </c>
      <c r="H9331" s="787">
        <v>1</v>
      </c>
      <c r="I9331" s="788">
        <v>42152</v>
      </c>
      <c r="J9331" s="788">
        <v>42087</v>
      </c>
      <c r="K9331" s="788">
        <v>41669</v>
      </c>
      <c r="L9331" s="787">
        <v>1.5</v>
      </c>
      <c r="M9331" s="787">
        <v>10</v>
      </c>
      <c r="N9331" s="787">
        <v>3.18</v>
      </c>
      <c r="O9331" s="788">
        <v>42146</v>
      </c>
    </row>
    <row r="9332" spans="1:15" x14ac:dyDescent="0.25">
      <c r="A9332" s="786" t="s">
        <v>16799</v>
      </c>
      <c r="B9332" s="787">
        <v>4</v>
      </c>
      <c r="C9332" s="787" t="s">
        <v>16800</v>
      </c>
      <c r="D9332" s="787">
        <v>0.59</v>
      </c>
      <c r="E9332" s="787">
        <v>0.6</v>
      </c>
      <c r="F9332" s="788">
        <v>41775</v>
      </c>
      <c r="G9332" s="788">
        <v>42163</v>
      </c>
      <c r="H9332" s="787">
        <v>1</v>
      </c>
      <c r="I9332" s="788">
        <v>42152</v>
      </c>
      <c r="J9332" s="788">
        <v>42136</v>
      </c>
      <c r="K9332" s="788">
        <v>41669</v>
      </c>
      <c r="L9332" s="787">
        <v>1</v>
      </c>
      <c r="M9332" s="787">
        <v>10</v>
      </c>
      <c r="N9332" s="787">
        <v>3.04</v>
      </c>
      <c r="O9332" s="788">
        <v>42146</v>
      </c>
    </row>
    <row r="9333" spans="1:15" x14ac:dyDescent="0.25">
      <c r="A9333" s="786" t="s">
        <v>16801</v>
      </c>
      <c r="B9333" s="787">
        <v>4</v>
      </c>
      <c r="C9333" s="787" t="s">
        <v>16802</v>
      </c>
      <c r="D9333" s="787">
        <v>1.34</v>
      </c>
      <c r="E9333" s="787">
        <v>1.97</v>
      </c>
      <c r="F9333" s="788">
        <v>41743</v>
      </c>
      <c r="G9333" s="788">
        <v>42156</v>
      </c>
      <c r="H9333" s="787">
        <v>1</v>
      </c>
      <c r="I9333" s="788">
        <v>42152</v>
      </c>
      <c r="J9333" s="788">
        <v>42145</v>
      </c>
      <c r="K9333" s="788">
        <v>41660</v>
      </c>
      <c r="L9333" s="787">
        <v>1.75</v>
      </c>
      <c r="M9333" s="787">
        <v>20</v>
      </c>
      <c r="N9333" s="787">
        <v>1.88</v>
      </c>
      <c r="O9333" s="788">
        <v>42146</v>
      </c>
    </row>
    <row r="9334" spans="1:15" x14ac:dyDescent="0.25">
      <c r="A9334" s="786" t="s">
        <v>16803</v>
      </c>
      <c r="B9334" s="787">
        <v>4</v>
      </c>
      <c r="C9334" s="787" t="s">
        <v>16804</v>
      </c>
      <c r="D9334" s="787">
        <v>0.24</v>
      </c>
      <c r="E9334" s="787">
        <v>1.28</v>
      </c>
      <c r="F9334" s="788">
        <v>41775</v>
      </c>
      <c r="G9334" s="788">
        <v>42118</v>
      </c>
      <c r="H9334" s="787">
        <v>1</v>
      </c>
      <c r="I9334" s="788">
        <v>42136</v>
      </c>
      <c r="J9334" s="788">
        <v>42088</v>
      </c>
      <c r="K9334" s="788">
        <v>41669</v>
      </c>
      <c r="L9334" s="787">
        <v>0.7</v>
      </c>
      <c r="M9334" s="787">
        <v>10</v>
      </c>
      <c r="N9334" s="787">
        <v>1.89</v>
      </c>
      <c r="O9334" s="788">
        <v>42146</v>
      </c>
    </row>
    <row r="9335" spans="1:15" x14ac:dyDescent="0.25">
      <c r="A9335" s="786" t="s">
        <v>16805</v>
      </c>
      <c r="B9335" s="787">
        <v>4</v>
      </c>
      <c r="C9335" s="787" t="s">
        <v>16806</v>
      </c>
      <c r="D9335" s="787">
        <v>0.14000000000000001</v>
      </c>
      <c r="E9335" s="787">
        <v>0.66</v>
      </c>
      <c r="F9335" s="788">
        <v>41813</v>
      </c>
      <c r="G9335" s="788">
        <v>42118</v>
      </c>
      <c r="H9335" s="787">
        <v>1</v>
      </c>
      <c r="I9335" s="788">
        <v>42136</v>
      </c>
      <c r="J9335" s="788">
        <v>42088</v>
      </c>
      <c r="K9335" s="788">
        <v>41669</v>
      </c>
      <c r="L9335" s="787">
        <v>0.5</v>
      </c>
      <c r="M9335" s="787">
        <v>10</v>
      </c>
      <c r="N9335" s="787">
        <v>1.89</v>
      </c>
      <c r="O9335" s="788">
        <v>42146</v>
      </c>
    </row>
    <row r="9336" spans="1:15" x14ac:dyDescent="0.25">
      <c r="A9336" s="786" t="s">
        <v>16807</v>
      </c>
      <c r="B9336" s="787">
        <v>4</v>
      </c>
      <c r="C9336" s="787" t="s">
        <v>16808</v>
      </c>
      <c r="D9336" s="787">
        <v>1.29</v>
      </c>
      <c r="E9336" s="787">
        <v>4.9400000000000004</v>
      </c>
      <c r="F9336" s="788">
        <v>41932</v>
      </c>
      <c r="G9336" s="788">
        <v>42153</v>
      </c>
      <c r="H9336" s="787">
        <v>1</v>
      </c>
      <c r="I9336" s="788">
        <v>42152</v>
      </c>
      <c r="J9336" s="788">
        <v>42123</v>
      </c>
      <c r="K9336" s="788">
        <v>41669</v>
      </c>
      <c r="L9336" s="787">
        <v>3</v>
      </c>
      <c r="M9336" s="787">
        <v>10</v>
      </c>
      <c r="N9336" s="787">
        <v>9.17</v>
      </c>
      <c r="O9336" s="788">
        <v>42146</v>
      </c>
    </row>
    <row r="9337" spans="1:15" x14ac:dyDescent="0.25">
      <c r="A9337" s="786" t="s">
        <v>16809</v>
      </c>
      <c r="B9337" s="787">
        <v>4</v>
      </c>
      <c r="C9337" s="787" t="s">
        <v>16810</v>
      </c>
      <c r="D9337" s="787">
        <v>0.86</v>
      </c>
      <c r="E9337" s="787">
        <v>4.3</v>
      </c>
      <c r="F9337" s="788">
        <v>41775</v>
      </c>
      <c r="G9337" s="788">
        <v>42123</v>
      </c>
      <c r="H9337" s="787">
        <v>1</v>
      </c>
      <c r="I9337" s="788">
        <v>42152</v>
      </c>
      <c r="J9337" s="788">
        <v>42123</v>
      </c>
      <c r="K9337" s="788">
        <v>41669</v>
      </c>
      <c r="L9337" s="787">
        <v>1</v>
      </c>
      <c r="M9337" s="787">
        <v>10</v>
      </c>
      <c r="N9337" s="787">
        <v>3.62</v>
      </c>
      <c r="O9337" s="788">
        <v>42146</v>
      </c>
    </row>
    <row r="9338" spans="1:15" x14ac:dyDescent="0.25">
      <c r="A9338" s="786" t="s">
        <v>16811</v>
      </c>
      <c r="B9338" s="787">
        <v>4</v>
      </c>
      <c r="C9338" s="787" t="s">
        <v>16812</v>
      </c>
      <c r="D9338" s="787">
        <v>1.1200000000000001</v>
      </c>
      <c r="E9338" s="787">
        <v>1.1499999999999999</v>
      </c>
      <c r="F9338" s="788">
        <v>41743</v>
      </c>
      <c r="G9338" s="788">
        <v>42136</v>
      </c>
      <c r="H9338" s="787">
        <v>1</v>
      </c>
      <c r="I9338" s="788">
        <v>42152</v>
      </c>
      <c r="J9338" s="788">
        <v>42123</v>
      </c>
      <c r="K9338" s="788">
        <v>41660</v>
      </c>
      <c r="L9338" s="787">
        <v>1.23</v>
      </c>
      <c r="M9338" s="787">
        <v>20</v>
      </c>
      <c r="N9338" s="787">
        <v>1.32</v>
      </c>
      <c r="O9338" s="788">
        <v>42146</v>
      </c>
    </row>
    <row r="9339" spans="1:15" x14ac:dyDescent="0.25">
      <c r="A9339" s="786" t="s">
        <v>16813</v>
      </c>
      <c r="B9339" s="787">
        <v>4</v>
      </c>
      <c r="C9339" s="787" t="s">
        <v>16814</v>
      </c>
      <c r="D9339" s="787">
        <v>0</v>
      </c>
      <c r="E9339" s="787">
        <v>0</v>
      </c>
      <c r="H9339" s="787">
        <v>1</v>
      </c>
      <c r="I9339" s="788">
        <v>42152</v>
      </c>
      <c r="K9339" s="788">
        <v>41709</v>
      </c>
      <c r="L9339" s="787">
        <v>5</v>
      </c>
      <c r="M9339" s="787">
        <v>10</v>
      </c>
      <c r="N9339" s="787">
        <v>3.87</v>
      </c>
      <c r="O9339" s="788">
        <v>42146</v>
      </c>
    </row>
    <row r="9340" spans="1:15" x14ac:dyDescent="0.25">
      <c r="A9340" s="786" t="s">
        <v>16815</v>
      </c>
      <c r="B9340" s="787">
        <v>4</v>
      </c>
      <c r="C9340" s="787" t="s">
        <v>16816</v>
      </c>
      <c r="D9340" s="787">
        <v>0</v>
      </c>
      <c r="E9340" s="787">
        <v>0</v>
      </c>
      <c r="H9340" s="787">
        <v>1</v>
      </c>
      <c r="I9340" s="788">
        <v>42152</v>
      </c>
      <c r="K9340" s="788">
        <v>41709</v>
      </c>
      <c r="L9340" s="787">
        <v>3</v>
      </c>
      <c r="M9340" s="787">
        <v>10</v>
      </c>
      <c r="N9340" s="787">
        <v>2.3199999999999998</v>
      </c>
      <c r="O9340" s="788">
        <v>42146</v>
      </c>
    </row>
    <row r="9341" spans="1:15" x14ac:dyDescent="0.25">
      <c r="A9341" s="786" t="s">
        <v>16817</v>
      </c>
      <c r="B9341" s="787">
        <v>4</v>
      </c>
      <c r="C9341" s="787" t="s">
        <v>16818</v>
      </c>
      <c r="D9341" s="787">
        <v>0</v>
      </c>
      <c r="E9341" s="787">
        <v>0</v>
      </c>
      <c r="H9341" s="787">
        <v>1</v>
      </c>
      <c r="K9341" s="788">
        <v>41617</v>
      </c>
      <c r="L9341" s="787">
        <v>3.5</v>
      </c>
      <c r="M9341" s="787">
        <v>10</v>
      </c>
      <c r="N9341" s="787">
        <v>11.72</v>
      </c>
      <c r="O9341" s="788">
        <v>41858</v>
      </c>
    </row>
    <row r="9342" spans="1:15" x14ac:dyDescent="0.25">
      <c r="A9342" s="786" t="s">
        <v>16819</v>
      </c>
      <c r="B9342" s="787">
        <v>4</v>
      </c>
      <c r="C9342" s="787" t="s">
        <v>16820</v>
      </c>
      <c r="D9342" s="787">
        <v>0</v>
      </c>
      <c r="E9342" s="787">
        <v>0</v>
      </c>
      <c r="H9342" s="787">
        <v>1</v>
      </c>
      <c r="I9342" s="788">
        <v>41780</v>
      </c>
      <c r="K9342" s="788">
        <v>41617</v>
      </c>
      <c r="L9342" s="787">
        <v>3.5</v>
      </c>
      <c r="M9342" s="787">
        <v>10</v>
      </c>
      <c r="N9342" s="787">
        <v>11.72</v>
      </c>
      <c r="O9342" s="788">
        <v>41858</v>
      </c>
    </row>
    <row r="9343" spans="1:15" x14ac:dyDescent="0.25">
      <c r="A9343" s="786" t="s">
        <v>16821</v>
      </c>
      <c r="B9343" s="787">
        <v>4</v>
      </c>
      <c r="C9343" s="787" t="s">
        <v>16822</v>
      </c>
      <c r="D9343" s="787">
        <v>0</v>
      </c>
      <c r="E9343" s="787">
        <v>0</v>
      </c>
      <c r="H9343" s="787">
        <v>1</v>
      </c>
      <c r="K9343" s="788">
        <v>41617</v>
      </c>
      <c r="L9343" s="787">
        <v>1.5</v>
      </c>
      <c r="M9343" s="787">
        <v>10</v>
      </c>
      <c r="N9343" s="787">
        <v>11.05</v>
      </c>
      <c r="O9343" s="788">
        <v>41858</v>
      </c>
    </row>
    <row r="9344" spans="1:15" x14ac:dyDescent="0.25">
      <c r="A9344" s="786" t="s">
        <v>16823</v>
      </c>
      <c r="B9344" s="787">
        <v>4</v>
      </c>
      <c r="C9344" s="787" t="s">
        <v>16824</v>
      </c>
      <c r="D9344" s="787">
        <v>0</v>
      </c>
      <c r="E9344" s="787">
        <v>0</v>
      </c>
      <c r="H9344" s="787">
        <v>1</v>
      </c>
      <c r="I9344" s="788">
        <v>41984</v>
      </c>
      <c r="K9344" s="788">
        <v>41620</v>
      </c>
      <c r="L9344" s="787">
        <v>1.5</v>
      </c>
      <c r="M9344" s="787">
        <v>10</v>
      </c>
      <c r="N9344" s="787">
        <v>5.71</v>
      </c>
      <c r="O9344" s="788">
        <v>41858</v>
      </c>
    </row>
    <row r="9345" spans="1:15" x14ac:dyDescent="0.25">
      <c r="A9345" s="786" t="s">
        <v>16825</v>
      </c>
      <c r="B9345" s="787">
        <v>4</v>
      </c>
      <c r="C9345" s="787" t="s">
        <v>16826</v>
      </c>
      <c r="D9345" s="787">
        <v>0</v>
      </c>
      <c r="E9345" s="787">
        <v>0</v>
      </c>
      <c r="H9345" s="787">
        <v>1</v>
      </c>
      <c r="I9345" s="788">
        <v>41628</v>
      </c>
      <c r="K9345" s="788">
        <v>41620</v>
      </c>
      <c r="L9345" s="787">
        <v>1.5</v>
      </c>
      <c r="M9345" s="787">
        <v>10</v>
      </c>
      <c r="N9345" s="787">
        <v>4.68</v>
      </c>
      <c r="O9345" s="788">
        <v>41858</v>
      </c>
    </row>
    <row r="9346" spans="1:15" x14ac:dyDescent="0.25">
      <c r="A9346" s="786" t="s">
        <v>16827</v>
      </c>
      <c r="B9346" s="787">
        <v>4</v>
      </c>
      <c r="C9346" s="787" t="s">
        <v>16828</v>
      </c>
      <c r="D9346" s="787">
        <v>0</v>
      </c>
      <c r="E9346" s="787">
        <v>0</v>
      </c>
      <c r="H9346" s="787">
        <v>1</v>
      </c>
      <c r="I9346" s="788">
        <v>41628</v>
      </c>
      <c r="K9346" s="788">
        <v>41620</v>
      </c>
      <c r="L9346" s="787">
        <v>1.5</v>
      </c>
      <c r="M9346" s="787">
        <v>10</v>
      </c>
      <c r="N9346" s="787">
        <v>4.68</v>
      </c>
      <c r="O9346" s="788">
        <v>41858</v>
      </c>
    </row>
    <row r="9347" spans="1:15" x14ac:dyDescent="0.25">
      <c r="A9347" s="786" t="s">
        <v>16829</v>
      </c>
      <c r="B9347" s="787">
        <v>4</v>
      </c>
      <c r="C9347" s="787" t="s">
        <v>15368</v>
      </c>
      <c r="D9347" s="787">
        <v>0</v>
      </c>
      <c r="E9347" s="787">
        <v>0</v>
      </c>
      <c r="H9347" s="787">
        <v>1</v>
      </c>
      <c r="L9347" s="787">
        <v>0</v>
      </c>
      <c r="M9347" s="787">
        <v>10</v>
      </c>
      <c r="N9347" s="787">
        <v>0</v>
      </c>
    </row>
    <row r="9348" spans="1:15" x14ac:dyDescent="0.25">
      <c r="A9348" s="786" t="s">
        <v>16830</v>
      </c>
      <c r="B9348" s="787">
        <v>4</v>
      </c>
      <c r="C9348" s="787" t="s">
        <v>15366</v>
      </c>
      <c r="D9348" s="787">
        <v>0</v>
      </c>
      <c r="E9348" s="787">
        <v>0</v>
      </c>
      <c r="H9348" s="787">
        <v>1</v>
      </c>
      <c r="L9348" s="787">
        <v>0</v>
      </c>
      <c r="M9348" s="787">
        <v>10</v>
      </c>
      <c r="N9348" s="787">
        <v>0</v>
      </c>
    </row>
    <row r="9349" spans="1:15" x14ac:dyDescent="0.25">
      <c r="A9349" s="786" t="s">
        <v>16831</v>
      </c>
      <c r="B9349" s="787">
        <v>4</v>
      </c>
      <c r="C9349" s="787" t="s">
        <v>16832</v>
      </c>
      <c r="D9349" s="787">
        <v>0</v>
      </c>
      <c r="E9349" s="787">
        <v>0</v>
      </c>
      <c r="H9349" s="787">
        <v>1</v>
      </c>
      <c r="K9349" s="788">
        <v>41620</v>
      </c>
      <c r="L9349" s="787">
        <v>2.5</v>
      </c>
      <c r="M9349" s="787">
        <v>10</v>
      </c>
      <c r="N9349" s="787">
        <v>8.5299999999999994</v>
      </c>
      <c r="O9349" s="788">
        <v>41858</v>
      </c>
    </row>
    <row r="9350" spans="1:15" x14ac:dyDescent="0.25">
      <c r="A9350" s="786" t="s">
        <v>16833</v>
      </c>
      <c r="B9350" s="787">
        <v>4</v>
      </c>
      <c r="C9350" s="787" t="s">
        <v>16834</v>
      </c>
      <c r="D9350" s="787">
        <v>0</v>
      </c>
      <c r="E9350" s="787">
        <v>0</v>
      </c>
      <c r="H9350" s="787">
        <v>1</v>
      </c>
      <c r="K9350" s="788">
        <v>41620</v>
      </c>
      <c r="L9350" s="787">
        <v>2.5</v>
      </c>
      <c r="M9350" s="787">
        <v>10</v>
      </c>
      <c r="N9350" s="787">
        <v>8.5299999999999994</v>
      </c>
      <c r="O9350" s="788">
        <v>41858</v>
      </c>
    </row>
    <row r="9351" spans="1:15" x14ac:dyDescent="0.25">
      <c r="A9351" s="786" t="s">
        <v>16835</v>
      </c>
      <c r="B9351" s="787">
        <v>4</v>
      </c>
      <c r="C9351" s="787" t="s">
        <v>16836</v>
      </c>
      <c r="D9351" s="787">
        <v>0</v>
      </c>
      <c r="E9351" s="787">
        <v>0</v>
      </c>
      <c r="H9351" s="787">
        <v>1</v>
      </c>
      <c r="K9351" s="788">
        <v>41620</v>
      </c>
      <c r="L9351" s="787">
        <v>2</v>
      </c>
      <c r="M9351" s="787">
        <v>10</v>
      </c>
      <c r="N9351" s="787">
        <v>6.51</v>
      </c>
      <c r="O9351" s="788">
        <v>41858</v>
      </c>
    </row>
    <row r="9352" spans="1:15" x14ac:dyDescent="0.25">
      <c r="A9352" s="786" t="s">
        <v>16837</v>
      </c>
      <c r="B9352" s="787">
        <v>4</v>
      </c>
      <c r="C9352" s="787" t="s">
        <v>16838</v>
      </c>
      <c r="D9352" s="787">
        <v>0</v>
      </c>
      <c r="E9352" s="787">
        <v>0</v>
      </c>
      <c r="H9352" s="787">
        <v>1</v>
      </c>
      <c r="K9352" s="788">
        <v>41620</v>
      </c>
      <c r="L9352" s="787">
        <v>2</v>
      </c>
      <c r="M9352" s="787">
        <v>10</v>
      </c>
      <c r="N9352" s="787">
        <v>6.51</v>
      </c>
      <c r="O9352" s="788">
        <v>41858</v>
      </c>
    </row>
    <row r="9353" spans="1:15" x14ac:dyDescent="0.25">
      <c r="A9353" s="786" t="s">
        <v>16839</v>
      </c>
      <c r="B9353" s="787">
        <v>4</v>
      </c>
      <c r="C9353" s="787" t="s">
        <v>15709</v>
      </c>
      <c r="D9353" s="787">
        <v>0</v>
      </c>
      <c r="E9353" s="787">
        <v>0</v>
      </c>
      <c r="H9353" s="787">
        <v>1</v>
      </c>
      <c r="K9353" s="788">
        <v>41620</v>
      </c>
      <c r="L9353" s="787">
        <v>1</v>
      </c>
      <c r="M9353" s="787">
        <v>10</v>
      </c>
      <c r="N9353" s="787">
        <v>4.24</v>
      </c>
      <c r="O9353" s="788">
        <v>41858</v>
      </c>
    </row>
    <row r="9354" spans="1:15" x14ac:dyDescent="0.25">
      <c r="A9354" s="786" t="s">
        <v>16840</v>
      </c>
      <c r="B9354" s="787">
        <v>4</v>
      </c>
      <c r="C9354" s="787" t="s">
        <v>15707</v>
      </c>
      <c r="D9354" s="787">
        <v>0</v>
      </c>
      <c r="E9354" s="787">
        <v>0</v>
      </c>
      <c r="H9354" s="787">
        <v>1</v>
      </c>
      <c r="K9354" s="788">
        <v>41620</v>
      </c>
      <c r="L9354" s="787">
        <v>1</v>
      </c>
      <c r="M9354" s="787">
        <v>10</v>
      </c>
      <c r="N9354" s="787">
        <v>4.24</v>
      </c>
      <c r="O9354" s="788">
        <v>41858</v>
      </c>
    </row>
    <row r="9355" spans="1:15" x14ac:dyDescent="0.25">
      <c r="A9355" s="786" t="s">
        <v>16841</v>
      </c>
      <c r="B9355" s="787">
        <v>4</v>
      </c>
      <c r="C9355" s="787" t="s">
        <v>15705</v>
      </c>
      <c r="D9355" s="787">
        <v>0</v>
      </c>
      <c r="E9355" s="787">
        <v>0</v>
      </c>
      <c r="H9355" s="787">
        <v>1</v>
      </c>
      <c r="K9355" s="788">
        <v>41620</v>
      </c>
      <c r="L9355" s="787">
        <v>1</v>
      </c>
      <c r="M9355" s="787">
        <v>10</v>
      </c>
      <c r="N9355" s="787">
        <v>4.24</v>
      </c>
      <c r="O9355" s="788">
        <v>41858</v>
      </c>
    </row>
    <row r="9356" spans="1:15" x14ac:dyDescent="0.25">
      <c r="A9356" s="786" t="s">
        <v>16842</v>
      </c>
      <c r="B9356" s="787">
        <v>4</v>
      </c>
      <c r="C9356" s="787" t="s">
        <v>15703</v>
      </c>
      <c r="D9356" s="787">
        <v>0</v>
      </c>
      <c r="E9356" s="787">
        <v>0</v>
      </c>
      <c r="H9356" s="787">
        <v>1</v>
      </c>
      <c r="K9356" s="788">
        <v>41620</v>
      </c>
      <c r="L9356" s="787">
        <v>1</v>
      </c>
      <c r="M9356" s="787">
        <v>10</v>
      </c>
      <c r="N9356" s="787">
        <v>4.24</v>
      </c>
      <c r="O9356" s="788">
        <v>41858</v>
      </c>
    </row>
    <row r="9357" spans="1:15" x14ac:dyDescent="0.25">
      <c r="A9357" s="786" t="s">
        <v>16843</v>
      </c>
      <c r="B9357" s="787">
        <v>4</v>
      </c>
      <c r="C9357" s="787" t="s">
        <v>16844</v>
      </c>
      <c r="D9357" s="787">
        <v>0</v>
      </c>
      <c r="E9357" s="787">
        <v>0</v>
      </c>
      <c r="H9357" s="787">
        <v>1</v>
      </c>
      <c r="K9357" s="788">
        <v>41620</v>
      </c>
      <c r="L9357" s="787">
        <v>25</v>
      </c>
      <c r="M9357" s="787">
        <v>10</v>
      </c>
      <c r="N9357" s="787">
        <v>32.06</v>
      </c>
      <c r="O9357" s="788">
        <v>42082</v>
      </c>
    </row>
    <row r="9358" spans="1:15" x14ac:dyDescent="0.25">
      <c r="A9358" s="786" t="s">
        <v>16845</v>
      </c>
      <c r="B9358" s="787">
        <v>4</v>
      </c>
      <c r="C9358" s="787" t="s">
        <v>16846</v>
      </c>
      <c r="D9358" s="787">
        <v>3.67</v>
      </c>
      <c r="E9358" s="787">
        <v>63.67</v>
      </c>
      <c r="F9358" s="788">
        <v>42009</v>
      </c>
      <c r="G9358" s="788">
        <v>42009</v>
      </c>
      <c r="H9358" s="787">
        <v>1</v>
      </c>
      <c r="I9358" s="788">
        <v>41977</v>
      </c>
      <c r="J9358" s="788">
        <v>41978</v>
      </c>
      <c r="K9358" s="788">
        <v>41620</v>
      </c>
      <c r="L9358" s="787">
        <v>25</v>
      </c>
      <c r="M9358" s="787">
        <v>10</v>
      </c>
      <c r="N9358" s="787">
        <v>30.44</v>
      </c>
      <c r="O9358" s="788">
        <v>42082</v>
      </c>
    </row>
    <row r="9359" spans="1:15" x14ac:dyDescent="0.25">
      <c r="A9359" s="786" t="s">
        <v>16847</v>
      </c>
      <c r="B9359" s="787">
        <v>4</v>
      </c>
      <c r="C9359" s="787" t="s">
        <v>16848</v>
      </c>
      <c r="D9359" s="787">
        <v>0</v>
      </c>
      <c r="E9359" s="787">
        <v>0</v>
      </c>
      <c r="H9359" s="787">
        <v>1</v>
      </c>
      <c r="K9359" s="788">
        <v>41624</v>
      </c>
      <c r="L9359" s="787">
        <v>5</v>
      </c>
      <c r="M9359" s="787">
        <v>10</v>
      </c>
      <c r="N9359" s="787">
        <v>11.72</v>
      </c>
      <c r="O9359" s="788">
        <v>41858</v>
      </c>
    </row>
    <row r="9360" spans="1:15" x14ac:dyDescent="0.25">
      <c r="A9360" s="786" t="s">
        <v>16849</v>
      </c>
      <c r="B9360" s="787">
        <v>4</v>
      </c>
      <c r="C9360" s="787" t="s">
        <v>16850</v>
      </c>
      <c r="D9360" s="787">
        <v>0</v>
      </c>
      <c r="E9360" s="787">
        <v>0</v>
      </c>
      <c r="H9360" s="787">
        <v>1</v>
      </c>
      <c r="K9360" s="788">
        <v>41624</v>
      </c>
      <c r="L9360" s="787">
        <v>5</v>
      </c>
      <c r="M9360" s="787">
        <v>10</v>
      </c>
      <c r="N9360" s="787">
        <v>11.72</v>
      </c>
      <c r="O9360" s="788">
        <v>41858</v>
      </c>
    </row>
    <row r="9361" spans="1:15" x14ac:dyDescent="0.25">
      <c r="A9361" s="786" t="s">
        <v>16851</v>
      </c>
      <c r="B9361" s="787">
        <v>4</v>
      </c>
      <c r="C9361" s="787" t="s">
        <v>16852</v>
      </c>
      <c r="D9361" s="787">
        <v>0</v>
      </c>
      <c r="E9361" s="787">
        <v>0</v>
      </c>
      <c r="H9361" s="787">
        <v>1</v>
      </c>
      <c r="K9361" s="788">
        <v>41624</v>
      </c>
      <c r="L9361" s="787">
        <v>5</v>
      </c>
      <c r="M9361" s="787">
        <v>10</v>
      </c>
      <c r="N9361" s="787">
        <v>11.72</v>
      </c>
      <c r="O9361" s="788">
        <v>41858</v>
      </c>
    </row>
    <row r="9362" spans="1:15" x14ac:dyDescent="0.25">
      <c r="A9362" s="786" t="s">
        <v>16853</v>
      </c>
      <c r="B9362" s="787">
        <v>4</v>
      </c>
      <c r="C9362" s="787" t="s">
        <v>16854</v>
      </c>
      <c r="D9362" s="787">
        <v>0.79</v>
      </c>
      <c r="E9362" s="787">
        <v>470.79</v>
      </c>
      <c r="F9362" s="788">
        <v>42025</v>
      </c>
      <c r="G9362" s="788">
        <v>42025</v>
      </c>
      <c r="H9362" s="787">
        <v>1</v>
      </c>
      <c r="I9362" s="788">
        <v>41996</v>
      </c>
      <c r="J9362" s="788">
        <v>41996</v>
      </c>
      <c r="K9362" s="788">
        <v>41628</v>
      </c>
      <c r="L9362" s="787">
        <v>4.5</v>
      </c>
      <c r="M9362" s="787">
        <v>10</v>
      </c>
      <c r="N9362" s="787">
        <v>485.59</v>
      </c>
      <c r="O9362" s="788">
        <v>42039</v>
      </c>
    </row>
    <row r="9363" spans="1:15" x14ac:dyDescent="0.25">
      <c r="A9363" s="786" t="s">
        <v>16855</v>
      </c>
      <c r="B9363" s="787">
        <v>4</v>
      </c>
      <c r="C9363" s="787" t="s">
        <v>16856</v>
      </c>
      <c r="D9363" s="787">
        <v>4.3899999999999997</v>
      </c>
      <c r="E9363" s="787">
        <v>204.39</v>
      </c>
      <c r="F9363" s="788">
        <v>42009</v>
      </c>
      <c r="G9363" s="788">
        <v>42009</v>
      </c>
      <c r="H9363" s="787">
        <v>1</v>
      </c>
      <c r="I9363" s="788">
        <v>41996</v>
      </c>
      <c r="J9363" s="788">
        <v>41982</v>
      </c>
      <c r="K9363" s="788">
        <v>41628</v>
      </c>
      <c r="L9363" s="787">
        <v>5.7</v>
      </c>
      <c r="M9363" s="787">
        <v>10</v>
      </c>
      <c r="N9363" s="787">
        <v>10.78</v>
      </c>
      <c r="O9363" s="788">
        <v>42039</v>
      </c>
    </row>
    <row r="9364" spans="1:15" x14ac:dyDescent="0.25">
      <c r="A9364" s="786" t="s">
        <v>16857</v>
      </c>
      <c r="B9364" s="787">
        <v>4</v>
      </c>
      <c r="C9364" s="787" t="s">
        <v>16858</v>
      </c>
      <c r="D9364" s="787">
        <v>8.19</v>
      </c>
      <c r="E9364" s="787">
        <v>8.19</v>
      </c>
      <c r="F9364" s="788">
        <v>42009</v>
      </c>
      <c r="G9364" s="788">
        <v>42009</v>
      </c>
      <c r="H9364" s="787">
        <v>1</v>
      </c>
      <c r="I9364" s="788">
        <v>41996</v>
      </c>
      <c r="J9364" s="788">
        <v>41982</v>
      </c>
      <c r="K9364" s="788">
        <v>41628</v>
      </c>
      <c r="L9364" s="787">
        <v>98</v>
      </c>
      <c r="M9364" s="787">
        <v>10</v>
      </c>
      <c r="N9364" s="787">
        <v>10.78</v>
      </c>
      <c r="O9364" s="788">
        <v>42039</v>
      </c>
    </row>
    <row r="9365" spans="1:15" x14ac:dyDescent="0.25">
      <c r="A9365" s="786" t="s">
        <v>16859</v>
      </c>
      <c r="B9365" s="787">
        <v>4</v>
      </c>
      <c r="C9365" s="787" t="s">
        <v>16860</v>
      </c>
      <c r="D9365" s="787">
        <v>0.78</v>
      </c>
      <c r="E9365" s="787">
        <v>60.78</v>
      </c>
      <c r="F9365" s="788">
        <v>42009</v>
      </c>
      <c r="G9365" s="788">
        <v>42009</v>
      </c>
      <c r="H9365" s="787">
        <v>1</v>
      </c>
      <c r="I9365" s="788">
        <v>41996</v>
      </c>
      <c r="J9365" s="788">
        <v>41982</v>
      </c>
      <c r="K9365" s="788">
        <v>41628</v>
      </c>
      <c r="L9365" s="787">
        <v>15</v>
      </c>
      <c r="M9365" s="787">
        <v>10</v>
      </c>
      <c r="N9365" s="787">
        <v>10.78</v>
      </c>
      <c r="O9365" s="788">
        <v>42039</v>
      </c>
    </row>
    <row r="9366" spans="1:15" x14ac:dyDescent="0.25">
      <c r="A9366" s="786" t="s">
        <v>16861</v>
      </c>
      <c r="B9366" s="787">
        <v>4</v>
      </c>
      <c r="C9366" s="787" t="s">
        <v>16862</v>
      </c>
      <c r="D9366" s="787">
        <v>0.51</v>
      </c>
      <c r="E9366" s="787">
        <v>0.51</v>
      </c>
      <c r="F9366" s="788">
        <v>42009</v>
      </c>
      <c r="G9366" s="788">
        <v>42009</v>
      </c>
      <c r="H9366" s="787">
        <v>1</v>
      </c>
      <c r="I9366" s="788">
        <v>41996</v>
      </c>
      <c r="J9366" s="788">
        <v>41982</v>
      </c>
      <c r="K9366" s="788">
        <v>41628</v>
      </c>
      <c r="L9366" s="787">
        <v>25</v>
      </c>
      <c r="M9366" s="787">
        <v>10</v>
      </c>
      <c r="N9366" s="787">
        <v>10.78</v>
      </c>
      <c r="O9366" s="788">
        <v>42039</v>
      </c>
    </row>
    <row r="9367" spans="1:15" x14ac:dyDescent="0.25">
      <c r="A9367" s="786" t="s">
        <v>16863</v>
      </c>
      <c r="B9367" s="787">
        <v>4</v>
      </c>
      <c r="C9367" s="787" t="s">
        <v>16864</v>
      </c>
      <c r="D9367" s="787">
        <v>3.67</v>
      </c>
      <c r="E9367" s="787">
        <v>23.67</v>
      </c>
      <c r="F9367" s="788">
        <v>42009</v>
      </c>
      <c r="G9367" s="788">
        <v>42009</v>
      </c>
      <c r="H9367" s="787">
        <v>1</v>
      </c>
      <c r="I9367" s="788">
        <v>41996</v>
      </c>
      <c r="J9367" s="788">
        <v>41982</v>
      </c>
      <c r="K9367" s="788">
        <v>41628</v>
      </c>
      <c r="L9367" s="787">
        <v>9</v>
      </c>
      <c r="M9367" s="787">
        <v>10</v>
      </c>
      <c r="N9367" s="787">
        <v>10.78</v>
      </c>
      <c r="O9367" s="788">
        <v>42039</v>
      </c>
    </row>
    <row r="9368" spans="1:15" x14ac:dyDescent="0.25">
      <c r="A9368" s="786" t="s">
        <v>16865</v>
      </c>
      <c r="B9368" s="787">
        <v>4</v>
      </c>
      <c r="C9368" s="787" t="s">
        <v>16866</v>
      </c>
      <c r="D9368" s="787">
        <v>2.0499999999999998</v>
      </c>
      <c r="E9368" s="787">
        <v>2.0499999999999998</v>
      </c>
      <c r="F9368" s="788">
        <v>42009</v>
      </c>
      <c r="G9368" s="788">
        <v>42009</v>
      </c>
      <c r="H9368" s="787">
        <v>1</v>
      </c>
      <c r="I9368" s="788">
        <v>41996</v>
      </c>
      <c r="J9368" s="788">
        <v>41982</v>
      </c>
      <c r="K9368" s="788">
        <v>41628</v>
      </c>
      <c r="L9368" s="787">
        <v>25</v>
      </c>
      <c r="M9368" s="787">
        <v>10</v>
      </c>
      <c r="N9368" s="787">
        <v>10.78</v>
      </c>
      <c r="O9368" s="788">
        <v>42039</v>
      </c>
    </row>
    <row r="9369" spans="1:15" x14ac:dyDescent="0.25">
      <c r="A9369" s="786" t="s">
        <v>16867</v>
      </c>
      <c r="B9369" s="787">
        <v>4</v>
      </c>
      <c r="C9369" s="787" t="s">
        <v>16868</v>
      </c>
      <c r="D9369" s="787">
        <v>2.73</v>
      </c>
      <c r="E9369" s="787">
        <v>2.73</v>
      </c>
      <c r="F9369" s="788">
        <v>42009</v>
      </c>
      <c r="G9369" s="788">
        <v>42009</v>
      </c>
      <c r="H9369" s="787">
        <v>1</v>
      </c>
      <c r="I9369" s="788">
        <v>41996</v>
      </c>
      <c r="J9369" s="788">
        <v>41982</v>
      </c>
      <c r="K9369" s="788">
        <v>41628</v>
      </c>
      <c r="L9369" s="787">
        <v>2</v>
      </c>
      <c r="M9369" s="787">
        <v>10</v>
      </c>
      <c r="N9369" s="787">
        <v>10.78</v>
      </c>
      <c r="O9369" s="788">
        <v>42039</v>
      </c>
    </row>
    <row r="9370" spans="1:15" x14ac:dyDescent="0.25">
      <c r="A9370" s="786" t="s">
        <v>16869</v>
      </c>
      <c r="B9370" s="787">
        <v>4</v>
      </c>
      <c r="C9370" s="787" t="s">
        <v>16870</v>
      </c>
      <c r="D9370" s="787">
        <v>8.19</v>
      </c>
      <c r="E9370" s="787">
        <v>8.19</v>
      </c>
      <c r="F9370" s="788">
        <v>42009</v>
      </c>
      <c r="G9370" s="788">
        <v>42009</v>
      </c>
      <c r="H9370" s="787">
        <v>1</v>
      </c>
      <c r="I9370" s="788">
        <v>41996</v>
      </c>
      <c r="J9370" s="788">
        <v>41982</v>
      </c>
      <c r="K9370" s="788">
        <v>41628</v>
      </c>
      <c r="L9370" s="787">
        <v>1.5</v>
      </c>
      <c r="M9370" s="787">
        <v>10</v>
      </c>
      <c r="N9370" s="787">
        <v>10.78</v>
      </c>
      <c r="O9370" s="788">
        <v>42039</v>
      </c>
    </row>
    <row r="9371" spans="1:15" x14ac:dyDescent="0.25">
      <c r="A9371" s="786" t="s">
        <v>16871</v>
      </c>
      <c r="B9371" s="787">
        <v>4</v>
      </c>
      <c r="C9371" s="787" t="s">
        <v>16872</v>
      </c>
      <c r="D9371" s="787">
        <v>0.65</v>
      </c>
      <c r="E9371" s="787">
        <v>10.65</v>
      </c>
      <c r="F9371" s="788">
        <v>41886</v>
      </c>
      <c r="G9371" s="788">
        <v>41886</v>
      </c>
      <c r="H9371" s="787">
        <v>1</v>
      </c>
      <c r="I9371" s="788">
        <v>41856</v>
      </c>
      <c r="J9371" s="788">
        <v>41836</v>
      </c>
      <c r="K9371" s="788">
        <v>41626</v>
      </c>
      <c r="L9371" s="787">
        <v>3.5</v>
      </c>
      <c r="M9371" s="787">
        <v>10</v>
      </c>
      <c r="N9371" s="787">
        <v>5.72</v>
      </c>
      <c r="O9371" s="788">
        <v>42136</v>
      </c>
    </row>
    <row r="9372" spans="1:15" x14ac:dyDescent="0.25">
      <c r="A9372" s="786" t="s">
        <v>16873</v>
      </c>
      <c r="B9372" s="787">
        <v>4</v>
      </c>
      <c r="C9372" s="787" t="s">
        <v>16874</v>
      </c>
      <c r="D9372" s="787">
        <v>2.8</v>
      </c>
      <c r="E9372" s="787">
        <v>12.8</v>
      </c>
      <c r="F9372" s="788">
        <v>41886</v>
      </c>
      <c r="G9372" s="788">
        <v>41886</v>
      </c>
      <c r="H9372" s="787">
        <v>1</v>
      </c>
      <c r="I9372" s="788">
        <v>41856</v>
      </c>
      <c r="J9372" s="788">
        <v>41836</v>
      </c>
      <c r="K9372" s="788">
        <v>41635</v>
      </c>
      <c r="L9372" s="787">
        <v>3.5</v>
      </c>
      <c r="M9372" s="787">
        <v>10</v>
      </c>
      <c r="N9372" s="787">
        <v>5.72</v>
      </c>
      <c r="O9372" s="788">
        <v>42136</v>
      </c>
    </row>
    <row r="9373" spans="1:15" x14ac:dyDescent="0.25">
      <c r="A9373" s="786" t="s">
        <v>16875</v>
      </c>
      <c r="B9373" s="787">
        <v>4</v>
      </c>
      <c r="C9373" s="787" t="s">
        <v>16876</v>
      </c>
      <c r="D9373" s="787">
        <v>4.0999999999999996</v>
      </c>
      <c r="E9373" s="787">
        <v>4.0999999999999996</v>
      </c>
      <c r="F9373" s="788">
        <v>42009</v>
      </c>
      <c r="G9373" s="788">
        <v>42009</v>
      </c>
      <c r="H9373" s="787">
        <v>1</v>
      </c>
      <c r="I9373" s="788">
        <v>41996</v>
      </c>
      <c r="J9373" s="788">
        <v>41982</v>
      </c>
      <c r="K9373" s="788">
        <v>41628</v>
      </c>
      <c r="L9373" s="787">
        <v>54.07</v>
      </c>
      <c r="M9373" s="787">
        <v>10</v>
      </c>
      <c r="N9373" s="787">
        <v>10.78</v>
      </c>
      <c r="O9373" s="788">
        <v>42039</v>
      </c>
    </row>
    <row r="9374" spans="1:15" x14ac:dyDescent="0.25">
      <c r="A9374" s="786" t="s">
        <v>16877</v>
      </c>
      <c r="B9374" s="787">
        <v>4</v>
      </c>
      <c r="C9374" s="787" t="s">
        <v>16878</v>
      </c>
      <c r="D9374" s="787">
        <v>4.0999999999999996</v>
      </c>
      <c r="E9374" s="787">
        <v>4.0999999999999996</v>
      </c>
      <c r="F9374" s="788">
        <v>42009</v>
      </c>
      <c r="G9374" s="788">
        <v>42009</v>
      </c>
      <c r="H9374" s="787">
        <v>1</v>
      </c>
      <c r="I9374" s="788">
        <v>41996</v>
      </c>
      <c r="J9374" s="788">
        <v>41982</v>
      </c>
      <c r="K9374" s="788">
        <v>41628</v>
      </c>
      <c r="L9374" s="787">
        <v>36</v>
      </c>
      <c r="M9374" s="787">
        <v>10</v>
      </c>
      <c r="N9374" s="787">
        <v>10.78</v>
      </c>
      <c r="O9374" s="788">
        <v>42039</v>
      </c>
    </row>
    <row r="9375" spans="1:15" x14ac:dyDescent="0.25">
      <c r="A9375" s="786" t="s">
        <v>16879</v>
      </c>
      <c r="B9375" s="787">
        <v>4</v>
      </c>
      <c r="C9375" s="787" t="s">
        <v>16880</v>
      </c>
      <c r="D9375" s="787">
        <v>0</v>
      </c>
      <c r="E9375" s="787">
        <v>0</v>
      </c>
      <c r="H9375" s="787">
        <v>1</v>
      </c>
      <c r="I9375" s="788">
        <v>41988</v>
      </c>
      <c r="J9375" s="788">
        <v>41992</v>
      </c>
      <c r="K9375" s="788">
        <v>41642</v>
      </c>
      <c r="L9375" s="787">
        <v>1.2</v>
      </c>
      <c r="M9375" s="787">
        <v>30</v>
      </c>
      <c r="N9375" s="787">
        <v>1.29</v>
      </c>
      <c r="O9375" s="788">
        <v>42061</v>
      </c>
    </row>
    <row r="9376" spans="1:15" x14ac:dyDescent="0.25">
      <c r="A9376" s="786" t="s">
        <v>16881</v>
      </c>
      <c r="B9376" s="787">
        <v>4</v>
      </c>
      <c r="C9376" s="787" t="s">
        <v>16882</v>
      </c>
      <c r="D9376" s="787">
        <v>0</v>
      </c>
      <c r="E9376" s="787">
        <v>0</v>
      </c>
      <c r="H9376" s="787">
        <v>1</v>
      </c>
      <c r="K9376" s="788">
        <v>41642</v>
      </c>
      <c r="L9376" s="787">
        <v>679.98</v>
      </c>
      <c r="M9376" s="787">
        <v>10</v>
      </c>
      <c r="N9376" s="787">
        <v>801.52</v>
      </c>
      <c r="O9376" s="788">
        <v>42061</v>
      </c>
    </row>
    <row r="9377" spans="1:15" x14ac:dyDescent="0.25">
      <c r="A9377" s="786" t="s">
        <v>16883</v>
      </c>
      <c r="B9377" s="787">
        <v>4</v>
      </c>
      <c r="C9377" s="787" t="s">
        <v>16884</v>
      </c>
      <c r="D9377" s="787">
        <v>0</v>
      </c>
      <c r="E9377" s="787">
        <v>0</v>
      </c>
      <c r="H9377" s="787">
        <v>1</v>
      </c>
      <c r="K9377" s="788">
        <v>41642</v>
      </c>
      <c r="L9377" s="787">
        <v>2.46</v>
      </c>
      <c r="M9377" s="787">
        <v>10</v>
      </c>
      <c r="N9377" s="787">
        <v>10.52</v>
      </c>
      <c r="O9377" s="788">
        <v>42061</v>
      </c>
    </row>
    <row r="9378" spans="1:15" x14ac:dyDescent="0.25">
      <c r="A9378" s="786" t="s">
        <v>16885</v>
      </c>
      <c r="B9378" s="787">
        <v>4</v>
      </c>
      <c r="C9378" s="787" t="s">
        <v>16886</v>
      </c>
      <c r="D9378" s="787">
        <v>0</v>
      </c>
      <c r="E9378" s="787">
        <v>0</v>
      </c>
      <c r="H9378" s="787">
        <v>1</v>
      </c>
      <c r="K9378" s="788">
        <v>41642</v>
      </c>
      <c r="L9378" s="787">
        <v>2.06</v>
      </c>
      <c r="M9378" s="787">
        <v>10</v>
      </c>
      <c r="N9378" s="787">
        <v>10.15</v>
      </c>
      <c r="O9378" s="788">
        <v>42061</v>
      </c>
    </row>
    <row r="9379" spans="1:15" x14ac:dyDescent="0.25">
      <c r="A9379" s="786" t="s">
        <v>16887</v>
      </c>
      <c r="B9379" s="787">
        <v>4</v>
      </c>
      <c r="C9379" s="787" t="s">
        <v>16888</v>
      </c>
      <c r="D9379" s="787">
        <v>0</v>
      </c>
      <c r="E9379" s="787">
        <v>0</v>
      </c>
      <c r="H9379" s="787">
        <v>1</v>
      </c>
      <c r="K9379" s="788">
        <v>41642</v>
      </c>
      <c r="L9379" s="787">
        <v>7.65</v>
      </c>
      <c r="M9379" s="787">
        <v>10</v>
      </c>
      <c r="N9379" s="787">
        <v>15.54</v>
      </c>
      <c r="O9379" s="788">
        <v>42061</v>
      </c>
    </row>
    <row r="9380" spans="1:15" x14ac:dyDescent="0.25">
      <c r="A9380" s="786" t="s">
        <v>16889</v>
      </c>
      <c r="B9380" s="787">
        <v>4</v>
      </c>
      <c r="C9380" s="787" t="s">
        <v>16890</v>
      </c>
      <c r="D9380" s="787">
        <v>0</v>
      </c>
      <c r="E9380" s="787">
        <v>0</v>
      </c>
      <c r="H9380" s="787">
        <v>1</v>
      </c>
      <c r="K9380" s="788">
        <v>41642</v>
      </c>
      <c r="L9380" s="787">
        <v>2.06</v>
      </c>
      <c r="M9380" s="787">
        <v>10</v>
      </c>
      <c r="N9380" s="787">
        <v>10.07</v>
      </c>
      <c r="O9380" s="788">
        <v>42061</v>
      </c>
    </row>
    <row r="9381" spans="1:15" x14ac:dyDescent="0.25">
      <c r="A9381" s="786" t="s">
        <v>16891</v>
      </c>
      <c r="B9381" s="787">
        <v>4</v>
      </c>
      <c r="C9381" s="787" t="s">
        <v>16892</v>
      </c>
      <c r="D9381" s="787">
        <v>0</v>
      </c>
      <c r="E9381" s="787">
        <v>0</v>
      </c>
      <c r="H9381" s="787">
        <v>1</v>
      </c>
      <c r="K9381" s="788">
        <v>41642</v>
      </c>
      <c r="L9381" s="787">
        <v>8.19</v>
      </c>
      <c r="M9381" s="787">
        <v>10</v>
      </c>
      <c r="N9381" s="787">
        <v>15.92</v>
      </c>
      <c r="O9381" s="788">
        <v>42061</v>
      </c>
    </row>
    <row r="9382" spans="1:15" x14ac:dyDescent="0.25">
      <c r="A9382" s="786" t="s">
        <v>16893</v>
      </c>
      <c r="B9382" s="787">
        <v>4</v>
      </c>
      <c r="C9382" s="787" t="s">
        <v>16894</v>
      </c>
      <c r="D9382" s="787">
        <v>0</v>
      </c>
      <c r="E9382" s="787">
        <v>0</v>
      </c>
      <c r="H9382" s="787">
        <v>1</v>
      </c>
      <c r="K9382" s="788">
        <v>41642</v>
      </c>
      <c r="L9382" s="787">
        <v>4.08</v>
      </c>
      <c r="M9382" s="787">
        <v>10</v>
      </c>
      <c r="N9382" s="787">
        <v>12.06</v>
      </c>
      <c r="O9382" s="788">
        <v>42061</v>
      </c>
    </row>
    <row r="9383" spans="1:15" x14ac:dyDescent="0.25">
      <c r="A9383" s="786" t="s">
        <v>16895</v>
      </c>
      <c r="B9383" s="787">
        <v>4</v>
      </c>
      <c r="C9383" s="787" t="s">
        <v>16896</v>
      </c>
      <c r="D9383" s="787">
        <v>0</v>
      </c>
      <c r="E9383" s="787">
        <v>0</v>
      </c>
      <c r="H9383" s="787">
        <v>1</v>
      </c>
      <c r="K9383" s="788">
        <v>41642</v>
      </c>
      <c r="L9383" s="787">
        <v>0.99</v>
      </c>
      <c r="M9383" s="787">
        <v>10</v>
      </c>
      <c r="N9383" s="787">
        <v>8.07</v>
      </c>
      <c r="O9383" s="788">
        <v>42061</v>
      </c>
    </row>
    <row r="9384" spans="1:15" x14ac:dyDescent="0.25">
      <c r="A9384" s="786" t="s">
        <v>16897</v>
      </c>
      <c r="B9384" s="787">
        <v>4</v>
      </c>
      <c r="C9384" s="787" t="s">
        <v>16898</v>
      </c>
      <c r="D9384" s="787">
        <v>0</v>
      </c>
      <c r="E9384" s="787">
        <v>0</v>
      </c>
      <c r="H9384" s="787">
        <v>1</v>
      </c>
      <c r="K9384" s="788">
        <v>41642</v>
      </c>
      <c r="L9384" s="787">
        <v>2.2400000000000002</v>
      </c>
      <c r="M9384" s="787">
        <v>10</v>
      </c>
      <c r="N9384" s="787">
        <v>10.24</v>
      </c>
      <c r="O9384" s="788">
        <v>42061</v>
      </c>
    </row>
    <row r="9385" spans="1:15" x14ac:dyDescent="0.25">
      <c r="A9385" s="786" t="s">
        <v>16899</v>
      </c>
      <c r="B9385" s="787">
        <v>4</v>
      </c>
      <c r="C9385" s="787" t="s">
        <v>16900</v>
      </c>
      <c r="D9385" s="787">
        <v>0</v>
      </c>
      <c r="E9385" s="787">
        <v>0</v>
      </c>
      <c r="H9385" s="787">
        <v>1</v>
      </c>
      <c r="K9385" s="788">
        <v>41642</v>
      </c>
      <c r="L9385" s="787">
        <v>1.3</v>
      </c>
      <c r="M9385" s="787">
        <v>10</v>
      </c>
      <c r="N9385" s="787">
        <v>7.9</v>
      </c>
      <c r="O9385" s="788">
        <v>42061</v>
      </c>
    </row>
    <row r="9386" spans="1:15" x14ac:dyDescent="0.25">
      <c r="A9386" s="786" t="s">
        <v>16901</v>
      </c>
      <c r="B9386" s="787">
        <v>4</v>
      </c>
      <c r="C9386" s="787" t="s">
        <v>16902</v>
      </c>
      <c r="D9386" s="787">
        <v>0</v>
      </c>
      <c r="E9386" s="787">
        <v>0</v>
      </c>
      <c r="H9386" s="787">
        <v>1</v>
      </c>
      <c r="K9386" s="788">
        <v>41744</v>
      </c>
      <c r="L9386" s="787">
        <v>42.8</v>
      </c>
      <c r="M9386" s="787">
        <v>20</v>
      </c>
      <c r="N9386" s="787">
        <v>0</v>
      </c>
    </row>
    <row r="9387" spans="1:15" x14ac:dyDescent="0.25">
      <c r="A9387" s="786" t="s">
        <v>16901</v>
      </c>
      <c r="B9387" s="787">
        <v>4</v>
      </c>
      <c r="C9387" s="787" t="s">
        <v>16902</v>
      </c>
      <c r="D9387" s="787">
        <v>0</v>
      </c>
      <c r="E9387" s="787">
        <v>0</v>
      </c>
      <c r="H9387" s="787">
        <v>1</v>
      </c>
      <c r="K9387" s="788">
        <v>41744</v>
      </c>
      <c r="L9387" s="787">
        <v>42.8</v>
      </c>
      <c r="M9387" s="787">
        <v>20</v>
      </c>
      <c r="N9387" s="787">
        <v>0</v>
      </c>
    </row>
    <row r="9388" spans="1:15" x14ac:dyDescent="0.25">
      <c r="A9388" s="786" t="s">
        <v>16901</v>
      </c>
      <c r="B9388" s="787">
        <v>4</v>
      </c>
      <c r="C9388" s="787" t="s">
        <v>16902</v>
      </c>
      <c r="D9388" s="787">
        <v>0</v>
      </c>
      <c r="E9388" s="787">
        <v>0</v>
      </c>
      <c r="H9388" s="787">
        <v>1</v>
      </c>
      <c r="K9388" s="788">
        <v>41744</v>
      </c>
      <c r="L9388" s="787">
        <v>42.8</v>
      </c>
      <c r="M9388" s="787">
        <v>20</v>
      </c>
      <c r="N9388" s="787">
        <v>0</v>
      </c>
    </row>
    <row r="9389" spans="1:15" x14ac:dyDescent="0.25">
      <c r="A9389" s="786" t="s">
        <v>16901</v>
      </c>
      <c r="B9389" s="787">
        <v>4</v>
      </c>
      <c r="C9389" s="787" t="s">
        <v>16902</v>
      </c>
      <c r="D9389" s="787">
        <v>0</v>
      </c>
      <c r="E9389" s="787">
        <v>0</v>
      </c>
      <c r="H9389" s="787">
        <v>1</v>
      </c>
      <c r="K9389" s="788">
        <v>41744</v>
      </c>
      <c r="L9389" s="787">
        <v>42.8</v>
      </c>
      <c r="M9389" s="787">
        <v>20</v>
      </c>
      <c r="N9389" s="787">
        <v>0</v>
      </c>
    </row>
    <row r="9390" spans="1:15" x14ac:dyDescent="0.25">
      <c r="A9390" s="786" t="s">
        <v>16901</v>
      </c>
      <c r="B9390" s="787">
        <v>4</v>
      </c>
      <c r="C9390" s="787" t="s">
        <v>16902</v>
      </c>
      <c r="D9390" s="787">
        <v>0</v>
      </c>
      <c r="E9390" s="787">
        <v>0</v>
      </c>
      <c r="H9390" s="787">
        <v>1</v>
      </c>
      <c r="K9390" s="788">
        <v>41744</v>
      </c>
      <c r="L9390" s="787">
        <v>42.8</v>
      </c>
      <c r="M9390" s="787">
        <v>20</v>
      </c>
      <c r="N9390" s="787">
        <v>0</v>
      </c>
    </row>
    <row r="9391" spans="1:15" x14ac:dyDescent="0.25">
      <c r="A9391" s="786" t="s">
        <v>16901</v>
      </c>
      <c r="B9391" s="787">
        <v>4</v>
      </c>
      <c r="C9391" s="787" t="s">
        <v>16902</v>
      </c>
      <c r="D9391" s="787">
        <v>0</v>
      </c>
      <c r="E9391" s="787">
        <v>0</v>
      </c>
      <c r="H9391" s="787">
        <v>1</v>
      </c>
      <c r="K9391" s="788">
        <v>41744</v>
      </c>
      <c r="L9391" s="787">
        <v>42.8</v>
      </c>
      <c r="M9391" s="787">
        <v>20</v>
      </c>
      <c r="N9391" s="787">
        <v>0</v>
      </c>
    </row>
    <row r="9392" spans="1:15" x14ac:dyDescent="0.25">
      <c r="A9392" s="786" t="s">
        <v>16901</v>
      </c>
      <c r="B9392" s="787">
        <v>4</v>
      </c>
      <c r="C9392" s="787" t="s">
        <v>16902</v>
      </c>
      <c r="D9392" s="787">
        <v>0</v>
      </c>
      <c r="E9392" s="787">
        <v>0</v>
      </c>
      <c r="H9392" s="787">
        <v>1</v>
      </c>
      <c r="K9392" s="788">
        <v>41744</v>
      </c>
      <c r="L9392" s="787">
        <v>42.8</v>
      </c>
      <c r="M9392" s="787">
        <v>20</v>
      </c>
      <c r="N9392" s="787">
        <v>0</v>
      </c>
    </row>
    <row r="9393" spans="1:14" x14ac:dyDescent="0.25">
      <c r="A9393" s="786" t="s">
        <v>16901</v>
      </c>
      <c r="B9393" s="787">
        <v>4</v>
      </c>
      <c r="C9393" s="787" t="s">
        <v>16902</v>
      </c>
      <c r="D9393" s="787">
        <v>0</v>
      </c>
      <c r="E9393" s="787">
        <v>0</v>
      </c>
      <c r="H9393" s="787">
        <v>1</v>
      </c>
      <c r="K9393" s="788">
        <v>41744</v>
      </c>
      <c r="L9393" s="787">
        <v>42.8</v>
      </c>
      <c r="M9393" s="787">
        <v>20</v>
      </c>
      <c r="N9393" s="787">
        <v>0</v>
      </c>
    </row>
    <row r="9394" spans="1:14" x14ac:dyDescent="0.25">
      <c r="A9394" s="786" t="s">
        <v>16901</v>
      </c>
      <c r="B9394" s="787">
        <v>4</v>
      </c>
      <c r="C9394" s="787" t="s">
        <v>16902</v>
      </c>
      <c r="D9394" s="787">
        <v>0</v>
      </c>
      <c r="E9394" s="787">
        <v>0</v>
      </c>
      <c r="H9394" s="787">
        <v>1</v>
      </c>
      <c r="K9394" s="788">
        <v>41744</v>
      </c>
      <c r="L9394" s="787">
        <v>42.8</v>
      </c>
      <c r="M9394" s="787">
        <v>20</v>
      </c>
      <c r="N9394" s="787">
        <v>0</v>
      </c>
    </row>
    <row r="9395" spans="1:14" x14ac:dyDescent="0.25">
      <c r="A9395" s="786" t="s">
        <v>16901</v>
      </c>
      <c r="B9395" s="787">
        <v>4</v>
      </c>
      <c r="C9395" s="787" t="s">
        <v>16902</v>
      </c>
      <c r="D9395" s="787">
        <v>0</v>
      </c>
      <c r="E9395" s="787">
        <v>0</v>
      </c>
      <c r="H9395" s="787">
        <v>1</v>
      </c>
      <c r="K9395" s="788">
        <v>41744</v>
      </c>
      <c r="L9395" s="787">
        <v>42.8</v>
      </c>
      <c r="M9395" s="787">
        <v>20</v>
      </c>
      <c r="N9395" s="787">
        <v>0</v>
      </c>
    </row>
    <row r="9396" spans="1:14" x14ac:dyDescent="0.25">
      <c r="A9396" s="786" t="s">
        <v>16901</v>
      </c>
      <c r="B9396" s="787">
        <v>4</v>
      </c>
      <c r="C9396" s="787" t="s">
        <v>16902</v>
      </c>
      <c r="D9396" s="787">
        <v>0</v>
      </c>
      <c r="E9396" s="787">
        <v>0</v>
      </c>
      <c r="H9396" s="787">
        <v>1</v>
      </c>
      <c r="K9396" s="788">
        <v>41744</v>
      </c>
      <c r="L9396" s="787">
        <v>42.8</v>
      </c>
      <c r="M9396" s="787">
        <v>20</v>
      </c>
      <c r="N9396" s="787">
        <v>0</v>
      </c>
    </row>
    <row r="9397" spans="1:14" x14ac:dyDescent="0.25">
      <c r="A9397" s="786" t="s">
        <v>16901</v>
      </c>
      <c r="B9397" s="787">
        <v>4</v>
      </c>
      <c r="C9397" s="787" t="s">
        <v>16902</v>
      </c>
      <c r="D9397" s="787">
        <v>0</v>
      </c>
      <c r="E9397" s="787">
        <v>0</v>
      </c>
      <c r="H9397" s="787">
        <v>1</v>
      </c>
      <c r="K9397" s="788">
        <v>41744</v>
      </c>
      <c r="L9397" s="787">
        <v>42.8</v>
      </c>
      <c r="M9397" s="787">
        <v>20</v>
      </c>
      <c r="N9397" s="787">
        <v>0</v>
      </c>
    </row>
    <row r="9398" spans="1:14" x14ac:dyDescent="0.25">
      <c r="A9398" s="786" t="s">
        <v>16901</v>
      </c>
      <c r="B9398" s="787">
        <v>4</v>
      </c>
      <c r="C9398" s="787" t="s">
        <v>16902</v>
      </c>
      <c r="D9398" s="787">
        <v>0</v>
      </c>
      <c r="E9398" s="787">
        <v>0</v>
      </c>
      <c r="H9398" s="787">
        <v>1</v>
      </c>
      <c r="K9398" s="788">
        <v>41744</v>
      </c>
      <c r="L9398" s="787">
        <v>42.8</v>
      </c>
      <c r="M9398" s="787">
        <v>20</v>
      </c>
      <c r="N9398" s="787">
        <v>0</v>
      </c>
    </row>
    <row r="9399" spans="1:14" x14ac:dyDescent="0.25">
      <c r="A9399" s="786" t="s">
        <v>16901</v>
      </c>
      <c r="B9399" s="787">
        <v>4</v>
      </c>
      <c r="C9399" s="787" t="s">
        <v>16902</v>
      </c>
      <c r="D9399" s="787">
        <v>0</v>
      </c>
      <c r="E9399" s="787">
        <v>0</v>
      </c>
      <c r="H9399" s="787">
        <v>1</v>
      </c>
      <c r="K9399" s="788">
        <v>41744</v>
      </c>
      <c r="L9399" s="787">
        <v>42.8</v>
      </c>
      <c r="M9399" s="787">
        <v>20</v>
      </c>
      <c r="N9399" s="787">
        <v>0</v>
      </c>
    </row>
    <row r="9400" spans="1:14" x14ac:dyDescent="0.25">
      <c r="A9400" s="786" t="s">
        <v>16901</v>
      </c>
      <c r="B9400" s="787">
        <v>4</v>
      </c>
      <c r="C9400" s="787" t="s">
        <v>16902</v>
      </c>
      <c r="D9400" s="787">
        <v>0</v>
      </c>
      <c r="E9400" s="787">
        <v>0</v>
      </c>
      <c r="H9400" s="787">
        <v>1</v>
      </c>
      <c r="K9400" s="788">
        <v>41744</v>
      </c>
      <c r="L9400" s="787">
        <v>42.8</v>
      </c>
      <c r="M9400" s="787">
        <v>20</v>
      </c>
      <c r="N9400" s="787">
        <v>0</v>
      </c>
    </row>
    <row r="9401" spans="1:14" x14ac:dyDescent="0.25">
      <c r="A9401" s="786" t="s">
        <v>16901</v>
      </c>
      <c r="B9401" s="787">
        <v>4</v>
      </c>
      <c r="C9401" s="787" t="s">
        <v>16902</v>
      </c>
      <c r="D9401" s="787">
        <v>0</v>
      </c>
      <c r="E9401" s="787">
        <v>0</v>
      </c>
      <c r="H9401" s="787">
        <v>1</v>
      </c>
      <c r="K9401" s="788">
        <v>41744</v>
      </c>
      <c r="L9401" s="787">
        <v>42.8</v>
      </c>
      <c r="M9401" s="787">
        <v>20</v>
      </c>
      <c r="N9401" s="787">
        <v>0</v>
      </c>
    </row>
    <row r="9402" spans="1:14" x14ac:dyDescent="0.25">
      <c r="A9402" s="786" t="s">
        <v>16901</v>
      </c>
      <c r="B9402" s="787">
        <v>4</v>
      </c>
      <c r="C9402" s="787" t="s">
        <v>16902</v>
      </c>
      <c r="D9402" s="787">
        <v>0</v>
      </c>
      <c r="E9402" s="787">
        <v>0</v>
      </c>
      <c r="H9402" s="787">
        <v>1</v>
      </c>
      <c r="K9402" s="788">
        <v>41744</v>
      </c>
      <c r="L9402" s="787">
        <v>42.8</v>
      </c>
      <c r="M9402" s="787">
        <v>20</v>
      </c>
      <c r="N9402" s="787">
        <v>0</v>
      </c>
    </row>
    <row r="9403" spans="1:14" x14ac:dyDescent="0.25">
      <c r="A9403" s="786" t="s">
        <v>16901</v>
      </c>
      <c r="B9403" s="787">
        <v>4</v>
      </c>
      <c r="C9403" s="787" t="s">
        <v>16902</v>
      </c>
      <c r="D9403" s="787">
        <v>0</v>
      </c>
      <c r="E9403" s="787">
        <v>0</v>
      </c>
      <c r="H9403" s="787">
        <v>1</v>
      </c>
      <c r="K9403" s="788">
        <v>41744</v>
      </c>
      <c r="L9403" s="787">
        <v>42.8</v>
      </c>
      <c r="M9403" s="787">
        <v>20</v>
      </c>
      <c r="N9403" s="787">
        <v>0</v>
      </c>
    </row>
    <row r="9404" spans="1:14" x14ac:dyDescent="0.25">
      <c r="A9404" s="786" t="s">
        <v>16901</v>
      </c>
      <c r="B9404" s="787">
        <v>4</v>
      </c>
      <c r="C9404" s="787" t="s">
        <v>16902</v>
      </c>
      <c r="D9404" s="787">
        <v>0</v>
      </c>
      <c r="E9404" s="787">
        <v>0</v>
      </c>
      <c r="H9404" s="787">
        <v>1</v>
      </c>
      <c r="K9404" s="788">
        <v>41744</v>
      </c>
      <c r="L9404" s="787">
        <v>42.8</v>
      </c>
      <c r="M9404" s="787">
        <v>20</v>
      </c>
      <c r="N9404" s="787">
        <v>0</v>
      </c>
    </row>
    <row r="9405" spans="1:14" x14ac:dyDescent="0.25">
      <c r="A9405" s="786" t="s">
        <v>16901</v>
      </c>
      <c r="B9405" s="787">
        <v>4</v>
      </c>
      <c r="C9405" s="787" t="s">
        <v>16902</v>
      </c>
      <c r="D9405" s="787">
        <v>0</v>
      </c>
      <c r="E9405" s="787">
        <v>0</v>
      </c>
      <c r="H9405" s="787">
        <v>1</v>
      </c>
      <c r="K9405" s="788">
        <v>41744</v>
      </c>
      <c r="L9405" s="787">
        <v>42.8</v>
      </c>
      <c r="M9405" s="787">
        <v>20</v>
      </c>
      <c r="N9405" s="787">
        <v>0</v>
      </c>
    </row>
    <row r="9406" spans="1:14" x14ac:dyDescent="0.25">
      <c r="A9406" s="786" t="s">
        <v>16901</v>
      </c>
      <c r="B9406" s="787">
        <v>4</v>
      </c>
      <c r="C9406" s="787" t="s">
        <v>16902</v>
      </c>
      <c r="D9406" s="787">
        <v>0</v>
      </c>
      <c r="E9406" s="787">
        <v>0</v>
      </c>
      <c r="H9406" s="787">
        <v>1</v>
      </c>
      <c r="K9406" s="788">
        <v>41744</v>
      </c>
      <c r="L9406" s="787">
        <v>42.8</v>
      </c>
      <c r="M9406" s="787">
        <v>20</v>
      </c>
      <c r="N9406" s="787">
        <v>0</v>
      </c>
    </row>
    <row r="9407" spans="1:14" x14ac:dyDescent="0.25">
      <c r="A9407" s="786" t="s">
        <v>16901</v>
      </c>
      <c r="B9407" s="787">
        <v>4</v>
      </c>
      <c r="C9407" s="787" t="s">
        <v>16902</v>
      </c>
      <c r="D9407" s="787">
        <v>0</v>
      </c>
      <c r="E9407" s="787">
        <v>0</v>
      </c>
      <c r="H9407" s="787">
        <v>1</v>
      </c>
      <c r="K9407" s="788">
        <v>41744</v>
      </c>
      <c r="L9407" s="787">
        <v>42.8</v>
      </c>
      <c r="M9407" s="787">
        <v>20</v>
      </c>
      <c r="N9407" s="787">
        <v>0</v>
      </c>
    </row>
    <row r="9408" spans="1:14" x14ac:dyDescent="0.25">
      <c r="A9408" s="786" t="s">
        <v>16901</v>
      </c>
      <c r="B9408" s="787">
        <v>4</v>
      </c>
      <c r="C9408" s="787" t="s">
        <v>16902</v>
      </c>
      <c r="D9408" s="787">
        <v>0</v>
      </c>
      <c r="E9408" s="787">
        <v>0</v>
      </c>
      <c r="H9408" s="787">
        <v>1</v>
      </c>
      <c r="K9408" s="788">
        <v>41744</v>
      </c>
      <c r="L9408" s="787">
        <v>42.8</v>
      </c>
      <c r="M9408" s="787">
        <v>20</v>
      </c>
      <c r="N9408" s="787">
        <v>0</v>
      </c>
    </row>
    <row r="9409" spans="1:14" x14ac:dyDescent="0.25">
      <c r="A9409" s="786" t="s">
        <v>16901</v>
      </c>
      <c r="B9409" s="787">
        <v>4</v>
      </c>
      <c r="C9409" s="787" t="s">
        <v>16902</v>
      </c>
      <c r="D9409" s="787">
        <v>0</v>
      </c>
      <c r="E9409" s="787">
        <v>0</v>
      </c>
      <c r="H9409" s="787">
        <v>1</v>
      </c>
      <c r="K9409" s="788">
        <v>41744</v>
      </c>
      <c r="L9409" s="787">
        <v>42.8</v>
      </c>
      <c r="M9409" s="787">
        <v>20</v>
      </c>
      <c r="N9409" s="787">
        <v>0</v>
      </c>
    </row>
    <row r="9410" spans="1:14" x14ac:dyDescent="0.25">
      <c r="A9410" s="786" t="s">
        <v>16901</v>
      </c>
      <c r="B9410" s="787">
        <v>4</v>
      </c>
      <c r="C9410" s="787" t="s">
        <v>16902</v>
      </c>
      <c r="D9410" s="787">
        <v>0</v>
      </c>
      <c r="E9410" s="787">
        <v>0</v>
      </c>
      <c r="H9410" s="787">
        <v>1</v>
      </c>
      <c r="K9410" s="788">
        <v>41744</v>
      </c>
      <c r="L9410" s="787">
        <v>42.8</v>
      </c>
      <c r="M9410" s="787">
        <v>20</v>
      </c>
      <c r="N9410" s="787">
        <v>0</v>
      </c>
    </row>
    <row r="9411" spans="1:14" x14ac:dyDescent="0.25">
      <c r="A9411" s="786" t="s">
        <v>16901</v>
      </c>
      <c r="B9411" s="787">
        <v>4</v>
      </c>
      <c r="C9411" s="787" t="s">
        <v>16902</v>
      </c>
      <c r="D9411" s="787">
        <v>0</v>
      </c>
      <c r="E9411" s="787">
        <v>0</v>
      </c>
      <c r="H9411" s="787">
        <v>1</v>
      </c>
      <c r="K9411" s="788">
        <v>41744</v>
      </c>
      <c r="L9411" s="787">
        <v>42.8</v>
      </c>
      <c r="M9411" s="787">
        <v>20</v>
      </c>
      <c r="N9411" s="787">
        <v>0</v>
      </c>
    </row>
    <row r="9412" spans="1:14" x14ac:dyDescent="0.25">
      <c r="A9412" s="786" t="s">
        <v>16901</v>
      </c>
      <c r="B9412" s="787">
        <v>4</v>
      </c>
      <c r="C9412" s="787" t="s">
        <v>16902</v>
      </c>
      <c r="D9412" s="787">
        <v>0</v>
      </c>
      <c r="E9412" s="787">
        <v>0</v>
      </c>
      <c r="H9412" s="787">
        <v>1</v>
      </c>
      <c r="K9412" s="788">
        <v>41744</v>
      </c>
      <c r="L9412" s="787">
        <v>42.8</v>
      </c>
      <c r="M9412" s="787">
        <v>20</v>
      </c>
      <c r="N9412" s="787">
        <v>0</v>
      </c>
    </row>
    <row r="9413" spans="1:14" x14ac:dyDescent="0.25">
      <c r="A9413" s="786" t="s">
        <v>16901</v>
      </c>
      <c r="B9413" s="787">
        <v>4</v>
      </c>
      <c r="C9413" s="787" t="s">
        <v>16902</v>
      </c>
      <c r="D9413" s="787">
        <v>0</v>
      </c>
      <c r="E9413" s="787">
        <v>0</v>
      </c>
      <c r="H9413" s="787">
        <v>1</v>
      </c>
      <c r="K9413" s="788">
        <v>41744</v>
      </c>
      <c r="L9413" s="787">
        <v>42.8</v>
      </c>
      <c r="M9413" s="787">
        <v>20</v>
      </c>
      <c r="N9413" s="787">
        <v>0</v>
      </c>
    </row>
    <row r="9414" spans="1:14" x14ac:dyDescent="0.25">
      <c r="A9414" s="786" t="s">
        <v>16901</v>
      </c>
      <c r="B9414" s="787">
        <v>4</v>
      </c>
      <c r="C9414" s="787" t="s">
        <v>16902</v>
      </c>
      <c r="D9414" s="787">
        <v>0</v>
      </c>
      <c r="E9414" s="787">
        <v>0</v>
      </c>
      <c r="H9414" s="787">
        <v>1</v>
      </c>
      <c r="K9414" s="788">
        <v>41744</v>
      </c>
      <c r="L9414" s="787">
        <v>42.8</v>
      </c>
      <c r="M9414" s="787">
        <v>20</v>
      </c>
      <c r="N9414" s="787">
        <v>0</v>
      </c>
    </row>
    <row r="9415" spans="1:14" x14ac:dyDescent="0.25">
      <c r="A9415" s="786" t="s">
        <v>16901</v>
      </c>
      <c r="B9415" s="787">
        <v>4</v>
      </c>
      <c r="C9415" s="787" t="s">
        <v>16902</v>
      </c>
      <c r="D9415" s="787">
        <v>0</v>
      </c>
      <c r="E9415" s="787">
        <v>0</v>
      </c>
      <c r="H9415" s="787">
        <v>1</v>
      </c>
      <c r="K9415" s="788">
        <v>41744</v>
      </c>
      <c r="L9415" s="787">
        <v>42.8</v>
      </c>
      <c r="M9415" s="787">
        <v>20</v>
      </c>
      <c r="N9415" s="787">
        <v>0</v>
      </c>
    </row>
    <row r="9416" spans="1:14" x14ac:dyDescent="0.25">
      <c r="A9416" s="786" t="s">
        <v>16901</v>
      </c>
      <c r="B9416" s="787">
        <v>4</v>
      </c>
      <c r="C9416" s="787" t="s">
        <v>16902</v>
      </c>
      <c r="D9416" s="787">
        <v>0</v>
      </c>
      <c r="E9416" s="787">
        <v>0</v>
      </c>
      <c r="H9416" s="787">
        <v>1</v>
      </c>
      <c r="K9416" s="788">
        <v>41744</v>
      </c>
      <c r="L9416" s="787">
        <v>42.8</v>
      </c>
      <c r="M9416" s="787">
        <v>20</v>
      </c>
      <c r="N9416" s="787">
        <v>0</v>
      </c>
    </row>
    <row r="9417" spans="1:14" x14ac:dyDescent="0.25">
      <c r="A9417" s="786" t="s">
        <v>16901</v>
      </c>
      <c r="B9417" s="787">
        <v>4</v>
      </c>
      <c r="C9417" s="787" t="s">
        <v>16902</v>
      </c>
      <c r="D9417" s="787">
        <v>0</v>
      </c>
      <c r="E9417" s="787">
        <v>0</v>
      </c>
      <c r="H9417" s="787">
        <v>1</v>
      </c>
      <c r="K9417" s="788">
        <v>41744</v>
      </c>
      <c r="L9417" s="787">
        <v>42.8</v>
      </c>
      <c r="M9417" s="787">
        <v>20</v>
      </c>
      <c r="N9417" s="787">
        <v>0</v>
      </c>
    </row>
    <row r="9418" spans="1:14" x14ac:dyDescent="0.25">
      <c r="A9418" s="786" t="s">
        <v>16901</v>
      </c>
      <c r="B9418" s="787">
        <v>4</v>
      </c>
      <c r="C9418" s="787" t="s">
        <v>16902</v>
      </c>
      <c r="D9418" s="787">
        <v>0</v>
      </c>
      <c r="E9418" s="787">
        <v>0</v>
      </c>
      <c r="H9418" s="787">
        <v>1</v>
      </c>
      <c r="K9418" s="788">
        <v>41744</v>
      </c>
      <c r="L9418" s="787">
        <v>42.8</v>
      </c>
      <c r="M9418" s="787">
        <v>20</v>
      </c>
      <c r="N9418" s="787">
        <v>0</v>
      </c>
    </row>
    <row r="9419" spans="1:14" x14ac:dyDescent="0.25">
      <c r="A9419" s="786" t="s">
        <v>16901</v>
      </c>
      <c r="B9419" s="787">
        <v>4</v>
      </c>
      <c r="C9419" s="787" t="s">
        <v>16902</v>
      </c>
      <c r="D9419" s="787">
        <v>0</v>
      </c>
      <c r="E9419" s="787">
        <v>0</v>
      </c>
      <c r="H9419" s="787">
        <v>1</v>
      </c>
      <c r="K9419" s="788">
        <v>41744</v>
      </c>
      <c r="L9419" s="787">
        <v>42.8</v>
      </c>
      <c r="M9419" s="787">
        <v>20</v>
      </c>
      <c r="N9419" s="787">
        <v>0</v>
      </c>
    </row>
    <row r="9420" spans="1:14" x14ac:dyDescent="0.25">
      <c r="A9420" s="786" t="s">
        <v>16901</v>
      </c>
      <c r="B9420" s="787">
        <v>4</v>
      </c>
      <c r="C9420" s="787" t="s">
        <v>16902</v>
      </c>
      <c r="D9420" s="787">
        <v>0</v>
      </c>
      <c r="E9420" s="787">
        <v>0</v>
      </c>
      <c r="H9420" s="787">
        <v>1</v>
      </c>
      <c r="K9420" s="788">
        <v>41744</v>
      </c>
      <c r="L9420" s="787">
        <v>42.8</v>
      </c>
      <c r="M9420" s="787">
        <v>20</v>
      </c>
      <c r="N9420" s="787">
        <v>0</v>
      </c>
    </row>
    <row r="9421" spans="1:14" x14ac:dyDescent="0.25">
      <c r="A9421" s="786" t="s">
        <v>16901</v>
      </c>
      <c r="B9421" s="787">
        <v>4</v>
      </c>
      <c r="C9421" s="787" t="s">
        <v>16902</v>
      </c>
      <c r="D9421" s="787">
        <v>0</v>
      </c>
      <c r="E9421" s="787">
        <v>0</v>
      </c>
      <c r="H9421" s="787">
        <v>1</v>
      </c>
      <c r="K9421" s="788">
        <v>41744</v>
      </c>
      <c r="L9421" s="787">
        <v>42.8</v>
      </c>
      <c r="M9421" s="787">
        <v>20</v>
      </c>
      <c r="N9421" s="787">
        <v>0</v>
      </c>
    </row>
    <row r="9422" spans="1:14" x14ac:dyDescent="0.25">
      <c r="A9422" s="786" t="s">
        <v>16901</v>
      </c>
      <c r="B9422" s="787">
        <v>4</v>
      </c>
      <c r="C9422" s="787" t="s">
        <v>16902</v>
      </c>
      <c r="D9422" s="787">
        <v>0</v>
      </c>
      <c r="E9422" s="787">
        <v>0</v>
      </c>
      <c r="H9422" s="787">
        <v>1</v>
      </c>
      <c r="K9422" s="788">
        <v>41744</v>
      </c>
      <c r="L9422" s="787">
        <v>42.8</v>
      </c>
      <c r="M9422" s="787">
        <v>20</v>
      </c>
      <c r="N9422" s="787">
        <v>0</v>
      </c>
    </row>
    <row r="9423" spans="1:14" x14ac:dyDescent="0.25">
      <c r="A9423" s="786" t="s">
        <v>16901</v>
      </c>
      <c r="B9423" s="787">
        <v>4</v>
      </c>
      <c r="C9423" s="787" t="s">
        <v>16902</v>
      </c>
      <c r="D9423" s="787">
        <v>0</v>
      </c>
      <c r="E9423" s="787">
        <v>0</v>
      </c>
      <c r="H9423" s="787">
        <v>1</v>
      </c>
      <c r="K9423" s="788">
        <v>41744</v>
      </c>
      <c r="L9423" s="787">
        <v>42.8</v>
      </c>
      <c r="M9423" s="787">
        <v>20</v>
      </c>
      <c r="N9423" s="787">
        <v>0</v>
      </c>
    </row>
    <row r="9424" spans="1:14" x14ac:dyDescent="0.25">
      <c r="A9424" s="786" t="s">
        <v>16901</v>
      </c>
      <c r="B9424" s="787">
        <v>4</v>
      </c>
      <c r="C9424" s="787" t="s">
        <v>16902</v>
      </c>
      <c r="D9424" s="787">
        <v>0</v>
      </c>
      <c r="E9424" s="787">
        <v>0</v>
      </c>
      <c r="H9424" s="787">
        <v>1</v>
      </c>
      <c r="K9424" s="788">
        <v>41744</v>
      </c>
      <c r="L9424" s="787">
        <v>42.8</v>
      </c>
      <c r="M9424" s="787">
        <v>20</v>
      </c>
      <c r="N9424" s="787">
        <v>0</v>
      </c>
    </row>
    <row r="9425" spans="1:15" x14ac:dyDescent="0.25">
      <c r="A9425" s="786" t="s">
        <v>16903</v>
      </c>
      <c r="B9425" s="787">
        <v>4</v>
      </c>
      <c r="C9425" s="787" t="s">
        <v>16904</v>
      </c>
      <c r="D9425" s="787">
        <v>0</v>
      </c>
      <c r="E9425" s="787">
        <v>0</v>
      </c>
      <c r="H9425" s="787">
        <v>6</v>
      </c>
      <c r="L9425" s="787">
        <v>37.86</v>
      </c>
      <c r="M9425" s="787">
        <v>20</v>
      </c>
      <c r="N9425" s="787">
        <v>0</v>
      </c>
    </row>
    <row r="9426" spans="1:15" x14ac:dyDescent="0.25">
      <c r="A9426" s="786" t="s">
        <v>16903</v>
      </c>
      <c r="B9426" s="787">
        <v>4</v>
      </c>
      <c r="C9426" s="787" t="s">
        <v>16904</v>
      </c>
      <c r="D9426" s="787">
        <v>0</v>
      </c>
      <c r="E9426" s="787">
        <v>0</v>
      </c>
      <c r="H9426" s="787">
        <v>6</v>
      </c>
      <c r="L9426" s="787">
        <v>37.86</v>
      </c>
      <c r="M9426" s="787">
        <v>20</v>
      </c>
      <c r="N9426" s="787">
        <v>0</v>
      </c>
    </row>
    <row r="9427" spans="1:15" x14ac:dyDescent="0.25">
      <c r="A9427" s="786" t="s">
        <v>16903</v>
      </c>
      <c r="B9427" s="787">
        <v>4</v>
      </c>
      <c r="C9427" s="787" t="s">
        <v>16904</v>
      </c>
      <c r="D9427" s="787">
        <v>0</v>
      </c>
      <c r="E9427" s="787">
        <v>0</v>
      </c>
      <c r="H9427" s="787">
        <v>6</v>
      </c>
      <c r="L9427" s="787">
        <v>37.86</v>
      </c>
      <c r="M9427" s="787">
        <v>20</v>
      </c>
      <c r="N9427" s="787">
        <v>0</v>
      </c>
    </row>
    <row r="9428" spans="1:15" x14ac:dyDescent="0.25">
      <c r="A9428" s="786" t="s">
        <v>16905</v>
      </c>
      <c r="B9428" s="787">
        <v>4</v>
      </c>
      <c r="C9428" s="787" t="s">
        <v>16906</v>
      </c>
      <c r="D9428" s="787">
        <v>3.15</v>
      </c>
      <c r="E9428" s="787">
        <v>43.15</v>
      </c>
      <c r="F9428" s="788">
        <v>42058</v>
      </c>
      <c r="G9428" s="788">
        <v>42027</v>
      </c>
      <c r="H9428" s="787">
        <v>1</v>
      </c>
      <c r="I9428" s="788">
        <v>42034</v>
      </c>
      <c r="J9428" s="788">
        <v>42027</v>
      </c>
      <c r="K9428" s="788">
        <v>42027</v>
      </c>
      <c r="L9428" s="787">
        <v>43.15</v>
      </c>
      <c r="M9428" s="787">
        <v>10</v>
      </c>
      <c r="N9428" s="787">
        <v>50.09</v>
      </c>
      <c r="O9428" s="788">
        <v>42027</v>
      </c>
    </row>
    <row r="9429" spans="1:15" x14ac:dyDescent="0.25">
      <c r="A9429" s="786" t="s">
        <v>16907</v>
      </c>
      <c r="B9429" s="787">
        <v>4</v>
      </c>
      <c r="C9429" s="787" t="s">
        <v>16904</v>
      </c>
      <c r="D9429" s="787">
        <v>0</v>
      </c>
      <c r="E9429" s="787">
        <v>0</v>
      </c>
      <c r="H9429" s="787">
        <v>1</v>
      </c>
      <c r="K9429" s="788">
        <v>41648</v>
      </c>
      <c r="L9429" s="787">
        <v>37.86</v>
      </c>
      <c r="M9429" s="787">
        <v>20</v>
      </c>
      <c r="N9429" s="787">
        <v>0</v>
      </c>
    </row>
    <row r="9430" spans="1:15" x14ac:dyDescent="0.25">
      <c r="A9430" s="786" t="s">
        <v>16907</v>
      </c>
      <c r="B9430" s="787">
        <v>4</v>
      </c>
      <c r="C9430" s="787" t="s">
        <v>16904</v>
      </c>
      <c r="D9430" s="787">
        <v>0</v>
      </c>
      <c r="E9430" s="787">
        <v>0</v>
      </c>
      <c r="H9430" s="787">
        <v>1</v>
      </c>
      <c r="K9430" s="788">
        <v>41648</v>
      </c>
      <c r="L9430" s="787">
        <v>37.86</v>
      </c>
      <c r="M9430" s="787">
        <v>20</v>
      </c>
      <c r="N9430" s="787">
        <v>0</v>
      </c>
    </row>
    <row r="9431" spans="1:15" x14ac:dyDescent="0.25">
      <c r="A9431" s="786" t="s">
        <v>16907</v>
      </c>
      <c r="B9431" s="787">
        <v>4</v>
      </c>
      <c r="C9431" s="787" t="s">
        <v>16904</v>
      </c>
      <c r="D9431" s="787">
        <v>0</v>
      </c>
      <c r="E9431" s="787">
        <v>0</v>
      </c>
      <c r="H9431" s="787">
        <v>1</v>
      </c>
      <c r="K9431" s="788">
        <v>41648</v>
      </c>
      <c r="L9431" s="787">
        <v>37.86</v>
      </c>
      <c r="M9431" s="787">
        <v>20</v>
      </c>
      <c r="N9431" s="787">
        <v>0</v>
      </c>
    </row>
    <row r="9432" spans="1:15" x14ac:dyDescent="0.25">
      <c r="A9432" s="786" t="s">
        <v>16907</v>
      </c>
      <c r="B9432" s="787">
        <v>4</v>
      </c>
      <c r="C9432" s="787" t="s">
        <v>16904</v>
      </c>
      <c r="D9432" s="787">
        <v>0</v>
      </c>
      <c r="E9432" s="787">
        <v>0</v>
      </c>
      <c r="H9432" s="787">
        <v>1</v>
      </c>
      <c r="K9432" s="788">
        <v>41648</v>
      </c>
      <c r="L9432" s="787">
        <v>37.86</v>
      </c>
      <c r="M9432" s="787">
        <v>20</v>
      </c>
      <c r="N9432" s="787">
        <v>0</v>
      </c>
    </row>
    <row r="9433" spans="1:15" x14ac:dyDescent="0.25">
      <c r="A9433" s="786" t="s">
        <v>16907</v>
      </c>
      <c r="B9433" s="787">
        <v>4</v>
      </c>
      <c r="C9433" s="787" t="s">
        <v>16904</v>
      </c>
      <c r="D9433" s="787">
        <v>0</v>
      </c>
      <c r="E9433" s="787">
        <v>0</v>
      </c>
      <c r="H9433" s="787">
        <v>1</v>
      </c>
      <c r="K9433" s="788">
        <v>41648</v>
      </c>
      <c r="L9433" s="787">
        <v>37.86</v>
      </c>
      <c r="M9433" s="787">
        <v>20</v>
      </c>
      <c r="N9433" s="787">
        <v>0</v>
      </c>
    </row>
    <row r="9434" spans="1:15" x14ac:dyDescent="0.25">
      <c r="A9434" s="786" t="s">
        <v>16907</v>
      </c>
      <c r="B9434" s="787">
        <v>4</v>
      </c>
      <c r="C9434" s="787" t="s">
        <v>16904</v>
      </c>
      <c r="D9434" s="787">
        <v>0</v>
      </c>
      <c r="E9434" s="787">
        <v>0</v>
      </c>
      <c r="H9434" s="787">
        <v>1</v>
      </c>
      <c r="K9434" s="788">
        <v>41648</v>
      </c>
      <c r="L9434" s="787">
        <v>37.86</v>
      </c>
      <c r="M9434" s="787">
        <v>20</v>
      </c>
      <c r="N9434" s="787">
        <v>0</v>
      </c>
    </row>
    <row r="9435" spans="1:15" x14ac:dyDescent="0.25">
      <c r="A9435" s="786" t="s">
        <v>16907</v>
      </c>
      <c r="B9435" s="787">
        <v>4</v>
      </c>
      <c r="C9435" s="787" t="s">
        <v>16904</v>
      </c>
      <c r="D9435" s="787">
        <v>0</v>
      </c>
      <c r="E9435" s="787">
        <v>0</v>
      </c>
      <c r="H9435" s="787">
        <v>1</v>
      </c>
      <c r="K9435" s="788">
        <v>41648</v>
      </c>
      <c r="L9435" s="787">
        <v>37.86</v>
      </c>
      <c r="M9435" s="787">
        <v>20</v>
      </c>
      <c r="N9435" s="787">
        <v>0</v>
      </c>
    </row>
    <row r="9436" spans="1:15" x14ac:dyDescent="0.25">
      <c r="A9436" s="786" t="s">
        <v>16907</v>
      </c>
      <c r="B9436" s="787">
        <v>4</v>
      </c>
      <c r="C9436" s="787" t="s">
        <v>16904</v>
      </c>
      <c r="D9436" s="787">
        <v>0</v>
      </c>
      <c r="E9436" s="787">
        <v>0</v>
      </c>
      <c r="H9436" s="787">
        <v>1</v>
      </c>
      <c r="K9436" s="788">
        <v>41648</v>
      </c>
      <c r="L9436" s="787">
        <v>37.86</v>
      </c>
      <c r="M9436" s="787">
        <v>20</v>
      </c>
      <c r="N9436" s="787">
        <v>0</v>
      </c>
    </row>
    <row r="9437" spans="1:15" x14ac:dyDescent="0.25">
      <c r="A9437" s="786" t="s">
        <v>16907</v>
      </c>
      <c r="B9437" s="787">
        <v>4</v>
      </c>
      <c r="C9437" s="787" t="s">
        <v>16904</v>
      </c>
      <c r="D9437" s="787">
        <v>0</v>
      </c>
      <c r="E9437" s="787">
        <v>0</v>
      </c>
      <c r="H9437" s="787">
        <v>1</v>
      </c>
      <c r="K9437" s="788">
        <v>41648</v>
      </c>
      <c r="L9437" s="787">
        <v>37.86</v>
      </c>
      <c r="M9437" s="787">
        <v>20</v>
      </c>
      <c r="N9437" s="787">
        <v>0</v>
      </c>
    </row>
    <row r="9438" spans="1:15" x14ac:dyDescent="0.25">
      <c r="A9438" s="786" t="s">
        <v>16908</v>
      </c>
      <c r="B9438" s="787">
        <v>4</v>
      </c>
      <c r="C9438" s="787" t="s">
        <v>16909</v>
      </c>
      <c r="D9438" s="787">
        <v>0</v>
      </c>
      <c r="E9438" s="787">
        <v>0</v>
      </c>
      <c r="H9438" s="787">
        <v>1</v>
      </c>
      <c r="K9438" s="788">
        <v>41652</v>
      </c>
      <c r="L9438" s="787">
        <v>15</v>
      </c>
      <c r="M9438" s="787">
        <v>10</v>
      </c>
      <c r="N9438" s="787">
        <v>14.83</v>
      </c>
      <c r="O9438" s="788">
        <v>41858</v>
      </c>
    </row>
    <row r="9439" spans="1:15" x14ac:dyDescent="0.25">
      <c r="A9439" s="786" t="s">
        <v>16910</v>
      </c>
      <c r="B9439" s="787">
        <v>4</v>
      </c>
      <c r="C9439" s="787" t="s">
        <v>16911</v>
      </c>
      <c r="D9439" s="787">
        <v>0</v>
      </c>
      <c r="E9439" s="787">
        <v>0</v>
      </c>
      <c r="H9439" s="787">
        <v>1</v>
      </c>
      <c r="K9439" s="788">
        <v>41653</v>
      </c>
      <c r="L9439" s="787">
        <v>160</v>
      </c>
      <c r="M9439" s="787">
        <v>10</v>
      </c>
      <c r="N9439" s="787">
        <v>126.97</v>
      </c>
      <c r="O9439" s="788">
        <v>42047</v>
      </c>
    </row>
    <row r="9440" spans="1:15" x14ac:dyDescent="0.25">
      <c r="A9440" s="786" t="s">
        <v>16912</v>
      </c>
      <c r="B9440" s="787">
        <v>4</v>
      </c>
      <c r="C9440" s="787" t="s">
        <v>16913</v>
      </c>
      <c r="D9440" s="787">
        <v>0</v>
      </c>
      <c r="E9440" s="787">
        <v>0</v>
      </c>
      <c r="H9440" s="787">
        <v>1</v>
      </c>
      <c r="L9440" s="787">
        <v>350</v>
      </c>
      <c r="M9440" s="787">
        <v>10</v>
      </c>
      <c r="N9440" s="787">
        <v>184.91</v>
      </c>
      <c r="O9440" s="788">
        <v>41858</v>
      </c>
    </row>
    <row r="9441" spans="1:15" x14ac:dyDescent="0.25">
      <c r="A9441" s="786" t="s">
        <v>16914</v>
      </c>
      <c r="B9441" s="787">
        <v>4</v>
      </c>
      <c r="C9441" s="787" t="s">
        <v>16915</v>
      </c>
      <c r="D9441" s="787">
        <v>0</v>
      </c>
      <c r="E9441" s="787">
        <v>0</v>
      </c>
      <c r="H9441" s="787">
        <v>1</v>
      </c>
      <c r="L9441" s="787">
        <v>450</v>
      </c>
      <c r="M9441" s="787">
        <v>10</v>
      </c>
      <c r="N9441" s="787">
        <v>266.7</v>
      </c>
      <c r="O9441" s="788">
        <v>41858</v>
      </c>
    </row>
    <row r="9442" spans="1:15" x14ac:dyDescent="0.25">
      <c r="A9442" s="786" t="s">
        <v>16916</v>
      </c>
      <c r="B9442" s="787">
        <v>4</v>
      </c>
      <c r="C9442" s="787" t="s">
        <v>16917</v>
      </c>
      <c r="D9442" s="787">
        <v>0</v>
      </c>
      <c r="E9442" s="787">
        <v>0</v>
      </c>
      <c r="H9442" s="787">
        <v>1</v>
      </c>
      <c r="L9442" s="787">
        <v>250</v>
      </c>
      <c r="M9442" s="787">
        <v>10</v>
      </c>
      <c r="N9442" s="787">
        <v>110.03</v>
      </c>
      <c r="O9442" s="788">
        <v>41858</v>
      </c>
    </row>
    <row r="9443" spans="1:15" x14ac:dyDescent="0.25">
      <c r="A9443" s="786" t="s">
        <v>16918</v>
      </c>
      <c r="B9443" s="787">
        <v>4</v>
      </c>
      <c r="C9443" s="787" t="s">
        <v>16919</v>
      </c>
      <c r="D9443" s="787">
        <v>0</v>
      </c>
      <c r="E9443" s="787">
        <v>0</v>
      </c>
      <c r="H9443" s="787">
        <v>1</v>
      </c>
      <c r="L9443" s="787">
        <v>350</v>
      </c>
      <c r="M9443" s="787">
        <v>10</v>
      </c>
      <c r="N9443" s="787">
        <v>198.72</v>
      </c>
      <c r="O9443" s="788">
        <v>41858</v>
      </c>
    </row>
    <row r="9444" spans="1:15" x14ac:dyDescent="0.25">
      <c r="A9444" s="786" t="s">
        <v>16920</v>
      </c>
      <c r="B9444" s="787">
        <v>4</v>
      </c>
      <c r="C9444" s="787" t="s">
        <v>16921</v>
      </c>
      <c r="D9444" s="787">
        <v>0</v>
      </c>
      <c r="E9444" s="787">
        <v>0</v>
      </c>
      <c r="H9444" s="787">
        <v>1</v>
      </c>
      <c r="L9444" s="787">
        <v>450</v>
      </c>
      <c r="M9444" s="787">
        <v>10</v>
      </c>
      <c r="N9444" s="787">
        <v>287.39999999999998</v>
      </c>
      <c r="O9444" s="788">
        <v>41858</v>
      </c>
    </row>
    <row r="9445" spans="1:15" x14ac:dyDescent="0.25">
      <c r="A9445" s="786" t="s">
        <v>16922</v>
      </c>
      <c r="B9445" s="787">
        <v>4</v>
      </c>
      <c r="C9445" s="787" t="s">
        <v>16923</v>
      </c>
      <c r="D9445" s="787">
        <v>0</v>
      </c>
      <c r="E9445" s="787">
        <v>0</v>
      </c>
      <c r="H9445" s="787">
        <v>1</v>
      </c>
      <c r="L9445" s="787">
        <v>0</v>
      </c>
      <c r="M9445" s="787">
        <v>10</v>
      </c>
      <c r="N9445" s="787">
        <v>0</v>
      </c>
    </row>
    <row r="9446" spans="1:15" x14ac:dyDescent="0.25">
      <c r="A9446" s="786" t="s">
        <v>16924</v>
      </c>
      <c r="B9446" s="787">
        <v>4</v>
      </c>
      <c r="C9446" s="787" t="s">
        <v>16925</v>
      </c>
      <c r="D9446" s="787">
        <v>0</v>
      </c>
      <c r="E9446" s="787">
        <v>0</v>
      </c>
      <c r="H9446" s="787">
        <v>1</v>
      </c>
      <c r="L9446" s="787">
        <v>0</v>
      </c>
      <c r="M9446" s="787">
        <v>10</v>
      </c>
      <c r="N9446" s="787">
        <v>0</v>
      </c>
    </row>
    <row r="9447" spans="1:15" x14ac:dyDescent="0.25">
      <c r="A9447" s="786" t="s">
        <v>16926</v>
      </c>
      <c r="B9447" s="787">
        <v>4</v>
      </c>
      <c r="C9447" s="787" t="s">
        <v>16927</v>
      </c>
      <c r="D9447" s="787">
        <v>2.4700000000000002</v>
      </c>
      <c r="E9447" s="787">
        <v>2.4700000000000002</v>
      </c>
      <c r="F9447" s="788">
        <v>41857</v>
      </c>
      <c r="G9447" s="788">
        <v>41857</v>
      </c>
      <c r="H9447" s="787">
        <v>1</v>
      </c>
      <c r="I9447" s="788">
        <v>41835</v>
      </c>
      <c r="J9447" s="788">
        <v>41828</v>
      </c>
      <c r="K9447" s="788">
        <v>41655</v>
      </c>
      <c r="L9447" s="787">
        <v>8</v>
      </c>
      <c r="M9447" s="787">
        <v>10</v>
      </c>
      <c r="N9447" s="787">
        <v>7.95</v>
      </c>
      <c r="O9447" s="788">
        <v>42136</v>
      </c>
    </row>
    <row r="9448" spans="1:15" x14ac:dyDescent="0.25">
      <c r="A9448" s="786" t="s">
        <v>16928</v>
      </c>
      <c r="B9448" s="787">
        <v>4</v>
      </c>
      <c r="C9448" s="787" t="s">
        <v>16929</v>
      </c>
      <c r="D9448" s="787">
        <v>4.1900000000000004</v>
      </c>
      <c r="E9448" s="787">
        <v>4.1900000000000004</v>
      </c>
      <c r="F9448" s="788">
        <v>41857</v>
      </c>
      <c r="G9448" s="788">
        <v>41857</v>
      </c>
      <c r="H9448" s="787">
        <v>1</v>
      </c>
      <c r="I9448" s="788">
        <v>41835</v>
      </c>
      <c r="J9448" s="788">
        <v>41827</v>
      </c>
      <c r="K9448" s="788">
        <v>41655</v>
      </c>
      <c r="L9448" s="787">
        <v>3</v>
      </c>
      <c r="M9448" s="787">
        <v>10</v>
      </c>
      <c r="N9448" s="787">
        <v>5.49</v>
      </c>
      <c r="O9448" s="788">
        <v>42136</v>
      </c>
    </row>
    <row r="9449" spans="1:15" x14ac:dyDescent="0.25">
      <c r="A9449" s="786" t="s">
        <v>16930</v>
      </c>
      <c r="B9449" s="787">
        <v>4</v>
      </c>
      <c r="C9449" s="787" t="s">
        <v>16931</v>
      </c>
      <c r="D9449" s="787">
        <v>7.69</v>
      </c>
      <c r="E9449" s="787">
        <v>7.69</v>
      </c>
      <c r="F9449" s="788">
        <v>41857</v>
      </c>
      <c r="G9449" s="788">
        <v>41857</v>
      </c>
      <c r="H9449" s="787">
        <v>1</v>
      </c>
      <c r="I9449" s="788">
        <v>41835</v>
      </c>
      <c r="J9449" s="788">
        <v>41835</v>
      </c>
      <c r="K9449" s="788">
        <v>41655</v>
      </c>
      <c r="L9449" s="787">
        <v>7</v>
      </c>
      <c r="M9449" s="787">
        <v>10</v>
      </c>
      <c r="N9449" s="787">
        <v>6.77</v>
      </c>
      <c r="O9449" s="788">
        <v>42136</v>
      </c>
    </row>
    <row r="9450" spans="1:15" x14ac:dyDescent="0.25">
      <c r="A9450" s="786" t="s">
        <v>16932</v>
      </c>
      <c r="B9450" s="787">
        <v>4</v>
      </c>
      <c r="C9450" s="787" t="s">
        <v>16933</v>
      </c>
      <c r="D9450" s="787">
        <v>2.52</v>
      </c>
      <c r="E9450" s="787">
        <v>12.52</v>
      </c>
      <c r="F9450" s="788">
        <v>42110</v>
      </c>
      <c r="G9450" s="788">
        <v>42110</v>
      </c>
      <c r="H9450" s="787">
        <v>1</v>
      </c>
      <c r="I9450" s="788">
        <v>42082</v>
      </c>
      <c r="J9450" s="788">
        <v>42082</v>
      </c>
      <c r="K9450" s="788">
        <v>41661</v>
      </c>
      <c r="L9450" s="787">
        <v>50</v>
      </c>
      <c r="M9450" s="787">
        <v>10</v>
      </c>
      <c r="N9450" s="787">
        <v>13.66</v>
      </c>
      <c r="O9450" s="788">
        <v>41858</v>
      </c>
    </row>
    <row r="9451" spans="1:15" x14ac:dyDescent="0.25">
      <c r="A9451" s="786" t="s">
        <v>16934</v>
      </c>
      <c r="B9451" s="787">
        <v>4</v>
      </c>
      <c r="C9451" s="787" t="s">
        <v>16935</v>
      </c>
      <c r="D9451" s="787">
        <v>5.97</v>
      </c>
      <c r="E9451" s="787">
        <v>8.5</v>
      </c>
      <c r="F9451" s="788">
        <v>41806</v>
      </c>
      <c r="G9451" s="788">
        <v>42163</v>
      </c>
      <c r="H9451" s="787">
        <v>1</v>
      </c>
      <c r="I9451" s="788">
        <v>42152</v>
      </c>
      <c r="J9451" s="788">
        <v>42136</v>
      </c>
      <c r="K9451" s="788">
        <v>41709</v>
      </c>
      <c r="L9451" s="787">
        <v>11</v>
      </c>
      <c r="M9451" s="787">
        <v>10</v>
      </c>
      <c r="N9451" s="787">
        <v>7.22</v>
      </c>
      <c r="O9451" s="788">
        <v>42146</v>
      </c>
    </row>
    <row r="9452" spans="1:15" x14ac:dyDescent="0.25">
      <c r="A9452" s="786" t="s">
        <v>16936</v>
      </c>
      <c r="B9452" s="787">
        <v>4</v>
      </c>
      <c r="C9452" s="787" t="s">
        <v>16937</v>
      </c>
      <c r="D9452" s="787">
        <v>0.2</v>
      </c>
      <c r="E9452" s="787">
        <v>20.2</v>
      </c>
      <c r="F9452" s="788">
        <v>41906</v>
      </c>
      <c r="G9452" s="788">
        <v>41906</v>
      </c>
      <c r="H9452" s="787">
        <v>1</v>
      </c>
      <c r="I9452" s="788">
        <v>41865</v>
      </c>
      <c r="J9452" s="788">
        <v>41865</v>
      </c>
      <c r="K9452" s="788">
        <v>41673</v>
      </c>
      <c r="L9452" s="787">
        <v>8</v>
      </c>
      <c r="M9452" s="787">
        <v>10</v>
      </c>
      <c r="N9452" s="787">
        <v>26.62</v>
      </c>
      <c r="O9452" s="788">
        <v>41955</v>
      </c>
    </row>
    <row r="9453" spans="1:15" x14ac:dyDescent="0.25">
      <c r="A9453" s="786" t="s">
        <v>16938</v>
      </c>
      <c r="B9453" s="787">
        <v>4</v>
      </c>
      <c r="C9453" s="787" t="s">
        <v>16939</v>
      </c>
      <c r="D9453" s="787">
        <v>7.37</v>
      </c>
      <c r="E9453" s="787">
        <v>47.37</v>
      </c>
      <c r="F9453" s="788">
        <v>41906</v>
      </c>
      <c r="G9453" s="788">
        <v>41906</v>
      </c>
      <c r="H9453" s="787">
        <v>1</v>
      </c>
      <c r="I9453" s="788">
        <v>41856</v>
      </c>
      <c r="J9453" s="788">
        <v>41865</v>
      </c>
      <c r="K9453" s="788">
        <v>41673</v>
      </c>
      <c r="L9453" s="787">
        <v>8</v>
      </c>
      <c r="M9453" s="787">
        <v>10</v>
      </c>
      <c r="N9453" s="787">
        <v>53.25</v>
      </c>
      <c r="O9453" s="788">
        <v>41955</v>
      </c>
    </row>
    <row r="9454" spans="1:15" x14ac:dyDescent="0.25">
      <c r="A9454" s="786" t="s">
        <v>16940</v>
      </c>
      <c r="B9454" s="787">
        <v>4</v>
      </c>
      <c r="C9454" s="787" t="s">
        <v>16941</v>
      </c>
      <c r="D9454" s="787">
        <v>0.98</v>
      </c>
      <c r="E9454" s="787">
        <v>0.98</v>
      </c>
      <c r="F9454" s="788">
        <v>41906</v>
      </c>
      <c r="G9454" s="788">
        <v>41906</v>
      </c>
      <c r="H9454" s="787">
        <v>1</v>
      </c>
      <c r="I9454" s="788">
        <v>41865</v>
      </c>
      <c r="J9454" s="788">
        <v>41865</v>
      </c>
      <c r="L9454" s="787">
        <v>1.5</v>
      </c>
      <c r="M9454" s="787">
        <v>10</v>
      </c>
      <c r="N9454" s="787">
        <v>1.07</v>
      </c>
      <c r="O9454" s="788">
        <v>41955</v>
      </c>
    </row>
    <row r="9455" spans="1:15" x14ac:dyDescent="0.25">
      <c r="A9455" s="786" t="s">
        <v>16942</v>
      </c>
      <c r="B9455" s="787">
        <v>4</v>
      </c>
      <c r="C9455" s="787" t="s">
        <v>16943</v>
      </c>
      <c r="D9455" s="787">
        <v>0</v>
      </c>
      <c r="E9455" s="787">
        <v>0</v>
      </c>
      <c r="H9455" s="787">
        <v>1</v>
      </c>
      <c r="L9455" s="787">
        <v>0</v>
      </c>
      <c r="M9455" s="787">
        <v>10</v>
      </c>
      <c r="N9455" s="787">
        <v>0</v>
      </c>
    </row>
    <row r="9456" spans="1:15" x14ac:dyDescent="0.25">
      <c r="A9456" s="786" t="s">
        <v>16944</v>
      </c>
      <c r="B9456" s="787">
        <v>4</v>
      </c>
      <c r="C9456" s="787" t="s">
        <v>16945</v>
      </c>
      <c r="D9456" s="787">
        <v>2.9</v>
      </c>
      <c r="E9456" s="787">
        <v>50.04</v>
      </c>
      <c r="F9456" s="788">
        <v>41967</v>
      </c>
      <c r="G9456" s="788">
        <v>42163</v>
      </c>
      <c r="H9456" s="787">
        <v>1</v>
      </c>
      <c r="I9456" s="788">
        <v>42144</v>
      </c>
      <c r="J9456" s="788">
        <v>42130</v>
      </c>
      <c r="K9456" s="788">
        <v>41680</v>
      </c>
      <c r="L9456" s="787">
        <v>45</v>
      </c>
      <c r="M9456" s="787">
        <v>10</v>
      </c>
      <c r="N9456" s="787">
        <v>48.63</v>
      </c>
      <c r="O9456" s="788">
        <v>42146</v>
      </c>
    </row>
    <row r="9457" spans="1:15" x14ac:dyDescent="0.25">
      <c r="A9457" s="786" t="s">
        <v>16946</v>
      </c>
      <c r="B9457" s="787">
        <v>4</v>
      </c>
      <c r="C9457" s="787" t="s">
        <v>16947</v>
      </c>
      <c r="D9457" s="787">
        <v>0</v>
      </c>
      <c r="E9457" s="787">
        <v>0</v>
      </c>
      <c r="H9457" s="787">
        <v>1</v>
      </c>
      <c r="I9457" s="788">
        <v>42130</v>
      </c>
      <c r="L9457" s="787">
        <v>0.1</v>
      </c>
      <c r="M9457" s="787">
        <v>10</v>
      </c>
      <c r="N9457" s="787">
        <v>0.1</v>
      </c>
      <c r="O9457" s="788">
        <v>41680</v>
      </c>
    </row>
    <row r="9458" spans="1:15" x14ac:dyDescent="0.25">
      <c r="A9458" s="786" t="s">
        <v>16948</v>
      </c>
      <c r="B9458" s="787">
        <v>4</v>
      </c>
      <c r="C9458" s="787" t="s">
        <v>16949</v>
      </c>
      <c r="D9458" s="787">
        <v>0</v>
      </c>
      <c r="E9458" s="787">
        <v>0</v>
      </c>
      <c r="H9458" s="787">
        <v>1</v>
      </c>
      <c r="L9458" s="787">
        <v>0</v>
      </c>
      <c r="M9458" s="787">
        <v>10</v>
      </c>
      <c r="N9458" s="787">
        <v>0</v>
      </c>
    </row>
    <row r="9459" spans="1:15" x14ac:dyDescent="0.25">
      <c r="A9459" s="786" t="s">
        <v>16950</v>
      </c>
      <c r="B9459" s="787">
        <v>4</v>
      </c>
      <c r="C9459" s="787" t="s">
        <v>16951</v>
      </c>
      <c r="D9459" s="787">
        <v>0</v>
      </c>
      <c r="E9459" s="787">
        <v>0</v>
      </c>
      <c r="H9459" s="787">
        <v>1</v>
      </c>
      <c r="L9459" s="787">
        <v>0</v>
      </c>
      <c r="M9459" s="787">
        <v>10</v>
      </c>
      <c r="N9459" s="787">
        <v>0</v>
      </c>
    </row>
    <row r="9460" spans="1:15" x14ac:dyDescent="0.25">
      <c r="A9460" s="786" t="s">
        <v>16952</v>
      </c>
      <c r="B9460" s="787">
        <v>4</v>
      </c>
      <c r="C9460" s="787" t="s">
        <v>16953</v>
      </c>
      <c r="D9460" s="787">
        <v>0</v>
      </c>
      <c r="E9460" s="787">
        <v>0</v>
      </c>
      <c r="H9460" s="787">
        <v>1</v>
      </c>
      <c r="L9460" s="787">
        <v>0</v>
      </c>
      <c r="M9460" s="787">
        <v>10</v>
      </c>
      <c r="N9460" s="787">
        <v>0</v>
      </c>
    </row>
    <row r="9461" spans="1:15" x14ac:dyDescent="0.25">
      <c r="A9461" s="786" t="s">
        <v>16954</v>
      </c>
      <c r="B9461" s="787">
        <v>4</v>
      </c>
      <c r="C9461" s="787" t="s">
        <v>16955</v>
      </c>
      <c r="D9461" s="787">
        <v>0</v>
      </c>
      <c r="E9461" s="787">
        <v>0</v>
      </c>
      <c r="H9461" s="787">
        <v>1</v>
      </c>
      <c r="L9461" s="787">
        <v>0</v>
      </c>
      <c r="M9461" s="787">
        <v>10</v>
      </c>
      <c r="N9461" s="787">
        <v>0</v>
      </c>
    </row>
    <row r="9462" spans="1:15" x14ac:dyDescent="0.25">
      <c r="A9462" s="786" t="s">
        <v>16956</v>
      </c>
      <c r="B9462" s="787">
        <v>4</v>
      </c>
      <c r="C9462" s="787" t="s">
        <v>16957</v>
      </c>
      <c r="D9462" s="787">
        <v>0</v>
      </c>
      <c r="E9462" s="787">
        <v>0</v>
      </c>
      <c r="H9462" s="787">
        <v>1</v>
      </c>
      <c r="L9462" s="787">
        <v>0</v>
      </c>
      <c r="M9462" s="787">
        <v>10</v>
      </c>
      <c r="N9462" s="787">
        <v>0</v>
      </c>
    </row>
    <row r="9463" spans="1:15" x14ac:dyDescent="0.25">
      <c r="A9463" s="786" t="s">
        <v>16958</v>
      </c>
      <c r="B9463" s="787">
        <v>4</v>
      </c>
      <c r="C9463" s="787" t="s">
        <v>16959</v>
      </c>
      <c r="D9463" s="787">
        <v>0</v>
      </c>
      <c r="E9463" s="787">
        <v>0</v>
      </c>
      <c r="H9463" s="787">
        <v>1</v>
      </c>
      <c r="L9463" s="787">
        <v>0</v>
      </c>
      <c r="M9463" s="787">
        <v>10</v>
      </c>
      <c r="N9463" s="787">
        <v>0</v>
      </c>
    </row>
    <row r="9464" spans="1:15" x14ac:dyDescent="0.25">
      <c r="A9464" s="786" t="s">
        <v>16960</v>
      </c>
      <c r="B9464" s="787">
        <v>4</v>
      </c>
      <c r="C9464" s="787" t="s">
        <v>16961</v>
      </c>
      <c r="D9464" s="787">
        <v>0</v>
      </c>
      <c r="E9464" s="787">
        <v>0</v>
      </c>
      <c r="H9464" s="787">
        <v>1</v>
      </c>
      <c r="L9464" s="787">
        <v>0</v>
      </c>
      <c r="M9464" s="787">
        <v>10</v>
      </c>
      <c r="N9464" s="787">
        <v>0</v>
      </c>
    </row>
    <row r="9465" spans="1:15" x14ac:dyDescent="0.25">
      <c r="A9465" s="786" t="s">
        <v>16962</v>
      </c>
      <c r="B9465" s="787">
        <v>4</v>
      </c>
      <c r="C9465" s="787" t="s">
        <v>16963</v>
      </c>
      <c r="D9465" s="787">
        <v>0</v>
      </c>
      <c r="E9465" s="787">
        <v>0</v>
      </c>
      <c r="H9465" s="787">
        <v>1</v>
      </c>
      <c r="L9465" s="787">
        <v>0</v>
      </c>
      <c r="M9465" s="787">
        <v>10</v>
      </c>
      <c r="N9465" s="787">
        <v>0</v>
      </c>
    </row>
    <row r="9466" spans="1:15" x14ac:dyDescent="0.25">
      <c r="A9466" s="786" t="s">
        <v>16964</v>
      </c>
      <c r="B9466" s="787">
        <v>4</v>
      </c>
      <c r="C9466" s="787" t="s">
        <v>16965</v>
      </c>
      <c r="D9466" s="787">
        <v>0</v>
      </c>
      <c r="E9466" s="787">
        <v>0</v>
      </c>
      <c r="H9466" s="787">
        <v>1</v>
      </c>
      <c r="L9466" s="787">
        <v>0</v>
      </c>
      <c r="M9466" s="787">
        <v>10</v>
      </c>
      <c r="N9466" s="787">
        <v>0</v>
      </c>
    </row>
    <row r="9467" spans="1:15" x14ac:dyDescent="0.25">
      <c r="A9467" s="786" t="s">
        <v>16966</v>
      </c>
      <c r="B9467" s="787">
        <v>4</v>
      </c>
      <c r="C9467" s="787" t="s">
        <v>16967</v>
      </c>
      <c r="D9467" s="787">
        <v>3.54</v>
      </c>
      <c r="E9467" s="787">
        <v>3.86</v>
      </c>
      <c r="F9467" s="788">
        <v>41806</v>
      </c>
      <c r="G9467" s="788">
        <v>42101</v>
      </c>
      <c r="H9467" s="787">
        <v>1</v>
      </c>
      <c r="I9467" s="788">
        <v>42069</v>
      </c>
      <c r="J9467" s="788">
        <v>42069</v>
      </c>
      <c r="L9467" s="787">
        <v>2.5</v>
      </c>
      <c r="M9467" s="787">
        <v>10</v>
      </c>
      <c r="N9467" s="787">
        <v>3.79</v>
      </c>
      <c r="O9467" s="788">
        <v>41955</v>
      </c>
    </row>
    <row r="9468" spans="1:15" x14ac:dyDescent="0.25">
      <c r="A9468" s="786" t="s">
        <v>16968</v>
      </c>
      <c r="B9468" s="787">
        <v>4</v>
      </c>
      <c r="C9468" s="787" t="s">
        <v>16969</v>
      </c>
      <c r="D9468" s="787">
        <v>0.94</v>
      </c>
      <c r="E9468" s="787">
        <v>1.45</v>
      </c>
      <c r="F9468" s="788">
        <v>41813</v>
      </c>
      <c r="G9468" s="788">
        <v>42101</v>
      </c>
      <c r="H9468" s="787">
        <v>1</v>
      </c>
      <c r="I9468" s="788">
        <v>42069</v>
      </c>
      <c r="J9468" s="788">
        <v>42069</v>
      </c>
      <c r="L9468" s="787">
        <v>2.5</v>
      </c>
      <c r="M9468" s="787">
        <v>10</v>
      </c>
      <c r="N9468" s="787">
        <v>3.79</v>
      </c>
      <c r="O9468" s="788">
        <v>41955</v>
      </c>
    </row>
    <row r="9469" spans="1:15" x14ac:dyDescent="0.25">
      <c r="A9469" s="786" t="s">
        <v>16970</v>
      </c>
      <c r="B9469" s="787">
        <v>4</v>
      </c>
      <c r="C9469" s="787" t="s">
        <v>16971</v>
      </c>
      <c r="D9469" s="787">
        <v>0.22</v>
      </c>
      <c r="E9469" s="787">
        <v>11.85</v>
      </c>
      <c r="F9469" s="788">
        <v>41813</v>
      </c>
      <c r="G9469" s="788">
        <v>42101</v>
      </c>
      <c r="H9469" s="787">
        <v>1</v>
      </c>
      <c r="I9469" s="788">
        <v>42145</v>
      </c>
      <c r="J9469" s="788">
        <v>42070</v>
      </c>
      <c r="L9469" s="787">
        <v>10</v>
      </c>
      <c r="M9469" s="787">
        <v>10</v>
      </c>
      <c r="N9469" s="787">
        <v>12.73</v>
      </c>
      <c r="O9469" s="788">
        <v>41955</v>
      </c>
    </row>
    <row r="9470" spans="1:15" x14ac:dyDescent="0.25">
      <c r="A9470" s="786" t="s">
        <v>16972</v>
      </c>
      <c r="B9470" s="787">
        <v>4</v>
      </c>
      <c r="C9470" s="787" t="s">
        <v>16973</v>
      </c>
      <c r="D9470" s="787">
        <v>0</v>
      </c>
      <c r="E9470" s="787">
        <v>0</v>
      </c>
      <c r="H9470" s="787">
        <v>1</v>
      </c>
      <c r="L9470" s="787">
        <v>0</v>
      </c>
      <c r="M9470" s="787">
        <v>10</v>
      </c>
      <c r="N9470" s="787">
        <v>0</v>
      </c>
    </row>
    <row r="9471" spans="1:15" x14ac:dyDescent="0.25">
      <c r="A9471" s="786" t="s">
        <v>16974</v>
      </c>
      <c r="B9471" s="787">
        <v>4</v>
      </c>
      <c r="C9471" s="787" t="s">
        <v>16975</v>
      </c>
      <c r="D9471" s="787">
        <v>0</v>
      </c>
      <c r="E9471" s="787">
        <v>0</v>
      </c>
      <c r="H9471" s="787">
        <v>1</v>
      </c>
      <c r="L9471" s="787">
        <v>0</v>
      </c>
      <c r="M9471" s="787">
        <v>10</v>
      </c>
      <c r="N9471" s="787">
        <v>0</v>
      </c>
    </row>
    <row r="9472" spans="1:15" x14ac:dyDescent="0.25">
      <c r="A9472" s="786" t="s">
        <v>16976</v>
      </c>
      <c r="B9472" s="787">
        <v>4</v>
      </c>
      <c r="C9472" s="787" t="s">
        <v>16977</v>
      </c>
      <c r="D9472" s="787">
        <v>0</v>
      </c>
      <c r="E9472" s="787">
        <v>0</v>
      </c>
      <c r="H9472" s="787">
        <v>1</v>
      </c>
      <c r="L9472" s="787">
        <v>0</v>
      </c>
      <c r="M9472" s="787">
        <v>10</v>
      </c>
      <c r="N9472" s="787">
        <v>0</v>
      </c>
    </row>
    <row r="9473" spans="1:15" x14ac:dyDescent="0.25">
      <c r="A9473" s="786" t="s">
        <v>16978</v>
      </c>
      <c r="B9473" s="787">
        <v>4</v>
      </c>
      <c r="C9473" s="787" t="s">
        <v>16979</v>
      </c>
      <c r="D9473" s="787">
        <v>0</v>
      </c>
      <c r="E9473" s="787">
        <v>0</v>
      </c>
      <c r="H9473" s="787">
        <v>1</v>
      </c>
      <c r="K9473" s="788">
        <v>41702</v>
      </c>
      <c r="L9473" s="787">
        <v>15</v>
      </c>
      <c r="M9473" s="787">
        <v>10</v>
      </c>
      <c r="N9473" s="787">
        <v>16.2</v>
      </c>
      <c r="O9473" s="788">
        <v>41858</v>
      </c>
    </row>
    <row r="9474" spans="1:15" x14ac:dyDescent="0.25">
      <c r="A9474" s="786" t="s">
        <v>16980</v>
      </c>
      <c r="B9474" s="787">
        <v>4</v>
      </c>
      <c r="C9474" s="787" t="s">
        <v>16981</v>
      </c>
      <c r="D9474" s="787">
        <v>0</v>
      </c>
      <c r="E9474" s="787">
        <v>0</v>
      </c>
      <c r="H9474" s="787">
        <v>1</v>
      </c>
      <c r="K9474" s="788">
        <v>41702</v>
      </c>
      <c r="L9474" s="787">
        <v>15</v>
      </c>
      <c r="M9474" s="787">
        <v>10</v>
      </c>
      <c r="N9474" s="787">
        <v>16.2</v>
      </c>
      <c r="O9474" s="788">
        <v>41858</v>
      </c>
    </row>
    <row r="9475" spans="1:15" x14ac:dyDescent="0.25">
      <c r="A9475" s="786" t="s">
        <v>16982</v>
      </c>
      <c r="B9475" s="787">
        <v>4</v>
      </c>
      <c r="C9475" s="787" t="s">
        <v>16983</v>
      </c>
      <c r="D9475" s="787">
        <v>6.11</v>
      </c>
      <c r="E9475" s="787">
        <v>6.11</v>
      </c>
      <c r="F9475" s="788">
        <v>41813</v>
      </c>
      <c r="G9475" s="788">
        <v>42013</v>
      </c>
      <c r="H9475" s="787">
        <v>1</v>
      </c>
      <c r="I9475" s="788">
        <v>41851</v>
      </c>
      <c r="J9475" s="788">
        <v>41782</v>
      </c>
      <c r="L9475" s="787">
        <v>10</v>
      </c>
      <c r="M9475" s="787">
        <v>10</v>
      </c>
      <c r="N9475" s="787">
        <v>6.62</v>
      </c>
      <c r="O9475" s="788">
        <v>41858</v>
      </c>
    </row>
    <row r="9476" spans="1:15" x14ac:dyDescent="0.25">
      <c r="A9476" s="786" t="s">
        <v>16984</v>
      </c>
      <c r="B9476" s="787">
        <v>4</v>
      </c>
      <c r="C9476" s="787" t="s">
        <v>16985</v>
      </c>
      <c r="D9476" s="787">
        <v>2.72</v>
      </c>
      <c r="E9476" s="787">
        <v>2.72</v>
      </c>
      <c r="F9476" s="788">
        <v>41809</v>
      </c>
      <c r="G9476" s="788">
        <v>41809</v>
      </c>
      <c r="H9476" s="787">
        <v>1</v>
      </c>
      <c r="I9476" s="788">
        <v>41781</v>
      </c>
      <c r="J9476" s="788">
        <v>41779</v>
      </c>
      <c r="L9476" s="787">
        <v>2.5</v>
      </c>
      <c r="M9476" s="787">
        <v>10</v>
      </c>
      <c r="N9476" s="787">
        <v>2.67</v>
      </c>
      <c r="O9476" s="788">
        <v>41858</v>
      </c>
    </row>
    <row r="9477" spans="1:15" x14ac:dyDescent="0.25">
      <c r="A9477" s="786" t="s">
        <v>16986</v>
      </c>
      <c r="B9477" s="787">
        <v>4</v>
      </c>
      <c r="C9477" s="787" t="s">
        <v>16987</v>
      </c>
      <c r="D9477" s="787">
        <v>0</v>
      </c>
      <c r="E9477" s="787">
        <v>0</v>
      </c>
      <c r="H9477" s="787">
        <v>1</v>
      </c>
      <c r="K9477" s="788">
        <v>41702</v>
      </c>
      <c r="L9477" s="787">
        <v>18</v>
      </c>
      <c r="M9477" s="787">
        <v>10</v>
      </c>
      <c r="N9477" s="787">
        <v>18.2</v>
      </c>
      <c r="O9477" s="788">
        <v>41858</v>
      </c>
    </row>
    <row r="9478" spans="1:15" x14ac:dyDescent="0.25">
      <c r="A9478" s="786" t="s">
        <v>16988</v>
      </c>
      <c r="B9478" s="787">
        <v>4</v>
      </c>
      <c r="C9478" s="787" t="s">
        <v>16989</v>
      </c>
      <c r="D9478" s="787">
        <v>0</v>
      </c>
      <c r="E9478" s="787">
        <v>0</v>
      </c>
      <c r="H9478" s="787">
        <v>1</v>
      </c>
      <c r="K9478" s="788">
        <v>41702</v>
      </c>
      <c r="L9478" s="787">
        <v>22</v>
      </c>
      <c r="M9478" s="787">
        <v>10</v>
      </c>
      <c r="N9478" s="787">
        <v>21.62</v>
      </c>
      <c r="O9478" s="788">
        <v>41858</v>
      </c>
    </row>
    <row r="9479" spans="1:15" x14ac:dyDescent="0.25">
      <c r="A9479" s="786" t="s">
        <v>16990</v>
      </c>
      <c r="B9479" s="787">
        <v>4</v>
      </c>
      <c r="C9479" s="787" t="s">
        <v>16991</v>
      </c>
      <c r="D9479" s="787">
        <v>0</v>
      </c>
      <c r="E9479" s="787">
        <v>0</v>
      </c>
      <c r="H9479" s="787">
        <v>1</v>
      </c>
      <c r="K9479" s="788">
        <v>41702</v>
      </c>
      <c r="L9479" s="787">
        <v>12</v>
      </c>
      <c r="M9479" s="787">
        <v>10</v>
      </c>
      <c r="N9479" s="787">
        <v>13.82</v>
      </c>
      <c r="O9479" s="788">
        <v>41858</v>
      </c>
    </row>
    <row r="9480" spans="1:15" x14ac:dyDescent="0.25">
      <c r="A9480" s="786" t="s">
        <v>16992</v>
      </c>
      <c r="B9480" s="787">
        <v>4</v>
      </c>
      <c r="C9480" s="787" t="s">
        <v>16993</v>
      </c>
      <c r="D9480" s="787">
        <v>0</v>
      </c>
      <c r="E9480" s="787">
        <v>0</v>
      </c>
      <c r="H9480" s="787">
        <v>1</v>
      </c>
      <c r="K9480" s="788">
        <v>41702</v>
      </c>
      <c r="L9480" s="787">
        <v>10</v>
      </c>
      <c r="M9480" s="787">
        <v>10</v>
      </c>
      <c r="N9480" s="787">
        <v>10.199999999999999</v>
      </c>
      <c r="O9480" s="788">
        <v>41858</v>
      </c>
    </row>
    <row r="9481" spans="1:15" x14ac:dyDescent="0.25">
      <c r="A9481" s="786" t="s">
        <v>16994</v>
      </c>
      <c r="B9481" s="787">
        <v>4</v>
      </c>
      <c r="C9481" s="787" t="s">
        <v>16995</v>
      </c>
      <c r="D9481" s="787">
        <v>0</v>
      </c>
      <c r="E9481" s="787">
        <v>0</v>
      </c>
      <c r="H9481" s="787">
        <v>1</v>
      </c>
      <c r="K9481" s="788">
        <v>41702</v>
      </c>
      <c r="L9481" s="787">
        <v>10</v>
      </c>
      <c r="M9481" s="787">
        <v>10</v>
      </c>
      <c r="N9481" s="787">
        <v>11.26</v>
      </c>
      <c r="O9481" s="788">
        <v>41858</v>
      </c>
    </row>
    <row r="9482" spans="1:15" x14ac:dyDescent="0.25">
      <c r="A9482" s="786" t="s">
        <v>16996</v>
      </c>
      <c r="B9482" s="787">
        <v>4</v>
      </c>
      <c r="C9482" s="787" t="s">
        <v>16997</v>
      </c>
      <c r="D9482" s="787">
        <v>0</v>
      </c>
      <c r="E9482" s="787">
        <v>0</v>
      </c>
      <c r="H9482" s="787">
        <v>1</v>
      </c>
      <c r="K9482" s="788">
        <v>41702</v>
      </c>
      <c r="L9482" s="787">
        <v>12</v>
      </c>
      <c r="M9482" s="787">
        <v>10</v>
      </c>
      <c r="N9482" s="787">
        <v>14.73</v>
      </c>
      <c r="O9482" s="788">
        <v>41858</v>
      </c>
    </row>
    <row r="9483" spans="1:15" x14ac:dyDescent="0.25">
      <c r="A9483" s="786" t="s">
        <v>16998</v>
      </c>
      <c r="B9483" s="787">
        <v>4</v>
      </c>
      <c r="C9483" s="787" t="s">
        <v>16999</v>
      </c>
      <c r="D9483" s="787">
        <v>0</v>
      </c>
      <c r="E9483" s="787">
        <v>0</v>
      </c>
      <c r="H9483" s="787">
        <v>1</v>
      </c>
      <c r="K9483" s="788">
        <v>41702</v>
      </c>
      <c r="L9483" s="787">
        <v>8</v>
      </c>
      <c r="M9483" s="787">
        <v>10</v>
      </c>
      <c r="N9483" s="787">
        <v>7.21</v>
      </c>
      <c r="O9483" s="788">
        <v>41858</v>
      </c>
    </row>
    <row r="9484" spans="1:15" x14ac:dyDescent="0.25">
      <c r="A9484" s="786" t="s">
        <v>17000</v>
      </c>
      <c r="B9484" s="787">
        <v>4</v>
      </c>
      <c r="C9484" s="787" t="s">
        <v>17001</v>
      </c>
      <c r="D9484" s="787">
        <v>0</v>
      </c>
      <c r="E9484" s="787">
        <v>0</v>
      </c>
      <c r="H9484" s="787">
        <v>1</v>
      </c>
      <c r="K9484" s="788">
        <v>41702</v>
      </c>
      <c r="L9484" s="787">
        <v>8</v>
      </c>
      <c r="M9484" s="787">
        <v>10</v>
      </c>
      <c r="N9484" s="787">
        <v>8.33</v>
      </c>
      <c r="O9484" s="788">
        <v>41858</v>
      </c>
    </row>
    <row r="9485" spans="1:15" x14ac:dyDescent="0.25">
      <c r="A9485" s="786" t="s">
        <v>17002</v>
      </c>
      <c r="B9485" s="787">
        <v>4</v>
      </c>
      <c r="C9485" s="787" t="s">
        <v>17003</v>
      </c>
      <c r="D9485" s="787">
        <v>0</v>
      </c>
      <c r="E9485" s="787">
        <v>0</v>
      </c>
      <c r="H9485" s="787">
        <v>1</v>
      </c>
      <c r="K9485" s="788">
        <v>41702</v>
      </c>
      <c r="L9485" s="787">
        <v>11</v>
      </c>
      <c r="M9485" s="787">
        <v>10</v>
      </c>
      <c r="N9485" s="787">
        <v>12.06</v>
      </c>
      <c r="O9485" s="788">
        <v>41858</v>
      </c>
    </row>
    <row r="9486" spans="1:15" x14ac:dyDescent="0.25">
      <c r="A9486" s="786" t="s">
        <v>17004</v>
      </c>
      <c r="B9486" s="787">
        <v>4</v>
      </c>
      <c r="C9486" s="787" t="s">
        <v>17005</v>
      </c>
      <c r="D9486" s="787">
        <v>0</v>
      </c>
      <c r="E9486" s="787">
        <v>0</v>
      </c>
      <c r="H9486" s="787">
        <v>1</v>
      </c>
      <c r="L9486" s="787">
        <v>0</v>
      </c>
      <c r="M9486" s="787">
        <v>10</v>
      </c>
      <c r="N9486" s="787">
        <v>0</v>
      </c>
    </row>
    <row r="9487" spans="1:15" x14ac:dyDescent="0.25">
      <c r="A9487" s="786" t="s">
        <v>17006</v>
      </c>
      <c r="B9487" s="787">
        <v>4</v>
      </c>
      <c r="C9487" s="787" t="s">
        <v>17007</v>
      </c>
      <c r="D9487" s="787">
        <v>0</v>
      </c>
      <c r="E9487" s="787">
        <v>0</v>
      </c>
      <c r="H9487" s="787">
        <v>1</v>
      </c>
      <c r="L9487" s="787">
        <v>0</v>
      </c>
      <c r="M9487" s="787">
        <v>10</v>
      </c>
      <c r="N9487" s="787">
        <v>0</v>
      </c>
    </row>
    <row r="9488" spans="1:15" x14ac:dyDescent="0.25">
      <c r="A9488" s="786" t="s">
        <v>17008</v>
      </c>
      <c r="B9488" s="787">
        <v>4</v>
      </c>
      <c r="C9488" s="787" t="s">
        <v>17009</v>
      </c>
      <c r="D9488" s="787">
        <v>0</v>
      </c>
      <c r="E9488" s="787">
        <v>0</v>
      </c>
      <c r="H9488" s="787">
        <v>1</v>
      </c>
      <c r="L9488" s="787">
        <v>0</v>
      </c>
      <c r="M9488" s="787">
        <v>10</v>
      </c>
      <c r="N9488" s="787">
        <v>0</v>
      </c>
    </row>
    <row r="9489" spans="1:15" x14ac:dyDescent="0.25">
      <c r="A9489" s="786" t="s">
        <v>17010</v>
      </c>
      <c r="B9489" s="787">
        <v>4</v>
      </c>
      <c r="C9489" s="787" t="s">
        <v>17011</v>
      </c>
      <c r="D9489" s="787">
        <v>0</v>
      </c>
      <c r="E9489" s="787">
        <v>0</v>
      </c>
      <c r="H9489" s="787">
        <v>1</v>
      </c>
      <c r="L9489" s="787">
        <v>0</v>
      </c>
      <c r="M9489" s="787">
        <v>10</v>
      </c>
      <c r="N9489" s="787">
        <v>0</v>
      </c>
    </row>
    <row r="9490" spans="1:15" x14ac:dyDescent="0.25">
      <c r="A9490" s="786" t="s">
        <v>17012</v>
      </c>
      <c r="B9490" s="787">
        <v>4</v>
      </c>
      <c r="C9490" s="787" t="s">
        <v>17013</v>
      </c>
      <c r="D9490" s="787">
        <v>0</v>
      </c>
      <c r="E9490" s="787">
        <v>0</v>
      </c>
      <c r="H9490" s="787">
        <v>1</v>
      </c>
      <c r="L9490" s="787">
        <v>0</v>
      </c>
      <c r="M9490" s="787">
        <v>10</v>
      </c>
      <c r="N9490" s="787">
        <v>0</v>
      </c>
    </row>
    <row r="9491" spans="1:15" x14ac:dyDescent="0.25">
      <c r="A9491" s="786" t="s">
        <v>17014</v>
      </c>
      <c r="B9491" s="787">
        <v>4</v>
      </c>
      <c r="C9491" s="787" t="s">
        <v>17015</v>
      </c>
      <c r="D9491" s="787">
        <v>0</v>
      </c>
      <c r="E9491" s="787">
        <v>0</v>
      </c>
      <c r="H9491" s="787">
        <v>1</v>
      </c>
      <c r="L9491" s="787">
        <v>0</v>
      </c>
      <c r="M9491" s="787">
        <v>10</v>
      </c>
      <c r="N9491" s="787">
        <v>0</v>
      </c>
    </row>
    <row r="9492" spans="1:15" x14ac:dyDescent="0.25">
      <c r="A9492" s="786" t="s">
        <v>17016</v>
      </c>
      <c r="B9492" s="787">
        <v>4</v>
      </c>
      <c r="C9492" s="787" t="s">
        <v>17017</v>
      </c>
      <c r="D9492" s="787">
        <v>0</v>
      </c>
      <c r="E9492" s="787">
        <v>0</v>
      </c>
      <c r="H9492" s="787">
        <v>1</v>
      </c>
      <c r="L9492" s="787">
        <v>0</v>
      </c>
      <c r="M9492" s="787">
        <v>10</v>
      </c>
      <c r="N9492" s="787">
        <v>0</v>
      </c>
    </row>
    <row r="9493" spans="1:15" x14ac:dyDescent="0.25">
      <c r="A9493" s="786" t="s">
        <v>17018</v>
      </c>
      <c r="B9493" s="787">
        <v>4</v>
      </c>
      <c r="C9493" s="787" t="s">
        <v>17019</v>
      </c>
      <c r="D9493" s="787">
        <v>0</v>
      </c>
      <c r="E9493" s="787">
        <v>0</v>
      </c>
      <c r="H9493" s="787">
        <v>1</v>
      </c>
      <c r="L9493" s="787">
        <v>0</v>
      </c>
      <c r="M9493" s="787">
        <v>10</v>
      </c>
      <c r="N9493" s="787">
        <v>0</v>
      </c>
    </row>
    <row r="9494" spans="1:15" x14ac:dyDescent="0.25">
      <c r="A9494" s="786" t="s">
        <v>17020</v>
      </c>
      <c r="B9494" s="787">
        <v>4</v>
      </c>
      <c r="C9494" s="787" t="s">
        <v>17021</v>
      </c>
      <c r="D9494" s="787">
        <v>0</v>
      </c>
      <c r="E9494" s="787">
        <v>0</v>
      </c>
      <c r="H9494" s="787">
        <v>1</v>
      </c>
      <c r="L9494" s="787">
        <v>0</v>
      </c>
      <c r="M9494" s="787">
        <v>10</v>
      </c>
      <c r="N9494" s="787">
        <v>0</v>
      </c>
    </row>
    <row r="9495" spans="1:15" x14ac:dyDescent="0.25">
      <c r="A9495" s="786" t="s">
        <v>17022</v>
      </c>
      <c r="B9495" s="787">
        <v>4</v>
      </c>
      <c r="C9495" s="787" t="s">
        <v>17023</v>
      </c>
      <c r="D9495" s="787">
        <v>0</v>
      </c>
      <c r="E9495" s="787">
        <v>0</v>
      </c>
      <c r="H9495" s="787">
        <v>1</v>
      </c>
      <c r="L9495" s="787">
        <v>0</v>
      </c>
      <c r="M9495" s="787">
        <v>10</v>
      </c>
      <c r="N9495" s="787">
        <v>0</v>
      </c>
    </row>
    <row r="9496" spans="1:15" x14ac:dyDescent="0.25">
      <c r="A9496" s="786" t="s">
        <v>17024</v>
      </c>
      <c r="B9496" s="787">
        <v>4</v>
      </c>
      <c r="C9496" s="787" t="s">
        <v>17025</v>
      </c>
      <c r="D9496" s="787">
        <v>0</v>
      </c>
      <c r="E9496" s="787">
        <v>0</v>
      </c>
      <c r="H9496" s="787">
        <v>1</v>
      </c>
      <c r="L9496" s="787">
        <v>0</v>
      </c>
      <c r="M9496" s="787">
        <v>10</v>
      </c>
      <c r="N9496" s="787">
        <v>0</v>
      </c>
    </row>
    <row r="9497" spans="1:15" x14ac:dyDescent="0.25">
      <c r="A9497" s="786" t="s">
        <v>17026</v>
      </c>
      <c r="B9497" s="787">
        <v>4</v>
      </c>
      <c r="C9497" s="787" t="s">
        <v>17027</v>
      </c>
      <c r="D9497" s="787">
        <v>0</v>
      </c>
      <c r="E9497" s="787">
        <v>0</v>
      </c>
      <c r="H9497" s="787">
        <v>1</v>
      </c>
      <c r="I9497" s="788">
        <v>42146</v>
      </c>
      <c r="K9497" s="788">
        <v>41724</v>
      </c>
      <c r="L9497" s="787">
        <v>1.5</v>
      </c>
      <c r="M9497" s="787">
        <v>10</v>
      </c>
      <c r="N9497" s="787">
        <v>1.79</v>
      </c>
      <c r="O9497" s="788">
        <v>41858</v>
      </c>
    </row>
    <row r="9498" spans="1:15" x14ac:dyDescent="0.25">
      <c r="A9498" s="786" t="s">
        <v>17028</v>
      </c>
      <c r="B9498" s="787">
        <v>4</v>
      </c>
      <c r="C9498" s="787" t="s">
        <v>17029</v>
      </c>
      <c r="D9498" s="787">
        <v>7.27</v>
      </c>
      <c r="E9498" s="787">
        <v>7.27</v>
      </c>
      <c r="F9498" s="788">
        <v>41913</v>
      </c>
      <c r="G9498" s="788">
        <v>41913</v>
      </c>
      <c r="H9498" s="787">
        <v>1</v>
      </c>
      <c r="I9498" s="788">
        <v>41869</v>
      </c>
      <c r="J9498" s="788">
        <v>41869</v>
      </c>
      <c r="K9498" s="788">
        <v>41711</v>
      </c>
      <c r="L9498" s="787">
        <v>1.2</v>
      </c>
      <c r="M9498" s="787">
        <v>10</v>
      </c>
      <c r="N9498" s="787">
        <v>17.309999999999999</v>
      </c>
      <c r="O9498" s="788">
        <v>41858</v>
      </c>
    </row>
    <row r="9499" spans="1:15" x14ac:dyDescent="0.25">
      <c r="A9499" s="786" t="s">
        <v>17030</v>
      </c>
      <c r="B9499" s="787">
        <v>4</v>
      </c>
      <c r="C9499" s="787" t="s">
        <v>17031</v>
      </c>
      <c r="D9499" s="787">
        <v>0</v>
      </c>
      <c r="E9499" s="787">
        <v>0</v>
      </c>
      <c r="H9499" s="787">
        <v>1</v>
      </c>
      <c r="K9499" s="788">
        <v>41738</v>
      </c>
      <c r="L9499" s="787">
        <v>1.2</v>
      </c>
      <c r="M9499" s="787">
        <v>10</v>
      </c>
      <c r="N9499" s="787">
        <v>18.18</v>
      </c>
      <c r="O9499" s="788">
        <v>41858</v>
      </c>
    </row>
    <row r="9500" spans="1:15" x14ac:dyDescent="0.25">
      <c r="A9500" s="786" t="s">
        <v>17032</v>
      </c>
      <c r="B9500" s="787">
        <v>4</v>
      </c>
      <c r="C9500" s="787" t="s">
        <v>17033</v>
      </c>
      <c r="D9500" s="787">
        <v>0</v>
      </c>
      <c r="E9500" s="787">
        <v>0</v>
      </c>
      <c r="H9500" s="787">
        <v>1</v>
      </c>
      <c r="I9500" s="788">
        <v>41869</v>
      </c>
      <c r="J9500" s="788">
        <v>41870</v>
      </c>
      <c r="K9500" s="788">
        <v>41738</v>
      </c>
      <c r="L9500" s="787">
        <v>1.2</v>
      </c>
      <c r="M9500" s="787">
        <v>10</v>
      </c>
      <c r="N9500" s="787">
        <v>18.18</v>
      </c>
      <c r="O9500" s="788">
        <v>41858</v>
      </c>
    </row>
    <row r="9501" spans="1:15" x14ac:dyDescent="0.25">
      <c r="A9501" s="786" t="s">
        <v>17034</v>
      </c>
      <c r="B9501" s="787">
        <v>4</v>
      </c>
      <c r="C9501" s="787" t="s">
        <v>17035</v>
      </c>
      <c r="D9501" s="787">
        <v>1.99</v>
      </c>
      <c r="E9501" s="787">
        <v>1.99</v>
      </c>
      <c r="F9501" s="788">
        <v>42045</v>
      </c>
      <c r="G9501" s="788">
        <v>42045</v>
      </c>
      <c r="H9501" s="787">
        <v>1</v>
      </c>
      <c r="J9501" s="788">
        <v>41869</v>
      </c>
      <c r="K9501" s="788">
        <v>41738</v>
      </c>
      <c r="L9501" s="787">
        <v>1.2</v>
      </c>
      <c r="M9501" s="787">
        <v>10</v>
      </c>
      <c r="N9501" s="787">
        <v>7.21</v>
      </c>
      <c r="O9501" s="788">
        <v>41858</v>
      </c>
    </row>
    <row r="9502" spans="1:15" x14ac:dyDescent="0.25">
      <c r="A9502" s="786" t="s">
        <v>17036</v>
      </c>
      <c r="B9502" s="787">
        <v>4</v>
      </c>
      <c r="C9502" s="787" t="s">
        <v>17037</v>
      </c>
      <c r="D9502" s="787">
        <v>0</v>
      </c>
      <c r="E9502" s="787">
        <v>0</v>
      </c>
      <c r="H9502" s="787">
        <v>1</v>
      </c>
      <c r="K9502" s="788">
        <v>41738</v>
      </c>
      <c r="L9502" s="787">
        <v>1.2</v>
      </c>
      <c r="M9502" s="787">
        <v>10</v>
      </c>
      <c r="N9502" s="787">
        <v>6.93</v>
      </c>
      <c r="O9502" s="788">
        <v>41858</v>
      </c>
    </row>
    <row r="9503" spans="1:15" x14ac:dyDescent="0.25">
      <c r="A9503" s="786" t="s">
        <v>17038</v>
      </c>
      <c r="B9503" s="787">
        <v>4</v>
      </c>
      <c r="C9503" s="787" t="s">
        <v>17039</v>
      </c>
      <c r="D9503" s="787">
        <v>3.31</v>
      </c>
      <c r="E9503" s="787">
        <v>3.31</v>
      </c>
      <c r="F9503" s="788">
        <v>41751</v>
      </c>
      <c r="G9503" s="788">
        <v>41757</v>
      </c>
      <c r="H9503" s="787">
        <v>1</v>
      </c>
      <c r="J9503" s="788">
        <v>41745</v>
      </c>
      <c r="K9503" s="788">
        <v>41729</v>
      </c>
      <c r="L9503" s="787">
        <v>3.13</v>
      </c>
      <c r="M9503" s="787">
        <v>20</v>
      </c>
      <c r="N9503" s="787">
        <v>3.36</v>
      </c>
      <c r="O9503" s="788">
        <v>42053</v>
      </c>
    </row>
    <row r="9504" spans="1:15" x14ac:dyDescent="0.25">
      <c r="A9504" s="786" t="s">
        <v>17040</v>
      </c>
      <c r="B9504" s="787">
        <v>4</v>
      </c>
      <c r="C9504" s="787" t="s">
        <v>17041</v>
      </c>
      <c r="D9504" s="787">
        <v>4.88</v>
      </c>
      <c r="E9504" s="787">
        <v>34.880000000000003</v>
      </c>
      <c r="F9504" s="788">
        <v>41751</v>
      </c>
      <c r="G9504" s="788">
        <v>41757</v>
      </c>
      <c r="H9504" s="787">
        <v>1</v>
      </c>
      <c r="I9504" s="788">
        <v>41787</v>
      </c>
      <c r="J9504" s="788">
        <v>41745</v>
      </c>
      <c r="K9504" s="788">
        <v>41729</v>
      </c>
      <c r="L9504" s="787">
        <v>33.04</v>
      </c>
      <c r="M9504" s="787">
        <v>20</v>
      </c>
      <c r="N9504" s="787">
        <v>35.520000000000003</v>
      </c>
      <c r="O9504" s="788">
        <v>41858</v>
      </c>
    </row>
    <row r="9505" spans="1:15" x14ac:dyDescent="0.25">
      <c r="A9505" s="786" t="s">
        <v>17042</v>
      </c>
      <c r="B9505" s="787">
        <v>4</v>
      </c>
      <c r="C9505" s="787" t="s">
        <v>17043</v>
      </c>
      <c r="D9505" s="787">
        <v>0</v>
      </c>
      <c r="E9505" s="787">
        <v>0</v>
      </c>
      <c r="H9505" s="787">
        <v>1</v>
      </c>
      <c r="I9505" s="788">
        <v>42152</v>
      </c>
      <c r="L9505" s="787">
        <v>0.1</v>
      </c>
      <c r="M9505" s="787">
        <v>20</v>
      </c>
      <c r="N9505" s="787">
        <v>0.11</v>
      </c>
      <c r="O9505" s="788">
        <v>42146</v>
      </c>
    </row>
    <row r="9506" spans="1:15" x14ac:dyDescent="0.25">
      <c r="A9506" s="786" t="s">
        <v>17044</v>
      </c>
      <c r="B9506" s="787">
        <v>4</v>
      </c>
      <c r="C9506" s="787" t="s">
        <v>17045</v>
      </c>
      <c r="D9506" s="787">
        <v>0</v>
      </c>
      <c r="E9506" s="787">
        <v>0</v>
      </c>
      <c r="G9506" s="788">
        <v>41795</v>
      </c>
      <c r="H9506" s="787">
        <v>1</v>
      </c>
      <c r="I9506" s="788">
        <v>41887</v>
      </c>
      <c r="J9506" s="788">
        <v>41795</v>
      </c>
      <c r="K9506" s="788">
        <v>41710</v>
      </c>
      <c r="L9506" s="787">
        <v>0.01</v>
      </c>
      <c r="M9506" s="787">
        <v>20</v>
      </c>
      <c r="N9506" s="787">
        <v>0.01</v>
      </c>
      <c r="O9506" s="788">
        <v>41858</v>
      </c>
    </row>
    <row r="9507" spans="1:15" x14ac:dyDescent="0.25">
      <c r="A9507" s="786" t="s">
        <v>17046</v>
      </c>
      <c r="B9507" s="787">
        <v>4</v>
      </c>
      <c r="C9507" s="787" t="s">
        <v>17047</v>
      </c>
      <c r="D9507" s="787">
        <v>0</v>
      </c>
      <c r="E9507" s="787">
        <v>0</v>
      </c>
      <c r="G9507" s="788">
        <v>41795</v>
      </c>
      <c r="H9507" s="787">
        <v>1</v>
      </c>
      <c r="I9507" s="788">
        <v>41787</v>
      </c>
      <c r="J9507" s="788">
        <v>41795</v>
      </c>
      <c r="K9507" s="788">
        <v>41710</v>
      </c>
      <c r="L9507" s="787">
        <v>0.01</v>
      </c>
      <c r="M9507" s="787">
        <v>20</v>
      </c>
      <c r="N9507" s="787">
        <v>0.01</v>
      </c>
      <c r="O9507" s="788">
        <v>41858</v>
      </c>
    </row>
    <row r="9508" spans="1:15" x14ac:dyDescent="0.25">
      <c r="A9508" s="786" t="s">
        <v>17048</v>
      </c>
      <c r="B9508" s="787">
        <v>4</v>
      </c>
      <c r="C9508" s="787" t="s">
        <v>17049</v>
      </c>
      <c r="D9508" s="787">
        <v>0</v>
      </c>
      <c r="E9508" s="787">
        <v>0</v>
      </c>
      <c r="G9508" s="788">
        <v>41795</v>
      </c>
      <c r="H9508" s="787">
        <v>1</v>
      </c>
      <c r="I9508" s="788">
        <v>41787</v>
      </c>
      <c r="J9508" s="788">
        <v>41795</v>
      </c>
      <c r="K9508" s="788">
        <v>41710</v>
      </c>
      <c r="L9508" s="787">
        <v>0.01</v>
      </c>
      <c r="M9508" s="787">
        <v>20</v>
      </c>
      <c r="N9508" s="787">
        <v>0.01</v>
      </c>
      <c r="O9508" s="788">
        <v>41858</v>
      </c>
    </row>
    <row r="9509" spans="1:15" x14ac:dyDescent="0.25">
      <c r="A9509" s="786" t="s">
        <v>17050</v>
      </c>
      <c r="B9509" s="787">
        <v>4</v>
      </c>
      <c r="C9509" s="787" t="s">
        <v>17051</v>
      </c>
      <c r="D9509" s="787">
        <v>0</v>
      </c>
      <c r="E9509" s="787">
        <v>0</v>
      </c>
      <c r="H9509" s="787">
        <v>1</v>
      </c>
      <c r="I9509" s="788">
        <v>42121</v>
      </c>
      <c r="K9509" s="788">
        <v>42026</v>
      </c>
      <c r="L9509" s="787">
        <v>6.77</v>
      </c>
      <c r="M9509" s="787">
        <v>10</v>
      </c>
      <c r="N9509" s="787">
        <v>6.77</v>
      </c>
      <c r="O9509" s="788">
        <v>42027</v>
      </c>
    </row>
    <row r="9510" spans="1:15" x14ac:dyDescent="0.25">
      <c r="A9510" s="786" t="s">
        <v>17052</v>
      </c>
      <c r="B9510" s="787">
        <v>4</v>
      </c>
      <c r="C9510" s="787" t="s">
        <v>17053</v>
      </c>
      <c r="D9510" s="787">
        <v>7.42</v>
      </c>
      <c r="E9510" s="787">
        <v>7.42</v>
      </c>
      <c r="F9510" s="788">
        <v>42075</v>
      </c>
      <c r="G9510" s="788">
        <v>42075</v>
      </c>
      <c r="H9510" s="787">
        <v>1</v>
      </c>
      <c r="I9510" s="788">
        <v>42037</v>
      </c>
      <c r="J9510" s="788">
        <v>42037</v>
      </c>
      <c r="K9510" s="788">
        <v>42032</v>
      </c>
      <c r="L9510" s="787">
        <v>1</v>
      </c>
      <c r="M9510" s="787">
        <v>10</v>
      </c>
      <c r="N9510" s="787">
        <v>2.78</v>
      </c>
      <c r="O9510" s="788">
        <v>42146</v>
      </c>
    </row>
    <row r="9511" spans="1:15" x14ac:dyDescent="0.25">
      <c r="A9511" s="786" t="s">
        <v>17054</v>
      </c>
      <c r="B9511" s="787">
        <v>4</v>
      </c>
      <c r="C9511" s="787" t="s">
        <v>17055</v>
      </c>
      <c r="D9511" s="787">
        <v>4.03</v>
      </c>
      <c r="E9511" s="787">
        <v>4.03</v>
      </c>
      <c r="F9511" s="788">
        <v>42163</v>
      </c>
      <c r="G9511" s="788">
        <v>42163</v>
      </c>
      <c r="H9511" s="787">
        <v>1</v>
      </c>
      <c r="I9511" s="788">
        <v>42166</v>
      </c>
      <c r="J9511" s="788">
        <v>42163</v>
      </c>
      <c r="K9511" s="788">
        <v>41734</v>
      </c>
      <c r="L9511" s="787">
        <v>11</v>
      </c>
      <c r="M9511" s="787">
        <v>10</v>
      </c>
      <c r="N9511" s="787">
        <v>8.92</v>
      </c>
      <c r="O9511" s="788">
        <v>42146</v>
      </c>
    </row>
    <row r="9512" spans="1:15" x14ac:dyDescent="0.25">
      <c r="A9512" s="786" t="s">
        <v>17056</v>
      </c>
      <c r="B9512" s="787">
        <v>4</v>
      </c>
      <c r="C9512" s="787" t="s">
        <v>17057</v>
      </c>
      <c r="D9512" s="787">
        <v>0</v>
      </c>
      <c r="E9512" s="787">
        <v>0</v>
      </c>
      <c r="H9512" s="787">
        <v>1</v>
      </c>
      <c r="K9512" s="788">
        <v>41733</v>
      </c>
      <c r="L9512" s="787">
        <v>1</v>
      </c>
      <c r="M9512" s="787">
        <v>10</v>
      </c>
      <c r="N9512" s="787">
        <v>0</v>
      </c>
    </row>
    <row r="9513" spans="1:15" x14ac:dyDescent="0.25">
      <c r="A9513" s="786" t="s">
        <v>17058</v>
      </c>
      <c r="B9513" s="787">
        <v>4</v>
      </c>
      <c r="C9513" s="787" t="s">
        <v>17059</v>
      </c>
      <c r="D9513" s="787">
        <v>0</v>
      </c>
      <c r="E9513" s="787">
        <v>0</v>
      </c>
      <c r="H9513" s="787">
        <v>1</v>
      </c>
      <c r="I9513" s="788">
        <v>42103</v>
      </c>
      <c r="K9513" s="788">
        <v>42059</v>
      </c>
      <c r="L9513" s="787">
        <v>20</v>
      </c>
      <c r="M9513" s="787">
        <v>10</v>
      </c>
      <c r="N9513" s="787">
        <v>0</v>
      </c>
    </row>
    <row r="9514" spans="1:15" x14ac:dyDescent="0.25">
      <c r="A9514" s="786" t="s">
        <v>17060</v>
      </c>
      <c r="B9514" s="787">
        <v>4</v>
      </c>
      <c r="C9514" s="787" t="s">
        <v>17061</v>
      </c>
      <c r="D9514" s="787">
        <v>0</v>
      </c>
      <c r="E9514" s="787">
        <v>0</v>
      </c>
      <c r="H9514" s="787">
        <v>1</v>
      </c>
      <c r="L9514" s="787">
        <v>0</v>
      </c>
      <c r="M9514" s="787">
        <v>10</v>
      </c>
      <c r="N9514" s="787">
        <v>0</v>
      </c>
    </row>
    <row r="9515" spans="1:15" x14ac:dyDescent="0.25">
      <c r="A9515" s="786" t="s">
        <v>17062</v>
      </c>
      <c r="B9515" s="787">
        <v>4</v>
      </c>
      <c r="C9515" s="787" t="s">
        <v>17063</v>
      </c>
      <c r="D9515" s="787">
        <v>0</v>
      </c>
      <c r="E9515" s="787">
        <v>0</v>
      </c>
      <c r="H9515" s="787">
        <v>1</v>
      </c>
      <c r="L9515" s="787">
        <v>0</v>
      </c>
      <c r="M9515" s="787">
        <v>10</v>
      </c>
      <c r="N9515" s="787">
        <v>0</v>
      </c>
    </row>
    <row r="9516" spans="1:15" x14ac:dyDescent="0.25">
      <c r="A9516" s="786" t="s">
        <v>17064</v>
      </c>
      <c r="B9516" s="787">
        <v>4</v>
      </c>
      <c r="C9516" s="787" t="s">
        <v>17065</v>
      </c>
      <c r="D9516" s="787">
        <v>0</v>
      </c>
      <c r="E9516" s="787">
        <v>0</v>
      </c>
      <c r="H9516" s="787">
        <v>1</v>
      </c>
      <c r="K9516" s="788">
        <v>41733</v>
      </c>
      <c r="L9516" s="787">
        <v>8</v>
      </c>
      <c r="M9516" s="787">
        <v>10</v>
      </c>
      <c r="N9516" s="787">
        <v>0</v>
      </c>
    </row>
    <row r="9517" spans="1:15" x14ac:dyDescent="0.25">
      <c r="A9517" s="786" t="s">
        <v>17066</v>
      </c>
      <c r="B9517" s="787">
        <v>4</v>
      </c>
      <c r="C9517" s="787" t="s">
        <v>17067</v>
      </c>
      <c r="D9517" s="787">
        <v>0</v>
      </c>
      <c r="E9517" s="787">
        <v>0</v>
      </c>
      <c r="H9517" s="787">
        <v>1</v>
      </c>
      <c r="I9517" s="788">
        <v>41879</v>
      </c>
      <c r="L9517" s="787">
        <v>0</v>
      </c>
      <c r="M9517" s="787">
        <v>10</v>
      </c>
      <c r="N9517" s="787">
        <v>0</v>
      </c>
    </row>
    <row r="9518" spans="1:15" x14ac:dyDescent="0.25">
      <c r="A9518" s="786" t="s">
        <v>17068</v>
      </c>
      <c r="B9518" s="787">
        <v>4</v>
      </c>
      <c r="C9518" s="787" t="s">
        <v>17069</v>
      </c>
      <c r="D9518" s="787">
        <v>0</v>
      </c>
      <c r="E9518" s="787">
        <v>0</v>
      </c>
      <c r="H9518" s="787">
        <v>1</v>
      </c>
      <c r="L9518" s="787">
        <v>0</v>
      </c>
      <c r="M9518" s="787">
        <v>10</v>
      </c>
      <c r="N9518" s="787">
        <v>0</v>
      </c>
    </row>
    <row r="9519" spans="1:15" x14ac:dyDescent="0.25">
      <c r="A9519" s="786" t="s">
        <v>17070</v>
      </c>
      <c r="B9519" s="787">
        <v>4</v>
      </c>
      <c r="C9519" s="787" t="s">
        <v>17071</v>
      </c>
      <c r="D9519" s="787">
        <v>0</v>
      </c>
      <c r="E9519" s="787">
        <v>0</v>
      </c>
      <c r="H9519" s="787">
        <v>1</v>
      </c>
      <c r="K9519" s="788">
        <v>41733</v>
      </c>
      <c r="L9519" s="787">
        <v>8</v>
      </c>
      <c r="M9519" s="787">
        <v>10</v>
      </c>
      <c r="N9519" s="787">
        <v>0</v>
      </c>
    </row>
    <row r="9520" spans="1:15" x14ac:dyDescent="0.25">
      <c r="A9520" s="786" t="s">
        <v>17072</v>
      </c>
      <c r="B9520" s="787">
        <v>4</v>
      </c>
      <c r="C9520" s="787" t="s">
        <v>17073</v>
      </c>
      <c r="D9520" s="787">
        <v>0</v>
      </c>
      <c r="E9520" s="787">
        <v>0</v>
      </c>
      <c r="H9520" s="787">
        <v>1</v>
      </c>
      <c r="K9520" s="788">
        <v>41733</v>
      </c>
      <c r="L9520" s="787">
        <v>8</v>
      </c>
      <c r="M9520" s="787">
        <v>10</v>
      </c>
      <c r="N9520" s="787">
        <v>0</v>
      </c>
    </row>
    <row r="9521" spans="1:15" x14ac:dyDescent="0.25">
      <c r="A9521" s="786" t="s">
        <v>17074</v>
      </c>
      <c r="B9521" s="787">
        <v>4</v>
      </c>
      <c r="C9521" s="787" t="s">
        <v>17075</v>
      </c>
      <c r="D9521" s="787">
        <v>0</v>
      </c>
      <c r="E9521" s="787">
        <v>0</v>
      </c>
      <c r="H9521" s="787">
        <v>1</v>
      </c>
      <c r="I9521" s="788">
        <v>42152</v>
      </c>
      <c r="K9521" s="788">
        <v>42059</v>
      </c>
      <c r="L9521" s="787">
        <v>20</v>
      </c>
      <c r="M9521" s="787">
        <v>10</v>
      </c>
      <c r="N9521" s="787">
        <v>0</v>
      </c>
    </row>
    <row r="9522" spans="1:15" x14ac:dyDescent="0.25">
      <c r="A9522" s="786" t="s">
        <v>17076</v>
      </c>
      <c r="B9522" s="787">
        <v>4</v>
      </c>
      <c r="C9522" s="787" t="s">
        <v>16438</v>
      </c>
      <c r="D9522" s="787">
        <v>0</v>
      </c>
      <c r="E9522" s="787">
        <v>0</v>
      </c>
      <c r="H9522" s="787">
        <v>1</v>
      </c>
      <c r="I9522" s="788">
        <v>42152</v>
      </c>
      <c r="K9522" s="788">
        <v>42137</v>
      </c>
      <c r="L9522" s="787">
        <v>0.01</v>
      </c>
      <c r="M9522" s="787">
        <v>10</v>
      </c>
      <c r="N9522" s="787">
        <v>0</v>
      </c>
    </row>
    <row r="9523" spans="1:15" x14ac:dyDescent="0.25">
      <c r="A9523" s="786" t="s">
        <v>17077</v>
      </c>
      <c r="B9523" s="787">
        <v>4</v>
      </c>
      <c r="C9523" s="787" t="s">
        <v>17078</v>
      </c>
      <c r="D9523" s="787">
        <v>0</v>
      </c>
      <c r="E9523" s="787">
        <v>0</v>
      </c>
      <c r="H9523" s="787">
        <v>1</v>
      </c>
      <c r="K9523" s="788">
        <v>41733</v>
      </c>
      <c r="L9523" s="787">
        <v>8</v>
      </c>
      <c r="M9523" s="787">
        <v>10</v>
      </c>
      <c r="N9523" s="787">
        <v>0</v>
      </c>
    </row>
    <row r="9524" spans="1:15" x14ac:dyDescent="0.25">
      <c r="A9524" s="786" t="s">
        <v>17079</v>
      </c>
      <c r="B9524" s="787">
        <v>4</v>
      </c>
      <c r="C9524" s="787" t="s">
        <v>17080</v>
      </c>
      <c r="D9524" s="787">
        <v>0</v>
      </c>
      <c r="E9524" s="787">
        <v>0</v>
      </c>
      <c r="H9524" s="787">
        <v>1</v>
      </c>
      <c r="L9524" s="787">
        <v>0</v>
      </c>
      <c r="M9524" s="787">
        <v>10</v>
      </c>
      <c r="N9524" s="787">
        <v>0</v>
      </c>
    </row>
    <row r="9525" spans="1:15" x14ac:dyDescent="0.25">
      <c r="A9525" s="786" t="s">
        <v>17081</v>
      </c>
      <c r="B9525" s="787">
        <v>4</v>
      </c>
      <c r="C9525" s="787" t="s">
        <v>17082</v>
      </c>
      <c r="D9525" s="787">
        <v>0</v>
      </c>
      <c r="E9525" s="787">
        <v>0</v>
      </c>
      <c r="H9525" s="787">
        <v>1</v>
      </c>
      <c r="I9525" s="788">
        <v>42103</v>
      </c>
      <c r="K9525" s="788">
        <v>42059</v>
      </c>
      <c r="L9525" s="787">
        <v>20</v>
      </c>
      <c r="M9525" s="787">
        <v>10</v>
      </c>
      <c r="N9525" s="787">
        <v>0</v>
      </c>
    </row>
    <row r="9526" spans="1:15" x14ac:dyDescent="0.25">
      <c r="A9526" s="786" t="s">
        <v>17083</v>
      </c>
      <c r="B9526" s="787">
        <v>4</v>
      </c>
      <c r="C9526" s="787" t="s">
        <v>17084</v>
      </c>
      <c r="D9526" s="787">
        <v>0</v>
      </c>
      <c r="E9526" s="787">
        <v>0</v>
      </c>
      <c r="H9526" s="787">
        <v>1</v>
      </c>
      <c r="I9526" s="788">
        <v>42103</v>
      </c>
      <c r="L9526" s="787">
        <v>0</v>
      </c>
      <c r="M9526" s="787">
        <v>10</v>
      </c>
      <c r="N9526" s="787">
        <v>0</v>
      </c>
    </row>
    <row r="9527" spans="1:15" x14ac:dyDescent="0.25">
      <c r="A9527" s="786" t="s">
        <v>17085</v>
      </c>
      <c r="B9527" s="787">
        <v>4</v>
      </c>
      <c r="C9527" s="787" t="s">
        <v>17086</v>
      </c>
      <c r="D9527" s="787">
        <v>0</v>
      </c>
      <c r="E9527" s="787">
        <v>0</v>
      </c>
      <c r="H9527" s="787">
        <v>1</v>
      </c>
      <c r="L9527" s="787">
        <v>0</v>
      </c>
      <c r="M9527" s="787">
        <v>10</v>
      </c>
      <c r="N9527" s="787">
        <v>0</v>
      </c>
    </row>
    <row r="9528" spans="1:15" x14ac:dyDescent="0.25">
      <c r="A9528" s="786" t="s">
        <v>17087</v>
      </c>
      <c r="B9528" s="787">
        <v>4</v>
      </c>
      <c r="C9528" s="787" t="s">
        <v>17057</v>
      </c>
      <c r="D9528" s="787">
        <v>0</v>
      </c>
      <c r="E9528" s="787">
        <v>0</v>
      </c>
      <c r="H9528" s="787">
        <v>1</v>
      </c>
      <c r="L9528" s="787">
        <v>0</v>
      </c>
      <c r="M9528" s="787">
        <v>10</v>
      </c>
      <c r="N9528" s="787">
        <v>0</v>
      </c>
    </row>
    <row r="9529" spans="1:15" x14ac:dyDescent="0.25">
      <c r="A9529" s="786" t="s">
        <v>17088</v>
      </c>
      <c r="B9529" s="787">
        <v>4</v>
      </c>
      <c r="C9529" s="787" t="s">
        <v>17089</v>
      </c>
      <c r="D9529" s="787">
        <v>0</v>
      </c>
      <c r="E9529" s="787">
        <v>0</v>
      </c>
      <c r="H9529" s="787">
        <v>1</v>
      </c>
      <c r="L9529" s="787">
        <v>0</v>
      </c>
      <c r="M9529" s="787">
        <v>10</v>
      </c>
      <c r="N9529" s="787">
        <v>11.32</v>
      </c>
      <c r="O9529" s="788">
        <v>42026</v>
      </c>
    </row>
    <row r="9530" spans="1:15" x14ac:dyDescent="0.25">
      <c r="A9530" s="786" t="s">
        <v>17090</v>
      </c>
      <c r="B9530" s="787">
        <v>4</v>
      </c>
      <c r="C9530" s="787" t="s">
        <v>17061</v>
      </c>
      <c r="D9530" s="787">
        <v>0</v>
      </c>
      <c r="E9530" s="787">
        <v>0</v>
      </c>
      <c r="H9530" s="787">
        <v>1</v>
      </c>
      <c r="L9530" s="787">
        <v>0</v>
      </c>
      <c r="M9530" s="787">
        <v>10</v>
      </c>
      <c r="N9530" s="787">
        <v>11.32</v>
      </c>
      <c r="O9530" s="788">
        <v>42026</v>
      </c>
    </row>
    <row r="9531" spans="1:15" x14ac:dyDescent="0.25">
      <c r="A9531" s="786" t="s">
        <v>17091</v>
      </c>
      <c r="B9531" s="787">
        <v>4</v>
      </c>
      <c r="C9531" s="787" t="s">
        <v>17063</v>
      </c>
      <c r="D9531" s="787">
        <v>0</v>
      </c>
      <c r="E9531" s="787">
        <v>0</v>
      </c>
      <c r="H9531" s="787">
        <v>1</v>
      </c>
      <c r="L9531" s="787">
        <v>0</v>
      </c>
      <c r="M9531" s="787">
        <v>10</v>
      </c>
      <c r="N9531" s="787">
        <v>7.19</v>
      </c>
      <c r="O9531" s="788">
        <v>42026</v>
      </c>
    </row>
    <row r="9532" spans="1:15" x14ac:dyDescent="0.25">
      <c r="A9532" s="786" t="s">
        <v>17092</v>
      </c>
      <c r="B9532" s="787">
        <v>4</v>
      </c>
      <c r="C9532" s="787" t="s">
        <v>17065</v>
      </c>
      <c r="D9532" s="787">
        <v>0</v>
      </c>
      <c r="E9532" s="787">
        <v>0</v>
      </c>
      <c r="H9532" s="787">
        <v>1</v>
      </c>
      <c r="I9532" s="788">
        <v>42137</v>
      </c>
      <c r="L9532" s="787">
        <v>0</v>
      </c>
      <c r="M9532" s="787">
        <v>10</v>
      </c>
      <c r="N9532" s="787">
        <v>0</v>
      </c>
    </row>
    <row r="9533" spans="1:15" x14ac:dyDescent="0.25">
      <c r="A9533" s="786" t="s">
        <v>17093</v>
      </c>
      <c r="B9533" s="787">
        <v>4</v>
      </c>
      <c r="C9533" s="787" t="s">
        <v>17067</v>
      </c>
      <c r="D9533" s="787">
        <v>0</v>
      </c>
      <c r="E9533" s="787">
        <v>0</v>
      </c>
      <c r="H9533" s="787">
        <v>1</v>
      </c>
      <c r="L9533" s="787">
        <v>0</v>
      </c>
      <c r="M9533" s="787">
        <v>10</v>
      </c>
      <c r="N9533" s="787">
        <v>0</v>
      </c>
    </row>
    <row r="9534" spans="1:15" x14ac:dyDescent="0.25">
      <c r="A9534" s="786" t="s">
        <v>17094</v>
      </c>
      <c r="B9534" s="787">
        <v>4</v>
      </c>
      <c r="C9534" s="787" t="s">
        <v>17069</v>
      </c>
      <c r="D9534" s="787">
        <v>0</v>
      </c>
      <c r="E9534" s="787">
        <v>0</v>
      </c>
      <c r="H9534" s="787">
        <v>1</v>
      </c>
      <c r="L9534" s="787">
        <v>0</v>
      </c>
      <c r="M9534" s="787">
        <v>10</v>
      </c>
      <c r="N9534" s="787">
        <v>0</v>
      </c>
    </row>
    <row r="9535" spans="1:15" x14ac:dyDescent="0.25">
      <c r="A9535" s="786" t="s">
        <v>17095</v>
      </c>
      <c r="B9535" s="787">
        <v>4</v>
      </c>
      <c r="C9535" s="787" t="s">
        <v>17071</v>
      </c>
      <c r="D9535" s="787">
        <v>0</v>
      </c>
      <c r="E9535" s="787">
        <v>0</v>
      </c>
      <c r="H9535" s="787">
        <v>1</v>
      </c>
      <c r="L9535" s="787">
        <v>0</v>
      </c>
      <c r="M9535" s="787">
        <v>10</v>
      </c>
      <c r="N9535" s="787">
        <v>0</v>
      </c>
    </row>
    <row r="9536" spans="1:15" x14ac:dyDescent="0.25">
      <c r="A9536" s="786" t="s">
        <v>17096</v>
      </c>
      <c r="B9536" s="787">
        <v>4</v>
      </c>
      <c r="C9536" s="787" t="s">
        <v>17097</v>
      </c>
      <c r="D9536" s="787">
        <v>0</v>
      </c>
      <c r="E9536" s="787">
        <v>0</v>
      </c>
      <c r="H9536" s="787">
        <v>1</v>
      </c>
      <c r="I9536" s="788">
        <v>42137</v>
      </c>
      <c r="K9536" s="788">
        <v>41738</v>
      </c>
      <c r="L9536" s="787">
        <v>8</v>
      </c>
      <c r="M9536" s="787">
        <v>10</v>
      </c>
      <c r="N9536" s="787">
        <v>0</v>
      </c>
    </row>
    <row r="9537" spans="1:14" x14ac:dyDescent="0.25">
      <c r="A9537" s="786" t="s">
        <v>17098</v>
      </c>
      <c r="B9537" s="787">
        <v>4</v>
      </c>
      <c r="C9537" s="787" t="s">
        <v>16436</v>
      </c>
      <c r="D9537" s="787">
        <v>0</v>
      </c>
      <c r="E9537" s="787">
        <v>0</v>
      </c>
      <c r="H9537" s="787">
        <v>1</v>
      </c>
      <c r="L9537" s="787">
        <v>0</v>
      </c>
      <c r="M9537" s="787">
        <v>10</v>
      </c>
      <c r="N9537" s="787">
        <v>0</v>
      </c>
    </row>
    <row r="9538" spans="1:14" x14ac:dyDescent="0.25">
      <c r="A9538" s="786" t="s">
        <v>17099</v>
      </c>
      <c r="B9538" s="787">
        <v>4</v>
      </c>
      <c r="C9538" s="787" t="s">
        <v>16438</v>
      </c>
      <c r="D9538" s="787">
        <v>0</v>
      </c>
      <c r="E9538" s="787">
        <v>0</v>
      </c>
      <c r="H9538" s="787">
        <v>1</v>
      </c>
      <c r="L9538" s="787">
        <v>0</v>
      </c>
      <c r="M9538" s="787">
        <v>10</v>
      </c>
      <c r="N9538" s="787">
        <v>0</v>
      </c>
    </row>
    <row r="9539" spans="1:14" x14ac:dyDescent="0.25">
      <c r="A9539" s="786" t="s">
        <v>17100</v>
      </c>
      <c r="B9539" s="787">
        <v>4</v>
      </c>
      <c r="C9539" s="787" t="s">
        <v>17101</v>
      </c>
      <c r="D9539" s="787">
        <v>0</v>
      </c>
      <c r="E9539" s="787">
        <v>0</v>
      </c>
      <c r="H9539" s="787">
        <v>1</v>
      </c>
      <c r="L9539" s="787">
        <v>0</v>
      </c>
      <c r="M9539" s="787">
        <v>10</v>
      </c>
      <c r="N9539" s="787">
        <v>0</v>
      </c>
    </row>
    <row r="9540" spans="1:14" x14ac:dyDescent="0.25">
      <c r="A9540" s="786" t="s">
        <v>17102</v>
      </c>
      <c r="B9540" s="787">
        <v>4</v>
      </c>
      <c r="C9540" s="787" t="s">
        <v>17080</v>
      </c>
      <c r="D9540" s="787">
        <v>0</v>
      </c>
      <c r="E9540" s="787">
        <v>0</v>
      </c>
      <c r="H9540" s="787">
        <v>1</v>
      </c>
      <c r="I9540" s="788">
        <v>42137</v>
      </c>
      <c r="L9540" s="787">
        <v>0</v>
      </c>
      <c r="M9540" s="787">
        <v>10</v>
      </c>
      <c r="N9540" s="787">
        <v>0</v>
      </c>
    </row>
    <row r="9541" spans="1:14" x14ac:dyDescent="0.25">
      <c r="A9541" s="786" t="s">
        <v>17103</v>
      </c>
      <c r="B9541" s="787">
        <v>4</v>
      </c>
      <c r="C9541" s="787" t="s">
        <v>17104</v>
      </c>
      <c r="D9541" s="787">
        <v>0</v>
      </c>
      <c r="E9541" s="787">
        <v>0</v>
      </c>
      <c r="H9541" s="787">
        <v>1</v>
      </c>
      <c r="L9541" s="787">
        <v>0</v>
      </c>
      <c r="M9541" s="787">
        <v>10</v>
      </c>
      <c r="N9541" s="787">
        <v>0</v>
      </c>
    </row>
    <row r="9542" spans="1:14" x14ac:dyDescent="0.25">
      <c r="A9542" s="786" t="s">
        <v>17105</v>
      </c>
      <c r="B9542" s="787">
        <v>4</v>
      </c>
      <c r="C9542" s="787" t="s">
        <v>17084</v>
      </c>
      <c r="D9542" s="787">
        <v>0</v>
      </c>
      <c r="E9542" s="787">
        <v>0</v>
      </c>
      <c r="H9542" s="787">
        <v>1</v>
      </c>
      <c r="L9542" s="787">
        <v>0</v>
      </c>
      <c r="M9542" s="787">
        <v>10</v>
      </c>
      <c r="N9542" s="787">
        <v>0</v>
      </c>
    </row>
    <row r="9543" spans="1:14" x14ac:dyDescent="0.25">
      <c r="A9543" s="786" t="s">
        <v>17106</v>
      </c>
      <c r="B9543" s="787">
        <v>4</v>
      </c>
      <c r="C9543" s="787" t="s">
        <v>17086</v>
      </c>
      <c r="D9543" s="787">
        <v>0</v>
      </c>
      <c r="E9543" s="787">
        <v>0</v>
      </c>
      <c r="H9543" s="787">
        <v>1</v>
      </c>
      <c r="L9543" s="787">
        <v>0</v>
      </c>
      <c r="M9543" s="787">
        <v>10</v>
      </c>
      <c r="N9543" s="787">
        <v>0</v>
      </c>
    </row>
    <row r="9544" spans="1:14" x14ac:dyDescent="0.25">
      <c r="A9544" s="786" t="s">
        <v>17107</v>
      </c>
      <c r="B9544" s="787">
        <v>4</v>
      </c>
      <c r="C9544" s="787" t="s">
        <v>17057</v>
      </c>
      <c r="D9544" s="787">
        <v>0</v>
      </c>
      <c r="E9544" s="787">
        <v>0</v>
      </c>
      <c r="H9544" s="787">
        <v>1</v>
      </c>
      <c r="I9544" s="788">
        <v>42025</v>
      </c>
      <c r="L9544" s="787">
        <v>0</v>
      </c>
      <c r="M9544" s="787">
        <v>10</v>
      </c>
      <c r="N9544" s="787">
        <v>0</v>
      </c>
    </row>
    <row r="9545" spans="1:14" x14ac:dyDescent="0.25">
      <c r="A9545" s="786" t="s">
        <v>17108</v>
      </c>
      <c r="B9545" s="787">
        <v>4</v>
      </c>
      <c r="C9545" s="787" t="s">
        <v>17109</v>
      </c>
      <c r="D9545" s="787">
        <v>0</v>
      </c>
      <c r="E9545" s="787">
        <v>0</v>
      </c>
      <c r="H9545" s="787">
        <v>1</v>
      </c>
      <c r="L9545" s="787">
        <v>0</v>
      </c>
      <c r="M9545" s="787">
        <v>10</v>
      </c>
      <c r="N9545" s="787">
        <v>0</v>
      </c>
    </row>
    <row r="9546" spans="1:14" x14ac:dyDescent="0.25">
      <c r="A9546" s="786" t="s">
        <v>17110</v>
      </c>
      <c r="B9546" s="787">
        <v>4</v>
      </c>
      <c r="C9546" s="787" t="s">
        <v>17061</v>
      </c>
      <c r="D9546" s="787">
        <v>0</v>
      </c>
      <c r="E9546" s="787">
        <v>0</v>
      </c>
      <c r="H9546" s="787">
        <v>1</v>
      </c>
      <c r="L9546" s="787">
        <v>0</v>
      </c>
      <c r="M9546" s="787">
        <v>10</v>
      </c>
      <c r="N9546" s="787">
        <v>0</v>
      </c>
    </row>
    <row r="9547" spans="1:14" x14ac:dyDescent="0.25">
      <c r="A9547" s="786" t="s">
        <v>17111</v>
      </c>
      <c r="B9547" s="787">
        <v>4</v>
      </c>
      <c r="C9547" s="787" t="s">
        <v>17063</v>
      </c>
      <c r="D9547" s="787">
        <v>0</v>
      </c>
      <c r="E9547" s="787">
        <v>0</v>
      </c>
      <c r="H9547" s="787">
        <v>1</v>
      </c>
      <c r="L9547" s="787">
        <v>0</v>
      </c>
      <c r="M9547" s="787">
        <v>10</v>
      </c>
      <c r="N9547" s="787">
        <v>0</v>
      </c>
    </row>
    <row r="9548" spans="1:14" x14ac:dyDescent="0.25">
      <c r="A9548" s="786" t="s">
        <v>17112</v>
      </c>
      <c r="B9548" s="787">
        <v>4</v>
      </c>
      <c r="C9548" s="787" t="s">
        <v>17113</v>
      </c>
      <c r="D9548" s="787">
        <v>0</v>
      </c>
      <c r="E9548" s="787">
        <v>0</v>
      </c>
      <c r="H9548" s="787">
        <v>1</v>
      </c>
      <c r="L9548" s="787">
        <v>0</v>
      </c>
      <c r="M9548" s="787">
        <v>10</v>
      </c>
      <c r="N9548" s="787">
        <v>0</v>
      </c>
    </row>
    <row r="9549" spans="1:14" x14ac:dyDescent="0.25">
      <c r="A9549" s="786" t="s">
        <v>17114</v>
      </c>
      <c r="B9549" s="787">
        <v>4</v>
      </c>
      <c r="C9549" s="787" t="s">
        <v>17115</v>
      </c>
      <c r="D9549" s="787">
        <v>0</v>
      </c>
      <c r="E9549" s="787">
        <v>0</v>
      </c>
      <c r="H9549" s="787">
        <v>1</v>
      </c>
      <c r="L9549" s="787">
        <v>0</v>
      </c>
      <c r="M9549" s="787">
        <v>10</v>
      </c>
      <c r="N9549" s="787">
        <v>0</v>
      </c>
    </row>
    <row r="9550" spans="1:14" x14ac:dyDescent="0.25">
      <c r="A9550" s="786" t="s">
        <v>17116</v>
      </c>
      <c r="B9550" s="787">
        <v>4</v>
      </c>
      <c r="C9550" s="787" t="s">
        <v>17069</v>
      </c>
      <c r="D9550" s="787">
        <v>0</v>
      </c>
      <c r="E9550" s="787">
        <v>0</v>
      </c>
      <c r="H9550" s="787">
        <v>1</v>
      </c>
      <c r="L9550" s="787">
        <v>0</v>
      </c>
      <c r="M9550" s="787">
        <v>10</v>
      </c>
      <c r="N9550" s="787">
        <v>0</v>
      </c>
    </row>
    <row r="9551" spans="1:14" x14ac:dyDescent="0.25">
      <c r="A9551" s="786" t="s">
        <v>17117</v>
      </c>
      <c r="B9551" s="787">
        <v>4</v>
      </c>
      <c r="C9551" s="787" t="s">
        <v>17071</v>
      </c>
      <c r="D9551" s="787">
        <v>0</v>
      </c>
      <c r="E9551" s="787">
        <v>0</v>
      </c>
      <c r="H9551" s="787">
        <v>1</v>
      </c>
      <c r="L9551" s="787">
        <v>0</v>
      </c>
      <c r="M9551" s="787">
        <v>10</v>
      </c>
      <c r="N9551" s="787">
        <v>0</v>
      </c>
    </row>
    <row r="9552" spans="1:14" x14ac:dyDescent="0.25">
      <c r="A9552" s="786" t="s">
        <v>17118</v>
      </c>
      <c r="B9552" s="787">
        <v>4</v>
      </c>
      <c r="C9552" s="787" t="s">
        <v>17073</v>
      </c>
      <c r="D9552" s="787">
        <v>0</v>
      </c>
      <c r="E9552" s="787">
        <v>0</v>
      </c>
      <c r="H9552" s="787">
        <v>1</v>
      </c>
      <c r="I9552" s="788">
        <v>42025</v>
      </c>
      <c r="L9552" s="787">
        <v>0</v>
      </c>
      <c r="M9552" s="787">
        <v>10</v>
      </c>
      <c r="N9552" s="787">
        <v>0</v>
      </c>
    </row>
    <row r="9553" spans="1:15" x14ac:dyDescent="0.25">
      <c r="A9553" s="786" t="s">
        <v>17119</v>
      </c>
      <c r="B9553" s="787">
        <v>4</v>
      </c>
      <c r="C9553" s="787" t="s">
        <v>16436</v>
      </c>
      <c r="D9553" s="787">
        <v>0</v>
      </c>
      <c r="E9553" s="787">
        <v>0</v>
      </c>
      <c r="H9553" s="787">
        <v>1</v>
      </c>
      <c r="L9553" s="787">
        <v>0</v>
      </c>
      <c r="M9553" s="787">
        <v>10</v>
      </c>
      <c r="N9553" s="787">
        <v>0</v>
      </c>
    </row>
    <row r="9554" spans="1:15" x14ac:dyDescent="0.25">
      <c r="A9554" s="786" t="s">
        <v>17120</v>
      </c>
      <c r="B9554" s="787">
        <v>4</v>
      </c>
      <c r="C9554" s="787" t="s">
        <v>16438</v>
      </c>
      <c r="D9554" s="787">
        <v>0</v>
      </c>
      <c r="E9554" s="787">
        <v>0</v>
      </c>
      <c r="H9554" s="787">
        <v>1</v>
      </c>
      <c r="L9554" s="787">
        <v>0</v>
      </c>
      <c r="M9554" s="787">
        <v>10</v>
      </c>
      <c r="N9554" s="787">
        <v>0</v>
      </c>
    </row>
    <row r="9555" spans="1:15" x14ac:dyDescent="0.25">
      <c r="A9555" s="786" t="s">
        <v>17121</v>
      </c>
      <c r="B9555" s="787">
        <v>4</v>
      </c>
      <c r="C9555" s="787" t="s">
        <v>17078</v>
      </c>
      <c r="D9555" s="787">
        <v>0</v>
      </c>
      <c r="E9555" s="787">
        <v>0</v>
      </c>
      <c r="H9555" s="787">
        <v>1</v>
      </c>
      <c r="L9555" s="787">
        <v>0</v>
      </c>
      <c r="M9555" s="787">
        <v>10</v>
      </c>
      <c r="N9555" s="787">
        <v>0</v>
      </c>
    </row>
    <row r="9556" spans="1:15" x14ac:dyDescent="0.25">
      <c r="A9556" s="786" t="s">
        <v>17122</v>
      </c>
      <c r="B9556" s="787">
        <v>4</v>
      </c>
      <c r="C9556" s="787" t="s">
        <v>17080</v>
      </c>
      <c r="D9556" s="787">
        <v>0</v>
      </c>
      <c r="E9556" s="787">
        <v>0</v>
      </c>
      <c r="H9556" s="787">
        <v>1</v>
      </c>
      <c r="I9556" s="788">
        <v>42025</v>
      </c>
      <c r="L9556" s="787">
        <v>0</v>
      </c>
      <c r="M9556" s="787">
        <v>10</v>
      </c>
      <c r="N9556" s="787">
        <v>0</v>
      </c>
    </row>
    <row r="9557" spans="1:15" x14ac:dyDescent="0.25">
      <c r="A9557" s="786" t="s">
        <v>17123</v>
      </c>
      <c r="B9557" s="787">
        <v>4</v>
      </c>
      <c r="C9557" s="787" t="s">
        <v>17104</v>
      </c>
      <c r="D9557" s="787">
        <v>0</v>
      </c>
      <c r="E9557" s="787">
        <v>0</v>
      </c>
      <c r="H9557" s="787">
        <v>1</v>
      </c>
      <c r="L9557" s="787">
        <v>0</v>
      </c>
      <c r="M9557" s="787">
        <v>10</v>
      </c>
      <c r="N9557" s="787">
        <v>0</v>
      </c>
    </row>
    <row r="9558" spans="1:15" x14ac:dyDescent="0.25">
      <c r="A9558" s="786" t="s">
        <v>17124</v>
      </c>
      <c r="B9558" s="787">
        <v>4</v>
      </c>
      <c r="C9558" s="787" t="s">
        <v>17084</v>
      </c>
      <c r="D9558" s="787">
        <v>0</v>
      </c>
      <c r="E9558" s="787">
        <v>0</v>
      </c>
      <c r="H9558" s="787">
        <v>1</v>
      </c>
      <c r="L9558" s="787">
        <v>0</v>
      </c>
      <c r="M9558" s="787">
        <v>10</v>
      </c>
      <c r="N9558" s="787">
        <v>0</v>
      </c>
    </row>
    <row r="9559" spans="1:15" x14ac:dyDescent="0.25">
      <c r="A9559" s="786" t="s">
        <v>17125</v>
      </c>
      <c r="B9559" s="787">
        <v>4</v>
      </c>
      <c r="C9559" s="787" t="s">
        <v>17086</v>
      </c>
      <c r="D9559" s="787">
        <v>0</v>
      </c>
      <c r="E9559" s="787">
        <v>0</v>
      </c>
      <c r="H9559" s="787">
        <v>1</v>
      </c>
      <c r="L9559" s="787">
        <v>0</v>
      </c>
      <c r="M9559" s="787">
        <v>10</v>
      </c>
      <c r="N9559" s="787">
        <v>0</v>
      </c>
    </row>
    <row r="9560" spans="1:15" x14ac:dyDescent="0.25">
      <c r="A9560" s="786" t="s">
        <v>17126</v>
      </c>
      <c r="B9560" s="787">
        <v>4</v>
      </c>
      <c r="C9560" s="787" t="s">
        <v>17127</v>
      </c>
      <c r="D9560" s="787">
        <v>0</v>
      </c>
      <c r="E9560" s="787">
        <v>0</v>
      </c>
      <c r="H9560" s="787">
        <v>1</v>
      </c>
      <c r="I9560" s="788">
        <v>42165</v>
      </c>
      <c r="K9560" s="788">
        <v>41984</v>
      </c>
      <c r="L9560" s="787">
        <v>6.46</v>
      </c>
      <c r="M9560" s="787">
        <v>10</v>
      </c>
      <c r="N9560" s="787">
        <v>6.46</v>
      </c>
      <c r="O9560" s="788">
        <v>42156</v>
      </c>
    </row>
    <row r="9561" spans="1:15" x14ac:dyDescent="0.25">
      <c r="A9561" s="786" t="s">
        <v>17128</v>
      </c>
      <c r="B9561" s="787">
        <v>4</v>
      </c>
      <c r="C9561" s="787" t="s">
        <v>17129</v>
      </c>
      <c r="D9561" s="787">
        <v>0</v>
      </c>
      <c r="E9561" s="787">
        <v>0</v>
      </c>
      <c r="H9561" s="787">
        <v>1</v>
      </c>
      <c r="I9561" s="788">
        <v>42145</v>
      </c>
      <c r="K9561" s="788">
        <v>41991</v>
      </c>
      <c r="L9561" s="787">
        <v>7.56</v>
      </c>
      <c r="M9561" s="787">
        <v>10</v>
      </c>
      <c r="N9561" s="787">
        <v>7.56</v>
      </c>
      <c r="O9561" s="788">
        <v>42156</v>
      </c>
    </row>
    <row r="9562" spans="1:15" x14ac:dyDescent="0.25">
      <c r="A9562" s="786" t="s">
        <v>17130</v>
      </c>
      <c r="B9562" s="787">
        <v>4</v>
      </c>
      <c r="C9562" s="787" t="s">
        <v>17131</v>
      </c>
      <c r="D9562" s="787">
        <v>0.5</v>
      </c>
      <c r="E9562" s="787">
        <v>0.5</v>
      </c>
      <c r="F9562" s="788">
        <v>41810</v>
      </c>
      <c r="G9562" s="788">
        <v>41810</v>
      </c>
      <c r="H9562" s="787">
        <v>1</v>
      </c>
      <c r="I9562" s="788">
        <v>41823</v>
      </c>
      <c r="J9562" s="788">
        <v>41781</v>
      </c>
      <c r="K9562" s="788">
        <v>41751</v>
      </c>
      <c r="L9562" s="787">
        <v>0.5</v>
      </c>
      <c r="M9562" s="787">
        <v>10</v>
      </c>
      <c r="N9562" s="787">
        <v>11.73</v>
      </c>
      <c r="O9562" s="788">
        <v>41858</v>
      </c>
    </row>
    <row r="9563" spans="1:15" x14ac:dyDescent="0.25">
      <c r="A9563" s="786" t="s">
        <v>17132</v>
      </c>
      <c r="B9563" s="787">
        <v>4</v>
      </c>
      <c r="C9563" s="787" t="s">
        <v>17133</v>
      </c>
      <c r="D9563" s="787">
        <v>0</v>
      </c>
      <c r="E9563" s="787">
        <v>0</v>
      </c>
      <c r="H9563" s="787">
        <v>1</v>
      </c>
      <c r="I9563" s="788">
        <v>42152</v>
      </c>
      <c r="L9563" s="787">
        <v>0</v>
      </c>
      <c r="M9563" s="787">
        <v>10</v>
      </c>
      <c r="N9563" s="787">
        <v>0</v>
      </c>
    </row>
    <row r="9564" spans="1:15" x14ac:dyDescent="0.25">
      <c r="A9564" s="786" t="s">
        <v>17134</v>
      </c>
      <c r="B9564" s="787">
        <v>4</v>
      </c>
      <c r="C9564" s="787" t="s">
        <v>17135</v>
      </c>
      <c r="D9564" s="787">
        <v>0</v>
      </c>
      <c r="E9564" s="787">
        <v>0</v>
      </c>
      <c r="H9564" s="787">
        <v>1</v>
      </c>
      <c r="I9564" s="788">
        <v>42152</v>
      </c>
      <c r="L9564" s="787">
        <v>0</v>
      </c>
      <c r="M9564" s="787">
        <v>10</v>
      </c>
      <c r="N9564" s="787">
        <v>0</v>
      </c>
    </row>
    <row r="9565" spans="1:15" x14ac:dyDescent="0.25">
      <c r="A9565" s="786" t="s">
        <v>17136</v>
      </c>
      <c r="B9565" s="787">
        <v>4</v>
      </c>
      <c r="C9565" s="787" t="s">
        <v>17137</v>
      </c>
      <c r="D9565" s="787">
        <v>0</v>
      </c>
      <c r="E9565" s="787">
        <v>0</v>
      </c>
      <c r="H9565" s="787">
        <v>1</v>
      </c>
      <c r="I9565" s="788">
        <v>42152</v>
      </c>
      <c r="L9565" s="787">
        <v>0</v>
      </c>
      <c r="M9565" s="787">
        <v>10</v>
      </c>
      <c r="N9565" s="787">
        <v>0</v>
      </c>
    </row>
    <row r="9566" spans="1:15" x14ac:dyDescent="0.25">
      <c r="A9566" s="786" t="s">
        <v>17138</v>
      </c>
      <c r="B9566" s="787">
        <v>4</v>
      </c>
      <c r="C9566" s="787" t="s">
        <v>17139</v>
      </c>
      <c r="D9566" s="787">
        <v>0.74</v>
      </c>
      <c r="E9566" s="787">
        <v>10.74</v>
      </c>
      <c r="F9566" s="788">
        <v>41933</v>
      </c>
      <c r="G9566" s="788">
        <v>42122</v>
      </c>
      <c r="H9566" s="787">
        <v>1</v>
      </c>
      <c r="I9566" s="788">
        <v>41911</v>
      </c>
      <c r="J9566" s="788">
        <v>42122</v>
      </c>
      <c r="K9566" s="788">
        <v>41890</v>
      </c>
      <c r="L9566" s="787">
        <v>5</v>
      </c>
      <c r="M9566" s="787">
        <v>10</v>
      </c>
      <c r="N9566" s="787">
        <v>5.65</v>
      </c>
      <c r="O9566" s="788">
        <v>42061</v>
      </c>
    </row>
    <row r="9567" spans="1:15" x14ac:dyDescent="0.25">
      <c r="A9567" s="786" t="s">
        <v>17140</v>
      </c>
      <c r="B9567" s="787">
        <v>4</v>
      </c>
      <c r="C9567" s="787" t="s">
        <v>17141</v>
      </c>
      <c r="D9567" s="787">
        <v>0</v>
      </c>
      <c r="E9567" s="787">
        <v>0</v>
      </c>
      <c r="G9567" s="788">
        <v>41879</v>
      </c>
      <c r="H9567" s="787">
        <v>1</v>
      </c>
      <c r="I9567" s="788">
        <v>42152</v>
      </c>
      <c r="J9567" s="788">
        <v>42163</v>
      </c>
      <c r="K9567" s="788">
        <v>42165</v>
      </c>
      <c r="L9567" s="787">
        <v>5</v>
      </c>
      <c r="M9567" s="787">
        <v>10</v>
      </c>
      <c r="N9567" s="787">
        <v>6.86</v>
      </c>
      <c r="O9567" s="788">
        <v>42165</v>
      </c>
    </row>
    <row r="9568" spans="1:15" x14ac:dyDescent="0.25">
      <c r="A9568" s="786" t="s">
        <v>17142</v>
      </c>
      <c r="B9568" s="787">
        <v>4</v>
      </c>
      <c r="C9568" s="787" t="s">
        <v>17143</v>
      </c>
      <c r="D9568" s="787">
        <v>7.93</v>
      </c>
      <c r="E9568" s="787">
        <v>7.93</v>
      </c>
      <c r="F9568" s="788">
        <v>42163</v>
      </c>
      <c r="G9568" s="788">
        <v>42163</v>
      </c>
      <c r="H9568" s="787">
        <v>1</v>
      </c>
      <c r="I9568" s="788">
        <v>42152</v>
      </c>
      <c r="J9568" s="788">
        <v>42136</v>
      </c>
      <c r="K9568" s="788">
        <v>41865</v>
      </c>
      <c r="L9568" s="787">
        <v>2</v>
      </c>
      <c r="M9568" s="787">
        <v>10</v>
      </c>
      <c r="N9568" s="787">
        <v>0</v>
      </c>
    </row>
    <row r="9569" spans="1:14" x14ac:dyDescent="0.25">
      <c r="A9569" s="786" t="s">
        <v>17144</v>
      </c>
      <c r="B9569" s="787">
        <v>4</v>
      </c>
      <c r="C9569" s="787" t="s">
        <v>17145</v>
      </c>
      <c r="D9569" s="787">
        <v>5.98</v>
      </c>
      <c r="E9569" s="787">
        <v>15.98</v>
      </c>
      <c r="F9569" s="788">
        <v>42163</v>
      </c>
      <c r="G9569" s="788">
        <v>42163</v>
      </c>
      <c r="H9569" s="787">
        <v>1</v>
      </c>
      <c r="I9569" s="788">
        <v>42152</v>
      </c>
      <c r="J9569" s="788">
        <v>42136</v>
      </c>
      <c r="K9569" s="788">
        <v>41865</v>
      </c>
      <c r="L9569" s="787">
        <v>2.5</v>
      </c>
      <c r="M9569" s="787">
        <v>10</v>
      </c>
      <c r="N9569" s="787">
        <v>0</v>
      </c>
    </row>
    <row r="9570" spans="1:14" x14ac:dyDescent="0.25">
      <c r="A9570" s="786" t="s">
        <v>17146</v>
      </c>
      <c r="B9570" s="787">
        <v>4</v>
      </c>
      <c r="C9570" s="787" t="s">
        <v>17147</v>
      </c>
      <c r="D9570" s="787">
        <v>0</v>
      </c>
      <c r="E9570" s="787">
        <v>0</v>
      </c>
      <c r="H9570" s="787">
        <v>1</v>
      </c>
      <c r="I9570" s="788">
        <v>42152</v>
      </c>
      <c r="J9570" s="788">
        <v>42156</v>
      </c>
      <c r="K9570" s="788">
        <v>41913</v>
      </c>
      <c r="L9570" s="787">
        <v>2.5</v>
      </c>
      <c r="M9570" s="787">
        <v>10</v>
      </c>
      <c r="N9570" s="787">
        <v>0</v>
      </c>
    </row>
    <row r="9571" spans="1:14" x14ac:dyDescent="0.25">
      <c r="A9571" s="786" t="s">
        <v>17148</v>
      </c>
      <c r="B9571" s="787">
        <v>4</v>
      </c>
      <c r="C9571" s="787" t="s">
        <v>17149</v>
      </c>
      <c r="D9571" s="787">
        <v>0</v>
      </c>
      <c r="E9571" s="787">
        <v>0</v>
      </c>
      <c r="H9571" s="787">
        <v>1</v>
      </c>
      <c r="L9571" s="787">
        <v>0</v>
      </c>
      <c r="M9571" s="787">
        <v>10</v>
      </c>
      <c r="N9571" s="787">
        <v>0</v>
      </c>
    </row>
    <row r="9572" spans="1:14" x14ac:dyDescent="0.25">
      <c r="A9572" s="786" t="s">
        <v>17150</v>
      </c>
      <c r="B9572" s="787">
        <v>4</v>
      </c>
      <c r="C9572" s="787" t="s">
        <v>17151</v>
      </c>
      <c r="D9572" s="787">
        <v>0</v>
      </c>
      <c r="E9572" s="787">
        <v>0</v>
      </c>
      <c r="H9572" s="787">
        <v>1</v>
      </c>
      <c r="L9572" s="787">
        <v>0</v>
      </c>
      <c r="M9572" s="787">
        <v>10</v>
      </c>
      <c r="N9572" s="787">
        <v>0</v>
      </c>
    </row>
    <row r="9573" spans="1:14" x14ac:dyDescent="0.25">
      <c r="A9573" s="786" t="s">
        <v>17152</v>
      </c>
      <c r="B9573" s="787">
        <v>4</v>
      </c>
      <c r="C9573" s="787" t="s">
        <v>17153</v>
      </c>
      <c r="D9573" s="787">
        <v>0</v>
      </c>
      <c r="E9573" s="787">
        <v>0</v>
      </c>
      <c r="H9573" s="787">
        <v>1</v>
      </c>
      <c r="L9573" s="787">
        <v>0</v>
      </c>
      <c r="M9573" s="787">
        <v>10</v>
      </c>
      <c r="N9573" s="787">
        <v>0</v>
      </c>
    </row>
    <row r="9574" spans="1:14" x14ac:dyDescent="0.25">
      <c r="A9574" s="786" t="s">
        <v>17154</v>
      </c>
      <c r="B9574" s="787">
        <v>4</v>
      </c>
      <c r="C9574" s="787" t="s">
        <v>17155</v>
      </c>
      <c r="D9574" s="787">
        <v>0</v>
      </c>
      <c r="E9574" s="787">
        <v>0</v>
      </c>
      <c r="H9574" s="787">
        <v>1</v>
      </c>
      <c r="L9574" s="787">
        <v>0</v>
      </c>
      <c r="M9574" s="787">
        <v>10</v>
      </c>
      <c r="N9574" s="787">
        <v>0</v>
      </c>
    </row>
    <row r="9575" spans="1:14" x14ac:dyDescent="0.25">
      <c r="A9575" s="786" t="s">
        <v>17156</v>
      </c>
      <c r="B9575" s="787">
        <v>4</v>
      </c>
      <c r="C9575" s="787" t="s">
        <v>17157</v>
      </c>
      <c r="D9575" s="787">
        <v>0</v>
      </c>
      <c r="E9575" s="787">
        <v>0</v>
      </c>
      <c r="H9575" s="787">
        <v>1</v>
      </c>
      <c r="I9575" s="788">
        <v>42053</v>
      </c>
      <c r="L9575" s="787">
        <v>0</v>
      </c>
      <c r="M9575" s="787">
        <v>10</v>
      </c>
      <c r="N9575" s="787">
        <v>0</v>
      </c>
    </row>
    <row r="9576" spans="1:14" x14ac:dyDescent="0.25">
      <c r="A9576" s="786" t="s">
        <v>17158</v>
      </c>
      <c r="B9576" s="787">
        <v>4</v>
      </c>
      <c r="C9576" s="787" t="s">
        <v>17159</v>
      </c>
      <c r="D9576" s="787">
        <v>0</v>
      </c>
      <c r="E9576" s="787">
        <v>0</v>
      </c>
      <c r="H9576" s="787">
        <v>1</v>
      </c>
      <c r="L9576" s="787">
        <v>0</v>
      </c>
      <c r="M9576" s="787">
        <v>10</v>
      </c>
      <c r="N9576" s="787">
        <v>0</v>
      </c>
    </row>
    <row r="9577" spans="1:14" x14ac:dyDescent="0.25">
      <c r="A9577" s="786" t="s">
        <v>17160</v>
      </c>
      <c r="B9577" s="787">
        <v>4</v>
      </c>
      <c r="C9577" s="787" t="s">
        <v>17161</v>
      </c>
      <c r="D9577" s="787">
        <v>0</v>
      </c>
      <c r="E9577" s="787">
        <v>0</v>
      </c>
      <c r="H9577" s="787">
        <v>1</v>
      </c>
      <c r="L9577" s="787">
        <v>0</v>
      </c>
      <c r="M9577" s="787">
        <v>10</v>
      </c>
      <c r="N9577" s="787">
        <v>0</v>
      </c>
    </row>
    <row r="9578" spans="1:14" x14ac:dyDescent="0.25">
      <c r="A9578" s="786" t="s">
        <v>17162</v>
      </c>
      <c r="B9578" s="787">
        <v>4</v>
      </c>
      <c r="C9578" s="787" t="s">
        <v>17163</v>
      </c>
      <c r="D9578" s="787">
        <v>0</v>
      </c>
      <c r="E9578" s="787">
        <v>0</v>
      </c>
      <c r="H9578" s="787">
        <v>1</v>
      </c>
      <c r="L9578" s="787">
        <v>0</v>
      </c>
      <c r="M9578" s="787">
        <v>10</v>
      </c>
      <c r="N9578" s="787">
        <v>0</v>
      </c>
    </row>
    <row r="9579" spans="1:14" x14ac:dyDescent="0.25">
      <c r="A9579" s="786" t="s">
        <v>17164</v>
      </c>
      <c r="B9579" s="787">
        <v>4</v>
      </c>
      <c r="C9579" s="787" t="s">
        <v>17165</v>
      </c>
      <c r="D9579" s="787">
        <v>0</v>
      </c>
      <c r="E9579" s="787">
        <v>0</v>
      </c>
      <c r="H9579" s="787">
        <v>1</v>
      </c>
      <c r="L9579" s="787">
        <v>0</v>
      </c>
      <c r="M9579" s="787">
        <v>10</v>
      </c>
      <c r="N9579" s="787">
        <v>0</v>
      </c>
    </row>
    <row r="9580" spans="1:14" x14ac:dyDescent="0.25">
      <c r="A9580" s="786" t="s">
        <v>17166</v>
      </c>
      <c r="B9580" s="787">
        <v>4</v>
      </c>
      <c r="C9580" s="787" t="s">
        <v>17167</v>
      </c>
      <c r="D9580" s="787">
        <v>0</v>
      </c>
      <c r="E9580" s="787">
        <v>0</v>
      </c>
      <c r="H9580" s="787">
        <v>1</v>
      </c>
      <c r="L9580" s="787">
        <v>0</v>
      </c>
      <c r="M9580" s="787">
        <v>10</v>
      </c>
      <c r="N9580" s="787">
        <v>0</v>
      </c>
    </row>
    <row r="9581" spans="1:14" x14ac:dyDescent="0.25">
      <c r="A9581" s="786" t="s">
        <v>17168</v>
      </c>
      <c r="B9581" s="787">
        <v>4</v>
      </c>
      <c r="C9581" s="787" t="s">
        <v>17169</v>
      </c>
      <c r="D9581" s="787">
        <v>0</v>
      </c>
      <c r="E9581" s="787">
        <v>0</v>
      </c>
      <c r="H9581" s="787">
        <v>1</v>
      </c>
      <c r="I9581" s="788">
        <v>42152</v>
      </c>
      <c r="L9581" s="787">
        <v>0</v>
      </c>
      <c r="M9581" s="787">
        <v>10</v>
      </c>
      <c r="N9581" s="787">
        <v>0</v>
      </c>
    </row>
    <row r="9582" spans="1:14" x14ac:dyDescent="0.25">
      <c r="A9582" s="786" t="s">
        <v>17170</v>
      </c>
      <c r="B9582" s="787">
        <v>4</v>
      </c>
      <c r="C9582" s="787" t="s">
        <v>17171</v>
      </c>
      <c r="D9582" s="787">
        <v>0</v>
      </c>
      <c r="E9582" s="787">
        <v>0</v>
      </c>
      <c r="H9582" s="787">
        <v>1</v>
      </c>
      <c r="I9582" s="788">
        <v>42152</v>
      </c>
      <c r="L9582" s="787">
        <v>0</v>
      </c>
      <c r="M9582" s="787">
        <v>10</v>
      </c>
      <c r="N9582" s="787">
        <v>0</v>
      </c>
    </row>
    <row r="9583" spans="1:14" x14ac:dyDescent="0.25">
      <c r="A9583" s="786" t="s">
        <v>17172</v>
      </c>
      <c r="B9583" s="787">
        <v>4</v>
      </c>
      <c r="C9583" s="787" t="s">
        <v>17173</v>
      </c>
      <c r="D9583" s="787">
        <v>0</v>
      </c>
      <c r="E9583" s="787">
        <v>0</v>
      </c>
      <c r="H9583" s="787">
        <v>1</v>
      </c>
      <c r="I9583" s="788">
        <v>42152</v>
      </c>
      <c r="L9583" s="787">
        <v>0</v>
      </c>
      <c r="M9583" s="787">
        <v>10</v>
      </c>
      <c r="N9583" s="787">
        <v>0</v>
      </c>
    </row>
    <row r="9584" spans="1:14" x14ac:dyDescent="0.25">
      <c r="A9584" s="786" t="s">
        <v>17174</v>
      </c>
      <c r="B9584" s="787">
        <v>4</v>
      </c>
      <c r="C9584" s="787" t="s">
        <v>17175</v>
      </c>
      <c r="D9584" s="787">
        <v>0</v>
      </c>
      <c r="E9584" s="787">
        <v>0</v>
      </c>
      <c r="H9584" s="787">
        <v>1</v>
      </c>
      <c r="I9584" s="788">
        <v>42152</v>
      </c>
      <c r="L9584" s="787">
        <v>0</v>
      </c>
      <c r="M9584" s="787">
        <v>10</v>
      </c>
      <c r="N9584" s="787">
        <v>0</v>
      </c>
    </row>
    <row r="9585" spans="1:15" x14ac:dyDescent="0.25">
      <c r="A9585" s="786" t="s">
        <v>17176</v>
      </c>
      <c r="B9585" s="787">
        <v>4</v>
      </c>
      <c r="C9585" s="787" t="s">
        <v>17177</v>
      </c>
      <c r="D9585" s="787">
        <v>0</v>
      </c>
      <c r="E9585" s="787">
        <v>0</v>
      </c>
      <c r="H9585" s="787">
        <v>1</v>
      </c>
      <c r="I9585" s="788">
        <v>42152</v>
      </c>
      <c r="L9585" s="787">
        <v>0</v>
      </c>
      <c r="M9585" s="787">
        <v>10</v>
      </c>
      <c r="N9585" s="787">
        <v>0</v>
      </c>
    </row>
    <row r="9586" spans="1:15" x14ac:dyDescent="0.25">
      <c r="A9586" s="786" t="s">
        <v>17178</v>
      </c>
      <c r="B9586" s="787">
        <v>4</v>
      </c>
      <c r="C9586" s="787" t="s">
        <v>17179</v>
      </c>
      <c r="D9586" s="787">
        <v>0</v>
      </c>
      <c r="E9586" s="787">
        <v>0</v>
      </c>
      <c r="H9586" s="787">
        <v>1</v>
      </c>
      <c r="I9586" s="788">
        <v>42152</v>
      </c>
      <c r="L9586" s="787">
        <v>0</v>
      </c>
      <c r="M9586" s="787">
        <v>10</v>
      </c>
      <c r="N9586" s="787">
        <v>0</v>
      </c>
    </row>
    <row r="9587" spans="1:15" x14ac:dyDescent="0.25">
      <c r="A9587" s="786" t="s">
        <v>17180</v>
      </c>
      <c r="B9587" s="787">
        <v>4</v>
      </c>
      <c r="C9587" s="787" t="s">
        <v>17181</v>
      </c>
      <c r="D9587" s="787">
        <v>0</v>
      </c>
      <c r="E9587" s="787">
        <v>0</v>
      </c>
      <c r="H9587" s="787">
        <v>1</v>
      </c>
      <c r="I9587" s="788">
        <v>42144</v>
      </c>
      <c r="K9587" s="788">
        <v>41772</v>
      </c>
      <c r="L9587" s="787">
        <v>3.5</v>
      </c>
      <c r="M9587" s="787">
        <v>10</v>
      </c>
      <c r="N9587" s="787">
        <v>4.1100000000000003</v>
      </c>
      <c r="O9587" s="788">
        <v>42153</v>
      </c>
    </row>
    <row r="9588" spans="1:15" x14ac:dyDescent="0.25">
      <c r="A9588" s="786" t="s">
        <v>17182</v>
      </c>
      <c r="B9588" s="787">
        <v>4</v>
      </c>
      <c r="C9588" s="787" t="s">
        <v>17183</v>
      </c>
      <c r="D9588" s="787">
        <v>0</v>
      </c>
      <c r="E9588" s="787">
        <v>0</v>
      </c>
      <c r="H9588" s="787">
        <v>1</v>
      </c>
      <c r="L9588" s="787">
        <v>0</v>
      </c>
      <c r="M9588" s="787">
        <v>10</v>
      </c>
      <c r="N9588" s="787">
        <v>0</v>
      </c>
    </row>
    <row r="9589" spans="1:15" x14ac:dyDescent="0.25">
      <c r="A9589" s="786" t="s">
        <v>17184</v>
      </c>
      <c r="B9589" s="787">
        <v>4</v>
      </c>
      <c r="C9589" s="787" t="s">
        <v>17185</v>
      </c>
      <c r="D9589" s="787">
        <v>0</v>
      </c>
      <c r="E9589" s="787">
        <v>0</v>
      </c>
      <c r="H9589" s="787">
        <v>1</v>
      </c>
      <c r="L9589" s="787">
        <v>0</v>
      </c>
      <c r="M9589" s="787">
        <v>10</v>
      </c>
      <c r="N9589" s="787">
        <v>0</v>
      </c>
    </row>
    <row r="9590" spans="1:15" x14ac:dyDescent="0.25">
      <c r="A9590" s="786" t="s">
        <v>17186</v>
      </c>
      <c r="B9590" s="787">
        <v>4</v>
      </c>
      <c r="C9590" s="787" t="s">
        <v>17187</v>
      </c>
      <c r="D9590" s="787">
        <v>0</v>
      </c>
      <c r="E9590" s="787">
        <v>0</v>
      </c>
      <c r="H9590" s="787">
        <v>1</v>
      </c>
      <c r="I9590" s="788">
        <v>42152</v>
      </c>
      <c r="L9590" s="787">
        <v>0</v>
      </c>
      <c r="M9590" s="787">
        <v>10</v>
      </c>
      <c r="N9590" s="787">
        <v>0</v>
      </c>
    </row>
    <row r="9591" spans="1:15" x14ac:dyDescent="0.25">
      <c r="A9591" s="786" t="s">
        <v>17188</v>
      </c>
      <c r="B9591" s="787">
        <v>4</v>
      </c>
      <c r="C9591" s="787" t="s">
        <v>17189</v>
      </c>
      <c r="D9591" s="787">
        <v>0</v>
      </c>
      <c r="E9591" s="787">
        <v>0</v>
      </c>
      <c r="H9591" s="787">
        <v>1</v>
      </c>
      <c r="I9591" s="788">
        <v>42152</v>
      </c>
      <c r="L9591" s="787">
        <v>0</v>
      </c>
      <c r="M9591" s="787">
        <v>10</v>
      </c>
      <c r="N9591" s="787">
        <v>0</v>
      </c>
    </row>
    <row r="9592" spans="1:15" x14ac:dyDescent="0.25">
      <c r="A9592" s="786" t="s">
        <v>17190</v>
      </c>
      <c r="B9592" s="787">
        <v>4</v>
      </c>
      <c r="C9592" s="787" t="s">
        <v>17191</v>
      </c>
      <c r="D9592" s="787">
        <v>0</v>
      </c>
      <c r="E9592" s="787">
        <v>0</v>
      </c>
      <c r="H9592" s="787">
        <v>1</v>
      </c>
      <c r="I9592" s="788">
        <v>42152</v>
      </c>
      <c r="L9592" s="787">
        <v>0</v>
      </c>
      <c r="M9592" s="787">
        <v>10</v>
      </c>
      <c r="N9592" s="787">
        <v>0</v>
      </c>
    </row>
    <row r="9593" spans="1:15" x14ac:dyDescent="0.25">
      <c r="A9593" s="786" t="s">
        <v>17192</v>
      </c>
      <c r="B9593" s="787">
        <v>4</v>
      </c>
      <c r="C9593" s="787" t="s">
        <v>17193</v>
      </c>
      <c r="D9593" s="787">
        <v>0</v>
      </c>
      <c r="E9593" s="787">
        <v>0</v>
      </c>
      <c r="H9593" s="787">
        <v>1</v>
      </c>
      <c r="I9593" s="788">
        <v>42152</v>
      </c>
      <c r="L9593" s="787">
        <v>0</v>
      </c>
      <c r="M9593" s="787">
        <v>10</v>
      </c>
      <c r="N9593" s="787">
        <v>0</v>
      </c>
    </row>
    <row r="9594" spans="1:15" x14ac:dyDescent="0.25">
      <c r="A9594" s="786" t="s">
        <v>17194</v>
      </c>
      <c r="B9594" s="787">
        <v>4</v>
      </c>
      <c r="C9594" s="787" t="s">
        <v>17195</v>
      </c>
      <c r="D9594" s="787">
        <v>0</v>
      </c>
      <c r="E9594" s="787">
        <v>0</v>
      </c>
      <c r="H9594" s="787">
        <v>1</v>
      </c>
      <c r="I9594" s="788">
        <v>42152</v>
      </c>
      <c r="L9594" s="787">
        <v>0</v>
      </c>
      <c r="M9594" s="787">
        <v>10</v>
      </c>
      <c r="N9594" s="787">
        <v>0</v>
      </c>
    </row>
    <row r="9595" spans="1:15" x14ac:dyDescent="0.25">
      <c r="A9595" s="786" t="s">
        <v>17196</v>
      </c>
      <c r="B9595" s="787">
        <v>4</v>
      </c>
      <c r="C9595" s="787" t="s">
        <v>17197</v>
      </c>
      <c r="D9595" s="787">
        <v>0</v>
      </c>
      <c r="E9595" s="787">
        <v>0</v>
      </c>
      <c r="H9595" s="787">
        <v>1</v>
      </c>
      <c r="I9595" s="788">
        <v>42152</v>
      </c>
      <c r="L9595" s="787">
        <v>0</v>
      </c>
      <c r="M9595" s="787">
        <v>10</v>
      </c>
      <c r="N9595" s="787">
        <v>0</v>
      </c>
    </row>
    <row r="9596" spans="1:15" x14ac:dyDescent="0.25">
      <c r="A9596" s="786" t="s">
        <v>17198</v>
      </c>
      <c r="B9596" s="787">
        <v>4</v>
      </c>
      <c r="C9596" s="787" t="s">
        <v>17199</v>
      </c>
      <c r="D9596" s="787">
        <v>0</v>
      </c>
      <c r="E9596" s="787">
        <v>0</v>
      </c>
      <c r="H9596" s="787">
        <v>1</v>
      </c>
      <c r="L9596" s="787">
        <v>0</v>
      </c>
      <c r="M9596" s="787">
        <v>10</v>
      </c>
      <c r="N9596" s="787">
        <v>0</v>
      </c>
    </row>
    <row r="9597" spans="1:15" x14ac:dyDescent="0.25">
      <c r="A9597" s="786" t="s">
        <v>17200</v>
      </c>
      <c r="B9597" s="787">
        <v>4</v>
      </c>
      <c r="C9597" s="787" t="s">
        <v>17201</v>
      </c>
      <c r="D9597" s="787">
        <v>0</v>
      </c>
      <c r="E9597" s="787">
        <v>0</v>
      </c>
      <c r="H9597" s="787">
        <v>1</v>
      </c>
      <c r="L9597" s="787">
        <v>0</v>
      </c>
      <c r="M9597" s="787">
        <v>10</v>
      </c>
      <c r="N9597" s="787">
        <v>0</v>
      </c>
    </row>
    <row r="9598" spans="1:15" x14ac:dyDescent="0.25">
      <c r="A9598" s="786" t="s">
        <v>17202</v>
      </c>
      <c r="B9598" s="787">
        <v>4</v>
      </c>
      <c r="C9598" s="787" t="s">
        <v>17203</v>
      </c>
      <c r="D9598" s="787">
        <v>0</v>
      </c>
      <c r="E9598" s="787">
        <v>0</v>
      </c>
      <c r="H9598" s="787">
        <v>1</v>
      </c>
      <c r="I9598" s="788">
        <v>42144</v>
      </c>
      <c r="K9598" s="788">
        <v>41772</v>
      </c>
      <c r="L9598" s="787">
        <v>3.5</v>
      </c>
      <c r="M9598" s="787">
        <v>10</v>
      </c>
      <c r="N9598" s="787">
        <v>4.1100000000000003</v>
      </c>
      <c r="O9598" s="788">
        <v>42151</v>
      </c>
    </row>
    <row r="9599" spans="1:15" x14ac:dyDescent="0.25">
      <c r="A9599" s="786" t="s">
        <v>17204</v>
      </c>
      <c r="B9599" s="787">
        <v>4</v>
      </c>
      <c r="C9599" s="787" t="s">
        <v>17205</v>
      </c>
      <c r="D9599" s="787">
        <v>0</v>
      </c>
      <c r="E9599" s="787">
        <v>0</v>
      </c>
      <c r="H9599" s="787">
        <v>1</v>
      </c>
      <c r="I9599" s="788">
        <v>42144</v>
      </c>
      <c r="K9599" s="788">
        <v>42150</v>
      </c>
      <c r="L9599" s="787">
        <v>9</v>
      </c>
      <c r="M9599" s="787">
        <v>10</v>
      </c>
      <c r="N9599" s="787">
        <v>8.77</v>
      </c>
      <c r="O9599" s="788">
        <v>42153</v>
      </c>
    </row>
    <row r="9600" spans="1:15" x14ac:dyDescent="0.25">
      <c r="A9600" s="786" t="s">
        <v>17206</v>
      </c>
      <c r="B9600" s="787">
        <v>4</v>
      </c>
      <c r="C9600" s="787" t="s">
        <v>17207</v>
      </c>
      <c r="D9600" s="787">
        <v>0</v>
      </c>
      <c r="E9600" s="787">
        <v>0</v>
      </c>
      <c r="H9600" s="787">
        <v>1</v>
      </c>
      <c r="I9600" s="788">
        <v>42144</v>
      </c>
      <c r="K9600" s="788">
        <v>41773</v>
      </c>
      <c r="L9600" s="787">
        <v>4.5</v>
      </c>
      <c r="M9600" s="787">
        <v>10</v>
      </c>
      <c r="N9600" s="787">
        <v>0</v>
      </c>
    </row>
    <row r="9601" spans="1:15" x14ac:dyDescent="0.25">
      <c r="A9601" s="786" t="s">
        <v>17208</v>
      </c>
      <c r="B9601" s="787">
        <v>4</v>
      </c>
      <c r="C9601" s="787" t="s">
        <v>17209</v>
      </c>
      <c r="D9601" s="787">
        <v>0</v>
      </c>
      <c r="E9601" s="787">
        <v>0</v>
      </c>
      <c r="H9601" s="787">
        <v>1</v>
      </c>
      <c r="I9601" s="788">
        <v>42131</v>
      </c>
      <c r="K9601" s="788">
        <v>41773</v>
      </c>
      <c r="L9601" s="787">
        <v>4.5</v>
      </c>
      <c r="M9601" s="787">
        <v>10</v>
      </c>
      <c r="N9601" s="787">
        <v>5.96</v>
      </c>
      <c r="O9601" s="788">
        <v>41858</v>
      </c>
    </row>
    <row r="9602" spans="1:15" x14ac:dyDescent="0.25">
      <c r="A9602" s="786" t="s">
        <v>17210</v>
      </c>
      <c r="B9602" s="787">
        <v>4</v>
      </c>
      <c r="C9602" s="787" t="s">
        <v>17211</v>
      </c>
      <c r="D9602" s="787">
        <v>0</v>
      </c>
      <c r="E9602" s="787">
        <v>0</v>
      </c>
      <c r="H9602" s="787">
        <v>1</v>
      </c>
      <c r="I9602" s="788">
        <v>42131</v>
      </c>
      <c r="K9602" s="788">
        <v>41772</v>
      </c>
      <c r="L9602" s="787">
        <v>4.5</v>
      </c>
      <c r="M9602" s="787">
        <v>10</v>
      </c>
      <c r="N9602" s="787">
        <v>5.96</v>
      </c>
      <c r="O9602" s="788">
        <v>41858</v>
      </c>
    </row>
    <row r="9603" spans="1:15" x14ac:dyDescent="0.25">
      <c r="A9603" s="786" t="s">
        <v>17212</v>
      </c>
      <c r="B9603" s="787">
        <v>4</v>
      </c>
      <c r="C9603" s="787" t="s">
        <v>17213</v>
      </c>
      <c r="D9603" s="787">
        <v>9.4700000000000006</v>
      </c>
      <c r="E9603" s="787">
        <v>9.4700000000000006</v>
      </c>
      <c r="F9603" s="788">
        <v>42075</v>
      </c>
      <c r="G9603" s="788">
        <v>42075</v>
      </c>
      <c r="H9603" s="787">
        <v>1</v>
      </c>
      <c r="I9603" s="788">
        <v>42144</v>
      </c>
      <c r="J9603" s="788">
        <v>42046</v>
      </c>
      <c r="K9603" s="788">
        <v>42150</v>
      </c>
      <c r="L9603" s="787">
        <v>12</v>
      </c>
      <c r="M9603" s="787">
        <v>10</v>
      </c>
      <c r="N9603" s="787">
        <v>11.91</v>
      </c>
      <c r="O9603" s="788">
        <v>42153</v>
      </c>
    </row>
    <row r="9604" spans="1:15" x14ac:dyDescent="0.25">
      <c r="A9604" s="786" t="s">
        <v>17214</v>
      </c>
      <c r="B9604" s="787">
        <v>4</v>
      </c>
      <c r="C9604" s="787" t="s">
        <v>17215</v>
      </c>
      <c r="D9604" s="787">
        <v>4.83</v>
      </c>
      <c r="E9604" s="787">
        <v>4.83</v>
      </c>
      <c r="F9604" s="788">
        <v>42075</v>
      </c>
      <c r="G9604" s="788">
        <v>42075</v>
      </c>
      <c r="H9604" s="787">
        <v>1</v>
      </c>
      <c r="I9604" s="788">
        <v>42144</v>
      </c>
      <c r="J9604" s="788">
        <v>42046</v>
      </c>
      <c r="K9604" s="788">
        <v>41773</v>
      </c>
      <c r="L9604" s="787">
        <v>6</v>
      </c>
      <c r="M9604" s="787">
        <v>10</v>
      </c>
      <c r="N9604" s="787">
        <v>11.91</v>
      </c>
      <c r="O9604" s="788">
        <v>42151</v>
      </c>
    </row>
    <row r="9605" spans="1:15" x14ac:dyDescent="0.25">
      <c r="A9605" s="786" t="s">
        <v>17216</v>
      </c>
      <c r="B9605" s="787">
        <v>4</v>
      </c>
      <c r="C9605" s="787" t="s">
        <v>17217</v>
      </c>
      <c r="D9605" s="787">
        <v>9.2100000000000009</v>
      </c>
      <c r="E9605" s="787">
        <v>9.2100000000000009</v>
      </c>
      <c r="F9605" s="788">
        <v>41906</v>
      </c>
      <c r="G9605" s="788">
        <v>42013</v>
      </c>
      <c r="H9605" s="787">
        <v>1</v>
      </c>
      <c r="I9605" s="788">
        <v>42131</v>
      </c>
      <c r="J9605" s="788">
        <v>41848</v>
      </c>
      <c r="K9605" s="788">
        <v>41773</v>
      </c>
      <c r="L9605" s="787">
        <v>6</v>
      </c>
      <c r="M9605" s="787">
        <v>10</v>
      </c>
      <c r="N9605" s="787">
        <v>11.83</v>
      </c>
      <c r="O9605" s="788">
        <v>42045</v>
      </c>
    </row>
    <row r="9606" spans="1:15" x14ac:dyDescent="0.25">
      <c r="A9606" s="786" t="s">
        <v>17218</v>
      </c>
      <c r="B9606" s="787">
        <v>4</v>
      </c>
      <c r="C9606" s="787" t="s">
        <v>17219</v>
      </c>
      <c r="D9606" s="787">
        <v>5.25</v>
      </c>
      <c r="E9606" s="787">
        <v>5.25</v>
      </c>
      <c r="F9606" s="788">
        <v>42072</v>
      </c>
      <c r="G9606" s="788">
        <v>42072</v>
      </c>
      <c r="H9606" s="787">
        <v>1</v>
      </c>
      <c r="I9606" s="788">
        <v>42045</v>
      </c>
      <c r="J9606" s="788">
        <v>42045</v>
      </c>
      <c r="K9606" s="788">
        <v>41773</v>
      </c>
      <c r="L9606" s="787">
        <v>5</v>
      </c>
      <c r="M9606" s="787">
        <v>10</v>
      </c>
      <c r="N9606" s="787">
        <v>6.69</v>
      </c>
      <c r="O9606" s="788">
        <v>42153</v>
      </c>
    </row>
    <row r="9607" spans="1:15" x14ac:dyDescent="0.25">
      <c r="A9607" s="786" t="s">
        <v>17220</v>
      </c>
      <c r="B9607" s="787">
        <v>4</v>
      </c>
      <c r="C9607" s="787" t="s">
        <v>17221</v>
      </c>
      <c r="D9607" s="787">
        <v>0.56000000000000005</v>
      </c>
      <c r="E9607" s="787">
        <v>0.56000000000000005</v>
      </c>
      <c r="F9607" s="788">
        <v>42072</v>
      </c>
      <c r="G9607" s="788">
        <v>42072</v>
      </c>
      <c r="H9607" s="787">
        <v>1</v>
      </c>
      <c r="I9607" s="788">
        <v>42045</v>
      </c>
      <c r="J9607" s="788">
        <v>42045</v>
      </c>
      <c r="K9607" s="788">
        <v>41766</v>
      </c>
      <c r="L9607" s="787">
        <v>5</v>
      </c>
      <c r="M9607" s="787">
        <v>10</v>
      </c>
      <c r="N9607" s="787">
        <v>6.69</v>
      </c>
      <c r="O9607" s="788">
        <v>42151</v>
      </c>
    </row>
    <row r="9608" spans="1:15" x14ac:dyDescent="0.25">
      <c r="A9608" s="786" t="s">
        <v>17222</v>
      </c>
      <c r="B9608" s="787">
        <v>4</v>
      </c>
      <c r="C9608" s="787" t="s">
        <v>17223</v>
      </c>
      <c r="D9608" s="787">
        <v>4.2</v>
      </c>
      <c r="E9608" s="787">
        <v>4.2</v>
      </c>
      <c r="F9608" s="788">
        <v>41886</v>
      </c>
      <c r="G9608" s="788">
        <v>42013</v>
      </c>
      <c r="H9608" s="787">
        <v>1</v>
      </c>
      <c r="I9608" s="788">
        <v>41848</v>
      </c>
      <c r="J9608" s="788">
        <v>41841</v>
      </c>
      <c r="K9608" s="788">
        <v>41773</v>
      </c>
      <c r="L9608" s="787">
        <v>5</v>
      </c>
      <c r="M9608" s="787">
        <v>10</v>
      </c>
      <c r="N9608" s="787">
        <v>6.61</v>
      </c>
      <c r="O9608" s="788">
        <v>42045</v>
      </c>
    </row>
    <row r="9609" spans="1:15" x14ac:dyDescent="0.25">
      <c r="A9609" s="786" t="s">
        <v>17224</v>
      </c>
      <c r="B9609" s="787">
        <v>4</v>
      </c>
      <c r="C9609" s="787" t="s">
        <v>17225</v>
      </c>
      <c r="D9609" s="787">
        <v>0.72</v>
      </c>
      <c r="E9609" s="787">
        <v>0.72</v>
      </c>
      <c r="F9609" s="788">
        <v>42072</v>
      </c>
      <c r="G9609" s="788">
        <v>42072</v>
      </c>
      <c r="H9609" s="787">
        <v>1</v>
      </c>
      <c r="I9609" s="788">
        <v>42045</v>
      </c>
      <c r="J9609" s="788">
        <v>42045</v>
      </c>
      <c r="K9609" s="788">
        <v>41773</v>
      </c>
      <c r="L9609" s="787">
        <v>2.5</v>
      </c>
      <c r="M9609" s="787">
        <v>10</v>
      </c>
      <c r="N9609" s="787">
        <v>3.54</v>
      </c>
      <c r="O9609" s="788">
        <v>42153</v>
      </c>
    </row>
    <row r="9610" spans="1:15" x14ac:dyDescent="0.25">
      <c r="A9610" s="786" t="s">
        <v>17226</v>
      </c>
      <c r="B9610" s="787">
        <v>4</v>
      </c>
      <c r="C9610" s="787" t="s">
        <v>17227</v>
      </c>
      <c r="D9610" s="787">
        <v>0.5</v>
      </c>
      <c r="E9610" s="787">
        <v>10.5</v>
      </c>
      <c r="F9610" s="788">
        <v>41933</v>
      </c>
      <c r="G9610" s="788">
        <v>42122</v>
      </c>
      <c r="H9610" s="787">
        <v>1</v>
      </c>
      <c r="I9610" s="788">
        <v>41911</v>
      </c>
      <c r="J9610" s="788">
        <v>42122</v>
      </c>
      <c r="K9610" s="788">
        <v>41890</v>
      </c>
      <c r="L9610" s="787">
        <v>5</v>
      </c>
      <c r="M9610" s="787">
        <v>10</v>
      </c>
      <c r="N9610" s="787">
        <v>5.65</v>
      </c>
      <c r="O9610" s="788">
        <v>42061</v>
      </c>
    </row>
    <row r="9611" spans="1:15" x14ac:dyDescent="0.25">
      <c r="A9611" s="786" t="s">
        <v>17228</v>
      </c>
      <c r="B9611" s="787">
        <v>4</v>
      </c>
      <c r="C9611" s="787" t="s">
        <v>17229</v>
      </c>
      <c r="D9611" s="787">
        <v>0</v>
      </c>
      <c r="E9611" s="787">
        <v>0</v>
      </c>
      <c r="H9611" s="787">
        <v>1</v>
      </c>
      <c r="I9611" s="788">
        <v>42152</v>
      </c>
      <c r="L9611" s="787">
        <v>0</v>
      </c>
      <c r="M9611" s="787">
        <v>10</v>
      </c>
      <c r="N9611" s="787">
        <v>0</v>
      </c>
    </row>
    <row r="9612" spans="1:15" x14ac:dyDescent="0.25">
      <c r="A9612" s="786" t="s">
        <v>17230</v>
      </c>
      <c r="B9612" s="787">
        <v>4</v>
      </c>
      <c r="C9612" s="787" t="s">
        <v>17231</v>
      </c>
      <c r="D9612" s="787">
        <v>3.3</v>
      </c>
      <c r="E9612" s="787">
        <v>3.3</v>
      </c>
      <c r="F9612" s="788">
        <v>41960</v>
      </c>
      <c r="G9612" s="788">
        <v>41960</v>
      </c>
      <c r="H9612" s="787">
        <v>1</v>
      </c>
      <c r="I9612" s="788">
        <v>42152</v>
      </c>
      <c r="J9612" s="788">
        <v>42157</v>
      </c>
      <c r="K9612" s="788">
        <v>41907</v>
      </c>
      <c r="L9612" s="787">
        <v>3.5</v>
      </c>
      <c r="M9612" s="787">
        <v>10</v>
      </c>
      <c r="N9612" s="787">
        <v>12.67</v>
      </c>
      <c r="O9612" s="788">
        <v>41955</v>
      </c>
    </row>
    <row r="9613" spans="1:15" x14ac:dyDescent="0.25">
      <c r="A9613" s="786" t="s">
        <v>17232</v>
      </c>
      <c r="B9613" s="787">
        <v>4</v>
      </c>
      <c r="C9613" s="787" t="s">
        <v>17233</v>
      </c>
      <c r="D9613" s="787">
        <v>0</v>
      </c>
      <c r="E9613" s="787">
        <v>0</v>
      </c>
      <c r="H9613" s="787">
        <v>1</v>
      </c>
      <c r="I9613" s="788">
        <v>42152</v>
      </c>
      <c r="L9613" s="787">
        <v>0</v>
      </c>
      <c r="M9613" s="787">
        <v>10</v>
      </c>
      <c r="N9613" s="787">
        <v>0</v>
      </c>
    </row>
    <row r="9614" spans="1:15" x14ac:dyDescent="0.25">
      <c r="A9614" s="786" t="s">
        <v>17234</v>
      </c>
      <c r="B9614" s="787">
        <v>4</v>
      </c>
      <c r="C9614" s="787" t="s">
        <v>15995</v>
      </c>
      <c r="D9614" s="787">
        <v>0</v>
      </c>
      <c r="E9614" s="787">
        <v>0</v>
      </c>
      <c r="H9614" s="787">
        <v>1</v>
      </c>
      <c r="I9614" s="788">
        <v>42152</v>
      </c>
      <c r="L9614" s="787">
        <v>0</v>
      </c>
      <c r="M9614" s="787">
        <v>10</v>
      </c>
      <c r="N9614" s="787">
        <v>0</v>
      </c>
    </row>
    <row r="9615" spans="1:15" x14ac:dyDescent="0.25">
      <c r="A9615" s="786" t="s">
        <v>17235</v>
      </c>
      <c r="B9615" s="787">
        <v>4</v>
      </c>
      <c r="C9615" s="787" t="s">
        <v>15997</v>
      </c>
      <c r="D9615" s="787">
        <v>0</v>
      </c>
      <c r="E9615" s="787">
        <v>0</v>
      </c>
      <c r="H9615" s="787">
        <v>1</v>
      </c>
      <c r="I9615" s="788">
        <v>42152</v>
      </c>
      <c r="L9615" s="787">
        <v>0</v>
      </c>
      <c r="M9615" s="787">
        <v>10</v>
      </c>
      <c r="N9615" s="787">
        <v>0</v>
      </c>
    </row>
    <row r="9616" spans="1:15" x14ac:dyDescent="0.25">
      <c r="A9616" s="786" t="s">
        <v>17236</v>
      </c>
      <c r="B9616" s="787">
        <v>4</v>
      </c>
      <c r="C9616" s="787" t="s">
        <v>17237</v>
      </c>
      <c r="D9616" s="787">
        <v>0</v>
      </c>
      <c r="E9616" s="787">
        <v>0</v>
      </c>
      <c r="H9616" s="787">
        <v>1</v>
      </c>
      <c r="I9616" s="788">
        <v>42152</v>
      </c>
      <c r="L9616" s="787">
        <v>0</v>
      </c>
      <c r="M9616" s="787">
        <v>10</v>
      </c>
      <c r="N9616" s="787">
        <v>0</v>
      </c>
    </row>
    <row r="9617" spans="1:15" x14ac:dyDescent="0.25">
      <c r="A9617" s="786" t="s">
        <v>17238</v>
      </c>
      <c r="B9617" s="787">
        <v>4</v>
      </c>
      <c r="C9617" s="787" t="s">
        <v>17239</v>
      </c>
      <c r="D9617" s="787">
        <v>0</v>
      </c>
      <c r="E9617" s="787">
        <v>0</v>
      </c>
      <c r="H9617" s="787">
        <v>1</v>
      </c>
      <c r="I9617" s="788">
        <v>42152</v>
      </c>
      <c r="L9617" s="787">
        <v>0</v>
      </c>
      <c r="M9617" s="787">
        <v>10</v>
      </c>
      <c r="N9617" s="787">
        <v>0</v>
      </c>
    </row>
    <row r="9618" spans="1:15" x14ac:dyDescent="0.25">
      <c r="A9618" s="786" t="s">
        <v>17240</v>
      </c>
      <c r="B9618" s="787">
        <v>4</v>
      </c>
      <c r="C9618" s="787" t="s">
        <v>17241</v>
      </c>
      <c r="D9618" s="787">
        <v>0</v>
      </c>
      <c r="E9618" s="787">
        <v>0</v>
      </c>
      <c r="H9618" s="787">
        <v>1</v>
      </c>
      <c r="I9618" s="788">
        <v>42152</v>
      </c>
      <c r="L9618" s="787">
        <v>0</v>
      </c>
      <c r="M9618" s="787">
        <v>10</v>
      </c>
      <c r="N9618" s="787">
        <v>0</v>
      </c>
    </row>
    <row r="9619" spans="1:15" x14ac:dyDescent="0.25">
      <c r="A9619" s="786" t="s">
        <v>17242</v>
      </c>
      <c r="B9619" s="787">
        <v>4</v>
      </c>
      <c r="C9619" s="787" t="s">
        <v>17243</v>
      </c>
      <c r="D9619" s="787">
        <v>0</v>
      </c>
      <c r="E9619" s="787">
        <v>0</v>
      </c>
      <c r="H9619" s="787">
        <v>1</v>
      </c>
      <c r="L9619" s="787">
        <v>0</v>
      </c>
      <c r="M9619" s="787">
        <v>10</v>
      </c>
      <c r="N9619" s="787">
        <v>0</v>
      </c>
    </row>
    <row r="9620" spans="1:15" x14ac:dyDescent="0.25">
      <c r="A9620" s="786" t="s">
        <v>17244</v>
      </c>
      <c r="B9620" s="787">
        <v>4</v>
      </c>
      <c r="C9620" s="787" t="s">
        <v>17245</v>
      </c>
      <c r="D9620" s="787">
        <v>0</v>
      </c>
      <c r="E9620" s="787">
        <v>0</v>
      </c>
      <c r="H9620" s="787">
        <v>1</v>
      </c>
      <c r="I9620" s="788">
        <v>42152</v>
      </c>
      <c r="L9620" s="787">
        <v>0</v>
      </c>
      <c r="M9620" s="787">
        <v>10</v>
      </c>
      <c r="N9620" s="787">
        <v>0</v>
      </c>
    </row>
    <row r="9621" spans="1:15" x14ac:dyDescent="0.25">
      <c r="A9621" s="786" t="s">
        <v>17246</v>
      </c>
      <c r="B9621" s="787">
        <v>4</v>
      </c>
      <c r="C9621" s="787" t="s">
        <v>17247</v>
      </c>
      <c r="D9621" s="787">
        <v>0</v>
      </c>
      <c r="E9621" s="787">
        <v>0</v>
      </c>
      <c r="H9621" s="787">
        <v>1</v>
      </c>
      <c r="I9621" s="788">
        <v>42152</v>
      </c>
      <c r="L9621" s="787">
        <v>0</v>
      </c>
      <c r="M9621" s="787">
        <v>10</v>
      </c>
      <c r="N9621" s="787">
        <v>0</v>
      </c>
    </row>
    <row r="9622" spans="1:15" x14ac:dyDescent="0.25">
      <c r="A9622" s="786" t="s">
        <v>17248</v>
      </c>
      <c r="B9622" s="787">
        <v>4</v>
      </c>
      <c r="C9622" s="787" t="s">
        <v>17249</v>
      </c>
      <c r="D9622" s="787">
        <v>0</v>
      </c>
      <c r="E9622" s="787">
        <v>0</v>
      </c>
      <c r="H9622" s="787">
        <v>1</v>
      </c>
      <c r="L9622" s="787">
        <v>0</v>
      </c>
      <c r="M9622" s="787">
        <v>10</v>
      </c>
      <c r="N9622" s="787">
        <v>0</v>
      </c>
    </row>
    <row r="9623" spans="1:15" x14ac:dyDescent="0.25">
      <c r="A9623" s="786" t="s">
        <v>17250</v>
      </c>
      <c r="B9623" s="787">
        <v>4</v>
      </c>
      <c r="C9623" s="787" t="s">
        <v>17251</v>
      </c>
      <c r="D9623" s="787">
        <v>0</v>
      </c>
      <c r="E9623" s="787">
        <v>0</v>
      </c>
      <c r="H9623" s="787">
        <v>1</v>
      </c>
      <c r="I9623" s="788">
        <v>42152</v>
      </c>
      <c r="L9623" s="787">
        <v>0</v>
      </c>
      <c r="M9623" s="787">
        <v>10</v>
      </c>
      <c r="N9623" s="787">
        <v>0</v>
      </c>
    </row>
    <row r="9624" spans="1:15" x14ac:dyDescent="0.25">
      <c r="A9624" s="786" t="s">
        <v>17252</v>
      </c>
      <c r="B9624" s="787">
        <v>4</v>
      </c>
      <c r="C9624" s="787" t="s">
        <v>16013</v>
      </c>
      <c r="D9624" s="787">
        <v>9.6300000000000008</v>
      </c>
      <c r="E9624" s="787">
        <v>9.6300000000000008</v>
      </c>
      <c r="F9624" s="788">
        <v>41960</v>
      </c>
      <c r="G9624" s="788">
        <v>41960</v>
      </c>
      <c r="H9624" s="787">
        <v>1</v>
      </c>
      <c r="I9624" s="788">
        <v>42152</v>
      </c>
      <c r="J9624" s="788">
        <v>42157</v>
      </c>
      <c r="K9624" s="788">
        <v>41907</v>
      </c>
      <c r="L9624" s="787">
        <v>4.5</v>
      </c>
      <c r="M9624" s="787">
        <v>10</v>
      </c>
      <c r="N9624" s="787">
        <v>15.18</v>
      </c>
      <c r="O9624" s="788">
        <v>41955</v>
      </c>
    </row>
    <row r="9625" spans="1:15" x14ac:dyDescent="0.25">
      <c r="A9625" s="786" t="s">
        <v>17253</v>
      </c>
      <c r="B9625" s="787">
        <v>4</v>
      </c>
      <c r="C9625" s="787" t="s">
        <v>16015</v>
      </c>
      <c r="D9625" s="787">
        <v>9.75</v>
      </c>
      <c r="E9625" s="787">
        <v>9.75</v>
      </c>
      <c r="F9625" s="788">
        <v>41960</v>
      </c>
      <c r="G9625" s="788">
        <v>41960</v>
      </c>
      <c r="H9625" s="787">
        <v>1</v>
      </c>
      <c r="I9625" s="788">
        <v>42152</v>
      </c>
      <c r="J9625" s="788">
        <v>42157</v>
      </c>
      <c r="K9625" s="788">
        <v>41907</v>
      </c>
      <c r="L9625" s="787">
        <v>4.5</v>
      </c>
      <c r="M9625" s="787">
        <v>10</v>
      </c>
      <c r="N9625" s="787">
        <v>15.18</v>
      </c>
      <c r="O9625" s="788">
        <v>41913</v>
      </c>
    </row>
    <row r="9626" spans="1:15" x14ac:dyDescent="0.25">
      <c r="A9626" s="786" t="s">
        <v>17254</v>
      </c>
      <c r="B9626" s="787">
        <v>4</v>
      </c>
      <c r="C9626" s="787" t="s">
        <v>17255</v>
      </c>
      <c r="D9626" s="787">
        <v>0</v>
      </c>
      <c r="E9626" s="787">
        <v>0</v>
      </c>
      <c r="H9626" s="787">
        <v>1</v>
      </c>
      <c r="L9626" s="787">
        <v>0</v>
      </c>
      <c r="M9626" s="787">
        <v>10</v>
      </c>
      <c r="N9626" s="787">
        <v>0</v>
      </c>
    </row>
    <row r="9627" spans="1:15" x14ac:dyDescent="0.25">
      <c r="A9627" s="786" t="s">
        <v>17256</v>
      </c>
      <c r="B9627" s="787">
        <v>4</v>
      </c>
      <c r="C9627" s="787" t="s">
        <v>17257</v>
      </c>
      <c r="D9627" s="787">
        <v>0</v>
      </c>
      <c r="E9627" s="787">
        <v>0</v>
      </c>
      <c r="H9627" s="787">
        <v>1</v>
      </c>
      <c r="L9627" s="787">
        <v>0</v>
      </c>
      <c r="M9627" s="787">
        <v>10</v>
      </c>
      <c r="N9627" s="787">
        <v>0</v>
      </c>
    </row>
    <row r="9628" spans="1:15" x14ac:dyDescent="0.25">
      <c r="A9628" s="786" t="s">
        <v>17258</v>
      </c>
      <c r="B9628" s="787">
        <v>4</v>
      </c>
      <c r="C9628" s="787" t="s">
        <v>17259</v>
      </c>
      <c r="D9628" s="787">
        <v>0</v>
      </c>
      <c r="E9628" s="787">
        <v>0</v>
      </c>
      <c r="H9628" s="787">
        <v>1</v>
      </c>
      <c r="I9628" s="788">
        <v>42152</v>
      </c>
      <c r="L9628" s="787">
        <v>0</v>
      </c>
      <c r="M9628" s="787">
        <v>10</v>
      </c>
      <c r="N9628" s="787">
        <v>0</v>
      </c>
    </row>
    <row r="9629" spans="1:15" x14ac:dyDescent="0.25">
      <c r="A9629" s="786" t="s">
        <v>17260</v>
      </c>
      <c r="B9629" s="787">
        <v>4</v>
      </c>
      <c r="C9629" s="787" t="s">
        <v>17261</v>
      </c>
      <c r="D9629" s="787">
        <v>0</v>
      </c>
      <c r="E9629" s="787">
        <v>0</v>
      </c>
      <c r="H9629" s="787">
        <v>1</v>
      </c>
      <c r="I9629" s="788">
        <v>42152</v>
      </c>
      <c r="L9629" s="787">
        <v>0</v>
      </c>
      <c r="M9629" s="787">
        <v>10</v>
      </c>
      <c r="N9629" s="787">
        <v>0</v>
      </c>
    </row>
    <row r="9630" spans="1:15" x14ac:dyDescent="0.25">
      <c r="A9630" s="786" t="s">
        <v>17262</v>
      </c>
      <c r="B9630" s="787">
        <v>4</v>
      </c>
      <c r="C9630" s="787" t="s">
        <v>17263</v>
      </c>
      <c r="D9630" s="787">
        <v>0</v>
      </c>
      <c r="E9630" s="787">
        <v>0</v>
      </c>
      <c r="H9630" s="787">
        <v>1</v>
      </c>
      <c r="I9630" s="788">
        <v>42152</v>
      </c>
      <c r="L9630" s="787">
        <v>0</v>
      </c>
      <c r="M9630" s="787">
        <v>10</v>
      </c>
      <c r="N9630" s="787">
        <v>0</v>
      </c>
    </row>
    <row r="9631" spans="1:15" x14ac:dyDescent="0.25">
      <c r="A9631" s="786" t="s">
        <v>17264</v>
      </c>
      <c r="B9631" s="787">
        <v>4</v>
      </c>
      <c r="C9631" s="787" t="s">
        <v>17265</v>
      </c>
      <c r="D9631" s="787">
        <v>0</v>
      </c>
      <c r="E9631" s="787">
        <v>0</v>
      </c>
      <c r="H9631" s="787">
        <v>1</v>
      </c>
      <c r="I9631" s="788">
        <v>42152</v>
      </c>
      <c r="L9631" s="787">
        <v>0</v>
      </c>
      <c r="M9631" s="787">
        <v>10</v>
      </c>
      <c r="N9631" s="787">
        <v>0</v>
      </c>
    </row>
    <row r="9632" spans="1:15" x14ac:dyDescent="0.25">
      <c r="A9632" s="786" t="s">
        <v>17266</v>
      </c>
      <c r="B9632" s="787">
        <v>4</v>
      </c>
      <c r="C9632" s="787" t="s">
        <v>17267</v>
      </c>
      <c r="D9632" s="787">
        <v>0</v>
      </c>
      <c r="E9632" s="787">
        <v>0</v>
      </c>
      <c r="H9632" s="787">
        <v>1</v>
      </c>
      <c r="L9632" s="787">
        <v>0</v>
      </c>
      <c r="M9632" s="787">
        <v>10</v>
      </c>
      <c r="N9632" s="787">
        <v>0</v>
      </c>
    </row>
    <row r="9633" spans="1:15" x14ac:dyDescent="0.25">
      <c r="A9633" s="786" t="s">
        <v>17268</v>
      </c>
      <c r="B9633" s="787">
        <v>4</v>
      </c>
      <c r="C9633" s="787" t="s">
        <v>17269</v>
      </c>
      <c r="D9633" s="787">
        <v>0</v>
      </c>
      <c r="E9633" s="787">
        <v>0</v>
      </c>
      <c r="H9633" s="787">
        <v>1</v>
      </c>
      <c r="L9633" s="787">
        <v>0</v>
      </c>
      <c r="M9633" s="787">
        <v>10</v>
      </c>
      <c r="N9633" s="787">
        <v>0</v>
      </c>
    </row>
    <row r="9634" spans="1:15" x14ac:dyDescent="0.25">
      <c r="A9634" s="786" t="s">
        <v>17270</v>
      </c>
      <c r="B9634" s="787">
        <v>4</v>
      </c>
      <c r="C9634" s="787" t="s">
        <v>17271</v>
      </c>
      <c r="D9634" s="787">
        <v>0</v>
      </c>
      <c r="E9634" s="787">
        <v>0</v>
      </c>
      <c r="H9634" s="787">
        <v>1</v>
      </c>
      <c r="I9634" s="788">
        <v>42152</v>
      </c>
      <c r="L9634" s="787">
        <v>0</v>
      </c>
      <c r="M9634" s="787">
        <v>10</v>
      </c>
      <c r="N9634" s="787">
        <v>0</v>
      </c>
    </row>
    <row r="9635" spans="1:15" x14ac:dyDescent="0.25">
      <c r="A9635" s="786" t="s">
        <v>17272</v>
      </c>
      <c r="B9635" s="787">
        <v>4</v>
      </c>
      <c r="C9635" s="787" t="s">
        <v>17273</v>
      </c>
      <c r="D9635" s="787">
        <v>0</v>
      </c>
      <c r="E9635" s="787">
        <v>0</v>
      </c>
      <c r="H9635" s="787">
        <v>1</v>
      </c>
      <c r="I9635" s="788">
        <v>41782</v>
      </c>
      <c r="L9635" s="787">
        <v>0</v>
      </c>
      <c r="M9635" s="787">
        <v>10</v>
      </c>
      <c r="N9635" s="787">
        <v>0</v>
      </c>
    </row>
    <row r="9636" spans="1:15" x14ac:dyDescent="0.25">
      <c r="A9636" s="786" t="s">
        <v>17274</v>
      </c>
      <c r="B9636" s="787">
        <v>4</v>
      </c>
      <c r="C9636" s="787" t="s">
        <v>17275</v>
      </c>
      <c r="D9636" s="787">
        <v>0</v>
      </c>
      <c r="E9636" s="787">
        <v>0</v>
      </c>
      <c r="H9636" s="787">
        <v>1</v>
      </c>
      <c r="K9636" s="788">
        <v>42096</v>
      </c>
      <c r="L9636" s="787">
        <v>0.01</v>
      </c>
      <c r="M9636" s="787">
        <v>10</v>
      </c>
      <c r="N9636" s="787">
        <v>0</v>
      </c>
    </row>
    <row r="9637" spans="1:15" x14ac:dyDescent="0.25">
      <c r="A9637" s="786" t="s">
        <v>17276</v>
      </c>
      <c r="B9637" s="787">
        <v>4</v>
      </c>
      <c r="C9637" s="787" t="s">
        <v>17277</v>
      </c>
      <c r="D9637" s="787">
        <v>0</v>
      </c>
      <c r="E9637" s="787">
        <v>0</v>
      </c>
      <c r="H9637" s="787">
        <v>1</v>
      </c>
      <c r="I9637" s="788">
        <v>41878</v>
      </c>
      <c r="L9637" s="787">
        <v>0</v>
      </c>
      <c r="M9637" s="787">
        <v>10</v>
      </c>
      <c r="N9637" s="787">
        <v>0</v>
      </c>
    </row>
    <row r="9638" spans="1:15" x14ac:dyDescent="0.25">
      <c r="A9638" s="786" t="s">
        <v>17278</v>
      </c>
      <c r="B9638" s="787">
        <v>4</v>
      </c>
      <c r="C9638" s="787" t="s">
        <v>17279</v>
      </c>
      <c r="D9638" s="787">
        <v>0</v>
      </c>
      <c r="E9638" s="787">
        <v>0</v>
      </c>
      <c r="H9638" s="787">
        <v>1</v>
      </c>
      <c r="I9638" s="788">
        <v>41878</v>
      </c>
      <c r="L9638" s="787">
        <v>0</v>
      </c>
      <c r="M9638" s="787">
        <v>10</v>
      </c>
      <c r="N9638" s="787">
        <v>0</v>
      </c>
    </row>
    <row r="9639" spans="1:15" x14ac:dyDescent="0.25">
      <c r="A9639" s="786" t="s">
        <v>17280</v>
      </c>
      <c r="B9639" s="787">
        <v>4</v>
      </c>
      <c r="C9639" s="787" t="s">
        <v>17281</v>
      </c>
      <c r="D9639" s="787">
        <v>0</v>
      </c>
      <c r="E9639" s="787">
        <v>0</v>
      </c>
      <c r="G9639" s="788">
        <v>41879</v>
      </c>
      <c r="H9639" s="787">
        <v>1</v>
      </c>
      <c r="I9639" s="788">
        <v>42150</v>
      </c>
      <c r="J9639" s="788">
        <v>42157</v>
      </c>
      <c r="K9639" s="788">
        <v>41865</v>
      </c>
      <c r="L9639" s="787">
        <v>2.5</v>
      </c>
      <c r="M9639" s="787">
        <v>10</v>
      </c>
      <c r="N9639" s="787">
        <v>0</v>
      </c>
    </row>
    <row r="9640" spans="1:15" x14ac:dyDescent="0.25">
      <c r="A9640" s="786" t="s">
        <v>17282</v>
      </c>
      <c r="B9640" s="787">
        <v>4</v>
      </c>
      <c r="C9640" s="787" t="s">
        <v>17283</v>
      </c>
      <c r="D9640" s="787">
        <v>0</v>
      </c>
      <c r="E9640" s="787">
        <v>0</v>
      </c>
      <c r="G9640" s="788">
        <v>42017</v>
      </c>
      <c r="H9640" s="787">
        <v>1</v>
      </c>
      <c r="I9640" s="788">
        <v>42150</v>
      </c>
      <c r="J9640" s="788">
        <v>42157</v>
      </c>
      <c r="K9640" s="788">
        <v>41913</v>
      </c>
      <c r="L9640" s="787">
        <v>3</v>
      </c>
      <c r="M9640" s="787">
        <v>10</v>
      </c>
      <c r="N9640" s="787">
        <v>0</v>
      </c>
    </row>
    <row r="9641" spans="1:15" x14ac:dyDescent="0.25">
      <c r="A9641" s="786" t="s">
        <v>17284</v>
      </c>
      <c r="B9641" s="787">
        <v>4</v>
      </c>
      <c r="C9641" s="787" t="s">
        <v>17285</v>
      </c>
      <c r="D9641" s="787">
        <v>0</v>
      </c>
      <c r="E9641" s="787">
        <v>0</v>
      </c>
      <c r="G9641" s="788">
        <v>41879</v>
      </c>
      <c r="H9641" s="787">
        <v>1</v>
      </c>
      <c r="I9641" s="788">
        <v>42150</v>
      </c>
      <c r="J9641" s="788">
        <v>41879</v>
      </c>
      <c r="K9641" s="788">
        <v>41865</v>
      </c>
      <c r="L9641" s="787">
        <v>2.5</v>
      </c>
      <c r="M9641" s="787">
        <v>10</v>
      </c>
      <c r="N9641" s="787">
        <v>0</v>
      </c>
    </row>
    <row r="9642" spans="1:15" x14ac:dyDescent="0.25">
      <c r="A9642" s="786" t="s">
        <v>17286</v>
      </c>
      <c r="B9642" s="787">
        <v>4</v>
      </c>
      <c r="C9642" s="787" t="s">
        <v>17287</v>
      </c>
      <c r="D9642" s="787">
        <v>0</v>
      </c>
      <c r="E9642" s="787">
        <v>0</v>
      </c>
      <c r="G9642" s="788">
        <v>42017</v>
      </c>
      <c r="H9642" s="787">
        <v>1</v>
      </c>
      <c r="I9642" s="788">
        <v>42150</v>
      </c>
      <c r="J9642" s="788">
        <v>42157</v>
      </c>
      <c r="K9642" s="788">
        <v>41913</v>
      </c>
      <c r="L9642" s="787">
        <v>3.5</v>
      </c>
      <c r="M9642" s="787">
        <v>10</v>
      </c>
      <c r="N9642" s="787">
        <v>0</v>
      </c>
    </row>
    <row r="9643" spans="1:15" x14ac:dyDescent="0.25">
      <c r="A9643" s="786" t="s">
        <v>699</v>
      </c>
      <c r="B9643" s="787">
        <v>4</v>
      </c>
      <c r="C9643" s="787" t="s">
        <v>17288</v>
      </c>
      <c r="D9643" s="787">
        <v>1.89</v>
      </c>
      <c r="E9643" s="787">
        <v>3.88</v>
      </c>
      <c r="F9643" s="788">
        <v>42101</v>
      </c>
      <c r="G9643" s="788">
        <v>42165</v>
      </c>
      <c r="H9643" s="787">
        <v>1</v>
      </c>
      <c r="I9643" s="788">
        <v>42166</v>
      </c>
      <c r="J9643" s="788">
        <v>42150</v>
      </c>
      <c r="K9643" s="788">
        <v>42083</v>
      </c>
      <c r="L9643" s="787">
        <v>3.88</v>
      </c>
      <c r="M9643" s="787">
        <v>20</v>
      </c>
      <c r="N9643" s="787">
        <v>11.4</v>
      </c>
      <c r="O9643" s="788">
        <v>41858</v>
      </c>
    </row>
    <row r="9644" spans="1:15" x14ac:dyDescent="0.25">
      <c r="A9644" s="786" t="s">
        <v>706</v>
      </c>
      <c r="B9644" s="787">
        <v>4</v>
      </c>
      <c r="C9644" s="787" t="s">
        <v>17289</v>
      </c>
      <c r="D9644" s="787">
        <v>8.9600000000000009</v>
      </c>
      <c r="E9644" s="787">
        <v>14.89</v>
      </c>
      <c r="F9644" s="788">
        <v>42058</v>
      </c>
      <c r="G9644" s="788">
        <v>42074</v>
      </c>
      <c r="H9644" s="787">
        <v>1</v>
      </c>
      <c r="I9644" s="788">
        <v>42054</v>
      </c>
      <c r="J9644" s="788">
        <v>42045</v>
      </c>
      <c r="K9644" s="788">
        <v>41781</v>
      </c>
      <c r="L9644" s="787">
        <v>1</v>
      </c>
      <c r="M9644" s="787">
        <v>10</v>
      </c>
      <c r="N9644" s="787">
        <v>11.65</v>
      </c>
      <c r="O9644" s="788">
        <v>41858</v>
      </c>
    </row>
    <row r="9645" spans="1:15" x14ac:dyDescent="0.25">
      <c r="A9645" s="786" t="s">
        <v>707</v>
      </c>
      <c r="B9645" s="787">
        <v>4</v>
      </c>
      <c r="C9645" s="787" t="s">
        <v>17290</v>
      </c>
      <c r="D9645" s="787">
        <v>6.28</v>
      </c>
      <c r="E9645" s="787">
        <v>16.28</v>
      </c>
      <c r="F9645" s="788">
        <v>41906</v>
      </c>
      <c r="G9645" s="788">
        <v>41906</v>
      </c>
      <c r="H9645" s="787">
        <v>1</v>
      </c>
      <c r="I9645" s="788">
        <v>41879</v>
      </c>
      <c r="J9645" s="788">
        <v>41877</v>
      </c>
      <c r="K9645" s="788">
        <v>41781</v>
      </c>
      <c r="L9645" s="787">
        <v>16.23</v>
      </c>
      <c r="M9645" s="787">
        <v>10</v>
      </c>
      <c r="N9645" s="787">
        <v>16.28</v>
      </c>
      <c r="O9645" s="788">
        <v>41858</v>
      </c>
    </row>
    <row r="9646" spans="1:15" x14ac:dyDescent="0.25">
      <c r="A9646" s="786" t="s">
        <v>708</v>
      </c>
      <c r="B9646" s="787">
        <v>4</v>
      </c>
      <c r="C9646" s="787" t="s">
        <v>17291</v>
      </c>
      <c r="D9646" s="787">
        <v>0</v>
      </c>
      <c r="E9646" s="787">
        <v>0</v>
      </c>
      <c r="H9646" s="787">
        <v>1</v>
      </c>
      <c r="K9646" s="788">
        <v>41781</v>
      </c>
      <c r="L9646" s="787">
        <v>18.25</v>
      </c>
      <c r="M9646" s="787">
        <v>10</v>
      </c>
      <c r="N9646" s="787">
        <v>18.32</v>
      </c>
      <c r="O9646" s="788">
        <v>41858</v>
      </c>
    </row>
    <row r="9647" spans="1:15" x14ac:dyDescent="0.25">
      <c r="A9647" s="786" t="s">
        <v>709</v>
      </c>
      <c r="B9647" s="787">
        <v>4</v>
      </c>
      <c r="C9647" s="787" t="s">
        <v>17292</v>
      </c>
      <c r="D9647" s="787">
        <v>0</v>
      </c>
      <c r="E9647" s="787">
        <v>0</v>
      </c>
      <c r="H9647" s="787">
        <v>1</v>
      </c>
      <c r="K9647" s="788">
        <v>41781</v>
      </c>
      <c r="L9647" s="787">
        <v>20.27</v>
      </c>
      <c r="M9647" s="787">
        <v>10</v>
      </c>
      <c r="N9647" s="787">
        <v>20.36</v>
      </c>
      <c r="O9647" s="788">
        <v>41858</v>
      </c>
    </row>
    <row r="9648" spans="1:15" x14ac:dyDescent="0.25">
      <c r="A9648" s="786" t="s">
        <v>17293</v>
      </c>
      <c r="B9648" s="787">
        <v>4</v>
      </c>
      <c r="C9648" s="787" t="s">
        <v>17294</v>
      </c>
      <c r="D9648" s="787">
        <v>0</v>
      </c>
      <c r="E9648" s="787">
        <v>0</v>
      </c>
      <c r="H9648" s="787">
        <v>1</v>
      </c>
      <c r="L9648" s="787">
        <v>0</v>
      </c>
      <c r="M9648" s="787">
        <v>10</v>
      </c>
      <c r="N9648" s="787">
        <v>0</v>
      </c>
    </row>
    <row r="9649" spans="1:15" x14ac:dyDescent="0.25">
      <c r="A9649" s="786" t="s">
        <v>17295</v>
      </c>
      <c r="B9649" s="787">
        <v>4</v>
      </c>
      <c r="C9649" s="787" t="s">
        <v>17296</v>
      </c>
      <c r="D9649" s="787">
        <v>0</v>
      </c>
      <c r="E9649" s="787">
        <v>0</v>
      </c>
      <c r="H9649" s="787">
        <v>1</v>
      </c>
      <c r="L9649" s="787">
        <v>0</v>
      </c>
      <c r="M9649" s="787">
        <v>10</v>
      </c>
      <c r="N9649" s="787">
        <v>0</v>
      </c>
    </row>
    <row r="9650" spans="1:15" x14ac:dyDescent="0.25">
      <c r="A9650" s="786" t="s">
        <v>17297</v>
      </c>
      <c r="B9650" s="787">
        <v>4</v>
      </c>
      <c r="C9650" s="787" t="s">
        <v>17296</v>
      </c>
      <c r="D9650" s="787">
        <v>0</v>
      </c>
      <c r="E9650" s="787">
        <v>0</v>
      </c>
      <c r="H9650" s="787">
        <v>1</v>
      </c>
      <c r="L9650" s="787">
        <v>0</v>
      </c>
      <c r="M9650" s="787">
        <v>10</v>
      </c>
      <c r="N9650" s="787">
        <v>0</v>
      </c>
    </row>
    <row r="9651" spans="1:15" x14ac:dyDescent="0.25">
      <c r="A9651" s="786" t="s">
        <v>17298</v>
      </c>
      <c r="B9651" s="787">
        <v>4</v>
      </c>
      <c r="C9651" s="787" t="s">
        <v>17299</v>
      </c>
      <c r="D9651" s="787">
        <v>0</v>
      </c>
      <c r="E9651" s="787">
        <v>0</v>
      </c>
      <c r="H9651" s="787">
        <v>1</v>
      </c>
      <c r="I9651" s="788">
        <v>42152</v>
      </c>
      <c r="L9651" s="787">
        <v>0</v>
      </c>
      <c r="M9651" s="787">
        <v>10</v>
      </c>
      <c r="N9651" s="787">
        <v>0</v>
      </c>
    </row>
    <row r="9652" spans="1:15" x14ac:dyDescent="0.25">
      <c r="A9652" s="786" t="s">
        <v>17300</v>
      </c>
      <c r="B9652" s="787">
        <v>4</v>
      </c>
      <c r="C9652" s="787" t="s">
        <v>17301</v>
      </c>
      <c r="D9652" s="787">
        <v>0</v>
      </c>
      <c r="E9652" s="787">
        <v>0</v>
      </c>
      <c r="H9652" s="787">
        <v>1</v>
      </c>
      <c r="I9652" s="788">
        <v>42152</v>
      </c>
      <c r="L9652" s="787">
        <v>0</v>
      </c>
      <c r="M9652" s="787">
        <v>10</v>
      </c>
      <c r="N9652" s="787">
        <v>0</v>
      </c>
    </row>
    <row r="9653" spans="1:15" x14ac:dyDescent="0.25">
      <c r="A9653" s="786" t="s">
        <v>17302</v>
      </c>
      <c r="B9653" s="787">
        <v>4</v>
      </c>
      <c r="C9653" s="787" t="s">
        <v>17303</v>
      </c>
      <c r="D9653" s="787">
        <v>0</v>
      </c>
      <c r="E9653" s="787">
        <v>0</v>
      </c>
      <c r="H9653" s="787">
        <v>1</v>
      </c>
      <c r="I9653" s="788">
        <v>42152</v>
      </c>
      <c r="K9653" s="788">
        <v>42157</v>
      </c>
      <c r="L9653" s="787">
        <v>0.01</v>
      </c>
      <c r="M9653" s="787">
        <v>10</v>
      </c>
      <c r="N9653" s="787">
        <v>0</v>
      </c>
    </row>
    <row r="9654" spans="1:15" x14ac:dyDescent="0.25">
      <c r="A9654" s="786" t="s">
        <v>17304</v>
      </c>
      <c r="B9654" s="787">
        <v>4</v>
      </c>
      <c r="C9654" s="787" t="s">
        <v>17305</v>
      </c>
      <c r="D9654" s="787">
        <v>0</v>
      </c>
      <c r="E9654" s="787">
        <v>0</v>
      </c>
      <c r="H9654" s="787">
        <v>1</v>
      </c>
      <c r="I9654" s="788">
        <v>42152</v>
      </c>
      <c r="L9654" s="787">
        <v>0</v>
      </c>
      <c r="M9654" s="787">
        <v>10</v>
      </c>
      <c r="N9654" s="787">
        <v>0</v>
      </c>
    </row>
    <row r="9655" spans="1:15" x14ac:dyDescent="0.25">
      <c r="A9655" s="786" t="s">
        <v>17306</v>
      </c>
      <c r="B9655" s="787">
        <v>4</v>
      </c>
      <c r="C9655" s="787" t="s">
        <v>17307</v>
      </c>
      <c r="D9655" s="787">
        <v>0</v>
      </c>
      <c r="E9655" s="787">
        <v>0</v>
      </c>
      <c r="H9655" s="787">
        <v>1</v>
      </c>
      <c r="I9655" s="788">
        <v>42152</v>
      </c>
      <c r="L9655" s="787">
        <v>0</v>
      </c>
      <c r="M9655" s="787">
        <v>10</v>
      </c>
      <c r="N9655" s="787">
        <v>0</v>
      </c>
    </row>
    <row r="9656" spans="1:15" x14ac:dyDescent="0.25">
      <c r="A9656" s="786" t="s">
        <v>17308</v>
      </c>
      <c r="B9656" s="787">
        <v>4</v>
      </c>
      <c r="C9656" s="787" t="s">
        <v>16422</v>
      </c>
      <c r="D9656" s="787">
        <v>0</v>
      </c>
      <c r="E9656" s="787">
        <v>0</v>
      </c>
      <c r="H9656" s="787">
        <v>1</v>
      </c>
      <c r="I9656" s="788">
        <v>41878</v>
      </c>
      <c r="L9656" s="787">
        <v>0</v>
      </c>
      <c r="M9656" s="787">
        <v>10</v>
      </c>
      <c r="N9656" s="787">
        <v>0</v>
      </c>
    </row>
    <row r="9657" spans="1:15" x14ac:dyDescent="0.25">
      <c r="A9657" s="786" t="s">
        <v>17309</v>
      </c>
      <c r="B9657" s="787">
        <v>4</v>
      </c>
      <c r="C9657" s="787" t="s">
        <v>16430</v>
      </c>
      <c r="D9657" s="787">
        <v>0</v>
      </c>
      <c r="E9657" s="787">
        <v>0</v>
      </c>
      <c r="H9657" s="787">
        <v>1</v>
      </c>
      <c r="I9657" s="788">
        <v>41878</v>
      </c>
      <c r="L9657" s="787">
        <v>0</v>
      </c>
      <c r="M9657" s="787">
        <v>10</v>
      </c>
      <c r="N9657" s="787">
        <v>0</v>
      </c>
    </row>
    <row r="9658" spans="1:15" x14ac:dyDescent="0.25">
      <c r="A9658" s="786" t="s">
        <v>17310</v>
      </c>
      <c r="B9658" s="787">
        <v>4</v>
      </c>
      <c r="C9658" s="787" t="s">
        <v>17311</v>
      </c>
      <c r="D9658" s="787">
        <v>0</v>
      </c>
      <c r="E9658" s="787">
        <v>0</v>
      </c>
      <c r="H9658" s="787">
        <v>1</v>
      </c>
      <c r="L9658" s="787">
        <v>0</v>
      </c>
      <c r="M9658" s="787">
        <v>10</v>
      </c>
      <c r="N9658" s="787">
        <v>0</v>
      </c>
    </row>
    <row r="9659" spans="1:15" x14ac:dyDescent="0.25">
      <c r="A9659" s="786" t="s">
        <v>17312</v>
      </c>
      <c r="B9659" s="787">
        <v>4</v>
      </c>
      <c r="C9659" s="787" t="s">
        <v>17313</v>
      </c>
      <c r="D9659" s="787">
        <v>0</v>
      </c>
      <c r="E9659" s="787">
        <v>0</v>
      </c>
      <c r="H9659" s="787">
        <v>1</v>
      </c>
      <c r="L9659" s="787">
        <v>0</v>
      </c>
      <c r="M9659" s="787">
        <v>10</v>
      </c>
      <c r="N9659" s="787">
        <v>0</v>
      </c>
    </row>
    <row r="9660" spans="1:15" x14ac:dyDescent="0.25">
      <c r="A9660" s="786" t="s">
        <v>17314</v>
      </c>
      <c r="B9660" s="787">
        <v>4</v>
      </c>
      <c r="C9660" s="787" t="s">
        <v>17315</v>
      </c>
      <c r="D9660" s="787">
        <v>0</v>
      </c>
      <c r="E9660" s="787">
        <v>0</v>
      </c>
      <c r="H9660" s="787">
        <v>1</v>
      </c>
      <c r="I9660" s="788">
        <v>42152</v>
      </c>
      <c r="J9660" s="788">
        <v>42156</v>
      </c>
      <c r="K9660" s="788">
        <v>41913</v>
      </c>
      <c r="L9660" s="787">
        <v>3.5</v>
      </c>
      <c r="M9660" s="787">
        <v>10</v>
      </c>
      <c r="N9660" s="787">
        <v>2.96</v>
      </c>
      <c r="O9660" s="788">
        <v>41955</v>
      </c>
    </row>
    <row r="9661" spans="1:15" x14ac:dyDescent="0.25">
      <c r="A9661" s="786" t="s">
        <v>17316</v>
      </c>
      <c r="B9661" s="787">
        <v>4</v>
      </c>
      <c r="C9661" s="787" t="s">
        <v>17317</v>
      </c>
      <c r="D9661" s="787">
        <v>0</v>
      </c>
      <c r="E9661" s="787">
        <v>0</v>
      </c>
      <c r="H9661" s="787">
        <v>1</v>
      </c>
      <c r="I9661" s="788">
        <v>42152</v>
      </c>
      <c r="J9661" s="788">
        <v>42156</v>
      </c>
      <c r="K9661" s="788">
        <v>41913</v>
      </c>
      <c r="L9661" s="787">
        <v>2.5</v>
      </c>
      <c r="M9661" s="787">
        <v>10</v>
      </c>
      <c r="N9661" s="787">
        <v>0</v>
      </c>
    </row>
    <row r="9662" spans="1:15" x14ac:dyDescent="0.25">
      <c r="A9662" s="786" t="s">
        <v>17318</v>
      </c>
      <c r="B9662" s="787">
        <v>4</v>
      </c>
      <c r="C9662" s="787" t="s">
        <v>17319</v>
      </c>
      <c r="D9662" s="787">
        <v>0</v>
      </c>
      <c r="E9662" s="787">
        <v>0</v>
      </c>
      <c r="H9662" s="787">
        <v>1</v>
      </c>
      <c r="I9662" s="788">
        <v>42152</v>
      </c>
      <c r="J9662" s="788">
        <v>42156</v>
      </c>
      <c r="K9662" s="788">
        <v>41913</v>
      </c>
      <c r="L9662" s="787">
        <v>2.5</v>
      </c>
      <c r="M9662" s="787">
        <v>10</v>
      </c>
      <c r="N9662" s="787">
        <v>0</v>
      </c>
    </row>
    <row r="9663" spans="1:15" x14ac:dyDescent="0.25">
      <c r="A9663" s="786" t="s">
        <v>17320</v>
      </c>
      <c r="B9663" s="787">
        <v>4</v>
      </c>
      <c r="C9663" s="787" t="s">
        <v>17321</v>
      </c>
      <c r="D9663" s="787">
        <v>0</v>
      </c>
      <c r="E9663" s="787">
        <v>0</v>
      </c>
      <c r="H9663" s="787">
        <v>1</v>
      </c>
      <c r="I9663" s="788">
        <v>42152</v>
      </c>
      <c r="J9663" s="788">
        <v>42157</v>
      </c>
      <c r="K9663" s="788">
        <v>42157</v>
      </c>
      <c r="L9663" s="787">
        <v>0.01</v>
      </c>
      <c r="M9663" s="787">
        <v>10</v>
      </c>
      <c r="N9663" s="787">
        <v>0</v>
      </c>
    </row>
    <row r="9664" spans="1:15" x14ac:dyDescent="0.25">
      <c r="A9664" s="786" t="s">
        <v>17322</v>
      </c>
      <c r="B9664" s="787">
        <v>4</v>
      </c>
      <c r="C9664" s="787" t="s">
        <v>17323</v>
      </c>
      <c r="D9664" s="787">
        <v>0</v>
      </c>
      <c r="E9664" s="787">
        <v>0</v>
      </c>
      <c r="H9664" s="787">
        <v>1</v>
      </c>
      <c r="I9664" s="788">
        <v>42152</v>
      </c>
      <c r="J9664" s="788">
        <v>42157</v>
      </c>
      <c r="K9664" s="788">
        <v>42157</v>
      </c>
      <c r="L9664" s="787">
        <v>10</v>
      </c>
      <c r="M9664" s="787">
        <v>10</v>
      </c>
      <c r="N9664" s="787">
        <v>0</v>
      </c>
    </row>
    <row r="9665" spans="1:15" x14ac:dyDescent="0.25">
      <c r="A9665" s="786" t="s">
        <v>17324</v>
      </c>
      <c r="B9665" s="787">
        <v>4</v>
      </c>
      <c r="C9665" s="787" t="s">
        <v>17325</v>
      </c>
      <c r="D9665" s="787">
        <v>0</v>
      </c>
      <c r="E9665" s="787">
        <v>0</v>
      </c>
      <c r="G9665" s="788">
        <v>41879</v>
      </c>
      <c r="H9665" s="787">
        <v>1</v>
      </c>
      <c r="I9665" s="788">
        <v>42152</v>
      </c>
      <c r="J9665" s="788">
        <v>41879</v>
      </c>
      <c r="K9665" s="788">
        <v>41865</v>
      </c>
      <c r="L9665" s="787">
        <v>2.5</v>
      </c>
      <c r="M9665" s="787">
        <v>10</v>
      </c>
      <c r="N9665" s="787">
        <v>0</v>
      </c>
    </row>
    <row r="9666" spans="1:15" x14ac:dyDescent="0.25">
      <c r="A9666" s="786" t="s">
        <v>17326</v>
      </c>
      <c r="B9666" s="787">
        <v>4</v>
      </c>
      <c r="C9666" s="787" t="s">
        <v>17327</v>
      </c>
      <c r="D9666" s="787">
        <v>0</v>
      </c>
      <c r="E9666" s="787">
        <v>0</v>
      </c>
      <c r="H9666" s="787">
        <v>1</v>
      </c>
      <c r="I9666" s="788">
        <v>42152</v>
      </c>
      <c r="L9666" s="787">
        <v>0</v>
      </c>
      <c r="M9666" s="787">
        <v>10</v>
      </c>
      <c r="N9666" s="787">
        <v>0</v>
      </c>
    </row>
    <row r="9667" spans="1:15" x14ac:dyDescent="0.25">
      <c r="A9667" s="786" t="s">
        <v>17328</v>
      </c>
      <c r="B9667" s="787">
        <v>4</v>
      </c>
      <c r="C9667" s="787" t="s">
        <v>17329</v>
      </c>
      <c r="D9667" s="787">
        <v>2.12</v>
      </c>
      <c r="E9667" s="787">
        <v>2.12</v>
      </c>
      <c r="F9667" s="788">
        <v>41960</v>
      </c>
      <c r="G9667" s="788">
        <v>42013</v>
      </c>
      <c r="H9667" s="787">
        <v>1</v>
      </c>
      <c r="I9667" s="788">
        <v>42152</v>
      </c>
      <c r="J9667" s="788">
        <v>41940</v>
      </c>
      <c r="K9667" s="788">
        <v>41907</v>
      </c>
      <c r="L9667" s="787">
        <v>2</v>
      </c>
      <c r="M9667" s="787">
        <v>10</v>
      </c>
      <c r="N9667" s="787">
        <v>12.67</v>
      </c>
      <c r="O9667" s="788">
        <v>41907</v>
      </c>
    </row>
    <row r="9668" spans="1:15" x14ac:dyDescent="0.25">
      <c r="A9668" s="786" t="s">
        <v>17330</v>
      </c>
      <c r="B9668" s="787">
        <v>4</v>
      </c>
      <c r="C9668" s="787" t="s">
        <v>17331</v>
      </c>
      <c r="D9668" s="787">
        <v>0.78</v>
      </c>
      <c r="E9668" s="787">
        <v>0.78</v>
      </c>
      <c r="F9668" s="788">
        <v>42017</v>
      </c>
      <c r="G9668" s="788">
        <v>42017</v>
      </c>
      <c r="H9668" s="787">
        <v>1</v>
      </c>
      <c r="I9668" s="788">
        <v>42152</v>
      </c>
      <c r="J9668" s="788">
        <v>41984</v>
      </c>
      <c r="K9668" s="788">
        <v>41907</v>
      </c>
      <c r="L9668" s="787">
        <v>2</v>
      </c>
      <c r="M9668" s="787">
        <v>10</v>
      </c>
      <c r="N9668" s="787">
        <v>12.67</v>
      </c>
      <c r="O9668" s="788">
        <v>41907</v>
      </c>
    </row>
    <row r="9669" spans="1:15" x14ac:dyDescent="0.25">
      <c r="A9669" s="786" t="s">
        <v>17332</v>
      </c>
      <c r="B9669" s="787">
        <v>4</v>
      </c>
      <c r="C9669" s="787" t="s">
        <v>17333</v>
      </c>
      <c r="D9669" s="787">
        <v>0</v>
      </c>
      <c r="E9669" s="787">
        <v>0</v>
      </c>
      <c r="G9669" s="788">
        <v>41879</v>
      </c>
      <c r="H9669" s="787">
        <v>1</v>
      </c>
      <c r="I9669" s="788">
        <v>42150</v>
      </c>
      <c r="J9669" s="788">
        <v>42157</v>
      </c>
      <c r="K9669" s="788">
        <v>41865</v>
      </c>
      <c r="L9669" s="787">
        <v>2.5</v>
      </c>
      <c r="M9669" s="787">
        <v>10</v>
      </c>
      <c r="N9669" s="787">
        <v>0</v>
      </c>
    </row>
    <row r="9670" spans="1:15" x14ac:dyDescent="0.25">
      <c r="A9670" s="786" t="s">
        <v>17334</v>
      </c>
      <c r="B9670" s="787">
        <v>4</v>
      </c>
      <c r="C9670" s="787" t="s">
        <v>17335</v>
      </c>
      <c r="D9670" s="787">
        <v>0</v>
      </c>
      <c r="E9670" s="787">
        <v>0</v>
      </c>
      <c r="H9670" s="787">
        <v>1</v>
      </c>
      <c r="I9670" s="788">
        <v>42150</v>
      </c>
      <c r="K9670" s="788">
        <v>42157</v>
      </c>
      <c r="L9670" s="787">
        <v>0.01</v>
      </c>
      <c r="M9670" s="787">
        <v>10</v>
      </c>
      <c r="N9670" s="787">
        <v>0</v>
      </c>
    </row>
    <row r="9671" spans="1:15" x14ac:dyDescent="0.25">
      <c r="A9671" s="786" t="s">
        <v>17336</v>
      </c>
      <c r="B9671" s="787">
        <v>4</v>
      </c>
      <c r="C9671" s="787" t="s">
        <v>17337</v>
      </c>
      <c r="D9671" s="787">
        <v>0</v>
      </c>
      <c r="E9671" s="787">
        <v>0</v>
      </c>
      <c r="H9671" s="787">
        <v>1</v>
      </c>
      <c r="L9671" s="787">
        <v>0.1</v>
      </c>
      <c r="M9671" s="787">
        <v>20</v>
      </c>
      <c r="N9671" s="787">
        <v>0.11</v>
      </c>
      <c r="O9671" s="788">
        <v>41858</v>
      </c>
    </row>
    <row r="9672" spans="1:15" x14ac:dyDescent="0.25">
      <c r="A9672" s="786" t="s">
        <v>17338</v>
      </c>
      <c r="B9672" s="787">
        <v>4</v>
      </c>
      <c r="C9672" s="787" t="s">
        <v>17339</v>
      </c>
      <c r="D9672" s="787">
        <v>0</v>
      </c>
      <c r="E9672" s="787">
        <v>0</v>
      </c>
      <c r="H9672" s="787">
        <v>1</v>
      </c>
      <c r="L9672" s="787">
        <v>0.1</v>
      </c>
      <c r="M9672" s="787">
        <v>20</v>
      </c>
      <c r="N9672" s="787">
        <v>0.11</v>
      </c>
      <c r="O9672" s="788">
        <v>41858</v>
      </c>
    </row>
    <row r="9673" spans="1:15" x14ac:dyDescent="0.25">
      <c r="A9673" s="786" t="s">
        <v>17340</v>
      </c>
      <c r="B9673" s="787">
        <v>4</v>
      </c>
      <c r="C9673" s="787" t="s">
        <v>17341</v>
      </c>
      <c r="D9673" s="787">
        <v>0</v>
      </c>
      <c r="E9673" s="787">
        <v>0</v>
      </c>
      <c r="H9673" s="787">
        <v>1</v>
      </c>
      <c r="I9673" s="788">
        <v>41885</v>
      </c>
      <c r="L9673" s="787">
        <v>0.1</v>
      </c>
      <c r="M9673" s="787">
        <v>20</v>
      </c>
      <c r="N9673" s="787">
        <v>0.11</v>
      </c>
      <c r="O9673" s="788">
        <v>41858</v>
      </c>
    </row>
    <row r="9674" spans="1:15" x14ac:dyDescent="0.25">
      <c r="A9674" s="786" t="s">
        <v>17342</v>
      </c>
      <c r="B9674" s="787">
        <v>4</v>
      </c>
      <c r="C9674" s="787" t="s">
        <v>17343</v>
      </c>
      <c r="D9674" s="787">
        <v>0</v>
      </c>
      <c r="E9674" s="787">
        <v>0</v>
      </c>
      <c r="H9674" s="787">
        <v>1</v>
      </c>
      <c r="L9674" s="787">
        <v>0.1</v>
      </c>
      <c r="M9674" s="787">
        <v>20</v>
      </c>
      <c r="N9674" s="787">
        <v>0.11</v>
      </c>
      <c r="O9674" s="788">
        <v>41858</v>
      </c>
    </row>
    <row r="9675" spans="1:15" x14ac:dyDescent="0.25">
      <c r="A9675" s="786" t="s">
        <v>17344</v>
      </c>
      <c r="B9675" s="787">
        <v>4</v>
      </c>
      <c r="C9675" s="787" t="s">
        <v>17345</v>
      </c>
      <c r="D9675" s="787">
        <v>0</v>
      </c>
      <c r="E9675" s="787">
        <v>0</v>
      </c>
      <c r="H9675" s="787">
        <v>1</v>
      </c>
      <c r="I9675" s="788">
        <v>42152</v>
      </c>
      <c r="J9675" s="788">
        <v>42157</v>
      </c>
      <c r="K9675" s="788">
        <v>41913</v>
      </c>
      <c r="L9675" s="787">
        <v>3.5</v>
      </c>
      <c r="M9675" s="787">
        <v>10</v>
      </c>
      <c r="N9675" s="787">
        <v>0</v>
      </c>
    </row>
    <row r="9676" spans="1:15" x14ac:dyDescent="0.25">
      <c r="A9676" s="786" t="s">
        <v>17346</v>
      </c>
      <c r="B9676" s="787">
        <v>4</v>
      </c>
      <c r="C9676" s="787" t="s">
        <v>17335</v>
      </c>
      <c r="D9676" s="787">
        <v>0</v>
      </c>
      <c r="E9676" s="787">
        <v>0</v>
      </c>
      <c r="H9676" s="787">
        <v>1</v>
      </c>
      <c r="I9676" s="788">
        <v>42152</v>
      </c>
      <c r="J9676" s="788">
        <v>42157</v>
      </c>
      <c r="K9676" s="788">
        <v>41913</v>
      </c>
      <c r="L9676" s="787">
        <v>2.5</v>
      </c>
      <c r="M9676" s="787">
        <v>10</v>
      </c>
      <c r="N9676" s="787">
        <v>0</v>
      </c>
    </row>
    <row r="9677" spans="1:15" x14ac:dyDescent="0.25">
      <c r="A9677" s="786" t="s">
        <v>17347</v>
      </c>
      <c r="B9677" s="787">
        <v>4</v>
      </c>
      <c r="C9677" s="787" t="s">
        <v>14427</v>
      </c>
      <c r="D9677" s="787">
        <v>0</v>
      </c>
      <c r="E9677" s="787">
        <v>0</v>
      </c>
      <c r="H9677" s="787">
        <v>1</v>
      </c>
      <c r="I9677" s="788">
        <v>42152</v>
      </c>
      <c r="L9677" s="787">
        <v>0</v>
      </c>
      <c r="M9677" s="787">
        <v>10</v>
      </c>
      <c r="N9677" s="787">
        <v>0</v>
      </c>
    </row>
    <row r="9678" spans="1:15" x14ac:dyDescent="0.25">
      <c r="A9678" s="786" t="s">
        <v>17348</v>
      </c>
      <c r="B9678" s="787">
        <v>4</v>
      </c>
      <c r="C9678" s="787" t="s">
        <v>14429</v>
      </c>
      <c r="D9678" s="787">
        <v>0</v>
      </c>
      <c r="E9678" s="787">
        <v>0</v>
      </c>
      <c r="H9678" s="787">
        <v>1</v>
      </c>
      <c r="I9678" s="788">
        <v>42152</v>
      </c>
      <c r="L9678" s="787">
        <v>0</v>
      </c>
      <c r="M9678" s="787">
        <v>10</v>
      </c>
      <c r="N9678" s="787">
        <v>0</v>
      </c>
    </row>
    <row r="9679" spans="1:15" x14ac:dyDescent="0.25">
      <c r="A9679" s="786" t="s">
        <v>17349</v>
      </c>
      <c r="B9679" s="787">
        <v>4</v>
      </c>
      <c r="C9679" s="787" t="s">
        <v>17350</v>
      </c>
      <c r="D9679" s="787">
        <v>0</v>
      </c>
      <c r="E9679" s="787">
        <v>0</v>
      </c>
      <c r="H9679" s="787">
        <v>1</v>
      </c>
      <c r="I9679" s="788">
        <v>42152</v>
      </c>
      <c r="L9679" s="787">
        <v>0</v>
      </c>
      <c r="M9679" s="787">
        <v>10</v>
      </c>
      <c r="N9679" s="787">
        <v>0</v>
      </c>
    </row>
    <row r="9680" spans="1:15" x14ac:dyDescent="0.25">
      <c r="A9680" s="786" t="s">
        <v>17351</v>
      </c>
      <c r="B9680" s="787">
        <v>4</v>
      </c>
      <c r="C9680" s="787" t="s">
        <v>17352</v>
      </c>
      <c r="D9680" s="787">
        <v>0</v>
      </c>
      <c r="E9680" s="787">
        <v>0</v>
      </c>
      <c r="H9680" s="787">
        <v>1</v>
      </c>
      <c r="I9680" s="788">
        <v>42152</v>
      </c>
      <c r="J9680" s="788">
        <v>42157</v>
      </c>
      <c r="K9680" s="788">
        <v>42157</v>
      </c>
      <c r="L9680" s="787">
        <v>0.01</v>
      </c>
      <c r="M9680" s="787">
        <v>10</v>
      </c>
      <c r="N9680" s="787">
        <v>0</v>
      </c>
    </row>
    <row r="9681" spans="1:14" x14ac:dyDescent="0.25">
      <c r="A9681" s="786" t="s">
        <v>17353</v>
      </c>
      <c r="B9681" s="787">
        <v>4</v>
      </c>
      <c r="C9681" s="787" t="s">
        <v>17354</v>
      </c>
      <c r="D9681" s="787">
        <v>0</v>
      </c>
      <c r="E9681" s="787">
        <v>0</v>
      </c>
      <c r="H9681" s="787">
        <v>1</v>
      </c>
      <c r="I9681" s="788">
        <v>42152</v>
      </c>
      <c r="L9681" s="787">
        <v>0</v>
      </c>
      <c r="M9681" s="787">
        <v>10</v>
      </c>
      <c r="N9681" s="787">
        <v>0</v>
      </c>
    </row>
    <row r="9682" spans="1:14" x14ac:dyDescent="0.25">
      <c r="A9682" s="786" t="s">
        <v>17355</v>
      </c>
      <c r="B9682" s="787">
        <v>4</v>
      </c>
      <c r="C9682" s="787" t="s">
        <v>17356</v>
      </c>
      <c r="D9682" s="787">
        <v>0</v>
      </c>
      <c r="E9682" s="787">
        <v>0</v>
      </c>
      <c r="H9682" s="787">
        <v>1</v>
      </c>
      <c r="I9682" s="788">
        <v>42152</v>
      </c>
      <c r="J9682" s="788">
        <v>42157</v>
      </c>
      <c r="K9682" s="788">
        <v>42157</v>
      </c>
      <c r="L9682" s="787">
        <v>0.01</v>
      </c>
      <c r="M9682" s="787">
        <v>10</v>
      </c>
      <c r="N9682" s="787">
        <v>0</v>
      </c>
    </row>
    <row r="9683" spans="1:14" x14ac:dyDescent="0.25">
      <c r="A9683" s="786" t="s">
        <v>17357</v>
      </c>
      <c r="B9683" s="787">
        <v>4</v>
      </c>
      <c r="C9683" s="787" t="s">
        <v>17358</v>
      </c>
      <c r="D9683" s="787">
        <v>0</v>
      </c>
      <c r="E9683" s="787">
        <v>0</v>
      </c>
      <c r="H9683" s="787">
        <v>1</v>
      </c>
      <c r="I9683" s="788">
        <v>42152</v>
      </c>
      <c r="L9683" s="787">
        <v>0</v>
      </c>
      <c r="M9683" s="787">
        <v>10</v>
      </c>
      <c r="N9683" s="787">
        <v>0</v>
      </c>
    </row>
    <row r="9684" spans="1:14" x14ac:dyDescent="0.25">
      <c r="A9684" s="786" t="s">
        <v>17359</v>
      </c>
      <c r="B9684" s="787">
        <v>4</v>
      </c>
      <c r="C9684" s="787" t="s">
        <v>17360</v>
      </c>
      <c r="D9684" s="787">
        <v>0</v>
      </c>
      <c r="E9684" s="787">
        <v>0</v>
      </c>
      <c r="H9684" s="787">
        <v>1</v>
      </c>
      <c r="L9684" s="787">
        <v>0</v>
      </c>
      <c r="M9684" s="787">
        <v>10</v>
      </c>
      <c r="N9684" s="787">
        <v>0</v>
      </c>
    </row>
    <row r="9685" spans="1:14" x14ac:dyDescent="0.25">
      <c r="A9685" s="786" t="s">
        <v>17361</v>
      </c>
      <c r="B9685" s="787">
        <v>4</v>
      </c>
      <c r="C9685" s="787" t="s">
        <v>15264</v>
      </c>
      <c r="D9685" s="787">
        <v>0</v>
      </c>
      <c r="E9685" s="787">
        <v>0</v>
      </c>
      <c r="H9685" s="787">
        <v>1</v>
      </c>
      <c r="L9685" s="787">
        <v>0</v>
      </c>
      <c r="M9685" s="787">
        <v>10</v>
      </c>
      <c r="N9685" s="787">
        <v>0</v>
      </c>
    </row>
    <row r="9686" spans="1:14" x14ac:dyDescent="0.25">
      <c r="A9686" s="786" t="s">
        <v>17362</v>
      </c>
      <c r="B9686" s="787">
        <v>4</v>
      </c>
      <c r="C9686" s="787" t="s">
        <v>15266</v>
      </c>
      <c r="D9686" s="787">
        <v>0</v>
      </c>
      <c r="E9686" s="787">
        <v>0</v>
      </c>
      <c r="H9686" s="787">
        <v>1</v>
      </c>
      <c r="L9686" s="787">
        <v>0</v>
      </c>
      <c r="M9686" s="787">
        <v>10</v>
      </c>
      <c r="N9686" s="787">
        <v>0</v>
      </c>
    </row>
    <row r="9687" spans="1:14" x14ac:dyDescent="0.25">
      <c r="A9687" s="786" t="s">
        <v>17363</v>
      </c>
      <c r="B9687" s="787">
        <v>4</v>
      </c>
      <c r="C9687" s="787" t="s">
        <v>17364</v>
      </c>
      <c r="D9687" s="787">
        <v>0</v>
      </c>
      <c r="E9687" s="787">
        <v>0</v>
      </c>
      <c r="H9687" s="787">
        <v>1</v>
      </c>
      <c r="L9687" s="787">
        <v>0</v>
      </c>
      <c r="M9687" s="787">
        <v>10</v>
      </c>
      <c r="N9687" s="787">
        <v>0</v>
      </c>
    </row>
    <row r="9688" spans="1:14" x14ac:dyDescent="0.25">
      <c r="A9688" s="786" t="s">
        <v>17365</v>
      </c>
      <c r="B9688" s="787">
        <v>4</v>
      </c>
      <c r="C9688" s="787" t="s">
        <v>17366</v>
      </c>
      <c r="D9688" s="787">
        <v>0</v>
      </c>
      <c r="E9688" s="787">
        <v>0</v>
      </c>
      <c r="H9688" s="787">
        <v>1</v>
      </c>
      <c r="L9688" s="787">
        <v>0</v>
      </c>
      <c r="M9688" s="787">
        <v>10</v>
      </c>
      <c r="N9688" s="787">
        <v>0</v>
      </c>
    </row>
    <row r="9689" spans="1:14" x14ac:dyDescent="0.25">
      <c r="A9689" s="786" t="s">
        <v>17367</v>
      </c>
      <c r="B9689" s="787">
        <v>4</v>
      </c>
      <c r="C9689" s="787" t="s">
        <v>17368</v>
      </c>
      <c r="D9689" s="787">
        <v>0</v>
      </c>
      <c r="E9689" s="787">
        <v>0</v>
      </c>
      <c r="H9689" s="787">
        <v>1</v>
      </c>
      <c r="I9689" s="788">
        <v>42152</v>
      </c>
      <c r="L9689" s="787">
        <v>0</v>
      </c>
      <c r="M9689" s="787">
        <v>10</v>
      </c>
      <c r="N9689" s="787">
        <v>0</v>
      </c>
    </row>
    <row r="9690" spans="1:14" x14ac:dyDescent="0.25">
      <c r="A9690" s="786" t="s">
        <v>17369</v>
      </c>
      <c r="B9690" s="787">
        <v>4</v>
      </c>
      <c r="C9690" s="787" t="s">
        <v>17370</v>
      </c>
      <c r="D9690" s="787">
        <v>0</v>
      </c>
      <c r="E9690" s="787">
        <v>0</v>
      </c>
      <c r="H9690" s="787">
        <v>1</v>
      </c>
      <c r="I9690" s="788">
        <v>42152</v>
      </c>
      <c r="L9690" s="787">
        <v>0</v>
      </c>
      <c r="M9690" s="787">
        <v>10</v>
      </c>
      <c r="N9690" s="787">
        <v>0</v>
      </c>
    </row>
    <row r="9691" spans="1:14" x14ac:dyDescent="0.25">
      <c r="A9691" s="786" t="s">
        <v>17371</v>
      </c>
      <c r="B9691" s="787">
        <v>4</v>
      </c>
      <c r="C9691" s="787" t="s">
        <v>17372</v>
      </c>
      <c r="D9691" s="787">
        <v>0</v>
      </c>
      <c r="E9691" s="787">
        <v>0</v>
      </c>
      <c r="H9691" s="787">
        <v>1</v>
      </c>
      <c r="L9691" s="787">
        <v>0</v>
      </c>
      <c r="M9691" s="787">
        <v>10</v>
      </c>
      <c r="N9691" s="787">
        <v>0</v>
      </c>
    </row>
    <row r="9692" spans="1:14" x14ac:dyDescent="0.25">
      <c r="A9692" s="786" t="s">
        <v>17373</v>
      </c>
      <c r="B9692" s="787">
        <v>4</v>
      </c>
      <c r="C9692" s="787" t="s">
        <v>17374</v>
      </c>
      <c r="D9692" s="787">
        <v>0</v>
      </c>
      <c r="E9692" s="787">
        <v>0</v>
      </c>
      <c r="H9692" s="787">
        <v>1</v>
      </c>
      <c r="I9692" s="788">
        <v>42152</v>
      </c>
      <c r="L9692" s="787">
        <v>0</v>
      </c>
      <c r="M9692" s="787">
        <v>10</v>
      </c>
      <c r="N9692" s="787">
        <v>0</v>
      </c>
    </row>
    <row r="9693" spans="1:14" x14ac:dyDescent="0.25">
      <c r="A9693" s="786" t="s">
        <v>17375</v>
      </c>
      <c r="B9693" s="787">
        <v>4</v>
      </c>
      <c r="C9693" s="787" t="s">
        <v>17376</v>
      </c>
      <c r="D9693" s="787">
        <v>0</v>
      </c>
      <c r="E9693" s="787">
        <v>0</v>
      </c>
      <c r="H9693" s="787">
        <v>1</v>
      </c>
      <c r="I9693" s="788">
        <v>42152</v>
      </c>
      <c r="L9693" s="787">
        <v>0</v>
      </c>
      <c r="M9693" s="787">
        <v>10</v>
      </c>
      <c r="N9693" s="787">
        <v>0</v>
      </c>
    </row>
    <row r="9694" spans="1:14" x14ac:dyDescent="0.25">
      <c r="A9694" s="786" t="s">
        <v>17377</v>
      </c>
      <c r="B9694" s="787">
        <v>4</v>
      </c>
      <c r="C9694" s="787" t="s">
        <v>17378</v>
      </c>
      <c r="D9694" s="787">
        <v>0</v>
      </c>
      <c r="E9694" s="787">
        <v>0</v>
      </c>
      <c r="H9694" s="787">
        <v>1</v>
      </c>
      <c r="I9694" s="788">
        <v>42152</v>
      </c>
      <c r="L9694" s="787">
        <v>0</v>
      </c>
      <c r="M9694" s="787">
        <v>10</v>
      </c>
      <c r="N9694" s="787">
        <v>0</v>
      </c>
    </row>
    <row r="9695" spans="1:14" x14ac:dyDescent="0.25">
      <c r="A9695" s="786" t="s">
        <v>17379</v>
      </c>
      <c r="B9695" s="787">
        <v>4</v>
      </c>
      <c r="C9695" s="787" t="s">
        <v>17380</v>
      </c>
      <c r="D9695" s="787">
        <v>0</v>
      </c>
      <c r="E9695" s="787">
        <v>0</v>
      </c>
      <c r="H9695" s="787">
        <v>1</v>
      </c>
      <c r="L9695" s="787">
        <v>0</v>
      </c>
      <c r="M9695" s="787">
        <v>10</v>
      </c>
      <c r="N9695" s="787">
        <v>0</v>
      </c>
    </row>
    <row r="9696" spans="1:14" x14ac:dyDescent="0.25">
      <c r="A9696" s="786" t="s">
        <v>17381</v>
      </c>
      <c r="B9696" s="787">
        <v>4</v>
      </c>
      <c r="C9696" s="787" t="s">
        <v>17382</v>
      </c>
      <c r="D9696" s="787">
        <v>0</v>
      </c>
      <c r="E9696" s="787">
        <v>0</v>
      </c>
      <c r="H9696" s="787">
        <v>1</v>
      </c>
      <c r="L9696" s="787">
        <v>0</v>
      </c>
      <c r="M9696" s="787">
        <v>10</v>
      </c>
      <c r="N9696" s="787">
        <v>0</v>
      </c>
    </row>
    <row r="9697" spans="1:14" x14ac:dyDescent="0.25">
      <c r="A9697" s="786" t="s">
        <v>17383</v>
      </c>
      <c r="B9697" s="787">
        <v>4</v>
      </c>
      <c r="C9697" s="787" t="s">
        <v>17384</v>
      </c>
      <c r="D9697" s="787">
        <v>0</v>
      </c>
      <c r="E9697" s="787">
        <v>0</v>
      </c>
      <c r="H9697" s="787">
        <v>1</v>
      </c>
      <c r="L9697" s="787">
        <v>0</v>
      </c>
      <c r="M9697" s="787">
        <v>10</v>
      </c>
      <c r="N9697" s="787">
        <v>0</v>
      </c>
    </row>
    <row r="9698" spans="1:14" x14ac:dyDescent="0.25">
      <c r="A9698" s="786" t="s">
        <v>17385</v>
      </c>
      <c r="B9698" s="787">
        <v>4</v>
      </c>
      <c r="C9698" s="787" t="s">
        <v>17386</v>
      </c>
      <c r="D9698" s="787">
        <v>0</v>
      </c>
      <c r="E9698" s="787">
        <v>0</v>
      </c>
      <c r="H9698" s="787">
        <v>1</v>
      </c>
      <c r="L9698" s="787">
        <v>0</v>
      </c>
      <c r="M9698" s="787">
        <v>10</v>
      </c>
      <c r="N9698" s="787">
        <v>0</v>
      </c>
    </row>
    <row r="9699" spans="1:14" x14ac:dyDescent="0.25">
      <c r="A9699" s="786" t="s">
        <v>17387</v>
      </c>
      <c r="B9699" s="787">
        <v>4</v>
      </c>
      <c r="C9699" s="787" t="s">
        <v>17388</v>
      </c>
      <c r="D9699" s="787">
        <v>0</v>
      </c>
      <c r="E9699" s="787">
        <v>0</v>
      </c>
      <c r="H9699" s="787">
        <v>1</v>
      </c>
      <c r="L9699" s="787">
        <v>0</v>
      </c>
      <c r="M9699" s="787">
        <v>10</v>
      </c>
      <c r="N9699" s="787">
        <v>0</v>
      </c>
    </row>
    <row r="9700" spans="1:14" x14ac:dyDescent="0.25">
      <c r="A9700" s="786" t="s">
        <v>17389</v>
      </c>
      <c r="B9700" s="787">
        <v>4</v>
      </c>
      <c r="C9700" s="787" t="s">
        <v>17390</v>
      </c>
      <c r="D9700" s="787">
        <v>0</v>
      </c>
      <c r="E9700" s="787">
        <v>0</v>
      </c>
      <c r="H9700" s="787">
        <v>1</v>
      </c>
      <c r="I9700" s="788">
        <v>42152</v>
      </c>
      <c r="L9700" s="787">
        <v>0</v>
      </c>
      <c r="M9700" s="787">
        <v>10</v>
      </c>
      <c r="N9700" s="787">
        <v>0</v>
      </c>
    </row>
    <row r="9701" spans="1:14" x14ac:dyDescent="0.25">
      <c r="A9701" s="786" t="s">
        <v>17391</v>
      </c>
      <c r="B9701" s="787">
        <v>4</v>
      </c>
      <c r="C9701" s="787" t="s">
        <v>17392</v>
      </c>
      <c r="D9701" s="787">
        <v>0</v>
      </c>
      <c r="E9701" s="787">
        <v>0</v>
      </c>
      <c r="H9701" s="787">
        <v>1</v>
      </c>
      <c r="I9701" s="788">
        <v>42152</v>
      </c>
      <c r="L9701" s="787">
        <v>0</v>
      </c>
      <c r="M9701" s="787">
        <v>10</v>
      </c>
      <c r="N9701" s="787">
        <v>0</v>
      </c>
    </row>
    <row r="9702" spans="1:14" x14ac:dyDescent="0.25">
      <c r="A9702" s="786" t="s">
        <v>17393</v>
      </c>
      <c r="B9702" s="787">
        <v>4</v>
      </c>
      <c r="C9702" s="787" t="s">
        <v>17394</v>
      </c>
      <c r="D9702" s="787">
        <v>0</v>
      </c>
      <c r="E9702" s="787">
        <v>0</v>
      </c>
      <c r="H9702" s="787">
        <v>1</v>
      </c>
      <c r="I9702" s="788">
        <v>42152</v>
      </c>
      <c r="L9702" s="787">
        <v>0</v>
      </c>
      <c r="M9702" s="787">
        <v>10</v>
      </c>
      <c r="N9702" s="787">
        <v>0</v>
      </c>
    </row>
    <row r="9703" spans="1:14" x14ac:dyDescent="0.25">
      <c r="A9703" s="786" t="s">
        <v>17395</v>
      </c>
      <c r="B9703" s="787">
        <v>4</v>
      </c>
      <c r="C9703" s="787" t="s">
        <v>17396</v>
      </c>
      <c r="D9703" s="787">
        <v>0</v>
      </c>
      <c r="E9703" s="787">
        <v>0</v>
      </c>
      <c r="H9703" s="787">
        <v>1</v>
      </c>
      <c r="I9703" s="788">
        <v>42152</v>
      </c>
      <c r="L9703" s="787">
        <v>0</v>
      </c>
      <c r="M9703" s="787">
        <v>10</v>
      </c>
      <c r="N9703" s="787">
        <v>0</v>
      </c>
    </row>
    <row r="9704" spans="1:14" x14ac:dyDescent="0.25">
      <c r="A9704" s="786" t="s">
        <v>17397</v>
      </c>
      <c r="B9704" s="787">
        <v>4</v>
      </c>
      <c r="C9704" s="787" t="s">
        <v>17398</v>
      </c>
      <c r="D9704" s="787">
        <v>0</v>
      </c>
      <c r="E9704" s="787">
        <v>0</v>
      </c>
      <c r="H9704" s="787">
        <v>1</v>
      </c>
      <c r="I9704" s="788">
        <v>42152</v>
      </c>
      <c r="L9704" s="787">
        <v>0</v>
      </c>
      <c r="M9704" s="787">
        <v>10</v>
      </c>
      <c r="N9704" s="787">
        <v>0</v>
      </c>
    </row>
    <row r="9705" spans="1:14" x14ac:dyDescent="0.25">
      <c r="A9705" s="786" t="s">
        <v>17399</v>
      </c>
      <c r="B9705" s="787">
        <v>4</v>
      </c>
      <c r="C9705" s="787" t="s">
        <v>17400</v>
      </c>
      <c r="D9705" s="787">
        <v>0</v>
      </c>
      <c r="E9705" s="787">
        <v>0</v>
      </c>
      <c r="H9705" s="787">
        <v>1</v>
      </c>
      <c r="I9705" s="788">
        <v>42152</v>
      </c>
      <c r="L9705" s="787">
        <v>0</v>
      </c>
      <c r="M9705" s="787">
        <v>10</v>
      </c>
      <c r="N9705" s="787">
        <v>0</v>
      </c>
    </row>
    <row r="9706" spans="1:14" x14ac:dyDescent="0.25">
      <c r="A9706" s="786" t="s">
        <v>17401</v>
      </c>
      <c r="B9706" s="787">
        <v>4</v>
      </c>
      <c r="C9706" s="787" t="s">
        <v>17402</v>
      </c>
      <c r="D9706" s="787">
        <v>0</v>
      </c>
      <c r="E9706" s="787">
        <v>0</v>
      </c>
      <c r="H9706" s="787">
        <v>1</v>
      </c>
      <c r="I9706" s="788">
        <v>42152</v>
      </c>
      <c r="L9706" s="787">
        <v>0</v>
      </c>
      <c r="M9706" s="787">
        <v>10</v>
      </c>
      <c r="N9706" s="787">
        <v>0</v>
      </c>
    </row>
    <row r="9707" spans="1:14" x14ac:dyDescent="0.25">
      <c r="A9707" s="786" t="s">
        <v>17403</v>
      </c>
      <c r="B9707" s="787">
        <v>4</v>
      </c>
      <c r="C9707" s="787" t="s">
        <v>17404</v>
      </c>
      <c r="D9707" s="787">
        <v>0</v>
      </c>
      <c r="E9707" s="787">
        <v>0</v>
      </c>
      <c r="H9707" s="787">
        <v>1</v>
      </c>
      <c r="L9707" s="787">
        <v>0</v>
      </c>
      <c r="M9707" s="787">
        <v>10</v>
      </c>
      <c r="N9707" s="787">
        <v>0</v>
      </c>
    </row>
    <row r="9708" spans="1:14" x14ac:dyDescent="0.25">
      <c r="A9708" s="786" t="s">
        <v>17405</v>
      </c>
      <c r="B9708" s="787">
        <v>4</v>
      </c>
      <c r="C9708" s="787" t="s">
        <v>17406</v>
      </c>
      <c r="D9708" s="787">
        <v>0</v>
      </c>
      <c r="E9708" s="787">
        <v>0</v>
      </c>
      <c r="H9708" s="787">
        <v>1</v>
      </c>
      <c r="L9708" s="787">
        <v>0</v>
      </c>
      <c r="M9708" s="787">
        <v>10</v>
      </c>
      <c r="N9708" s="787">
        <v>0</v>
      </c>
    </row>
    <row r="9709" spans="1:14" x14ac:dyDescent="0.25">
      <c r="A9709" s="786" t="s">
        <v>17407</v>
      </c>
      <c r="B9709" s="787">
        <v>4</v>
      </c>
      <c r="C9709" s="787" t="s">
        <v>17408</v>
      </c>
      <c r="D9709" s="787">
        <v>0</v>
      </c>
      <c r="E9709" s="787">
        <v>0</v>
      </c>
      <c r="H9709" s="787">
        <v>1</v>
      </c>
      <c r="I9709" s="788">
        <v>42152</v>
      </c>
      <c r="L9709" s="787">
        <v>0</v>
      </c>
      <c r="M9709" s="787">
        <v>10</v>
      </c>
      <c r="N9709" s="787">
        <v>0</v>
      </c>
    </row>
    <row r="9710" spans="1:14" x14ac:dyDescent="0.25">
      <c r="A9710" s="786" t="s">
        <v>17409</v>
      </c>
      <c r="B9710" s="787">
        <v>4</v>
      </c>
      <c r="C9710" s="787" t="s">
        <v>17410</v>
      </c>
      <c r="D9710" s="787">
        <v>0</v>
      </c>
      <c r="E9710" s="787">
        <v>0</v>
      </c>
      <c r="H9710" s="787">
        <v>1</v>
      </c>
      <c r="I9710" s="788">
        <v>42152</v>
      </c>
      <c r="L9710" s="787">
        <v>0</v>
      </c>
      <c r="M9710" s="787">
        <v>10</v>
      </c>
      <c r="N9710" s="787">
        <v>0</v>
      </c>
    </row>
    <row r="9711" spans="1:14" x14ac:dyDescent="0.25">
      <c r="A9711" s="786" t="s">
        <v>17411</v>
      </c>
      <c r="B9711" s="787">
        <v>4</v>
      </c>
      <c r="C9711" s="787" t="s">
        <v>17412</v>
      </c>
      <c r="D9711" s="787">
        <v>0</v>
      </c>
      <c r="E9711" s="787">
        <v>0</v>
      </c>
      <c r="H9711" s="787">
        <v>1</v>
      </c>
      <c r="I9711" s="788">
        <v>42152</v>
      </c>
      <c r="L9711" s="787">
        <v>0</v>
      </c>
      <c r="M9711" s="787">
        <v>10</v>
      </c>
      <c r="N9711" s="787">
        <v>0</v>
      </c>
    </row>
    <row r="9712" spans="1:14" x14ac:dyDescent="0.25">
      <c r="A9712" s="786" t="s">
        <v>17413</v>
      </c>
      <c r="B9712" s="787">
        <v>4</v>
      </c>
      <c r="C9712" s="787" t="s">
        <v>17414</v>
      </c>
      <c r="D9712" s="787">
        <v>0</v>
      </c>
      <c r="E9712" s="787">
        <v>0</v>
      </c>
      <c r="H9712" s="787">
        <v>1</v>
      </c>
      <c r="I9712" s="788">
        <v>42152</v>
      </c>
      <c r="L9712" s="787">
        <v>0</v>
      </c>
      <c r="M9712" s="787">
        <v>10</v>
      </c>
      <c r="N9712" s="787">
        <v>0</v>
      </c>
    </row>
    <row r="9713" spans="1:15" x14ac:dyDescent="0.25">
      <c r="A9713" s="786" t="s">
        <v>17415</v>
      </c>
      <c r="B9713" s="787">
        <v>4</v>
      </c>
      <c r="C9713" s="787" t="s">
        <v>17416</v>
      </c>
      <c r="D9713" s="787">
        <v>0</v>
      </c>
      <c r="E9713" s="787">
        <v>0</v>
      </c>
      <c r="H9713" s="787">
        <v>1</v>
      </c>
      <c r="I9713" s="788">
        <v>42152</v>
      </c>
      <c r="L9713" s="787">
        <v>0</v>
      </c>
      <c r="M9713" s="787">
        <v>10</v>
      </c>
      <c r="N9713" s="787">
        <v>0</v>
      </c>
    </row>
    <row r="9714" spans="1:15" x14ac:dyDescent="0.25">
      <c r="A9714" s="786" t="s">
        <v>17417</v>
      </c>
      <c r="B9714" s="787">
        <v>4</v>
      </c>
      <c r="C9714" s="787" t="s">
        <v>17418</v>
      </c>
      <c r="D9714" s="787">
        <v>0</v>
      </c>
      <c r="E9714" s="787">
        <v>0</v>
      </c>
      <c r="H9714" s="787">
        <v>1</v>
      </c>
      <c r="L9714" s="787">
        <v>0</v>
      </c>
      <c r="M9714" s="787">
        <v>10</v>
      </c>
      <c r="N9714" s="787">
        <v>0</v>
      </c>
    </row>
    <row r="9715" spans="1:15" x14ac:dyDescent="0.25">
      <c r="A9715" s="786" t="s">
        <v>17419</v>
      </c>
      <c r="B9715" s="787">
        <v>4</v>
      </c>
      <c r="C9715" s="787" t="s">
        <v>17420</v>
      </c>
      <c r="D9715" s="787">
        <v>0</v>
      </c>
      <c r="E9715" s="787">
        <v>0</v>
      </c>
      <c r="H9715" s="787">
        <v>1</v>
      </c>
      <c r="L9715" s="787">
        <v>0</v>
      </c>
      <c r="M9715" s="787">
        <v>10</v>
      </c>
      <c r="N9715" s="787">
        <v>0</v>
      </c>
    </row>
    <row r="9716" spans="1:15" x14ac:dyDescent="0.25">
      <c r="A9716" s="786" t="s">
        <v>17421</v>
      </c>
      <c r="B9716" s="787">
        <v>4</v>
      </c>
      <c r="C9716" s="787" t="s">
        <v>17422</v>
      </c>
      <c r="D9716" s="787">
        <v>0</v>
      </c>
      <c r="E9716" s="787">
        <v>0</v>
      </c>
      <c r="H9716" s="787">
        <v>1</v>
      </c>
      <c r="I9716" s="788">
        <v>42152</v>
      </c>
      <c r="J9716" s="788">
        <v>42157</v>
      </c>
      <c r="K9716" s="788">
        <v>42157</v>
      </c>
      <c r="L9716" s="787">
        <v>0.01</v>
      </c>
      <c r="M9716" s="787">
        <v>10</v>
      </c>
      <c r="N9716" s="787">
        <v>0</v>
      </c>
    </row>
    <row r="9717" spans="1:15" x14ac:dyDescent="0.25">
      <c r="A9717" s="786" t="s">
        <v>17423</v>
      </c>
      <c r="B9717" s="787">
        <v>4</v>
      </c>
      <c r="C9717" s="787" t="s">
        <v>17424</v>
      </c>
      <c r="D9717" s="787">
        <v>0</v>
      </c>
      <c r="E9717" s="787">
        <v>0</v>
      </c>
      <c r="H9717" s="787">
        <v>1</v>
      </c>
      <c r="I9717" s="788">
        <v>42152</v>
      </c>
      <c r="L9717" s="787">
        <v>0</v>
      </c>
      <c r="M9717" s="787">
        <v>10</v>
      </c>
      <c r="N9717" s="787">
        <v>0</v>
      </c>
    </row>
    <row r="9718" spans="1:15" x14ac:dyDescent="0.25">
      <c r="A9718" s="786" t="s">
        <v>17425</v>
      </c>
      <c r="B9718" s="787">
        <v>4</v>
      </c>
      <c r="C9718" s="787" t="s">
        <v>17426</v>
      </c>
      <c r="D9718" s="787">
        <v>0</v>
      </c>
      <c r="E9718" s="787">
        <v>0</v>
      </c>
      <c r="H9718" s="787">
        <v>1</v>
      </c>
      <c r="L9718" s="787">
        <v>0</v>
      </c>
      <c r="M9718" s="787">
        <v>10</v>
      </c>
      <c r="N9718" s="787">
        <v>0</v>
      </c>
    </row>
    <row r="9719" spans="1:15" x14ac:dyDescent="0.25">
      <c r="A9719" s="786" t="s">
        <v>17427</v>
      </c>
      <c r="B9719" s="787">
        <v>4</v>
      </c>
      <c r="C9719" s="787" t="s">
        <v>17428</v>
      </c>
      <c r="D9719" s="787">
        <v>0</v>
      </c>
      <c r="E9719" s="787">
        <v>0</v>
      </c>
      <c r="H9719" s="787">
        <v>1</v>
      </c>
      <c r="I9719" s="788">
        <v>42152</v>
      </c>
      <c r="L9719" s="787">
        <v>0</v>
      </c>
      <c r="M9719" s="787">
        <v>10</v>
      </c>
      <c r="N9719" s="787">
        <v>0</v>
      </c>
    </row>
    <row r="9720" spans="1:15" x14ac:dyDescent="0.25">
      <c r="A9720" s="786" t="s">
        <v>17429</v>
      </c>
      <c r="B9720" s="787">
        <v>4</v>
      </c>
      <c r="C9720" s="787" t="s">
        <v>17430</v>
      </c>
      <c r="D9720" s="787">
        <v>6.55</v>
      </c>
      <c r="E9720" s="787">
        <v>23.12</v>
      </c>
      <c r="F9720" s="788">
        <v>41855</v>
      </c>
      <c r="G9720" s="788">
        <v>42062</v>
      </c>
      <c r="H9720" s="787">
        <v>1</v>
      </c>
      <c r="I9720" s="788">
        <v>42131</v>
      </c>
      <c r="J9720" s="788">
        <v>42031</v>
      </c>
      <c r="K9720" s="788">
        <v>41814</v>
      </c>
      <c r="L9720" s="787">
        <v>23</v>
      </c>
      <c r="M9720" s="787">
        <v>10</v>
      </c>
      <c r="N9720" s="787">
        <v>23.64</v>
      </c>
      <c r="O9720" s="788">
        <v>42038</v>
      </c>
    </row>
    <row r="9721" spans="1:15" x14ac:dyDescent="0.25">
      <c r="A9721" s="786" t="s">
        <v>17431</v>
      </c>
      <c r="B9721" s="787">
        <v>4</v>
      </c>
      <c r="C9721" s="787" t="s">
        <v>17432</v>
      </c>
      <c r="D9721" s="787">
        <v>0</v>
      </c>
      <c r="E9721" s="787">
        <v>0</v>
      </c>
      <c r="H9721" s="787">
        <v>1</v>
      </c>
      <c r="L9721" s="787">
        <v>0</v>
      </c>
      <c r="M9721" s="787">
        <v>10</v>
      </c>
      <c r="N9721" s="787">
        <v>0</v>
      </c>
    </row>
    <row r="9722" spans="1:15" x14ac:dyDescent="0.25">
      <c r="A9722" s="786" t="s">
        <v>17433</v>
      </c>
      <c r="B9722" s="787">
        <v>4</v>
      </c>
      <c r="C9722" s="787" t="s">
        <v>17434</v>
      </c>
      <c r="D9722" s="787">
        <v>0</v>
      </c>
      <c r="E9722" s="787">
        <v>0</v>
      </c>
      <c r="H9722" s="787">
        <v>1</v>
      </c>
      <c r="L9722" s="787">
        <v>0</v>
      </c>
      <c r="M9722" s="787">
        <v>10</v>
      </c>
      <c r="N9722" s="787">
        <v>0</v>
      </c>
    </row>
    <row r="9723" spans="1:15" x14ac:dyDescent="0.25">
      <c r="A9723" s="786" t="s">
        <v>17435</v>
      </c>
      <c r="B9723" s="787">
        <v>4</v>
      </c>
      <c r="C9723" s="787" t="s">
        <v>17436</v>
      </c>
      <c r="D9723" s="787">
        <v>0</v>
      </c>
      <c r="E9723" s="787">
        <v>0</v>
      </c>
      <c r="H9723" s="787">
        <v>1</v>
      </c>
      <c r="L9723" s="787">
        <v>0</v>
      </c>
      <c r="M9723" s="787">
        <v>10</v>
      </c>
      <c r="N9723" s="787">
        <v>0</v>
      </c>
    </row>
    <row r="9724" spans="1:15" x14ac:dyDescent="0.25">
      <c r="A9724" s="786" t="s">
        <v>17437</v>
      </c>
      <c r="B9724" s="787">
        <v>4</v>
      </c>
      <c r="C9724" s="787" t="s">
        <v>17438</v>
      </c>
      <c r="D9724" s="787">
        <v>0</v>
      </c>
      <c r="E9724" s="787">
        <v>0</v>
      </c>
      <c r="H9724" s="787">
        <v>1</v>
      </c>
      <c r="L9724" s="787">
        <v>0</v>
      </c>
      <c r="M9724" s="787">
        <v>10</v>
      </c>
      <c r="N9724" s="787">
        <v>0</v>
      </c>
    </row>
    <row r="9725" spans="1:15" x14ac:dyDescent="0.25">
      <c r="A9725" s="786" t="s">
        <v>17439</v>
      </c>
      <c r="B9725" s="787">
        <v>4</v>
      </c>
      <c r="C9725" s="787" t="s">
        <v>17440</v>
      </c>
      <c r="D9725" s="787">
        <v>0</v>
      </c>
      <c r="E9725" s="787">
        <v>0</v>
      </c>
      <c r="H9725" s="787">
        <v>1</v>
      </c>
      <c r="I9725" s="788">
        <v>42152</v>
      </c>
      <c r="L9725" s="787">
        <v>0</v>
      </c>
      <c r="M9725" s="787">
        <v>10</v>
      </c>
      <c r="N9725" s="787">
        <v>0</v>
      </c>
    </row>
    <row r="9726" spans="1:15" x14ac:dyDescent="0.25">
      <c r="A9726" s="786" t="s">
        <v>17441</v>
      </c>
      <c r="B9726" s="787">
        <v>4</v>
      </c>
      <c r="C9726" s="787" t="s">
        <v>17442</v>
      </c>
      <c r="D9726" s="787">
        <v>0</v>
      </c>
      <c r="E9726" s="787">
        <v>0</v>
      </c>
      <c r="H9726" s="787">
        <v>1</v>
      </c>
      <c r="I9726" s="788">
        <v>42152</v>
      </c>
      <c r="L9726" s="787">
        <v>0</v>
      </c>
      <c r="M9726" s="787">
        <v>10</v>
      </c>
      <c r="N9726" s="787">
        <v>0</v>
      </c>
    </row>
    <row r="9727" spans="1:15" x14ac:dyDescent="0.25">
      <c r="A9727" s="786" t="s">
        <v>17443</v>
      </c>
      <c r="B9727" s="787">
        <v>4</v>
      </c>
      <c r="C9727" s="787" t="s">
        <v>17444</v>
      </c>
      <c r="D9727" s="787">
        <v>0</v>
      </c>
      <c r="E9727" s="787">
        <v>0</v>
      </c>
      <c r="H9727" s="787">
        <v>1</v>
      </c>
      <c r="L9727" s="787">
        <v>0</v>
      </c>
      <c r="M9727" s="787">
        <v>10</v>
      </c>
      <c r="N9727" s="787">
        <v>0</v>
      </c>
    </row>
    <row r="9728" spans="1:15" x14ac:dyDescent="0.25">
      <c r="A9728" s="786" t="s">
        <v>17445</v>
      </c>
      <c r="B9728" s="787">
        <v>4</v>
      </c>
      <c r="C9728" s="787" t="s">
        <v>17446</v>
      </c>
      <c r="D9728" s="787">
        <v>0</v>
      </c>
      <c r="E9728" s="787">
        <v>0</v>
      </c>
      <c r="H9728" s="787">
        <v>1</v>
      </c>
      <c r="L9728" s="787">
        <v>0</v>
      </c>
      <c r="M9728" s="787">
        <v>10</v>
      </c>
      <c r="N9728" s="787">
        <v>0</v>
      </c>
    </row>
    <row r="9729" spans="1:15" x14ac:dyDescent="0.25">
      <c r="A9729" s="786" t="s">
        <v>17447</v>
      </c>
      <c r="B9729" s="787">
        <v>4</v>
      </c>
      <c r="C9729" s="787" t="s">
        <v>17448</v>
      </c>
      <c r="D9729" s="787">
        <v>0</v>
      </c>
      <c r="E9729" s="787">
        <v>0</v>
      </c>
      <c r="H9729" s="787">
        <v>1</v>
      </c>
      <c r="L9729" s="787">
        <v>0</v>
      </c>
      <c r="M9729" s="787">
        <v>10</v>
      </c>
      <c r="N9729" s="787">
        <v>0</v>
      </c>
    </row>
    <row r="9730" spans="1:15" x14ac:dyDescent="0.25">
      <c r="A9730" s="786" t="s">
        <v>17449</v>
      </c>
      <c r="B9730" s="787">
        <v>4</v>
      </c>
      <c r="C9730" s="787" t="s">
        <v>17450</v>
      </c>
      <c r="D9730" s="787">
        <v>0</v>
      </c>
      <c r="E9730" s="787">
        <v>0</v>
      </c>
      <c r="H9730" s="787">
        <v>1</v>
      </c>
      <c r="L9730" s="787">
        <v>0</v>
      </c>
      <c r="M9730" s="787">
        <v>10</v>
      </c>
      <c r="N9730" s="787">
        <v>0</v>
      </c>
    </row>
    <row r="9731" spans="1:15" x14ac:dyDescent="0.25">
      <c r="A9731" s="786" t="s">
        <v>17451</v>
      </c>
      <c r="B9731" s="787">
        <v>4</v>
      </c>
      <c r="C9731" s="787" t="s">
        <v>17452</v>
      </c>
      <c r="D9731" s="787">
        <v>0</v>
      </c>
      <c r="E9731" s="787">
        <v>0</v>
      </c>
      <c r="H9731" s="787">
        <v>1</v>
      </c>
      <c r="L9731" s="787">
        <v>0</v>
      </c>
      <c r="M9731" s="787">
        <v>10</v>
      </c>
      <c r="N9731" s="787">
        <v>0</v>
      </c>
    </row>
    <row r="9732" spans="1:15" x14ac:dyDescent="0.25">
      <c r="A9732" s="786" t="s">
        <v>17453</v>
      </c>
      <c r="B9732" s="787">
        <v>4</v>
      </c>
      <c r="C9732" s="787" t="s">
        <v>17454</v>
      </c>
      <c r="D9732" s="787">
        <v>0</v>
      </c>
      <c r="E9732" s="787">
        <v>0</v>
      </c>
      <c r="H9732" s="787">
        <v>1</v>
      </c>
      <c r="I9732" s="788">
        <v>42152</v>
      </c>
      <c r="L9732" s="787">
        <v>0</v>
      </c>
      <c r="M9732" s="787">
        <v>10</v>
      </c>
      <c r="N9732" s="787">
        <v>0</v>
      </c>
    </row>
    <row r="9733" spans="1:15" x14ac:dyDescent="0.25">
      <c r="A9733" s="786" t="s">
        <v>17455</v>
      </c>
      <c r="B9733" s="787">
        <v>4</v>
      </c>
      <c r="C9733" s="787" t="s">
        <v>17456</v>
      </c>
      <c r="D9733" s="787">
        <v>0</v>
      </c>
      <c r="E9733" s="787">
        <v>0</v>
      </c>
      <c r="H9733" s="787">
        <v>1</v>
      </c>
      <c r="I9733" s="788">
        <v>42152</v>
      </c>
      <c r="L9733" s="787">
        <v>0</v>
      </c>
      <c r="M9733" s="787">
        <v>10</v>
      </c>
      <c r="N9733" s="787">
        <v>0</v>
      </c>
    </row>
    <row r="9734" spans="1:15" x14ac:dyDescent="0.25">
      <c r="A9734" s="786" t="s">
        <v>17457</v>
      </c>
      <c r="B9734" s="787">
        <v>4</v>
      </c>
      <c r="C9734" s="787" t="s">
        <v>17458</v>
      </c>
      <c r="D9734" s="787">
        <v>0</v>
      </c>
      <c r="E9734" s="787">
        <v>0</v>
      </c>
      <c r="H9734" s="787">
        <v>1</v>
      </c>
      <c r="I9734" s="788">
        <v>42152</v>
      </c>
      <c r="L9734" s="787">
        <v>0</v>
      </c>
      <c r="M9734" s="787">
        <v>10</v>
      </c>
      <c r="N9734" s="787">
        <v>0</v>
      </c>
    </row>
    <row r="9735" spans="1:15" x14ac:dyDescent="0.25">
      <c r="A9735" s="786" t="s">
        <v>17459</v>
      </c>
      <c r="B9735" s="787">
        <v>4</v>
      </c>
      <c r="C9735" s="787" t="s">
        <v>17460</v>
      </c>
      <c r="D9735" s="787">
        <v>8.61</v>
      </c>
      <c r="E9735" s="787">
        <v>8.61</v>
      </c>
      <c r="F9735" s="788">
        <v>41933</v>
      </c>
      <c r="G9735" s="788">
        <v>41933</v>
      </c>
      <c r="H9735" s="787">
        <v>1</v>
      </c>
      <c r="I9735" s="788">
        <v>42152</v>
      </c>
      <c r="J9735" s="788">
        <v>42157</v>
      </c>
      <c r="K9735" s="788">
        <v>41865</v>
      </c>
      <c r="L9735" s="787">
        <v>5</v>
      </c>
      <c r="M9735" s="787">
        <v>10</v>
      </c>
      <c r="N9735" s="787">
        <v>18.54</v>
      </c>
      <c r="O9735" s="788">
        <v>41978</v>
      </c>
    </row>
    <row r="9736" spans="1:15" x14ac:dyDescent="0.25">
      <c r="A9736" s="786" t="s">
        <v>17461</v>
      </c>
      <c r="B9736" s="787">
        <v>4</v>
      </c>
      <c r="C9736" s="787" t="s">
        <v>17462</v>
      </c>
      <c r="D9736" s="787">
        <v>0</v>
      </c>
      <c r="E9736" s="787">
        <v>0</v>
      </c>
      <c r="H9736" s="787">
        <v>1</v>
      </c>
      <c r="I9736" s="788">
        <v>42152</v>
      </c>
      <c r="L9736" s="787">
        <v>0</v>
      </c>
      <c r="M9736" s="787">
        <v>10</v>
      </c>
      <c r="N9736" s="787">
        <v>0</v>
      </c>
    </row>
    <row r="9737" spans="1:15" x14ac:dyDescent="0.25">
      <c r="A9737" s="786" t="s">
        <v>17463</v>
      </c>
      <c r="B9737" s="787">
        <v>4</v>
      </c>
      <c r="C9737" s="787" t="s">
        <v>17464</v>
      </c>
      <c r="D9737" s="787">
        <v>0</v>
      </c>
      <c r="E9737" s="787">
        <v>0</v>
      </c>
      <c r="H9737" s="787">
        <v>1</v>
      </c>
      <c r="I9737" s="788">
        <v>42152</v>
      </c>
      <c r="L9737" s="787">
        <v>0</v>
      </c>
      <c r="M9737" s="787">
        <v>10</v>
      </c>
      <c r="N9737" s="787">
        <v>0</v>
      </c>
    </row>
    <row r="9738" spans="1:15" x14ac:dyDescent="0.25">
      <c r="A9738" s="786" t="s">
        <v>17465</v>
      </c>
      <c r="B9738" s="787">
        <v>4</v>
      </c>
      <c r="C9738" s="787" t="s">
        <v>17466</v>
      </c>
      <c r="D9738" s="787">
        <v>0</v>
      </c>
      <c r="E9738" s="787">
        <v>0</v>
      </c>
      <c r="H9738" s="787">
        <v>1</v>
      </c>
      <c r="I9738" s="788">
        <v>42152</v>
      </c>
      <c r="L9738" s="787">
        <v>0</v>
      </c>
      <c r="M9738" s="787">
        <v>10</v>
      </c>
      <c r="N9738" s="787">
        <v>0</v>
      </c>
    </row>
    <row r="9739" spans="1:15" x14ac:dyDescent="0.25">
      <c r="A9739" s="786" t="s">
        <v>17467</v>
      </c>
      <c r="B9739" s="787">
        <v>4</v>
      </c>
      <c r="C9739" s="787" t="s">
        <v>17468</v>
      </c>
      <c r="D9739" s="787">
        <v>0</v>
      </c>
      <c r="E9739" s="787">
        <v>0</v>
      </c>
      <c r="H9739" s="787">
        <v>1</v>
      </c>
      <c r="L9739" s="787">
        <v>2.5</v>
      </c>
      <c r="M9739" s="787">
        <v>20</v>
      </c>
      <c r="N9739" s="787">
        <v>2.69</v>
      </c>
      <c r="O9739" s="788">
        <v>41858</v>
      </c>
    </row>
    <row r="9740" spans="1:15" x14ac:dyDescent="0.25">
      <c r="A9740" s="786" t="s">
        <v>17469</v>
      </c>
      <c r="B9740" s="787">
        <v>4</v>
      </c>
      <c r="C9740" s="787" t="s">
        <v>17470</v>
      </c>
      <c r="D9740" s="787">
        <v>0</v>
      </c>
      <c r="E9740" s="787">
        <v>0</v>
      </c>
      <c r="H9740" s="787">
        <v>1</v>
      </c>
      <c r="K9740" s="788">
        <v>41913</v>
      </c>
      <c r="L9740" s="787">
        <v>125</v>
      </c>
      <c r="M9740" s="787">
        <v>10</v>
      </c>
      <c r="N9740" s="787">
        <v>0</v>
      </c>
    </row>
    <row r="9741" spans="1:15" x14ac:dyDescent="0.25">
      <c r="A9741" s="786" t="s">
        <v>17471</v>
      </c>
      <c r="B9741" s="787">
        <v>4</v>
      </c>
      <c r="C9741" s="787" t="s">
        <v>17472</v>
      </c>
      <c r="D9741" s="787">
        <v>0</v>
      </c>
      <c r="E9741" s="787">
        <v>0</v>
      </c>
      <c r="H9741" s="787">
        <v>1</v>
      </c>
      <c r="I9741" s="788">
        <v>42152</v>
      </c>
      <c r="J9741" s="788">
        <v>42157</v>
      </c>
      <c r="K9741" s="788">
        <v>41913</v>
      </c>
      <c r="L9741" s="787">
        <v>48</v>
      </c>
      <c r="M9741" s="787">
        <v>10</v>
      </c>
      <c r="N9741" s="787">
        <v>54.8</v>
      </c>
      <c r="O9741" s="788">
        <v>41955</v>
      </c>
    </row>
    <row r="9742" spans="1:15" x14ac:dyDescent="0.25">
      <c r="A9742" s="786" t="s">
        <v>17473</v>
      </c>
      <c r="B9742" s="787">
        <v>4</v>
      </c>
      <c r="C9742" s="787" t="s">
        <v>17474</v>
      </c>
      <c r="D9742" s="787">
        <v>3.41</v>
      </c>
      <c r="E9742" s="787">
        <v>3.41</v>
      </c>
      <c r="F9742" s="788">
        <v>41920</v>
      </c>
      <c r="G9742" s="788">
        <v>41920</v>
      </c>
      <c r="H9742" s="787">
        <v>1</v>
      </c>
      <c r="I9742" s="788">
        <v>42152</v>
      </c>
      <c r="J9742" s="788">
        <v>41897</v>
      </c>
      <c r="K9742" s="788">
        <v>41879</v>
      </c>
      <c r="L9742" s="787">
        <v>15</v>
      </c>
      <c r="M9742" s="787">
        <v>10</v>
      </c>
      <c r="N9742" s="787">
        <v>9.5500000000000007</v>
      </c>
      <c r="O9742" s="788">
        <v>41880</v>
      </c>
    </row>
    <row r="9743" spans="1:15" x14ac:dyDescent="0.25">
      <c r="A9743" s="786" t="s">
        <v>17475</v>
      </c>
      <c r="B9743" s="787">
        <v>4</v>
      </c>
      <c r="C9743" s="787" t="s">
        <v>17476</v>
      </c>
      <c r="D9743" s="787">
        <v>0</v>
      </c>
      <c r="E9743" s="787">
        <v>0</v>
      </c>
      <c r="H9743" s="787">
        <v>1</v>
      </c>
      <c r="I9743" s="788">
        <v>42152</v>
      </c>
      <c r="L9743" s="787">
        <v>0</v>
      </c>
      <c r="M9743" s="787">
        <v>10</v>
      </c>
      <c r="N9743" s="787">
        <v>11.96</v>
      </c>
      <c r="O9743" s="788">
        <v>42146</v>
      </c>
    </row>
    <row r="9744" spans="1:15" x14ac:dyDescent="0.25">
      <c r="A9744" s="786" t="s">
        <v>17477</v>
      </c>
      <c r="B9744" s="787">
        <v>4</v>
      </c>
      <c r="C9744" s="787" t="s">
        <v>17478</v>
      </c>
      <c r="D9744" s="787">
        <v>0</v>
      </c>
      <c r="E9744" s="787">
        <v>0</v>
      </c>
      <c r="H9744" s="787">
        <v>1</v>
      </c>
      <c r="I9744" s="788">
        <v>42152</v>
      </c>
      <c r="L9744" s="787">
        <v>0</v>
      </c>
      <c r="M9744" s="787">
        <v>10</v>
      </c>
      <c r="N9744" s="787">
        <v>0</v>
      </c>
    </row>
    <row r="9745" spans="1:15" x14ac:dyDescent="0.25">
      <c r="A9745" s="786" t="s">
        <v>17479</v>
      </c>
      <c r="B9745" s="787">
        <v>4</v>
      </c>
      <c r="C9745" s="787" t="s">
        <v>17480</v>
      </c>
      <c r="D9745" s="787">
        <v>0</v>
      </c>
      <c r="E9745" s="787">
        <v>0</v>
      </c>
      <c r="H9745" s="787">
        <v>1</v>
      </c>
      <c r="L9745" s="787">
        <v>0</v>
      </c>
      <c r="M9745" s="787">
        <v>10</v>
      </c>
      <c r="N9745" s="787">
        <v>0</v>
      </c>
    </row>
    <row r="9746" spans="1:15" x14ac:dyDescent="0.25">
      <c r="A9746" s="786" t="s">
        <v>17481</v>
      </c>
      <c r="B9746" s="787">
        <v>4</v>
      </c>
      <c r="C9746" s="787" t="s">
        <v>17482</v>
      </c>
      <c r="D9746" s="787">
        <v>0</v>
      </c>
      <c r="E9746" s="787">
        <v>0</v>
      </c>
      <c r="H9746" s="787">
        <v>1</v>
      </c>
      <c r="I9746" s="788">
        <v>42152</v>
      </c>
      <c r="L9746" s="787">
        <v>0</v>
      </c>
      <c r="M9746" s="787">
        <v>10</v>
      </c>
      <c r="N9746" s="787">
        <v>0</v>
      </c>
    </row>
    <row r="9747" spans="1:15" x14ac:dyDescent="0.25">
      <c r="A9747" s="786" t="s">
        <v>17483</v>
      </c>
      <c r="B9747" s="787">
        <v>4</v>
      </c>
      <c r="C9747" s="787" t="s">
        <v>17484</v>
      </c>
      <c r="D9747" s="787">
        <v>8.73</v>
      </c>
      <c r="E9747" s="787">
        <v>78.73</v>
      </c>
      <c r="F9747" s="788">
        <v>41933</v>
      </c>
      <c r="G9747" s="788">
        <v>41933</v>
      </c>
      <c r="H9747" s="787">
        <v>1</v>
      </c>
      <c r="I9747" s="788">
        <v>42136</v>
      </c>
      <c r="J9747" s="788">
        <v>41911</v>
      </c>
      <c r="K9747" s="788">
        <v>41890</v>
      </c>
      <c r="L9747" s="787">
        <v>34</v>
      </c>
      <c r="M9747" s="787">
        <v>10</v>
      </c>
      <c r="N9747" s="787">
        <v>40.68</v>
      </c>
      <c r="O9747" s="788">
        <v>42061</v>
      </c>
    </row>
    <row r="9748" spans="1:15" x14ac:dyDescent="0.25">
      <c r="A9748" s="786" t="s">
        <v>17485</v>
      </c>
      <c r="B9748" s="787">
        <v>4</v>
      </c>
      <c r="C9748" s="787" t="s">
        <v>17486</v>
      </c>
      <c r="D9748" s="787">
        <v>5.05</v>
      </c>
      <c r="E9748" s="787">
        <v>115.05</v>
      </c>
      <c r="F9748" s="788">
        <v>41933</v>
      </c>
      <c r="G9748" s="788">
        <v>41933</v>
      </c>
      <c r="H9748" s="787">
        <v>1</v>
      </c>
      <c r="I9748" s="788">
        <v>42136</v>
      </c>
      <c r="J9748" s="788">
        <v>41911</v>
      </c>
      <c r="K9748" s="788">
        <v>41890</v>
      </c>
      <c r="L9748" s="787">
        <v>58</v>
      </c>
      <c r="M9748" s="787">
        <v>10</v>
      </c>
      <c r="N9748" s="787">
        <v>62.01</v>
      </c>
      <c r="O9748" s="788">
        <v>42061</v>
      </c>
    </row>
    <row r="9749" spans="1:15" x14ac:dyDescent="0.25">
      <c r="A9749" s="786" t="s">
        <v>17487</v>
      </c>
      <c r="B9749" s="787">
        <v>4</v>
      </c>
      <c r="C9749" s="787" t="s">
        <v>17488</v>
      </c>
      <c r="D9749" s="787">
        <v>1.49</v>
      </c>
      <c r="E9749" s="787">
        <v>1.49</v>
      </c>
      <c r="F9749" s="788">
        <v>41933</v>
      </c>
      <c r="G9749" s="788">
        <v>42122</v>
      </c>
      <c r="H9749" s="787">
        <v>1</v>
      </c>
      <c r="I9749" s="788">
        <v>42152</v>
      </c>
      <c r="J9749" s="788">
        <v>42122</v>
      </c>
      <c r="K9749" s="788">
        <v>41907</v>
      </c>
      <c r="L9749" s="787">
        <v>2</v>
      </c>
      <c r="M9749" s="787">
        <v>10</v>
      </c>
      <c r="N9749" s="787">
        <v>10.07</v>
      </c>
      <c r="O9749" s="788">
        <v>41978</v>
      </c>
    </row>
    <row r="9750" spans="1:15" x14ac:dyDescent="0.25">
      <c r="A9750" s="786" t="s">
        <v>17489</v>
      </c>
      <c r="B9750" s="787">
        <v>4</v>
      </c>
      <c r="C9750" s="787" t="s">
        <v>17490</v>
      </c>
      <c r="D9750" s="787">
        <v>0</v>
      </c>
      <c r="E9750" s="787">
        <v>0</v>
      </c>
      <c r="G9750" s="788">
        <v>42150</v>
      </c>
      <c r="H9750" s="787">
        <v>1</v>
      </c>
      <c r="I9750" s="788">
        <v>42152</v>
      </c>
      <c r="J9750" s="788">
        <v>42150</v>
      </c>
      <c r="K9750" s="788">
        <v>41864</v>
      </c>
      <c r="L9750" s="787">
        <v>15</v>
      </c>
      <c r="M9750" s="787">
        <v>10</v>
      </c>
      <c r="N9750" s="787">
        <v>0</v>
      </c>
    </row>
    <row r="9751" spans="1:15" x14ac:dyDescent="0.25">
      <c r="A9751" s="786" t="s">
        <v>17491</v>
      </c>
      <c r="B9751" s="787">
        <v>4</v>
      </c>
      <c r="C9751" s="787" t="s">
        <v>17492</v>
      </c>
      <c r="D9751" s="787">
        <v>0</v>
      </c>
      <c r="E9751" s="787">
        <v>0</v>
      </c>
      <c r="G9751" s="788">
        <v>42150</v>
      </c>
      <c r="H9751" s="787">
        <v>1</v>
      </c>
      <c r="I9751" s="788">
        <v>42152</v>
      </c>
      <c r="J9751" s="788">
        <v>42150</v>
      </c>
      <c r="K9751" s="788">
        <v>41913</v>
      </c>
      <c r="L9751" s="787">
        <v>75</v>
      </c>
      <c r="M9751" s="787">
        <v>10</v>
      </c>
      <c r="N9751" s="787">
        <v>0</v>
      </c>
    </row>
    <row r="9752" spans="1:15" x14ac:dyDescent="0.25">
      <c r="A9752" s="786" t="s">
        <v>17493</v>
      </c>
      <c r="B9752" s="787">
        <v>4</v>
      </c>
      <c r="C9752" s="787" t="s">
        <v>17494</v>
      </c>
      <c r="D9752" s="787">
        <v>0</v>
      </c>
      <c r="E9752" s="787">
        <v>0</v>
      </c>
      <c r="H9752" s="787">
        <v>1</v>
      </c>
      <c r="I9752" s="788">
        <v>42152</v>
      </c>
      <c r="J9752" s="788">
        <v>42156</v>
      </c>
      <c r="K9752" s="788">
        <v>41877</v>
      </c>
      <c r="L9752" s="787">
        <v>10</v>
      </c>
      <c r="M9752" s="787">
        <v>10</v>
      </c>
      <c r="N9752" s="787">
        <v>30.58</v>
      </c>
      <c r="O9752" s="788">
        <v>42165</v>
      </c>
    </row>
    <row r="9753" spans="1:15" x14ac:dyDescent="0.25">
      <c r="A9753" s="786" t="s">
        <v>17495</v>
      </c>
      <c r="B9753" s="787">
        <v>4</v>
      </c>
      <c r="C9753" s="787" t="s">
        <v>9479</v>
      </c>
      <c r="D9753" s="787">
        <v>0</v>
      </c>
      <c r="E9753" s="787">
        <v>0</v>
      </c>
      <c r="H9753" s="787">
        <v>1</v>
      </c>
      <c r="L9753" s="787">
        <v>0</v>
      </c>
      <c r="M9753" s="787">
        <v>10</v>
      </c>
      <c r="N9753" s="787">
        <v>0</v>
      </c>
    </row>
    <row r="9754" spans="1:15" x14ac:dyDescent="0.25">
      <c r="A9754" s="786" t="s">
        <v>17496</v>
      </c>
      <c r="B9754" s="787">
        <v>4</v>
      </c>
      <c r="C9754" s="787" t="s">
        <v>9526</v>
      </c>
      <c r="D9754" s="787">
        <v>0</v>
      </c>
      <c r="E9754" s="787">
        <v>0</v>
      </c>
      <c r="H9754" s="787">
        <v>1</v>
      </c>
      <c r="L9754" s="787">
        <v>0</v>
      </c>
      <c r="M9754" s="787">
        <v>10</v>
      </c>
      <c r="N9754" s="787">
        <v>0</v>
      </c>
    </row>
    <row r="9755" spans="1:15" x14ac:dyDescent="0.25">
      <c r="A9755" s="786" t="s">
        <v>17497</v>
      </c>
      <c r="B9755" s="787">
        <v>4</v>
      </c>
      <c r="C9755" s="787" t="s">
        <v>17498</v>
      </c>
      <c r="D9755" s="787">
        <v>0</v>
      </c>
      <c r="E9755" s="787">
        <v>0</v>
      </c>
      <c r="H9755" s="787">
        <v>1</v>
      </c>
      <c r="I9755" s="788">
        <v>41855</v>
      </c>
      <c r="K9755" s="788">
        <v>41851</v>
      </c>
      <c r="L9755" s="787">
        <v>10</v>
      </c>
      <c r="M9755" s="787">
        <v>10</v>
      </c>
      <c r="N9755" s="787">
        <v>0</v>
      </c>
    </row>
    <row r="9756" spans="1:15" x14ac:dyDescent="0.25">
      <c r="A9756" s="786" t="s">
        <v>17499</v>
      </c>
      <c r="B9756" s="787">
        <v>4</v>
      </c>
      <c r="C9756" s="787" t="s">
        <v>17500</v>
      </c>
      <c r="D9756" s="787">
        <v>0</v>
      </c>
      <c r="E9756" s="787">
        <v>0</v>
      </c>
      <c r="H9756" s="787">
        <v>1</v>
      </c>
      <c r="I9756" s="788">
        <v>41855</v>
      </c>
      <c r="K9756" s="788">
        <v>41851</v>
      </c>
      <c r="L9756" s="787">
        <v>10</v>
      </c>
      <c r="M9756" s="787">
        <v>10</v>
      </c>
      <c r="N9756" s="787">
        <v>0</v>
      </c>
    </row>
    <row r="9757" spans="1:15" x14ac:dyDescent="0.25">
      <c r="A9757" s="786" t="s">
        <v>17501</v>
      </c>
      <c r="B9757" s="787">
        <v>4</v>
      </c>
      <c r="C9757" s="787" t="s">
        <v>17502</v>
      </c>
      <c r="D9757" s="787">
        <v>0</v>
      </c>
      <c r="E9757" s="787">
        <v>0</v>
      </c>
      <c r="H9757" s="787">
        <v>1</v>
      </c>
      <c r="K9757" s="788">
        <v>41907</v>
      </c>
      <c r="L9757" s="787">
        <v>15</v>
      </c>
      <c r="M9757" s="787">
        <v>10</v>
      </c>
      <c r="N9757" s="787">
        <v>60.74</v>
      </c>
      <c r="O9757" s="788">
        <v>41955</v>
      </c>
    </row>
    <row r="9758" spans="1:15" x14ac:dyDescent="0.25">
      <c r="A9758" s="786" t="s">
        <v>17503</v>
      </c>
      <c r="B9758" s="787">
        <v>4</v>
      </c>
      <c r="C9758" s="787" t="s">
        <v>17504</v>
      </c>
      <c r="D9758" s="787">
        <v>0</v>
      </c>
      <c r="E9758" s="787">
        <v>0</v>
      </c>
      <c r="H9758" s="787">
        <v>1</v>
      </c>
      <c r="K9758" s="788">
        <v>41907</v>
      </c>
      <c r="L9758" s="787">
        <v>15</v>
      </c>
      <c r="M9758" s="787">
        <v>10</v>
      </c>
      <c r="N9758" s="787">
        <v>60.74</v>
      </c>
      <c r="O9758" s="788">
        <v>41955</v>
      </c>
    </row>
    <row r="9759" spans="1:15" x14ac:dyDescent="0.25">
      <c r="A9759" s="786" t="s">
        <v>17505</v>
      </c>
      <c r="B9759" s="787">
        <v>4</v>
      </c>
      <c r="C9759" s="787" t="s">
        <v>17506</v>
      </c>
      <c r="D9759" s="787">
        <v>1.4</v>
      </c>
      <c r="E9759" s="787">
        <v>21.4</v>
      </c>
      <c r="F9759" s="788">
        <v>41913</v>
      </c>
      <c r="G9759" s="788">
        <v>42013</v>
      </c>
      <c r="H9759" s="787">
        <v>1</v>
      </c>
      <c r="I9759" s="788">
        <v>42152</v>
      </c>
      <c r="J9759" s="788">
        <v>41892</v>
      </c>
      <c r="K9759" s="788">
        <v>41877</v>
      </c>
      <c r="L9759" s="787">
        <v>5</v>
      </c>
      <c r="M9759" s="787">
        <v>10</v>
      </c>
      <c r="N9759" s="787">
        <v>17.86</v>
      </c>
      <c r="O9759" s="788">
        <v>41955</v>
      </c>
    </row>
    <row r="9760" spans="1:15" x14ac:dyDescent="0.25">
      <c r="A9760" s="786" t="s">
        <v>17507</v>
      </c>
      <c r="B9760" s="787">
        <v>4</v>
      </c>
      <c r="C9760" s="787" t="s">
        <v>17508</v>
      </c>
      <c r="D9760" s="787">
        <v>0</v>
      </c>
      <c r="E9760" s="787">
        <v>0</v>
      </c>
      <c r="H9760" s="787">
        <v>1</v>
      </c>
      <c r="I9760" s="788">
        <v>41929</v>
      </c>
      <c r="L9760" s="787">
        <v>0</v>
      </c>
      <c r="M9760" s="787">
        <v>10</v>
      </c>
      <c r="N9760" s="787">
        <v>0</v>
      </c>
    </row>
    <row r="9761" spans="1:15" x14ac:dyDescent="0.25">
      <c r="A9761" s="786" t="s">
        <v>17509</v>
      </c>
      <c r="B9761" s="787">
        <v>4</v>
      </c>
      <c r="C9761" s="787" t="s">
        <v>17510</v>
      </c>
      <c r="D9761" s="787">
        <v>0</v>
      </c>
      <c r="E9761" s="787">
        <v>0</v>
      </c>
      <c r="G9761" s="788">
        <v>42150</v>
      </c>
      <c r="H9761" s="787">
        <v>1</v>
      </c>
      <c r="I9761" s="788">
        <v>42152</v>
      </c>
      <c r="J9761" s="788">
        <v>42150</v>
      </c>
      <c r="K9761" s="788">
        <v>41913</v>
      </c>
      <c r="L9761" s="787">
        <v>440</v>
      </c>
      <c r="M9761" s="787">
        <v>10</v>
      </c>
      <c r="N9761" s="787">
        <v>446.03</v>
      </c>
      <c r="O9761" s="788">
        <v>41990</v>
      </c>
    </row>
    <row r="9762" spans="1:15" x14ac:dyDescent="0.25">
      <c r="A9762" s="786" t="s">
        <v>17511</v>
      </c>
      <c r="B9762" s="787">
        <v>4</v>
      </c>
      <c r="C9762" s="787" t="s">
        <v>17512</v>
      </c>
      <c r="D9762" s="787">
        <v>0</v>
      </c>
      <c r="E9762" s="787">
        <v>0</v>
      </c>
      <c r="G9762" s="788">
        <v>42150</v>
      </c>
      <c r="H9762" s="787">
        <v>1</v>
      </c>
      <c r="I9762" s="788">
        <v>42152</v>
      </c>
      <c r="J9762" s="788">
        <v>42150</v>
      </c>
      <c r="K9762" s="788">
        <v>41913</v>
      </c>
      <c r="L9762" s="787">
        <v>440</v>
      </c>
      <c r="M9762" s="787">
        <v>10</v>
      </c>
      <c r="N9762" s="787">
        <v>446.03</v>
      </c>
      <c r="O9762" s="788">
        <v>41990</v>
      </c>
    </row>
    <row r="9763" spans="1:15" x14ac:dyDescent="0.25">
      <c r="A9763" s="786" t="s">
        <v>17513</v>
      </c>
      <c r="B9763" s="787">
        <v>4</v>
      </c>
      <c r="C9763" s="787" t="s">
        <v>17514</v>
      </c>
      <c r="D9763" s="787">
        <v>0</v>
      </c>
      <c r="E9763" s="787">
        <v>0</v>
      </c>
      <c r="H9763" s="787">
        <v>1</v>
      </c>
      <c r="I9763" s="788">
        <v>41949</v>
      </c>
      <c r="K9763" s="788">
        <v>41848</v>
      </c>
      <c r="L9763" s="787">
        <v>0.1</v>
      </c>
      <c r="M9763" s="787">
        <v>10</v>
      </c>
      <c r="N9763" s="787">
        <v>0</v>
      </c>
    </row>
    <row r="9764" spans="1:15" x14ac:dyDescent="0.25">
      <c r="A9764" s="786" t="s">
        <v>17515</v>
      </c>
      <c r="B9764" s="787">
        <v>4</v>
      </c>
      <c r="C9764" s="787" t="s">
        <v>17516</v>
      </c>
      <c r="D9764" s="787">
        <v>0</v>
      </c>
      <c r="E9764" s="787">
        <v>0</v>
      </c>
      <c r="H9764" s="787">
        <v>1</v>
      </c>
      <c r="L9764" s="787">
        <v>0</v>
      </c>
      <c r="M9764" s="787">
        <v>10</v>
      </c>
      <c r="N9764" s="787">
        <v>0</v>
      </c>
    </row>
    <row r="9765" spans="1:15" x14ac:dyDescent="0.25">
      <c r="A9765" s="786" t="s">
        <v>17517</v>
      </c>
      <c r="B9765" s="787">
        <v>4</v>
      </c>
      <c r="C9765" s="787" t="s">
        <v>17518</v>
      </c>
      <c r="D9765" s="787">
        <v>0</v>
      </c>
      <c r="E9765" s="787">
        <v>0</v>
      </c>
      <c r="H9765" s="787">
        <v>1</v>
      </c>
      <c r="L9765" s="787">
        <v>0</v>
      </c>
      <c r="M9765" s="787">
        <v>10</v>
      </c>
      <c r="N9765" s="787">
        <v>0</v>
      </c>
    </row>
    <row r="9766" spans="1:15" x14ac:dyDescent="0.25">
      <c r="A9766" s="786" t="s">
        <v>17519</v>
      </c>
      <c r="B9766" s="787">
        <v>4</v>
      </c>
      <c r="C9766" s="787" t="s">
        <v>16746</v>
      </c>
      <c r="D9766" s="787">
        <v>0</v>
      </c>
      <c r="E9766" s="787">
        <v>0</v>
      </c>
      <c r="H9766" s="787">
        <v>1</v>
      </c>
      <c r="I9766" s="788">
        <v>41856</v>
      </c>
      <c r="K9766" s="788">
        <v>41848</v>
      </c>
      <c r="L9766" s="787">
        <v>0.1</v>
      </c>
      <c r="M9766" s="787">
        <v>10</v>
      </c>
      <c r="N9766" s="787">
        <v>0</v>
      </c>
    </row>
    <row r="9767" spans="1:15" x14ac:dyDescent="0.25">
      <c r="A9767" s="786" t="s">
        <v>17520</v>
      </c>
      <c r="B9767" s="787">
        <v>4</v>
      </c>
      <c r="C9767" s="787" t="s">
        <v>17521</v>
      </c>
      <c r="D9767" s="787">
        <v>0</v>
      </c>
      <c r="E9767" s="787">
        <v>0</v>
      </c>
      <c r="H9767" s="787">
        <v>1</v>
      </c>
      <c r="I9767" s="788">
        <v>41856</v>
      </c>
      <c r="K9767" s="788">
        <v>41848</v>
      </c>
      <c r="L9767" s="787">
        <v>0.1</v>
      </c>
      <c r="M9767" s="787">
        <v>10</v>
      </c>
      <c r="N9767" s="787">
        <v>0</v>
      </c>
    </row>
    <row r="9768" spans="1:15" x14ac:dyDescent="0.25">
      <c r="A9768" s="786" t="s">
        <v>17522</v>
      </c>
      <c r="B9768" s="787">
        <v>4</v>
      </c>
      <c r="C9768" s="787" t="s">
        <v>17523</v>
      </c>
      <c r="D9768" s="787">
        <v>0</v>
      </c>
      <c r="E9768" s="787">
        <v>0</v>
      </c>
      <c r="H9768" s="787">
        <v>1</v>
      </c>
      <c r="K9768" s="788">
        <v>41837</v>
      </c>
      <c r="L9768" s="787">
        <v>0.1</v>
      </c>
      <c r="M9768" s="787">
        <v>10</v>
      </c>
      <c r="N9768" s="787">
        <v>0</v>
      </c>
    </row>
    <row r="9769" spans="1:15" x14ac:dyDescent="0.25">
      <c r="A9769" s="786" t="s">
        <v>17524</v>
      </c>
      <c r="B9769" s="787">
        <v>4</v>
      </c>
      <c r="C9769" s="787" t="s">
        <v>17525</v>
      </c>
      <c r="D9769" s="787">
        <v>0</v>
      </c>
      <c r="E9769" s="787">
        <v>0</v>
      </c>
      <c r="H9769" s="787">
        <v>1</v>
      </c>
      <c r="K9769" s="788">
        <v>41837</v>
      </c>
      <c r="L9769" s="787">
        <v>0.1</v>
      </c>
      <c r="M9769" s="787">
        <v>10</v>
      </c>
      <c r="N9769" s="787">
        <v>0</v>
      </c>
    </row>
    <row r="9770" spans="1:15" x14ac:dyDescent="0.25">
      <c r="A9770" s="786" t="s">
        <v>17526</v>
      </c>
      <c r="B9770" s="787">
        <v>4</v>
      </c>
      <c r="C9770" s="787" t="s">
        <v>17527</v>
      </c>
      <c r="D9770" s="787">
        <v>0</v>
      </c>
      <c r="E9770" s="787">
        <v>0</v>
      </c>
      <c r="H9770" s="787">
        <v>1</v>
      </c>
      <c r="K9770" s="788">
        <v>41848</v>
      </c>
      <c r="L9770" s="787">
        <v>0.1</v>
      </c>
      <c r="M9770" s="787">
        <v>10</v>
      </c>
      <c r="N9770" s="787">
        <v>0</v>
      </c>
    </row>
    <row r="9771" spans="1:15" x14ac:dyDescent="0.25">
      <c r="A9771" s="786" t="s">
        <v>17528</v>
      </c>
      <c r="B9771" s="787">
        <v>4</v>
      </c>
      <c r="C9771" s="787" t="s">
        <v>17529</v>
      </c>
      <c r="D9771" s="787">
        <v>0</v>
      </c>
      <c r="E9771" s="787">
        <v>0</v>
      </c>
      <c r="H9771" s="787">
        <v>1</v>
      </c>
      <c r="K9771" s="788">
        <v>41848</v>
      </c>
      <c r="L9771" s="787">
        <v>0.1</v>
      </c>
      <c r="M9771" s="787">
        <v>10</v>
      </c>
      <c r="N9771" s="787">
        <v>0</v>
      </c>
    </row>
    <row r="9772" spans="1:15" x14ac:dyDescent="0.25">
      <c r="A9772" s="786" t="s">
        <v>17530</v>
      </c>
      <c r="B9772" s="787">
        <v>4</v>
      </c>
      <c r="C9772" s="787" t="s">
        <v>17531</v>
      </c>
      <c r="D9772" s="787">
        <v>0</v>
      </c>
      <c r="E9772" s="787">
        <v>0</v>
      </c>
      <c r="H9772" s="787">
        <v>1</v>
      </c>
      <c r="K9772" s="788">
        <v>41848</v>
      </c>
      <c r="L9772" s="787">
        <v>0.1</v>
      </c>
      <c r="M9772" s="787">
        <v>10</v>
      </c>
      <c r="N9772" s="787">
        <v>0</v>
      </c>
    </row>
    <row r="9773" spans="1:15" x14ac:dyDescent="0.25">
      <c r="A9773" s="786" t="s">
        <v>17532</v>
      </c>
      <c r="B9773" s="787">
        <v>4</v>
      </c>
      <c r="C9773" s="787" t="s">
        <v>17533</v>
      </c>
      <c r="D9773" s="787">
        <v>0</v>
      </c>
      <c r="E9773" s="787">
        <v>0</v>
      </c>
      <c r="H9773" s="787">
        <v>1</v>
      </c>
      <c r="K9773" s="788">
        <v>41848</v>
      </c>
      <c r="L9773" s="787">
        <v>0.1</v>
      </c>
      <c r="M9773" s="787">
        <v>10</v>
      </c>
      <c r="N9773" s="787">
        <v>0</v>
      </c>
    </row>
    <row r="9774" spans="1:15" x14ac:dyDescent="0.25">
      <c r="A9774" s="786" t="s">
        <v>17534</v>
      </c>
      <c r="B9774" s="787">
        <v>4</v>
      </c>
      <c r="C9774" s="787" t="s">
        <v>17535</v>
      </c>
      <c r="D9774" s="787">
        <v>0</v>
      </c>
      <c r="E9774" s="787">
        <v>0</v>
      </c>
      <c r="H9774" s="787">
        <v>1</v>
      </c>
      <c r="K9774" s="788">
        <v>41838</v>
      </c>
      <c r="L9774" s="787">
        <v>0.1</v>
      </c>
      <c r="M9774" s="787">
        <v>10</v>
      </c>
      <c r="N9774" s="787">
        <v>0</v>
      </c>
    </row>
    <row r="9775" spans="1:15" x14ac:dyDescent="0.25">
      <c r="A9775" s="786" t="s">
        <v>17536</v>
      </c>
      <c r="B9775" s="787">
        <v>4</v>
      </c>
      <c r="C9775" s="787" t="s">
        <v>17537</v>
      </c>
      <c r="D9775" s="787">
        <v>0</v>
      </c>
      <c r="E9775" s="787">
        <v>0</v>
      </c>
      <c r="H9775" s="787">
        <v>1</v>
      </c>
      <c r="K9775" s="788">
        <v>41848</v>
      </c>
      <c r="L9775" s="787">
        <v>0.1</v>
      </c>
      <c r="M9775" s="787">
        <v>10</v>
      </c>
      <c r="N9775" s="787">
        <v>0</v>
      </c>
    </row>
    <row r="9776" spans="1:15" x14ac:dyDescent="0.25">
      <c r="A9776" s="786" t="s">
        <v>17538</v>
      </c>
      <c r="B9776" s="787">
        <v>4</v>
      </c>
      <c r="C9776" s="787" t="s">
        <v>17539</v>
      </c>
      <c r="D9776" s="787">
        <v>0</v>
      </c>
      <c r="E9776" s="787">
        <v>0</v>
      </c>
      <c r="H9776" s="787">
        <v>1</v>
      </c>
      <c r="K9776" s="788">
        <v>41848</v>
      </c>
      <c r="L9776" s="787">
        <v>0.1</v>
      </c>
      <c r="M9776" s="787">
        <v>10</v>
      </c>
      <c r="N9776" s="787">
        <v>0</v>
      </c>
    </row>
    <row r="9777" spans="1:14" x14ac:dyDescent="0.25">
      <c r="A9777" s="786" t="s">
        <v>17540</v>
      </c>
      <c r="B9777" s="787">
        <v>4</v>
      </c>
      <c r="C9777" s="787" t="s">
        <v>17541</v>
      </c>
      <c r="D9777" s="787">
        <v>0</v>
      </c>
      <c r="E9777" s="787">
        <v>0</v>
      </c>
      <c r="H9777" s="787">
        <v>1</v>
      </c>
      <c r="K9777" s="788">
        <v>41848</v>
      </c>
      <c r="L9777" s="787">
        <v>0.1</v>
      </c>
      <c r="M9777" s="787">
        <v>10</v>
      </c>
      <c r="N9777" s="787">
        <v>0</v>
      </c>
    </row>
    <row r="9778" spans="1:14" x14ac:dyDescent="0.25">
      <c r="A9778" s="786" t="s">
        <v>17542</v>
      </c>
      <c r="B9778" s="787">
        <v>4</v>
      </c>
      <c r="C9778" s="787" t="s">
        <v>17543</v>
      </c>
      <c r="D9778" s="787">
        <v>0</v>
      </c>
      <c r="E9778" s="787">
        <v>0</v>
      </c>
      <c r="H9778" s="787">
        <v>1</v>
      </c>
      <c r="K9778" s="788">
        <v>41848</v>
      </c>
      <c r="L9778" s="787">
        <v>0.1</v>
      </c>
      <c r="M9778" s="787">
        <v>10</v>
      </c>
      <c r="N9778" s="787">
        <v>0</v>
      </c>
    </row>
    <row r="9779" spans="1:14" x14ac:dyDescent="0.25">
      <c r="A9779" s="786" t="s">
        <v>17544</v>
      </c>
      <c r="B9779" s="787">
        <v>4</v>
      </c>
      <c r="C9779" s="787" t="s">
        <v>17545</v>
      </c>
      <c r="D9779" s="787">
        <v>0</v>
      </c>
      <c r="E9779" s="787">
        <v>0</v>
      </c>
      <c r="H9779" s="787">
        <v>1</v>
      </c>
      <c r="K9779" s="788">
        <v>41848</v>
      </c>
      <c r="L9779" s="787">
        <v>0.1</v>
      </c>
      <c r="M9779" s="787">
        <v>10</v>
      </c>
      <c r="N9779" s="787">
        <v>0</v>
      </c>
    </row>
    <row r="9780" spans="1:14" x14ac:dyDescent="0.25">
      <c r="A9780" s="786" t="s">
        <v>17546</v>
      </c>
      <c r="B9780" s="787">
        <v>4</v>
      </c>
      <c r="C9780" s="787" t="s">
        <v>17547</v>
      </c>
      <c r="D9780" s="787">
        <v>0</v>
      </c>
      <c r="E9780" s="787">
        <v>0</v>
      </c>
      <c r="H9780" s="787">
        <v>1</v>
      </c>
      <c r="L9780" s="787">
        <v>0</v>
      </c>
      <c r="M9780" s="787">
        <v>10</v>
      </c>
      <c r="N9780" s="787">
        <v>0</v>
      </c>
    </row>
    <row r="9781" spans="1:14" x14ac:dyDescent="0.25">
      <c r="A9781" s="786" t="s">
        <v>17548</v>
      </c>
      <c r="B9781" s="787">
        <v>4</v>
      </c>
      <c r="C9781" s="787" t="s">
        <v>17549</v>
      </c>
      <c r="D9781" s="787">
        <v>0</v>
      </c>
      <c r="E9781" s="787">
        <v>0</v>
      </c>
      <c r="H9781" s="787">
        <v>1</v>
      </c>
      <c r="L9781" s="787">
        <v>0</v>
      </c>
      <c r="M9781" s="787">
        <v>10</v>
      </c>
      <c r="N9781" s="787">
        <v>0</v>
      </c>
    </row>
    <row r="9782" spans="1:14" x14ac:dyDescent="0.25">
      <c r="A9782" s="786" t="s">
        <v>17550</v>
      </c>
      <c r="B9782" s="787">
        <v>4</v>
      </c>
      <c r="C9782" s="787" t="s">
        <v>11813</v>
      </c>
      <c r="D9782" s="787">
        <v>0</v>
      </c>
      <c r="E9782" s="787">
        <v>0</v>
      </c>
      <c r="H9782" s="787">
        <v>1</v>
      </c>
      <c r="L9782" s="787">
        <v>0</v>
      </c>
      <c r="M9782" s="787">
        <v>10</v>
      </c>
      <c r="N9782" s="787">
        <v>0</v>
      </c>
    </row>
    <row r="9783" spans="1:14" x14ac:dyDescent="0.25">
      <c r="A9783" s="786" t="s">
        <v>17551</v>
      </c>
      <c r="B9783" s="787">
        <v>4</v>
      </c>
      <c r="C9783" s="787" t="s">
        <v>17552</v>
      </c>
      <c r="D9783" s="787">
        <v>0</v>
      </c>
      <c r="E9783" s="787">
        <v>0</v>
      </c>
      <c r="H9783" s="787">
        <v>1</v>
      </c>
      <c r="L9783" s="787">
        <v>0</v>
      </c>
      <c r="M9783" s="787">
        <v>10</v>
      </c>
      <c r="N9783" s="787">
        <v>0</v>
      </c>
    </row>
    <row r="9784" spans="1:14" x14ac:dyDescent="0.25">
      <c r="A9784" s="786" t="s">
        <v>17553</v>
      </c>
      <c r="B9784" s="787">
        <v>4</v>
      </c>
      <c r="C9784" s="787" t="s">
        <v>17554</v>
      </c>
      <c r="D9784" s="787">
        <v>0</v>
      </c>
      <c r="E9784" s="787">
        <v>0</v>
      </c>
      <c r="H9784" s="787">
        <v>1</v>
      </c>
      <c r="L9784" s="787">
        <v>0</v>
      </c>
      <c r="M9784" s="787">
        <v>10</v>
      </c>
      <c r="N9784" s="787">
        <v>0</v>
      </c>
    </row>
    <row r="9785" spans="1:14" x14ac:dyDescent="0.25">
      <c r="A9785" s="786" t="s">
        <v>17555</v>
      </c>
      <c r="B9785" s="787">
        <v>4</v>
      </c>
      <c r="C9785" s="787" t="s">
        <v>17556</v>
      </c>
      <c r="D9785" s="787">
        <v>0</v>
      </c>
      <c r="E9785" s="787">
        <v>0</v>
      </c>
      <c r="H9785" s="787">
        <v>1</v>
      </c>
      <c r="L9785" s="787">
        <v>0</v>
      </c>
      <c r="M9785" s="787">
        <v>10</v>
      </c>
      <c r="N9785" s="787">
        <v>0</v>
      </c>
    </row>
    <row r="9786" spans="1:14" x14ac:dyDescent="0.25">
      <c r="A9786" s="786" t="s">
        <v>17557</v>
      </c>
      <c r="B9786" s="787">
        <v>4</v>
      </c>
      <c r="C9786" s="787" t="s">
        <v>17558</v>
      </c>
      <c r="D9786" s="787">
        <v>0</v>
      </c>
      <c r="E9786" s="787">
        <v>0</v>
      </c>
      <c r="H9786" s="787">
        <v>1</v>
      </c>
      <c r="L9786" s="787">
        <v>0</v>
      </c>
      <c r="M9786" s="787">
        <v>10</v>
      </c>
      <c r="N9786" s="787">
        <v>0</v>
      </c>
    </row>
    <row r="9787" spans="1:14" x14ac:dyDescent="0.25">
      <c r="A9787" s="786" t="s">
        <v>17559</v>
      </c>
      <c r="B9787" s="787">
        <v>4</v>
      </c>
      <c r="C9787" s="787" t="s">
        <v>17560</v>
      </c>
      <c r="D9787" s="787">
        <v>0</v>
      </c>
      <c r="E9787" s="787">
        <v>0</v>
      </c>
      <c r="H9787" s="787">
        <v>1</v>
      </c>
      <c r="L9787" s="787">
        <v>0</v>
      </c>
      <c r="M9787" s="787">
        <v>10</v>
      </c>
      <c r="N9787" s="787">
        <v>0</v>
      </c>
    </row>
    <row r="9788" spans="1:14" x14ac:dyDescent="0.25">
      <c r="A9788" s="786" t="s">
        <v>17561</v>
      </c>
      <c r="B9788" s="787">
        <v>4</v>
      </c>
      <c r="C9788" s="787" t="s">
        <v>17562</v>
      </c>
      <c r="D9788" s="787">
        <v>0</v>
      </c>
      <c r="E9788" s="787">
        <v>0</v>
      </c>
      <c r="H9788" s="787">
        <v>1</v>
      </c>
      <c r="L9788" s="787">
        <v>0</v>
      </c>
      <c r="M9788" s="787">
        <v>10</v>
      </c>
      <c r="N9788" s="787">
        <v>0</v>
      </c>
    </row>
    <row r="9789" spans="1:14" x14ac:dyDescent="0.25">
      <c r="A9789" s="786" t="s">
        <v>17563</v>
      </c>
      <c r="B9789" s="787">
        <v>4</v>
      </c>
      <c r="C9789" s="787" t="s">
        <v>17564</v>
      </c>
      <c r="D9789" s="787">
        <v>0</v>
      </c>
      <c r="E9789" s="787">
        <v>0</v>
      </c>
      <c r="H9789" s="787">
        <v>1</v>
      </c>
      <c r="L9789" s="787">
        <v>0</v>
      </c>
      <c r="M9789" s="787">
        <v>10</v>
      </c>
      <c r="N9789" s="787">
        <v>0</v>
      </c>
    </row>
    <row r="9790" spans="1:14" x14ac:dyDescent="0.25">
      <c r="A9790" s="786" t="s">
        <v>17565</v>
      </c>
      <c r="B9790" s="787">
        <v>4</v>
      </c>
      <c r="C9790" s="787" t="s">
        <v>17566</v>
      </c>
      <c r="D9790" s="787">
        <v>0</v>
      </c>
      <c r="E9790" s="787">
        <v>0</v>
      </c>
      <c r="H9790" s="787">
        <v>1</v>
      </c>
      <c r="L9790" s="787">
        <v>0</v>
      </c>
      <c r="M9790" s="787">
        <v>10</v>
      </c>
      <c r="N9790" s="787">
        <v>0</v>
      </c>
    </row>
    <row r="9791" spans="1:14" x14ac:dyDescent="0.25">
      <c r="A9791" s="786" t="s">
        <v>17567</v>
      </c>
      <c r="B9791" s="787">
        <v>4</v>
      </c>
      <c r="C9791" s="787" t="s">
        <v>17568</v>
      </c>
      <c r="D9791" s="787">
        <v>0</v>
      </c>
      <c r="E9791" s="787">
        <v>0</v>
      </c>
      <c r="H9791" s="787">
        <v>1</v>
      </c>
      <c r="L9791" s="787">
        <v>0</v>
      </c>
      <c r="M9791" s="787">
        <v>10</v>
      </c>
      <c r="N9791" s="787">
        <v>0</v>
      </c>
    </row>
    <row r="9792" spans="1:14" x14ac:dyDescent="0.25">
      <c r="A9792" s="786" t="s">
        <v>17569</v>
      </c>
      <c r="B9792" s="787">
        <v>4</v>
      </c>
      <c r="C9792" s="787" t="s">
        <v>17570</v>
      </c>
      <c r="D9792" s="787">
        <v>0</v>
      </c>
      <c r="E9792" s="787">
        <v>0</v>
      </c>
      <c r="H9792" s="787">
        <v>1</v>
      </c>
      <c r="L9792" s="787">
        <v>0</v>
      </c>
      <c r="M9792" s="787">
        <v>10</v>
      </c>
      <c r="N9792" s="787">
        <v>0</v>
      </c>
    </row>
    <row r="9793" spans="1:15" x14ac:dyDescent="0.25">
      <c r="A9793" s="786" t="s">
        <v>17571</v>
      </c>
      <c r="B9793" s="787">
        <v>4</v>
      </c>
      <c r="C9793" s="787" t="s">
        <v>17572</v>
      </c>
      <c r="D9793" s="787">
        <v>0</v>
      </c>
      <c r="E9793" s="787">
        <v>0</v>
      </c>
      <c r="H9793" s="787">
        <v>1</v>
      </c>
      <c r="L9793" s="787">
        <v>0</v>
      </c>
      <c r="M9793" s="787">
        <v>10</v>
      </c>
      <c r="N9793" s="787">
        <v>0</v>
      </c>
    </row>
    <row r="9794" spans="1:15" x14ac:dyDescent="0.25">
      <c r="A9794" s="786" t="s">
        <v>17573</v>
      </c>
      <c r="B9794" s="787">
        <v>4</v>
      </c>
      <c r="C9794" s="787" t="s">
        <v>17574</v>
      </c>
      <c r="D9794" s="787">
        <v>0</v>
      </c>
      <c r="E9794" s="787">
        <v>0</v>
      </c>
      <c r="H9794" s="787">
        <v>1</v>
      </c>
      <c r="L9794" s="787">
        <v>0</v>
      </c>
      <c r="M9794" s="787">
        <v>10</v>
      </c>
      <c r="N9794" s="787">
        <v>0</v>
      </c>
    </row>
    <row r="9795" spans="1:15" x14ac:dyDescent="0.25">
      <c r="A9795" s="786" t="s">
        <v>17575</v>
      </c>
      <c r="B9795" s="787">
        <v>4</v>
      </c>
      <c r="C9795" s="787" t="s">
        <v>17576</v>
      </c>
      <c r="D9795" s="787">
        <v>0</v>
      </c>
      <c r="E9795" s="787">
        <v>0</v>
      </c>
      <c r="H9795" s="787">
        <v>1</v>
      </c>
      <c r="L9795" s="787">
        <v>0</v>
      </c>
      <c r="M9795" s="787">
        <v>10</v>
      </c>
      <c r="N9795" s="787">
        <v>0</v>
      </c>
    </row>
    <row r="9796" spans="1:15" x14ac:dyDescent="0.25">
      <c r="A9796" s="786" t="s">
        <v>17577</v>
      </c>
      <c r="B9796" s="787">
        <v>4</v>
      </c>
      <c r="C9796" s="787" t="s">
        <v>17578</v>
      </c>
      <c r="D9796" s="787">
        <v>0</v>
      </c>
      <c r="E9796" s="787">
        <v>0</v>
      </c>
      <c r="H9796" s="787">
        <v>1</v>
      </c>
      <c r="L9796" s="787">
        <v>0</v>
      </c>
      <c r="M9796" s="787">
        <v>10</v>
      </c>
      <c r="N9796" s="787">
        <v>0</v>
      </c>
    </row>
    <row r="9797" spans="1:15" x14ac:dyDescent="0.25">
      <c r="A9797" s="786" t="s">
        <v>17579</v>
      </c>
      <c r="B9797" s="787">
        <v>4</v>
      </c>
      <c r="C9797" s="787" t="s">
        <v>17580</v>
      </c>
      <c r="D9797" s="787">
        <v>0</v>
      </c>
      <c r="E9797" s="787">
        <v>0</v>
      </c>
      <c r="H9797" s="787">
        <v>1</v>
      </c>
      <c r="L9797" s="787">
        <v>0</v>
      </c>
      <c r="M9797" s="787">
        <v>10</v>
      </c>
      <c r="N9797" s="787">
        <v>0</v>
      </c>
    </row>
    <row r="9798" spans="1:15" x14ac:dyDescent="0.25">
      <c r="A9798" s="786" t="s">
        <v>17581</v>
      </c>
      <c r="B9798" s="787">
        <v>4</v>
      </c>
      <c r="C9798" s="787" t="s">
        <v>17582</v>
      </c>
      <c r="D9798" s="787">
        <v>2.25</v>
      </c>
      <c r="E9798" s="787">
        <v>2.25</v>
      </c>
      <c r="F9798" s="788">
        <v>41971</v>
      </c>
      <c r="G9798" s="788">
        <v>41971</v>
      </c>
      <c r="H9798" s="787">
        <v>1</v>
      </c>
      <c r="I9798" s="788">
        <v>41957</v>
      </c>
      <c r="J9798" s="788">
        <v>41953</v>
      </c>
      <c r="K9798" s="788">
        <v>41877</v>
      </c>
      <c r="L9798" s="787">
        <v>4.8899999999999997</v>
      </c>
      <c r="M9798" s="787">
        <v>10</v>
      </c>
      <c r="N9798" s="787">
        <v>4.96</v>
      </c>
      <c r="O9798" s="788">
        <v>42023</v>
      </c>
    </row>
    <row r="9799" spans="1:15" x14ac:dyDescent="0.25">
      <c r="A9799" s="786" t="s">
        <v>17583</v>
      </c>
      <c r="B9799" s="787">
        <v>4</v>
      </c>
      <c r="C9799" s="787" t="s">
        <v>17584</v>
      </c>
      <c r="D9799" s="787">
        <v>3.63</v>
      </c>
      <c r="E9799" s="787">
        <v>3.63</v>
      </c>
      <c r="F9799" s="788">
        <v>41971</v>
      </c>
      <c r="G9799" s="788">
        <v>41971</v>
      </c>
      <c r="H9799" s="787">
        <v>1</v>
      </c>
      <c r="I9799" s="788">
        <v>41957</v>
      </c>
      <c r="J9799" s="788">
        <v>41953</v>
      </c>
      <c r="K9799" s="788">
        <v>41877</v>
      </c>
      <c r="L9799" s="787">
        <v>8.4499999999999993</v>
      </c>
      <c r="M9799" s="787">
        <v>10</v>
      </c>
      <c r="N9799" s="787">
        <v>8.39</v>
      </c>
      <c r="O9799" s="788">
        <v>42023</v>
      </c>
    </row>
    <row r="9800" spans="1:15" x14ac:dyDescent="0.25">
      <c r="A9800" s="786" t="s">
        <v>17585</v>
      </c>
      <c r="B9800" s="787">
        <v>4</v>
      </c>
      <c r="C9800" s="787" t="s">
        <v>17586</v>
      </c>
      <c r="D9800" s="787">
        <v>3.33</v>
      </c>
      <c r="E9800" s="787">
        <v>13.33</v>
      </c>
      <c r="F9800" s="788">
        <v>41970</v>
      </c>
      <c r="G9800" s="788">
        <v>41977</v>
      </c>
      <c r="H9800" s="787">
        <v>1</v>
      </c>
      <c r="J9800" s="788">
        <v>41957</v>
      </c>
      <c r="K9800" s="788">
        <v>41877</v>
      </c>
      <c r="L9800" s="787">
        <v>14.81</v>
      </c>
      <c r="M9800" s="787">
        <v>10</v>
      </c>
      <c r="N9800" s="787">
        <v>14.82</v>
      </c>
      <c r="O9800" s="788">
        <v>42023</v>
      </c>
    </row>
    <row r="9801" spans="1:15" x14ac:dyDescent="0.25">
      <c r="A9801" s="786" t="s">
        <v>17587</v>
      </c>
      <c r="B9801" s="787">
        <v>4</v>
      </c>
      <c r="C9801" s="787" t="s">
        <v>17113</v>
      </c>
      <c r="D9801" s="787">
        <v>0</v>
      </c>
      <c r="E9801" s="787">
        <v>0</v>
      </c>
      <c r="H9801" s="787">
        <v>6</v>
      </c>
      <c r="K9801" s="788">
        <v>41859</v>
      </c>
      <c r="L9801" s="787">
        <v>0.01</v>
      </c>
      <c r="M9801" s="787">
        <v>10</v>
      </c>
      <c r="N9801" s="787">
        <v>0</v>
      </c>
    </row>
    <row r="9802" spans="1:15" x14ac:dyDescent="0.25">
      <c r="A9802" s="786" t="s">
        <v>17588</v>
      </c>
      <c r="B9802" s="787">
        <v>4</v>
      </c>
      <c r="C9802" s="787" t="s">
        <v>17589</v>
      </c>
      <c r="D9802" s="787">
        <v>0</v>
      </c>
      <c r="E9802" s="787">
        <v>0</v>
      </c>
      <c r="H9802" s="787">
        <v>1</v>
      </c>
      <c r="L9802" s="787">
        <v>0</v>
      </c>
      <c r="M9802" s="787">
        <v>10</v>
      </c>
      <c r="N9802" s="787">
        <v>0</v>
      </c>
    </row>
    <row r="9803" spans="1:15" x14ac:dyDescent="0.25">
      <c r="A9803" s="786" t="s">
        <v>17590</v>
      </c>
      <c r="B9803" s="787">
        <v>4</v>
      </c>
      <c r="C9803" s="787" t="s">
        <v>17591</v>
      </c>
      <c r="D9803" s="787">
        <v>7.2</v>
      </c>
      <c r="E9803" s="787">
        <v>87.2</v>
      </c>
      <c r="F9803" s="788">
        <v>41873</v>
      </c>
      <c r="G9803" s="788">
        <v>41871</v>
      </c>
      <c r="H9803" s="787">
        <v>1</v>
      </c>
      <c r="I9803" s="788">
        <v>41886</v>
      </c>
      <c r="J9803" s="788">
        <v>41871</v>
      </c>
      <c r="K9803" s="788">
        <v>41863</v>
      </c>
      <c r="L9803" s="787">
        <v>87.2</v>
      </c>
      <c r="M9803" s="787">
        <v>20</v>
      </c>
      <c r="N9803" s="787">
        <v>93.74</v>
      </c>
      <c r="O9803" s="788">
        <v>41870</v>
      </c>
    </row>
    <row r="9804" spans="1:15" x14ac:dyDescent="0.25">
      <c r="A9804" s="786" t="s">
        <v>17592</v>
      </c>
      <c r="B9804" s="787">
        <v>4</v>
      </c>
      <c r="C9804" s="787" t="s">
        <v>17593</v>
      </c>
      <c r="D9804" s="787">
        <v>0</v>
      </c>
      <c r="E9804" s="787">
        <v>0</v>
      </c>
      <c r="H9804" s="787">
        <v>1</v>
      </c>
      <c r="I9804" s="788">
        <v>41894</v>
      </c>
      <c r="K9804" s="788">
        <v>41862</v>
      </c>
      <c r="L9804" s="787">
        <v>2</v>
      </c>
      <c r="M9804" s="787">
        <v>10</v>
      </c>
      <c r="N9804" s="787">
        <v>0</v>
      </c>
    </row>
    <row r="9805" spans="1:15" x14ac:dyDescent="0.25">
      <c r="A9805" s="786" t="s">
        <v>17594</v>
      </c>
      <c r="B9805" s="787">
        <v>4</v>
      </c>
      <c r="C9805" s="787" t="s">
        <v>17595</v>
      </c>
      <c r="D9805" s="787">
        <v>1.9</v>
      </c>
      <c r="E9805" s="787">
        <v>11.9</v>
      </c>
      <c r="F9805" s="788">
        <v>41890</v>
      </c>
      <c r="G9805" s="788">
        <v>41897</v>
      </c>
      <c r="H9805" s="787">
        <v>1</v>
      </c>
      <c r="I9805" s="788">
        <v>41894</v>
      </c>
      <c r="J9805" s="788">
        <v>41873</v>
      </c>
      <c r="K9805" s="788">
        <v>41872</v>
      </c>
      <c r="L9805" s="787">
        <v>9.52</v>
      </c>
      <c r="M9805" s="787">
        <v>20</v>
      </c>
      <c r="N9805" s="787">
        <v>5.38</v>
      </c>
      <c r="O9805" s="788">
        <v>41862</v>
      </c>
    </row>
    <row r="9806" spans="1:15" x14ac:dyDescent="0.25">
      <c r="A9806" s="786" t="s">
        <v>17596</v>
      </c>
      <c r="B9806" s="787">
        <v>4</v>
      </c>
      <c r="C9806" s="787" t="s">
        <v>17597</v>
      </c>
      <c r="D9806" s="787">
        <v>0.13</v>
      </c>
      <c r="E9806" s="787">
        <v>10.130000000000001</v>
      </c>
      <c r="F9806" s="788">
        <v>41890</v>
      </c>
      <c r="G9806" s="788">
        <v>41897</v>
      </c>
      <c r="H9806" s="787">
        <v>1</v>
      </c>
      <c r="I9806" s="788">
        <v>41894</v>
      </c>
      <c r="J9806" s="788">
        <v>41873</v>
      </c>
      <c r="K9806" s="788">
        <v>41872</v>
      </c>
      <c r="L9806" s="787">
        <v>8.1</v>
      </c>
      <c r="M9806" s="787">
        <v>20</v>
      </c>
      <c r="N9806" s="787">
        <v>5.38</v>
      </c>
      <c r="O9806" s="788">
        <v>41862</v>
      </c>
    </row>
    <row r="9807" spans="1:15" x14ac:dyDescent="0.25">
      <c r="A9807" s="786" t="s">
        <v>17598</v>
      </c>
      <c r="B9807" s="787">
        <v>4</v>
      </c>
      <c r="C9807" s="787" t="s">
        <v>17599</v>
      </c>
      <c r="D9807" s="787">
        <v>8.9600000000000009</v>
      </c>
      <c r="E9807" s="787">
        <v>28.96</v>
      </c>
      <c r="F9807" s="788">
        <v>41907</v>
      </c>
      <c r="G9807" s="788">
        <v>41907</v>
      </c>
      <c r="H9807" s="787">
        <v>1</v>
      </c>
      <c r="I9807" s="788">
        <v>41894</v>
      </c>
      <c r="J9807" s="788">
        <v>41880</v>
      </c>
      <c r="K9807" s="788">
        <v>41871</v>
      </c>
      <c r="L9807" s="787">
        <v>19</v>
      </c>
      <c r="M9807" s="787">
        <v>10</v>
      </c>
      <c r="N9807" s="787">
        <v>37.25</v>
      </c>
      <c r="O9807" s="788">
        <v>41871</v>
      </c>
    </row>
    <row r="9808" spans="1:15" x14ac:dyDescent="0.25">
      <c r="A9808" s="786" t="s">
        <v>17600</v>
      </c>
      <c r="B9808" s="787">
        <v>4</v>
      </c>
      <c r="C9808" s="787" t="s">
        <v>17601</v>
      </c>
      <c r="D9808" s="787">
        <v>7.37</v>
      </c>
      <c r="E9808" s="787">
        <v>27.37</v>
      </c>
      <c r="F9808" s="788">
        <v>41907</v>
      </c>
      <c r="G9808" s="788">
        <v>41907</v>
      </c>
      <c r="H9808" s="787">
        <v>1</v>
      </c>
      <c r="I9808" s="788">
        <v>41894</v>
      </c>
      <c r="J9808" s="788">
        <v>41880</v>
      </c>
      <c r="K9808" s="788">
        <v>41871</v>
      </c>
      <c r="L9808" s="787">
        <v>19</v>
      </c>
      <c r="M9808" s="787">
        <v>10</v>
      </c>
      <c r="N9808" s="787">
        <v>37.25</v>
      </c>
      <c r="O9808" s="788">
        <v>41871</v>
      </c>
    </row>
    <row r="9809" spans="1:15" x14ac:dyDescent="0.25">
      <c r="A9809" s="786" t="s">
        <v>17602</v>
      </c>
      <c r="B9809" s="787">
        <v>4</v>
      </c>
      <c r="C9809" s="787" t="s">
        <v>17603</v>
      </c>
      <c r="D9809" s="787">
        <v>1.96</v>
      </c>
      <c r="E9809" s="787">
        <v>41.96</v>
      </c>
      <c r="F9809" s="788">
        <v>41907</v>
      </c>
      <c r="G9809" s="788">
        <v>41907</v>
      </c>
      <c r="H9809" s="787">
        <v>1</v>
      </c>
      <c r="I9809" s="788">
        <v>41894</v>
      </c>
      <c r="J9809" s="788">
        <v>41880</v>
      </c>
      <c r="K9809" s="788">
        <v>41862</v>
      </c>
      <c r="L9809" s="787">
        <v>15</v>
      </c>
      <c r="M9809" s="787">
        <v>10</v>
      </c>
      <c r="N9809" s="787">
        <v>45.25</v>
      </c>
      <c r="O9809" s="788">
        <v>41870</v>
      </c>
    </row>
    <row r="9810" spans="1:15" x14ac:dyDescent="0.25">
      <c r="A9810" s="786" t="s">
        <v>17604</v>
      </c>
      <c r="B9810" s="787">
        <v>4</v>
      </c>
      <c r="C9810" s="787" t="s">
        <v>17605</v>
      </c>
      <c r="D9810" s="787">
        <v>6.37</v>
      </c>
      <c r="E9810" s="787">
        <v>6.37</v>
      </c>
      <c r="F9810" s="788">
        <v>41912</v>
      </c>
      <c r="G9810" s="788">
        <v>41912</v>
      </c>
      <c r="H9810" s="787">
        <v>1</v>
      </c>
      <c r="I9810" s="788">
        <v>41894</v>
      </c>
      <c r="J9810" s="788">
        <v>41892</v>
      </c>
      <c r="K9810" s="788">
        <v>41862</v>
      </c>
      <c r="L9810" s="787">
        <v>2.5</v>
      </c>
      <c r="M9810" s="787">
        <v>10</v>
      </c>
      <c r="N9810" s="787">
        <v>10.78</v>
      </c>
      <c r="O9810" s="788">
        <v>41871</v>
      </c>
    </row>
    <row r="9811" spans="1:15" x14ac:dyDescent="0.25">
      <c r="A9811" s="786" t="s">
        <v>17606</v>
      </c>
      <c r="B9811" s="787">
        <v>4</v>
      </c>
      <c r="C9811" s="787" t="s">
        <v>17607</v>
      </c>
      <c r="D9811" s="787">
        <v>0</v>
      </c>
      <c r="E9811" s="787">
        <v>0</v>
      </c>
      <c r="H9811" s="787">
        <v>1</v>
      </c>
      <c r="I9811" s="788">
        <v>41894</v>
      </c>
      <c r="K9811" s="788">
        <v>41862</v>
      </c>
      <c r="L9811" s="787">
        <v>10</v>
      </c>
      <c r="M9811" s="787">
        <v>10</v>
      </c>
      <c r="N9811" s="787">
        <v>0</v>
      </c>
    </row>
    <row r="9812" spans="1:15" x14ac:dyDescent="0.25">
      <c r="A9812" s="786" t="s">
        <v>17608</v>
      </c>
      <c r="B9812" s="787">
        <v>4</v>
      </c>
      <c r="C9812" s="787" t="s">
        <v>17609</v>
      </c>
      <c r="D9812" s="787">
        <v>0</v>
      </c>
      <c r="E9812" s="787">
        <v>0</v>
      </c>
      <c r="H9812" s="787">
        <v>1</v>
      </c>
      <c r="I9812" s="788">
        <v>41894</v>
      </c>
      <c r="K9812" s="788">
        <v>41862</v>
      </c>
      <c r="L9812" s="787">
        <v>2</v>
      </c>
      <c r="M9812" s="787">
        <v>10</v>
      </c>
      <c r="N9812" s="787">
        <v>0</v>
      </c>
    </row>
    <row r="9813" spans="1:15" x14ac:dyDescent="0.25">
      <c r="A9813" s="786" t="s">
        <v>17610</v>
      </c>
      <c r="B9813" s="787">
        <v>4</v>
      </c>
      <c r="C9813" s="787" t="s">
        <v>17611</v>
      </c>
      <c r="D9813" s="787">
        <v>0</v>
      </c>
      <c r="E9813" s="787">
        <v>0</v>
      </c>
      <c r="H9813" s="787">
        <v>1</v>
      </c>
      <c r="I9813" s="788">
        <v>41894</v>
      </c>
      <c r="K9813" s="788">
        <v>41862</v>
      </c>
      <c r="L9813" s="787">
        <v>10</v>
      </c>
      <c r="M9813" s="787">
        <v>10</v>
      </c>
      <c r="N9813" s="787">
        <v>0</v>
      </c>
    </row>
    <row r="9814" spans="1:15" x14ac:dyDescent="0.25">
      <c r="A9814" s="786" t="s">
        <v>17612</v>
      </c>
      <c r="B9814" s="787">
        <v>4</v>
      </c>
      <c r="C9814" s="787" t="s">
        <v>9502</v>
      </c>
      <c r="D9814" s="787">
        <v>0</v>
      </c>
      <c r="E9814" s="787">
        <v>0</v>
      </c>
      <c r="H9814" s="787">
        <v>1</v>
      </c>
      <c r="I9814" s="788">
        <v>41894</v>
      </c>
      <c r="K9814" s="788">
        <v>41862</v>
      </c>
      <c r="L9814" s="787">
        <v>1.5</v>
      </c>
      <c r="M9814" s="787">
        <v>10</v>
      </c>
      <c r="N9814" s="787">
        <v>0</v>
      </c>
    </row>
    <row r="9815" spans="1:15" x14ac:dyDescent="0.25">
      <c r="A9815" s="786" t="s">
        <v>17613</v>
      </c>
      <c r="B9815" s="787">
        <v>4</v>
      </c>
      <c r="C9815" s="787" t="s">
        <v>17614</v>
      </c>
      <c r="D9815" s="787">
        <v>5.04</v>
      </c>
      <c r="E9815" s="787">
        <v>15.04</v>
      </c>
      <c r="F9815" s="788">
        <v>41907</v>
      </c>
      <c r="G9815" s="788">
        <v>41907</v>
      </c>
      <c r="H9815" s="787">
        <v>1</v>
      </c>
      <c r="I9815" s="788">
        <v>41880</v>
      </c>
      <c r="J9815" s="788">
        <v>41880</v>
      </c>
      <c r="K9815" s="788">
        <v>41862</v>
      </c>
      <c r="L9815" s="787">
        <v>5</v>
      </c>
      <c r="M9815" s="787">
        <v>10</v>
      </c>
      <c r="N9815" s="787">
        <v>18.97</v>
      </c>
      <c r="O9815" s="788">
        <v>41870</v>
      </c>
    </row>
    <row r="9816" spans="1:15" x14ac:dyDescent="0.25">
      <c r="A9816" s="786" t="s">
        <v>17615</v>
      </c>
      <c r="B9816" s="787">
        <v>4</v>
      </c>
      <c r="C9816" s="787" t="s">
        <v>17616</v>
      </c>
      <c r="D9816" s="787">
        <v>0.73</v>
      </c>
      <c r="E9816" s="787">
        <v>20.73</v>
      </c>
      <c r="F9816" s="788">
        <v>41907</v>
      </c>
      <c r="G9816" s="788">
        <v>41907</v>
      </c>
      <c r="H9816" s="787">
        <v>1</v>
      </c>
      <c r="I9816" s="788">
        <v>41880</v>
      </c>
      <c r="J9816" s="788">
        <v>41880</v>
      </c>
      <c r="K9816" s="788">
        <v>41862</v>
      </c>
      <c r="L9816" s="787">
        <v>5</v>
      </c>
      <c r="M9816" s="787">
        <v>10</v>
      </c>
      <c r="N9816" s="787">
        <v>18.97</v>
      </c>
      <c r="O9816" s="788">
        <v>41870</v>
      </c>
    </row>
    <row r="9817" spans="1:15" x14ac:dyDescent="0.25">
      <c r="A9817" s="786" t="s">
        <v>17617</v>
      </c>
      <c r="B9817" s="787">
        <v>4</v>
      </c>
      <c r="C9817" s="787" t="s">
        <v>17618</v>
      </c>
      <c r="D9817" s="787">
        <v>7.42</v>
      </c>
      <c r="E9817" s="787">
        <v>7.42</v>
      </c>
      <c r="F9817" s="788">
        <v>41890</v>
      </c>
      <c r="G9817" s="788">
        <v>41897</v>
      </c>
      <c r="H9817" s="787">
        <v>1</v>
      </c>
      <c r="I9817" s="788">
        <v>41886</v>
      </c>
      <c r="J9817" s="788">
        <v>41873</v>
      </c>
      <c r="K9817" s="788">
        <v>41872</v>
      </c>
      <c r="L9817" s="787">
        <v>5.94</v>
      </c>
      <c r="M9817" s="787">
        <v>20</v>
      </c>
      <c r="N9817" s="787">
        <v>3.23</v>
      </c>
      <c r="O9817" s="788">
        <v>41870</v>
      </c>
    </row>
    <row r="9818" spans="1:15" x14ac:dyDescent="0.25">
      <c r="A9818" s="786" t="s">
        <v>17619</v>
      </c>
      <c r="B9818" s="787">
        <v>4</v>
      </c>
      <c r="C9818" s="787" t="s">
        <v>17620</v>
      </c>
      <c r="D9818" s="787">
        <v>9.6199999999999992</v>
      </c>
      <c r="E9818" s="787">
        <v>139.62</v>
      </c>
      <c r="F9818" s="788">
        <v>41913</v>
      </c>
      <c r="G9818" s="788">
        <v>41913</v>
      </c>
      <c r="H9818" s="787">
        <v>1</v>
      </c>
      <c r="I9818" s="788">
        <v>41894</v>
      </c>
      <c r="J9818" s="788">
        <v>41887</v>
      </c>
      <c r="K9818" s="788">
        <v>41870</v>
      </c>
      <c r="L9818" s="787">
        <v>140</v>
      </c>
      <c r="M9818" s="787">
        <v>10</v>
      </c>
      <c r="N9818" s="787">
        <v>122.18</v>
      </c>
      <c r="O9818" s="788">
        <v>41870</v>
      </c>
    </row>
    <row r="9819" spans="1:15" x14ac:dyDescent="0.25">
      <c r="A9819" s="786" t="s">
        <v>17621</v>
      </c>
      <c r="B9819" s="787">
        <v>4</v>
      </c>
      <c r="C9819" s="787" t="s">
        <v>17622</v>
      </c>
      <c r="D9819" s="787">
        <v>3.5</v>
      </c>
      <c r="E9819" s="787">
        <v>93.5</v>
      </c>
      <c r="F9819" s="788">
        <v>41873</v>
      </c>
      <c r="G9819" s="788">
        <v>41871</v>
      </c>
      <c r="H9819" s="787">
        <v>1</v>
      </c>
      <c r="I9819" s="788">
        <v>41932</v>
      </c>
      <c r="J9819" s="788">
        <v>41871</v>
      </c>
      <c r="K9819" s="788">
        <v>41863</v>
      </c>
      <c r="L9819" s="787">
        <v>93.5</v>
      </c>
      <c r="M9819" s="787">
        <v>20</v>
      </c>
      <c r="N9819" s="787">
        <v>100.51</v>
      </c>
      <c r="O9819" s="788">
        <v>41870</v>
      </c>
    </row>
    <row r="9820" spans="1:15" x14ac:dyDescent="0.25">
      <c r="A9820" s="786" t="s">
        <v>17623</v>
      </c>
      <c r="B9820" s="787">
        <v>4</v>
      </c>
      <c r="C9820" s="787" t="s">
        <v>17624</v>
      </c>
      <c r="D9820" s="787">
        <v>5.1100000000000003</v>
      </c>
      <c r="E9820" s="787">
        <v>135.11000000000001</v>
      </c>
      <c r="F9820" s="788">
        <v>41933</v>
      </c>
      <c r="G9820" s="788">
        <v>41933</v>
      </c>
      <c r="H9820" s="787">
        <v>1</v>
      </c>
      <c r="I9820" s="788">
        <v>41894</v>
      </c>
      <c r="J9820" s="788">
        <v>41887</v>
      </c>
      <c r="K9820" s="788">
        <v>41870</v>
      </c>
      <c r="L9820" s="787">
        <v>150</v>
      </c>
      <c r="M9820" s="787">
        <v>10</v>
      </c>
      <c r="N9820" s="787">
        <v>132.5</v>
      </c>
      <c r="O9820" s="788">
        <v>41870</v>
      </c>
    </row>
    <row r="9821" spans="1:15" x14ac:dyDescent="0.25">
      <c r="A9821" s="786" t="s">
        <v>17625</v>
      </c>
      <c r="B9821" s="787">
        <v>4</v>
      </c>
      <c r="C9821" s="787" t="s">
        <v>17626</v>
      </c>
      <c r="D9821" s="787">
        <v>9.42</v>
      </c>
      <c r="E9821" s="787">
        <v>9.42</v>
      </c>
      <c r="F9821" s="788">
        <v>41890</v>
      </c>
      <c r="G9821" s="788">
        <v>41897</v>
      </c>
      <c r="H9821" s="787">
        <v>1</v>
      </c>
      <c r="I9821" s="788">
        <v>41884</v>
      </c>
      <c r="J9821" s="788">
        <v>41873</v>
      </c>
      <c r="K9821" s="788">
        <v>41872</v>
      </c>
      <c r="L9821" s="787">
        <v>7.54</v>
      </c>
      <c r="M9821" s="787">
        <v>20</v>
      </c>
      <c r="N9821" s="787">
        <v>8.11</v>
      </c>
      <c r="O9821" s="788">
        <v>41955</v>
      </c>
    </row>
    <row r="9822" spans="1:15" x14ac:dyDescent="0.25">
      <c r="A9822" s="786" t="s">
        <v>17627</v>
      </c>
      <c r="B9822" s="787">
        <v>4</v>
      </c>
      <c r="C9822" s="787" t="s">
        <v>17628</v>
      </c>
      <c r="D9822" s="787">
        <v>9.0399999999999991</v>
      </c>
      <c r="E9822" s="787">
        <v>19.04</v>
      </c>
      <c r="F9822" s="788">
        <v>41922</v>
      </c>
      <c r="G9822" s="788">
        <v>41922</v>
      </c>
      <c r="H9822" s="787">
        <v>1</v>
      </c>
      <c r="I9822" s="788">
        <v>41894</v>
      </c>
      <c r="J9822" s="788">
        <v>41901</v>
      </c>
      <c r="K9822" s="788">
        <v>41862</v>
      </c>
      <c r="L9822" s="787">
        <v>3.5</v>
      </c>
      <c r="M9822" s="787">
        <v>10</v>
      </c>
      <c r="N9822" s="787">
        <v>10.78</v>
      </c>
      <c r="O9822" s="788">
        <v>41871</v>
      </c>
    </row>
    <row r="9823" spans="1:15" x14ac:dyDescent="0.25">
      <c r="A9823" s="786" t="s">
        <v>17629</v>
      </c>
      <c r="B9823" s="787">
        <v>4</v>
      </c>
      <c r="C9823" s="787" t="s">
        <v>17630</v>
      </c>
      <c r="D9823" s="787">
        <v>1.59</v>
      </c>
      <c r="E9823" s="787">
        <v>51.18</v>
      </c>
      <c r="F9823" s="788">
        <v>41907</v>
      </c>
      <c r="G9823" s="788">
        <v>41913</v>
      </c>
      <c r="H9823" s="787">
        <v>1</v>
      </c>
      <c r="I9823" s="788">
        <v>41884</v>
      </c>
      <c r="J9823" s="788">
        <v>41883</v>
      </c>
      <c r="K9823" s="788">
        <v>41862</v>
      </c>
      <c r="L9823" s="787">
        <v>15</v>
      </c>
      <c r="M9823" s="787">
        <v>10</v>
      </c>
      <c r="N9823" s="787">
        <v>36.43</v>
      </c>
      <c r="O9823" s="788">
        <v>41955</v>
      </c>
    </row>
    <row r="9824" spans="1:15" x14ac:dyDescent="0.25">
      <c r="A9824" s="786" t="s">
        <v>17631</v>
      </c>
      <c r="B9824" s="787">
        <v>4</v>
      </c>
      <c r="C9824" s="787" t="s">
        <v>17632</v>
      </c>
      <c r="D9824" s="787">
        <v>7.85</v>
      </c>
      <c r="E9824" s="787">
        <v>76.040000000000006</v>
      </c>
      <c r="F9824" s="788">
        <v>41907</v>
      </c>
      <c r="G9824" s="788">
        <v>41913</v>
      </c>
      <c r="H9824" s="787">
        <v>1</v>
      </c>
      <c r="I9824" s="788">
        <v>41884</v>
      </c>
      <c r="J9824" s="788">
        <v>41883</v>
      </c>
      <c r="L9824" s="787">
        <v>0</v>
      </c>
      <c r="M9824" s="787">
        <v>10</v>
      </c>
      <c r="N9824" s="787">
        <v>45.82</v>
      </c>
      <c r="O9824" s="788">
        <v>41955</v>
      </c>
    </row>
    <row r="9825" spans="1:15" x14ac:dyDescent="0.25">
      <c r="A9825" s="786" t="s">
        <v>17633</v>
      </c>
      <c r="B9825" s="787">
        <v>4</v>
      </c>
      <c r="C9825" s="787" t="s">
        <v>17634</v>
      </c>
      <c r="D9825" s="787">
        <v>3.04</v>
      </c>
      <c r="E9825" s="787">
        <v>113.04</v>
      </c>
      <c r="F9825" s="788">
        <v>41913</v>
      </c>
      <c r="G9825" s="788">
        <v>41913</v>
      </c>
      <c r="H9825" s="787">
        <v>1</v>
      </c>
      <c r="I9825" s="788">
        <v>41894</v>
      </c>
      <c r="J9825" s="788">
        <v>41884</v>
      </c>
      <c r="K9825" s="788">
        <v>41862</v>
      </c>
      <c r="L9825" s="787">
        <v>30</v>
      </c>
      <c r="M9825" s="787">
        <v>10</v>
      </c>
      <c r="N9825" s="787">
        <v>115.7</v>
      </c>
      <c r="O9825" s="788">
        <v>41955</v>
      </c>
    </row>
    <row r="9826" spans="1:15" x14ac:dyDescent="0.25">
      <c r="A9826" s="786" t="s">
        <v>17635</v>
      </c>
      <c r="B9826" s="787">
        <v>4</v>
      </c>
      <c r="C9826" s="787" t="s">
        <v>17636</v>
      </c>
      <c r="D9826" s="787">
        <v>5.05</v>
      </c>
      <c r="E9826" s="787">
        <v>15.05</v>
      </c>
      <c r="F9826" s="788">
        <v>41890</v>
      </c>
      <c r="G9826" s="788">
        <v>41897</v>
      </c>
      <c r="H9826" s="787">
        <v>1</v>
      </c>
      <c r="I9826" s="788">
        <v>41894</v>
      </c>
      <c r="J9826" s="788">
        <v>41873</v>
      </c>
      <c r="K9826" s="788">
        <v>41872</v>
      </c>
      <c r="L9826" s="787">
        <v>12.04</v>
      </c>
      <c r="M9826" s="787">
        <v>20</v>
      </c>
      <c r="N9826" s="787">
        <v>5.38</v>
      </c>
      <c r="O9826" s="788">
        <v>41862</v>
      </c>
    </row>
    <row r="9827" spans="1:15" x14ac:dyDescent="0.25">
      <c r="A9827" s="786" t="s">
        <v>17637</v>
      </c>
      <c r="B9827" s="787">
        <v>4</v>
      </c>
      <c r="C9827" s="787" t="s">
        <v>17638</v>
      </c>
      <c r="D9827" s="787">
        <v>5.44</v>
      </c>
      <c r="E9827" s="787">
        <v>15.44</v>
      </c>
      <c r="F9827" s="788">
        <v>41890</v>
      </c>
      <c r="G9827" s="788">
        <v>41897</v>
      </c>
      <c r="H9827" s="787">
        <v>1</v>
      </c>
      <c r="I9827" s="788">
        <v>41894</v>
      </c>
      <c r="J9827" s="788">
        <v>41873</v>
      </c>
      <c r="K9827" s="788">
        <v>41872</v>
      </c>
      <c r="L9827" s="787">
        <v>12.35</v>
      </c>
      <c r="M9827" s="787">
        <v>20</v>
      </c>
      <c r="N9827" s="787">
        <v>5.38</v>
      </c>
      <c r="O9827" s="788">
        <v>41862</v>
      </c>
    </row>
    <row r="9828" spans="1:15" x14ac:dyDescent="0.25">
      <c r="A9828" s="786" t="s">
        <v>17639</v>
      </c>
      <c r="B9828" s="787">
        <v>4</v>
      </c>
      <c r="C9828" s="787" t="s">
        <v>17640</v>
      </c>
      <c r="D9828" s="787">
        <v>0</v>
      </c>
      <c r="E9828" s="787">
        <v>0</v>
      </c>
      <c r="H9828" s="787">
        <v>1</v>
      </c>
      <c r="K9828" s="788">
        <v>41864</v>
      </c>
      <c r="L9828" s="787">
        <v>9.8699999999999992</v>
      </c>
      <c r="M9828" s="787">
        <v>10</v>
      </c>
      <c r="N9828" s="787">
        <v>10.61</v>
      </c>
      <c r="O9828" s="788">
        <v>41864</v>
      </c>
    </row>
    <row r="9829" spans="1:15" x14ac:dyDescent="0.25">
      <c r="A9829" s="786" t="s">
        <v>17641</v>
      </c>
      <c r="B9829" s="787">
        <v>4</v>
      </c>
      <c r="C9829" s="787" t="s">
        <v>17642</v>
      </c>
      <c r="D9829" s="787">
        <v>0</v>
      </c>
      <c r="E9829" s="787">
        <v>0</v>
      </c>
      <c r="H9829" s="787">
        <v>1</v>
      </c>
      <c r="K9829" s="788">
        <v>41864</v>
      </c>
      <c r="L9829" s="787">
        <v>10.06</v>
      </c>
      <c r="M9829" s="787">
        <v>10</v>
      </c>
      <c r="N9829" s="787">
        <v>10.81</v>
      </c>
      <c r="O9829" s="788">
        <v>41864</v>
      </c>
    </row>
    <row r="9830" spans="1:15" x14ac:dyDescent="0.25">
      <c r="A9830" s="786" t="s">
        <v>17643</v>
      </c>
      <c r="B9830" s="787">
        <v>4</v>
      </c>
      <c r="C9830" s="787" t="s">
        <v>17644</v>
      </c>
      <c r="D9830" s="787">
        <v>0</v>
      </c>
      <c r="E9830" s="787">
        <v>0</v>
      </c>
      <c r="H9830" s="787">
        <v>1</v>
      </c>
      <c r="I9830" s="788">
        <v>42166</v>
      </c>
      <c r="L9830" s="787">
        <v>0</v>
      </c>
      <c r="M9830" s="787">
        <v>10</v>
      </c>
      <c r="N9830" s="787">
        <v>0</v>
      </c>
    </row>
    <row r="9831" spans="1:15" x14ac:dyDescent="0.25">
      <c r="A9831" s="786" t="s">
        <v>17645</v>
      </c>
      <c r="B9831" s="787">
        <v>4</v>
      </c>
      <c r="C9831" s="787" t="s">
        <v>17646</v>
      </c>
      <c r="D9831" s="787">
        <v>0</v>
      </c>
      <c r="E9831" s="787">
        <v>0</v>
      </c>
      <c r="H9831" s="787">
        <v>1</v>
      </c>
      <c r="L9831" s="787">
        <v>0</v>
      </c>
      <c r="M9831" s="787">
        <v>10</v>
      </c>
      <c r="N9831" s="787">
        <v>0</v>
      </c>
    </row>
    <row r="9832" spans="1:15" x14ac:dyDescent="0.25">
      <c r="A9832" s="786" t="s">
        <v>17647</v>
      </c>
      <c r="B9832" s="787">
        <v>4</v>
      </c>
      <c r="C9832" s="787" t="s">
        <v>17648</v>
      </c>
      <c r="D9832" s="787">
        <v>0</v>
      </c>
      <c r="E9832" s="787">
        <v>0</v>
      </c>
      <c r="H9832" s="787">
        <v>1</v>
      </c>
      <c r="K9832" s="788">
        <v>41912</v>
      </c>
      <c r="L9832" s="787">
        <v>11</v>
      </c>
      <c r="M9832" s="787">
        <v>10</v>
      </c>
      <c r="N9832" s="787">
        <v>10.94</v>
      </c>
      <c r="O9832" s="788">
        <v>41912</v>
      </c>
    </row>
    <row r="9833" spans="1:15" x14ac:dyDescent="0.25">
      <c r="A9833" s="786" t="s">
        <v>17649</v>
      </c>
      <c r="B9833" s="787">
        <v>4</v>
      </c>
      <c r="C9833" s="787" t="s">
        <v>17650</v>
      </c>
      <c r="D9833" s="787">
        <v>0</v>
      </c>
      <c r="E9833" s="787">
        <v>0</v>
      </c>
      <c r="H9833" s="787">
        <v>1</v>
      </c>
      <c r="K9833" s="788">
        <v>41912</v>
      </c>
      <c r="L9833" s="787">
        <v>13</v>
      </c>
      <c r="M9833" s="787">
        <v>10</v>
      </c>
      <c r="N9833" s="787">
        <v>12.9</v>
      </c>
      <c r="O9833" s="788">
        <v>41912</v>
      </c>
    </row>
    <row r="9834" spans="1:15" x14ac:dyDescent="0.25">
      <c r="A9834" s="786" t="s">
        <v>17651</v>
      </c>
      <c r="B9834" s="787">
        <v>4</v>
      </c>
      <c r="C9834" s="787" t="s">
        <v>17652</v>
      </c>
      <c r="D9834" s="787">
        <v>0</v>
      </c>
      <c r="E9834" s="787">
        <v>0</v>
      </c>
      <c r="H9834" s="787">
        <v>1</v>
      </c>
      <c r="K9834" s="788">
        <v>41912</v>
      </c>
      <c r="L9834" s="787">
        <v>11</v>
      </c>
      <c r="M9834" s="787">
        <v>10</v>
      </c>
      <c r="N9834" s="787">
        <v>10.98</v>
      </c>
      <c r="O9834" s="788">
        <v>41912</v>
      </c>
    </row>
    <row r="9835" spans="1:15" x14ac:dyDescent="0.25">
      <c r="A9835" s="786" t="s">
        <v>17653</v>
      </c>
      <c r="B9835" s="787">
        <v>4</v>
      </c>
      <c r="C9835" s="787" t="s">
        <v>17654</v>
      </c>
      <c r="D9835" s="787">
        <v>0</v>
      </c>
      <c r="E9835" s="787">
        <v>0</v>
      </c>
      <c r="H9835" s="787">
        <v>1</v>
      </c>
      <c r="K9835" s="788">
        <v>41912</v>
      </c>
      <c r="L9835" s="787">
        <v>11.1</v>
      </c>
      <c r="M9835" s="787">
        <v>10</v>
      </c>
      <c r="N9835" s="787">
        <v>11.09</v>
      </c>
      <c r="O9835" s="788">
        <v>41912</v>
      </c>
    </row>
    <row r="9836" spans="1:15" x14ac:dyDescent="0.25">
      <c r="A9836" s="786" t="s">
        <v>17655</v>
      </c>
      <c r="B9836" s="787">
        <v>4</v>
      </c>
      <c r="C9836" s="787" t="s">
        <v>17656</v>
      </c>
      <c r="D9836" s="787">
        <v>0</v>
      </c>
      <c r="E9836" s="787">
        <v>0</v>
      </c>
      <c r="H9836" s="787">
        <v>1</v>
      </c>
      <c r="K9836" s="788">
        <v>41912</v>
      </c>
      <c r="L9836" s="787">
        <v>25.1</v>
      </c>
      <c r="M9836" s="787">
        <v>10</v>
      </c>
      <c r="N9836" s="787">
        <v>25.1</v>
      </c>
      <c r="O9836" s="788">
        <v>41912</v>
      </c>
    </row>
    <row r="9837" spans="1:15" x14ac:dyDescent="0.25">
      <c r="A9837" s="786" t="s">
        <v>17657</v>
      </c>
      <c r="B9837" s="787">
        <v>4</v>
      </c>
      <c r="C9837" s="787" t="s">
        <v>17658</v>
      </c>
      <c r="D9837" s="787">
        <v>0</v>
      </c>
      <c r="E9837" s="787">
        <v>0</v>
      </c>
      <c r="H9837" s="787">
        <v>1</v>
      </c>
      <c r="K9837" s="788">
        <v>41912</v>
      </c>
      <c r="L9837" s="787">
        <v>25.1</v>
      </c>
      <c r="M9837" s="787">
        <v>10</v>
      </c>
      <c r="N9837" s="787">
        <v>25.1</v>
      </c>
      <c r="O9837" s="788">
        <v>41912</v>
      </c>
    </row>
    <row r="9838" spans="1:15" x14ac:dyDescent="0.25">
      <c r="A9838" s="786" t="s">
        <v>17659</v>
      </c>
      <c r="B9838" s="787">
        <v>4</v>
      </c>
      <c r="C9838" s="787" t="s">
        <v>17660</v>
      </c>
      <c r="D9838" s="787">
        <v>0</v>
      </c>
      <c r="E9838" s="787">
        <v>0</v>
      </c>
      <c r="H9838" s="787">
        <v>1</v>
      </c>
      <c r="K9838" s="788">
        <v>41912</v>
      </c>
      <c r="L9838" s="787">
        <v>25.1</v>
      </c>
      <c r="M9838" s="787">
        <v>10</v>
      </c>
      <c r="N9838" s="787">
        <v>25.1</v>
      </c>
      <c r="O9838" s="788">
        <v>41912</v>
      </c>
    </row>
    <row r="9839" spans="1:15" x14ac:dyDescent="0.25">
      <c r="A9839" s="786" t="s">
        <v>17661</v>
      </c>
      <c r="B9839" s="787">
        <v>4</v>
      </c>
      <c r="C9839" s="787" t="s">
        <v>17662</v>
      </c>
      <c r="D9839" s="787">
        <v>0</v>
      </c>
      <c r="E9839" s="787">
        <v>0</v>
      </c>
      <c r="H9839" s="787">
        <v>1</v>
      </c>
      <c r="K9839" s="788">
        <v>41912</v>
      </c>
      <c r="L9839" s="787">
        <v>25.1</v>
      </c>
      <c r="M9839" s="787">
        <v>10</v>
      </c>
      <c r="N9839" s="787">
        <v>25.1</v>
      </c>
      <c r="O9839" s="788">
        <v>41912</v>
      </c>
    </row>
    <row r="9840" spans="1:15" x14ac:dyDescent="0.25">
      <c r="A9840" s="786" t="s">
        <v>17663</v>
      </c>
      <c r="B9840" s="787">
        <v>4</v>
      </c>
      <c r="C9840" s="787" t="s">
        <v>17664</v>
      </c>
      <c r="D9840" s="787">
        <v>0</v>
      </c>
      <c r="E9840" s="787">
        <v>0</v>
      </c>
      <c r="H9840" s="787">
        <v>1</v>
      </c>
      <c r="K9840" s="788">
        <v>41877</v>
      </c>
      <c r="L9840" s="787">
        <v>0.1</v>
      </c>
      <c r="M9840" s="787">
        <v>10</v>
      </c>
      <c r="N9840" s="787">
        <v>0</v>
      </c>
    </row>
    <row r="9841" spans="1:15" x14ac:dyDescent="0.25">
      <c r="A9841" s="786" t="s">
        <v>17665</v>
      </c>
      <c r="B9841" s="787">
        <v>4</v>
      </c>
      <c r="C9841" s="787" t="s">
        <v>17666</v>
      </c>
      <c r="D9841" s="787">
        <v>0</v>
      </c>
      <c r="E9841" s="787">
        <v>0</v>
      </c>
      <c r="H9841" s="787">
        <v>1</v>
      </c>
      <c r="K9841" s="788">
        <v>41877</v>
      </c>
      <c r="L9841" s="787">
        <v>0.1</v>
      </c>
      <c r="M9841" s="787">
        <v>10</v>
      </c>
      <c r="N9841" s="787">
        <v>0</v>
      </c>
    </row>
    <row r="9842" spans="1:15" x14ac:dyDescent="0.25">
      <c r="A9842" s="786" t="s">
        <v>17667</v>
      </c>
      <c r="B9842" s="787">
        <v>4</v>
      </c>
      <c r="C9842" s="787" t="s">
        <v>17668</v>
      </c>
      <c r="D9842" s="787">
        <v>0</v>
      </c>
      <c r="E9842" s="787">
        <v>0</v>
      </c>
      <c r="H9842" s="787">
        <v>1</v>
      </c>
      <c r="K9842" s="788">
        <v>41877</v>
      </c>
      <c r="L9842" s="787">
        <v>0.1</v>
      </c>
      <c r="M9842" s="787">
        <v>10</v>
      </c>
      <c r="N9842" s="787">
        <v>0</v>
      </c>
    </row>
    <row r="9843" spans="1:15" x14ac:dyDescent="0.25">
      <c r="A9843" s="786" t="s">
        <v>17669</v>
      </c>
      <c r="B9843" s="787">
        <v>4</v>
      </c>
      <c r="C9843" s="787" t="s">
        <v>17670</v>
      </c>
      <c r="D9843" s="787">
        <v>6</v>
      </c>
      <c r="E9843" s="787">
        <v>36</v>
      </c>
      <c r="F9843" s="788">
        <v>41893</v>
      </c>
      <c r="G9843" s="788">
        <v>41897</v>
      </c>
      <c r="H9843" s="787">
        <v>1</v>
      </c>
      <c r="J9843" s="788">
        <v>41886</v>
      </c>
      <c r="K9843" s="788">
        <v>41887</v>
      </c>
      <c r="L9843" s="787">
        <v>36</v>
      </c>
      <c r="M9843" s="787">
        <v>10</v>
      </c>
      <c r="N9843" s="787">
        <v>0</v>
      </c>
    </row>
    <row r="9844" spans="1:15" x14ac:dyDescent="0.25">
      <c r="A9844" s="786" t="s">
        <v>17671</v>
      </c>
      <c r="B9844" s="787">
        <v>4</v>
      </c>
      <c r="C9844" s="787" t="s">
        <v>17672</v>
      </c>
      <c r="D9844" s="787">
        <v>4</v>
      </c>
      <c r="E9844" s="787">
        <v>154</v>
      </c>
      <c r="F9844" s="788">
        <v>41893</v>
      </c>
      <c r="G9844" s="788">
        <v>41897</v>
      </c>
      <c r="H9844" s="787">
        <v>1</v>
      </c>
      <c r="J9844" s="788">
        <v>41886</v>
      </c>
      <c r="K9844" s="788">
        <v>41887</v>
      </c>
      <c r="L9844" s="787">
        <v>154</v>
      </c>
      <c r="M9844" s="787">
        <v>10</v>
      </c>
      <c r="N9844" s="787">
        <v>0</v>
      </c>
    </row>
    <row r="9845" spans="1:15" x14ac:dyDescent="0.25">
      <c r="A9845" s="786" t="s">
        <v>17673</v>
      </c>
      <c r="B9845" s="787">
        <v>4</v>
      </c>
      <c r="C9845" s="787" t="s">
        <v>17674</v>
      </c>
      <c r="D9845" s="787">
        <v>9</v>
      </c>
      <c r="E9845" s="787">
        <v>169</v>
      </c>
      <c r="F9845" s="788">
        <v>41893</v>
      </c>
      <c r="G9845" s="788">
        <v>41897</v>
      </c>
      <c r="H9845" s="787">
        <v>1</v>
      </c>
      <c r="I9845" s="788">
        <v>41990</v>
      </c>
      <c r="J9845" s="788">
        <v>41886</v>
      </c>
      <c r="K9845" s="788">
        <v>41887</v>
      </c>
      <c r="L9845" s="787">
        <v>169</v>
      </c>
      <c r="M9845" s="787">
        <v>10</v>
      </c>
      <c r="N9845" s="787">
        <v>0</v>
      </c>
    </row>
    <row r="9846" spans="1:15" x14ac:dyDescent="0.25">
      <c r="A9846" s="786" t="s">
        <v>17675</v>
      </c>
      <c r="B9846" s="787">
        <v>4</v>
      </c>
      <c r="C9846" s="787" t="s">
        <v>17676</v>
      </c>
      <c r="D9846" s="787">
        <v>1.49</v>
      </c>
      <c r="E9846" s="787">
        <v>1.49</v>
      </c>
      <c r="F9846" s="788">
        <v>41933</v>
      </c>
      <c r="G9846" s="788">
        <v>41933</v>
      </c>
      <c r="H9846" s="787">
        <v>1</v>
      </c>
      <c r="I9846" s="788">
        <v>42046</v>
      </c>
      <c r="J9846" s="788">
        <v>41892</v>
      </c>
      <c r="K9846" s="788">
        <v>41883</v>
      </c>
      <c r="L9846" s="787">
        <v>1.17</v>
      </c>
      <c r="M9846" s="787">
        <v>10</v>
      </c>
      <c r="N9846" s="787">
        <v>1.17</v>
      </c>
      <c r="O9846" s="788">
        <v>41883</v>
      </c>
    </row>
    <row r="9847" spans="1:15" x14ac:dyDescent="0.25">
      <c r="A9847" s="786" t="s">
        <v>17677</v>
      </c>
      <c r="B9847" s="787">
        <v>4</v>
      </c>
      <c r="C9847" s="787" t="s">
        <v>17678</v>
      </c>
      <c r="D9847" s="787">
        <v>0</v>
      </c>
      <c r="E9847" s="787">
        <v>0</v>
      </c>
      <c r="H9847" s="787">
        <v>1</v>
      </c>
      <c r="L9847" s="787">
        <v>0</v>
      </c>
      <c r="M9847" s="787">
        <v>10</v>
      </c>
      <c r="N9847" s="787">
        <v>0</v>
      </c>
    </row>
    <row r="9848" spans="1:15" x14ac:dyDescent="0.25">
      <c r="A9848" s="786" t="s">
        <v>17679</v>
      </c>
      <c r="B9848" s="787">
        <v>4</v>
      </c>
      <c r="C9848" s="787" t="s">
        <v>17680</v>
      </c>
      <c r="D9848" s="787">
        <v>0</v>
      </c>
      <c r="E9848" s="787">
        <v>0</v>
      </c>
      <c r="H9848" s="787">
        <v>1</v>
      </c>
      <c r="I9848" s="788">
        <v>42152</v>
      </c>
      <c r="K9848" s="788">
        <v>42132</v>
      </c>
      <c r="L9848" s="787">
        <v>0.01</v>
      </c>
      <c r="M9848" s="787">
        <v>10</v>
      </c>
      <c r="N9848" s="787">
        <v>0</v>
      </c>
    </row>
    <row r="9849" spans="1:15" x14ac:dyDescent="0.25">
      <c r="A9849" s="786" t="s">
        <v>17681</v>
      </c>
      <c r="B9849" s="787">
        <v>4</v>
      </c>
      <c r="C9849" s="787" t="s">
        <v>17682</v>
      </c>
      <c r="D9849" s="787">
        <v>0.32</v>
      </c>
      <c r="E9849" s="789">
        <v>1560.32</v>
      </c>
      <c r="F9849" s="788">
        <v>41957</v>
      </c>
      <c r="G9849" s="788">
        <v>41957</v>
      </c>
      <c r="H9849" s="787">
        <v>1</v>
      </c>
      <c r="J9849" s="788">
        <v>41929</v>
      </c>
      <c r="K9849" s="788">
        <v>41897</v>
      </c>
      <c r="L9849" s="789">
        <v>1700</v>
      </c>
      <c r="M9849" s="787">
        <v>10</v>
      </c>
      <c r="N9849" s="787">
        <v>0</v>
      </c>
    </row>
    <row r="9850" spans="1:15" x14ac:dyDescent="0.25">
      <c r="A9850" s="786" t="s">
        <v>17683</v>
      </c>
      <c r="B9850" s="787">
        <v>4</v>
      </c>
      <c r="C9850" s="787" t="s">
        <v>17684</v>
      </c>
      <c r="D9850" s="787">
        <v>0.05</v>
      </c>
      <c r="E9850" s="787">
        <v>751.27</v>
      </c>
      <c r="F9850" s="788">
        <v>41933</v>
      </c>
      <c r="G9850" s="788">
        <v>41963</v>
      </c>
      <c r="H9850" s="787">
        <v>1</v>
      </c>
      <c r="I9850" s="788">
        <v>41943</v>
      </c>
      <c r="J9850" s="788">
        <v>41936</v>
      </c>
      <c r="K9850" s="788">
        <v>41897</v>
      </c>
      <c r="L9850" s="787">
        <v>612</v>
      </c>
      <c r="M9850" s="787">
        <v>10</v>
      </c>
      <c r="N9850" s="787">
        <v>610.16999999999996</v>
      </c>
      <c r="O9850" s="788">
        <v>42055</v>
      </c>
    </row>
    <row r="9851" spans="1:15" x14ac:dyDescent="0.25">
      <c r="A9851" s="786" t="s">
        <v>17685</v>
      </c>
      <c r="B9851" s="787">
        <v>4</v>
      </c>
      <c r="C9851" s="787" t="s">
        <v>17686</v>
      </c>
      <c r="D9851" s="787">
        <v>0</v>
      </c>
      <c r="E9851" s="787">
        <v>0</v>
      </c>
      <c r="H9851" s="787">
        <v>1</v>
      </c>
      <c r="I9851" s="788">
        <v>42152</v>
      </c>
      <c r="K9851" s="788">
        <v>41955</v>
      </c>
      <c r="L9851" s="787">
        <v>1.76</v>
      </c>
      <c r="M9851" s="787">
        <v>10</v>
      </c>
      <c r="N9851" s="787">
        <v>1.76</v>
      </c>
      <c r="O9851" s="788">
        <v>41955</v>
      </c>
    </row>
    <row r="9852" spans="1:15" x14ac:dyDescent="0.25">
      <c r="A9852" s="786" t="s">
        <v>17687</v>
      </c>
      <c r="B9852" s="787">
        <v>4</v>
      </c>
      <c r="C9852" s="787" t="s">
        <v>17688</v>
      </c>
      <c r="D9852" s="787">
        <v>0</v>
      </c>
      <c r="E9852" s="787">
        <v>0</v>
      </c>
      <c r="H9852" s="787">
        <v>1</v>
      </c>
      <c r="K9852" s="788">
        <v>41955</v>
      </c>
      <c r="L9852" s="787">
        <v>1</v>
      </c>
      <c r="M9852" s="787">
        <v>10</v>
      </c>
      <c r="N9852" s="787">
        <v>0</v>
      </c>
    </row>
    <row r="9853" spans="1:15" x14ac:dyDescent="0.25">
      <c r="A9853" s="786" t="s">
        <v>17689</v>
      </c>
      <c r="B9853" s="787">
        <v>4</v>
      </c>
      <c r="C9853" s="787" t="s">
        <v>17690</v>
      </c>
      <c r="D9853" s="787">
        <v>0</v>
      </c>
      <c r="E9853" s="787">
        <v>0</v>
      </c>
      <c r="H9853" s="787">
        <v>1</v>
      </c>
      <c r="K9853" s="788">
        <v>41955</v>
      </c>
      <c r="L9853" s="787">
        <v>1.71</v>
      </c>
      <c r="M9853" s="787">
        <v>10</v>
      </c>
      <c r="N9853" s="787">
        <v>1.71</v>
      </c>
      <c r="O9853" s="788">
        <v>41955</v>
      </c>
    </row>
    <row r="9854" spans="1:15" x14ac:dyDescent="0.25">
      <c r="A9854" s="786" t="s">
        <v>17691</v>
      </c>
      <c r="B9854" s="787">
        <v>4</v>
      </c>
      <c r="C9854" s="787" t="s">
        <v>17692</v>
      </c>
      <c r="D9854" s="787">
        <v>1.21</v>
      </c>
      <c r="E9854" s="787">
        <v>1.69</v>
      </c>
      <c r="F9854" s="788">
        <v>42061</v>
      </c>
      <c r="G9854" s="788">
        <v>42163</v>
      </c>
      <c r="H9854" s="787">
        <v>1</v>
      </c>
      <c r="I9854" s="788">
        <v>42165</v>
      </c>
      <c r="J9854" s="788">
        <v>42136</v>
      </c>
      <c r="K9854" s="788">
        <v>41932</v>
      </c>
      <c r="L9854" s="787">
        <v>2.11</v>
      </c>
      <c r="M9854" s="787">
        <v>10</v>
      </c>
      <c r="N9854" s="787">
        <v>2.11</v>
      </c>
      <c r="O9854" s="788">
        <v>41942</v>
      </c>
    </row>
    <row r="9855" spans="1:15" x14ac:dyDescent="0.25">
      <c r="A9855" s="786" t="s">
        <v>17693</v>
      </c>
      <c r="B9855" s="787">
        <v>4</v>
      </c>
      <c r="C9855" s="787" t="s">
        <v>17694</v>
      </c>
      <c r="D9855" s="787">
        <v>0</v>
      </c>
      <c r="E9855" s="787">
        <v>0</v>
      </c>
      <c r="H9855" s="787">
        <v>1</v>
      </c>
      <c r="K9855" s="788">
        <v>41935</v>
      </c>
      <c r="L9855" s="787">
        <v>6.6</v>
      </c>
      <c r="M9855" s="787">
        <v>10</v>
      </c>
      <c r="N9855" s="787">
        <v>6.6</v>
      </c>
      <c r="O9855" s="788">
        <v>41935</v>
      </c>
    </row>
    <row r="9856" spans="1:15" x14ac:dyDescent="0.25">
      <c r="A9856" s="786" t="s">
        <v>17695</v>
      </c>
      <c r="B9856" s="787">
        <v>4</v>
      </c>
      <c r="C9856" s="787" t="s">
        <v>17696</v>
      </c>
      <c r="D9856" s="787">
        <v>0</v>
      </c>
      <c r="E9856" s="787">
        <v>0</v>
      </c>
      <c r="H9856" s="787">
        <v>1</v>
      </c>
      <c r="I9856" s="788">
        <v>42025</v>
      </c>
      <c r="K9856" s="788">
        <v>41935</v>
      </c>
      <c r="L9856" s="787">
        <v>6.6</v>
      </c>
      <c r="M9856" s="787">
        <v>10</v>
      </c>
      <c r="N9856" s="787">
        <v>6.6</v>
      </c>
      <c r="O9856" s="788">
        <v>41935</v>
      </c>
    </row>
    <row r="9857" spans="1:15" x14ac:dyDescent="0.25">
      <c r="A9857" s="786" t="s">
        <v>17697</v>
      </c>
      <c r="B9857" s="787">
        <v>4</v>
      </c>
      <c r="C9857" s="787" t="s">
        <v>17698</v>
      </c>
      <c r="D9857" s="787">
        <v>0</v>
      </c>
      <c r="E9857" s="787">
        <v>0</v>
      </c>
      <c r="H9857" s="787">
        <v>1</v>
      </c>
      <c r="I9857" s="788">
        <v>42025</v>
      </c>
      <c r="K9857" s="788">
        <v>41935</v>
      </c>
      <c r="L9857" s="787">
        <v>6.6</v>
      </c>
      <c r="M9857" s="787">
        <v>10</v>
      </c>
      <c r="N9857" s="787">
        <v>6.6</v>
      </c>
      <c r="O9857" s="788">
        <v>41935</v>
      </c>
    </row>
    <row r="9858" spans="1:15" x14ac:dyDescent="0.25">
      <c r="A9858" s="786" t="s">
        <v>17699</v>
      </c>
      <c r="B9858" s="787">
        <v>4</v>
      </c>
      <c r="C9858" s="787" t="s">
        <v>17700</v>
      </c>
      <c r="D9858" s="787">
        <v>1.18</v>
      </c>
      <c r="E9858" s="787">
        <v>23.18</v>
      </c>
      <c r="F9858" s="788">
        <v>42065</v>
      </c>
      <c r="G9858" s="788">
        <v>42165</v>
      </c>
      <c r="H9858" s="787">
        <v>1</v>
      </c>
      <c r="I9858" s="788">
        <v>42143</v>
      </c>
      <c r="J9858" s="788">
        <v>42165</v>
      </c>
      <c r="K9858" s="788">
        <v>41932</v>
      </c>
      <c r="L9858" s="787">
        <v>26.74</v>
      </c>
      <c r="M9858" s="787">
        <v>10</v>
      </c>
      <c r="N9858" s="787">
        <v>26.74</v>
      </c>
      <c r="O9858" s="788">
        <v>41932</v>
      </c>
    </row>
    <row r="9859" spans="1:15" x14ac:dyDescent="0.25">
      <c r="A9859" s="786" t="s">
        <v>17701</v>
      </c>
      <c r="B9859" s="787">
        <v>4</v>
      </c>
      <c r="C9859" s="787" t="s">
        <v>17702</v>
      </c>
      <c r="D9859" s="787">
        <v>0</v>
      </c>
      <c r="E9859" s="787">
        <v>0</v>
      </c>
      <c r="H9859" s="787">
        <v>1</v>
      </c>
      <c r="K9859" s="788">
        <v>41940</v>
      </c>
      <c r="L9859" s="787">
        <v>17</v>
      </c>
      <c r="M9859" s="787">
        <v>10</v>
      </c>
      <c r="N9859" s="787">
        <v>17</v>
      </c>
      <c r="O9859" s="788">
        <v>41940</v>
      </c>
    </row>
    <row r="9860" spans="1:15" x14ac:dyDescent="0.25">
      <c r="A9860" s="786" t="s">
        <v>17703</v>
      </c>
      <c r="B9860" s="787">
        <v>4</v>
      </c>
      <c r="C9860" s="787" t="s">
        <v>17704</v>
      </c>
      <c r="D9860" s="787">
        <v>6.05</v>
      </c>
      <c r="E9860" s="787">
        <v>16.05</v>
      </c>
      <c r="F9860" s="788">
        <v>42163</v>
      </c>
      <c r="G9860" s="788">
        <v>42163</v>
      </c>
      <c r="H9860" s="787">
        <v>1</v>
      </c>
      <c r="I9860" s="788">
        <v>42143</v>
      </c>
      <c r="J9860" s="788">
        <v>42131</v>
      </c>
      <c r="K9860" s="788">
        <v>41940</v>
      </c>
      <c r="L9860" s="787">
        <v>17</v>
      </c>
      <c r="M9860" s="787">
        <v>10</v>
      </c>
      <c r="N9860" s="787">
        <v>17</v>
      </c>
      <c r="O9860" s="788">
        <v>41940</v>
      </c>
    </row>
    <row r="9861" spans="1:15" x14ac:dyDescent="0.25">
      <c r="A9861" s="786" t="s">
        <v>17705</v>
      </c>
      <c r="B9861" s="787">
        <v>4</v>
      </c>
      <c r="C9861" s="787" t="s">
        <v>17706</v>
      </c>
      <c r="D9861" s="787">
        <v>4.25</v>
      </c>
      <c r="E9861" s="787">
        <v>64.25</v>
      </c>
      <c r="F9861" s="788">
        <v>41962</v>
      </c>
      <c r="G9861" s="788">
        <v>41962</v>
      </c>
      <c r="H9861" s="787">
        <v>1</v>
      </c>
      <c r="J9861" s="788">
        <v>41933</v>
      </c>
      <c r="K9861" s="788">
        <v>41940</v>
      </c>
      <c r="L9861" s="787">
        <v>17</v>
      </c>
      <c r="M9861" s="787">
        <v>10</v>
      </c>
      <c r="N9861" s="787">
        <v>17</v>
      </c>
      <c r="O9861" s="788">
        <v>41940</v>
      </c>
    </row>
    <row r="9862" spans="1:15" x14ac:dyDescent="0.25">
      <c r="A9862" s="786" t="s">
        <v>17707</v>
      </c>
      <c r="B9862" s="787">
        <v>4</v>
      </c>
      <c r="C9862" s="787" t="s">
        <v>17708</v>
      </c>
      <c r="D9862" s="787">
        <v>2.12</v>
      </c>
      <c r="E9862" s="787">
        <v>22.12</v>
      </c>
      <c r="F9862" s="788">
        <v>42089</v>
      </c>
      <c r="G9862" s="788">
        <v>42165</v>
      </c>
      <c r="H9862" s="787">
        <v>1</v>
      </c>
      <c r="I9862" s="788">
        <v>42059</v>
      </c>
      <c r="J9862" s="788">
        <v>42165</v>
      </c>
      <c r="K9862" s="788">
        <v>41942</v>
      </c>
      <c r="L9862" s="787">
        <v>17</v>
      </c>
      <c r="M9862" s="787">
        <v>10</v>
      </c>
      <c r="N9862" s="787">
        <v>17</v>
      </c>
      <c r="O9862" s="788">
        <v>41942</v>
      </c>
    </row>
    <row r="9863" spans="1:15" x14ac:dyDescent="0.25">
      <c r="A9863" s="786" t="s">
        <v>17709</v>
      </c>
      <c r="B9863" s="787">
        <v>4</v>
      </c>
      <c r="C9863" s="787" t="s">
        <v>17710</v>
      </c>
      <c r="D9863" s="787">
        <v>0</v>
      </c>
      <c r="E9863" s="787">
        <v>0</v>
      </c>
      <c r="H9863" s="787">
        <v>1</v>
      </c>
      <c r="K9863" s="788">
        <v>41942</v>
      </c>
      <c r="L9863" s="787">
        <v>17</v>
      </c>
      <c r="M9863" s="787">
        <v>10</v>
      </c>
      <c r="N9863" s="787">
        <v>17</v>
      </c>
      <c r="O9863" s="788">
        <v>41942</v>
      </c>
    </row>
    <row r="9864" spans="1:15" x14ac:dyDescent="0.25">
      <c r="A9864" s="786" t="s">
        <v>17711</v>
      </c>
      <c r="B9864" s="787">
        <v>4</v>
      </c>
      <c r="C9864" s="787" t="s">
        <v>17712</v>
      </c>
      <c r="D9864" s="787">
        <v>0</v>
      </c>
      <c r="E9864" s="787">
        <v>0</v>
      </c>
      <c r="H9864" s="787">
        <v>1</v>
      </c>
      <c r="K9864" s="788">
        <v>41942</v>
      </c>
      <c r="L9864" s="787">
        <v>17</v>
      </c>
      <c r="M9864" s="787">
        <v>10</v>
      </c>
      <c r="N9864" s="787">
        <v>17</v>
      </c>
      <c r="O9864" s="788">
        <v>41942</v>
      </c>
    </row>
    <row r="9865" spans="1:15" x14ac:dyDescent="0.25">
      <c r="A9865" s="786" t="s">
        <v>17713</v>
      </c>
      <c r="B9865" s="787">
        <v>4</v>
      </c>
      <c r="C9865" s="787" t="s">
        <v>17714</v>
      </c>
      <c r="D9865" s="787">
        <v>0</v>
      </c>
      <c r="E9865" s="787">
        <v>0</v>
      </c>
      <c r="G9865" s="788">
        <v>42165</v>
      </c>
      <c r="H9865" s="787">
        <v>1</v>
      </c>
      <c r="I9865" s="788">
        <v>42145</v>
      </c>
      <c r="J9865" s="788">
        <v>42165</v>
      </c>
      <c r="K9865" s="788">
        <v>41940</v>
      </c>
      <c r="L9865" s="787">
        <v>5.09</v>
      </c>
      <c r="M9865" s="787">
        <v>10</v>
      </c>
      <c r="N9865" s="787">
        <v>5.09</v>
      </c>
      <c r="O9865" s="788">
        <v>41940</v>
      </c>
    </row>
    <row r="9866" spans="1:15" x14ac:dyDescent="0.25">
      <c r="A9866" s="786" t="s">
        <v>17715</v>
      </c>
      <c r="B9866" s="787">
        <v>4</v>
      </c>
      <c r="C9866" s="787" t="s">
        <v>17716</v>
      </c>
      <c r="D9866" s="787">
        <v>0</v>
      </c>
      <c r="E9866" s="787">
        <v>0</v>
      </c>
      <c r="G9866" s="788">
        <v>42165</v>
      </c>
      <c r="H9866" s="787">
        <v>1</v>
      </c>
      <c r="I9866" s="788">
        <v>42145</v>
      </c>
      <c r="J9866" s="788">
        <v>42165</v>
      </c>
      <c r="K9866" s="788">
        <v>41940</v>
      </c>
      <c r="L9866" s="787">
        <v>5.09</v>
      </c>
      <c r="M9866" s="787">
        <v>10</v>
      </c>
      <c r="N9866" s="787">
        <v>5.09</v>
      </c>
      <c r="O9866" s="788">
        <v>41940</v>
      </c>
    </row>
    <row r="9867" spans="1:15" x14ac:dyDescent="0.25">
      <c r="A9867" s="786" t="s">
        <v>17717</v>
      </c>
      <c r="B9867" s="787">
        <v>4</v>
      </c>
      <c r="C9867" s="787" t="s">
        <v>17718</v>
      </c>
      <c r="D9867" s="787">
        <v>0</v>
      </c>
      <c r="E9867" s="787">
        <v>0</v>
      </c>
      <c r="H9867" s="787">
        <v>1</v>
      </c>
      <c r="K9867" s="788">
        <v>41940</v>
      </c>
      <c r="L9867" s="787">
        <v>2.94</v>
      </c>
      <c r="M9867" s="787">
        <v>10</v>
      </c>
      <c r="N9867" s="787">
        <v>2.94</v>
      </c>
      <c r="O9867" s="788">
        <v>41940</v>
      </c>
    </row>
    <row r="9868" spans="1:15" x14ac:dyDescent="0.25">
      <c r="A9868" s="786" t="s">
        <v>17719</v>
      </c>
      <c r="B9868" s="787">
        <v>4</v>
      </c>
      <c r="C9868" s="787" t="s">
        <v>17720</v>
      </c>
      <c r="D9868" s="787">
        <v>0</v>
      </c>
      <c r="E9868" s="787">
        <v>0</v>
      </c>
      <c r="H9868" s="787">
        <v>1</v>
      </c>
      <c r="I9868" s="788">
        <v>42145</v>
      </c>
      <c r="K9868" s="788">
        <v>41940</v>
      </c>
      <c r="L9868" s="787">
        <v>6.01</v>
      </c>
      <c r="M9868" s="787">
        <v>10</v>
      </c>
      <c r="N9868" s="787">
        <v>6.01</v>
      </c>
      <c r="O9868" s="788">
        <v>41940</v>
      </c>
    </row>
    <row r="9869" spans="1:15" x14ac:dyDescent="0.25">
      <c r="A9869" s="786" t="s">
        <v>17721</v>
      </c>
      <c r="B9869" s="787">
        <v>4</v>
      </c>
      <c r="C9869" s="787" t="s">
        <v>17722</v>
      </c>
      <c r="D9869" s="787">
        <v>0</v>
      </c>
      <c r="E9869" s="787">
        <v>0</v>
      </c>
      <c r="H9869" s="787">
        <v>1</v>
      </c>
      <c r="I9869" s="788">
        <v>42087</v>
      </c>
      <c r="K9869" s="788">
        <v>41940</v>
      </c>
      <c r="L9869" s="787">
        <v>2.94</v>
      </c>
      <c r="M9869" s="787">
        <v>10</v>
      </c>
      <c r="N9869" s="787">
        <v>2.94</v>
      </c>
      <c r="O9869" s="788">
        <v>41940</v>
      </c>
    </row>
    <row r="9870" spans="1:15" x14ac:dyDescent="0.25">
      <c r="A9870" s="786" t="s">
        <v>17723</v>
      </c>
      <c r="B9870" s="787">
        <v>4</v>
      </c>
      <c r="C9870" s="787" t="s">
        <v>17724</v>
      </c>
      <c r="D9870" s="787">
        <v>0</v>
      </c>
      <c r="E9870" s="787">
        <v>0</v>
      </c>
      <c r="H9870" s="787">
        <v>1</v>
      </c>
      <c r="I9870" s="788">
        <v>42145</v>
      </c>
      <c r="K9870" s="788">
        <v>41940</v>
      </c>
      <c r="L9870" s="787">
        <v>3.22</v>
      </c>
      <c r="M9870" s="787">
        <v>10</v>
      </c>
      <c r="N9870" s="787">
        <v>3.22</v>
      </c>
      <c r="O9870" s="788">
        <v>41940</v>
      </c>
    </row>
    <row r="9871" spans="1:15" x14ac:dyDescent="0.25">
      <c r="A9871" s="786" t="s">
        <v>17725</v>
      </c>
      <c r="B9871" s="787">
        <v>4</v>
      </c>
      <c r="C9871" s="787" t="s">
        <v>17726</v>
      </c>
      <c r="D9871" s="787">
        <v>0</v>
      </c>
      <c r="E9871" s="787">
        <v>0</v>
      </c>
      <c r="H9871" s="787">
        <v>1</v>
      </c>
      <c r="I9871" s="788">
        <v>42038</v>
      </c>
      <c r="K9871" s="788">
        <v>41935</v>
      </c>
      <c r="L9871" s="787">
        <v>8.39</v>
      </c>
      <c r="M9871" s="787">
        <v>10</v>
      </c>
      <c r="N9871" s="787">
        <v>8.39</v>
      </c>
      <c r="O9871" s="788">
        <v>41935</v>
      </c>
    </row>
    <row r="9872" spans="1:15" x14ac:dyDescent="0.25">
      <c r="A9872" s="786" t="s">
        <v>17727</v>
      </c>
      <c r="B9872" s="787">
        <v>4</v>
      </c>
      <c r="C9872" s="787" t="s">
        <v>17728</v>
      </c>
      <c r="D9872" s="787">
        <v>0</v>
      </c>
      <c r="E9872" s="787">
        <v>0</v>
      </c>
      <c r="H9872" s="787">
        <v>1</v>
      </c>
      <c r="I9872" s="788">
        <v>42145</v>
      </c>
      <c r="K9872" s="788">
        <v>41935</v>
      </c>
      <c r="L9872" s="787">
        <v>8.39</v>
      </c>
      <c r="M9872" s="787">
        <v>10</v>
      </c>
      <c r="N9872" s="787">
        <v>8.39</v>
      </c>
      <c r="O9872" s="788">
        <v>41935</v>
      </c>
    </row>
    <row r="9873" spans="1:15" x14ac:dyDescent="0.25">
      <c r="A9873" s="786" t="s">
        <v>17729</v>
      </c>
      <c r="B9873" s="787">
        <v>4</v>
      </c>
      <c r="C9873" s="787" t="s">
        <v>17730</v>
      </c>
      <c r="D9873" s="787">
        <v>0</v>
      </c>
      <c r="E9873" s="787">
        <v>0</v>
      </c>
      <c r="H9873" s="787">
        <v>1</v>
      </c>
      <c r="I9873" s="788">
        <v>42145</v>
      </c>
      <c r="K9873" s="788">
        <v>41935</v>
      </c>
      <c r="L9873" s="787">
        <v>8.39</v>
      </c>
      <c r="M9873" s="787">
        <v>10</v>
      </c>
      <c r="N9873" s="787">
        <v>8.39</v>
      </c>
      <c r="O9873" s="788">
        <v>41935</v>
      </c>
    </row>
    <row r="9874" spans="1:15" x14ac:dyDescent="0.25">
      <c r="A9874" s="786" t="s">
        <v>17731</v>
      </c>
      <c r="B9874" s="787">
        <v>4</v>
      </c>
      <c r="C9874" s="787" t="s">
        <v>17732</v>
      </c>
      <c r="D9874" s="787">
        <v>0</v>
      </c>
      <c r="E9874" s="787">
        <v>0</v>
      </c>
      <c r="H9874" s="787">
        <v>1</v>
      </c>
      <c r="I9874" s="788">
        <v>42038</v>
      </c>
      <c r="K9874" s="788">
        <v>41936</v>
      </c>
      <c r="L9874" s="787">
        <v>11.12</v>
      </c>
      <c r="M9874" s="787">
        <v>10</v>
      </c>
      <c r="N9874" s="787">
        <v>11.12</v>
      </c>
      <c r="O9874" s="788">
        <v>41936</v>
      </c>
    </row>
    <row r="9875" spans="1:15" x14ac:dyDescent="0.25">
      <c r="A9875" s="786" t="s">
        <v>17733</v>
      </c>
      <c r="B9875" s="787">
        <v>4</v>
      </c>
      <c r="C9875" s="787" t="s">
        <v>17734</v>
      </c>
      <c r="D9875" s="787">
        <v>0</v>
      </c>
      <c r="E9875" s="787">
        <v>0</v>
      </c>
      <c r="H9875" s="787">
        <v>1</v>
      </c>
      <c r="I9875" s="788">
        <v>42145</v>
      </c>
      <c r="K9875" s="788">
        <v>41939</v>
      </c>
      <c r="L9875" s="787">
        <v>11.12</v>
      </c>
      <c r="M9875" s="787">
        <v>10</v>
      </c>
      <c r="N9875" s="787">
        <v>11.12</v>
      </c>
      <c r="O9875" s="788">
        <v>41939</v>
      </c>
    </row>
    <row r="9876" spans="1:15" x14ac:dyDescent="0.25">
      <c r="A9876" s="786" t="s">
        <v>17735</v>
      </c>
      <c r="B9876" s="787">
        <v>4</v>
      </c>
      <c r="C9876" s="787" t="s">
        <v>17736</v>
      </c>
      <c r="D9876" s="787">
        <v>0</v>
      </c>
      <c r="E9876" s="787">
        <v>0</v>
      </c>
      <c r="H9876" s="787">
        <v>1</v>
      </c>
      <c r="I9876" s="788">
        <v>42145</v>
      </c>
      <c r="K9876" s="788">
        <v>41939</v>
      </c>
      <c r="L9876" s="787">
        <v>11.12</v>
      </c>
      <c r="M9876" s="787">
        <v>10</v>
      </c>
      <c r="N9876" s="787">
        <v>11.12</v>
      </c>
      <c r="O9876" s="788">
        <v>41939</v>
      </c>
    </row>
    <row r="9877" spans="1:15" x14ac:dyDescent="0.25">
      <c r="A9877" s="786" t="s">
        <v>17737</v>
      </c>
      <c r="B9877" s="787">
        <v>4</v>
      </c>
      <c r="C9877" s="787" t="s">
        <v>17738</v>
      </c>
      <c r="D9877" s="787">
        <v>0</v>
      </c>
      <c r="E9877" s="787">
        <v>0</v>
      </c>
      <c r="H9877" s="787">
        <v>1</v>
      </c>
      <c r="K9877" s="788">
        <v>41940</v>
      </c>
      <c r="L9877" s="787">
        <v>2.79</v>
      </c>
      <c r="M9877" s="787">
        <v>10</v>
      </c>
      <c r="N9877" s="787">
        <v>2.79</v>
      </c>
      <c r="O9877" s="788">
        <v>41940</v>
      </c>
    </row>
    <row r="9878" spans="1:15" x14ac:dyDescent="0.25">
      <c r="A9878" s="786" t="s">
        <v>17739</v>
      </c>
      <c r="B9878" s="787">
        <v>4</v>
      </c>
      <c r="C9878" s="787" t="s">
        <v>17740</v>
      </c>
      <c r="D9878" s="787">
        <v>0</v>
      </c>
      <c r="E9878" s="787">
        <v>0</v>
      </c>
      <c r="H9878" s="787">
        <v>1</v>
      </c>
      <c r="K9878" s="788">
        <v>41940</v>
      </c>
      <c r="L9878" s="787">
        <v>1.79</v>
      </c>
      <c r="M9878" s="787">
        <v>10</v>
      </c>
      <c r="N9878" s="787">
        <v>1.79</v>
      </c>
      <c r="O9878" s="788">
        <v>41940</v>
      </c>
    </row>
    <row r="9879" spans="1:15" x14ac:dyDescent="0.25">
      <c r="A9879" s="786" t="s">
        <v>17741</v>
      </c>
      <c r="B9879" s="787">
        <v>4</v>
      </c>
      <c r="C9879" s="787" t="s">
        <v>17742</v>
      </c>
      <c r="D9879" s="787">
        <v>0</v>
      </c>
      <c r="E9879" s="787">
        <v>0</v>
      </c>
      <c r="H9879" s="787">
        <v>1</v>
      </c>
      <c r="I9879" s="788">
        <v>42145</v>
      </c>
      <c r="K9879" s="788">
        <v>41940</v>
      </c>
      <c r="L9879" s="787">
        <v>1</v>
      </c>
      <c r="M9879" s="787">
        <v>10</v>
      </c>
      <c r="N9879" s="787">
        <v>0</v>
      </c>
    </row>
    <row r="9880" spans="1:15" x14ac:dyDescent="0.25">
      <c r="A9880" s="786" t="s">
        <v>17743</v>
      </c>
      <c r="B9880" s="787">
        <v>4</v>
      </c>
      <c r="C9880" s="787" t="s">
        <v>17744</v>
      </c>
      <c r="D9880" s="787">
        <v>0</v>
      </c>
      <c r="E9880" s="787">
        <v>0</v>
      </c>
      <c r="H9880" s="787">
        <v>1</v>
      </c>
      <c r="I9880" s="788">
        <v>42145</v>
      </c>
      <c r="K9880" s="788">
        <v>41940</v>
      </c>
      <c r="L9880" s="787">
        <v>3.22</v>
      </c>
      <c r="M9880" s="787">
        <v>10</v>
      </c>
      <c r="N9880" s="787">
        <v>3.22</v>
      </c>
      <c r="O9880" s="788">
        <v>41940</v>
      </c>
    </row>
    <row r="9881" spans="1:15" x14ac:dyDescent="0.25">
      <c r="A9881" s="786" t="s">
        <v>17745</v>
      </c>
      <c r="B9881" s="787">
        <v>4</v>
      </c>
      <c r="C9881" s="787" t="s">
        <v>17746</v>
      </c>
      <c r="D9881" s="787">
        <v>0</v>
      </c>
      <c r="E9881" s="787">
        <v>0</v>
      </c>
      <c r="H9881" s="787">
        <v>1</v>
      </c>
      <c r="I9881" s="788">
        <v>42025</v>
      </c>
      <c r="K9881" s="788">
        <v>41940</v>
      </c>
      <c r="L9881" s="787">
        <v>4.6399999999999997</v>
      </c>
      <c r="M9881" s="787">
        <v>10</v>
      </c>
      <c r="N9881" s="787">
        <v>4.6399999999999997</v>
      </c>
      <c r="O9881" s="788">
        <v>41940</v>
      </c>
    </row>
    <row r="9882" spans="1:15" x14ac:dyDescent="0.25">
      <c r="A9882" s="786" t="s">
        <v>17747</v>
      </c>
      <c r="B9882" s="787">
        <v>4</v>
      </c>
      <c r="C9882" s="787" t="s">
        <v>17748</v>
      </c>
      <c r="D9882" s="787">
        <v>0</v>
      </c>
      <c r="E9882" s="787">
        <v>0</v>
      </c>
      <c r="H9882" s="787">
        <v>1</v>
      </c>
      <c r="K9882" s="788">
        <v>41939</v>
      </c>
      <c r="L9882" s="787">
        <v>11.12</v>
      </c>
      <c r="M9882" s="787">
        <v>10</v>
      </c>
      <c r="N9882" s="787">
        <v>11.12</v>
      </c>
      <c r="O9882" s="788">
        <v>41939</v>
      </c>
    </row>
    <row r="9883" spans="1:15" x14ac:dyDescent="0.25">
      <c r="A9883" s="786" t="s">
        <v>17749</v>
      </c>
      <c r="B9883" s="787">
        <v>4</v>
      </c>
      <c r="C9883" s="787" t="s">
        <v>17750</v>
      </c>
      <c r="D9883" s="787">
        <v>0</v>
      </c>
      <c r="E9883" s="787">
        <v>0</v>
      </c>
      <c r="H9883" s="787">
        <v>1</v>
      </c>
      <c r="I9883" s="788">
        <v>42025</v>
      </c>
      <c r="K9883" s="788">
        <v>41940</v>
      </c>
      <c r="L9883" s="787">
        <v>11.12</v>
      </c>
      <c r="M9883" s="787">
        <v>10</v>
      </c>
      <c r="N9883" s="787">
        <v>11.12</v>
      </c>
      <c r="O9883" s="788">
        <v>41940</v>
      </c>
    </row>
    <row r="9884" spans="1:15" x14ac:dyDescent="0.25">
      <c r="A9884" s="786" t="s">
        <v>17751</v>
      </c>
      <c r="B9884" s="787">
        <v>4</v>
      </c>
      <c r="C9884" s="787" t="s">
        <v>17752</v>
      </c>
      <c r="D9884" s="787">
        <v>0</v>
      </c>
      <c r="E9884" s="787">
        <v>0</v>
      </c>
      <c r="H9884" s="787">
        <v>1</v>
      </c>
      <c r="I9884" s="788">
        <v>42025</v>
      </c>
      <c r="K9884" s="788">
        <v>41940</v>
      </c>
      <c r="L9884" s="787">
        <v>11.12</v>
      </c>
      <c r="M9884" s="787">
        <v>10</v>
      </c>
      <c r="N9884" s="787">
        <v>11.12</v>
      </c>
      <c r="O9884" s="788">
        <v>41940</v>
      </c>
    </row>
    <row r="9885" spans="1:15" x14ac:dyDescent="0.25">
      <c r="A9885" s="786" t="s">
        <v>17753</v>
      </c>
      <c r="B9885" s="787">
        <v>4</v>
      </c>
      <c r="C9885" s="787" t="s">
        <v>17754</v>
      </c>
      <c r="D9885" s="787">
        <v>0</v>
      </c>
      <c r="E9885" s="787">
        <v>0</v>
      </c>
      <c r="H9885" s="787">
        <v>1</v>
      </c>
      <c r="L9885" s="787">
        <v>0</v>
      </c>
      <c r="M9885" s="787">
        <v>10</v>
      </c>
      <c r="N9885" s="787">
        <v>0</v>
      </c>
    </row>
    <row r="9886" spans="1:15" x14ac:dyDescent="0.25">
      <c r="A9886" s="786" t="s">
        <v>17755</v>
      </c>
      <c r="B9886" s="787">
        <v>4</v>
      </c>
      <c r="C9886" s="787" t="s">
        <v>17756</v>
      </c>
      <c r="D9886" s="787">
        <v>0</v>
      </c>
      <c r="E9886" s="787">
        <v>0</v>
      </c>
      <c r="H9886" s="787">
        <v>1</v>
      </c>
      <c r="I9886" s="788">
        <v>42025</v>
      </c>
      <c r="K9886" s="788">
        <v>41940</v>
      </c>
      <c r="L9886" s="787">
        <v>1.86</v>
      </c>
      <c r="M9886" s="787">
        <v>10</v>
      </c>
      <c r="N9886" s="787">
        <v>1.86</v>
      </c>
      <c r="O9886" s="788">
        <v>41940</v>
      </c>
    </row>
    <row r="9887" spans="1:15" x14ac:dyDescent="0.25">
      <c r="A9887" s="786" t="s">
        <v>17757</v>
      </c>
      <c r="B9887" s="787">
        <v>4</v>
      </c>
      <c r="C9887" s="787" t="s">
        <v>17758</v>
      </c>
      <c r="D9887" s="787">
        <v>0</v>
      </c>
      <c r="E9887" s="787">
        <v>0</v>
      </c>
      <c r="H9887" s="787">
        <v>1</v>
      </c>
      <c r="L9887" s="787">
        <v>0</v>
      </c>
      <c r="M9887" s="787">
        <v>10</v>
      </c>
      <c r="N9887" s="787">
        <v>0</v>
      </c>
    </row>
    <row r="9888" spans="1:15" x14ac:dyDescent="0.25">
      <c r="A9888" s="786" t="s">
        <v>17759</v>
      </c>
      <c r="B9888" s="787">
        <v>4</v>
      </c>
      <c r="C9888" s="787" t="s">
        <v>17760</v>
      </c>
      <c r="D9888" s="787">
        <v>0</v>
      </c>
      <c r="E9888" s="787">
        <v>0</v>
      </c>
      <c r="H9888" s="787">
        <v>1</v>
      </c>
      <c r="L9888" s="787">
        <v>0</v>
      </c>
      <c r="M9888" s="787">
        <v>10</v>
      </c>
      <c r="N9888" s="787">
        <v>0</v>
      </c>
    </row>
    <row r="9889" spans="1:14" x14ac:dyDescent="0.25">
      <c r="A9889" s="786" t="s">
        <v>17761</v>
      </c>
      <c r="B9889" s="787">
        <v>4</v>
      </c>
      <c r="C9889" s="787" t="s">
        <v>17762</v>
      </c>
      <c r="D9889" s="787">
        <v>0</v>
      </c>
      <c r="E9889" s="787">
        <v>0</v>
      </c>
      <c r="H9889" s="787">
        <v>1</v>
      </c>
      <c r="L9889" s="787">
        <v>0</v>
      </c>
      <c r="M9889" s="787">
        <v>10</v>
      </c>
      <c r="N9889" s="787">
        <v>0</v>
      </c>
    </row>
    <row r="9890" spans="1:14" x14ac:dyDescent="0.25">
      <c r="A9890" s="786" t="s">
        <v>17763</v>
      </c>
      <c r="B9890" s="787">
        <v>4</v>
      </c>
      <c r="C9890" s="787" t="s">
        <v>17764</v>
      </c>
      <c r="D9890" s="787">
        <v>0</v>
      </c>
      <c r="E9890" s="787">
        <v>0</v>
      </c>
      <c r="H9890" s="787">
        <v>1</v>
      </c>
      <c r="L9890" s="787">
        <v>0</v>
      </c>
      <c r="M9890" s="787">
        <v>10</v>
      </c>
      <c r="N9890" s="787">
        <v>0</v>
      </c>
    </row>
    <row r="9891" spans="1:14" x14ac:dyDescent="0.25">
      <c r="A9891" s="786" t="s">
        <v>17765</v>
      </c>
      <c r="B9891" s="787">
        <v>4</v>
      </c>
      <c r="C9891" s="787" t="s">
        <v>17766</v>
      </c>
      <c r="D9891" s="787">
        <v>0</v>
      </c>
      <c r="E9891" s="787">
        <v>0</v>
      </c>
      <c r="H9891" s="787">
        <v>1</v>
      </c>
      <c r="L9891" s="787">
        <v>0</v>
      </c>
      <c r="M9891" s="787">
        <v>10</v>
      </c>
      <c r="N9891" s="787">
        <v>0</v>
      </c>
    </row>
    <row r="9892" spans="1:14" x14ac:dyDescent="0.25">
      <c r="A9892" s="786" t="s">
        <v>17767</v>
      </c>
      <c r="B9892" s="787">
        <v>4</v>
      </c>
      <c r="C9892" s="787" t="s">
        <v>17768</v>
      </c>
      <c r="D9892" s="787">
        <v>0</v>
      </c>
      <c r="E9892" s="787">
        <v>0</v>
      </c>
      <c r="H9892" s="787">
        <v>1</v>
      </c>
      <c r="L9892" s="787">
        <v>0</v>
      </c>
      <c r="M9892" s="787">
        <v>10</v>
      </c>
      <c r="N9892" s="787">
        <v>0</v>
      </c>
    </row>
    <row r="9893" spans="1:14" x14ac:dyDescent="0.25">
      <c r="A9893" s="786" t="s">
        <v>17769</v>
      </c>
      <c r="B9893" s="787">
        <v>4</v>
      </c>
      <c r="C9893" s="787" t="s">
        <v>17770</v>
      </c>
      <c r="D9893" s="787">
        <v>0</v>
      </c>
      <c r="E9893" s="787">
        <v>0</v>
      </c>
      <c r="H9893" s="787">
        <v>1</v>
      </c>
      <c r="L9893" s="787">
        <v>0</v>
      </c>
      <c r="M9893" s="787">
        <v>10</v>
      </c>
      <c r="N9893" s="787">
        <v>0</v>
      </c>
    </row>
    <row r="9894" spans="1:14" x14ac:dyDescent="0.25">
      <c r="A9894" s="786" t="s">
        <v>17771</v>
      </c>
      <c r="B9894" s="787">
        <v>4</v>
      </c>
      <c r="C9894" s="787" t="s">
        <v>17772</v>
      </c>
      <c r="D9894" s="787">
        <v>0</v>
      </c>
      <c r="E9894" s="787">
        <v>0</v>
      </c>
      <c r="H9894" s="787">
        <v>1</v>
      </c>
      <c r="L9894" s="787">
        <v>0</v>
      </c>
      <c r="M9894" s="787">
        <v>10</v>
      </c>
      <c r="N9894" s="787">
        <v>0</v>
      </c>
    </row>
    <row r="9895" spans="1:14" x14ac:dyDescent="0.25">
      <c r="A9895" s="786" t="s">
        <v>17773</v>
      </c>
      <c r="B9895" s="787">
        <v>4</v>
      </c>
      <c r="C9895" s="787" t="s">
        <v>17774</v>
      </c>
      <c r="D9895" s="787">
        <v>0</v>
      </c>
      <c r="E9895" s="787">
        <v>0</v>
      </c>
      <c r="H9895" s="787">
        <v>1</v>
      </c>
      <c r="L9895" s="787">
        <v>0</v>
      </c>
      <c r="M9895" s="787">
        <v>10</v>
      </c>
      <c r="N9895" s="787">
        <v>0</v>
      </c>
    </row>
    <row r="9896" spans="1:14" x14ac:dyDescent="0.25">
      <c r="A9896" s="786" t="s">
        <v>17775</v>
      </c>
      <c r="B9896" s="787">
        <v>4</v>
      </c>
      <c r="C9896" s="787" t="s">
        <v>17776</v>
      </c>
      <c r="D9896" s="787">
        <v>0</v>
      </c>
      <c r="E9896" s="787">
        <v>0</v>
      </c>
      <c r="H9896" s="787">
        <v>1</v>
      </c>
      <c r="L9896" s="787">
        <v>0</v>
      </c>
      <c r="M9896" s="787">
        <v>10</v>
      </c>
      <c r="N9896" s="787">
        <v>0</v>
      </c>
    </row>
    <row r="9897" spans="1:14" x14ac:dyDescent="0.25">
      <c r="A9897" s="786" t="s">
        <v>17777</v>
      </c>
      <c r="B9897" s="787">
        <v>4</v>
      </c>
      <c r="C9897" s="787" t="s">
        <v>17778</v>
      </c>
      <c r="D9897" s="787">
        <v>0</v>
      </c>
      <c r="E9897" s="787">
        <v>0</v>
      </c>
      <c r="H9897" s="787">
        <v>1</v>
      </c>
      <c r="L9897" s="787">
        <v>0</v>
      </c>
      <c r="M9897" s="787">
        <v>10</v>
      </c>
      <c r="N9897" s="787">
        <v>0</v>
      </c>
    </row>
    <row r="9898" spans="1:14" x14ac:dyDescent="0.25">
      <c r="A9898" s="786" t="s">
        <v>17779</v>
      </c>
      <c r="B9898" s="787">
        <v>4</v>
      </c>
      <c r="C9898" s="787" t="s">
        <v>17778</v>
      </c>
      <c r="D9898" s="787">
        <v>0</v>
      </c>
      <c r="E9898" s="787">
        <v>0</v>
      </c>
      <c r="H9898" s="787">
        <v>1</v>
      </c>
      <c r="L9898" s="787">
        <v>0</v>
      </c>
      <c r="M9898" s="787">
        <v>10</v>
      </c>
      <c r="N9898" s="787">
        <v>0</v>
      </c>
    </row>
    <row r="9899" spans="1:14" x14ac:dyDescent="0.25">
      <c r="A9899" s="786" t="s">
        <v>17780</v>
      </c>
      <c r="B9899" s="787">
        <v>4</v>
      </c>
      <c r="C9899" s="787" t="s">
        <v>17781</v>
      </c>
      <c r="D9899" s="787">
        <v>0</v>
      </c>
      <c r="E9899" s="787">
        <v>0</v>
      </c>
      <c r="H9899" s="787">
        <v>1</v>
      </c>
      <c r="L9899" s="787">
        <v>0</v>
      </c>
      <c r="M9899" s="787">
        <v>10</v>
      </c>
      <c r="N9899" s="787">
        <v>0</v>
      </c>
    </row>
    <row r="9900" spans="1:14" x14ac:dyDescent="0.25">
      <c r="A9900" s="786" t="s">
        <v>17782</v>
      </c>
      <c r="B9900" s="787">
        <v>4</v>
      </c>
      <c r="C9900" s="787" t="s">
        <v>17781</v>
      </c>
      <c r="D9900" s="787">
        <v>0</v>
      </c>
      <c r="E9900" s="787">
        <v>0</v>
      </c>
      <c r="H9900" s="787">
        <v>1</v>
      </c>
      <c r="L9900" s="787">
        <v>0</v>
      </c>
      <c r="M9900" s="787">
        <v>10</v>
      </c>
      <c r="N9900" s="787">
        <v>0</v>
      </c>
    </row>
    <row r="9901" spans="1:14" x14ac:dyDescent="0.25">
      <c r="A9901" s="786" t="s">
        <v>17783</v>
      </c>
      <c r="B9901" s="787">
        <v>4</v>
      </c>
      <c r="C9901" s="787" t="s">
        <v>17784</v>
      </c>
      <c r="D9901" s="787">
        <v>0</v>
      </c>
      <c r="E9901" s="787">
        <v>0</v>
      </c>
      <c r="H9901" s="787">
        <v>1</v>
      </c>
      <c r="L9901" s="787">
        <v>0</v>
      </c>
      <c r="M9901" s="787">
        <v>10</v>
      </c>
      <c r="N9901" s="787">
        <v>0</v>
      </c>
    </row>
    <row r="9902" spans="1:14" x14ac:dyDescent="0.25">
      <c r="A9902" s="786" t="s">
        <v>17785</v>
      </c>
      <c r="B9902" s="787">
        <v>4</v>
      </c>
      <c r="C9902" s="787" t="s">
        <v>17784</v>
      </c>
      <c r="D9902" s="787">
        <v>0</v>
      </c>
      <c r="E9902" s="787">
        <v>0</v>
      </c>
      <c r="H9902" s="787">
        <v>1</v>
      </c>
      <c r="L9902" s="787">
        <v>0</v>
      </c>
      <c r="M9902" s="787">
        <v>10</v>
      </c>
      <c r="N9902" s="787">
        <v>0</v>
      </c>
    </row>
    <row r="9903" spans="1:14" x14ac:dyDescent="0.25">
      <c r="A9903" s="786" t="s">
        <v>17786</v>
      </c>
      <c r="B9903" s="787">
        <v>4</v>
      </c>
      <c r="C9903" s="787" t="s">
        <v>17787</v>
      </c>
      <c r="D9903" s="787">
        <v>0</v>
      </c>
      <c r="E9903" s="787">
        <v>0</v>
      </c>
      <c r="H9903" s="787">
        <v>1</v>
      </c>
      <c r="L9903" s="787">
        <v>0</v>
      </c>
      <c r="M9903" s="787">
        <v>10</v>
      </c>
      <c r="N9903" s="787">
        <v>0</v>
      </c>
    </row>
    <row r="9904" spans="1:14" x14ac:dyDescent="0.25">
      <c r="A9904" s="786" t="s">
        <v>17788</v>
      </c>
      <c r="B9904" s="787">
        <v>4</v>
      </c>
      <c r="C9904" s="787" t="s">
        <v>17787</v>
      </c>
      <c r="D9904" s="787">
        <v>0</v>
      </c>
      <c r="E9904" s="787">
        <v>0</v>
      </c>
      <c r="H9904" s="787">
        <v>1</v>
      </c>
      <c r="L9904" s="787">
        <v>0</v>
      </c>
      <c r="M9904" s="787">
        <v>10</v>
      </c>
      <c r="N9904" s="787">
        <v>0</v>
      </c>
    </row>
    <row r="9905" spans="1:14" x14ac:dyDescent="0.25">
      <c r="A9905" s="786" t="s">
        <v>17789</v>
      </c>
      <c r="B9905" s="787">
        <v>4</v>
      </c>
      <c r="C9905" s="787" t="s">
        <v>17790</v>
      </c>
      <c r="D9905" s="787">
        <v>0</v>
      </c>
      <c r="E9905" s="787">
        <v>0</v>
      </c>
      <c r="H9905" s="787">
        <v>1</v>
      </c>
      <c r="K9905" s="788">
        <v>42024</v>
      </c>
      <c r="L9905" s="787">
        <v>15</v>
      </c>
      <c r="M9905" s="787">
        <v>10</v>
      </c>
      <c r="N9905" s="787">
        <v>0</v>
      </c>
    </row>
    <row r="9906" spans="1:14" x14ac:dyDescent="0.25">
      <c r="A9906" s="786" t="s">
        <v>17791</v>
      </c>
      <c r="B9906" s="787">
        <v>4</v>
      </c>
      <c r="C9906" s="787" t="s">
        <v>17792</v>
      </c>
      <c r="D9906" s="787">
        <v>0</v>
      </c>
      <c r="E9906" s="787">
        <v>0</v>
      </c>
      <c r="H9906" s="787">
        <v>1</v>
      </c>
      <c r="L9906" s="787">
        <v>0</v>
      </c>
      <c r="M9906" s="787">
        <v>10</v>
      </c>
      <c r="N9906" s="787">
        <v>0</v>
      </c>
    </row>
    <row r="9907" spans="1:14" x14ac:dyDescent="0.25">
      <c r="A9907" s="786" t="s">
        <v>17793</v>
      </c>
      <c r="B9907" s="787">
        <v>4</v>
      </c>
      <c r="C9907" s="787" t="s">
        <v>17794</v>
      </c>
      <c r="D9907" s="787">
        <v>0</v>
      </c>
      <c r="E9907" s="787">
        <v>0</v>
      </c>
      <c r="H9907" s="787">
        <v>1</v>
      </c>
      <c r="L9907" s="787">
        <v>0</v>
      </c>
      <c r="M9907" s="787">
        <v>10</v>
      </c>
      <c r="N9907" s="787">
        <v>0</v>
      </c>
    </row>
    <row r="9908" spans="1:14" x14ac:dyDescent="0.25">
      <c r="A9908" s="786" t="s">
        <v>17795</v>
      </c>
      <c r="B9908" s="787">
        <v>4</v>
      </c>
      <c r="C9908" s="787" t="s">
        <v>17796</v>
      </c>
      <c r="D9908" s="787">
        <v>0</v>
      </c>
      <c r="E9908" s="787">
        <v>0</v>
      </c>
      <c r="H9908" s="787">
        <v>1</v>
      </c>
      <c r="L9908" s="787">
        <v>0</v>
      </c>
      <c r="M9908" s="787">
        <v>10</v>
      </c>
      <c r="N9908" s="787">
        <v>0</v>
      </c>
    </row>
    <row r="9909" spans="1:14" x14ac:dyDescent="0.25">
      <c r="A9909" s="786" t="s">
        <v>17797</v>
      </c>
      <c r="B9909" s="787">
        <v>4</v>
      </c>
      <c r="C9909" s="787" t="s">
        <v>17798</v>
      </c>
      <c r="D9909" s="787">
        <v>0</v>
      </c>
      <c r="E9909" s="787">
        <v>0</v>
      </c>
      <c r="H9909" s="787">
        <v>1</v>
      </c>
      <c r="L9909" s="787">
        <v>0</v>
      </c>
      <c r="M9909" s="787">
        <v>10</v>
      </c>
      <c r="N9909" s="787">
        <v>0</v>
      </c>
    </row>
    <row r="9910" spans="1:14" x14ac:dyDescent="0.25">
      <c r="A9910" s="786" t="s">
        <v>17799</v>
      </c>
      <c r="B9910" s="787">
        <v>4</v>
      </c>
      <c r="C9910" s="787" t="s">
        <v>17800</v>
      </c>
      <c r="D9910" s="787">
        <v>0</v>
      </c>
      <c r="E9910" s="787">
        <v>0</v>
      </c>
      <c r="H9910" s="787">
        <v>1</v>
      </c>
      <c r="L9910" s="787">
        <v>0</v>
      </c>
      <c r="M9910" s="787">
        <v>10</v>
      </c>
      <c r="N9910" s="787">
        <v>0</v>
      </c>
    </row>
    <row r="9911" spans="1:14" x14ac:dyDescent="0.25">
      <c r="A9911" s="786" t="s">
        <v>17801</v>
      </c>
      <c r="B9911" s="787">
        <v>4</v>
      </c>
      <c r="C9911" s="787" t="s">
        <v>17802</v>
      </c>
      <c r="D9911" s="787">
        <v>0</v>
      </c>
      <c r="E9911" s="787">
        <v>0</v>
      </c>
      <c r="H9911" s="787">
        <v>1</v>
      </c>
      <c r="L9911" s="787">
        <v>0</v>
      </c>
      <c r="M9911" s="787">
        <v>10</v>
      </c>
      <c r="N9911" s="787">
        <v>0</v>
      </c>
    </row>
    <row r="9912" spans="1:14" x14ac:dyDescent="0.25">
      <c r="A9912" s="786" t="s">
        <v>17803</v>
      </c>
      <c r="B9912" s="787">
        <v>4</v>
      </c>
      <c r="C9912" s="787" t="s">
        <v>17804</v>
      </c>
      <c r="D9912" s="787">
        <v>0</v>
      </c>
      <c r="E9912" s="787">
        <v>0</v>
      </c>
      <c r="H9912" s="787">
        <v>1</v>
      </c>
      <c r="L9912" s="787">
        <v>0</v>
      </c>
      <c r="M9912" s="787">
        <v>10</v>
      </c>
      <c r="N9912" s="787">
        <v>0</v>
      </c>
    </row>
    <row r="9913" spans="1:14" x14ac:dyDescent="0.25">
      <c r="A9913" s="786" t="s">
        <v>17805</v>
      </c>
      <c r="B9913" s="787">
        <v>4</v>
      </c>
      <c r="C9913" s="787" t="s">
        <v>17806</v>
      </c>
      <c r="D9913" s="787">
        <v>0</v>
      </c>
      <c r="E9913" s="787">
        <v>0</v>
      </c>
      <c r="H9913" s="787">
        <v>1</v>
      </c>
      <c r="L9913" s="787">
        <v>0</v>
      </c>
      <c r="M9913" s="787">
        <v>10</v>
      </c>
      <c r="N9913" s="787">
        <v>0</v>
      </c>
    </row>
    <row r="9914" spans="1:14" x14ac:dyDescent="0.25">
      <c r="A9914" s="786" t="s">
        <v>17807</v>
      </c>
      <c r="B9914" s="787">
        <v>4</v>
      </c>
      <c r="C9914" s="787" t="s">
        <v>17808</v>
      </c>
      <c r="D9914" s="787">
        <v>0</v>
      </c>
      <c r="E9914" s="787">
        <v>0</v>
      </c>
      <c r="H9914" s="787">
        <v>1</v>
      </c>
      <c r="L9914" s="787">
        <v>0</v>
      </c>
      <c r="M9914" s="787">
        <v>10</v>
      </c>
      <c r="N9914" s="787">
        <v>0</v>
      </c>
    </row>
    <row r="9915" spans="1:14" x14ac:dyDescent="0.25">
      <c r="A9915" s="786" t="s">
        <v>17809</v>
      </c>
      <c r="B9915" s="787">
        <v>4</v>
      </c>
      <c r="C9915" s="787" t="s">
        <v>17810</v>
      </c>
      <c r="D9915" s="787">
        <v>0</v>
      </c>
      <c r="E9915" s="787">
        <v>0</v>
      </c>
      <c r="H9915" s="787">
        <v>1</v>
      </c>
      <c r="L9915" s="787">
        <v>0</v>
      </c>
      <c r="M9915" s="787">
        <v>10</v>
      </c>
      <c r="N9915" s="787">
        <v>0</v>
      </c>
    </row>
    <row r="9916" spans="1:14" x14ac:dyDescent="0.25">
      <c r="A9916" s="786" t="s">
        <v>17811</v>
      </c>
      <c r="B9916" s="787">
        <v>4</v>
      </c>
      <c r="C9916" s="787" t="s">
        <v>17812</v>
      </c>
      <c r="D9916" s="787">
        <v>0</v>
      </c>
      <c r="E9916" s="787">
        <v>0</v>
      </c>
      <c r="H9916" s="787">
        <v>1</v>
      </c>
      <c r="L9916" s="787">
        <v>0</v>
      </c>
      <c r="M9916" s="787">
        <v>10</v>
      </c>
      <c r="N9916" s="787">
        <v>0</v>
      </c>
    </row>
    <row r="9917" spans="1:14" x14ac:dyDescent="0.25">
      <c r="A9917" s="786" t="s">
        <v>17813</v>
      </c>
      <c r="B9917" s="787">
        <v>4</v>
      </c>
      <c r="C9917" s="787" t="s">
        <v>17814</v>
      </c>
      <c r="D9917" s="787">
        <v>0</v>
      </c>
      <c r="E9917" s="787">
        <v>0</v>
      </c>
      <c r="H9917" s="787">
        <v>1</v>
      </c>
      <c r="L9917" s="787">
        <v>0</v>
      </c>
      <c r="M9917" s="787">
        <v>10</v>
      </c>
      <c r="N9917" s="787">
        <v>0</v>
      </c>
    </row>
    <row r="9918" spans="1:14" x14ac:dyDescent="0.25">
      <c r="A9918" s="786" t="s">
        <v>17815</v>
      </c>
      <c r="B9918" s="787">
        <v>4</v>
      </c>
      <c r="C9918" s="787" t="s">
        <v>17816</v>
      </c>
      <c r="D9918" s="787">
        <v>0</v>
      </c>
      <c r="E9918" s="787">
        <v>0</v>
      </c>
      <c r="H9918" s="787">
        <v>1</v>
      </c>
      <c r="L9918" s="787">
        <v>0</v>
      </c>
      <c r="M9918" s="787">
        <v>10</v>
      </c>
      <c r="N9918" s="787">
        <v>0</v>
      </c>
    </row>
    <row r="9919" spans="1:14" x14ac:dyDescent="0.25">
      <c r="A9919" s="786" t="s">
        <v>17817</v>
      </c>
      <c r="B9919" s="787">
        <v>4</v>
      </c>
      <c r="C9919" s="787" t="s">
        <v>17818</v>
      </c>
      <c r="D9919" s="787">
        <v>0</v>
      </c>
      <c r="E9919" s="787">
        <v>0</v>
      </c>
      <c r="H9919" s="787">
        <v>1</v>
      </c>
      <c r="L9919" s="787">
        <v>0</v>
      </c>
      <c r="M9919" s="787">
        <v>10</v>
      </c>
      <c r="N9919" s="787">
        <v>0</v>
      </c>
    </row>
    <row r="9920" spans="1:14" x14ac:dyDescent="0.25">
      <c r="A9920" s="786" t="s">
        <v>17819</v>
      </c>
      <c r="B9920" s="787">
        <v>4</v>
      </c>
      <c r="C9920" s="787" t="s">
        <v>17820</v>
      </c>
      <c r="D9920" s="787">
        <v>0</v>
      </c>
      <c r="E9920" s="787">
        <v>0</v>
      </c>
      <c r="H9920" s="787">
        <v>1</v>
      </c>
      <c r="L9920" s="787">
        <v>0</v>
      </c>
      <c r="M9920" s="787">
        <v>10</v>
      </c>
      <c r="N9920" s="787">
        <v>0</v>
      </c>
    </row>
    <row r="9921" spans="1:15" x14ac:dyDescent="0.25">
      <c r="A9921" s="786" t="s">
        <v>17821</v>
      </c>
      <c r="B9921" s="787">
        <v>4</v>
      </c>
      <c r="C9921" s="787" t="s">
        <v>17822</v>
      </c>
      <c r="D9921" s="787">
        <v>0</v>
      </c>
      <c r="E9921" s="787">
        <v>0</v>
      </c>
      <c r="H9921" s="787">
        <v>1</v>
      </c>
      <c r="L9921" s="787">
        <v>0</v>
      </c>
      <c r="M9921" s="787">
        <v>10</v>
      </c>
      <c r="N9921" s="787">
        <v>0</v>
      </c>
    </row>
    <row r="9922" spans="1:15" x14ac:dyDescent="0.25">
      <c r="A9922" s="786" t="s">
        <v>17823</v>
      </c>
      <c r="B9922" s="787">
        <v>4</v>
      </c>
      <c r="C9922" s="787" t="s">
        <v>17824</v>
      </c>
      <c r="D9922" s="787">
        <v>0</v>
      </c>
      <c r="E9922" s="787">
        <v>0</v>
      </c>
      <c r="H9922" s="787">
        <v>1</v>
      </c>
      <c r="K9922" s="788">
        <v>41965</v>
      </c>
      <c r="L9922" s="787">
        <v>14.56</v>
      </c>
      <c r="M9922" s="787">
        <v>10</v>
      </c>
      <c r="N9922" s="787">
        <v>14.8</v>
      </c>
      <c r="O9922" s="788">
        <v>42047</v>
      </c>
    </row>
    <row r="9923" spans="1:15" x14ac:dyDescent="0.25">
      <c r="A9923" s="786" t="s">
        <v>17825</v>
      </c>
      <c r="B9923" s="787">
        <v>4</v>
      </c>
      <c r="C9923" s="787" t="s">
        <v>17826</v>
      </c>
      <c r="D9923" s="787">
        <v>0</v>
      </c>
      <c r="E9923" s="787">
        <v>0</v>
      </c>
      <c r="H9923" s="787">
        <v>1</v>
      </c>
      <c r="K9923" s="788">
        <v>41953</v>
      </c>
      <c r="L9923" s="787">
        <v>2.88</v>
      </c>
      <c r="M9923" s="787">
        <v>10</v>
      </c>
      <c r="N9923" s="787">
        <v>10.24</v>
      </c>
      <c r="O9923" s="788">
        <v>42146</v>
      </c>
    </row>
    <row r="9924" spans="1:15" x14ac:dyDescent="0.25">
      <c r="A9924" s="786" t="s">
        <v>17827</v>
      </c>
      <c r="B9924" s="787">
        <v>4</v>
      </c>
      <c r="C9924" s="787" t="s">
        <v>17828</v>
      </c>
      <c r="D9924" s="787">
        <v>8.25</v>
      </c>
      <c r="E9924" s="787">
        <v>68.25</v>
      </c>
      <c r="F9924" s="788">
        <v>41957</v>
      </c>
      <c r="G9924" s="788">
        <v>41975</v>
      </c>
      <c r="H9924" s="787">
        <v>1</v>
      </c>
      <c r="I9924" s="788">
        <v>41955</v>
      </c>
      <c r="J9924" s="788">
        <v>41955</v>
      </c>
      <c r="K9924" s="788">
        <v>41954</v>
      </c>
      <c r="L9924" s="787">
        <v>54.75</v>
      </c>
      <c r="M9924" s="787">
        <v>20</v>
      </c>
      <c r="N9924" s="787">
        <v>0</v>
      </c>
    </row>
    <row r="9925" spans="1:15" x14ac:dyDescent="0.25">
      <c r="A9925" s="786" t="s">
        <v>17829</v>
      </c>
      <c r="B9925" s="787">
        <v>4</v>
      </c>
      <c r="C9925" s="787" t="s">
        <v>17830</v>
      </c>
      <c r="D9925" s="787">
        <v>0</v>
      </c>
      <c r="E9925" s="787">
        <v>0</v>
      </c>
      <c r="H9925" s="787">
        <v>1</v>
      </c>
      <c r="L9925" s="787">
        <v>0</v>
      </c>
      <c r="M9925" s="787">
        <v>10</v>
      </c>
      <c r="N9925" s="787">
        <v>0</v>
      </c>
    </row>
    <row r="9926" spans="1:15" x14ac:dyDescent="0.25">
      <c r="A9926" s="786" t="s">
        <v>17831</v>
      </c>
      <c r="B9926" s="787">
        <v>4</v>
      </c>
      <c r="C9926" s="787" t="s">
        <v>17832</v>
      </c>
      <c r="D9926" s="787">
        <v>0</v>
      </c>
      <c r="E9926" s="787">
        <v>0</v>
      </c>
      <c r="H9926" s="787">
        <v>1</v>
      </c>
      <c r="K9926" s="788">
        <v>41971</v>
      </c>
      <c r="L9926" s="787">
        <v>9.7899999999999991</v>
      </c>
      <c r="M9926" s="787">
        <v>10</v>
      </c>
      <c r="N9926" s="787">
        <v>9.7899999999999991</v>
      </c>
      <c r="O9926" s="788">
        <v>41971</v>
      </c>
    </row>
    <row r="9927" spans="1:15" x14ac:dyDescent="0.25">
      <c r="A9927" s="786" t="s">
        <v>17833</v>
      </c>
      <c r="B9927" s="787">
        <v>4</v>
      </c>
      <c r="C9927" s="787" t="s">
        <v>17834</v>
      </c>
      <c r="D9927" s="787">
        <v>0</v>
      </c>
      <c r="E9927" s="787">
        <v>0</v>
      </c>
      <c r="H9927" s="787">
        <v>1</v>
      </c>
      <c r="I9927" s="788">
        <v>42051</v>
      </c>
      <c r="K9927" s="788">
        <v>41971</v>
      </c>
      <c r="L9927" s="787">
        <v>9.7899999999999991</v>
      </c>
      <c r="M9927" s="787">
        <v>10</v>
      </c>
      <c r="N9927" s="787">
        <v>9.7899999999999991</v>
      </c>
      <c r="O9927" s="788">
        <v>41971</v>
      </c>
    </row>
    <row r="9928" spans="1:15" x14ac:dyDescent="0.25">
      <c r="A9928" s="786" t="s">
        <v>17835</v>
      </c>
      <c r="B9928" s="787">
        <v>4</v>
      </c>
      <c r="C9928" s="787" t="s">
        <v>17836</v>
      </c>
      <c r="D9928" s="787">
        <v>0</v>
      </c>
      <c r="E9928" s="787">
        <v>0</v>
      </c>
      <c r="H9928" s="787">
        <v>1</v>
      </c>
      <c r="I9928" s="788">
        <v>42051</v>
      </c>
      <c r="K9928" s="788">
        <v>41971</v>
      </c>
      <c r="L9928" s="787">
        <v>9.7899999999999991</v>
      </c>
      <c r="M9928" s="787">
        <v>10</v>
      </c>
      <c r="N9928" s="787">
        <v>9.7899999999999991</v>
      </c>
      <c r="O9928" s="788">
        <v>41971</v>
      </c>
    </row>
    <row r="9929" spans="1:15" x14ac:dyDescent="0.25">
      <c r="A9929" s="786" t="s">
        <v>17837</v>
      </c>
      <c r="B9929" s="787">
        <v>4</v>
      </c>
      <c r="C9929" s="787" t="s">
        <v>17838</v>
      </c>
      <c r="D9929" s="787">
        <v>0</v>
      </c>
      <c r="E9929" s="787">
        <v>0</v>
      </c>
      <c r="H9929" s="787">
        <v>1</v>
      </c>
      <c r="I9929" s="788">
        <v>42051</v>
      </c>
      <c r="K9929" s="788">
        <v>41971</v>
      </c>
      <c r="L9929" s="787">
        <v>9.7899999999999991</v>
      </c>
      <c r="M9929" s="787">
        <v>10</v>
      </c>
      <c r="N9929" s="787">
        <v>9.7899999999999991</v>
      </c>
      <c r="O9929" s="788">
        <v>41971</v>
      </c>
    </row>
    <row r="9930" spans="1:15" x14ac:dyDescent="0.25">
      <c r="A9930" s="786" t="s">
        <v>17839</v>
      </c>
      <c r="B9930" s="787">
        <v>4</v>
      </c>
      <c r="C9930" s="787" t="s">
        <v>17840</v>
      </c>
      <c r="D9930" s="787">
        <v>0</v>
      </c>
      <c r="E9930" s="787">
        <v>0</v>
      </c>
      <c r="H9930" s="787">
        <v>1</v>
      </c>
      <c r="K9930" s="788">
        <v>41971</v>
      </c>
      <c r="L9930" s="787">
        <v>9.7899999999999991</v>
      </c>
      <c r="M9930" s="787">
        <v>10</v>
      </c>
      <c r="N9930" s="787">
        <v>9.7899999999999991</v>
      </c>
      <c r="O9930" s="788">
        <v>41971</v>
      </c>
    </row>
    <row r="9931" spans="1:15" x14ac:dyDescent="0.25">
      <c r="A9931" s="786" t="s">
        <v>17841</v>
      </c>
      <c r="B9931" s="787">
        <v>4</v>
      </c>
      <c r="C9931" s="787" t="s">
        <v>17842</v>
      </c>
      <c r="D9931" s="787">
        <v>0</v>
      </c>
      <c r="E9931" s="787">
        <v>0</v>
      </c>
      <c r="H9931" s="787">
        <v>1</v>
      </c>
      <c r="K9931" s="788">
        <v>41971</v>
      </c>
      <c r="L9931" s="787">
        <v>9.7899999999999991</v>
      </c>
      <c r="M9931" s="787">
        <v>10</v>
      </c>
      <c r="N9931" s="787">
        <v>9.7899999999999991</v>
      </c>
      <c r="O9931" s="788">
        <v>41971</v>
      </c>
    </row>
    <row r="9932" spans="1:15" x14ac:dyDescent="0.25">
      <c r="A9932" s="786" t="s">
        <v>17843</v>
      </c>
      <c r="B9932" s="787">
        <v>4</v>
      </c>
      <c r="C9932" s="787" t="s">
        <v>17844</v>
      </c>
      <c r="D9932" s="787">
        <v>0</v>
      </c>
      <c r="E9932" s="787">
        <v>0</v>
      </c>
      <c r="H9932" s="787">
        <v>1</v>
      </c>
      <c r="K9932" s="788">
        <v>41971</v>
      </c>
      <c r="L9932" s="787">
        <v>9.7899999999999991</v>
      </c>
      <c r="M9932" s="787">
        <v>10</v>
      </c>
      <c r="N9932" s="787">
        <v>9.7899999999999991</v>
      </c>
      <c r="O9932" s="788">
        <v>41971</v>
      </c>
    </row>
    <row r="9933" spans="1:15" x14ac:dyDescent="0.25">
      <c r="A9933" s="786" t="s">
        <v>17845</v>
      </c>
      <c r="B9933" s="787">
        <v>4</v>
      </c>
      <c r="C9933" s="787" t="s">
        <v>17846</v>
      </c>
      <c r="D9933" s="787">
        <v>0</v>
      </c>
      <c r="E9933" s="787">
        <v>0</v>
      </c>
      <c r="H9933" s="787">
        <v>1</v>
      </c>
      <c r="I9933" s="788">
        <v>42041</v>
      </c>
      <c r="K9933" s="788">
        <v>41971</v>
      </c>
      <c r="L9933" s="787">
        <v>9.7899999999999991</v>
      </c>
      <c r="M9933" s="787">
        <v>10</v>
      </c>
      <c r="N9933" s="787">
        <v>9.7899999999999991</v>
      </c>
      <c r="O9933" s="788">
        <v>41971</v>
      </c>
    </row>
    <row r="9934" spans="1:15" x14ac:dyDescent="0.25">
      <c r="A9934" s="786" t="s">
        <v>17847</v>
      </c>
      <c r="B9934" s="787">
        <v>4</v>
      </c>
      <c r="C9934" s="787" t="s">
        <v>17848</v>
      </c>
      <c r="D9934" s="787">
        <v>0</v>
      </c>
      <c r="E9934" s="787">
        <v>0</v>
      </c>
      <c r="H9934" s="787">
        <v>1</v>
      </c>
      <c r="K9934" s="788">
        <v>41971</v>
      </c>
      <c r="L9934" s="787">
        <v>7.69</v>
      </c>
      <c r="M9934" s="787">
        <v>10</v>
      </c>
      <c r="N9934" s="787">
        <v>7.69</v>
      </c>
      <c r="O9934" s="788">
        <v>41971</v>
      </c>
    </row>
    <row r="9935" spans="1:15" x14ac:dyDescent="0.25">
      <c r="A9935" s="786" t="s">
        <v>17849</v>
      </c>
      <c r="B9935" s="787">
        <v>4</v>
      </c>
      <c r="C9935" s="787" t="s">
        <v>17850</v>
      </c>
      <c r="D9935" s="787">
        <v>0</v>
      </c>
      <c r="E9935" s="787">
        <v>0</v>
      </c>
      <c r="H9935" s="787">
        <v>1</v>
      </c>
      <c r="I9935" s="788">
        <v>42051</v>
      </c>
      <c r="K9935" s="788">
        <v>41971</v>
      </c>
      <c r="L9935" s="787">
        <v>7.69</v>
      </c>
      <c r="M9935" s="787">
        <v>10</v>
      </c>
      <c r="N9935" s="787">
        <v>7.69</v>
      </c>
      <c r="O9935" s="788">
        <v>41971</v>
      </c>
    </row>
    <row r="9936" spans="1:15" x14ac:dyDescent="0.25">
      <c r="A9936" s="786" t="s">
        <v>17851</v>
      </c>
      <c r="B9936" s="787">
        <v>4</v>
      </c>
      <c r="C9936" s="787" t="s">
        <v>17852</v>
      </c>
      <c r="D9936" s="787">
        <v>0</v>
      </c>
      <c r="E9936" s="787">
        <v>0</v>
      </c>
      <c r="H9936" s="787">
        <v>1</v>
      </c>
      <c r="I9936" s="788">
        <v>42051</v>
      </c>
      <c r="K9936" s="788">
        <v>41971</v>
      </c>
      <c r="L9936" s="787">
        <v>7.69</v>
      </c>
      <c r="M9936" s="787">
        <v>10</v>
      </c>
      <c r="N9936" s="787">
        <v>7.69</v>
      </c>
      <c r="O9936" s="788">
        <v>41971</v>
      </c>
    </row>
    <row r="9937" spans="1:15" x14ac:dyDescent="0.25">
      <c r="A9937" s="786" t="s">
        <v>17853</v>
      </c>
      <c r="B9937" s="787">
        <v>4</v>
      </c>
      <c r="C9937" s="787" t="s">
        <v>17854</v>
      </c>
      <c r="D9937" s="787">
        <v>0</v>
      </c>
      <c r="E9937" s="787">
        <v>0</v>
      </c>
      <c r="H9937" s="787">
        <v>1</v>
      </c>
      <c r="I9937" s="788">
        <v>42051</v>
      </c>
      <c r="K9937" s="788">
        <v>41971</v>
      </c>
      <c r="L9937" s="787">
        <v>7.69</v>
      </c>
      <c r="M9937" s="787">
        <v>10</v>
      </c>
      <c r="N9937" s="787">
        <v>7.69</v>
      </c>
      <c r="O9937" s="788">
        <v>41971</v>
      </c>
    </row>
    <row r="9938" spans="1:15" x14ac:dyDescent="0.25">
      <c r="A9938" s="786" t="s">
        <v>17855</v>
      </c>
      <c r="B9938" s="787">
        <v>4</v>
      </c>
      <c r="C9938" s="787" t="s">
        <v>17856</v>
      </c>
      <c r="D9938" s="787">
        <v>0</v>
      </c>
      <c r="E9938" s="787">
        <v>0</v>
      </c>
      <c r="H9938" s="787">
        <v>1</v>
      </c>
      <c r="K9938" s="788">
        <v>41974</v>
      </c>
      <c r="L9938" s="787">
        <v>6.26</v>
      </c>
      <c r="M9938" s="787">
        <v>10</v>
      </c>
      <c r="N9938" s="787">
        <v>6.26</v>
      </c>
      <c r="O9938" s="788">
        <v>41978</v>
      </c>
    </row>
    <row r="9939" spans="1:15" x14ac:dyDescent="0.25">
      <c r="A9939" s="786" t="s">
        <v>17857</v>
      </c>
      <c r="B9939" s="787">
        <v>4</v>
      </c>
      <c r="C9939" s="787" t="s">
        <v>17858</v>
      </c>
      <c r="D9939" s="787">
        <v>0</v>
      </c>
      <c r="E9939" s="787">
        <v>0</v>
      </c>
      <c r="H9939" s="787">
        <v>1</v>
      </c>
      <c r="I9939" s="788">
        <v>42051</v>
      </c>
      <c r="K9939" s="788">
        <v>41974</v>
      </c>
      <c r="L9939" s="787">
        <v>6.26</v>
      </c>
      <c r="M9939" s="787">
        <v>10</v>
      </c>
      <c r="N9939" s="787">
        <v>6.26</v>
      </c>
      <c r="O9939" s="788">
        <v>41978</v>
      </c>
    </row>
    <row r="9940" spans="1:15" x14ac:dyDescent="0.25">
      <c r="A9940" s="786" t="s">
        <v>17859</v>
      </c>
      <c r="B9940" s="787">
        <v>4</v>
      </c>
      <c r="C9940" s="787" t="s">
        <v>17860</v>
      </c>
      <c r="D9940" s="787">
        <v>0</v>
      </c>
      <c r="E9940" s="787">
        <v>0</v>
      </c>
      <c r="H9940" s="787">
        <v>1</v>
      </c>
      <c r="I9940" s="788">
        <v>42051</v>
      </c>
      <c r="K9940" s="788">
        <v>41974</v>
      </c>
      <c r="L9940" s="787">
        <v>6.26</v>
      </c>
      <c r="M9940" s="787">
        <v>10</v>
      </c>
      <c r="N9940" s="787">
        <v>6.26</v>
      </c>
      <c r="O9940" s="788">
        <v>41978</v>
      </c>
    </row>
    <row r="9941" spans="1:15" x14ac:dyDescent="0.25">
      <c r="A9941" s="786" t="s">
        <v>17861</v>
      </c>
      <c r="B9941" s="787">
        <v>4</v>
      </c>
      <c r="C9941" s="787" t="s">
        <v>17862</v>
      </c>
      <c r="D9941" s="787">
        <v>0</v>
      </c>
      <c r="E9941" s="787">
        <v>0</v>
      </c>
      <c r="H9941" s="787">
        <v>1</v>
      </c>
      <c r="I9941" s="788">
        <v>42051</v>
      </c>
      <c r="K9941" s="788">
        <v>41974</v>
      </c>
      <c r="L9941" s="787">
        <v>6.26</v>
      </c>
      <c r="M9941" s="787">
        <v>10</v>
      </c>
      <c r="N9941" s="787">
        <v>6.26</v>
      </c>
      <c r="O9941" s="788">
        <v>41978</v>
      </c>
    </row>
    <row r="9942" spans="1:15" x14ac:dyDescent="0.25">
      <c r="A9942" s="786" t="s">
        <v>17863</v>
      </c>
      <c r="B9942" s="787">
        <v>4</v>
      </c>
      <c r="C9942" s="787" t="s">
        <v>17864</v>
      </c>
      <c r="D9942" s="787">
        <v>1.45</v>
      </c>
      <c r="E9942" s="787">
        <v>3.03</v>
      </c>
      <c r="F9942" s="788">
        <v>42089</v>
      </c>
      <c r="G9942" s="788">
        <v>42128</v>
      </c>
      <c r="H9942" s="787">
        <v>1</v>
      </c>
      <c r="I9942" s="788">
        <v>42160</v>
      </c>
      <c r="J9942" s="788">
        <v>42094</v>
      </c>
      <c r="K9942" s="788">
        <v>41963</v>
      </c>
      <c r="L9942" s="787">
        <v>4.7</v>
      </c>
      <c r="M9942" s="787">
        <v>10</v>
      </c>
      <c r="N9942" s="787">
        <v>3.64</v>
      </c>
      <c r="O9942" s="788">
        <v>42079</v>
      </c>
    </row>
    <row r="9943" spans="1:15" x14ac:dyDescent="0.25">
      <c r="A9943" s="786" t="s">
        <v>17865</v>
      </c>
      <c r="B9943" s="787">
        <v>4</v>
      </c>
      <c r="C9943" s="787" t="s">
        <v>17866</v>
      </c>
      <c r="D9943" s="787">
        <v>0</v>
      </c>
      <c r="E9943" s="787">
        <v>0</v>
      </c>
      <c r="H9943" s="787">
        <v>1</v>
      </c>
      <c r="I9943" s="788">
        <v>41984</v>
      </c>
      <c r="K9943" s="788">
        <v>41974</v>
      </c>
      <c r="L9943" s="787">
        <v>4.74</v>
      </c>
      <c r="M9943" s="787">
        <v>10</v>
      </c>
      <c r="N9943" s="787">
        <v>4.74</v>
      </c>
      <c r="O9943" s="788">
        <v>41978</v>
      </c>
    </row>
    <row r="9944" spans="1:15" x14ac:dyDescent="0.25">
      <c r="A9944" s="786" t="s">
        <v>17867</v>
      </c>
      <c r="B9944" s="787">
        <v>4</v>
      </c>
      <c r="C9944" s="787" t="s">
        <v>17868</v>
      </c>
      <c r="D9944" s="787">
        <v>0</v>
      </c>
      <c r="E9944" s="787">
        <v>0</v>
      </c>
      <c r="H9944" s="787">
        <v>1</v>
      </c>
      <c r="K9944" s="788">
        <v>41974</v>
      </c>
      <c r="L9944" s="787">
        <v>1</v>
      </c>
      <c r="M9944" s="787">
        <v>10</v>
      </c>
      <c r="N9944" s="787">
        <v>0</v>
      </c>
    </row>
    <row r="9945" spans="1:15" x14ac:dyDescent="0.25">
      <c r="A9945" s="786" t="s">
        <v>17869</v>
      </c>
      <c r="B9945" s="787">
        <v>4</v>
      </c>
      <c r="C9945" s="787" t="s">
        <v>17870</v>
      </c>
      <c r="D9945" s="787">
        <v>0</v>
      </c>
      <c r="E9945" s="787">
        <v>0</v>
      </c>
      <c r="H9945" s="787">
        <v>1</v>
      </c>
      <c r="K9945" s="788">
        <v>41974</v>
      </c>
      <c r="L9945" s="787">
        <v>33.06</v>
      </c>
      <c r="M9945" s="787">
        <v>10</v>
      </c>
      <c r="N9945" s="787">
        <v>33.06</v>
      </c>
      <c r="O9945" s="788">
        <v>41978</v>
      </c>
    </row>
    <row r="9946" spans="1:15" x14ac:dyDescent="0.25">
      <c r="A9946" s="786" t="s">
        <v>17871</v>
      </c>
      <c r="B9946" s="787">
        <v>4</v>
      </c>
      <c r="C9946" s="787" t="s">
        <v>17872</v>
      </c>
      <c r="D9946" s="787">
        <v>0</v>
      </c>
      <c r="E9946" s="787">
        <v>0</v>
      </c>
      <c r="H9946" s="787">
        <v>1</v>
      </c>
      <c r="K9946" s="788">
        <v>41965</v>
      </c>
      <c r="L9946" s="787">
        <v>12.5</v>
      </c>
      <c r="M9946" s="787">
        <v>10</v>
      </c>
      <c r="N9946" s="787">
        <v>12.52</v>
      </c>
      <c r="O9946" s="788">
        <v>41965</v>
      </c>
    </row>
    <row r="9947" spans="1:15" x14ac:dyDescent="0.25">
      <c r="A9947" s="786" t="s">
        <v>17873</v>
      </c>
      <c r="B9947" s="787">
        <v>4</v>
      </c>
      <c r="C9947" s="787" t="s">
        <v>17874</v>
      </c>
      <c r="D9947" s="787">
        <v>0</v>
      </c>
      <c r="E9947" s="787">
        <v>0</v>
      </c>
      <c r="H9947" s="787">
        <v>1</v>
      </c>
      <c r="I9947" s="788">
        <v>41984</v>
      </c>
      <c r="K9947" s="788">
        <v>41965</v>
      </c>
      <c r="L9947" s="787">
        <v>19.45</v>
      </c>
      <c r="M9947" s="787">
        <v>10</v>
      </c>
      <c r="N9947" s="787">
        <v>19.45</v>
      </c>
      <c r="O9947" s="788">
        <v>41965</v>
      </c>
    </row>
    <row r="9948" spans="1:15" x14ac:dyDescent="0.25">
      <c r="A9948" s="786" t="s">
        <v>17875</v>
      </c>
      <c r="B9948" s="787">
        <v>4</v>
      </c>
      <c r="C9948" s="787" t="s">
        <v>17876</v>
      </c>
      <c r="D9948" s="787">
        <v>0</v>
      </c>
      <c r="E9948" s="787">
        <v>0</v>
      </c>
      <c r="H9948" s="787">
        <v>1</v>
      </c>
      <c r="I9948" s="788">
        <v>41984</v>
      </c>
      <c r="K9948" s="788">
        <v>41965</v>
      </c>
      <c r="L9948" s="787">
        <v>12.5</v>
      </c>
      <c r="M9948" s="787">
        <v>10</v>
      </c>
      <c r="N9948" s="787">
        <v>12.52</v>
      </c>
      <c r="O9948" s="788">
        <v>41965</v>
      </c>
    </row>
    <row r="9949" spans="1:15" x14ac:dyDescent="0.25">
      <c r="A9949" s="786" t="s">
        <v>17877</v>
      </c>
      <c r="B9949" s="787">
        <v>4</v>
      </c>
      <c r="C9949" s="787" t="s">
        <v>17878</v>
      </c>
      <c r="D9949" s="787">
        <v>0</v>
      </c>
      <c r="E9949" s="787">
        <v>0</v>
      </c>
      <c r="H9949" s="787">
        <v>1</v>
      </c>
      <c r="K9949" s="788">
        <v>41965</v>
      </c>
      <c r="L9949" s="787">
        <v>9</v>
      </c>
      <c r="M9949" s="787">
        <v>10</v>
      </c>
      <c r="N9949" s="787">
        <v>9.07</v>
      </c>
      <c r="O9949" s="788">
        <v>41965</v>
      </c>
    </row>
    <row r="9950" spans="1:15" x14ac:dyDescent="0.25">
      <c r="A9950" s="786" t="s">
        <v>17879</v>
      </c>
      <c r="B9950" s="787">
        <v>4</v>
      </c>
      <c r="C9950" s="787" t="s">
        <v>17880</v>
      </c>
      <c r="D9950" s="787">
        <v>0</v>
      </c>
      <c r="E9950" s="787">
        <v>0</v>
      </c>
      <c r="H9950" s="787">
        <v>1</v>
      </c>
      <c r="I9950" s="788">
        <v>41984</v>
      </c>
      <c r="K9950" s="788">
        <v>41965</v>
      </c>
      <c r="L9950" s="787">
        <v>12.5</v>
      </c>
      <c r="M9950" s="787">
        <v>10</v>
      </c>
      <c r="N9950" s="787">
        <v>12.48</v>
      </c>
      <c r="O9950" s="788">
        <v>41965</v>
      </c>
    </row>
    <row r="9951" spans="1:15" x14ac:dyDescent="0.25">
      <c r="A9951" s="786" t="s">
        <v>17881</v>
      </c>
      <c r="B9951" s="787">
        <v>4</v>
      </c>
      <c r="C9951" s="787" t="s">
        <v>17882</v>
      </c>
      <c r="D9951" s="787">
        <v>0</v>
      </c>
      <c r="E9951" s="787">
        <v>0</v>
      </c>
      <c r="H9951" s="787">
        <v>1</v>
      </c>
      <c r="I9951" s="788">
        <v>41984</v>
      </c>
      <c r="K9951" s="788">
        <v>41965</v>
      </c>
      <c r="L9951" s="787">
        <v>9</v>
      </c>
      <c r="M9951" s="787">
        <v>10</v>
      </c>
      <c r="N9951" s="787">
        <v>9.07</v>
      </c>
      <c r="O9951" s="788">
        <v>41965</v>
      </c>
    </row>
    <row r="9952" spans="1:15" x14ac:dyDescent="0.25">
      <c r="A9952" s="786" t="s">
        <v>17883</v>
      </c>
      <c r="B9952" s="787">
        <v>4</v>
      </c>
      <c r="C9952" s="787" t="s">
        <v>17884</v>
      </c>
      <c r="D9952" s="787">
        <v>0</v>
      </c>
      <c r="E9952" s="787">
        <v>0</v>
      </c>
      <c r="H9952" s="787">
        <v>1</v>
      </c>
      <c r="K9952" s="788">
        <v>41965</v>
      </c>
      <c r="L9952" s="787">
        <v>5.5</v>
      </c>
      <c r="M9952" s="787">
        <v>10</v>
      </c>
      <c r="N9952" s="787">
        <v>5.47</v>
      </c>
      <c r="O9952" s="788">
        <v>41965</v>
      </c>
    </row>
    <row r="9953" spans="1:15" x14ac:dyDescent="0.25">
      <c r="A9953" s="786" t="s">
        <v>17885</v>
      </c>
      <c r="B9953" s="787">
        <v>4</v>
      </c>
      <c r="C9953" s="787" t="s">
        <v>17886</v>
      </c>
      <c r="D9953" s="787">
        <v>0</v>
      </c>
      <c r="E9953" s="787">
        <v>0</v>
      </c>
      <c r="H9953" s="787">
        <v>1</v>
      </c>
      <c r="K9953" s="788">
        <v>41965</v>
      </c>
      <c r="L9953" s="787">
        <v>3.9</v>
      </c>
      <c r="M9953" s="787">
        <v>10</v>
      </c>
      <c r="N9953" s="787">
        <v>3.9</v>
      </c>
      <c r="O9953" s="788">
        <v>41965</v>
      </c>
    </row>
    <row r="9954" spans="1:15" x14ac:dyDescent="0.25">
      <c r="A9954" s="786" t="s">
        <v>17887</v>
      </c>
      <c r="B9954" s="787">
        <v>4</v>
      </c>
      <c r="C9954" s="787" t="s">
        <v>17888</v>
      </c>
      <c r="D9954" s="787">
        <v>1.32</v>
      </c>
      <c r="E9954" s="787">
        <v>12.73</v>
      </c>
      <c r="F9954" s="788">
        <v>42075</v>
      </c>
      <c r="G9954" s="788">
        <v>42093</v>
      </c>
      <c r="H9954" s="787">
        <v>1</v>
      </c>
      <c r="I9954" s="788">
        <v>42165</v>
      </c>
      <c r="J9954" s="788">
        <v>42062</v>
      </c>
      <c r="K9954" s="788">
        <v>41989</v>
      </c>
      <c r="L9954" s="787">
        <v>9.9600000000000009</v>
      </c>
      <c r="M9954" s="787">
        <v>10</v>
      </c>
      <c r="N9954" s="787">
        <v>17.36</v>
      </c>
      <c r="O9954" s="788">
        <v>42062</v>
      </c>
    </row>
    <row r="9955" spans="1:15" x14ac:dyDescent="0.25">
      <c r="A9955" s="786" t="s">
        <v>17889</v>
      </c>
      <c r="B9955" s="787">
        <v>4</v>
      </c>
      <c r="C9955" s="787" t="s">
        <v>17890</v>
      </c>
      <c r="D9955" s="787">
        <v>9.0399999999999991</v>
      </c>
      <c r="E9955" s="787">
        <v>13.38</v>
      </c>
      <c r="F9955" s="788">
        <v>41990</v>
      </c>
      <c r="G9955" s="788">
        <v>42093</v>
      </c>
      <c r="H9955" s="787">
        <v>1</v>
      </c>
      <c r="I9955" s="788">
        <v>42157</v>
      </c>
      <c r="J9955" s="788">
        <v>42062</v>
      </c>
      <c r="K9955" s="788">
        <v>41989</v>
      </c>
      <c r="L9955" s="787">
        <v>9.9600000000000009</v>
      </c>
      <c r="M9955" s="787">
        <v>10</v>
      </c>
      <c r="N9955" s="787">
        <v>17.36</v>
      </c>
      <c r="O9955" s="788">
        <v>42062</v>
      </c>
    </row>
    <row r="9956" spans="1:15" x14ac:dyDescent="0.25">
      <c r="A9956" s="786" t="s">
        <v>17891</v>
      </c>
      <c r="B9956" s="787">
        <v>4</v>
      </c>
      <c r="C9956" s="787" t="s">
        <v>17892</v>
      </c>
      <c r="D9956" s="787">
        <v>0</v>
      </c>
      <c r="E9956" s="787">
        <v>0</v>
      </c>
      <c r="H9956" s="787">
        <v>1</v>
      </c>
      <c r="L9956" s="787">
        <v>0</v>
      </c>
      <c r="M9956" s="787">
        <v>10</v>
      </c>
      <c r="N9956" s="787">
        <v>0</v>
      </c>
    </row>
    <row r="9957" spans="1:15" x14ac:dyDescent="0.25">
      <c r="A9957" s="786" t="s">
        <v>17893</v>
      </c>
      <c r="B9957" s="787">
        <v>4</v>
      </c>
      <c r="C9957" s="787" t="s">
        <v>17894</v>
      </c>
      <c r="D9957" s="787">
        <v>0</v>
      </c>
      <c r="E9957" s="787">
        <v>0</v>
      </c>
      <c r="H9957" s="787">
        <v>1</v>
      </c>
      <c r="L9957" s="787">
        <v>0</v>
      </c>
      <c r="M9957" s="787">
        <v>10</v>
      </c>
      <c r="N9957" s="787">
        <v>0</v>
      </c>
    </row>
    <row r="9958" spans="1:15" x14ac:dyDescent="0.25">
      <c r="A9958" s="786" t="s">
        <v>17895</v>
      </c>
      <c r="B9958" s="787">
        <v>4</v>
      </c>
      <c r="C9958" s="787" t="s">
        <v>17896</v>
      </c>
      <c r="D9958" s="787">
        <v>0</v>
      </c>
      <c r="E9958" s="787">
        <v>0</v>
      </c>
      <c r="H9958" s="787">
        <v>1</v>
      </c>
      <c r="L9958" s="787">
        <v>0</v>
      </c>
      <c r="M9958" s="787">
        <v>10</v>
      </c>
      <c r="N9958" s="787">
        <v>0</v>
      </c>
    </row>
    <row r="9959" spans="1:15" x14ac:dyDescent="0.25">
      <c r="A9959" s="786" t="s">
        <v>17897</v>
      </c>
      <c r="B9959" s="787">
        <v>4</v>
      </c>
      <c r="C9959" s="787" t="s">
        <v>17898</v>
      </c>
      <c r="D9959" s="787">
        <v>0</v>
      </c>
      <c r="E9959" s="787">
        <v>0</v>
      </c>
      <c r="H9959" s="787">
        <v>1</v>
      </c>
      <c r="L9959" s="787">
        <v>0</v>
      </c>
      <c r="M9959" s="787">
        <v>10</v>
      </c>
      <c r="N9959" s="787">
        <v>0</v>
      </c>
    </row>
    <row r="9960" spans="1:15" x14ac:dyDescent="0.25">
      <c r="A9960" s="786" t="s">
        <v>17899</v>
      </c>
      <c r="B9960" s="787">
        <v>4</v>
      </c>
      <c r="C9960" s="787" t="s">
        <v>17900</v>
      </c>
      <c r="D9960" s="787">
        <v>0</v>
      </c>
      <c r="E9960" s="787">
        <v>0</v>
      </c>
      <c r="H9960" s="787">
        <v>1</v>
      </c>
      <c r="L9960" s="787">
        <v>0</v>
      </c>
      <c r="M9960" s="787">
        <v>10</v>
      </c>
      <c r="N9960" s="787">
        <v>0</v>
      </c>
    </row>
    <row r="9961" spans="1:15" x14ac:dyDescent="0.25">
      <c r="A9961" s="786" t="s">
        <v>17901</v>
      </c>
      <c r="B9961" s="787">
        <v>4</v>
      </c>
      <c r="C9961" s="787" t="s">
        <v>17902</v>
      </c>
      <c r="D9961" s="787">
        <v>0</v>
      </c>
      <c r="E9961" s="787">
        <v>0</v>
      </c>
      <c r="H9961" s="787">
        <v>1</v>
      </c>
      <c r="L9961" s="787">
        <v>0</v>
      </c>
      <c r="M9961" s="787">
        <v>10</v>
      </c>
      <c r="N9961" s="787">
        <v>0</v>
      </c>
    </row>
    <row r="9962" spans="1:15" x14ac:dyDescent="0.25">
      <c r="A9962" s="786" t="s">
        <v>17903</v>
      </c>
      <c r="B9962" s="787">
        <v>4</v>
      </c>
      <c r="C9962" s="787" t="s">
        <v>17904</v>
      </c>
      <c r="D9962" s="787">
        <v>0</v>
      </c>
      <c r="E9962" s="787">
        <v>0</v>
      </c>
      <c r="H9962" s="787">
        <v>1</v>
      </c>
      <c r="L9962" s="787">
        <v>0</v>
      </c>
      <c r="M9962" s="787">
        <v>10</v>
      </c>
      <c r="N9962" s="787">
        <v>0</v>
      </c>
    </row>
    <row r="9963" spans="1:15" x14ac:dyDescent="0.25">
      <c r="A9963" s="786" t="s">
        <v>17905</v>
      </c>
      <c r="B9963" s="787">
        <v>4</v>
      </c>
      <c r="C9963" s="787" t="s">
        <v>17906</v>
      </c>
      <c r="D9963" s="787">
        <v>0</v>
      </c>
      <c r="E9963" s="787">
        <v>0</v>
      </c>
      <c r="H9963" s="787">
        <v>1</v>
      </c>
      <c r="L9963" s="787">
        <v>0</v>
      </c>
      <c r="M9963" s="787">
        <v>10</v>
      </c>
      <c r="N9963" s="787">
        <v>0</v>
      </c>
    </row>
    <row r="9964" spans="1:15" x14ac:dyDescent="0.25">
      <c r="A9964" s="786" t="s">
        <v>17907</v>
      </c>
      <c r="B9964" s="787">
        <v>4</v>
      </c>
      <c r="C9964" s="787" t="s">
        <v>17908</v>
      </c>
      <c r="D9964" s="787">
        <v>0</v>
      </c>
      <c r="E9964" s="787">
        <v>0</v>
      </c>
      <c r="H9964" s="787">
        <v>1</v>
      </c>
      <c r="L9964" s="787">
        <v>0</v>
      </c>
      <c r="M9964" s="787">
        <v>10</v>
      </c>
      <c r="N9964" s="787">
        <v>0</v>
      </c>
    </row>
    <row r="9965" spans="1:15" x14ac:dyDescent="0.25">
      <c r="A9965" s="786" t="s">
        <v>17909</v>
      </c>
      <c r="B9965" s="787">
        <v>4</v>
      </c>
      <c r="C9965" s="787" t="s">
        <v>17910</v>
      </c>
      <c r="D9965" s="787">
        <v>0</v>
      </c>
      <c r="E9965" s="787">
        <v>0</v>
      </c>
      <c r="H9965" s="787">
        <v>1</v>
      </c>
      <c r="L9965" s="787">
        <v>0</v>
      </c>
      <c r="M9965" s="787">
        <v>10</v>
      </c>
      <c r="N9965" s="787">
        <v>0</v>
      </c>
    </row>
    <row r="9966" spans="1:15" x14ac:dyDescent="0.25">
      <c r="A9966" s="786" t="s">
        <v>17911</v>
      </c>
      <c r="B9966" s="787">
        <v>4</v>
      </c>
      <c r="C9966" s="787" t="s">
        <v>17912</v>
      </c>
      <c r="D9966" s="787">
        <v>0</v>
      </c>
      <c r="E9966" s="787">
        <v>0</v>
      </c>
      <c r="H9966" s="787">
        <v>1</v>
      </c>
      <c r="L9966" s="787">
        <v>0</v>
      </c>
      <c r="M9966" s="787">
        <v>10</v>
      </c>
      <c r="N9966" s="787">
        <v>0</v>
      </c>
    </row>
    <row r="9967" spans="1:15" x14ac:dyDescent="0.25">
      <c r="A9967" s="786" t="s">
        <v>17913</v>
      </c>
      <c r="B9967" s="787">
        <v>4</v>
      </c>
      <c r="C9967" s="787" t="s">
        <v>17914</v>
      </c>
      <c r="D9967" s="787">
        <v>0</v>
      </c>
      <c r="E9967" s="787">
        <v>0</v>
      </c>
      <c r="H9967" s="787">
        <v>1</v>
      </c>
      <c r="L9967" s="787">
        <v>0</v>
      </c>
      <c r="M9967" s="787">
        <v>10</v>
      </c>
      <c r="N9967" s="787">
        <v>0</v>
      </c>
    </row>
    <row r="9968" spans="1:15" x14ac:dyDescent="0.25">
      <c r="A9968" s="786" t="s">
        <v>17915</v>
      </c>
      <c r="B9968" s="787">
        <v>4</v>
      </c>
      <c r="C9968" s="787" t="s">
        <v>17916</v>
      </c>
      <c r="D9968" s="787">
        <v>0</v>
      </c>
      <c r="E9968" s="787">
        <v>0</v>
      </c>
      <c r="H9968" s="787">
        <v>1</v>
      </c>
      <c r="L9968" s="787">
        <v>0</v>
      </c>
      <c r="M9968" s="787">
        <v>10</v>
      </c>
      <c r="N9968" s="787">
        <v>0</v>
      </c>
    </row>
    <row r="9969" spans="1:14" x14ac:dyDescent="0.25">
      <c r="A9969" s="786" t="s">
        <v>17917</v>
      </c>
      <c r="B9969" s="787">
        <v>4</v>
      </c>
      <c r="C9969" s="787" t="s">
        <v>17918</v>
      </c>
      <c r="D9969" s="787">
        <v>0</v>
      </c>
      <c r="E9969" s="787">
        <v>0</v>
      </c>
      <c r="H9969" s="787">
        <v>1</v>
      </c>
      <c r="L9969" s="787">
        <v>0</v>
      </c>
      <c r="M9969" s="787">
        <v>10</v>
      </c>
      <c r="N9969" s="787">
        <v>0</v>
      </c>
    </row>
    <row r="9970" spans="1:14" x14ac:dyDescent="0.25">
      <c r="A9970" s="786" t="s">
        <v>17919</v>
      </c>
      <c r="B9970" s="787">
        <v>4</v>
      </c>
      <c r="C9970" s="787" t="s">
        <v>17920</v>
      </c>
      <c r="D9970" s="787">
        <v>0</v>
      </c>
      <c r="E9970" s="787">
        <v>0</v>
      </c>
      <c r="H9970" s="787">
        <v>1</v>
      </c>
      <c r="L9970" s="787">
        <v>0</v>
      </c>
      <c r="M9970" s="787">
        <v>10</v>
      </c>
      <c r="N9970" s="787">
        <v>0</v>
      </c>
    </row>
    <row r="9971" spans="1:14" x14ac:dyDescent="0.25">
      <c r="A9971" s="786" t="s">
        <v>17921</v>
      </c>
      <c r="B9971" s="787">
        <v>4</v>
      </c>
      <c r="C9971" s="787" t="s">
        <v>17922</v>
      </c>
      <c r="D9971" s="787">
        <v>0</v>
      </c>
      <c r="E9971" s="787">
        <v>0</v>
      </c>
      <c r="H9971" s="787">
        <v>1</v>
      </c>
      <c r="L9971" s="787">
        <v>0</v>
      </c>
      <c r="M9971" s="787">
        <v>10</v>
      </c>
      <c r="N9971" s="787">
        <v>0</v>
      </c>
    </row>
    <row r="9972" spans="1:14" x14ac:dyDescent="0.25">
      <c r="A9972" s="786" t="s">
        <v>17923</v>
      </c>
      <c r="B9972" s="787">
        <v>4</v>
      </c>
      <c r="C9972" s="787" t="s">
        <v>17924</v>
      </c>
      <c r="D9972" s="787">
        <v>0</v>
      </c>
      <c r="E9972" s="787">
        <v>0</v>
      </c>
      <c r="H9972" s="787">
        <v>1</v>
      </c>
      <c r="L9972" s="787">
        <v>0</v>
      </c>
      <c r="M9972" s="787">
        <v>10</v>
      </c>
      <c r="N9972" s="787">
        <v>0</v>
      </c>
    </row>
    <row r="9973" spans="1:14" x14ac:dyDescent="0.25">
      <c r="A9973" s="786" t="s">
        <v>17925</v>
      </c>
      <c r="B9973" s="787">
        <v>4</v>
      </c>
      <c r="C9973" s="787" t="s">
        <v>17926</v>
      </c>
      <c r="D9973" s="787">
        <v>0</v>
      </c>
      <c r="E9973" s="787">
        <v>0</v>
      </c>
      <c r="H9973" s="787">
        <v>1</v>
      </c>
      <c r="L9973" s="787">
        <v>0</v>
      </c>
      <c r="M9973" s="787">
        <v>10</v>
      </c>
      <c r="N9973" s="787">
        <v>0</v>
      </c>
    </row>
    <row r="9974" spans="1:14" x14ac:dyDescent="0.25">
      <c r="A9974" s="786" t="s">
        <v>17927</v>
      </c>
      <c r="B9974" s="787">
        <v>4</v>
      </c>
      <c r="C9974" s="787" t="s">
        <v>17928</v>
      </c>
      <c r="D9974" s="787">
        <v>0</v>
      </c>
      <c r="E9974" s="787">
        <v>0</v>
      </c>
      <c r="H9974" s="787">
        <v>1</v>
      </c>
      <c r="L9974" s="787">
        <v>0</v>
      </c>
      <c r="M9974" s="787">
        <v>10</v>
      </c>
      <c r="N9974" s="787">
        <v>0</v>
      </c>
    </row>
    <row r="9975" spans="1:14" x14ac:dyDescent="0.25">
      <c r="A9975" s="786" t="s">
        <v>17929</v>
      </c>
      <c r="B9975" s="787">
        <v>4</v>
      </c>
      <c r="C9975" s="787" t="s">
        <v>17930</v>
      </c>
      <c r="D9975" s="787">
        <v>0</v>
      </c>
      <c r="E9975" s="787">
        <v>0</v>
      </c>
      <c r="H9975" s="787">
        <v>1</v>
      </c>
      <c r="L9975" s="787">
        <v>0</v>
      </c>
      <c r="M9975" s="787">
        <v>10</v>
      </c>
      <c r="N9975" s="787">
        <v>0</v>
      </c>
    </row>
    <row r="9976" spans="1:14" x14ac:dyDescent="0.25">
      <c r="A9976" s="786" t="s">
        <v>17931</v>
      </c>
      <c r="B9976" s="787">
        <v>4</v>
      </c>
      <c r="C9976" s="787" t="s">
        <v>17932</v>
      </c>
      <c r="D9976" s="787">
        <v>0</v>
      </c>
      <c r="E9976" s="787">
        <v>0</v>
      </c>
      <c r="H9976" s="787">
        <v>1</v>
      </c>
      <c r="L9976" s="787">
        <v>0</v>
      </c>
      <c r="M9976" s="787">
        <v>10</v>
      </c>
      <c r="N9976" s="787">
        <v>0</v>
      </c>
    </row>
    <row r="9977" spans="1:14" x14ac:dyDescent="0.25">
      <c r="A9977" s="786" t="s">
        <v>17933</v>
      </c>
      <c r="B9977" s="787">
        <v>4</v>
      </c>
      <c r="C9977" s="787" t="s">
        <v>17934</v>
      </c>
      <c r="D9977" s="787">
        <v>0</v>
      </c>
      <c r="E9977" s="787">
        <v>0</v>
      </c>
      <c r="H9977" s="787">
        <v>1</v>
      </c>
      <c r="L9977" s="787">
        <v>0</v>
      </c>
      <c r="M9977" s="787">
        <v>10</v>
      </c>
      <c r="N9977" s="787">
        <v>0</v>
      </c>
    </row>
    <row r="9978" spans="1:14" x14ac:dyDescent="0.25">
      <c r="A9978" s="786" t="s">
        <v>17935</v>
      </c>
      <c r="B9978" s="787">
        <v>4</v>
      </c>
      <c r="C9978" s="787" t="s">
        <v>17936</v>
      </c>
      <c r="D9978" s="787">
        <v>0</v>
      </c>
      <c r="E9978" s="787">
        <v>0</v>
      </c>
      <c r="H9978" s="787">
        <v>1</v>
      </c>
      <c r="L9978" s="787">
        <v>0</v>
      </c>
      <c r="M9978" s="787">
        <v>10</v>
      </c>
      <c r="N9978" s="787">
        <v>0</v>
      </c>
    </row>
    <row r="9979" spans="1:14" x14ac:dyDescent="0.25">
      <c r="A9979" s="786" t="s">
        <v>17937</v>
      </c>
      <c r="B9979" s="787">
        <v>4</v>
      </c>
      <c r="C9979" s="787" t="s">
        <v>17938</v>
      </c>
      <c r="D9979" s="787">
        <v>0</v>
      </c>
      <c r="E9979" s="787">
        <v>0</v>
      </c>
      <c r="H9979" s="787">
        <v>1</v>
      </c>
      <c r="L9979" s="787">
        <v>0</v>
      </c>
      <c r="M9979" s="787">
        <v>10</v>
      </c>
      <c r="N9979" s="787">
        <v>0</v>
      </c>
    </row>
    <row r="9980" spans="1:14" x14ac:dyDescent="0.25">
      <c r="A9980" s="786" t="s">
        <v>17939</v>
      </c>
      <c r="B9980" s="787">
        <v>4</v>
      </c>
      <c r="C9980" s="787" t="s">
        <v>17940</v>
      </c>
      <c r="D9980" s="787">
        <v>0</v>
      </c>
      <c r="E9980" s="787">
        <v>0</v>
      </c>
      <c r="H9980" s="787">
        <v>1</v>
      </c>
      <c r="L9980" s="787">
        <v>0</v>
      </c>
      <c r="M9980" s="787">
        <v>10</v>
      </c>
      <c r="N9980" s="787">
        <v>0</v>
      </c>
    </row>
    <row r="9981" spans="1:14" x14ac:dyDescent="0.25">
      <c r="A9981" s="786" t="s">
        <v>17941</v>
      </c>
      <c r="B9981" s="787">
        <v>4</v>
      </c>
      <c r="C9981" s="787" t="s">
        <v>17942</v>
      </c>
      <c r="D9981" s="787">
        <v>0</v>
      </c>
      <c r="E9981" s="787">
        <v>0</v>
      </c>
      <c r="H9981" s="787">
        <v>1</v>
      </c>
      <c r="L9981" s="787">
        <v>0</v>
      </c>
      <c r="M9981" s="787">
        <v>10</v>
      </c>
      <c r="N9981" s="787">
        <v>0</v>
      </c>
    </row>
    <row r="9982" spans="1:14" x14ac:dyDescent="0.25">
      <c r="A9982" s="786" t="s">
        <v>17943</v>
      </c>
      <c r="B9982" s="787">
        <v>4</v>
      </c>
      <c r="C9982" s="787" t="s">
        <v>17944</v>
      </c>
      <c r="D9982" s="787">
        <v>0</v>
      </c>
      <c r="E9982" s="787">
        <v>0</v>
      </c>
      <c r="H9982" s="787">
        <v>1</v>
      </c>
      <c r="L9982" s="787">
        <v>0</v>
      </c>
      <c r="M9982" s="787">
        <v>10</v>
      </c>
      <c r="N9982" s="787">
        <v>0</v>
      </c>
    </row>
    <row r="9983" spans="1:14" x14ac:dyDescent="0.25">
      <c r="A9983" s="786" t="s">
        <v>17945</v>
      </c>
      <c r="B9983" s="787">
        <v>4</v>
      </c>
      <c r="C9983" s="787" t="s">
        <v>17946</v>
      </c>
      <c r="D9983" s="787">
        <v>0</v>
      </c>
      <c r="E9983" s="787">
        <v>0</v>
      </c>
      <c r="H9983" s="787">
        <v>1</v>
      </c>
      <c r="L9983" s="787">
        <v>0</v>
      </c>
      <c r="M9983" s="787">
        <v>10</v>
      </c>
      <c r="N9983" s="787">
        <v>0</v>
      </c>
    </row>
    <row r="9984" spans="1:14" x14ac:dyDescent="0.25">
      <c r="A9984" s="786" t="s">
        <v>17947</v>
      </c>
      <c r="B9984" s="787">
        <v>4</v>
      </c>
      <c r="C9984" s="787" t="s">
        <v>17948</v>
      </c>
      <c r="D9984" s="787">
        <v>0</v>
      </c>
      <c r="E9984" s="787">
        <v>0</v>
      </c>
      <c r="H9984" s="787">
        <v>1</v>
      </c>
      <c r="L9984" s="787">
        <v>0</v>
      </c>
      <c r="M9984" s="787">
        <v>10</v>
      </c>
      <c r="N9984" s="787">
        <v>0</v>
      </c>
    </row>
    <row r="9985" spans="1:15" x14ac:dyDescent="0.25">
      <c r="A9985" s="786" t="s">
        <v>17949</v>
      </c>
      <c r="B9985" s="787">
        <v>4</v>
      </c>
      <c r="C9985" s="787" t="s">
        <v>17950</v>
      </c>
      <c r="D9985" s="787">
        <v>0</v>
      </c>
      <c r="E9985" s="787">
        <v>0</v>
      </c>
      <c r="H9985" s="787">
        <v>1</v>
      </c>
      <c r="L9985" s="787">
        <v>0</v>
      </c>
      <c r="M9985" s="787">
        <v>10</v>
      </c>
      <c r="N9985" s="787">
        <v>0</v>
      </c>
    </row>
    <row r="9986" spans="1:15" x14ac:dyDescent="0.25">
      <c r="A9986" s="786" t="s">
        <v>17951</v>
      </c>
      <c r="B9986" s="787">
        <v>4</v>
      </c>
      <c r="C9986" s="787" t="s">
        <v>17952</v>
      </c>
      <c r="D9986" s="787">
        <v>0</v>
      </c>
      <c r="E9986" s="787">
        <v>0</v>
      </c>
      <c r="H9986" s="787">
        <v>1</v>
      </c>
      <c r="L9986" s="787">
        <v>0</v>
      </c>
      <c r="M9986" s="787">
        <v>10</v>
      </c>
      <c r="N9986" s="787">
        <v>0</v>
      </c>
    </row>
    <row r="9987" spans="1:15" x14ac:dyDescent="0.25">
      <c r="A9987" s="786" t="s">
        <v>17953</v>
      </c>
      <c r="B9987" s="787">
        <v>4</v>
      </c>
      <c r="C9987" s="787" t="s">
        <v>17954</v>
      </c>
      <c r="D9987" s="787">
        <v>0</v>
      </c>
      <c r="E9987" s="787">
        <v>0</v>
      </c>
      <c r="H9987" s="787">
        <v>1</v>
      </c>
      <c r="L9987" s="787">
        <v>0</v>
      </c>
      <c r="M9987" s="787">
        <v>10</v>
      </c>
      <c r="N9987" s="787">
        <v>0</v>
      </c>
    </row>
    <row r="9988" spans="1:15" x14ac:dyDescent="0.25">
      <c r="A9988" s="786" t="s">
        <v>17955</v>
      </c>
      <c r="B9988" s="787">
        <v>4</v>
      </c>
      <c r="C9988" s="787" t="s">
        <v>17956</v>
      </c>
      <c r="D9988" s="787">
        <v>0</v>
      </c>
      <c r="E9988" s="787">
        <v>0</v>
      </c>
      <c r="H9988" s="787">
        <v>1</v>
      </c>
      <c r="L9988" s="787">
        <v>0</v>
      </c>
      <c r="M9988" s="787">
        <v>10</v>
      </c>
      <c r="N9988" s="787">
        <v>0</v>
      </c>
    </row>
    <row r="9989" spans="1:15" x14ac:dyDescent="0.25">
      <c r="A9989" s="786" t="s">
        <v>17957</v>
      </c>
      <c r="B9989" s="787">
        <v>4</v>
      </c>
      <c r="C9989" s="787" t="s">
        <v>17958</v>
      </c>
      <c r="D9989" s="787">
        <v>0</v>
      </c>
      <c r="E9989" s="787">
        <v>0</v>
      </c>
      <c r="H9989" s="787">
        <v>1</v>
      </c>
      <c r="L9989" s="787">
        <v>0</v>
      </c>
      <c r="M9989" s="787">
        <v>10</v>
      </c>
      <c r="N9989" s="787">
        <v>0</v>
      </c>
    </row>
    <row r="9990" spans="1:15" x14ac:dyDescent="0.25">
      <c r="A9990" s="786" t="s">
        <v>17959</v>
      </c>
      <c r="B9990" s="787">
        <v>4</v>
      </c>
      <c r="C9990" s="787" t="s">
        <v>17960</v>
      </c>
      <c r="D9990" s="787">
        <v>0</v>
      </c>
      <c r="E9990" s="787">
        <v>0</v>
      </c>
      <c r="H9990" s="787">
        <v>1</v>
      </c>
      <c r="L9990" s="787">
        <v>0</v>
      </c>
      <c r="M9990" s="787">
        <v>10</v>
      </c>
      <c r="N9990" s="787">
        <v>0</v>
      </c>
    </row>
    <row r="9991" spans="1:15" x14ac:dyDescent="0.25">
      <c r="A9991" s="786" t="s">
        <v>17961</v>
      </c>
      <c r="B9991" s="787">
        <v>4</v>
      </c>
      <c r="C9991" s="787" t="s">
        <v>17962</v>
      </c>
      <c r="D9991" s="787">
        <v>0</v>
      </c>
      <c r="E9991" s="787">
        <v>0</v>
      </c>
      <c r="H9991" s="787">
        <v>1</v>
      </c>
      <c r="L9991" s="787">
        <v>0</v>
      </c>
      <c r="M9991" s="787">
        <v>10</v>
      </c>
      <c r="N9991" s="787">
        <v>0</v>
      </c>
    </row>
    <row r="9992" spans="1:15" x14ac:dyDescent="0.25">
      <c r="A9992" s="786" t="s">
        <v>17963</v>
      </c>
      <c r="B9992" s="787">
        <v>4</v>
      </c>
      <c r="C9992" s="787" t="s">
        <v>17964</v>
      </c>
      <c r="D9992" s="787">
        <v>0</v>
      </c>
      <c r="E9992" s="787">
        <v>0</v>
      </c>
      <c r="H9992" s="787">
        <v>1</v>
      </c>
      <c r="L9992" s="787">
        <v>0</v>
      </c>
      <c r="M9992" s="787">
        <v>10</v>
      </c>
      <c r="N9992" s="787">
        <v>0</v>
      </c>
    </row>
    <row r="9993" spans="1:15" x14ac:dyDescent="0.25">
      <c r="A9993" s="786" t="s">
        <v>17965</v>
      </c>
      <c r="B9993" s="787">
        <v>4</v>
      </c>
      <c r="C9993" s="787" t="s">
        <v>17966</v>
      </c>
      <c r="D9993" s="787">
        <v>0</v>
      </c>
      <c r="E9993" s="787">
        <v>0</v>
      </c>
      <c r="H9993" s="787">
        <v>1</v>
      </c>
      <c r="L9993" s="787">
        <v>0</v>
      </c>
      <c r="M9993" s="787">
        <v>10</v>
      </c>
      <c r="N9993" s="787">
        <v>0</v>
      </c>
    </row>
    <row r="9994" spans="1:15" x14ac:dyDescent="0.25">
      <c r="A9994" s="786" t="s">
        <v>17967</v>
      </c>
      <c r="B9994" s="787">
        <v>4</v>
      </c>
      <c r="C9994" s="787" t="s">
        <v>17968</v>
      </c>
      <c r="D9994" s="787">
        <v>0</v>
      </c>
      <c r="E9994" s="787">
        <v>0</v>
      </c>
      <c r="H9994" s="787">
        <v>1</v>
      </c>
      <c r="L9994" s="787">
        <v>0</v>
      </c>
      <c r="M9994" s="787">
        <v>10</v>
      </c>
      <c r="N9994" s="787">
        <v>0</v>
      </c>
    </row>
    <row r="9995" spans="1:15" x14ac:dyDescent="0.25">
      <c r="A9995" s="786" t="s">
        <v>17969</v>
      </c>
      <c r="B9995" s="787">
        <v>4</v>
      </c>
      <c r="C9995" s="787" t="s">
        <v>17970</v>
      </c>
      <c r="D9995" s="787">
        <v>0</v>
      </c>
      <c r="E9995" s="787">
        <v>0</v>
      </c>
      <c r="H9995" s="787">
        <v>1</v>
      </c>
      <c r="L9995" s="787">
        <v>0</v>
      </c>
      <c r="M9995" s="787">
        <v>10</v>
      </c>
      <c r="N9995" s="787">
        <v>0</v>
      </c>
    </row>
    <row r="9996" spans="1:15" x14ac:dyDescent="0.25">
      <c r="A9996" s="786" t="s">
        <v>17971</v>
      </c>
      <c r="B9996" s="787">
        <v>4</v>
      </c>
      <c r="C9996" s="787" t="s">
        <v>17972</v>
      </c>
      <c r="D9996" s="787">
        <v>0</v>
      </c>
      <c r="E9996" s="787">
        <v>0</v>
      </c>
      <c r="H9996" s="787">
        <v>1</v>
      </c>
      <c r="L9996" s="787">
        <v>0</v>
      </c>
      <c r="M9996" s="787">
        <v>10</v>
      </c>
      <c r="N9996" s="787">
        <v>0</v>
      </c>
    </row>
    <row r="9997" spans="1:15" x14ac:dyDescent="0.25">
      <c r="A9997" s="786" t="s">
        <v>17973</v>
      </c>
      <c r="B9997" s="787">
        <v>4</v>
      </c>
      <c r="C9997" s="787" t="s">
        <v>17974</v>
      </c>
      <c r="D9997" s="787">
        <v>0</v>
      </c>
      <c r="E9997" s="787">
        <v>0</v>
      </c>
      <c r="H9997" s="787">
        <v>1</v>
      </c>
      <c r="L9997" s="787">
        <v>0</v>
      </c>
      <c r="M9997" s="787">
        <v>10</v>
      </c>
      <c r="N9997" s="787">
        <v>0</v>
      </c>
    </row>
    <row r="9998" spans="1:15" x14ac:dyDescent="0.25">
      <c r="A9998" s="786" t="s">
        <v>17975</v>
      </c>
      <c r="B9998" s="787">
        <v>4</v>
      </c>
      <c r="C9998" s="787" t="s">
        <v>17976</v>
      </c>
      <c r="D9998" s="787">
        <v>0</v>
      </c>
      <c r="E9998" s="787">
        <v>0</v>
      </c>
      <c r="H9998" s="787">
        <v>1</v>
      </c>
      <c r="L9998" s="787">
        <v>0</v>
      </c>
      <c r="M9998" s="787">
        <v>10</v>
      </c>
      <c r="N9998" s="787">
        <v>0</v>
      </c>
    </row>
    <row r="9999" spans="1:15" x14ac:dyDescent="0.25">
      <c r="A9999" s="786" t="s">
        <v>17977</v>
      </c>
      <c r="B9999" s="787">
        <v>4</v>
      </c>
      <c r="C9999" s="787" t="s">
        <v>17978</v>
      </c>
      <c r="D9999" s="787">
        <v>0</v>
      </c>
      <c r="E9999" s="787">
        <v>0</v>
      </c>
      <c r="H9999" s="787">
        <v>1</v>
      </c>
      <c r="L9999" s="787">
        <v>0</v>
      </c>
      <c r="M9999" s="787">
        <v>10</v>
      </c>
      <c r="N9999" s="787">
        <v>0</v>
      </c>
    </row>
    <row r="10000" spans="1:15" x14ac:dyDescent="0.25">
      <c r="A10000" s="786" t="s">
        <v>17979</v>
      </c>
      <c r="B10000" s="787">
        <v>4</v>
      </c>
      <c r="C10000" s="787" t="s">
        <v>17980</v>
      </c>
      <c r="D10000" s="787">
        <v>5.12</v>
      </c>
      <c r="E10000" s="787">
        <v>7.87</v>
      </c>
      <c r="F10000" s="788">
        <v>42072</v>
      </c>
      <c r="G10000" s="788">
        <v>42088</v>
      </c>
      <c r="H10000" s="787">
        <v>1</v>
      </c>
      <c r="I10000" s="788">
        <v>42156</v>
      </c>
      <c r="J10000" s="788">
        <v>42058</v>
      </c>
      <c r="K10000" s="788">
        <v>42040</v>
      </c>
      <c r="L10000" s="787">
        <v>6.03</v>
      </c>
      <c r="M10000" s="787">
        <v>10</v>
      </c>
      <c r="N10000" s="787">
        <v>6.03</v>
      </c>
      <c r="O10000" s="788">
        <v>42146</v>
      </c>
    </row>
    <row r="10001" spans="1:15" x14ac:dyDescent="0.25">
      <c r="A10001" s="786" t="s">
        <v>17981</v>
      </c>
      <c r="B10001" s="787">
        <v>4</v>
      </c>
      <c r="C10001" s="787" t="s">
        <v>17982</v>
      </c>
      <c r="D10001" s="787">
        <v>0</v>
      </c>
      <c r="E10001" s="787">
        <v>0</v>
      </c>
      <c r="G10001" s="788">
        <v>42115</v>
      </c>
      <c r="H10001" s="787">
        <v>1</v>
      </c>
      <c r="I10001" s="788">
        <v>42109</v>
      </c>
      <c r="J10001" s="788">
        <v>42115</v>
      </c>
      <c r="K10001" s="788">
        <v>42021</v>
      </c>
      <c r="L10001" s="787">
        <v>2.0099999999999998</v>
      </c>
      <c r="M10001" s="787">
        <v>10</v>
      </c>
      <c r="N10001" s="787">
        <v>9.3800000000000008</v>
      </c>
      <c r="O10001" s="788">
        <v>42051</v>
      </c>
    </row>
    <row r="10002" spans="1:15" x14ac:dyDescent="0.25">
      <c r="A10002" s="786" t="s">
        <v>17983</v>
      </c>
      <c r="B10002" s="787">
        <v>4</v>
      </c>
      <c r="C10002" s="787" t="s">
        <v>17984</v>
      </c>
      <c r="D10002" s="787">
        <v>0</v>
      </c>
      <c r="E10002" s="787">
        <v>0</v>
      </c>
      <c r="H10002" s="787">
        <v>1</v>
      </c>
      <c r="L10002" s="787">
        <v>0</v>
      </c>
      <c r="M10002" s="787">
        <v>10</v>
      </c>
      <c r="N10002" s="787">
        <v>0</v>
      </c>
    </row>
    <row r="10003" spans="1:15" x14ac:dyDescent="0.25">
      <c r="A10003" s="786" t="s">
        <v>17985</v>
      </c>
      <c r="B10003" s="787">
        <v>4</v>
      </c>
      <c r="C10003" s="787" t="s">
        <v>17986</v>
      </c>
      <c r="D10003" s="787">
        <v>0</v>
      </c>
      <c r="E10003" s="787">
        <v>0</v>
      </c>
      <c r="H10003" s="787">
        <v>1</v>
      </c>
      <c r="L10003" s="787">
        <v>0.01</v>
      </c>
      <c r="M10003" s="787">
        <v>10</v>
      </c>
      <c r="N10003" s="787">
        <v>0</v>
      </c>
    </row>
    <row r="10004" spans="1:15" x14ac:dyDescent="0.25">
      <c r="A10004" s="786" t="s">
        <v>17987</v>
      </c>
      <c r="B10004" s="787">
        <v>4</v>
      </c>
      <c r="C10004" s="787" t="s">
        <v>17986</v>
      </c>
      <c r="D10004" s="787">
        <v>0</v>
      </c>
      <c r="E10004" s="787">
        <v>0</v>
      </c>
      <c r="H10004" s="787">
        <v>1</v>
      </c>
      <c r="K10004" s="788">
        <v>42019</v>
      </c>
      <c r="L10004" s="787">
        <v>0.01</v>
      </c>
      <c r="M10004" s="787">
        <v>10</v>
      </c>
      <c r="N10004" s="787">
        <v>0</v>
      </c>
    </row>
    <row r="10005" spans="1:15" x14ac:dyDescent="0.25">
      <c r="A10005" s="786" t="s">
        <v>17988</v>
      </c>
      <c r="B10005" s="787">
        <v>4</v>
      </c>
      <c r="C10005" s="787" t="s">
        <v>17986</v>
      </c>
      <c r="D10005" s="787">
        <v>0</v>
      </c>
      <c r="E10005" s="787">
        <v>0</v>
      </c>
      <c r="H10005" s="787">
        <v>1</v>
      </c>
      <c r="L10005" s="787">
        <v>0.01</v>
      </c>
      <c r="M10005" s="787">
        <v>10</v>
      </c>
      <c r="N10005" s="787">
        <v>0</v>
      </c>
    </row>
    <row r="10006" spans="1:15" x14ac:dyDescent="0.25">
      <c r="A10006" s="786" t="s">
        <v>17989</v>
      </c>
      <c r="B10006" s="787">
        <v>4</v>
      </c>
      <c r="C10006" s="787" t="s">
        <v>17990</v>
      </c>
      <c r="D10006" s="787">
        <v>0</v>
      </c>
      <c r="E10006" s="787">
        <v>0</v>
      </c>
      <c r="H10006" s="787">
        <v>1</v>
      </c>
      <c r="I10006" s="788">
        <v>42136</v>
      </c>
      <c r="L10006" s="787">
        <v>0</v>
      </c>
      <c r="M10006" s="787">
        <v>10</v>
      </c>
      <c r="N10006" s="787">
        <v>0</v>
      </c>
    </row>
    <row r="10007" spans="1:15" x14ac:dyDescent="0.25">
      <c r="A10007" s="786" t="s">
        <v>17991</v>
      </c>
      <c r="B10007" s="787">
        <v>4</v>
      </c>
      <c r="C10007" s="787" t="s">
        <v>17984</v>
      </c>
      <c r="D10007" s="787">
        <v>0</v>
      </c>
      <c r="E10007" s="787">
        <v>0</v>
      </c>
      <c r="H10007" s="787">
        <v>1</v>
      </c>
      <c r="L10007" s="787">
        <v>0</v>
      </c>
      <c r="M10007" s="787">
        <v>10</v>
      </c>
      <c r="N10007" s="787">
        <v>0</v>
      </c>
    </row>
    <row r="10008" spans="1:15" x14ac:dyDescent="0.25">
      <c r="A10008" s="786" t="s">
        <v>17992</v>
      </c>
      <c r="B10008" s="787">
        <v>4</v>
      </c>
      <c r="C10008" s="787" t="s">
        <v>17986</v>
      </c>
      <c r="D10008" s="787">
        <v>0</v>
      </c>
      <c r="E10008" s="787">
        <v>0</v>
      </c>
      <c r="H10008" s="787">
        <v>1</v>
      </c>
      <c r="I10008" s="788">
        <v>42083</v>
      </c>
      <c r="K10008" s="788">
        <v>42080</v>
      </c>
      <c r="L10008" s="787">
        <v>0.01</v>
      </c>
      <c r="M10008" s="787">
        <v>10</v>
      </c>
      <c r="N10008" s="787">
        <v>0</v>
      </c>
    </row>
    <row r="10009" spans="1:15" x14ac:dyDescent="0.25">
      <c r="A10009" s="786" t="s">
        <v>17993</v>
      </c>
      <c r="B10009" s="787">
        <v>4</v>
      </c>
      <c r="C10009" s="787" t="s">
        <v>17986</v>
      </c>
      <c r="D10009" s="787">
        <v>0</v>
      </c>
      <c r="E10009" s="787">
        <v>0</v>
      </c>
      <c r="H10009" s="787">
        <v>1</v>
      </c>
      <c r="I10009" s="788">
        <v>42083</v>
      </c>
      <c r="L10009" s="787">
        <v>0.01</v>
      </c>
      <c r="M10009" s="787">
        <v>10</v>
      </c>
      <c r="N10009" s="787">
        <v>0</v>
      </c>
    </row>
    <row r="10010" spans="1:15" x14ac:dyDescent="0.25">
      <c r="A10010" s="786" t="s">
        <v>17994</v>
      </c>
      <c r="B10010" s="787">
        <v>4</v>
      </c>
      <c r="C10010" s="787" t="s">
        <v>17986</v>
      </c>
      <c r="D10010" s="787">
        <v>0</v>
      </c>
      <c r="E10010" s="787">
        <v>0</v>
      </c>
      <c r="H10010" s="787">
        <v>1</v>
      </c>
      <c r="L10010" s="787">
        <v>0</v>
      </c>
      <c r="M10010" s="787">
        <v>10</v>
      </c>
      <c r="N10010" s="787">
        <v>0</v>
      </c>
    </row>
    <row r="10011" spans="1:15" x14ac:dyDescent="0.25">
      <c r="A10011" s="786" t="s">
        <v>17995</v>
      </c>
      <c r="B10011" s="787">
        <v>4</v>
      </c>
      <c r="C10011" s="787" t="s">
        <v>17996</v>
      </c>
      <c r="D10011" s="787">
        <v>0</v>
      </c>
      <c r="E10011" s="787">
        <v>0</v>
      </c>
      <c r="H10011" s="787">
        <v>1</v>
      </c>
      <c r="I10011" s="788">
        <v>42121</v>
      </c>
      <c r="K10011" s="788">
        <v>42026</v>
      </c>
      <c r="L10011" s="787">
        <v>12</v>
      </c>
      <c r="M10011" s="787">
        <v>10</v>
      </c>
      <c r="N10011" s="787">
        <v>11.32</v>
      </c>
      <c r="O10011" s="788">
        <v>42026</v>
      </c>
    </row>
    <row r="10012" spans="1:15" x14ac:dyDescent="0.25">
      <c r="A10012" s="786" t="s">
        <v>17997</v>
      </c>
      <c r="B10012" s="787">
        <v>4</v>
      </c>
      <c r="C10012" s="787" t="s">
        <v>17998</v>
      </c>
      <c r="D10012" s="787">
        <v>0</v>
      </c>
      <c r="E10012" s="787">
        <v>0</v>
      </c>
      <c r="H10012" s="787">
        <v>1</v>
      </c>
      <c r="K10012" s="788">
        <v>42026</v>
      </c>
      <c r="L10012" s="787">
        <v>12</v>
      </c>
      <c r="M10012" s="787">
        <v>10</v>
      </c>
      <c r="N10012" s="787">
        <v>11.32</v>
      </c>
      <c r="O10012" s="788">
        <v>42026</v>
      </c>
    </row>
    <row r="10013" spans="1:15" x14ac:dyDescent="0.25">
      <c r="A10013" s="786" t="s">
        <v>17999</v>
      </c>
      <c r="B10013" s="787">
        <v>4</v>
      </c>
      <c r="C10013" s="787" t="s">
        <v>18000</v>
      </c>
      <c r="D10013" s="787">
        <v>0</v>
      </c>
      <c r="E10013" s="787">
        <v>0</v>
      </c>
      <c r="H10013" s="787">
        <v>1</v>
      </c>
      <c r="I10013" s="788">
        <v>42121</v>
      </c>
      <c r="K10013" s="788">
        <v>42026</v>
      </c>
      <c r="L10013" s="787">
        <v>7.19</v>
      </c>
      <c r="M10013" s="787">
        <v>10</v>
      </c>
      <c r="N10013" s="787">
        <v>7.19</v>
      </c>
      <c r="O10013" s="788">
        <v>42026</v>
      </c>
    </row>
    <row r="10014" spans="1:15" x14ac:dyDescent="0.25">
      <c r="A10014" s="786" t="s">
        <v>18001</v>
      </c>
      <c r="B10014" s="787">
        <v>4</v>
      </c>
      <c r="C10014" s="787" t="s">
        <v>18002</v>
      </c>
      <c r="D10014" s="787">
        <v>9.2899999999999991</v>
      </c>
      <c r="E10014" s="787">
        <v>9.2899999999999991</v>
      </c>
      <c r="F10014" s="788">
        <v>42160</v>
      </c>
      <c r="G10014" s="788">
        <v>42164</v>
      </c>
      <c r="H10014" s="787">
        <v>1</v>
      </c>
      <c r="I10014" s="788">
        <v>42151</v>
      </c>
      <c r="J10014" s="788">
        <v>42164</v>
      </c>
      <c r="K10014" s="788">
        <v>42115</v>
      </c>
      <c r="L10014" s="787">
        <v>10</v>
      </c>
      <c r="M10014" s="787">
        <v>10</v>
      </c>
      <c r="N10014" s="787">
        <v>8.2100000000000009</v>
      </c>
      <c r="O10014" s="788">
        <v>42115</v>
      </c>
    </row>
    <row r="10015" spans="1:15" x14ac:dyDescent="0.25">
      <c r="A10015" s="786" t="s">
        <v>18003</v>
      </c>
      <c r="B10015" s="787">
        <v>4</v>
      </c>
      <c r="C10015" s="787" t="s">
        <v>18004</v>
      </c>
      <c r="D10015" s="787">
        <v>0</v>
      </c>
      <c r="E10015" s="787">
        <v>0</v>
      </c>
      <c r="H10015" s="787">
        <v>1</v>
      </c>
      <c r="L10015" s="787">
        <v>0</v>
      </c>
      <c r="M10015" s="787">
        <v>10</v>
      </c>
      <c r="N10015" s="787">
        <v>0</v>
      </c>
    </row>
    <row r="10016" spans="1:15" x14ac:dyDescent="0.25">
      <c r="A10016" s="786" t="s">
        <v>18005</v>
      </c>
      <c r="B10016" s="787">
        <v>4</v>
      </c>
      <c r="C10016" s="787" t="s">
        <v>18006</v>
      </c>
      <c r="D10016" s="787">
        <v>9.6999999999999993</v>
      </c>
      <c r="E10016" s="787">
        <v>19.7</v>
      </c>
      <c r="F10016" s="788">
        <v>42040</v>
      </c>
      <c r="G10016" s="788">
        <v>42046</v>
      </c>
      <c r="H10016" s="787">
        <v>1</v>
      </c>
      <c r="J10016" s="788">
        <v>42039</v>
      </c>
      <c r="K10016" s="788">
        <v>42047</v>
      </c>
      <c r="L10016" s="787">
        <v>19.7</v>
      </c>
      <c r="M10016" s="787">
        <v>10</v>
      </c>
      <c r="N10016" s="787">
        <v>0</v>
      </c>
    </row>
    <row r="10017" spans="1:15" x14ac:dyDescent="0.25">
      <c r="A10017" s="786" t="s">
        <v>18007</v>
      </c>
      <c r="B10017" s="787">
        <v>4</v>
      </c>
      <c r="C10017" s="787" t="s">
        <v>18008</v>
      </c>
      <c r="D10017" s="787">
        <v>0.19</v>
      </c>
      <c r="E10017" s="787">
        <v>0.19</v>
      </c>
      <c r="F10017" s="788">
        <v>42166</v>
      </c>
      <c r="G10017" s="788">
        <v>42166</v>
      </c>
      <c r="H10017" s="787">
        <v>1</v>
      </c>
      <c r="I10017" s="788">
        <v>42152</v>
      </c>
      <c r="J10017" s="788">
        <v>42137</v>
      </c>
      <c r="K10017" s="788">
        <v>42040</v>
      </c>
      <c r="L10017" s="787">
        <v>1.03</v>
      </c>
      <c r="M10017" s="787">
        <v>10</v>
      </c>
      <c r="N10017" s="787">
        <v>1.03</v>
      </c>
      <c r="O10017" s="788">
        <v>42040</v>
      </c>
    </row>
    <row r="10018" spans="1:15" x14ac:dyDescent="0.25">
      <c r="A10018" s="786" t="s">
        <v>18009</v>
      </c>
      <c r="B10018" s="787">
        <v>4</v>
      </c>
      <c r="C10018" s="787" t="s">
        <v>18010</v>
      </c>
      <c r="D10018" s="787">
        <v>0</v>
      </c>
      <c r="E10018" s="787">
        <v>0</v>
      </c>
      <c r="G10018" s="788">
        <v>42159</v>
      </c>
      <c r="H10018" s="787">
        <v>1</v>
      </c>
      <c r="J10018" s="788">
        <v>42166</v>
      </c>
      <c r="K10018" s="788">
        <v>42158</v>
      </c>
      <c r="L10018" s="787">
        <v>23.05</v>
      </c>
      <c r="M10018" s="787">
        <v>10</v>
      </c>
      <c r="N10018" s="787">
        <v>23.05</v>
      </c>
      <c r="O10018" s="788">
        <v>42158</v>
      </c>
    </row>
    <row r="10019" spans="1:15" x14ac:dyDescent="0.25">
      <c r="A10019" s="786" t="s">
        <v>18011</v>
      </c>
      <c r="B10019" s="787">
        <v>4</v>
      </c>
      <c r="C10019" s="787" t="s">
        <v>18012</v>
      </c>
      <c r="D10019" s="787">
        <v>0</v>
      </c>
      <c r="E10019" s="787">
        <v>0</v>
      </c>
      <c r="G10019" s="788">
        <v>42158</v>
      </c>
      <c r="H10019" s="787">
        <v>1</v>
      </c>
      <c r="J10019" s="788">
        <v>42166</v>
      </c>
      <c r="K10019" s="788">
        <v>42158</v>
      </c>
      <c r="L10019" s="787">
        <v>13.42</v>
      </c>
      <c r="M10019" s="787">
        <v>10</v>
      </c>
      <c r="N10019" s="787">
        <v>0</v>
      </c>
    </row>
    <row r="10020" spans="1:15" x14ac:dyDescent="0.25">
      <c r="A10020" s="786" t="s">
        <v>18013</v>
      </c>
      <c r="B10020" s="787">
        <v>4</v>
      </c>
      <c r="C10020" s="787" t="s">
        <v>18014</v>
      </c>
      <c r="D10020" s="787">
        <v>0</v>
      </c>
      <c r="E10020" s="787">
        <v>0</v>
      </c>
      <c r="H10020" s="787">
        <v>1</v>
      </c>
      <c r="K10020" s="788">
        <v>42086</v>
      </c>
      <c r="L10020" s="787">
        <v>11.1</v>
      </c>
      <c r="M10020" s="787">
        <v>10</v>
      </c>
      <c r="N10020" s="787">
        <v>0</v>
      </c>
    </row>
    <row r="10021" spans="1:15" x14ac:dyDescent="0.25">
      <c r="A10021" s="786" t="s">
        <v>18015</v>
      </c>
      <c r="B10021" s="787">
        <v>4</v>
      </c>
      <c r="C10021" s="787" t="s">
        <v>18016</v>
      </c>
      <c r="D10021" s="787">
        <v>1.51</v>
      </c>
      <c r="E10021" s="787">
        <v>1.51</v>
      </c>
      <c r="F10021" s="788">
        <v>42132</v>
      </c>
      <c r="G10021" s="788">
        <v>42132</v>
      </c>
      <c r="H10021" s="787">
        <v>1</v>
      </c>
      <c r="I10021" s="788">
        <v>42135</v>
      </c>
      <c r="J10021" s="788">
        <v>42102</v>
      </c>
      <c r="K10021" s="788">
        <v>42074</v>
      </c>
      <c r="L10021" s="787">
        <v>15.19</v>
      </c>
      <c r="M10021" s="787">
        <v>10</v>
      </c>
      <c r="N10021" s="787">
        <v>11.51</v>
      </c>
      <c r="O10021" s="788">
        <v>42074</v>
      </c>
    </row>
    <row r="10022" spans="1:15" x14ac:dyDescent="0.25">
      <c r="A10022" s="786" t="s">
        <v>18017</v>
      </c>
      <c r="B10022" s="787">
        <v>4</v>
      </c>
      <c r="C10022" s="787" t="s">
        <v>18018</v>
      </c>
      <c r="D10022" s="787">
        <v>0</v>
      </c>
      <c r="E10022" s="787">
        <v>0</v>
      </c>
      <c r="H10022" s="787">
        <v>1</v>
      </c>
      <c r="L10022" s="787">
        <v>0</v>
      </c>
      <c r="M10022" s="787">
        <v>10</v>
      </c>
      <c r="N10022" s="787">
        <v>0</v>
      </c>
    </row>
    <row r="10023" spans="1:15" x14ac:dyDescent="0.25">
      <c r="A10023" s="786" t="s">
        <v>18019</v>
      </c>
      <c r="B10023" s="787">
        <v>4</v>
      </c>
      <c r="C10023" s="787" t="s">
        <v>18020</v>
      </c>
      <c r="D10023" s="787">
        <v>0</v>
      </c>
      <c r="E10023" s="787">
        <v>0</v>
      </c>
      <c r="H10023" s="787">
        <v>1</v>
      </c>
      <c r="L10023" s="787">
        <v>0</v>
      </c>
      <c r="M10023" s="787">
        <v>10</v>
      </c>
      <c r="N10023" s="787">
        <v>0</v>
      </c>
    </row>
    <row r="10024" spans="1:15" x14ac:dyDescent="0.25">
      <c r="A10024" s="786" t="s">
        <v>18021</v>
      </c>
      <c r="B10024" s="787">
        <v>4</v>
      </c>
      <c r="C10024" s="787" t="s">
        <v>18022</v>
      </c>
      <c r="D10024" s="787">
        <v>0</v>
      </c>
      <c r="E10024" s="787">
        <v>0</v>
      </c>
      <c r="H10024" s="787">
        <v>1</v>
      </c>
      <c r="L10024" s="787">
        <v>0</v>
      </c>
      <c r="M10024" s="787">
        <v>10</v>
      </c>
      <c r="N10024" s="787">
        <v>0</v>
      </c>
    </row>
    <row r="10025" spans="1:15" x14ac:dyDescent="0.25">
      <c r="A10025" s="786" t="s">
        <v>18023</v>
      </c>
      <c r="B10025" s="787">
        <v>4</v>
      </c>
      <c r="C10025" s="787" t="s">
        <v>18024</v>
      </c>
      <c r="D10025" s="787">
        <v>3.35</v>
      </c>
      <c r="E10025" s="787">
        <v>13.35</v>
      </c>
      <c r="F10025" s="788">
        <v>42135</v>
      </c>
      <c r="G10025" s="788">
        <v>42135</v>
      </c>
      <c r="H10025" s="787">
        <v>1</v>
      </c>
      <c r="J10025" s="788">
        <v>42103</v>
      </c>
      <c r="K10025" s="788">
        <v>42093</v>
      </c>
      <c r="L10025" s="787">
        <v>11.34</v>
      </c>
      <c r="M10025" s="787">
        <v>10</v>
      </c>
      <c r="N10025" s="787">
        <v>11.34</v>
      </c>
      <c r="O10025" s="788">
        <v>42093</v>
      </c>
    </row>
    <row r="10026" spans="1:15" x14ac:dyDescent="0.25">
      <c r="A10026" s="786" t="s">
        <v>18025</v>
      </c>
      <c r="B10026" s="787">
        <v>4</v>
      </c>
      <c r="C10026" s="787" t="s">
        <v>18026</v>
      </c>
      <c r="D10026" s="787">
        <v>0</v>
      </c>
      <c r="E10026" s="787">
        <v>0</v>
      </c>
      <c r="H10026" s="787">
        <v>1</v>
      </c>
      <c r="L10026" s="787">
        <v>0</v>
      </c>
      <c r="M10026" s="787">
        <v>10</v>
      </c>
      <c r="N10026" s="787">
        <v>0</v>
      </c>
    </row>
    <row r="10027" spans="1:15" x14ac:dyDescent="0.25">
      <c r="A10027" s="786" t="s">
        <v>18027</v>
      </c>
      <c r="B10027" s="787">
        <v>4</v>
      </c>
      <c r="C10027" s="787" t="s">
        <v>18028</v>
      </c>
      <c r="D10027" s="787">
        <v>0</v>
      </c>
      <c r="E10027" s="787">
        <v>0</v>
      </c>
      <c r="H10027" s="787">
        <v>1</v>
      </c>
      <c r="L10027" s="787">
        <v>0</v>
      </c>
      <c r="M10027" s="787">
        <v>10</v>
      </c>
      <c r="N10027" s="787">
        <v>0</v>
      </c>
    </row>
    <row r="10028" spans="1:15" x14ac:dyDescent="0.25">
      <c r="A10028" s="786" t="s">
        <v>18029</v>
      </c>
      <c r="B10028" s="787">
        <v>4</v>
      </c>
      <c r="C10028" s="787" t="s">
        <v>18030</v>
      </c>
      <c r="D10028" s="787">
        <v>0</v>
      </c>
      <c r="E10028" s="787">
        <v>0</v>
      </c>
      <c r="H10028" s="787">
        <v>1</v>
      </c>
      <c r="L10028" s="787">
        <v>0</v>
      </c>
      <c r="M10028" s="787">
        <v>10</v>
      </c>
      <c r="N10028" s="787">
        <v>0</v>
      </c>
    </row>
    <row r="10029" spans="1:15" x14ac:dyDescent="0.25">
      <c r="A10029" s="786" t="s">
        <v>18031</v>
      </c>
      <c r="B10029" s="787">
        <v>4</v>
      </c>
      <c r="C10029" s="787" t="s">
        <v>18032</v>
      </c>
      <c r="D10029" s="787">
        <v>0</v>
      </c>
      <c r="E10029" s="787">
        <v>0</v>
      </c>
      <c r="H10029" s="787">
        <v>1</v>
      </c>
      <c r="L10029" s="787">
        <v>0</v>
      </c>
      <c r="M10029" s="787">
        <v>10</v>
      </c>
      <c r="N10029" s="787">
        <v>0</v>
      </c>
    </row>
    <row r="10030" spans="1:15" x14ac:dyDescent="0.25">
      <c r="A10030" s="786" t="s">
        <v>18033</v>
      </c>
      <c r="B10030" s="787">
        <v>4</v>
      </c>
      <c r="C10030" s="787" t="s">
        <v>18034</v>
      </c>
      <c r="D10030" s="787">
        <v>0</v>
      </c>
      <c r="E10030" s="787">
        <v>0</v>
      </c>
      <c r="H10030" s="787">
        <v>1</v>
      </c>
      <c r="L10030" s="787">
        <v>0</v>
      </c>
      <c r="M10030" s="787">
        <v>10</v>
      </c>
      <c r="N10030" s="787">
        <v>0</v>
      </c>
    </row>
    <row r="10031" spans="1:15" x14ac:dyDescent="0.25">
      <c r="A10031" s="786" t="s">
        <v>18035</v>
      </c>
      <c r="B10031" s="787">
        <v>4</v>
      </c>
      <c r="C10031" s="787" t="s">
        <v>18036</v>
      </c>
      <c r="D10031" s="787">
        <v>0</v>
      </c>
      <c r="E10031" s="787">
        <v>0</v>
      </c>
      <c r="H10031" s="787">
        <v>1</v>
      </c>
      <c r="L10031" s="787">
        <v>0</v>
      </c>
      <c r="M10031" s="787">
        <v>10</v>
      </c>
      <c r="N10031" s="787">
        <v>0</v>
      </c>
    </row>
    <row r="10032" spans="1:15" x14ac:dyDescent="0.25">
      <c r="A10032" s="786" t="s">
        <v>18037</v>
      </c>
      <c r="B10032" s="787">
        <v>4</v>
      </c>
      <c r="C10032" s="787" t="s">
        <v>18038</v>
      </c>
      <c r="D10032" s="787">
        <v>0</v>
      </c>
      <c r="E10032" s="787">
        <v>0</v>
      </c>
      <c r="H10032" s="787">
        <v>1</v>
      </c>
      <c r="L10032" s="787">
        <v>0</v>
      </c>
      <c r="M10032" s="787">
        <v>10</v>
      </c>
      <c r="N10032" s="787">
        <v>0</v>
      </c>
    </row>
    <row r="10033" spans="1:15" x14ac:dyDescent="0.25">
      <c r="A10033" s="786" t="s">
        <v>18039</v>
      </c>
      <c r="B10033" s="787">
        <v>4</v>
      </c>
      <c r="C10033" s="787" t="s">
        <v>18040</v>
      </c>
      <c r="D10033" s="787">
        <v>0</v>
      </c>
      <c r="E10033" s="787">
        <v>0</v>
      </c>
      <c r="H10033" s="787">
        <v>1</v>
      </c>
      <c r="L10033" s="787">
        <v>0</v>
      </c>
      <c r="M10033" s="787">
        <v>10</v>
      </c>
      <c r="N10033" s="787">
        <v>0</v>
      </c>
    </row>
    <row r="10034" spans="1:15" x14ac:dyDescent="0.25">
      <c r="A10034" s="786" t="s">
        <v>18041</v>
      </c>
      <c r="B10034" s="787">
        <v>4</v>
      </c>
      <c r="C10034" s="787" t="s">
        <v>18042</v>
      </c>
      <c r="D10034" s="787">
        <v>0</v>
      </c>
      <c r="E10034" s="787">
        <v>0</v>
      </c>
      <c r="H10034" s="787">
        <v>1</v>
      </c>
      <c r="L10034" s="787">
        <v>0</v>
      </c>
      <c r="M10034" s="787">
        <v>10</v>
      </c>
      <c r="N10034" s="787">
        <v>0</v>
      </c>
    </row>
    <row r="10035" spans="1:15" x14ac:dyDescent="0.25">
      <c r="A10035" s="786" t="s">
        <v>18043</v>
      </c>
      <c r="B10035" s="787">
        <v>4</v>
      </c>
      <c r="C10035" s="787" t="s">
        <v>18044</v>
      </c>
      <c r="D10035" s="787">
        <v>0</v>
      </c>
      <c r="E10035" s="787">
        <v>0</v>
      </c>
      <c r="H10035" s="787">
        <v>1</v>
      </c>
      <c r="I10035" s="788">
        <v>42137</v>
      </c>
      <c r="K10035" s="788">
        <v>42108</v>
      </c>
      <c r="L10035" s="787">
        <v>30</v>
      </c>
      <c r="M10035" s="787">
        <v>10</v>
      </c>
      <c r="N10035" s="787">
        <v>31.72</v>
      </c>
      <c r="O10035" s="788">
        <v>42108</v>
      </c>
    </row>
    <row r="10036" spans="1:15" x14ac:dyDescent="0.25">
      <c r="A10036" s="786" t="s">
        <v>18045</v>
      </c>
      <c r="B10036" s="787">
        <v>4</v>
      </c>
      <c r="C10036" s="787" t="s">
        <v>18046</v>
      </c>
      <c r="D10036" s="787">
        <v>0</v>
      </c>
      <c r="E10036" s="787">
        <v>0</v>
      </c>
      <c r="H10036" s="787">
        <v>1</v>
      </c>
      <c r="K10036" s="788">
        <v>42115</v>
      </c>
      <c r="L10036" s="787">
        <v>40</v>
      </c>
      <c r="M10036" s="787">
        <v>10</v>
      </c>
      <c r="N10036" s="787">
        <v>38.03</v>
      </c>
      <c r="O10036" s="788">
        <v>42115</v>
      </c>
    </row>
    <row r="10037" spans="1:15" x14ac:dyDescent="0.25">
      <c r="A10037" s="786" t="s">
        <v>18047</v>
      </c>
      <c r="B10037" s="787">
        <v>4</v>
      </c>
      <c r="C10037" s="787" t="s">
        <v>18048</v>
      </c>
      <c r="D10037" s="787">
        <v>0</v>
      </c>
      <c r="E10037" s="787">
        <v>0</v>
      </c>
      <c r="G10037" s="788">
        <v>42129</v>
      </c>
      <c r="H10037" s="787">
        <v>1</v>
      </c>
      <c r="I10037" s="788">
        <v>42151</v>
      </c>
      <c r="J10037" s="788">
        <v>42132</v>
      </c>
      <c r="K10037" s="788">
        <v>42122</v>
      </c>
      <c r="L10037" s="787">
        <v>4.5</v>
      </c>
      <c r="M10037" s="787">
        <v>10</v>
      </c>
      <c r="N10037" s="787">
        <v>4.84</v>
      </c>
      <c r="O10037" s="788">
        <v>42122</v>
      </c>
    </row>
    <row r="10038" spans="1:15" x14ac:dyDescent="0.25">
      <c r="A10038" s="786" t="s">
        <v>18049</v>
      </c>
      <c r="B10038" s="787">
        <v>4</v>
      </c>
      <c r="C10038" s="787" t="s">
        <v>18050</v>
      </c>
      <c r="D10038" s="787">
        <v>3.44</v>
      </c>
      <c r="E10038" s="787">
        <v>13.44</v>
      </c>
      <c r="F10038" s="788">
        <v>42153</v>
      </c>
      <c r="G10038" s="788">
        <v>42153</v>
      </c>
      <c r="H10038" s="787">
        <v>1</v>
      </c>
      <c r="I10038" s="788">
        <v>42144</v>
      </c>
      <c r="J10038" s="788">
        <v>42124</v>
      </c>
      <c r="K10038" s="788">
        <v>42122</v>
      </c>
      <c r="L10038" s="787">
        <v>20</v>
      </c>
      <c r="M10038" s="787">
        <v>10</v>
      </c>
      <c r="N10038" s="787">
        <v>22.55</v>
      </c>
      <c r="O10038" s="788">
        <v>42122</v>
      </c>
    </row>
    <row r="10039" spans="1:15" x14ac:dyDescent="0.25">
      <c r="A10039" s="786" t="s">
        <v>18051</v>
      </c>
      <c r="B10039" s="787">
        <v>4</v>
      </c>
      <c r="C10039" s="787" t="s">
        <v>18052</v>
      </c>
      <c r="D10039" s="787">
        <v>8.4499999999999993</v>
      </c>
      <c r="E10039" s="787">
        <v>8.4499999999999993</v>
      </c>
      <c r="F10039" s="788">
        <v>42153</v>
      </c>
      <c r="G10039" s="788">
        <v>42153</v>
      </c>
      <c r="H10039" s="787">
        <v>1</v>
      </c>
      <c r="I10039" s="788">
        <v>42144</v>
      </c>
      <c r="J10039" s="788">
        <v>42124</v>
      </c>
      <c r="K10039" s="788">
        <v>42122</v>
      </c>
      <c r="L10039" s="787">
        <v>20</v>
      </c>
      <c r="M10039" s="787">
        <v>10</v>
      </c>
      <c r="N10039" s="787">
        <v>22.55</v>
      </c>
      <c r="O10039" s="788">
        <v>42122</v>
      </c>
    </row>
    <row r="10040" spans="1:15" x14ac:dyDescent="0.25">
      <c r="A10040" s="786" t="s">
        <v>18053</v>
      </c>
      <c r="B10040" s="787">
        <v>4</v>
      </c>
      <c r="C10040" s="787" t="s">
        <v>18054</v>
      </c>
      <c r="D10040" s="787">
        <v>0</v>
      </c>
      <c r="E10040" s="787">
        <v>0</v>
      </c>
      <c r="G10040" s="788">
        <v>42130</v>
      </c>
      <c r="H10040" s="787">
        <v>1</v>
      </c>
      <c r="I10040" s="788">
        <v>42151</v>
      </c>
      <c r="J10040" s="788">
        <v>42143</v>
      </c>
      <c r="K10040" s="788">
        <v>42122</v>
      </c>
      <c r="L10040" s="787">
        <v>5</v>
      </c>
      <c r="M10040" s="787">
        <v>10</v>
      </c>
      <c r="N10040" s="787">
        <v>4.9000000000000004</v>
      </c>
      <c r="O10040" s="788">
        <v>42122</v>
      </c>
    </row>
    <row r="10041" spans="1:15" x14ac:dyDescent="0.25">
      <c r="A10041" s="786" t="s">
        <v>18055</v>
      </c>
      <c r="B10041" s="787">
        <v>4</v>
      </c>
      <c r="C10041" s="787" t="s">
        <v>18056</v>
      </c>
      <c r="D10041" s="787">
        <v>0</v>
      </c>
      <c r="E10041" s="787">
        <v>0</v>
      </c>
      <c r="H10041" s="787">
        <v>1</v>
      </c>
      <c r="L10041" s="787">
        <v>0</v>
      </c>
      <c r="M10041" s="787">
        <v>10</v>
      </c>
      <c r="N10041" s="787">
        <v>0</v>
      </c>
    </row>
    <row r="10042" spans="1:15" x14ac:dyDescent="0.25">
      <c r="A10042" s="786" t="s">
        <v>18057</v>
      </c>
      <c r="B10042" s="787">
        <v>4</v>
      </c>
      <c r="C10042" s="787" t="s">
        <v>18058</v>
      </c>
      <c r="D10042" s="787">
        <v>0</v>
      </c>
      <c r="E10042" s="787">
        <v>0</v>
      </c>
      <c r="H10042" s="787">
        <v>1</v>
      </c>
      <c r="K10042" s="788">
        <v>42159</v>
      </c>
      <c r="L10042" s="787">
        <v>0.1</v>
      </c>
      <c r="M10042" s="787">
        <v>10</v>
      </c>
      <c r="N10042" s="787">
        <v>0</v>
      </c>
    </row>
    <row r="10043" spans="1:15" x14ac:dyDescent="0.25">
      <c r="A10043" s="786" t="s">
        <v>18059</v>
      </c>
      <c r="B10043" s="787">
        <v>4</v>
      </c>
      <c r="C10043" s="787" t="s">
        <v>18060</v>
      </c>
      <c r="D10043" s="787">
        <v>0</v>
      </c>
      <c r="E10043" s="787">
        <v>0</v>
      </c>
      <c r="H10043" s="787">
        <v>1</v>
      </c>
      <c r="K10043" s="788">
        <v>42159</v>
      </c>
      <c r="L10043" s="787">
        <v>0.1</v>
      </c>
      <c r="M10043" s="787">
        <v>10</v>
      </c>
      <c r="N10043" s="787">
        <v>0</v>
      </c>
    </row>
    <row r="10044" spans="1:15" x14ac:dyDescent="0.25">
      <c r="A10044" s="786" t="s">
        <v>18061</v>
      </c>
      <c r="B10044" s="787">
        <v>4</v>
      </c>
      <c r="C10044" s="787" t="s">
        <v>18062</v>
      </c>
      <c r="D10044" s="787">
        <v>0</v>
      </c>
      <c r="E10044" s="787">
        <v>0</v>
      </c>
      <c r="H10044" s="787">
        <v>1</v>
      </c>
      <c r="K10044" s="788">
        <v>42159</v>
      </c>
      <c r="L10044" s="787">
        <v>0.1</v>
      </c>
      <c r="M10044" s="787">
        <v>10</v>
      </c>
      <c r="N10044" s="787">
        <v>0</v>
      </c>
    </row>
    <row r="10045" spans="1:15" x14ac:dyDescent="0.25">
      <c r="A10045" s="786" t="s">
        <v>18063</v>
      </c>
      <c r="B10045" s="787">
        <v>4</v>
      </c>
      <c r="C10045" s="787" t="s">
        <v>18064</v>
      </c>
      <c r="D10045" s="787">
        <v>0</v>
      </c>
      <c r="E10045" s="787">
        <v>9.5</v>
      </c>
      <c r="G10045" s="788">
        <v>42165</v>
      </c>
      <c r="H10045" s="787">
        <v>1</v>
      </c>
      <c r="J10045" s="788">
        <v>42165</v>
      </c>
      <c r="K10045" s="788">
        <v>42146</v>
      </c>
      <c r="L10045" s="787">
        <v>9.5</v>
      </c>
      <c r="M10045" s="787">
        <v>10</v>
      </c>
      <c r="N10045" s="787">
        <v>0</v>
      </c>
    </row>
    <row r="10046" spans="1:15" x14ac:dyDescent="0.25">
      <c r="A10046" s="786" t="s">
        <v>18065</v>
      </c>
      <c r="B10046" s="787">
        <v>4</v>
      </c>
      <c r="C10046" s="787" t="s">
        <v>18066</v>
      </c>
      <c r="D10046" s="787">
        <v>0</v>
      </c>
      <c r="E10046" s="787">
        <v>0</v>
      </c>
      <c r="H10046" s="787">
        <v>1</v>
      </c>
      <c r="K10046" s="788">
        <v>42157</v>
      </c>
      <c r="L10046" s="787">
        <v>25</v>
      </c>
      <c r="M10046" s="787">
        <v>10</v>
      </c>
      <c r="N10046" s="787">
        <v>26.06</v>
      </c>
      <c r="O10046" s="788">
        <v>42157</v>
      </c>
    </row>
    <row r="10047" spans="1:15" x14ac:dyDescent="0.25">
      <c r="A10047" s="786" t="s">
        <v>18067</v>
      </c>
      <c r="B10047" s="787">
        <v>4</v>
      </c>
      <c r="C10047" s="787" t="s">
        <v>18068</v>
      </c>
      <c r="D10047" s="787">
        <v>0</v>
      </c>
      <c r="E10047" s="787">
        <v>0</v>
      </c>
      <c r="H10047" s="787">
        <v>1</v>
      </c>
      <c r="L10047" s="787">
        <v>0</v>
      </c>
      <c r="M10047" s="787">
        <v>10</v>
      </c>
      <c r="N10047" s="787">
        <v>0</v>
      </c>
    </row>
    <row r="10048" spans="1:15" x14ac:dyDescent="0.25">
      <c r="A10048" s="786" t="s">
        <v>18069</v>
      </c>
      <c r="B10048" s="787">
        <v>4</v>
      </c>
      <c r="C10048" s="787" t="s">
        <v>18070</v>
      </c>
      <c r="D10048" s="787">
        <v>0</v>
      </c>
      <c r="E10048" s="787">
        <v>0</v>
      </c>
      <c r="H10048" s="787">
        <v>1</v>
      </c>
      <c r="K10048" s="788">
        <v>42160</v>
      </c>
      <c r="L10048" s="787">
        <v>13.5</v>
      </c>
      <c r="M10048" s="787">
        <v>10</v>
      </c>
      <c r="N10048" s="787">
        <v>0</v>
      </c>
    </row>
    <row r="10049" spans="1:15" x14ac:dyDescent="0.25">
      <c r="A10049" s="786" t="s">
        <v>18071</v>
      </c>
      <c r="B10049" s="787">
        <v>4</v>
      </c>
      <c r="C10049" s="787" t="s">
        <v>18072</v>
      </c>
      <c r="D10049" s="787">
        <v>0</v>
      </c>
      <c r="E10049" s="787">
        <v>0</v>
      </c>
      <c r="H10049" s="787">
        <v>1</v>
      </c>
      <c r="K10049" s="788">
        <v>42160</v>
      </c>
      <c r="L10049" s="787">
        <v>13.5</v>
      </c>
      <c r="M10049" s="787">
        <v>10</v>
      </c>
      <c r="N10049" s="787">
        <v>0</v>
      </c>
    </row>
    <row r="10050" spans="1:15" x14ac:dyDescent="0.25">
      <c r="A10050" s="786" t="s">
        <v>18073</v>
      </c>
      <c r="B10050" s="787">
        <v>4</v>
      </c>
      <c r="C10050" s="787" t="s">
        <v>18074</v>
      </c>
      <c r="D10050" s="787">
        <v>0</v>
      </c>
      <c r="E10050" s="787">
        <v>0</v>
      </c>
      <c r="H10050" s="787">
        <v>1</v>
      </c>
      <c r="K10050" s="788">
        <v>42160</v>
      </c>
      <c r="L10050" s="787">
        <v>16.5</v>
      </c>
      <c r="M10050" s="787">
        <v>10</v>
      </c>
      <c r="N10050" s="787">
        <v>0</v>
      </c>
    </row>
    <row r="10051" spans="1:15" x14ac:dyDescent="0.25">
      <c r="A10051" s="786" t="s">
        <v>18075</v>
      </c>
      <c r="B10051" s="787">
        <v>4</v>
      </c>
      <c r="C10051" s="787" t="s">
        <v>18076</v>
      </c>
      <c r="D10051" s="787">
        <v>0</v>
      </c>
      <c r="E10051" s="787">
        <v>9.6999999999999993</v>
      </c>
      <c r="H10051" s="787">
        <v>1</v>
      </c>
      <c r="K10051" s="788">
        <v>42160</v>
      </c>
      <c r="L10051" s="787">
        <v>9.6999999999999993</v>
      </c>
      <c r="M10051" s="787">
        <v>20</v>
      </c>
      <c r="N10051" s="787">
        <v>0</v>
      </c>
    </row>
    <row r="10052" spans="1:15" x14ac:dyDescent="0.25">
      <c r="A10052" s="786" t="s">
        <v>18077</v>
      </c>
      <c r="B10052" s="787">
        <v>4</v>
      </c>
      <c r="C10052" s="787" t="s">
        <v>18078</v>
      </c>
      <c r="D10052" s="787">
        <v>0</v>
      </c>
      <c r="E10052" s="787">
        <v>0</v>
      </c>
      <c r="H10052" s="787">
        <v>1</v>
      </c>
      <c r="K10052" s="788">
        <v>42160</v>
      </c>
      <c r="L10052" s="787">
        <v>19.5</v>
      </c>
      <c r="M10052" s="787">
        <v>10</v>
      </c>
      <c r="N10052" s="787">
        <v>0</v>
      </c>
    </row>
    <row r="10053" spans="1:15" x14ac:dyDescent="0.25">
      <c r="A10053" s="786" t="s">
        <v>18079</v>
      </c>
      <c r="B10053" s="787">
        <v>4</v>
      </c>
      <c r="C10053" s="787" t="s">
        <v>18080</v>
      </c>
      <c r="D10053" s="787">
        <v>0</v>
      </c>
      <c r="E10053" s="787">
        <v>0</v>
      </c>
      <c r="H10053" s="787">
        <v>1</v>
      </c>
      <c r="K10053" s="788">
        <v>42159</v>
      </c>
      <c r="L10053" s="787">
        <v>5</v>
      </c>
      <c r="M10053" s="787">
        <v>10</v>
      </c>
      <c r="N10053" s="787">
        <v>0</v>
      </c>
    </row>
    <row r="10054" spans="1:15" x14ac:dyDescent="0.25">
      <c r="A10054" s="786" t="s">
        <v>18081</v>
      </c>
      <c r="B10054" s="787">
        <v>4</v>
      </c>
      <c r="C10054" s="787" t="s">
        <v>18082</v>
      </c>
      <c r="D10054" s="787">
        <v>0</v>
      </c>
      <c r="E10054" s="787">
        <v>0</v>
      </c>
      <c r="H10054" s="787">
        <v>1</v>
      </c>
      <c r="K10054" s="788">
        <v>42159</v>
      </c>
      <c r="L10054" s="787">
        <v>5</v>
      </c>
      <c r="M10054" s="787">
        <v>10</v>
      </c>
      <c r="N10054" s="787">
        <v>0</v>
      </c>
    </row>
    <row r="10055" spans="1:15" x14ac:dyDescent="0.25">
      <c r="A10055" s="786" t="s">
        <v>18083</v>
      </c>
      <c r="B10055" s="787">
        <v>4</v>
      </c>
      <c r="C10055" s="787" t="s">
        <v>18084</v>
      </c>
      <c r="D10055" s="787">
        <v>0</v>
      </c>
      <c r="E10055" s="787">
        <v>0</v>
      </c>
      <c r="H10055" s="787">
        <v>1</v>
      </c>
      <c r="K10055" s="788">
        <v>42159</v>
      </c>
      <c r="L10055" s="787">
        <v>5</v>
      </c>
      <c r="M10055" s="787">
        <v>10</v>
      </c>
      <c r="N10055" s="787">
        <v>0</v>
      </c>
    </row>
    <row r="10056" spans="1:15" x14ac:dyDescent="0.25">
      <c r="A10056" s="786" t="s">
        <v>18085</v>
      </c>
      <c r="B10056" s="787">
        <v>4</v>
      </c>
      <c r="C10056" s="787" t="s">
        <v>18086</v>
      </c>
      <c r="D10056" s="787">
        <v>0</v>
      </c>
      <c r="E10056" s="787">
        <v>0</v>
      </c>
      <c r="H10056" s="787">
        <v>1</v>
      </c>
      <c r="K10056" s="788">
        <v>42159</v>
      </c>
      <c r="L10056" s="787">
        <v>5</v>
      </c>
      <c r="M10056" s="787">
        <v>10</v>
      </c>
      <c r="N10056" s="787">
        <v>0</v>
      </c>
    </row>
    <row r="10057" spans="1:15" x14ac:dyDescent="0.25">
      <c r="A10057" s="786" t="s">
        <v>18087</v>
      </c>
      <c r="B10057" s="787">
        <v>4</v>
      </c>
      <c r="C10057" s="787" t="s">
        <v>18088</v>
      </c>
      <c r="D10057" s="787">
        <v>0</v>
      </c>
      <c r="E10057" s="787">
        <v>0</v>
      </c>
      <c r="H10057" s="787">
        <v>1</v>
      </c>
      <c r="K10057" s="788">
        <v>42159</v>
      </c>
      <c r="L10057" s="787">
        <v>4</v>
      </c>
      <c r="M10057" s="787">
        <v>10</v>
      </c>
      <c r="N10057" s="787">
        <v>0</v>
      </c>
    </row>
    <row r="10058" spans="1:15" x14ac:dyDescent="0.25">
      <c r="A10058" s="786" t="s">
        <v>18089</v>
      </c>
      <c r="B10058" s="787">
        <v>4</v>
      </c>
      <c r="C10058" s="787" t="s">
        <v>18090</v>
      </c>
      <c r="D10058" s="787">
        <v>0</v>
      </c>
      <c r="E10058" s="787">
        <v>0</v>
      </c>
      <c r="H10058" s="787">
        <v>1</v>
      </c>
      <c r="L10058" s="787">
        <v>0</v>
      </c>
      <c r="M10058" s="787">
        <v>10</v>
      </c>
      <c r="N10058" s="787">
        <v>0</v>
      </c>
    </row>
    <row r="10059" spans="1:15" x14ac:dyDescent="0.25">
      <c r="A10059" s="786" t="s">
        <v>18091</v>
      </c>
      <c r="B10059" s="787">
        <v>4</v>
      </c>
      <c r="C10059" s="787" t="s">
        <v>18092</v>
      </c>
      <c r="D10059" s="787">
        <v>0</v>
      </c>
      <c r="E10059" s="787">
        <v>0</v>
      </c>
      <c r="H10059" s="787">
        <v>1</v>
      </c>
      <c r="L10059" s="787">
        <v>0</v>
      </c>
      <c r="M10059" s="787">
        <v>10</v>
      </c>
      <c r="N10059" s="787">
        <v>0</v>
      </c>
    </row>
    <row r="10060" spans="1:15" x14ac:dyDescent="0.25">
      <c r="A10060" s="786" t="s">
        <v>18093</v>
      </c>
      <c r="B10060" s="787">
        <v>4</v>
      </c>
      <c r="C10060" s="787" t="s">
        <v>18094</v>
      </c>
      <c r="D10060" s="787">
        <v>0</v>
      </c>
      <c r="E10060" s="787">
        <v>0</v>
      </c>
      <c r="H10060" s="787">
        <v>1</v>
      </c>
      <c r="L10060" s="787">
        <v>0</v>
      </c>
      <c r="M10060" s="787">
        <v>10</v>
      </c>
      <c r="N10060" s="787">
        <v>0</v>
      </c>
    </row>
    <row r="10061" spans="1:15" x14ac:dyDescent="0.25">
      <c r="A10061" s="786" t="s">
        <v>18095</v>
      </c>
      <c r="B10061" s="787">
        <v>4</v>
      </c>
      <c r="C10061" s="787" t="s">
        <v>18096</v>
      </c>
      <c r="D10061" s="787">
        <v>0</v>
      </c>
      <c r="E10061" s="787">
        <v>0</v>
      </c>
      <c r="H10061" s="787">
        <v>1</v>
      </c>
      <c r="L10061" s="787">
        <v>0</v>
      </c>
      <c r="M10061" s="787">
        <v>10</v>
      </c>
      <c r="N10061" s="787">
        <v>0</v>
      </c>
    </row>
    <row r="10062" spans="1:15" x14ac:dyDescent="0.25">
      <c r="A10062" s="786" t="s">
        <v>18097</v>
      </c>
      <c r="B10062" s="787">
        <v>4</v>
      </c>
      <c r="C10062" s="787" t="s">
        <v>18098</v>
      </c>
      <c r="D10062" s="787">
        <v>0</v>
      </c>
      <c r="E10062" s="787">
        <v>0</v>
      </c>
      <c r="H10062" s="787">
        <v>1</v>
      </c>
      <c r="L10062" s="787">
        <v>0</v>
      </c>
      <c r="M10062" s="787">
        <v>10</v>
      </c>
      <c r="N10062" s="787">
        <v>0</v>
      </c>
    </row>
    <row r="10063" spans="1:15" x14ac:dyDescent="0.25">
      <c r="A10063" s="786" t="s">
        <v>18099</v>
      </c>
      <c r="B10063" s="787">
        <v>4</v>
      </c>
      <c r="C10063" s="787" t="s">
        <v>18100</v>
      </c>
      <c r="D10063" s="787">
        <v>0</v>
      </c>
      <c r="E10063" s="787">
        <v>0</v>
      </c>
      <c r="H10063" s="787">
        <v>1</v>
      </c>
      <c r="L10063" s="787">
        <v>0</v>
      </c>
      <c r="M10063" s="787">
        <v>10</v>
      </c>
      <c r="N10063" s="787">
        <v>0</v>
      </c>
    </row>
    <row r="10064" spans="1:15" x14ac:dyDescent="0.25">
      <c r="A10064" s="786" t="s">
        <v>18101</v>
      </c>
      <c r="B10064" s="787">
        <v>4</v>
      </c>
      <c r="C10064" s="787" t="s">
        <v>13562</v>
      </c>
      <c r="D10064" s="787">
        <v>0</v>
      </c>
      <c r="E10064" s="787">
        <v>0</v>
      </c>
      <c r="H10064" s="787">
        <v>1</v>
      </c>
      <c r="L10064" s="787">
        <v>0</v>
      </c>
      <c r="M10064" s="787">
        <v>10</v>
      </c>
      <c r="N10064" s="787">
        <v>9.99</v>
      </c>
      <c r="O10064" s="788">
        <v>41858</v>
      </c>
    </row>
    <row r="10065" spans="1:15" x14ac:dyDescent="0.25">
      <c r="A10065" s="786" t="s">
        <v>18102</v>
      </c>
      <c r="B10065" s="787">
        <v>4</v>
      </c>
      <c r="C10065" s="787" t="s">
        <v>13578</v>
      </c>
      <c r="D10065" s="787">
        <v>0</v>
      </c>
      <c r="E10065" s="787">
        <v>0</v>
      </c>
      <c r="H10065" s="787">
        <v>1</v>
      </c>
      <c r="L10065" s="787">
        <v>0</v>
      </c>
      <c r="M10065" s="787">
        <v>10</v>
      </c>
      <c r="N10065" s="787">
        <v>42.96</v>
      </c>
      <c r="O10065" s="788">
        <v>41858</v>
      </c>
    </row>
    <row r="10066" spans="1:15" x14ac:dyDescent="0.25">
      <c r="A10066" s="786" t="s">
        <v>18103</v>
      </c>
      <c r="B10066" s="787">
        <v>4</v>
      </c>
      <c r="C10066" s="787" t="s">
        <v>13580</v>
      </c>
      <c r="D10066" s="787">
        <v>0</v>
      </c>
      <c r="E10066" s="787">
        <v>0</v>
      </c>
      <c r="H10066" s="787">
        <v>1</v>
      </c>
      <c r="L10066" s="787">
        <v>0</v>
      </c>
      <c r="M10066" s="787">
        <v>10</v>
      </c>
      <c r="N10066" s="787">
        <v>36.200000000000003</v>
      </c>
      <c r="O10066" s="788">
        <v>41858</v>
      </c>
    </row>
    <row r="10067" spans="1:15" x14ac:dyDescent="0.25">
      <c r="A10067" s="786" t="s">
        <v>18104</v>
      </c>
      <c r="B10067" s="787">
        <v>4</v>
      </c>
      <c r="C10067" s="787" t="s">
        <v>13582</v>
      </c>
      <c r="D10067" s="787">
        <v>0.38</v>
      </c>
      <c r="E10067" s="787">
        <v>0.38</v>
      </c>
      <c r="F10067" s="788">
        <v>41933</v>
      </c>
      <c r="G10067" s="788">
        <v>42013</v>
      </c>
      <c r="H10067" s="787">
        <v>1</v>
      </c>
      <c r="I10067" s="788">
        <v>42090</v>
      </c>
      <c r="J10067" s="788">
        <v>41912</v>
      </c>
      <c r="K10067" s="788">
        <v>41577</v>
      </c>
      <c r="L10067" s="787">
        <v>1.06</v>
      </c>
      <c r="M10067" s="787">
        <v>10</v>
      </c>
      <c r="N10067" s="787">
        <v>15.31</v>
      </c>
      <c r="O10067" s="788">
        <v>42095</v>
      </c>
    </row>
    <row r="10068" spans="1:15" x14ac:dyDescent="0.25">
      <c r="A10068" s="786" t="s">
        <v>18105</v>
      </c>
      <c r="B10068" s="787">
        <v>4</v>
      </c>
      <c r="C10068" s="787" t="s">
        <v>13584</v>
      </c>
      <c r="D10068" s="787">
        <v>0.21</v>
      </c>
      <c r="E10068" s="787">
        <v>0.21</v>
      </c>
      <c r="F10068" s="788">
        <v>41933</v>
      </c>
      <c r="G10068" s="788">
        <v>42013</v>
      </c>
      <c r="H10068" s="787">
        <v>1</v>
      </c>
      <c r="I10068" s="788">
        <v>42090</v>
      </c>
      <c r="J10068" s="788">
        <v>41912</v>
      </c>
      <c r="K10068" s="788">
        <v>41577</v>
      </c>
      <c r="L10068" s="787">
        <v>1.06</v>
      </c>
      <c r="M10068" s="787">
        <v>10</v>
      </c>
      <c r="N10068" s="787">
        <v>1.02</v>
      </c>
      <c r="O10068" s="788">
        <v>41858</v>
      </c>
    </row>
    <row r="10069" spans="1:15" x14ac:dyDescent="0.25">
      <c r="A10069" s="786" t="s">
        <v>18106</v>
      </c>
      <c r="B10069" s="787">
        <v>4</v>
      </c>
      <c r="C10069" s="787" t="s">
        <v>13586</v>
      </c>
      <c r="D10069" s="787">
        <v>0</v>
      </c>
      <c r="E10069" s="787">
        <v>0</v>
      </c>
      <c r="H10069" s="787">
        <v>1</v>
      </c>
      <c r="I10069" s="788">
        <v>41810</v>
      </c>
      <c r="L10069" s="787">
        <v>0</v>
      </c>
      <c r="M10069" s="787">
        <v>10</v>
      </c>
      <c r="N10069" s="787">
        <v>4.24</v>
      </c>
      <c r="O10069" s="788">
        <v>41858</v>
      </c>
    </row>
    <row r="10070" spans="1:15" x14ac:dyDescent="0.25">
      <c r="A10070" s="786" t="s">
        <v>18107</v>
      </c>
      <c r="B10070" s="787">
        <v>4</v>
      </c>
      <c r="C10070" s="787" t="s">
        <v>10933</v>
      </c>
      <c r="D10070" s="787">
        <v>0</v>
      </c>
      <c r="E10070" s="787">
        <v>0</v>
      </c>
      <c r="H10070" s="787">
        <v>1</v>
      </c>
      <c r="I10070" s="788">
        <v>42110</v>
      </c>
      <c r="L10070" s="787">
        <v>0</v>
      </c>
      <c r="M10070" s="787">
        <v>10</v>
      </c>
      <c r="N10070" s="787">
        <v>21.51</v>
      </c>
      <c r="O10070" s="788">
        <v>41858</v>
      </c>
    </row>
    <row r="10071" spans="1:15" x14ac:dyDescent="0.25">
      <c r="A10071" s="786" t="s">
        <v>18108</v>
      </c>
      <c r="B10071" s="787">
        <v>4</v>
      </c>
      <c r="C10071" s="787" t="s">
        <v>10935</v>
      </c>
      <c r="D10071" s="787">
        <v>0</v>
      </c>
      <c r="E10071" s="787">
        <v>0</v>
      </c>
      <c r="H10071" s="787">
        <v>1</v>
      </c>
      <c r="I10071" s="788">
        <v>42110</v>
      </c>
      <c r="L10071" s="787">
        <v>0</v>
      </c>
      <c r="M10071" s="787">
        <v>10</v>
      </c>
      <c r="N10071" s="787">
        <v>21.51</v>
      </c>
      <c r="O10071" s="788">
        <v>41858</v>
      </c>
    </row>
    <row r="10072" spans="1:15" x14ac:dyDescent="0.25">
      <c r="A10072" s="786" t="s">
        <v>18109</v>
      </c>
      <c r="B10072" s="787">
        <v>4</v>
      </c>
      <c r="C10072" s="787" t="s">
        <v>10943</v>
      </c>
      <c r="D10072" s="787">
        <v>0</v>
      </c>
      <c r="E10072" s="787">
        <v>0</v>
      </c>
      <c r="H10072" s="787">
        <v>1</v>
      </c>
      <c r="I10072" s="788">
        <v>42066</v>
      </c>
      <c r="L10072" s="787">
        <v>0</v>
      </c>
      <c r="M10072" s="787">
        <v>10</v>
      </c>
      <c r="N10072" s="787">
        <v>21.51</v>
      </c>
      <c r="O10072" s="788">
        <v>41858</v>
      </c>
    </row>
    <row r="10073" spans="1:15" x14ac:dyDescent="0.25">
      <c r="A10073" s="786" t="s">
        <v>18110</v>
      </c>
      <c r="B10073" s="787">
        <v>4</v>
      </c>
      <c r="C10073" s="787" t="s">
        <v>10945</v>
      </c>
      <c r="D10073" s="787">
        <v>0</v>
      </c>
      <c r="E10073" s="787">
        <v>0</v>
      </c>
      <c r="H10073" s="787">
        <v>1</v>
      </c>
      <c r="I10073" s="788">
        <v>42026</v>
      </c>
      <c r="L10073" s="787">
        <v>0</v>
      </c>
      <c r="M10073" s="787">
        <v>10</v>
      </c>
      <c r="N10073" s="787">
        <v>21.51</v>
      </c>
      <c r="O10073" s="788">
        <v>41858</v>
      </c>
    </row>
    <row r="10074" spans="1:15" x14ac:dyDescent="0.25">
      <c r="A10074" s="786" t="s">
        <v>18111</v>
      </c>
      <c r="B10074" s="787">
        <v>4</v>
      </c>
      <c r="C10074" s="787" t="s">
        <v>13601</v>
      </c>
      <c r="D10074" s="787">
        <v>0</v>
      </c>
      <c r="E10074" s="787">
        <v>0</v>
      </c>
      <c r="H10074" s="787">
        <v>1</v>
      </c>
      <c r="I10074" s="788">
        <v>42110</v>
      </c>
      <c r="L10074" s="787">
        <v>0</v>
      </c>
      <c r="M10074" s="787">
        <v>10</v>
      </c>
      <c r="N10074" s="787">
        <v>15.72</v>
      </c>
      <c r="O10074" s="788">
        <v>41858</v>
      </c>
    </row>
    <row r="10075" spans="1:15" x14ac:dyDescent="0.25">
      <c r="A10075" s="786" t="s">
        <v>18112</v>
      </c>
      <c r="B10075" s="787">
        <v>4</v>
      </c>
      <c r="C10075" s="787" t="s">
        <v>10939</v>
      </c>
      <c r="D10075" s="787">
        <v>0</v>
      </c>
      <c r="E10075" s="787">
        <v>0</v>
      </c>
      <c r="H10075" s="787">
        <v>1</v>
      </c>
      <c r="I10075" s="788">
        <v>42110</v>
      </c>
      <c r="L10075" s="787">
        <v>0</v>
      </c>
      <c r="M10075" s="787">
        <v>10</v>
      </c>
      <c r="N10075" s="787">
        <v>15.72</v>
      </c>
      <c r="O10075" s="788">
        <v>41858</v>
      </c>
    </row>
    <row r="10076" spans="1:15" x14ac:dyDescent="0.25">
      <c r="A10076" s="786" t="s">
        <v>18113</v>
      </c>
      <c r="B10076" s="787">
        <v>4</v>
      </c>
      <c r="C10076" s="787" t="s">
        <v>13604</v>
      </c>
      <c r="D10076" s="787">
        <v>0</v>
      </c>
      <c r="E10076" s="787">
        <v>0</v>
      </c>
      <c r="H10076" s="787">
        <v>1</v>
      </c>
      <c r="I10076" s="788">
        <v>42102</v>
      </c>
      <c r="L10076" s="787">
        <v>0</v>
      </c>
      <c r="M10076" s="787">
        <v>10</v>
      </c>
      <c r="N10076" s="787">
        <v>12.72</v>
      </c>
      <c r="O10076" s="788">
        <v>41858</v>
      </c>
    </row>
    <row r="10077" spans="1:15" x14ac:dyDescent="0.25">
      <c r="A10077" s="786" t="s">
        <v>18114</v>
      </c>
      <c r="B10077" s="787">
        <v>4</v>
      </c>
      <c r="C10077" s="787" t="s">
        <v>13606</v>
      </c>
      <c r="D10077" s="787">
        <v>0</v>
      </c>
      <c r="E10077" s="787">
        <v>0</v>
      </c>
      <c r="H10077" s="787">
        <v>1</v>
      </c>
      <c r="I10077" s="788">
        <v>42102</v>
      </c>
      <c r="L10077" s="787">
        <v>0</v>
      </c>
      <c r="M10077" s="787">
        <v>10</v>
      </c>
      <c r="N10077" s="787">
        <v>3.3</v>
      </c>
      <c r="O10077" s="788">
        <v>40446</v>
      </c>
    </row>
    <row r="10078" spans="1:15" x14ac:dyDescent="0.25">
      <c r="A10078" s="786" t="s">
        <v>18115</v>
      </c>
      <c r="B10078" s="787">
        <v>4</v>
      </c>
      <c r="C10078" s="787" t="s">
        <v>13608</v>
      </c>
      <c r="D10078" s="787">
        <v>0</v>
      </c>
      <c r="E10078" s="787">
        <v>0</v>
      </c>
      <c r="H10078" s="787">
        <v>1</v>
      </c>
      <c r="I10078" s="788">
        <v>42102</v>
      </c>
      <c r="L10078" s="787">
        <v>0</v>
      </c>
      <c r="M10078" s="787">
        <v>10</v>
      </c>
      <c r="N10078" s="787">
        <v>12.45</v>
      </c>
      <c r="O10078" s="788">
        <v>41858</v>
      </c>
    </row>
    <row r="10079" spans="1:15" x14ac:dyDescent="0.25">
      <c r="A10079" s="786" t="s">
        <v>18116</v>
      </c>
      <c r="B10079" s="787">
        <v>4</v>
      </c>
      <c r="C10079" s="787" t="s">
        <v>13610</v>
      </c>
      <c r="D10079" s="787">
        <v>0</v>
      </c>
      <c r="E10079" s="787">
        <v>0</v>
      </c>
      <c r="H10079" s="787">
        <v>1</v>
      </c>
      <c r="I10079" s="788">
        <v>42102</v>
      </c>
      <c r="L10079" s="787">
        <v>0</v>
      </c>
      <c r="M10079" s="787">
        <v>10</v>
      </c>
      <c r="N10079" s="787">
        <v>12.45</v>
      </c>
      <c r="O10079" s="788">
        <v>41858</v>
      </c>
    </row>
    <row r="10080" spans="1:15" x14ac:dyDescent="0.25">
      <c r="A10080" s="786" t="s">
        <v>18117</v>
      </c>
      <c r="B10080" s="787">
        <v>4</v>
      </c>
      <c r="C10080" s="787" t="s">
        <v>13620</v>
      </c>
      <c r="D10080" s="787">
        <v>0</v>
      </c>
      <c r="E10080" s="787">
        <v>0</v>
      </c>
      <c r="H10080" s="787">
        <v>1</v>
      </c>
      <c r="L10080" s="787">
        <v>0</v>
      </c>
      <c r="M10080" s="787">
        <v>10</v>
      </c>
      <c r="N10080" s="787">
        <v>48.04</v>
      </c>
      <c r="O10080" s="788">
        <v>41858</v>
      </c>
    </row>
    <row r="10081" spans="1:15" x14ac:dyDescent="0.25">
      <c r="A10081" s="786" t="s">
        <v>18118</v>
      </c>
      <c r="B10081" s="787">
        <v>4</v>
      </c>
      <c r="C10081" s="787" t="s">
        <v>13622</v>
      </c>
      <c r="D10081" s="787">
        <v>0</v>
      </c>
      <c r="E10081" s="787">
        <v>0</v>
      </c>
      <c r="H10081" s="787">
        <v>1</v>
      </c>
      <c r="K10081" s="788">
        <v>42134</v>
      </c>
      <c r="L10081" s="787">
        <v>37.46</v>
      </c>
      <c r="M10081" s="787">
        <v>10</v>
      </c>
      <c r="N10081" s="787">
        <v>37.46</v>
      </c>
      <c r="O10081" s="788">
        <v>41858</v>
      </c>
    </row>
    <row r="10082" spans="1:15" x14ac:dyDescent="0.25">
      <c r="A10082" s="786" t="s">
        <v>18119</v>
      </c>
      <c r="B10082" s="787">
        <v>4</v>
      </c>
      <c r="C10082" s="787" t="s">
        <v>13624</v>
      </c>
      <c r="D10082" s="787">
        <v>0</v>
      </c>
      <c r="E10082" s="787">
        <v>0</v>
      </c>
      <c r="H10082" s="787">
        <v>1</v>
      </c>
      <c r="K10082" s="788">
        <v>41954</v>
      </c>
      <c r="L10082" s="787">
        <v>39.42</v>
      </c>
      <c r="M10082" s="787">
        <v>10</v>
      </c>
      <c r="N10082" s="787">
        <v>39.42</v>
      </c>
      <c r="O10082" s="788">
        <v>41858</v>
      </c>
    </row>
    <row r="10083" spans="1:15" x14ac:dyDescent="0.25">
      <c r="A10083" s="786" t="s">
        <v>18120</v>
      </c>
      <c r="B10083" s="787">
        <v>4</v>
      </c>
      <c r="C10083" s="787" t="s">
        <v>13821</v>
      </c>
      <c r="D10083" s="787">
        <v>0</v>
      </c>
      <c r="E10083" s="787">
        <v>0</v>
      </c>
      <c r="H10083" s="787">
        <v>1</v>
      </c>
      <c r="L10083" s="787">
        <v>0.1</v>
      </c>
      <c r="M10083" s="787">
        <v>10</v>
      </c>
      <c r="N10083" s="787">
        <v>0</v>
      </c>
    </row>
    <row r="10084" spans="1:15" x14ac:dyDescent="0.25">
      <c r="A10084" s="786" t="s">
        <v>18121</v>
      </c>
      <c r="B10084" s="787">
        <v>4</v>
      </c>
      <c r="C10084" s="787" t="s">
        <v>13825</v>
      </c>
      <c r="D10084" s="787">
        <v>0</v>
      </c>
      <c r="E10084" s="787">
        <v>0</v>
      </c>
      <c r="H10084" s="787">
        <v>1</v>
      </c>
      <c r="L10084" s="787">
        <v>0.1</v>
      </c>
      <c r="M10084" s="787">
        <v>10</v>
      </c>
      <c r="N10084" s="787">
        <v>0</v>
      </c>
    </row>
    <row r="10085" spans="1:15" x14ac:dyDescent="0.25">
      <c r="A10085" s="786" t="s">
        <v>18122</v>
      </c>
      <c r="B10085" s="787">
        <v>4</v>
      </c>
      <c r="C10085" s="787" t="s">
        <v>13949</v>
      </c>
      <c r="D10085" s="787">
        <v>1.86</v>
      </c>
      <c r="E10085" s="787">
        <v>28.05</v>
      </c>
      <c r="F10085" s="788">
        <v>41948</v>
      </c>
      <c r="G10085" s="788">
        <v>42128</v>
      </c>
      <c r="H10085" s="787">
        <v>1</v>
      </c>
      <c r="I10085" s="788">
        <v>42102</v>
      </c>
      <c r="J10085" s="788">
        <v>42090</v>
      </c>
      <c r="K10085" s="788">
        <v>41579</v>
      </c>
      <c r="L10085" s="787">
        <v>13.69</v>
      </c>
      <c r="M10085" s="787">
        <v>10</v>
      </c>
      <c r="N10085" s="787">
        <v>34.46</v>
      </c>
      <c r="O10085" s="788">
        <v>42095</v>
      </c>
    </row>
    <row r="10086" spans="1:15" x14ac:dyDescent="0.25">
      <c r="A10086" s="786" t="s">
        <v>18123</v>
      </c>
      <c r="B10086" s="787">
        <v>4</v>
      </c>
      <c r="C10086" s="787" t="s">
        <v>13951</v>
      </c>
      <c r="D10086" s="787">
        <v>3.99</v>
      </c>
      <c r="E10086" s="787">
        <v>14.52</v>
      </c>
      <c r="F10086" s="788">
        <v>41971</v>
      </c>
      <c r="G10086" s="788">
        <v>42128</v>
      </c>
      <c r="H10086" s="787">
        <v>1</v>
      </c>
      <c r="I10086" s="788">
        <v>42102</v>
      </c>
      <c r="J10086" s="788">
        <v>42090</v>
      </c>
      <c r="K10086" s="788">
        <v>41579</v>
      </c>
      <c r="L10086" s="787">
        <v>13.69</v>
      </c>
      <c r="M10086" s="787">
        <v>10</v>
      </c>
      <c r="N10086" s="787">
        <v>34.46</v>
      </c>
      <c r="O10086" s="788">
        <v>42095</v>
      </c>
    </row>
    <row r="10087" spans="1:15" x14ac:dyDescent="0.25">
      <c r="A10087" s="786" t="s">
        <v>18124</v>
      </c>
      <c r="B10087" s="787">
        <v>4</v>
      </c>
      <c r="C10087" s="787" t="s">
        <v>13953</v>
      </c>
      <c r="D10087" s="787">
        <v>0</v>
      </c>
      <c r="E10087" s="787">
        <v>0</v>
      </c>
      <c r="H10087" s="787">
        <v>1</v>
      </c>
      <c r="I10087" s="788">
        <v>42095</v>
      </c>
      <c r="K10087" s="788">
        <v>42095</v>
      </c>
      <c r="L10087" s="787">
        <v>25</v>
      </c>
      <c r="M10087" s="787">
        <v>10</v>
      </c>
      <c r="N10087" s="787">
        <v>24.19</v>
      </c>
      <c r="O10087" s="788">
        <v>42095</v>
      </c>
    </row>
    <row r="10088" spans="1:15" x14ac:dyDescent="0.25">
      <c r="A10088" s="786" t="s">
        <v>18125</v>
      </c>
      <c r="B10088" s="787">
        <v>4</v>
      </c>
      <c r="C10088" s="787" t="s">
        <v>13955</v>
      </c>
      <c r="D10088" s="787">
        <v>0</v>
      </c>
      <c r="E10088" s="787">
        <v>0</v>
      </c>
      <c r="H10088" s="787">
        <v>1</v>
      </c>
      <c r="I10088" s="788">
        <v>42095</v>
      </c>
      <c r="K10088" s="788">
        <v>42095</v>
      </c>
      <c r="L10088" s="787">
        <v>25</v>
      </c>
      <c r="M10088" s="787">
        <v>10</v>
      </c>
      <c r="N10088" s="787">
        <v>23.25</v>
      </c>
      <c r="O10088" s="788">
        <v>42095</v>
      </c>
    </row>
    <row r="10089" spans="1:15" x14ac:dyDescent="0.25">
      <c r="A10089" s="786" t="s">
        <v>18126</v>
      </c>
      <c r="B10089" s="787">
        <v>4</v>
      </c>
      <c r="C10089" s="787" t="s">
        <v>13957</v>
      </c>
      <c r="D10089" s="787">
        <v>0</v>
      </c>
      <c r="E10089" s="787">
        <v>0</v>
      </c>
      <c r="H10089" s="787">
        <v>1</v>
      </c>
      <c r="I10089" s="788">
        <v>42102</v>
      </c>
      <c r="K10089" s="788">
        <v>42095</v>
      </c>
      <c r="L10089" s="787">
        <v>25</v>
      </c>
      <c r="M10089" s="787">
        <v>10</v>
      </c>
      <c r="N10089" s="787">
        <v>24.19</v>
      </c>
      <c r="O10089" s="788">
        <v>42095</v>
      </c>
    </row>
    <row r="10090" spans="1:15" x14ac:dyDescent="0.25">
      <c r="A10090" s="786" t="s">
        <v>18127</v>
      </c>
      <c r="B10090" s="787">
        <v>4</v>
      </c>
      <c r="C10090" s="787" t="s">
        <v>13959</v>
      </c>
      <c r="D10090" s="787">
        <v>0</v>
      </c>
      <c r="E10090" s="787">
        <v>0</v>
      </c>
      <c r="H10090" s="787">
        <v>1</v>
      </c>
      <c r="I10090" s="788">
        <v>41613</v>
      </c>
      <c r="K10090" s="788">
        <v>42095</v>
      </c>
      <c r="L10090" s="787">
        <v>25</v>
      </c>
      <c r="M10090" s="787">
        <v>10</v>
      </c>
      <c r="N10090" s="787">
        <v>23.25</v>
      </c>
      <c r="O10090" s="788">
        <v>42095</v>
      </c>
    </row>
    <row r="10091" spans="1:15" x14ac:dyDescent="0.25">
      <c r="A10091" s="786" t="s">
        <v>18128</v>
      </c>
      <c r="B10091" s="787">
        <v>4</v>
      </c>
      <c r="C10091" s="787" t="s">
        <v>13963</v>
      </c>
      <c r="D10091" s="787">
        <v>0</v>
      </c>
      <c r="E10091" s="787">
        <v>0</v>
      </c>
      <c r="H10091" s="787">
        <v>1</v>
      </c>
      <c r="I10091" s="788">
        <v>42095</v>
      </c>
      <c r="K10091" s="788">
        <v>42095</v>
      </c>
      <c r="L10091" s="787">
        <v>20</v>
      </c>
      <c r="M10091" s="787">
        <v>10</v>
      </c>
      <c r="N10091" s="787">
        <v>26.81</v>
      </c>
      <c r="O10091" s="788">
        <v>42095</v>
      </c>
    </row>
    <row r="10092" spans="1:15" x14ac:dyDescent="0.25">
      <c r="A10092" s="786" t="s">
        <v>18129</v>
      </c>
      <c r="B10092" s="787">
        <v>4</v>
      </c>
      <c r="C10092" s="787" t="s">
        <v>13965</v>
      </c>
      <c r="D10092" s="787">
        <v>0</v>
      </c>
      <c r="E10092" s="787">
        <v>0</v>
      </c>
      <c r="H10092" s="787">
        <v>1</v>
      </c>
      <c r="I10092" s="788">
        <v>42095</v>
      </c>
      <c r="K10092" s="788">
        <v>42095</v>
      </c>
      <c r="L10092" s="787">
        <v>20</v>
      </c>
      <c r="M10092" s="787">
        <v>10</v>
      </c>
      <c r="N10092" s="787">
        <v>18.23</v>
      </c>
      <c r="O10092" s="788">
        <v>42038</v>
      </c>
    </row>
    <row r="10093" spans="1:15" x14ac:dyDescent="0.25">
      <c r="A10093" s="786" t="s">
        <v>18130</v>
      </c>
      <c r="B10093" s="787">
        <v>4</v>
      </c>
      <c r="C10093" s="787" t="s">
        <v>18131</v>
      </c>
      <c r="D10093" s="787">
        <v>0</v>
      </c>
      <c r="E10093" s="787">
        <v>0</v>
      </c>
      <c r="H10093" s="787">
        <v>1</v>
      </c>
      <c r="I10093" s="788">
        <v>42102</v>
      </c>
      <c r="L10093" s="787">
        <v>0</v>
      </c>
      <c r="M10093" s="787">
        <v>10</v>
      </c>
      <c r="N10093" s="787">
        <v>29.59</v>
      </c>
      <c r="O10093" s="788">
        <v>42095</v>
      </c>
    </row>
    <row r="10094" spans="1:15" x14ac:dyDescent="0.25">
      <c r="A10094" s="786" t="s">
        <v>18132</v>
      </c>
      <c r="B10094" s="787">
        <v>4</v>
      </c>
      <c r="C10094" s="787" t="s">
        <v>18133</v>
      </c>
      <c r="D10094" s="787">
        <v>0</v>
      </c>
      <c r="E10094" s="787">
        <v>0</v>
      </c>
      <c r="H10094" s="787">
        <v>1</v>
      </c>
      <c r="I10094" s="788">
        <v>42102</v>
      </c>
      <c r="K10094" s="788">
        <v>41954</v>
      </c>
      <c r="L10094" s="787">
        <v>15.01</v>
      </c>
      <c r="M10094" s="787">
        <v>10</v>
      </c>
      <c r="N10094" s="787">
        <v>15.01</v>
      </c>
      <c r="O10094" s="788">
        <v>42095</v>
      </c>
    </row>
    <row r="10095" spans="1:15" x14ac:dyDescent="0.25">
      <c r="A10095" s="786" t="s">
        <v>18134</v>
      </c>
      <c r="B10095" s="787">
        <v>4</v>
      </c>
      <c r="C10095" s="787" t="s">
        <v>18135</v>
      </c>
      <c r="D10095" s="787">
        <v>0</v>
      </c>
      <c r="E10095" s="787">
        <v>0</v>
      </c>
      <c r="H10095" s="787">
        <v>1</v>
      </c>
      <c r="I10095" s="788">
        <v>42102</v>
      </c>
      <c r="K10095" s="788">
        <v>41954</v>
      </c>
      <c r="L10095" s="787">
        <v>21.26</v>
      </c>
      <c r="M10095" s="787">
        <v>10</v>
      </c>
      <c r="N10095" s="787">
        <v>21.26</v>
      </c>
      <c r="O10095" s="788">
        <v>42095</v>
      </c>
    </row>
    <row r="10096" spans="1:15" x14ac:dyDescent="0.25">
      <c r="A10096" s="786" t="s">
        <v>18136</v>
      </c>
      <c r="B10096" s="787">
        <v>4</v>
      </c>
      <c r="C10096" s="787" t="s">
        <v>18137</v>
      </c>
      <c r="D10096" s="787">
        <v>0</v>
      </c>
      <c r="E10096" s="787">
        <v>0</v>
      </c>
      <c r="H10096" s="787">
        <v>1</v>
      </c>
      <c r="K10096" s="788">
        <v>41516</v>
      </c>
      <c r="L10096" s="787">
        <v>1.71</v>
      </c>
      <c r="M10096" s="787">
        <v>10</v>
      </c>
      <c r="N10096" s="787">
        <v>9.08</v>
      </c>
      <c r="O10096" s="788">
        <v>42095</v>
      </c>
    </row>
    <row r="10097" spans="1:15" x14ac:dyDescent="0.25">
      <c r="A10097" s="786" t="s">
        <v>18138</v>
      </c>
      <c r="B10097" s="787">
        <v>4</v>
      </c>
      <c r="C10097" s="787" t="s">
        <v>18139</v>
      </c>
      <c r="D10097" s="787">
        <v>0</v>
      </c>
      <c r="E10097" s="787">
        <v>0</v>
      </c>
      <c r="H10097" s="787">
        <v>1</v>
      </c>
      <c r="K10097" s="788">
        <v>41516</v>
      </c>
      <c r="L10097" s="787">
        <v>1.71</v>
      </c>
      <c r="M10097" s="787">
        <v>10</v>
      </c>
      <c r="N10097" s="787">
        <v>9.08</v>
      </c>
      <c r="O10097" s="788">
        <v>42051</v>
      </c>
    </row>
    <row r="10098" spans="1:15" x14ac:dyDescent="0.25">
      <c r="A10098" s="786" t="s">
        <v>18140</v>
      </c>
      <c r="B10098" s="787">
        <v>4</v>
      </c>
      <c r="C10098" s="787" t="s">
        <v>18141</v>
      </c>
      <c r="D10098" s="787">
        <v>0</v>
      </c>
      <c r="E10098" s="787">
        <v>0</v>
      </c>
      <c r="H10098" s="787">
        <v>1</v>
      </c>
      <c r="I10098" s="788">
        <v>41540</v>
      </c>
      <c r="K10098" s="788">
        <v>41516</v>
      </c>
      <c r="L10098" s="787">
        <v>18.510000000000002</v>
      </c>
      <c r="M10098" s="787">
        <v>10</v>
      </c>
      <c r="N10098" s="787">
        <v>33.25</v>
      </c>
      <c r="O10098" s="788">
        <v>42095</v>
      </c>
    </row>
    <row r="10099" spans="1:15" x14ac:dyDescent="0.25">
      <c r="A10099" s="786" t="s">
        <v>18142</v>
      </c>
      <c r="B10099" s="787">
        <v>4</v>
      </c>
      <c r="C10099" s="787" t="s">
        <v>14005</v>
      </c>
      <c r="D10099" s="787">
        <v>0</v>
      </c>
      <c r="E10099" s="787">
        <v>0</v>
      </c>
      <c r="H10099" s="787">
        <v>1</v>
      </c>
      <c r="I10099" s="788">
        <v>42095</v>
      </c>
      <c r="K10099" s="788">
        <v>42038</v>
      </c>
      <c r="L10099" s="787">
        <v>6.95</v>
      </c>
      <c r="M10099" s="787">
        <v>10</v>
      </c>
      <c r="N10099" s="787">
        <v>6.95</v>
      </c>
      <c r="O10099" s="788">
        <v>42095</v>
      </c>
    </row>
    <row r="10100" spans="1:15" x14ac:dyDescent="0.25">
      <c r="A10100" s="786" t="s">
        <v>18143</v>
      </c>
      <c r="B10100" s="787">
        <v>4</v>
      </c>
      <c r="C10100" s="787" t="s">
        <v>18144</v>
      </c>
      <c r="D10100" s="787">
        <v>0</v>
      </c>
      <c r="E10100" s="787">
        <v>0</v>
      </c>
      <c r="H10100" s="787">
        <v>1</v>
      </c>
      <c r="K10100" s="788">
        <v>42038</v>
      </c>
      <c r="L10100" s="787">
        <v>6.95</v>
      </c>
      <c r="M10100" s="787">
        <v>10</v>
      </c>
      <c r="N10100" s="787">
        <v>6.95</v>
      </c>
      <c r="O10100" s="788">
        <v>42095</v>
      </c>
    </row>
    <row r="10101" spans="1:15" x14ac:dyDescent="0.25">
      <c r="A10101" s="786" t="s">
        <v>18145</v>
      </c>
      <c r="B10101" s="787">
        <v>4</v>
      </c>
      <c r="C10101" s="787" t="s">
        <v>18146</v>
      </c>
      <c r="D10101" s="787">
        <v>0</v>
      </c>
      <c r="E10101" s="787">
        <v>0</v>
      </c>
      <c r="H10101" s="787">
        <v>1</v>
      </c>
      <c r="I10101" s="788">
        <v>42095</v>
      </c>
      <c r="K10101" s="788">
        <v>42095</v>
      </c>
      <c r="L10101" s="787">
        <v>14</v>
      </c>
      <c r="M10101" s="787">
        <v>10</v>
      </c>
      <c r="N10101" s="787">
        <v>18.59</v>
      </c>
      <c r="O10101" s="788">
        <v>42095</v>
      </c>
    </row>
    <row r="10102" spans="1:15" x14ac:dyDescent="0.25">
      <c r="A10102" s="786" t="s">
        <v>18147</v>
      </c>
      <c r="B10102" s="787">
        <v>4</v>
      </c>
      <c r="C10102" s="787" t="s">
        <v>14011</v>
      </c>
      <c r="D10102" s="787">
        <v>0</v>
      </c>
      <c r="E10102" s="787">
        <v>0</v>
      </c>
      <c r="H10102" s="787">
        <v>1</v>
      </c>
      <c r="I10102" s="788">
        <v>42102</v>
      </c>
      <c r="J10102" s="788">
        <v>41922</v>
      </c>
      <c r="K10102" s="788">
        <v>41922</v>
      </c>
      <c r="L10102" s="787">
        <v>12.95</v>
      </c>
      <c r="M10102" s="787">
        <v>10</v>
      </c>
      <c r="N10102" s="787">
        <v>12.95</v>
      </c>
      <c r="O10102" s="788">
        <v>42095</v>
      </c>
    </row>
    <row r="10103" spans="1:15" x14ac:dyDescent="0.25">
      <c r="A10103" s="786" t="s">
        <v>18148</v>
      </c>
      <c r="B10103" s="787">
        <v>4</v>
      </c>
      <c r="C10103" s="787" t="s">
        <v>18149</v>
      </c>
      <c r="D10103" s="787">
        <v>0</v>
      </c>
      <c r="E10103" s="787">
        <v>0</v>
      </c>
      <c r="H10103" s="787">
        <v>1</v>
      </c>
      <c r="I10103" s="788">
        <v>42095</v>
      </c>
      <c r="K10103" s="788">
        <v>42038</v>
      </c>
      <c r="L10103" s="787">
        <v>11.29</v>
      </c>
      <c r="M10103" s="787">
        <v>10</v>
      </c>
      <c r="N10103" s="787">
        <v>11.29</v>
      </c>
      <c r="O10103" s="788">
        <v>42095</v>
      </c>
    </row>
    <row r="10104" spans="1:15" x14ac:dyDescent="0.25">
      <c r="A10104" s="786" t="s">
        <v>18150</v>
      </c>
      <c r="B10104" s="787">
        <v>4</v>
      </c>
      <c r="C10104" s="787" t="s">
        <v>18151</v>
      </c>
      <c r="D10104" s="787">
        <v>0</v>
      </c>
      <c r="E10104" s="787">
        <v>0</v>
      </c>
      <c r="H10104" s="787">
        <v>1</v>
      </c>
      <c r="I10104" s="788">
        <v>41592</v>
      </c>
      <c r="K10104" s="788">
        <v>42038</v>
      </c>
      <c r="L10104" s="787">
        <v>11.29</v>
      </c>
      <c r="M10104" s="787">
        <v>10</v>
      </c>
      <c r="N10104" s="787">
        <v>11.29</v>
      </c>
      <c r="O10104" s="788">
        <v>42095</v>
      </c>
    </row>
    <row r="10105" spans="1:15" x14ac:dyDescent="0.25">
      <c r="A10105" s="786" t="s">
        <v>18152</v>
      </c>
      <c r="B10105" s="787">
        <v>4</v>
      </c>
      <c r="C10105" s="787" t="s">
        <v>18153</v>
      </c>
      <c r="D10105" s="787">
        <v>0</v>
      </c>
      <c r="E10105" s="787">
        <v>0</v>
      </c>
      <c r="H10105" s="787">
        <v>1</v>
      </c>
      <c r="I10105" s="788">
        <v>41592</v>
      </c>
      <c r="K10105" s="788">
        <v>42038</v>
      </c>
      <c r="L10105" s="787">
        <v>6.31</v>
      </c>
      <c r="M10105" s="787">
        <v>10</v>
      </c>
      <c r="N10105" s="787">
        <v>20.66</v>
      </c>
      <c r="O10105" s="788">
        <v>42095</v>
      </c>
    </row>
    <row r="10106" spans="1:15" x14ac:dyDescent="0.25">
      <c r="A10106" s="786" t="s">
        <v>18154</v>
      </c>
      <c r="B10106" s="787">
        <v>4</v>
      </c>
      <c r="C10106" s="787" t="s">
        <v>18155</v>
      </c>
      <c r="D10106" s="787">
        <v>0</v>
      </c>
      <c r="E10106" s="787">
        <v>0</v>
      </c>
      <c r="H10106" s="787">
        <v>1</v>
      </c>
      <c r="I10106" s="788">
        <v>42095</v>
      </c>
      <c r="K10106" s="788">
        <v>42095</v>
      </c>
      <c r="L10106" s="787">
        <v>25</v>
      </c>
      <c r="M10106" s="787">
        <v>10</v>
      </c>
      <c r="N10106" s="787">
        <v>30.91</v>
      </c>
      <c r="O10106" s="788">
        <v>42095</v>
      </c>
    </row>
    <row r="10107" spans="1:15" x14ac:dyDescent="0.25">
      <c r="A10107" s="786" t="s">
        <v>18156</v>
      </c>
      <c r="B10107" s="787">
        <v>4</v>
      </c>
      <c r="C10107" s="787" t="s">
        <v>14033</v>
      </c>
      <c r="D10107" s="787">
        <v>0</v>
      </c>
      <c r="E10107" s="787">
        <v>0</v>
      </c>
      <c r="H10107" s="787">
        <v>1</v>
      </c>
      <c r="I10107" s="788">
        <v>40924</v>
      </c>
      <c r="K10107" s="788">
        <v>42038</v>
      </c>
      <c r="L10107" s="787">
        <v>37.090000000000003</v>
      </c>
      <c r="M10107" s="787">
        <v>10</v>
      </c>
      <c r="N10107" s="787">
        <v>62.39</v>
      </c>
      <c r="O10107" s="788">
        <v>42095</v>
      </c>
    </row>
    <row r="10108" spans="1:15" x14ac:dyDescent="0.25">
      <c r="A10108" s="786" t="s">
        <v>18157</v>
      </c>
      <c r="B10108" s="787">
        <v>4</v>
      </c>
      <c r="C10108" s="787" t="s">
        <v>14035</v>
      </c>
      <c r="D10108" s="787">
        <v>5.08</v>
      </c>
      <c r="E10108" s="787">
        <v>5.08</v>
      </c>
      <c r="F10108" s="788">
        <v>42114</v>
      </c>
      <c r="G10108" s="788">
        <v>42114</v>
      </c>
      <c r="H10108" s="787">
        <v>1</v>
      </c>
      <c r="I10108" s="788">
        <v>42095</v>
      </c>
      <c r="J10108" s="788">
        <v>42090</v>
      </c>
      <c r="K10108" s="788">
        <v>41932</v>
      </c>
      <c r="L10108" s="787">
        <v>1.86</v>
      </c>
      <c r="M10108" s="787">
        <v>10</v>
      </c>
      <c r="N10108" s="787">
        <v>9.24</v>
      </c>
      <c r="O10108" s="788">
        <v>42095</v>
      </c>
    </row>
    <row r="10109" spans="1:15" x14ac:dyDescent="0.25">
      <c r="A10109" s="786" t="s">
        <v>18158</v>
      </c>
      <c r="B10109" s="787">
        <v>4</v>
      </c>
      <c r="C10109" s="787" t="s">
        <v>14037</v>
      </c>
      <c r="D10109" s="787">
        <v>6.26</v>
      </c>
      <c r="E10109" s="787">
        <v>6.26</v>
      </c>
      <c r="F10109" s="788">
        <v>42114</v>
      </c>
      <c r="G10109" s="788">
        <v>42114</v>
      </c>
      <c r="H10109" s="787">
        <v>1</v>
      </c>
      <c r="I10109" s="788">
        <v>42095</v>
      </c>
      <c r="J10109" s="788">
        <v>42090</v>
      </c>
      <c r="K10109" s="788">
        <v>41932</v>
      </c>
      <c r="L10109" s="787">
        <v>1.95</v>
      </c>
      <c r="M10109" s="787">
        <v>10</v>
      </c>
      <c r="N10109" s="787">
        <v>9.9</v>
      </c>
      <c r="O10109" s="788">
        <v>42051</v>
      </c>
    </row>
    <row r="10110" spans="1:15" x14ac:dyDescent="0.25">
      <c r="A10110" s="786" t="s">
        <v>18159</v>
      </c>
      <c r="B10110" s="787">
        <v>4</v>
      </c>
      <c r="C10110" s="787" t="s">
        <v>18160</v>
      </c>
      <c r="D10110" s="787">
        <v>5.01</v>
      </c>
      <c r="E10110" s="787">
        <v>25.01</v>
      </c>
      <c r="F10110" s="788">
        <v>41969</v>
      </c>
      <c r="G10110" s="788">
        <v>41969</v>
      </c>
      <c r="H10110" s="787">
        <v>1</v>
      </c>
      <c r="I10110" s="788">
        <v>42095</v>
      </c>
      <c r="J10110" s="788">
        <v>42086</v>
      </c>
      <c r="K10110" s="788">
        <v>41932</v>
      </c>
      <c r="L10110" s="787">
        <v>15.23</v>
      </c>
      <c r="M10110" s="787">
        <v>10</v>
      </c>
      <c r="N10110" s="787">
        <v>30.55</v>
      </c>
      <c r="O10110" s="788">
        <v>42095</v>
      </c>
    </row>
    <row r="10111" spans="1:15" x14ac:dyDescent="0.25">
      <c r="A10111" s="786" t="s">
        <v>18161</v>
      </c>
      <c r="B10111" s="787">
        <v>4</v>
      </c>
      <c r="C10111" s="787" t="s">
        <v>8685</v>
      </c>
      <c r="D10111" s="787">
        <v>0</v>
      </c>
      <c r="E10111" s="787">
        <v>0</v>
      </c>
      <c r="H10111" s="787">
        <v>1</v>
      </c>
      <c r="I10111" s="788">
        <v>42104</v>
      </c>
      <c r="K10111" s="788">
        <v>42101</v>
      </c>
      <c r="L10111" s="787">
        <v>52</v>
      </c>
      <c r="M10111" s="787">
        <v>10</v>
      </c>
      <c r="N10111" s="787">
        <v>52.06</v>
      </c>
      <c r="O10111" s="788">
        <v>42101</v>
      </c>
    </row>
    <row r="10112" spans="1:15" x14ac:dyDescent="0.25">
      <c r="A10112" s="786" t="s">
        <v>18162</v>
      </c>
      <c r="B10112" s="787">
        <v>4</v>
      </c>
      <c r="C10112" s="787" t="s">
        <v>8689</v>
      </c>
      <c r="D10112" s="787">
        <v>0</v>
      </c>
      <c r="E10112" s="787">
        <v>0</v>
      </c>
      <c r="H10112" s="787">
        <v>1</v>
      </c>
      <c r="L10112" s="787">
        <v>0.01</v>
      </c>
      <c r="M10112" s="787">
        <v>10</v>
      </c>
      <c r="N10112" s="787">
        <v>0</v>
      </c>
    </row>
    <row r="10113" spans="1:15" x14ac:dyDescent="0.25">
      <c r="A10113" s="786" t="s">
        <v>18163</v>
      </c>
      <c r="B10113" s="787">
        <v>4</v>
      </c>
      <c r="C10113" s="787" t="s">
        <v>8685</v>
      </c>
      <c r="D10113" s="787">
        <v>0</v>
      </c>
      <c r="E10113" s="787">
        <v>0</v>
      </c>
      <c r="H10113" s="787">
        <v>1</v>
      </c>
      <c r="L10113" s="787">
        <v>0.01</v>
      </c>
      <c r="M10113" s="787">
        <v>10</v>
      </c>
      <c r="N10113" s="787">
        <v>0</v>
      </c>
    </row>
    <row r="10114" spans="1:15" x14ac:dyDescent="0.25">
      <c r="A10114" s="786" t="s">
        <v>18164</v>
      </c>
      <c r="B10114" s="787">
        <v>4</v>
      </c>
      <c r="C10114" s="787" t="s">
        <v>8689</v>
      </c>
      <c r="D10114" s="787">
        <v>0</v>
      </c>
      <c r="E10114" s="787">
        <v>0</v>
      </c>
      <c r="H10114" s="787">
        <v>1</v>
      </c>
      <c r="L10114" s="787">
        <v>0.01</v>
      </c>
      <c r="M10114" s="787">
        <v>10</v>
      </c>
      <c r="N10114" s="787">
        <v>0</v>
      </c>
    </row>
    <row r="10115" spans="1:15" x14ac:dyDescent="0.25">
      <c r="A10115" s="786" t="s">
        <v>18165</v>
      </c>
      <c r="B10115" s="787">
        <v>4</v>
      </c>
      <c r="C10115" s="787" t="s">
        <v>18166</v>
      </c>
      <c r="D10115" s="787">
        <v>0</v>
      </c>
      <c r="E10115" s="787">
        <v>0</v>
      </c>
      <c r="H10115" s="787">
        <v>1</v>
      </c>
      <c r="L10115" s="787">
        <v>0</v>
      </c>
      <c r="M10115" s="787">
        <v>10</v>
      </c>
      <c r="N10115" s="787">
        <v>29.79</v>
      </c>
      <c r="O10115" s="788">
        <v>42095</v>
      </c>
    </row>
    <row r="10116" spans="1:15" x14ac:dyDescent="0.25">
      <c r="A10116" s="786" t="s">
        <v>18167</v>
      </c>
      <c r="B10116" s="787">
        <v>4</v>
      </c>
      <c r="C10116" s="787" t="s">
        <v>18168</v>
      </c>
      <c r="D10116" s="787">
        <v>0</v>
      </c>
      <c r="E10116" s="787">
        <v>0</v>
      </c>
      <c r="H10116" s="787">
        <v>1</v>
      </c>
      <c r="L10116" s="787">
        <v>0</v>
      </c>
      <c r="M10116" s="787">
        <v>10</v>
      </c>
      <c r="N10116" s="787">
        <v>39.479999999999997</v>
      </c>
      <c r="O10116" s="788">
        <v>42095</v>
      </c>
    </row>
    <row r="10117" spans="1:15" x14ac:dyDescent="0.25">
      <c r="A10117" s="786" t="s">
        <v>18169</v>
      </c>
      <c r="B10117" s="787">
        <v>4</v>
      </c>
      <c r="C10117" s="787" t="s">
        <v>14290</v>
      </c>
      <c r="D10117" s="787">
        <v>1.88</v>
      </c>
      <c r="E10117" s="787">
        <v>1.88</v>
      </c>
      <c r="F10117" s="788">
        <v>41775</v>
      </c>
      <c r="G10117" s="788">
        <v>41775</v>
      </c>
      <c r="H10117" s="787">
        <v>1</v>
      </c>
      <c r="I10117" s="788">
        <v>42082</v>
      </c>
      <c r="J10117" s="788">
        <v>41622</v>
      </c>
      <c r="L10117" s="787">
        <v>1</v>
      </c>
      <c r="M10117" s="787">
        <v>10</v>
      </c>
      <c r="N10117" s="787">
        <v>1.4</v>
      </c>
      <c r="O10117" s="788">
        <v>42095</v>
      </c>
    </row>
    <row r="10118" spans="1:15" x14ac:dyDescent="0.25">
      <c r="A10118" s="786" t="s">
        <v>18170</v>
      </c>
      <c r="B10118" s="787">
        <v>4</v>
      </c>
      <c r="C10118" s="787" t="s">
        <v>14292</v>
      </c>
      <c r="D10118" s="787">
        <v>1.05</v>
      </c>
      <c r="E10118" s="787">
        <v>1.05</v>
      </c>
      <c r="F10118" s="788">
        <v>41927</v>
      </c>
      <c r="G10118" s="788">
        <v>41927</v>
      </c>
      <c r="H10118" s="787">
        <v>1</v>
      </c>
      <c r="I10118" s="788">
        <v>42082</v>
      </c>
      <c r="J10118" s="788">
        <v>41880</v>
      </c>
      <c r="L10118" s="787">
        <v>1</v>
      </c>
      <c r="M10118" s="787">
        <v>10</v>
      </c>
      <c r="N10118" s="787">
        <v>2.9</v>
      </c>
      <c r="O10118" s="788">
        <v>42080</v>
      </c>
    </row>
    <row r="10119" spans="1:15" x14ac:dyDescent="0.25">
      <c r="A10119" s="786" t="s">
        <v>18171</v>
      </c>
      <c r="B10119" s="787">
        <v>4</v>
      </c>
      <c r="C10119" s="787" t="s">
        <v>14295</v>
      </c>
      <c r="D10119" s="787">
        <v>0</v>
      </c>
      <c r="E10119" s="787">
        <v>0</v>
      </c>
      <c r="H10119" s="787">
        <v>1</v>
      </c>
      <c r="L10119" s="787">
        <v>0</v>
      </c>
      <c r="M10119" s="787">
        <v>10</v>
      </c>
      <c r="N10119" s="787">
        <v>1.18</v>
      </c>
      <c r="O10119" s="788">
        <v>42095</v>
      </c>
    </row>
    <row r="10120" spans="1:15" x14ac:dyDescent="0.25">
      <c r="A10120" s="786" t="s">
        <v>18172</v>
      </c>
      <c r="B10120" s="787">
        <v>4</v>
      </c>
      <c r="C10120" s="787" t="s">
        <v>14299</v>
      </c>
      <c r="D10120" s="787">
        <v>0</v>
      </c>
      <c r="E10120" s="787">
        <v>0</v>
      </c>
      <c r="H10120" s="787">
        <v>1</v>
      </c>
      <c r="I10120" s="788">
        <v>42095</v>
      </c>
      <c r="K10120" s="788">
        <v>42038</v>
      </c>
      <c r="L10120" s="787">
        <v>3.2</v>
      </c>
      <c r="M10120" s="787">
        <v>10</v>
      </c>
      <c r="N10120" s="787">
        <v>17.940000000000001</v>
      </c>
      <c r="O10120" s="788">
        <v>42095</v>
      </c>
    </row>
    <row r="10121" spans="1:15" x14ac:dyDescent="0.25">
      <c r="A10121" s="786" t="s">
        <v>18173</v>
      </c>
      <c r="B10121" s="787">
        <v>4</v>
      </c>
      <c r="C10121" s="787" t="s">
        <v>14303</v>
      </c>
      <c r="D10121" s="787">
        <v>0</v>
      </c>
      <c r="E10121" s="787">
        <v>0</v>
      </c>
      <c r="H10121" s="787">
        <v>1</v>
      </c>
      <c r="I10121" s="788">
        <v>40654</v>
      </c>
      <c r="L10121" s="787">
        <v>0</v>
      </c>
      <c r="M10121" s="787">
        <v>10</v>
      </c>
      <c r="N10121" s="787">
        <v>22.61</v>
      </c>
      <c r="O10121" s="788">
        <v>42095</v>
      </c>
    </row>
    <row r="10122" spans="1:15" x14ac:dyDescent="0.25">
      <c r="A10122" s="786" t="s">
        <v>18174</v>
      </c>
      <c r="B10122" s="787">
        <v>4</v>
      </c>
      <c r="C10122" s="787" t="s">
        <v>14322</v>
      </c>
      <c r="D10122" s="787">
        <v>0</v>
      </c>
      <c r="E10122" s="787">
        <v>0</v>
      </c>
      <c r="H10122" s="787">
        <v>1</v>
      </c>
      <c r="L10122" s="787">
        <v>0.1</v>
      </c>
      <c r="M10122" s="787">
        <v>10</v>
      </c>
      <c r="N10122" s="787">
        <v>5.01</v>
      </c>
      <c r="O10122" s="788">
        <v>42095</v>
      </c>
    </row>
    <row r="10123" spans="1:15" x14ac:dyDescent="0.25">
      <c r="A10123" s="786" t="s">
        <v>18175</v>
      </c>
      <c r="B10123" s="787">
        <v>4</v>
      </c>
      <c r="C10123" s="787" t="s">
        <v>14324</v>
      </c>
      <c r="D10123" s="787">
        <v>0</v>
      </c>
      <c r="E10123" s="787">
        <v>0</v>
      </c>
      <c r="H10123" s="787">
        <v>1</v>
      </c>
      <c r="L10123" s="787">
        <v>0.1</v>
      </c>
      <c r="M10123" s="787">
        <v>10</v>
      </c>
      <c r="N10123" s="787">
        <v>5.01</v>
      </c>
      <c r="O10123" s="788">
        <v>42095</v>
      </c>
    </row>
    <row r="10124" spans="1:15" x14ac:dyDescent="0.25">
      <c r="A10124" s="786" t="s">
        <v>18176</v>
      </c>
      <c r="B10124" s="787">
        <v>4</v>
      </c>
      <c r="C10124" s="787" t="s">
        <v>14332</v>
      </c>
      <c r="D10124" s="787">
        <v>0</v>
      </c>
      <c r="E10124" s="787">
        <v>0</v>
      </c>
      <c r="H10124" s="787">
        <v>1</v>
      </c>
      <c r="L10124" s="787">
        <v>0.01</v>
      </c>
      <c r="M10124" s="787">
        <v>10</v>
      </c>
      <c r="N10124" s="787">
        <v>0</v>
      </c>
    </row>
    <row r="10125" spans="1:15" x14ac:dyDescent="0.25">
      <c r="A10125" s="786" t="s">
        <v>18177</v>
      </c>
      <c r="B10125" s="787">
        <v>4</v>
      </c>
      <c r="C10125" s="787" t="s">
        <v>14334</v>
      </c>
      <c r="D10125" s="787">
        <v>0</v>
      </c>
      <c r="E10125" s="787">
        <v>0</v>
      </c>
      <c r="H10125" s="787">
        <v>1</v>
      </c>
      <c r="L10125" s="787">
        <v>0.01</v>
      </c>
      <c r="M10125" s="787">
        <v>10</v>
      </c>
      <c r="N10125" s="787">
        <v>0</v>
      </c>
    </row>
    <row r="10126" spans="1:15" x14ac:dyDescent="0.25">
      <c r="A10126" s="786" t="s">
        <v>18178</v>
      </c>
      <c r="B10126" s="787">
        <v>4</v>
      </c>
      <c r="C10126" s="787" t="s">
        <v>14338</v>
      </c>
      <c r="D10126" s="787">
        <v>0</v>
      </c>
      <c r="E10126" s="787">
        <v>0</v>
      </c>
      <c r="H10126" s="787">
        <v>1</v>
      </c>
      <c r="L10126" s="787">
        <v>0</v>
      </c>
      <c r="M10126" s="787">
        <v>10</v>
      </c>
      <c r="N10126" s="787">
        <v>17.63</v>
      </c>
      <c r="O10126" s="788">
        <v>42095</v>
      </c>
    </row>
    <row r="10127" spans="1:15" x14ac:dyDescent="0.25">
      <c r="A10127" s="786" t="s">
        <v>18179</v>
      </c>
      <c r="B10127" s="787">
        <v>4</v>
      </c>
      <c r="C10127" s="787" t="s">
        <v>14699</v>
      </c>
      <c r="D10127" s="787">
        <v>0</v>
      </c>
      <c r="E10127" s="787">
        <v>0</v>
      </c>
      <c r="H10127" s="787">
        <v>1</v>
      </c>
      <c r="L10127" s="787">
        <v>0.01</v>
      </c>
      <c r="M10127" s="787">
        <v>10</v>
      </c>
      <c r="N10127" s="787">
        <v>0</v>
      </c>
    </row>
    <row r="10128" spans="1:15" x14ac:dyDescent="0.25">
      <c r="A10128" s="786" t="s">
        <v>18180</v>
      </c>
      <c r="B10128" s="787">
        <v>4</v>
      </c>
      <c r="C10128" s="787" t="s">
        <v>14762</v>
      </c>
      <c r="D10128" s="787">
        <v>0</v>
      </c>
      <c r="E10128" s="787">
        <v>0</v>
      </c>
      <c r="H10128" s="787">
        <v>1</v>
      </c>
      <c r="I10128" s="788">
        <v>41929</v>
      </c>
      <c r="K10128" s="788">
        <v>41911</v>
      </c>
      <c r="L10128" s="787">
        <v>5.29</v>
      </c>
      <c r="M10128" s="787">
        <v>10</v>
      </c>
      <c r="N10128" s="787">
        <v>4.47</v>
      </c>
      <c r="O10128" s="788">
        <v>42095</v>
      </c>
    </row>
    <row r="10129" spans="1:15" x14ac:dyDescent="0.25">
      <c r="A10129" s="786" t="s">
        <v>18181</v>
      </c>
      <c r="B10129" s="787">
        <v>4</v>
      </c>
      <c r="C10129" s="787" t="s">
        <v>14760</v>
      </c>
      <c r="D10129" s="787">
        <v>0</v>
      </c>
      <c r="E10129" s="787">
        <v>0</v>
      </c>
      <c r="H10129" s="787">
        <v>1</v>
      </c>
      <c r="I10129" s="788">
        <v>41929</v>
      </c>
      <c r="K10129" s="788">
        <v>41911</v>
      </c>
      <c r="L10129" s="787">
        <v>5.29</v>
      </c>
      <c r="M10129" s="787">
        <v>10</v>
      </c>
      <c r="N10129" s="787">
        <v>5.29</v>
      </c>
      <c r="O10129" s="788">
        <v>42095</v>
      </c>
    </row>
    <row r="10130" spans="1:15" x14ac:dyDescent="0.25">
      <c r="A10130" s="786" t="s">
        <v>18182</v>
      </c>
      <c r="B10130" s="787">
        <v>4</v>
      </c>
      <c r="C10130" s="787" t="s">
        <v>18183</v>
      </c>
      <c r="D10130" s="787">
        <v>0</v>
      </c>
      <c r="E10130" s="787">
        <v>0</v>
      </c>
      <c r="H10130" s="787">
        <v>1</v>
      </c>
      <c r="I10130" s="788">
        <v>41929</v>
      </c>
      <c r="K10130" s="788">
        <v>41911</v>
      </c>
      <c r="L10130" s="787">
        <v>9.56</v>
      </c>
      <c r="M10130" s="787">
        <v>10</v>
      </c>
      <c r="N10130" s="787">
        <v>9.56</v>
      </c>
      <c r="O10130" s="788">
        <v>42095</v>
      </c>
    </row>
    <row r="10131" spans="1:15" x14ac:dyDescent="0.25">
      <c r="A10131" s="786" t="s">
        <v>18184</v>
      </c>
      <c r="B10131" s="787">
        <v>4</v>
      </c>
      <c r="C10131" s="787" t="s">
        <v>18185</v>
      </c>
      <c r="D10131" s="787">
        <v>0</v>
      </c>
      <c r="E10131" s="787">
        <v>0</v>
      </c>
      <c r="H10131" s="787">
        <v>1</v>
      </c>
      <c r="I10131" s="788">
        <v>41929</v>
      </c>
      <c r="K10131" s="788">
        <v>41911</v>
      </c>
      <c r="L10131" s="787">
        <v>9.56</v>
      </c>
      <c r="M10131" s="787">
        <v>10</v>
      </c>
      <c r="N10131" s="787">
        <v>9.56</v>
      </c>
      <c r="O10131" s="788">
        <v>42095</v>
      </c>
    </row>
    <row r="10132" spans="1:15" x14ac:dyDescent="0.25">
      <c r="A10132" s="786" t="s">
        <v>18186</v>
      </c>
      <c r="B10132" s="787">
        <v>4</v>
      </c>
      <c r="C10132" s="787" t="s">
        <v>14780</v>
      </c>
      <c r="D10132" s="787">
        <v>0</v>
      </c>
      <c r="E10132" s="787">
        <v>0</v>
      </c>
      <c r="H10132" s="787">
        <v>1</v>
      </c>
      <c r="L10132" s="787">
        <v>0.01</v>
      </c>
      <c r="M10132" s="787">
        <v>10</v>
      </c>
      <c r="N10132" s="787">
        <v>0</v>
      </c>
    </row>
    <row r="10133" spans="1:15" x14ac:dyDescent="0.25">
      <c r="A10133" s="786" t="s">
        <v>18187</v>
      </c>
      <c r="B10133" s="787">
        <v>4</v>
      </c>
      <c r="C10133" s="787" t="s">
        <v>14789</v>
      </c>
      <c r="D10133" s="787">
        <v>0</v>
      </c>
      <c r="E10133" s="787">
        <v>0</v>
      </c>
      <c r="H10133" s="787">
        <v>1</v>
      </c>
      <c r="L10133" s="787">
        <v>0.01</v>
      </c>
      <c r="M10133" s="787">
        <v>10</v>
      </c>
      <c r="N10133" s="787">
        <v>0</v>
      </c>
    </row>
    <row r="10134" spans="1:15" x14ac:dyDescent="0.25">
      <c r="A10134" s="786" t="s">
        <v>18188</v>
      </c>
      <c r="B10134" s="787">
        <v>4</v>
      </c>
      <c r="C10134" s="787" t="s">
        <v>14791</v>
      </c>
      <c r="D10134" s="787">
        <v>0</v>
      </c>
      <c r="E10134" s="787">
        <v>0</v>
      </c>
      <c r="H10134" s="787">
        <v>1</v>
      </c>
      <c r="L10134" s="787">
        <v>0.01</v>
      </c>
      <c r="M10134" s="787">
        <v>10</v>
      </c>
      <c r="N10134" s="787">
        <v>0</v>
      </c>
    </row>
    <row r="10135" spans="1:15" x14ac:dyDescent="0.25">
      <c r="A10135" s="786" t="s">
        <v>18189</v>
      </c>
      <c r="B10135" s="787">
        <v>4</v>
      </c>
      <c r="C10135" s="787" t="s">
        <v>14793</v>
      </c>
      <c r="D10135" s="787">
        <v>0</v>
      </c>
      <c r="E10135" s="787">
        <v>0</v>
      </c>
      <c r="H10135" s="787">
        <v>1</v>
      </c>
      <c r="I10135" s="788">
        <v>42095</v>
      </c>
      <c r="J10135" s="788">
        <v>42096</v>
      </c>
      <c r="L10135" s="787">
        <v>0.01</v>
      </c>
      <c r="M10135" s="787">
        <v>10</v>
      </c>
      <c r="N10135" s="787">
        <v>0</v>
      </c>
    </row>
    <row r="10136" spans="1:15" x14ac:dyDescent="0.25">
      <c r="A10136" s="786" t="s">
        <v>18190</v>
      </c>
      <c r="B10136" s="787">
        <v>4</v>
      </c>
      <c r="C10136" s="787" t="s">
        <v>14795</v>
      </c>
      <c r="D10136" s="787">
        <v>0</v>
      </c>
      <c r="E10136" s="787">
        <v>0</v>
      </c>
      <c r="H10136" s="787">
        <v>1</v>
      </c>
      <c r="I10136" s="788">
        <v>42095</v>
      </c>
      <c r="J10136" s="788">
        <v>42096</v>
      </c>
      <c r="L10136" s="787">
        <v>0.01</v>
      </c>
      <c r="M10136" s="787">
        <v>10</v>
      </c>
      <c r="N10136" s="787">
        <v>0</v>
      </c>
    </row>
    <row r="10137" spans="1:15" x14ac:dyDescent="0.25">
      <c r="A10137" s="786" t="s">
        <v>18191</v>
      </c>
      <c r="B10137" s="787">
        <v>4</v>
      </c>
      <c r="C10137" s="787" t="s">
        <v>14803</v>
      </c>
      <c r="D10137" s="787">
        <v>1.54</v>
      </c>
      <c r="E10137" s="787">
        <v>1.54</v>
      </c>
      <c r="F10137" s="788">
        <v>40659</v>
      </c>
      <c r="G10137" s="788">
        <v>41943</v>
      </c>
      <c r="H10137" s="787">
        <v>1</v>
      </c>
      <c r="I10137" s="788">
        <v>42027</v>
      </c>
      <c r="J10137" s="788">
        <v>40646</v>
      </c>
      <c r="K10137" s="788">
        <v>42052</v>
      </c>
      <c r="L10137" s="787">
        <v>0.53</v>
      </c>
      <c r="M10137" s="787">
        <v>10</v>
      </c>
      <c r="N10137" s="787">
        <v>0.53</v>
      </c>
      <c r="O10137" s="788">
        <v>42162</v>
      </c>
    </row>
    <row r="10138" spans="1:15" x14ac:dyDescent="0.25">
      <c r="A10138" s="786" t="s">
        <v>18192</v>
      </c>
      <c r="B10138" s="787">
        <v>4</v>
      </c>
      <c r="C10138" s="787" t="s">
        <v>13969</v>
      </c>
      <c r="D10138" s="787">
        <v>0</v>
      </c>
      <c r="E10138" s="787">
        <v>0</v>
      </c>
      <c r="H10138" s="787">
        <v>1</v>
      </c>
      <c r="K10138" s="788">
        <v>42024</v>
      </c>
      <c r="L10138" s="787">
        <v>29.83</v>
      </c>
      <c r="M10138" s="787">
        <v>10</v>
      </c>
      <c r="N10138" s="787">
        <v>29.83</v>
      </c>
      <c r="O10138" s="788">
        <v>42095</v>
      </c>
    </row>
    <row r="10139" spans="1:15" x14ac:dyDescent="0.25">
      <c r="A10139" s="786" t="s">
        <v>18193</v>
      </c>
      <c r="B10139" s="787">
        <v>4</v>
      </c>
      <c r="C10139" s="787" t="s">
        <v>13969</v>
      </c>
      <c r="D10139" s="787">
        <v>0</v>
      </c>
      <c r="E10139" s="787">
        <v>0</v>
      </c>
      <c r="H10139" s="787">
        <v>1</v>
      </c>
      <c r="K10139" s="788">
        <v>42024</v>
      </c>
      <c r="L10139" s="787">
        <v>29.83</v>
      </c>
      <c r="M10139" s="787">
        <v>10</v>
      </c>
      <c r="N10139" s="787">
        <v>29.83</v>
      </c>
      <c r="O10139" s="788">
        <v>42095</v>
      </c>
    </row>
    <row r="10140" spans="1:15" x14ac:dyDescent="0.25">
      <c r="A10140" s="786" t="s">
        <v>18194</v>
      </c>
      <c r="B10140" s="787">
        <v>4</v>
      </c>
      <c r="C10140" s="787" t="s">
        <v>13969</v>
      </c>
      <c r="D10140" s="787">
        <v>0</v>
      </c>
      <c r="E10140" s="787">
        <v>0</v>
      </c>
      <c r="H10140" s="787">
        <v>1</v>
      </c>
      <c r="K10140" s="788">
        <v>42024</v>
      </c>
      <c r="L10140" s="787">
        <v>29.83</v>
      </c>
      <c r="M10140" s="787">
        <v>10</v>
      </c>
      <c r="N10140" s="787">
        <v>29.83</v>
      </c>
      <c r="O10140" s="788">
        <v>42095</v>
      </c>
    </row>
    <row r="10141" spans="1:15" x14ac:dyDescent="0.25">
      <c r="A10141" s="786" t="s">
        <v>18195</v>
      </c>
      <c r="B10141" s="787">
        <v>4</v>
      </c>
      <c r="C10141" s="787" t="s">
        <v>13971</v>
      </c>
      <c r="D10141" s="787">
        <v>0</v>
      </c>
      <c r="E10141" s="787">
        <v>0</v>
      </c>
      <c r="H10141" s="787">
        <v>1</v>
      </c>
      <c r="L10141" s="787">
        <v>0</v>
      </c>
      <c r="M10141" s="787">
        <v>10</v>
      </c>
      <c r="N10141" s="787">
        <v>36.4</v>
      </c>
      <c r="O10141" s="788">
        <v>42095</v>
      </c>
    </row>
    <row r="10142" spans="1:15" x14ac:dyDescent="0.25">
      <c r="A10142" s="786" t="s">
        <v>18196</v>
      </c>
      <c r="B10142" s="787">
        <v>4</v>
      </c>
      <c r="C10142" s="787" t="s">
        <v>13971</v>
      </c>
      <c r="D10142" s="787">
        <v>0</v>
      </c>
      <c r="E10142" s="787">
        <v>0</v>
      </c>
      <c r="H10142" s="787">
        <v>1</v>
      </c>
      <c r="L10142" s="787">
        <v>0</v>
      </c>
      <c r="M10142" s="787">
        <v>10</v>
      </c>
      <c r="N10142" s="787">
        <v>36.4</v>
      </c>
      <c r="O10142" s="788">
        <v>42095</v>
      </c>
    </row>
    <row r="10143" spans="1:15" x14ac:dyDescent="0.25">
      <c r="A10143" s="786" t="s">
        <v>18197</v>
      </c>
      <c r="B10143" s="787">
        <v>4</v>
      </c>
      <c r="C10143" s="787" t="s">
        <v>13971</v>
      </c>
      <c r="D10143" s="787">
        <v>0</v>
      </c>
      <c r="E10143" s="787">
        <v>0</v>
      </c>
      <c r="H10143" s="787">
        <v>1</v>
      </c>
      <c r="L10143" s="787">
        <v>0</v>
      </c>
      <c r="M10143" s="787">
        <v>10</v>
      </c>
      <c r="N10143" s="787">
        <v>36.4</v>
      </c>
      <c r="O10143" s="788">
        <v>42095</v>
      </c>
    </row>
    <row r="10144" spans="1:15" x14ac:dyDescent="0.25">
      <c r="A10144" s="786" t="s">
        <v>18198</v>
      </c>
      <c r="B10144" s="787">
        <v>4</v>
      </c>
      <c r="C10144" s="787" t="s">
        <v>13967</v>
      </c>
      <c r="D10144" s="787">
        <v>0</v>
      </c>
      <c r="E10144" s="787">
        <v>0</v>
      </c>
      <c r="H10144" s="787">
        <v>1</v>
      </c>
      <c r="L10144" s="787">
        <v>0</v>
      </c>
      <c r="M10144" s="787">
        <v>10</v>
      </c>
      <c r="N10144" s="787">
        <v>43.92</v>
      </c>
      <c r="O10144" s="788">
        <v>42095</v>
      </c>
    </row>
    <row r="10145" spans="1:15" x14ac:dyDescent="0.25">
      <c r="A10145" s="786" t="s">
        <v>18199</v>
      </c>
      <c r="B10145" s="787">
        <v>4</v>
      </c>
      <c r="C10145" s="787" t="s">
        <v>13967</v>
      </c>
      <c r="D10145" s="787">
        <v>0</v>
      </c>
      <c r="E10145" s="787">
        <v>0</v>
      </c>
      <c r="H10145" s="787">
        <v>1</v>
      </c>
      <c r="L10145" s="787">
        <v>0</v>
      </c>
      <c r="M10145" s="787">
        <v>10</v>
      </c>
      <c r="N10145" s="787">
        <v>43.92</v>
      </c>
      <c r="O10145" s="788">
        <v>42095</v>
      </c>
    </row>
    <row r="10146" spans="1:15" x14ac:dyDescent="0.25">
      <c r="A10146" s="786" t="s">
        <v>18200</v>
      </c>
      <c r="B10146" s="787">
        <v>4</v>
      </c>
      <c r="C10146" s="787" t="s">
        <v>13967</v>
      </c>
      <c r="D10146" s="787">
        <v>0</v>
      </c>
      <c r="E10146" s="787">
        <v>0</v>
      </c>
      <c r="H10146" s="787">
        <v>1</v>
      </c>
      <c r="L10146" s="787">
        <v>0</v>
      </c>
      <c r="M10146" s="787">
        <v>10</v>
      </c>
      <c r="N10146" s="787">
        <v>43.92</v>
      </c>
      <c r="O10146" s="788">
        <v>42095</v>
      </c>
    </row>
    <row r="10147" spans="1:15" x14ac:dyDescent="0.25">
      <c r="A10147" s="786" t="s">
        <v>18201</v>
      </c>
      <c r="B10147" s="787">
        <v>4</v>
      </c>
      <c r="C10147" s="787" t="s">
        <v>13967</v>
      </c>
      <c r="D10147" s="787">
        <v>0</v>
      </c>
      <c r="E10147" s="787">
        <v>0</v>
      </c>
      <c r="H10147" s="787">
        <v>1</v>
      </c>
      <c r="L10147" s="787">
        <v>0</v>
      </c>
      <c r="M10147" s="787">
        <v>10</v>
      </c>
      <c r="N10147" s="787">
        <v>43.92</v>
      </c>
      <c r="O10147" s="788">
        <v>42095</v>
      </c>
    </row>
    <row r="10148" spans="1:15" x14ac:dyDescent="0.25">
      <c r="A10148" s="786" t="s">
        <v>18202</v>
      </c>
      <c r="B10148" s="787">
        <v>4</v>
      </c>
      <c r="C10148" s="787" t="s">
        <v>13967</v>
      </c>
      <c r="D10148" s="787">
        <v>0</v>
      </c>
      <c r="E10148" s="787">
        <v>0</v>
      </c>
      <c r="H10148" s="787">
        <v>1</v>
      </c>
      <c r="L10148" s="787">
        <v>0</v>
      </c>
      <c r="M10148" s="787">
        <v>10</v>
      </c>
      <c r="N10148" s="787">
        <v>43.92</v>
      </c>
      <c r="O10148" s="788">
        <v>42095</v>
      </c>
    </row>
    <row r="10149" spans="1:15" x14ac:dyDescent="0.25">
      <c r="A10149" s="786" t="s">
        <v>18203</v>
      </c>
      <c r="B10149" s="787">
        <v>4</v>
      </c>
      <c r="C10149" s="787" t="s">
        <v>13967</v>
      </c>
      <c r="D10149" s="787">
        <v>0</v>
      </c>
      <c r="E10149" s="787">
        <v>0</v>
      </c>
      <c r="H10149" s="787">
        <v>1</v>
      </c>
      <c r="L10149" s="787">
        <v>0</v>
      </c>
      <c r="M10149" s="787">
        <v>10</v>
      </c>
      <c r="N10149" s="787">
        <v>43.92</v>
      </c>
      <c r="O10149" s="788">
        <v>42095</v>
      </c>
    </row>
    <row r="10150" spans="1:15" x14ac:dyDescent="0.25">
      <c r="A10150" s="786" t="s">
        <v>18204</v>
      </c>
      <c r="B10150" s="787">
        <v>4</v>
      </c>
      <c r="C10150" s="787" t="s">
        <v>13967</v>
      </c>
      <c r="D10150" s="787">
        <v>0</v>
      </c>
      <c r="E10150" s="787">
        <v>0</v>
      </c>
      <c r="H10150" s="787">
        <v>1</v>
      </c>
      <c r="L10150" s="787">
        <v>0</v>
      </c>
      <c r="M10150" s="787">
        <v>10</v>
      </c>
      <c r="N10150" s="787">
        <v>43.92</v>
      </c>
      <c r="O10150" s="788">
        <v>42095</v>
      </c>
    </row>
    <row r="10151" spans="1:15" x14ac:dyDescent="0.25">
      <c r="A10151" s="786" t="s">
        <v>18205</v>
      </c>
      <c r="B10151" s="787">
        <v>4</v>
      </c>
      <c r="C10151" s="787" t="s">
        <v>15228</v>
      </c>
      <c r="D10151" s="787">
        <v>0</v>
      </c>
      <c r="E10151" s="787">
        <v>0</v>
      </c>
      <c r="H10151" s="787">
        <v>1</v>
      </c>
      <c r="L10151" s="787">
        <v>0</v>
      </c>
      <c r="M10151" s="787">
        <v>10</v>
      </c>
      <c r="N10151" s="787">
        <v>3.81</v>
      </c>
      <c r="O10151" s="788">
        <v>42095</v>
      </c>
    </row>
    <row r="10152" spans="1:15" x14ac:dyDescent="0.25">
      <c r="A10152" s="786" t="s">
        <v>18206</v>
      </c>
      <c r="B10152" s="787">
        <v>4</v>
      </c>
      <c r="C10152" s="787" t="s">
        <v>18207</v>
      </c>
      <c r="D10152" s="787">
        <v>0</v>
      </c>
      <c r="E10152" s="787">
        <v>0</v>
      </c>
      <c r="H10152" s="787">
        <v>1</v>
      </c>
      <c r="K10152" s="788">
        <v>41974</v>
      </c>
      <c r="L10152" s="787">
        <v>2.86</v>
      </c>
      <c r="M10152" s="787">
        <v>10</v>
      </c>
      <c r="N10152" s="787">
        <v>2.86</v>
      </c>
      <c r="O10152" s="788">
        <v>42095</v>
      </c>
    </row>
    <row r="10153" spans="1:15" x14ac:dyDescent="0.25">
      <c r="A10153" s="786" t="s">
        <v>18208</v>
      </c>
      <c r="B10153" s="787">
        <v>4</v>
      </c>
      <c r="C10153" s="787" t="s">
        <v>8285</v>
      </c>
      <c r="D10153" s="787">
        <v>0</v>
      </c>
      <c r="E10153" s="787">
        <v>0</v>
      </c>
      <c r="H10153" s="787">
        <v>1</v>
      </c>
      <c r="L10153" s="787">
        <v>0</v>
      </c>
      <c r="M10153" s="787">
        <v>10</v>
      </c>
      <c r="N10153" s="787">
        <v>2.56</v>
      </c>
      <c r="O10153" s="788">
        <v>42095</v>
      </c>
    </row>
    <row r="10154" spans="1:15" x14ac:dyDescent="0.25">
      <c r="A10154" s="786" t="s">
        <v>18209</v>
      </c>
      <c r="B10154" s="787">
        <v>4</v>
      </c>
      <c r="C10154" s="787" t="s">
        <v>18210</v>
      </c>
      <c r="D10154" s="787">
        <v>0.33</v>
      </c>
      <c r="E10154" s="787">
        <v>0.33</v>
      </c>
      <c r="F10154" s="788">
        <v>39101</v>
      </c>
      <c r="G10154" s="788">
        <v>41943</v>
      </c>
      <c r="H10154" s="787">
        <v>1</v>
      </c>
      <c r="I10154" s="788">
        <v>41222</v>
      </c>
      <c r="J10154" s="788">
        <v>39149</v>
      </c>
      <c r="L10154" s="787">
        <v>0.24</v>
      </c>
      <c r="M10154" s="787">
        <v>10</v>
      </c>
      <c r="N10154" s="787">
        <v>0.77</v>
      </c>
      <c r="O10154" s="788">
        <v>42095</v>
      </c>
    </row>
    <row r="10155" spans="1:15" x14ac:dyDescent="0.25">
      <c r="A10155" s="786" t="s">
        <v>18211</v>
      </c>
      <c r="B10155" s="787">
        <v>4</v>
      </c>
      <c r="C10155" s="787" t="s">
        <v>8350</v>
      </c>
      <c r="D10155" s="787">
        <v>0</v>
      </c>
      <c r="E10155" s="787">
        <v>0</v>
      </c>
      <c r="G10155" s="788">
        <v>41766</v>
      </c>
      <c r="H10155" s="787">
        <v>1</v>
      </c>
      <c r="I10155" s="788">
        <v>41759</v>
      </c>
      <c r="J10155" s="788">
        <v>41766</v>
      </c>
      <c r="L10155" s="787">
        <v>0</v>
      </c>
      <c r="M10155" s="787">
        <v>10</v>
      </c>
      <c r="N10155" s="787">
        <v>8.67</v>
      </c>
      <c r="O10155" s="788">
        <v>42095</v>
      </c>
    </row>
    <row r="10156" spans="1:15" x14ac:dyDescent="0.25">
      <c r="A10156" s="786" t="s">
        <v>18212</v>
      </c>
      <c r="B10156" s="787">
        <v>4</v>
      </c>
      <c r="C10156" s="787" t="s">
        <v>18213</v>
      </c>
      <c r="D10156" s="787">
        <v>1.03</v>
      </c>
      <c r="E10156" s="787">
        <v>1.19</v>
      </c>
      <c r="F10156" s="788">
        <v>38698</v>
      </c>
      <c r="G10156" s="788">
        <v>41255</v>
      </c>
      <c r="H10156" s="787">
        <v>1</v>
      </c>
      <c r="I10156" s="788">
        <v>39134</v>
      </c>
      <c r="J10156" s="788">
        <v>39330</v>
      </c>
      <c r="L10156" s="787">
        <v>0</v>
      </c>
      <c r="M10156" s="787">
        <v>10</v>
      </c>
      <c r="N10156" s="787">
        <v>3.1</v>
      </c>
      <c r="O10156" s="788">
        <v>42095</v>
      </c>
    </row>
    <row r="10157" spans="1:15" x14ac:dyDescent="0.25">
      <c r="A10157" s="786" t="s">
        <v>18214</v>
      </c>
      <c r="B10157" s="787">
        <v>4</v>
      </c>
      <c r="C10157" s="787" t="s">
        <v>18215</v>
      </c>
      <c r="D10157" s="787">
        <v>0.79</v>
      </c>
      <c r="E10157" s="787">
        <v>0.79</v>
      </c>
      <c r="F10157" s="788">
        <v>39975</v>
      </c>
      <c r="G10157" s="788">
        <v>41255</v>
      </c>
      <c r="H10157" s="787">
        <v>1</v>
      </c>
      <c r="I10157" s="788">
        <v>39134</v>
      </c>
      <c r="J10157" s="788">
        <v>39330</v>
      </c>
      <c r="L10157" s="787">
        <v>0</v>
      </c>
      <c r="M10157" s="787">
        <v>10</v>
      </c>
      <c r="N10157" s="787">
        <v>2.91</v>
      </c>
      <c r="O10157" s="788">
        <v>42095</v>
      </c>
    </row>
    <row r="10158" spans="1:15" x14ac:dyDescent="0.25">
      <c r="A10158" s="786" t="s">
        <v>18216</v>
      </c>
      <c r="B10158" s="787">
        <v>4</v>
      </c>
      <c r="C10158" s="787" t="s">
        <v>15414</v>
      </c>
      <c r="D10158" s="787">
        <v>1.99</v>
      </c>
      <c r="E10158" s="787">
        <v>8.15</v>
      </c>
      <c r="F10158" s="788">
        <v>41134</v>
      </c>
      <c r="G10158" s="788">
        <v>42125</v>
      </c>
      <c r="H10158" s="787">
        <v>1</v>
      </c>
      <c r="I10158" s="788">
        <v>42076</v>
      </c>
      <c r="J10158" s="788">
        <v>42065</v>
      </c>
      <c r="K10158" s="788">
        <v>41218</v>
      </c>
      <c r="L10158" s="787">
        <v>7.9</v>
      </c>
      <c r="M10158" s="787">
        <v>20</v>
      </c>
      <c r="N10158" s="787">
        <v>8.49</v>
      </c>
      <c r="O10158" s="788">
        <v>42095</v>
      </c>
    </row>
    <row r="10159" spans="1:15" x14ac:dyDescent="0.25">
      <c r="A10159" s="786" t="s">
        <v>18217</v>
      </c>
      <c r="B10159" s="787">
        <v>4</v>
      </c>
      <c r="C10159" s="787" t="s">
        <v>18218</v>
      </c>
      <c r="D10159" s="787">
        <v>0</v>
      </c>
      <c r="E10159" s="787">
        <v>0</v>
      </c>
      <c r="H10159" s="787">
        <v>1</v>
      </c>
      <c r="I10159" s="788">
        <v>41984</v>
      </c>
      <c r="K10159" s="788">
        <v>42074</v>
      </c>
      <c r="L10159" s="787">
        <v>15.54</v>
      </c>
      <c r="M10159" s="787">
        <v>10</v>
      </c>
      <c r="N10159" s="787">
        <v>15.54</v>
      </c>
      <c r="O10159" s="788">
        <v>42095</v>
      </c>
    </row>
    <row r="10160" spans="1:15" x14ac:dyDescent="0.25">
      <c r="A10160" s="786" t="s">
        <v>18219</v>
      </c>
      <c r="B10160" s="787">
        <v>4</v>
      </c>
      <c r="C10160" s="787" t="s">
        <v>18220</v>
      </c>
      <c r="D10160" s="787">
        <v>0</v>
      </c>
      <c r="E10160" s="787">
        <v>0</v>
      </c>
      <c r="H10160" s="787">
        <v>1</v>
      </c>
      <c r="K10160" s="788">
        <v>42074</v>
      </c>
      <c r="L10160" s="787">
        <v>15.54</v>
      </c>
      <c r="M10160" s="787">
        <v>10</v>
      </c>
      <c r="N10160" s="787">
        <v>15.54</v>
      </c>
      <c r="O10160" s="788">
        <v>42095</v>
      </c>
    </row>
    <row r="10161" spans="1:15" x14ac:dyDescent="0.25">
      <c r="A10161" s="786" t="s">
        <v>18221</v>
      </c>
      <c r="B10161" s="787">
        <v>4</v>
      </c>
      <c r="C10161" s="787" t="s">
        <v>18222</v>
      </c>
      <c r="D10161" s="787">
        <v>0</v>
      </c>
      <c r="E10161" s="787">
        <v>0</v>
      </c>
      <c r="H10161" s="787">
        <v>1</v>
      </c>
      <c r="I10161" s="788">
        <v>41984</v>
      </c>
      <c r="K10161" s="788">
        <v>41974</v>
      </c>
      <c r="L10161" s="787">
        <v>5.58</v>
      </c>
      <c r="M10161" s="787">
        <v>10</v>
      </c>
      <c r="N10161" s="787">
        <v>5.58</v>
      </c>
      <c r="O10161" s="788">
        <v>42095</v>
      </c>
    </row>
    <row r="10162" spans="1:15" x14ac:dyDescent="0.25">
      <c r="A10162" s="786" t="s">
        <v>18223</v>
      </c>
      <c r="B10162" s="787">
        <v>4</v>
      </c>
      <c r="C10162" s="787" t="s">
        <v>15443</v>
      </c>
      <c r="D10162" s="787">
        <v>0</v>
      </c>
      <c r="E10162" s="787">
        <v>0</v>
      </c>
      <c r="H10162" s="787">
        <v>1</v>
      </c>
      <c r="I10162" s="788">
        <v>41984</v>
      </c>
      <c r="L10162" s="787">
        <v>0.01</v>
      </c>
      <c r="M10162" s="787">
        <v>10</v>
      </c>
      <c r="N10162" s="787">
        <v>19.309999999999999</v>
      </c>
      <c r="O10162" s="788">
        <v>42095</v>
      </c>
    </row>
    <row r="10163" spans="1:15" x14ac:dyDescent="0.25">
      <c r="A10163" s="786" t="s">
        <v>18224</v>
      </c>
      <c r="B10163" s="787">
        <v>4</v>
      </c>
      <c r="C10163" s="787" t="s">
        <v>9380</v>
      </c>
      <c r="D10163" s="787">
        <v>0</v>
      </c>
      <c r="E10163" s="787">
        <v>0</v>
      </c>
      <c r="H10163" s="787">
        <v>1</v>
      </c>
      <c r="I10163" s="788">
        <v>42047</v>
      </c>
      <c r="J10163" s="788">
        <v>42048</v>
      </c>
      <c r="L10163" s="787">
        <v>0.01</v>
      </c>
      <c r="M10163" s="787">
        <v>10</v>
      </c>
      <c r="N10163" s="787">
        <v>0</v>
      </c>
    </row>
    <row r="10164" spans="1:15" x14ac:dyDescent="0.25">
      <c r="A10164" s="786" t="s">
        <v>18225</v>
      </c>
      <c r="B10164" s="787">
        <v>4</v>
      </c>
      <c r="C10164" s="787" t="s">
        <v>15536</v>
      </c>
      <c r="D10164" s="787">
        <v>0</v>
      </c>
      <c r="E10164" s="787">
        <v>0</v>
      </c>
      <c r="H10164" s="787">
        <v>1</v>
      </c>
      <c r="K10164" s="788">
        <v>42132</v>
      </c>
      <c r="L10164" s="787">
        <v>13.26</v>
      </c>
      <c r="M10164" s="787">
        <v>10</v>
      </c>
      <c r="N10164" s="787">
        <v>13.26</v>
      </c>
      <c r="O10164" s="788">
        <v>42095</v>
      </c>
    </row>
    <row r="10165" spans="1:15" x14ac:dyDescent="0.25">
      <c r="A10165" s="786" t="s">
        <v>18226</v>
      </c>
      <c r="B10165" s="787">
        <v>4</v>
      </c>
      <c r="C10165" s="787" t="s">
        <v>15536</v>
      </c>
      <c r="D10165" s="787">
        <v>0</v>
      </c>
      <c r="E10165" s="787">
        <v>0</v>
      </c>
      <c r="H10165" s="787">
        <v>1</v>
      </c>
      <c r="L10165" s="787">
        <v>0</v>
      </c>
      <c r="M10165" s="787">
        <v>10</v>
      </c>
      <c r="N10165" s="787">
        <v>13.26</v>
      </c>
      <c r="O10165" s="788">
        <v>42095</v>
      </c>
    </row>
    <row r="10166" spans="1:15" x14ac:dyDescent="0.25">
      <c r="A10166" s="786" t="s">
        <v>18227</v>
      </c>
      <c r="B10166" s="787">
        <v>4</v>
      </c>
      <c r="C10166" s="787" t="s">
        <v>15536</v>
      </c>
      <c r="D10166" s="787">
        <v>0</v>
      </c>
      <c r="E10166" s="787">
        <v>0</v>
      </c>
      <c r="H10166" s="787">
        <v>1</v>
      </c>
      <c r="L10166" s="787">
        <v>0</v>
      </c>
      <c r="M10166" s="787">
        <v>10</v>
      </c>
      <c r="N10166" s="787">
        <v>13.26</v>
      </c>
      <c r="O10166" s="788">
        <v>42095</v>
      </c>
    </row>
    <row r="10167" spans="1:15" x14ac:dyDescent="0.25">
      <c r="A10167" s="786" t="s">
        <v>18228</v>
      </c>
      <c r="B10167" s="787">
        <v>4</v>
      </c>
      <c r="C10167" s="787" t="s">
        <v>13580</v>
      </c>
      <c r="D10167" s="787">
        <v>0</v>
      </c>
      <c r="E10167" s="787">
        <v>0</v>
      </c>
      <c r="H10167" s="787">
        <v>1</v>
      </c>
      <c r="L10167" s="787">
        <v>0</v>
      </c>
      <c r="M10167" s="787">
        <v>10</v>
      </c>
      <c r="N10167" s="787">
        <v>14.1</v>
      </c>
      <c r="O10167" s="788">
        <v>42095</v>
      </c>
    </row>
    <row r="10168" spans="1:15" x14ac:dyDescent="0.25">
      <c r="A10168" s="786" t="s">
        <v>18229</v>
      </c>
      <c r="B10168" s="787">
        <v>4</v>
      </c>
      <c r="C10168" s="787" t="s">
        <v>13580</v>
      </c>
      <c r="D10168" s="787">
        <v>0</v>
      </c>
      <c r="E10168" s="787">
        <v>0</v>
      </c>
      <c r="H10168" s="787">
        <v>1</v>
      </c>
      <c r="L10168" s="787">
        <v>0</v>
      </c>
      <c r="M10168" s="787">
        <v>10</v>
      </c>
      <c r="N10168" s="787">
        <v>14.1</v>
      </c>
      <c r="O10168" s="788">
        <v>42095</v>
      </c>
    </row>
    <row r="10169" spans="1:15" x14ac:dyDescent="0.25">
      <c r="A10169" s="786" t="s">
        <v>18230</v>
      </c>
      <c r="B10169" s="787">
        <v>4</v>
      </c>
      <c r="C10169" s="787" t="s">
        <v>13580</v>
      </c>
      <c r="D10169" s="787">
        <v>0</v>
      </c>
      <c r="E10169" s="787">
        <v>0</v>
      </c>
      <c r="H10169" s="787">
        <v>1</v>
      </c>
      <c r="L10169" s="787">
        <v>0</v>
      </c>
      <c r="M10169" s="787">
        <v>10</v>
      </c>
      <c r="N10169" s="787">
        <v>14.1</v>
      </c>
      <c r="O10169" s="788">
        <v>42095</v>
      </c>
    </row>
    <row r="10170" spans="1:15" x14ac:dyDescent="0.25">
      <c r="A10170" s="786" t="s">
        <v>18231</v>
      </c>
      <c r="B10170" s="787">
        <v>4</v>
      </c>
      <c r="C10170" s="787" t="s">
        <v>13578</v>
      </c>
      <c r="D10170" s="787">
        <v>0</v>
      </c>
      <c r="E10170" s="787">
        <v>0</v>
      </c>
      <c r="H10170" s="787">
        <v>1</v>
      </c>
      <c r="L10170" s="787">
        <v>0</v>
      </c>
      <c r="M10170" s="787">
        <v>10</v>
      </c>
      <c r="N10170" s="787">
        <v>42.96</v>
      </c>
      <c r="O10170" s="788">
        <v>42095</v>
      </c>
    </row>
    <row r="10171" spans="1:15" x14ac:dyDescent="0.25">
      <c r="A10171" s="786" t="s">
        <v>18232</v>
      </c>
      <c r="B10171" s="787">
        <v>4</v>
      </c>
      <c r="C10171" s="787" t="s">
        <v>13578</v>
      </c>
      <c r="D10171" s="787">
        <v>0</v>
      </c>
      <c r="E10171" s="787">
        <v>0</v>
      </c>
      <c r="H10171" s="787">
        <v>1</v>
      </c>
      <c r="L10171" s="787">
        <v>0</v>
      </c>
      <c r="M10171" s="787">
        <v>10</v>
      </c>
      <c r="N10171" s="787">
        <v>42.96</v>
      </c>
      <c r="O10171" s="788">
        <v>42095</v>
      </c>
    </row>
    <row r="10172" spans="1:15" x14ac:dyDescent="0.25">
      <c r="A10172" s="786" t="s">
        <v>18233</v>
      </c>
      <c r="B10172" s="787">
        <v>4</v>
      </c>
      <c r="C10172" s="787" t="s">
        <v>13578</v>
      </c>
      <c r="D10172" s="787">
        <v>0</v>
      </c>
      <c r="E10172" s="787">
        <v>0</v>
      </c>
      <c r="H10172" s="787">
        <v>1</v>
      </c>
      <c r="L10172" s="787">
        <v>0</v>
      </c>
      <c r="M10172" s="787">
        <v>10</v>
      </c>
      <c r="N10172" s="787">
        <v>42.96</v>
      </c>
      <c r="O10172" s="788">
        <v>42095</v>
      </c>
    </row>
    <row r="10173" spans="1:15" x14ac:dyDescent="0.25">
      <c r="A10173" s="786" t="s">
        <v>18234</v>
      </c>
      <c r="B10173" s="787">
        <v>4</v>
      </c>
      <c r="C10173" s="787" t="s">
        <v>13578</v>
      </c>
      <c r="D10173" s="787">
        <v>0</v>
      </c>
      <c r="E10173" s="787">
        <v>0</v>
      </c>
      <c r="H10173" s="787">
        <v>1</v>
      </c>
      <c r="L10173" s="787">
        <v>0</v>
      </c>
      <c r="M10173" s="787">
        <v>10</v>
      </c>
      <c r="N10173" s="787">
        <v>42.96</v>
      </c>
      <c r="O10173" s="788">
        <v>42095</v>
      </c>
    </row>
    <row r="10174" spans="1:15" x14ac:dyDescent="0.25">
      <c r="A10174" s="786" t="s">
        <v>18235</v>
      </c>
      <c r="B10174" s="787">
        <v>4</v>
      </c>
      <c r="C10174" s="787" t="s">
        <v>13578</v>
      </c>
      <c r="D10174" s="787">
        <v>0</v>
      </c>
      <c r="E10174" s="787">
        <v>0</v>
      </c>
      <c r="H10174" s="787">
        <v>1</v>
      </c>
      <c r="L10174" s="787">
        <v>0</v>
      </c>
      <c r="M10174" s="787">
        <v>10</v>
      </c>
      <c r="N10174" s="787">
        <v>42.96</v>
      </c>
      <c r="O10174" s="788">
        <v>42095</v>
      </c>
    </row>
    <row r="10175" spans="1:15" x14ac:dyDescent="0.25">
      <c r="A10175" s="786" t="s">
        <v>18236</v>
      </c>
      <c r="B10175" s="787">
        <v>4</v>
      </c>
      <c r="C10175" s="787" t="s">
        <v>13578</v>
      </c>
      <c r="D10175" s="787">
        <v>0</v>
      </c>
      <c r="E10175" s="787">
        <v>0</v>
      </c>
      <c r="H10175" s="787">
        <v>1</v>
      </c>
      <c r="L10175" s="787">
        <v>0</v>
      </c>
      <c r="M10175" s="787">
        <v>10</v>
      </c>
      <c r="N10175" s="787">
        <v>42.96</v>
      </c>
      <c r="O10175" s="788">
        <v>42095</v>
      </c>
    </row>
    <row r="10176" spans="1:15" x14ac:dyDescent="0.25">
      <c r="A10176" s="786" t="s">
        <v>18237</v>
      </c>
      <c r="B10176" s="787">
        <v>4</v>
      </c>
      <c r="C10176" s="787" t="s">
        <v>13578</v>
      </c>
      <c r="D10176" s="787">
        <v>0</v>
      </c>
      <c r="E10176" s="787">
        <v>0</v>
      </c>
      <c r="H10176" s="787">
        <v>1</v>
      </c>
      <c r="L10176" s="787">
        <v>0</v>
      </c>
      <c r="M10176" s="787">
        <v>10</v>
      </c>
      <c r="N10176" s="787">
        <v>42.96</v>
      </c>
      <c r="O10176" s="788">
        <v>42095</v>
      </c>
    </row>
    <row r="10177" spans="1:15" x14ac:dyDescent="0.25">
      <c r="A10177" s="786" t="s">
        <v>18238</v>
      </c>
      <c r="B10177" s="787">
        <v>4</v>
      </c>
      <c r="C10177" s="787" t="s">
        <v>13622</v>
      </c>
      <c r="D10177" s="787">
        <v>0</v>
      </c>
      <c r="E10177" s="787">
        <v>0</v>
      </c>
      <c r="H10177" s="787">
        <v>1</v>
      </c>
      <c r="K10177" s="788">
        <v>42132</v>
      </c>
      <c r="L10177" s="787">
        <v>37.46</v>
      </c>
      <c r="M10177" s="787">
        <v>10</v>
      </c>
      <c r="N10177" s="787">
        <v>37.46</v>
      </c>
      <c r="O10177" s="788">
        <v>42095</v>
      </c>
    </row>
    <row r="10178" spans="1:15" x14ac:dyDescent="0.25">
      <c r="A10178" s="786" t="s">
        <v>18239</v>
      </c>
      <c r="B10178" s="787">
        <v>4</v>
      </c>
      <c r="C10178" s="787" t="s">
        <v>13622</v>
      </c>
      <c r="D10178" s="787">
        <v>0</v>
      </c>
      <c r="E10178" s="787">
        <v>0</v>
      </c>
      <c r="H10178" s="787">
        <v>1</v>
      </c>
      <c r="L10178" s="787">
        <v>0</v>
      </c>
      <c r="M10178" s="787">
        <v>10</v>
      </c>
      <c r="N10178" s="787">
        <v>37.46</v>
      </c>
      <c r="O10178" s="788">
        <v>42095</v>
      </c>
    </row>
    <row r="10179" spans="1:15" x14ac:dyDescent="0.25">
      <c r="A10179" s="786" t="s">
        <v>18240</v>
      </c>
      <c r="B10179" s="787">
        <v>4</v>
      </c>
      <c r="C10179" s="787" t="s">
        <v>13622</v>
      </c>
      <c r="D10179" s="787">
        <v>0</v>
      </c>
      <c r="E10179" s="787">
        <v>0</v>
      </c>
      <c r="H10179" s="787">
        <v>1</v>
      </c>
      <c r="L10179" s="787">
        <v>0</v>
      </c>
      <c r="M10179" s="787">
        <v>10</v>
      </c>
      <c r="N10179" s="787">
        <v>37.46</v>
      </c>
      <c r="O10179" s="788">
        <v>42095</v>
      </c>
    </row>
    <row r="10180" spans="1:15" x14ac:dyDescent="0.25">
      <c r="A10180" s="786" t="s">
        <v>18241</v>
      </c>
      <c r="B10180" s="787">
        <v>4</v>
      </c>
      <c r="C10180" s="787" t="s">
        <v>13624</v>
      </c>
      <c r="D10180" s="787">
        <v>0</v>
      </c>
      <c r="E10180" s="787">
        <v>0</v>
      </c>
      <c r="H10180" s="787">
        <v>1</v>
      </c>
      <c r="K10180" s="788">
        <v>41954</v>
      </c>
      <c r="L10180" s="787">
        <v>39.42</v>
      </c>
      <c r="M10180" s="787">
        <v>10</v>
      </c>
      <c r="N10180" s="787">
        <v>39.42</v>
      </c>
      <c r="O10180" s="788">
        <v>42095</v>
      </c>
    </row>
    <row r="10181" spans="1:15" x14ac:dyDescent="0.25">
      <c r="A10181" s="786" t="s">
        <v>18242</v>
      </c>
      <c r="B10181" s="787">
        <v>4</v>
      </c>
      <c r="C10181" s="787" t="s">
        <v>13624</v>
      </c>
      <c r="D10181" s="787">
        <v>0</v>
      </c>
      <c r="E10181" s="787">
        <v>0</v>
      </c>
      <c r="H10181" s="787">
        <v>1</v>
      </c>
      <c r="L10181" s="787">
        <v>0</v>
      </c>
      <c r="M10181" s="787">
        <v>10</v>
      </c>
      <c r="N10181" s="787">
        <v>39.42</v>
      </c>
      <c r="O10181" s="788">
        <v>42095</v>
      </c>
    </row>
    <row r="10182" spans="1:15" x14ac:dyDescent="0.25">
      <c r="A10182" s="786" t="s">
        <v>18243</v>
      </c>
      <c r="B10182" s="787">
        <v>4</v>
      </c>
      <c r="C10182" s="787" t="s">
        <v>13624</v>
      </c>
      <c r="D10182" s="787">
        <v>0</v>
      </c>
      <c r="E10182" s="787">
        <v>0</v>
      </c>
      <c r="H10182" s="787">
        <v>1</v>
      </c>
      <c r="L10182" s="787">
        <v>0</v>
      </c>
      <c r="M10182" s="787">
        <v>10</v>
      </c>
      <c r="N10182" s="787">
        <v>39.42</v>
      </c>
      <c r="O10182" s="788">
        <v>42095</v>
      </c>
    </row>
    <row r="10183" spans="1:15" x14ac:dyDescent="0.25">
      <c r="A10183" s="786" t="s">
        <v>18244</v>
      </c>
      <c r="B10183" s="787">
        <v>4</v>
      </c>
      <c r="C10183" s="787" t="s">
        <v>13620</v>
      </c>
      <c r="D10183" s="787">
        <v>0</v>
      </c>
      <c r="E10183" s="787">
        <v>0</v>
      </c>
      <c r="H10183" s="787">
        <v>1</v>
      </c>
      <c r="L10183" s="787">
        <v>0</v>
      </c>
      <c r="M10183" s="787">
        <v>10</v>
      </c>
      <c r="N10183" s="787">
        <v>48.04</v>
      </c>
      <c r="O10183" s="788">
        <v>42095</v>
      </c>
    </row>
    <row r="10184" spans="1:15" x14ac:dyDescent="0.25">
      <c r="A10184" s="786" t="s">
        <v>18245</v>
      </c>
      <c r="B10184" s="787">
        <v>4</v>
      </c>
      <c r="C10184" s="787" t="s">
        <v>13620</v>
      </c>
      <c r="D10184" s="787">
        <v>0</v>
      </c>
      <c r="E10184" s="787">
        <v>0</v>
      </c>
      <c r="H10184" s="787">
        <v>1</v>
      </c>
      <c r="L10184" s="787">
        <v>0</v>
      </c>
      <c r="M10184" s="787">
        <v>10</v>
      </c>
      <c r="N10184" s="787">
        <v>48.04</v>
      </c>
      <c r="O10184" s="788">
        <v>42095</v>
      </c>
    </row>
    <row r="10185" spans="1:15" x14ac:dyDescent="0.25">
      <c r="A10185" s="786" t="s">
        <v>18246</v>
      </c>
      <c r="B10185" s="787">
        <v>4</v>
      </c>
      <c r="C10185" s="787" t="s">
        <v>13620</v>
      </c>
      <c r="D10185" s="787">
        <v>0</v>
      </c>
      <c r="E10185" s="787">
        <v>0</v>
      </c>
      <c r="H10185" s="787">
        <v>1</v>
      </c>
      <c r="L10185" s="787">
        <v>0</v>
      </c>
      <c r="M10185" s="787">
        <v>10</v>
      </c>
      <c r="N10185" s="787">
        <v>48.04</v>
      </c>
      <c r="O10185" s="788">
        <v>42095</v>
      </c>
    </row>
    <row r="10186" spans="1:15" x14ac:dyDescent="0.25">
      <c r="A10186" s="786" t="s">
        <v>18247</v>
      </c>
      <c r="B10186" s="787">
        <v>4</v>
      </c>
      <c r="C10186" s="787" t="s">
        <v>13620</v>
      </c>
      <c r="D10186" s="787">
        <v>0</v>
      </c>
      <c r="E10186" s="787">
        <v>0</v>
      </c>
      <c r="H10186" s="787">
        <v>1</v>
      </c>
      <c r="L10186" s="787">
        <v>0</v>
      </c>
      <c r="M10186" s="787">
        <v>10</v>
      </c>
      <c r="N10186" s="787">
        <v>48.04</v>
      </c>
      <c r="O10186" s="788">
        <v>42095</v>
      </c>
    </row>
    <row r="10187" spans="1:15" x14ac:dyDescent="0.25">
      <c r="A10187" s="786" t="s">
        <v>18248</v>
      </c>
      <c r="B10187" s="787">
        <v>4</v>
      </c>
      <c r="C10187" s="787" t="s">
        <v>13620</v>
      </c>
      <c r="D10187" s="787">
        <v>0</v>
      </c>
      <c r="E10187" s="787">
        <v>0</v>
      </c>
      <c r="H10187" s="787">
        <v>1</v>
      </c>
      <c r="L10187" s="787">
        <v>0</v>
      </c>
      <c r="M10187" s="787">
        <v>10</v>
      </c>
      <c r="N10187" s="787">
        <v>48.04</v>
      </c>
      <c r="O10187" s="788">
        <v>42095</v>
      </c>
    </row>
    <row r="10188" spans="1:15" x14ac:dyDescent="0.25">
      <c r="A10188" s="786" t="s">
        <v>18249</v>
      </c>
      <c r="B10188" s="787">
        <v>4</v>
      </c>
      <c r="C10188" s="787" t="s">
        <v>13620</v>
      </c>
      <c r="D10188" s="787">
        <v>0</v>
      </c>
      <c r="E10188" s="787">
        <v>0</v>
      </c>
      <c r="H10188" s="787">
        <v>1</v>
      </c>
      <c r="L10188" s="787">
        <v>0</v>
      </c>
      <c r="M10188" s="787">
        <v>10</v>
      </c>
      <c r="N10188" s="787">
        <v>48.04</v>
      </c>
      <c r="O10188" s="788">
        <v>42095</v>
      </c>
    </row>
    <row r="10189" spans="1:15" x14ac:dyDescent="0.25">
      <c r="A10189" s="786" t="s">
        <v>18250</v>
      </c>
      <c r="B10189" s="787">
        <v>4</v>
      </c>
      <c r="C10189" s="787" t="s">
        <v>13620</v>
      </c>
      <c r="D10189" s="787">
        <v>0</v>
      </c>
      <c r="E10189" s="787">
        <v>0</v>
      </c>
      <c r="H10189" s="787">
        <v>1</v>
      </c>
      <c r="L10189" s="787">
        <v>0</v>
      </c>
      <c r="M10189" s="787">
        <v>10</v>
      </c>
      <c r="N10189" s="787">
        <v>48.04</v>
      </c>
      <c r="O10189" s="788">
        <v>42095</v>
      </c>
    </row>
    <row r="10190" spans="1:15" x14ac:dyDescent="0.25">
      <c r="A10190" s="786" t="s">
        <v>18251</v>
      </c>
      <c r="B10190" s="787">
        <v>4</v>
      </c>
      <c r="C10190" s="787" t="s">
        <v>15563</v>
      </c>
      <c r="D10190" s="787">
        <v>0</v>
      </c>
      <c r="E10190" s="787">
        <v>0</v>
      </c>
      <c r="H10190" s="787">
        <v>1</v>
      </c>
      <c r="K10190" s="788">
        <v>42134</v>
      </c>
      <c r="L10190" s="787">
        <v>32.39</v>
      </c>
      <c r="M10190" s="787">
        <v>10</v>
      </c>
      <c r="N10190" s="787">
        <v>32.39</v>
      </c>
      <c r="O10190" s="788">
        <v>42095</v>
      </c>
    </row>
    <row r="10191" spans="1:15" x14ac:dyDescent="0.25">
      <c r="A10191" s="786" t="s">
        <v>18252</v>
      </c>
      <c r="B10191" s="787">
        <v>4</v>
      </c>
      <c r="C10191" s="787" t="s">
        <v>15563</v>
      </c>
      <c r="D10191" s="787">
        <v>0</v>
      </c>
      <c r="E10191" s="787">
        <v>0</v>
      </c>
      <c r="H10191" s="787">
        <v>1</v>
      </c>
      <c r="L10191" s="787">
        <v>0</v>
      </c>
      <c r="M10191" s="787">
        <v>10</v>
      </c>
      <c r="N10191" s="787">
        <v>32.39</v>
      </c>
      <c r="O10191" s="788">
        <v>42095</v>
      </c>
    </row>
    <row r="10192" spans="1:15" x14ac:dyDescent="0.25">
      <c r="A10192" s="786" t="s">
        <v>18253</v>
      </c>
      <c r="B10192" s="787">
        <v>4</v>
      </c>
      <c r="C10192" s="787" t="s">
        <v>15563</v>
      </c>
      <c r="D10192" s="787">
        <v>0</v>
      </c>
      <c r="E10192" s="787">
        <v>0</v>
      </c>
      <c r="H10192" s="787">
        <v>1</v>
      </c>
      <c r="L10192" s="787">
        <v>0</v>
      </c>
      <c r="M10192" s="787">
        <v>10</v>
      </c>
      <c r="N10192" s="787">
        <v>32.39</v>
      </c>
      <c r="O10192" s="788">
        <v>42095</v>
      </c>
    </row>
    <row r="10193" spans="1:15" x14ac:dyDescent="0.25">
      <c r="A10193" s="786" t="s">
        <v>18254</v>
      </c>
      <c r="B10193" s="787">
        <v>4</v>
      </c>
      <c r="C10193" s="787" t="s">
        <v>14338</v>
      </c>
      <c r="D10193" s="787">
        <v>0</v>
      </c>
      <c r="E10193" s="787">
        <v>0</v>
      </c>
      <c r="H10193" s="787">
        <v>1</v>
      </c>
      <c r="L10193" s="787">
        <v>0</v>
      </c>
      <c r="M10193" s="787">
        <v>10</v>
      </c>
      <c r="N10193" s="787">
        <v>17.63</v>
      </c>
      <c r="O10193" s="788">
        <v>42095</v>
      </c>
    </row>
    <row r="10194" spans="1:15" x14ac:dyDescent="0.25">
      <c r="A10194" s="786" t="s">
        <v>18255</v>
      </c>
      <c r="B10194" s="787">
        <v>4</v>
      </c>
      <c r="C10194" s="787" t="s">
        <v>14338</v>
      </c>
      <c r="D10194" s="787">
        <v>0</v>
      </c>
      <c r="E10194" s="787">
        <v>0</v>
      </c>
      <c r="H10194" s="787">
        <v>1</v>
      </c>
      <c r="L10194" s="787">
        <v>0</v>
      </c>
      <c r="M10194" s="787">
        <v>10</v>
      </c>
      <c r="N10194" s="787">
        <v>17.63</v>
      </c>
      <c r="O10194" s="788">
        <v>42095</v>
      </c>
    </row>
    <row r="10195" spans="1:15" x14ac:dyDescent="0.25">
      <c r="A10195" s="786" t="s">
        <v>18256</v>
      </c>
      <c r="B10195" s="787">
        <v>4</v>
      </c>
      <c r="C10195" s="787" t="s">
        <v>14338</v>
      </c>
      <c r="D10195" s="787">
        <v>0</v>
      </c>
      <c r="E10195" s="787">
        <v>0</v>
      </c>
      <c r="H10195" s="787">
        <v>1</v>
      </c>
      <c r="L10195" s="787">
        <v>0</v>
      </c>
      <c r="M10195" s="787">
        <v>10</v>
      </c>
      <c r="N10195" s="787">
        <v>17.63</v>
      </c>
      <c r="O10195" s="788">
        <v>42095</v>
      </c>
    </row>
    <row r="10196" spans="1:15" x14ac:dyDescent="0.25">
      <c r="A10196" s="786" t="s">
        <v>18257</v>
      </c>
      <c r="B10196" s="787">
        <v>4</v>
      </c>
      <c r="C10196" s="787" t="s">
        <v>15572</v>
      </c>
      <c r="D10196" s="787">
        <v>0</v>
      </c>
      <c r="E10196" s="787">
        <v>0</v>
      </c>
      <c r="H10196" s="787">
        <v>1</v>
      </c>
      <c r="L10196" s="787">
        <v>0</v>
      </c>
      <c r="M10196" s="787">
        <v>10</v>
      </c>
      <c r="N10196" s="787">
        <v>43.68</v>
      </c>
      <c r="O10196" s="788">
        <v>42095</v>
      </c>
    </row>
    <row r="10197" spans="1:15" x14ac:dyDescent="0.25">
      <c r="A10197" s="786" t="s">
        <v>18258</v>
      </c>
      <c r="B10197" s="787">
        <v>4</v>
      </c>
      <c r="C10197" s="787" t="s">
        <v>15572</v>
      </c>
      <c r="D10197" s="787">
        <v>0</v>
      </c>
      <c r="E10197" s="787">
        <v>0</v>
      </c>
      <c r="H10197" s="787">
        <v>1</v>
      </c>
      <c r="L10197" s="787">
        <v>0</v>
      </c>
      <c r="M10197" s="787">
        <v>10</v>
      </c>
      <c r="N10197" s="787">
        <v>43.68</v>
      </c>
      <c r="O10197" s="788">
        <v>42095</v>
      </c>
    </row>
    <row r="10198" spans="1:15" x14ac:dyDescent="0.25">
      <c r="A10198" s="786" t="s">
        <v>18259</v>
      </c>
      <c r="B10198" s="787">
        <v>4</v>
      </c>
      <c r="C10198" s="787" t="s">
        <v>15572</v>
      </c>
      <c r="D10198" s="787">
        <v>0</v>
      </c>
      <c r="E10198" s="787">
        <v>0</v>
      </c>
      <c r="H10198" s="787">
        <v>1</v>
      </c>
      <c r="L10198" s="787">
        <v>0</v>
      </c>
      <c r="M10198" s="787">
        <v>10</v>
      </c>
      <c r="N10198" s="787">
        <v>43.68</v>
      </c>
      <c r="O10198" s="788">
        <v>42095</v>
      </c>
    </row>
    <row r="10199" spans="1:15" x14ac:dyDescent="0.25">
      <c r="A10199" s="786" t="s">
        <v>18260</v>
      </c>
      <c r="B10199" s="787">
        <v>4</v>
      </c>
      <c r="C10199" s="787" t="s">
        <v>8571</v>
      </c>
      <c r="D10199" s="787">
        <v>0</v>
      </c>
      <c r="E10199" s="787">
        <v>0</v>
      </c>
      <c r="H10199" s="787">
        <v>1</v>
      </c>
      <c r="K10199" s="788">
        <v>42074</v>
      </c>
      <c r="L10199" s="787">
        <v>1.28</v>
      </c>
      <c r="M10199" s="787">
        <v>10</v>
      </c>
      <c r="N10199" s="787">
        <v>1.28</v>
      </c>
      <c r="O10199" s="788">
        <v>42074</v>
      </c>
    </row>
    <row r="10200" spans="1:15" x14ac:dyDescent="0.25">
      <c r="A10200" s="786" t="s">
        <v>18261</v>
      </c>
      <c r="B10200" s="787">
        <v>4</v>
      </c>
      <c r="C10200" s="787" t="s">
        <v>18262</v>
      </c>
      <c r="D10200" s="787">
        <v>0</v>
      </c>
      <c r="E10200" s="787">
        <v>0</v>
      </c>
      <c r="H10200" s="787">
        <v>1</v>
      </c>
      <c r="I10200" s="788">
        <v>42110</v>
      </c>
      <c r="L10200" s="787">
        <v>5</v>
      </c>
      <c r="M10200" s="787">
        <v>10</v>
      </c>
      <c r="N10200" s="787">
        <v>0.95</v>
      </c>
      <c r="O10200" s="788">
        <v>42095</v>
      </c>
    </row>
    <row r="10201" spans="1:15" x14ac:dyDescent="0.25">
      <c r="A10201" s="786" t="s">
        <v>18263</v>
      </c>
      <c r="B10201" s="787">
        <v>4</v>
      </c>
      <c r="C10201" s="787" t="s">
        <v>8614</v>
      </c>
      <c r="D10201" s="787">
        <v>0</v>
      </c>
      <c r="E10201" s="787">
        <v>0</v>
      </c>
      <c r="H10201" s="787">
        <v>1</v>
      </c>
      <c r="L10201" s="787">
        <v>0.01</v>
      </c>
      <c r="M10201" s="787">
        <v>10</v>
      </c>
      <c r="N10201" s="787">
        <v>0</v>
      </c>
    </row>
    <row r="10202" spans="1:15" x14ac:dyDescent="0.25">
      <c r="A10202" s="786" t="s">
        <v>18264</v>
      </c>
      <c r="B10202" s="787">
        <v>4</v>
      </c>
      <c r="C10202" s="787" t="s">
        <v>18265</v>
      </c>
      <c r="D10202" s="787">
        <v>0</v>
      </c>
      <c r="E10202" s="787">
        <v>0</v>
      </c>
      <c r="H10202" s="787">
        <v>1</v>
      </c>
      <c r="I10202" s="788">
        <v>42103</v>
      </c>
      <c r="J10202" s="788">
        <v>42104</v>
      </c>
      <c r="L10202" s="787">
        <v>1</v>
      </c>
      <c r="M10202" s="787">
        <v>10</v>
      </c>
      <c r="N10202" s="787">
        <v>1.03</v>
      </c>
      <c r="O10202" s="788">
        <v>42095</v>
      </c>
    </row>
    <row r="10203" spans="1:15" x14ac:dyDescent="0.25">
      <c r="A10203" s="786" t="s">
        <v>18266</v>
      </c>
      <c r="B10203" s="787">
        <v>4</v>
      </c>
      <c r="C10203" s="787" t="s">
        <v>18267</v>
      </c>
      <c r="D10203" s="787">
        <v>0</v>
      </c>
      <c r="E10203" s="787">
        <v>0</v>
      </c>
      <c r="H10203" s="787">
        <v>1</v>
      </c>
      <c r="L10203" s="787">
        <v>0.1</v>
      </c>
      <c r="M10203" s="787">
        <v>10</v>
      </c>
      <c r="N10203" s="787">
        <v>0</v>
      </c>
    </row>
    <row r="10204" spans="1:15" x14ac:dyDescent="0.25">
      <c r="A10204" s="786" t="s">
        <v>18268</v>
      </c>
      <c r="B10204" s="787">
        <v>4</v>
      </c>
      <c r="C10204" s="787" t="s">
        <v>18269</v>
      </c>
      <c r="D10204" s="787">
        <v>0</v>
      </c>
      <c r="E10204" s="787">
        <v>0</v>
      </c>
      <c r="H10204" s="787">
        <v>1</v>
      </c>
      <c r="L10204" s="787">
        <v>0.1</v>
      </c>
      <c r="M10204" s="787">
        <v>10</v>
      </c>
      <c r="N10204" s="787">
        <v>0</v>
      </c>
    </row>
    <row r="10205" spans="1:15" x14ac:dyDescent="0.25">
      <c r="A10205" s="786" t="s">
        <v>18270</v>
      </c>
      <c r="B10205" s="787">
        <v>4</v>
      </c>
      <c r="C10205" s="787" t="s">
        <v>8624</v>
      </c>
      <c r="D10205" s="787">
        <v>0</v>
      </c>
      <c r="E10205" s="787">
        <v>0</v>
      </c>
      <c r="H10205" s="787">
        <v>1</v>
      </c>
      <c r="I10205" s="788">
        <v>42104</v>
      </c>
      <c r="K10205" s="788">
        <v>42101</v>
      </c>
      <c r="L10205" s="787">
        <v>50</v>
      </c>
      <c r="M10205" s="787">
        <v>10</v>
      </c>
      <c r="N10205" s="787">
        <v>52.06</v>
      </c>
      <c r="O10205" s="788">
        <v>42101</v>
      </c>
    </row>
    <row r="10206" spans="1:15" x14ac:dyDescent="0.25">
      <c r="A10206" s="786" t="s">
        <v>18271</v>
      </c>
      <c r="B10206" s="787">
        <v>4</v>
      </c>
      <c r="C10206" s="787" t="s">
        <v>8626</v>
      </c>
      <c r="D10206" s="787">
        <v>0</v>
      </c>
      <c r="E10206" s="787">
        <v>0</v>
      </c>
      <c r="H10206" s="787">
        <v>1</v>
      </c>
      <c r="L10206" s="787">
        <v>0.01</v>
      </c>
      <c r="M10206" s="787">
        <v>10</v>
      </c>
      <c r="N10206" s="787">
        <v>0</v>
      </c>
    </row>
    <row r="10207" spans="1:15" x14ac:dyDescent="0.25">
      <c r="A10207" s="786" t="s">
        <v>18272</v>
      </c>
      <c r="B10207" s="787">
        <v>4</v>
      </c>
      <c r="C10207" s="787" t="s">
        <v>8628</v>
      </c>
      <c r="D10207" s="787">
        <v>0</v>
      </c>
      <c r="E10207" s="787">
        <v>0</v>
      </c>
      <c r="H10207" s="787">
        <v>1</v>
      </c>
      <c r="L10207" s="787">
        <v>0.01</v>
      </c>
      <c r="M10207" s="787">
        <v>10</v>
      </c>
      <c r="N10207" s="787">
        <v>0</v>
      </c>
    </row>
    <row r="10208" spans="1:15" x14ac:dyDescent="0.25">
      <c r="A10208" s="786" t="s">
        <v>18273</v>
      </c>
      <c r="B10208" s="787">
        <v>4</v>
      </c>
      <c r="C10208" s="787" t="s">
        <v>8630</v>
      </c>
      <c r="D10208" s="787">
        <v>0</v>
      </c>
      <c r="E10208" s="787">
        <v>0</v>
      </c>
      <c r="H10208" s="787">
        <v>1</v>
      </c>
      <c r="L10208" s="787">
        <v>0.01</v>
      </c>
      <c r="M10208" s="787">
        <v>10</v>
      </c>
      <c r="N10208" s="787">
        <v>0</v>
      </c>
    </row>
    <row r="10209" spans="1:15" x14ac:dyDescent="0.25">
      <c r="A10209" s="786" t="s">
        <v>18274</v>
      </c>
      <c r="B10209" s="787">
        <v>4</v>
      </c>
      <c r="C10209" s="787" t="s">
        <v>8638</v>
      </c>
      <c r="D10209" s="787">
        <v>0</v>
      </c>
      <c r="E10209" s="787">
        <v>0</v>
      </c>
      <c r="H10209" s="787">
        <v>1</v>
      </c>
      <c r="L10209" s="787">
        <v>0.01</v>
      </c>
      <c r="M10209" s="787">
        <v>10</v>
      </c>
      <c r="N10209" s="787">
        <v>0</v>
      </c>
    </row>
    <row r="10210" spans="1:15" x14ac:dyDescent="0.25">
      <c r="A10210" s="786" t="s">
        <v>18275</v>
      </c>
      <c r="B10210" s="787">
        <v>4</v>
      </c>
      <c r="C10210" s="787" t="s">
        <v>8640</v>
      </c>
      <c r="D10210" s="787">
        <v>0</v>
      </c>
      <c r="E10210" s="787">
        <v>0</v>
      </c>
      <c r="H10210" s="787">
        <v>1</v>
      </c>
      <c r="L10210" s="787">
        <v>0.01</v>
      </c>
      <c r="M10210" s="787">
        <v>10</v>
      </c>
      <c r="N10210" s="787">
        <v>0</v>
      </c>
    </row>
    <row r="10211" spans="1:15" x14ac:dyDescent="0.25">
      <c r="A10211" s="786" t="s">
        <v>18276</v>
      </c>
      <c r="B10211" s="787">
        <v>4</v>
      </c>
      <c r="C10211" s="787" t="s">
        <v>8642</v>
      </c>
      <c r="D10211" s="787">
        <v>0</v>
      </c>
      <c r="E10211" s="787">
        <v>0</v>
      </c>
      <c r="H10211" s="787">
        <v>1</v>
      </c>
      <c r="L10211" s="787">
        <v>0.01</v>
      </c>
      <c r="M10211" s="787">
        <v>10</v>
      </c>
      <c r="N10211" s="787">
        <v>0</v>
      </c>
    </row>
    <row r="10212" spans="1:15" x14ac:dyDescent="0.25">
      <c r="A10212" s="786" t="s">
        <v>18277</v>
      </c>
      <c r="B10212" s="787">
        <v>4</v>
      </c>
      <c r="C10212" s="787" t="s">
        <v>8644</v>
      </c>
      <c r="D10212" s="787">
        <v>0</v>
      </c>
      <c r="E10212" s="787">
        <v>0</v>
      </c>
      <c r="H10212" s="787">
        <v>1</v>
      </c>
      <c r="L10212" s="787">
        <v>0.01</v>
      </c>
      <c r="M10212" s="787">
        <v>10</v>
      </c>
      <c r="N10212" s="787">
        <v>0</v>
      </c>
    </row>
    <row r="10213" spans="1:15" x14ac:dyDescent="0.25">
      <c r="A10213" s="786" t="s">
        <v>18278</v>
      </c>
      <c r="B10213" s="787">
        <v>4</v>
      </c>
      <c r="C10213" s="787" t="s">
        <v>8670</v>
      </c>
      <c r="D10213" s="787">
        <v>0</v>
      </c>
      <c r="E10213" s="787">
        <v>0</v>
      </c>
      <c r="H10213" s="787">
        <v>1</v>
      </c>
      <c r="L10213" s="787">
        <v>0</v>
      </c>
      <c r="M10213" s="787">
        <v>10</v>
      </c>
      <c r="N10213" s="787">
        <v>2.61</v>
      </c>
      <c r="O10213" s="788">
        <v>42095</v>
      </c>
    </row>
    <row r="10214" spans="1:15" x14ac:dyDescent="0.25">
      <c r="A10214" s="786" t="s">
        <v>18279</v>
      </c>
      <c r="B10214" s="787">
        <v>4</v>
      </c>
      <c r="C10214" s="787" t="s">
        <v>8709</v>
      </c>
      <c r="D10214" s="787">
        <v>0</v>
      </c>
      <c r="E10214" s="787">
        <v>0</v>
      </c>
      <c r="H10214" s="787">
        <v>1</v>
      </c>
      <c r="L10214" s="787">
        <v>0.01</v>
      </c>
      <c r="M10214" s="787">
        <v>10</v>
      </c>
      <c r="N10214" s="787">
        <v>0</v>
      </c>
    </row>
    <row r="10215" spans="1:15" x14ac:dyDescent="0.25">
      <c r="A10215" s="786" t="s">
        <v>18280</v>
      </c>
      <c r="B10215" s="787">
        <v>4</v>
      </c>
      <c r="C10215" s="787" t="s">
        <v>8689</v>
      </c>
      <c r="D10215" s="787">
        <v>0</v>
      </c>
      <c r="E10215" s="787">
        <v>0</v>
      </c>
      <c r="H10215" s="787">
        <v>1</v>
      </c>
      <c r="L10215" s="787">
        <v>0.01</v>
      </c>
      <c r="M10215" s="787">
        <v>10</v>
      </c>
      <c r="N10215" s="787">
        <v>0</v>
      </c>
    </row>
    <row r="10216" spans="1:15" x14ac:dyDescent="0.25">
      <c r="A10216" s="786" t="s">
        <v>18281</v>
      </c>
      <c r="B10216" s="787">
        <v>4</v>
      </c>
      <c r="C10216" s="787" t="s">
        <v>18282</v>
      </c>
      <c r="D10216" s="787">
        <v>3.75</v>
      </c>
      <c r="E10216" s="787">
        <v>6.05</v>
      </c>
      <c r="F10216" s="788">
        <v>39101</v>
      </c>
      <c r="G10216" s="788">
        <v>42137</v>
      </c>
      <c r="H10216" s="787">
        <v>1</v>
      </c>
      <c r="I10216" s="788">
        <v>42102</v>
      </c>
      <c r="J10216" s="788">
        <v>42108</v>
      </c>
      <c r="K10216" s="788">
        <v>41613</v>
      </c>
      <c r="L10216" s="787">
        <v>5</v>
      </c>
      <c r="M10216" s="787">
        <v>10</v>
      </c>
      <c r="N10216" s="787">
        <v>4.87</v>
      </c>
      <c r="O10216" s="788">
        <v>42095</v>
      </c>
    </row>
    <row r="10217" spans="1:15" x14ac:dyDescent="0.25">
      <c r="A10217" s="786" t="s">
        <v>18283</v>
      </c>
      <c r="B10217" s="787">
        <v>4</v>
      </c>
      <c r="C10217" s="787" t="s">
        <v>18284</v>
      </c>
      <c r="D10217" s="787">
        <v>0</v>
      </c>
      <c r="E10217" s="787">
        <v>0</v>
      </c>
      <c r="H10217" s="787">
        <v>1</v>
      </c>
      <c r="I10217" s="788">
        <v>41982</v>
      </c>
      <c r="J10217" s="788">
        <v>41982</v>
      </c>
      <c r="L10217" s="787">
        <v>1</v>
      </c>
      <c r="M10217" s="787">
        <v>10</v>
      </c>
      <c r="N10217" s="787">
        <v>0.99</v>
      </c>
      <c r="O10217" s="788">
        <v>42095</v>
      </c>
    </row>
    <row r="10218" spans="1:15" x14ac:dyDescent="0.25">
      <c r="A10218" s="786" t="s">
        <v>18285</v>
      </c>
      <c r="B10218" s="787">
        <v>4</v>
      </c>
      <c r="C10218" s="787" t="s">
        <v>18286</v>
      </c>
      <c r="D10218" s="787">
        <v>0</v>
      </c>
      <c r="E10218" s="787">
        <v>0</v>
      </c>
      <c r="H10218" s="787">
        <v>1</v>
      </c>
      <c r="L10218" s="787">
        <v>0.01</v>
      </c>
      <c r="M10218" s="787">
        <v>10</v>
      </c>
      <c r="N10218" s="787">
        <v>0</v>
      </c>
    </row>
    <row r="10219" spans="1:15" x14ac:dyDescent="0.25">
      <c r="A10219" s="786" t="s">
        <v>18287</v>
      </c>
      <c r="B10219" s="787">
        <v>4</v>
      </c>
      <c r="C10219" s="787" t="s">
        <v>18288</v>
      </c>
      <c r="D10219" s="787">
        <v>0</v>
      </c>
      <c r="E10219" s="787">
        <v>0</v>
      </c>
      <c r="H10219" s="787">
        <v>1</v>
      </c>
      <c r="L10219" s="787">
        <v>0.01</v>
      </c>
      <c r="M10219" s="787">
        <v>10</v>
      </c>
      <c r="N10219" s="787">
        <v>0</v>
      </c>
    </row>
    <row r="10220" spans="1:15" x14ac:dyDescent="0.25">
      <c r="A10220" s="786" t="s">
        <v>18289</v>
      </c>
      <c r="B10220" s="787">
        <v>4</v>
      </c>
      <c r="C10220" s="787" t="s">
        <v>8803</v>
      </c>
      <c r="D10220" s="787">
        <v>2.2000000000000002</v>
      </c>
      <c r="E10220" s="787">
        <v>2.2000000000000002</v>
      </c>
      <c r="F10220" s="788">
        <v>41499</v>
      </c>
      <c r="G10220" s="788">
        <v>41870</v>
      </c>
      <c r="H10220" s="787">
        <v>1</v>
      </c>
      <c r="I10220" s="788">
        <v>41869</v>
      </c>
      <c r="J10220" s="788">
        <v>41870</v>
      </c>
      <c r="K10220" s="788">
        <v>41466</v>
      </c>
      <c r="L10220" s="787">
        <v>0.48</v>
      </c>
      <c r="M10220" s="787">
        <v>10</v>
      </c>
      <c r="N10220" s="787">
        <v>0.48</v>
      </c>
      <c r="O10220" s="788">
        <v>42095</v>
      </c>
    </row>
    <row r="10221" spans="1:15" x14ac:dyDescent="0.25">
      <c r="A10221" s="786" t="s">
        <v>18290</v>
      </c>
      <c r="B10221" s="787">
        <v>4</v>
      </c>
      <c r="C10221" s="787" t="s">
        <v>18291</v>
      </c>
      <c r="D10221" s="787">
        <v>0</v>
      </c>
      <c r="E10221" s="787">
        <v>0</v>
      </c>
      <c r="H10221" s="787">
        <v>1</v>
      </c>
      <c r="L10221" s="787">
        <v>0</v>
      </c>
      <c r="M10221" s="787">
        <v>10</v>
      </c>
      <c r="N10221" s="787">
        <v>24.09</v>
      </c>
      <c r="O10221" s="788">
        <v>42095</v>
      </c>
    </row>
    <row r="10222" spans="1:15" x14ac:dyDescent="0.25">
      <c r="A10222" s="786" t="s">
        <v>18292</v>
      </c>
      <c r="B10222" s="787">
        <v>4</v>
      </c>
      <c r="C10222" s="787" t="s">
        <v>18293</v>
      </c>
      <c r="D10222" s="787">
        <v>0</v>
      </c>
      <c r="E10222" s="787">
        <v>0</v>
      </c>
      <c r="H10222" s="787">
        <v>1</v>
      </c>
      <c r="L10222" s="787">
        <v>0</v>
      </c>
      <c r="M10222" s="787">
        <v>10</v>
      </c>
      <c r="N10222" s="787">
        <v>24.09</v>
      </c>
      <c r="O10222" s="788">
        <v>42095</v>
      </c>
    </row>
    <row r="10223" spans="1:15" x14ac:dyDescent="0.25">
      <c r="A10223" s="786" t="s">
        <v>18294</v>
      </c>
      <c r="B10223" s="787">
        <v>4</v>
      </c>
      <c r="C10223" s="787" t="s">
        <v>18295</v>
      </c>
      <c r="D10223" s="787">
        <v>0</v>
      </c>
      <c r="E10223" s="787">
        <v>0</v>
      </c>
      <c r="H10223" s="787">
        <v>1</v>
      </c>
      <c r="K10223" s="788">
        <v>42038</v>
      </c>
      <c r="L10223" s="787">
        <v>10.52</v>
      </c>
      <c r="M10223" s="787">
        <v>10</v>
      </c>
      <c r="N10223" s="787">
        <v>10.52</v>
      </c>
      <c r="O10223" s="788">
        <v>42095</v>
      </c>
    </row>
    <row r="10224" spans="1:15" x14ac:dyDescent="0.25">
      <c r="A10224" s="786" t="s">
        <v>18296</v>
      </c>
      <c r="B10224" s="787">
        <v>4</v>
      </c>
      <c r="C10224" s="787" t="s">
        <v>8862</v>
      </c>
      <c r="D10224" s="787">
        <v>0</v>
      </c>
      <c r="E10224" s="787">
        <v>0</v>
      </c>
      <c r="G10224" s="788">
        <v>38364</v>
      </c>
      <c r="H10224" s="787">
        <v>1</v>
      </c>
      <c r="I10224" s="788">
        <v>38736</v>
      </c>
      <c r="J10224" s="788">
        <v>38736</v>
      </c>
      <c r="L10224" s="787">
        <v>12.59</v>
      </c>
      <c r="M10224" s="787">
        <v>10</v>
      </c>
      <c r="N10224" s="787">
        <v>15.44</v>
      </c>
      <c r="O10224" s="788">
        <v>42095</v>
      </c>
    </row>
    <row r="10225" spans="1:15" x14ac:dyDescent="0.25">
      <c r="A10225" s="786" t="s">
        <v>18297</v>
      </c>
      <c r="B10225" s="787">
        <v>4</v>
      </c>
      <c r="C10225" s="787" t="s">
        <v>8874</v>
      </c>
      <c r="D10225" s="787">
        <v>2.38</v>
      </c>
      <c r="E10225" s="787">
        <v>2.38</v>
      </c>
      <c r="F10225" s="788">
        <v>41813</v>
      </c>
      <c r="G10225" s="788">
        <v>41813</v>
      </c>
      <c r="H10225" s="787">
        <v>1</v>
      </c>
      <c r="I10225" s="788">
        <v>41425</v>
      </c>
      <c r="J10225" s="788">
        <v>41422</v>
      </c>
      <c r="K10225" s="788">
        <v>41390</v>
      </c>
      <c r="L10225" s="787">
        <v>2.11</v>
      </c>
      <c r="M10225" s="787">
        <v>10</v>
      </c>
      <c r="N10225" s="787">
        <v>10.130000000000001</v>
      </c>
      <c r="O10225" s="788">
        <v>42095</v>
      </c>
    </row>
    <row r="10226" spans="1:15" x14ac:dyDescent="0.25">
      <c r="A10226" s="786" t="s">
        <v>18298</v>
      </c>
      <c r="B10226" s="787">
        <v>4</v>
      </c>
      <c r="C10226" s="787" t="s">
        <v>18299</v>
      </c>
      <c r="D10226" s="787">
        <v>0</v>
      </c>
      <c r="E10226" s="787">
        <v>0</v>
      </c>
      <c r="G10226" s="788">
        <v>41565</v>
      </c>
      <c r="H10226" s="787">
        <v>1</v>
      </c>
      <c r="I10226" s="788">
        <v>42121</v>
      </c>
      <c r="J10226" s="788">
        <v>42124</v>
      </c>
      <c r="L10226" s="787">
        <v>0</v>
      </c>
      <c r="M10226" s="787">
        <v>10</v>
      </c>
      <c r="N10226" s="787">
        <v>2.2999999999999998</v>
      </c>
      <c r="O10226" s="788">
        <v>42095</v>
      </c>
    </row>
    <row r="10227" spans="1:15" x14ac:dyDescent="0.25">
      <c r="A10227" s="786" t="s">
        <v>18300</v>
      </c>
      <c r="B10227" s="787">
        <v>4</v>
      </c>
      <c r="C10227" s="787" t="s">
        <v>9286</v>
      </c>
      <c r="D10227" s="787">
        <v>0</v>
      </c>
      <c r="E10227" s="787">
        <v>0</v>
      </c>
      <c r="G10227" s="788">
        <v>41565</v>
      </c>
      <c r="H10227" s="787">
        <v>1</v>
      </c>
      <c r="I10227" s="788">
        <v>42121</v>
      </c>
      <c r="J10227" s="788">
        <v>40352</v>
      </c>
      <c r="L10227" s="787">
        <v>0</v>
      </c>
      <c r="M10227" s="787">
        <v>10</v>
      </c>
      <c r="N10227" s="787">
        <v>1.79</v>
      </c>
      <c r="O10227" s="788">
        <v>42095</v>
      </c>
    </row>
    <row r="10228" spans="1:15" x14ac:dyDescent="0.25">
      <c r="A10228" s="786" t="s">
        <v>18301</v>
      </c>
      <c r="B10228" s="787">
        <v>4</v>
      </c>
      <c r="C10228" s="787" t="s">
        <v>9424</v>
      </c>
      <c r="D10228" s="787">
        <v>0</v>
      </c>
      <c r="E10228" s="787">
        <v>0</v>
      </c>
      <c r="H10228" s="787">
        <v>1</v>
      </c>
      <c r="L10228" s="787">
        <v>0</v>
      </c>
      <c r="M10228" s="787">
        <v>10</v>
      </c>
      <c r="N10228" s="787">
        <v>1.04</v>
      </c>
      <c r="O10228" s="788">
        <v>42095</v>
      </c>
    </row>
    <row r="10229" spans="1:15" x14ac:dyDescent="0.25">
      <c r="A10229" s="786" t="s">
        <v>18302</v>
      </c>
      <c r="B10229" s="787">
        <v>4</v>
      </c>
      <c r="C10229" s="787" t="s">
        <v>9428</v>
      </c>
      <c r="D10229" s="787">
        <v>0</v>
      </c>
      <c r="E10229" s="787">
        <v>0</v>
      </c>
      <c r="H10229" s="787">
        <v>1</v>
      </c>
      <c r="L10229" s="787">
        <v>0</v>
      </c>
      <c r="M10229" s="787">
        <v>10</v>
      </c>
      <c r="N10229" s="787">
        <v>5.17</v>
      </c>
      <c r="O10229" s="788">
        <v>42095</v>
      </c>
    </row>
    <row r="10230" spans="1:15" x14ac:dyDescent="0.25">
      <c r="A10230" s="786" t="s">
        <v>18303</v>
      </c>
      <c r="B10230" s="787">
        <v>4</v>
      </c>
      <c r="C10230" s="787" t="s">
        <v>9430</v>
      </c>
      <c r="D10230" s="787">
        <v>0</v>
      </c>
      <c r="E10230" s="787">
        <v>0</v>
      </c>
      <c r="H10230" s="787">
        <v>1</v>
      </c>
      <c r="I10230" s="788">
        <v>41984</v>
      </c>
      <c r="J10230" s="788">
        <v>41986</v>
      </c>
      <c r="K10230" s="788">
        <v>41974</v>
      </c>
      <c r="L10230" s="787">
        <v>3.43</v>
      </c>
      <c r="M10230" s="787">
        <v>10</v>
      </c>
      <c r="N10230" s="787">
        <v>3.43</v>
      </c>
      <c r="O10230" s="788">
        <v>42095</v>
      </c>
    </row>
    <row r="10231" spans="1:15" x14ac:dyDescent="0.25">
      <c r="A10231" s="786" t="s">
        <v>18304</v>
      </c>
      <c r="B10231" s="787">
        <v>4</v>
      </c>
      <c r="C10231" s="787" t="s">
        <v>9432</v>
      </c>
      <c r="D10231" s="787">
        <v>0</v>
      </c>
      <c r="E10231" s="787">
        <v>0</v>
      </c>
      <c r="H10231" s="787">
        <v>1</v>
      </c>
      <c r="I10231" s="788">
        <v>41984</v>
      </c>
      <c r="K10231" s="788">
        <v>41974</v>
      </c>
      <c r="L10231" s="787">
        <v>2.0499999999999998</v>
      </c>
      <c r="M10231" s="787">
        <v>10</v>
      </c>
      <c r="N10231" s="787">
        <v>2.0499999999999998</v>
      </c>
      <c r="O10231" s="788">
        <v>42095</v>
      </c>
    </row>
    <row r="10232" spans="1:15" x14ac:dyDescent="0.25">
      <c r="A10232" s="786" t="s">
        <v>18305</v>
      </c>
      <c r="B10232" s="787">
        <v>4</v>
      </c>
      <c r="C10232" s="787" t="s">
        <v>9440</v>
      </c>
      <c r="D10232" s="787">
        <v>0.6</v>
      </c>
      <c r="E10232" s="787">
        <v>0.6</v>
      </c>
      <c r="F10232" s="788">
        <v>42107</v>
      </c>
      <c r="G10232" s="788">
        <v>42107</v>
      </c>
      <c r="H10232" s="787">
        <v>1</v>
      </c>
      <c r="I10232" s="788">
        <v>42095</v>
      </c>
      <c r="J10232" s="788">
        <v>42080</v>
      </c>
      <c r="K10232" s="788">
        <v>42074</v>
      </c>
      <c r="L10232" s="787">
        <v>1.89</v>
      </c>
      <c r="M10232" s="787">
        <v>10</v>
      </c>
      <c r="N10232" s="787">
        <v>1.89</v>
      </c>
      <c r="O10232" s="788">
        <v>42074</v>
      </c>
    </row>
    <row r="10233" spans="1:15" x14ac:dyDescent="0.25">
      <c r="A10233" s="786" t="s">
        <v>18306</v>
      </c>
      <c r="B10233" s="787">
        <v>4</v>
      </c>
      <c r="C10233" s="787" t="s">
        <v>9451</v>
      </c>
      <c r="D10233" s="787">
        <v>0.93</v>
      </c>
      <c r="E10233" s="787">
        <v>4.97</v>
      </c>
      <c r="F10233" s="788">
        <v>40792</v>
      </c>
      <c r="G10233" s="788">
        <v>41565</v>
      </c>
      <c r="H10233" s="787">
        <v>1</v>
      </c>
      <c r="J10233" s="788">
        <v>41162</v>
      </c>
      <c r="L10233" s="787">
        <v>0</v>
      </c>
      <c r="M10233" s="787">
        <v>10</v>
      </c>
      <c r="N10233" s="787">
        <v>2.5299999999999998</v>
      </c>
      <c r="O10233" s="788">
        <v>42034</v>
      </c>
    </row>
    <row r="10234" spans="1:15" x14ac:dyDescent="0.25">
      <c r="A10234" s="786" t="s">
        <v>18307</v>
      </c>
      <c r="B10234" s="787">
        <v>4</v>
      </c>
      <c r="C10234" s="787" t="s">
        <v>9471</v>
      </c>
      <c r="D10234" s="787">
        <v>0</v>
      </c>
      <c r="E10234" s="787">
        <v>0</v>
      </c>
      <c r="H10234" s="787">
        <v>1</v>
      </c>
      <c r="L10234" s="787">
        <v>0.01</v>
      </c>
      <c r="M10234" s="787">
        <v>10</v>
      </c>
      <c r="N10234" s="787">
        <v>0</v>
      </c>
    </row>
    <row r="10235" spans="1:15" x14ac:dyDescent="0.25">
      <c r="A10235" s="786" t="s">
        <v>18308</v>
      </c>
      <c r="B10235" s="787">
        <v>4</v>
      </c>
      <c r="C10235" s="787" t="s">
        <v>18309</v>
      </c>
      <c r="D10235" s="787">
        <v>0</v>
      </c>
      <c r="E10235" s="787">
        <v>0</v>
      </c>
      <c r="H10235" s="787">
        <v>1</v>
      </c>
      <c r="L10235" s="787">
        <v>0</v>
      </c>
      <c r="M10235" s="787">
        <v>10</v>
      </c>
      <c r="N10235" s="787">
        <v>19.87</v>
      </c>
      <c r="O10235" s="788">
        <v>41858</v>
      </c>
    </row>
    <row r="10236" spans="1:15" x14ac:dyDescent="0.25">
      <c r="A10236" s="786" t="s">
        <v>18310</v>
      </c>
      <c r="B10236" s="787">
        <v>4</v>
      </c>
      <c r="C10236" s="787" t="s">
        <v>9486</v>
      </c>
      <c r="D10236" s="787">
        <v>0</v>
      </c>
      <c r="E10236" s="787">
        <v>0</v>
      </c>
      <c r="H10236" s="787">
        <v>1</v>
      </c>
      <c r="L10236" s="787">
        <v>0</v>
      </c>
      <c r="M10236" s="787">
        <v>10</v>
      </c>
      <c r="N10236" s="787">
        <v>19.87</v>
      </c>
      <c r="O10236" s="788">
        <v>41858</v>
      </c>
    </row>
    <row r="10237" spans="1:15" x14ac:dyDescent="0.25">
      <c r="A10237" s="786" t="s">
        <v>18311</v>
      </c>
      <c r="B10237" s="787">
        <v>4</v>
      </c>
      <c r="C10237" s="787" t="s">
        <v>18312</v>
      </c>
      <c r="D10237" s="787">
        <v>6.16</v>
      </c>
      <c r="E10237" s="787">
        <v>26.16</v>
      </c>
      <c r="F10237" s="788">
        <v>42114</v>
      </c>
      <c r="G10237" s="788">
        <v>42114</v>
      </c>
      <c r="H10237" s="787">
        <v>1</v>
      </c>
      <c r="I10237" s="788">
        <v>42095</v>
      </c>
      <c r="J10237" s="788">
        <v>42086</v>
      </c>
      <c r="K10237" s="788">
        <v>42051</v>
      </c>
      <c r="L10237" s="787">
        <v>5.71</v>
      </c>
      <c r="M10237" s="787">
        <v>10</v>
      </c>
      <c r="N10237" s="787">
        <v>22.74</v>
      </c>
      <c r="O10237" s="788">
        <v>42076</v>
      </c>
    </row>
    <row r="10238" spans="1:15" x14ac:dyDescent="0.25">
      <c r="A10238" s="786" t="s">
        <v>18313</v>
      </c>
      <c r="B10238" s="787">
        <v>4</v>
      </c>
      <c r="C10238" s="787" t="s">
        <v>18314</v>
      </c>
      <c r="D10238" s="787">
        <v>1.83</v>
      </c>
      <c r="E10238" s="787">
        <v>21.83</v>
      </c>
      <c r="F10238" s="788">
        <v>42114</v>
      </c>
      <c r="G10238" s="788">
        <v>42114</v>
      </c>
      <c r="H10238" s="787">
        <v>1</v>
      </c>
      <c r="I10238" s="788">
        <v>42095</v>
      </c>
      <c r="J10238" s="788">
        <v>42086</v>
      </c>
      <c r="K10238" s="788">
        <v>42051</v>
      </c>
      <c r="L10238" s="787">
        <v>5.71</v>
      </c>
      <c r="M10238" s="787">
        <v>10</v>
      </c>
      <c r="N10238" s="787">
        <v>22.74</v>
      </c>
      <c r="O10238" s="788">
        <v>42076</v>
      </c>
    </row>
    <row r="10239" spans="1:15" x14ac:dyDescent="0.25">
      <c r="A10239" s="786" t="s">
        <v>18315</v>
      </c>
      <c r="B10239" s="787">
        <v>4</v>
      </c>
      <c r="C10239" s="787" t="s">
        <v>18316</v>
      </c>
      <c r="D10239" s="787">
        <v>1.83</v>
      </c>
      <c r="E10239" s="787">
        <v>21.83</v>
      </c>
      <c r="F10239" s="788">
        <v>42114</v>
      </c>
      <c r="G10239" s="788">
        <v>42114</v>
      </c>
      <c r="H10239" s="787">
        <v>1</v>
      </c>
      <c r="I10239" s="788">
        <v>42095</v>
      </c>
      <c r="J10239" s="788">
        <v>42086</v>
      </c>
      <c r="K10239" s="788">
        <v>42051</v>
      </c>
      <c r="L10239" s="787">
        <v>5.53</v>
      </c>
      <c r="M10239" s="787">
        <v>10</v>
      </c>
      <c r="N10239" s="787">
        <v>22.56</v>
      </c>
      <c r="O10239" s="788">
        <v>42076</v>
      </c>
    </row>
    <row r="10240" spans="1:15" x14ac:dyDescent="0.25">
      <c r="A10240" s="786" t="s">
        <v>18317</v>
      </c>
      <c r="B10240" s="787">
        <v>4</v>
      </c>
      <c r="C10240" s="787" t="s">
        <v>18318</v>
      </c>
      <c r="D10240" s="787">
        <v>0.84</v>
      </c>
      <c r="E10240" s="787">
        <v>50.84</v>
      </c>
      <c r="F10240" s="788">
        <v>41519</v>
      </c>
      <c r="G10240" s="788">
        <v>41540</v>
      </c>
      <c r="H10240" s="787">
        <v>1</v>
      </c>
      <c r="I10240" s="788">
        <v>41540</v>
      </c>
      <c r="J10240" s="788">
        <v>41509</v>
      </c>
      <c r="K10240" s="788">
        <v>41865</v>
      </c>
      <c r="L10240" s="787">
        <v>80.84</v>
      </c>
      <c r="M10240" s="787">
        <v>20</v>
      </c>
      <c r="N10240" s="787">
        <v>21.39</v>
      </c>
      <c r="O10240" s="788">
        <v>41858</v>
      </c>
    </row>
    <row r="10241" spans="1:15" x14ac:dyDescent="0.25">
      <c r="A10241" s="786" t="s">
        <v>18319</v>
      </c>
      <c r="B10241" s="787">
        <v>4</v>
      </c>
      <c r="C10241" s="787" t="s">
        <v>9540</v>
      </c>
      <c r="D10241" s="787">
        <v>0</v>
      </c>
      <c r="E10241" s="787">
        <v>0</v>
      </c>
      <c r="H10241" s="787">
        <v>1</v>
      </c>
      <c r="I10241" s="788">
        <v>41479</v>
      </c>
      <c r="L10241" s="787">
        <v>1</v>
      </c>
      <c r="M10241" s="787">
        <v>10</v>
      </c>
      <c r="N10241" s="787">
        <v>8.39</v>
      </c>
      <c r="O10241" s="788">
        <v>41858</v>
      </c>
    </row>
    <row r="10242" spans="1:15" x14ac:dyDescent="0.25">
      <c r="A10242" s="786" t="s">
        <v>18320</v>
      </c>
      <c r="B10242" s="787">
        <v>4</v>
      </c>
      <c r="C10242" s="787" t="s">
        <v>18321</v>
      </c>
      <c r="D10242" s="787">
        <v>0</v>
      </c>
      <c r="E10242" s="787">
        <v>0</v>
      </c>
      <c r="H10242" s="787">
        <v>1</v>
      </c>
      <c r="I10242" s="788">
        <v>42110</v>
      </c>
      <c r="L10242" s="787">
        <v>0.01</v>
      </c>
      <c r="M10242" s="787">
        <v>10</v>
      </c>
      <c r="N10242" s="787">
        <v>0</v>
      </c>
    </row>
    <row r="10243" spans="1:15" x14ac:dyDescent="0.25">
      <c r="A10243" s="786" t="s">
        <v>18322</v>
      </c>
      <c r="B10243" s="787">
        <v>4</v>
      </c>
      <c r="C10243" s="787" t="s">
        <v>18323</v>
      </c>
      <c r="D10243" s="787">
        <v>0</v>
      </c>
      <c r="E10243" s="787">
        <v>0</v>
      </c>
      <c r="H10243" s="787">
        <v>1</v>
      </c>
      <c r="I10243" s="788">
        <v>42110</v>
      </c>
      <c r="L10243" s="787">
        <v>0.01</v>
      </c>
      <c r="M10243" s="787">
        <v>10</v>
      </c>
      <c r="N10243" s="787">
        <v>0</v>
      </c>
    </row>
    <row r="10244" spans="1:15" x14ac:dyDescent="0.25">
      <c r="A10244" s="786" t="s">
        <v>18324</v>
      </c>
      <c r="B10244" s="787">
        <v>4</v>
      </c>
      <c r="C10244" s="787" t="s">
        <v>16746</v>
      </c>
      <c r="D10244" s="787">
        <v>0</v>
      </c>
      <c r="E10244" s="787">
        <v>0</v>
      </c>
      <c r="H10244" s="787">
        <v>1</v>
      </c>
      <c r="K10244" s="788">
        <v>42157</v>
      </c>
      <c r="L10244" s="787">
        <v>3.53</v>
      </c>
      <c r="M10244" s="787">
        <v>10</v>
      </c>
      <c r="N10244" s="787">
        <v>3.53</v>
      </c>
      <c r="O10244" s="788">
        <v>42157</v>
      </c>
    </row>
    <row r="10245" spans="1:15" x14ac:dyDescent="0.25">
      <c r="A10245" s="786" t="s">
        <v>18325</v>
      </c>
      <c r="B10245" s="787">
        <v>4</v>
      </c>
      <c r="C10245" s="787" t="s">
        <v>16761</v>
      </c>
      <c r="D10245" s="787">
        <v>0</v>
      </c>
      <c r="E10245" s="787">
        <v>0</v>
      </c>
      <c r="H10245" s="787">
        <v>1</v>
      </c>
      <c r="L10245" s="787">
        <v>0.01</v>
      </c>
      <c r="M10245" s="787">
        <v>10</v>
      </c>
      <c r="N10245" s="787">
        <v>0</v>
      </c>
    </row>
    <row r="10246" spans="1:15" x14ac:dyDescent="0.25">
      <c r="A10246" s="786" t="s">
        <v>18326</v>
      </c>
      <c r="B10246" s="787">
        <v>4</v>
      </c>
      <c r="C10246" s="787" t="s">
        <v>9854</v>
      </c>
      <c r="D10246" s="787">
        <v>7</v>
      </c>
      <c r="E10246" s="787">
        <v>11.92</v>
      </c>
      <c r="F10246" s="788">
        <v>41855</v>
      </c>
      <c r="G10246" s="788">
        <v>41863</v>
      </c>
      <c r="H10246" s="787">
        <v>1</v>
      </c>
      <c r="I10246" s="788">
        <v>42073</v>
      </c>
      <c r="J10246" s="788">
        <v>41845</v>
      </c>
      <c r="K10246" s="788">
        <v>41827</v>
      </c>
      <c r="L10246" s="787">
        <v>5.98</v>
      </c>
      <c r="M10246" s="787">
        <v>20</v>
      </c>
      <c r="N10246" s="787">
        <v>6.43</v>
      </c>
      <c r="O10246" s="788">
        <v>41995</v>
      </c>
    </row>
    <row r="10247" spans="1:15" x14ac:dyDescent="0.25">
      <c r="A10247" s="786" t="s">
        <v>18327</v>
      </c>
      <c r="B10247" s="787">
        <v>4</v>
      </c>
      <c r="C10247" s="787" t="s">
        <v>18328</v>
      </c>
      <c r="D10247" s="787">
        <v>0.5</v>
      </c>
      <c r="E10247" s="787">
        <v>0.5</v>
      </c>
      <c r="F10247" s="788">
        <v>39456</v>
      </c>
      <c r="G10247" s="788">
        <v>39590</v>
      </c>
      <c r="H10247" s="787">
        <v>1</v>
      </c>
      <c r="I10247" s="788">
        <v>39252</v>
      </c>
      <c r="J10247" s="788">
        <v>39252</v>
      </c>
      <c r="L10247" s="787">
        <v>0</v>
      </c>
      <c r="M10247" s="787">
        <v>10</v>
      </c>
      <c r="N10247" s="787">
        <v>2</v>
      </c>
      <c r="O10247" s="788">
        <v>41858</v>
      </c>
    </row>
    <row r="10248" spans="1:15" x14ac:dyDescent="0.25">
      <c r="A10248" s="786" t="s">
        <v>18329</v>
      </c>
      <c r="B10248" s="787">
        <v>4</v>
      </c>
      <c r="C10248" s="787" t="s">
        <v>18330</v>
      </c>
      <c r="D10248" s="787">
        <v>0</v>
      </c>
      <c r="E10248" s="787">
        <v>0</v>
      </c>
      <c r="H10248" s="787">
        <v>1</v>
      </c>
      <c r="I10248" s="788">
        <v>41984</v>
      </c>
      <c r="K10248" s="788">
        <v>42074</v>
      </c>
      <c r="L10248" s="787">
        <v>12.83</v>
      </c>
      <c r="M10248" s="787">
        <v>10</v>
      </c>
      <c r="N10248" s="787">
        <v>12.83</v>
      </c>
      <c r="O10248" s="788">
        <v>42074</v>
      </c>
    </row>
    <row r="10249" spans="1:15" x14ac:dyDescent="0.25">
      <c r="A10249" s="786" t="s">
        <v>18331</v>
      </c>
      <c r="B10249" s="787">
        <v>4</v>
      </c>
      <c r="C10249" s="787" t="s">
        <v>17203</v>
      </c>
      <c r="D10249" s="787">
        <v>0</v>
      </c>
      <c r="E10249" s="787">
        <v>0</v>
      </c>
      <c r="H10249" s="787">
        <v>1</v>
      </c>
      <c r="I10249" s="788">
        <v>41984</v>
      </c>
      <c r="K10249" s="788">
        <v>42074</v>
      </c>
      <c r="L10249" s="787">
        <v>12.83</v>
      </c>
      <c r="M10249" s="787">
        <v>10</v>
      </c>
      <c r="N10249" s="787">
        <v>12.83</v>
      </c>
      <c r="O10249" s="788">
        <v>42074</v>
      </c>
    </row>
    <row r="10250" spans="1:15" x14ac:dyDescent="0.25">
      <c r="A10250" s="786" t="s">
        <v>18332</v>
      </c>
      <c r="B10250" s="787">
        <v>4</v>
      </c>
      <c r="C10250" s="787" t="s">
        <v>18333</v>
      </c>
      <c r="D10250" s="787">
        <v>0</v>
      </c>
      <c r="E10250" s="787">
        <v>0</v>
      </c>
      <c r="H10250" s="787">
        <v>1</v>
      </c>
      <c r="I10250" s="788">
        <v>41984</v>
      </c>
      <c r="K10250" s="788">
        <v>42074</v>
      </c>
      <c r="L10250" s="787">
        <v>20.46</v>
      </c>
      <c r="M10250" s="787">
        <v>10</v>
      </c>
      <c r="N10250" s="787">
        <v>20.46</v>
      </c>
      <c r="O10250" s="788">
        <v>42074</v>
      </c>
    </row>
    <row r="10251" spans="1:15" x14ac:dyDescent="0.25">
      <c r="A10251" s="786" t="s">
        <v>18334</v>
      </c>
      <c r="B10251" s="787">
        <v>4</v>
      </c>
      <c r="C10251" s="787" t="s">
        <v>17207</v>
      </c>
      <c r="D10251" s="787">
        <v>0</v>
      </c>
      <c r="E10251" s="787">
        <v>0</v>
      </c>
      <c r="H10251" s="787">
        <v>1</v>
      </c>
      <c r="I10251" s="788">
        <v>41984</v>
      </c>
      <c r="K10251" s="788">
        <v>42074</v>
      </c>
      <c r="L10251" s="787">
        <v>20.46</v>
      </c>
      <c r="M10251" s="787">
        <v>10</v>
      </c>
      <c r="N10251" s="787">
        <v>20.46</v>
      </c>
      <c r="O10251" s="788">
        <v>42074</v>
      </c>
    </row>
    <row r="10252" spans="1:15" x14ac:dyDescent="0.25">
      <c r="A10252" s="786" t="s">
        <v>18335</v>
      </c>
      <c r="B10252" s="787">
        <v>4</v>
      </c>
      <c r="C10252" s="787" t="s">
        <v>17209</v>
      </c>
      <c r="D10252" s="787">
        <v>0</v>
      </c>
      <c r="E10252" s="787">
        <v>0</v>
      </c>
      <c r="H10252" s="787">
        <v>1</v>
      </c>
      <c r="K10252" s="788">
        <v>42074</v>
      </c>
      <c r="L10252" s="787">
        <v>20.46</v>
      </c>
      <c r="M10252" s="787">
        <v>10</v>
      </c>
      <c r="N10252" s="787">
        <v>20.46</v>
      </c>
      <c r="O10252" s="788">
        <v>42074</v>
      </c>
    </row>
    <row r="10253" spans="1:15" x14ac:dyDescent="0.25">
      <c r="A10253" s="786" t="s">
        <v>18336</v>
      </c>
      <c r="B10253" s="787">
        <v>4</v>
      </c>
      <c r="C10253" s="787" t="s">
        <v>17211</v>
      </c>
      <c r="D10253" s="787">
        <v>0</v>
      </c>
      <c r="E10253" s="787">
        <v>0</v>
      </c>
      <c r="H10253" s="787">
        <v>1</v>
      </c>
      <c r="I10253" s="788">
        <v>41984</v>
      </c>
      <c r="K10253" s="788">
        <v>42074</v>
      </c>
      <c r="L10253" s="787">
        <v>20.46</v>
      </c>
      <c r="M10253" s="787">
        <v>10</v>
      </c>
      <c r="N10253" s="787">
        <v>20.46</v>
      </c>
      <c r="O10253" s="788">
        <v>42074</v>
      </c>
    </row>
    <row r="10254" spans="1:15" x14ac:dyDescent="0.25">
      <c r="A10254" s="786" t="s">
        <v>18337</v>
      </c>
      <c r="B10254" s="787">
        <v>4</v>
      </c>
      <c r="C10254" s="787" t="s">
        <v>17213</v>
      </c>
      <c r="D10254" s="787">
        <v>0</v>
      </c>
      <c r="E10254" s="787">
        <v>0</v>
      </c>
      <c r="H10254" s="787">
        <v>1</v>
      </c>
      <c r="I10254" s="788">
        <v>41984</v>
      </c>
      <c r="J10254" s="788">
        <v>41986</v>
      </c>
      <c r="K10254" s="788">
        <v>42074</v>
      </c>
      <c r="L10254" s="787">
        <v>7.05</v>
      </c>
      <c r="M10254" s="787">
        <v>10</v>
      </c>
      <c r="N10254" s="787">
        <v>7.05</v>
      </c>
      <c r="O10254" s="788">
        <v>42074</v>
      </c>
    </row>
    <row r="10255" spans="1:15" x14ac:dyDescent="0.25">
      <c r="A10255" s="786" t="s">
        <v>18338</v>
      </c>
      <c r="B10255" s="787">
        <v>4</v>
      </c>
      <c r="C10255" s="787" t="s">
        <v>17215</v>
      </c>
      <c r="D10255" s="787">
        <v>0</v>
      </c>
      <c r="E10255" s="787">
        <v>0</v>
      </c>
      <c r="H10255" s="787">
        <v>1</v>
      </c>
      <c r="L10255" s="787">
        <v>0.01</v>
      </c>
      <c r="M10255" s="787">
        <v>10</v>
      </c>
      <c r="N10255" s="787">
        <v>7.05</v>
      </c>
      <c r="O10255" s="788">
        <v>42074</v>
      </c>
    </row>
    <row r="10256" spans="1:15" x14ac:dyDescent="0.25">
      <c r="A10256" s="786" t="s">
        <v>18339</v>
      </c>
      <c r="B10256" s="787">
        <v>4</v>
      </c>
      <c r="C10256" s="787" t="s">
        <v>17217</v>
      </c>
      <c r="D10256" s="787">
        <v>0</v>
      </c>
      <c r="E10256" s="787">
        <v>0</v>
      </c>
      <c r="H10256" s="787">
        <v>1</v>
      </c>
      <c r="I10256" s="788">
        <v>41984</v>
      </c>
      <c r="J10256" s="788">
        <v>41986</v>
      </c>
      <c r="K10256" s="788">
        <v>42074</v>
      </c>
      <c r="L10256" s="787">
        <v>7.05</v>
      </c>
      <c r="M10256" s="787">
        <v>10</v>
      </c>
      <c r="N10256" s="787">
        <v>7.05</v>
      </c>
      <c r="O10256" s="788">
        <v>42074</v>
      </c>
    </row>
    <row r="10257" spans="1:15" x14ac:dyDescent="0.25">
      <c r="A10257" s="786" t="s">
        <v>18340</v>
      </c>
      <c r="B10257" s="787">
        <v>4</v>
      </c>
      <c r="C10257" s="787" t="s">
        <v>11783</v>
      </c>
      <c r="D10257" s="787">
        <v>0</v>
      </c>
      <c r="E10257" s="787">
        <v>0</v>
      </c>
      <c r="H10257" s="787">
        <v>1</v>
      </c>
      <c r="K10257" s="788">
        <v>42074</v>
      </c>
      <c r="L10257" s="787">
        <v>3.45</v>
      </c>
      <c r="M10257" s="787">
        <v>10</v>
      </c>
      <c r="N10257" s="787">
        <v>3.45</v>
      </c>
      <c r="O10257" s="788">
        <v>42074</v>
      </c>
    </row>
    <row r="10258" spans="1:15" x14ac:dyDescent="0.25">
      <c r="A10258" s="786" t="s">
        <v>18341</v>
      </c>
      <c r="B10258" s="787">
        <v>4</v>
      </c>
      <c r="C10258" s="787" t="s">
        <v>11747</v>
      </c>
      <c r="D10258" s="787">
        <v>0</v>
      </c>
      <c r="E10258" s="787">
        <v>0</v>
      </c>
      <c r="H10258" s="787">
        <v>1</v>
      </c>
      <c r="K10258" s="788">
        <v>42074</v>
      </c>
      <c r="L10258" s="787">
        <v>3.45</v>
      </c>
      <c r="M10258" s="787">
        <v>10</v>
      </c>
      <c r="N10258" s="787">
        <v>3.45</v>
      </c>
      <c r="O10258" s="788">
        <v>42074</v>
      </c>
    </row>
    <row r="10259" spans="1:15" x14ac:dyDescent="0.25">
      <c r="A10259" s="786" t="s">
        <v>18342</v>
      </c>
      <c r="B10259" s="787">
        <v>4</v>
      </c>
      <c r="C10259" s="787" t="s">
        <v>11785</v>
      </c>
      <c r="D10259" s="787">
        <v>0</v>
      </c>
      <c r="E10259" s="787">
        <v>0</v>
      </c>
      <c r="H10259" s="787">
        <v>1</v>
      </c>
      <c r="L10259" s="787">
        <v>1</v>
      </c>
      <c r="M10259" s="787">
        <v>10</v>
      </c>
      <c r="N10259" s="787">
        <v>3.45</v>
      </c>
      <c r="O10259" s="788">
        <v>42074</v>
      </c>
    </row>
    <row r="10260" spans="1:15" x14ac:dyDescent="0.25">
      <c r="A10260" s="786" t="s">
        <v>18343</v>
      </c>
      <c r="B10260" s="787">
        <v>4</v>
      </c>
      <c r="C10260" s="787" t="s">
        <v>17225</v>
      </c>
      <c r="D10260" s="787">
        <v>0</v>
      </c>
      <c r="E10260" s="787">
        <v>0</v>
      </c>
      <c r="H10260" s="787">
        <v>1</v>
      </c>
      <c r="I10260" s="788">
        <v>41984</v>
      </c>
      <c r="J10260" s="788">
        <v>41986</v>
      </c>
      <c r="K10260" s="788">
        <v>41974</v>
      </c>
      <c r="L10260" s="787">
        <v>2.4500000000000002</v>
      </c>
      <c r="M10260" s="787">
        <v>10</v>
      </c>
      <c r="N10260" s="787">
        <v>2.4500000000000002</v>
      </c>
      <c r="O10260" s="788">
        <v>42074</v>
      </c>
    </row>
    <row r="10261" spans="1:15" x14ac:dyDescent="0.25">
      <c r="A10261" s="786" t="s">
        <v>18344</v>
      </c>
      <c r="B10261" s="787">
        <v>4</v>
      </c>
      <c r="C10261" s="787" t="s">
        <v>18345</v>
      </c>
      <c r="D10261" s="787">
        <v>0</v>
      </c>
      <c r="E10261" s="787">
        <v>0</v>
      </c>
      <c r="H10261" s="787">
        <v>1</v>
      </c>
      <c r="L10261" s="787">
        <v>0.01</v>
      </c>
      <c r="M10261" s="787">
        <v>10</v>
      </c>
      <c r="N10261" s="787">
        <v>4.18</v>
      </c>
      <c r="O10261" s="788">
        <v>42053</v>
      </c>
    </row>
    <row r="10262" spans="1:15" x14ac:dyDescent="0.25">
      <c r="A10262" s="786" t="s">
        <v>18346</v>
      </c>
      <c r="B10262" s="787">
        <v>4</v>
      </c>
      <c r="C10262" s="787" t="s">
        <v>17832</v>
      </c>
      <c r="D10262" s="787">
        <v>0</v>
      </c>
      <c r="E10262" s="787">
        <v>0</v>
      </c>
      <c r="H10262" s="787">
        <v>1</v>
      </c>
      <c r="I10262" s="788">
        <v>41984</v>
      </c>
      <c r="K10262" s="788">
        <v>41971</v>
      </c>
      <c r="L10262" s="787">
        <v>31.42</v>
      </c>
      <c r="M10262" s="787">
        <v>10</v>
      </c>
      <c r="N10262" s="787">
        <v>31.42</v>
      </c>
      <c r="O10262" s="788">
        <v>41971</v>
      </c>
    </row>
    <row r="10263" spans="1:15" x14ac:dyDescent="0.25">
      <c r="A10263" s="786" t="s">
        <v>18347</v>
      </c>
      <c r="B10263" s="787">
        <v>4</v>
      </c>
      <c r="C10263" s="787" t="s">
        <v>17834</v>
      </c>
      <c r="D10263" s="787">
        <v>0</v>
      </c>
      <c r="E10263" s="787">
        <v>0</v>
      </c>
      <c r="H10263" s="787">
        <v>1</v>
      </c>
      <c r="I10263" s="788">
        <v>41984</v>
      </c>
      <c r="K10263" s="788">
        <v>41971</v>
      </c>
      <c r="L10263" s="787">
        <v>31.42</v>
      </c>
      <c r="M10263" s="787">
        <v>10</v>
      </c>
      <c r="N10263" s="787">
        <v>31.42</v>
      </c>
      <c r="O10263" s="788">
        <v>41971</v>
      </c>
    </row>
    <row r="10264" spans="1:15" x14ac:dyDescent="0.25">
      <c r="A10264" s="786" t="s">
        <v>18348</v>
      </c>
      <c r="B10264" s="787">
        <v>4</v>
      </c>
      <c r="C10264" s="787" t="s">
        <v>17836</v>
      </c>
      <c r="D10264" s="787">
        <v>0</v>
      </c>
      <c r="E10264" s="787">
        <v>0</v>
      </c>
      <c r="H10264" s="787">
        <v>1</v>
      </c>
      <c r="I10264" s="788">
        <v>41984</v>
      </c>
      <c r="K10264" s="788">
        <v>41971</v>
      </c>
      <c r="L10264" s="787">
        <v>31.42</v>
      </c>
      <c r="M10264" s="787">
        <v>10</v>
      </c>
      <c r="N10264" s="787">
        <v>31.42</v>
      </c>
      <c r="O10264" s="788">
        <v>41971</v>
      </c>
    </row>
    <row r="10265" spans="1:15" x14ac:dyDescent="0.25">
      <c r="A10265" s="786" t="s">
        <v>18349</v>
      </c>
      <c r="B10265" s="787">
        <v>4</v>
      </c>
      <c r="C10265" s="787" t="s">
        <v>17838</v>
      </c>
      <c r="D10265" s="787">
        <v>0</v>
      </c>
      <c r="E10265" s="787">
        <v>0</v>
      </c>
      <c r="H10265" s="787">
        <v>1</v>
      </c>
      <c r="K10265" s="788">
        <v>41971</v>
      </c>
      <c r="L10265" s="787">
        <v>31.42</v>
      </c>
      <c r="M10265" s="787">
        <v>10</v>
      </c>
      <c r="N10265" s="787">
        <v>31.42</v>
      </c>
      <c r="O10265" s="788">
        <v>41971</v>
      </c>
    </row>
    <row r="10266" spans="1:15" x14ac:dyDescent="0.25">
      <c r="A10266" s="786" t="s">
        <v>18350</v>
      </c>
      <c r="B10266" s="787">
        <v>4</v>
      </c>
      <c r="C10266" s="787" t="s">
        <v>17840</v>
      </c>
      <c r="D10266" s="787">
        <v>0</v>
      </c>
      <c r="E10266" s="787">
        <v>0</v>
      </c>
      <c r="H10266" s="787">
        <v>1</v>
      </c>
      <c r="K10266" s="788">
        <v>41971</v>
      </c>
      <c r="L10266" s="787">
        <v>31.42</v>
      </c>
      <c r="M10266" s="787">
        <v>10</v>
      </c>
      <c r="N10266" s="787">
        <v>31.42</v>
      </c>
      <c r="O10266" s="788">
        <v>41971</v>
      </c>
    </row>
    <row r="10267" spans="1:15" x14ac:dyDescent="0.25">
      <c r="A10267" s="786" t="s">
        <v>18351</v>
      </c>
      <c r="B10267" s="787">
        <v>4</v>
      </c>
      <c r="C10267" s="787" t="s">
        <v>17842</v>
      </c>
      <c r="D10267" s="787">
        <v>0</v>
      </c>
      <c r="E10267" s="787">
        <v>0</v>
      </c>
      <c r="H10267" s="787">
        <v>1</v>
      </c>
      <c r="K10267" s="788">
        <v>41971</v>
      </c>
      <c r="L10267" s="787">
        <v>31.42</v>
      </c>
      <c r="M10267" s="787">
        <v>10</v>
      </c>
      <c r="N10267" s="787">
        <v>31.42</v>
      </c>
      <c r="O10267" s="788">
        <v>41971</v>
      </c>
    </row>
    <row r="10268" spans="1:15" x14ac:dyDescent="0.25">
      <c r="A10268" s="786" t="s">
        <v>18352</v>
      </c>
      <c r="B10268" s="787">
        <v>4</v>
      </c>
      <c r="C10268" s="787" t="s">
        <v>17844</v>
      </c>
      <c r="D10268" s="787">
        <v>0</v>
      </c>
      <c r="E10268" s="787">
        <v>0</v>
      </c>
      <c r="H10268" s="787">
        <v>1</v>
      </c>
      <c r="K10268" s="788">
        <v>41971</v>
      </c>
      <c r="L10268" s="787">
        <v>31.42</v>
      </c>
      <c r="M10268" s="787">
        <v>10</v>
      </c>
      <c r="N10268" s="787">
        <v>31.42</v>
      </c>
      <c r="O10268" s="788">
        <v>41971</v>
      </c>
    </row>
    <row r="10269" spans="1:15" x14ac:dyDescent="0.25">
      <c r="A10269" s="786" t="s">
        <v>18353</v>
      </c>
      <c r="B10269" s="787">
        <v>4</v>
      </c>
      <c r="C10269" s="787" t="s">
        <v>17846</v>
      </c>
      <c r="D10269" s="787">
        <v>0</v>
      </c>
      <c r="E10269" s="787">
        <v>0</v>
      </c>
      <c r="H10269" s="787">
        <v>1</v>
      </c>
      <c r="K10269" s="788">
        <v>41971</v>
      </c>
      <c r="L10269" s="787">
        <v>31.42</v>
      </c>
      <c r="M10269" s="787">
        <v>10</v>
      </c>
      <c r="N10269" s="787">
        <v>31.42</v>
      </c>
      <c r="O10269" s="788">
        <v>41971</v>
      </c>
    </row>
    <row r="10270" spans="1:15" x14ac:dyDescent="0.25">
      <c r="A10270" s="786" t="s">
        <v>18354</v>
      </c>
      <c r="B10270" s="787">
        <v>4</v>
      </c>
      <c r="C10270" s="787" t="s">
        <v>17848</v>
      </c>
      <c r="D10270" s="787">
        <v>0</v>
      </c>
      <c r="E10270" s="787">
        <v>0</v>
      </c>
      <c r="H10270" s="787">
        <v>1</v>
      </c>
      <c r="K10270" s="788">
        <v>41971</v>
      </c>
      <c r="L10270" s="787">
        <v>18.579999999999998</v>
      </c>
      <c r="M10270" s="787">
        <v>10</v>
      </c>
      <c r="N10270" s="787">
        <v>18.579999999999998</v>
      </c>
      <c r="O10270" s="788">
        <v>41971</v>
      </c>
    </row>
    <row r="10271" spans="1:15" x14ac:dyDescent="0.25">
      <c r="A10271" s="786" t="s">
        <v>18355</v>
      </c>
      <c r="B10271" s="787">
        <v>4</v>
      </c>
      <c r="C10271" s="787" t="s">
        <v>17850</v>
      </c>
      <c r="D10271" s="787">
        <v>0</v>
      </c>
      <c r="E10271" s="787">
        <v>0</v>
      </c>
      <c r="H10271" s="787">
        <v>1</v>
      </c>
      <c r="I10271" s="788">
        <v>41984</v>
      </c>
      <c r="K10271" s="788">
        <v>41971</v>
      </c>
      <c r="L10271" s="787">
        <v>18.579999999999998</v>
      </c>
      <c r="M10271" s="787">
        <v>10</v>
      </c>
      <c r="N10271" s="787">
        <v>18.579999999999998</v>
      </c>
      <c r="O10271" s="788">
        <v>41971</v>
      </c>
    </row>
    <row r="10272" spans="1:15" x14ac:dyDescent="0.25">
      <c r="A10272" s="786" t="s">
        <v>18356</v>
      </c>
      <c r="B10272" s="787">
        <v>4</v>
      </c>
      <c r="C10272" s="787" t="s">
        <v>17852</v>
      </c>
      <c r="D10272" s="787">
        <v>0</v>
      </c>
      <c r="E10272" s="787">
        <v>0</v>
      </c>
      <c r="H10272" s="787">
        <v>1</v>
      </c>
      <c r="K10272" s="788">
        <v>41971</v>
      </c>
      <c r="L10272" s="787">
        <v>18.579999999999998</v>
      </c>
      <c r="M10272" s="787">
        <v>10</v>
      </c>
      <c r="N10272" s="787">
        <v>18.579999999999998</v>
      </c>
      <c r="O10272" s="788">
        <v>41971</v>
      </c>
    </row>
    <row r="10273" spans="1:15" x14ac:dyDescent="0.25">
      <c r="A10273" s="786" t="s">
        <v>18357</v>
      </c>
      <c r="B10273" s="787">
        <v>4</v>
      </c>
      <c r="C10273" s="787" t="s">
        <v>17854</v>
      </c>
      <c r="D10273" s="787">
        <v>0</v>
      </c>
      <c r="E10273" s="787">
        <v>0</v>
      </c>
      <c r="H10273" s="787">
        <v>1</v>
      </c>
      <c r="I10273" s="788">
        <v>41984</v>
      </c>
      <c r="K10273" s="788">
        <v>41971</v>
      </c>
      <c r="L10273" s="787">
        <v>18.579999999999998</v>
      </c>
      <c r="M10273" s="787">
        <v>10</v>
      </c>
      <c r="N10273" s="787">
        <v>18.579999999999998</v>
      </c>
      <c r="O10273" s="788">
        <v>41971</v>
      </c>
    </row>
    <row r="10274" spans="1:15" x14ac:dyDescent="0.25">
      <c r="A10274" s="786" t="s">
        <v>18358</v>
      </c>
      <c r="B10274" s="787">
        <v>4</v>
      </c>
      <c r="C10274" s="787" t="s">
        <v>17856</v>
      </c>
      <c r="D10274" s="787">
        <v>0</v>
      </c>
      <c r="E10274" s="787">
        <v>0</v>
      </c>
      <c r="H10274" s="787">
        <v>1</v>
      </c>
      <c r="I10274" s="788">
        <v>41984</v>
      </c>
      <c r="K10274" s="788">
        <v>41974</v>
      </c>
      <c r="L10274" s="787">
        <v>18.18</v>
      </c>
      <c r="M10274" s="787">
        <v>10</v>
      </c>
      <c r="N10274" s="787">
        <v>18.18</v>
      </c>
      <c r="O10274" s="788">
        <v>41978</v>
      </c>
    </row>
    <row r="10275" spans="1:15" x14ac:dyDescent="0.25">
      <c r="A10275" s="786" t="s">
        <v>18359</v>
      </c>
      <c r="B10275" s="787">
        <v>4</v>
      </c>
      <c r="C10275" s="787" t="s">
        <v>17858</v>
      </c>
      <c r="D10275" s="787">
        <v>0</v>
      </c>
      <c r="E10275" s="787">
        <v>0</v>
      </c>
      <c r="H10275" s="787">
        <v>1</v>
      </c>
      <c r="K10275" s="788">
        <v>41974</v>
      </c>
      <c r="L10275" s="787">
        <v>18.18</v>
      </c>
      <c r="M10275" s="787">
        <v>10</v>
      </c>
      <c r="N10275" s="787">
        <v>18.18</v>
      </c>
      <c r="O10275" s="788">
        <v>41978</v>
      </c>
    </row>
    <row r="10276" spans="1:15" x14ac:dyDescent="0.25">
      <c r="A10276" s="786" t="s">
        <v>18360</v>
      </c>
      <c r="B10276" s="787">
        <v>4</v>
      </c>
      <c r="C10276" s="787" t="s">
        <v>17860</v>
      </c>
      <c r="D10276" s="787">
        <v>0</v>
      </c>
      <c r="E10276" s="787">
        <v>0</v>
      </c>
      <c r="H10276" s="787">
        <v>1</v>
      </c>
      <c r="K10276" s="788">
        <v>41974</v>
      </c>
      <c r="L10276" s="787">
        <v>18.18</v>
      </c>
      <c r="M10276" s="787">
        <v>10</v>
      </c>
      <c r="N10276" s="787">
        <v>18.18</v>
      </c>
      <c r="O10276" s="788">
        <v>41978</v>
      </c>
    </row>
    <row r="10277" spans="1:15" x14ac:dyDescent="0.25">
      <c r="A10277" s="786" t="s">
        <v>18361</v>
      </c>
      <c r="B10277" s="787">
        <v>4</v>
      </c>
      <c r="C10277" s="787" t="s">
        <v>17862</v>
      </c>
      <c r="D10277" s="787">
        <v>0</v>
      </c>
      <c r="E10277" s="787">
        <v>0</v>
      </c>
      <c r="H10277" s="787">
        <v>1</v>
      </c>
      <c r="K10277" s="788">
        <v>41974</v>
      </c>
      <c r="L10277" s="787">
        <v>18.18</v>
      </c>
      <c r="M10277" s="787">
        <v>10</v>
      </c>
      <c r="N10277" s="787">
        <v>18.18</v>
      </c>
      <c r="O10277" s="788">
        <v>41978</v>
      </c>
    </row>
    <row r="10278" spans="1:15" x14ac:dyDescent="0.25">
      <c r="A10278" s="786" t="s">
        <v>18362</v>
      </c>
      <c r="B10278" s="787">
        <v>4</v>
      </c>
      <c r="C10278" s="787" t="s">
        <v>17866</v>
      </c>
      <c r="D10278" s="787">
        <v>0</v>
      </c>
      <c r="E10278" s="787">
        <v>0</v>
      </c>
      <c r="H10278" s="787">
        <v>1</v>
      </c>
      <c r="K10278" s="788">
        <v>41974</v>
      </c>
      <c r="L10278" s="787">
        <v>31.73</v>
      </c>
      <c r="M10278" s="787">
        <v>10</v>
      </c>
      <c r="N10278" s="787">
        <v>35.9</v>
      </c>
      <c r="O10278" s="788">
        <v>42053</v>
      </c>
    </row>
    <row r="10279" spans="1:15" x14ac:dyDescent="0.25">
      <c r="A10279" s="786" t="s">
        <v>18363</v>
      </c>
      <c r="B10279" s="787">
        <v>4</v>
      </c>
      <c r="C10279" s="787" t="s">
        <v>17868</v>
      </c>
      <c r="D10279" s="787">
        <v>0</v>
      </c>
      <c r="E10279" s="787">
        <v>0</v>
      </c>
      <c r="H10279" s="787">
        <v>1</v>
      </c>
      <c r="K10279" s="788">
        <v>41974</v>
      </c>
      <c r="L10279" s="787">
        <v>31.73</v>
      </c>
      <c r="M10279" s="787">
        <v>10</v>
      </c>
      <c r="N10279" s="787">
        <v>35.9</v>
      </c>
      <c r="O10279" s="788">
        <v>42053</v>
      </c>
    </row>
    <row r="10280" spans="1:15" x14ac:dyDescent="0.25">
      <c r="A10280" s="786" t="s">
        <v>18364</v>
      </c>
      <c r="B10280" s="787">
        <v>4</v>
      </c>
      <c r="C10280" s="787" t="s">
        <v>18365</v>
      </c>
      <c r="D10280" s="787">
        <v>0</v>
      </c>
      <c r="E10280" s="787">
        <v>0</v>
      </c>
      <c r="H10280" s="787">
        <v>1</v>
      </c>
      <c r="L10280" s="787">
        <v>0.01</v>
      </c>
      <c r="M10280" s="787">
        <v>10</v>
      </c>
      <c r="N10280" s="787">
        <v>0</v>
      </c>
    </row>
    <row r="10281" spans="1:15" x14ac:dyDescent="0.25">
      <c r="A10281" s="786" t="s">
        <v>18366</v>
      </c>
      <c r="B10281" s="787">
        <v>4</v>
      </c>
      <c r="C10281" s="787" t="s">
        <v>18367</v>
      </c>
      <c r="D10281" s="787">
        <v>0</v>
      </c>
      <c r="E10281" s="787">
        <v>0</v>
      </c>
      <c r="H10281" s="787">
        <v>1</v>
      </c>
      <c r="I10281" s="788">
        <v>41921</v>
      </c>
      <c r="L10281" s="787">
        <v>1</v>
      </c>
      <c r="M10281" s="787">
        <v>10</v>
      </c>
      <c r="N10281" s="787">
        <v>11.6</v>
      </c>
      <c r="O10281" s="788">
        <v>41858</v>
      </c>
    </row>
    <row r="10282" spans="1:15" x14ac:dyDescent="0.25">
      <c r="A10282" s="786" t="s">
        <v>18368</v>
      </c>
      <c r="B10282" s="787">
        <v>4</v>
      </c>
      <c r="C10282" s="787" t="s">
        <v>10201</v>
      </c>
      <c r="D10282" s="787">
        <v>3.12</v>
      </c>
      <c r="E10282" s="787">
        <v>3.12</v>
      </c>
      <c r="F10282" s="788">
        <v>39975</v>
      </c>
      <c r="G10282" s="788">
        <v>39590</v>
      </c>
      <c r="H10282" s="787">
        <v>1</v>
      </c>
      <c r="I10282" s="788">
        <v>39134</v>
      </c>
      <c r="J10282" s="788">
        <v>39149</v>
      </c>
      <c r="L10282" s="787">
        <v>0</v>
      </c>
      <c r="M10282" s="787">
        <v>10</v>
      </c>
      <c r="N10282" s="787">
        <v>1.84</v>
      </c>
      <c r="O10282" s="788">
        <v>42146</v>
      </c>
    </row>
    <row r="10283" spans="1:15" x14ac:dyDescent="0.25">
      <c r="A10283" s="786" t="s">
        <v>18369</v>
      </c>
      <c r="B10283" s="787">
        <v>4</v>
      </c>
      <c r="C10283" s="787" t="s">
        <v>10203</v>
      </c>
      <c r="D10283" s="787">
        <v>3.66</v>
      </c>
      <c r="E10283" s="787">
        <v>3.66</v>
      </c>
      <c r="F10283" s="788">
        <v>39975</v>
      </c>
      <c r="G10283" s="788">
        <v>41943</v>
      </c>
      <c r="H10283" s="787">
        <v>1</v>
      </c>
      <c r="I10283" s="788">
        <v>39134</v>
      </c>
      <c r="J10283" s="788">
        <v>39149</v>
      </c>
      <c r="L10283" s="787">
        <v>0</v>
      </c>
      <c r="M10283" s="787">
        <v>10</v>
      </c>
      <c r="N10283" s="787">
        <v>2.65</v>
      </c>
      <c r="O10283" s="788">
        <v>42146</v>
      </c>
    </row>
    <row r="10284" spans="1:15" x14ac:dyDescent="0.25">
      <c r="A10284" s="786" t="s">
        <v>18370</v>
      </c>
      <c r="B10284" s="787">
        <v>4</v>
      </c>
      <c r="C10284" s="787" t="s">
        <v>10205</v>
      </c>
      <c r="D10284" s="787">
        <v>3.68</v>
      </c>
      <c r="E10284" s="787">
        <v>3.68</v>
      </c>
      <c r="F10284" s="788">
        <v>39975</v>
      </c>
      <c r="G10284" s="788">
        <v>41943</v>
      </c>
      <c r="H10284" s="787">
        <v>1</v>
      </c>
      <c r="I10284" s="788">
        <v>39134</v>
      </c>
      <c r="J10284" s="788">
        <v>39149</v>
      </c>
      <c r="L10284" s="787">
        <v>0</v>
      </c>
      <c r="M10284" s="787">
        <v>10</v>
      </c>
      <c r="N10284" s="787">
        <v>2.91</v>
      </c>
      <c r="O10284" s="788">
        <v>42146</v>
      </c>
    </row>
    <row r="10285" spans="1:15" x14ac:dyDescent="0.25">
      <c r="A10285" s="786" t="s">
        <v>18371</v>
      </c>
      <c r="B10285" s="787">
        <v>4</v>
      </c>
      <c r="C10285" s="787" t="s">
        <v>10203</v>
      </c>
      <c r="D10285" s="787">
        <v>0</v>
      </c>
      <c r="E10285" s="787">
        <v>0</v>
      </c>
      <c r="H10285" s="787">
        <v>1</v>
      </c>
      <c r="L10285" s="787">
        <v>0</v>
      </c>
      <c r="M10285" s="787">
        <v>10</v>
      </c>
      <c r="N10285" s="787">
        <v>2.91</v>
      </c>
      <c r="O10285" s="788">
        <v>42146</v>
      </c>
    </row>
    <row r="10286" spans="1:15" x14ac:dyDescent="0.25">
      <c r="A10286" s="786" t="s">
        <v>18372</v>
      </c>
      <c r="B10286" s="787">
        <v>4</v>
      </c>
      <c r="C10286" s="787" t="s">
        <v>10208</v>
      </c>
      <c r="D10286" s="787">
        <v>3.2</v>
      </c>
      <c r="E10286" s="787">
        <v>3.2</v>
      </c>
      <c r="F10286" s="788">
        <v>39975</v>
      </c>
      <c r="G10286" s="788">
        <v>41943</v>
      </c>
      <c r="H10286" s="787">
        <v>1</v>
      </c>
      <c r="I10286" s="788">
        <v>40151</v>
      </c>
      <c r="J10286" s="788">
        <v>39149</v>
      </c>
      <c r="L10286" s="787">
        <v>0</v>
      </c>
      <c r="M10286" s="787">
        <v>10</v>
      </c>
      <c r="N10286" s="787">
        <v>2.5299999999999998</v>
      </c>
      <c r="O10286" s="788">
        <v>42162</v>
      </c>
    </row>
    <row r="10287" spans="1:15" x14ac:dyDescent="0.25">
      <c r="A10287" s="786" t="s">
        <v>18373</v>
      </c>
      <c r="B10287" s="787">
        <v>4</v>
      </c>
      <c r="C10287" s="787" t="s">
        <v>10210</v>
      </c>
      <c r="D10287" s="787">
        <v>3.04</v>
      </c>
      <c r="E10287" s="787">
        <v>3.04</v>
      </c>
      <c r="F10287" s="788">
        <v>39975</v>
      </c>
      <c r="G10287" s="788">
        <v>41255</v>
      </c>
      <c r="H10287" s="787">
        <v>1</v>
      </c>
      <c r="I10287" s="788">
        <v>39134</v>
      </c>
      <c r="J10287" s="788">
        <v>39149</v>
      </c>
      <c r="L10287" s="787">
        <v>0</v>
      </c>
      <c r="M10287" s="787">
        <v>10</v>
      </c>
      <c r="N10287" s="787">
        <v>1.25</v>
      </c>
      <c r="O10287" s="788">
        <v>40653</v>
      </c>
    </row>
    <row r="10288" spans="1:15" x14ac:dyDescent="0.25">
      <c r="A10288" s="786" t="s">
        <v>18374</v>
      </c>
      <c r="B10288" s="787">
        <v>4</v>
      </c>
      <c r="C10288" s="787" t="s">
        <v>10208</v>
      </c>
      <c r="D10288" s="787">
        <v>1.52</v>
      </c>
      <c r="E10288" s="787">
        <v>1.52</v>
      </c>
      <c r="F10288" s="788">
        <v>39975</v>
      </c>
      <c r="G10288" s="788">
        <v>41943</v>
      </c>
      <c r="H10288" s="787">
        <v>1</v>
      </c>
      <c r="I10288" s="788">
        <v>39134</v>
      </c>
      <c r="J10288" s="788">
        <v>39149</v>
      </c>
      <c r="L10288" s="787">
        <v>0</v>
      </c>
      <c r="M10288" s="787">
        <v>10</v>
      </c>
      <c r="N10288" s="787">
        <v>1.6</v>
      </c>
      <c r="O10288" s="788">
        <v>42162</v>
      </c>
    </row>
    <row r="10289" spans="1:15" x14ac:dyDescent="0.25">
      <c r="A10289" s="786" t="s">
        <v>18375</v>
      </c>
      <c r="B10289" s="787">
        <v>4</v>
      </c>
      <c r="C10289" s="787" t="s">
        <v>10210</v>
      </c>
      <c r="D10289" s="787">
        <v>1.52</v>
      </c>
      <c r="E10289" s="787">
        <v>1.52</v>
      </c>
      <c r="F10289" s="788">
        <v>39975</v>
      </c>
      <c r="G10289" s="788">
        <v>41943</v>
      </c>
      <c r="H10289" s="787">
        <v>1</v>
      </c>
      <c r="I10289" s="788">
        <v>39134</v>
      </c>
      <c r="J10289" s="788">
        <v>39149</v>
      </c>
      <c r="L10289" s="787">
        <v>0</v>
      </c>
      <c r="M10289" s="787">
        <v>10</v>
      </c>
      <c r="N10289" s="787">
        <v>1.6</v>
      </c>
      <c r="O10289" s="788">
        <v>42162</v>
      </c>
    </row>
    <row r="10290" spans="1:15" x14ac:dyDescent="0.25">
      <c r="A10290" s="786" t="s">
        <v>18376</v>
      </c>
      <c r="B10290" s="787">
        <v>4</v>
      </c>
      <c r="C10290" s="787" t="s">
        <v>10208</v>
      </c>
      <c r="D10290" s="787">
        <v>1.86</v>
      </c>
      <c r="E10290" s="787">
        <v>1.86</v>
      </c>
      <c r="F10290" s="788">
        <v>39975</v>
      </c>
      <c r="G10290" s="788">
        <v>41943</v>
      </c>
      <c r="H10290" s="787">
        <v>1</v>
      </c>
      <c r="I10290" s="788">
        <v>39134</v>
      </c>
      <c r="J10290" s="788">
        <v>39149</v>
      </c>
      <c r="L10290" s="787">
        <v>0</v>
      </c>
      <c r="M10290" s="787">
        <v>10</v>
      </c>
      <c r="N10290" s="787">
        <v>1.78</v>
      </c>
      <c r="O10290" s="788">
        <v>42146</v>
      </c>
    </row>
    <row r="10291" spans="1:15" x14ac:dyDescent="0.25">
      <c r="A10291" s="786" t="s">
        <v>18377</v>
      </c>
      <c r="B10291" s="787">
        <v>4</v>
      </c>
      <c r="C10291" s="787" t="s">
        <v>10210</v>
      </c>
      <c r="D10291" s="787">
        <v>1.86</v>
      </c>
      <c r="E10291" s="787">
        <v>1.86</v>
      </c>
      <c r="F10291" s="788">
        <v>39975</v>
      </c>
      <c r="G10291" s="788">
        <v>41943</v>
      </c>
      <c r="H10291" s="787">
        <v>1</v>
      </c>
      <c r="I10291" s="788">
        <v>39134</v>
      </c>
      <c r="J10291" s="788">
        <v>39149</v>
      </c>
      <c r="L10291" s="787">
        <v>0</v>
      </c>
      <c r="M10291" s="787">
        <v>10</v>
      </c>
      <c r="N10291" s="787">
        <v>1.78</v>
      </c>
      <c r="O10291" s="788">
        <v>42146</v>
      </c>
    </row>
    <row r="10292" spans="1:15" x14ac:dyDescent="0.25">
      <c r="A10292" s="786" t="s">
        <v>18378</v>
      </c>
      <c r="B10292" s="787">
        <v>4</v>
      </c>
      <c r="C10292" s="787" t="s">
        <v>10216</v>
      </c>
      <c r="D10292" s="787">
        <v>2.3199999999999998</v>
      </c>
      <c r="E10292" s="787">
        <v>2.3199999999999998</v>
      </c>
      <c r="F10292" s="788">
        <v>39975</v>
      </c>
      <c r="G10292" s="788">
        <v>41943</v>
      </c>
      <c r="H10292" s="787">
        <v>1</v>
      </c>
      <c r="I10292" s="788">
        <v>39134</v>
      </c>
      <c r="J10292" s="788">
        <v>39149</v>
      </c>
      <c r="L10292" s="787">
        <v>0</v>
      </c>
      <c r="M10292" s="787">
        <v>10</v>
      </c>
      <c r="N10292" s="787">
        <v>2.52</v>
      </c>
      <c r="O10292" s="788">
        <v>41858</v>
      </c>
    </row>
    <row r="10293" spans="1:15" x14ac:dyDescent="0.25">
      <c r="A10293" s="786" t="s">
        <v>18379</v>
      </c>
      <c r="B10293" s="787">
        <v>4</v>
      </c>
      <c r="C10293" s="787" t="s">
        <v>18380</v>
      </c>
      <c r="D10293" s="787">
        <v>0</v>
      </c>
      <c r="E10293" s="787">
        <v>0</v>
      </c>
      <c r="H10293" s="787">
        <v>1</v>
      </c>
      <c r="K10293" s="788">
        <v>42095</v>
      </c>
      <c r="L10293" s="787">
        <v>3</v>
      </c>
      <c r="M10293" s="787">
        <v>10</v>
      </c>
      <c r="N10293" s="787">
        <v>3.05</v>
      </c>
      <c r="O10293" s="788">
        <v>41858</v>
      </c>
    </row>
    <row r="10294" spans="1:15" x14ac:dyDescent="0.25">
      <c r="A10294" s="786" t="s">
        <v>18381</v>
      </c>
      <c r="B10294" s="787">
        <v>4</v>
      </c>
      <c r="C10294" s="787" t="s">
        <v>10265</v>
      </c>
      <c r="D10294" s="787">
        <v>0</v>
      </c>
      <c r="E10294" s="787">
        <v>0</v>
      </c>
      <c r="H10294" s="787">
        <v>1</v>
      </c>
      <c r="L10294" s="787">
        <v>0.5</v>
      </c>
      <c r="M10294" s="787">
        <v>10</v>
      </c>
      <c r="N10294" s="787">
        <v>0</v>
      </c>
    </row>
    <row r="10295" spans="1:15" x14ac:dyDescent="0.25">
      <c r="A10295" s="786" t="s">
        <v>18382</v>
      </c>
      <c r="B10295" s="787">
        <v>4</v>
      </c>
      <c r="C10295" s="787" t="s">
        <v>10267</v>
      </c>
      <c r="D10295" s="787">
        <v>0</v>
      </c>
      <c r="E10295" s="787">
        <v>0</v>
      </c>
      <c r="H10295" s="787">
        <v>1</v>
      </c>
      <c r="L10295" s="787">
        <v>1</v>
      </c>
      <c r="M10295" s="787">
        <v>10</v>
      </c>
      <c r="N10295" s="787">
        <v>0</v>
      </c>
    </row>
    <row r="10296" spans="1:15" x14ac:dyDescent="0.25">
      <c r="A10296" s="786" t="s">
        <v>18383</v>
      </c>
      <c r="B10296" s="787">
        <v>4</v>
      </c>
      <c r="C10296" s="787" t="s">
        <v>18384</v>
      </c>
      <c r="D10296" s="787">
        <v>1.1000000000000001</v>
      </c>
      <c r="E10296" s="787">
        <v>1.1000000000000001</v>
      </c>
      <c r="F10296" s="788">
        <v>39975</v>
      </c>
      <c r="G10296" s="788">
        <v>41943</v>
      </c>
      <c r="H10296" s="787">
        <v>1</v>
      </c>
      <c r="I10296" s="788">
        <v>42109</v>
      </c>
      <c r="J10296" s="788">
        <v>40029</v>
      </c>
      <c r="K10296" s="788">
        <v>42108</v>
      </c>
      <c r="L10296" s="787">
        <v>3.11</v>
      </c>
      <c r="M10296" s="787">
        <v>10</v>
      </c>
      <c r="N10296" s="787">
        <v>3.11</v>
      </c>
      <c r="O10296" s="788">
        <v>42146</v>
      </c>
    </row>
    <row r="10297" spans="1:15" x14ac:dyDescent="0.25">
      <c r="A10297" s="786" t="s">
        <v>18385</v>
      </c>
      <c r="B10297" s="787">
        <v>4</v>
      </c>
      <c r="C10297" s="787" t="s">
        <v>10487</v>
      </c>
      <c r="D10297" s="787">
        <v>0</v>
      </c>
      <c r="E10297" s="787">
        <v>0</v>
      </c>
      <c r="H10297" s="787">
        <v>1</v>
      </c>
      <c r="K10297" s="788">
        <v>41974</v>
      </c>
      <c r="L10297" s="787">
        <v>9.2899999999999991</v>
      </c>
      <c r="M10297" s="787">
        <v>10</v>
      </c>
      <c r="N10297" s="787">
        <v>9.2899999999999991</v>
      </c>
      <c r="O10297" s="788">
        <v>41978</v>
      </c>
    </row>
    <row r="10298" spans="1:15" x14ac:dyDescent="0.25">
      <c r="A10298" s="786" t="s">
        <v>18386</v>
      </c>
      <c r="B10298" s="787">
        <v>4</v>
      </c>
      <c r="C10298" s="787" t="s">
        <v>10489</v>
      </c>
      <c r="D10298" s="787">
        <v>0</v>
      </c>
      <c r="E10298" s="787">
        <v>0</v>
      </c>
      <c r="H10298" s="787">
        <v>1</v>
      </c>
      <c r="K10298" s="788">
        <v>41974</v>
      </c>
      <c r="L10298" s="787">
        <v>8</v>
      </c>
      <c r="M10298" s="787">
        <v>10</v>
      </c>
      <c r="N10298" s="787">
        <v>8.82</v>
      </c>
      <c r="O10298" s="788">
        <v>42074</v>
      </c>
    </row>
    <row r="10299" spans="1:15" x14ac:dyDescent="0.25">
      <c r="A10299" s="786" t="s">
        <v>18387</v>
      </c>
      <c r="B10299" s="787">
        <v>4</v>
      </c>
      <c r="C10299" s="787" t="s">
        <v>10491</v>
      </c>
      <c r="D10299" s="787">
        <v>0</v>
      </c>
      <c r="E10299" s="787">
        <v>0</v>
      </c>
      <c r="H10299" s="787">
        <v>1</v>
      </c>
      <c r="I10299" s="788">
        <v>41984</v>
      </c>
      <c r="K10299" s="788">
        <v>41974</v>
      </c>
      <c r="L10299" s="787">
        <v>9.2899999999999991</v>
      </c>
      <c r="M10299" s="787">
        <v>10</v>
      </c>
      <c r="N10299" s="787">
        <v>9.2899999999999991</v>
      </c>
      <c r="O10299" s="788">
        <v>41978</v>
      </c>
    </row>
    <row r="10300" spans="1:15" x14ac:dyDescent="0.25">
      <c r="A10300" s="786" t="s">
        <v>18388</v>
      </c>
      <c r="B10300" s="787">
        <v>4</v>
      </c>
      <c r="C10300" s="787" t="s">
        <v>10493</v>
      </c>
      <c r="D10300" s="787">
        <v>0</v>
      </c>
      <c r="E10300" s="787">
        <v>0</v>
      </c>
      <c r="H10300" s="787">
        <v>1</v>
      </c>
      <c r="I10300" s="788">
        <v>41984</v>
      </c>
      <c r="K10300" s="788">
        <v>41974</v>
      </c>
      <c r="L10300" s="787">
        <v>8.82</v>
      </c>
      <c r="M10300" s="787">
        <v>10</v>
      </c>
      <c r="N10300" s="787">
        <v>8.82</v>
      </c>
      <c r="O10300" s="788">
        <v>42074</v>
      </c>
    </row>
    <row r="10301" spans="1:15" x14ac:dyDescent="0.25">
      <c r="A10301" s="786" t="s">
        <v>18389</v>
      </c>
      <c r="B10301" s="787">
        <v>4</v>
      </c>
      <c r="C10301" s="787" t="s">
        <v>8892</v>
      </c>
      <c r="D10301" s="787">
        <v>0</v>
      </c>
      <c r="E10301" s="787">
        <v>0</v>
      </c>
      <c r="H10301" s="787">
        <v>1</v>
      </c>
      <c r="I10301" s="788">
        <v>41984</v>
      </c>
      <c r="J10301" s="788">
        <v>41986</v>
      </c>
      <c r="K10301" s="788">
        <v>41974</v>
      </c>
      <c r="L10301" s="787">
        <v>13.02</v>
      </c>
      <c r="M10301" s="787">
        <v>10</v>
      </c>
      <c r="N10301" s="787">
        <v>13.02</v>
      </c>
      <c r="O10301" s="788">
        <v>41978</v>
      </c>
    </row>
    <row r="10302" spans="1:15" x14ac:dyDescent="0.25">
      <c r="A10302" s="786" t="s">
        <v>18390</v>
      </c>
      <c r="B10302" s="787">
        <v>4</v>
      </c>
      <c r="C10302" s="787" t="s">
        <v>8614</v>
      </c>
      <c r="D10302" s="787">
        <v>0</v>
      </c>
      <c r="E10302" s="787">
        <v>0</v>
      </c>
      <c r="H10302" s="787">
        <v>1</v>
      </c>
      <c r="L10302" s="787">
        <v>0.01</v>
      </c>
      <c r="M10302" s="787">
        <v>10</v>
      </c>
      <c r="N10302" s="787">
        <v>0</v>
      </c>
    </row>
    <row r="10303" spans="1:15" x14ac:dyDescent="0.25">
      <c r="A10303" s="786" t="s">
        <v>18391</v>
      </c>
      <c r="B10303" s="787">
        <v>4</v>
      </c>
      <c r="C10303" s="787" t="s">
        <v>10499</v>
      </c>
      <c r="D10303" s="787">
        <v>0</v>
      </c>
      <c r="E10303" s="787">
        <v>0</v>
      </c>
      <c r="H10303" s="787">
        <v>1</v>
      </c>
      <c r="I10303" s="788">
        <v>41984</v>
      </c>
      <c r="J10303" s="788">
        <v>41986</v>
      </c>
      <c r="K10303" s="788">
        <v>41974</v>
      </c>
      <c r="L10303" s="787">
        <v>17.91</v>
      </c>
      <c r="M10303" s="787">
        <v>10</v>
      </c>
      <c r="N10303" s="787">
        <v>17.91</v>
      </c>
      <c r="O10303" s="788">
        <v>42095</v>
      </c>
    </row>
    <row r="10304" spans="1:15" x14ac:dyDescent="0.25">
      <c r="A10304" s="786" t="s">
        <v>18392</v>
      </c>
      <c r="B10304" s="787">
        <v>4</v>
      </c>
      <c r="C10304" s="787" t="s">
        <v>8586</v>
      </c>
      <c r="D10304" s="787">
        <v>0</v>
      </c>
      <c r="E10304" s="787">
        <v>0</v>
      </c>
      <c r="H10304" s="787">
        <v>1</v>
      </c>
      <c r="L10304" s="787">
        <v>0.01</v>
      </c>
      <c r="M10304" s="787">
        <v>10</v>
      </c>
      <c r="N10304" s="787">
        <v>0</v>
      </c>
    </row>
    <row r="10305" spans="1:15" x14ac:dyDescent="0.25">
      <c r="A10305" s="786" t="s">
        <v>18393</v>
      </c>
      <c r="B10305" s="787">
        <v>4</v>
      </c>
      <c r="C10305" s="787" t="s">
        <v>18394</v>
      </c>
      <c r="D10305" s="787">
        <v>0</v>
      </c>
      <c r="E10305" s="787">
        <v>0</v>
      </c>
      <c r="H10305" s="787">
        <v>1</v>
      </c>
      <c r="I10305" s="788">
        <v>41810</v>
      </c>
      <c r="K10305" s="788">
        <v>42038</v>
      </c>
      <c r="L10305" s="787">
        <v>16.78</v>
      </c>
      <c r="M10305" s="787">
        <v>10</v>
      </c>
      <c r="N10305" s="787">
        <v>16.78</v>
      </c>
      <c r="O10305" s="788">
        <v>42095</v>
      </c>
    </row>
    <row r="10306" spans="1:15" x14ac:dyDescent="0.25">
      <c r="A10306" s="786" t="s">
        <v>18395</v>
      </c>
      <c r="B10306" s="787">
        <v>4</v>
      </c>
      <c r="C10306" s="787" t="s">
        <v>18396</v>
      </c>
      <c r="D10306" s="787">
        <v>0</v>
      </c>
      <c r="E10306" s="787">
        <v>0</v>
      </c>
      <c r="H10306" s="787">
        <v>1</v>
      </c>
      <c r="I10306" s="788">
        <v>41593</v>
      </c>
      <c r="K10306" s="788">
        <v>42038</v>
      </c>
      <c r="L10306" s="787">
        <v>16.78</v>
      </c>
      <c r="M10306" s="787">
        <v>10</v>
      </c>
      <c r="N10306" s="787">
        <v>16.78</v>
      </c>
      <c r="O10306" s="788">
        <v>42095</v>
      </c>
    </row>
    <row r="10307" spans="1:15" x14ac:dyDescent="0.25">
      <c r="A10307" s="786" t="s">
        <v>18397</v>
      </c>
      <c r="B10307" s="787">
        <v>4</v>
      </c>
      <c r="C10307" s="787" t="s">
        <v>18398</v>
      </c>
      <c r="D10307" s="787">
        <v>0</v>
      </c>
      <c r="E10307" s="787">
        <v>0</v>
      </c>
      <c r="H10307" s="787">
        <v>1</v>
      </c>
      <c r="I10307" s="788">
        <v>41593</v>
      </c>
      <c r="K10307" s="788">
        <v>42038</v>
      </c>
      <c r="L10307" s="787">
        <v>28.81</v>
      </c>
      <c r="M10307" s="787">
        <v>10</v>
      </c>
      <c r="N10307" s="787">
        <v>28.81</v>
      </c>
      <c r="O10307" s="788">
        <v>42095</v>
      </c>
    </row>
    <row r="10308" spans="1:15" x14ac:dyDescent="0.25">
      <c r="A10308" s="786" t="s">
        <v>18399</v>
      </c>
      <c r="B10308" s="787">
        <v>4</v>
      </c>
      <c r="C10308" s="787" t="s">
        <v>18400</v>
      </c>
      <c r="D10308" s="787">
        <v>0</v>
      </c>
      <c r="E10308" s="787">
        <v>0</v>
      </c>
      <c r="H10308" s="787">
        <v>1</v>
      </c>
      <c r="I10308" s="788">
        <v>41810</v>
      </c>
      <c r="K10308" s="788">
        <v>42038</v>
      </c>
      <c r="L10308" s="787">
        <v>28.81</v>
      </c>
      <c r="M10308" s="787">
        <v>10</v>
      </c>
      <c r="N10308" s="787">
        <v>28.81</v>
      </c>
      <c r="O10308" s="788">
        <v>42095</v>
      </c>
    </row>
    <row r="10309" spans="1:15" x14ac:dyDescent="0.25">
      <c r="A10309" s="786" t="s">
        <v>18401</v>
      </c>
      <c r="B10309" s="787">
        <v>4</v>
      </c>
      <c r="C10309" s="787" t="s">
        <v>18402</v>
      </c>
      <c r="D10309" s="787">
        <v>0</v>
      </c>
      <c r="E10309" s="787">
        <v>0</v>
      </c>
      <c r="H10309" s="787">
        <v>1</v>
      </c>
      <c r="I10309" s="788">
        <v>41540</v>
      </c>
      <c r="L10309" s="787">
        <v>0</v>
      </c>
      <c r="M10309" s="787">
        <v>10</v>
      </c>
      <c r="N10309" s="787">
        <v>23.02</v>
      </c>
      <c r="O10309" s="788">
        <v>41858</v>
      </c>
    </row>
    <row r="10310" spans="1:15" x14ac:dyDescent="0.25">
      <c r="A10310" s="786" t="s">
        <v>18403</v>
      </c>
      <c r="B10310" s="787">
        <v>4</v>
      </c>
      <c r="C10310" s="787" t="s">
        <v>18404</v>
      </c>
      <c r="D10310" s="787">
        <v>0</v>
      </c>
      <c r="E10310" s="787">
        <v>0</v>
      </c>
      <c r="H10310" s="787">
        <v>1</v>
      </c>
      <c r="L10310" s="787">
        <v>0</v>
      </c>
      <c r="M10310" s="787">
        <v>10</v>
      </c>
      <c r="N10310" s="787">
        <v>23.02</v>
      </c>
      <c r="O10310" s="788">
        <v>41858</v>
      </c>
    </row>
    <row r="10311" spans="1:15" x14ac:dyDescent="0.25">
      <c r="A10311" s="786" t="s">
        <v>18405</v>
      </c>
      <c r="B10311" s="787">
        <v>4</v>
      </c>
      <c r="C10311" s="787" t="s">
        <v>10600</v>
      </c>
      <c r="D10311" s="787">
        <v>9.7200000000000006</v>
      </c>
      <c r="E10311" s="787">
        <v>11.63</v>
      </c>
      <c r="F10311" s="788">
        <v>40792</v>
      </c>
      <c r="G10311" s="788">
        <v>41565</v>
      </c>
      <c r="H10311" s="787">
        <v>1</v>
      </c>
      <c r="J10311" s="788">
        <v>41162</v>
      </c>
      <c r="L10311" s="787">
        <v>0</v>
      </c>
      <c r="M10311" s="787">
        <v>10</v>
      </c>
      <c r="N10311" s="787">
        <v>3.35</v>
      </c>
      <c r="O10311" s="788">
        <v>42034</v>
      </c>
    </row>
    <row r="10312" spans="1:15" x14ac:dyDescent="0.25">
      <c r="A10312" s="786" t="s">
        <v>18406</v>
      </c>
      <c r="B10312" s="787">
        <v>4</v>
      </c>
      <c r="C10312" s="787" t="s">
        <v>18407</v>
      </c>
      <c r="D10312" s="787">
        <v>0</v>
      </c>
      <c r="E10312" s="787">
        <v>0</v>
      </c>
      <c r="H10312" s="787">
        <v>1</v>
      </c>
      <c r="I10312" s="788">
        <v>41984</v>
      </c>
      <c r="K10312" s="788">
        <v>41974</v>
      </c>
      <c r="L10312" s="787">
        <v>4.18</v>
      </c>
      <c r="M10312" s="787">
        <v>10</v>
      </c>
      <c r="N10312" s="787">
        <v>4.18</v>
      </c>
      <c r="O10312" s="788">
        <v>42053</v>
      </c>
    </row>
    <row r="10313" spans="1:15" x14ac:dyDescent="0.25">
      <c r="A10313" s="786" t="s">
        <v>18408</v>
      </c>
      <c r="B10313" s="787">
        <v>4</v>
      </c>
      <c r="C10313" s="787" t="s">
        <v>10645</v>
      </c>
      <c r="D10313" s="787">
        <v>0</v>
      </c>
      <c r="E10313" s="787">
        <v>0</v>
      </c>
      <c r="H10313" s="787">
        <v>1</v>
      </c>
      <c r="K10313" s="788">
        <v>41974</v>
      </c>
      <c r="L10313" s="787">
        <v>5.05</v>
      </c>
      <c r="M10313" s="787">
        <v>10</v>
      </c>
      <c r="N10313" s="787">
        <v>5.05</v>
      </c>
      <c r="O10313" s="788">
        <v>41978</v>
      </c>
    </row>
    <row r="10314" spans="1:15" x14ac:dyDescent="0.25">
      <c r="A10314" s="786" t="s">
        <v>18409</v>
      </c>
      <c r="B10314" s="787">
        <v>4</v>
      </c>
      <c r="C10314" s="787" t="s">
        <v>18410</v>
      </c>
      <c r="D10314" s="787">
        <v>0</v>
      </c>
      <c r="E10314" s="787">
        <v>0</v>
      </c>
      <c r="H10314" s="787">
        <v>1</v>
      </c>
      <c r="I10314" s="788">
        <v>41984</v>
      </c>
      <c r="J10314" s="788">
        <v>41986</v>
      </c>
      <c r="K10314" s="788">
        <v>41974</v>
      </c>
      <c r="L10314" s="787">
        <v>5.05</v>
      </c>
      <c r="M10314" s="787">
        <v>10</v>
      </c>
      <c r="N10314" s="787">
        <v>5.05</v>
      </c>
      <c r="O10314" s="788">
        <v>41978</v>
      </c>
    </row>
    <row r="10315" spans="1:15" x14ac:dyDescent="0.25">
      <c r="A10315" s="786" t="s">
        <v>18411</v>
      </c>
      <c r="B10315" s="787">
        <v>4</v>
      </c>
      <c r="C10315" s="787" t="s">
        <v>18412</v>
      </c>
      <c r="D10315" s="787">
        <v>2.0299999999999998</v>
      </c>
      <c r="E10315" s="787">
        <v>7.64</v>
      </c>
      <c r="F10315" s="788">
        <v>39456</v>
      </c>
      <c r="G10315" s="788">
        <v>41824</v>
      </c>
      <c r="H10315" s="787">
        <v>1</v>
      </c>
      <c r="I10315" s="788">
        <v>41974</v>
      </c>
      <c r="J10315" s="788">
        <v>41873</v>
      </c>
      <c r="L10315" s="787">
        <v>1.1599999999999999</v>
      </c>
      <c r="M10315" s="787">
        <v>10</v>
      </c>
      <c r="N10315" s="787">
        <v>9.82</v>
      </c>
      <c r="O10315" s="788">
        <v>42146</v>
      </c>
    </row>
    <row r="10316" spans="1:15" x14ac:dyDescent="0.25">
      <c r="A10316" s="786" t="s">
        <v>18413</v>
      </c>
      <c r="B10316" s="787">
        <v>4</v>
      </c>
      <c r="C10316" s="787" t="s">
        <v>18414</v>
      </c>
      <c r="D10316" s="787">
        <v>0</v>
      </c>
      <c r="E10316" s="787">
        <v>0</v>
      </c>
      <c r="G10316" s="788">
        <v>38736</v>
      </c>
      <c r="H10316" s="787">
        <v>6</v>
      </c>
      <c r="I10316" s="788">
        <v>40239</v>
      </c>
      <c r="J10316" s="788">
        <v>38183</v>
      </c>
      <c r="L10316" s="787">
        <v>6.81</v>
      </c>
      <c r="M10316" s="787">
        <v>10</v>
      </c>
      <c r="N10316" s="787">
        <v>11.74</v>
      </c>
      <c r="O10316" s="788">
        <v>41543</v>
      </c>
    </row>
    <row r="10317" spans="1:15" x14ac:dyDescent="0.25">
      <c r="A10317" s="786" t="s">
        <v>18415</v>
      </c>
      <c r="B10317" s="787">
        <v>4</v>
      </c>
      <c r="C10317" s="787" t="s">
        <v>18416</v>
      </c>
      <c r="D10317" s="787">
        <v>0</v>
      </c>
      <c r="E10317" s="787">
        <v>0</v>
      </c>
      <c r="H10317" s="787">
        <v>1</v>
      </c>
      <c r="L10317" s="787">
        <v>0.01</v>
      </c>
      <c r="M10317" s="787">
        <v>10</v>
      </c>
      <c r="N10317" s="787">
        <v>0</v>
      </c>
    </row>
    <row r="10318" spans="1:15" x14ac:dyDescent="0.25">
      <c r="A10318" s="786" t="s">
        <v>18417</v>
      </c>
      <c r="B10318" s="787">
        <v>4</v>
      </c>
      <c r="C10318" s="787" t="s">
        <v>8571</v>
      </c>
      <c r="D10318" s="787">
        <v>0</v>
      </c>
      <c r="E10318" s="787">
        <v>0</v>
      </c>
      <c r="H10318" s="787">
        <v>1</v>
      </c>
      <c r="L10318" s="787">
        <v>0</v>
      </c>
      <c r="M10318" s="787">
        <v>10</v>
      </c>
      <c r="N10318" s="787">
        <v>1.77</v>
      </c>
      <c r="O10318" s="788">
        <v>41858</v>
      </c>
    </row>
    <row r="10319" spans="1:15" x14ac:dyDescent="0.25">
      <c r="A10319" s="786" t="s">
        <v>18418</v>
      </c>
      <c r="B10319" s="787">
        <v>4</v>
      </c>
      <c r="C10319" s="787" t="s">
        <v>10854</v>
      </c>
      <c r="D10319" s="787">
        <v>2.78</v>
      </c>
      <c r="E10319" s="787">
        <v>2.78</v>
      </c>
      <c r="F10319" s="788">
        <v>41813</v>
      </c>
      <c r="G10319" s="788">
        <v>41943</v>
      </c>
      <c r="H10319" s="787">
        <v>1</v>
      </c>
      <c r="I10319" s="788">
        <v>42027</v>
      </c>
      <c r="J10319" s="788">
        <v>41682</v>
      </c>
      <c r="K10319" s="788">
        <v>41666</v>
      </c>
      <c r="L10319" s="787">
        <v>5.17</v>
      </c>
      <c r="M10319" s="787">
        <v>10</v>
      </c>
      <c r="N10319" s="787">
        <v>5.58</v>
      </c>
      <c r="O10319" s="788">
        <v>42124</v>
      </c>
    </row>
    <row r="10320" spans="1:15" x14ac:dyDescent="0.25">
      <c r="A10320" s="786" t="s">
        <v>18419</v>
      </c>
      <c r="B10320" s="787">
        <v>4</v>
      </c>
      <c r="C10320" s="787" t="s">
        <v>10884</v>
      </c>
      <c r="D10320" s="787">
        <v>0</v>
      </c>
      <c r="E10320" s="787">
        <v>0</v>
      </c>
      <c r="H10320" s="787">
        <v>1</v>
      </c>
      <c r="I10320" s="788">
        <v>41479</v>
      </c>
      <c r="L10320" s="787">
        <v>1</v>
      </c>
      <c r="M10320" s="787">
        <v>10</v>
      </c>
      <c r="N10320" s="787">
        <v>1.21</v>
      </c>
      <c r="O10320" s="788">
        <v>41858</v>
      </c>
    </row>
    <row r="10321" spans="1:15" x14ac:dyDescent="0.25">
      <c r="A10321" s="786" t="s">
        <v>18420</v>
      </c>
      <c r="B10321" s="787">
        <v>4</v>
      </c>
      <c r="C10321" s="787" t="s">
        <v>15536</v>
      </c>
      <c r="D10321" s="787">
        <v>0</v>
      </c>
      <c r="E10321" s="787">
        <v>0</v>
      </c>
      <c r="H10321" s="787">
        <v>1</v>
      </c>
      <c r="K10321" s="788">
        <v>42132</v>
      </c>
      <c r="L10321" s="787">
        <v>35.36</v>
      </c>
      <c r="M10321" s="787">
        <v>10</v>
      </c>
      <c r="N10321" s="787">
        <v>35.36</v>
      </c>
      <c r="O10321" s="788">
        <v>41858</v>
      </c>
    </row>
    <row r="10322" spans="1:15" x14ac:dyDescent="0.25">
      <c r="A10322" s="786" t="s">
        <v>18421</v>
      </c>
      <c r="B10322" s="787">
        <v>4</v>
      </c>
      <c r="C10322" s="787" t="s">
        <v>9477</v>
      </c>
      <c r="D10322" s="787">
        <v>0</v>
      </c>
      <c r="E10322" s="787">
        <v>0</v>
      </c>
      <c r="H10322" s="787">
        <v>1</v>
      </c>
      <c r="I10322" s="788">
        <v>41593</v>
      </c>
      <c r="L10322" s="787">
        <v>0</v>
      </c>
      <c r="M10322" s="787">
        <v>10</v>
      </c>
      <c r="N10322" s="787">
        <v>9.34</v>
      </c>
      <c r="O10322" s="788">
        <v>41858</v>
      </c>
    </row>
    <row r="10323" spans="1:15" x14ac:dyDescent="0.25">
      <c r="A10323" s="786" t="s">
        <v>18422</v>
      </c>
      <c r="B10323" s="787">
        <v>4</v>
      </c>
      <c r="C10323" s="787" t="s">
        <v>10360</v>
      </c>
      <c r="D10323" s="787">
        <v>0</v>
      </c>
      <c r="E10323" s="787">
        <v>0</v>
      </c>
      <c r="H10323" s="787">
        <v>1</v>
      </c>
      <c r="I10323" s="788">
        <v>41593</v>
      </c>
      <c r="L10323" s="787">
        <v>0</v>
      </c>
      <c r="M10323" s="787">
        <v>10</v>
      </c>
      <c r="N10323" s="787">
        <v>8.7799999999999994</v>
      </c>
      <c r="O10323" s="788">
        <v>41858</v>
      </c>
    </row>
    <row r="10324" spans="1:15" x14ac:dyDescent="0.25">
      <c r="A10324" s="786" t="s">
        <v>18423</v>
      </c>
      <c r="B10324" s="787">
        <v>4</v>
      </c>
      <c r="C10324" s="787" t="s">
        <v>10908</v>
      </c>
      <c r="D10324" s="787">
        <v>0</v>
      </c>
      <c r="E10324" s="787">
        <v>0</v>
      </c>
      <c r="H10324" s="787">
        <v>1</v>
      </c>
      <c r="L10324" s="787">
        <v>0</v>
      </c>
      <c r="M10324" s="787">
        <v>10</v>
      </c>
      <c r="N10324" s="787">
        <v>9.34</v>
      </c>
      <c r="O10324" s="788">
        <v>41858</v>
      </c>
    </row>
    <row r="10325" spans="1:15" x14ac:dyDescent="0.25">
      <c r="A10325" s="786" t="s">
        <v>18424</v>
      </c>
      <c r="B10325" s="787">
        <v>4</v>
      </c>
      <c r="C10325" s="787" t="s">
        <v>9483</v>
      </c>
      <c r="D10325" s="787">
        <v>0</v>
      </c>
      <c r="E10325" s="787">
        <v>0</v>
      </c>
      <c r="H10325" s="787">
        <v>1</v>
      </c>
      <c r="L10325" s="787">
        <v>0</v>
      </c>
      <c r="M10325" s="787">
        <v>10</v>
      </c>
      <c r="N10325" s="787">
        <v>8.7799999999999994</v>
      </c>
      <c r="O10325" s="788">
        <v>41858</v>
      </c>
    </row>
    <row r="10326" spans="1:15" x14ac:dyDescent="0.25">
      <c r="A10326" s="786" t="s">
        <v>18425</v>
      </c>
      <c r="B10326" s="787">
        <v>4</v>
      </c>
      <c r="C10326" s="787" t="s">
        <v>18426</v>
      </c>
      <c r="D10326" s="787">
        <v>1.75</v>
      </c>
      <c r="E10326" s="787">
        <v>1.75</v>
      </c>
      <c r="F10326" s="788">
        <v>39101</v>
      </c>
      <c r="G10326" s="788">
        <v>41943</v>
      </c>
      <c r="H10326" s="787">
        <v>1</v>
      </c>
      <c r="I10326" s="788">
        <v>42110</v>
      </c>
      <c r="J10326" s="788">
        <v>42045</v>
      </c>
      <c r="L10326" s="787">
        <v>1.85</v>
      </c>
      <c r="M10326" s="787">
        <v>10</v>
      </c>
      <c r="N10326" s="787">
        <v>1.4</v>
      </c>
      <c r="O10326" s="788">
        <v>41870</v>
      </c>
    </row>
    <row r="10327" spans="1:15" x14ac:dyDescent="0.25">
      <c r="A10327" s="786" t="s">
        <v>18427</v>
      </c>
      <c r="B10327" s="787">
        <v>4</v>
      </c>
      <c r="C10327" s="787" t="s">
        <v>10941</v>
      </c>
      <c r="D10327" s="787">
        <v>1.18</v>
      </c>
      <c r="E10327" s="787">
        <v>1.18</v>
      </c>
      <c r="F10327" s="788">
        <v>39101</v>
      </c>
      <c r="G10327" s="788">
        <v>41943</v>
      </c>
      <c r="H10327" s="787">
        <v>1</v>
      </c>
      <c r="I10327" s="788">
        <v>42052</v>
      </c>
      <c r="J10327" s="788">
        <v>40101</v>
      </c>
      <c r="K10327" s="788">
        <v>41858</v>
      </c>
      <c r="L10327" s="787">
        <v>1.37</v>
      </c>
      <c r="M10327" s="787">
        <v>10</v>
      </c>
      <c r="N10327" s="787">
        <v>1.37</v>
      </c>
      <c r="O10327" s="788">
        <v>41858</v>
      </c>
    </row>
    <row r="10328" spans="1:15" x14ac:dyDescent="0.25">
      <c r="A10328" s="786" t="s">
        <v>18428</v>
      </c>
      <c r="B10328" s="787">
        <v>4</v>
      </c>
      <c r="C10328" s="787" t="s">
        <v>10961</v>
      </c>
      <c r="D10328" s="787">
        <v>0</v>
      </c>
      <c r="E10328" s="787">
        <v>0</v>
      </c>
      <c r="H10328" s="787">
        <v>1</v>
      </c>
      <c r="L10328" s="787">
        <v>0</v>
      </c>
      <c r="M10328" s="787">
        <v>10</v>
      </c>
      <c r="N10328" s="787">
        <v>2.1</v>
      </c>
      <c r="O10328" s="788">
        <v>41858</v>
      </c>
    </row>
    <row r="10329" spans="1:15" x14ac:dyDescent="0.25">
      <c r="A10329" s="786" t="s">
        <v>18429</v>
      </c>
      <c r="B10329" s="787">
        <v>4</v>
      </c>
      <c r="C10329" s="787" t="s">
        <v>18430</v>
      </c>
      <c r="D10329" s="787">
        <v>0</v>
      </c>
      <c r="E10329" s="787">
        <v>0</v>
      </c>
      <c r="H10329" s="787">
        <v>1</v>
      </c>
      <c r="K10329" s="788">
        <v>41954</v>
      </c>
      <c r="L10329" s="787">
        <v>3.64</v>
      </c>
      <c r="M10329" s="787">
        <v>10</v>
      </c>
      <c r="N10329" s="787">
        <v>3.64</v>
      </c>
      <c r="O10329" s="788">
        <v>41858</v>
      </c>
    </row>
    <row r="10330" spans="1:15" x14ac:dyDescent="0.25">
      <c r="A10330" s="786" t="s">
        <v>18431</v>
      </c>
      <c r="B10330" s="787">
        <v>4</v>
      </c>
      <c r="C10330" s="787" t="s">
        <v>10981</v>
      </c>
      <c r="D10330" s="787">
        <v>0</v>
      </c>
      <c r="E10330" s="787">
        <v>0</v>
      </c>
      <c r="H10330" s="787">
        <v>1</v>
      </c>
      <c r="L10330" s="787">
        <v>0</v>
      </c>
      <c r="M10330" s="787">
        <v>10</v>
      </c>
      <c r="N10330" s="787">
        <v>22.8</v>
      </c>
      <c r="O10330" s="788">
        <v>41858</v>
      </c>
    </row>
    <row r="10331" spans="1:15" x14ac:dyDescent="0.25">
      <c r="A10331" s="786" t="s">
        <v>18432</v>
      </c>
      <c r="B10331" s="787">
        <v>4</v>
      </c>
      <c r="C10331" s="787" t="s">
        <v>10983</v>
      </c>
      <c r="D10331" s="787">
        <v>0</v>
      </c>
      <c r="E10331" s="787">
        <v>0</v>
      </c>
      <c r="H10331" s="787">
        <v>1</v>
      </c>
      <c r="L10331" s="787">
        <v>0</v>
      </c>
      <c r="M10331" s="787">
        <v>10</v>
      </c>
      <c r="N10331" s="787">
        <v>2.5499999999999998</v>
      </c>
      <c r="O10331" s="788">
        <v>41858</v>
      </c>
    </row>
    <row r="10332" spans="1:15" x14ac:dyDescent="0.25">
      <c r="A10332" s="786" t="s">
        <v>18433</v>
      </c>
      <c r="B10332" s="787">
        <v>4</v>
      </c>
      <c r="C10332" s="787" t="s">
        <v>18434</v>
      </c>
      <c r="D10332" s="787">
        <v>0</v>
      </c>
      <c r="E10332" s="787">
        <v>0</v>
      </c>
      <c r="H10332" s="787">
        <v>1</v>
      </c>
      <c r="L10332" s="787">
        <v>0</v>
      </c>
      <c r="M10332" s="787">
        <v>10</v>
      </c>
      <c r="N10332" s="787">
        <v>10.85</v>
      </c>
      <c r="O10332" s="788">
        <v>41858</v>
      </c>
    </row>
    <row r="10333" spans="1:15" x14ac:dyDescent="0.25">
      <c r="A10333" s="786" t="s">
        <v>18435</v>
      </c>
      <c r="B10333" s="787">
        <v>4</v>
      </c>
      <c r="C10333" s="787" t="s">
        <v>18436</v>
      </c>
      <c r="D10333" s="787">
        <v>0.36</v>
      </c>
      <c r="E10333" s="787">
        <v>0.36</v>
      </c>
      <c r="F10333" s="788">
        <v>39974</v>
      </c>
      <c r="G10333" s="788">
        <v>41255</v>
      </c>
      <c r="H10333" s="787">
        <v>1</v>
      </c>
      <c r="I10333" s="788">
        <v>39170</v>
      </c>
      <c r="J10333" s="788">
        <v>39457</v>
      </c>
      <c r="L10333" s="787">
        <v>0</v>
      </c>
      <c r="M10333" s="787">
        <v>10</v>
      </c>
      <c r="N10333" s="787">
        <v>0.2</v>
      </c>
      <c r="O10333" s="788">
        <v>41858</v>
      </c>
    </row>
    <row r="10334" spans="1:15" x14ac:dyDescent="0.25">
      <c r="A10334" s="786" t="s">
        <v>18437</v>
      </c>
      <c r="B10334" s="787">
        <v>4</v>
      </c>
      <c r="C10334" s="787" t="s">
        <v>18438</v>
      </c>
      <c r="D10334" s="787">
        <v>2.93</v>
      </c>
      <c r="E10334" s="787">
        <v>2.93</v>
      </c>
      <c r="F10334" s="788">
        <v>39456</v>
      </c>
      <c r="G10334" s="788">
        <v>40553</v>
      </c>
      <c r="H10334" s="787">
        <v>1</v>
      </c>
      <c r="I10334" s="788">
        <v>39132</v>
      </c>
      <c r="J10334" s="788">
        <v>40054</v>
      </c>
      <c r="L10334" s="787">
        <v>0</v>
      </c>
      <c r="M10334" s="787">
        <v>10</v>
      </c>
      <c r="N10334" s="787">
        <v>3.45</v>
      </c>
      <c r="O10334" s="788">
        <v>41858</v>
      </c>
    </row>
    <row r="10335" spans="1:15" x14ac:dyDescent="0.25">
      <c r="A10335" s="786" t="s">
        <v>18439</v>
      </c>
      <c r="B10335" s="787">
        <v>4</v>
      </c>
      <c r="C10335" s="787" t="s">
        <v>15572</v>
      </c>
      <c r="D10335" s="787">
        <v>0</v>
      </c>
      <c r="E10335" s="787">
        <v>0</v>
      </c>
      <c r="H10335" s="787">
        <v>1</v>
      </c>
      <c r="L10335" s="787">
        <v>0</v>
      </c>
      <c r="M10335" s="787">
        <v>10</v>
      </c>
      <c r="N10335" s="787">
        <v>43.68</v>
      </c>
      <c r="O10335" s="788">
        <v>41858</v>
      </c>
    </row>
    <row r="10336" spans="1:15" x14ac:dyDescent="0.25">
      <c r="A10336" s="786" t="s">
        <v>18440</v>
      </c>
      <c r="B10336" s="787">
        <v>4</v>
      </c>
      <c r="C10336" s="787" t="s">
        <v>15563</v>
      </c>
      <c r="D10336" s="787">
        <v>0</v>
      </c>
      <c r="E10336" s="787">
        <v>0</v>
      </c>
      <c r="H10336" s="787">
        <v>1</v>
      </c>
      <c r="K10336" s="788">
        <v>42134</v>
      </c>
      <c r="L10336" s="787">
        <v>32.39</v>
      </c>
      <c r="M10336" s="787">
        <v>10</v>
      </c>
      <c r="N10336" s="787">
        <v>32.39</v>
      </c>
      <c r="O10336" s="788">
        <v>41858</v>
      </c>
    </row>
    <row r="10337" spans="1:15" x14ac:dyDescent="0.25">
      <c r="A10337" s="786" t="s">
        <v>18441</v>
      </c>
      <c r="B10337" s="787">
        <v>4</v>
      </c>
      <c r="C10337" s="787" t="s">
        <v>11056</v>
      </c>
      <c r="D10337" s="787">
        <v>0</v>
      </c>
      <c r="E10337" s="787">
        <v>0</v>
      </c>
      <c r="H10337" s="787">
        <v>1</v>
      </c>
      <c r="I10337" s="788">
        <v>41540</v>
      </c>
      <c r="L10337" s="787">
        <v>0</v>
      </c>
      <c r="M10337" s="787">
        <v>10</v>
      </c>
      <c r="N10337" s="787">
        <v>9.74</v>
      </c>
      <c r="O10337" s="788">
        <v>41858</v>
      </c>
    </row>
    <row r="10338" spans="1:15" x14ac:dyDescent="0.25">
      <c r="A10338" s="786" t="s">
        <v>18442</v>
      </c>
      <c r="B10338" s="787">
        <v>4</v>
      </c>
      <c r="C10338" s="787" t="s">
        <v>11058</v>
      </c>
      <c r="D10338" s="787">
        <v>0</v>
      </c>
      <c r="E10338" s="787">
        <v>0</v>
      </c>
      <c r="H10338" s="787">
        <v>1</v>
      </c>
      <c r="I10338" s="788">
        <v>41540</v>
      </c>
      <c r="L10338" s="787">
        <v>0</v>
      </c>
      <c r="M10338" s="787">
        <v>10</v>
      </c>
      <c r="N10338" s="787">
        <v>8.94</v>
      </c>
      <c r="O10338" s="788">
        <v>41858</v>
      </c>
    </row>
    <row r="10339" spans="1:15" x14ac:dyDescent="0.25">
      <c r="A10339" s="786" t="s">
        <v>18443</v>
      </c>
      <c r="B10339" s="787">
        <v>4</v>
      </c>
      <c r="C10339" s="787" t="s">
        <v>11060</v>
      </c>
      <c r="D10339" s="787">
        <v>0</v>
      </c>
      <c r="E10339" s="787">
        <v>0</v>
      </c>
      <c r="H10339" s="787">
        <v>1</v>
      </c>
      <c r="I10339" s="788">
        <v>41264</v>
      </c>
      <c r="L10339" s="787">
        <v>0</v>
      </c>
      <c r="M10339" s="787">
        <v>10</v>
      </c>
      <c r="N10339" s="787">
        <v>9.74</v>
      </c>
      <c r="O10339" s="788">
        <v>41858</v>
      </c>
    </row>
    <row r="10340" spans="1:15" x14ac:dyDescent="0.25">
      <c r="A10340" s="786" t="s">
        <v>18444</v>
      </c>
      <c r="B10340" s="787">
        <v>4</v>
      </c>
      <c r="C10340" s="787" t="s">
        <v>11062</v>
      </c>
      <c r="D10340" s="787">
        <v>0</v>
      </c>
      <c r="E10340" s="787">
        <v>0</v>
      </c>
      <c r="H10340" s="787">
        <v>1</v>
      </c>
      <c r="I10340" s="788">
        <v>41264</v>
      </c>
      <c r="L10340" s="787">
        <v>0</v>
      </c>
      <c r="M10340" s="787">
        <v>10</v>
      </c>
      <c r="N10340" s="787">
        <v>8.94</v>
      </c>
      <c r="O10340" s="788">
        <v>41858</v>
      </c>
    </row>
    <row r="10341" spans="1:15" x14ac:dyDescent="0.25">
      <c r="A10341" s="786" t="s">
        <v>18445</v>
      </c>
      <c r="B10341" s="787">
        <v>4</v>
      </c>
      <c r="C10341" s="787" t="s">
        <v>18446</v>
      </c>
      <c r="D10341" s="787">
        <v>3.89</v>
      </c>
      <c r="E10341" s="787">
        <v>33.89</v>
      </c>
      <c r="F10341" s="788">
        <v>41519</v>
      </c>
      <c r="G10341" s="788">
        <v>41540</v>
      </c>
      <c r="H10341" s="787">
        <v>1</v>
      </c>
      <c r="I10341" s="788">
        <v>41540</v>
      </c>
      <c r="J10341" s="788">
        <v>41509</v>
      </c>
      <c r="K10341" s="788">
        <v>41541</v>
      </c>
      <c r="L10341" s="787">
        <v>29.85</v>
      </c>
      <c r="M10341" s="787">
        <v>20</v>
      </c>
      <c r="N10341" s="787">
        <v>32.090000000000003</v>
      </c>
      <c r="O10341" s="788">
        <v>41858</v>
      </c>
    </row>
    <row r="10342" spans="1:15" x14ac:dyDescent="0.25">
      <c r="A10342" s="786" t="s">
        <v>18447</v>
      </c>
      <c r="B10342" s="787">
        <v>4</v>
      </c>
      <c r="C10342" s="787" t="s">
        <v>11182</v>
      </c>
      <c r="D10342" s="787">
        <v>0</v>
      </c>
      <c r="E10342" s="787">
        <v>0</v>
      </c>
      <c r="H10342" s="787">
        <v>1</v>
      </c>
      <c r="L10342" s="787">
        <v>0</v>
      </c>
      <c r="M10342" s="787">
        <v>10</v>
      </c>
      <c r="N10342" s="787">
        <v>22.38</v>
      </c>
      <c r="O10342" s="788">
        <v>41858</v>
      </c>
    </row>
    <row r="10343" spans="1:15" x14ac:dyDescent="0.25">
      <c r="A10343" s="786" t="s">
        <v>18448</v>
      </c>
      <c r="B10343" s="787">
        <v>4</v>
      </c>
      <c r="C10343" s="787" t="s">
        <v>18449</v>
      </c>
      <c r="D10343" s="787">
        <v>0</v>
      </c>
      <c r="E10343" s="787">
        <v>0</v>
      </c>
      <c r="H10343" s="787">
        <v>1</v>
      </c>
      <c r="I10343" s="788">
        <v>42016</v>
      </c>
      <c r="L10343" s="787">
        <v>1</v>
      </c>
      <c r="M10343" s="787">
        <v>10</v>
      </c>
      <c r="N10343" s="787">
        <v>0.96</v>
      </c>
      <c r="O10343" s="788">
        <v>41858</v>
      </c>
    </row>
    <row r="10344" spans="1:15" x14ac:dyDescent="0.25">
      <c r="A10344" s="786" t="s">
        <v>18450</v>
      </c>
      <c r="B10344" s="787">
        <v>4</v>
      </c>
      <c r="C10344" s="787" t="s">
        <v>11355</v>
      </c>
      <c r="D10344" s="787">
        <v>0</v>
      </c>
      <c r="E10344" s="787">
        <v>0</v>
      </c>
      <c r="G10344" s="788">
        <v>41795</v>
      </c>
      <c r="H10344" s="787">
        <v>1</v>
      </c>
      <c r="I10344" s="788">
        <v>41792</v>
      </c>
      <c r="J10344" s="788">
        <v>41795</v>
      </c>
      <c r="L10344" s="787">
        <v>0.01</v>
      </c>
      <c r="M10344" s="787">
        <v>10</v>
      </c>
      <c r="N10344" s="787">
        <v>0</v>
      </c>
    </row>
    <row r="10345" spans="1:15" x14ac:dyDescent="0.25">
      <c r="A10345" s="786" t="s">
        <v>18451</v>
      </c>
      <c r="B10345" s="787">
        <v>4</v>
      </c>
      <c r="C10345" s="787" t="s">
        <v>11357</v>
      </c>
      <c r="D10345" s="787">
        <v>0</v>
      </c>
      <c r="E10345" s="787">
        <v>0</v>
      </c>
      <c r="G10345" s="788">
        <v>41795</v>
      </c>
      <c r="H10345" s="787">
        <v>1</v>
      </c>
      <c r="I10345" s="788">
        <v>41792</v>
      </c>
      <c r="J10345" s="788">
        <v>41795</v>
      </c>
      <c r="L10345" s="787">
        <v>0.01</v>
      </c>
      <c r="M10345" s="787">
        <v>10</v>
      </c>
      <c r="N10345" s="787">
        <v>0</v>
      </c>
    </row>
    <row r="10346" spans="1:15" x14ac:dyDescent="0.25">
      <c r="A10346" s="786" t="s">
        <v>18452</v>
      </c>
      <c r="B10346" s="787">
        <v>4</v>
      </c>
      <c r="C10346" s="787" t="s">
        <v>11359</v>
      </c>
      <c r="D10346" s="787">
        <v>0</v>
      </c>
      <c r="E10346" s="787">
        <v>0</v>
      </c>
      <c r="G10346" s="788">
        <v>41795</v>
      </c>
      <c r="H10346" s="787">
        <v>1</v>
      </c>
      <c r="I10346" s="788">
        <v>41792</v>
      </c>
      <c r="J10346" s="788">
        <v>41795</v>
      </c>
      <c r="L10346" s="787">
        <v>0.01</v>
      </c>
      <c r="M10346" s="787">
        <v>10</v>
      </c>
      <c r="N10346" s="787">
        <v>0</v>
      </c>
    </row>
    <row r="10347" spans="1:15" x14ac:dyDescent="0.25">
      <c r="A10347" s="786" t="s">
        <v>18453</v>
      </c>
      <c r="B10347" s="787">
        <v>4</v>
      </c>
      <c r="C10347" s="787" t="s">
        <v>11361</v>
      </c>
      <c r="D10347" s="787">
        <v>0</v>
      </c>
      <c r="E10347" s="787">
        <v>0</v>
      </c>
      <c r="G10347" s="788">
        <v>41795</v>
      </c>
      <c r="H10347" s="787">
        <v>1</v>
      </c>
      <c r="I10347" s="788">
        <v>41792</v>
      </c>
      <c r="J10347" s="788">
        <v>41795</v>
      </c>
      <c r="L10347" s="787">
        <v>0.01</v>
      </c>
      <c r="M10347" s="787">
        <v>10</v>
      </c>
      <c r="N10347" s="787">
        <v>0</v>
      </c>
    </row>
    <row r="10348" spans="1:15" x14ac:dyDescent="0.25">
      <c r="A10348" s="786" t="s">
        <v>18454</v>
      </c>
      <c r="B10348" s="787">
        <v>4</v>
      </c>
      <c r="C10348" s="787" t="s">
        <v>11363</v>
      </c>
      <c r="D10348" s="787">
        <v>0</v>
      </c>
      <c r="E10348" s="787">
        <v>0</v>
      </c>
      <c r="H10348" s="787">
        <v>1</v>
      </c>
      <c r="L10348" s="787">
        <v>0.01</v>
      </c>
      <c r="M10348" s="787">
        <v>10</v>
      </c>
      <c r="N10348" s="787">
        <v>0</v>
      </c>
    </row>
    <row r="10349" spans="1:15" x14ac:dyDescent="0.25">
      <c r="A10349" s="786" t="s">
        <v>18455</v>
      </c>
      <c r="B10349" s="787">
        <v>4</v>
      </c>
      <c r="C10349" s="787" t="s">
        <v>11365</v>
      </c>
      <c r="D10349" s="787">
        <v>0</v>
      </c>
      <c r="E10349" s="787">
        <v>0</v>
      </c>
      <c r="H10349" s="787">
        <v>1</v>
      </c>
      <c r="L10349" s="787">
        <v>0.01</v>
      </c>
      <c r="M10349" s="787">
        <v>10</v>
      </c>
      <c r="N10349" s="787">
        <v>0</v>
      </c>
    </row>
    <row r="10350" spans="1:15" x14ac:dyDescent="0.25">
      <c r="A10350" s="786" t="s">
        <v>18456</v>
      </c>
      <c r="B10350" s="787">
        <v>4</v>
      </c>
      <c r="C10350" s="787" t="s">
        <v>11363</v>
      </c>
      <c r="D10350" s="787">
        <v>0</v>
      </c>
      <c r="E10350" s="787">
        <v>0</v>
      </c>
      <c r="G10350" s="788">
        <v>41795</v>
      </c>
      <c r="H10350" s="787">
        <v>1</v>
      </c>
      <c r="I10350" s="788">
        <v>41792</v>
      </c>
      <c r="J10350" s="788">
        <v>41795</v>
      </c>
      <c r="L10350" s="787">
        <v>0.01</v>
      </c>
      <c r="M10350" s="787">
        <v>10</v>
      </c>
      <c r="N10350" s="787">
        <v>0</v>
      </c>
    </row>
    <row r="10351" spans="1:15" x14ac:dyDescent="0.25">
      <c r="A10351" s="786" t="s">
        <v>18457</v>
      </c>
      <c r="B10351" s="787">
        <v>4</v>
      </c>
      <c r="C10351" s="787" t="s">
        <v>11365</v>
      </c>
      <c r="D10351" s="787">
        <v>0</v>
      </c>
      <c r="E10351" s="787">
        <v>0</v>
      </c>
      <c r="G10351" s="788">
        <v>41795</v>
      </c>
      <c r="H10351" s="787">
        <v>1</v>
      </c>
      <c r="I10351" s="788">
        <v>41792</v>
      </c>
      <c r="J10351" s="788">
        <v>41795</v>
      </c>
      <c r="L10351" s="787">
        <v>0.01</v>
      </c>
      <c r="M10351" s="787">
        <v>10</v>
      </c>
      <c r="N10351" s="787">
        <v>0</v>
      </c>
    </row>
    <row r="10352" spans="1:15" x14ac:dyDescent="0.25">
      <c r="A10352" s="786" t="s">
        <v>18458</v>
      </c>
      <c r="B10352" s="787">
        <v>4</v>
      </c>
      <c r="C10352" s="787" t="s">
        <v>11363</v>
      </c>
      <c r="D10352" s="787">
        <v>0</v>
      </c>
      <c r="E10352" s="787">
        <v>0</v>
      </c>
      <c r="H10352" s="787">
        <v>1</v>
      </c>
      <c r="L10352" s="787">
        <v>0.01</v>
      </c>
      <c r="M10352" s="787">
        <v>10</v>
      </c>
      <c r="N10352" s="787">
        <v>0</v>
      </c>
    </row>
    <row r="10353" spans="1:15" x14ac:dyDescent="0.25">
      <c r="A10353" s="786" t="s">
        <v>18459</v>
      </c>
      <c r="B10353" s="787">
        <v>4</v>
      </c>
      <c r="C10353" s="787" t="s">
        <v>11365</v>
      </c>
      <c r="D10353" s="787">
        <v>0</v>
      </c>
      <c r="E10353" s="787">
        <v>0</v>
      </c>
      <c r="H10353" s="787">
        <v>1</v>
      </c>
      <c r="L10353" s="787">
        <v>0.01</v>
      </c>
      <c r="M10353" s="787">
        <v>10</v>
      </c>
      <c r="N10353" s="787">
        <v>0</v>
      </c>
    </row>
    <row r="10354" spans="1:15" x14ac:dyDescent="0.25">
      <c r="A10354" s="786" t="s">
        <v>18460</v>
      </c>
      <c r="B10354" s="787">
        <v>4</v>
      </c>
      <c r="C10354" s="787" t="s">
        <v>11363</v>
      </c>
      <c r="D10354" s="787">
        <v>0</v>
      </c>
      <c r="E10354" s="787">
        <v>0</v>
      </c>
      <c r="G10354" s="788">
        <v>42017</v>
      </c>
      <c r="H10354" s="787">
        <v>1</v>
      </c>
      <c r="L10354" s="787">
        <v>0.01</v>
      </c>
      <c r="M10354" s="787">
        <v>10</v>
      </c>
      <c r="N10354" s="787">
        <v>0</v>
      </c>
    </row>
    <row r="10355" spans="1:15" x14ac:dyDescent="0.25">
      <c r="A10355" s="786" t="s">
        <v>18461</v>
      </c>
      <c r="B10355" s="787">
        <v>4</v>
      </c>
      <c r="C10355" s="787" t="s">
        <v>11365</v>
      </c>
      <c r="D10355" s="787">
        <v>0</v>
      </c>
      <c r="E10355" s="787">
        <v>0</v>
      </c>
      <c r="G10355" s="788">
        <v>42017</v>
      </c>
      <c r="H10355" s="787">
        <v>1</v>
      </c>
      <c r="L10355" s="787">
        <v>0.01</v>
      </c>
      <c r="M10355" s="787">
        <v>10</v>
      </c>
      <c r="N10355" s="787">
        <v>0</v>
      </c>
    </row>
    <row r="10356" spans="1:15" x14ac:dyDescent="0.25">
      <c r="A10356" s="786" t="s">
        <v>18462</v>
      </c>
      <c r="B10356" s="787">
        <v>4</v>
      </c>
      <c r="C10356" s="787" t="s">
        <v>18463</v>
      </c>
      <c r="D10356" s="787">
        <v>0</v>
      </c>
      <c r="E10356" s="787">
        <v>0</v>
      </c>
      <c r="H10356" s="787">
        <v>1</v>
      </c>
      <c r="L10356" s="787">
        <v>0</v>
      </c>
      <c r="M10356" s="787">
        <v>10</v>
      </c>
      <c r="N10356" s="787">
        <v>29.55</v>
      </c>
      <c r="O10356" s="788">
        <v>41858</v>
      </c>
    </row>
    <row r="10357" spans="1:15" x14ac:dyDescent="0.25">
      <c r="A10357" s="786" t="s">
        <v>18464</v>
      </c>
      <c r="B10357" s="787">
        <v>4</v>
      </c>
      <c r="C10357" s="787" t="s">
        <v>11377</v>
      </c>
      <c r="D10357" s="787">
        <v>0</v>
      </c>
      <c r="E10357" s="787">
        <v>0</v>
      </c>
      <c r="H10357" s="787">
        <v>1</v>
      </c>
      <c r="L10357" s="787">
        <v>0.01</v>
      </c>
      <c r="M10357" s="787">
        <v>10</v>
      </c>
      <c r="N10357" s="787">
        <v>0</v>
      </c>
    </row>
    <row r="10358" spans="1:15" x14ac:dyDescent="0.25">
      <c r="A10358" s="786" t="s">
        <v>18465</v>
      </c>
      <c r="B10358" s="787">
        <v>4</v>
      </c>
      <c r="C10358" s="787" t="s">
        <v>11379</v>
      </c>
      <c r="D10358" s="787">
        <v>0</v>
      </c>
      <c r="E10358" s="787">
        <v>0</v>
      </c>
      <c r="H10358" s="787">
        <v>1</v>
      </c>
      <c r="L10358" s="787">
        <v>0.01</v>
      </c>
      <c r="M10358" s="787">
        <v>10</v>
      </c>
      <c r="N10358" s="787">
        <v>0</v>
      </c>
    </row>
    <row r="10359" spans="1:15" x14ac:dyDescent="0.25">
      <c r="A10359" s="786" t="s">
        <v>18466</v>
      </c>
      <c r="B10359" s="787">
        <v>4</v>
      </c>
      <c r="C10359" s="787" t="s">
        <v>11405</v>
      </c>
      <c r="D10359" s="787">
        <v>0</v>
      </c>
      <c r="E10359" s="787">
        <v>0</v>
      </c>
      <c r="H10359" s="787">
        <v>1</v>
      </c>
      <c r="I10359" s="788">
        <v>42016</v>
      </c>
      <c r="L10359" s="787">
        <v>0</v>
      </c>
      <c r="M10359" s="787">
        <v>10</v>
      </c>
      <c r="N10359" s="787">
        <v>9.42</v>
      </c>
      <c r="O10359" s="788">
        <v>40443</v>
      </c>
    </row>
    <row r="10360" spans="1:15" x14ac:dyDescent="0.25">
      <c r="A10360" s="786" t="s">
        <v>18467</v>
      </c>
      <c r="B10360" s="787">
        <v>4</v>
      </c>
      <c r="C10360" s="787" t="s">
        <v>18468</v>
      </c>
      <c r="D10360" s="787">
        <v>0</v>
      </c>
      <c r="E10360" s="787">
        <v>0</v>
      </c>
      <c r="H10360" s="787">
        <v>1</v>
      </c>
      <c r="I10360" s="788">
        <v>41648</v>
      </c>
      <c r="K10360" s="788">
        <v>42051</v>
      </c>
      <c r="L10360" s="787">
        <v>1.92</v>
      </c>
      <c r="M10360" s="787">
        <v>10</v>
      </c>
      <c r="N10360" s="787">
        <v>13.18</v>
      </c>
      <c r="O10360" s="788">
        <v>42051</v>
      </c>
    </row>
    <row r="10361" spans="1:15" x14ac:dyDescent="0.25">
      <c r="A10361" s="786" t="s">
        <v>18469</v>
      </c>
      <c r="B10361" s="787">
        <v>4</v>
      </c>
      <c r="C10361" s="787" t="s">
        <v>11417</v>
      </c>
      <c r="D10361" s="787">
        <v>3.63</v>
      </c>
      <c r="E10361" s="787">
        <v>3.63</v>
      </c>
      <c r="F10361" s="788">
        <v>42018</v>
      </c>
      <c r="G10361" s="788">
        <v>42018</v>
      </c>
      <c r="H10361" s="787">
        <v>1</v>
      </c>
      <c r="I10361" s="788">
        <v>41984</v>
      </c>
      <c r="J10361" s="788">
        <v>41982</v>
      </c>
      <c r="K10361" s="788">
        <v>41974</v>
      </c>
      <c r="L10361" s="787">
        <v>1.1000000000000001</v>
      </c>
      <c r="M10361" s="787">
        <v>10</v>
      </c>
      <c r="N10361" s="787">
        <v>9.1999999999999993</v>
      </c>
      <c r="O10361" s="788">
        <v>42047</v>
      </c>
    </row>
    <row r="10362" spans="1:15" x14ac:dyDescent="0.25">
      <c r="A10362" s="786" t="s">
        <v>18470</v>
      </c>
      <c r="B10362" s="787">
        <v>4</v>
      </c>
      <c r="C10362" s="787" t="s">
        <v>11466</v>
      </c>
      <c r="D10362" s="787">
        <v>0</v>
      </c>
      <c r="E10362" s="787">
        <v>0</v>
      </c>
      <c r="H10362" s="787">
        <v>1</v>
      </c>
      <c r="I10362" s="788">
        <v>41984</v>
      </c>
      <c r="L10362" s="787">
        <v>0.01</v>
      </c>
      <c r="M10362" s="787">
        <v>10</v>
      </c>
      <c r="N10362" s="787">
        <v>0</v>
      </c>
    </row>
    <row r="10363" spans="1:15" x14ac:dyDescent="0.25">
      <c r="A10363" s="786" t="s">
        <v>18471</v>
      </c>
      <c r="B10363" s="787">
        <v>4</v>
      </c>
      <c r="C10363" s="787" t="s">
        <v>11468</v>
      </c>
      <c r="D10363" s="787">
        <v>0</v>
      </c>
      <c r="E10363" s="787">
        <v>0</v>
      </c>
      <c r="H10363" s="787">
        <v>1</v>
      </c>
      <c r="L10363" s="787">
        <v>0.01</v>
      </c>
      <c r="M10363" s="787">
        <v>10</v>
      </c>
      <c r="N10363" s="787">
        <v>0</v>
      </c>
    </row>
    <row r="10364" spans="1:15" x14ac:dyDescent="0.25">
      <c r="A10364" s="786" t="s">
        <v>18472</v>
      </c>
      <c r="B10364" s="787">
        <v>4</v>
      </c>
      <c r="C10364" s="787" t="s">
        <v>11470</v>
      </c>
      <c r="D10364" s="787">
        <v>0</v>
      </c>
      <c r="E10364" s="787">
        <v>0</v>
      </c>
      <c r="H10364" s="787">
        <v>1</v>
      </c>
      <c r="L10364" s="787">
        <v>0.01</v>
      </c>
      <c r="M10364" s="787">
        <v>10</v>
      </c>
      <c r="N10364" s="787">
        <v>0</v>
      </c>
    </row>
    <row r="10365" spans="1:15" x14ac:dyDescent="0.25">
      <c r="A10365" s="786" t="s">
        <v>18473</v>
      </c>
      <c r="B10365" s="787">
        <v>4</v>
      </c>
      <c r="C10365" s="787" t="s">
        <v>11472</v>
      </c>
      <c r="D10365" s="787">
        <v>0</v>
      </c>
      <c r="E10365" s="787">
        <v>0</v>
      </c>
      <c r="H10365" s="787">
        <v>1</v>
      </c>
      <c r="L10365" s="787">
        <v>0.01</v>
      </c>
      <c r="M10365" s="787">
        <v>10</v>
      </c>
      <c r="N10365" s="787">
        <v>0</v>
      </c>
    </row>
    <row r="10366" spans="1:15" x14ac:dyDescent="0.25">
      <c r="A10366" s="786" t="s">
        <v>18474</v>
      </c>
      <c r="B10366" s="787">
        <v>4</v>
      </c>
      <c r="C10366" s="787" t="s">
        <v>11474</v>
      </c>
      <c r="D10366" s="787">
        <v>0</v>
      </c>
      <c r="E10366" s="787">
        <v>0</v>
      </c>
      <c r="H10366" s="787">
        <v>1</v>
      </c>
      <c r="L10366" s="787">
        <v>0.01</v>
      </c>
      <c r="M10366" s="787">
        <v>10</v>
      </c>
      <c r="N10366" s="787">
        <v>0</v>
      </c>
    </row>
    <row r="10367" spans="1:15" x14ac:dyDescent="0.25">
      <c r="A10367" s="786" t="s">
        <v>18475</v>
      </c>
      <c r="B10367" s="787">
        <v>4</v>
      </c>
      <c r="C10367" s="787" t="s">
        <v>11476</v>
      </c>
      <c r="D10367" s="787">
        <v>0</v>
      </c>
      <c r="E10367" s="787">
        <v>0</v>
      </c>
      <c r="H10367" s="787">
        <v>1</v>
      </c>
      <c r="L10367" s="787">
        <v>0.01</v>
      </c>
      <c r="M10367" s="787">
        <v>10</v>
      </c>
      <c r="N10367" s="787">
        <v>0</v>
      </c>
    </row>
    <row r="10368" spans="1:15" x14ac:dyDescent="0.25">
      <c r="A10368" s="786" t="s">
        <v>18476</v>
      </c>
      <c r="B10368" s="787">
        <v>4</v>
      </c>
      <c r="C10368" s="787" t="s">
        <v>18477</v>
      </c>
      <c r="D10368" s="787">
        <v>0</v>
      </c>
      <c r="E10368" s="787">
        <v>0</v>
      </c>
      <c r="H10368" s="787">
        <v>1</v>
      </c>
      <c r="I10368" s="788">
        <v>41984</v>
      </c>
      <c r="K10368" s="788">
        <v>42074</v>
      </c>
      <c r="L10368" s="787">
        <v>11.31</v>
      </c>
      <c r="M10368" s="787">
        <v>10</v>
      </c>
      <c r="N10368" s="787">
        <v>11.31</v>
      </c>
      <c r="O10368" s="788">
        <v>42074</v>
      </c>
    </row>
    <row r="10369" spans="1:15" x14ac:dyDescent="0.25">
      <c r="A10369" s="786" t="s">
        <v>18478</v>
      </c>
      <c r="B10369" s="787">
        <v>4</v>
      </c>
      <c r="C10369" s="787" t="s">
        <v>11502</v>
      </c>
      <c r="D10369" s="787">
        <v>0</v>
      </c>
      <c r="E10369" s="787">
        <v>0</v>
      </c>
      <c r="H10369" s="787">
        <v>1</v>
      </c>
      <c r="I10369" s="788">
        <v>41984</v>
      </c>
      <c r="K10369" s="788">
        <v>42074</v>
      </c>
      <c r="L10369" s="787">
        <v>11.31</v>
      </c>
      <c r="M10369" s="787">
        <v>10</v>
      </c>
      <c r="N10369" s="787">
        <v>11.31</v>
      </c>
      <c r="O10369" s="788">
        <v>42074</v>
      </c>
    </row>
    <row r="10370" spans="1:15" x14ac:dyDescent="0.25">
      <c r="A10370" s="786" t="s">
        <v>18479</v>
      </c>
      <c r="B10370" s="787">
        <v>4</v>
      </c>
      <c r="C10370" s="787" t="s">
        <v>18480</v>
      </c>
      <c r="D10370" s="787">
        <v>0</v>
      </c>
      <c r="E10370" s="787">
        <v>0</v>
      </c>
      <c r="H10370" s="787">
        <v>1</v>
      </c>
      <c r="I10370" s="788">
        <v>41984</v>
      </c>
      <c r="K10370" s="788">
        <v>41974</v>
      </c>
      <c r="L10370" s="787">
        <v>9.35</v>
      </c>
      <c r="M10370" s="787">
        <v>10</v>
      </c>
      <c r="N10370" s="787">
        <v>9.35</v>
      </c>
      <c r="O10370" s="788">
        <v>41978</v>
      </c>
    </row>
    <row r="10371" spans="1:15" x14ac:dyDescent="0.25">
      <c r="A10371" s="786" t="s">
        <v>18481</v>
      </c>
      <c r="B10371" s="787">
        <v>4</v>
      </c>
      <c r="C10371" s="787" t="s">
        <v>11506</v>
      </c>
      <c r="D10371" s="787">
        <v>0</v>
      </c>
      <c r="E10371" s="787">
        <v>0</v>
      </c>
      <c r="H10371" s="787">
        <v>1</v>
      </c>
      <c r="I10371" s="788">
        <v>41984</v>
      </c>
      <c r="K10371" s="788">
        <v>41974</v>
      </c>
      <c r="L10371" s="787">
        <v>9.35</v>
      </c>
      <c r="M10371" s="787">
        <v>10</v>
      </c>
      <c r="N10371" s="787">
        <v>9.35</v>
      </c>
      <c r="O10371" s="788">
        <v>41978</v>
      </c>
    </row>
    <row r="10372" spans="1:15" x14ac:dyDescent="0.25">
      <c r="A10372" s="786" t="s">
        <v>18482</v>
      </c>
      <c r="B10372" s="787">
        <v>4</v>
      </c>
      <c r="C10372" s="787" t="s">
        <v>18483</v>
      </c>
      <c r="D10372" s="787">
        <v>0</v>
      </c>
      <c r="E10372" s="787">
        <v>0</v>
      </c>
      <c r="H10372" s="787">
        <v>1</v>
      </c>
      <c r="L10372" s="787">
        <v>0</v>
      </c>
      <c r="M10372" s="787">
        <v>10</v>
      </c>
      <c r="N10372" s="787">
        <v>1.48</v>
      </c>
      <c r="O10372" s="788">
        <v>41858</v>
      </c>
    </row>
    <row r="10373" spans="1:15" x14ac:dyDescent="0.25">
      <c r="A10373" s="786" t="s">
        <v>18484</v>
      </c>
      <c r="B10373" s="787">
        <v>4</v>
      </c>
      <c r="C10373" s="787" t="s">
        <v>11704</v>
      </c>
      <c r="D10373" s="787">
        <v>0</v>
      </c>
      <c r="E10373" s="787">
        <v>0</v>
      </c>
      <c r="H10373" s="787">
        <v>1</v>
      </c>
      <c r="I10373" s="788">
        <v>41929</v>
      </c>
      <c r="L10373" s="787">
        <v>0</v>
      </c>
      <c r="M10373" s="787">
        <v>10</v>
      </c>
      <c r="N10373" s="787">
        <v>6.03</v>
      </c>
      <c r="O10373" s="788">
        <v>41858</v>
      </c>
    </row>
    <row r="10374" spans="1:15" x14ac:dyDescent="0.25">
      <c r="A10374" s="786" t="s">
        <v>18485</v>
      </c>
      <c r="B10374" s="787">
        <v>4</v>
      </c>
      <c r="C10374" s="787" t="s">
        <v>11706</v>
      </c>
      <c r="D10374" s="787">
        <v>0</v>
      </c>
      <c r="E10374" s="787">
        <v>0</v>
      </c>
      <c r="H10374" s="787">
        <v>1</v>
      </c>
      <c r="I10374" s="788">
        <v>41929</v>
      </c>
      <c r="L10374" s="787">
        <v>0</v>
      </c>
      <c r="M10374" s="787">
        <v>10</v>
      </c>
      <c r="N10374" s="787">
        <v>6.03</v>
      </c>
      <c r="O10374" s="788">
        <v>41858</v>
      </c>
    </row>
    <row r="10375" spans="1:15" x14ac:dyDescent="0.25">
      <c r="A10375" s="786" t="s">
        <v>18486</v>
      </c>
      <c r="B10375" s="787">
        <v>4</v>
      </c>
      <c r="C10375" s="787" t="s">
        <v>18487</v>
      </c>
      <c r="D10375" s="787">
        <v>0</v>
      </c>
      <c r="E10375" s="787">
        <v>0</v>
      </c>
      <c r="H10375" s="787">
        <v>1</v>
      </c>
      <c r="L10375" s="787">
        <v>0</v>
      </c>
      <c r="M10375" s="787">
        <v>10</v>
      </c>
      <c r="N10375" s="787">
        <v>39.479999999999997</v>
      </c>
      <c r="O10375" s="788">
        <v>41858</v>
      </c>
    </row>
    <row r="10376" spans="1:15" x14ac:dyDescent="0.25">
      <c r="A10376" s="786" t="s">
        <v>18488</v>
      </c>
      <c r="B10376" s="787">
        <v>4</v>
      </c>
      <c r="C10376" s="787" t="s">
        <v>18489</v>
      </c>
      <c r="D10376" s="787">
        <v>0</v>
      </c>
      <c r="E10376" s="787">
        <v>0</v>
      </c>
      <c r="H10376" s="787">
        <v>1</v>
      </c>
      <c r="L10376" s="787">
        <v>0</v>
      </c>
      <c r="M10376" s="787">
        <v>10</v>
      </c>
      <c r="N10376" s="787">
        <v>31.15</v>
      </c>
      <c r="O10376" s="788">
        <v>41858</v>
      </c>
    </row>
    <row r="10377" spans="1:15" x14ac:dyDescent="0.25">
      <c r="A10377" s="786" t="s">
        <v>18490</v>
      </c>
      <c r="B10377" s="787">
        <v>4</v>
      </c>
      <c r="C10377" s="787" t="s">
        <v>18491</v>
      </c>
      <c r="D10377" s="787">
        <v>0</v>
      </c>
      <c r="E10377" s="787">
        <v>0</v>
      </c>
      <c r="H10377" s="787">
        <v>1</v>
      </c>
      <c r="L10377" s="787">
        <v>0</v>
      </c>
      <c r="M10377" s="787">
        <v>10</v>
      </c>
      <c r="N10377" s="787">
        <v>31.3</v>
      </c>
      <c r="O10377" s="788">
        <v>41858</v>
      </c>
    </row>
    <row r="10378" spans="1:15" x14ac:dyDescent="0.25">
      <c r="A10378" s="786" t="s">
        <v>18492</v>
      </c>
      <c r="B10378" s="787">
        <v>4</v>
      </c>
      <c r="C10378" s="787" t="s">
        <v>18493</v>
      </c>
      <c r="D10378" s="787">
        <v>0</v>
      </c>
      <c r="E10378" s="787">
        <v>0</v>
      </c>
      <c r="H10378" s="787">
        <v>1</v>
      </c>
      <c r="L10378" s="787">
        <v>0</v>
      </c>
      <c r="M10378" s="787">
        <v>10</v>
      </c>
      <c r="N10378" s="787">
        <v>32.799999999999997</v>
      </c>
      <c r="O10378" s="788">
        <v>41858</v>
      </c>
    </row>
    <row r="10379" spans="1:15" x14ac:dyDescent="0.25">
      <c r="A10379" s="786" t="s">
        <v>18494</v>
      </c>
      <c r="B10379" s="787">
        <v>4</v>
      </c>
      <c r="C10379" s="787" t="s">
        <v>18495</v>
      </c>
      <c r="D10379" s="787">
        <v>0</v>
      </c>
      <c r="E10379" s="787">
        <v>0</v>
      </c>
      <c r="H10379" s="787">
        <v>1</v>
      </c>
      <c r="L10379" s="787">
        <v>0</v>
      </c>
      <c r="M10379" s="787">
        <v>10</v>
      </c>
      <c r="N10379" s="787">
        <v>32.799999999999997</v>
      </c>
      <c r="O10379" s="788">
        <v>41858</v>
      </c>
    </row>
    <row r="10380" spans="1:15" x14ac:dyDescent="0.25">
      <c r="A10380" s="786" t="s">
        <v>18496</v>
      </c>
      <c r="B10380" s="787">
        <v>4</v>
      </c>
      <c r="C10380" s="787" t="s">
        <v>18497</v>
      </c>
      <c r="D10380" s="787">
        <v>0</v>
      </c>
      <c r="E10380" s="787">
        <v>0</v>
      </c>
      <c r="H10380" s="787">
        <v>1</v>
      </c>
      <c r="L10380" s="787">
        <v>0</v>
      </c>
      <c r="M10380" s="787">
        <v>10</v>
      </c>
      <c r="N10380" s="787">
        <v>35.729999999999997</v>
      </c>
      <c r="O10380" s="788">
        <v>41858</v>
      </c>
    </row>
    <row r="10381" spans="1:15" x14ac:dyDescent="0.25">
      <c r="A10381" s="786" t="s">
        <v>18498</v>
      </c>
      <c r="B10381" s="787">
        <v>4</v>
      </c>
      <c r="C10381" s="787" t="s">
        <v>18499</v>
      </c>
      <c r="D10381" s="787">
        <v>0</v>
      </c>
      <c r="E10381" s="787">
        <v>0</v>
      </c>
      <c r="H10381" s="787">
        <v>1</v>
      </c>
      <c r="L10381" s="787">
        <v>0</v>
      </c>
      <c r="M10381" s="787">
        <v>10</v>
      </c>
      <c r="N10381" s="787">
        <v>35.729999999999997</v>
      </c>
      <c r="O10381" s="788">
        <v>41858</v>
      </c>
    </row>
    <row r="10382" spans="1:15" x14ac:dyDescent="0.25">
      <c r="A10382" s="786" t="s">
        <v>18500</v>
      </c>
      <c r="B10382" s="787">
        <v>4</v>
      </c>
      <c r="C10382" s="787" t="s">
        <v>18501</v>
      </c>
      <c r="D10382" s="787">
        <v>0</v>
      </c>
      <c r="E10382" s="787">
        <v>0</v>
      </c>
      <c r="H10382" s="787">
        <v>1</v>
      </c>
      <c r="L10382" s="787">
        <v>0</v>
      </c>
      <c r="M10382" s="787">
        <v>10</v>
      </c>
      <c r="N10382" s="787">
        <v>2.74</v>
      </c>
      <c r="O10382" s="788">
        <v>42053</v>
      </c>
    </row>
    <row r="10383" spans="1:15" x14ac:dyDescent="0.25">
      <c r="A10383" s="786" t="s">
        <v>18502</v>
      </c>
      <c r="B10383" s="787">
        <v>4</v>
      </c>
      <c r="C10383" s="787" t="s">
        <v>18503</v>
      </c>
      <c r="D10383" s="787">
        <v>0</v>
      </c>
      <c r="E10383" s="787">
        <v>0</v>
      </c>
      <c r="H10383" s="787">
        <v>1</v>
      </c>
      <c r="L10383" s="787">
        <v>0</v>
      </c>
      <c r="M10383" s="787">
        <v>10</v>
      </c>
      <c r="N10383" s="787">
        <v>1.25</v>
      </c>
      <c r="O10383" s="788">
        <v>42053</v>
      </c>
    </row>
    <row r="10384" spans="1:15" x14ac:dyDescent="0.25">
      <c r="A10384" s="786" t="s">
        <v>18504</v>
      </c>
      <c r="B10384" s="787">
        <v>4</v>
      </c>
      <c r="C10384" s="787" t="s">
        <v>18505</v>
      </c>
      <c r="D10384" s="787">
        <v>0</v>
      </c>
      <c r="E10384" s="787">
        <v>0</v>
      </c>
      <c r="H10384" s="787">
        <v>1</v>
      </c>
      <c r="L10384" s="787">
        <v>0</v>
      </c>
      <c r="M10384" s="787">
        <v>10</v>
      </c>
      <c r="N10384" s="787">
        <v>29.79</v>
      </c>
      <c r="O10384" s="788">
        <v>41858</v>
      </c>
    </row>
    <row r="10385" spans="1:15" x14ac:dyDescent="0.25">
      <c r="A10385" s="786" t="s">
        <v>18506</v>
      </c>
      <c r="B10385" s="787">
        <v>4</v>
      </c>
      <c r="C10385" s="787" t="s">
        <v>18507</v>
      </c>
      <c r="D10385" s="787">
        <v>0</v>
      </c>
      <c r="E10385" s="787">
        <v>0</v>
      </c>
      <c r="H10385" s="787">
        <v>1</v>
      </c>
      <c r="L10385" s="787">
        <v>0</v>
      </c>
      <c r="M10385" s="787">
        <v>10</v>
      </c>
      <c r="N10385" s="787">
        <v>3.13</v>
      </c>
      <c r="O10385" s="788">
        <v>41858</v>
      </c>
    </row>
    <row r="10386" spans="1:15" x14ac:dyDescent="0.25">
      <c r="A10386" s="786" t="s">
        <v>18508</v>
      </c>
      <c r="B10386" s="787">
        <v>4</v>
      </c>
      <c r="C10386" s="787" t="s">
        <v>18509</v>
      </c>
      <c r="D10386" s="787">
        <v>0</v>
      </c>
      <c r="E10386" s="787">
        <v>0</v>
      </c>
      <c r="H10386" s="787">
        <v>1</v>
      </c>
      <c r="L10386" s="787">
        <v>0</v>
      </c>
      <c r="M10386" s="787">
        <v>10</v>
      </c>
      <c r="N10386" s="787">
        <v>4.07</v>
      </c>
      <c r="O10386" s="788">
        <v>41858</v>
      </c>
    </row>
    <row r="10387" spans="1:15" x14ac:dyDescent="0.25">
      <c r="A10387" s="786" t="s">
        <v>18510</v>
      </c>
      <c r="B10387" s="787">
        <v>4</v>
      </c>
      <c r="C10387" s="787" t="s">
        <v>18511</v>
      </c>
      <c r="D10387" s="787">
        <v>0</v>
      </c>
      <c r="E10387" s="787">
        <v>0</v>
      </c>
      <c r="H10387" s="787">
        <v>1</v>
      </c>
      <c r="I10387" s="788">
        <v>41331</v>
      </c>
      <c r="K10387" s="788">
        <v>42052</v>
      </c>
      <c r="L10387" s="787">
        <v>17.62</v>
      </c>
      <c r="M10387" s="787">
        <v>10</v>
      </c>
      <c r="N10387" s="787">
        <v>17.62</v>
      </c>
      <c r="O10387" s="788">
        <v>42053</v>
      </c>
    </row>
    <row r="10388" spans="1:15" x14ac:dyDescent="0.25">
      <c r="A10388" s="786" t="s">
        <v>18512</v>
      </c>
      <c r="B10388" s="787">
        <v>4</v>
      </c>
      <c r="C10388" s="787" t="s">
        <v>18513</v>
      </c>
      <c r="D10388" s="787">
        <v>0</v>
      </c>
      <c r="E10388" s="787">
        <v>0</v>
      </c>
      <c r="H10388" s="787">
        <v>1</v>
      </c>
      <c r="L10388" s="787">
        <v>0</v>
      </c>
      <c r="M10388" s="787">
        <v>10</v>
      </c>
      <c r="N10388" s="787">
        <v>37.43</v>
      </c>
      <c r="O10388" s="788">
        <v>41858</v>
      </c>
    </row>
    <row r="10389" spans="1:15" x14ac:dyDescent="0.25">
      <c r="A10389" s="786" t="s">
        <v>18514</v>
      </c>
      <c r="B10389" s="787">
        <v>4</v>
      </c>
      <c r="C10389" s="787" t="s">
        <v>11747</v>
      </c>
      <c r="D10389" s="787">
        <v>0</v>
      </c>
      <c r="E10389" s="787">
        <v>0</v>
      </c>
      <c r="H10389" s="787">
        <v>1</v>
      </c>
      <c r="I10389" s="788">
        <v>42102</v>
      </c>
      <c r="K10389" s="788">
        <v>42079</v>
      </c>
      <c r="L10389" s="787">
        <v>10.66</v>
      </c>
      <c r="M10389" s="787">
        <v>10</v>
      </c>
      <c r="N10389" s="787">
        <v>10.66</v>
      </c>
      <c r="O10389" s="788">
        <v>42079</v>
      </c>
    </row>
    <row r="10390" spans="1:15" x14ac:dyDescent="0.25">
      <c r="A10390" s="786" t="s">
        <v>18515</v>
      </c>
      <c r="B10390" s="787">
        <v>4</v>
      </c>
      <c r="C10390" s="787" t="s">
        <v>18516</v>
      </c>
      <c r="D10390" s="787">
        <v>0</v>
      </c>
      <c r="E10390" s="787">
        <v>0</v>
      </c>
      <c r="H10390" s="787">
        <v>1</v>
      </c>
      <c r="I10390" s="788">
        <v>42102</v>
      </c>
      <c r="L10390" s="787">
        <v>0</v>
      </c>
      <c r="M10390" s="787">
        <v>10</v>
      </c>
      <c r="N10390" s="787">
        <v>2.83</v>
      </c>
      <c r="O10390" s="788">
        <v>41858</v>
      </c>
    </row>
    <row r="10391" spans="1:15" x14ac:dyDescent="0.25">
      <c r="A10391" s="786" t="s">
        <v>18517</v>
      </c>
      <c r="B10391" s="787">
        <v>4</v>
      </c>
      <c r="C10391" s="787" t="s">
        <v>18518</v>
      </c>
      <c r="D10391" s="787">
        <v>0</v>
      </c>
      <c r="E10391" s="787">
        <v>0</v>
      </c>
      <c r="H10391" s="787">
        <v>1</v>
      </c>
      <c r="I10391" s="788">
        <v>42066</v>
      </c>
      <c r="L10391" s="787">
        <v>0</v>
      </c>
      <c r="M10391" s="787">
        <v>10</v>
      </c>
      <c r="N10391" s="787">
        <v>2.63</v>
      </c>
      <c r="O10391" s="788">
        <v>41858</v>
      </c>
    </row>
    <row r="10392" spans="1:15" x14ac:dyDescent="0.25">
      <c r="A10392" s="786" t="s">
        <v>18519</v>
      </c>
      <c r="B10392" s="787">
        <v>4</v>
      </c>
      <c r="C10392" s="787" t="s">
        <v>11840</v>
      </c>
      <c r="D10392" s="787">
        <v>0</v>
      </c>
      <c r="E10392" s="787">
        <v>0</v>
      </c>
      <c r="H10392" s="787">
        <v>1</v>
      </c>
      <c r="L10392" s="787">
        <v>1</v>
      </c>
      <c r="M10392" s="787">
        <v>10</v>
      </c>
      <c r="N10392" s="787">
        <v>18.64</v>
      </c>
      <c r="O10392" s="788">
        <v>41858</v>
      </c>
    </row>
    <row r="10393" spans="1:15" x14ac:dyDescent="0.25">
      <c r="A10393" s="786" t="s">
        <v>18520</v>
      </c>
      <c r="B10393" s="787">
        <v>4</v>
      </c>
      <c r="C10393" s="787" t="s">
        <v>18521</v>
      </c>
      <c r="D10393" s="787">
        <v>8.0500000000000007</v>
      </c>
      <c r="E10393" s="787">
        <v>18.329999999999998</v>
      </c>
      <c r="F10393" s="788">
        <v>39975</v>
      </c>
      <c r="G10393" s="788">
        <v>41583</v>
      </c>
      <c r="H10393" s="787">
        <v>1</v>
      </c>
      <c r="I10393" s="788">
        <v>42074</v>
      </c>
      <c r="J10393" s="788">
        <v>41583</v>
      </c>
      <c r="L10393" s="787">
        <v>0</v>
      </c>
      <c r="M10393" s="787">
        <v>10</v>
      </c>
      <c r="N10393" s="787">
        <v>8.76</v>
      </c>
      <c r="O10393" s="788">
        <v>42159</v>
      </c>
    </row>
    <row r="10394" spans="1:15" x14ac:dyDescent="0.25">
      <c r="A10394" s="786" t="s">
        <v>18522</v>
      </c>
      <c r="B10394" s="787">
        <v>4</v>
      </c>
      <c r="C10394" s="787" t="s">
        <v>18523</v>
      </c>
      <c r="D10394" s="787">
        <v>1.19</v>
      </c>
      <c r="E10394" s="787">
        <v>4.8</v>
      </c>
      <c r="F10394" s="788">
        <v>39456</v>
      </c>
      <c r="G10394" s="788">
        <v>41369</v>
      </c>
      <c r="H10394" s="787">
        <v>6</v>
      </c>
      <c r="I10394" s="788">
        <v>41355</v>
      </c>
      <c r="J10394" s="788">
        <v>41309</v>
      </c>
      <c r="L10394" s="787">
        <v>0.97</v>
      </c>
      <c r="M10394" s="787">
        <v>10</v>
      </c>
      <c r="N10394" s="787">
        <v>5.3</v>
      </c>
      <c r="O10394" s="788">
        <v>41806</v>
      </c>
    </row>
    <row r="10395" spans="1:15" x14ac:dyDescent="0.25">
      <c r="A10395" s="786" t="s">
        <v>18524</v>
      </c>
      <c r="B10395" s="787">
        <v>4</v>
      </c>
      <c r="C10395" s="787" t="s">
        <v>18523</v>
      </c>
      <c r="D10395" s="787">
        <v>2.12</v>
      </c>
      <c r="E10395" s="787">
        <v>2.12</v>
      </c>
      <c r="F10395" s="788">
        <v>41935</v>
      </c>
      <c r="G10395" s="788">
        <v>41935</v>
      </c>
      <c r="H10395" s="787">
        <v>1</v>
      </c>
      <c r="I10395" s="788">
        <v>41921</v>
      </c>
      <c r="J10395" s="788">
        <v>41901</v>
      </c>
      <c r="L10395" s="787">
        <v>0.01</v>
      </c>
      <c r="M10395" s="787">
        <v>10</v>
      </c>
      <c r="N10395" s="787">
        <v>11.3</v>
      </c>
      <c r="O10395" s="788">
        <v>42066</v>
      </c>
    </row>
    <row r="10396" spans="1:15" x14ac:dyDescent="0.25">
      <c r="A10396" s="786" t="s">
        <v>18525</v>
      </c>
      <c r="B10396" s="787">
        <v>4</v>
      </c>
      <c r="C10396" s="787" t="s">
        <v>18526</v>
      </c>
      <c r="D10396" s="787">
        <v>0.39</v>
      </c>
      <c r="E10396" s="787">
        <v>0.39</v>
      </c>
      <c r="F10396" s="788">
        <v>39975</v>
      </c>
      <c r="G10396" s="788">
        <v>41943</v>
      </c>
      <c r="H10396" s="787">
        <v>1</v>
      </c>
      <c r="I10396" s="788">
        <v>39134</v>
      </c>
      <c r="J10396" s="788">
        <v>39542</v>
      </c>
      <c r="L10396" s="787">
        <v>0.45</v>
      </c>
      <c r="M10396" s="787">
        <v>10</v>
      </c>
      <c r="N10396" s="787">
        <v>0.79</v>
      </c>
      <c r="O10396" s="788">
        <v>42088</v>
      </c>
    </row>
    <row r="10397" spans="1:15" x14ac:dyDescent="0.25">
      <c r="A10397" s="786" t="s">
        <v>18527</v>
      </c>
      <c r="B10397" s="787">
        <v>4</v>
      </c>
      <c r="C10397" s="787" t="s">
        <v>18528</v>
      </c>
      <c r="D10397" s="787">
        <v>1.77</v>
      </c>
      <c r="E10397" s="787">
        <v>1.77</v>
      </c>
      <c r="F10397" s="788">
        <v>39456</v>
      </c>
      <c r="G10397" s="788">
        <v>41255</v>
      </c>
      <c r="H10397" s="787">
        <v>1</v>
      </c>
      <c r="I10397" s="788">
        <v>40213</v>
      </c>
      <c r="J10397" s="788">
        <v>40206</v>
      </c>
      <c r="L10397" s="787">
        <v>0</v>
      </c>
      <c r="M10397" s="787">
        <v>10</v>
      </c>
      <c r="N10397" s="787">
        <v>1.92</v>
      </c>
      <c r="O10397" s="788">
        <v>41858</v>
      </c>
    </row>
    <row r="10398" spans="1:15" x14ac:dyDescent="0.25">
      <c r="A10398" s="786" t="s">
        <v>18529</v>
      </c>
      <c r="B10398" s="787">
        <v>4</v>
      </c>
      <c r="C10398" s="787" t="s">
        <v>9691</v>
      </c>
      <c r="D10398" s="787">
        <v>6.24</v>
      </c>
      <c r="E10398" s="787">
        <v>6.24</v>
      </c>
      <c r="F10398" s="788">
        <v>39617</v>
      </c>
      <c r="G10398" s="788">
        <v>42013</v>
      </c>
      <c r="H10398" s="787">
        <v>1</v>
      </c>
      <c r="I10398" s="788">
        <v>41978</v>
      </c>
      <c r="J10398" s="788">
        <v>41981</v>
      </c>
      <c r="L10398" s="787">
        <v>6.24</v>
      </c>
      <c r="M10398" s="787">
        <v>20</v>
      </c>
      <c r="N10398" s="787">
        <v>7.51</v>
      </c>
      <c r="O10398" s="788">
        <v>41858</v>
      </c>
    </row>
    <row r="10399" spans="1:15" x14ac:dyDescent="0.25">
      <c r="A10399" s="786" t="s">
        <v>18530</v>
      </c>
      <c r="B10399" s="787">
        <v>4</v>
      </c>
      <c r="C10399" s="787" t="s">
        <v>18531</v>
      </c>
      <c r="D10399" s="787">
        <v>2.74</v>
      </c>
      <c r="E10399" s="787">
        <v>12.74</v>
      </c>
      <c r="F10399" s="788">
        <v>39617</v>
      </c>
      <c r="G10399" s="788">
        <v>39617</v>
      </c>
      <c r="H10399" s="787">
        <v>1</v>
      </c>
      <c r="I10399" s="788">
        <v>39612</v>
      </c>
      <c r="J10399" s="788">
        <v>39612</v>
      </c>
      <c r="L10399" s="787">
        <v>12.74</v>
      </c>
      <c r="M10399" s="787">
        <v>20</v>
      </c>
      <c r="N10399" s="787">
        <v>13.7</v>
      </c>
      <c r="O10399" s="788">
        <v>41858</v>
      </c>
    </row>
    <row r="10400" spans="1:15" x14ac:dyDescent="0.25">
      <c r="A10400" s="786" t="s">
        <v>18532</v>
      </c>
      <c r="B10400" s="787">
        <v>4</v>
      </c>
      <c r="C10400" s="787" t="s">
        <v>9691</v>
      </c>
      <c r="D10400" s="787">
        <v>2.16</v>
      </c>
      <c r="E10400" s="787">
        <v>2.5</v>
      </c>
      <c r="F10400" s="788">
        <v>40051</v>
      </c>
      <c r="G10400" s="788">
        <v>42013</v>
      </c>
      <c r="H10400" s="787">
        <v>1</v>
      </c>
      <c r="I10400" s="788">
        <v>41799</v>
      </c>
      <c r="J10400" s="788">
        <v>41668</v>
      </c>
      <c r="K10400" s="788">
        <v>40042</v>
      </c>
      <c r="L10400" s="787">
        <v>1.95</v>
      </c>
      <c r="M10400" s="787">
        <v>20</v>
      </c>
      <c r="N10400" s="787">
        <v>2.35</v>
      </c>
      <c r="O10400" s="788">
        <v>42146</v>
      </c>
    </row>
    <row r="10401" spans="1:15" x14ac:dyDescent="0.25">
      <c r="A10401" s="786" t="s">
        <v>18533</v>
      </c>
      <c r="B10401" s="787">
        <v>4</v>
      </c>
      <c r="C10401" s="787" t="s">
        <v>9691</v>
      </c>
      <c r="D10401" s="787">
        <v>0.75</v>
      </c>
      <c r="E10401" s="787">
        <v>0.76</v>
      </c>
      <c r="F10401" s="788">
        <v>41978</v>
      </c>
      <c r="G10401" s="788">
        <v>42123</v>
      </c>
      <c r="H10401" s="787">
        <v>1</v>
      </c>
      <c r="I10401" s="788">
        <v>42129</v>
      </c>
      <c r="J10401" s="788">
        <v>42087</v>
      </c>
      <c r="K10401" s="788">
        <v>40742</v>
      </c>
      <c r="L10401" s="787">
        <v>0.73</v>
      </c>
      <c r="M10401" s="787">
        <v>20</v>
      </c>
      <c r="N10401" s="787">
        <v>0.88</v>
      </c>
      <c r="O10401" s="788">
        <v>42038</v>
      </c>
    </row>
    <row r="10402" spans="1:15" x14ac:dyDescent="0.25">
      <c r="A10402" s="786" t="s">
        <v>18534</v>
      </c>
      <c r="B10402" s="787">
        <v>4</v>
      </c>
      <c r="C10402" s="787" t="s">
        <v>18535</v>
      </c>
      <c r="D10402" s="787">
        <v>0</v>
      </c>
      <c r="E10402" s="787">
        <v>0</v>
      </c>
      <c r="H10402" s="787">
        <v>1</v>
      </c>
      <c r="K10402" s="788">
        <v>42095</v>
      </c>
      <c r="L10402" s="787">
        <v>42</v>
      </c>
      <c r="M10402" s="787">
        <v>10</v>
      </c>
      <c r="N10402" s="787">
        <v>42.58</v>
      </c>
      <c r="O10402" s="788">
        <v>42095</v>
      </c>
    </row>
    <row r="10403" spans="1:15" x14ac:dyDescent="0.25">
      <c r="A10403" s="786" t="s">
        <v>18536</v>
      </c>
      <c r="B10403" s="787">
        <v>4</v>
      </c>
      <c r="C10403" s="787" t="s">
        <v>18537</v>
      </c>
      <c r="D10403" s="787">
        <v>0</v>
      </c>
      <c r="E10403" s="787">
        <v>0</v>
      </c>
      <c r="H10403" s="787">
        <v>1</v>
      </c>
      <c r="K10403" s="788">
        <v>42095</v>
      </c>
      <c r="L10403" s="787">
        <v>42</v>
      </c>
      <c r="M10403" s="787">
        <v>10</v>
      </c>
      <c r="N10403" s="787">
        <v>42.58</v>
      </c>
      <c r="O10403" s="788">
        <v>42095</v>
      </c>
    </row>
    <row r="10404" spans="1:15" x14ac:dyDescent="0.25">
      <c r="A10404" s="786" t="s">
        <v>18538</v>
      </c>
      <c r="B10404" s="787">
        <v>4</v>
      </c>
      <c r="C10404" s="787" t="s">
        <v>8533</v>
      </c>
      <c r="D10404" s="787">
        <v>0</v>
      </c>
      <c r="E10404" s="787">
        <v>0</v>
      </c>
      <c r="H10404" s="787">
        <v>1</v>
      </c>
      <c r="L10404" s="787">
        <v>0.01</v>
      </c>
      <c r="M10404" s="787">
        <v>10</v>
      </c>
      <c r="N10404" s="787">
        <v>0</v>
      </c>
    </row>
    <row r="10405" spans="1:15" x14ac:dyDescent="0.25">
      <c r="A10405" s="786" t="s">
        <v>18539</v>
      </c>
      <c r="B10405" s="787">
        <v>4</v>
      </c>
      <c r="C10405" s="787" t="s">
        <v>8535</v>
      </c>
      <c r="D10405" s="787">
        <v>0</v>
      </c>
      <c r="E10405" s="787">
        <v>0</v>
      </c>
      <c r="H10405" s="787">
        <v>1</v>
      </c>
      <c r="L10405" s="787">
        <v>0.01</v>
      </c>
      <c r="M10405" s="787">
        <v>10</v>
      </c>
      <c r="N10405" s="787">
        <v>0</v>
      </c>
    </row>
    <row r="10406" spans="1:15" x14ac:dyDescent="0.25">
      <c r="A10406" s="786" t="s">
        <v>18540</v>
      </c>
      <c r="B10406" s="787">
        <v>4</v>
      </c>
      <c r="C10406" s="787" t="s">
        <v>8553</v>
      </c>
      <c r="D10406" s="787">
        <v>0</v>
      </c>
      <c r="E10406" s="787">
        <v>0</v>
      </c>
      <c r="H10406" s="787">
        <v>1</v>
      </c>
      <c r="I10406" s="788">
        <v>42110</v>
      </c>
      <c r="L10406" s="787">
        <v>0.01</v>
      </c>
      <c r="M10406" s="787">
        <v>10</v>
      </c>
      <c r="N10406" s="787">
        <v>0</v>
      </c>
    </row>
    <row r="10407" spans="1:15" x14ac:dyDescent="0.25">
      <c r="A10407" s="786" t="s">
        <v>18541</v>
      </c>
      <c r="B10407" s="787">
        <v>4</v>
      </c>
      <c r="C10407" s="787" t="s">
        <v>8555</v>
      </c>
      <c r="D10407" s="787">
        <v>0</v>
      </c>
      <c r="E10407" s="787">
        <v>0</v>
      </c>
      <c r="H10407" s="787">
        <v>1</v>
      </c>
      <c r="L10407" s="787">
        <v>0.01</v>
      </c>
      <c r="M10407" s="787">
        <v>10</v>
      </c>
      <c r="N10407" s="787">
        <v>0</v>
      </c>
    </row>
    <row r="10408" spans="1:15" x14ac:dyDescent="0.25">
      <c r="A10408" s="786" t="s">
        <v>18542</v>
      </c>
      <c r="B10408" s="787">
        <v>4</v>
      </c>
      <c r="C10408" s="787" t="s">
        <v>8557</v>
      </c>
      <c r="D10408" s="787">
        <v>0</v>
      </c>
      <c r="E10408" s="787">
        <v>0</v>
      </c>
      <c r="H10408" s="787">
        <v>1</v>
      </c>
      <c r="L10408" s="787">
        <v>0.01</v>
      </c>
      <c r="M10408" s="787">
        <v>10</v>
      </c>
      <c r="N10408" s="787">
        <v>0</v>
      </c>
    </row>
    <row r="10409" spans="1:15" x14ac:dyDescent="0.25">
      <c r="A10409" s="786" t="s">
        <v>18543</v>
      </c>
      <c r="B10409" s="787">
        <v>4</v>
      </c>
      <c r="C10409" s="787" t="s">
        <v>8559</v>
      </c>
      <c r="D10409" s="787">
        <v>0</v>
      </c>
      <c r="E10409" s="787">
        <v>0</v>
      </c>
      <c r="H10409" s="787">
        <v>1</v>
      </c>
      <c r="L10409" s="787">
        <v>0.01</v>
      </c>
      <c r="M10409" s="787">
        <v>10</v>
      </c>
      <c r="N10409" s="787">
        <v>0</v>
      </c>
    </row>
    <row r="10410" spans="1:15" x14ac:dyDescent="0.25">
      <c r="A10410" s="786" t="s">
        <v>18544</v>
      </c>
      <c r="B10410" s="787">
        <v>4</v>
      </c>
      <c r="C10410" s="787" t="s">
        <v>18545</v>
      </c>
      <c r="D10410" s="787">
        <v>0</v>
      </c>
      <c r="E10410" s="787">
        <v>0</v>
      </c>
      <c r="H10410" s="787">
        <v>1</v>
      </c>
      <c r="L10410" s="787">
        <v>0.01</v>
      </c>
      <c r="M10410" s="787">
        <v>10</v>
      </c>
      <c r="N10410" s="787">
        <v>0</v>
      </c>
    </row>
    <row r="10411" spans="1:15" x14ac:dyDescent="0.25">
      <c r="A10411" s="786" t="s">
        <v>18546</v>
      </c>
      <c r="B10411" s="787">
        <v>4</v>
      </c>
      <c r="C10411" s="787" t="s">
        <v>18547</v>
      </c>
      <c r="D10411" s="787">
        <v>1.54</v>
      </c>
      <c r="E10411" s="787">
        <v>114.8</v>
      </c>
      <c r="F10411" s="788">
        <v>41484</v>
      </c>
      <c r="G10411" s="788">
        <v>41844</v>
      </c>
      <c r="H10411" s="787">
        <v>1</v>
      </c>
      <c r="I10411" s="788">
        <v>41045</v>
      </c>
      <c r="J10411" s="788">
        <v>41803</v>
      </c>
      <c r="L10411" s="787">
        <v>286.27</v>
      </c>
      <c r="M10411" s="787">
        <v>20</v>
      </c>
      <c r="N10411" s="787">
        <v>307.74</v>
      </c>
      <c r="O10411" s="788">
        <v>41858</v>
      </c>
    </row>
    <row r="10412" spans="1:15" x14ac:dyDescent="0.25">
      <c r="A10412" s="786" t="s">
        <v>18546</v>
      </c>
      <c r="B10412" s="787" t="s">
        <v>4399</v>
      </c>
      <c r="C10412" s="787" t="s">
        <v>18547</v>
      </c>
      <c r="D10412" s="787">
        <v>0</v>
      </c>
      <c r="E10412" s="787">
        <v>0</v>
      </c>
      <c r="H10412" s="787">
        <v>6</v>
      </c>
      <c r="K10412" s="788">
        <v>41865</v>
      </c>
      <c r="L10412" s="787">
        <v>0.01</v>
      </c>
      <c r="M10412" s="787">
        <v>20</v>
      </c>
      <c r="N10412" s="787">
        <v>0</v>
      </c>
      <c r="O10412" s="788">
        <v>40824</v>
      </c>
    </row>
    <row r="10413" spans="1:15" x14ac:dyDescent="0.25">
      <c r="A10413" s="786" t="s">
        <v>18546</v>
      </c>
      <c r="B10413" s="787" t="s">
        <v>4400</v>
      </c>
      <c r="C10413" s="787" t="s">
        <v>18547</v>
      </c>
      <c r="D10413" s="787">
        <v>0.27</v>
      </c>
      <c r="E10413" s="787">
        <v>2.5099999999999998</v>
      </c>
      <c r="F10413" s="788">
        <v>41295</v>
      </c>
      <c r="G10413" s="788">
        <v>41680</v>
      </c>
      <c r="H10413" s="787">
        <v>6</v>
      </c>
      <c r="I10413" s="788">
        <v>41866</v>
      </c>
      <c r="J10413" s="788">
        <v>41866</v>
      </c>
      <c r="K10413" s="788">
        <v>41680</v>
      </c>
      <c r="L10413" s="787">
        <v>29.2</v>
      </c>
      <c r="M10413" s="787">
        <v>20</v>
      </c>
      <c r="N10413" s="787">
        <v>31.39</v>
      </c>
      <c r="O10413" s="788">
        <v>41858</v>
      </c>
    </row>
    <row r="10414" spans="1:15" x14ac:dyDescent="0.25">
      <c r="A10414" s="786" t="s">
        <v>18546</v>
      </c>
      <c r="B10414" s="787" t="s">
        <v>4970</v>
      </c>
      <c r="C10414" s="787" t="s">
        <v>18547</v>
      </c>
      <c r="D10414" s="787">
        <v>0</v>
      </c>
      <c r="E10414" s="787">
        <v>24.48</v>
      </c>
      <c r="H10414" s="787">
        <v>1</v>
      </c>
      <c r="L10414" s="787">
        <v>24.48</v>
      </c>
      <c r="M10414" s="787">
        <v>20</v>
      </c>
      <c r="N10414" s="787">
        <v>26.32</v>
      </c>
      <c r="O10414" s="788">
        <v>41858</v>
      </c>
    </row>
    <row r="10415" spans="1:15" x14ac:dyDescent="0.25">
      <c r="A10415" s="786" t="s">
        <v>18546</v>
      </c>
      <c r="B10415" s="787" t="s">
        <v>4971</v>
      </c>
      <c r="C10415" s="787" t="s">
        <v>18547</v>
      </c>
      <c r="D10415" s="787">
        <v>0</v>
      </c>
      <c r="E10415" s="787">
        <v>0</v>
      </c>
      <c r="H10415" s="787">
        <v>6</v>
      </c>
      <c r="K10415" s="788">
        <v>41865</v>
      </c>
      <c r="L10415" s="787">
        <v>0.01</v>
      </c>
      <c r="M10415" s="787">
        <v>20</v>
      </c>
      <c r="N10415" s="787">
        <v>0</v>
      </c>
      <c r="O10415" s="788">
        <v>40824</v>
      </c>
    </row>
    <row r="10416" spans="1:15" x14ac:dyDescent="0.25">
      <c r="A10416" s="786" t="s">
        <v>18548</v>
      </c>
      <c r="B10416" s="787">
        <v>4</v>
      </c>
      <c r="C10416" s="787" t="s">
        <v>18549</v>
      </c>
      <c r="D10416" s="787">
        <v>0</v>
      </c>
      <c r="E10416" s="787">
        <v>0</v>
      </c>
      <c r="H10416" s="787">
        <v>1</v>
      </c>
      <c r="L10416" s="787">
        <v>0</v>
      </c>
      <c r="M10416" s="787">
        <v>20</v>
      </c>
      <c r="N10416" s="787">
        <v>0</v>
      </c>
      <c r="O10416" s="788">
        <v>40824</v>
      </c>
    </row>
    <row r="10417" spans="1:15" x14ac:dyDescent="0.25">
      <c r="A10417" s="786" t="s">
        <v>18550</v>
      </c>
      <c r="B10417" s="787">
        <v>4</v>
      </c>
      <c r="C10417" s="787" t="s">
        <v>18551</v>
      </c>
      <c r="D10417" s="787">
        <v>6.17</v>
      </c>
      <c r="E10417" s="787">
        <v>206.41</v>
      </c>
      <c r="F10417" s="788">
        <v>37637</v>
      </c>
      <c r="G10417" s="788">
        <v>38903</v>
      </c>
      <c r="H10417" s="787">
        <v>1</v>
      </c>
      <c r="I10417" s="788">
        <v>39065</v>
      </c>
      <c r="J10417" s="788">
        <v>38903</v>
      </c>
      <c r="L10417" s="787">
        <v>181.13</v>
      </c>
      <c r="M10417" s="787">
        <v>20</v>
      </c>
      <c r="N10417" s="787">
        <v>194.71</v>
      </c>
      <c r="O10417" s="788">
        <v>42162</v>
      </c>
    </row>
    <row r="10418" spans="1:15" x14ac:dyDescent="0.25">
      <c r="A10418" s="786" t="s">
        <v>18552</v>
      </c>
      <c r="B10418" s="787">
        <v>4</v>
      </c>
      <c r="C10418" s="787" t="s">
        <v>18553</v>
      </c>
      <c r="D10418" s="787">
        <v>0.21</v>
      </c>
      <c r="E10418" s="787">
        <v>400.21</v>
      </c>
      <c r="F10418" s="788">
        <v>37637</v>
      </c>
      <c r="G10418" s="788">
        <v>37637</v>
      </c>
      <c r="H10418" s="787">
        <v>6</v>
      </c>
      <c r="I10418" s="788">
        <v>40079</v>
      </c>
      <c r="J10418" s="788">
        <v>37637</v>
      </c>
      <c r="L10418" s="787">
        <v>436.23</v>
      </c>
      <c r="M10418" s="787">
        <v>20</v>
      </c>
      <c r="N10418" s="787">
        <v>430.23</v>
      </c>
      <c r="O10418" s="788">
        <v>41806</v>
      </c>
    </row>
    <row r="10419" spans="1:15" x14ac:dyDescent="0.25">
      <c r="A10419" s="786" t="s">
        <v>18554</v>
      </c>
      <c r="B10419" s="787">
        <v>4</v>
      </c>
      <c r="C10419" s="787" t="s">
        <v>18555</v>
      </c>
      <c r="D10419" s="787">
        <v>2.46</v>
      </c>
      <c r="E10419" s="787">
        <v>232.46</v>
      </c>
      <c r="F10419" s="788">
        <v>38047</v>
      </c>
      <c r="G10419" s="788">
        <v>38047</v>
      </c>
      <c r="H10419" s="787">
        <v>6</v>
      </c>
      <c r="J10419" s="788">
        <v>38047</v>
      </c>
      <c r="L10419" s="787">
        <v>253.38</v>
      </c>
      <c r="M10419" s="787">
        <v>20</v>
      </c>
      <c r="N10419" s="787">
        <v>249.89</v>
      </c>
      <c r="O10419" s="788">
        <v>41806</v>
      </c>
    </row>
    <row r="10420" spans="1:15" x14ac:dyDescent="0.25">
      <c r="A10420" s="786" t="s">
        <v>18556</v>
      </c>
      <c r="B10420" s="787">
        <v>4</v>
      </c>
      <c r="C10420" s="787" t="s">
        <v>18557</v>
      </c>
      <c r="D10420" s="787">
        <v>2.66</v>
      </c>
      <c r="E10420" s="787">
        <v>912.66</v>
      </c>
      <c r="F10420" s="788">
        <v>37648</v>
      </c>
      <c r="G10420" s="788">
        <v>37648</v>
      </c>
      <c r="H10420" s="787">
        <v>1</v>
      </c>
      <c r="J10420" s="788">
        <v>37648</v>
      </c>
      <c r="L10420" s="787">
        <v>994.8</v>
      </c>
      <c r="M10420" s="787">
        <v>20</v>
      </c>
      <c r="N10420" s="789">
        <v>1069.4100000000001</v>
      </c>
      <c r="O10420" s="788">
        <v>41858</v>
      </c>
    </row>
    <row r="10421" spans="1:15" x14ac:dyDescent="0.25">
      <c r="A10421" s="786" t="s">
        <v>18558</v>
      </c>
      <c r="B10421" s="787">
        <v>4</v>
      </c>
      <c r="C10421" s="787" t="s">
        <v>18559</v>
      </c>
      <c r="D10421" s="787">
        <v>6.95</v>
      </c>
      <c r="E10421" s="787">
        <v>246.95</v>
      </c>
      <c r="F10421" s="788">
        <v>37637</v>
      </c>
      <c r="G10421" s="788">
        <v>37637</v>
      </c>
      <c r="H10421" s="787">
        <v>6</v>
      </c>
      <c r="I10421" s="788">
        <v>37100</v>
      </c>
      <c r="J10421" s="788">
        <v>37637</v>
      </c>
      <c r="L10421" s="787">
        <v>269.18</v>
      </c>
      <c r="M10421" s="787">
        <v>20</v>
      </c>
      <c r="N10421" s="787">
        <v>265.47000000000003</v>
      </c>
      <c r="O10421" s="788">
        <v>41806</v>
      </c>
    </row>
    <row r="10422" spans="1:15" x14ac:dyDescent="0.25">
      <c r="A10422" s="786" t="s">
        <v>18560</v>
      </c>
      <c r="B10422" s="787">
        <v>4</v>
      </c>
      <c r="C10422" s="787" t="s">
        <v>18561</v>
      </c>
      <c r="D10422" s="787">
        <v>8.89</v>
      </c>
      <c r="E10422" s="787">
        <v>198.89</v>
      </c>
      <c r="F10422" s="788">
        <v>39101</v>
      </c>
      <c r="G10422" s="788">
        <v>39101</v>
      </c>
      <c r="H10422" s="787">
        <v>6</v>
      </c>
      <c r="I10422" s="788">
        <v>38811</v>
      </c>
      <c r="J10422" s="788">
        <v>39101</v>
      </c>
      <c r="L10422" s="787">
        <v>216.79</v>
      </c>
      <c r="M10422" s="787">
        <v>20</v>
      </c>
      <c r="N10422" s="787">
        <v>213.81</v>
      </c>
      <c r="O10422" s="788">
        <v>41806</v>
      </c>
    </row>
    <row r="10423" spans="1:15" x14ac:dyDescent="0.25">
      <c r="A10423" s="786" t="s">
        <v>18562</v>
      </c>
      <c r="B10423" s="787">
        <v>4</v>
      </c>
      <c r="C10423" s="787" t="s">
        <v>18563</v>
      </c>
      <c r="D10423" s="787">
        <v>5.97</v>
      </c>
      <c r="E10423" s="787">
        <v>145.97</v>
      </c>
      <c r="F10423" s="788">
        <v>37637</v>
      </c>
      <c r="G10423" s="788">
        <v>37637</v>
      </c>
      <c r="H10423" s="787">
        <v>6</v>
      </c>
      <c r="J10423" s="788">
        <v>37637</v>
      </c>
      <c r="L10423" s="787">
        <v>159.11000000000001</v>
      </c>
      <c r="M10423" s="787">
        <v>20</v>
      </c>
      <c r="N10423" s="787">
        <v>156.91999999999999</v>
      </c>
      <c r="O10423" s="788">
        <v>41543</v>
      </c>
    </row>
    <row r="10424" spans="1:15" x14ac:dyDescent="0.25">
      <c r="A10424" s="786" t="s">
        <v>18564</v>
      </c>
      <c r="B10424" s="787">
        <v>4</v>
      </c>
      <c r="C10424" s="787" t="s">
        <v>18565</v>
      </c>
      <c r="D10424" s="787">
        <v>0.68</v>
      </c>
      <c r="E10424" s="787">
        <v>0.68</v>
      </c>
      <c r="F10424" s="788">
        <v>41037</v>
      </c>
      <c r="G10424" s="788">
        <v>42159</v>
      </c>
      <c r="H10424" s="787">
        <v>1</v>
      </c>
      <c r="I10424" s="788">
        <v>42150</v>
      </c>
      <c r="J10424" s="788">
        <v>42159</v>
      </c>
      <c r="K10424" s="788">
        <v>41011</v>
      </c>
      <c r="L10424" s="787">
        <v>0.68</v>
      </c>
      <c r="M10424" s="787">
        <v>20</v>
      </c>
      <c r="N10424" s="787">
        <v>0.73</v>
      </c>
      <c r="O10424" s="788">
        <v>42061</v>
      </c>
    </row>
    <row r="10425" spans="1:15" x14ac:dyDescent="0.25">
      <c r="A10425" s="786" t="s">
        <v>18566</v>
      </c>
      <c r="B10425" s="787">
        <v>4</v>
      </c>
      <c r="C10425" s="787" t="s">
        <v>18567</v>
      </c>
      <c r="D10425" s="787">
        <v>7.8</v>
      </c>
      <c r="E10425" s="787">
        <v>440.9</v>
      </c>
      <c r="F10425" s="788">
        <v>41168</v>
      </c>
      <c r="G10425" s="788">
        <v>41563</v>
      </c>
      <c r="H10425" s="787">
        <v>1</v>
      </c>
      <c r="I10425" s="788">
        <v>42166</v>
      </c>
      <c r="J10425" s="788">
        <v>42052</v>
      </c>
      <c r="K10425" s="788">
        <v>41865</v>
      </c>
      <c r="L10425" s="787">
        <v>380</v>
      </c>
      <c r="M10425" s="787">
        <v>20</v>
      </c>
      <c r="N10425" s="787">
        <v>408.5</v>
      </c>
      <c r="O10425" s="788">
        <v>42080</v>
      </c>
    </row>
    <row r="10426" spans="1:15" x14ac:dyDescent="0.25">
      <c r="A10426" s="786" t="s">
        <v>18568</v>
      </c>
      <c r="B10426" s="787">
        <v>4</v>
      </c>
      <c r="C10426" s="787" t="s">
        <v>18569</v>
      </c>
      <c r="D10426" s="787">
        <v>1.6</v>
      </c>
      <c r="E10426" s="787">
        <v>440.7</v>
      </c>
      <c r="F10426" s="788">
        <v>41168</v>
      </c>
      <c r="G10426" s="788">
        <v>41869</v>
      </c>
      <c r="H10426" s="787">
        <v>1</v>
      </c>
      <c r="I10426" s="788">
        <v>42166</v>
      </c>
      <c r="J10426" s="788">
        <v>42052</v>
      </c>
      <c r="K10426" s="788">
        <v>41158</v>
      </c>
      <c r="L10426" s="787">
        <v>177.74</v>
      </c>
      <c r="M10426" s="787">
        <v>20</v>
      </c>
      <c r="N10426" s="787">
        <v>191.07</v>
      </c>
      <c r="O10426" s="788">
        <v>42136</v>
      </c>
    </row>
    <row r="10427" spans="1:15" x14ac:dyDescent="0.25">
      <c r="A10427" s="786" t="s">
        <v>18570</v>
      </c>
      <c r="B10427" s="787">
        <v>4</v>
      </c>
      <c r="C10427" s="787" t="s">
        <v>18571</v>
      </c>
      <c r="D10427" s="787">
        <v>0.08</v>
      </c>
      <c r="E10427" s="787">
        <v>230.08</v>
      </c>
      <c r="F10427" s="788">
        <v>37648</v>
      </c>
      <c r="G10427" s="788">
        <v>37648</v>
      </c>
      <c r="H10427" s="787">
        <v>1</v>
      </c>
      <c r="J10427" s="788">
        <v>37648</v>
      </c>
      <c r="L10427" s="787">
        <v>250.79</v>
      </c>
      <c r="M10427" s="787">
        <v>20</v>
      </c>
      <c r="N10427" s="787">
        <v>269.60000000000002</v>
      </c>
      <c r="O10427" s="788">
        <v>41858</v>
      </c>
    </row>
    <row r="10428" spans="1:15" x14ac:dyDescent="0.25">
      <c r="A10428" s="786" t="s">
        <v>18572</v>
      </c>
      <c r="B10428" s="787">
        <v>4</v>
      </c>
      <c r="C10428" s="787" t="s">
        <v>18573</v>
      </c>
      <c r="D10428" s="787">
        <v>0.13</v>
      </c>
      <c r="E10428" s="787">
        <v>469.04</v>
      </c>
      <c r="F10428" s="788">
        <v>41775</v>
      </c>
      <c r="G10428" s="788">
        <v>42158</v>
      </c>
      <c r="H10428" s="787">
        <v>1</v>
      </c>
      <c r="I10428" s="788">
        <v>42158</v>
      </c>
      <c r="J10428" s="788">
        <v>42158</v>
      </c>
      <c r="K10428" s="788">
        <v>41016</v>
      </c>
      <c r="L10428" s="787">
        <v>0.1</v>
      </c>
      <c r="M10428" s="787">
        <v>10</v>
      </c>
      <c r="N10428" s="787">
        <v>505.36</v>
      </c>
      <c r="O10428" s="788">
        <v>42152</v>
      </c>
    </row>
    <row r="10429" spans="1:15" x14ac:dyDescent="0.25">
      <c r="A10429" s="786" t="s">
        <v>18574</v>
      </c>
      <c r="B10429" s="787">
        <v>4</v>
      </c>
      <c r="C10429" s="787" t="s">
        <v>18575</v>
      </c>
      <c r="D10429" s="787">
        <v>0</v>
      </c>
      <c r="E10429" s="787">
        <v>0</v>
      </c>
      <c r="H10429" s="787">
        <v>1</v>
      </c>
      <c r="I10429" s="788">
        <v>40921</v>
      </c>
      <c r="L10429" s="787">
        <v>0</v>
      </c>
      <c r="M10429" s="787">
        <v>10</v>
      </c>
      <c r="N10429" s="787">
        <v>553.32000000000005</v>
      </c>
      <c r="O10429" s="788">
        <v>42152</v>
      </c>
    </row>
    <row r="10430" spans="1:15" x14ac:dyDescent="0.25">
      <c r="A10430" s="786" t="s">
        <v>18576</v>
      </c>
      <c r="B10430" s="787">
        <v>4</v>
      </c>
      <c r="C10430" s="787" t="s">
        <v>18577</v>
      </c>
      <c r="D10430" s="787">
        <v>0</v>
      </c>
      <c r="E10430" s="787">
        <v>0</v>
      </c>
      <c r="H10430" s="787">
        <v>1</v>
      </c>
      <c r="K10430" s="788">
        <v>42163</v>
      </c>
      <c r="L10430" s="787">
        <v>567.47</v>
      </c>
      <c r="M10430" s="787">
        <v>10</v>
      </c>
      <c r="N10430" s="787">
        <v>567.47</v>
      </c>
      <c r="O10430" s="788">
        <v>42123</v>
      </c>
    </row>
    <row r="10431" spans="1:15" x14ac:dyDescent="0.25">
      <c r="A10431" s="786" t="s">
        <v>18578</v>
      </c>
      <c r="B10431" s="787">
        <v>4</v>
      </c>
      <c r="C10431" s="787" t="s">
        <v>18579</v>
      </c>
      <c r="D10431" s="787">
        <v>0</v>
      </c>
      <c r="E10431" s="787">
        <v>0</v>
      </c>
      <c r="G10431" s="788">
        <v>41801</v>
      </c>
      <c r="H10431" s="787">
        <v>1</v>
      </c>
      <c r="I10431" s="788">
        <v>41802</v>
      </c>
      <c r="J10431" s="788">
        <v>41801</v>
      </c>
      <c r="K10431" s="788">
        <v>42054</v>
      </c>
      <c r="L10431" s="787">
        <v>688.56</v>
      </c>
      <c r="M10431" s="787">
        <v>10</v>
      </c>
      <c r="N10431" s="787">
        <v>663.62</v>
      </c>
      <c r="O10431" s="788">
        <v>42146</v>
      </c>
    </row>
    <row r="10432" spans="1:15" x14ac:dyDescent="0.25">
      <c r="A10432" s="786" t="s">
        <v>18580</v>
      </c>
      <c r="B10432" s="787">
        <v>4</v>
      </c>
      <c r="C10432" s="787" t="s">
        <v>18581</v>
      </c>
      <c r="D10432" s="787">
        <v>2.5</v>
      </c>
      <c r="E10432" s="787">
        <v>450.5</v>
      </c>
      <c r="F10432" s="788">
        <v>39647</v>
      </c>
      <c r="G10432" s="788">
        <v>40399</v>
      </c>
      <c r="H10432" s="787">
        <v>1</v>
      </c>
      <c r="I10432" s="788">
        <v>39636</v>
      </c>
      <c r="J10432" s="788">
        <v>40400</v>
      </c>
      <c r="L10432" s="787">
        <v>450.5</v>
      </c>
      <c r="M10432" s="787">
        <v>20</v>
      </c>
      <c r="N10432" s="787">
        <v>484.29</v>
      </c>
      <c r="O10432" s="788">
        <v>42146</v>
      </c>
    </row>
    <row r="10433" spans="1:15" x14ac:dyDescent="0.25">
      <c r="A10433" s="786" t="s">
        <v>18582</v>
      </c>
      <c r="B10433" s="787">
        <v>4</v>
      </c>
      <c r="C10433" s="787" t="s">
        <v>18583</v>
      </c>
      <c r="D10433" s="787">
        <v>1</v>
      </c>
      <c r="E10433" s="787">
        <v>240.74</v>
      </c>
      <c r="F10433" s="788">
        <v>39101</v>
      </c>
      <c r="G10433" s="788">
        <v>42013</v>
      </c>
      <c r="H10433" s="787">
        <v>1</v>
      </c>
      <c r="I10433" s="788">
        <v>41836</v>
      </c>
      <c r="J10433" s="788">
        <v>39738</v>
      </c>
      <c r="L10433" s="787">
        <v>240.89</v>
      </c>
      <c r="M10433" s="787">
        <v>20</v>
      </c>
      <c r="N10433" s="787">
        <v>258.95999999999998</v>
      </c>
      <c r="O10433" s="788">
        <v>42162</v>
      </c>
    </row>
    <row r="10434" spans="1:15" x14ac:dyDescent="0.25">
      <c r="A10434" s="786" t="s">
        <v>18584</v>
      </c>
      <c r="B10434" s="787">
        <v>4</v>
      </c>
      <c r="C10434" s="787" t="s">
        <v>18585</v>
      </c>
      <c r="D10434" s="787">
        <v>5</v>
      </c>
      <c r="E10434" s="787">
        <v>245</v>
      </c>
      <c r="F10434" s="788">
        <v>38047</v>
      </c>
      <c r="G10434" s="788">
        <v>38364</v>
      </c>
      <c r="H10434" s="787">
        <v>6</v>
      </c>
      <c r="I10434" s="788">
        <v>39226</v>
      </c>
      <c r="J10434" s="788">
        <v>38047</v>
      </c>
      <c r="L10434" s="787">
        <v>267.05</v>
      </c>
      <c r="M10434" s="787">
        <v>20</v>
      </c>
      <c r="N10434" s="787">
        <v>263.38</v>
      </c>
      <c r="O10434" s="788">
        <v>41822</v>
      </c>
    </row>
    <row r="10435" spans="1:15" x14ac:dyDescent="0.25">
      <c r="A10435" s="786" t="s">
        <v>18586</v>
      </c>
      <c r="B10435" s="787">
        <v>4</v>
      </c>
      <c r="C10435" s="787" t="s">
        <v>18587</v>
      </c>
      <c r="D10435" s="787">
        <v>3.45</v>
      </c>
      <c r="E10435" s="787">
        <v>279</v>
      </c>
      <c r="F10435" s="788">
        <v>39101</v>
      </c>
      <c r="G10435" s="788">
        <v>42094</v>
      </c>
      <c r="H10435" s="787">
        <v>1</v>
      </c>
      <c r="I10435" s="788">
        <v>42166</v>
      </c>
      <c r="J10435" s="788">
        <v>42094</v>
      </c>
      <c r="K10435" s="788">
        <v>41926</v>
      </c>
      <c r="L10435" s="787">
        <v>272</v>
      </c>
      <c r="M10435" s="787">
        <v>20</v>
      </c>
      <c r="N10435" s="787">
        <v>292.39999999999998</v>
      </c>
      <c r="O10435" s="788">
        <v>42164</v>
      </c>
    </row>
    <row r="10436" spans="1:15" x14ac:dyDescent="0.25">
      <c r="A10436" s="786" t="s">
        <v>18588</v>
      </c>
      <c r="B10436" s="787">
        <v>4</v>
      </c>
      <c r="C10436" s="787" t="s">
        <v>18589</v>
      </c>
      <c r="D10436" s="787">
        <v>5.29</v>
      </c>
      <c r="E10436" s="787">
        <v>357.5</v>
      </c>
      <c r="F10436" s="788">
        <v>39101</v>
      </c>
      <c r="G10436" s="788">
        <v>42013</v>
      </c>
      <c r="H10436" s="787">
        <v>1</v>
      </c>
      <c r="I10436" s="788">
        <v>42156</v>
      </c>
      <c r="J10436" s="788">
        <v>41793</v>
      </c>
      <c r="K10436" s="788">
        <v>41926</v>
      </c>
      <c r="L10436" s="787">
        <v>350.5</v>
      </c>
      <c r="M10436" s="787">
        <v>20</v>
      </c>
      <c r="N10436" s="787">
        <v>376.79</v>
      </c>
      <c r="O10436" s="788">
        <v>42163</v>
      </c>
    </row>
    <row r="10437" spans="1:15" x14ac:dyDescent="0.25">
      <c r="A10437" s="786" t="s">
        <v>731</v>
      </c>
      <c r="B10437" s="787">
        <v>4</v>
      </c>
      <c r="C10437" s="787" t="s">
        <v>18590</v>
      </c>
      <c r="D10437" s="787">
        <v>5.49</v>
      </c>
      <c r="E10437" s="787">
        <v>349.5</v>
      </c>
      <c r="F10437" s="788">
        <v>39101</v>
      </c>
      <c r="G10437" s="788">
        <v>42094</v>
      </c>
      <c r="H10437" s="787">
        <v>1</v>
      </c>
      <c r="I10437" s="788">
        <v>42166</v>
      </c>
      <c r="J10437" s="788">
        <v>42094</v>
      </c>
      <c r="K10437" s="788">
        <v>41774</v>
      </c>
      <c r="L10437" s="787">
        <v>345</v>
      </c>
      <c r="M10437" s="787">
        <v>20</v>
      </c>
      <c r="N10437" s="787">
        <v>370.88</v>
      </c>
      <c r="O10437" s="788">
        <v>42164</v>
      </c>
    </row>
    <row r="10438" spans="1:15" x14ac:dyDescent="0.25">
      <c r="A10438" s="786" t="s">
        <v>18591</v>
      </c>
      <c r="B10438" s="787">
        <v>4</v>
      </c>
      <c r="C10438" s="787" t="s">
        <v>18592</v>
      </c>
      <c r="D10438" s="787">
        <v>4.3</v>
      </c>
      <c r="E10438" s="787">
        <v>30.78</v>
      </c>
      <c r="F10438" s="788">
        <v>39353</v>
      </c>
      <c r="G10438" s="788">
        <v>42142</v>
      </c>
      <c r="H10438" s="787">
        <v>1</v>
      </c>
      <c r="I10438" s="788">
        <v>42158</v>
      </c>
      <c r="J10438" s="788">
        <v>42110</v>
      </c>
      <c r="K10438" s="788">
        <v>41696</v>
      </c>
      <c r="L10438" s="787">
        <v>30.78</v>
      </c>
      <c r="M10438" s="787">
        <v>20</v>
      </c>
      <c r="N10438" s="787">
        <v>33.090000000000003</v>
      </c>
      <c r="O10438" s="788">
        <v>42163</v>
      </c>
    </row>
    <row r="10439" spans="1:15" x14ac:dyDescent="0.25">
      <c r="A10439" s="786" t="s">
        <v>18593</v>
      </c>
      <c r="B10439" s="787">
        <v>4</v>
      </c>
      <c r="C10439" s="787" t="s">
        <v>18594</v>
      </c>
      <c r="D10439" s="787">
        <v>3.97</v>
      </c>
      <c r="E10439" s="787">
        <v>30.78</v>
      </c>
      <c r="F10439" s="788">
        <v>39101</v>
      </c>
      <c r="G10439" s="788">
        <v>42150</v>
      </c>
      <c r="H10439" s="787">
        <v>1</v>
      </c>
      <c r="I10439" s="788">
        <v>42166</v>
      </c>
      <c r="J10439" s="788">
        <v>42137</v>
      </c>
      <c r="K10439" s="788">
        <v>41696</v>
      </c>
      <c r="L10439" s="787">
        <v>30.78</v>
      </c>
      <c r="M10439" s="787">
        <v>20</v>
      </c>
      <c r="N10439" s="787">
        <v>33.090000000000003</v>
      </c>
      <c r="O10439" s="788">
        <v>42164</v>
      </c>
    </row>
    <row r="10440" spans="1:15" x14ac:dyDescent="0.25">
      <c r="A10440" s="786" t="s">
        <v>18595</v>
      </c>
      <c r="B10440" s="787">
        <v>4</v>
      </c>
      <c r="C10440" s="787" t="s">
        <v>18596</v>
      </c>
      <c r="D10440" s="787">
        <v>7</v>
      </c>
      <c r="E10440" s="787">
        <v>540</v>
      </c>
      <c r="F10440" s="788">
        <v>40239</v>
      </c>
      <c r="G10440" s="788">
        <v>42013</v>
      </c>
      <c r="H10440" s="787">
        <v>1</v>
      </c>
      <c r="I10440" s="788">
        <v>42143</v>
      </c>
      <c r="J10440" s="788">
        <v>41568</v>
      </c>
      <c r="K10440" s="788">
        <v>41277</v>
      </c>
      <c r="L10440" s="787">
        <v>526</v>
      </c>
      <c r="M10440" s="787">
        <v>20</v>
      </c>
      <c r="N10440" s="787">
        <v>565.45000000000005</v>
      </c>
      <c r="O10440" s="788">
        <v>42144</v>
      </c>
    </row>
    <row r="10441" spans="1:15" x14ac:dyDescent="0.25">
      <c r="A10441" s="786" t="s">
        <v>18597</v>
      </c>
      <c r="B10441" s="787">
        <v>4</v>
      </c>
      <c r="C10441" s="787" t="s">
        <v>18598</v>
      </c>
      <c r="D10441" s="787">
        <v>0.85</v>
      </c>
      <c r="E10441" s="787">
        <v>130.85</v>
      </c>
      <c r="F10441" s="788">
        <v>38047</v>
      </c>
      <c r="G10441" s="788">
        <v>38180</v>
      </c>
      <c r="H10441" s="787">
        <v>6</v>
      </c>
      <c r="I10441" s="788">
        <v>40109</v>
      </c>
      <c r="J10441" s="788">
        <v>38176</v>
      </c>
      <c r="L10441" s="787">
        <v>142.63</v>
      </c>
      <c r="M10441" s="787">
        <v>20</v>
      </c>
      <c r="N10441" s="787">
        <v>140.66</v>
      </c>
      <c r="O10441" s="788">
        <v>41815</v>
      </c>
    </row>
    <row r="10442" spans="1:15" x14ac:dyDescent="0.25">
      <c r="A10442" s="786" t="s">
        <v>18599</v>
      </c>
      <c r="B10442" s="787">
        <v>4</v>
      </c>
      <c r="C10442" s="787" t="s">
        <v>18600</v>
      </c>
      <c r="D10442" s="787">
        <v>8.24</v>
      </c>
      <c r="E10442" s="787">
        <v>158.24</v>
      </c>
      <c r="F10442" s="788">
        <v>38047</v>
      </c>
      <c r="G10442" s="788">
        <v>38047</v>
      </c>
      <c r="H10442" s="787">
        <v>6</v>
      </c>
      <c r="I10442" s="788">
        <v>38093</v>
      </c>
      <c r="J10442" s="788">
        <v>38047</v>
      </c>
      <c r="L10442" s="787">
        <v>172.48</v>
      </c>
      <c r="M10442" s="787">
        <v>20</v>
      </c>
      <c r="N10442" s="787">
        <v>170.11</v>
      </c>
      <c r="O10442" s="788">
        <v>41814</v>
      </c>
    </row>
    <row r="10443" spans="1:15" x14ac:dyDescent="0.25">
      <c r="A10443" s="786" t="s">
        <v>18601</v>
      </c>
      <c r="B10443" s="787">
        <v>4</v>
      </c>
      <c r="C10443" s="787" t="s">
        <v>18602</v>
      </c>
      <c r="D10443" s="787">
        <v>5</v>
      </c>
      <c r="E10443" s="787">
        <v>205</v>
      </c>
      <c r="F10443" s="788">
        <v>37637</v>
      </c>
      <c r="G10443" s="788">
        <v>37714</v>
      </c>
      <c r="H10443" s="787">
        <v>6</v>
      </c>
      <c r="I10443" s="788">
        <v>37994</v>
      </c>
      <c r="J10443" s="788">
        <v>37949</v>
      </c>
      <c r="L10443" s="787">
        <v>223.45</v>
      </c>
      <c r="M10443" s="787">
        <v>20</v>
      </c>
      <c r="N10443" s="787">
        <v>220.38</v>
      </c>
      <c r="O10443" s="788">
        <v>41806</v>
      </c>
    </row>
    <row r="10444" spans="1:15" x14ac:dyDescent="0.25">
      <c r="A10444" s="786" t="s">
        <v>18603</v>
      </c>
      <c r="B10444" s="787">
        <v>4</v>
      </c>
      <c r="C10444" s="787" t="s">
        <v>18598</v>
      </c>
      <c r="D10444" s="787">
        <v>9.33</v>
      </c>
      <c r="E10444" s="787">
        <v>223</v>
      </c>
      <c r="F10444" s="788">
        <v>38047</v>
      </c>
      <c r="G10444" s="788">
        <v>38097</v>
      </c>
      <c r="H10444" s="787">
        <v>6</v>
      </c>
      <c r="I10444" s="788">
        <v>40142</v>
      </c>
      <c r="J10444" s="788">
        <v>38078</v>
      </c>
      <c r="L10444" s="787">
        <v>243.07</v>
      </c>
      <c r="M10444" s="787">
        <v>20</v>
      </c>
      <c r="N10444" s="787">
        <v>239.73</v>
      </c>
      <c r="O10444" s="788">
        <v>41806</v>
      </c>
    </row>
    <row r="10445" spans="1:15" x14ac:dyDescent="0.25">
      <c r="A10445" s="786" t="s">
        <v>18604</v>
      </c>
      <c r="B10445" s="787">
        <v>4</v>
      </c>
      <c r="C10445" s="787" t="s">
        <v>18605</v>
      </c>
      <c r="D10445" s="787">
        <v>0.85</v>
      </c>
      <c r="E10445" s="787">
        <v>130.85</v>
      </c>
      <c r="F10445" s="788">
        <v>37287</v>
      </c>
      <c r="G10445" s="788">
        <v>37880</v>
      </c>
      <c r="H10445" s="787">
        <v>6</v>
      </c>
      <c r="I10445" s="788">
        <v>38709</v>
      </c>
      <c r="J10445" s="788">
        <v>37880</v>
      </c>
      <c r="L10445" s="787">
        <v>142.63</v>
      </c>
      <c r="M10445" s="787">
        <v>20</v>
      </c>
      <c r="N10445" s="787">
        <v>140.66</v>
      </c>
      <c r="O10445" s="788">
        <v>41806</v>
      </c>
    </row>
    <row r="10446" spans="1:15" x14ac:dyDescent="0.25">
      <c r="A10446" s="786" t="s">
        <v>18606</v>
      </c>
      <c r="B10446" s="787">
        <v>4</v>
      </c>
      <c r="C10446" s="787" t="s">
        <v>18607</v>
      </c>
      <c r="D10446" s="787">
        <v>3.09</v>
      </c>
      <c r="E10446" s="787">
        <v>253.09</v>
      </c>
      <c r="F10446" s="788">
        <v>37287</v>
      </c>
      <c r="G10446" s="788">
        <v>37287</v>
      </c>
      <c r="H10446" s="787">
        <v>6</v>
      </c>
      <c r="I10446" s="788">
        <v>37162</v>
      </c>
      <c r="J10446" s="788">
        <v>37636</v>
      </c>
      <c r="L10446" s="787">
        <v>275.87</v>
      </c>
      <c r="M10446" s="787">
        <v>20</v>
      </c>
      <c r="N10446" s="787">
        <v>272.07</v>
      </c>
      <c r="O10446" s="788">
        <v>41806</v>
      </c>
    </row>
    <row r="10447" spans="1:15" x14ac:dyDescent="0.25">
      <c r="A10447" s="786" t="s">
        <v>18608</v>
      </c>
      <c r="B10447" s="787">
        <v>4</v>
      </c>
      <c r="C10447" s="787" t="s">
        <v>18609</v>
      </c>
      <c r="D10447" s="787">
        <v>3.07</v>
      </c>
      <c r="E10447" s="787">
        <v>3.07</v>
      </c>
      <c r="F10447" s="788">
        <v>37648</v>
      </c>
      <c r="G10447" s="788">
        <v>37648</v>
      </c>
      <c r="H10447" s="787">
        <v>1</v>
      </c>
      <c r="I10447" s="788">
        <v>42157</v>
      </c>
      <c r="J10447" s="788">
        <v>41758</v>
      </c>
      <c r="L10447" s="787">
        <v>3.35</v>
      </c>
      <c r="M10447" s="787">
        <v>20</v>
      </c>
      <c r="N10447" s="787">
        <v>3.6</v>
      </c>
      <c r="O10447" s="788">
        <v>41858</v>
      </c>
    </row>
    <row r="10448" spans="1:15" x14ac:dyDescent="0.25">
      <c r="A10448" s="786" t="s">
        <v>18610</v>
      </c>
      <c r="B10448" s="787">
        <v>4</v>
      </c>
      <c r="C10448" s="787" t="s">
        <v>18611</v>
      </c>
      <c r="D10448" s="787">
        <v>8.75</v>
      </c>
      <c r="E10448" s="787">
        <v>203.64</v>
      </c>
      <c r="F10448" s="788">
        <v>39861</v>
      </c>
      <c r="G10448" s="788">
        <v>41646</v>
      </c>
      <c r="H10448" s="787">
        <v>1</v>
      </c>
      <c r="I10448" s="788">
        <v>41320</v>
      </c>
      <c r="J10448" s="788">
        <v>39910</v>
      </c>
      <c r="L10448" s="787">
        <v>203.64</v>
      </c>
      <c r="M10448" s="787">
        <v>20</v>
      </c>
      <c r="N10448" s="787">
        <v>218.91</v>
      </c>
      <c r="O10448" s="788">
        <v>42123</v>
      </c>
    </row>
    <row r="10449" spans="1:15" x14ac:dyDescent="0.25">
      <c r="A10449" s="786" t="s">
        <v>18612</v>
      </c>
      <c r="B10449" s="787">
        <v>4</v>
      </c>
      <c r="C10449" s="787" t="s">
        <v>18613</v>
      </c>
      <c r="D10449" s="787">
        <v>5.0199999999999996</v>
      </c>
      <c r="E10449" s="787">
        <v>256.89999999999998</v>
      </c>
      <c r="F10449" s="788">
        <v>39202</v>
      </c>
      <c r="G10449" s="788">
        <v>42013</v>
      </c>
      <c r="H10449" s="787">
        <v>1</v>
      </c>
      <c r="I10449" s="788">
        <v>41477</v>
      </c>
      <c r="J10449" s="788">
        <v>40420</v>
      </c>
      <c r="L10449" s="787">
        <v>256.89999999999998</v>
      </c>
      <c r="M10449" s="787">
        <v>20</v>
      </c>
      <c r="N10449" s="787">
        <v>276.17</v>
      </c>
      <c r="O10449" s="788">
        <v>42123</v>
      </c>
    </row>
    <row r="10450" spans="1:15" x14ac:dyDescent="0.25">
      <c r="A10450" s="786" t="s">
        <v>18614</v>
      </c>
      <c r="B10450" s="787">
        <v>4</v>
      </c>
      <c r="C10450" s="787" t="s">
        <v>18615</v>
      </c>
      <c r="D10450" s="787">
        <v>6.63</v>
      </c>
      <c r="E10450" s="787">
        <v>761.13</v>
      </c>
      <c r="F10450" s="788">
        <v>41920</v>
      </c>
      <c r="G10450" s="788">
        <v>42163</v>
      </c>
      <c r="H10450" s="787">
        <v>1</v>
      </c>
      <c r="I10450" s="788">
        <v>42151</v>
      </c>
      <c r="J10450" s="788">
        <v>42124</v>
      </c>
      <c r="K10450" s="788">
        <v>42060</v>
      </c>
      <c r="L10450" s="787">
        <v>744.03</v>
      </c>
      <c r="M10450" s="787">
        <v>20</v>
      </c>
      <c r="N10450" s="787">
        <v>799.83</v>
      </c>
      <c r="O10450" s="788">
        <v>42127</v>
      </c>
    </row>
    <row r="10451" spans="1:15" x14ac:dyDescent="0.25">
      <c r="A10451" s="786" t="s">
        <v>18616</v>
      </c>
      <c r="B10451" s="787">
        <v>4</v>
      </c>
      <c r="C10451" s="787" t="s">
        <v>18617</v>
      </c>
      <c r="D10451" s="787">
        <v>7.75</v>
      </c>
      <c r="E10451" s="787">
        <v>997.75</v>
      </c>
      <c r="F10451" s="788">
        <v>41893</v>
      </c>
      <c r="G10451" s="788">
        <v>41897</v>
      </c>
      <c r="H10451" s="787">
        <v>1</v>
      </c>
      <c r="I10451" s="788">
        <v>41894</v>
      </c>
      <c r="J10451" s="788">
        <v>41892</v>
      </c>
      <c r="K10451" s="788">
        <v>41869</v>
      </c>
      <c r="L10451" s="787">
        <v>977.26</v>
      </c>
      <c r="M10451" s="787">
        <v>20</v>
      </c>
      <c r="N10451" s="789">
        <v>1050.55</v>
      </c>
      <c r="O10451" s="788">
        <v>41869</v>
      </c>
    </row>
    <row r="10452" spans="1:15" x14ac:dyDescent="0.25">
      <c r="A10452" s="786" t="s">
        <v>18618</v>
      </c>
      <c r="B10452" s="787">
        <v>4</v>
      </c>
      <c r="C10452" s="787" t="s">
        <v>18619</v>
      </c>
      <c r="D10452" s="787">
        <v>2.4700000000000002</v>
      </c>
      <c r="E10452" s="787">
        <v>572.47</v>
      </c>
      <c r="F10452" s="788">
        <v>41899</v>
      </c>
      <c r="G10452" s="788">
        <v>41904</v>
      </c>
      <c r="H10452" s="787">
        <v>1</v>
      </c>
      <c r="I10452" s="788">
        <v>41894</v>
      </c>
      <c r="J10452" s="788">
        <v>41894</v>
      </c>
      <c r="K10452" s="788">
        <v>41869</v>
      </c>
      <c r="L10452" s="787">
        <v>551.98</v>
      </c>
      <c r="M10452" s="787">
        <v>20</v>
      </c>
      <c r="N10452" s="787">
        <v>593.38</v>
      </c>
      <c r="O10452" s="788">
        <v>41869</v>
      </c>
    </row>
    <row r="10453" spans="1:15" x14ac:dyDescent="0.25">
      <c r="A10453" s="786" t="s">
        <v>18620</v>
      </c>
      <c r="B10453" s="787">
        <v>4</v>
      </c>
      <c r="C10453" s="787" t="s">
        <v>18621</v>
      </c>
      <c r="D10453" s="787">
        <v>6.16</v>
      </c>
      <c r="E10453" s="787">
        <v>976.16</v>
      </c>
      <c r="F10453" s="788">
        <v>41908</v>
      </c>
      <c r="G10453" s="788">
        <v>41911</v>
      </c>
      <c r="H10453" s="787">
        <v>1</v>
      </c>
      <c r="I10453" s="788">
        <v>41920</v>
      </c>
      <c r="J10453" s="788">
        <v>41906</v>
      </c>
      <c r="K10453" s="788">
        <v>41885</v>
      </c>
      <c r="L10453" s="787">
        <v>923.78</v>
      </c>
      <c r="M10453" s="787">
        <v>20</v>
      </c>
      <c r="N10453" s="787">
        <v>993.06</v>
      </c>
      <c r="O10453" s="788">
        <v>41885</v>
      </c>
    </row>
    <row r="10454" spans="1:15" x14ac:dyDescent="0.25">
      <c r="A10454" s="786" t="s">
        <v>18622</v>
      </c>
      <c r="B10454" s="787">
        <v>4</v>
      </c>
      <c r="C10454" s="787" t="s">
        <v>18623</v>
      </c>
      <c r="D10454" s="787">
        <v>1.1000000000000001</v>
      </c>
      <c r="E10454" s="787">
        <v>701.1</v>
      </c>
      <c r="F10454" s="788">
        <v>41991</v>
      </c>
      <c r="G10454" s="788">
        <v>42008</v>
      </c>
      <c r="H10454" s="787">
        <v>1</v>
      </c>
      <c r="I10454" s="788">
        <v>41974</v>
      </c>
      <c r="J10454" s="788">
        <v>41988</v>
      </c>
      <c r="K10454" s="788">
        <v>41925</v>
      </c>
      <c r="L10454" s="787">
        <v>700.25</v>
      </c>
      <c r="M10454" s="787">
        <v>20</v>
      </c>
      <c r="N10454" s="787">
        <v>752.77</v>
      </c>
      <c r="O10454" s="788">
        <v>41925</v>
      </c>
    </row>
    <row r="10455" spans="1:15" x14ac:dyDescent="0.25">
      <c r="A10455" s="786" t="s">
        <v>18624</v>
      </c>
      <c r="B10455" s="787">
        <v>4</v>
      </c>
      <c r="C10455" s="787" t="s">
        <v>18625</v>
      </c>
      <c r="D10455" s="787">
        <v>0.95</v>
      </c>
      <c r="E10455" s="787">
        <v>540.95000000000005</v>
      </c>
      <c r="F10455" s="788">
        <v>37287</v>
      </c>
      <c r="G10455" s="788">
        <v>37287</v>
      </c>
      <c r="H10455" s="787">
        <v>1</v>
      </c>
      <c r="J10455" s="788">
        <v>37636</v>
      </c>
      <c r="L10455" s="787">
        <v>589.64</v>
      </c>
      <c r="M10455" s="787">
        <v>20</v>
      </c>
      <c r="N10455" s="787">
        <v>633.86</v>
      </c>
      <c r="O10455" s="788">
        <v>41858</v>
      </c>
    </row>
    <row r="10456" spans="1:15" x14ac:dyDescent="0.25">
      <c r="A10456" s="786" t="s">
        <v>18626</v>
      </c>
      <c r="B10456" s="787">
        <v>4</v>
      </c>
      <c r="C10456" s="787" t="s">
        <v>18627</v>
      </c>
      <c r="D10456" s="787">
        <v>3.23</v>
      </c>
      <c r="E10456" s="787">
        <v>33.229999999999997</v>
      </c>
      <c r="F10456" s="788">
        <v>38047</v>
      </c>
      <c r="G10456" s="788">
        <v>38047</v>
      </c>
      <c r="H10456" s="787">
        <v>1</v>
      </c>
      <c r="I10456" s="788">
        <v>37278</v>
      </c>
      <c r="J10456" s="788">
        <v>38047</v>
      </c>
      <c r="L10456" s="787">
        <v>36.22</v>
      </c>
      <c r="M10456" s="787">
        <v>20</v>
      </c>
      <c r="N10456" s="787">
        <v>38.94</v>
      </c>
      <c r="O10456" s="788">
        <v>42075</v>
      </c>
    </row>
    <row r="10457" spans="1:15" x14ac:dyDescent="0.25">
      <c r="A10457" s="786" t="s">
        <v>18628</v>
      </c>
      <c r="B10457" s="787">
        <v>4</v>
      </c>
      <c r="C10457" s="787" t="s">
        <v>18629</v>
      </c>
      <c r="D10457" s="787">
        <v>7.93</v>
      </c>
      <c r="E10457" s="787">
        <v>91.64</v>
      </c>
      <c r="F10457" s="788">
        <v>38047</v>
      </c>
      <c r="G10457" s="788">
        <v>38814</v>
      </c>
      <c r="H10457" s="787">
        <v>1</v>
      </c>
      <c r="I10457" s="788">
        <v>39066</v>
      </c>
      <c r="J10457" s="788">
        <v>38818</v>
      </c>
      <c r="L10457" s="787">
        <v>52.24</v>
      </c>
      <c r="M10457" s="787">
        <v>20</v>
      </c>
      <c r="N10457" s="787">
        <v>56.16</v>
      </c>
      <c r="O10457" s="788">
        <v>41858</v>
      </c>
    </row>
    <row r="10458" spans="1:15" x14ac:dyDescent="0.25">
      <c r="A10458" s="786" t="s">
        <v>18630</v>
      </c>
      <c r="B10458" s="787">
        <v>4</v>
      </c>
      <c r="C10458" s="787" t="s">
        <v>18631</v>
      </c>
      <c r="D10458" s="787">
        <v>0</v>
      </c>
      <c r="E10458" s="787">
        <v>0</v>
      </c>
      <c r="G10458" s="788">
        <v>37546</v>
      </c>
      <c r="H10458" s="787">
        <v>1</v>
      </c>
      <c r="J10458" s="788">
        <v>37546</v>
      </c>
      <c r="L10458" s="787">
        <v>95.6</v>
      </c>
      <c r="M10458" s="787">
        <v>20</v>
      </c>
      <c r="N10458" s="787">
        <v>102.77</v>
      </c>
      <c r="O10458" s="788">
        <v>41858</v>
      </c>
    </row>
    <row r="10459" spans="1:15" x14ac:dyDescent="0.25">
      <c r="A10459" s="786" t="s">
        <v>18632</v>
      </c>
      <c r="B10459" s="787">
        <v>4</v>
      </c>
      <c r="C10459" s="787" t="s">
        <v>18633</v>
      </c>
      <c r="D10459" s="787">
        <v>4</v>
      </c>
      <c r="E10459" s="787">
        <v>34</v>
      </c>
      <c r="F10459" s="788">
        <v>38047</v>
      </c>
      <c r="G10459" s="788">
        <v>38047</v>
      </c>
      <c r="H10459" s="787">
        <v>1</v>
      </c>
      <c r="J10459" s="788">
        <v>38047</v>
      </c>
      <c r="L10459" s="787">
        <v>37.06</v>
      </c>
      <c r="M10459" s="787">
        <v>20</v>
      </c>
      <c r="N10459" s="787">
        <v>39.840000000000003</v>
      </c>
      <c r="O10459" s="788">
        <v>42075</v>
      </c>
    </row>
    <row r="10460" spans="1:15" x14ac:dyDescent="0.25">
      <c r="A10460" s="786" t="s">
        <v>18634</v>
      </c>
      <c r="B10460" s="787">
        <v>4</v>
      </c>
      <c r="C10460" s="787" t="s">
        <v>18635</v>
      </c>
      <c r="D10460" s="787">
        <v>0</v>
      </c>
      <c r="E10460" s="787">
        <v>355.88</v>
      </c>
      <c r="H10460" s="787">
        <v>1</v>
      </c>
      <c r="K10460" s="788">
        <v>42067</v>
      </c>
      <c r="L10460" s="787">
        <v>415.88</v>
      </c>
      <c r="M10460" s="787">
        <v>20</v>
      </c>
      <c r="N10460" s="787">
        <v>447.07</v>
      </c>
      <c r="O10460" s="788">
        <v>42067</v>
      </c>
    </row>
    <row r="10461" spans="1:15" x14ac:dyDescent="0.25">
      <c r="A10461" s="786" t="s">
        <v>18636</v>
      </c>
      <c r="B10461" s="787">
        <v>4</v>
      </c>
      <c r="C10461" s="787" t="s">
        <v>18635</v>
      </c>
      <c r="D10461" s="787">
        <v>0</v>
      </c>
      <c r="E10461" s="787">
        <v>584.6</v>
      </c>
      <c r="H10461" s="787">
        <v>1</v>
      </c>
      <c r="K10461" s="788">
        <v>42067</v>
      </c>
      <c r="L10461" s="787">
        <v>644.6</v>
      </c>
      <c r="M10461" s="787">
        <v>20</v>
      </c>
      <c r="N10461" s="787">
        <v>692.95</v>
      </c>
      <c r="O10461" s="788">
        <v>42067</v>
      </c>
    </row>
    <row r="10462" spans="1:15" x14ac:dyDescent="0.25">
      <c r="A10462" s="786" t="s">
        <v>18637</v>
      </c>
      <c r="B10462" s="787">
        <v>4</v>
      </c>
      <c r="C10462" s="787" t="s">
        <v>18635</v>
      </c>
      <c r="D10462" s="787">
        <v>0</v>
      </c>
      <c r="E10462" s="787">
        <v>419.04</v>
      </c>
      <c r="H10462" s="787">
        <v>1</v>
      </c>
      <c r="K10462" s="788">
        <v>42067</v>
      </c>
      <c r="L10462" s="787">
        <v>479</v>
      </c>
      <c r="M10462" s="787">
        <v>20</v>
      </c>
      <c r="N10462" s="787">
        <v>514.92999999999995</v>
      </c>
      <c r="O10462" s="788">
        <v>42067</v>
      </c>
    </row>
    <row r="10463" spans="1:15" x14ac:dyDescent="0.25">
      <c r="A10463" s="786" t="s">
        <v>18638</v>
      </c>
      <c r="B10463" s="787">
        <v>4</v>
      </c>
      <c r="C10463" s="787" t="s">
        <v>18639</v>
      </c>
      <c r="D10463" s="787">
        <v>0</v>
      </c>
      <c r="E10463" s="787">
        <v>715.32</v>
      </c>
      <c r="H10463" s="787">
        <v>1</v>
      </c>
      <c r="K10463" s="788">
        <v>42067</v>
      </c>
      <c r="L10463" s="787">
        <v>775.32</v>
      </c>
      <c r="M10463" s="787">
        <v>20</v>
      </c>
      <c r="N10463" s="787">
        <v>833.47</v>
      </c>
      <c r="O10463" s="788">
        <v>42067</v>
      </c>
    </row>
    <row r="10464" spans="1:15" x14ac:dyDescent="0.25">
      <c r="A10464" s="786" t="s">
        <v>18640</v>
      </c>
      <c r="B10464" s="787">
        <v>4</v>
      </c>
      <c r="C10464" s="787" t="s">
        <v>18641</v>
      </c>
      <c r="D10464" s="787">
        <v>9.44</v>
      </c>
      <c r="E10464" s="787">
        <v>359.44</v>
      </c>
      <c r="F10464" s="788">
        <v>37287</v>
      </c>
      <c r="G10464" s="788">
        <v>37287</v>
      </c>
      <c r="H10464" s="787">
        <v>1</v>
      </c>
      <c r="J10464" s="788">
        <v>37287</v>
      </c>
      <c r="L10464" s="787">
        <v>391.79</v>
      </c>
      <c r="M10464" s="787">
        <v>20</v>
      </c>
      <c r="N10464" s="787">
        <v>421.17</v>
      </c>
      <c r="O10464" s="788">
        <v>41858</v>
      </c>
    </row>
    <row r="10465" spans="1:15" x14ac:dyDescent="0.25">
      <c r="A10465" s="786" t="s">
        <v>18642</v>
      </c>
      <c r="B10465" s="787">
        <v>4</v>
      </c>
      <c r="C10465" s="787" t="s">
        <v>18643</v>
      </c>
      <c r="D10465" s="787">
        <v>4.38</v>
      </c>
      <c r="E10465" s="787">
        <v>334.38</v>
      </c>
      <c r="F10465" s="788">
        <v>37287</v>
      </c>
      <c r="G10465" s="788">
        <v>37369</v>
      </c>
      <c r="H10465" s="787">
        <v>1</v>
      </c>
      <c r="I10465" s="788">
        <v>37383</v>
      </c>
      <c r="J10465" s="788">
        <v>37369</v>
      </c>
      <c r="L10465" s="787">
        <v>364.47</v>
      </c>
      <c r="M10465" s="787">
        <v>20</v>
      </c>
      <c r="N10465" s="787">
        <v>391.81</v>
      </c>
      <c r="O10465" s="788">
        <v>41858</v>
      </c>
    </row>
    <row r="10466" spans="1:15" x14ac:dyDescent="0.25">
      <c r="A10466" s="786" t="s">
        <v>18644</v>
      </c>
      <c r="B10466" s="787">
        <v>4</v>
      </c>
      <c r="C10466" s="787" t="s">
        <v>18645</v>
      </c>
      <c r="D10466" s="787">
        <v>8.9</v>
      </c>
      <c r="E10466" s="787">
        <v>11.43</v>
      </c>
      <c r="F10466" s="788">
        <v>39391</v>
      </c>
      <c r="G10466" s="788">
        <v>42013</v>
      </c>
      <c r="H10466" s="787">
        <v>1</v>
      </c>
      <c r="I10466" s="788">
        <v>42165</v>
      </c>
      <c r="J10466" s="788">
        <v>41596</v>
      </c>
      <c r="K10466" s="788">
        <v>41184</v>
      </c>
      <c r="L10466" s="787">
        <v>11.3</v>
      </c>
      <c r="M10466" s="787">
        <v>20</v>
      </c>
      <c r="N10466" s="787">
        <v>12.15</v>
      </c>
      <c r="O10466" s="788">
        <v>42164</v>
      </c>
    </row>
    <row r="10467" spans="1:15" x14ac:dyDescent="0.25">
      <c r="A10467" s="786" t="s">
        <v>18646</v>
      </c>
      <c r="B10467" s="787">
        <v>4</v>
      </c>
      <c r="C10467" s="787" t="s">
        <v>18647</v>
      </c>
      <c r="D10467" s="787">
        <v>8.2799999999999994</v>
      </c>
      <c r="E10467" s="787">
        <v>8.2799999999999994</v>
      </c>
      <c r="F10467" s="788">
        <v>37636</v>
      </c>
      <c r="G10467" s="788">
        <v>37636</v>
      </c>
      <c r="H10467" s="787">
        <v>1</v>
      </c>
      <c r="J10467" s="788">
        <v>37636</v>
      </c>
      <c r="L10467" s="787">
        <v>9.0299999999999994</v>
      </c>
      <c r="M10467" s="787">
        <v>20</v>
      </c>
      <c r="N10467" s="787">
        <v>9.7100000000000009</v>
      </c>
      <c r="O10467" s="788">
        <v>41858</v>
      </c>
    </row>
    <row r="10468" spans="1:15" x14ac:dyDescent="0.25">
      <c r="A10468" s="786" t="s">
        <v>18648</v>
      </c>
      <c r="B10468" s="787">
        <v>4</v>
      </c>
      <c r="C10468" s="787" t="s">
        <v>18649</v>
      </c>
      <c r="D10468" s="787">
        <v>6.54</v>
      </c>
      <c r="E10468" s="787">
        <v>13.97</v>
      </c>
      <c r="F10468" s="788">
        <v>39101</v>
      </c>
      <c r="G10468" s="788">
        <v>42013</v>
      </c>
      <c r="H10468" s="787">
        <v>1</v>
      </c>
      <c r="I10468" s="788">
        <v>42146</v>
      </c>
      <c r="J10468" s="788">
        <v>41893</v>
      </c>
      <c r="K10468" s="788">
        <v>41873</v>
      </c>
      <c r="L10468" s="787">
        <v>13.65</v>
      </c>
      <c r="M10468" s="787">
        <v>20</v>
      </c>
      <c r="N10468" s="787">
        <v>14.67</v>
      </c>
      <c r="O10468" s="788">
        <v>42162</v>
      </c>
    </row>
    <row r="10469" spans="1:15" x14ac:dyDescent="0.25">
      <c r="A10469" s="786" t="s">
        <v>18650</v>
      </c>
      <c r="B10469" s="787">
        <v>4</v>
      </c>
      <c r="C10469" s="787" t="s">
        <v>18651</v>
      </c>
      <c r="D10469" s="787">
        <v>0.41</v>
      </c>
      <c r="E10469" s="787">
        <v>28.34</v>
      </c>
      <c r="F10469" s="788">
        <v>39101</v>
      </c>
      <c r="G10469" s="788">
        <v>42013</v>
      </c>
      <c r="H10469" s="787">
        <v>1</v>
      </c>
      <c r="I10469" s="788">
        <v>41900</v>
      </c>
      <c r="J10469" s="788">
        <v>41905</v>
      </c>
      <c r="K10469" s="788">
        <v>40912</v>
      </c>
      <c r="L10469" s="787">
        <v>27.44</v>
      </c>
      <c r="M10469" s="787">
        <v>20</v>
      </c>
      <c r="N10469" s="787">
        <v>29.5</v>
      </c>
      <c r="O10469" s="788">
        <v>42052</v>
      </c>
    </row>
    <row r="10470" spans="1:15" x14ac:dyDescent="0.25">
      <c r="A10470" s="786" t="s">
        <v>18652</v>
      </c>
      <c r="B10470" s="787">
        <v>4</v>
      </c>
      <c r="C10470" s="787" t="s">
        <v>18653</v>
      </c>
      <c r="D10470" s="787">
        <v>3.47</v>
      </c>
      <c r="E10470" s="787">
        <v>28.34</v>
      </c>
      <c r="F10470" s="788">
        <v>39101</v>
      </c>
      <c r="G10470" s="788">
        <v>42013</v>
      </c>
      <c r="H10470" s="787">
        <v>1</v>
      </c>
      <c r="I10470" s="788">
        <v>41920</v>
      </c>
      <c r="J10470" s="788">
        <v>41905</v>
      </c>
      <c r="K10470" s="788">
        <v>40912</v>
      </c>
      <c r="L10470" s="787">
        <v>27.44</v>
      </c>
      <c r="M10470" s="787">
        <v>20</v>
      </c>
      <c r="N10470" s="787">
        <v>29.5</v>
      </c>
      <c r="O10470" s="788">
        <v>42052</v>
      </c>
    </row>
    <row r="10471" spans="1:15" x14ac:dyDescent="0.25">
      <c r="A10471" s="786" t="s">
        <v>18654</v>
      </c>
      <c r="B10471" s="787">
        <v>4</v>
      </c>
      <c r="C10471" s="787" t="s">
        <v>18655</v>
      </c>
      <c r="D10471" s="787">
        <v>3.34</v>
      </c>
      <c r="E10471" s="787">
        <v>5.59</v>
      </c>
      <c r="F10471" s="788">
        <v>39101</v>
      </c>
      <c r="G10471" s="788">
        <v>42013</v>
      </c>
      <c r="H10471" s="787">
        <v>1</v>
      </c>
      <c r="I10471" s="788">
        <v>42024</v>
      </c>
      <c r="J10471" s="788">
        <v>40218</v>
      </c>
      <c r="K10471" s="788">
        <v>41865</v>
      </c>
      <c r="L10471" s="787">
        <v>5.5</v>
      </c>
      <c r="M10471" s="787">
        <v>20</v>
      </c>
      <c r="N10471" s="787">
        <v>5.91</v>
      </c>
      <c r="O10471" s="788">
        <v>42164</v>
      </c>
    </row>
    <row r="10472" spans="1:15" x14ac:dyDescent="0.25">
      <c r="A10472" s="786" t="s">
        <v>18656</v>
      </c>
      <c r="B10472" s="787">
        <v>4</v>
      </c>
      <c r="C10472" s="787" t="s">
        <v>18657</v>
      </c>
      <c r="D10472" s="787">
        <v>1.1499999999999999</v>
      </c>
      <c r="E10472" s="787">
        <v>1.1499999999999999</v>
      </c>
      <c r="F10472" s="788">
        <v>37636</v>
      </c>
      <c r="G10472" s="788">
        <v>37636</v>
      </c>
      <c r="H10472" s="787">
        <v>1</v>
      </c>
      <c r="J10472" s="788">
        <v>37636</v>
      </c>
      <c r="L10472" s="787">
        <v>1.25</v>
      </c>
      <c r="M10472" s="787">
        <v>20</v>
      </c>
      <c r="N10472" s="787">
        <v>1.34</v>
      </c>
      <c r="O10472" s="788">
        <v>41858</v>
      </c>
    </row>
    <row r="10473" spans="1:15" x14ac:dyDescent="0.25">
      <c r="A10473" s="786" t="s">
        <v>18658</v>
      </c>
      <c r="B10473" s="787">
        <v>4</v>
      </c>
      <c r="C10473" s="787" t="s">
        <v>18659</v>
      </c>
      <c r="D10473" s="787">
        <v>2.8</v>
      </c>
      <c r="E10473" s="787">
        <v>22.8</v>
      </c>
      <c r="F10473" s="788">
        <v>37636</v>
      </c>
      <c r="G10473" s="788">
        <v>37636</v>
      </c>
      <c r="H10473" s="787">
        <v>1</v>
      </c>
      <c r="J10473" s="788">
        <v>37636</v>
      </c>
      <c r="L10473" s="787">
        <v>24.85</v>
      </c>
      <c r="M10473" s="787">
        <v>20</v>
      </c>
      <c r="N10473" s="787">
        <v>26.71</v>
      </c>
      <c r="O10473" s="788">
        <v>41858</v>
      </c>
    </row>
    <row r="10474" spans="1:15" x14ac:dyDescent="0.25">
      <c r="A10474" s="786" t="s">
        <v>18660</v>
      </c>
      <c r="B10474" s="787">
        <v>4</v>
      </c>
      <c r="C10474" s="787" t="s">
        <v>18661</v>
      </c>
      <c r="D10474" s="787">
        <v>8.1300000000000008</v>
      </c>
      <c r="E10474" s="787">
        <v>86.5</v>
      </c>
      <c r="F10474" s="788">
        <v>37543</v>
      </c>
      <c r="G10474" s="788">
        <v>38736</v>
      </c>
      <c r="H10474" s="787">
        <v>1</v>
      </c>
      <c r="I10474" s="788">
        <v>39134</v>
      </c>
      <c r="J10474" s="788">
        <v>37552</v>
      </c>
      <c r="L10474" s="787">
        <v>94.29</v>
      </c>
      <c r="M10474" s="787">
        <v>20</v>
      </c>
      <c r="N10474" s="787">
        <v>101.36</v>
      </c>
      <c r="O10474" s="788">
        <v>41858</v>
      </c>
    </row>
    <row r="10475" spans="1:15" x14ac:dyDescent="0.25">
      <c r="A10475" s="786" t="s">
        <v>18662</v>
      </c>
      <c r="B10475" s="787">
        <v>4</v>
      </c>
      <c r="C10475" s="787" t="s">
        <v>18663</v>
      </c>
      <c r="D10475" s="787">
        <v>4.82</v>
      </c>
      <c r="E10475" s="787">
        <v>14.82</v>
      </c>
      <c r="F10475" s="788">
        <v>37663</v>
      </c>
      <c r="G10475" s="788">
        <v>37663</v>
      </c>
      <c r="H10475" s="787">
        <v>1</v>
      </c>
      <c r="I10475" s="788">
        <v>38266</v>
      </c>
      <c r="J10475" s="788">
        <v>37656</v>
      </c>
      <c r="L10475" s="787">
        <v>16.149999999999999</v>
      </c>
      <c r="M10475" s="787">
        <v>20</v>
      </c>
      <c r="N10475" s="787">
        <v>17.36</v>
      </c>
      <c r="O10475" s="788">
        <v>41858</v>
      </c>
    </row>
    <row r="10476" spans="1:15" x14ac:dyDescent="0.25">
      <c r="A10476" s="786" t="s">
        <v>18664</v>
      </c>
      <c r="B10476" s="787">
        <v>4</v>
      </c>
      <c r="C10476" s="787" t="s">
        <v>18665</v>
      </c>
      <c r="D10476" s="787">
        <v>8.18</v>
      </c>
      <c r="E10476" s="787">
        <v>8.18</v>
      </c>
      <c r="F10476" s="788">
        <v>37287</v>
      </c>
      <c r="G10476" s="788">
        <v>37287</v>
      </c>
      <c r="H10476" s="787">
        <v>1</v>
      </c>
      <c r="I10476" s="788">
        <v>38609</v>
      </c>
      <c r="J10476" s="788">
        <v>37287</v>
      </c>
      <c r="L10476" s="787">
        <v>8.92</v>
      </c>
      <c r="M10476" s="787">
        <v>20</v>
      </c>
      <c r="N10476" s="787">
        <v>9.59</v>
      </c>
      <c r="O10476" s="788">
        <v>41858</v>
      </c>
    </row>
    <row r="10477" spans="1:15" x14ac:dyDescent="0.25">
      <c r="A10477" s="786" t="s">
        <v>18666</v>
      </c>
      <c r="B10477" s="787">
        <v>4</v>
      </c>
      <c r="C10477" s="787" t="s">
        <v>18667</v>
      </c>
      <c r="D10477" s="787">
        <v>0</v>
      </c>
      <c r="E10477" s="787">
        <v>0</v>
      </c>
      <c r="H10477" s="787">
        <v>1</v>
      </c>
      <c r="I10477" s="788">
        <v>38266</v>
      </c>
      <c r="L10477" s="787">
        <v>0</v>
      </c>
      <c r="M10477" s="787">
        <v>20</v>
      </c>
      <c r="N10477" s="787">
        <v>0</v>
      </c>
      <c r="O10477" s="788">
        <v>40824</v>
      </c>
    </row>
    <row r="10478" spans="1:15" x14ac:dyDescent="0.25">
      <c r="A10478" s="786" t="s">
        <v>18668</v>
      </c>
      <c r="B10478" s="787">
        <v>4</v>
      </c>
      <c r="C10478" s="787" t="s">
        <v>18669</v>
      </c>
      <c r="D10478" s="787">
        <v>5.94</v>
      </c>
      <c r="E10478" s="787">
        <v>5.94</v>
      </c>
      <c r="F10478" s="788">
        <v>38695</v>
      </c>
      <c r="G10478" s="788">
        <v>38695</v>
      </c>
      <c r="H10478" s="787">
        <v>1</v>
      </c>
      <c r="I10478" s="788">
        <v>38702</v>
      </c>
      <c r="J10478" s="788">
        <v>38702</v>
      </c>
      <c r="L10478" s="787">
        <v>5.94</v>
      </c>
      <c r="M10478" s="787">
        <v>20</v>
      </c>
      <c r="N10478" s="787">
        <v>6.39</v>
      </c>
      <c r="O10478" s="788">
        <v>41858</v>
      </c>
    </row>
    <row r="10479" spans="1:15" x14ac:dyDescent="0.25">
      <c r="A10479" s="786" t="s">
        <v>18670</v>
      </c>
      <c r="B10479" s="787">
        <v>4</v>
      </c>
      <c r="C10479" s="787" t="s">
        <v>18671</v>
      </c>
      <c r="D10479" s="787">
        <v>0</v>
      </c>
      <c r="E10479" s="787">
        <v>0</v>
      </c>
      <c r="H10479" s="787">
        <v>1</v>
      </c>
      <c r="I10479" s="788">
        <v>37854</v>
      </c>
      <c r="J10479" s="788">
        <v>37287</v>
      </c>
      <c r="L10479" s="787">
        <v>0</v>
      </c>
      <c r="M10479" s="787">
        <v>20</v>
      </c>
      <c r="N10479" s="787">
        <v>0</v>
      </c>
      <c r="O10479" s="788">
        <v>40824</v>
      </c>
    </row>
    <row r="10480" spans="1:15" x14ac:dyDescent="0.25">
      <c r="A10480" s="786" t="s">
        <v>18672</v>
      </c>
      <c r="B10480" s="787">
        <v>4</v>
      </c>
      <c r="C10480" s="787" t="s">
        <v>18673</v>
      </c>
      <c r="D10480" s="787">
        <v>0.51</v>
      </c>
      <c r="E10480" s="787">
        <v>10.51</v>
      </c>
      <c r="F10480" s="788">
        <v>37287</v>
      </c>
      <c r="G10480" s="788">
        <v>37287</v>
      </c>
      <c r="H10480" s="787">
        <v>1</v>
      </c>
      <c r="I10480" s="788">
        <v>37277</v>
      </c>
      <c r="J10480" s="788">
        <v>37287</v>
      </c>
      <c r="L10480" s="787">
        <v>11.46</v>
      </c>
      <c r="M10480" s="787">
        <v>20</v>
      </c>
      <c r="N10480" s="787">
        <v>12.32</v>
      </c>
      <c r="O10480" s="788">
        <v>41858</v>
      </c>
    </row>
    <row r="10481" spans="1:15" x14ac:dyDescent="0.25">
      <c r="A10481" s="786" t="s">
        <v>18674</v>
      </c>
      <c r="B10481" s="787">
        <v>4</v>
      </c>
      <c r="C10481" s="787" t="s">
        <v>18675</v>
      </c>
      <c r="D10481" s="787">
        <v>2.02</v>
      </c>
      <c r="E10481" s="787">
        <v>12.02</v>
      </c>
      <c r="F10481" s="788">
        <v>37287</v>
      </c>
      <c r="G10481" s="788">
        <v>37287</v>
      </c>
      <c r="H10481" s="787">
        <v>1</v>
      </c>
      <c r="J10481" s="788">
        <v>37287</v>
      </c>
      <c r="L10481" s="787">
        <v>13.1</v>
      </c>
      <c r="M10481" s="787">
        <v>20</v>
      </c>
      <c r="N10481" s="787">
        <v>14.08</v>
      </c>
      <c r="O10481" s="788">
        <v>41858</v>
      </c>
    </row>
    <row r="10482" spans="1:15" x14ac:dyDescent="0.25">
      <c r="A10482" s="786" t="s">
        <v>18676</v>
      </c>
      <c r="B10482" s="787">
        <v>4</v>
      </c>
      <c r="C10482" s="787" t="s">
        <v>18677</v>
      </c>
      <c r="D10482" s="787">
        <v>8.18</v>
      </c>
      <c r="E10482" s="787">
        <v>18.18</v>
      </c>
      <c r="F10482" s="788">
        <v>37287</v>
      </c>
      <c r="G10482" s="788">
        <v>37287</v>
      </c>
      <c r="H10482" s="787">
        <v>1</v>
      </c>
      <c r="J10482" s="788">
        <v>37287</v>
      </c>
      <c r="L10482" s="787">
        <v>19.82</v>
      </c>
      <c r="M10482" s="787">
        <v>20</v>
      </c>
      <c r="N10482" s="787">
        <v>21.31</v>
      </c>
      <c r="O10482" s="788">
        <v>41858</v>
      </c>
    </row>
    <row r="10483" spans="1:15" x14ac:dyDescent="0.25">
      <c r="A10483" s="786" t="s">
        <v>18678</v>
      </c>
      <c r="B10483" s="787">
        <v>4</v>
      </c>
      <c r="C10483" s="787" t="s">
        <v>18679</v>
      </c>
      <c r="D10483" s="787">
        <v>2</v>
      </c>
      <c r="E10483" s="787">
        <v>32</v>
      </c>
      <c r="F10483" s="788">
        <v>38146</v>
      </c>
      <c r="G10483" s="788">
        <v>38146</v>
      </c>
      <c r="H10483" s="787">
        <v>1</v>
      </c>
      <c r="I10483" s="788">
        <v>38139</v>
      </c>
      <c r="J10483" s="788">
        <v>38139</v>
      </c>
      <c r="L10483" s="787">
        <v>34.880000000000003</v>
      </c>
      <c r="M10483" s="787">
        <v>20</v>
      </c>
      <c r="N10483" s="787">
        <v>37.5</v>
      </c>
      <c r="O10483" s="788">
        <v>41858</v>
      </c>
    </row>
    <row r="10484" spans="1:15" x14ac:dyDescent="0.25">
      <c r="A10484" s="786" t="s">
        <v>18680</v>
      </c>
      <c r="B10484" s="787">
        <v>4</v>
      </c>
      <c r="C10484" s="787" t="s">
        <v>18679</v>
      </c>
      <c r="D10484" s="787">
        <v>3.5</v>
      </c>
      <c r="E10484" s="787">
        <v>33.5</v>
      </c>
      <c r="F10484" s="788">
        <v>38146</v>
      </c>
      <c r="G10484" s="788">
        <v>38139</v>
      </c>
      <c r="H10484" s="787">
        <v>1</v>
      </c>
      <c r="I10484" s="788">
        <v>38139</v>
      </c>
      <c r="J10484" s="788">
        <v>38139</v>
      </c>
      <c r="L10484" s="787">
        <v>36.520000000000003</v>
      </c>
      <c r="M10484" s="787">
        <v>20</v>
      </c>
      <c r="N10484" s="787">
        <v>39.26</v>
      </c>
      <c r="O10484" s="788">
        <v>41858</v>
      </c>
    </row>
    <row r="10485" spans="1:15" x14ac:dyDescent="0.25">
      <c r="A10485" s="786" t="s">
        <v>18681</v>
      </c>
      <c r="B10485" s="787">
        <v>4</v>
      </c>
      <c r="C10485" s="787" t="s">
        <v>18682</v>
      </c>
      <c r="D10485" s="787">
        <v>9.4499999999999993</v>
      </c>
      <c r="E10485" s="787">
        <v>9.4499999999999993</v>
      </c>
      <c r="F10485" s="788">
        <v>37287</v>
      </c>
      <c r="G10485" s="788">
        <v>38364</v>
      </c>
      <c r="H10485" s="787">
        <v>1</v>
      </c>
      <c r="I10485" s="788">
        <v>37481</v>
      </c>
      <c r="J10485" s="788">
        <v>37287</v>
      </c>
      <c r="L10485" s="787">
        <v>10.3</v>
      </c>
      <c r="M10485" s="787">
        <v>20</v>
      </c>
      <c r="N10485" s="787">
        <v>11.07</v>
      </c>
      <c r="O10485" s="788">
        <v>41858</v>
      </c>
    </row>
    <row r="10486" spans="1:15" x14ac:dyDescent="0.25">
      <c r="A10486" s="786" t="s">
        <v>18683</v>
      </c>
      <c r="B10486" s="787">
        <v>4</v>
      </c>
      <c r="C10486" s="787" t="s">
        <v>18684</v>
      </c>
      <c r="D10486" s="787">
        <v>3.25</v>
      </c>
      <c r="E10486" s="787">
        <v>3.25</v>
      </c>
      <c r="F10486" s="788">
        <v>38131</v>
      </c>
      <c r="G10486" s="788">
        <v>38131</v>
      </c>
      <c r="H10486" s="787">
        <v>1</v>
      </c>
      <c r="J10486" s="788">
        <v>38125</v>
      </c>
      <c r="L10486" s="787">
        <v>3.54</v>
      </c>
      <c r="M10486" s="787">
        <v>20</v>
      </c>
      <c r="N10486" s="787">
        <v>3.81</v>
      </c>
      <c r="O10486" s="788">
        <v>41858</v>
      </c>
    </row>
    <row r="10487" spans="1:15" x14ac:dyDescent="0.25">
      <c r="A10487" s="786" t="s">
        <v>18685</v>
      </c>
      <c r="B10487" s="787">
        <v>4</v>
      </c>
      <c r="C10487" s="787" t="s">
        <v>18686</v>
      </c>
      <c r="D10487" s="787">
        <v>4.3499999999999996</v>
      </c>
      <c r="E10487" s="787">
        <v>4.3499999999999996</v>
      </c>
      <c r="F10487" s="788">
        <v>37287</v>
      </c>
      <c r="G10487" s="788">
        <v>37287</v>
      </c>
      <c r="H10487" s="787">
        <v>1</v>
      </c>
      <c r="I10487" s="788">
        <v>41067</v>
      </c>
      <c r="J10487" s="788">
        <v>37287</v>
      </c>
      <c r="L10487" s="787">
        <v>4.74</v>
      </c>
      <c r="M10487" s="787">
        <v>20</v>
      </c>
      <c r="N10487" s="787">
        <v>5.0999999999999996</v>
      </c>
      <c r="O10487" s="788">
        <v>41858</v>
      </c>
    </row>
    <row r="10488" spans="1:15" x14ac:dyDescent="0.25">
      <c r="A10488" s="786" t="s">
        <v>18687</v>
      </c>
      <c r="B10488" s="787">
        <v>4</v>
      </c>
      <c r="C10488" s="787" t="s">
        <v>18688</v>
      </c>
      <c r="D10488" s="787">
        <v>2.38</v>
      </c>
      <c r="E10488" s="787">
        <v>2.38</v>
      </c>
      <c r="F10488" s="788">
        <v>37287</v>
      </c>
      <c r="G10488" s="788">
        <v>37287</v>
      </c>
      <c r="H10488" s="787">
        <v>1</v>
      </c>
      <c r="J10488" s="788">
        <v>37287</v>
      </c>
      <c r="L10488" s="787">
        <v>2.59</v>
      </c>
      <c r="M10488" s="787">
        <v>20</v>
      </c>
      <c r="N10488" s="787">
        <v>2.78</v>
      </c>
      <c r="O10488" s="788">
        <v>41858</v>
      </c>
    </row>
    <row r="10489" spans="1:15" x14ac:dyDescent="0.25">
      <c r="A10489" s="786" t="s">
        <v>18689</v>
      </c>
      <c r="B10489" s="787">
        <v>4</v>
      </c>
      <c r="C10489" s="787" t="s">
        <v>18690</v>
      </c>
      <c r="D10489" s="787">
        <v>9.17</v>
      </c>
      <c r="E10489" s="787">
        <v>19.170000000000002</v>
      </c>
      <c r="F10489" s="788">
        <v>38047</v>
      </c>
      <c r="G10489" s="788">
        <v>38047</v>
      </c>
      <c r="H10489" s="787">
        <v>1</v>
      </c>
      <c r="I10489" s="788">
        <v>41689</v>
      </c>
      <c r="J10489" s="788">
        <v>41696</v>
      </c>
      <c r="L10489" s="787">
        <v>20.9</v>
      </c>
      <c r="M10489" s="787">
        <v>20</v>
      </c>
      <c r="N10489" s="787">
        <v>22.47</v>
      </c>
      <c r="O10489" s="788">
        <v>41858</v>
      </c>
    </row>
    <row r="10490" spans="1:15" x14ac:dyDescent="0.25">
      <c r="A10490" s="786" t="s">
        <v>18691</v>
      </c>
      <c r="B10490" s="787">
        <v>4</v>
      </c>
      <c r="C10490" s="787" t="s">
        <v>18692</v>
      </c>
      <c r="D10490" s="787">
        <v>6.49</v>
      </c>
      <c r="E10490" s="787">
        <v>6.49</v>
      </c>
      <c r="F10490" s="788">
        <v>39101</v>
      </c>
      <c r="G10490" s="788">
        <v>39101</v>
      </c>
      <c r="H10490" s="787">
        <v>1</v>
      </c>
      <c r="I10490" s="788">
        <v>42109</v>
      </c>
      <c r="J10490" s="788">
        <v>39101</v>
      </c>
      <c r="L10490" s="787">
        <v>7.07</v>
      </c>
      <c r="M10490" s="787">
        <v>20</v>
      </c>
      <c r="N10490" s="787">
        <v>7.6</v>
      </c>
      <c r="O10490" s="788">
        <v>42162</v>
      </c>
    </row>
    <row r="10491" spans="1:15" x14ac:dyDescent="0.25">
      <c r="A10491" s="786" t="s">
        <v>18693</v>
      </c>
      <c r="B10491" s="787">
        <v>4</v>
      </c>
      <c r="C10491" s="787" t="s">
        <v>18694</v>
      </c>
      <c r="D10491" s="787">
        <v>4.95</v>
      </c>
      <c r="E10491" s="787">
        <v>24.95</v>
      </c>
      <c r="F10491" s="788">
        <v>39101</v>
      </c>
      <c r="G10491" s="788">
        <v>39101</v>
      </c>
      <c r="H10491" s="787">
        <v>1</v>
      </c>
      <c r="I10491" s="788">
        <v>38986</v>
      </c>
      <c r="J10491" s="788">
        <v>39101</v>
      </c>
      <c r="L10491" s="787">
        <v>27.2</v>
      </c>
      <c r="M10491" s="787">
        <v>20</v>
      </c>
      <c r="N10491" s="787">
        <v>29.24</v>
      </c>
      <c r="O10491" s="788">
        <v>41858</v>
      </c>
    </row>
    <row r="10492" spans="1:15" x14ac:dyDescent="0.25">
      <c r="A10492" s="786" t="s">
        <v>18695</v>
      </c>
      <c r="B10492" s="787">
        <v>4</v>
      </c>
      <c r="C10492" s="787" t="s">
        <v>18696</v>
      </c>
      <c r="D10492" s="787">
        <v>2.5</v>
      </c>
      <c r="E10492" s="787">
        <v>22.5</v>
      </c>
      <c r="F10492" s="788">
        <v>37287</v>
      </c>
      <c r="G10492" s="788">
        <v>37287</v>
      </c>
      <c r="H10492" s="787">
        <v>1</v>
      </c>
      <c r="I10492" s="788">
        <v>38709</v>
      </c>
      <c r="J10492" s="788">
        <v>37287</v>
      </c>
      <c r="L10492" s="787">
        <v>24.53</v>
      </c>
      <c r="M10492" s="787">
        <v>20</v>
      </c>
      <c r="N10492" s="787">
        <v>26.37</v>
      </c>
      <c r="O10492" s="788">
        <v>41858</v>
      </c>
    </row>
    <row r="10493" spans="1:15" x14ac:dyDescent="0.25">
      <c r="A10493" s="786" t="s">
        <v>18697</v>
      </c>
      <c r="B10493" s="787">
        <v>4</v>
      </c>
      <c r="C10493" s="787" t="s">
        <v>18698</v>
      </c>
      <c r="D10493" s="787">
        <v>6.69</v>
      </c>
      <c r="E10493" s="787">
        <v>76.69</v>
      </c>
      <c r="F10493" s="788">
        <v>37287</v>
      </c>
      <c r="G10493" s="788">
        <v>37287</v>
      </c>
      <c r="H10493" s="787">
        <v>1</v>
      </c>
      <c r="I10493" s="788">
        <v>38245</v>
      </c>
      <c r="J10493" s="788">
        <v>37287</v>
      </c>
      <c r="L10493" s="787">
        <v>83.59</v>
      </c>
      <c r="M10493" s="787">
        <v>20</v>
      </c>
      <c r="N10493" s="787">
        <v>89.86</v>
      </c>
      <c r="O10493" s="788">
        <v>41858</v>
      </c>
    </row>
    <row r="10494" spans="1:15" x14ac:dyDescent="0.25">
      <c r="A10494" s="786" t="s">
        <v>18699</v>
      </c>
      <c r="B10494" s="787">
        <v>4</v>
      </c>
      <c r="C10494" s="787" t="s">
        <v>18700</v>
      </c>
      <c r="D10494" s="787">
        <v>7.71</v>
      </c>
      <c r="E10494" s="787">
        <v>7.85</v>
      </c>
      <c r="F10494" s="788">
        <v>39101</v>
      </c>
      <c r="G10494" s="788">
        <v>39101</v>
      </c>
      <c r="H10494" s="787">
        <v>1</v>
      </c>
      <c r="I10494" s="788">
        <v>41865</v>
      </c>
      <c r="J10494" s="788">
        <v>39101</v>
      </c>
      <c r="L10494" s="787">
        <v>8.56</v>
      </c>
      <c r="M10494" s="787">
        <v>20</v>
      </c>
      <c r="N10494" s="787">
        <v>9.1999999999999993</v>
      </c>
      <c r="O10494" s="788">
        <v>41858</v>
      </c>
    </row>
    <row r="10495" spans="1:15" x14ac:dyDescent="0.25">
      <c r="A10495" s="786" t="s">
        <v>18701</v>
      </c>
      <c r="B10495" s="787">
        <v>4</v>
      </c>
      <c r="C10495" s="787" t="s">
        <v>18702</v>
      </c>
      <c r="D10495" s="787">
        <v>2.5</v>
      </c>
      <c r="E10495" s="787">
        <v>14.99</v>
      </c>
      <c r="F10495" s="788">
        <v>37287</v>
      </c>
      <c r="G10495" s="788">
        <v>37515</v>
      </c>
      <c r="H10495" s="787">
        <v>1</v>
      </c>
      <c r="J10495" s="788">
        <v>37523</v>
      </c>
      <c r="L10495" s="787">
        <v>16.34</v>
      </c>
      <c r="M10495" s="787">
        <v>20</v>
      </c>
      <c r="N10495" s="787">
        <v>17.57</v>
      </c>
      <c r="O10495" s="788">
        <v>41858</v>
      </c>
    </row>
    <row r="10496" spans="1:15" x14ac:dyDescent="0.25">
      <c r="A10496" s="786" t="s">
        <v>18703</v>
      </c>
      <c r="B10496" s="787">
        <v>4</v>
      </c>
      <c r="C10496" s="787" t="s">
        <v>18700</v>
      </c>
      <c r="D10496" s="787">
        <v>8.0299999999999994</v>
      </c>
      <c r="E10496" s="787">
        <v>8.0299999999999994</v>
      </c>
      <c r="F10496" s="788">
        <v>39101</v>
      </c>
      <c r="G10496" s="788">
        <v>39101</v>
      </c>
      <c r="H10496" s="787">
        <v>1</v>
      </c>
      <c r="I10496" s="788">
        <v>38848</v>
      </c>
      <c r="J10496" s="788">
        <v>39101</v>
      </c>
      <c r="L10496" s="787">
        <v>8.75</v>
      </c>
      <c r="M10496" s="787">
        <v>20</v>
      </c>
      <c r="N10496" s="787">
        <v>9.41</v>
      </c>
      <c r="O10496" s="788">
        <v>41858</v>
      </c>
    </row>
    <row r="10497" spans="1:15" x14ac:dyDescent="0.25">
      <c r="A10497" s="786" t="s">
        <v>18704</v>
      </c>
      <c r="B10497" s="787">
        <v>4</v>
      </c>
      <c r="C10497" s="787" t="s">
        <v>18705</v>
      </c>
      <c r="D10497" s="787">
        <v>0</v>
      </c>
      <c r="E10497" s="787">
        <v>0</v>
      </c>
      <c r="G10497" s="788">
        <v>38364</v>
      </c>
      <c r="H10497" s="787">
        <v>1</v>
      </c>
      <c r="I10497" s="788">
        <v>40736</v>
      </c>
      <c r="J10497" s="788">
        <v>38595</v>
      </c>
      <c r="L10497" s="787">
        <v>0</v>
      </c>
      <c r="M10497" s="787">
        <v>20</v>
      </c>
      <c r="N10497" s="787">
        <v>0</v>
      </c>
      <c r="O10497" s="788">
        <v>40824</v>
      </c>
    </row>
    <row r="10498" spans="1:15" x14ac:dyDescent="0.25">
      <c r="A10498" s="786" t="s">
        <v>18706</v>
      </c>
      <c r="B10498" s="787">
        <v>4</v>
      </c>
      <c r="C10498" s="787" t="s">
        <v>18707</v>
      </c>
      <c r="D10498" s="787">
        <v>0</v>
      </c>
      <c r="E10498" s="787">
        <v>0</v>
      </c>
      <c r="G10498" s="788">
        <v>38364</v>
      </c>
      <c r="H10498" s="787">
        <v>1</v>
      </c>
      <c r="I10498" s="788">
        <v>40736</v>
      </c>
      <c r="J10498" s="788">
        <v>38595</v>
      </c>
      <c r="L10498" s="787">
        <v>0</v>
      </c>
      <c r="M10498" s="787">
        <v>20</v>
      </c>
      <c r="N10498" s="787">
        <v>0</v>
      </c>
      <c r="O10498" s="788">
        <v>40824</v>
      </c>
    </row>
    <row r="10499" spans="1:15" x14ac:dyDescent="0.25">
      <c r="A10499" s="786" t="s">
        <v>18708</v>
      </c>
      <c r="B10499" s="787">
        <v>4</v>
      </c>
      <c r="C10499" s="787" t="s">
        <v>18709</v>
      </c>
      <c r="D10499" s="787">
        <v>0</v>
      </c>
      <c r="E10499" s="787">
        <v>0</v>
      </c>
      <c r="G10499" s="788">
        <v>38364</v>
      </c>
      <c r="H10499" s="787">
        <v>1</v>
      </c>
      <c r="I10499" s="788">
        <v>40736</v>
      </c>
      <c r="J10499" s="788">
        <v>38595</v>
      </c>
      <c r="L10499" s="787">
        <v>0</v>
      </c>
      <c r="M10499" s="787">
        <v>20</v>
      </c>
      <c r="N10499" s="787">
        <v>0</v>
      </c>
      <c r="O10499" s="788">
        <v>40824</v>
      </c>
    </row>
    <row r="10500" spans="1:15" x14ac:dyDescent="0.25">
      <c r="A10500" s="786" t="s">
        <v>18710</v>
      </c>
      <c r="B10500" s="787">
        <v>4</v>
      </c>
      <c r="C10500" s="787" t="s">
        <v>18711</v>
      </c>
      <c r="D10500" s="787">
        <v>2.67</v>
      </c>
      <c r="E10500" s="787">
        <v>68</v>
      </c>
      <c r="F10500" s="788">
        <v>39101</v>
      </c>
      <c r="G10500" s="788">
        <v>41914</v>
      </c>
      <c r="H10500" s="787">
        <v>1</v>
      </c>
      <c r="I10500" s="788">
        <v>41935</v>
      </c>
      <c r="J10500" s="788">
        <v>41914</v>
      </c>
      <c r="K10500" s="788">
        <v>41898</v>
      </c>
      <c r="L10500" s="787">
        <v>68</v>
      </c>
      <c r="M10500" s="787">
        <v>20</v>
      </c>
      <c r="N10500" s="787">
        <v>73.099999999999994</v>
      </c>
      <c r="O10500" s="788">
        <v>42023</v>
      </c>
    </row>
    <row r="10501" spans="1:15" x14ac:dyDescent="0.25">
      <c r="A10501" s="786" t="s">
        <v>18712</v>
      </c>
      <c r="B10501" s="787">
        <v>4</v>
      </c>
      <c r="C10501" s="787" t="s">
        <v>18713</v>
      </c>
      <c r="D10501" s="787">
        <v>2.6</v>
      </c>
      <c r="E10501" s="787">
        <v>27.5</v>
      </c>
      <c r="F10501" s="788">
        <v>39101</v>
      </c>
      <c r="G10501" s="788">
        <v>41794</v>
      </c>
      <c r="H10501" s="787">
        <v>1</v>
      </c>
      <c r="I10501" s="788">
        <v>41943</v>
      </c>
      <c r="J10501" s="788">
        <v>41914</v>
      </c>
      <c r="K10501" s="788">
        <v>41814</v>
      </c>
      <c r="L10501" s="787">
        <v>27.5</v>
      </c>
      <c r="M10501" s="787">
        <v>20</v>
      </c>
      <c r="N10501" s="787">
        <v>29.56</v>
      </c>
      <c r="O10501" s="788">
        <v>42023</v>
      </c>
    </row>
    <row r="10502" spans="1:15" x14ac:dyDescent="0.25">
      <c r="A10502" s="786" t="s">
        <v>18714</v>
      </c>
      <c r="B10502" s="787">
        <v>4</v>
      </c>
      <c r="C10502" s="787" t="s">
        <v>18715</v>
      </c>
      <c r="D10502" s="787">
        <v>0</v>
      </c>
      <c r="E10502" s="787">
        <v>0</v>
      </c>
      <c r="G10502" s="788">
        <v>38364</v>
      </c>
      <c r="H10502" s="787">
        <v>1</v>
      </c>
      <c r="I10502" s="788">
        <v>40736</v>
      </c>
      <c r="J10502" s="788">
        <v>38595</v>
      </c>
      <c r="L10502" s="787">
        <v>0</v>
      </c>
      <c r="M10502" s="787">
        <v>20</v>
      </c>
      <c r="N10502" s="787">
        <v>0</v>
      </c>
      <c r="O10502" s="788">
        <v>40824</v>
      </c>
    </row>
    <row r="10503" spans="1:15" x14ac:dyDescent="0.25">
      <c r="A10503" s="786" t="s">
        <v>18716</v>
      </c>
      <c r="B10503" s="787">
        <v>4</v>
      </c>
      <c r="C10503" s="787" t="s">
        <v>18717</v>
      </c>
      <c r="D10503" s="787">
        <v>0</v>
      </c>
      <c r="E10503" s="787">
        <v>0</v>
      </c>
      <c r="G10503" s="788">
        <v>38736</v>
      </c>
      <c r="H10503" s="787">
        <v>1</v>
      </c>
      <c r="I10503" s="788">
        <v>40736</v>
      </c>
      <c r="J10503" s="788">
        <v>38595</v>
      </c>
      <c r="L10503" s="787">
        <v>0</v>
      </c>
      <c r="M10503" s="787">
        <v>20</v>
      </c>
      <c r="N10503" s="787">
        <v>0</v>
      </c>
      <c r="O10503" s="788">
        <v>40824</v>
      </c>
    </row>
    <row r="10504" spans="1:15" x14ac:dyDescent="0.25">
      <c r="A10504" s="786" t="s">
        <v>18718</v>
      </c>
      <c r="B10504" s="787">
        <v>4</v>
      </c>
      <c r="C10504" s="787" t="s">
        <v>18719</v>
      </c>
      <c r="D10504" s="787">
        <v>6.75</v>
      </c>
      <c r="E10504" s="787">
        <v>95.7</v>
      </c>
      <c r="F10504" s="788">
        <v>38331</v>
      </c>
      <c r="G10504" s="788">
        <v>41914</v>
      </c>
      <c r="H10504" s="787">
        <v>1</v>
      </c>
      <c r="I10504" s="788">
        <v>41130</v>
      </c>
      <c r="J10504" s="788">
        <v>41914</v>
      </c>
      <c r="K10504" s="788">
        <v>41898</v>
      </c>
      <c r="L10504" s="787">
        <v>95.7</v>
      </c>
      <c r="M10504" s="787">
        <v>20</v>
      </c>
      <c r="N10504" s="787">
        <v>7.91</v>
      </c>
      <c r="O10504" s="788">
        <v>41858</v>
      </c>
    </row>
    <row r="10505" spans="1:15" x14ac:dyDescent="0.25">
      <c r="A10505" s="786" t="s">
        <v>18720</v>
      </c>
      <c r="B10505" s="787">
        <v>4</v>
      </c>
      <c r="C10505" s="787" t="s">
        <v>18721</v>
      </c>
      <c r="D10505" s="787">
        <v>2.5</v>
      </c>
      <c r="E10505" s="787">
        <v>28</v>
      </c>
      <c r="F10505" s="788">
        <v>38131</v>
      </c>
      <c r="G10505" s="788">
        <v>41794</v>
      </c>
      <c r="H10505" s="787">
        <v>1</v>
      </c>
      <c r="I10505" s="788">
        <v>41943</v>
      </c>
      <c r="J10505" s="788">
        <v>41920</v>
      </c>
      <c r="K10505" s="788">
        <v>41864</v>
      </c>
      <c r="L10505" s="787">
        <v>28</v>
      </c>
      <c r="M10505" s="787">
        <v>20</v>
      </c>
      <c r="N10505" s="787">
        <v>30.1</v>
      </c>
      <c r="O10505" s="788">
        <v>42023</v>
      </c>
    </row>
    <row r="10506" spans="1:15" x14ac:dyDescent="0.25">
      <c r="A10506" s="786" t="s">
        <v>18722</v>
      </c>
      <c r="B10506" s="787">
        <v>4</v>
      </c>
      <c r="C10506" s="787" t="s">
        <v>18723</v>
      </c>
      <c r="D10506" s="787">
        <v>3.5</v>
      </c>
      <c r="E10506" s="787">
        <v>83.5</v>
      </c>
      <c r="F10506" s="788">
        <v>38126</v>
      </c>
      <c r="G10506" s="788">
        <v>41914</v>
      </c>
      <c r="H10506" s="787">
        <v>1</v>
      </c>
      <c r="I10506" s="788">
        <v>41929</v>
      </c>
      <c r="J10506" s="788">
        <v>41914</v>
      </c>
      <c r="K10506" s="788">
        <v>41744</v>
      </c>
      <c r="L10506" s="787">
        <v>83.5</v>
      </c>
      <c r="M10506" s="787">
        <v>20</v>
      </c>
      <c r="N10506" s="787">
        <v>89.76</v>
      </c>
      <c r="O10506" s="788">
        <v>42023</v>
      </c>
    </row>
    <row r="10507" spans="1:15" x14ac:dyDescent="0.25">
      <c r="A10507" s="786" t="s">
        <v>18724</v>
      </c>
      <c r="B10507" s="787">
        <v>4</v>
      </c>
      <c r="C10507" s="787" t="s">
        <v>18725</v>
      </c>
      <c r="D10507" s="787">
        <v>2.5</v>
      </c>
      <c r="E10507" s="787">
        <v>83.5</v>
      </c>
      <c r="F10507" s="788">
        <v>41530</v>
      </c>
      <c r="G10507" s="788">
        <v>41869</v>
      </c>
      <c r="H10507" s="787">
        <v>1</v>
      </c>
      <c r="I10507" s="788">
        <v>41935</v>
      </c>
      <c r="J10507" s="788">
        <v>41914</v>
      </c>
      <c r="K10507" s="788">
        <v>41523</v>
      </c>
      <c r="L10507" s="787">
        <v>72.5</v>
      </c>
      <c r="M10507" s="787">
        <v>20</v>
      </c>
      <c r="N10507" s="787">
        <v>77.94</v>
      </c>
      <c r="O10507" s="788">
        <v>41858</v>
      </c>
    </row>
    <row r="10508" spans="1:15" x14ac:dyDescent="0.25">
      <c r="A10508" s="786" t="s">
        <v>18726</v>
      </c>
      <c r="B10508" s="787">
        <v>4</v>
      </c>
      <c r="C10508" s="787" t="s">
        <v>18727</v>
      </c>
      <c r="D10508" s="787">
        <v>4.3099999999999996</v>
      </c>
      <c r="E10508" s="787">
        <v>79.7</v>
      </c>
      <c r="F10508" s="788">
        <v>38168</v>
      </c>
      <c r="G10508" s="788">
        <v>42041</v>
      </c>
      <c r="H10508" s="787">
        <v>1</v>
      </c>
      <c r="I10508" s="788">
        <v>42041</v>
      </c>
      <c r="J10508" s="788">
        <v>42041</v>
      </c>
      <c r="K10508" s="788">
        <v>41864</v>
      </c>
      <c r="L10508" s="787">
        <v>49.5</v>
      </c>
      <c r="M10508" s="787">
        <v>20</v>
      </c>
      <c r="N10508" s="787">
        <v>53.21</v>
      </c>
      <c r="O10508" s="788">
        <v>42023</v>
      </c>
    </row>
    <row r="10509" spans="1:15" x14ac:dyDescent="0.25">
      <c r="A10509" s="786" t="s">
        <v>18728</v>
      </c>
      <c r="B10509" s="787">
        <v>4</v>
      </c>
      <c r="C10509" s="787" t="s">
        <v>18729</v>
      </c>
      <c r="D10509" s="787">
        <v>0</v>
      </c>
      <c r="E10509" s="787">
        <v>0</v>
      </c>
      <c r="G10509" s="788">
        <v>38364</v>
      </c>
      <c r="H10509" s="787">
        <v>1</v>
      </c>
      <c r="I10509" s="788">
        <v>40736</v>
      </c>
      <c r="J10509" s="788">
        <v>38736</v>
      </c>
      <c r="L10509" s="787">
        <v>0</v>
      </c>
      <c r="M10509" s="787">
        <v>20</v>
      </c>
      <c r="N10509" s="787">
        <v>0</v>
      </c>
      <c r="O10509" s="788">
        <v>40824</v>
      </c>
    </row>
    <row r="10510" spans="1:15" x14ac:dyDescent="0.25">
      <c r="A10510" s="786" t="s">
        <v>18730</v>
      </c>
      <c r="B10510" s="787">
        <v>4</v>
      </c>
      <c r="C10510" s="787" t="s">
        <v>18731</v>
      </c>
      <c r="D10510" s="787">
        <v>0</v>
      </c>
      <c r="E10510" s="787">
        <v>0</v>
      </c>
      <c r="G10510" s="788">
        <v>38364</v>
      </c>
      <c r="H10510" s="787">
        <v>1</v>
      </c>
      <c r="I10510" s="788">
        <v>40736</v>
      </c>
      <c r="J10510" s="788">
        <v>38595</v>
      </c>
      <c r="L10510" s="787">
        <v>0</v>
      </c>
      <c r="M10510" s="787">
        <v>20</v>
      </c>
      <c r="N10510" s="787">
        <v>0</v>
      </c>
      <c r="O10510" s="788">
        <v>40824</v>
      </c>
    </row>
    <row r="10511" spans="1:15" x14ac:dyDescent="0.25">
      <c r="A10511" s="786" t="s">
        <v>18732</v>
      </c>
      <c r="B10511" s="787">
        <v>4</v>
      </c>
      <c r="C10511" s="787" t="s">
        <v>18733</v>
      </c>
      <c r="D10511" s="787">
        <v>6.02</v>
      </c>
      <c r="E10511" s="787">
        <v>8.2200000000000006</v>
      </c>
      <c r="F10511" s="788">
        <v>39833</v>
      </c>
      <c r="G10511" s="788">
        <v>42156</v>
      </c>
      <c r="H10511" s="787">
        <v>1</v>
      </c>
      <c r="I10511" s="788">
        <v>42156</v>
      </c>
      <c r="J10511" s="788">
        <v>42145</v>
      </c>
      <c r="K10511" s="788">
        <v>41548</v>
      </c>
      <c r="L10511" s="787">
        <v>8.2200000000000006</v>
      </c>
      <c r="M10511" s="787">
        <v>20</v>
      </c>
      <c r="N10511" s="787">
        <v>8.84</v>
      </c>
      <c r="O10511" s="788">
        <v>42146</v>
      </c>
    </row>
    <row r="10512" spans="1:15" x14ac:dyDescent="0.25">
      <c r="A10512" s="786" t="s">
        <v>18734</v>
      </c>
      <c r="B10512" s="787">
        <v>4</v>
      </c>
      <c r="C10512" s="787" t="s">
        <v>18735</v>
      </c>
      <c r="D10512" s="787">
        <v>0</v>
      </c>
      <c r="E10512" s="787">
        <v>0</v>
      </c>
      <c r="H10512" s="787">
        <v>1</v>
      </c>
      <c r="J10512" s="788">
        <v>37467</v>
      </c>
      <c r="L10512" s="787">
        <v>0</v>
      </c>
      <c r="M10512" s="787">
        <v>20</v>
      </c>
      <c r="N10512" s="787">
        <v>0</v>
      </c>
      <c r="O10512" s="788">
        <v>40824</v>
      </c>
    </row>
    <row r="10513" spans="1:15" x14ac:dyDescent="0.25">
      <c r="A10513" s="786" t="s">
        <v>18736</v>
      </c>
      <c r="B10513" s="787">
        <v>4</v>
      </c>
      <c r="C10513" s="787" t="s">
        <v>18737</v>
      </c>
      <c r="D10513" s="787">
        <v>1.99</v>
      </c>
      <c r="E10513" s="787">
        <v>15.2</v>
      </c>
      <c r="F10513" s="788">
        <v>39450</v>
      </c>
      <c r="G10513" s="788">
        <v>42013</v>
      </c>
      <c r="H10513" s="787">
        <v>1</v>
      </c>
      <c r="I10513" s="788">
        <v>42163</v>
      </c>
      <c r="J10513" s="788">
        <v>41796</v>
      </c>
      <c r="K10513" s="788">
        <v>41869</v>
      </c>
      <c r="L10513" s="787">
        <v>15.2</v>
      </c>
      <c r="M10513" s="787">
        <v>20</v>
      </c>
      <c r="N10513" s="787">
        <v>16.34</v>
      </c>
      <c r="O10513" s="788">
        <v>42163</v>
      </c>
    </row>
    <row r="10514" spans="1:15" x14ac:dyDescent="0.25">
      <c r="A10514" s="786" t="s">
        <v>18738</v>
      </c>
      <c r="B10514" s="787">
        <v>4</v>
      </c>
      <c r="C10514" s="787" t="s">
        <v>18739</v>
      </c>
      <c r="D10514" s="787">
        <v>0</v>
      </c>
      <c r="E10514" s="787">
        <v>0</v>
      </c>
      <c r="H10514" s="787">
        <v>1</v>
      </c>
      <c r="J10514" s="788">
        <v>38047</v>
      </c>
      <c r="L10514" s="787">
        <v>0</v>
      </c>
      <c r="M10514" s="787">
        <v>20</v>
      </c>
      <c r="N10514" s="787">
        <v>0</v>
      </c>
      <c r="O10514" s="788">
        <v>40824</v>
      </c>
    </row>
    <row r="10515" spans="1:15" x14ac:dyDescent="0.25">
      <c r="A10515" s="786" t="s">
        <v>18740</v>
      </c>
      <c r="B10515" s="787">
        <v>4</v>
      </c>
      <c r="C10515" s="787" t="s">
        <v>18741</v>
      </c>
      <c r="D10515" s="787">
        <v>1.37</v>
      </c>
      <c r="E10515" s="787">
        <v>28.49</v>
      </c>
      <c r="F10515" s="788">
        <v>39422</v>
      </c>
      <c r="G10515" s="788">
        <v>42013</v>
      </c>
      <c r="H10515" s="787">
        <v>1</v>
      </c>
      <c r="I10515" s="788">
        <v>42163</v>
      </c>
      <c r="J10515" s="788">
        <v>41785</v>
      </c>
      <c r="K10515" s="788">
        <v>40617</v>
      </c>
      <c r="L10515" s="787">
        <v>27</v>
      </c>
      <c r="M10515" s="787">
        <v>20</v>
      </c>
      <c r="N10515" s="787">
        <v>29.03</v>
      </c>
      <c r="O10515" s="788">
        <v>42163</v>
      </c>
    </row>
    <row r="10516" spans="1:15" x14ac:dyDescent="0.25">
      <c r="A10516" s="786" t="s">
        <v>18742</v>
      </c>
      <c r="B10516" s="787">
        <v>4</v>
      </c>
      <c r="C10516" s="787" t="s">
        <v>18743</v>
      </c>
      <c r="D10516" s="787">
        <v>0.22</v>
      </c>
      <c r="E10516" s="787">
        <v>30.22</v>
      </c>
      <c r="F10516" s="788">
        <v>37497</v>
      </c>
      <c r="G10516" s="788">
        <v>37497</v>
      </c>
      <c r="H10516" s="787">
        <v>1</v>
      </c>
      <c r="J10516" s="788">
        <v>37510</v>
      </c>
      <c r="L10516" s="787">
        <v>32.94</v>
      </c>
      <c r="M10516" s="787">
        <v>20</v>
      </c>
      <c r="N10516" s="787">
        <v>35.409999999999997</v>
      </c>
      <c r="O10516" s="788">
        <v>41858</v>
      </c>
    </row>
    <row r="10517" spans="1:15" x14ac:dyDescent="0.25">
      <c r="A10517" s="786" t="s">
        <v>18744</v>
      </c>
      <c r="B10517" s="787">
        <v>4</v>
      </c>
      <c r="C10517" s="787" t="s">
        <v>18745</v>
      </c>
      <c r="D10517" s="787">
        <v>1.6</v>
      </c>
      <c r="E10517" s="787">
        <v>51.6</v>
      </c>
      <c r="F10517" s="788">
        <v>37896</v>
      </c>
      <c r="G10517" s="788">
        <v>37896</v>
      </c>
      <c r="H10517" s="787">
        <v>1</v>
      </c>
      <c r="J10517" s="788">
        <v>37894</v>
      </c>
      <c r="L10517" s="787">
        <v>56.24</v>
      </c>
      <c r="M10517" s="787">
        <v>20</v>
      </c>
      <c r="N10517" s="787">
        <v>60.46</v>
      </c>
      <c r="O10517" s="788">
        <v>41858</v>
      </c>
    </row>
    <row r="10518" spans="1:15" x14ac:dyDescent="0.25">
      <c r="A10518" s="786" t="s">
        <v>18746</v>
      </c>
      <c r="B10518" s="787">
        <v>4</v>
      </c>
      <c r="C10518" s="787" t="s">
        <v>18747</v>
      </c>
      <c r="D10518" s="787">
        <v>6.26</v>
      </c>
      <c r="E10518" s="787">
        <v>58.9</v>
      </c>
      <c r="F10518" s="788">
        <v>39101</v>
      </c>
      <c r="G10518" s="788">
        <v>41592</v>
      </c>
      <c r="H10518" s="787">
        <v>1</v>
      </c>
      <c r="I10518" s="788">
        <v>41381</v>
      </c>
      <c r="J10518" s="788">
        <v>41599</v>
      </c>
      <c r="L10518" s="787">
        <v>64.2</v>
      </c>
      <c r="M10518" s="787">
        <v>20</v>
      </c>
      <c r="N10518" s="787">
        <v>69.02</v>
      </c>
      <c r="O10518" s="788">
        <v>42163</v>
      </c>
    </row>
    <row r="10519" spans="1:15" x14ac:dyDescent="0.25">
      <c r="A10519" s="786" t="s">
        <v>18748</v>
      </c>
      <c r="B10519" s="787">
        <v>4</v>
      </c>
      <c r="C10519" s="787" t="s">
        <v>18749</v>
      </c>
      <c r="D10519" s="787">
        <v>8.99</v>
      </c>
      <c r="E10519" s="787">
        <v>10</v>
      </c>
      <c r="F10519" s="788">
        <v>39450</v>
      </c>
      <c r="G10519" s="788">
        <v>41646</v>
      </c>
      <c r="H10519" s="787">
        <v>1</v>
      </c>
      <c r="I10519" s="788">
        <v>42054</v>
      </c>
      <c r="J10519" s="788">
        <v>40560</v>
      </c>
      <c r="K10519" s="788">
        <v>40417</v>
      </c>
      <c r="L10519" s="787">
        <v>9.75</v>
      </c>
      <c r="M10519" s="787">
        <v>20</v>
      </c>
      <c r="N10519" s="787">
        <v>10.48</v>
      </c>
      <c r="O10519" s="788">
        <v>42163</v>
      </c>
    </row>
    <row r="10520" spans="1:15" x14ac:dyDescent="0.25">
      <c r="A10520" s="786" t="s">
        <v>18750</v>
      </c>
      <c r="B10520" s="787">
        <v>4</v>
      </c>
      <c r="C10520" s="787" t="s">
        <v>18751</v>
      </c>
      <c r="D10520" s="787">
        <v>8.1999999999999993</v>
      </c>
      <c r="E10520" s="787">
        <v>25.27</v>
      </c>
      <c r="F10520" s="788">
        <v>39475</v>
      </c>
      <c r="G10520" s="788">
        <v>41646</v>
      </c>
      <c r="H10520" s="787">
        <v>1</v>
      </c>
      <c r="I10520" s="788">
        <v>41340</v>
      </c>
      <c r="J10520" s="788">
        <v>39476</v>
      </c>
      <c r="K10520" s="788">
        <v>41869</v>
      </c>
      <c r="L10520" s="787">
        <v>25.27</v>
      </c>
      <c r="M10520" s="787">
        <v>20</v>
      </c>
      <c r="N10520" s="787">
        <v>27.17</v>
      </c>
      <c r="O10520" s="788">
        <v>42163</v>
      </c>
    </row>
    <row r="10521" spans="1:15" x14ac:dyDescent="0.25">
      <c r="A10521" s="786" t="s">
        <v>18752</v>
      </c>
      <c r="B10521" s="787">
        <v>4</v>
      </c>
      <c r="C10521" s="787" t="s">
        <v>18753</v>
      </c>
      <c r="D10521" s="787">
        <v>2.99</v>
      </c>
      <c r="E10521" s="787">
        <v>2.99</v>
      </c>
      <c r="F10521" s="788">
        <v>39101</v>
      </c>
      <c r="G10521" s="788">
        <v>39101</v>
      </c>
      <c r="H10521" s="787">
        <v>1</v>
      </c>
      <c r="I10521" s="788">
        <v>39561</v>
      </c>
      <c r="J10521" s="788">
        <v>39101</v>
      </c>
      <c r="L10521" s="787">
        <v>3.26</v>
      </c>
      <c r="M10521" s="787">
        <v>20</v>
      </c>
      <c r="N10521" s="787">
        <v>3.5</v>
      </c>
      <c r="O10521" s="788">
        <v>42144</v>
      </c>
    </row>
    <row r="10522" spans="1:15" x14ac:dyDescent="0.25">
      <c r="A10522" s="786" t="s">
        <v>18754</v>
      </c>
      <c r="B10522" s="787">
        <v>4</v>
      </c>
      <c r="C10522" s="787" t="s">
        <v>18755</v>
      </c>
      <c r="D10522" s="787">
        <v>8.57</v>
      </c>
      <c r="E10522" s="787">
        <v>48.57</v>
      </c>
      <c r="F10522" s="788">
        <v>38047</v>
      </c>
      <c r="G10522" s="788">
        <v>38047</v>
      </c>
      <c r="H10522" s="787">
        <v>1</v>
      </c>
      <c r="I10522" s="788">
        <v>37769</v>
      </c>
      <c r="J10522" s="788">
        <v>38047</v>
      </c>
      <c r="L10522" s="787">
        <v>52.94</v>
      </c>
      <c r="M10522" s="787">
        <v>20</v>
      </c>
      <c r="N10522" s="787">
        <v>56.91</v>
      </c>
      <c r="O10522" s="788">
        <v>41955</v>
      </c>
    </row>
    <row r="10523" spans="1:15" x14ac:dyDescent="0.25">
      <c r="A10523" s="786" t="s">
        <v>18756</v>
      </c>
      <c r="B10523" s="787">
        <v>4</v>
      </c>
      <c r="C10523" s="787" t="s">
        <v>18757</v>
      </c>
      <c r="D10523" s="787">
        <v>4.1399999999999997</v>
      </c>
      <c r="E10523" s="787">
        <v>4.1399999999999997</v>
      </c>
      <c r="F10523" s="788">
        <v>39101</v>
      </c>
      <c r="G10523" s="788">
        <v>39101</v>
      </c>
      <c r="H10523" s="787">
        <v>1</v>
      </c>
      <c r="I10523" s="788">
        <v>41491</v>
      </c>
      <c r="J10523" s="788">
        <v>39101</v>
      </c>
      <c r="L10523" s="787">
        <v>4.51</v>
      </c>
      <c r="M10523" s="787">
        <v>20</v>
      </c>
      <c r="N10523" s="787">
        <v>4.8499999999999996</v>
      </c>
      <c r="O10523" s="788">
        <v>41858</v>
      </c>
    </row>
    <row r="10524" spans="1:15" x14ac:dyDescent="0.25">
      <c r="A10524" s="786" t="s">
        <v>18758</v>
      </c>
      <c r="B10524" s="787">
        <v>4</v>
      </c>
      <c r="C10524" s="787" t="s">
        <v>18759</v>
      </c>
      <c r="D10524" s="787">
        <v>5.04</v>
      </c>
      <c r="E10524" s="787">
        <v>5.04</v>
      </c>
      <c r="F10524" s="788">
        <v>37636</v>
      </c>
      <c r="G10524" s="788">
        <v>37636</v>
      </c>
      <c r="H10524" s="787">
        <v>1</v>
      </c>
      <c r="I10524" s="788">
        <v>41491</v>
      </c>
      <c r="J10524" s="788">
        <v>37636</v>
      </c>
      <c r="L10524" s="787">
        <v>5.49</v>
      </c>
      <c r="M10524" s="787">
        <v>20</v>
      </c>
      <c r="N10524" s="787">
        <v>5.9</v>
      </c>
      <c r="O10524" s="788">
        <v>41858</v>
      </c>
    </row>
    <row r="10525" spans="1:15" x14ac:dyDescent="0.25">
      <c r="A10525" s="786" t="s">
        <v>18760</v>
      </c>
      <c r="B10525" s="787">
        <v>4</v>
      </c>
      <c r="C10525" s="787" t="s">
        <v>18761</v>
      </c>
      <c r="D10525" s="787">
        <v>2.74</v>
      </c>
      <c r="E10525" s="787">
        <v>2.74</v>
      </c>
      <c r="F10525" s="788">
        <v>38047</v>
      </c>
      <c r="G10525" s="788">
        <v>38047</v>
      </c>
      <c r="H10525" s="787">
        <v>1</v>
      </c>
      <c r="I10525" s="788">
        <v>38133</v>
      </c>
      <c r="J10525" s="788">
        <v>38047</v>
      </c>
      <c r="L10525" s="787">
        <v>2.99</v>
      </c>
      <c r="M10525" s="787">
        <v>20</v>
      </c>
      <c r="N10525" s="787">
        <v>3.21</v>
      </c>
      <c r="O10525" s="788">
        <v>41858</v>
      </c>
    </row>
    <row r="10526" spans="1:15" x14ac:dyDescent="0.25">
      <c r="A10526" s="786" t="s">
        <v>18762</v>
      </c>
      <c r="B10526" s="787">
        <v>4</v>
      </c>
      <c r="C10526" s="787" t="s">
        <v>18763</v>
      </c>
      <c r="D10526" s="787">
        <v>2.21</v>
      </c>
      <c r="E10526" s="787">
        <v>2.21</v>
      </c>
      <c r="F10526" s="788">
        <v>38047</v>
      </c>
      <c r="G10526" s="788">
        <v>38047</v>
      </c>
      <c r="H10526" s="787">
        <v>1</v>
      </c>
      <c r="I10526" s="788">
        <v>38133</v>
      </c>
      <c r="J10526" s="788">
        <v>38047</v>
      </c>
      <c r="L10526" s="787">
        <v>2.41</v>
      </c>
      <c r="M10526" s="787">
        <v>20</v>
      </c>
      <c r="N10526" s="787">
        <v>2.59</v>
      </c>
      <c r="O10526" s="788">
        <v>41858</v>
      </c>
    </row>
    <row r="10527" spans="1:15" x14ac:dyDescent="0.25">
      <c r="A10527" s="786" t="s">
        <v>18764</v>
      </c>
      <c r="B10527" s="787">
        <v>4</v>
      </c>
      <c r="C10527" s="787" t="s">
        <v>18765</v>
      </c>
      <c r="D10527" s="787">
        <v>4.8099999999999996</v>
      </c>
      <c r="E10527" s="787">
        <v>4.8099999999999996</v>
      </c>
      <c r="F10527" s="788">
        <v>38047</v>
      </c>
      <c r="G10527" s="788">
        <v>38047</v>
      </c>
      <c r="H10527" s="787">
        <v>1</v>
      </c>
      <c r="I10527" s="788">
        <v>41491</v>
      </c>
      <c r="J10527" s="788">
        <v>38047</v>
      </c>
      <c r="L10527" s="787">
        <v>5.24</v>
      </c>
      <c r="M10527" s="787">
        <v>20</v>
      </c>
      <c r="N10527" s="787">
        <v>5.63</v>
      </c>
      <c r="O10527" s="788">
        <v>41858</v>
      </c>
    </row>
    <row r="10528" spans="1:15" x14ac:dyDescent="0.25">
      <c r="A10528" s="786" t="s">
        <v>18766</v>
      </c>
      <c r="B10528" s="787">
        <v>4</v>
      </c>
      <c r="C10528" s="787" t="s">
        <v>18767</v>
      </c>
      <c r="D10528" s="787">
        <v>0.56999999999999995</v>
      </c>
      <c r="E10528" s="787">
        <v>0.86</v>
      </c>
      <c r="F10528" s="788">
        <v>39101</v>
      </c>
      <c r="G10528" s="788">
        <v>41565</v>
      </c>
      <c r="H10528" s="787">
        <v>1</v>
      </c>
      <c r="I10528" s="788">
        <v>42109</v>
      </c>
      <c r="J10528" s="788">
        <v>40561</v>
      </c>
      <c r="L10528" s="787">
        <v>0.4</v>
      </c>
      <c r="M10528" s="787">
        <v>10</v>
      </c>
      <c r="N10528" s="787">
        <v>0.96</v>
      </c>
      <c r="O10528" s="788">
        <v>42162</v>
      </c>
    </row>
    <row r="10529" spans="1:15" x14ac:dyDescent="0.25">
      <c r="A10529" s="786" t="s">
        <v>18768</v>
      </c>
      <c r="B10529" s="787">
        <v>4</v>
      </c>
      <c r="C10529" s="787" t="s">
        <v>18769</v>
      </c>
      <c r="D10529" s="787">
        <v>0.13</v>
      </c>
      <c r="E10529" s="787">
        <v>0.83</v>
      </c>
      <c r="F10529" s="788">
        <v>39456</v>
      </c>
      <c r="G10529" s="788">
        <v>42086</v>
      </c>
      <c r="H10529" s="787">
        <v>1</v>
      </c>
      <c r="I10529" s="788">
        <v>42137</v>
      </c>
      <c r="J10529" s="788">
        <v>42054</v>
      </c>
      <c r="L10529" s="787">
        <v>0.38</v>
      </c>
      <c r="M10529" s="787">
        <v>10</v>
      </c>
      <c r="N10529" s="787">
        <v>0.48</v>
      </c>
      <c r="O10529" s="788">
        <v>42164</v>
      </c>
    </row>
    <row r="10530" spans="1:15" x14ac:dyDescent="0.25">
      <c r="A10530" s="786" t="s">
        <v>18770</v>
      </c>
      <c r="B10530" s="787">
        <v>4</v>
      </c>
      <c r="C10530" s="787" t="s">
        <v>18771</v>
      </c>
      <c r="D10530" s="787">
        <v>0.52</v>
      </c>
      <c r="E10530" s="787">
        <v>23.83</v>
      </c>
      <c r="F10530" s="788">
        <v>39456</v>
      </c>
      <c r="G10530" s="788">
        <v>41255</v>
      </c>
      <c r="H10530" s="787">
        <v>1</v>
      </c>
      <c r="I10530" s="788">
        <v>41491</v>
      </c>
      <c r="J10530" s="788">
        <v>40835</v>
      </c>
      <c r="L10530" s="787">
        <v>2.34</v>
      </c>
      <c r="M10530" s="787">
        <v>10</v>
      </c>
      <c r="N10530" s="787">
        <v>12.9</v>
      </c>
      <c r="O10530" s="788">
        <v>42163</v>
      </c>
    </row>
    <row r="10531" spans="1:15" x14ac:dyDescent="0.25">
      <c r="A10531" s="786" t="s">
        <v>18772</v>
      </c>
      <c r="B10531" s="787">
        <v>4</v>
      </c>
      <c r="C10531" s="787" t="s">
        <v>18773</v>
      </c>
      <c r="D10531" s="787">
        <v>1.74</v>
      </c>
      <c r="E10531" s="787">
        <v>7.6</v>
      </c>
      <c r="F10531" s="788">
        <v>39456</v>
      </c>
      <c r="G10531" s="788">
        <v>42158</v>
      </c>
      <c r="H10531" s="787">
        <v>1</v>
      </c>
      <c r="I10531" s="788">
        <v>42163</v>
      </c>
      <c r="J10531" s="788">
        <v>42158</v>
      </c>
      <c r="K10531" s="788">
        <v>41834</v>
      </c>
      <c r="L10531" s="787">
        <v>7.6</v>
      </c>
      <c r="M10531" s="787">
        <v>20</v>
      </c>
      <c r="N10531" s="787">
        <v>8.17</v>
      </c>
      <c r="O10531" s="788">
        <v>42163</v>
      </c>
    </row>
    <row r="10532" spans="1:15" x14ac:dyDescent="0.25">
      <c r="A10532" s="786" t="s">
        <v>18774</v>
      </c>
      <c r="B10532" s="787">
        <v>4</v>
      </c>
      <c r="C10532" s="787" t="s">
        <v>18775</v>
      </c>
      <c r="D10532" s="787">
        <v>8.9</v>
      </c>
      <c r="E10532" s="787">
        <v>8.9</v>
      </c>
      <c r="F10532" s="788">
        <v>38047</v>
      </c>
      <c r="G10532" s="788">
        <v>38047</v>
      </c>
      <c r="H10532" s="787">
        <v>1</v>
      </c>
      <c r="I10532" s="788">
        <v>38706</v>
      </c>
      <c r="J10532" s="788">
        <v>38047</v>
      </c>
      <c r="L10532" s="787">
        <v>9.6999999999999993</v>
      </c>
      <c r="M10532" s="787">
        <v>20</v>
      </c>
      <c r="N10532" s="787">
        <v>10.43</v>
      </c>
      <c r="O10532" s="788">
        <v>41858</v>
      </c>
    </row>
    <row r="10533" spans="1:15" x14ac:dyDescent="0.25">
      <c r="A10533" s="786" t="s">
        <v>18776</v>
      </c>
      <c r="B10533" s="787">
        <v>4</v>
      </c>
      <c r="C10533" s="787" t="s">
        <v>18777</v>
      </c>
      <c r="D10533" s="787">
        <v>7.7</v>
      </c>
      <c r="E10533" s="787">
        <v>7.7</v>
      </c>
      <c r="F10533" s="788">
        <v>38047</v>
      </c>
      <c r="G10533" s="788">
        <v>38047</v>
      </c>
      <c r="H10533" s="787">
        <v>1</v>
      </c>
      <c r="I10533" s="788">
        <v>38706</v>
      </c>
      <c r="J10533" s="788">
        <v>38047</v>
      </c>
      <c r="L10533" s="787">
        <v>8.39</v>
      </c>
      <c r="M10533" s="787">
        <v>20</v>
      </c>
      <c r="N10533" s="787">
        <v>9.02</v>
      </c>
      <c r="O10533" s="788">
        <v>41858</v>
      </c>
    </row>
    <row r="10534" spans="1:15" x14ac:dyDescent="0.25">
      <c r="A10534" s="786" t="s">
        <v>18778</v>
      </c>
      <c r="B10534" s="787">
        <v>4</v>
      </c>
      <c r="C10534" s="787" t="s">
        <v>18779</v>
      </c>
      <c r="D10534" s="787">
        <v>1.71</v>
      </c>
      <c r="E10534" s="787">
        <v>7.64</v>
      </c>
      <c r="F10534" s="788">
        <v>39456</v>
      </c>
      <c r="G10534" s="788">
        <v>42116</v>
      </c>
      <c r="H10534" s="787">
        <v>1</v>
      </c>
      <c r="I10534" s="788">
        <v>40899</v>
      </c>
      <c r="J10534" s="788">
        <v>42116</v>
      </c>
      <c r="K10534" s="788">
        <v>41834</v>
      </c>
      <c r="L10534" s="787">
        <v>7.64</v>
      </c>
      <c r="M10534" s="787">
        <v>20</v>
      </c>
      <c r="N10534" s="787">
        <v>8.2100000000000009</v>
      </c>
      <c r="O10534" s="788">
        <v>42163</v>
      </c>
    </row>
    <row r="10535" spans="1:15" x14ac:dyDescent="0.25">
      <c r="A10535" s="786" t="s">
        <v>18780</v>
      </c>
      <c r="B10535" s="787">
        <v>4</v>
      </c>
      <c r="C10535" s="787" t="s">
        <v>18781</v>
      </c>
      <c r="D10535" s="787">
        <v>8.33</v>
      </c>
      <c r="E10535" s="787">
        <v>48.33</v>
      </c>
      <c r="F10535" s="788">
        <v>38047</v>
      </c>
      <c r="G10535" s="788">
        <v>38047</v>
      </c>
      <c r="H10535" s="787">
        <v>1</v>
      </c>
      <c r="J10535" s="788">
        <v>38047</v>
      </c>
      <c r="L10535" s="787">
        <v>52.68</v>
      </c>
      <c r="M10535" s="787">
        <v>20</v>
      </c>
      <c r="N10535" s="787">
        <v>56.63</v>
      </c>
      <c r="O10535" s="788">
        <v>42127</v>
      </c>
    </row>
    <row r="10536" spans="1:15" x14ac:dyDescent="0.25">
      <c r="A10536" s="786" t="s">
        <v>18782</v>
      </c>
      <c r="B10536" s="787">
        <v>4</v>
      </c>
      <c r="C10536" s="787" t="s">
        <v>18783</v>
      </c>
      <c r="D10536" s="787">
        <v>9.4600000000000009</v>
      </c>
      <c r="E10536" s="787">
        <v>12.98</v>
      </c>
      <c r="F10536" s="788">
        <v>40571</v>
      </c>
      <c r="G10536" s="788">
        <v>42013</v>
      </c>
      <c r="H10536" s="787">
        <v>1</v>
      </c>
      <c r="I10536" s="788">
        <v>42160</v>
      </c>
      <c r="J10536" s="788">
        <v>41901</v>
      </c>
      <c r="K10536" s="788">
        <v>40277</v>
      </c>
      <c r="L10536" s="787">
        <v>13.2</v>
      </c>
      <c r="M10536" s="787">
        <v>20</v>
      </c>
      <c r="N10536" s="787">
        <v>14.19</v>
      </c>
      <c r="O10536" s="788">
        <v>42164</v>
      </c>
    </row>
    <row r="10537" spans="1:15" x14ac:dyDescent="0.25">
      <c r="A10537" s="786" t="s">
        <v>18784</v>
      </c>
      <c r="B10537" s="787">
        <v>4</v>
      </c>
      <c r="C10537" s="787" t="s">
        <v>18785</v>
      </c>
      <c r="D10537" s="787">
        <v>8.64</v>
      </c>
      <c r="E10537" s="787">
        <v>19.11</v>
      </c>
      <c r="F10537" s="788">
        <v>40925</v>
      </c>
      <c r="G10537" s="788">
        <v>42023</v>
      </c>
      <c r="H10537" s="787">
        <v>1</v>
      </c>
      <c r="I10537" s="788">
        <v>42051</v>
      </c>
      <c r="J10537" s="788">
        <v>42023</v>
      </c>
      <c r="K10537" s="788">
        <v>42012</v>
      </c>
      <c r="L10537" s="787">
        <v>19.11</v>
      </c>
      <c r="M10537" s="787">
        <v>20</v>
      </c>
      <c r="N10537" s="787">
        <v>20.54</v>
      </c>
      <c r="O10537" s="788">
        <v>42012</v>
      </c>
    </row>
    <row r="10538" spans="1:15" x14ac:dyDescent="0.25">
      <c r="A10538" s="786" t="s">
        <v>18786</v>
      </c>
      <c r="B10538" s="787">
        <v>4</v>
      </c>
      <c r="C10538" s="787" t="s">
        <v>18787</v>
      </c>
      <c r="D10538" s="787">
        <v>2.69</v>
      </c>
      <c r="E10538" s="787">
        <v>43.76</v>
      </c>
      <c r="F10538" s="788">
        <v>40925</v>
      </c>
      <c r="G10538" s="788">
        <v>42023</v>
      </c>
      <c r="H10538" s="787">
        <v>1</v>
      </c>
      <c r="I10538" s="788">
        <v>42051</v>
      </c>
      <c r="J10538" s="788">
        <v>42073</v>
      </c>
      <c r="K10538" s="788">
        <v>42012</v>
      </c>
      <c r="L10538" s="787">
        <v>43.76</v>
      </c>
      <c r="M10538" s="787">
        <v>20</v>
      </c>
      <c r="N10538" s="787">
        <v>47.04</v>
      </c>
      <c r="O10538" s="788">
        <v>42012</v>
      </c>
    </row>
    <row r="10539" spans="1:15" x14ac:dyDescent="0.25">
      <c r="A10539" s="786" t="s">
        <v>18788</v>
      </c>
      <c r="B10539" s="787">
        <v>4</v>
      </c>
      <c r="C10539" s="787" t="s">
        <v>18789</v>
      </c>
      <c r="D10539" s="787">
        <v>7.5</v>
      </c>
      <c r="E10539" s="787">
        <v>83.5</v>
      </c>
      <c r="F10539" s="788">
        <v>40911</v>
      </c>
      <c r="G10539" s="788">
        <v>42013</v>
      </c>
      <c r="H10539" s="787">
        <v>1</v>
      </c>
      <c r="I10539" s="788">
        <v>41953</v>
      </c>
      <c r="J10539" s="788">
        <v>41953</v>
      </c>
      <c r="K10539" s="788">
        <v>40876</v>
      </c>
      <c r="L10539" s="787">
        <v>67.5</v>
      </c>
      <c r="M10539" s="787">
        <v>20</v>
      </c>
      <c r="N10539" s="787">
        <v>72.56</v>
      </c>
      <c r="O10539" s="788">
        <v>42146</v>
      </c>
    </row>
    <row r="10540" spans="1:15" x14ac:dyDescent="0.25">
      <c r="A10540" s="786" t="s">
        <v>18790</v>
      </c>
      <c r="B10540" s="787">
        <v>4</v>
      </c>
      <c r="C10540" s="787" t="s">
        <v>18791</v>
      </c>
      <c r="D10540" s="787">
        <v>0.47</v>
      </c>
      <c r="E10540" s="787">
        <v>30.47</v>
      </c>
      <c r="F10540" s="788">
        <v>37287</v>
      </c>
      <c r="G10540" s="788">
        <v>37287</v>
      </c>
      <c r="H10540" s="787">
        <v>1</v>
      </c>
      <c r="I10540" s="788">
        <v>39581</v>
      </c>
      <c r="J10540" s="788">
        <v>37287</v>
      </c>
      <c r="L10540" s="787">
        <v>33.21</v>
      </c>
      <c r="M10540" s="787">
        <v>20</v>
      </c>
      <c r="N10540" s="787">
        <v>35.700000000000003</v>
      </c>
      <c r="O10540" s="788">
        <v>41858</v>
      </c>
    </row>
    <row r="10541" spans="1:15" x14ac:dyDescent="0.25">
      <c r="A10541" s="786" t="s">
        <v>18792</v>
      </c>
      <c r="B10541" s="787">
        <v>4</v>
      </c>
      <c r="C10541" s="787" t="s">
        <v>18793</v>
      </c>
      <c r="D10541" s="787">
        <v>0.47</v>
      </c>
      <c r="E10541" s="787">
        <v>30.47</v>
      </c>
      <c r="F10541" s="788">
        <v>37287</v>
      </c>
      <c r="G10541" s="788">
        <v>37287</v>
      </c>
      <c r="H10541" s="787">
        <v>1</v>
      </c>
      <c r="I10541" s="788">
        <v>37209</v>
      </c>
      <c r="J10541" s="788">
        <v>37287</v>
      </c>
      <c r="L10541" s="787">
        <v>33.21</v>
      </c>
      <c r="M10541" s="787">
        <v>20</v>
      </c>
      <c r="N10541" s="787">
        <v>35.700000000000003</v>
      </c>
      <c r="O10541" s="788">
        <v>41858</v>
      </c>
    </row>
    <row r="10542" spans="1:15" x14ac:dyDescent="0.25">
      <c r="A10542" s="786" t="s">
        <v>18794</v>
      </c>
      <c r="B10542" s="787">
        <v>4</v>
      </c>
      <c r="C10542" s="787" t="s">
        <v>18795</v>
      </c>
      <c r="D10542" s="787">
        <v>5.46</v>
      </c>
      <c r="E10542" s="787">
        <v>5.46</v>
      </c>
      <c r="F10542" s="788">
        <v>37287</v>
      </c>
      <c r="G10542" s="788">
        <v>37287</v>
      </c>
      <c r="H10542" s="787">
        <v>1</v>
      </c>
      <c r="J10542" s="788">
        <v>37287</v>
      </c>
      <c r="L10542" s="787">
        <v>2.0699999999999998</v>
      </c>
      <c r="M10542" s="787">
        <v>10</v>
      </c>
      <c r="N10542" s="787">
        <v>4.93</v>
      </c>
      <c r="O10542" s="788">
        <v>42087</v>
      </c>
    </row>
    <row r="10543" spans="1:15" x14ac:dyDescent="0.25">
      <c r="A10543" s="786" t="s">
        <v>18796</v>
      </c>
      <c r="B10543" s="787">
        <v>4</v>
      </c>
      <c r="C10543" s="787" t="s">
        <v>18797</v>
      </c>
      <c r="D10543" s="787">
        <v>1.7</v>
      </c>
      <c r="E10543" s="787">
        <v>31.7</v>
      </c>
      <c r="F10543" s="788">
        <v>39101</v>
      </c>
      <c r="G10543" s="788">
        <v>39101</v>
      </c>
      <c r="H10543" s="787">
        <v>1</v>
      </c>
      <c r="I10543" s="788">
        <v>39134</v>
      </c>
      <c r="J10543" s="788">
        <v>39149</v>
      </c>
      <c r="L10543" s="787">
        <v>34.549999999999997</v>
      </c>
      <c r="M10543" s="787">
        <v>20</v>
      </c>
      <c r="N10543" s="787">
        <v>37.14</v>
      </c>
      <c r="O10543" s="788">
        <v>41858</v>
      </c>
    </row>
    <row r="10544" spans="1:15" x14ac:dyDescent="0.25">
      <c r="A10544" s="786" t="s">
        <v>18798</v>
      </c>
      <c r="B10544" s="787">
        <v>4</v>
      </c>
      <c r="C10544" s="787" t="s">
        <v>18799</v>
      </c>
      <c r="D10544" s="787">
        <v>1.55</v>
      </c>
      <c r="E10544" s="787">
        <v>31.55</v>
      </c>
      <c r="F10544" s="788">
        <v>37287</v>
      </c>
      <c r="G10544" s="788">
        <v>37287</v>
      </c>
      <c r="H10544" s="787">
        <v>1</v>
      </c>
      <c r="J10544" s="788">
        <v>37287</v>
      </c>
      <c r="L10544" s="787">
        <v>34.39</v>
      </c>
      <c r="M10544" s="787">
        <v>20</v>
      </c>
      <c r="N10544" s="787">
        <v>36.97</v>
      </c>
      <c r="O10544" s="788">
        <v>41858</v>
      </c>
    </row>
    <row r="10545" spans="1:15" x14ac:dyDescent="0.25">
      <c r="A10545" s="786" t="s">
        <v>18800</v>
      </c>
      <c r="B10545" s="787">
        <v>4</v>
      </c>
      <c r="C10545" s="787" t="s">
        <v>18799</v>
      </c>
      <c r="D10545" s="787">
        <v>1.55</v>
      </c>
      <c r="E10545" s="787">
        <v>31.55</v>
      </c>
      <c r="F10545" s="788">
        <v>37287</v>
      </c>
      <c r="G10545" s="788">
        <v>37287</v>
      </c>
      <c r="H10545" s="787">
        <v>1</v>
      </c>
      <c r="I10545" s="788">
        <v>38609</v>
      </c>
      <c r="J10545" s="788">
        <v>37287</v>
      </c>
      <c r="L10545" s="787">
        <v>34.39</v>
      </c>
      <c r="M10545" s="787">
        <v>20</v>
      </c>
      <c r="N10545" s="787">
        <v>36.97</v>
      </c>
      <c r="O10545" s="788">
        <v>41858</v>
      </c>
    </row>
    <row r="10546" spans="1:15" x14ac:dyDescent="0.25">
      <c r="A10546" s="786" t="s">
        <v>18801</v>
      </c>
      <c r="B10546" s="787">
        <v>4</v>
      </c>
      <c r="C10546" s="787" t="s">
        <v>18802</v>
      </c>
      <c r="D10546" s="787">
        <v>0.56999999999999995</v>
      </c>
      <c r="E10546" s="787">
        <v>0.56999999999999995</v>
      </c>
      <c r="F10546" s="788">
        <v>37287</v>
      </c>
      <c r="G10546" s="788">
        <v>37287</v>
      </c>
      <c r="H10546" s="787">
        <v>1</v>
      </c>
      <c r="I10546" s="788">
        <v>38609</v>
      </c>
      <c r="J10546" s="788">
        <v>37287</v>
      </c>
      <c r="L10546" s="787">
        <v>0.9</v>
      </c>
      <c r="M10546" s="787">
        <v>10</v>
      </c>
      <c r="N10546" s="787">
        <v>1.1200000000000001</v>
      </c>
      <c r="O10546" s="788">
        <v>41858</v>
      </c>
    </row>
    <row r="10547" spans="1:15" x14ac:dyDescent="0.25">
      <c r="A10547" s="786" t="s">
        <v>18803</v>
      </c>
      <c r="B10547" s="787">
        <v>4</v>
      </c>
      <c r="C10547" s="787" t="s">
        <v>18804</v>
      </c>
      <c r="D10547" s="787">
        <v>0.56999999999999995</v>
      </c>
      <c r="E10547" s="787">
        <v>0.56999999999999995</v>
      </c>
      <c r="F10547" s="788">
        <v>37287</v>
      </c>
      <c r="G10547" s="788">
        <v>37287</v>
      </c>
      <c r="H10547" s="787">
        <v>1</v>
      </c>
      <c r="I10547" s="788">
        <v>38609</v>
      </c>
      <c r="J10547" s="788">
        <v>37287</v>
      </c>
      <c r="L10547" s="787">
        <v>0.9</v>
      </c>
      <c r="M10547" s="787">
        <v>10</v>
      </c>
      <c r="N10547" s="787">
        <v>1.1200000000000001</v>
      </c>
      <c r="O10547" s="788">
        <v>41858</v>
      </c>
    </row>
    <row r="10548" spans="1:15" x14ac:dyDescent="0.25">
      <c r="A10548" s="786" t="s">
        <v>18805</v>
      </c>
      <c r="B10548" s="787">
        <v>4</v>
      </c>
      <c r="C10548" s="787" t="s">
        <v>18806</v>
      </c>
      <c r="D10548" s="787">
        <v>0.43</v>
      </c>
      <c r="E10548" s="787">
        <v>0.43</v>
      </c>
      <c r="F10548" s="788">
        <v>37287</v>
      </c>
      <c r="G10548" s="788">
        <v>37287</v>
      </c>
      <c r="H10548" s="787">
        <v>1</v>
      </c>
      <c r="I10548" s="788">
        <v>38609</v>
      </c>
      <c r="J10548" s="788">
        <v>37287</v>
      </c>
      <c r="L10548" s="787">
        <v>0.56999999999999995</v>
      </c>
      <c r="M10548" s="787">
        <v>10</v>
      </c>
      <c r="N10548" s="787">
        <v>0.83</v>
      </c>
      <c r="O10548" s="788">
        <v>41858</v>
      </c>
    </row>
    <row r="10549" spans="1:15" x14ac:dyDescent="0.25">
      <c r="A10549" s="786" t="s">
        <v>18807</v>
      </c>
      <c r="B10549" s="787">
        <v>4</v>
      </c>
      <c r="C10549" s="787" t="s">
        <v>18808</v>
      </c>
      <c r="D10549" s="787">
        <v>0.99</v>
      </c>
      <c r="E10549" s="787">
        <v>10.99</v>
      </c>
      <c r="F10549" s="788">
        <v>37287</v>
      </c>
      <c r="G10549" s="788">
        <v>37287</v>
      </c>
      <c r="H10549" s="787">
        <v>1</v>
      </c>
      <c r="J10549" s="788">
        <v>37287</v>
      </c>
      <c r="L10549" s="787">
        <v>10.99</v>
      </c>
      <c r="M10549" s="787">
        <v>10</v>
      </c>
      <c r="N10549" s="787">
        <v>0</v>
      </c>
      <c r="O10549" s="788">
        <v>41858</v>
      </c>
    </row>
    <row r="10550" spans="1:15" x14ac:dyDescent="0.25">
      <c r="A10550" s="786" t="s">
        <v>18809</v>
      </c>
      <c r="B10550" s="787">
        <v>4</v>
      </c>
      <c r="C10550" s="787" t="s">
        <v>18810</v>
      </c>
      <c r="D10550" s="787">
        <v>1.7</v>
      </c>
      <c r="E10550" s="787">
        <v>31.7</v>
      </c>
      <c r="F10550" s="788">
        <v>37287</v>
      </c>
      <c r="G10550" s="788">
        <v>37287</v>
      </c>
      <c r="H10550" s="787">
        <v>1</v>
      </c>
      <c r="J10550" s="788">
        <v>37287</v>
      </c>
      <c r="L10550" s="787">
        <v>34.549999999999997</v>
      </c>
      <c r="M10550" s="787">
        <v>20</v>
      </c>
      <c r="N10550" s="787">
        <v>37.14</v>
      </c>
      <c r="O10550" s="788">
        <v>41858</v>
      </c>
    </row>
    <row r="10551" spans="1:15" x14ac:dyDescent="0.25">
      <c r="A10551" s="786" t="s">
        <v>18811</v>
      </c>
      <c r="B10551" s="787">
        <v>4</v>
      </c>
      <c r="C10551" s="787" t="s">
        <v>18812</v>
      </c>
      <c r="D10551" s="787">
        <v>1.35</v>
      </c>
      <c r="E10551" s="787">
        <v>1.35</v>
      </c>
      <c r="F10551" s="788">
        <v>37287</v>
      </c>
      <c r="G10551" s="788">
        <v>37287</v>
      </c>
      <c r="H10551" s="787">
        <v>1</v>
      </c>
      <c r="I10551" s="788">
        <v>37042</v>
      </c>
      <c r="J10551" s="788">
        <v>37287</v>
      </c>
      <c r="L10551" s="787">
        <v>1.47</v>
      </c>
      <c r="M10551" s="787">
        <v>20</v>
      </c>
      <c r="N10551" s="787">
        <v>1.58</v>
      </c>
      <c r="O10551" s="788">
        <v>41858</v>
      </c>
    </row>
    <row r="10552" spans="1:15" x14ac:dyDescent="0.25">
      <c r="A10552" s="786" t="s">
        <v>18813</v>
      </c>
      <c r="B10552" s="787">
        <v>4</v>
      </c>
      <c r="C10552" s="787" t="s">
        <v>18814</v>
      </c>
      <c r="D10552" s="787">
        <v>0</v>
      </c>
      <c r="E10552" s="787">
        <v>0</v>
      </c>
      <c r="H10552" s="787">
        <v>1</v>
      </c>
      <c r="J10552" s="788">
        <v>37287</v>
      </c>
      <c r="L10552" s="787">
        <v>0</v>
      </c>
      <c r="M10552" s="787">
        <v>20</v>
      </c>
      <c r="N10552" s="787">
        <v>0</v>
      </c>
      <c r="O10552" s="788">
        <v>40824</v>
      </c>
    </row>
    <row r="10553" spans="1:15" x14ac:dyDescent="0.25">
      <c r="A10553" s="786" t="s">
        <v>18815</v>
      </c>
      <c r="B10553" s="787">
        <v>4</v>
      </c>
      <c r="C10553" s="787" t="s">
        <v>18816</v>
      </c>
      <c r="D10553" s="787">
        <v>0</v>
      </c>
      <c r="E10553" s="787">
        <v>0</v>
      </c>
      <c r="H10553" s="787">
        <v>1</v>
      </c>
      <c r="J10553" s="788">
        <v>37287</v>
      </c>
      <c r="L10553" s="787">
        <v>0</v>
      </c>
      <c r="M10553" s="787">
        <v>20</v>
      </c>
      <c r="N10553" s="787">
        <v>0</v>
      </c>
      <c r="O10553" s="788">
        <v>40824</v>
      </c>
    </row>
    <row r="10554" spans="1:15" x14ac:dyDescent="0.25">
      <c r="A10554" s="786" t="s">
        <v>18817</v>
      </c>
      <c r="B10554" s="787">
        <v>4</v>
      </c>
      <c r="C10554" s="787" t="s">
        <v>18818</v>
      </c>
      <c r="D10554" s="787">
        <v>0</v>
      </c>
      <c r="E10554" s="787">
        <v>0</v>
      </c>
      <c r="H10554" s="787">
        <v>1</v>
      </c>
      <c r="J10554" s="788">
        <v>37287</v>
      </c>
      <c r="L10554" s="787">
        <v>0</v>
      </c>
      <c r="M10554" s="787">
        <v>20</v>
      </c>
      <c r="N10554" s="787">
        <v>0</v>
      </c>
      <c r="O10554" s="788">
        <v>40824</v>
      </c>
    </row>
    <row r="10555" spans="1:15" x14ac:dyDescent="0.25">
      <c r="A10555" s="786" t="s">
        <v>18819</v>
      </c>
      <c r="B10555" s="787">
        <v>4</v>
      </c>
      <c r="C10555" s="787" t="s">
        <v>18820</v>
      </c>
      <c r="D10555" s="787">
        <v>1.1100000000000001</v>
      </c>
      <c r="E10555" s="787">
        <v>39.18</v>
      </c>
      <c r="F10555" s="788">
        <v>39101</v>
      </c>
      <c r="G10555" s="788">
        <v>42061</v>
      </c>
      <c r="H10555" s="787">
        <v>1</v>
      </c>
      <c r="I10555" s="788">
        <v>42160</v>
      </c>
      <c r="J10555" s="788">
        <v>42041</v>
      </c>
      <c r="L10555" s="787">
        <v>13.21</v>
      </c>
      <c r="M10555" s="787">
        <v>10</v>
      </c>
      <c r="N10555" s="787">
        <v>48.8</v>
      </c>
      <c r="O10555" s="788">
        <v>42164</v>
      </c>
    </row>
    <row r="10556" spans="1:15" x14ac:dyDescent="0.25">
      <c r="A10556" s="786" t="s">
        <v>18821</v>
      </c>
      <c r="B10556" s="787">
        <v>4</v>
      </c>
      <c r="C10556" s="787" t="s">
        <v>18822</v>
      </c>
      <c r="D10556" s="787">
        <v>2.52</v>
      </c>
      <c r="E10556" s="787">
        <v>24.96</v>
      </c>
      <c r="F10556" s="788">
        <v>39101</v>
      </c>
      <c r="G10556" s="788">
        <v>42058</v>
      </c>
      <c r="H10556" s="787">
        <v>1</v>
      </c>
      <c r="I10556" s="788">
        <v>42041</v>
      </c>
      <c r="J10556" s="788">
        <v>42026</v>
      </c>
      <c r="L10556" s="787">
        <v>3.42</v>
      </c>
      <c r="M10556" s="787">
        <v>10</v>
      </c>
      <c r="N10556" s="787">
        <v>16.62</v>
      </c>
      <c r="O10556" s="788">
        <v>42164</v>
      </c>
    </row>
    <row r="10557" spans="1:15" x14ac:dyDescent="0.25">
      <c r="A10557" s="786" t="s">
        <v>18823</v>
      </c>
      <c r="B10557" s="787">
        <v>4</v>
      </c>
      <c r="C10557" s="787" t="s">
        <v>18824</v>
      </c>
      <c r="D10557" s="787">
        <v>3.38</v>
      </c>
      <c r="E10557" s="787">
        <v>15.5</v>
      </c>
      <c r="F10557" s="788">
        <v>39456</v>
      </c>
      <c r="G10557" s="788">
        <v>42058</v>
      </c>
      <c r="H10557" s="787">
        <v>1</v>
      </c>
      <c r="I10557" s="788">
        <v>42041</v>
      </c>
      <c r="J10557" s="788">
        <v>42028</v>
      </c>
      <c r="L10557" s="787">
        <v>7.32</v>
      </c>
      <c r="M10557" s="787">
        <v>10</v>
      </c>
      <c r="N10557" s="787">
        <v>16.09</v>
      </c>
      <c r="O10557" s="788">
        <v>42164</v>
      </c>
    </row>
    <row r="10558" spans="1:15" x14ac:dyDescent="0.25">
      <c r="A10558" s="786" t="s">
        <v>18825</v>
      </c>
      <c r="B10558" s="787">
        <v>4</v>
      </c>
      <c r="C10558" s="787" t="s">
        <v>18826</v>
      </c>
      <c r="D10558" s="787">
        <v>0.85</v>
      </c>
      <c r="E10558" s="787">
        <v>5.23</v>
      </c>
      <c r="F10558" s="788">
        <v>39456</v>
      </c>
      <c r="G10558" s="788">
        <v>42107</v>
      </c>
      <c r="H10558" s="787">
        <v>1</v>
      </c>
      <c r="I10558" s="788">
        <v>42086</v>
      </c>
      <c r="J10558" s="788">
        <v>42076</v>
      </c>
      <c r="L10558" s="787">
        <v>1.93</v>
      </c>
      <c r="M10558" s="787">
        <v>10</v>
      </c>
      <c r="N10558" s="787">
        <v>11.47</v>
      </c>
      <c r="O10558" s="788">
        <v>42164</v>
      </c>
    </row>
    <row r="10559" spans="1:15" x14ac:dyDescent="0.25">
      <c r="A10559" s="786" t="s">
        <v>18827</v>
      </c>
      <c r="B10559" s="787">
        <v>4</v>
      </c>
      <c r="C10559" s="787" t="s">
        <v>18828</v>
      </c>
      <c r="D10559" s="787">
        <v>0.47</v>
      </c>
      <c r="E10559" s="787">
        <v>2.46</v>
      </c>
      <c r="F10559" s="788">
        <v>39456</v>
      </c>
      <c r="G10559" s="788">
        <v>41943</v>
      </c>
      <c r="H10559" s="787">
        <v>1</v>
      </c>
      <c r="I10559" s="788">
        <v>42160</v>
      </c>
      <c r="J10559" s="788">
        <v>41472</v>
      </c>
      <c r="L10559" s="787">
        <v>1</v>
      </c>
      <c r="M10559" s="787">
        <v>10</v>
      </c>
      <c r="N10559" s="787">
        <v>1.32</v>
      </c>
      <c r="O10559" s="788">
        <v>42164</v>
      </c>
    </row>
    <row r="10560" spans="1:15" x14ac:dyDescent="0.25">
      <c r="A10560" s="786" t="s">
        <v>18829</v>
      </c>
      <c r="B10560" s="787">
        <v>4</v>
      </c>
      <c r="C10560" s="787" t="s">
        <v>18830</v>
      </c>
      <c r="D10560" s="787">
        <v>0.24</v>
      </c>
      <c r="E10560" s="787">
        <v>0.42</v>
      </c>
      <c r="F10560" s="788">
        <v>39456</v>
      </c>
      <c r="G10560" s="788">
        <v>42055</v>
      </c>
      <c r="H10560" s="787">
        <v>1</v>
      </c>
      <c r="I10560" s="788">
        <v>42160</v>
      </c>
      <c r="J10560" s="788">
        <v>42024</v>
      </c>
      <c r="L10560" s="787">
        <v>0.56999999999999995</v>
      </c>
      <c r="M10560" s="787">
        <v>10</v>
      </c>
      <c r="N10560" s="787">
        <v>1.17</v>
      </c>
      <c r="O10560" s="788">
        <v>42164</v>
      </c>
    </row>
    <row r="10561" spans="1:15" x14ac:dyDescent="0.25">
      <c r="A10561" s="786" t="s">
        <v>18831</v>
      </c>
      <c r="B10561" s="787">
        <v>4</v>
      </c>
      <c r="C10561" s="787" t="s">
        <v>18832</v>
      </c>
      <c r="D10561" s="787">
        <v>3.72</v>
      </c>
      <c r="E10561" s="787">
        <v>53.56</v>
      </c>
      <c r="F10561" s="788">
        <v>39456</v>
      </c>
      <c r="G10561" s="788">
        <v>42111</v>
      </c>
      <c r="H10561" s="787">
        <v>1</v>
      </c>
      <c r="I10561" s="788">
        <v>42160</v>
      </c>
      <c r="J10561" s="788">
        <v>42086</v>
      </c>
      <c r="L10561" s="787">
        <v>15.7</v>
      </c>
      <c r="M10561" s="787">
        <v>10</v>
      </c>
      <c r="N10561" s="787">
        <v>45.61</v>
      </c>
      <c r="O10561" s="788">
        <v>42164</v>
      </c>
    </row>
    <row r="10562" spans="1:15" x14ac:dyDescent="0.25">
      <c r="A10562" s="786" t="s">
        <v>18833</v>
      </c>
      <c r="B10562" s="787">
        <v>4</v>
      </c>
      <c r="C10562" s="787" t="s">
        <v>18834</v>
      </c>
      <c r="D10562" s="787">
        <v>3.26</v>
      </c>
      <c r="E10562" s="787">
        <v>32.979999999999997</v>
      </c>
      <c r="F10562" s="788">
        <v>39101</v>
      </c>
      <c r="G10562" s="788">
        <v>41737</v>
      </c>
      <c r="H10562" s="787">
        <v>1</v>
      </c>
      <c r="I10562" s="788">
        <v>42109</v>
      </c>
      <c r="J10562" s="788">
        <v>41737</v>
      </c>
      <c r="L10562" s="787">
        <v>22.79</v>
      </c>
      <c r="M10562" s="787">
        <v>10</v>
      </c>
      <c r="N10562" s="787">
        <v>43.99</v>
      </c>
      <c r="O10562" s="788">
        <v>42162</v>
      </c>
    </row>
    <row r="10563" spans="1:15" x14ac:dyDescent="0.25">
      <c r="A10563" s="786" t="s">
        <v>18835</v>
      </c>
      <c r="B10563" s="787">
        <v>4</v>
      </c>
      <c r="C10563" s="787" t="s">
        <v>18836</v>
      </c>
      <c r="D10563" s="787">
        <v>5.67</v>
      </c>
      <c r="E10563" s="787">
        <v>29.35</v>
      </c>
      <c r="F10563" s="788">
        <v>39101</v>
      </c>
      <c r="G10563" s="788">
        <v>41943</v>
      </c>
      <c r="H10563" s="787">
        <v>1</v>
      </c>
      <c r="I10563" s="788">
        <v>42059</v>
      </c>
      <c r="J10563" s="788">
        <v>41402</v>
      </c>
      <c r="L10563" s="787">
        <v>16.04</v>
      </c>
      <c r="M10563" s="787">
        <v>10</v>
      </c>
      <c r="N10563" s="787">
        <v>46.08</v>
      </c>
      <c r="O10563" s="788">
        <v>42162</v>
      </c>
    </row>
    <row r="10564" spans="1:15" x14ac:dyDescent="0.25">
      <c r="A10564" s="786" t="s">
        <v>18837</v>
      </c>
      <c r="B10564" s="787">
        <v>4</v>
      </c>
      <c r="C10564" s="787" t="s">
        <v>18838</v>
      </c>
      <c r="D10564" s="787">
        <v>3.39</v>
      </c>
      <c r="E10564" s="787">
        <v>11.59</v>
      </c>
      <c r="F10564" s="788">
        <v>39101</v>
      </c>
      <c r="G10564" s="788">
        <v>41943</v>
      </c>
      <c r="H10564" s="787">
        <v>1</v>
      </c>
      <c r="I10564" s="788">
        <v>41402</v>
      </c>
      <c r="J10564" s="788">
        <v>41397</v>
      </c>
      <c r="L10564" s="787">
        <v>4.88</v>
      </c>
      <c r="M10564" s="787">
        <v>10</v>
      </c>
      <c r="N10564" s="787">
        <v>14.62</v>
      </c>
      <c r="O10564" s="788">
        <v>42162</v>
      </c>
    </row>
    <row r="10565" spans="1:15" x14ac:dyDescent="0.25">
      <c r="A10565" s="786" t="s">
        <v>18839</v>
      </c>
      <c r="B10565" s="787">
        <v>4</v>
      </c>
      <c r="C10565" s="787" t="s">
        <v>18840</v>
      </c>
      <c r="D10565" s="787">
        <v>5.13</v>
      </c>
      <c r="E10565" s="787">
        <v>15.6</v>
      </c>
      <c r="F10565" s="788">
        <v>39101</v>
      </c>
      <c r="G10565" s="788">
        <v>41943</v>
      </c>
      <c r="H10565" s="787">
        <v>1</v>
      </c>
      <c r="I10565" s="788">
        <v>41402</v>
      </c>
      <c r="J10565" s="788">
        <v>41397</v>
      </c>
      <c r="L10565" s="787">
        <v>7.96</v>
      </c>
      <c r="M10565" s="787">
        <v>10</v>
      </c>
      <c r="N10565" s="787">
        <v>17.600000000000001</v>
      </c>
      <c r="O10565" s="788">
        <v>42162</v>
      </c>
    </row>
    <row r="10566" spans="1:15" x14ac:dyDescent="0.25">
      <c r="A10566" s="786" t="s">
        <v>18841</v>
      </c>
      <c r="B10566" s="787">
        <v>4</v>
      </c>
      <c r="C10566" s="787" t="s">
        <v>18842</v>
      </c>
      <c r="D10566" s="787">
        <v>2.4900000000000002</v>
      </c>
      <c r="E10566" s="787">
        <v>6</v>
      </c>
      <c r="F10566" s="788">
        <v>39101</v>
      </c>
      <c r="G10566" s="788">
        <v>42013</v>
      </c>
      <c r="H10566" s="787">
        <v>1</v>
      </c>
      <c r="I10566" s="788">
        <v>41402</v>
      </c>
      <c r="J10566" s="788">
        <v>41397</v>
      </c>
      <c r="L10566" s="787">
        <v>2.2999999999999998</v>
      </c>
      <c r="M10566" s="787">
        <v>10</v>
      </c>
      <c r="N10566" s="787">
        <v>11.37</v>
      </c>
      <c r="O10566" s="788">
        <v>42162</v>
      </c>
    </row>
    <row r="10567" spans="1:15" x14ac:dyDescent="0.25">
      <c r="A10567" s="786" t="s">
        <v>18843</v>
      </c>
      <c r="B10567" s="787">
        <v>4</v>
      </c>
      <c r="C10567" s="787" t="s">
        <v>18844</v>
      </c>
      <c r="D10567" s="787">
        <v>1.33</v>
      </c>
      <c r="E10567" s="787">
        <v>1.33</v>
      </c>
      <c r="F10567" s="788">
        <v>39101</v>
      </c>
      <c r="G10567" s="788">
        <v>42013</v>
      </c>
      <c r="H10567" s="787">
        <v>1</v>
      </c>
      <c r="I10567" s="788">
        <v>42059</v>
      </c>
      <c r="J10567" s="788">
        <v>39149</v>
      </c>
      <c r="L10567" s="787">
        <v>0.78</v>
      </c>
      <c r="M10567" s="787">
        <v>10</v>
      </c>
      <c r="N10567" s="787">
        <v>1.1200000000000001</v>
      </c>
      <c r="O10567" s="788">
        <v>42162</v>
      </c>
    </row>
    <row r="10568" spans="1:15" x14ac:dyDescent="0.25">
      <c r="A10568" s="786" t="s">
        <v>18845</v>
      </c>
      <c r="B10568" s="787">
        <v>4</v>
      </c>
      <c r="C10568" s="787" t="s">
        <v>18846</v>
      </c>
      <c r="D10568" s="787">
        <v>0.55000000000000004</v>
      </c>
      <c r="E10568" s="787">
        <v>0.55000000000000004</v>
      </c>
      <c r="F10568" s="788">
        <v>39101</v>
      </c>
      <c r="G10568" s="788">
        <v>41565</v>
      </c>
      <c r="H10568" s="787">
        <v>1</v>
      </c>
      <c r="I10568" s="788">
        <v>42059</v>
      </c>
      <c r="J10568" s="788">
        <v>42061</v>
      </c>
      <c r="L10568" s="787">
        <v>0.37</v>
      </c>
      <c r="M10568" s="787">
        <v>10</v>
      </c>
      <c r="N10568" s="787">
        <v>0.48</v>
      </c>
      <c r="O10568" s="788">
        <v>42162</v>
      </c>
    </row>
    <row r="10569" spans="1:15" x14ac:dyDescent="0.25">
      <c r="A10569" s="786" t="s">
        <v>18847</v>
      </c>
      <c r="B10569" s="787">
        <v>4</v>
      </c>
      <c r="C10569" s="787" t="s">
        <v>18848</v>
      </c>
      <c r="D10569" s="787">
        <v>2.95</v>
      </c>
      <c r="E10569" s="787">
        <v>10.75</v>
      </c>
      <c r="F10569" s="788">
        <v>39456</v>
      </c>
      <c r="G10569" s="788">
        <v>42107</v>
      </c>
      <c r="H10569" s="787">
        <v>1</v>
      </c>
      <c r="I10569" s="788">
        <v>42086</v>
      </c>
      <c r="J10569" s="788">
        <v>42080</v>
      </c>
      <c r="L10569" s="787">
        <v>5.91</v>
      </c>
      <c r="M10569" s="787">
        <v>10</v>
      </c>
      <c r="N10569" s="787">
        <v>14.02</v>
      </c>
      <c r="O10569" s="788">
        <v>42164</v>
      </c>
    </row>
    <row r="10570" spans="1:15" x14ac:dyDescent="0.25">
      <c r="A10570" s="786" t="s">
        <v>18849</v>
      </c>
      <c r="B10570" s="787">
        <v>4</v>
      </c>
      <c r="C10570" s="787" t="s">
        <v>18850</v>
      </c>
      <c r="D10570" s="787">
        <v>3.38</v>
      </c>
      <c r="E10570" s="787">
        <v>10.86</v>
      </c>
      <c r="F10570" s="788">
        <v>39456</v>
      </c>
      <c r="G10570" s="788">
        <v>42107</v>
      </c>
      <c r="H10570" s="787">
        <v>1</v>
      </c>
      <c r="I10570" s="788">
        <v>42086</v>
      </c>
      <c r="J10570" s="788">
        <v>42080</v>
      </c>
      <c r="L10570" s="787">
        <v>7.32</v>
      </c>
      <c r="M10570" s="787">
        <v>10</v>
      </c>
      <c r="N10570" s="787">
        <v>16.09</v>
      </c>
      <c r="O10570" s="788">
        <v>42164</v>
      </c>
    </row>
    <row r="10571" spans="1:15" x14ac:dyDescent="0.25">
      <c r="A10571" s="786" t="s">
        <v>18851</v>
      </c>
      <c r="B10571" s="787">
        <v>4</v>
      </c>
      <c r="C10571" s="787" t="s">
        <v>18852</v>
      </c>
      <c r="D10571" s="787">
        <v>0</v>
      </c>
      <c r="E10571" s="787">
        <v>2.59</v>
      </c>
      <c r="H10571" s="787">
        <v>1</v>
      </c>
      <c r="I10571" s="788">
        <v>38176</v>
      </c>
      <c r="L10571" s="787">
        <v>2.73</v>
      </c>
      <c r="M10571" s="787">
        <v>10</v>
      </c>
      <c r="N10571" s="787">
        <v>4.1100000000000003</v>
      </c>
      <c r="O10571" s="788">
        <v>42083</v>
      </c>
    </row>
    <row r="10572" spans="1:15" x14ac:dyDescent="0.25">
      <c r="A10572" s="786" t="s">
        <v>18853</v>
      </c>
      <c r="B10572" s="787">
        <v>4</v>
      </c>
      <c r="C10572" s="787" t="s">
        <v>18854</v>
      </c>
      <c r="D10572" s="787">
        <v>0.46</v>
      </c>
      <c r="E10572" s="787">
        <v>5.67</v>
      </c>
      <c r="F10572" s="788">
        <v>39975</v>
      </c>
      <c r="G10572" s="788">
        <v>42013</v>
      </c>
      <c r="H10572" s="787">
        <v>1</v>
      </c>
      <c r="I10572" s="788">
        <v>42160</v>
      </c>
      <c r="J10572" s="788">
        <v>41946</v>
      </c>
      <c r="K10572" s="788">
        <v>41866</v>
      </c>
      <c r="L10572" s="787">
        <v>1.79</v>
      </c>
      <c r="M10572" s="787">
        <v>10</v>
      </c>
      <c r="N10572" s="787">
        <v>2.35</v>
      </c>
      <c r="O10572" s="788">
        <v>42164</v>
      </c>
    </row>
    <row r="10573" spans="1:15" x14ac:dyDescent="0.25">
      <c r="A10573" s="786" t="s">
        <v>18855</v>
      </c>
      <c r="B10573" s="787">
        <v>4</v>
      </c>
      <c r="C10573" s="787" t="s">
        <v>18856</v>
      </c>
      <c r="D10573" s="787">
        <v>0</v>
      </c>
      <c r="E10573" s="787">
        <v>1.1100000000000001</v>
      </c>
      <c r="H10573" s="787">
        <v>1</v>
      </c>
      <c r="I10573" s="788">
        <v>38176</v>
      </c>
      <c r="L10573" s="787">
        <v>1.1499999999999999</v>
      </c>
      <c r="M10573" s="787">
        <v>10</v>
      </c>
      <c r="N10573" s="787">
        <v>1.77</v>
      </c>
      <c r="O10573" s="788">
        <v>42087</v>
      </c>
    </row>
    <row r="10574" spans="1:15" x14ac:dyDescent="0.25">
      <c r="A10574" s="786" t="s">
        <v>18857</v>
      </c>
      <c r="B10574" s="787">
        <v>4</v>
      </c>
      <c r="C10574" s="787" t="s">
        <v>18858</v>
      </c>
      <c r="D10574" s="787">
        <v>4.13</v>
      </c>
      <c r="E10574" s="787">
        <v>15.49</v>
      </c>
      <c r="F10574" s="788">
        <v>39101</v>
      </c>
      <c r="G10574" s="788">
        <v>41943</v>
      </c>
      <c r="H10574" s="787">
        <v>1</v>
      </c>
      <c r="I10574" s="788">
        <v>41402</v>
      </c>
      <c r="J10574" s="788">
        <v>41397</v>
      </c>
      <c r="L10574" s="787">
        <v>12.67</v>
      </c>
      <c r="M10574" s="787">
        <v>10</v>
      </c>
      <c r="N10574" s="787">
        <v>13.93</v>
      </c>
      <c r="O10574" s="788">
        <v>42162</v>
      </c>
    </row>
    <row r="10575" spans="1:15" x14ac:dyDescent="0.25">
      <c r="A10575" s="786" t="s">
        <v>18859</v>
      </c>
      <c r="B10575" s="787">
        <v>4</v>
      </c>
      <c r="C10575" s="787" t="s">
        <v>18860</v>
      </c>
      <c r="D10575" s="787">
        <v>6.19</v>
      </c>
      <c r="E10575" s="787">
        <v>16.03</v>
      </c>
      <c r="F10575" s="788">
        <v>39101</v>
      </c>
      <c r="G10575" s="788">
        <v>41943</v>
      </c>
      <c r="H10575" s="787">
        <v>1</v>
      </c>
      <c r="I10575" s="788">
        <v>41402</v>
      </c>
      <c r="J10575" s="788">
        <v>41397</v>
      </c>
      <c r="L10575" s="787">
        <v>7.49</v>
      </c>
      <c r="M10575" s="787">
        <v>10</v>
      </c>
      <c r="N10575" s="787">
        <v>16.2</v>
      </c>
      <c r="O10575" s="788">
        <v>42162</v>
      </c>
    </row>
    <row r="10576" spans="1:15" x14ac:dyDescent="0.25">
      <c r="A10576" s="786" t="s">
        <v>18861</v>
      </c>
      <c r="B10576" s="787">
        <v>4</v>
      </c>
      <c r="C10576" s="787" t="s">
        <v>18862</v>
      </c>
      <c r="D10576" s="787">
        <v>1.71</v>
      </c>
      <c r="E10576" s="787">
        <v>4.6500000000000004</v>
      </c>
      <c r="F10576" s="788">
        <v>38606</v>
      </c>
      <c r="G10576" s="788">
        <v>42013</v>
      </c>
      <c r="H10576" s="787">
        <v>1</v>
      </c>
      <c r="I10576" s="788">
        <v>41402</v>
      </c>
      <c r="J10576" s="788">
        <v>41402</v>
      </c>
      <c r="L10576" s="787">
        <v>1.73</v>
      </c>
      <c r="M10576" s="787">
        <v>10</v>
      </c>
      <c r="N10576" s="787">
        <v>11.37</v>
      </c>
      <c r="O10576" s="788">
        <v>42162</v>
      </c>
    </row>
    <row r="10577" spans="1:15" x14ac:dyDescent="0.25">
      <c r="A10577" s="786" t="s">
        <v>18863</v>
      </c>
      <c r="B10577" s="787">
        <v>4</v>
      </c>
      <c r="C10577" s="787" t="s">
        <v>18864</v>
      </c>
      <c r="D10577" s="787">
        <v>0.88</v>
      </c>
      <c r="E10577" s="787">
        <v>0.88</v>
      </c>
      <c r="F10577" s="788">
        <v>39456</v>
      </c>
      <c r="G10577" s="788">
        <v>42013</v>
      </c>
      <c r="H10577" s="787">
        <v>1</v>
      </c>
      <c r="I10577" s="788">
        <v>41850</v>
      </c>
      <c r="J10577" s="788">
        <v>41852</v>
      </c>
      <c r="L10577" s="787">
        <v>159.63</v>
      </c>
      <c r="M10577" s="787">
        <v>10</v>
      </c>
      <c r="N10577" s="787">
        <v>1.33</v>
      </c>
      <c r="O10577" s="788">
        <v>42162</v>
      </c>
    </row>
    <row r="10578" spans="1:15" x14ac:dyDescent="0.25">
      <c r="A10578" s="786" t="s">
        <v>18865</v>
      </c>
      <c r="B10578" s="787">
        <v>4</v>
      </c>
      <c r="C10578" s="787" t="s">
        <v>18866</v>
      </c>
      <c r="D10578" s="787">
        <v>0</v>
      </c>
      <c r="E10578" s="787">
        <v>1.1100000000000001</v>
      </c>
      <c r="H10578" s="787">
        <v>1</v>
      </c>
      <c r="L10578" s="787">
        <v>1.1499999999999999</v>
      </c>
      <c r="M10578" s="787">
        <v>10</v>
      </c>
      <c r="N10578" s="787">
        <v>1.77</v>
      </c>
      <c r="O10578" s="788">
        <v>41869</v>
      </c>
    </row>
    <row r="10579" spans="1:15" x14ac:dyDescent="0.25">
      <c r="A10579" s="786" t="s">
        <v>18867</v>
      </c>
      <c r="B10579" s="787">
        <v>4</v>
      </c>
      <c r="C10579" s="787" t="s">
        <v>18868</v>
      </c>
      <c r="D10579" s="787">
        <v>2.25</v>
      </c>
      <c r="E10579" s="787">
        <v>2.25</v>
      </c>
      <c r="F10579" s="788">
        <v>39101</v>
      </c>
      <c r="G10579" s="788">
        <v>42013</v>
      </c>
      <c r="H10579" s="787">
        <v>1</v>
      </c>
      <c r="I10579" s="788">
        <v>42109</v>
      </c>
      <c r="J10579" s="788">
        <v>39983</v>
      </c>
      <c r="L10579" s="787">
        <v>0.6</v>
      </c>
      <c r="M10579" s="787">
        <v>10</v>
      </c>
      <c r="N10579" s="787">
        <v>0.73</v>
      </c>
      <c r="O10579" s="788">
        <v>42162</v>
      </c>
    </row>
    <row r="10580" spans="1:15" x14ac:dyDescent="0.25">
      <c r="A10580" s="786" t="s">
        <v>18869</v>
      </c>
      <c r="B10580" s="787">
        <v>4</v>
      </c>
      <c r="C10580" s="787" t="s">
        <v>18870</v>
      </c>
      <c r="D10580" s="787">
        <v>1.05</v>
      </c>
      <c r="E10580" s="787">
        <v>1.05</v>
      </c>
      <c r="F10580" s="788">
        <v>39101</v>
      </c>
      <c r="G10580" s="788">
        <v>39101</v>
      </c>
      <c r="H10580" s="787">
        <v>1</v>
      </c>
      <c r="I10580" s="788">
        <v>39134</v>
      </c>
      <c r="J10580" s="788">
        <v>39149</v>
      </c>
      <c r="L10580" s="787">
        <v>1.1599999999999999</v>
      </c>
      <c r="M10580" s="787">
        <v>10</v>
      </c>
      <c r="N10580" s="787">
        <v>1.29</v>
      </c>
      <c r="O10580" s="788">
        <v>41869</v>
      </c>
    </row>
    <row r="10581" spans="1:15" x14ac:dyDescent="0.25">
      <c r="A10581" s="786" t="s">
        <v>18871</v>
      </c>
      <c r="B10581" s="787">
        <v>4</v>
      </c>
      <c r="C10581" s="787" t="s">
        <v>18872</v>
      </c>
      <c r="D10581" s="787">
        <v>0.23</v>
      </c>
      <c r="E10581" s="787">
        <v>0.8</v>
      </c>
      <c r="F10581" s="788">
        <v>39456</v>
      </c>
      <c r="G10581" s="788">
        <v>42013</v>
      </c>
      <c r="H10581" s="787">
        <v>1</v>
      </c>
      <c r="I10581" s="788">
        <v>40254</v>
      </c>
      <c r="J10581" s="788">
        <v>41919</v>
      </c>
      <c r="K10581" s="788">
        <v>41897</v>
      </c>
      <c r="L10581" s="787">
        <v>1.22</v>
      </c>
      <c r="M10581" s="787">
        <v>10</v>
      </c>
      <c r="N10581" s="787">
        <v>1.22</v>
      </c>
      <c r="O10581" s="788">
        <v>42115</v>
      </c>
    </row>
    <row r="10582" spans="1:15" x14ac:dyDescent="0.25">
      <c r="A10582" s="786" t="s">
        <v>18873</v>
      </c>
      <c r="B10582" s="787">
        <v>4</v>
      </c>
      <c r="C10582" s="787" t="s">
        <v>18874</v>
      </c>
      <c r="D10582" s="787">
        <v>3</v>
      </c>
      <c r="E10582" s="787">
        <v>13</v>
      </c>
      <c r="F10582" s="788">
        <v>39975</v>
      </c>
      <c r="G10582" s="788">
        <v>41255</v>
      </c>
      <c r="H10582" s="787">
        <v>1</v>
      </c>
      <c r="I10582" s="788">
        <v>39134</v>
      </c>
      <c r="J10582" s="788">
        <v>39149</v>
      </c>
      <c r="L10582" s="787">
        <v>4.5</v>
      </c>
      <c r="M10582" s="787">
        <v>10</v>
      </c>
      <c r="N10582" s="787">
        <v>8.16</v>
      </c>
      <c r="O10582" s="788">
        <v>41858</v>
      </c>
    </row>
    <row r="10583" spans="1:15" x14ac:dyDescent="0.25">
      <c r="A10583" s="786" t="s">
        <v>18875</v>
      </c>
      <c r="B10583" s="787">
        <v>4</v>
      </c>
      <c r="C10583" s="787" t="s">
        <v>18876</v>
      </c>
      <c r="D10583" s="787">
        <v>3.6</v>
      </c>
      <c r="E10583" s="787">
        <v>13.6</v>
      </c>
      <c r="F10583" s="788">
        <v>39975</v>
      </c>
      <c r="G10583" s="788">
        <v>39590</v>
      </c>
      <c r="H10583" s="787">
        <v>6</v>
      </c>
      <c r="I10583" s="788">
        <v>39134</v>
      </c>
      <c r="J10583" s="788">
        <v>39149</v>
      </c>
      <c r="L10583" s="787">
        <v>4.5</v>
      </c>
      <c r="M10583" s="787">
        <v>10</v>
      </c>
      <c r="N10583" s="787">
        <v>0</v>
      </c>
      <c r="O10583" s="788">
        <v>41543</v>
      </c>
    </row>
    <row r="10584" spans="1:15" x14ac:dyDescent="0.25">
      <c r="A10584" s="786" t="s">
        <v>18877</v>
      </c>
      <c r="B10584" s="787">
        <v>4</v>
      </c>
      <c r="C10584" s="787" t="s">
        <v>18878</v>
      </c>
      <c r="D10584" s="787">
        <v>4.4000000000000004</v>
      </c>
      <c r="E10584" s="787">
        <v>14.4</v>
      </c>
      <c r="F10584" s="788">
        <v>39975</v>
      </c>
      <c r="G10584" s="788">
        <v>39590</v>
      </c>
      <c r="H10584" s="787">
        <v>6</v>
      </c>
      <c r="I10584" s="788">
        <v>39134</v>
      </c>
      <c r="J10584" s="788">
        <v>39149</v>
      </c>
      <c r="L10584" s="787">
        <v>2.9</v>
      </c>
      <c r="M10584" s="787">
        <v>10</v>
      </c>
      <c r="N10584" s="787">
        <v>0</v>
      </c>
      <c r="O10584" s="788">
        <v>41543</v>
      </c>
    </row>
    <row r="10585" spans="1:15" x14ac:dyDescent="0.25">
      <c r="A10585" s="786" t="s">
        <v>18879</v>
      </c>
      <c r="B10585" s="787">
        <v>4</v>
      </c>
      <c r="C10585" s="787" t="s">
        <v>18880</v>
      </c>
      <c r="D10585" s="787">
        <v>3.6</v>
      </c>
      <c r="E10585" s="787">
        <v>13.6</v>
      </c>
      <c r="F10585" s="788">
        <v>39975</v>
      </c>
      <c r="G10585" s="788">
        <v>39590</v>
      </c>
      <c r="H10585" s="787">
        <v>1</v>
      </c>
      <c r="I10585" s="788">
        <v>39134</v>
      </c>
      <c r="J10585" s="788">
        <v>39149</v>
      </c>
      <c r="L10585" s="787">
        <v>2.9</v>
      </c>
      <c r="M10585" s="787">
        <v>10</v>
      </c>
      <c r="N10585" s="787">
        <v>3.35</v>
      </c>
      <c r="O10585" s="788">
        <v>40231</v>
      </c>
    </row>
    <row r="10586" spans="1:15" x14ac:dyDescent="0.25">
      <c r="A10586" s="786" t="s">
        <v>18881</v>
      </c>
      <c r="B10586" s="787">
        <v>4</v>
      </c>
      <c r="C10586" s="787" t="s">
        <v>18882</v>
      </c>
      <c r="D10586" s="787">
        <v>6.93</v>
      </c>
      <c r="E10586" s="787">
        <v>133.09</v>
      </c>
      <c r="F10586" s="788">
        <v>39101</v>
      </c>
      <c r="G10586" s="788">
        <v>42064</v>
      </c>
      <c r="H10586" s="787">
        <v>1</v>
      </c>
      <c r="I10586" s="788">
        <v>42160</v>
      </c>
      <c r="J10586" s="788">
        <v>42055</v>
      </c>
      <c r="K10586" s="788">
        <v>40932</v>
      </c>
      <c r="L10586" s="787">
        <v>131.9</v>
      </c>
      <c r="M10586" s="787">
        <v>20</v>
      </c>
      <c r="N10586" s="787">
        <v>141.79</v>
      </c>
      <c r="O10586" s="788">
        <v>42164</v>
      </c>
    </row>
    <row r="10587" spans="1:15" x14ac:dyDescent="0.25">
      <c r="A10587" s="786" t="s">
        <v>18883</v>
      </c>
      <c r="B10587" s="787">
        <v>4</v>
      </c>
      <c r="C10587" s="787" t="s">
        <v>18884</v>
      </c>
      <c r="D10587" s="787">
        <v>6.2</v>
      </c>
      <c r="E10587" s="787">
        <v>123.44</v>
      </c>
      <c r="F10587" s="788">
        <v>39101</v>
      </c>
      <c r="G10587" s="788">
        <v>42046</v>
      </c>
      <c r="H10587" s="787">
        <v>1</v>
      </c>
      <c r="I10587" s="788">
        <v>42153</v>
      </c>
      <c r="J10587" s="788">
        <v>42030</v>
      </c>
      <c r="L10587" s="787">
        <v>126.66</v>
      </c>
      <c r="M10587" s="787">
        <v>20</v>
      </c>
      <c r="N10587" s="787">
        <v>136.16</v>
      </c>
      <c r="O10587" s="788">
        <v>42164</v>
      </c>
    </row>
    <row r="10588" spans="1:15" x14ac:dyDescent="0.25">
      <c r="A10588" s="786" t="s">
        <v>18885</v>
      </c>
      <c r="B10588" s="787">
        <v>4</v>
      </c>
      <c r="C10588" s="787" t="s">
        <v>18886</v>
      </c>
      <c r="D10588" s="787">
        <v>6.19</v>
      </c>
      <c r="E10588" s="787">
        <v>193.9</v>
      </c>
      <c r="F10588" s="788">
        <v>39101</v>
      </c>
      <c r="G10588" s="788">
        <v>42013</v>
      </c>
      <c r="H10588" s="787">
        <v>1</v>
      </c>
      <c r="I10588" s="788">
        <v>42153</v>
      </c>
      <c r="J10588" s="788">
        <v>41801</v>
      </c>
      <c r="L10588" s="787">
        <v>159.36000000000001</v>
      </c>
      <c r="M10588" s="787">
        <v>20</v>
      </c>
      <c r="N10588" s="787">
        <v>171.31</v>
      </c>
      <c r="O10588" s="788">
        <v>42143</v>
      </c>
    </row>
    <row r="10589" spans="1:15" x14ac:dyDescent="0.25">
      <c r="A10589" s="786" t="s">
        <v>18887</v>
      </c>
      <c r="B10589" s="787">
        <v>4</v>
      </c>
      <c r="C10589" s="787" t="s">
        <v>18888</v>
      </c>
      <c r="D10589" s="787">
        <v>7.82</v>
      </c>
      <c r="E10589" s="787">
        <v>317.82</v>
      </c>
      <c r="F10589" s="788">
        <v>38047</v>
      </c>
      <c r="G10589" s="788">
        <v>38047</v>
      </c>
      <c r="H10589" s="787">
        <v>1</v>
      </c>
      <c r="I10589" s="788">
        <v>38364</v>
      </c>
      <c r="J10589" s="788">
        <v>38047</v>
      </c>
      <c r="L10589" s="787">
        <v>346.42</v>
      </c>
      <c r="M10589" s="787">
        <v>20</v>
      </c>
      <c r="N10589" s="787">
        <v>372.4</v>
      </c>
      <c r="O10589" s="788">
        <v>41858</v>
      </c>
    </row>
    <row r="10590" spans="1:15" x14ac:dyDescent="0.25">
      <c r="A10590" s="786" t="s">
        <v>18889</v>
      </c>
      <c r="B10590" s="787">
        <v>4</v>
      </c>
      <c r="C10590" s="787" t="s">
        <v>18890</v>
      </c>
      <c r="D10590" s="787">
        <v>7.2</v>
      </c>
      <c r="E10590" s="787">
        <v>277.2</v>
      </c>
      <c r="F10590" s="788">
        <v>37846</v>
      </c>
      <c r="G10590" s="788">
        <v>37846</v>
      </c>
      <c r="H10590" s="787">
        <v>1</v>
      </c>
      <c r="I10590" s="788">
        <v>37621</v>
      </c>
      <c r="J10590" s="788">
        <v>37846</v>
      </c>
      <c r="L10590" s="787">
        <v>302.14999999999998</v>
      </c>
      <c r="M10590" s="787">
        <v>20</v>
      </c>
      <c r="N10590" s="787">
        <v>324.81</v>
      </c>
      <c r="O10590" s="788">
        <v>41858</v>
      </c>
    </row>
    <row r="10591" spans="1:15" x14ac:dyDescent="0.25">
      <c r="A10591" s="786" t="s">
        <v>18891</v>
      </c>
      <c r="B10591" s="787">
        <v>4</v>
      </c>
      <c r="C10591" s="787" t="s">
        <v>18892</v>
      </c>
      <c r="D10591" s="787">
        <v>0.74</v>
      </c>
      <c r="E10591" s="787">
        <v>130.74</v>
      </c>
      <c r="F10591" s="788">
        <v>39101</v>
      </c>
      <c r="G10591" s="788">
        <v>39101</v>
      </c>
      <c r="H10591" s="787">
        <v>1</v>
      </c>
      <c r="I10591" s="788">
        <v>39876</v>
      </c>
      <c r="J10591" s="788">
        <v>39149</v>
      </c>
      <c r="L10591" s="787">
        <v>142.51</v>
      </c>
      <c r="M10591" s="787">
        <v>20</v>
      </c>
      <c r="N10591" s="787">
        <v>153.19999999999999</v>
      </c>
      <c r="O10591" s="788">
        <v>41858</v>
      </c>
    </row>
    <row r="10592" spans="1:15" x14ac:dyDescent="0.25">
      <c r="A10592" s="786" t="s">
        <v>18893</v>
      </c>
      <c r="B10592" s="787">
        <v>4</v>
      </c>
      <c r="C10592" s="787" t="s">
        <v>18894</v>
      </c>
      <c r="D10592" s="787">
        <v>4.07</v>
      </c>
      <c r="E10592" s="787">
        <v>298.2</v>
      </c>
      <c r="F10592" s="788">
        <v>38047</v>
      </c>
      <c r="G10592" s="788">
        <v>41879</v>
      </c>
      <c r="H10592" s="787">
        <v>1</v>
      </c>
      <c r="I10592" s="788">
        <v>41990</v>
      </c>
      <c r="J10592" s="788">
        <v>41831</v>
      </c>
      <c r="K10592" s="788">
        <v>41869</v>
      </c>
      <c r="L10592" s="787">
        <v>164.07</v>
      </c>
      <c r="M10592" s="787">
        <v>20</v>
      </c>
      <c r="N10592" s="787">
        <v>176.38</v>
      </c>
      <c r="O10592" s="788">
        <v>41995</v>
      </c>
    </row>
    <row r="10593" spans="1:15" x14ac:dyDescent="0.25">
      <c r="A10593" s="786" t="s">
        <v>18895</v>
      </c>
      <c r="B10593" s="787">
        <v>4</v>
      </c>
      <c r="C10593" s="787" t="s">
        <v>18896</v>
      </c>
      <c r="D10593" s="787">
        <v>3.75</v>
      </c>
      <c r="E10593" s="787">
        <v>133.75</v>
      </c>
      <c r="F10593" s="788">
        <v>37643</v>
      </c>
      <c r="G10593" s="788">
        <v>37643</v>
      </c>
      <c r="H10593" s="787">
        <v>1</v>
      </c>
      <c r="J10593" s="788">
        <v>37643</v>
      </c>
      <c r="L10593" s="787">
        <v>145.79</v>
      </c>
      <c r="M10593" s="787">
        <v>20</v>
      </c>
      <c r="N10593" s="787">
        <v>156.72</v>
      </c>
      <c r="O10593" s="788">
        <v>41858</v>
      </c>
    </row>
    <row r="10594" spans="1:15" x14ac:dyDescent="0.25">
      <c r="A10594" s="786" t="s">
        <v>18897</v>
      </c>
      <c r="B10594" s="787">
        <v>4</v>
      </c>
      <c r="C10594" s="787" t="s">
        <v>18898</v>
      </c>
      <c r="D10594" s="787">
        <v>7.92</v>
      </c>
      <c r="E10594" s="787">
        <v>146.1</v>
      </c>
      <c r="F10594" s="788">
        <v>39101</v>
      </c>
      <c r="G10594" s="788">
        <v>42013</v>
      </c>
      <c r="H10594" s="787">
        <v>1</v>
      </c>
      <c r="I10594" s="788">
        <v>41989</v>
      </c>
      <c r="J10594" s="788">
        <v>41491</v>
      </c>
      <c r="L10594" s="787">
        <v>145.72999999999999</v>
      </c>
      <c r="M10594" s="787">
        <v>20</v>
      </c>
      <c r="N10594" s="787">
        <v>156.66</v>
      </c>
      <c r="O10594" s="788">
        <v>41989</v>
      </c>
    </row>
    <row r="10595" spans="1:15" x14ac:dyDescent="0.25">
      <c r="A10595" s="786" t="s">
        <v>18899</v>
      </c>
      <c r="B10595" s="787">
        <v>4</v>
      </c>
      <c r="C10595" s="787" t="s">
        <v>18900</v>
      </c>
      <c r="D10595" s="787">
        <v>4.88</v>
      </c>
      <c r="E10595" s="787">
        <v>184.88</v>
      </c>
      <c r="F10595" s="788">
        <v>37643</v>
      </c>
      <c r="G10595" s="788">
        <v>37643</v>
      </c>
      <c r="H10595" s="787">
        <v>1</v>
      </c>
      <c r="I10595" s="788">
        <v>38364</v>
      </c>
      <c r="J10595" s="788">
        <v>37643</v>
      </c>
      <c r="L10595" s="787">
        <v>201.52</v>
      </c>
      <c r="M10595" s="787">
        <v>20</v>
      </c>
      <c r="N10595" s="787">
        <v>216.63</v>
      </c>
      <c r="O10595" s="788">
        <v>41858</v>
      </c>
    </row>
    <row r="10596" spans="1:15" x14ac:dyDescent="0.25">
      <c r="A10596" s="786" t="s">
        <v>18901</v>
      </c>
      <c r="B10596" s="787">
        <v>4</v>
      </c>
      <c r="C10596" s="787" t="s">
        <v>18902</v>
      </c>
      <c r="D10596" s="787">
        <v>0.12</v>
      </c>
      <c r="E10596" s="787">
        <v>180.12</v>
      </c>
      <c r="F10596" s="788">
        <v>39101</v>
      </c>
      <c r="G10596" s="788">
        <v>39101</v>
      </c>
      <c r="H10596" s="787">
        <v>1</v>
      </c>
      <c r="I10596" s="788">
        <v>41389</v>
      </c>
      <c r="J10596" s="788">
        <v>39101</v>
      </c>
      <c r="L10596" s="787">
        <v>196.33</v>
      </c>
      <c r="M10596" s="787">
        <v>20</v>
      </c>
      <c r="N10596" s="787">
        <v>211.05</v>
      </c>
      <c r="O10596" s="788">
        <v>42054</v>
      </c>
    </row>
    <row r="10597" spans="1:15" x14ac:dyDescent="0.25">
      <c r="A10597" s="786" t="s">
        <v>18903</v>
      </c>
      <c r="B10597" s="787">
        <v>4</v>
      </c>
      <c r="C10597" s="787" t="s">
        <v>18904</v>
      </c>
      <c r="D10597" s="787">
        <v>2.4900000000000002</v>
      </c>
      <c r="E10597" s="787">
        <v>282.49</v>
      </c>
      <c r="F10597" s="788">
        <v>37287</v>
      </c>
      <c r="G10597" s="788">
        <v>37287</v>
      </c>
      <c r="H10597" s="787">
        <v>1</v>
      </c>
      <c r="I10597" s="788">
        <v>37100</v>
      </c>
      <c r="J10597" s="788">
        <v>37287</v>
      </c>
      <c r="L10597" s="787">
        <v>307.91000000000003</v>
      </c>
      <c r="M10597" s="787">
        <v>20</v>
      </c>
      <c r="N10597" s="787">
        <v>331</v>
      </c>
      <c r="O10597" s="788">
        <v>41858</v>
      </c>
    </row>
    <row r="10598" spans="1:15" x14ac:dyDescent="0.25">
      <c r="A10598" s="786" t="s">
        <v>18905</v>
      </c>
      <c r="B10598" s="787">
        <v>4</v>
      </c>
      <c r="C10598" s="787" t="s">
        <v>18906</v>
      </c>
      <c r="D10598" s="787">
        <v>3.67</v>
      </c>
      <c r="E10598" s="787">
        <v>273.67</v>
      </c>
      <c r="F10598" s="788">
        <v>39101</v>
      </c>
      <c r="G10598" s="788">
        <v>39101</v>
      </c>
      <c r="H10598" s="787">
        <v>6</v>
      </c>
      <c r="I10598" s="788">
        <v>39443</v>
      </c>
      <c r="J10598" s="788">
        <v>39101</v>
      </c>
      <c r="L10598" s="787">
        <v>305.52999999999997</v>
      </c>
      <c r="M10598" s="787">
        <v>10</v>
      </c>
      <c r="N10598" s="787">
        <v>320.08999999999997</v>
      </c>
      <c r="O10598" s="788">
        <v>41605</v>
      </c>
    </row>
    <row r="10599" spans="1:15" x14ac:dyDescent="0.25">
      <c r="A10599" s="786" t="s">
        <v>18905</v>
      </c>
      <c r="B10599" s="787" t="s">
        <v>2333</v>
      </c>
      <c r="C10599" s="787" t="s">
        <v>18907</v>
      </c>
      <c r="D10599" s="787">
        <v>0</v>
      </c>
      <c r="E10599" s="787">
        <v>0</v>
      </c>
      <c r="H10599" s="787">
        <v>6</v>
      </c>
      <c r="L10599" s="787">
        <v>308.67</v>
      </c>
      <c r="M10599" s="787">
        <v>10</v>
      </c>
      <c r="N10599" s="787">
        <v>331.38</v>
      </c>
      <c r="O10599" s="788">
        <v>41605</v>
      </c>
    </row>
    <row r="10600" spans="1:15" x14ac:dyDescent="0.25">
      <c r="A10600" s="786" t="s">
        <v>18908</v>
      </c>
      <c r="B10600" s="787">
        <v>4</v>
      </c>
      <c r="C10600" s="787" t="s">
        <v>18909</v>
      </c>
      <c r="D10600" s="787">
        <v>3.6</v>
      </c>
      <c r="E10600" s="787">
        <v>273.60000000000002</v>
      </c>
      <c r="F10600" s="788">
        <v>39101</v>
      </c>
      <c r="G10600" s="788">
        <v>39101</v>
      </c>
      <c r="H10600" s="787">
        <v>6</v>
      </c>
      <c r="I10600" s="788">
        <v>39517</v>
      </c>
      <c r="J10600" s="788">
        <v>39101</v>
      </c>
      <c r="L10600" s="787">
        <v>309.22000000000003</v>
      </c>
      <c r="M10600" s="787">
        <v>10</v>
      </c>
      <c r="N10600" s="787">
        <v>331.45</v>
      </c>
      <c r="O10600" s="788">
        <v>41610</v>
      </c>
    </row>
    <row r="10601" spans="1:15" x14ac:dyDescent="0.25">
      <c r="A10601" s="786" t="s">
        <v>18910</v>
      </c>
      <c r="B10601" s="787">
        <v>4</v>
      </c>
      <c r="C10601" s="787" t="s">
        <v>18911</v>
      </c>
      <c r="D10601" s="787">
        <v>0.13</v>
      </c>
      <c r="E10601" s="787">
        <v>26.51</v>
      </c>
      <c r="F10601" s="788">
        <v>39101</v>
      </c>
      <c r="G10601" s="788">
        <v>42013</v>
      </c>
      <c r="H10601" s="787">
        <v>1</v>
      </c>
      <c r="I10601" s="788">
        <v>42160</v>
      </c>
      <c r="J10601" s="788">
        <v>42129</v>
      </c>
      <c r="K10601" s="788">
        <v>40679</v>
      </c>
      <c r="L10601" s="787">
        <v>25.79</v>
      </c>
      <c r="M10601" s="787">
        <v>20</v>
      </c>
      <c r="N10601" s="787">
        <v>27.72</v>
      </c>
      <c r="O10601" s="788">
        <v>42164</v>
      </c>
    </row>
    <row r="10602" spans="1:15" x14ac:dyDescent="0.25">
      <c r="A10602" s="786" t="s">
        <v>18912</v>
      </c>
      <c r="B10602" s="787">
        <v>4</v>
      </c>
      <c r="C10602" s="787" t="s">
        <v>18913</v>
      </c>
      <c r="D10602" s="787">
        <v>1.98</v>
      </c>
      <c r="E10602" s="787">
        <v>15.94</v>
      </c>
      <c r="F10602" s="788">
        <v>39101</v>
      </c>
      <c r="G10602" s="788">
        <v>42013</v>
      </c>
      <c r="H10602" s="787">
        <v>1</v>
      </c>
      <c r="I10602" s="788">
        <v>42074</v>
      </c>
      <c r="J10602" s="788">
        <v>41674</v>
      </c>
      <c r="L10602" s="787">
        <v>12.1</v>
      </c>
      <c r="M10602" s="787">
        <v>20</v>
      </c>
      <c r="N10602" s="787">
        <v>13.01</v>
      </c>
      <c r="O10602" s="788">
        <v>42164</v>
      </c>
    </row>
    <row r="10603" spans="1:15" x14ac:dyDescent="0.25">
      <c r="A10603" s="786" t="s">
        <v>18914</v>
      </c>
      <c r="B10603" s="787">
        <v>4</v>
      </c>
      <c r="C10603" s="787" t="s">
        <v>18915</v>
      </c>
      <c r="D10603" s="787">
        <v>0</v>
      </c>
      <c r="E10603" s="787">
        <v>0</v>
      </c>
      <c r="G10603" s="788">
        <v>37655</v>
      </c>
      <c r="H10603" s="787">
        <v>1</v>
      </c>
      <c r="J10603" s="788">
        <v>37655</v>
      </c>
      <c r="L10603" s="787">
        <v>0</v>
      </c>
      <c r="M10603" s="787">
        <v>20</v>
      </c>
      <c r="N10603" s="787">
        <v>0</v>
      </c>
      <c r="O10603" s="788">
        <v>40824</v>
      </c>
    </row>
    <row r="10604" spans="1:15" x14ac:dyDescent="0.25">
      <c r="A10604" s="786" t="s">
        <v>18916</v>
      </c>
      <c r="B10604" s="787">
        <v>4</v>
      </c>
      <c r="C10604" s="787" t="s">
        <v>18917</v>
      </c>
      <c r="D10604" s="787">
        <v>0</v>
      </c>
      <c r="E10604" s="789">
        <v>1190</v>
      </c>
      <c r="F10604" s="788">
        <v>38903</v>
      </c>
      <c r="G10604" s="788">
        <v>38903</v>
      </c>
      <c r="H10604" s="787">
        <v>1</v>
      </c>
      <c r="I10604" s="788">
        <v>39066</v>
      </c>
      <c r="J10604" s="788">
        <v>38903</v>
      </c>
      <c r="L10604" s="789">
        <v>1190</v>
      </c>
      <c r="M10604" s="787">
        <v>20</v>
      </c>
      <c r="N10604" s="789">
        <v>1279.25</v>
      </c>
      <c r="O10604" s="788">
        <v>41858</v>
      </c>
    </row>
    <row r="10605" spans="1:15" x14ac:dyDescent="0.25">
      <c r="A10605" s="786" t="s">
        <v>18918</v>
      </c>
      <c r="B10605" s="787">
        <v>4</v>
      </c>
      <c r="C10605" s="787" t="s">
        <v>18919</v>
      </c>
      <c r="D10605" s="787">
        <v>8.57</v>
      </c>
      <c r="E10605" s="787">
        <v>48.57</v>
      </c>
      <c r="F10605" s="788">
        <v>39101</v>
      </c>
      <c r="G10605" s="788">
        <v>39101</v>
      </c>
      <c r="H10605" s="787">
        <v>6</v>
      </c>
      <c r="I10605" s="788">
        <v>39574</v>
      </c>
      <c r="J10605" s="788">
        <v>39101</v>
      </c>
      <c r="L10605" s="787">
        <v>52.94</v>
      </c>
      <c r="M10605" s="787">
        <v>20</v>
      </c>
      <c r="N10605" s="787">
        <v>52.21</v>
      </c>
      <c r="O10605" s="788">
        <v>41806</v>
      </c>
    </row>
    <row r="10606" spans="1:15" x14ac:dyDescent="0.25">
      <c r="A10606" s="786" t="s">
        <v>18920</v>
      </c>
      <c r="B10606" s="787">
        <v>4</v>
      </c>
      <c r="C10606" s="787" t="s">
        <v>18921</v>
      </c>
      <c r="D10606" s="787">
        <v>9.6</v>
      </c>
      <c r="E10606" s="787">
        <v>67.900000000000006</v>
      </c>
      <c r="F10606" s="788">
        <v>38166</v>
      </c>
      <c r="G10606" s="788">
        <v>41739</v>
      </c>
      <c r="H10606" s="787">
        <v>1</v>
      </c>
      <c r="I10606" s="788">
        <v>41990</v>
      </c>
      <c r="J10606" s="788">
        <v>41739</v>
      </c>
      <c r="K10606" s="788">
        <v>41332</v>
      </c>
      <c r="L10606" s="787">
        <v>67</v>
      </c>
      <c r="M10606" s="787">
        <v>20</v>
      </c>
      <c r="N10606" s="787">
        <v>72.03</v>
      </c>
      <c r="O10606" s="788">
        <v>42038</v>
      </c>
    </row>
    <row r="10607" spans="1:15" x14ac:dyDescent="0.25">
      <c r="A10607" s="786" t="s">
        <v>18922</v>
      </c>
      <c r="B10607" s="787">
        <v>4</v>
      </c>
      <c r="C10607" s="787" t="s">
        <v>18923</v>
      </c>
      <c r="D10607" s="787">
        <v>5.13</v>
      </c>
      <c r="E10607" s="787">
        <v>30.38</v>
      </c>
      <c r="F10607" s="788">
        <v>38166</v>
      </c>
      <c r="G10607" s="788">
        <v>41943</v>
      </c>
      <c r="H10607" s="787">
        <v>1</v>
      </c>
      <c r="I10607" s="788">
        <v>41990</v>
      </c>
      <c r="J10607" s="788">
        <v>40921</v>
      </c>
      <c r="K10607" s="788">
        <v>40878</v>
      </c>
      <c r="L10607" s="787">
        <v>30.14</v>
      </c>
      <c r="M10607" s="787">
        <v>20</v>
      </c>
      <c r="N10607" s="787">
        <v>32.4</v>
      </c>
      <c r="O10607" s="788">
        <v>41858</v>
      </c>
    </row>
    <row r="10608" spans="1:15" x14ac:dyDescent="0.25">
      <c r="A10608" s="786" t="s">
        <v>18924</v>
      </c>
      <c r="B10608" s="787">
        <v>4</v>
      </c>
      <c r="C10608" s="787" t="s">
        <v>18925</v>
      </c>
      <c r="D10608" s="787">
        <v>7.32</v>
      </c>
      <c r="E10608" s="787">
        <v>9.1300000000000008</v>
      </c>
      <c r="F10608" s="788">
        <v>39175</v>
      </c>
      <c r="G10608" s="788">
        <v>42013</v>
      </c>
      <c r="H10608" s="787">
        <v>1</v>
      </c>
      <c r="I10608" s="788">
        <v>42160</v>
      </c>
      <c r="J10608" s="788">
        <v>41528</v>
      </c>
      <c r="K10608" s="788">
        <v>40879</v>
      </c>
      <c r="L10608" s="787">
        <v>8.99</v>
      </c>
      <c r="M10608" s="787">
        <v>20</v>
      </c>
      <c r="N10608" s="787">
        <v>9.66</v>
      </c>
      <c r="O10608" s="788">
        <v>42164</v>
      </c>
    </row>
    <row r="10609" spans="1:15" x14ac:dyDescent="0.25">
      <c r="A10609" s="786" t="s">
        <v>18926</v>
      </c>
      <c r="B10609" s="787">
        <v>4</v>
      </c>
      <c r="C10609" s="787" t="s">
        <v>18927</v>
      </c>
      <c r="D10609" s="787">
        <v>3.17</v>
      </c>
      <c r="E10609" s="787">
        <v>174.05</v>
      </c>
      <c r="F10609" s="788">
        <v>39975</v>
      </c>
      <c r="G10609" s="788">
        <v>42163</v>
      </c>
      <c r="H10609" s="787">
        <v>1</v>
      </c>
      <c r="I10609" s="788">
        <v>42135</v>
      </c>
      <c r="J10609" s="788">
        <v>42132</v>
      </c>
      <c r="L10609" s="787">
        <v>80.52</v>
      </c>
      <c r="M10609" s="787">
        <v>10</v>
      </c>
      <c r="N10609" s="787">
        <v>119.36</v>
      </c>
      <c r="O10609" s="788">
        <v>42162</v>
      </c>
    </row>
    <row r="10610" spans="1:15" x14ac:dyDescent="0.25">
      <c r="A10610" s="786" t="s">
        <v>18928</v>
      </c>
      <c r="B10610" s="787">
        <v>4</v>
      </c>
      <c r="C10610" s="787" t="s">
        <v>18929</v>
      </c>
      <c r="D10610" s="787">
        <v>2.56</v>
      </c>
      <c r="E10610" s="787">
        <v>2.56</v>
      </c>
      <c r="F10610" s="788">
        <v>38047</v>
      </c>
      <c r="G10610" s="788">
        <v>38047</v>
      </c>
      <c r="H10610" s="787">
        <v>1</v>
      </c>
      <c r="J10610" s="788">
        <v>38047</v>
      </c>
      <c r="L10610" s="787">
        <v>2.64</v>
      </c>
      <c r="M10610" s="787">
        <v>10</v>
      </c>
      <c r="N10610" s="787">
        <v>3.22</v>
      </c>
      <c r="O10610" s="788">
        <v>41858</v>
      </c>
    </row>
    <row r="10611" spans="1:15" x14ac:dyDescent="0.25">
      <c r="A10611" s="786" t="s">
        <v>18930</v>
      </c>
      <c r="B10611" s="787">
        <v>4</v>
      </c>
      <c r="C10611" s="787" t="s">
        <v>18931</v>
      </c>
      <c r="D10611" s="787">
        <v>2.0699999999999998</v>
      </c>
      <c r="E10611" s="787">
        <v>2.15</v>
      </c>
      <c r="F10611" s="788">
        <v>37287</v>
      </c>
      <c r="G10611" s="788">
        <v>37581</v>
      </c>
      <c r="H10611" s="787">
        <v>1</v>
      </c>
      <c r="I10611" s="788">
        <v>41845</v>
      </c>
      <c r="J10611" s="788">
        <v>37592</v>
      </c>
      <c r="L10611" s="787">
        <v>2.34</v>
      </c>
      <c r="M10611" s="787">
        <v>20</v>
      </c>
      <c r="N10611" s="787">
        <v>2.52</v>
      </c>
      <c r="O10611" s="788">
        <v>41858</v>
      </c>
    </row>
    <row r="10612" spans="1:15" x14ac:dyDescent="0.25">
      <c r="A10612" s="786" t="s">
        <v>18932</v>
      </c>
      <c r="B10612" s="787">
        <v>4</v>
      </c>
      <c r="C10612" s="787" t="s">
        <v>18933</v>
      </c>
      <c r="D10612" s="787">
        <v>8.52</v>
      </c>
      <c r="E10612" s="787">
        <v>186.61</v>
      </c>
      <c r="F10612" s="788">
        <v>41519</v>
      </c>
      <c r="G10612" s="788">
        <v>42160</v>
      </c>
      <c r="H10612" s="787">
        <v>1</v>
      </c>
      <c r="I10612" s="788">
        <v>42160</v>
      </c>
      <c r="J10612" s="788">
        <v>42160</v>
      </c>
      <c r="L10612" s="787">
        <v>52.7</v>
      </c>
      <c r="M10612" s="787">
        <v>10</v>
      </c>
      <c r="N10612" s="787">
        <v>76.55</v>
      </c>
      <c r="O10612" s="788">
        <v>42164</v>
      </c>
    </row>
    <row r="10613" spans="1:15" x14ac:dyDescent="0.25">
      <c r="A10613" s="786" t="s">
        <v>18934</v>
      </c>
      <c r="B10613" s="787">
        <v>4</v>
      </c>
      <c r="C10613" s="787" t="s">
        <v>18935</v>
      </c>
      <c r="D10613" s="787">
        <v>1.89</v>
      </c>
      <c r="E10613" s="787">
        <v>61.89</v>
      </c>
      <c r="F10613" s="788">
        <v>39101</v>
      </c>
      <c r="G10613" s="788">
        <v>39101</v>
      </c>
      <c r="H10613" s="787">
        <v>1</v>
      </c>
      <c r="I10613" s="788">
        <v>38887</v>
      </c>
      <c r="J10613" s="788">
        <v>39101</v>
      </c>
      <c r="L10613" s="787">
        <v>67.459999999999994</v>
      </c>
      <c r="M10613" s="787">
        <v>20</v>
      </c>
      <c r="N10613" s="787">
        <v>72.52</v>
      </c>
      <c r="O10613" s="788">
        <v>41858</v>
      </c>
    </row>
    <row r="10614" spans="1:15" x14ac:dyDescent="0.25">
      <c r="A10614" s="786" t="s">
        <v>18936</v>
      </c>
      <c r="B10614" s="787">
        <v>4</v>
      </c>
      <c r="C10614" s="787" t="s">
        <v>18937</v>
      </c>
      <c r="D10614" s="787">
        <v>2.62</v>
      </c>
      <c r="E10614" s="787">
        <v>12.62</v>
      </c>
      <c r="F10614" s="788">
        <v>39101</v>
      </c>
      <c r="G10614" s="788">
        <v>39101</v>
      </c>
      <c r="H10614" s="787">
        <v>1</v>
      </c>
      <c r="I10614" s="788">
        <v>39134</v>
      </c>
      <c r="J10614" s="788">
        <v>39149</v>
      </c>
      <c r="L10614" s="787">
        <v>11.65</v>
      </c>
      <c r="M10614" s="787">
        <v>20</v>
      </c>
      <c r="N10614" s="787">
        <v>12.52</v>
      </c>
      <c r="O10614" s="788">
        <v>41858</v>
      </c>
    </row>
    <row r="10615" spans="1:15" x14ac:dyDescent="0.25">
      <c r="A10615" s="786" t="s">
        <v>18938</v>
      </c>
      <c r="B10615" s="787">
        <v>4</v>
      </c>
      <c r="C10615" s="787" t="s">
        <v>18939</v>
      </c>
      <c r="D10615" s="787">
        <v>0.69</v>
      </c>
      <c r="E10615" s="787">
        <v>10.69</v>
      </c>
      <c r="F10615" s="788">
        <v>37287</v>
      </c>
      <c r="G10615" s="788">
        <v>37287</v>
      </c>
      <c r="H10615" s="787">
        <v>1</v>
      </c>
      <c r="I10615" s="788">
        <v>37070</v>
      </c>
      <c r="J10615" s="788">
        <v>37287</v>
      </c>
      <c r="L10615" s="787">
        <v>11.65</v>
      </c>
      <c r="M10615" s="787">
        <v>20</v>
      </c>
      <c r="N10615" s="787">
        <v>12.52</v>
      </c>
      <c r="O10615" s="788">
        <v>41858</v>
      </c>
    </row>
    <row r="10616" spans="1:15" x14ac:dyDescent="0.25">
      <c r="A10616" s="786" t="s">
        <v>18940</v>
      </c>
      <c r="B10616" s="787">
        <v>4</v>
      </c>
      <c r="C10616" s="787" t="s">
        <v>18941</v>
      </c>
      <c r="D10616" s="787">
        <v>7.28</v>
      </c>
      <c r="E10616" s="787">
        <v>30.21</v>
      </c>
      <c r="F10616" s="788">
        <v>40318</v>
      </c>
      <c r="G10616" s="788">
        <v>42008</v>
      </c>
      <c r="H10616" s="787">
        <v>1</v>
      </c>
      <c r="I10616" s="788">
        <v>42024</v>
      </c>
      <c r="J10616" s="788">
        <v>41992</v>
      </c>
      <c r="L10616" s="787">
        <v>27.28</v>
      </c>
      <c r="M10616" s="787">
        <v>20</v>
      </c>
      <c r="N10616" s="787">
        <v>29.33</v>
      </c>
      <c r="O10616" s="788">
        <v>42163</v>
      </c>
    </row>
    <row r="10617" spans="1:15" x14ac:dyDescent="0.25">
      <c r="A10617" s="786" t="s">
        <v>18942</v>
      </c>
      <c r="B10617" s="787">
        <v>4</v>
      </c>
      <c r="C10617" s="787" t="s">
        <v>18943</v>
      </c>
      <c r="D10617" s="787">
        <v>9.4499999999999993</v>
      </c>
      <c r="E10617" s="787">
        <v>9.4499999999999993</v>
      </c>
      <c r="F10617" s="788">
        <v>40318</v>
      </c>
      <c r="G10617" s="788">
        <v>41255</v>
      </c>
      <c r="H10617" s="787">
        <v>1</v>
      </c>
      <c r="I10617" s="788">
        <v>42017</v>
      </c>
      <c r="J10617" s="788">
        <v>42017</v>
      </c>
      <c r="L10617" s="787">
        <v>9.4499999999999993</v>
      </c>
      <c r="M10617" s="787">
        <v>20</v>
      </c>
      <c r="N10617" s="787">
        <v>10.16</v>
      </c>
      <c r="O10617" s="788">
        <v>42163</v>
      </c>
    </row>
    <row r="10618" spans="1:15" x14ac:dyDescent="0.25">
      <c r="A10618" s="786" t="s">
        <v>18944</v>
      </c>
      <c r="B10618" s="787">
        <v>4</v>
      </c>
      <c r="C10618" s="787" t="s">
        <v>18945</v>
      </c>
      <c r="D10618" s="787">
        <v>3.06</v>
      </c>
      <c r="E10618" s="787">
        <v>3.14</v>
      </c>
      <c r="F10618" s="788">
        <v>39210</v>
      </c>
      <c r="G10618" s="788">
        <v>41282</v>
      </c>
      <c r="H10618" s="787">
        <v>1</v>
      </c>
      <c r="I10618" s="788">
        <v>39910</v>
      </c>
      <c r="J10618" s="788">
        <v>39983</v>
      </c>
      <c r="L10618" s="787">
        <v>3.14</v>
      </c>
      <c r="M10618" s="787">
        <v>20</v>
      </c>
      <c r="N10618" s="787">
        <v>3.38</v>
      </c>
      <c r="O10618" s="788">
        <v>42123</v>
      </c>
    </row>
    <row r="10619" spans="1:15" x14ac:dyDescent="0.25">
      <c r="A10619" s="786" t="s">
        <v>18946</v>
      </c>
      <c r="B10619" s="787">
        <v>4</v>
      </c>
      <c r="C10619" s="787" t="s">
        <v>18947</v>
      </c>
      <c r="D10619" s="787">
        <v>1.53</v>
      </c>
      <c r="E10619" s="787">
        <v>14.03</v>
      </c>
      <c r="F10619" s="788">
        <v>39555</v>
      </c>
      <c r="G10619" s="788">
        <v>42013</v>
      </c>
      <c r="H10619" s="787">
        <v>1</v>
      </c>
      <c r="I10619" s="788">
        <v>42124</v>
      </c>
      <c r="J10619" s="788">
        <v>41821</v>
      </c>
      <c r="K10619" s="788">
        <v>40879</v>
      </c>
      <c r="L10619" s="787">
        <v>13.51</v>
      </c>
      <c r="M10619" s="787">
        <v>20</v>
      </c>
      <c r="N10619" s="787">
        <v>14.52</v>
      </c>
      <c r="O10619" s="788">
        <v>42164</v>
      </c>
    </row>
    <row r="10620" spans="1:15" x14ac:dyDescent="0.25">
      <c r="A10620" s="786" t="s">
        <v>18948</v>
      </c>
      <c r="B10620" s="787">
        <v>4</v>
      </c>
      <c r="C10620" s="787" t="s">
        <v>18949</v>
      </c>
      <c r="D10620" s="787">
        <v>0</v>
      </c>
      <c r="E10620" s="787">
        <v>0</v>
      </c>
      <c r="H10620" s="787">
        <v>1</v>
      </c>
      <c r="J10620" s="788">
        <v>37287</v>
      </c>
      <c r="L10620" s="787">
        <v>8.5</v>
      </c>
      <c r="M10620" s="787">
        <v>10</v>
      </c>
      <c r="N10620" s="787">
        <v>0</v>
      </c>
      <c r="O10620" s="788">
        <v>42164</v>
      </c>
    </row>
    <row r="10621" spans="1:15" x14ac:dyDescent="0.25">
      <c r="A10621" s="786" t="s">
        <v>18950</v>
      </c>
      <c r="B10621" s="787">
        <v>4</v>
      </c>
      <c r="C10621" s="787" t="s">
        <v>18951</v>
      </c>
      <c r="D10621" s="787">
        <v>7.86</v>
      </c>
      <c r="E10621" s="787">
        <v>17.86</v>
      </c>
      <c r="F10621" s="788">
        <v>37650</v>
      </c>
      <c r="G10621" s="788">
        <v>37650</v>
      </c>
      <c r="H10621" s="787">
        <v>1</v>
      </c>
      <c r="I10621" s="788">
        <v>40394</v>
      </c>
      <c r="J10621" s="788">
        <v>37650</v>
      </c>
      <c r="L10621" s="787">
        <v>29.01</v>
      </c>
      <c r="M10621" s="787">
        <v>10</v>
      </c>
      <c r="N10621" s="787">
        <v>62.49</v>
      </c>
      <c r="O10621" s="788">
        <v>41610</v>
      </c>
    </row>
    <row r="10622" spans="1:15" x14ac:dyDescent="0.25">
      <c r="A10622" s="786" t="s">
        <v>18952</v>
      </c>
      <c r="B10622" s="787">
        <v>4</v>
      </c>
      <c r="C10622" s="787" t="s">
        <v>18953</v>
      </c>
      <c r="D10622" s="787">
        <v>6.29</v>
      </c>
      <c r="E10622" s="787">
        <v>43.71</v>
      </c>
      <c r="F10622" s="788">
        <v>39101</v>
      </c>
      <c r="G10622" s="788">
        <v>42013</v>
      </c>
      <c r="H10622" s="787">
        <v>1</v>
      </c>
      <c r="I10622" s="788">
        <v>42132</v>
      </c>
      <c r="J10622" s="788">
        <v>41920</v>
      </c>
      <c r="K10622" s="788">
        <v>40149</v>
      </c>
      <c r="L10622" s="787">
        <v>35.799999999999997</v>
      </c>
      <c r="M10622" s="787">
        <v>20</v>
      </c>
      <c r="N10622" s="787">
        <v>38.49</v>
      </c>
      <c r="O10622" s="788">
        <v>42164</v>
      </c>
    </row>
    <row r="10623" spans="1:15" x14ac:dyDescent="0.25">
      <c r="A10623" s="786" t="s">
        <v>18954</v>
      </c>
      <c r="B10623" s="787">
        <v>4</v>
      </c>
      <c r="C10623" s="787" t="s">
        <v>18955</v>
      </c>
      <c r="D10623" s="787">
        <v>2.09</v>
      </c>
      <c r="E10623" s="787">
        <v>14.34</v>
      </c>
      <c r="F10623" s="788">
        <v>38790</v>
      </c>
      <c r="G10623" s="788">
        <v>40553</v>
      </c>
      <c r="H10623" s="787">
        <v>1</v>
      </c>
      <c r="I10623" s="788">
        <v>42086</v>
      </c>
      <c r="J10623" s="788">
        <v>42087</v>
      </c>
      <c r="K10623" s="788">
        <v>40329</v>
      </c>
      <c r="L10623" s="787">
        <v>14.06</v>
      </c>
      <c r="M10623" s="787">
        <v>20</v>
      </c>
      <c r="N10623" s="787">
        <v>15.11</v>
      </c>
      <c r="O10623" s="788">
        <v>42123</v>
      </c>
    </row>
    <row r="10624" spans="1:15" x14ac:dyDescent="0.25">
      <c r="A10624" s="786" t="s">
        <v>18956</v>
      </c>
      <c r="B10624" s="787">
        <v>4</v>
      </c>
      <c r="C10624" s="787" t="s">
        <v>18943</v>
      </c>
      <c r="D10624" s="787">
        <v>7.92</v>
      </c>
      <c r="E10624" s="787">
        <v>12.89</v>
      </c>
      <c r="F10624" s="788">
        <v>38790</v>
      </c>
      <c r="G10624" s="788">
        <v>40886</v>
      </c>
      <c r="H10624" s="787">
        <v>1</v>
      </c>
      <c r="I10624" s="788">
        <v>41320</v>
      </c>
      <c r="J10624" s="788">
        <v>40886</v>
      </c>
      <c r="L10624" s="787">
        <v>12.89</v>
      </c>
      <c r="M10624" s="787">
        <v>20</v>
      </c>
      <c r="N10624" s="787">
        <v>13.86</v>
      </c>
      <c r="O10624" s="788">
        <v>42123</v>
      </c>
    </row>
    <row r="10625" spans="1:15" x14ac:dyDescent="0.25">
      <c r="A10625" s="786" t="s">
        <v>18957</v>
      </c>
      <c r="B10625" s="787">
        <v>4</v>
      </c>
      <c r="C10625" s="787" t="s">
        <v>18943</v>
      </c>
      <c r="D10625" s="787">
        <v>8.15</v>
      </c>
      <c r="E10625" s="787">
        <v>14.85</v>
      </c>
      <c r="F10625" s="788">
        <v>38790</v>
      </c>
      <c r="G10625" s="788">
        <v>41864</v>
      </c>
      <c r="H10625" s="787">
        <v>1</v>
      </c>
      <c r="I10625" s="788">
        <v>41327</v>
      </c>
      <c r="J10625" s="788">
        <v>41820</v>
      </c>
      <c r="K10625" s="788">
        <v>41295</v>
      </c>
      <c r="L10625" s="787">
        <v>12.1</v>
      </c>
      <c r="M10625" s="787">
        <v>20</v>
      </c>
      <c r="N10625" s="787">
        <v>13.01</v>
      </c>
      <c r="O10625" s="788">
        <v>42123</v>
      </c>
    </row>
    <row r="10626" spans="1:15" x14ac:dyDescent="0.25">
      <c r="A10626" s="786" t="s">
        <v>18958</v>
      </c>
      <c r="B10626" s="787">
        <v>4</v>
      </c>
      <c r="C10626" s="787" t="s">
        <v>18959</v>
      </c>
      <c r="D10626" s="787">
        <v>2.38</v>
      </c>
      <c r="E10626" s="787">
        <v>5.19</v>
      </c>
      <c r="F10626" s="788">
        <v>39450</v>
      </c>
      <c r="G10626" s="788">
        <v>40553</v>
      </c>
      <c r="H10626" s="787">
        <v>1</v>
      </c>
      <c r="I10626" s="788">
        <v>39910</v>
      </c>
      <c r="J10626" s="788">
        <v>39646</v>
      </c>
      <c r="L10626" s="787">
        <v>5.19</v>
      </c>
      <c r="M10626" s="787">
        <v>20</v>
      </c>
      <c r="N10626" s="787">
        <v>5.58</v>
      </c>
      <c r="O10626" s="788">
        <v>42123</v>
      </c>
    </row>
    <row r="10627" spans="1:15" x14ac:dyDescent="0.25">
      <c r="A10627" s="786" t="s">
        <v>18960</v>
      </c>
      <c r="B10627" s="787">
        <v>4</v>
      </c>
      <c r="C10627" s="787" t="s">
        <v>18961</v>
      </c>
      <c r="D10627" s="787">
        <v>0</v>
      </c>
      <c r="E10627" s="787">
        <v>175</v>
      </c>
      <c r="H10627" s="787">
        <v>1</v>
      </c>
      <c r="I10627" s="788">
        <v>39301</v>
      </c>
      <c r="J10627" s="788">
        <v>39149</v>
      </c>
      <c r="K10627" s="788">
        <v>41850</v>
      </c>
      <c r="L10627" s="787">
        <v>175</v>
      </c>
      <c r="M10627" s="787">
        <v>20</v>
      </c>
      <c r="N10627" s="787">
        <v>188.13</v>
      </c>
      <c r="O10627" s="788">
        <v>41858</v>
      </c>
    </row>
    <row r="10628" spans="1:15" x14ac:dyDescent="0.25">
      <c r="A10628" s="786" t="s">
        <v>18962</v>
      </c>
      <c r="B10628" s="787">
        <v>4</v>
      </c>
      <c r="C10628" s="787" t="s">
        <v>18963</v>
      </c>
      <c r="D10628" s="787">
        <v>2</v>
      </c>
      <c r="E10628" s="787">
        <v>156.51</v>
      </c>
      <c r="F10628" s="788">
        <v>39741</v>
      </c>
      <c r="G10628" s="788">
        <v>42142</v>
      </c>
      <c r="H10628" s="787">
        <v>1</v>
      </c>
      <c r="I10628" s="788">
        <v>42166</v>
      </c>
      <c r="J10628" s="788">
        <v>42135</v>
      </c>
      <c r="K10628" s="788">
        <v>41617</v>
      </c>
      <c r="L10628" s="787">
        <v>152</v>
      </c>
      <c r="M10628" s="787">
        <v>20</v>
      </c>
      <c r="N10628" s="787">
        <v>163.4</v>
      </c>
      <c r="O10628" s="788">
        <v>42156</v>
      </c>
    </row>
    <row r="10629" spans="1:15" x14ac:dyDescent="0.25">
      <c r="A10629" s="786" t="s">
        <v>18964</v>
      </c>
      <c r="B10629" s="787">
        <v>4</v>
      </c>
      <c r="C10629" s="787" t="s">
        <v>18965</v>
      </c>
      <c r="D10629" s="787">
        <v>0</v>
      </c>
      <c r="E10629" s="787">
        <v>349</v>
      </c>
      <c r="F10629" s="788">
        <v>41844</v>
      </c>
      <c r="G10629" s="788">
        <v>42013</v>
      </c>
      <c r="H10629" s="787">
        <v>1</v>
      </c>
      <c r="I10629" s="788">
        <v>42164</v>
      </c>
      <c r="J10629" s="788">
        <v>41848</v>
      </c>
      <c r="K10629" s="788">
        <v>41040</v>
      </c>
      <c r="L10629" s="787">
        <v>322.89999999999998</v>
      </c>
      <c r="M10629" s="787">
        <v>20</v>
      </c>
      <c r="N10629" s="787">
        <v>347.12</v>
      </c>
      <c r="O10629" s="788">
        <v>42146</v>
      </c>
    </row>
    <row r="10630" spans="1:15" x14ac:dyDescent="0.25">
      <c r="A10630" s="786" t="s">
        <v>18966</v>
      </c>
      <c r="B10630" s="787">
        <v>4</v>
      </c>
      <c r="C10630" s="787" t="s">
        <v>18967</v>
      </c>
      <c r="D10630" s="787">
        <v>0</v>
      </c>
      <c r="E10630" s="787">
        <v>0</v>
      </c>
      <c r="G10630" s="788">
        <v>42017</v>
      </c>
      <c r="H10630" s="787">
        <v>1</v>
      </c>
      <c r="I10630" s="788">
        <v>42156</v>
      </c>
      <c r="K10630" s="788">
        <v>41438</v>
      </c>
      <c r="L10630" s="787">
        <v>19.25</v>
      </c>
      <c r="M10630" s="787">
        <v>20</v>
      </c>
      <c r="N10630" s="787">
        <v>20.69</v>
      </c>
      <c r="O10630" s="788">
        <v>42019</v>
      </c>
    </row>
    <row r="10631" spans="1:15" x14ac:dyDescent="0.25">
      <c r="A10631" s="786" t="s">
        <v>18968</v>
      </c>
      <c r="B10631" s="787">
        <v>4</v>
      </c>
      <c r="C10631" s="787" t="s">
        <v>18969</v>
      </c>
      <c r="D10631" s="787">
        <v>0</v>
      </c>
      <c r="E10631" s="787">
        <v>0</v>
      </c>
      <c r="G10631" s="788">
        <v>42017</v>
      </c>
      <c r="H10631" s="787">
        <v>1</v>
      </c>
      <c r="I10631" s="788">
        <v>42156</v>
      </c>
      <c r="K10631" s="788">
        <v>41438</v>
      </c>
      <c r="L10631" s="787">
        <v>17</v>
      </c>
      <c r="M10631" s="787">
        <v>20</v>
      </c>
      <c r="N10631" s="787">
        <v>18.28</v>
      </c>
      <c r="O10631" s="788">
        <v>42019</v>
      </c>
    </row>
    <row r="10632" spans="1:15" x14ac:dyDescent="0.25">
      <c r="A10632" s="786" t="s">
        <v>18970</v>
      </c>
      <c r="B10632" s="787">
        <v>4</v>
      </c>
      <c r="C10632" s="787" t="s">
        <v>18971</v>
      </c>
      <c r="D10632" s="787">
        <v>0</v>
      </c>
      <c r="E10632" s="787">
        <v>0</v>
      </c>
      <c r="G10632" s="788">
        <v>42017</v>
      </c>
      <c r="H10632" s="787">
        <v>1</v>
      </c>
      <c r="I10632" s="788">
        <v>42156</v>
      </c>
      <c r="K10632" s="788">
        <v>41438</v>
      </c>
      <c r="L10632" s="787">
        <v>2.4700000000000002</v>
      </c>
      <c r="M10632" s="787">
        <v>20</v>
      </c>
      <c r="N10632" s="787">
        <v>2.66</v>
      </c>
      <c r="O10632" s="788">
        <v>42019</v>
      </c>
    </row>
    <row r="10633" spans="1:15" x14ac:dyDescent="0.25">
      <c r="A10633" s="786" t="s">
        <v>18972</v>
      </c>
      <c r="B10633" s="787">
        <v>4</v>
      </c>
      <c r="C10633" s="787" t="s">
        <v>18973</v>
      </c>
      <c r="D10633" s="787">
        <v>4.42</v>
      </c>
      <c r="E10633" s="787">
        <v>4.42</v>
      </c>
      <c r="F10633" s="788">
        <v>41838</v>
      </c>
      <c r="G10633" s="788">
        <v>41943</v>
      </c>
      <c r="H10633" s="787">
        <v>1</v>
      </c>
      <c r="I10633" s="788">
        <v>42156</v>
      </c>
      <c r="J10633" s="788">
        <v>41837</v>
      </c>
      <c r="K10633" s="788">
        <v>41438</v>
      </c>
      <c r="L10633" s="787">
        <v>4.21</v>
      </c>
      <c r="M10633" s="787">
        <v>20</v>
      </c>
      <c r="N10633" s="787">
        <v>4.53</v>
      </c>
      <c r="O10633" s="788">
        <v>42019</v>
      </c>
    </row>
    <row r="10634" spans="1:15" x14ac:dyDescent="0.25">
      <c r="A10634" s="786" t="s">
        <v>18974</v>
      </c>
      <c r="B10634" s="787">
        <v>4</v>
      </c>
      <c r="C10634" s="787" t="s">
        <v>18975</v>
      </c>
      <c r="D10634" s="787">
        <v>2.94</v>
      </c>
      <c r="E10634" s="787">
        <v>2.94</v>
      </c>
      <c r="F10634" s="788">
        <v>41827</v>
      </c>
      <c r="G10634" s="788">
        <v>42013</v>
      </c>
      <c r="H10634" s="787">
        <v>1</v>
      </c>
      <c r="I10634" s="788">
        <v>42150</v>
      </c>
      <c r="J10634" s="788">
        <v>41827</v>
      </c>
      <c r="K10634" s="788">
        <v>41823</v>
      </c>
      <c r="L10634" s="787">
        <v>2.94</v>
      </c>
      <c r="M10634" s="787">
        <v>20</v>
      </c>
      <c r="N10634" s="787">
        <v>3.16</v>
      </c>
      <c r="O10634" s="788">
        <v>41988</v>
      </c>
    </row>
    <row r="10635" spans="1:15" x14ac:dyDescent="0.25">
      <c r="A10635" s="786" t="s">
        <v>18976</v>
      </c>
      <c r="B10635" s="787">
        <v>4</v>
      </c>
      <c r="C10635" s="787" t="s">
        <v>18977</v>
      </c>
      <c r="D10635" s="787">
        <v>0</v>
      </c>
      <c r="E10635" s="787">
        <v>0</v>
      </c>
      <c r="G10635" s="788">
        <v>42017</v>
      </c>
      <c r="H10635" s="787">
        <v>1</v>
      </c>
      <c r="I10635" s="788">
        <v>42150</v>
      </c>
      <c r="K10635" s="788">
        <v>41438</v>
      </c>
      <c r="L10635" s="787">
        <v>2.95</v>
      </c>
      <c r="M10635" s="787">
        <v>20</v>
      </c>
      <c r="N10635" s="787">
        <v>3.17</v>
      </c>
      <c r="O10635" s="788">
        <v>41988</v>
      </c>
    </row>
    <row r="10636" spans="1:15" x14ac:dyDescent="0.25">
      <c r="A10636" s="786" t="s">
        <v>18978</v>
      </c>
      <c r="B10636" s="787">
        <v>4</v>
      </c>
      <c r="C10636" s="787" t="s">
        <v>18979</v>
      </c>
      <c r="D10636" s="787">
        <v>3.87</v>
      </c>
      <c r="E10636" s="787">
        <v>3.87</v>
      </c>
      <c r="F10636" s="788">
        <v>41838</v>
      </c>
      <c r="G10636" s="788">
        <v>42013</v>
      </c>
      <c r="H10636" s="787">
        <v>1</v>
      </c>
      <c r="I10636" s="788">
        <v>42150</v>
      </c>
      <c r="J10636" s="788">
        <v>41837</v>
      </c>
      <c r="K10636" s="788">
        <v>41438</v>
      </c>
      <c r="L10636" s="787">
        <v>3.69</v>
      </c>
      <c r="M10636" s="787">
        <v>20</v>
      </c>
      <c r="N10636" s="787">
        <v>3.97</v>
      </c>
      <c r="O10636" s="788">
        <v>41988</v>
      </c>
    </row>
    <row r="10637" spans="1:15" x14ac:dyDescent="0.25">
      <c r="A10637" s="786" t="s">
        <v>18980</v>
      </c>
      <c r="B10637" s="787">
        <v>4</v>
      </c>
      <c r="C10637" s="787" t="s">
        <v>18981</v>
      </c>
      <c r="D10637" s="787">
        <v>7.24</v>
      </c>
      <c r="E10637" s="787">
        <v>667.24</v>
      </c>
      <c r="F10637" s="788">
        <v>37650</v>
      </c>
      <c r="G10637" s="788">
        <v>37650</v>
      </c>
      <c r="H10637" s="787">
        <v>6</v>
      </c>
      <c r="I10637" s="788">
        <v>37621</v>
      </c>
      <c r="J10637" s="788">
        <v>37650</v>
      </c>
      <c r="L10637" s="787">
        <v>667.24</v>
      </c>
      <c r="M10637" s="787">
        <v>10</v>
      </c>
      <c r="N10637" s="787">
        <v>0</v>
      </c>
      <c r="O10637" s="788">
        <v>41543</v>
      </c>
    </row>
    <row r="10638" spans="1:15" x14ac:dyDescent="0.25">
      <c r="A10638" s="786" t="s">
        <v>18982</v>
      </c>
      <c r="B10638" s="787">
        <v>4</v>
      </c>
      <c r="C10638" s="787" t="s">
        <v>18983</v>
      </c>
      <c r="D10638" s="787">
        <v>9.4600000000000009</v>
      </c>
      <c r="E10638" s="787">
        <v>249.46</v>
      </c>
      <c r="F10638" s="788">
        <v>37650</v>
      </c>
      <c r="G10638" s="788">
        <v>37650</v>
      </c>
      <c r="H10638" s="787">
        <v>6</v>
      </c>
      <c r="I10638" s="788">
        <v>40109</v>
      </c>
      <c r="J10638" s="788">
        <v>37650</v>
      </c>
      <c r="L10638" s="787">
        <v>261.33</v>
      </c>
      <c r="M10638" s="787">
        <v>10</v>
      </c>
      <c r="N10638" s="787">
        <v>254.83</v>
      </c>
      <c r="O10638" s="788">
        <v>41810</v>
      </c>
    </row>
    <row r="10639" spans="1:15" x14ac:dyDescent="0.25">
      <c r="A10639" s="786" t="s">
        <v>18984</v>
      </c>
      <c r="B10639" s="787">
        <v>4</v>
      </c>
      <c r="C10639" s="787" t="s">
        <v>18985</v>
      </c>
      <c r="D10639" s="787">
        <v>9.16</v>
      </c>
      <c r="E10639" s="787">
        <v>249.16</v>
      </c>
      <c r="F10639" s="788">
        <v>37650</v>
      </c>
      <c r="G10639" s="788">
        <v>37650</v>
      </c>
      <c r="H10639" s="787">
        <v>6</v>
      </c>
      <c r="I10639" s="788">
        <v>40109</v>
      </c>
      <c r="J10639" s="788">
        <v>37650</v>
      </c>
      <c r="L10639" s="787">
        <v>277.81</v>
      </c>
      <c r="M10639" s="787">
        <v>10</v>
      </c>
      <c r="N10639" s="787">
        <v>273.56</v>
      </c>
      <c r="O10639" s="788">
        <v>41815</v>
      </c>
    </row>
    <row r="10640" spans="1:15" x14ac:dyDescent="0.25">
      <c r="A10640" s="786" t="s">
        <v>18986</v>
      </c>
      <c r="B10640" s="787">
        <v>4</v>
      </c>
      <c r="C10640" s="787" t="s">
        <v>18987</v>
      </c>
      <c r="D10640" s="787">
        <v>6.05</v>
      </c>
      <c r="E10640" s="787">
        <v>227.91</v>
      </c>
      <c r="F10640" s="788">
        <v>39101</v>
      </c>
      <c r="G10640" s="788">
        <v>39101</v>
      </c>
      <c r="H10640" s="787">
        <v>6</v>
      </c>
      <c r="I10640" s="788">
        <v>40025</v>
      </c>
      <c r="J10640" s="788">
        <v>39101</v>
      </c>
      <c r="L10640" s="787">
        <v>287.93</v>
      </c>
      <c r="M10640" s="787">
        <v>10</v>
      </c>
      <c r="N10640" s="787">
        <v>274.89</v>
      </c>
      <c r="O10640" s="788">
        <v>41815</v>
      </c>
    </row>
    <row r="10641" spans="1:15" x14ac:dyDescent="0.25">
      <c r="A10641" s="786" t="s">
        <v>18988</v>
      </c>
      <c r="B10641" s="787">
        <v>4</v>
      </c>
      <c r="C10641" s="787" t="s">
        <v>18989</v>
      </c>
      <c r="D10641" s="787">
        <v>6.05</v>
      </c>
      <c r="E10641" s="787">
        <v>256.05</v>
      </c>
      <c r="F10641" s="788">
        <v>39101</v>
      </c>
      <c r="G10641" s="788">
        <v>39101</v>
      </c>
      <c r="H10641" s="787">
        <v>6</v>
      </c>
      <c r="I10641" s="788">
        <v>40332</v>
      </c>
      <c r="J10641" s="788">
        <v>39101</v>
      </c>
      <c r="L10641" s="787">
        <v>287.66000000000003</v>
      </c>
      <c r="M10641" s="787">
        <v>10</v>
      </c>
      <c r="N10641" s="787">
        <v>275.24</v>
      </c>
      <c r="O10641" s="788">
        <v>41815</v>
      </c>
    </row>
    <row r="10642" spans="1:15" x14ac:dyDescent="0.25">
      <c r="A10642" s="786" t="s">
        <v>18990</v>
      </c>
      <c r="B10642" s="787">
        <v>4</v>
      </c>
      <c r="C10642" s="787" t="s">
        <v>18991</v>
      </c>
      <c r="D10642" s="787">
        <v>0</v>
      </c>
      <c r="E10642" s="787">
        <v>0</v>
      </c>
      <c r="H10642" s="787">
        <v>6</v>
      </c>
      <c r="I10642" s="788">
        <v>38093</v>
      </c>
      <c r="J10642" s="788">
        <v>37287</v>
      </c>
      <c r="L10642" s="787">
        <v>0</v>
      </c>
      <c r="M10642" s="787">
        <v>10</v>
      </c>
      <c r="N10642" s="787">
        <v>0</v>
      </c>
      <c r="O10642" s="788">
        <v>41806</v>
      </c>
    </row>
    <row r="10643" spans="1:15" x14ac:dyDescent="0.25">
      <c r="A10643" s="786" t="s">
        <v>18992</v>
      </c>
      <c r="B10643" s="787">
        <v>4</v>
      </c>
      <c r="C10643" s="787" t="s">
        <v>18993</v>
      </c>
      <c r="D10643" s="787">
        <v>9.6300000000000008</v>
      </c>
      <c r="E10643" s="787">
        <v>379.63</v>
      </c>
      <c r="F10643" s="788">
        <v>37287</v>
      </c>
      <c r="G10643" s="788">
        <v>37287</v>
      </c>
      <c r="H10643" s="787">
        <v>6</v>
      </c>
      <c r="J10643" s="788">
        <v>37287</v>
      </c>
      <c r="L10643" s="787">
        <v>379.63</v>
      </c>
      <c r="M10643" s="787">
        <v>10</v>
      </c>
      <c r="N10643" s="787">
        <v>0</v>
      </c>
      <c r="O10643" s="788">
        <v>41806</v>
      </c>
    </row>
    <row r="10644" spans="1:15" x14ac:dyDescent="0.25">
      <c r="A10644" s="786" t="s">
        <v>18994</v>
      </c>
      <c r="B10644" s="787">
        <v>4</v>
      </c>
      <c r="C10644" s="787" t="s">
        <v>18995</v>
      </c>
      <c r="D10644" s="787">
        <v>9.06</v>
      </c>
      <c r="E10644" s="787">
        <v>109.06</v>
      </c>
      <c r="F10644" s="788">
        <v>37287</v>
      </c>
      <c r="G10644" s="788">
        <v>37287</v>
      </c>
      <c r="H10644" s="787">
        <v>1</v>
      </c>
      <c r="I10644" s="788">
        <v>37638</v>
      </c>
      <c r="J10644" s="788">
        <v>37287</v>
      </c>
      <c r="L10644" s="787">
        <v>109.06</v>
      </c>
      <c r="M10644" s="787">
        <v>10</v>
      </c>
      <c r="N10644" s="787">
        <v>0</v>
      </c>
      <c r="O10644" s="788">
        <v>41858</v>
      </c>
    </row>
    <row r="10645" spans="1:15" x14ac:dyDescent="0.25">
      <c r="A10645" s="786" t="s">
        <v>18996</v>
      </c>
      <c r="B10645" s="787">
        <v>4</v>
      </c>
      <c r="C10645" s="787" t="s">
        <v>18997</v>
      </c>
      <c r="D10645" s="787">
        <v>0.46</v>
      </c>
      <c r="E10645" s="787">
        <v>37.950000000000003</v>
      </c>
      <c r="F10645" s="788">
        <v>42076</v>
      </c>
      <c r="G10645" s="788">
        <v>42163</v>
      </c>
      <c r="H10645" s="787">
        <v>1</v>
      </c>
      <c r="I10645" s="788">
        <v>42150</v>
      </c>
      <c r="J10645" s="788">
        <v>42150</v>
      </c>
      <c r="L10645" s="787">
        <v>0.01</v>
      </c>
      <c r="M10645" s="787">
        <v>10</v>
      </c>
      <c r="N10645" s="787">
        <v>17.07</v>
      </c>
      <c r="O10645" s="788">
        <v>41858</v>
      </c>
    </row>
    <row r="10646" spans="1:15" x14ac:dyDescent="0.25">
      <c r="A10646" s="786" t="s">
        <v>18998</v>
      </c>
      <c r="B10646" s="787">
        <v>4</v>
      </c>
      <c r="C10646" s="787" t="s">
        <v>18999</v>
      </c>
      <c r="D10646" s="787">
        <v>3.77</v>
      </c>
      <c r="E10646" s="787">
        <v>73.77</v>
      </c>
      <c r="F10646" s="788">
        <v>42019</v>
      </c>
      <c r="G10646" s="788">
        <v>42019</v>
      </c>
      <c r="H10646" s="787">
        <v>1</v>
      </c>
      <c r="I10646" s="788">
        <v>41988</v>
      </c>
      <c r="J10646" s="788">
        <v>41988</v>
      </c>
      <c r="L10646" s="787">
        <v>0.01</v>
      </c>
      <c r="M10646" s="787">
        <v>10</v>
      </c>
      <c r="N10646" s="787">
        <v>29</v>
      </c>
      <c r="O10646" s="788">
        <v>41988</v>
      </c>
    </row>
    <row r="10647" spans="1:15" x14ac:dyDescent="0.25">
      <c r="A10647" s="786" t="s">
        <v>19000</v>
      </c>
      <c r="B10647" s="787">
        <v>4</v>
      </c>
      <c r="C10647" s="787" t="s">
        <v>19001</v>
      </c>
      <c r="D10647" s="787">
        <v>7.63</v>
      </c>
      <c r="E10647" s="787">
        <v>84.11</v>
      </c>
      <c r="F10647" s="788">
        <v>41579</v>
      </c>
      <c r="G10647" s="788">
        <v>42157</v>
      </c>
      <c r="H10647" s="787">
        <v>1</v>
      </c>
      <c r="I10647" s="788">
        <v>42156</v>
      </c>
      <c r="J10647" s="788">
        <v>42157</v>
      </c>
      <c r="L10647" s="787">
        <v>0.01</v>
      </c>
      <c r="M10647" s="787">
        <v>10</v>
      </c>
      <c r="N10647" s="787">
        <v>53.47</v>
      </c>
      <c r="O10647" s="788">
        <v>41858</v>
      </c>
    </row>
    <row r="10648" spans="1:15" x14ac:dyDescent="0.25">
      <c r="A10648" s="786" t="s">
        <v>19002</v>
      </c>
      <c r="B10648" s="787">
        <v>4</v>
      </c>
      <c r="C10648" s="787" t="s">
        <v>19003</v>
      </c>
      <c r="D10648" s="787">
        <v>7.14</v>
      </c>
      <c r="E10648" s="787">
        <v>57.14</v>
      </c>
      <c r="F10648" s="788">
        <v>41908</v>
      </c>
      <c r="G10648" s="788">
        <v>41908</v>
      </c>
      <c r="H10648" s="787">
        <v>1</v>
      </c>
      <c r="I10648" s="788">
        <v>41796</v>
      </c>
      <c r="J10648" s="788">
        <v>41795</v>
      </c>
      <c r="L10648" s="787">
        <v>0.01</v>
      </c>
      <c r="M10648" s="787">
        <v>10</v>
      </c>
      <c r="N10648" s="787">
        <v>72.23</v>
      </c>
      <c r="O10648" s="788">
        <v>42019</v>
      </c>
    </row>
    <row r="10649" spans="1:15" x14ac:dyDescent="0.25">
      <c r="A10649" s="786" t="s">
        <v>19004</v>
      </c>
      <c r="B10649" s="787">
        <v>4</v>
      </c>
      <c r="C10649" s="787" t="s">
        <v>19005</v>
      </c>
      <c r="D10649" s="787">
        <v>4.49</v>
      </c>
      <c r="E10649" s="787">
        <v>4.49</v>
      </c>
      <c r="F10649" s="788">
        <v>41624</v>
      </c>
      <c r="G10649" s="788">
        <v>41644</v>
      </c>
      <c r="H10649" s="787">
        <v>1</v>
      </c>
      <c r="J10649" s="788">
        <v>41620</v>
      </c>
      <c r="K10649" s="788">
        <v>41619</v>
      </c>
      <c r="L10649" s="787">
        <v>4.37</v>
      </c>
      <c r="M10649" s="787">
        <v>20</v>
      </c>
      <c r="N10649" s="787">
        <v>4.7</v>
      </c>
      <c r="O10649" s="788">
        <v>41858</v>
      </c>
    </row>
    <row r="10650" spans="1:15" x14ac:dyDescent="0.25">
      <c r="A10650" s="786" t="s">
        <v>19006</v>
      </c>
      <c r="B10650" s="787">
        <v>4</v>
      </c>
      <c r="C10650" s="787" t="s">
        <v>19007</v>
      </c>
      <c r="D10650" s="787">
        <v>7.25</v>
      </c>
      <c r="E10650" s="787">
        <v>623.98</v>
      </c>
      <c r="F10650" s="788">
        <v>40946</v>
      </c>
      <c r="G10650" s="788">
        <v>41579</v>
      </c>
      <c r="H10650" s="787">
        <v>1</v>
      </c>
      <c r="I10650" s="788">
        <v>41562</v>
      </c>
      <c r="J10650" s="788">
        <v>41557</v>
      </c>
      <c r="L10650" s="787">
        <v>361.32</v>
      </c>
      <c r="M10650" s="787">
        <v>10</v>
      </c>
      <c r="N10650" s="787">
        <v>616.34</v>
      </c>
      <c r="O10650" s="788">
        <v>42163</v>
      </c>
    </row>
    <row r="10651" spans="1:15" x14ac:dyDescent="0.25">
      <c r="A10651" s="786" t="s">
        <v>19008</v>
      </c>
      <c r="B10651" s="787">
        <v>4</v>
      </c>
      <c r="C10651" s="787" t="s">
        <v>19009</v>
      </c>
      <c r="D10651" s="787">
        <v>4.13</v>
      </c>
      <c r="E10651" s="787">
        <v>727.32</v>
      </c>
      <c r="F10651" s="788">
        <v>40946</v>
      </c>
      <c r="G10651" s="788">
        <v>42156</v>
      </c>
      <c r="H10651" s="787">
        <v>1</v>
      </c>
      <c r="I10651" s="788">
        <v>42163</v>
      </c>
      <c r="J10651" s="788">
        <v>42156</v>
      </c>
      <c r="L10651" s="787">
        <v>464.52</v>
      </c>
      <c r="M10651" s="787">
        <v>10</v>
      </c>
      <c r="N10651" s="787">
        <v>682.96</v>
      </c>
      <c r="O10651" s="788">
        <v>42163</v>
      </c>
    </row>
    <row r="10652" spans="1:15" x14ac:dyDescent="0.25">
      <c r="A10652" s="786" t="s">
        <v>19010</v>
      </c>
      <c r="B10652" s="787">
        <v>4</v>
      </c>
      <c r="C10652" s="787" t="s">
        <v>19011</v>
      </c>
      <c r="D10652" s="787">
        <v>0</v>
      </c>
      <c r="E10652" s="787">
        <v>0</v>
      </c>
      <c r="F10652" s="788">
        <v>40948</v>
      </c>
      <c r="G10652" s="788">
        <v>40948</v>
      </c>
      <c r="H10652" s="787">
        <v>1</v>
      </c>
      <c r="I10652" s="788">
        <v>41012</v>
      </c>
      <c r="J10652" s="788">
        <v>40889</v>
      </c>
      <c r="K10652" s="788">
        <v>41026</v>
      </c>
      <c r="L10652" s="787">
        <v>574.46</v>
      </c>
      <c r="M10652" s="787">
        <v>10</v>
      </c>
      <c r="N10652" s="787">
        <v>616.34</v>
      </c>
      <c r="O10652" s="788">
        <v>42123</v>
      </c>
    </row>
    <row r="10653" spans="1:15" x14ac:dyDescent="0.25">
      <c r="A10653" s="786" t="s">
        <v>19012</v>
      </c>
      <c r="B10653" s="787">
        <v>4</v>
      </c>
      <c r="C10653" s="787" t="s">
        <v>19013</v>
      </c>
      <c r="D10653" s="787">
        <v>1.78</v>
      </c>
      <c r="E10653" s="787">
        <v>612.09</v>
      </c>
      <c r="F10653" s="788">
        <v>40946</v>
      </c>
      <c r="G10653" s="788">
        <v>42144</v>
      </c>
      <c r="H10653" s="787">
        <v>1</v>
      </c>
      <c r="I10653" s="788">
        <v>42151</v>
      </c>
      <c r="J10653" s="788">
        <v>42144</v>
      </c>
      <c r="K10653" s="788">
        <v>41026</v>
      </c>
      <c r="L10653" s="787">
        <v>672.7</v>
      </c>
      <c r="M10653" s="787">
        <v>10</v>
      </c>
      <c r="N10653" s="787">
        <v>685.09</v>
      </c>
      <c r="O10653" s="788">
        <v>42163</v>
      </c>
    </row>
    <row r="10654" spans="1:15" x14ac:dyDescent="0.25">
      <c r="A10654" s="786" t="s">
        <v>19014</v>
      </c>
      <c r="B10654" s="787">
        <v>4</v>
      </c>
      <c r="C10654" s="787" t="s">
        <v>19015</v>
      </c>
      <c r="D10654" s="787">
        <v>2.68</v>
      </c>
      <c r="E10654" s="787">
        <v>52.68</v>
      </c>
      <c r="F10654" s="788">
        <v>37287</v>
      </c>
      <c r="G10654" s="788">
        <v>37287</v>
      </c>
      <c r="H10654" s="787">
        <v>1</v>
      </c>
      <c r="I10654" s="788">
        <v>37070</v>
      </c>
      <c r="J10654" s="788">
        <v>37287</v>
      </c>
      <c r="L10654" s="787">
        <v>46.94</v>
      </c>
      <c r="M10654" s="787">
        <v>10</v>
      </c>
      <c r="N10654" s="787">
        <v>59.98</v>
      </c>
      <c r="O10654" s="788">
        <v>42144</v>
      </c>
    </row>
    <row r="10655" spans="1:15" x14ac:dyDescent="0.25">
      <c r="A10655" s="786" t="s">
        <v>19016</v>
      </c>
      <c r="B10655" s="787">
        <v>4</v>
      </c>
      <c r="C10655" s="787" t="s">
        <v>19017</v>
      </c>
      <c r="D10655" s="787">
        <v>0.76</v>
      </c>
      <c r="E10655" s="787">
        <v>10.76</v>
      </c>
      <c r="F10655" s="788">
        <v>37287</v>
      </c>
      <c r="G10655" s="788">
        <v>37287</v>
      </c>
      <c r="H10655" s="787">
        <v>1</v>
      </c>
      <c r="J10655" s="788">
        <v>37287</v>
      </c>
      <c r="L10655" s="787">
        <v>42.98</v>
      </c>
      <c r="M10655" s="787">
        <v>10</v>
      </c>
      <c r="N10655" s="787">
        <v>47.13</v>
      </c>
      <c r="O10655" s="788">
        <v>42144</v>
      </c>
    </row>
    <row r="10656" spans="1:15" x14ac:dyDescent="0.25">
      <c r="A10656" s="786" t="s">
        <v>19018</v>
      </c>
      <c r="B10656" s="787">
        <v>4</v>
      </c>
      <c r="C10656" s="787" t="s">
        <v>19019</v>
      </c>
      <c r="D10656" s="787">
        <v>5.26</v>
      </c>
      <c r="E10656" s="787">
        <v>605.65</v>
      </c>
      <c r="F10656" s="788">
        <v>41886</v>
      </c>
      <c r="G10656" s="788">
        <v>42122</v>
      </c>
      <c r="H10656" s="787">
        <v>1</v>
      </c>
      <c r="I10656" s="788">
        <v>42160</v>
      </c>
      <c r="J10656" s="788">
        <v>42158</v>
      </c>
      <c r="K10656" s="788">
        <v>41026</v>
      </c>
      <c r="L10656" s="787">
        <v>583.71</v>
      </c>
      <c r="M10656" s="787">
        <v>10</v>
      </c>
      <c r="N10656" s="787">
        <v>616.12</v>
      </c>
      <c r="O10656" s="788">
        <v>42146</v>
      </c>
    </row>
    <row r="10657" spans="1:15" x14ac:dyDescent="0.25">
      <c r="A10657" s="786" t="s">
        <v>19020</v>
      </c>
      <c r="B10657" s="787">
        <v>4</v>
      </c>
      <c r="C10657" s="787" t="s">
        <v>19021</v>
      </c>
      <c r="D10657" s="787">
        <v>0.97</v>
      </c>
      <c r="E10657" s="787">
        <v>570.97</v>
      </c>
      <c r="F10657" s="788">
        <v>42093</v>
      </c>
      <c r="G10657" s="788">
        <v>42093</v>
      </c>
      <c r="H10657" s="787">
        <v>1</v>
      </c>
      <c r="I10657" s="788">
        <v>42074</v>
      </c>
      <c r="J10657" s="788">
        <v>42061</v>
      </c>
      <c r="K10657" s="788">
        <v>41026</v>
      </c>
      <c r="L10657" s="787">
        <v>583.71</v>
      </c>
      <c r="M10657" s="787">
        <v>10</v>
      </c>
      <c r="N10657" s="787">
        <v>618.20000000000005</v>
      </c>
      <c r="O10657" s="788">
        <v>42123</v>
      </c>
    </row>
    <row r="10658" spans="1:15" x14ac:dyDescent="0.25">
      <c r="A10658" s="786" t="s">
        <v>19022</v>
      </c>
      <c r="B10658" s="787">
        <v>4</v>
      </c>
      <c r="C10658" s="787" t="s">
        <v>19023</v>
      </c>
      <c r="D10658" s="787">
        <v>4.21</v>
      </c>
      <c r="E10658" s="787">
        <v>717.48</v>
      </c>
      <c r="F10658" s="788">
        <v>41495</v>
      </c>
      <c r="G10658" s="788">
        <v>42159</v>
      </c>
      <c r="H10658" s="787">
        <v>1</v>
      </c>
      <c r="I10658" s="788">
        <v>42143</v>
      </c>
      <c r="J10658" s="788">
        <v>42130</v>
      </c>
      <c r="L10658" s="787">
        <v>0.01</v>
      </c>
      <c r="M10658" s="787">
        <v>10</v>
      </c>
      <c r="N10658" s="787">
        <v>698.83</v>
      </c>
      <c r="O10658" s="788">
        <v>42123</v>
      </c>
    </row>
    <row r="10659" spans="1:15" x14ac:dyDescent="0.25">
      <c r="A10659" s="786" t="s">
        <v>19024</v>
      </c>
      <c r="B10659" s="787">
        <v>4</v>
      </c>
      <c r="C10659" s="787" t="s">
        <v>19025</v>
      </c>
      <c r="D10659" s="787">
        <v>1.4</v>
      </c>
      <c r="E10659" s="787">
        <v>228.9</v>
      </c>
      <c r="F10659" s="788">
        <v>41166</v>
      </c>
      <c r="G10659" s="788">
        <v>42118</v>
      </c>
      <c r="H10659" s="787">
        <v>3</v>
      </c>
      <c r="I10659" s="788">
        <v>42164</v>
      </c>
      <c r="J10659" s="788">
        <v>42115</v>
      </c>
      <c r="K10659" s="788">
        <v>42037</v>
      </c>
      <c r="L10659" s="787">
        <v>227.64</v>
      </c>
      <c r="M10659" s="787">
        <v>20</v>
      </c>
      <c r="N10659" s="787">
        <v>244.71</v>
      </c>
      <c r="O10659" s="788">
        <v>42162</v>
      </c>
    </row>
    <row r="10660" spans="1:15" x14ac:dyDescent="0.25">
      <c r="A10660" s="786" t="s">
        <v>19026</v>
      </c>
      <c r="B10660" s="787">
        <v>4</v>
      </c>
      <c r="C10660" s="787" t="s">
        <v>19027</v>
      </c>
      <c r="D10660" s="787">
        <v>9.35</v>
      </c>
      <c r="E10660" s="787">
        <v>9.35</v>
      </c>
      <c r="F10660" s="788">
        <v>37650</v>
      </c>
      <c r="G10660" s="788">
        <v>37650</v>
      </c>
      <c r="H10660" s="787">
        <v>1</v>
      </c>
      <c r="I10660" s="788">
        <v>40032</v>
      </c>
      <c r="J10660" s="788">
        <v>37650</v>
      </c>
      <c r="L10660" s="787">
        <v>10.19</v>
      </c>
      <c r="M10660" s="787">
        <v>20</v>
      </c>
      <c r="N10660" s="787">
        <v>10.95</v>
      </c>
      <c r="O10660" s="788">
        <v>42127</v>
      </c>
    </row>
    <row r="10661" spans="1:15" x14ac:dyDescent="0.25">
      <c r="A10661" s="786" t="s">
        <v>19028</v>
      </c>
      <c r="B10661" s="787">
        <v>4</v>
      </c>
      <c r="C10661" s="787" t="s">
        <v>19029</v>
      </c>
      <c r="D10661" s="787">
        <v>0.75</v>
      </c>
      <c r="E10661" s="787">
        <v>0.75</v>
      </c>
      <c r="F10661" s="788">
        <v>39101</v>
      </c>
      <c r="G10661" s="788">
        <v>39101</v>
      </c>
      <c r="H10661" s="787">
        <v>1</v>
      </c>
      <c r="I10661" s="788">
        <v>42166</v>
      </c>
      <c r="J10661" s="788">
        <v>39247</v>
      </c>
      <c r="L10661" s="787">
        <v>0.82</v>
      </c>
      <c r="M10661" s="787">
        <v>20</v>
      </c>
      <c r="N10661" s="787">
        <v>0.88</v>
      </c>
      <c r="O10661" s="788">
        <v>42156</v>
      </c>
    </row>
    <row r="10662" spans="1:15" x14ac:dyDescent="0.25">
      <c r="A10662" s="786" t="s">
        <v>19030</v>
      </c>
      <c r="B10662" s="787">
        <v>4</v>
      </c>
      <c r="C10662" s="787" t="s">
        <v>19031</v>
      </c>
      <c r="D10662" s="787">
        <v>2.74</v>
      </c>
      <c r="E10662" s="787">
        <v>282.74</v>
      </c>
      <c r="F10662" s="788">
        <v>39101</v>
      </c>
      <c r="G10662" s="788">
        <v>39101</v>
      </c>
      <c r="H10662" s="787">
        <v>1</v>
      </c>
      <c r="I10662" s="788">
        <v>41878</v>
      </c>
      <c r="J10662" s="788">
        <v>39149</v>
      </c>
      <c r="L10662" s="787">
        <v>308.19</v>
      </c>
      <c r="M10662" s="787">
        <v>20</v>
      </c>
      <c r="N10662" s="787">
        <v>331.3</v>
      </c>
      <c r="O10662" s="788">
        <v>41858</v>
      </c>
    </row>
    <row r="10663" spans="1:15" x14ac:dyDescent="0.25">
      <c r="A10663" s="786" t="s">
        <v>19032</v>
      </c>
      <c r="B10663" s="787">
        <v>4</v>
      </c>
      <c r="C10663" s="787" t="s">
        <v>19033</v>
      </c>
      <c r="D10663" s="787">
        <v>3.1</v>
      </c>
      <c r="E10663" s="787">
        <v>342.26</v>
      </c>
      <c r="F10663" s="788">
        <v>37995</v>
      </c>
      <c r="G10663" s="788">
        <v>41310</v>
      </c>
      <c r="H10663" s="787">
        <v>6</v>
      </c>
      <c r="I10663" s="788">
        <v>41345</v>
      </c>
      <c r="J10663" s="788">
        <v>41341</v>
      </c>
      <c r="L10663" s="787">
        <v>373.06</v>
      </c>
      <c r="M10663" s="787">
        <v>20</v>
      </c>
      <c r="N10663" s="787">
        <v>367.93</v>
      </c>
      <c r="O10663" s="788">
        <v>41806</v>
      </c>
    </row>
    <row r="10664" spans="1:15" x14ac:dyDescent="0.25">
      <c r="A10664" s="786" t="s">
        <v>19034</v>
      </c>
      <c r="B10664" s="787">
        <v>4</v>
      </c>
      <c r="C10664" s="787" t="s">
        <v>19035</v>
      </c>
      <c r="D10664" s="787">
        <v>8.5</v>
      </c>
      <c r="E10664" s="787">
        <v>223.27</v>
      </c>
      <c r="F10664" s="788">
        <v>40770</v>
      </c>
      <c r="G10664" s="788">
        <v>42142</v>
      </c>
      <c r="H10664" s="787">
        <v>1</v>
      </c>
      <c r="I10664" s="788">
        <v>42165</v>
      </c>
      <c r="J10664" s="788">
        <v>42135</v>
      </c>
      <c r="K10664" s="788">
        <v>42026</v>
      </c>
      <c r="L10664" s="787">
        <v>221.06</v>
      </c>
      <c r="M10664" s="787">
        <v>20</v>
      </c>
      <c r="N10664" s="787">
        <v>237.64</v>
      </c>
      <c r="O10664" s="788">
        <v>42162</v>
      </c>
    </row>
    <row r="10665" spans="1:15" x14ac:dyDescent="0.25">
      <c r="A10665" s="786" t="s">
        <v>19036</v>
      </c>
      <c r="B10665" s="787">
        <v>4</v>
      </c>
      <c r="C10665" s="787" t="s">
        <v>19037</v>
      </c>
      <c r="D10665" s="787">
        <v>0.5</v>
      </c>
      <c r="E10665" s="787">
        <v>183.69</v>
      </c>
      <c r="F10665" s="788">
        <v>39860</v>
      </c>
      <c r="G10665" s="788">
        <v>42013</v>
      </c>
      <c r="H10665" s="787">
        <v>1</v>
      </c>
      <c r="I10665" s="788">
        <v>42166</v>
      </c>
      <c r="J10665" s="788">
        <v>41933</v>
      </c>
      <c r="L10665" s="787">
        <v>218</v>
      </c>
      <c r="M10665" s="787">
        <v>20</v>
      </c>
      <c r="N10665" s="787">
        <v>234.35</v>
      </c>
      <c r="O10665" s="788">
        <v>42162</v>
      </c>
    </row>
    <row r="10666" spans="1:15" x14ac:dyDescent="0.25">
      <c r="A10666" s="786" t="s">
        <v>19038</v>
      </c>
      <c r="B10666" s="787">
        <v>4</v>
      </c>
      <c r="C10666" s="787" t="s">
        <v>19039</v>
      </c>
      <c r="D10666" s="787">
        <v>6.98</v>
      </c>
      <c r="E10666" s="787">
        <v>231.61</v>
      </c>
      <c r="F10666" s="788">
        <v>40218</v>
      </c>
      <c r="G10666" s="788">
        <v>41943</v>
      </c>
      <c r="H10666" s="787">
        <v>3</v>
      </c>
      <c r="I10666" s="788">
        <v>42164</v>
      </c>
      <c r="J10666" s="788">
        <v>41583</v>
      </c>
      <c r="L10666" s="787">
        <v>274.33</v>
      </c>
      <c r="M10666" s="787">
        <v>20</v>
      </c>
      <c r="N10666" s="787">
        <v>294.89999999999998</v>
      </c>
      <c r="O10666" s="788">
        <v>41858</v>
      </c>
    </row>
    <row r="10667" spans="1:15" x14ac:dyDescent="0.25">
      <c r="A10667" s="786" t="s">
        <v>19040</v>
      </c>
      <c r="B10667" s="787">
        <v>4</v>
      </c>
      <c r="C10667" s="787" t="s">
        <v>19041</v>
      </c>
      <c r="D10667" s="787">
        <v>8.91</v>
      </c>
      <c r="E10667" s="787">
        <v>229.57</v>
      </c>
      <c r="F10667" s="788">
        <v>37896</v>
      </c>
      <c r="G10667" s="788">
        <v>37896</v>
      </c>
      <c r="H10667" s="787">
        <v>1</v>
      </c>
      <c r="I10667" s="788">
        <v>40844</v>
      </c>
      <c r="J10667" s="788">
        <v>37896</v>
      </c>
      <c r="L10667" s="787">
        <v>250.23</v>
      </c>
      <c r="M10667" s="787">
        <v>20</v>
      </c>
      <c r="N10667" s="787">
        <v>269</v>
      </c>
      <c r="O10667" s="788">
        <v>41858</v>
      </c>
    </row>
    <row r="10668" spans="1:15" x14ac:dyDescent="0.25">
      <c r="A10668" s="786" t="s">
        <v>19042</v>
      </c>
      <c r="B10668" s="787">
        <v>4</v>
      </c>
      <c r="C10668" s="787" t="s">
        <v>19043</v>
      </c>
      <c r="D10668" s="787">
        <v>2.0099999999999998</v>
      </c>
      <c r="E10668" s="787">
        <v>152.01</v>
      </c>
      <c r="F10668" s="788">
        <v>38664</v>
      </c>
      <c r="G10668" s="788">
        <v>38736</v>
      </c>
      <c r="H10668" s="787">
        <v>1</v>
      </c>
      <c r="I10668" s="788">
        <v>41397</v>
      </c>
      <c r="J10668" s="788">
        <v>41401</v>
      </c>
      <c r="L10668" s="787">
        <v>172.5</v>
      </c>
      <c r="M10668" s="787">
        <v>20</v>
      </c>
      <c r="N10668" s="787">
        <v>185.44</v>
      </c>
      <c r="O10668" s="788">
        <v>41858</v>
      </c>
    </row>
    <row r="10669" spans="1:15" x14ac:dyDescent="0.25">
      <c r="A10669" s="786" t="s">
        <v>19044</v>
      </c>
      <c r="B10669" s="787">
        <v>4</v>
      </c>
      <c r="C10669" s="787" t="s">
        <v>19045</v>
      </c>
      <c r="D10669" s="787">
        <v>2.2999999999999998</v>
      </c>
      <c r="E10669" s="787">
        <v>207.05</v>
      </c>
      <c r="F10669" s="788">
        <v>38247</v>
      </c>
      <c r="G10669" s="788">
        <v>38398</v>
      </c>
      <c r="H10669" s="787">
        <v>1</v>
      </c>
      <c r="I10669" s="788">
        <v>38716</v>
      </c>
      <c r="J10669" s="788">
        <v>38398</v>
      </c>
      <c r="L10669" s="787">
        <v>225.68</v>
      </c>
      <c r="M10669" s="787">
        <v>20</v>
      </c>
      <c r="N10669" s="787">
        <v>242.61</v>
      </c>
      <c r="O10669" s="788">
        <v>41858</v>
      </c>
    </row>
    <row r="10670" spans="1:15" x14ac:dyDescent="0.25">
      <c r="A10670" s="786" t="s">
        <v>19046</v>
      </c>
      <c r="B10670" s="787">
        <v>4</v>
      </c>
      <c r="C10670" s="787" t="s">
        <v>19047</v>
      </c>
      <c r="D10670" s="787">
        <v>8.25</v>
      </c>
      <c r="E10670" s="787">
        <v>167.03</v>
      </c>
      <c r="F10670" s="788">
        <v>39860</v>
      </c>
      <c r="G10670" s="788">
        <v>42075</v>
      </c>
      <c r="H10670" s="787">
        <v>1</v>
      </c>
      <c r="I10670" s="788">
        <v>42130</v>
      </c>
      <c r="J10670" s="788">
        <v>42075</v>
      </c>
      <c r="K10670" s="788">
        <v>42066</v>
      </c>
      <c r="L10670" s="787">
        <v>165.99</v>
      </c>
      <c r="M10670" s="787">
        <v>20</v>
      </c>
      <c r="N10670" s="787">
        <v>178.44</v>
      </c>
      <c r="O10670" s="788">
        <v>42156</v>
      </c>
    </row>
    <row r="10671" spans="1:15" x14ac:dyDescent="0.25">
      <c r="A10671" s="786" t="s">
        <v>19048</v>
      </c>
      <c r="B10671" s="787">
        <v>4</v>
      </c>
      <c r="C10671" s="787" t="s">
        <v>19049</v>
      </c>
      <c r="D10671" s="787">
        <v>4.7</v>
      </c>
      <c r="E10671" s="787">
        <v>17.760000000000002</v>
      </c>
      <c r="F10671" s="788">
        <v>38474</v>
      </c>
      <c r="G10671" s="788">
        <v>39590</v>
      </c>
      <c r="H10671" s="787">
        <v>1</v>
      </c>
      <c r="I10671" s="788">
        <v>40693</v>
      </c>
      <c r="J10671" s="788">
        <v>38700</v>
      </c>
      <c r="L10671" s="787">
        <v>18.920000000000002</v>
      </c>
      <c r="M10671" s="787">
        <v>20</v>
      </c>
      <c r="N10671" s="787">
        <v>20.34</v>
      </c>
      <c r="O10671" s="788">
        <v>41858</v>
      </c>
    </row>
    <row r="10672" spans="1:15" x14ac:dyDescent="0.25">
      <c r="A10672" s="786" t="s">
        <v>19050</v>
      </c>
      <c r="B10672" s="787">
        <v>4</v>
      </c>
      <c r="C10672" s="787" t="s">
        <v>19051</v>
      </c>
      <c r="D10672" s="787">
        <v>4.62</v>
      </c>
      <c r="E10672" s="787">
        <v>4.74</v>
      </c>
      <c r="F10672" s="788">
        <v>38275</v>
      </c>
      <c r="G10672" s="788">
        <v>38447</v>
      </c>
      <c r="H10672" s="787">
        <v>1</v>
      </c>
      <c r="I10672" s="788">
        <v>39134</v>
      </c>
      <c r="J10672" s="788">
        <v>38709</v>
      </c>
      <c r="L10672" s="787">
        <v>5.04</v>
      </c>
      <c r="M10672" s="787">
        <v>20</v>
      </c>
      <c r="N10672" s="787">
        <v>5.42</v>
      </c>
      <c r="O10672" s="788">
        <v>41858</v>
      </c>
    </row>
    <row r="10673" spans="1:15" x14ac:dyDescent="0.25">
      <c r="A10673" s="786" t="s">
        <v>19052</v>
      </c>
      <c r="B10673" s="787">
        <v>4</v>
      </c>
      <c r="C10673" s="787" t="s">
        <v>19053</v>
      </c>
      <c r="D10673" s="787">
        <v>5.37</v>
      </c>
      <c r="E10673" s="787">
        <v>5.82</v>
      </c>
      <c r="F10673" s="788">
        <v>41796</v>
      </c>
      <c r="G10673" s="788">
        <v>42158</v>
      </c>
      <c r="H10673" s="787">
        <v>1</v>
      </c>
      <c r="I10673" s="788">
        <v>42164</v>
      </c>
      <c r="J10673" s="788">
        <v>42157</v>
      </c>
      <c r="K10673" s="788">
        <v>41764</v>
      </c>
      <c r="L10673" s="787">
        <v>5.37</v>
      </c>
      <c r="M10673" s="787">
        <v>20</v>
      </c>
      <c r="N10673" s="787">
        <v>5.77</v>
      </c>
      <c r="O10673" s="788">
        <v>42162</v>
      </c>
    </row>
    <row r="10674" spans="1:15" x14ac:dyDescent="0.25">
      <c r="A10674" s="786" t="s">
        <v>19054</v>
      </c>
      <c r="B10674" s="787">
        <v>4</v>
      </c>
      <c r="C10674" s="787" t="s">
        <v>19055</v>
      </c>
      <c r="D10674" s="787">
        <v>2.2400000000000002</v>
      </c>
      <c r="E10674" s="787">
        <v>2.36</v>
      </c>
      <c r="F10674" s="788">
        <v>39241</v>
      </c>
      <c r="G10674" s="788">
        <v>42124</v>
      </c>
      <c r="H10674" s="787">
        <v>1</v>
      </c>
      <c r="I10674" s="788">
        <v>42165</v>
      </c>
      <c r="J10674" s="788">
        <v>42123</v>
      </c>
      <c r="K10674" s="788">
        <v>41486</v>
      </c>
      <c r="L10674" s="787">
        <v>2.36</v>
      </c>
      <c r="M10674" s="787">
        <v>20</v>
      </c>
      <c r="N10674" s="787">
        <v>2.54</v>
      </c>
      <c r="O10674" s="788">
        <v>42162</v>
      </c>
    </row>
    <row r="10675" spans="1:15" x14ac:dyDescent="0.25">
      <c r="A10675" s="786" t="s">
        <v>19056</v>
      </c>
      <c r="B10675" s="787">
        <v>4</v>
      </c>
      <c r="C10675" s="787" t="s">
        <v>19057</v>
      </c>
      <c r="D10675" s="787">
        <v>2.2400000000000002</v>
      </c>
      <c r="E10675" s="787">
        <v>2.54</v>
      </c>
      <c r="F10675" s="788">
        <v>39097</v>
      </c>
      <c r="G10675" s="788">
        <v>42158</v>
      </c>
      <c r="H10675" s="787">
        <v>1</v>
      </c>
      <c r="I10675" s="788">
        <v>42166</v>
      </c>
      <c r="J10675" s="788">
        <v>42156</v>
      </c>
      <c r="K10675" s="788">
        <v>41716</v>
      </c>
      <c r="L10675" s="787">
        <v>2.35</v>
      </c>
      <c r="M10675" s="787">
        <v>20</v>
      </c>
      <c r="N10675" s="787">
        <v>2.5299999999999998</v>
      </c>
      <c r="O10675" s="788">
        <v>42157</v>
      </c>
    </row>
    <row r="10676" spans="1:15" x14ac:dyDescent="0.25">
      <c r="A10676" s="786" t="s">
        <v>19058</v>
      </c>
      <c r="B10676" s="787">
        <v>4</v>
      </c>
      <c r="C10676" s="787" t="s">
        <v>19059</v>
      </c>
      <c r="D10676" s="787">
        <v>3.19</v>
      </c>
      <c r="E10676" s="787">
        <v>3.19</v>
      </c>
      <c r="F10676" s="788">
        <v>37287</v>
      </c>
      <c r="G10676" s="788">
        <v>37287</v>
      </c>
      <c r="H10676" s="787">
        <v>1</v>
      </c>
      <c r="I10676" s="788">
        <v>39958</v>
      </c>
      <c r="J10676" s="788">
        <v>37287</v>
      </c>
      <c r="L10676" s="787">
        <v>3.48</v>
      </c>
      <c r="M10676" s="787">
        <v>20</v>
      </c>
      <c r="N10676" s="787">
        <v>3.74</v>
      </c>
      <c r="O10676" s="788">
        <v>41858</v>
      </c>
    </row>
    <row r="10677" spans="1:15" x14ac:dyDescent="0.25">
      <c r="A10677" s="786" t="s">
        <v>19060</v>
      </c>
      <c r="B10677" s="787">
        <v>4</v>
      </c>
      <c r="C10677" s="787" t="s">
        <v>19061</v>
      </c>
      <c r="D10677" s="787">
        <v>1.43</v>
      </c>
      <c r="E10677" s="787">
        <v>1.54</v>
      </c>
      <c r="F10677" s="788">
        <v>39860</v>
      </c>
      <c r="G10677" s="788">
        <v>42159</v>
      </c>
      <c r="H10677" s="787">
        <v>1</v>
      </c>
      <c r="I10677" s="788">
        <v>42166</v>
      </c>
      <c r="J10677" s="788">
        <v>42151</v>
      </c>
      <c r="K10677" s="788">
        <v>41501</v>
      </c>
      <c r="L10677" s="787">
        <v>1.51</v>
      </c>
      <c r="M10677" s="787">
        <v>20</v>
      </c>
      <c r="N10677" s="787">
        <v>1.62</v>
      </c>
      <c r="O10677" s="788">
        <v>42146</v>
      </c>
    </row>
    <row r="10678" spans="1:15" x14ac:dyDescent="0.25">
      <c r="A10678" s="786" t="s">
        <v>19062</v>
      </c>
      <c r="B10678" s="787">
        <v>4</v>
      </c>
      <c r="C10678" s="787" t="s">
        <v>19063</v>
      </c>
      <c r="D10678" s="787">
        <v>5.73</v>
      </c>
      <c r="E10678" s="787">
        <v>6.06</v>
      </c>
      <c r="F10678" s="788">
        <v>38075</v>
      </c>
      <c r="G10678" s="788">
        <v>38364</v>
      </c>
      <c r="H10678" s="787">
        <v>1</v>
      </c>
      <c r="I10678" s="788">
        <v>38736</v>
      </c>
      <c r="J10678" s="788">
        <v>38308</v>
      </c>
      <c r="L10678" s="787">
        <v>6.61</v>
      </c>
      <c r="M10678" s="787">
        <v>20</v>
      </c>
      <c r="N10678" s="787">
        <v>7.11</v>
      </c>
      <c r="O10678" s="788">
        <v>41858</v>
      </c>
    </row>
    <row r="10679" spans="1:15" x14ac:dyDescent="0.25">
      <c r="A10679" s="786" t="s">
        <v>19064</v>
      </c>
      <c r="B10679" s="787">
        <v>4</v>
      </c>
      <c r="C10679" s="787" t="s">
        <v>19065</v>
      </c>
      <c r="D10679" s="787">
        <v>0.9</v>
      </c>
      <c r="E10679" s="787">
        <v>16.350000000000001</v>
      </c>
      <c r="F10679" s="788">
        <v>37649</v>
      </c>
      <c r="G10679" s="788">
        <v>38364</v>
      </c>
      <c r="H10679" s="787">
        <v>1</v>
      </c>
      <c r="I10679" s="788">
        <v>37827</v>
      </c>
      <c r="J10679" s="788">
        <v>38308</v>
      </c>
      <c r="L10679" s="787">
        <v>17.82</v>
      </c>
      <c r="M10679" s="787">
        <v>20</v>
      </c>
      <c r="N10679" s="787">
        <v>19.16</v>
      </c>
      <c r="O10679" s="788">
        <v>41858</v>
      </c>
    </row>
    <row r="10680" spans="1:15" x14ac:dyDescent="0.25">
      <c r="A10680" s="786" t="s">
        <v>19066</v>
      </c>
      <c r="B10680" s="787">
        <v>4</v>
      </c>
      <c r="C10680" s="787" t="s">
        <v>19067</v>
      </c>
      <c r="D10680" s="787">
        <v>1.87</v>
      </c>
      <c r="E10680" s="787">
        <v>1.87</v>
      </c>
      <c r="F10680" s="788">
        <v>37287</v>
      </c>
      <c r="G10680" s="788">
        <v>37488</v>
      </c>
      <c r="H10680" s="787">
        <v>1</v>
      </c>
      <c r="I10680" s="788">
        <v>41583</v>
      </c>
      <c r="J10680" s="788">
        <v>41610</v>
      </c>
      <c r="L10680" s="787">
        <v>2.04</v>
      </c>
      <c r="M10680" s="787">
        <v>20</v>
      </c>
      <c r="N10680" s="787">
        <v>2.19</v>
      </c>
      <c r="O10680" s="788">
        <v>41858</v>
      </c>
    </row>
    <row r="10681" spans="1:15" x14ac:dyDescent="0.25">
      <c r="A10681" s="786" t="s">
        <v>19068</v>
      </c>
      <c r="B10681" s="787">
        <v>4</v>
      </c>
      <c r="C10681" s="787" t="s">
        <v>19067</v>
      </c>
      <c r="D10681" s="787">
        <v>0</v>
      </c>
      <c r="E10681" s="787">
        <v>0</v>
      </c>
      <c r="F10681" s="788">
        <v>39975</v>
      </c>
      <c r="H10681" s="787">
        <v>1</v>
      </c>
      <c r="K10681" s="788">
        <v>42041</v>
      </c>
      <c r="L10681" s="787">
        <v>5</v>
      </c>
      <c r="M10681" s="787">
        <v>20</v>
      </c>
      <c r="N10681" s="787">
        <v>5.38</v>
      </c>
      <c r="O10681" s="788">
        <v>42041</v>
      </c>
    </row>
    <row r="10682" spans="1:15" x14ac:dyDescent="0.25">
      <c r="A10682" s="786" t="s">
        <v>19069</v>
      </c>
      <c r="B10682" s="787">
        <v>4</v>
      </c>
      <c r="C10682" s="787" t="s">
        <v>19067</v>
      </c>
      <c r="D10682" s="787">
        <v>5.0599999999999996</v>
      </c>
      <c r="E10682" s="787">
        <v>5.0599999999999996</v>
      </c>
      <c r="F10682" s="788">
        <v>38880</v>
      </c>
      <c r="G10682" s="788">
        <v>38880</v>
      </c>
      <c r="H10682" s="787">
        <v>1</v>
      </c>
      <c r="I10682" s="788">
        <v>39134</v>
      </c>
      <c r="J10682" s="788">
        <v>38869</v>
      </c>
      <c r="L10682" s="787">
        <v>5.0599999999999996</v>
      </c>
      <c r="M10682" s="787">
        <v>20</v>
      </c>
      <c r="N10682" s="787">
        <v>5.44</v>
      </c>
      <c r="O10682" s="788">
        <v>41858</v>
      </c>
    </row>
    <row r="10683" spans="1:15" x14ac:dyDescent="0.25">
      <c r="A10683" s="786" t="s">
        <v>19070</v>
      </c>
      <c r="B10683" s="787">
        <v>4</v>
      </c>
      <c r="C10683" s="787" t="s">
        <v>19071</v>
      </c>
      <c r="D10683" s="787">
        <v>2.88</v>
      </c>
      <c r="E10683" s="787">
        <v>4.1399999999999997</v>
      </c>
      <c r="F10683" s="788">
        <v>40204</v>
      </c>
      <c r="G10683" s="788">
        <v>41282</v>
      </c>
      <c r="H10683" s="787">
        <v>1</v>
      </c>
      <c r="I10683" s="788">
        <v>41380</v>
      </c>
      <c r="J10683" s="788">
        <v>40844</v>
      </c>
      <c r="K10683" s="788">
        <v>41869</v>
      </c>
      <c r="L10683" s="787">
        <v>4.1399999999999997</v>
      </c>
      <c r="M10683" s="787">
        <v>20</v>
      </c>
      <c r="N10683" s="787">
        <v>15.01</v>
      </c>
      <c r="O10683" s="788">
        <v>41858</v>
      </c>
    </row>
    <row r="10684" spans="1:15" x14ac:dyDescent="0.25">
      <c r="A10684" s="786" t="s">
        <v>19072</v>
      </c>
      <c r="B10684" s="787">
        <v>4</v>
      </c>
      <c r="C10684" s="787" t="s">
        <v>19073</v>
      </c>
      <c r="D10684" s="787">
        <v>5.04</v>
      </c>
      <c r="E10684" s="787">
        <v>5.28</v>
      </c>
      <c r="F10684" s="788">
        <v>39510</v>
      </c>
      <c r="G10684" s="788">
        <v>42143</v>
      </c>
      <c r="H10684" s="787">
        <v>1</v>
      </c>
      <c r="I10684" s="788">
        <v>42156</v>
      </c>
      <c r="J10684" s="788">
        <v>42114</v>
      </c>
      <c r="K10684" s="788">
        <v>41869</v>
      </c>
      <c r="L10684" s="787">
        <v>5.28</v>
      </c>
      <c r="M10684" s="787">
        <v>20</v>
      </c>
      <c r="N10684" s="787">
        <v>5.68</v>
      </c>
      <c r="O10684" s="788">
        <v>42163</v>
      </c>
    </row>
    <row r="10685" spans="1:15" x14ac:dyDescent="0.25">
      <c r="A10685" s="786" t="s">
        <v>19074</v>
      </c>
      <c r="B10685" s="787">
        <v>4</v>
      </c>
      <c r="C10685" s="787" t="s">
        <v>19075</v>
      </c>
      <c r="D10685" s="787">
        <v>8.18</v>
      </c>
      <c r="E10685" s="787">
        <v>300.06</v>
      </c>
      <c r="F10685" s="788">
        <v>40857</v>
      </c>
      <c r="G10685" s="788">
        <v>42013</v>
      </c>
      <c r="H10685" s="787">
        <v>1</v>
      </c>
      <c r="I10685" s="788">
        <v>42159</v>
      </c>
      <c r="J10685" s="788">
        <v>41583</v>
      </c>
      <c r="K10685" s="788">
        <v>41040</v>
      </c>
      <c r="L10685" s="787">
        <v>308.35000000000002</v>
      </c>
      <c r="M10685" s="787">
        <v>20</v>
      </c>
      <c r="N10685" s="787">
        <v>331.48</v>
      </c>
      <c r="O10685" s="788">
        <v>42162</v>
      </c>
    </row>
    <row r="10686" spans="1:15" x14ac:dyDescent="0.25">
      <c r="A10686" s="786" t="s">
        <v>19076</v>
      </c>
      <c r="B10686" s="787">
        <v>4</v>
      </c>
      <c r="C10686" s="787" t="s">
        <v>19077</v>
      </c>
      <c r="D10686" s="787">
        <v>1.5</v>
      </c>
      <c r="E10686" s="787">
        <v>1.5</v>
      </c>
      <c r="F10686" s="788">
        <v>38644</v>
      </c>
      <c r="G10686" s="788">
        <v>38644</v>
      </c>
      <c r="H10686" s="787">
        <v>1</v>
      </c>
      <c r="I10686" s="788">
        <v>38679</v>
      </c>
      <c r="J10686" s="788">
        <v>38679</v>
      </c>
      <c r="L10686" s="787">
        <v>1.5</v>
      </c>
      <c r="M10686" s="787">
        <v>20</v>
      </c>
      <c r="N10686" s="787">
        <v>1.61</v>
      </c>
      <c r="O10686" s="788">
        <v>41858</v>
      </c>
    </row>
    <row r="10687" spans="1:15" x14ac:dyDescent="0.25">
      <c r="A10687" s="786" t="s">
        <v>19078</v>
      </c>
      <c r="B10687" s="787">
        <v>4</v>
      </c>
      <c r="C10687" s="787" t="s">
        <v>19079</v>
      </c>
      <c r="D10687" s="787">
        <v>1.4</v>
      </c>
      <c r="E10687" s="787">
        <v>1.51</v>
      </c>
      <c r="F10687" s="788">
        <v>41373</v>
      </c>
      <c r="G10687" s="788">
        <v>42158</v>
      </c>
      <c r="H10687" s="787">
        <v>1</v>
      </c>
      <c r="I10687" s="788">
        <v>42166</v>
      </c>
      <c r="J10687" s="788">
        <v>42157</v>
      </c>
      <c r="K10687" s="788">
        <v>41388</v>
      </c>
      <c r="L10687" s="787">
        <v>1.51</v>
      </c>
      <c r="M10687" s="787">
        <v>20</v>
      </c>
      <c r="N10687" s="787">
        <v>1.62</v>
      </c>
      <c r="O10687" s="788">
        <v>42156</v>
      </c>
    </row>
    <row r="10688" spans="1:15" x14ac:dyDescent="0.25">
      <c r="A10688" s="786" t="s">
        <v>19080</v>
      </c>
      <c r="B10688" s="787">
        <v>4</v>
      </c>
      <c r="C10688" s="787" t="s">
        <v>19081</v>
      </c>
      <c r="D10688" s="787">
        <v>4.21</v>
      </c>
      <c r="E10688" s="787">
        <v>4.46</v>
      </c>
      <c r="F10688" s="788">
        <v>40070</v>
      </c>
      <c r="G10688" s="788">
        <v>42150</v>
      </c>
      <c r="H10688" s="787">
        <v>1</v>
      </c>
      <c r="I10688" s="788">
        <v>42166</v>
      </c>
      <c r="J10688" s="788">
        <v>42130</v>
      </c>
      <c r="K10688" s="788">
        <v>41841</v>
      </c>
      <c r="L10688" s="787">
        <v>4.37</v>
      </c>
      <c r="M10688" s="787">
        <v>20</v>
      </c>
      <c r="N10688" s="787">
        <v>4.7</v>
      </c>
      <c r="O10688" s="788">
        <v>42164</v>
      </c>
    </row>
    <row r="10689" spans="1:15" x14ac:dyDescent="0.25">
      <c r="A10689" s="786" t="s">
        <v>19082</v>
      </c>
      <c r="B10689" s="787">
        <v>4</v>
      </c>
      <c r="C10689" s="787" t="s">
        <v>19083</v>
      </c>
      <c r="D10689" s="787">
        <v>6.01</v>
      </c>
      <c r="E10689" s="787">
        <v>182.82</v>
      </c>
      <c r="F10689" s="788">
        <v>41166</v>
      </c>
      <c r="G10689" s="788">
        <v>42124</v>
      </c>
      <c r="H10689" s="787">
        <v>1</v>
      </c>
      <c r="I10689" s="788">
        <v>42164</v>
      </c>
      <c r="J10689" s="788">
        <v>42115</v>
      </c>
      <c r="K10689" s="788">
        <v>41921</v>
      </c>
      <c r="L10689" s="787">
        <v>201.74</v>
      </c>
      <c r="M10689" s="787">
        <v>20</v>
      </c>
      <c r="N10689" s="787">
        <v>216.87</v>
      </c>
      <c r="O10689" s="788">
        <v>42156</v>
      </c>
    </row>
    <row r="10690" spans="1:15" x14ac:dyDescent="0.25">
      <c r="A10690" s="786" t="s">
        <v>19084</v>
      </c>
      <c r="B10690" s="787">
        <v>4</v>
      </c>
      <c r="C10690" s="787" t="s">
        <v>19085</v>
      </c>
      <c r="D10690" s="787">
        <v>7.7</v>
      </c>
      <c r="E10690" s="787">
        <v>222</v>
      </c>
      <c r="F10690" s="788">
        <v>41166</v>
      </c>
      <c r="G10690" s="788">
        <v>42157</v>
      </c>
      <c r="H10690" s="787">
        <v>1</v>
      </c>
      <c r="I10690" s="788">
        <v>42166</v>
      </c>
      <c r="J10690" s="788">
        <v>42157</v>
      </c>
      <c r="K10690" s="788">
        <v>41921</v>
      </c>
      <c r="L10690" s="787">
        <v>239.74</v>
      </c>
      <c r="M10690" s="787">
        <v>20</v>
      </c>
      <c r="N10690" s="787">
        <v>257.72000000000003</v>
      </c>
      <c r="O10690" s="788">
        <v>42156</v>
      </c>
    </row>
    <row r="10691" spans="1:15" x14ac:dyDescent="0.25">
      <c r="A10691" s="786" t="s">
        <v>19086</v>
      </c>
      <c r="B10691" s="787">
        <v>4</v>
      </c>
      <c r="C10691" s="787" t="s">
        <v>19087</v>
      </c>
      <c r="D10691" s="787">
        <v>7.1</v>
      </c>
      <c r="E10691" s="787">
        <v>128.25</v>
      </c>
      <c r="F10691" s="788">
        <v>41134</v>
      </c>
      <c r="G10691" s="788">
        <v>41255</v>
      </c>
      <c r="H10691" s="787">
        <v>1</v>
      </c>
      <c r="I10691" s="788">
        <v>41160</v>
      </c>
      <c r="J10691" s="788">
        <v>41143</v>
      </c>
      <c r="L10691" s="787">
        <v>128.25</v>
      </c>
      <c r="M10691" s="787">
        <v>20</v>
      </c>
      <c r="N10691" s="787">
        <v>137.87</v>
      </c>
      <c r="O10691" s="788">
        <v>41858</v>
      </c>
    </row>
    <row r="10692" spans="1:15" x14ac:dyDescent="0.25">
      <c r="A10692" s="786" t="s">
        <v>19088</v>
      </c>
      <c r="B10692" s="787">
        <v>4</v>
      </c>
      <c r="C10692" s="787" t="s">
        <v>19089</v>
      </c>
      <c r="D10692" s="787">
        <v>7.28</v>
      </c>
      <c r="E10692" s="787">
        <v>152.71</v>
      </c>
      <c r="F10692" s="788">
        <v>41166</v>
      </c>
      <c r="G10692" s="788">
        <v>42156</v>
      </c>
      <c r="H10692" s="787">
        <v>1</v>
      </c>
      <c r="I10692" s="788">
        <v>42166</v>
      </c>
      <c r="J10692" s="788">
        <v>42156</v>
      </c>
      <c r="K10692" s="788">
        <v>41921</v>
      </c>
      <c r="L10692" s="787">
        <v>170.92</v>
      </c>
      <c r="M10692" s="787">
        <v>20</v>
      </c>
      <c r="N10692" s="787">
        <v>183.74</v>
      </c>
      <c r="O10692" s="788">
        <v>42162</v>
      </c>
    </row>
    <row r="10693" spans="1:15" x14ac:dyDescent="0.25">
      <c r="A10693" s="786" t="s">
        <v>19090</v>
      </c>
      <c r="B10693" s="787">
        <v>4</v>
      </c>
      <c r="C10693" s="787" t="s">
        <v>19091</v>
      </c>
      <c r="D10693" s="787">
        <v>2.52</v>
      </c>
      <c r="E10693" s="787">
        <v>167.14</v>
      </c>
      <c r="F10693" s="788">
        <v>41439</v>
      </c>
      <c r="G10693" s="788">
        <v>42013</v>
      </c>
      <c r="H10693" s="787">
        <v>1</v>
      </c>
      <c r="I10693" s="788">
        <v>42150</v>
      </c>
      <c r="J10693" s="788">
        <v>41954</v>
      </c>
      <c r="K10693" s="788">
        <v>42023</v>
      </c>
      <c r="L10693" s="787">
        <v>159.66999999999999</v>
      </c>
      <c r="M10693" s="787">
        <v>20</v>
      </c>
      <c r="N10693" s="787">
        <v>171.65</v>
      </c>
      <c r="O10693" s="788">
        <v>42146</v>
      </c>
    </row>
    <row r="10694" spans="1:15" x14ac:dyDescent="0.25">
      <c r="A10694" s="786" t="s">
        <v>19092</v>
      </c>
      <c r="B10694" s="787">
        <v>4</v>
      </c>
      <c r="C10694" s="787" t="s">
        <v>19093</v>
      </c>
      <c r="D10694" s="787">
        <v>0</v>
      </c>
      <c r="E10694" s="787">
        <v>0</v>
      </c>
      <c r="H10694" s="787">
        <v>6</v>
      </c>
      <c r="L10694" s="787">
        <v>1</v>
      </c>
      <c r="M10694" s="787">
        <v>10</v>
      </c>
      <c r="N10694" s="787">
        <v>628.20000000000005</v>
      </c>
      <c r="O10694" s="788">
        <v>41858</v>
      </c>
    </row>
    <row r="10695" spans="1:15" x14ac:dyDescent="0.25">
      <c r="A10695" s="786" t="s">
        <v>19094</v>
      </c>
      <c r="B10695" s="787">
        <v>4</v>
      </c>
      <c r="C10695" s="787" t="s">
        <v>19095</v>
      </c>
      <c r="D10695" s="787">
        <v>3.19</v>
      </c>
      <c r="E10695" s="787">
        <v>544.76</v>
      </c>
      <c r="F10695" s="788">
        <v>41855</v>
      </c>
      <c r="G10695" s="788">
        <v>42164</v>
      </c>
      <c r="H10695" s="787">
        <v>1</v>
      </c>
      <c r="I10695" s="788">
        <v>42093</v>
      </c>
      <c r="J10695" s="788">
        <v>42164</v>
      </c>
      <c r="L10695" s="787">
        <v>1</v>
      </c>
      <c r="M10695" s="787">
        <v>10</v>
      </c>
      <c r="N10695" s="787">
        <v>521.59</v>
      </c>
      <c r="O10695" s="788">
        <v>42127</v>
      </c>
    </row>
    <row r="10696" spans="1:15" x14ac:dyDescent="0.25">
      <c r="A10696" s="786" t="s">
        <v>19096</v>
      </c>
      <c r="B10696" s="787">
        <v>4</v>
      </c>
      <c r="C10696" s="787" t="s">
        <v>19097</v>
      </c>
      <c r="D10696" s="787">
        <v>0</v>
      </c>
      <c r="E10696" s="787">
        <v>0</v>
      </c>
      <c r="G10696" s="788">
        <v>41943</v>
      </c>
      <c r="H10696" s="787">
        <v>1</v>
      </c>
      <c r="L10696" s="787">
        <v>200</v>
      </c>
      <c r="M10696" s="787">
        <v>10</v>
      </c>
      <c r="N10696" s="787">
        <v>200</v>
      </c>
    </row>
    <row r="10697" spans="1:15" x14ac:dyDescent="0.25">
      <c r="A10697" s="786" t="s">
        <v>19098</v>
      </c>
      <c r="B10697" s="787">
        <v>4</v>
      </c>
      <c r="C10697" s="787" t="s">
        <v>19099</v>
      </c>
      <c r="D10697" s="787">
        <v>0</v>
      </c>
      <c r="E10697" s="787">
        <v>0</v>
      </c>
      <c r="G10697" s="788">
        <v>42017</v>
      </c>
      <c r="H10697" s="787">
        <v>1</v>
      </c>
      <c r="I10697" s="788">
        <v>41991</v>
      </c>
      <c r="J10697" s="788">
        <v>41991</v>
      </c>
      <c r="K10697" s="788">
        <v>41571</v>
      </c>
      <c r="L10697" s="787">
        <v>2.2999999999999998</v>
      </c>
      <c r="M10697" s="787">
        <v>20</v>
      </c>
      <c r="N10697" s="787">
        <v>2.4700000000000002</v>
      </c>
      <c r="O10697" s="788">
        <v>42146</v>
      </c>
    </row>
    <row r="10698" spans="1:15" x14ac:dyDescent="0.25">
      <c r="A10698" s="786" t="s">
        <v>19100</v>
      </c>
      <c r="B10698" s="787">
        <v>4</v>
      </c>
      <c r="C10698" s="787" t="s">
        <v>19101</v>
      </c>
      <c r="D10698" s="787">
        <v>0</v>
      </c>
      <c r="E10698" s="787">
        <v>0</v>
      </c>
      <c r="G10698" s="788">
        <v>42017</v>
      </c>
      <c r="H10698" s="787">
        <v>1</v>
      </c>
      <c r="I10698" s="788">
        <v>41983</v>
      </c>
      <c r="J10698" s="788">
        <v>41571</v>
      </c>
      <c r="K10698" s="788">
        <v>41571</v>
      </c>
      <c r="L10698" s="787">
        <v>2.2999999999999998</v>
      </c>
      <c r="M10698" s="787">
        <v>20</v>
      </c>
      <c r="N10698" s="787">
        <v>2.4700000000000002</v>
      </c>
      <c r="O10698" s="788">
        <v>42146</v>
      </c>
    </row>
    <row r="10699" spans="1:15" x14ac:dyDescent="0.25">
      <c r="A10699" s="786" t="s">
        <v>19102</v>
      </c>
      <c r="B10699" s="787">
        <v>4</v>
      </c>
      <c r="C10699" s="787" t="s">
        <v>19103</v>
      </c>
      <c r="D10699" s="787">
        <v>5.77</v>
      </c>
      <c r="E10699" s="787">
        <v>5.77</v>
      </c>
      <c r="F10699" s="788">
        <v>42156</v>
      </c>
      <c r="G10699" s="788">
        <v>42165</v>
      </c>
      <c r="H10699" s="787">
        <v>1</v>
      </c>
      <c r="I10699" s="788">
        <v>42166</v>
      </c>
      <c r="J10699" s="788">
        <v>42152</v>
      </c>
      <c r="K10699" s="788">
        <v>41372</v>
      </c>
      <c r="L10699" s="787">
        <v>12.41</v>
      </c>
      <c r="M10699" s="787">
        <v>10</v>
      </c>
      <c r="N10699" s="787">
        <v>6.57</v>
      </c>
      <c r="O10699" s="788">
        <v>42162</v>
      </c>
    </row>
    <row r="10700" spans="1:15" x14ac:dyDescent="0.25">
      <c r="A10700" s="786" t="s">
        <v>19104</v>
      </c>
      <c r="B10700" s="787">
        <v>4</v>
      </c>
      <c r="C10700" s="787" t="s">
        <v>19105</v>
      </c>
      <c r="D10700" s="787">
        <v>2.48</v>
      </c>
      <c r="E10700" s="787">
        <v>2.59</v>
      </c>
      <c r="F10700" s="788">
        <v>41247</v>
      </c>
      <c r="G10700" s="788">
        <v>42158</v>
      </c>
      <c r="H10700" s="787">
        <v>1</v>
      </c>
      <c r="I10700" s="788">
        <v>42166</v>
      </c>
      <c r="J10700" s="788">
        <v>42158</v>
      </c>
      <c r="K10700" s="788">
        <v>41372</v>
      </c>
      <c r="L10700" s="787">
        <v>3.84</v>
      </c>
      <c r="M10700" s="787">
        <v>10</v>
      </c>
      <c r="N10700" s="787">
        <v>3.34</v>
      </c>
      <c r="O10700" s="788">
        <v>42162</v>
      </c>
    </row>
    <row r="10701" spans="1:15" x14ac:dyDescent="0.25">
      <c r="A10701" s="786" t="s">
        <v>19106</v>
      </c>
      <c r="B10701" s="787">
        <v>4</v>
      </c>
      <c r="C10701" s="787" t="s">
        <v>19107</v>
      </c>
      <c r="D10701" s="787">
        <v>0</v>
      </c>
      <c r="E10701" s="787">
        <v>0</v>
      </c>
      <c r="G10701" s="788">
        <v>42017</v>
      </c>
      <c r="H10701" s="787">
        <v>1</v>
      </c>
      <c r="I10701" s="788">
        <v>41983</v>
      </c>
      <c r="J10701" s="788">
        <v>41571</v>
      </c>
      <c r="K10701" s="788">
        <v>41571</v>
      </c>
      <c r="L10701" s="787">
        <v>2.2999999999999998</v>
      </c>
      <c r="M10701" s="787">
        <v>20</v>
      </c>
      <c r="N10701" s="787">
        <v>2.4700000000000002</v>
      </c>
      <c r="O10701" s="788">
        <v>42146</v>
      </c>
    </row>
    <row r="10702" spans="1:15" x14ac:dyDescent="0.25">
      <c r="A10702" s="786" t="s">
        <v>19108</v>
      </c>
      <c r="B10702" s="787">
        <v>4</v>
      </c>
      <c r="C10702" s="787" t="s">
        <v>19109</v>
      </c>
      <c r="D10702" s="787">
        <v>4.16</v>
      </c>
      <c r="E10702" s="787">
        <v>214.16</v>
      </c>
      <c r="F10702" s="788">
        <v>41584</v>
      </c>
      <c r="G10702" s="788">
        <v>41590</v>
      </c>
      <c r="H10702" s="787">
        <v>1</v>
      </c>
      <c r="J10702" s="788">
        <v>41583</v>
      </c>
      <c r="K10702" s="788">
        <v>41575</v>
      </c>
      <c r="L10702" s="787">
        <v>208.69</v>
      </c>
      <c r="M10702" s="787">
        <v>20</v>
      </c>
      <c r="N10702" s="787">
        <v>224.34</v>
      </c>
      <c r="O10702" s="788">
        <v>41858</v>
      </c>
    </row>
    <row r="10703" spans="1:15" x14ac:dyDescent="0.25">
      <c r="A10703" s="786" t="s">
        <v>19110</v>
      </c>
      <c r="B10703" s="787">
        <v>4</v>
      </c>
      <c r="C10703" s="787" t="s">
        <v>19111</v>
      </c>
      <c r="D10703" s="787">
        <v>3.28</v>
      </c>
      <c r="E10703" s="787">
        <v>278.08</v>
      </c>
      <c r="F10703" s="788">
        <v>42122</v>
      </c>
      <c r="G10703" s="788">
        <v>42150</v>
      </c>
      <c r="H10703" s="787">
        <v>3</v>
      </c>
      <c r="I10703" s="788">
        <v>42118</v>
      </c>
      <c r="J10703" s="788">
        <v>42116</v>
      </c>
      <c r="K10703" s="788">
        <v>42024</v>
      </c>
      <c r="L10703" s="787">
        <v>291.75</v>
      </c>
      <c r="M10703" s="787">
        <v>10</v>
      </c>
      <c r="N10703" s="787">
        <v>295.47000000000003</v>
      </c>
      <c r="O10703" s="788">
        <v>42024</v>
      </c>
    </row>
    <row r="10704" spans="1:15" x14ac:dyDescent="0.25">
      <c r="A10704" s="786" t="s">
        <v>19112</v>
      </c>
      <c r="B10704" s="787">
        <v>4</v>
      </c>
      <c r="C10704" s="787" t="s">
        <v>19113</v>
      </c>
      <c r="D10704" s="787">
        <v>0</v>
      </c>
      <c r="E10704" s="787">
        <v>0</v>
      </c>
      <c r="H10704" s="787">
        <v>1</v>
      </c>
      <c r="K10704" s="788">
        <v>42061</v>
      </c>
      <c r="L10704" s="787">
        <v>600</v>
      </c>
      <c r="M10704" s="787">
        <v>10</v>
      </c>
      <c r="N10704" s="787">
        <v>539.46</v>
      </c>
      <c r="O10704" s="788">
        <v>42061</v>
      </c>
    </row>
    <row r="10705" spans="1:15" x14ac:dyDescent="0.25">
      <c r="A10705" s="786" t="s">
        <v>19114</v>
      </c>
      <c r="B10705" s="787">
        <v>4</v>
      </c>
      <c r="C10705" s="787" t="s">
        <v>19115</v>
      </c>
      <c r="D10705" s="787">
        <v>2.08</v>
      </c>
      <c r="E10705" s="789">
        <v>2092.4299999999998</v>
      </c>
      <c r="F10705" s="788">
        <v>41806</v>
      </c>
      <c r="G10705" s="788">
        <v>41906</v>
      </c>
      <c r="H10705" s="787">
        <v>1</v>
      </c>
      <c r="I10705" s="788">
        <v>41869</v>
      </c>
      <c r="J10705" s="788">
        <v>41866</v>
      </c>
      <c r="L10705" s="787">
        <v>250</v>
      </c>
      <c r="M10705" s="787">
        <v>10</v>
      </c>
      <c r="N10705" s="787">
        <v>262.74</v>
      </c>
      <c r="O10705" s="788">
        <v>41858</v>
      </c>
    </row>
    <row r="10706" spans="1:15" x14ac:dyDescent="0.25">
      <c r="A10706" s="786" t="s">
        <v>19116</v>
      </c>
      <c r="B10706" s="787">
        <v>4</v>
      </c>
      <c r="C10706" s="787" t="s">
        <v>19117</v>
      </c>
      <c r="D10706" s="787">
        <v>0</v>
      </c>
      <c r="E10706" s="787">
        <v>0</v>
      </c>
      <c r="H10706" s="787">
        <v>1</v>
      </c>
      <c r="L10706" s="787">
        <v>1</v>
      </c>
      <c r="M10706" s="787">
        <v>40</v>
      </c>
      <c r="N10706" s="787">
        <v>1.08</v>
      </c>
      <c r="O10706" s="788">
        <v>41858</v>
      </c>
    </row>
    <row r="10707" spans="1:15" x14ac:dyDescent="0.25">
      <c r="A10707" s="786" t="s">
        <v>19118</v>
      </c>
      <c r="B10707" s="787">
        <v>4</v>
      </c>
      <c r="C10707" s="787" t="s">
        <v>19119</v>
      </c>
      <c r="D10707" s="787">
        <v>0</v>
      </c>
      <c r="E10707" s="787">
        <v>0</v>
      </c>
      <c r="H10707" s="787">
        <v>1</v>
      </c>
      <c r="K10707" s="788">
        <v>41495</v>
      </c>
      <c r="L10707" s="787">
        <v>2.82</v>
      </c>
      <c r="M10707" s="787">
        <v>20</v>
      </c>
      <c r="N10707" s="787">
        <v>3.03</v>
      </c>
      <c r="O10707" s="788">
        <v>41858</v>
      </c>
    </row>
    <row r="10708" spans="1:15" x14ac:dyDescent="0.25">
      <c r="A10708" s="786" t="s">
        <v>19120</v>
      </c>
      <c r="B10708" s="787">
        <v>4</v>
      </c>
      <c r="C10708" s="787" t="s">
        <v>19121</v>
      </c>
      <c r="D10708" s="787">
        <v>1.07</v>
      </c>
      <c r="E10708" s="787">
        <v>71.069999999999993</v>
      </c>
      <c r="F10708" s="788">
        <v>37287</v>
      </c>
      <c r="G10708" s="788">
        <v>37287</v>
      </c>
      <c r="H10708" s="787">
        <v>1</v>
      </c>
      <c r="I10708" s="788">
        <v>36979</v>
      </c>
      <c r="J10708" s="788">
        <v>37287</v>
      </c>
      <c r="L10708" s="787">
        <v>77.47</v>
      </c>
      <c r="M10708" s="787">
        <v>20</v>
      </c>
      <c r="N10708" s="787">
        <v>83.28</v>
      </c>
      <c r="O10708" s="788">
        <v>41858</v>
      </c>
    </row>
    <row r="10709" spans="1:15" x14ac:dyDescent="0.25">
      <c r="A10709" s="786" t="s">
        <v>19122</v>
      </c>
      <c r="B10709" s="787">
        <v>4</v>
      </c>
      <c r="C10709" s="787" t="s">
        <v>19123</v>
      </c>
      <c r="D10709" s="787">
        <v>2</v>
      </c>
      <c r="E10709" s="787">
        <v>2.21</v>
      </c>
      <c r="F10709" s="788">
        <v>39755</v>
      </c>
      <c r="G10709" s="788">
        <v>42013</v>
      </c>
      <c r="H10709" s="787">
        <v>1</v>
      </c>
      <c r="I10709" s="788">
        <v>42165</v>
      </c>
      <c r="J10709" s="788">
        <v>41719</v>
      </c>
      <c r="K10709" s="788">
        <v>41716</v>
      </c>
      <c r="L10709" s="787">
        <v>2.1</v>
      </c>
      <c r="M10709" s="787">
        <v>20</v>
      </c>
      <c r="N10709" s="787">
        <v>2.2599999999999998</v>
      </c>
      <c r="O10709" s="788">
        <v>42136</v>
      </c>
    </row>
    <row r="10710" spans="1:15" x14ac:dyDescent="0.25">
      <c r="A10710" s="786" t="s">
        <v>19124</v>
      </c>
      <c r="B10710" s="787">
        <v>4</v>
      </c>
      <c r="C10710" s="787" t="s">
        <v>19125</v>
      </c>
      <c r="D10710" s="787">
        <v>1.43</v>
      </c>
      <c r="E10710" s="787">
        <v>1.44</v>
      </c>
      <c r="F10710" s="788">
        <v>40183</v>
      </c>
      <c r="G10710" s="788">
        <v>42013</v>
      </c>
      <c r="H10710" s="787">
        <v>1</v>
      </c>
      <c r="I10710" s="788">
        <v>42166</v>
      </c>
      <c r="J10710" s="788">
        <v>40731</v>
      </c>
      <c r="L10710" s="787">
        <v>1.44</v>
      </c>
      <c r="M10710" s="787">
        <v>20</v>
      </c>
      <c r="N10710" s="787">
        <v>1.55</v>
      </c>
      <c r="O10710" s="788">
        <v>42136</v>
      </c>
    </row>
    <row r="10711" spans="1:15" x14ac:dyDescent="0.25">
      <c r="A10711" s="786" t="s">
        <v>19126</v>
      </c>
      <c r="B10711" s="787">
        <v>4</v>
      </c>
      <c r="C10711" s="787" t="s">
        <v>19127</v>
      </c>
      <c r="D10711" s="787">
        <v>0.39</v>
      </c>
      <c r="E10711" s="787">
        <v>0.47</v>
      </c>
      <c r="F10711" s="788">
        <v>39748</v>
      </c>
      <c r="G10711" s="788">
        <v>42013</v>
      </c>
      <c r="H10711" s="787">
        <v>1</v>
      </c>
      <c r="I10711" s="788">
        <v>41081</v>
      </c>
      <c r="J10711" s="788">
        <v>41142</v>
      </c>
      <c r="L10711" s="787">
        <v>0.47</v>
      </c>
      <c r="M10711" s="787">
        <v>20</v>
      </c>
      <c r="N10711" s="787">
        <v>0.51</v>
      </c>
      <c r="O10711" s="788">
        <v>41858</v>
      </c>
    </row>
    <row r="10712" spans="1:15" x14ac:dyDescent="0.25">
      <c r="A10712" s="786" t="s">
        <v>19128</v>
      </c>
      <c r="B10712" s="787">
        <v>4</v>
      </c>
      <c r="C10712" s="787" t="s">
        <v>19129</v>
      </c>
      <c r="D10712" s="787">
        <v>7.7</v>
      </c>
      <c r="E10712" s="787">
        <v>19</v>
      </c>
      <c r="F10712" s="788">
        <v>40016</v>
      </c>
      <c r="G10712" s="788">
        <v>42086</v>
      </c>
      <c r="H10712" s="787">
        <v>1</v>
      </c>
      <c r="I10712" s="788">
        <v>42159</v>
      </c>
      <c r="J10712" s="788">
        <v>42075</v>
      </c>
      <c r="K10712" s="788">
        <v>41486</v>
      </c>
      <c r="L10712" s="787">
        <v>18.61</v>
      </c>
      <c r="M10712" s="787">
        <v>20</v>
      </c>
      <c r="N10712" s="787">
        <v>20.010000000000002</v>
      </c>
      <c r="O10712" s="788">
        <v>42146</v>
      </c>
    </row>
    <row r="10713" spans="1:15" x14ac:dyDescent="0.25">
      <c r="A10713" s="786" t="s">
        <v>19130</v>
      </c>
      <c r="B10713" s="787">
        <v>4</v>
      </c>
      <c r="C10713" s="787" t="s">
        <v>19131</v>
      </c>
      <c r="D10713" s="787">
        <v>5.59</v>
      </c>
      <c r="E10713" s="787">
        <v>16.489999999999998</v>
      </c>
      <c r="F10713" s="788">
        <v>40016</v>
      </c>
      <c r="G10713" s="788">
        <v>42093</v>
      </c>
      <c r="H10713" s="787">
        <v>1</v>
      </c>
      <c r="I10713" s="788">
        <v>42109</v>
      </c>
      <c r="J10713" s="788">
        <v>42093</v>
      </c>
      <c r="K10713" s="788">
        <v>41486</v>
      </c>
      <c r="L10713" s="787">
        <v>16.39</v>
      </c>
      <c r="M10713" s="787">
        <v>20</v>
      </c>
      <c r="N10713" s="787">
        <v>17.62</v>
      </c>
      <c r="O10713" s="788">
        <v>42146</v>
      </c>
    </row>
    <row r="10714" spans="1:15" x14ac:dyDescent="0.25">
      <c r="A10714" s="786" t="s">
        <v>19132</v>
      </c>
      <c r="B10714" s="787">
        <v>4</v>
      </c>
      <c r="C10714" s="787" t="s">
        <v>19133</v>
      </c>
      <c r="D10714" s="787">
        <v>1.71</v>
      </c>
      <c r="E10714" s="787">
        <v>1.81</v>
      </c>
      <c r="F10714" s="788">
        <v>40329</v>
      </c>
      <c r="G10714" s="788">
        <v>42013</v>
      </c>
      <c r="H10714" s="787">
        <v>1</v>
      </c>
      <c r="J10714" s="788">
        <v>41330</v>
      </c>
      <c r="K10714" s="788">
        <v>41137</v>
      </c>
      <c r="L10714" s="787">
        <v>1.81</v>
      </c>
      <c r="M10714" s="787">
        <v>20</v>
      </c>
      <c r="N10714" s="787">
        <v>1.95</v>
      </c>
      <c r="O10714" s="788">
        <v>41858</v>
      </c>
    </row>
    <row r="10715" spans="1:15" x14ac:dyDescent="0.25">
      <c r="A10715" s="786" t="s">
        <v>19134</v>
      </c>
      <c r="B10715" s="787">
        <v>4</v>
      </c>
      <c r="C10715" s="787" t="s">
        <v>19135</v>
      </c>
      <c r="D10715" s="787">
        <v>0</v>
      </c>
      <c r="E10715" s="787">
        <v>250</v>
      </c>
      <c r="F10715" s="788">
        <v>37649</v>
      </c>
      <c r="G10715" s="788">
        <v>37649</v>
      </c>
      <c r="H10715" s="787">
        <v>1</v>
      </c>
      <c r="I10715" s="788">
        <v>38519</v>
      </c>
      <c r="J10715" s="788">
        <v>37649</v>
      </c>
      <c r="L10715" s="787">
        <v>272.5</v>
      </c>
      <c r="M10715" s="787">
        <v>20</v>
      </c>
      <c r="N10715" s="787">
        <v>292.94</v>
      </c>
      <c r="O10715" s="788">
        <v>41858</v>
      </c>
    </row>
    <row r="10716" spans="1:15" x14ac:dyDescent="0.25">
      <c r="A10716" s="786" t="s">
        <v>19136</v>
      </c>
      <c r="B10716" s="787">
        <v>4</v>
      </c>
      <c r="C10716" s="787" t="s">
        <v>19137</v>
      </c>
      <c r="D10716" s="787">
        <v>1.23</v>
      </c>
      <c r="E10716" s="787">
        <v>20.52</v>
      </c>
      <c r="F10716" s="788">
        <v>41218</v>
      </c>
      <c r="G10716" s="788">
        <v>42158</v>
      </c>
      <c r="H10716" s="787">
        <v>1</v>
      </c>
      <c r="I10716" s="788">
        <v>42164</v>
      </c>
      <c r="J10716" s="788">
        <v>42110</v>
      </c>
      <c r="K10716" s="788">
        <v>41387</v>
      </c>
      <c r="L10716" s="787">
        <v>21.44</v>
      </c>
      <c r="M10716" s="787">
        <v>10</v>
      </c>
      <c r="N10716" s="787">
        <v>20.81</v>
      </c>
      <c r="O10716" s="788">
        <v>42146</v>
      </c>
    </row>
    <row r="10717" spans="1:15" x14ac:dyDescent="0.25">
      <c r="A10717" s="786" t="s">
        <v>19138</v>
      </c>
      <c r="B10717" s="787">
        <v>4</v>
      </c>
      <c r="C10717" s="787" t="s">
        <v>19139</v>
      </c>
      <c r="D10717" s="787">
        <v>7.98</v>
      </c>
      <c r="E10717" s="787">
        <v>17.98</v>
      </c>
      <c r="F10717" s="788">
        <v>42158</v>
      </c>
      <c r="G10717" s="788">
        <v>42158</v>
      </c>
      <c r="H10717" s="787">
        <v>1</v>
      </c>
      <c r="I10717" s="788">
        <v>42164</v>
      </c>
      <c r="J10717" s="788">
        <v>42109</v>
      </c>
      <c r="K10717" s="788">
        <v>40984</v>
      </c>
      <c r="L10717" s="787">
        <v>18.38</v>
      </c>
      <c r="M10717" s="787">
        <v>10</v>
      </c>
      <c r="N10717" s="787">
        <v>18.420000000000002</v>
      </c>
      <c r="O10717" s="788">
        <v>42146</v>
      </c>
    </row>
    <row r="10718" spans="1:15" x14ac:dyDescent="0.25">
      <c r="A10718" s="786" t="s">
        <v>19140</v>
      </c>
      <c r="B10718" s="787">
        <v>4</v>
      </c>
      <c r="C10718" s="787" t="s">
        <v>19141</v>
      </c>
      <c r="D10718" s="787">
        <v>3.26</v>
      </c>
      <c r="E10718" s="787">
        <v>203.26</v>
      </c>
      <c r="F10718" s="788">
        <v>42054</v>
      </c>
      <c r="G10718" s="788">
        <v>42054</v>
      </c>
      <c r="H10718" s="787">
        <v>1</v>
      </c>
      <c r="I10718" s="788">
        <v>42024</v>
      </c>
      <c r="J10718" s="788">
        <v>42023</v>
      </c>
      <c r="K10718" s="788">
        <v>42023</v>
      </c>
      <c r="L10718" s="787">
        <v>196.18</v>
      </c>
      <c r="M10718" s="787">
        <v>10</v>
      </c>
      <c r="N10718" s="787">
        <v>196.18</v>
      </c>
      <c r="O10718" s="788">
        <v>42024</v>
      </c>
    </row>
    <row r="10719" spans="1:15" x14ac:dyDescent="0.25">
      <c r="A10719" s="786" t="s">
        <v>19142</v>
      </c>
      <c r="B10719" s="787">
        <v>4</v>
      </c>
      <c r="C10719" s="787" t="s">
        <v>19143</v>
      </c>
      <c r="D10719" s="787">
        <v>1.05</v>
      </c>
      <c r="E10719" s="787">
        <v>71.05</v>
      </c>
      <c r="F10719" s="788">
        <v>37287</v>
      </c>
      <c r="G10719" s="788">
        <v>37287</v>
      </c>
      <c r="H10719" s="787">
        <v>1</v>
      </c>
      <c r="J10719" s="788">
        <v>37287</v>
      </c>
      <c r="L10719" s="787">
        <v>77.44</v>
      </c>
      <c r="M10719" s="787">
        <v>20</v>
      </c>
      <c r="N10719" s="787">
        <v>83.25</v>
      </c>
      <c r="O10719" s="788">
        <v>41858</v>
      </c>
    </row>
    <row r="10720" spans="1:15" x14ac:dyDescent="0.25">
      <c r="A10720" s="786" t="s">
        <v>19144</v>
      </c>
      <c r="B10720" s="787">
        <v>4</v>
      </c>
      <c r="C10720" s="787" t="s">
        <v>19145</v>
      </c>
      <c r="D10720" s="787">
        <v>0</v>
      </c>
      <c r="E10720" s="787">
        <v>0</v>
      </c>
      <c r="H10720" s="787">
        <v>1</v>
      </c>
      <c r="I10720" s="788">
        <v>38344</v>
      </c>
      <c r="J10720" s="788">
        <v>37287</v>
      </c>
      <c r="L10720" s="787">
        <v>0</v>
      </c>
      <c r="M10720" s="787">
        <v>20</v>
      </c>
      <c r="N10720" s="787">
        <v>0</v>
      </c>
      <c r="O10720" s="788">
        <v>40824</v>
      </c>
    </row>
    <row r="10721" spans="1:15" x14ac:dyDescent="0.25">
      <c r="A10721" s="786" t="s">
        <v>19146</v>
      </c>
      <c r="B10721" s="787">
        <v>4</v>
      </c>
      <c r="C10721" s="787" t="s">
        <v>19147</v>
      </c>
      <c r="D10721" s="787">
        <v>0</v>
      </c>
      <c r="E10721" s="787">
        <v>0</v>
      </c>
      <c r="H10721" s="787">
        <v>1</v>
      </c>
      <c r="L10721" s="787">
        <v>150</v>
      </c>
      <c r="M10721" s="787">
        <v>10</v>
      </c>
      <c r="N10721" s="787">
        <v>174.15</v>
      </c>
      <c r="O10721" s="788">
        <v>41886</v>
      </c>
    </row>
    <row r="10722" spans="1:15" x14ac:dyDescent="0.25">
      <c r="A10722" s="786" t="s">
        <v>19148</v>
      </c>
      <c r="B10722" s="787">
        <v>4</v>
      </c>
      <c r="C10722" s="787" t="s">
        <v>19149</v>
      </c>
      <c r="D10722" s="787">
        <v>3.93</v>
      </c>
      <c r="E10722" s="787">
        <v>253.84</v>
      </c>
      <c r="F10722" s="788">
        <v>41813</v>
      </c>
      <c r="G10722" s="788">
        <v>41913</v>
      </c>
      <c r="H10722" s="787">
        <v>1</v>
      </c>
      <c r="I10722" s="788">
        <v>41885</v>
      </c>
      <c r="J10722" s="788">
        <v>41885</v>
      </c>
      <c r="K10722" s="788">
        <v>41885</v>
      </c>
      <c r="L10722" s="787">
        <v>257.76</v>
      </c>
      <c r="M10722" s="787">
        <v>10</v>
      </c>
      <c r="N10722" s="787">
        <v>227.62</v>
      </c>
      <c r="O10722" s="788">
        <v>42040</v>
      </c>
    </row>
    <row r="10723" spans="1:15" x14ac:dyDescent="0.25">
      <c r="A10723" s="786" t="s">
        <v>19150</v>
      </c>
      <c r="B10723" s="787">
        <v>4</v>
      </c>
      <c r="C10723" s="787" t="s">
        <v>19151</v>
      </c>
      <c r="D10723" s="787">
        <v>1.97</v>
      </c>
      <c r="E10723" s="787">
        <v>298.44</v>
      </c>
      <c r="F10723" s="788">
        <v>41813</v>
      </c>
      <c r="G10723" s="788">
        <v>42142</v>
      </c>
      <c r="H10723" s="787">
        <v>1</v>
      </c>
      <c r="I10723" s="788">
        <v>42142</v>
      </c>
      <c r="J10723" s="788">
        <v>42142</v>
      </c>
      <c r="L10723" s="787">
        <v>250</v>
      </c>
      <c r="M10723" s="787">
        <v>10</v>
      </c>
      <c r="N10723" s="787">
        <v>268.47000000000003</v>
      </c>
      <c r="O10723" s="788">
        <v>42079</v>
      </c>
    </row>
    <row r="10724" spans="1:15" x14ac:dyDescent="0.25">
      <c r="A10724" s="786" t="s">
        <v>19152</v>
      </c>
      <c r="B10724" s="787">
        <v>4</v>
      </c>
      <c r="C10724" s="787" t="s">
        <v>19153</v>
      </c>
      <c r="D10724" s="787">
        <v>0</v>
      </c>
      <c r="E10724" s="787">
        <v>0</v>
      </c>
      <c r="H10724" s="787">
        <v>1</v>
      </c>
      <c r="L10724" s="787">
        <v>150</v>
      </c>
      <c r="M10724" s="787">
        <v>10</v>
      </c>
      <c r="N10724" s="787">
        <v>174.41</v>
      </c>
      <c r="O10724" s="788">
        <v>41886</v>
      </c>
    </row>
    <row r="10725" spans="1:15" x14ac:dyDescent="0.25">
      <c r="A10725" s="786" t="s">
        <v>19154</v>
      </c>
      <c r="B10725" s="787">
        <v>4</v>
      </c>
      <c r="C10725" s="787" t="s">
        <v>19155</v>
      </c>
      <c r="D10725" s="787">
        <v>3.59</v>
      </c>
      <c r="E10725" s="787">
        <v>213.59</v>
      </c>
      <c r="F10725" s="788">
        <v>41775</v>
      </c>
      <c r="G10725" s="788">
        <v>41775</v>
      </c>
      <c r="H10725" s="787">
        <v>1</v>
      </c>
      <c r="I10725" s="788">
        <v>41660</v>
      </c>
      <c r="J10725" s="788">
        <v>41655</v>
      </c>
      <c r="L10725" s="787">
        <v>200</v>
      </c>
      <c r="M10725" s="787">
        <v>10</v>
      </c>
      <c r="N10725" s="787">
        <v>227.88</v>
      </c>
      <c r="O10725" s="788">
        <v>42040</v>
      </c>
    </row>
    <row r="10726" spans="1:15" x14ac:dyDescent="0.25">
      <c r="A10726" s="786" t="s">
        <v>19156</v>
      </c>
      <c r="B10726" s="787">
        <v>4</v>
      </c>
      <c r="C10726" s="787" t="s">
        <v>19157</v>
      </c>
      <c r="D10726" s="787">
        <v>3.93</v>
      </c>
      <c r="E10726" s="787">
        <v>262.83999999999997</v>
      </c>
      <c r="F10726" s="788">
        <v>41813</v>
      </c>
      <c r="G10726" s="788">
        <v>41996</v>
      </c>
      <c r="H10726" s="787">
        <v>1</v>
      </c>
      <c r="I10726" s="788">
        <v>41981</v>
      </c>
      <c r="J10726" s="788">
        <v>41982</v>
      </c>
      <c r="L10726" s="787">
        <v>250</v>
      </c>
      <c r="M10726" s="787">
        <v>10</v>
      </c>
      <c r="N10726" s="787">
        <v>268.73</v>
      </c>
      <c r="O10726" s="788">
        <v>42128</v>
      </c>
    </row>
    <row r="10727" spans="1:15" x14ac:dyDescent="0.25">
      <c r="A10727" s="786" t="s">
        <v>19158</v>
      </c>
      <c r="B10727" s="787">
        <v>4</v>
      </c>
      <c r="C10727" s="787" t="s">
        <v>19159</v>
      </c>
      <c r="D10727" s="787">
        <v>9.2799999999999994</v>
      </c>
      <c r="E10727" s="787">
        <v>690.27</v>
      </c>
      <c r="F10727" s="788">
        <v>41775</v>
      </c>
      <c r="G10727" s="788">
        <v>41927</v>
      </c>
      <c r="H10727" s="787">
        <v>1</v>
      </c>
      <c r="I10727" s="788">
        <v>41912</v>
      </c>
      <c r="J10727" s="788">
        <v>41906</v>
      </c>
      <c r="L10727" s="787">
        <v>250</v>
      </c>
      <c r="M10727" s="787">
        <v>10</v>
      </c>
      <c r="N10727" s="787">
        <v>530.77</v>
      </c>
      <c r="O10727" s="788">
        <v>42127</v>
      </c>
    </row>
    <row r="10728" spans="1:15" x14ac:dyDescent="0.25">
      <c r="A10728" s="786" t="s">
        <v>19160</v>
      </c>
      <c r="B10728" s="787">
        <v>4</v>
      </c>
      <c r="C10728" s="787" t="s">
        <v>19161</v>
      </c>
      <c r="D10728" s="787">
        <v>8.1999999999999993</v>
      </c>
      <c r="E10728" s="787">
        <v>68.2</v>
      </c>
      <c r="F10728" s="788">
        <v>42086</v>
      </c>
      <c r="G10728" s="788">
        <v>42091</v>
      </c>
      <c r="H10728" s="787">
        <v>1</v>
      </c>
      <c r="I10728" s="788">
        <v>42093</v>
      </c>
      <c r="J10728" s="788">
        <v>42093</v>
      </c>
      <c r="K10728" s="788">
        <v>42079</v>
      </c>
      <c r="L10728" s="787">
        <v>68.58</v>
      </c>
      <c r="M10728" s="787">
        <v>20</v>
      </c>
      <c r="N10728" s="787">
        <v>73.72</v>
      </c>
      <c r="O10728" s="788">
        <v>42079</v>
      </c>
    </row>
    <row r="10729" spans="1:15" x14ac:dyDescent="0.25">
      <c r="A10729" s="786" t="s">
        <v>19162</v>
      </c>
      <c r="B10729" s="787">
        <v>4</v>
      </c>
      <c r="C10729" s="787" t="s">
        <v>19163</v>
      </c>
      <c r="D10729" s="787">
        <v>7.82</v>
      </c>
      <c r="E10729" s="787">
        <v>107.82</v>
      </c>
      <c r="F10729" s="788">
        <v>42048</v>
      </c>
      <c r="G10729" s="788">
        <v>42050</v>
      </c>
      <c r="H10729" s="787">
        <v>1</v>
      </c>
      <c r="I10729" s="788">
        <v>42045</v>
      </c>
      <c r="J10729" s="788">
        <v>42045</v>
      </c>
      <c r="K10729" s="788">
        <v>42034</v>
      </c>
      <c r="L10729" s="787">
        <v>104.32</v>
      </c>
      <c r="M10729" s="787">
        <v>20</v>
      </c>
      <c r="N10729" s="787">
        <v>112.14</v>
      </c>
      <c r="O10729" s="788">
        <v>42035</v>
      </c>
    </row>
    <row r="10730" spans="1:15" x14ac:dyDescent="0.25">
      <c r="A10730" s="786" t="s">
        <v>19164</v>
      </c>
      <c r="B10730" s="787">
        <v>4</v>
      </c>
      <c r="C10730" s="787" t="s">
        <v>19165</v>
      </c>
      <c r="D10730" s="787">
        <v>4.58</v>
      </c>
      <c r="E10730" s="787">
        <v>204.58</v>
      </c>
      <c r="F10730" s="788">
        <v>41948</v>
      </c>
      <c r="G10730" s="788">
        <v>41948</v>
      </c>
      <c r="H10730" s="787">
        <v>1</v>
      </c>
      <c r="I10730" s="788">
        <v>41928</v>
      </c>
      <c r="J10730" s="788">
        <v>41928</v>
      </c>
      <c r="K10730" s="788">
        <v>41928</v>
      </c>
      <c r="L10730" s="787">
        <v>305.20999999999998</v>
      </c>
      <c r="M10730" s="787">
        <v>10</v>
      </c>
      <c r="N10730" s="787">
        <v>231.22</v>
      </c>
      <c r="O10730" s="788">
        <v>41989</v>
      </c>
    </row>
    <row r="10731" spans="1:15" x14ac:dyDescent="0.25">
      <c r="A10731" s="786" t="s">
        <v>19166</v>
      </c>
      <c r="B10731" s="787">
        <v>4</v>
      </c>
      <c r="C10731" s="787" t="s">
        <v>19167</v>
      </c>
      <c r="D10731" s="787">
        <v>2.36</v>
      </c>
      <c r="E10731" s="787">
        <v>152.36000000000001</v>
      </c>
      <c r="F10731" s="788">
        <v>42072</v>
      </c>
      <c r="G10731" s="788">
        <v>42091</v>
      </c>
      <c r="H10731" s="787">
        <v>1</v>
      </c>
      <c r="J10731" s="788">
        <v>42072</v>
      </c>
      <c r="K10731" s="788">
        <v>41929</v>
      </c>
      <c r="L10731" s="787">
        <v>152</v>
      </c>
      <c r="M10731" s="787">
        <v>20</v>
      </c>
      <c r="N10731" s="787">
        <v>163.4</v>
      </c>
      <c r="O10731" s="788">
        <v>41929</v>
      </c>
    </row>
    <row r="10732" spans="1:15" x14ac:dyDescent="0.25">
      <c r="A10732" s="786" t="s">
        <v>19168</v>
      </c>
      <c r="B10732" s="787">
        <v>4</v>
      </c>
      <c r="C10732" s="787" t="s">
        <v>19169</v>
      </c>
      <c r="D10732" s="787">
        <v>3.26</v>
      </c>
      <c r="E10732" s="787">
        <v>183.26</v>
      </c>
      <c r="F10732" s="788">
        <v>42072</v>
      </c>
      <c r="G10732" s="788">
        <v>42091</v>
      </c>
      <c r="H10732" s="787">
        <v>1</v>
      </c>
      <c r="J10732" s="788">
        <v>42072</v>
      </c>
      <c r="K10732" s="788">
        <v>41929</v>
      </c>
      <c r="L10732" s="787">
        <v>182.82</v>
      </c>
      <c r="M10732" s="787">
        <v>20</v>
      </c>
      <c r="N10732" s="787">
        <v>196.53</v>
      </c>
      <c r="O10732" s="788">
        <v>41929</v>
      </c>
    </row>
    <row r="10733" spans="1:15" x14ac:dyDescent="0.25">
      <c r="A10733" s="786" t="s">
        <v>19170</v>
      </c>
      <c r="B10733" s="787">
        <v>4</v>
      </c>
      <c r="C10733" s="787" t="s">
        <v>19171</v>
      </c>
      <c r="D10733" s="787">
        <v>1.77</v>
      </c>
      <c r="E10733" s="787">
        <v>221.77</v>
      </c>
      <c r="F10733" s="788">
        <v>42091</v>
      </c>
      <c r="G10733" s="788">
        <v>42091</v>
      </c>
      <c r="H10733" s="787">
        <v>1</v>
      </c>
      <c r="I10733" s="788">
        <v>42144</v>
      </c>
      <c r="J10733" s="788">
        <v>42076</v>
      </c>
      <c r="K10733" s="788">
        <v>41929</v>
      </c>
      <c r="L10733" s="787">
        <v>220.82</v>
      </c>
      <c r="M10733" s="787">
        <v>20</v>
      </c>
      <c r="N10733" s="787">
        <v>237.38</v>
      </c>
      <c r="O10733" s="788">
        <v>41929</v>
      </c>
    </row>
    <row r="10734" spans="1:15" x14ac:dyDescent="0.25">
      <c r="A10734" s="786" t="s">
        <v>19172</v>
      </c>
      <c r="B10734" s="787">
        <v>4</v>
      </c>
      <c r="C10734" s="787" t="s">
        <v>19173</v>
      </c>
      <c r="D10734" s="787">
        <v>0</v>
      </c>
      <c r="E10734" s="787">
        <v>0</v>
      </c>
      <c r="H10734" s="787">
        <v>1</v>
      </c>
      <c r="L10734" s="787">
        <v>250</v>
      </c>
      <c r="M10734" s="787">
        <v>10</v>
      </c>
      <c r="N10734" s="787">
        <v>318.51</v>
      </c>
      <c r="O10734" s="788">
        <v>41858</v>
      </c>
    </row>
    <row r="10735" spans="1:15" x14ac:dyDescent="0.25">
      <c r="A10735" s="786" t="s">
        <v>19174</v>
      </c>
      <c r="B10735" s="787">
        <v>4</v>
      </c>
      <c r="C10735" s="787" t="s">
        <v>19175</v>
      </c>
      <c r="D10735" s="787">
        <v>0</v>
      </c>
      <c r="E10735" s="787">
        <v>0</v>
      </c>
      <c r="H10735" s="787">
        <v>6</v>
      </c>
      <c r="K10735" s="788">
        <v>41977</v>
      </c>
      <c r="L10735" s="787">
        <v>65</v>
      </c>
      <c r="M10735" s="787">
        <v>20</v>
      </c>
      <c r="N10735" s="787">
        <v>0</v>
      </c>
    </row>
    <row r="10736" spans="1:15" x14ac:dyDescent="0.25">
      <c r="A10736" s="786" t="s">
        <v>19176</v>
      </c>
      <c r="B10736" s="787">
        <v>4</v>
      </c>
      <c r="C10736" s="787" t="s">
        <v>19177</v>
      </c>
      <c r="D10736" s="787">
        <v>7.82</v>
      </c>
      <c r="E10736" s="787">
        <v>7.82</v>
      </c>
      <c r="F10736" s="788">
        <v>37287</v>
      </c>
      <c r="G10736" s="788">
        <v>37287</v>
      </c>
      <c r="H10736" s="787">
        <v>1</v>
      </c>
      <c r="I10736" s="788">
        <v>40032</v>
      </c>
      <c r="J10736" s="788">
        <v>37287</v>
      </c>
      <c r="L10736" s="787">
        <v>8.52</v>
      </c>
      <c r="M10736" s="787">
        <v>20</v>
      </c>
      <c r="N10736" s="787">
        <v>9.16</v>
      </c>
      <c r="O10736" s="788">
        <v>42127</v>
      </c>
    </row>
    <row r="10737" spans="1:15" x14ac:dyDescent="0.25">
      <c r="A10737" s="786" t="s">
        <v>19178</v>
      </c>
      <c r="B10737" s="787">
        <v>4</v>
      </c>
      <c r="C10737" s="787" t="s">
        <v>19179</v>
      </c>
      <c r="D10737" s="787">
        <v>3.71</v>
      </c>
      <c r="E10737" s="787">
        <v>513.71</v>
      </c>
      <c r="F10737" s="788">
        <v>37287</v>
      </c>
      <c r="G10737" s="788">
        <v>37287</v>
      </c>
      <c r="H10737" s="787">
        <v>1</v>
      </c>
      <c r="I10737" s="788">
        <v>38709</v>
      </c>
      <c r="J10737" s="788">
        <v>37287</v>
      </c>
      <c r="L10737" s="787">
        <v>340.8</v>
      </c>
      <c r="M10737" s="787">
        <v>10</v>
      </c>
      <c r="N10737" s="787">
        <v>622.02</v>
      </c>
      <c r="O10737" s="788">
        <v>42144</v>
      </c>
    </row>
    <row r="10738" spans="1:15" x14ac:dyDescent="0.25">
      <c r="A10738" s="786" t="s">
        <v>19180</v>
      </c>
      <c r="B10738" s="787">
        <v>4</v>
      </c>
      <c r="C10738" s="787" t="s">
        <v>19181</v>
      </c>
      <c r="D10738" s="787">
        <v>1.1499999999999999</v>
      </c>
      <c r="E10738" s="787">
        <v>491.15</v>
      </c>
      <c r="F10738" s="788">
        <v>37287</v>
      </c>
      <c r="G10738" s="788">
        <v>37287</v>
      </c>
      <c r="H10738" s="787">
        <v>1</v>
      </c>
      <c r="I10738" s="788">
        <v>38709</v>
      </c>
      <c r="J10738" s="788">
        <v>37287</v>
      </c>
      <c r="L10738" s="787">
        <v>584.16</v>
      </c>
      <c r="M10738" s="787">
        <v>10</v>
      </c>
      <c r="N10738" s="787">
        <v>613.54999999999995</v>
      </c>
      <c r="O10738" s="788">
        <v>42144</v>
      </c>
    </row>
    <row r="10739" spans="1:15" x14ac:dyDescent="0.25">
      <c r="A10739" s="786" t="s">
        <v>19182</v>
      </c>
      <c r="B10739" s="787">
        <v>4</v>
      </c>
      <c r="C10739" s="787" t="s">
        <v>19183</v>
      </c>
      <c r="D10739" s="787">
        <v>5</v>
      </c>
      <c r="E10739" s="787">
        <v>185</v>
      </c>
      <c r="F10739" s="788">
        <v>39101</v>
      </c>
      <c r="G10739" s="788">
        <v>39101</v>
      </c>
      <c r="H10739" s="787">
        <v>1</v>
      </c>
      <c r="I10739" s="788">
        <v>39002</v>
      </c>
      <c r="J10739" s="788">
        <v>39101</v>
      </c>
      <c r="L10739" s="787">
        <v>620.88</v>
      </c>
      <c r="M10739" s="787">
        <v>10</v>
      </c>
      <c r="N10739" s="787">
        <v>641.12</v>
      </c>
      <c r="O10739" s="788">
        <v>42144</v>
      </c>
    </row>
    <row r="10740" spans="1:15" x14ac:dyDescent="0.25">
      <c r="A10740" s="786" t="s">
        <v>19184</v>
      </c>
      <c r="B10740" s="787">
        <v>4</v>
      </c>
      <c r="C10740" s="787" t="s">
        <v>19185</v>
      </c>
      <c r="D10740" s="787">
        <v>5</v>
      </c>
      <c r="E10740" s="787">
        <v>185</v>
      </c>
      <c r="F10740" s="788">
        <v>39101</v>
      </c>
      <c r="G10740" s="788">
        <v>39101</v>
      </c>
      <c r="H10740" s="787">
        <v>1</v>
      </c>
      <c r="I10740" s="788">
        <v>39002</v>
      </c>
      <c r="J10740" s="788">
        <v>39101</v>
      </c>
      <c r="L10740" s="787">
        <v>655.64</v>
      </c>
      <c r="M10740" s="787">
        <v>10</v>
      </c>
      <c r="N10740" s="787">
        <v>700.84</v>
      </c>
      <c r="O10740" s="788">
        <v>42144</v>
      </c>
    </row>
    <row r="10741" spans="1:15" x14ac:dyDescent="0.25">
      <c r="A10741" s="786" t="s">
        <v>19186</v>
      </c>
      <c r="B10741" s="787">
        <v>4</v>
      </c>
      <c r="C10741" s="787" t="s">
        <v>19187</v>
      </c>
      <c r="D10741" s="787">
        <v>0</v>
      </c>
      <c r="E10741" s="787">
        <v>0</v>
      </c>
      <c r="H10741" s="787">
        <v>1</v>
      </c>
      <c r="J10741" s="788">
        <v>37287</v>
      </c>
      <c r="L10741" s="787">
        <v>679.73</v>
      </c>
      <c r="M10741" s="787">
        <v>10</v>
      </c>
      <c r="N10741" s="787">
        <v>705.91</v>
      </c>
      <c r="O10741" s="788">
        <v>42144</v>
      </c>
    </row>
    <row r="10742" spans="1:15" x14ac:dyDescent="0.25">
      <c r="A10742" s="786" t="s">
        <v>19188</v>
      </c>
      <c r="B10742" s="787">
        <v>4</v>
      </c>
      <c r="C10742" s="787" t="s">
        <v>19189</v>
      </c>
      <c r="D10742" s="787">
        <v>0</v>
      </c>
      <c r="E10742" s="787">
        <v>0</v>
      </c>
      <c r="H10742" s="787">
        <v>1</v>
      </c>
      <c r="J10742" s="788">
        <v>37287</v>
      </c>
      <c r="L10742" s="787">
        <v>717.9</v>
      </c>
      <c r="M10742" s="787">
        <v>10</v>
      </c>
      <c r="N10742" s="787">
        <v>745.5</v>
      </c>
      <c r="O10742" s="788">
        <v>42144</v>
      </c>
    </row>
    <row r="10743" spans="1:15" x14ac:dyDescent="0.25">
      <c r="A10743" s="786" t="s">
        <v>19190</v>
      </c>
      <c r="B10743" s="787">
        <v>4</v>
      </c>
      <c r="C10743" s="787" t="s">
        <v>19191</v>
      </c>
      <c r="D10743" s="787">
        <v>0</v>
      </c>
      <c r="E10743" s="787">
        <v>0</v>
      </c>
      <c r="F10743" s="788">
        <v>41135</v>
      </c>
      <c r="G10743" s="788">
        <v>41135</v>
      </c>
      <c r="H10743" s="787">
        <v>1</v>
      </c>
      <c r="I10743" s="788">
        <v>40872</v>
      </c>
      <c r="J10743" s="788">
        <v>40889</v>
      </c>
      <c r="L10743" s="787">
        <v>658.65</v>
      </c>
      <c r="M10743" s="787">
        <v>10</v>
      </c>
      <c r="N10743" s="789">
        <v>1266.9000000000001</v>
      </c>
      <c r="O10743" s="788">
        <v>42146</v>
      </c>
    </row>
    <row r="10744" spans="1:15" x14ac:dyDescent="0.25">
      <c r="A10744" s="786" t="s">
        <v>19192</v>
      </c>
      <c r="B10744" s="787">
        <v>4</v>
      </c>
      <c r="C10744" s="787" t="s">
        <v>19193</v>
      </c>
      <c r="D10744" s="787">
        <v>0</v>
      </c>
      <c r="E10744" s="787">
        <v>0</v>
      </c>
      <c r="F10744" s="788">
        <v>41135</v>
      </c>
      <c r="G10744" s="788">
        <v>41135</v>
      </c>
      <c r="H10744" s="787">
        <v>1</v>
      </c>
      <c r="I10744" s="788">
        <v>39002</v>
      </c>
      <c r="J10744" s="788">
        <v>40889</v>
      </c>
      <c r="L10744" s="787">
        <v>644.70000000000005</v>
      </c>
      <c r="M10744" s="787">
        <v>10</v>
      </c>
      <c r="N10744" s="789">
        <v>1295.1600000000001</v>
      </c>
      <c r="O10744" s="788">
        <v>42162</v>
      </c>
    </row>
    <row r="10745" spans="1:15" x14ac:dyDescent="0.25">
      <c r="A10745" s="786" t="s">
        <v>19194</v>
      </c>
      <c r="B10745" s="787">
        <v>4</v>
      </c>
      <c r="C10745" s="787" t="s">
        <v>19195</v>
      </c>
      <c r="D10745" s="787">
        <v>7.99</v>
      </c>
      <c r="E10745" s="789">
        <v>1152.21</v>
      </c>
      <c r="F10745" s="788">
        <v>41135</v>
      </c>
      <c r="G10745" s="788">
        <v>41135</v>
      </c>
      <c r="H10745" s="787">
        <v>1</v>
      </c>
      <c r="I10745" s="788">
        <v>40899</v>
      </c>
      <c r="J10745" s="788">
        <v>40897</v>
      </c>
      <c r="L10745" s="787">
        <v>667.55</v>
      </c>
      <c r="M10745" s="787">
        <v>10</v>
      </c>
      <c r="N10745" s="789">
        <v>1390.41</v>
      </c>
      <c r="O10745" s="788">
        <v>42162</v>
      </c>
    </row>
    <row r="10746" spans="1:15" x14ac:dyDescent="0.25">
      <c r="A10746" s="786" t="s">
        <v>19196</v>
      </c>
      <c r="B10746" s="787">
        <v>4</v>
      </c>
      <c r="C10746" s="787" t="s">
        <v>19197</v>
      </c>
      <c r="D10746" s="787">
        <v>0</v>
      </c>
      <c r="E10746" s="787">
        <v>0</v>
      </c>
      <c r="F10746" s="788">
        <v>41135</v>
      </c>
      <c r="G10746" s="788">
        <v>41135</v>
      </c>
      <c r="H10746" s="787">
        <v>1</v>
      </c>
      <c r="I10746" s="788">
        <v>38709</v>
      </c>
      <c r="J10746" s="788">
        <v>40897</v>
      </c>
      <c r="L10746" s="787">
        <v>699.02</v>
      </c>
      <c r="M10746" s="787">
        <v>10</v>
      </c>
      <c r="N10746" s="789">
        <v>1299</v>
      </c>
      <c r="O10746" s="788">
        <v>42144</v>
      </c>
    </row>
    <row r="10747" spans="1:15" x14ac:dyDescent="0.25">
      <c r="A10747" s="786" t="s">
        <v>19198</v>
      </c>
      <c r="B10747" s="787">
        <v>4</v>
      </c>
      <c r="C10747" s="787" t="s">
        <v>19199</v>
      </c>
      <c r="D10747" s="787">
        <v>3.17</v>
      </c>
      <c r="E10747" s="789">
        <v>1133.17</v>
      </c>
      <c r="F10747" s="788">
        <v>41135</v>
      </c>
      <c r="G10747" s="788">
        <v>41135</v>
      </c>
      <c r="H10747" s="787">
        <v>1</v>
      </c>
      <c r="I10747" s="788">
        <v>40869</v>
      </c>
      <c r="J10747" s="788">
        <v>40869</v>
      </c>
      <c r="L10747" s="787">
        <v>672.92</v>
      </c>
      <c r="M10747" s="787">
        <v>10</v>
      </c>
      <c r="N10747" s="789">
        <v>1016.04</v>
      </c>
      <c r="O10747" s="788">
        <v>41668</v>
      </c>
    </row>
    <row r="10748" spans="1:15" x14ac:dyDescent="0.25">
      <c r="A10748" s="786" t="s">
        <v>19200</v>
      </c>
      <c r="B10748" s="787">
        <v>4</v>
      </c>
      <c r="C10748" s="787" t="s">
        <v>19201</v>
      </c>
      <c r="D10748" s="787">
        <v>0</v>
      </c>
      <c r="E10748" s="787">
        <v>0</v>
      </c>
      <c r="H10748" s="787">
        <v>1</v>
      </c>
      <c r="I10748" s="788">
        <v>38693</v>
      </c>
      <c r="J10748" s="788">
        <v>37287</v>
      </c>
      <c r="L10748" s="787">
        <v>709.59</v>
      </c>
      <c r="M10748" s="787">
        <v>10</v>
      </c>
      <c r="N10748" s="789">
        <v>1012.64</v>
      </c>
      <c r="O10748" s="788">
        <v>41666</v>
      </c>
    </row>
    <row r="10749" spans="1:15" x14ac:dyDescent="0.25">
      <c r="A10749" s="786" t="s">
        <v>19202</v>
      </c>
      <c r="B10749" s="787">
        <v>4</v>
      </c>
      <c r="C10749" s="787" t="s">
        <v>19203</v>
      </c>
      <c r="D10749" s="787">
        <v>0</v>
      </c>
      <c r="E10749" s="787">
        <v>0</v>
      </c>
      <c r="H10749" s="787">
        <v>1</v>
      </c>
      <c r="I10749" s="788">
        <v>38245</v>
      </c>
      <c r="J10749" s="788">
        <v>37287</v>
      </c>
      <c r="L10749" s="787">
        <v>432.56</v>
      </c>
      <c r="M10749" s="787">
        <v>10</v>
      </c>
      <c r="N10749" s="787">
        <v>704.51</v>
      </c>
      <c r="O10749" s="788">
        <v>41695</v>
      </c>
    </row>
    <row r="10750" spans="1:15" x14ac:dyDescent="0.25">
      <c r="A10750" s="786" t="s">
        <v>19204</v>
      </c>
      <c r="B10750" s="787">
        <v>4</v>
      </c>
      <c r="C10750" s="787" t="s">
        <v>19205</v>
      </c>
      <c r="D10750" s="787">
        <v>0</v>
      </c>
      <c r="E10750" s="787">
        <v>0</v>
      </c>
      <c r="H10750" s="787">
        <v>1</v>
      </c>
      <c r="I10750" s="788">
        <v>38245</v>
      </c>
      <c r="J10750" s="788">
        <v>37287</v>
      </c>
      <c r="L10750" s="787">
        <v>441.12</v>
      </c>
      <c r="M10750" s="787">
        <v>10</v>
      </c>
      <c r="N10750" s="787">
        <v>474.27</v>
      </c>
      <c r="O10750" s="788">
        <v>42162</v>
      </c>
    </row>
    <row r="10751" spans="1:15" x14ac:dyDescent="0.25">
      <c r="A10751" s="786" t="s">
        <v>19206</v>
      </c>
      <c r="B10751" s="787">
        <v>4</v>
      </c>
      <c r="C10751" s="787" t="s">
        <v>19207</v>
      </c>
      <c r="D10751" s="787">
        <v>0</v>
      </c>
      <c r="E10751" s="787">
        <v>0</v>
      </c>
      <c r="H10751" s="787">
        <v>1</v>
      </c>
      <c r="I10751" s="788">
        <v>39002</v>
      </c>
      <c r="J10751" s="788">
        <v>39101</v>
      </c>
      <c r="L10751" s="787">
        <v>457.33</v>
      </c>
      <c r="M10751" s="787">
        <v>10</v>
      </c>
      <c r="N10751" s="787">
        <v>457.37</v>
      </c>
      <c r="O10751" s="788">
        <v>42144</v>
      </c>
    </row>
    <row r="10752" spans="1:15" x14ac:dyDescent="0.25">
      <c r="A10752" s="786" t="s">
        <v>19208</v>
      </c>
      <c r="B10752" s="787">
        <v>4</v>
      </c>
      <c r="C10752" s="787" t="s">
        <v>19209</v>
      </c>
      <c r="D10752" s="787">
        <v>0</v>
      </c>
      <c r="E10752" s="787">
        <v>0</v>
      </c>
      <c r="H10752" s="787">
        <v>1</v>
      </c>
      <c r="I10752" s="788">
        <v>39002</v>
      </c>
      <c r="J10752" s="788">
        <v>39101</v>
      </c>
      <c r="L10752" s="787">
        <v>462.99</v>
      </c>
      <c r="M10752" s="787">
        <v>10</v>
      </c>
      <c r="N10752" s="787">
        <v>475.66</v>
      </c>
      <c r="O10752" s="788">
        <v>42144</v>
      </c>
    </row>
    <row r="10753" spans="1:15" x14ac:dyDescent="0.25">
      <c r="A10753" s="786" t="s">
        <v>19210</v>
      </c>
      <c r="B10753" s="787">
        <v>4</v>
      </c>
      <c r="C10753" s="787" t="s">
        <v>19211</v>
      </c>
      <c r="D10753" s="787">
        <v>0</v>
      </c>
      <c r="E10753" s="787">
        <v>0</v>
      </c>
      <c r="H10753" s="787">
        <v>1</v>
      </c>
      <c r="I10753" s="788">
        <v>38709</v>
      </c>
      <c r="J10753" s="788">
        <v>37287</v>
      </c>
      <c r="L10753" s="787">
        <v>518.94000000000005</v>
      </c>
      <c r="M10753" s="787">
        <v>10</v>
      </c>
      <c r="N10753" s="787">
        <v>525.79</v>
      </c>
      <c r="O10753" s="788">
        <v>42144</v>
      </c>
    </row>
    <row r="10754" spans="1:15" x14ac:dyDescent="0.25">
      <c r="A10754" s="786" t="s">
        <v>19212</v>
      </c>
      <c r="B10754" s="787">
        <v>4</v>
      </c>
      <c r="C10754" s="787" t="s">
        <v>19213</v>
      </c>
      <c r="D10754" s="787">
        <v>0</v>
      </c>
      <c r="E10754" s="787">
        <v>0</v>
      </c>
      <c r="H10754" s="787">
        <v>1</v>
      </c>
      <c r="I10754" s="788">
        <v>40568</v>
      </c>
      <c r="J10754" s="788">
        <v>37287</v>
      </c>
      <c r="L10754" s="787">
        <v>522.04</v>
      </c>
      <c r="M10754" s="787">
        <v>10</v>
      </c>
      <c r="N10754" s="787">
        <v>543.69000000000005</v>
      </c>
      <c r="O10754" s="788">
        <v>42144</v>
      </c>
    </row>
    <row r="10755" spans="1:15" x14ac:dyDescent="0.25">
      <c r="A10755" s="786" t="s">
        <v>19214</v>
      </c>
      <c r="B10755" s="787">
        <v>4</v>
      </c>
      <c r="C10755" s="787" t="s">
        <v>19215</v>
      </c>
      <c r="D10755" s="787">
        <v>0</v>
      </c>
      <c r="E10755" s="787">
        <v>0</v>
      </c>
      <c r="H10755" s="787">
        <v>1</v>
      </c>
      <c r="I10755" s="788">
        <v>38316</v>
      </c>
      <c r="J10755" s="788">
        <v>37287</v>
      </c>
      <c r="L10755" s="787">
        <v>675.92</v>
      </c>
      <c r="M10755" s="787">
        <v>10</v>
      </c>
      <c r="N10755" s="789">
        <v>1006.35</v>
      </c>
      <c r="O10755" s="788">
        <v>42144</v>
      </c>
    </row>
    <row r="10756" spans="1:15" x14ac:dyDescent="0.25">
      <c r="A10756" s="786" t="s">
        <v>19216</v>
      </c>
      <c r="B10756" s="787">
        <v>4</v>
      </c>
      <c r="C10756" s="787" t="s">
        <v>19217</v>
      </c>
      <c r="D10756" s="787">
        <v>0</v>
      </c>
      <c r="E10756" s="787">
        <v>0</v>
      </c>
      <c r="H10756" s="787">
        <v>1</v>
      </c>
      <c r="I10756" s="788">
        <v>38316</v>
      </c>
      <c r="J10756" s="788">
        <v>37287</v>
      </c>
      <c r="L10756" s="787">
        <v>714.85</v>
      </c>
      <c r="M10756" s="787">
        <v>10</v>
      </c>
      <c r="N10756" s="789">
        <v>1008.28</v>
      </c>
      <c r="O10756" s="788">
        <v>42144</v>
      </c>
    </row>
    <row r="10757" spans="1:15" x14ac:dyDescent="0.25">
      <c r="A10757" s="786" t="s">
        <v>19218</v>
      </c>
      <c r="B10757" s="787">
        <v>4</v>
      </c>
      <c r="C10757" s="787" t="s">
        <v>19219</v>
      </c>
      <c r="D10757" s="787">
        <v>6.84</v>
      </c>
      <c r="E10757" s="787">
        <v>586.85</v>
      </c>
      <c r="F10757" s="788">
        <v>41166</v>
      </c>
      <c r="G10757" s="788">
        <v>41166</v>
      </c>
      <c r="H10757" s="787">
        <v>1</v>
      </c>
      <c r="I10757" s="788">
        <v>41150</v>
      </c>
      <c r="J10757" s="788">
        <v>41149</v>
      </c>
      <c r="L10757" s="787">
        <v>265.72000000000003</v>
      </c>
      <c r="M10757" s="787">
        <v>10</v>
      </c>
      <c r="N10757" s="787">
        <v>374.25</v>
      </c>
      <c r="O10757" s="788">
        <v>42162</v>
      </c>
    </row>
    <row r="10758" spans="1:15" x14ac:dyDescent="0.25">
      <c r="A10758" s="786" t="s">
        <v>19220</v>
      </c>
      <c r="B10758" s="787">
        <v>4</v>
      </c>
      <c r="C10758" s="787" t="s">
        <v>19221</v>
      </c>
      <c r="D10758" s="787">
        <v>0</v>
      </c>
      <c r="E10758" s="787">
        <v>0</v>
      </c>
      <c r="H10758" s="787">
        <v>6</v>
      </c>
      <c r="J10758" s="788">
        <v>37287</v>
      </c>
      <c r="L10758" s="787">
        <v>0</v>
      </c>
      <c r="M10758" s="787">
        <v>10</v>
      </c>
      <c r="N10758" s="787">
        <v>0</v>
      </c>
      <c r="O10758" s="788">
        <v>41806</v>
      </c>
    </row>
    <row r="10759" spans="1:15" x14ac:dyDescent="0.25">
      <c r="A10759" s="786" t="s">
        <v>19222</v>
      </c>
      <c r="B10759" s="787">
        <v>4</v>
      </c>
      <c r="C10759" s="787" t="s">
        <v>19223</v>
      </c>
      <c r="D10759" s="787">
        <v>0</v>
      </c>
      <c r="E10759" s="787">
        <v>0</v>
      </c>
      <c r="H10759" s="787">
        <v>6</v>
      </c>
      <c r="I10759" s="788">
        <v>38316</v>
      </c>
      <c r="J10759" s="788">
        <v>37287</v>
      </c>
      <c r="L10759" s="787">
        <v>0</v>
      </c>
      <c r="M10759" s="787">
        <v>10</v>
      </c>
      <c r="N10759" s="787">
        <v>0</v>
      </c>
      <c r="O10759" s="788">
        <v>41806</v>
      </c>
    </row>
    <row r="10760" spans="1:15" x14ac:dyDescent="0.25">
      <c r="A10760" s="786" t="s">
        <v>19224</v>
      </c>
      <c r="B10760" s="787">
        <v>4</v>
      </c>
      <c r="C10760" s="787" t="s">
        <v>19225</v>
      </c>
      <c r="D10760" s="787">
        <v>5.61</v>
      </c>
      <c r="E10760" s="787">
        <v>502.89</v>
      </c>
      <c r="F10760" s="788">
        <v>39456</v>
      </c>
      <c r="G10760" s="788">
        <v>41166</v>
      </c>
      <c r="H10760" s="787">
        <v>1</v>
      </c>
      <c r="I10760" s="788">
        <v>41152</v>
      </c>
      <c r="J10760" s="788">
        <v>41149</v>
      </c>
      <c r="L10760" s="787">
        <v>256.39</v>
      </c>
      <c r="M10760" s="787">
        <v>10</v>
      </c>
      <c r="N10760" s="787">
        <v>376.01</v>
      </c>
      <c r="O10760" s="788">
        <v>42162</v>
      </c>
    </row>
    <row r="10761" spans="1:15" x14ac:dyDescent="0.25">
      <c r="A10761" s="786" t="s">
        <v>19226</v>
      </c>
      <c r="B10761" s="787">
        <v>4</v>
      </c>
      <c r="C10761" s="787" t="s">
        <v>19227</v>
      </c>
      <c r="D10761" s="787">
        <v>3.53</v>
      </c>
      <c r="E10761" s="787">
        <v>189.49</v>
      </c>
      <c r="F10761" s="788">
        <v>39456</v>
      </c>
      <c r="G10761" s="788">
        <v>41775</v>
      </c>
      <c r="H10761" s="787">
        <v>1</v>
      </c>
      <c r="I10761" s="788">
        <v>41702</v>
      </c>
      <c r="J10761" s="788">
        <v>41702</v>
      </c>
      <c r="K10761" s="788">
        <v>41024</v>
      </c>
      <c r="L10761" s="787">
        <v>162.35</v>
      </c>
      <c r="M10761" s="787">
        <v>10</v>
      </c>
      <c r="N10761" s="787">
        <v>186.92</v>
      </c>
      <c r="O10761" s="788">
        <v>42162</v>
      </c>
    </row>
    <row r="10762" spans="1:15" x14ac:dyDescent="0.25">
      <c r="A10762" s="786" t="s">
        <v>19228</v>
      </c>
      <c r="B10762" s="787">
        <v>4</v>
      </c>
      <c r="C10762" s="787" t="s">
        <v>19229</v>
      </c>
      <c r="D10762" s="787">
        <v>9.64</v>
      </c>
      <c r="E10762" s="787">
        <v>362.05</v>
      </c>
      <c r="F10762" s="788">
        <v>39456</v>
      </c>
      <c r="G10762" s="788">
        <v>40792</v>
      </c>
      <c r="H10762" s="787">
        <v>1</v>
      </c>
      <c r="I10762" s="788">
        <v>41027</v>
      </c>
      <c r="J10762" s="788">
        <v>40701</v>
      </c>
      <c r="K10762" s="788">
        <v>41024</v>
      </c>
      <c r="L10762" s="787">
        <v>161.84</v>
      </c>
      <c r="M10762" s="787">
        <v>10</v>
      </c>
      <c r="N10762" s="787">
        <v>188.37</v>
      </c>
      <c r="O10762" s="788">
        <v>42162</v>
      </c>
    </row>
    <row r="10763" spans="1:15" x14ac:dyDescent="0.25">
      <c r="A10763" s="786" t="s">
        <v>19230</v>
      </c>
      <c r="B10763" s="787">
        <v>4</v>
      </c>
      <c r="C10763" s="787" t="s">
        <v>19231</v>
      </c>
      <c r="D10763" s="787">
        <v>0</v>
      </c>
      <c r="E10763" s="787">
        <v>0</v>
      </c>
      <c r="H10763" s="787">
        <v>6</v>
      </c>
      <c r="I10763" s="788">
        <v>38043</v>
      </c>
      <c r="J10763" s="788">
        <v>37287</v>
      </c>
      <c r="L10763" s="787">
        <v>13.21</v>
      </c>
      <c r="M10763" s="787">
        <v>10</v>
      </c>
      <c r="N10763" s="787">
        <v>26.29</v>
      </c>
      <c r="O10763" s="788">
        <v>41806</v>
      </c>
    </row>
    <row r="10764" spans="1:15" x14ac:dyDescent="0.25">
      <c r="A10764" s="786" t="s">
        <v>19232</v>
      </c>
      <c r="B10764" s="787">
        <v>4</v>
      </c>
      <c r="C10764" s="787" t="s">
        <v>19233</v>
      </c>
      <c r="D10764" s="787">
        <v>2</v>
      </c>
      <c r="E10764" s="787">
        <v>434.85</v>
      </c>
      <c r="F10764" s="788">
        <v>39975</v>
      </c>
      <c r="G10764" s="788">
        <v>42145</v>
      </c>
      <c r="H10764" s="787">
        <v>1</v>
      </c>
      <c r="I10764" s="788">
        <v>42146</v>
      </c>
      <c r="J10764" s="788">
        <v>42145</v>
      </c>
      <c r="L10764" s="787">
        <v>252.85</v>
      </c>
      <c r="M10764" s="787">
        <v>10</v>
      </c>
      <c r="N10764" s="787">
        <v>390.07</v>
      </c>
      <c r="O10764" s="788">
        <v>42164</v>
      </c>
    </row>
    <row r="10765" spans="1:15" x14ac:dyDescent="0.25">
      <c r="A10765" s="786" t="s">
        <v>19234</v>
      </c>
      <c r="B10765" s="787">
        <v>4</v>
      </c>
      <c r="C10765" s="787" t="s">
        <v>19235</v>
      </c>
      <c r="D10765" s="787">
        <v>2</v>
      </c>
      <c r="E10765" s="787">
        <v>487.81</v>
      </c>
      <c r="F10765" s="788">
        <v>39975</v>
      </c>
      <c r="G10765" s="788">
        <v>41134</v>
      </c>
      <c r="H10765" s="787">
        <v>1</v>
      </c>
      <c r="I10765" s="788">
        <v>40982</v>
      </c>
      <c r="J10765" s="788">
        <v>40977</v>
      </c>
      <c r="L10765" s="787">
        <v>262.18</v>
      </c>
      <c r="M10765" s="787">
        <v>10</v>
      </c>
      <c r="N10765" s="787">
        <v>387.9</v>
      </c>
      <c r="O10765" s="788">
        <v>42164</v>
      </c>
    </row>
    <row r="10766" spans="1:15" x14ac:dyDescent="0.25">
      <c r="A10766" s="786" t="s">
        <v>19236</v>
      </c>
      <c r="B10766" s="787">
        <v>4</v>
      </c>
      <c r="C10766" s="787" t="s">
        <v>19237</v>
      </c>
      <c r="D10766" s="787">
        <v>0</v>
      </c>
      <c r="E10766" s="787">
        <v>0</v>
      </c>
      <c r="H10766" s="787">
        <v>6</v>
      </c>
      <c r="I10766" s="788">
        <v>38043</v>
      </c>
      <c r="J10766" s="788">
        <v>37287</v>
      </c>
      <c r="L10766" s="787">
        <v>0</v>
      </c>
      <c r="M10766" s="787">
        <v>10</v>
      </c>
      <c r="N10766" s="787">
        <v>0</v>
      </c>
      <c r="O10766" s="788">
        <v>41806</v>
      </c>
    </row>
    <row r="10767" spans="1:15" x14ac:dyDescent="0.25">
      <c r="A10767" s="786" t="s">
        <v>19238</v>
      </c>
      <c r="B10767" s="787">
        <v>4</v>
      </c>
      <c r="C10767" s="787" t="s">
        <v>19239</v>
      </c>
      <c r="D10767" s="787">
        <v>4.53</v>
      </c>
      <c r="E10767" s="787">
        <v>177.53</v>
      </c>
      <c r="F10767" s="788">
        <v>39456</v>
      </c>
      <c r="G10767" s="788">
        <v>42055</v>
      </c>
      <c r="H10767" s="787">
        <v>1</v>
      </c>
      <c r="I10767" s="788">
        <v>42026</v>
      </c>
      <c r="J10767" s="788">
        <v>42024</v>
      </c>
      <c r="K10767" s="788">
        <v>39274</v>
      </c>
      <c r="L10767" s="787">
        <v>333.24</v>
      </c>
      <c r="M10767" s="787">
        <v>10</v>
      </c>
      <c r="N10767" s="787">
        <v>199.99</v>
      </c>
      <c r="O10767" s="788">
        <v>42164</v>
      </c>
    </row>
    <row r="10768" spans="1:15" x14ac:dyDescent="0.25">
      <c r="A10768" s="786" t="s">
        <v>19240</v>
      </c>
      <c r="B10768" s="787">
        <v>4</v>
      </c>
      <c r="C10768" s="787" t="s">
        <v>19241</v>
      </c>
      <c r="D10768" s="787">
        <v>2.76</v>
      </c>
      <c r="E10768" s="787">
        <v>144.32</v>
      </c>
      <c r="F10768" s="788">
        <v>39456</v>
      </c>
      <c r="G10768" s="788">
        <v>42124</v>
      </c>
      <c r="H10768" s="787">
        <v>1</v>
      </c>
      <c r="I10768" s="788">
        <v>42103</v>
      </c>
      <c r="J10768" s="788">
        <v>42094</v>
      </c>
      <c r="L10768" s="787">
        <v>80.099999999999994</v>
      </c>
      <c r="M10768" s="787">
        <v>10</v>
      </c>
      <c r="N10768" s="787">
        <v>202.02</v>
      </c>
      <c r="O10768" s="788">
        <v>42164</v>
      </c>
    </row>
    <row r="10769" spans="1:15" x14ac:dyDescent="0.25">
      <c r="A10769" s="786" t="s">
        <v>19242</v>
      </c>
      <c r="B10769" s="787">
        <v>4</v>
      </c>
      <c r="C10769" s="787" t="s">
        <v>19243</v>
      </c>
      <c r="D10769" s="787">
        <v>3.45</v>
      </c>
      <c r="E10769" s="787">
        <v>142.54</v>
      </c>
      <c r="F10769" s="788">
        <v>39101</v>
      </c>
      <c r="G10769" s="788">
        <v>42142</v>
      </c>
      <c r="H10769" s="787">
        <v>1</v>
      </c>
      <c r="I10769" s="788">
        <v>42109</v>
      </c>
      <c r="J10769" s="788">
        <v>42109</v>
      </c>
      <c r="L10769" s="787">
        <v>107.66</v>
      </c>
      <c r="M10769" s="787">
        <v>10</v>
      </c>
      <c r="N10769" s="787">
        <v>192.17</v>
      </c>
      <c r="O10769" s="788">
        <v>42162</v>
      </c>
    </row>
    <row r="10770" spans="1:15" x14ac:dyDescent="0.25">
      <c r="A10770" s="786" t="s">
        <v>19244</v>
      </c>
      <c r="B10770" s="787">
        <v>4</v>
      </c>
      <c r="C10770" s="787" t="s">
        <v>19245</v>
      </c>
      <c r="D10770" s="787">
        <v>3.93</v>
      </c>
      <c r="E10770" s="787">
        <v>357.97</v>
      </c>
      <c r="F10770" s="788">
        <v>39456</v>
      </c>
      <c r="G10770" s="788">
        <v>41218</v>
      </c>
      <c r="H10770" s="787">
        <v>1</v>
      </c>
      <c r="I10770" s="788">
        <v>41204</v>
      </c>
      <c r="J10770" s="788">
        <v>41191</v>
      </c>
      <c r="L10770" s="787">
        <v>100.91</v>
      </c>
      <c r="M10770" s="787">
        <v>10</v>
      </c>
      <c r="N10770" s="787">
        <v>194.26</v>
      </c>
      <c r="O10770" s="788">
        <v>42162</v>
      </c>
    </row>
    <row r="10771" spans="1:15" x14ac:dyDescent="0.25">
      <c r="A10771" s="786" t="s">
        <v>19246</v>
      </c>
      <c r="B10771" s="787">
        <v>4</v>
      </c>
      <c r="C10771" s="787" t="s">
        <v>19247</v>
      </c>
      <c r="D10771" s="787">
        <v>6.85</v>
      </c>
      <c r="E10771" s="787">
        <v>413.08</v>
      </c>
      <c r="F10771" s="788">
        <v>38606</v>
      </c>
      <c r="G10771" s="788">
        <v>40949</v>
      </c>
      <c r="H10771" s="787">
        <v>1</v>
      </c>
      <c r="I10771" s="788">
        <v>40858</v>
      </c>
      <c r="J10771" s="788">
        <v>40858</v>
      </c>
      <c r="L10771" s="787">
        <v>436.39</v>
      </c>
      <c r="M10771" s="787">
        <v>10</v>
      </c>
      <c r="N10771" s="787">
        <v>380.31</v>
      </c>
      <c r="O10771" s="788">
        <v>42162</v>
      </c>
    </row>
    <row r="10772" spans="1:15" x14ac:dyDescent="0.25">
      <c r="A10772" s="786" t="s">
        <v>19248</v>
      </c>
      <c r="B10772" s="787">
        <v>4</v>
      </c>
      <c r="C10772" s="787" t="s">
        <v>19249</v>
      </c>
      <c r="D10772" s="787">
        <v>1.51</v>
      </c>
      <c r="E10772" s="787">
        <v>498.37</v>
      </c>
      <c r="F10772" s="788">
        <v>39456</v>
      </c>
      <c r="G10772" s="788">
        <v>41134</v>
      </c>
      <c r="H10772" s="787">
        <v>1</v>
      </c>
      <c r="I10772" s="788">
        <v>40978</v>
      </c>
      <c r="J10772" s="788">
        <v>40977</v>
      </c>
      <c r="L10772" s="787">
        <v>429.64</v>
      </c>
      <c r="M10772" s="787">
        <v>10</v>
      </c>
      <c r="N10772" s="787">
        <v>369.36</v>
      </c>
      <c r="O10772" s="788">
        <v>42162</v>
      </c>
    </row>
    <row r="10773" spans="1:15" x14ac:dyDescent="0.25">
      <c r="A10773" s="786" t="s">
        <v>19250</v>
      </c>
      <c r="B10773" s="787">
        <v>4</v>
      </c>
      <c r="C10773" s="787" t="s">
        <v>19251</v>
      </c>
      <c r="D10773" s="787">
        <v>0</v>
      </c>
      <c r="E10773" s="787">
        <v>0</v>
      </c>
      <c r="H10773" s="787">
        <v>1</v>
      </c>
      <c r="I10773" s="788">
        <v>38580</v>
      </c>
      <c r="J10773" s="788">
        <v>38736</v>
      </c>
      <c r="L10773" s="787">
        <v>653.44000000000005</v>
      </c>
      <c r="M10773" s="787">
        <v>10</v>
      </c>
      <c r="N10773" s="787">
        <v>884</v>
      </c>
      <c r="O10773" s="788">
        <v>42146</v>
      </c>
    </row>
    <row r="10774" spans="1:15" x14ac:dyDescent="0.25">
      <c r="A10774" s="786" t="s">
        <v>19252</v>
      </c>
      <c r="B10774" s="787">
        <v>4</v>
      </c>
      <c r="C10774" s="787" t="s">
        <v>19253</v>
      </c>
      <c r="D10774" s="787">
        <v>0</v>
      </c>
      <c r="E10774" s="787">
        <v>0</v>
      </c>
      <c r="H10774" s="787">
        <v>1</v>
      </c>
      <c r="I10774" s="788">
        <v>38580</v>
      </c>
      <c r="J10774" s="788">
        <v>38736</v>
      </c>
      <c r="L10774" s="787">
        <v>658.26</v>
      </c>
      <c r="M10774" s="787">
        <v>10</v>
      </c>
      <c r="N10774" s="787">
        <v>904</v>
      </c>
      <c r="O10774" s="788">
        <v>42144</v>
      </c>
    </row>
    <row r="10775" spans="1:15" x14ac:dyDescent="0.25">
      <c r="A10775" s="786" t="s">
        <v>19254</v>
      </c>
      <c r="B10775" s="787">
        <v>4</v>
      </c>
      <c r="C10775" s="787" t="s">
        <v>19255</v>
      </c>
      <c r="D10775" s="787">
        <v>0</v>
      </c>
      <c r="E10775" s="787">
        <v>0</v>
      </c>
      <c r="H10775" s="787">
        <v>1</v>
      </c>
      <c r="I10775" s="788">
        <v>38295</v>
      </c>
      <c r="L10775" s="787">
        <v>661.05</v>
      </c>
      <c r="M10775" s="787">
        <v>10</v>
      </c>
      <c r="N10775" s="789">
        <v>1036.01</v>
      </c>
      <c r="O10775" s="788">
        <v>42144</v>
      </c>
    </row>
    <row r="10776" spans="1:15" x14ac:dyDescent="0.25">
      <c r="A10776" s="786" t="s">
        <v>19256</v>
      </c>
      <c r="B10776" s="787">
        <v>4</v>
      </c>
      <c r="C10776" s="787" t="s">
        <v>19257</v>
      </c>
      <c r="D10776" s="787">
        <v>0</v>
      </c>
      <c r="E10776" s="787">
        <v>0</v>
      </c>
      <c r="H10776" s="787">
        <v>1</v>
      </c>
      <c r="I10776" s="788">
        <v>38295</v>
      </c>
      <c r="L10776" s="787">
        <v>662.99</v>
      </c>
      <c r="M10776" s="787">
        <v>10</v>
      </c>
      <c r="N10776" s="787">
        <v>886.29</v>
      </c>
      <c r="O10776" s="788">
        <v>42144</v>
      </c>
    </row>
    <row r="10777" spans="1:15" x14ac:dyDescent="0.25">
      <c r="A10777" s="786" t="s">
        <v>19258</v>
      </c>
      <c r="B10777" s="787">
        <v>4</v>
      </c>
      <c r="C10777" s="787" t="s">
        <v>19259</v>
      </c>
      <c r="D10777" s="787">
        <v>0</v>
      </c>
      <c r="E10777" s="787">
        <v>0</v>
      </c>
      <c r="H10777" s="787">
        <v>1</v>
      </c>
      <c r="I10777" s="788">
        <v>39002</v>
      </c>
      <c r="J10777" s="788">
        <v>39101</v>
      </c>
      <c r="L10777" s="787">
        <v>669.19</v>
      </c>
      <c r="M10777" s="787">
        <v>10</v>
      </c>
      <c r="N10777" s="787">
        <v>513.84</v>
      </c>
      <c r="O10777" s="788">
        <v>41752</v>
      </c>
    </row>
    <row r="10778" spans="1:15" x14ac:dyDescent="0.25">
      <c r="A10778" s="786" t="s">
        <v>19260</v>
      </c>
      <c r="B10778" s="787">
        <v>4</v>
      </c>
      <c r="C10778" s="787" t="s">
        <v>19261</v>
      </c>
      <c r="D10778" s="787">
        <v>0</v>
      </c>
      <c r="E10778" s="787">
        <v>0</v>
      </c>
      <c r="H10778" s="787">
        <v>1</v>
      </c>
      <c r="I10778" s="788">
        <v>39002</v>
      </c>
      <c r="J10778" s="788">
        <v>39101</v>
      </c>
      <c r="L10778" s="787">
        <v>668.56</v>
      </c>
      <c r="M10778" s="787">
        <v>10</v>
      </c>
      <c r="N10778" s="789">
        <v>1241.52</v>
      </c>
      <c r="O10778" s="788">
        <v>42144</v>
      </c>
    </row>
    <row r="10779" spans="1:15" x14ac:dyDescent="0.25">
      <c r="A10779" s="786" t="s">
        <v>19262</v>
      </c>
      <c r="B10779" s="787">
        <v>4</v>
      </c>
      <c r="C10779" s="787" t="s">
        <v>19263</v>
      </c>
      <c r="D10779" s="787">
        <v>0</v>
      </c>
      <c r="E10779" s="787">
        <v>0</v>
      </c>
      <c r="H10779" s="787">
        <v>1</v>
      </c>
      <c r="I10779" s="788">
        <v>38485</v>
      </c>
      <c r="J10779" s="788">
        <v>38736</v>
      </c>
      <c r="L10779" s="787">
        <v>668.61</v>
      </c>
      <c r="M10779" s="787">
        <v>10</v>
      </c>
      <c r="N10779" s="787">
        <v>510.08</v>
      </c>
      <c r="O10779" s="788">
        <v>42144</v>
      </c>
    </row>
    <row r="10780" spans="1:15" x14ac:dyDescent="0.25">
      <c r="A10780" s="786" t="s">
        <v>19264</v>
      </c>
      <c r="B10780" s="787">
        <v>4</v>
      </c>
      <c r="C10780" s="787" t="s">
        <v>19265</v>
      </c>
      <c r="D10780" s="787">
        <v>0</v>
      </c>
      <c r="E10780" s="787">
        <v>0</v>
      </c>
      <c r="H10780" s="787">
        <v>1</v>
      </c>
      <c r="I10780" s="788">
        <v>38485</v>
      </c>
      <c r="J10780" s="788">
        <v>38736</v>
      </c>
      <c r="L10780" s="787">
        <v>701.94</v>
      </c>
      <c r="M10780" s="787">
        <v>10</v>
      </c>
      <c r="N10780" s="787">
        <v>554.99</v>
      </c>
      <c r="O10780" s="788">
        <v>42144</v>
      </c>
    </row>
    <row r="10781" spans="1:15" x14ac:dyDescent="0.25">
      <c r="A10781" s="786" t="s">
        <v>19266</v>
      </c>
      <c r="B10781" s="787">
        <v>4</v>
      </c>
      <c r="C10781" s="787" t="s">
        <v>19267</v>
      </c>
      <c r="D10781" s="787">
        <v>0</v>
      </c>
      <c r="E10781" s="787">
        <v>0</v>
      </c>
      <c r="H10781" s="787">
        <v>1</v>
      </c>
      <c r="K10781" s="788">
        <v>41724</v>
      </c>
      <c r="L10781" s="789">
        <v>1504.48</v>
      </c>
      <c r="M10781" s="787">
        <v>10</v>
      </c>
      <c r="N10781" s="789">
        <v>1356.18</v>
      </c>
      <c r="O10781" s="788">
        <v>42144</v>
      </c>
    </row>
    <row r="10782" spans="1:15" x14ac:dyDescent="0.25">
      <c r="A10782" s="786" t="s">
        <v>19268</v>
      </c>
      <c r="B10782" s="787">
        <v>4</v>
      </c>
      <c r="C10782" s="787" t="s">
        <v>19269</v>
      </c>
      <c r="D10782" s="787">
        <v>0</v>
      </c>
      <c r="E10782" s="787">
        <v>0</v>
      </c>
      <c r="H10782" s="787">
        <v>1</v>
      </c>
      <c r="L10782" s="787">
        <v>0</v>
      </c>
      <c r="M10782" s="787">
        <v>10</v>
      </c>
      <c r="N10782" s="789">
        <v>1239.07</v>
      </c>
      <c r="O10782" s="788">
        <v>42144</v>
      </c>
    </row>
    <row r="10783" spans="1:15" x14ac:dyDescent="0.25">
      <c r="A10783" s="786" t="s">
        <v>19270</v>
      </c>
      <c r="B10783" s="787">
        <v>4</v>
      </c>
      <c r="C10783" s="787" t="s">
        <v>19271</v>
      </c>
      <c r="D10783" s="787">
        <v>0</v>
      </c>
      <c r="E10783" s="787">
        <v>0</v>
      </c>
      <c r="H10783" s="787">
        <v>1</v>
      </c>
      <c r="L10783" s="787">
        <v>0</v>
      </c>
      <c r="M10783" s="787">
        <v>10</v>
      </c>
      <c r="N10783" s="789">
        <v>1366.7</v>
      </c>
      <c r="O10783" s="788">
        <v>42144</v>
      </c>
    </row>
    <row r="10784" spans="1:15" x14ac:dyDescent="0.25">
      <c r="A10784" s="786" t="s">
        <v>19272</v>
      </c>
      <c r="B10784" s="787">
        <v>4</v>
      </c>
      <c r="C10784" s="787" t="s">
        <v>2016</v>
      </c>
      <c r="D10784" s="787">
        <v>0</v>
      </c>
      <c r="E10784" s="787">
        <v>0</v>
      </c>
      <c r="H10784" s="787">
        <v>6</v>
      </c>
      <c r="L10784" s="787">
        <v>0</v>
      </c>
      <c r="M10784" s="787">
        <v>10</v>
      </c>
      <c r="N10784" s="787">
        <v>0</v>
      </c>
      <c r="O10784" s="788">
        <v>41806</v>
      </c>
    </row>
    <row r="10785" spans="1:15" x14ac:dyDescent="0.25">
      <c r="A10785" s="786" t="s">
        <v>19273</v>
      </c>
      <c r="B10785" s="787">
        <v>4</v>
      </c>
      <c r="C10785" s="787" t="s">
        <v>19274</v>
      </c>
      <c r="D10785" s="787">
        <v>0</v>
      </c>
      <c r="E10785" s="787">
        <v>0</v>
      </c>
      <c r="H10785" s="787">
        <v>6</v>
      </c>
      <c r="L10785" s="787">
        <v>0</v>
      </c>
      <c r="M10785" s="787">
        <v>10</v>
      </c>
      <c r="N10785" s="787">
        <v>0</v>
      </c>
      <c r="O10785" s="788">
        <v>41806</v>
      </c>
    </row>
    <row r="10786" spans="1:15" x14ac:dyDescent="0.25">
      <c r="A10786" s="786" t="s">
        <v>19275</v>
      </c>
      <c r="B10786" s="787">
        <v>4</v>
      </c>
      <c r="C10786" s="787" t="s">
        <v>19276</v>
      </c>
      <c r="D10786" s="787">
        <v>0</v>
      </c>
      <c r="E10786" s="787">
        <v>0</v>
      </c>
      <c r="H10786" s="787">
        <v>6</v>
      </c>
      <c r="L10786" s="787">
        <v>0</v>
      </c>
      <c r="M10786" s="787">
        <v>10</v>
      </c>
      <c r="N10786" s="787">
        <v>0</v>
      </c>
      <c r="O10786" s="788">
        <v>41806</v>
      </c>
    </row>
    <row r="10787" spans="1:15" x14ac:dyDescent="0.25">
      <c r="A10787" s="786" t="s">
        <v>19277</v>
      </c>
      <c r="B10787" s="787">
        <v>4</v>
      </c>
      <c r="C10787" s="787" t="s">
        <v>19278</v>
      </c>
      <c r="D10787" s="787">
        <v>0</v>
      </c>
      <c r="E10787" s="787">
        <v>0</v>
      </c>
      <c r="F10787" s="788">
        <v>41135</v>
      </c>
      <c r="G10787" s="788">
        <v>41135</v>
      </c>
      <c r="H10787" s="787">
        <v>1</v>
      </c>
      <c r="I10787" s="788">
        <v>40900</v>
      </c>
      <c r="J10787" s="788">
        <v>40885</v>
      </c>
      <c r="L10787" s="787">
        <v>693.12</v>
      </c>
      <c r="M10787" s="787">
        <v>10</v>
      </c>
      <c r="N10787" s="787">
        <v>926.25</v>
      </c>
      <c r="O10787" s="788">
        <v>42144</v>
      </c>
    </row>
    <row r="10788" spans="1:15" x14ac:dyDescent="0.25">
      <c r="A10788" s="786" t="s">
        <v>19279</v>
      </c>
      <c r="B10788" s="787">
        <v>4</v>
      </c>
      <c r="C10788" s="787" t="s">
        <v>19280</v>
      </c>
      <c r="D10788" s="787">
        <v>0</v>
      </c>
      <c r="E10788" s="787">
        <v>0</v>
      </c>
      <c r="H10788" s="787">
        <v>1</v>
      </c>
      <c r="L10788" s="787">
        <v>722.81</v>
      </c>
      <c r="M10788" s="787">
        <v>10</v>
      </c>
      <c r="N10788" s="789">
        <v>1583.55</v>
      </c>
      <c r="O10788" s="788">
        <v>42144</v>
      </c>
    </row>
    <row r="10789" spans="1:15" x14ac:dyDescent="0.25">
      <c r="A10789" s="786" t="s">
        <v>19281</v>
      </c>
      <c r="B10789" s="787">
        <v>4</v>
      </c>
      <c r="C10789" s="787" t="s">
        <v>19282</v>
      </c>
      <c r="D10789" s="787">
        <v>0</v>
      </c>
      <c r="E10789" s="787">
        <v>0</v>
      </c>
      <c r="H10789" s="787">
        <v>1</v>
      </c>
      <c r="I10789" s="788">
        <v>38631</v>
      </c>
      <c r="J10789" s="788">
        <v>38736</v>
      </c>
      <c r="L10789" s="787">
        <v>687.07</v>
      </c>
      <c r="M10789" s="787">
        <v>10</v>
      </c>
      <c r="N10789" s="787">
        <v>970</v>
      </c>
      <c r="O10789" s="788">
        <v>41611</v>
      </c>
    </row>
    <row r="10790" spans="1:15" x14ac:dyDescent="0.25">
      <c r="A10790" s="786" t="s">
        <v>19283</v>
      </c>
      <c r="B10790" s="787">
        <v>4</v>
      </c>
      <c r="C10790" s="787" t="s">
        <v>19284</v>
      </c>
      <c r="D10790" s="787">
        <v>0</v>
      </c>
      <c r="E10790" s="787">
        <v>0</v>
      </c>
      <c r="H10790" s="787">
        <v>1</v>
      </c>
      <c r="I10790" s="788">
        <v>38631</v>
      </c>
      <c r="J10790" s="788">
        <v>38736</v>
      </c>
      <c r="L10790" s="787">
        <v>766.96</v>
      </c>
      <c r="M10790" s="787">
        <v>10</v>
      </c>
      <c r="N10790" s="787">
        <v>959.61</v>
      </c>
      <c r="O10790" s="788">
        <v>42144</v>
      </c>
    </row>
    <row r="10791" spans="1:15" x14ac:dyDescent="0.25">
      <c r="A10791" s="786" t="s">
        <v>19285</v>
      </c>
      <c r="B10791" s="787">
        <v>4</v>
      </c>
      <c r="C10791" s="787" t="s">
        <v>19286</v>
      </c>
      <c r="D10791" s="787">
        <v>5</v>
      </c>
      <c r="E10791" s="787">
        <v>315</v>
      </c>
      <c r="F10791" s="788">
        <v>39101</v>
      </c>
      <c r="G10791" s="788">
        <v>39101</v>
      </c>
      <c r="H10791" s="787">
        <v>1</v>
      </c>
      <c r="I10791" s="788">
        <v>39002</v>
      </c>
      <c r="J10791" s="788">
        <v>39101</v>
      </c>
      <c r="L10791" s="787">
        <v>698.55</v>
      </c>
      <c r="M10791" s="787">
        <v>10</v>
      </c>
      <c r="N10791" s="789">
        <v>1099.02</v>
      </c>
      <c r="O10791" s="788">
        <v>42144</v>
      </c>
    </row>
    <row r="10792" spans="1:15" x14ac:dyDescent="0.25">
      <c r="A10792" s="786" t="s">
        <v>19287</v>
      </c>
      <c r="B10792" s="787">
        <v>4</v>
      </c>
      <c r="C10792" s="787" t="s">
        <v>19288</v>
      </c>
      <c r="D10792" s="787">
        <v>5</v>
      </c>
      <c r="E10792" s="787">
        <v>315</v>
      </c>
      <c r="F10792" s="788">
        <v>39101</v>
      </c>
      <c r="G10792" s="788">
        <v>39101</v>
      </c>
      <c r="H10792" s="787">
        <v>1</v>
      </c>
      <c r="I10792" s="788">
        <v>39002</v>
      </c>
      <c r="J10792" s="788">
        <v>39101</v>
      </c>
      <c r="L10792" s="787">
        <v>784.9</v>
      </c>
      <c r="M10792" s="787">
        <v>10</v>
      </c>
      <c r="N10792" s="787">
        <v>946.62</v>
      </c>
      <c r="O10792" s="788">
        <v>42144</v>
      </c>
    </row>
    <row r="10793" spans="1:15" x14ac:dyDescent="0.25">
      <c r="A10793" s="786" t="s">
        <v>19289</v>
      </c>
      <c r="B10793" s="787">
        <v>4</v>
      </c>
      <c r="C10793" s="787" t="s">
        <v>19290</v>
      </c>
      <c r="D10793" s="787">
        <v>0</v>
      </c>
      <c r="E10793" s="787">
        <v>297</v>
      </c>
      <c r="G10793" s="788">
        <v>37454</v>
      </c>
      <c r="H10793" s="787">
        <v>1</v>
      </c>
      <c r="I10793" s="788">
        <v>38538</v>
      </c>
      <c r="J10793" s="788">
        <v>37454</v>
      </c>
      <c r="L10793" s="787">
        <v>699.87</v>
      </c>
      <c r="M10793" s="787">
        <v>10</v>
      </c>
      <c r="N10793" s="787">
        <v>555.51</v>
      </c>
      <c r="O10793" s="788">
        <v>41752</v>
      </c>
    </row>
    <row r="10794" spans="1:15" x14ac:dyDescent="0.25">
      <c r="A10794" s="786" t="s">
        <v>19291</v>
      </c>
      <c r="B10794" s="787">
        <v>4</v>
      </c>
      <c r="C10794" s="787" t="s">
        <v>19292</v>
      </c>
      <c r="D10794" s="787">
        <v>0</v>
      </c>
      <c r="E10794" s="787">
        <v>297</v>
      </c>
      <c r="G10794" s="788">
        <v>37454</v>
      </c>
      <c r="H10794" s="787">
        <v>1</v>
      </c>
      <c r="I10794" s="788">
        <v>38538</v>
      </c>
      <c r="J10794" s="788">
        <v>37454</v>
      </c>
      <c r="L10794" s="787">
        <v>747.13</v>
      </c>
      <c r="M10794" s="787">
        <v>10</v>
      </c>
      <c r="N10794" s="787">
        <v>552.37</v>
      </c>
      <c r="O10794" s="788">
        <v>41752</v>
      </c>
    </row>
    <row r="10795" spans="1:15" x14ac:dyDescent="0.25">
      <c r="A10795" s="786" t="s">
        <v>19293</v>
      </c>
      <c r="B10795" s="787">
        <v>4</v>
      </c>
      <c r="C10795" s="787" t="s">
        <v>19294</v>
      </c>
      <c r="D10795" s="787">
        <v>0</v>
      </c>
      <c r="E10795" s="787">
        <v>0</v>
      </c>
      <c r="H10795" s="787">
        <v>1</v>
      </c>
      <c r="L10795" s="787">
        <v>0.01</v>
      </c>
      <c r="M10795" s="787">
        <v>10</v>
      </c>
      <c r="N10795" s="787">
        <v>0</v>
      </c>
    </row>
    <row r="10796" spans="1:15" x14ac:dyDescent="0.25">
      <c r="A10796" s="786" t="s">
        <v>19295</v>
      </c>
      <c r="B10796" s="787">
        <v>4</v>
      </c>
      <c r="C10796" s="787" t="s">
        <v>19296</v>
      </c>
      <c r="D10796" s="787">
        <v>7.41</v>
      </c>
      <c r="E10796" s="787">
        <v>417.51</v>
      </c>
      <c r="F10796" s="788">
        <v>41775</v>
      </c>
      <c r="G10796" s="788">
        <v>41996</v>
      </c>
      <c r="H10796" s="787">
        <v>1</v>
      </c>
      <c r="I10796" s="788">
        <v>41971</v>
      </c>
      <c r="J10796" s="788">
        <v>41971</v>
      </c>
      <c r="K10796" s="788">
        <v>41382</v>
      </c>
      <c r="L10796" s="787">
        <v>1</v>
      </c>
      <c r="M10796" s="787">
        <v>10</v>
      </c>
      <c r="N10796" s="787">
        <v>351.06</v>
      </c>
      <c r="O10796" s="788">
        <v>42156</v>
      </c>
    </row>
    <row r="10797" spans="1:15" x14ac:dyDescent="0.25">
      <c r="A10797" s="786" t="s">
        <v>19297</v>
      </c>
      <c r="B10797" s="787">
        <v>4</v>
      </c>
      <c r="C10797" s="787" t="s">
        <v>19298</v>
      </c>
      <c r="D10797" s="787">
        <v>9.6300000000000008</v>
      </c>
      <c r="E10797" s="787">
        <v>357.41</v>
      </c>
      <c r="F10797" s="788">
        <v>41775</v>
      </c>
      <c r="G10797" s="788">
        <v>41943</v>
      </c>
      <c r="H10797" s="787">
        <v>1</v>
      </c>
      <c r="I10797" s="788">
        <v>41894</v>
      </c>
      <c r="J10797" s="788">
        <v>41708</v>
      </c>
      <c r="K10797" s="788">
        <v>41382</v>
      </c>
      <c r="L10797" s="787">
        <v>1</v>
      </c>
      <c r="M10797" s="787">
        <v>10</v>
      </c>
      <c r="N10797" s="787">
        <v>351.06</v>
      </c>
      <c r="O10797" s="788">
        <v>42162</v>
      </c>
    </row>
    <row r="10798" spans="1:15" x14ac:dyDescent="0.25">
      <c r="A10798" s="786" t="s">
        <v>19299</v>
      </c>
      <c r="B10798" s="787">
        <v>4</v>
      </c>
      <c r="C10798" s="787" t="s">
        <v>19300</v>
      </c>
      <c r="D10798" s="787">
        <v>0</v>
      </c>
      <c r="E10798" s="787">
        <v>0</v>
      </c>
      <c r="G10798" s="788">
        <v>41255</v>
      </c>
      <c r="H10798" s="787">
        <v>1</v>
      </c>
      <c r="I10798" s="788">
        <v>40962</v>
      </c>
      <c r="J10798" s="788">
        <v>40121</v>
      </c>
      <c r="K10798" s="788">
        <v>41382</v>
      </c>
      <c r="L10798" s="787">
        <v>1</v>
      </c>
      <c r="M10798" s="787">
        <v>10</v>
      </c>
      <c r="N10798" s="787">
        <v>409.21</v>
      </c>
      <c r="O10798" s="788">
        <v>42156</v>
      </c>
    </row>
    <row r="10799" spans="1:15" x14ac:dyDescent="0.25">
      <c r="A10799" s="786" t="s">
        <v>19301</v>
      </c>
      <c r="B10799" s="787">
        <v>4</v>
      </c>
      <c r="C10799" s="787" t="s">
        <v>19302</v>
      </c>
      <c r="D10799" s="787">
        <v>7.95</v>
      </c>
      <c r="E10799" s="787">
        <v>377.95</v>
      </c>
      <c r="F10799" s="788">
        <v>41180</v>
      </c>
      <c r="G10799" s="788">
        <v>41255</v>
      </c>
      <c r="H10799" s="787">
        <v>1</v>
      </c>
      <c r="I10799" s="788">
        <v>41031</v>
      </c>
      <c r="J10799" s="788">
        <v>41036</v>
      </c>
      <c r="K10799" s="788">
        <v>41382</v>
      </c>
      <c r="L10799" s="787">
        <v>1</v>
      </c>
      <c r="M10799" s="787">
        <v>10</v>
      </c>
      <c r="N10799" s="787">
        <v>409.21</v>
      </c>
      <c r="O10799" s="788">
        <v>42156</v>
      </c>
    </row>
    <row r="10800" spans="1:15" x14ac:dyDescent="0.25">
      <c r="A10800" s="786" t="s">
        <v>19303</v>
      </c>
      <c r="B10800" s="787">
        <v>4</v>
      </c>
      <c r="C10800" s="787" t="s">
        <v>19304</v>
      </c>
      <c r="D10800" s="787">
        <v>2.3199999999999998</v>
      </c>
      <c r="E10800" s="787">
        <v>332.8</v>
      </c>
      <c r="F10800" s="788">
        <v>41180</v>
      </c>
      <c r="G10800" s="788">
        <v>42017</v>
      </c>
      <c r="H10800" s="787">
        <v>1</v>
      </c>
      <c r="I10800" s="788">
        <v>41985</v>
      </c>
      <c r="J10800" s="788">
        <v>41984</v>
      </c>
      <c r="K10800" s="788">
        <v>41382</v>
      </c>
      <c r="L10800" s="787">
        <v>1</v>
      </c>
      <c r="M10800" s="787">
        <v>10</v>
      </c>
      <c r="N10800" s="787">
        <v>347.77</v>
      </c>
      <c r="O10800" s="788">
        <v>42156</v>
      </c>
    </row>
    <row r="10801" spans="1:15" x14ac:dyDescent="0.25">
      <c r="A10801" s="786" t="s">
        <v>19305</v>
      </c>
      <c r="B10801" s="787">
        <v>4</v>
      </c>
      <c r="C10801" s="787" t="s">
        <v>19306</v>
      </c>
      <c r="D10801" s="787">
        <v>9.16</v>
      </c>
      <c r="E10801" s="787">
        <v>390.25</v>
      </c>
      <c r="F10801" s="788">
        <v>41180</v>
      </c>
      <c r="G10801" s="788">
        <v>41943</v>
      </c>
      <c r="H10801" s="787">
        <v>1</v>
      </c>
      <c r="I10801" s="788">
        <v>41906</v>
      </c>
      <c r="J10801" s="788">
        <v>41904</v>
      </c>
      <c r="K10801" s="788">
        <v>41382</v>
      </c>
      <c r="L10801" s="787">
        <v>1</v>
      </c>
      <c r="M10801" s="787">
        <v>10</v>
      </c>
      <c r="N10801" s="787">
        <v>347.77</v>
      </c>
      <c r="O10801" s="788">
        <v>42156</v>
      </c>
    </row>
    <row r="10802" spans="1:15" x14ac:dyDescent="0.25">
      <c r="A10802" s="786" t="s">
        <v>19307</v>
      </c>
      <c r="B10802" s="787">
        <v>4</v>
      </c>
      <c r="C10802" s="787" t="s">
        <v>19308</v>
      </c>
      <c r="D10802" s="787">
        <v>8.33</v>
      </c>
      <c r="E10802" s="787">
        <v>348.33</v>
      </c>
      <c r="F10802" s="788">
        <v>41775</v>
      </c>
      <c r="G10802" s="788">
        <v>41775</v>
      </c>
      <c r="H10802" s="787">
        <v>1</v>
      </c>
      <c r="I10802" s="788">
        <v>41726</v>
      </c>
      <c r="J10802" s="788">
        <v>41725</v>
      </c>
      <c r="K10802" s="788">
        <v>41382</v>
      </c>
      <c r="L10802" s="787">
        <v>1</v>
      </c>
      <c r="M10802" s="787">
        <v>10</v>
      </c>
      <c r="N10802" s="787">
        <v>361.91</v>
      </c>
      <c r="O10802" s="788">
        <v>42156</v>
      </c>
    </row>
    <row r="10803" spans="1:15" x14ac:dyDescent="0.25">
      <c r="A10803" s="786" t="s">
        <v>19309</v>
      </c>
      <c r="B10803" s="787">
        <v>4</v>
      </c>
      <c r="C10803" s="787" t="s">
        <v>19310</v>
      </c>
      <c r="D10803" s="787">
        <v>0</v>
      </c>
      <c r="E10803" s="787">
        <v>0</v>
      </c>
      <c r="G10803" s="788">
        <v>41255</v>
      </c>
      <c r="H10803" s="787">
        <v>1</v>
      </c>
      <c r="I10803" s="788">
        <v>40806</v>
      </c>
      <c r="J10803" s="788">
        <v>40207</v>
      </c>
      <c r="K10803" s="788">
        <v>41382</v>
      </c>
      <c r="L10803" s="787">
        <v>1</v>
      </c>
      <c r="M10803" s="787">
        <v>10</v>
      </c>
      <c r="N10803" s="787">
        <v>361.91</v>
      </c>
      <c r="O10803" s="788">
        <v>42156</v>
      </c>
    </row>
    <row r="10804" spans="1:15" x14ac:dyDescent="0.25">
      <c r="A10804" s="786" t="s">
        <v>19311</v>
      </c>
      <c r="B10804" s="787">
        <v>4</v>
      </c>
      <c r="C10804" s="787" t="s">
        <v>19312</v>
      </c>
      <c r="D10804" s="787">
        <v>0.19</v>
      </c>
      <c r="E10804" s="787">
        <v>298.04000000000002</v>
      </c>
      <c r="F10804" s="788">
        <v>40949</v>
      </c>
      <c r="G10804" s="788">
        <v>42090</v>
      </c>
      <c r="H10804" s="787">
        <v>1</v>
      </c>
      <c r="I10804" s="788">
        <v>42059</v>
      </c>
      <c r="J10804" s="788">
        <v>42058</v>
      </c>
      <c r="K10804" s="788">
        <v>41382</v>
      </c>
      <c r="L10804" s="787">
        <v>1</v>
      </c>
      <c r="M10804" s="787">
        <v>10</v>
      </c>
      <c r="N10804" s="787">
        <v>280.60000000000002</v>
      </c>
      <c r="O10804" s="788">
        <v>42146</v>
      </c>
    </row>
    <row r="10805" spans="1:15" x14ac:dyDescent="0.25">
      <c r="A10805" s="786" t="s">
        <v>19313</v>
      </c>
      <c r="B10805" s="787">
        <v>4</v>
      </c>
      <c r="C10805" s="787" t="s">
        <v>19314</v>
      </c>
      <c r="D10805" s="787">
        <v>2.33</v>
      </c>
      <c r="E10805" s="787">
        <v>321.27</v>
      </c>
      <c r="F10805" s="788">
        <v>42093</v>
      </c>
      <c r="G10805" s="788">
        <v>42093</v>
      </c>
      <c r="H10805" s="787">
        <v>1</v>
      </c>
      <c r="I10805" s="788">
        <v>42061</v>
      </c>
      <c r="J10805" s="788">
        <v>42061</v>
      </c>
      <c r="L10805" s="787">
        <v>0.01</v>
      </c>
      <c r="M10805" s="787">
        <v>10</v>
      </c>
      <c r="N10805" s="787">
        <v>280.63</v>
      </c>
      <c r="O10805" s="788">
        <v>42146</v>
      </c>
    </row>
    <row r="10806" spans="1:15" x14ac:dyDescent="0.25">
      <c r="A10806" s="786" t="s">
        <v>19315</v>
      </c>
      <c r="B10806" s="787">
        <v>4</v>
      </c>
      <c r="C10806" s="787" t="s">
        <v>19316</v>
      </c>
      <c r="D10806" s="787">
        <v>9.14</v>
      </c>
      <c r="E10806" s="787">
        <v>292.85000000000002</v>
      </c>
      <c r="F10806" s="788">
        <v>41166</v>
      </c>
      <c r="G10806" s="788">
        <v>42145</v>
      </c>
      <c r="H10806" s="787">
        <v>1</v>
      </c>
      <c r="I10806" s="788">
        <v>42145</v>
      </c>
      <c r="J10806" s="788">
        <v>42145</v>
      </c>
      <c r="K10806" s="788">
        <v>41382</v>
      </c>
      <c r="L10806" s="787">
        <v>1</v>
      </c>
      <c r="M10806" s="787">
        <v>10</v>
      </c>
      <c r="N10806" s="787">
        <v>271.94</v>
      </c>
      <c r="O10806" s="788">
        <v>42146</v>
      </c>
    </row>
    <row r="10807" spans="1:15" x14ac:dyDescent="0.25">
      <c r="A10807" s="786" t="s">
        <v>19317</v>
      </c>
      <c r="B10807" s="787">
        <v>4</v>
      </c>
      <c r="C10807" s="787" t="s">
        <v>19318</v>
      </c>
      <c r="D10807" s="787">
        <v>7.66</v>
      </c>
      <c r="E10807" s="787">
        <v>377.78</v>
      </c>
      <c r="F10807" s="788">
        <v>41425</v>
      </c>
      <c r="G10807" s="788">
        <v>42163</v>
      </c>
      <c r="H10807" s="787">
        <v>1</v>
      </c>
      <c r="I10807" s="788">
        <v>42131</v>
      </c>
      <c r="J10807" s="788">
        <v>42131</v>
      </c>
      <c r="K10807" s="788">
        <v>41382</v>
      </c>
      <c r="L10807" s="787">
        <v>1</v>
      </c>
      <c r="M10807" s="787">
        <v>10</v>
      </c>
      <c r="N10807" s="787">
        <v>275.69</v>
      </c>
      <c r="O10807" s="788">
        <v>42146</v>
      </c>
    </row>
    <row r="10808" spans="1:15" x14ac:dyDescent="0.25">
      <c r="A10808" s="786" t="s">
        <v>19319</v>
      </c>
      <c r="B10808" s="787">
        <v>4</v>
      </c>
      <c r="C10808" s="787" t="s">
        <v>19320</v>
      </c>
      <c r="D10808" s="787">
        <v>6.84</v>
      </c>
      <c r="E10808" s="787">
        <v>300.83</v>
      </c>
      <c r="F10808" s="788">
        <v>41495</v>
      </c>
      <c r="G10808" s="788">
        <v>41855</v>
      </c>
      <c r="H10808" s="787">
        <v>1</v>
      </c>
      <c r="I10808" s="788">
        <v>41894</v>
      </c>
      <c r="J10808" s="788">
        <v>41803</v>
      </c>
      <c r="K10808" s="788">
        <v>41382</v>
      </c>
      <c r="L10808" s="787">
        <v>1</v>
      </c>
      <c r="M10808" s="787">
        <v>10</v>
      </c>
      <c r="N10808" s="787">
        <v>253.59</v>
      </c>
      <c r="O10808" s="788">
        <v>42156</v>
      </c>
    </row>
    <row r="10809" spans="1:15" x14ac:dyDescent="0.25">
      <c r="A10809" s="786" t="s">
        <v>19321</v>
      </c>
      <c r="B10809" s="787">
        <v>4</v>
      </c>
      <c r="C10809" s="787" t="s">
        <v>19322</v>
      </c>
      <c r="D10809" s="787">
        <v>5.17</v>
      </c>
      <c r="E10809" s="787">
        <v>351.5</v>
      </c>
      <c r="F10809" s="788">
        <v>41425</v>
      </c>
      <c r="G10809" s="788">
        <v>41775</v>
      </c>
      <c r="H10809" s="787">
        <v>1</v>
      </c>
      <c r="I10809" s="788">
        <v>41600</v>
      </c>
      <c r="J10809" s="788">
        <v>41599</v>
      </c>
      <c r="K10809" s="788">
        <v>41382</v>
      </c>
      <c r="L10809" s="787">
        <v>1</v>
      </c>
      <c r="M10809" s="787">
        <v>10</v>
      </c>
      <c r="N10809" s="787">
        <v>253.59</v>
      </c>
      <c r="O10809" s="788">
        <v>42156</v>
      </c>
    </row>
    <row r="10810" spans="1:15" x14ac:dyDescent="0.25">
      <c r="A10810" s="786" t="s">
        <v>19323</v>
      </c>
      <c r="B10810" s="787">
        <v>4</v>
      </c>
      <c r="C10810" s="787" t="s">
        <v>19324</v>
      </c>
      <c r="D10810" s="787">
        <v>3.93</v>
      </c>
      <c r="E10810" s="787">
        <v>223.93</v>
      </c>
      <c r="F10810" s="788">
        <v>41467</v>
      </c>
      <c r="G10810" s="788">
        <v>41565</v>
      </c>
      <c r="H10810" s="787">
        <v>1</v>
      </c>
      <c r="I10810" s="788">
        <v>41425</v>
      </c>
      <c r="J10810" s="788">
        <v>41423</v>
      </c>
      <c r="L10810" s="787">
        <v>249.25</v>
      </c>
      <c r="M10810" s="787">
        <v>10</v>
      </c>
      <c r="N10810" s="787">
        <v>286.98</v>
      </c>
      <c r="O10810" s="788">
        <v>42156</v>
      </c>
    </row>
    <row r="10811" spans="1:15" x14ac:dyDescent="0.25">
      <c r="A10811" s="786" t="s">
        <v>19325</v>
      </c>
      <c r="B10811" s="787">
        <v>4</v>
      </c>
      <c r="C10811" s="787" t="s">
        <v>19326</v>
      </c>
      <c r="D10811" s="787">
        <v>7.02</v>
      </c>
      <c r="E10811" s="787">
        <v>245.05</v>
      </c>
      <c r="F10811" s="788">
        <v>41376</v>
      </c>
      <c r="G10811" s="788">
        <v>41376</v>
      </c>
      <c r="H10811" s="787">
        <v>1</v>
      </c>
      <c r="I10811" s="788">
        <v>41894</v>
      </c>
      <c r="J10811" s="788">
        <v>41346</v>
      </c>
      <c r="K10811" s="788">
        <v>41382</v>
      </c>
      <c r="L10811" s="787">
        <v>1</v>
      </c>
      <c r="M10811" s="787">
        <v>10</v>
      </c>
      <c r="N10811" s="787">
        <v>286.98</v>
      </c>
      <c r="O10811" s="788">
        <v>42156</v>
      </c>
    </row>
    <row r="10812" spans="1:15" x14ac:dyDescent="0.25">
      <c r="A10812" s="786" t="s">
        <v>19327</v>
      </c>
      <c r="B10812" s="787">
        <v>4</v>
      </c>
      <c r="C10812" s="787" t="s">
        <v>19328</v>
      </c>
      <c r="D10812" s="787">
        <v>2.2000000000000002</v>
      </c>
      <c r="E10812" s="787">
        <v>295.2</v>
      </c>
      <c r="F10812" s="788">
        <v>41579</v>
      </c>
      <c r="G10812" s="788">
        <v>41806</v>
      </c>
      <c r="H10812" s="787">
        <v>1</v>
      </c>
      <c r="I10812" s="788">
        <v>41697</v>
      </c>
      <c r="J10812" s="788">
        <v>41698</v>
      </c>
      <c r="K10812" s="788">
        <v>41530</v>
      </c>
      <c r="L10812" s="787">
        <v>400</v>
      </c>
      <c r="M10812" s="787">
        <v>10</v>
      </c>
      <c r="N10812" s="787">
        <v>271.08999999999997</v>
      </c>
      <c r="O10812" s="788">
        <v>42066</v>
      </c>
    </row>
    <row r="10813" spans="1:15" x14ac:dyDescent="0.25">
      <c r="A10813" s="786" t="s">
        <v>19329</v>
      </c>
      <c r="B10813" s="787">
        <v>4</v>
      </c>
      <c r="C10813" s="787" t="s">
        <v>19330</v>
      </c>
      <c r="D10813" s="787">
        <v>3.23</v>
      </c>
      <c r="E10813" s="787">
        <v>255.47</v>
      </c>
      <c r="F10813" s="788">
        <v>41806</v>
      </c>
      <c r="G10813" s="788">
        <v>42151</v>
      </c>
      <c r="H10813" s="787">
        <v>1</v>
      </c>
      <c r="I10813" s="788">
        <v>42166</v>
      </c>
      <c r="J10813" s="788">
        <v>42151</v>
      </c>
      <c r="K10813" s="788">
        <v>41626</v>
      </c>
      <c r="L10813" s="787">
        <v>247.54</v>
      </c>
      <c r="M10813" s="787">
        <v>10</v>
      </c>
      <c r="N10813" s="787">
        <v>267.8</v>
      </c>
      <c r="O10813" s="788">
        <v>42066</v>
      </c>
    </row>
    <row r="10814" spans="1:15" x14ac:dyDescent="0.25">
      <c r="A10814" s="786" t="s">
        <v>19331</v>
      </c>
      <c r="B10814" s="787">
        <v>4</v>
      </c>
      <c r="C10814" s="787" t="s">
        <v>19332</v>
      </c>
      <c r="D10814" s="787">
        <v>2.69</v>
      </c>
      <c r="E10814" s="787">
        <v>212.06</v>
      </c>
      <c r="F10814" s="788">
        <v>41906</v>
      </c>
      <c r="G10814" s="788">
        <v>42152</v>
      </c>
      <c r="H10814" s="787">
        <v>1</v>
      </c>
      <c r="I10814" s="788">
        <v>42166</v>
      </c>
      <c r="J10814" s="788">
        <v>42152</v>
      </c>
      <c r="K10814" s="788">
        <v>41502</v>
      </c>
      <c r="L10814" s="787">
        <v>204.75</v>
      </c>
      <c r="M10814" s="787">
        <v>10</v>
      </c>
      <c r="N10814" s="787">
        <v>196.85</v>
      </c>
      <c r="O10814" s="788">
        <v>42066</v>
      </c>
    </row>
    <row r="10815" spans="1:15" x14ac:dyDescent="0.25">
      <c r="A10815" s="786" t="s">
        <v>19333</v>
      </c>
      <c r="B10815" s="787">
        <v>4</v>
      </c>
      <c r="C10815" s="787" t="s">
        <v>19334</v>
      </c>
      <c r="D10815" s="787">
        <v>0.33</v>
      </c>
      <c r="E10815" s="787">
        <v>170.33</v>
      </c>
      <c r="F10815" s="788">
        <v>41369</v>
      </c>
      <c r="G10815" s="788">
        <v>41369</v>
      </c>
      <c r="H10815" s="787">
        <v>1</v>
      </c>
      <c r="I10815" s="788">
        <v>41312</v>
      </c>
      <c r="J10815" s="788">
        <v>41313</v>
      </c>
      <c r="K10815" s="788">
        <v>41885</v>
      </c>
      <c r="L10815" s="787">
        <v>209.84</v>
      </c>
      <c r="M10815" s="787">
        <v>10</v>
      </c>
      <c r="N10815" s="787">
        <v>211.89</v>
      </c>
      <c r="O10815" s="788">
        <v>42066</v>
      </c>
    </row>
    <row r="10816" spans="1:15" x14ac:dyDescent="0.25">
      <c r="A10816" s="786" t="s">
        <v>19335</v>
      </c>
      <c r="B10816" s="787">
        <v>4</v>
      </c>
      <c r="C10816" s="787" t="s">
        <v>19336</v>
      </c>
      <c r="D10816" s="787">
        <v>3.05</v>
      </c>
      <c r="E10816" s="787">
        <v>287.8</v>
      </c>
      <c r="F10816" s="788">
        <v>41134</v>
      </c>
      <c r="G10816" s="788">
        <v>41418</v>
      </c>
      <c r="H10816" s="787">
        <v>1</v>
      </c>
      <c r="I10816" s="788">
        <v>41373</v>
      </c>
      <c r="J10816" s="788">
        <v>41380</v>
      </c>
      <c r="K10816" s="788">
        <v>41885</v>
      </c>
      <c r="L10816" s="787">
        <v>203.91</v>
      </c>
      <c r="M10816" s="787">
        <v>10</v>
      </c>
      <c r="N10816" s="787">
        <v>203.91</v>
      </c>
      <c r="O10816" s="788">
        <v>42040</v>
      </c>
    </row>
    <row r="10817" spans="1:15" x14ac:dyDescent="0.25">
      <c r="A10817" s="786" t="s">
        <v>19337</v>
      </c>
      <c r="B10817" s="787">
        <v>4</v>
      </c>
      <c r="C10817" s="787" t="s">
        <v>19338</v>
      </c>
      <c r="D10817" s="787">
        <v>9.7899999999999991</v>
      </c>
      <c r="E10817" s="787">
        <v>177.98</v>
      </c>
      <c r="F10817" s="788">
        <v>41806</v>
      </c>
      <c r="G10817" s="788">
        <v>42166</v>
      </c>
      <c r="H10817" s="787">
        <v>1</v>
      </c>
      <c r="I10817" s="788">
        <v>42164</v>
      </c>
      <c r="J10817" s="788">
        <v>42163</v>
      </c>
      <c r="K10817" s="788">
        <v>41138</v>
      </c>
      <c r="L10817" s="787">
        <v>194.05</v>
      </c>
      <c r="M10817" s="787">
        <v>10</v>
      </c>
      <c r="N10817" s="787">
        <v>202</v>
      </c>
      <c r="O10817" s="788">
        <v>41989</v>
      </c>
    </row>
    <row r="10818" spans="1:15" x14ac:dyDescent="0.25">
      <c r="A10818" s="786" t="s">
        <v>19339</v>
      </c>
      <c r="B10818" s="787">
        <v>4</v>
      </c>
      <c r="C10818" s="787" t="s">
        <v>19340</v>
      </c>
      <c r="D10818" s="787">
        <v>8.7899999999999991</v>
      </c>
      <c r="E10818" s="787">
        <v>267.56</v>
      </c>
      <c r="F10818" s="788">
        <v>41813</v>
      </c>
      <c r="G10818" s="788">
        <v>42151</v>
      </c>
      <c r="H10818" s="787">
        <v>1</v>
      </c>
      <c r="I10818" s="788">
        <v>42152</v>
      </c>
      <c r="J10818" s="788">
        <v>42151</v>
      </c>
      <c r="K10818" s="788">
        <v>41437</v>
      </c>
      <c r="L10818" s="787">
        <v>1</v>
      </c>
      <c r="M10818" s="787">
        <v>10</v>
      </c>
      <c r="N10818" s="787">
        <v>261.13</v>
      </c>
      <c r="O10818" s="788">
        <v>41989</v>
      </c>
    </row>
    <row r="10819" spans="1:15" x14ac:dyDescent="0.25">
      <c r="A10819" s="786" t="s">
        <v>19341</v>
      </c>
      <c r="B10819" s="787">
        <v>4</v>
      </c>
      <c r="C10819" s="787" t="s">
        <v>19342</v>
      </c>
      <c r="D10819" s="787">
        <v>6.45</v>
      </c>
      <c r="E10819" s="787">
        <v>336.73</v>
      </c>
      <c r="F10819" s="788">
        <v>41813</v>
      </c>
      <c r="G10819" s="788">
        <v>42058</v>
      </c>
      <c r="H10819" s="787">
        <v>1</v>
      </c>
      <c r="I10819" s="788">
        <v>42033</v>
      </c>
      <c r="J10819" s="788">
        <v>42023</v>
      </c>
      <c r="K10819" s="788">
        <v>41390</v>
      </c>
      <c r="L10819" s="787">
        <v>1</v>
      </c>
      <c r="M10819" s="787">
        <v>10</v>
      </c>
      <c r="N10819" s="787">
        <v>328.26</v>
      </c>
      <c r="O10819" s="788">
        <v>42020</v>
      </c>
    </row>
    <row r="10820" spans="1:15" x14ac:dyDescent="0.25">
      <c r="A10820" s="786" t="s">
        <v>19343</v>
      </c>
      <c r="B10820" s="787">
        <v>4</v>
      </c>
      <c r="C10820" s="787" t="s">
        <v>19344</v>
      </c>
      <c r="D10820" s="787">
        <v>0</v>
      </c>
      <c r="E10820" s="787">
        <v>0</v>
      </c>
      <c r="H10820" s="787">
        <v>1</v>
      </c>
      <c r="K10820" s="788">
        <v>41885</v>
      </c>
      <c r="L10820" s="787">
        <v>199.34</v>
      </c>
      <c r="M10820" s="787">
        <v>10</v>
      </c>
      <c r="N10820" s="787">
        <v>199.34</v>
      </c>
      <c r="O10820" s="788">
        <v>42040</v>
      </c>
    </row>
    <row r="10821" spans="1:15" x14ac:dyDescent="0.25">
      <c r="A10821" s="786" t="s">
        <v>19345</v>
      </c>
      <c r="B10821" s="787">
        <v>4</v>
      </c>
      <c r="C10821" s="787" t="s">
        <v>19346</v>
      </c>
      <c r="D10821" s="787">
        <v>8.5299999999999994</v>
      </c>
      <c r="E10821" s="787">
        <v>193.35</v>
      </c>
      <c r="F10821" s="788">
        <v>41579</v>
      </c>
      <c r="G10821" s="788">
        <v>42088</v>
      </c>
      <c r="H10821" s="787">
        <v>1</v>
      </c>
      <c r="I10821" s="788">
        <v>42055</v>
      </c>
      <c r="J10821" s="788">
        <v>42054</v>
      </c>
      <c r="K10821" s="788">
        <v>41885</v>
      </c>
      <c r="L10821" s="787">
        <v>185.61</v>
      </c>
      <c r="M10821" s="787">
        <v>10</v>
      </c>
      <c r="N10821" s="787">
        <v>187.44</v>
      </c>
      <c r="O10821" s="788">
        <v>42032</v>
      </c>
    </row>
    <row r="10822" spans="1:15" x14ac:dyDescent="0.25">
      <c r="A10822" s="786" t="s">
        <v>19347</v>
      </c>
      <c r="B10822" s="787">
        <v>4</v>
      </c>
      <c r="C10822" s="787" t="s">
        <v>19348</v>
      </c>
      <c r="D10822" s="787">
        <v>8.89</v>
      </c>
      <c r="E10822" s="787">
        <v>275.05</v>
      </c>
      <c r="F10822" s="788">
        <v>41134</v>
      </c>
      <c r="G10822" s="788">
        <v>42160</v>
      </c>
      <c r="H10822" s="787">
        <v>1</v>
      </c>
      <c r="I10822" s="788">
        <v>42131</v>
      </c>
      <c r="J10822" s="788">
        <v>42129</v>
      </c>
      <c r="K10822" s="788">
        <v>41885</v>
      </c>
      <c r="L10822" s="787">
        <v>256.56</v>
      </c>
      <c r="M10822" s="787">
        <v>10</v>
      </c>
      <c r="N10822" s="787">
        <v>256.56</v>
      </c>
      <c r="O10822" s="788">
        <v>41989</v>
      </c>
    </row>
    <row r="10823" spans="1:15" x14ac:dyDescent="0.25">
      <c r="A10823" s="786" t="s">
        <v>19349</v>
      </c>
      <c r="B10823" s="787">
        <v>4</v>
      </c>
      <c r="C10823" s="787" t="s">
        <v>19350</v>
      </c>
      <c r="D10823" s="787">
        <v>5.9</v>
      </c>
      <c r="E10823" s="787">
        <v>276.8</v>
      </c>
      <c r="F10823" s="788">
        <v>40946</v>
      </c>
      <c r="G10823" s="788">
        <v>42058</v>
      </c>
      <c r="H10823" s="787">
        <v>1</v>
      </c>
      <c r="I10823" s="788">
        <v>42030</v>
      </c>
      <c r="J10823" s="788">
        <v>42027</v>
      </c>
      <c r="K10823" s="788">
        <v>41533</v>
      </c>
      <c r="L10823" s="787">
        <v>281.76</v>
      </c>
      <c r="M10823" s="787">
        <v>10</v>
      </c>
      <c r="N10823" s="787">
        <v>261.36</v>
      </c>
      <c r="O10823" s="788">
        <v>42026</v>
      </c>
    </row>
    <row r="10824" spans="1:15" x14ac:dyDescent="0.25">
      <c r="A10824" s="786" t="s">
        <v>19351</v>
      </c>
      <c r="B10824" s="787">
        <v>4</v>
      </c>
      <c r="C10824" s="787" t="s">
        <v>19352</v>
      </c>
      <c r="D10824" s="787">
        <v>0</v>
      </c>
      <c r="E10824" s="787">
        <v>0</v>
      </c>
      <c r="H10824" s="787">
        <v>1</v>
      </c>
      <c r="L10824" s="787">
        <v>0</v>
      </c>
      <c r="M10824" s="787">
        <v>10</v>
      </c>
      <c r="N10824" s="787">
        <v>115.58</v>
      </c>
      <c r="O10824" s="788">
        <v>41858</v>
      </c>
    </row>
    <row r="10825" spans="1:15" x14ac:dyDescent="0.25">
      <c r="A10825" s="786" t="s">
        <v>19353</v>
      </c>
      <c r="B10825" s="787">
        <v>4</v>
      </c>
      <c r="C10825" s="787" t="s">
        <v>19354</v>
      </c>
      <c r="D10825" s="787">
        <v>7.46</v>
      </c>
      <c r="E10825" s="787">
        <v>157.46</v>
      </c>
      <c r="F10825" s="788">
        <v>41166</v>
      </c>
      <c r="G10825" s="788">
        <v>41166</v>
      </c>
      <c r="H10825" s="787">
        <v>1</v>
      </c>
      <c r="J10825" s="788">
        <v>41130</v>
      </c>
      <c r="K10825" s="788">
        <v>41127</v>
      </c>
      <c r="L10825" s="787">
        <v>115</v>
      </c>
      <c r="M10825" s="787">
        <v>10</v>
      </c>
      <c r="N10825" s="787">
        <v>119.95</v>
      </c>
      <c r="O10825" s="788">
        <v>41858</v>
      </c>
    </row>
    <row r="10826" spans="1:15" x14ac:dyDescent="0.25">
      <c r="A10826" s="786" t="s">
        <v>19355</v>
      </c>
      <c r="B10826" s="787">
        <v>4</v>
      </c>
      <c r="C10826" s="787" t="s">
        <v>19352</v>
      </c>
      <c r="D10826" s="787">
        <v>0</v>
      </c>
      <c r="E10826" s="787">
        <v>0</v>
      </c>
      <c r="H10826" s="787">
        <v>1</v>
      </c>
      <c r="L10826" s="787">
        <v>0</v>
      </c>
      <c r="M10826" s="787">
        <v>10</v>
      </c>
      <c r="N10826" s="787">
        <v>0</v>
      </c>
      <c r="O10826" s="788">
        <v>40824</v>
      </c>
    </row>
    <row r="10827" spans="1:15" x14ac:dyDescent="0.25">
      <c r="A10827" s="786" t="s">
        <v>19356</v>
      </c>
      <c r="B10827" s="787">
        <v>4</v>
      </c>
      <c r="C10827" s="787" t="s">
        <v>19357</v>
      </c>
      <c r="D10827" s="787">
        <v>0</v>
      </c>
      <c r="E10827" s="787">
        <v>0</v>
      </c>
      <c r="H10827" s="787">
        <v>1</v>
      </c>
      <c r="L10827" s="787">
        <v>0</v>
      </c>
      <c r="M10827" s="787">
        <v>10</v>
      </c>
      <c r="N10827" s="787">
        <v>0</v>
      </c>
      <c r="O10827" s="788">
        <v>40824</v>
      </c>
    </row>
    <row r="10828" spans="1:15" x14ac:dyDescent="0.25">
      <c r="A10828" s="786" t="s">
        <v>19358</v>
      </c>
      <c r="B10828" s="787">
        <v>4</v>
      </c>
      <c r="C10828" s="787" t="s">
        <v>19352</v>
      </c>
      <c r="D10828" s="787">
        <v>0</v>
      </c>
      <c r="E10828" s="787">
        <v>0</v>
      </c>
      <c r="H10828" s="787">
        <v>1</v>
      </c>
      <c r="L10828" s="787">
        <v>0</v>
      </c>
      <c r="M10828" s="787">
        <v>10</v>
      </c>
      <c r="N10828" s="787">
        <v>0</v>
      </c>
      <c r="O10828" s="788">
        <v>40824</v>
      </c>
    </row>
    <row r="10829" spans="1:15" x14ac:dyDescent="0.25">
      <c r="A10829" s="786" t="s">
        <v>19359</v>
      </c>
      <c r="B10829" s="787">
        <v>4</v>
      </c>
      <c r="C10829" s="787" t="s">
        <v>19357</v>
      </c>
      <c r="D10829" s="787">
        <v>0</v>
      </c>
      <c r="E10829" s="787">
        <v>0</v>
      </c>
      <c r="H10829" s="787">
        <v>1</v>
      </c>
      <c r="L10829" s="787">
        <v>0</v>
      </c>
      <c r="M10829" s="787">
        <v>10</v>
      </c>
      <c r="N10829" s="787">
        <v>0</v>
      </c>
      <c r="O10829" s="788">
        <v>40824</v>
      </c>
    </row>
    <row r="10830" spans="1:15" x14ac:dyDescent="0.25">
      <c r="A10830" s="786" t="s">
        <v>19360</v>
      </c>
      <c r="B10830" s="787">
        <v>4</v>
      </c>
      <c r="C10830" s="787" t="s">
        <v>19361</v>
      </c>
      <c r="D10830" s="787">
        <v>0</v>
      </c>
      <c r="E10830" s="787">
        <v>0</v>
      </c>
      <c r="G10830" s="788">
        <v>42164</v>
      </c>
      <c r="H10830" s="787">
        <v>1</v>
      </c>
      <c r="I10830" s="788">
        <v>42165</v>
      </c>
      <c r="J10830" s="788">
        <v>42164</v>
      </c>
      <c r="K10830" s="788">
        <v>42163</v>
      </c>
      <c r="L10830" s="787">
        <v>330.78</v>
      </c>
      <c r="M10830" s="787">
        <v>10</v>
      </c>
      <c r="N10830" s="787">
        <v>330.78</v>
      </c>
      <c r="O10830" s="788">
        <v>42163</v>
      </c>
    </row>
    <row r="10831" spans="1:15" x14ac:dyDescent="0.25">
      <c r="A10831" s="786" t="s">
        <v>19362</v>
      </c>
      <c r="B10831" s="787">
        <v>4</v>
      </c>
      <c r="C10831" s="787" t="s">
        <v>19363</v>
      </c>
      <c r="D10831" s="787">
        <v>0</v>
      </c>
      <c r="E10831" s="787">
        <v>0</v>
      </c>
      <c r="H10831" s="787">
        <v>6</v>
      </c>
      <c r="K10831" s="788">
        <v>41879</v>
      </c>
      <c r="L10831" s="787">
        <v>8</v>
      </c>
      <c r="M10831" s="787">
        <v>20</v>
      </c>
      <c r="N10831" s="787">
        <v>0</v>
      </c>
    </row>
    <row r="10832" spans="1:15" x14ac:dyDescent="0.25">
      <c r="A10832" s="786" t="s">
        <v>19364</v>
      </c>
      <c r="B10832" s="787">
        <v>4</v>
      </c>
      <c r="C10832" s="787" t="s">
        <v>19365</v>
      </c>
      <c r="D10832" s="787">
        <v>5.83</v>
      </c>
      <c r="E10832" s="787">
        <v>195.83</v>
      </c>
      <c r="F10832" s="788">
        <v>42067</v>
      </c>
      <c r="G10832" s="788">
        <v>42067</v>
      </c>
      <c r="H10832" s="787">
        <v>1</v>
      </c>
      <c r="I10832" s="788">
        <v>42034</v>
      </c>
      <c r="J10832" s="788">
        <v>42034</v>
      </c>
      <c r="K10832" s="788">
        <v>42033</v>
      </c>
      <c r="L10832" s="787">
        <v>192.99</v>
      </c>
      <c r="M10832" s="787">
        <v>10</v>
      </c>
      <c r="N10832" s="787">
        <v>192.99</v>
      </c>
      <c r="O10832" s="788">
        <v>42033</v>
      </c>
    </row>
    <row r="10833" spans="1:15" x14ac:dyDescent="0.25">
      <c r="A10833" s="786" t="s">
        <v>19366</v>
      </c>
      <c r="B10833" s="787">
        <v>4</v>
      </c>
      <c r="C10833" s="787" t="s">
        <v>19367</v>
      </c>
      <c r="D10833" s="787">
        <v>7.86</v>
      </c>
      <c r="E10833" s="787">
        <v>464.98</v>
      </c>
      <c r="F10833" s="788">
        <v>40946</v>
      </c>
      <c r="G10833" s="788">
        <v>42076</v>
      </c>
      <c r="H10833" s="787">
        <v>1</v>
      </c>
      <c r="I10833" s="788">
        <v>42151</v>
      </c>
      <c r="J10833" s="788">
        <v>42146</v>
      </c>
      <c r="K10833" s="788">
        <v>41025</v>
      </c>
      <c r="L10833" s="787">
        <v>413.5</v>
      </c>
      <c r="M10833" s="787">
        <v>10</v>
      </c>
      <c r="N10833" s="787">
        <v>453.14</v>
      </c>
      <c r="O10833" s="788">
        <v>42146</v>
      </c>
    </row>
    <row r="10834" spans="1:15" x14ac:dyDescent="0.25">
      <c r="A10834" s="786" t="s">
        <v>19368</v>
      </c>
      <c r="B10834" s="787">
        <v>4</v>
      </c>
      <c r="C10834" s="787" t="s">
        <v>19369</v>
      </c>
      <c r="D10834" s="787">
        <v>7.11</v>
      </c>
      <c r="E10834" s="787">
        <v>516.26</v>
      </c>
      <c r="F10834" s="788">
        <v>41369</v>
      </c>
      <c r="G10834" s="788">
        <v>41369</v>
      </c>
      <c r="H10834" s="787">
        <v>1</v>
      </c>
      <c r="I10834" s="788">
        <v>41340</v>
      </c>
      <c r="J10834" s="788">
        <v>41338</v>
      </c>
      <c r="K10834" s="788">
        <v>41025</v>
      </c>
      <c r="L10834" s="787">
        <v>476.11</v>
      </c>
      <c r="M10834" s="787">
        <v>10</v>
      </c>
      <c r="N10834" s="787">
        <v>501.57</v>
      </c>
      <c r="O10834" s="788">
        <v>42146</v>
      </c>
    </row>
    <row r="10835" spans="1:15" x14ac:dyDescent="0.25">
      <c r="A10835" s="786" t="s">
        <v>19370</v>
      </c>
      <c r="B10835" s="787">
        <v>4</v>
      </c>
      <c r="C10835" s="787" t="s">
        <v>19371</v>
      </c>
      <c r="D10835" s="787">
        <v>9.9700000000000006</v>
      </c>
      <c r="E10835" s="787">
        <v>446.41</v>
      </c>
      <c r="F10835" s="788">
        <v>41907</v>
      </c>
      <c r="G10835" s="788">
        <v>41908</v>
      </c>
      <c r="H10835" s="787">
        <v>1</v>
      </c>
      <c r="I10835" s="788">
        <v>41878</v>
      </c>
      <c r="J10835" s="788">
        <v>41872</v>
      </c>
      <c r="K10835" s="788">
        <v>41025</v>
      </c>
      <c r="L10835" s="787">
        <v>414.27</v>
      </c>
      <c r="M10835" s="787">
        <v>10</v>
      </c>
      <c r="N10835" s="787">
        <v>454.95</v>
      </c>
      <c r="O10835" s="788">
        <v>42146</v>
      </c>
    </row>
    <row r="10836" spans="1:15" x14ac:dyDescent="0.25">
      <c r="A10836" s="786" t="s">
        <v>19372</v>
      </c>
      <c r="B10836" s="787">
        <v>4</v>
      </c>
      <c r="C10836" s="787" t="s">
        <v>19373</v>
      </c>
      <c r="D10836" s="787">
        <v>0</v>
      </c>
      <c r="E10836" s="787">
        <v>0</v>
      </c>
      <c r="H10836" s="787">
        <v>1</v>
      </c>
      <c r="K10836" s="788">
        <v>41025</v>
      </c>
      <c r="L10836" s="787">
        <v>476.88</v>
      </c>
      <c r="M10836" s="787">
        <v>10</v>
      </c>
      <c r="N10836" s="787">
        <v>503.74</v>
      </c>
      <c r="O10836" s="788">
        <v>42146</v>
      </c>
    </row>
    <row r="10837" spans="1:15" x14ac:dyDescent="0.25">
      <c r="A10837" s="786" t="s">
        <v>19374</v>
      </c>
      <c r="B10837" s="787">
        <v>4</v>
      </c>
      <c r="C10837" s="787" t="s">
        <v>19375</v>
      </c>
      <c r="D10837" s="787">
        <v>3.85</v>
      </c>
      <c r="E10837" s="787">
        <v>597.74</v>
      </c>
      <c r="F10837" s="788">
        <v>41418</v>
      </c>
      <c r="G10837" s="788">
        <v>42158</v>
      </c>
      <c r="H10837" s="787">
        <v>1</v>
      </c>
      <c r="I10837" s="788">
        <v>42160</v>
      </c>
      <c r="J10837" s="788">
        <v>42129</v>
      </c>
      <c r="K10837" s="788">
        <v>41025</v>
      </c>
      <c r="L10837" s="787">
        <v>478.77</v>
      </c>
      <c r="M10837" s="787">
        <v>10</v>
      </c>
      <c r="N10837" s="787">
        <v>582.41999999999996</v>
      </c>
      <c r="O10837" s="788">
        <v>41989</v>
      </c>
    </row>
    <row r="10838" spans="1:15" x14ac:dyDescent="0.25">
      <c r="A10838" s="786" t="s">
        <v>19376</v>
      </c>
      <c r="B10838" s="787">
        <v>4</v>
      </c>
      <c r="C10838" s="787" t="s">
        <v>19377</v>
      </c>
      <c r="D10838" s="787">
        <v>7.99</v>
      </c>
      <c r="E10838" s="787">
        <v>657.46</v>
      </c>
      <c r="F10838" s="788">
        <v>41813</v>
      </c>
      <c r="G10838" s="788">
        <v>42018</v>
      </c>
      <c r="H10838" s="787">
        <v>1</v>
      </c>
      <c r="I10838" s="788">
        <v>41970</v>
      </c>
      <c r="J10838" s="788">
        <v>41968</v>
      </c>
      <c r="K10838" s="788">
        <v>41025</v>
      </c>
      <c r="L10838" s="787">
        <v>479.81</v>
      </c>
      <c r="M10838" s="787">
        <v>10</v>
      </c>
      <c r="N10838" s="787">
        <v>585.73</v>
      </c>
      <c r="O10838" s="788">
        <v>41989</v>
      </c>
    </row>
    <row r="10839" spans="1:15" x14ac:dyDescent="0.25">
      <c r="A10839" s="786" t="s">
        <v>469</v>
      </c>
      <c r="B10839" s="787">
        <v>4</v>
      </c>
      <c r="C10839" s="787" t="s">
        <v>19378</v>
      </c>
      <c r="D10839" s="787">
        <v>3.92</v>
      </c>
      <c r="E10839" s="787">
        <v>436.64</v>
      </c>
      <c r="F10839" s="788">
        <v>41166</v>
      </c>
      <c r="G10839" s="788">
        <v>42160</v>
      </c>
      <c r="H10839" s="787">
        <v>1</v>
      </c>
      <c r="I10839" s="788">
        <v>42026</v>
      </c>
      <c r="J10839" s="788">
        <v>42160</v>
      </c>
      <c r="K10839" s="788">
        <v>41025</v>
      </c>
      <c r="L10839" s="787">
        <v>424.4</v>
      </c>
      <c r="M10839" s="787">
        <v>10</v>
      </c>
      <c r="N10839" s="787">
        <v>468.59</v>
      </c>
      <c r="O10839" s="788">
        <v>42146</v>
      </c>
    </row>
    <row r="10840" spans="1:15" x14ac:dyDescent="0.25">
      <c r="A10840" s="786" t="s">
        <v>471</v>
      </c>
      <c r="B10840" s="787">
        <v>4</v>
      </c>
      <c r="C10840" s="787" t="s">
        <v>19379</v>
      </c>
      <c r="D10840" s="787">
        <v>6.07</v>
      </c>
      <c r="E10840" s="787">
        <v>523.46</v>
      </c>
      <c r="F10840" s="788">
        <v>41908</v>
      </c>
      <c r="G10840" s="788">
        <v>42107</v>
      </c>
      <c r="H10840" s="787">
        <v>1</v>
      </c>
      <c r="I10840" s="788">
        <v>42086</v>
      </c>
      <c r="J10840" s="788">
        <v>42077</v>
      </c>
      <c r="K10840" s="788">
        <v>41025</v>
      </c>
      <c r="L10840" s="787">
        <v>487.01</v>
      </c>
      <c r="M10840" s="787">
        <v>10</v>
      </c>
      <c r="N10840" s="787">
        <v>517.33000000000004</v>
      </c>
      <c r="O10840" s="788">
        <v>42146</v>
      </c>
    </row>
    <row r="10841" spans="1:15" x14ac:dyDescent="0.25">
      <c r="A10841" s="786" t="s">
        <v>467</v>
      </c>
      <c r="B10841" s="787">
        <v>4</v>
      </c>
      <c r="C10841" s="787" t="s">
        <v>19380</v>
      </c>
      <c r="D10841" s="787">
        <v>4.12</v>
      </c>
      <c r="E10841" s="787">
        <v>508.81</v>
      </c>
      <c r="F10841" s="788">
        <v>41369</v>
      </c>
      <c r="G10841" s="788">
        <v>42160</v>
      </c>
      <c r="H10841" s="787">
        <v>1</v>
      </c>
      <c r="I10841" s="788">
        <v>42131</v>
      </c>
      <c r="J10841" s="788">
        <v>42160</v>
      </c>
      <c r="K10841" s="788">
        <v>41025</v>
      </c>
      <c r="L10841" s="787">
        <v>430.42</v>
      </c>
      <c r="M10841" s="787">
        <v>10</v>
      </c>
      <c r="N10841" s="787">
        <v>495.07</v>
      </c>
      <c r="O10841" s="788">
        <v>42146</v>
      </c>
    </row>
    <row r="10842" spans="1:15" x14ac:dyDescent="0.25">
      <c r="A10842" s="786" t="s">
        <v>470</v>
      </c>
      <c r="B10842" s="787">
        <v>4</v>
      </c>
      <c r="C10842" s="787" t="s">
        <v>19381</v>
      </c>
      <c r="D10842" s="787">
        <v>6.67</v>
      </c>
      <c r="E10842" s="787">
        <v>511.07</v>
      </c>
      <c r="F10842" s="788">
        <v>41135</v>
      </c>
      <c r="G10842" s="788">
        <v>42048</v>
      </c>
      <c r="H10842" s="787">
        <v>1</v>
      </c>
      <c r="I10842" s="788">
        <v>42026</v>
      </c>
      <c r="J10842" s="788">
        <v>42018</v>
      </c>
      <c r="K10842" s="788">
        <v>41025</v>
      </c>
      <c r="L10842" s="787">
        <v>493.03</v>
      </c>
      <c r="M10842" s="787">
        <v>10</v>
      </c>
      <c r="N10842" s="787">
        <v>520.36</v>
      </c>
      <c r="O10842" s="788">
        <v>42146</v>
      </c>
    </row>
    <row r="10843" spans="1:15" x14ac:dyDescent="0.25">
      <c r="A10843" s="786" t="s">
        <v>19382</v>
      </c>
      <c r="B10843" s="787">
        <v>4</v>
      </c>
      <c r="C10843" s="787" t="s">
        <v>19383</v>
      </c>
      <c r="D10843" s="787">
        <v>4.59</v>
      </c>
      <c r="E10843" s="787">
        <v>639.83000000000004</v>
      </c>
      <c r="F10843" s="788">
        <v>42096</v>
      </c>
      <c r="G10843" s="788">
        <v>42150</v>
      </c>
      <c r="H10843" s="787">
        <v>1</v>
      </c>
      <c r="I10843" s="788">
        <v>42146</v>
      </c>
      <c r="J10843" s="788">
        <v>42137</v>
      </c>
      <c r="K10843" s="788">
        <v>41025</v>
      </c>
      <c r="L10843" s="787">
        <v>469.8</v>
      </c>
      <c r="M10843" s="787">
        <v>10</v>
      </c>
      <c r="N10843" s="787">
        <v>599.05999999999995</v>
      </c>
      <c r="O10843" s="788">
        <v>42060</v>
      </c>
    </row>
    <row r="10844" spans="1:15" x14ac:dyDescent="0.25">
      <c r="A10844" s="786" t="s">
        <v>19384</v>
      </c>
      <c r="B10844" s="787">
        <v>4</v>
      </c>
      <c r="C10844" s="787" t="s">
        <v>19385</v>
      </c>
      <c r="D10844" s="787">
        <v>9.5</v>
      </c>
      <c r="E10844" s="787">
        <v>501.87</v>
      </c>
      <c r="F10844" s="788">
        <v>42023</v>
      </c>
      <c r="G10844" s="788">
        <v>42165</v>
      </c>
      <c r="H10844" s="787">
        <v>1</v>
      </c>
      <c r="I10844" s="788">
        <v>42160</v>
      </c>
      <c r="J10844" s="788">
        <v>42136</v>
      </c>
      <c r="K10844" s="788">
        <v>41025</v>
      </c>
      <c r="L10844" s="787">
        <v>470.85</v>
      </c>
      <c r="M10844" s="787">
        <v>10</v>
      </c>
      <c r="N10844" s="787">
        <v>602.25</v>
      </c>
      <c r="O10844" s="788">
        <v>42060</v>
      </c>
    </row>
    <row r="10845" spans="1:15" x14ac:dyDescent="0.25">
      <c r="A10845" s="786" t="s">
        <v>19386</v>
      </c>
      <c r="B10845" s="787">
        <v>4</v>
      </c>
      <c r="C10845" s="787" t="s">
        <v>19387</v>
      </c>
      <c r="D10845" s="787">
        <v>0.96</v>
      </c>
      <c r="E10845" s="787">
        <v>711.92</v>
      </c>
      <c r="F10845" s="788">
        <v>41813</v>
      </c>
      <c r="G10845" s="788">
        <v>41955</v>
      </c>
      <c r="H10845" s="787">
        <v>1</v>
      </c>
      <c r="I10845" s="788">
        <v>41928</v>
      </c>
      <c r="J10845" s="788">
        <v>41922</v>
      </c>
      <c r="K10845" s="788">
        <v>41025</v>
      </c>
      <c r="L10845" s="787">
        <v>497.49</v>
      </c>
      <c r="M10845" s="787">
        <v>10</v>
      </c>
      <c r="N10845" s="787">
        <v>630.52</v>
      </c>
      <c r="O10845" s="788">
        <v>42052</v>
      </c>
    </row>
    <row r="10846" spans="1:15" x14ac:dyDescent="0.25">
      <c r="A10846" s="786" t="s">
        <v>19388</v>
      </c>
      <c r="B10846" s="787">
        <v>4</v>
      </c>
      <c r="C10846" s="787" t="s">
        <v>19389</v>
      </c>
      <c r="D10846" s="787">
        <v>2.7</v>
      </c>
      <c r="E10846" s="787">
        <v>569.62</v>
      </c>
      <c r="F10846" s="788">
        <v>41526</v>
      </c>
      <c r="G10846" s="788">
        <v>41579</v>
      </c>
      <c r="H10846" s="787">
        <v>1</v>
      </c>
      <c r="I10846" s="788">
        <v>41558</v>
      </c>
      <c r="J10846" s="788">
        <v>41557</v>
      </c>
      <c r="K10846" s="788">
        <v>41025</v>
      </c>
      <c r="L10846" s="787">
        <v>499.03</v>
      </c>
      <c r="M10846" s="787">
        <v>10</v>
      </c>
      <c r="N10846" s="787">
        <v>632.61</v>
      </c>
      <c r="O10846" s="788">
        <v>42162</v>
      </c>
    </row>
    <row r="10847" spans="1:15" x14ac:dyDescent="0.25">
      <c r="A10847" s="786" t="s">
        <v>19390</v>
      </c>
      <c r="B10847" s="787">
        <v>4</v>
      </c>
      <c r="C10847" s="787" t="s">
        <v>19391</v>
      </c>
      <c r="D10847" s="787">
        <v>0.4</v>
      </c>
      <c r="E10847" s="787">
        <v>330.4</v>
      </c>
      <c r="F10847" s="788">
        <v>41886</v>
      </c>
      <c r="G10847" s="788">
        <v>41886</v>
      </c>
      <c r="H10847" s="787">
        <v>1</v>
      </c>
      <c r="I10847" s="788">
        <v>41857</v>
      </c>
      <c r="J10847" s="788">
        <v>41850</v>
      </c>
      <c r="K10847" s="788">
        <v>41025</v>
      </c>
      <c r="L10847" s="787">
        <v>434.43</v>
      </c>
      <c r="M10847" s="787">
        <v>10</v>
      </c>
      <c r="N10847" s="787">
        <v>473.61</v>
      </c>
      <c r="O10847" s="788">
        <v>42146</v>
      </c>
    </row>
    <row r="10848" spans="1:15" x14ac:dyDescent="0.25">
      <c r="A10848" s="786" t="s">
        <v>19392</v>
      </c>
      <c r="B10848" s="787">
        <v>4</v>
      </c>
      <c r="C10848" s="787" t="s">
        <v>19393</v>
      </c>
      <c r="D10848" s="787">
        <v>8.83</v>
      </c>
      <c r="E10848" s="787">
        <v>585.63</v>
      </c>
      <c r="F10848" s="788">
        <v>41775</v>
      </c>
      <c r="G10848" s="788">
        <v>42089</v>
      </c>
      <c r="H10848" s="787">
        <v>1</v>
      </c>
      <c r="I10848" s="788">
        <v>42074</v>
      </c>
      <c r="J10848" s="788">
        <v>42069</v>
      </c>
      <c r="K10848" s="788">
        <v>41025</v>
      </c>
      <c r="L10848" s="787">
        <v>435.78</v>
      </c>
      <c r="M10848" s="787">
        <v>10</v>
      </c>
      <c r="N10848" s="787">
        <v>476.02</v>
      </c>
      <c r="O10848" s="788">
        <v>42162</v>
      </c>
    </row>
    <row r="10849" spans="1:15" x14ac:dyDescent="0.25">
      <c r="A10849" s="786" t="s">
        <v>19394</v>
      </c>
      <c r="B10849" s="787">
        <v>4</v>
      </c>
      <c r="C10849" s="787" t="s">
        <v>19395</v>
      </c>
      <c r="D10849" s="787">
        <v>9.6300000000000008</v>
      </c>
      <c r="E10849" s="787">
        <v>467.84</v>
      </c>
      <c r="F10849" s="788">
        <v>41166</v>
      </c>
      <c r="G10849" s="788">
        <v>41166</v>
      </c>
      <c r="H10849" s="787">
        <v>1</v>
      </c>
      <c r="I10849" s="788">
        <v>41125</v>
      </c>
      <c r="J10849" s="788">
        <v>41125</v>
      </c>
      <c r="L10849" s="787">
        <v>1</v>
      </c>
      <c r="M10849" s="787">
        <v>10</v>
      </c>
      <c r="N10849" s="787">
        <v>505.17</v>
      </c>
      <c r="O10849" s="788">
        <v>42055</v>
      </c>
    </row>
    <row r="10850" spans="1:15" x14ac:dyDescent="0.25">
      <c r="A10850" s="786" t="s">
        <v>19396</v>
      </c>
      <c r="B10850" s="787">
        <v>4</v>
      </c>
      <c r="C10850" s="787" t="s">
        <v>19397</v>
      </c>
      <c r="D10850" s="787">
        <v>7.78</v>
      </c>
      <c r="E10850" s="787">
        <v>61.7</v>
      </c>
      <c r="F10850" s="788">
        <v>39101</v>
      </c>
      <c r="G10850" s="788">
        <v>42013</v>
      </c>
      <c r="H10850" s="787">
        <v>1</v>
      </c>
      <c r="I10850" s="788">
        <v>41989</v>
      </c>
      <c r="J10850" s="788">
        <v>40843</v>
      </c>
      <c r="L10850" s="787">
        <v>62.98</v>
      </c>
      <c r="M10850" s="787">
        <v>20</v>
      </c>
      <c r="N10850" s="787">
        <v>67.7</v>
      </c>
      <c r="O10850" s="788">
        <v>41989</v>
      </c>
    </row>
    <row r="10851" spans="1:15" x14ac:dyDescent="0.25">
      <c r="A10851" s="786" t="s">
        <v>19398</v>
      </c>
      <c r="B10851" s="787">
        <v>4</v>
      </c>
      <c r="C10851" s="787" t="s">
        <v>19399</v>
      </c>
      <c r="D10851" s="787">
        <v>3.41</v>
      </c>
      <c r="E10851" s="787">
        <v>66.569999999999993</v>
      </c>
      <c r="F10851" s="788">
        <v>39101</v>
      </c>
      <c r="G10851" s="788">
        <v>41282</v>
      </c>
      <c r="H10851" s="787">
        <v>1</v>
      </c>
      <c r="I10851" s="788">
        <v>40774</v>
      </c>
      <c r="J10851" s="788">
        <v>40450</v>
      </c>
      <c r="L10851" s="787">
        <v>47.32</v>
      </c>
      <c r="M10851" s="787">
        <v>20</v>
      </c>
      <c r="N10851" s="787">
        <v>50.87</v>
      </c>
      <c r="O10851" s="788">
        <v>41858</v>
      </c>
    </row>
    <row r="10852" spans="1:15" x14ac:dyDescent="0.25">
      <c r="A10852" s="786" t="s">
        <v>19400</v>
      </c>
      <c r="B10852" s="787">
        <v>4</v>
      </c>
      <c r="C10852" s="787" t="s">
        <v>19401</v>
      </c>
      <c r="D10852" s="787">
        <v>5.3</v>
      </c>
      <c r="E10852" s="787">
        <v>49</v>
      </c>
      <c r="F10852" s="788">
        <v>39097</v>
      </c>
      <c r="G10852" s="788">
        <v>42146</v>
      </c>
      <c r="H10852" s="787">
        <v>1</v>
      </c>
      <c r="I10852" s="788">
        <v>42165</v>
      </c>
      <c r="J10852" s="788">
        <v>42121</v>
      </c>
      <c r="K10852" s="788">
        <v>40926</v>
      </c>
      <c r="L10852" s="787">
        <v>47.2</v>
      </c>
      <c r="M10852" s="787">
        <v>20</v>
      </c>
      <c r="N10852" s="787">
        <v>50.74</v>
      </c>
      <c r="O10852" s="788">
        <v>42159</v>
      </c>
    </row>
    <row r="10853" spans="1:15" x14ac:dyDescent="0.25">
      <c r="A10853" s="786" t="s">
        <v>19402</v>
      </c>
      <c r="B10853" s="787">
        <v>4</v>
      </c>
      <c r="C10853" s="787" t="s">
        <v>19403</v>
      </c>
      <c r="D10853" s="787">
        <v>2.44</v>
      </c>
      <c r="E10853" s="787">
        <v>42.44</v>
      </c>
      <c r="F10853" s="788">
        <v>39101</v>
      </c>
      <c r="G10853" s="788">
        <v>39101</v>
      </c>
      <c r="H10853" s="787">
        <v>1</v>
      </c>
      <c r="I10853" s="788">
        <v>41597</v>
      </c>
      <c r="J10853" s="788">
        <v>39149</v>
      </c>
      <c r="L10853" s="787">
        <v>46.26</v>
      </c>
      <c r="M10853" s="787">
        <v>20</v>
      </c>
      <c r="N10853" s="787">
        <v>49.73</v>
      </c>
      <c r="O10853" s="788">
        <v>41858</v>
      </c>
    </row>
    <row r="10854" spans="1:15" x14ac:dyDescent="0.25">
      <c r="A10854" s="786" t="s">
        <v>19404</v>
      </c>
      <c r="B10854" s="787">
        <v>4</v>
      </c>
      <c r="C10854" s="787" t="s">
        <v>19405</v>
      </c>
      <c r="D10854" s="787">
        <v>5.6</v>
      </c>
      <c r="E10854" s="787">
        <v>83.99</v>
      </c>
      <c r="F10854" s="788">
        <v>37643</v>
      </c>
      <c r="G10854" s="788">
        <v>40553</v>
      </c>
      <c r="H10854" s="787">
        <v>1</v>
      </c>
      <c r="I10854" s="788">
        <v>40763</v>
      </c>
      <c r="J10854" s="788">
        <v>39962</v>
      </c>
      <c r="L10854" s="787">
        <v>75.290000000000006</v>
      </c>
      <c r="M10854" s="787">
        <v>20</v>
      </c>
      <c r="N10854" s="787">
        <v>80.94</v>
      </c>
      <c r="O10854" s="788">
        <v>41858</v>
      </c>
    </row>
    <row r="10855" spans="1:15" x14ac:dyDescent="0.25">
      <c r="A10855" s="786" t="s">
        <v>19406</v>
      </c>
      <c r="B10855" s="787">
        <v>4</v>
      </c>
      <c r="C10855" s="787" t="s">
        <v>19407</v>
      </c>
      <c r="D10855" s="787">
        <v>0.92</v>
      </c>
      <c r="E10855" s="787">
        <v>76.88</v>
      </c>
      <c r="F10855" s="788">
        <v>39101</v>
      </c>
      <c r="G10855" s="788">
        <v>40914</v>
      </c>
      <c r="H10855" s="787">
        <v>1</v>
      </c>
      <c r="I10855" s="788">
        <v>40392</v>
      </c>
      <c r="J10855" s="788">
        <v>39665</v>
      </c>
      <c r="L10855" s="787">
        <v>77.3</v>
      </c>
      <c r="M10855" s="787">
        <v>20</v>
      </c>
      <c r="N10855" s="787">
        <v>83.1</v>
      </c>
      <c r="O10855" s="788">
        <v>41858</v>
      </c>
    </row>
    <row r="10856" spans="1:15" x14ac:dyDescent="0.25">
      <c r="A10856" s="786" t="s">
        <v>19408</v>
      </c>
      <c r="B10856" s="787">
        <v>4</v>
      </c>
      <c r="C10856" s="787" t="s">
        <v>19409</v>
      </c>
      <c r="D10856" s="787">
        <v>7.66</v>
      </c>
      <c r="E10856" s="787">
        <v>57.66</v>
      </c>
      <c r="F10856" s="788">
        <v>39101</v>
      </c>
      <c r="G10856" s="788">
        <v>39101</v>
      </c>
      <c r="H10856" s="787">
        <v>1</v>
      </c>
      <c r="I10856" s="788">
        <v>40813</v>
      </c>
      <c r="J10856" s="788">
        <v>39149</v>
      </c>
      <c r="L10856" s="787">
        <v>68.23</v>
      </c>
      <c r="M10856" s="787">
        <v>20</v>
      </c>
      <c r="N10856" s="787">
        <v>73.349999999999994</v>
      </c>
      <c r="O10856" s="788">
        <v>41858</v>
      </c>
    </row>
    <row r="10857" spans="1:15" x14ac:dyDescent="0.25">
      <c r="A10857" s="786" t="s">
        <v>19410</v>
      </c>
      <c r="B10857" s="787">
        <v>4</v>
      </c>
      <c r="C10857" s="787" t="s">
        <v>19411</v>
      </c>
      <c r="D10857" s="787">
        <v>9.6300000000000008</v>
      </c>
      <c r="E10857" s="787">
        <v>16.05</v>
      </c>
      <c r="F10857" s="788">
        <v>39101</v>
      </c>
      <c r="G10857" s="788">
        <v>42013</v>
      </c>
      <c r="H10857" s="787">
        <v>1</v>
      </c>
      <c r="I10857" s="788">
        <v>42136</v>
      </c>
      <c r="J10857" s="788">
        <v>41941</v>
      </c>
      <c r="L10857" s="787">
        <v>6.13</v>
      </c>
      <c r="M10857" s="787">
        <v>20</v>
      </c>
      <c r="N10857" s="787">
        <v>6.59</v>
      </c>
      <c r="O10857" s="788">
        <v>42164</v>
      </c>
    </row>
    <row r="10858" spans="1:15" x14ac:dyDescent="0.25">
      <c r="A10858" s="786" t="s">
        <v>19412</v>
      </c>
      <c r="B10858" s="787">
        <v>4</v>
      </c>
      <c r="C10858" s="787" t="s">
        <v>19413</v>
      </c>
      <c r="D10858" s="787">
        <v>0.39</v>
      </c>
      <c r="E10858" s="787">
        <v>40.39</v>
      </c>
      <c r="F10858" s="788">
        <v>39101</v>
      </c>
      <c r="G10858" s="788">
        <v>39101</v>
      </c>
      <c r="H10858" s="787">
        <v>1</v>
      </c>
      <c r="I10858" s="788">
        <v>39134</v>
      </c>
      <c r="J10858" s="788">
        <v>39149</v>
      </c>
      <c r="L10858" s="787">
        <v>44.03</v>
      </c>
      <c r="M10858" s="787">
        <v>20</v>
      </c>
      <c r="N10858" s="787">
        <v>47.33</v>
      </c>
      <c r="O10858" s="788">
        <v>41858</v>
      </c>
    </row>
    <row r="10859" spans="1:15" x14ac:dyDescent="0.25">
      <c r="A10859" s="786" t="s">
        <v>19414</v>
      </c>
      <c r="B10859" s="787">
        <v>4</v>
      </c>
      <c r="C10859" s="787" t="s">
        <v>19415</v>
      </c>
      <c r="D10859" s="787">
        <v>6.65</v>
      </c>
      <c r="E10859" s="787">
        <v>6.65</v>
      </c>
      <c r="F10859" s="788">
        <v>37643</v>
      </c>
      <c r="G10859" s="788">
        <v>38736</v>
      </c>
      <c r="H10859" s="787">
        <v>1</v>
      </c>
      <c r="I10859" s="788">
        <v>39783</v>
      </c>
      <c r="J10859" s="788">
        <v>37643</v>
      </c>
      <c r="L10859" s="787">
        <v>7.25</v>
      </c>
      <c r="M10859" s="787">
        <v>20</v>
      </c>
      <c r="N10859" s="787">
        <v>7.79</v>
      </c>
      <c r="O10859" s="788">
        <v>41858</v>
      </c>
    </row>
    <row r="10860" spans="1:15" x14ac:dyDescent="0.25">
      <c r="A10860" s="786" t="s">
        <v>19416</v>
      </c>
      <c r="B10860" s="787">
        <v>4</v>
      </c>
      <c r="C10860" s="787" t="s">
        <v>19417</v>
      </c>
      <c r="D10860" s="787">
        <v>1.85</v>
      </c>
      <c r="E10860" s="787">
        <v>31.85</v>
      </c>
      <c r="F10860" s="788">
        <v>41969</v>
      </c>
      <c r="G10860" s="788">
        <v>41974</v>
      </c>
      <c r="H10860" s="787">
        <v>1</v>
      </c>
      <c r="I10860" s="788">
        <v>41974</v>
      </c>
      <c r="J10860" s="788">
        <v>41968</v>
      </c>
      <c r="K10860" s="788">
        <v>41964</v>
      </c>
      <c r="L10860" s="787">
        <v>45</v>
      </c>
      <c r="M10860" s="787">
        <v>20</v>
      </c>
      <c r="N10860" s="787">
        <v>48.38</v>
      </c>
      <c r="O10860" s="788">
        <v>41965</v>
      </c>
    </row>
    <row r="10861" spans="1:15" x14ac:dyDescent="0.25">
      <c r="A10861" s="786" t="s">
        <v>19418</v>
      </c>
      <c r="B10861" s="787">
        <v>4</v>
      </c>
      <c r="C10861" s="787" t="s">
        <v>19419</v>
      </c>
      <c r="D10861" s="787">
        <v>6.88</v>
      </c>
      <c r="E10861" s="787">
        <v>66.88</v>
      </c>
      <c r="F10861" s="788">
        <v>41969</v>
      </c>
      <c r="G10861" s="788">
        <v>41974</v>
      </c>
      <c r="H10861" s="787">
        <v>1</v>
      </c>
      <c r="I10861" s="788">
        <v>41974</v>
      </c>
      <c r="J10861" s="788">
        <v>41968</v>
      </c>
      <c r="K10861" s="788">
        <v>41964</v>
      </c>
      <c r="L10861" s="787">
        <v>94.5</v>
      </c>
      <c r="M10861" s="787">
        <v>20</v>
      </c>
      <c r="N10861" s="787">
        <v>101.59</v>
      </c>
      <c r="O10861" s="788">
        <v>41965</v>
      </c>
    </row>
    <row r="10862" spans="1:15" x14ac:dyDescent="0.25">
      <c r="A10862" s="786" t="s">
        <v>19420</v>
      </c>
      <c r="B10862" s="787">
        <v>4</v>
      </c>
      <c r="C10862" s="787" t="s">
        <v>19421</v>
      </c>
      <c r="D10862" s="787">
        <v>4.5</v>
      </c>
      <c r="E10862" s="787">
        <v>109.9</v>
      </c>
      <c r="F10862" s="788">
        <v>42086</v>
      </c>
      <c r="G10862" s="788">
        <v>42158</v>
      </c>
      <c r="H10862" s="787">
        <v>1</v>
      </c>
      <c r="I10862" s="788">
        <v>42157</v>
      </c>
      <c r="J10862" s="788">
        <v>42156</v>
      </c>
      <c r="K10862" s="788">
        <v>41968</v>
      </c>
      <c r="L10862" s="787">
        <v>97.3</v>
      </c>
      <c r="M10862" s="787">
        <v>20</v>
      </c>
      <c r="N10862" s="787">
        <v>86</v>
      </c>
      <c r="O10862" s="788">
        <v>41965</v>
      </c>
    </row>
    <row r="10863" spans="1:15" x14ac:dyDescent="0.25">
      <c r="A10863" s="786" t="s">
        <v>19422</v>
      </c>
      <c r="B10863" s="787">
        <v>4</v>
      </c>
      <c r="C10863" s="787" t="s">
        <v>19423</v>
      </c>
      <c r="D10863" s="787">
        <v>0</v>
      </c>
      <c r="E10863" s="787">
        <v>0</v>
      </c>
      <c r="H10863" s="787">
        <v>1</v>
      </c>
      <c r="K10863" s="788">
        <v>41968</v>
      </c>
      <c r="L10863" s="787">
        <v>83.3</v>
      </c>
      <c r="M10863" s="787">
        <v>20</v>
      </c>
      <c r="N10863" s="787">
        <v>91.38</v>
      </c>
      <c r="O10863" s="788">
        <v>41965</v>
      </c>
    </row>
    <row r="10864" spans="1:15" x14ac:dyDescent="0.25">
      <c r="A10864" s="786" t="s">
        <v>19424</v>
      </c>
      <c r="B10864" s="787">
        <v>4</v>
      </c>
      <c r="C10864" s="787" t="s">
        <v>19425</v>
      </c>
      <c r="D10864" s="787">
        <v>8.75</v>
      </c>
      <c r="E10864" s="787">
        <v>275.83</v>
      </c>
      <c r="F10864" s="788">
        <v>39784</v>
      </c>
      <c r="G10864" s="788">
        <v>42166</v>
      </c>
      <c r="H10864" s="787">
        <v>1</v>
      </c>
      <c r="I10864" s="788">
        <v>42165</v>
      </c>
      <c r="J10864" s="788">
        <v>42159</v>
      </c>
      <c r="K10864" s="788">
        <v>42143</v>
      </c>
      <c r="L10864" s="787">
        <v>270</v>
      </c>
      <c r="M10864" s="787">
        <v>20</v>
      </c>
      <c r="N10864" s="787">
        <v>290.25</v>
      </c>
      <c r="O10864" s="788">
        <v>42164</v>
      </c>
    </row>
    <row r="10865" spans="1:15" x14ac:dyDescent="0.25">
      <c r="A10865" s="786" t="s">
        <v>19426</v>
      </c>
      <c r="B10865" s="787">
        <v>4</v>
      </c>
      <c r="C10865" s="787" t="s">
        <v>19427</v>
      </c>
      <c r="D10865" s="787">
        <v>4.8899999999999997</v>
      </c>
      <c r="E10865" s="787">
        <v>520.33000000000004</v>
      </c>
      <c r="F10865" s="788">
        <v>38057</v>
      </c>
      <c r="G10865" s="788">
        <v>41837</v>
      </c>
      <c r="H10865" s="787">
        <v>1</v>
      </c>
      <c r="I10865" s="788">
        <v>41815</v>
      </c>
      <c r="J10865" s="788">
        <v>41823</v>
      </c>
      <c r="K10865" s="788">
        <v>41827</v>
      </c>
      <c r="L10865" s="787">
        <v>510.53</v>
      </c>
      <c r="M10865" s="787">
        <v>20</v>
      </c>
      <c r="N10865" s="787">
        <v>548.82000000000005</v>
      </c>
      <c r="O10865" s="788">
        <v>42164</v>
      </c>
    </row>
    <row r="10866" spans="1:15" x14ac:dyDescent="0.25">
      <c r="A10866" s="786" t="s">
        <v>19428</v>
      </c>
      <c r="B10866" s="787">
        <v>4</v>
      </c>
      <c r="C10866" s="787" t="s">
        <v>19429</v>
      </c>
      <c r="D10866" s="787">
        <v>8.86</v>
      </c>
      <c r="E10866" s="787">
        <v>47.56</v>
      </c>
      <c r="F10866" s="788">
        <v>39101</v>
      </c>
      <c r="G10866" s="788">
        <v>41943</v>
      </c>
      <c r="H10866" s="787">
        <v>1</v>
      </c>
      <c r="I10866" s="788">
        <v>42153</v>
      </c>
      <c r="J10866" s="788">
        <v>40511</v>
      </c>
      <c r="L10866" s="787">
        <v>38.75</v>
      </c>
      <c r="M10866" s="787">
        <v>20</v>
      </c>
      <c r="N10866" s="787">
        <v>41.66</v>
      </c>
      <c r="O10866" s="788">
        <v>42164</v>
      </c>
    </row>
    <row r="10867" spans="1:15" x14ac:dyDescent="0.25">
      <c r="A10867" s="786" t="s">
        <v>19430</v>
      </c>
      <c r="B10867" s="787">
        <v>4</v>
      </c>
      <c r="C10867" s="787" t="s">
        <v>19431</v>
      </c>
      <c r="D10867" s="787">
        <v>2.86</v>
      </c>
      <c r="E10867" s="787">
        <v>2.86</v>
      </c>
      <c r="F10867" s="788">
        <v>37643</v>
      </c>
      <c r="G10867" s="788">
        <v>37643</v>
      </c>
      <c r="H10867" s="787">
        <v>1</v>
      </c>
      <c r="I10867" s="788">
        <v>37243</v>
      </c>
      <c r="J10867" s="788">
        <v>37643</v>
      </c>
      <c r="L10867" s="787">
        <v>3.12</v>
      </c>
      <c r="M10867" s="787">
        <v>20</v>
      </c>
      <c r="N10867" s="787">
        <v>3.35</v>
      </c>
      <c r="O10867" s="788">
        <v>41858</v>
      </c>
    </row>
    <row r="10868" spans="1:15" x14ac:dyDescent="0.25">
      <c r="A10868" s="786" t="s">
        <v>19432</v>
      </c>
      <c r="B10868" s="787">
        <v>4</v>
      </c>
      <c r="C10868" s="787" t="s">
        <v>19433</v>
      </c>
      <c r="D10868" s="787">
        <v>8.3699999999999992</v>
      </c>
      <c r="E10868" s="787">
        <v>38.369999999999997</v>
      </c>
      <c r="F10868" s="788">
        <v>38047</v>
      </c>
      <c r="G10868" s="788">
        <v>38047</v>
      </c>
      <c r="H10868" s="787">
        <v>1</v>
      </c>
      <c r="I10868" s="788">
        <v>41866</v>
      </c>
      <c r="J10868" s="788">
        <v>38047</v>
      </c>
      <c r="L10868" s="787">
        <v>41.82</v>
      </c>
      <c r="M10868" s="787">
        <v>20</v>
      </c>
      <c r="N10868" s="787">
        <v>44.96</v>
      </c>
      <c r="O10868" s="788">
        <v>41858</v>
      </c>
    </row>
    <row r="10869" spans="1:15" x14ac:dyDescent="0.25">
      <c r="A10869" s="786" t="s">
        <v>19434</v>
      </c>
      <c r="B10869" s="787">
        <v>4</v>
      </c>
      <c r="C10869" s="787" t="s">
        <v>19435</v>
      </c>
      <c r="D10869" s="787">
        <v>0</v>
      </c>
      <c r="E10869" s="787">
        <v>0</v>
      </c>
      <c r="H10869" s="787">
        <v>1</v>
      </c>
      <c r="J10869" s="788">
        <v>37643</v>
      </c>
      <c r="L10869" s="787">
        <v>0</v>
      </c>
      <c r="M10869" s="787">
        <v>20</v>
      </c>
      <c r="N10869" s="787">
        <v>0</v>
      </c>
      <c r="O10869" s="788">
        <v>40824</v>
      </c>
    </row>
    <row r="10870" spans="1:15" x14ac:dyDescent="0.25">
      <c r="A10870" s="786" t="s">
        <v>19436</v>
      </c>
      <c r="B10870" s="787">
        <v>4</v>
      </c>
      <c r="C10870" s="787" t="s">
        <v>19437</v>
      </c>
      <c r="D10870" s="787">
        <v>0.57999999999999996</v>
      </c>
      <c r="E10870" s="787">
        <v>0.57999999999999996</v>
      </c>
      <c r="F10870" s="788">
        <v>37643</v>
      </c>
      <c r="G10870" s="788">
        <v>37643</v>
      </c>
      <c r="H10870" s="787">
        <v>1</v>
      </c>
      <c r="I10870" s="788">
        <v>37133</v>
      </c>
      <c r="J10870" s="788">
        <v>37643</v>
      </c>
      <c r="L10870" s="787">
        <v>0.63</v>
      </c>
      <c r="M10870" s="787">
        <v>20</v>
      </c>
      <c r="N10870" s="787">
        <v>0.68</v>
      </c>
      <c r="O10870" s="788">
        <v>41858</v>
      </c>
    </row>
    <row r="10871" spans="1:15" x14ac:dyDescent="0.25">
      <c r="A10871" s="786" t="s">
        <v>19438</v>
      </c>
      <c r="B10871" s="787">
        <v>4</v>
      </c>
      <c r="C10871" s="787" t="s">
        <v>19439</v>
      </c>
      <c r="D10871" s="787">
        <v>0.6</v>
      </c>
      <c r="E10871" s="787">
        <v>0.6</v>
      </c>
      <c r="F10871" s="788">
        <v>37643</v>
      </c>
      <c r="G10871" s="788">
        <v>37643</v>
      </c>
      <c r="H10871" s="787">
        <v>1</v>
      </c>
      <c r="I10871" s="788">
        <v>42051</v>
      </c>
      <c r="J10871" s="788">
        <v>42052</v>
      </c>
      <c r="L10871" s="787">
        <v>0.65</v>
      </c>
      <c r="M10871" s="787">
        <v>20</v>
      </c>
      <c r="N10871" s="787">
        <v>0.7</v>
      </c>
      <c r="O10871" s="788">
        <v>41858</v>
      </c>
    </row>
    <row r="10872" spans="1:15" x14ac:dyDescent="0.25">
      <c r="A10872" s="786" t="s">
        <v>19440</v>
      </c>
      <c r="B10872" s="787">
        <v>4</v>
      </c>
      <c r="C10872" s="787" t="s">
        <v>19441</v>
      </c>
      <c r="D10872" s="787">
        <v>0.37</v>
      </c>
      <c r="E10872" s="787">
        <v>0.4</v>
      </c>
      <c r="F10872" s="788">
        <v>39101</v>
      </c>
      <c r="G10872" s="788">
        <v>42156</v>
      </c>
      <c r="H10872" s="787">
        <v>1</v>
      </c>
      <c r="I10872" s="788">
        <v>42164</v>
      </c>
      <c r="J10872" s="788">
        <v>42130</v>
      </c>
      <c r="K10872" s="788">
        <v>40098</v>
      </c>
      <c r="L10872" s="787">
        <v>0.43</v>
      </c>
      <c r="M10872" s="787">
        <v>20</v>
      </c>
      <c r="N10872" s="787">
        <v>0.46</v>
      </c>
      <c r="O10872" s="788">
        <v>42163</v>
      </c>
    </row>
    <row r="10873" spans="1:15" x14ac:dyDescent="0.25">
      <c r="A10873" s="786" t="s">
        <v>19442</v>
      </c>
      <c r="B10873" s="787">
        <v>4</v>
      </c>
      <c r="C10873" s="787" t="s">
        <v>19443</v>
      </c>
      <c r="D10873" s="787">
        <v>0.06</v>
      </c>
      <c r="E10873" s="787">
        <v>0.28999999999999998</v>
      </c>
      <c r="F10873" s="788">
        <v>39190</v>
      </c>
      <c r="G10873" s="788">
        <v>42146</v>
      </c>
      <c r="H10873" s="787">
        <v>1</v>
      </c>
      <c r="I10873" s="788">
        <v>42165</v>
      </c>
      <c r="J10873" s="788">
        <v>42118</v>
      </c>
      <c r="K10873" s="788">
        <v>41869</v>
      </c>
      <c r="L10873" s="787">
        <v>0.24</v>
      </c>
      <c r="M10873" s="787">
        <v>20</v>
      </c>
      <c r="N10873" s="787">
        <v>0.26</v>
      </c>
      <c r="O10873" s="788">
        <v>42162</v>
      </c>
    </row>
    <row r="10874" spans="1:15" x14ac:dyDescent="0.25">
      <c r="A10874" s="786" t="s">
        <v>19444</v>
      </c>
      <c r="B10874" s="787">
        <v>4</v>
      </c>
      <c r="C10874" s="787" t="s">
        <v>19445</v>
      </c>
      <c r="D10874" s="787">
        <v>5.79</v>
      </c>
      <c r="E10874" s="787">
        <v>5.9</v>
      </c>
      <c r="F10874" s="788">
        <v>37412</v>
      </c>
      <c r="G10874" s="788">
        <v>37704</v>
      </c>
      <c r="H10874" s="787">
        <v>1</v>
      </c>
      <c r="J10874" s="788">
        <v>37670</v>
      </c>
      <c r="L10874" s="787">
        <v>6.43</v>
      </c>
      <c r="M10874" s="787">
        <v>20</v>
      </c>
      <c r="N10874" s="787">
        <v>6.91</v>
      </c>
      <c r="O10874" s="788">
        <v>41858</v>
      </c>
    </row>
    <row r="10875" spans="1:15" x14ac:dyDescent="0.25">
      <c r="A10875" s="786" t="s">
        <v>19446</v>
      </c>
      <c r="B10875" s="787">
        <v>4</v>
      </c>
      <c r="C10875" s="787" t="s">
        <v>19447</v>
      </c>
      <c r="D10875" s="787">
        <v>0.57999999999999996</v>
      </c>
      <c r="E10875" s="787">
        <v>10.58</v>
      </c>
      <c r="F10875" s="788">
        <v>37970</v>
      </c>
      <c r="G10875" s="788">
        <v>37970</v>
      </c>
      <c r="H10875" s="787">
        <v>1</v>
      </c>
      <c r="J10875" s="788">
        <v>37952</v>
      </c>
      <c r="L10875" s="787">
        <v>11.53</v>
      </c>
      <c r="M10875" s="787">
        <v>20</v>
      </c>
      <c r="N10875" s="787">
        <v>12.39</v>
      </c>
      <c r="O10875" s="788">
        <v>41858</v>
      </c>
    </row>
    <row r="10876" spans="1:15" x14ac:dyDescent="0.25">
      <c r="A10876" s="786" t="s">
        <v>19448</v>
      </c>
      <c r="B10876" s="787">
        <v>4</v>
      </c>
      <c r="C10876" s="787" t="s">
        <v>19449</v>
      </c>
      <c r="D10876" s="787">
        <v>0.81</v>
      </c>
      <c r="E10876" s="787">
        <v>1.07</v>
      </c>
      <c r="F10876" s="788">
        <v>40588</v>
      </c>
      <c r="G10876" s="788">
        <v>42013</v>
      </c>
      <c r="H10876" s="787">
        <v>1</v>
      </c>
      <c r="I10876" s="788">
        <v>37382</v>
      </c>
      <c r="J10876" s="788">
        <v>41773</v>
      </c>
      <c r="K10876" s="788">
        <v>41722</v>
      </c>
      <c r="L10876" s="787">
        <v>1</v>
      </c>
      <c r="M10876" s="787">
        <v>20</v>
      </c>
      <c r="N10876" s="787">
        <v>1.08</v>
      </c>
      <c r="O10876" s="788">
        <v>42045</v>
      </c>
    </row>
    <row r="10877" spans="1:15" x14ac:dyDescent="0.25">
      <c r="A10877" s="786" t="s">
        <v>19450</v>
      </c>
      <c r="B10877" s="787">
        <v>4</v>
      </c>
      <c r="C10877" s="787" t="s">
        <v>19451</v>
      </c>
      <c r="D10877" s="787">
        <v>1.84</v>
      </c>
      <c r="E10877" s="787">
        <v>38.380000000000003</v>
      </c>
      <c r="F10877" s="788">
        <v>41806</v>
      </c>
      <c r="G10877" s="788">
        <v>42013</v>
      </c>
      <c r="H10877" s="787">
        <v>1</v>
      </c>
      <c r="I10877" s="788">
        <v>41599</v>
      </c>
      <c r="J10877" s="788">
        <v>41803</v>
      </c>
      <c r="K10877" s="788">
        <v>41533</v>
      </c>
      <c r="L10877" s="787">
        <v>37</v>
      </c>
      <c r="M10877" s="787">
        <v>20</v>
      </c>
      <c r="N10877" s="787">
        <v>39.78</v>
      </c>
      <c r="O10877" s="788">
        <v>42038</v>
      </c>
    </row>
    <row r="10878" spans="1:15" x14ac:dyDescent="0.25">
      <c r="A10878" s="786" t="s">
        <v>19452</v>
      </c>
      <c r="B10878" s="787">
        <v>4</v>
      </c>
      <c r="C10878" s="787" t="s">
        <v>19453</v>
      </c>
      <c r="D10878" s="787">
        <v>0.33</v>
      </c>
      <c r="E10878" s="787">
        <v>10.33</v>
      </c>
      <c r="F10878" s="788">
        <v>39800</v>
      </c>
      <c r="G10878" s="788">
        <v>39521</v>
      </c>
      <c r="H10878" s="787">
        <v>1</v>
      </c>
      <c r="I10878" s="788">
        <v>40710</v>
      </c>
      <c r="J10878" s="788">
        <v>39521</v>
      </c>
      <c r="L10878" s="787">
        <v>11.53</v>
      </c>
      <c r="M10878" s="787">
        <v>20</v>
      </c>
      <c r="N10878" s="787">
        <v>12.39</v>
      </c>
      <c r="O10878" s="788">
        <v>41858</v>
      </c>
    </row>
    <row r="10879" spans="1:15" x14ac:dyDescent="0.25">
      <c r="A10879" s="786" t="s">
        <v>19454</v>
      </c>
      <c r="B10879" s="787">
        <v>4</v>
      </c>
      <c r="C10879" s="787" t="s">
        <v>19455</v>
      </c>
      <c r="D10879" s="787">
        <v>0</v>
      </c>
      <c r="E10879" s="787">
        <v>0</v>
      </c>
      <c r="H10879" s="787">
        <v>1</v>
      </c>
      <c r="L10879" s="787">
        <v>0</v>
      </c>
      <c r="M10879" s="787">
        <v>20</v>
      </c>
      <c r="N10879" s="787">
        <v>0</v>
      </c>
      <c r="O10879" s="788">
        <v>40824</v>
      </c>
    </row>
    <row r="10880" spans="1:15" x14ac:dyDescent="0.25">
      <c r="A10880" s="786" t="s">
        <v>19456</v>
      </c>
      <c r="B10880" s="787">
        <v>4</v>
      </c>
      <c r="C10880" s="787" t="s">
        <v>19457</v>
      </c>
      <c r="D10880" s="787">
        <v>0.43</v>
      </c>
      <c r="E10880" s="787">
        <v>0.43</v>
      </c>
      <c r="F10880" s="788">
        <v>38113</v>
      </c>
      <c r="G10880" s="788">
        <v>38113</v>
      </c>
      <c r="H10880" s="787">
        <v>1</v>
      </c>
      <c r="J10880" s="788">
        <v>38111</v>
      </c>
      <c r="L10880" s="787">
        <v>0.47</v>
      </c>
      <c r="M10880" s="787">
        <v>20</v>
      </c>
      <c r="N10880" s="787">
        <v>0.51</v>
      </c>
      <c r="O10880" s="788">
        <v>41858</v>
      </c>
    </row>
    <row r="10881" spans="1:15" x14ac:dyDescent="0.25">
      <c r="A10881" s="786" t="s">
        <v>19458</v>
      </c>
      <c r="B10881" s="787">
        <v>4</v>
      </c>
      <c r="C10881" s="787" t="s">
        <v>19459</v>
      </c>
      <c r="D10881" s="787">
        <v>5.16</v>
      </c>
      <c r="E10881" s="787">
        <v>5.16</v>
      </c>
      <c r="F10881" s="788">
        <v>39975</v>
      </c>
      <c r="G10881" s="788">
        <v>39590</v>
      </c>
      <c r="H10881" s="787">
        <v>1</v>
      </c>
      <c r="I10881" s="788">
        <v>41593</v>
      </c>
      <c r="J10881" s="788">
        <v>39457</v>
      </c>
      <c r="K10881" s="788">
        <v>39854</v>
      </c>
      <c r="L10881" s="787">
        <v>5.16</v>
      </c>
      <c r="M10881" s="787">
        <v>20</v>
      </c>
      <c r="N10881" s="787">
        <v>5.55</v>
      </c>
      <c r="O10881" s="788">
        <v>41858</v>
      </c>
    </row>
    <row r="10882" spans="1:15" x14ac:dyDescent="0.25">
      <c r="A10882" s="786" t="s">
        <v>19460</v>
      </c>
      <c r="B10882" s="787">
        <v>4</v>
      </c>
      <c r="C10882" s="787" t="s">
        <v>19461</v>
      </c>
      <c r="D10882" s="787">
        <v>0.48</v>
      </c>
      <c r="E10882" s="787">
        <v>0.48</v>
      </c>
      <c r="F10882" s="788">
        <v>40669</v>
      </c>
      <c r="G10882" s="788">
        <v>40669</v>
      </c>
      <c r="H10882" s="787">
        <v>1</v>
      </c>
      <c r="I10882" s="788">
        <v>40712</v>
      </c>
      <c r="J10882" s="788">
        <v>40673</v>
      </c>
      <c r="K10882" s="788">
        <v>40669</v>
      </c>
      <c r="L10882" s="787">
        <v>0.43</v>
      </c>
      <c r="M10882" s="787">
        <v>20</v>
      </c>
      <c r="N10882" s="787">
        <v>0.46</v>
      </c>
      <c r="O10882" s="788">
        <v>41858</v>
      </c>
    </row>
    <row r="10883" spans="1:15" x14ac:dyDescent="0.25">
      <c r="A10883" s="786" t="s">
        <v>19462</v>
      </c>
      <c r="B10883" s="787">
        <v>4</v>
      </c>
      <c r="C10883" s="787" t="s">
        <v>19463</v>
      </c>
      <c r="D10883" s="787">
        <v>0.34</v>
      </c>
      <c r="E10883" s="787">
        <v>0.51</v>
      </c>
      <c r="F10883" s="788">
        <v>39101</v>
      </c>
      <c r="G10883" s="788">
        <v>42013</v>
      </c>
      <c r="H10883" s="787">
        <v>1</v>
      </c>
      <c r="I10883" s="788">
        <v>42024</v>
      </c>
      <c r="J10883" s="788">
        <v>41445</v>
      </c>
      <c r="K10883" s="788">
        <v>40644</v>
      </c>
      <c r="L10883" s="787">
        <v>0.6</v>
      </c>
      <c r="M10883" s="787">
        <v>20</v>
      </c>
      <c r="N10883" s="787">
        <v>0.65</v>
      </c>
      <c r="O10883" s="788">
        <v>42164</v>
      </c>
    </row>
    <row r="10884" spans="1:15" x14ac:dyDescent="0.25">
      <c r="A10884" s="786" t="s">
        <v>19464</v>
      </c>
      <c r="B10884" s="787">
        <v>4</v>
      </c>
      <c r="C10884" s="787" t="s">
        <v>19465</v>
      </c>
      <c r="D10884" s="787">
        <v>0.44</v>
      </c>
      <c r="E10884" s="787">
        <v>0.44</v>
      </c>
      <c r="F10884" s="788">
        <v>37643</v>
      </c>
      <c r="G10884" s="788">
        <v>37643</v>
      </c>
      <c r="H10884" s="787">
        <v>1</v>
      </c>
      <c r="J10884" s="788">
        <v>37643</v>
      </c>
      <c r="L10884" s="787">
        <v>0.48</v>
      </c>
      <c r="M10884" s="787">
        <v>20</v>
      </c>
      <c r="N10884" s="787">
        <v>0.52</v>
      </c>
      <c r="O10884" s="788">
        <v>42162</v>
      </c>
    </row>
    <row r="10885" spans="1:15" x14ac:dyDescent="0.25">
      <c r="A10885" s="786" t="s">
        <v>19466</v>
      </c>
      <c r="B10885" s="787">
        <v>4</v>
      </c>
      <c r="C10885" s="787" t="s">
        <v>19467</v>
      </c>
      <c r="D10885" s="787">
        <v>0.34</v>
      </c>
      <c r="E10885" s="787">
        <v>0.41</v>
      </c>
      <c r="F10885" s="788">
        <v>39101</v>
      </c>
      <c r="G10885" s="788">
        <v>42013</v>
      </c>
      <c r="H10885" s="787">
        <v>1</v>
      </c>
      <c r="I10885" s="788">
        <v>42040</v>
      </c>
      <c r="J10885" s="788">
        <v>39723</v>
      </c>
      <c r="L10885" s="787">
        <v>0.37</v>
      </c>
      <c r="M10885" s="787">
        <v>20</v>
      </c>
      <c r="N10885" s="787">
        <v>0.4</v>
      </c>
      <c r="O10885" s="788">
        <v>41858</v>
      </c>
    </row>
    <row r="10886" spans="1:15" x14ac:dyDescent="0.25">
      <c r="A10886" s="786" t="s">
        <v>19468</v>
      </c>
      <c r="B10886" s="787">
        <v>4</v>
      </c>
      <c r="C10886" s="787" t="s">
        <v>19469</v>
      </c>
      <c r="D10886" s="787">
        <v>0.16</v>
      </c>
      <c r="E10886" s="787">
        <v>0.18</v>
      </c>
      <c r="F10886" s="788">
        <v>40651</v>
      </c>
      <c r="G10886" s="788">
        <v>41281</v>
      </c>
      <c r="H10886" s="787">
        <v>1</v>
      </c>
      <c r="I10886" s="788">
        <v>42016</v>
      </c>
      <c r="J10886" s="788">
        <v>41258</v>
      </c>
      <c r="K10886" s="788">
        <v>42166</v>
      </c>
      <c r="L10886" s="787">
        <v>0.43</v>
      </c>
      <c r="M10886" s="787">
        <v>20</v>
      </c>
      <c r="N10886" s="787">
        <v>0.16</v>
      </c>
      <c r="O10886" s="788">
        <v>42159</v>
      </c>
    </row>
    <row r="10887" spans="1:15" x14ac:dyDescent="0.25">
      <c r="A10887" s="786" t="s">
        <v>19470</v>
      </c>
      <c r="B10887" s="787">
        <v>4</v>
      </c>
      <c r="C10887" s="787" t="s">
        <v>19471</v>
      </c>
      <c r="D10887" s="787">
        <v>0.47</v>
      </c>
      <c r="E10887" s="787">
        <v>0.71</v>
      </c>
      <c r="F10887" s="788">
        <v>39101</v>
      </c>
      <c r="G10887" s="788">
        <v>42013</v>
      </c>
      <c r="H10887" s="787">
        <v>1</v>
      </c>
      <c r="I10887" s="788">
        <v>42136</v>
      </c>
      <c r="J10887" s="788">
        <v>40739</v>
      </c>
      <c r="K10887" s="788">
        <v>40715</v>
      </c>
      <c r="L10887" s="787">
        <v>0.6</v>
      </c>
      <c r="M10887" s="787">
        <v>20</v>
      </c>
      <c r="N10887" s="787">
        <v>0.65</v>
      </c>
      <c r="O10887" s="788">
        <v>42164</v>
      </c>
    </row>
    <row r="10888" spans="1:15" x14ac:dyDescent="0.25">
      <c r="A10888" s="786" t="s">
        <v>19472</v>
      </c>
      <c r="B10888" s="787">
        <v>4</v>
      </c>
      <c r="C10888" s="787" t="s">
        <v>19473</v>
      </c>
      <c r="D10888" s="787">
        <v>4.63</v>
      </c>
      <c r="E10888" s="787">
        <v>4.63</v>
      </c>
      <c r="F10888" s="788">
        <v>38594</v>
      </c>
      <c r="G10888" s="788">
        <v>38594</v>
      </c>
      <c r="H10888" s="787">
        <v>1</v>
      </c>
      <c r="I10888" s="788">
        <v>38600</v>
      </c>
      <c r="J10888" s="788">
        <v>38600</v>
      </c>
      <c r="L10888" s="787">
        <v>4.63</v>
      </c>
      <c r="M10888" s="787">
        <v>20</v>
      </c>
      <c r="N10888" s="787">
        <v>4.9800000000000004</v>
      </c>
      <c r="O10888" s="788">
        <v>41858</v>
      </c>
    </row>
    <row r="10889" spans="1:15" x14ac:dyDescent="0.25">
      <c r="A10889" s="786" t="s">
        <v>19474</v>
      </c>
      <c r="B10889" s="787">
        <v>4</v>
      </c>
      <c r="C10889" s="787" t="s">
        <v>19475</v>
      </c>
      <c r="D10889" s="787">
        <v>4.63</v>
      </c>
      <c r="E10889" s="787">
        <v>4.63</v>
      </c>
      <c r="F10889" s="788">
        <v>38594</v>
      </c>
      <c r="G10889" s="788">
        <v>38594</v>
      </c>
      <c r="H10889" s="787">
        <v>1</v>
      </c>
      <c r="I10889" s="788">
        <v>38600</v>
      </c>
      <c r="J10889" s="788">
        <v>38600</v>
      </c>
      <c r="L10889" s="787">
        <v>4.63</v>
      </c>
      <c r="M10889" s="787">
        <v>20</v>
      </c>
      <c r="N10889" s="787">
        <v>4.9800000000000004</v>
      </c>
      <c r="O10889" s="788">
        <v>41858</v>
      </c>
    </row>
    <row r="10890" spans="1:15" x14ac:dyDescent="0.25">
      <c r="A10890" s="786" t="s">
        <v>19476</v>
      </c>
      <c r="B10890" s="787">
        <v>4</v>
      </c>
      <c r="C10890" s="787" t="s">
        <v>19477</v>
      </c>
      <c r="D10890" s="787">
        <v>2.0099999999999998</v>
      </c>
      <c r="E10890" s="787">
        <v>2.0099999999999998</v>
      </c>
      <c r="F10890" s="788">
        <v>41880</v>
      </c>
      <c r="G10890" s="788">
        <v>42013</v>
      </c>
      <c r="H10890" s="787">
        <v>1</v>
      </c>
      <c r="I10890" s="788">
        <v>42156</v>
      </c>
      <c r="J10890" s="788">
        <v>41877</v>
      </c>
      <c r="K10890" s="788">
        <v>40249</v>
      </c>
      <c r="L10890" s="787">
        <v>2.21</v>
      </c>
      <c r="M10890" s="787">
        <v>20</v>
      </c>
      <c r="N10890" s="787">
        <v>2.38</v>
      </c>
      <c r="O10890" s="788">
        <v>42146</v>
      </c>
    </row>
    <row r="10891" spans="1:15" x14ac:dyDescent="0.25">
      <c r="A10891" s="786" t="s">
        <v>19478</v>
      </c>
      <c r="B10891" s="787">
        <v>4</v>
      </c>
      <c r="C10891" s="787" t="s">
        <v>19479</v>
      </c>
      <c r="D10891" s="787">
        <v>0</v>
      </c>
      <c r="E10891" s="787">
        <v>0</v>
      </c>
      <c r="H10891" s="787">
        <v>1</v>
      </c>
      <c r="I10891" s="788">
        <v>42016</v>
      </c>
      <c r="L10891" s="787">
        <v>0</v>
      </c>
      <c r="M10891" s="787">
        <v>20</v>
      </c>
      <c r="N10891" s="787">
        <v>0</v>
      </c>
      <c r="O10891" s="788">
        <v>40824</v>
      </c>
    </row>
    <row r="10892" spans="1:15" x14ac:dyDescent="0.25">
      <c r="A10892" s="786" t="s">
        <v>19480</v>
      </c>
      <c r="B10892" s="787">
        <v>4</v>
      </c>
      <c r="C10892" s="787" t="s">
        <v>19481</v>
      </c>
      <c r="D10892" s="787">
        <v>0.23</v>
      </c>
      <c r="E10892" s="787">
        <v>0.23</v>
      </c>
      <c r="F10892" s="788">
        <v>42032</v>
      </c>
      <c r="G10892" s="788">
        <v>42125</v>
      </c>
      <c r="H10892" s="787">
        <v>1</v>
      </c>
      <c r="I10892" s="788">
        <v>42160</v>
      </c>
      <c r="J10892" s="788">
        <v>42095</v>
      </c>
      <c r="K10892" s="788">
        <v>41492</v>
      </c>
      <c r="L10892" s="787">
        <v>0.46</v>
      </c>
      <c r="M10892" s="787">
        <v>20</v>
      </c>
      <c r="N10892" s="787">
        <v>0.49</v>
      </c>
      <c r="O10892" s="788">
        <v>42146</v>
      </c>
    </row>
    <row r="10893" spans="1:15" x14ac:dyDescent="0.25">
      <c r="A10893" s="786" t="s">
        <v>19482</v>
      </c>
      <c r="B10893" s="787">
        <v>4</v>
      </c>
      <c r="C10893" s="787" t="s">
        <v>19483</v>
      </c>
      <c r="D10893" s="787">
        <v>0.93</v>
      </c>
      <c r="E10893" s="787">
        <v>2.73</v>
      </c>
      <c r="F10893" s="788">
        <v>41037</v>
      </c>
      <c r="G10893" s="788">
        <v>41646</v>
      </c>
      <c r="H10893" s="787">
        <v>1</v>
      </c>
      <c r="I10893" s="788">
        <v>41590</v>
      </c>
      <c r="J10893" s="788">
        <v>41584</v>
      </c>
      <c r="K10893" s="788">
        <v>41025</v>
      </c>
      <c r="L10893" s="787">
        <v>1.5</v>
      </c>
      <c r="M10893" s="787">
        <v>20</v>
      </c>
      <c r="N10893" s="787">
        <v>1.61</v>
      </c>
      <c r="O10893" s="788">
        <v>42053</v>
      </c>
    </row>
    <row r="10894" spans="1:15" x14ac:dyDescent="0.25">
      <c r="A10894" s="786" t="s">
        <v>19484</v>
      </c>
      <c r="B10894" s="787">
        <v>4</v>
      </c>
      <c r="C10894" s="787" t="s">
        <v>19485</v>
      </c>
      <c r="D10894" s="787">
        <v>4.3099999999999996</v>
      </c>
      <c r="E10894" s="787">
        <v>7.13</v>
      </c>
      <c r="F10894" s="788">
        <v>40644</v>
      </c>
      <c r="G10894" s="788">
        <v>42157</v>
      </c>
      <c r="H10894" s="787">
        <v>1</v>
      </c>
      <c r="I10894" s="788">
        <v>42153</v>
      </c>
      <c r="J10894" s="788">
        <v>42157</v>
      </c>
      <c r="K10894" s="788">
        <v>41117</v>
      </c>
      <c r="L10894" s="787">
        <v>1</v>
      </c>
      <c r="M10894" s="787">
        <v>10</v>
      </c>
      <c r="N10894" s="787">
        <v>6.37</v>
      </c>
      <c r="O10894" s="788">
        <v>42162</v>
      </c>
    </row>
    <row r="10895" spans="1:15" x14ac:dyDescent="0.25">
      <c r="A10895" s="786" t="s">
        <v>19486</v>
      </c>
      <c r="B10895" s="787">
        <v>4</v>
      </c>
      <c r="C10895" s="787" t="s">
        <v>19487</v>
      </c>
      <c r="D10895" s="787">
        <v>1.56</v>
      </c>
      <c r="E10895" s="787">
        <v>3.18</v>
      </c>
      <c r="F10895" s="788">
        <v>39279</v>
      </c>
      <c r="G10895" s="788">
        <v>42150</v>
      </c>
      <c r="H10895" s="787">
        <v>1</v>
      </c>
      <c r="I10895" s="788">
        <v>42157</v>
      </c>
      <c r="J10895" s="788">
        <v>42131</v>
      </c>
      <c r="K10895" s="788">
        <v>40843</v>
      </c>
      <c r="L10895" s="787">
        <v>2.72</v>
      </c>
      <c r="M10895" s="787">
        <v>20</v>
      </c>
      <c r="N10895" s="787">
        <v>2.92</v>
      </c>
      <c r="O10895" s="788">
        <v>42162</v>
      </c>
    </row>
    <row r="10896" spans="1:15" x14ac:dyDescent="0.25">
      <c r="A10896" s="786" t="s">
        <v>19488</v>
      </c>
      <c r="B10896" s="787">
        <v>4</v>
      </c>
      <c r="C10896" s="787" t="s">
        <v>19489</v>
      </c>
      <c r="D10896" s="787">
        <v>1.73</v>
      </c>
      <c r="E10896" s="787">
        <v>2.09</v>
      </c>
      <c r="F10896" s="788">
        <v>39101</v>
      </c>
      <c r="G10896" s="788">
        <v>42150</v>
      </c>
      <c r="H10896" s="787">
        <v>1</v>
      </c>
      <c r="I10896" s="788">
        <v>42157</v>
      </c>
      <c r="J10896" s="788">
        <v>42131</v>
      </c>
      <c r="K10896" s="788">
        <v>41745</v>
      </c>
      <c r="L10896" s="787">
        <v>2.2599999999999998</v>
      </c>
      <c r="M10896" s="787">
        <v>20</v>
      </c>
      <c r="N10896" s="787">
        <v>2.4300000000000002</v>
      </c>
      <c r="O10896" s="788">
        <v>42162</v>
      </c>
    </row>
    <row r="10897" spans="1:15" x14ac:dyDescent="0.25">
      <c r="A10897" s="786" t="s">
        <v>19490</v>
      </c>
      <c r="B10897" s="787">
        <v>4</v>
      </c>
      <c r="C10897" s="787" t="s">
        <v>19491</v>
      </c>
      <c r="D10897" s="787">
        <v>0.35</v>
      </c>
      <c r="E10897" s="787">
        <v>0.56000000000000005</v>
      </c>
      <c r="F10897" s="788">
        <v>41071</v>
      </c>
      <c r="G10897" s="788">
        <v>42013</v>
      </c>
      <c r="H10897" s="787">
        <v>1</v>
      </c>
      <c r="I10897" s="788">
        <v>41823</v>
      </c>
      <c r="J10897" s="788">
        <v>41835</v>
      </c>
      <c r="K10897" s="788">
        <v>40689</v>
      </c>
      <c r="L10897" s="787">
        <v>0.39</v>
      </c>
      <c r="M10897" s="787">
        <v>20</v>
      </c>
      <c r="N10897" s="787">
        <v>0.42</v>
      </c>
      <c r="O10897" s="788">
        <v>42128</v>
      </c>
    </row>
    <row r="10898" spans="1:15" x14ac:dyDescent="0.25">
      <c r="A10898" s="786" t="s">
        <v>19492</v>
      </c>
      <c r="B10898" s="787">
        <v>4</v>
      </c>
      <c r="C10898" s="787" t="s">
        <v>19493</v>
      </c>
      <c r="D10898" s="787">
        <v>2.15</v>
      </c>
      <c r="E10898" s="787">
        <v>3.88</v>
      </c>
      <c r="F10898" s="788">
        <v>40239</v>
      </c>
      <c r="G10898" s="788">
        <v>42013</v>
      </c>
      <c r="H10898" s="787">
        <v>1</v>
      </c>
      <c r="I10898" s="788">
        <v>42152</v>
      </c>
      <c r="J10898" s="788">
        <v>41940</v>
      </c>
      <c r="K10898" s="788">
        <v>40843</v>
      </c>
      <c r="L10898" s="787">
        <v>3.76</v>
      </c>
      <c r="M10898" s="787">
        <v>20</v>
      </c>
      <c r="N10898" s="787">
        <v>4.04</v>
      </c>
      <c r="O10898" s="788">
        <v>42146</v>
      </c>
    </row>
    <row r="10899" spans="1:15" x14ac:dyDescent="0.25">
      <c r="A10899" s="786" t="s">
        <v>19494</v>
      </c>
      <c r="B10899" s="787">
        <v>4</v>
      </c>
      <c r="C10899" s="787" t="s">
        <v>19495</v>
      </c>
      <c r="D10899" s="787">
        <v>1.95</v>
      </c>
      <c r="E10899" s="787">
        <v>2.06</v>
      </c>
      <c r="F10899" s="788">
        <v>40239</v>
      </c>
      <c r="G10899" s="788">
        <v>42013</v>
      </c>
      <c r="H10899" s="787">
        <v>1</v>
      </c>
      <c r="I10899" s="788">
        <v>42152</v>
      </c>
      <c r="J10899" s="788">
        <v>41857</v>
      </c>
      <c r="K10899" s="788">
        <v>40843</v>
      </c>
      <c r="L10899" s="787">
        <v>2.06</v>
      </c>
      <c r="M10899" s="787">
        <v>20</v>
      </c>
      <c r="N10899" s="787">
        <v>2.21</v>
      </c>
      <c r="O10899" s="788">
        <v>42146</v>
      </c>
    </row>
    <row r="10900" spans="1:15" x14ac:dyDescent="0.25">
      <c r="A10900" s="786" t="s">
        <v>19496</v>
      </c>
      <c r="B10900" s="787">
        <v>4</v>
      </c>
      <c r="C10900" s="787" t="s">
        <v>19497</v>
      </c>
      <c r="D10900" s="787">
        <v>2.2999999999999998</v>
      </c>
      <c r="E10900" s="787">
        <v>7.54</v>
      </c>
      <c r="F10900" s="788">
        <v>41908</v>
      </c>
      <c r="G10900" s="788">
        <v>42152</v>
      </c>
      <c r="H10900" s="787">
        <v>1</v>
      </c>
      <c r="I10900" s="788">
        <v>42146</v>
      </c>
      <c r="J10900" s="788">
        <v>42152</v>
      </c>
      <c r="K10900" s="788">
        <v>41858</v>
      </c>
      <c r="L10900" s="787">
        <v>7.27</v>
      </c>
      <c r="M10900" s="787">
        <v>10</v>
      </c>
      <c r="N10900" s="787">
        <v>7.27</v>
      </c>
      <c r="O10900" s="788">
        <v>42146</v>
      </c>
    </row>
    <row r="10901" spans="1:15" x14ac:dyDescent="0.25">
      <c r="A10901" s="786" t="s">
        <v>19498</v>
      </c>
      <c r="B10901" s="787">
        <v>4</v>
      </c>
      <c r="C10901" s="787" t="s">
        <v>19499</v>
      </c>
      <c r="D10901" s="787">
        <v>0.39</v>
      </c>
      <c r="E10901" s="787">
        <v>0.4</v>
      </c>
      <c r="F10901" s="788">
        <v>39925</v>
      </c>
      <c r="G10901" s="788">
        <v>42142</v>
      </c>
      <c r="H10901" s="787">
        <v>1</v>
      </c>
      <c r="I10901" s="788">
        <v>42159</v>
      </c>
      <c r="J10901" s="788">
        <v>42114</v>
      </c>
      <c r="K10901" s="788">
        <v>40752</v>
      </c>
      <c r="L10901" s="787">
        <v>0.39</v>
      </c>
      <c r="M10901" s="787">
        <v>20</v>
      </c>
      <c r="N10901" s="787">
        <v>0.42</v>
      </c>
      <c r="O10901" s="788">
        <v>42146</v>
      </c>
    </row>
    <row r="10902" spans="1:15" x14ac:dyDescent="0.25">
      <c r="A10902" s="786" t="s">
        <v>19500</v>
      </c>
      <c r="B10902" s="787">
        <v>4</v>
      </c>
      <c r="C10902" s="787" t="s">
        <v>19501</v>
      </c>
      <c r="D10902" s="787">
        <v>0.73</v>
      </c>
      <c r="E10902" s="787">
        <v>0.73</v>
      </c>
      <c r="F10902" s="788">
        <v>41591</v>
      </c>
      <c r="G10902" s="788">
        <v>42013</v>
      </c>
      <c r="H10902" s="787">
        <v>1</v>
      </c>
      <c r="I10902" s="788">
        <v>41817</v>
      </c>
      <c r="J10902" s="788">
        <v>41591</v>
      </c>
      <c r="K10902" s="788">
        <v>40554</v>
      </c>
      <c r="L10902" s="787">
        <v>0.78</v>
      </c>
      <c r="M10902" s="787">
        <v>20</v>
      </c>
      <c r="N10902" s="787">
        <v>0.84</v>
      </c>
      <c r="O10902" s="788">
        <v>42128</v>
      </c>
    </row>
    <row r="10903" spans="1:15" x14ac:dyDescent="0.25">
      <c r="A10903" s="786" t="s">
        <v>19502</v>
      </c>
      <c r="B10903" s="787">
        <v>4</v>
      </c>
      <c r="C10903" s="787" t="s">
        <v>19503</v>
      </c>
      <c r="D10903" s="787">
        <v>1.0900000000000001</v>
      </c>
      <c r="E10903" s="787">
        <v>1.31</v>
      </c>
      <c r="F10903" s="788">
        <v>41334</v>
      </c>
      <c r="G10903" s="788">
        <v>41646</v>
      </c>
      <c r="H10903" s="787">
        <v>1</v>
      </c>
      <c r="I10903" s="788">
        <v>42052</v>
      </c>
      <c r="J10903" s="788">
        <v>41543</v>
      </c>
      <c r="K10903" s="788">
        <v>41197</v>
      </c>
      <c r="L10903" s="787">
        <v>0.1</v>
      </c>
      <c r="M10903" s="787">
        <v>10</v>
      </c>
      <c r="N10903" s="787">
        <v>0</v>
      </c>
    </row>
    <row r="10904" spans="1:15" x14ac:dyDescent="0.25">
      <c r="A10904" s="786" t="s">
        <v>19504</v>
      </c>
      <c r="B10904" s="787">
        <v>4</v>
      </c>
      <c r="C10904" s="787" t="s">
        <v>19505</v>
      </c>
      <c r="D10904" s="787">
        <v>2.2400000000000002</v>
      </c>
      <c r="E10904" s="787">
        <v>2.2400000000000002</v>
      </c>
      <c r="F10904" s="788">
        <v>41534</v>
      </c>
      <c r="G10904" s="788">
        <v>42013</v>
      </c>
      <c r="H10904" s="787">
        <v>1</v>
      </c>
      <c r="I10904" s="788">
        <v>41865</v>
      </c>
      <c r="J10904" s="788">
        <v>41533</v>
      </c>
      <c r="K10904" s="788">
        <v>41529</v>
      </c>
      <c r="L10904" s="787">
        <v>1.69</v>
      </c>
      <c r="M10904" s="787">
        <v>20</v>
      </c>
      <c r="N10904" s="787">
        <v>1.82</v>
      </c>
      <c r="O10904" s="788">
        <v>41858</v>
      </c>
    </row>
    <row r="10905" spans="1:15" x14ac:dyDescent="0.25">
      <c r="A10905" s="786" t="s">
        <v>19506</v>
      </c>
      <c r="B10905" s="787">
        <v>4</v>
      </c>
      <c r="C10905" s="787" t="s">
        <v>19485</v>
      </c>
      <c r="D10905" s="787">
        <v>0</v>
      </c>
      <c r="E10905" s="787">
        <v>0</v>
      </c>
      <c r="H10905" s="787">
        <v>1</v>
      </c>
      <c r="K10905" s="788">
        <v>42046</v>
      </c>
      <c r="L10905" s="787">
        <v>7.49</v>
      </c>
      <c r="M10905" s="787">
        <v>10</v>
      </c>
      <c r="N10905" s="787">
        <v>7.49</v>
      </c>
      <c r="O10905" s="788">
        <v>42047</v>
      </c>
    </row>
    <row r="10906" spans="1:15" x14ac:dyDescent="0.25">
      <c r="A10906" s="786" t="s">
        <v>19507</v>
      </c>
      <c r="B10906" s="787">
        <v>4</v>
      </c>
      <c r="C10906" s="787" t="s">
        <v>19508</v>
      </c>
      <c r="D10906" s="787">
        <v>4.67</v>
      </c>
      <c r="E10906" s="787">
        <v>15.83</v>
      </c>
      <c r="F10906" s="788">
        <v>41281</v>
      </c>
      <c r="G10906" s="788">
        <v>42013</v>
      </c>
      <c r="H10906" s="787">
        <v>1</v>
      </c>
      <c r="I10906" s="788">
        <v>42158</v>
      </c>
      <c r="J10906" s="788">
        <v>42031</v>
      </c>
      <c r="K10906" s="788">
        <v>40723</v>
      </c>
      <c r="L10906" s="787">
        <v>15.98</v>
      </c>
      <c r="M10906" s="787">
        <v>20</v>
      </c>
      <c r="N10906" s="787">
        <v>17.18</v>
      </c>
      <c r="O10906" s="788">
        <v>41858</v>
      </c>
    </row>
    <row r="10907" spans="1:15" x14ac:dyDescent="0.25">
      <c r="A10907" s="786" t="s">
        <v>19509</v>
      </c>
      <c r="B10907" s="787">
        <v>4</v>
      </c>
      <c r="C10907" s="787" t="s">
        <v>19510</v>
      </c>
      <c r="D10907" s="787">
        <v>5.83</v>
      </c>
      <c r="E10907" s="787">
        <v>15.83</v>
      </c>
      <c r="F10907" s="788">
        <v>41037</v>
      </c>
      <c r="G10907" s="788">
        <v>41943</v>
      </c>
      <c r="H10907" s="787">
        <v>1</v>
      </c>
      <c r="I10907" s="788">
        <v>41571</v>
      </c>
      <c r="J10907" s="788">
        <v>41038</v>
      </c>
      <c r="L10907" s="787">
        <v>17.920000000000002</v>
      </c>
      <c r="M10907" s="787">
        <v>20</v>
      </c>
      <c r="N10907" s="787">
        <v>19.260000000000002</v>
      </c>
      <c r="O10907" s="788">
        <v>41858</v>
      </c>
    </row>
    <row r="10908" spans="1:15" x14ac:dyDescent="0.25">
      <c r="A10908" s="786" t="s">
        <v>19511</v>
      </c>
      <c r="B10908" s="787">
        <v>4</v>
      </c>
      <c r="C10908" s="787" t="s">
        <v>19512</v>
      </c>
      <c r="D10908" s="787">
        <v>3.63</v>
      </c>
      <c r="E10908" s="787">
        <v>28.11</v>
      </c>
      <c r="F10908" s="788">
        <v>37643</v>
      </c>
      <c r="G10908" s="788">
        <v>41541</v>
      </c>
      <c r="H10908" s="787">
        <v>5</v>
      </c>
      <c r="I10908" s="788">
        <v>41520</v>
      </c>
      <c r="J10908" s="788">
        <v>41519</v>
      </c>
      <c r="L10908" s="787">
        <v>14.86</v>
      </c>
      <c r="M10908" s="787">
        <v>20</v>
      </c>
      <c r="N10908" s="787">
        <v>15.97</v>
      </c>
      <c r="O10908" s="788">
        <v>41858</v>
      </c>
    </row>
    <row r="10909" spans="1:15" x14ac:dyDescent="0.25">
      <c r="A10909" s="786" t="s">
        <v>19513</v>
      </c>
      <c r="B10909" s="787">
        <v>4</v>
      </c>
      <c r="C10909" s="787" t="s">
        <v>19514</v>
      </c>
      <c r="D10909" s="787">
        <v>8.1199999999999992</v>
      </c>
      <c r="E10909" s="787">
        <v>28.12</v>
      </c>
      <c r="F10909" s="788">
        <v>39101</v>
      </c>
      <c r="G10909" s="788">
        <v>39101</v>
      </c>
      <c r="H10909" s="787">
        <v>1</v>
      </c>
      <c r="I10909" s="788">
        <v>39134</v>
      </c>
      <c r="J10909" s="788">
        <v>39149</v>
      </c>
      <c r="L10909" s="787">
        <v>22.32</v>
      </c>
      <c r="M10909" s="787">
        <v>20</v>
      </c>
      <c r="N10909" s="787">
        <v>23.99</v>
      </c>
      <c r="O10909" s="788">
        <v>41858</v>
      </c>
    </row>
    <row r="10910" spans="1:15" x14ac:dyDescent="0.25">
      <c r="A10910" s="786" t="s">
        <v>19515</v>
      </c>
      <c r="B10910" s="787">
        <v>4</v>
      </c>
      <c r="C10910" s="787" t="s">
        <v>19512</v>
      </c>
      <c r="D10910" s="787">
        <v>3.63</v>
      </c>
      <c r="E10910" s="787">
        <v>13.63</v>
      </c>
      <c r="F10910" s="788">
        <v>37643</v>
      </c>
      <c r="G10910" s="788">
        <v>37643</v>
      </c>
      <c r="H10910" s="787">
        <v>1</v>
      </c>
      <c r="J10910" s="788">
        <v>37643</v>
      </c>
      <c r="L10910" s="787">
        <v>14.86</v>
      </c>
      <c r="M10910" s="787">
        <v>20</v>
      </c>
      <c r="N10910" s="787">
        <v>15.97</v>
      </c>
      <c r="O10910" s="788">
        <v>41858</v>
      </c>
    </row>
    <row r="10911" spans="1:15" x14ac:dyDescent="0.25">
      <c r="A10911" s="786" t="s">
        <v>19516</v>
      </c>
      <c r="B10911" s="787">
        <v>4</v>
      </c>
      <c r="C10911" s="787" t="s">
        <v>19514</v>
      </c>
      <c r="D10911" s="787">
        <v>0.48</v>
      </c>
      <c r="E10911" s="787">
        <v>20.48</v>
      </c>
      <c r="F10911" s="788">
        <v>37643</v>
      </c>
      <c r="G10911" s="788">
        <v>37643</v>
      </c>
      <c r="H10911" s="787">
        <v>1</v>
      </c>
      <c r="J10911" s="788">
        <v>37643</v>
      </c>
      <c r="L10911" s="787">
        <v>22.32</v>
      </c>
      <c r="M10911" s="787">
        <v>20</v>
      </c>
      <c r="N10911" s="787">
        <v>23.99</v>
      </c>
      <c r="O10911" s="788">
        <v>41858</v>
      </c>
    </row>
    <row r="10912" spans="1:15" x14ac:dyDescent="0.25">
      <c r="A10912" s="786" t="s">
        <v>19517</v>
      </c>
      <c r="B10912" s="787">
        <v>4</v>
      </c>
      <c r="C10912" s="787" t="s">
        <v>19518</v>
      </c>
      <c r="D10912" s="787">
        <v>0.82</v>
      </c>
      <c r="E10912" s="787">
        <v>12.11</v>
      </c>
      <c r="F10912" s="788">
        <v>40470</v>
      </c>
      <c r="G10912" s="788">
        <v>42013</v>
      </c>
      <c r="H10912" s="787">
        <v>1</v>
      </c>
      <c r="I10912" s="788">
        <v>42118</v>
      </c>
      <c r="J10912" s="788">
        <v>41627</v>
      </c>
      <c r="L10912" s="787">
        <v>13.49</v>
      </c>
      <c r="M10912" s="787">
        <v>20</v>
      </c>
      <c r="N10912" s="787">
        <v>14.5</v>
      </c>
      <c r="O10912" s="788">
        <v>42083</v>
      </c>
    </row>
    <row r="10913" spans="1:15" x14ac:dyDescent="0.25">
      <c r="A10913" s="786" t="s">
        <v>19519</v>
      </c>
      <c r="B10913" s="787">
        <v>4</v>
      </c>
      <c r="C10913" s="787" t="s">
        <v>19514</v>
      </c>
      <c r="D10913" s="787">
        <v>2.29</v>
      </c>
      <c r="E10913" s="787">
        <v>22.29</v>
      </c>
      <c r="F10913" s="788">
        <v>37643</v>
      </c>
      <c r="G10913" s="788">
        <v>37643</v>
      </c>
      <c r="H10913" s="787">
        <v>1</v>
      </c>
      <c r="I10913" s="788">
        <v>38736</v>
      </c>
      <c r="J10913" s="788">
        <v>37643</v>
      </c>
      <c r="L10913" s="787">
        <v>24.3</v>
      </c>
      <c r="M10913" s="787">
        <v>20</v>
      </c>
      <c r="N10913" s="787">
        <v>26.12</v>
      </c>
      <c r="O10913" s="788">
        <v>41858</v>
      </c>
    </row>
    <row r="10914" spans="1:15" x14ac:dyDescent="0.25">
      <c r="A10914" s="786" t="s">
        <v>19520</v>
      </c>
      <c r="B10914" s="787">
        <v>4</v>
      </c>
      <c r="C10914" s="787" t="s">
        <v>19514</v>
      </c>
      <c r="D10914" s="787">
        <v>2.29</v>
      </c>
      <c r="E10914" s="787">
        <v>22.29</v>
      </c>
      <c r="F10914" s="788">
        <v>37643</v>
      </c>
      <c r="G10914" s="788">
        <v>37643</v>
      </c>
      <c r="H10914" s="787">
        <v>1</v>
      </c>
      <c r="I10914" s="788">
        <v>38043</v>
      </c>
      <c r="J10914" s="788">
        <v>37643</v>
      </c>
      <c r="L10914" s="787">
        <v>24.3</v>
      </c>
      <c r="M10914" s="787">
        <v>20</v>
      </c>
      <c r="N10914" s="787">
        <v>26.12</v>
      </c>
      <c r="O10914" s="788">
        <v>41858</v>
      </c>
    </row>
    <row r="10915" spans="1:15" x14ac:dyDescent="0.25">
      <c r="A10915" s="786" t="s">
        <v>19521</v>
      </c>
      <c r="B10915" s="787">
        <v>4</v>
      </c>
      <c r="C10915" s="787" t="s">
        <v>19522</v>
      </c>
      <c r="D10915" s="787">
        <v>0.38</v>
      </c>
      <c r="E10915" s="787">
        <v>114.41</v>
      </c>
      <c r="F10915" s="788">
        <v>38156</v>
      </c>
      <c r="G10915" s="788">
        <v>42157</v>
      </c>
      <c r="H10915" s="787">
        <v>1</v>
      </c>
      <c r="I10915" s="788">
        <v>42144</v>
      </c>
      <c r="J10915" s="788">
        <v>42152</v>
      </c>
      <c r="K10915" s="788">
        <v>39933</v>
      </c>
      <c r="L10915" s="787">
        <v>82.5</v>
      </c>
      <c r="M10915" s="787">
        <v>20</v>
      </c>
      <c r="N10915" s="787">
        <v>88.69</v>
      </c>
      <c r="O10915" s="788">
        <v>42162</v>
      </c>
    </row>
    <row r="10916" spans="1:15" x14ac:dyDescent="0.25">
      <c r="A10916" s="786" t="s">
        <v>19523</v>
      </c>
      <c r="B10916" s="787">
        <v>4</v>
      </c>
      <c r="C10916" s="787" t="s">
        <v>19524</v>
      </c>
      <c r="D10916" s="787">
        <v>5.13</v>
      </c>
      <c r="E10916" s="787">
        <v>65.13</v>
      </c>
      <c r="F10916" s="788">
        <v>39101</v>
      </c>
      <c r="G10916" s="788">
        <v>39101</v>
      </c>
      <c r="H10916" s="787">
        <v>1</v>
      </c>
      <c r="I10916" s="788">
        <v>39134</v>
      </c>
      <c r="J10916" s="788">
        <v>39149</v>
      </c>
      <c r="L10916" s="787">
        <v>70.989999999999995</v>
      </c>
      <c r="M10916" s="787">
        <v>20</v>
      </c>
      <c r="N10916" s="787">
        <v>76.31</v>
      </c>
      <c r="O10916" s="788">
        <v>41858</v>
      </c>
    </row>
    <row r="10917" spans="1:15" x14ac:dyDescent="0.25">
      <c r="A10917" s="786" t="s">
        <v>19525</v>
      </c>
      <c r="B10917" s="787">
        <v>4</v>
      </c>
      <c r="C10917" s="787" t="s">
        <v>19526</v>
      </c>
      <c r="D10917" s="787">
        <v>0.26</v>
      </c>
      <c r="E10917" s="787">
        <v>104.66</v>
      </c>
      <c r="F10917" s="788">
        <v>39101</v>
      </c>
      <c r="G10917" s="788">
        <v>42157</v>
      </c>
      <c r="H10917" s="787">
        <v>1</v>
      </c>
      <c r="I10917" s="788">
        <v>42114</v>
      </c>
      <c r="J10917" s="788">
        <v>42157</v>
      </c>
      <c r="L10917" s="787">
        <v>76.08</v>
      </c>
      <c r="M10917" s="787">
        <v>20</v>
      </c>
      <c r="N10917" s="787">
        <v>81.790000000000006</v>
      </c>
      <c r="O10917" s="788">
        <v>42162</v>
      </c>
    </row>
    <row r="10918" spans="1:15" x14ac:dyDescent="0.25">
      <c r="A10918" s="786" t="s">
        <v>19527</v>
      </c>
      <c r="B10918" s="787">
        <v>4</v>
      </c>
      <c r="C10918" s="787" t="s">
        <v>19528</v>
      </c>
      <c r="D10918" s="787">
        <v>7.67</v>
      </c>
      <c r="E10918" s="787">
        <v>37.92</v>
      </c>
      <c r="F10918" s="788">
        <v>39101</v>
      </c>
      <c r="G10918" s="788">
        <v>42159</v>
      </c>
      <c r="H10918" s="787">
        <v>1</v>
      </c>
      <c r="I10918" s="788">
        <v>42157</v>
      </c>
      <c r="J10918" s="788">
        <v>42145</v>
      </c>
      <c r="K10918" s="788">
        <v>41367</v>
      </c>
      <c r="L10918" s="787">
        <v>35.79</v>
      </c>
      <c r="M10918" s="787">
        <v>20</v>
      </c>
      <c r="N10918" s="787">
        <v>38.47</v>
      </c>
      <c r="O10918" s="788">
        <v>42164</v>
      </c>
    </row>
    <row r="10919" spans="1:15" x14ac:dyDescent="0.25">
      <c r="A10919" s="786" t="s">
        <v>19529</v>
      </c>
      <c r="B10919" s="787">
        <v>4</v>
      </c>
      <c r="C10919" s="787" t="s">
        <v>19530</v>
      </c>
      <c r="D10919" s="787">
        <v>5.68</v>
      </c>
      <c r="E10919" s="787">
        <v>18.489999999999998</v>
      </c>
      <c r="F10919" s="788">
        <v>39101</v>
      </c>
      <c r="G10919" s="788">
        <v>42013</v>
      </c>
      <c r="H10919" s="787">
        <v>1</v>
      </c>
      <c r="I10919" s="788">
        <v>39975</v>
      </c>
      <c r="J10919" s="788">
        <v>39867</v>
      </c>
      <c r="L10919" s="787">
        <v>18.489999999999998</v>
      </c>
      <c r="M10919" s="787">
        <v>20</v>
      </c>
      <c r="N10919" s="787">
        <v>19.88</v>
      </c>
      <c r="O10919" s="788">
        <v>41989</v>
      </c>
    </row>
    <row r="10920" spans="1:15" x14ac:dyDescent="0.25">
      <c r="A10920" s="786" t="s">
        <v>19531</v>
      </c>
      <c r="B10920" s="787">
        <v>4</v>
      </c>
      <c r="C10920" s="787" t="s">
        <v>19532</v>
      </c>
      <c r="D10920" s="787">
        <v>5.66</v>
      </c>
      <c r="E10920" s="787">
        <v>19.7</v>
      </c>
      <c r="F10920" s="788">
        <v>39101</v>
      </c>
      <c r="G10920" s="788">
        <v>40553</v>
      </c>
      <c r="H10920" s="787">
        <v>1</v>
      </c>
      <c r="I10920" s="788">
        <v>40444</v>
      </c>
      <c r="J10920" s="788">
        <v>39867</v>
      </c>
      <c r="L10920" s="787">
        <v>19.7</v>
      </c>
      <c r="M10920" s="787">
        <v>20</v>
      </c>
      <c r="N10920" s="787">
        <v>21.18</v>
      </c>
      <c r="O10920" s="788">
        <v>42123</v>
      </c>
    </row>
    <row r="10921" spans="1:15" x14ac:dyDescent="0.25">
      <c r="A10921" s="786" t="s">
        <v>19533</v>
      </c>
      <c r="B10921" s="787">
        <v>4</v>
      </c>
      <c r="C10921" s="787" t="s">
        <v>19534</v>
      </c>
      <c r="D10921" s="787">
        <v>6.17</v>
      </c>
      <c r="E10921" s="787">
        <v>17.52</v>
      </c>
      <c r="F10921" s="788">
        <v>39212</v>
      </c>
      <c r="G10921" s="788">
        <v>40056</v>
      </c>
      <c r="H10921" s="787">
        <v>1</v>
      </c>
      <c r="I10921" s="788">
        <v>40049</v>
      </c>
      <c r="J10921" s="788">
        <v>39867</v>
      </c>
      <c r="L10921" s="787">
        <v>17.52</v>
      </c>
      <c r="M10921" s="787">
        <v>20</v>
      </c>
      <c r="N10921" s="787">
        <v>18.829999999999998</v>
      </c>
      <c r="O10921" s="788">
        <v>41989</v>
      </c>
    </row>
    <row r="10922" spans="1:15" x14ac:dyDescent="0.25">
      <c r="A10922" s="786" t="s">
        <v>19535</v>
      </c>
      <c r="B10922" s="787">
        <v>4</v>
      </c>
      <c r="C10922" s="787" t="s">
        <v>19536</v>
      </c>
      <c r="D10922" s="787">
        <v>5.8</v>
      </c>
      <c r="E10922" s="787">
        <v>19.54</v>
      </c>
      <c r="F10922" s="788">
        <v>38744</v>
      </c>
      <c r="G10922" s="788">
        <v>41943</v>
      </c>
      <c r="H10922" s="787">
        <v>1</v>
      </c>
      <c r="I10922" s="788">
        <v>40574</v>
      </c>
      <c r="J10922" s="788">
        <v>40388</v>
      </c>
      <c r="L10922" s="787">
        <v>19.54</v>
      </c>
      <c r="M10922" s="787">
        <v>20</v>
      </c>
      <c r="N10922" s="787">
        <v>21.01</v>
      </c>
      <c r="O10922" s="788">
        <v>42123</v>
      </c>
    </row>
    <row r="10923" spans="1:15" x14ac:dyDescent="0.25">
      <c r="A10923" s="786" t="s">
        <v>19537</v>
      </c>
      <c r="B10923" s="787">
        <v>4</v>
      </c>
      <c r="C10923" s="787" t="s">
        <v>19538</v>
      </c>
      <c r="D10923" s="787">
        <v>4.54</v>
      </c>
      <c r="E10923" s="787">
        <v>17.28</v>
      </c>
      <c r="F10923" s="788">
        <v>39303</v>
      </c>
      <c r="G10923" s="788">
        <v>39870</v>
      </c>
      <c r="H10923" s="787">
        <v>1</v>
      </c>
      <c r="I10923" s="788">
        <v>40043</v>
      </c>
      <c r="J10923" s="788">
        <v>39867</v>
      </c>
      <c r="L10923" s="787">
        <v>17.28</v>
      </c>
      <c r="M10923" s="787">
        <v>20</v>
      </c>
      <c r="N10923" s="787">
        <v>18.579999999999998</v>
      </c>
      <c r="O10923" s="788">
        <v>41989</v>
      </c>
    </row>
    <row r="10924" spans="1:15" x14ac:dyDescent="0.25">
      <c r="A10924" s="786" t="s">
        <v>19539</v>
      </c>
      <c r="B10924" s="787">
        <v>4</v>
      </c>
      <c r="C10924" s="787" t="s">
        <v>19540</v>
      </c>
      <c r="D10924" s="787">
        <v>4.54</v>
      </c>
      <c r="E10924" s="787">
        <v>18.52</v>
      </c>
      <c r="F10924" s="788">
        <v>39303</v>
      </c>
      <c r="G10924" s="788">
        <v>41255</v>
      </c>
      <c r="H10924" s="787">
        <v>1</v>
      </c>
      <c r="I10924" s="788">
        <v>42111</v>
      </c>
      <c r="J10924" s="788">
        <v>41143</v>
      </c>
      <c r="L10924" s="787">
        <v>18.52</v>
      </c>
      <c r="M10924" s="787">
        <v>20</v>
      </c>
      <c r="N10924" s="787">
        <v>19.91</v>
      </c>
      <c r="O10924" s="788">
        <v>42123</v>
      </c>
    </row>
    <row r="10925" spans="1:15" x14ac:dyDescent="0.25">
      <c r="A10925" s="786" t="s">
        <v>19541</v>
      </c>
      <c r="B10925" s="787">
        <v>4</v>
      </c>
      <c r="C10925" s="787" t="s">
        <v>19542</v>
      </c>
      <c r="D10925" s="787">
        <v>2.4</v>
      </c>
      <c r="E10925" s="787">
        <v>14.94</v>
      </c>
      <c r="F10925" s="788">
        <v>41221</v>
      </c>
      <c r="G10925" s="788">
        <v>42013</v>
      </c>
      <c r="H10925" s="787">
        <v>1</v>
      </c>
      <c r="I10925" s="788">
        <v>42152</v>
      </c>
      <c r="J10925" s="788">
        <v>41481</v>
      </c>
      <c r="K10925" s="788">
        <v>41326</v>
      </c>
      <c r="L10925" s="787">
        <v>14.65</v>
      </c>
      <c r="M10925" s="787">
        <v>20</v>
      </c>
      <c r="N10925" s="787">
        <v>15.75</v>
      </c>
      <c r="O10925" s="788">
        <v>42146</v>
      </c>
    </row>
    <row r="10926" spans="1:15" x14ac:dyDescent="0.25">
      <c r="A10926" s="786" t="s">
        <v>19543</v>
      </c>
      <c r="B10926" s="787">
        <v>4</v>
      </c>
      <c r="C10926" s="787" t="s">
        <v>19544</v>
      </c>
      <c r="D10926" s="787">
        <v>0</v>
      </c>
      <c r="E10926" s="787">
        <v>0</v>
      </c>
      <c r="H10926" s="787">
        <v>1</v>
      </c>
      <c r="L10926" s="787">
        <v>0</v>
      </c>
      <c r="M10926" s="787">
        <v>20</v>
      </c>
      <c r="N10926" s="787">
        <v>0</v>
      </c>
      <c r="O10926" s="788">
        <v>40824</v>
      </c>
    </row>
    <row r="10927" spans="1:15" x14ac:dyDescent="0.25">
      <c r="A10927" s="786" t="s">
        <v>19545</v>
      </c>
      <c r="B10927" s="787">
        <v>4</v>
      </c>
      <c r="C10927" s="787" t="s">
        <v>19546</v>
      </c>
      <c r="D10927" s="787">
        <v>9.48</v>
      </c>
      <c r="E10927" s="787">
        <v>29.48</v>
      </c>
      <c r="F10927" s="788">
        <v>40035</v>
      </c>
      <c r="G10927" s="788">
        <v>40914</v>
      </c>
      <c r="H10927" s="787">
        <v>1</v>
      </c>
      <c r="I10927" s="788">
        <v>40252</v>
      </c>
      <c r="J10927" s="788">
        <v>40193</v>
      </c>
      <c r="K10927" s="788">
        <v>40031</v>
      </c>
      <c r="L10927" s="787">
        <v>28.72</v>
      </c>
      <c r="M10927" s="787">
        <v>20</v>
      </c>
      <c r="N10927" s="787">
        <v>30.87</v>
      </c>
      <c r="O10927" s="788">
        <v>41989</v>
      </c>
    </row>
    <row r="10928" spans="1:15" x14ac:dyDescent="0.25">
      <c r="A10928" s="786" t="s">
        <v>19547</v>
      </c>
      <c r="B10928" s="787">
        <v>4</v>
      </c>
      <c r="C10928" s="787" t="s">
        <v>19548</v>
      </c>
      <c r="D10928" s="787">
        <v>8.57</v>
      </c>
      <c r="E10928" s="787">
        <v>28.57</v>
      </c>
      <c r="F10928" s="788">
        <v>41037</v>
      </c>
      <c r="G10928" s="788">
        <v>42013</v>
      </c>
      <c r="H10928" s="787">
        <v>1</v>
      </c>
      <c r="I10928" s="788">
        <v>41257</v>
      </c>
      <c r="J10928" s="788">
        <v>41029</v>
      </c>
      <c r="K10928" s="788">
        <v>41011</v>
      </c>
      <c r="L10928" s="787">
        <v>30.44</v>
      </c>
      <c r="M10928" s="787">
        <v>20</v>
      </c>
      <c r="N10928" s="787">
        <v>32.72</v>
      </c>
      <c r="O10928" s="788">
        <v>41858</v>
      </c>
    </row>
    <row r="10929" spans="1:15" x14ac:dyDescent="0.25">
      <c r="A10929" s="786" t="s">
        <v>19549</v>
      </c>
      <c r="B10929" s="787">
        <v>4</v>
      </c>
      <c r="C10929" s="787" t="s">
        <v>19550</v>
      </c>
      <c r="D10929" s="787">
        <v>2.65</v>
      </c>
      <c r="E10929" s="787">
        <v>32.65</v>
      </c>
      <c r="F10929" s="788">
        <v>41037</v>
      </c>
      <c r="G10929" s="788">
        <v>42013</v>
      </c>
      <c r="H10929" s="787">
        <v>1</v>
      </c>
      <c r="J10929" s="788">
        <v>41029</v>
      </c>
      <c r="L10929" s="787">
        <v>34.78</v>
      </c>
      <c r="M10929" s="787">
        <v>20</v>
      </c>
      <c r="N10929" s="787">
        <v>37.39</v>
      </c>
      <c r="O10929" s="788">
        <v>41858</v>
      </c>
    </row>
    <row r="10930" spans="1:15" x14ac:dyDescent="0.25">
      <c r="A10930" s="786" t="s">
        <v>19551</v>
      </c>
      <c r="B10930" s="787">
        <v>4</v>
      </c>
      <c r="C10930" s="787" t="s">
        <v>19552</v>
      </c>
      <c r="D10930" s="787">
        <v>0</v>
      </c>
      <c r="E10930" s="787">
        <v>0</v>
      </c>
      <c r="H10930" s="787">
        <v>6</v>
      </c>
      <c r="I10930" s="788">
        <v>41116</v>
      </c>
      <c r="L10930" s="787">
        <v>0.1</v>
      </c>
      <c r="M10930" s="787">
        <v>20</v>
      </c>
      <c r="N10930" s="787">
        <v>0.11</v>
      </c>
      <c r="O10930" s="788">
        <v>41543</v>
      </c>
    </row>
    <row r="10931" spans="1:15" x14ac:dyDescent="0.25">
      <c r="A10931" s="786" t="s">
        <v>19553</v>
      </c>
      <c r="B10931" s="787">
        <v>4</v>
      </c>
      <c r="C10931" s="787" t="s">
        <v>19554</v>
      </c>
      <c r="D10931" s="787">
        <v>6.92</v>
      </c>
      <c r="E10931" s="787">
        <v>34.979999999999997</v>
      </c>
      <c r="F10931" s="788">
        <v>39590</v>
      </c>
      <c r="G10931" s="788">
        <v>42163</v>
      </c>
      <c r="H10931" s="787">
        <v>1</v>
      </c>
      <c r="I10931" s="788">
        <v>42166</v>
      </c>
      <c r="J10931" s="788">
        <v>42163</v>
      </c>
      <c r="K10931" s="788">
        <v>42153</v>
      </c>
      <c r="L10931" s="787">
        <v>34.36</v>
      </c>
      <c r="M10931" s="787">
        <v>20</v>
      </c>
      <c r="N10931" s="787">
        <v>36.94</v>
      </c>
      <c r="O10931" s="788">
        <v>42162</v>
      </c>
    </row>
    <row r="10932" spans="1:15" x14ac:dyDescent="0.25">
      <c r="A10932" s="786" t="s">
        <v>19555</v>
      </c>
      <c r="B10932" s="787">
        <v>4</v>
      </c>
      <c r="C10932" s="787" t="s">
        <v>19556</v>
      </c>
      <c r="D10932" s="787">
        <v>0</v>
      </c>
      <c r="E10932" s="787">
        <v>0</v>
      </c>
      <c r="H10932" s="787">
        <v>1</v>
      </c>
      <c r="J10932" s="788">
        <v>37287</v>
      </c>
      <c r="L10932" s="787">
        <v>0</v>
      </c>
      <c r="M10932" s="787">
        <v>20</v>
      </c>
      <c r="N10932" s="787">
        <v>0</v>
      </c>
      <c r="O10932" s="788">
        <v>40824</v>
      </c>
    </row>
    <row r="10933" spans="1:15" x14ac:dyDescent="0.25">
      <c r="A10933" s="786" t="s">
        <v>19557</v>
      </c>
      <c r="B10933" s="787">
        <v>4</v>
      </c>
      <c r="C10933" s="787" t="s">
        <v>19558</v>
      </c>
      <c r="D10933" s="787">
        <v>1.52</v>
      </c>
      <c r="E10933" s="787">
        <v>1.52</v>
      </c>
      <c r="F10933" s="788">
        <v>38117</v>
      </c>
      <c r="G10933" s="788">
        <v>38117</v>
      </c>
      <c r="H10933" s="787">
        <v>1</v>
      </c>
      <c r="J10933" s="788">
        <v>38112</v>
      </c>
      <c r="L10933" s="787">
        <v>1.66</v>
      </c>
      <c r="M10933" s="787">
        <v>20</v>
      </c>
      <c r="N10933" s="787">
        <v>1.78</v>
      </c>
      <c r="O10933" s="788">
        <v>41858</v>
      </c>
    </row>
    <row r="10934" spans="1:15" x14ac:dyDescent="0.25">
      <c r="A10934" s="786" t="s">
        <v>19559</v>
      </c>
      <c r="B10934" s="787">
        <v>4</v>
      </c>
      <c r="C10934" s="787" t="s">
        <v>19560</v>
      </c>
      <c r="D10934" s="787">
        <v>0</v>
      </c>
      <c r="E10934" s="787">
        <v>0</v>
      </c>
      <c r="H10934" s="787">
        <v>1</v>
      </c>
      <c r="I10934" s="788">
        <v>37769</v>
      </c>
      <c r="J10934" s="788">
        <v>37287</v>
      </c>
      <c r="L10934" s="787">
        <v>0</v>
      </c>
      <c r="M10934" s="787">
        <v>20</v>
      </c>
      <c r="N10934" s="787">
        <v>0</v>
      </c>
      <c r="O10934" s="788">
        <v>40824</v>
      </c>
    </row>
    <row r="10935" spans="1:15" x14ac:dyDescent="0.25">
      <c r="A10935" s="786" t="s">
        <v>19561</v>
      </c>
      <c r="B10935" s="787">
        <v>4</v>
      </c>
      <c r="C10935" s="787" t="s">
        <v>19562</v>
      </c>
      <c r="D10935" s="787">
        <v>9.15</v>
      </c>
      <c r="E10935" s="787">
        <v>199.15</v>
      </c>
      <c r="F10935" s="788">
        <v>37643</v>
      </c>
      <c r="G10935" s="788">
        <v>37643</v>
      </c>
      <c r="H10935" s="787">
        <v>1</v>
      </c>
      <c r="I10935" s="788">
        <v>40568</v>
      </c>
      <c r="J10935" s="788">
        <v>37643</v>
      </c>
      <c r="L10935" s="787">
        <v>217.07</v>
      </c>
      <c r="M10935" s="787">
        <v>20</v>
      </c>
      <c r="N10935" s="787">
        <v>233.35</v>
      </c>
      <c r="O10935" s="788">
        <v>41955</v>
      </c>
    </row>
    <row r="10936" spans="1:15" x14ac:dyDescent="0.25">
      <c r="A10936" s="786" t="s">
        <v>19563</v>
      </c>
      <c r="B10936" s="787">
        <v>4</v>
      </c>
      <c r="C10936" s="787" t="s">
        <v>19562</v>
      </c>
      <c r="D10936" s="787">
        <v>9.15</v>
      </c>
      <c r="E10936" s="787">
        <v>199.15</v>
      </c>
      <c r="F10936" s="788">
        <v>37643</v>
      </c>
      <c r="G10936" s="788">
        <v>37643</v>
      </c>
      <c r="H10936" s="787">
        <v>1</v>
      </c>
      <c r="I10936" s="788">
        <v>40568</v>
      </c>
      <c r="J10936" s="788">
        <v>37643</v>
      </c>
      <c r="L10936" s="787">
        <v>217.07</v>
      </c>
      <c r="M10936" s="787">
        <v>20</v>
      </c>
      <c r="N10936" s="787">
        <v>233.35</v>
      </c>
      <c r="O10936" s="788">
        <v>41955</v>
      </c>
    </row>
    <row r="10937" spans="1:15" x14ac:dyDescent="0.25">
      <c r="A10937" s="786" t="s">
        <v>19564</v>
      </c>
      <c r="B10937" s="787">
        <v>4</v>
      </c>
      <c r="C10937" s="787" t="s">
        <v>19565</v>
      </c>
      <c r="D10937" s="787">
        <v>3.76</v>
      </c>
      <c r="E10937" s="787">
        <v>3.76</v>
      </c>
      <c r="F10937" s="788">
        <v>39975</v>
      </c>
      <c r="G10937" s="788">
        <v>39862</v>
      </c>
      <c r="H10937" s="787">
        <v>1</v>
      </c>
      <c r="I10937" s="788">
        <v>39926</v>
      </c>
      <c r="J10937" s="788">
        <v>39862</v>
      </c>
      <c r="L10937" s="787">
        <v>3.76</v>
      </c>
      <c r="M10937" s="787">
        <v>10</v>
      </c>
      <c r="N10937" s="787">
        <v>7.86</v>
      </c>
      <c r="O10937" s="788">
        <v>41858</v>
      </c>
    </row>
    <row r="10938" spans="1:15" x14ac:dyDescent="0.25">
      <c r="A10938" s="786" t="s">
        <v>19566</v>
      </c>
      <c r="B10938" s="787">
        <v>4</v>
      </c>
      <c r="C10938" s="787" t="s">
        <v>19567</v>
      </c>
      <c r="D10938" s="787">
        <v>2.4700000000000002</v>
      </c>
      <c r="E10938" s="787">
        <v>3.2</v>
      </c>
      <c r="F10938" s="788">
        <v>39101</v>
      </c>
      <c r="G10938" s="788">
        <v>42013</v>
      </c>
      <c r="H10938" s="787">
        <v>1</v>
      </c>
      <c r="I10938" s="788">
        <v>42087</v>
      </c>
      <c r="J10938" s="788">
        <v>40585</v>
      </c>
      <c r="L10938" s="787">
        <v>1.78</v>
      </c>
      <c r="M10938" s="787">
        <v>20</v>
      </c>
      <c r="N10938" s="787">
        <v>1.91</v>
      </c>
      <c r="O10938" s="788">
        <v>42164</v>
      </c>
    </row>
    <row r="10939" spans="1:15" x14ac:dyDescent="0.25">
      <c r="A10939" s="786" t="s">
        <v>19568</v>
      </c>
      <c r="B10939" s="787">
        <v>4</v>
      </c>
      <c r="C10939" s="787" t="s">
        <v>19567</v>
      </c>
      <c r="D10939" s="787">
        <v>2.8</v>
      </c>
      <c r="E10939" s="787">
        <v>3.2</v>
      </c>
      <c r="F10939" s="788">
        <v>39101</v>
      </c>
      <c r="G10939" s="788">
        <v>42137</v>
      </c>
      <c r="H10939" s="787">
        <v>1</v>
      </c>
      <c r="I10939" s="788">
        <v>42129</v>
      </c>
      <c r="J10939" s="788">
        <v>42111</v>
      </c>
      <c r="K10939" s="788">
        <v>42069</v>
      </c>
      <c r="L10939" s="787">
        <v>3.2</v>
      </c>
      <c r="M10939" s="787">
        <v>20</v>
      </c>
      <c r="N10939" s="787">
        <v>3.44</v>
      </c>
      <c r="O10939" s="788">
        <v>42164</v>
      </c>
    </row>
    <row r="10940" spans="1:15" x14ac:dyDescent="0.25">
      <c r="A10940" s="786" t="s">
        <v>19569</v>
      </c>
      <c r="B10940" s="787">
        <v>4</v>
      </c>
      <c r="C10940" s="787" t="s">
        <v>19570</v>
      </c>
      <c r="D10940" s="787">
        <v>1.23</v>
      </c>
      <c r="E10940" s="787">
        <v>1.88</v>
      </c>
      <c r="F10940" s="788">
        <v>39175</v>
      </c>
      <c r="G10940" s="788">
        <v>42081</v>
      </c>
      <c r="H10940" s="787">
        <v>1</v>
      </c>
      <c r="I10940" s="788">
        <v>42164</v>
      </c>
      <c r="J10940" s="788">
        <v>42061</v>
      </c>
      <c r="K10940" s="788">
        <v>40743</v>
      </c>
      <c r="L10940" s="787">
        <v>2.1</v>
      </c>
      <c r="M10940" s="787">
        <v>20</v>
      </c>
      <c r="N10940" s="787">
        <v>2.2599999999999998</v>
      </c>
      <c r="O10940" s="788">
        <v>42164</v>
      </c>
    </row>
    <row r="10941" spans="1:15" x14ac:dyDescent="0.25">
      <c r="A10941" s="786" t="s">
        <v>19571</v>
      </c>
      <c r="B10941" s="787">
        <v>4</v>
      </c>
      <c r="C10941" s="787" t="s">
        <v>19572</v>
      </c>
      <c r="D10941" s="787">
        <v>2.1</v>
      </c>
      <c r="E10941" s="787">
        <v>2.1</v>
      </c>
      <c r="F10941" s="788">
        <v>41168</v>
      </c>
      <c r="G10941" s="788">
        <v>42081</v>
      </c>
      <c r="H10941" s="787">
        <v>1</v>
      </c>
      <c r="I10941" s="788">
        <v>42158</v>
      </c>
      <c r="J10941" s="788">
        <v>42061</v>
      </c>
      <c r="K10941" s="788">
        <v>40743</v>
      </c>
      <c r="L10941" s="787">
        <v>2.4</v>
      </c>
      <c r="M10941" s="787">
        <v>20</v>
      </c>
      <c r="N10941" s="787">
        <v>2.58</v>
      </c>
      <c r="O10941" s="788">
        <v>42162</v>
      </c>
    </row>
    <row r="10942" spans="1:15" x14ac:dyDescent="0.25">
      <c r="A10942" s="786" t="s">
        <v>19573</v>
      </c>
      <c r="B10942" s="787">
        <v>4</v>
      </c>
      <c r="C10942" s="787" t="s">
        <v>19574</v>
      </c>
      <c r="D10942" s="787">
        <v>4.58</v>
      </c>
      <c r="E10942" s="787">
        <v>4.58</v>
      </c>
      <c r="F10942" s="788">
        <v>37650</v>
      </c>
      <c r="G10942" s="788">
        <v>37650</v>
      </c>
      <c r="H10942" s="787">
        <v>6</v>
      </c>
      <c r="I10942" s="788">
        <v>37608</v>
      </c>
      <c r="J10942" s="788">
        <v>37650</v>
      </c>
      <c r="L10942" s="787">
        <v>4.58</v>
      </c>
      <c r="M10942" s="787">
        <v>10</v>
      </c>
      <c r="N10942" s="787">
        <v>0</v>
      </c>
      <c r="O10942" s="788">
        <v>41806</v>
      </c>
    </row>
    <row r="10943" spans="1:15" x14ac:dyDescent="0.25">
      <c r="A10943" s="786" t="s">
        <v>19575</v>
      </c>
      <c r="B10943" s="787">
        <v>4</v>
      </c>
      <c r="C10943" s="787" t="s">
        <v>19576</v>
      </c>
      <c r="D10943" s="787">
        <v>9</v>
      </c>
      <c r="E10943" s="787">
        <v>14</v>
      </c>
      <c r="F10943" s="788">
        <v>41326</v>
      </c>
      <c r="G10943" s="788">
        <v>42051</v>
      </c>
      <c r="H10943" s="787">
        <v>1</v>
      </c>
      <c r="I10943" s="788">
        <v>42164</v>
      </c>
      <c r="J10943" s="788">
        <v>42151</v>
      </c>
      <c r="K10943" s="788">
        <v>41753</v>
      </c>
      <c r="L10943" s="787">
        <v>14</v>
      </c>
      <c r="M10943" s="787">
        <v>20</v>
      </c>
      <c r="N10943" s="787">
        <v>15.05</v>
      </c>
      <c r="O10943" s="788">
        <v>42164</v>
      </c>
    </row>
    <row r="10944" spans="1:15" x14ac:dyDescent="0.25">
      <c r="A10944" s="786" t="s">
        <v>19577</v>
      </c>
      <c r="B10944" s="787">
        <v>4</v>
      </c>
      <c r="C10944" s="787" t="s">
        <v>19578</v>
      </c>
      <c r="D10944" s="787">
        <v>0</v>
      </c>
      <c r="E10944" s="787">
        <v>0</v>
      </c>
      <c r="H10944" s="787">
        <v>1</v>
      </c>
      <c r="J10944" s="788">
        <v>37287</v>
      </c>
      <c r="L10944" s="787">
        <v>0</v>
      </c>
      <c r="M10944" s="787">
        <v>20</v>
      </c>
      <c r="N10944" s="787">
        <v>0</v>
      </c>
      <c r="O10944" s="788">
        <v>40824</v>
      </c>
    </row>
    <row r="10945" spans="1:15" x14ac:dyDescent="0.25">
      <c r="A10945" s="786" t="s">
        <v>19579</v>
      </c>
      <c r="B10945" s="787">
        <v>4</v>
      </c>
      <c r="C10945" s="787" t="s">
        <v>19580</v>
      </c>
      <c r="D10945" s="787">
        <v>0.76</v>
      </c>
      <c r="E10945" s="787">
        <v>0.79</v>
      </c>
      <c r="F10945" s="788">
        <v>40142</v>
      </c>
      <c r="G10945" s="788">
        <v>42013</v>
      </c>
      <c r="H10945" s="787">
        <v>1</v>
      </c>
      <c r="I10945" s="788">
        <v>42051</v>
      </c>
      <c r="J10945" s="788">
        <v>41803</v>
      </c>
      <c r="K10945" s="788">
        <v>41038</v>
      </c>
      <c r="L10945" s="787">
        <v>0.77</v>
      </c>
      <c r="M10945" s="787">
        <v>20</v>
      </c>
      <c r="N10945" s="787">
        <v>0.83</v>
      </c>
      <c r="O10945" s="788">
        <v>41858</v>
      </c>
    </row>
    <row r="10946" spans="1:15" x14ac:dyDescent="0.25">
      <c r="A10946" s="786" t="s">
        <v>19581</v>
      </c>
      <c r="B10946" s="787">
        <v>4</v>
      </c>
      <c r="C10946" s="787" t="s">
        <v>19582</v>
      </c>
      <c r="D10946" s="787">
        <v>5.23</v>
      </c>
      <c r="E10946" s="787">
        <v>5.23</v>
      </c>
      <c r="F10946" s="788">
        <v>39101</v>
      </c>
      <c r="G10946" s="788">
        <v>39101</v>
      </c>
      <c r="H10946" s="787">
        <v>1</v>
      </c>
      <c r="I10946" s="788">
        <v>39134</v>
      </c>
      <c r="J10946" s="788">
        <v>39149</v>
      </c>
      <c r="L10946" s="787">
        <v>5.7</v>
      </c>
      <c r="M10946" s="787">
        <v>20</v>
      </c>
      <c r="N10946" s="787">
        <v>6.13</v>
      </c>
      <c r="O10946" s="788">
        <v>42164</v>
      </c>
    </row>
    <row r="10947" spans="1:15" x14ac:dyDescent="0.25">
      <c r="A10947" s="786" t="s">
        <v>19583</v>
      </c>
      <c r="B10947" s="787">
        <v>4</v>
      </c>
      <c r="C10947" s="787" t="s">
        <v>19584</v>
      </c>
      <c r="D10947" s="787">
        <v>3.58</v>
      </c>
      <c r="E10947" s="787">
        <v>3.58</v>
      </c>
      <c r="F10947" s="788">
        <v>39101</v>
      </c>
      <c r="G10947" s="788">
        <v>39101</v>
      </c>
      <c r="H10947" s="787">
        <v>1</v>
      </c>
      <c r="I10947" s="788">
        <v>40024</v>
      </c>
      <c r="J10947" s="788">
        <v>39101</v>
      </c>
      <c r="L10947" s="787">
        <v>3.9</v>
      </c>
      <c r="M10947" s="787">
        <v>20</v>
      </c>
      <c r="N10947" s="787">
        <v>4.1900000000000004</v>
      </c>
      <c r="O10947" s="788">
        <v>41858</v>
      </c>
    </row>
    <row r="10948" spans="1:15" x14ac:dyDescent="0.25">
      <c r="A10948" s="786" t="s">
        <v>19585</v>
      </c>
      <c r="B10948" s="787">
        <v>4</v>
      </c>
      <c r="C10948" s="787" t="s">
        <v>19586</v>
      </c>
      <c r="D10948" s="787">
        <v>1.36</v>
      </c>
      <c r="E10948" s="787">
        <v>49.66</v>
      </c>
      <c r="F10948" s="788">
        <v>39101</v>
      </c>
      <c r="G10948" s="788">
        <v>42013</v>
      </c>
      <c r="H10948" s="787">
        <v>1</v>
      </c>
      <c r="I10948" s="788">
        <v>42132</v>
      </c>
      <c r="J10948" s="788">
        <v>41521</v>
      </c>
      <c r="L10948" s="787">
        <v>45.08</v>
      </c>
      <c r="M10948" s="787">
        <v>20</v>
      </c>
      <c r="N10948" s="787">
        <v>48.46</v>
      </c>
      <c r="O10948" s="788">
        <v>42164</v>
      </c>
    </row>
    <row r="10949" spans="1:15" x14ac:dyDescent="0.25">
      <c r="A10949" s="786" t="s">
        <v>19587</v>
      </c>
      <c r="B10949" s="787">
        <v>4</v>
      </c>
      <c r="C10949" s="787" t="s">
        <v>19588</v>
      </c>
      <c r="D10949" s="787">
        <v>9.81</v>
      </c>
      <c r="E10949" s="787">
        <v>23.34</v>
      </c>
      <c r="F10949" s="788">
        <v>38047</v>
      </c>
      <c r="G10949" s="788">
        <v>40914</v>
      </c>
      <c r="H10949" s="787">
        <v>1</v>
      </c>
      <c r="I10949" s="788">
        <v>40669</v>
      </c>
      <c r="J10949" s="788">
        <v>40399</v>
      </c>
      <c r="L10949" s="787">
        <v>21.59</v>
      </c>
      <c r="M10949" s="787">
        <v>20</v>
      </c>
      <c r="N10949" s="787">
        <v>23.21</v>
      </c>
      <c r="O10949" s="788">
        <v>41858</v>
      </c>
    </row>
    <row r="10950" spans="1:15" x14ac:dyDescent="0.25">
      <c r="A10950" s="786" t="s">
        <v>19589</v>
      </c>
      <c r="B10950" s="787">
        <v>4</v>
      </c>
      <c r="C10950" s="787" t="s">
        <v>19590</v>
      </c>
      <c r="D10950" s="787">
        <v>2.2000000000000002</v>
      </c>
      <c r="E10950" s="787">
        <v>12.2</v>
      </c>
      <c r="F10950" s="788">
        <v>40056</v>
      </c>
      <c r="G10950" s="788">
        <v>41717</v>
      </c>
      <c r="H10950" s="787">
        <v>1</v>
      </c>
      <c r="I10950" s="788">
        <v>41900</v>
      </c>
      <c r="J10950" s="788">
        <v>41886</v>
      </c>
      <c r="K10950" s="788">
        <v>40051</v>
      </c>
      <c r="L10950" s="787">
        <v>12.2</v>
      </c>
      <c r="M10950" s="787">
        <v>20</v>
      </c>
      <c r="N10950" s="787">
        <v>13.12</v>
      </c>
      <c r="O10950" s="788">
        <v>41955</v>
      </c>
    </row>
    <row r="10951" spans="1:15" x14ac:dyDescent="0.25">
      <c r="A10951" s="786" t="s">
        <v>19591</v>
      </c>
      <c r="B10951" s="787">
        <v>4</v>
      </c>
      <c r="C10951" s="787" t="s">
        <v>19592</v>
      </c>
      <c r="D10951" s="787">
        <v>6.26</v>
      </c>
      <c r="E10951" s="787">
        <v>9.36</v>
      </c>
      <c r="F10951" s="788">
        <v>40561</v>
      </c>
      <c r="G10951" s="788">
        <v>42031</v>
      </c>
      <c r="H10951" s="787">
        <v>1</v>
      </c>
      <c r="I10951" s="788">
        <v>42136</v>
      </c>
      <c r="J10951" s="788">
        <v>42137</v>
      </c>
      <c r="L10951" s="787">
        <v>9.35</v>
      </c>
      <c r="M10951" s="787">
        <v>20</v>
      </c>
      <c r="N10951" s="787">
        <v>10.050000000000001</v>
      </c>
      <c r="O10951" s="788">
        <v>42164</v>
      </c>
    </row>
    <row r="10952" spans="1:15" x14ac:dyDescent="0.25">
      <c r="A10952" s="786" t="s">
        <v>19593</v>
      </c>
      <c r="B10952" s="787">
        <v>4</v>
      </c>
      <c r="C10952" s="787" t="s">
        <v>19592</v>
      </c>
      <c r="D10952" s="787">
        <v>4.49</v>
      </c>
      <c r="E10952" s="787">
        <v>5.13</v>
      </c>
      <c r="F10952" s="788">
        <v>39101</v>
      </c>
      <c r="G10952" s="788">
        <v>40302</v>
      </c>
      <c r="H10952" s="787">
        <v>1</v>
      </c>
      <c r="I10952" s="788">
        <v>41190</v>
      </c>
      <c r="J10952" s="788">
        <v>40260</v>
      </c>
      <c r="L10952" s="787">
        <v>4.9400000000000004</v>
      </c>
      <c r="M10952" s="787">
        <v>20</v>
      </c>
      <c r="N10952" s="787">
        <v>5.31</v>
      </c>
      <c r="O10952" s="788">
        <v>42152</v>
      </c>
    </row>
    <row r="10953" spans="1:15" x14ac:dyDescent="0.25">
      <c r="A10953" s="786" t="s">
        <v>19594</v>
      </c>
      <c r="B10953" s="787">
        <v>4</v>
      </c>
      <c r="C10953" s="787" t="s">
        <v>19595</v>
      </c>
      <c r="D10953" s="787">
        <v>0</v>
      </c>
      <c r="E10953" s="787">
        <v>0</v>
      </c>
      <c r="H10953" s="787">
        <v>1</v>
      </c>
      <c r="J10953" s="788">
        <v>37643</v>
      </c>
      <c r="L10953" s="787">
        <v>0</v>
      </c>
      <c r="M10953" s="787">
        <v>20</v>
      </c>
      <c r="N10953" s="787">
        <v>0</v>
      </c>
      <c r="O10953" s="788">
        <v>40824</v>
      </c>
    </row>
    <row r="10954" spans="1:15" x14ac:dyDescent="0.25">
      <c r="A10954" s="786" t="s">
        <v>19596</v>
      </c>
      <c r="B10954" s="787">
        <v>4</v>
      </c>
      <c r="C10954" s="787" t="s">
        <v>19597</v>
      </c>
      <c r="D10954" s="787">
        <v>4.7</v>
      </c>
      <c r="E10954" s="787">
        <v>5.29</v>
      </c>
      <c r="F10954" s="788">
        <v>39490</v>
      </c>
      <c r="G10954" s="788">
        <v>42013</v>
      </c>
      <c r="H10954" s="787">
        <v>1</v>
      </c>
      <c r="I10954" s="788">
        <v>42165</v>
      </c>
      <c r="J10954" s="788">
        <v>41939</v>
      </c>
      <c r="K10954" s="788">
        <v>41208</v>
      </c>
      <c r="L10954" s="787">
        <v>5.29</v>
      </c>
      <c r="M10954" s="787">
        <v>20</v>
      </c>
      <c r="N10954" s="787">
        <v>5.69</v>
      </c>
      <c r="O10954" s="788">
        <v>42152</v>
      </c>
    </row>
    <row r="10955" spans="1:15" x14ac:dyDescent="0.25">
      <c r="A10955" s="786" t="s">
        <v>19598</v>
      </c>
      <c r="B10955" s="787">
        <v>4</v>
      </c>
      <c r="C10955" s="787" t="s">
        <v>19599</v>
      </c>
      <c r="D10955" s="787">
        <v>1.35</v>
      </c>
      <c r="E10955" s="787">
        <v>33.75</v>
      </c>
      <c r="F10955" s="788">
        <v>39101</v>
      </c>
      <c r="G10955" s="788">
        <v>40109</v>
      </c>
      <c r="H10955" s="787">
        <v>1</v>
      </c>
      <c r="I10955" s="788">
        <v>42150</v>
      </c>
      <c r="J10955" s="788">
        <v>41437</v>
      </c>
      <c r="L10955" s="787">
        <v>27.59</v>
      </c>
      <c r="M10955" s="787">
        <v>20</v>
      </c>
      <c r="N10955" s="787">
        <v>29.66</v>
      </c>
      <c r="O10955" s="788">
        <v>42164</v>
      </c>
    </row>
    <row r="10956" spans="1:15" x14ac:dyDescent="0.25">
      <c r="A10956" s="786" t="s">
        <v>19600</v>
      </c>
      <c r="B10956" s="787">
        <v>4</v>
      </c>
      <c r="C10956" s="787" t="s">
        <v>19601</v>
      </c>
      <c r="D10956" s="787">
        <v>4.5</v>
      </c>
      <c r="E10956" s="787">
        <v>14.54</v>
      </c>
      <c r="F10956" s="788">
        <v>39678</v>
      </c>
      <c r="G10956" s="788">
        <v>42145</v>
      </c>
      <c r="H10956" s="787">
        <v>1</v>
      </c>
      <c r="I10956" s="788">
        <v>42124</v>
      </c>
      <c r="J10956" s="788">
        <v>42128</v>
      </c>
      <c r="L10956" s="787">
        <v>16.3</v>
      </c>
      <c r="M10956" s="787">
        <v>20</v>
      </c>
      <c r="N10956" s="787">
        <v>17.52</v>
      </c>
      <c r="O10956" s="788">
        <v>42124</v>
      </c>
    </row>
    <row r="10957" spans="1:15" x14ac:dyDescent="0.25">
      <c r="A10957" s="786" t="s">
        <v>19602</v>
      </c>
      <c r="B10957" s="787">
        <v>4</v>
      </c>
      <c r="C10957" s="787" t="s">
        <v>19603</v>
      </c>
      <c r="D10957" s="787">
        <v>0</v>
      </c>
      <c r="E10957" s="787">
        <v>0</v>
      </c>
      <c r="H10957" s="787">
        <v>1</v>
      </c>
      <c r="I10957" s="788">
        <v>40249</v>
      </c>
      <c r="J10957" s="788">
        <v>37645</v>
      </c>
      <c r="L10957" s="787">
        <v>0</v>
      </c>
      <c r="M10957" s="787">
        <v>20</v>
      </c>
      <c r="N10957" s="787">
        <v>0</v>
      </c>
      <c r="O10957" s="788">
        <v>40824</v>
      </c>
    </row>
    <row r="10958" spans="1:15" x14ac:dyDescent="0.25">
      <c r="A10958" s="786" t="s">
        <v>19604</v>
      </c>
      <c r="B10958" s="787">
        <v>4</v>
      </c>
      <c r="C10958" s="787" t="s">
        <v>19605</v>
      </c>
      <c r="D10958" s="787">
        <v>0.15</v>
      </c>
      <c r="E10958" s="787">
        <v>3.03</v>
      </c>
      <c r="F10958" s="788">
        <v>41045</v>
      </c>
      <c r="G10958" s="788">
        <v>42165</v>
      </c>
      <c r="H10958" s="787">
        <v>1</v>
      </c>
      <c r="I10958" s="788">
        <v>42166</v>
      </c>
      <c r="J10958" s="788">
        <v>42150</v>
      </c>
      <c r="K10958" s="788">
        <v>40533</v>
      </c>
      <c r="L10958" s="787">
        <v>3.03</v>
      </c>
      <c r="M10958" s="787">
        <v>20</v>
      </c>
      <c r="N10958" s="787">
        <v>3.26</v>
      </c>
      <c r="O10958" s="788">
        <v>42162</v>
      </c>
    </row>
    <row r="10959" spans="1:15" x14ac:dyDescent="0.25">
      <c r="A10959" s="786" t="s">
        <v>19606</v>
      </c>
      <c r="B10959" s="787">
        <v>4</v>
      </c>
      <c r="C10959" s="787" t="s">
        <v>13368</v>
      </c>
      <c r="D10959" s="787">
        <v>0.64</v>
      </c>
      <c r="E10959" s="787">
        <v>0.73</v>
      </c>
      <c r="F10959" s="788">
        <v>37287</v>
      </c>
      <c r="G10959" s="788">
        <v>38986</v>
      </c>
      <c r="H10959" s="787">
        <v>1</v>
      </c>
      <c r="I10959" s="788">
        <v>42166</v>
      </c>
      <c r="J10959" s="788">
        <v>42136</v>
      </c>
      <c r="L10959" s="787">
        <v>0.8</v>
      </c>
      <c r="M10959" s="787">
        <v>20</v>
      </c>
      <c r="N10959" s="787">
        <v>0.86</v>
      </c>
      <c r="O10959" s="788">
        <v>42162</v>
      </c>
    </row>
    <row r="10960" spans="1:15" x14ac:dyDescent="0.25">
      <c r="A10960" s="786" t="s">
        <v>19607</v>
      </c>
      <c r="B10960" s="787">
        <v>4</v>
      </c>
      <c r="C10960" s="787" t="s">
        <v>19608</v>
      </c>
      <c r="D10960" s="787">
        <v>0</v>
      </c>
      <c r="E10960" s="787">
        <v>0</v>
      </c>
      <c r="H10960" s="787">
        <v>1</v>
      </c>
      <c r="L10960" s="787">
        <v>0</v>
      </c>
      <c r="M10960" s="787">
        <v>20</v>
      </c>
      <c r="N10960" s="787">
        <v>0</v>
      </c>
      <c r="O10960" s="788">
        <v>40824</v>
      </c>
    </row>
    <row r="10961" spans="1:15" x14ac:dyDescent="0.25">
      <c r="A10961" s="786" t="s">
        <v>19609</v>
      </c>
      <c r="B10961" s="787">
        <v>4</v>
      </c>
      <c r="C10961" s="787" t="s">
        <v>19610</v>
      </c>
      <c r="D10961" s="787">
        <v>0</v>
      </c>
      <c r="E10961" s="787">
        <v>0</v>
      </c>
      <c r="H10961" s="787">
        <v>1</v>
      </c>
      <c r="J10961" s="788">
        <v>37287</v>
      </c>
      <c r="L10961" s="787">
        <v>0.59</v>
      </c>
      <c r="M10961" s="787">
        <v>20</v>
      </c>
      <c r="N10961" s="787">
        <v>0.63</v>
      </c>
      <c r="O10961" s="788">
        <v>41858</v>
      </c>
    </row>
    <row r="10962" spans="1:15" x14ac:dyDescent="0.25">
      <c r="A10962" s="786" t="s">
        <v>19611</v>
      </c>
      <c r="B10962" s="787">
        <v>4</v>
      </c>
      <c r="C10962" s="787" t="s">
        <v>19612</v>
      </c>
      <c r="D10962" s="787">
        <v>3.91</v>
      </c>
      <c r="E10962" s="787">
        <v>5</v>
      </c>
      <c r="F10962" s="788">
        <v>39101</v>
      </c>
      <c r="G10962" s="788">
        <v>42013</v>
      </c>
      <c r="H10962" s="787">
        <v>1</v>
      </c>
      <c r="I10962" s="788">
        <v>42037</v>
      </c>
      <c r="J10962" s="788">
        <v>41668</v>
      </c>
      <c r="L10962" s="787">
        <v>3.62</v>
      </c>
      <c r="M10962" s="787">
        <v>20</v>
      </c>
      <c r="N10962" s="787">
        <v>3.89</v>
      </c>
      <c r="O10962" s="788">
        <v>42135</v>
      </c>
    </row>
    <row r="10963" spans="1:15" x14ac:dyDescent="0.25">
      <c r="A10963" s="786" t="s">
        <v>19613</v>
      </c>
      <c r="B10963" s="787">
        <v>4</v>
      </c>
      <c r="C10963" s="787" t="s">
        <v>19614</v>
      </c>
      <c r="D10963" s="787">
        <v>0</v>
      </c>
      <c r="E10963" s="787">
        <v>0</v>
      </c>
      <c r="H10963" s="787">
        <v>1</v>
      </c>
      <c r="J10963" s="788">
        <v>37645</v>
      </c>
      <c r="L10963" s="787">
        <v>0</v>
      </c>
      <c r="M10963" s="787">
        <v>20</v>
      </c>
      <c r="N10963" s="787">
        <v>0</v>
      </c>
      <c r="O10963" s="788">
        <v>40824</v>
      </c>
    </row>
    <row r="10964" spans="1:15" x14ac:dyDescent="0.25">
      <c r="A10964" s="786" t="s">
        <v>19615</v>
      </c>
      <c r="B10964" s="787">
        <v>4</v>
      </c>
      <c r="C10964" s="787" t="s">
        <v>19616</v>
      </c>
      <c r="D10964" s="787">
        <v>2.67</v>
      </c>
      <c r="E10964" s="787">
        <v>18.77</v>
      </c>
      <c r="F10964" s="788">
        <v>40018</v>
      </c>
      <c r="G10964" s="788">
        <v>41010</v>
      </c>
      <c r="H10964" s="787">
        <v>1</v>
      </c>
      <c r="I10964" s="788">
        <v>41416</v>
      </c>
      <c r="J10964" s="788">
        <v>40988</v>
      </c>
      <c r="K10964" s="788">
        <v>40000</v>
      </c>
      <c r="L10964" s="787">
        <v>12.67</v>
      </c>
      <c r="M10964" s="787">
        <v>20</v>
      </c>
      <c r="N10964" s="787">
        <v>13.62</v>
      </c>
      <c r="O10964" s="788">
        <v>42152</v>
      </c>
    </row>
    <row r="10965" spans="1:15" x14ac:dyDescent="0.25">
      <c r="A10965" s="786" t="s">
        <v>19617</v>
      </c>
      <c r="B10965" s="787">
        <v>4</v>
      </c>
      <c r="C10965" s="787" t="s">
        <v>19618</v>
      </c>
      <c r="D10965" s="787">
        <v>3.1</v>
      </c>
      <c r="E10965" s="787">
        <v>4.8</v>
      </c>
      <c r="F10965" s="788">
        <v>41449</v>
      </c>
      <c r="G10965" s="788">
        <v>42013</v>
      </c>
      <c r="H10965" s="787">
        <v>1</v>
      </c>
      <c r="I10965" s="788">
        <v>42163</v>
      </c>
      <c r="J10965" s="788">
        <v>41950</v>
      </c>
      <c r="K10965" s="788">
        <v>41969</v>
      </c>
      <c r="L10965" s="787">
        <v>3.57</v>
      </c>
      <c r="M10965" s="787">
        <v>20</v>
      </c>
      <c r="N10965" s="787">
        <v>3.84</v>
      </c>
      <c r="O10965" s="788">
        <v>42163</v>
      </c>
    </row>
    <row r="10966" spans="1:15" x14ac:dyDescent="0.25">
      <c r="A10966" s="786" t="s">
        <v>19619</v>
      </c>
      <c r="B10966" s="787">
        <v>4</v>
      </c>
      <c r="C10966" s="787" t="s">
        <v>19620</v>
      </c>
      <c r="D10966" s="787">
        <v>3.75</v>
      </c>
      <c r="E10966" s="787">
        <v>3.87</v>
      </c>
      <c r="F10966" s="788">
        <v>40051</v>
      </c>
      <c r="G10966" s="788">
        <v>42157</v>
      </c>
      <c r="H10966" s="787">
        <v>1</v>
      </c>
      <c r="I10966" s="788">
        <v>42151</v>
      </c>
      <c r="J10966" s="788">
        <v>42157</v>
      </c>
      <c r="K10966" s="788">
        <v>41971</v>
      </c>
      <c r="L10966" s="787">
        <v>3.79</v>
      </c>
      <c r="M10966" s="787">
        <v>20</v>
      </c>
      <c r="N10966" s="787">
        <v>4.07</v>
      </c>
      <c r="O10966" s="788">
        <v>42163</v>
      </c>
    </row>
    <row r="10967" spans="1:15" x14ac:dyDescent="0.25">
      <c r="A10967" s="786" t="s">
        <v>19621</v>
      </c>
      <c r="B10967" s="787">
        <v>4</v>
      </c>
      <c r="C10967" s="787" t="s">
        <v>2334</v>
      </c>
      <c r="D10967" s="787">
        <v>7</v>
      </c>
      <c r="E10967" s="787">
        <v>7</v>
      </c>
      <c r="F10967" s="788">
        <v>37287</v>
      </c>
      <c r="G10967" s="788">
        <v>37287</v>
      </c>
      <c r="H10967" s="787">
        <v>6</v>
      </c>
      <c r="J10967" s="788">
        <v>37287</v>
      </c>
      <c r="L10967" s="787">
        <v>7.63</v>
      </c>
      <c r="M10967" s="787">
        <v>20</v>
      </c>
      <c r="N10967" s="787">
        <v>7.53</v>
      </c>
      <c r="O10967" s="788">
        <v>41543</v>
      </c>
    </row>
    <row r="10968" spans="1:15" x14ac:dyDescent="0.25">
      <c r="A10968" s="786" t="s">
        <v>19622</v>
      </c>
      <c r="B10968" s="787">
        <v>4</v>
      </c>
      <c r="C10968" s="787" t="s">
        <v>19623</v>
      </c>
      <c r="D10968" s="787">
        <v>1.4</v>
      </c>
      <c r="E10968" s="787">
        <v>2.95</v>
      </c>
      <c r="F10968" s="788">
        <v>38047</v>
      </c>
      <c r="G10968" s="788">
        <v>38708</v>
      </c>
      <c r="H10968" s="787">
        <v>1</v>
      </c>
      <c r="I10968" s="788">
        <v>39457</v>
      </c>
      <c r="J10968" s="788">
        <v>38709</v>
      </c>
      <c r="L10968" s="787">
        <v>3.22</v>
      </c>
      <c r="M10968" s="787">
        <v>20</v>
      </c>
      <c r="N10968" s="787">
        <v>3.46</v>
      </c>
      <c r="O10968" s="788">
        <v>41858</v>
      </c>
    </row>
    <row r="10969" spans="1:15" x14ac:dyDescent="0.25">
      <c r="A10969" s="786" t="s">
        <v>19624</v>
      </c>
      <c r="B10969" s="787">
        <v>4</v>
      </c>
      <c r="C10969" s="787" t="s">
        <v>19625</v>
      </c>
      <c r="D10969" s="787">
        <v>0</v>
      </c>
      <c r="E10969" s="787">
        <v>1.38</v>
      </c>
      <c r="G10969" s="788">
        <v>37516</v>
      </c>
      <c r="H10969" s="787">
        <v>1</v>
      </c>
      <c r="I10969" s="788">
        <v>37455</v>
      </c>
      <c r="J10969" s="788">
        <v>37516</v>
      </c>
      <c r="L10969" s="787">
        <v>1.5</v>
      </c>
      <c r="M10969" s="787">
        <v>20</v>
      </c>
      <c r="N10969" s="787">
        <v>1.61</v>
      </c>
      <c r="O10969" s="788">
        <v>41858</v>
      </c>
    </row>
    <row r="10970" spans="1:15" x14ac:dyDescent="0.25">
      <c r="A10970" s="786" t="s">
        <v>19626</v>
      </c>
      <c r="B10970" s="787">
        <v>4</v>
      </c>
      <c r="C10970" s="787" t="s">
        <v>19627</v>
      </c>
      <c r="D10970" s="787">
        <v>0.05</v>
      </c>
      <c r="E10970" s="787">
        <v>0.06</v>
      </c>
      <c r="F10970" s="788">
        <v>38279</v>
      </c>
      <c r="G10970" s="788">
        <v>38946</v>
      </c>
      <c r="H10970" s="787">
        <v>1</v>
      </c>
      <c r="I10970" s="788">
        <v>39134</v>
      </c>
      <c r="J10970" s="788">
        <v>38944</v>
      </c>
      <c r="L10970" s="787">
        <v>0.05</v>
      </c>
      <c r="M10970" s="787">
        <v>20</v>
      </c>
      <c r="N10970" s="787">
        <v>0.05</v>
      </c>
      <c r="O10970" s="788">
        <v>41858</v>
      </c>
    </row>
    <row r="10971" spans="1:15" x14ac:dyDescent="0.25">
      <c r="A10971" s="786" t="s">
        <v>19628</v>
      </c>
      <c r="B10971" s="787">
        <v>4</v>
      </c>
      <c r="C10971" s="787" t="s">
        <v>19629</v>
      </c>
      <c r="D10971" s="787">
        <v>0</v>
      </c>
      <c r="E10971" s="787">
        <v>1.1200000000000001</v>
      </c>
      <c r="G10971" s="788">
        <v>37455</v>
      </c>
      <c r="H10971" s="787">
        <v>1</v>
      </c>
      <c r="I10971" s="788">
        <v>37455</v>
      </c>
      <c r="J10971" s="788">
        <v>37455</v>
      </c>
      <c r="L10971" s="787">
        <v>1.22</v>
      </c>
      <c r="M10971" s="787">
        <v>20</v>
      </c>
      <c r="N10971" s="787">
        <v>1.31</v>
      </c>
      <c r="O10971" s="788">
        <v>41858</v>
      </c>
    </row>
    <row r="10972" spans="1:15" x14ac:dyDescent="0.25">
      <c r="A10972" s="786" t="s">
        <v>19630</v>
      </c>
      <c r="B10972" s="787">
        <v>4</v>
      </c>
      <c r="C10972" s="787" t="s">
        <v>19631</v>
      </c>
      <c r="D10972" s="787">
        <v>2.4700000000000002</v>
      </c>
      <c r="E10972" s="787">
        <v>3.3</v>
      </c>
      <c r="F10972" s="788">
        <v>39975</v>
      </c>
      <c r="G10972" s="788">
        <v>42013</v>
      </c>
      <c r="H10972" s="787">
        <v>1</v>
      </c>
      <c r="I10972" s="788">
        <v>42165</v>
      </c>
      <c r="J10972" s="788">
        <v>42079</v>
      </c>
      <c r="K10972" s="788">
        <v>41865</v>
      </c>
      <c r="L10972" s="787">
        <v>3.3</v>
      </c>
      <c r="M10972" s="787">
        <v>20</v>
      </c>
      <c r="N10972" s="787">
        <v>3.55</v>
      </c>
      <c r="O10972" s="788">
        <v>42162</v>
      </c>
    </row>
    <row r="10973" spans="1:15" x14ac:dyDescent="0.25">
      <c r="A10973" s="786" t="s">
        <v>19632</v>
      </c>
      <c r="B10973" s="787">
        <v>4</v>
      </c>
      <c r="C10973" s="787" t="s">
        <v>19633</v>
      </c>
      <c r="D10973" s="787">
        <v>3.97</v>
      </c>
      <c r="E10973" s="787">
        <v>3.97</v>
      </c>
      <c r="F10973" s="788">
        <v>41071</v>
      </c>
      <c r="G10973" s="788">
        <v>42013</v>
      </c>
      <c r="H10973" s="787">
        <v>1</v>
      </c>
      <c r="I10973" s="788">
        <v>41869</v>
      </c>
      <c r="J10973" s="788">
        <v>41557</v>
      </c>
      <c r="L10973" s="787">
        <v>4</v>
      </c>
      <c r="M10973" s="787">
        <v>20</v>
      </c>
      <c r="N10973" s="787">
        <v>4.3</v>
      </c>
      <c r="O10973" s="788">
        <v>42163</v>
      </c>
    </row>
    <row r="10974" spans="1:15" x14ac:dyDescent="0.25">
      <c r="A10974" s="786" t="s">
        <v>19634</v>
      </c>
      <c r="B10974" s="787">
        <v>4</v>
      </c>
      <c r="C10974" s="787" t="s">
        <v>19635</v>
      </c>
      <c r="D10974" s="787">
        <v>2.78</v>
      </c>
      <c r="E10974" s="787">
        <v>2.98</v>
      </c>
      <c r="F10974" s="788">
        <v>40694</v>
      </c>
      <c r="G10974" s="788">
        <v>42013</v>
      </c>
      <c r="H10974" s="787">
        <v>1</v>
      </c>
      <c r="I10974" s="788">
        <v>41711</v>
      </c>
      <c r="J10974" s="788">
        <v>41066</v>
      </c>
      <c r="K10974" s="788">
        <v>40676</v>
      </c>
      <c r="L10974" s="787">
        <v>2.78</v>
      </c>
      <c r="M10974" s="787">
        <v>20</v>
      </c>
      <c r="N10974" s="787">
        <v>2.99</v>
      </c>
      <c r="O10974" s="788">
        <v>42163</v>
      </c>
    </row>
    <row r="10975" spans="1:15" x14ac:dyDescent="0.25">
      <c r="A10975" s="786" t="s">
        <v>19636</v>
      </c>
      <c r="B10975" s="787">
        <v>4</v>
      </c>
      <c r="C10975" s="787" t="s">
        <v>19637</v>
      </c>
      <c r="D10975" s="787">
        <v>9.61</v>
      </c>
      <c r="E10975" s="787">
        <v>9.61</v>
      </c>
      <c r="F10975" s="788">
        <v>37287</v>
      </c>
      <c r="G10975" s="788">
        <v>37287</v>
      </c>
      <c r="H10975" s="787">
        <v>1</v>
      </c>
      <c r="I10975" s="788">
        <v>40032</v>
      </c>
      <c r="J10975" s="788">
        <v>37287</v>
      </c>
      <c r="L10975" s="787">
        <v>0.54</v>
      </c>
      <c r="M10975" s="787">
        <v>10</v>
      </c>
      <c r="N10975" s="787">
        <v>0</v>
      </c>
      <c r="O10975" s="788">
        <v>42127</v>
      </c>
    </row>
    <row r="10976" spans="1:15" x14ac:dyDescent="0.25">
      <c r="A10976" s="786" t="s">
        <v>19638</v>
      </c>
      <c r="B10976" s="787">
        <v>4</v>
      </c>
      <c r="C10976" s="787" t="s">
        <v>19639</v>
      </c>
      <c r="D10976" s="787">
        <v>9.5500000000000007</v>
      </c>
      <c r="E10976" s="787">
        <v>9.5500000000000007</v>
      </c>
      <c r="F10976" s="788">
        <v>37287</v>
      </c>
      <c r="G10976" s="788">
        <v>37287</v>
      </c>
      <c r="H10976" s="787">
        <v>1</v>
      </c>
      <c r="J10976" s="788">
        <v>37287</v>
      </c>
      <c r="L10976" s="787">
        <v>9.3800000000000008</v>
      </c>
      <c r="M10976" s="787">
        <v>10</v>
      </c>
      <c r="N10976" s="787">
        <v>12.18</v>
      </c>
      <c r="O10976" s="788">
        <v>41858</v>
      </c>
    </row>
    <row r="10977" spans="1:15" x14ac:dyDescent="0.25">
      <c r="A10977" s="786" t="s">
        <v>19640</v>
      </c>
      <c r="B10977" s="787">
        <v>4</v>
      </c>
      <c r="C10977" s="787" t="s">
        <v>19641</v>
      </c>
      <c r="D10977" s="787">
        <v>9.61</v>
      </c>
      <c r="E10977" s="787">
        <v>9.61</v>
      </c>
      <c r="F10977" s="788">
        <v>37287</v>
      </c>
      <c r="G10977" s="788">
        <v>37287</v>
      </c>
      <c r="H10977" s="787">
        <v>1</v>
      </c>
      <c r="I10977" s="788">
        <v>37162</v>
      </c>
      <c r="J10977" s="788">
        <v>37287</v>
      </c>
      <c r="L10977" s="787">
        <v>4.2300000000000004</v>
      </c>
      <c r="M10977" s="787">
        <v>10</v>
      </c>
      <c r="N10977" s="787">
        <v>7.37</v>
      </c>
      <c r="O10977" s="788">
        <v>41858</v>
      </c>
    </row>
    <row r="10978" spans="1:15" x14ac:dyDescent="0.25">
      <c r="A10978" s="786" t="s">
        <v>19642</v>
      </c>
      <c r="B10978" s="787">
        <v>4</v>
      </c>
      <c r="C10978" s="787" t="s">
        <v>19643</v>
      </c>
      <c r="D10978" s="787">
        <v>3.29</v>
      </c>
      <c r="E10978" s="787">
        <v>13.29</v>
      </c>
      <c r="F10978" s="788">
        <v>37650</v>
      </c>
      <c r="G10978" s="788">
        <v>37650</v>
      </c>
      <c r="H10978" s="787">
        <v>1</v>
      </c>
      <c r="I10978" s="788">
        <v>37511</v>
      </c>
      <c r="J10978" s="788">
        <v>37650</v>
      </c>
      <c r="L10978" s="787">
        <v>10.52</v>
      </c>
      <c r="M10978" s="787">
        <v>10</v>
      </c>
      <c r="N10978" s="787">
        <v>12.39</v>
      </c>
      <c r="O10978" s="788">
        <v>42082</v>
      </c>
    </row>
    <row r="10979" spans="1:15" x14ac:dyDescent="0.25">
      <c r="A10979" s="786" t="s">
        <v>19644</v>
      </c>
      <c r="B10979" s="787">
        <v>4</v>
      </c>
      <c r="C10979" s="787" t="s">
        <v>19645</v>
      </c>
      <c r="D10979" s="787">
        <v>3.11</v>
      </c>
      <c r="E10979" s="787">
        <v>3.11</v>
      </c>
      <c r="F10979" s="788">
        <v>39101</v>
      </c>
      <c r="G10979" s="788">
        <v>39101</v>
      </c>
      <c r="H10979" s="787">
        <v>6</v>
      </c>
      <c r="I10979" s="788">
        <v>40617</v>
      </c>
      <c r="J10979" s="788">
        <v>39101</v>
      </c>
      <c r="L10979" s="787">
        <v>3.39</v>
      </c>
      <c r="M10979" s="787">
        <v>20</v>
      </c>
      <c r="N10979" s="787">
        <v>3.34</v>
      </c>
      <c r="O10979" s="788">
        <v>41821</v>
      </c>
    </row>
    <row r="10980" spans="1:15" x14ac:dyDescent="0.25">
      <c r="A10980" s="786" t="s">
        <v>19646</v>
      </c>
      <c r="B10980" s="787">
        <v>4</v>
      </c>
      <c r="C10980" s="787" t="s">
        <v>19647</v>
      </c>
      <c r="D10980" s="787">
        <v>1.1499999999999999</v>
      </c>
      <c r="E10980" s="787">
        <v>1.1499999999999999</v>
      </c>
      <c r="F10980" s="788">
        <v>40051</v>
      </c>
      <c r="G10980" s="788">
        <v>42013</v>
      </c>
      <c r="H10980" s="787">
        <v>1</v>
      </c>
      <c r="I10980" s="788">
        <v>41978</v>
      </c>
      <c r="J10980" s="788">
        <v>40472</v>
      </c>
      <c r="K10980" s="788">
        <v>40003</v>
      </c>
      <c r="L10980" s="787">
        <v>1.1499999999999999</v>
      </c>
      <c r="M10980" s="787">
        <v>20</v>
      </c>
      <c r="N10980" s="787">
        <v>1.24</v>
      </c>
      <c r="O10980" s="788">
        <v>41858</v>
      </c>
    </row>
    <row r="10981" spans="1:15" x14ac:dyDescent="0.25">
      <c r="A10981" s="786" t="s">
        <v>19648</v>
      </c>
      <c r="B10981" s="787">
        <v>4</v>
      </c>
      <c r="C10981" s="787" t="s">
        <v>19649</v>
      </c>
      <c r="D10981" s="787">
        <v>6.8</v>
      </c>
      <c r="E10981" s="787">
        <v>6.9</v>
      </c>
      <c r="F10981" s="788">
        <v>39101</v>
      </c>
      <c r="G10981" s="788">
        <v>39590</v>
      </c>
      <c r="H10981" s="787">
        <v>1</v>
      </c>
      <c r="I10981" s="788">
        <v>40779</v>
      </c>
      <c r="J10981" s="788">
        <v>39188</v>
      </c>
      <c r="L10981" s="787">
        <v>6.9</v>
      </c>
      <c r="M10981" s="787">
        <v>20</v>
      </c>
      <c r="N10981" s="787">
        <v>7.42</v>
      </c>
      <c r="O10981" s="788">
        <v>42156</v>
      </c>
    </row>
    <row r="10982" spans="1:15" x14ac:dyDescent="0.25">
      <c r="A10982" s="786" t="s">
        <v>19650</v>
      </c>
      <c r="B10982" s="787">
        <v>4</v>
      </c>
      <c r="C10982" s="787" t="s">
        <v>19651</v>
      </c>
      <c r="D10982" s="787">
        <v>3.6</v>
      </c>
      <c r="E10982" s="787">
        <v>5.25</v>
      </c>
      <c r="F10982" s="788">
        <v>40059</v>
      </c>
      <c r="G10982" s="788">
        <v>42033</v>
      </c>
      <c r="H10982" s="787">
        <v>1</v>
      </c>
      <c r="I10982" s="788">
        <v>41739</v>
      </c>
      <c r="J10982" s="788">
        <v>42033</v>
      </c>
      <c r="K10982" s="788">
        <v>41869</v>
      </c>
      <c r="L10982" s="787">
        <v>5.25</v>
      </c>
      <c r="M10982" s="787">
        <v>20</v>
      </c>
      <c r="N10982" s="787">
        <v>5.64</v>
      </c>
      <c r="O10982" s="788">
        <v>42162</v>
      </c>
    </row>
    <row r="10983" spans="1:15" x14ac:dyDescent="0.25">
      <c r="A10983" s="786" t="s">
        <v>19652</v>
      </c>
      <c r="B10983" s="787">
        <v>4</v>
      </c>
      <c r="C10983" s="787" t="s">
        <v>19653</v>
      </c>
      <c r="D10983" s="787">
        <v>3.6</v>
      </c>
      <c r="E10983" s="787">
        <v>6.43</v>
      </c>
      <c r="F10983" s="788">
        <v>40004</v>
      </c>
      <c r="G10983" s="788">
        <v>42125</v>
      </c>
      <c r="H10983" s="787">
        <v>1</v>
      </c>
      <c r="I10983" s="788">
        <v>42144</v>
      </c>
      <c r="J10983" s="788">
        <v>42083</v>
      </c>
      <c r="K10983" s="788">
        <v>41302</v>
      </c>
      <c r="L10983" s="787">
        <v>10.4</v>
      </c>
      <c r="M10983" s="787">
        <v>20</v>
      </c>
      <c r="N10983" s="787">
        <v>11.18</v>
      </c>
      <c r="O10983" s="788">
        <v>42153</v>
      </c>
    </row>
    <row r="10984" spans="1:15" x14ac:dyDescent="0.25">
      <c r="A10984" s="786" t="s">
        <v>19654</v>
      </c>
      <c r="B10984" s="787">
        <v>4</v>
      </c>
      <c r="C10984" s="787" t="s">
        <v>19655</v>
      </c>
      <c r="D10984" s="787">
        <v>8.64</v>
      </c>
      <c r="E10984" s="787">
        <v>59.54</v>
      </c>
      <c r="F10984" s="788">
        <v>39101</v>
      </c>
      <c r="G10984" s="788">
        <v>41396</v>
      </c>
      <c r="H10984" s="787">
        <v>6</v>
      </c>
      <c r="I10984" s="788">
        <v>41369</v>
      </c>
      <c r="J10984" s="788">
        <v>41396</v>
      </c>
      <c r="L10984" s="787">
        <v>67.12</v>
      </c>
      <c r="M10984" s="787">
        <v>20</v>
      </c>
      <c r="N10984" s="787">
        <v>64.010000000000005</v>
      </c>
      <c r="O10984" s="788">
        <v>41543</v>
      </c>
    </row>
    <row r="10985" spans="1:15" x14ac:dyDescent="0.25">
      <c r="A10985" s="786" t="s">
        <v>19656</v>
      </c>
      <c r="B10985" s="787">
        <v>4</v>
      </c>
      <c r="C10985" s="787" t="s">
        <v>19657</v>
      </c>
      <c r="D10985" s="787">
        <v>5.12</v>
      </c>
      <c r="E10985" s="787">
        <v>10.41</v>
      </c>
      <c r="F10985" s="788">
        <v>39101</v>
      </c>
      <c r="G10985" s="788">
        <v>42156</v>
      </c>
      <c r="H10985" s="787">
        <v>1</v>
      </c>
      <c r="I10985" s="788">
        <v>42166</v>
      </c>
      <c r="J10985" s="788">
        <v>42129</v>
      </c>
      <c r="K10985" s="788">
        <v>42143</v>
      </c>
      <c r="L10985" s="787">
        <v>10.23</v>
      </c>
      <c r="M10985" s="787">
        <v>20</v>
      </c>
      <c r="N10985" s="787">
        <v>11</v>
      </c>
      <c r="O10985" s="788">
        <v>42164</v>
      </c>
    </row>
    <row r="10986" spans="1:15" x14ac:dyDescent="0.25">
      <c r="A10986" s="786" t="s">
        <v>19658</v>
      </c>
      <c r="B10986" s="787">
        <v>4</v>
      </c>
      <c r="C10986" s="787" t="s">
        <v>19659</v>
      </c>
      <c r="D10986" s="787">
        <v>0.92</v>
      </c>
      <c r="E10986" s="787">
        <v>60.92</v>
      </c>
      <c r="F10986" s="788">
        <v>39101</v>
      </c>
      <c r="G10986" s="788">
        <v>39101</v>
      </c>
      <c r="H10986" s="787">
        <v>1</v>
      </c>
      <c r="I10986" s="788">
        <v>41463</v>
      </c>
      <c r="J10986" s="788">
        <v>41542</v>
      </c>
      <c r="L10986" s="787">
        <v>42.25</v>
      </c>
      <c r="M10986" s="787">
        <v>20</v>
      </c>
      <c r="N10986" s="787">
        <v>45.42</v>
      </c>
      <c r="O10986" s="788">
        <v>42162</v>
      </c>
    </row>
    <row r="10987" spans="1:15" x14ac:dyDescent="0.25">
      <c r="A10987" s="786" t="s">
        <v>19660</v>
      </c>
      <c r="B10987" s="787">
        <v>4</v>
      </c>
      <c r="C10987" s="787" t="s">
        <v>19661</v>
      </c>
      <c r="D10987" s="787">
        <v>8.4700000000000006</v>
      </c>
      <c r="E10987" s="787">
        <v>14.44</v>
      </c>
      <c r="F10987" s="788">
        <v>39101</v>
      </c>
      <c r="G10987" s="788">
        <v>42166</v>
      </c>
      <c r="H10987" s="787">
        <v>1</v>
      </c>
      <c r="I10987" s="788">
        <v>42165</v>
      </c>
      <c r="J10987" s="788">
        <v>42159</v>
      </c>
      <c r="K10987" s="788">
        <v>40952</v>
      </c>
      <c r="L10987" s="787">
        <v>13.48</v>
      </c>
      <c r="M10987" s="787">
        <v>20</v>
      </c>
      <c r="N10987" s="787">
        <v>14.49</v>
      </c>
      <c r="O10987" s="788">
        <v>42164</v>
      </c>
    </row>
    <row r="10988" spans="1:15" x14ac:dyDescent="0.25">
      <c r="A10988" s="786" t="s">
        <v>19662</v>
      </c>
      <c r="B10988" s="787">
        <v>4</v>
      </c>
      <c r="C10988" s="787" t="s">
        <v>19663</v>
      </c>
      <c r="D10988" s="787">
        <v>3.71</v>
      </c>
      <c r="E10988" s="787">
        <v>303.70999999999998</v>
      </c>
      <c r="F10988" s="788">
        <v>37645</v>
      </c>
      <c r="G10988" s="788">
        <v>37645</v>
      </c>
      <c r="H10988" s="787">
        <v>1</v>
      </c>
      <c r="I10988" s="788">
        <v>37040</v>
      </c>
      <c r="J10988" s="788">
        <v>37645</v>
      </c>
      <c r="L10988" s="787">
        <v>331.04</v>
      </c>
      <c r="M10988" s="787">
        <v>20</v>
      </c>
      <c r="N10988" s="787">
        <v>355.87</v>
      </c>
      <c r="O10988" s="788">
        <v>41858</v>
      </c>
    </row>
    <row r="10989" spans="1:15" x14ac:dyDescent="0.25">
      <c r="A10989" s="786" t="s">
        <v>19664</v>
      </c>
      <c r="B10989" s="787">
        <v>4</v>
      </c>
      <c r="C10989" s="787" t="s">
        <v>19665</v>
      </c>
      <c r="D10989" s="787">
        <v>0</v>
      </c>
      <c r="E10989" s="787">
        <v>0</v>
      </c>
      <c r="H10989" s="787">
        <v>1</v>
      </c>
      <c r="I10989" s="788">
        <v>36922</v>
      </c>
      <c r="J10989" s="788">
        <v>39101</v>
      </c>
      <c r="K10989" s="788">
        <v>39056</v>
      </c>
      <c r="L10989" s="787">
        <v>0</v>
      </c>
      <c r="M10989" s="787">
        <v>20</v>
      </c>
      <c r="N10989" s="787">
        <v>0</v>
      </c>
      <c r="O10989" s="788">
        <v>40824</v>
      </c>
    </row>
    <row r="10990" spans="1:15" x14ac:dyDescent="0.25">
      <c r="A10990" s="786" t="s">
        <v>19666</v>
      </c>
      <c r="B10990" s="787">
        <v>4</v>
      </c>
      <c r="C10990" s="787" t="s">
        <v>19667</v>
      </c>
      <c r="D10990" s="787">
        <v>8.4</v>
      </c>
      <c r="E10990" s="787">
        <v>56.34</v>
      </c>
      <c r="F10990" s="788">
        <v>39161</v>
      </c>
      <c r="G10990" s="788">
        <v>42166</v>
      </c>
      <c r="H10990" s="787">
        <v>1</v>
      </c>
      <c r="I10990" s="788">
        <v>42165</v>
      </c>
      <c r="J10990" s="788">
        <v>42166</v>
      </c>
      <c r="K10990" s="788">
        <v>40952</v>
      </c>
      <c r="L10990" s="787">
        <v>54.01</v>
      </c>
      <c r="M10990" s="787">
        <v>20</v>
      </c>
      <c r="N10990" s="787">
        <v>58.06</v>
      </c>
      <c r="O10990" s="788">
        <v>42162</v>
      </c>
    </row>
    <row r="10991" spans="1:15" x14ac:dyDescent="0.25">
      <c r="A10991" s="786" t="s">
        <v>19668</v>
      </c>
      <c r="B10991" s="787">
        <v>4</v>
      </c>
      <c r="C10991" s="787" t="s">
        <v>19669</v>
      </c>
      <c r="D10991" s="787">
        <v>9.35</v>
      </c>
      <c r="E10991" s="787">
        <v>29.35</v>
      </c>
      <c r="F10991" s="788">
        <v>39101</v>
      </c>
      <c r="G10991" s="788">
        <v>39101</v>
      </c>
      <c r="H10991" s="787">
        <v>2</v>
      </c>
      <c r="I10991" s="788">
        <v>41571</v>
      </c>
      <c r="J10991" s="788">
        <v>41598</v>
      </c>
      <c r="L10991" s="787">
        <v>31.99</v>
      </c>
      <c r="M10991" s="787">
        <v>20</v>
      </c>
      <c r="N10991" s="787">
        <v>34.39</v>
      </c>
      <c r="O10991" s="788">
        <v>41858</v>
      </c>
    </row>
    <row r="10992" spans="1:15" x14ac:dyDescent="0.25">
      <c r="A10992" s="786" t="s">
        <v>19670</v>
      </c>
      <c r="B10992" s="787">
        <v>4</v>
      </c>
      <c r="C10992" s="787" t="s">
        <v>19671</v>
      </c>
      <c r="D10992" s="787">
        <v>0.65</v>
      </c>
      <c r="E10992" s="787">
        <v>42.83</v>
      </c>
      <c r="F10992" s="788">
        <v>39101</v>
      </c>
      <c r="G10992" s="788">
        <v>42150</v>
      </c>
      <c r="H10992" s="787">
        <v>1</v>
      </c>
      <c r="I10992" s="788">
        <v>42166</v>
      </c>
      <c r="J10992" s="788">
        <v>42137</v>
      </c>
      <c r="K10992" s="788">
        <v>40931</v>
      </c>
      <c r="L10992" s="787">
        <v>40.869999999999997</v>
      </c>
      <c r="M10992" s="787">
        <v>20</v>
      </c>
      <c r="N10992" s="787">
        <v>43.94</v>
      </c>
      <c r="O10992" s="788">
        <v>42164</v>
      </c>
    </row>
    <row r="10993" spans="1:15" x14ac:dyDescent="0.25">
      <c r="A10993" s="786" t="s">
        <v>19672</v>
      </c>
      <c r="B10993" s="787">
        <v>4</v>
      </c>
      <c r="C10993" s="787" t="s">
        <v>19673</v>
      </c>
      <c r="D10993" s="787">
        <v>0.95</v>
      </c>
      <c r="E10993" s="787">
        <v>480.82</v>
      </c>
      <c r="F10993" s="788">
        <v>41130</v>
      </c>
      <c r="G10993" s="788">
        <v>41513</v>
      </c>
      <c r="H10993" s="787">
        <v>1</v>
      </c>
      <c r="I10993" s="788">
        <v>41515</v>
      </c>
      <c r="J10993" s="788">
        <v>41485</v>
      </c>
      <c r="K10993" s="788">
        <v>41045</v>
      </c>
      <c r="L10993" s="787">
        <v>470.82</v>
      </c>
      <c r="M10993" s="787">
        <v>20</v>
      </c>
      <c r="N10993" s="787">
        <v>506.13</v>
      </c>
      <c r="O10993" s="788">
        <v>42159</v>
      </c>
    </row>
    <row r="10994" spans="1:15" x14ac:dyDescent="0.25">
      <c r="A10994" s="786" t="s">
        <v>19674</v>
      </c>
      <c r="B10994" s="787">
        <v>4</v>
      </c>
      <c r="C10994" s="787" t="s">
        <v>19675</v>
      </c>
      <c r="D10994" s="787">
        <v>0.27</v>
      </c>
      <c r="E10994" s="787">
        <v>70.27</v>
      </c>
      <c r="F10994" s="788">
        <v>40428</v>
      </c>
      <c r="G10994" s="788">
        <v>40428</v>
      </c>
      <c r="H10994" s="787">
        <v>1</v>
      </c>
      <c r="I10994" s="788">
        <v>39407</v>
      </c>
      <c r="J10994" s="788">
        <v>40422</v>
      </c>
      <c r="L10994" s="787">
        <v>70.27</v>
      </c>
      <c r="M10994" s="787">
        <v>20</v>
      </c>
      <c r="N10994" s="787">
        <v>75.540000000000006</v>
      </c>
      <c r="O10994" s="788">
        <v>41858</v>
      </c>
    </row>
    <row r="10995" spans="1:15" x14ac:dyDescent="0.25">
      <c r="A10995" s="786" t="s">
        <v>19676</v>
      </c>
      <c r="B10995" s="787">
        <v>4</v>
      </c>
      <c r="C10995" s="787" t="s">
        <v>19677</v>
      </c>
      <c r="D10995" s="787">
        <v>4.08</v>
      </c>
      <c r="E10995" s="787">
        <v>23.22</v>
      </c>
      <c r="F10995" s="788">
        <v>39329</v>
      </c>
      <c r="G10995" s="788">
        <v>42013</v>
      </c>
      <c r="H10995" s="787">
        <v>1</v>
      </c>
      <c r="I10995" s="788">
        <v>42165</v>
      </c>
      <c r="J10995" s="788">
        <v>41708</v>
      </c>
      <c r="K10995" s="788">
        <v>41704</v>
      </c>
      <c r="L10995" s="787">
        <v>22.74</v>
      </c>
      <c r="M10995" s="787">
        <v>20</v>
      </c>
      <c r="N10995" s="787">
        <v>24.45</v>
      </c>
      <c r="O10995" s="788">
        <v>42164</v>
      </c>
    </row>
    <row r="10996" spans="1:15" x14ac:dyDescent="0.25">
      <c r="A10996" s="786" t="s">
        <v>19678</v>
      </c>
      <c r="B10996" s="787">
        <v>4</v>
      </c>
      <c r="C10996" s="787" t="s">
        <v>19679</v>
      </c>
      <c r="D10996" s="787">
        <v>3.77</v>
      </c>
      <c r="E10996" s="787">
        <v>11.94</v>
      </c>
      <c r="F10996" s="788">
        <v>39101</v>
      </c>
      <c r="G10996" s="788">
        <v>42013</v>
      </c>
      <c r="H10996" s="787">
        <v>1</v>
      </c>
      <c r="I10996" s="788">
        <v>42165</v>
      </c>
      <c r="J10996" s="788">
        <v>42002</v>
      </c>
      <c r="K10996" s="788">
        <v>41463</v>
      </c>
      <c r="L10996" s="787">
        <v>11.4</v>
      </c>
      <c r="M10996" s="787">
        <v>20</v>
      </c>
      <c r="N10996" s="787">
        <v>12.26</v>
      </c>
      <c r="O10996" s="788">
        <v>42164</v>
      </c>
    </row>
    <row r="10997" spans="1:15" x14ac:dyDescent="0.25">
      <c r="A10997" s="786" t="s">
        <v>19680</v>
      </c>
      <c r="B10997" s="787">
        <v>4</v>
      </c>
      <c r="C10997" s="787" t="s">
        <v>19681</v>
      </c>
      <c r="D10997" s="787">
        <v>8.65</v>
      </c>
      <c r="E10997" s="787">
        <v>48.65</v>
      </c>
      <c r="F10997" s="788">
        <v>39071</v>
      </c>
      <c r="G10997" s="788">
        <v>41479</v>
      </c>
      <c r="H10997" s="787">
        <v>1</v>
      </c>
      <c r="I10997" s="788">
        <v>41582</v>
      </c>
      <c r="J10997" s="788">
        <v>41591</v>
      </c>
      <c r="K10997" s="788">
        <v>41254</v>
      </c>
      <c r="L10997" s="787">
        <v>48.65</v>
      </c>
      <c r="M10997" s="787">
        <v>20</v>
      </c>
      <c r="N10997" s="787">
        <v>52.3</v>
      </c>
      <c r="O10997" s="788">
        <v>41858</v>
      </c>
    </row>
    <row r="10998" spans="1:15" x14ac:dyDescent="0.25">
      <c r="A10998" s="786" t="s">
        <v>19682</v>
      </c>
      <c r="B10998" s="787">
        <v>4</v>
      </c>
      <c r="C10998" s="787" t="s">
        <v>19683</v>
      </c>
      <c r="D10998" s="787">
        <v>8.06</v>
      </c>
      <c r="E10998" s="787">
        <v>168.06</v>
      </c>
      <c r="F10998" s="788">
        <v>38047</v>
      </c>
      <c r="G10998" s="788">
        <v>38047</v>
      </c>
      <c r="H10998" s="787">
        <v>1</v>
      </c>
      <c r="I10998" s="788">
        <v>40007</v>
      </c>
      <c r="J10998" s="788">
        <v>38047</v>
      </c>
      <c r="L10998" s="787">
        <v>183.19</v>
      </c>
      <c r="M10998" s="787">
        <v>20</v>
      </c>
      <c r="N10998" s="787">
        <v>196.93</v>
      </c>
      <c r="O10998" s="788">
        <v>41858</v>
      </c>
    </row>
    <row r="10999" spans="1:15" x14ac:dyDescent="0.25">
      <c r="A10999" s="786" t="s">
        <v>19684</v>
      </c>
      <c r="B10999" s="787">
        <v>4</v>
      </c>
      <c r="C10999" s="787" t="s">
        <v>19685</v>
      </c>
      <c r="D10999" s="787">
        <v>8.06</v>
      </c>
      <c r="E10999" s="787">
        <v>168.06</v>
      </c>
      <c r="F10999" s="788">
        <v>37645</v>
      </c>
      <c r="G10999" s="788">
        <v>37645</v>
      </c>
      <c r="H10999" s="787">
        <v>1</v>
      </c>
      <c r="I10999" s="788">
        <v>37895</v>
      </c>
      <c r="J10999" s="788">
        <v>37645</v>
      </c>
      <c r="L10999" s="787">
        <v>183.19</v>
      </c>
      <c r="M10999" s="787">
        <v>20</v>
      </c>
      <c r="N10999" s="787">
        <v>196.93</v>
      </c>
      <c r="O10999" s="788">
        <v>41858</v>
      </c>
    </row>
    <row r="11000" spans="1:15" x14ac:dyDescent="0.25">
      <c r="A11000" s="786" t="s">
        <v>19686</v>
      </c>
      <c r="B11000" s="787">
        <v>4</v>
      </c>
      <c r="C11000" s="787" t="s">
        <v>19687</v>
      </c>
      <c r="D11000" s="787">
        <v>7.49</v>
      </c>
      <c r="E11000" s="787">
        <v>81.540000000000006</v>
      </c>
      <c r="F11000" s="788">
        <v>39101</v>
      </c>
      <c r="G11000" s="788">
        <v>42046</v>
      </c>
      <c r="H11000" s="787">
        <v>1</v>
      </c>
      <c r="I11000" s="788">
        <v>42163</v>
      </c>
      <c r="J11000" s="788">
        <v>42044</v>
      </c>
      <c r="K11000" s="788">
        <v>40952</v>
      </c>
      <c r="L11000" s="787">
        <v>77.819999999999993</v>
      </c>
      <c r="M11000" s="787">
        <v>20</v>
      </c>
      <c r="N11000" s="787">
        <v>83.66</v>
      </c>
      <c r="O11000" s="788">
        <v>42164</v>
      </c>
    </row>
    <row r="11001" spans="1:15" x14ac:dyDescent="0.25">
      <c r="A11001" s="786" t="s">
        <v>19688</v>
      </c>
      <c r="B11001" s="787">
        <v>4</v>
      </c>
      <c r="C11001" s="787" t="s">
        <v>19689</v>
      </c>
      <c r="D11001" s="787">
        <v>2.48</v>
      </c>
      <c r="E11001" s="787">
        <v>63.47</v>
      </c>
      <c r="F11001" s="788">
        <v>39101</v>
      </c>
      <c r="G11001" s="788">
        <v>42152</v>
      </c>
      <c r="H11001" s="787">
        <v>1</v>
      </c>
      <c r="I11001" s="788">
        <v>42164</v>
      </c>
      <c r="J11001" s="788">
        <v>42131</v>
      </c>
      <c r="K11001" s="788">
        <v>41040</v>
      </c>
      <c r="L11001" s="787">
        <v>66.180000000000007</v>
      </c>
      <c r="M11001" s="787">
        <v>20</v>
      </c>
      <c r="N11001" s="787">
        <v>71.14</v>
      </c>
      <c r="O11001" s="788">
        <v>42146</v>
      </c>
    </row>
    <row r="11002" spans="1:15" x14ac:dyDescent="0.25">
      <c r="A11002" s="786" t="s">
        <v>19690</v>
      </c>
      <c r="B11002" s="787">
        <v>4</v>
      </c>
      <c r="C11002" s="787" t="s">
        <v>19691</v>
      </c>
      <c r="D11002" s="787">
        <v>0</v>
      </c>
      <c r="E11002" s="787">
        <v>0</v>
      </c>
      <c r="G11002" s="787" t="s">
        <v>1067</v>
      </c>
      <c r="H11002" s="787">
        <v>1</v>
      </c>
      <c r="L11002" s="787">
        <v>60.61</v>
      </c>
      <c r="M11002" s="787">
        <v>20</v>
      </c>
      <c r="N11002" s="787">
        <v>65.16</v>
      </c>
      <c r="O11002" s="788">
        <v>41858</v>
      </c>
    </row>
    <row r="11003" spans="1:15" x14ac:dyDescent="0.25">
      <c r="A11003" s="786" t="s">
        <v>19692</v>
      </c>
      <c r="B11003" s="787">
        <v>4</v>
      </c>
      <c r="C11003" s="787" t="s">
        <v>19693</v>
      </c>
      <c r="D11003" s="787">
        <v>0</v>
      </c>
      <c r="E11003" s="787">
        <v>0</v>
      </c>
      <c r="G11003" s="787" t="s">
        <v>1067</v>
      </c>
      <c r="H11003" s="787">
        <v>1</v>
      </c>
      <c r="L11003" s="787">
        <v>17.32</v>
      </c>
      <c r="M11003" s="787">
        <v>20</v>
      </c>
      <c r="N11003" s="787">
        <v>18.62</v>
      </c>
      <c r="O11003" s="788">
        <v>41858</v>
      </c>
    </row>
    <row r="11004" spans="1:15" x14ac:dyDescent="0.25">
      <c r="A11004" s="786" t="s">
        <v>19694</v>
      </c>
      <c r="B11004" s="787">
        <v>4</v>
      </c>
      <c r="C11004" s="787" t="s">
        <v>19695</v>
      </c>
      <c r="D11004" s="787">
        <v>6.98</v>
      </c>
      <c r="E11004" s="787">
        <v>18.850000000000001</v>
      </c>
      <c r="F11004" s="788">
        <v>39101</v>
      </c>
      <c r="G11004" s="788">
        <v>42030</v>
      </c>
      <c r="H11004" s="787">
        <v>1</v>
      </c>
      <c r="I11004" s="788">
        <v>42132</v>
      </c>
      <c r="J11004" s="788">
        <v>42026</v>
      </c>
      <c r="K11004" s="788">
        <v>41869</v>
      </c>
      <c r="L11004" s="787">
        <v>18.489999999999998</v>
      </c>
      <c r="M11004" s="787">
        <v>20</v>
      </c>
      <c r="N11004" s="787">
        <v>19.88</v>
      </c>
      <c r="O11004" s="788">
        <v>41989</v>
      </c>
    </row>
    <row r="11005" spans="1:15" x14ac:dyDescent="0.25">
      <c r="A11005" s="786" t="s">
        <v>19696</v>
      </c>
      <c r="B11005" s="787">
        <v>4</v>
      </c>
      <c r="C11005" s="787" t="s">
        <v>19697</v>
      </c>
      <c r="D11005" s="787">
        <v>4.8</v>
      </c>
      <c r="E11005" s="787">
        <v>17.41</v>
      </c>
      <c r="F11005" s="788">
        <v>39784</v>
      </c>
      <c r="G11005" s="788">
        <v>42156</v>
      </c>
      <c r="H11005" s="787">
        <v>1</v>
      </c>
      <c r="I11005" s="788">
        <v>42047</v>
      </c>
      <c r="J11005" s="788">
        <v>42129</v>
      </c>
      <c r="K11005" s="788">
        <v>41388</v>
      </c>
      <c r="L11005" s="787">
        <v>16.45</v>
      </c>
      <c r="M11005" s="787">
        <v>20</v>
      </c>
      <c r="N11005" s="787">
        <v>17.68</v>
      </c>
      <c r="O11005" s="788">
        <v>41989</v>
      </c>
    </row>
    <row r="11006" spans="1:15" x14ac:dyDescent="0.25">
      <c r="A11006" s="786" t="s">
        <v>19698</v>
      </c>
      <c r="B11006" s="787">
        <v>4</v>
      </c>
      <c r="C11006" s="787" t="s">
        <v>19699</v>
      </c>
      <c r="D11006" s="787">
        <v>6.1</v>
      </c>
      <c r="E11006" s="787">
        <v>19.03</v>
      </c>
      <c r="F11006" s="788">
        <v>37645</v>
      </c>
      <c r="G11006" s="788">
        <v>41787</v>
      </c>
      <c r="H11006" s="787">
        <v>1</v>
      </c>
      <c r="I11006" s="788">
        <v>41075</v>
      </c>
      <c r="J11006" s="788">
        <v>41775</v>
      </c>
      <c r="L11006" s="787">
        <v>17.55</v>
      </c>
      <c r="M11006" s="787">
        <v>20</v>
      </c>
      <c r="N11006" s="787">
        <v>18.87</v>
      </c>
      <c r="O11006" s="788">
        <v>41989</v>
      </c>
    </row>
    <row r="11007" spans="1:15" x14ac:dyDescent="0.25">
      <c r="A11007" s="786" t="s">
        <v>19700</v>
      </c>
      <c r="B11007" s="787">
        <v>4</v>
      </c>
      <c r="C11007" s="787" t="s">
        <v>19701</v>
      </c>
      <c r="D11007" s="787">
        <v>4.47</v>
      </c>
      <c r="E11007" s="787">
        <v>23.29</v>
      </c>
      <c r="F11007" s="788">
        <v>39101</v>
      </c>
      <c r="G11007" s="788">
        <v>40919</v>
      </c>
      <c r="H11007" s="787">
        <v>1</v>
      </c>
      <c r="I11007" s="788">
        <v>40610</v>
      </c>
      <c r="J11007" s="788">
        <v>40567</v>
      </c>
      <c r="L11007" s="787">
        <v>15.77</v>
      </c>
      <c r="M11007" s="787">
        <v>20</v>
      </c>
      <c r="N11007" s="787">
        <v>16.95</v>
      </c>
      <c r="O11007" s="788">
        <v>41858</v>
      </c>
    </row>
    <row r="11008" spans="1:15" x14ac:dyDescent="0.25">
      <c r="A11008" s="786" t="s">
        <v>19702</v>
      </c>
      <c r="B11008" s="787">
        <v>4</v>
      </c>
      <c r="C11008" s="787" t="s">
        <v>19703</v>
      </c>
      <c r="D11008" s="787">
        <v>4.5999999999999996</v>
      </c>
      <c r="E11008" s="787">
        <v>24.6</v>
      </c>
      <c r="F11008" s="788">
        <v>39101</v>
      </c>
      <c r="G11008" s="788">
        <v>39101</v>
      </c>
      <c r="H11008" s="787">
        <v>1</v>
      </c>
      <c r="I11008" s="788">
        <v>40610</v>
      </c>
      <c r="J11008" s="788">
        <v>39101</v>
      </c>
      <c r="L11008" s="787">
        <v>25.33</v>
      </c>
      <c r="M11008" s="787">
        <v>20</v>
      </c>
      <c r="N11008" s="787">
        <v>27.23</v>
      </c>
      <c r="O11008" s="788">
        <v>41858</v>
      </c>
    </row>
    <row r="11009" spans="1:15" x14ac:dyDescent="0.25">
      <c r="A11009" s="786" t="s">
        <v>19704</v>
      </c>
      <c r="B11009" s="787">
        <v>4</v>
      </c>
      <c r="C11009" s="787" t="s">
        <v>19705</v>
      </c>
      <c r="D11009" s="787">
        <v>0.12</v>
      </c>
      <c r="E11009" s="787">
        <v>301.07</v>
      </c>
      <c r="F11009" s="788">
        <v>39101</v>
      </c>
      <c r="G11009" s="788">
        <v>41255</v>
      </c>
      <c r="H11009" s="787">
        <v>1</v>
      </c>
      <c r="I11009" s="788">
        <v>41067</v>
      </c>
      <c r="J11009" s="788">
        <v>41064</v>
      </c>
      <c r="L11009" s="787">
        <v>310.43</v>
      </c>
      <c r="M11009" s="787">
        <v>20</v>
      </c>
      <c r="N11009" s="787">
        <v>333.71</v>
      </c>
      <c r="O11009" s="788">
        <v>41989</v>
      </c>
    </row>
    <row r="11010" spans="1:15" x14ac:dyDescent="0.25">
      <c r="A11010" s="786" t="s">
        <v>19706</v>
      </c>
      <c r="B11010" s="787">
        <v>4</v>
      </c>
      <c r="C11010" s="787" t="s">
        <v>19707</v>
      </c>
      <c r="D11010" s="787">
        <v>0</v>
      </c>
      <c r="E11010" s="787">
        <v>0</v>
      </c>
      <c r="G11010" s="787" t="s">
        <v>1067</v>
      </c>
      <c r="H11010" s="787">
        <v>1</v>
      </c>
      <c r="K11010" s="788">
        <v>41458</v>
      </c>
      <c r="L11010" s="787">
        <v>0.01</v>
      </c>
      <c r="M11010" s="787">
        <v>20</v>
      </c>
      <c r="N11010" s="787">
        <v>0.01</v>
      </c>
      <c r="O11010" s="788">
        <v>41858</v>
      </c>
    </row>
    <row r="11011" spans="1:15" x14ac:dyDescent="0.25">
      <c r="A11011" s="786" t="s">
        <v>19708</v>
      </c>
      <c r="B11011" s="787">
        <v>4</v>
      </c>
      <c r="C11011" s="787" t="s">
        <v>19709</v>
      </c>
      <c r="D11011" s="787">
        <v>4.76</v>
      </c>
      <c r="E11011" s="787">
        <v>4.76</v>
      </c>
      <c r="F11011" s="788">
        <v>37645</v>
      </c>
      <c r="G11011" s="788">
        <v>37645</v>
      </c>
      <c r="H11011" s="787">
        <v>1</v>
      </c>
      <c r="I11011" s="788">
        <v>37253</v>
      </c>
      <c r="J11011" s="788">
        <v>37645</v>
      </c>
      <c r="L11011" s="787">
        <v>5.19</v>
      </c>
      <c r="M11011" s="787">
        <v>20</v>
      </c>
      <c r="N11011" s="787">
        <v>5.58</v>
      </c>
      <c r="O11011" s="788">
        <v>41858</v>
      </c>
    </row>
    <row r="11012" spans="1:15" x14ac:dyDescent="0.25">
      <c r="A11012" s="786" t="s">
        <v>19710</v>
      </c>
      <c r="B11012" s="787">
        <v>4</v>
      </c>
      <c r="C11012" s="787" t="s">
        <v>19711</v>
      </c>
      <c r="D11012" s="787">
        <v>2.85</v>
      </c>
      <c r="E11012" s="787">
        <v>22.85</v>
      </c>
      <c r="F11012" s="788">
        <v>37645</v>
      </c>
      <c r="G11012" s="788">
        <v>37645</v>
      </c>
      <c r="H11012" s="787">
        <v>1</v>
      </c>
      <c r="J11012" s="788">
        <v>37645</v>
      </c>
      <c r="L11012" s="787">
        <v>24.91</v>
      </c>
      <c r="M11012" s="787">
        <v>20</v>
      </c>
      <c r="N11012" s="787">
        <v>26.78</v>
      </c>
      <c r="O11012" s="788">
        <v>41858</v>
      </c>
    </row>
    <row r="11013" spans="1:15" x14ac:dyDescent="0.25">
      <c r="A11013" s="786" t="s">
        <v>19712</v>
      </c>
      <c r="B11013" s="787">
        <v>4</v>
      </c>
      <c r="C11013" s="787" t="s">
        <v>19713</v>
      </c>
      <c r="D11013" s="787">
        <v>0.45</v>
      </c>
      <c r="E11013" s="787">
        <v>67.44</v>
      </c>
      <c r="F11013" s="788">
        <v>39842</v>
      </c>
      <c r="G11013" s="788">
        <v>41565</v>
      </c>
      <c r="H11013" s="787">
        <v>1</v>
      </c>
      <c r="I11013" s="788">
        <v>40359</v>
      </c>
      <c r="J11013" s="788">
        <v>41344</v>
      </c>
      <c r="K11013" s="788">
        <v>41045</v>
      </c>
      <c r="L11013" s="787">
        <v>66.5</v>
      </c>
      <c r="M11013" s="787">
        <v>20</v>
      </c>
      <c r="N11013" s="787">
        <v>71.489999999999995</v>
      </c>
      <c r="O11013" s="788">
        <v>41989</v>
      </c>
    </row>
    <row r="11014" spans="1:15" x14ac:dyDescent="0.25">
      <c r="A11014" s="786" t="s">
        <v>19714</v>
      </c>
      <c r="B11014" s="787">
        <v>4</v>
      </c>
      <c r="C11014" s="787" t="s">
        <v>19715</v>
      </c>
      <c r="D11014" s="787">
        <v>2.31</v>
      </c>
      <c r="E11014" s="787">
        <v>4.37</v>
      </c>
      <c r="F11014" s="788">
        <v>39119</v>
      </c>
      <c r="G11014" s="788">
        <v>42008</v>
      </c>
      <c r="H11014" s="787">
        <v>1</v>
      </c>
      <c r="I11014" s="788">
        <v>42166</v>
      </c>
      <c r="J11014" s="788">
        <v>42037</v>
      </c>
      <c r="K11014" s="788">
        <v>40861</v>
      </c>
      <c r="L11014" s="787">
        <v>4.25</v>
      </c>
      <c r="M11014" s="787">
        <v>20</v>
      </c>
      <c r="N11014" s="787">
        <v>4.57</v>
      </c>
      <c r="O11014" s="788">
        <v>42163</v>
      </c>
    </row>
    <row r="11015" spans="1:15" x14ac:dyDescent="0.25">
      <c r="A11015" s="786" t="s">
        <v>19716</v>
      </c>
      <c r="B11015" s="787">
        <v>4</v>
      </c>
      <c r="C11015" s="787" t="s">
        <v>19717</v>
      </c>
      <c r="D11015" s="787">
        <v>0.25</v>
      </c>
      <c r="E11015" s="787">
        <v>20.25</v>
      </c>
      <c r="F11015" s="788">
        <v>39101</v>
      </c>
      <c r="G11015" s="788">
        <v>39101</v>
      </c>
      <c r="H11015" s="787">
        <v>5</v>
      </c>
      <c r="I11015" s="788">
        <v>41474</v>
      </c>
      <c r="J11015" s="788">
        <v>41578</v>
      </c>
      <c r="K11015" s="788">
        <v>41869</v>
      </c>
      <c r="L11015" s="787">
        <v>20.25</v>
      </c>
      <c r="M11015" s="787">
        <v>20</v>
      </c>
      <c r="N11015" s="787">
        <v>21.77</v>
      </c>
      <c r="O11015" s="788">
        <v>42146</v>
      </c>
    </row>
    <row r="11016" spans="1:15" x14ac:dyDescent="0.25">
      <c r="A11016" s="786" t="s">
        <v>282</v>
      </c>
      <c r="B11016" s="787">
        <v>4</v>
      </c>
      <c r="C11016" s="787" t="s">
        <v>19718</v>
      </c>
      <c r="D11016" s="787">
        <v>4.97</v>
      </c>
      <c r="E11016" s="787">
        <v>24.9</v>
      </c>
      <c r="F11016" s="788">
        <v>40792</v>
      </c>
      <c r="G11016" s="788">
        <v>42158</v>
      </c>
      <c r="H11016" s="787">
        <v>1</v>
      </c>
      <c r="I11016" s="788">
        <v>42166</v>
      </c>
      <c r="J11016" s="788">
        <v>42158</v>
      </c>
      <c r="K11016" s="788">
        <v>42060</v>
      </c>
      <c r="L11016" s="787">
        <v>24.9</v>
      </c>
      <c r="M11016" s="787">
        <v>20</v>
      </c>
      <c r="N11016" s="787">
        <v>26.77</v>
      </c>
      <c r="O11016" s="788">
        <v>42164</v>
      </c>
    </row>
    <row r="11017" spans="1:15" x14ac:dyDescent="0.25">
      <c r="A11017" s="786" t="s">
        <v>19719</v>
      </c>
      <c r="B11017" s="787">
        <v>4</v>
      </c>
      <c r="C11017" s="787" t="s">
        <v>19720</v>
      </c>
      <c r="D11017" s="787">
        <v>6.91</v>
      </c>
      <c r="E11017" s="787">
        <v>32.43</v>
      </c>
      <c r="F11017" s="788">
        <v>39101</v>
      </c>
      <c r="G11017" s="788">
        <v>42013</v>
      </c>
      <c r="H11017" s="787">
        <v>1</v>
      </c>
      <c r="I11017" s="788">
        <v>42132</v>
      </c>
      <c r="J11017" s="788">
        <v>41975</v>
      </c>
      <c r="L11017" s="787">
        <v>33.04</v>
      </c>
      <c r="M11017" s="787">
        <v>20</v>
      </c>
      <c r="N11017" s="787">
        <v>35.520000000000003</v>
      </c>
      <c r="O11017" s="788">
        <v>42164</v>
      </c>
    </row>
    <row r="11018" spans="1:15" x14ac:dyDescent="0.25">
      <c r="A11018" s="786" t="s">
        <v>19721</v>
      </c>
      <c r="B11018" s="787">
        <v>4</v>
      </c>
      <c r="C11018" s="787" t="s">
        <v>19722</v>
      </c>
      <c r="D11018" s="787">
        <v>2.02</v>
      </c>
      <c r="E11018" s="787">
        <v>163.92</v>
      </c>
      <c r="F11018" s="788">
        <v>39409</v>
      </c>
      <c r="G11018" s="788">
        <v>41094</v>
      </c>
      <c r="H11018" s="787">
        <v>1</v>
      </c>
      <c r="I11018" s="788">
        <v>41102</v>
      </c>
      <c r="J11018" s="788">
        <v>41092</v>
      </c>
      <c r="L11018" s="787">
        <v>145.22999999999999</v>
      </c>
      <c r="M11018" s="787">
        <v>20</v>
      </c>
      <c r="N11018" s="787">
        <v>156.12</v>
      </c>
      <c r="O11018" s="788">
        <v>41858</v>
      </c>
    </row>
    <row r="11019" spans="1:15" x14ac:dyDescent="0.25">
      <c r="A11019" s="786" t="s">
        <v>19723</v>
      </c>
      <c r="B11019" s="787">
        <v>4</v>
      </c>
      <c r="C11019" s="787" t="s">
        <v>19724</v>
      </c>
      <c r="D11019" s="787">
        <v>9.76</v>
      </c>
      <c r="E11019" s="787">
        <v>9.76</v>
      </c>
      <c r="F11019" s="788">
        <v>37645</v>
      </c>
      <c r="G11019" s="788">
        <v>37645</v>
      </c>
      <c r="H11019" s="787">
        <v>1</v>
      </c>
      <c r="I11019" s="788">
        <v>37895</v>
      </c>
      <c r="J11019" s="788">
        <v>37645</v>
      </c>
      <c r="L11019" s="787">
        <v>10.64</v>
      </c>
      <c r="M11019" s="787">
        <v>20</v>
      </c>
      <c r="N11019" s="787">
        <v>11.44</v>
      </c>
      <c r="O11019" s="788">
        <v>41858</v>
      </c>
    </row>
    <row r="11020" spans="1:15" x14ac:dyDescent="0.25">
      <c r="A11020" s="786" t="s">
        <v>19725</v>
      </c>
      <c r="B11020" s="787">
        <v>4</v>
      </c>
      <c r="C11020" s="787" t="s">
        <v>19726</v>
      </c>
      <c r="D11020" s="787">
        <v>3.01</v>
      </c>
      <c r="E11020" s="787">
        <v>23.01</v>
      </c>
      <c r="F11020" s="788">
        <v>39101</v>
      </c>
      <c r="G11020" s="788">
        <v>39101</v>
      </c>
      <c r="H11020" s="787">
        <v>1</v>
      </c>
      <c r="I11020" s="788">
        <v>40422</v>
      </c>
      <c r="J11020" s="788">
        <v>39149</v>
      </c>
      <c r="L11020" s="787">
        <v>25.08</v>
      </c>
      <c r="M11020" s="787">
        <v>20</v>
      </c>
      <c r="N11020" s="787">
        <v>26.96</v>
      </c>
      <c r="O11020" s="788">
        <v>41858</v>
      </c>
    </row>
    <row r="11021" spans="1:15" x14ac:dyDescent="0.25">
      <c r="A11021" s="786" t="s">
        <v>19727</v>
      </c>
      <c r="B11021" s="787">
        <v>4</v>
      </c>
      <c r="C11021" s="787" t="s">
        <v>19728</v>
      </c>
      <c r="D11021" s="787">
        <v>0</v>
      </c>
      <c r="E11021" s="787">
        <v>26.67</v>
      </c>
      <c r="H11021" s="787">
        <v>1</v>
      </c>
      <c r="J11021" s="788">
        <v>37645</v>
      </c>
      <c r="L11021" s="787">
        <v>29.07</v>
      </c>
      <c r="M11021" s="787">
        <v>20</v>
      </c>
      <c r="N11021" s="787">
        <v>31.25</v>
      </c>
      <c r="O11021" s="788">
        <v>41858</v>
      </c>
    </row>
    <row r="11022" spans="1:15" x14ac:dyDescent="0.25">
      <c r="A11022" s="786" t="s">
        <v>19729</v>
      </c>
      <c r="B11022" s="787">
        <v>4</v>
      </c>
      <c r="C11022" s="787" t="s">
        <v>19730</v>
      </c>
      <c r="D11022" s="787">
        <v>3.33</v>
      </c>
      <c r="E11022" s="787">
        <v>23.33</v>
      </c>
      <c r="F11022" s="788">
        <v>37645</v>
      </c>
      <c r="G11022" s="788">
        <v>37645</v>
      </c>
      <c r="H11022" s="787">
        <v>1</v>
      </c>
      <c r="J11022" s="788">
        <v>37645</v>
      </c>
      <c r="L11022" s="787">
        <v>25.43</v>
      </c>
      <c r="M11022" s="787">
        <v>20</v>
      </c>
      <c r="N11022" s="787">
        <v>27.34</v>
      </c>
      <c r="O11022" s="788">
        <v>41858</v>
      </c>
    </row>
    <row r="11023" spans="1:15" x14ac:dyDescent="0.25">
      <c r="A11023" s="786" t="s">
        <v>19731</v>
      </c>
      <c r="B11023" s="787">
        <v>4</v>
      </c>
      <c r="C11023" s="787" t="s">
        <v>19732</v>
      </c>
      <c r="D11023" s="787">
        <v>1.5</v>
      </c>
      <c r="E11023" s="787">
        <v>11.5</v>
      </c>
      <c r="F11023" s="788">
        <v>39101</v>
      </c>
      <c r="G11023" s="788">
        <v>39101</v>
      </c>
      <c r="H11023" s="787">
        <v>1</v>
      </c>
      <c r="I11023" s="788">
        <v>37145</v>
      </c>
      <c r="J11023" s="788">
        <v>39101</v>
      </c>
      <c r="L11023" s="787">
        <v>12.54</v>
      </c>
      <c r="M11023" s="787">
        <v>20</v>
      </c>
      <c r="N11023" s="787">
        <v>13.48</v>
      </c>
      <c r="O11023" s="788">
        <v>41858</v>
      </c>
    </row>
    <row r="11024" spans="1:15" x14ac:dyDescent="0.25">
      <c r="A11024" s="786" t="s">
        <v>19733</v>
      </c>
      <c r="B11024" s="787">
        <v>4</v>
      </c>
      <c r="C11024" s="787" t="s">
        <v>19734</v>
      </c>
      <c r="D11024" s="787">
        <v>5.27</v>
      </c>
      <c r="E11024" s="787">
        <v>25.27</v>
      </c>
      <c r="F11024" s="788">
        <v>37645</v>
      </c>
      <c r="G11024" s="788">
        <v>38364</v>
      </c>
      <c r="H11024" s="787">
        <v>1</v>
      </c>
      <c r="I11024" s="788">
        <v>39115</v>
      </c>
      <c r="J11024" s="788">
        <v>37645</v>
      </c>
      <c r="L11024" s="787">
        <v>27.54</v>
      </c>
      <c r="M11024" s="787">
        <v>20</v>
      </c>
      <c r="N11024" s="787">
        <v>29.61</v>
      </c>
      <c r="O11024" s="788">
        <v>41858</v>
      </c>
    </row>
    <row r="11025" spans="1:15" x14ac:dyDescent="0.25">
      <c r="A11025" s="786" t="s">
        <v>19735</v>
      </c>
      <c r="B11025" s="787">
        <v>4</v>
      </c>
      <c r="C11025" s="787" t="s">
        <v>19736</v>
      </c>
      <c r="D11025" s="787">
        <v>1.82</v>
      </c>
      <c r="E11025" s="787">
        <v>61.82</v>
      </c>
      <c r="F11025" s="788">
        <v>38181</v>
      </c>
      <c r="G11025" s="788">
        <v>38671</v>
      </c>
      <c r="H11025" s="787">
        <v>1</v>
      </c>
      <c r="I11025" s="788">
        <v>39688</v>
      </c>
      <c r="J11025" s="788">
        <v>38678</v>
      </c>
      <c r="L11025" s="787">
        <v>67.38</v>
      </c>
      <c r="M11025" s="787">
        <v>20</v>
      </c>
      <c r="N11025" s="787">
        <v>72.430000000000007</v>
      </c>
      <c r="O11025" s="788">
        <v>41858</v>
      </c>
    </row>
    <row r="11026" spans="1:15" x14ac:dyDescent="0.25">
      <c r="A11026" s="786" t="s">
        <v>19737</v>
      </c>
      <c r="B11026" s="787">
        <v>4</v>
      </c>
      <c r="C11026" s="787" t="s">
        <v>19738</v>
      </c>
      <c r="D11026" s="787">
        <v>9.82</v>
      </c>
      <c r="E11026" s="787">
        <v>29.82</v>
      </c>
      <c r="F11026" s="788">
        <v>37645</v>
      </c>
      <c r="G11026" s="788">
        <v>37645</v>
      </c>
      <c r="H11026" s="787">
        <v>1</v>
      </c>
      <c r="J11026" s="788">
        <v>37645</v>
      </c>
      <c r="L11026" s="787">
        <v>32.5</v>
      </c>
      <c r="M11026" s="787">
        <v>20</v>
      </c>
      <c r="N11026" s="787">
        <v>34.94</v>
      </c>
      <c r="O11026" s="788">
        <v>41858</v>
      </c>
    </row>
    <row r="11027" spans="1:15" x14ac:dyDescent="0.25">
      <c r="A11027" s="786" t="s">
        <v>19739</v>
      </c>
      <c r="B11027" s="787">
        <v>4</v>
      </c>
      <c r="C11027" s="787" t="s">
        <v>19740</v>
      </c>
      <c r="D11027" s="787">
        <v>3.85</v>
      </c>
      <c r="E11027" s="787">
        <v>73.849999999999994</v>
      </c>
      <c r="F11027" s="788">
        <v>38713</v>
      </c>
      <c r="G11027" s="788">
        <v>38903</v>
      </c>
      <c r="H11027" s="787">
        <v>1</v>
      </c>
      <c r="I11027" s="788">
        <v>39134</v>
      </c>
      <c r="J11027" s="788">
        <v>38903</v>
      </c>
      <c r="L11027" s="787">
        <v>81.97</v>
      </c>
      <c r="M11027" s="787">
        <v>20</v>
      </c>
      <c r="N11027" s="787">
        <v>88.12</v>
      </c>
      <c r="O11027" s="788">
        <v>41858</v>
      </c>
    </row>
    <row r="11028" spans="1:15" x14ac:dyDescent="0.25">
      <c r="A11028" s="786" t="s">
        <v>19741</v>
      </c>
      <c r="B11028" s="787">
        <v>4</v>
      </c>
      <c r="C11028" s="787" t="s">
        <v>19742</v>
      </c>
      <c r="D11028" s="787">
        <v>8.9499999999999993</v>
      </c>
      <c r="E11028" s="787">
        <v>28.95</v>
      </c>
      <c r="F11028" s="788">
        <v>39101</v>
      </c>
      <c r="G11028" s="788">
        <v>39101</v>
      </c>
      <c r="H11028" s="787">
        <v>1</v>
      </c>
      <c r="I11028" s="788">
        <v>39134</v>
      </c>
      <c r="J11028" s="788">
        <v>39149</v>
      </c>
      <c r="L11028" s="787">
        <v>31.56</v>
      </c>
      <c r="M11028" s="787">
        <v>20</v>
      </c>
      <c r="N11028" s="787">
        <v>33.93</v>
      </c>
      <c r="O11028" s="788">
        <v>41858</v>
      </c>
    </row>
    <row r="11029" spans="1:15" x14ac:dyDescent="0.25">
      <c r="A11029" s="786" t="s">
        <v>19743</v>
      </c>
      <c r="B11029" s="787">
        <v>4</v>
      </c>
      <c r="C11029" s="787" t="s">
        <v>19744</v>
      </c>
      <c r="D11029" s="787">
        <v>5.03</v>
      </c>
      <c r="E11029" s="787">
        <v>35.79</v>
      </c>
      <c r="F11029" s="788">
        <v>39975</v>
      </c>
      <c r="G11029" s="788">
        <v>42013</v>
      </c>
      <c r="H11029" s="787">
        <v>1</v>
      </c>
      <c r="I11029" s="788">
        <v>41477</v>
      </c>
      <c r="J11029" s="788">
        <v>40501</v>
      </c>
      <c r="L11029" s="787">
        <v>35.79</v>
      </c>
      <c r="M11029" s="787">
        <v>20</v>
      </c>
      <c r="N11029" s="787">
        <v>38.47</v>
      </c>
      <c r="O11029" s="788">
        <v>42123</v>
      </c>
    </row>
    <row r="11030" spans="1:15" x14ac:dyDescent="0.25">
      <c r="A11030" s="786" t="s">
        <v>19745</v>
      </c>
      <c r="B11030" s="787">
        <v>4</v>
      </c>
      <c r="C11030" s="787" t="s">
        <v>19746</v>
      </c>
      <c r="D11030" s="787">
        <v>1.22</v>
      </c>
      <c r="E11030" s="787">
        <v>36.42</v>
      </c>
      <c r="F11030" s="788">
        <v>41548</v>
      </c>
      <c r="G11030" s="788">
        <v>42159</v>
      </c>
      <c r="H11030" s="787">
        <v>1</v>
      </c>
      <c r="I11030" s="788">
        <v>42164</v>
      </c>
      <c r="J11030" s="788">
        <v>42159</v>
      </c>
      <c r="K11030" s="788">
        <v>41281</v>
      </c>
      <c r="L11030" s="787">
        <v>37.450000000000003</v>
      </c>
      <c r="M11030" s="787">
        <v>10</v>
      </c>
      <c r="N11030" s="787">
        <v>38.130000000000003</v>
      </c>
      <c r="O11030" s="788">
        <v>42060</v>
      </c>
    </row>
    <row r="11031" spans="1:15" x14ac:dyDescent="0.25">
      <c r="A11031" s="786" t="s">
        <v>19747</v>
      </c>
      <c r="B11031" s="787">
        <v>4</v>
      </c>
      <c r="C11031" s="787" t="s">
        <v>19748</v>
      </c>
      <c r="D11031" s="787">
        <v>9.33</v>
      </c>
      <c r="E11031" s="787">
        <v>19.329999999999998</v>
      </c>
      <c r="F11031" s="788">
        <v>39101</v>
      </c>
      <c r="G11031" s="788">
        <v>39101</v>
      </c>
      <c r="H11031" s="787">
        <v>1</v>
      </c>
      <c r="I11031" s="788">
        <v>40674</v>
      </c>
      <c r="J11031" s="788">
        <v>39101</v>
      </c>
      <c r="L11031" s="787">
        <v>21.07</v>
      </c>
      <c r="M11031" s="787">
        <v>20</v>
      </c>
      <c r="N11031" s="787">
        <v>22.65</v>
      </c>
      <c r="O11031" s="788">
        <v>41858</v>
      </c>
    </row>
    <row r="11032" spans="1:15" x14ac:dyDescent="0.25">
      <c r="A11032" s="786" t="s">
        <v>19749</v>
      </c>
      <c r="B11032" s="787">
        <v>4</v>
      </c>
      <c r="C11032" s="787" t="s">
        <v>19750</v>
      </c>
      <c r="D11032" s="787">
        <v>4.57</v>
      </c>
      <c r="E11032" s="787">
        <v>14.57</v>
      </c>
      <c r="F11032" s="788">
        <v>37645</v>
      </c>
      <c r="G11032" s="788">
        <v>37645</v>
      </c>
      <c r="H11032" s="787">
        <v>1</v>
      </c>
      <c r="J11032" s="788">
        <v>37645</v>
      </c>
      <c r="L11032" s="787">
        <v>15.88</v>
      </c>
      <c r="M11032" s="787">
        <v>20</v>
      </c>
      <c r="N11032" s="787">
        <v>17.07</v>
      </c>
      <c r="O11032" s="788">
        <v>41858</v>
      </c>
    </row>
    <row r="11033" spans="1:15" x14ac:dyDescent="0.25">
      <c r="A11033" s="786" t="s">
        <v>19751</v>
      </c>
      <c r="B11033" s="787">
        <v>4</v>
      </c>
      <c r="C11033" s="787" t="s">
        <v>19752</v>
      </c>
      <c r="D11033" s="787">
        <v>9.6300000000000008</v>
      </c>
      <c r="E11033" s="787">
        <v>44.71</v>
      </c>
      <c r="F11033" s="788">
        <v>39101</v>
      </c>
      <c r="G11033" s="788">
        <v>41893</v>
      </c>
      <c r="H11033" s="787">
        <v>1</v>
      </c>
      <c r="I11033" s="788">
        <v>42146</v>
      </c>
      <c r="J11033" s="788">
        <v>42146</v>
      </c>
      <c r="L11033" s="787">
        <v>32.299999999999997</v>
      </c>
      <c r="M11033" s="787">
        <v>20</v>
      </c>
      <c r="N11033" s="787">
        <v>34.72</v>
      </c>
      <c r="O11033" s="788">
        <v>42163</v>
      </c>
    </row>
    <row r="11034" spans="1:15" x14ac:dyDescent="0.25">
      <c r="A11034" s="786" t="s">
        <v>19753</v>
      </c>
      <c r="B11034" s="787">
        <v>4</v>
      </c>
      <c r="C11034" s="787" t="s">
        <v>19754</v>
      </c>
      <c r="D11034" s="787">
        <v>4.63</v>
      </c>
      <c r="E11034" s="787">
        <v>64.069999999999993</v>
      </c>
      <c r="F11034" s="788">
        <v>37645</v>
      </c>
      <c r="G11034" s="788">
        <v>38364</v>
      </c>
      <c r="H11034" s="787">
        <v>1</v>
      </c>
      <c r="I11034" s="788">
        <v>38995</v>
      </c>
      <c r="J11034" s="788">
        <v>39006</v>
      </c>
      <c r="L11034" s="787">
        <v>37.75</v>
      </c>
      <c r="M11034" s="787">
        <v>20</v>
      </c>
      <c r="N11034" s="787">
        <v>40.58</v>
      </c>
      <c r="O11034" s="788">
        <v>41858</v>
      </c>
    </row>
    <row r="11035" spans="1:15" x14ac:dyDescent="0.25">
      <c r="A11035" s="786" t="s">
        <v>19755</v>
      </c>
      <c r="B11035" s="787">
        <v>4</v>
      </c>
      <c r="C11035" s="787" t="s">
        <v>19756</v>
      </c>
      <c r="D11035" s="787">
        <v>4.84</v>
      </c>
      <c r="E11035" s="787">
        <v>14.84</v>
      </c>
      <c r="F11035" s="788">
        <v>39101</v>
      </c>
      <c r="G11035" s="788">
        <v>39101</v>
      </c>
      <c r="H11035" s="787">
        <v>1</v>
      </c>
      <c r="I11035" s="788">
        <v>39134</v>
      </c>
      <c r="J11035" s="788">
        <v>39149</v>
      </c>
      <c r="L11035" s="787">
        <v>16.18</v>
      </c>
      <c r="M11035" s="787">
        <v>20</v>
      </c>
      <c r="N11035" s="787">
        <v>17.39</v>
      </c>
      <c r="O11035" s="788">
        <v>41858</v>
      </c>
    </row>
    <row r="11036" spans="1:15" x14ac:dyDescent="0.25">
      <c r="A11036" s="786" t="s">
        <v>19757</v>
      </c>
      <c r="B11036" s="787">
        <v>4</v>
      </c>
      <c r="C11036" s="787" t="s">
        <v>19758</v>
      </c>
      <c r="D11036" s="787">
        <v>0.54</v>
      </c>
      <c r="E11036" s="787">
        <v>26.32</v>
      </c>
      <c r="F11036" s="788">
        <v>38126</v>
      </c>
      <c r="G11036" s="788">
        <v>42013</v>
      </c>
      <c r="H11036" s="787">
        <v>1</v>
      </c>
      <c r="I11036" s="788">
        <v>42160</v>
      </c>
      <c r="J11036" s="788">
        <v>41666</v>
      </c>
      <c r="K11036" s="788">
        <v>41036</v>
      </c>
      <c r="L11036" s="787">
        <v>28.76</v>
      </c>
      <c r="M11036" s="787">
        <v>20</v>
      </c>
      <c r="N11036" s="787">
        <v>30.92</v>
      </c>
      <c r="O11036" s="788">
        <v>42146</v>
      </c>
    </row>
    <row r="11037" spans="1:15" x14ac:dyDescent="0.25">
      <c r="A11037" s="786" t="s">
        <v>19759</v>
      </c>
      <c r="B11037" s="787">
        <v>4</v>
      </c>
      <c r="C11037" s="787" t="s">
        <v>19760</v>
      </c>
      <c r="D11037" s="787">
        <v>1.93</v>
      </c>
      <c r="E11037" s="787">
        <v>31.93</v>
      </c>
      <c r="F11037" s="788">
        <v>42054</v>
      </c>
      <c r="G11037" s="788">
        <v>42136</v>
      </c>
      <c r="H11037" s="787">
        <v>1</v>
      </c>
      <c r="I11037" s="788">
        <v>42163</v>
      </c>
      <c r="J11037" s="788">
        <v>42136</v>
      </c>
      <c r="K11037" s="788">
        <v>41026</v>
      </c>
      <c r="L11037" s="787">
        <v>54.82</v>
      </c>
      <c r="M11037" s="787">
        <v>10</v>
      </c>
      <c r="N11037" s="787">
        <v>32.5</v>
      </c>
      <c r="O11037" s="788">
        <v>42162</v>
      </c>
    </row>
    <row r="11038" spans="1:15" x14ac:dyDescent="0.25">
      <c r="A11038" s="786" t="s">
        <v>19761</v>
      </c>
      <c r="B11038" s="787">
        <v>4</v>
      </c>
      <c r="C11038" s="787" t="s">
        <v>19762</v>
      </c>
      <c r="D11038" s="787">
        <v>6</v>
      </c>
      <c r="E11038" s="787">
        <v>66</v>
      </c>
      <c r="F11038" s="788">
        <v>41914</v>
      </c>
      <c r="G11038" s="788">
        <v>41926</v>
      </c>
      <c r="H11038" s="787">
        <v>1</v>
      </c>
      <c r="I11038" s="788">
        <v>41943</v>
      </c>
      <c r="J11038" s="788">
        <v>41914</v>
      </c>
      <c r="K11038" s="788">
        <v>41815</v>
      </c>
      <c r="L11038" s="787">
        <v>58.5</v>
      </c>
      <c r="M11038" s="787">
        <v>20</v>
      </c>
      <c r="N11038" s="787">
        <v>62.89</v>
      </c>
      <c r="O11038" s="788">
        <v>42023</v>
      </c>
    </row>
    <row r="11039" spans="1:15" x14ac:dyDescent="0.25">
      <c r="A11039" s="786" t="s">
        <v>19763</v>
      </c>
      <c r="B11039" s="787">
        <v>4</v>
      </c>
      <c r="C11039" s="787" t="s">
        <v>19764</v>
      </c>
      <c r="D11039" s="787">
        <v>8</v>
      </c>
      <c r="E11039" s="787">
        <v>78</v>
      </c>
      <c r="F11039" s="788">
        <v>42044</v>
      </c>
      <c r="G11039" s="788">
        <v>42045</v>
      </c>
      <c r="H11039" s="787">
        <v>1</v>
      </c>
      <c r="J11039" s="788">
        <v>42041</v>
      </c>
      <c r="K11039" s="788">
        <v>42038</v>
      </c>
      <c r="L11039" s="787">
        <v>75</v>
      </c>
      <c r="M11039" s="787">
        <v>20</v>
      </c>
      <c r="N11039" s="787">
        <v>80.63</v>
      </c>
      <c r="O11039" s="788">
        <v>42038</v>
      </c>
    </row>
    <row r="11040" spans="1:15" x14ac:dyDescent="0.25">
      <c r="A11040" s="786" t="s">
        <v>19765</v>
      </c>
      <c r="B11040" s="787">
        <v>4</v>
      </c>
      <c r="C11040" s="787" t="s">
        <v>19766</v>
      </c>
      <c r="D11040" s="787">
        <v>0.6</v>
      </c>
      <c r="E11040" s="787">
        <v>31.52</v>
      </c>
      <c r="F11040" s="788">
        <v>39617</v>
      </c>
      <c r="G11040" s="788">
        <v>42013</v>
      </c>
      <c r="H11040" s="787">
        <v>1</v>
      </c>
      <c r="I11040" s="788">
        <v>42163</v>
      </c>
      <c r="J11040" s="788">
        <v>41792</v>
      </c>
      <c r="L11040" s="787">
        <v>38.44</v>
      </c>
      <c r="M11040" s="787">
        <v>20</v>
      </c>
      <c r="N11040" s="787">
        <v>41.32</v>
      </c>
      <c r="O11040" s="788">
        <v>42164</v>
      </c>
    </row>
    <row r="11041" spans="1:15" x14ac:dyDescent="0.25">
      <c r="A11041" s="786" t="s">
        <v>19767</v>
      </c>
      <c r="B11041" s="787">
        <v>4</v>
      </c>
      <c r="C11041" s="787" t="s">
        <v>19768</v>
      </c>
      <c r="D11041" s="787">
        <v>0.23</v>
      </c>
      <c r="E11041" s="787">
        <v>35.270000000000003</v>
      </c>
      <c r="F11041" s="788">
        <v>39101</v>
      </c>
      <c r="G11041" s="788">
        <v>39101</v>
      </c>
      <c r="H11041" s="787">
        <v>1</v>
      </c>
      <c r="I11041" s="788">
        <v>39134</v>
      </c>
      <c r="J11041" s="788">
        <v>39149</v>
      </c>
      <c r="L11041" s="787">
        <v>32.950000000000003</v>
      </c>
      <c r="M11041" s="787">
        <v>20</v>
      </c>
      <c r="N11041" s="787">
        <v>35.42</v>
      </c>
      <c r="O11041" s="788">
        <v>41858</v>
      </c>
    </row>
    <row r="11042" spans="1:15" x14ac:dyDescent="0.25">
      <c r="A11042" s="786" t="s">
        <v>19769</v>
      </c>
      <c r="B11042" s="787">
        <v>4</v>
      </c>
      <c r="C11042" s="787" t="s">
        <v>19770</v>
      </c>
      <c r="D11042" s="787">
        <v>4.3600000000000003</v>
      </c>
      <c r="E11042" s="787">
        <v>54.36</v>
      </c>
      <c r="F11042" s="788">
        <v>39101</v>
      </c>
      <c r="G11042" s="788">
        <v>39101</v>
      </c>
      <c r="H11042" s="787">
        <v>1</v>
      </c>
      <c r="I11042" s="788">
        <v>40534</v>
      </c>
      <c r="J11042" s="788">
        <v>39101</v>
      </c>
      <c r="L11042" s="787">
        <v>48.39</v>
      </c>
      <c r="M11042" s="787">
        <v>20</v>
      </c>
      <c r="N11042" s="787">
        <v>52.02</v>
      </c>
      <c r="O11042" s="788">
        <v>41858</v>
      </c>
    </row>
    <row r="11043" spans="1:15" x14ac:dyDescent="0.25">
      <c r="A11043" s="786" t="s">
        <v>19771</v>
      </c>
      <c r="B11043" s="787">
        <v>4</v>
      </c>
      <c r="C11043" s="787" t="s">
        <v>19772</v>
      </c>
      <c r="D11043" s="787">
        <v>0.52</v>
      </c>
      <c r="E11043" s="787">
        <v>15.83</v>
      </c>
      <c r="F11043" s="788">
        <v>39101</v>
      </c>
      <c r="G11043" s="788">
        <v>42013</v>
      </c>
      <c r="H11043" s="787">
        <v>1</v>
      </c>
      <c r="I11043" s="788">
        <v>42145</v>
      </c>
      <c r="J11043" s="788">
        <v>41670</v>
      </c>
      <c r="K11043" s="788">
        <v>41906</v>
      </c>
      <c r="L11043" s="787">
        <v>15.83</v>
      </c>
      <c r="M11043" s="787">
        <v>20</v>
      </c>
      <c r="N11043" s="787">
        <v>17.02</v>
      </c>
      <c r="O11043" s="788">
        <v>42162</v>
      </c>
    </row>
    <row r="11044" spans="1:15" x14ac:dyDescent="0.25">
      <c r="A11044" s="786" t="s">
        <v>19773</v>
      </c>
      <c r="B11044" s="787">
        <v>4</v>
      </c>
      <c r="C11044" s="787" t="s">
        <v>19774</v>
      </c>
      <c r="D11044" s="787">
        <v>0.71</v>
      </c>
      <c r="E11044" s="787">
        <v>10.71</v>
      </c>
      <c r="F11044" s="788">
        <v>38047</v>
      </c>
      <c r="G11044" s="788">
        <v>38047</v>
      </c>
      <c r="H11044" s="787">
        <v>6</v>
      </c>
      <c r="I11044" s="788">
        <v>38244</v>
      </c>
      <c r="J11044" s="788">
        <v>39101</v>
      </c>
      <c r="L11044" s="787">
        <v>11.67</v>
      </c>
      <c r="M11044" s="787">
        <v>20</v>
      </c>
      <c r="N11044" s="787">
        <v>11.51</v>
      </c>
      <c r="O11044" s="788">
        <v>41806</v>
      </c>
    </row>
    <row r="11045" spans="1:15" x14ac:dyDescent="0.25">
      <c r="A11045" s="786" t="s">
        <v>19775</v>
      </c>
      <c r="B11045" s="787">
        <v>4</v>
      </c>
      <c r="C11045" s="787" t="s">
        <v>19776</v>
      </c>
      <c r="D11045" s="787">
        <v>1.2</v>
      </c>
      <c r="E11045" s="787">
        <v>11.2</v>
      </c>
      <c r="F11045" s="788">
        <v>39101</v>
      </c>
      <c r="G11045" s="788">
        <v>39101</v>
      </c>
      <c r="H11045" s="787">
        <v>1</v>
      </c>
      <c r="I11045" s="788">
        <v>39134</v>
      </c>
      <c r="J11045" s="788">
        <v>39149</v>
      </c>
      <c r="L11045" s="787">
        <v>12.21</v>
      </c>
      <c r="M11045" s="787">
        <v>20</v>
      </c>
      <c r="N11045" s="787">
        <v>13.13</v>
      </c>
      <c r="O11045" s="788">
        <v>41858</v>
      </c>
    </row>
    <row r="11046" spans="1:15" x14ac:dyDescent="0.25">
      <c r="A11046" s="786" t="s">
        <v>19777</v>
      </c>
      <c r="B11046" s="787">
        <v>4</v>
      </c>
      <c r="C11046" s="787" t="s">
        <v>19778</v>
      </c>
      <c r="D11046" s="787">
        <v>9.99</v>
      </c>
      <c r="E11046" s="787">
        <v>11.39</v>
      </c>
      <c r="F11046" s="788">
        <v>39101</v>
      </c>
      <c r="G11046" s="788">
        <v>42156</v>
      </c>
      <c r="H11046" s="787">
        <v>1</v>
      </c>
      <c r="I11046" s="788">
        <v>42109</v>
      </c>
      <c r="J11046" s="788">
        <v>42131</v>
      </c>
      <c r="L11046" s="787">
        <v>10.88</v>
      </c>
      <c r="M11046" s="787">
        <v>20</v>
      </c>
      <c r="N11046" s="787">
        <v>11.7</v>
      </c>
      <c r="O11046" s="788">
        <v>42162</v>
      </c>
    </row>
    <row r="11047" spans="1:15" x14ac:dyDescent="0.25">
      <c r="A11047" s="786" t="s">
        <v>19779</v>
      </c>
      <c r="B11047" s="787">
        <v>4</v>
      </c>
      <c r="C11047" s="787" t="s">
        <v>19780</v>
      </c>
      <c r="D11047" s="787">
        <v>2.21</v>
      </c>
      <c r="E11047" s="787">
        <v>32.21</v>
      </c>
      <c r="F11047" s="788">
        <v>39101</v>
      </c>
      <c r="G11047" s="788">
        <v>39101</v>
      </c>
      <c r="H11047" s="787">
        <v>1</v>
      </c>
      <c r="I11047" s="788">
        <v>40743</v>
      </c>
      <c r="J11047" s="788">
        <v>39149</v>
      </c>
      <c r="L11047" s="787">
        <v>35.11</v>
      </c>
      <c r="M11047" s="787">
        <v>20</v>
      </c>
      <c r="N11047" s="787">
        <v>37.74</v>
      </c>
      <c r="O11047" s="788">
        <v>42162</v>
      </c>
    </row>
    <row r="11048" spans="1:15" x14ac:dyDescent="0.25">
      <c r="A11048" s="786" t="s">
        <v>19781</v>
      </c>
      <c r="B11048" s="787">
        <v>4</v>
      </c>
      <c r="C11048" s="787" t="s">
        <v>19782</v>
      </c>
      <c r="D11048" s="787">
        <v>8.5299999999999994</v>
      </c>
      <c r="E11048" s="787">
        <v>28.8</v>
      </c>
      <c r="F11048" s="788">
        <v>39101</v>
      </c>
      <c r="G11048" s="788">
        <v>42013</v>
      </c>
      <c r="H11048" s="787">
        <v>1</v>
      </c>
      <c r="I11048" s="788">
        <v>42142</v>
      </c>
      <c r="J11048" s="788">
        <v>41261</v>
      </c>
      <c r="L11048" s="787">
        <v>32.840000000000003</v>
      </c>
      <c r="M11048" s="787">
        <v>20</v>
      </c>
      <c r="N11048" s="787">
        <v>35.299999999999997</v>
      </c>
      <c r="O11048" s="788">
        <v>42164</v>
      </c>
    </row>
    <row r="11049" spans="1:15" x14ac:dyDescent="0.25">
      <c r="A11049" s="786" t="s">
        <v>19783</v>
      </c>
      <c r="B11049" s="787">
        <v>4</v>
      </c>
      <c r="C11049" s="787" t="s">
        <v>19784</v>
      </c>
      <c r="D11049" s="787">
        <v>7.32</v>
      </c>
      <c r="E11049" s="787">
        <v>67.319999999999993</v>
      </c>
      <c r="F11049" s="788">
        <v>39101</v>
      </c>
      <c r="G11049" s="788">
        <v>39101</v>
      </c>
      <c r="H11049" s="787">
        <v>1</v>
      </c>
      <c r="I11049" s="788">
        <v>39764</v>
      </c>
      <c r="J11049" s="788">
        <v>39149</v>
      </c>
      <c r="L11049" s="787">
        <v>73.38</v>
      </c>
      <c r="M11049" s="787">
        <v>20</v>
      </c>
      <c r="N11049" s="787">
        <v>78.88</v>
      </c>
      <c r="O11049" s="788">
        <v>41858</v>
      </c>
    </row>
    <row r="11050" spans="1:15" x14ac:dyDescent="0.25">
      <c r="A11050" s="786" t="s">
        <v>19785</v>
      </c>
      <c r="B11050" s="787">
        <v>4</v>
      </c>
      <c r="C11050" s="787" t="s">
        <v>19786</v>
      </c>
      <c r="D11050" s="787">
        <v>3.47</v>
      </c>
      <c r="E11050" s="787">
        <v>3.47</v>
      </c>
      <c r="F11050" s="788">
        <v>40853</v>
      </c>
      <c r="G11050" s="788">
        <v>42013</v>
      </c>
      <c r="H11050" s="787">
        <v>1</v>
      </c>
      <c r="I11050" s="788">
        <v>42054</v>
      </c>
      <c r="J11050" s="788">
        <v>40844</v>
      </c>
      <c r="L11050" s="787">
        <v>3.82</v>
      </c>
      <c r="M11050" s="787">
        <v>20</v>
      </c>
      <c r="N11050" s="787">
        <v>4.1100000000000003</v>
      </c>
      <c r="O11050" s="788">
        <v>41858</v>
      </c>
    </row>
    <row r="11051" spans="1:15" x14ac:dyDescent="0.25">
      <c r="A11051" s="786" t="s">
        <v>19787</v>
      </c>
      <c r="B11051" s="787">
        <v>4</v>
      </c>
      <c r="C11051" s="787" t="s">
        <v>19788</v>
      </c>
      <c r="D11051" s="787">
        <v>5.38</v>
      </c>
      <c r="E11051" s="787">
        <v>6.08</v>
      </c>
      <c r="F11051" s="788">
        <v>39101</v>
      </c>
      <c r="G11051" s="788">
        <v>42013</v>
      </c>
      <c r="H11051" s="787">
        <v>1</v>
      </c>
      <c r="I11051" s="788">
        <v>42087</v>
      </c>
      <c r="J11051" s="788">
        <v>41065</v>
      </c>
      <c r="L11051" s="787">
        <v>5.86</v>
      </c>
      <c r="M11051" s="787">
        <v>20</v>
      </c>
      <c r="N11051" s="787">
        <v>6.3</v>
      </c>
      <c r="O11051" s="788">
        <v>41858</v>
      </c>
    </row>
    <row r="11052" spans="1:15" x14ac:dyDescent="0.25">
      <c r="A11052" s="786" t="s">
        <v>19789</v>
      </c>
      <c r="B11052" s="787">
        <v>4</v>
      </c>
      <c r="C11052" s="787" t="s">
        <v>19788</v>
      </c>
      <c r="D11052" s="787">
        <v>2.79</v>
      </c>
      <c r="E11052" s="787">
        <v>2.79</v>
      </c>
      <c r="F11052" s="788">
        <v>39101</v>
      </c>
      <c r="G11052" s="788">
        <v>39101</v>
      </c>
      <c r="H11052" s="787">
        <v>1</v>
      </c>
      <c r="I11052" s="788">
        <v>40679</v>
      </c>
      <c r="J11052" s="788">
        <v>39149</v>
      </c>
      <c r="L11052" s="787">
        <v>3.04</v>
      </c>
      <c r="M11052" s="787">
        <v>20</v>
      </c>
      <c r="N11052" s="787">
        <v>3.27</v>
      </c>
      <c r="O11052" s="788">
        <v>41858</v>
      </c>
    </row>
    <row r="11053" spans="1:15" x14ac:dyDescent="0.25">
      <c r="A11053" s="786" t="s">
        <v>19790</v>
      </c>
      <c r="B11053" s="787">
        <v>4</v>
      </c>
      <c r="C11053" s="787" t="s">
        <v>19791</v>
      </c>
      <c r="D11053" s="787">
        <v>3.15</v>
      </c>
      <c r="E11053" s="787">
        <v>3.15</v>
      </c>
      <c r="F11053" s="788">
        <v>38258</v>
      </c>
      <c r="G11053" s="788">
        <v>38258</v>
      </c>
      <c r="H11053" s="787">
        <v>1</v>
      </c>
      <c r="I11053" s="788">
        <v>40695</v>
      </c>
      <c r="J11053" s="788">
        <v>38265</v>
      </c>
      <c r="L11053" s="787">
        <v>3.43</v>
      </c>
      <c r="M11053" s="787">
        <v>20</v>
      </c>
      <c r="N11053" s="787">
        <v>3.69</v>
      </c>
      <c r="O11053" s="788">
        <v>42163</v>
      </c>
    </row>
    <row r="11054" spans="1:15" x14ac:dyDescent="0.25">
      <c r="A11054" s="786" t="s">
        <v>19792</v>
      </c>
      <c r="B11054" s="787">
        <v>4</v>
      </c>
      <c r="C11054" s="787" t="s">
        <v>19793</v>
      </c>
      <c r="D11054" s="787">
        <v>8.0500000000000007</v>
      </c>
      <c r="E11054" s="787">
        <v>48.05</v>
      </c>
      <c r="F11054" s="788">
        <v>40338</v>
      </c>
      <c r="G11054" s="788">
        <v>40338</v>
      </c>
      <c r="H11054" s="787">
        <v>1</v>
      </c>
      <c r="J11054" s="788">
        <v>40325</v>
      </c>
      <c r="L11054" s="787">
        <v>48.05</v>
      </c>
      <c r="M11054" s="787">
        <v>20</v>
      </c>
      <c r="N11054" s="787">
        <v>51.65</v>
      </c>
      <c r="O11054" s="788">
        <v>41858</v>
      </c>
    </row>
    <row r="11055" spans="1:15" x14ac:dyDescent="0.25">
      <c r="A11055" s="786" t="s">
        <v>19794</v>
      </c>
      <c r="B11055" s="787">
        <v>4</v>
      </c>
      <c r="C11055" s="787" t="s">
        <v>19795</v>
      </c>
      <c r="D11055" s="787">
        <v>9.07</v>
      </c>
      <c r="E11055" s="787">
        <v>9.07</v>
      </c>
      <c r="F11055" s="788">
        <v>40338</v>
      </c>
      <c r="G11055" s="788">
        <v>40338</v>
      </c>
      <c r="H11055" s="787">
        <v>1</v>
      </c>
      <c r="J11055" s="788">
        <v>40325</v>
      </c>
      <c r="L11055" s="787">
        <v>9.07</v>
      </c>
      <c r="M11055" s="787">
        <v>20</v>
      </c>
      <c r="N11055" s="787">
        <v>9.75</v>
      </c>
      <c r="O11055" s="788">
        <v>41858</v>
      </c>
    </row>
    <row r="11056" spans="1:15" x14ac:dyDescent="0.25">
      <c r="A11056" s="786" t="s">
        <v>19796</v>
      </c>
      <c r="B11056" s="787">
        <v>4</v>
      </c>
      <c r="C11056" s="787" t="s">
        <v>19797</v>
      </c>
      <c r="D11056" s="787">
        <v>0</v>
      </c>
      <c r="E11056" s="787">
        <v>0</v>
      </c>
      <c r="H11056" s="787">
        <v>1</v>
      </c>
      <c r="K11056" s="788">
        <v>40947</v>
      </c>
      <c r="L11056" s="787">
        <v>25</v>
      </c>
      <c r="M11056" s="787">
        <v>20</v>
      </c>
      <c r="N11056" s="787">
        <v>26.88</v>
      </c>
      <c r="O11056" s="788">
        <v>41858</v>
      </c>
    </row>
    <row r="11057" spans="1:15" x14ac:dyDescent="0.25">
      <c r="A11057" s="786" t="s">
        <v>19798</v>
      </c>
      <c r="B11057" s="787">
        <v>4</v>
      </c>
      <c r="C11057" s="787" t="s">
        <v>19799</v>
      </c>
      <c r="D11057" s="787">
        <v>4.74</v>
      </c>
      <c r="E11057" s="787">
        <v>7.64</v>
      </c>
      <c r="F11057" s="788">
        <v>39101</v>
      </c>
      <c r="G11057" s="788">
        <v>42013</v>
      </c>
      <c r="H11057" s="787">
        <v>1</v>
      </c>
      <c r="I11057" s="788">
        <v>42164</v>
      </c>
      <c r="J11057" s="788">
        <v>41905</v>
      </c>
      <c r="L11057" s="787">
        <v>4.93</v>
      </c>
      <c r="M11057" s="787">
        <v>10</v>
      </c>
      <c r="N11057" s="787">
        <v>7.42</v>
      </c>
      <c r="O11057" s="788">
        <v>42164</v>
      </c>
    </row>
    <row r="11058" spans="1:15" x14ac:dyDescent="0.25">
      <c r="A11058" s="786" t="s">
        <v>19800</v>
      </c>
      <c r="B11058" s="787">
        <v>4</v>
      </c>
      <c r="C11058" s="787" t="s">
        <v>19801</v>
      </c>
      <c r="D11058" s="787">
        <v>4.96</v>
      </c>
      <c r="E11058" s="787">
        <v>8.24</v>
      </c>
      <c r="F11058" s="788">
        <v>39456</v>
      </c>
      <c r="G11058" s="788">
        <v>42013</v>
      </c>
      <c r="H11058" s="787">
        <v>1</v>
      </c>
      <c r="I11058" s="788">
        <v>42164</v>
      </c>
      <c r="J11058" s="788">
        <v>41934</v>
      </c>
      <c r="L11058" s="787">
        <v>5.59</v>
      </c>
      <c r="M11058" s="787">
        <v>10</v>
      </c>
      <c r="N11058" s="787">
        <v>10.1</v>
      </c>
      <c r="O11058" s="788">
        <v>42164</v>
      </c>
    </row>
    <row r="11059" spans="1:15" x14ac:dyDescent="0.25">
      <c r="A11059" s="786" t="s">
        <v>19802</v>
      </c>
      <c r="B11059" s="787">
        <v>4</v>
      </c>
      <c r="C11059" s="787" t="s">
        <v>19803</v>
      </c>
      <c r="D11059" s="787">
        <v>2.93</v>
      </c>
      <c r="E11059" s="787">
        <v>10.41</v>
      </c>
      <c r="F11059" s="788">
        <v>40949</v>
      </c>
      <c r="G11059" s="788">
        <v>42013</v>
      </c>
      <c r="H11059" s="787">
        <v>1</v>
      </c>
      <c r="I11059" s="788">
        <v>42164</v>
      </c>
      <c r="J11059" s="788">
        <v>41323</v>
      </c>
      <c r="L11059" s="787">
        <v>9.1199999999999992</v>
      </c>
      <c r="M11059" s="787">
        <v>10</v>
      </c>
      <c r="N11059" s="787">
        <v>10.84</v>
      </c>
      <c r="O11059" s="788">
        <v>42159</v>
      </c>
    </row>
    <row r="11060" spans="1:15" x14ac:dyDescent="0.25">
      <c r="A11060" s="786" t="s">
        <v>19804</v>
      </c>
      <c r="B11060" s="787">
        <v>4</v>
      </c>
      <c r="C11060" s="787" t="s">
        <v>19805</v>
      </c>
      <c r="D11060" s="787">
        <v>6.74</v>
      </c>
      <c r="E11060" s="787">
        <v>6.74</v>
      </c>
      <c r="F11060" s="788">
        <v>39101</v>
      </c>
      <c r="G11060" s="788">
        <v>41943</v>
      </c>
      <c r="H11060" s="787">
        <v>1</v>
      </c>
      <c r="I11060" s="788">
        <v>41515</v>
      </c>
      <c r="J11060" s="788">
        <v>39149</v>
      </c>
      <c r="L11060" s="787">
        <v>5.34</v>
      </c>
      <c r="M11060" s="787">
        <v>10</v>
      </c>
      <c r="N11060" s="787">
        <v>6.19</v>
      </c>
      <c r="O11060" s="788">
        <v>41858</v>
      </c>
    </row>
    <row r="11061" spans="1:15" x14ac:dyDescent="0.25">
      <c r="A11061" s="786" t="s">
        <v>19806</v>
      </c>
      <c r="B11061" s="787">
        <v>4</v>
      </c>
      <c r="C11061" s="787" t="s">
        <v>19807</v>
      </c>
      <c r="D11061" s="787">
        <v>1.83</v>
      </c>
      <c r="E11061" s="787">
        <v>21.83</v>
      </c>
      <c r="F11061" s="788">
        <v>40827</v>
      </c>
      <c r="G11061" s="788">
        <v>42013</v>
      </c>
      <c r="H11061" s="787">
        <v>1</v>
      </c>
      <c r="I11061" s="788">
        <v>42016</v>
      </c>
      <c r="J11061" s="788">
        <v>40735</v>
      </c>
      <c r="L11061" s="787">
        <v>32.65</v>
      </c>
      <c r="M11061" s="787">
        <v>10</v>
      </c>
      <c r="N11061" s="787">
        <v>28.76</v>
      </c>
      <c r="O11061" s="788">
        <v>42159</v>
      </c>
    </row>
    <row r="11062" spans="1:15" x14ac:dyDescent="0.25">
      <c r="A11062" s="786" t="s">
        <v>19808</v>
      </c>
      <c r="B11062" s="787">
        <v>4</v>
      </c>
      <c r="C11062" s="787" t="s">
        <v>19809</v>
      </c>
      <c r="D11062" s="787">
        <v>6.66</v>
      </c>
      <c r="E11062" s="787">
        <v>22.55</v>
      </c>
      <c r="F11062" s="788">
        <v>39799</v>
      </c>
      <c r="G11062" s="788">
        <v>41565</v>
      </c>
      <c r="H11062" s="787">
        <v>1</v>
      </c>
      <c r="I11062" s="788">
        <v>41891</v>
      </c>
      <c r="J11062" s="788">
        <v>41298</v>
      </c>
      <c r="L11062" s="787">
        <v>23.9</v>
      </c>
      <c r="M11062" s="787">
        <v>20</v>
      </c>
      <c r="N11062" s="787">
        <v>25.69</v>
      </c>
      <c r="O11062" s="788">
        <v>42159</v>
      </c>
    </row>
    <row r="11063" spans="1:15" x14ac:dyDescent="0.25">
      <c r="A11063" s="786" t="s">
        <v>19810</v>
      </c>
      <c r="B11063" s="787">
        <v>4</v>
      </c>
      <c r="C11063" s="787" t="s">
        <v>19811</v>
      </c>
      <c r="D11063" s="787">
        <v>0.6</v>
      </c>
      <c r="E11063" s="787">
        <v>0.6</v>
      </c>
      <c r="F11063" s="788">
        <v>40948</v>
      </c>
      <c r="G11063" s="788">
        <v>41943</v>
      </c>
      <c r="H11063" s="787">
        <v>1</v>
      </c>
      <c r="I11063" s="788">
        <v>41905</v>
      </c>
      <c r="J11063" s="788">
        <v>40906</v>
      </c>
      <c r="L11063" s="787">
        <v>0.26</v>
      </c>
      <c r="M11063" s="787">
        <v>10</v>
      </c>
      <c r="N11063" s="787">
        <v>0.4</v>
      </c>
      <c r="O11063" s="788">
        <v>42164</v>
      </c>
    </row>
    <row r="11064" spans="1:15" x14ac:dyDescent="0.25">
      <c r="A11064" s="786" t="s">
        <v>19812</v>
      </c>
      <c r="B11064" s="787">
        <v>4</v>
      </c>
      <c r="C11064" s="787" t="s">
        <v>19813</v>
      </c>
      <c r="D11064" s="787">
        <v>2.2799999999999998</v>
      </c>
      <c r="E11064" s="787">
        <v>2.2799999999999998</v>
      </c>
      <c r="F11064" s="788">
        <v>39975</v>
      </c>
      <c r="G11064" s="788">
        <v>41943</v>
      </c>
      <c r="H11064" s="787">
        <v>1</v>
      </c>
      <c r="I11064" s="788">
        <v>40870</v>
      </c>
      <c r="J11064" s="788">
        <v>39920</v>
      </c>
      <c r="L11064" s="787">
        <v>2.61</v>
      </c>
      <c r="M11064" s="787">
        <v>10</v>
      </c>
      <c r="N11064" s="787">
        <v>2.62</v>
      </c>
      <c r="O11064" s="788">
        <v>42087</v>
      </c>
    </row>
    <row r="11065" spans="1:15" x14ac:dyDescent="0.25">
      <c r="A11065" s="786" t="s">
        <v>19814</v>
      </c>
      <c r="B11065" s="787">
        <v>4</v>
      </c>
      <c r="C11065" s="787" t="s">
        <v>19815</v>
      </c>
      <c r="D11065" s="787">
        <v>0.44</v>
      </c>
      <c r="E11065" s="787">
        <v>0.68</v>
      </c>
      <c r="F11065" s="788">
        <v>39101</v>
      </c>
      <c r="G11065" s="788">
        <v>41943</v>
      </c>
      <c r="H11065" s="787">
        <v>1</v>
      </c>
      <c r="I11065" s="788">
        <v>41933</v>
      </c>
      <c r="J11065" s="788">
        <v>41585</v>
      </c>
      <c r="L11065" s="787">
        <v>0.46</v>
      </c>
      <c r="M11065" s="787">
        <v>10</v>
      </c>
      <c r="N11065" s="787">
        <v>1.88</v>
      </c>
      <c r="O11065" s="788">
        <v>42164</v>
      </c>
    </row>
    <row r="11066" spans="1:15" x14ac:dyDescent="0.25">
      <c r="A11066" s="786" t="s">
        <v>19816</v>
      </c>
      <c r="B11066" s="787">
        <v>4</v>
      </c>
      <c r="C11066" s="787" t="s">
        <v>19817</v>
      </c>
      <c r="D11066" s="787">
        <v>4.4800000000000004</v>
      </c>
      <c r="E11066" s="787">
        <v>10.26</v>
      </c>
      <c r="F11066" s="788">
        <v>39456</v>
      </c>
      <c r="G11066" s="788">
        <v>41936</v>
      </c>
      <c r="H11066" s="787">
        <v>1</v>
      </c>
      <c r="I11066" s="788">
        <v>42152</v>
      </c>
      <c r="J11066" s="788">
        <v>42128</v>
      </c>
      <c r="L11066" s="787">
        <v>4.54</v>
      </c>
      <c r="M11066" s="787">
        <v>10</v>
      </c>
      <c r="N11066" s="787">
        <v>7.95</v>
      </c>
      <c r="O11066" s="788">
        <v>42164</v>
      </c>
    </row>
    <row r="11067" spans="1:15" x14ac:dyDescent="0.25">
      <c r="A11067" s="786" t="s">
        <v>19816</v>
      </c>
      <c r="B11067" s="787" t="s">
        <v>2333</v>
      </c>
      <c r="C11067" s="787" t="s">
        <v>19818</v>
      </c>
      <c r="D11067" s="787">
        <v>0</v>
      </c>
      <c r="E11067" s="787">
        <v>12.73</v>
      </c>
      <c r="H11067" s="787">
        <v>6</v>
      </c>
      <c r="L11067" s="787">
        <v>30.5</v>
      </c>
      <c r="M11067" s="787">
        <v>10</v>
      </c>
      <c r="N11067" s="787">
        <v>17.8</v>
      </c>
      <c r="O11067" s="788">
        <v>41815</v>
      </c>
    </row>
    <row r="11068" spans="1:15" x14ac:dyDescent="0.25">
      <c r="A11068" s="786" t="s">
        <v>19819</v>
      </c>
      <c r="B11068" s="787">
        <v>4</v>
      </c>
      <c r="C11068" s="787" t="s">
        <v>19820</v>
      </c>
      <c r="D11068" s="787">
        <v>3.66</v>
      </c>
      <c r="E11068" s="787">
        <v>13.25</v>
      </c>
      <c r="F11068" s="788">
        <v>39101</v>
      </c>
      <c r="G11068" s="788">
        <v>42152</v>
      </c>
      <c r="H11068" s="787">
        <v>1</v>
      </c>
      <c r="I11068" s="788">
        <v>42166</v>
      </c>
      <c r="J11068" s="788">
        <v>42124</v>
      </c>
      <c r="K11068" s="788">
        <v>41577</v>
      </c>
      <c r="L11068" s="787">
        <v>11.56</v>
      </c>
      <c r="M11068" s="787">
        <v>10</v>
      </c>
      <c r="N11068" s="787">
        <v>12.74</v>
      </c>
      <c r="O11068" s="788">
        <v>42152</v>
      </c>
    </row>
    <row r="11069" spans="1:15" x14ac:dyDescent="0.25">
      <c r="A11069" s="786" t="s">
        <v>19821</v>
      </c>
      <c r="B11069" s="787">
        <v>4</v>
      </c>
      <c r="C11069" s="787" t="s">
        <v>19822</v>
      </c>
      <c r="D11069" s="787">
        <v>6.55</v>
      </c>
      <c r="E11069" s="787">
        <v>19.579999999999998</v>
      </c>
      <c r="F11069" s="788">
        <v>39456</v>
      </c>
      <c r="G11069" s="788">
        <v>42163</v>
      </c>
      <c r="H11069" s="787">
        <v>1</v>
      </c>
      <c r="I11069" s="788">
        <v>42160</v>
      </c>
      <c r="J11069" s="788">
        <v>42142</v>
      </c>
      <c r="K11069" s="788">
        <v>41957</v>
      </c>
      <c r="L11069" s="787">
        <v>15.82</v>
      </c>
      <c r="M11069" s="787">
        <v>10</v>
      </c>
      <c r="N11069" s="787">
        <v>16.02</v>
      </c>
      <c r="O11069" s="788">
        <v>42164</v>
      </c>
    </row>
    <row r="11070" spans="1:15" x14ac:dyDescent="0.25">
      <c r="A11070" s="786" t="s">
        <v>19823</v>
      </c>
      <c r="B11070" s="787">
        <v>4</v>
      </c>
      <c r="C11070" s="787" t="s">
        <v>19824</v>
      </c>
      <c r="D11070" s="787">
        <v>4.57</v>
      </c>
      <c r="E11070" s="787">
        <v>28.25</v>
      </c>
      <c r="F11070" s="788">
        <v>39101</v>
      </c>
      <c r="G11070" s="788">
        <v>42053</v>
      </c>
      <c r="H11070" s="787">
        <v>1</v>
      </c>
      <c r="I11070" s="788">
        <v>42156</v>
      </c>
      <c r="J11070" s="788">
        <v>42023</v>
      </c>
      <c r="L11070" s="787">
        <v>25.68</v>
      </c>
      <c r="M11070" s="787">
        <v>10</v>
      </c>
      <c r="N11070" s="787">
        <v>26.11</v>
      </c>
      <c r="O11070" s="788">
        <v>42157</v>
      </c>
    </row>
    <row r="11071" spans="1:15" x14ac:dyDescent="0.25">
      <c r="A11071" s="786" t="s">
        <v>19825</v>
      </c>
      <c r="B11071" s="787">
        <v>4</v>
      </c>
      <c r="C11071" s="787" t="s">
        <v>19826</v>
      </c>
      <c r="D11071" s="787">
        <v>7.39</v>
      </c>
      <c r="E11071" s="787">
        <v>7.39</v>
      </c>
      <c r="F11071" s="788">
        <v>38047</v>
      </c>
      <c r="G11071" s="788">
        <v>38047</v>
      </c>
      <c r="H11071" s="787">
        <v>1</v>
      </c>
      <c r="I11071" s="788">
        <v>37100</v>
      </c>
      <c r="J11071" s="788">
        <v>38047</v>
      </c>
      <c r="L11071" s="787">
        <v>8.08</v>
      </c>
      <c r="M11071" s="787">
        <v>10</v>
      </c>
      <c r="N11071" s="787">
        <v>12.24</v>
      </c>
      <c r="O11071" s="788">
        <v>42087</v>
      </c>
    </row>
    <row r="11072" spans="1:15" x14ac:dyDescent="0.25">
      <c r="A11072" s="786" t="s">
        <v>19827</v>
      </c>
      <c r="B11072" s="787">
        <v>4</v>
      </c>
      <c r="C11072" s="787" t="s">
        <v>19828</v>
      </c>
      <c r="D11072" s="787">
        <v>0</v>
      </c>
      <c r="E11072" s="787">
        <v>0</v>
      </c>
      <c r="H11072" s="787">
        <v>6</v>
      </c>
      <c r="I11072" s="788">
        <v>39022</v>
      </c>
      <c r="J11072" s="788">
        <v>39101</v>
      </c>
      <c r="L11072" s="787">
        <v>0</v>
      </c>
      <c r="M11072" s="787">
        <v>10</v>
      </c>
      <c r="N11072" s="787">
        <v>0</v>
      </c>
      <c r="O11072" s="788">
        <v>41806</v>
      </c>
    </row>
    <row r="11073" spans="1:15" x14ac:dyDescent="0.25">
      <c r="A11073" s="786" t="s">
        <v>19829</v>
      </c>
      <c r="B11073" s="787">
        <v>4</v>
      </c>
      <c r="C11073" s="787" t="s">
        <v>19830</v>
      </c>
      <c r="D11073" s="787">
        <v>9.0500000000000007</v>
      </c>
      <c r="E11073" s="787">
        <v>20.260000000000002</v>
      </c>
      <c r="F11073" s="788">
        <v>39975</v>
      </c>
      <c r="G11073" s="788">
        <v>42163</v>
      </c>
      <c r="H11073" s="787">
        <v>1</v>
      </c>
      <c r="I11073" s="788">
        <v>42151</v>
      </c>
      <c r="J11073" s="788">
        <v>42142</v>
      </c>
      <c r="L11073" s="787">
        <v>12.12</v>
      </c>
      <c r="M11073" s="787">
        <v>10</v>
      </c>
      <c r="N11073" s="787">
        <v>19.670000000000002</v>
      </c>
      <c r="O11073" s="788">
        <v>42164</v>
      </c>
    </row>
    <row r="11074" spans="1:15" x14ac:dyDescent="0.25">
      <c r="A11074" s="786" t="s">
        <v>19831</v>
      </c>
      <c r="B11074" s="787">
        <v>4</v>
      </c>
      <c r="C11074" s="787" t="s">
        <v>19832</v>
      </c>
      <c r="D11074" s="787">
        <v>9.85</v>
      </c>
      <c r="E11074" s="787">
        <v>31.89</v>
      </c>
      <c r="F11074" s="788">
        <v>39101</v>
      </c>
      <c r="G11074" s="788">
        <v>42013</v>
      </c>
      <c r="H11074" s="787">
        <v>1</v>
      </c>
      <c r="I11074" s="788">
        <v>42037</v>
      </c>
      <c r="J11074" s="788">
        <v>41709</v>
      </c>
      <c r="L11074" s="787">
        <v>19.809999999999999</v>
      </c>
      <c r="M11074" s="787">
        <v>10</v>
      </c>
      <c r="N11074" s="787">
        <v>31.76</v>
      </c>
      <c r="O11074" s="788">
        <v>42164</v>
      </c>
    </row>
    <row r="11075" spans="1:15" x14ac:dyDescent="0.25">
      <c r="A11075" s="786" t="s">
        <v>19833</v>
      </c>
      <c r="B11075" s="787">
        <v>4</v>
      </c>
      <c r="C11075" s="787" t="s">
        <v>19834</v>
      </c>
      <c r="D11075" s="787">
        <v>9.7100000000000009</v>
      </c>
      <c r="E11075" s="787">
        <v>13.8</v>
      </c>
      <c r="F11075" s="788">
        <v>38047</v>
      </c>
      <c r="G11075" s="788">
        <v>42013</v>
      </c>
      <c r="H11075" s="787">
        <v>1</v>
      </c>
      <c r="I11075" s="788">
        <v>42076</v>
      </c>
      <c r="J11075" s="788">
        <v>39769</v>
      </c>
      <c r="L11075" s="787">
        <v>13.02</v>
      </c>
      <c r="M11075" s="787">
        <v>10</v>
      </c>
      <c r="N11075" s="787">
        <v>24.73</v>
      </c>
      <c r="O11075" s="788">
        <v>41955</v>
      </c>
    </row>
    <row r="11076" spans="1:15" x14ac:dyDescent="0.25">
      <c r="A11076" s="786" t="s">
        <v>19835</v>
      </c>
      <c r="B11076" s="787">
        <v>4</v>
      </c>
      <c r="C11076" s="787" t="s">
        <v>19836</v>
      </c>
      <c r="D11076" s="787">
        <v>4.8600000000000003</v>
      </c>
      <c r="E11076" s="787">
        <v>6.18</v>
      </c>
      <c r="F11076" s="788">
        <v>37645</v>
      </c>
      <c r="G11076" s="788">
        <v>42013</v>
      </c>
      <c r="H11076" s="787">
        <v>1</v>
      </c>
      <c r="I11076" s="788">
        <v>42163</v>
      </c>
      <c r="J11076" s="788">
        <v>40133</v>
      </c>
      <c r="L11076" s="787">
        <v>5.61</v>
      </c>
      <c r="M11076" s="787">
        <v>10</v>
      </c>
      <c r="N11076" s="787">
        <v>11.33</v>
      </c>
      <c r="O11076" s="788">
        <v>42164</v>
      </c>
    </row>
    <row r="11077" spans="1:15" x14ac:dyDescent="0.25">
      <c r="A11077" s="786" t="s">
        <v>19837</v>
      </c>
      <c r="B11077" s="787">
        <v>4</v>
      </c>
      <c r="C11077" s="787" t="s">
        <v>19838</v>
      </c>
      <c r="D11077" s="787">
        <v>9.7799999999999994</v>
      </c>
      <c r="E11077" s="787">
        <v>9.7799999999999994</v>
      </c>
      <c r="F11077" s="788">
        <v>39101</v>
      </c>
      <c r="G11077" s="788">
        <v>39101</v>
      </c>
      <c r="H11077" s="787">
        <v>6</v>
      </c>
      <c r="I11077" s="788">
        <v>40249</v>
      </c>
      <c r="J11077" s="788">
        <v>39149</v>
      </c>
      <c r="L11077" s="787">
        <v>10.66</v>
      </c>
      <c r="M11077" s="787">
        <v>20</v>
      </c>
      <c r="N11077" s="787">
        <v>10.51</v>
      </c>
      <c r="O11077" s="788">
        <v>41815</v>
      </c>
    </row>
    <row r="11078" spans="1:15" x14ac:dyDescent="0.25">
      <c r="A11078" s="786" t="s">
        <v>19839</v>
      </c>
      <c r="B11078" s="787">
        <v>4</v>
      </c>
      <c r="C11078" s="787" t="s">
        <v>19840</v>
      </c>
      <c r="D11078" s="787">
        <v>0.96</v>
      </c>
      <c r="E11078" s="787">
        <v>10.96</v>
      </c>
      <c r="F11078" s="788">
        <v>39101</v>
      </c>
      <c r="G11078" s="788">
        <v>39101</v>
      </c>
      <c r="H11078" s="787">
        <v>1</v>
      </c>
      <c r="I11078" s="788">
        <v>39500</v>
      </c>
      <c r="J11078" s="788">
        <v>39149</v>
      </c>
      <c r="L11078" s="787">
        <v>10.96</v>
      </c>
      <c r="M11078" s="787">
        <v>10</v>
      </c>
      <c r="N11078" s="787">
        <v>0</v>
      </c>
      <c r="O11078" s="788">
        <v>42118</v>
      </c>
    </row>
    <row r="11079" spans="1:15" x14ac:dyDescent="0.25">
      <c r="A11079" s="786" t="s">
        <v>19841</v>
      </c>
      <c r="B11079" s="787">
        <v>4</v>
      </c>
      <c r="C11079" s="787" t="s">
        <v>19842</v>
      </c>
      <c r="D11079" s="787">
        <v>0</v>
      </c>
      <c r="E11079" s="787">
        <v>0</v>
      </c>
      <c r="H11079" s="787">
        <v>1</v>
      </c>
      <c r="J11079" s="788">
        <v>37287</v>
      </c>
      <c r="L11079" s="787">
        <v>0</v>
      </c>
      <c r="M11079" s="787">
        <v>10</v>
      </c>
      <c r="N11079" s="787">
        <v>0</v>
      </c>
      <c r="O11079" s="788">
        <v>41858</v>
      </c>
    </row>
    <row r="11080" spans="1:15" x14ac:dyDescent="0.25">
      <c r="A11080" s="786" t="s">
        <v>19843</v>
      </c>
      <c r="B11080" s="787">
        <v>4</v>
      </c>
      <c r="C11080" s="787" t="s">
        <v>19844</v>
      </c>
      <c r="D11080" s="787">
        <v>2.37</v>
      </c>
      <c r="E11080" s="787">
        <v>2.37</v>
      </c>
      <c r="F11080" s="788">
        <v>39975</v>
      </c>
      <c r="G11080" s="788">
        <v>41943</v>
      </c>
      <c r="H11080" s="787">
        <v>1</v>
      </c>
      <c r="I11080" s="788">
        <v>40870</v>
      </c>
      <c r="J11080" s="788">
        <v>39923</v>
      </c>
      <c r="L11080" s="787">
        <v>0</v>
      </c>
      <c r="M11080" s="787">
        <v>10</v>
      </c>
      <c r="N11080" s="787">
        <v>2.46</v>
      </c>
      <c r="O11080" s="788">
        <v>42087</v>
      </c>
    </row>
    <row r="11081" spans="1:15" x14ac:dyDescent="0.25">
      <c r="A11081" s="786" t="s">
        <v>19845</v>
      </c>
      <c r="B11081" s="787">
        <v>4</v>
      </c>
      <c r="C11081" s="787" t="s">
        <v>19846</v>
      </c>
      <c r="D11081" s="787">
        <v>2.56</v>
      </c>
      <c r="E11081" s="787">
        <v>2.56</v>
      </c>
      <c r="F11081" s="788">
        <v>38047</v>
      </c>
      <c r="G11081" s="788">
        <v>38736</v>
      </c>
      <c r="H11081" s="787">
        <v>6</v>
      </c>
      <c r="I11081" s="788">
        <v>39899</v>
      </c>
      <c r="J11081" s="788">
        <v>38047</v>
      </c>
      <c r="L11081" s="787">
        <v>2.56</v>
      </c>
      <c r="M11081" s="787">
        <v>10</v>
      </c>
      <c r="N11081" s="787">
        <v>0</v>
      </c>
      <c r="O11081" s="788">
        <v>41806</v>
      </c>
    </row>
    <row r="11082" spans="1:15" x14ac:dyDescent="0.25">
      <c r="A11082" s="786" t="s">
        <v>19847</v>
      </c>
      <c r="B11082" s="787">
        <v>4</v>
      </c>
      <c r="C11082" s="787" t="s">
        <v>19848</v>
      </c>
      <c r="D11082" s="787">
        <v>8.9499999999999993</v>
      </c>
      <c r="E11082" s="787">
        <v>19.02</v>
      </c>
      <c r="F11082" s="788">
        <v>39101</v>
      </c>
      <c r="G11082" s="788">
        <v>40948</v>
      </c>
      <c r="H11082" s="787">
        <v>1</v>
      </c>
      <c r="I11082" s="788">
        <v>40899</v>
      </c>
      <c r="J11082" s="788">
        <v>40897</v>
      </c>
      <c r="L11082" s="787">
        <v>24.49</v>
      </c>
      <c r="M11082" s="787">
        <v>10</v>
      </c>
      <c r="N11082" s="787">
        <v>33.869999999999997</v>
      </c>
      <c r="O11082" s="788">
        <v>42163</v>
      </c>
    </row>
    <row r="11083" spans="1:15" x14ac:dyDescent="0.25">
      <c r="A11083" s="786" t="s">
        <v>19849</v>
      </c>
      <c r="B11083" s="787">
        <v>4</v>
      </c>
      <c r="C11083" s="787" t="s">
        <v>19850</v>
      </c>
      <c r="D11083" s="787">
        <v>4.12</v>
      </c>
      <c r="E11083" s="787">
        <v>5.17</v>
      </c>
      <c r="F11083" s="788">
        <v>39101</v>
      </c>
      <c r="G11083" s="788">
        <v>42013</v>
      </c>
      <c r="H11083" s="787">
        <v>1</v>
      </c>
      <c r="I11083" s="788">
        <v>42159</v>
      </c>
      <c r="J11083" s="788">
        <v>41494</v>
      </c>
      <c r="K11083" s="788">
        <v>40519</v>
      </c>
      <c r="L11083" s="787">
        <v>5.17</v>
      </c>
      <c r="M11083" s="787">
        <v>20</v>
      </c>
      <c r="N11083" s="787">
        <v>5.56</v>
      </c>
      <c r="O11083" s="788">
        <v>42163</v>
      </c>
    </row>
    <row r="11084" spans="1:15" x14ac:dyDescent="0.25">
      <c r="A11084" s="786" t="s">
        <v>19851</v>
      </c>
      <c r="B11084" s="787">
        <v>4</v>
      </c>
      <c r="C11084" s="787" t="s">
        <v>19852</v>
      </c>
      <c r="D11084" s="787">
        <v>4.3899999999999997</v>
      </c>
      <c r="E11084" s="787">
        <v>4.3899999999999997</v>
      </c>
      <c r="F11084" s="788">
        <v>38047</v>
      </c>
      <c r="G11084" s="788">
        <v>38364</v>
      </c>
      <c r="H11084" s="787">
        <v>1</v>
      </c>
      <c r="I11084" s="788">
        <v>38133</v>
      </c>
      <c r="J11084" s="788">
        <v>38047</v>
      </c>
      <c r="L11084" s="787">
        <v>4.79</v>
      </c>
      <c r="M11084" s="787">
        <v>10</v>
      </c>
      <c r="N11084" s="787">
        <v>14.1</v>
      </c>
      <c r="O11084" s="788">
        <v>42163</v>
      </c>
    </row>
    <row r="11085" spans="1:15" x14ac:dyDescent="0.25">
      <c r="A11085" s="786" t="s">
        <v>19853</v>
      </c>
      <c r="B11085" s="787">
        <v>4</v>
      </c>
      <c r="C11085" s="787" t="s">
        <v>19854</v>
      </c>
      <c r="D11085" s="787">
        <v>6.78</v>
      </c>
      <c r="E11085" s="787">
        <v>6.78</v>
      </c>
      <c r="F11085" s="788">
        <v>37890</v>
      </c>
      <c r="G11085" s="788">
        <v>37928</v>
      </c>
      <c r="H11085" s="787">
        <v>1</v>
      </c>
      <c r="I11085" s="788">
        <v>41215</v>
      </c>
      <c r="J11085" s="788">
        <v>37910</v>
      </c>
      <c r="L11085" s="787">
        <v>8.5</v>
      </c>
      <c r="M11085" s="787">
        <v>10</v>
      </c>
      <c r="N11085" s="787">
        <v>15.86</v>
      </c>
      <c r="O11085" s="788">
        <v>42087</v>
      </c>
    </row>
    <row r="11086" spans="1:15" x14ac:dyDescent="0.25">
      <c r="A11086" s="786" t="s">
        <v>19855</v>
      </c>
      <c r="B11086" s="787">
        <v>4</v>
      </c>
      <c r="C11086" s="787" t="s">
        <v>19856</v>
      </c>
      <c r="D11086" s="787">
        <v>3.89</v>
      </c>
      <c r="E11086" s="787">
        <v>3.89</v>
      </c>
      <c r="F11086" s="788">
        <v>38047</v>
      </c>
      <c r="G11086" s="788">
        <v>38047</v>
      </c>
      <c r="H11086" s="787">
        <v>1</v>
      </c>
      <c r="I11086" s="788">
        <v>41215</v>
      </c>
      <c r="J11086" s="788">
        <v>38047</v>
      </c>
      <c r="L11086" s="787">
        <v>4.24</v>
      </c>
      <c r="M11086" s="787">
        <v>10</v>
      </c>
      <c r="N11086" s="787">
        <v>12.34</v>
      </c>
      <c r="O11086" s="788">
        <v>42163</v>
      </c>
    </row>
    <row r="11087" spans="1:15" x14ac:dyDescent="0.25">
      <c r="A11087" s="786" t="s">
        <v>19857</v>
      </c>
      <c r="B11087" s="787">
        <v>4</v>
      </c>
      <c r="C11087" s="787" t="s">
        <v>19858</v>
      </c>
      <c r="D11087" s="787">
        <v>0.88</v>
      </c>
      <c r="E11087" s="787">
        <v>3.65</v>
      </c>
      <c r="F11087" s="788">
        <v>39456</v>
      </c>
      <c r="G11087" s="788">
        <v>40178</v>
      </c>
      <c r="H11087" s="787">
        <v>1</v>
      </c>
      <c r="I11087" s="788">
        <v>40532</v>
      </c>
      <c r="J11087" s="788">
        <v>40032</v>
      </c>
      <c r="L11087" s="787">
        <v>1.35</v>
      </c>
      <c r="M11087" s="787">
        <v>10</v>
      </c>
      <c r="N11087" s="787">
        <v>1.76</v>
      </c>
      <c r="O11087" s="788">
        <v>42163</v>
      </c>
    </row>
    <row r="11088" spans="1:15" x14ac:dyDescent="0.25">
      <c r="A11088" s="786" t="s">
        <v>19859</v>
      </c>
      <c r="B11088" s="787">
        <v>4</v>
      </c>
      <c r="C11088" s="787" t="s">
        <v>19860</v>
      </c>
      <c r="D11088" s="787">
        <v>7.81</v>
      </c>
      <c r="E11088" s="787">
        <v>8.8800000000000008</v>
      </c>
      <c r="F11088" s="788">
        <v>40948</v>
      </c>
      <c r="G11088" s="788">
        <v>42013</v>
      </c>
      <c r="H11088" s="787">
        <v>1</v>
      </c>
      <c r="I11088" s="788">
        <v>41296</v>
      </c>
      <c r="J11088" s="788">
        <v>41905</v>
      </c>
      <c r="K11088" s="788">
        <v>41898</v>
      </c>
      <c r="L11088" s="787">
        <v>8.65</v>
      </c>
      <c r="M11088" s="787">
        <v>10</v>
      </c>
      <c r="N11088" s="787">
        <v>8.65</v>
      </c>
      <c r="O11088" s="788">
        <v>41858</v>
      </c>
    </row>
    <row r="11089" spans="1:15" x14ac:dyDescent="0.25">
      <c r="A11089" s="786" t="s">
        <v>19861</v>
      </c>
      <c r="B11089" s="787">
        <v>4</v>
      </c>
      <c r="C11089" s="787" t="s">
        <v>19862</v>
      </c>
      <c r="D11089" s="787">
        <v>0.35</v>
      </c>
      <c r="E11089" s="787">
        <v>0.35</v>
      </c>
      <c r="F11089" s="788">
        <v>41369</v>
      </c>
      <c r="G11089" s="788">
        <v>42013</v>
      </c>
      <c r="H11089" s="787">
        <v>1</v>
      </c>
      <c r="I11089" s="788">
        <v>42079</v>
      </c>
      <c r="J11089" s="788">
        <v>41306</v>
      </c>
      <c r="K11089" s="788">
        <v>41535</v>
      </c>
      <c r="L11089" s="787">
        <v>1.7</v>
      </c>
      <c r="M11089" s="787">
        <v>10</v>
      </c>
      <c r="N11089" s="787">
        <v>1.65</v>
      </c>
      <c r="O11089" s="788">
        <v>41858</v>
      </c>
    </row>
    <row r="11090" spans="1:15" x14ac:dyDescent="0.25">
      <c r="A11090" s="786" t="s">
        <v>19863</v>
      </c>
      <c r="B11090" s="787">
        <v>4</v>
      </c>
      <c r="C11090" s="787" t="s">
        <v>19864</v>
      </c>
      <c r="D11090" s="787">
        <v>6.54</v>
      </c>
      <c r="E11090" s="787">
        <v>6.54</v>
      </c>
      <c r="F11090" s="788">
        <v>37287</v>
      </c>
      <c r="G11090" s="788">
        <v>37287</v>
      </c>
      <c r="H11090" s="787">
        <v>1</v>
      </c>
      <c r="J11090" s="788">
        <v>37287</v>
      </c>
      <c r="L11090" s="787">
        <v>6.54</v>
      </c>
      <c r="M11090" s="787">
        <v>10</v>
      </c>
      <c r="N11090" s="787">
        <v>0</v>
      </c>
      <c r="O11090" s="788">
        <v>41858</v>
      </c>
    </row>
    <row r="11091" spans="1:15" x14ac:dyDescent="0.25">
      <c r="A11091" s="786" t="s">
        <v>19865</v>
      </c>
      <c r="B11091" s="787">
        <v>4</v>
      </c>
      <c r="C11091" s="787" t="s">
        <v>19866</v>
      </c>
      <c r="D11091" s="787">
        <v>0.26</v>
      </c>
      <c r="E11091" s="787">
        <v>1.01</v>
      </c>
      <c r="F11091" s="788">
        <v>39456</v>
      </c>
      <c r="G11091" s="788">
        <v>42013</v>
      </c>
      <c r="H11091" s="787">
        <v>1</v>
      </c>
      <c r="I11091" s="788">
        <v>41905</v>
      </c>
      <c r="J11091" s="788">
        <v>41302</v>
      </c>
      <c r="L11091" s="787">
        <v>0.32</v>
      </c>
      <c r="M11091" s="787">
        <v>10</v>
      </c>
      <c r="N11091" s="787">
        <v>1.65</v>
      </c>
      <c r="O11091" s="788">
        <v>42164</v>
      </c>
    </row>
    <row r="11092" spans="1:15" x14ac:dyDescent="0.25">
      <c r="A11092" s="786" t="s">
        <v>19867</v>
      </c>
      <c r="B11092" s="787">
        <v>4</v>
      </c>
      <c r="C11092" s="787" t="s">
        <v>19868</v>
      </c>
      <c r="D11092" s="787">
        <v>0.42</v>
      </c>
      <c r="E11092" s="787">
        <v>4.0999999999999996</v>
      </c>
      <c r="F11092" s="788">
        <v>40792</v>
      </c>
      <c r="G11092" s="788">
        <v>41996</v>
      </c>
      <c r="H11092" s="787">
        <v>1</v>
      </c>
      <c r="I11092" s="788">
        <v>41933</v>
      </c>
      <c r="J11092" s="788">
        <v>41970</v>
      </c>
      <c r="L11092" s="787">
        <v>0.36</v>
      </c>
      <c r="M11092" s="787">
        <v>10</v>
      </c>
      <c r="N11092" s="787">
        <v>1.43</v>
      </c>
      <c r="O11092" s="788">
        <v>42164</v>
      </c>
    </row>
    <row r="11093" spans="1:15" x14ac:dyDescent="0.25">
      <c r="A11093" s="786" t="s">
        <v>19869</v>
      </c>
      <c r="B11093" s="787">
        <v>4</v>
      </c>
      <c r="C11093" s="787" t="s">
        <v>19870</v>
      </c>
      <c r="D11093" s="787">
        <v>0.48</v>
      </c>
      <c r="E11093" s="787">
        <v>10.48</v>
      </c>
      <c r="F11093" s="788">
        <v>39975</v>
      </c>
      <c r="G11093" s="788">
        <v>41943</v>
      </c>
      <c r="H11093" s="787">
        <v>1</v>
      </c>
      <c r="I11093" s="788">
        <v>39134</v>
      </c>
      <c r="J11093" s="788">
        <v>39149</v>
      </c>
      <c r="L11093" s="787">
        <v>5.61</v>
      </c>
      <c r="M11093" s="787">
        <v>10</v>
      </c>
      <c r="N11093" s="787">
        <v>7.15</v>
      </c>
      <c r="O11093" s="788">
        <v>42084</v>
      </c>
    </row>
    <row r="11094" spans="1:15" x14ac:dyDescent="0.25">
      <c r="A11094" s="786" t="s">
        <v>19871</v>
      </c>
      <c r="B11094" s="787">
        <v>4</v>
      </c>
      <c r="C11094" s="787" t="s">
        <v>19872</v>
      </c>
      <c r="D11094" s="787">
        <v>0</v>
      </c>
      <c r="E11094" s="787">
        <v>0</v>
      </c>
      <c r="H11094" s="787">
        <v>1</v>
      </c>
      <c r="I11094" s="788">
        <v>40414</v>
      </c>
      <c r="L11094" s="787">
        <v>0.72</v>
      </c>
      <c r="M11094" s="787">
        <v>10</v>
      </c>
      <c r="N11094" s="787">
        <v>1.08</v>
      </c>
      <c r="O11094" s="788">
        <v>42083</v>
      </c>
    </row>
    <row r="11095" spans="1:15" x14ac:dyDescent="0.25">
      <c r="A11095" s="786" t="s">
        <v>19873</v>
      </c>
      <c r="B11095" s="787">
        <v>4</v>
      </c>
      <c r="C11095" s="787" t="s">
        <v>19874</v>
      </c>
      <c r="D11095" s="787">
        <v>0</v>
      </c>
      <c r="E11095" s="787">
        <v>0</v>
      </c>
      <c r="H11095" s="787">
        <v>1</v>
      </c>
      <c r="L11095" s="787">
        <v>0.52</v>
      </c>
      <c r="M11095" s="787">
        <v>10</v>
      </c>
      <c r="N11095" s="787">
        <v>1.1599999999999999</v>
      </c>
      <c r="O11095" s="788">
        <v>42083</v>
      </c>
    </row>
    <row r="11096" spans="1:15" x14ac:dyDescent="0.25">
      <c r="A11096" s="786" t="s">
        <v>19875</v>
      </c>
      <c r="B11096" s="787">
        <v>4</v>
      </c>
      <c r="C11096" s="787" t="s">
        <v>19876</v>
      </c>
      <c r="D11096" s="787">
        <v>0</v>
      </c>
      <c r="E11096" s="787">
        <v>0</v>
      </c>
      <c r="H11096" s="787">
        <v>1</v>
      </c>
      <c r="I11096" s="788">
        <v>38625</v>
      </c>
      <c r="J11096" s="788">
        <v>38736</v>
      </c>
      <c r="L11096" s="787">
        <v>0</v>
      </c>
      <c r="M11096" s="787">
        <v>10</v>
      </c>
      <c r="N11096" s="787">
        <v>2.46</v>
      </c>
      <c r="O11096" s="788">
        <v>42127</v>
      </c>
    </row>
    <row r="11097" spans="1:15" x14ac:dyDescent="0.25">
      <c r="A11097" s="786" t="s">
        <v>19877</v>
      </c>
      <c r="B11097" s="787">
        <v>4</v>
      </c>
      <c r="C11097" s="787" t="s">
        <v>19878</v>
      </c>
      <c r="D11097" s="787">
        <v>9.91</v>
      </c>
      <c r="E11097" s="787">
        <v>11.4</v>
      </c>
      <c r="F11097" s="788">
        <v>37462</v>
      </c>
      <c r="G11097" s="788">
        <v>37462</v>
      </c>
      <c r="H11097" s="787">
        <v>1</v>
      </c>
      <c r="I11097" s="788">
        <v>37666</v>
      </c>
      <c r="J11097" s="788">
        <v>37462</v>
      </c>
      <c r="L11097" s="787">
        <v>10.76</v>
      </c>
      <c r="M11097" s="787">
        <v>10</v>
      </c>
      <c r="N11097" s="787">
        <v>15.8</v>
      </c>
      <c r="O11097" s="788">
        <v>41858</v>
      </c>
    </row>
    <row r="11098" spans="1:15" x14ac:dyDescent="0.25">
      <c r="A11098" s="786" t="s">
        <v>19879</v>
      </c>
      <c r="B11098" s="787">
        <v>4</v>
      </c>
      <c r="C11098" s="787" t="s">
        <v>19880</v>
      </c>
      <c r="D11098" s="787">
        <v>3.03</v>
      </c>
      <c r="E11098" s="787">
        <v>3.15</v>
      </c>
      <c r="F11098" s="788">
        <v>39101</v>
      </c>
      <c r="G11098" s="788">
        <v>42013</v>
      </c>
      <c r="H11098" s="787">
        <v>1</v>
      </c>
      <c r="I11098" s="788">
        <v>42158</v>
      </c>
      <c r="J11098" s="788">
        <v>41494</v>
      </c>
      <c r="K11098" s="788">
        <v>40519</v>
      </c>
      <c r="L11098" s="787">
        <v>3.15</v>
      </c>
      <c r="M11098" s="787">
        <v>20</v>
      </c>
      <c r="N11098" s="787">
        <v>3.39</v>
      </c>
      <c r="O11098" s="788">
        <v>42163</v>
      </c>
    </row>
    <row r="11099" spans="1:15" x14ac:dyDescent="0.25">
      <c r="A11099" s="786" t="s">
        <v>19881</v>
      </c>
      <c r="B11099" s="787">
        <v>4</v>
      </c>
      <c r="C11099" s="787" t="s">
        <v>19882</v>
      </c>
      <c r="D11099" s="787">
        <v>0</v>
      </c>
      <c r="E11099" s="787">
        <v>0</v>
      </c>
      <c r="G11099" s="788">
        <v>41961</v>
      </c>
      <c r="H11099" s="787">
        <v>1</v>
      </c>
      <c r="I11099" s="788">
        <v>41960</v>
      </c>
      <c r="J11099" s="788">
        <v>41961</v>
      </c>
      <c r="L11099" s="787">
        <v>0</v>
      </c>
      <c r="M11099" s="787">
        <v>10</v>
      </c>
      <c r="N11099" s="787">
        <v>14.46</v>
      </c>
      <c r="O11099" s="788">
        <v>42127</v>
      </c>
    </row>
    <row r="11100" spans="1:15" x14ac:dyDescent="0.25">
      <c r="A11100" s="786" t="s">
        <v>19883</v>
      </c>
      <c r="B11100" s="787">
        <v>4</v>
      </c>
      <c r="C11100" s="787" t="s">
        <v>19884</v>
      </c>
      <c r="D11100" s="787">
        <v>0</v>
      </c>
      <c r="E11100" s="787">
        <v>0</v>
      </c>
      <c r="H11100" s="787">
        <v>1</v>
      </c>
      <c r="I11100" s="788">
        <v>40392</v>
      </c>
      <c r="J11100" s="788">
        <v>37287</v>
      </c>
      <c r="K11100" s="788">
        <v>41465</v>
      </c>
      <c r="L11100" s="787">
        <v>13.44</v>
      </c>
      <c r="M11100" s="787">
        <v>10</v>
      </c>
      <c r="N11100" s="787">
        <v>16.18</v>
      </c>
      <c r="O11100" s="788">
        <v>42163</v>
      </c>
    </row>
    <row r="11101" spans="1:15" x14ac:dyDescent="0.25">
      <c r="A11101" s="786" t="s">
        <v>19885</v>
      </c>
      <c r="B11101" s="787">
        <v>4</v>
      </c>
      <c r="C11101" s="787" t="s">
        <v>19886</v>
      </c>
      <c r="D11101" s="787">
        <v>1.55</v>
      </c>
      <c r="E11101" s="787">
        <v>1.69</v>
      </c>
      <c r="F11101" s="788">
        <v>39101</v>
      </c>
      <c r="G11101" s="788">
        <v>41565</v>
      </c>
      <c r="H11101" s="787">
        <v>1</v>
      </c>
      <c r="I11101" s="788">
        <v>40933</v>
      </c>
      <c r="J11101" s="788">
        <v>39659</v>
      </c>
      <c r="L11101" s="787">
        <v>0.33</v>
      </c>
      <c r="M11101" s="787">
        <v>10</v>
      </c>
      <c r="N11101" s="787">
        <v>0.5</v>
      </c>
      <c r="O11101" s="788">
        <v>42163</v>
      </c>
    </row>
    <row r="11102" spans="1:15" x14ac:dyDescent="0.25">
      <c r="A11102" s="786" t="s">
        <v>19887</v>
      </c>
      <c r="B11102" s="787">
        <v>4</v>
      </c>
      <c r="C11102" s="787" t="s">
        <v>19888</v>
      </c>
      <c r="D11102" s="787">
        <v>0.01</v>
      </c>
      <c r="E11102" s="787">
        <v>1.62</v>
      </c>
      <c r="F11102" s="788">
        <v>39974</v>
      </c>
      <c r="G11102" s="788">
        <v>42013</v>
      </c>
      <c r="H11102" s="787">
        <v>1</v>
      </c>
      <c r="I11102" s="788">
        <v>42166</v>
      </c>
      <c r="J11102" s="788">
        <v>41856</v>
      </c>
      <c r="L11102" s="787">
        <v>0.81</v>
      </c>
      <c r="M11102" s="787">
        <v>10</v>
      </c>
      <c r="N11102" s="787">
        <v>1.06</v>
      </c>
      <c r="O11102" s="788">
        <v>42163</v>
      </c>
    </row>
    <row r="11103" spans="1:15" x14ac:dyDescent="0.25">
      <c r="A11103" s="786" t="s">
        <v>19889</v>
      </c>
      <c r="B11103" s="787">
        <v>4</v>
      </c>
      <c r="C11103" s="787" t="s">
        <v>19890</v>
      </c>
      <c r="D11103" s="787">
        <v>2.4700000000000002</v>
      </c>
      <c r="E11103" s="787">
        <v>9.11</v>
      </c>
      <c r="F11103" s="788">
        <v>39456</v>
      </c>
      <c r="G11103" s="788">
        <v>41255</v>
      </c>
      <c r="H11103" s="787">
        <v>1</v>
      </c>
      <c r="I11103" s="788">
        <v>40933</v>
      </c>
      <c r="J11103" s="788">
        <v>39715</v>
      </c>
      <c r="L11103" s="787">
        <v>10.52</v>
      </c>
      <c r="M11103" s="787">
        <v>10</v>
      </c>
      <c r="N11103" s="787">
        <v>5.92</v>
      </c>
      <c r="O11103" s="788">
        <v>42163</v>
      </c>
    </row>
    <row r="11104" spans="1:15" x14ac:dyDescent="0.25">
      <c r="A11104" s="786" t="s">
        <v>19891</v>
      </c>
      <c r="B11104" s="787">
        <v>4</v>
      </c>
      <c r="C11104" s="787" t="s">
        <v>19892</v>
      </c>
      <c r="D11104" s="787">
        <v>9.0299999999999994</v>
      </c>
      <c r="E11104" s="787">
        <v>9.0299999999999994</v>
      </c>
      <c r="F11104" s="788">
        <v>37287</v>
      </c>
      <c r="G11104" s="788">
        <v>37287</v>
      </c>
      <c r="H11104" s="787">
        <v>1</v>
      </c>
      <c r="J11104" s="788">
        <v>37287</v>
      </c>
      <c r="L11104" s="787">
        <v>9.92</v>
      </c>
      <c r="M11104" s="787">
        <v>10</v>
      </c>
      <c r="N11104" s="787">
        <v>11.5</v>
      </c>
      <c r="O11104" s="788">
        <v>42083</v>
      </c>
    </row>
    <row r="11105" spans="1:15" x14ac:dyDescent="0.25">
      <c r="A11105" s="786" t="s">
        <v>19893</v>
      </c>
      <c r="B11105" s="787">
        <v>4</v>
      </c>
      <c r="C11105" s="787" t="s">
        <v>19894</v>
      </c>
      <c r="D11105" s="787">
        <v>0</v>
      </c>
      <c r="E11105" s="787">
        <v>0</v>
      </c>
      <c r="H11105" s="787">
        <v>1</v>
      </c>
      <c r="I11105" s="788">
        <v>40392</v>
      </c>
      <c r="J11105" s="788">
        <v>37287</v>
      </c>
      <c r="L11105" s="787">
        <v>6.7</v>
      </c>
      <c r="M11105" s="787">
        <v>10</v>
      </c>
      <c r="N11105" s="787">
        <v>12.85</v>
      </c>
      <c r="O11105" s="788">
        <v>42163</v>
      </c>
    </row>
    <row r="11106" spans="1:15" x14ac:dyDescent="0.25">
      <c r="A11106" s="786" t="s">
        <v>19895</v>
      </c>
      <c r="B11106" s="787">
        <v>4</v>
      </c>
      <c r="C11106" s="787" t="s">
        <v>19896</v>
      </c>
      <c r="D11106" s="787">
        <v>7.71</v>
      </c>
      <c r="E11106" s="787">
        <v>7.71</v>
      </c>
      <c r="F11106" s="788">
        <v>37287</v>
      </c>
      <c r="G11106" s="788">
        <v>37287</v>
      </c>
      <c r="H11106" s="787">
        <v>1</v>
      </c>
      <c r="I11106" s="788">
        <v>40392</v>
      </c>
      <c r="J11106" s="788">
        <v>37287</v>
      </c>
      <c r="L11106" s="787">
        <v>8.43</v>
      </c>
      <c r="M11106" s="787">
        <v>10</v>
      </c>
      <c r="N11106" s="787">
        <v>14.98</v>
      </c>
      <c r="O11106" s="788">
        <v>42163</v>
      </c>
    </row>
    <row r="11107" spans="1:15" x14ac:dyDescent="0.25">
      <c r="A11107" s="786" t="s">
        <v>19897</v>
      </c>
      <c r="B11107" s="787">
        <v>4</v>
      </c>
      <c r="C11107" s="787" t="s">
        <v>19898</v>
      </c>
      <c r="D11107" s="787">
        <v>3.87</v>
      </c>
      <c r="E11107" s="787">
        <v>3.87</v>
      </c>
      <c r="F11107" s="788">
        <v>37287</v>
      </c>
      <c r="G11107" s="788">
        <v>37287</v>
      </c>
      <c r="H11107" s="787">
        <v>1</v>
      </c>
      <c r="J11107" s="788">
        <v>37287</v>
      </c>
      <c r="L11107" s="787">
        <v>4.0999999999999996</v>
      </c>
      <c r="M11107" s="787">
        <v>10</v>
      </c>
      <c r="N11107" s="787">
        <v>5.81</v>
      </c>
      <c r="O11107" s="788">
        <v>42083</v>
      </c>
    </row>
    <row r="11108" spans="1:15" x14ac:dyDescent="0.25">
      <c r="A11108" s="786" t="s">
        <v>19899</v>
      </c>
      <c r="B11108" s="787">
        <v>4</v>
      </c>
      <c r="C11108" s="787" t="s">
        <v>19900</v>
      </c>
      <c r="D11108" s="787">
        <v>1.08</v>
      </c>
      <c r="E11108" s="787">
        <v>1.51</v>
      </c>
      <c r="F11108" s="788">
        <v>39456</v>
      </c>
      <c r="G11108" s="788">
        <v>41255</v>
      </c>
      <c r="H11108" s="787">
        <v>1</v>
      </c>
      <c r="I11108" s="788">
        <v>40458</v>
      </c>
      <c r="J11108" s="788">
        <v>39848</v>
      </c>
      <c r="L11108" s="787">
        <v>1.95</v>
      </c>
      <c r="M11108" s="787">
        <v>10</v>
      </c>
      <c r="N11108" s="787">
        <v>2.12</v>
      </c>
      <c r="O11108" s="788">
        <v>42163</v>
      </c>
    </row>
    <row r="11109" spans="1:15" x14ac:dyDescent="0.25">
      <c r="A11109" s="786" t="s">
        <v>19901</v>
      </c>
      <c r="B11109" s="787">
        <v>4</v>
      </c>
      <c r="C11109" s="787" t="s">
        <v>19902</v>
      </c>
      <c r="D11109" s="787">
        <v>3.37</v>
      </c>
      <c r="E11109" s="787">
        <v>3.37</v>
      </c>
      <c r="F11109" s="788">
        <v>37287</v>
      </c>
      <c r="G11109" s="788">
        <v>37503</v>
      </c>
      <c r="H11109" s="787">
        <v>1</v>
      </c>
      <c r="J11109" s="788">
        <v>37503</v>
      </c>
      <c r="L11109" s="787">
        <v>3.53</v>
      </c>
      <c r="M11109" s="787">
        <v>10</v>
      </c>
      <c r="N11109" s="787">
        <v>5.25</v>
      </c>
      <c r="O11109" s="788">
        <v>42081</v>
      </c>
    </row>
    <row r="11110" spans="1:15" x14ac:dyDescent="0.25">
      <c r="A11110" s="786" t="s">
        <v>19903</v>
      </c>
      <c r="B11110" s="787">
        <v>4</v>
      </c>
      <c r="C11110" s="787" t="s">
        <v>19904</v>
      </c>
      <c r="D11110" s="787">
        <v>3.37</v>
      </c>
      <c r="E11110" s="787">
        <v>3.37</v>
      </c>
      <c r="F11110" s="788">
        <v>37287</v>
      </c>
      <c r="G11110" s="788">
        <v>37503</v>
      </c>
      <c r="H11110" s="787">
        <v>1</v>
      </c>
      <c r="J11110" s="788">
        <v>37503</v>
      </c>
      <c r="L11110" s="787">
        <v>3.53</v>
      </c>
      <c r="M11110" s="787">
        <v>10</v>
      </c>
      <c r="N11110" s="787">
        <v>5.25</v>
      </c>
      <c r="O11110" s="788">
        <v>42081</v>
      </c>
    </row>
    <row r="11111" spans="1:15" x14ac:dyDescent="0.25">
      <c r="A11111" s="786" t="s">
        <v>19905</v>
      </c>
      <c r="B11111" s="787">
        <v>4</v>
      </c>
      <c r="C11111" s="787" t="s">
        <v>19906</v>
      </c>
      <c r="D11111" s="787">
        <v>6.5</v>
      </c>
      <c r="E11111" s="787">
        <v>6.5</v>
      </c>
      <c r="F11111" s="788">
        <v>39975</v>
      </c>
      <c r="G11111" s="788">
        <v>41943</v>
      </c>
      <c r="H11111" s="787">
        <v>1</v>
      </c>
      <c r="I11111" s="788">
        <v>39134</v>
      </c>
      <c r="J11111" s="788">
        <v>39832</v>
      </c>
      <c r="L11111" s="787">
        <v>6.5</v>
      </c>
      <c r="M11111" s="787">
        <v>10</v>
      </c>
      <c r="N11111" s="787">
        <v>8.76</v>
      </c>
      <c r="O11111" s="788">
        <v>42083</v>
      </c>
    </row>
    <row r="11112" spans="1:15" x14ac:dyDescent="0.25">
      <c r="A11112" s="786" t="s">
        <v>19907</v>
      </c>
      <c r="B11112" s="787">
        <v>4</v>
      </c>
      <c r="C11112" s="787" t="s">
        <v>19908</v>
      </c>
      <c r="D11112" s="787">
        <v>4.97</v>
      </c>
      <c r="E11112" s="787">
        <v>4.97</v>
      </c>
      <c r="F11112" s="788">
        <v>39975</v>
      </c>
      <c r="G11112" s="788">
        <v>39832</v>
      </c>
      <c r="H11112" s="787">
        <v>1</v>
      </c>
      <c r="I11112" s="788">
        <v>39134</v>
      </c>
      <c r="J11112" s="788">
        <v>39832</v>
      </c>
      <c r="L11112" s="787">
        <v>4.97</v>
      </c>
      <c r="M11112" s="787">
        <v>10</v>
      </c>
      <c r="N11112" s="787">
        <v>6.18</v>
      </c>
      <c r="O11112" s="788">
        <v>42083</v>
      </c>
    </row>
    <row r="11113" spans="1:15" x14ac:dyDescent="0.25">
      <c r="A11113" s="786" t="s">
        <v>19909</v>
      </c>
      <c r="B11113" s="787">
        <v>4</v>
      </c>
      <c r="C11113" s="787" t="s">
        <v>19910</v>
      </c>
      <c r="D11113" s="787">
        <v>5.42</v>
      </c>
      <c r="E11113" s="787">
        <v>5.42</v>
      </c>
      <c r="F11113" s="788">
        <v>39101</v>
      </c>
      <c r="G11113" s="788">
        <v>41943</v>
      </c>
      <c r="H11113" s="787">
        <v>1</v>
      </c>
      <c r="I11113" s="788">
        <v>42024</v>
      </c>
      <c r="J11113" s="788">
        <v>40413</v>
      </c>
      <c r="L11113" s="787">
        <v>5.7</v>
      </c>
      <c r="M11113" s="787">
        <v>10</v>
      </c>
      <c r="N11113" s="787">
        <v>35.229999999999997</v>
      </c>
      <c r="O11113" s="788">
        <v>42083</v>
      </c>
    </row>
    <row r="11114" spans="1:15" x14ac:dyDescent="0.25">
      <c r="A11114" s="786" t="s">
        <v>19911</v>
      </c>
      <c r="B11114" s="787">
        <v>4</v>
      </c>
      <c r="C11114" s="787" t="s">
        <v>19912</v>
      </c>
      <c r="D11114" s="787">
        <v>0.6</v>
      </c>
      <c r="E11114" s="787">
        <v>0.71</v>
      </c>
      <c r="F11114" s="788">
        <v>38606</v>
      </c>
      <c r="G11114" s="788">
        <v>41943</v>
      </c>
      <c r="H11114" s="787">
        <v>1</v>
      </c>
      <c r="I11114" s="788">
        <v>40413</v>
      </c>
      <c r="J11114" s="788">
        <v>40413</v>
      </c>
      <c r="L11114" s="787">
        <v>0.78</v>
      </c>
      <c r="M11114" s="787">
        <v>10</v>
      </c>
      <c r="N11114" s="787">
        <v>1.34</v>
      </c>
      <c r="O11114" s="788">
        <v>42083</v>
      </c>
    </row>
    <row r="11115" spans="1:15" x14ac:dyDescent="0.25">
      <c r="A11115" s="786" t="s">
        <v>19913</v>
      </c>
      <c r="B11115" s="787">
        <v>4</v>
      </c>
      <c r="C11115" s="787" t="s">
        <v>19914</v>
      </c>
      <c r="D11115" s="787">
        <v>0.42</v>
      </c>
      <c r="E11115" s="787">
        <v>0.47</v>
      </c>
      <c r="F11115" s="788">
        <v>38606</v>
      </c>
      <c r="G11115" s="788">
        <v>41943</v>
      </c>
      <c r="H11115" s="787">
        <v>1</v>
      </c>
      <c r="I11115" s="788">
        <v>40413</v>
      </c>
      <c r="J11115" s="788">
        <v>40413</v>
      </c>
      <c r="L11115" s="787">
        <v>0.62</v>
      </c>
      <c r="M11115" s="787">
        <v>10</v>
      </c>
      <c r="N11115" s="787">
        <v>0.88</v>
      </c>
      <c r="O11115" s="788">
        <v>42083</v>
      </c>
    </row>
    <row r="11116" spans="1:15" x14ac:dyDescent="0.25">
      <c r="A11116" s="786" t="s">
        <v>19915</v>
      </c>
      <c r="B11116" s="787">
        <v>4</v>
      </c>
      <c r="C11116" s="787" t="s">
        <v>19900</v>
      </c>
      <c r="D11116" s="787">
        <v>2.99</v>
      </c>
      <c r="E11116" s="787">
        <v>2.99</v>
      </c>
      <c r="F11116" s="788">
        <v>39101</v>
      </c>
      <c r="G11116" s="788">
        <v>41255</v>
      </c>
      <c r="H11116" s="787">
        <v>1</v>
      </c>
      <c r="I11116" s="788">
        <v>40392</v>
      </c>
      <c r="J11116" s="788">
        <v>39149</v>
      </c>
      <c r="L11116" s="787">
        <v>2.25</v>
      </c>
      <c r="M11116" s="787">
        <v>10</v>
      </c>
      <c r="N11116" s="787">
        <v>2.69</v>
      </c>
      <c r="O11116" s="788">
        <v>42163</v>
      </c>
    </row>
    <row r="11117" spans="1:15" x14ac:dyDescent="0.25">
      <c r="A11117" s="786" t="s">
        <v>19916</v>
      </c>
      <c r="B11117" s="787">
        <v>4</v>
      </c>
      <c r="C11117" s="787" t="s">
        <v>19858</v>
      </c>
      <c r="D11117" s="787">
        <v>1.74</v>
      </c>
      <c r="E11117" s="787">
        <v>1.74</v>
      </c>
      <c r="F11117" s="788">
        <v>39101</v>
      </c>
      <c r="G11117" s="788">
        <v>40178</v>
      </c>
      <c r="H11117" s="787">
        <v>1</v>
      </c>
      <c r="I11117" s="788">
        <v>40392</v>
      </c>
      <c r="J11117" s="788">
        <v>40032</v>
      </c>
      <c r="L11117" s="787">
        <v>1.78</v>
      </c>
      <c r="M11117" s="787">
        <v>10</v>
      </c>
      <c r="N11117" s="787">
        <v>2.16</v>
      </c>
      <c r="O11117" s="788">
        <v>42163</v>
      </c>
    </row>
    <row r="11118" spans="1:15" x14ac:dyDescent="0.25">
      <c r="A11118" s="786" t="s">
        <v>19917</v>
      </c>
      <c r="B11118" s="787">
        <v>4</v>
      </c>
      <c r="C11118" s="787" t="s">
        <v>19906</v>
      </c>
      <c r="D11118" s="787">
        <v>4.7</v>
      </c>
      <c r="E11118" s="787">
        <v>15.94</v>
      </c>
      <c r="F11118" s="788">
        <v>38900</v>
      </c>
      <c r="G11118" s="788">
        <v>42013</v>
      </c>
      <c r="H11118" s="787">
        <v>1</v>
      </c>
      <c r="I11118" s="788">
        <v>41901</v>
      </c>
      <c r="J11118" s="788">
        <v>40396</v>
      </c>
      <c r="L11118" s="787">
        <v>15.94</v>
      </c>
      <c r="M11118" s="787">
        <v>10</v>
      </c>
      <c r="N11118" s="787">
        <v>11.67</v>
      </c>
      <c r="O11118" s="788">
        <v>42082</v>
      </c>
    </row>
    <row r="11119" spans="1:15" x14ac:dyDescent="0.25">
      <c r="A11119" s="786" t="s">
        <v>19918</v>
      </c>
      <c r="B11119" s="787">
        <v>4</v>
      </c>
      <c r="C11119" s="787" t="s">
        <v>19919</v>
      </c>
      <c r="D11119" s="787">
        <v>1.75</v>
      </c>
      <c r="E11119" s="787">
        <v>2.95</v>
      </c>
      <c r="F11119" s="788">
        <v>38900</v>
      </c>
      <c r="G11119" s="788">
        <v>42013</v>
      </c>
      <c r="H11119" s="787">
        <v>1</v>
      </c>
      <c r="I11119" s="788">
        <v>41901</v>
      </c>
      <c r="J11119" s="788">
        <v>40484</v>
      </c>
      <c r="L11119" s="787">
        <v>2.95</v>
      </c>
      <c r="M11119" s="787">
        <v>10</v>
      </c>
      <c r="N11119" s="787">
        <v>4.21</v>
      </c>
      <c r="O11119" s="788">
        <v>42087</v>
      </c>
    </row>
    <row r="11120" spans="1:15" x14ac:dyDescent="0.25">
      <c r="A11120" s="786" t="s">
        <v>19920</v>
      </c>
      <c r="B11120" s="787">
        <v>4</v>
      </c>
      <c r="C11120" s="787" t="s">
        <v>19921</v>
      </c>
      <c r="D11120" s="787">
        <v>6.51</v>
      </c>
      <c r="E11120" s="787">
        <v>34.9</v>
      </c>
      <c r="F11120" s="788">
        <v>39975</v>
      </c>
      <c r="G11120" s="788">
        <v>42013</v>
      </c>
      <c r="H11120" s="787">
        <v>1</v>
      </c>
      <c r="I11120" s="788">
        <v>42164</v>
      </c>
      <c r="J11120" s="788">
        <v>41892</v>
      </c>
      <c r="L11120" s="787">
        <v>26.2</v>
      </c>
      <c r="M11120" s="787">
        <v>10</v>
      </c>
      <c r="N11120" s="787">
        <v>41.23</v>
      </c>
      <c r="O11120" s="788">
        <v>42159</v>
      </c>
    </row>
    <row r="11121" spans="1:15" x14ac:dyDescent="0.25">
      <c r="A11121" s="786" t="s">
        <v>19922</v>
      </c>
      <c r="B11121" s="787">
        <v>4</v>
      </c>
      <c r="C11121" s="787" t="s">
        <v>19923</v>
      </c>
      <c r="D11121" s="787">
        <v>0.16</v>
      </c>
      <c r="E11121" s="787">
        <v>0.43</v>
      </c>
      <c r="F11121" s="788">
        <v>39456</v>
      </c>
      <c r="G11121" s="788">
        <v>41943</v>
      </c>
      <c r="H11121" s="787">
        <v>1</v>
      </c>
      <c r="I11121" s="788">
        <v>41323</v>
      </c>
      <c r="J11121" s="788">
        <v>41106</v>
      </c>
      <c r="L11121" s="787">
        <v>0.63</v>
      </c>
      <c r="M11121" s="787">
        <v>10</v>
      </c>
      <c r="N11121" s="787">
        <v>0.88</v>
      </c>
      <c r="O11121" s="788">
        <v>42159</v>
      </c>
    </row>
    <row r="11122" spans="1:15" x14ac:dyDescent="0.25">
      <c r="A11122" s="786" t="s">
        <v>19924</v>
      </c>
      <c r="B11122" s="787">
        <v>4</v>
      </c>
      <c r="C11122" s="787" t="s">
        <v>19925</v>
      </c>
      <c r="D11122" s="787">
        <v>0.12</v>
      </c>
      <c r="E11122" s="787">
        <v>0.65</v>
      </c>
      <c r="F11122" s="788">
        <v>39456</v>
      </c>
      <c r="G11122" s="788">
        <v>41943</v>
      </c>
      <c r="H11122" s="787">
        <v>1</v>
      </c>
      <c r="I11122" s="788">
        <v>41323</v>
      </c>
      <c r="J11122" s="788">
        <v>41095</v>
      </c>
      <c r="L11122" s="787">
        <v>0.42</v>
      </c>
      <c r="M11122" s="787">
        <v>10</v>
      </c>
      <c r="N11122" s="787">
        <v>0.98</v>
      </c>
      <c r="O11122" s="788">
        <v>42159</v>
      </c>
    </row>
    <row r="11123" spans="1:15" x14ac:dyDescent="0.25">
      <c r="A11123" s="786" t="s">
        <v>19926</v>
      </c>
      <c r="B11123" s="787">
        <v>4</v>
      </c>
      <c r="C11123" s="787" t="s">
        <v>19927</v>
      </c>
      <c r="D11123" s="787">
        <v>0</v>
      </c>
      <c r="E11123" s="787">
        <v>0</v>
      </c>
      <c r="H11123" s="787">
        <v>1</v>
      </c>
      <c r="I11123" s="788">
        <v>41215</v>
      </c>
      <c r="K11123" s="788">
        <v>41465</v>
      </c>
      <c r="L11123" s="787">
        <v>12.05</v>
      </c>
      <c r="M11123" s="787">
        <v>10</v>
      </c>
      <c r="N11123" s="787">
        <v>14.1</v>
      </c>
      <c r="O11123" s="788">
        <v>42163</v>
      </c>
    </row>
    <row r="11124" spans="1:15" x14ac:dyDescent="0.25">
      <c r="A11124" s="786" t="s">
        <v>19928</v>
      </c>
      <c r="B11124" s="787">
        <v>4</v>
      </c>
      <c r="C11124" s="787" t="s">
        <v>19929</v>
      </c>
      <c r="D11124" s="787">
        <v>0</v>
      </c>
      <c r="E11124" s="787">
        <v>0</v>
      </c>
      <c r="G11124" s="788">
        <v>41598</v>
      </c>
      <c r="H11124" s="787">
        <v>1</v>
      </c>
      <c r="I11124" s="788">
        <v>41382</v>
      </c>
      <c r="J11124" s="788">
        <v>41598</v>
      </c>
      <c r="K11124" s="788">
        <v>41465</v>
      </c>
      <c r="L11124" s="787">
        <v>12.05</v>
      </c>
      <c r="M11124" s="787">
        <v>10</v>
      </c>
      <c r="N11124" s="787">
        <v>14.1</v>
      </c>
      <c r="O11124" s="788">
        <v>42163</v>
      </c>
    </row>
    <row r="11125" spans="1:15" x14ac:dyDescent="0.25">
      <c r="A11125" s="786" t="s">
        <v>19930</v>
      </c>
      <c r="B11125" s="787">
        <v>4</v>
      </c>
      <c r="C11125" s="787" t="s">
        <v>19931</v>
      </c>
      <c r="D11125" s="787">
        <v>0</v>
      </c>
      <c r="E11125" s="787">
        <v>0</v>
      </c>
      <c r="H11125" s="787">
        <v>1</v>
      </c>
      <c r="I11125" s="788">
        <v>40392</v>
      </c>
      <c r="K11125" s="788">
        <v>41465</v>
      </c>
      <c r="L11125" s="787">
        <v>12.63</v>
      </c>
      <c r="M11125" s="787">
        <v>10</v>
      </c>
      <c r="N11125" s="787">
        <v>14.98</v>
      </c>
      <c r="O11125" s="788">
        <v>42163</v>
      </c>
    </row>
    <row r="11126" spans="1:15" x14ac:dyDescent="0.25">
      <c r="A11126" s="786" t="s">
        <v>19932</v>
      </c>
      <c r="B11126" s="787">
        <v>4</v>
      </c>
      <c r="C11126" s="787" t="s">
        <v>19933</v>
      </c>
      <c r="D11126" s="787">
        <v>0</v>
      </c>
      <c r="E11126" s="787">
        <v>0</v>
      </c>
      <c r="G11126" s="788">
        <v>41598</v>
      </c>
      <c r="H11126" s="787">
        <v>1</v>
      </c>
      <c r="I11126" s="788">
        <v>41339</v>
      </c>
      <c r="J11126" s="788">
        <v>41598</v>
      </c>
      <c r="K11126" s="788">
        <v>41465</v>
      </c>
      <c r="L11126" s="787">
        <v>12.63</v>
      </c>
      <c r="M11126" s="787">
        <v>10</v>
      </c>
      <c r="N11126" s="787">
        <v>14.98</v>
      </c>
      <c r="O11126" s="788">
        <v>42163</v>
      </c>
    </row>
    <row r="11127" spans="1:15" x14ac:dyDescent="0.25">
      <c r="A11127" s="786" t="s">
        <v>19934</v>
      </c>
      <c r="B11127" s="787">
        <v>4</v>
      </c>
      <c r="C11127" s="787" t="s">
        <v>19935</v>
      </c>
      <c r="D11127" s="787">
        <v>0</v>
      </c>
      <c r="E11127" s="787">
        <v>0</v>
      </c>
      <c r="G11127" s="788">
        <v>41598</v>
      </c>
      <c r="H11127" s="787">
        <v>1</v>
      </c>
      <c r="I11127" s="788">
        <v>41382</v>
      </c>
      <c r="J11127" s="788">
        <v>41598</v>
      </c>
      <c r="K11127" s="788">
        <v>41465</v>
      </c>
      <c r="L11127" s="787">
        <v>12.05</v>
      </c>
      <c r="M11127" s="787">
        <v>10</v>
      </c>
      <c r="N11127" s="787">
        <v>14.1</v>
      </c>
      <c r="O11127" s="788">
        <v>42163</v>
      </c>
    </row>
    <row r="11128" spans="1:15" x14ac:dyDescent="0.25">
      <c r="A11128" s="786" t="s">
        <v>19936</v>
      </c>
      <c r="B11128" s="787">
        <v>4</v>
      </c>
      <c r="C11128" s="787" t="s">
        <v>19937</v>
      </c>
      <c r="D11128" s="787">
        <v>0</v>
      </c>
      <c r="E11128" s="787">
        <v>0</v>
      </c>
      <c r="G11128" s="788">
        <v>41598</v>
      </c>
      <c r="H11128" s="787">
        <v>1</v>
      </c>
      <c r="I11128" s="788">
        <v>41339</v>
      </c>
      <c r="J11128" s="788">
        <v>41598</v>
      </c>
      <c r="K11128" s="788">
        <v>41465</v>
      </c>
      <c r="L11128" s="787">
        <v>12.63</v>
      </c>
      <c r="M11128" s="787">
        <v>10</v>
      </c>
      <c r="N11128" s="787">
        <v>14.98</v>
      </c>
      <c r="O11128" s="788">
        <v>42163</v>
      </c>
    </row>
    <row r="11129" spans="1:15" x14ac:dyDescent="0.25">
      <c r="A11129" s="786" t="s">
        <v>19938</v>
      </c>
      <c r="B11129" s="787">
        <v>4</v>
      </c>
      <c r="C11129" s="787" t="s">
        <v>19939</v>
      </c>
      <c r="D11129" s="787">
        <v>0</v>
      </c>
      <c r="E11129" s="787">
        <v>0</v>
      </c>
      <c r="H11129" s="787">
        <v>1</v>
      </c>
      <c r="K11129" s="788">
        <v>41465</v>
      </c>
      <c r="L11129" s="787">
        <v>13.22</v>
      </c>
      <c r="M11129" s="787">
        <v>10</v>
      </c>
      <c r="N11129" s="787">
        <v>15.86</v>
      </c>
      <c r="O11129" s="788">
        <v>41858</v>
      </c>
    </row>
    <row r="11130" spans="1:15" x14ac:dyDescent="0.25">
      <c r="A11130" s="786" t="s">
        <v>19940</v>
      </c>
      <c r="B11130" s="787">
        <v>4</v>
      </c>
      <c r="C11130" s="787" t="s">
        <v>19941</v>
      </c>
      <c r="D11130" s="787">
        <v>0</v>
      </c>
      <c r="E11130" s="787">
        <v>0</v>
      </c>
      <c r="H11130" s="787">
        <v>1</v>
      </c>
      <c r="K11130" s="788">
        <v>41465</v>
      </c>
      <c r="L11130" s="787">
        <v>13.22</v>
      </c>
      <c r="M11130" s="787">
        <v>10</v>
      </c>
      <c r="N11130" s="787">
        <v>15.86</v>
      </c>
      <c r="O11130" s="788">
        <v>41858</v>
      </c>
    </row>
    <row r="11131" spans="1:15" x14ac:dyDescent="0.25">
      <c r="A11131" s="786" t="s">
        <v>19942</v>
      </c>
      <c r="B11131" s="787">
        <v>4</v>
      </c>
      <c r="C11131" s="787" t="s">
        <v>19943</v>
      </c>
      <c r="D11131" s="787">
        <v>0</v>
      </c>
      <c r="E11131" s="787">
        <v>0</v>
      </c>
      <c r="H11131" s="787">
        <v>1</v>
      </c>
      <c r="K11131" s="788">
        <v>41465</v>
      </c>
      <c r="L11131" s="787">
        <v>13.22</v>
      </c>
      <c r="M11131" s="787">
        <v>10</v>
      </c>
      <c r="N11131" s="787">
        <v>15.86</v>
      </c>
      <c r="O11131" s="788">
        <v>41858</v>
      </c>
    </row>
    <row r="11132" spans="1:15" x14ac:dyDescent="0.25">
      <c r="A11132" s="786" t="s">
        <v>19944</v>
      </c>
      <c r="B11132" s="787">
        <v>4</v>
      </c>
      <c r="C11132" s="787" t="s">
        <v>19945</v>
      </c>
      <c r="D11132" s="787">
        <v>0</v>
      </c>
      <c r="E11132" s="787">
        <v>0</v>
      </c>
      <c r="H11132" s="787">
        <v>1</v>
      </c>
      <c r="K11132" s="788">
        <v>41465</v>
      </c>
      <c r="L11132" s="787">
        <v>13.44</v>
      </c>
      <c r="M11132" s="787">
        <v>10</v>
      </c>
      <c r="N11132" s="787">
        <v>16.18</v>
      </c>
      <c r="O11132" s="788">
        <v>42163</v>
      </c>
    </row>
    <row r="11133" spans="1:15" x14ac:dyDescent="0.25">
      <c r="A11133" s="786" t="s">
        <v>19946</v>
      </c>
      <c r="B11133" s="787">
        <v>4</v>
      </c>
      <c r="C11133" s="787" t="s">
        <v>19947</v>
      </c>
      <c r="D11133" s="787">
        <v>0</v>
      </c>
      <c r="E11133" s="787">
        <v>0</v>
      </c>
      <c r="H11133" s="787">
        <v>1</v>
      </c>
      <c r="K11133" s="788">
        <v>41465</v>
      </c>
      <c r="L11133" s="787">
        <v>13.44</v>
      </c>
      <c r="M11133" s="787">
        <v>10</v>
      </c>
      <c r="N11133" s="787">
        <v>16.18</v>
      </c>
      <c r="O11133" s="788">
        <v>42163</v>
      </c>
    </row>
    <row r="11134" spans="1:15" x14ac:dyDescent="0.25">
      <c r="A11134" s="786" t="s">
        <v>19948</v>
      </c>
      <c r="B11134" s="787">
        <v>4</v>
      </c>
      <c r="C11134" s="787" t="s">
        <v>19949</v>
      </c>
      <c r="D11134" s="787">
        <v>0</v>
      </c>
      <c r="E11134" s="787">
        <v>0</v>
      </c>
      <c r="H11134" s="787">
        <v>1</v>
      </c>
      <c r="K11134" s="788">
        <v>41465</v>
      </c>
      <c r="L11134" s="787">
        <v>13.44</v>
      </c>
      <c r="M11134" s="787">
        <v>10</v>
      </c>
      <c r="N11134" s="787">
        <v>16.18</v>
      </c>
      <c r="O11134" s="788">
        <v>42163</v>
      </c>
    </row>
    <row r="11135" spans="1:15" x14ac:dyDescent="0.25">
      <c r="A11135" s="786" t="s">
        <v>19950</v>
      </c>
      <c r="B11135" s="787">
        <v>4</v>
      </c>
      <c r="C11135" s="787" t="s">
        <v>19939</v>
      </c>
      <c r="D11135" s="787">
        <v>0</v>
      </c>
      <c r="E11135" s="787">
        <v>0</v>
      </c>
      <c r="H11135" s="787">
        <v>1</v>
      </c>
      <c r="K11135" s="788">
        <v>41465</v>
      </c>
      <c r="L11135" s="787">
        <v>13.74</v>
      </c>
      <c r="M11135" s="787">
        <v>10</v>
      </c>
      <c r="N11135" s="787">
        <v>13.23</v>
      </c>
      <c r="O11135" s="788">
        <v>41858</v>
      </c>
    </row>
    <row r="11136" spans="1:15" x14ac:dyDescent="0.25">
      <c r="A11136" s="786" t="s">
        <v>19951</v>
      </c>
      <c r="B11136" s="787">
        <v>4</v>
      </c>
      <c r="C11136" s="787" t="s">
        <v>19943</v>
      </c>
      <c r="D11136" s="787">
        <v>0</v>
      </c>
      <c r="E11136" s="787">
        <v>0</v>
      </c>
      <c r="H11136" s="787">
        <v>1</v>
      </c>
      <c r="K11136" s="788">
        <v>41465</v>
      </c>
      <c r="L11136" s="787">
        <v>13.74</v>
      </c>
      <c r="M11136" s="787">
        <v>10</v>
      </c>
      <c r="N11136" s="787">
        <v>13.23</v>
      </c>
      <c r="O11136" s="788">
        <v>41858</v>
      </c>
    </row>
    <row r="11137" spans="1:15" x14ac:dyDescent="0.25">
      <c r="A11137" s="786" t="s">
        <v>19952</v>
      </c>
      <c r="B11137" s="787">
        <v>4</v>
      </c>
      <c r="C11137" s="787" t="s">
        <v>19945</v>
      </c>
      <c r="D11137" s="787">
        <v>0</v>
      </c>
      <c r="E11137" s="787">
        <v>0</v>
      </c>
      <c r="H11137" s="787">
        <v>1</v>
      </c>
      <c r="K11137" s="788">
        <v>41465</v>
      </c>
      <c r="L11137" s="787">
        <v>13.97</v>
      </c>
      <c r="M11137" s="787">
        <v>10</v>
      </c>
      <c r="N11137" s="787">
        <v>13.45</v>
      </c>
      <c r="O11137" s="788">
        <v>41858</v>
      </c>
    </row>
    <row r="11138" spans="1:15" x14ac:dyDescent="0.25">
      <c r="A11138" s="786" t="s">
        <v>19953</v>
      </c>
      <c r="B11138" s="787">
        <v>4</v>
      </c>
      <c r="C11138" s="787" t="s">
        <v>19949</v>
      </c>
      <c r="D11138" s="787">
        <v>0</v>
      </c>
      <c r="E11138" s="787">
        <v>0</v>
      </c>
      <c r="H11138" s="787">
        <v>1</v>
      </c>
      <c r="K11138" s="788">
        <v>41465</v>
      </c>
      <c r="L11138" s="787">
        <v>13.97</v>
      </c>
      <c r="M11138" s="787">
        <v>10</v>
      </c>
      <c r="N11138" s="787">
        <v>13.45</v>
      </c>
      <c r="O11138" s="788">
        <v>41858</v>
      </c>
    </row>
    <row r="11139" spans="1:15" x14ac:dyDescent="0.25">
      <c r="A11139" s="786" t="s">
        <v>19954</v>
      </c>
      <c r="B11139" s="787">
        <v>4</v>
      </c>
      <c r="C11139" s="787" t="s">
        <v>19955</v>
      </c>
      <c r="D11139" s="787">
        <v>0</v>
      </c>
      <c r="E11139" s="787">
        <v>0</v>
      </c>
      <c r="G11139" s="788">
        <v>41598</v>
      </c>
      <c r="H11139" s="787">
        <v>1</v>
      </c>
      <c r="I11139" s="788">
        <v>41537</v>
      </c>
      <c r="J11139" s="788">
        <v>41598</v>
      </c>
      <c r="K11139" s="788">
        <v>41465</v>
      </c>
      <c r="L11139" s="787">
        <v>12.4</v>
      </c>
      <c r="M11139" s="787">
        <v>10</v>
      </c>
      <c r="N11139" s="787">
        <v>12.03</v>
      </c>
      <c r="O11139" s="788">
        <v>42137</v>
      </c>
    </row>
    <row r="11140" spans="1:15" x14ac:dyDescent="0.25">
      <c r="A11140" s="786" t="s">
        <v>19956</v>
      </c>
      <c r="B11140" s="787">
        <v>4</v>
      </c>
      <c r="C11140" s="787" t="s">
        <v>19957</v>
      </c>
      <c r="D11140" s="787">
        <v>0</v>
      </c>
      <c r="E11140" s="787">
        <v>0</v>
      </c>
      <c r="H11140" s="787">
        <v>1</v>
      </c>
      <c r="K11140" s="788">
        <v>41465</v>
      </c>
      <c r="L11140" s="787">
        <v>12.4</v>
      </c>
      <c r="M11140" s="787">
        <v>10</v>
      </c>
      <c r="N11140" s="787">
        <v>12.03</v>
      </c>
      <c r="O11140" s="788">
        <v>42137</v>
      </c>
    </row>
    <row r="11141" spans="1:15" x14ac:dyDescent="0.25">
      <c r="A11141" s="786" t="s">
        <v>19958</v>
      </c>
      <c r="B11141" s="787">
        <v>4</v>
      </c>
      <c r="C11141" s="787" t="s">
        <v>19955</v>
      </c>
      <c r="D11141" s="787">
        <v>0</v>
      </c>
      <c r="E11141" s="787">
        <v>0</v>
      </c>
      <c r="H11141" s="787">
        <v>1</v>
      </c>
      <c r="K11141" s="788">
        <v>41465</v>
      </c>
      <c r="L11141" s="787">
        <v>13.04</v>
      </c>
      <c r="M11141" s="787">
        <v>10</v>
      </c>
      <c r="N11141" s="787">
        <v>12.62</v>
      </c>
      <c r="O11141" s="788">
        <v>41858</v>
      </c>
    </row>
    <row r="11142" spans="1:15" x14ac:dyDescent="0.25">
      <c r="A11142" s="786" t="s">
        <v>19959</v>
      </c>
      <c r="B11142" s="787">
        <v>4</v>
      </c>
      <c r="C11142" s="787" t="s">
        <v>19957</v>
      </c>
      <c r="D11142" s="787">
        <v>0</v>
      </c>
      <c r="E11142" s="787">
        <v>0</v>
      </c>
      <c r="H11142" s="787">
        <v>1</v>
      </c>
      <c r="K11142" s="788">
        <v>41296</v>
      </c>
      <c r="L11142" s="787">
        <v>14.3</v>
      </c>
      <c r="M11142" s="787">
        <v>10</v>
      </c>
      <c r="N11142" s="787">
        <v>12.62</v>
      </c>
      <c r="O11142" s="788">
        <v>41858</v>
      </c>
    </row>
    <row r="11143" spans="1:15" x14ac:dyDescent="0.25">
      <c r="A11143" s="786" t="s">
        <v>19960</v>
      </c>
      <c r="B11143" s="787">
        <v>4</v>
      </c>
      <c r="C11143" s="787" t="s">
        <v>19961</v>
      </c>
      <c r="D11143" s="787">
        <v>0</v>
      </c>
      <c r="E11143" s="787">
        <v>0</v>
      </c>
      <c r="H11143" s="787">
        <v>1</v>
      </c>
      <c r="I11143" s="788">
        <v>41591</v>
      </c>
      <c r="K11143" s="788">
        <v>41296</v>
      </c>
      <c r="L11143" s="787">
        <v>13</v>
      </c>
      <c r="M11143" s="787">
        <v>10</v>
      </c>
      <c r="N11143" s="787">
        <v>12.37</v>
      </c>
      <c r="O11143" s="788">
        <v>42163</v>
      </c>
    </row>
    <row r="11144" spans="1:15" x14ac:dyDescent="0.25">
      <c r="A11144" s="786" t="s">
        <v>19962</v>
      </c>
      <c r="B11144" s="787">
        <v>4</v>
      </c>
      <c r="C11144" s="787" t="s">
        <v>19963</v>
      </c>
      <c r="D11144" s="787">
        <v>0</v>
      </c>
      <c r="E11144" s="787">
        <v>0</v>
      </c>
      <c r="H11144" s="787">
        <v>1</v>
      </c>
      <c r="I11144" s="788">
        <v>41726</v>
      </c>
      <c r="K11144" s="788">
        <v>41296</v>
      </c>
      <c r="L11144" s="787">
        <v>14.64</v>
      </c>
      <c r="M11144" s="787">
        <v>10</v>
      </c>
      <c r="N11144" s="787">
        <v>12.37</v>
      </c>
      <c r="O11144" s="788">
        <v>42163</v>
      </c>
    </row>
    <row r="11145" spans="1:15" x14ac:dyDescent="0.25">
      <c r="A11145" s="786" t="s">
        <v>19964</v>
      </c>
      <c r="B11145" s="787">
        <v>4</v>
      </c>
      <c r="C11145" s="787" t="s">
        <v>19965</v>
      </c>
      <c r="D11145" s="787">
        <v>0</v>
      </c>
      <c r="E11145" s="787">
        <v>0</v>
      </c>
      <c r="H11145" s="787">
        <v>1</v>
      </c>
      <c r="I11145" s="788">
        <v>41442</v>
      </c>
      <c r="K11145" s="788">
        <v>41296</v>
      </c>
      <c r="L11145" s="787">
        <v>14.64</v>
      </c>
      <c r="M11145" s="787">
        <v>10</v>
      </c>
      <c r="N11145" s="787">
        <v>12.37</v>
      </c>
      <c r="O11145" s="788">
        <v>42163</v>
      </c>
    </row>
    <row r="11146" spans="1:15" x14ac:dyDescent="0.25">
      <c r="A11146" s="786" t="s">
        <v>19966</v>
      </c>
      <c r="B11146" s="787">
        <v>4</v>
      </c>
      <c r="C11146" s="787" t="s">
        <v>19967</v>
      </c>
      <c r="D11146" s="787">
        <v>0</v>
      </c>
      <c r="E11146" s="787">
        <v>0</v>
      </c>
      <c r="H11146" s="787">
        <v>1</v>
      </c>
      <c r="I11146" s="788">
        <v>41442</v>
      </c>
      <c r="K11146" s="788">
        <v>41296</v>
      </c>
      <c r="L11146" s="787">
        <v>14.64</v>
      </c>
      <c r="M11146" s="787">
        <v>10</v>
      </c>
      <c r="N11146" s="787">
        <v>12.37</v>
      </c>
      <c r="O11146" s="788">
        <v>42163</v>
      </c>
    </row>
    <row r="11147" spans="1:15" x14ac:dyDescent="0.25">
      <c r="A11147" s="786" t="s">
        <v>19968</v>
      </c>
      <c r="B11147" s="787">
        <v>4</v>
      </c>
      <c r="C11147" s="787" t="s">
        <v>19969</v>
      </c>
      <c r="D11147" s="787">
        <v>0</v>
      </c>
      <c r="E11147" s="787">
        <v>0</v>
      </c>
      <c r="H11147" s="787">
        <v>1</v>
      </c>
      <c r="I11147" s="788">
        <v>41591</v>
      </c>
      <c r="K11147" s="788">
        <v>41296</v>
      </c>
      <c r="L11147" s="787">
        <v>8.5399999999999991</v>
      </c>
      <c r="M11147" s="787">
        <v>10</v>
      </c>
      <c r="N11147" s="787">
        <v>8.64</v>
      </c>
      <c r="O11147" s="788">
        <v>42163</v>
      </c>
    </row>
    <row r="11148" spans="1:15" x14ac:dyDescent="0.25">
      <c r="A11148" s="786" t="s">
        <v>19970</v>
      </c>
      <c r="B11148" s="787">
        <v>4</v>
      </c>
      <c r="C11148" s="787" t="s">
        <v>19971</v>
      </c>
      <c r="D11148" s="787">
        <v>0</v>
      </c>
      <c r="E11148" s="787">
        <v>0</v>
      </c>
      <c r="H11148" s="787">
        <v>1</v>
      </c>
      <c r="I11148" s="788">
        <v>41726</v>
      </c>
      <c r="K11148" s="788">
        <v>41296</v>
      </c>
      <c r="L11148" s="787">
        <v>8.5399999999999991</v>
      </c>
      <c r="M11148" s="787">
        <v>10</v>
      </c>
      <c r="N11148" s="787">
        <v>8.64</v>
      </c>
      <c r="O11148" s="788">
        <v>42163</v>
      </c>
    </row>
    <row r="11149" spans="1:15" x14ac:dyDescent="0.25">
      <c r="A11149" s="786" t="s">
        <v>19972</v>
      </c>
      <c r="B11149" s="787">
        <v>4</v>
      </c>
      <c r="C11149" s="787" t="s">
        <v>19973</v>
      </c>
      <c r="D11149" s="787">
        <v>0</v>
      </c>
      <c r="E11149" s="787">
        <v>0</v>
      </c>
      <c r="H11149" s="787">
        <v>1</v>
      </c>
      <c r="I11149" s="788">
        <v>41442</v>
      </c>
      <c r="K11149" s="788">
        <v>41296</v>
      </c>
      <c r="L11149" s="787">
        <v>8.5399999999999991</v>
      </c>
      <c r="M11149" s="787">
        <v>10</v>
      </c>
      <c r="N11149" s="787">
        <v>8.64</v>
      </c>
      <c r="O11149" s="788">
        <v>42163</v>
      </c>
    </row>
    <row r="11150" spans="1:15" x14ac:dyDescent="0.25">
      <c r="A11150" s="786" t="s">
        <v>19974</v>
      </c>
      <c r="B11150" s="787">
        <v>4</v>
      </c>
      <c r="C11150" s="787" t="s">
        <v>19975</v>
      </c>
      <c r="D11150" s="787">
        <v>0</v>
      </c>
      <c r="E11150" s="787">
        <v>0</v>
      </c>
      <c r="H11150" s="787">
        <v>1</v>
      </c>
      <c r="I11150" s="788">
        <v>41442</v>
      </c>
      <c r="K11150" s="788">
        <v>41296</v>
      </c>
      <c r="L11150" s="787">
        <v>8.5399999999999991</v>
      </c>
      <c r="M11150" s="787">
        <v>10</v>
      </c>
      <c r="N11150" s="787">
        <v>7.95</v>
      </c>
      <c r="O11150" s="788">
        <v>42163</v>
      </c>
    </row>
    <row r="11151" spans="1:15" x14ac:dyDescent="0.25">
      <c r="A11151" s="786" t="s">
        <v>19976</v>
      </c>
      <c r="B11151" s="787">
        <v>4</v>
      </c>
      <c r="C11151" s="787" t="s">
        <v>19977</v>
      </c>
      <c r="D11151" s="787">
        <v>0</v>
      </c>
      <c r="E11151" s="787">
        <v>0</v>
      </c>
      <c r="H11151" s="787">
        <v>1</v>
      </c>
      <c r="I11151" s="788">
        <v>41591</v>
      </c>
      <c r="K11151" s="788">
        <v>41130</v>
      </c>
      <c r="L11151" s="787">
        <v>9.74</v>
      </c>
      <c r="M11151" s="787">
        <v>10</v>
      </c>
      <c r="N11151" s="787">
        <v>9.2799999999999994</v>
      </c>
      <c r="O11151" s="788">
        <v>42163</v>
      </c>
    </row>
    <row r="11152" spans="1:15" x14ac:dyDescent="0.25">
      <c r="A11152" s="786" t="s">
        <v>19978</v>
      </c>
      <c r="B11152" s="787">
        <v>4</v>
      </c>
      <c r="C11152" s="787" t="s">
        <v>19979</v>
      </c>
      <c r="D11152" s="787">
        <v>0</v>
      </c>
      <c r="E11152" s="787">
        <v>0</v>
      </c>
      <c r="H11152" s="787">
        <v>1</v>
      </c>
      <c r="I11152" s="788">
        <v>41726</v>
      </c>
      <c r="K11152" s="788">
        <v>41130</v>
      </c>
      <c r="L11152" s="787">
        <v>9.74</v>
      </c>
      <c r="M11152" s="787">
        <v>10</v>
      </c>
      <c r="N11152" s="787">
        <v>9.2799999999999994</v>
      </c>
      <c r="O11152" s="788">
        <v>42163</v>
      </c>
    </row>
    <row r="11153" spans="1:15" x14ac:dyDescent="0.25">
      <c r="A11153" s="786" t="s">
        <v>19980</v>
      </c>
      <c r="B11153" s="787">
        <v>4</v>
      </c>
      <c r="C11153" s="787" t="s">
        <v>19981</v>
      </c>
      <c r="D11153" s="787">
        <v>0</v>
      </c>
      <c r="E11153" s="787">
        <v>0</v>
      </c>
      <c r="H11153" s="787">
        <v>1</v>
      </c>
      <c r="I11153" s="788">
        <v>41464</v>
      </c>
      <c r="K11153" s="788">
        <v>41130</v>
      </c>
      <c r="L11153" s="787">
        <v>9.74</v>
      </c>
      <c r="M11153" s="787">
        <v>10</v>
      </c>
      <c r="N11153" s="787">
        <v>9.2799999999999994</v>
      </c>
      <c r="O11153" s="788">
        <v>42163</v>
      </c>
    </row>
    <row r="11154" spans="1:15" x14ac:dyDescent="0.25">
      <c r="A11154" s="786" t="s">
        <v>19982</v>
      </c>
      <c r="B11154" s="787">
        <v>4</v>
      </c>
      <c r="C11154" s="787" t="s">
        <v>19983</v>
      </c>
      <c r="D11154" s="787">
        <v>0</v>
      </c>
      <c r="E11154" s="787">
        <v>0</v>
      </c>
      <c r="H11154" s="787">
        <v>1</v>
      </c>
      <c r="I11154" s="788">
        <v>41726</v>
      </c>
      <c r="K11154" s="788">
        <v>41130</v>
      </c>
      <c r="L11154" s="787">
        <v>9.74</v>
      </c>
      <c r="M11154" s="787">
        <v>10</v>
      </c>
      <c r="N11154" s="787">
        <v>9.2799999999999994</v>
      </c>
      <c r="O11154" s="788">
        <v>42163</v>
      </c>
    </row>
    <row r="11155" spans="1:15" x14ac:dyDescent="0.25">
      <c r="A11155" s="786" t="s">
        <v>19984</v>
      </c>
      <c r="B11155" s="787">
        <v>4</v>
      </c>
      <c r="C11155" s="787" t="s">
        <v>19985</v>
      </c>
      <c r="D11155" s="787">
        <v>0</v>
      </c>
      <c r="E11155" s="787">
        <v>0</v>
      </c>
      <c r="H11155" s="787">
        <v>1</v>
      </c>
      <c r="I11155" s="788">
        <v>41591</v>
      </c>
      <c r="K11155" s="788">
        <v>41296</v>
      </c>
      <c r="L11155" s="787">
        <v>6.7</v>
      </c>
      <c r="M11155" s="787">
        <v>10</v>
      </c>
      <c r="N11155" s="787">
        <v>6.72</v>
      </c>
      <c r="O11155" s="788">
        <v>42163</v>
      </c>
    </row>
    <row r="11156" spans="1:15" x14ac:dyDescent="0.25">
      <c r="A11156" s="786" t="s">
        <v>19986</v>
      </c>
      <c r="B11156" s="787">
        <v>4</v>
      </c>
      <c r="C11156" s="787" t="s">
        <v>19987</v>
      </c>
      <c r="D11156" s="787">
        <v>0</v>
      </c>
      <c r="E11156" s="787">
        <v>0</v>
      </c>
      <c r="H11156" s="787">
        <v>1</v>
      </c>
      <c r="I11156" s="788">
        <v>41726</v>
      </c>
      <c r="K11156" s="788">
        <v>41296</v>
      </c>
      <c r="L11156" s="787">
        <v>6.7</v>
      </c>
      <c r="M11156" s="787">
        <v>10</v>
      </c>
      <c r="N11156" s="787">
        <v>6.72</v>
      </c>
      <c r="O11156" s="788">
        <v>42163</v>
      </c>
    </row>
    <row r="11157" spans="1:15" x14ac:dyDescent="0.25">
      <c r="A11157" s="786" t="s">
        <v>19988</v>
      </c>
      <c r="B11157" s="787">
        <v>4</v>
      </c>
      <c r="C11157" s="787" t="s">
        <v>19989</v>
      </c>
      <c r="D11157" s="787">
        <v>0</v>
      </c>
      <c r="E11157" s="787">
        <v>0</v>
      </c>
      <c r="H11157" s="787">
        <v>1</v>
      </c>
      <c r="I11157" s="788">
        <v>41464</v>
      </c>
      <c r="K11157" s="788">
        <v>41296</v>
      </c>
      <c r="L11157" s="787">
        <v>6.7</v>
      </c>
      <c r="M11157" s="787">
        <v>10</v>
      </c>
      <c r="N11157" s="787">
        <v>6.72</v>
      </c>
      <c r="O11157" s="788">
        <v>42163</v>
      </c>
    </row>
    <row r="11158" spans="1:15" x14ac:dyDescent="0.25">
      <c r="A11158" s="786" t="s">
        <v>19990</v>
      </c>
      <c r="B11158" s="787">
        <v>4</v>
      </c>
      <c r="C11158" s="787" t="s">
        <v>19991</v>
      </c>
      <c r="D11158" s="787">
        <v>0</v>
      </c>
      <c r="E11158" s="787">
        <v>0</v>
      </c>
      <c r="H11158" s="787">
        <v>1</v>
      </c>
      <c r="I11158" s="788">
        <v>41726</v>
      </c>
      <c r="K11158" s="788">
        <v>41296</v>
      </c>
      <c r="L11158" s="787">
        <v>6.7</v>
      </c>
      <c r="M11158" s="787">
        <v>10</v>
      </c>
      <c r="N11158" s="787">
        <v>6.72</v>
      </c>
      <c r="O11158" s="788">
        <v>42163</v>
      </c>
    </row>
    <row r="11159" spans="1:15" x14ac:dyDescent="0.25">
      <c r="A11159" s="786" t="s">
        <v>19992</v>
      </c>
      <c r="B11159" s="787">
        <v>4</v>
      </c>
      <c r="C11159" s="787" t="s">
        <v>19993</v>
      </c>
      <c r="D11159" s="787">
        <v>0</v>
      </c>
      <c r="E11159" s="787">
        <v>0</v>
      </c>
      <c r="H11159" s="787">
        <v>1</v>
      </c>
      <c r="I11159" s="788">
        <v>41442</v>
      </c>
      <c r="K11159" s="788">
        <v>41296</v>
      </c>
      <c r="L11159" s="787">
        <v>6.7</v>
      </c>
      <c r="M11159" s="787">
        <v>10</v>
      </c>
      <c r="N11159" s="787">
        <v>6.72</v>
      </c>
      <c r="O11159" s="788">
        <v>42163</v>
      </c>
    </row>
    <row r="11160" spans="1:15" x14ac:dyDescent="0.25">
      <c r="A11160" s="786" t="s">
        <v>19994</v>
      </c>
      <c r="B11160" s="787">
        <v>4</v>
      </c>
      <c r="C11160" s="787" t="s">
        <v>19995</v>
      </c>
      <c r="D11160" s="787">
        <v>0</v>
      </c>
      <c r="E11160" s="787">
        <v>0</v>
      </c>
      <c r="H11160" s="787">
        <v>1</v>
      </c>
      <c r="I11160" s="788">
        <v>41442</v>
      </c>
      <c r="K11160" s="788">
        <v>41296</v>
      </c>
      <c r="L11160" s="787">
        <v>6.7</v>
      </c>
      <c r="M11160" s="787">
        <v>10</v>
      </c>
      <c r="N11160" s="787">
        <v>6.72</v>
      </c>
      <c r="O11160" s="788">
        <v>42163</v>
      </c>
    </row>
    <row r="11161" spans="1:15" x14ac:dyDescent="0.25">
      <c r="A11161" s="786" t="s">
        <v>19996</v>
      </c>
      <c r="B11161" s="787">
        <v>4</v>
      </c>
      <c r="C11161" s="787" t="s">
        <v>19997</v>
      </c>
      <c r="D11161" s="787">
        <v>4.8600000000000003</v>
      </c>
      <c r="E11161" s="787">
        <v>4.8600000000000003</v>
      </c>
      <c r="F11161" s="788">
        <v>41425</v>
      </c>
      <c r="G11161" s="788">
        <v>41943</v>
      </c>
      <c r="H11161" s="787">
        <v>1</v>
      </c>
      <c r="I11161" s="788">
        <v>41865</v>
      </c>
      <c r="J11161" s="788">
        <v>41390</v>
      </c>
      <c r="L11161" s="787">
        <v>5</v>
      </c>
      <c r="M11161" s="787">
        <v>10</v>
      </c>
      <c r="N11161" s="787">
        <v>4.87</v>
      </c>
      <c r="O11161" s="788">
        <v>41858</v>
      </c>
    </row>
    <row r="11162" spans="1:15" x14ac:dyDescent="0.25">
      <c r="A11162" s="786" t="s">
        <v>19998</v>
      </c>
      <c r="B11162" s="787">
        <v>4</v>
      </c>
      <c r="C11162" s="787" t="s">
        <v>19999</v>
      </c>
      <c r="D11162" s="787">
        <v>0.41</v>
      </c>
      <c r="E11162" s="787">
        <v>10.41</v>
      </c>
      <c r="F11162" s="788">
        <v>41425</v>
      </c>
      <c r="G11162" s="788">
        <v>41943</v>
      </c>
      <c r="H11162" s="787">
        <v>1</v>
      </c>
      <c r="I11162" s="788">
        <v>41865</v>
      </c>
      <c r="J11162" s="788">
        <v>41390</v>
      </c>
      <c r="L11162" s="787">
        <v>5</v>
      </c>
      <c r="M11162" s="787">
        <v>10</v>
      </c>
      <c r="N11162" s="787">
        <v>5.96</v>
      </c>
      <c r="O11162" s="788">
        <v>41858</v>
      </c>
    </row>
    <row r="11163" spans="1:15" x14ac:dyDescent="0.25">
      <c r="A11163" s="786" t="s">
        <v>20000</v>
      </c>
      <c r="B11163" s="787">
        <v>4</v>
      </c>
      <c r="C11163" s="787" t="s">
        <v>20001</v>
      </c>
      <c r="D11163" s="787">
        <v>7.75</v>
      </c>
      <c r="E11163" s="787">
        <v>7.75</v>
      </c>
      <c r="F11163" s="788">
        <v>41425</v>
      </c>
      <c r="G11163" s="788">
        <v>41943</v>
      </c>
      <c r="H11163" s="787">
        <v>1</v>
      </c>
      <c r="I11163" s="788">
        <v>41865</v>
      </c>
      <c r="J11163" s="788">
        <v>41390</v>
      </c>
      <c r="L11163" s="787">
        <v>5</v>
      </c>
      <c r="M11163" s="787">
        <v>10</v>
      </c>
      <c r="N11163" s="787">
        <v>5.96</v>
      </c>
      <c r="O11163" s="788">
        <v>41858</v>
      </c>
    </row>
    <row r="11164" spans="1:15" x14ac:dyDescent="0.25">
      <c r="A11164" s="786" t="s">
        <v>20002</v>
      </c>
      <c r="B11164" s="787">
        <v>4</v>
      </c>
      <c r="C11164" s="787" t="s">
        <v>20003</v>
      </c>
      <c r="D11164" s="787">
        <v>0.28999999999999998</v>
      </c>
      <c r="E11164" s="787">
        <v>10.29</v>
      </c>
      <c r="F11164" s="788">
        <v>41425</v>
      </c>
      <c r="G11164" s="788">
        <v>41943</v>
      </c>
      <c r="H11164" s="787">
        <v>1</v>
      </c>
      <c r="I11164" s="788">
        <v>41865</v>
      </c>
      <c r="J11164" s="788">
        <v>41390</v>
      </c>
      <c r="L11164" s="787">
        <v>5</v>
      </c>
      <c r="M11164" s="787">
        <v>10</v>
      </c>
      <c r="N11164" s="787">
        <v>3.92</v>
      </c>
      <c r="O11164" s="788">
        <v>41858</v>
      </c>
    </row>
    <row r="11165" spans="1:15" x14ac:dyDescent="0.25">
      <c r="A11165" s="786" t="s">
        <v>20004</v>
      </c>
      <c r="B11165" s="787">
        <v>4</v>
      </c>
      <c r="C11165" s="787" t="s">
        <v>20005</v>
      </c>
      <c r="D11165" s="787">
        <v>5.36</v>
      </c>
      <c r="E11165" s="787">
        <v>5.36</v>
      </c>
      <c r="F11165" s="788">
        <v>41425</v>
      </c>
      <c r="G11165" s="788">
        <v>41943</v>
      </c>
      <c r="H11165" s="787">
        <v>1</v>
      </c>
      <c r="I11165" s="788">
        <v>41865</v>
      </c>
      <c r="J11165" s="788">
        <v>41390</v>
      </c>
      <c r="L11165" s="787">
        <v>5</v>
      </c>
      <c r="M11165" s="787">
        <v>10</v>
      </c>
      <c r="N11165" s="787">
        <v>3.92</v>
      </c>
      <c r="O11165" s="788">
        <v>41858</v>
      </c>
    </row>
    <row r="11166" spans="1:15" x14ac:dyDescent="0.25">
      <c r="A11166" s="786" t="s">
        <v>20006</v>
      </c>
      <c r="B11166" s="787">
        <v>4</v>
      </c>
      <c r="C11166" s="787" t="s">
        <v>20007</v>
      </c>
      <c r="D11166" s="787">
        <v>2.36</v>
      </c>
      <c r="E11166" s="787">
        <v>2.59</v>
      </c>
      <c r="F11166" s="788">
        <v>39101</v>
      </c>
      <c r="G11166" s="788">
        <v>41943</v>
      </c>
      <c r="H11166" s="787">
        <v>1</v>
      </c>
      <c r="I11166" s="788">
        <v>41474</v>
      </c>
      <c r="J11166" s="788">
        <v>39878</v>
      </c>
      <c r="L11166" s="787">
        <v>2.4900000000000002</v>
      </c>
      <c r="M11166" s="787">
        <v>10</v>
      </c>
      <c r="N11166" s="787">
        <v>5.0999999999999996</v>
      </c>
      <c r="O11166" s="788">
        <v>42146</v>
      </c>
    </row>
    <row r="11167" spans="1:15" x14ac:dyDescent="0.25">
      <c r="A11167" s="786" t="s">
        <v>20008</v>
      </c>
      <c r="B11167" s="787">
        <v>4</v>
      </c>
      <c r="C11167" s="787" t="s">
        <v>20009</v>
      </c>
      <c r="D11167" s="787">
        <v>1.1000000000000001</v>
      </c>
      <c r="E11167" s="787">
        <v>7.76</v>
      </c>
      <c r="F11167" s="788">
        <v>39975</v>
      </c>
      <c r="G11167" s="788">
        <v>41943</v>
      </c>
      <c r="H11167" s="787">
        <v>1</v>
      </c>
      <c r="I11167" s="788">
        <v>42157</v>
      </c>
      <c r="J11167" s="788">
        <v>41416</v>
      </c>
      <c r="L11167" s="787">
        <v>4.49</v>
      </c>
      <c r="M11167" s="787">
        <v>10</v>
      </c>
      <c r="N11167" s="787">
        <v>13.26</v>
      </c>
      <c r="O11167" s="788">
        <v>42164</v>
      </c>
    </row>
    <row r="11168" spans="1:15" x14ac:dyDescent="0.25">
      <c r="A11168" s="786" t="s">
        <v>20010</v>
      </c>
      <c r="B11168" s="787">
        <v>4</v>
      </c>
      <c r="C11168" s="787" t="s">
        <v>20011</v>
      </c>
      <c r="D11168" s="787">
        <v>1.76</v>
      </c>
      <c r="E11168" s="787">
        <v>1.76</v>
      </c>
      <c r="F11168" s="788">
        <v>39101</v>
      </c>
      <c r="G11168" s="788">
        <v>41943</v>
      </c>
      <c r="H11168" s="787">
        <v>1</v>
      </c>
      <c r="I11168" s="788">
        <v>39899</v>
      </c>
      <c r="J11168" s="788">
        <v>39878</v>
      </c>
      <c r="L11168" s="787">
        <v>2.15</v>
      </c>
      <c r="M11168" s="787">
        <v>10</v>
      </c>
      <c r="N11168" s="787">
        <v>4.8099999999999996</v>
      </c>
      <c r="O11168" s="788">
        <v>42146</v>
      </c>
    </row>
    <row r="11169" spans="1:15" x14ac:dyDescent="0.25">
      <c r="A11169" s="786" t="s">
        <v>20012</v>
      </c>
      <c r="B11169" s="787">
        <v>4</v>
      </c>
      <c r="C11169" s="787" t="s">
        <v>20013</v>
      </c>
      <c r="D11169" s="787">
        <v>4.32</v>
      </c>
      <c r="E11169" s="787">
        <v>4.32</v>
      </c>
      <c r="F11169" s="788">
        <v>37287</v>
      </c>
      <c r="G11169" s="788">
        <v>38364</v>
      </c>
      <c r="H11169" s="787">
        <v>1</v>
      </c>
      <c r="I11169" s="788">
        <v>38736</v>
      </c>
      <c r="J11169" s="788">
        <v>37818</v>
      </c>
      <c r="L11169" s="787">
        <v>4.71</v>
      </c>
      <c r="M11169" s="787">
        <v>20</v>
      </c>
      <c r="N11169" s="787">
        <v>5.0599999999999996</v>
      </c>
      <c r="O11169" s="788">
        <v>41858</v>
      </c>
    </row>
    <row r="11170" spans="1:15" x14ac:dyDescent="0.25">
      <c r="A11170" s="786" t="s">
        <v>20014</v>
      </c>
      <c r="B11170" s="787">
        <v>4</v>
      </c>
      <c r="C11170" s="787" t="s">
        <v>20015</v>
      </c>
      <c r="D11170" s="787">
        <v>1.52</v>
      </c>
      <c r="E11170" s="787">
        <v>1.52</v>
      </c>
      <c r="F11170" s="788">
        <v>37287</v>
      </c>
      <c r="G11170" s="788">
        <v>37287</v>
      </c>
      <c r="H11170" s="787">
        <v>1</v>
      </c>
      <c r="J11170" s="788">
        <v>37287</v>
      </c>
      <c r="L11170" s="787">
        <v>1.66</v>
      </c>
      <c r="M11170" s="787">
        <v>20</v>
      </c>
      <c r="N11170" s="787">
        <v>1.78</v>
      </c>
      <c r="O11170" s="788">
        <v>41858</v>
      </c>
    </row>
    <row r="11171" spans="1:15" x14ac:dyDescent="0.25">
      <c r="A11171" s="786" t="s">
        <v>20016</v>
      </c>
      <c r="B11171" s="787">
        <v>4</v>
      </c>
      <c r="C11171" s="787" t="s">
        <v>20017</v>
      </c>
      <c r="D11171" s="787">
        <v>0</v>
      </c>
      <c r="E11171" s="787">
        <v>0</v>
      </c>
      <c r="G11171" s="788">
        <v>41929</v>
      </c>
      <c r="H11171" s="787">
        <v>1</v>
      </c>
      <c r="I11171" s="788">
        <v>42104</v>
      </c>
      <c r="J11171" s="788">
        <v>41957</v>
      </c>
      <c r="L11171" s="787">
        <v>16.13</v>
      </c>
      <c r="M11171" s="787">
        <v>10</v>
      </c>
      <c r="N11171" s="787">
        <v>17.059999999999999</v>
      </c>
      <c r="O11171" s="788">
        <v>42087</v>
      </c>
    </row>
    <row r="11172" spans="1:15" x14ac:dyDescent="0.25">
      <c r="A11172" s="786" t="s">
        <v>20018</v>
      </c>
      <c r="B11172" s="787">
        <v>4</v>
      </c>
      <c r="C11172" s="787" t="s">
        <v>20019</v>
      </c>
      <c r="D11172" s="787">
        <v>0</v>
      </c>
      <c r="E11172" s="787">
        <v>0</v>
      </c>
      <c r="H11172" s="787">
        <v>1</v>
      </c>
      <c r="I11172" s="788">
        <v>38660</v>
      </c>
      <c r="J11172" s="788">
        <v>38736</v>
      </c>
      <c r="L11172" s="787">
        <v>16.28</v>
      </c>
      <c r="M11172" s="787">
        <v>10</v>
      </c>
      <c r="N11172" s="787">
        <v>22.54</v>
      </c>
      <c r="O11172" s="788">
        <v>42083</v>
      </c>
    </row>
    <row r="11173" spans="1:15" x14ac:dyDescent="0.25">
      <c r="A11173" s="786" t="s">
        <v>20020</v>
      </c>
      <c r="B11173" s="787">
        <v>4</v>
      </c>
      <c r="C11173" s="787" t="s">
        <v>20021</v>
      </c>
      <c r="D11173" s="787">
        <v>4.5</v>
      </c>
      <c r="E11173" s="787">
        <v>4.5</v>
      </c>
      <c r="F11173" s="788">
        <v>41885</v>
      </c>
      <c r="G11173" s="788">
        <v>41886</v>
      </c>
      <c r="H11173" s="787">
        <v>1</v>
      </c>
      <c r="I11173" s="788">
        <v>42046</v>
      </c>
      <c r="J11173" s="788">
        <v>42081</v>
      </c>
      <c r="K11173" s="788">
        <v>41862</v>
      </c>
      <c r="L11173" s="787">
        <v>4.5</v>
      </c>
      <c r="M11173" s="787">
        <v>20</v>
      </c>
      <c r="N11173" s="787">
        <v>0.11</v>
      </c>
      <c r="O11173" s="788">
        <v>41858</v>
      </c>
    </row>
    <row r="11174" spans="1:15" x14ac:dyDescent="0.25">
      <c r="A11174" s="786" t="s">
        <v>20022</v>
      </c>
      <c r="B11174" s="787">
        <v>4</v>
      </c>
      <c r="C11174" s="787" t="s">
        <v>20023</v>
      </c>
      <c r="D11174" s="787">
        <v>4.5</v>
      </c>
      <c r="E11174" s="787">
        <v>14.5</v>
      </c>
      <c r="F11174" s="788">
        <v>41442</v>
      </c>
      <c r="G11174" s="788">
        <v>41439</v>
      </c>
      <c r="H11174" s="787">
        <v>1</v>
      </c>
      <c r="I11174" s="788">
        <v>41792</v>
      </c>
      <c r="J11174" s="788">
        <v>41444</v>
      </c>
      <c r="K11174" s="788">
        <v>41435</v>
      </c>
      <c r="L11174" s="787">
        <v>14.5</v>
      </c>
      <c r="M11174" s="787">
        <v>20</v>
      </c>
      <c r="N11174" s="787">
        <v>15.59</v>
      </c>
      <c r="O11174" s="788">
        <v>41858</v>
      </c>
    </row>
    <row r="11175" spans="1:15" x14ac:dyDescent="0.25">
      <c r="A11175" s="786" t="s">
        <v>20024</v>
      </c>
      <c r="B11175" s="787">
        <v>4</v>
      </c>
      <c r="C11175" s="787" t="s">
        <v>19620</v>
      </c>
      <c r="D11175" s="787">
        <v>0</v>
      </c>
      <c r="E11175" s="787">
        <v>0</v>
      </c>
      <c r="H11175" s="787">
        <v>1</v>
      </c>
      <c r="L11175" s="787">
        <v>15</v>
      </c>
      <c r="M11175" s="787">
        <v>20</v>
      </c>
      <c r="N11175" s="787">
        <v>16.13</v>
      </c>
      <c r="O11175" s="788">
        <v>41858</v>
      </c>
    </row>
    <row r="11176" spans="1:15" x14ac:dyDescent="0.25">
      <c r="A11176" s="786" t="s">
        <v>20025</v>
      </c>
      <c r="B11176" s="787">
        <v>4</v>
      </c>
      <c r="C11176" s="787" t="s">
        <v>20026</v>
      </c>
      <c r="D11176" s="787">
        <v>8.5</v>
      </c>
      <c r="E11176" s="787">
        <v>28.5</v>
      </c>
      <c r="F11176" s="788">
        <v>41946</v>
      </c>
      <c r="G11176" s="788">
        <v>41943</v>
      </c>
      <c r="H11176" s="787">
        <v>1</v>
      </c>
      <c r="J11176" s="788">
        <v>41943</v>
      </c>
      <c r="K11176" s="788">
        <v>41927</v>
      </c>
      <c r="L11176" s="787">
        <v>28.5</v>
      </c>
      <c r="M11176" s="787">
        <v>20</v>
      </c>
      <c r="N11176" s="787">
        <v>0</v>
      </c>
      <c r="O11176" s="788">
        <v>40824</v>
      </c>
    </row>
    <row r="11177" spans="1:15" x14ac:dyDescent="0.25">
      <c r="A11177" s="786" t="s">
        <v>20027</v>
      </c>
      <c r="B11177" s="787">
        <v>4</v>
      </c>
      <c r="C11177" s="787" t="s">
        <v>20028</v>
      </c>
      <c r="D11177" s="787">
        <v>9.5</v>
      </c>
      <c r="E11177" s="787">
        <v>44.8</v>
      </c>
      <c r="F11177" s="788">
        <v>41022</v>
      </c>
      <c r="G11177" s="788">
        <v>41396</v>
      </c>
      <c r="H11177" s="787">
        <v>1</v>
      </c>
      <c r="I11177" s="788">
        <v>42073</v>
      </c>
      <c r="J11177" s="788">
        <v>42075</v>
      </c>
      <c r="K11177" s="788">
        <v>40970</v>
      </c>
      <c r="L11177" s="787">
        <v>39.5</v>
      </c>
      <c r="M11177" s="787">
        <v>20</v>
      </c>
      <c r="N11177" s="787">
        <v>42.46</v>
      </c>
      <c r="O11177" s="788">
        <v>41995</v>
      </c>
    </row>
    <row r="11178" spans="1:15" x14ac:dyDescent="0.25">
      <c r="A11178" s="786" t="s">
        <v>20029</v>
      </c>
      <c r="B11178" s="787">
        <v>4</v>
      </c>
      <c r="C11178" s="787" t="s">
        <v>20030</v>
      </c>
      <c r="D11178" s="787">
        <v>6.5</v>
      </c>
      <c r="E11178" s="787">
        <v>95.9</v>
      </c>
      <c r="F11178" s="788">
        <v>39101</v>
      </c>
      <c r="G11178" s="788">
        <v>41943</v>
      </c>
      <c r="H11178" s="787">
        <v>1</v>
      </c>
      <c r="I11178" s="788">
        <v>42027</v>
      </c>
      <c r="J11178" s="788">
        <v>40980</v>
      </c>
      <c r="L11178" s="787">
        <v>95.9</v>
      </c>
      <c r="M11178" s="787">
        <v>20</v>
      </c>
      <c r="N11178" s="787">
        <v>103.09</v>
      </c>
      <c r="O11178" s="788">
        <v>42162</v>
      </c>
    </row>
    <row r="11179" spans="1:15" x14ac:dyDescent="0.25">
      <c r="A11179" s="786" t="s">
        <v>20031</v>
      </c>
      <c r="B11179" s="787">
        <v>4</v>
      </c>
      <c r="C11179" s="787" t="s">
        <v>20032</v>
      </c>
      <c r="D11179" s="787">
        <v>0</v>
      </c>
      <c r="E11179" s="787">
        <v>11.2</v>
      </c>
      <c r="H11179" s="787">
        <v>1</v>
      </c>
      <c r="L11179" s="787">
        <v>11.2</v>
      </c>
      <c r="M11179" s="787">
        <v>20</v>
      </c>
      <c r="N11179" s="787">
        <v>12.04</v>
      </c>
      <c r="O11179" s="788">
        <v>41858</v>
      </c>
    </row>
    <row r="11180" spans="1:15" x14ac:dyDescent="0.25">
      <c r="A11180" s="786" t="s">
        <v>20033</v>
      </c>
      <c r="B11180" s="787">
        <v>4</v>
      </c>
      <c r="C11180" s="787" t="s">
        <v>20034</v>
      </c>
      <c r="D11180" s="787">
        <v>8.85</v>
      </c>
      <c r="E11180" s="787">
        <v>48.85</v>
      </c>
      <c r="F11180" s="788">
        <v>40511</v>
      </c>
      <c r="G11180" s="788">
        <v>41715</v>
      </c>
      <c r="H11180" s="787">
        <v>1</v>
      </c>
      <c r="J11180" s="788">
        <v>41688</v>
      </c>
      <c r="L11180" s="787">
        <v>48.85</v>
      </c>
      <c r="M11180" s="787">
        <v>20</v>
      </c>
      <c r="N11180" s="787">
        <v>52.51</v>
      </c>
      <c r="O11180" s="788">
        <v>41858</v>
      </c>
    </row>
    <row r="11181" spans="1:15" x14ac:dyDescent="0.25">
      <c r="A11181" s="786" t="s">
        <v>20035</v>
      </c>
      <c r="B11181" s="787">
        <v>4</v>
      </c>
      <c r="C11181" s="787" t="s">
        <v>20036</v>
      </c>
      <c r="D11181" s="787">
        <v>0</v>
      </c>
      <c r="E11181" s="787">
        <v>0</v>
      </c>
      <c r="H11181" s="787">
        <v>1</v>
      </c>
      <c r="K11181" s="788">
        <v>42052</v>
      </c>
      <c r="L11181" s="787">
        <v>0.01</v>
      </c>
      <c r="M11181" s="787">
        <v>10</v>
      </c>
      <c r="N11181" s="787">
        <v>0</v>
      </c>
      <c r="O11181" s="788">
        <v>42052</v>
      </c>
    </row>
    <row r="11182" spans="1:15" x14ac:dyDescent="0.25">
      <c r="A11182" s="786" t="s">
        <v>20037</v>
      </c>
      <c r="B11182" s="787">
        <v>4</v>
      </c>
      <c r="C11182" s="787" t="s">
        <v>20038</v>
      </c>
      <c r="D11182" s="787">
        <v>1.94</v>
      </c>
      <c r="E11182" s="787">
        <v>1.94</v>
      </c>
      <c r="F11182" s="788">
        <v>41180</v>
      </c>
      <c r="G11182" s="788">
        <v>41943</v>
      </c>
      <c r="H11182" s="787">
        <v>1</v>
      </c>
      <c r="J11182" s="788">
        <v>41137</v>
      </c>
      <c r="K11182" s="788">
        <v>41129</v>
      </c>
      <c r="L11182" s="787">
        <v>2.61</v>
      </c>
      <c r="M11182" s="787">
        <v>10</v>
      </c>
      <c r="N11182" s="787">
        <v>3.07</v>
      </c>
      <c r="O11182" s="788">
        <v>42052</v>
      </c>
    </row>
    <row r="11183" spans="1:15" x14ac:dyDescent="0.25">
      <c r="A11183" s="786" t="s">
        <v>20039</v>
      </c>
      <c r="B11183" s="787">
        <v>4</v>
      </c>
      <c r="C11183" s="787" t="s">
        <v>20040</v>
      </c>
      <c r="D11183" s="787">
        <v>3.5</v>
      </c>
      <c r="E11183" s="787">
        <v>33.5</v>
      </c>
      <c r="F11183" s="788">
        <v>41873</v>
      </c>
      <c r="G11183" s="788">
        <v>41871</v>
      </c>
      <c r="H11183" s="787">
        <v>1</v>
      </c>
      <c r="I11183" s="788">
        <v>41887</v>
      </c>
      <c r="J11183" s="788">
        <v>41871</v>
      </c>
      <c r="K11183" s="788">
        <v>41863</v>
      </c>
      <c r="L11183" s="787">
        <v>33.5</v>
      </c>
      <c r="M11183" s="787">
        <v>20</v>
      </c>
      <c r="N11183" s="787">
        <v>42.73</v>
      </c>
      <c r="O11183" s="788">
        <v>41858</v>
      </c>
    </row>
    <row r="11184" spans="1:15" x14ac:dyDescent="0.25">
      <c r="A11184" s="786" t="s">
        <v>20041</v>
      </c>
      <c r="B11184" s="787">
        <v>4</v>
      </c>
      <c r="C11184" s="787" t="s">
        <v>20042</v>
      </c>
      <c r="D11184" s="787">
        <v>2.4</v>
      </c>
      <c r="E11184" s="787">
        <v>55</v>
      </c>
      <c r="F11184" s="788">
        <v>39101</v>
      </c>
      <c r="G11184" s="788">
        <v>42013</v>
      </c>
      <c r="H11184" s="787">
        <v>1</v>
      </c>
      <c r="I11184" s="788">
        <v>42027</v>
      </c>
      <c r="J11184" s="788">
        <v>41691</v>
      </c>
      <c r="K11184" s="788">
        <v>40267</v>
      </c>
      <c r="L11184" s="787">
        <v>55</v>
      </c>
      <c r="M11184" s="787">
        <v>20</v>
      </c>
      <c r="N11184" s="787">
        <v>59.13</v>
      </c>
      <c r="O11184" s="788">
        <v>42146</v>
      </c>
    </row>
    <row r="11185" spans="1:15" x14ac:dyDescent="0.25">
      <c r="A11185" s="786" t="s">
        <v>20043</v>
      </c>
      <c r="B11185" s="787">
        <v>4</v>
      </c>
      <c r="C11185" s="787" t="s">
        <v>20044</v>
      </c>
      <c r="D11185" s="787">
        <v>0</v>
      </c>
      <c r="E11185" s="787">
        <v>40</v>
      </c>
      <c r="F11185" s="788">
        <v>40318</v>
      </c>
      <c r="G11185" s="788">
        <v>40281</v>
      </c>
      <c r="H11185" s="787">
        <v>1</v>
      </c>
      <c r="I11185" s="788">
        <v>40977</v>
      </c>
      <c r="J11185" s="788">
        <v>40281</v>
      </c>
      <c r="K11185" s="788">
        <v>40267</v>
      </c>
      <c r="L11185" s="787">
        <v>40</v>
      </c>
      <c r="M11185" s="787">
        <v>20</v>
      </c>
      <c r="N11185" s="787">
        <v>43</v>
      </c>
      <c r="O11185" s="788">
        <v>42162</v>
      </c>
    </row>
    <row r="11186" spans="1:15" x14ac:dyDescent="0.25">
      <c r="A11186" s="786" t="s">
        <v>20045</v>
      </c>
      <c r="B11186" s="787">
        <v>4</v>
      </c>
      <c r="C11186" s="787" t="s">
        <v>20046</v>
      </c>
      <c r="D11186" s="787">
        <v>4.6100000000000003</v>
      </c>
      <c r="E11186" s="787">
        <v>4.6100000000000003</v>
      </c>
      <c r="F11186" s="788">
        <v>39101</v>
      </c>
      <c r="G11186" s="788">
        <v>42013</v>
      </c>
      <c r="H11186" s="787">
        <v>1</v>
      </c>
      <c r="I11186" s="788">
        <v>41759</v>
      </c>
      <c r="J11186" s="788">
        <v>40423</v>
      </c>
      <c r="K11186" s="788">
        <v>41478</v>
      </c>
      <c r="L11186" s="789">
        <v>8069</v>
      </c>
      <c r="M11186" s="787">
        <v>10</v>
      </c>
      <c r="N11186" s="787">
        <v>38.15</v>
      </c>
      <c r="O11186" s="788">
        <v>42045</v>
      </c>
    </row>
    <row r="11187" spans="1:15" x14ac:dyDescent="0.25">
      <c r="A11187" s="786" t="s">
        <v>20047</v>
      </c>
      <c r="B11187" s="787">
        <v>4</v>
      </c>
      <c r="C11187" s="787" t="s">
        <v>20048</v>
      </c>
      <c r="D11187" s="787">
        <v>3.19</v>
      </c>
      <c r="E11187" s="787">
        <v>13.19</v>
      </c>
      <c r="F11187" s="788">
        <v>39456</v>
      </c>
      <c r="G11187" s="788">
        <v>39456</v>
      </c>
      <c r="H11187" s="787">
        <v>1</v>
      </c>
      <c r="I11187" s="788">
        <v>41132</v>
      </c>
      <c r="J11187" s="788">
        <v>39149</v>
      </c>
      <c r="K11187" s="788">
        <v>41478</v>
      </c>
      <c r="L11187" s="787">
        <v>10.68</v>
      </c>
      <c r="M11187" s="787">
        <v>10</v>
      </c>
      <c r="N11187" s="787">
        <v>46.02</v>
      </c>
      <c r="O11187" s="788">
        <v>41955</v>
      </c>
    </row>
    <row r="11188" spans="1:15" x14ac:dyDescent="0.25">
      <c r="A11188" s="786" t="s">
        <v>20049</v>
      </c>
      <c r="B11188" s="787">
        <v>4</v>
      </c>
      <c r="C11188" s="787" t="s">
        <v>20050</v>
      </c>
      <c r="D11188" s="787">
        <v>1.04</v>
      </c>
      <c r="E11188" s="787">
        <v>1.1000000000000001</v>
      </c>
      <c r="F11188" s="788">
        <v>39101</v>
      </c>
      <c r="G11188" s="788">
        <v>41943</v>
      </c>
      <c r="H11188" s="787">
        <v>1</v>
      </c>
      <c r="I11188" s="788">
        <v>40423</v>
      </c>
      <c r="J11188" s="788">
        <v>40414</v>
      </c>
      <c r="K11188" s="788">
        <v>42045</v>
      </c>
      <c r="L11188" s="787">
        <v>1.17</v>
      </c>
      <c r="M11188" s="787">
        <v>10</v>
      </c>
      <c r="N11188" s="787">
        <v>1.17</v>
      </c>
      <c r="O11188" s="788">
        <v>42045</v>
      </c>
    </row>
    <row r="11189" spans="1:15" x14ac:dyDescent="0.25">
      <c r="A11189" s="786" t="s">
        <v>20051</v>
      </c>
      <c r="B11189" s="787">
        <v>4</v>
      </c>
      <c r="C11189" s="787" t="s">
        <v>20052</v>
      </c>
      <c r="D11189" s="787">
        <v>3.09</v>
      </c>
      <c r="E11189" s="787">
        <v>23.09</v>
      </c>
      <c r="F11189" s="788">
        <v>41467</v>
      </c>
      <c r="G11189" s="788">
        <v>41943</v>
      </c>
      <c r="H11189" s="787">
        <v>1</v>
      </c>
      <c r="I11189" s="788">
        <v>42136</v>
      </c>
      <c r="J11189" s="788">
        <v>41428</v>
      </c>
      <c r="L11189" s="787">
        <v>1</v>
      </c>
      <c r="M11189" s="787">
        <v>10</v>
      </c>
      <c r="N11189" s="787">
        <v>31.46</v>
      </c>
      <c r="O11189" s="788">
        <v>42095</v>
      </c>
    </row>
    <row r="11190" spans="1:15" x14ac:dyDescent="0.25">
      <c r="A11190" s="786" t="s">
        <v>20053</v>
      </c>
      <c r="B11190" s="787">
        <v>4</v>
      </c>
      <c r="C11190" s="787" t="s">
        <v>20054</v>
      </c>
      <c r="D11190" s="787">
        <v>6.41</v>
      </c>
      <c r="E11190" s="787">
        <v>27.08</v>
      </c>
      <c r="F11190" s="788">
        <v>39456</v>
      </c>
      <c r="G11190" s="788">
        <v>42013</v>
      </c>
      <c r="H11190" s="787">
        <v>1</v>
      </c>
      <c r="I11190" s="788">
        <v>42115</v>
      </c>
      <c r="J11190" s="788">
        <v>41921</v>
      </c>
      <c r="K11190" s="788">
        <v>41894</v>
      </c>
      <c r="L11190" s="787">
        <v>24.38</v>
      </c>
      <c r="M11190" s="787">
        <v>10</v>
      </c>
      <c r="N11190" s="787">
        <v>32.9</v>
      </c>
      <c r="O11190" s="788">
        <v>42066</v>
      </c>
    </row>
    <row r="11191" spans="1:15" x14ac:dyDescent="0.25">
      <c r="A11191" s="786" t="s">
        <v>20055</v>
      </c>
      <c r="B11191" s="787">
        <v>4</v>
      </c>
      <c r="C11191" s="787" t="s">
        <v>20056</v>
      </c>
      <c r="D11191" s="787">
        <v>2.75</v>
      </c>
      <c r="E11191" s="787">
        <v>96.05</v>
      </c>
      <c r="F11191" s="788">
        <v>41180</v>
      </c>
      <c r="G11191" s="788">
        <v>42013</v>
      </c>
      <c r="H11191" s="787">
        <v>1</v>
      </c>
      <c r="I11191" s="788">
        <v>42090</v>
      </c>
      <c r="J11191" s="788">
        <v>41589</v>
      </c>
      <c r="K11191" s="788">
        <v>41570</v>
      </c>
      <c r="L11191" s="787">
        <v>82.1</v>
      </c>
      <c r="M11191" s="787">
        <v>10</v>
      </c>
      <c r="N11191" s="787">
        <v>68.88</v>
      </c>
      <c r="O11191" s="788">
        <v>41995</v>
      </c>
    </row>
    <row r="11192" spans="1:15" x14ac:dyDescent="0.25">
      <c r="A11192" s="786" t="s">
        <v>20057</v>
      </c>
      <c r="B11192" s="787">
        <v>4</v>
      </c>
      <c r="C11192" s="787" t="s">
        <v>20058</v>
      </c>
      <c r="D11192" s="787">
        <v>2.5299999999999998</v>
      </c>
      <c r="E11192" s="787">
        <v>112.53</v>
      </c>
      <c r="F11192" s="788">
        <v>42101</v>
      </c>
      <c r="G11192" s="788">
        <v>42101</v>
      </c>
      <c r="H11192" s="787">
        <v>1</v>
      </c>
      <c r="I11192" s="788">
        <v>42090</v>
      </c>
      <c r="J11192" s="788">
        <v>42073</v>
      </c>
      <c r="L11192" s="787">
        <v>150</v>
      </c>
      <c r="M11192" s="787">
        <v>10</v>
      </c>
      <c r="N11192" s="787">
        <v>106.96</v>
      </c>
      <c r="O11192" s="788">
        <v>41995</v>
      </c>
    </row>
    <row r="11193" spans="1:15" x14ac:dyDescent="0.25">
      <c r="A11193" s="786" t="s">
        <v>20059</v>
      </c>
      <c r="B11193" s="787">
        <v>4</v>
      </c>
      <c r="C11193" s="787" t="s">
        <v>20060</v>
      </c>
      <c r="D11193" s="787">
        <v>7.56</v>
      </c>
      <c r="E11193" s="787">
        <v>7.56</v>
      </c>
      <c r="F11193" s="788">
        <v>39456</v>
      </c>
      <c r="G11193" s="788">
        <v>41943</v>
      </c>
      <c r="H11193" s="787">
        <v>1</v>
      </c>
      <c r="I11193" s="788">
        <v>41759</v>
      </c>
      <c r="J11193" s="788">
        <v>40213</v>
      </c>
      <c r="L11193" s="787">
        <v>0</v>
      </c>
      <c r="M11193" s="787">
        <v>10</v>
      </c>
      <c r="N11193" s="787">
        <v>10.25</v>
      </c>
      <c r="O11193" s="788">
        <v>41858</v>
      </c>
    </row>
    <row r="11194" spans="1:15" x14ac:dyDescent="0.25">
      <c r="A11194" s="786" t="s">
        <v>20061</v>
      </c>
      <c r="B11194" s="787">
        <v>4</v>
      </c>
      <c r="C11194" s="787" t="s">
        <v>20062</v>
      </c>
      <c r="D11194" s="787">
        <v>0.99</v>
      </c>
      <c r="E11194" s="787">
        <v>0.99</v>
      </c>
      <c r="F11194" s="788">
        <v>38889</v>
      </c>
      <c r="G11194" s="788">
        <v>41943</v>
      </c>
      <c r="H11194" s="787">
        <v>1</v>
      </c>
      <c r="I11194" s="788">
        <v>40423</v>
      </c>
      <c r="J11194" s="788">
        <v>40423</v>
      </c>
      <c r="K11194" s="788">
        <v>42045</v>
      </c>
      <c r="L11194" s="787">
        <v>1.1299999999999999</v>
      </c>
      <c r="M11194" s="787">
        <v>10</v>
      </c>
      <c r="N11194" s="787">
        <v>1.1299999999999999</v>
      </c>
      <c r="O11194" s="788">
        <v>42045</v>
      </c>
    </row>
    <row r="11195" spans="1:15" x14ac:dyDescent="0.25">
      <c r="A11195" s="786" t="s">
        <v>20063</v>
      </c>
      <c r="B11195" s="787">
        <v>4</v>
      </c>
      <c r="C11195" s="787" t="s">
        <v>20064</v>
      </c>
      <c r="D11195" s="787">
        <v>4.6100000000000003</v>
      </c>
      <c r="E11195" s="787">
        <v>4.6100000000000003</v>
      </c>
      <c r="F11195" s="788">
        <v>39101</v>
      </c>
      <c r="G11195" s="788">
        <v>41943</v>
      </c>
      <c r="H11195" s="787">
        <v>1</v>
      </c>
      <c r="I11195" s="788">
        <v>39134</v>
      </c>
      <c r="J11195" s="788">
        <v>39149</v>
      </c>
      <c r="K11195" s="788">
        <v>41478</v>
      </c>
      <c r="L11195" s="787">
        <v>7.61</v>
      </c>
      <c r="M11195" s="787">
        <v>10</v>
      </c>
      <c r="N11195" s="787">
        <v>35.81</v>
      </c>
      <c r="O11195" s="788">
        <v>41858</v>
      </c>
    </row>
    <row r="11196" spans="1:15" x14ac:dyDescent="0.25">
      <c r="A11196" s="786" t="s">
        <v>20065</v>
      </c>
      <c r="B11196" s="787">
        <v>4</v>
      </c>
      <c r="C11196" s="787" t="s">
        <v>20066</v>
      </c>
      <c r="D11196" s="787">
        <v>1.22</v>
      </c>
      <c r="E11196" s="787">
        <v>1.22</v>
      </c>
      <c r="F11196" s="788">
        <v>39101</v>
      </c>
      <c r="G11196" s="788">
        <v>39101</v>
      </c>
      <c r="H11196" s="787">
        <v>1</v>
      </c>
      <c r="I11196" s="788">
        <v>39134</v>
      </c>
      <c r="J11196" s="788">
        <v>39149</v>
      </c>
      <c r="L11196" s="787">
        <v>0</v>
      </c>
      <c r="M11196" s="787">
        <v>10</v>
      </c>
      <c r="N11196" s="787">
        <v>1.3</v>
      </c>
      <c r="O11196" s="788">
        <v>41858</v>
      </c>
    </row>
    <row r="11197" spans="1:15" x14ac:dyDescent="0.25">
      <c r="A11197" s="786" t="s">
        <v>20067</v>
      </c>
      <c r="B11197" s="787">
        <v>4</v>
      </c>
      <c r="C11197" s="787" t="s">
        <v>20068</v>
      </c>
      <c r="D11197" s="787">
        <v>1.1299999999999999</v>
      </c>
      <c r="E11197" s="787">
        <v>1.1299999999999999</v>
      </c>
      <c r="F11197" s="788">
        <v>39101</v>
      </c>
      <c r="G11197" s="788">
        <v>39101</v>
      </c>
      <c r="H11197" s="787">
        <v>1</v>
      </c>
      <c r="I11197" s="788">
        <v>39134</v>
      </c>
      <c r="J11197" s="788">
        <v>39149</v>
      </c>
      <c r="L11197" s="787">
        <v>0</v>
      </c>
      <c r="M11197" s="787">
        <v>10</v>
      </c>
      <c r="N11197" s="787">
        <v>1.26</v>
      </c>
      <c r="O11197" s="788">
        <v>41858</v>
      </c>
    </row>
    <row r="11198" spans="1:15" x14ac:dyDescent="0.25">
      <c r="A11198" s="786" t="s">
        <v>20069</v>
      </c>
      <c r="B11198" s="787">
        <v>4</v>
      </c>
      <c r="C11198" s="787" t="s">
        <v>19888</v>
      </c>
      <c r="D11198" s="787">
        <v>0</v>
      </c>
      <c r="E11198" s="787">
        <v>0</v>
      </c>
      <c r="H11198" s="787">
        <v>1</v>
      </c>
      <c r="L11198" s="787">
        <v>0.01</v>
      </c>
      <c r="M11198" s="787">
        <v>10</v>
      </c>
      <c r="N11198" s="787">
        <v>0</v>
      </c>
    </row>
    <row r="11199" spans="1:15" x14ac:dyDescent="0.25">
      <c r="A11199" s="786" t="s">
        <v>20070</v>
      </c>
      <c r="B11199" s="787">
        <v>4</v>
      </c>
      <c r="C11199" s="787" t="s">
        <v>20071</v>
      </c>
      <c r="D11199" s="787">
        <v>1.4</v>
      </c>
      <c r="E11199" s="787">
        <v>1.4</v>
      </c>
      <c r="F11199" s="788">
        <v>39456</v>
      </c>
      <c r="G11199" s="788">
        <v>39456</v>
      </c>
      <c r="H11199" s="787">
        <v>1</v>
      </c>
      <c r="I11199" s="788">
        <v>39149</v>
      </c>
      <c r="J11199" s="788">
        <v>39209</v>
      </c>
      <c r="L11199" s="787">
        <v>0</v>
      </c>
      <c r="M11199" s="787">
        <v>10</v>
      </c>
      <c r="N11199" s="787">
        <v>1.1299999999999999</v>
      </c>
      <c r="O11199" s="788">
        <v>41955</v>
      </c>
    </row>
    <row r="11200" spans="1:15" x14ac:dyDescent="0.25">
      <c r="A11200" s="786" t="s">
        <v>20072</v>
      </c>
      <c r="B11200" s="787">
        <v>4</v>
      </c>
      <c r="C11200" s="787" t="s">
        <v>20073</v>
      </c>
      <c r="D11200" s="787">
        <v>1.32</v>
      </c>
      <c r="E11200" s="787">
        <v>1.32</v>
      </c>
      <c r="F11200" s="788">
        <v>39456</v>
      </c>
      <c r="G11200" s="788">
        <v>39456</v>
      </c>
      <c r="H11200" s="787">
        <v>1</v>
      </c>
      <c r="I11200" s="788">
        <v>39149</v>
      </c>
      <c r="J11200" s="788">
        <v>39209</v>
      </c>
      <c r="L11200" s="787">
        <v>0</v>
      </c>
      <c r="M11200" s="787">
        <v>10</v>
      </c>
      <c r="N11200" s="787">
        <v>1.0900000000000001</v>
      </c>
      <c r="O11200" s="788">
        <v>41955</v>
      </c>
    </row>
    <row r="11201" spans="1:15" x14ac:dyDescent="0.25">
      <c r="A11201" s="786" t="s">
        <v>20074</v>
      </c>
      <c r="B11201" s="787">
        <v>4</v>
      </c>
      <c r="C11201" s="787" t="s">
        <v>20075</v>
      </c>
      <c r="D11201" s="787">
        <v>2.5</v>
      </c>
      <c r="E11201" s="787">
        <v>52.5</v>
      </c>
      <c r="F11201" s="788">
        <v>41218</v>
      </c>
      <c r="G11201" s="788">
        <v>41565</v>
      </c>
      <c r="H11201" s="787">
        <v>1</v>
      </c>
      <c r="I11201" s="788">
        <v>42030</v>
      </c>
      <c r="J11201" s="788">
        <v>41193</v>
      </c>
      <c r="K11201" s="788">
        <v>42052</v>
      </c>
      <c r="L11201" s="787">
        <v>35.58</v>
      </c>
      <c r="M11201" s="787">
        <v>10</v>
      </c>
      <c r="N11201" s="787">
        <v>35.61</v>
      </c>
      <c r="O11201" s="788">
        <v>42124</v>
      </c>
    </row>
    <row r="11202" spans="1:15" x14ac:dyDescent="0.25">
      <c r="A11202" s="786" t="s">
        <v>20076</v>
      </c>
      <c r="B11202" s="787">
        <v>4</v>
      </c>
      <c r="C11202" s="787" t="s">
        <v>20077</v>
      </c>
      <c r="D11202" s="787">
        <v>8.8800000000000008</v>
      </c>
      <c r="E11202" s="787">
        <v>39.72</v>
      </c>
      <c r="F11202" s="788">
        <v>41134</v>
      </c>
      <c r="G11202" s="788">
        <v>41943</v>
      </c>
      <c r="H11202" s="787">
        <v>1</v>
      </c>
      <c r="I11202" s="788">
        <v>42027</v>
      </c>
      <c r="J11202" s="788">
        <v>41157</v>
      </c>
      <c r="L11202" s="787">
        <v>12.85</v>
      </c>
      <c r="M11202" s="787">
        <v>10</v>
      </c>
      <c r="N11202" s="787">
        <v>14.19</v>
      </c>
      <c r="O11202" s="788">
        <v>42146</v>
      </c>
    </row>
    <row r="11203" spans="1:15" x14ac:dyDescent="0.25">
      <c r="A11203" s="786" t="s">
        <v>20078</v>
      </c>
      <c r="B11203" s="787">
        <v>4</v>
      </c>
      <c r="C11203" s="787" t="s">
        <v>20079</v>
      </c>
      <c r="D11203" s="787">
        <v>0.15</v>
      </c>
      <c r="E11203" s="787">
        <v>29.29</v>
      </c>
      <c r="F11203" s="788">
        <v>41134</v>
      </c>
      <c r="G11203" s="788">
        <v>41943</v>
      </c>
      <c r="H11203" s="787">
        <v>1</v>
      </c>
      <c r="I11203" s="788">
        <v>42027</v>
      </c>
      <c r="J11203" s="788">
        <v>41873</v>
      </c>
      <c r="L11203" s="787">
        <v>14.19</v>
      </c>
      <c r="M11203" s="787">
        <v>10</v>
      </c>
      <c r="N11203" s="787">
        <v>15.35</v>
      </c>
      <c r="O11203" s="788">
        <v>42146</v>
      </c>
    </row>
    <row r="11204" spans="1:15" x14ac:dyDescent="0.25">
      <c r="A11204" s="786" t="s">
        <v>20080</v>
      </c>
      <c r="B11204" s="787">
        <v>4</v>
      </c>
      <c r="C11204" s="787" t="s">
        <v>20081</v>
      </c>
      <c r="D11204" s="787">
        <v>2.71</v>
      </c>
      <c r="E11204" s="787">
        <v>16.07</v>
      </c>
      <c r="F11204" s="788">
        <v>39975</v>
      </c>
      <c r="G11204" s="788">
        <v>41817</v>
      </c>
      <c r="H11204" s="787">
        <v>1</v>
      </c>
      <c r="I11204" s="788">
        <v>42027</v>
      </c>
      <c r="J11204" s="788">
        <v>41873</v>
      </c>
      <c r="L11204" s="787">
        <v>4.21</v>
      </c>
      <c r="M11204" s="787">
        <v>10</v>
      </c>
      <c r="N11204" s="787">
        <v>4.75</v>
      </c>
      <c r="O11204" s="788">
        <v>42146</v>
      </c>
    </row>
    <row r="11205" spans="1:15" x14ac:dyDescent="0.25">
      <c r="A11205" s="786" t="s">
        <v>20082</v>
      </c>
      <c r="B11205" s="787">
        <v>4</v>
      </c>
      <c r="C11205" s="787" t="s">
        <v>20083</v>
      </c>
      <c r="D11205" s="787">
        <v>1.37</v>
      </c>
      <c r="E11205" s="787">
        <v>4.7699999999999996</v>
      </c>
      <c r="F11205" s="788">
        <v>39975</v>
      </c>
      <c r="G11205" s="788">
        <v>41565</v>
      </c>
      <c r="H11205" s="787">
        <v>1</v>
      </c>
      <c r="I11205" s="788">
        <v>42027</v>
      </c>
      <c r="J11205" s="788">
        <v>40743</v>
      </c>
      <c r="L11205" s="787">
        <v>3.17</v>
      </c>
      <c r="M11205" s="787">
        <v>10</v>
      </c>
      <c r="N11205" s="787">
        <v>4.2300000000000004</v>
      </c>
      <c r="O11205" s="788">
        <v>42146</v>
      </c>
    </row>
    <row r="11206" spans="1:15" x14ac:dyDescent="0.25">
      <c r="A11206" s="786" t="s">
        <v>20084</v>
      </c>
      <c r="B11206" s="787">
        <v>4</v>
      </c>
      <c r="C11206" s="787" t="s">
        <v>20085</v>
      </c>
      <c r="D11206" s="787">
        <v>1.08</v>
      </c>
      <c r="E11206" s="787">
        <v>1.18</v>
      </c>
      <c r="F11206" s="788">
        <v>39101</v>
      </c>
      <c r="G11206" s="788">
        <v>41943</v>
      </c>
      <c r="H11206" s="787">
        <v>1</v>
      </c>
      <c r="I11206" s="788">
        <v>42027</v>
      </c>
      <c r="J11206" s="788">
        <v>40339</v>
      </c>
      <c r="L11206" s="787">
        <v>0.67</v>
      </c>
      <c r="M11206" s="787">
        <v>10</v>
      </c>
      <c r="N11206" s="787">
        <v>1.1399999999999999</v>
      </c>
      <c r="O11206" s="788">
        <v>42146</v>
      </c>
    </row>
    <row r="11207" spans="1:15" x14ac:dyDescent="0.25">
      <c r="A11207" s="786" t="s">
        <v>20086</v>
      </c>
      <c r="B11207" s="787">
        <v>4</v>
      </c>
      <c r="C11207" s="787" t="s">
        <v>20087</v>
      </c>
      <c r="D11207" s="787">
        <v>4.9800000000000004</v>
      </c>
      <c r="E11207" s="787">
        <v>54.98</v>
      </c>
      <c r="F11207" s="788">
        <v>41218</v>
      </c>
      <c r="G11207" s="788">
        <v>41943</v>
      </c>
      <c r="H11207" s="787">
        <v>1</v>
      </c>
      <c r="J11207" s="788">
        <v>41193</v>
      </c>
      <c r="K11207" s="788">
        <v>42052</v>
      </c>
      <c r="L11207" s="787">
        <v>39.93</v>
      </c>
      <c r="M11207" s="787">
        <v>10</v>
      </c>
      <c r="N11207" s="787">
        <v>39.96</v>
      </c>
      <c r="O11207" s="788">
        <v>42053</v>
      </c>
    </row>
    <row r="11208" spans="1:15" x14ac:dyDescent="0.25">
      <c r="A11208" s="786" t="s">
        <v>20088</v>
      </c>
      <c r="B11208" s="787">
        <v>4</v>
      </c>
      <c r="C11208" s="787" t="s">
        <v>20089</v>
      </c>
      <c r="D11208" s="787">
        <v>0</v>
      </c>
      <c r="E11208" s="787">
        <v>0</v>
      </c>
      <c r="H11208" s="787">
        <v>1</v>
      </c>
      <c r="K11208" s="788">
        <v>42052</v>
      </c>
      <c r="L11208" s="787">
        <v>42.67</v>
      </c>
      <c r="M11208" s="787">
        <v>10</v>
      </c>
      <c r="N11208" s="787">
        <v>42.8</v>
      </c>
      <c r="O11208" s="788">
        <v>42053</v>
      </c>
    </row>
    <row r="11209" spans="1:15" x14ac:dyDescent="0.25">
      <c r="A11209" s="786" t="s">
        <v>20090</v>
      </c>
      <c r="B11209" s="787">
        <v>4</v>
      </c>
      <c r="C11209" s="787" t="s">
        <v>20091</v>
      </c>
      <c r="D11209" s="787">
        <v>4.08</v>
      </c>
      <c r="E11209" s="787">
        <v>64.08</v>
      </c>
      <c r="F11209" s="788">
        <v>41996</v>
      </c>
      <c r="G11209" s="788">
        <v>42013</v>
      </c>
      <c r="H11209" s="787">
        <v>1</v>
      </c>
      <c r="J11209" s="788">
        <v>41969</v>
      </c>
      <c r="K11209" s="788">
        <v>42052</v>
      </c>
      <c r="L11209" s="787">
        <v>57.93</v>
      </c>
      <c r="M11209" s="787">
        <v>10</v>
      </c>
      <c r="N11209" s="787">
        <v>58.06</v>
      </c>
      <c r="O11209" s="788">
        <v>42053</v>
      </c>
    </row>
    <row r="11210" spans="1:15" x14ac:dyDescent="0.25">
      <c r="A11210" s="786" t="s">
        <v>20092</v>
      </c>
      <c r="B11210" s="787">
        <v>4</v>
      </c>
      <c r="C11210" s="787" t="s">
        <v>20093</v>
      </c>
      <c r="D11210" s="787">
        <v>9.77</v>
      </c>
      <c r="E11210" s="787">
        <v>23.01</v>
      </c>
      <c r="F11210" s="788">
        <v>39101</v>
      </c>
      <c r="G11210" s="788">
        <v>41996</v>
      </c>
      <c r="H11210" s="787">
        <v>1</v>
      </c>
      <c r="I11210" s="788">
        <v>41981</v>
      </c>
      <c r="J11210" s="788">
        <v>41965</v>
      </c>
      <c r="L11210" s="787">
        <v>8.6</v>
      </c>
      <c r="M11210" s="787">
        <v>10</v>
      </c>
      <c r="N11210" s="787">
        <v>12</v>
      </c>
      <c r="O11210" s="788">
        <v>42162</v>
      </c>
    </row>
    <row r="11211" spans="1:15" x14ac:dyDescent="0.25">
      <c r="A11211" s="786" t="s">
        <v>20094</v>
      </c>
      <c r="B11211" s="787">
        <v>4</v>
      </c>
      <c r="C11211" s="787" t="s">
        <v>20095</v>
      </c>
      <c r="D11211" s="787">
        <v>5.38</v>
      </c>
      <c r="E11211" s="787">
        <v>79.459999999999994</v>
      </c>
      <c r="F11211" s="788">
        <v>39101</v>
      </c>
      <c r="G11211" s="788">
        <v>41996</v>
      </c>
      <c r="H11211" s="787">
        <v>1</v>
      </c>
      <c r="I11211" s="788">
        <v>41981</v>
      </c>
      <c r="J11211" s="788">
        <v>41965</v>
      </c>
      <c r="L11211" s="787">
        <v>14.21</v>
      </c>
      <c r="M11211" s="787">
        <v>10</v>
      </c>
      <c r="N11211" s="787">
        <v>17.100000000000001</v>
      </c>
      <c r="O11211" s="788">
        <v>42162</v>
      </c>
    </row>
    <row r="11212" spans="1:15" x14ac:dyDescent="0.25">
      <c r="A11212" s="786" t="s">
        <v>20096</v>
      </c>
      <c r="B11212" s="787">
        <v>4</v>
      </c>
      <c r="C11212" s="787" t="s">
        <v>20097</v>
      </c>
      <c r="D11212" s="787">
        <v>6.54</v>
      </c>
      <c r="E11212" s="787">
        <v>24.29</v>
      </c>
      <c r="F11212" s="788">
        <v>39101</v>
      </c>
      <c r="G11212" s="788">
        <v>41996</v>
      </c>
      <c r="H11212" s="787">
        <v>1</v>
      </c>
      <c r="I11212" s="788">
        <v>41981</v>
      </c>
      <c r="J11212" s="788">
        <v>41981</v>
      </c>
      <c r="L11212" s="787">
        <v>5.37</v>
      </c>
      <c r="M11212" s="787">
        <v>10</v>
      </c>
      <c r="N11212" s="787">
        <v>7.48</v>
      </c>
      <c r="O11212" s="788">
        <v>42162</v>
      </c>
    </row>
    <row r="11213" spans="1:15" x14ac:dyDescent="0.25">
      <c r="A11213" s="786" t="s">
        <v>20098</v>
      </c>
      <c r="B11213" s="787">
        <v>4</v>
      </c>
      <c r="C11213" s="787" t="s">
        <v>20099</v>
      </c>
      <c r="D11213" s="787">
        <v>0.82</v>
      </c>
      <c r="E11213" s="787">
        <v>0.82</v>
      </c>
      <c r="F11213" s="788">
        <v>41134</v>
      </c>
      <c r="G11213" s="788">
        <v>41943</v>
      </c>
      <c r="H11213" s="787">
        <v>1</v>
      </c>
      <c r="I11213" s="788">
        <v>40977</v>
      </c>
      <c r="J11213" s="788">
        <v>40998</v>
      </c>
      <c r="K11213" s="788">
        <v>42052</v>
      </c>
      <c r="L11213" s="787">
        <v>3.44</v>
      </c>
      <c r="M11213" s="787">
        <v>10</v>
      </c>
      <c r="N11213" s="787">
        <v>3.44</v>
      </c>
      <c r="O11213" s="788">
        <v>42162</v>
      </c>
    </row>
    <row r="11214" spans="1:15" x14ac:dyDescent="0.25">
      <c r="A11214" s="786" t="s">
        <v>20100</v>
      </c>
      <c r="B11214" s="787">
        <v>4</v>
      </c>
      <c r="C11214" s="787" t="s">
        <v>20101</v>
      </c>
      <c r="D11214" s="787">
        <v>1.28</v>
      </c>
      <c r="E11214" s="787">
        <v>1.28</v>
      </c>
      <c r="F11214" s="788">
        <v>39975</v>
      </c>
      <c r="G11214" s="788">
        <v>41943</v>
      </c>
      <c r="H11214" s="787">
        <v>1</v>
      </c>
      <c r="I11214" s="788">
        <v>40977</v>
      </c>
      <c r="J11214" s="788">
        <v>39149</v>
      </c>
      <c r="L11214" s="787">
        <v>5.63</v>
      </c>
      <c r="M11214" s="787">
        <v>10</v>
      </c>
      <c r="N11214" s="787">
        <v>9.15</v>
      </c>
      <c r="O11214" s="788">
        <v>42162</v>
      </c>
    </row>
    <row r="11215" spans="1:15" x14ac:dyDescent="0.25">
      <c r="A11215" s="786" t="s">
        <v>20102</v>
      </c>
      <c r="B11215" s="787">
        <v>4</v>
      </c>
      <c r="C11215" s="787" t="s">
        <v>20103</v>
      </c>
      <c r="D11215" s="787">
        <v>9.4499999999999993</v>
      </c>
      <c r="E11215" s="787">
        <v>40.380000000000003</v>
      </c>
      <c r="F11215" s="788">
        <v>39975</v>
      </c>
      <c r="G11215" s="788">
        <v>41943</v>
      </c>
      <c r="H11215" s="787">
        <v>1</v>
      </c>
      <c r="I11215" s="788">
        <v>41621</v>
      </c>
      <c r="J11215" s="788">
        <v>41598</v>
      </c>
      <c r="L11215" s="787">
        <v>12.61</v>
      </c>
      <c r="M11215" s="787">
        <v>10</v>
      </c>
      <c r="N11215" s="787">
        <v>17.39</v>
      </c>
      <c r="O11215" s="788">
        <v>42146</v>
      </c>
    </row>
    <row r="11216" spans="1:15" x14ac:dyDescent="0.25">
      <c r="A11216" s="786" t="s">
        <v>20104</v>
      </c>
      <c r="B11216" s="787">
        <v>4</v>
      </c>
      <c r="C11216" s="787" t="s">
        <v>18854</v>
      </c>
      <c r="D11216" s="787">
        <v>1.39</v>
      </c>
      <c r="E11216" s="787">
        <v>4.8600000000000003</v>
      </c>
      <c r="F11216" s="788">
        <v>39456</v>
      </c>
      <c r="G11216" s="788">
        <v>42013</v>
      </c>
      <c r="H11216" s="787">
        <v>1</v>
      </c>
      <c r="I11216" s="788">
        <v>41621</v>
      </c>
      <c r="J11216" s="788">
        <v>40743</v>
      </c>
      <c r="L11216" s="787">
        <v>3.17</v>
      </c>
      <c r="M11216" s="787">
        <v>10</v>
      </c>
      <c r="N11216" s="787">
        <v>4.2300000000000004</v>
      </c>
      <c r="O11216" s="788">
        <v>42146</v>
      </c>
    </row>
    <row r="11217" spans="1:15" x14ac:dyDescent="0.25">
      <c r="A11217" s="786" t="s">
        <v>20105</v>
      </c>
      <c r="B11217" s="787">
        <v>4</v>
      </c>
      <c r="C11217" s="787" t="s">
        <v>20106</v>
      </c>
      <c r="D11217" s="787">
        <v>2.2200000000000002</v>
      </c>
      <c r="E11217" s="787">
        <v>16.600000000000001</v>
      </c>
      <c r="F11217" s="788">
        <v>39101</v>
      </c>
      <c r="G11217" s="788">
        <v>41134</v>
      </c>
      <c r="H11217" s="787">
        <v>1</v>
      </c>
      <c r="I11217" s="788">
        <v>39134</v>
      </c>
      <c r="J11217" s="788">
        <v>40998</v>
      </c>
      <c r="L11217" s="787">
        <v>8.6</v>
      </c>
      <c r="M11217" s="787">
        <v>10</v>
      </c>
      <c r="N11217" s="787">
        <v>13.18</v>
      </c>
      <c r="O11217" s="788">
        <v>42162</v>
      </c>
    </row>
    <row r="11218" spans="1:15" x14ac:dyDescent="0.25">
      <c r="A11218" s="786" t="s">
        <v>20107</v>
      </c>
      <c r="B11218" s="787">
        <v>4</v>
      </c>
      <c r="C11218" s="787" t="s">
        <v>20108</v>
      </c>
      <c r="D11218" s="787">
        <v>5.38</v>
      </c>
      <c r="E11218" s="787">
        <v>22.97</v>
      </c>
      <c r="F11218" s="788">
        <v>39101</v>
      </c>
      <c r="G11218" s="788">
        <v>41134</v>
      </c>
      <c r="H11218" s="787">
        <v>1</v>
      </c>
      <c r="I11218" s="788">
        <v>39134</v>
      </c>
      <c r="J11218" s="788">
        <v>40998</v>
      </c>
      <c r="L11218" s="787">
        <v>14.21</v>
      </c>
      <c r="M11218" s="787">
        <v>10</v>
      </c>
      <c r="N11218" s="787">
        <v>19.46</v>
      </c>
      <c r="O11218" s="788">
        <v>42162</v>
      </c>
    </row>
    <row r="11219" spans="1:15" x14ac:dyDescent="0.25">
      <c r="A11219" s="786" t="s">
        <v>20109</v>
      </c>
      <c r="B11219" s="787">
        <v>4</v>
      </c>
      <c r="C11219" s="787" t="s">
        <v>20110</v>
      </c>
      <c r="D11219" s="787">
        <v>6.54</v>
      </c>
      <c r="E11219" s="787">
        <v>29.81</v>
      </c>
      <c r="F11219" s="788">
        <v>39101</v>
      </c>
      <c r="G11219" s="788">
        <v>41134</v>
      </c>
      <c r="H11219" s="787">
        <v>1</v>
      </c>
      <c r="I11219" s="788">
        <v>39134</v>
      </c>
      <c r="J11219" s="788">
        <v>40998</v>
      </c>
      <c r="L11219" s="787">
        <v>5.37</v>
      </c>
      <c r="M11219" s="787">
        <v>10</v>
      </c>
      <c r="N11219" s="787">
        <v>7.98</v>
      </c>
      <c r="O11219" s="788">
        <v>42162</v>
      </c>
    </row>
    <row r="11220" spans="1:15" x14ac:dyDescent="0.25">
      <c r="A11220" s="786" t="s">
        <v>20111</v>
      </c>
      <c r="B11220" s="787">
        <v>4</v>
      </c>
      <c r="C11220" s="787" t="s">
        <v>20112</v>
      </c>
      <c r="D11220" s="787">
        <v>0.94</v>
      </c>
      <c r="E11220" s="787">
        <v>0.94</v>
      </c>
      <c r="F11220" s="788">
        <v>41134</v>
      </c>
      <c r="G11220" s="788">
        <v>41943</v>
      </c>
      <c r="H11220" s="787">
        <v>1</v>
      </c>
      <c r="I11220" s="788">
        <v>39183</v>
      </c>
      <c r="J11220" s="788">
        <v>40998</v>
      </c>
      <c r="K11220" s="788">
        <v>42052</v>
      </c>
      <c r="L11220" s="787">
        <v>3.44</v>
      </c>
      <c r="M11220" s="787">
        <v>10</v>
      </c>
      <c r="N11220" s="787">
        <v>3.44</v>
      </c>
      <c r="O11220" s="788">
        <v>42162</v>
      </c>
    </row>
    <row r="11221" spans="1:15" x14ac:dyDescent="0.25">
      <c r="A11221" s="786" t="s">
        <v>20113</v>
      </c>
      <c r="B11221" s="787">
        <v>4</v>
      </c>
      <c r="C11221" s="787" t="s">
        <v>20114</v>
      </c>
      <c r="D11221" s="787">
        <v>1.91</v>
      </c>
      <c r="E11221" s="787">
        <v>1.92</v>
      </c>
      <c r="F11221" s="788">
        <v>39456</v>
      </c>
      <c r="G11221" s="788">
        <v>41943</v>
      </c>
      <c r="H11221" s="787">
        <v>1</v>
      </c>
      <c r="I11221" s="788">
        <v>41981</v>
      </c>
      <c r="J11221" s="788">
        <v>39112</v>
      </c>
      <c r="L11221" s="787">
        <v>0.79</v>
      </c>
      <c r="M11221" s="787">
        <v>10</v>
      </c>
      <c r="N11221" s="787">
        <v>9.7100000000000009</v>
      </c>
      <c r="O11221" s="788">
        <v>42162</v>
      </c>
    </row>
    <row r="11222" spans="1:15" x14ac:dyDescent="0.25">
      <c r="A11222" s="786" t="s">
        <v>20115</v>
      </c>
      <c r="B11222" s="787">
        <v>4</v>
      </c>
      <c r="C11222" s="787" t="s">
        <v>20116</v>
      </c>
      <c r="D11222" s="787">
        <v>2.04</v>
      </c>
      <c r="E11222" s="787">
        <v>2.04</v>
      </c>
      <c r="F11222" s="788">
        <v>39975</v>
      </c>
      <c r="G11222" s="788">
        <v>41943</v>
      </c>
      <c r="H11222" s="787">
        <v>1</v>
      </c>
      <c r="I11222" s="788">
        <v>39134</v>
      </c>
      <c r="J11222" s="788">
        <v>39149</v>
      </c>
      <c r="L11222" s="787">
        <v>0.67</v>
      </c>
      <c r="M11222" s="787">
        <v>10</v>
      </c>
      <c r="N11222" s="787">
        <v>1.79</v>
      </c>
      <c r="O11222" s="788">
        <v>41858</v>
      </c>
    </row>
    <row r="11223" spans="1:15" x14ac:dyDescent="0.25">
      <c r="A11223" s="786" t="s">
        <v>20117</v>
      </c>
      <c r="B11223" s="787">
        <v>4</v>
      </c>
      <c r="C11223" s="787" t="s">
        <v>20009</v>
      </c>
      <c r="D11223" s="787">
        <v>5.61</v>
      </c>
      <c r="E11223" s="787">
        <v>5.81</v>
      </c>
      <c r="F11223" s="788">
        <v>39101</v>
      </c>
      <c r="G11223" s="788">
        <v>39101</v>
      </c>
      <c r="H11223" s="787">
        <v>1</v>
      </c>
      <c r="I11223" s="788">
        <v>39134</v>
      </c>
      <c r="J11223" s="788">
        <v>39149</v>
      </c>
      <c r="L11223" s="787">
        <v>6.51</v>
      </c>
      <c r="M11223" s="787">
        <v>10</v>
      </c>
      <c r="N11223" s="787">
        <v>8.0299999999999994</v>
      </c>
      <c r="O11223" s="788">
        <v>41955</v>
      </c>
    </row>
    <row r="11224" spans="1:15" x14ac:dyDescent="0.25">
      <c r="A11224" s="786" t="s">
        <v>20118</v>
      </c>
      <c r="B11224" s="787">
        <v>4</v>
      </c>
      <c r="C11224" s="787" t="s">
        <v>20119</v>
      </c>
      <c r="D11224" s="787">
        <v>7.3</v>
      </c>
      <c r="E11224" s="787">
        <v>694.99</v>
      </c>
      <c r="F11224" s="788">
        <v>39456</v>
      </c>
      <c r="G11224" s="788">
        <v>40266</v>
      </c>
      <c r="H11224" s="787">
        <v>1</v>
      </c>
      <c r="I11224" s="788">
        <v>40282</v>
      </c>
      <c r="J11224" s="788">
        <v>40577</v>
      </c>
      <c r="K11224" s="788">
        <v>41026</v>
      </c>
      <c r="L11224" s="787">
        <v>710.49</v>
      </c>
      <c r="M11224" s="787">
        <v>10</v>
      </c>
      <c r="N11224" s="787">
        <v>636.92999999999995</v>
      </c>
      <c r="O11224" s="788">
        <v>42146</v>
      </c>
    </row>
    <row r="11225" spans="1:15" x14ac:dyDescent="0.25">
      <c r="A11225" s="786" t="s">
        <v>20120</v>
      </c>
      <c r="B11225" s="787">
        <v>4</v>
      </c>
      <c r="C11225" s="787" t="s">
        <v>20121</v>
      </c>
      <c r="D11225" s="787">
        <v>7.75</v>
      </c>
      <c r="E11225" s="787">
        <v>537.75</v>
      </c>
      <c r="F11225" s="788">
        <v>39456</v>
      </c>
      <c r="H11225" s="787">
        <v>1</v>
      </c>
      <c r="I11225" s="788">
        <v>40584</v>
      </c>
      <c r="J11225" s="788">
        <v>40493</v>
      </c>
      <c r="K11225" s="788">
        <v>41026</v>
      </c>
      <c r="L11225" s="787">
        <v>709.56</v>
      </c>
      <c r="M11225" s="787">
        <v>10</v>
      </c>
      <c r="N11225" s="787">
        <v>633.64</v>
      </c>
      <c r="O11225" s="788">
        <v>42146</v>
      </c>
    </row>
    <row r="11226" spans="1:15" x14ac:dyDescent="0.25">
      <c r="A11226" s="786" t="s">
        <v>20122</v>
      </c>
      <c r="B11226" s="787">
        <v>4</v>
      </c>
      <c r="C11226" s="787" t="s">
        <v>20123</v>
      </c>
      <c r="D11226" s="787">
        <v>9.74</v>
      </c>
      <c r="E11226" s="787">
        <v>662.66</v>
      </c>
      <c r="F11226" s="788">
        <v>39456</v>
      </c>
      <c r="G11226" s="788">
        <v>40308</v>
      </c>
      <c r="H11226" s="787">
        <v>1</v>
      </c>
      <c r="I11226" s="788">
        <v>40665</v>
      </c>
      <c r="J11226" s="788">
        <v>40654</v>
      </c>
      <c r="K11226" s="788">
        <v>41184</v>
      </c>
      <c r="L11226" s="787">
        <v>365.78</v>
      </c>
      <c r="M11226" s="787">
        <v>10</v>
      </c>
      <c r="N11226" s="787">
        <v>387.2</v>
      </c>
      <c r="O11226" s="788">
        <v>42146</v>
      </c>
    </row>
    <row r="11227" spans="1:15" x14ac:dyDescent="0.25">
      <c r="A11227" s="786" t="s">
        <v>20124</v>
      </c>
      <c r="B11227" s="787">
        <v>4</v>
      </c>
      <c r="C11227" s="787" t="s">
        <v>20125</v>
      </c>
      <c r="D11227" s="787">
        <v>9.81</v>
      </c>
      <c r="E11227" s="787">
        <v>789.81</v>
      </c>
      <c r="F11227" s="788">
        <v>40644</v>
      </c>
      <c r="G11227" s="788">
        <v>40308</v>
      </c>
      <c r="H11227" s="787">
        <v>1</v>
      </c>
      <c r="I11227" s="788">
        <v>40578</v>
      </c>
      <c r="J11227" s="788">
        <v>40570</v>
      </c>
      <c r="K11227" s="788">
        <v>41026</v>
      </c>
      <c r="L11227" s="787">
        <v>641.25</v>
      </c>
      <c r="M11227" s="787">
        <v>10</v>
      </c>
      <c r="N11227" s="787">
        <v>382.85</v>
      </c>
      <c r="O11227" s="788">
        <v>42146</v>
      </c>
    </row>
    <row r="11228" spans="1:15" x14ac:dyDescent="0.25">
      <c r="A11228" s="786" t="s">
        <v>20126</v>
      </c>
      <c r="B11228" s="787">
        <v>4</v>
      </c>
      <c r="C11228" s="787" t="s">
        <v>20127</v>
      </c>
      <c r="D11228" s="787">
        <v>0</v>
      </c>
      <c r="E11228" s="787">
        <v>0</v>
      </c>
      <c r="H11228" s="787">
        <v>1</v>
      </c>
      <c r="I11228" s="788">
        <v>40935</v>
      </c>
      <c r="J11228" s="788">
        <v>40535</v>
      </c>
      <c r="K11228" s="788">
        <v>41026</v>
      </c>
      <c r="L11228" s="787">
        <v>623.9</v>
      </c>
      <c r="M11228" s="787">
        <v>10</v>
      </c>
      <c r="N11228" s="787">
        <v>558.02</v>
      </c>
      <c r="O11228" s="788">
        <v>42146</v>
      </c>
    </row>
    <row r="11229" spans="1:15" x14ac:dyDescent="0.25">
      <c r="A11229" s="786" t="s">
        <v>20128</v>
      </c>
      <c r="B11229" s="787">
        <v>4</v>
      </c>
      <c r="C11229" s="787" t="s">
        <v>20129</v>
      </c>
      <c r="D11229" s="787">
        <v>0</v>
      </c>
      <c r="E11229" s="787">
        <v>0</v>
      </c>
      <c r="G11229" s="788">
        <v>40025</v>
      </c>
      <c r="H11229" s="787">
        <v>1</v>
      </c>
      <c r="I11229" s="788">
        <v>40935</v>
      </c>
      <c r="J11229" s="788">
        <v>40535</v>
      </c>
      <c r="K11229" s="788">
        <v>41026</v>
      </c>
      <c r="L11229" s="787">
        <v>631.13</v>
      </c>
      <c r="M11229" s="787">
        <v>10</v>
      </c>
      <c r="N11229" s="787">
        <v>573.01</v>
      </c>
      <c r="O11229" s="788">
        <v>42146</v>
      </c>
    </row>
    <row r="11230" spans="1:15" x14ac:dyDescent="0.25">
      <c r="A11230" s="786" t="s">
        <v>20130</v>
      </c>
      <c r="B11230" s="787">
        <v>4</v>
      </c>
      <c r="C11230" s="787" t="s">
        <v>20131</v>
      </c>
      <c r="D11230" s="787">
        <v>0</v>
      </c>
      <c r="E11230" s="787">
        <v>0</v>
      </c>
      <c r="G11230" s="788">
        <v>39997</v>
      </c>
      <c r="H11230" s="787">
        <v>1</v>
      </c>
      <c r="I11230" s="788">
        <v>40479</v>
      </c>
      <c r="J11230" s="788">
        <v>40470</v>
      </c>
      <c r="K11230" s="788">
        <v>41026</v>
      </c>
      <c r="L11230" s="787">
        <v>564.51</v>
      </c>
      <c r="M11230" s="787">
        <v>10</v>
      </c>
      <c r="N11230" s="787">
        <v>312.61</v>
      </c>
      <c r="O11230" s="788">
        <v>42146</v>
      </c>
    </row>
    <row r="11231" spans="1:15" x14ac:dyDescent="0.25">
      <c r="A11231" s="786" t="s">
        <v>20132</v>
      </c>
      <c r="B11231" s="787">
        <v>4</v>
      </c>
      <c r="C11231" s="787" t="s">
        <v>20133</v>
      </c>
      <c r="D11231" s="787">
        <v>9.0399999999999991</v>
      </c>
      <c r="E11231" s="787">
        <v>539.04</v>
      </c>
      <c r="F11231" s="788">
        <v>40644</v>
      </c>
      <c r="G11231" s="788">
        <v>40644</v>
      </c>
      <c r="H11231" s="787">
        <v>1</v>
      </c>
      <c r="I11231" s="788">
        <v>40581</v>
      </c>
      <c r="J11231" s="788">
        <v>40577</v>
      </c>
      <c r="K11231" s="788">
        <v>41026</v>
      </c>
      <c r="L11231" s="787">
        <v>560.76</v>
      </c>
      <c r="M11231" s="787">
        <v>10</v>
      </c>
      <c r="N11231" s="787">
        <v>308.05</v>
      </c>
      <c r="O11231" s="788">
        <v>42146</v>
      </c>
    </row>
    <row r="11232" spans="1:15" x14ac:dyDescent="0.25">
      <c r="A11232" s="786" t="s">
        <v>20134</v>
      </c>
      <c r="B11232" s="787">
        <v>4</v>
      </c>
      <c r="C11232" s="787" t="s">
        <v>20135</v>
      </c>
      <c r="D11232" s="787">
        <v>0</v>
      </c>
      <c r="E11232" s="787">
        <v>0</v>
      </c>
      <c r="H11232" s="787">
        <v>1</v>
      </c>
      <c r="K11232" s="788">
        <v>41026</v>
      </c>
      <c r="L11232" s="787">
        <v>397.96</v>
      </c>
      <c r="M11232" s="787">
        <v>10</v>
      </c>
      <c r="N11232" s="787">
        <v>416.25</v>
      </c>
      <c r="O11232" s="788">
        <v>42162</v>
      </c>
    </row>
    <row r="11233" spans="1:15" x14ac:dyDescent="0.25">
      <c r="A11233" s="786" t="s">
        <v>20136</v>
      </c>
      <c r="B11233" s="787">
        <v>4</v>
      </c>
      <c r="C11233" s="787" t="s">
        <v>20137</v>
      </c>
      <c r="D11233" s="787">
        <v>1.69</v>
      </c>
      <c r="E11233" s="787">
        <v>791.69</v>
      </c>
      <c r="F11233" s="788">
        <v>40644</v>
      </c>
      <c r="G11233" s="788">
        <v>40413</v>
      </c>
      <c r="H11233" s="787">
        <v>1</v>
      </c>
      <c r="I11233" s="788">
        <v>40413</v>
      </c>
      <c r="J11233" s="788">
        <v>40570</v>
      </c>
      <c r="K11233" s="788">
        <v>41026</v>
      </c>
      <c r="L11233" s="787">
        <v>663.57</v>
      </c>
      <c r="M11233" s="787">
        <v>10</v>
      </c>
      <c r="N11233" s="787">
        <v>412.22</v>
      </c>
      <c r="O11233" s="788">
        <v>42162</v>
      </c>
    </row>
    <row r="11234" spans="1:15" x14ac:dyDescent="0.25">
      <c r="A11234" s="786" t="s">
        <v>20138</v>
      </c>
      <c r="B11234" s="787">
        <v>4</v>
      </c>
      <c r="C11234" s="787" t="s">
        <v>20139</v>
      </c>
      <c r="D11234" s="787">
        <v>0</v>
      </c>
      <c r="E11234" s="787">
        <v>0</v>
      </c>
      <c r="H11234" s="787">
        <v>1</v>
      </c>
      <c r="I11234" s="788">
        <v>39715</v>
      </c>
      <c r="K11234" s="788">
        <v>41026</v>
      </c>
      <c r="L11234" s="787">
        <v>695.62</v>
      </c>
      <c r="M11234" s="787">
        <v>10</v>
      </c>
      <c r="N11234" s="787">
        <v>645.58000000000004</v>
      </c>
      <c r="O11234" s="788">
        <v>42162</v>
      </c>
    </row>
    <row r="11235" spans="1:15" x14ac:dyDescent="0.25">
      <c r="A11235" s="786" t="s">
        <v>20140</v>
      </c>
      <c r="B11235" s="787">
        <v>4</v>
      </c>
      <c r="C11235" s="787" t="s">
        <v>20141</v>
      </c>
      <c r="D11235" s="787">
        <v>6.07</v>
      </c>
      <c r="E11235" s="787">
        <v>616.07000000000005</v>
      </c>
      <c r="F11235" s="788">
        <v>41134</v>
      </c>
      <c r="G11235" s="788">
        <v>41134</v>
      </c>
      <c r="H11235" s="787">
        <v>1</v>
      </c>
      <c r="I11235" s="788">
        <v>40978</v>
      </c>
      <c r="J11235" s="788">
        <v>40977</v>
      </c>
      <c r="K11235" s="788">
        <v>41026</v>
      </c>
      <c r="L11235" s="787">
        <v>690.77</v>
      </c>
      <c r="M11235" s="787">
        <v>10</v>
      </c>
      <c r="N11235" s="787">
        <v>636.08000000000004</v>
      </c>
      <c r="O11235" s="788">
        <v>42162</v>
      </c>
    </row>
    <row r="11236" spans="1:15" x14ac:dyDescent="0.25">
      <c r="A11236" s="786" t="s">
        <v>20142</v>
      </c>
      <c r="B11236" s="787">
        <v>4</v>
      </c>
      <c r="C11236" s="787" t="s">
        <v>20143</v>
      </c>
      <c r="D11236" s="787">
        <v>5.26</v>
      </c>
      <c r="E11236" s="787">
        <v>864.88</v>
      </c>
      <c r="F11236" s="788">
        <v>40827</v>
      </c>
      <c r="G11236" s="788">
        <v>41548</v>
      </c>
      <c r="H11236" s="787">
        <v>1</v>
      </c>
      <c r="I11236" s="788">
        <v>41522</v>
      </c>
      <c r="J11236" s="788">
        <v>41516</v>
      </c>
      <c r="K11236" s="788">
        <v>41025</v>
      </c>
      <c r="L11236" s="787">
        <v>708.05</v>
      </c>
      <c r="M11236" s="787">
        <v>10</v>
      </c>
      <c r="N11236" s="787">
        <v>709.87</v>
      </c>
      <c r="O11236" s="788">
        <v>42095</v>
      </c>
    </row>
    <row r="11237" spans="1:15" x14ac:dyDescent="0.25">
      <c r="A11237" s="786" t="s">
        <v>20144</v>
      </c>
      <c r="B11237" s="787">
        <v>4</v>
      </c>
      <c r="C11237" s="787" t="s">
        <v>20145</v>
      </c>
      <c r="D11237" s="787">
        <v>6.18</v>
      </c>
      <c r="E11237" s="787">
        <v>836.18</v>
      </c>
      <c r="F11237" s="788">
        <v>41775</v>
      </c>
      <c r="G11237" s="788">
        <v>41775</v>
      </c>
      <c r="H11237" s="787">
        <v>1</v>
      </c>
      <c r="I11237" s="788">
        <v>41625</v>
      </c>
      <c r="J11237" s="788">
        <v>41621</v>
      </c>
      <c r="K11237" s="788">
        <v>41025</v>
      </c>
      <c r="L11237" s="787">
        <v>803.37</v>
      </c>
      <c r="M11237" s="787">
        <v>10</v>
      </c>
      <c r="N11237" s="787">
        <v>724.54</v>
      </c>
      <c r="O11237" s="788">
        <v>42095</v>
      </c>
    </row>
    <row r="11238" spans="1:15" x14ac:dyDescent="0.25">
      <c r="A11238" s="786" t="s">
        <v>20146</v>
      </c>
      <c r="B11238" s="787">
        <v>4</v>
      </c>
      <c r="C11238" s="787" t="s">
        <v>20147</v>
      </c>
      <c r="D11238" s="787">
        <v>5.37</v>
      </c>
      <c r="E11238" s="787">
        <v>722.72</v>
      </c>
      <c r="F11238" s="788">
        <v>40946</v>
      </c>
      <c r="G11238" s="788">
        <v>42058</v>
      </c>
      <c r="H11238" s="787">
        <v>1</v>
      </c>
      <c r="I11238" s="788">
        <v>42037</v>
      </c>
      <c r="J11238" s="788">
        <v>42030</v>
      </c>
      <c r="K11238" s="788">
        <v>41025</v>
      </c>
      <c r="L11238" s="787">
        <v>707.12</v>
      </c>
      <c r="M11238" s="787">
        <v>10</v>
      </c>
      <c r="N11238" s="787">
        <v>708.71</v>
      </c>
      <c r="O11238" s="788">
        <v>42095</v>
      </c>
    </row>
    <row r="11239" spans="1:15" x14ac:dyDescent="0.25">
      <c r="A11239" s="786" t="s">
        <v>20148</v>
      </c>
      <c r="B11239" s="787">
        <v>4</v>
      </c>
      <c r="C11239" s="787" t="s">
        <v>19373</v>
      </c>
      <c r="D11239" s="787">
        <v>0</v>
      </c>
      <c r="E11239" s="787">
        <v>0</v>
      </c>
      <c r="H11239" s="787">
        <v>1</v>
      </c>
      <c r="K11239" s="788">
        <v>41025</v>
      </c>
      <c r="L11239" s="787">
        <v>801.79</v>
      </c>
      <c r="M11239" s="787">
        <v>10</v>
      </c>
      <c r="N11239" s="787">
        <v>721.25</v>
      </c>
      <c r="O11239" s="788">
        <v>42095</v>
      </c>
    </row>
    <row r="11240" spans="1:15" x14ac:dyDescent="0.25">
      <c r="A11240" s="786" t="s">
        <v>20149</v>
      </c>
      <c r="B11240" s="787">
        <v>4</v>
      </c>
      <c r="C11240" s="787" t="s">
        <v>20150</v>
      </c>
      <c r="D11240" s="787">
        <v>7.03</v>
      </c>
      <c r="E11240" s="787">
        <v>804.74</v>
      </c>
      <c r="F11240" s="788">
        <v>41166</v>
      </c>
      <c r="G11240" s="788">
        <v>41579</v>
      </c>
      <c r="H11240" s="787">
        <v>1</v>
      </c>
      <c r="I11240" s="788">
        <v>41570</v>
      </c>
      <c r="J11240" s="788">
        <v>41557</v>
      </c>
      <c r="K11240" s="788">
        <v>41025</v>
      </c>
      <c r="L11240" s="787">
        <v>726.99</v>
      </c>
      <c r="M11240" s="787">
        <v>10</v>
      </c>
      <c r="N11240" s="787">
        <v>832.94</v>
      </c>
      <c r="O11240" s="788">
        <v>41989</v>
      </c>
    </row>
    <row r="11241" spans="1:15" x14ac:dyDescent="0.25">
      <c r="A11241" s="786" t="s">
        <v>20151</v>
      </c>
      <c r="B11241" s="787">
        <v>4</v>
      </c>
      <c r="C11241" s="787" t="s">
        <v>20152</v>
      </c>
      <c r="D11241" s="787">
        <v>5.36</v>
      </c>
      <c r="E11241" s="787">
        <v>765.36</v>
      </c>
      <c r="F11241" s="788">
        <v>41166</v>
      </c>
      <c r="G11241" s="788">
        <v>41166</v>
      </c>
      <c r="H11241" s="787">
        <v>1</v>
      </c>
      <c r="I11241" s="788">
        <v>41125</v>
      </c>
      <c r="J11241" s="788">
        <v>41115</v>
      </c>
      <c r="K11241" s="788">
        <v>41025</v>
      </c>
      <c r="L11241" s="787">
        <v>724.92</v>
      </c>
      <c r="M11241" s="787">
        <v>10</v>
      </c>
      <c r="N11241" s="787">
        <v>828.59</v>
      </c>
      <c r="O11241" s="788">
        <v>41989</v>
      </c>
    </row>
    <row r="11242" spans="1:15" x14ac:dyDescent="0.25">
      <c r="A11242" s="786" t="s">
        <v>473</v>
      </c>
      <c r="B11242" s="787">
        <v>4</v>
      </c>
      <c r="C11242" s="787" t="s">
        <v>20153</v>
      </c>
      <c r="D11242" s="787">
        <v>3.95</v>
      </c>
      <c r="E11242" s="787">
        <v>788.79</v>
      </c>
      <c r="F11242" s="788">
        <v>40827</v>
      </c>
      <c r="G11242" s="788">
        <v>41499</v>
      </c>
      <c r="H11242" s="787">
        <v>1</v>
      </c>
      <c r="I11242" s="788">
        <v>41473</v>
      </c>
      <c r="J11242" s="788">
        <v>41472</v>
      </c>
      <c r="K11242" s="788">
        <v>41025</v>
      </c>
      <c r="L11242" s="787">
        <v>666.4</v>
      </c>
      <c r="M11242" s="787">
        <v>10</v>
      </c>
      <c r="N11242" s="787">
        <v>673.73</v>
      </c>
      <c r="O11242" s="788">
        <v>42125</v>
      </c>
    </row>
    <row r="11243" spans="1:15" x14ac:dyDescent="0.25">
      <c r="A11243" s="786" t="s">
        <v>475</v>
      </c>
      <c r="B11243" s="787">
        <v>4</v>
      </c>
      <c r="C11243" s="787" t="s">
        <v>20154</v>
      </c>
      <c r="D11243" s="787">
        <v>2.73</v>
      </c>
      <c r="E11243" s="787">
        <v>919.94</v>
      </c>
      <c r="F11243" s="788">
        <v>40948</v>
      </c>
      <c r="G11243" s="788">
        <v>41201</v>
      </c>
      <c r="H11243" s="787">
        <v>1</v>
      </c>
      <c r="I11243" s="788">
        <v>41173</v>
      </c>
      <c r="J11243" s="788">
        <v>41171</v>
      </c>
      <c r="K11243" s="788">
        <v>41025</v>
      </c>
      <c r="L11243" s="787">
        <v>772.87</v>
      </c>
      <c r="M11243" s="787">
        <v>10</v>
      </c>
      <c r="N11243" s="787">
        <v>641.20000000000005</v>
      </c>
      <c r="O11243" s="788">
        <v>42125</v>
      </c>
    </row>
    <row r="11244" spans="1:15" x14ac:dyDescent="0.25">
      <c r="A11244" s="786" t="s">
        <v>472</v>
      </c>
      <c r="B11244" s="787">
        <v>4</v>
      </c>
      <c r="C11244" s="787" t="s">
        <v>20155</v>
      </c>
      <c r="D11244" s="787">
        <v>9.6300000000000008</v>
      </c>
      <c r="E11244" s="787">
        <v>659.63</v>
      </c>
      <c r="F11244" s="788">
        <v>41906</v>
      </c>
      <c r="G11244" s="788">
        <v>41906</v>
      </c>
      <c r="H11244" s="787">
        <v>1</v>
      </c>
      <c r="I11244" s="788">
        <v>41884</v>
      </c>
      <c r="J11244" s="788">
        <v>41870</v>
      </c>
      <c r="K11244" s="788">
        <v>41025</v>
      </c>
      <c r="L11244" s="787">
        <v>646.98</v>
      </c>
      <c r="M11244" s="787">
        <v>10</v>
      </c>
      <c r="N11244" s="787">
        <v>635.72</v>
      </c>
      <c r="O11244" s="788">
        <v>42125</v>
      </c>
    </row>
    <row r="11245" spans="1:15" x14ac:dyDescent="0.25">
      <c r="A11245" s="786" t="s">
        <v>474</v>
      </c>
      <c r="B11245" s="787">
        <v>4</v>
      </c>
      <c r="C11245" s="787" t="s">
        <v>20156</v>
      </c>
      <c r="D11245" s="787">
        <v>7.17</v>
      </c>
      <c r="E11245" s="787">
        <v>717.17</v>
      </c>
      <c r="F11245" s="788">
        <v>41996</v>
      </c>
      <c r="G11245" s="788">
        <v>41996</v>
      </c>
      <c r="H11245" s="787">
        <v>1</v>
      </c>
      <c r="I11245" s="788">
        <v>41976</v>
      </c>
      <c r="J11245" s="788">
        <v>41975</v>
      </c>
      <c r="K11245" s="788">
        <v>41025</v>
      </c>
      <c r="L11245" s="787">
        <v>725.91</v>
      </c>
      <c r="M11245" s="787">
        <v>10</v>
      </c>
      <c r="N11245" s="787">
        <v>652.07000000000005</v>
      </c>
      <c r="O11245" s="788">
        <v>42125</v>
      </c>
    </row>
    <row r="11246" spans="1:15" x14ac:dyDescent="0.25">
      <c r="A11246" s="786" t="s">
        <v>20157</v>
      </c>
      <c r="B11246" s="787">
        <v>4</v>
      </c>
      <c r="C11246" s="787" t="s">
        <v>20158</v>
      </c>
      <c r="D11246" s="787">
        <v>5.39</v>
      </c>
      <c r="E11246" s="787">
        <v>759.5</v>
      </c>
      <c r="F11246" s="788">
        <v>40946</v>
      </c>
      <c r="G11246" s="788">
        <v>41432</v>
      </c>
      <c r="H11246" s="787">
        <v>1</v>
      </c>
      <c r="I11246" s="788">
        <v>41416</v>
      </c>
      <c r="J11246" s="788">
        <v>41401</v>
      </c>
      <c r="K11246" s="788">
        <v>41025</v>
      </c>
      <c r="L11246" s="787">
        <v>628.47</v>
      </c>
      <c r="M11246" s="787">
        <v>10</v>
      </c>
      <c r="N11246" s="787">
        <v>740.57</v>
      </c>
      <c r="O11246" s="788">
        <v>42060</v>
      </c>
    </row>
    <row r="11247" spans="1:15" x14ac:dyDescent="0.25">
      <c r="A11247" s="786" t="s">
        <v>20159</v>
      </c>
      <c r="B11247" s="787">
        <v>4</v>
      </c>
      <c r="C11247" s="787" t="s">
        <v>20160</v>
      </c>
      <c r="D11247" s="787">
        <v>2.38</v>
      </c>
      <c r="E11247" s="787">
        <v>633.64</v>
      </c>
      <c r="F11247" s="788">
        <v>40946</v>
      </c>
      <c r="G11247" s="788">
        <v>41806</v>
      </c>
      <c r="H11247" s="787">
        <v>1</v>
      </c>
      <c r="I11247" s="788">
        <v>41775</v>
      </c>
      <c r="J11247" s="788">
        <v>41766</v>
      </c>
      <c r="K11247" s="788">
        <v>41025</v>
      </c>
      <c r="L11247" s="787">
        <v>626.16999999999996</v>
      </c>
      <c r="M11247" s="787">
        <v>10</v>
      </c>
      <c r="N11247" s="787">
        <v>736.01</v>
      </c>
      <c r="O11247" s="788">
        <v>42061</v>
      </c>
    </row>
    <row r="11248" spans="1:15" x14ac:dyDescent="0.25">
      <c r="A11248" s="786" t="s">
        <v>20161</v>
      </c>
      <c r="B11248" s="787">
        <v>4</v>
      </c>
      <c r="C11248" s="787" t="s">
        <v>20162</v>
      </c>
      <c r="D11248" s="787">
        <v>0</v>
      </c>
      <c r="E11248" s="787">
        <v>0</v>
      </c>
      <c r="H11248" s="787">
        <v>1</v>
      </c>
      <c r="K11248" s="788">
        <v>41025</v>
      </c>
      <c r="L11248" s="787">
        <v>766.41</v>
      </c>
      <c r="M11248" s="787">
        <v>10</v>
      </c>
      <c r="N11248" s="787">
        <v>881.98</v>
      </c>
      <c r="O11248" s="788">
        <v>41989</v>
      </c>
    </row>
    <row r="11249" spans="1:15" x14ac:dyDescent="0.25">
      <c r="A11249" s="786" t="s">
        <v>20163</v>
      </c>
      <c r="B11249" s="787">
        <v>4</v>
      </c>
      <c r="C11249" s="787" t="s">
        <v>20164</v>
      </c>
      <c r="D11249" s="787">
        <v>9.94</v>
      </c>
      <c r="E11249" s="787">
        <v>809.94</v>
      </c>
      <c r="F11249" s="788">
        <v>42017</v>
      </c>
      <c r="G11249" s="788">
        <v>42017</v>
      </c>
      <c r="H11249" s="787">
        <v>1</v>
      </c>
      <c r="I11249" s="788">
        <v>41978</v>
      </c>
      <c r="J11249" s="788">
        <v>41981</v>
      </c>
      <c r="K11249" s="788">
        <v>41025</v>
      </c>
      <c r="L11249" s="787">
        <v>767.03</v>
      </c>
      <c r="M11249" s="787">
        <v>10</v>
      </c>
      <c r="N11249" s="787">
        <v>877.95</v>
      </c>
      <c r="O11249" s="788">
        <v>41989</v>
      </c>
    </row>
    <row r="11250" spans="1:15" x14ac:dyDescent="0.25">
      <c r="A11250" s="786" t="s">
        <v>20165</v>
      </c>
      <c r="B11250" s="787">
        <v>4</v>
      </c>
      <c r="C11250" s="787" t="s">
        <v>20166</v>
      </c>
      <c r="D11250" s="787">
        <v>0</v>
      </c>
      <c r="E11250" s="787">
        <v>0</v>
      </c>
      <c r="H11250" s="787">
        <v>1</v>
      </c>
      <c r="K11250" s="788">
        <v>41025</v>
      </c>
      <c r="L11250" s="787">
        <v>735.24</v>
      </c>
      <c r="M11250" s="787">
        <v>10</v>
      </c>
      <c r="N11250" s="787">
        <v>738.95</v>
      </c>
      <c r="O11250" s="788">
        <v>42095</v>
      </c>
    </row>
    <row r="11251" spans="1:15" x14ac:dyDescent="0.25">
      <c r="A11251" s="786" t="s">
        <v>20167</v>
      </c>
      <c r="B11251" s="787">
        <v>4</v>
      </c>
      <c r="C11251" s="787" t="s">
        <v>20168</v>
      </c>
      <c r="D11251" s="787">
        <v>0</v>
      </c>
      <c r="E11251" s="787">
        <v>0</v>
      </c>
      <c r="H11251" s="787">
        <v>1</v>
      </c>
      <c r="K11251" s="788">
        <v>41025</v>
      </c>
      <c r="L11251" s="787">
        <v>735.24</v>
      </c>
      <c r="M11251" s="787">
        <v>10</v>
      </c>
      <c r="N11251" s="787">
        <v>738.95</v>
      </c>
      <c r="O11251" s="788">
        <v>42095</v>
      </c>
    </row>
    <row r="11252" spans="1:15" x14ac:dyDescent="0.25">
      <c r="A11252" s="786" t="s">
        <v>20169</v>
      </c>
      <c r="B11252" s="787">
        <v>4</v>
      </c>
      <c r="C11252" s="787" t="s">
        <v>20170</v>
      </c>
      <c r="D11252" s="787">
        <v>1.6</v>
      </c>
      <c r="E11252" s="787">
        <v>11.8</v>
      </c>
      <c r="F11252" s="788">
        <v>41925</v>
      </c>
      <c r="G11252" s="788">
        <v>42107</v>
      </c>
      <c r="H11252" s="787">
        <v>1</v>
      </c>
      <c r="I11252" s="788">
        <v>42075</v>
      </c>
      <c r="J11252" s="788">
        <v>42107</v>
      </c>
      <c r="K11252" s="788">
        <v>41401</v>
      </c>
      <c r="L11252" s="787">
        <v>11.8</v>
      </c>
      <c r="M11252" s="787">
        <v>20</v>
      </c>
      <c r="N11252" s="787">
        <v>12.69</v>
      </c>
      <c r="O11252" s="788">
        <v>42066</v>
      </c>
    </row>
    <row r="11253" spans="1:15" x14ac:dyDescent="0.25">
      <c r="A11253" s="786" t="s">
        <v>20171</v>
      </c>
      <c r="B11253" s="787">
        <v>4</v>
      </c>
      <c r="C11253" s="787" t="s">
        <v>20172</v>
      </c>
      <c r="D11253" s="787">
        <v>4.4000000000000004</v>
      </c>
      <c r="E11253" s="787">
        <v>164.04</v>
      </c>
      <c r="F11253" s="788">
        <v>41529</v>
      </c>
      <c r="G11253" s="788">
        <v>41555</v>
      </c>
      <c r="H11253" s="787">
        <v>1</v>
      </c>
      <c r="I11253" s="788">
        <v>39262</v>
      </c>
      <c r="J11253" s="788">
        <v>41528</v>
      </c>
      <c r="K11253" s="788">
        <v>41865</v>
      </c>
      <c r="L11253" s="787">
        <v>165</v>
      </c>
      <c r="M11253" s="787">
        <v>20</v>
      </c>
      <c r="N11253" s="787">
        <v>70.31</v>
      </c>
      <c r="O11253" s="788">
        <v>41858</v>
      </c>
    </row>
    <row r="11254" spans="1:15" x14ac:dyDescent="0.25">
      <c r="A11254" s="786" t="s">
        <v>20173</v>
      </c>
      <c r="B11254" s="787">
        <v>4</v>
      </c>
      <c r="C11254" s="787" t="s">
        <v>20174</v>
      </c>
      <c r="D11254" s="787">
        <v>0</v>
      </c>
      <c r="E11254" s="787">
        <v>0</v>
      </c>
      <c r="H11254" s="787">
        <v>8</v>
      </c>
      <c r="L11254" s="787">
        <v>0</v>
      </c>
      <c r="M11254" s="787">
        <v>10</v>
      </c>
      <c r="N11254" s="787">
        <v>0</v>
      </c>
      <c r="O11254" s="788">
        <v>41858</v>
      </c>
    </row>
    <row r="11255" spans="1:15" x14ac:dyDescent="0.25">
      <c r="A11255" s="786" t="s">
        <v>20175</v>
      </c>
      <c r="B11255" s="787">
        <v>4</v>
      </c>
      <c r="C11255" s="787" t="s">
        <v>20176</v>
      </c>
      <c r="D11255" s="787">
        <v>1.1100000000000001</v>
      </c>
      <c r="E11255" s="787">
        <v>1.1100000000000001</v>
      </c>
      <c r="F11255" s="788">
        <v>39101</v>
      </c>
      <c r="G11255" s="788">
        <v>39101</v>
      </c>
      <c r="H11255" s="787">
        <v>1</v>
      </c>
      <c r="I11255" s="788">
        <v>39134</v>
      </c>
      <c r="J11255" s="788">
        <v>39149</v>
      </c>
      <c r="L11255" s="787">
        <v>1.21</v>
      </c>
      <c r="M11255" s="787">
        <v>20</v>
      </c>
      <c r="N11255" s="787">
        <v>1.3</v>
      </c>
      <c r="O11255" s="788">
        <v>41858</v>
      </c>
    </row>
    <row r="11256" spans="1:15" x14ac:dyDescent="0.25">
      <c r="A11256" s="786" t="s">
        <v>20177</v>
      </c>
      <c r="B11256" s="787">
        <v>4</v>
      </c>
      <c r="C11256" s="787" t="s">
        <v>20176</v>
      </c>
      <c r="D11256" s="787">
        <v>1.1000000000000001</v>
      </c>
      <c r="E11256" s="787">
        <v>1.1000000000000001</v>
      </c>
      <c r="F11256" s="788">
        <v>39101</v>
      </c>
      <c r="G11256" s="788">
        <v>39101</v>
      </c>
      <c r="H11256" s="787">
        <v>1</v>
      </c>
      <c r="I11256" s="788">
        <v>39134</v>
      </c>
      <c r="J11256" s="788">
        <v>39149</v>
      </c>
      <c r="L11256" s="787">
        <v>1.2</v>
      </c>
      <c r="M11256" s="787">
        <v>20</v>
      </c>
      <c r="N11256" s="787">
        <v>1.29</v>
      </c>
      <c r="O11256" s="788">
        <v>41858</v>
      </c>
    </row>
    <row r="11257" spans="1:15" x14ac:dyDescent="0.25">
      <c r="A11257" s="786" t="s">
        <v>20178</v>
      </c>
      <c r="B11257" s="787">
        <v>4</v>
      </c>
      <c r="C11257" s="787" t="s">
        <v>20179</v>
      </c>
      <c r="D11257" s="787">
        <v>0.21</v>
      </c>
      <c r="E11257" s="787">
        <v>0.23</v>
      </c>
      <c r="F11257" s="788">
        <v>39101</v>
      </c>
      <c r="G11257" s="788">
        <v>42013</v>
      </c>
      <c r="H11257" s="787">
        <v>1</v>
      </c>
      <c r="I11257" s="788">
        <v>41263</v>
      </c>
      <c r="J11257" s="788">
        <v>39185</v>
      </c>
      <c r="L11257" s="787">
        <v>0.23</v>
      </c>
      <c r="M11257" s="787">
        <v>20</v>
      </c>
      <c r="N11257" s="787">
        <v>0.25</v>
      </c>
      <c r="O11257" s="788">
        <v>41858</v>
      </c>
    </row>
    <row r="11258" spans="1:15" x14ac:dyDescent="0.25">
      <c r="A11258" s="786" t="s">
        <v>20180</v>
      </c>
      <c r="B11258" s="787">
        <v>4</v>
      </c>
      <c r="C11258" s="787" t="s">
        <v>20179</v>
      </c>
      <c r="D11258" s="787">
        <v>0.22</v>
      </c>
      <c r="E11258" s="787">
        <v>0.31</v>
      </c>
      <c r="F11258" s="788">
        <v>39101</v>
      </c>
      <c r="G11258" s="788">
        <v>42013</v>
      </c>
      <c r="H11258" s="787">
        <v>1</v>
      </c>
      <c r="I11258" s="788">
        <v>41173</v>
      </c>
      <c r="J11258" s="788">
        <v>40252</v>
      </c>
      <c r="L11258" s="787">
        <v>0.24</v>
      </c>
      <c r="M11258" s="787">
        <v>20</v>
      </c>
      <c r="N11258" s="787">
        <v>0.26</v>
      </c>
      <c r="O11258" s="788">
        <v>41858</v>
      </c>
    </row>
    <row r="11259" spans="1:15" x14ac:dyDescent="0.25">
      <c r="A11259" s="786" t="s">
        <v>20181</v>
      </c>
      <c r="B11259" s="787">
        <v>4</v>
      </c>
      <c r="C11259" s="787" t="s">
        <v>20179</v>
      </c>
      <c r="D11259" s="787">
        <v>0.27</v>
      </c>
      <c r="E11259" s="787">
        <v>0.82</v>
      </c>
      <c r="F11259" s="788">
        <v>39967</v>
      </c>
      <c r="G11259" s="788">
        <v>42086</v>
      </c>
      <c r="H11259" s="787">
        <v>1</v>
      </c>
      <c r="I11259" s="788">
        <v>40448</v>
      </c>
      <c r="J11259" s="788">
        <v>42065</v>
      </c>
      <c r="K11259" s="788">
        <v>40994</v>
      </c>
      <c r="L11259" s="787">
        <v>0.25</v>
      </c>
      <c r="M11259" s="787">
        <v>20</v>
      </c>
      <c r="N11259" s="787">
        <v>0.27</v>
      </c>
      <c r="O11259" s="788">
        <v>41858</v>
      </c>
    </row>
    <row r="11260" spans="1:15" x14ac:dyDescent="0.25">
      <c r="A11260" s="786" t="s">
        <v>20182</v>
      </c>
      <c r="B11260" s="787">
        <v>4</v>
      </c>
      <c r="C11260" s="787" t="s">
        <v>20179</v>
      </c>
      <c r="D11260" s="787">
        <v>0.24</v>
      </c>
      <c r="E11260" s="787">
        <v>0.24</v>
      </c>
      <c r="F11260" s="788">
        <v>39184</v>
      </c>
      <c r="G11260" s="788">
        <v>42013</v>
      </c>
      <c r="H11260" s="787">
        <v>1</v>
      </c>
      <c r="I11260" s="788">
        <v>39087</v>
      </c>
      <c r="J11260" s="788">
        <v>39185</v>
      </c>
      <c r="K11260" s="788">
        <v>41869</v>
      </c>
      <c r="L11260" s="787">
        <v>0.24</v>
      </c>
      <c r="M11260" s="787">
        <v>20</v>
      </c>
      <c r="N11260" s="787">
        <v>0.49</v>
      </c>
      <c r="O11260" s="788">
        <v>41858</v>
      </c>
    </row>
    <row r="11261" spans="1:15" x14ac:dyDescent="0.25">
      <c r="A11261" s="786" t="s">
        <v>20183</v>
      </c>
      <c r="B11261" s="787">
        <v>4</v>
      </c>
      <c r="C11261" s="787" t="s">
        <v>20179</v>
      </c>
      <c r="D11261" s="787">
        <v>0.42</v>
      </c>
      <c r="E11261" s="787">
        <v>0.42</v>
      </c>
      <c r="F11261" s="788">
        <v>39101</v>
      </c>
      <c r="G11261" s="788">
        <v>39101</v>
      </c>
      <c r="H11261" s="787">
        <v>1</v>
      </c>
      <c r="I11261" s="788">
        <v>39134</v>
      </c>
      <c r="J11261" s="788">
        <v>39149</v>
      </c>
      <c r="L11261" s="787">
        <v>0.46</v>
      </c>
      <c r="M11261" s="787">
        <v>20</v>
      </c>
      <c r="N11261" s="787">
        <v>0.49</v>
      </c>
      <c r="O11261" s="788">
        <v>41858</v>
      </c>
    </row>
    <row r="11262" spans="1:15" x14ac:dyDescent="0.25">
      <c r="A11262" s="786" t="s">
        <v>20184</v>
      </c>
      <c r="B11262" s="787">
        <v>4</v>
      </c>
      <c r="C11262" s="787" t="s">
        <v>20179</v>
      </c>
      <c r="D11262" s="787">
        <v>0.22</v>
      </c>
      <c r="E11262" s="787">
        <v>0.38</v>
      </c>
      <c r="F11262" s="788">
        <v>39560</v>
      </c>
      <c r="G11262" s="788">
        <v>42024</v>
      </c>
      <c r="H11262" s="787">
        <v>1</v>
      </c>
      <c r="I11262" s="788">
        <v>42160</v>
      </c>
      <c r="J11262" s="788">
        <v>42019</v>
      </c>
      <c r="L11262" s="787">
        <v>0.46</v>
      </c>
      <c r="M11262" s="787">
        <v>20</v>
      </c>
      <c r="N11262" s="787">
        <v>0.49</v>
      </c>
      <c r="O11262" s="788">
        <v>41858</v>
      </c>
    </row>
    <row r="11263" spans="1:15" x14ac:dyDescent="0.25">
      <c r="A11263" s="786" t="s">
        <v>20185</v>
      </c>
      <c r="B11263" s="787">
        <v>4</v>
      </c>
      <c r="C11263" s="787" t="s">
        <v>20179</v>
      </c>
      <c r="D11263" s="787">
        <v>0.24</v>
      </c>
      <c r="E11263" s="787">
        <v>0.3</v>
      </c>
      <c r="F11263" s="788">
        <v>39184</v>
      </c>
      <c r="G11263" s="788">
        <v>42013</v>
      </c>
      <c r="H11263" s="787">
        <v>1</v>
      </c>
      <c r="I11263" s="788">
        <v>39134</v>
      </c>
      <c r="J11263" s="788">
        <v>39185</v>
      </c>
      <c r="K11263" s="788">
        <v>41869</v>
      </c>
      <c r="L11263" s="787">
        <v>0.3</v>
      </c>
      <c r="M11263" s="787">
        <v>20</v>
      </c>
      <c r="N11263" s="787">
        <v>0.49</v>
      </c>
      <c r="O11263" s="788">
        <v>41858</v>
      </c>
    </row>
    <row r="11264" spans="1:15" x14ac:dyDescent="0.25">
      <c r="A11264" s="786" t="s">
        <v>20186</v>
      </c>
      <c r="B11264" s="787">
        <v>4</v>
      </c>
      <c r="C11264" s="787" t="s">
        <v>20187</v>
      </c>
      <c r="D11264" s="787">
        <v>0.9</v>
      </c>
      <c r="E11264" s="787">
        <v>1.1399999999999999</v>
      </c>
      <c r="F11264" s="788">
        <v>39101</v>
      </c>
      <c r="G11264" s="788">
        <v>42081</v>
      </c>
      <c r="H11264" s="787">
        <v>1</v>
      </c>
      <c r="I11264" s="788">
        <v>42023</v>
      </c>
      <c r="J11264" s="788">
        <v>42069</v>
      </c>
      <c r="K11264" s="788">
        <v>41123</v>
      </c>
      <c r="L11264" s="787">
        <v>1.03</v>
      </c>
      <c r="M11264" s="787">
        <v>20</v>
      </c>
      <c r="N11264" s="787">
        <v>1.1100000000000001</v>
      </c>
      <c r="O11264" s="788">
        <v>41858</v>
      </c>
    </row>
    <row r="11265" spans="1:15" x14ac:dyDescent="0.25">
      <c r="A11265" s="786" t="s">
        <v>20188</v>
      </c>
      <c r="B11265" s="787">
        <v>4</v>
      </c>
      <c r="C11265" s="787" t="s">
        <v>20189</v>
      </c>
      <c r="D11265" s="787">
        <v>0.98</v>
      </c>
      <c r="E11265" s="787">
        <v>1.06</v>
      </c>
      <c r="F11265" s="788">
        <v>39861</v>
      </c>
      <c r="G11265" s="788">
        <v>42013</v>
      </c>
      <c r="H11265" s="787">
        <v>1</v>
      </c>
      <c r="I11265" s="788">
        <v>41914</v>
      </c>
      <c r="J11265" s="788">
        <v>41507</v>
      </c>
      <c r="K11265" s="788">
        <v>41123</v>
      </c>
      <c r="L11265" s="787">
        <v>1.03</v>
      </c>
      <c r="M11265" s="787">
        <v>20</v>
      </c>
      <c r="N11265" s="787">
        <v>1.1100000000000001</v>
      </c>
      <c r="O11265" s="788">
        <v>41858</v>
      </c>
    </row>
    <row r="11266" spans="1:15" x14ac:dyDescent="0.25">
      <c r="A11266" s="786" t="s">
        <v>20190</v>
      </c>
      <c r="B11266" s="787">
        <v>4</v>
      </c>
      <c r="C11266" s="787" t="s">
        <v>20191</v>
      </c>
      <c r="D11266" s="787">
        <v>0.98</v>
      </c>
      <c r="E11266" s="787">
        <v>1.06</v>
      </c>
      <c r="F11266" s="788">
        <v>39861</v>
      </c>
      <c r="G11266" s="788">
        <v>42013</v>
      </c>
      <c r="H11266" s="787">
        <v>1</v>
      </c>
      <c r="I11266" s="788">
        <v>41894</v>
      </c>
      <c r="J11266" s="788">
        <v>41507</v>
      </c>
      <c r="K11266" s="788">
        <v>41123</v>
      </c>
      <c r="L11266" s="787">
        <v>1.03</v>
      </c>
      <c r="M11266" s="787">
        <v>20</v>
      </c>
      <c r="N11266" s="787">
        <v>1.1100000000000001</v>
      </c>
      <c r="O11266" s="788">
        <v>41858</v>
      </c>
    </row>
    <row r="11267" spans="1:15" x14ac:dyDescent="0.25">
      <c r="A11267" s="786" t="s">
        <v>20192</v>
      </c>
      <c r="B11267" s="787">
        <v>4</v>
      </c>
      <c r="C11267" s="787" t="s">
        <v>20193</v>
      </c>
      <c r="D11267" s="787">
        <v>0.98</v>
      </c>
      <c r="E11267" s="787">
        <v>1.08</v>
      </c>
      <c r="F11267" s="788">
        <v>39861</v>
      </c>
      <c r="G11267" s="788">
        <v>42013</v>
      </c>
      <c r="H11267" s="787">
        <v>1</v>
      </c>
      <c r="I11267" s="788">
        <v>41242</v>
      </c>
      <c r="J11267" s="788">
        <v>41219</v>
      </c>
      <c r="L11267" s="787">
        <v>1.06</v>
      </c>
      <c r="M11267" s="787">
        <v>20</v>
      </c>
      <c r="N11267" s="787">
        <v>1.1399999999999999</v>
      </c>
      <c r="O11267" s="788">
        <v>41858</v>
      </c>
    </row>
    <row r="11268" spans="1:15" x14ac:dyDescent="0.25">
      <c r="A11268" s="786" t="s">
        <v>20194</v>
      </c>
      <c r="B11268" s="787">
        <v>4</v>
      </c>
      <c r="C11268" s="787" t="s">
        <v>20195</v>
      </c>
      <c r="D11268" s="787">
        <v>0.98</v>
      </c>
      <c r="E11268" s="787">
        <v>1.08</v>
      </c>
      <c r="F11268" s="788">
        <v>39871</v>
      </c>
      <c r="G11268" s="788">
        <v>42013</v>
      </c>
      <c r="H11268" s="787">
        <v>1</v>
      </c>
      <c r="I11268" s="788">
        <v>41176</v>
      </c>
      <c r="J11268" s="788">
        <v>41219</v>
      </c>
      <c r="L11268" s="787">
        <v>1.06</v>
      </c>
      <c r="M11268" s="787">
        <v>20</v>
      </c>
      <c r="N11268" s="787">
        <v>1.1399999999999999</v>
      </c>
      <c r="O11268" s="788">
        <v>41858</v>
      </c>
    </row>
    <row r="11269" spans="1:15" x14ac:dyDescent="0.25">
      <c r="A11269" s="786" t="s">
        <v>20196</v>
      </c>
      <c r="B11269" s="787">
        <v>4</v>
      </c>
      <c r="C11269" s="787" t="s">
        <v>20197</v>
      </c>
      <c r="D11269" s="787">
        <v>0.98</v>
      </c>
      <c r="E11269" s="787">
        <v>1.1200000000000001</v>
      </c>
      <c r="F11269" s="788">
        <v>39871</v>
      </c>
      <c r="G11269" s="788">
        <v>42013</v>
      </c>
      <c r="H11269" s="787">
        <v>1</v>
      </c>
      <c r="I11269" s="788">
        <v>41176</v>
      </c>
      <c r="J11269" s="788">
        <v>41387</v>
      </c>
      <c r="K11269" s="788">
        <v>41869</v>
      </c>
      <c r="L11269" s="787">
        <v>1.1200000000000001</v>
      </c>
      <c r="M11269" s="787">
        <v>20</v>
      </c>
      <c r="N11269" s="787">
        <v>1.9</v>
      </c>
      <c r="O11269" s="788">
        <v>41858</v>
      </c>
    </row>
    <row r="11270" spans="1:15" x14ac:dyDescent="0.25">
      <c r="A11270" s="786" t="s">
        <v>20198</v>
      </c>
      <c r="B11270" s="787">
        <v>4</v>
      </c>
      <c r="C11270" s="787" t="s">
        <v>20199</v>
      </c>
      <c r="D11270" s="787">
        <v>0.99</v>
      </c>
      <c r="E11270" s="787">
        <v>1.08</v>
      </c>
      <c r="F11270" s="788">
        <v>40318</v>
      </c>
      <c r="G11270" s="788">
        <v>41646</v>
      </c>
      <c r="H11270" s="787">
        <v>1</v>
      </c>
      <c r="I11270" s="788">
        <v>41226</v>
      </c>
      <c r="J11270" s="788">
        <v>41219</v>
      </c>
      <c r="K11270" s="788">
        <v>41869</v>
      </c>
      <c r="L11270" s="787">
        <v>1.08</v>
      </c>
      <c r="M11270" s="787">
        <v>20</v>
      </c>
      <c r="N11270" s="787">
        <v>2.21</v>
      </c>
      <c r="O11270" s="788">
        <v>41858</v>
      </c>
    </row>
    <row r="11271" spans="1:15" x14ac:dyDescent="0.25">
      <c r="A11271" s="786" t="s">
        <v>20200</v>
      </c>
      <c r="B11271" s="787">
        <v>4</v>
      </c>
      <c r="C11271" s="787" t="s">
        <v>20201</v>
      </c>
      <c r="D11271" s="787">
        <v>0</v>
      </c>
      <c r="E11271" s="787">
        <v>3.65</v>
      </c>
      <c r="G11271" s="788">
        <v>37384</v>
      </c>
      <c r="H11271" s="787">
        <v>1</v>
      </c>
      <c r="I11271" s="788">
        <v>37384</v>
      </c>
      <c r="J11271" s="788">
        <v>37384</v>
      </c>
      <c r="L11271" s="787">
        <v>3.98</v>
      </c>
      <c r="M11271" s="787">
        <v>20</v>
      </c>
      <c r="N11271" s="787">
        <v>4.28</v>
      </c>
      <c r="O11271" s="788">
        <v>41858</v>
      </c>
    </row>
    <row r="11272" spans="1:15" x14ac:dyDescent="0.25">
      <c r="A11272" s="786" t="s">
        <v>20202</v>
      </c>
      <c r="B11272" s="787">
        <v>4</v>
      </c>
      <c r="C11272" s="787" t="s">
        <v>20203</v>
      </c>
      <c r="D11272" s="787">
        <v>0.22</v>
      </c>
      <c r="E11272" s="787">
        <v>0.67</v>
      </c>
      <c r="F11272" s="788">
        <v>39434</v>
      </c>
      <c r="G11272" s="788">
        <v>42030</v>
      </c>
      <c r="H11272" s="787">
        <v>1</v>
      </c>
      <c r="I11272" s="788">
        <v>42157</v>
      </c>
      <c r="J11272" s="788">
        <v>42026</v>
      </c>
      <c r="K11272" s="788">
        <v>40232</v>
      </c>
      <c r="L11272" s="787">
        <v>0.55000000000000004</v>
      </c>
      <c r="M11272" s="787">
        <v>20</v>
      </c>
      <c r="N11272" s="787">
        <v>0.59</v>
      </c>
      <c r="O11272" s="788">
        <v>42038</v>
      </c>
    </row>
    <row r="11273" spans="1:15" x14ac:dyDescent="0.25">
      <c r="A11273" s="786" t="s">
        <v>20204</v>
      </c>
      <c r="B11273" s="787">
        <v>4</v>
      </c>
      <c r="C11273" s="787" t="s">
        <v>20205</v>
      </c>
      <c r="D11273" s="787">
        <v>0.22</v>
      </c>
      <c r="E11273" s="787">
        <v>0.26</v>
      </c>
      <c r="F11273" s="788">
        <v>39434</v>
      </c>
      <c r="G11273" s="788">
        <v>42074</v>
      </c>
      <c r="H11273" s="787">
        <v>1</v>
      </c>
      <c r="I11273" s="788">
        <v>42165</v>
      </c>
      <c r="J11273" s="788">
        <v>42066</v>
      </c>
      <c r="K11273" s="788">
        <v>40679</v>
      </c>
      <c r="L11273" s="787">
        <v>0.25</v>
      </c>
      <c r="M11273" s="787">
        <v>20</v>
      </c>
      <c r="N11273" s="787">
        <v>0.27</v>
      </c>
      <c r="O11273" s="788">
        <v>42156</v>
      </c>
    </row>
    <row r="11274" spans="1:15" x14ac:dyDescent="0.25">
      <c r="A11274" s="786" t="s">
        <v>20206</v>
      </c>
      <c r="B11274" s="787">
        <v>4</v>
      </c>
      <c r="C11274" s="787" t="s">
        <v>20207</v>
      </c>
      <c r="D11274" s="787">
        <v>0</v>
      </c>
      <c r="E11274" s="787">
        <v>12.88</v>
      </c>
      <c r="G11274" s="788">
        <v>38736</v>
      </c>
      <c r="H11274" s="787">
        <v>1</v>
      </c>
      <c r="I11274" s="788">
        <v>39134</v>
      </c>
      <c r="J11274" s="788">
        <v>37482</v>
      </c>
      <c r="L11274" s="787">
        <v>14.04</v>
      </c>
      <c r="M11274" s="787">
        <v>20</v>
      </c>
      <c r="N11274" s="787">
        <v>15.09</v>
      </c>
      <c r="O11274" s="788">
        <v>41858</v>
      </c>
    </row>
    <row r="11275" spans="1:15" x14ac:dyDescent="0.25">
      <c r="A11275" s="786" t="s">
        <v>20208</v>
      </c>
      <c r="B11275" s="787">
        <v>4</v>
      </c>
      <c r="C11275" s="787" t="s">
        <v>20209</v>
      </c>
      <c r="D11275" s="787">
        <v>0.01</v>
      </c>
      <c r="E11275" s="787">
        <v>0.01</v>
      </c>
      <c r="F11275" s="788">
        <v>39013</v>
      </c>
      <c r="G11275" s="788">
        <v>39013</v>
      </c>
      <c r="H11275" s="787">
        <v>6</v>
      </c>
      <c r="I11275" s="788">
        <v>39134</v>
      </c>
      <c r="J11275" s="788">
        <v>39031</v>
      </c>
      <c r="K11275" s="788">
        <v>41869</v>
      </c>
      <c r="L11275" s="787">
        <v>0.01</v>
      </c>
      <c r="M11275" s="787">
        <v>20</v>
      </c>
      <c r="N11275" s="787">
        <v>0.02</v>
      </c>
      <c r="O11275" s="788">
        <v>41858</v>
      </c>
    </row>
    <row r="11276" spans="1:15" x14ac:dyDescent="0.25">
      <c r="A11276" s="786" t="s">
        <v>20210</v>
      </c>
      <c r="B11276" s="787">
        <v>4</v>
      </c>
      <c r="C11276" s="787" t="s">
        <v>20211</v>
      </c>
      <c r="D11276" s="787">
        <v>0.32</v>
      </c>
      <c r="E11276" s="787">
        <v>0.35</v>
      </c>
      <c r="F11276" s="788">
        <v>39101</v>
      </c>
      <c r="G11276" s="788">
        <v>41282</v>
      </c>
      <c r="H11276" s="787">
        <v>1</v>
      </c>
      <c r="I11276" s="788">
        <v>40847</v>
      </c>
      <c r="J11276" s="788">
        <v>41107</v>
      </c>
      <c r="L11276" s="787">
        <v>0.34</v>
      </c>
      <c r="M11276" s="787">
        <v>20</v>
      </c>
      <c r="N11276" s="787">
        <v>0.37</v>
      </c>
      <c r="O11276" s="788">
        <v>41858</v>
      </c>
    </row>
    <row r="11277" spans="1:15" x14ac:dyDescent="0.25">
      <c r="A11277" s="786" t="s">
        <v>20212</v>
      </c>
      <c r="B11277" s="787">
        <v>4</v>
      </c>
      <c r="C11277" s="787" t="s">
        <v>20179</v>
      </c>
      <c r="D11277" s="787">
        <v>0.22</v>
      </c>
      <c r="E11277" s="787">
        <v>0.32</v>
      </c>
      <c r="F11277" s="788">
        <v>37771</v>
      </c>
      <c r="G11277" s="788">
        <v>42013</v>
      </c>
      <c r="H11277" s="787">
        <v>1</v>
      </c>
      <c r="I11277" s="788">
        <v>39776</v>
      </c>
      <c r="J11277" s="788">
        <v>41571</v>
      </c>
      <c r="L11277" s="787">
        <v>0.24</v>
      </c>
      <c r="M11277" s="787">
        <v>20</v>
      </c>
      <c r="N11277" s="787">
        <v>0.26</v>
      </c>
      <c r="O11277" s="788">
        <v>41858</v>
      </c>
    </row>
    <row r="11278" spans="1:15" x14ac:dyDescent="0.25">
      <c r="A11278" s="786" t="s">
        <v>20213</v>
      </c>
      <c r="B11278" s="787">
        <v>4</v>
      </c>
      <c r="C11278" s="787" t="s">
        <v>20179</v>
      </c>
      <c r="D11278" s="787">
        <v>0.24</v>
      </c>
      <c r="E11278" s="787">
        <v>0.24</v>
      </c>
      <c r="F11278" s="788">
        <v>39184</v>
      </c>
      <c r="G11278" s="788">
        <v>42013</v>
      </c>
      <c r="H11278" s="787">
        <v>1</v>
      </c>
      <c r="I11278" s="788">
        <v>41849</v>
      </c>
      <c r="J11278" s="788">
        <v>39185</v>
      </c>
      <c r="L11278" s="787">
        <v>0.24</v>
      </c>
      <c r="M11278" s="787">
        <v>20</v>
      </c>
      <c r="N11278" s="787">
        <v>0.26</v>
      </c>
      <c r="O11278" s="788">
        <v>41858</v>
      </c>
    </row>
    <row r="11279" spans="1:15" x14ac:dyDescent="0.25">
      <c r="A11279" s="786" t="s">
        <v>20214</v>
      </c>
      <c r="B11279" s="787">
        <v>4</v>
      </c>
      <c r="C11279" s="787" t="s">
        <v>20215</v>
      </c>
      <c r="D11279" s="787">
        <v>0.01</v>
      </c>
      <c r="E11279" s="787">
        <v>0.01</v>
      </c>
      <c r="F11279" s="788">
        <v>38981</v>
      </c>
      <c r="G11279" s="788">
        <v>38981</v>
      </c>
      <c r="H11279" s="787">
        <v>6</v>
      </c>
      <c r="I11279" s="788">
        <v>39134</v>
      </c>
      <c r="J11279" s="788">
        <v>38981</v>
      </c>
      <c r="K11279" s="788">
        <v>41869</v>
      </c>
      <c r="L11279" s="787">
        <v>0.01</v>
      </c>
      <c r="M11279" s="787">
        <v>20</v>
      </c>
      <c r="N11279" s="787">
        <v>0.02</v>
      </c>
      <c r="O11279" s="788">
        <v>41858</v>
      </c>
    </row>
    <row r="11280" spans="1:15" x14ac:dyDescent="0.25">
      <c r="A11280" s="786" t="s">
        <v>20216</v>
      </c>
      <c r="B11280" s="787">
        <v>4</v>
      </c>
      <c r="C11280" s="787" t="s">
        <v>20217</v>
      </c>
      <c r="D11280" s="787">
        <v>0.99</v>
      </c>
      <c r="E11280" s="787">
        <v>1.08</v>
      </c>
      <c r="F11280" s="788">
        <v>40318</v>
      </c>
      <c r="G11280" s="788">
        <v>42013</v>
      </c>
      <c r="H11280" s="787">
        <v>1</v>
      </c>
      <c r="I11280" s="788">
        <v>40458</v>
      </c>
      <c r="J11280" s="788">
        <v>41219</v>
      </c>
      <c r="L11280" s="787">
        <v>1.08</v>
      </c>
      <c r="M11280" s="787">
        <v>20</v>
      </c>
      <c r="N11280" s="787">
        <v>1.1599999999999999</v>
      </c>
      <c r="O11280" s="788">
        <v>41858</v>
      </c>
    </row>
    <row r="11281" spans="1:15" x14ac:dyDescent="0.25">
      <c r="A11281" s="786" t="s">
        <v>20218</v>
      </c>
      <c r="B11281" s="787">
        <v>4</v>
      </c>
      <c r="C11281" s="787" t="s">
        <v>20219</v>
      </c>
      <c r="D11281" s="787">
        <v>0.27</v>
      </c>
      <c r="E11281" s="787">
        <v>0.41</v>
      </c>
      <c r="F11281" s="788">
        <v>39967</v>
      </c>
      <c r="G11281" s="788">
        <v>42086</v>
      </c>
      <c r="H11281" s="787">
        <v>1</v>
      </c>
      <c r="J11281" s="788">
        <v>42065</v>
      </c>
      <c r="K11281" s="788">
        <v>40994</v>
      </c>
      <c r="L11281" s="787">
        <v>0.25</v>
      </c>
      <c r="M11281" s="787">
        <v>20</v>
      </c>
      <c r="N11281" s="787">
        <v>0.27</v>
      </c>
      <c r="O11281" s="788">
        <v>41858</v>
      </c>
    </row>
    <row r="11282" spans="1:15" x14ac:dyDescent="0.25">
      <c r="A11282" s="786" t="s">
        <v>20220</v>
      </c>
      <c r="B11282" s="787">
        <v>4</v>
      </c>
      <c r="C11282" s="787" t="s">
        <v>20221</v>
      </c>
      <c r="D11282" s="787">
        <v>0.39</v>
      </c>
      <c r="E11282" s="787">
        <v>1.51</v>
      </c>
      <c r="F11282" s="788">
        <v>39279</v>
      </c>
      <c r="G11282" s="788">
        <v>42013</v>
      </c>
      <c r="H11282" s="787">
        <v>1</v>
      </c>
      <c r="I11282" s="788">
        <v>42130</v>
      </c>
      <c r="J11282" s="788">
        <v>41682</v>
      </c>
      <c r="L11282" s="787">
        <v>1.51</v>
      </c>
      <c r="M11282" s="787">
        <v>20</v>
      </c>
      <c r="N11282" s="787">
        <v>1.62</v>
      </c>
      <c r="O11282" s="788">
        <v>41858</v>
      </c>
    </row>
    <row r="11283" spans="1:15" x14ac:dyDescent="0.25">
      <c r="A11283" s="786" t="s">
        <v>20222</v>
      </c>
      <c r="B11283" s="787">
        <v>4</v>
      </c>
      <c r="C11283" s="787" t="s">
        <v>20223</v>
      </c>
      <c r="D11283" s="787">
        <v>0.99</v>
      </c>
      <c r="E11283" s="787">
        <v>1.08</v>
      </c>
      <c r="F11283" s="788">
        <v>40318</v>
      </c>
      <c r="G11283" s="788">
        <v>42013</v>
      </c>
      <c r="H11283" s="787">
        <v>1</v>
      </c>
      <c r="I11283" s="788">
        <v>41226</v>
      </c>
      <c r="J11283" s="788">
        <v>41219</v>
      </c>
      <c r="L11283" s="787">
        <v>1.08</v>
      </c>
      <c r="M11283" s="787">
        <v>20</v>
      </c>
      <c r="N11283" s="787">
        <v>1.1599999999999999</v>
      </c>
      <c r="O11283" s="788">
        <v>41858</v>
      </c>
    </row>
    <row r="11284" spans="1:15" x14ac:dyDescent="0.25">
      <c r="A11284" s="786" t="s">
        <v>20224</v>
      </c>
      <c r="B11284" s="787">
        <v>4</v>
      </c>
      <c r="C11284" s="787" t="s">
        <v>20225</v>
      </c>
      <c r="D11284" s="787">
        <v>0.84</v>
      </c>
      <c r="E11284" s="787">
        <v>1.08</v>
      </c>
      <c r="F11284" s="788">
        <v>39059</v>
      </c>
      <c r="G11284" s="788">
        <v>41565</v>
      </c>
      <c r="H11284" s="787">
        <v>1</v>
      </c>
      <c r="I11284" s="788">
        <v>41226</v>
      </c>
      <c r="J11284" s="788">
        <v>41219</v>
      </c>
      <c r="L11284" s="787">
        <v>1.08</v>
      </c>
      <c r="M11284" s="787">
        <v>20</v>
      </c>
      <c r="N11284" s="787">
        <v>1.1599999999999999</v>
      </c>
      <c r="O11284" s="788">
        <v>41858</v>
      </c>
    </row>
    <row r="11285" spans="1:15" x14ac:dyDescent="0.25">
      <c r="A11285" s="786" t="s">
        <v>20226</v>
      </c>
      <c r="B11285" s="787">
        <v>4</v>
      </c>
      <c r="C11285" s="787" t="s">
        <v>20227</v>
      </c>
      <c r="D11285" s="787">
        <v>1</v>
      </c>
      <c r="E11285" s="787">
        <v>1.08</v>
      </c>
      <c r="F11285" s="788">
        <v>39974</v>
      </c>
      <c r="G11285" s="788">
        <v>41565</v>
      </c>
      <c r="H11285" s="787">
        <v>1</v>
      </c>
      <c r="I11285" s="788">
        <v>41894</v>
      </c>
      <c r="J11285" s="788">
        <v>41227</v>
      </c>
      <c r="L11285" s="787">
        <v>1.08</v>
      </c>
      <c r="M11285" s="787">
        <v>20</v>
      </c>
      <c r="N11285" s="787">
        <v>1.1599999999999999</v>
      </c>
      <c r="O11285" s="788">
        <v>41858</v>
      </c>
    </row>
    <row r="11286" spans="1:15" x14ac:dyDescent="0.25">
      <c r="A11286" s="786" t="s">
        <v>20228</v>
      </c>
      <c r="B11286" s="787">
        <v>4</v>
      </c>
      <c r="C11286" s="787" t="s">
        <v>20229</v>
      </c>
      <c r="D11286" s="787">
        <v>0.22</v>
      </c>
      <c r="E11286" s="787">
        <v>0.67</v>
      </c>
      <c r="F11286" s="788">
        <v>39434</v>
      </c>
      <c r="G11286" s="788">
        <v>42030</v>
      </c>
      <c r="H11286" s="787">
        <v>1</v>
      </c>
      <c r="I11286" s="788">
        <v>42164</v>
      </c>
      <c r="J11286" s="788">
        <v>42026</v>
      </c>
      <c r="K11286" s="788">
        <v>41869</v>
      </c>
      <c r="L11286" s="787">
        <v>0.62</v>
      </c>
      <c r="M11286" s="787">
        <v>20</v>
      </c>
      <c r="N11286" s="787">
        <v>0.67</v>
      </c>
      <c r="O11286" s="788">
        <v>42146</v>
      </c>
    </row>
    <row r="11287" spans="1:15" x14ac:dyDescent="0.25">
      <c r="A11287" s="786" t="s">
        <v>20230</v>
      </c>
      <c r="B11287" s="787">
        <v>4</v>
      </c>
      <c r="C11287" s="787" t="s">
        <v>20231</v>
      </c>
      <c r="D11287" s="787">
        <v>0.68</v>
      </c>
      <c r="E11287" s="787">
        <v>0.68</v>
      </c>
      <c r="F11287" s="788">
        <v>38946</v>
      </c>
      <c r="G11287" s="788">
        <v>38946</v>
      </c>
      <c r="H11287" s="787">
        <v>1</v>
      </c>
      <c r="I11287" s="788">
        <v>39134</v>
      </c>
      <c r="J11287" s="788">
        <v>38946</v>
      </c>
      <c r="L11287" s="787">
        <v>0.68</v>
      </c>
      <c r="M11287" s="787">
        <v>20</v>
      </c>
      <c r="N11287" s="787">
        <v>0.73</v>
      </c>
      <c r="O11287" s="788">
        <v>41858</v>
      </c>
    </row>
    <row r="11288" spans="1:15" x14ac:dyDescent="0.25">
      <c r="A11288" s="786" t="s">
        <v>20232</v>
      </c>
      <c r="B11288" s="787">
        <v>4</v>
      </c>
      <c r="C11288" s="787" t="s">
        <v>20203</v>
      </c>
      <c r="D11288" s="787">
        <v>0.25</v>
      </c>
      <c r="E11288" s="787">
        <v>0.25</v>
      </c>
      <c r="F11288" s="788">
        <v>38980</v>
      </c>
      <c r="G11288" s="788">
        <v>41282</v>
      </c>
      <c r="H11288" s="787">
        <v>1</v>
      </c>
      <c r="I11288" s="788">
        <v>39134</v>
      </c>
      <c r="J11288" s="788">
        <v>38972</v>
      </c>
      <c r="L11288" s="787">
        <v>0.25</v>
      </c>
      <c r="M11288" s="787">
        <v>20</v>
      </c>
      <c r="N11288" s="787">
        <v>0.27</v>
      </c>
      <c r="O11288" s="788">
        <v>41858</v>
      </c>
    </row>
    <row r="11289" spans="1:15" x14ac:dyDescent="0.25">
      <c r="A11289" s="786" t="s">
        <v>20233</v>
      </c>
      <c r="B11289" s="787">
        <v>4</v>
      </c>
      <c r="C11289" s="787" t="s">
        <v>20234</v>
      </c>
      <c r="D11289" s="787">
        <v>0.25</v>
      </c>
      <c r="E11289" s="787">
        <v>0.25</v>
      </c>
      <c r="F11289" s="788">
        <v>38980</v>
      </c>
      <c r="G11289" s="788">
        <v>38980</v>
      </c>
      <c r="H11289" s="787">
        <v>1</v>
      </c>
      <c r="I11289" s="788">
        <v>39134</v>
      </c>
      <c r="J11289" s="788">
        <v>38972</v>
      </c>
      <c r="L11289" s="787">
        <v>0.25</v>
      </c>
      <c r="M11289" s="787">
        <v>20</v>
      </c>
      <c r="N11289" s="787">
        <v>0.27</v>
      </c>
      <c r="O11289" s="788">
        <v>41858</v>
      </c>
    </row>
    <row r="11290" spans="1:15" x14ac:dyDescent="0.25">
      <c r="A11290" s="786" t="s">
        <v>20235</v>
      </c>
      <c r="B11290" s="787">
        <v>4</v>
      </c>
      <c r="C11290" s="787" t="s">
        <v>20236</v>
      </c>
      <c r="D11290" s="787">
        <v>0.22</v>
      </c>
      <c r="E11290" s="787">
        <v>0.31</v>
      </c>
      <c r="F11290" s="788">
        <v>39434</v>
      </c>
      <c r="G11290" s="788">
        <v>40553</v>
      </c>
      <c r="H11290" s="787">
        <v>1</v>
      </c>
      <c r="I11290" s="788">
        <v>39134</v>
      </c>
      <c r="J11290" s="788">
        <v>40213</v>
      </c>
      <c r="L11290" s="787">
        <v>0.31</v>
      </c>
      <c r="M11290" s="787">
        <v>20</v>
      </c>
      <c r="N11290" s="787">
        <v>0.33</v>
      </c>
      <c r="O11290" s="788">
        <v>41858</v>
      </c>
    </row>
    <row r="11291" spans="1:15" x14ac:dyDescent="0.25">
      <c r="A11291" s="786" t="s">
        <v>20237</v>
      </c>
      <c r="B11291" s="787">
        <v>4</v>
      </c>
      <c r="C11291" s="787" t="s">
        <v>20238</v>
      </c>
      <c r="D11291" s="787">
        <v>0</v>
      </c>
      <c r="E11291" s="787">
        <v>0</v>
      </c>
      <c r="G11291" s="788">
        <v>39590</v>
      </c>
      <c r="H11291" s="787">
        <v>6</v>
      </c>
      <c r="I11291" s="788">
        <v>39856</v>
      </c>
      <c r="J11291" s="788">
        <v>39149</v>
      </c>
      <c r="L11291" s="787">
        <v>5</v>
      </c>
      <c r="M11291" s="787">
        <v>10</v>
      </c>
      <c r="N11291" s="787">
        <v>0</v>
      </c>
      <c r="O11291" s="788">
        <v>40824</v>
      </c>
    </row>
    <row r="11292" spans="1:15" x14ac:dyDescent="0.25">
      <c r="A11292" s="786" t="s">
        <v>20239</v>
      </c>
      <c r="B11292" s="787">
        <v>4</v>
      </c>
      <c r="C11292" s="787" t="s">
        <v>20240</v>
      </c>
      <c r="D11292" s="787">
        <v>0.84</v>
      </c>
      <c r="E11292" s="787">
        <v>1.08</v>
      </c>
      <c r="F11292" s="788">
        <v>39059</v>
      </c>
      <c r="G11292" s="788">
        <v>41565</v>
      </c>
      <c r="H11292" s="787">
        <v>1</v>
      </c>
      <c r="I11292" s="788">
        <v>40392</v>
      </c>
      <c r="J11292" s="788">
        <v>41219</v>
      </c>
      <c r="K11292" s="788">
        <v>41239</v>
      </c>
      <c r="L11292" s="787">
        <v>1.27</v>
      </c>
      <c r="M11292" s="787">
        <v>20</v>
      </c>
      <c r="N11292" s="787">
        <v>1.37</v>
      </c>
      <c r="O11292" s="788">
        <v>41858</v>
      </c>
    </row>
    <row r="11293" spans="1:15" x14ac:dyDescent="0.25">
      <c r="A11293" s="786" t="s">
        <v>20241</v>
      </c>
      <c r="B11293" s="787">
        <v>4</v>
      </c>
      <c r="C11293" s="787" t="s">
        <v>20242</v>
      </c>
      <c r="D11293" s="787">
        <v>0.84</v>
      </c>
      <c r="E11293" s="787">
        <v>1.08</v>
      </c>
      <c r="F11293" s="788">
        <v>39059</v>
      </c>
      <c r="G11293" s="788">
        <v>41565</v>
      </c>
      <c r="H11293" s="787">
        <v>1</v>
      </c>
      <c r="I11293" s="788">
        <v>39134</v>
      </c>
      <c r="J11293" s="788">
        <v>41227</v>
      </c>
      <c r="K11293" s="788">
        <v>41239</v>
      </c>
      <c r="L11293" s="787">
        <v>0.84</v>
      </c>
      <c r="M11293" s="787">
        <v>20</v>
      </c>
      <c r="N11293" s="787">
        <v>0.9</v>
      </c>
      <c r="O11293" s="788">
        <v>41858</v>
      </c>
    </row>
    <row r="11294" spans="1:15" x14ac:dyDescent="0.25">
      <c r="A11294" s="786" t="s">
        <v>20243</v>
      </c>
      <c r="B11294" s="787">
        <v>4</v>
      </c>
      <c r="C11294" s="787" t="s">
        <v>20179</v>
      </c>
      <c r="D11294" s="787">
        <v>0.24</v>
      </c>
      <c r="E11294" s="787">
        <v>0.24</v>
      </c>
      <c r="F11294" s="788">
        <v>39184</v>
      </c>
      <c r="G11294" s="788">
        <v>42013</v>
      </c>
      <c r="H11294" s="787">
        <v>1</v>
      </c>
      <c r="I11294" s="788">
        <v>41565</v>
      </c>
      <c r="J11294" s="788">
        <v>39185</v>
      </c>
      <c r="L11294" s="787">
        <v>0.24</v>
      </c>
      <c r="M11294" s="787">
        <v>20</v>
      </c>
      <c r="N11294" s="787">
        <v>0.26</v>
      </c>
      <c r="O11294" s="788">
        <v>41858</v>
      </c>
    </row>
    <row r="11295" spans="1:15" x14ac:dyDescent="0.25">
      <c r="A11295" s="786" t="s">
        <v>20244</v>
      </c>
      <c r="B11295" s="787">
        <v>4</v>
      </c>
      <c r="C11295" s="787" t="s">
        <v>20245</v>
      </c>
      <c r="D11295" s="787">
        <v>0.97</v>
      </c>
      <c r="E11295" s="787">
        <v>1.08</v>
      </c>
      <c r="F11295" s="788">
        <v>39974</v>
      </c>
      <c r="G11295" s="788">
        <v>41565</v>
      </c>
      <c r="H11295" s="787">
        <v>1</v>
      </c>
      <c r="I11295" s="788">
        <v>40392</v>
      </c>
      <c r="J11295" s="788">
        <v>41227</v>
      </c>
      <c r="L11295" s="787">
        <v>1.08</v>
      </c>
      <c r="M11295" s="787">
        <v>20</v>
      </c>
      <c r="N11295" s="787">
        <v>1.1599999999999999</v>
      </c>
      <c r="O11295" s="788">
        <v>41858</v>
      </c>
    </row>
    <row r="11296" spans="1:15" x14ac:dyDescent="0.25">
      <c r="A11296" s="786" t="s">
        <v>20246</v>
      </c>
      <c r="B11296" s="787">
        <v>4</v>
      </c>
      <c r="C11296" s="787" t="s">
        <v>20247</v>
      </c>
      <c r="D11296" s="787">
        <v>1</v>
      </c>
      <c r="E11296" s="787">
        <v>1.08</v>
      </c>
      <c r="F11296" s="788">
        <v>39974</v>
      </c>
      <c r="G11296" s="788">
        <v>41565</v>
      </c>
      <c r="H11296" s="787">
        <v>1</v>
      </c>
      <c r="I11296" s="788">
        <v>40392</v>
      </c>
      <c r="J11296" s="788">
        <v>41227</v>
      </c>
      <c r="K11296" s="788">
        <v>41239</v>
      </c>
      <c r="L11296" s="787">
        <v>1.27</v>
      </c>
      <c r="M11296" s="787">
        <v>20</v>
      </c>
      <c r="N11296" s="787">
        <v>1.37</v>
      </c>
      <c r="O11296" s="788">
        <v>41858</v>
      </c>
    </row>
    <row r="11297" spans="1:15" x14ac:dyDescent="0.25">
      <c r="A11297" s="786" t="s">
        <v>20248</v>
      </c>
      <c r="B11297" s="787">
        <v>4</v>
      </c>
      <c r="C11297" s="787" t="s">
        <v>20249</v>
      </c>
      <c r="D11297" s="787">
        <v>0</v>
      </c>
      <c r="E11297" s="787">
        <v>0</v>
      </c>
      <c r="H11297" s="787">
        <v>6</v>
      </c>
      <c r="K11297" s="788">
        <v>41218</v>
      </c>
      <c r="L11297" s="787">
        <v>0.1</v>
      </c>
      <c r="M11297" s="787">
        <v>10</v>
      </c>
      <c r="N11297" s="787">
        <v>65.73</v>
      </c>
      <c r="O11297" s="788">
        <v>41740</v>
      </c>
    </row>
    <row r="11298" spans="1:15" x14ac:dyDescent="0.25">
      <c r="A11298" s="786" t="s">
        <v>20250</v>
      </c>
      <c r="B11298" s="787">
        <v>4</v>
      </c>
      <c r="C11298" s="787" t="s">
        <v>20251</v>
      </c>
      <c r="D11298" s="787">
        <v>0</v>
      </c>
      <c r="E11298" s="787">
        <v>0</v>
      </c>
      <c r="H11298" s="787">
        <v>6</v>
      </c>
      <c r="K11298" s="788">
        <v>41443</v>
      </c>
      <c r="L11298" s="787">
        <v>1</v>
      </c>
      <c r="M11298" s="787">
        <v>20</v>
      </c>
      <c r="N11298" s="787">
        <v>1.08</v>
      </c>
      <c r="O11298" s="788">
        <v>41543</v>
      </c>
    </row>
    <row r="11299" spans="1:15" x14ac:dyDescent="0.25">
      <c r="A11299" s="786" t="s">
        <v>20252</v>
      </c>
      <c r="B11299" s="787">
        <v>4</v>
      </c>
      <c r="C11299" s="787" t="s">
        <v>20253</v>
      </c>
      <c r="D11299" s="787">
        <v>0</v>
      </c>
      <c r="E11299" s="787">
        <v>0</v>
      </c>
      <c r="H11299" s="787">
        <v>6</v>
      </c>
      <c r="K11299" s="788">
        <v>41443</v>
      </c>
      <c r="L11299" s="787">
        <v>1</v>
      </c>
      <c r="M11299" s="787">
        <v>20</v>
      </c>
      <c r="N11299" s="787">
        <v>1.08</v>
      </c>
      <c r="O11299" s="788">
        <v>41543</v>
      </c>
    </row>
    <row r="11300" spans="1:15" x14ac:dyDescent="0.25">
      <c r="A11300" s="786" t="s">
        <v>20254</v>
      </c>
      <c r="B11300" s="787">
        <v>4</v>
      </c>
      <c r="C11300" s="787" t="s">
        <v>20255</v>
      </c>
      <c r="D11300" s="787">
        <v>4.6500000000000004</v>
      </c>
      <c r="E11300" s="787">
        <v>4.6500000000000004</v>
      </c>
      <c r="F11300" s="788">
        <v>41278</v>
      </c>
      <c r="G11300" s="788">
        <v>41278</v>
      </c>
      <c r="H11300" s="787">
        <v>6</v>
      </c>
      <c r="I11300" s="788">
        <v>41221</v>
      </c>
      <c r="J11300" s="788">
        <v>41222</v>
      </c>
      <c r="K11300" s="788">
        <v>41218</v>
      </c>
      <c r="L11300" s="787">
        <v>0.1</v>
      </c>
      <c r="M11300" s="787">
        <v>10</v>
      </c>
      <c r="N11300" s="787">
        <v>68.260000000000005</v>
      </c>
      <c r="O11300" s="788">
        <v>41740</v>
      </c>
    </row>
    <row r="11301" spans="1:15" x14ac:dyDescent="0.25">
      <c r="A11301" s="786" t="s">
        <v>20256</v>
      </c>
      <c r="B11301" s="787">
        <v>4</v>
      </c>
      <c r="C11301" s="787" t="s">
        <v>20257</v>
      </c>
      <c r="D11301" s="787">
        <v>0.28000000000000003</v>
      </c>
      <c r="E11301" s="787">
        <v>0.28000000000000003</v>
      </c>
      <c r="F11301" s="788">
        <v>40056</v>
      </c>
      <c r="G11301" s="788">
        <v>42013</v>
      </c>
      <c r="H11301" s="787">
        <v>1</v>
      </c>
      <c r="J11301" s="788">
        <v>40057</v>
      </c>
      <c r="K11301" s="788">
        <v>40036</v>
      </c>
      <c r="L11301" s="787">
        <v>0.24</v>
      </c>
      <c r="M11301" s="787">
        <v>20</v>
      </c>
      <c r="N11301" s="787">
        <v>0.26</v>
      </c>
      <c r="O11301" s="788">
        <v>41858</v>
      </c>
    </row>
    <row r="11302" spans="1:15" x14ac:dyDescent="0.25">
      <c r="A11302" s="786" t="s">
        <v>20258</v>
      </c>
      <c r="B11302" s="787">
        <v>4</v>
      </c>
      <c r="C11302" s="787" t="s">
        <v>20179</v>
      </c>
      <c r="D11302" s="787">
        <v>1.81</v>
      </c>
      <c r="E11302" s="787">
        <v>3.18</v>
      </c>
      <c r="F11302" s="788">
        <v>40689</v>
      </c>
      <c r="G11302" s="788">
        <v>42165</v>
      </c>
      <c r="H11302" s="787">
        <v>1</v>
      </c>
      <c r="I11302" s="788">
        <v>42166</v>
      </c>
      <c r="J11302" s="788">
        <v>42150</v>
      </c>
      <c r="K11302" s="788">
        <v>41865</v>
      </c>
      <c r="L11302" s="787">
        <v>1.1499999999999999</v>
      </c>
      <c r="M11302" s="787">
        <v>20</v>
      </c>
      <c r="N11302" s="787">
        <v>1.24</v>
      </c>
      <c r="O11302" s="788">
        <v>42019</v>
      </c>
    </row>
    <row r="11303" spans="1:15" x14ac:dyDescent="0.25">
      <c r="A11303" s="786" t="s">
        <v>20259</v>
      </c>
      <c r="B11303" s="787">
        <v>4</v>
      </c>
      <c r="C11303" s="787" t="s">
        <v>20260</v>
      </c>
      <c r="D11303" s="787">
        <v>0.34</v>
      </c>
      <c r="E11303" s="787">
        <v>1.72</v>
      </c>
      <c r="F11303" s="788">
        <v>40540</v>
      </c>
      <c r="G11303" s="788">
        <v>42046</v>
      </c>
      <c r="H11303" s="787">
        <v>1</v>
      </c>
      <c r="I11303" s="788">
        <v>42165</v>
      </c>
      <c r="J11303" s="788">
        <v>42033</v>
      </c>
      <c r="K11303" s="788">
        <v>40994</v>
      </c>
      <c r="L11303" s="787">
        <v>0.35</v>
      </c>
      <c r="M11303" s="787">
        <v>20</v>
      </c>
      <c r="N11303" s="787">
        <v>0.38</v>
      </c>
      <c r="O11303" s="788">
        <v>42146</v>
      </c>
    </row>
    <row r="11304" spans="1:15" x14ac:dyDescent="0.25">
      <c r="A11304" s="786" t="s">
        <v>20261</v>
      </c>
      <c r="B11304" s="787">
        <v>4</v>
      </c>
      <c r="C11304" s="787" t="s">
        <v>20179</v>
      </c>
      <c r="D11304" s="787">
        <v>1.81</v>
      </c>
      <c r="E11304" s="787">
        <v>1.81</v>
      </c>
      <c r="F11304" s="788">
        <v>40689</v>
      </c>
      <c r="G11304" s="788">
        <v>42013</v>
      </c>
      <c r="H11304" s="787">
        <v>1</v>
      </c>
      <c r="I11304" s="788">
        <v>42165</v>
      </c>
      <c r="J11304" s="788">
        <v>40690</v>
      </c>
      <c r="K11304" s="788">
        <v>40662</v>
      </c>
      <c r="L11304" s="787">
        <v>0.56999999999999995</v>
      </c>
      <c r="M11304" s="787">
        <v>20</v>
      </c>
      <c r="N11304" s="787">
        <v>0.61</v>
      </c>
      <c r="O11304" s="788">
        <v>42026</v>
      </c>
    </row>
    <row r="11305" spans="1:15" x14ac:dyDescent="0.25">
      <c r="A11305" s="786" t="s">
        <v>20262</v>
      </c>
      <c r="B11305" s="787">
        <v>4</v>
      </c>
      <c r="C11305" s="787" t="s">
        <v>20263</v>
      </c>
      <c r="D11305" s="787">
        <v>0.59</v>
      </c>
      <c r="E11305" s="787">
        <v>0.67</v>
      </c>
      <c r="F11305" s="788">
        <v>40728</v>
      </c>
      <c r="G11305" s="788">
        <v>42030</v>
      </c>
      <c r="H11305" s="787">
        <v>1</v>
      </c>
      <c r="I11305" s="788">
        <v>42166</v>
      </c>
      <c r="J11305" s="788">
        <v>42026</v>
      </c>
      <c r="K11305" s="788">
        <v>41190</v>
      </c>
      <c r="L11305" s="787">
        <v>0.6</v>
      </c>
      <c r="M11305" s="787">
        <v>20</v>
      </c>
      <c r="N11305" s="787">
        <v>0.65</v>
      </c>
      <c r="O11305" s="788">
        <v>42146</v>
      </c>
    </row>
    <row r="11306" spans="1:15" x14ac:dyDescent="0.25">
      <c r="A11306" s="786" t="s">
        <v>20264</v>
      </c>
      <c r="B11306" s="787">
        <v>4</v>
      </c>
      <c r="C11306" s="787" t="s">
        <v>20265</v>
      </c>
      <c r="D11306" s="787">
        <v>0.25</v>
      </c>
      <c r="E11306" s="787">
        <v>0.38</v>
      </c>
      <c r="F11306" s="788">
        <v>41130</v>
      </c>
      <c r="G11306" s="788">
        <v>42024</v>
      </c>
      <c r="H11306" s="787">
        <v>1</v>
      </c>
      <c r="J11306" s="788">
        <v>42019</v>
      </c>
      <c r="K11306" s="788">
        <v>41099</v>
      </c>
      <c r="L11306" s="787">
        <v>0.25</v>
      </c>
      <c r="M11306" s="787">
        <v>20</v>
      </c>
      <c r="N11306" s="787">
        <v>0.27</v>
      </c>
      <c r="O11306" s="788">
        <v>41858</v>
      </c>
    </row>
    <row r="11307" spans="1:15" x14ac:dyDescent="0.25">
      <c r="A11307" s="786" t="s">
        <v>20266</v>
      </c>
      <c r="B11307" s="787">
        <v>4</v>
      </c>
      <c r="C11307" s="787" t="s">
        <v>20263</v>
      </c>
      <c r="D11307" s="787">
        <v>0.62</v>
      </c>
      <c r="E11307" s="787">
        <v>0.67</v>
      </c>
      <c r="F11307" s="788">
        <v>41260</v>
      </c>
      <c r="G11307" s="788">
        <v>42030</v>
      </c>
      <c r="H11307" s="787">
        <v>1</v>
      </c>
      <c r="I11307" s="788">
        <v>42025</v>
      </c>
      <c r="J11307" s="788">
        <v>42026</v>
      </c>
      <c r="K11307" s="788">
        <v>40940</v>
      </c>
      <c r="L11307" s="787">
        <v>0.57999999999999996</v>
      </c>
      <c r="M11307" s="787">
        <v>20</v>
      </c>
      <c r="N11307" s="787">
        <v>0.62</v>
      </c>
      <c r="O11307" s="788">
        <v>42038</v>
      </c>
    </row>
    <row r="11308" spans="1:15" x14ac:dyDescent="0.25">
      <c r="A11308" s="786" t="s">
        <v>20267</v>
      </c>
      <c r="B11308" s="787">
        <v>4</v>
      </c>
      <c r="C11308" s="787" t="s">
        <v>20268</v>
      </c>
      <c r="D11308" s="787">
        <v>0</v>
      </c>
      <c r="E11308" s="787">
        <v>0</v>
      </c>
      <c r="H11308" s="787">
        <v>1</v>
      </c>
      <c r="L11308" s="787">
        <v>0.5</v>
      </c>
      <c r="M11308" s="787">
        <v>20</v>
      </c>
      <c r="N11308" s="787">
        <v>0.54</v>
      </c>
      <c r="O11308" s="788">
        <v>41858</v>
      </c>
    </row>
    <row r="11309" spans="1:15" x14ac:dyDescent="0.25">
      <c r="A11309" s="786" t="s">
        <v>20269</v>
      </c>
      <c r="B11309" s="787">
        <v>4</v>
      </c>
      <c r="C11309" s="787" t="s">
        <v>20270</v>
      </c>
      <c r="D11309" s="787">
        <v>0</v>
      </c>
      <c r="E11309" s="787">
        <v>0</v>
      </c>
      <c r="H11309" s="787">
        <v>1</v>
      </c>
      <c r="J11309" s="788">
        <v>37643</v>
      </c>
      <c r="L11309" s="787">
        <v>0</v>
      </c>
      <c r="M11309" s="787">
        <v>20</v>
      </c>
      <c r="N11309" s="787">
        <v>0</v>
      </c>
      <c r="O11309" s="788">
        <v>40824</v>
      </c>
    </row>
    <row r="11310" spans="1:15" x14ac:dyDescent="0.25">
      <c r="A11310" s="786" t="s">
        <v>20271</v>
      </c>
      <c r="B11310" s="787">
        <v>4</v>
      </c>
      <c r="C11310" s="787" t="s">
        <v>20272</v>
      </c>
      <c r="D11310" s="787">
        <v>3.27</v>
      </c>
      <c r="E11310" s="787">
        <v>3.35</v>
      </c>
      <c r="F11310" s="788">
        <v>41731</v>
      </c>
      <c r="G11310" s="788">
        <v>42125</v>
      </c>
      <c r="H11310" s="787">
        <v>1</v>
      </c>
      <c r="I11310" s="788">
        <v>42067</v>
      </c>
      <c r="J11310" s="788">
        <v>42086</v>
      </c>
      <c r="K11310" s="788">
        <v>41869</v>
      </c>
      <c r="L11310" s="787">
        <v>3.27</v>
      </c>
      <c r="M11310" s="787">
        <v>20</v>
      </c>
      <c r="N11310" s="787">
        <v>3.52</v>
      </c>
      <c r="O11310" s="788">
        <v>41920</v>
      </c>
    </row>
    <row r="11311" spans="1:15" x14ac:dyDescent="0.25">
      <c r="A11311" s="786" t="s">
        <v>20273</v>
      </c>
      <c r="B11311" s="787">
        <v>4</v>
      </c>
      <c r="C11311" s="787" t="s">
        <v>20274</v>
      </c>
      <c r="D11311" s="787">
        <v>0.25</v>
      </c>
      <c r="E11311" s="787">
        <v>0.38</v>
      </c>
      <c r="F11311" s="788">
        <v>41130</v>
      </c>
      <c r="G11311" s="788">
        <v>42024</v>
      </c>
      <c r="H11311" s="787">
        <v>1</v>
      </c>
      <c r="J11311" s="788">
        <v>42019</v>
      </c>
      <c r="K11311" s="788">
        <v>41099</v>
      </c>
      <c r="L11311" s="787">
        <v>0.25</v>
      </c>
      <c r="M11311" s="787">
        <v>20</v>
      </c>
      <c r="N11311" s="787">
        <v>0.27</v>
      </c>
      <c r="O11311" s="788">
        <v>41858</v>
      </c>
    </row>
    <row r="11312" spans="1:15" x14ac:dyDescent="0.25">
      <c r="A11312" s="786" t="s">
        <v>20275</v>
      </c>
      <c r="B11312" s="787">
        <v>4</v>
      </c>
      <c r="C11312" s="787" t="s">
        <v>20276</v>
      </c>
      <c r="D11312" s="787">
        <v>2.1</v>
      </c>
      <c r="E11312" s="787">
        <v>2.1</v>
      </c>
      <c r="F11312" s="788">
        <v>41579</v>
      </c>
      <c r="G11312" s="788">
        <v>41579</v>
      </c>
      <c r="H11312" s="787">
        <v>1</v>
      </c>
      <c r="J11312" s="788">
        <v>41549</v>
      </c>
      <c r="L11312" s="787">
        <v>0.2</v>
      </c>
      <c r="M11312" s="787">
        <v>10</v>
      </c>
      <c r="N11312" s="787">
        <v>2.17</v>
      </c>
      <c r="O11312" s="788">
        <v>41858</v>
      </c>
    </row>
    <row r="11313" spans="1:15" x14ac:dyDescent="0.25">
      <c r="A11313" s="786" t="s">
        <v>20277</v>
      </c>
      <c r="B11313" s="787">
        <v>4</v>
      </c>
      <c r="C11313" s="787" t="s">
        <v>20278</v>
      </c>
      <c r="D11313" s="787">
        <v>0.85</v>
      </c>
      <c r="E11313" s="787">
        <v>0.85</v>
      </c>
      <c r="F11313" s="788">
        <v>41579</v>
      </c>
      <c r="G11313" s="788">
        <v>41579</v>
      </c>
      <c r="H11313" s="787">
        <v>1</v>
      </c>
      <c r="J11313" s="788">
        <v>41549</v>
      </c>
      <c r="L11313" s="787">
        <v>0.2</v>
      </c>
      <c r="M11313" s="787">
        <v>10</v>
      </c>
      <c r="N11313" s="787">
        <v>2.17</v>
      </c>
      <c r="O11313" s="788">
        <v>41858</v>
      </c>
    </row>
    <row r="11314" spans="1:15" x14ac:dyDescent="0.25">
      <c r="A11314" s="786" t="s">
        <v>20279</v>
      </c>
      <c r="B11314" s="787">
        <v>4</v>
      </c>
      <c r="C11314" s="787" t="s">
        <v>20280</v>
      </c>
      <c r="D11314" s="787">
        <v>0.76</v>
      </c>
      <c r="E11314" s="787">
        <v>0.76</v>
      </c>
      <c r="F11314" s="788">
        <v>42019</v>
      </c>
      <c r="G11314" s="788">
        <v>42024</v>
      </c>
      <c r="H11314" s="787">
        <v>1</v>
      </c>
      <c r="J11314" s="788">
        <v>42019</v>
      </c>
      <c r="K11314" s="788">
        <v>41865</v>
      </c>
      <c r="L11314" s="787">
        <v>0.5</v>
      </c>
      <c r="M11314" s="787">
        <v>20</v>
      </c>
      <c r="N11314" s="787">
        <v>0.22</v>
      </c>
      <c r="O11314" s="788">
        <v>41858</v>
      </c>
    </row>
    <row r="11315" spans="1:15" x14ac:dyDescent="0.25">
      <c r="A11315" s="786" t="s">
        <v>20281</v>
      </c>
      <c r="B11315" s="787">
        <v>4</v>
      </c>
      <c r="C11315" s="787" t="s">
        <v>20282</v>
      </c>
      <c r="D11315" s="787">
        <v>0.76</v>
      </c>
      <c r="E11315" s="787">
        <v>0.76</v>
      </c>
      <c r="F11315" s="788">
        <v>42019</v>
      </c>
      <c r="G11315" s="788">
        <v>42024</v>
      </c>
      <c r="H11315" s="787">
        <v>1</v>
      </c>
      <c r="J11315" s="788">
        <v>42019</v>
      </c>
      <c r="K11315" s="788">
        <v>41864</v>
      </c>
      <c r="L11315" s="787">
        <v>1.24</v>
      </c>
      <c r="M11315" s="787">
        <v>20</v>
      </c>
      <c r="N11315" s="787">
        <v>0.22</v>
      </c>
      <c r="O11315" s="788">
        <v>41858</v>
      </c>
    </row>
    <row r="11316" spans="1:15" x14ac:dyDescent="0.25">
      <c r="A11316" s="786" t="s">
        <v>20283</v>
      </c>
      <c r="B11316" s="787">
        <v>4</v>
      </c>
      <c r="C11316" s="787" t="s">
        <v>20284</v>
      </c>
      <c r="D11316" s="787">
        <v>0.69</v>
      </c>
      <c r="E11316" s="787">
        <v>1.72</v>
      </c>
      <c r="F11316" s="788">
        <v>41795</v>
      </c>
      <c r="G11316" s="788">
        <v>42046</v>
      </c>
      <c r="H11316" s="787">
        <v>1</v>
      </c>
      <c r="I11316" s="788">
        <v>42151</v>
      </c>
      <c r="J11316" s="788">
        <v>42033</v>
      </c>
      <c r="K11316" s="788">
        <v>41864</v>
      </c>
      <c r="L11316" s="787">
        <v>0.7</v>
      </c>
      <c r="M11316" s="787">
        <v>20</v>
      </c>
      <c r="N11316" s="787">
        <v>0.75</v>
      </c>
      <c r="O11316" s="788">
        <v>42146</v>
      </c>
    </row>
    <row r="11317" spans="1:15" x14ac:dyDescent="0.25">
      <c r="A11317" s="786" t="s">
        <v>20285</v>
      </c>
      <c r="B11317" s="787">
        <v>4</v>
      </c>
      <c r="C11317" s="787" t="s">
        <v>20286</v>
      </c>
      <c r="D11317" s="787">
        <v>0.61</v>
      </c>
      <c r="E11317" s="787">
        <v>0.61</v>
      </c>
      <c r="F11317" s="788">
        <v>41819</v>
      </c>
      <c r="G11317" s="788">
        <v>41837</v>
      </c>
      <c r="H11317" s="787">
        <v>1</v>
      </c>
      <c r="J11317" s="788">
        <v>41816</v>
      </c>
      <c r="K11317" s="788">
        <v>41795</v>
      </c>
      <c r="L11317" s="787">
        <v>0.56999999999999995</v>
      </c>
      <c r="M11317" s="787">
        <v>20</v>
      </c>
      <c r="N11317" s="787">
        <v>0.61</v>
      </c>
      <c r="O11317" s="788">
        <v>41858</v>
      </c>
    </row>
    <row r="11318" spans="1:15" x14ac:dyDescent="0.25">
      <c r="A11318" s="786" t="s">
        <v>20287</v>
      </c>
      <c r="B11318" s="787">
        <v>4</v>
      </c>
      <c r="C11318" s="787" t="s">
        <v>20288</v>
      </c>
      <c r="D11318" s="787">
        <v>0.61</v>
      </c>
      <c r="E11318" s="787">
        <v>0.61</v>
      </c>
      <c r="F11318" s="788">
        <v>41819</v>
      </c>
      <c r="G11318" s="788">
        <v>41837</v>
      </c>
      <c r="H11318" s="787">
        <v>1</v>
      </c>
      <c r="J11318" s="788">
        <v>41816</v>
      </c>
      <c r="K11318" s="788">
        <v>41795</v>
      </c>
      <c r="L11318" s="787">
        <v>0.56999999999999995</v>
      </c>
      <c r="M11318" s="787">
        <v>20</v>
      </c>
      <c r="N11318" s="787">
        <v>0.61</v>
      </c>
      <c r="O11318" s="788">
        <v>41858</v>
      </c>
    </row>
    <row r="11319" spans="1:15" x14ac:dyDescent="0.25">
      <c r="A11319" s="786" t="s">
        <v>20289</v>
      </c>
      <c r="B11319" s="787">
        <v>4</v>
      </c>
      <c r="C11319" s="787" t="s">
        <v>20290</v>
      </c>
      <c r="D11319" s="787">
        <v>0</v>
      </c>
      <c r="E11319" s="787">
        <v>0</v>
      </c>
      <c r="H11319" s="787">
        <v>1</v>
      </c>
      <c r="L11319" s="787">
        <v>0.01</v>
      </c>
      <c r="M11319" s="787">
        <v>20</v>
      </c>
      <c r="N11319" s="787">
        <v>0.01</v>
      </c>
      <c r="O11319" s="788">
        <v>41858</v>
      </c>
    </row>
    <row r="11320" spans="1:15" x14ac:dyDescent="0.25">
      <c r="A11320" s="786" t="s">
        <v>20291</v>
      </c>
      <c r="B11320" s="787">
        <v>4</v>
      </c>
      <c r="C11320" s="787" t="s">
        <v>20292</v>
      </c>
      <c r="D11320" s="787">
        <v>0.21</v>
      </c>
      <c r="E11320" s="787">
        <v>0.21</v>
      </c>
      <c r="F11320" s="788">
        <v>42079</v>
      </c>
      <c r="G11320" s="788">
        <v>42125</v>
      </c>
      <c r="H11320" s="787">
        <v>1</v>
      </c>
      <c r="J11320" s="788">
        <v>42065</v>
      </c>
      <c r="K11320" s="788">
        <v>42062</v>
      </c>
      <c r="L11320" s="787">
        <v>0.19</v>
      </c>
      <c r="M11320" s="787">
        <v>20</v>
      </c>
      <c r="N11320" s="787">
        <v>0.2</v>
      </c>
      <c r="O11320" s="788">
        <v>42065</v>
      </c>
    </row>
    <row r="11321" spans="1:15" x14ac:dyDescent="0.25">
      <c r="A11321" s="786" t="s">
        <v>20293</v>
      </c>
      <c r="B11321" s="787">
        <v>4</v>
      </c>
      <c r="C11321" s="787" t="s">
        <v>20294</v>
      </c>
      <c r="D11321" s="787">
        <v>7.2</v>
      </c>
      <c r="E11321" s="787">
        <v>10.18</v>
      </c>
      <c r="F11321" s="788">
        <v>38994</v>
      </c>
      <c r="G11321" s="788">
        <v>41962</v>
      </c>
      <c r="H11321" s="787">
        <v>1</v>
      </c>
      <c r="I11321" s="788">
        <v>41957</v>
      </c>
      <c r="J11321" s="788">
        <v>41921</v>
      </c>
      <c r="L11321" s="787">
        <v>9.65</v>
      </c>
      <c r="M11321" s="787">
        <v>20</v>
      </c>
      <c r="N11321" s="787">
        <v>10.37</v>
      </c>
      <c r="O11321" s="788">
        <v>42018</v>
      </c>
    </row>
    <row r="11322" spans="1:15" x14ac:dyDescent="0.25">
      <c r="A11322" s="786" t="s">
        <v>20295</v>
      </c>
      <c r="B11322" s="787">
        <v>4</v>
      </c>
      <c r="C11322" s="787" t="s">
        <v>20296</v>
      </c>
      <c r="D11322" s="787">
        <v>1.38</v>
      </c>
      <c r="E11322" s="787">
        <v>2.13</v>
      </c>
      <c r="F11322" s="788">
        <v>37650</v>
      </c>
      <c r="G11322" s="788">
        <v>42156</v>
      </c>
      <c r="H11322" s="787">
        <v>1</v>
      </c>
      <c r="I11322" s="788">
        <v>41177</v>
      </c>
      <c r="J11322" s="788">
        <v>42132</v>
      </c>
      <c r="K11322" s="788">
        <v>41758</v>
      </c>
      <c r="L11322" s="787">
        <v>2.11</v>
      </c>
      <c r="M11322" s="787">
        <v>20</v>
      </c>
      <c r="N11322" s="787">
        <v>2.27</v>
      </c>
      <c r="O11322" s="788">
        <v>41858</v>
      </c>
    </row>
    <row r="11323" spans="1:15" x14ac:dyDescent="0.25">
      <c r="A11323" s="786" t="s">
        <v>20297</v>
      </c>
      <c r="B11323" s="787">
        <v>4</v>
      </c>
      <c r="C11323" s="787" t="s">
        <v>20298</v>
      </c>
      <c r="D11323" s="787">
        <v>1.1200000000000001</v>
      </c>
      <c r="E11323" s="787">
        <v>1.1200000000000001</v>
      </c>
      <c r="F11323" s="788">
        <v>39101</v>
      </c>
      <c r="G11323" s="788">
        <v>39101</v>
      </c>
      <c r="H11323" s="787">
        <v>6</v>
      </c>
      <c r="I11323" s="788">
        <v>39758</v>
      </c>
      <c r="J11323" s="788">
        <v>39101</v>
      </c>
      <c r="L11323" s="787">
        <v>1.22</v>
      </c>
      <c r="M11323" s="787">
        <v>20</v>
      </c>
      <c r="N11323" s="787">
        <v>1.2</v>
      </c>
      <c r="O11323" s="788">
        <v>41806</v>
      </c>
    </row>
    <row r="11324" spans="1:15" x14ac:dyDescent="0.25">
      <c r="A11324" s="786" t="s">
        <v>20299</v>
      </c>
      <c r="B11324" s="787">
        <v>4</v>
      </c>
      <c r="C11324" s="787" t="s">
        <v>20300</v>
      </c>
      <c r="D11324" s="787">
        <v>0</v>
      </c>
      <c r="E11324" s="787">
        <v>0</v>
      </c>
      <c r="H11324" s="787">
        <v>1</v>
      </c>
      <c r="J11324" s="788">
        <v>37287</v>
      </c>
      <c r="L11324" s="787">
        <v>0</v>
      </c>
      <c r="M11324" s="787">
        <v>20</v>
      </c>
      <c r="N11324" s="787">
        <v>0</v>
      </c>
      <c r="O11324" s="788">
        <v>40824</v>
      </c>
    </row>
    <row r="11325" spans="1:15" x14ac:dyDescent="0.25">
      <c r="A11325" s="786" t="s">
        <v>20301</v>
      </c>
      <c r="B11325" s="787">
        <v>4</v>
      </c>
      <c r="C11325" s="787" t="s">
        <v>20302</v>
      </c>
      <c r="D11325" s="787">
        <v>4</v>
      </c>
      <c r="E11325" s="787">
        <v>36.4</v>
      </c>
      <c r="F11325" s="788">
        <v>39155</v>
      </c>
      <c r="G11325" s="788">
        <v>41540</v>
      </c>
      <c r="H11325" s="787">
        <v>1</v>
      </c>
      <c r="I11325" s="788">
        <v>39400</v>
      </c>
      <c r="J11325" s="788">
        <v>42115</v>
      </c>
      <c r="L11325" s="787">
        <v>22.53</v>
      </c>
      <c r="M11325" s="787">
        <v>20</v>
      </c>
      <c r="N11325" s="787">
        <v>24.22</v>
      </c>
      <c r="O11325" s="788">
        <v>41858</v>
      </c>
    </row>
    <row r="11326" spans="1:15" x14ac:dyDescent="0.25">
      <c r="A11326" s="786" t="s">
        <v>20303</v>
      </c>
      <c r="B11326" s="787">
        <v>4</v>
      </c>
      <c r="C11326" s="787" t="s">
        <v>20304</v>
      </c>
      <c r="D11326" s="787">
        <v>8.6999999999999993</v>
      </c>
      <c r="E11326" s="787">
        <v>8.6999999999999993</v>
      </c>
      <c r="F11326" s="788">
        <v>39101</v>
      </c>
      <c r="G11326" s="788">
        <v>39101</v>
      </c>
      <c r="H11326" s="787">
        <v>1</v>
      </c>
      <c r="I11326" s="788">
        <v>41015</v>
      </c>
      <c r="J11326" s="788">
        <v>39101</v>
      </c>
      <c r="L11326" s="787">
        <v>9.4700000000000006</v>
      </c>
      <c r="M11326" s="787">
        <v>20</v>
      </c>
      <c r="N11326" s="787">
        <v>10.18</v>
      </c>
      <c r="O11326" s="788">
        <v>41858</v>
      </c>
    </row>
    <row r="11327" spans="1:15" x14ac:dyDescent="0.25">
      <c r="A11327" s="786" t="s">
        <v>20305</v>
      </c>
      <c r="B11327" s="787">
        <v>4</v>
      </c>
      <c r="C11327" s="787" t="s">
        <v>20306</v>
      </c>
      <c r="D11327" s="787">
        <v>3.92</v>
      </c>
      <c r="E11327" s="787">
        <v>16.43</v>
      </c>
      <c r="F11327" s="788">
        <v>38307</v>
      </c>
      <c r="G11327" s="788">
        <v>42013</v>
      </c>
      <c r="H11327" s="787">
        <v>1</v>
      </c>
      <c r="I11327" s="788">
        <v>40407</v>
      </c>
      <c r="J11327" s="788">
        <v>41926</v>
      </c>
      <c r="L11327" s="787">
        <v>15.17</v>
      </c>
      <c r="M11327" s="787">
        <v>20</v>
      </c>
      <c r="N11327" s="787">
        <v>16.309999999999999</v>
      </c>
      <c r="O11327" s="788">
        <v>41858</v>
      </c>
    </row>
    <row r="11328" spans="1:15" x14ac:dyDescent="0.25">
      <c r="A11328" s="786" t="s">
        <v>20307</v>
      </c>
      <c r="B11328" s="787">
        <v>4</v>
      </c>
      <c r="C11328" s="787" t="s">
        <v>20308</v>
      </c>
      <c r="D11328" s="787">
        <v>8.9700000000000006</v>
      </c>
      <c r="E11328" s="787">
        <v>10.91</v>
      </c>
      <c r="F11328" s="788">
        <v>39101</v>
      </c>
      <c r="G11328" s="788">
        <v>41646</v>
      </c>
      <c r="H11328" s="787">
        <v>1</v>
      </c>
      <c r="I11328" s="788">
        <v>41738</v>
      </c>
      <c r="J11328" s="788">
        <v>41589</v>
      </c>
      <c r="L11328" s="787">
        <v>9.61</v>
      </c>
      <c r="M11328" s="787">
        <v>20</v>
      </c>
      <c r="N11328" s="787">
        <v>10.33</v>
      </c>
      <c r="O11328" s="788">
        <v>41858</v>
      </c>
    </row>
    <row r="11329" spans="1:15" x14ac:dyDescent="0.25">
      <c r="A11329" s="786" t="s">
        <v>20309</v>
      </c>
      <c r="B11329" s="787">
        <v>4</v>
      </c>
      <c r="C11329" s="787" t="s">
        <v>20310</v>
      </c>
      <c r="D11329" s="787">
        <v>2.61</v>
      </c>
      <c r="E11329" s="787">
        <v>3.34</v>
      </c>
      <c r="F11329" s="788">
        <v>39101</v>
      </c>
      <c r="G11329" s="788">
        <v>42144</v>
      </c>
      <c r="H11329" s="787">
        <v>1</v>
      </c>
      <c r="I11329" s="788">
        <v>42163</v>
      </c>
      <c r="J11329" s="788">
        <v>42144</v>
      </c>
      <c r="K11329" s="788">
        <v>41885</v>
      </c>
      <c r="L11329" s="787">
        <v>3.28</v>
      </c>
      <c r="M11329" s="787">
        <v>20</v>
      </c>
      <c r="N11329" s="787">
        <v>3.53</v>
      </c>
      <c r="O11329" s="788">
        <v>42018</v>
      </c>
    </row>
    <row r="11330" spans="1:15" x14ac:dyDescent="0.25">
      <c r="A11330" s="786" t="s">
        <v>20311</v>
      </c>
      <c r="B11330" s="787">
        <v>4</v>
      </c>
      <c r="C11330" s="787" t="s">
        <v>20312</v>
      </c>
      <c r="D11330" s="787">
        <v>8.9600000000000009</v>
      </c>
      <c r="E11330" s="787">
        <v>11.23</v>
      </c>
      <c r="F11330" s="788">
        <v>39101</v>
      </c>
      <c r="G11330" s="788">
        <v>42013</v>
      </c>
      <c r="H11330" s="787">
        <v>1</v>
      </c>
      <c r="I11330" s="788">
        <v>39134</v>
      </c>
      <c r="J11330" s="788">
        <v>41908</v>
      </c>
      <c r="L11330" s="787">
        <v>9.61</v>
      </c>
      <c r="M11330" s="787">
        <v>20</v>
      </c>
      <c r="N11330" s="787">
        <v>10.33</v>
      </c>
      <c r="O11330" s="788">
        <v>41858</v>
      </c>
    </row>
    <row r="11331" spans="1:15" x14ac:dyDescent="0.25">
      <c r="A11331" s="786" t="s">
        <v>20313</v>
      </c>
      <c r="B11331" s="787">
        <v>4</v>
      </c>
      <c r="C11331" s="787" t="s">
        <v>20304</v>
      </c>
      <c r="D11331" s="787">
        <v>6.15</v>
      </c>
      <c r="E11331" s="787">
        <v>8.4600000000000009</v>
      </c>
      <c r="F11331" s="788">
        <v>38803</v>
      </c>
      <c r="G11331" s="788">
        <v>41963</v>
      </c>
      <c r="H11331" s="787">
        <v>1</v>
      </c>
      <c r="I11331" s="788">
        <v>42040</v>
      </c>
      <c r="J11331" s="788">
        <v>42135</v>
      </c>
      <c r="L11331" s="787">
        <v>8.6</v>
      </c>
      <c r="M11331" s="787">
        <v>20</v>
      </c>
      <c r="N11331" s="787">
        <v>9.25</v>
      </c>
      <c r="O11331" s="788">
        <v>41858</v>
      </c>
    </row>
    <row r="11332" spans="1:15" x14ac:dyDescent="0.25">
      <c r="A11332" s="786" t="s">
        <v>20314</v>
      </c>
      <c r="B11332" s="787">
        <v>4</v>
      </c>
      <c r="C11332" s="787" t="s">
        <v>20304</v>
      </c>
      <c r="D11332" s="787">
        <v>4.82</v>
      </c>
      <c r="E11332" s="787">
        <v>4.82</v>
      </c>
      <c r="F11332" s="788">
        <v>37287</v>
      </c>
      <c r="G11332" s="788">
        <v>37287</v>
      </c>
      <c r="H11332" s="787">
        <v>1</v>
      </c>
      <c r="I11332" s="788">
        <v>38296</v>
      </c>
      <c r="J11332" s="788">
        <v>37287</v>
      </c>
      <c r="L11332" s="787">
        <v>5.25</v>
      </c>
      <c r="M11332" s="787">
        <v>20</v>
      </c>
      <c r="N11332" s="787">
        <v>5.64</v>
      </c>
      <c r="O11332" s="788">
        <v>41858</v>
      </c>
    </row>
    <row r="11333" spans="1:15" x14ac:dyDescent="0.25">
      <c r="A11333" s="786" t="s">
        <v>20315</v>
      </c>
      <c r="B11333" s="787">
        <v>4</v>
      </c>
      <c r="C11333" s="787" t="s">
        <v>20304</v>
      </c>
      <c r="D11333" s="787">
        <v>4.82</v>
      </c>
      <c r="E11333" s="787">
        <v>4.82</v>
      </c>
      <c r="F11333" s="788">
        <v>39101</v>
      </c>
      <c r="G11333" s="788">
        <v>39101</v>
      </c>
      <c r="H11333" s="787">
        <v>1</v>
      </c>
      <c r="I11333" s="788">
        <v>41600</v>
      </c>
      <c r="J11333" s="788">
        <v>39101</v>
      </c>
      <c r="L11333" s="787">
        <v>5.25</v>
      </c>
      <c r="M11333" s="787">
        <v>20</v>
      </c>
      <c r="N11333" s="787">
        <v>5.64</v>
      </c>
      <c r="O11333" s="788">
        <v>41858</v>
      </c>
    </row>
    <row r="11334" spans="1:15" x14ac:dyDescent="0.25">
      <c r="A11334" s="786" t="s">
        <v>20316</v>
      </c>
      <c r="B11334" s="787">
        <v>4</v>
      </c>
      <c r="C11334" s="787" t="s">
        <v>20317</v>
      </c>
      <c r="D11334" s="787">
        <v>5.2</v>
      </c>
      <c r="E11334" s="787">
        <v>15.2</v>
      </c>
      <c r="F11334" s="788">
        <v>42076</v>
      </c>
      <c r="G11334" s="788">
        <v>42125</v>
      </c>
      <c r="H11334" s="787">
        <v>1</v>
      </c>
      <c r="I11334" s="788">
        <v>42111</v>
      </c>
      <c r="J11334" s="788">
        <v>42073</v>
      </c>
      <c r="L11334" s="787">
        <v>16.71</v>
      </c>
      <c r="M11334" s="787">
        <v>20</v>
      </c>
      <c r="N11334" s="787">
        <v>17.96</v>
      </c>
      <c r="O11334" s="788">
        <v>41989</v>
      </c>
    </row>
    <row r="11335" spans="1:15" x14ac:dyDescent="0.25">
      <c r="A11335" s="786" t="s">
        <v>20318</v>
      </c>
      <c r="B11335" s="787">
        <v>4</v>
      </c>
      <c r="C11335" s="787" t="s">
        <v>20319</v>
      </c>
      <c r="D11335" s="787">
        <v>1.33</v>
      </c>
      <c r="E11335" s="787">
        <v>11.33</v>
      </c>
      <c r="F11335" s="788">
        <v>42076</v>
      </c>
      <c r="G11335" s="788">
        <v>42125</v>
      </c>
      <c r="H11335" s="787">
        <v>1</v>
      </c>
      <c r="I11335" s="788">
        <v>42111</v>
      </c>
      <c r="J11335" s="788">
        <v>42073</v>
      </c>
      <c r="L11335" s="787">
        <v>13.49</v>
      </c>
      <c r="M11335" s="787">
        <v>20</v>
      </c>
      <c r="N11335" s="787">
        <v>14.5</v>
      </c>
      <c r="O11335" s="788">
        <v>41989</v>
      </c>
    </row>
    <row r="11336" spans="1:15" x14ac:dyDescent="0.25">
      <c r="A11336" s="786" t="s">
        <v>552</v>
      </c>
      <c r="B11336" s="787">
        <v>4</v>
      </c>
      <c r="C11336" s="787" t="s">
        <v>20320</v>
      </c>
      <c r="D11336" s="787">
        <v>0</v>
      </c>
      <c r="E11336" s="787">
        <v>0</v>
      </c>
      <c r="G11336" s="788">
        <v>41815</v>
      </c>
      <c r="H11336" s="787">
        <v>1</v>
      </c>
      <c r="I11336" s="788">
        <v>42166</v>
      </c>
      <c r="J11336" s="788">
        <v>41933</v>
      </c>
      <c r="K11336" s="788">
        <v>41432</v>
      </c>
      <c r="L11336" s="787">
        <v>1.89</v>
      </c>
      <c r="M11336" s="787">
        <v>10</v>
      </c>
      <c r="N11336" s="787">
        <v>6.12</v>
      </c>
      <c r="O11336" s="788">
        <v>41989</v>
      </c>
    </row>
    <row r="11337" spans="1:15" x14ac:dyDescent="0.25">
      <c r="A11337" s="786" t="s">
        <v>20321</v>
      </c>
      <c r="B11337" s="787">
        <v>4</v>
      </c>
      <c r="C11337" s="787" t="s">
        <v>20322</v>
      </c>
      <c r="D11337" s="787">
        <v>0.14000000000000001</v>
      </c>
      <c r="E11337" s="787">
        <v>0.16</v>
      </c>
      <c r="F11337" s="788">
        <v>41248</v>
      </c>
      <c r="G11337" s="788">
        <v>41751</v>
      </c>
      <c r="H11337" s="787">
        <v>1</v>
      </c>
      <c r="I11337" s="788">
        <v>39604</v>
      </c>
      <c r="J11337" s="788">
        <v>41737</v>
      </c>
      <c r="L11337" s="787">
        <v>0.19</v>
      </c>
      <c r="M11337" s="787">
        <v>20</v>
      </c>
      <c r="N11337" s="787">
        <v>0.2</v>
      </c>
      <c r="O11337" s="788">
        <v>41858</v>
      </c>
    </row>
    <row r="11338" spans="1:15" x14ac:dyDescent="0.25">
      <c r="A11338" s="786" t="s">
        <v>20323</v>
      </c>
      <c r="B11338" s="787">
        <v>4</v>
      </c>
      <c r="C11338" s="787" t="s">
        <v>20324</v>
      </c>
      <c r="D11338" s="787">
        <v>0.51</v>
      </c>
      <c r="E11338" s="787">
        <v>0.7</v>
      </c>
      <c r="F11338" s="788">
        <v>41136</v>
      </c>
      <c r="G11338" s="788">
        <v>42086</v>
      </c>
      <c r="H11338" s="787">
        <v>1</v>
      </c>
      <c r="I11338" s="788">
        <v>42132</v>
      </c>
      <c r="J11338" s="788">
        <v>42066</v>
      </c>
      <c r="K11338" s="788">
        <v>41869</v>
      </c>
      <c r="L11338" s="787">
        <v>0.7</v>
      </c>
      <c r="M11338" s="787">
        <v>20</v>
      </c>
      <c r="N11338" s="787">
        <v>1.88</v>
      </c>
      <c r="O11338" s="788">
        <v>41858</v>
      </c>
    </row>
    <row r="11339" spans="1:15" x14ac:dyDescent="0.25">
      <c r="A11339" s="786" t="s">
        <v>20325</v>
      </c>
      <c r="B11339" s="787">
        <v>4</v>
      </c>
      <c r="C11339" s="787" t="s">
        <v>20326</v>
      </c>
      <c r="D11339" s="787">
        <v>0.45</v>
      </c>
      <c r="E11339" s="787">
        <v>0.48</v>
      </c>
      <c r="F11339" s="788">
        <v>39626</v>
      </c>
      <c r="G11339" s="788">
        <v>42158</v>
      </c>
      <c r="H11339" s="787">
        <v>1</v>
      </c>
      <c r="I11339" s="788">
        <v>42157</v>
      </c>
      <c r="J11339" s="788">
        <v>42152</v>
      </c>
      <c r="K11339" s="788">
        <v>41869</v>
      </c>
      <c r="L11339" s="787">
        <v>0.55000000000000004</v>
      </c>
      <c r="M11339" s="787">
        <v>20</v>
      </c>
      <c r="N11339" s="787">
        <v>1.1200000000000001</v>
      </c>
      <c r="O11339" s="788">
        <v>41858</v>
      </c>
    </row>
    <row r="11340" spans="1:15" x14ac:dyDescent="0.25">
      <c r="A11340" s="786" t="s">
        <v>20327</v>
      </c>
      <c r="B11340" s="787">
        <v>4</v>
      </c>
      <c r="C11340" s="787" t="s">
        <v>20328</v>
      </c>
      <c r="D11340" s="787">
        <v>0.51</v>
      </c>
      <c r="E11340" s="787">
        <v>0.56000000000000005</v>
      </c>
      <c r="F11340" s="788">
        <v>39559</v>
      </c>
      <c r="G11340" s="788">
        <v>41547</v>
      </c>
      <c r="H11340" s="787">
        <v>1</v>
      </c>
      <c r="I11340" s="788">
        <v>42118</v>
      </c>
      <c r="J11340" s="788">
        <v>42040</v>
      </c>
      <c r="K11340" s="788">
        <v>41869</v>
      </c>
      <c r="L11340" s="787">
        <v>0.56000000000000005</v>
      </c>
      <c r="M11340" s="787">
        <v>20</v>
      </c>
      <c r="N11340" s="787">
        <v>0.6</v>
      </c>
      <c r="O11340" s="788">
        <v>41975</v>
      </c>
    </row>
    <row r="11341" spans="1:15" x14ac:dyDescent="0.25">
      <c r="A11341" s="786" t="s">
        <v>20329</v>
      </c>
      <c r="B11341" s="787">
        <v>4</v>
      </c>
      <c r="C11341" s="787" t="s">
        <v>20330</v>
      </c>
      <c r="D11341" s="787">
        <v>0.51</v>
      </c>
      <c r="E11341" s="787">
        <v>0.86</v>
      </c>
      <c r="F11341" s="788">
        <v>39826</v>
      </c>
      <c r="G11341" s="788">
        <v>42064</v>
      </c>
      <c r="H11341" s="787">
        <v>1</v>
      </c>
      <c r="I11341" s="788">
        <v>42164</v>
      </c>
      <c r="J11341" s="788">
        <v>42040</v>
      </c>
      <c r="K11341" s="788">
        <v>41869</v>
      </c>
      <c r="L11341" s="787">
        <v>0.93</v>
      </c>
      <c r="M11341" s="787">
        <v>20</v>
      </c>
      <c r="N11341" s="787">
        <v>2.9</v>
      </c>
      <c r="O11341" s="788">
        <v>41858</v>
      </c>
    </row>
    <row r="11342" spans="1:15" x14ac:dyDescent="0.25">
      <c r="A11342" s="786" t="s">
        <v>20331</v>
      </c>
      <c r="B11342" s="787">
        <v>4</v>
      </c>
      <c r="C11342" s="787" t="s">
        <v>20332</v>
      </c>
      <c r="D11342" s="787">
        <v>9.65</v>
      </c>
      <c r="E11342" s="787">
        <v>14.34</v>
      </c>
      <c r="F11342" s="788">
        <v>37287</v>
      </c>
      <c r="G11342" s="788">
        <v>41547</v>
      </c>
      <c r="H11342" s="787">
        <v>1</v>
      </c>
      <c r="I11342" s="788">
        <v>37105</v>
      </c>
      <c r="J11342" s="788">
        <v>41508</v>
      </c>
      <c r="L11342" s="787">
        <v>12.45</v>
      </c>
      <c r="M11342" s="787">
        <v>20</v>
      </c>
      <c r="N11342" s="787">
        <v>13.38</v>
      </c>
      <c r="O11342" s="788">
        <v>41858</v>
      </c>
    </row>
    <row r="11343" spans="1:15" x14ac:dyDescent="0.25">
      <c r="A11343" s="786" t="s">
        <v>20333</v>
      </c>
      <c r="B11343" s="787">
        <v>4</v>
      </c>
      <c r="C11343" s="787" t="s">
        <v>20334</v>
      </c>
      <c r="D11343" s="787">
        <v>1.5</v>
      </c>
      <c r="E11343" s="787">
        <v>1.58</v>
      </c>
      <c r="F11343" s="788">
        <v>39799</v>
      </c>
      <c r="G11343" s="788">
        <v>41282</v>
      </c>
      <c r="H11343" s="787">
        <v>1</v>
      </c>
      <c r="I11343" s="788">
        <v>41393</v>
      </c>
      <c r="J11343" s="788">
        <v>40732</v>
      </c>
      <c r="K11343" s="788">
        <v>41869</v>
      </c>
      <c r="L11343" s="787">
        <v>1.58</v>
      </c>
      <c r="M11343" s="787">
        <v>20</v>
      </c>
      <c r="N11343" s="787">
        <v>4.1399999999999997</v>
      </c>
      <c r="O11343" s="788">
        <v>41858</v>
      </c>
    </row>
    <row r="11344" spans="1:15" x14ac:dyDescent="0.25">
      <c r="A11344" s="786" t="s">
        <v>20335</v>
      </c>
      <c r="B11344" s="787">
        <v>4</v>
      </c>
      <c r="C11344" s="787" t="s">
        <v>20336</v>
      </c>
      <c r="D11344" s="787">
        <v>0.91</v>
      </c>
      <c r="E11344" s="787">
        <v>2.2200000000000002</v>
      </c>
      <c r="F11344" s="788">
        <v>39293</v>
      </c>
      <c r="G11344" s="788">
        <v>42166</v>
      </c>
      <c r="H11344" s="787">
        <v>1</v>
      </c>
      <c r="I11344" s="788">
        <v>42158</v>
      </c>
      <c r="J11344" s="788">
        <v>42166</v>
      </c>
      <c r="K11344" s="788">
        <v>41759</v>
      </c>
      <c r="L11344" s="787">
        <v>1.94</v>
      </c>
      <c r="M11344" s="787">
        <v>20</v>
      </c>
      <c r="N11344" s="787">
        <v>2.09</v>
      </c>
      <c r="O11344" s="788">
        <v>41969</v>
      </c>
    </row>
    <row r="11345" spans="1:15" x14ac:dyDescent="0.25">
      <c r="A11345" s="786" t="s">
        <v>20337</v>
      </c>
      <c r="B11345" s="787">
        <v>4</v>
      </c>
      <c r="C11345" s="787" t="s">
        <v>20338</v>
      </c>
      <c r="D11345" s="787">
        <v>1.82</v>
      </c>
      <c r="E11345" s="787">
        <v>1.82</v>
      </c>
      <c r="F11345" s="788">
        <v>37643</v>
      </c>
      <c r="G11345" s="788">
        <v>38364</v>
      </c>
      <c r="H11345" s="787">
        <v>1</v>
      </c>
      <c r="I11345" s="788">
        <v>38203</v>
      </c>
      <c r="J11345" s="788">
        <v>37643</v>
      </c>
      <c r="L11345" s="787">
        <v>1.98</v>
      </c>
      <c r="M11345" s="787">
        <v>20</v>
      </c>
      <c r="N11345" s="787">
        <v>2.13</v>
      </c>
      <c r="O11345" s="788">
        <v>41858</v>
      </c>
    </row>
    <row r="11346" spans="1:15" x14ac:dyDescent="0.25">
      <c r="A11346" s="786" t="s">
        <v>20339</v>
      </c>
      <c r="B11346" s="787">
        <v>4</v>
      </c>
      <c r="C11346" s="787" t="s">
        <v>20338</v>
      </c>
      <c r="D11346" s="787">
        <v>4.46</v>
      </c>
      <c r="E11346" s="787">
        <v>5.69</v>
      </c>
      <c r="F11346" s="788">
        <v>40077</v>
      </c>
      <c r="G11346" s="788">
        <v>42064</v>
      </c>
      <c r="H11346" s="787">
        <v>1</v>
      </c>
      <c r="I11346" s="788">
        <v>42018</v>
      </c>
      <c r="J11346" s="788">
        <v>42040</v>
      </c>
      <c r="L11346" s="787">
        <v>5.18</v>
      </c>
      <c r="M11346" s="787">
        <v>20</v>
      </c>
      <c r="N11346" s="787">
        <v>5.57</v>
      </c>
      <c r="O11346" s="788">
        <v>41858</v>
      </c>
    </row>
    <row r="11347" spans="1:15" x14ac:dyDescent="0.25">
      <c r="A11347" s="786" t="s">
        <v>20340</v>
      </c>
      <c r="B11347" s="787">
        <v>4</v>
      </c>
      <c r="C11347" s="787" t="s">
        <v>20341</v>
      </c>
      <c r="D11347" s="787">
        <v>0.6</v>
      </c>
      <c r="E11347" s="787">
        <v>0.61</v>
      </c>
      <c r="F11347" s="788">
        <v>41298</v>
      </c>
      <c r="G11347" s="788">
        <v>42040</v>
      </c>
      <c r="H11347" s="787">
        <v>1</v>
      </c>
      <c r="I11347" s="788">
        <v>42136</v>
      </c>
      <c r="J11347" s="788">
        <v>42040</v>
      </c>
      <c r="K11347" s="788">
        <v>41869</v>
      </c>
      <c r="L11347" s="787">
        <v>0.61</v>
      </c>
      <c r="M11347" s="787">
        <v>20</v>
      </c>
      <c r="N11347" s="787">
        <v>0.66</v>
      </c>
      <c r="O11347" s="788">
        <v>41975</v>
      </c>
    </row>
    <row r="11348" spans="1:15" x14ac:dyDescent="0.25">
      <c r="A11348" s="786" t="s">
        <v>20342</v>
      </c>
      <c r="B11348" s="787">
        <v>4</v>
      </c>
      <c r="C11348" s="787" t="s">
        <v>20343</v>
      </c>
      <c r="D11348" s="787">
        <v>2.39</v>
      </c>
      <c r="E11348" s="787">
        <v>2.39</v>
      </c>
      <c r="F11348" s="788">
        <v>38047</v>
      </c>
      <c r="G11348" s="788">
        <v>38047</v>
      </c>
      <c r="H11348" s="787">
        <v>1</v>
      </c>
      <c r="I11348" s="788">
        <v>41971</v>
      </c>
      <c r="J11348" s="788">
        <v>41985</v>
      </c>
      <c r="L11348" s="787">
        <v>2.61</v>
      </c>
      <c r="M11348" s="787">
        <v>20</v>
      </c>
      <c r="N11348" s="787">
        <v>2.81</v>
      </c>
      <c r="O11348" s="788">
        <v>41858</v>
      </c>
    </row>
    <row r="11349" spans="1:15" x14ac:dyDescent="0.25">
      <c r="A11349" s="786" t="s">
        <v>20344</v>
      </c>
      <c r="B11349" s="787">
        <v>4</v>
      </c>
      <c r="C11349" s="787" t="s">
        <v>20345</v>
      </c>
      <c r="D11349" s="787">
        <v>0.55000000000000004</v>
      </c>
      <c r="E11349" s="787">
        <v>1.21</v>
      </c>
      <c r="F11349" s="788">
        <v>39293</v>
      </c>
      <c r="G11349" s="788">
        <v>42166</v>
      </c>
      <c r="H11349" s="787">
        <v>1</v>
      </c>
      <c r="I11349" s="788">
        <v>42159</v>
      </c>
      <c r="J11349" s="788">
        <v>42166</v>
      </c>
      <c r="K11349" s="788">
        <v>41759</v>
      </c>
      <c r="L11349" s="787">
        <v>0.98</v>
      </c>
      <c r="M11349" s="787">
        <v>20</v>
      </c>
      <c r="N11349" s="787">
        <v>1.05</v>
      </c>
      <c r="O11349" s="788">
        <v>41969</v>
      </c>
    </row>
    <row r="11350" spans="1:15" x14ac:dyDescent="0.25">
      <c r="A11350" s="786" t="s">
        <v>20346</v>
      </c>
      <c r="B11350" s="787">
        <v>4</v>
      </c>
      <c r="C11350" s="787" t="s">
        <v>20304</v>
      </c>
      <c r="D11350" s="787">
        <v>4.8600000000000003</v>
      </c>
      <c r="E11350" s="787">
        <v>7.62</v>
      </c>
      <c r="F11350" s="788">
        <v>37287</v>
      </c>
      <c r="G11350" s="788">
        <v>38870</v>
      </c>
      <c r="H11350" s="787">
        <v>1</v>
      </c>
      <c r="I11350" s="788">
        <v>39134</v>
      </c>
      <c r="J11350" s="788">
        <v>38859</v>
      </c>
      <c r="L11350" s="787">
        <v>5.3</v>
      </c>
      <c r="M11350" s="787">
        <v>20</v>
      </c>
      <c r="N11350" s="787">
        <v>5.7</v>
      </c>
      <c r="O11350" s="788">
        <v>41858</v>
      </c>
    </row>
    <row r="11351" spans="1:15" x14ac:dyDescent="0.25">
      <c r="A11351" s="786" t="s">
        <v>20347</v>
      </c>
      <c r="B11351" s="787">
        <v>4</v>
      </c>
      <c r="C11351" s="787" t="s">
        <v>20348</v>
      </c>
      <c r="D11351" s="787">
        <v>9.0500000000000007</v>
      </c>
      <c r="E11351" s="787">
        <v>9.98</v>
      </c>
      <c r="F11351" s="788">
        <v>37970</v>
      </c>
      <c r="G11351" s="788">
        <v>38652</v>
      </c>
      <c r="H11351" s="787">
        <v>1</v>
      </c>
      <c r="I11351" s="788">
        <v>38687</v>
      </c>
      <c r="J11351" s="788">
        <v>38656</v>
      </c>
      <c r="L11351" s="787">
        <v>10.88</v>
      </c>
      <c r="M11351" s="787">
        <v>20</v>
      </c>
      <c r="N11351" s="787">
        <v>11.7</v>
      </c>
      <c r="O11351" s="788">
        <v>41858</v>
      </c>
    </row>
    <row r="11352" spans="1:15" x14ac:dyDescent="0.25">
      <c r="A11352" s="786" t="s">
        <v>20349</v>
      </c>
      <c r="B11352" s="787">
        <v>4</v>
      </c>
      <c r="C11352" s="787" t="s">
        <v>20332</v>
      </c>
      <c r="D11352" s="787">
        <v>5.01</v>
      </c>
      <c r="E11352" s="787">
        <v>5.01</v>
      </c>
      <c r="F11352" s="788">
        <v>37287</v>
      </c>
      <c r="G11352" s="788">
        <v>38364</v>
      </c>
      <c r="H11352" s="787">
        <v>1</v>
      </c>
      <c r="I11352" s="788">
        <v>38736</v>
      </c>
      <c r="J11352" s="788">
        <v>37287</v>
      </c>
      <c r="L11352" s="787">
        <v>5.46</v>
      </c>
      <c r="M11352" s="787">
        <v>20</v>
      </c>
      <c r="N11352" s="787">
        <v>5.87</v>
      </c>
      <c r="O11352" s="788">
        <v>41858</v>
      </c>
    </row>
    <row r="11353" spans="1:15" x14ac:dyDescent="0.25">
      <c r="A11353" s="786" t="s">
        <v>20350</v>
      </c>
      <c r="B11353" s="787">
        <v>4</v>
      </c>
      <c r="C11353" s="787" t="s">
        <v>20351</v>
      </c>
      <c r="D11353" s="787">
        <v>0.51</v>
      </c>
      <c r="E11353" s="787">
        <v>15.1</v>
      </c>
      <c r="F11353" s="788">
        <v>37606</v>
      </c>
      <c r="G11353" s="788">
        <v>42086</v>
      </c>
      <c r="H11353" s="787">
        <v>1</v>
      </c>
      <c r="I11353" s="788">
        <v>39134</v>
      </c>
      <c r="J11353" s="788">
        <v>42066</v>
      </c>
      <c r="K11353" s="788">
        <v>41758</v>
      </c>
      <c r="L11353" s="787">
        <v>14.84</v>
      </c>
      <c r="M11353" s="787">
        <v>20</v>
      </c>
      <c r="N11353" s="787">
        <v>15.95</v>
      </c>
      <c r="O11353" s="788">
        <v>41858</v>
      </c>
    </row>
    <row r="11354" spans="1:15" x14ac:dyDescent="0.25">
      <c r="A11354" s="786" t="s">
        <v>20352</v>
      </c>
      <c r="B11354" s="787">
        <v>4</v>
      </c>
      <c r="C11354" s="787" t="s">
        <v>20353</v>
      </c>
      <c r="D11354" s="787">
        <v>1.42</v>
      </c>
      <c r="E11354" s="787">
        <v>2.77</v>
      </c>
      <c r="F11354" s="788">
        <v>38047</v>
      </c>
      <c r="G11354" s="788">
        <v>39405</v>
      </c>
      <c r="H11354" s="787">
        <v>1</v>
      </c>
      <c r="I11354" s="788">
        <v>39134</v>
      </c>
      <c r="J11354" s="788">
        <v>39406</v>
      </c>
      <c r="L11354" s="787">
        <v>2.15</v>
      </c>
      <c r="M11354" s="787">
        <v>20</v>
      </c>
      <c r="N11354" s="787">
        <v>2.31</v>
      </c>
      <c r="O11354" s="788">
        <v>41858</v>
      </c>
    </row>
    <row r="11355" spans="1:15" x14ac:dyDescent="0.25">
      <c r="A11355" s="786" t="s">
        <v>20354</v>
      </c>
      <c r="B11355" s="787">
        <v>4</v>
      </c>
      <c r="C11355" s="787" t="s">
        <v>20355</v>
      </c>
      <c r="D11355" s="787">
        <v>4.05</v>
      </c>
      <c r="E11355" s="787">
        <v>15.09</v>
      </c>
      <c r="F11355" s="788">
        <v>39799</v>
      </c>
      <c r="G11355" s="788">
        <v>41659</v>
      </c>
      <c r="H11355" s="787">
        <v>1</v>
      </c>
      <c r="J11355" s="788">
        <v>41648</v>
      </c>
      <c r="K11355" s="788">
        <v>41865</v>
      </c>
      <c r="L11355" s="787">
        <v>14.72</v>
      </c>
      <c r="M11355" s="787">
        <v>20</v>
      </c>
      <c r="N11355" s="787">
        <v>15.82</v>
      </c>
      <c r="O11355" s="788">
        <v>42018</v>
      </c>
    </row>
    <row r="11356" spans="1:15" x14ac:dyDescent="0.25">
      <c r="A11356" s="786" t="s">
        <v>20356</v>
      </c>
      <c r="B11356" s="787">
        <v>4</v>
      </c>
      <c r="C11356" s="787" t="s">
        <v>20357</v>
      </c>
      <c r="D11356" s="787">
        <v>2.57</v>
      </c>
      <c r="E11356" s="787">
        <v>22.57</v>
      </c>
      <c r="F11356" s="788">
        <v>41929</v>
      </c>
      <c r="G11356" s="788">
        <v>41947</v>
      </c>
      <c r="H11356" s="787">
        <v>1</v>
      </c>
      <c r="I11356" s="788">
        <v>41926</v>
      </c>
      <c r="J11356" s="788">
        <v>41926</v>
      </c>
      <c r="K11356" s="788">
        <v>41680</v>
      </c>
      <c r="L11356" s="787">
        <v>21.95</v>
      </c>
      <c r="M11356" s="787">
        <v>20</v>
      </c>
      <c r="N11356" s="787">
        <v>23.6</v>
      </c>
      <c r="O11356" s="788">
        <v>41858</v>
      </c>
    </row>
    <row r="11357" spans="1:15" x14ac:dyDescent="0.25">
      <c r="A11357" s="786" t="s">
        <v>20358</v>
      </c>
      <c r="B11357" s="787">
        <v>4</v>
      </c>
      <c r="C11357" s="787" t="s">
        <v>20359</v>
      </c>
      <c r="D11357" s="787">
        <v>0.41</v>
      </c>
      <c r="E11357" s="787">
        <v>0.51</v>
      </c>
      <c r="F11357" s="788">
        <v>39175</v>
      </c>
      <c r="G11357" s="788">
        <v>42152</v>
      </c>
      <c r="H11357" s="787">
        <v>1</v>
      </c>
      <c r="I11357" s="788">
        <v>42157</v>
      </c>
      <c r="J11357" s="788">
        <v>42152</v>
      </c>
      <c r="K11357" s="788">
        <v>41869</v>
      </c>
      <c r="L11357" s="787">
        <v>0.49</v>
      </c>
      <c r="M11357" s="787">
        <v>20</v>
      </c>
      <c r="N11357" s="787">
        <v>0.53</v>
      </c>
      <c r="O11357" s="788">
        <v>41975</v>
      </c>
    </row>
    <row r="11358" spans="1:15" x14ac:dyDescent="0.25">
      <c r="A11358" s="786" t="s">
        <v>20360</v>
      </c>
      <c r="B11358" s="787">
        <v>4</v>
      </c>
      <c r="C11358" s="787" t="s">
        <v>20332</v>
      </c>
      <c r="D11358" s="787">
        <v>5.01</v>
      </c>
      <c r="E11358" s="787">
        <v>13.09</v>
      </c>
      <c r="F11358" s="788">
        <v>37650</v>
      </c>
      <c r="G11358" s="788">
        <v>42013</v>
      </c>
      <c r="H11358" s="787">
        <v>1</v>
      </c>
      <c r="I11358" s="788">
        <v>39134</v>
      </c>
      <c r="J11358" s="788">
        <v>41766</v>
      </c>
      <c r="K11358" s="788">
        <v>41865</v>
      </c>
      <c r="L11358" s="787">
        <v>9.68</v>
      </c>
      <c r="M11358" s="787">
        <v>20</v>
      </c>
      <c r="N11358" s="787">
        <v>5.87</v>
      </c>
      <c r="O11358" s="788">
        <v>41858</v>
      </c>
    </row>
    <row r="11359" spans="1:15" x14ac:dyDescent="0.25">
      <c r="A11359" s="786" t="s">
        <v>20361</v>
      </c>
      <c r="B11359" s="787">
        <v>4</v>
      </c>
      <c r="C11359" s="787" t="s">
        <v>20362</v>
      </c>
      <c r="D11359" s="787">
        <v>2.4900000000000002</v>
      </c>
      <c r="E11359" s="787">
        <v>3.35</v>
      </c>
      <c r="F11359" s="788">
        <v>41037</v>
      </c>
      <c r="G11359" s="788">
        <v>42156</v>
      </c>
      <c r="H11359" s="787">
        <v>1</v>
      </c>
      <c r="I11359" s="788">
        <v>42152</v>
      </c>
      <c r="J11359" s="788">
        <v>42156</v>
      </c>
      <c r="L11359" s="787">
        <v>2.95</v>
      </c>
      <c r="M11359" s="787">
        <v>20</v>
      </c>
      <c r="N11359" s="787">
        <v>3.17</v>
      </c>
      <c r="O11359" s="788">
        <v>41969</v>
      </c>
    </row>
    <row r="11360" spans="1:15" x14ac:dyDescent="0.25">
      <c r="A11360" s="786" t="s">
        <v>20363</v>
      </c>
      <c r="B11360" s="787">
        <v>4</v>
      </c>
      <c r="C11360" s="787" t="s">
        <v>20364</v>
      </c>
      <c r="D11360" s="787">
        <v>0.6</v>
      </c>
      <c r="E11360" s="787">
        <v>0.6</v>
      </c>
      <c r="F11360" s="788">
        <v>41415</v>
      </c>
      <c r="G11360" s="788">
        <v>41455</v>
      </c>
      <c r="H11360" s="787">
        <v>1</v>
      </c>
      <c r="I11360" s="788">
        <v>40665</v>
      </c>
      <c r="J11360" s="788">
        <v>41416</v>
      </c>
      <c r="K11360" s="788">
        <v>41869</v>
      </c>
      <c r="L11360" s="787">
        <v>0.6</v>
      </c>
      <c r="M11360" s="787">
        <v>20</v>
      </c>
      <c r="N11360" s="787">
        <v>2.0499999999999998</v>
      </c>
      <c r="O11360" s="788">
        <v>41858</v>
      </c>
    </row>
    <row r="11361" spans="1:15" x14ac:dyDescent="0.25">
      <c r="A11361" s="786" t="s">
        <v>20365</v>
      </c>
      <c r="B11361" s="787">
        <v>4</v>
      </c>
      <c r="C11361" s="787" t="s">
        <v>20366</v>
      </c>
      <c r="D11361" s="787">
        <v>9.49</v>
      </c>
      <c r="E11361" s="787">
        <v>9.49</v>
      </c>
      <c r="F11361" s="788">
        <v>38047</v>
      </c>
      <c r="G11361" s="788">
        <v>38047</v>
      </c>
      <c r="H11361" s="787">
        <v>1</v>
      </c>
      <c r="I11361" s="788">
        <v>37973</v>
      </c>
      <c r="J11361" s="788">
        <v>38047</v>
      </c>
      <c r="L11361" s="787">
        <v>10.34</v>
      </c>
      <c r="M11361" s="787">
        <v>20</v>
      </c>
      <c r="N11361" s="787">
        <v>11.12</v>
      </c>
      <c r="O11361" s="788">
        <v>41858</v>
      </c>
    </row>
    <row r="11362" spans="1:15" x14ac:dyDescent="0.25">
      <c r="A11362" s="786" t="s">
        <v>20367</v>
      </c>
      <c r="B11362" s="787">
        <v>4</v>
      </c>
      <c r="C11362" s="787" t="s">
        <v>20368</v>
      </c>
      <c r="D11362" s="787">
        <v>4.3</v>
      </c>
      <c r="E11362" s="787">
        <v>4.68</v>
      </c>
      <c r="F11362" s="788">
        <v>41233</v>
      </c>
      <c r="G11362" s="788">
        <v>42016</v>
      </c>
      <c r="H11362" s="787">
        <v>1</v>
      </c>
      <c r="I11362" s="788">
        <v>42164</v>
      </c>
      <c r="J11362" s="788">
        <v>42157</v>
      </c>
      <c r="L11362" s="787">
        <v>6.15</v>
      </c>
      <c r="M11362" s="787">
        <v>20</v>
      </c>
      <c r="N11362" s="787">
        <v>6.61</v>
      </c>
      <c r="O11362" s="788">
        <v>41858</v>
      </c>
    </row>
    <row r="11363" spans="1:15" x14ac:dyDescent="0.25">
      <c r="A11363" s="786" t="s">
        <v>20369</v>
      </c>
      <c r="B11363" s="787">
        <v>4</v>
      </c>
      <c r="C11363" s="787" t="s">
        <v>20370</v>
      </c>
      <c r="D11363" s="787">
        <v>2.0099999999999998</v>
      </c>
      <c r="E11363" s="787">
        <v>3.46</v>
      </c>
      <c r="F11363" s="788">
        <v>41165</v>
      </c>
      <c r="G11363" s="788">
        <v>42080</v>
      </c>
      <c r="H11363" s="787">
        <v>1</v>
      </c>
      <c r="I11363" s="788">
        <v>42158</v>
      </c>
      <c r="J11363" s="788">
        <v>42145</v>
      </c>
      <c r="L11363" s="787">
        <v>2.42</v>
      </c>
      <c r="M11363" s="787">
        <v>20</v>
      </c>
      <c r="N11363" s="787">
        <v>2.6</v>
      </c>
      <c r="O11363" s="788">
        <v>41975</v>
      </c>
    </row>
    <row r="11364" spans="1:15" x14ac:dyDescent="0.25">
      <c r="A11364" s="786" t="s">
        <v>20371</v>
      </c>
      <c r="B11364" s="787">
        <v>4</v>
      </c>
      <c r="C11364" s="787" t="s">
        <v>20304</v>
      </c>
      <c r="D11364" s="787">
        <v>4.82</v>
      </c>
      <c r="E11364" s="787">
        <v>6.56</v>
      </c>
      <c r="F11364" s="788">
        <v>37287</v>
      </c>
      <c r="G11364" s="788">
        <v>38146</v>
      </c>
      <c r="H11364" s="787">
        <v>1</v>
      </c>
      <c r="I11364" s="788">
        <v>41169</v>
      </c>
      <c r="J11364" s="788">
        <v>38139</v>
      </c>
      <c r="L11364" s="787">
        <v>7.15</v>
      </c>
      <c r="M11364" s="787">
        <v>20</v>
      </c>
      <c r="N11364" s="787">
        <v>7.69</v>
      </c>
      <c r="O11364" s="788">
        <v>41858</v>
      </c>
    </row>
    <row r="11365" spans="1:15" x14ac:dyDescent="0.25">
      <c r="A11365" s="786" t="s">
        <v>20372</v>
      </c>
      <c r="B11365" s="787">
        <v>4</v>
      </c>
      <c r="C11365" s="787" t="s">
        <v>20373</v>
      </c>
      <c r="D11365" s="787">
        <v>4.5999999999999996</v>
      </c>
      <c r="E11365" s="787">
        <v>4.5999999999999996</v>
      </c>
      <c r="F11365" s="788">
        <v>41208</v>
      </c>
      <c r="G11365" s="788">
        <v>41943</v>
      </c>
      <c r="H11365" s="787">
        <v>1</v>
      </c>
      <c r="I11365" s="788">
        <v>42037</v>
      </c>
      <c r="J11365" s="788">
        <v>41801</v>
      </c>
      <c r="L11365" s="787">
        <v>6.43</v>
      </c>
      <c r="M11365" s="787">
        <v>20</v>
      </c>
      <c r="N11365" s="787">
        <v>6.91</v>
      </c>
      <c r="O11365" s="788">
        <v>41858</v>
      </c>
    </row>
    <row r="11366" spans="1:15" x14ac:dyDescent="0.25">
      <c r="A11366" s="786" t="s">
        <v>20374</v>
      </c>
      <c r="B11366" s="787">
        <v>4</v>
      </c>
      <c r="C11366" s="787" t="s">
        <v>20375</v>
      </c>
      <c r="D11366" s="787">
        <v>3.95</v>
      </c>
      <c r="E11366" s="787">
        <v>3.95</v>
      </c>
      <c r="F11366" s="788">
        <v>41967</v>
      </c>
      <c r="G11366" s="788">
        <v>42044</v>
      </c>
      <c r="H11366" s="787">
        <v>1</v>
      </c>
      <c r="I11366" s="788">
        <v>42159</v>
      </c>
      <c r="J11366" s="788">
        <v>42095</v>
      </c>
      <c r="L11366" s="787">
        <v>6.73</v>
      </c>
      <c r="M11366" s="787">
        <v>20</v>
      </c>
      <c r="N11366" s="787">
        <v>7.23</v>
      </c>
      <c r="O11366" s="788">
        <v>41858</v>
      </c>
    </row>
    <row r="11367" spans="1:15" x14ac:dyDescent="0.25">
      <c r="A11367" s="786" t="s">
        <v>20376</v>
      </c>
      <c r="B11367" s="787">
        <v>4</v>
      </c>
      <c r="C11367" s="787" t="s">
        <v>20377</v>
      </c>
      <c r="D11367" s="787">
        <v>4.82</v>
      </c>
      <c r="E11367" s="787">
        <v>4.82</v>
      </c>
      <c r="F11367" s="788">
        <v>37564</v>
      </c>
      <c r="G11367" s="788">
        <v>37564</v>
      </c>
      <c r="H11367" s="787">
        <v>1</v>
      </c>
      <c r="I11367" s="788">
        <v>37686</v>
      </c>
      <c r="J11367" s="788">
        <v>37564</v>
      </c>
      <c r="L11367" s="787">
        <v>5.25</v>
      </c>
      <c r="M11367" s="787">
        <v>20</v>
      </c>
      <c r="N11367" s="787">
        <v>5.64</v>
      </c>
      <c r="O11367" s="788">
        <v>41858</v>
      </c>
    </row>
    <row r="11368" spans="1:15" x14ac:dyDescent="0.25">
      <c r="A11368" s="786" t="s">
        <v>20378</v>
      </c>
      <c r="B11368" s="787">
        <v>4</v>
      </c>
      <c r="C11368" s="787" t="s">
        <v>20379</v>
      </c>
      <c r="D11368" s="787">
        <v>5.98</v>
      </c>
      <c r="E11368" s="787">
        <v>5.98</v>
      </c>
      <c r="F11368" s="788">
        <v>39101</v>
      </c>
      <c r="G11368" s="788">
        <v>39101</v>
      </c>
      <c r="H11368" s="787">
        <v>1</v>
      </c>
      <c r="I11368" s="788">
        <v>41873</v>
      </c>
      <c r="J11368" s="788">
        <v>39149</v>
      </c>
      <c r="L11368" s="787">
        <v>7.58</v>
      </c>
      <c r="M11368" s="787">
        <v>20</v>
      </c>
      <c r="N11368" s="787">
        <v>8.15</v>
      </c>
      <c r="O11368" s="788">
        <v>41858</v>
      </c>
    </row>
    <row r="11369" spans="1:15" x14ac:dyDescent="0.25">
      <c r="A11369" s="786" t="s">
        <v>20380</v>
      </c>
      <c r="B11369" s="787">
        <v>4</v>
      </c>
      <c r="C11369" s="787" t="s">
        <v>20381</v>
      </c>
      <c r="D11369" s="787">
        <v>6.05</v>
      </c>
      <c r="E11369" s="787">
        <v>16.05</v>
      </c>
      <c r="F11369" s="788">
        <v>38890</v>
      </c>
      <c r="G11369" s="788">
        <v>38890</v>
      </c>
      <c r="H11369" s="787">
        <v>1</v>
      </c>
      <c r="I11369" s="788">
        <v>39134</v>
      </c>
      <c r="J11369" s="788">
        <v>38890</v>
      </c>
      <c r="L11369" s="787">
        <v>16.05</v>
      </c>
      <c r="M11369" s="787">
        <v>20</v>
      </c>
      <c r="N11369" s="787">
        <v>17.25</v>
      </c>
      <c r="O11369" s="788">
        <v>41858</v>
      </c>
    </row>
    <row r="11370" spans="1:15" x14ac:dyDescent="0.25">
      <c r="A11370" s="786" t="s">
        <v>20382</v>
      </c>
      <c r="B11370" s="787">
        <v>4</v>
      </c>
      <c r="C11370" s="787" t="s">
        <v>20383</v>
      </c>
      <c r="D11370" s="787">
        <v>4.34</v>
      </c>
      <c r="E11370" s="787">
        <v>4.3499999999999996</v>
      </c>
      <c r="F11370" s="788">
        <v>39799</v>
      </c>
      <c r="G11370" s="788">
        <v>41282</v>
      </c>
      <c r="H11370" s="787">
        <v>1</v>
      </c>
      <c r="I11370" s="788">
        <v>41536</v>
      </c>
      <c r="J11370" s="788">
        <v>40123</v>
      </c>
      <c r="L11370" s="787">
        <v>4.5</v>
      </c>
      <c r="M11370" s="787">
        <v>20</v>
      </c>
      <c r="N11370" s="787">
        <v>4.84</v>
      </c>
      <c r="O11370" s="788">
        <v>41858</v>
      </c>
    </row>
    <row r="11371" spans="1:15" x14ac:dyDescent="0.25">
      <c r="A11371" s="786" t="s">
        <v>20384</v>
      </c>
      <c r="B11371" s="787">
        <v>4</v>
      </c>
      <c r="C11371" s="787" t="s">
        <v>20385</v>
      </c>
      <c r="D11371" s="787">
        <v>2.71</v>
      </c>
      <c r="E11371" s="787">
        <v>3.35</v>
      </c>
      <c r="F11371" s="788">
        <v>39101</v>
      </c>
      <c r="G11371" s="788">
        <v>41695</v>
      </c>
      <c r="H11371" s="787">
        <v>1</v>
      </c>
      <c r="I11371" s="788">
        <v>42151</v>
      </c>
      <c r="J11371" s="788">
        <v>42152</v>
      </c>
      <c r="K11371" s="788">
        <v>42159</v>
      </c>
      <c r="L11371" s="787">
        <v>3.35</v>
      </c>
      <c r="M11371" s="787">
        <v>20</v>
      </c>
      <c r="N11371" s="787">
        <v>3.6</v>
      </c>
      <c r="O11371" s="788">
        <v>42159</v>
      </c>
    </row>
    <row r="11372" spans="1:15" x14ac:dyDescent="0.25">
      <c r="A11372" s="786" t="s">
        <v>20386</v>
      </c>
      <c r="B11372" s="787">
        <v>4</v>
      </c>
      <c r="C11372" s="787" t="s">
        <v>20387</v>
      </c>
      <c r="D11372" s="787">
        <v>2.71</v>
      </c>
      <c r="E11372" s="787">
        <v>3.99</v>
      </c>
      <c r="F11372" s="788">
        <v>40324</v>
      </c>
      <c r="G11372" s="788">
        <v>41695</v>
      </c>
      <c r="H11372" s="787">
        <v>1</v>
      </c>
      <c r="I11372" s="788">
        <v>42153</v>
      </c>
      <c r="J11372" s="788">
        <v>41900</v>
      </c>
      <c r="L11372" s="787">
        <v>2.95</v>
      </c>
      <c r="M11372" s="787">
        <v>20</v>
      </c>
      <c r="N11372" s="787">
        <v>3.17</v>
      </c>
      <c r="O11372" s="788">
        <v>41969</v>
      </c>
    </row>
    <row r="11373" spans="1:15" x14ac:dyDescent="0.25">
      <c r="A11373" s="786" t="s">
        <v>20388</v>
      </c>
      <c r="B11373" s="787">
        <v>4</v>
      </c>
      <c r="C11373" s="787" t="s">
        <v>20389</v>
      </c>
      <c r="D11373" s="787">
        <v>2.71</v>
      </c>
      <c r="E11373" s="787">
        <v>2.71</v>
      </c>
      <c r="F11373" s="788">
        <v>38331</v>
      </c>
      <c r="G11373" s="788">
        <v>38364</v>
      </c>
      <c r="H11373" s="787">
        <v>1</v>
      </c>
      <c r="I11373" s="788">
        <v>38736</v>
      </c>
      <c r="J11373" s="788">
        <v>38310</v>
      </c>
      <c r="L11373" s="787">
        <v>2.95</v>
      </c>
      <c r="M11373" s="787">
        <v>20</v>
      </c>
      <c r="N11373" s="787">
        <v>3.17</v>
      </c>
      <c r="O11373" s="788">
        <v>41858</v>
      </c>
    </row>
    <row r="11374" spans="1:15" x14ac:dyDescent="0.25">
      <c r="A11374" s="786" t="s">
        <v>20390</v>
      </c>
      <c r="B11374" s="787">
        <v>4</v>
      </c>
      <c r="C11374" s="787" t="s">
        <v>20332</v>
      </c>
      <c r="D11374" s="787">
        <v>7.97</v>
      </c>
      <c r="E11374" s="787">
        <v>7.97</v>
      </c>
      <c r="F11374" s="788">
        <v>37287</v>
      </c>
      <c r="G11374" s="788">
        <v>37287</v>
      </c>
      <c r="H11374" s="787">
        <v>1</v>
      </c>
      <c r="I11374" s="788">
        <v>37991</v>
      </c>
      <c r="J11374" s="788">
        <v>37287</v>
      </c>
      <c r="L11374" s="787">
        <v>8.69</v>
      </c>
      <c r="M11374" s="787">
        <v>20</v>
      </c>
      <c r="N11374" s="787">
        <v>9.34</v>
      </c>
      <c r="O11374" s="788">
        <v>41858</v>
      </c>
    </row>
    <row r="11375" spans="1:15" x14ac:dyDescent="0.25">
      <c r="A11375" s="786" t="s">
        <v>20391</v>
      </c>
      <c r="B11375" s="787">
        <v>4</v>
      </c>
      <c r="C11375" s="787" t="s">
        <v>20392</v>
      </c>
      <c r="D11375" s="787">
        <v>3.75</v>
      </c>
      <c r="E11375" s="787">
        <v>14.58</v>
      </c>
      <c r="F11375" s="788">
        <v>37995</v>
      </c>
      <c r="G11375" s="788">
        <v>38736</v>
      </c>
      <c r="H11375" s="787">
        <v>1</v>
      </c>
      <c r="I11375" s="788">
        <v>39134</v>
      </c>
      <c r="J11375" s="788">
        <v>38470</v>
      </c>
      <c r="L11375" s="787">
        <v>14.99</v>
      </c>
      <c r="M11375" s="787">
        <v>20</v>
      </c>
      <c r="N11375" s="787">
        <v>16.11</v>
      </c>
      <c r="O11375" s="788">
        <v>41858</v>
      </c>
    </row>
    <row r="11376" spans="1:15" x14ac:dyDescent="0.25">
      <c r="A11376" s="786" t="s">
        <v>20393</v>
      </c>
      <c r="B11376" s="787">
        <v>4</v>
      </c>
      <c r="C11376" s="787" t="s">
        <v>20394</v>
      </c>
      <c r="D11376" s="787">
        <v>0.83</v>
      </c>
      <c r="E11376" s="787">
        <v>1.92</v>
      </c>
      <c r="F11376" s="788">
        <v>39891</v>
      </c>
      <c r="G11376" s="788">
        <v>41676</v>
      </c>
      <c r="H11376" s="787">
        <v>1</v>
      </c>
      <c r="I11376" s="788">
        <v>42108</v>
      </c>
      <c r="J11376" s="788">
        <v>42040</v>
      </c>
      <c r="K11376" s="788">
        <v>41869</v>
      </c>
      <c r="L11376" s="787">
        <v>0.86</v>
      </c>
      <c r="M11376" s="787">
        <v>20</v>
      </c>
      <c r="N11376" s="787">
        <v>0.92</v>
      </c>
      <c r="O11376" s="788">
        <v>41975</v>
      </c>
    </row>
    <row r="11377" spans="1:15" x14ac:dyDescent="0.25">
      <c r="A11377" s="786" t="s">
        <v>20395</v>
      </c>
      <c r="B11377" s="787">
        <v>4</v>
      </c>
      <c r="C11377" s="787" t="s">
        <v>20332</v>
      </c>
      <c r="D11377" s="787">
        <v>5.01</v>
      </c>
      <c r="E11377" s="787">
        <v>14.58</v>
      </c>
      <c r="F11377" s="788">
        <v>37287</v>
      </c>
      <c r="G11377" s="788">
        <v>38736</v>
      </c>
      <c r="H11377" s="787">
        <v>1</v>
      </c>
      <c r="I11377" s="788">
        <v>39134</v>
      </c>
      <c r="J11377" s="788">
        <v>38344</v>
      </c>
      <c r="L11377" s="787">
        <v>15.89</v>
      </c>
      <c r="M11377" s="787">
        <v>20</v>
      </c>
      <c r="N11377" s="787">
        <v>17.079999999999998</v>
      </c>
      <c r="O11377" s="788">
        <v>41858</v>
      </c>
    </row>
    <row r="11378" spans="1:15" x14ac:dyDescent="0.25">
      <c r="A11378" s="786" t="s">
        <v>20396</v>
      </c>
      <c r="B11378" s="787">
        <v>4</v>
      </c>
      <c r="C11378" s="787" t="s">
        <v>20397</v>
      </c>
      <c r="D11378" s="787">
        <v>0</v>
      </c>
      <c r="E11378" s="787">
        <v>28.12</v>
      </c>
      <c r="G11378" s="788">
        <v>42135</v>
      </c>
      <c r="H11378" s="787">
        <v>1</v>
      </c>
      <c r="J11378" s="788">
        <v>42135</v>
      </c>
      <c r="L11378" s="787">
        <v>28.12</v>
      </c>
      <c r="M11378" s="787">
        <v>20</v>
      </c>
      <c r="N11378" s="787">
        <v>0</v>
      </c>
    </row>
    <row r="11379" spans="1:15" x14ac:dyDescent="0.25">
      <c r="A11379" s="786" t="s">
        <v>20398</v>
      </c>
      <c r="B11379" s="787">
        <v>4</v>
      </c>
      <c r="C11379" s="787" t="s">
        <v>20399</v>
      </c>
      <c r="D11379" s="787">
        <v>3.57</v>
      </c>
      <c r="E11379" s="787">
        <v>4.8499999999999996</v>
      </c>
      <c r="F11379" s="788">
        <v>39183</v>
      </c>
      <c r="G11379" s="788">
        <v>42008</v>
      </c>
      <c r="H11379" s="787">
        <v>1</v>
      </c>
      <c r="I11379" s="788">
        <v>41969</v>
      </c>
      <c r="J11379" s="788">
        <v>41970</v>
      </c>
      <c r="K11379" s="788">
        <v>41869</v>
      </c>
      <c r="L11379" s="787">
        <v>4.78</v>
      </c>
      <c r="M11379" s="787">
        <v>20</v>
      </c>
      <c r="N11379" s="787">
        <v>11.64</v>
      </c>
      <c r="O11379" s="788">
        <v>41858</v>
      </c>
    </row>
    <row r="11380" spans="1:15" x14ac:dyDescent="0.25">
      <c r="A11380" s="786" t="s">
        <v>20400</v>
      </c>
      <c r="B11380" s="787">
        <v>4</v>
      </c>
      <c r="C11380" s="787" t="s">
        <v>20401</v>
      </c>
      <c r="D11380" s="787">
        <v>3.79</v>
      </c>
      <c r="E11380" s="787">
        <v>5.0999999999999996</v>
      </c>
      <c r="F11380" s="788">
        <v>39101</v>
      </c>
      <c r="G11380" s="788">
        <v>42165</v>
      </c>
      <c r="H11380" s="787">
        <v>1</v>
      </c>
      <c r="I11380" s="788">
        <v>42137</v>
      </c>
      <c r="J11380" s="788">
        <v>42139</v>
      </c>
      <c r="K11380" s="788">
        <v>42160</v>
      </c>
      <c r="L11380" s="787">
        <v>5.0999999999999996</v>
      </c>
      <c r="M11380" s="787">
        <v>20</v>
      </c>
      <c r="N11380" s="787">
        <v>5.48</v>
      </c>
      <c r="O11380" s="788">
        <v>42160</v>
      </c>
    </row>
    <row r="11381" spans="1:15" x14ac:dyDescent="0.25">
      <c r="A11381" s="786" t="s">
        <v>20402</v>
      </c>
      <c r="B11381" s="787">
        <v>4</v>
      </c>
      <c r="C11381" s="787" t="s">
        <v>20403</v>
      </c>
      <c r="D11381" s="787">
        <v>4.8499999999999996</v>
      </c>
      <c r="E11381" s="787">
        <v>4.8499999999999996</v>
      </c>
      <c r="F11381" s="788">
        <v>37643</v>
      </c>
      <c r="G11381" s="788">
        <v>37643</v>
      </c>
      <c r="H11381" s="787">
        <v>1</v>
      </c>
      <c r="I11381" s="788">
        <v>38391</v>
      </c>
      <c r="J11381" s="788">
        <v>37643</v>
      </c>
      <c r="L11381" s="787">
        <v>5.29</v>
      </c>
      <c r="M11381" s="787">
        <v>20</v>
      </c>
      <c r="N11381" s="787">
        <v>5.69</v>
      </c>
      <c r="O11381" s="788">
        <v>41858</v>
      </c>
    </row>
    <row r="11382" spans="1:15" x14ac:dyDescent="0.25">
      <c r="A11382" s="786" t="s">
        <v>20404</v>
      </c>
      <c r="B11382" s="787">
        <v>4</v>
      </c>
      <c r="C11382" s="787" t="s">
        <v>20405</v>
      </c>
      <c r="D11382" s="787">
        <v>5.31</v>
      </c>
      <c r="E11382" s="787">
        <v>7.86</v>
      </c>
      <c r="F11382" s="788">
        <v>39101</v>
      </c>
      <c r="G11382" s="788">
        <v>41715</v>
      </c>
      <c r="H11382" s="787">
        <v>1</v>
      </c>
      <c r="I11382" s="788">
        <v>41704</v>
      </c>
      <c r="J11382" s="788">
        <v>42136</v>
      </c>
      <c r="L11382" s="787">
        <v>5.85</v>
      </c>
      <c r="M11382" s="787">
        <v>20</v>
      </c>
      <c r="N11382" s="787">
        <v>6.29</v>
      </c>
      <c r="O11382" s="788">
        <v>41858</v>
      </c>
    </row>
    <row r="11383" spans="1:15" x14ac:dyDescent="0.25">
      <c r="A11383" s="786" t="s">
        <v>20406</v>
      </c>
      <c r="B11383" s="787">
        <v>4</v>
      </c>
      <c r="C11383" s="787" t="s">
        <v>20407</v>
      </c>
      <c r="D11383" s="787">
        <v>3.7</v>
      </c>
      <c r="E11383" s="787">
        <v>4.3499999999999996</v>
      </c>
      <c r="F11383" s="788">
        <v>39101</v>
      </c>
      <c r="G11383" s="788">
        <v>41379</v>
      </c>
      <c r="H11383" s="787">
        <v>1</v>
      </c>
      <c r="I11383" s="788">
        <v>41380</v>
      </c>
      <c r="J11383" s="788">
        <v>41379</v>
      </c>
      <c r="L11383" s="787">
        <v>4.03</v>
      </c>
      <c r="M11383" s="787">
        <v>20</v>
      </c>
      <c r="N11383" s="787">
        <v>4.33</v>
      </c>
      <c r="O11383" s="788">
        <v>41858</v>
      </c>
    </row>
    <row r="11384" spans="1:15" x14ac:dyDescent="0.25">
      <c r="A11384" s="786" t="s">
        <v>20408</v>
      </c>
      <c r="B11384" s="787">
        <v>4</v>
      </c>
      <c r="C11384" s="787" t="s">
        <v>20409</v>
      </c>
      <c r="D11384" s="787">
        <v>7.78</v>
      </c>
      <c r="E11384" s="787">
        <v>7.86</v>
      </c>
      <c r="F11384" s="788">
        <v>40647</v>
      </c>
      <c r="G11384" s="788">
        <v>41565</v>
      </c>
      <c r="H11384" s="787">
        <v>1</v>
      </c>
      <c r="I11384" s="788">
        <v>42111</v>
      </c>
      <c r="J11384" s="788">
        <v>42145</v>
      </c>
      <c r="K11384" s="788">
        <v>41869</v>
      </c>
      <c r="L11384" s="787">
        <v>7.86</v>
      </c>
      <c r="M11384" s="787">
        <v>20</v>
      </c>
      <c r="N11384" s="787">
        <v>8.4499999999999993</v>
      </c>
      <c r="O11384" s="788">
        <v>41969</v>
      </c>
    </row>
    <row r="11385" spans="1:15" x14ac:dyDescent="0.25">
      <c r="A11385" s="786" t="s">
        <v>20410</v>
      </c>
      <c r="B11385" s="787">
        <v>4</v>
      </c>
      <c r="C11385" s="787" t="s">
        <v>20411</v>
      </c>
      <c r="D11385" s="787">
        <v>0.26</v>
      </c>
      <c r="E11385" s="787">
        <v>0.26</v>
      </c>
      <c r="F11385" s="788">
        <v>41397</v>
      </c>
      <c r="G11385" s="788">
        <v>42164</v>
      </c>
      <c r="H11385" s="787">
        <v>1</v>
      </c>
      <c r="I11385" s="788">
        <v>42111</v>
      </c>
      <c r="J11385" s="788">
        <v>42164</v>
      </c>
      <c r="L11385" s="787">
        <v>0.2</v>
      </c>
      <c r="M11385" s="787">
        <v>20</v>
      </c>
      <c r="N11385" s="787">
        <v>0.22</v>
      </c>
      <c r="O11385" s="788">
        <v>41975</v>
      </c>
    </row>
    <row r="11386" spans="1:15" x14ac:dyDescent="0.25">
      <c r="A11386" s="786" t="s">
        <v>20412</v>
      </c>
      <c r="B11386" s="787">
        <v>4</v>
      </c>
      <c r="C11386" s="787" t="s">
        <v>20413</v>
      </c>
      <c r="D11386" s="787">
        <v>3.3</v>
      </c>
      <c r="E11386" s="787">
        <v>3.3</v>
      </c>
      <c r="F11386" s="788">
        <v>37287</v>
      </c>
      <c r="G11386" s="788">
        <v>37287</v>
      </c>
      <c r="H11386" s="787">
        <v>1</v>
      </c>
      <c r="J11386" s="788">
        <v>37287</v>
      </c>
      <c r="L11386" s="787">
        <v>3.6</v>
      </c>
      <c r="M11386" s="787">
        <v>20</v>
      </c>
      <c r="N11386" s="787">
        <v>3.87</v>
      </c>
      <c r="O11386" s="788">
        <v>41858</v>
      </c>
    </row>
    <row r="11387" spans="1:15" x14ac:dyDescent="0.25">
      <c r="A11387" s="786" t="s">
        <v>20414</v>
      </c>
      <c r="B11387" s="787">
        <v>4</v>
      </c>
      <c r="C11387" s="787" t="s">
        <v>20304</v>
      </c>
      <c r="D11387" s="787">
        <v>6.99</v>
      </c>
      <c r="E11387" s="787">
        <v>6.99</v>
      </c>
      <c r="F11387" s="788">
        <v>41599</v>
      </c>
      <c r="G11387" s="788">
        <v>41618</v>
      </c>
      <c r="H11387" s="787">
        <v>6</v>
      </c>
      <c r="I11387" s="788">
        <v>41339</v>
      </c>
      <c r="J11387" s="788">
        <v>41597</v>
      </c>
      <c r="K11387" s="788">
        <v>41869</v>
      </c>
      <c r="L11387" s="787">
        <v>6.99</v>
      </c>
      <c r="M11387" s="787">
        <v>20</v>
      </c>
      <c r="N11387" s="787">
        <v>13.44</v>
      </c>
      <c r="O11387" s="788">
        <v>41858</v>
      </c>
    </row>
    <row r="11388" spans="1:15" x14ac:dyDescent="0.25">
      <c r="A11388" s="786" t="s">
        <v>20415</v>
      </c>
      <c r="B11388" s="787">
        <v>4</v>
      </c>
      <c r="C11388" s="787" t="s">
        <v>20416</v>
      </c>
      <c r="D11388" s="787">
        <v>0.91</v>
      </c>
      <c r="E11388" s="787">
        <v>16.34</v>
      </c>
      <c r="F11388" s="788">
        <v>39101</v>
      </c>
      <c r="G11388" s="788">
        <v>42013</v>
      </c>
      <c r="H11388" s="787">
        <v>1</v>
      </c>
      <c r="I11388" s="788">
        <v>42164</v>
      </c>
      <c r="J11388" s="788">
        <v>41716</v>
      </c>
      <c r="K11388" s="788">
        <v>41400</v>
      </c>
      <c r="L11388" s="787">
        <v>16.600000000000001</v>
      </c>
      <c r="M11388" s="787">
        <v>20</v>
      </c>
      <c r="N11388" s="787">
        <v>17.850000000000001</v>
      </c>
      <c r="O11388" s="788">
        <v>42162</v>
      </c>
    </row>
    <row r="11389" spans="1:15" x14ac:dyDescent="0.25">
      <c r="A11389" s="786" t="s">
        <v>20417</v>
      </c>
      <c r="B11389" s="787">
        <v>4</v>
      </c>
      <c r="C11389" s="787" t="s">
        <v>20418</v>
      </c>
      <c r="D11389" s="787">
        <v>4.6100000000000003</v>
      </c>
      <c r="E11389" s="787">
        <v>4.6100000000000003</v>
      </c>
      <c r="F11389" s="788">
        <v>39101</v>
      </c>
      <c r="G11389" s="788">
        <v>39101</v>
      </c>
      <c r="H11389" s="787">
        <v>1</v>
      </c>
      <c r="I11389" s="788">
        <v>41661</v>
      </c>
      <c r="J11389" s="788">
        <v>41723</v>
      </c>
      <c r="L11389" s="787">
        <v>4.84</v>
      </c>
      <c r="M11389" s="787">
        <v>20</v>
      </c>
      <c r="N11389" s="787">
        <v>5.2</v>
      </c>
      <c r="O11389" s="788">
        <v>42162</v>
      </c>
    </row>
    <row r="11390" spans="1:15" x14ac:dyDescent="0.25">
      <c r="A11390" s="786" t="s">
        <v>20419</v>
      </c>
      <c r="B11390" s="787">
        <v>4</v>
      </c>
      <c r="C11390" s="787" t="s">
        <v>20420</v>
      </c>
      <c r="D11390" s="787">
        <v>1.5</v>
      </c>
      <c r="E11390" s="787">
        <v>16.64</v>
      </c>
      <c r="F11390" s="788">
        <v>39101</v>
      </c>
      <c r="G11390" s="788">
        <v>42013</v>
      </c>
      <c r="H11390" s="787">
        <v>1</v>
      </c>
      <c r="I11390" s="788">
        <v>42165</v>
      </c>
      <c r="J11390" s="788">
        <v>41877</v>
      </c>
      <c r="L11390" s="787">
        <v>11.45</v>
      </c>
      <c r="M11390" s="787">
        <v>20</v>
      </c>
      <c r="N11390" s="787">
        <v>12.31</v>
      </c>
      <c r="O11390" s="788">
        <v>42162</v>
      </c>
    </row>
    <row r="11391" spans="1:15" x14ac:dyDescent="0.25">
      <c r="A11391" s="786" t="s">
        <v>20421</v>
      </c>
      <c r="B11391" s="787">
        <v>4</v>
      </c>
      <c r="C11391" s="787" t="s">
        <v>20422</v>
      </c>
      <c r="D11391" s="787">
        <v>3.33</v>
      </c>
      <c r="E11391" s="787">
        <v>3.33</v>
      </c>
      <c r="F11391" s="788">
        <v>39101</v>
      </c>
      <c r="G11391" s="788">
        <v>39101</v>
      </c>
      <c r="H11391" s="787">
        <v>1</v>
      </c>
      <c r="I11391" s="788">
        <v>41688</v>
      </c>
      <c r="J11391" s="788">
        <v>41711</v>
      </c>
      <c r="L11391" s="787">
        <v>3.63</v>
      </c>
      <c r="M11391" s="787">
        <v>20</v>
      </c>
      <c r="N11391" s="787">
        <v>3.9</v>
      </c>
      <c r="O11391" s="788">
        <v>41858</v>
      </c>
    </row>
    <row r="11392" spans="1:15" x14ac:dyDescent="0.25">
      <c r="A11392" s="786" t="s">
        <v>20423</v>
      </c>
      <c r="B11392" s="787">
        <v>4</v>
      </c>
      <c r="C11392" s="787" t="s">
        <v>20424</v>
      </c>
      <c r="D11392" s="787">
        <v>2.4</v>
      </c>
      <c r="E11392" s="787">
        <v>2.4</v>
      </c>
      <c r="F11392" s="788">
        <v>38106</v>
      </c>
      <c r="G11392" s="788">
        <v>38106</v>
      </c>
      <c r="H11392" s="787">
        <v>6</v>
      </c>
      <c r="I11392" s="788">
        <v>41502</v>
      </c>
      <c r="J11392" s="788">
        <v>38072</v>
      </c>
      <c r="K11392" s="788">
        <v>41869</v>
      </c>
      <c r="L11392" s="787">
        <v>0.67</v>
      </c>
      <c r="M11392" s="787">
        <v>20</v>
      </c>
      <c r="N11392" s="787">
        <v>2.82</v>
      </c>
      <c r="O11392" s="788">
        <v>41858</v>
      </c>
    </row>
    <row r="11393" spans="1:15" x14ac:dyDescent="0.25">
      <c r="A11393" s="786" t="s">
        <v>716</v>
      </c>
      <c r="B11393" s="787">
        <v>4</v>
      </c>
      <c r="C11393" s="787" t="s">
        <v>715</v>
      </c>
      <c r="D11393" s="787">
        <v>2.58</v>
      </c>
      <c r="E11393" s="787">
        <v>3.38</v>
      </c>
      <c r="F11393" s="788">
        <v>38909</v>
      </c>
      <c r="G11393" s="788">
        <v>42151</v>
      </c>
      <c r="H11393" s="787">
        <v>1</v>
      </c>
      <c r="I11393" s="788">
        <v>42165</v>
      </c>
      <c r="J11393" s="788">
        <v>42151</v>
      </c>
      <c r="K11393" s="788">
        <v>41801</v>
      </c>
      <c r="L11393" s="787">
        <v>3.38</v>
      </c>
      <c r="M11393" s="787">
        <v>20</v>
      </c>
      <c r="N11393" s="787">
        <v>3.63</v>
      </c>
      <c r="O11393" s="788">
        <v>42162</v>
      </c>
    </row>
    <row r="11394" spans="1:15" x14ac:dyDescent="0.25">
      <c r="A11394" s="786" t="s">
        <v>20425</v>
      </c>
      <c r="B11394" s="787">
        <v>4</v>
      </c>
      <c r="C11394" s="787" t="s">
        <v>13503</v>
      </c>
      <c r="D11394" s="787">
        <v>7.48</v>
      </c>
      <c r="E11394" s="787">
        <v>27.52</v>
      </c>
      <c r="F11394" s="788">
        <v>41911</v>
      </c>
      <c r="G11394" s="788">
        <v>42150</v>
      </c>
      <c r="H11394" s="787">
        <v>1</v>
      </c>
      <c r="I11394" s="788">
        <v>42152</v>
      </c>
      <c r="J11394" s="788">
        <v>42144</v>
      </c>
      <c r="K11394" s="788">
        <v>41899</v>
      </c>
      <c r="L11394" s="787">
        <v>6.37</v>
      </c>
      <c r="M11394" s="787">
        <v>20</v>
      </c>
      <c r="N11394" s="787">
        <v>22.58</v>
      </c>
      <c r="O11394" s="788">
        <v>41858</v>
      </c>
    </row>
    <row r="11395" spans="1:15" x14ac:dyDescent="0.25">
      <c r="A11395" s="786" t="s">
        <v>20426</v>
      </c>
      <c r="B11395" s="787">
        <v>4</v>
      </c>
      <c r="C11395" s="787" t="s">
        <v>13439</v>
      </c>
      <c r="D11395" s="787">
        <v>0.72</v>
      </c>
      <c r="E11395" s="787">
        <v>15.19</v>
      </c>
      <c r="F11395" s="788">
        <v>37743</v>
      </c>
      <c r="G11395" s="788">
        <v>42143</v>
      </c>
      <c r="H11395" s="787">
        <v>1</v>
      </c>
      <c r="I11395" s="788">
        <v>37039</v>
      </c>
      <c r="J11395" s="788">
        <v>42128</v>
      </c>
      <c r="L11395" s="787">
        <v>11.68</v>
      </c>
      <c r="M11395" s="787">
        <v>20</v>
      </c>
      <c r="N11395" s="787">
        <v>12.56</v>
      </c>
      <c r="O11395" s="788">
        <v>41858</v>
      </c>
    </row>
    <row r="11396" spans="1:15" x14ac:dyDescent="0.25">
      <c r="A11396" s="786" t="s">
        <v>20427</v>
      </c>
      <c r="B11396" s="787">
        <v>4</v>
      </c>
      <c r="C11396" s="787" t="s">
        <v>13439</v>
      </c>
      <c r="D11396" s="787">
        <v>4.83</v>
      </c>
      <c r="E11396" s="787">
        <v>17.07</v>
      </c>
      <c r="F11396" s="788">
        <v>37643</v>
      </c>
      <c r="G11396" s="788">
        <v>42086</v>
      </c>
      <c r="H11396" s="787">
        <v>1</v>
      </c>
      <c r="I11396" s="788">
        <v>38467</v>
      </c>
      <c r="J11396" s="788">
        <v>42079</v>
      </c>
      <c r="K11396" s="788">
        <v>41865</v>
      </c>
      <c r="L11396" s="787">
        <v>39.1</v>
      </c>
      <c r="M11396" s="787">
        <v>20</v>
      </c>
      <c r="N11396" s="787">
        <v>17.37</v>
      </c>
      <c r="O11396" s="788">
        <v>41858</v>
      </c>
    </row>
    <row r="11397" spans="1:15" x14ac:dyDescent="0.25">
      <c r="A11397" s="786" t="s">
        <v>20428</v>
      </c>
      <c r="B11397" s="787">
        <v>4</v>
      </c>
      <c r="C11397" s="787" t="s">
        <v>13439</v>
      </c>
      <c r="D11397" s="787">
        <v>2.78</v>
      </c>
      <c r="E11397" s="787">
        <v>14.68</v>
      </c>
      <c r="F11397" s="788">
        <v>37643</v>
      </c>
      <c r="G11397" s="788">
        <v>40998</v>
      </c>
      <c r="H11397" s="787">
        <v>1</v>
      </c>
      <c r="J11397" s="788">
        <v>40991</v>
      </c>
      <c r="L11397" s="787">
        <v>13.93</v>
      </c>
      <c r="M11397" s="787">
        <v>20</v>
      </c>
      <c r="N11397" s="787">
        <v>14.97</v>
      </c>
      <c r="O11397" s="788">
        <v>41858</v>
      </c>
    </row>
    <row r="11398" spans="1:15" x14ac:dyDescent="0.25">
      <c r="A11398" s="786" t="s">
        <v>20429</v>
      </c>
      <c r="B11398" s="787">
        <v>4</v>
      </c>
      <c r="C11398" s="787" t="s">
        <v>20430</v>
      </c>
      <c r="D11398" s="787">
        <v>7.78</v>
      </c>
      <c r="E11398" s="787">
        <v>7.88</v>
      </c>
      <c r="F11398" s="788">
        <v>37643</v>
      </c>
      <c r="G11398" s="788">
        <v>38364</v>
      </c>
      <c r="H11398" s="787">
        <v>1</v>
      </c>
      <c r="I11398" s="788">
        <v>38705</v>
      </c>
      <c r="J11398" s="788">
        <v>37670</v>
      </c>
      <c r="L11398" s="787">
        <v>8.59</v>
      </c>
      <c r="M11398" s="787">
        <v>20</v>
      </c>
      <c r="N11398" s="787">
        <v>9.23</v>
      </c>
      <c r="O11398" s="788">
        <v>41858</v>
      </c>
    </row>
    <row r="11399" spans="1:15" x14ac:dyDescent="0.25">
      <c r="A11399" s="786" t="s">
        <v>20431</v>
      </c>
      <c r="B11399" s="787">
        <v>4</v>
      </c>
      <c r="C11399" s="787" t="s">
        <v>20432</v>
      </c>
      <c r="D11399" s="787">
        <v>0.98</v>
      </c>
      <c r="E11399" s="787">
        <v>14.45</v>
      </c>
      <c r="F11399" s="788">
        <v>37663</v>
      </c>
      <c r="G11399" s="788">
        <v>38736</v>
      </c>
      <c r="H11399" s="787">
        <v>1</v>
      </c>
      <c r="I11399" s="788">
        <v>39134</v>
      </c>
      <c r="J11399" s="788">
        <v>38656</v>
      </c>
      <c r="L11399" s="787">
        <v>13.81</v>
      </c>
      <c r="M11399" s="787">
        <v>20</v>
      </c>
      <c r="N11399" s="787">
        <v>14.85</v>
      </c>
      <c r="O11399" s="788">
        <v>41858</v>
      </c>
    </row>
    <row r="11400" spans="1:15" x14ac:dyDescent="0.25">
      <c r="A11400" s="786" t="s">
        <v>20433</v>
      </c>
      <c r="B11400" s="787">
        <v>4</v>
      </c>
      <c r="C11400" s="787" t="s">
        <v>13439</v>
      </c>
      <c r="D11400" s="787">
        <v>2.86</v>
      </c>
      <c r="E11400" s="787">
        <v>23.41</v>
      </c>
      <c r="F11400" s="788">
        <v>39101</v>
      </c>
      <c r="G11400" s="788">
        <v>40857</v>
      </c>
      <c r="H11400" s="787">
        <v>1</v>
      </c>
      <c r="I11400" s="788">
        <v>40843</v>
      </c>
      <c r="J11400" s="788">
        <v>40856</v>
      </c>
      <c r="L11400" s="787">
        <v>14.02</v>
      </c>
      <c r="M11400" s="787">
        <v>20</v>
      </c>
      <c r="N11400" s="787">
        <v>15.07</v>
      </c>
      <c r="O11400" s="788">
        <v>41858</v>
      </c>
    </row>
    <row r="11401" spans="1:15" x14ac:dyDescent="0.25">
      <c r="A11401" s="786" t="s">
        <v>20434</v>
      </c>
      <c r="B11401" s="787">
        <v>4</v>
      </c>
      <c r="C11401" s="787" t="s">
        <v>20435</v>
      </c>
      <c r="D11401" s="787">
        <v>0.96</v>
      </c>
      <c r="E11401" s="787">
        <v>32.53</v>
      </c>
      <c r="F11401" s="788">
        <v>37643</v>
      </c>
      <c r="G11401" s="788">
        <v>39588</v>
      </c>
      <c r="H11401" s="787">
        <v>1</v>
      </c>
      <c r="I11401" s="788">
        <v>39577</v>
      </c>
      <c r="J11401" s="788">
        <v>39577</v>
      </c>
      <c r="K11401" s="788">
        <v>41291</v>
      </c>
      <c r="L11401" s="787">
        <v>23.98</v>
      </c>
      <c r="M11401" s="787">
        <v>20</v>
      </c>
      <c r="N11401" s="787">
        <v>25.78</v>
      </c>
      <c r="O11401" s="788">
        <v>42164</v>
      </c>
    </row>
    <row r="11402" spans="1:15" x14ac:dyDescent="0.25">
      <c r="A11402" s="786" t="s">
        <v>20436</v>
      </c>
      <c r="B11402" s="787">
        <v>4</v>
      </c>
      <c r="C11402" s="787" t="s">
        <v>20430</v>
      </c>
      <c r="D11402" s="787">
        <v>0</v>
      </c>
      <c r="E11402" s="787">
        <v>0</v>
      </c>
      <c r="G11402" s="788">
        <v>37643</v>
      </c>
      <c r="H11402" s="787">
        <v>1</v>
      </c>
      <c r="I11402" s="788">
        <v>40268</v>
      </c>
      <c r="J11402" s="788">
        <v>37643</v>
      </c>
      <c r="L11402" s="787">
        <v>0</v>
      </c>
      <c r="M11402" s="787">
        <v>20</v>
      </c>
      <c r="N11402" s="787">
        <v>0</v>
      </c>
      <c r="O11402" s="788">
        <v>40824</v>
      </c>
    </row>
    <row r="11403" spans="1:15" x14ac:dyDescent="0.25">
      <c r="A11403" s="786" t="s">
        <v>20437</v>
      </c>
      <c r="B11403" s="787">
        <v>4</v>
      </c>
      <c r="C11403" s="787" t="s">
        <v>20438</v>
      </c>
      <c r="D11403" s="787">
        <v>5.0199999999999996</v>
      </c>
      <c r="E11403" s="787">
        <v>45.02</v>
      </c>
      <c r="F11403" s="788">
        <v>41774</v>
      </c>
      <c r="G11403" s="788">
        <v>41806</v>
      </c>
      <c r="H11403" s="787">
        <v>1</v>
      </c>
      <c r="I11403" s="788">
        <v>41764</v>
      </c>
      <c r="J11403" s="788">
        <v>41773</v>
      </c>
      <c r="L11403" s="787">
        <v>38.5</v>
      </c>
      <c r="M11403" s="787">
        <v>20</v>
      </c>
      <c r="N11403" s="787">
        <v>41.39</v>
      </c>
      <c r="O11403" s="788">
        <v>42164</v>
      </c>
    </row>
    <row r="11404" spans="1:15" x14ac:dyDescent="0.25">
      <c r="A11404" s="786" t="s">
        <v>20439</v>
      </c>
      <c r="B11404" s="787">
        <v>4</v>
      </c>
      <c r="C11404" s="787" t="s">
        <v>13439</v>
      </c>
      <c r="D11404" s="787">
        <v>0.22</v>
      </c>
      <c r="E11404" s="787">
        <v>10.220000000000001</v>
      </c>
      <c r="F11404" s="788">
        <v>37743</v>
      </c>
      <c r="G11404" s="788">
        <v>37743</v>
      </c>
      <c r="H11404" s="787">
        <v>1</v>
      </c>
      <c r="I11404" s="788">
        <v>38631</v>
      </c>
      <c r="J11404" s="788">
        <v>37726</v>
      </c>
      <c r="L11404" s="787">
        <v>11.14</v>
      </c>
      <c r="M11404" s="787">
        <v>20</v>
      </c>
      <c r="N11404" s="787">
        <v>11.98</v>
      </c>
      <c r="O11404" s="788">
        <v>41858</v>
      </c>
    </row>
    <row r="11405" spans="1:15" x14ac:dyDescent="0.25">
      <c r="A11405" s="786" t="s">
        <v>20440</v>
      </c>
      <c r="B11405" s="787">
        <v>4</v>
      </c>
      <c r="C11405" s="787" t="s">
        <v>20441</v>
      </c>
      <c r="D11405" s="787">
        <v>6</v>
      </c>
      <c r="E11405" s="787">
        <v>6.82</v>
      </c>
      <c r="F11405" s="788">
        <v>39469</v>
      </c>
      <c r="G11405" s="788">
        <v>42050</v>
      </c>
      <c r="H11405" s="787">
        <v>1</v>
      </c>
      <c r="I11405" s="788">
        <v>42165</v>
      </c>
      <c r="J11405" s="788">
        <v>42047</v>
      </c>
      <c r="K11405" s="788">
        <v>40752</v>
      </c>
      <c r="L11405" s="787">
        <v>6.53</v>
      </c>
      <c r="M11405" s="787">
        <v>20</v>
      </c>
      <c r="N11405" s="787">
        <v>7.02</v>
      </c>
      <c r="O11405" s="788">
        <v>42146</v>
      </c>
    </row>
    <row r="11406" spans="1:15" x14ac:dyDescent="0.25">
      <c r="A11406" s="786" t="s">
        <v>20442</v>
      </c>
      <c r="B11406" s="787">
        <v>4</v>
      </c>
      <c r="C11406" s="787" t="s">
        <v>20441</v>
      </c>
      <c r="D11406" s="787">
        <v>6.73</v>
      </c>
      <c r="E11406" s="787">
        <v>6.83</v>
      </c>
      <c r="F11406" s="788">
        <v>39059</v>
      </c>
      <c r="G11406" s="788">
        <v>39066</v>
      </c>
      <c r="H11406" s="787">
        <v>1</v>
      </c>
      <c r="I11406" s="788">
        <v>39996</v>
      </c>
      <c r="J11406" s="788">
        <v>39049</v>
      </c>
      <c r="L11406" s="787">
        <v>6.83</v>
      </c>
      <c r="M11406" s="787">
        <v>20</v>
      </c>
      <c r="N11406" s="787">
        <v>7.34</v>
      </c>
      <c r="O11406" s="788">
        <v>41858</v>
      </c>
    </row>
    <row r="11407" spans="1:15" x14ac:dyDescent="0.25">
      <c r="A11407" s="786" t="s">
        <v>20443</v>
      </c>
      <c r="B11407" s="787">
        <v>4</v>
      </c>
      <c r="C11407" s="787" t="s">
        <v>13439</v>
      </c>
      <c r="D11407" s="787">
        <v>1.69</v>
      </c>
      <c r="E11407" s="787">
        <v>23.95</v>
      </c>
      <c r="F11407" s="788">
        <v>38364</v>
      </c>
      <c r="G11407" s="788">
        <v>38559</v>
      </c>
      <c r="H11407" s="787">
        <v>1</v>
      </c>
      <c r="I11407" s="788">
        <v>37662</v>
      </c>
      <c r="J11407" s="788">
        <v>38565</v>
      </c>
      <c r="L11407" s="787">
        <v>12.74</v>
      </c>
      <c r="M11407" s="787">
        <v>20</v>
      </c>
      <c r="N11407" s="787">
        <v>13.7</v>
      </c>
      <c r="O11407" s="788">
        <v>41858</v>
      </c>
    </row>
    <row r="11408" spans="1:15" x14ac:dyDescent="0.25">
      <c r="A11408" s="786" t="s">
        <v>20444</v>
      </c>
      <c r="B11408" s="787">
        <v>4</v>
      </c>
      <c r="C11408" s="787" t="s">
        <v>20445</v>
      </c>
      <c r="D11408" s="787">
        <v>0.82</v>
      </c>
      <c r="E11408" s="787">
        <v>30.16</v>
      </c>
      <c r="F11408" s="788">
        <v>38041</v>
      </c>
      <c r="G11408" s="788">
        <v>40914</v>
      </c>
      <c r="H11408" s="787">
        <v>1</v>
      </c>
      <c r="I11408" s="788">
        <v>40843</v>
      </c>
      <c r="J11408" s="788">
        <v>38344</v>
      </c>
      <c r="L11408" s="787">
        <v>32.869999999999997</v>
      </c>
      <c r="M11408" s="787">
        <v>20</v>
      </c>
      <c r="N11408" s="787">
        <v>35.340000000000003</v>
      </c>
      <c r="O11408" s="788">
        <v>41858</v>
      </c>
    </row>
    <row r="11409" spans="1:15" x14ac:dyDescent="0.25">
      <c r="A11409" s="786" t="s">
        <v>20446</v>
      </c>
      <c r="B11409" s="787">
        <v>4</v>
      </c>
      <c r="C11409" s="787" t="s">
        <v>20430</v>
      </c>
      <c r="D11409" s="787">
        <v>9.9</v>
      </c>
      <c r="E11409" s="787">
        <v>9.9</v>
      </c>
      <c r="F11409" s="788">
        <v>38218</v>
      </c>
      <c r="G11409" s="788">
        <v>40919</v>
      </c>
      <c r="H11409" s="787">
        <v>1</v>
      </c>
      <c r="I11409" s="788">
        <v>38476</v>
      </c>
      <c r="J11409" s="788">
        <v>38211</v>
      </c>
      <c r="L11409" s="787">
        <v>10.79</v>
      </c>
      <c r="M11409" s="787">
        <v>20</v>
      </c>
      <c r="N11409" s="787">
        <v>11.6</v>
      </c>
      <c r="O11409" s="788">
        <v>41858</v>
      </c>
    </row>
    <row r="11410" spans="1:15" x14ac:dyDescent="0.25">
      <c r="A11410" s="786" t="s">
        <v>20447</v>
      </c>
      <c r="B11410" s="787">
        <v>4</v>
      </c>
      <c r="C11410" s="787" t="s">
        <v>20448</v>
      </c>
      <c r="D11410" s="787">
        <v>4.79</v>
      </c>
      <c r="E11410" s="787">
        <v>14.79</v>
      </c>
      <c r="F11410" s="788">
        <v>37970</v>
      </c>
      <c r="G11410" s="788">
        <v>37957</v>
      </c>
      <c r="H11410" s="787">
        <v>1</v>
      </c>
      <c r="I11410" s="788">
        <v>40816</v>
      </c>
      <c r="J11410" s="788">
        <v>37957</v>
      </c>
      <c r="L11410" s="787">
        <v>16.12</v>
      </c>
      <c r="M11410" s="787">
        <v>20</v>
      </c>
      <c r="N11410" s="787">
        <v>17.329999999999998</v>
      </c>
      <c r="O11410" s="788">
        <v>41858</v>
      </c>
    </row>
    <row r="11411" spans="1:15" x14ac:dyDescent="0.25">
      <c r="A11411" s="786" t="s">
        <v>20449</v>
      </c>
      <c r="B11411" s="787">
        <v>4</v>
      </c>
      <c r="C11411" s="787" t="s">
        <v>13503</v>
      </c>
      <c r="D11411" s="787">
        <v>7.65</v>
      </c>
      <c r="E11411" s="787">
        <v>7.65</v>
      </c>
      <c r="F11411" s="788">
        <v>42115</v>
      </c>
      <c r="G11411" s="788">
        <v>42164</v>
      </c>
      <c r="H11411" s="787">
        <v>1</v>
      </c>
      <c r="I11411" s="788">
        <v>42165</v>
      </c>
      <c r="J11411" s="788">
        <v>42164</v>
      </c>
      <c r="L11411" s="787">
        <v>7.48</v>
      </c>
      <c r="M11411" s="787">
        <v>20</v>
      </c>
      <c r="N11411" s="787">
        <v>8.0399999999999991</v>
      </c>
      <c r="O11411" s="788">
        <v>42076</v>
      </c>
    </row>
    <row r="11412" spans="1:15" x14ac:dyDescent="0.25">
      <c r="A11412" s="786" t="s">
        <v>20450</v>
      </c>
      <c r="B11412" s="787">
        <v>4</v>
      </c>
      <c r="C11412" s="787" t="s">
        <v>20451</v>
      </c>
      <c r="D11412" s="787">
        <v>2.59</v>
      </c>
      <c r="E11412" s="787">
        <v>12.59</v>
      </c>
      <c r="F11412" s="788">
        <v>38075</v>
      </c>
      <c r="G11412" s="788">
        <v>38364</v>
      </c>
      <c r="H11412" s="787">
        <v>1</v>
      </c>
      <c r="I11412" s="788">
        <v>38040</v>
      </c>
      <c r="J11412" s="788">
        <v>38040</v>
      </c>
      <c r="L11412" s="787">
        <v>13.72</v>
      </c>
      <c r="M11412" s="787">
        <v>20</v>
      </c>
      <c r="N11412" s="787">
        <v>14.75</v>
      </c>
      <c r="O11412" s="788">
        <v>41858</v>
      </c>
    </row>
    <row r="11413" spans="1:15" x14ac:dyDescent="0.25">
      <c r="A11413" s="786" t="s">
        <v>20452</v>
      </c>
      <c r="B11413" s="787">
        <v>4</v>
      </c>
      <c r="C11413" s="787" t="s">
        <v>20453</v>
      </c>
      <c r="D11413" s="787">
        <v>6.73</v>
      </c>
      <c r="E11413" s="787">
        <v>6.73</v>
      </c>
      <c r="F11413" s="788">
        <v>37643</v>
      </c>
      <c r="G11413" s="788">
        <v>37643</v>
      </c>
      <c r="H11413" s="787">
        <v>1</v>
      </c>
      <c r="I11413" s="788">
        <v>37561</v>
      </c>
      <c r="J11413" s="788">
        <v>37643</v>
      </c>
      <c r="L11413" s="787">
        <v>7.34</v>
      </c>
      <c r="M11413" s="787">
        <v>20</v>
      </c>
      <c r="N11413" s="787">
        <v>7.89</v>
      </c>
      <c r="O11413" s="788">
        <v>41858</v>
      </c>
    </row>
    <row r="11414" spans="1:15" x14ac:dyDescent="0.25">
      <c r="A11414" s="786" t="s">
        <v>20454</v>
      </c>
      <c r="B11414" s="787">
        <v>4</v>
      </c>
      <c r="C11414" s="787" t="s">
        <v>20455</v>
      </c>
      <c r="D11414" s="787">
        <v>4.04</v>
      </c>
      <c r="E11414" s="787">
        <v>5.24</v>
      </c>
      <c r="F11414" s="788">
        <v>39101</v>
      </c>
      <c r="G11414" s="788">
        <v>42093</v>
      </c>
      <c r="H11414" s="787">
        <v>1</v>
      </c>
      <c r="I11414" s="788">
        <v>42151</v>
      </c>
      <c r="J11414" s="788">
        <v>42086</v>
      </c>
      <c r="L11414" s="787">
        <v>4.34</v>
      </c>
      <c r="M11414" s="787">
        <v>20</v>
      </c>
      <c r="N11414" s="787">
        <v>4.67</v>
      </c>
      <c r="O11414" s="788">
        <v>42163</v>
      </c>
    </row>
    <row r="11415" spans="1:15" x14ac:dyDescent="0.25">
      <c r="A11415" s="786" t="s">
        <v>20456</v>
      </c>
      <c r="B11415" s="787">
        <v>4</v>
      </c>
      <c r="C11415" s="787" t="s">
        <v>20457</v>
      </c>
      <c r="D11415" s="787">
        <v>6.31</v>
      </c>
      <c r="E11415" s="787">
        <v>8.5299999999999994</v>
      </c>
      <c r="F11415" s="788">
        <v>39101</v>
      </c>
      <c r="G11415" s="788">
        <v>42030</v>
      </c>
      <c r="H11415" s="787">
        <v>1</v>
      </c>
      <c r="I11415" s="788">
        <v>42166</v>
      </c>
      <c r="J11415" s="788">
        <v>42023</v>
      </c>
      <c r="K11415" s="788">
        <v>40857</v>
      </c>
      <c r="L11415" s="787">
        <v>8.5</v>
      </c>
      <c r="M11415" s="787">
        <v>20</v>
      </c>
      <c r="N11415" s="787">
        <v>9.14</v>
      </c>
      <c r="O11415" s="788">
        <v>42164</v>
      </c>
    </row>
    <row r="11416" spans="1:15" x14ac:dyDescent="0.25">
      <c r="A11416" s="786" t="s">
        <v>20458</v>
      </c>
      <c r="B11416" s="787">
        <v>4</v>
      </c>
      <c r="C11416" s="787" t="s">
        <v>20459</v>
      </c>
      <c r="D11416" s="787">
        <v>8.48</v>
      </c>
      <c r="E11416" s="787">
        <v>8.76</v>
      </c>
      <c r="F11416" s="788">
        <v>40227</v>
      </c>
      <c r="G11416" s="788">
        <v>42158</v>
      </c>
      <c r="H11416" s="787">
        <v>1</v>
      </c>
      <c r="I11416" s="788">
        <v>42166</v>
      </c>
      <c r="J11416" s="788">
        <v>42152</v>
      </c>
      <c r="K11416" s="788">
        <v>41547</v>
      </c>
      <c r="L11416" s="787">
        <v>8.5399999999999991</v>
      </c>
      <c r="M11416" s="787">
        <v>20</v>
      </c>
      <c r="N11416" s="787">
        <v>9.18</v>
      </c>
      <c r="O11416" s="788">
        <v>42146</v>
      </c>
    </row>
    <row r="11417" spans="1:15" x14ac:dyDescent="0.25">
      <c r="A11417" s="786" t="s">
        <v>20460</v>
      </c>
      <c r="B11417" s="787">
        <v>4</v>
      </c>
      <c r="C11417" s="787" t="s">
        <v>20461</v>
      </c>
      <c r="D11417" s="787">
        <v>0.39</v>
      </c>
      <c r="E11417" s="787">
        <v>11.89</v>
      </c>
      <c r="F11417" s="788">
        <v>40758</v>
      </c>
      <c r="G11417" s="788">
        <v>42136</v>
      </c>
      <c r="H11417" s="787">
        <v>1</v>
      </c>
      <c r="I11417" s="788">
        <v>42166</v>
      </c>
      <c r="J11417" s="788">
        <v>42121</v>
      </c>
      <c r="L11417" s="787">
        <v>11.51</v>
      </c>
      <c r="M11417" s="787">
        <v>20</v>
      </c>
      <c r="N11417" s="787">
        <v>12.37</v>
      </c>
      <c r="O11417" s="788">
        <v>42080</v>
      </c>
    </row>
    <row r="11418" spans="1:15" x14ac:dyDescent="0.25">
      <c r="A11418" s="786" t="s">
        <v>20462</v>
      </c>
      <c r="B11418" s="787">
        <v>4</v>
      </c>
      <c r="C11418" s="787" t="s">
        <v>20463</v>
      </c>
      <c r="D11418" s="787">
        <v>9.1300000000000008</v>
      </c>
      <c r="E11418" s="787">
        <v>19.13</v>
      </c>
      <c r="F11418" s="788">
        <v>39617</v>
      </c>
      <c r="G11418" s="788">
        <v>39814</v>
      </c>
      <c r="H11418" s="787">
        <v>1</v>
      </c>
      <c r="I11418" s="788">
        <v>39609</v>
      </c>
      <c r="J11418" s="788">
        <v>39609</v>
      </c>
      <c r="L11418" s="787">
        <v>19.13</v>
      </c>
      <c r="M11418" s="787">
        <v>20</v>
      </c>
      <c r="N11418" s="787">
        <v>20.56</v>
      </c>
      <c r="O11418" s="788">
        <v>41858</v>
      </c>
    </row>
    <row r="11419" spans="1:15" x14ac:dyDescent="0.25">
      <c r="A11419" s="786" t="s">
        <v>606</v>
      </c>
      <c r="B11419" s="787">
        <v>4</v>
      </c>
      <c r="C11419" s="787" t="s">
        <v>20464</v>
      </c>
      <c r="D11419" s="787">
        <v>1.4</v>
      </c>
      <c r="E11419" s="787">
        <v>84.7</v>
      </c>
      <c r="F11419" s="788">
        <v>40127</v>
      </c>
      <c r="G11419" s="788">
        <v>42032</v>
      </c>
      <c r="H11419" s="787">
        <v>1</v>
      </c>
      <c r="I11419" s="788">
        <v>42165</v>
      </c>
      <c r="J11419" s="788">
        <v>42032</v>
      </c>
      <c r="K11419" s="788">
        <v>42164</v>
      </c>
      <c r="L11419" s="787">
        <v>84.7</v>
      </c>
      <c r="M11419" s="787">
        <v>20</v>
      </c>
      <c r="N11419" s="787">
        <v>91.05</v>
      </c>
      <c r="O11419" s="788">
        <v>42165</v>
      </c>
    </row>
    <row r="11420" spans="1:15" x14ac:dyDescent="0.25">
      <c r="A11420" s="786" t="s">
        <v>602</v>
      </c>
      <c r="B11420" s="787">
        <v>4</v>
      </c>
      <c r="C11420" s="787" t="s">
        <v>20465</v>
      </c>
      <c r="D11420" s="787">
        <v>6.2</v>
      </c>
      <c r="E11420" s="787">
        <v>47.85</v>
      </c>
      <c r="F11420" s="788">
        <v>39101</v>
      </c>
      <c r="G11420" s="788">
        <v>42153</v>
      </c>
      <c r="H11420" s="787">
        <v>1</v>
      </c>
      <c r="I11420" s="788">
        <v>42152</v>
      </c>
      <c r="J11420" s="788">
        <v>42164</v>
      </c>
      <c r="K11420" s="788">
        <v>42158</v>
      </c>
      <c r="L11420" s="787">
        <v>47.85</v>
      </c>
      <c r="M11420" s="787">
        <v>20</v>
      </c>
      <c r="N11420" s="787">
        <v>51.44</v>
      </c>
      <c r="O11420" s="788">
        <v>42164</v>
      </c>
    </row>
    <row r="11421" spans="1:15" x14ac:dyDescent="0.25">
      <c r="A11421" s="786" t="s">
        <v>603</v>
      </c>
      <c r="B11421" s="787">
        <v>4</v>
      </c>
      <c r="C11421" s="787" t="s">
        <v>20466</v>
      </c>
      <c r="D11421" s="787">
        <v>3.15</v>
      </c>
      <c r="E11421" s="787">
        <v>56.65</v>
      </c>
      <c r="F11421" s="788">
        <v>39101</v>
      </c>
      <c r="G11421" s="788">
        <v>42008</v>
      </c>
      <c r="H11421" s="787">
        <v>1</v>
      </c>
      <c r="I11421" s="788">
        <v>42123</v>
      </c>
      <c r="J11421" s="788">
        <v>41978</v>
      </c>
      <c r="K11421" s="788">
        <v>40842</v>
      </c>
      <c r="L11421" s="787">
        <v>53.9</v>
      </c>
      <c r="M11421" s="787">
        <v>20</v>
      </c>
      <c r="N11421" s="787">
        <v>57.94</v>
      </c>
      <c r="O11421" s="788">
        <v>42164</v>
      </c>
    </row>
    <row r="11422" spans="1:15" x14ac:dyDescent="0.25">
      <c r="A11422" s="786" t="s">
        <v>604</v>
      </c>
      <c r="B11422" s="787">
        <v>4</v>
      </c>
      <c r="C11422" s="787" t="s">
        <v>20467</v>
      </c>
      <c r="D11422" s="787">
        <v>1.05</v>
      </c>
      <c r="E11422" s="787">
        <v>63.25</v>
      </c>
      <c r="F11422" s="788">
        <v>39101</v>
      </c>
      <c r="G11422" s="788">
        <v>42158</v>
      </c>
      <c r="H11422" s="787">
        <v>1</v>
      </c>
      <c r="I11422" s="788">
        <v>42166</v>
      </c>
      <c r="J11422" s="788">
        <v>42158</v>
      </c>
      <c r="K11422" s="788">
        <v>42156</v>
      </c>
      <c r="L11422" s="787">
        <v>63.25</v>
      </c>
      <c r="M11422" s="787">
        <v>20</v>
      </c>
      <c r="N11422" s="787">
        <v>67.989999999999995</v>
      </c>
      <c r="O11422" s="788">
        <v>42164</v>
      </c>
    </row>
    <row r="11423" spans="1:15" x14ac:dyDescent="0.25">
      <c r="A11423" s="786" t="s">
        <v>605</v>
      </c>
      <c r="B11423" s="787">
        <v>4</v>
      </c>
      <c r="C11423" s="787" t="s">
        <v>20468</v>
      </c>
      <c r="D11423" s="787">
        <v>0.4</v>
      </c>
      <c r="E11423" s="787">
        <v>73.150000000000006</v>
      </c>
      <c r="F11423" s="788">
        <v>39678</v>
      </c>
      <c r="G11423" s="788">
        <v>42102</v>
      </c>
      <c r="H11423" s="787">
        <v>1</v>
      </c>
      <c r="I11423" s="788">
        <v>42152</v>
      </c>
      <c r="J11423" s="788">
        <v>42158</v>
      </c>
      <c r="K11423" s="788">
        <v>40842</v>
      </c>
      <c r="L11423" s="787">
        <v>70.400000000000006</v>
      </c>
      <c r="M11423" s="787">
        <v>20</v>
      </c>
      <c r="N11423" s="787">
        <v>75.680000000000007</v>
      </c>
      <c r="O11423" s="788">
        <v>42164</v>
      </c>
    </row>
    <row r="11424" spans="1:15" x14ac:dyDescent="0.25">
      <c r="A11424" s="786" t="s">
        <v>607</v>
      </c>
      <c r="B11424" s="787">
        <v>4</v>
      </c>
      <c r="C11424" s="787" t="s">
        <v>20469</v>
      </c>
      <c r="D11424" s="787">
        <v>7.76</v>
      </c>
      <c r="E11424" s="787">
        <v>17.77</v>
      </c>
      <c r="F11424" s="788">
        <v>41624</v>
      </c>
      <c r="G11424" s="788">
        <v>42008</v>
      </c>
      <c r="H11424" s="787">
        <v>1</v>
      </c>
      <c r="I11424" s="788">
        <v>42130</v>
      </c>
      <c r="J11424" s="788">
        <v>41956</v>
      </c>
      <c r="K11424" s="788">
        <v>41869</v>
      </c>
      <c r="L11424" s="787">
        <v>17.760000000000002</v>
      </c>
      <c r="M11424" s="787">
        <v>20</v>
      </c>
      <c r="N11424" s="787">
        <v>19.09</v>
      </c>
      <c r="O11424" s="788">
        <v>42164</v>
      </c>
    </row>
    <row r="11425" spans="1:15" x14ac:dyDescent="0.25">
      <c r="A11425" s="786" t="s">
        <v>20470</v>
      </c>
      <c r="B11425" s="787">
        <v>4</v>
      </c>
      <c r="C11425" s="787" t="s">
        <v>20471</v>
      </c>
      <c r="D11425" s="787">
        <v>9.08</v>
      </c>
      <c r="E11425" s="787">
        <v>49.08</v>
      </c>
      <c r="F11425" s="788">
        <v>37643</v>
      </c>
      <c r="G11425" s="788">
        <v>37643</v>
      </c>
      <c r="H11425" s="787">
        <v>1</v>
      </c>
      <c r="I11425" s="788">
        <v>37594</v>
      </c>
      <c r="J11425" s="788">
        <v>37643</v>
      </c>
      <c r="L11425" s="787">
        <v>53.5</v>
      </c>
      <c r="M11425" s="787">
        <v>20</v>
      </c>
      <c r="N11425" s="787">
        <v>57.51</v>
      </c>
      <c r="O11425" s="788">
        <v>41858</v>
      </c>
    </row>
    <row r="11426" spans="1:15" x14ac:dyDescent="0.25">
      <c r="A11426" s="786" t="s">
        <v>20472</v>
      </c>
      <c r="B11426" s="787">
        <v>4</v>
      </c>
      <c r="C11426" s="787" t="s">
        <v>20473</v>
      </c>
      <c r="D11426" s="787">
        <v>3.9</v>
      </c>
      <c r="E11426" s="787">
        <v>53.9</v>
      </c>
      <c r="F11426" s="788">
        <v>40270</v>
      </c>
      <c r="G11426" s="788">
        <v>40270</v>
      </c>
      <c r="H11426" s="787">
        <v>1</v>
      </c>
      <c r="I11426" s="788">
        <v>40225</v>
      </c>
      <c r="J11426" s="788">
        <v>40228</v>
      </c>
      <c r="L11426" s="787">
        <v>64.650000000000006</v>
      </c>
      <c r="M11426" s="787">
        <v>20</v>
      </c>
      <c r="N11426" s="787">
        <v>69.5</v>
      </c>
      <c r="O11426" s="788">
        <v>41858</v>
      </c>
    </row>
    <row r="11427" spans="1:15" x14ac:dyDescent="0.25">
      <c r="A11427" s="786" t="s">
        <v>20474</v>
      </c>
      <c r="B11427" s="787">
        <v>4</v>
      </c>
      <c r="C11427" s="787" t="s">
        <v>20475</v>
      </c>
      <c r="D11427" s="787">
        <v>4.93</v>
      </c>
      <c r="E11427" s="787">
        <v>64.930000000000007</v>
      </c>
      <c r="F11427" s="788">
        <v>37643</v>
      </c>
      <c r="G11427" s="788">
        <v>37643</v>
      </c>
      <c r="H11427" s="787">
        <v>1</v>
      </c>
      <c r="I11427" s="788">
        <v>37558</v>
      </c>
      <c r="J11427" s="788">
        <v>37643</v>
      </c>
      <c r="L11427" s="787">
        <v>70.77</v>
      </c>
      <c r="M11427" s="787">
        <v>20</v>
      </c>
      <c r="N11427" s="787">
        <v>76.08</v>
      </c>
      <c r="O11427" s="788">
        <v>41858</v>
      </c>
    </row>
    <row r="11428" spans="1:15" x14ac:dyDescent="0.25">
      <c r="A11428" s="786" t="s">
        <v>20476</v>
      </c>
      <c r="B11428" s="787">
        <v>4</v>
      </c>
      <c r="C11428" s="787" t="s">
        <v>20477</v>
      </c>
      <c r="D11428" s="787">
        <v>4.1399999999999997</v>
      </c>
      <c r="E11428" s="787">
        <v>74.14</v>
      </c>
      <c r="F11428" s="788">
        <v>37643</v>
      </c>
      <c r="G11428" s="788">
        <v>37643</v>
      </c>
      <c r="H11428" s="787">
        <v>1</v>
      </c>
      <c r="J11428" s="788">
        <v>37643</v>
      </c>
      <c r="L11428" s="787">
        <v>80.81</v>
      </c>
      <c r="M11428" s="787">
        <v>20</v>
      </c>
      <c r="N11428" s="787">
        <v>86.87</v>
      </c>
      <c r="O11428" s="788">
        <v>41858</v>
      </c>
    </row>
    <row r="11429" spans="1:15" x14ac:dyDescent="0.25">
      <c r="A11429" s="786" t="s">
        <v>20478</v>
      </c>
      <c r="B11429" s="787">
        <v>4</v>
      </c>
      <c r="C11429" s="787" t="s">
        <v>20479</v>
      </c>
      <c r="D11429" s="787">
        <v>1.4</v>
      </c>
      <c r="E11429" s="787">
        <v>81.400000000000006</v>
      </c>
      <c r="F11429" s="788">
        <v>40119</v>
      </c>
      <c r="G11429" s="788">
        <v>40119</v>
      </c>
      <c r="H11429" s="787">
        <v>1</v>
      </c>
      <c r="I11429" s="788">
        <v>40109</v>
      </c>
      <c r="J11429" s="788">
        <v>40109</v>
      </c>
      <c r="L11429" s="787">
        <v>93.63</v>
      </c>
      <c r="M11429" s="787">
        <v>20</v>
      </c>
      <c r="N11429" s="787">
        <v>100.65</v>
      </c>
      <c r="O11429" s="788">
        <v>41858</v>
      </c>
    </row>
    <row r="11430" spans="1:15" x14ac:dyDescent="0.25">
      <c r="A11430" s="786" t="s">
        <v>20480</v>
      </c>
      <c r="B11430" s="787">
        <v>4</v>
      </c>
      <c r="C11430" s="787" t="s">
        <v>20481</v>
      </c>
      <c r="D11430" s="787">
        <v>1.02</v>
      </c>
      <c r="E11430" s="787">
        <v>1.02</v>
      </c>
      <c r="F11430" s="788">
        <v>37643</v>
      </c>
      <c r="G11430" s="788">
        <v>37643</v>
      </c>
      <c r="H11430" s="787">
        <v>1</v>
      </c>
      <c r="J11430" s="788">
        <v>37643</v>
      </c>
      <c r="L11430" s="787">
        <v>1.1100000000000001</v>
      </c>
      <c r="M11430" s="787">
        <v>20</v>
      </c>
      <c r="N11430" s="787">
        <v>1.19</v>
      </c>
      <c r="O11430" s="788">
        <v>41858</v>
      </c>
    </row>
    <row r="11431" spans="1:15" x14ac:dyDescent="0.25">
      <c r="A11431" s="786" t="s">
        <v>20482</v>
      </c>
      <c r="B11431" s="787">
        <v>4</v>
      </c>
      <c r="C11431" s="787" t="s">
        <v>20481</v>
      </c>
      <c r="D11431" s="787">
        <v>1.28</v>
      </c>
      <c r="E11431" s="787">
        <v>1.28</v>
      </c>
      <c r="F11431" s="788">
        <v>37643</v>
      </c>
      <c r="G11431" s="788">
        <v>37643</v>
      </c>
      <c r="H11431" s="787">
        <v>1</v>
      </c>
      <c r="J11431" s="788">
        <v>37643</v>
      </c>
      <c r="L11431" s="787">
        <v>1.4</v>
      </c>
      <c r="M11431" s="787">
        <v>20</v>
      </c>
      <c r="N11431" s="787">
        <v>1.51</v>
      </c>
      <c r="O11431" s="788">
        <v>41858</v>
      </c>
    </row>
    <row r="11432" spans="1:15" x14ac:dyDescent="0.25">
      <c r="A11432" s="786" t="s">
        <v>20483</v>
      </c>
      <c r="B11432" s="787">
        <v>4</v>
      </c>
      <c r="C11432" s="787" t="s">
        <v>20481</v>
      </c>
      <c r="D11432" s="787">
        <v>1.46</v>
      </c>
      <c r="E11432" s="787">
        <v>1.46</v>
      </c>
      <c r="F11432" s="788">
        <v>37643</v>
      </c>
      <c r="G11432" s="788">
        <v>37643</v>
      </c>
      <c r="H11432" s="787">
        <v>1</v>
      </c>
      <c r="J11432" s="788">
        <v>37643</v>
      </c>
      <c r="L11432" s="787">
        <v>1.59</v>
      </c>
      <c r="M11432" s="787">
        <v>20</v>
      </c>
      <c r="N11432" s="787">
        <v>1.71</v>
      </c>
      <c r="O11432" s="788">
        <v>41858</v>
      </c>
    </row>
    <row r="11433" spans="1:15" x14ac:dyDescent="0.25">
      <c r="A11433" s="786" t="s">
        <v>20484</v>
      </c>
      <c r="B11433" s="787">
        <v>4</v>
      </c>
      <c r="C11433" s="787" t="s">
        <v>20485</v>
      </c>
      <c r="D11433" s="787">
        <v>1.42</v>
      </c>
      <c r="E11433" s="787">
        <v>34.119999999999997</v>
      </c>
      <c r="F11433" s="788">
        <v>38606</v>
      </c>
      <c r="G11433" s="788">
        <v>41376</v>
      </c>
      <c r="H11433" s="787">
        <v>1</v>
      </c>
      <c r="I11433" s="788">
        <v>39155</v>
      </c>
      <c r="J11433" s="788">
        <v>41348</v>
      </c>
      <c r="L11433" s="787">
        <v>1.57</v>
      </c>
      <c r="M11433" s="787">
        <v>10</v>
      </c>
      <c r="N11433" s="787">
        <v>5.43</v>
      </c>
      <c r="O11433" s="788">
        <v>42087</v>
      </c>
    </row>
    <row r="11434" spans="1:15" x14ac:dyDescent="0.25">
      <c r="A11434" s="786" t="s">
        <v>20486</v>
      </c>
      <c r="B11434" s="787">
        <v>4</v>
      </c>
      <c r="C11434" s="787" t="s">
        <v>20487</v>
      </c>
      <c r="D11434" s="787">
        <v>0.82</v>
      </c>
      <c r="E11434" s="787">
        <v>21.76</v>
      </c>
      <c r="F11434" s="788">
        <v>39456</v>
      </c>
      <c r="G11434" s="788">
        <v>41180</v>
      </c>
      <c r="H11434" s="787">
        <v>1</v>
      </c>
      <c r="I11434" s="788">
        <v>39409</v>
      </c>
      <c r="J11434" s="788">
        <v>41072</v>
      </c>
      <c r="L11434" s="787">
        <v>5.22</v>
      </c>
      <c r="M11434" s="787">
        <v>10</v>
      </c>
      <c r="N11434" s="787">
        <v>5.91</v>
      </c>
      <c r="O11434" s="788">
        <v>42088</v>
      </c>
    </row>
    <row r="11435" spans="1:15" x14ac:dyDescent="0.25">
      <c r="A11435" s="786" t="s">
        <v>20488</v>
      </c>
      <c r="B11435" s="787">
        <v>4</v>
      </c>
      <c r="C11435" s="787" t="s">
        <v>20489</v>
      </c>
      <c r="D11435" s="787">
        <v>0.39</v>
      </c>
      <c r="E11435" s="787">
        <v>2.5</v>
      </c>
      <c r="F11435" s="788">
        <v>39456</v>
      </c>
      <c r="G11435" s="788">
        <v>39974</v>
      </c>
      <c r="H11435" s="787">
        <v>1</v>
      </c>
      <c r="I11435" s="788">
        <v>41526</v>
      </c>
      <c r="J11435" s="788">
        <v>41530</v>
      </c>
      <c r="L11435" s="787">
        <v>4.78</v>
      </c>
      <c r="M11435" s="787">
        <v>10</v>
      </c>
      <c r="N11435" s="787">
        <v>5.42</v>
      </c>
      <c r="O11435" s="788">
        <v>42087</v>
      </c>
    </row>
    <row r="11436" spans="1:15" x14ac:dyDescent="0.25">
      <c r="A11436" s="786" t="s">
        <v>20490</v>
      </c>
      <c r="B11436" s="787">
        <v>4</v>
      </c>
      <c r="C11436" s="787" t="s">
        <v>20491</v>
      </c>
      <c r="D11436" s="787">
        <v>1.02</v>
      </c>
      <c r="E11436" s="787">
        <v>1.1000000000000001</v>
      </c>
      <c r="F11436" s="788">
        <v>39456</v>
      </c>
      <c r="G11436" s="788">
        <v>39456</v>
      </c>
      <c r="H11436" s="787">
        <v>1</v>
      </c>
      <c r="I11436" s="788">
        <v>39322</v>
      </c>
      <c r="J11436" s="788">
        <v>39409</v>
      </c>
      <c r="L11436" s="787">
        <v>9.34</v>
      </c>
      <c r="M11436" s="787">
        <v>10</v>
      </c>
      <c r="N11436" s="787">
        <v>5.92</v>
      </c>
      <c r="O11436" s="788">
        <v>42087</v>
      </c>
    </row>
    <row r="11437" spans="1:15" x14ac:dyDescent="0.25">
      <c r="A11437" s="786" t="s">
        <v>20492</v>
      </c>
      <c r="B11437" s="787">
        <v>4</v>
      </c>
      <c r="C11437" s="787" t="s">
        <v>20493</v>
      </c>
      <c r="D11437" s="787">
        <v>0</v>
      </c>
      <c r="E11437" s="787">
        <v>0</v>
      </c>
      <c r="H11437" s="787">
        <v>1</v>
      </c>
      <c r="L11437" s="787">
        <v>0</v>
      </c>
      <c r="M11437" s="787">
        <v>10</v>
      </c>
      <c r="N11437" s="787">
        <v>0</v>
      </c>
      <c r="O11437" s="788">
        <v>41858</v>
      </c>
    </row>
    <row r="11438" spans="1:15" x14ac:dyDescent="0.25">
      <c r="A11438" s="786" t="s">
        <v>20494</v>
      </c>
      <c r="B11438" s="787">
        <v>4</v>
      </c>
      <c r="C11438" s="787" t="s">
        <v>20495</v>
      </c>
      <c r="D11438" s="787">
        <v>1.69</v>
      </c>
      <c r="E11438" s="787">
        <v>61.26</v>
      </c>
      <c r="F11438" s="788">
        <v>38606</v>
      </c>
      <c r="G11438" s="788">
        <v>42051</v>
      </c>
      <c r="H11438" s="787">
        <v>1</v>
      </c>
      <c r="I11438" s="788">
        <v>39155</v>
      </c>
      <c r="J11438" s="788">
        <v>42024</v>
      </c>
      <c r="L11438" s="787">
        <v>1.76</v>
      </c>
      <c r="M11438" s="787">
        <v>10</v>
      </c>
      <c r="N11438" s="787">
        <v>8.5500000000000007</v>
      </c>
      <c r="O11438" s="788">
        <v>42087</v>
      </c>
    </row>
    <row r="11439" spans="1:15" x14ac:dyDescent="0.25">
      <c r="A11439" s="786" t="s">
        <v>20496</v>
      </c>
      <c r="B11439" s="787">
        <v>4</v>
      </c>
      <c r="C11439" s="787" t="s">
        <v>20497</v>
      </c>
      <c r="D11439" s="787">
        <v>1.25</v>
      </c>
      <c r="E11439" s="787">
        <v>3.35</v>
      </c>
      <c r="F11439" s="788">
        <v>39456</v>
      </c>
      <c r="G11439" s="788">
        <v>39975</v>
      </c>
      <c r="H11439" s="787">
        <v>1</v>
      </c>
      <c r="I11439" s="788">
        <v>39378</v>
      </c>
      <c r="J11439" s="788">
        <v>39848</v>
      </c>
      <c r="L11439" s="787">
        <v>3.13</v>
      </c>
      <c r="M11439" s="787">
        <v>10</v>
      </c>
      <c r="N11439" s="787">
        <v>6.18</v>
      </c>
      <c r="O11439" s="788">
        <v>41858</v>
      </c>
    </row>
    <row r="11440" spans="1:15" x14ac:dyDescent="0.25">
      <c r="A11440" s="786" t="s">
        <v>20498</v>
      </c>
      <c r="B11440" s="787">
        <v>4</v>
      </c>
      <c r="C11440" s="787" t="s">
        <v>20499</v>
      </c>
      <c r="D11440" s="787">
        <v>1.79</v>
      </c>
      <c r="E11440" s="787">
        <v>17.86</v>
      </c>
      <c r="F11440" s="788">
        <v>38606</v>
      </c>
      <c r="G11440" s="788">
        <v>41933</v>
      </c>
      <c r="H11440" s="787">
        <v>1</v>
      </c>
      <c r="I11440" s="788">
        <v>40942</v>
      </c>
      <c r="J11440" s="788">
        <v>41891</v>
      </c>
      <c r="L11440" s="787">
        <v>2.09</v>
      </c>
      <c r="M11440" s="787">
        <v>10</v>
      </c>
      <c r="N11440" s="787">
        <v>8.94</v>
      </c>
      <c r="O11440" s="788">
        <v>42087</v>
      </c>
    </row>
    <row r="11441" spans="1:15" x14ac:dyDescent="0.25">
      <c r="A11441" s="786" t="s">
        <v>20500</v>
      </c>
      <c r="B11441" s="787">
        <v>4</v>
      </c>
      <c r="C11441" s="787" t="s">
        <v>20501</v>
      </c>
      <c r="D11441" s="787">
        <v>0</v>
      </c>
      <c r="E11441" s="787">
        <v>0</v>
      </c>
      <c r="H11441" s="787">
        <v>1</v>
      </c>
      <c r="L11441" s="787">
        <v>3.43</v>
      </c>
      <c r="M11441" s="787">
        <v>10</v>
      </c>
      <c r="N11441" s="787">
        <v>6.82</v>
      </c>
      <c r="O11441" s="788">
        <v>42087</v>
      </c>
    </row>
    <row r="11442" spans="1:15" x14ac:dyDescent="0.25">
      <c r="A11442" s="786" t="s">
        <v>20502</v>
      </c>
      <c r="B11442" s="787">
        <v>4</v>
      </c>
      <c r="C11442" s="787" t="s">
        <v>20503</v>
      </c>
      <c r="D11442" s="787">
        <v>0</v>
      </c>
      <c r="E11442" s="787">
        <v>0</v>
      </c>
      <c r="H11442" s="787">
        <v>1</v>
      </c>
      <c r="L11442" s="787">
        <v>0</v>
      </c>
      <c r="M11442" s="787">
        <v>10</v>
      </c>
      <c r="N11442" s="787">
        <v>0</v>
      </c>
      <c r="O11442" s="788">
        <v>41858</v>
      </c>
    </row>
    <row r="11443" spans="1:15" x14ac:dyDescent="0.25">
      <c r="A11443" s="786" t="s">
        <v>20504</v>
      </c>
      <c r="B11443" s="787">
        <v>4</v>
      </c>
      <c r="C11443" s="787" t="s">
        <v>20505</v>
      </c>
      <c r="D11443" s="787">
        <v>2.58</v>
      </c>
      <c r="E11443" s="787">
        <v>35.119999999999997</v>
      </c>
      <c r="F11443" s="788">
        <v>38606</v>
      </c>
      <c r="G11443" s="788">
        <v>42129</v>
      </c>
      <c r="H11443" s="787">
        <v>1</v>
      </c>
      <c r="I11443" s="788">
        <v>39155</v>
      </c>
      <c r="J11443" s="788">
        <v>42094</v>
      </c>
      <c r="L11443" s="787">
        <v>3.24</v>
      </c>
      <c r="M11443" s="787">
        <v>10</v>
      </c>
      <c r="N11443" s="787">
        <v>12.83</v>
      </c>
      <c r="O11443" s="788">
        <v>42087</v>
      </c>
    </row>
    <row r="11444" spans="1:15" x14ac:dyDescent="0.25">
      <c r="A11444" s="786" t="s">
        <v>20506</v>
      </c>
      <c r="B11444" s="787">
        <v>4</v>
      </c>
      <c r="C11444" s="787" t="s">
        <v>20507</v>
      </c>
      <c r="D11444" s="787">
        <v>0.17</v>
      </c>
      <c r="E11444" s="787">
        <v>13.21</v>
      </c>
      <c r="F11444" s="788">
        <v>39456</v>
      </c>
      <c r="G11444" s="788">
        <v>42129</v>
      </c>
      <c r="H11444" s="787">
        <v>1</v>
      </c>
      <c r="I11444" s="788">
        <v>39134</v>
      </c>
      <c r="J11444" s="788">
        <v>42093</v>
      </c>
      <c r="L11444" s="787">
        <v>0.51</v>
      </c>
      <c r="M11444" s="787">
        <v>10</v>
      </c>
      <c r="N11444" s="787">
        <v>2.37</v>
      </c>
      <c r="O11444" s="788">
        <v>42087</v>
      </c>
    </row>
    <row r="11445" spans="1:15" x14ac:dyDescent="0.25">
      <c r="A11445" s="786" t="s">
        <v>20508</v>
      </c>
      <c r="B11445" s="787">
        <v>4</v>
      </c>
      <c r="C11445" s="787" t="s">
        <v>20509</v>
      </c>
      <c r="D11445" s="787">
        <v>0</v>
      </c>
      <c r="E11445" s="787">
        <v>0</v>
      </c>
      <c r="H11445" s="787">
        <v>1</v>
      </c>
      <c r="L11445" s="787">
        <v>5.89</v>
      </c>
      <c r="M11445" s="787">
        <v>10</v>
      </c>
      <c r="N11445" s="787">
        <v>9.9700000000000006</v>
      </c>
      <c r="O11445" s="788">
        <v>41858</v>
      </c>
    </row>
    <row r="11446" spans="1:15" x14ac:dyDescent="0.25">
      <c r="A11446" s="786" t="s">
        <v>20510</v>
      </c>
      <c r="B11446" s="787">
        <v>4</v>
      </c>
      <c r="C11446" s="787" t="s">
        <v>20511</v>
      </c>
      <c r="D11446" s="787">
        <v>0</v>
      </c>
      <c r="E11446" s="787">
        <v>0</v>
      </c>
      <c r="H11446" s="787">
        <v>1</v>
      </c>
      <c r="L11446" s="787">
        <v>4.17</v>
      </c>
      <c r="M11446" s="787">
        <v>10</v>
      </c>
      <c r="N11446" s="787">
        <v>1.91</v>
      </c>
      <c r="O11446" s="788">
        <v>42087</v>
      </c>
    </row>
    <row r="11447" spans="1:15" x14ac:dyDescent="0.25">
      <c r="A11447" s="786" t="s">
        <v>20512</v>
      </c>
      <c r="B11447" s="787">
        <v>4</v>
      </c>
      <c r="C11447" s="787" t="s">
        <v>20513</v>
      </c>
      <c r="D11447" s="787">
        <v>2.75</v>
      </c>
      <c r="E11447" s="787">
        <v>2.99</v>
      </c>
      <c r="F11447" s="788">
        <v>38772</v>
      </c>
      <c r="G11447" s="788">
        <v>38991</v>
      </c>
      <c r="H11447" s="787">
        <v>1</v>
      </c>
      <c r="I11447" s="788">
        <v>39134</v>
      </c>
      <c r="J11447" s="788">
        <v>39973</v>
      </c>
      <c r="L11447" s="787">
        <v>3.73</v>
      </c>
      <c r="M11447" s="787">
        <v>10</v>
      </c>
      <c r="N11447" s="787">
        <v>7.55</v>
      </c>
      <c r="O11447" s="788">
        <v>42087</v>
      </c>
    </row>
    <row r="11448" spans="1:15" x14ac:dyDescent="0.25">
      <c r="A11448" s="786" t="s">
        <v>20514</v>
      </c>
      <c r="B11448" s="787">
        <v>4</v>
      </c>
      <c r="C11448" s="787" t="s">
        <v>20515</v>
      </c>
      <c r="D11448" s="787">
        <v>0.71</v>
      </c>
      <c r="E11448" s="787">
        <v>6.18</v>
      </c>
      <c r="F11448" s="788">
        <v>38634</v>
      </c>
      <c r="G11448" s="788">
        <v>42082</v>
      </c>
      <c r="H11448" s="787">
        <v>1</v>
      </c>
      <c r="I11448" s="788">
        <v>39134</v>
      </c>
      <c r="J11448" s="788">
        <v>42047</v>
      </c>
      <c r="L11448" s="787">
        <v>2.99</v>
      </c>
      <c r="M11448" s="787">
        <v>10</v>
      </c>
      <c r="N11448" s="787">
        <v>2.68</v>
      </c>
      <c r="O11448" s="788">
        <v>42087</v>
      </c>
    </row>
    <row r="11449" spans="1:15" x14ac:dyDescent="0.25">
      <c r="A11449" s="786" t="s">
        <v>20516</v>
      </c>
      <c r="B11449" s="787">
        <v>4</v>
      </c>
      <c r="C11449" s="787" t="s">
        <v>20517</v>
      </c>
      <c r="D11449" s="787">
        <v>0</v>
      </c>
      <c r="E11449" s="787">
        <v>0</v>
      </c>
      <c r="H11449" s="787">
        <v>1</v>
      </c>
      <c r="I11449" s="788">
        <v>39615</v>
      </c>
      <c r="J11449" s="788">
        <v>39615</v>
      </c>
      <c r="L11449" s="787">
        <v>6.72</v>
      </c>
      <c r="M11449" s="787">
        <v>10</v>
      </c>
      <c r="N11449" s="787">
        <v>10.5</v>
      </c>
      <c r="O11449" s="788">
        <v>41858</v>
      </c>
    </row>
    <row r="11450" spans="1:15" x14ac:dyDescent="0.25">
      <c r="A11450" s="786" t="s">
        <v>20518</v>
      </c>
      <c r="B11450" s="787">
        <v>4</v>
      </c>
      <c r="C11450" s="787" t="s">
        <v>20519</v>
      </c>
      <c r="D11450" s="787">
        <v>0</v>
      </c>
      <c r="E11450" s="787">
        <v>0</v>
      </c>
      <c r="H11450" s="787">
        <v>1</v>
      </c>
      <c r="I11450" s="788">
        <v>39615</v>
      </c>
      <c r="J11450" s="788">
        <v>39615</v>
      </c>
      <c r="L11450" s="787">
        <v>3.28</v>
      </c>
      <c r="M11450" s="787">
        <v>10</v>
      </c>
      <c r="N11450" s="787">
        <v>2.89</v>
      </c>
      <c r="O11450" s="788">
        <v>42087</v>
      </c>
    </row>
    <row r="11451" spans="1:15" x14ac:dyDescent="0.25">
      <c r="A11451" s="786" t="s">
        <v>20520</v>
      </c>
      <c r="B11451" s="787">
        <v>4</v>
      </c>
      <c r="C11451" s="787" t="s">
        <v>20521</v>
      </c>
      <c r="D11451" s="787">
        <v>3.66</v>
      </c>
      <c r="E11451" s="787">
        <v>3.66</v>
      </c>
      <c r="F11451" s="788">
        <v>38634</v>
      </c>
      <c r="G11451" s="788">
        <v>40534</v>
      </c>
      <c r="H11451" s="787">
        <v>1</v>
      </c>
      <c r="I11451" s="788">
        <v>39155</v>
      </c>
      <c r="J11451" s="788">
        <v>40534</v>
      </c>
      <c r="L11451" s="787">
        <v>4.92</v>
      </c>
      <c r="M11451" s="787">
        <v>10</v>
      </c>
      <c r="N11451" s="787">
        <v>8.2100000000000009</v>
      </c>
      <c r="O11451" s="788">
        <v>42087</v>
      </c>
    </row>
    <row r="11452" spans="1:15" x14ac:dyDescent="0.25">
      <c r="A11452" s="786" t="s">
        <v>20522</v>
      </c>
      <c r="B11452" s="787">
        <v>4</v>
      </c>
      <c r="C11452" s="787" t="s">
        <v>20523</v>
      </c>
      <c r="D11452" s="787">
        <v>0.73</v>
      </c>
      <c r="E11452" s="787">
        <v>0.73</v>
      </c>
      <c r="F11452" s="788">
        <v>38634</v>
      </c>
      <c r="G11452" s="788">
        <v>38634</v>
      </c>
      <c r="H11452" s="787">
        <v>1</v>
      </c>
      <c r="I11452" s="788">
        <v>39155</v>
      </c>
      <c r="J11452" s="788">
        <v>39155</v>
      </c>
      <c r="L11452" s="787">
        <v>3.21</v>
      </c>
      <c r="M11452" s="787">
        <v>10</v>
      </c>
      <c r="N11452" s="787">
        <v>1.98</v>
      </c>
      <c r="O11452" s="788">
        <v>42087</v>
      </c>
    </row>
    <row r="11453" spans="1:15" x14ac:dyDescent="0.25">
      <c r="A11453" s="786" t="s">
        <v>20524</v>
      </c>
      <c r="B11453" s="787">
        <v>4</v>
      </c>
      <c r="C11453" s="787" t="s">
        <v>20525</v>
      </c>
      <c r="D11453" s="787">
        <v>0</v>
      </c>
      <c r="E11453" s="787">
        <v>0</v>
      </c>
      <c r="H11453" s="787">
        <v>1</v>
      </c>
      <c r="L11453" s="787">
        <v>0</v>
      </c>
      <c r="M11453" s="787">
        <v>10</v>
      </c>
      <c r="N11453" s="787">
        <v>0</v>
      </c>
      <c r="O11453" s="788">
        <v>41858</v>
      </c>
    </row>
    <row r="11454" spans="1:15" x14ac:dyDescent="0.25">
      <c r="A11454" s="786" t="s">
        <v>20526</v>
      </c>
      <c r="B11454" s="787">
        <v>4</v>
      </c>
      <c r="C11454" s="787" t="s">
        <v>20527</v>
      </c>
      <c r="D11454" s="787">
        <v>0</v>
      </c>
      <c r="E11454" s="787">
        <v>0</v>
      </c>
      <c r="H11454" s="787">
        <v>1</v>
      </c>
      <c r="L11454" s="787">
        <v>0</v>
      </c>
      <c r="M11454" s="787">
        <v>10</v>
      </c>
      <c r="N11454" s="787">
        <v>0</v>
      </c>
      <c r="O11454" s="788">
        <v>41858</v>
      </c>
    </row>
    <row r="11455" spans="1:15" x14ac:dyDescent="0.25">
      <c r="A11455" s="786" t="s">
        <v>20528</v>
      </c>
      <c r="B11455" s="787">
        <v>4</v>
      </c>
      <c r="C11455" s="787" t="s">
        <v>20529</v>
      </c>
      <c r="D11455" s="787">
        <v>1.44</v>
      </c>
      <c r="E11455" s="787">
        <v>1.44</v>
      </c>
      <c r="F11455" s="788">
        <v>39456</v>
      </c>
      <c r="G11455" s="788">
        <v>39486</v>
      </c>
      <c r="H11455" s="787">
        <v>1</v>
      </c>
      <c r="I11455" s="788">
        <v>39379</v>
      </c>
      <c r="J11455" s="788">
        <v>40129</v>
      </c>
      <c r="L11455" s="787">
        <v>3.79</v>
      </c>
      <c r="M11455" s="787">
        <v>10</v>
      </c>
      <c r="N11455" s="787">
        <v>6.96</v>
      </c>
      <c r="O11455" s="788">
        <v>42087</v>
      </c>
    </row>
    <row r="11456" spans="1:15" x14ac:dyDescent="0.25">
      <c r="A11456" s="786" t="s">
        <v>20530</v>
      </c>
      <c r="B11456" s="787">
        <v>4</v>
      </c>
      <c r="C11456" s="787" t="s">
        <v>20531</v>
      </c>
      <c r="D11456" s="787">
        <v>0</v>
      </c>
      <c r="E11456" s="787">
        <v>0</v>
      </c>
      <c r="G11456" s="788">
        <v>40108</v>
      </c>
      <c r="H11456" s="787">
        <v>1</v>
      </c>
      <c r="I11456" s="788">
        <v>39134</v>
      </c>
      <c r="J11456" s="788">
        <v>40108</v>
      </c>
      <c r="L11456" s="787">
        <v>3.04</v>
      </c>
      <c r="M11456" s="787">
        <v>10</v>
      </c>
      <c r="N11456" s="787">
        <v>2.79</v>
      </c>
      <c r="O11456" s="788">
        <v>42087</v>
      </c>
    </row>
    <row r="11457" spans="1:15" x14ac:dyDescent="0.25">
      <c r="A11457" s="786" t="s">
        <v>20532</v>
      </c>
      <c r="B11457" s="787">
        <v>4</v>
      </c>
      <c r="C11457" s="787" t="s">
        <v>20533</v>
      </c>
      <c r="D11457" s="787">
        <v>0</v>
      </c>
      <c r="E11457" s="787">
        <v>0</v>
      </c>
      <c r="H11457" s="787">
        <v>1</v>
      </c>
      <c r="L11457" s="787">
        <v>0</v>
      </c>
      <c r="M11457" s="787">
        <v>10</v>
      </c>
      <c r="N11457" s="787">
        <v>0</v>
      </c>
      <c r="O11457" s="788">
        <v>41858</v>
      </c>
    </row>
    <row r="11458" spans="1:15" x14ac:dyDescent="0.25">
      <c r="A11458" s="786" t="s">
        <v>20534</v>
      </c>
      <c r="B11458" s="787">
        <v>4</v>
      </c>
      <c r="C11458" s="787" t="s">
        <v>20535</v>
      </c>
      <c r="D11458" s="787">
        <v>0</v>
      </c>
      <c r="E11458" s="787">
        <v>0</v>
      </c>
      <c r="H11458" s="787">
        <v>1</v>
      </c>
      <c r="L11458" s="787">
        <v>0</v>
      </c>
      <c r="M11458" s="787">
        <v>10</v>
      </c>
      <c r="N11458" s="787">
        <v>0</v>
      </c>
      <c r="O11458" s="788">
        <v>41858</v>
      </c>
    </row>
    <row r="11459" spans="1:15" x14ac:dyDescent="0.25">
      <c r="A11459" s="786" t="s">
        <v>20536</v>
      </c>
      <c r="B11459" s="787">
        <v>4</v>
      </c>
      <c r="C11459" s="787" t="s">
        <v>20537</v>
      </c>
      <c r="D11459" s="787">
        <v>3.22</v>
      </c>
      <c r="E11459" s="787">
        <v>33.799999999999997</v>
      </c>
      <c r="F11459" s="788">
        <v>38606</v>
      </c>
      <c r="G11459" s="788">
        <v>42163</v>
      </c>
      <c r="H11459" s="787">
        <v>1</v>
      </c>
      <c r="I11459" s="788">
        <v>39155</v>
      </c>
      <c r="J11459" s="788">
        <v>42135</v>
      </c>
      <c r="L11459" s="787">
        <v>4.1399999999999997</v>
      </c>
      <c r="M11459" s="787">
        <v>10</v>
      </c>
      <c r="N11459" s="787">
        <v>11.17</v>
      </c>
      <c r="O11459" s="788">
        <v>42087</v>
      </c>
    </row>
    <row r="11460" spans="1:15" x14ac:dyDescent="0.25">
      <c r="A11460" s="786" t="s">
        <v>20538</v>
      </c>
      <c r="B11460" s="787">
        <v>4</v>
      </c>
      <c r="C11460" s="787" t="s">
        <v>20539</v>
      </c>
      <c r="D11460" s="787">
        <v>0.56999999999999995</v>
      </c>
      <c r="E11460" s="787">
        <v>24.21</v>
      </c>
      <c r="F11460" s="788">
        <v>38606</v>
      </c>
      <c r="G11460" s="788">
        <v>42156</v>
      </c>
      <c r="H11460" s="787">
        <v>1</v>
      </c>
      <c r="I11460" s="788">
        <v>39155</v>
      </c>
      <c r="J11460" s="788">
        <v>42123</v>
      </c>
      <c r="L11460" s="787">
        <v>0.66</v>
      </c>
      <c r="M11460" s="787">
        <v>10</v>
      </c>
      <c r="N11460" s="787">
        <v>2.59</v>
      </c>
      <c r="O11460" s="788">
        <v>42124</v>
      </c>
    </row>
    <row r="11461" spans="1:15" x14ac:dyDescent="0.25">
      <c r="A11461" s="786" t="s">
        <v>20540</v>
      </c>
      <c r="B11461" s="787">
        <v>4</v>
      </c>
      <c r="C11461" s="787" t="s">
        <v>20541</v>
      </c>
      <c r="D11461" s="787">
        <v>2.66</v>
      </c>
      <c r="E11461" s="787">
        <v>12.66</v>
      </c>
      <c r="F11461" s="788">
        <v>38606</v>
      </c>
      <c r="G11461" s="788">
        <v>38736</v>
      </c>
      <c r="H11461" s="787">
        <v>1</v>
      </c>
      <c r="I11461" s="788">
        <v>39134</v>
      </c>
      <c r="J11461" s="788">
        <v>38425</v>
      </c>
      <c r="L11461" s="787">
        <v>9.83</v>
      </c>
      <c r="M11461" s="787">
        <v>10</v>
      </c>
      <c r="N11461" s="787">
        <v>13.74</v>
      </c>
      <c r="O11461" s="788">
        <v>42087</v>
      </c>
    </row>
    <row r="11462" spans="1:15" x14ac:dyDescent="0.25">
      <c r="A11462" s="786" t="s">
        <v>20542</v>
      </c>
      <c r="B11462" s="787">
        <v>4</v>
      </c>
      <c r="C11462" s="787" t="s">
        <v>20543</v>
      </c>
      <c r="D11462" s="787">
        <v>2.67</v>
      </c>
      <c r="E11462" s="787">
        <v>2.67</v>
      </c>
      <c r="F11462" s="788">
        <v>38606</v>
      </c>
      <c r="G11462" s="788">
        <v>38736</v>
      </c>
      <c r="H11462" s="787">
        <v>1</v>
      </c>
      <c r="I11462" s="788">
        <v>39134</v>
      </c>
      <c r="J11462" s="788">
        <v>38425</v>
      </c>
      <c r="L11462" s="787">
        <v>4.63</v>
      </c>
      <c r="M11462" s="787">
        <v>10</v>
      </c>
      <c r="N11462" s="787">
        <v>2.98</v>
      </c>
      <c r="O11462" s="788">
        <v>42087</v>
      </c>
    </row>
    <row r="11463" spans="1:15" x14ac:dyDescent="0.25">
      <c r="A11463" s="786" t="s">
        <v>20544</v>
      </c>
      <c r="B11463" s="787">
        <v>4</v>
      </c>
      <c r="C11463" s="787" t="s">
        <v>20545</v>
      </c>
      <c r="D11463" s="787">
        <v>0</v>
      </c>
      <c r="E11463" s="787">
        <v>0</v>
      </c>
      <c r="H11463" s="787">
        <v>1</v>
      </c>
      <c r="L11463" s="787">
        <v>0</v>
      </c>
      <c r="M11463" s="787">
        <v>10</v>
      </c>
      <c r="N11463" s="787">
        <v>0</v>
      </c>
      <c r="O11463" s="788">
        <v>41858</v>
      </c>
    </row>
    <row r="11464" spans="1:15" x14ac:dyDescent="0.25">
      <c r="A11464" s="786" t="s">
        <v>20546</v>
      </c>
      <c r="B11464" s="787">
        <v>4</v>
      </c>
      <c r="C11464" s="787" t="s">
        <v>20547</v>
      </c>
      <c r="D11464" s="787">
        <v>0</v>
      </c>
      <c r="E11464" s="787">
        <v>0</v>
      </c>
      <c r="H11464" s="787">
        <v>1</v>
      </c>
      <c r="L11464" s="787">
        <v>0</v>
      </c>
      <c r="M11464" s="787">
        <v>10</v>
      </c>
      <c r="N11464" s="787">
        <v>0</v>
      </c>
      <c r="O11464" s="788">
        <v>41858</v>
      </c>
    </row>
    <row r="11465" spans="1:15" x14ac:dyDescent="0.25">
      <c r="A11465" s="786" t="s">
        <v>20548</v>
      </c>
      <c r="B11465" s="787">
        <v>4</v>
      </c>
      <c r="C11465" s="787" t="s">
        <v>20549</v>
      </c>
      <c r="D11465" s="787">
        <v>0</v>
      </c>
      <c r="E11465" s="787">
        <v>0</v>
      </c>
      <c r="G11465" s="788">
        <v>38133</v>
      </c>
      <c r="H11465" s="787">
        <v>1</v>
      </c>
      <c r="I11465" s="788">
        <v>39486</v>
      </c>
      <c r="J11465" s="788">
        <v>39729</v>
      </c>
      <c r="L11465" s="787">
        <v>4.49</v>
      </c>
      <c r="M11465" s="787">
        <v>10</v>
      </c>
      <c r="N11465" s="787">
        <v>6.9</v>
      </c>
      <c r="O11465" s="788">
        <v>41858</v>
      </c>
    </row>
    <row r="11466" spans="1:15" x14ac:dyDescent="0.25">
      <c r="A11466" s="786" t="s">
        <v>20550</v>
      </c>
      <c r="B11466" s="787">
        <v>4</v>
      </c>
      <c r="C11466" s="787" t="s">
        <v>20551</v>
      </c>
      <c r="D11466" s="787">
        <v>0</v>
      </c>
      <c r="E11466" s="787">
        <v>0</v>
      </c>
      <c r="G11466" s="788">
        <v>42137</v>
      </c>
      <c r="H11466" s="787">
        <v>1</v>
      </c>
      <c r="J11466" s="788">
        <v>42137</v>
      </c>
      <c r="L11466" s="787">
        <v>4.3499999999999996</v>
      </c>
      <c r="M11466" s="787">
        <v>10</v>
      </c>
      <c r="N11466" s="787">
        <v>3.24</v>
      </c>
      <c r="O11466" s="788">
        <v>42087</v>
      </c>
    </row>
    <row r="11467" spans="1:15" x14ac:dyDescent="0.25">
      <c r="A11467" s="786" t="s">
        <v>20552</v>
      </c>
      <c r="B11467" s="787">
        <v>4</v>
      </c>
      <c r="C11467" s="787" t="s">
        <v>20553</v>
      </c>
      <c r="D11467" s="787">
        <v>0</v>
      </c>
      <c r="E11467" s="787">
        <v>0</v>
      </c>
      <c r="H11467" s="787">
        <v>1</v>
      </c>
      <c r="L11467" s="787">
        <v>0</v>
      </c>
      <c r="M11467" s="787">
        <v>10</v>
      </c>
      <c r="N11467" s="787">
        <v>0</v>
      </c>
      <c r="O11467" s="788">
        <v>41858</v>
      </c>
    </row>
    <row r="11468" spans="1:15" x14ac:dyDescent="0.25">
      <c r="A11468" s="786" t="s">
        <v>20554</v>
      </c>
      <c r="B11468" s="787">
        <v>4</v>
      </c>
      <c r="C11468" s="787" t="s">
        <v>20555</v>
      </c>
      <c r="D11468" s="787">
        <v>0</v>
      </c>
      <c r="E11468" s="787">
        <v>0</v>
      </c>
      <c r="H11468" s="787">
        <v>1</v>
      </c>
      <c r="L11468" s="787">
        <v>0</v>
      </c>
      <c r="M11468" s="787">
        <v>10</v>
      </c>
      <c r="N11468" s="787">
        <v>0</v>
      </c>
      <c r="O11468" s="788">
        <v>41858</v>
      </c>
    </row>
    <row r="11469" spans="1:15" x14ac:dyDescent="0.25">
      <c r="A11469" s="786" t="s">
        <v>20556</v>
      </c>
      <c r="B11469" s="787">
        <v>4</v>
      </c>
      <c r="C11469" s="787" t="s">
        <v>20557</v>
      </c>
      <c r="D11469" s="787">
        <v>0</v>
      </c>
      <c r="E11469" s="787">
        <v>0</v>
      </c>
      <c r="H11469" s="787">
        <v>1</v>
      </c>
      <c r="L11469" s="787">
        <v>0</v>
      </c>
      <c r="M11469" s="787">
        <v>10</v>
      </c>
      <c r="N11469" s="787">
        <v>0</v>
      </c>
      <c r="O11469" s="788">
        <v>41858</v>
      </c>
    </row>
    <row r="11470" spans="1:15" x14ac:dyDescent="0.25">
      <c r="A11470" s="786" t="s">
        <v>20558</v>
      </c>
      <c r="B11470" s="787">
        <v>4</v>
      </c>
      <c r="C11470" s="787" t="s">
        <v>20559</v>
      </c>
      <c r="D11470" s="787">
        <v>0</v>
      </c>
      <c r="E11470" s="787">
        <v>0</v>
      </c>
      <c r="H11470" s="787">
        <v>1</v>
      </c>
      <c r="L11470" s="787">
        <v>0</v>
      </c>
      <c r="M11470" s="787">
        <v>10</v>
      </c>
      <c r="N11470" s="787">
        <v>0</v>
      </c>
      <c r="O11470" s="788">
        <v>41858</v>
      </c>
    </row>
    <row r="11471" spans="1:15" x14ac:dyDescent="0.25">
      <c r="A11471" s="786" t="s">
        <v>20560</v>
      </c>
      <c r="B11471" s="787">
        <v>4</v>
      </c>
      <c r="C11471" s="787" t="s">
        <v>20561</v>
      </c>
      <c r="D11471" s="787">
        <v>0</v>
      </c>
      <c r="E11471" s="787">
        <v>0</v>
      </c>
      <c r="F11471" s="788">
        <v>41278</v>
      </c>
      <c r="G11471" s="788">
        <v>41278</v>
      </c>
      <c r="H11471" s="787">
        <v>1</v>
      </c>
      <c r="I11471" s="788">
        <v>39155</v>
      </c>
      <c r="J11471" s="788">
        <v>40931</v>
      </c>
      <c r="L11471" s="787">
        <v>5.63</v>
      </c>
      <c r="M11471" s="787">
        <v>10</v>
      </c>
      <c r="N11471" s="787">
        <v>10.02</v>
      </c>
      <c r="O11471" s="788">
        <v>42087</v>
      </c>
    </row>
    <row r="11472" spans="1:15" x14ac:dyDescent="0.25">
      <c r="A11472" s="786" t="s">
        <v>20562</v>
      </c>
      <c r="B11472" s="787">
        <v>4</v>
      </c>
      <c r="C11472" s="787" t="s">
        <v>20563</v>
      </c>
      <c r="D11472" s="787">
        <v>0</v>
      </c>
      <c r="E11472" s="787">
        <v>0</v>
      </c>
      <c r="F11472" s="788">
        <v>41775</v>
      </c>
      <c r="G11472" s="788">
        <v>41775</v>
      </c>
      <c r="H11472" s="787">
        <v>1</v>
      </c>
      <c r="J11472" s="788">
        <v>41164</v>
      </c>
      <c r="L11472" s="787">
        <v>4.43</v>
      </c>
      <c r="M11472" s="787">
        <v>10</v>
      </c>
      <c r="N11472" s="787">
        <v>2.95</v>
      </c>
      <c r="O11472" s="788">
        <v>42087</v>
      </c>
    </row>
    <row r="11473" spans="1:15" x14ac:dyDescent="0.25">
      <c r="A11473" s="786" t="s">
        <v>20564</v>
      </c>
      <c r="B11473" s="787">
        <v>4</v>
      </c>
      <c r="C11473" s="787" t="s">
        <v>20565</v>
      </c>
      <c r="D11473" s="787">
        <v>0</v>
      </c>
      <c r="E11473" s="787">
        <v>0</v>
      </c>
      <c r="H11473" s="787">
        <v>1</v>
      </c>
      <c r="L11473" s="787">
        <v>0</v>
      </c>
      <c r="M11473" s="787">
        <v>10</v>
      </c>
      <c r="N11473" s="787">
        <v>0</v>
      </c>
      <c r="O11473" s="788">
        <v>41858</v>
      </c>
    </row>
    <row r="11474" spans="1:15" x14ac:dyDescent="0.25">
      <c r="A11474" s="786" t="s">
        <v>20566</v>
      </c>
      <c r="B11474" s="787">
        <v>4</v>
      </c>
      <c r="C11474" s="787" t="s">
        <v>20567</v>
      </c>
      <c r="D11474" s="787">
        <v>0</v>
      </c>
      <c r="E11474" s="787">
        <v>0</v>
      </c>
      <c r="H11474" s="787">
        <v>1</v>
      </c>
      <c r="L11474" s="787">
        <v>0</v>
      </c>
      <c r="M11474" s="787">
        <v>10</v>
      </c>
      <c r="N11474" s="787">
        <v>0</v>
      </c>
      <c r="O11474" s="788">
        <v>41858</v>
      </c>
    </row>
    <row r="11475" spans="1:15" x14ac:dyDescent="0.25">
      <c r="A11475" s="786" t="s">
        <v>20568</v>
      </c>
      <c r="B11475" s="787">
        <v>4</v>
      </c>
      <c r="C11475" s="787" t="s">
        <v>20569</v>
      </c>
      <c r="D11475" s="787">
        <v>0</v>
      </c>
      <c r="E11475" s="787">
        <v>0</v>
      </c>
      <c r="H11475" s="787">
        <v>1</v>
      </c>
      <c r="L11475" s="787">
        <v>0</v>
      </c>
      <c r="M11475" s="787">
        <v>10</v>
      </c>
      <c r="N11475" s="787">
        <v>0</v>
      </c>
      <c r="O11475" s="788">
        <v>41858</v>
      </c>
    </row>
    <row r="11476" spans="1:15" x14ac:dyDescent="0.25">
      <c r="A11476" s="786" t="s">
        <v>20570</v>
      </c>
      <c r="B11476" s="787">
        <v>4</v>
      </c>
      <c r="C11476" s="787" t="s">
        <v>20571</v>
      </c>
      <c r="D11476" s="787">
        <v>0</v>
      </c>
      <c r="E11476" s="787">
        <v>0</v>
      </c>
      <c r="H11476" s="787">
        <v>1</v>
      </c>
      <c r="L11476" s="787">
        <v>0</v>
      </c>
      <c r="M11476" s="787">
        <v>10</v>
      </c>
      <c r="N11476" s="787">
        <v>0</v>
      </c>
      <c r="O11476" s="788">
        <v>41858</v>
      </c>
    </row>
    <row r="11477" spans="1:15" x14ac:dyDescent="0.25">
      <c r="A11477" s="786" t="s">
        <v>20572</v>
      </c>
      <c r="B11477" s="787">
        <v>4</v>
      </c>
      <c r="C11477" s="787" t="s">
        <v>20573</v>
      </c>
      <c r="D11477" s="787">
        <v>0</v>
      </c>
      <c r="E11477" s="787">
        <v>0</v>
      </c>
      <c r="H11477" s="787">
        <v>1</v>
      </c>
      <c r="L11477" s="787">
        <v>0</v>
      </c>
      <c r="M11477" s="787">
        <v>10</v>
      </c>
      <c r="N11477" s="787">
        <v>0</v>
      </c>
      <c r="O11477" s="788">
        <v>41858</v>
      </c>
    </row>
    <row r="11478" spans="1:15" x14ac:dyDescent="0.25">
      <c r="A11478" s="786" t="s">
        <v>20574</v>
      </c>
      <c r="B11478" s="787">
        <v>4</v>
      </c>
      <c r="C11478" s="787" t="s">
        <v>20575</v>
      </c>
      <c r="D11478" s="787">
        <v>0</v>
      </c>
      <c r="E11478" s="787">
        <v>0</v>
      </c>
      <c r="H11478" s="787">
        <v>1</v>
      </c>
      <c r="L11478" s="787">
        <v>0</v>
      </c>
      <c r="M11478" s="787">
        <v>10</v>
      </c>
      <c r="N11478" s="787">
        <v>0</v>
      </c>
      <c r="O11478" s="788">
        <v>41858</v>
      </c>
    </row>
    <row r="11479" spans="1:15" x14ac:dyDescent="0.25">
      <c r="A11479" s="786" t="s">
        <v>20576</v>
      </c>
      <c r="B11479" s="787">
        <v>4</v>
      </c>
      <c r="C11479" s="787" t="s">
        <v>20577</v>
      </c>
      <c r="D11479" s="787">
        <v>0</v>
      </c>
      <c r="E11479" s="787">
        <v>0</v>
      </c>
      <c r="H11479" s="787">
        <v>1</v>
      </c>
      <c r="L11479" s="787">
        <v>0</v>
      </c>
      <c r="M11479" s="787">
        <v>10</v>
      </c>
      <c r="N11479" s="787">
        <v>0</v>
      </c>
      <c r="O11479" s="788">
        <v>41858</v>
      </c>
    </row>
    <row r="11480" spans="1:15" x14ac:dyDescent="0.25">
      <c r="A11480" s="786" t="s">
        <v>20578</v>
      </c>
      <c r="B11480" s="787">
        <v>4</v>
      </c>
      <c r="C11480" s="787" t="s">
        <v>20579</v>
      </c>
      <c r="D11480" s="787">
        <v>0</v>
      </c>
      <c r="E11480" s="787">
        <v>0</v>
      </c>
      <c r="H11480" s="787">
        <v>1</v>
      </c>
      <c r="L11480" s="787">
        <v>0</v>
      </c>
      <c r="M11480" s="787">
        <v>10</v>
      </c>
      <c r="N11480" s="787">
        <v>0</v>
      </c>
      <c r="O11480" s="788">
        <v>41858</v>
      </c>
    </row>
    <row r="11481" spans="1:15" x14ac:dyDescent="0.25">
      <c r="A11481" s="786" t="s">
        <v>20580</v>
      </c>
      <c r="B11481" s="787">
        <v>4</v>
      </c>
      <c r="C11481" s="787" t="s">
        <v>20581</v>
      </c>
      <c r="D11481" s="787">
        <v>4.3600000000000003</v>
      </c>
      <c r="E11481" s="787">
        <v>4.3600000000000003</v>
      </c>
      <c r="F11481" s="788">
        <v>39974</v>
      </c>
      <c r="G11481" s="788">
        <v>37953</v>
      </c>
      <c r="H11481" s="787">
        <v>1</v>
      </c>
      <c r="I11481" s="788">
        <v>39486</v>
      </c>
      <c r="J11481" s="788">
        <v>40443</v>
      </c>
      <c r="L11481" s="787">
        <v>5.56</v>
      </c>
      <c r="M11481" s="787">
        <v>10</v>
      </c>
      <c r="N11481" s="787">
        <v>10.92</v>
      </c>
      <c r="O11481" s="788">
        <v>42087</v>
      </c>
    </row>
    <row r="11482" spans="1:15" x14ac:dyDescent="0.25">
      <c r="A11482" s="786" t="s">
        <v>20582</v>
      </c>
      <c r="B11482" s="787">
        <v>4</v>
      </c>
      <c r="C11482" s="787" t="s">
        <v>20583</v>
      </c>
      <c r="D11482" s="787">
        <v>1.71</v>
      </c>
      <c r="E11482" s="787">
        <v>1.71</v>
      </c>
      <c r="F11482" s="788">
        <v>39974</v>
      </c>
      <c r="G11482" s="788">
        <v>40443</v>
      </c>
      <c r="H11482" s="787">
        <v>1</v>
      </c>
      <c r="I11482" s="788">
        <v>39514</v>
      </c>
      <c r="J11482" s="788">
        <v>40443</v>
      </c>
      <c r="L11482" s="787">
        <v>4.53</v>
      </c>
      <c r="M11482" s="787">
        <v>10</v>
      </c>
      <c r="N11482" s="787">
        <v>3.02</v>
      </c>
      <c r="O11482" s="788">
        <v>42087</v>
      </c>
    </row>
    <row r="11483" spans="1:15" x14ac:dyDescent="0.25">
      <c r="A11483" s="786" t="s">
        <v>20584</v>
      </c>
      <c r="B11483" s="787">
        <v>4</v>
      </c>
      <c r="C11483" s="787" t="s">
        <v>20585</v>
      </c>
      <c r="D11483" s="787">
        <v>0</v>
      </c>
      <c r="E11483" s="787">
        <v>0</v>
      </c>
      <c r="H11483" s="787">
        <v>1</v>
      </c>
      <c r="L11483" s="787">
        <v>0</v>
      </c>
      <c r="M11483" s="787">
        <v>10</v>
      </c>
      <c r="N11483" s="787">
        <v>0</v>
      </c>
      <c r="O11483" s="788">
        <v>41858</v>
      </c>
    </row>
    <row r="11484" spans="1:15" x14ac:dyDescent="0.25">
      <c r="A11484" s="786" t="s">
        <v>20586</v>
      </c>
      <c r="B11484" s="787">
        <v>4</v>
      </c>
      <c r="C11484" s="787" t="s">
        <v>20587</v>
      </c>
      <c r="D11484" s="787">
        <v>0</v>
      </c>
      <c r="E11484" s="787">
        <v>0</v>
      </c>
      <c r="H11484" s="787">
        <v>1</v>
      </c>
      <c r="L11484" s="787">
        <v>0</v>
      </c>
      <c r="M11484" s="787">
        <v>10</v>
      </c>
      <c r="N11484" s="787">
        <v>0</v>
      </c>
      <c r="O11484" s="788">
        <v>41858</v>
      </c>
    </row>
    <row r="11485" spans="1:15" x14ac:dyDescent="0.25">
      <c r="A11485" s="786" t="s">
        <v>20588</v>
      </c>
      <c r="B11485" s="787">
        <v>4</v>
      </c>
      <c r="C11485" s="787" t="s">
        <v>20589</v>
      </c>
      <c r="D11485" s="787">
        <v>0</v>
      </c>
      <c r="E11485" s="787">
        <v>0</v>
      </c>
      <c r="H11485" s="787">
        <v>1</v>
      </c>
      <c r="L11485" s="787">
        <v>5.71</v>
      </c>
      <c r="M11485" s="787">
        <v>10</v>
      </c>
      <c r="N11485" s="787">
        <v>10</v>
      </c>
      <c r="O11485" s="788">
        <v>42087</v>
      </c>
    </row>
    <row r="11486" spans="1:15" x14ac:dyDescent="0.25">
      <c r="A11486" s="786" t="s">
        <v>20590</v>
      </c>
      <c r="B11486" s="787">
        <v>4</v>
      </c>
      <c r="C11486" s="787" t="s">
        <v>20591</v>
      </c>
      <c r="D11486" s="787">
        <v>0</v>
      </c>
      <c r="E11486" s="787">
        <v>0</v>
      </c>
      <c r="H11486" s="787">
        <v>1</v>
      </c>
      <c r="L11486" s="787">
        <v>4.5599999999999996</v>
      </c>
      <c r="M11486" s="787">
        <v>10</v>
      </c>
      <c r="N11486" s="787">
        <v>3.04</v>
      </c>
      <c r="O11486" s="788">
        <v>42087</v>
      </c>
    </row>
    <row r="11487" spans="1:15" x14ac:dyDescent="0.25">
      <c r="A11487" s="786" t="s">
        <v>20592</v>
      </c>
      <c r="B11487" s="787">
        <v>4</v>
      </c>
      <c r="C11487" s="787" t="s">
        <v>20593</v>
      </c>
      <c r="D11487" s="787">
        <v>0</v>
      </c>
      <c r="E11487" s="787">
        <v>0</v>
      </c>
      <c r="H11487" s="787">
        <v>1</v>
      </c>
      <c r="L11487" s="787">
        <v>0</v>
      </c>
      <c r="M11487" s="787">
        <v>10</v>
      </c>
      <c r="N11487" s="787">
        <v>0</v>
      </c>
      <c r="O11487" s="788">
        <v>41858</v>
      </c>
    </row>
    <row r="11488" spans="1:15" x14ac:dyDescent="0.25">
      <c r="A11488" s="786" t="s">
        <v>20594</v>
      </c>
      <c r="B11488" s="787">
        <v>4</v>
      </c>
      <c r="C11488" s="787" t="s">
        <v>20595</v>
      </c>
      <c r="D11488" s="787">
        <v>0</v>
      </c>
      <c r="E11488" s="787">
        <v>0</v>
      </c>
      <c r="H11488" s="787">
        <v>1</v>
      </c>
      <c r="L11488" s="787">
        <v>0</v>
      </c>
      <c r="M11488" s="787">
        <v>10</v>
      </c>
      <c r="N11488" s="787">
        <v>0</v>
      </c>
      <c r="O11488" s="788">
        <v>41858</v>
      </c>
    </row>
    <row r="11489" spans="1:15" x14ac:dyDescent="0.25">
      <c r="A11489" s="786" t="s">
        <v>20596</v>
      </c>
      <c r="B11489" s="787">
        <v>4</v>
      </c>
      <c r="C11489" s="787" t="s">
        <v>20597</v>
      </c>
      <c r="D11489" s="787">
        <v>8.24</v>
      </c>
      <c r="E11489" s="787">
        <v>28.24</v>
      </c>
      <c r="F11489" s="788">
        <v>41135</v>
      </c>
      <c r="G11489" s="788">
        <v>41135</v>
      </c>
      <c r="H11489" s="787">
        <v>1</v>
      </c>
      <c r="J11489" s="788">
        <v>40801</v>
      </c>
      <c r="L11489" s="787">
        <v>7.55</v>
      </c>
      <c r="M11489" s="787">
        <v>10</v>
      </c>
      <c r="N11489" s="787">
        <v>10.68</v>
      </c>
      <c r="O11489" s="788">
        <v>42087</v>
      </c>
    </row>
    <row r="11490" spans="1:15" x14ac:dyDescent="0.25">
      <c r="A11490" s="786" t="s">
        <v>20598</v>
      </c>
      <c r="B11490" s="787">
        <v>4</v>
      </c>
      <c r="C11490" s="787" t="s">
        <v>20599</v>
      </c>
      <c r="D11490" s="787">
        <v>5.14</v>
      </c>
      <c r="E11490" s="787">
        <v>5.14</v>
      </c>
      <c r="F11490" s="788">
        <v>41135</v>
      </c>
      <c r="G11490" s="788">
        <v>41135</v>
      </c>
      <c r="H11490" s="787">
        <v>1</v>
      </c>
      <c r="J11490" s="788">
        <v>40784</v>
      </c>
      <c r="L11490" s="787">
        <v>5.16</v>
      </c>
      <c r="M11490" s="787">
        <v>10</v>
      </c>
      <c r="N11490" s="787">
        <v>3.15</v>
      </c>
      <c r="O11490" s="788">
        <v>42087</v>
      </c>
    </row>
    <row r="11491" spans="1:15" x14ac:dyDescent="0.25">
      <c r="A11491" s="786" t="s">
        <v>20600</v>
      </c>
      <c r="B11491" s="787">
        <v>4</v>
      </c>
      <c r="C11491" s="787" t="s">
        <v>20601</v>
      </c>
      <c r="D11491" s="787">
        <v>0</v>
      </c>
      <c r="E11491" s="787">
        <v>0</v>
      </c>
      <c r="H11491" s="787">
        <v>1</v>
      </c>
      <c r="L11491" s="787">
        <v>0</v>
      </c>
      <c r="M11491" s="787">
        <v>10</v>
      </c>
      <c r="N11491" s="787">
        <v>0</v>
      </c>
      <c r="O11491" s="788">
        <v>41858</v>
      </c>
    </row>
    <row r="11492" spans="1:15" x14ac:dyDescent="0.25">
      <c r="A11492" s="786" t="s">
        <v>20602</v>
      </c>
      <c r="B11492" s="787">
        <v>4</v>
      </c>
      <c r="C11492" s="787" t="s">
        <v>20603</v>
      </c>
      <c r="D11492" s="787">
        <v>0</v>
      </c>
      <c r="E11492" s="787">
        <v>0</v>
      </c>
      <c r="H11492" s="787">
        <v>1</v>
      </c>
      <c r="L11492" s="787">
        <v>0</v>
      </c>
      <c r="M11492" s="787">
        <v>10</v>
      </c>
      <c r="N11492" s="787">
        <v>0</v>
      </c>
      <c r="O11492" s="788">
        <v>41858</v>
      </c>
    </row>
    <row r="11493" spans="1:15" x14ac:dyDescent="0.25">
      <c r="A11493" s="786" t="s">
        <v>20604</v>
      </c>
      <c r="B11493" s="787">
        <v>4</v>
      </c>
      <c r="C11493" s="787" t="s">
        <v>20605</v>
      </c>
      <c r="D11493" s="787">
        <v>0</v>
      </c>
      <c r="E11493" s="787">
        <v>0</v>
      </c>
      <c r="G11493" s="788">
        <v>40443</v>
      </c>
      <c r="H11493" s="787">
        <v>1</v>
      </c>
      <c r="J11493" s="788">
        <v>40443</v>
      </c>
      <c r="L11493" s="787">
        <v>0</v>
      </c>
      <c r="M11493" s="787">
        <v>10</v>
      </c>
      <c r="N11493" s="787">
        <v>12.53</v>
      </c>
      <c r="O11493" s="788">
        <v>42087</v>
      </c>
    </row>
    <row r="11494" spans="1:15" x14ac:dyDescent="0.25">
      <c r="A11494" s="786" t="s">
        <v>20606</v>
      </c>
      <c r="B11494" s="787">
        <v>4</v>
      </c>
      <c r="C11494" s="787" t="s">
        <v>20607</v>
      </c>
      <c r="D11494" s="787">
        <v>0</v>
      </c>
      <c r="E11494" s="787">
        <v>0</v>
      </c>
      <c r="G11494" s="788">
        <v>40443</v>
      </c>
      <c r="H11494" s="787">
        <v>1</v>
      </c>
      <c r="J11494" s="788">
        <v>40443</v>
      </c>
      <c r="L11494" s="787">
        <v>0</v>
      </c>
      <c r="M11494" s="787">
        <v>10</v>
      </c>
      <c r="N11494" s="787">
        <v>10.67</v>
      </c>
      <c r="O11494" s="788">
        <v>42087</v>
      </c>
    </row>
    <row r="11495" spans="1:15" x14ac:dyDescent="0.25">
      <c r="A11495" s="786" t="s">
        <v>20608</v>
      </c>
      <c r="B11495" s="787">
        <v>4</v>
      </c>
      <c r="C11495" s="787" t="s">
        <v>20609</v>
      </c>
      <c r="D11495" s="787">
        <v>0</v>
      </c>
      <c r="E11495" s="787">
        <v>0</v>
      </c>
      <c r="H11495" s="787">
        <v>1</v>
      </c>
      <c r="L11495" s="787">
        <v>0</v>
      </c>
      <c r="M11495" s="787">
        <v>10</v>
      </c>
      <c r="N11495" s="787">
        <v>0</v>
      </c>
      <c r="O11495" s="788">
        <v>41858</v>
      </c>
    </row>
    <row r="11496" spans="1:15" x14ac:dyDescent="0.25">
      <c r="A11496" s="786" t="s">
        <v>20610</v>
      </c>
      <c r="B11496" s="787">
        <v>4</v>
      </c>
      <c r="C11496" s="787" t="s">
        <v>20611</v>
      </c>
      <c r="D11496" s="787">
        <v>0</v>
      </c>
      <c r="E11496" s="787">
        <v>0</v>
      </c>
      <c r="H11496" s="787">
        <v>1</v>
      </c>
      <c r="L11496" s="787">
        <v>0</v>
      </c>
      <c r="M11496" s="787">
        <v>10</v>
      </c>
      <c r="N11496" s="787">
        <v>0</v>
      </c>
      <c r="O11496" s="788">
        <v>41858</v>
      </c>
    </row>
    <row r="11497" spans="1:15" x14ac:dyDescent="0.25">
      <c r="A11497" s="786" t="s">
        <v>20612</v>
      </c>
      <c r="B11497" s="787">
        <v>4</v>
      </c>
      <c r="C11497" s="787" t="s">
        <v>20613</v>
      </c>
      <c r="D11497" s="787">
        <v>0</v>
      </c>
      <c r="E11497" s="787">
        <v>0</v>
      </c>
      <c r="H11497" s="787">
        <v>1</v>
      </c>
      <c r="L11497" s="787">
        <v>7.26</v>
      </c>
      <c r="M11497" s="787">
        <v>10</v>
      </c>
      <c r="N11497" s="787">
        <v>13.85</v>
      </c>
      <c r="O11497" s="788">
        <v>42087</v>
      </c>
    </row>
    <row r="11498" spans="1:15" x14ac:dyDescent="0.25">
      <c r="A11498" s="786" t="s">
        <v>20614</v>
      </c>
      <c r="B11498" s="787">
        <v>4</v>
      </c>
      <c r="C11498" s="787" t="s">
        <v>20615</v>
      </c>
      <c r="D11498" s="787">
        <v>0</v>
      </c>
      <c r="E11498" s="787">
        <v>0</v>
      </c>
      <c r="H11498" s="787">
        <v>1</v>
      </c>
      <c r="L11498" s="787">
        <v>4.8</v>
      </c>
      <c r="M11498" s="787">
        <v>10</v>
      </c>
      <c r="N11498" s="787">
        <v>5.0999999999999996</v>
      </c>
      <c r="O11498" s="788">
        <v>42087</v>
      </c>
    </row>
    <row r="11499" spans="1:15" x14ac:dyDescent="0.25">
      <c r="A11499" s="786" t="s">
        <v>20616</v>
      </c>
      <c r="B11499" s="787">
        <v>4</v>
      </c>
      <c r="C11499" s="787" t="s">
        <v>20617</v>
      </c>
      <c r="D11499" s="787">
        <v>0</v>
      </c>
      <c r="E11499" s="787">
        <v>0</v>
      </c>
      <c r="F11499" s="788">
        <v>39975</v>
      </c>
      <c r="H11499" s="787">
        <v>1</v>
      </c>
      <c r="J11499" s="788">
        <v>39923</v>
      </c>
      <c r="L11499" s="787">
        <v>0</v>
      </c>
      <c r="M11499" s="787">
        <v>10</v>
      </c>
      <c r="N11499" s="787">
        <v>12.59</v>
      </c>
      <c r="O11499" s="788">
        <v>42087</v>
      </c>
    </row>
    <row r="11500" spans="1:15" x14ac:dyDescent="0.25">
      <c r="A11500" s="786" t="s">
        <v>20618</v>
      </c>
      <c r="B11500" s="787">
        <v>4</v>
      </c>
      <c r="C11500" s="787" t="s">
        <v>20619</v>
      </c>
      <c r="D11500" s="787">
        <v>0</v>
      </c>
      <c r="E11500" s="787">
        <v>0</v>
      </c>
      <c r="F11500" s="788">
        <v>39975</v>
      </c>
      <c r="H11500" s="787">
        <v>1</v>
      </c>
      <c r="J11500" s="788">
        <v>39923</v>
      </c>
      <c r="L11500" s="787">
        <v>0</v>
      </c>
      <c r="M11500" s="787">
        <v>10</v>
      </c>
      <c r="N11500" s="787">
        <v>5.5</v>
      </c>
      <c r="O11500" s="788">
        <v>42087</v>
      </c>
    </row>
    <row r="11501" spans="1:15" x14ac:dyDescent="0.25">
      <c r="A11501" s="786" t="s">
        <v>20620</v>
      </c>
      <c r="B11501" s="787">
        <v>4</v>
      </c>
      <c r="C11501" s="787" t="s">
        <v>20621</v>
      </c>
      <c r="D11501" s="787">
        <v>0</v>
      </c>
      <c r="E11501" s="787">
        <v>0</v>
      </c>
      <c r="H11501" s="787">
        <v>1</v>
      </c>
      <c r="L11501" s="787">
        <v>0</v>
      </c>
      <c r="M11501" s="787">
        <v>10</v>
      </c>
      <c r="N11501" s="787">
        <v>0</v>
      </c>
      <c r="O11501" s="788">
        <v>41858</v>
      </c>
    </row>
    <row r="11502" spans="1:15" x14ac:dyDescent="0.25">
      <c r="A11502" s="786" t="s">
        <v>20622</v>
      </c>
      <c r="B11502" s="787">
        <v>4</v>
      </c>
      <c r="C11502" s="787" t="s">
        <v>20623</v>
      </c>
      <c r="D11502" s="787">
        <v>0</v>
      </c>
      <c r="E11502" s="787">
        <v>0</v>
      </c>
      <c r="H11502" s="787">
        <v>1</v>
      </c>
      <c r="L11502" s="787">
        <v>0</v>
      </c>
      <c r="M11502" s="787">
        <v>10</v>
      </c>
      <c r="N11502" s="787">
        <v>0</v>
      </c>
      <c r="O11502" s="788">
        <v>41858</v>
      </c>
    </row>
    <row r="11503" spans="1:15" x14ac:dyDescent="0.25">
      <c r="A11503" s="786" t="s">
        <v>20624</v>
      </c>
      <c r="B11503" s="787">
        <v>4</v>
      </c>
      <c r="C11503" s="787" t="s">
        <v>20625</v>
      </c>
      <c r="D11503" s="787">
        <v>0</v>
      </c>
      <c r="E11503" s="787">
        <v>0</v>
      </c>
      <c r="H11503" s="787">
        <v>1</v>
      </c>
      <c r="L11503" s="787">
        <v>8.3699999999999992</v>
      </c>
      <c r="M11503" s="787">
        <v>10</v>
      </c>
      <c r="N11503" s="787">
        <v>21.63</v>
      </c>
      <c r="O11503" s="788">
        <v>42087</v>
      </c>
    </row>
    <row r="11504" spans="1:15" x14ac:dyDescent="0.25">
      <c r="A11504" s="786" t="s">
        <v>20626</v>
      </c>
      <c r="B11504" s="787">
        <v>4</v>
      </c>
      <c r="C11504" s="787" t="s">
        <v>20627</v>
      </c>
      <c r="D11504" s="787">
        <v>0</v>
      </c>
      <c r="E11504" s="787">
        <v>0</v>
      </c>
      <c r="H11504" s="787">
        <v>1</v>
      </c>
      <c r="L11504" s="787">
        <v>4.99</v>
      </c>
      <c r="M11504" s="787">
        <v>10</v>
      </c>
      <c r="N11504" s="787">
        <v>5.23</v>
      </c>
      <c r="O11504" s="788">
        <v>42087</v>
      </c>
    </row>
    <row r="11505" spans="1:15" x14ac:dyDescent="0.25">
      <c r="A11505" s="786" t="s">
        <v>20628</v>
      </c>
      <c r="B11505" s="787">
        <v>4</v>
      </c>
      <c r="C11505" s="787" t="s">
        <v>20629</v>
      </c>
      <c r="D11505" s="787">
        <v>5.12</v>
      </c>
      <c r="E11505" s="787">
        <v>5.12</v>
      </c>
      <c r="F11505" s="788">
        <v>39974</v>
      </c>
      <c r="G11505" s="788">
        <v>39647</v>
      </c>
      <c r="H11505" s="787">
        <v>1</v>
      </c>
      <c r="I11505" s="788">
        <v>39647</v>
      </c>
      <c r="J11505" s="788">
        <v>39909</v>
      </c>
      <c r="L11505" s="787">
        <v>0</v>
      </c>
      <c r="M11505" s="787">
        <v>10</v>
      </c>
      <c r="N11505" s="787">
        <v>14.21</v>
      </c>
      <c r="O11505" s="788">
        <v>42087</v>
      </c>
    </row>
    <row r="11506" spans="1:15" x14ac:dyDescent="0.25">
      <c r="A11506" s="786" t="s">
        <v>20630</v>
      </c>
      <c r="B11506" s="787">
        <v>4</v>
      </c>
      <c r="C11506" s="787" t="s">
        <v>20631</v>
      </c>
      <c r="D11506" s="787">
        <v>0.93</v>
      </c>
      <c r="E11506" s="787">
        <v>0.93</v>
      </c>
      <c r="F11506" s="788">
        <v>39974</v>
      </c>
      <c r="G11506" s="788">
        <v>39647</v>
      </c>
      <c r="H11506" s="787">
        <v>1</v>
      </c>
      <c r="I11506" s="788">
        <v>39647</v>
      </c>
      <c r="J11506" s="788">
        <v>39909</v>
      </c>
      <c r="L11506" s="787">
        <v>0</v>
      </c>
      <c r="M11506" s="787">
        <v>10</v>
      </c>
      <c r="N11506" s="787">
        <v>5.29</v>
      </c>
      <c r="O11506" s="788">
        <v>42087</v>
      </c>
    </row>
    <row r="11507" spans="1:15" x14ac:dyDescent="0.25">
      <c r="A11507" s="786" t="s">
        <v>20632</v>
      </c>
      <c r="B11507" s="787">
        <v>4</v>
      </c>
      <c r="C11507" s="787" t="s">
        <v>20633</v>
      </c>
      <c r="D11507" s="787">
        <v>0</v>
      </c>
      <c r="E11507" s="787">
        <v>0</v>
      </c>
      <c r="H11507" s="787">
        <v>1</v>
      </c>
      <c r="L11507" s="787">
        <v>0</v>
      </c>
      <c r="M11507" s="787">
        <v>10</v>
      </c>
      <c r="N11507" s="787">
        <v>0</v>
      </c>
      <c r="O11507" s="788">
        <v>41858</v>
      </c>
    </row>
    <row r="11508" spans="1:15" x14ac:dyDescent="0.25">
      <c r="A11508" s="786" t="s">
        <v>20634</v>
      </c>
      <c r="B11508" s="787">
        <v>4</v>
      </c>
      <c r="C11508" s="787" t="s">
        <v>20635</v>
      </c>
      <c r="D11508" s="787">
        <v>0</v>
      </c>
      <c r="E11508" s="787">
        <v>0</v>
      </c>
      <c r="H11508" s="787">
        <v>1</v>
      </c>
      <c r="L11508" s="787">
        <v>0</v>
      </c>
      <c r="M11508" s="787">
        <v>10</v>
      </c>
      <c r="N11508" s="787">
        <v>0</v>
      </c>
      <c r="O11508" s="788">
        <v>41858</v>
      </c>
    </row>
    <row r="11509" spans="1:15" x14ac:dyDescent="0.25">
      <c r="A11509" s="786" t="s">
        <v>20636</v>
      </c>
      <c r="B11509" s="787">
        <v>4</v>
      </c>
      <c r="C11509" s="787" t="s">
        <v>20637</v>
      </c>
      <c r="D11509" s="787">
        <v>0</v>
      </c>
      <c r="E11509" s="787">
        <v>0</v>
      </c>
      <c r="H11509" s="787">
        <v>1</v>
      </c>
      <c r="L11509" s="787">
        <v>0</v>
      </c>
      <c r="M11509" s="787">
        <v>10</v>
      </c>
      <c r="N11509" s="787">
        <v>0</v>
      </c>
      <c r="O11509" s="788">
        <v>41858</v>
      </c>
    </row>
    <row r="11510" spans="1:15" x14ac:dyDescent="0.25">
      <c r="A11510" s="786" t="s">
        <v>20638</v>
      </c>
      <c r="B11510" s="787">
        <v>4</v>
      </c>
      <c r="C11510" s="787" t="s">
        <v>20639</v>
      </c>
      <c r="D11510" s="787">
        <v>0</v>
      </c>
      <c r="E11510" s="787">
        <v>0</v>
      </c>
      <c r="H11510" s="787">
        <v>1</v>
      </c>
      <c r="L11510" s="787">
        <v>0</v>
      </c>
      <c r="M11510" s="787">
        <v>10</v>
      </c>
      <c r="N11510" s="787">
        <v>0</v>
      </c>
      <c r="O11510" s="788">
        <v>41858</v>
      </c>
    </row>
    <row r="11511" spans="1:15" x14ac:dyDescent="0.25">
      <c r="A11511" s="786" t="s">
        <v>20640</v>
      </c>
      <c r="B11511" s="787">
        <v>4</v>
      </c>
      <c r="C11511" s="787" t="s">
        <v>20641</v>
      </c>
      <c r="D11511" s="787">
        <v>3.99</v>
      </c>
      <c r="E11511" s="787">
        <v>13.99</v>
      </c>
      <c r="F11511" s="788">
        <v>39975</v>
      </c>
      <c r="G11511" s="788">
        <v>39975</v>
      </c>
      <c r="H11511" s="787">
        <v>1</v>
      </c>
      <c r="J11511" s="788">
        <v>39848</v>
      </c>
      <c r="L11511" s="787">
        <v>0</v>
      </c>
      <c r="M11511" s="787">
        <v>10</v>
      </c>
      <c r="N11511" s="787">
        <v>17.87</v>
      </c>
      <c r="O11511" s="788">
        <v>42087</v>
      </c>
    </row>
    <row r="11512" spans="1:15" x14ac:dyDescent="0.25">
      <c r="A11512" s="786" t="s">
        <v>20642</v>
      </c>
      <c r="B11512" s="787">
        <v>4</v>
      </c>
      <c r="C11512" s="787" t="s">
        <v>20643</v>
      </c>
      <c r="D11512" s="787">
        <v>0</v>
      </c>
      <c r="E11512" s="787">
        <v>0</v>
      </c>
      <c r="F11512" s="788">
        <v>39975</v>
      </c>
      <c r="H11512" s="787">
        <v>1</v>
      </c>
      <c r="J11512" s="788">
        <v>39848</v>
      </c>
      <c r="L11512" s="787">
        <v>0</v>
      </c>
      <c r="M11512" s="787">
        <v>10</v>
      </c>
      <c r="N11512" s="787">
        <v>5.65</v>
      </c>
      <c r="O11512" s="788">
        <v>42087</v>
      </c>
    </row>
    <row r="11513" spans="1:15" x14ac:dyDescent="0.25">
      <c r="A11513" s="786" t="s">
        <v>20644</v>
      </c>
      <c r="B11513" s="787">
        <v>4</v>
      </c>
      <c r="C11513" s="787" t="s">
        <v>20645</v>
      </c>
      <c r="D11513" s="787">
        <v>0</v>
      </c>
      <c r="E11513" s="787">
        <v>0</v>
      </c>
      <c r="H11513" s="787">
        <v>1</v>
      </c>
      <c r="L11513" s="787">
        <v>11.26</v>
      </c>
      <c r="M11513" s="787">
        <v>10</v>
      </c>
      <c r="N11513" s="787">
        <v>25.25</v>
      </c>
      <c r="O11513" s="788">
        <v>42087</v>
      </c>
    </row>
    <row r="11514" spans="1:15" x14ac:dyDescent="0.25">
      <c r="A11514" s="786" t="s">
        <v>20646</v>
      </c>
      <c r="B11514" s="787">
        <v>4</v>
      </c>
      <c r="C11514" s="787" t="s">
        <v>20647</v>
      </c>
      <c r="D11514" s="787">
        <v>0</v>
      </c>
      <c r="E11514" s="787">
        <v>0</v>
      </c>
      <c r="H11514" s="787">
        <v>1</v>
      </c>
      <c r="L11514" s="787">
        <v>5.95</v>
      </c>
      <c r="M11514" s="787">
        <v>10</v>
      </c>
      <c r="N11514" s="787">
        <v>6.63</v>
      </c>
      <c r="O11514" s="788">
        <v>42087</v>
      </c>
    </row>
    <row r="11515" spans="1:15" x14ac:dyDescent="0.25">
      <c r="A11515" s="786" t="s">
        <v>20648</v>
      </c>
      <c r="B11515" s="787">
        <v>4</v>
      </c>
      <c r="C11515" s="787" t="s">
        <v>20649</v>
      </c>
      <c r="D11515" s="787">
        <v>0</v>
      </c>
      <c r="E11515" s="787">
        <v>0</v>
      </c>
      <c r="H11515" s="787">
        <v>1</v>
      </c>
      <c r="L11515" s="787">
        <v>11.35</v>
      </c>
      <c r="M11515" s="787">
        <v>10</v>
      </c>
      <c r="N11515" s="787">
        <v>18.05</v>
      </c>
      <c r="O11515" s="788">
        <v>42087</v>
      </c>
    </row>
    <row r="11516" spans="1:15" x14ac:dyDescent="0.25">
      <c r="A11516" s="786" t="s">
        <v>20650</v>
      </c>
      <c r="B11516" s="787">
        <v>4</v>
      </c>
      <c r="C11516" s="787" t="s">
        <v>20651</v>
      </c>
      <c r="D11516" s="787">
        <v>0</v>
      </c>
      <c r="E11516" s="787">
        <v>0</v>
      </c>
      <c r="H11516" s="787">
        <v>1</v>
      </c>
      <c r="L11516" s="787">
        <v>4.99</v>
      </c>
      <c r="M11516" s="787">
        <v>10</v>
      </c>
      <c r="N11516" s="787">
        <v>5.23</v>
      </c>
      <c r="O11516" s="788">
        <v>42087</v>
      </c>
    </row>
    <row r="11517" spans="1:15" x14ac:dyDescent="0.25">
      <c r="A11517" s="786" t="s">
        <v>20652</v>
      </c>
      <c r="B11517" s="787">
        <v>4</v>
      </c>
      <c r="C11517" s="787" t="s">
        <v>20653</v>
      </c>
      <c r="D11517" s="787">
        <v>0</v>
      </c>
      <c r="E11517" s="787">
        <v>0</v>
      </c>
      <c r="H11517" s="787">
        <v>1</v>
      </c>
      <c r="L11517" s="787">
        <v>8.9600000000000009</v>
      </c>
      <c r="M11517" s="787">
        <v>10</v>
      </c>
      <c r="N11517" s="787">
        <v>14.65</v>
      </c>
      <c r="O11517" s="788">
        <v>42087</v>
      </c>
    </row>
    <row r="11518" spans="1:15" x14ac:dyDescent="0.25">
      <c r="A11518" s="786" t="s">
        <v>20654</v>
      </c>
      <c r="B11518" s="787">
        <v>4</v>
      </c>
      <c r="C11518" s="787" t="s">
        <v>20655</v>
      </c>
      <c r="D11518" s="787">
        <v>0</v>
      </c>
      <c r="E11518" s="787">
        <v>0</v>
      </c>
      <c r="H11518" s="787">
        <v>1</v>
      </c>
      <c r="L11518" s="787">
        <v>4.51</v>
      </c>
      <c r="M11518" s="787">
        <v>10</v>
      </c>
      <c r="N11518" s="787">
        <v>5.86</v>
      </c>
      <c r="O11518" s="788">
        <v>41858</v>
      </c>
    </row>
    <row r="11519" spans="1:15" x14ac:dyDescent="0.25">
      <c r="A11519" s="786" t="s">
        <v>20656</v>
      </c>
      <c r="B11519" s="787">
        <v>4</v>
      </c>
      <c r="C11519" s="787" t="s">
        <v>20657</v>
      </c>
      <c r="D11519" s="787">
        <v>0</v>
      </c>
      <c r="E11519" s="787">
        <v>0</v>
      </c>
      <c r="H11519" s="787">
        <v>1</v>
      </c>
      <c r="L11519" s="787">
        <v>0.66</v>
      </c>
      <c r="M11519" s="787">
        <v>10</v>
      </c>
      <c r="N11519" s="787">
        <v>1.32</v>
      </c>
      <c r="O11519" s="788">
        <v>41858</v>
      </c>
    </row>
    <row r="11520" spans="1:15" x14ac:dyDescent="0.25">
      <c r="A11520" s="786" t="s">
        <v>20658</v>
      </c>
      <c r="B11520" s="787">
        <v>4</v>
      </c>
      <c r="C11520" s="787" t="s">
        <v>20659</v>
      </c>
      <c r="D11520" s="787">
        <v>0</v>
      </c>
      <c r="E11520" s="787">
        <v>0</v>
      </c>
      <c r="H11520" s="787">
        <v>6</v>
      </c>
      <c r="L11520" s="787">
        <v>4.32</v>
      </c>
      <c r="M11520" s="787">
        <v>10</v>
      </c>
      <c r="N11520" s="787">
        <v>8.4499999999999993</v>
      </c>
      <c r="O11520" s="788">
        <v>41806</v>
      </c>
    </row>
    <row r="11521" spans="1:15" x14ac:dyDescent="0.25">
      <c r="A11521" s="786" t="s">
        <v>20660</v>
      </c>
      <c r="B11521" s="787">
        <v>4</v>
      </c>
      <c r="C11521" s="787" t="s">
        <v>20661</v>
      </c>
      <c r="D11521" s="787">
        <v>0.52</v>
      </c>
      <c r="E11521" s="787">
        <v>6.04</v>
      </c>
      <c r="F11521" s="788">
        <v>38832</v>
      </c>
      <c r="G11521" s="788">
        <v>42051</v>
      </c>
      <c r="H11521" s="787">
        <v>1</v>
      </c>
      <c r="I11521" s="788">
        <v>39155</v>
      </c>
      <c r="J11521" s="788">
        <v>42024</v>
      </c>
      <c r="L11521" s="787">
        <v>0.49</v>
      </c>
      <c r="M11521" s="787">
        <v>10</v>
      </c>
      <c r="N11521" s="787">
        <v>2.78</v>
      </c>
      <c r="O11521" s="788">
        <v>42114</v>
      </c>
    </row>
    <row r="11522" spans="1:15" x14ac:dyDescent="0.25">
      <c r="A11522" s="786" t="s">
        <v>20662</v>
      </c>
      <c r="B11522" s="787">
        <v>4</v>
      </c>
      <c r="C11522" s="787" t="s">
        <v>20663</v>
      </c>
      <c r="D11522" s="787">
        <v>0.51</v>
      </c>
      <c r="E11522" s="787">
        <v>0.51</v>
      </c>
      <c r="F11522" s="788">
        <v>38832</v>
      </c>
      <c r="G11522" s="788">
        <v>38832</v>
      </c>
      <c r="H11522" s="787">
        <v>1</v>
      </c>
      <c r="I11522" s="788">
        <v>39155</v>
      </c>
      <c r="J11522" s="788">
        <v>39155</v>
      </c>
      <c r="L11522" s="787">
        <v>0.44</v>
      </c>
      <c r="M11522" s="787">
        <v>10</v>
      </c>
      <c r="N11522" s="787">
        <v>1.93</v>
      </c>
      <c r="O11522" s="788">
        <v>42124</v>
      </c>
    </row>
    <row r="11523" spans="1:15" x14ac:dyDescent="0.25">
      <c r="A11523" s="786" t="s">
        <v>20664</v>
      </c>
      <c r="B11523" s="787">
        <v>4</v>
      </c>
      <c r="C11523" s="787" t="s">
        <v>20665</v>
      </c>
      <c r="D11523" s="787">
        <v>0.56000000000000005</v>
      </c>
      <c r="E11523" s="787">
        <v>0.56000000000000005</v>
      </c>
      <c r="F11523" s="788">
        <v>38772</v>
      </c>
      <c r="G11523" s="788">
        <v>38772</v>
      </c>
      <c r="H11523" s="787">
        <v>1</v>
      </c>
      <c r="I11523" s="788">
        <v>39155</v>
      </c>
      <c r="J11523" s="788">
        <v>39155</v>
      </c>
      <c r="L11523" s="787">
        <v>0.45</v>
      </c>
      <c r="M11523" s="787">
        <v>10</v>
      </c>
      <c r="N11523" s="787">
        <v>1.94</v>
      </c>
      <c r="O11523" s="788">
        <v>42124</v>
      </c>
    </row>
    <row r="11524" spans="1:15" x14ac:dyDescent="0.25">
      <c r="A11524" s="786" t="s">
        <v>20666</v>
      </c>
      <c r="B11524" s="787">
        <v>4</v>
      </c>
      <c r="C11524" s="787" t="s">
        <v>20667</v>
      </c>
      <c r="D11524" s="787">
        <v>0.47</v>
      </c>
      <c r="E11524" s="787">
        <v>0.97</v>
      </c>
      <c r="F11524" s="788">
        <v>38606</v>
      </c>
      <c r="G11524" s="788">
        <v>41855</v>
      </c>
      <c r="H11524" s="787">
        <v>1</v>
      </c>
      <c r="I11524" s="788">
        <v>39155</v>
      </c>
      <c r="J11524" s="788">
        <v>41817</v>
      </c>
      <c r="L11524" s="787">
        <v>0.45</v>
      </c>
      <c r="M11524" s="787">
        <v>10</v>
      </c>
      <c r="N11524" s="787">
        <v>3.98</v>
      </c>
      <c r="O11524" s="788">
        <v>42124</v>
      </c>
    </row>
    <row r="11525" spans="1:15" x14ac:dyDescent="0.25">
      <c r="A11525" s="786" t="s">
        <v>20668</v>
      </c>
      <c r="B11525" s="787">
        <v>4</v>
      </c>
      <c r="C11525" s="787" t="s">
        <v>20669</v>
      </c>
      <c r="D11525" s="787">
        <v>0</v>
      </c>
      <c r="E11525" s="787">
        <v>0</v>
      </c>
      <c r="H11525" s="787">
        <v>1</v>
      </c>
      <c r="L11525" s="787">
        <v>0.47</v>
      </c>
      <c r="M11525" s="787">
        <v>10</v>
      </c>
      <c r="N11525" s="787">
        <v>1.94</v>
      </c>
      <c r="O11525" s="788">
        <v>42124</v>
      </c>
    </row>
    <row r="11526" spans="1:15" x14ac:dyDescent="0.25">
      <c r="A11526" s="786" t="s">
        <v>20670</v>
      </c>
      <c r="B11526" s="787">
        <v>4</v>
      </c>
      <c r="C11526" s="787" t="s">
        <v>20671</v>
      </c>
      <c r="D11526" s="787">
        <v>0</v>
      </c>
      <c r="E11526" s="787">
        <v>0</v>
      </c>
      <c r="H11526" s="787">
        <v>1</v>
      </c>
      <c r="L11526" s="787">
        <v>0.47</v>
      </c>
      <c r="M11526" s="787">
        <v>10</v>
      </c>
      <c r="N11526" s="787">
        <v>1.95</v>
      </c>
      <c r="O11526" s="788">
        <v>42124</v>
      </c>
    </row>
    <row r="11527" spans="1:15" x14ac:dyDescent="0.25">
      <c r="A11527" s="786" t="s">
        <v>20672</v>
      </c>
      <c r="B11527" s="787">
        <v>4</v>
      </c>
      <c r="C11527" s="787" t="s">
        <v>20673</v>
      </c>
      <c r="D11527" s="787">
        <v>0</v>
      </c>
      <c r="E11527" s="787">
        <v>0</v>
      </c>
      <c r="G11527" s="788">
        <v>40339</v>
      </c>
      <c r="H11527" s="787">
        <v>1</v>
      </c>
      <c r="J11527" s="788">
        <v>40339</v>
      </c>
      <c r="L11527" s="787">
        <v>0</v>
      </c>
      <c r="M11527" s="787">
        <v>10</v>
      </c>
      <c r="N11527" s="787">
        <v>1.17</v>
      </c>
      <c r="O11527" s="788">
        <v>41955</v>
      </c>
    </row>
    <row r="11528" spans="1:15" x14ac:dyDescent="0.25">
      <c r="A11528" s="786" t="s">
        <v>20674</v>
      </c>
      <c r="B11528" s="787">
        <v>4</v>
      </c>
      <c r="C11528" s="787" t="s">
        <v>20675</v>
      </c>
      <c r="D11528" s="787">
        <v>0</v>
      </c>
      <c r="E11528" s="787">
        <v>0</v>
      </c>
      <c r="G11528" s="788">
        <v>40339</v>
      </c>
      <c r="H11528" s="787">
        <v>1</v>
      </c>
      <c r="I11528" s="788">
        <v>41526</v>
      </c>
      <c r="J11528" s="788">
        <v>41530</v>
      </c>
      <c r="L11528" s="787">
        <v>0</v>
      </c>
      <c r="M11528" s="787">
        <v>10</v>
      </c>
      <c r="N11528" s="787">
        <v>1.1100000000000001</v>
      </c>
      <c r="O11528" s="788">
        <v>41858</v>
      </c>
    </row>
    <row r="11529" spans="1:15" x14ac:dyDescent="0.25">
      <c r="A11529" s="786" t="s">
        <v>20676</v>
      </c>
      <c r="B11529" s="787">
        <v>4</v>
      </c>
      <c r="C11529" s="787" t="s">
        <v>20677</v>
      </c>
      <c r="D11529" s="787">
        <v>0</v>
      </c>
      <c r="E11529" s="787">
        <v>0</v>
      </c>
      <c r="G11529" s="788">
        <v>40339</v>
      </c>
      <c r="H11529" s="787">
        <v>1</v>
      </c>
      <c r="J11529" s="788">
        <v>40339</v>
      </c>
      <c r="L11529" s="787">
        <v>0</v>
      </c>
      <c r="M11529" s="787">
        <v>10</v>
      </c>
      <c r="N11529" s="787">
        <v>0.67</v>
      </c>
      <c r="O11529" s="788">
        <v>41955</v>
      </c>
    </row>
    <row r="11530" spans="1:15" x14ac:dyDescent="0.25">
      <c r="A11530" s="786" t="s">
        <v>20678</v>
      </c>
      <c r="B11530" s="787">
        <v>4</v>
      </c>
      <c r="C11530" s="787" t="s">
        <v>20679</v>
      </c>
      <c r="D11530" s="787">
        <v>0</v>
      </c>
      <c r="E11530" s="787">
        <v>0</v>
      </c>
      <c r="G11530" s="788">
        <v>40339</v>
      </c>
      <c r="H11530" s="787">
        <v>1</v>
      </c>
      <c r="J11530" s="788">
        <v>40339</v>
      </c>
      <c r="L11530" s="787">
        <v>0</v>
      </c>
      <c r="M11530" s="787">
        <v>10</v>
      </c>
      <c r="N11530" s="787">
        <v>0.64</v>
      </c>
      <c r="O11530" s="788">
        <v>41955</v>
      </c>
    </row>
    <row r="11531" spans="1:15" x14ac:dyDescent="0.25">
      <c r="A11531" s="786" t="s">
        <v>20680</v>
      </c>
      <c r="B11531" s="787">
        <v>4</v>
      </c>
      <c r="C11531" s="787" t="s">
        <v>20681</v>
      </c>
      <c r="D11531" s="787">
        <v>4.16</v>
      </c>
      <c r="E11531" s="787">
        <v>6.75</v>
      </c>
      <c r="F11531" s="788">
        <v>38047</v>
      </c>
      <c r="G11531" s="788">
        <v>42165</v>
      </c>
      <c r="H11531" s="787">
        <v>1</v>
      </c>
      <c r="I11531" s="788">
        <v>42163</v>
      </c>
      <c r="J11531" s="788">
        <v>42152</v>
      </c>
      <c r="L11531" s="787">
        <v>4.53</v>
      </c>
      <c r="M11531" s="787">
        <v>20</v>
      </c>
      <c r="N11531" s="787">
        <v>4.87</v>
      </c>
      <c r="O11531" s="788">
        <v>41989</v>
      </c>
    </row>
    <row r="11532" spans="1:15" x14ac:dyDescent="0.25">
      <c r="A11532" s="786" t="s">
        <v>20682</v>
      </c>
      <c r="B11532" s="787">
        <v>4</v>
      </c>
      <c r="C11532" s="787" t="s">
        <v>20683</v>
      </c>
      <c r="D11532" s="787">
        <v>6.07</v>
      </c>
      <c r="E11532" s="787">
        <v>7.74</v>
      </c>
      <c r="F11532" s="788">
        <v>40119</v>
      </c>
      <c r="G11532" s="788">
        <v>42093</v>
      </c>
      <c r="H11532" s="787">
        <v>1</v>
      </c>
      <c r="I11532" s="788">
        <v>42164</v>
      </c>
      <c r="J11532" s="788">
        <v>42089</v>
      </c>
      <c r="L11532" s="787">
        <v>5.82</v>
      </c>
      <c r="M11532" s="787">
        <v>20</v>
      </c>
      <c r="N11532" s="787">
        <v>6.26</v>
      </c>
      <c r="O11532" s="788">
        <v>42127</v>
      </c>
    </row>
    <row r="11533" spans="1:15" x14ac:dyDescent="0.25">
      <c r="A11533" s="786" t="s">
        <v>20684</v>
      </c>
      <c r="B11533" s="787">
        <v>4</v>
      </c>
      <c r="C11533" s="787" t="s">
        <v>20685</v>
      </c>
      <c r="D11533" s="787">
        <v>1.32</v>
      </c>
      <c r="E11533" s="787">
        <v>1.32</v>
      </c>
      <c r="F11533" s="788">
        <v>39101</v>
      </c>
      <c r="G11533" s="788">
        <v>39101</v>
      </c>
      <c r="H11533" s="787">
        <v>6</v>
      </c>
      <c r="I11533" s="788">
        <v>40084</v>
      </c>
      <c r="J11533" s="788">
        <v>39149</v>
      </c>
      <c r="L11533" s="787">
        <v>1.44</v>
      </c>
      <c r="M11533" s="787">
        <v>20</v>
      </c>
      <c r="N11533" s="787">
        <v>1.42</v>
      </c>
      <c r="O11533" s="788">
        <v>41815</v>
      </c>
    </row>
    <row r="11534" spans="1:15" x14ac:dyDescent="0.25">
      <c r="A11534" s="786" t="s">
        <v>20686</v>
      </c>
      <c r="B11534" s="787">
        <v>4</v>
      </c>
      <c r="C11534" s="787" t="s">
        <v>20687</v>
      </c>
      <c r="D11534" s="787">
        <v>0.41</v>
      </c>
      <c r="E11534" s="787">
        <v>0.54</v>
      </c>
      <c r="F11534" s="788">
        <v>39101</v>
      </c>
      <c r="G11534" s="788">
        <v>42013</v>
      </c>
      <c r="H11534" s="787">
        <v>1</v>
      </c>
      <c r="I11534" s="788">
        <v>42165</v>
      </c>
      <c r="J11534" s="788">
        <v>41837</v>
      </c>
      <c r="L11534" s="787">
        <v>0.45</v>
      </c>
      <c r="M11534" s="787">
        <v>20</v>
      </c>
      <c r="N11534" s="787">
        <v>0.48</v>
      </c>
      <c r="O11534" s="788">
        <v>42164</v>
      </c>
    </row>
    <row r="11535" spans="1:15" x14ac:dyDescent="0.25">
      <c r="A11535" s="786" t="s">
        <v>20688</v>
      </c>
      <c r="B11535" s="787">
        <v>4</v>
      </c>
      <c r="C11535" s="787" t="s">
        <v>20689</v>
      </c>
      <c r="D11535" s="787">
        <v>6.21</v>
      </c>
      <c r="E11535" s="787">
        <v>66.84</v>
      </c>
      <c r="F11535" s="788">
        <v>40984</v>
      </c>
      <c r="G11535" s="788">
        <v>41551</v>
      </c>
      <c r="H11535" s="787">
        <v>1</v>
      </c>
      <c r="I11535" s="788">
        <v>41536</v>
      </c>
      <c r="J11535" s="788">
        <v>41533</v>
      </c>
      <c r="K11535" s="788">
        <v>40967</v>
      </c>
      <c r="L11535" s="787">
        <v>92.97</v>
      </c>
      <c r="M11535" s="787">
        <v>20</v>
      </c>
      <c r="N11535" s="787">
        <v>99.94</v>
      </c>
      <c r="O11535" s="788">
        <v>41858</v>
      </c>
    </row>
    <row r="11536" spans="1:15" x14ac:dyDescent="0.25">
      <c r="A11536" s="786" t="s">
        <v>20690</v>
      </c>
      <c r="B11536" s="787">
        <v>4</v>
      </c>
      <c r="C11536" s="787" t="s">
        <v>20691</v>
      </c>
      <c r="D11536" s="787">
        <v>0.8</v>
      </c>
      <c r="E11536" s="787">
        <v>0.8</v>
      </c>
      <c r="F11536" s="788">
        <v>38047</v>
      </c>
      <c r="G11536" s="788">
        <v>38047</v>
      </c>
      <c r="H11536" s="787">
        <v>6</v>
      </c>
      <c r="I11536" s="788">
        <v>37944</v>
      </c>
      <c r="J11536" s="788">
        <v>38047</v>
      </c>
      <c r="L11536" s="787">
        <v>0.87</v>
      </c>
      <c r="M11536" s="787">
        <v>20</v>
      </c>
      <c r="N11536" s="787">
        <v>0.86</v>
      </c>
      <c r="O11536" s="788">
        <v>41806</v>
      </c>
    </row>
    <row r="11537" spans="1:15" x14ac:dyDescent="0.25">
      <c r="A11537" s="786" t="s">
        <v>20692</v>
      </c>
      <c r="B11537" s="787">
        <v>4</v>
      </c>
      <c r="C11537" s="787" t="s">
        <v>20693</v>
      </c>
      <c r="D11537" s="787">
        <v>0.75</v>
      </c>
      <c r="E11537" s="787">
        <v>36.25</v>
      </c>
      <c r="F11537" s="788">
        <v>37643</v>
      </c>
      <c r="G11537" s="788">
        <v>40003</v>
      </c>
      <c r="H11537" s="787">
        <v>1</v>
      </c>
      <c r="I11537" s="788">
        <v>37392</v>
      </c>
      <c r="J11537" s="788">
        <v>39917</v>
      </c>
      <c r="L11537" s="787">
        <v>30.08</v>
      </c>
      <c r="M11537" s="787">
        <v>20</v>
      </c>
      <c r="N11537" s="787">
        <v>32.340000000000003</v>
      </c>
      <c r="O11537" s="788">
        <v>41858</v>
      </c>
    </row>
    <row r="11538" spans="1:15" x14ac:dyDescent="0.25">
      <c r="A11538" s="786" t="s">
        <v>20694</v>
      </c>
      <c r="B11538" s="787">
        <v>4</v>
      </c>
      <c r="C11538" s="787" t="s">
        <v>20695</v>
      </c>
      <c r="D11538" s="787">
        <v>4.91</v>
      </c>
      <c r="E11538" s="787">
        <v>69.25</v>
      </c>
      <c r="F11538" s="788">
        <v>39542</v>
      </c>
      <c r="G11538" s="788">
        <v>42130</v>
      </c>
      <c r="H11538" s="787">
        <v>1</v>
      </c>
      <c r="I11538" s="788">
        <v>42164</v>
      </c>
      <c r="J11538" s="788">
        <v>42166</v>
      </c>
      <c r="K11538" s="788">
        <v>41863</v>
      </c>
      <c r="L11538" s="787">
        <v>61.5</v>
      </c>
      <c r="M11538" s="787">
        <v>20</v>
      </c>
      <c r="N11538" s="787">
        <v>66.11</v>
      </c>
      <c r="O11538" s="788">
        <v>41989</v>
      </c>
    </row>
    <row r="11539" spans="1:15" x14ac:dyDescent="0.25">
      <c r="A11539" s="786" t="s">
        <v>20696</v>
      </c>
      <c r="B11539" s="787">
        <v>4</v>
      </c>
      <c r="C11539" s="787" t="s">
        <v>20697</v>
      </c>
      <c r="D11539" s="787">
        <v>1.33</v>
      </c>
      <c r="E11539" s="787">
        <v>21.33</v>
      </c>
      <c r="F11539" s="788">
        <v>37643</v>
      </c>
      <c r="G11539" s="788">
        <v>41605</v>
      </c>
      <c r="H11539" s="787">
        <v>1</v>
      </c>
      <c r="I11539" s="788">
        <v>41369</v>
      </c>
      <c r="J11539" s="788">
        <v>41605</v>
      </c>
      <c r="L11539" s="787">
        <v>23.25</v>
      </c>
      <c r="M11539" s="787">
        <v>20</v>
      </c>
      <c r="N11539" s="787">
        <v>24.99</v>
      </c>
      <c r="O11539" s="788">
        <v>41989</v>
      </c>
    </row>
    <row r="11540" spans="1:15" x14ac:dyDescent="0.25">
      <c r="A11540" s="786" t="s">
        <v>20698</v>
      </c>
      <c r="B11540" s="787">
        <v>4</v>
      </c>
      <c r="C11540" s="787" t="s">
        <v>20699</v>
      </c>
      <c r="D11540" s="787">
        <v>0</v>
      </c>
      <c r="E11540" s="787">
        <v>0</v>
      </c>
      <c r="G11540" s="788">
        <v>38736</v>
      </c>
      <c r="H11540" s="787">
        <v>1</v>
      </c>
      <c r="I11540" s="788">
        <v>39134</v>
      </c>
      <c r="J11540" s="788">
        <v>39149</v>
      </c>
      <c r="L11540" s="787">
        <v>0</v>
      </c>
      <c r="M11540" s="787">
        <v>20</v>
      </c>
      <c r="N11540" s="787">
        <v>0</v>
      </c>
      <c r="O11540" s="788">
        <v>40824</v>
      </c>
    </row>
    <row r="11541" spans="1:15" x14ac:dyDescent="0.25">
      <c r="A11541" s="786" t="s">
        <v>20700</v>
      </c>
      <c r="B11541" s="787">
        <v>4</v>
      </c>
      <c r="C11541" s="787" t="s">
        <v>20701</v>
      </c>
      <c r="D11541" s="787">
        <v>9.0299999999999994</v>
      </c>
      <c r="E11541" s="787">
        <v>39.03</v>
      </c>
      <c r="F11541" s="788">
        <v>37643</v>
      </c>
      <c r="G11541" s="788">
        <v>38364</v>
      </c>
      <c r="H11541" s="787">
        <v>1</v>
      </c>
      <c r="I11541" s="788">
        <v>37685</v>
      </c>
      <c r="J11541" s="788">
        <v>37643</v>
      </c>
      <c r="L11541" s="787">
        <v>42.54</v>
      </c>
      <c r="M11541" s="787">
        <v>20</v>
      </c>
      <c r="N11541" s="787">
        <v>45.73</v>
      </c>
      <c r="O11541" s="788">
        <v>41858</v>
      </c>
    </row>
    <row r="11542" spans="1:15" x14ac:dyDescent="0.25">
      <c r="A11542" s="786" t="s">
        <v>20702</v>
      </c>
      <c r="B11542" s="787">
        <v>4</v>
      </c>
      <c r="C11542" s="787" t="s">
        <v>20703</v>
      </c>
      <c r="D11542" s="787">
        <v>9.3000000000000007</v>
      </c>
      <c r="E11542" s="787">
        <v>14.74</v>
      </c>
      <c r="F11542" s="788">
        <v>41879</v>
      </c>
      <c r="G11542" s="788">
        <v>42145</v>
      </c>
      <c r="H11542" s="787">
        <v>1</v>
      </c>
      <c r="I11542" s="788">
        <v>42164</v>
      </c>
      <c r="J11542" s="788">
        <v>42130</v>
      </c>
      <c r="K11542" s="788">
        <v>40995</v>
      </c>
      <c r="L11542" s="787">
        <v>14.7</v>
      </c>
      <c r="M11542" s="787">
        <v>20</v>
      </c>
      <c r="N11542" s="787">
        <v>15.8</v>
      </c>
      <c r="O11542" s="788">
        <v>41989</v>
      </c>
    </row>
    <row r="11543" spans="1:15" x14ac:dyDescent="0.25">
      <c r="A11543" s="786" t="s">
        <v>20704</v>
      </c>
      <c r="B11543" s="787">
        <v>4</v>
      </c>
      <c r="C11543" s="787" t="s">
        <v>20705</v>
      </c>
      <c r="D11543" s="787">
        <v>1.89</v>
      </c>
      <c r="E11543" s="787">
        <v>311.89</v>
      </c>
      <c r="F11543" s="788">
        <v>37643</v>
      </c>
      <c r="G11543" s="788">
        <v>38364</v>
      </c>
      <c r="H11543" s="787">
        <v>6</v>
      </c>
      <c r="I11543" s="788">
        <v>38077</v>
      </c>
      <c r="J11543" s="788">
        <v>39101</v>
      </c>
      <c r="K11543" s="788">
        <v>41865</v>
      </c>
      <c r="L11543" s="787">
        <v>280</v>
      </c>
      <c r="M11543" s="787">
        <v>20</v>
      </c>
      <c r="N11543" s="787">
        <v>28</v>
      </c>
      <c r="O11543" s="788">
        <v>41563</v>
      </c>
    </row>
    <row r="11544" spans="1:15" x14ac:dyDescent="0.25">
      <c r="A11544" s="786" t="s">
        <v>20706</v>
      </c>
      <c r="B11544" s="787">
        <v>4</v>
      </c>
      <c r="C11544" s="787" t="s">
        <v>20707</v>
      </c>
      <c r="D11544" s="787">
        <v>0.95</v>
      </c>
      <c r="E11544" s="787">
        <v>0.95</v>
      </c>
      <c r="F11544" s="788">
        <v>37643</v>
      </c>
      <c r="G11544" s="788">
        <v>37643</v>
      </c>
      <c r="H11544" s="787">
        <v>1</v>
      </c>
      <c r="I11544" s="788">
        <v>42052</v>
      </c>
      <c r="J11544" s="788">
        <v>42052</v>
      </c>
      <c r="L11544" s="787">
        <v>1.04</v>
      </c>
      <c r="M11544" s="787">
        <v>20</v>
      </c>
      <c r="N11544" s="787">
        <v>1.1200000000000001</v>
      </c>
      <c r="O11544" s="788">
        <v>41989</v>
      </c>
    </row>
    <row r="11545" spans="1:15" x14ac:dyDescent="0.25">
      <c r="A11545" s="786" t="s">
        <v>20708</v>
      </c>
      <c r="B11545" s="787">
        <v>4</v>
      </c>
      <c r="C11545" s="787" t="s">
        <v>20699</v>
      </c>
      <c r="D11545" s="787">
        <v>0</v>
      </c>
      <c r="E11545" s="787">
        <v>0</v>
      </c>
      <c r="H11545" s="787">
        <v>1</v>
      </c>
      <c r="J11545" s="788">
        <v>37643</v>
      </c>
      <c r="L11545" s="787">
        <v>0</v>
      </c>
      <c r="M11545" s="787">
        <v>20</v>
      </c>
      <c r="N11545" s="787">
        <v>0</v>
      </c>
      <c r="O11545" s="788">
        <v>40824</v>
      </c>
    </row>
    <row r="11546" spans="1:15" x14ac:dyDescent="0.25">
      <c r="A11546" s="786" t="s">
        <v>20709</v>
      </c>
      <c r="B11546" s="787">
        <v>4</v>
      </c>
      <c r="C11546" s="787" t="s">
        <v>20710</v>
      </c>
      <c r="D11546" s="787">
        <v>6.94</v>
      </c>
      <c r="E11546" s="787">
        <v>23.6</v>
      </c>
      <c r="F11546" s="788">
        <v>41752</v>
      </c>
      <c r="G11546" s="788">
        <v>42030</v>
      </c>
      <c r="H11546" s="787">
        <v>1</v>
      </c>
      <c r="I11546" s="788">
        <v>41907</v>
      </c>
      <c r="J11546" s="788">
        <v>42024</v>
      </c>
      <c r="L11546" s="787">
        <v>22.78</v>
      </c>
      <c r="M11546" s="787">
        <v>20</v>
      </c>
      <c r="N11546" s="787">
        <v>24.49</v>
      </c>
      <c r="O11546" s="788">
        <v>41858</v>
      </c>
    </row>
    <row r="11547" spans="1:15" x14ac:dyDescent="0.25">
      <c r="A11547" s="786" t="s">
        <v>20711</v>
      </c>
      <c r="B11547" s="787">
        <v>4</v>
      </c>
      <c r="C11547" s="787" t="s">
        <v>20712</v>
      </c>
      <c r="D11547" s="787">
        <v>1.19</v>
      </c>
      <c r="E11547" s="787">
        <v>9.98</v>
      </c>
      <c r="F11547" s="788">
        <v>39456</v>
      </c>
      <c r="G11547" s="788">
        <v>42047</v>
      </c>
      <c r="H11547" s="787">
        <v>1</v>
      </c>
      <c r="I11547" s="788">
        <v>42164</v>
      </c>
      <c r="J11547" s="788">
        <v>42025</v>
      </c>
      <c r="L11547" s="787">
        <v>2.41</v>
      </c>
      <c r="M11547" s="787">
        <v>10</v>
      </c>
      <c r="N11547" s="787">
        <v>7.93</v>
      </c>
      <c r="O11547" s="788">
        <v>42164</v>
      </c>
    </row>
    <row r="11548" spans="1:15" x14ac:dyDescent="0.25">
      <c r="A11548" s="786" t="s">
        <v>20713</v>
      </c>
      <c r="B11548" s="787">
        <v>4</v>
      </c>
      <c r="C11548" s="787" t="s">
        <v>20714</v>
      </c>
      <c r="D11548" s="787">
        <v>2.2400000000000002</v>
      </c>
      <c r="E11548" s="787">
        <v>28.34</v>
      </c>
      <c r="F11548" s="788">
        <v>39456</v>
      </c>
      <c r="G11548" s="788">
        <v>42122</v>
      </c>
      <c r="H11548" s="787">
        <v>1</v>
      </c>
      <c r="I11548" s="788">
        <v>42123</v>
      </c>
      <c r="J11548" s="788">
        <v>42089</v>
      </c>
      <c r="L11548" s="787">
        <v>1.68</v>
      </c>
      <c r="M11548" s="787">
        <v>10</v>
      </c>
      <c r="N11548" s="787">
        <v>5.88</v>
      </c>
      <c r="O11548" s="788">
        <v>41858</v>
      </c>
    </row>
    <row r="11549" spans="1:15" x14ac:dyDescent="0.25">
      <c r="A11549" s="786" t="s">
        <v>20715</v>
      </c>
      <c r="B11549" s="787">
        <v>4</v>
      </c>
      <c r="C11549" s="787" t="s">
        <v>20716</v>
      </c>
      <c r="D11549" s="787">
        <v>0.74</v>
      </c>
      <c r="E11549" s="787">
        <v>0.74</v>
      </c>
      <c r="F11549" s="788">
        <v>39068</v>
      </c>
      <c r="G11549" s="788">
        <v>41565</v>
      </c>
      <c r="H11549" s="787">
        <v>1</v>
      </c>
      <c r="I11549" s="788">
        <v>40981</v>
      </c>
      <c r="J11549" s="788">
        <v>39049</v>
      </c>
      <c r="L11549" s="787">
        <v>1.42</v>
      </c>
      <c r="M11549" s="787">
        <v>10</v>
      </c>
      <c r="N11549" s="787">
        <v>3.64</v>
      </c>
      <c r="O11549" s="788">
        <v>42146</v>
      </c>
    </row>
    <row r="11550" spans="1:15" x14ac:dyDescent="0.25">
      <c r="A11550" s="786" t="s">
        <v>20717</v>
      </c>
      <c r="B11550" s="787">
        <v>4</v>
      </c>
      <c r="C11550" s="787" t="s">
        <v>20718</v>
      </c>
      <c r="D11550" s="787">
        <v>1.75</v>
      </c>
      <c r="E11550" s="787">
        <v>1.75</v>
      </c>
      <c r="F11550" s="788">
        <v>39101</v>
      </c>
      <c r="G11550" s="788">
        <v>39101</v>
      </c>
      <c r="H11550" s="787">
        <v>1</v>
      </c>
      <c r="I11550" s="788">
        <v>39170</v>
      </c>
      <c r="J11550" s="788">
        <v>39149</v>
      </c>
      <c r="L11550" s="787">
        <v>1.91</v>
      </c>
      <c r="M11550" s="787">
        <v>20</v>
      </c>
      <c r="N11550" s="787">
        <v>2.0499999999999998</v>
      </c>
      <c r="O11550" s="788">
        <v>41858</v>
      </c>
    </row>
    <row r="11551" spans="1:15" x14ac:dyDescent="0.25">
      <c r="A11551" s="786" t="s">
        <v>20719</v>
      </c>
      <c r="B11551" s="787">
        <v>4</v>
      </c>
      <c r="C11551" s="787" t="s">
        <v>20720</v>
      </c>
      <c r="D11551" s="787">
        <v>2.1</v>
      </c>
      <c r="E11551" s="787">
        <v>2.1</v>
      </c>
      <c r="F11551" s="788">
        <v>39101</v>
      </c>
      <c r="G11551" s="788">
        <v>39101</v>
      </c>
      <c r="H11551" s="787">
        <v>1</v>
      </c>
      <c r="I11551" s="788">
        <v>39134</v>
      </c>
      <c r="J11551" s="788">
        <v>39149</v>
      </c>
      <c r="L11551" s="787">
        <v>2.29</v>
      </c>
      <c r="M11551" s="787">
        <v>20</v>
      </c>
      <c r="N11551" s="787">
        <v>2.46</v>
      </c>
      <c r="O11551" s="788">
        <v>41858</v>
      </c>
    </row>
    <row r="11552" spans="1:15" x14ac:dyDescent="0.25">
      <c r="A11552" s="786" t="s">
        <v>20721</v>
      </c>
      <c r="B11552" s="787">
        <v>4</v>
      </c>
      <c r="C11552" s="787" t="s">
        <v>20722</v>
      </c>
      <c r="D11552" s="787">
        <v>0</v>
      </c>
      <c r="E11552" s="787">
        <v>0</v>
      </c>
      <c r="H11552" s="787">
        <v>1</v>
      </c>
      <c r="J11552" s="788">
        <v>37287</v>
      </c>
      <c r="L11552" s="787">
        <v>0</v>
      </c>
      <c r="M11552" s="787">
        <v>20</v>
      </c>
      <c r="N11552" s="787">
        <v>0</v>
      </c>
      <c r="O11552" s="788">
        <v>40824</v>
      </c>
    </row>
    <row r="11553" spans="1:15" x14ac:dyDescent="0.25">
      <c r="A11553" s="786" t="s">
        <v>20723</v>
      </c>
      <c r="B11553" s="787">
        <v>4</v>
      </c>
      <c r="C11553" s="787" t="s">
        <v>20724</v>
      </c>
      <c r="D11553" s="787">
        <v>0</v>
      </c>
      <c r="E11553" s="787">
        <v>0</v>
      </c>
      <c r="H11553" s="787">
        <v>1</v>
      </c>
      <c r="L11553" s="787">
        <v>0</v>
      </c>
      <c r="M11553" s="787">
        <v>20</v>
      </c>
      <c r="N11553" s="787">
        <v>0</v>
      </c>
      <c r="O11553" s="788">
        <v>40824</v>
      </c>
    </row>
    <row r="11554" spans="1:15" x14ac:dyDescent="0.25">
      <c r="A11554" s="786" t="s">
        <v>20725</v>
      </c>
      <c r="B11554" s="787">
        <v>4</v>
      </c>
      <c r="C11554" s="787" t="s">
        <v>20724</v>
      </c>
      <c r="D11554" s="787">
        <v>0</v>
      </c>
      <c r="E11554" s="787">
        <v>0</v>
      </c>
      <c r="H11554" s="787">
        <v>1</v>
      </c>
      <c r="L11554" s="787">
        <v>0</v>
      </c>
      <c r="M11554" s="787">
        <v>20</v>
      </c>
      <c r="N11554" s="787">
        <v>0</v>
      </c>
      <c r="O11554" s="788">
        <v>40824</v>
      </c>
    </row>
    <row r="11555" spans="1:15" x14ac:dyDescent="0.25">
      <c r="A11555" s="786" t="s">
        <v>20726</v>
      </c>
      <c r="B11555" s="787">
        <v>4</v>
      </c>
      <c r="C11555" s="787" t="s">
        <v>20724</v>
      </c>
      <c r="D11555" s="787">
        <v>0</v>
      </c>
      <c r="E11555" s="787">
        <v>0</v>
      </c>
      <c r="H11555" s="787">
        <v>1</v>
      </c>
      <c r="L11555" s="787">
        <v>0</v>
      </c>
      <c r="M11555" s="787">
        <v>20</v>
      </c>
      <c r="N11555" s="787">
        <v>0</v>
      </c>
      <c r="O11555" s="788">
        <v>40824</v>
      </c>
    </row>
    <row r="11556" spans="1:15" x14ac:dyDescent="0.25">
      <c r="A11556" s="786" t="s">
        <v>20727</v>
      </c>
      <c r="B11556" s="787">
        <v>4</v>
      </c>
      <c r="C11556" s="787" t="s">
        <v>20728</v>
      </c>
      <c r="D11556" s="787">
        <v>1.28</v>
      </c>
      <c r="E11556" s="787">
        <v>61.28</v>
      </c>
      <c r="F11556" s="788">
        <v>38555</v>
      </c>
      <c r="G11556" s="788">
        <v>38555</v>
      </c>
      <c r="H11556" s="787">
        <v>1</v>
      </c>
      <c r="I11556" s="788">
        <v>38596</v>
      </c>
      <c r="J11556" s="788">
        <v>38596</v>
      </c>
      <c r="L11556" s="787">
        <v>61.28</v>
      </c>
      <c r="M11556" s="787">
        <v>20</v>
      </c>
      <c r="N11556" s="787">
        <v>65.88</v>
      </c>
      <c r="O11556" s="788">
        <v>41858</v>
      </c>
    </row>
    <row r="11557" spans="1:15" x14ac:dyDescent="0.25">
      <c r="A11557" s="786" t="s">
        <v>20729</v>
      </c>
      <c r="B11557" s="787">
        <v>4</v>
      </c>
      <c r="C11557" s="787" t="s">
        <v>20730</v>
      </c>
      <c r="D11557" s="787">
        <v>7.13</v>
      </c>
      <c r="E11557" s="787">
        <v>77.13</v>
      </c>
      <c r="F11557" s="788">
        <v>38555</v>
      </c>
      <c r="G11557" s="788">
        <v>38555</v>
      </c>
      <c r="H11557" s="787">
        <v>1</v>
      </c>
      <c r="I11557" s="788">
        <v>38596</v>
      </c>
      <c r="J11557" s="788">
        <v>38596</v>
      </c>
      <c r="L11557" s="787">
        <v>77.13</v>
      </c>
      <c r="M11557" s="787">
        <v>20</v>
      </c>
      <c r="N11557" s="787">
        <v>82.91</v>
      </c>
      <c r="O11557" s="788">
        <v>41858</v>
      </c>
    </row>
    <row r="11558" spans="1:15" x14ac:dyDescent="0.25">
      <c r="A11558" s="786" t="s">
        <v>20731</v>
      </c>
      <c r="B11558" s="787">
        <v>4</v>
      </c>
      <c r="C11558" s="787" t="s">
        <v>20732</v>
      </c>
      <c r="D11558" s="787">
        <v>0.05</v>
      </c>
      <c r="E11558" s="787">
        <v>7.0000000000000007E-2</v>
      </c>
      <c r="F11558" s="788">
        <v>39171</v>
      </c>
      <c r="G11558" s="788">
        <v>42150</v>
      </c>
      <c r="H11558" s="787">
        <v>1</v>
      </c>
      <c r="I11558" s="788">
        <v>42166</v>
      </c>
      <c r="J11558" s="788">
        <v>42143</v>
      </c>
      <c r="K11558" s="788">
        <v>41869</v>
      </c>
      <c r="L11558" s="787">
        <v>0.06</v>
      </c>
      <c r="M11558" s="787">
        <v>20</v>
      </c>
      <c r="N11558" s="787">
        <v>0.06</v>
      </c>
      <c r="O11558" s="788">
        <v>42162</v>
      </c>
    </row>
    <row r="11559" spans="1:15" x14ac:dyDescent="0.25">
      <c r="A11559" s="786" t="s">
        <v>20733</v>
      </c>
      <c r="B11559" s="787">
        <v>4</v>
      </c>
      <c r="C11559" s="787" t="s">
        <v>20734</v>
      </c>
      <c r="D11559" s="787">
        <v>0</v>
      </c>
      <c r="E11559" s="787">
        <v>0</v>
      </c>
      <c r="H11559" s="787">
        <v>1</v>
      </c>
      <c r="K11559" s="788">
        <v>41530</v>
      </c>
      <c r="L11559" s="787">
        <v>0.01</v>
      </c>
      <c r="M11559" s="787">
        <v>20</v>
      </c>
      <c r="N11559" s="787">
        <v>0.01</v>
      </c>
      <c r="O11559" s="788">
        <v>41858</v>
      </c>
    </row>
    <row r="11560" spans="1:15" x14ac:dyDescent="0.25">
      <c r="A11560" s="786" t="s">
        <v>20735</v>
      </c>
      <c r="B11560" s="787">
        <v>4</v>
      </c>
      <c r="C11560" s="787" t="s">
        <v>20736</v>
      </c>
      <c r="D11560" s="787">
        <v>4.2300000000000004</v>
      </c>
      <c r="E11560" s="787">
        <v>104.23</v>
      </c>
      <c r="F11560" s="788">
        <v>40849</v>
      </c>
      <c r="G11560" s="788">
        <v>40849</v>
      </c>
      <c r="H11560" s="787">
        <v>1</v>
      </c>
      <c r="I11560" s="788">
        <v>40858</v>
      </c>
      <c r="J11560" s="788">
        <v>40848</v>
      </c>
      <c r="L11560" s="787">
        <v>104.23</v>
      </c>
      <c r="M11560" s="787">
        <v>20</v>
      </c>
      <c r="N11560" s="787">
        <v>112.05</v>
      </c>
      <c r="O11560" s="788">
        <v>41858</v>
      </c>
    </row>
    <row r="11561" spans="1:15" x14ac:dyDescent="0.25">
      <c r="A11561" s="786" t="s">
        <v>20737</v>
      </c>
      <c r="B11561" s="787">
        <v>4</v>
      </c>
      <c r="C11561" s="787" t="s">
        <v>20738</v>
      </c>
      <c r="D11561" s="787">
        <v>7.64</v>
      </c>
      <c r="E11561" s="787">
        <v>17.64</v>
      </c>
      <c r="F11561" s="788">
        <v>39388</v>
      </c>
      <c r="G11561" s="788">
        <v>42030</v>
      </c>
      <c r="H11561" s="787">
        <v>1</v>
      </c>
      <c r="I11561" s="788">
        <v>42159</v>
      </c>
      <c r="J11561" s="788">
        <v>42023</v>
      </c>
      <c r="L11561" s="787">
        <v>17.64</v>
      </c>
      <c r="M11561" s="787">
        <v>20</v>
      </c>
      <c r="N11561" s="787">
        <v>18.96</v>
      </c>
      <c r="O11561" s="788">
        <v>42156</v>
      </c>
    </row>
    <row r="11562" spans="1:15" x14ac:dyDescent="0.25">
      <c r="A11562" s="786" t="s">
        <v>20739</v>
      </c>
      <c r="B11562" s="787">
        <v>4</v>
      </c>
      <c r="C11562" s="787" t="s">
        <v>20740</v>
      </c>
      <c r="D11562" s="787">
        <v>9.3000000000000007</v>
      </c>
      <c r="E11562" s="787">
        <v>10.33</v>
      </c>
      <c r="F11562" s="788">
        <v>39388</v>
      </c>
      <c r="G11562" s="788">
        <v>42086</v>
      </c>
      <c r="H11562" s="787">
        <v>1</v>
      </c>
      <c r="I11562" s="788">
        <v>42159</v>
      </c>
      <c r="J11562" s="788">
        <v>42076</v>
      </c>
      <c r="K11562" s="788">
        <v>41865</v>
      </c>
      <c r="L11562" s="787">
        <v>9.3000000000000007</v>
      </c>
      <c r="M11562" s="787">
        <v>20</v>
      </c>
      <c r="N11562" s="787">
        <v>10</v>
      </c>
      <c r="O11562" s="788">
        <v>42156</v>
      </c>
    </row>
    <row r="11563" spans="1:15" x14ac:dyDescent="0.25">
      <c r="A11563" s="786" t="s">
        <v>20741</v>
      </c>
      <c r="B11563" s="787">
        <v>4</v>
      </c>
      <c r="C11563" s="787" t="s">
        <v>20742</v>
      </c>
      <c r="D11563" s="787">
        <v>0</v>
      </c>
      <c r="E11563" s="787">
        <v>0</v>
      </c>
      <c r="H11563" s="787">
        <v>1</v>
      </c>
      <c r="I11563" s="788">
        <v>39974</v>
      </c>
      <c r="L11563" s="787">
        <v>0</v>
      </c>
      <c r="M11563" s="787">
        <v>20</v>
      </c>
      <c r="N11563" s="787">
        <v>0</v>
      </c>
      <c r="O11563" s="788">
        <v>40824</v>
      </c>
    </row>
    <row r="11564" spans="1:15" x14ac:dyDescent="0.25">
      <c r="A11564" s="786" t="s">
        <v>20743</v>
      </c>
      <c r="B11564" s="787">
        <v>4</v>
      </c>
      <c r="C11564" s="787" t="s">
        <v>20744</v>
      </c>
      <c r="D11564" s="787">
        <v>0.15</v>
      </c>
      <c r="E11564" s="787">
        <v>0.2</v>
      </c>
      <c r="F11564" s="788">
        <v>40249</v>
      </c>
      <c r="G11564" s="788">
        <v>42013</v>
      </c>
      <c r="H11564" s="787">
        <v>1</v>
      </c>
      <c r="I11564" s="788">
        <v>42144</v>
      </c>
      <c r="J11564" s="788">
        <v>41698</v>
      </c>
      <c r="K11564" s="788">
        <v>40207</v>
      </c>
      <c r="L11564" s="787">
        <v>0.17</v>
      </c>
      <c r="M11564" s="787">
        <v>20</v>
      </c>
      <c r="N11564" s="787">
        <v>0.18</v>
      </c>
      <c r="O11564" s="788">
        <v>42162</v>
      </c>
    </row>
    <row r="11565" spans="1:15" x14ac:dyDescent="0.25">
      <c r="A11565" s="786" t="s">
        <v>20745</v>
      </c>
      <c r="B11565" s="787">
        <v>4</v>
      </c>
      <c r="C11565" s="787" t="s">
        <v>20746</v>
      </c>
      <c r="D11565" s="787">
        <v>2.2000000000000002</v>
      </c>
      <c r="E11565" s="787">
        <v>16.899999999999999</v>
      </c>
      <c r="F11565" s="788">
        <v>39945</v>
      </c>
      <c r="G11565" s="788">
        <v>41943</v>
      </c>
      <c r="H11565" s="787">
        <v>1</v>
      </c>
      <c r="I11565" s="788">
        <v>42023</v>
      </c>
      <c r="J11565" s="788">
        <v>41556</v>
      </c>
      <c r="K11565" s="788">
        <v>39932</v>
      </c>
      <c r="L11565" s="787">
        <v>12.2</v>
      </c>
      <c r="M11565" s="787">
        <v>20</v>
      </c>
      <c r="N11565" s="787">
        <v>13.12</v>
      </c>
      <c r="O11565" s="788">
        <v>42146</v>
      </c>
    </row>
    <row r="11566" spans="1:15" x14ac:dyDescent="0.25">
      <c r="A11566" s="786" t="s">
        <v>20747</v>
      </c>
      <c r="B11566" s="787">
        <v>4</v>
      </c>
      <c r="C11566" s="787" t="s">
        <v>20748</v>
      </c>
      <c r="D11566" s="787">
        <v>7.0000000000000007E-2</v>
      </c>
      <c r="E11566" s="787">
        <v>10.07</v>
      </c>
      <c r="F11566" s="788">
        <v>39945</v>
      </c>
      <c r="G11566" s="788">
        <v>41794</v>
      </c>
      <c r="H11566" s="787">
        <v>1</v>
      </c>
      <c r="I11566" s="788">
        <v>41802</v>
      </c>
      <c r="J11566" s="788">
        <v>41816</v>
      </c>
      <c r="K11566" s="788">
        <v>39932</v>
      </c>
      <c r="L11566" s="787">
        <v>10.6</v>
      </c>
      <c r="M11566" s="787">
        <v>20</v>
      </c>
      <c r="N11566" s="787">
        <v>11.4</v>
      </c>
      <c r="O11566" s="788">
        <v>42164</v>
      </c>
    </row>
    <row r="11567" spans="1:15" x14ac:dyDescent="0.25">
      <c r="A11567" s="786" t="s">
        <v>20749</v>
      </c>
      <c r="B11567" s="787">
        <v>4</v>
      </c>
      <c r="C11567" s="787" t="s">
        <v>20750</v>
      </c>
      <c r="D11567" s="787">
        <v>0.12</v>
      </c>
      <c r="E11567" s="787">
        <v>0.13</v>
      </c>
      <c r="F11567" s="788">
        <v>39945</v>
      </c>
      <c r="G11567" s="788">
        <v>40178</v>
      </c>
      <c r="H11567" s="787">
        <v>1</v>
      </c>
      <c r="I11567" s="788">
        <v>40392</v>
      </c>
      <c r="J11567" s="788">
        <v>39981</v>
      </c>
      <c r="K11567" s="788">
        <v>39940</v>
      </c>
      <c r="L11567" s="787">
        <v>0.12</v>
      </c>
      <c r="M11567" s="787">
        <v>20</v>
      </c>
      <c r="N11567" s="787">
        <v>0.13</v>
      </c>
      <c r="O11567" s="788">
        <v>41858</v>
      </c>
    </row>
    <row r="11568" spans="1:15" x14ac:dyDescent="0.25">
      <c r="A11568" s="786" t="s">
        <v>20751</v>
      </c>
      <c r="B11568" s="787">
        <v>4</v>
      </c>
      <c r="C11568" s="787" t="s">
        <v>20752</v>
      </c>
      <c r="D11568" s="787">
        <v>0.95</v>
      </c>
      <c r="E11568" s="787">
        <v>0.95</v>
      </c>
      <c r="F11568" s="788">
        <v>39945</v>
      </c>
      <c r="G11568" s="788">
        <v>40507</v>
      </c>
      <c r="H11568" s="787">
        <v>1</v>
      </c>
      <c r="I11568" s="788">
        <v>42163</v>
      </c>
      <c r="J11568" s="788">
        <v>41963</v>
      </c>
      <c r="K11568" s="788">
        <v>39940</v>
      </c>
      <c r="L11568" s="787">
        <v>0.95</v>
      </c>
      <c r="M11568" s="787">
        <v>20</v>
      </c>
      <c r="N11568" s="787">
        <v>1.02</v>
      </c>
      <c r="O11568" s="788">
        <v>42164</v>
      </c>
    </row>
    <row r="11569" spans="1:15" x14ac:dyDescent="0.25">
      <c r="A11569" s="786" t="s">
        <v>20753</v>
      </c>
      <c r="B11569" s="787">
        <v>4</v>
      </c>
      <c r="C11569" s="787" t="s">
        <v>20754</v>
      </c>
      <c r="D11569" s="787">
        <v>0.14000000000000001</v>
      </c>
      <c r="E11569" s="787">
        <v>0.24</v>
      </c>
      <c r="F11569" s="788">
        <v>40051</v>
      </c>
      <c r="G11569" s="788">
        <v>42013</v>
      </c>
      <c r="H11569" s="787">
        <v>1</v>
      </c>
      <c r="I11569" s="788">
        <v>42145</v>
      </c>
      <c r="J11569" s="788">
        <v>41772</v>
      </c>
      <c r="K11569" s="788">
        <v>40095</v>
      </c>
      <c r="L11569" s="787">
        <v>0.24</v>
      </c>
      <c r="M11569" s="787">
        <v>20</v>
      </c>
      <c r="N11569" s="787">
        <v>0.26</v>
      </c>
      <c r="O11569" s="788">
        <v>42146</v>
      </c>
    </row>
    <row r="11570" spans="1:15" x14ac:dyDescent="0.25">
      <c r="A11570" s="786" t="s">
        <v>20755</v>
      </c>
      <c r="B11570" s="787">
        <v>4</v>
      </c>
      <c r="C11570" s="787" t="s">
        <v>20756</v>
      </c>
      <c r="D11570" s="787">
        <v>9.35</v>
      </c>
      <c r="E11570" s="787">
        <v>135.91999999999999</v>
      </c>
      <c r="F11570" s="788">
        <v>41775</v>
      </c>
      <c r="G11570" s="788">
        <v>41907</v>
      </c>
      <c r="H11570" s="787">
        <v>1</v>
      </c>
      <c r="I11570" s="788">
        <v>41878</v>
      </c>
      <c r="J11570" s="788">
        <v>41879</v>
      </c>
      <c r="L11570" s="787">
        <v>0</v>
      </c>
      <c r="M11570" s="787">
        <v>10</v>
      </c>
      <c r="N11570" s="787">
        <v>77.58</v>
      </c>
      <c r="O11570" s="788">
        <v>41858</v>
      </c>
    </row>
    <row r="11571" spans="1:15" x14ac:dyDescent="0.25">
      <c r="A11571" s="786" t="s">
        <v>20757</v>
      </c>
      <c r="B11571" s="787">
        <v>4</v>
      </c>
      <c r="C11571" s="787" t="s">
        <v>20758</v>
      </c>
      <c r="D11571" s="787">
        <v>1.19</v>
      </c>
      <c r="E11571" s="787">
        <v>249.62</v>
      </c>
      <c r="F11571" s="788">
        <v>41813</v>
      </c>
      <c r="G11571" s="788">
        <v>41813</v>
      </c>
      <c r="H11571" s="787">
        <v>1</v>
      </c>
      <c r="I11571" s="788">
        <v>41655</v>
      </c>
      <c r="J11571" s="788">
        <v>41612</v>
      </c>
      <c r="L11571" s="787">
        <v>0</v>
      </c>
      <c r="M11571" s="787">
        <v>10</v>
      </c>
      <c r="N11571" s="787">
        <v>76.349999999999994</v>
      </c>
      <c r="O11571" s="788">
        <v>42146</v>
      </c>
    </row>
    <row r="11572" spans="1:15" x14ac:dyDescent="0.25">
      <c r="A11572" s="786" t="s">
        <v>20759</v>
      </c>
      <c r="B11572" s="787">
        <v>4</v>
      </c>
      <c r="C11572" s="787" t="s">
        <v>20760</v>
      </c>
      <c r="D11572" s="787">
        <v>6.32</v>
      </c>
      <c r="E11572" s="789">
        <v>1293.06</v>
      </c>
      <c r="F11572" s="788">
        <v>41806</v>
      </c>
      <c r="G11572" s="788">
        <v>41806</v>
      </c>
      <c r="H11572" s="787">
        <v>1</v>
      </c>
      <c r="I11572" s="788">
        <v>41757</v>
      </c>
      <c r="J11572" s="788">
        <v>41757</v>
      </c>
      <c r="K11572" s="788">
        <v>41386</v>
      </c>
      <c r="L11572" s="787">
        <v>83.74</v>
      </c>
      <c r="M11572" s="787">
        <v>10</v>
      </c>
      <c r="N11572" s="787">
        <v>89.58</v>
      </c>
      <c r="O11572" s="788">
        <v>42127</v>
      </c>
    </row>
    <row r="11573" spans="1:15" x14ac:dyDescent="0.25">
      <c r="A11573" s="786" t="s">
        <v>20761</v>
      </c>
      <c r="B11573" s="787">
        <v>4</v>
      </c>
      <c r="C11573" s="787" t="s">
        <v>20762</v>
      </c>
      <c r="D11573" s="787">
        <v>4.57</v>
      </c>
      <c r="E11573" s="787">
        <v>34.57</v>
      </c>
      <c r="F11573" s="788">
        <v>41369</v>
      </c>
      <c r="G11573" s="788">
        <v>41369</v>
      </c>
      <c r="H11573" s="787">
        <v>1</v>
      </c>
      <c r="I11573" s="788">
        <v>41332</v>
      </c>
      <c r="J11573" s="788">
        <v>41334</v>
      </c>
      <c r="K11573" s="788">
        <v>41117</v>
      </c>
      <c r="L11573" s="787">
        <v>35.869999999999997</v>
      </c>
      <c r="M11573" s="787">
        <v>10</v>
      </c>
      <c r="N11573" s="787">
        <v>40.76</v>
      </c>
      <c r="O11573" s="788">
        <v>41858</v>
      </c>
    </row>
    <row r="11574" spans="1:15" x14ac:dyDescent="0.25">
      <c r="A11574" s="786" t="s">
        <v>20763</v>
      </c>
      <c r="B11574" s="787">
        <v>4</v>
      </c>
      <c r="C11574" s="787" t="s">
        <v>20764</v>
      </c>
      <c r="D11574" s="787">
        <v>0</v>
      </c>
      <c r="E11574" s="787">
        <v>0</v>
      </c>
      <c r="H11574" s="787">
        <v>1</v>
      </c>
      <c r="L11574" s="787">
        <v>0</v>
      </c>
      <c r="M11574" s="787">
        <v>10</v>
      </c>
      <c r="N11574" s="787">
        <v>90.85</v>
      </c>
      <c r="O11574" s="788">
        <v>42127</v>
      </c>
    </row>
    <row r="11575" spans="1:15" x14ac:dyDescent="0.25">
      <c r="A11575" s="786" t="s">
        <v>20765</v>
      </c>
      <c r="B11575" s="787">
        <v>4</v>
      </c>
      <c r="C11575" s="787" t="s">
        <v>20766</v>
      </c>
      <c r="D11575" s="787">
        <v>0</v>
      </c>
      <c r="E11575" s="787">
        <v>0</v>
      </c>
      <c r="H11575" s="787">
        <v>1</v>
      </c>
      <c r="L11575" s="787">
        <v>0</v>
      </c>
      <c r="M11575" s="787">
        <v>10</v>
      </c>
      <c r="N11575" s="787">
        <v>0</v>
      </c>
      <c r="O11575" s="788">
        <v>40824</v>
      </c>
    </row>
    <row r="11576" spans="1:15" x14ac:dyDescent="0.25">
      <c r="A11576" s="786" t="s">
        <v>20767</v>
      </c>
      <c r="B11576" s="787">
        <v>4</v>
      </c>
      <c r="C11576" s="787" t="s">
        <v>20768</v>
      </c>
      <c r="D11576" s="787">
        <v>4.1399999999999997</v>
      </c>
      <c r="E11576" s="787">
        <v>192.06</v>
      </c>
      <c r="F11576" s="788">
        <v>41389</v>
      </c>
      <c r="G11576" s="788">
        <v>41775</v>
      </c>
      <c r="H11576" s="787">
        <v>1</v>
      </c>
      <c r="I11576" s="788">
        <v>41694</v>
      </c>
      <c r="J11576" s="788">
        <v>41596</v>
      </c>
      <c r="K11576" s="788">
        <v>41239</v>
      </c>
      <c r="L11576" s="787">
        <v>93.67</v>
      </c>
      <c r="M11576" s="787">
        <v>10</v>
      </c>
      <c r="N11576" s="787">
        <v>78.25</v>
      </c>
      <c r="O11576" s="788">
        <v>41949</v>
      </c>
    </row>
    <row r="11577" spans="1:15" x14ac:dyDescent="0.25">
      <c r="A11577" s="786" t="s">
        <v>20769</v>
      </c>
      <c r="B11577" s="787">
        <v>4</v>
      </c>
      <c r="C11577" s="787" t="s">
        <v>20770</v>
      </c>
      <c r="D11577" s="787">
        <v>6.82</v>
      </c>
      <c r="E11577" s="787">
        <v>6.82</v>
      </c>
      <c r="F11577" s="788">
        <v>41886</v>
      </c>
      <c r="G11577" s="788">
        <v>42013</v>
      </c>
      <c r="H11577" s="787">
        <v>1</v>
      </c>
      <c r="I11577" s="788">
        <v>42163</v>
      </c>
      <c r="J11577" s="788">
        <v>41884</v>
      </c>
      <c r="K11577" s="788">
        <v>41514</v>
      </c>
      <c r="L11577" s="787">
        <v>6.8</v>
      </c>
      <c r="M11577" s="787">
        <v>20</v>
      </c>
      <c r="N11577" s="787">
        <v>7.31</v>
      </c>
      <c r="O11577" s="788">
        <v>42127</v>
      </c>
    </row>
    <row r="11578" spans="1:15" x14ac:dyDescent="0.25">
      <c r="A11578" s="786" t="s">
        <v>20771</v>
      </c>
      <c r="B11578" s="787">
        <v>4</v>
      </c>
      <c r="C11578" s="787" t="s">
        <v>20772</v>
      </c>
      <c r="D11578" s="787">
        <v>7.82</v>
      </c>
      <c r="E11578" s="787">
        <v>7.83</v>
      </c>
      <c r="F11578" s="788">
        <v>41886</v>
      </c>
      <c r="G11578" s="788">
        <v>42153</v>
      </c>
      <c r="H11578" s="787">
        <v>1</v>
      </c>
      <c r="I11578" s="788">
        <v>42163</v>
      </c>
      <c r="J11578" s="788">
        <v>42153</v>
      </c>
      <c r="L11578" s="787">
        <v>7.8</v>
      </c>
      <c r="M11578" s="787">
        <v>20</v>
      </c>
      <c r="N11578" s="787">
        <v>8.39</v>
      </c>
      <c r="O11578" s="788">
        <v>42127</v>
      </c>
    </row>
    <row r="11579" spans="1:15" x14ac:dyDescent="0.25">
      <c r="A11579" s="786" t="s">
        <v>20773</v>
      </c>
      <c r="B11579" s="787">
        <v>4</v>
      </c>
      <c r="C11579" s="787" t="s">
        <v>20774</v>
      </c>
      <c r="D11579" s="787">
        <v>7.83</v>
      </c>
      <c r="E11579" s="787">
        <v>7.86</v>
      </c>
      <c r="F11579" s="788">
        <v>41549</v>
      </c>
      <c r="G11579" s="788">
        <v>42143</v>
      </c>
      <c r="H11579" s="787">
        <v>1</v>
      </c>
      <c r="I11579" s="788">
        <v>42163</v>
      </c>
      <c r="J11579" s="788">
        <v>42124</v>
      </c>
      <c r="L11579" s="787">
        <v>7.8</v>
      </c>
      <c r="M11579" s="787">
        <v>20</v>
      </c>
      <c r="N11579" s="787">
        <v>8.39</v>
      </c>
      <c r="O11579" s="788">
        <v>42127</v>
      </c>
    </row>
    <row r="11580" spans="1:15" x14ac:dyDescent="0.25">
      <c r="A11580" s="786" t="s">
        <v>20775</v>
      </c>
      <c r="B11580" s="787">
        <v>4</v>
      </c>
      <c r="C11580" s="787" t="s">
        <v>20776</v>
      </c>
      <c r="D11580" s="787">
        <v>5.42</v>
      </c>
      <c r="E11580" s="787">
        <v>38.299999999999997</v>
      </c>
      <c r="F11580" s="788">
        <v>41549</v>
      </c>
      <c r="G11580" s="788">
        <v>42086</v>
      </c>
      <c r="H11580" s="787">
        <v>1</v>
      </c>
      <c r="I11580" s="788">
        <v>42110</v>
      </c>
      <c r="J11580" s="788">
        <v>42066</v>
      </c>
      <c r="L11580" s="787">
        <v>35.299999999999997</v>
      </c>
      <c r="M11580" s="787">
        <v>20</v>
      </c>
      <c r="N11580" s="787">
        <v>37.950000000000003</v>
      </c>
      <c r="O11580" s="788">
        <v>42127</v>
      </c>
    </row>
    <row r="11581" spans="1:15" x14ac:dyDescent="0.25">
      <c r="A11581" s="786" t="s">
        <v>20777</v>
      </c>
      <c r="B11581" s="787">
        <v>4</v>
      </c>
      <c r="C11581" s="787" t="s">
        <v>20778</v>
      </c>
      <c r="D11581" s="787">
        <v>7.11</v>
      </c>
      <c r="E11581" s="787">
        <v>117.47</v>
      </c>
      <c r="F11581" s="788">
        <v>41775</v>
      </c>
      <c r="G11581" s="788">
        <v>41806</v>
      </c>
      <c r="H11581" s="787">
        <v>1</v>
      </c>
      <c r="I11581" s="788">
        <v>41745</v>
      </c>
      <c r="J11581" s="788">
        <v>41737</v>
      </c>
      <c r="L11581" s="787">
        <v>1</v>
      </c>
      <c r="M11581" s="787">
        <v>10</v>
      </c>
      <c r="N11581" s="787">
        <v>135.85</v>
      </c>
      <c r="O11581" s="788">
        <v>41949</v>
      </c>
    </row>
    <row r="11582" spans="1:15" x14ac:dyDescent="0.25">
      <c r="A11582" s="786" t="s">
        <v>20779</v>
      </c>
      <c r="B11582" s="787">
        <v>4</v>
      </c>
      <c r="C11582" s="787" t="s">
        <v>20780</v>
      </c>
      <c r="D11582" s="787">
        <v>0</v>
      </c>
      <c r="E11582" s="787">
        <v>0</v>
      </c>
      <c r="H11582" s="787">
        <v>1</v>
      </c>
      <c r="K11582" s="788">
        <v>41599</v>
      </c>
      <c r="L11582" s="787">
        <v>87.73</v>
      </c>
      <c r="M11582" s="787">
        <v>10</v>
      </c>
      <c r="N11582" s="787">
        <v>130.55000000000001</v>
      </c>
      <c r="O11582" s="788">
        <v>42127</v>
      </c>
    </row>
    <row r="11583" spans="1:15" x14ac:dyDescent="0.25">
      <c r="A11583" s="786" t="s">
        <v>20781</v>
      </c>
      <c r="B11583" s="787">
        <v>4</v>
      </c>
      <c r="C11583" s="787" t="s">
        <v>20782</v>
      </c>
      <c r="D11583" s="787">
        <v>0</v>
      </c>
      <c r="E11583" s="787">
        <v>0</v>
      </c>
      <c r="H11583" s="787">
        <v>1</v>
      </c>
      <c r="L11583" s="787">
        <v>1</v>
      </c>
      <c r="M11583" s="787">
        <v>10</v>
      </c>
      <c r="N11583" s="787">
        <v>0</v>
      </c>
    </row>
    <row r="11584" spans="1:15" x14ac:dyDescent="0.25">
      <c r="A11584" s="786" t="s">
        <v>20781</v>
      </c>
      <c r="B11584" s="787">
        <v>4</v>
      </c>
      <c r="C11584" s="787" t="s">
        <v>20782</v>
      </c>
      <c r="D11584" s="787">
        <v>0</v>
      </c>
      <c r="E11584" s="787">
        <v>0</v>
      </c>
      <c r="H11584" s="787">
        <v>1</v>
      </c>
      <c r="L11584" s="787">
        <v>1</v>
      </c>
      <c r="M11584" s="787">
        <v>10</v>
      </c>
      <c r="N11584" s="787">
        <v>0</v>
      </c>
    </row>
    <row r="11585" spans="1:14" x14ac:dyDescent="0.25">
      <c r="A11585" s="786" t="s">
        <v>20781</v>
      </c>
      <c r="B11585" s="787">
        <v>4</v>
      </c>
      <c r="C11585" s="787" t="s">
        <v>20782</v>
      </c>
      <c r="D11585" s="787">
        <v>0</v>
      </c>
      <c r="E11585" s="787">
        <v>0</v>
      </c>
      <c r="H11585" s="787">
        <v>1</v>
      </c>
      <c r="L11585" s="787">
        <v>1</v>
      </c>
      <c r="M11585" s="787">
        <v>10</v>
      </c>
      <c r="N11585" s="787">
        <v>0</v>
      </c>
    </row>
    <row r="11586" spans="1:14" x14ac:dyDescent="0.25">
      <c r="A11586" s="786" t="s">
        <v>20781</v>
      </c>
      <c r="B11586" s="787">
        <v>4</v>
      </c>
      <c r="C11586" s="787" t="s">
        <v>20782</v>
      </c>
      <c r="D11586" s="787">
        <v>0</v>
      </c>
      <c r="E11586" s="787">
        <v>0</v>
      </c>
      <c r="H11586" s="787">
        <v>1</v>
      </c>
      <c r="L11586" s="787">
        <v>1</v>
      </c>
      <c r="M11586" s="787">
        <v>10</v>
      </c>
      <c r="N11586" s="787">
        <v>0</v>
      </c>
    </row>
    <row r="11587" spans="1:14" x14ac:dyDescent="0.25">
      <c r="A11587" s="786" t="s">
        <v>20781</v>
      </c>
      <c r="B11587" s="787">
        <v>4</v>
      </c>
      <c r="C11587" s="787" t="s">
        <v>20782</v>
      </c>
      <c r="D11587" s="787">
        <v>0</v>
      </c>
      <c r="E11587" s="787">
        <v>0</v>
      </c>
      <c r="H11587" s="787">
        <v>1</v>
      </c>
      <c r="L11587" s="787">
        <v>1</v>
      </c>
      <c r="M11587" s="787">
        <v>10</v>
      </c>
      <c r="N11587" s="787">
        <v>0</v>
      </c>
    </row>
    <row r="11588" spans="1:14" x14ac:dyDescent="0.25">
      <c r="A11588" s="786" t="s">
        <v>20781</v>
      </c>
      <c r="B11588" s="787">
        <v>4</v>
      </c>
      <c r="C11588" s="787" t="s">
        <v>20782</v>
      </c>
      <c r="D11588" s="787">
        <v>0</v>
      </c>
      <c r="E11588" s="787">
        <v>0</v>
      </c>
      <c r="H11588" s="787">
        <v>1</v>
      </c>
      <c r="L11588" s="787">
        <v>1</v>
      </c>
      <c r="M11588" s="787">
        <v>10</v>
      </c>
      <c r="N11588" s="787">
        <v>0</v>
      </c>
    </row>
    <row r="11589" spans="1:14" x14ac:dyDescent="0.25">
      <c r="A11589" s="786" t="s">
        <v>20781</v>
      </c>
      <c r="B11589" s="787">
        <v>4</v>
      </c>
      <c r="C11589" s="787" t="s">
        <v>20782</v>
      </c>
      <c r="D11589" s="787">
        <v>0</v>
      </c>
      <c r="E11589" s="787">
        <v>0</v>
      </c>
      <c r="H11589" s="787">
        <v>1</v>
      </c>
      <c r="L11589" s="787">
        <v>1</v>
      </c>
      <c r="M11589" s="787">
        <v>10</v>
      </c>
      <c r="N11589" s="787">
        <v>0</v>
      </c>
    </row>
    <row r="11590" spans="1:14" x14ac:dyDescent="0.25">
      <c r="A11590" s="786" t="s">
        <v>20781</v>
      </c>
      <c r="B11590" s="787">
        <v>4</v>
      </c>
      <c r="C11590" s="787" t="s">
        <v>20782</v>
      </c>
      <c r="D11590" s="787">
        <v>0</v>
      </c>
      <c r="E11590" s="787">
        <v>0</v>
      </c>
      <c r="H11590" s="787">
        <v>1</v>
      </c>
      <c r="L11590" s="787">
        <v>1</v>
      </c>
      <c r="M11590" s="787">
        <v>10</v>
      </c>
      <c r="N11590" s="787">
        <v>0</v>
      </c>
    </row>
    <row r="11591" spans="1:14" x14ac:dyDescent="0.25">
      <c r="A11591" s="786" t="s">
        <v>20781</v>
      </c>
      <c r="B11591" s="787">
        <v>4</v>
      </c>
      <c r="C11591" s="787" t="s">
        <v>20782</v>
      </c>
      <c r="D11591" s="787">
        <v>0</v>
      </c>
      <c r="E11591" s="787">
        <v>0</v>
      </c>
      <c r="H11591" s="787">
        <v>1</v>
      </c>
      <c r="L11591" s="787">
        <v>1</v>
      </c>
      <c r="M11591" s="787">
        <v>10</v>
      </c>
      <c r="N11591" s="787">
        <v>0</v>
      </c>
    </row>
    <row r="11592" spans="1:14" x14ac:dyDescent="0.25">
      <c r="A11592" s="786" t="s">
        <v>20781</v>
      </c>
      <c r="B11592" s="787">
        <v>4</v>
      </c>
      <c r="C11592" s="787" t="s">
        <v>20782</v>
      </c>
      <c r="D11592" s="787">
        <v>0</v>
      </c>
      <c r="E11592" s="787">
        <v>0</v>
      </c>
      <c r="H11592" s="787">
        <v>1</v>
      </c>
      <c r="L11592" s="787">
        <v>1</v>
      </c>
      <c r="M11592" s="787">
        <v>10</v>
      </c>
      <c r="N11592" s="787">
        <v>0</v>
      </c>
    </row>
    <row r="11593" spans="1:14" x14ac:dyDescent="0.25">
      <c r="A11593" s="786" t="s">
        <v>20781</v>
      </c>
      <c r="B11593" s="787">
        <v>4</v>
      </c>
      <c r="C11593" s="787" t="s">
        <v>20782</v>
      </c>
      <c r="D11593" s="787">
        <v>0</v>
      </c>
      <c r="E11593" s="787">
        <v>0</v>
      </c>
      <c r="H11593" s="787">
        <v>1</v>
      </c>
      <c r="L11593" s="787">
        <v>1</v>
      </c>
      <c r="M11593" s="787">
        <v>10</v>
      </c>
      <c r="N11593" s="787">
        <v>0</v>
      </c>
    </row>
    <row r="11594" spans="1:14" x14ac:dyDescent="0.25">
      <c r="A11594" s="786" t="s">
        <v>20781</v>
      </c>
      <c r="B11594" s="787">
        <v>4</v>
      </c>
      <c r="C11594" s="787" t="s">
        <v>20782</v>
      </c>
      <c r="D11594" s="787">
        <v>0</v>
      </c>
      <c r="E11594" s="787">
        <v>0</v>
      </c>
      <c r="H11594" s="787">
        <v>1</v>
      </c>
      <c r="L11594" s="787">
        <v>1</v>
      </c>
      <c r="M11594" s="787">
        <v>10</v>
      </c>
      <c r="N11594" s="787">
        <v>0</v>
      </c>
    </row>
    <row r="11595" spans="1:14" x14ac:dyDescent="0.25">
      <c r="A11595" s="786" t="s">
        <v>20781</v>
      </c>
      <c r="B11595" s="787">
        <v>4</v>
      </c>
      <c r="C11595" s="787" t="s">
        <v>20782</v>
      </c>
      <c r="D11595" s="787">
        <v>0</v>
      </c>
      <c r="E11595" s="787">
        <v>0</v>
      </c>
      <c r="H11595" s="787">
        <v>1</v>
      </c>
      <c r="L11595" s="787">
        <v>1</v>
      </c>
      <c r="M11595" s="787">
        <v>10</v>
      </c>
      <c r="N11595" s="787">
        <v>0</v>
      </c>
    </row>
    <row r="11596" spans="1:14" x14ac:dyDescent="0.25">
      <c r="A11596" s="786" t="s">
        <v>20781</v>
      </c>
      <c r="B11596" s="787">
        <v>4</v>
      </c>
      <c r="C11596" s="787" t="s">
        <v>20782</v>
      </c>
      <c r="D11596" s="787">
        <v>0</v>
      </c>
      <c r="E11596" s="787">
        <v>0</v>
      </c>
      <c r="H11596" s="787">
        <v>1</v>
      </c>
      <c r="L11596" s="787">
        <v>1</v>
      </c>
      <c r="M11596" s="787">
        <v>10</v>
      </c>
      <c r="N11596" s="787">
        <v>0</v>
      </c>
    </row>
    <row r="11597" spans="1:14" x14ac:dyDescent="0.25">
      <c r="A11597" s="786" t="s">
        <v>20781</v>
      </c>
      <c r="B11597" s="787">
        <v>4</v>
      </c>
      <c r="C11597" s="787" t="s">
        <v>20782</v>
      </c>
      <c r="D11597" s="787">
        <v>0</v>
      </c>
      <c r="E11597" s="787">
        <v>0</v>
      </c>
      <c r="H11597" s="787">
        <v>1</v>
      </c>
      <c r="L11597" s="787">
        <v>1</v>
      </c>
      <c r="M11597" s="787">
        <v>10</v>
      </c>
      <c r="N11597" s="787">
        <v>0</v>
      </c>
    </row>
    <row r="11598" spans="1:14" x14ac:dyDescent="0.25">
      <c r="A11598" s="786" t="s">
        <v>20781</v>
      </c>
      <c r="B11598" s="787">
        <v>4</v>
      </c>
      <c r="C11598" s="787" t="s">
        <v>20782</v>
      </c>
      <c r="D11598" s="787">
        <v>0</v>
      </c>
      <c r="E11598" s="787">
        <v>0</v>
      </c>
      <c r="H11598" s="787">
        <v>1</v>
      </c>
      <c r="L11598" s="787">
        <v>1</v>
      </c>
      <c r="M11598" s="787">
        <v>10</v>
      </c>
      <c r="N11598" s="787">
        <v>0</v>
      </c>
    </row>
    <row r="11599" spans="1:14" x14ac:dyDescent="0.25">
      <c r="A11599" s="786" t="s">
        <v>20781</v>
      </c>
      <c r="B11599" s="787">
        <v>4</v>
      </c>
      <c r="C11599" s="787" t="s">
        <v>20782</v>
      </c>
      <c r="D11599" s="787">
        <v>0</v>
      </c>
      <c r="E11599" s="787">
        <v>0</v>
      </c>
      <c r="H11599" s="787">
        <v>1</v>
      </c>
      <c r="L11599" s="787">
        <v>1</v>
      </c>
      <c r="M11599" s="787">
        <v>10</v>
      </c>
      <c r="N11599" s="787">
        <v>0</v>
      </c>
    </row>
    <row r="11600" spans="1:14" x14ac:dyDescent="0.25">
      <c r="A11600" s="786" t="s">
        <v>20781</v>
      </c>
      <c r="B11600" s="787">
        <v>4</v>
      </c>
      <c r="C11600" s="787" t="s">
        <v>20782</v>
      </c>
      <c r="D11600" s="787">
        <v>0</v>
      </c>
      <c r="E11600" s="787">
        <v>0</v>
      </c>
      <c r="H11600" s="787">
        <v>1</v>
      </c>
      <c r="L11600" s="787">
        <v>1</v>
      </c>
      <c r="M11600" s="787">
        <v>10</v>
      </c>
      <c r="N11600" s="787">
        <v>0</v>
      </c>
    </row>
    <row r="11601" spans="1:14" x14ac:dyDescent="0.25">
      <c r="A11601" s="786" t="s">
        <v>20781</v>
      </c>
      <c r="B11601" s="787">
        <v>4</v>
      </c>
      <c r="C11601" s="787" t="s">
        <v>20782</v>
      </c>
      <c r="D11601" s="787">
        <v>0</v>
      </c>
      <c r="E11601" s="787">
        <v>0</v>
      </c>
      <c r="H11601" s="787">
        <v>1</v>
      </c>
      <c r="L11601" s="787">
        <v>1</v>
      </c>
      <c r="M11601" s="787">
        <v>10</v>
      </c>
      <c r="N11601" s="787">
        <v>0</v>
      </c>
    </row>
    <row r="11602" spans="1:14" x14ac:dyDescent="0.25">
      <c r="A11602" s="786" t="s">
        <v>20781</v>
      </c>
      <c r="B11602" s="787">
        <v>4</v>
      </c>
      <c r="C11602" s="787" t="s">
        <v>20782</v>
      </c>
      <c r="D11602" s="787">
        <v>0</v>
      </c>
      <c r="E11602" s="787">
        <v>0</v>
      </c>
      <c r="H11602" s="787">
        <v>1</v>
      </c>
      <c r="L11602" s="787">
        <v>1</v>
      </c>
      <c r="M11602" s="787">
        <v>10</v>
      </c>
      <c r="N11602" s="787">
        <v>0</v>
      </c>
    </row>
    <row r="11603" spans="1:14" x14ac:dyDescent="0.25">
      <c r="A11603" s="786" t="s">
        <v>20781</v>
      </c>
      <c r="B11603" s="787">
        <v>4</v>
      </c>
      <c r="C11603" s="787" t="s">
        <v>20782</v>
      </c>
      <c r="D11603" s="787">
        <v>0</v>
      </c>
      <c r="E11603" s="787">
        <v>0</v>
      </c>
      <c r="H11603" s="787">
        <v>1</v>
      </c>
      <c r="L11603" s="787">
        <v>1</v>
      </c>
      <c r="M11603" s="787">
        <v>10</v>
      </c>
      <c r="N11603" s="787">
        <v>0</v>
      </c>
    </row>
    <row r="11604" spans="1:14" x14ac:dyDescent="0.25">
      <c r="A11604" s="786" t="s">
        <v>20781</v>
      </c>
      <c r="B11604" s="787">
        <v>4</v>
      </c>
      <c r="C11604" s="787" t="s">
        <v>20782</v>
      </c>
      <c r="D11604" s="787">
        <v>0</v>
      </c>
      <c r="E11604" s="787">
        <v>0</v>
      </c>
      <c r="H11604" s="787">
        <v>1</v>
      </c>
      <c r="L11604" s="787">
        <v>1</v>
      </c>
      <c r="M11604" s="787">
        <v>10</v>
      </c>
      <c r="N11604" s="787">
        <v>0</v>
      </c>
    </row>
    <row r="11605" spans="1:14" x14ac:dyDescent="0.25">
      <c r="A11605" s="786" t="s">
        <v>20781</v>
      </c>
      <c r="B11605" s="787">
        <v>4</v>
      </c>
      <c r="C11605" s="787" t="s">
        <v>20782</v>
      </c>
      <c r="D11605" s="787">
        <v>0</v>
      </c>
      <c r="E11605" s="787">
        <v>0</v>
      </c>
      <c r="H11605" s="787">
        <v>1</v>
      </c>
      <c r="L11605" s="787">
        <v>1</v>
      </c>
      <c r="M11605" s="787">
        <v>10</v>
      </c>
      <c r="N11605" s="787">
        <v>0</v>
      </c>
    </row>
    <row r="11606" spans="1:14" x14ac:dyDescent="0.25">
      <c r="A11606" s="786" t="s">
        <v>20781</v>
      </c>
      <c r="B11606" s="787">
        <v>4</v>
      </c>
      <c r="C11606" s="787" t="s">
        <v>20782</v>
      </c>
      <c r="D11606" s="787">
        <v>0</v>
      </c>
      <c r="E11606" s="787">
        <v>0</v>
      </c>
      <c r="H11606" s="787">
        <v>1</v>
      </c>
      <c r="L11606" s="787">
        <v>1</v>
      </c>
      <c r="M11606" s="787">
        <v>10</v>
      </c>
      <c r="N11606" s="787">
        <v>0</v>
      </c>
    </row>
    <row r="11607" spans="1:14" x14ac:dyDescent="0.25">
      <c r="A11607" s="786" t="s">
        <v>20781</v>
      </c>
      <c r="B11607" s="787">
        <v>4</v>
      </c>
      <c r="C11607" s="787" t="s">
        <v>20782</v>
      </c>
      <c r="D11607" s="787">
        <v>0</v>
      </c>
      <c r="E11607" s="787">
        <v>0</v>
      </c>
      <c r="H11607" s="787">
        <v>1</v>
      </c>
      <c r="L11607" s="787">
        <v>1</v>
      </c>
      <c r="M11607" s="787">
        <v>10</v>
      </c>
      <c r="N11607" s="787">
        <v>0</v>
      </c>
    </row>
    <row r="11608" spans="1:14" x14ac:dyDescent="0.25">
      <c r="A11608" s="786" t="s">
        <v>20781</v>
      </c>
      <c r="B11608" s="787">
        <v>4</v>
      </c>
      <c r="C11608" s="787" t="s">
        <v>20782</v>
      </c>
      <c r="D11608" s="787">
        <v>0</v>
      </c>
      <c r="E11608" s="787">
        <v>0</v>
      </c>
      <c r="H11608" s="787">
        <v>1</v>
      </c>
      <c r="L11608" s="787">
        <v>1</v>
      </c>
      <c r="M11608" s="787">
        <v>10</v>
      </c>
      <c r="N11608" s="787">
        <v>0</v>
      </c>
    </row>
    <row r="11609" spans="1:14" x14ac:dyDescent="0.25">
      <c r="A11609" s="786" t="s">
        <v>20781</v>
      </c>
      <c r="B11609" s="787">
        <v>4</v>
      </c>
      <c r="C11609" s="787" t="s">
        <v>20782</v>
      </c>
      <c r="D11609" s="787">
        <v>0</v>
      </c>
      <c r="E11609" s="787">
        <v>0</v>
      </c>
      <c r="H11609" s="787">
        <v>1</v>
      </c>
      <c r="L11609" s="787">
        <v>1</v>
      </c>
      <c r="M11609" s="787">
        <v>10</v>
      </c>
      <c r="N11609" s="787">
        <v>0</v>
      </c>
    </row>
    <row r="11610" spans="1:14" x14ac:dyDescent="0.25">
      <c r="A11610" s="786" t="s">
        <v>20781</v>
      </c>
      <c r="B11610" s="787">
        <v>4</v>
      </c>
      <c r="C11610" s="787" t="s">
        <v>20782</v>
      </c>
      <c r="D11610" s="787">
        <v>0</v>
      </c>
      <c r="E11610" s="787">
        <v>0</v>
      </c>
      <c r="H11610" s="787">
        <v>1</v>
      </c>
      <c r="L11610" s="787">
        <v>1</v>
      </c>
      <c r="M11610" s="787">
        <v>10</v>
      </c>
      <c r="N11610" s="787">
        <v>0</v>
      </c>
    </row>
    <row r="11611" spans="1:14" x14ac:dyDescent="0.25">
      <c r="A11611" s="786" t="s">
        <v>20781</v>
      </c>
      <c r="B11611" s="787">
        <v>4</v>
      </c>
      <c r="C11611" s="787" t="s">
        <v>20782</v>
      </c>
      <c r="D11611" s="787">
        <v>0</v>
      </c>
      <c r="E11611" s="787">
        <v>0</v>
      </c>
      <c r="H11611" s="787">
        <v>1</v>
      </c>
      <c r="L11611" s="787">
        <v>1</v>
      </c>
      <c r="M11611" s="787">
        <v>10</v>
      </c>
      <c r="N11611" s="787">
        <v>0</v>
      </c>
    </row>
    <row r="11612" spans="1:14" x14ac:dyDescent="0.25">
      <c r="A11612" s="786" t="s">
        <v>20781</v>
      </c>
      <c r="B11612" s="787">
        <v>4</v>
      </c>
      <c r="C11612" s="787" t="s">
        <v>20782</v>
      </c>
      <c r="D11612" s="787">
        <v>0</v>
      </c>
      <c r="E11612" s="787">
        <v>0</v>
      </c>
      <c r="H11612" s="787">
        <v>1</v>
      </c>
      <c r="L11612" s="787">
        <v>1</v>
      </c>
      <c r="M11612" s="787">
        <v>10</v>
      </c>
      <c r="N11612" s="787">
        <v>0</v>
      </c>
    </row>
    <row r="11613" spans="1:14" x14ac:dyDescent="0.25">
      <c r="A11613" s="786" t="s">
        <v>20781</v>
      </c>
      <c r="B11613" s="787">
        <v>4</v>
      </c>
      <c r="C11613" s="787" t="s">
        <v>20782</v>
      </c>
      <c r="D11613" s="787">
        <v>0</v>
      </c>
      <c r="E11613" s="787">
        <v>0</v>
      </c>
      <c r="H11613" s="787">
        <v>1</v>
      </c>
      <c r="L11613" s="787">
        <v>1</v>
      </c>
      <c r="M11613" s="787">
        <v>10</v>
      </c>
      <c r="N11613" s="787">
        <v>0</v>
      </c>
    </row>
    <row r="11614" spans="1:14" x14ac:dyDescent="0.25">
      <c r="A11614" s="786" t="s">
        <v>20781</v>
      </c>
      <c r="B11614" s="787">
        <v>4</v>
      </c>
      <c r="C11614" s="787" t="s">
        <v>20782</v>
      </c>
      <c r="D11614" s="787">
        <v>0</v>
      </c>
      <c r="E11614" s="787">
        <v>0</v>
      </c>
      <c r="H11614" s="787">
        <v>1</v>
      </c>
      <c r="L11614" s="787">
        <v>1</v>
      </c>
      <c r="M11614" s="787">
        <v>10</v>
      </c>
      <c r="N11614" s="787">
        <v>0</v>
      </c>
    </row>
    <row r="11615" spans="1:14" x14ac:dyDescent="0.25">
      <c r="A11615" s="786" t="s">
        <v>20781</v>
      </c>
      <c r="B11615" s="787">
        <v>4</v>
      </c>
      <c r="C11615" s="787" t="s">
        <v>20782</v>
      </c>
      <c r="D11615" s="787">
        <v>0</v>
      </c>
      <c r="E11615" s="787">
        <v>0</v>
      </c>
      <c r="H11615" s="787">
        <v>1</v>
      </c>
      <c r="L11615" s="787">
        <v>1</v>
      </c>
      <c r="M11615" s="787">
        <v>10</v>
      </c>
      <c r="N11615" s="787">
        <v>0</v>
      </c>
    </row>
    <row r="11616" spans="1:14" x14ac:dyDescent="0.25">
      <c r="A11616" s="786" t="s">
        <v>20781</v>
      </c>
      <c r="B11616" s="787">
        <v>4</v>
      </c>
      <c r="C11616" s="787" t="s">
        <v>20782</v>
      </c>
      <c r="D11616" s="787">
        <v>0</v>
      </c>
      <c r="E11616" s="787">
        <v>0</v>
      </c>
      <c r="H11616" s="787">
        <v>1</v>
      </c>
      <c r="L11616" s="787">
        <v>1</v>
      </c>
      <c r="M11616" s="787">
        <v>10</v>
      </c>
      <c r="N11616" s="787">
        <v>0</v>
      </c>
    </row>
    <row r="11617" spans="1:15" x14ac:dyDescent="0.25">
      <c r="A11617" s="786" t="s">
        <v>20781</v>
      </c>
      <c r="B11617" s="787">
        <v>4</v>
      </c>
      <c r="C11617" s="787" t="s">
        <v>20782</v>
      </c>
      <c r="D11617" s="787">
        <v>0</v>
      </c>
      <c r="E11617" s="787">
        <v>0</v>
      </c>
      <c r="H11617" s="787">
        <v>1</v>
      </c>
      <c r="L11617" s="787">
        <v>1</v>
      </c>
      <c r="M11617" s="787">
        <v>10</v>
      </c>
      <c r="N11617" s="787">
        <v>0</v>
      </c>
    </row>
    <row r="11618" spans="1:15" x14ac:dyDescent="0.25">
      <c r="A11618" s="786" t="s">
        <v>20781</v>
      </c>
      <c r="B11618" s="787">
        <v>4</v>
      </c>
      <c r="C11618" s="787" t="s">
        <v>20782</v>
      </c>
      <c r="D11618" s="787">
        <v>0</v>
      </c>
      <c r="E11618" s="787">
        <v>0</v>
      </c>
      <c r="H11618" s="787">
        <v>1</v>
      </c>
      <c r="L11618" s="787">
        <v>1</v>
      </c>
      <c r="M11618" s="787">
        <v>10</v>
      </c>
      <c r="N11618" s="787">
        <v>0</v>
      </c>
    </row>
    <row r="11619" spans="1:15" x14ac:dyDescent="0.25">
      <c r="A11619" s="786" t="s">
        <v>20781</v>
      </c>
      <c r="B11619" s="787">
        <v>4</v>
      </c>
      <c r="C11619" s="787" t="s">
        <v>20782</v>
      </c>
      <c r="D11619" s="787">
        <v>0</v>
      </c>
      <c r="E11619" s="787">
        <v>0</v>
      </c>
      <c r="H11619" s="787">
        <v>1</v>
      </c>
      <c r="L11619" s="787">
        <v>1</v>
      </c>
      <c r="M11619" s="787">
        <v>10</v>
      </c>
      <c r="N11619" s="787">
        <v>0</v>
      </c>
    </row>
    <row r="11620" spans="1:15" x14ac:dyDescent="0.25">
      <c r="A11620" s="786" t="s">
        <v>20781</v>
      </c>
      <c r="B11620" s="787">
        <v>4</v>
      </c>
      <c r="C11620" s="787" t="s">
        <v>20782</v>
      </c>
      <c r="D11620" s="787">
        <v>0</v>
      </c>
      <c r="E11620" s="787">
        <v>0</v>
      </c>
      <c r="H11620" s="787">
        <v>1</v>
      </c>
      <c r="L11620" s="787">
        <v>1</v>
      </c>
      <c r="M11620" s="787">
        <v>10</v>
      </c>
      <c r="N11620" s="787">
        <v>0</v>
      </c>
    </row>
    <row r="11621" spans="1:15" x14ac:dyDescent="0.25">
      <c r="A11621" s="786" t="s">
        <v>20781</v>
      </c>
      <c r="B11621" s="787">
        <v>4</v>
      </c>
      <c r="C11621" s="787" t="s">
        <v>20782</v>
      </c>
      <c r="D11621" s="787">
        <v>0</v>
      </c>
      <c r="E11621" s="787">
        <v>0</v>
      </c>
      <c r="H11621" s="787">
        <v>1</v>
      </c>
      <c r="L11621" s="787">
        <v>1</v>
      </c>
      <c r="M11621" s="787">
        <v>10</v>
      </c>
      <c r="N11621" s="787">
        <v>0</v>
      </c>
    </row>
    <row r="11622" spans="1:15" x14ac:dyDescent="0.25">
      <c r="A11622" s="786" t="s">
        <v>20781</v>
      </c>
      <c r="B11622" s="787">
        <v>4</v>
      </c>
      <c r="C11622" s="787" t="s">
        <v>20782</v>
      </c>
      <c r="D11622" s="787">
        <v>0</v>
      </c>
      <c r="E11622" s="787">
        <v>0</v>
      </c>
      <c r="H11622" s="787">
        <v>1</v>
      </c>
      <c r="L11622" s="787">
        <v>1</v>
      </c>
      <c r="M11622" s="787">
        <v>10</v>
      </c>
      <c r="N11622" s="787">
        <v>0</v>
      </c>
    </row>
    <row r="11623" spans="1:15" x14ac:dyDescent="0.25">
      <c r="A11623" s="786" t="s">
        <v>20781</v>
      </c>
      <c r="B11623" s="787">
        <v>4</v>
      </c>
      <c r="C11623" s="787" t="s">
        <v>20782</v>
      </c>
      <c r="D11623" s="787">
        <v>0</v>
      </c>
      <c r="E11623" s="787">
        <v>0</v>
      </c>
      <c r="H11623" s="787">
        <v>1</v>
      </c>
      <c r="L11623" s="787">
        <v>1</v>
      </c>
      <c r="M11623" s="787">
        <v>10</v>
      </c>
      <c r="N11623" s="787">
        <v>0</v>
      </c>
    </row>
    <row r="11624" spans="1:15" x14ac:dyDescent="0.25">
      <c r="A11624" s="786" t="s">
        <v>20781</v>
      </c>
      <c r="B11624" s="787">
        <v>4</v>
      </c>
      <c r="C11624" s="787" t="s">
        <v>20782</v>
      </c>
      <c r="D11624" s="787">
        <v>0</v>
      </c>
      <c r="E11624" s="787">
        <v>0</v>
      </c>
      <c r="H11624" s="787">
        <v>1</v>
      </c>
      <c r="L11624" s="787">
        <v>1</v>
      </c>
      <c r="M11624" s="787">
        <v>10</v>
      </c>
      <c r="N11624" s="787">
        <v>0</v>
      </c>
    </row>
    <row r="11625" spans="1:15" x14ac:dyDescent="0.25">
      <c r="A11625" s="786" t="s">
        <v>20781</v>
      </c>
      <c r="B11625" s="787">
        <v>4</v>
      </c>
      <c r="C11625" s="787" t="s">
        <v>20782</v>
      </c>
      <c r="D11625" s="787">
        <v>0</v>
      </c>
      <c r="E11625" s="787">
        <v>0</v>
      </c>
      <c r="H11625" s="787">
        <v>1</v>
      </c>
      <c r="L11625" s="787">
        <v>1</v>
      </c>
      <c r="M11625" s="787">
        <v>10</v>
      </c>
      <c r="N11625" s="787">
        <v>0</v>
      </c>
    </row>
    <row r="11626" spans="1:15" x14ac:dyDescent="0.25">
      <c r="A11626" s="786" t="s">
        <v>20781</v>
      </c>
      <c r="B11626" s="787">
        <v>4</v>
      </c>
      <c r="C11626" s="787" t="s">
        <v>20782</v>
      </c>
      <c r="D11626" s="787">
        <v>0</v>
      </c>
      <c r="E11626" s="787">
        <v>0</v>
      </c>
      <c r="H11626" s="787">
        <v>1</v>
      </c>
      <c r="L11626" s="787">
        <v>1</v>
      </c>
      <c r="M11626" s="787">
        <v>10</v>
      </c>
      <c r="N11626" s="787">
        <v>0</v>
      </c>
    </row>
    <row r="11627" spans="1:15" x14ac:dyDescent="0.25">
      <c r="A11627" s="786" t="s">
        <v>20783</v>
      </c>
      <c r="B11627" s="787">
        <v>4</v>
      </c>
      <c r="C11627" s="787" t="s">
        <v>20784</v>
      </c>
      <c r="D11627" s="787">
        <v>5.16</v>
      </c>
      <c r="E11627" s="787">
        <v>5.16</v>
      </c>
      <c r="F11627" s="788">
        <v>41780</v>
      </c>
      <c r="G11627" s="788">
        <v>42013</v>
      </c>
      <c r="H11627" s="787">
        <v>1</v>
      </c>
      <c r="I11627" s="788">
        <v>42116</v>
      </c>
      <c r="J11627" s="788">
        <v>41782</v>
      </c>
      <c r="K11627" s="788">
        <v>41617</v>
      </c>
      <c r="L11627" s="787">
        <v>5.0999999999999996</v>
      </c>
      <c r="M11627" s="787">
        <v>20</v>
      </c>
      <c r="N11627" s="787">
        <v>5.48</v>
      </c>
      <c r="O11627" s="788">
        <v>42127</v>
      </c>
    </row>
    <row r="11628" spans="1:15" x14ac:dyDescent="0.25">
      <c r="A11628" s="786" t="s">
        <v>20785</v>
      </c>
      <c r="B11628" s="787">
        <v>4</v>
      </c>
      <c r="C11628" s="787" t="s">
        <v>20786</v>
      </c>
      <c r="D11628" s="787">
        <v>8.58</v>
      </c>
      <c r="E11628" s="787">
        <v>8.58</v>
      </c>
      <c r="F11628" s="788">
        <v>41673</v>
      </c>
      <c r="G11628" s="788">
        <v>41697</v>
      </c>
      <c r="H11628" s="787">
        <v>1</v>
      </c>
      <c r="I11628" s="788">
        <v>41682</v>
      </c>
      <c r="J11628" s="788">
        <v>41680</v>
      </c>
      <c r="K11628" s="788">
        <v>41660</v>
      </c>
      <c r="L11628" s="787">
        <v>7.8</v>
      </c>
      <c r="M11628" s="787">
        <v>20</v>
      </c>
      <c r="N11628" s="787">
        <v>8.39</v>
      </c>
      <c r="O11628" s="788">
        <v>41858</v>
      </c>
    </row>
    <row r="11629" spans="1:15" x14ac:dyDescent="0.25">
      <c r="A11629" s="786" t="s">
        <v>20787</v>
      </c>
      <c r="B11629" s="787">
        <v>4</v>
      </c>
      <c r="C11629" s="787" t="s">
        <v>20788</v>
      </c>
      <c r="D11629" s="787">
        <v>8.58</v>
      </c>
      <c r="E11629" s="787">
        <v>8.58</v>
      </c>
      <c r="F11629" s="788">
        <v>41673</v>
      </c>
      <c r="G11629" s="788">
        <v>41697</v>
      </c>
      <c r="H11629" s="787">
        <v>1</v>
      </c>
      <c r="I11629" s="788">
        <v>41682</v>
      </c>
      <c r="J11629" s="788">
        <v>41680</v>
      </c>
      <c r="K11629" s="788">
        <v>41660</v>
      </c>
      <c r="L11629" s="787">
        <v>7.8</v>
      </c>
      <c r="M11629" s="787">
        <v>20</v>
      </c>
      <c r="N11629" s="787">
        <v>8.39</v>
      </c>
      <c r="O11629" s="788">
        <v>41858</v>
      </c>
    </row>
    <row r="11630" spans="1:15" x14ac:dyDescent="0.25">
      <c r="A11630" s="786" t="s">
        <v>20789</v>
      </c>
      <c r="B11630" s="787">
        <v>4</v>
      </c>
      <c r="C11630" s="787" t="s">
        <v>20790</v>
      </c>
      <c r="D11630" s="787">
        <v>1.45</v>
      </c>
      <c r="E11630" s="787">
        <v>1.45</v>
      </c>
      <c r="F11630" s="788">
        <v>41800</v>
      </c>
      <c r="G11630" s="788">
        <v>41800</v>
      </c>
      <c r="H11630" s="787">
        <v>1</v>
      </c>
      <c r="I11630" s="788">
        <v>41709</v>
      </c>
      <c r="J11630" s="788">
        <v>41800</v>
      </c>
      <c r="K11630" s="788">
        <v>41660</v>
      </c>
      <c r="L11630" s="787">
        <v>1.45</v>
      </c>
      <c r="M11630" s="787">
        <v>20</v>
      </c>
      <c r="N11630" s="787">
        <v>1.56</v>
      </c>
      <c r="O11630" s="788">
        <v>41858</v>
      </c>
    </row>
    <row r="11631" spans="1:15" x14ac:dyDescent="0.25">
      <c r="A11631" s="786" t="s">
        <v>20791</v>
      </c>
      <c r="B11631" s="787">
        <v>4</v>
      </c>
      <c r="C11631" s="787" t="s">
        <v>20792</v>
      </c>
      <c r="D11631" s="787">
        <v>2.2000000000000002</v>
      </c>
      <c r="E11631" s="787">
        <v>52.2</v>
      </c>
      <c r="F11631" s="788">
        <v>41843</v>
      </c>
      <c r="G11631" s="788">
        <v>41739</v>
      </c>
      <c r="H11631" s="787">
        <v>6</v>
      </c>
      <c r="I11631" s="788">
        <v>41960</v>
      </c>
      <c r="J11631" s="788">
        <v>41843</v>
      </c>
      <c r="L11631" s="787">
        <v>52.2</v>
      </c>
      <c r="M11631" s="787">
        <v>20</v>
      </c>
      <c r="N11631" s="787">
        <v>56.12</v>
      </c>
      <c r="O11631" s="788">
        <v>41858</v>
      </c>
    </row>
    <row r="11632" spans="1:15" x14ac:dyDescent="0.25">
      <c r="A11632" s="786" t="s">
        <v>20793</v>
      </c>
      <c r="B11632" s="787">
        <v>4</v>
      </c>
      <c r="C11632" s="787" t="s">
        <v>20794</v>
      </c>
      <c r="D11632" s="787">
        <v>9.9499999999999993</v>
      </c>
      <c r="E11632" s="787">
        <v>9.9499999999999993</v>
      </c>
      <c r="F11632" s="788">
        <v>41739</v>
      </c>
      <c r="G11632" s="788">
        <v>41751</v>
      </c>
      <c r="H11632" s="787">
        <v>6</v>
      </c>
      <c r="I11632" s="788">
        <v>41960</v>
      </c>
      <c r="J11632" s="788">
        <v>41738</v>
      </c>
      <c r="L11632" s="787">
        <v>9.3000000000000007</v>
      </c>
      <c r="M11632" s="787">
        <v>20</v>
      </c>
      <c r="N11632" s="787">
        <v>10</v>
      </c>
      <c r="O11632" s="788">
        <v>41858</v>
      </c>
    </row>
    <row r="11633" spans="1:15" x14ac:dyDescent="0.25">
      <c r="A11633" s="786" t="s">
        <v>20795</v>
      </c>
      <c r="B11633" s="787">
        <v>4</v>
      </c>
      <c r="C11633" s="787" t="s">
        <v>20796</v>
      </c>
      <c r="D11633" s="787">
        <v>1.91</v>
      </c>
      <c r="E11633" s="787">
        <v>82.1</v>
      </c>
      <c r="F11633" s="788">
        <v>41708</v>
      </c>
      <c r="G11633" s="788">
        <v>41942</v>
      </c>
      <c r="H11633" s="787">
        <v>1</v>
      </c>
      <c r="I11633" s="788">
        <v>41932</v>
      </c>
      <c r="J11633" s="788">
        <v>41929</v>
      </c>
      <c r="K11633" s="788">
        <v>41864</v>
      </c>
      <c r="L11633" s="787">
        <v>76.400000000000006</v>
      </c>
      <c r="M11633" s="787">
        <v>20</v>
      </c>
      <c r="N11633" s="787">
        <v>8.39</v>
      </c>
      <c r="O11633" s="788">
        <v>41858</v>
      </c>
    </row>
    <row r="11634" spans="1:15" x14ac:dyDescent="0.25">
      <c r="A11634" s="786" t="s">
        <v>20797</v>
      </c>
      <c r="B11634" s="787">
        <v>4</v>
      </c>
      <c r="C11634" s="787" t="s">
        <v>20798</v>
      </c>
      <c r="D11634" s="787">
        <v>4.6500000000000004</v>
      </c>
      <c r="E11634" s="787">
        <v>4.6500000000000004</v>
      </c>
      <c r="F11634" s="788">
        <v>41939</v>
      </c>
      <c r="G11634" s="788">
        <v>42013</v>
      </c>
      <c r="H11634" s="787">
        <v>1</v>
      </c>
      <c r="I11634" s="788">
        <v>42145</v>
      </c>
      <c r="J11634" s="788">
        <v>41936</v>
      </c>
      <c r="K11634" s="788">
        <v>41919</v>
      </c>
      <c r="L11634" s="787">
        <v>4.62</v>
      </c>
      <c r="M11634" s="787">
        <v>20</v>
      </c>
      <c r="N11634" s="787">
        <v>4.97</v>
      </c>
      <c r="O11634" s="788">
        <v>42127</v>
      </c>
    </row>
    <row r="11635" spans="1:15" x14ac:dyDescent="0.25">
      <c r="A11635" s="786" t="s">
        <v>20799</v>
      </c>
      <c r="B11635" s="787">
        <v>4</v>
      </c>
      <c r="C11635" s="787" t="s">
        <v>20800</v>
      </c>
      <c r="D11635" s="787">
        <v>2.2400000000000002</v>
      </c>
      <c r="E11635" s="787">
        <v>12.24</v>
      </c>
      <c r="F11635" s="788">
        <v>41939</v>
      </c>
      <c r="G11635" s="788">
        <v>42013</v>
      </c>
      <c r="H11635" s="787">
        <v>1</v>
      </c>
      <c r="I11635" s="788">
        <v>42145</v>
      </c>
      <c r="J11635" s="788">
        <v>41936</v>
      </c>
      <c r="K11635" s="788">
        <v>41919</v>
      </c>
      <c r="L11635" s="787">
        <v>12.15</v>
      </c>
      <c r="M11635" s="787">
        <v>20</v>
      </c>
      <c r="N11635" s="787">
        <v>13.06</v>
      </c>
      <c r="O11635" s="788">
        <v>42127</v>
      </c>
    </row>
    <row r="11636" spans="1:15" x14ac:dyDescent="0.25">
      <c r="A11636" s="786" t="s">
        <v>20801</v>
      </c>
      <c r="B11636" s="787">
        <v>4</v>
      </c>
      <c r="C11636" s="787" t="s">
        <v>20802</v>
      </c>
      <c r="D11636" s="787">
        <v>5.17</v>
      </c>
      <c r="E11636" s="787">
        <v>5.17</v>
      </c>
      <c r="F11636" s="788">
        <v>41939</v>
      </c>
      <c r="G11636" s="788">
        <v>42013</v>
      </c>
      <c r="H11636" s="787">
        <v>1</v>
      </c>
      <c r="I11636" s="788">
        <v>42145</v>
      </c>
      <c r="J11636" s="788">
        <v>41936</v>
      </c>
      <c r="K11636" s="788">
        <v>41919</v>
      </c>
      <c r="L11636" s="787">
        <v>5.13</v>
      </c>
      <c r="M11636" s="787">
        <v>20</v>
      </c>
      <c r="N11636" s="787">
        <v>5.51</v>
      </c>
      <c r="O11636" s="788">
        <v>42127</v>
      </c>
    </row>
    <row r="11637" spans="1:15" x14ac:dyDescent="0.25">
      <c r="A11637" s="786" t="s">
        <v>20803</v>
      </c>
      <c r="B11637" s="787">
        <v>4</v>
      </c>
      <c r="C11637" s="787" t="s">
        <v>20804</v>
      </c>
      <c r="D11637" s="787">
        <v>0.4</v>
      </c>
      <c r="E11637" s="787">
        <v>30.4</v>
      </c>
      <c r="F11637" s="788">
        <v>41939</v>
      </c>
      <c r="G11637" s="788">
        <v>42013</v>
      </c>
      <c r="H11637" s="787">
        <v>1</v>
      </c>
      <c r="I11637" s="788">
        <v>42145</v>
      </c>
      <c r="J11637" s="788">
        <v>41936</v>
      </c>
      <c r="K11637" s="788">
        <v>41919</v>
      </c>
      <c r="L11637" s="787">
        <v>30.18</v>
      </c>
      <c r="M11637" s="787">
        <v>20</v>
      </c>
      <c r="N11637" s="787">
        <v>32.44</v>
      </c>
      <c r="O11637" s="788">
        <v>42127</v>
      </c>
    </row>
    <row r="11638" spans="1:15" x14ac:dyDescent="0.25">
      <c r="A11638" s="786" t="s">
        <v>20805</v>
      </c>
      <c r="B11638" s="787">
        <v>4</v>
      </c>
      <c r="C11638" s="787" t="s">
        <v>20806</v>
      </c>
      <c r="D11638" s="787">
        <v>0</v>
      </c>
      <c r="E11638" s="787">
        <v>0</v>
      </c>
      <c r="H11638" s="787">
        <v>1</v>
      </c>
      <c r="L11638" s="787">
        <v>100</v>
      </c>
      <c r="M11638" s="787">
        <v>10</v>
      </c>
      <c r="N11638" s="787">
        <v>0</v>
      </c>
    </row>
    <row r="11639" spans="1:15" x14ac:dyDescent="0.25">
      <c r="A11639" s="786" t="s">
        <v>20807</v>
      </c>
      <c r="B11639" s="787">
        <v>4</v>
      </c>
      <c r="C11639" s="787" t="s">
        <v>20808</v>
      </c>
      <c r="D11639" s="787">
        <v>0</v>
      </c>
      <c r="E11639" s="787">
        <v>0</v>
      </c>
      <c r="H11639" s="787">
        <v>1</v>
      </c>
      <c r="K11639" s="788">
        <v>41996</v>
      </c>
      <c r="L11639" s="787">
        <v>99.87</v>
      </c>
      <c r="M11639" s="787">
        <v>10</v>
      </c>
      <c r="N11639" s="787">
        <v>99.87</v>
      </c>
      <c r="O11639" s="788">
        <v>41996</v>
      </c>
    </row>
    <row r="11640" spans="1:15" x14ac:dyDescent="0.25">
      <c r="A11640" s="786" t="s">
        <v>20809</v>
      </c>
      <c r="B11640" s="787">
        <v>4</v>
      </c>
      <c r="C11640" s="787" t="s">
        <v>20810</v>
      </c>
      <c r="D11640" s="787">
        <v>5.66</v>
      </c>
      <c r="E11640" s="787">
        <v>5.66</v>
      </c>
      <c r="F11640" s="788">
        <v>41820</v>
      </c>
      <c r="G11640" s="788">
        <v>41837</v>
      </c>
      <c r="H11640" s="787">
        <v>1</v>
      </c>
      <c r="J11640" s="788">
        <v>41820</v>
      </c>
      <c r="K11640" s="788">
        <v>41781</v>
      </c>
      <c r="L11640" s="787">
        <v>5.16</v>
      </c>
      <c r="M11640" s="787">
        <v>20</v>
      </c>
      <c r="N11640" s="787">
        <v>5.55</v>
      </c>
      <c r="O11640" s="788">
        <v>41858</v>
      </c>
    </row>
    <row r="11641" spans="1:15" x14ac:dyDescent="0.25">
      <c r="A11641" s="786" t="s">
        <v>20811</v>
      </c>
      <c r="B11641" s="787">
        <v>4</v>
      </c>
      <c r="C11641" s="787" t="s">
        <v>20812</v>
      </c>
      <c r="D11641" s="787">
        <v>8.44</v>
      </c>
      <c r="E11641" s="787">
        <v>8.44</v>
      </c>
      <c r="F11641" s="788">
        <v>41824</v>
      </c>
      <c r="G11641" s="788">
        <v>41837</v>
      </c>
      <c r="H11641" s="787">
        <v>1</v>
      </c>
      <c r="J11641" s="788">
        <v>41823</v>
      </c>
      <c r="K11641" s="788">
        <v>41781</v>
      </c>
      <c r="L11641" s="787">
        <v>8.2899999999999991</v>
      </c>
      <c r="M11641" s="787">
        <v>20</v>
      </c>
      <c r="N11641" s="787">
        <v>8.91</v>
      </c>
      <c r="O11641" s="788">
        <v>41858</v>
      </c>
    </row>
    <row r="11642" spans="1:15" x14ac:dyDescent="0.25">
      <c r="A11642" s="786" t="s">
        <v>20813</v>
      </c>
      <c r="B11642" s="787">
        <v>4</v>
      </c>
      <c r="C11642" s="787" t="s">
        <v>20814</v>
      </c>
      <c r="D11642" s="787">
        <v>4.63</v>
      </c>
      <c r="E11642" s="787">
        <v>25.36</v>
      </c>
      <c r="F11642" s="788">
        <v>39856</v>
      </c>
      <c r="G11642" s="788">
        <v>42135</v>
      </c>
      <c r="H11642" s="787">
        <v>1</v>
      </c>
      <c r="I11642" s="788">
        <v>42163</v>
      </c>
      <c r="J11642" s="788">
        <v>42115</v>
      </c>
      <c r="L11642" s="787">
        <v>26.75</v>
      </c>
      <c r="M11642" s="787">
        <v>20</v>
      </c>
      <c r="N11642" s="787">
        <v>28.76</v>
      </c>
      <c r="O11642" s="788">
        <v>42163</v>
      </c>
    </row>
    <row r="11643" spans="1:15" x14ac:dyDescent="0.25">
      <c r="A11643" s="786" t="s">
        <v>20815</v>
      </c>
      <c r="B11643" s="787">
        <v>4</v>
      </c>
      <c r="C11643" s="787" t="s">
        <v>20816</v>
      </c>
      <c r="D11643" s="787">
        <v>2.5</v>
      </c>
      <c r="E11643" s="787">
        <v>2.67</v>
      </c>
      <c r="F11643" s="788">
        <v>40078</v>
      </c>
      <c r="G11643" s="788">
        <v>42030</v>
      </c>
      <c r="H11643" s="787">
        <v>1</v>
      </c>
      <c r="I11643" s="788">
        <v>42163</v>
      </c>
      <c r="J11643" s="788">
        <v>42025</v>
      </c>
      <c r="L11643" s="787">
        <v>2.73</v>
      </c>
      <c r="M11643" s="787">
        <v>20</v>
      </c>
      <c r="N11643" s="787">
        <v>2.93</v>
      </c>
      <c r="O11643" s="788">
        <v>42163</v>
      </c>
    </row>
    <row r="11644" spans="1:15" x14ac:dyDescent="0.25">
      <c r="A11644" s="786" t="s">
        <v>20817</v>
      </c>
      <c r="B11644" s="787">
        <v>4</v>
      </c>
      <c r="C11644" s="787" t="s">
        <v>20818</v>
      </c>
      <c r="D11644" s="787">
        <v>7.05</v>
      </c>
      <c r="E11644" s="787">
        <v>7.37</v>
      </c>
      <c r="F11644" s="788">
        <v>40348</v>
      </c>
      <c r="G11644" s="788">
        <v>42093</v>
      </c>
      <c r="H11644" s="787">
        <v>1</v>
      </c>
      <c r="I11644" s="788">
        <v>42163</v>
      </c>
      <c r="J11644" s="788">
        <v>42087</v>
      </c>
      <c r="L11644" s="787">
        <v>8.27</v>
      </c>
      <c r="M11644" s="787">
        <v>20</v>
      </c>
      <c r="N11644" s="787">
        <v>8.89</v>
      </c>
      <c r="O11644" s="788">
        <v>42163</v>
      </c>
    </row>
    <row r="11645" spans="1:15" x14ac:dyDescent="0.25">
      <c r="A11645" s="786" t="s">
        <v>20819</v>
      </c>
      <c r="B11645" s="787">
        <v>4</v>
      </c>
      <c r="C11645" s="787" t="s">
        <v>20820</v>
      </c>
      <c r="D11645" s="787">
        <v>5.42</v>
      </c>
      <c r="E11645" s="787">
        <v>5.52</v>
      </c>
      <c r="F11645" s="788">
        <v>39856</v>
      </c>
      <c r="G11645" s="788">
        <v>42013</v>
      </c>
      <c r="H11645" s="787">
        <v>1</v>
      </c>
      <c r="I11645" s="788">
        <v>42163</v>
      </c>
      <c r="J11645" s="788">
        <v>41456</v>
      </c>
      <c r="L11645" s="787">
        <v>6.01</v>
      </c>
      <c r="M11645" s="787">
        <v>20</v>
      </c>
      <c r="N11645" s="787">
        <v>6.46</v>
      </c>
      <c r="O11645" s="788">
        <v>42163</v>
      </c>
    </row>
    <row r="11646" spans="1:15" x14ac:dyDescent="0.25">
      <c r="A11646" s="786" t="s">
        <v>20821</v>
      </c>
      <c r="B11646" s="787">
        <v>4</v>
      </c>
      <c r="C11646" s="787" t="s">
        <v>20822</v>
      </c>
      <c r="D11646" s="787">
        <v>0.01</v>
      </c>
      <c r="E11646" s="787">
        <v>54.34</v>
      </c>
      <c r="F11646" s="788">
        <v>40338</v>
      </c>
      <c r="G11646" s="788">
        <v>42024</v>
      </c>
      <c r="H11646" s="787">
        <v>1</v>
      </c>
      <c r="I11646" s="788">
        <v>42132</v>
      </c>
      <c r="J11646" s="788">
        <v>42024</v>
      </c>
      <c r="L11646" s="787">
        <v>59.47</v>
      </c>
      <c r="M11646" s="787">
        <v>20</v>
      </c>
      <c r="N11646" s="787">
        <v>63.93</v>
      </c>
      <c r="O11646" s="788">
        <v>42164</v>
      </c>
    </row>
    <row r="11647" spans="1:15" x14ac:dyDescent="0.25">
      <c r="A11647" s="786" t="s">
        <v>20823</v>
      </c>
      <c r="B11647" s="787">
        <v>4</v>
      </c>
      <c r="C11647" s="787" t="s">
        <v>20824</v>
      </c>
      <c r="D11647" s="787">
        <v>2.02</v>
      </c>
      <c r="E11647" s="787">
        <v>12.74</v>
      </c>
      <c r="F11647" s="788">
        <v>37643</v>
      </c>
      <c r="G11647" s="788">
        <v>37704</v>
      </c>
      <c r="H11647" s="787">
        <v>1</v>
      </c>
      <c r="I11647" s="788">
        <v>39126</v>
      </c>
      <c r="J11647" s="788">
        <v>37670</v>
      </c>
      <c r="L11647" s="787">
        <v>13.89</v>
      </c>
      <c r="M11647" s="787">
        <v>20</v>
      </c>
      <c r="N11647" s="787">
        <v>14.93</v>
      </c>
      <c r="O11647" s="788">
        <v>41858</v>
      </c>
    </row>
    <row r="11648" spans="1:15" x14ac:dyDescent="0.25">
      <c r="A11648" s="786" t="s">
        <v>20825</v>
      </c>
      <c r="B11648" s="787">
        <v>4</v>
      </c>
      <c r="C11648" s="787" t="s">
        <v>20826</v>
      </c>
      <c r="D11648" s="787">
        <v>4.82</v>
      </c>
      <c r="E11648" s="787">
        <v>38.4</v>
      </c>
      <c r="F11648" s="788">
        <v>39101</v>
      </c>
      <c r="G11648" s="788">
        <v>41715</v>
      </c>
      <c r="H11648" s="787">
        <v>1</v>
      </c>
      <c r="I11648" s="788">
        <v>42110</v>
      </c>
      <c r="J11648" s="788">
        <v>41715</v>
      </c>
      <c r="K11648" s="788">
        <v>41198</v>
      </c>
      <c r="L11648" s="787">
        <v>38.4</v>
      </c>
      <c r="M11648" s="787">
        <v>20</v>
      </c>
      <c r="N11648" s="787">
        <v>41.28</v>
      </c>
      <c r="O11648" s="788">
        <v>42163</v>
      </c>
    </row>
    <row r="11649" spans="1:15" x14ac:dyDescent="0.25">
      <c r="A11649" s="786" t="s">
        <v>20827</v>
      </c>
      <c r="B11649" s="787">
        <v>4</v>
      </c>
      <c r="C11649" s="787" t="s">
        <v>20828</v>
      </c>
      <c r="D11649" s="787">
        <v>5.27</v>
      </c>
      <c r="E11649" s="787">
        <v>15.27</v>
      </c>
      <c r="F11649" s="788">
        <v>41472</v>
      </c>
      <c r="G11649" s="788">
        <v>41513</v>
      </c>
      <c r="H11649" s="787">
        <v>1</v>
      </c>
      <c r="I11649" s="788">
        <v>41445</v>
      </c>
      <c r="J11649" s="788">
        <v>41548</v>
      </c>
      <c r="K11649" s="788">
        <v>41442</v>
      </c>
      <c r="L11649" s="787">
        <v>14.32</v>
      </c>
      <c r="M11649" s="787">
        <v>20</v>
      </c>
      <c r="N11649" s="787">
        <v>15.39</v>
      </c>
      <c r="O11649" s="788">
        <v>41858</v>
      </c>
    </row>
    <row r="11650" spans="1:15" x14ac:dyDescent="0.25">
      <c r="A11650" s="786" t="s">
        <v>20829</v>
      </c>
      <c r="B11650" s="787">
        <v>4</v>
      </c>
      <c r="C11650" s="787" t="s">
        <v>20830</v>
      </c>
      <c r="D11650" s="787">
        <v>7.2</v>
      </c>
      <c r="E11650" s="787">
        <v>7.2</v>
      </c>
      <c r="F11650" s="788">
        <v>41472</v>
      </c>
      <c r="G11650" s="788">
        <v>41513</v>
      </c>
      <c r="H11650" s="787">
        <v>1</v>
      </c>
      <c r="I11650" s="788">
        <v>41445</v>
      </c>
      <c r="J11650" s="788">
        <v>41578</v>
      </c>
      <c r="K11650" s="788">
        <v>41442</v>
      </c>
      <c r="L11650" s="787">
        <v>6.75</v>
      </c>
      <c r="M11650" s="787">
        <v>20</v>
      </c>
      <c r="N11650" s="787">
        <v>7.26</v>
      </c>
      <c r="O11650" s="788">
        <v>41858</v>
      </c>
    </row>
    <row r="11651" spans="1:15" x14ac:dyDescent="0.25">
      <c r="A11651" s="786" t="s">
        <v>20831</v>
      </c>
      <c r="B11651" s="787">
        <v>4</v>
      </c>
      <c r="C11651" s="787" t="s">
        <v>20832</v>
      </c>
      <c r="D11651" s="787">
        <v>5.49</v>
      </c>
      <c r="E11651" s="787">
        <v>5.49</v>
      </c>
      <c r="F11651" s="788">
        <v>41472</v>
      </c>
      <c r="G11651" s="788">
        <v>41513</v>
      </c>
      <c r="H11651" s="787">
        <v>1</v>
      </c>
      <c r="I11651" s="788">
        <v>41445</v>
      </c>
      <c r="J11651" s="788">
        <v>41578</v>
      </c>
      <c r="K11651" s="788">
        <v>41442</v>
      </c>
      <c r="L11651" s="787">
        <v>5.15</v>
      </c>
      <c r="M11651" s="787">
        <v>20</v>
      </c>
      <c r="N11651" s="787">
        <v>5.54</v>
      </c>
      <c r="O11651" s="788">
        <v>41858</v>
      </c>
    </row>
    <row r="11652" spans="1:15" x14ac:dyDescent="0.25">
      <c r="A11652" s="786" t="s">
        <v>20833</v>
      </c>
      <c r="B11652" s="787">
        <v>4</v>
      </c>
      <c r="C11652" s="787" t="s">
        <v>20834</v>
      </c>
      <c r="D11652" s="787">
        <v>1.4</v>
      </c>
      <c r="E11652" s="787">
        <v>1.58</v>
      </c>
      <c r="F11652" s="788">
        <v>41472</v>
      </c>
      <c r="G11652" s="788">
        <v>41520</v>
      </c>
      <c r="H11652" s="787">
        <v>1</v>
      </c>
      <c r="I11652" s="788">
        <v>41445</v>
      </c>
      <c r="J11652" s="788">
        <v>41491</v>
      </c>
      <c r="K11652" s="788">
        <v>41442</v>
      </c>
      <c r="L11652" s="787">
        <v>1.31</v>
      </c>
      <c r="M11652" s="787">
        <v>20</v>
      </c>
      <c r="N11652" s="787">
        <v>1.41</v>
      </c>
      <c r="O11652" s="788">
        <v>41858</v>
      </c>
    </row>
    <row r="11653" spans="1:15" x14ac:dyDescent="0.25">
      <c r="A11653" s="786" t="s">
        <v>20835</v>
      </c>
      <c r="B11653" s="787">
        <v>4</v>
      </c>
      <c r="C11653" s="787" t="s">
        <v>20836</v>
      </c>
      <c r="D11653" s="787">
        <v>5.27</v>
      </c>
      <c r="E11653" s="787">
        <v>17.23</v>
      </c>
      <c r="F11653" s="788">
        <v>41472</v>
      </c>
      <c r="G11653" s="788">
        <v>41646</v>
      </c>
      <c r="H11653" s="787">
        <v>1</v>
      </c>
      <c r="J11653" s="788">
        <v>41491</v>
      </c>
      <c r="K11653" s="788">
        <v>41466</v>
      </c>
      <c r="L11653" s="787">
        <v>14.32</v>
      </c>
      <c r="M11653" s="787">
        <v>20</v>
      </c>
      <c r="N11653" s="787">
        <v>15.39</v>
      </c>
      <c r="O11653" s="788">
        <v>41858</v>
      </c>
    </row>
    <row r="11654" spans="1:15" x14ac:dyDescent="0.25">
      <c r="A11654" s="786" t="s">
        <v>20837</v>
      </c>
      <c r="B11654" s="787">
        <v>4</v>
      </c>
      <c r="C11654" s="787" t="s">
        <v>20838</v>
      </c>
      <c r="D11654" s="787">
        <v>1.4</v>
      </c>
      <c r="E11654" s="787">
        <v>1.58</v>
      </c>
      <c r="F11654" s="788">
        <v>41472</v>
      </c>
      <c r="G11654" s="788">
        <v>41520</v>
      </c>
      <c r="H11654" s="787">
        <v>1</v>
      </c>
      <c r="J11654" s="788">
        <v>41491</v>
      </c>
      <c r="K11654" s="788">
        <v>41466</v>
      </c>
      <c r="L11654" s="787">
        <v>1.31</v>
      </c>
      <c r="M11654" s="787">
        <v>20</v>
      </c>
      <c r="N11654" s="787">
        <v>1.41</v>
      </c>
      <c r="O11654" s="788">
        <v>41858</v>
      </c>
    </row>
    <row r="11655" spans="1:15" x14ac:dyDescent="0.25">
      <c r="A11655" s="786" t="s">
        <v>20839</v>
      </c>
      <c r="B11655" s="787">
        <v>4</v>
      </c>
      <c r="C11655" s="787" t="s">
        <v>20840</v>
      </c>
      <c r="D11655" s="787">
        <v>6.11</v>
      </c>
      <c r="E11655" s="787">
        <v>6.11</v>
      </c>
      <c r="F11655" s="788">
        <v>41472</v>
      </c>
      <c r="G11655" s="788">
        <v>41764</v>
      </c>
      <c r="H11655" s="787">
        <v>1</v>
      </c>
      <c r="I11655" s="788">
        <v>41743</v>
      </c>
      <c r="J11655" s="788">
        <v>41764</v>
      </c>
      <c r="K11655" s="788">
        <v>41466</v>
      </c>
      <c r="L11655" s="787">
        <v>5.73</v>
      </c>
      <c r="M11655" s="787">
        <v>20</v>
      </c>
      <c r="N11655" s="787">
        <v>6.16</v>
      </c>
      <c r="O11655" s="788">
        <v>41858</v>
      </c>
    </row>
    <row r="11656" spans="1:15" x14ac:dyDescent="0.25">
      <c r="A11656" s="786" t="s">
        <v>20841</v>
      </c>
      <c r="B11656" s="787">
        <v>4</v>
      </c>
      <c r="C11656" s="787" t="s">
        <v>20842</v>
      </c>
      <c r="D11656" s="787">
        <v>0.68</v>
      </c>
      <c r="E11656" s="787">
        <v>10.68</v>
      </c>
      <c r="F11656" s="788">
        <v>41472</v>
      </c>
      <c r="G11656" s="788">
        <v>41513</v>
      </c>
      <c r="H11656" s="787">
        <v>1</v>
      </c>
      <c r="J11656" s="788">
        <v>41470</v>
      </c>
      <c r="K11656" s="788">
        <v>41466</v>
      </c>
      <c r="L11656" s="787">
        <v>10.02</v>
      </c>
      <c r="M11656" s="787">
        <v>20</v>
      </c>
      <c r="N11656" s="787">
        <v>10.77</v>
      </c>
      <c r="O11656" s="788">
        <v>41858</v>
      </c>
    </row>
    <row r="11657" spans="1:15" x14ac:dyDescent="0.25">
      <c r="A11657" s="786" t="s">
        <v>20843</v>
      </c>
      <c r="B11657" s="787">
        <v>4</v>
      </c>
      <c r="C11657" s="787" t="s">
        <v>20844</v>
      </c>
      <c r="D11657" s="787">
        <v>0</v>
      </c>
      <c r="E11657" s="787">
        <v>0</v>
      </c>
      <c r="H11657" s="787">
        <v>1</v>
      </c>
      <c r="I11657" s="788">
        <v>42034</v>
      </c>
      <c r="L11657" s="787">
        <v>20</v>
      </c>
      <c r="M11657" s="787">
        <v>10</v>
      </c>
      <c r="N11657" s="787">
        <v>0</v>
      </c>
    </row>
    <row r="11658" spans="1:15" x14ac:dyDescent="0.25">
      <c r="A11658" s="786" t="s">
        <v>20845</v>
      </c>
      <c r="B11658" s="787">
        <v>4</v>
      </c>
      <c r="C11658" s="787" t="s">
        <v>20846</v>
      </c>
      <c r="D11658" s="787">
        <v>0</v>
      </c>
      <c r="E11658" s="787">
        <v>0</v>
      </c>
      <c r="H11658" s="787">
        <v>1</v>
      </c>
      <c r="L11658" s="787">
        <v>20</v>
      </c>
      <c r="M11658" s="787">
        <v>10</v>
      </c>
      <c r="N11658" s="787">
        <v>0</v>
      </c>
    </row>
    <row r="11659" spans="1:15" x14ac:dyDescent="0.25">
      <c r="A11659" s="786" t="s">
        <v>20847</v>
      </c>
      <c r="B11659" s="787">
        <v>4</v>
      </c>
      <c r="C11659" s="787" t="s">
        <v>20848</v>
      </c>
      <c r="D11659" s="787">
        <v>2.2999999999999998</v>
      </c>
      <c r="E11659" s="787">
        <v>4.28</v>
      </c>
      <c r="F11659" s="788">
        <v>37966</v>
      </c>
      <c r="G11659" s="788">
        <v>42013</v>
      </c>
      <c r="H11659" s="787">
        <v>1</v>
      </c>
      <c r="I11659" s="788">
        <v>42118</v>
      </c>
      <c r="J11659" s="788">
        <v>39468</v>
      </c>
      <c r="K11659" s="788">
        <v>38463</v>
      </c>
      <c r="L11659" s="787">
        <v>2.5099999999999998</v>
      </c>
      <c r="M11659" s="787">
        <v>20</v>
      </c>
      <c r="N11659" s="787">
        <v>2.7</v>
      </c>
      <c r="O11659" s="788">
        <v>42152</v>
      </c>
    </row>
    <row r="11660" spans="1:15" x14ac:dyDescent="0.25">
      <c r="A11660" s="786" t="s">
        <v>20849</v>
      </c>
      <c r="B11660" s="787">
        <v>4</v>
      </c>
      <c r="C11660" s="787" t="s">
        <v>20850</v>
      </c>
      <c r="D11660" s="787">
        <v>4.9800000000000004</v>
      </c>
      <c r="E11660" s="787">
        <v>4.9800000000000004</v>
      </c>
      <c r="F11660" s="788">
        <v>37704</v>
      </c>
      <c r="G11660" s="788">
        <v>38364</v>
      </c>
      <c r="H11660" s="787">
        <v>1</v>
      </c>
      <c r="I11660" s="788">
        <v>41488</v>
      </c>
      <c r="J11660" s="788">
        <v>37684</v>
      </c>
      <c r="L11660" s="787">
        <v>5.43</v>
      </c>
      <c r="M11660" s="787">
        <v>20</v>
      </c>
      <c r="N11660" s="787">
        <v>5.84</v>
      </c>
      <c r="O11660" s="788">
        <v>41858</v>
      </c>
    </row>
    <row r="11661" spans="1:15" x14ac:dyDescent="0.25">
      <c r="A11661" s="786" t="s">
        <v>20851</v>
      </c>
      <c r="B11661" s="787">
        <v>4</v>
      </c>
      <c r="C11661" s="787" t="s">
        <v>20850</v>
      </c>
      <c r="D11661" s="787">
        <v>0</v>
      </c>
      <c r="E11661" s="787">
        <v>0</v>
      </c>
      <c r="G11661" s="788">
        <v>38364</v>
      </c>
      <c r="H11661" s="787">
        <v>1</v>
      </c>
      <c r="I11661" s="788">
        <v>41514</v>
      </c>
      <c r="J11661" s="788">
        <v>37643</v>
      </c>
      <c r="L11661" s="787">
        <v>0</v>
      </c>
      <c r="M11661" s="787">
        <v>20</v>
      </c>
      <c r="N11661" s="787">
        <v>0</v>
      </c>
      <c r="O11661" s="788">
        <v>40824</v>
      </c>
    </row>
    <row r="11662" spans="1:15" x14ac:dyDescent="0.25">
      <c r="A11662" s="786" t="s">
        <v>20852</v>
      </c>
      <c r="B11662" s="787">
        <v>4</v>
      </c>
      <c r="C11662" s="787" t="s">
        <v>20853</v>
      </c>
      <c r="D11662" s="787">
        <v>3.43</v>
      </c>
      <c r="E11662" s="787">
        <v>3.43</v>
      </c>
      <c r="F11662" s="788">
        <v>40672</v>
      </c>
      <c r="G11662" s="788">
        <v>40672</v>
      </c>
      <c r="H11662" s="787">
        <v>6</v>
      </c>
      <c r="I11662" s="788">
        <v>40712</v>
      </c>
      <c r="J11662" s="788">
        <v>40674</v>
      </c>
      <c r="K11662" s="788">
        <v>40668</v>
      </c>
      <c r="L11662" s="787">
        <v>3.14</v>
      </c>
      <c r="M11662" s="787">
        <v>20</v>
      </c>
      <c r="N11662" s="787">
        <v>3.38</v>
      </c>
      <c r="O11662" s="788">
        <v>41858</v>
      </c>
    </row>
    <row r="11663" spans="1:15" x14ac:dyDescent="0.25">
      <c r="A11663" s="786" t="s">
        <v>20854</v>
      </c>
      <c r="B11663" s="787">
        <v>4</v>
      </c>
      <c r="C11663" s="787" t="s">
        <v>20855</v>
      </c>
      <c r="D11663" s="787">
        <v>9</v>
      </c>
      <c r="E11663" s="787">
        <v>29</v>
      </c>
      <c r="F11663" s="788">
        <v>41656</v>
      </c>
      <c r="G11663" s="788">
        <v>41667</v>
      </c>
      <c r="H11663" s="787">
        <v>1</v>
      </c>
      <c r="I11663" s="788">
        <v>41813</v>
      </c>
      <c r="J11663" s="788">
        <v>41659</v>
      </c>
      <c r="K11663" s="788">
        <v>41627</v>
      </c>
      <c r="L11663" s="787">
        <v>25.12</v>
      </c>
      <c r="M11663" s="787">
        <v>20</v>
      </c>
      <c r="N11663" s="787">
        <v>27</v>
      </c>
      <c r="O11663" s="788">
        <v>41858</v>
      </c>
    </row>
    <row r="11664" spans="1:15" x14ac:dyDescent="0.25">
      <c r="A11664" s="786" t="s">
        <v>20856</v>
      </c>
      <c r="B11664" s="787">
        <v>4</v>
      </c>
      <c r="C11664" s="787" t="s">
        <v>13428</v>
      </c>
      <c r="D11664" s="787">
        <v>9.7200000000000006</v>
      </c>
      <c r="E11664" s="787">
        <v>9.7200000000000006</v>
      </c>
      <c r="F11664" s="788">
        <v>41656</v>
      </c>
      <c r="G11664" s="788">
        <v>41667</v>
      </c>
      <c r="H11664" s="787">
        <v>1</v>
      </c>
      <c r="I11664" s="788">
        <v>41813</v>
      </c>
      <c r="J11664" s="788">
        <v>41659</v>
      </c>
      <c r="K11664" s="788">
        <v>41627</v>
      </c>
      <c r="L11664" s="787">
        <v>8.42</v>
      </c>
      <c r="M11664" s="787">
        <v>20</v>
      </c>
      <c r="N11664" s="787">
        <v>9.0500000000000007</v>
      </c>
      <c r="O11664" s="788">
        <v>41858</v>
      </c>
    </row>
    <row r="11665" spans="1:15" x14ac:dyDescent="0.25">
      <c r="A11665" s="786" t="s">
        <v>20857</v>
      </c>
      <c r="B11665" s="787">
        <v>4</v>
      </c>
      <c r="C11665" s="787" t="s">
        <v>20858</v>
      </c>
      <c r="D11665" s="787">
        <v>2.6</v>
      </c>
      <c r="E11665" s="787">
        <v>12.6</v>
      </c>
      <c r="F11665" s="788">
        <v>41656</v>
      </c>
      <c r="G11665" s="788">
        <v>41667</v>
      </c>
      <c r="H11665" s="787">
        <v>1</v>
      </c>
      <c r="I11665" s="788">
        <v>41813</v>
      </c>
      <c r="J11665" s="788">
        <v>41659</v>
      </c>
      <c r="K11665" s="788">
        <v>41627</v>
      </c>
      <c r="L11665" s="787">
        <v>10.92</v>
      </c>
      <c r="M11665" s="787">
        <v>20</v>
      </c>
      <c r="N11665" s="787">
        <v>11.74</v>
      </c>
      <c r="O11665" s="788">
        <v>41858</v>
      </c>
    </row>
    <row r="11666" spans="1:15" x14ac:dyDescent="0.25">
      <c r="A11666" s="786" t="s">
        <v>20859</v>
      </c>
      <c r="B11666" s="787">
        <v>4</v>
      </c>
      <c r="C11666" s="787" t="s">
        <v>20860</v>
      </c>
      <c r="D11666" s="787">
        <v>8.74</v>
      </c>
      <c r="E11666" s="787">
        <v>8.74</v>
      </c>
      <c r="F11666" s="788">
        <v>39101</v>
      </c>
      <c r="G11666" s="788">
        <v>39101</v>
      </c>
      <c r="H11666" s="787">
        <v>1</v>
      </c>
      <c r="I11666" s="788">
        <v>39134</v>
      </c>
      <c r="J11666" s="788">
        <v>39149</v>
      </c>
      <c r="L11666" s="787">
        <v>10.67</v>
      </c>
      <c r="M11666" s="787">
        <v>20</v>
      </c>
      <c r="N11666" s="787">
        <v>11.47</v>
      </c>
      <c r="O11666" s="788">
        <v>41858</v>
      </c>
    </row>
    <row r="11667" spans="1:15" x14ac:dyDescent="0.25">
      <c r="A11667" s="786" t="s">
        <v>20861</v>
      </c>
      <c r="B11667" s="787">
        <v>4</v>
      </c>
      <c r="C11667" s="787" t="s">
        <v>20862</v>
      </c>
      <c r="D11667" s="787">
        <v>4.07</v>
      </c>
      <c r="E11667" s="787">
        <v>4.07</v>
      </c>
      <c r="F11667" s="788">
        <v>38449</v>
      </c>
      <c r="G11667" s="788">
        <v>38449</v>
      </c>
      <c r="H11667" s="787">
        <v>3</v>
      </c>
      <c r="I11667" s="788">
        <v>40626</v>
      </c>
      <c r="J11667" s="788">
        <v>38427</v>
      </c>
      <c r="L11667" s="787">
        <v>4.97</v>
      </c>
      <c r="M11667" s="787">
        <v>20</v>
      </c>
      <c r="N11667" s="787">
        <v>5.34</v>
      </c>
      <c r="O11667" s="788">
        <v>42144</v>
      </c>
    </row>
    <row r="11668" spans="1:15" x14ac:dyDescent="0.25">
      <c r="A11668" s="786" t="s">
        <v>20863</v>
      </c>
      <c r="B11668" s="787">
        <v>4</v>
      </c>
      <c r="C11668" s="787" t="s">
        <v>20864</v>
      </c>
      <c r="D11668" s="787">
        <v>4.55</v>
      </c>
      <c r="E11668" s="787">
        <v>4.9000000000000004</v>
      </c>
      <c r="F11668" s="788">
        <v>39101</v>
      </c>
      <c r="G11668" s="788">
        <v>39101</v>
      </c>
      <c r="H11668" s="787">
        <v>1</v>
      </c>
      <c r="I11668" s="788">
        <v>40626</v>
      </c>
      <c r="J11668" s="788">
        <v>39149</v>
      </c>
      <c r="L11668" s="787">
        <v>5.98</v>
      </c>
      <c r="M11668" s="787">
        <v>20</v>
      </c>
      <c r="N11668" s="787">
        <v>6.43</v>
      </c>
      <c r="O11668" s="788">
        <v>42162</v>
      </c>
    </row>
    <row r="11669" spans="1:15" x14ac:dyDescent="0.25">
      <c r="A11669" s="786" t="s">
        <v>20865</v>
      </c>
      <c r="B11669" s="787">
        <v>4</v>
      </c>
      <c r="C11669" s="787" t="s">
        <v>20866</v>
      </c>
      <c r="D11669" s="787">
        <v>3.73</v>
      </c>
      <c r="E11669" s="787">
        <v>3.73</v>
      </c>
      <c r="F11669" s="788">
        <v>37648</v>
      </c>
      <c r="G11669" s="788">
        <v>37648</v>
      </c>
      <c r="H11669" s="787">
        <v>1</v>
      </c>
      <c r="I11669" s="788">
        <v>38644</v>
      </c>
      <c r="J11669" s="788">
        <v>37648</v>
      </c>
      <c r="L11669" s="787">
        <v>4.68</v>
      </c>
      <c r="M11669" s="787">
        <v>20</v>
      </c>
      <c r="N11669" s="787">
        <v>5.03</v>
      </c>
      <c r="O11669" s="788">
        <v>41858</v>
      </c>
    </row>
    <row r="11670" spans="1:15" x14ac:dyDescent="0.25">
      <c r="A11670" s="786" t="s">
        <v>20867</v>
      </c>
      <c r="B11670" s="787">
        <v>4</v>
      </c>
      <c r="C11670" s="787" t="s">
        <v>20868</v>
      </c>
      <c r="D11670" s="787">
        <v>6.35</v>
      </c>
      <c r="E11670" s="787">
        <v>16.350000000000001</v>
      </c>
      <c r="F11670" s="788">
        <v>37648</v>
      </c>
      <c r="G11670" s="788">
        <v>38736</v>
      </c>
      <c r="H11670" s="787">
        <v>3</v>
      </c>
      <c r="I11670" s="788">
        <v>40032</v>
      </c>
      <c r="J11670" s="788">
        <v>37648</v>
      </c>
      <c r="L11670" s="787">
        <v>19.96</v>
      </c>
      <c r="M11670" s="787">
        <v>20</v>
      </c>
      <c r="N11670" s="787">
        <v>21.46</v>
      </c>
      <c r="O11670" s="788">
        <v>42127</v>
      </c>
    </row>
    <row r="11671" spans="1:15" x14ac:dyDescent="0.25">
      <c r="A11671" s="786" t="s">
        <v>20869</v>
      </c>
      <c r="B11671" s="787">
        <v>4</v>
      </c>
      <c r="C11671" s="787" t="s">
        <v>20870</v>
      </c>
      <c r="D11671" s="787">
        <v>0.74</v>
      </c>
      <c r="E11671" s="787">
        <v>10.74</v>
      </c>
      <c r="F11671" s="788">
        <v>37648</v>
      </c>
      <c r="G11671" s="788">
        <v>38736</v>
      </c>
      <c r="H11671" s="787">
        <v>3</v>
      </c>
      <c r="I11671" s="788">
        <v>38905</v>
      </c>
      <c r="J11671" s="788">
        <v>37648</v>
      </c>
      <c r="L11671" s="787">
        <v>13.11</v>
      </c>
      <c r="M11671" s="787">
        <v>20</v>
      </c>
      <c r="N11671" s="787">
        <v>14.09</v>
      </c>
      <c r="O11671" s="788">
        <v>41858</v>
      </c>
    </row>
    <row r="11672" spans="1:15" x14ac:dyDescent="0.25">
      <c r="A11672" s="786" t="s">
        <v>20871</v>
      </c>
      <c r="B11672" s="787">
        <v>4</v>
      </c>
      <c r="C11672" s="787" t="s">
        <v>20872</v>
      </c>
      <c r="D11672" s="787">
        <v>2.02</v>
      </c>
      <c r="E11672" s="787">
        <v>12.02</v>
      </c>
      <c r="F11672" s="788">
        <v>38047</v>
      </c>
      <c r="G11672" s="788">
        <v>38736</v>
      </c>
      <c r="H11672" s="787">
        <v>6</v>
      </c>
      <c r="I11672" s="788">
        <v>39031</v>
      </c>
      <c r="J11672" s="788">
        <v>38047</v>
      </c>
      <c r="L11672" s="787">
        <v>14.67</v>
      </c>
      <c r="M11672" s="787">
        <v>20</v>
      </c>
      <c r="N11672" s="787">
        <v>12.92</v>
      </c>
      <c r="O11672" s="788">
        <v>41806</v>
      </c>
    </row>
    <row r="11673" spans="1:15" x14ac:dyDescent="0.25">
      <c r="A11673" s="786" t="s">
        <v>20873</v>
      </c>
      <c r="B11673" s="787">
        <v>4</v>
      </c>
      <c r="C11673" s="787" t="s">
        <v>20874</v>
      </c>
      <c r="D11673" s="787">
        <v>4.28</v>
      </c>
      <c r="E11673" s="787">
        <v>4.9000000000000004</v>
      </c>
      <c r="F11673" s="788">
        <v>38126</v>
      </c>
      <c r="G11673" s="788">
        <v>38736</v>
      </c>
      <c r="H11673" s="787">
        <v>1</v>
      </c>
      <c r="I11673" s="788">
        <v>38905</v>
      </c>
      <c r="J11673" s="788">
        <v>38133</v>
      </c>
      <c r="L11673" s="787">
        <v>6.14</v>
      </c>
      <c r="M11673" s="787">
        <v>20</v>
      </c>
      <c r="N11673" s="787">
        <v>6.6</v>
      </c>
      <c r="O11673" s="788">
        <v>41858</v>
      </c>
    </row>
    <row r="11674" spans="1:15" x14ac:dyDescent="0.25">
      <c r="A11674" s="786" t="s">
        <v>20875</v>
      </c>
      <c r="B11674" s="787">
        <v>4</v>
      </c>
      <c r="C11674" s="787" t="s">
        <v>20876</v>
      </c>
      <c r="D11674" s="787">
        <v>4.9000000000000004</v>
      </c>
      <c r="E11674" s="787">
        <v>4.9000000000000004</v>
      </c>
      <c r="F11674" s="788">
        <v>38141</v>
      </c>
      <c r="G11674" s="788">
        <v>38736</v>
      </c>
      <c r="H11674" s="787">
        <v>1</v>
      </c>
      <c r="I11674" s="788">
        <v>38905</v>
      </c>
      <c r="J11674" s="788">
        <v>38135</v>
      </c>
      <c r="L11674" s="787">
        <v>6.14</v>
      </c>
      <c r="M11674" s="787">
        <v>20</v>
      </c>
      <c r="N11674" s="787">
        <v>6.6</v>
      </c>
      <c r="O11674" s="788">
        <v>41858</v>
      </c>
    </row>
    <row r="11675" spans="1:15" x14ac:dyDescent="0.25">
      <c r="A11675" s="786" t="s">
        <v>20877</v>
      </c>
      <c r="B11675" s="787">
        <v>4</v>
      </c>
      <c r="C11675" s="787" t="s">
        <v>20878</v>
      </c>
      <c r="D11675" s="787">
        <v>0.5</v>
      </c>
      <c r="E11675" s="787">
        <v>11.5</v>
      </c>
      <c r="F11675" s="788">
        <v>38047</v>
      </c>
      <c r="G11675" s="788">
        <v>38446</v>
      </c>
      <c r="H11675" s="787">
        <v>3</v>
      </c>
      <c r="I11675" s="788">
        <v>40626</v>
      </c>
      <c r="J11675" s="788">
        <v>38539</v>
      </c>
      <c r="L11675" s="787">
        <v>14.04</v>
      </c>
      <c r="M11675" s="787">
        <v>20</v>
      </c>
      <c r="N11675" s="787">
        <v>15.09</v>
      </c>
      <c r="O11675" s="788">
        <v>41858</v>
      </c>
    </row>
    <row r="11676" spans="1:15" x14ac:dyDescent="0.25">
      <c r="A11676" s="786" t="s">
        <v>20879</v>
      </c>
      <c r="B11676" s="787">
        <v>4</v>
      </c>
      <c r="C11676" s="787" t="s">
        <v>20880</v>
      </c>
      <c r="D11676" s="787">
        <v>1.5</v>
      </c>
      <c r="E11676" s="787">
        <v>12.02</v>
      </c>
      <c r="F11676" s="788">
        <v>37902</v>
      </c>
      <c r="G11676" s="788">
        <v>38736</v>
      </c>
      <c r="H11676" s="787">
        <v>1</v>
      </c>
      <c r="I11676" s="788">
        <v>39938</v>
      </c>
      <c r="J11676" s="788">
        <v>38401</v>
      </c>
      <c r="L11676" s="787">
        <v>14.67</v>
      </c>
      <c r="M11676" s="787">
        <v>20</v>
      </c>
      <c r="N11676" s="787">
        <v>15.77</v>
      </c>
      <c r="O11676" s="788">
        <v>41858</v>
      </c>
    </row>
    <row r="11677" spans="1:15" x14ac:dyDescent="0.25">
      <c r="A11677" s="786" t="s">
        <v>20881</v>
      </c>
      <c r="B11677" s="787">
        <v>4</v>
      </c>
      <c r="C11677" s="787" t="s">
        <v>20882</v>
      </c>
      <c r="D11677" s="787">
        <v>2.14</v>
      </c>
      <c r="E11677" s="787">
        <v>12.14</v>
      </c>
      <c r="F11677" s="788">
        <v>38047</v>
      </c>
      <c r="G11677" s="788">
        <v>38047</v>
      </c>
      <c r="H11677" s="787">
        <v>1</v>
      </c>
      <c r="I11677" s="788">
        <v>39198</v>
      </c>
      <c r="J11677" s="788">
        <v>38047</v>
      </c>
      <c r="L11677" s="787">
        <v>14.82</v>
      </c>
      <c r="M11677" s="787">
        <v>20</v>
      </c>
      <c r="N11677" s="787">
        <v>15.93</v>
      </c>
      <c r="O11677" s="788">
        <v>41858</v>
      </c>
    </row>
    <row r="11678" spans="1:15" x14ac:dyDescent="0.25">
      <c r="A11678" s="786" t="s">
        <v>20883</v>
      </c>
      <c r="B11678" s="787">
        <v>4</v>
      </c>
      <c r="C11678" s="787" t="s">
        <v>20884</v>
      </c>
      <c r="D11678" s="787">
        <v>6.15</v>
      </c>
      <c r="E11678" s="787">
        <v>6.15</v>
      </c>
      <c r="F11678" s="788">
        <v>39101</v>
      </c>
      <c r="G11678" s="788">
        <v>39101</v>
      </c>
      <c r="H11678" s="787">
        <v>6</v>
      </c>
      <c r="I11678" s="788">
        <v>39134</v>
      </c>
      <c r="J11678" s="788">
        <v>39149</v>
      </c>
      <c r="L11678" s="787">
        <v>7.71</v>
      </c>
      <c r="M11678" s="787">
        <v>20</v>
      </c>
      <c r="N11678" s="787">
        <v>6.61</v>
      </c>
      <c r="O11678" s="788">
        <v>41806</v>
      </c>
    </row>
    <row r="11679" spans="1:15" x14ac:dyDescent="0.25">
      <c r="A11679" s="786" t="s">
        <v>20885</v>
      </c>
      <c r="B11679" s="787">
        <v>4</v>
      </c>
      <c r="C11679" s="787" t="s">
        <v>20886</v>
      </c>
      <c r="D11679" s="787">
        <v>2.95</v>
      </c>
      <c r="E11679" s="787">
        <v>12.95</v>
      </c>
      <c r="F11679" s="788">
        <v>38279</v>
      </c>
      <c r="G11679" s="788">
        <v>38364</v>
      </c>
      <c r="H11679" s="787">
        <v>6</v>
      </c>
      <c r="I11679" s="788">
        <v>38705</v>
      </c>
      <c r="J11679" s="788">
        <v>38273</v>
      </c>
      <c r="L11679" s="787">
        <v>14.12</v>
      </c>
      <c r="M11679" s="787">
        <v>20</v>
      </c>
      <c r="N11679" s="787">
        <v>13.92</v>
      </c>
      <c r="O11679" s="788">
        <v>41806</v>
      </c>
    </row>
    <row r="11680" spans="1:15" x14ac:dyDescent="0.25">
      <c r="A11680" s="786" t="s">
        <v>20887</v>
      </c>
      <c r="B11680" s="787">
        <v>4</v>
      </c>
      <c r="C11680" s="787" t="s">
        <v>20888</v>
      </c>
      <c r="D11680" s="787">
        <v>4.5</v>
      </c>
      <c r="E11680" s="787">
        <v>14.5</v>
      </c>
      <c r="F11680" s="788">
        <v>38247</v>
      </c>
      <c r="G11680" s="788">
        <v>38364</v>
      </c>
      <c r="H11680" s="787">
        <v>3</v>
      </c>
      <c r="I11680" s="788">
        <v>38826</v>
      </c>
      <c r="J11680" s="788">
        <v>38216</v>
      </c>
      <c r="L11680" s="787">
        <v>17.7</v>
      </c>
      <c r="M11680" s="787">
        <v>20</v>
      </c>
      <c r="N11680" s="787">
        <v>19.03</v>
      </c>
      <c r="O11680" s="788">
        <v>42156</v>
      </c>
    </row>
    <row r="11681" spans="1:15" x14ac:dyDescent="0.25">
      <c r="A11681" s="786" t="s">
        <v>20889</v>
      </c>
      <c r="B11681" s="787">
        <v>4</v>
      </c>
      <c r="C11681" s="787" t="s">
        <v>20890</v>
      </c>
      <c r="D11681" s="787">
        <v>7</v>
      </c>
      <c r="E11681" s="787">
        <v>127</v>
      </c>
      <c r="F11681" s="788">
        <v>37686</v>
      </c>
      <c r="G11681" s="788">
        <v>37686</v>
      </c>
      <c r="H11681" s="787">
        <v>6</v>
      </c>
      <c r="I11681" s="788">
        <v>37686</v>
      </c>
      <c r="J11681" s="788">
        <v>37686</v>
      </c>
      <c r="L11681" s="787">
        <v>168.88</v>
      </c>
      <c r="M11681" s="787">
        <v>20</v>
      </c>
      <c r="N11681" s="787">
        <v>136.53</v>
      </c>
      <c r="O11681" s="788">
        <v>41806</v>
      </c>
    </row>
    <row r="11682" spans="1:15" x14ac:dyDescent="0.25">
      <c r="A11682" s="786" t="s">
        <v>20891</v>
      </c>
      <c r="B11682" s="787">
        <v>4</v>
      </c>
      <c r="C11682" s="787" t="s">
        <v>20892</v>
      </c>
      <c r="D11682" s="787">
        <v>4.55</v>
      </c>
      <c r="E11682" s="787">
        <v>4.55</v>
      </c>
      <c r="F11682" s="788">
        <v>37648</v>
      </c>
      <c r="G11682" s="788">
        <v>37648</v>
      </c>
      <c r="H11682" s="787">
        <v>3</v>
      </c>
      <c r="I11682" s="788">
        <v>38289</v>
      </c>
      <c r="J11682" s="788">
        <v>37648</v>
      </c>
      <c r="L11682" s="787">
        <v>5.55</v>
      </c>
      <c r="M11682" s="787">
        <v>20</v>
      </c>
      <c r="N11682" s="787">
        <v>5.97</v>
      </c>
      <c r="O11682" s="788">
        <v>41858</v>
      </c>
    </row>
    <row r="11683" spans="1:15" x14ac:dyDescent="0.25">
      <c r="A11683" s="786" t="s">
        <v>20893</v>
      </c>
      <c r="B11683" s="787">
        <v>4</v>
      </c>
      <c r="C11683" s="787" t="s">
        <v>20894</v>
      </c>
      <c r="D11683" s="787">
        <v>1.55</v>
      </c>
      <c r="E11683" s="787">
        <v>1.55</v>
      </c>
      <c r="F11683" s="788">
        <v>37648</v>
      </c>
      <c r="G11683" s="788">
        <v>37648</v>
      </c>
      <c r="H11683" s="787">
        <v>3</v>
      </c>
      <c r="I11683" s="788">
        <v>38289</v>
      </c>
      <c r="J11683" s="788">
        <v>37648</v>
      </c>
      <c r="L11683" s="787">
        <v>2.06</v>
      </c>
      <c r="M11683" s="787">
        <v>20</v>
      </c>
      <c r="N11683" s="787">
        <v>2.21</v>
      </c>
      <c r="O11683" s="788">
        <v>41858</v>
      </c>
    </row>
    <row r="11684" spans="1:15" x14ac:dyDescent="0.25">
      <c r="A11684" s="786" t="s">
        <v>20895</v>
      </c>
      <c r="B11684" s="787">
        <v>4</v>
      </c>
      <c r="C11684" s="787" t="s">
        <v>20896</v>
      </c>
      <c r="D11684" s="787">
        <v>3.41</v>
      </c>
      <c r="E11684" s="787">
        <v>14.68</v>
      </c>
      <c r="F11684" s="788">
        <v>39101</v>
      </c>
      <c r="G11684" s="788">
        <v>39101</v>
      </c>
      <c r="H11684" s="787">
        <v>1</v>
      </c>
      <c r="I11684" s="788">
        <v>39485</v>
      </c>
      <c r="J11684" s="788">
        <v>39149</v>
      </c>
      <c r="L11684" s="787">
        <v>17.920000000000002</v>
      </c>
      <c r="M11684" s="787">
        <v>20</v>
      </c>
      <c r="N11684" s="787">
        <v>19.260000000000002</v>
      </c>
      <c r="O11684" s="788">
        <v>41858</v>
      </c>
    </row>
    <row r="11685" spans="1:15" x14ac:dyDescent="0.25">
      <c r="A11685" s="786" t="s">
        <v>20897</v>
      </c>
      <c r="B11685" s="787">
        <v>4</v>
      </c>
      <c r="C11685" s="787" t="s">
        <v>20898</v>
      </c>
      <c r="D11685" s="787">
        <v>5.28</v>
      </c>
      <c r="E11685" s="787">
        <v>5.28</v>
      </c>
      <c r="F11685" s="788">
        <v>38450</v>
      </c>
      <c r="G11685" s="788">
        <v>38450</v>
      </c>
      <c r="H11685" s="787">
        <v>1</v>
      </c>
      <c r="I11685" s="788">
        <v>40683</v>
      </c>
      <c r="J11685" s="788">
        <v>38426</v>
      </c>
      <c r="L11685" s="787">
        <v>6.45</v>
      </c>
      <c r="M11685" s="787">
        <v>20</v>
      </c>
      <c r="N11685" s="787">
        <v>6.93</v>
      </c>
      <c r="O11685" s="788">
        <v>41858</v>
      </c>
    </row>
    <row r="11686" spans="1:15" x14ac:dyDescent="0.25">
      <c r="A11686" s="786" t="s">
        <v>20899</v>
      </c>
      <c r="B11686" s="787">
        <v>4</v>
      </c>
      <c r="C11686" s="787" t="s">
        <v>20900</v>
      </c>
      <c r="D11686" s="787">
        <v>1.38</v>
      </c>
      <c r="E11686" s="787">
        <v>11.38</v>
      </c>
      <c r="F11686" s="788">
        <v>37995</v>
      </c>
      <c r="G11686" s="788">
        <v>37995</v>
      </c>
      <c r="H11686" s="787">
        <v>1</v>
      </c>
      <c r="I11686" s="788">
        <v>40392</v>
      </c>
      <c r="J11686" s="788">
        <v>37973</v>
      </c>
      <c r="L11686" s="787">
        <v>13.89</v>
      </c>
      <c r="M11686" s="787">
        <v>20</v>
      </c>
      <c r="N11686" s="787">
        <v>14.93</v>
      </c>
      <c r="O11686" s="788">
        <v>41858</v>
      </c>
    </row>
    <row r="11687" spans="1:15" x14ac:dyDescent="0.25">
      <c r="A11687" s="786" t="s">
        <v>20901</v>
      </c>
      <c r="B11687" s="787">
        <v>4</v>
      </c>
      <c r="C11687" s="787" t="s">
        <v>20902</v>
      </c>
      <c r="D11687" s="787">
        <v>2.4500000000000002</v>
      </c>
      <c r="E11687" s="787">
        <v>12.45</v>
      </c>
      <c r="F11687" s="788">
        <v>38147</v>
      </c>
      <c r="G11687" s="788">
        <v>38364</v>
      </c>
      <c r="H11687" s="787">
        <v>1</v>
      </c>
      <c r="I11687" s="788">
        <v>40442</v>
      </c>
      <c r="J11687" s="788">
        <v>38147</v>
      </c>
      <c r="L11687" s="787">
        <v>15.2</v>
      </c>
      <c r="M11687" s="787">
        <v>20</v>
      </c>
      <c r="N11687" s="787">
        <v>18.3</v>
      </c>
      <c r="O11687" s="788">
        <v>41858</v>
      </c>
    </row>
    <row r="11688" spans="1:15" x14ac:dyDescent="0.25">
      <c r="A11688" s="786" t="s">
        <v>20903</v>
      </c>
      <c r="B11688" s="787">
        <v>4</v>
      </c>
      <c r="C11688" s="787" t="s">
        <v>20904</v>
      </c>
      <c r="D11688" s="787">
        <v>0.1</v>
      </c>
      <c r="E11688" s="787">
        <v>20.100000000000001</v>
      </c>
      <c r="F11688" s="788">
        <v>37869</v>
      </c>
      <c r="G11688" s="788">
        <v>37869</v>
      </c>
      <c r="H11688" s="787">
        <v>1</v>
      </c>
      <c r="I11688" s="788">
        <v>38498</v>
      </c>
      <c r="J11688" s="788">
        <v>37869</v>
      </c>
      <c r="L11688" s="787">
        <v>24.54</v>
      </c>
      <c r="M11688" s="787">
        <v>20</v>
      </c>
      <c r="N11688" s="787">
        <v>26.38</v>
      </c>
      <c r="O11688" s="788">
        <v>41858</v>
      </c>
    </row>
    <row r="11689" spans="1:15" x14ac:dyDescent="0.25">
      <c r="A11689" s="786" t="s">
        <v>20905</v>
      </c>
      <c r="B11689" s="787">
        <v>4</v>
      </c>
      <c r="C11689" s="787" t="s">
        <v>20906</v>
      </c>
      <c r="D11689" s="787">
        <v>0</v>
      </c>
      <c r="E11689" s="787">
        <v>0</v>
      </c>
      <c r="H11689" s="787">
        <v>6</v>
      </c>
      <c r="L11689" s="787">
        <v>0</v>
      </c>
      <c r="M11689" s="787">
        <v>20</v>
      </c>
      <c r="N11689" s="787">
        <v>0</v>
      </c>
      <c r="O11689" s="788">
        <v>40824</v>
      </c>
    </row>
    <row r="11690" spans="1:15" x14ac:dyDescent="0.25">
      <c r="A11690" s="786" t="s">
        <v>20907</v>
      </c>
      <c r="B11690" s="787">
        <v>4</v>
      </c>
      <c r="C11690" s="787" t="s">
        <v>20908</v>
      </c>
      <c r="D11690" s="787">
        <v>5.85</v>
      </c>
      <c r="E11690" s="787">
        <v>5.85</v>
      </c>
      <c r="F11690" s="788">
        <v>38450</v>
      </c>
      <c r="G11690" s="788">
        <v>38450</v>
      </c>
      <c r="H11690" s="787">
        <v>1</v>
      </c>
      <c r="I11690" s="788">
        <v>40534</v>
      </c>
      <c r="J11690" s="788">
        <v>38425</v>
      </c>
      <c r="L11690" s="787">
        <v>7.33</v>
      </c>
      <c r="M11690" s="787">
        <v>20</v>
      </c>
      <c r="N11690" s="787">
        <v>7.88</v>
      </c>
      <c r="O11690" s="788">
        <v>41858</v>
      </c>
    </row>
    <row r="11691" spans="1:15" x14ac:dyDescent="0.25">
      <c r="A11691" s="786" t="s">
        <v>20909</v>
      </c>
      <c r="B11691" s="787">
        <v>4</v>
      </c>
      <c r="C11691" s="787" t="s">
        <v>20910</v>
      </c>
      <c r="D11691" s="787">
        <v>0</v>
      </c>
      <c r="E11691" s="787">
        <v>0</v>
      </c>
      <c r="G11691" s="788">
        <v>38364</v>
      </c>
      <c r="H11691" s="787">
        <v>6</v>
      </c>
      <c r="I11691" s="788">
        <v>38705</v>
      </c>
      <c r="J11691" s="788">
        <v>38705</v>
      </c>
      <c r="L11691" s="787">
        <v>0</v>
      </c>
      <c r="M11691" s="787">
        <v>20</v>
      </c>
      <c r="N11691" s="787">
        <v>0</v>
      </c>
      <c r="O11691" s="788">
        <v>40824</v>
      </c>
    </row>
    <row r="11692" spans="1:15" x14ac:dyDescent="0.25">
      <c r="A11692" s="786" t="s">
        <v>20911</v>
      </c>
      <c r="B11692" s="787">
        <v>4</v>
      </c>
      <c r="C11692" s="787" t="s">
        <v>20912</v>
      </c>
      <c r="D11692" s="787">
        <v>0</v>
      </c>
      <c r="E11692" s="787">
        <v>0</v>
      </c>
      <c r="H11692" s="787">
        <v>1</v>
      </c>
      <c r="I11692" s="788">
        <v>39167</v>
      </c>
      <c r="J11692" s="788">
        <v>39457</v>
      </c>
      <c r="L11692" s="787">
        <v>0</v>
      </c>
      <c r="M11692" s="787">
        <v>20</v>
      </c>
      <c r="N11692" s="787">
        <v>0</v>
      </c>
      <c r="O11692" s="788">
        <v>40824</v>
      </c>
    </row>
    <row r="11693" spans="1:15" x14ac:dyDescent="0.25">
      <c r="A11693" s="786" t="s">
        <v>20913</v>
      </c>
      <c r="B11693" s="787">
        <v>4</v>
      </c>
      <c r="C11693" s="787" t="s">
        <v>20914</v>
      </c>
      <c r="D11693" s="787">
        <v>5.28</v>
      </c>
      <c r="E11693" s="787">
        <v>5.28</v>
      </c>
      <c r="F11693" s="788">
        <v>38593</v>
      </c>
      <c r="G11693" s="788">
        <v>38593</v>
      </c>
      <c r="H11693" s="787">
        <v>6</v>
      </c>
      <c r="I11693" s="788">
        <v>38705</v>
      </c>
      <c r="J11693" s="788">
        <v>38601</v>
      </c>
      <c r="L11693" s="787">
        <v>5.28</v>
      </c>
      <c r="M11693" s="787">
        <v>20</v>
      </c>
      <c r="N11693" s="787">
        <v>5.68</v>
      </c>
      <c r="O11693" s="788">
        <v>41806</v>
      </c>
    </row>
    <row r="11694" spans="1:15" x14ac:dyDescent="0.25">
      <c r="A11694" s="786" t="s">
        <v>20915</v>
      </c>
      <c r="B11694" s="787">
        <v>4</v>
      </c>
      <c r="C11694" s="787" t="s">
        <v>20916</v>
      </c>
      <c r="D11694" s="787">
        <v>2.02</v>
      </c>
      <c r="E11694" s="787">
        <v>12.02</v>
      </c>
      <c r="F11694" s="788">
        <v>38331</v>
      </c>
      <c r="G11694" s="788">
        <v>38331</v>
      </c>
      <c r="H11694" s="787">
        <v>6</v>
      </c>
      <c r="I11694" s="788">
        <v>38705</v>
      </c>
      <c r="J11694" s="788">
        <v>38313</v>
      </c>
      <c r="L11694" s="787">
        <v>15.98</v>
      </c>
      <c r="M11694" s="787">
        <v>20</v>
      </c>
      <c r="N11694" s="787">
        <v>12.92</v>
      </c>
      <c r="O11694" s="788">
        <v>41806</v>
      </c>
    </row>
    <row r="11695" spans="1:15" x14ac:dyDescent="0.25">
      <c r="A11695" s="786" t="s">
        <v>20917</v>
      </c>
      <c r="B11695" s="787">
        <v>4</v>
      </c>
      <c r="C11695" s="787" t="s">
        <v>20918</v>
      </c>
      <c r="D11695" s="787">
        <v>0</v>
      </c>
      <c r="E11695" s="787">
        <v>0</v>
      </c>
      <c r="H11695" s="787">
        <v>6</v>
      </c>
      <c r="I11695" s="788">
        <v>39031</v>
      </c>
      <c r="J11695" s="788">
        <v>38905</v>
      </c>
      <c r="L11695" s="787">
        <v>0</v>
      </c>
      <c r="M11695" s="787">
        <v>20</v>
      </c>
      <c r="N11695" s="787">
        <v>0</v>
      </c>
      <c r="O11695" s="788">
        <v>40824</v>
      </c>
    </row>
    <row r="11696" spans="1:15" x14ac:dyDescent="0.25">
      <c r="A11696" s="786" t="s">
        <v>20919</v>
      </c>
      <c r="B11696" s="787">
        <v>4</v>
      </c>
      <c r="C11696" s="787" t="s">
        <v>20920</v>
      </c>
      <c r="D11696" s="787">
        <v>0</v>
      </c>
      <c r="E11696" s="787">
        <v>0</v>
      </c>
      <c r="G11696" s="788">
        <v>38736</v>
      </c>
      <c r="H11696" s="787">
        <v>1</v>
      </c>
      <c r="I11696" s="788">
        <v>39134</v>
      </c>
      <c r="J11696" s="788">
        <v>38705</v>
      </c>
      <c r="L11696" s="787">
        <v>12.95</v>
      </c>
      <c r="M11696" s="787">
        <v>20</v>
      </c>
      <c r="N11696" s="787">
        <v>13.92</v>
      </c>
      <c r="O11696" s="788">
        <v>41858</v>
      </c>
    </row>
    <row r="11697" spans="1:15" x14ac:dyDescent="0.25">
      <c r="A11697" s="786" t="s">
        <v>20921</v>
      </c>
      <c r="B11697" s="787">
        <v>4</v>
      </c>
      <c r="C11697" s="787" t="s">
        <v>20922</v>
      </c>
      <c r="D11697" s="787">
        <v>2.02</v>
      </c>
      <c r="E11697" s="787">
        <v>12.02</v>
      </c>
      <c r="F11697" s="788">
        <v>38363</v>
      </c>
      <c r="G11697" s="788">
        <v>38363</v>
      </c>
      <c r="H11697" s="787">
        <v>6</v>
      </c>
      <c r="J11697" s="788">
        <v>38334</v>
      </c>
      <c r="L11697" s="787">
        <v>15.98</v>
      </c>
      <c r="M11697" s="787">
        <v>20</v>
      </c>
      <c r="N11697" s="787">
        <v>12.92</v>
      </c>
      <c r="O11697" s="788">
        <v>41543</v>
      </c>
    </row>
    <row r="11698" spans="1:15" x14ac:dyDescent="0.25">
      <c r="A11698" s="786" t="s">
        <v>20923</v>
      </c>
      <c r="B11698" s="787">
        <v>4</v>
      </c>
      <c r="C11698" s="787" t="s">
        <v>20924</v>
      </c>
      <c r="D11698" s="787">
        <v>0</v>
      </c>
      <c r="E11698" s="787">
        <v>0</v>
      </c>
      <c r="H11698" s="787">
        <v>6</v>
      </c>
      <c r="L11698" s="787">
        <v>0</v>
      </c>
      <c r="M11698" s="787">
        <v>20</v>
      </c>
      <c r="N11698" s="787">
        <v>0</v>
      </c>
      <c r="O11698" s="788">
        <v>40824</v>
      </c>
    </row>
    <row r="11699" spans="1:15" x14ac:dyDescent="0.25">
      <c r="A11699" s="786" t="s">
        <v>20925</v>
      </c>
      <c r="B11699" s="787">
        <v>4</v>
      </c>
      <c r="C11699" s="787" t="s">
        <v>20926</v>
      </c>
      <c r="D11699" s="787">
        <v>1.5</v>
      </c>
      <c r="E11699" s="787">
        <v>11.5</v>
      </c>
      <c r="F11699" s="788">
        <v>38568</v>
      </c>
      <c r="G11699" s="788">
        <v>38568</v>
      </c>
      <c r="H11699" s="787">
        <v>1</v>
      </c>
      <c r="I11699" s="788">
        <v>38705</v>
      </c>
      <c r="J11699" s="788">
        <v>38590</v>
      </c>
      <c r="L11699" s="787">
        <v>11.5</v>
      </c>
      <c r="M11699" s="787">
        <v>20</v>
      </c>
      <c r="N11699" s="787">
        <v>12.36</v>
      </c>
      <c r="O11699" s="788">
        <v>41858</v>
      </c>
    </row>
    <row r="11700" spans="1:15" x14ac:dyDescent="0.25">
      <c r="A11700" s="786" t="s">
        <v>20927</v>
      </c>
      <c r="B11700" s="787">
        <v>4</v>
      </c>
      <c r="C11700" s="787" t="s">
        <v>20928</v>
      </c>
      <c r="D11700" s="787">
        <v>0</v>
      </c>
      <c r="E11700" s="787">
        <v>0</v>
      </c>
      <c r="H11700" s="787">
        <v>6</v>
      </c>
      <c r="L11700" s="787">
        <v>0</v>
      </c>
      <c r="M11700" s="787">
        <v>20</v>
      </c>
      <c r="N11700" s="787">
        <v>0</v>
      </c>
      <c r="O11700" s="788">
        <v>40824</v>
      </c>
    </row>
    <row r="11701" spans="1:15" x14ac:dyDescent="0.25">
      <c r="A11701" s="786" t="s">
        <v>20929</v>
      </c>
      <c r="B11701" s="787">
        <v>4</v>
      </c>
      <c r="C11701" s="787" t="s">
        <v>20930</v>
      </c>
      <c r="D11701" s="787">
        <v>0</v>
      </c>
      <c r="E11701" s="787">
        <v>0</v>
      </c>
      <c r="H11701" s="787">
        <v>6</v>
      </c>
      <c r="L11701" s="787">
        <v>0</v>
      </c>
      <c r="M11701" s="787">
        <v>20</v>
      </c>
      <c r="N11701" s="787">
        <v>0</v>
      </c>
      <c r="O11701" s="788">
        <v>40824</v>
      </c>
    </row>
    <row r="11702" spans="1:15" x14ac:dyDescent="0.25">
      <c r="A11702" s="786" t="s">
        <v>20931</v>
      </c>
      <c r="B11702" s="787">
        <v>4</v>
      </c>
      <c r="C11702" s="787" t="s">
        <v>20932</v>
      </c>
      <c r="D11702" s="787">
        <v>0</v>
      </c>
      <c r="E11702" s="787">
        <v>0</v>
      </c>
      <c r="H11702" s="787">
        <v>6</v>
      </c>
      <c r="L11702" s="787">
        <v>0</v>
      </c>
      <c r="M11702" s="787">
        <v>20</v>
      </c>
      <c r="N11702" s="787">
        <v>0</v>
      </c>
      <c r="O11702" s="788">
        <v>40824</v>
      </c>
    </row>
    <row r="11703" spans="1:15" x14ac:dyDescent="0.25">
      <c r="A11703" s="786" t="s">
        <v>20933</v>
      </c>
      <c r="B11703" s="787">
        <v>4</v>
      </c>
      <c r="C11703" s="787" t="s">
        <v>20934</v>
      </c>
      <c r="D11703" s="787">
        <v>0</v>
      </c>
      <c r="E11703" s="787">
        <v>0</v>
      </c>
      <c r="H11703" s="787">
        <v>6</v>
      </c>
      <c r="L11703" s="787">
        <v>0</v>
      </c>
      <c r="M11703" s="787">
        <v>20</v>
      </c>
      <c r="N11703" s="787">
        <v>0</v>
      </c>
      <c r="O11703" s="788">
        <v>40824</v>
      </c>
    </row>
    <row r="11704" spans="1:15" x14ac:dyDescent="0.25">
      <c r="A11704" s="786" t="s">
        <v>20935</v>
      </c>
      <c r="B11704" s="787">
        <v>4</v>
      </c>
      <c r="C11704" s="787" t="s">
        <v>20936</v>
      </c>
      <c r="D11704" s="787">
        <v>0</v>
      </c>
      <c r="E11704" s="787">
        <v>0</v>
      </c>
      <c r="H11704" s="787">
        <v>6</v>
      </c>
      <c r="L11704" s="787">
        <v>0</v>
      </c>
      <c r="M11704" s="787">
        <v>20</v>
      </c>
      <c r="N11704" s="787">
        <v>0</v>
      </c>
      <c r="O11704" s="788">
        <v>40824</v>
      </c>
    </row>
    <row r="11705" spans="1:15" x14ac:dyDescent="0.25">
      <c r="A11705" s="786" t="s">
        <v>20937</v>
      </c>
      <c r="B11705" s="787">
        <v>4</v>
      </c>
      <c r="C11705" s="787" t="s">
        <v>20938</v>
      </c>
      <c r="D11705" s="787">
        <v>0</v>
      </c>
      <c r="E11705" s="787">
        <v>0</v>
      </c>
      <c r="H11705" s="787">
        <v>6</v>
      </c>
      <c r="L11705" s="787">
        <v>0</v>
      </c>
      <c r="M11705" s="787">
        <v>20</v>
      </c>
      <c r="N11705" s="787">
        <v>0</v>
      </c>
      <c r="O11705" s="788">
        <v>40824</v>
      </c>
    </row>
    <row r="11706" spans="1:15" x14ac:dyDescent="0.25">
      <c r="A11706" s="786" t="s">
        <v>20939</v>
      </c>
      <c r="B11706" s="787">
        <v>4</v>
      </c>
      <c r="C11706" s="787" t="s">
        <v>20940</v>
      </c>
      <c r="D11706" s="787">
        <v>0</v>
      </c>
      <c r="E11706" s="787">
        <v>0</v>
      </c>
      <c r="H11706" s="787">
        <v>6</v>
      </c>
      <c r="L11706" s="787">
        <v>0</v>
      </c>
      <c r="M11706" s="787">
        <v>20</v>
      </c>
      <c r="N11706" s="787">
        <v>0</v>
      </c>
      <c r="O11706" s="788">
        <v>40824</v>
      </c>
    </row>
    <row r="11707" spans="1:15" x14ac:dyDescent="0.25">
      <c r="A11707" s="786" t="s">
        <v>20941</v>
      </c>
      <c r="B11707" s="787">
        <v>4</v>
      </c>
      <c r="C11707" s="787" t="s">
        <v>20942</v>
      </c>
      <c r="D11707" s="787">
        <v>0</v>
      </c>
      <c r="E11707" s="787">
        <v>0</v>
      </c>
      <c r="H11707" s="787">
        <v>6</v>
      </c>
      <c r="L11707" s="787">
        <v>0</v>
      </c>
      <c r="M11707" s="787">
        <v>20</v>
      </c>
      <c r="N11707" s="787">
        <v>0</v>
      </c>
      <c r="O11707" s="788">
        <v>40824</v>
      </c>
    </row>
    <row r="11708" spans="1:15" x14ac:dyDescent="0.25">
      <c r="A11708" s="786" t="s">
        <v>20943</v>
      </c>
      <c r="B11708" s="787">
        <v>4</v>
      </c>
      <c r="C11708" s="787" t="s">
        <v>20944</v>
      </c>
      <c r="D11708" s="787">
        <v>0</v>
      </c>
      <c r="E11708" s="787">
        <v>0</v>
      </c>
      <c r="H11708" s="787">
        <v>6</v>
      </c>
      <c r="L11708" s="787">
        <v>0</v>
      </c>
      <c r="M11708" s="787">
        <v>20</v>
      </c>
      <c r="N11708" s="787">
        <v>0</v>
      </c>
      <c r="O11708" s="788">
        <v>40824</v>
      </c>
    </row>
    <row r="11709" spans="1:15" x14ac:dyDescent="0.25">
      <c r="A11709" s="786" t="s">
        <v>20945</v>
      </c>
      <c r="B11709" s="787">
        <v>4</v>
      </c>
      <c r="C11709" s="787" t="s">
        <v>20946</v>
      </c>
      <c r="D11709" s="787">
        <v>6.3</v>
      </c>
      <c r="E11709" s="787">
        <v>6.3</v>
      </c>
      <c r="F11709" s="788">
        <v>38131</v>
      </c>
      <c r="G11709" s="788">
        <v>38131</v>
      </c>
      <c r="H11709" s="787">
        <v>1</v>
      </c>
      <c r="I11709" s="788">
        <v>38289</v>
      </c>
      <c r="J11709" s="788">
        <v>38125</v>
      </c>
      <c r="L11709" s="787">
        <v>7.69</v>
      </c>
      <c r="M11709" s="787">
        <v>20</v>
      </c>
      <c r="N11709" s="787">
        <v>8.27</v>
      </c>
      <c r="O11709" s="788">
        <v>42146</v>
      </c>
    </row>
    <row r="11710" spans="1:15" x14ac:dyDescent="0.25">
      <c r="A11710" s="786" t="s">
        <v>20947</v>
      </c>
      <c r="B11710" s="787">
        <v>4</v>
      </c>
      <c r="C11710" s="787" t="s">
        <v>20948</v>
      </c>
      <c r="D11710" s="787">
        <v>0</v>
      </c>
      <c r="E11710" s="787">
        <v>0</v>
      </c>
      <c r="H11710" s="787">
        <v>6</v>
      </c>
      <c r="L11710" s="787">
        <v>0</v>
      </c>
      <c r="M11710" s="787">
        <v>20</v>
      </c>
      <c r="N11710" s="787">
        <v>0</v>
      </c>
      <c r="O11710" s="788">
        <v>40824</v>
      </c>
    </row>
    <row r="11711" spans="1:15" x14ac:dyDescent="0.25">
      <c r="A11711" s="786" t="s">
        <v>20949</v>
      </c>
      <c r="B11711" s="787">
        <v>4</v>
      </c>
      <c r="C11711" s="787" t="s">
        <v>20950</v>
      </c>
      <c r="D11711" s="787">
        <v>0</v>
      </c>
      <c r="E11711" s="787">
        <v>0</v>
      </c>
      <c r="H11711" s="787">
        <v>6</v>
      </c>
      <c r="L11711" s="787">
        <v>0</v>
      </c>
      <c r="M11711" s="787">
        <v>20</v>
      </c>
      <c r="N11711" s="787">
        <v>0</v>
      </c>
      <c r="O11711" s="788">
        <v>40824</v>
      </c>
    </row>
    <row r="11712" spans="1:15" x14ac:dyDescent="0.25">
      <c r="A11712" s="786" t="s">
        <v>20951</v>
      </c>
      <c r="B11712" s="787">
        <v>4</v>
      </c>
      <c r="C11712" s="787" t="s">
        <v>20952</v>
      </c>
      <c r="D11712" s="787">
        <v>0</v>
      </c>
      <c r="E11712" s="787">
        <v>0</v>
      </c>
      <c r="H11712" s="787">
        <v>6</v>
      </c>
      <c r="L11712" s="787">
        <v>0</v>
      </c>
      <c r="M11712" s="787">
        <v>20</v>
      </c>
      <c r="N11712" s="787">
        <v>0</v>
      </c>
      <c r="O11712" s="788">
        <v>40824</v>
      </c>
    </row>
    <row r="11713" spans="1:15" x14ac:dyDescent="0.25">
      <c r="A11713" s="786" t="s">
        <v>20953</v>
      </c>
      <c r="B11713" s="787">
        <v>4</v>
      </c>
      <c r="C11713" s="787" t="s">
        <v>20954</v>
      </c>
      <c r="D11713" s="787">
        <v>0</v>
      </c>
      <c r="E11713" s="787">
        <v>0</v>
      </c>
      <c r="H11713" s="787">
        <v>6</v>
      </c>
      <c r="L11713" s="787">
        <v>0</v>
      </c>
      <c r="M11713" s="787">
        <v>20</v>
      </c>
      <c r="N11713" s="787">
        <v>0</v>
      </c>
      <c r="O11713" s="788">
        <v>40824</v>
      </c>
    </row>
    <row r="11714" spans="1:15" x14ac:dyDescent="0.25">
      <c r="A11714" s="786" t="s">
        <v>20955</v>
      </c>
      <c r="B11714" s="787">
        <v>4</v>
      </c>
      <c r="C11714" s="787" t="s">
        <v>20956</v>
      </c>
      <c r="D11714" s="787">
        <v>0</v>
      </c>
      <c r="E11714" s="787">
        <v>0</v>
      </c>
      <c r="H11714" s="787">
        <v>6</v>
      </c>
      <c r="L11714" s="787">
        <v>0</v>
      </c>
      <c r="M11714" s="787">
        <v>20</v>
      </c>
      <c r="N11714" s="787">
        <v>0</v>
      </c>
      <c r="O11714" s="788">
        <v>40824</v>
      </c>
    </row>
    <row r="11715" spans="1:15" x14ac:dyDescent="0.25">
      <c r="A11715" s="786" t="s">
        <v>20957</v>
      </c>
      <c r="B11715" s="787">
        <v>4</v>
      </c>
      <c r="C11715" s="787" t="s">
        <v>20958</v>
      </c>
      <c r="D11715" s="787">
        <v>0</v>
      </c>
      <c r="E11715" s="787">
        <v>0</v>
      </c>
      <c r="H11715" s="787">
        <v>6</v>
      </c>
      <c r="L11715" s="787">
        <v>0</v>
      </c>
      <c r="M11715" s="787">
        <v>20</v>
      </c>
      <c r="N11715" s="787">
        <v>0</v>
      </c>
      <c r="O11715" s="788">
        <v>40824</v>
      </c>
    </row>
    <row r="11716" spans="1:15" x14ac:dyDescent="0.25">
      <c r="A11716" s="786" t="s">
        <v>20959</v>
      </c>
      <c r="B11716" s="787">
        <v>4</v>
      </c>
      <c r="C11716" s="787" t="s">
        <v>20960</v>
      </c>
      <c r="D11716" s="787">
        <v>0</v>
      </c>
      <c r="E11716" s="787">
        <v>0</v>
      </c>
      <c r="H11716" s="787">
        <v>6</v>
      </c>
      <c r="L11716" s="787">
        <v>0</v>
      </c>
      <c r="M11716" s="787">
        <v>20</v>
      </c>
      <c r="N11716" s="787">
        <v>0</v>
      </c>
      <c r="O11716" s="788">
        <v>40824</v>
      </c>
    </row>
    <row r="11717" spans="1:15" x14ac:dyDescent="0.25">
      <c r="A11717" s="786" t="s">
        <v>20961</v>
      </c>
      <c r="B11717" s="787">
        <v>4</v>
      </c>
      <c r="C11717" s="787" t="s">
        <v>20962</v>
      </c>
      <c r="D11717" s="787">
        <v>0</v>
      </c>
      <c r="E11717" s="787">
        <v>0</v>
      </c>
      <c r="H11717" s="787">
        <v>6</v>
      </c>
      <c r="L11717" s="787">
        <v>0</v>
      </c>
      <c r="M11717" s="787">
        <v>20</v>
      </c>
      <c r="N11717" s="787">
        <v>0</v>
      </c>
      <c r="O11717" s="788">
        <v>40824</v>
      </c>
    </row>
    <row r="11718" spans="1:15" x14ac:dyDescent="0.25">
      <c r="A11718" s="786" t="s">
        <v>20963</v>
      </c>
      <c r="B11718" s="787">
        <v>4</v>
      </c>
      <c r="C11718" s="787" t="s">
        <v>20964</v>
      </c>
      <c r="D11718" s="787">
        <v>8.0399999999999991</v>
      </c>
      <c r="E11718" s="787">
        <v>12.06</v>
      </c>
      <c r="F11718" s="788">
        <v>39101</v>
      </c>
      <c r="G11718" s="788">
        <v>39101</v>
      </c>
      <c r="H11718" s="787">
        <v>3</v>
      </c>
      <c r="I11718" s="788">
        <v>39134</v>
      </c>
      <c r="J11718" s="788">
        <v>39149</v>
      </c>
      <c r="L11718" s="787">
        <v>14.72</v>
      </c>
      <c r="M11718" s="787">
        <v>20</v>
      </c>
      <c r="N11718" s="787">
        <v>15.82</v>
      </c>
      <c r="O11718" s="788">
        <v>41858</v>
      </c>
    </row>
    <row r="11719" spans="1:15" x14ac:dyDescent="0.25">
      <c r="A11719" s="786" t="s">
        <v>20965</v>
      </c>
      <c r="B11719" s="787">
        <v>4</v>
      </c>
      <c r="C11719" s="787" t="s">
        <v>20966</v>
      </c>
      <c r="D11719" s="787">
        <v>1.72</v>
      </c>
      <c r="E11719" s="787">
        <v>21.72</v>
      </c>
      <c r="F11719" s="788">
        <v>38147</v>
      </c>
      <c r="G11719" s="788">
        <v>41310</v>
      </c>
      <c r="H11719" s="787">
        <v>1</v>
      </c>
      <c r="I11719" s="788">
        <v>41808</v>
      </c>
      <c r="J11719" s="788">
        <v>41810</v>
      </c>
      <c r="L11719" s="787">
        <v>26.52</v>
      </c>
      <c r="M11719" s="787">
        <v>20</v>
      </c>
      <c r="N11719" s="787">
        <v>28.51</v>
      </c>
      <c r="O11719" s="788">
        <v>41858</v>
      </c>
    </row>
    <row r="11720" spans="1:15" x14ac:dyDescent="0.25">
      <c r="A11720" s="786" t="s">
        <v>20967</v>
      </c>
      <c r="B11720" s="787">
        <v>4</v>
      </c>
      <c r="C11720" s="787" t="s">
        <v>20968</v>
      </c>
      <c r="D11720" s="787">
        <v>9</v>
      </c>
      <c r="E11720" s="787">
        <v>19</v>
      </c>
      <c r="F11720" s="788">
        <v>39101</v>
      </c>
      <c r="G11720" s="788">
        <v>40178</v>
      </c>
      <c r="H11720" s="787">
        <v>3</v>
      </c>
      <c r="I11720" s="788">
        <v>40066</v>
      </c>
      <c r="J11720" s="788">
        <v>40046</v>
      </c>
      <c r="L11720" s="787">
        <v>24.25</v>
      </c>
      <c r="M11720" s="787">
        <v>20</v>
      </c>
      <c r="N11720" s="787">
        <v>26.07</v>
      </c>
      <c r="O11720" s="788">
        <v>41858</v>
      </c>
    </row>
    <row r="11721" spans="1:15" x14ac:dyDescent="0.25">
      <c r="A11721" s="786" t="s">
        <v>20969</v>
      </c>
      <c r="B11721" s="787">
        <v>4</v>
      </c>
      <c r="C11721" s="787" t="s">
        <v>20970</v>
      </c>
      <c r="D11721" s="787">
        <v>3.55</v>
      </c>
      <c r="E11721" s="787">
        <v>3.55</v>
      </c>
      <c r="F11721" s="788">
        <v>38146</v>
      </c>
      <c r="G11721" s="788">
        <v>38736</v>
      </c>
      <c r="H11721" s="787">
        <v>1</v>
      </c>
      <c r="I11721" s="788">
        <v>39031</v>
      </c>
      <c r="J11721" s="788">
        <v>38145</v>
      </c>
      <c r="L11721" s="787">
        <v>4.33</v>
      </c>
      <c r="M11721" s="787">
        <v>20</v>
      </c>
      <c r="N11721" s="787">
        <v>4.6500000000000004</v>
      </c>
      <c r="O11721" s="788">
        <v>41858</v>
      </c>
    </row>
    <row r="11722" spans="1:15" x14ac:dyDescent="0.25">
      <c r="A11722" s="786" t="s">
        <v>20971</v>
      </c>
      <c r="B11722" s="787">
        <v>4</v>
      </c>
      <c r="C11722" s="787" t="s">
        <v>20972</v>
      </c>
      <c r="D11722" s="787">
        <v>2.04</v>
      </c>
      <c r="E11722" s="787">
        <v>16.09</v>
      </c>
      <c r="F11722" s="788">
        <v>39975</v>
      </c>
      <c r="G11722" s="788">
        <v>42101</v>
      </c>
      <c r="H11722" s="787">
        <v>6</v>
      </c>
      <c r="I11722" s="788">
        <v>42103</v>
      </c>
      <c r="J11722" s="788">
        <v>42103</v>
      </c>
      <c r="K11722" s="788">
        <v>41642</v>
      </c>
      <c r="L11722" s="787">
        <v>16.09</v>
      </c>
      <c r="M11722" s="787">
        <v>20</v>
      </c>
      <c r="N11722" s="787">
        <v>17.3</v>
      </c>
      <c r="O11722" s="788">
        <v>41858</v>
      </c>
    </row>
    <row r="11723" spans="1:15" x14ac:dyDescent="0.25">
      <c r="A11723" s="786" t="s">
        <v>20973</v>
      </c>
      <c r="B11723" s="787">
        <v>4</v>
      </c>
      <c r="C11723" s="787" t="s">
        <v>20974</v>
      </c>
      <c r="D11723" s="787">
        <v>0</v>
      </c>
      <c r="E11723" s="787">
        <v>0</v>
      </c>
      <c r="H11723" s="787">
        <v>1</v>
      </c>
      <c r="I11723" s="788">
        <v>39031</v>
      </c>
      <c r="J11723" s="788">
        <v>38705</v>
      </c>
      <c r="L11723" s="787">
        <v>4.07</v>
      </c>
      <c r="M11723" s="787">
        <v>20</v>
      </c>
      <c r="N11723" s="787">
        <v>4.38</v>
      </c>
      <c r="O11723" s="788">
        <v>41858</v>
      </c>
    </row>
    <row r="11724" spans="1:15" x14ac:dyDescent="0.25">
      <c r="A11724" s="786" t="s">
        <v>20975</v>
      </c>
      <c r="B11724" s="787">
        <v>4</v>
      </c>
      <c r="C11724" s="787" t="s">
        <v>20976</v>
      </c>
      <c r="D11724" s="787">
        <v>3</v>
      </c>
      <c r="E11724" s="787">
        <v>16.989999999999998</v>
      </c>
      <c r="F11724" s="788">
        <v>40052</v>
      </c>
      <c r="G11724" s="788">
        <v>42075</v>
      </c>
      <c r="H11724" s="787">
        <v>1</v>
      </c>
      <c r="I11724" s="788">
        <v>42158</v>
      </c>
      <c r="J11724" s="788">
        <v>42075</v>
      </c>
      <c r="K11724" s="788">
        <v>41642</v>
      </c>
      <c r="L11724" s="787">
        <v>16.989999999999998</v>
      </c>
      <c r="M11724" s="787">
        <v>20</v>
      </c>
      <c r="N11724" s="787">
        <v>18.260000000000002</v>
      </c>
      <c r="O11724" s="788">
        <v>42039</v>
      </c>
    </row>
    <row r="11725" spans="1:15" x14ac:dyDescent="0.25">
      <c r="A11725" s="786" t="s">
        <v>20977</v>
      </c>
      <c r="B11725" s="787">
        <v>4</v>
      </c>
      <c r="C11725" s="787" t="s">
        <v>20978</v>
      </c>
      <c r="D11725" s="787">
        <v>0</v>
      </c>
      <c r="E11725" s="787">
        <v>0</v>
      </c>
      <c r="H11725" s="787">
        <v>1</v>
      </c>
      <c r="L11725" s="787">
        <v>0</v>
      </c>
      <c r="M11725" s="787">
        <v>20</v>
      </c>
      <c r="N11725" s="787">
        <v>0</v>
      </c>
      <c r="O11725" s="788">
        <v>40824</v>
      </c>
    </row>
    <row r="11726" spans="1:15" x14ac:dyDescent="0.25">
      <c r="A11726" s="786" t="s">
        <v>20979</v>
      </c>
      <c r="B11726" s="787">
        <v>4</v>
      </c>
      <c r="C11726" s="787" t="s">
        <v>20978</v>
      </c>
      <c r="D11726" s="787">
        <v>0</v>
      </c>
      <c r="E11726" s="787">
        <v>0</v>
      </c>
      <c r="H11726" s="787">
        <v>1</v>
      </c>
      <c r="I11726" s="788">
        <v>38702</v>
      </c>
      <c r="J11726" s="788">
        <v>38705</v>
      </c>
      <c r="L11726" s="787">
        <v>0</v>
      </c>
      <c r="M11726" s="787">
        <v>20</v>
      </c>
      <c r="N11726" s="787">
        <v>0</v>
      </c>
      <c r="O11726" s="788">
        <v>40824</v>
      </c>
    </row>
    <row r="11727" spans="1:15" x14ac:dyDescent="0.25">
      <c r="A11727" s="786" t="s">
        <v>20980</v>
      </c>
      <c r="B11727" s="787">
        <v>4</v>
      </c>
      <c r="C11727" s="787" t="s">
        <v>20981</v>
      </c>
      <c r="D11727" s="787">
        <v>4.07</v>
      </c>
      <c r="E11727" s="787">
        <v>4.07</v>
      </c>
      <c r="F11727" s="788">
        <v>38421</v>
      </c>
      <c r="G11727" s="788">
        <v>38421</v>
      </c>
      <c r="H11727" s="787">
        <v>1</v>
      </c>
      <c r="I11727" s="788">
        <v>38705</v>
      </c>
      <c r="J11727" s="788">
        <v>38481</v>
      </c>
      <c r="L11727" s="787">
        <v>4.07</v>
      </c>
      <c r="M11727" s="787">
        <v>20</v>
      </c>
      <c r="N11727" s="787">
        <v>4.38</v>
      </c>
      <c r="O11727" s="788">
        <v>41858</v>
      </c>
    </row>
    <row r="11728" spans="1:15" x14ac:dyDescent="0.25">
      <c r="A11728" s="786" t="s">
        <v>20982</v>
      </c>
      <c r="B11728" s="787">
        <v>4</v>
      </c>
      <c r="C11728" s="787" t="s">
        <v>20983</v>
      </c>
      <c r="D11728" s="787">
        <v>4.07</v>
      </c>
      <c r="E11728" s="787">
        <v>4.07</v>
      </c>
      <c r="F11728" s="788">
        <v>38460</v>
      </c>
      <c r="G11728" s="788">
        <v>38614</v>
      </c>
      <c r="H11728" s="787">
        <v>1</v>
      </c>
      <c r="I11728" s="788">
        <v>39065</v>
      </c>
      <c r="J11728" s="788">
        <v>38631</v>
      </c>
      <c r="L11728" s="787">
        <v>4.4400000000000004</v>
      </c>
      <c r="M11728" s="787">
        <v>20</v>
      </c>
      <c r="N11728" s="787">
        <v>4.7699999999999996</v>
      </c>
      <c r="O11728" s="788">
        <v>41858</v>
      </c>
    </row>
    <row r="11729" spans="1:15" x14ac:dyDescent="0.25">
      <c r="A11729" s="786" t="s">
        <v>20984</v>
      </c>
      <c r="B11729" s="787">
        <v>4</v>
      </c>
      <c r="C11729" s="787" t="s">
        <v>20985</v>
      </c>
      <c r="D11729" s="787">
        <v>4.66</v>
      </c>
      <c r="E11729" s="787">
        <v>4.66</v>
      </c>
      <c r="F11729" s="788">
        <v>38460</v>
      </c>
      <c r="G11729" s="788">
        <v>38736</v>
      </c>
      <c r="H11729" s="787">
        <v>1</v>
      </c>
      <c r="I11729" s="788">
        <v>38905</v>
      </c>
      <c r="J11729" s="788">
        <v>38469</v>
      </c>
      <c r="L11729" s="787">
        <v>5.08</v>
      </c>
      <c r="M11729" s="787">
        <v>20</v>
      </c>
      <c r="N11729" s="787">
        <v>5.46</v>
      </c>
      <c r="O11729" s="788">
        <v>41858</v>
      </c>
    </row>
    <row r="11730" spans="1:15" x14ac:dyDescent="0.25">
      <c r="A11730" s="786" t="s">
        <v>20986</v>
      </c>
      <c r="B11730" s="787">
        <v>4</v>
      </c>
      <c r="C11730" s="787" t="s">
        <v>20987</v>
      </c>
      <c r="D11730" s="787">
        <v>5</v>
      </c>
      <c r="E11730" s="787">
        <v>5.26</v>
      </c>
      <c r="F11730" s="788">
        <v>39101</v>
      </c>
      <c r="G11730" s="788">
        <v>42166</v>
      </c>
      <c r="H11730" s="787">
        <v>1</v>
      </c>
      <c r="I11730" s="788">
        <v>42166</v>
      </c>
      <c r="J11730" s="788">
        <v>42166</v>
      </c>
      <c r="K11730" s="788">
        <v>40626</v>
      </c>
      <c r="L11730" s="787">
        <v>5.44</v>
      </c>
      <c r="M11730" s="787">
        <v>20</v>
      </c>
      <c r="N11730" s="787">
        <v>5.85</v>
      </c>
      <c r="O11730" s="788">
        <v>42162</v>
      </c>
    </row>
    <row r="11731" spans="1:15" x14ac:dyDescent="0.25">
      <c r="A11731" s="786" t="s">
        <v>20988</v>
      </c>
      <c r="B11731" s="787">
        <v>4</v>
      </c>
      <c r="C11731" s="787" t="s">
        <v>20989</v>
      </c>
      <c r="D11731" s="787">
        <v>5</v>
      </c>
      <c r="E11731" s="787">
        <v>5.26</v>
      </c>
      <c r="F11731" s="788">
        <v>39101</v>
      </c>
      <c r="G11731" s="788">
        <v>41921</v>
      </c>
      <c r="H11731" s="787">
        <v>1</v>
      </c>
      <c r="I11731" s="788">
        <v>42143</v>
      </c>
      <c r="J11731" s="788">
        <v>41921</v>
      </c>
      <c r="K11731" s="788">
        <v>40653</v>
      </c>
      <c r="L11731" s="787">
        <v>5.44</v>
      </c>
      <c r="M11731" s="787">
        <v>20</v>
      </c>
      <c r="N11731" s="787">
        <v>5.85</v>
      </c>
      <c r="O11731" s="788">
        <v>41858</v>
      </c>
    </row>
    <row r="11732" spans="1:15" x14ac:dyDescent="0.25">
      <c r="A11732" s="786" t="s">
        <v>20990</v>
      </c>
      <c r="B11732" s="787">
        <v>4</v>
      </c>
      <c r="C11732" s="787" t="s">
        <v>20991</v>
      </c>
      <c r="D11732" s="787">
        <v>3.04</v>
      </c>
      <c r="E11732" s="787">
        <v>13.04</v>
      </c>
      <c r="F11732" s="788">
        <v>39101</v>
      </c>
      <c r="G11732" s="788">
        <v>40914</v>
      </c>
      <c r="H11732" s="787">
        <v>3</v>
      </c>
      <c r="I11732" s="788">
        <v>39134</v>
      </c>
      <c r="J11732" s="788">
        <v>39149</v>
      </c>
      <c r="L11732" s="787">
        <v>12.54</v>
      </c>
      <c r="M11732" s="787">
        <v>20</v>
      </c>
      <c r="N11732" s="787">
        <v>13.48</v>
      </c>
      <c r="O11732" s="788">
        <v>41858</v>
      </c>
    </row>
    <row r="11733" spans="1:15" x14ac:dyDescent="0.25">
      <c r="A11733" s="786" t="s">
        <v>20992</v>
      </c>
      <c r="B11733" s="787">
        <v>4</v>
      </c>
      <c r="C11733" s="787" t="s">
        <v>20993</v>
      </c>
      <c r="D11733" s="787">
        <v>2.02</v>
      </c>
      <c r="E11733" s="787">
        <v>12.02</v>
      </c>
      <c r="F11733" s="788">
        <v>38440</v>
      </c>
      <c r="G11733" s="788">
        <v>38736</v>
      </c>
      <c r="H11733" s="787">
        <v>1</v>
      </c>
      <c r="I11733" s="788">
        <v>38905</v>
      </c>
      <c r="J11733" s="788">
        <v>38517</v>
      </c>
      <c r="L11733" s="787">
        <v>13.1</v>
      </c>
      <c r="M11733" s="787">
        <v>20</v>
      </c>
      <c r="N11733" s="787">
        <v>14.08</v>
      </c>
      <c r="O11733" s="788">
        <v>41858</v>
      </c>
    </row>
    <row r="11734" spans="1:15" x14ac:dyDescent="0.25">
      <c r="A11734" s="786" t="s">
        <v>20994</v>
      </c>
      <c r="B11734" s="787">
        <v>4</v>
      </c>
      <c r="C11734" s="787" t="s">
        <v>20995</v>
      </c>
      <c r="D11734" s="787">
        <v>8.57</v>
      </c>
      <c r="E11734" s="787">
        <v>12.24</v>
      </c>
      <c r="F11734" s="788">
        <v>40935</v>
      </c>
      <c r="G11734" s="788">
        <v>42165</v>
      </c>
      <c r="H11734" s="787">
        <v>1</v>
      </c>
      <c r="I11734" s="788">
        <v>42166</v>
      </c>
      <c r="J11734" s="788">
        <v>42165</v>
      </c>
      <c r="K11734" s="788">
        <v>40626</v>
      </c>
      <c r="L11734" s="787">
        <v>12.67</v>
      </c>
      <c r="M11734" s="787">
        <v>20</v>
      </c>
      <c r="N11734" s="787">
        <v>13.62</v>
      </c>
      <c r="O11734" s="788">
        <v>42162</v>
      </c>
    </row>
    <row r="11735" spans="1:15" x14ac:dyDescent="0.25">
      <c r="A11735" s="786" t="s">
        <v>20996</v>
      </c>
      <c r="B11735" s="787">
        <v>4</v>
      </c>
      <c r="C11735" s="787" t="s">
        <v>20997</v>
      </c>
      <c r="D11735" s="787">
        <v>0</v>
      </c>
      <c r="E11735" s="787">
        <v>0</v>
      </c>
      <c r="H11735" s="787">
        <v>1</v>
      </c>
      <c r="K11735" s="788">
        <v>41569</v>
      </c>
      <c r="L11735" s="787">
        <v>1.22</v>
      </c>
      <c r="M11735" s="787">
        <v>10</v>
      </c>
      <c r="N11735" s="787">
        <v>0</v>
      </c>
    </row>
    <row r="11736" spans="1:15" x14ac:dyDescent="0.25">
      <c r="A11736" s="786" t="s">
        <v>20996</v>
      </c>
      <c r="B11736" s="787">
        <v>4</v>
      </c>
      <c r="C11736" s="787" t="s">
        <v>20997</v>
      </c>
      <c r="D11736" s="787">
        <v>0</v>
      </c>
      <c r="E11736" s="787">
        <v>0</v>
      </c>
      <c r="H11736" s="787">
        <v>1</v>
      </c>
      <c r="K11736" s="788">
        <v>41569</v>
      </c>
      <c r="L11736" s="787">
        <v>1.22</v>
      </c>
      <c r="M11736" s="787">
        <v>10</v>
      </c>
      <c r="N11736" s="787">
        <v>0</v>
      </c>
    </row>
    <row r="11737" spans="1:15" x14ac:dyDescent="0.25">
      <c r="A11737" s="786" t="s">
        <v>20996</v>
      </c>
      <c r="B11737" s="787">
        <v>4</v>
      </c>
      <c r="C11737" s="787" t="s">
        <v>20997</v>
      </c>
      <c r="D11737" s="787">
        <v>0</v>
      </c>
      <c r="E11737" s="787">
        <v>0</v>
      </c>
      <c r="H11737" s="787">
        <v>1</v>
      </c>
      <c r="K11737" s="788">
        <v>41569</v>
      </c>
      <c r="L11737" s="787">
        <v>1.22</v>
      </c>
      <c r="M11737" s="787">
        <v>10</v>
      </c>
      <c r="N11737" s="787">
        <v>0</v>
      </c>
    </row>
    <row r="11738" spans="1:15" x14ac:dyDescent="0.25">
      <c r="A11738" s="786" t="s">
        <v>20996</v>
      </c>
      <c r="B11738" s="787">
        <v>4</v>
      </c>
      <c r="C11738" s="787" t="s">
        <v>20997</v>
      </c>
      <c r="D11738" s="787">
        <v>0</v>
      </c>
      <c r="E11738" s="787">
        <v>0</v>
      </c>
      <c r="H11738" s="787">
        <v>1</v>
      </c>
      <c r="K11738" s="788">
        <v>41569</v>
      </c>
      <c r="L11738" s="787">
        <v>1.22</v>
      </c>
      <c r="M11738" s="787">
        <v>10</v>
      </c>
      <c r="N11738" s="787">
        <v>0</v>
      </c>
    </row>
    <row r="11739" spans="1:15" x14ac:dyDescent="0.25">
      <c r="A11739" s="786" t="s">
        <v>20996</v>
      </c>
      <c r="B11739" s="787">
        <v>4</v>
      </c>
      <c r="C11739" s="787" t="s">
        <v>20997</v>
      </c>
      <c r="D11739" s="787">
        <v>0</v>
      </c>
      <c r="E11739" s="787">
        <v>0</v>
      </c>
      <c r="H11739" s="787">
        <v>1</v>
      </c>
      <c r="K11739" s="788">
        <v>41569</v>
      </c>
      <c r="L11739" s="787">
        <v>1.22</v>
      </c>
      <c r="M11739" s="787">
        <v>10</v>
      </c>
      <c r="N11739" s="787">
        <v>0</v>
      </c>
    </row>
    <row r="11740" spans="1:15" x14ac:dyDescent="0.25">
      <c r="A11740" s="786" t="s">
        <v>20996</v>
      </c>
      <c r="B11740" s="787">
        <v>4</v>
      </c>
      <c r="C11740" s="787" t="s">
        <v>20997</v>
      </c>
      <c r="D11740" s="787">
        <v>0</v>
      </c>
      <c r="E11740" s="787">
        <v>0</v>
      </c>
      <c r="H11740" s="787">
        <v>1</v>
      </c>
      <c r="K11740" s="788">
        <v>41569</v>
      </c>
      <c r="L11740" s="787">
        <v>1.22</v>
      </c>
      <c r="M11740" s="787">
        <v>10</v>
      </c>
      <c r="N11740" s="787">
        <v>0</v>
      </c>
    </row>
    <row r="11741" spans="1:15" x14ac:dyDescent="0.25">
      <c r="A11741" s="786" t="s">
        <v>20996</v>
      </c>
      <c r="B11741" s="787">
        <v>4</v>
      </c>
      <c r="C11741" s="787" t="s">
        <v>20997</v>
      </c>
      <c r="D11741" s="787">
        <v>0</v>
      </c>
      <c r="E11741" s="787">
        <v>0</v>
      </c>
      <c r="H11741" s="787">
        <v>1</v>
      </c>
      <c r="K11741" s="788">
        <v>41569</v>
      </c>
      <c r="L11741" s="787">
        <v>1.22</v>
      </c>
      <c r="M11741" s="787">
        <v>10</v>
      </c>
      <c r="N11741" s="787">
        <v>0</v>
      </c>
    </row>
    <row r="11742" spans="1:15" x14ac:dyDescent="0.25">
      <c r="A11742" s="786" t="s">
        <v>20996</v>
      </c>
      <c r="B11742" s="787">
        <v>4</v>
      </c>
      <c r="C11742" s="787" t="s">
        <v>20997</v>
      </c>
      <c r="D11742" s="787">
        <v>0</v>
      </c>
      <c r="E11742" s="787">
        <v>0</v>
      </c>
      <c r="H11742" s="787">
        <v>1</v>
      </c>
      <c r="K11742" s="788">
        <v>41569</v>
      </c>
      <c r="L11742" s="787">
        <v>1.22</v>
      </c>
      <c r="M11742" s="787">
        <v>10</v>
      </c>
      <c r="N11742" s="787">
        <v>0</v>
      </c>
    </row>
    <row r="11743" spans="1:15" x14ac:dyDescent="0.25">
      <c r="A11743" s="786" t="s">
        <v>20996</v>
      </c>
      <c r="B11743" s="787">
        <v>4</v>
      </c>
      <c r="C11743" s="787" t="s">
        <v>20997</v>
      </c>
      <c r="D11743" s="787">
        <v>0</v>
      </c>
      <c r="E11743" s="787">
        <v>0</v>
      </c>
      <c r="H11743" s="787">
        <v>1</v>
      </c>
      <c r="K11743" s="788">
        <v>41569</v>
      </c>
      <c r="L11743" s="787">
        <v>1.22</v>
      </c>
      <c r="M11743" s="787">
        <v>10</v>
      </c>
      <c r="N11743" s="787">
        <v>0</v>
      </c>
    </row>
    <row r="11744" spans="1:15" x14ac:dyDescent="0.25">
      <c r="A11744" s="786" t="s">
        <v>20996</v>
      </c>
      <c r="B11744" s="787">
        <v>4</v>
      </c>
      <c r="C11744" s="787" t="s">
        <v>20997</v>
      </c>
      <c r="D11744" s="787">
        <v>0</v>
      </c>
      <c r="E11744" s="787">
        <v>0</v>
      </c>
      <c r="H11744" s="787">
        <v>1</v>
      </c>
      <c r="K11744" s="788">
        <v>41569</v>
      </c>
      <c r="L11744" s="787">
        <v>1.22</v>
      </c>
      <c r="M11744" s="787">
        <v>10</v>
      </c>
      <c r="N11744" s="787">
        <v>0</v>
      </c>
    </row>
    <row r="11745" spans="1:14" x14ac:dyDescent="0.25">
      <c r="A11745" s="786" t="s">
        <v>20996</v>
      </c>
      <c r="B11745" s="787">
        <v>4</v>
      </c>
      <c r="C11745" s="787" t="s">
        <v>20997</v>
      </c>
      <c r="D11745" s="787">
        <v>0</v>
      </c>
      <c r="E11745" s="787">
        <v>0</v>
      </c>
      <c r="H11745" s="787">
        <v>1</v>
      </c>
      <c r="K11745" s="788">
        <v>41569</v>
      </c>
      <c r="L11745" s="787">
        <v>1.22</v>
      </c>
      <c r="M11745" s="787">
        <v>10</v>
      </c>
      <c r="N11745" s="787">
        <v>0</v>
      </c>
    </row>
    <row r="11746" spans="1:14" x14ac:dyDescent="0.25">
      <c r="A11746" s="786" t="s">
        <v>20996</v>
      </c>
      <c r="B11746" s="787">
        <v>4</v>
      </c>
      <c r="C11746" s="787" t="s">
        <v>20997</v>
      </c>
      <c r="D11746" s="787">
        <v>0</v>
      </c>
      <c r="E11746" s="787">
        <v>0</v>
      </c>
      <c r="H11746" s="787">
        <v>1</v>
      </c>
      <c r="K11746" s="788">
        <v>41569</v>
      </c>
      <c r="L11746" s="787">
        <v>1.22</v>
      </c>
      <c r="M11746" s="787">
        <v>10</v>
      </c>
      <c r="N11746" s="787">
        <v>0</v>
      </c>
    </row>
    <row r="11747" spans="1:14" x14ac:dyDescent="0.25">
      <c r="A11747" s="786" t="s">
        <v>20996</v>
      </c>
      <c r="B11747" s="787">
        <v>4</v>
      </c>
      <c r="C11747" s="787" t="s">
        <v>20997</v>
      </c>
      <c r="D11747" s="787">
        <v>0</v>
      </c>
      <c r="E11747" s="787">
        <v>0</v>
      </c>
      <c r="H11747" s="787">
        <v>1</v>
      </c>
      <c r="K11747" s="788">
        <v>41569</v>
      </c>
      <c r="L11747" s="787">
        <v>1.22</v>
      </c>
      <c r="M11747" s="787">
        <v>10</v>
      </c>
      <c r="N11747" s="787">
        <v>0</v>
      </c>
    </row>
    <row r="11748" spans="1:14" x14ac:dyDescent="0.25">
      <c r="A11748" s="786" t="s">
        <v>20996</v>
      </c>
      <c r="B11748" s="787">
        <v>4</v>
      </c>
      <c r="C11748" s="787" t="s">
        <v>20997</v>
      </c>
      <c r="D11748" s="787">
        <v>0</v>
      </c>
      <c r="E11748" s="787">
        <v>0</v>
      </c>
      <c r="H11748" s="787">
        <v>1</v>
      </c>
      <c r="K11748" s="788">
        <v>41569</v>
      </c>
      <c r="L11748" s="787">
        <v>1.22</v>
      </c>
      <c r="M11748" s="787">
        <v>10</v>
      </c>
      <c r="N11748" s="787">
        <v>0</v>
      </c>
    </row>
    <row r="11749" spans="1:14" x14ac:dyDescent="0.25">
      <c r="A11749" s="786" t="s">
        <v>20996</v>
      </c>
      <c r="B11749" s="787">
        <v>4</v>
      </c>
      <c r="C11749" s="787" t="s">
        <v>20997</v>
      </c>
      <c r="D11749" s="787">
        <v>0</v>
      </c>
      <c r="E11749" s="787">
        <v>0</v>
      </c>
      <c r="H11749" s="787">
        <v>1</v>
      </c>
      <c r="K11749" s="788">
        <v>41569</v>
      </c>
      <c r="L11749" s="787">
        <v>1.22</v>
      </c>
      <c r="M11749" s="787">
        <v>10</v>
      </c>
      <c r="N11749" s="787">
        <v>0</v>
      </c>
    </row>
    <row r="11750" spans="1:14" x14ac:dyDescent="0.25">
      <c r="A11750" s="786" t="s">
        <v>20996</v>
      </c>
      <c r="B11750" s="787">
        <v>4</v>
      </c>
      <c r="C11750" s="787" t="s">
        <v>20997</v>
      </c>
      <c r="D11750" s="787">
        <v>0</v>
      </c>
      <c r="E11750" s="787">
        <v>0</v>
      </c>
      <c r="H11750" s="787">
        <v>1</v>
      </c>
      <c r="K11750" s="788">
        <v>41569</v>
      </c>
      <c r="L11750" s="787">
        <v>1.22</v>
      </c>
      <c r="M11750" s="787">
        <v>10</v>
      </c>
      <c r="N11750" s="787">
        <v>0</v>
      </c>
    </row>
    <row r="11751" spans="1:14" x14ac:dyDescent="0.25">
      <c r="A11751" s="786" t="s">
        <v>20996</v>
      </c>
      <c r="B11751" s="787">
        <v>4</v>
      </c>
      <c r="C11751" s="787" t="s">
        <v>20997</v>
      </c>
      <c r="D11751" s="787">
        <v>0</v>
      </c>
      <c r="E11751" s="787">
        <v>0</v>
      </c>
      <c r="H11751" s="787">
        <v>1</v>
      </c>
      <c r="K11751" s="788">
        <v>41569</v>
      </c>
      <c r="L11751" s="787">
        <v>1.22</v>
      </c>
      <c r="M11751" s="787">
        <v>10</v>
      </c>
      <c r="N11751" s="787">
        <v>0</v>
      </c>
    </row>
    <row r="11752" spans="1:14" x14ac:dyDescent="0.25">
      <c r="A11752" s="786" t="s">
        <v>20996</v>
      </c>
      <c r="B11752" s="787">
        <v>4</v>
      </c>
      <c r="C11752" s="787" t="s">
        <v>20997</v>
      </c>
      <c r="D11752" s="787">
        <v>0</v>
      </c>
      <c r="E11752" s="787">
        <v>0</v>
      </c>
      <c r="H11752" s="787">
        <v>1</v>
      </c>
      <c r="K11752" s="788">
        <v>41569</v>
      </c>
      <c r="L11752" s="787">
        <v>1.22</v>
      </c>
      <c r="M11752" s="787">
        <v>10</v>
      </c>
      <c r="N11752" s="787">
        <v>0</v>
      </c>
    </row>
    <row r="11753" spans="1:14" x14ac:dyDescent="0.25">
      <c r="A11753" s="786" t="s">
        <v>20996</v>
      </c>
      <c r="B11753" s="787">
        <v>4</v>
      </c>
      <c r="C11753" s="787" t="s">
        <v>20997</v>
      </c>
      <c r="D11753" s="787">
        <v>0</v>
      </c>
      <c r="E11753" s="787">
        <v>0</v>
      </c>
      <c r="H11753" s="787">
        <v>1</v>
      </c>
      <c r="K11753" s="788">
        <v>41569</v>
      </c>
      <c r="L11753" s="787">
        <v>1.22</v>
      </c>
      <c r="M11753" s="787">
        <v>10</v>
      </c>
      <c r="N11753" s="787">
        <v>0</v>
      </c>
    </row>
    <row r="11754" spans="1:14" x14ac:dyDescent="0.25">
      <c r="A11754" s="786" t="s">
        <v>20996</v>
      </c>
      <c r="B11754" s="787">
        <v>4</v>
      </c>
      <c r="C11754" s="787" t="s">
        <v>20997</v>
      </c>
      <c r="D11754" s="787">
        <v>0</v>
      </c>
      <c r="E11754" s="787">
        <v>0</v>
      </c>
      <c r="H11754" s="787">
        <v>1</v>
      </c>
      <c r="K11754" s="788">
        <v>41569</v>
      </c>
      <c r="L11754" s="787">
        <v>1.22</v>
      </c>
      <c r="M11754" s="787">
        <v>10</v>
      </c>
      <c r="N11754" s="787">
        <v>0</v>
      </c>
    </row>
    <row r="11755" spans="1:14" x14ac:dyDescent="0.25">
      <c r="A11755" s="786" t="s">
        <v>20996</v>
      </c>
      <c r="B11755" s="787">
        <v>4</v>
      </c>
      <c r="C11755" s="787" t="s">
        <v>20997</v>
      </c>
      <c r="D11755" s="787">
        <v>0</v>
      </c>
      <c r="E11755" s="787">
        <v>0</v>
      </c>
      <c r="H11755" s="787">
        <v>1</v>
      </c>
      <c r="K11755" s="788">
        <v>41569</v>
      </c>
      <c r="L11755" s="787">
        <v>1.22</v>
      </c>
      <c r="M11755" s="787">
        <v>10</v>
      </c>
      <c r="N11755" s="787">
        <v>0</v>
      </c>
    </row>
    <row r="11756" spans="1:14" x14ac:dyDescent="0.25">
      <c r="A11756" s="786" t="s">
        <v>20996</v>
      </c>
      <c r="B11756" s="787">
        <v>4</v>
      </c>
      <c r="C11756" s="787" t="s">
        <v>20997</v>
      </c>
      <c r="D11756" s="787">
        <v>0</v>
      </c>
      <c r="E11756" s="787">
        <v>0</v>
      </c>
      <c r="H11756" s="787">
        <v>1</v>
      </c>
      <c r="K11756" s="788">
        <v>41569</v>
      </c>
      <c r="L11756" s="787">
        <v>1.22</v>
      </c>
      <c r="M11756" s="787">
        <v>10</v>
      </c>
      <c r="N11756" s="787">
        <v>0</v>
      </c>
    </row>
    <row r="11757" spans="1:14" x14ac:dyDescent="0.25">
      <c r="A11757" s="786" t="s">
        <v>20996</v>
      </c>
      <c r="B11757" s="787">
        <v>4</v>
      </c>
      <c r="C11757" s="787" t="s">
        <v>20997</v>
      </c>
      <c r="D11757" s="787">
        <v>0</v>
      </c>
      <c r="E11757" s="787">
        <v>0</v>
      </c>
      <c r="H11757" s="787">
        <v>1</v>
      </c>
      <c r="K11757" s="788">
        <v>41569</v>
      </c>
      <c r="L11757" s="787">
        <v>1.22</v>
      </c>
      <c r="M11757" s="787">
        <v>10</v>
      </c>
      <c r="N11757" s="787">
        <v>0</v>
      </c>
    </row>
    <row r="11758" spans="1:14" x14ac:dyDescent="0.25">
      <c r="A11758" s="786" t="s">
        <v>20996</v>
      </c>
      <c r="B11758" s="787">
        <v>4</v>
      </c>
      <c r="C11758" s="787" t="s">
        <v>20997</v>
      </c>
      <c r="D11758" s="787">
        <v>0</v>
      </c>
      <c r="E11758" s="787">
        <v>0</v>
      </c>
      <c r="H11758" s="787">
        <v>1</v>
      </c>
      <c r="K11758" s="788">
        <v>41569</v>
      </c>
      <c r="L11758" s="787">
        <v>1.22</v>
      </c>
      <c r="M11758" s="787">
        <v>10</v>
      </c>
      <c r="N11758" s="787">
        <v>0</v>
      </c>
    </row>
    <row r="11759" spans="1:14" x14ac:dyDescent="0.25">
      <c r="A11759" s="786" t="s">
        <v>20996</v>
      </c>
      <c r="B11759" s="787">
        <v>4</v>
      </c>
      <c r="C11759" s="787" t="s">
        <v>20997</v>
      </c>
      <c r="D11759" s="787">
        <v>0</v>
      </c>
      <c r="E11759" s="787">
        <v>0</v>
      </c>
      <c r="H11759" s="787">
        <v>1</v>
      </c>
      <c r="K11759" s="788">
        <v>41569</v>
      </c>
      <c r="L11759" s="787">
        <v>1.22</v>
      </c>
      <c r="M11759" s="787">
        <v>10</v>
      </c>
      <c r="N11759" s="787">
        <v>0</v>
      </c>
    </row>
    <row r="11760" spans="1:14" x14ac:dyDescent="0.25">
      <c r="A11760" s="786" t="s">
        <v>20996</v>
      </c>
      <c r="B11760" s="787">
        <v>4</v>
      </c>
      <c r="C11760" s="787" t="s">
        <v>20997</v>
      </c>
      <c r="D11760" s="787">
        <v>0</v>
      </c>
      <c r="E11760" s="787">
        <v>0</v>
      </c>
      <c r="H11760" s="787">
        <v>1</v>
      </c>
      <c r="K11760" s="788">
        <v>41569</v>
      </c>
      <c r="L11760" s="787">
        <v>1.22</v>
      </c>
      <c r="M11760" s="787">
        <v>10</v>
      </c>
      <c r="N11760" s="787">
        <v>0</v>
      </c>
    </row>
    <row r="11761" spans="1:14" x14ac:dyDescent="0.25">
      <c r="A11761" s="786" t="s">
        <v>20996</v>
      </c>
      <c r="B11761" s="787">
        <v>4</v>
      </c>
      <c r="C11761" s="787" t="s">
        <v>20997</v>
      </c>
      <c r="D11761" s="787">
        <v>0</v>
      </c>
      <c r="E11761" s="787">
        <v>0</v>
      </c>
      <c r="H11761" s="787">
        <v>1</v>
      </c>
      <c r="K11761" s="788">
        <v>41569</v>
      </c>
      <c r="L11761" s="787">
        <v>1.22</v>
      </c>
      <c r="M11761" s="787">
        <v>10</v>
      </c>
      <c r="N11761" s="787">
        <v>0</v>
      </c>
    </row>
    <row r="11762" spans="1:14" x14ac:dyDescent="0.25">
      <c r="A11762" s="786" t="s">
        <v>20996</v>
      </c>
      <c r="B11762" s="787">
        <v>4</v>
      </c>
      <c r="C11762" s="787" t="s">
        <v>20997</v>
      </c>
      <c r="D11762" s="787">
        <v>0</v>
      </c>
      <c r="E11762" s="787">
        <v>0</v>
      </c>
      <c r="H11762" s="787">
        <v>1</v>
      </c>
      <c r="K11762" s="788">
        <v>41569</v>
      </c>
      <c r="L11762" s="787">
        <v>1.22</v>
      </c>
      <c r="M11762" s="787">
        <v>10</v>
      </c>
      <c r="N11762" s="787">
        <v>0</v>
      </c>
    </row>
    <row r="11763" spans="1:14" x14ac:dyDescent="0.25">
      <c r="A11763" s="786" t="s">
        <v>20996</v>
      </c>
      <c r="B11763" s="787">
        <v>4</v>
      </c>
      <c r="C11763" s="787" t="s">
        <v>20997</v>
      </c>
      <c r="D11763" s="787">
        <v>0</v>
      </c>
      <c r="E11763" s="787">
        <v>0</v>
      </c>
      <c r="H11763" s="787">
        <v>1</v>
      </c>
      <c r="K11763" s="788">
        <v>41569</v>
      </c>
      <c r="L11763" s="787">
        <v>1.22</v>
      </c>
      <c r="M11763" s="787">
        <v>10</v>
      </c>
      <c r="N11763" s="787">
        <v>0</v>
      </c>
    </row>
    <row r="11764" spans="1:14" x14ac:dyDescent="0.25">
      <c r="A11764" s="786" t="s">
        <v>20996</v>
      </c>
      <c r="B11764" s="787">
        <v>4</v>
      </c>
      <c r="C11764" s="787" t="s">
        <v>20997</v>
      </c>
      <c r="D11764" s="787">
        <v>0</v>
      </c>
      <c r="E11764" s="787">
        <v>0</v>
      </c>
      <c r="H11764" s="787">
        <v>1</v>
      </c>
      <c r="K11764" s="788">
        <v>41569</v>
      </c>
      <c r="L11764" s="787">
        <v>1.22</v>
      </c>
      <c r="M11764" s="787">
        <v>10</v>
      </c>
      <c r="N11764" s="787">
        <v>0</v>
      </c>
    </row>
    <row r="11765" spans="1:14" x14ac:dyDescent="0.25">
      <c r="A11765" s="786" t="s">
        <v>20996</v>
      </c>
      <c r="B11765" s="787">
        <v>4</v>
      </c>
      <c r="C11765" s="787" t="s">
        <v>20997</v>
      </c>
      <c r="D11765" s="787">
        <v>0</v>
      </c>
      <c r="E11765" s="787">
        <v>0</v>
      </c>
      <c r="H11765" s="787">
        <v>1</v>
      </c>
      <c r="K11765" s="788">
        <v>41569</v>
      </c>
      <c r="L11765" s="787">
        <v>1.22</v>
      </c>
      <c r="M11765" s="787">
        <v>10</v>
      </c>
      <c r="N11765" s="787">
        <v>0</v>
      </c>
    </row>
    <row r="11766" spans="1:14" x14ac:dyDescent="0.25">
      <c r="A11766" s="786" t="s">
        <v>20996</v>
      </c>
      <c r="B11766" s="787">
        <v>4</v>
      </c>
      <c r="C11766" s="787" t="s">
        <v>20997</v>
      </c>
      <c r="D11766" s="787">
        <v>0</v>
      </c>
      <c r="E11766" s="787">
        <v>0</v>
      </c>
      <c r="H11766" s="787">
        <v>1</v>
      </c>
      <c r="K11766" s="788">
        <v>41569</v>
      </c>
      <c r="L11766" s="787">
        <v>1.22</v>
      </c>
      <c r="M11766" s="787">
        <v>10</v>
      </c>
      <c r="N11766" s="787">
        <v>0</v>
      </c>
    </row>
    <row r="11767" spans="1:14" x14ac:dyDescent="0.25">
      <c r="A11767" s="786" t="s">
        <v>20996</v>
      </c>
      <c r="B11767" s="787">
        <v>4</v>
      </c>
      <c r="C11767" s="787" t="s">
        <v>20997</v>
      </c>
      <c r="D11767" s="787">
        <v>0</v>
      </c>
      <c r="E11767" s="787">
        <v>0</v>
      </c>
      <c r="H11767" s="787">
        <v>1</v>
      </c>
      <c r="K11767" s="788">
        <v>41569</v>
      </c>
      <c r="L11767" s="787">
        <v>1.22</v>
      </c>
      <c r="M11767" s="787">
        <v>10</v>
      </c>
      <c r="N11767" s="787">
        <v>0</v>
      </c>
    </row>
    <row r="11768" spans="1:14" x14ac:dyDescent="0.25">
      <c r="A11768" s="786" t="s">
        <v>20996</v>
      </c>
      <c r="B11768" s="787">
        <v>4</v>
      </c>
      <c r="C11768" s="787" t="s">
        <v>20997</v>
      </c>
      <c r="D11768" s="787">
        <v>0</v>
      </c>
      <c r="E11768" s="787">
        <v>0</v>
      </c>
      <c r="H11768" s="787">
        <v>1</v>
      </c>
      <c r="K11768" s="788">
        <v>41569</v>
      </c>
      <c r="L11768" s="787">
        <v>1.22</v>
      </c>
      <c r="M11768" s="787">
        <v>10</v>
      </c>
      <c r="N11768" s="787">
        <v>0</v>
      </c>
    </row>
    <row r="11769" spans="1:14" x14ac:dyDescent="0.25">
      <c r="A11769" s="786" t="s">
        <v>20996</v>
      </c>
      <c r="B11769" s="787">
        <v>4</v>
      </c>
      <c r="C11769" s="787" t="s">
        <v>20997</v>
      </c>
      <c r="D11769" s="787">
        <v>0</v>
      </c>
      <c r="E11769" s="787">
        <v>0</v>
      </c>
      <c r="H11769" s="787">
        <v>1</v>
      </c>
      <c r="K11769" s="788">
        <v>41569</v>
      </c>
      <c r="L11769" s="787">
        <v>1.22</v>
      </c>
      <c r="M11769" s="787">
        <v>10</v>
      </c>
      <c r="N11769" s="787">
        <v>0</v>
      </c>
    </row>
    <row r="11770" spans="1:14" x14ac:dyDescent="0.25">
      <c r="A11770" s="786" t="s">
        <v>20996</v>
      </c>
      <c r="B11770" s="787">
        <v>4</v>
      </c>
      <c r="C11770" s="787" t="s">
        <v>20997</v>
      </c>
      <c r="D11770" s="787">
        <v>0</v>
      </c>
      <c r="E11770" s="787">
        <v>0</v>
      </c>
      <c r="H11770" s="787">
        <v>1</v>
      </c>
      <c r="K11770" s="788">
        <v>41569</v>
      </c>
      <c r="L11770" s="787">
        <v>1.22</v>
      </c>
      <c r="M11770" s="787">
        <v>10</v>
      </c>
      <c r="N11770" s="787">
        <v>0</v>
      </c>
    </row>
    <row r="11771" spans="1:14" x14ac:dyDescent="0.25">
      <c r="A11771" s="786" t="s">
        <v>20996</v>
      </c>
      <c r="B11771" s="787">
        <v>4</v>
      </c>
      <c r="C11771" s="787" t="s">
        <v>20997</v>
      </c>
      <c r="D11771" s="787">
        <v>0</v>
      </c>
      <c r="E11771" s="787">
        <v>0</v>
      </c>
      <c r="H11771" s="787">
        <v>1</v>
      </c>
      <c r="K11771" s="788">
        <v>41569</v>
      </c>
      <c r="L11771" s="787">
        <v>1.22</v>
      </c>
      <c r="M11771" s="787">
        <v>10</v>
      </c>
      <c r="N11771" s="787">
        <v>0</v>
      </c>
    </row>
    <row r="11772" spans="1:14" x14ac:dyDescent="0.25">
      <c r="A11772" s="786" t="s">
        <v>20996</v>
      </c>
      <c r="B11772" s="787">
        <v>4</v>
      </c>
      <c r="C11772" s="787" t="s">
        <v>20997</v>
      </c>
      <c r="D11772" s="787">
        <v>0</v>
      </c>
      <c r="E11772" s="787">
        <v>0</v>
      </c>
      <c r="H11772" s="787">
        <v>1</v>
      </c>
      <c r="K11772" s="788">
        <v>41569</v>
      </c>
      <c r="L11772" s="787">
        <v>1.22</v>
      </c>
      <c r="M11772" s="787">
        <v>10</v>
      </c>
      <c r="N11772" s="787">
        <v>0</v>
      </c>
    </row>
    <row r="11773" spans="1:14" x14ac:dyDescent="0.25">
      <c r="A11773" s="786" t="s">
        <v>20996</v>
      </c>
      <c r="B11773" s="787">
        <v>4</v>
      </c>
      <c r="C11773" s="787" t="s">
        <v>20997</v>
      </c>
      <c r="D11773" s="787">
        <v>0</v>
      </c>
      <c r="E11773" s="787">
        <v>0</v>
      </c>
      <c r="H11773" s="787">
        <v>1</v>
      </c>
      <c r="K11773" s="788">
        <v>41569</v>
      </c>
      <c r="L11773" s="787">
        <v>1.22</v>
      </c>
      <c r="M11773" s="787">
        <v>10</v>
      </c>
      <c r="N11773" s="787">
        <v>0</v>
      </c>
    </row>
    <row r="11774" spans="1:14" x14ac:dyDescent="0.25">
      <c r="A11774" s="786" t="s">
        <v>20996</v>
      </c>
      <c r="B11774" s="787">
        <v>4</v>
      </c>
      <c r="C11774" s="787" t="s">
        <v>20997</v>
      </c>
      <c r="D11774" s="787">
        <v>0</v>
      </c>
      <c r="E11774" s="787">
        <v>0</v>
      </c>
      <c r="H11774" s="787">
        <v>1</v>
      </c>
      <c r="K11774" s="788">
        <v>41569</v>
      </c>
      <c r="L11774" s="787">
        <v>1.22</v>
      </c>
      <c r="M11774" s="787">
        <v>10</v>
      </c>
      <c r="N11774" s="787">
        <v>0</v>
      </c>
    </row>
    <row r="11775" spans="1:14" x14ac:dyDescent="0.25">
      <c r="A11775" s="786" t="s">
        <v>20996</v>
      </c>
      <c r="B11775" s="787">
        <v>4</v>
      </c>
      <c r="C11775" s="787" t="s">
        <v>20997</v>
      </c>
      <c r="D11775" s="787">
        <v>0</v>
      </c>
      <c r="E11775" s="787">
        <v>0</v>
      </c>
      <c r="H11775" s="787">
        <v>1</v>
      </c>
      <c r="K11775" s="788">
        <v>41569</v>
      </c>
      <c r="L11775" s="787">
        <v>1.22</v>
      </c>
      <c r="M11775" s="787">
        <v>10</v>
      </c>
      <c r="N11775" s="787">
        <v>0</v>
      </c>
    </row>
    <row r="11776" spans="1:14" x14ac:dyDescent="0.25">
      <c r="A11776" s="786" t="s">
        <v>20996</v>
      </c>
      <c r="B11776" s="787">
        <v>4</v>
      </c>
      <c r="C11776" s="787" t="s">
        <v>20997</v>
      </c>
      <c r="D11776" s="787">
        <v>0</v>
      </c>
      <c r="E11776" s="787">
        <v>0</v>
      </c>
      <c r="H11776" s="787">
        <v>1</v>
      </c>
      <c r="K11776" s="788">
        <v>41569</v>
      </c>
      <c r="L11776" s="787">
        <v>1.22</v>
      </c>
      <c r="M11776" s="787">
        <v>10</v>
      </c>
      <c r="N11776" s="787">
        <v>0</v>
      </c>
    </row>
    <row r="11777" spans="1:14" x14ac:dyDescent="0.25">
      <c r="A11777" s="786" t="s">
        <v>20996</v>
      </c>
      <c r="B11777" s="787">
        <v>4</v>
      </c>
      <c r="C11777" s="787" t="s">
        <v>20997</v>
      </c>
      <c r="D11777" s="787">
        <v>0</v>
      </c>
      <c r="E11777" s="787">
        <v>0</v>
      </c>
      <c r="H11777" s="787">
        <v>1</v>
      </c>
      <c r="K11777" s="788">
        <v>41569</v>
      </c>
      <c r="L11777" s="787">
        <v>1.22</v>
      </c>
      <c r="M11777" s="787">
        <v>10</v>
      </c>
      <c r="N11777" s="787">
        <v>0</v>
      </c>
    </row>
    <row r="11778" spans="1:14" x14ac:dyDescent="0.25">
      <c r="A11778" s="786" t="s">
        <v>20996</v>
      </c>
      <c r="B11778" s="787">
        <v>4</v>
      </c>
      <c r="C11778" s="787" t="s">
        <v>20997</v>
      </c>
      <c r="D11778" s="787">
        <v>0</v>
      </c>
      <c r="E11778" s="787">
        <v>0</v>
      </c>
      <c r="H11778" s="787">
        <v>1</v>
      </c>
      <c r="K11778" s="788">
        <v>41569</v>
      </c>
      <c r="L11778" s="787">
        <v>1.22</v>
      </c>
      <c r="M11778" s="787">
        <v>10</v>
      </c>
      <c r="N11778" s="787">
        <v>0</v>
      </c>
    </row>
    <row r="11779" spans="1:14" x14ac:dyDescent="0.25">
      <c r="A11779" s="786" t="s">
        <v>20996</v>
      </c>
      <c r="B11779" s="787">
        <v>4</v>
      </c>
      <c r="C11779" s="787" t="s">
        <v>20997</v>
      </c>
      <c r="D11779" s="787">
        <v>0</v>
      </c>
      <c r="E11779" s="787">
        <v>0</v>
      </c>
      <c r="H11779" s="787">
        <v>1</v>
      </c>
      <c r="K11779" s="788">
        <v>41569</v>
      </c>
      <c r="L11779" s="787">
        <v>1.22</v>
      </c>
      <c r="M11779" s="787">
        <v>10</v>
      </c>
      <c r="N11779" s="787">
        <v>0</v>
      </c>
    </row>
    <row r="11780" spans="1:14" x14ac:dyDescent="0.25">
      <c r="A11780" s="786" t="s">
        <v>20996</v>
      </c>
      <c r="B11780" s="787">
        <v>4</v>
      </c>
      <c r="C11780" s="787" t="s">
        <v>20997</v>
      </c>
      <c r="D11780" s="787">
        <v>0</v>
      </c>
      <c r="E11780" s="787">
        <v>0</v>
      </c>
      <c r="H11780" s="787">
        <v>1</v>
      </c>
      <c r="K11780" s="788">
        <v>41569</v>
      </c>
      <c r="L11780" s="787">
        <v>1.22</v>
      </c>
      <c r="M11780" s="787">
        <v>10</v>
      </c>
      <c r="N11780" s="787">
        <v>0</v>
      </c>
    </row>
    <row r="11781" spans="1:14" x14ac:dyDescent="0.25">
      <c r="A11781" s="786" t="s">
        <v>20996</v>
      </c>
      <c r="B11781" s="787">
        <v>4</v>
      </c>
      <c r="C11781" s="787" t="s">
        <v>20997</v>
      </c>
      <c r="D11781" s="787">
        <v>0</v>
      </c>
      <c r="E11781" s="787">
        <v>0</v>
      </c>
      <c r="H11781" s="787">
        <v>1</v>
      </c>
      <c r="K11781" s="788">
        <v>41569</v>
      </c>
      <c r="L11781" s="787">
        <v>1.22</v>
      </c>
      <c r="M11781" s="787">
        <v>10</v>
      </c>
      <c r="N11781" s="787">
        <v>0</v>
      </c>
    </row>
    <row r="11782" spans="1:14" x14ac:dyDescent="0.25">
      <c r="A11782" s="786" t="s">
        <v>20996</v>
      </c>
      <c r="B11782" s="787">
        <v>4</v>
      </c>
      <c r="C11782" s="787" t="s">
        <v>20997</v>
      </c>
      <c r="D11782" s="787">
        <v>0</v>
      </c>
      <c r="E11782" s="787">
        <v>0</v>
      </c>
      <c r="H11782" s="787">
        <v>1</v>
      </c>
      <c r="K11782" s="788">
        <v>41569</v>
      </c>
      <c r="L11782" s="787">
        <v>1.22</v>
      </c>
      <c r="M11782" s="787">
        <v>10</v>
      </c>
      <c r="N11782" s="787">
        <v>0</v>
      </c>
    </row>
    <row r="11783" spans="1:14" x14ac:dyDescent="0.25">
      <c r="A11783" s="786" t="s">
        <v>20996</v>
      </c>
      <c r="B11783" s="787">
        <v>4</v>
      </c>
      <c r="C11783" s="787" t="s">
        <v>20997</v>
      </c>
      <c r="D11783" s="787">
        <v>0</v>
      </c>
      <c r="E11783" s="787">
        <v>0</v>
      </c>
      <c r="H11783" s="787">
        <v>1</v>
      </c>
      <c r="K11783" s="788">
        <v>41569</v>
      </c>
      <c r="L11783" s="787">
        <v>1.22</v>
      </c>
      <c r="M11783" s="787">
        <v>10</v>
      </c>
      <c r="N11783" s="787">
        <v>0</v>
      </c>
    </row>
    <row r="11784" spans="1:14" x14ac:dyDescent="0.25">
      <c r="A11784" s="786" t="s">
        <v>20996</v>
      </c>
      <c r="B11784" s="787">
        <v>4</v>
      </c>
      <c r="C11784" s="787" t="s">
        <v>20997</v>
      </c>
      <c r="D11784" s="787">
        <v>0</v>
      </c>
      <c r="E11784" s="787">
        <v>0</v>
      </c>
      <c r="H11784" s="787">
        <v>1</v>
      </c>
      <c r="K11784" s="788">
        <v>41569</v>
      </c>
      <c r="L11784" s="787">
        <v>1.22</v>
      </c>
      <c r="M11784" s="787">
        <v>10</v>
      </c>
      <c r="N11784" s="787">
        <v>0</v>
      </c>
    </row>
    <row r="11785" spans="1:14" x14ac:dyDescent="0.25">
      <c r="A11785" s="786" t="s">
        <v>20996</v>
      </c>
      <c r="B11785" s="787">
        <v>4</v>
      </c>
      <c r="C11785" s="787" t="s">
        <v>20997</v>
      </c>
      <c r="D11785" s="787">
        <v>0</v>
      </c>
      <c r="E11785" s="787">
        <v>0</v>
      </c>
      <c r="H11785" s="787">
        <v>1</v>
      </c>
      <c r="K11785" s="788">
        <v>41569</v>
      </c>
      <c r="L11785" s="787">
        <v>1.22</v>
      </c>
      <c r="M11785" s="787">
        <v>10</v>
      </c>
      <c r="N11785" s="787">
        <v>0</v>
      </c>
    </row>
    <row r="11786" spans="1:14" x14ac:dyDescent="0.25">
      <c r="A11786" s="786" t="s">
        <v>20996</v>
      </c>
      <c r="B11786" s="787">
        <v>4</v>
      </c>
      <c r="C11786" s="787" t="s">
        <v>20997</v>
      </c>
      <c r="D11786" s="787">
        <v>0</v>
      </c>
      <c r="E11786" s="787">
        <v>0</v>
      </c>
      <c r="H11786" s="787">
        <v>1</v>
      </c>
      <c r="K11786" s="788">
        <v>41569</v>
      </c>
      <c r="L11786" s="787">
        <v>1.22</v>
      </c>
      <c r="M11786" s="787">
        <v>10</v>
      </c>
      <c r="N11786" s="787">
        <v>0</v>
      </c>
    </row>
    <row r="11787" spans="1:14" x14ac:dyDescent="0.25">
      <c r="A11787" s="786" t="s">
        <v>20996</v>
      </c>
      <c r="B11787" s="787">
        <v>4</v>
      </c>
      <c r="C11787" s="787" t="s">
        <v>20997</v>
      </c>
      <c r="D11787" s="787">
        <v>0</v>
      </c>
      <c r="E11787" s="787">
        <v>0</v>
      </c>
      <c r="H11787" s="787">
        <v>1</v>
      </c>
      <c r="K11787" s="788">
        <v>41569</v>
      </c>
      <c r="L11787" s="787">
        <v>1.22</v>
      </c>
      <c r="M11787" s="787">
        <v>10</v>
      </c>
      <c r="N11787" s="787">
        <v>0</v>
      </c>
    </row>
    <row r="11788" spans="1:14" x14ac:dyDescent="0.25">
      <c r="A11788" s="786" t="s">
        <v>20996</v>
      </c>
      <c r="B11788" s="787">
        <v>4</v>
      </c>
      <c r="C11788" s="787" t="s">
        <v>20997</v>
      </c>
      <c r="D11788" s="787">
        <v>0</v>
      </c>
      <c r="E11788" s="787">
        <v>0</v>
      </c>
      <c r="H11788" s="787">
        <v>1</v>
      </c>
      <c r="K11788" s="788">
        <v>41569</v>
      </c>
      <c r="L11788" s="787">
        <v>1.22</v>
      </c>
      <c r="M11788" s="787">
        <v>10</v>
      </c>
      <c r="N11788" s="787">
        <v>0</v>
      </c>
    </row>
    <row r="11789" spans="1:14" x14ac:dyDescent="0.25">
      <c r="A11789" s="786" t="s">
        <v>20996</v>
      </c>
      <c r="B11789" s="787">
        <v>4</v>
      </c>
      <c r="C11789" s="787" t="s">
        <v>20997</v>
      </c>
      <c r="D11789" s="787">
        <v>0</v>
      </c>
      <c r="E11789" s="787">
        <v>0</v>
      </c>
      <c r="H11789" s="787">
        <v>1</v>
      </c>
      <c r="K11789" s="788">
        <v>41569</v>
      </c>
      <c r="L11789" s="787">
        <v>1.22</v>
      </c>
      <c r="M11789" s="787">
        <v>10</v>
      </c>
      <c r="N11789" s="787">
        <v>0</v>
      </c>
    </row>
    <row r="11790" spans="1:14" x14ac:dyDescent="0.25">
      <c r="A11790" s="786" t="s">
        <v>20996</v>
      </c>
      <c r="B11790" s="787">
        <v>4</v>
      </c>
      <c r="C11790" s="787" t="s">
        <v>20997</v>
      </c>
      <c r="D11790" s="787">
        <v>0</v>
      </c>
      <c r="E11790" s="787">
        <v>0</v>
      </c>
      <c r="H11790" s="787">
        <v>1</v>
      </c>
      <c r="K11790" s="788">
        <v>41569</v>
      </c>
      <c r="L11790" s="787">
        <v>1.22</v>
      </c>
      <c r="M11790" s="787">
        <v>10</v>
      </c>
      <c r="N11790" s="787">
        <v>0</v>
      </c>
    </row>
    <row r="11791" spans="1:14" x14ac:dyDescent="0.25">
      <c r="A11791" s="786" t="s">
        <v>20996</v>
      </c>
      <c r="B11791" s="787">
        <v>4</v>
      </c>
      <c r="C11791" s="787" t="s">
        <v>20997</v>
      </c>
      <c r="D11791" s="787">
        <v>0</v>
      </c>
      <c r="E11791" s="787">
        <v>0</v>
      </c>
      <c r="H11791" s="787">
        <v>1</v>
      </c>
      <c r="K11791" s="788">
        <v>41569</v>
      </c>
      <c r="L11791" s="787">
        <v>1.22</v>
      </c>
      <c r="M11791" s="787">
        <v>10</v>
      </c>
      <c r="N11791" s="787">
        <v>0</v>
      </c>
    </row>
    <row r="11792" spans="1:14" x14ac:dyDescent="0.25">
      <c r="A11792" s="786" t="s">
        <v>20996</v>
      </c>
      <c r="B11792" s="787">
        <v>4</v>
      </c>
      <c r="C11792" s="787" t="s">
        <v>20997</v>
      </c>
      <c r="D11792" s="787">
        <v>0</v>
      </c>
      <c r="E11792" s="787">
        <v>0</v>
      </c>
      <c r="H11792" s="787">
        <v>1</v>
      </c>
      <c r="K11792" s="788">
        <v>41569</v>
      </c>
      <c r="L11792" s="787">
        <v>1.22</v>
      </c>
      <c r="M11792" s="787">
        <v>10</v>
      </c>
      <c r="N11792" s="787">
        <v>0</v>
      </c>
    </row>
    <row r="11793" spans="1:15" x14ac:dyDescent="0.25">
      <c r="A11793" s="786" t="s">
        <v>20996</v>
      </c>
      <c r="B11793" s="787">
        <v>4</v>
      </c>
      <c r="C11793" s="787" t="s">
        <v>20997</v>
      </c>
      <c r="D11793" s="787">
        <v>0</v>
      </c>
      <c r="E11793" s="787">
        <v>0</v>
      </c>
      <c r="H11793" s="787">
        <v>1</v>
      </c>
      <c r="K11793" s="788">
        <v>41569</v>
      </c>
      <c r="L11793" s="787">
        <v>1.22</v>
      </c>
      <c r="M11793" s="787">
        <v>10</v>
      </c>
      <c r="N11793" s="787">
        <v>0</v>
      </c>
    </row>
    <row r="11794" spans="1:15" x14ac:dyDescent="0.25">
      <c r="A11794" s="786" t="s">
        <v>20996</v>
      </c>
      <c r="B11794" s="787">
        <v>4</v>
      </c>
      <c r="C11794" s="787" t="s">
        <v>20997</v>
      </c>
      <c r="D11794" s="787">
        <v>0</v>
      </c>
      <c r="E11794" s="787">
        <v>0</v>
      </c>
      <c r="H11794" s="787">
        <v>1</v>
      </c>
      <c r="K11794" s="788">
        <v>41569</v>
      </c>
      <c r="L11794" s="787">
        <v>1.22</v>
      </c>
      <c r="M11794" s="787">
        <v>10</v>
      </c>
      <c r="N11794" s="787">
        <v>0</v>
      </c>
    </row>
    <row r="11795" spans="1:15" x14ac:dyDescent="0.25">
      <c r="A11795" s="786" t="s">
        <v>20998</v>
      </c>
      <c r="B11795" s="787">
        <v>4</v>
      </c>
      <c r="C11795" s="787" t="s">
        <v>20999</v>
      </c>
      <c r="D11795" s="787">
        <v>2</v>
      </c>
      <c r="E11795" s="787">
        <v>12.24</v>
      </c>
      <c r="F11795" s="788">
        <v>38659</v>
      </c>
      <c r="G11795" s="788">
        <v>42118</v>
      </c>
      <c r="H11795" s="787">
        <v>1</v>
      </c>
      <c r="I11795" s="788">
        <v>42166</v>
      </c>
      <c r="J11795" s="788">
        <v>42118</v>
      </c>
      <c r="K11795" s="788">
        <v>40626</v>
      </c>
      <c r="L11795" s="787">
        <v>12.67</v>
      </c>
      <c r="M11795" s="787">
        <v>20</v>
      </c>
      <c r="N11795" s="787">
        <v>13.62</v>
      </c>
      <c r="O11795" s="788">
        <v>42082</v>
      </c>
    </row>
    <row r="11796" spans="1:15" x14ac:dyDescent="0.25">
      <c r="A11796" s="786" t="s">
        <v>21000</v>
      </c>
      <c r="B11796" s="787">
        <v>4</v>
      </c>
      <c r="C11796" s="787" t="s">
        <v>21001</v>
      </c>
      <c r="D11796" s="787">
        <v>0</v>
      </c>
      <c r="E11796" s="787">
        <v>0</v>
      </c>
      <c r="H11796" s="787">
        <v>1</v>
      </c>
      <c r="L11796" s="787">
        <v>5.99</v>
      </c>
      <c r="M11796" s="787">
        <v>20</v>
      </c>
      <c r="N11796" s="787">
        <v>6.44</v>
      </c>
      <c r="O11796" s="788">
        <v>41858</v>
      </c>
    </row>
    <row r="11797" spans="1:15" x14ac:dyDescent="0.25">
      <c r="A11797" s="786" t="s">
        <v>21002</v>
      </c>
      <c r="B11797" s="787">
        <v>4</v>
      </c>
      <c r="C11797" s="787" t="s">
        <v>21003</v>
      </c>
      <c r="D11797" s="787">
        <v>0</v>
      </c>
      <c r="E11797" s="787">
        <v>0</v>
      </c>
      <c r="H11797" s="787">
        <v>1</v>
      </c>
      <c r="L11797" s="787">
        <v>6.55</v>
      </c>
      <c r="M11797" s="787">
        <v>20</v>
      </c>
      <c r="N11797" s="787">
        <v>7.04</v>
      </c>
      <c r="O11797" s="788">
        <v>41858</v>
      </c>
    </row>
    <row r="11798" spans="1:15" x14ac:dyDescent="0.25">
      <c r="A11798" s="786" t="s">
        <v>21004</v>
      </c>
      <c r="B11798" s="787">
        <v>4</v>
      </c>
      <c r="C11798" s="787" t="s">
        <v>21005</v>
      </c>
      <c r="D11798" s="787">
        <v>4.03</v>
      </c>
      <c r="E11798" s="787">
        <v>6.76</v>
      </c>
      <c r="F11798" s="788">
        <v>39687</v>
      </c>
      <c r="G11798" s="788">
        <v>42121</v>
      </c>
      <c r="H11798" s="787">
        <v>1</v>
      </c>
      <c r="I11798" s="788">
        <v>42163</v>
      </c>
      <c r="J11798" s="788">
        <v>42121</v>
      </c>
      <c r="K11798" s="788">
        <v>40977</v>
      </c>
      <c r="L11798" s="787">
        <v>6.76</v>
      </c>
      <c r="M11798" s="787">
        <v>20</v>
      </c>
      <c r="N11798" s="787">
        <v>7.27</v>
      </c>
      <c r="O11798" s="788">
        <v>42039</v>
      </c>
    </row>
    <row r="11799" spans="1:15" x14ac:dyDescent="0.25">
      <c r="A11799" s="786" t="s">
        <v>21006</v>
      </c>
      <c r="B11799" s="787">
        <v>4</v>
      </c>
      <c r="C11799" s="787" t="s">
        <v>21007</v>
      </c>
      <c r="D11799" s="787">
        <v>0</v>
      </c>
      <c r="E11799" s="787">
        <v>0</v>
      </c>
      <c r="H11799" s="787">
        <v>1</v>
      </c>
      <c r="I11799" s="788">
        <v>39002</v>
      </c>
      <c r="J11799" s="788">
        <v>38905</v>
      </c>
      <c r="L11799" s="787">
        <v>8.89</v>
      </c>
      <c r="M11799" s="787">
        <v>20</v>
      </c>
      <c r="N11799" s="787">
        <v>9.56</v>
      </c>
      <c r="O11799" s="788">
        <v>41858</v>
      </c>
    </row>
    <row r="11800" spans="1:15" x14ac:dyDescent="0.25">
      <c r="A11800" s="786" t="s">
        <v>21008</v>
      </c>
      <c r="B11800" s="787">
        <v>4</v>
      </c>
      <c r="C11800" s="787" t="s">
        <v>21009</v>
      </c>
      <c r="D11800" s="787">
        <v>0</v>
      </c>
      <c r="E11800" s="787">
        <v>0</v>
      </c>
      <c r="H11800" s="787">
        <v>1</v>
      </c>
      <c r="I11800" s="788">
        <v>40462</v>
      </c>
      <c r="L11800" s="787">
        <v>12.06</v>
      </c>
      <c r="M11800" s="787">
        <v>20</v>
      </c>
      <c r="N11800" s="787">
        <v>12.96</v>
      </c>
      <c r="O11800" s="788">
        <v>41858</v>
      </c>
    </row>
    <row r="11801" spans="1:15" x14ac:dyDescent="0.25">
      <c r="A11801" s="786" t="s">
        <v>21010</v>
      </c>
      <c r="B11801" s="787">
        <v>4</v>
      </c>
      <c r="C11801" s="787" t="s">
        <v>21011</v>
      </c>
      <c r="D11801" s="787">
        <v>0</v>
      </c>
      <c r="E11801" s="787">
        <v>0</v>
      </c>
      <c r="H11801" s="787">
        <v>1</v>
      </c>
      <c r="L11801" s="787">
        <v>12.61</v>
      </c>
      <c r="M11801" s="787">
        <v>20</v>
      </c>
      <c r="N11801" s="787">
        <v>13.56</v>
      </c>
      <c r="O11801" s="788">
        <v>41858</v>
      </c>
    </row>
    <row r="11802" spans="1:15" x14ac:dyDescent="0.25">
      <c r="A11802" s="786" t="s">
        <v>21012</v>
      </c>
      <c r="B11802" s="787">
        <v>4</v>
      </c>
      <c r="C11802" s="787" t="s">
        <v>21013</v>
      </c>
      <c r="D11802" s="787">
        <v>4</v>
      </c>
      <c r="E11802" s="787">
        <v>14.5</v>
      </c>
      <c r="F11802" s="788">
        <v>39101</v>
      </c>
      <c r="G11802" s="788">
        <v>41957</v>
      </c>
      <c r="H11802" s="787">
        <v>1</v>
      </c>
      <c r="I11802" s="788">
        <v>41964</v>
      </c>
      <c r="J11802" s="788">
        <v>41957</v>
      </c>
      <c r="K11802" s="788">
        <v>41946</v>
      </c>
      <c r="L11802" s="787">
        <v>14.5</v>
      </c>
      <c r="M11802" s="787">
        <v>20</v>
      </c>
      <c r="N11802" s="787">
        <v>15.59</v>
      </c>
      <c r="O11802" s="788">
        <v>42146</v>
      </c>
    </row>
    <row r="11803" spans="1:15" x14ac:dyDescent="0.25">
      <c r="A11803" s="786" t="s">
        <v>21014</v>
      </c>
      <c r="B11803" s="787">
        <v>4</v>
      </c>
      <c r="C11803" s="787" t="s">
        <v>21015</v>
      </c>
      <c r="D11803" s="787">
        <v>0</v>
      </c>
      <c r="E11803" s="787">
        <v>0</v>
      </c>
      <c r="H11803" s="787">
        <v>1</v>
      </c>
      <c r="I11803" s="788">
        <v>39002</v>
      </c>
      <c r="J11803" s="788">
        <v>38905</v>
      </c>
      <c r="L11803" s="787">
        <v>14.95</v>
      </c>
      <c r="M11803" s="787">
        <v>20</v>
      </c>
      <c r="N11803" s="787">
        <v>16.07</v>
      </c>
      <c r="O11803" s="788">
        <v>41858</v>
      </c>
    </row>
    <row r="11804" spans="1:15" x14ac:dyDescent="0.25">
      <c r="A11804" s="786" t="s">
        <v>21016</v>
      </c>
      <c r="B11804" s="787">
        <v>4</v>
      </c>
      <c r="C11804" s="787" t="s">
        <v>21017</v>
      </c>
      <c r="D11804" s="787">
        <v>4</v>
      </c>
      <c r="E11804" s="787">
        <v>4.01</v>
      </c>
      <c r="F11804" s="788">
        <v>39101</v>
      </c>
      <c r="G11804" s="788">
        <v>39975</v>
      </c>
      <c r="H11804" s="787">
        <v>3</v>
      </c>
      <c r="I11804" s="788">
        <v>39134</v>
      </c>
      <c r="J11804" s="788">
        <v>39149</v>
      </c>
      <c r="L11804" s="787">
        <v>5.14</v>
      </c>
      <c r="M11804" s="787">
        <v>20</v>
      </c>
      <c r="N11804" s="787">
        <v>5.53</v>
      </c>
      <c r="O11804" s="788">
        <v>41858</v>
      </c>
    </row>
    <row r="11805" spans="1:15" x14ac:dyDescent="0.25">
      <c r="A11805" s="786" t="s">
        <v>21018</v>
      </c>
      <c r="B11805" s="787">
        <v>4</v>
      </c>
      <c r="C11805" s="787" t="s">
        <v>21019</v>
      </c>
      <c r="D11805" s="787">
        <v>8.61</v>
      </c>
      <c r="E11805" s="787">
        <v>8.61</v>
      </c>
      <c r="F11805" s="788">
        <v>39975</v>
      </c>
      <c r="G11805" s="788">
        <v>39975</v>
      </c>
      <c r="H11805" s="787">
        <v>3</v>
      </c>
      <c r="I11805" s="788">
        <v>39134</v>
      </c>
      <c r="J11805" s="788">
        <v>39149</v>
      </c>
      <c r="K11805" s="788">
        <v>39854</v>
      </c>
      <c r="L11805" s="787">
        <v>8.56</v>
      </c>
      <c r="M11805" s="787">
        <v>20</v>
      </c>
      <c r="N11805" s="787">
        <v>9.1999999999999993</v>
      </c>
      <c r="O11805" s="788">
        <v>41858</v>
      </c>
    </row>
    <row r="11806" spans="1:15" x14ac:dyDescent="0.25">
      <c r="A11806" s="786" t="s">
        <v>21020</v>
      </c>
      <c r="B11806" s="787">
        <v>4</v>
      </c>
      <c r="C11806" s="787" t="s">
        <v>21021</v>
      </c>
      <c r="D11806" s="787">
        <v>3.05</v>
      </c>
      <c r="E11806" s="787">
        <v>3.32</v>
      </c>
      <c r="F11806" s="788">
        <v>39470</v>
      </c>
      <c r="G11806" s="788">
        <v>42164</v>
      </c>
      <c r="H11806" s="787">
        <v>1</v>
      </c>
      <c r="I11806" s="788">
        <v>42165</v>
      </c>
      <c r="J11806" s="788">
        <v>42164</v>
      </c>
      <c r="K11806" s="788">
        <v>40242</v>
      </c>
      <c r="L11806" s="787">
        <v>3.21</v>
      </c>
      <c r="M11806" s="787">
        <v>20</v>
      </c>
      <c r="N11806" s="787">
        <v>3.45</v>
      </c>
      <c r="O11806" s="788">
        <v>42146</v>
      </c>
    </row>
    <row r="11807" spans="1:15" x14ac:dyDescent="0.25">
      <c r="A11807" s="786" t="s">
        <v>21022</v>
      </c>
      <c r="B11807" s="787">
        <v>4</v>
      </c>
      <c r="C11807" s="787" t="s">
        <v>21023</v>
      </c>
      <c r="D11807" s="787">
        <v>5</v>
      </c>
      <c r="E11807" s="787">
        <v>5</v>
      </c>
      <c r="F11807" s="788">
        <v>38636</v>
      </c>
      <c r="G11807" s="788">
        <v>38636</v>
      </c>
      <c r="H11807" s="787">
        <v>1</v>
      </c>
      <c r="I11807" s="788">
        <v>38638</v>
      </c>
      <c r="J11807" s="788">
        <v>38638</v>
      </c>
      <c r="L11807" s="787">
        <v>5</v>
      </c>
      <c r="M11807" s="787">
        <v>20</v>
      </c>
      <c r="N11807" s="787">
        <v>5.38</v>
      </c>
      <c r="O11807" s="788">
        <v>41858</v>
      </c>
    </row>
    <row r="11808" spans="1:15" x14ac:dyDescent="0.25">
      <c r="A11808" s="786" t="s">
        <v>21024</v>
      </c>
      <c r="B11808" s="787">
        <v>4</v>
      </c>
      <c r="C11808" s="787" t="s">
        <v>21025</v>
      </c>
      <c r="D11808" s="787">
        <v>3.23</v>
      </c>
      <c r="E11808" s="787">
        <v>45.39</v>
      </c>
      <c r="F11808" s="788">
        <v>37648</v>
      </c>
      <c r="G11808" s="788">
        <v>38926</v>
      </c>
      <c r="H11808" s="787">
        <v>6</v>
      </c>
      <c r="I11808" s="788">
        <v>38939</v>
      </c>
      <c r="J11808" s="788">
        <v>38958</v>
      </c>
      <c r="L11808" s="787">
        <v>54.42</v>
      </c>
      <c r="M11808" s="787">
        <v>20</v>
      </c>
      <c r="N11808" s="787">
        <v>53.67</v>
      </c>
      <c r="O11808" s="788">
        <v>41806</v>
      </c>
    </row>
    <row r="11809" spans="1:15" x14ac:dyDescent="0.25">
      <c r="A11809" s="786" t="s">
        <v>21026</v>
      </c>
      <c r="B11809" s="787">
        <v>4</v>
      </c>
      <c r="C11809" s="787" t="s">
        <v>21027</v>
      </c>
      <c r="D11809" s="787">
        <v>1.22</v>
      </c>
      <c r="E11809" s="787">
        <v>61.22</v>
      </c>
      <c r="F11809" s="788">
        <v>39101</v>
      </c>
      <c r="G11809" s="788">
        <v>39101</v>
      </c>
      <c r="H11809" s="787">
        <v>6</v>
      </c>
      <c r="I11809" s="788">
        <v>39073</v>
      </c>
      <c r="J11809" s="788">
        <v>39101</v>
      </c>
      <c r="L11809" s="787">
        <v>73.510000000000005</v>
      </c>
      <c r="M11809" s="787">
        <v>20</v>
      </c>
      <c r="N11809" s="787">
        <v>72.39</v>
      </c>
      <c r="O11809" s="788">
        <v>41806</v>
      </c>
    </row>
    <row r="11810" spans="1:15" x14ac:dyDescent="0.25">
      <c r="A11810" s="786" t="s">
        <v>21028</v>
      </c>
      <c r="B11810" s="787">
        <v>4</v>
      </c>
      <c r="C11810" s="787" t="s">
        <v>21029</v>
      </c>
      <c r="D11810" s="787">
        <v>7.08</v>
      </c>
      <c r="E11810" s="787">
        <v>7.08</v>
      </c>
      <c r="F11810" s="788">
        <v>39101</v>
      </c>
      <c r="G11810" s="788">
        <v>39101</v>
      </c>
      <c r="H11810" s="787">
        <v>1</v>
      </c>
      <c r="I11810" s="788">
        <v>39134</v>
      </c>
      <c r="J11810" s="788">
        <v>39149</v>
      </c>
      <c r="L11810" s="787">
        <v>8.49</v>
      </c>
      <c r="M11810" s="787">
        <v>20</v>
      </c>
      <c r="N11810" s="787">
        <v>10.039999999999999</v>
      </c>
      <c r="O11810" s="788">
        <v>41858</v>
      </c>
    </row>
    <row r="11811" spans="1:15" x14ac:dyDescent="0.25">
      <c r="A11811" s="786" t="s">
        <v>21030</v>
      </c>
      <c r="B11811" s="787">
        <v>4</v>
      </c>
      <c r="C11811" s="787" t="s">
        <v>21031</v>
      </c>
      <c r="D11811" s="787">
        <v>7</v>
      </c>
      <c r="E11811" s="787">
        <v>7</v>
      </c>
      <c r="F11811" s="788">
        <v>39101</v>
      </c>
      <c r="G11811" s="788">
        <v>39630</v>
      </c>
      <c r="H11811" s="787">
        <v>6</v>
      </c>
      <c r="I11811" s="788">
        <v>39575</v>
      </c>
      <c r="J11811" s="788">
        <v>39149</v>
      </c>
      <c r="L11811" s="787">
        <v>7</v>
      </c>
      <c r="M11811" s="787">
        <v>20</v>
      </c>
      <c r="N11811" s="787">
        <v>7.53</v>
      </c>
      <c r="O11811" s="788">
        <v>41806</v>
      </c>
    </row>
    <row r="11812" spans="1:15" x14ac:dyDescent="0.25">
      <c r="A11812" s="786" t="s">
        <v>21032</v>
      </c>
      <c r="B11812" s="787">
        <v>4</v>
      </c>
      <c r="C11812" s="787" t="s">
        <v>21033</v>
      </c>
      <c r="D11812" s="787">
        <v>7</v>
      </c>
      <c r="E11812" s="787">
        <v>9.3699999999999992</v>
      </c>
      <c r="F11812" s="788">
        <v>39101</v>
      </c>
      <c r="G11812" s="788">
        <v>42160</v>
      </c>
      <c r="H11812" s="787">
        <v>1</v>
      </c>
      <c r="I11812" s="788">
        <v>42166</v>
      </c>
      <c r="J11812" s="788">
        <v>42160</v>
      </c>
      <c r="K11812" s="788">
        <v>40626</v>
      </c>
      <c r="L11812" s="787">
        <v>9.3699999999999992</v>
      </c>
      <c r="M11812" s="787">
        <v>20</v>
      </c>
      <c r="N11812" s="787">
        <v>10.07</v>
      </c>
      <c r="O11812" s="788">
        <v>42146</v>
      </c>
    </row>
    <row r="11813" spans="1:15" x14ac:dyDescent="0.25">
      <c r="A11813" s="786" t="s">
        <v>21034</v>
      </c>
      <c r="B11813" s="787">
        <v>4</v>
      </c>
      <c r="C11813" s="787" t="s">
        <v>21035</v>
      </c>
      <c r="D11813" s="787">
        <v>6.99</v>
      </c>
      <c r="E11813" s="787">
        <v>6.99</v>
      </c>
      <c r="F11813" s="788">
        <v>39975</v>
      </c>
      <c r="G11813" s="788">
        <v>40178</v>
      </c>
      <c r="H11813" s="787">
        <v>1</v>
      </c>
      <c r="I11813" s="788">
        <v>40014</v>
      </c>
      <c r="J11813" s="788">
        <v>39149</v>
      </c>
      <c r="L11813" s="787">
        <v>6.99</v>
      </c>
      <c r="M11813" s="787">
        <v>20</v>
      </c>
      <c r="N11813" s="787">
        <v>7.51</v>
      </c>
      <c r="O11813" s="788">
        <v>41858</v>
      </c>
    </row>
    <row r="11814" spans="1:15" x14ac:dyDescent="0.25">
      <c r="A11814" s="786" t="s">
        <v>21036</v>
      </c>
      <c r="B11814" s="787">
        <v>4</v>
      </c>
      <c r="C11814" s="787" t="s">
        <v>21037</v>
      </c>
      <c r="D11814" s="787">
        <v>7</v>
      </c>
      <c r="E11814" s="787">
        <v>7</v>
      </c>
      <c r="F11814" s="788">
        <v>39101</v>
      </c>
      <c r="G11814" s="788">
        <v>39630</v>
      </c>
      <c r="H11814" s="787">
        <v>6</v>
      </c>
      <c r="I11814" s="788">
        <v>40409</v>
      </c>
      <c r="J11814" s="788">
        <v>39149</v>
      </c>
      <c r="L11814" s="787">
        <v>7</v>
      </c>
      <c r="M11814" s="787">
        <v>20</v>
      </c>
      <c r="N11814" s="787">
        <v>7.53</v>
      </c>
      <c r="O11814" s="788">
        <v>41806</v>
      </c>
    </row>
    <row r="11815" spans="1:15" x14ac:dyDescent="0.25">
      <c r="A11815" s="786" t="s">
        <v>21038</v>
      </c>
      <c r="B11815" s="787">
        <v>4</v>
      </c>
      <c r="C11815" s="787" t="s">
        <v>21039</v>
      </c>
      <c r="D11815" s="787">
        <v>3.83</v>
      </c>
      <c r="E11815" s="787">
        <v>3.83</v>
      </c>
      <c r="F11815" s="788">
        <v>39101</v>
      </c>
      <c r="G11815" s="788">
        <v>39113</v>
      </c>
      <c r="H11815" s="787">
        <v>1</v>
      </c>
      <c r="I11815" s="788">
        <v>40834</v>
      </c>
      <c r="J11815" s="788">
        <v>39149</v>
      </c>
      <c r="L11815" s="787">
        <v>3.83</v>
      </c>
      <c r="M11815" s="787">
        <v>20</v>
      </c>
      <c r="N11815" s="787">
        <v>4.12</v>
      </c>
      <c r="O11815" s="788">
        <v>41858</v>
      </c>
    </row>
    <row r="11816" spans="1:15" x14ac:dyDescent="0.25">
      <c r="A11816" s="786" t="s">
        <v>21040</v>
      </c>
      <c r="B11816" s="787">
        <v>4</v>
      </c>
      <c r="C11816" s="787" t="s">
        <v>21041</v>
      </c>
      <c r="D11816" s="787">
        <v>3.83</v>
      </c>
      <c r="E11816" s="787">
        <v>3.83</v>
      </c>
      <c r="F11816" s="788">
        <v>39101</v>
      </c>
      <c r="G11816" s="788">
        <v>39590</v>
      </c>
      <c r="H11816" s="787">
        <v>3</v>
      </c>
      <c r="I11816" s="788">
        <v>39629</v>
      </c>
      <c r="J11816" s="788">
        <v>39149</v>
      </c>
      <c r="L11816" s="787">
        <v>3.83</v>
      </c>
      <c r="M11816" s="787">
        <v>20</v>
      </c>
      <c r="N11816" s="787">
        <v>4.12</v>
      </c>
      <c r="O11816" s="788">
        <v>41858</v>
      </c>
    </row>
    <row r="11817" spans="1:15" x14ac:dyDescent="0.25">
      <c r="A11817" s="786" t="s">
        <v>21042</v>
      </c>
      <c r="B11817" s="787">
        <v>4</v>
      </c>
      <c r="C11817" s="787" t="s">
        <v>21041</v>
      </c>
      <c r="D11817" s="787">
        <v>3.83</v>
      </c>
      <c r="E11817" s="787">
        <v>3.83</v>
      </c>
      <c r="F11817" s="788">
        <v>39101</v>
      </c>
      <c r="G11817" s="788">
        <v>39457</v>
      </c>
      <c r="H11817" s="787">
        <v>3</v>
      </c>
      <c r="I11817" s="788">
        <v>39519</v>
      </c>
      <c r="J11817" s="788">
        <v>39149</v>
      </c>
      <c r="L11817" s="787">
        <v>3.83</v>
      </c>
      <c r="M11817" s="787">
        <v>20</v>
      </c>
      <c r="N11817" s="787">
        <v>4.12</v>
      </c>
      <c r="O11817" s="788">
        <v>41858</v>
      </c>
    </row>
    <row r="11818" spans="1:15" x14ac:dyDescent="0.25">
      <c r="A11818" s="786" t="s">
        <v>21043</v>
      </c>
      <c r="B11818" s="787">
        <v>4</v>
      </c>
      <c r="C11818" s="787" t="s">
        <v>21044</v>
      </c>
      <c r="D11818" s="787">
        <v>3.04</v>
      </c>
      <c r="E11818" s="787">
        <v>3.04</v>
      </c>
      <c r="F11818" s="788">
        <v>39974</v>
      </c>
      <c r="G11818" s="788">
        <v>39974</v>
      </c>
      <c r="H11818" s="787">
        <v>3</v>
      </c>
      <c r="I11818" s="788">
        <v>39555</v>
      </c>
      <c r="J11818" s="788">
        <v>39149</v>
      </c>
      <c r="L11818" s="787">
        <v>3.04</v>
      </c>
      <c r="M11818" s="787">
        <v>20</v>
      </c>
      <c r="N11818" s="787">
        <v>3.27</v>
      </c>
      <c r="O11818" s="788">
        <v>41858</v>
      </c>
    </row>
    <row r="11819" spans="1:15" x14ac:dyDescent="0.25">
      <c r="A11819" s="786" t="s">
        <v>21045</v>
      </c>
      <c r="B11819" s="787">
        <v>4</v>
      </c>
      <c r="C11819" s="787" t="s">
        <v>21046</v>
      </c>
      <c r="D11819" s="787">
        <v>3.04</v>
      </c>
      <c r="E11819" s="787">
        <v>3.11</v>
      </c>
      <c r="F11819" s="788">
        <v>39974</v>
      </c>
      <c r="G11819" s="788">
        <v>40178</v>
      </c>
      <c r="H11819" s="787">
        <v>1</v>
      </c>
      <c r="I11819" s="788">
        <v>40647</v>
      </c>
      <c r="J11819" s="788">
        <v>39982</v>
      </c>
      <c r="L11819" s="787">
        <v>3.11</v>
      </c>
      <c r="M11819" s="787">
        <v>20</v>
      </c>
      <c r="N11819" s="787">
        <v>3.34</v>
      </c>
      <c r="O11819" s="788">
        <v>42062</v>
      </c>
    </row>
    <row r="11820" spans="1:15" x14ac:dyDescent="0.25">
      <c r="A11820" s="786" t="s">
        <v>21047</v>
      </c>
      <c r="B11820" s="787">
        <v>4</v>
      </c>
      <c r="C11820" s="787" t="s">
        <v>21048</v>
      </c>
      <c r="D11820" s="787">
        <v>3.05</v>
      </c>
      <c r="E11820" s="787">
        <v>3.05</v>
      </c>
      <c r="F11820" s="788">
        <v>39101</v>
      </c>
      <c r="G11820" s="788">
        <v>39101</v>
      </c>
      <c r="H11820" s="787">
        <v>1</v>
      </c>
      <c r="I11820" s="788">
        <v>39658</v>
      </c>
      <c r="J11820" s="788">
        <v>39149</v>
      </c>
      <c r="L11820" s="787">
        <v>3.05</v>
      </c>
      <c r="M11820" s="787">
        <v>20</v>
      </c>
      <c r="N11820" s="787">
        <v>3.28</v>
      </c>
      <c r="O11820" s="788">
        <v>41858</v>
      </c>
    </row>
    <row r="11821" spans="1:15" x14ac:dyDescent="0.25">
      <c r="A11821" s="786" t="s">
        <v>21049</v>
      </c>
      <c r="B11821" s="787">
        <v>4</v>
      </c>
      <c r="C11821" s="787" t="s">
        <v>21050</v>
      </c>
      <c r="D11821" s="787">
        <v>3.83</v>
      </c>
      <c r="E11821" s="787">
        <v>3.83</v>
      </c>
      <c r="F11821" s="788">
        <v>39162</v>
      </c>
      <c r="G11821" s="788">
        <v>39128</v>
      </c>
      <c r="H11821" s="787">
        <v>1</v>
      </c>
      <c r="I11821" s="788">
        <v>40744</v>
      </c>
      <c r="J11821" s="788">
        <v>39149</v>
      </c>
      <c r="L11821" s="787">
        <v>3.83</v>
      </c>
      <c r="M11821" s="787">
        <v>20</v>
      </c>
      <c r="N11821" s="787">
        <v>4.12</v>
      </c>
      <c r="O11821" s="788">
        <v>41858</v>
      </c>
    </row>
    <row r="11822" spans="1:15" x14ac:dyDescent="0.25">
      <c r="A11822" s="786" t="s">
        <v>21051</v>
      </c>
      <c r="B11822" s="787">
        <v>4</v>
      </c>
      <c r="C11822" s="787" t="s">
        <v>21052</v>
      </c>
      <c r="D11822" s="787">
        <v>3.83</v>
      </c>
      <c r="E11822" s="787">
        <v>3.83</v>
      </c>
      <c r="F11822" s="788">
        <v>39071</v>
      </c>
      <c r="H11822" s="787">
        <v>1</v>
      </c>
      <c r="I11822" s="788">
        <v>39407</v>
      </c>
      <c r="J11822" s="788">
        <v>39149</v>
      </c>
      <c r="L11822" s="787">
        <v>3.83</v>
      </c>
      <c r="M11822" s="787">
        <v>20</v>
      </c>
      <c r="N11822" s="787">
        <v>4.12</v>
      </c>
      <c r="O11822" s="788">
        <v>41858</v>
      </c>
    </row>
    <row r="11823" spans="1:15" x14ac:dyDescent="0.25">
      <c r="A11823" s="786" t="s">
        <v>21053</v>
      </c>
      <c r="B11823" s="787">
        <v>4</v>
      </c>
      <c r="C11823" s="787" t="s">
        <v>21054</v>
      </c>
      <c r="D11823" s="787">
        <v>7</v>
      </c>
      <c r="E11823" s="787">
        <v>7</v>
      </c>
      <c r="F11823" s="788">
        <v>39101</v>
      </c>
      <c r="G11823" s="788">
        <v>39630</v>
      </c>
      <c r="H11823" s="787">
        <v>6</v>
      </c>
      <c r="I11823" s="788">
        <v>39491</v>
      </c>
      <c r="J11823" s="788">
        <v>39149</v>
      </c>
      <c r="L11823" s="787">
        <v>7</v>
      </c>
      <c r="M11823" s="787">
        <v>20</v>
      </c>
      <c r="N11823" s="787">
        <v>7.53</v>
      </c>
      <c r="O11823" s="788">
        <v>41543</v>
      </c>
    </row>
    <row r="11824" spans="1:15" x14ac:dyDescent="0.25">
      <c r="A11824" s="786" t="s">
        <v>21055</v>
      </c>
      <c r="B11824" s="787">
        <v>4</v>
      </c>
      <c r="C11824" s="787" t="s">
        <v>21056</v>
      </c>
      <c r="D11824" s="787">
        <v>7</v>
      </c>
      <c r="E11824" s="787">
        <v>7</v>
      </c>
      <c r="F11824" s="788">
        <v>39101</v>
      </c>
      <c r="G11824" s="788">
        <v>39630</v>
      </c>
      <c r="H11824" s="787">
        <v>6</v>
      </c>
      <c r="I11824" s="788">
        <v>40408</v>
      </c>
      <c r="J11824" s="788">
        <v>39149</v>
      </c>
      <c r="L11824" s="787">
        <v>7</v>
      </c>
      <c r="M11824" s="787">
        <v>20</v>
      </c>
      <c r="N11824" s="787">
        <v>7.53</v>
      </c>
      <c r="O11824" s="788">
        <v>41543</v>
      </c>
    </row>
    <row r="11825" spans="1:15" x14ac:dyDescent="0.25">
      <c r="A11825" s="786" t="s">
        <v>21057</v>
      </c>
      <c r="B11825" s="787">
        <v>4</v>
      </c>
      <c r="C11825" s="787" t="s">
        <v>21058</v>
      </c>
      <c r="D11825" s="787">
        <v>2.69</v>
      </c>
      <c r="E11825" s="787">
        <v>23.61</v>
      </c>
      <c r="F11825" s="788">
        <v>39974</v>
      </c>
      <c r="G11825" s="788">
        <v>41282</v>
      </c>
      <c r="H11825" s="787">
        <v>1</v>
      </c>
      <c r="I11825" s="788">
        <v>41521</v>
      </c>
      <c r="J11825" s="788">
        <v>41530</v>
      </c>
      <c r="K11825" s="788">
        <v>40749</v>
      </c>
      <c r="L11825" s="787">
        <v>23.61</v>
      </c>
      <c r="M11825" s="787">
        <v>20</v>
      </c>
      <c r="N11825" s="787">
        <v>27.92</v>
      </c>
      <c r="O11825" s="788">
        <v>42039</v>
      </c>
    </row>
    <row r="11826" spans="1:15" x14ac:dyDescent="0.25">
      <c r="A11826" s="786" t="s">
        <v>21059</v>
      </c>
      <c r="B11826" s="787">
        <v>4</v>
      </c>
      <c r="C11826" s="787" t="s">
        <v>21060</v>
      </c>
      <c r="D11826" s="787">
        <v>0.61</v>
      </c>
      <c r="E11826" s="787">
        <v>31.85</v>
      </c>
      <c r="F11826" s="788">
        <v>39101</v>
      </c>
      <c r="G11826" s="788">
        <v>42013</v>
      </c>
      <c r="H11826" s="787">
        <v>1</v>
      </c>
      <c r="I11826" s="788">
        <v>41843</v>
      </c>
      <c r="J11826" s="788">
        <v>41089</v>
      </c>
      <c r="K11826" s="788">
        <v>40749</v>
      </c>
      <c r="L11826" s="787">
        <v>31.85</v>
      </c>
      <c r="M11826" s="787">
        <v>20</v>
      </c>
      <c r="N11826" s="787">
        <v>37.659999999999997</v>
      </c>
      <c r="O11826" s="788">
        <v>42039</v>
      </c>
    </row>
    <row r="11827" spans="1:15" x14ac:dyDescent="0.25">
      <c r="A11827" s="786" t="s">
        <v>21061</v>
      </c>
      <c r="B11827" s="787">
        <v>4</v>
      </c>
      <c r="C11827" s="787" t="s">
        <v>21062</v>
      </c>
      <c r="D11827" s="787">
        <v>7.97</v>
      </c>
      <c r="E11827" s="787">
        <v>7.97</v>
      </c>
      <c r="F11827" s="788">
        <v>41933</v>
      </c>
      <c r="G11827" s="788">
        <v>42145</v>
      </c>
      <c r="H11827" s="787">
        <v>1</v>
      </c>
      <c r="I11827" s="788">
        <v>42164</v>
      </c>
      <c r="J11827" s="788">
        <v>42145</v>
      </c>
      <c r="K11827" s="788">
        <v>40840</v>
      </c>
      <c r="L11827" s="787">
        <v>11.39</v>
      </c>
      <c r="M11827" s="787">
        <v>20</v>
      </c>
      <c r="N11827" s="787">
        <v>12.24</v>
      </c>
      <c r="O11827" s="788">
        <v>42146</v>
      </c>
    </row>
    <row r="11828" spans="1:15" x14ac:dyDescent="0.25">
      <c r="A11828" s="786" t="s">
        <v>21063</v>
      </c>
      <c r="B11828" s="787">
        <v>4</v>
      </c>
      <c r="C11828" s="787" t="s">
        <v>21064</v>
      </c>
      <c r="D11828" s="787">
        <v>1.34</v>
      </c>
      <c r="E11828" s="787">
        <v>11.92</v>
      </c>
      <c r="F11828" s="788">
        <v>41813</v>
      </c>
      <c r="G11828" s="788">
        <v>42156</v>
      </c>
      <c r="H11828" s="787">
        <v>1</v>
      </c>
      <c r="I11828" s="788">
        <v>41771</v>
      </c>
      <c r="J11828" s="788">
        <v>42156</v>
      </c>
      <c r="K11828" s="788">
        <v>41022</v>
      </c>
      <c r="L11828" s="787">
        <v>2.9</v>
      </c>
      <c r="M11828" s="787">
        <v>10</v>
      </c>
      <c r="N11828" s="787">
        <v>11.98</v>
      </c>
      <c r="O11828" s="788">
        <v>42162</v>
      </c>
    </row>
    <row r="11829" spans="1:15" x14ac:dyDescent="0.25">
      <c r="A11829" s="786" t="s">
        <v>21065</v>
      </c>
      <c r="B11829" s="787">
        <v>4</v>
      </c>
      <c r="C11829" s="787" t="s">
        <v>21066</v>
      </c>
      <c r="D11829" s="787">
        <v>6.19</v>
      </c>
      <c r="E11829" s="787">
        <v>6.76</v>
      </c>
      <c r="F11829" s="788">
        <v>39974</v>
      </c>
      <c r="G11829" s="788">
        <v>42013</v>
      </c>
      <c r="H11829" s="787">
        <v>1</v>
      </c>
      <c r="I11829" s="788">
        <v>42110</v>
      </c>
      <c r="J11829" s="788">
        <v>41445</v>
      </c>
      <c r="K11829" s="788">
        <v>41642</v>
      </c>
      <c r="L11829" s="787">
        <v>8.9600000000000009</v>
      </c>
      <c r="M11829" s="787">
        <v>20</v>
      </c>
      <c r="N11829" s="787">
        <v>9.6300000000000008</v>
      </c>
      <c r="O11829" s="788">
        <v>41858</v>
      </c>
    </row>
    <row r="11830" spans="1:15" x14ac:dyDescent="0.25">
      <c r="A11830" s="786" t="s">
        <v>21067</v>
      </c>
      <c r="B11830" s="787">
        <v>4</v>
      </c>
      <c r="C11830" s="787" t="s">
        <v>21068</v>
      </c>
      <c r="D11830" s="787">
        <v>5</v>
      </c>
      <c r="E11830" s="787">
        <v>32.47</v>
      </c>
      <c r="F11830" s="788">
        <v>39301</v>
      </c>
      <c r="G11830" s="788">
        <v>40553</v>
      </c>
      <c r="H11830" s="787">
        <v>1</v>
      </c>
      <c r="I11830" s="788">
        <v>40647</v>
      </c>
      <c r="J11830" s="788">
        <v>39784</v>
      </c>
      <c r="K11830" s="788">
        <v>40240</v>
      </c>
      <c r="L11830" s="787">
        <v>32.6</v>
      </c>
      <c r="M11830" s="787">
        <v>20</v>
      </c>
      <c r="N11830" s="787">
        <v>35.049999999999997</v>
      </c>
      <c r="O11830" s="788">
        <v>42146</v>
      </c>
    </row>
    <row r="11831" spans="1:15" x14ac:dyDescent="0.25">
      <c r="A11831" s="786" t="s">
        <v>21069</v>
      </c>
      <c r="B11831" s="787">
        <v>4</v>
      </c>
      <c r="C11831" s="787" t="s">
        <v>21070</v>
      </c>
      <c r="D11831" s="787">
        <v>1.56</v>
      </c>
      <c r="E11831" s="787">
        <v>1.56</v>
      </c>
      <c r="F11831" s="788">
        <v>39311</v>
      </c>
      <c r="G11831" s="788">
        <v>42013</v>
      </c>
      <c r="H11831" s="787">
        <v>1</v>
      </c>
      <c r="I11831" s="788">
        <v>41593</v>
      </c>
      <c r="J11831" s="788">
        <v>40204</v>
      </c>
      <c r="L11831" s="787">
        <v>1.56</v>
      </c>
      <c r="M11831" s="787">
        <v>20</v>
      </c>
      <c r="N11831" s="787">
        <v>1.68</v>
      </c>
      <c r="O11831" s="788">
        <v>42123</v>
      </c>
    </row>
    <row r="11832" spans="1:15" x14ac:dyDescent="0.25">
      <c r="A11832" s="786" t="s">
        <v>21071</v>
      </c>
      <c r="B11832" s="787">
        <v>4</v>
      </c>
      <c r="C11832" s="787" t="s">
        <v>21072</v>
      </c>
      <c r="D11832" s="787">
        <v>4.9400000000000004</v>
      </c>
      <c r="E11832" s="787">
        <v>15.53</v>
      </c>
      <c r="F11832" s="788">
        <v>39974</v>
      </c>
      <c r="G11832" s="788">
        <v>42039</v>
      </c>
      <c r="H11832" s="787">
        <v>1</v>
      </c>
      <c r="I11832" s="788">
        <v>42164</v>
      </c>
      <c r="J11832" s="788">
        <v>42039</v>
      </c>
      <c r="K11832" s="788">
        <v>40865</v>
      </c>
      <c r="L11832" s="787">
        <v>15.53</v>
      </c>
      <c r="M11832" s="787">
        <v>20</v>
      </c>
      <c r="N11832" s="787">
        <v>16.690000000000001</v>
      </c>
      <c r="O11832" s="788">
        <v>42061</v>
      </c>
    </row>
    <row r="11833" spans="1:15" x14ac:dyDescent="0.25">
      <c r="A11833" s="786" t="s">
        <v>21073</v>
      </c>
      <c r="B11833" s="787">
        <v>4</v>
      </c>
      <c r="C11833" s="787" t="s">
        <v>21074</v>
      </c>
      <c r="D11833" s="787">
        <v>3.05</v>
      </c>
      <c r="E11833" s="787">
        <v>3.05</v>
      </c>
      <c r="F11833" s="788">
        <v>39520</v>
      </c>
      <c r="G11833" s="788">
        <v>40178</v>
      </c>
      <c r="H11833" s="787">
        <v>1</v>
      </c>
      <c r="I11833" s="788">
        <v>39883</v>
      </c>
      <c r="J11833" s="788">
        <v>39727</v>
      </c>
      <c r="L11833" s="787">
        <v>3.05</v>
      </c>
      <c r="M11833" s="787">
        <v>20</v>
      </c>
      <c r="N11833" s="787">
        <v>3.28</v>
      </c>
      <c r="O11833" s="788">
        <v>41858</v>
      </c>
    </row>
    <row r="11834" spans="1:15" x14ac:dyDescent="0.25">
      <c r="A11834" s="786" t="s">
        <v>21075</v>
      </c>
      <c r="B11834" s="787">
        <v>4</v>
      </c>
      <c r="C11834" s="787" t="s">
        <v>21076</v>
      </c>
      <c r="D11834" s="787">
        <v>3.05</v>
      </c>
      <c r="E11834" s="787">
        <v>3.11</v>
      </c>
      <c r="F11834" s="788">
        <v>39598</v>
      </c>
      <c r="G11834" s="788">
        <v>40178</v>
      </c>
      <c r="H11834" s="787">
        <v>1</v>
      </c>
      <c r="I11834" s="788">
        <v>40275</v>
      </c>
      <c r="J11834" s="788">
        <v>40001</v>
      </c>
      <c r="L11834" s="787">
        <v>3.11</v>
      </c>
      <c r="M11834" s="787">
        <v>20</v>
      </c>
      <c r="N11834" s="787">
        <v>3.34</v>
      </c>
      <c r="O11834" s="788">
        <v>41858</v>
      </c>
    </row>
    <row r="11835" spans="1:15" x14ac:dyDescent="0.25">
      <c r="A11835" s="786" t="s">
        <v>21077</v>
      </c>
      <c r="B11835" s="787">
        <v>4</v>
      </c>
      <c r="C11835" s="787" t="s">
        <v>21078</v>
      </c>
      <c r="D11835" s="787">
        <v>0</v>
      </c>
      <c r="E11835" s="787">
        <v>0</v>
      </c>
      <c r="H11835" s="787">
        <v>1</v>
      </c>
      <c r="L11835" s="787">
        <v>0</v>
      </c>
      <c r="M11835" s="787">
        <v>10</v>
      </c>
      <c r="N11835" s="787">
        <v>0</v>
      </c>
      <c r="O11835" s="788">
        <v>40824</v>
      </c>
    </row>
    <row r="11836" spans="1:15" x14ac:dyDescent="0.25">
      <c r="A11836" s="786" t="s">
        <v>21079</v>
      </c>
      <c r="B11836" s="787">
        <v>4</v>
      </c>
      <c r="C11836" s="787" t="s">
        <v>21080</v>
      </c>
      <c r="D11836" s="787">
        <v>0</v>
      </c>
      <c r="E11836" s="787">
        <v>0</v>
      </c>
      <c r="H11836" s="787">
        <v>1</v>
      </c>
      <c r="I11836" s="788">
        <v>41729</v>
      </c>
      <c r="L11836" s="787">
        <v>0</v>
      </c>
      <c r="M11836" s="787">
        <v>10</v>
      </c>
      <c r="N11836" s="787">
        <v>0</v>
      </c>
      <c r="O11836" s="788">
        <v>40824</v>
      </c>
    </row>
    <row r="11837" spans="1:15" x14ac:dyDescent="0.25">
      <c r="A11837" s="786" t="s">
        <v>21081</v>
      </c>
      <c r="B11837" s="787">
        <v>4</v>
      </c>
      <c r="C11837" s="787" t="s">
        <v>21082</v>
      </c>
      <c r="D11837" s="787">
        <v>0</v>
      </c>
      <c r="E11837" s="787">
        <v>0</v>
      </c>
      <c r="H11837" s="787">
        <v>1</v>
      </c>
      <c r="L11837" s="787">
        <v>0</v>
      </c>
      <c r="M11837" s="787">
        <v>10</v>
      </c>
      <c r="N11837" s="787">
        <v>0</v>
      </c>
      <c r="O11837" s="788">
        <v>40824</v>
      </c>
    </row>
    <row r="11838" spans="1:15" x14ac:dyDescent="0.25">
      <c r="A11838" s="786" t="s">
        <v>21083</v>
      </c>
      <c r="B11838" s="787">
        <v>4</v>
      </c>
      <c r="C11838" s="787" t="s">
        <v>21084</v>
      </c>
      <c r="D11838" s="787">
        <v>0</v>
      </c>
      <c r="E11838" s="787">
        <v>0</v>
      </c>
      <c r="H11838" s="787">
        <v>1</v>
      </c>
      <c r="I11838" s="788">
        <v>40136</v>
      </c>
      <c r="L11838" s="787">
        <v>0</v>
      </c>
      <c r="M11838" s="787">
        <v>10</v>
      </c>
      <c r="N11838" s="787">
        <v>0</v>
      </c>
      <c r="O11838" s="788">
        <v>40824</v>
      </c>
    </row>
    <row r="11839" spans="1:15" x14ac:dyDescent="0.25">
      <c r="A11839" s="786" t="s">
        <v>21085</v>
      </c>
      <c r="B11839" s="787">
        <v>4</v>
      </c>
      <c r="C11839" s="787" t="s">
        <v>21086</v>
      </c>
      <c r="D11839" s="787">
        <v>9.89</v>
      </c>
      <c r="E11839" s="787">
        <v>10.4</v>
      </c>
      <c r="F11839" s="788">
        <v>39678</v>
      </c>
      <c r="G11839" s="788">
        <v>42150</v>
      </c>
      <c r="H11839" s="787">
        <v>3</v>
      </c>
      <c r="I11839" s="788">
        <v>42165</v>
      </c>
      <c r="J11839" s="788">
        <v>42143</v>
      </c>
      <c r="K11839" s="788">
        <v>40626</v>
      </c>
      <c r="L11839" s="787">
        <v>10.4</v>
      </c>
      <c r="M11839" s="787">
        <v>20</v>
      </c>
      <c r="N11839" s="787">
        <v>11.18</v>
      </c>
      <c r="O11839" s="788">
        <v>42146</v>
      </c>
    </row>
    <row r="11840" spans="1:15" x14ac:dyDescent="0.25">
      <c r="A11840" s="786" t="s">
        <v>21087</v>
      </c>
      <c r="B11840" s="787">
        <v>4</v>
      </c>
      <c r="C11840" s="787" t="s">
        <v>21088</v>
      </c>
      <c r="D11840" s="787">
        <v>4.38</v>
      </c>
      <c r="E11840" s="787">
        <v>14.38</v>
      </c>
      <c r="F11840" s="788">
        <v>41197</v>
      </c>
      <c r="G11840" s="788">
        <v>42013</v>
      </c>
      <c r="H11840" s="787">
        <v>1</v>
      </c>
      <c r="I11840" s="788">
        <v>42165</v>
      </c>
      <c r="J11840" s="788">
        <v>41183</v>
      </c>
      <c r="K11840" s="788">
        <v>41163</v>
      </c>
      <c r="L11840" s="787">
        <v>14.38</v>
      </c>
      <c r="M11840" s="787">
        <v>20</v>
      </c>
      <c r="N11840" s="787">
        <v>15.46</v>
      </c>
      <c r="O11840" s="788">
        <v>42146</v>
      </c>
    </row>
    <row r="11841" spans="1:15" x14ac:dyDescent="0.25">
      <c r="A11841" s="786" t="s">
        <v>21089</v>
      </c>
      <c r="B11841" s="787">
        <v>4</v>
      </c>
      <c r="C11841" s="787" t="s">
        <v>21090</v>
      </c>
      <c r="D11841" s="787">
        <v>7</v>
      </c>
      <c r="E11841" s="787">
        <v>7.14</v>
      </c>
      <c r="F11841" s="788">
        <v>39798</v>
      </c>
      <c r="G11841" s="788">
        <v>39982</v>
      </c>
      <c r="H11841" s="787">
        <v>1</v>
      </c>
      <c r="I11841" s="788">
        <v>40128</v>
      </c>
      <c r="J11841" s="788">
        <v>39982</v>
      </c>
      <c r="L11841" s="787">
        <v>7.14</v>
      </c>
      <c r="M11841" s="787">
        <v>20</v>
      </c>
      <c r="N11841" s="787">
        <v>7.68</v>
      </c>
      <c r="O11841" s="788">
        <v>41858</v>
      </c>
    </row>
    <row r="11842" spans="1:15" x14ac:dyDescent="0.25">
      <c r="A11842" s="786" t="s">
        <v>21091</v>
      </c>
      <c r="B11842" s="787">
        <v>4</v>
      </c>
      <c r="C11842" s="787" t="s">
        <v>21092</v>
      </c>
      <c r="D11842" s="787">
        <v>7.14</v>
      </c>
      <c r="E11842" s="787">
        <v>9.3699999999999992</v>
      </c>
      <c r="F11842" s="788">
        <v>40016</v>
      </c>
      <c r="G11842" s="788">
        <v>42013</v>
      </c>
      <c r="H11842" s="787">
        <v>1</v>
      </c>
      <c r="I11842" s="788">
        <v>42058</v>
      </c>
      <c r="J11842" s="788">
        <v>41941</v>
      </c>
      <c r="K11842" s="788">
        <v>40641</v>
      </c>
      <c r="L11842" s="787">
        <v>9.3699999999999992</v>
      </c>
      <c r="M11842" s="787">
        <v>20</v>
      </c>
      <c r="N11842" s="787">
        <v>10.07</v>
      </c>
      <c r="O11842" s="788">
        <v>42146</v>
      </c>
    </row>
    <row r="11843" spans="1:15" x14ac:dyDescent="0.25">
      <c r="A11843" s="786" t="s">
        <v>21093</v>
      </c>
      <c r="B11843" s="787">
        <v>4</v>
      </c>
      <c r="C11843" s="787" t="s">
        <v>21094</v>
      </c>
      <c r="D11843" s="787">
        <v>9.59</v>
      </c>
      <c r="E11843" s="787">
        <v>10.4</v>
      </c>
      <c r="F11843" s="788">
        <v>40597</v>
      </c>
      <c r="G11843" s="788">
        <v>42165</v>
      </c>
      <c r="H11843" s="787">
        <v>3</v>
      </c>
      <c r="I11843" s="788">
        <v>42165</v>
      </c>
      <c r="J11843" s="788">
        <v>42165</v>
      </c>
      <c r="K11843" s="788">
        <v>40626</v>
      </c>
      <c r="L11843" s="787">
        <v>10.4</v>
      </c>
      <c r="M11843" s="787">
        <v>20</v>
      </c>
      <c r="N11843" s="787">
        <v>11.18</v>
      </c>
      <c r="O11843" s="788">
        <v>42146</v>
      </c>
    </row>
    <row r="11844" spans="1:15" x14ac:dyDescent="0.25">
      <c r="A11844" s="786" t="s">
        <v>21095</v>
      </c>
      <c r="B11844" s="787">
        <v>4</v>
      </c>
      <c r="C11844" s="787" t="s">
        <v>21096</v>
      </c>
      <c r="D11844" s="787">
        <v>1.75</v>
      </c>
      <c r="E11844" s="787">
        <v>2.38</v>
      </c>
      <c r="F11844" s="788">
        <v>39786</v>
      </c>
      <c r="G11844" s="788">
        <v>42013</v>
      </c>
      <c r="H11844" s="787">
        <v>3</v>
      </c>
      <c r="I11844" s="788">
        <v>42051</v>
      </c>
      <c r="J11844" s="788">
        <v>41680</v>
      </c>
      <c r="K11844" s="788">
        <v>40745</v>
      </c>
      <c r="L11844" s="787">
        <v>2.38</v>
      </c>
      <c r="M11844" s="787">
        <v>20</v>
      </c>
      <c r="N11844" s="787">
        <v>2.56</v>
      </c>
      <c r="O11844" s="788">
        <v>42164</v>
      </c>
    </row>
    <row r="11845" spans="1:15" x14ac:dyDescent="0.25">
      <c r="A11845" s="786" t="s">
        <v>21097</v>
      </c>
      <c r="B11845" s="787">
        <v>4</v>
      </c>
      <c r="C11845" s="787" t="s">
        <v>21098</v>
      </c>
      <c r="D11845" s="787">
        <v>5</v>
      </c>
      <c r="E11845" s="787">
        <v>15</v>
      </c>
      <c r="F11845" s="788">
        <v>40016</v>
      </c>
      <c r="G11845" s="788">
        <v>42013</v>
      </c>
      <c r="H11845" s="787">
        <v>1</v>
      </c>
      <c r="I11845" s="788">
        <v>42038</v>
      </c>
      <c r="J11845" s="788">
        <v>41159</v>
      </c>
      <c r="K11845" s="788">
        <v>41409</v>
      </c>
      <c r="L11845" s="787">
        <v>15.53</v>
      </c>
      <c r="M11845" s="787">
        <v>20</v>
      </c>
      <c r="N11845" s="787">
        <v>16.690000000000001</v>
      </c>
      <c r="O11845" s="788">
        <v>41858</v>
      </c>
    </row>
    <row r="11846" spans="1:15" x14ac:dyDescent="0.25">
      <c r="A11846" s="786" t="s">
        <v>21099</v>
      </c>
      <c r="B11846" s="787">
        <v>4</v>
      </c>
      <c r="C11846" s="787" t="s">
        <v>21100</v>
      </c>
      <c r="D11846" s="787">
        <v>3.11</v>
      </c>
      <c r="E11846" s="787">
        <v>6.11</v>
      </c>
      <c r="F11846" s="788">
        <v>39958</v>
      </c>
      <c r="G11846" s="788">
        <v>42163</v>
      </c>
      <c r="H11846" s="787">
        <v>1</v>
      </c>
      <c r="I11846" s="788">
        <v>42164</v>
      </c>
      <c r="J11846" s="788">
        <v>42163</v>
      </c>
      <c r="K11846" s="788">
        <v>40626</v>
      </c>
      <c r="L11846" s="787">
        <v>6.11</v>
      </c>
      <c r="M11846" s="787">
        <v>20</v>
      </c>
      <c r="N11846" s="787">
        <v>6.57</v>
      </c>
      <c r="O11846" s="788">
        <v>42039</v>
      </c>
    </row>
    <row r="11847" spans="1:15" x14ac:dyDescent="0.25">
      <c r="A11847" s="786" t="s">
        <v>21101</v>
      </c>
      <c r="B11847" s="787">
        <v>4</v>
      </c>
      <c r="C11847" s="787" t="s">
        <v>21102</v>
      </c>
      <c r="D11847" s="787">
        <v>7.37</v>
      </c>
      <c r="E11847" s="787">
        <v>9.3699999999999992</v>
      </c>
      <c r="F11847" s="788">
        <v>40319</v>
      </c>
      <c r="G11847" s="788">
        <v>42122</v>
      </c>
      <c r="H11847" s="787">
        <v>1</v>
      </c>
      <c r="I11847" s="788">
        <v>42122</v>
      </c>
      <c r="J11847" s="788">
        <v>42122</v>
      </c>
      <c r="K11847" s="788">
        <v>40379</v>
      </c>
      <c r="L11847" s="787">
        <v>9.0500000000000007</v>
      </c>
      <c r="M11847" s="787">
        <v>20</v>
      </c>
      <c r="N11847" s="787">
        <v>9.73</v>
      </c>
      <c r="O11847" s="788">
        <v>41858</v>
      </c>
    </row>
    <row r="11848" spans="1:15" x14ac:dyDescent="0.25">
      <c r="A11848" s="786" t="s">
        <v>21103</v>
      </c>
      <c r="B11848" s="787">
        <v>4</v>
      </c>
      <c r="C11848" s="787" t="s">
        <v>21104</v>
      </c>
      <c r="D11848" s="787">
        <v>3.21</v>
      </c>
      <c r="E11848" s="787">
        <v>3.32</v>
      </c>
      <c r="F11848" s="788">
        <v>40319</v>
      </c>
      <c r="G11848" s="788">
        <v>41282</v>
      </c>
      <c r="H11848" s="787">
        <v>1</v>
      </c>
      <c r="I11848" s="788">
        <v>41541</v>
      </c>
      <c r="J11848" s="788">
        <v>41530</v>
      </c>
      <c r="K11848" s="788">
        <v>40626</v>
      </c>
      <c r="L11848" s="787">
        <v>3.32</v>
      </c>
      <c r="M11848" s="787">
        <v>20</v>
      </c>
      <c r="N11848" s="787">
        <v>3.57</v>
      </c>
      <c r="O11848" s="788">
        <v>42146</v>
      </c>
    </row>
    <row r="11849" spans="1:15" x14ac:dyDescent="0.25">
      <c r="A11849" s="786" t="s">
        <v>21105</v>
      </c>
      <c r="B11849" s="787">
        <v>4</v>
      </c>
      <c r="C11849" s="787" t="s">
        <v>21106</v>
      </c>
      <c r="D11849" s="787">
        <v>3.21</v>
      </c>
      <c r="E11849" s="787">
        <v>3.32</v>
      </c>
      <c r="F11849" s="788">
        <v>40242</v>
      </c>
      <c r="G11849" s="788">
        <v>42123</v>
      </c>
      <c r="H11849" s="787">
        <v>6</v>
      </c>
      <c r="I11849" s="788">
        <v>42124</v>
      </c>
      <c r="J11849" s="788">
        <v>42123</v>
      </c>
      <c r="K11849" s="788">
        <v>40981</v>
      </c>
      <c r="L11849" s="787">
        <v>3.32</v>
      </c>
      <c r="M11849" s="787">
        <v>20</v>
      </c>
      <c r="N11849" s="787">
        <v>3.57</v>
      </c>
      <c r="O11849" s="788">
        <v>41858</v>
      </c>
    </row>
    <row r="11850" spans="1:15" x14ac:dyDescent="0.25">
      <c r="A11850" s="786" t="s">
        <v>21107</v>
      </c>
      <c r="B11850" s="787">
        <v>4</v>
      </c>
      <c r="C11850" s="787" t="s">
        <v>21108</v>
      </c>
      <c r="D11850" s="787">
        <v>0</v>
      </c>
      <c r="E11850" s="787">
        <v>0</v>
      </c>
      <c r="G11850" s="788">
        <v>40487</v>
      </c>
      <c r="H11850" s="787">
        <v>6</v>
      </c>
      <c r="I11850" s="788">
        <v>40645</v>
      </c>
      <c r="J11850" s="788">
        <v>40508</v>
      </c>
      <c r="K11850" s="788">
        <v>40054</v>
      </c>
      <c r="L11850" s="787">
        <v>3.11</v>
      </c>
      <c r="M11850" s="787">
        <v>20</v>
      </c>
      <c r="N11850" s="787">
        <v>3.34</v>
      </c>
      <c r="O11850" s="788">
        <v>41543</v>
      </c>
    </row>
    <row r="11851" spans="1:15" x14ac:dyDescent="0.25">
      <c r="A11851" s="786" t="s">
        <v>21109</v>
      </c>
      <c r="B11851" s="787">
        <v>4</v>
      </c>
      <c r="C11851" s="787" t="s">
        <v>21110</v>
      </c>
      <c r="D11851" s="787">
        <v>0.09</v>
      </c>
      <c r="E11851" s="787">
        <v>10.4</v>
      </c>
      <c r="F11851" s="788">
        <v>40283</v>
      </c>
      <c r="G11851" s="788">
        <v>42159</v>
      </c>
      <c r="H11851" s="787">
        <v>3</v>
      </c>
      <c r="I11851" s="788">
        <v>42157</v>
      </c>
      <c r="J11851" s="788">
        <v>42159</v>
      </c>
      <c r="K11851" s="788">
        <v>40653</v>
      </c>
      <c r="L11851" s="787">
        <v>10.4</v>
      </c>
      <c r="M11851" s="787">
        <v>20</v>
      </c>
      <c r="N11851" s="787">
        <v>11.18</v>
      </c>
      <c r="O11851" s="788">
        <v>42156</v>
      </c>
    </row>
    <row r="11852" spans="1:15" x14ac:dyDescent="0.25">
      <c r="A11852" s="786" t="s">
        <v>21111</v>
      </c>
      <c r="B11852" s="787">
        <v>4</v>
      </c>
      <c r="C11852" s="787" t="s">
        <v>21112</v>
      </c>
      <c r="D11852" s="787">
        <v>3.67</v>
      </c>
      <c r="E11852" s="787">
        <v>20.6</v>
      </c>
      <c r="F11852" s="788">
        <v>40451</v>
      </c>
      <c r="G11852" s="788">
        <v>41255</v>
      </c>
      <c r="H11852" s="787">
        <v>1</v>
      </c>
      <c r="I11852" s="788">
        <v>41445</v>
      </c>
      <c r="J11852" s="788">
        <v>41445</v>
      </c>
      <c r="K11852" s="788">
        <v>40275</v>
      </c>
      <c r="L11852" s="787">
        <v>18</v>
      </c>
      <c r="M11852" s="787">
        <v>20</v>
      </c>
      <c r="N11852" s="787">
        <v>19.350000000000001</v>
      </c>
      <c r="O11852" s="788">
        <v>41858</v>
      </c>
    </row>
    <row r="11853" spans="1:15" x14ac:dyDescent="0.25">
      <c r="A11853" s="786" t="s">
        <v>21113</v>
      </c>
      <c r="B11853" s="787">
        <v>4</v>
      </c>
      <c r="C11853" s="787" t="s">
        <v>21114</v>
      </c>
      <c r="D11853" s="787">
        <v>7.37</v>
      </c>
      <c r="E11853" s="787">
        <v>7.37</v>
      </c>
      <c r="F11853" s="788">
        <v>40319</v>
      </c>
      <c r="G11853" s="788">
        <v>41646</v>
      </c>
      <c r="H11853" s="787">
        <v>5</v>
      </c>
      <c r="I11853" s="788">
        <v>41741</v>
      </c>
      <c r="J11853" s="788">
        <v>41547</v>
      </c>
      <c r="K11853" s="788">
        <v>40281</v>
      </c>
      <c r="L11853" s="787">
        <v>7.37</v>
      </c>
      <c r="M11853" s="787">
        <v>20</v>
      </c>
      <c r="N11853" s="787">
        <v>7.92</v>
      </c>
      <c r="O11853" s="788">
        <v>41858</v>
      </c>
    </row>
    <row r="11854" spans="1:15" x14ac:dyDescent="0.25">
      <c r="A11854" s="786" t="s">
        <v>21115</v>
      </c>
      <c r="B11854" s="787">
        <v>4</v>
      </c>
      <c r="C11854" s="787" t="s">
        <v>21116</v>
      </c>
      <c r="D11854" s="787">
        <v>0</v>
      </c>
      <c r="E11854" s="787">
        <v>0</v>
      </c>
      <c r="G11854" s="788">
        <v>41705</v>
      </c>
      <c r="H11854" s="787">
        <v>1</v>
      </c>
      <c r="I11854" s="788">
        <v>41705</v>
      </c>
      <c r="J11854" s="788">
        <v>41705</v>
      </c>
      <c r="K11854" s="788">
        <v>40281</v>
      </c>
      <c r="L11854" s="787">
        <v>3.21</v>
      </c>
      <c r="M11854" s="787">
        <v>20</v>
      </c>
      <c r="N11854" s="787">
        <v>3.45</v>
      </c>
      <c r="O11854" s="788">
        <v>41858</v>
      </c>
    </row>
    <row r="11855" spans="1:15" x14ac:dyDescent="0.25">
      <c r="A11855" s="786" t="s">
        <v>21117</v>
      </c>
      <c r="B11855" s="787">
        <v>4</v>
      </c>
      <c r="C11855" s="787" t="s">
        <v>21118</v>
      </c>
      <c r="D11855" s="787">
        <v>4.68</v>
      </c>
      <c r="E11855" s="787">
        <v>4.68</v>
      </c>
      <c r="F11855" s="788">
        <v>40319</v>
      </c>
      <c r="G11855" s="788">
        <v>42142</v>
      </c>
      <c r="H11855" s="787">
        <v>1</v>
      </c>
      <c r="I11855" s="788">
        <v>42158</v>
      </c>
      <c r="J11855" s="788">
        <v>42142</v>
      </c>
      <c r="K11855" s="788">
        <v>40821</v>
      </c>
      <c r="L11855" s="787">
        <v>4.68</v>
      </c>
      <c r="M11855" s="787">
        <v>20</v>
      </c>
      <c r="N11855" s="787">
        <v>5.53</v>
      </c>
      <c r="O11855" s="788">
        <v>42146</v>
      </c>
    </row>
    <row r="11856" spans="1:15" x14ac:dyDescent="0.25">
      <c r="A11856" s="786" t="s">
        <v>21119</v>
      </c>
      <c r="B11856" s="787">
        <v>4</v>
      </c>
      <c r="C11856" s="787" t="s">
        <v>21120</v>
      </c>
      <c r="D11856" s="787">
        <v>5.5</v>
      </c>
      <c r="E11856" s="787">
        <v>16.04</v>
      </c>
      <c r="F11856" s="788">
        <v>40456</v>
      </c>
      <c r="G11856" s="788">
        <v>42152</v>
      </c>
      <c r="H11856" s="787">
        <v>3</v>
      </c>
      <c r="I11856" s="788">
        <v>42165</v>
      </c>
      <c r="J11856" s="788">
        <v>42152</v>
      </c>
      <c r="K11856" s="788">
        <v>40626</v>
      </c>
      <c r="L11856" s="787">
        <v>16.04</v>
      </c>
      <c r="M11856" s="787">
        <v>20</v>
      </c>
      <c r="N11856" s="787">
        <v>17.239999999999998</v>
      </c>
      <c r="O11856" s="788">
        <v>42146</v>
      </c>
    </row>
    <row r="11857" spans="1:15" x14ac:dyDescent="0.25">
      <c r="A11857" s="786" t="s">
        <v>21121</v>
      </c>
      <c r="B11857" s="787">
        <v>4</v>
      </c>
      <c r="C11857" s="787" t="s">
        <v>21122</v>
      </c>
      <c r="D11857" s="787">
        <v>5.5</v>
      </c>
      <c r="E11857" s="787">
        <v>16.04</v>
      </c>
      <c r="F11857" s="788">
        <v>40456</v>
      </c>
      <c r="G11857" s="788">
        <v>42164</v>
      </c>
      <c r="H11857" s="787">
        <v>3</v>
      </c>
      <c r="I11857" s="788">
        <v>42165</v>
      </c>
      <c r="J11857" s="788">
        <v>42164</v>
      </c>
      <c r="K11857" s="788">
        <v>40626</v>
      </c>
      <c r="L11857" s="787">
        <v>16.04</v>
      </c>
      <c r="M11857" s="787">
        <v>20</v>
      </c>
      <c r="N11857" s="787">
        <v>17.239999999999998</v>
      </c>
      <c r="O11857" s="788">
        <v>42162</v>
      </c>
    </row>
    <row r="11858" spans="1:15" x14ac:dyDescent="0.25">
      <c r="A11858" s="786" t="s">
        <v>21123</v>
      </c>
      <c r="B11858" s="787">
        <v>4</v>
      </c>
      <c r="C11858" s="787" t="s">
        <v>21124</v>
      </c>
      <c r="D11858" s="787">
        <v>5.5</v>
      </c>
      <c r="E11858" s="787">
        <v>16.04</v>
      </c>
      <c r="F11858" s="788">
        <v>40456</v>
      </c>
      <c r="G11858" s="788">
        <v>42165</v>
      </c>
      <c r="H11858" s="787">
        <v>3</v>
      </c>
      <c r="I11858" s="788">
        <v>42165</v>
      </c>
      <c r="J11858" s="788">
        <v>42165</v>
      </c>
      <c r="K11858" s="788">
        <v>40626</v>
      </c>
      <c r="L11858" s="787">
        <v>16.04</v>
      </c>
      <c r="M11858" s="787">
        <v>20</v>
      </c>
      <c r="N11858" s="787">
        <v>17.239999999999998</v>
      </c>
      <c r="O11858" s="788">
        <v>42039</v>
      </c>
    </row>
    <row r="11859" spans="1:15" x14ac:dyDescent="0.25">
      <c r="A11859" s="786" t="s">
        <v>21125</v>
      </c>
      <c r="B11859" s="787">
        <v>4</v>
      </c>
      <c r="C11859" s="787" t="s">
        <v>21126</v>
      </c>
      <c r="D11859" s="787">
        <v>8.0399999999999991</v>
      </c>
      <c r="E11859" s="787">
        <v>18.670000000000002</v>
      </c>
      <c r="F11859" s="788">
        <v>40469</v>
      </c>
      <c r="G11859" s="788">
        <v>42013</v>
      </c>
      <c r="H11859" s="787">
        <v>3</v>
      </c>
      <c r="I11859" s="788">
        <v>42121</v>
      </c>
      <c r="J11859" s="788">
        <v>41529</v>
      </c>
      <c r="K11859" s="788">
        <v>41534</v>
      </c>
      <c r="L11859" s="787">
        <v>13.5</v>
      </c>
      <c r="M11859" s="787">
        <v>20</v>
      </c>
      <c r="N11859" s="787">
        <v>14.51</v>
      </c>
      <c r="O11859" s="788">
        <v>42146</v>
      </c>
    </row>
    <row r="11860" spans="1:15" x14ac:dyDescent="0.25">
      <c r="A11860" s="786" t="s">
        <v>21127</v>
      </c>
      <c r="B11860" s="787">
        <v>4</v>
      </c>
      <c r="C11860" s="787" t="s">
        <v>21128</v>
      </c>
      <c r="D11860" s="787">
        <v>4.2</v>
      </c>
      <c r="E11860" s="787">
        <v>17.2</v>
      </c>
      <c r="F11860" s="788">
        <v>40469</v>
      </c>
      <c r="G11860" s="788">
        <v>41646</v>
      </c>
      <c r="H11860" s="787">
        <v>3</v>
      </c>
      <c r="I11860" s="788">
        <v>42033</v>
      </c>
      <c r="J11860" s="788">
        <v>41418</v>
      </c>
      <c r="K11860" s="788">
        <v>41386</v>
      </c>
      <c r="L11860" s="787">
        <v>17.2</v>
      </c>
      <c r="M11860" s="787">
        <v>20</v>
      </c>
      <c r="N11860" s="787">
        <v>18.489999999999998</v>
      </c>
      <c r="O11860" s="788">
        <v>42146</v>
      </c>
    </row>
    <row r="11861" spans="1:15" x14ac:dyDescent="0.25">
      <c r="A11861" s="786" t="s">
        <v>21129</v>
      </c>
      <c r="B11861" s="787">
        <v>4</v>
      </c>
      <c r="C11861" s="787" t="s">
        <v>21130</v>
      </c>
      <c r="D11861" s="787">
        <v>0.36</v>
      </c>
      <c r="E11861" s="787">
        <v>0.36</v>
      </c>
      <c r="F11861" s="788">
        <v>40470</v>
      </c>
      <c r="G11861" s="788">
        <v>40553</v>
      </c>
      <c r="H11861" s="787">
        <v>3</v>
      </c>
      <c r="I11861" s="788">
        <v>42048</v>
      </c>
      <c r="J11861" s="788">
        <v>40423</v>
      </c>
      <c r="K11861" s="788">
        <v>40459</v>
      </c>
      <c r="L11861" s="787">
        <v>0.36</v>
      </c>
      <c r="M11861" s="787">
        <v>20</v>
      </c>
      <c r="N11861" s="787">
        <v>0.39</v>
      </c>
      <c r="O11861" s="788">
        <v>41858</v>
      </c>
    </row>
    <row r="11862" spans="1:15" x14ac:dyDescent="0.25">
      <c r="A11862" s="786" t="s">
        <v>21131</v>
      </c>
      <c r="B11862" s="787">
        <v>4</v>
      </c>
      <c r="C11862" s="787" t="s">
        <v>21132</v>
      </c>
      <c r="D11862" s="787">
        <v>1.45</v>
      </c>
      <c r="E11862" s="787">
        <v>1.45</v>
      </c>
      <c r="F11862" s="788">
        <v>40470</v>
      </c>
      <c r="G11862" s="788">
        <v>40459</v>
      </c>
      <c r="H11862" s="787">
        <v>3</v>
      </c>
      <c r="J11862" s="788">
        <v>40471</v>
      </c>
      <c r="K11862" s="788">
        <v>40459</v>
      </c>
      <c r="L11862" s="787">
        <v>1.45</v>
      </c>
      <c r="M11862" s="787">
        <v>20</v>
      </c>
      <c r="N11862" s="787">
        <v>1.56</v>
      </c>
      <c r="O11862" s="788">
        <v>41858</v>
      </c>
    </row>
    <row r="11863" spans="1:15" x14ac:dyDescent="0.25">
      <c r="A11863" s="786" t="s">
        <v>21133</v>
      </c>
      <c r="B11863" s="787">
        <v>4</v>
      </c>
      <c r="C11863" s="787" t="s">
        <v>21134</v>
      </c>
      <c r="D11863" s="787">
        <v>1.1599999999999999</v>
      </c>
      <c r="E11863" s="787">
        <v>1.1599999999999999</v>
      </c>
      <c r="F11863" s="788">
        <v>40470</v>
      </c>
      <c r="G11863" s="788">
        <v>40452</v>
      </c>
      <c r="H11863" s="787">
        <v>3</v>
      </c>
      <c r="J11863" s="788">
        <v>40452</v>
      </c>
      <c r="K11863" s="788">
        <v>40470</v>
      </c>
      <c r="L11863" s="787">
        <v>1.1599999999999999</v>
      </c>
      <c r="M11863" s="787">
        <v>20</v>
      </c>
      <c r="N11863" s="787">
        <v>1.25</v>
      </c>
      <c r="O11863" s="788">
        <v>41858</v>
      </c>
    </row>
    <row r="11864" spans="1:15" x14ac:dyDescent="0.25">
      <c r="A11864" s="786" t="s">
        <v>21135</v>
      </c>
      <c r="B11864" s="787">
        <v>4</v>
      </c>
      <c r="C11864" s="787" t="s">
        <v>21068</v>
      </c>
      <c r="D11864" s="787">
        <v>9.9</v>
      </c>
      <c r="E11864" s="787">
        <v>20.6</v>
      </c>
      <c r="F11864" s="788">
        <v>40514</v>
      </c>
      <c r="G11864" s="788">
        <v>42013</v>
      </c>
      <c r="H11864" s="787">
        <v>1</v>
      </c>
      <c r="I11864" s="788">
        <v>42150</v>
      </c>
      <c r="J11864" s="788">
        <v>41911</v>
      </c>
      <c r="K11864" s="788">
        <v>40626</v>
      </c>
      <c r="L11864" s="787">
        <v>20.6</v>
      </c>
      <c r="M11864" s="787">
        <v>20</v>
      </c>
      <c r="N11864" s="787">
        <v>22.15</v>
      </c>
      <c r="O11864" s="788">
        <v>42146</v>
      </c>
    </row>
    <row r="11865" spans="1:15" x14ac:dyDescent="0.25">
      <c r="A11865" s="786" t="s">
        <v>21136</v>
      </c>
      <c r="B11865" s="787">
        <v>4</v>
      </c>
      <c r="C11865" s="787" t="s">
        <v>21112</v>
      </c>
      <c r="D11865" s="787">
        <v>9.9</v>
      </c>
      <c r="E11865" s="787">
        <v>20.6</v>
      </c>
      <c r="F11865" s="788">
        <v>40514</v>
      </c>
      <c r="G11865" s="788">
        <v>42150</v>
      </c>
      <c r="H11865" s="787">
        <v>1</v>
      </c>
      <c r="I11865" s="788">
        <v>42157</v>
      </c>
      <c r="J11865" s="788">
        <v>42143</v>
      </c>
      <c r="K11865" s="788">
        <v>40626</v>
      </c>
      <c r="L11865" s="787">
        <v>20.6</v>
      </c>
      <c r="M11865" s="787">
        <v>20</v>
      </c>
      <c r="N11865" s="787">
        <v>22.15</v>
      </c>
      <c r="O11865" s="788">
        <v>42162</v>
      </c>
    </row>
    <row r="11866" spans="1:15" x14ac:dyDescent="0.25">
      <c r="A11866" s="786" t="s">
        <v>21137</v>
      </c>
      <c r="B11866" s="787">
        <v>4</v>
      </c>
      <c r="C11866" s="787" t="s">
        <v>21138</v>
      </c>
      <c r="D11866" s="787">
        <v>9.9</v>
      </c>
      <c r="E11866" s="787">
        <v>20.6</v>
      </c>
      <c r="F11866" s="788">
        <v>40540</v>
      </c>
      <c r="G11866" s="788">
        <v>42013</v>
      </c>
      <c r="H11866" s="787">
        <v>1</v>
      </c>
      <c r="I11866" s="788">
        <v>42157</v>
      </c>
      <c r="J11866" s="788">
        <v>41870</v>
      </c>
      <c r="K11866" s="788">
        <v>40626</v>
      </c>
      <c r="L11866" s="787">
        <v>20.6</v>
      </c>
      <c r="M11866" s="787">
        <v>20</v>
      </c>
      <c r="N11866" s="787">
        <v>22.15</v>
      </c>
      <c r="O11866" s="788">
        <v>42039</v>
      </c>
    </row>
    <row r="11867" spans="1:15" x14ac:dyDescent="0.25">
      <c r="A11867" s="786" t="s">
        <v>21139</v>
      </c>
      <c r="B11867" s="787">
        <v>4</v>
      </c>
      <c r="C11867" s="787" t="s">
        <v>21140</v>
      </c>
      <c r="D11867" s="787">
        <v>6.1</v>
      </c>
      <c r="E11867" s="787">
        <v>36.1</v>
      </c>
      <c r="F11867" s="788">
        <v>40738</v>
      </c>
      <c r="G11867" s="788">
        <v>42017</v>
      </c>
      <c r="H11867" s="787">
        <v>1</v>
      </c>
      <c r="I11867" s="788">
        <v>41878</v>
      </c>
      <c r="J11867" s="788">
        <v>40744</v>
      </c>
      <c r="K11867" s="788">
        <v>40745</v>
      </c>
      <c r="L11867" s="787">
        <v>36.1</v>
      </c>
      <c r="M11867" s="787">
        <v>20</v>
      </c>
      <c r="N11867" s="787">
        <v>38.81</v>
      </c>
      <c r="O11867" s="788">
        <v>41858</v>
      </c>
    </row>
    <row r="11868" spans="1:15" x14ac:dyDescent="0.25">
      <c r="A11868" s="786" t="s">
        <v>21141</v>
      </c>
      <c r="B11868" s="787">
        <v>4</v>
      </c>
      <c r="C11868" s="787" t="s">
        <v>21142</v>
      </c>
      <c r="D11868" s="787">
        <v>5</v>
      </c>
      <c r="E11868" s="787">
        <v>25</v>
      </c>
      <c r="F11868" s="788">
        <v>41542</v>
      </c>
      <c r="G11868" s="788">
        <v>42013</v>
      </c>
      <c r="H11868" s="787">
        <v>1</v>
      </c>
      <c r="I11868" s="788">
        <v>42075</v>
      </c>
      <c r="J11868" s="788">
        <v>41932</v>
      </c>
      <c r="K11868" s="788">
        <v>41534</v>
      </c>
      <c r="L11868" s="787">
        <v>25</v>
      </c>
      <c r="M11868" s="787">
        <v>20</v>
      </c>
      <c r="N11868" s="787">
        <v>26.88</v>
      </c>
      <c r="O11868" s="788">
        <v>42061</v>
      </c>
    </row>
    <row r="11869" spans="1:15" x14ac:dyDescent="0.25">
      <c r="A11869" s="786" t="s">
        <v>21143</v>
      </c>
      <c r="B11869" s="787">
        <v>4</v>
      </c>
      <c r="C11869" s="787" t="s">
        <v>21144</v>
      </c>
      <c r="D11869" s="787">
        <v>3.78</v>
      </c>
      <c r="E11869" s="787">
        <v>13.78</v>
      </c>
      <c r="F11869" s="788">
        <v>40626</v>
      </c>
      <c r="G11869" s="788">
        <v>42013</v>
      </c>
      <c r="H11869" s="787">
        <v>1</v>
      </c>
      <c r="I11869" s="788">
        <v>42160</v>
      </c>
      <c r="J11869" s="788">
        <v>41932</v>
      </c>
      <c r="K11869" s="788">
        <v>41864</v>
      </c>
      <c r="L11869" s="787">
        <v>13.78</v>
      </c>
      <c r="M11869" s="787">
        <v>20</v>
      </c>
      <c r="N11869" s="787">
        <v>14.81</v>
      </c>
      <c r="O11869" s="788">
        <v>42061</v>
      </c>
    </row>
    <row r="11870" spans="1:15" x14ac:dyDescent="0.25">
      <c r="A11870" s="786" t="s">
        <v>21145</v>
      </c>
      <c r="B11870" s="787">
        <v>4</v>
      </c>
      <c r="C11870" s="787" t="s">
        <v>21146</v>
      </c>
      <c r="D11870" s="787">
        <v>2.99</v>
      </c>
      <c r="E11870" s="787">
        <v>12.99</v>
      </c>
      <c r="F11870" s="788">
        <v>40680</v>
      </c>
      <c r="G11870" s="788">
        <v>40914</v>
      </c>
      <c r="H11870" s="787">
        <v>1</v>
      </c>
      <c r="I11870" s="788">
        <v>42031</v>
      </c>
      <c r="J11870" s="788">
        <v>40728</v>
      </c>
      <c r="L11870" s="787">
        <v>12.99</v>
      </c>
      <c r="M11870" s="787">
        <v>20</v>
      </c>
      <c r="N11870" s="787">
        <v>13.96</v>
      </c>
      <c r="O11870" s="788">
        <v>42039</v>
      </c>
    </row>
    <row r="11871" spans="1:15" x14ac:dyDescent="0.25">
      <c r="A11871" s="786" t="s">
        <v>21147</v>
      </c>
      <c r="B11871" s="787">
        <v>4</v>
      </c>
      <c r="C11871" s="787" t="s">
        <v>21148</v>
      </c>
      <c r="D11871" s="787">
        <v>1.1599999999999999</v>
      </c>
      <c r="E11871" s="787">
        <v>1.33</v>
      </c>
      <c r="F11871" s="788">
        <v>40613</v>
      </c>
      <c r="G11871" s="788">
        <v>42091</v>
      </c>
      <c r="H11871" s="787">
        <v>3</v>
      </c>
      <c r="I11871" s="788">
        <v>42158</v>
      </c>
      <c r="J11871" s="788">
        <v>42061</v>
      </c>
      <c r="K11871" s="788">
        <v>41830</v>
      </c>
      <c r="L11871" s="787">
        <v>1.28</v>
      </c>
      <c r="M11871" s="787">
        <v>20</v>
      </c>
      <c r="N11871" s="787">
        <v>1.38</v>
      </c>
      <c r="O11871" s="788">
        <v>42146</v>
      </c>
    </row>
    <row r="11872" spans="1:15" x14ac:dyDescent="0.25">
      <c r="A11872" s="786" t="s">
        <v>21149</v>
      </c>
      <c r="B11872" s="787">
        <v>4</v>
      </c>
      <c r="C11872" s="787" t="s">
        <v>21150</v>
      </c>
      <c r="D11872" s="787">
        <v>0</v>
      </c>
      <c r="E11872" s="787">
        <v>0</v>
      </c>
      <c r="H11872" s="787">
        <v>3</v>
      </c>
      <c r="L11872" s="787">
        <v>0</v>
      </c>
      <c r="M11872" s="787">
        <v>10</v>
      </c>
      <c r="N11872" s="787">
        <v>208.17</v>
      </c>
      <c r="O11872" s="788">
        <v>42146</v>
      </c>
    </row>
    <row r="11873" spans="1:15" x14ac:dyDescent="0.25">
      <c r="A11873" s="786" t="s">
        <v>21151</v>
      </c>
      <c r="B11873" s="787">
        <v>4</v>
      </c>
      <c r="C11873" s="787" t="s">
        <v>21152</v>
      </c>
      <c r="D11873" s="787">
        <v>5.6</v>
      </c>
      <c r="E11873" s="787">
        <v>15.6</v>
      </c>
      <c r="F11873" s="788">
        <v>40723</v>
      </c>
      <c r="G11873" s="788">
        <v>42013</v>
      </c>
      <c r="H11873" s="787">
        <v>1</v>
      </c>
      <c r="I11873" s="788">
        <v>42048</v>
      </c>
      <c r="J11873" s="788">
        <v>41793</v>
      </c>
      <c r="K11873" s="788">
        <v>40717</v>
      </c>
      <c r="L11873" s="787">
        <v>15.6</v>
      </c>
      <c r="M11873" s="787">
        <v>20</v>
      </c>
      <c r="N11873" s="787">
        <v>16.77</v>
      </c>
      <c r="O11873" s="788">
        <v>42039</v>
      </c>
    </row>
    <row r="11874" spans="1:15" x14ac:dyDescent="0.25">
      <c r="A11874" s="786" t="s">
        <v>21153</v>
      </c>
      <c r="B11874" s="787">
        <v>4</v>
      </c>
      <c r="C11874" s="787" t="s">
        <v>21154</v>
      </c>
      <c r="D11874" s="787">
        <v>8.43</v>
      </c>
      <c r="E11874" s="787">
        <v>9.3699999999999992</v>
      </c>
      <c r="F11874" s="788">
        <v>41821</v>
      </c>
      <c r="G11874" s="788">
        <v>42135</v>
      </c>
      <c r="H11874" s="787">
        <v>1</v>
      </c>
      <c r="I11874" s="788">
        <v>42165</v>
      </c>
      <c r="J11874" s="788">
        <v>42128</v>
      </c>
      <c r="K11874" s="788">
        <v>40722</v>
      </c>
      <c r="L11874" s="787">
        <v>9.3699999999999992</v>
      </c>
      <c r="M11874" s="787">
        <v>20</v>
      </c>
      <c r="N11874" s="787">
        <v>10.07</v>
      </c>
      <c r="O11874" s="788">
        <v>42039</v>
      </c>
    </row>
    <row r="11875" spans="1:15" x14ac:dyDescent="0.25">
      <c r="A11875" s="786" t="s">
        <v>21155</v>
      </c>
      <c r="B11875" s="787">
        <v>4</v>
      </c>
      <c r="C11875" s="787" t="s">
        <v>21156</v>
      </c>
      <c r="D11875" s="787">
        <v>2.04</v>
      </c>
      <c r="E11875" s="787">
        <v>12.04</v>
      </c>
      <c r="F11875" s="788">
        <v>40715</v>
      </c>
      <c r="G11875" s="788">
        <v>41282</v>
      </c>
      <c r="H11875" s="787">
        <v>1</v>
      </c>
      <c r="I11875" s="788">
        <v>41879</v>
      </c>
      <c r="J11875" s="788">
        <v>40898</v>
      </c>
      <c r="L11875" s="787">
        <v>12.04</v>
      </c>
      <c r="M11875" s="787">
        <v>20</v>
      </c>
      <c r="N11875" s="787">
        <v>12.94</v>
      </c>
      <c r="O11875" s="788">
        <v>42039</v>
      </c>
    </row>
    <row r="11876" spans="1:15" x14ac:dyDescent="0.25">
      <c r="A11876" s="786" t="s">
        <v>21157</v>
      </c>
      <c r="B11876" s="787">
        <v>4</v>
      </c>
      <c r="C11876" s="787" t="s">
        <v>13419</v>
      </c>
      <c r="D11876" s="787">
        <v>5.15</v>
      </c>
      <c r="E11876" s="787">
        <v>5.15</v>
      </c>
      <c r="F11876" s="788">
        <v>40975</v>
      </c>
      <c r="G11876" s="788">
        <v>42013</v>
      </c>
      <c r="H11876" s="787">
        <v>1</v>
      </c>
      <c r="I11876" s="788">
        <v>42122</v>
      </c>
      <c r="J11876" s="788">
        <v>41487</v>
      </c>
      <c r="K11876" s="788">
        <v>40737</v>
      </c>
      <c r="L11876" s="787">
        <v>5.15</v>
      </c>
      <c r="M11876" s="787">
        <v>20</v>
      </c>
      <c r="N11876" s="787">
        <v>5.54</v>
      </c>
      <c r="O11876" s="788">
        <v>42080</v>
      </c>
    </row>
    <row r="11877" spans="1:15" x14ac:dyDescent="0.25">
      <c r="A11877" s="786" t="s">
        <v>21158</v>
      </c>
      <c r="B11877" s="787">
        <v>4</v>
      </c>
      <c r="C11877" s="787" t="s">
        <v>13419</v>
      </c>
      <c r="D11877" s="787">
        <v>5.15</v>
      </c>
      <c r="E11877" s="787">
        <v>5.15</v>
      </c>
      <c r="F11877" s="788">
        <v>41022</v>
      </c>
      <c r="G11877" s="788">
        <v>42157</v>
      </c>
      <c r="H11877" s="787">
        <v>1</v>
      </c>
      <c r="I11877" s="788">
        <v>42157</v>
      </c>
      <c r="J11877" s="788">
        <v>42157</v>
      </c>
      <c r="K11877" s="788">
        <v>40737</v>
      </c>
      <c r="L11877" s="787">
        <v>5.15</v>
      </c>
      <c r="M11877" s="787">
        <v>20</v>
      </c>
      <c r="N11877" s="787">
        <v>5.54</v>
      </c>
      <c r="O11877" s="788">
        <v>42039</v>
      </c>
    </row>
    <row r="11878" spans="1:15" x14ac:dyDescent="0.25">
      <c r="A11878" s="786" t="s">
        <v>21159</v>
      </c>
      <c r="B11878" s="787">
        <v>4</v>
      </c>
      <c r="C11878" s="787" t="s">
        <v>13419</v>
      </c>
      <c r="D11878" s="787">
        <v>4.0999999999999996</v>
      </c>
      <c r="E11878" s="787">
        <v>4.5999999999999996</v>
      </c>
      <c r="F11878" s="788">
        <v>41246</v>
      </c>
      <c r="G11878" s="788">
        <v>42159</v>
      </c>
      <c r="H11878" s="787">
        <v>1</v>
      </c>
      <c r="I11878" s="788">
        <v>42164</v>
      </c>
      <c r="J11878" s="788">
        <v>42150</v>
      </c>
      <c r="K11878" s="788">
        <v>40737</v>
      </c>
      <c r="L11878" s="787">
        <v>5.15</v>
      </c>
      <c r="M11878" s="787">
        <v>20</v>
      </c>
      <c r="N11878" s="787">
        <v>5.54</v>
      </c>
      <c r="O11878" s="788">
        <v>42103</v>
      </c>
    </row>
    <row r="11879" spans="1:15" x14ac:dyDescent="0.25">
      <c r="A11879" s="786" t="s">
        <v>21160</v>
      </c>
      <c r="B11879" s="787">
        <v>4</v>
      </c>
      <c r="C11879" s="787" t="s">
        <v>21161</v>
      </c>
      <c r="D11879" s="787">
        <v>1.93</v>
      </c>
      <c r="E11879" s="787">
        <v>1.93</v>
      </c>
      <c r="F11879" s="788">
        <v>42025</v>
      </c>
      <c r="G11879" s="788">
        <v>42137</v>
      </c>
      <c r="H11879" s="787">
        <v>1</v>
      </c>
      <c r="I11879" s="788">
        <v>42156</v>
      </c>
      <c r="J11879" s="788">
        <v>42137</v>
      </c>
      <c r="K11879" s="788">
        <v>40737</v>
      </c>
      <c r="L11879" s="787">
        <v>1.93</v>
      </c>
      <c r="M11879" s="787">
        <v>20</v>
      </c>
      <c r="N11879" s="787">
        <v>2.0699999999999998</v>
      </c>
      <c r="O11879" s="788">
        <v>42103</v>
      </c>
    </row>
    <row r="11880" spans="1:15" x14ac:dyDescent="0.25">
      <c r="A11880" s="786" t="s">
        <v>21162</v>
      </c>
      <c r="B11880" s="787">
        <v>4</v>
      </c>
      <c r="C11880" s="787" t="s">
        <v>21163</v>
      </c>
      <c r="D11880" s="787">
        <v>0</v>
      </c>
      <c r="E11880" s="787">
        <v>20</v>
      </c>
      <c r="F11880" s="788">
        <v>40738</v>
      </c>
      <c r="G11880" s="788">
        <v>42013</v>
      </c>
      <c r="H11880" s="787">
        <v>1</v>
      </c>
      <c r="I11880" s="788">
        <v>41648</v>
      </c>
      <c r="J11880" s="788">
        <v>41528</v>
      </c>
      <c r="K11880" s="788">
        <v>40737</v>
      </c>
      <c r="L11880" s="787">
        <v>20</v>
      </c>
      <c r="M11880" s="787">
        <v>20</v>
      </c>
      <c r="N11880" s="787">
        <v>21.5</v>
      </c>
      <c r="O11880" s="788">
        <v>41858</v>
      </c>
    </row>
    <row r="11881" spans="1:15" x14ac:dyDescent="0.25">
      <c r="A11881" s="786" t="s">
        <v>21164</v>
      </c>
      <c r="B11881" s="787">
        <v>4</v>
      </c>
      <c r="C11881" s="787" t="s">
        <v>21165</v>
      </c>
      <c r="D11881" s="787">
        <v>0.56000000000000005</v>
      </c>
      <c r="E11881" s="787">
        <v>0.74</v>
      </c>
      <c r="F11881" s="788">
        <v>40835</v>
      </c>
      <c r="G11881" s="788">
        <v>41451</v>
      </c>
      <c r="H11881" s="787">
        <v>6</v>
      </c>
      <c r="I11881" s="788">
        <v>41137</v>
      </c>
      <c r="J11881" s="788">
        <v>41807</v>
      </c>
      <c r="K11881" s="788">
        <v>40756</v>
      </c>
      <c r="L11881" s="787">
        <v>0.74</v>
      </c>
      <c r="M11881" s="787">
        <v>20</v>
      </c>
      <c r="N11881" s="787">
        <v>0.8</v>
      </c>
      <c r="O11881" s="788">
        <v>41578</v>
      </c>
    </row>
    <row r="11882" spans="1:15" x14ac:dyDescent="0.25">
      <c r="A11882" s="786" t="s">
        <v>21166</v>
      </c>
      <c r="B11882" s="787">
        <v>4</v>
      </c>
      <c r="C11882" s="787" t="s">
        <v>21167</v>
      </c>
      <c r="D11882" s="787">
        <v>5</v>
      </c>
      <c r="E11882" s="787">
        <v>65</v>
      </c>
      <c r="F11882" s="788">
        <v>41017</v>
      </c>
      <c r="G11882" s="788">
        <v>41002</v>
      </c>
      <c r="H11882" s="787">
        <v>1</v>
      </c>
      <c r="I11882" s="788">
        <v>41137</v>
      </c>
      <c r="J11882" s="788">
        <v>41002</v>
      </c>
      <c r="K11882" s="788">
        <v>40756</v>
      </c>
      <c r="L11882" s="787">
        <v>65</v>
      </c>
      <c r="M11882" s="787">
        <v>20</v>
      </c>
      <c r="N11882" s="787">
        <v>69.88</v>
      </c>
      <c r="O11882" s="788">
        <v>41858</v>
      </c>
    </row>
    <row r="11883" spans="1:15" x14ac:dyDescent="0.25">
      <c r="A11883" s="786" t="s">
        <v>21168</v>
      </c>
      <c r="B11883" s="787">
        <v>4</v>
      </c>
      <c r="C11883" s="787" t="s">
        <v>21169</v>
      </c>
      <c r="D11883" s="787">
        <v>0</v>
      </c>
      <c r="E11883" s="789">
        <v>1650</v>
      </c>
      <c r="F11883" s="788">
        <v>40954</v>
      </c>
      <c r="G11883" s="788">
        <v>40890</v>
      </c>
      <c r="H11883" s="787">
        <v>1</v>
      </c>
      <c r="I11883" s="788">
        <v>42156</v>
      </c>
      <c r="J11883" s="788">
        <v>42117</v>
      </c>
      <c r="L11883" s="789">
        <v>1650</v>
      </c>
      <c r="M11883" s="787">
        <v>20</v>
      </c>
      <c r="N11883" s="789">
        <v>1773.75</v>
      </c>
      <c r="O11883" s="788">
        <v>42039</v>
      </c>
    </row>
    <row r="11884" spans="1:15" x14ac:dyDescent="0.25">
      <c r="A11884" s="786" t="s">
        <v>21170</v>
      </c>
      <c r="B11884" s="787">
        <v>4</v>
      </c>
      <c r="C11884" s="787" t="s">
        <v>21171</v>
      </c>
      <c r="D11884" s="787">
        <v>1</v>
      </c>
      <c r="E11884" s="787">
        <v>177.2</v>
      </c>
      <c r="F11884" s="788">
        <v>41787</v>
      </c>
      <c r="G11884" s="788">
        <v>42156</v>
      </c>
      <c r="H11884" s="787">
        <v>1</v>
      </c>
      <c r="I11884" s="788">
        <v>42156</v>
      </c>
      <c r="J11884" s="788">
        <v>42143</v>
      </c>
      <c r="K11884" s="788">
        <v>41611</v>
      </c>
      <c r="L11884" s="787">
        <v>121</v>
      </c>
      <c r="M11884" s="787">
        <v>20</v>
      </c>
      <c r="N11884" s="787">
        <v>130.08000000000001</v>
      </c>
      <c r="O11884" s="788">
        <v>42039</v>
      </c>
    </row>
    <row r="11885" spans="1:15" x14ac:dyDescent="0.25">
      <c r="A11885" s="786" t="s">
        <v>21172</v>
      </c>
      <c r="B11885" s="787">
        <v>4</v>
      </c>
      <c r="C11885" s="787" t="s">
        <v>21173</v>
      </c>
      <c r="D11885" s="787">
        <v>3</v>
      </c>
      <c r="E11885" s="787">
        <v>209</v>
      </c>
      <c r="F11885" s="788">
        <v>41179</v>
      </c>
      <c r="G11885" s="788">
        <v>42145</v>
      </c>
      <c r="H11885" s="787">
        <v>1</v>
      </c>
      <c r="I11885" s="788">
        <v>42158</v>
      </c>
      <c r="J11885" s="788">
        <v>42118</v>
      </c>
      <c r="K11885" s="788">
        <v>41864</v>
      </c>
      <c r="L11885" s="787">
        <v>209</v>
      </c>
      <c r="M11885" s="787">
        <v>20</v>
      </c>
      <c r="N11885" s="787">
        <v>224.68</v>
      </c>
      <c r="O11885" s="788">
        <v>42039</v>
      </c>
    </row>
    <row r="11886" spans="1:15" x14ac:dyDescent="0.25">
      <c r="A11886" s="786" t="s">
        <v>21174</v>
      </c>
      <c r="B11886" s="787">
        <v>4</v>
      </c>
      <c r="C11886" s="787" t="s">
        <v>21175</v>
      </c>
      <c r="D11886" s="787">
        <v>0</v>
      </c>
      <c r="E11886" s="787">
        <v>0</v>
      </c>
      <c r="H11886" s="787">
        <v>1</v>
      </c>
      <c r="L11886" s="787">
        <v>0.01</v>
      </c>
      <c r="M11886" s="787">
        <v>20</v>
      </c>
      <c r="N11886" s="787">
        <v>0.01</v>
      </c>
      <c r="O11886" s="788">
        <v>41858</v>
      </c>
    </row>
    <row r="11887" spans="1:15" x14ac:dyDescent="0.25">
      <c r="A11887" s="786" t="s">
        <v>21176</v>
      </c>
      <c r="B11887" s="787">
        <v>4</v>
      </c>
      <c r="C11887" s="787" t="s">
        <v>21177</v>
      </c>
      <c r="D11887" s="787">
        <v>0</v>
      </c>
      <c r="E11887" s="787">
        <v>0</v>
      </c>
      <c r="H11887" s="787">
        <v>1</v>
      </c>
      <c r="L11887" s="787">
        <v>0.01</v>
      </c>
      <c r="M11887" s="787">
        <v>20</v>
      </c>
      <c r="N11887" s="787">
        <v>0.01</v>
      </c>
      <c r="O11887" s="788">
        <v>41858</v>
      </c>
    </row>
    <row r="11888" spans="1:15" x14ac:dyDescent="0.25">
      <c r="A11888" s="786" t="s">
        <v>21178</v>
      </c>
      <c r="B11888" s="787">
        <v>4</v>
      </c>
      <c r="C11888" s="787" t="s">
        <v>21179</v>
      </c>
      <c r="D11888" s="787">
        <v>3.42</v>
      </c>
      <c r="E11888" s="787">
        <v>44.8</v>
      </c>
      <c r="F11888" s="788">
        <v>41956</v>
      </c>
      <c r="G11888" s="788">
        <v>42158</v>
      </c>
      <c r="H11888" s="787">
        <v>1</v>
      </c>
      <c r="I11888" s="788">
        <v>42166</v>
      </c>
      <c r="J11888" s="788">
        <v>42156</v>
      </c>
      <c r="K11888" s="788">
        <v>41173</v>
      </c>
      <c r="L11888" s="787">
        <v>45</v>
      </c>
      <c r="M11888" s="787">
        <v>20</v>
      </c>
      <c r="N11888" s="787">
        <v>48.38</v>
      </c>
      <c r="O11888" s="788">
        <v>42162</v>
      </c>
    </row>
    <row r="11889" spans="1:15" x14ac:dyDescent="0.25">
      <c r="A11889" s="786" t="s">
        <v>21180</v>
      </c>
      <c r="B11889" s="787">
        <v>4</v>
      </c>
      <c r="C11889" s="787" t="s">
        <v>21181</v>
      </c>
      <c r="D11889" s="787">
        <v>2.75</v>
      </c>
      <c r="E11889" s="787">
        <v>2.75</v>
      </c>
      <c r="F11889" s="788">
        <v>41312</v>
      </c>
      <c r="G11889" s="788">
        <v>42145</v>
      </c>
      <c r="H11889" s="787">
        <v>1</v>
      </c>
      <c r="I11889" s="788">
        <v>42152</v>
      </c>
      <c r="J11889" s="788">
        <v>42145</v>
      </c>
      <c r="L11889" s="787">
        <v>2.75</v>
      </c>
      <c r="M11889" s="787">
        <v>20</v>
      </c>
      <c r="N11889" s="787">
        <v>2.96</v>
      </c>
      <c r="O11889" s="788">
        <v>42082</v>
      </c>
    </row>
    <row r="11890" spans="1:15" x14ac:dyDescent="0.25">
      <c r="A11890" s="786" t="s">
        <v>21182</v>
      </c>
      <c r="B11890" s="787">
        <v>4</v>
      </c>
      <c r="C11890" s="787" t="s">
        <v>21183</v>
      </c>
      <c r="D11890" s="787">
        <v>6.5</v>
      </c>
      <c r="E11890" s="787">
        <v>6.5</v>
      </c>
      <c r="F11890" s="788">
        <v>41312</v>
      </c>
      <c r="G11890" s="788">
        <v>42116</v>
      </c>
      <c r="H11890" s="787">
        <v>1</v>
      </c>
      <c r="I11890" s="788">
        <v>42165</v>
      </c>
      <c r="J11890" s="788">
        <v>42116</v>
      </c>
      <c r="L11890" s="787">
        <v>6.5</v>
      </c>
      <c r="M11890" s="787">
        <v>20</v>
      </c>
      <c r="N11890" s="787">
        <v>6.99</v>
      </c>
      <c r="O11890" s="788">
        <v>42128</v>
      </c>
    </row>
    <row r="11891" spans="1:15" x14ac:dyDescent="0.25">
      <c r="A11891" s="786" t="s">
        <v>21184</v>
      </c>
      <c r="B11891" s="787">
        <v>4</v>
      </c>
      <c r="C11891" s="787" t="s">
        <v>21185</v>
      </c>
      <c r="D11891" s="787">
        <v>1.39</v>
      </c>
      <c r="E11891" s="787">
        <v>11.87</v>
      </c>
      <c r="F11891" s="788">
        <v>41330</v>
      </c>
      <c r="G11891" s="788">
        <v>42092</v>
      </c>
      <c r="H11891" s="787">
        <v>1</v>
      </c>
      <c r="I11891" s="788">
        <v>42165</v>
      </c>
      <c r="J11891" s="788">
        <v>42089</v>
      </c>
      <c r="K11891" s="788">
        <v>41642</v>
      </c>
      <c r="L11891" s="787">
        <v>11.87</v>
      </c>
      <c r="M11891" s="787">
        <v>20</v>
      </c>
      <c r="N11891" s="787">
        <v>12.76</v>
      </c>
      <c r="O11891" s="788">
        <v>42039</v>
      </c>
    </row>
    <row r="11892" spans="1:15" x14ac:dyDescent="0.25">
      <c r="A11892" s="786" t="s">
        <v>21186</v>
      </c>
      <c r="B11892" s="787">
        <v>4</v>
      </c>
      <c r="C11892" s="787" t="s">
        <v>21187</v>
      </c>
      <c r="D11892" s="787">
        <v>7.79</v>
      </c>
      <c r="E11892" s="787">
        <v>17.79</v>
      </c>
      <c r="F11892" s="788">
        <v>41568</v>
      </c>
      <c r="G11892" s="788">
        <v>42117</v>
      </c>
      <c r="H11892" s="787">
        <v>1</v>
      </c>
      <c r="I11892" s="788">
        <v>42165</v>
      </c>
      <c r="J11892" s="788">
        <v>42117</v>
      </c>
      <c r="L11892" s="787">
        <v>17.79</v>
      </c>
      <c r="M11892" s="787">
        <v>20</v>
      </c>
      <c r="N11892" s="787">
        <v>19.12</v>
      </c>
      <c r="O11892" s="788">
        <v>42146</v>
      </c>
    </row>
    <row r="11893" spans="1:15" x14ac:dyDescent="0.25">
      <c r="A11893" s="786" t="s">
        <v>21188</v>
      </c>
      <c r="B11893" s="787">
        <v>4</v>
      </c>
      <c r="C11893" s="787" t="s">
        <v>21189</v>
      </c>
      <c r="D11893" s="787">
        <v>8.6999999999999993</v>
      </c>
      <c r="E11893" s="787">
        <v>78.7</v>
      </c>
      <c r="F11893" s="788">
        <v>41590</v>
      </c>
      <c r="G11893" s="788">
        <v>42013</v>
      </c>
      <c r="H11893" s="787">
        <v>1</v>
      </c>
      <c r="I11893" s="788">
        <v>42144</v>
      </c>
      <c r="J11893" s="788">
        <v>41590</v>
      </c>
      <c r="L11893" s="787">
        <v>90.1</v>
      </c>
      <c r="M11893" s="787">
        <v>20</v>
      </c>
      <c r="N11893" s="787">
        <v>96.86</v>
      </c>
      <c r="O11893" s="788">
        <v>42045</v>
      </c>
    </row>
    <row r="11894" spans="1:15" x14ac:dyDescent="0.25">
      <c r="A11894" s="786" t="s">
        <v>21190</v>
      </c>
      <c r="B11894" s="787">
        <v>4</v>
      </c>
      <c r="C11894" s="787" t="s">
        <v>21191</v>
      </c>
      <c r="D11894" s="787">
        <v>0</v>
      </c>
      <c r="E11894" s="787">
        <v>35</v>
      </c>
      <c r="H11894" s="787">
        <v>1</v>
      </c>
      <c r="I11894" s="788">
        <v>42102</v>
      </c>
      <c r="J11894" s="788">
        <v>42102</v>
      </c>
      <c r="L11894" s="787">
        <v>35</v>
      </c>
      <c r="M11894" s="787">
        <v>20</v>
      </c>
      <c r="N11894" s="787">
        <v>37.630000000000003</v>
      </c>
      <c r="O11894" s="788">
        <v>41858</v>
      </c>
    </row>
    <row r="11895" spans="1:15" x14ac:dyDescent="0.25">
      <c r="A11895" s="786" t="s">
        <v>21192</v>
      </c>
      <c r="B11895" s="787">
        <v>4</v>
      </c>
      <c r="C11895" s="787" t="s">
        <v>21193</v>
      </c>
      <c r="D11895" s="787">
        <v>0.5</v>
      </c>
      <c r="E11895" s="787">
        <v>10.5</v>
      </c>
      <c r="F11895" s="788">
        <v>41543</v>
      </c>
      <c r="G11895" s="788">
        <v>41557</v>
      </c>
      <c r="H11895" s="787">
        <v>1</v>
      </c>
      <c r="J11895" s="788">
        <v>41544</v>
      </c>
      <c r="L11895" s="787">
        <v>4.3</v>
      </c>
      <c r="M11895" s="787">
        <v>20</v>
      </c>
      <c r="N11895" s="787">
        <v>4.62</v>
      </c>
      <c r="O11895" s="788">
        <v>41858</v>
      </c>
    </row>
    <row r="11896" spans="1:15" x14ac:dyDescent="0.25">
      <c r="A11896" s="786" t="s">
        <v>21194</v>
      </c>
      <c r="B11896" s="787">
        <v>4</v>
      </c>
      <c r="C11896" s="787" t="s">
        <v>21195</v>
      </c>
      <c r="D11896" s="787">
        <v>8</v>
      </c>
      <c r="E11896" s="787">
        <v>28</v>
      </c>
      <c r="F11896" s="788">
        <v>41568</v>
      </c>
      <c r="G11896" s="788">
        <v>41565</v>
      </c>
      <c r="H11896" s="787">
        <v>1</v>
      </c>
      <c r="I11896" s="788">
        <v>41816</v>
      </c>
      <c r="J11896" s="788">
        <v>41565</v>
      </c>
      <c r="L11896" s="787">
        <v>28</v>
      </c>
      <c r="M11896" s="787">
        <v>20</v>
      </c>
      <c r="N11896" s="787">
        <v>30.1</v>
      </c>
      <c r="O11896" s="788">
        <v>41858</v>
      </c>
    </row>
    <row r="11897" spans="1:15" x14ac:dyDescent="0.25">
      <c r="A11897" s="786" t="s">
        <v>21196</v>
      </c>
      <c r="B11897" s="787">
        <v>4</v>
      </c>
      <c r="C11897" s="787" t="s">
        <v>21197</v>
      </c>
      <c r="D11897" s="787">
        <v>9.3699999999999992</v>
      </c>
      <c r="E11897" s="787">
        <v>13.89</v>
      </c>
      <c r="F11897" s="788">
        <v>41575</v>
      </c>
      <c r="G11897" s="788">
        <v>42013</v>
      </c>
      <c r="H11897" s="787">
        <v>1</v>
      </c>
      <c r="I11897" s="788">
        <v>42124</v>
      </c>
      <c r="J11897" s="788">
        <v>41967</v>
      </c>
      <c r="K11897" s="788">
        <v>41642</v>
      </c>
      <c r="L11897" s="787">
        <v>13.89</v>
      </c>
      <c r="M11897" s="787">
        <v>20</v>
      </c>
      <c r="N11897" s="787">
        <v>14.93</v>
      </c>
      <c r="O11897" s="788">
        <v>42039</v>
      </c>
    </row>
    <row r="11898" spans="1:15" x14ac:dyDescent="0.25">
      <c r="A11898" s="786" t="s">
        <v>21198</v>
      </c>
      <c r="B11898" s="787">
        <v>4</v>
      </c>
      <c r="C11898" s="787" t="s">
        <v>21199</v>
      </c>
      <c r="D11898" s="787">
        <v>0.94</v>
      </c>
      <c r="E11898" s="787">
        <v>15.28</v>
      </c>
      <c r="F11898" s="788">
        <v>41619</v>
      </c>
      <c r="G11898" s="788">
        <v>42013</v>
      </c>
      <c r="H11898" s="787">
        <v>1</v>
      </c>
      <c r="I11898" s="788">
        <v>42157</v>
      </c>
      <c r="J11898" s="788">
        <v>41990</v>
      </c>
      <c r="K11898" s="788">
        <v>41869</v>
      </c>
      <c r="L11898" s="787">
        <v>0.94</v>
      </c>
      <c r="M11898" s="787">
        <v>20</v>
      </c>
      <c r="N11898" s="787">
        <v>1.01</v>
      </c>
      <c r="O11898" s="788">
        <v>42039</v>
      </c>
    </row>
    <row r="11899" spans="1:15" x14ac:dyDescent="0.25">
      <c r="A11899" s="786" t="s">
        <v>21200</v>
      </c>
      <c r="B11899" s="787">
        <v>4</v>
      </c>
      <c r="C11899" s="787" t="s">
        <v>21201</v>
      </c>
      <c r="D11899" s="787">
        <v>3.5</v>
      </c>
      <c r="E11899" s="787">
        <v>13.5</v>
      </c>
      <c r="F11899" s="788">
        <v>41575</v>
      </c>
      <c r="G11899" s="788">
        <v>42013</v>
      </c>
      <c r="H11899" s="787">
        <v>3</v>
      </c>
      <c r="I11899" s="788">
        <v>42131</v>
      </c>
      <c r="J11899" s="788">
        <v>41974</v>
      </c>
      <c r="L11899" s="787">
        <v>13.5</v>
      </c>
      <c r="M11899" s="787">
        <v>20</v>
      </c>
      <c r="N11899" s="787">
        <v>14.51</v>
      </c>
      <c r="O11899" s="788">
        <v>42039</v>
      </c>
    </row>
    <row r="11900" spans="1:15" x14ac:dyDescent="0.25">
      <c r="A11900" s="786" t="s">
        <v>21202</v>
      </c>
      <c r="B11900" s="787">
        <v>4</v>
      </c>
      <c r="C11900" s="787" t="s">
        <v>21203</v>
      </c>
      <c r="D11900" s="787">
        <v>6.25</v>
      </c>
      <c r="E11900" s="787">
        <v>16.25</v>
      </c>
      <c r="F11900" s="788">
        <v>41575</v>
      </c>
      <c r="G11900" s="788">
        <v>42079</v>
      </c>
      <c r="H11900" s="787">
        <v>1</v>
      </c>
      <c r="I11900" s="788">
        <v>42158</v>
      </c>
      <c r="J11900" s="788">
        <v>42079</v>
      </c>
      <c r="L11900" s="787">
        <v>20</v>
      </c>
      <c r="M11900" s="787">
        <v>20</v>
      </c>
      <c r="N11900" s="787">
        <v>21.5</v>
      </c>
      <c r="O11900" s="788">
        <v>42039</v>
      </c>
    </row>
    <row r="11901" spans="1:15" x14ac:dyDescent="0.25">
      <c r="A11901" s="786" t="s">
        <v>21204</v>
      </c>
      <c r="B11901" s="787">
        <v>4</v>
      </c>
      <c r="C11901" s="787" t="s">
        <v>21205</v>
      </c>
      <c r="D11901" s="787">
        <v>0.68</v>
      </c>
      <c r="E11901" s="787">
        <v>0.68</v>
      </c>
      <c r="F11901" s="788">
        <v>41619</v>
      </c>
      <c r="G11901" s="788">
        <v>42013</v>
      </c>
      <c r="H11901" s="787">
        <v>1</v>
      </c>
      <c r="I11901" s="788">
        <v>42130</v>
      </c>
      <c r="J11901" s="788">
        <v>41708</v>
      </c>
      <c r="K11901" s="788">
        <v>41865</v>
      </c>
      <c r="L11901" s="787">
        <v>3.36</v>
      </c>
      <c r="M11901" s="787">
        <v>20</v>
      </c>
      <c r="N11901" s="787">
        <v>3.61</v>
      </c>
      <c r="O11901" s="788">
        <v>42039</v>
      </c>
    </row>
    <row r="11902" spans="1:15" x14ac:dyDescent="0.25">
      <c r="A11902" s="786" t="s">
        <v>21206</v>
      </c>
      <c r="B11902" s="787">
        <v>4</v>
      </c>
      <c r="C11902" s="787" t="s">
        <v>21207</v>
      </c>
      <c r="D11902" s="787">
        <v>1.88</v>
      </c>
      <c r="E11902" s="787">
        <v>1.88</v>
      </c>
      <c r="F11902" s="788">
        <v>41619</v>
      </c>
      <c r="G11902" s="788">
        <v>42013</v>
      </c>
      <c r="H11902" s="787">
        <v>1</v>
      </c>
      <c r="I11902" s="788">
        <v>42142</v>
      </c>
      <c r="J11902" s="788">
        <v>41701</v>
      </c>
      <c r="K11902" s="788">
        <v>41864</v>
      </c>
      <c r="L11902" s="787">
        <v>2.02</v>
      </c>
      <c r="M11902" s="787">
        <v>20</v>
      </c>
      <c r="N11902" s="787">
        <v>2.17</v>
      </c>
      <c r="O11902" s="788">
        <v>42039</v>
      </c>
    </row>
    <row r="11903" spans="1:15" x14ac:dyDescent="0.25">
      <c r="A11903" s="786" t="s">
        <v>21208</v>
      </c>
      <c r="B11903" s="787">
        <v>4</v>
      </c>
      <c r="C11903" s="787" t="s">
        <v>21209</v>
      </c>
      <c r="D11903" s="787">
        <v>0</v>
      </c>
      <c r="E11903" s="787">
        <v>10</v>
      </c>
      <c r="F11903" s="788">
        <v>41619</v>
      </c>
      <c r="G11903" s="788">
        <v>41641</v>
      </c>
      <c r="H11903" s="787">
        <v>1</v>
      </c>
      <c r="I11903" s="788">
        <v>42165</v>
      </c>
      <c r="J11903" s="788">
        <v>41898</v>
      </c>
      <c r="K11903" s="788">
        <v>41865</v>
      </c>
      <c r="L11903" s="787">
        <v>1.53</v>
      </c>
      <c r="M11903" s="787">
        <v>20</v>
      </c>
      <c r="N11903" s="787">
        <v>3.42</v>
      </c>
      <c r="O11903" s="788">
        <v>41858</v>
      </c>
    </row>
    <row r="11904" spans="1:15" x14ac:dyDescent="0.25">
      <c r="A11904" s="786" t="s">
        <v>21210</v>
      </c>
      <c r="B11904" s="787">
        <v>4</v>
      </c>
      <c r="C11904" s="787" t="s">
        <v>21211</v>
      </c>
      <c r="D11904" s="787">
        <v>8.0500000000000007</v>
      </c>
      <c r="E11904" s="787">
        <v>8.0500000000000007</v>
      </c>
      <c r="F11904" s="788">
        <v>41821</v>
      </c>
      <c r="G11904" s="788">
        <v>42081</v>
      </c>
      <c r="H11904" s="787">
        <v>1</v>
      </c>
      <c r="I11904" s="788">
        <v>42132</v>
      </c>
      <c r="J11904" s="788">
        <v>42069</v>
      </c>
      <c r="K11904" s="788">
        <v>41800</v>
      </c>
      <c r="L11904" s="787">
        <v>8.0500000000000007</v>
      </c>
      <c r="M11904" s="787">
        <v>20</v>
      </c>
      <c r="N11904" s="787">
        <v>8.65</v>
      </c>
      <c r="O11904" s="788">
        <v>42146</v>
      </c>
    </row>
    <row r="11905" spans="1:15" x14ac:dyDescent="0.25">
      <c r="A11905" s="786" t="s">
        <v>21212</v>
      </c>
      <c r="B11905" s="787">
        <v>4</v>
      </c>
      <c r="C11905" s="787" t="s">
        <v>21213</v>
      </c>
      <c r="D11905" s="787">
        <v>3</v>
      </c>
      <c r="E11905" s="787">
        <v>33</v>
      </c>
      <c r="F11905" s="788">
        <v>41821</v>
      </c>
      <c r="G11905" s="788">
        <v>41822</v>
      </c>
      <c r="H11905" s="787">
        <v>1</v>
      </c>
      <c r="I11905" s="788">
        <v>42132</v>
      </c>
      <c r="J11905" s="788">
        <v>42128</v>
      </c>
      <c r="K11905" s="788">
        <v>41800</v>
      </c>
      <c r="L11905" s="787">
        <v>33</v>
      </c>
      <c r="M11905" s="787">
        <v>20</v>
      </c>
      <c r="N11905" s="787">
        <v>35.479999999999997</v>
      </c>
      <c r="O11905" s="788">
        <v>42146</v>
      </c>
    </row>
    <row r="11906" spans="1:15" x14ac:dyDescent="0.25">
      <c r="A11906" s="786" t="s">
        <v>21214</v>
      </c>
      <c r="B11906" s="787">
        <v>4</v>
      </c>
      <c r="C11906" s="787" t="s">
        <v>21215</v>
      </c>
      <c r="D11906" s="787">
        <v>3.4</v>
      </c>
      <c r="E11906" s="787">
        <v>13.4</v>
      </c>
      <c r="F11906" s="788">
        <v>38047</v>
      </c>
      <c r="G11906" s="788">
        <v>38047</v>
      </c>
      <c r="H11906" s="787">
        <v>1</v>
      </c>
      <c r="I11906" s="788">
        <v>37440</v>
      </c>
      <c r="J11906" s="788">
        <v>38047</v>
      </c>
      <c r="L11906" s="787">
        <v>14.61</v>
      </c>
      <c r="M11906" s="787">
        <v>20</v>
      </c>
      <c r="N11906" s="787">
        <v>15.71</v>
      </c>
      <c r="O11906" s="788">
        <v>41858</v>
      </c>
    </row>
    <row r="11907" spans="1:15" x14ac:dyDescent="0.25">
      <c r="A11907" s="786" t="s">
        <v>21216</v>
      </c>
      <c r="B11907" s="787">
        <v>4</v>
      </c>
      <c r="C11907" s="787" t="s">
        <v>21217</v>
      </c>
      <c r="D11907" s="787">
        <v>6.88</v>
      </c>
      <c r="E11907" s="787">
        <v>7.04</v>
      </c>
      <c r="F11907" s="788">
        <v>39101</v>
      </c>
      <c r="G11907" s="788">
        <v>42013</v>
      </c>
      <c r="H11907" s="787">
        <v>1</v>
      </c>
      <c r="I11907" s="788">
        <v>42080</v>
      </c>
      <c r="J11907" s="788">
        <v>41338</v>
      </c>
      <c r="L11907" s="787">
        <v>7.52</v>
      </c>
      <c r="M11907" s="787">
        <v>20</v>
      </c>
      <c r="N11907" s="787">
        <v>8.08</v>
      </c>
      <c r="O11907" s="788">
        <v>42162</v>
      </c>
    </row>
    <row r="11908" spans="1:15" x14ac:dyDescent="0.25">
      <c r="A11908" s="786" t="s">
        <v>21218</v>
      </c>
      <c r="B11908" s="787">
        <v>4</v>
      </c>
      <c r="C11908" s="787" t="s">
        <v>21219</v>
      </c>
      <c r="D11908" s="787">
        <v>3.93</v>
      </c>
      <c r="E11908" s="787">
        <v>3.95</v>
      </c>
      <c r="F11908" s="788">
        <v>39101</v>
      </c>
      <c r="G11908" s="788">
        <v>42013</v>
      </c>
      <c r="H11908" s="787">
        <v>1</v>
      </c>
      <c r="I11908" s="788">
        <v>42079</v>
      </c>
      <c r="J11908" s="788">
        <v>41691</v>
      </c>
      <c r="L11908" s="787">
        <v>4.21</v>
      </c>
      <c r="M11908" s="787">
        <v>20</v>
      </c>
      <c r="N11908" s="787">
        <v>4.53</v>
      </c>
      <c r="O11908" s="788">
        <v>42164</v>
      </c>
    </row>
    <row r="11909" spans="1:15" x14ac:dyDescent="0.25">
      <c r="A11909" s="786" t="s">
        <v>21220</v>
      </c>
      <c r="B11909" s="787">
        <v>4</v>
      </c>
      <c r="C11909" s="787" t="s">
        <v>21221</v>
      </c>
      <c r="D11909" s="787">
        <v>3.52</v>
      </c>
      <c r="E11909" s="787">
        <v>3.78</v>
      </c>
      <c r="F11909" s="788">
        <v>39101</v>
      </c>
      <c r="G11909" s="788">
        <v>42125</v>
      </c>
      <c r="H11909" s="787">
        <v>1</v>
      </c>
      <c r="I11909" s="788">
        <v>42166</v>
      </c>
      <c r="J11909" s="788">
        <v>42076</v>
      </c>
      <c r="L11909" s="787">
        <v>3.76</v>
      </c>
      <c r="M11909" s="787">
        <v>20</v>
      </c>
      <c r="N11909" s="787">
        <v>4.04</v>
      </c>
      <c r="O11909" s="788">
        <v>42162</v>
      </c>
    </row>
    <row r="11910" spans="1:15" x14ac:dyDescent="0.25">
      <c r="A11910" s="786" t="s">
        <v>21222</v>
      </c>
      <c r="B11910" s="787">
        <v>4</v>
      </c>
      <c r="C11910" s="787" t="s">
        <v>21223</v>
      </c>
      <c r="D11910" s="787">
        <v>0</v>
      </c>
      <c r="E11910" s="787">
        <v>0</v>
      </c>
      <c r="H11910" s="787">
        <v>1</v>
      </c>
      <c r="L11910" s="787">
        <v>0</v>
      </c>
      <c r="M11910" s="787">
        <v>20</v>
      </c>
      <c r="N11910" s="787">
        <v>0</v>
      </c>
      <c r="O11910" s="788">
        <v>40824</v>
      </c>
    </row>
    <row r="11911" spans="1:15" x14ac:dyDescent="0.25">
      <c r="A11911" s="786" t="s">
        <v>21224</v>
      </c>
      <c r="B11911" s="787">
        <v>4</v>
      </c>
      <c r="C11911" s="787" t="s">
        <v>21225</v>
      </c>
      <c r="D11911" s="787">
        <v>7.0000000000000007E-2</v>
      </c>
      <c r="E11911" s="787">
        <v>0.09</v>
      </c>
      <c r="F11911" s="788">
        <v>39101</v>
      </c>
      <c r="G11911" s="788">
        <v>42013</v>
      </c>
      <c r="H11911" s="787">
        <v>1</v>
      </c>
      <c r="I11911" s="788">
        <v>42164</v>
      </c>
      <c r="J11911" s="788">
        <v>42016</v>
      </c>
      <c r="K11911" s="788">
        <v>41869</v>
      </c>
      <c r="L11911" s="787">
        <v>0.09</v>
      </c>
      <c r="M11911" s="787">
        <v>20</v>
      </c>
      <c r="N11911" s="787">
        <v>0.1</v>
      </c>
      <c r="O11911" s="788">
        <v>41989</v>
      </c>
    </row>
    <row r="11912" spans="1:15" x14ac:dyDescent="0.25">
      <c r="A11912" s="786" t="s">
        <v>21226</v>
      </c>
      <c r="B11912" s="787">
        <v>4</v>
      </c>
      <c r="C11912" s="787" t="s">
        <v>21227</v>
      </c>
      <c r="D11912" s="787">
        <v>3.2</v>
      </c>
      <c r="E11912" s="787">
        <v>3.2</v>
      </c>
      <c r="F11912" s="788">
        <v>39101</v>
      </c>
      <c r="G11912" s="788">
        <v>39974</v>
      </c>
      <c r="H11912" s="787">
        <v>1</v>
      </c>
      <c r="I11912" s="788">
        <v>39717</v>
      </c>
      <c r="J11912" s="788">
        <v>39101</v>
      </c>
      <c r="L11912" s="787">
        <v>3.46</v>
      </c>
      <c r="M11912" s="787">
        <v>20</v>
      </c>
      <c r="N11912" s="787">
        <v>3.72</v>
      </c>
      <c r="O11912" s="788">
        <v>42162</v>
      </c>
    </row>
    <row r="11913" spans="1:15" x14ac:dyDescent="0.25">
      <c r="A11913" s="786" t="s">
        <v>21228</v>
      </c>
      <c r="B11913" s="787">
        <v>4</v>
      </c>
      <c r="C11913" s="787" t="s">
        <v>21229</v>
      </c>
      <c r="D11913" s="787">
        <v>6.07</v>
      </c>
      <c r="E11913" s="787">
        <v>116.7</v>
      </c>
      <c r="F11913" s="788">
        <v>39101</v>
      </c>
      <c r="G11913" s="788">
        <v>42013</v>
      </c>
      <c r="H11913" s="787">
        <v>1</v>
      </c>
      <c r="I11913" s="788">
        <v>41478</v>
      </c>
      <c r="J11913" s="788">
        <v>41170</v>
      </c>
      <c r="L11913" s="787">
        <v>93.83</v>
      </c>
      <c r="M11913" s="787">
        <v>20</v>
      </c>
      <c r="N11913" s="787">
        <v>100.87</v>
      </c>
      <c r="O11913" s="788">
        <v>42164</v>
      </c>
    </row>
    <row r="11914" spans="1:15" x14ac:dyDescent="0.25">
      <c r="A11914" s="786" t="s">
        <v>21230</v>
      </c>
      <c r="B11914" s="787">
        <v>4</v>
      </c>
      <c r="C11914" s="787" t="s">
        <v>21231</v>
      </c>
      <c r="D11914" s="787">
        <v>7.55</v>
      </c>
      <c r="E11914" s="787">
        <v>188.9</v>
      </c>
      <c r="F11914" s="788">
        <v>37643</v>
      </c>
      <c r="G11914" s="788">
        <v>42013</v>
      </c>
      <c r="H11914" s="787">
        <v>1</v>
      </c>
      <c r="I11914" s="788">
        <v>42032</v>
      </c>
      <c r="J11914" s="788">
        <v>41884</v>
      </c>
      <c r="K11914" s="788">
        <v>41087</v>
      </c>
      <c r="L11914" s="787">
        <v>161.5</v>
      </c>
      <c r="M11914" s="787">
        <v>20</v>
      </c>
      <c r="N11914" s="787">
        <v>173.61</v>
      </c>
      <c r="O11914" s="788">
        <v>41858</v>
      </c>
    </row>
    <row r="11915" spans="1:15" x14ac:dyDescent="0.25">
      <c r="A11915" s="786" t="s">
        <v>21232</v>
      </c>
      <c r="B11915" s="787">
        <v>4</v>
      </c>
      <c r="C11915" s="787" t="s">
        <v>21229</v>
      </c>
      <c r="D11915" s="787">
        <v>1.75</v>
      </c>
      <c r="E11915" s="787">
        <v>100.77</v>
      </c>
      <c r="F11915" s="788">
        <v>37921</v>
      </c>
      <c r="G11915" s="788">
        <v>42013</v>
      </c>
      <c r="H11915" s="787">
        <v>1</v>
      </c>
      <c r="I11915" s="788">
        <v>42045</v>
      </c>
      <c r="J11915" s="788">
        <v>41921</v>
      </c>
      <c r="K11915" s="788">
        <v>40464</v>
      </c>
      <c r="L11915" s="787">
        <v>89</v>
      </c>
      <c r="M11915" s="787">
        <v>20</v>
      </c>
      <c r="N11915" s="787">
        <v>95.68</v>
      </c>
      <c r="O11915" s="788">
        <v>42146</v>
      </c>
    </row>
    <row r="11916" spans="1:15" x14ac:dyDescent="0.25">
      <c r="A11916" s="786" t="s">
        <v>21233</v>
      </c>
      <c r="B11916" s="787">
        <v>4</v>
      </c>
      <c r="C11916" s="787" t="s">
        <v>21234</v>
      </c>
      <c r="D11916" s="787">
        <v>6.33</v>
      </c>
      <c r="E11916" s="787">
        <v>67.150000000000006</v>
      </c>
      <c r="F11916" s="788">
        <v>40494</v>
      </c>
      <c r="G11916" s="788">
        <v>42013</v>
      </c>
      <c r="H11916" s="787">
        <v>1</v>
      </c>
      <c r="I11916" s="788">
        <v>41913</v>
      </c>
      <c r="J11916" s="788">
        <v>41927</v>
      </c>
      <c r="K11916" s="788">
        <v>41869</v>
      </c>
      <c r="L11916" s="787">
        <v>56.33</v>
      </c>
      <c r="M11916" s="787">
        <v>20</v>
      </c>
      <c r="N11916" s="787">
        <v>60.55</v>
      </c>
      <c r="O11916" s="788">
        <v>42163</v>
      </c>
    </row>
    <row r="11917" spans="1:15" x14ac:dyDescent="0.25">
      <c r="A11917" s="786" t="s">
        <v>21235</v>
      </c>
      <c r="B11917" s="787">
        <v>4</v>
      </c>
      <c r="C11917" s="787" t="s">
        <v>21231</v>
      </c>
      <c r="D11917" s="787">
        <v>8.4</v>
      </c>
      <c r="E11917" s="787">
        <v>98.4</v>
      </c>
      <c r="F11917" s="788">
        <v>38043</v>
      </c>
      <c r="G11917" s="788">
        <v>38043</v>
      </c>
      <c r="H11917" s="787">
        <v>1</v>
      </c>
      <c r="J11917" s="788">
        <v>38034</v>
      </c>
      <c r="L11917" s="787">
        <v>107.26</v>
      </c>
      <c r="M11917" s="787">
        <v>20</v>
      </c>
      <c r="N11917" s="787">
        <v>115.3</v>
      </c>
      <c r="O11917" s="788">
        <v>41858</v>
      </c>
    </row>
    <row r="11918" spans="1:15" x14ac:dyDescent="0.25">
      <c r="A11918" s="786" t="s">
        <v>21236</v>
      </c>
      <c r="B11918" s="787">
        <v>4</v>
      </c>
      <c r="C11918" s="787" t="s">
        <v>21237</v>
      </c>
      <c r="D11918" s="787">
        <v>6.77</v>
      </c>
      <c r="E11918" s="787">
        <v>6.77</v>
      </c>
      <c r="F11918" s="788">
        <v>39101</v>
      </c>
      <c r="G11918" s="788">
        <v>39101</v>
      </c>
      <c r="H11918" s="787">
        <v>1</v>
      </c>
      <c r="I11918" s="788">
        <v>40084</v>
      </c>
      <c r="J11918" s="788">
        <v>39149</v>
      </c>
      <c r="L11918" s="787">
        <v>7.38</v>
      </c>
      <c r="M11918" s="787">
        <v>20</v>
      </c>
      <c r="N11918" s="787">
        <v>7.93</v>
      </c>
      <c r="O11918" s="788">
        <v>41858</v>
      </c>
    </row>
    <row r="11919" spans="1:15" x14ac:dyDescent="0.25">
      <c r="A11919" s="786" t="s">
        <v>21238</v>
      </c>
      <c r="B11919" s="787">
        <v>4</v>
      </c>
      <c r="C11919" s="787" t="s">
        <v>21239</v>
      </c>
      <c r="D11919" s="787">
        <v>0.19</v>
      </c>
      <c r="E11919" s="787">
        <v>10.19</v>
      </c>
      <c r="F11919" s="788">
        <v>39101</v>
      </c>
      <c r="G11919" s="788">
        <v>39101</v>
      </c>
      <c r="H11919" s="787">
        <v>1</v>
      </c>
      <c r="I11919" s="788">
        <v>41892</v>
      </c>
      <c r="J11919" s="788">
        <v>39149</v>
      </c>
      <c r="L11919" s="787">
        <v>11.45</v>
      </c>
      <c r="M11919" s="787">
        <v>20</v>
      </c>
      <c r="N11919" s="787">
        <v>12.31</v>
      </c>
      <c r="O11919" s="788">
        <v>42146</v>
      </c>
    </row>
    <row r="11920" spans="1:15" x14ac:dyDescent="0.25">
      <c r="A11920" s="786" t="s">
        <v>21240</v>
      </c>
      <c r="B11920" s="787">
        <v>4</v>
      </c>
      <c r="C11920" s="787" t="s">
        <v>21241</v>
      </c>
      <c r="D11920" s="787">
        <v>0</v>
      </c>
      <c r="E11920" s="787">
        <v>0</v>
      </c>
      <c r="H11920" s="787">
        <v>1</v>
      </c>
      <c r="J11920" s="788">
        <v>37287</v>
      </c>
      <c r="L11920" s="787">
        <v>0</v>
      </c>
      <c r="M11920" s="787">
        <v>20</v>
      </c>
      <c r="N11920" s="787">
        <v>0.01</v>
      </c>
      <c r="O11920" s="788">
        <v>41858</v>
      </c>
    </row>
    <row r="11921" spans="1:15" x14ac:dyDescent="0.25">
      <c r="A11921" s="786" t="s">
        <v>21242</v>
      </c>
      <c r="B11921" s="787">
        <v>4</v>
      </c>
      <c r="C11921" s="787" t="s">
        <v>21243</v>
      </c>
      <c r="D11921" s="787">
        <v>0</v>
      </c>
      <c r="E11921" s="787">
        <v>0</v>
      </c>
      <c r="H11921" s="787">
        <v>1</v>
      </c>
      <c r="J11921" s="788">
        <v>37287</v>
      </c>
      <c r="L11921" s="787">
        <v>0</v>
      </c>
      <c r="M11921" s="787">
        <v>20</v>
      </c>
      <c r="N11921" s="787">
        <v>0</v>
      </c>
      <c r="O11921" s="788">
        <v>40824</v>
      </c>
    </row>
    <row r="11922" spans="1:15" x14ac:dyDescent="0.25">
      <c r="A11922" s="786" t="s">
        <v>21244</v>
      </c>
      <c r="B11922" s="787">
        <v>4</v>
      </c>
      <c r="C11922" s="787" t="s">
        <v>21245</v>
      </c>
      <c r="D11922" s="787">
        <v>1.07</v>
      </c>
      <c r="E11922" s="787">
        <v>1.07</v>
      </c>
      <c r="F11922" s="788">
        <v>39101</v>
      </c>
      <c r="G11922" s="788">
        <v>39101</v>
      </c>
      <c r="H11922" s="787">
        <v>1</v>
      </c>
      <c r="I11922" s="788">
        <v>42151</v>
      </c>
      <c r="J11922" s="788">
        <v>39149</v>
      </c>
      <c r="L11922" s="787">
        <v>1.17</v>
      </c>
      <c r="M11922" s="787">
        <v>20</v>
      </c>
      <c r="N11922" s="787">
        <v>1.26</v>
      </c>
      <c r="O11922" s="788">
        <v>42162</v>
      </c>
    </row>
    <row r="11923" spans="1:15" x14ac:dyDescent="0.25">
      <c r="A11923" s="786" t="s">
        <v>21246</v>
      </c>
      <c r="B11923" s="787">
        <v>4</v>
      </c>
      <c r="C11923" s="787" t="s">
        <v>21247</v>
      </c>
      <c r="D11923" s="787">
        <v>0.48</v>
      </c>
      <c r="E11923" s="787">
        <v>0.48</v>
      </c>
      <c r="F11923" s="788">
        <v>39975</v>
      </c>
      <c r="G11923" s="788">
        <v>41943</v>
      </c>
      <c r="H11923" s="787">
        <v>1</v>
      </c>
      <c r="I11923" s="788">
        <v>40414</v>
      </c>
      <c r="J11923" s="788">
        <v>40044</v>
      </c>
      <c r="L11923" s="787">
        <v>0.49</v>
      </c>
      <c r="M11923" s="787">
        <v>10</v>
      </c>
      <c r="N11923" s="787">
        <v>1.29</v>
      </c>
      <c r="O11923" s="788">
        <v>42156</v>
      </c>
    </row>
    <row r="11924" spans="1:15" x14ac:dyDescent="0.25">
      <c r="A11924" s="786" t="s">
        <v>21248</v>
      </c>
      <c r="B11924" s="787">
        <v>4</v>
      </c>
      <c r="C11924" s="787" t="s">
        <v>21249</v>
      </c>
      <c r="D11924" s="787">
        <v>0.49</v>
      </c>
      <c r="E11924" s="787">
        <v>0.59</v>
      </c>
      <c r="F11924" s="788">
        <v>38606</v>
      </c>
      <c r="G11924" s="788">
        <v>38322</v>
      </c>
      <c r="H11924" s="787">
        <v>1</v>
      </c>
      <c r="I11924" s="788">
        <v>38322</v>
      </c>
      <c r="J11924" s="788">
        <v>38322</v>
      </c>
      <c r="L11924" s="787">
        <v>0.59</v>
      </c>
      <c r="M11924" s="787">
        <v>10</v>
      </c>
      <c r="N11924" s="787">
        <v>1.21</v>
      </c>
      <c r="O11924" s="788">
        <v>41858</v>
      </c>
    </row>
    <row r="11925" spans="1:15" x14ac:dyDescent="0.25">
      <c r="A11925" s="786" t="s">
        <v>21250</v>
      </c>
      <c r="B11925" s="787">
        <v>4</v>
      </c>
      <c r="C11925" s="787" t="s">
        <v>21251</v>
      </c>
      <c r="D11925" s="787">
        <v>0.95</v>
      </c>
      <c r="E11925" s="787">
        <v>0.95</v>
      </c>
      <c r="F11925" s="788">
        <v>42075</v>
      </c>
      <c r="G11925" s="788">
        <v>42075</v>
      </c>
      <c r="H11925" s="787">
        <v>1</v>
      </c>
      <c r="I11925" s="788">
        <v>42111</v>
      </c>
      <c r="J11925" s="788">
        <v>42044</v>
      </c>
      <c r="K11925" s="788">
        <v>42021</v>
      </c>
      <c r="L11925" s="787">
        <v>0.53</v>
      </c>
      <c r="M11925" s="787">
        <v>10</v>
      </c>
      <c r="N11925" s="787">
        <v>0.53</v>
      </c>
      <c r="O11925" s="788">
        <v>42024</v>
      </c>
    </row>
    <row r="11926" spans="1:15" x14ac:dyDescent="0.25">
      <c r="A11926" s="786" t="s">
        <v>21252</v>
      </c>
      <c r="B11926" s="787">
        <v>4</v>
      </c>
      <c r="C11926" s="787" t="s">
        <v>21253</v>
      </c>
      <c r="D11926" s="787">
        <v>0.93</v>
      </c>
      <c r="E11926" s="787">
        <v>1.1100000000000001</v>
      </c>
      <c r="F11926" s="788">
        <v>40494</v>
      </c>
      <c r="G11926" s="788">
        <v>42013</v>
      </c>
      <c r="H11926" s="787">
        <v>1</v>
      </c>
      <c r="I11926" s="788">
        <v>42164</v>
      </c>
      <c r="J11926" s="788">
        <v>41954</v>
      </c>
      <c r="K11926" s="788">
        <v>42164</v>
      </c>
      <c r="L11926" s="787">
        <v>1.05</v>
      </c>
      <c r="M11926" s="787">
        <v>20</v>
      </c>
      <c r="N11926" s="787">
        <v>1.1299999999999999</v>
      </c>
      <c r="O11926" s="788">
        <v>42164</v>
      </c>
    </row>
    <row r="11927" spans="1:15" x14ac:dyDescent="0.25">
      <c r="A11927" s="786" t="s">
        <v>21254</v>
      </c>
      <c r="B11927" s="787">
        <v>4</v>
      </c>
      <c r="C11927" s="787" t="s">
        <v>21255</v>
      </c>
      <c r="D11927" s="787">
        <v>1.59</v>
      </c>
      <c r="E11927" s="787">
        <v>1.59</v>
      </c>
      <c r="F11927" s="788">
        <v>41901</v>
      </c>
      <c r="G11927" s="788">
        <v>41904</v>
      </c>
      <c r="H11927" s="787">
        <v>1</v>
      </c>
      <c r="J11927" s="788">
        <v>41899</v>
      </c>
      <c r="L11927" s="787">
        <v>1.5</v>
      </c>
      <c r="M11927" s="787">
        <v>20</v>
      </c>
      <c r="N11927" s="787">
        <v>1.5</v>
      </c>
    </row>
    <row r="11928" spans="1:15" x14ac:dyDescent="0.25">
      <c r="A11928" s="786" t="s">
        <v>21256</v>
      </c>
      <c r="B11928" s="787">
        <v>4</v>
      </c>
      <c r="C11928" s="787" t="s">
        <v>21257</v>
      </c>
      <c r="D11928" s="787">
        <v>8.08</v>
      </c>
      <c r="E11928" s="787">
        <v>14.7</v>
      </c>
      <c r="F11928" s="788">
        <v>39101</v>
      </c>
      <c r="G11928" s="788">
        <v>41565</v>
      </c>
      <c r="H11928" s="787">
        <v>1</v>
      </c>
      <c r="I11928" s="788">
        <v>42157</v>
      </c>
      <c r="J11928" s="788">
        <v>41960</v>
      </c>
      <c r="L11928" s="787">
        <v>8.81</v>
      </c>
      <c r="M11928" s="787">
        <v>20</v>
      </c>
      <c r="N11928" s="787">
        <v>9.4700000000000006</v>
      </c>
      <c r="O11928" s="788">
        <v>41989</v>
      </c>
    </row>
    <row r="11929" spans="1:15" x14ac:dyDescent="0.25">
      <c r="A11929" s="786" t="s">
        <v>21258</v>
      </c>
      <c r="B11929" s="787">
        <v>4</v>
      </c>
      <c r="C11929" s="787" t="s">
        <v>21259</v>
      </c>
      <c r="D11929" s="787">
        <v>1.8</v>
      </c>
      <c r="E11929" s="787">
        <v>13.9</v>
      </c>
      <c r="F11929" s="788">
        <v>39997</v>
      </c>
      <c r="G11929" s="788">
        <v>42143</v>
      </c>
      <c r="H11929" s="787">
        <v>1</v>
      </c>
      <c r="I11929" s="788">
        <v>42145</v>
      </c>
      <c r="J11929" s="788">
        <v>42143</v>
      </c>
      <c r="L11929" s="787">
        <v>11.71</v>
      </c>
      <c r="M11929" s="787">
        <v>20</v>
      </c>
      <c r="N11929" s="787">
        <v>12.59</v>
      </c>
      <c r="O11929" s="788">
        <v>42164</v>
      </c>
    </row>
    <row r="11930" spans="1:15" x14ac:dyDescent="0.25">
      <c r="A11930" s="786" t="s">
        <v>21260</v>
      </c>
      <c r="B11930" s="787">
        <v>4</v>
      </c>
      <c r="C11930" s="787" t="s">
        <v>21261</v>
      </c>
      <c r="D11930" s="787">
        <v>1.59</v>
      </c>
      <c r="E11930" s="787">
        <v>1.59</v>
      </c>
      <c r="F11930" s="788">
        <v>38041</v>
      </c>
      <c r="G11930" s="788">
        <v>38364</v>
      </c>
      <c r="H11930" s="787">
        <v>1</v>
      </c>
      <c r="I11930" s="788">
        <v>40116</v>
      </c>
      <c r="J11930" s="788">
        <v>38033</v>
      </c>
      <c r="L11930" s="787">
        <v>1.73</v>
      </c>
      <c r="M11930" s="787">
        <v>20</v>
      </c>
      <c r="N11930" s="787">
        <v>1.86</v>
      </c>
      <c r="O11930" s="788">
        <v>41858</v>
      </c>
    </row>
    <row r="11931" spans="1:15" x14ac:dyDescent="0.25">
      <c r="A11931" s="786" t="s">
        <v>21262</v>
      </c>
      <c r="B11931" s="787">
        <v>4</v>
      </c>
      <c r="C11931" s="787" t="s">
        <v>21259</v>
      </c>
      <c r="D11931" s="787">
        <v>5.75</v>
      </c>
      <c r="E11931" s="787">
        <v>30.49</v>
      </c>
      <c r="F11931" s="788">
        <v>37643</v>
      </c>
      <c r="G11931" s="788">
        <v>41565</v>
      </c>
      <c r="H11931" s="787">
        <v>1</v>
      </c>
      <c r="I11931" s="788">
        <v>40436</v>
      </c>
      <c r="J11931" s="788">
        <v>41043</v>
      </c>
      <c r="L11931" s="787">
        <v>17.170000000000002</v>
      </c>
      <c r="M11931" s="787">
        <v>20</v>
      </c>
      <c r="N11931" s="787">
        <v>18.46</v>
      </c>
      <c r="O11931" s="788">
        <v>41989</v>
      </c>
    </row>
    <row r="11932" spans="1:15" x14ac:dyDescent="0.25">
      <c r="A11932" s="786" t="s">
        <v>21263</v>
      </c>
      <c r="B11932" s="787">
        <v>4</v>
      </c>
      <c r="C11932" s="787" t="s">
        <v>21264</v>
      </c>
      <c r="D11932" s="787">
        <v>7</v>
      </c>
      <c r="E11932" s="787">
        <v>47</v>
      </c>
      <c r="F11932" s="788">
        <v>42083</v>
      </c>
      <c r="G11932" s="788">
        <v>42082</v>
      </c>
      <c r="H11932" s="787">
        <v>1</v>
      </c>
      <c r="I11932" s="788">
        <v>41956</v>
      </c>
      <c r="J11932" s="788">
        <v>42082</v>
      </c>
      <c r="K11932" s="788">
        <v>41956</v>
      </c>
      <c r="L11932" s="787">
        <v>47</v>
      </c>
      <c r="M11932" s="787">
        <v>20</v>
      </c>
      <c r="N11932" s="787">
        <v>50.53</v>
      </c>
      <c r="O11932" s="788">
        <v>41996</v>
      </c>
    </row>
    <row r="11933" spans="1:15" x14ac:dyDescent="0.25">
      <c r="A11933" s="786" t="s">
        <v>21265</v>
      </c>
      <c r="B11933" s="787">
        <v>4</v>
      </c>
      <c r="C11933" s="787" t="s">
        <v>21266</v>
      </c>
      <c r="D11933" s="787">
        <v>3.45</v>
      </c>
      <c r="E11933" s="787">
        <v>5.63</v>
      </c>
      <c r="F11933" s="788">
        <v>40018</v>
      </c>
      <c r="G11933" s="788">
        <v>42013</v>
      </c>
      <c r="H11933" s="787">
        <v>1</v>
      </c>
      <c r="I11933" s="788">
        <v>42030</v>
      </c>
      <c r="J11933" s="788">
        <v>41578</v>
      </c>
      <c r="K11933" s="788">
        <v>41869</v>
      </c>
      <c r="L11933" s="787">
        <v>5.63</v>
      </c>
      <c r="M11933" s="787">
        <v>20</v>
      </c>
      <c r="N11933" s="787">
        <v>14.94</v>
      </c>
      <c r="O11933" s="788">
        <v>41858</v>
      </c>
    </row>
    <row r="11934" spans="1:15" x14ac:dyDescent="0.25">
      <c r="A11934" s="786" t="s">
        <v>21267</v>
      </c>
      <c r="B11934" s="787">
        <v>4</v>
      </c>
      <c r="C11934" s="787" t="s">
        <v>21268</v>
      </c>
      <c r="D11934" s="787">
        <v>0</v>
      </c>
      <c r="E11934" s="787">
        <v>0</v>
      </c>
      <c r="H11934" s="787">
        <v>1</v>
      </c>
      <c r="I11934" s="788">
        <v>41927</v>
      </c>
      <c r="L11934" s="787">
        <v>0.68</v>
      </c>
      <c r="M11934" s="787">
        <v>20</v>
      </c>
      <c r="N11934" s="787">
        <v>0</v>
      </c>
    </row>
    <row r="11935" spans="1:15" x14ac:dyDescent="0.25">
      <c r="A11935" s="786" t="s">
        <v>21269</v>
      </c>
      <c r="B11935" s="787">
        <v>4</v>
      </c>
      <c r="C11935" s="787" t="s">
        <v>21270</v>
      </c>
      <c r="D11935" s="787">
        <v>0</v>
      </c>
      <c r="E11935" s="787">
        <v>0</v>
      </c>
      <c r="H11935" s="787">
        <v>1</v>
      </c>
      <c r="I11935" s="788">
        <v>41927</v>
      </c>
      <c r="L11935" s="787">
        <v>1.27</v>
      </c>
      <c r="M11935" s="787">
        <v>20</v>
      </c>
      <c r="N11935" s="787">
        <v>0</v>
      </c>
    </row>
    <row r="11936" spans="1:15" x14ac:dyDescent="0.25">
      <c r="A11936" s="786" t="s">
        <v>21271</v>
      </c>
      <c r="B11936" s="787">
        <v>4</v>
      </c>
      <c r="C11936" s="787" t="s">
        <v>21272</v>
      </c>
      <c r="D11936" s="787">
        <v>7.43</v>
      </c>
      <c r="E11936" s="787">
        <v>8.5</v>
      </c>
      <c r="F11936" s="788">
        <v>39101</v>
      </c>
      <c r="G11936" s="788">
        <v>42013</v>
      </c>
      <c r="H11936" s="787">
        <v>1</v>
      </c>
      <c r="I11936" s="788">
        <v>42037</v>
      </c>
      <c r="J11936" s="788">
        <v>41228</v>
      </c>
      <c r="K11936" s="788">
        <v>41865</v>
      </c>
      <c r="L11936" s="787">
        <v>8.5</v>
      </c>
      <c r="M11936" s="787">
        <v>20</v>
      </c>
      <c r="N11936" s="787">
        <v>9.14</v>
      </c>
      <c r="O11936" s="788">
        <v>42135</v>
      </c>
    </row>
    <row r="11937" spans="1:15" x14ac:dyDescent="0.25">
      <c r="A11937" s="786" t="s">
        <v>21273</v>
      </c>
      <c r="B11937" s="787">
        <v>4</v>
      </c>
      <c r="C11937" s="787" t="s">
        <v>21274</v>
      </c>
      <c r="D11937" s="787">
        <v>7.26</v>
      </c>
      <c r="E11937" s="787">
        <v>17.260000000000002</v>
      </c>
      <c r="F11937" s="788">
        <v>38047</v>
      </c>
      <c r="G11937" s="788">
        <v>38047</v>
      </c>
      <c r="H11937" s="787">
        <v>1</v>
      </c>
      <c r="I11937" s="788">
        <v>41163</v>
      </c>
      <c r="J11937" s="788">
        <v>38047</v>
      </c>
      <c r="L11937" s="787">
        <v>18.809999999999999</v>
      </c>
      <c r="M11937" s="787">
        <v>20</v>
      </c>
      <c r="N11937" s="787">
        <v>20.22</v>
      </c>
      <c r="O11937" s="788">
        <v>41858</v>
      </c>
    </row>
    <row r="11938" spans="1:15" x14ac:dyDescent="0.25">
      <c r="A11938" s="786" t="s">
        <v>21275</v>
      </c>
      <c r="B11938" s="787">
        <v>4</v>
      </c>
      <c r="C11938" s="787" t="s">
        <v>21276</v>
      </c>
      <c r="D11938" s="787">
        <v>5.6</v>
      </c>
      <c r="E11938" s="787">
        <v>6.95</v>
      </c>
      <c r="F11938" s="788">
        <v>41578</v>
      </c>
      <c r="G11938" s="788">
        <v>42150</v>
      </c>
      <c r="H11938" s="787">
        <v>1</v>
      </c>
      <c r="I11938" s="788">
        <v>42163</v>
      </c>
      <c r="J11938" s="788">
        <v>42144</v>
      </c>
      <c r="K11938" s="788">
        <v>41466</v>
      </c>
      <c r="L11938" s="787">
        <v>6.95</v>
      </c>
      <c r="M11938" s="787">
        <v>20</v>
      </c>
      <c r="N11938" s="787">
        <v>7.47</v>
      </c>
      <c r="O11938" s="788">
        <v>42163</v>
      </c>
    </row>
    <row r="11939" spans="1:15" x14ac:dyDescent="0.25">
      <c r="A11939" s="786" t="s">
        <v>21277</v>
      </c>
      <c r="B11939" s="787">
        <v>4</v>
      </c>
      <c r="C11939" s="787" t="s">
        <v>21278</v>
      </c>
      <c r="D11939" s="787">
        <v>3.65</v>
      </c>
      <c r="E11939" s="787">
        <v>3.65</v>
      </c>
      <c r="F11939" s="788">
        <v>40471</v>
      </c>
      <c r="G11939" s="788">
        <v>40890</v>
      </c>
      <c r="H11939" s="787">
        <v>1</v>
      </c>
      <c r="I11939" s="788">
        <v>42163</v>
      </c>
      <c r="J11939" s="788">
        <v>41876</v>
      </c>
      <c r="K11939" s="788">
        <v>41422</v>
      </c>
      <c r="L11939" s="787">
        <v>3.65</v>
      </c>
      <c r="M11939" s="787">
        <v>20</v>
      </c>
      <c r="N11939" s="787">
        <v>3.92</v>
      </c>
      <c r="O11939" s="788">
        <v>42163</v>
      </c>
    </row>
    <row r="11940" spans="1:15" x14ac:dyDescent="0.25">
      <c r="A11940" s="786" t="s">
        <v>21279</v>
      </c>
      <c r="B11940" s="787">
        <v>4</v>
      </c>
      <c r="C11940" s="787" t="s">
        <v>21280</v>
      </c>
      <c r="D11940" s="787">
        <v>6.04</v>
      </c>
      <c r="E11940" s="787">
        <v>6.04</v>
      </c>
      <c r="F11940" s="788">
        <v>40721</v>
      </c>
      <c r="G11940" s="788">
        <v>40714</v>
      </c>
      <c r="H11940" s="787">
        <v>1</v>
      </c>
      <c r="I11940" s="788">
        <v>42151</v>
      </c>
      <c r="J11940" s="788">
        <v>42016</v>
      </c>
      <c r="K11940" s="788">
        <v>40676</v>
      </c>
      <c r="L11940" s="787">
        <v>6.04</v>
      </c>
      <c r="M11940" s="787">
        <v>20</v>
      </c>
      <c r="N11940" s="787">
        <v>6.49</v>
      </c>
      <c r="O11940" s="788">
        <v>42163</v>
      </c>
    </row>
    <row r="11941" spans="1:15" x14ac:dyDescent="0.25">
      <c r="A11941" s="786" t="s">
        <v>21281</v>
      </c>
      <c r="B11941" s="787">
        <v>4</v>
      </c>
      <c r="C11941" s="787" t="s">
        <v>21282</v>
      </c>
      <c r="D11941" s="787">
        <v>4.09</v>
      </c>
      <c r="E11941" s="787">
        <v>4.4000000000000004</v>
      </c>
      <c r="F11941" s="788">
        <v>40721</v>
      </c>
      <c r="G11941" s="788">
        <v>42013</v>
      </c>
      <c r="H11941" s="787">
        <v>1</v>
      </c>
      <c r="I11941" s="788">
        <v>41869</v>
      </c>
      <c r="J11941" s="788">
        <v>41075</v>
      </c>
      <c r="K11941" s="788">
        <v>40676</v>
      </c>
      <c r="L11941" s="787">
        <v>4.09</v>
      </c>
      <c r="M11941" s="787">
        <v>20</v>
      </c>
      <c r="N11941" s="787">
        <v>4.4000000000000004</v>
      </c>
      <c r="O11941" s="788">
        <v>42163</v>
      </c>
    </row>
    <row r="11942" spans="1:15" x14ac:dyDescent="0.25">
      <c r="A11942" s="786" t="s">
        <v>21283</v>
      </c>
      <c r="B11942" s="787">
        <v>4</v>
      </c>
      <c r="C11942" s="787" t="s">
        <v>21284</v>
      </c>
      <c r="D11942" s="787">
        <v>2.17</v>
      </c>
      <c r="E11942" s="787">
        <v>2.17</v>
      </c>
      <c r="F11942" s="788">
        <v>37650</v>
      </c>
      <c r="G11942" s="788">
        <v>37650</v>
      </c>
      <c r="H11942" s="787">
        <v>1</v>
      </c>
      <c r="I11942" s="788">
        <v>38609</v>
      </c>
      <c r="J11942" s="788">
        <v>37650</v>
      </c>
      <c r="L11942" s="787">
        <v>2.37</v>
      </c>
      <c r="M11942" s="787">
        <v>20</v>
      </c>
      <c r="N11942" s="787">
        <v>2.5499999999999998</v>
      </c>
      <c r="O11942" s="788">
        <v>41858</v>
      </c>
    </row>
    <row r="11943" spans="1:15" x14ac:dyDescent="0.25">
      <c r="A11943" s="786" t="s">
        <v>21285</v>
      </c>
      <c r="B11943" s="787">
        <v>4</v>
      </c>
      <c r="C11943" s="787" t="s">
        <v>21286</v>
      </c>
      <c r="D11943" s="787">
        <v>0</v>
      </c>
      <c r="E11943" s="787">
        <v>0</v>
      </c>
      <c r="H11943" s="787">
        <v>1</v>
      </c>
      <c r="K11943" s="788">
        <v>41528</v>
      </c>
      <c r="L11943" s="787">
        <v>10.73</v>
      </c>
      <c r="M11943" s="787">
        <v>10</v>
      </c>
      <c r="N11943" s="787">
        <v>10.73</v>
      </c>
      <c r="O11943" s="788">
        <v>41858</v>
      </c>
    </row>
    <row r="11944" spans="1:15" x14ac:dyDescent="0.25">
      <c r="A11944" s="786" t="s">
        <v>21287</v>
      </c>
      <c r="B11944" s="787">
        <v>4</v>
      </c>
      <c r="C11944" s="787" t="s">
        <v>21288</v>
      </c>
      <c r="D11944" s="787">
        <v>0</v>
      </c>
      <c r="E11944" s="787">
        <v>0</v>
      </c>
      <c r="H11944" s="787">
        <v>1</v>
      </c>
      <c r="K11944" s="788">
        <v>41478</v>
      </c>
      <c r="L11944" s="787">
        <v>40</v>
      </c>
      <c r="M11944" s="787">
        <v>20</v>
      </c>
      <c r="N11944" s="787">
        <v>43</v>
      </c>
      <c r="O11944" s="788">
        <v>41955</v>
      </c>
    </row>
    <row r="11945" spans="1:15" x14ac:dyDescent="0.25">
      <c r="A11945" s="786" t="s">
        <v>21289</v>
      </c>
      <c r="B11945" s="787">
        <v>4</v>
      </c>
      <c r="C11945" s="787" t="s">
        <v>21290</v>
      </c>
      <c r="D11945" s="787">
        <v>0</v>
      </c>
      <c r="E11945" s="787">
        <v>0</v>
      </c>
      <c r="H11945" s="787">
        <v>1</v>
      </c>
      <c r="L11945" s="787">
        <v>30</v>
      </c>
      <c r="M11945" s="787">
        <v>20</v>
      </c>
      <c r="N11945" s="787">
        <v>32.25</v>
      </c>
      <c r="O11945" s="788">
        <v>42083</v>
      </c>
    </row>
    <row r="11946" spans="1:15" x14ac:dyDescent="0.25">
      <c r="A11946" s="786" t="s">
        <v>21291</v>
      </c>
      <c r="B11946" s="787">
        <v>4</v>
      </c>
      <c r="C11946" s="787" t="s">
        <v>21292</v>
      </c>
      <c r="D11946" s="787">
        <v>7.67</v>
      </c>
      <c r="E11946" s="787">
        <v>7.67</v>
      </c>
      <c r="F11946" s="788">
        <v>37650</v>
      </c>
      <c r="G11946" s="788">
        <v>37650</v>
      </c>
      <c r="H11946" s="787">
        <v>1</v>
      </c>
      <c r="I11946" s="788">
        <v>38467</v>
      </c>
      <c r="J11946" s="788">
        <v>37650</v>
      </c>
      <c r="L11946" s="787">
        <v>8.36</v>
      </c>
      <c r="M11946" s="787">
        <v>20</v>
      </c>
      <c r="N11946" s="787">
        <v>8.99</v>
      </c>
      <c r="O11946" s="788">
        <v>41858</v>
      </c>
    </row>
    <row r="11947" spans="1:15" x14ac:dyDescent="0.25">
      <c r="A11947" s="786" t="s">
        <v>21293</v>
      </c>
      <c r="B11947" s="787">
        <v>4</v>
      </c>
      <c r="C11947" s="787" t="s">
        <v>21294</v>
      </c>
      <c r="D11947" s="787">
        <v>9.6999999999999993</v>
      </c>
      <c r="E11947" s="787">
        <v>60.45</v>
      </c>
      <c r="F11947" s="788">
        <v>38218</v>
      </c>
      <c r="G11947" s="788">
        <v>38364</v>
      </c>
      <c r="H11947" s="787">
        <v>1</v>
      </c>
      <c r="I11947" s="788">
        <v>38736</v>
      </c>
      <c r="J11947" s="788">
        <v>38348</v>
      </c>
      <c r="L11947" s="787">
        <v>65.89</v>
      </c>
      <c r="M11947" s="787">
        <v>20</v>
      </c>
      <c r="N11947" s="787">
        <v>70.83</v>
      </c>
      <c r="O11947" s="788">
        <v>42020</v>
      </c>
    </row>
    <row r="11948" spans="1:15" x14ac:dyDescent="0.25">
      <c r="A11948" s="786" t="s">
        <v>21295</v>
      </c>
      <c r="B11948" s="787">
        <v>4</v>
      </c>
      <c r="C11948" s="787" t="s">
        <v>21296</v>
      </c>
      <c r="D11948" s="787">
        <v>7.9</v>
      </c>
      <c r="E11948" s="787">
        <v>17.899999999999999</v>
      </c>
      <c r="F11948" s="788">
        <v>41442</v>
      </c>
      <c r="G11948" s="788">
        <v>41439</v>
      </c>
      <c r="H11948" s="787">
        <v>1</v>
      </c>
      <c r="I11948" s="788">
        <v>41792</v>
      </c>
      <c r="J11948" s="788">
        <v>41444</v>
      </c>
      <c r="K11948" s="788">
        <v>41435</v>
      </c>
      <c r="L11948" s="787">
        <v>17.899999999999999</v>
      </c>
      <c r="M11948" s="787">
        <v>20</v>
      </c>
      <c r="N11948" s="787">
        <v>19.239999999999998</v>
      </c>
      <c r="O11948" s="788">
        <v>41858</v>
      </c>
    </row>
    <row r="11949" spans="1:15" x14ac:dyDescent="0.25">
      <c r="A11949" s="786" t="s">
        <v>21297</v>
      </c>
      <c r="B11949" s="787">
        <v>4</v>
      </c>
      <c r="C11949" s="787" t="s">
        <v>21298</v>
      </c>
      <c r="D11949" s="787">
        <v>0</v>
      </c>
      <c r="E11949" s="787">
        <v>0</v>
      </c>
      <c r="H11949" s="787">
        <v>1</v>
      </c>
      <c r="L11949" s="787">
        <v>100.65</v>
      </c>
      <c r="M11949" s="787">
        <v>20</v>
      </c>
      <c r="N11949" s="787">
        <v>108.2</v>
      </c>
      <c r="O11949" s="788">
        <v>41858</v>
      </c>
    </row>
    <row r="11950" spans="1:15" x14ac:dyDescent="0.25">
      <c r="A11950" s="786" t="s">
        <v>21299</v>
      </c>
      <c r="B11950" s="787">
        <v>4</v>
      </c>
      <c r="C11950" s="787" t="s">
        <v>21298</v>
      </c>
      <c r="D11950" s="787">
        <v>0</v>
      </c>
      <c r="E11950" s="787">
        <v>0</v>
      </c>
      <c r="H11950" s="787">
        <v>1</v>
      </c>
      <c r="L11950" s="787">
        <v>61.6</v>
      </c>
      <c r="M11950" s="787">
        <v>20</v>
      </c>
      <c r="N11950" s="787">
        <v>66.22</v>
      </c>
      <c r="O11950" s="788">
        <v>41858</v>
      </c>
    </row>
    <row r="11951" spans="1:15" x14ac:dyDescent="0.25">
      <c r="A11951" s="786" t="s">
        <v>21300</v>
      </c>
      <c r="B11951" s="787">
        <v>4</v>
      </c>
      <c r="C11951" s="787" t="s">
        <v>21298</v>
      </c>
      <c r="D11951" s="787">
        <v>0</v>
      </c>
      <c r="E11951" s="787">
        <v>0</v>
      </c>
      <c r="H11951" s="787">
        <v>1</v>
      </c>
      <c r="L11951" s="787">
        <v>71.5</v>
      </c>
      <c r="M11951" s="787">
        <v>20</v>
      </c>
      <c r="N11951" s="787">
        <v>76.86</v>
      </c>
      <c r="O11951" s="788">
        <v>41858</v>
      </c>
    </row>
    <row r="11952" spans="1:15" x14ac:dyDescent="0.25">
      <c r="A11952" s="786" t="s">
        <v>21301</v>
      </c>
      <c r="B11952" s="787">
        <v>4</v>
      </c>
      <c r="C11952" s="787" t="s">
        <v>21302</v>
      </c>
      <c r="D11952" s="787">
        <v>0</v>
      </c>
      <c r="E11952" s="787">
        <v>0</v>
      </c>
      <c r="H11952" s="787">
        <v>1</v>
      </c>
      <c r="L11952" s="787">
        <v>79.75</v>
      </c>
      <c r="M11952" s="787">
        <v>20</v>
      </c>
      <c r="N11952" s="787">
        <v>85.73</v>
      </c>
      <c r="O11952" s="788">
        <v>41858</v>
      </c>
    </row>
    <row r="11953" spans="1:15" x14ac:dyDescent="0.25">
      <c r="A11953" s="786" t="s">
        <v>21303</v>
      </c>
      <c r="B11953" s="787">
        <v>4</v>
      </c>
      <c r="C11953" s="787" t="s">
        <v>21298</v>
      </c>
      <c r="D11953" s="787">
        <v>0</v>
      </c>
      <c r="E11953" s="787">
        <v>0</v>
      </c>
      <c r="H11953" s="787">
        <v>1</v>
      </c>
      <c r="L11953" s="787">
        <v>89.65</v>
      </c>
      <c r="M11953" s="787">
        <v>20</v>
      </c>
      <c r="N11953" s="787">
        <v>96.37</v>
      </c>
      <c r="O11953" s="788">
        <v>41858</v>
      </c>
    </row>
    <row r="11954" spans="1:15" x14ac:dyDescent="0.25">
      <c r="A11954" s="786" t="s">
        <v>21304</v>
      </c>
      <c r="B11954" s="787">
        <v>4</v>
      </c>
      <c r="C11954" s="787" t="s">
        <v>21305</v>
      </c>
      <c r="D11954" s="787">
        <v>0</v>
      </c>
      <c r="E11954" s="787">
        <v>0</v>
      </c>
      <c r="H11954" s="787">
        <v>1</v>
      </c>
      <c r="J11954" s="788">
        <v>37287</v>
      </c>
      <c r="L11954" s="787">
        <v>0</v>
      </c>
      <c r="M11954" s="787">
        <v>20</v>
      </c>
      <c r="N11954" s="787">
        <v>0</v>
      </c>
      <c r="O11954" s="788">
        <v>40824</v>
      </c>
    </row>
    <row r="11955" spans="1:15" x14ac:dyDescent="0.25">
      <c r="A11955" s="786" t="s">
        <v>21306</v>
      </c>
      <c r="B11955" s="787">
        <v>4</v>
      </c>
      <c r="C11955" s="787" t="s">
        <v>21307</v>
      </c>
      <c r="D11955" s="787">
        <v>2.8</v>
      </c>
      <c r="E11955" s="787">
        <v>2.8</v>
      </c>
      <c r="F11955" s="788">
        <v>37725</v>
      </c>
      <c r="G11955" s="788">
        <v>38135</v>
      </c>
      <c r="H11955" s="787">
        <v>1</v>
      </c>
      <c r="J11955" s="788">
        <v>38134</v>
      </c>
      <c r="L11955" s="787">
        <v>3.05</v>
      </c>
      <c r="M11955" s="787">
        <v>20</v>
      </c>
      <c r="N11955" s="787">
        <v>3.28</v>
      </c>
      <c r="O11955" s="788">
        <v>41858</v>
      </c>
    </row>
    <row r="11956" spans="1:15" x14ac:dyDescent="0.25">
      <c r="A11956" s="786" t="s">
        <v>21308</v>
      </c>
      <c r="B11956" s="787">
        <v>4</v>
      </c>
      <c r="C11956" s="787" t="s">
        <v>21309</v>
      </c>
      <c r="D11956" s="787">
        <v>0</v>
      </c>
      <c r="E11956" s="787">
        <v>0</v>
      </c>
      <c r="H11956" s="787">
        <v>1</v>
      </c>
      <c r="J11956" s="788">
        <v>37287</v>
      </c>
      <c r="L11956" s="787">
        <v>0</v>
      </c>
      <c r="M11956" s="787">
        <v>20</v>
      </c>
      <c r="N11956" s="787">
        <v>0</v>
      </c>
      <c r="O11956" s="788">
        <v>40824</v>
      </c>
    </row>
    <row r="11957" spans="1:15" x14ac:dyDescent="0.25">
      <c r="A11957" s="786" t="s">
        <v>21310</v>
      </c>
      <c r="B11957" s="787">
        <v>4</v>
      </c>
      <c r="C11957" s="787" t="s">
        <v>21311</v>
      </c>
      <c r="D11957" s="787">
        <v>0.95</v>
      </c>
      <c r="E11957" s="787">
        <v>1.1499999999999999</v>
      </c>
      <c r="F11957" s="788">
        <v>39101</v>
      </c>
      <c r="G11957" s="788">
        <v>40332</v>
      </c>
      <c r="H11957" s="787">
        <v>1</v>
      </c>
      <c r="I11957" s="788">
        <v>41779</v>
      </c>
      <c r="J11957" s="788">
        <v>41786</v>
      </c>
      <c r="K11957" s="788">
        <v>42122</v>
      </c>
      <c r="L11957" s="787">
        <v>1.29</v>
      </c>
      <c r="M11957" s="787">
        <v>20</v>
      </c>
      <c r="N11957" s="787">
        <v>1.39</v>
      </c>
      <c r="O11957" s="788">
        <v>42122</v>
      </c>
    </row>
    <row r="11958" spans="1:15" x14ac:dyDescent="0.25">
      <c r="A11958" s="786" t="s">
        <v>21312</v>
      </c>
      <c r="B11958" s="787">
        <v>4</v>
      </c>
      <c r="C11958" s="787" t="s">
        <v>21313</v>
      </c>
      <c r="D11958" s="787">
        <v>0.86</v>
      </c>
      <c r="E11958" s="787">
        <v>1.33</v>
      </c>
      <c r="F11958" s="788">
        <v>38047</v>
      </c>
      <c r="G11958" s="788">
        <v>42013</v>
      </c>
      <c r="H11958" s="787">
        <v>1</v>
      </c>
      <c r="I11958" s="788">
        <v>41736</v>
      </c>
      <c r="J11958" s="788">
        <v>41908</v>
      </c>
      <c r="L11958" s="787">
        <v>0.94</v>
      </c>
      <c r="M11958" s="787">
        <v>20</v>
      </c>
      <c r="N11958" s="787">
        <v>1.01</v>
      </c>
      <c r="O11958" s="788">
        <v>42146</v>
      </c>
    </row>
    <row r="11959" spans="1:15" x14ac:dyDescent="0.25">
      <c r="A11959" s="786" t="s">
        <v>21314</v>
      </c>
      <c r="B11959" s="787">
        <v>4</v>
      </c>
      <c r="C11959" s="787" t="s">
        <v>21315</v>
      </c>
      <c r="D11959" s="787">
        <v>0.69</v>
      </c>
      <c r="E11959" s="787">
        <v>0.69</v>
      </c>
      <c r="F11959" s="788">
        <v>37650</v>
      </c>
      <c r="G11959" s="788">
        <v>37650</v>
      </c>
      <c r="H11959" s="787">
        <v>1</v>
      </c>
      <c r="I11959" s="788">
        <v>38476</v>
      </c>
      <c r="J11959" s="788">
        <v>37650</v>
      </c>
      <c r="L11959" s="787">
        <v>0.75</v>
      </c>
      <c r="M11959" s="787">
        <v>20</v>
      </c>
      <c r="N11959" s="787">
        <v>0.81</v>
      </c>
      <c r="O11959" s="788">
        <v>41858</v>
      </c>
    </row>
    <row r="11960" spans="1:15" x14ac:dyDescent="0.25">
      <c r="A11960" s="786" t="s">
        <v>21316</v>
      </c>
      <c r="B11960" s="787">
        <v>4</v>
      </c>
      <c r="C11960" s="787" t="s">
        <v>21317</v>
      </c>
      <c r="D11960" s="787">
        <v>1.66</v>
      </c>
      <c r="E11960" s="787">
        <v>1.66</v>
      </c>
      <c r="F11960" s="788">
        <v>39101</v>
      </c>
      <c r="G11960" s="788">
        <v>39101</v>
      </c>
      <c r="H11960" s="787">
        <v>1</v>
      </c>
      <c r="I11960" s="788">
        <v>41648</v>
      </c>
      <c r="J11960" s="788">
        <v>39149</v>
      </c>
      <c r="L11960" s="787">
        <v>1.81</v>
      </c>
      <c r="M11960" s="787">
        <v>20</v>
      </c>
      <c r="N11960" s="787">
        <v>1.95</v>
      </c>
      <c r="O11960" s="788">
        <v>41858</v>
      </c>
    </row>
    <row r="11961" spans="1:15" x14ac:dyDescent="0.25">
      <c r="A11961" s="786" t="s">
        <v>21318</v>
      </c>
      <c r="B11961" s="787">
        <v>4</v>
      </c>
      <c r="C11961" s="787" t="s">
        <v>21319</v>
      </c>
      <c r="D11961" s="787">
        <v>7.68</v>
      </c>
      <c r="E11961" s="787">
        <v>7.68</v>
      </c>
      <c r="F11961" s="788">
        <v>40954</v>
      </c>
      <c r="G11961" s="788">
        <v>41646</v>
      </c>
      <c r="H11961" s="787">
        <v>1</v>
      </c>
      <c r="I11961" s="788">
        <v>41648</v>
      </c>
      <c r="J11961" s="788">
        <v>40945</v>
      </c>
      <c r="K11961" s="788">
        <v>40927</v>
      </c>
      <c r="L11961" s="787">
        <v>7.64</v>
      </c>
      <c r="M11961" s="787">
        <v>20</v>
      </c>
      <c r="N11961" s="787">
        <v>8.2100000000000009</v>
      </c>
      <c r="O11961" s="788">
        <v>41858</v>
      </c>
    </row>
    <row r="11962" spans="1:15" x14ac:dyDescent="0.25">
      <c r="A11962" s="786" t="s">
        <v>21320</v>
      </c>
      <c r="B11962" s="787">
        <v>4</v>
      </c>
      <c r="C11962" s="787" t="s">
        <v>21321</v>
      </c>
      <c r="D11962" s="787">
        <v>0</v>
      </c>
      <c r="E11962" s="787">
        <v>0</v>
      </c>
      <c r="H11962" s="787">
        <v>1</v>
      </c>
      <c r="J11962" s="788">
        <v>37287</v>
      </c>
      <c r="L11962" s="787">
        <v>0</v>
      </c>
      <c r="M11962" s="787">
        <v>20</v>
      </c>
      <c r="N11962" s="787">
        <v>0</v>
      </c>
      <c r="O11962" s="788">
        <v>40824</v>
      </c>
    </row>
    <row r="11963" spans="1:15" x14ac:dyDescent="0.25">
      <c r="A11963" s="786" t="s">
        <v>21322</v>
      </c>
      <c r="B11963" s="787">
        <v>4</v>
      </c>
      <c r="C11963" s="787" t="s">
        <v>21323</v>
      </c>
      <c r="D11963" s="787">
        <v>1.25</v>
      </c>
      <c r="E11963" s="787">
        <v>1.25</v>
      </c>
      <c r="F11963" s="788">
        <v>39101</v>
      </c>
      <c r="G11963" s="788">
        <v>39101</v>
      </c>
      <c r="H11963" s="787">
        <v>1</v>
      </c>
      <c r="I11963" s="788">
        <v>38799</v>
      </c>
      <c r="J11963" s="788">
        <v>39101</v>
      </c>
      <c r="L11963" s="787">
        <v>1.36</v>
      </c>
      <c r="M11963" s="787">
        <v>20</v>
      </c>
      <c r="N11963" s="787">
        <v>1.46</v>
      </c>
      <c r="O11963" s="788">
        <v>41858</v>
      </c>
    </row>
    <row r="11964" spans="1:15" x14ac:dyDescent="0.25">
      <c r="A11964" s="786" t="s">
        <v>21324</v>
      </c>
      <c r="B11964" s="787">
        <v>4</v>
      </c>
      <c r="C11964" s="787" t="s">
        <v>21325</v>
      </c>
      <c r="D11964" s="787">
        <v>1.0900000000000001</v>
      </c>
      <c r="E11964" s="787">
        <v>1.0900000000000001</v>
      </c>
      <c r="F11964" s="788">
        <v>37287</v>
      </c>
      <c r="G11964" s="788">
        <v>37287</v>
      </c>
      <c r="H11964" s="787">
        <v>1</v>
      </c>
      <c r="J11964" s="788">
        <v>37287</v>
      </c>
      <c r="L11964" s="787">
        <v>1.19</v>
      </c>
      <c r="M11964" s="787">
        <v>20</v>
      </c>
      <c r="N11964" s="787">
        <v>1.28</v>
      </c>
      <c r="O11964" s="788">
        <v>41858</v>
      </c>
    </row>
    <row r="11965" spans="1:15" x14ac:dyDescent="0.25">
      <c r="A11965" s="786" t="s">
        <v>21326</v>
      </c>
      <c r="B11965" s="787">
        <v>4</v>
      </c>
      <c r="C11965" s="787" t="s">
        <v>21327</v>
      </c>
      <c r="D11965" s="787">
        <v>1.55</v>
      </c>
      <c r="E11965" s="787">
        <v>1.55</v>
      </c>
      <c r="F11965" s="788">
        <v>37725</v>
      </c>
      <c r="G11965" s="788">
        <v>37725</v>
      </c>
      <c r="H11965" s="787">
        <v>1</v>
      </c>
      <c r="J11965" s="788">
        <v>37698</v>
      </c>
      <c r="L11965" s="787">
        <v>1.69</v>
      </c>
      <c r="M11965" s="787">
        <v>20</v>
      </c>
      <c r="N11965" s="787">
        <v>1.82</v>
      </c>
      <c r="O11965" s="788">
        <v>41858</v>
      </c>
    </row>
    <row r="11966" spans="1:15" x14ac:dyDescent="0.25">
      <c r="A11966" s="786" t="s">
        <v>21328</v>
      </c>
      <c r="B11966" s="787">
        <v>4</v>
      </c>
      <c r="C11966" s="787" t="s">
        <v>21329</v>
      </c>
      <c r="D11966" s="787">
        <v>1.84</v>
      </c>
      <c r="E11966" s="787">
        <v>1.92</v>
      </c>
      <c r="F11966" s="788">
        <v>37725</v>
      </c>
      <c r="G11966" s="788">
        <v>38736</v>
      </c>
      <c r="H11966" s="787">
        <v>1</v>
      </c>
      <c r="I11966" s="788">
        <v>39134</v>
      </c>
      <c r="J11966" s="788">
        <v>38460</v>
      </c>
      <c r="L11966" s="787">
        <v>2.09</v>
      </c>
      <c r="M11966" s="787">
        <v>20</v>
      </c>
      <c r="N11966" s="787">
        <v>2.25</v>
      </c>
      <c r="O11966" s="788">
        <v>41858</v>
      </c>
    </row>
    <row r="11967" spans="1:15" x14ac:dyDescent="0.25">
      <c r="A11967" s="786" t="s">
        <v>21330</v>
      </c>
      <c r="B11967" s="787">
        <v>4</v>
      </c>
      <c r="C11967" s="787" t="s">
        <v>21331</v>
      </c>
      <c r="D11967" s="787">
        <v>4.05</v>
      </c>
      <c r="E11967" s="787">
        <v>7.17</v>
      </c>
      <c r="F11967" s="788">
        <v>37725</v>
      </c>
      <c r="G11967" s="788">
        <v>40451</v>
      </c>
      <c r="H11967" s="787">
        <v>1</v>
      </c>
      <c r="I11967" s="788">
        <v>39456</v>
      </c>
      <c r="J11967" s="788">
        <v>40402</v>
      </c>
      <c r="L11967" s="787">
        <v>6.31</v>
      </c>
      <c r="M11967" s="787">
        <v>20</v>
      </c>
      <c r="N11967" s="787">
        <v>6.78</v>
      </c>
      <c r="O11967" s="788">
        <v>42020</v>
      </c>
    </row>
    <row r="11968" spans="1:15" x14ac:dyDescent="0.25">
      <c r="A11968" s="786" t="s">
        <v>21332</v>
      </c>
      <c r="B11968" s="787">
        <v>4</v>
      </c>
      <c r="C11968" s="787" t="s">
        <v>21333</v>
      </c>
      <c r="D11968" s="787">
        <v>1.1399999999999999</v>
      </c>
      <c r="E11968" s="787">
        <v>1.41</v>
      </c>
      <c r="F11968" s="788">
        <v>39101</v>
      </c>
      <c r="G11968" s="788">
        <v>40154</v>
      </c>
      <c r="H11968" s="787">
        <v>1</v>
      </c>
      <c r="I11968" s="788">
        <v>39297</v>
      </c>
      <c r="J11968" s="788">
        <v>40155</v>
      </c>
      <c r="L11968" s="787">
        <v>1.28</v>
      </c>
      <c r="M11968" s="787">
        <v>20</v>
      </c>
      <c r="N11968" s="787">
        <v>1.38</v>
      </c>
      <c r="O11968" s="788">
        <v>42020</v>
      </c>
    </row>
    <row r="11969" spans="1:15" x14ac:dyDescent="0.25">
      <c r="A11969" s="786" t="s">
        <v>21334</v>
      </c>
      <c r="B11969" s="787">
        <v>4</v>
      </c>
      <c r="C11969" s="787" t="s">
        <v>21335</v>
      </c>
      <c r="D11969" s="787">
        <v>7.15</v>
      </c>
      <c r="E11969" s="787">
        <v>7.28</v>
      </c>
      <c r="F11969" s="788">
        <v>39101</v>
      </c>
      <c r="G11969" s="788">
        <v>39101</v>
      </c>
      <c r="H11969" s="787">
        <v>1</v>
      </c>
      <c r="I11969" s="788">
        <v>39134</v>
      </c>
      <c r="J11969" s="788">
        <v>39149</v>
      </c>
      <c r="L11969" s="787">
        <v>7.94</v>
      </c>
      <c r="M11969" s="787">
        <v>20</v>
      </c>
      <c r="N11969" s="787">
        <v>8.5399999999999991</v>
      </c>
      <c r="O11969" s="788">
        <v>42020</v>
      </c>
    </row>
    <row r="11970" spans="1:15" x14ac:dyDescent="0.25">
      <c r="A11970" s="786" t="s">
        <v>21336</v>
      </c>
      <c r="B11970" s="787">
        <v>4</v>
      </c>
      <c r="C11970" s="787" t="s">
        <v>21337</v>
      </c>
      <c r="D11970" s="787">
        <v>2.13</v>
      </c>
      <c r="E11970" s="787">
        <v>25.27</v>
      </c>
      <c r="F11970" s="788">
        <v>37287</v>
      </c>
      <c r="G11970" s="788">
        <v>39233</v>
      </c>
      <c r="H11970" s="787">
        <v>1</v>
      </c>
      <c r="I11970" s="788">
        <v>39134</v>
      </c>
      <c r="J11970" s="788">
        <v>39185</v>
      </c>
      <c r="L11970" s="787">
        <v>26.36</v>
      </c>
      <c r="M11970" s="787">
        <v>20</v>
      </c>
      <c r="N11970" s="787">
        <v>28.34</v>
      </c>
      <c r="O11970" s="788">
        <v>42020</v>
      </c>
    </row>
    <row r="11971" spans="1:15" x14ac:dyDescent="0.25">
      <c r="A11971" s="786" t="s">
        <v>21338</v>
      </c>
      <c r="B11971" s="787">
        <v>4</v>
      </c>
      <c r="C11971" s="787" t="s">
        <v>21339</v>
      </c>
      <c r="D11971" s="787">
        <v>0.32</v>
      </c>
      <c r="E11971" s="787">
        <v>0.52</v>
      </c>
      <c r="F11971" s="788">
        <v>37287</v>
      </c>
      <c r="G11971" s="788">
        <v>42013</v>
      </c>
      <c r="H11971" s="787">
        <v>1</v>
      </c>
      <c r="I11971" s="788">
        <v>42164</v>
      </c>
      <c r="J11971" s="788">
        <v>40402</v>
      </c>
      <c r="L11971" s="787">
        <v>0.36</v>
      </c>
      <c r="M11971" s="787">
        <v>20</v>
      </c>
      <c r="N11971" s="787">
        <v>0.39</v>
      </c>
      <c r="O11971" s="788">
        <v>41858</v>
      </c>
    </row>
    <row r="11972" spans="1:15" x14ac:dyDescent="0.25">
      <c r="A11972" s="786" t="s">
        <v>21340</v>
      </c>
      <c r="B11972" s="787">
        <v>4</v>
      </c>
      <c r="C11972" s="787" t="s">
        <v>21341</v>
      </c>
      <c r="D11972" s="787">
        <v>0.45</v>
      </c>
      <c r="E11972" s="787">
        <v>0.66</v>
      </c>
      <c r="F11972" s="788">
        <v>39101</v>
      </c>
      <c r="G11972" s="788">
        <v>42013</v>
      </c>
      <c r="H11972" s="787">
        <v>1</v>
      </c>
      <c r="I11972" s="788">
        <v>42111</v>
      </c>
      <c r="J11972" s="788">
        <v>40715</v>
      </c>
      <c r="L11972" s="787">
        <v>0.49</v>
      </c>
      <c r="M11972" s="787">
        <v>20</v>
      </c>
      <c r="N11972" s="787">
        <v>0.53</v>
      </c>
      <c r="O11972" s="788">
        <v>41858</v>
      </c>
    </row>
    <row r="11973" spans="1:15" x14ac:dyDescent="0.25">
      <c r="A11973" s="786" t="s">
        <v>21342</v>
      </c>
      <c r="B11973" s="787">
        <v>4</v>
      </c>
      <c r="C11973" s="787" t="s">
        <v>21343</v>
      </c>
      <c r="D11973" s="787">
        <v>0.43</v>
      </c>
      <c r="E11973" s="787">
        <v>0.43</v>
      </c>
      <c r="F11973" s="788">
        <v>41837</v>
      </c>
      <c r="G11973" s="788">
        <v>42013</v>
      </c>
      <c r="H11973" s="787">
        <v>1</v>
      </c>
      <c r="I11973" s="788">
        <v>42109</v>
      </c>
      <c r="J11973" s="788">
        <v>41871</v>
      </c>
      <c r="K11973" s="788">
        <v>41814</v>
      </c>
      <c r="L11973" s="787">
        <v>0.42</v>
      </c>
      <c r="M11973" s="787">
        <v>20</v>
      </c>
      <c r="N11973" s="787">
        <v>0.45</v>
      </c>
      <c r="O11973" s="788">
        <v>42146</v>
      </c>
    </row>
    <row r="11974" spans="1:15" x14ac:dyDescent="0.25">
      <c r="A11974" s="786" t="s">
        <v>21344</v>
      </c>
      <c r="B11974" s="787">
        <v>4</v>
      </c>
      <c r="C11974" s="787" t="s">
        <v>21345</v>
      </c>
      <c r="D11974" s="787">
        <v>0</v>
      </c>
      <c r="E11974" s="787">
        <v>0</v>
      </c>
      <c r="H11974" s="787">
        <v>1</v>
      </c>
      <c r="I11974" s="788">
        <v>41687</v>
      </c>
      <c r="J11974" s="788">
        <v>39101</v>
      </c>
      <c r="L11974" s="787">
        <v>0</v>
      </c>
      <c r="M11974" s="787">
        <v>20</v>
      </c>
      <c r="N11974" s="787">
        <v>0</v>
      </c>
      <c r="O11974" s="788">
        <v>40824</v>
      </c>
    </row>
    <row r="11975" spans="1:15" x14ac:dyDescent="0.25">
      <c r="A11975" s="786" t="s">
        <v>21346</v>
      </c>
      <c r="B11975" s="787">
        <v>4</v>
      </c>
      <c r="C11975" s="787" t="s">
        <v>21347</v>
      </c>
      <c r="D11975" s="787">
        <v>0</v>
      </c>
      <c r="E11975" s="787">
        <v>0</v>
      </c>
      <c r="H11975" s="787">
        <v>1</v>
      </c>
      <c r="I11975" s="788">
        <v>42152</v>
      </c>
      <c r="K11975" s="788">
        <v>41708</v>
      </c>
      <c r="L11975" s="787">
        <v>1.3</v>
      </c>
      <c r="M11975" s="787">
        <v>20</v>
      </c>
      <c r="N11975" s="787">
        <v>1.4</v>
      </c>
      <c r="O11975" s="788">
        <v>42146</v>
      </c>
    </row>
    <row r="11976" spans="1:15" x14ac:dyDescent="0.25">
      <c r="A11976" s="786" t="s">
        <v>21348</v>
      </c>
      <c r="B11976" s="787">
        <v>4</v>
      </c>
      <c r="C11976" s="787" t="s">
        <v>21349</v>
      </c>
      <c r="D11976" s="787">
        <v>2.11</v>
      </c>
      <c r="E11976" s="787">
        <v>79.64</v>
      </c>
      <c r="F11976" s="788">
        <v>39101</v>
      </c>
      <c r="G11976" s="788">
        <v>42086</v>
      </c>
      <c r="H11976" s="787">
        <v>1</v>
      </c>
      <c r="I11976" s="788">
        <v>42151</v>
      </c>
      <c r="J11976" s="788">
        <v>42080</v>
      </c>
      <c r="K11976" s="788">
        <v>42122</v>
      </c>
      <c r="L11976" s="787">
        <v>79.27</v>
      </c>
      <c r="M11976" s="787">
        <v>20</v>
      </c>
      <c r="N11976" s="787">
        <v>85.22</v>
      </c>
      <c r="O11976" s="788">
        <v>42159</v>
      </c>
    </row>
    <row r="11977" spans="1:15" x14ac:dyDescent="0.25">
      <c r="A11977" s="786" t="s">
        <v>21350</v>
      </c>
      <c r="B11977" s="787">
        <v>4</v>
      </c>
      <c r="C11977" s="787" t="s">
        <v>21351</v>
      </c>
      <c r="D11977" s="787">
        <v>5.15</v>
      </c>
      <c r="E11977" s="787">
        <v>15.15</v>
      </c>
      <c r="F11977" s="788">
        <v>38275</v>
      </c>
      <c r="G11977" s="788">
        <v>38275</v>
      </c>
      <c r="H11977" s="787">
        <v>1</v>
      </c>
      <c r="J11977" s="788">
        <v>38247</v>
      </c>
      <c r="L11977" s="787">
        <v>16.510000000000002</v>
      </c>
      <c r="M11977" s="787">
        <v>20</v>
      </c>
      <c r="N11977" s="787">
        <v>17.75</v>
      </c>
      <c r="O11977" s="788">
        <v>41858</v>
      </c>
    </row>
    <row r="11978" spans="1:15" x14ac:dyDescent="0.25">
      <c r="A11978" s="786" t="s">
        <v>21352</v>
      </c>
      <c r="B11978" s="787">
        <v>4</v>
      </c>
      <c r="C11978" s="787" t="s">
        <v>21353</v>
      </c>
      <c r="D11978" s="787">
        <v>1.05</v>
      </c>
      <c r="E11978" s="787">
        <v>1.57</v>
      </c>
      <c r="F11978" s="788">
        <v>39101</v>
      </c>
      <c r="G11978" s="788">
        <v>42045</v>
      </c>
      <c r="H11978" s="787">
        <v>1</v>
      </c>
      <c r="I11978" s="788">
        <v>42151</v>
      </c>
      <c r="J11978" s="788">
        <v>42101</v>
      </c>
      <c r="K11978" s="788">
        <v>42032</v>
      </c>
      <c r="L11978" s="787">
        <v>1.57</v>
      </c>
      <c r="M11978" s="787">
        <v>20</v>
      </c>
      <c r="N11978" s="787">
        <v>1.69</v>
      </c>
      <c r="O11978" s="788">
        <v>42164</v>
      </c>
    </row>
    <row r="11979" spans="1:15" x14ac:dyDescent="0.25">
      <c r="A11979" s="786" t="s">
        <v>21354</v>
      </c>
      <c r="B11979" s="787">
        <v>4</v>
      </c>
      <c r="C11979" s="787" t="s">
        <v>21355</v>
      </c>
      <c r="D11979" s="787">
        <v>1.25</v>
      </c>
      <c r="E11979" s="787">
        <v>1.37</v>
      </c>
      <c r="F11979" s="788">
        <v>39759</v>
      </c>
      <c r="G11979" s="788">
        <v>42013</v>
      </c>
      <c r="H11979" s="787">
        <v>1</v>
      </c>
      <c r="I11979" s="788">
        <v>42152</v>
      </c>
      <c r="J11979" s="788">
        <v>42101</v>
      </c>
      <c r="K11979" s="788">
        <v>41648</v>
      </c>
      <c r="L11979" s="787">
        <v>1.32</v>
      </c>
      <c r="M11979" s="787">
        <v>20</v>
      </c>
      <c r="N11979" s="787">
        <v>1.42</v>
      </c>
      <c r="O11979" s="788">
        <v>41858</v>
      </c>
    </row>
    <row r="11980" spans="1:15" x14ac:dyDescent="0.25">
      <c r="A11980" s="786" t="s">
        <v>21356</v>
      </c>
      <c r="B11980" s="787">
        <v>4</v>
      </c>
      <c r="C11980" s="787" t="s">
        <v>21357</v>
      </c>
      <c r="D11980" s="787">
        <v>1.1599999999999999</v>
      </c>
      <c r="E11980" s="787">
        <v>1.21</v>
      </c>
      <c r="F11980" s="788">
        <v>37589</v>
      </c>
      <c r="G11980" s="788">
        <v>38736</v>
      </c>
      <c r="H11980" s="787">
        <v>1</v>
      </c>
      <c r="I11980" s="788">
        <v>39134</v>
      </c>
      <c r="J11980" s="788">
        <v>38566</v>
      </c>
      <c r="L11980" s="787">
        <v>1.36</v>
      </c>
      <c r="M11980" s="787">
        <v>20</v>
      </c>
      <c r="N11980" s="787">
        <v>1.46</v>
      </c>
      <c r="O11980" s="788">
        <v>41858</v>
      </c>
    </row>
    <row r="11981" spans="1:15" x14ac:dyDescent="0.25">
      <c r="A11981" s="786" t="s">
        <v>21358</v>
      </c>
      <c r="B11981" s="787">
        <v>4</v>
      </c>
      <c r="C11981" s="787" t="s">
        <v>21357</v>
      </c>
      <c r="D11981" s="787">
        <v>2.5299999999999998</v>
      </c>
      <c r="E11981" s="787">
        <v>2.5299999999999998</v>
      </c>
      <c r="F11981" s="788">
        <v>37826</v>
      </c>
      <c r="G11981" s="788">
        <v>38135</v>
      </c>
      <c r="H11981" s="787">
        <v>1</v>
      </c>
      <c r="J11981" s="788">
        <v>38134</v>
      </c>
      <c r="L11981" s="787">
        <v>2.76</v>
      </c>
      <c r="M11981" s="787">
        <v>20</v>
      </c>
      <c r="N11981" s="787">
        <v>2.97</v>
      </c>
      <c r="O11981" s="788">
        <v>41858</v>
      </c>
    </row>
    <row r="11982" spans="1:15" x14ac:dyDescent="0.25">
      <c r="A11982" s="786" t="s">
        <v>21359</v>
      </c>
      <c r="B11982" s="787">
        <v>4</v>
      </c>
      <c r="C11982" s="787" t="s">
        <v>21360</v>
      </c>
      <c r="D11982" s="787">
        <v>4.0199999999999996</v>
      </c>
      <c r="E11982" s="787">
        <v>4.0199999999999996</v>
      </c>
      <c r="F11982" s="788">
        <v>37826</v>
      </c>
      <c r="G11982" s="788">
        <v>37826</v>
      </c>
      <c r="H11982" s="787">
        <v>1</v>
      </c>
      <c r="J11982" s="788">
        <v>37837</v>
      </c>
      <c r="L11982" s="787">
        <v>4.38</v>
      </c>
      <c r="M11982" s="787">
        <v>20</v>
      </c>
      <c r="N11982" s="787">
        <v>4.71</v>
      </c>
      <c r="O11982" s="788">
        <v>41858</v>
      </c>
    </row>
    <row r="11983" spans="1:15" x14ac:dyDescent="0.25">
      <c r="A11983" s="786" t="s">
        <v>21361</v>
      </c>
      <c r="B11983" s="787">
        <v>4</v>
      </c>
      <c r="C11983" s="787" t="s">
        <v>21362</v>
      </c>
      <c r="D11983" s="787">
        <v>9.84</v>
      </c>
      <c r="E11983" s="787">
        <v>10.28</v>
      </c>
      <c r="F11983" s="788">
        <v>39101</v>
      </c>
      <c r="G11983" s="788">
        <v>42013</v>
      </c>
      <c r="H11983" s="787">
        <v>1</v>
      </c>
      <c r="I11983" s="788">
        <v>41286</v>
      </c>
      <c r="J11983" s="788">
        <v>39282</v>
      </c>
      <c r="L11983" s="787">
        <v>8.5299999999999994</v>
      </c>
      <c r="M11983" s="787">
        <v>20</v>
      </c>
      <c r="N11983" s="787">
        <v>9.17</v>
      </c>
      <c r="O11983" s="788">
        <v>41858</v>
      </c>
    </row>
    <row r="11984" spans="1:15" x14ac:dyDescent="0.25">
      <c r="A11984" s="786" t="s">
        <v>21363</v>
      </c>
      <c r="B11984" s="787">
        <v>4</v>
      </c>
      <c r="C11984" s="787" t="s">
        <v>21364</v>
      </c>
      <c r="D11984" s="787">
        <v>1.62</v>
      </c>
      <c r="E11984" s="787">
        <v>2.7</v>
      </c>
      <c r="F11984" s="788">
        <v>37973</v>
      </c>
      <c r="G11984" s="788">
        <v>41978</v>
      </c>
      <c r="H11984" s="787">
        <v>1</v>
      </c>
      <c r="I11984" s="788">
        <v>42067</v>
      </c>
      <c r="J11984" s="788">
        <v>42068</v>
      </c>
      <c r="K11984" s="788">
        <v>41704</v>
      </c>
      <c r="L11984" s="787">
        <v>5.64</v>
      </c>
      <c r="M11984" s="787">
        <v>20</v>
      </c>
      <c r="N11984" s="787">
        <v>6.06</v>
      </c>
      <c r="O11984" s="788">
        <v>41858</v>
      </c>
    </row>
    <row r="11985" spans="1:15" x14ac:dyDescent="0.25">
      <c r="A11985" s="786" t="s">
        <v>21365</v>
      </c>
      <c r="B11985" s="787">
        <v>4</v>
      </c>
      <c r="C11985" s="787" t="s">
        <v>21366</v>
      </c>
      <c r="D11985" s="787">
        <v>1.95</v>
      </c>
      <c r="E11985" s="787">
        <v>9.1199999999999992</v>
      </c>
      <c r="F11985" s="788">
        <v>39101</v>
      </c>
      <c r="G11985" s="788">
        <v>42013</v>
      </c>
      <c r="H11985" s="787">
        <v>1</v>
      </c>
      <c r="I11985" s="788">
        <v>42058</v>
      </c>
      <c r="J11985" s="788">
        <v>40252</v>
      </c>
      <c r="K11985" s="788">
        <v>42122</v>
      </c>
      <c r="L11985" s="787">
        <v>3.64</v>
      </c>
      <c r="M11985" s="787">
        <v>20</v>
      </c>
      <c r="N11985" s="787">
        <v>3.91</v>
      </c>
      <c r="O11985" s="788">
        <v>42122</v>
      </c>
    </row>
    <row r="11986" spans="1:15" x14ac:dyDescent="0.25">
      <c r="A11986" s="786" t="s">
        <v>21367</v>
      </c>
      <c r="B11986" s="787">
        <v>4</v>
      </c>
      <c r="C11986" s="787" t="s">
        <v>21368</v>
      </c>
      <c r="D11986" s="787">
        <v>0.6</v>
      </c>
      <c r="E11986" s="787">
        <v>0.65</v>
      </c>
      <c r="F11986" s="788">
        <v>40317</v>
      </c>
      <c r="G11986" s="788">
        <v>42013</v>
      </c>
      <c r="H11986" s="787">
        <v>1</v>
      </c>
      <c r="I11986" s="788">
        <v>42058</v>
      </c>
      <c r="J11986" s="788">
        <v>41654</v>
      </c>
      <c r="K11986" s="788">
        <v>41648</v>
      </c>
      <c r="L11986" s="787">
        <v>0.63</v>
      </c>
      <c r="M11986" s="787">
        <v>20</v>
      </c>
      <c r="N11986" s="787">
        <v>0.68</v>
      </c>
      <c r="O11986" s="788">
        <v>41858</v>
      </c>
    </row>
    <row r="11987" spans="1:15" x14ac:dyDescent="0.25">
      <c r="A11987" s="786" t="s">
        <v>21369</v>
      </c>
      <c r="B11987" s="787">
        <v>4</v>
      </c>
      <c r="C11987" s="787" t="s">
        <v>21370</v>
      </c>
      <c r="D11987" s="787">
        <v>0.89</v>
      </c>
      <c r="E11987" s="787">
        <v>0.89</v>
      </c>
      <c r="F11987" s="788">
        <v>41654</v>
      </c>
      <c r="G11987" s="788">
        <v>41663</v>
      </c>
      <c r="H11987" s="787">
        <v>1</v>
      </c>
      <c r="J11987" s="788">
        <v>41654</v>
      </c>
      <c r="K11987" s="788">
        <v>41648</v>
      </c>
      <c r="L11987" s="787">
        <v>0.87</v>
      </c>
      <c r="M11987" s="787">
        <v>20</v>
      </c>
      <c r="N11987" s="787">
        <v>0.94</v>
      </c>
      <c r="O11987" s="788">
        <v>41858</v>
      </c>
    </row>
    <row r="11988" spans="1:15" x14ac:dyDescent="0.25">
      <c r="A11988" s="786" t="s">
        <v>21371</v>
      </c>
      <c r="B11988" s="787">
        <v>4</v>
      </c>
      <c r="C11988" s="787" t="s">
        <v>21370</v>
      </c>
      <c r="D11988" s="787">
        <v>0.89</v>
      </c>
      <c r="E11988" s="787">
        <v>0.89</v>
      </c>
      <c r="F11988" s="788">
        <v>41654</v>
      </c>
      <c r="G11988" s="788">
        <v>41663</v>
      </c>
      <c r="H11988" s="787">
        <v>1</v>
      </c>
      <c r="J11988" s="788">
        <v>41654</v>
      </c>
      <c r="K11988" s="788">
        <v>41648</v>
      </c>
      <c r="L11988" s="787">
        <v>0.87</v>
      </c>
      <c r="M11988" s="787">
        <v>20</v>
      </c>
      <c r="N11988" s="787">
        <v>0.94</v>
      </c>
      <c r="O11988" s="788">
        <v>41858</v>
      </c>
    </row>
    <row r="11989" spans="1:15" x14ac:dyDescent="0.25">
      <c r="A11989" s="786" t="s">
        <v>21372</v>
      </c>
      <c r="B11989" s="787">
        <v>4</v>
      </c>
      <c r="C11989" s="787" t="s">
        <v>21357</v>
      </c>
      <c r="D11989" s="787">
        <v>1.17</v>
      </c>
      <c r="E11989" s="787">
        <v>1.17</v>
      </c>
      <c r="F11989" s="788">
        <v>40471</v>
      </c>
      <c r="G11989" s="788">
        <v>42013</v>
      </c>
      <c r="H11989" s="787">
        <v>1</v>
      </c>
      <c r="I11989" s="788">
        <v>40626</v>
      </c>
      <c r="J11989" s="788">
        <v>40436</v>
      </c>
      <c r="K11989" s="788">
        <v>41869</v>
      </c>
      <c r="L11989" s="787">
        <v>1.17</v>
      </c>
      <c r="M11989" s="787">
        <v>20</v>
      </c>
      <c r="N11989" s="787">
        <v>2.31</v>
      </c>
      <c r="O11989" s="788">
        <v>41858</v>
      </c>
    </row>
    <row r="11990" spans="1:15" x14ac:dyDescent="0.25">
      <c r="A11990" s="786" t="s">
        <v>21373</v>
      </c>
      <c r="B11990" s="787">
        <v>4</v>
      </c>
      <c r="C11990" s="787" t="s">
        <v>21374</v>
      </c>
      <c r="D11990" s="787">
        <v>8.08</v>
      </c>
      <c r="E11990" s="787">
        <v>13.25</v>
      </c>
      <c r="F11990" s="788">
        <v>37287</v>
      </c>
      <c r="G11990" s="788">
        <v>39161</v>
      </c>
      <c r="H11990" s="787">
        <v>1</v>
      </c>
      <c r="I11990" s="788">
        <v>39134</v>
      </c>
      <c r="J11990" s="788">
        <v>39134</v>
      </c>
      <c r="K11990" s="788">
        <v>42122</v>
      </c>
      <c r="L11990" s="787">
        <v>15.04</v>
      </c>
      <c r="M11990" s="787">
        <v>20</v>
      </c>
      <c r="N11990" s="787">
        <v>16.170000000000002</v>
      </c>
      <c r="O11990" s="788">
        <v>42122</v>
      </c>
    </row>
    <row r="11991" spans="1:15" x14ac:dyDescent="0.25">
      <c r="A11991" s="786" t="s">
        <v>21375</v>
      </c>
      <c r="B11991" s="787">
        <v>4</v>
      </c>
      <c r="C11991" s="787" t="s">
        <v>21376</v>
      </c>
      <c r="D11991" s="787">
        <v>9.84</v>
      </c>
      <c r="E11991" s="787">
        <v>11.84</v>
      </c>
      <c r="F11991" s="788">
        <v>39101</v>
      </c>
      <c r="G11991" s="788">
        <v>42164</v>
      </c>
      <c r="H11991" s="787">
        <v>1</v>
      </c>
      <c r="I11991" s="788">
        <v>42151</v>
      </c>
      <c r="J11991" s="788">
        <v>42164</v>
      </c>
      <c r="K11991" s="788">
        <v>42158</v>
      </c>
      <c r="L11991" s="787">
        <v>12.26</v>
      </c>
      <c r="M11991" s="787">
        <v>20</v>
      </c>
      <c r="N11991" s="787">
        <v>13.18</v>
      </c>
      <c r="O11991" s="788">
        <v>42159</v>
      </c>
    </row>
    <row r="11992" spans="1:15" x14ac:dyDescent="0.25">
      <c r="A11992" s="786" t="s">
        <v>21377</v>
      </c>
      <c r="B11992" s="787">
        <v>4</v>
      </c>
      <c r="C11992" s="787" t="s">
        <v>21378</v>
      </c>
      <c r="D11992" s="787">
        <v>0.24</v>
      </c>
      <c r="E11992" s="787">
        <v>10.24</v>
      </c>
      <c r="F11992" s="788">
        <v>38275</v>
      </c>
      <c r="G11992" s="788">
        <v>38275</v>
      </c>
      <c r="H11992" s="787">
        <v>1</v>
      </c>
      <c r="J11992" s="788">
        <v>38247</v>
      </c>
      <c r="L11992" s="787">
        <v>11.16</v>
      </c>
      <c r="M11992" s="787">
        <v>20</v>
      </c>
      <c r="N11992" s="787">
        <v>12</v>
      </c>
      <c r="O11992" s="788">
        <v>41858</v>
      </c>
    </row>
    <row r="11993" spans="1:15" x14ac:dyDescent="0.25">
      <c r="A11993" s="786" t="s">
        <v>21379</v>
      </c>
      <c r="B11993" s="787">
        <v>4</v>
      </c>
      <c r="C11993" s="787" t="s">
        <v>21380</v>
      </c>
      <c r="D11993" s="787">
        <v>1.01</v>
      </c>
      <c r="E11993" s="787">
        <v>1.49</v>
      </c>
      <c r="F11993" s="788">
        <v>39759</v>
      </c>
      <c r="G11993" s="788">
        <v>42164</v>
      </c>
      <c r="H11993" s="787">
        <v>1</v>
      </c>
      <c r="I11993" s="788">
        <v>42151</v>
      </c>
      <c r="J11993" s="788">
        <v>42164</v>
      </c>
      <c r="K11993" s="788">
        <v>42033</v>
      </c>
      <c r="L11993" s="787">
        <v>1.29</v>
      </c>
      <c r="M11993" s="787">
        <v>20</v>
      </c>
      <c r="N11993" s="787">
        <v>1.39</v>
      </c>
      <c r="O11993" s="788">
        <v>42164</v>
      </c>
    </row>
    <row r="11994" spans="1:15" x14ac:dyDescent="0.25">
      <c r="A11994" s="786" t="s">
        <v>21381</v>
      </c>
      <c r="B11994" s="787">
        <v>4</v>
      </c>
      <c r="C11994" s="787" t="s">
        <v>21382</v>
      </c>
      <c r="D11994" s="787">
        <v>0.65</v>
      </c>
      <c r="E11994" s="787">
        <v>0.94</v>
      </c>
      <c r="F11994" s="788">
        <v>39101</v>
      </c>
      <c r="G11994" s="788">
        <v>42045</v>
      </c>
      <c r="H11994" s="787">
        <v>1</v>
      </c>
      <c r="I11994" s="788">
        <v>42151</v>
      </c>
      <c r="J11994" s="788">
        <v>42040</v>
      </c>
      <c r="K11994" s="788">
        <v>42032</v>
      </c>
      <c r="L11994" s="787">
        <v>0.94</v>
      </c>
      <c r="M11994" s="787">
        <v>20</v>
      </c>
      <c r="N11994" s="787">
        <v>1.01</v>
      </c>
      <c r="O11994" s="788">
        <v>42159</v>
      </c>
    </row>
    <row r="11995" spans="1:15" x14ac:dyDescent="0.25">
      <c r="A11995" s="786" t="s">
        <v>21383</v>
      </c>
      <c r="B11995" s="787">
        <v>4</v>
      </c>
      <c r="C11995" s="787" t="s">
        <v>21384</v>
      </c>
      <c r="D11995" s="787">
        <v>6.89</v>
      </c>
      <c r="E11995" s="787">
        <v>6.89</v>
      </c>
      <c r="F11995" s="788">
        <v>39101</v>
      </c>
      <c r="G11995" s="788">
        <v>39101</v>
      </c>
      <c r="H11995" s="787">
        <v>1</v>
      </c>
      <c r="I11995" s="788">
        <v>42058</v>
      </c>
      <c r="J11995" s="788">
        <v>39101</v>
      </c>
      <c r="L11995" s="787">
        <v>7.51</v>
      </c>
      <c r="M11995" s="787">
        <v>20</v>
      </c>
      <c r="N11995" s="787">
        <v>8.07</v>
      </c>
      <c r="O11995" s="788">
        <v>41858</v>
      </c>
    </row>
    <row r="11996" spans="1:15" x14ac:dyDescent="0.25">
      <c r="A11996" s="786" t="s">
        <v>21385</v>
      </c>
      <c r="B11996" s="787">
        <v>4</v>
      </c>
      <c r="C11996" s="787" t="s">
        <v>21386</v>
      </c>
      <c r="D11996" s="787">
        <v>0</v>
      </c>
      <c r="E11996" s="787">
        <v>0</v>
      </c>
      <c r="H11996" s="787">
        <v>1</v>
      </c>
      <c r="L11996" s="787">
        <v>0</v>
      </c>
      <c r="M11996" s="787">
        <v>20</v>
      </c>
      <c r="N11996" s="787">
        <v>0</v>
      </c>
      <c r="O11996" s="788">
        <v>40824</v>
      </c>
    </row>
    <row r="11997" spans="1:15" x14ac:dyDescent="0.25">
      <c r="A11997" s="786" t="s">
        <v>21387</v>
      </c>
      <c r="B11997" s="787">
        <v>4</v>
      </c>
      <c r="C11997" s="787" t="s">
        <v>21388</v>
      </c>
      <c r="D11997" s="787">
        <v>1.43</v>
      </c>
      <c r="E11997" s="787">
        <v>1.43</v>
      </c>
      <c r="F11997" s="788">
        <v>37287</v>
      </c>
      <c r="G11997" s="788">
        <v>37287</v>
      </c>
      <c r="H11997" s="787">
        <v>1</v>
      </c>
      <c r="J11997" s="788">
        <v>37287</v>
      </c>
      <c r="L11997" s="787">
        <v>1.56</v>
      </c>
      <c r="M11997" s="787">
        <v>20</v>
      </c>
      <c r="N11997" s="787">
        <v>1.68</v>
      </c>
      <c r="O11997" s="788">
        <v>41858</v>
      </c>
    </row>
    <row r="11998" spans="1:15" x14ac:dyDescent="0.25">
      <c r="A11998" s="786" t="s">
        <v>21389</v>
      </c>
      <c r="B11998" s="787">
        <v>4</v>
      </c>
      <c r="C11998" s="787" t="s">
        <v>21333</v>
      </c>
      <c r="D11998" s="787">
        <v>1.91</v>
      </c>
      <c r="E11998" s="787">
        <v>2.5499999999999998</v>
      </c>
      <c r="F11998" s="788">
        <v>39101</v>
      </c>
      <c r="G11998" s="788">
        <v>42013</v>
      </c>
      <c r="H11998" s="787">
        <v>1</v>
      </c>
      <c r="I11998" s="788">
        <v>40392</v>
      </c>
      <c r="J11998" s="788">
        <v>40157</v>
      </c>
      <c r="L11998" s="787">
        <v>1.99</v>
      </c>
      <c r="M11998" s="787">
        <v>20</v>
      </c>
      <c r="N11998" s="787">
        <v>2.14</v>
      </c>
      <c r="O11998" s="788">
        <v>41858</v>
      </c>
    </row>
    <row r="11999" spans="1:15" x14ac:dyDescent="0.25">
      <c r="A11999" s="786" t="s">
        <v>21390</v>
      </c>
      <c r="B11999" s="787">
        <v>4</v>
      </c>
      <c r="C11999" s="787" t="s">
        <v>21391</v>
      </c>
      <c r="D11999" s="787">
        <v>1.43</v>
      </c>
      <c r="E11999" s="787">
        <v>1.43</v>
      </c>
      <c r="F11999" s="788">
        <v>38275</v>
      </c>
      <c r="G11999" s="788">
        <v>38275</v>
      </c>
      <c r="H11999" s="787">
        <v>1</v>
      </c>
      <c r="J11999" s="788">
        <v>38247</v>
      </c>
      <c r="L11999" s="787">
        <v>1.56</v>
      </c>
      <c r="M11999" s="787">
        <v>20</v>
      </c>
      <c r="N11999" s="787">
        <v>1.68</v>
      </c>
      <c r="O11999" s="788">
        <v>41858</v>
      </c>
    </row>
    <row r="12000" spans="1:15" x14ac:dyDescent="0.25">
      <c r="A12000" s="786" t="s">
        <v>21392</v>
      </c>
      <c r="B12000" s="787">
        <v>4</v>
      </c>
      <c r="C12000" s="787" t="s">
        <v>21393</v>
      </c>
      <c r="D12000" s="787">
        <v>0.44</v>
      </c>
      <c r="E12000" s="787">
        <v>0.63</v>
      </c>
      <c r="F12000" s="788">
        <v>39101</v>
      </c>
      <c r="G12000" s="788">
        <v>41662</v>
      </c>
      <c r="H12000" s="787">
        <v>1</v>
      </c>
      <c r="I12000" s="788">
        <v>42143</v>
      </c>
      <c r="J12000" s="788">
        <v>41662</v>
      </c>
      <c r="K12000" s="788">
        <v>42122</v>
      </c>
      <c r="L12000" s="787">
        <v>0.66</v>
      </c>
      <c r="M12000" s="787">
        <v>20</v>
      </c>
      <c r="N12000" s="787">
        <v>0.71</v>
      </c>
      <c r="O12000" s="788">
        <v>42164</v>
      </c>
    </row>
    <row r="12001" spans="1:15" x14ac:dyDescent="0.25">
      <c r="A12001" s="786" t="s">
        <v>21394</v>
      </c>
      <c r="B12001" s="787">
        <v>4</v>
      </c>
      <c r="C12001" s="787" t="s">
        <v>21393</v>
      </c>
      <c r="D12001" s="787">
        <v>0.44</v>
      </c>
      <c r="E12001" s="787">
        <v>0.44</v>
      </c>
      <c r="F12001" s="788">
        <v>39101</v>
      </c>
      <c r="G12001" s="788">
        <v>39101</v>
      </c>
      <c r="H12001" s="787">
        <v>1</v>
      </c>
      <c r="I12001" s="788">
        <v>41225</v>
      </c>
      <c r="J12001" s="788">
        <v>39149</v>
      </c>
      <c r="L12001" s="787">
        <v>0.44</v>
      </c>
      <c r="M12001" s="787">
        <v>20</v>
      </c>
      <c r="N12001" s="787">
        <v>0.47</v>
      </c>
      <c r="O12001" s="788">
        <v>41858</v>
      </c>
    </row>
    <row r="12002" spans="1:15" x14ac:dyDescent="0.25">
      <c r="A12002" s="786" t="s">
        <v>21395</v>
      </c>
      <c r="B12002" s="787">
        <v>4</v>
      </c>
      <c r="C12002" s="787" t="s">
        <v>21396</v>
      </c>
      <c r="D12002" s="787">
        <v>1.01</v>
      </c>
      <c r="E12002" s="787">
        <v>1.33</v>
      </c>
      <c r="F12002" s="788">
        <v>39101</v>
      </c>
      <c r="G12002" s="788">
        <v>41282</v>
      </c>
      <c r="H12002" s="787">
        <v>1</v>
      </c>
      <c r="I12002" s="788">
        <v>39134</v>
      </c>
      <c r="J12002" s="788">
        <v>39608</v>
      </c>
      <c r="L12002" s="787">
        <v>1.33</v>
      </c>
      <c r="M12002" s="787">
        <v>20</v>
      </c>
      <c r="N12002" s="787">
        <v>1.43</v>
      </c>
      <c r="O12002" s="788">
        <v>41858</v>
      </c>
    </row>
    <row r="12003" spans="1:15" x14ac:dyDescent="0.25">
      <c r="A12003" s="786" t="s">
        <v>21397</v>
      </c>
      <c r="B12003" s="787">
        <v>4</v>
      </c>
      <c r="C12003" s="787" t="s">
        <v>21396</v>
      </c>
      <c r="D12003" s="787">
        <v>1.88</v>
      </c>
      <c r="E12003" s="787">
        <v>2.7</v>
      </c>
      <c r="F12003" s="788">
        <v>39101</v>
      </c>
      <c r="G12003" s="788">
        <v>42030</v>
      </c>
      <c r="H12003" s="787">
        <v>1</v>
      </c>
      <c r="I12003" s="788">
        <v>41956</v>
      </c>
      <c r="J12003" s="788">
        <v>42019</v>
      </c>
      <c r="L12003" s="787">
        <v>2.8</v>
      </c>
      <c r="M12003" s="787">
        <v>20</v>
      </c>
      <c r="N12003" s="787">
        <v>3.01</v>
      </c>
      <c r="O12003" s="788">
        <v>41858</v>
      </c>
    </row>
    <row r="12004" spans="1:15" x14ac:dyDescent="0.25">
      <c r="A12004" s="786" t="s">
        <v>21398</v>
      </c>
      <c r="B12004" s="787">
        <v>4</v>
      </c>
      <c r="C12004" s="787" t="s">
        <v>21393</v>
      </c>
      <c r="D12004" s="787">
        <v>0.44</v>
      </c>
      <c r="E12004" s="787">
        <v>0.59</v>
      </c>
      <c r="F12004" s="788">
        <v>39101</v>
      </c>
      <c r="G12004" s="788">
        <v>42013</v>
      </c>
      <c r="H12004" s="787">
        <v>1</v>
      </c>
      <c r="I12004" s="788">
        <v>41286</v>
      </c>
      <c r="J12004" s="788">
        <v>40032</v>
      </c>
      <c r="L12004" s="787">
        <v>0.59</v>
      </c>
      <c r="M12004" s="787">
        <v>20</v>
      </c>
      <c r="N12004" s="787">
        <v>0.63</v>
      </c>
      <c r="O12004" s="788">
        <v>41858</v>
      </c>
    </row>
    <row r="12005" spans="1:15" x14ac:dyDescent="0.25">
      <c r="A12005" s="786" t="s">
        <v>21399</v>
      </c>
      <c r="B12005" s="787">
        <v>4</v>
      </c>
      <c r="C12005" s="787" t="s">
        <v>21400</v>
      </c>
      <c r="D12005" s="787">
        <v>1.04</v>
      </c>
      <c r="E12005" s="787">
        <v>1.49</v>
      </c>
      <c r="F12005" s="788">
        <v>39101</v>
      </c>
      <c r="G12005" s="788">
        <v>42013</v>
      </c>
      <c r="H12005" s="787">
        <v>1</v>
      </c>
      <c r="I12005" s="788">
        <v>39134</v>
      </c>
      <c r="J12005" s="788">
        <v>40218</v>
      </c>
      <c r="L12005" s="787">
        <v>1.49</v>
      </c>
      <c r="M12005" s="787">
        <v>20</v>
      </c>
      <c r="N12005" s="787">
        <v>1.6</v>
      </c>
      <c r="O12005" s="788">
        <v>41858</v>
      </c>
    </row>
    <row r="12006" spans="1:15" x14ac:dyDescent="0.25">
      <c r="A12006" s="786" t="s">
        <v>21401</v>
      </c>
      <c r="B12006" s="787">
        <v>4</v>
      </c>
      <c r="C12006" s="787" t="s">
        <v>21400</v>
      </c>
      <c r="D12006" s="787">
        <v>1.1399999999999999</v>
      </c>
      <c r="E12006" s="787">
        <v>2.21</v>
      </c>
      <c r="F12006" s="788">
        <v>39101</v>
      </c>
      <c r="G12006" s="788">
        <v>42164</v>
      </c>
      <c r="H12006" s="787">
        <v>1</v>
      </c>
      <c r="I12006" s="788">
        <v>41985</v>
      </c>
      <c r="J12006" s="788">
        <v>42164</v>
      </c>
      <c r="K12006" s="788">
        <v>42158</v>
      </c>
      <c r="L12006" s="787">
        <v>1.53</v>
      </c>
      <c r="M12006" s="787">
        <v>20</v>
      </c>
      <c r="N12006" s="787">
        <v>1.53</v>
      </c>
      <c r="O12006" s="788">
        <v>41858</v>
      </c>
    </row>
    <row r="12007" spans="1:15" x14ac:dyDescent="0.25">
      <c r="A12007" s="786" t="s">
        <v>21402</v>
      </c>
      <c r="B12007" s="787">
        <v>4</v>
      </c>
      <c r="C12007" s="787" t="s">
        <v>21403</v>
      </c>
      <c r="D12007" s="787">
        <v>1.92</v>
      </c>
      <c r="E12007" s="787">
        <v>2.61</v>
      </c>
      <c r="F12007" s="788">
        <v>39101</v>
      </c>
      <c r="G12007" s="788">
        <v>40914</v>
      </c>
      <c r="H12007" s="787">
        <v>1</v>
      </c>
      <c r="I12007" s="788">
        <v>41127</v>
      </c>
      <c r="J12007" s="788">
        <v>40182</v>
      </c>
      <c r="L12007" s="787">
        <v>2.61</v>
      </c>
      <c r="M12007" s="787">
        <v>20</v>
      </c>
      <c r="N12007" s="787">
        <v>2.81</v>
      </c>
      <c r="O12007" s="788">
        <v>41858</v>
      </c>
    </row>
    <row r="12008" spans="1:15" x14ac:dyDescent="0.25">
      <c r="A12008" s="786" t="s">
        <v>21404</v>
      </c>
      <c r="B12008" s="787">
        <v>4</v>
      </c>
      <c r="C12008" s="787" t="s">
        <v>21405</v>
      </c>
      <c r="D12008" s="787">
        <v>5.71</v>
      </c>
      <c r="E12008" s="787">
        <v>16.399999999999999</v>
      </c>
      <c r="F12008" s="788">
        <v>39101</v>
      </c>
      <c r="G12008" s="788">
        <v>39101</v>
      </c>
      <c r="H12008" s="787">
        <v>6</v>
      </c>
      <c r="I12008" s="788">
        <v>40784</v>
      </c>
      <c r="J12008" s="788">
        <v>39374</v>
      </c>
      <c r="L12008" s="787">
        <v>17.25</v>
      </c>
      <c r="M12008" s="787">
        <v>20</v>
      </c>
      <c r="N12008" s="787">
        <v>17.63</v>
      </c>
      <c r="O12008" s="788">
        <v>41806</v>
      </c>
    </row>
    <row r="12009" spans="1:15" x14ac:dyDescent="0.25">
      <c r="A12009" s="786" t="s">
        <v>21406</v>
      </c>
      <c r="B12009" s="787">
        <v>4</v>
      </c>
      <c r="C12009" s="787" t="s">
        <v>21400</v>
      </c>
      <c r="D12009" s="787">
        <v>0.77</v>
      </c>
      <c r="E12009" s="787">
        <v>0.93</v>
      </c>
      <c r="F12009" s="788">
        <v>39101</v>
      </c>
      <c r="G12009" s="788">
        <v>41646</v>
      </c>
      <c r="H12009" s="787">
        <v>1</v>
      </c>
      <c r="I12009" s="788">
        <v>42047</v>
      </c>
      <c r="J12009" s="788">
        <v>40032</v>
      </c>
      <c r="L12009" s="787">
        <v>0.93</v>
      </c>
      <c r="M12009" s="787">
        <v>20</v>
      </c>
      <c r="N12009" s="787">
        <v>1</v>
      </c>
      <c r="O12009" s="788">
        <v>41858</v>
      </c>
    </row>
    <row r="12010" spans="1:15" x14ac:dyDescent="0.25">
      <c r="A12010" s="786" t="s">
        <v>21407</v>
      </c>
      <c r="B12010" s="787">
        <v>4</v>
      </c>
      <c r="C12010" s="787" t="s">
        <v>21408</v>
      </c>
      <c r="D12010" s="787">
        <v>6.05</v>
      </c>
      <c r="E12010" s="787">
        <v>23.02</v>
      </c>
      <c r="F12010" s="788">
        <v>37287</v>
      </c>
      <c r="G12010" s="788">
        <v>38275</v>
      </c>
      <c r="H12010" s="787">
        <v>1</v>
      </c>
      <c r="I12010" s="788">
        <v>39748</v>
      </c>
      <c r="J12010" s="788">
        <v>38247</v>
      </c>
      <c r="L12010" s="787">
        <v>25.09</v>
      </c>
      <c r="M12010" s="787">
        <v>20</v>
      </c>
      <c r="N12010" s="787">
        <v>26.97</v>
      </c>
      <c r="O12010" s="788">
        <v>41858</v>
      </c>
    </row>
    <row r="12011" spans="1:15" x14ac:dyDescent="0.25">
      <c r="A12011" s="786" t="s">
        <v>21409</v>
      </c>
      <c r="B12011" s="787">
        <v>4</v>
      </c>
      <c r="C12011" s="787" t="s">
        <v>21410</v>
      </c>
      <c r="D12011" s="787">
        <v>5.33</v>
      </c>
      <c r="E12011" s="787">
        <v>5.33</v>
      </c>
      <c r="F12011" s="788">
        <v>38450</v>
      </c>
      <c r="G12011" s="788">
        <v>38736</v>
      </c>
      <c r="H12011" s="787">
        <v>1</v>
      </c>
      <c r="I12011" s="788">
        <v>39134</v>
      </c>
      <c r="J12011" s="788">
        <v>38426</v>
      </c>
      <c r="L12011" s="787">
        <v>5.81</v>
      </c>
      <c r="M12011" s="787">
        <v>20</v>
      </c>
      <c r="N12011" s="787">
        <v>6.25</v>
      </c>
      <c r="O12011" s="788">
        <v>41858</v>
      </c>
    </row>
    <row r="12012" spans="1:15" x14ac:dyDescent="0.25">
      <c r="A12012" s="786" t="s">
        <v>21411</v>
      </c>
      <c r="B12012" s="787">
        <v>4</v>
      </c>
      <c r="C12012" s="787" t="s">
        <v>21412</v>
      </c>
      <c r="D12012" s="787">
        <v>1.87</v>
      </c>
      <c r="E12012" s="787">
        <v>1.87</v>
      </c>
      <c r="F12012" s="788">
        <v>39101</v>
      </c>
      <c r="G12012" s="788">
        <v>39101</v>
      </c>
      <c r="H12012" s="787">
        <v>1</v>
      </c>
      <c r="I12012" s="788">
        <v>39134</v>
      </c>
      <c r="J12012" s="788">
        <v>39149</v>
      </c>
      <c r="L12012" s="787">
        <v>2.04</v>
      </c>
      <c r="M12012" s="787">
        <v>20</v>
      </c>
      <c r="N12012" s="787">
        <v>2.19</v>
      </c>
      <c r="O12012" s="788">
        <v>41858</v>
      </c>
    </row>
    <row r="12013" spans="1:15" x14ac:dyDescent="0.25">
      <c r="A12013" s="786" t="s">
        <v>21413</v>
      </c>
      <c r="B12013" s="787">
        <v>4</v>
      </c>
      <c r="C12013" s="787" t="s">
        <v>21414</v>
      </c>
      <c r="D12013" s="787">
        <v>3.28</v>
      </c>
      <c r="E12013" s="787">
        <v>3.28</v>
      </c>
      <c r="F12013" s="788">
        <v>37287</v>
      </c>
      <c r="G12013" s="788">
        <v>37287</v>
      </c>
      <c r="H12013" s="787">
        <v>1</v>
      </c>
      <c r="J12013" s="788">
        <v>37287</v>
      </c>
      <c r="L12013" s="787">
        <v>3.58</v>
      </c>
      <c r="M12013" s="787">
        <v>20</v>
      </c>
      <c r="N12013" s="787">
        <v>3.85</v>
      </c>
      <c r="O12013" s="788">
        <v>41858</v>
      </c>
    </row>
    <row r="12014" spans="1:15" x14ac:dyDescent="0.25">
      <c r="A12014" s="786" t="s">
        <v>21415</v>
      </c>
      <c r="B12014" s="787">
        <v>4</v>
      </c>
      <c r="C12014" s="787" t="s">
        <v>21416</v>
      </c>
      <c r="D12014" s="787">
        <v>0</v>
      </c>
      <c r="E12014" s="787">
        <v>560</v>
      </c>
      <c r="H12014" s="787">
        <v>6</v>
      </c>
      <c r="L12014" s="787">
        <v>610.4</v>
      </c>
      <c r="M12014" s="787">
        <v>20</v>
      </c>
      <c r="N12014" s="787">
        <v>602</v>
      </c>
      <c r="O12014" s="788">
        <v>41806</v>
      </c>
    </row>
    <row r="12015" spans="1:15" x14ac:dyDescent="0.25">
      <c r="A12015" s="786" t="s">
        <v>21417</v>
      </c>
      <c r="B12015" s="787">
        <v>4</v>
      </c>
      <c r="C12015" s="787" t="s">
        <v>21374</v>
      </c>
      <c r="D12015" s="787">
        <v>5.62</v>
      </c>
      <c r="E12015" s="787">
        <v>5.62</v>
      </c>
      <c r="F12015" s="788">
        <v>37589</v>
      </c>
      <c r="G12015" s="788">
        <v>38135</v>
      </c>
      <c r="H12015" s="787">
        <v>1</v>
      </c>
      <c r="I12015" s="788">
        <v>37054</v>
      </c>
      <c r="J12015" s="788">
        <v>38121</v>
      </c>
      <c r="L12015" s="787">
        <v>6.13</v>
      </c>
      <c r="M12015" s="787">
        <v>20</v>
      </c>
      <c r="N12015" s="787">
        <v>6.59</v>
      </c>
      <c r="O12015" s="788">
        <v>41858</v>
      </c>
    </row>
    <row r="12016" spans="1:15" x14ac:dyDescent="0.25">
      <c r="A12016" s="786" t="s">
        <v>21418</v>
      </c>
      <c r="B12016" s="787">
        <v>4</v>
      </c>
      <c r="C12016" s="787" t="s">
        <v>21419</v>
      </c>
      <c r="D12016" s="787">
        <v>2.79</v>
      </c>
      <c r="E12016" s="787">
        <v>27.17</v>
      </c>
      <c r="F12016" s="788">
        <v>37663</v>
      </c>
      <c r="G12016" s="788">
        <v>40451</v>
      </c>
      <c r="H12016" s="787">
        <v>1</v>
      </c>
      <c r="I12016" s="788">
        <v>41894</v>
      </c>
      <c r="J12016" s="788">
        <v>40402</v>
      </c>
      <c r="L12016" s="787">
        <v>25.62</v>
      </c>
      <c r="M12016" s="787">
        <v>20</v>
      </c>
      <c r="N12016" s="787">
        <v>27.54</v>
      </c>
      <c r="O12016" s="788">
        <v>41858</v>
      </c>
    </row>
    <row r="12017" spans="1:15" x14ac:dyDescent="0.25">
      <c r="A12017" s="786" t="s">
        <v>21420</v>
      </c>
      <c r="B12017" s="787">
        <v>4</v>
      </c>
      <c r="C12017" s="787" t="s">
        <v>21405</v>
      </c>
      <c r="D12017" s="787">
        <v>2.92</v>
      </c>
      <c r="E12017" s="787">
        <v>12.92</v>
      </c>
      <c r="F12017" s="788">
        <v>37643</v>
      </c>
      <c r="G12017" s="788">
        <v>37643</v>
      </c>
      <c r="H12017" s="787">
        <v>1</v>
      </c>
      <c r="I12017" s="788">
        <v>41456</v>
      </c>
      <c r="J12017" s="788">
        <v>41622</v>
      </c>
      <c r="L12017" s="787">
        <v>14.08</v>
      </c>
      <c r="M12017" s="787">
        <v>20</v>
      </c>
      <c r="N12017" s="787">
        <v>15.14</v>
      </c>
      <c r="O12017" s="788">
        <v>41858</v>
      </c>
    </row>
    <row r="12018" spans="1:15" x14ac:dyDescent="0.25">
      <c r="A12018" s="786" t="s">
        <v>21421</v>
      </c>
      <c r="B12018" s="787">
        <v>4</v>
      </c>
      <c r="C12018" s="787" t="s">
        <v>21422</v>
      </c>
      <c r="D12018" s="787">
        <v>3.56</v>
      </c>
      <c r="E12018" s="787">
        <v>16.95</v>
      </c>
      <c r="F12018" s="788">
        <v>39101</v>
      </c>
      <c r="G12018" s="788">
        <v>42129</v>
      </c>
      <c r="H12018" s="787">
        <v>1</v>
      </c>
      <c r="I12018" s="788">
        <v>42163</v>
      </c>
      <c r="J12018" s="788">
        <v>42104</v>
      </c>
      <c r="K12018" s="788">
        <v>41759</v>
      </c>
      <c r="L12018" s="787">
        <v>18.75</v>
      </c>
      <c r="M12018" s="787">
        <v>20</v>
      </c>
      <c r="N12018" s="787">
        <v>20.16</v>
      </c>
      <c r="O12018" s="788">
        <v>42163</v>
      </c>
    </row>
    <row r="12019" spans="1:15" x14ac:dyDescent="0.25">
      <c r="A12019" s="786" t="s">
        <v>21423</v>
      </c>
      <c r="B12019" s="787">
        <v>4</v>
      </c>
      <c r="C12019" s="787" t="s">
        <v>21424</v>
      </c>
      <c r="D12019" s="787">
        <v>0.57999999999999996</v>
      </c>
      <c r="E12019" s="787">
        <v>0.62</v>
      </c>
      <c r="F12019" s="788">
        <v>37589</v>
      </c>
      <c r="G12019" s="788">
        <v>38736</v>
      </c>
      <c r="H12019" s="787">
        <v>6</v>
      </c>
      <c r="I12019" s="788">
        <v>39134</v>
      </c>
      <c r="J12019" s="788">
        <v>38566</v>
      </c>
      <c r="K12019" s="788">
        <v>41869</v>
      </c>
      <c r="L12019" s="787">
        <v>0.62</v>
      </c>
      <c r="M12019" s="787">
        <v>20</v>
      </c>
      <c r="N12019" s="787">
        <v>1.27</v>
      </c>
      <c r="O12019" s="788">
        <v>41858</v>
      </c>
    </row>
    <row r="12020" spans="1:15" x14ac:dyDescent="0.25">
      <c r="A12020" s="786" t="s">
        <v>21425</v>
      </c>
      <c r="B12020" s="787">
        <v>4</v>
      </c>
      <c r="C12020" s="787" t="s">
        <v>21426</v>
      </c>
      <c r="D12020" s="787">
        <v>4.4000000000000004</v>
      </c>
      <c r="E12020" s="787">
        <v>56.62</v>
      </c>
      <c r="F12020" s="788">
        <v>37287</v>
      </c>
      <c r="G12020" s="788">
        <v>41591</v>
      </c>
      <c r="H12020" s="787">
        <v>1</v>
      </c>
      <c r="I12020" s="788">
        <v>41583</v>
      </c>
      <c r="J12020" s="788">
        <v>41583</v>
      </c>
      <c r="L12020" s="787">
        <v>51.09</v>
      </c>
      <c r="M12020" s="787">
        <v>20</v>
      </c>
      <c r="N12020" s="787">
        <v>54.92</v>
      </c>
      <c r="O12020" s="788">
        <v>41858</v>
      </c>
    </row>
    <row r="12021" spans="1:15" x14ac:dyDescent="0.25">
      <c r="A12021" s="786" t="s">
        <v>21427</v>
      </c>
      <c r="B12021" s="787">
        <v>4</v>
      </c>
      <c r="C12021" s="787" t="s">
        <v>21428</v>
      </c>
      <c r="D12021" s="787">
        <v>1.1299999999999999</v>
      </c>
      <c r="E12021" s="787">
        <v>1.1599999999999999</v>
      </c>
      <c r="F12021" s="788">
        <v>37287</v>
      </c>
      <c r="G12021" s="788">
        <v>38182</v>
      </c>
      <c r="H12021" s="787">
        <v>1</v>
      </c>
      <c r="I12021" s="788">
        <v>37054</v>
      </c>
      <c r="J12021" s="788">
        <v>38168</v>
      </c>
      <c r="L12021" s="787">
        <v>1.26</v>
      </c>
      <c r="M12021" s="787">
        <v>20</v>
      </c>
      <c r="N12021" s="787">
        <v>1.35</v>
      </c>
      <c r="O12021" s="788">
        <v>41858</v>
      </c>
    </row>
    <row r="12022" spans="1:15" x14ac:dyDescent="0.25">
      <c r="A12022" s="786" t="s">
        <v>21429</v>
      </c>
      <c r="B12022" s="787">
        <v>4</v>
      </c>
      <c r="C12022" s="787" t="s">
        <v>21430</v>
      </c>
      <c r="D12022" s="787">
        <v>0.82</v>
      </c>
      <c r="E12022" s="787">
        <v>0.87</v>
      </c>
      <c r="F12022" s="788">
        <v>39101</v>
      </c>
      <c r="G12022" s="788">
        <v>42013</v>
      </c>
      <c r="H12022" s="787">
        <v>1</v>
      </c>
      <c r="I12022" s="788">
        <v>39134</v>
      </c>
      <c r="J12022" s="788">
        <v>39185</v>
      </c>
      <c r="L12022" s="787">
        <v>0.88</v>
      </c>
      <c r="M12022" s="787">
        <v>20</v>
      </c>
      <c r="N12022" s="787">
        <v>0.95</v>
      </c>
      <c r="O12022" s="788">
        <v>41858</v>
      </c>
    </row>
    <row r="12023" spans="1:15" x14ac:dyDescent="0.25">
      <c r="A12023" s="786" t="s">
        <v>21431</v>
      </c>
      <c r="B12023" s="787">
        <v>4</v>
      </c>
      <c r="C12023" s="787" t="s">
        <v>21432</v>
      </c>
      <c r="D12023" s="787">
        <v>2.88</v>
      </c>
      <c r="E12023" s="787">
        <v>3.01</v>
      </c>
      <c r="F12023" s="788">
        <v>37725</v>
      </c>
      <c r="G12023" s="788">
        <v>38736</v>
      </c>
      <c r="H12023" s="787">
        <v>1</v>
      </c>
      <c r="I12023" s="788">
        <v>39134</v>
      </c>
      <c r="J12023" s="788">
        <v>38566</v>
      </c>
      <c r="L12023" s="787">
        <v>3.22</v>
      </c>
      <c r="M12023" s="787">
        <v>20</v>
      </c>
      <c r="N12023" s="787">
        <v>3.46</v>
      </c>
      <c r="O12023" s="788">
        <v>41858</v>
      </c>
    </row>
    <row r="12024" spans="1:15" x14ac:dyDescent="0.25">
      <c r="A12024" s="786" t="s">
        <v>21433</v>
      </c>
      <c r="B12024" s="787">
        <v>4</v>
      </c>
      <c r="C12024" s="787" t="s">
        <v>21391</v>
      </c>
      <c r="D12024" s="787">
        <v>0.63</v>
      </c>
      <c r="E12024" s="787">
        <v>0.65</v>
      </c>
      <c r="F12024" s="788">
        <v>37589</v>
      </c>
      <c r="G12024" s="788">
        <v>38736</v>
      </c>
      <c r="H12024" s="787">
        <v>1</v>
      </c>
      <c r="I12024" s="788">
        <v>41850</v>
      </c>
      <c r="J12024" s="788">
        <v>41864</v>
      </c>
      <c r="L12024" s="787">
        <v>0.69</v>
      </c>
      <c r="M12024" s="787">
        <v>20</v>
      </c>
      <c r="N12024" s="787">
        <v>0.74</v>
      </c>
      <c r="O12024" s="788">
        <v>41858</v>
      </c>
    </row>
    <row r="12025" spans="1:15" x14ac:dyDescent="0.25">
      <c r="A12025" s="786" t="s">
        <v>21434</v>
      </c>
      <c r="B12025" s="787">
        <v>4</v>
      </c>
      <c r="C12025" s="787" t="s">
        <v>21435</v>
      </c>
      <c r="D12025" s="787">
        <v>0.18</v>
      </c>
      <c r="E12025" s="787">
        <v>0.18</v>
      </c>
      <c r="F12025" s="788">
        <v>37589</v>
      </c>
      <c r="G12025" s="788">
        <v>38076</v>
      </c>
      <c r="H12025" s="787">
        <v>1</v>
      </c>
      <c r="J12025" s="788">
        <v>38040</v>
      </c>
      <c r="L12025" s="787">
        <v>0.2</v>
      </c>
      <c r="M12025" s="787">
        <v>20</v>
      </c>
      <c r="N12025" s="787">
        <v>0.22</v>
      </c>
      <c r="O12025" s="788">
        <v>41858</v>
      </c>
    </row>
    <row r="12026" spans="1:15" x14ac:dyDescent="0.25">
      <c r="A12026" s="786" t="s">
        <v>21436</v>
      </c>
      <c r="B12026" s="787">
        <v>4</v>
      </c>
      <c r="C12026" s="787" t="s">
        <v>21437</v>
      </c>
      <c r="D12026" s="787">
        <v>0.43</v>
      </c>
      <c r="E12026" s="787">
        <v>0.43</v>
      </c>
      <c r="F12026" s="788">
        <v>37973</v>
      </c>
      <c r="G12026" s="788">
        <v>37973</v>
      </c>
      <c r="H12026" s="787">
        <v>1</v>
      </c>
      <c r="J12026" s="788">
        <v>37945</v>
      </c>
      <c r="L12026" s="787">
        <v>0.47</v>
      </c>
      <c r="M12026" s="787">
        <v>20</v>
      </c>
      <c r="N12026" s="787">
        <v>0.51</v>
      </c>
      <c r="O12026" s="788">
        <v>41858</v>
      </c>
    </row>
    <row r="12027" spans="1:15" x14ac:dyDescent="0.25">
      <c r="A12027" s="786" t="s">
        <v>21438</v>
      </c>
      <c r="B12027" s="787">
        <v>4</v>
      </c>
      <c r="C12027" s="787" t="s">
        <v>21424</v>
      </c>
      <c r="D12027" s="787">
        <v>0.57999999999999996</v>
      </c>
      <c r="E12027" s="787">
        <v>0.57999999999999996</v>
      </c>
      <c r="F12027" s="788">
        <v>38275</v>
      </c>
      <c r="G12027" s="788">
        <v>38275</v>
      </c>
      <c r="H12027" s="787">
        <v>1</v>
      </c>
      <c r="J12027" s="788">
        <v>38247</v>
      </c>
      <c r="L12027" s="787">
        <v>0.63</v>
      </c>
      <c r="M12027" s="787">
        <v>20</v>
      </c>
      <c r="N12027" s="787">
        <v>0.68</v>
      </c>
      <c r="O12027" s="788">
        <v>41858</v>
      </c>
    </row>
    <row r="12028" spans="1:15" x14ac:dyDescent="0.25">
      <c r="A12028" s="786" t="s">
        <v>21439</v>
      </c>
      <c r="B12028" s="787">
        <v>4</v>
      </c>
      <c r="C12028" s="787" t="s">
        <v>21430</v>
      </c>
      <c r="D12028" s="787">
        <v>1.57</v>
      </c>
      <c r="E12028" s="787">
        <v>1.57</v>
      </c>
      <c r="F12028" s="788">
        <v>38275</v>
      </c>
      <c r="G12028" s="788">
        <v>38275</v>
      </c>
      <c r="H12028" s="787">
        <v>1</v>
      </c>
      <c r="J12028" s="788">
        <v>38247</v>
      </c>
      <c r="L12028" s="787">
        <v>1.71</v>
      </c>
      <c r="M12028" s="787">
        <v>20</v>
      </c>
      <c r="N12028" s="787">
        <v>1.84</v>
      </c>
      <c r="O12028" s="788">
        <v>41858</v>
      </c>
    </row>
    <row r="12029" spans="1:15" x14ac:dyDescent="0.25">
      <c r="A12029" s="786" t="s">
        <v>21440</v>
      </c>
      <c r="B12029" s="787">
        <v>4</v>
      </c>
      <c r="C12029" s="787" t="s">
        <v>21430</v>
      </c>
      <c r="D12029" s="787">
        <v>6.81</v>
      </c>
      <c r="E12029" s="787">
        <v>8.32</v>
      </c>
      <c r="F12029" s="788">
        <v>38275</v>
      </c>
      <c r="G12029" s="788">
        <v>40471</v>
      </c>
      <c r="H12029" s="787">
        <v>1</v>
      </c>
      <c r="J12029" s="788">
        <v>40436</v>
      </c>
      <c r="L12029" s="787">
        <v>7.42</v>
      </c>
      <c r="M12029" s="787">
        <v>20</v>
      </c>
      <c r="N12029" s="787">
        <v>7.98</v>
      </c>
      <c r="O12029" s="788">
        <v>41858</v>
      </c>
    </row>
    <row r="12030" spans="1:15" x14ac:dyDescent="0.25">
      <c r="A12030" s="786" t="s">
        <v>21441</v>
      </c>
      <c r="B12030" s="787">
        <v>4</v>
      </c>
      <c r="C12030" s="787" t="s">
        <v>21442</v>
      </c>
      <c r="D12030" s="787">
        <v>1.68</v>
      </c>
      <c r="E12030" s="787">
        <v>1.68</v>
      </c>
      <c r="F12030" s="788">
        <v>39101</v>
      </c>
      <c r="G12030" s="788">
        <v>39101</v>
      </c>
      <c r="H12030" s="787">
        <v>1</v>
      </c>
      <c r="I12030" s="788">
        <v>39134</v>
      </c>
      <c r="J12030" s="788">
        <v>39149</v>
      </c>
      <c r="L12030" s="787">
        <v>1.83</v>
      </c>
      <c r="M12030" s="787">
        <v>20</v>
      </c>
      <c r="N12030" s="787">
        <v>1.97</v>
      </c>
      <c r="O12030" s="788">
        <v>41858</v>
      </c>
    </row>
    <row r="12031" spans="1:15" x14ac:dyDescent="0.25">
      <c r="A12031" s="786" t="s">
        <v>21443</v>
      </c>
      <c r="B12031" s="787">
        <v>4</v>
      </c>
      <c r="C12031" s="787" t="s">
        <v>21442</v>
      </c>
      <c r="D12031" s="787">
        <v>1.4</v>
      </c>
      <c r="E12031" s="787">
        <v>1.4</v>
      </c>
      <c r="F12031" s="788">
        <v>38275</v>
      </c>
      <c r="G12031" s="788">
        <v>38275</v>
      </c>
      <c r="H12031" s="787">
        <v>1</v>
      </c>
      <c r="J12031" s="788">
        <v>38247</v>
      </c>
      <c r="L12031" s="787">
        <v>1.53</v>
      </c>
      <c r="M12031" s="787">
        <v>20</v>
      </c>
      <c r="N12031" s="787">
        <v>1.64</v>
      </c>
      <c r="O12031" s="788">
        <v>41858</v>
      </c>
    </row>
    <row r="12032" spans="1:15" x14ac:dyDescent="0.25">
      <c r="A12032" s="786" t="s">
        <v>21444</v>
      </c>
      <c r="B12032" s="787">
        <v>4</v>
      </c>
      <c r="C12032" s="787" t="s">
        <v>21445</v>
      </c>
      <c r="D12032" s="787">
        <v>2.2799999999999998</v>
      </c>
      <c r="E12032" s="787">
        <v>2.2799999999999998</v>
      </c>
      <c r="F12032" s="788">
        <v>38275</v>
      </c>
      <c r="G12032" s="788">
        <v>38275</v>
      </c>
      <c r="H12032" s="787">
        <v>1</v>
      </c>
      <c r="J12032" s="788">
        <v>38247</v>
      </c>
      <c r="L12032" s="787">
        <v>2.4900000000000002</v>
      </c>
      <c r="M12032" s="787">
        <v>20</v>
      </c>
      <c r="N12032" s="787">
        <v>2.68</v>
      </c>
      <c r="O12032" s="788">
        <v>41858</v>
      </c>
    </row>
    <row r="12033" spans="1:15" x14ac:dyDescent="0.25">
      <c r="A12033" s="786" t="s">
        <v>21446</v>
      </c>
      <c r="B12033" s="787">
        <v>4</v>
      </c>
      <c r="C12033" s="787" t="s">
        <v>21447</v>
      </c>
      <c r="D12033" s="787">
        <v>1.7</v>
      </c>
      <c r="E12033" s="787">
        <v>1.7</v>
      </c>
      <c r="F12033" s="788">
        <v>38275</v>
      </c>
      <c r="G12033" s="788">
        <v>38275</v>
      </c>
      <c r="H12033" s="787">
        <v>1</v>
      </c>
      <c r="J12033" s="788">
        <v>38258</v>
      </c>
      <c r="L12033" s="787">
        <v>1.85</v>
      </c>
      <c r="M12033" s="787">
        <v>20</v>
      </c>
      <c r="N12033" s="787">
        <v>1.99</v>
      </c>
      <c r="O12033" s="788">
        <v>41858</v>
      </c>
    </row>
    <row r="12034" spans="1:15" x14ac:dyDescent="0.25">
      <c r="A12034" s="786" t="s">
        <v>21448</v>
      </c>
      <c r="B12034" s="787">
        <v>4</v>
      </c>
      <c r="C12034" s="787" t="s">
        <v>21449</v>
      </c>
      <c r="D12034" s="787">
        <v>2.17</v>
      </c>
      <c r="E12034" s="787">
        <v>32.17</v>
      </c>
      <c r="F12034" s="788">
        <v>39101</v>
      </c>
      <c r="G12034" s="788">
        <v>39101</v>
      </c>
      <c r="H12034" s="787">
        <v>1</v>
      </c>
      <c r="I12034" s="788">
        <v>39134</v>
      </c>
      <c r="J12034" s="788">
        <v>39149</v>
      </c>
      <c r="L12034" s="787">
        <v>35.07</v>
      </c>
      <c r="M12034" s="787">
        <v>20</v>
      </c>
      <c r="N12034" s="787">
        <v>37.700000000000003</v>
      </c>
      <c r="O12034" s="788">
        <v>41858</v>
      </c>
    </row>
    <row r="12035" spans="1:15" x14ac:dyDescent="0.25">
      <c r="A12035" s="786" t="s">
        <v>21450</v>
      </c>
      <c r="B12035" s="787">
        <v>4</v>
      </c>
      <c r="C12035" s="787" t="s">
        <v>21451</v>
      </c>
      <c r="D12035" s="787">
        <v>3.51</v>
      </c>
      <c r="E12035" s="787">
        <v>3.51</v>
      </c>
      <c r="F12035" s="788">
        <v>38258</v>
      </c>
      <c r="G12035" s="788">
        <v>38258</v>
      </c>
      <c r="H12035" s="787">
        <v>1</v>
      </c>
      <c r="I12035" s="788">
        <v>41127</v>
      </c>
      <c r="J12035" s="788">
        <v>38257</v>
      </c>
      <c r="L12035" s="787">
        <v>3.83</v>
      </c>
      <c r="M12035" s="787">
        <v>20</v>
      </c>
      <c r="N12035" s="787">
        <v>4.12</v>
      </c>
      <c r="O12035" s="788">
        <v>41858</v>
      </c>
    </row>
    <row r="12036" spans="1:15" x14ac:dyDescent="0.25">
      <c r="A12036" s="786" t="s">
        <v>21452</v>
      </c>
      <c r="B12036" s="787">
        <v>4</v>
      </c>
      <c r="C12036" s="787" t="s">
        <v>21453</v>
      </c>
      <c r="D12036" s="787">
        <v>8.98</v>
      </c>
      <c r="E12036" s="787">
        <v>8.98</v>
      </c>
      <c r="F12036" s="788">
        <v>38258</v>
      </c>
      <c r="G12036" s="788">
        <v>38258</v>
      </c>
      <c r="H12036" s="787">
        <v>1</v>
      </c>
      <c r="J12036" s="788">
        <v>38257</v>
      </c>
      <c r="L12036" s="787">
        <v>9.7899999999999991</v>
      </c>
      <c r="M12036" s="787">
        <v>20</v>
      </c>
      <c r="N12036" s="787">
        <v>10.52</v>
      </c>
      <c r="O12036" s="788">
        <v>41858</v>
      </c>
    </row>
    <row r="12037" spans="1:15" x14ac:dyDescent="0.25">
      <c r="A12037" s="786" t="s">
        <v>21454</v>
      </c>
      <c r="B12037" s="787">
        <v>4</v>
      </c>
      <c r="C12037" s="787" t="s">
        <v>21455</v>
      </c>
      <c r="D12037" s="787">
        <v>5.73</v>
      </c>
      <c r="E12037" s="787">
        <v>75.73</v>
      </c>
      <c r="F12037" s="788">
        <v>38258</v>
      </c>
      <c r="G12037" s="788">
        <v>38258</v>
      </c>
      <c r="H12037" s="787">
        <v>1</v>
      </c>
      <c r="J12037" s="788">
        <v>38257</v>
      </c>
      <c r="L12037" s="787">
        <v>82.55</v>
      </c>
      <c r="M12037" s="787">
        <v>20</v>
      </c>
      <c r="N12037" s="787">
        <v>88.74</v>
      </c>
      <c r="O12037" s="788">
        <v>41858</v>
      </c>
    </row>
    <row r="12038" spans="1:15" x14ac:dyDescent="0.25">
      <c r="A12038" s="786" t="s">
        <v>21456</v>
      </c>
      <c r="B12038" s="787">
        <v>4</v>
      </c>
      <c r="C12038" s="787" t="s">
        <v>21457</v>
      </c>
      <c r="D12038" s="787">
        <v>4.93</v>
      </c>
      <c r="E12038" s="787">
        <v>5.13</v>
      </c>
      <c r="F12038" s="788">
        <v>38275</v>
      </c>
      <c r="G12038" s="788">
        <v>38530</v>
      </c>
      <c r="H12038" s="787">
        <v>1</v>
      </c>
      <c r="I12038" s="788">
        <v>38566</v>
      </c>
      <c r="J12038" s="788">
        <v>38566</v>
      </c>
      <c r="L12038" s="787">
        <v>6.1</v>
      </c>
      <c r="M12038" s="787">
        <v>20</v>
      </c>
      <c r="N12038" s="787">
        <v>6.56</v>
      </c>
      <c r="O12038" s="788">
        <v>41858</v>
      </c>
    </row>
    <row r="12039" spans="1:15" x14ac:dyDescent="0.25">
      <c r="A12039" s="786" t="s">
        <v>21458</v>
      </c>
      <c r="B12039" s="787">
        <v>4</v>
      </c>
      <c r="C12039" s="787" t="s">
        <v>21453</v>
      </c>
      <c r="D12039" s="787">
        <v>7.59</v>
      </c>
      <c r="E12039" s="787">
        <v>7.59</v>
      </c>
      <c r="F12039" s="788">
        <v>38275</v>
      </c>
      <c r="G12039" s="788">
        <v>38260</v>
      </c>
      <c r="H12039" s="787">
        <v>1</v>
      </c>
      <c r="I12039" s="788">
        <v>38260</v>
      </c>
      <c r="J12039" s="788">
        <v>38260</v>
      </c>
      <c r="L12039" s="787">
        <v>8.27</v>
      </c>
      <c r="M12039" s="787">
        <v>20</v>
      </c>
      <c r="N12039" s="787">
        <v>8.89</v>
      </c>
      <c r="O12039" s="788">
        <v>41858</v>
      </c>
    </row>
    <row r="12040" spans="1:15" x14ac:dyDescent="0.25">
      <c r="A12040" s="786" t="s">
        <v>21459</v>
      </c>
      <c r="B12040" s="787">
        <v>4</v>
      </c>
      <c r="C12040" s="787" t="s">
        <v>21333</v>
      </c>
      <c r="D12040" s="787">
        <v>3.73</v>
      </c>
      <c r="E12040" s="787">
        <v>3.73</v>
      </c>
      <c r="F12040" s="788">
        <v>38310</v>
      </c>
      <c r="G12040" s="788">
        <v>38364</v>
      </c>
      <c r="H12040" s="787">
        <v>1</v>
      </c>
      <c r="I12040" s="788">
        <v>38295</v>
      </c>
      <c r="J12040" s="788">
        <v>38295</v>
      </c>
      <c r="L12040" s="787">
        <v>4.07</v>
      </c>
      <c r="M12040" s="787">
        <v>20</v>
      </c>
      <c r="N12040" s="787">
        <v>4.38</v>
      </c>
      <c r="O12040" s="788">
        <v>41858</v>
      </c>
    </row>
    <row r="12041" spans="1:15" x14ac:dyDescent="0.25">
      <c r="A12041" s="786" t="s">
        <v>21460</v>
      </c>
      <c r="B12041" s="787">
        <v>4</v>
      </c>
      <c r="C12041" s="787" t="s">
        <v>21461</v>
      </c>
      <c r="D12041" s="787">
        <v>8.7100000000000009</v>
      </c>
      <c r="E12041" s="787">
        <v>98.71</v>
      </c>
      <c r="F12041" s="788">
        <v>38415</v>
      </c>
      <c r="G12041" s="788">
        <v>38415</v>
      </c>
      <c r="H12041" s="787">
        <v>1</v>
      </c>
      <c r="I12041" s="788">
        <v>38736</v>
      </c>
      <c r="J12041" s="788">
        <v>38481</v>
      </c>
      <c r="L12041" s="787">
        <v>105.14</v>
      </c>
      <c r="M12041" s="787">
        <v>20</v>
      </c>
      <c r="N12041" s="787">
        <v>113.03</v>
      </c>
      <c r="O12041" s="788">
        <v>41858</v>
      </c>
    </row>
    <row r="12042" spans="1:15" x14ac:dyDescent="0.25">
      <c r="A12042" s="786" t="s">
        <v>21462</v>
      </c>
      <c r="B12042" s="787">
        <v>4</v>
      </c>
      <c r="C12042" s="787" t="s">
        <v>21463</v>
      </c>
      <c r="D12042" s="787">
        <v>8.77</v>
      </c>
      <c r="E12042" s="787">
        <v>9.81</v>
      </c>
      <c r="F12042" s="788">
        <v>39101</v>
      </c>
      <c r="G12042" s="788">
        <v>42013</v>
      </c>
      <c r="H12042" s="787">
        <v>1</v>
      </c>
      <c r="I12042" s="788">
        <v>42110</v>
      </c>
      <c r="J12042" s="788">
        <v>40155</v>
      </c>
      <c r="L12042" s="787">
        <v>9.32</v>
      </c>
      <c r="M12042" s="787">
        <v>20</v>
      </c>
      <c r="N12042" s="787">
        <v>10.02</v>
      </c>
      <c r="O12042" s="788">
        <v>42146</v>
      </c>
    </row>
    <row r="12043" spans="1:15" x14ac:dyDescent="0.25">
      <c r="A12043" s="786" t="s">
        <v>21464</v>
      </c>
      <c r="B12043" s="787">
        <v>4</v>
      </c>
      <c r="C12043" s="787" t="s">
        <v>21465</v>
      </c>
      <c r="D12043" s="787">
        <v>1.01</v>
      </c>
      <c r="E12043" s="787">
        <v>59.62</v>
      </c>
      <c r="F12043" s="788">
        <v>40318</v>
      </c>
      <c r="G12043" s="788">
        <v>42030</v>
      </c>
      <c r="H12043" s="787">
        <v>1</v>
      </c>
      <c r="I12043" s="788">
        <v>41956</v>
      </c>
      <c r="J12043" s="788">
        <v>42019</v>
      </c>
      <c r="K12043" s="788">
        <v>42122</v>
      </c>
      <c r="L12043" s="787">
        <v>57.62</v>
      </c>
      <c r="M12043" s="787">
        <v>20</v>
      </c>
      <c r="N12043" s="787">
        <v>66.47</v>
      </c>
      <c r="O12043" s="788">
        <v>41858</v>
      </c>
    </row>
    <row r="12044" spans="1:15" x14ac:dyDescent="0.25">
      <c r="A12044" s="786" t="s">
        <v>21466</v>
      </c>
      <c r="B12044" s="787">
        <v>4</v>
      </c>
      <c r="C12044" s="787" t="s">
        <v>21467</v>
      </c>
      <c r="D12044" s="787">
        <v>5.4</v>
      </c>
      <c r="E12044" s="787">
        <v>15.56</v>
      </c>
      <c r="F12044" s="788">
        <v>39975</v>
      </c>
      <c r="G12044" s="788">
        <v>42030</v>
      </c>
      <c r="H12044" s="787">
        <v>1</v>
      </c>
      <c r="I12044" s="788">
        <v>41956</v>
      </c>
      <c r="J12044" s="788">
        <v>42019</v>
      </c>
      <c r="L12044" s="787">
        <v>16.14</v>
      </c>
      <c r="M12044" s="787">
        <v>20</v>
      </c>
      <c r="N12044" s="787">
        <v>17.350000000000001</v>
      </c>
      <c r="O12044" s="788">
        <v>41858</v>
      </c>
    </row>
    <row r="12045" spans="1:15" x14ac:dyDescent="0.25">
      <c r="A12045" s="786" t="s">
        <v>21468</v>
      </c>
      <c r="B12045" s="787">
        <v>4</v>
      </c>
      <c r="C12045" s="787" t="s">
        <v>21469</v>
      </c>
      <c r="D12045" s="787">
        <v>4.5</v>
      </c>
      <c r="E12045" s="787">
        <v>64.5</v>
      </c>
      <c r="F12045" s="788">
        <v>38946</v>
      </c>
      <c r="G12045" s="788">
        <v>38946</v>
      </c>
      <c r="H12045" s="787">
        <v>1</v>
      </c>
      <c r="I12045" s="788">
        <v>39134</v>
      </c>
      <c r="J12045" s="788">
        <v>38946</v>
      </c>
      <c r="L12045" s="787">
        <v>64.5</v>
      </c>
      <c r="M12045" s="787">
        <v>20</v>
      </c>
      <c r="N12045" s="787">
        <v>69.34</v>
      </c>
      <c r="O12045" s="788">
        <v>41858</v>
      </c>
    </row>
    <row r="12046" spans="1:15" x14ac:dyDescent="0.25">
      <c r="A12046" s="786" t="s">
        <v>21470</v>
      </c>
      <c r="B12046" s="787">
        <v>4</v>
      </c>
      <c r="C12046" s="787" t="s">
        <v>21471</v>
      </c>
      <c r="D12046" s="787">
        <v>8.35</v>
      </c>
      <c r="E12046" s="787">
        <v>13.3</v>
      </c>
      <c r="F12046" s="788">
        <v>38930</v>
      </c>
      <c r="G12046" s="788">
        <v>38946</v>
      </c>
      <c r="H12046" s="787">
        <v>1</v>
      </c>
      <c r="I12046" s="788">
        <v>39134</v>
      </c>
      <c r="J12046" s="788">
        <v>38946</v>
      </c>
      <c r="L12046" s="787">
        <v>13.3</v>
      </c>
      <c r="M12046" s="787">
        <v>20</v>
      </c>
      <c r="N12046" s="787">
        <v>14.3</v>
      </c>
      <c r="O12046" s="788">
        <v>41858</v>
      </c>
    </row>
    <row r="12047" spans="1:15" x14ac:dyDescent="0.25">
      <c r="A12047" s="786" t="s">
        <v>21472</v>
      </c>
      <c r="B12047" s="787">
        <v>4</v>
      </c>
      <c r="C12047" s="787" t="s">
        <v>21473</v>
      </c>
      <c r="D12047" s="787">
        <v>0</v>
      </c>
      <c r="E12047" s="787">
        <v>0</v>
      </c>
      <c r="H12047" s="787">
        <v>1</v>
      </c>
      <c r="K12047" s="788">
        <v>41187</v>
      </c>
      <c r="L12047" s="787">
        <v>1</v>
      </c>
      <c r="M12047" s="787">
        <v>20</v>
      </c>
      <c r="N12047" s="787">
        <v>1.08</v>
      </c>
      <c r="O12047" s="788">
        <v>41858</v>
      </c>
    </row>
    <row r="12048" spans="1:15" x14ac:dyDescent="0.25">
      <c r="A12048" s="786" t="s">
        <v>21474</v>
      </c>
      <c r="B12048" s="787">
        <v>4</v>
      </c>
      <c r="C12048" s="787" t="s">
        <v>21475</v>
      </c>
      <c r="D12048" s="787">
        <v>6.2</v>
      </c>
      <c r="E12048" s="787">
        <v>6.2</v>
      </c>
      <c r="F12048" s="788">
        <v>39072</v>
      </c>
      <c r="G12048" s="788">
        <v>39072</v>
      </c>
      <c r="H12048" s="787">
        <v>1</v>
      </c>
      <c r="I12048" s="788">
        <v>39134</v>
      </c>
      <c r="J12048" s="788">
        <v>39072</v>
      </c>
      <c r="L12048" s="787">
        <v>6.2</v>
      </c>
      <c r="M12048" s="787">
        <v>20</v>
      </c>
      <c r="N12048" s="787">
        <v>6.67</v>
      </c>
      <c r="O12048" s="788">
        <v>41858</v>
      </c>
    </row>
    <row r="12049" spans="1:15" x14ac:dyDescent="0.25">
      <c r="A12049" s="786" t="s">
        <v>21476</v>
      </c>
      <c r="B12049" s="787">
        <v>4</v>
      </c>
      <c r="C12049" s="787" t="s">
        <v>21382</v>
      </c>
      <c r="D12049" s="787">
        <v>3.22</v>
      </c>
      <c r="E12049" s="787">
        <v>3.22</v>
      </c>
      <c r="F12049" s="788">
        <v>37973</v>
      </c>
      <c r="G12049" s="788">
        <v>38135</v>
      </c>
      <c r="H12049" s="787">
        <v>1</v>
      </c>
      <c r="J12049" s="788">
        <v>38134</v>
      </c>
      <c r="L12049" s="787">
        <v>3.51</v>
      </c>
      <c r="M12049" s="787">
        <v>20</v>
      </c>
      <c r="N12049" s="787">
        <v>3.77</v>
      </c>
      <c r="O12049" s="788">
        <v>41858</v>
      </c>
    </row>
    <row r="12050" spans="1:15" x14ac:dyDescent="0.25">
      <c r="A12050" s="786" t="s">
        <v>21477</v>
      </c>
      <c r="B12050" s="787">
        <v>4</v>
      </c>
      <c r="C12050" s="787" t="s">
        <v>21382</v>
      </c>
      <c r="D12050" s="787">
        <v>0.57999999999999996</v>
      </c>
      <c r="E12050" s="787">
        <v>0.57999999999999996</v>
      </c>
      <c r="F12050" s="788">
        <v>39101</v>
      </c>
      <c r="G12050" s="788">
        <v>39101</v>
      </c>
      <c r="H12050" s="787">
        <v>1</v>
      </c>
      <c r="I12050" s="788">
        <v>42111</v>
      </c>
      <c r="J12050" s="788">
        <v>39149</v>
      </c>
      <c r="L12050" s="787">
        <v>0.63</v>
      </c>
      <c r="M12050" s="787">
        <v>20</v>
      </c>
      <c r="N12050" s="787">
        <v>0.68</v>
      </c>
      <c r="O12050" s="788">
        <v>41858</v>
      </c>
    </row>
    <row r="12051" spans="1:15" x14ac:dyDescent="0.25">
      <c r="A12051" s="786" t="s">
        <v>21478</v>
      </c>
      <c r="B12051" s="787">
        <v>4</v>
      </c>
      <c r="C12051" s="787" t="s">
        <v>21442</v>
      </c>
      <c r="D12051" s="787">
        <v>0.89</v>
      </c>
      <c r="E12051" s="787">
        <v>1.29</v>
      </c>
      <c r="F12051" s="788">
        <v>39101</v>
      </c>
      <c r="G12051" s="788">
        <v>42045</v>
      </c>
      <c r="H12051" s="787">
        <v>1</v>
      </c>
      <c r="I12051" s="788">
        <v>42151</v>
      </c>
      <c r="J12051" s="788">
        <v>42040</v>
      </c>
      <c r="K12051" s="788">
        <v>42032</v>
      </c>
      <c r="L12051" s="787">
        <v>1.29</v>
      </c>
      <c r="M12051" s="787">
        <v>20</v>
      </c>
      <c r="N12051" s="787">
        <v>1.39</v>
      </c>
      <c r="O12051" s="788">
        <v>42159</v>
      </c>
    </row>
    <row r="12052" spans="1:15" x14ac:dyDescent="0.25">
      <c r="A12052" s="786" t="s">
        <v>21479</v>
      </c>
      <c r="B12052" s="787">
        <v>4</v>
      </c>
      <c r="C12052" s="787" t="s">
        <v>21480</v>
      </c>
      <c r="D12052" s="787">
        <v>0.74</v>
      </c>
      <c r="E12052" s="787">
        <v>0.74</v>
      </c>
      <c r="F12052" s="788">
        <v>39101</v>
      </c>
      <c r="G12052" s="788">
        <v>39101</v>
      </c>
      <c r="H12052" s="787">
        <v>1</v>
      </c>
      <c r="I12052" s="788">
        <v>39874</v>
      </c>
      <c r="J12052" s="788">
        <v>39149</v>
      </c>
      <c r="L12052" s="787">
        <v>0.84</v>
      </c>
      <c r="M12052" s="787">
        <v>20</v>
      </c>
      <c r="N12052" s="787">
        <v>0.9</v>
      </c>
      <c r="O12052" s="788">
        <v>41858</v>
      </c>
    </row>
    <row r="12053" spans="1:15" x14ac:dyDescent="0.25">
      <c r="A12053" s="786" t="s">
        <v>21481</v>
      </c>
      <c r="B12053" s="787">
        <v>4</v>
      </c>
      <c r="C12053" s="787" t="s">
        <v>21482</v>
      </c>
      <c r="D12053" s="787">
        <v>2.0099999999999998</v>
      </c>
      <c r="E12053" s="787">
        <v>4.03</v>
      </c>
      <c r="F12053" s="788">
        <v>39101</v>
      </c>
      <c r="G12053" s="788">
        <v>42093</v>
      </c>
      <c r="H12053" s="787">
        <v>1</v>
      </c>
      <c r="I12053" s="788">
        <v>42151</v>
      </c>
      <c r="J12053" s="788">
        <v>42086</v>
      </c>
      <c r="K12053" s="788">
        <v>42081</v>
      </c>
      <c r="L12053" s="787">
        <v>3.64</v>
      </c>
      <c r="M12053" s="787">
        <v>20</v>
      </c>
      <c r="N12053" s="787">
        <v>3.91</v>
      </c>
      <c r="O12053" s="788">
        <v>42164</v>
      </c>
    </row>
    <row r="12054" spans="1:15" x14ac:dyDescent="0.25">
      <c r="A12054" s="786" t="s">
        <v>21483</v>
      </c>
      <c r="B12054" s="787">
        <v>4</v>
      </c>
      <c r="C12054" s="787" t="s">
        <v>21484</v>
      </c>
      <c r="D12054" s="787">
        <v>7.69</v>
      </c>
      <c r="E12054" s="787">
        <v>405.07</v>
      </c>
      <c r="F12054" s="788">
        <v>39101</v>
      </c>
      <c r="G12054" s="788">
        <v>42135</v>
      </c>
      <c r="H12054" s="787">
        <v>1</v>
      </c>
      <c r="I12054" s="788">
        <v>42143</v>
      </c>
      <c r="J12054" s="788">
        <v>42103</v>
      </c>
      <c r="K12054" s="788">
        <v>42040</v>
      </c>
      <c r="L12054" s="787">
        <v>414.75</v>
      </c>
      <c r="M12054" s="787">
        <v>20</v>
      </c>
      <c r="N12054" s="787">
        <v>445.86</v>
      </c>
      <c r="O12054" s="788">
        <v>42164</v>
      </c>
    </row>
    <row r="12055" spans="1:15" x14ac:dyDescent="0.25">
      <c r="A12055" s="786" t="s">
        <v>21485</v>
      </c>
      <c r="B12055" s="787">
        <v>4</v>
      </c>
      <c r="C12055" s="787" t="s">
        <v>21486</v>
      </c>
      <c r="D12055" s="787">
        <v>5.03</v>
      </c>
      <c r="E12055" s="787">
        <v>5.09</v>
      </c>
      <c r="F12055" s="788">
        <v>38338</v>
      </c>
      <c r="G12055" s="788">
        <v>38736</v>
      </c>
      <c r="H12055" s="787">
        <v>1</v>
      </c>
      <c r="I12055" s="788">
        <v>39134</v>
      </c>
      <c r="J12055" s="788">
        <v>38566</v>
      </c>
      <c r="L12055" s="787">
        <v>5.48</v>
      </c>
      <c r="M12055" s="787">
        <v>20</v>
      </c>
      <c r="N12055" s="787">
        <v>5.89</v>
      </c>
      <c r="O12055" s="788">
        <v>41858</v>
      </c>
    </row>
    <row r="12056" spans="1:15" x14ac:dyDescent="0.25">
      <c r="A12056" s="786" t="s">
        <v>21487</v>
      </c>
      <c r="B12056" s="787">
        <v>4</v>
      </c>
      <c r="C12056" s="787" t="s">
        <v>21488</v>
      </c>
      <c r="D12056" s="787">
        <v>0</v>
      </c>
      <c r="E12056" s="787">
        <v>40.86</v>
      </c>
      <c r="F12056" s="788">
        <v>39413</v>
      </c>
      <c r="G12056" s="788">
        <v>41943</v>
      </c>
      <c r="H12056" s="787">
        <v>1</v>
      </c>
      <c r="I12056" s="788">
        <v>41593</v>
      </c>
      <c r="J12056" s="788">
        <v>40280</v>
      </c>
      <c r="K12056" s="788">
        <v>40238</v>
      </c>
      <c r="L12056" s="787">
        <v>40</v>
      </c>
      <c r="M12056" s="787">
        <v>20</v>
      </c>
      <c r="N12056" s="787">
        <v>43</v>
      </c>
      <c r="O12056" s="788">
        <v>41858</v>
      </c>
    </row>
    <row r="12057" spans="1:15" x14ac:dyDescent="0.25">
      <c r="A12057" s="786" t="s">
        <v>21489</v>
      </c>
      <c r="B12057" s="787">
        <v>4</v>
      </c>
      <c r="C12057" s="787" t="s">
        <v>21490</v>
      </c>
      <c r="D12057" s="787">
        <v>8.76</v>
      </c>
      <c r="E12057" s="787">
        <v>188.76</v>
      </c>
      <c r="F12057" s="788">
        <v>39161</v>
      </c>
      <c r="G12057" s="788">
        <v>39161</v>
      </c>
      <c r="H12057" s="787">
        <v>1</v>
      </c>
      <c r="I12057" s="788">
        <v>39140</v>
      </c>
      <c r="J12057" s="788">
        <v>39139</v>
      </c>
      <c r="L12057" s="787">
        <v>188.76</v>
      </c>
      <c r="M12057" s="787">
        <v>20</v>
      </c>
      <c r="N12057" s="787">
        <v>202.92</v>
      </c>
      <c r="O12057" s="788">
        <v>41858</v>
      </c>
    </row>
    <row r="12058" spans="1:15" x14ac:dyDescent="0.25">
      <c r="A12058" s="786" t="s">
        <v>21491</v>
      </c>
      <c r="B12058" s="787">
        <v>4</v>
      </c>
      <c r="C12058" s="787" t="s">
        <v>21492</v>
      </c>
      <c r="D12058" s="787">
        <v>4.7300000000000004</v>
      </c>
      <c r="E12058" s="787">
        <v>15.44</v>
      </c>
      <c r="F12058" s="788">
        <v>40471</v>
      </c>
      <c r="G12058" s="788">
        <v>42013</v>
      </c>
      <c r="H12058" s="787">
        <v>1</v>
      </c>
      <c r="I12058" s="788">
        <v>41543</v>
      </c>
      <c r="J12058" s="788">
        <v>41533</v>
      </c>
      <c r="K12058" s="788">
        <v>42122</v>
      </c>
      <c r="L12058" s="787">
        <v>16.59</v>
      </c>
      <c r="M12058" s="787">
        <v>20</v>
      </c>
      <c r="N12058" s="787">
        <v>16.600000000000001</v>
      </c>
      <c r="O12058" s="788">
        <v>41858</v>
      </c>
    </row>
    <row r="12059" spans="1:15" x14ac:dyDescent="0.25">
      <c r="A12059" s="786" t="s">
        <v>21493</v>
      </c>
      <c r="B12059" s="787">
        <v>4</v>
      </c>
      <c r="C12059" s="787" t="s">
        <v>21494</v>
      </c>
      <c r="D12059" s="787">
        <v>0.06</v>
      </c>
      <c r="E12059" s="787">
        <v>10.06</v>
      </c>
      <c r="F12059" s="788">
        <v>39161</v>
      </c>
      <c r="G12059" s="788">
        <v>39161</v>
      </c>
      <c r="H12059" s="787">
        <v>1</v>
      </c>
      <c r="I12059" s="788">
        <v>39134</v>
      </c>
      <c r="J12059" s="788">
        <v>39134</v>
      </c>
      <c r="L12059" s="787">
        <v>10.06</v>
      </c>
      <c r="M12059" s="787">
        <v>20</v>
      </c>
      <c r="N12059" s="787">
        <v>10.81</v>
      </c>
      <c r="O12059" s="788">
        <v>41858</v>
      </c>
    </row>
    <row r="12060" spans="1:15" x14ac:dyDescent="0.25">
      <c r="A12060" s="786" t="s">
        <v>21495</v>
      </c>
      <c r="B12060" s="787">
        <v>4</v>
      </c>
      <c r="C12060" s="787" t="s">
        <v>21496</v>
      </c>
      <c r="D12060" s="787">
        <v>3.58</v>
      </c>
      <c r="E12060" s="787">
        <v>17.86</v>
      </c>
      <c r="F12060" s="788">
        <v>39161</v>
      </c>
      <c r="G12060" s="788">
        <v>42030</v>
      </c>
      <c r="H12060" s="787">
        <v>1</v>
      </c>
      <c r="I12060" s="788">
        <v>40235</v>
      </c>
      <c r="J12060" s="788">
        <v>42024</v>
      </c>
      <c r="K12060" s="788">
        <v>42018</v>
      </c>
      <c r="L12060" s="787">
        <v>16.82</v>
      </c>
      <c r="M12060" s="787">
        <v>20</v>
      </c>
      <c r="N12060" s="787">
        <v>18.079999999999998</v>
      </c>
      <c r="O12060" s="788">
        <v>42018</v>
      </c>
    </row>
    <row r="12061" spans="1:15" x14ac:dyDescent="0.25">
      <c r="A12061" s="786" t="s">
        <v>21497</v>
      </c>
      <c r="B12061" s="787">
        <v>4</v>
      </c>
      <c r="C12061" s="787" t="s">
        <v>21498</v>
      </c>
      <c r="D12061" s="787">
        <v>3.4</v>
      </c>
      <c r="E12061" s="787">
        <v>3.4</v>
      </c>
      <c r="F12061" s="788">
        <v>39161</v>
      </c>
      <c r="G12061" s="788">
        <v>39161</v>
      </c>
      <c r="H12061" s="787">
        <v>1</v>
      </c>
      <c r="I12061" s="788">
        <v>39134</v>
      </c>
      <c r="J12061" s="788">
        <v>39134</v>
      </c>
      <c r="K12061" s="788">
        <v>42122</v>
      </c>
      <c r="L12061" s="787">
        <v>3.78</v>
      </c>
      <c r="M12061" s="787">
        <v>20</v>
      </c>
      <c r="N12061" s="787">
        <v>3.66</v>
      </c>
      <c r="O12061" s="788">
        <v>41858</v>
      </c>
    </row>
    <row r="12062" spans="1:15" x14ac:dyDescent="0.25">
      <c r="A12062" s="786" t="s">
        <v>21499</v>
      </c>
      <c r="B12062" s="787">
        <v>4</v>
      </c>
      <c r="C12062" s="787" t="s">
        <v>21500</v>
      </c>
      <c r="D12062" s="787">
        <v>5.76</v>
      </c>
      <c r="E12062" s="787">
        <v>97.11</v>
      </c>
      <c r="F12062" s="788">
        <v>39161</v>
      </c>
      <c r="G12062" s="788">
        <v>41806</v>
      </c>
      <c r="H12062" s="787">
        <v>1</v>
      </c>
      <c r="I12062" s="788">
        <v>39134</v>
      </c>
      <c r="J12062" s="788">
        <v>41771</v>
      </c>
      <c r="L12062" s="787">
        <v>97.11</v>
      </c>
      <c r="M12062" s="787">
        <v>20</v>
      </c>
      <c r="N12062" s="787">
        <v>104.39</v>
      </c>
      <c r="O12062" s="788">
        <v>41858</v>
      </c>
    </row>
    <row r="12063" spans="1:15" x14ac:dyDescent="0.25">
      <c r="A12063" s="786" t="s">
        <v>21501</v>
      </c>
      <c r="B12063" s="787">
        <v>4</v>
      </c>
      <c r="C12063" s="787" t="s">
        <v>21502</v>
      </c>
      <c r="D12063" s="787">
        <v>6.63</v>
      </c>
      <c r="E12063" s="787">
        <v>8.2899999999999991</v>
      </c>
      <c r="F12063" s="788">
        <v>39161</v>
      </c>
      <c r="G12063" s="788">
        <v>41806</v>
      </c>
      <c r="H12063" s="787">
        <v>1</v>
      </c>
      <c r="I12063" s="788">
        <v>39134</v>
      </c>
      <c r="J12063" s="788">
        <v>41771</v>
      </c>
      <c r="L12063" s="787">
        <v>8.2899999999999991</v>
      </c>
      <c r="M12063" s="787">
        <v>20</v>
      </c>
      <c r="N12063" s="787">
        <v>8.91</v>
      </c>
      <c r="O12063" s="788">
        <v>41858</v>
      </c>
    </row>
    <row r="12064" spans="1:15" x14ac:dyDescent="0.25">
      <c r="A12064" s="786" t="s">
        <v>21503</v>
      </c>
      <c r="B12064" s="787">
        <v>4</v>
      </c>
      <c r="C12064" s="787" t="s">
        <v>21504</v>
      </c>
      <c r="D12064" s="787">
        <v>7.83</v>
      </c>
      <c r="E12064" s="787">
        <v>90.74</v>
      </c>
      <c r="F12064" s="788">
        <v>40318</v>
      </c>
      <c r="G12064" s="788">
        <v>42030</v>
      </c>
      <c r="H12064" s="787">
        <v>1</v>
      </c>
      <c r="I12064" s="788">
        <v>41956</v>
      </c>
      <c r="J12064" s="788">
        <v>42019</v>
      </c>
      <c r="K12064" s="788">
        <v>42122</v>
      </c>
      <c r="L12064" s="787">
        <v>87.7</v>
      </c>
      <c r="M12064" s="787">
        <v>20</v>
      </c>
      <c r="N12064" s="787">
        <v>85.4</v>
      </c>
      <c r="O12064" s="788">
        <v>41858</v>
      </c>
    </row>
    <row r="12065" spans="1:15" x14ac:dyDescent="0.25">
      <c r="A12065" s="786" t="s">
        <v>21505</v>
      </c>
      <c r="B12065" s="787">
        <v>4</v>
      </c>
      <c r="C12065" s="787" t="s">
        <v>21506</v>
      </c>
      <c r="D12065" s="787">
        <v>6.23</v>
      </c>
      <c r="E12065" s="787">
        <v>7.14</v>
      </c>
      <c r="F12065" s="788">
        <v>40619</v>
      </c>
      <c r="G12065" s="788">
        <v>42030</v>
      </c>
      <c r="H12065" s="787">
        <v>1</v>
      </c>
      <c r="I12065" s="788">
        <v>41956</v>
      </c>
      <c r="J12065" s="788">
        <v>42019</v>
      </c>
      <c r="K12065" s="788">
        <v>42122</v>
      </c>
      <c r="L12065" s="787">
        <v>6.9</v>
      </c>
      <c r="M12065" s="787">
        <v>20</v>
      </c>
      <c r="N12065" s="787">
        <v>6.9</v>
      </c>
      <c r="O12065" s="788">
        <v>41858</v>
      </c>
    </row>
    <row r="12066" spans="1:15" x14ac:dyDescent="0.25">
      <c r="A12066" s="786" t="s">
        <v>21507</v>
      </c>
      <c r="B12066" s="787">
        <v>4</v>
      </c>
      <c r="C12066" s="787" t="s">
        <v>21508</v>
      </c>
      <c r="D12066" s="787">
        <v>8.08</v>
      </c>
      <c r="E12066" s="787">
        <v>9.86</v>
      </c>
      <c r="F12066" s="788">
        <v>40471</v>
      </c>
      <c r="G12066" s="788">
        <v>42030</v>
      </c>
      <c r="H12066" s="787">
        <v>1</v>
      </c>
      <c r="I12066" s="788">
        <v>40422</v>
      </c>
      <c r="J12066" s="788">
        <v>42019</v>
      </c>
      <c r="K12066" s="788">
        <v>41806</v>
      </c>
      <c r="L12066" s="787">
        <v>8.08</v>
      </c>
      <c r="M12066" s="787">
        <v>20</v>
      </c>
      <c r="N12066" s="787">
        <v>8.69</v>
      </c>
      <c r="O12066" s="788">
        <v>41858</v>
      </c>
    </row>
    <row r="12067" spans="1:15" x14ac:dyDescent="0.25">
      <c r="A12067" s="786" t="s">
        <v>21509</v>
      </c>
      <c r="B12067" s="787">
        <v>4</v>
      </c>
      <c r="C12067" s="787" t="s">
        <v>21510</v>
      </c>
      <c r="D12067" s="787">
        <v>0.96</v>
      </c>
      <c r="E12067" s="787">
        <v>0.96</v>
      </c>
      <c r="F12067" s="788">
        <v>41956</v>
      </c>
      <c r="G12067" s="788">
        <v>42030</v>
      </c>
      <c r="H12067" s="787">
        <v>1</v>
      </c>
      <c r="I12067" s="788">
        <v>41956</v>
      </c>
      <c r="J12067" s="788">
        <v>42019</v>
      </c>
      <c r="K12067" s="788">
        <v>41869</v>
      </c>
      <c r="L12067" s="787">
        <v>1</v>
      </c>
      <c r="M12067" s="787">
        <v>20</v>
      </c>
      <c r="N12067" s="787">
        <v>2.15</v>
      </c>
      <c r="O12067" s="788">
        <v>41858</v>
      </c>
    </row>
    <row r="12068" spans="1:15" x14ac:dyDescent="0.25">
      <c r="A12068" s="786" t="s">
        <v>21511</v>
      </c>
      <c r="B12068" s="787">
        <v>4</v>
      </c>
      <c r="C12068" s="787" t="s">
        <v>21512</v>
      </c>
      <c r="D12068" s="787">
        <v>0</v>
      </c>
      <c r="E12068" s="787">
        <v>0</v>
      </c>
      <c r="H12068" s="787">
        <v>1</v>
      </c>
      <c r="L12068" s="787">
        <v>0</v>
      </c>
      <c r="M12068" s="787">
        <v>20</v>
      </c>
      <c r="N12068" s="787">
        <v>0</v>
      </c>
      <c r="O12068" s="788">
        <v>40824</v>
      </c>
    </row>
    <row r="12069" spans="1:15" x14ac:dyDescent="0.25">
      <c r="A12069" s="786" t="s">
        <v>21513</v>
      </c>
      <c r="B12069" s="787">
        <v>4</v>
      </c>
      <c r="C12069" s="787" t="s">
        <v>21514</v>
      </c>
      <c r="D12069" s="787">
        <v>1.25</v>
      </c>
      <c r="E12069" s="787">
        <v>1.25</v>
      </c>
      <c r="F12069" s="788">
        <v>41956</v>
      </c>
      <c r="G12069" s="788">
        <v>42030</v>
      </c>
      <c r="H12069" s="787">
        <v>1</v>
      </c>
      <c r="J12069" s="788">
        <v>42019</v>
      </c>
      <c r="K12069" s="788">
        <v>41869</v>
      </c>
      <c r="L12069" s="787">
        <v>1.3</v>
      </c>
      <c r="M12069" s="787">
        <v>20</v>
      </c>
      <c r="N12069" s="787">
        <v>2.15</v>
      </c>
      <c r="O12069" s="788">
        <v>41858</v>
      </c>
    </row>
    <row r="12070" spans="1:15" x14ac:dyDescent="0.25">
      <c r="A12070" s="786" t="s">
        <v>21515</v>
      </c>
      <c r="B12070" s="787">
        <v>4</v>
      </c>
      <c r="C12070" s="787" t="s">
        <v>21516</v>
      </c>
      <c r="D12070" s="787">
        <v>3.99</v>
      </c>
      <c r="E12070" s="787">
        <v>82.17</v>
      </c>
      <c r="F12070" s="788">
        <v>40322</v>
      </c>
      <c r="G12070" s="788">
        <v>42030</v>
      </c>
      <c r="H12070" s="787">
        <v>1</v>
      </c>
      <c r="J12070" s="788">
        <v>42024</v>
      </c>
      <c r="K12070" s="788">
        <v>42018</v>
      </c>
      <c r="L12070" s="787">
        <v>77.400000000000006</v>
      </c>
      <c r="M12070" s="787">
        <v>20</v>
      </c>
      <c r="N12070" s="787">
        <v>83.21</v>
      </c>
      <c r="O12070" s="788">
        <v>42018</v>
      </c>
    </row>
    <row r="12071" spans="1:15" x14ac:dyDescent="0.25">
      <c r="A12071" s="786" t="s">
        <v>21517</v>
      </c>
      <c r="B12071" s="787">
        <v>4</v>
      </c>
      <c r="C12071" s="787" t="s">
        <v>21518</v>
      </c>
      <c r="D12071" s="787">
        <v>3.19</v>
      </c>
      <c r="E12071" s="787">
        <v>3.77</v>
      </c>
      <c r="F12071" s="788">
        <v>40322</v>
      </c>
      <c r="G12071" s="788">
        <v>42024</v>
      </c>
      <c r="H12071" s="787">
        <v>1</v>
      </c>
      <c r="J12071" s="788">
        <v>42024</v>
      </c>
      <c r="K12071" s="788">
        <v>42020</v>
      </c>
      <c r="L12071" s="787">
        <v>3.55</v>
      </c>
      <c r="M12071" s="787">
        <v>20</v>
      </c>
      <c r="N12071" s="787">
        <v>3.82</v>
      </c>
      <c r="O12071" s="788">
        <v>42020</v>
      </c>
    </row>
    <row r="12072" spans="1:15" x14ac:dyDescent="0.25">
      <c r="A12072" s="786" t="s">
        <v>21519</v>
      </c>
      <c r="B12072" s="787">
        <v>4</v>
      </c>
      <c r="C12072" s="787" t="s">
        <v>21520</v>
      </c>
      <c r="D12072" s="787">
        <v>9.67</v>
      </c>
      <c r="E12072" s="787">
        <v>11.82</v>
      </c>
      <c r="F12072" s="788">
        <v>40322</v>
      </c>
      <c r="G12072" s="788">
        <v>42030</v>
      </c>
      <c r="H12072" s="787">
        <v>1</v>
      </c>
      <c r="J12072" s="788">
        <v>42024</v>
      </c>
      <c r="K12072" s="788">
        <v>42018</v>
      </c>
      <c r="L12072" s="787">
        <v>11.13</v>
      </c>
      <c r="M12072" s="787">
        <v>20</v>
      </c>
      <c r="N12072" s="787">
        <v>11.96</v>
      </c>
      <c r="O12072" s="788">
        <v>42018</v>
      </c>
    </row>
    <row r="12073" spans="1:15" x14ac:dyDescent="0.25">
      <c r="A12073" s="786" t="s">
        <v>21521</v>
      </c>
      <c r="B12073" s="787">
        <v>4</v>
      </c>
      <c r="C12073" s="787" t="s">
        <v>21522</v>
      </c>
      <c r="D12073" s="787">
        <v>0.96</v>
      </c>
      <c r="E12073" s="787">
        <v>13.4</v>
      </c>
      <c r="F12073" s="788">
        <v>40322</v>
      </c>
      <c r="G12073" s="788">
        <v>42030</v>
      </c>
      <c r="H12073" s="787">
        <v>1</v>
      </c>
      <c r="J12073" s="788">
        <v>42024</v>
      </c>
      <c r="K12073" s="788">
        <v>42018</v>
      </c>
      <c r="L12073" s="787">
        <v>12.62</v>
      </c>
      <c r="M12073" s="787">
        <v>20</v>
      </c>
      <c r="N12073" s="787">
        <v>13.57</v>
      </c>
      <c r="O12073" s="788">
        <v>42018</v>
      </c>
    </row>
    <row r="12074" spans="1:15" x14ac:dyDescent="0.25">
      <c r="A12074" s="786" t="s">
        <v>21523</v>
      </c>
      <c r="B12074" s="787">
        <v>4</v>
      </c>
      <c r="C12074" s="787" t="s">
        <v>21524</v>
      </c>
      <c r="D12074" s="787">
        <v>1.1599999999999999</v>
      </c>
      <c r="E12074" s="787">
        <v>1.41</v>
      </c>
      <c r="F12074" s="788">
        <v>40322</v>
      </c>
      <c r="G12074" s="788">
        <v>42030</v>
      </c>
      <c r="H12074" s="787">
        <v>1</v>
      </c>
      <c r="J12074" s="788">
        <v>42024</v>
      </c>
      <c r="K12074" s="788">
        <v>42018</v>
      </c>
      <c r="L12074" s="787">
        <v>1.33</v>
      </c>
      <c r="M12074" s="787">
        <v>20</v>
      </c>
      <c r="N12074" s="787">
        <v>1.43</v>
      </c>
      <c r="O12074" s="788">
        <v>42018</v>
      </c>
    </row>
    <row r="12075" spans="1:15" x14ac:dyDescent="0.25">
      <c r="A12075" s="786" t="s">
        <v>21525</v>
      </c>
      <c r="B12075" s="787">
        <v>4</v>
      </c>
      <c r="C12075" s="787" t="s">
        <v>21526</v>
      </c>
      <c r="D12075" s="787">
        <v>4.6100000000000003</v>
      </c>
      <c r="E12075" s="787">
        <v>14.61</v>
      </c>
      <c r="F12075" s="788">
        <v>40322</v>
      </c>
      <c r="G12075" s="788">
        <v>40322</v>
      </c>
      <c r="H12075" s="787">
        <v>1</v>
      </c>
      <c r="J12075" s="788">
        <v>40297</v>
      </c>
      <c r="L12075" s="787">
        <v>14.61</v>
      </c>
      <c r="M12075" s="787">
        <v>20</v>
      </c>
      <c r="N12075" s="787">
        <v>15.71</v>
      </c>
      <c r="O12075" s="788">
        <v>41858</v>
      </c>
    </row>
    <row r="12076" spans="1:15" x14ac:dyDescent="0.25">
      <c r="A12076" s="786" t="s">
        <v>21527</v>
      </c>
      <c r="B12076" s="787">
        <v>4</v>
      </c>
      <c r="C12076" s="787" t="s">
        <v>21453</v>
      </c>
      <c r="D12076" s="787">
        <v>3.14</v>
      </c>
      <c r="E12076" s="787">
        <v>3.84</v>
      </c>
      <c r="F12076" s="788">
        <v>40322</v>
      </c>
      <c r="G12076" s="788">
        <v>42030</v>
      </c>
      <c r="H12076" s="787">
        <v>1</v>
      </c>
      <c r="J12076" s="788">
        <v>42024</v>
      </c>
      <c r="K12076" s="788">
        <v>42018</v>
      </c>
      <c r="L12076" s="787">
        <v>3.62</v>
      </c>
      <c r="M12076" s="787">
        <v>20</v>
      </c>
      <c r="N12076" s="787">
        <v>3.89</v>
      </c>
      <c r="O12076" s="788">
        <v>42018</v>
      </c>
    </row>
    <row r="12077" spans="1:15" x14ac:dyDescent="0.25">
      <c r="A12077" s="786" t="s">
        <v>21528</v>
      </c>
      <c r="B12077" s="787">
        <v>4</v>
      </c>
      <c r="C12077" s="787" t="s">
        <v>21529</v>
      </c>
      <c r="D12077" s="787">
        <v>7.45</v>
      </c>
      <c r="E12077" s="787">
        <v>8.3800000000000008</v>
      </c>
      <c r="F12077" s="788">
        <v>40471</v>
      </c>
      <c r="G12077" s="788">
        <v>42030</v>
      </c>
      <c r="H12077" s="787">
        <v>1</v>
      </c>
      <c r="I12077" s="788">
        <v>41736</v>
      </c>
      <c r="J12077" s="788">
        <v>42019</v>
      </c>
      <c r="K12077" s="788">
        <v>40913</v>
      </c>
      <c r="L12077" s="787">
        <v>7.54</v>
      </c>
      <c r="M12077" s="787">
        <v>20</v>
      </c>
      <c r="N12077" s="787">
        <v>8.11</v>
      </c>
      <c r="O12077" s="788">
        <v>41858</v>
      </c>
    </row>
    <row r="12078" spans="1:15" x14ac:dyDescent="0.25">
      <c r="A12078" s="786" t="s">
        <v>21530</v>
      </c>
      <c r="B12078" s="787">
        <v>4</v>
      </c>
      <c r="C12078" s="787" t="s">
        <v>21531</v>
      </c>
      <c r="D12078" s="787">
        <v>9.74</v>
      </c>
      <c r="E12078" s="787">
        <v>33.840000000000003</v>
      </c>
      <c r="F12078" s="788">
        <v>41214</v>
      </c>
      <c r="G12078" s="788">
        <v>42151</v>
      </c>
      <c r="H12078" s="787">
        <v>1</v>
      </c>
      <c r="I12078" s="788">
        <v>42152</v>
      </c>
      <c r="J12078" s="788">
        <v>42151</v>
      </c>
      <c r="K12078" s="788">
        <v>41648</v>
      </c>
      <c r="L12078" s="787">
        <v>31.79</v>
      </c>
      <c r="M12078" s="787">
        <v>20</v>
      </c>
      <c r="N12078" s="787">
        <v>34.17</v>
      </c>
      <c r="O12078" s="788">
        <v>42146</v>
      </c>
    </row>
    <row r="12079" spans="1:15" x14ac:dyDescent="0.25">
      <c r="A12079" s="786" t="s">
        <v>21532</v>
      </c>
      <c r="B12079" s="787">
        <v>4</v>
      </c>
      <c r="C12079" s="787" t="s">
        <v>21533</v>
      </c>
      <c r="D12079" s="787">
        <v>8.14</v>
      </c>
      <c r="E12079" s="787">
        <v>29.96</v>
      </c>
      <c r="F12079" s="788">
        <v>41372</v>
      </c>
      <c r="G12079" s="788">
        <v>42093</v>
      </c>
      <c r="H12079" s="787">
        <v>1</v>
      </c>
      <c r="I12079" s="788">
        <v>42143</v>
      </c>
      <c r="J12079" s="788">
        <v>42086</v>
      </c>
      <c r="K12079" s="788">
        <v>42081</v>
      </c>
      <c r="L12079" s="787">
        <v>29.96</v>
      </c>
      <c r="M12079" s="787">
        <v>20</v>
      </c>
      <c r="N12079" s="787">
        <v>32.21</v>
      </c>
      <c r="O12079" s="788">
        <v>42164</v>
      </c>
    </row>
    <row r="12080" spans="1:15" x14ac:dyDescent="0.25">
      <c r="A12080" s="786" t="s">
        <v>21534</v>
      </c>
      <c r="B12080" s="787">
        <v>4</v>
      </c>
      <c r="C12080" s="787" t="s">
        <v>21335</v>
      </c>
      <c r="D12080" s="787">
        <v>8.5299999999999994</v>
      </c>
      <c r="E12080" s="787">
        <v>9.07</v>
      </c>
      <c r="F12080" s="788">
        <v>41372</v>
      </c>
      <c r="G12080" s="788">
        <v>42093</v>
      </c>
      <c r="H12080" s="787">
        <v>1</v>
      </c>
      <c r="I12080" s="788">
        <v>42143</v>
      </c>
      <c r="J12080" s="788">
        <v>42086</v>
      </c>
      <c r="K12080" s="788">
        <v>42081</v>
      </c>
      <c r="L12080" s="787">
        <v>9.07</v>
      </c>
      <c r="M12080" s="787">
        <v>20</v>
      </c>
      <c r="N12080" s="787">
        <v>9.75</v>
      </c>
      <c r="O12080" s="788">
        <v>42164</v>
      </c>
    </row>
    <row r="12081" spans="1:15" x14ac:dyDescent="0.25">
      <c r="A12081" s="786" t="s">
        <v>21535</v>
      </c>
      <c r="B12081" s="787">
        <v>4</v>
      </c>
      <c r="C12081" s="787" t="s">
        <v>21536</v>
      </c>
      <c r="D12081" s="787">
        <v>0.63</v>
      </c>
      <c r="E12081" s="787">
        <v>0.73</v>
      </c>
      <c r="F12081" s="788">
        <v>41372</v>
      </c>
      <c r="G12081" s="788">
        <v>42093</v>
      </c>
      <c r="H12081" s="787">
        <v>1</v>
      </c>
      <c r="I12081" s="788">
        <v>42143</v>
      </c>
      <c r="J12081" s="788">
        <v>42086</v>
      </c>
      <c r="K12081" s="788">
        <v>42081</v>
      </c>
      <c r="L12081" s="787">
        <v>0.66</v>
      </c>
      <c r="M12081" s="787">
        <v>20</v>
      </c>
      <c r="N12081" s="787">
        <v>0.71</v>
      </c>
      <c r="O12081" s="788">
        <v>42164</v>
      </c>
    </row>
    <row r="12082" spans="1:15" x14ac:dyDescent="0.25">
      <c r="A12082" s="786" t="s">
        <v>21537</v>
      </c>
      <c r="B12082" s="787">
        <v>4</v>
      </c>
      <c r="C12082" s="787" t="s">
        <v>21538</v>
      </c>
      <c r="D12082" s="787">
        <v>0</v>
      </c>
      <c r="E12082" s="787">
        <v>0</v>
      </c>
      <c r="H12082" s="787">
        <v>1</v>
      </c>
      <c r="I12082" s="788">
        <v>42152</v>
      </c>
      <c r="J12082" s="788">
        <v>41967</v>
      </c>
      <c r="K12082" s="788">
        <v>41234</v>
      </c>
      <c r="L12082" s="787">
        <v>1</v>
      </c>
      <c r="M12082" s="787">
        <v>20</v>
      </c>
      <c r="N12082" s="787">
        <v>1.08</v>
      </c>
      <c r="O12082" s="788">
        <v>42146</v>
      </c>
    </row>
    <row r="12083" spans="1:15" x14ac:dyDescent="0.25">
      <c r="A12083" s="786" t="s">
        <v>21539</v>
      </c>
      <c r="B12083" s="787">
        <v>4</v>
      </c>
      <c r="C12083" s="787" t="s">
        <v>21540</v>
      </c>
      <c r="D12083" s="787">
        <v>0</v>
      </c>
      <c r="E12083" s="787">
        <v>0</v>
      </c>
      <c r="H12083" s="787">
        <v>1</v>
      </c>
      <c r="I12083" s="788">
        <v>42152</v>
      </c>
      <c r="J12083" s="788">
        <v>41967</v>
      </c>
      <c r="K12083" s="788">
        <v>41234</v>
      </c>
      <c r="L12083" s="787">
        <v>1</v>
      </c>
      <c r="M12083" s="787">
        <v>20</v>
      </c>
      <c r="N12083" s="787">
        <v>1.08</v>
      </c>
      <c r="O12083" s="788">
        <v>42146</v>
      </c>
    </row>
    <row r="12084" spans="1:15" x14ac:dyDescent="0.25">
      <c r="A12084" s="786" t="s">
        <v>21541</v>
      </c>
      <c r="B12084" s="787">
        <v>4</v>
      </c>
      <c r="C12084" s="787" t="s">
        <v>21542</v>
      </c>
      <c r="D12084" s="787">
        <v>8.07</v>
      </c>
      <c r="E12084" s="787">
        <v>488.57</v>
      </c>
      <c r="F12084" s="788">
        <v>41596</v>
      </c>
      <c r="G12084" s="788">
        <v>41663</v>
      </c>
      <c r="H12084" s="787">
        <v>1</v>
      </c>
      <c r="I12084" s="788">
        <v>41894</v>
      </c>
      <c r="J12084" s="788">
        <v>41654</v>
      </c>
      <c r="K12084" s="788">
        <v>41606</v>
      </c>
      <c r="L12084" s="787">
        <v>480.12</v>
      </c>
      <c r="M12084" s="787">
        <v>20</v>
      </c>
      <c r="N12084" s="787">
        <v>516.13</v>
      </c>
      <c r="O12084" s="788">
        <v>41858</v>
      </c>
    </row>
    <row r="12085" spans="1:15" x14ac:dyDescent="0.25">
      <c r="A12085" s="786" t="s">
        <v>21543</v>
      </c>
      <c r="B12085" s="787">
        <v>4</v>
      </c>
      <c r="C12085" s="787" t="s">
        <v>21544</v>
      </c>
      <c r="D12085" s="787">
        <v>8.23</v>
      </c>
      <c r="E12085" s="787">
        <v>8.23</v>
      </c>
      <c r="F12085" s="788">
        <v>41654</v>
      </c>
      <c r="G12085" s="788">
        <v>41663</v>
      </c>
      <c r="H12085" s="787">
        <v>1</v>
      </c>
      <c r="I12085" s="788">
        <v>42058</v>
      </c>
      <c r="J12085" s="788">
        <v>42058</v>
      </c>
      <c r="K12085" s="788">
        <v>42122</v>
      </c>
      <c r="L12085" s="787">
        <v>8.6300000000000008</v>
      </c>
      <c r="M12085" s="787">
        <v>20</v>
      </c>
      <c r="N12085" s="787">
        <v>8.6300000000000008</v>
      </c>
      <c r="O12085" s="788">
        <v>41858</v>
      </c>
    </row>
    <row r="12086" spans="1:15" x14ac:dyDescent="0.25">
      <c r="A12086" s="786" t="s">
        <v>21545</v>
      </c>
      <c r="B12086" s="787">
        <v>4</v>
      </c>
      <c r="C12086" s="787" t="s">
        <v>21546</v>
      </c>
      <c r="D12086" s="787">
        <v>3.32</v>
      </c>
      <c r="E12086" s="787">
        <v>3.32</v>
      </c>
      <c r="F12086" s="788">
        <v>41654</v>
      </c>
      <c r="G12086" s="788">
        <v>41663</v>
      </c>
      <c r="H12086" s="787">
        <v>1</v>
      </c>
      <c r="I12086" s="788">
        <v>42058</v>
      </c>
      <c r="J12086" s="788">
        <v>42058</v>
      </c>
      <c r="K12086" s="788">
        <v>41969</v>
      </c>
      <c r="L12086" s="787">
        <v>3.36</v>
      </c>
      <c r="M12086" s="787">
        <v>20</v>
      </c>
      <c r="N12086" s="787">
        <v>3.48</v>
      </c>
      <c r="O12086" s="788">
        <v>41858</v>
      </c>
    </row>
    <row r="12087" spans="1:15" x14ac:dyDescent="0.25">
      <c r="A12087" s="786" t="s">
        <v>21547</v>
      </c>
      <c r="B12087" s="787">
        <v>4</v>
      </c>
      <c r="C12087" s="787" t="s">
        <v>21548</v>
      </c>
      <c r="D12087" s="787">
        <v>1.7</v>
      </c>
      <c r="E12087" s="787">
        <v>11.7</v>
      </c>
      <c r="F12087" s="788">
        <v>41654</v>
      </c>
      <c r="G12087" s="788">
        <v>41663</v>
      </c>
      <c r="H12087" s="787">
        <v>1</v>
      </c>
      <c r="J12087" s="788">
        <v>41654</v>
      </c>
      <c r="K12087" s="788">
        <v>41648</v>
      </c>
      <c r="L12087" s="787">
        <v>11.41</v>
      </c>
      <c r="M12087" s="787">
        <v>20</v>
      </c>
      <c r="N12087" s="787">
        <v>12.27</v>
      </c>
      <c r="O12087" s="788">
        <v>41858</v>
      </c>
    </row>
    <row r="12088" spans="1:15" x14ac:dyDescent="0.25">
      <c r="A12088" s="786" t="s">
        <v>21549</v>
      </c>
      <c r="B12088" s="787">
        <v>4</v>
      </c>
      <c r="C12088" s="787" t="s">
        <v>21550</v>
      </c>
      <c r="D12088" s="787">
        <v>1.35</v>
      </c>
      <c r="E12088" s="787">
        <v>1.35</v>
      </c>
      <c r="F12088" s="788">
        <v>41654</v>
      </c>
      <c r="G12088" s="788">
        <v>41663</v>
      </c>
      <c r="H12088" s="787">
        <v>1</v>
      </c>
      <c r="J12088" s="788">
        <v>41654</v>
      </c>
      <c r="K12088" s="788">
        <v>41869</v>
      </c>
      <c r="L12088" s="787">
        <v>1.35</v>
      </c>
      <c r="M12088" s="787">
        <v>20</v>
      </c>
      <c r="N12088" s="787">
        <v>1.45</v>
      </c>
      <c r="O12088" s="788">
        <v>41996</v>
      </c>
    </row>
    <row r="12089" spans="1:15" x14ac:dyDescent="0.25">
      <c r="A12089" s="786" t="s">
        <v>21551</v>
      </c>
      <c r="B12089" s="787">
        <v>4</v>
      </c>
      <c r="C12089" s="787" t="s">
        <v>21552</v>
      </c>
      <c r="D12089" s="787">
        <v>8.66</v>
      </c>
      <c r="E12089" s="787">
        <v>8.66</v>
      </c>
      <c r="F12089" s="788">
        <v>41654</v>
      </c>
      <c r="G12089" s="788">
        <v>41663</v>
      </c>
      <c r="H12089" s="787">
        <v>1</v>
      </c>
      <c r="J12089" s="788">
        <v>41654</v>
      </c>
      <c r="K12089" s="788">
        <v>41648</v>
      </c>
      <c r="L12089" s="787">
        <v>8.4499999999999993</v>
      </c>
      <c r="M12089" s="787">
        <v>20</v>
      </c>
      <c r="N12089" s="787">
        <v>9.08</v>
      </c>
      <c r="O12089" s="788">
        <v>41858</v>
      </c>
    </row>
    <row r="12090" spans="1:15" x14ac:dyDescent="0.25">
      <c r="A12090" s="786" t="s">
        <v>21553</v>
      </c>
      <c r="B12090" s="787">
        <v>4</v>
      </c>
      <c r="C12090" s="787" t="s">
        <v>21353</v>
      </c>
      <c r="D12090" s="787">
        <v>1.5</v>
      </c>
      <c r="E12090" s="787">
        <v>1.5</v>
      </c>
      <c r="F12090" s="788">
        <v>41654</v>
      </c>
      <c r="G12090" s="788">
        <v>41663</v>
      </c>
      <c r="H12090" s="787">
        <v>1</v>
      </c>
      <c r="J12090" s="788">
        <v>41654</v>
      </c>
      <c r="K12090" s="788">
        <v>41648</v>
      </c>
      <c r="L12090" s="787">
        <v>1.46</v>
      </c>
      <c r="M12090" s="787">
        <v>20</v>
      </c>
      <c r="N12090" s="787">
        <v>1.57</v>
      </c>
      <c r="O12090" s="788">
        <v>41858</v>
      </c>
    </row>
    <row r="12091" spans="1:15" x14ac:dyDescent="0.25">
      <c r="A12091" s="786" t="s">
        <v>21554</v>
      </c>
      <c r="B12091" s="787">
        <v>4</v>
      </c>
      <c r="C12091" s="787" t="s">
        <v>21555</v>
      </c>
      <c r="D12091" s="787">
        <v>4.67</v>
      </c>
      <c r="E12091" s="787">
        <v>14.67</v>
      </c>
      <c r="F12091" s="788">
        <v>41654</v>
      </c>
      <c r="G12091" s="788">
        <v>41663</v>
      </c>
      <c r="H12091" s="787">
        <v>1</v>
      </c>
      <c r="J12091" s="788">
        <v>41654</v>
      </c>
      <c r="K12091" s="788">
        <v>41648</v>
      </c>
      <c r="L12091" s="787">
        <v>14.31</v>
      </c>
      <c r="M12091" s="787">
        <v>20</v>
      </c>
      <c r="N12091" s="787">
        <v>15.38</v>
      </c>
      <c r="O12091" s="788">
        <v>41858</v>
      </c>
    </row>
    <row r="12092" spans="1:15" x14ac:dyDescent="0.25">
      <c r="A12092" s="786" t="s">
        <v>21556</v>
      </c>
      <c r="B12092" s="787">
        <v>4</v>
      </c>
      <c r="C12092" s="787" t="s">
        <v>21557</v>
      </c>
      <c r="D12092" s="787">
        <v>5.52</v>
      </c>
      <c r="E12092" s="787">
        <v>5.52</v>
      </c>
      <c r="F12092" s="788">
        <v>41654</v>
      </c>
      <c r="G12092" s="788">
        <v>41663</v>
      </c>
      <c r="H12092" s="787">
        <v>1</v>
      </c>
      <c r="J12092" s="788">
        <v>41654</v>
      </c>
      <c r="K12092" s="788">
        <v>41648</v>
      </c>
      <c r="L12092" s="787">
        <v>5.38</v>
      </c>
      <c r="M12092" s="787">
        <v>20</v>
      </c>
      <c r="N12092" s="787">
        <v>5.78</v>
      </c>
      <c r="O12092" s="788">
        <v>41858</v>
      </c>
    </row>
    <row r="12093" spans="1:15" x14ac:dyDescent="0.25">
      <c r="A12093" s="786" t="s">
        <v>21558</v>
      </c>
      <c r="B12093" s="787">
        <v>4</v>
      </c>
      <c r="C12093" s="787" t="s">
        <v>21559</v>
      </c>
      <c r="D12093" s="787">
        <v>3.23</v>
      </c>
      <c r="E12093" s="787">
        <v>3.23</v>
      </c>
      <c r="F12093" s="788">
        <v>41654</v>
      </c>
      <c r="G12093" s="788">
        <v>41663</v>
      </c>
      <c r="H12093" s="787">
        <v>1</v>
      </c>
      <c r="J12093" s="788">
        <v>41654</v>
      </c>
      <c r="K12093" s="788">
        <v>41627</v>
      </c>
      <c r="L12093" s="787">
        <v>4.5</v>
      </c>
      <c r="M12093" s="787">
        <v>20</v>
      </c>
      <c r="N12093" s="787">
        <v>4.84</v>
      </c>
      <c r="O12093" s="788">
        <v>41858</v>
      </c>
    </row>
    <row r="12094" spans="1:15" x14ac:dyDescent="0.25">
      <c r="A12094" s="786" t="s">
        <v>21560</v>
      </c>
      <c r="B12094" s="787">
        <v>4</v>
      </c>
      <c r="C12094" s="787" t="s">
        <v>21561</v>
      </c>
      <c r="D12094" s="787">
        <v>0</v>
      </c>
      <c r="E12094" s="787">
        <v>0</v>
      </c>
      <c r="H12094" s="787">
        <v>1</v>
      </c>
      <c r="K12094" s="788">
        <v>41669</v>
      </c>
      <c r="L12094" s="787">
        <v>67.81</v>
      </c>
      <c r="M12094" s="787">
        <v>20</v>
      </c>
      <c r="N12094" s="787">
        <v>72.900000000000006</v>
      </c>
      <c r="O12094" s="788">
        <v>41858</v>
      </c>
    </row>
    <row r="12095" spans="1:15" x14ac:dyDescent="0.25">
      <c r="A12095" s="786" t="s">
        <v>21562</v>
      </c>
      <c r="B12095" s="787">
        <v>4</v>
      </c>
      <c r="C12095" s="787" t="s">
        <v>21563</v>
      </c>
      <c r="D12095" s="787">
        <v>4.55</v>
      </c>
      <c r="E12095" s="787">
        <v>134.55000000000001</v>
      </c>
      <c r="F12095" s="788">
        <v>41712</v>
      </c>
      <c r="G12095" s="788">
        <v>41723</v>
      </c>
      <c r="H12095" s="787">
        <v>1</v>
      </c>
      <c r="I12095" s="788">
        <v>41990</v>
      </c>
      <c r="J12095" s="788">
        <v>41712</v>
      </c>
      <c r="K12095" s="788">
        <v>41698</v>
      </c>
      <c r="L12095" s="787">
        <v>123.05</v>
      </c>
      <c r="M12095" s="787">
        <v>20</v>
      </c>
      <c r="N12095" s="787">
        <v>132.28</v>
      </c>
      <c r="O12095" s="788">
        <v>41858</v>
      </c>
    </row>
    <row r="12096" spans="1:15" x14ac:dyDescent="0.25">
      <c r="A12096" s="786" t="s">
        <v>21564</v>
      </c>
      <c r="B12096" s="787">
        <v>4</v>
      </c>
      <c r="C12096" s="787" t="s">
        <v>21565</v>
      </c>
      <c r="D12096" s="787">
        <v>0</v>
      </c>
      <c r="E12096" s="787">
        <v>0</v>
      </c>
      <c r="H12096" s="787">
        <v>1</v>
      </c>
      <c r="K12096" s="788">
        <v>41969</v>
      </c>
      <c r="L12096" s="787">
        <v>43.46</v>
      </c>
      <c r="M12096" s="787">
        <v>20</v>
      </c>
      <c r="N12096" s="787">
        <v>91.38</v>
      </c>
      <c r="O12096" s="788">
        <v>41969</v>
      </c>
    </row>
    <row r="12097" spans="1:15" x14ac:dyDescent="0.25">
      <c r="A12097" s="786" t="s">
        <v>21566</v>
      </c>
      <c r="B12097" s="787">
        <v>4</v>
      </c>
      <c r="C12097" s="787" t="s">
        <v>21567</v>
      </c>
      <c r="D12097" s="787">
        <v>1.72</v>
      </c>
      <c r="E12097" s="787">
        <v>111.72</v>
      </c>
      <c r="F12097" s="788">
        <v>42069</v>
      </c>
      <c r="G12097" s="788">
        <v>42074</v>
      </c>
      <c r="H12097" s="787">
        <v>1</v>
      </c>
      <c r="I12097" s="788">
        <v>42069</v>
      </c>
      <c r="J12097" s="788">
        <v>42061</v>
      </c>
      <c r="K12097" s="788">
        <v>42045</v>
      </c>
      <c r="L12097" s="787">
        <v>101.72</v>
      </c>
      <c r="M12097" s="787">
        <v>20</v>
      </c>
      <c r="N12097" s="787">
        <v>109.35</v>
      </c>
      <c r="O12097" s="788">
        <v>42045</v>
      </c>
    </row>
    <row r="12098" spans="1:15" x14ac:dyDescent="0.25">
      <c r="A12098" s="786" t="s">
        <v>21568</v>
      </c>
      <c r="B12098" s="787">
        <v>4</v>
      </c>
      <c r="C12098" s="787" t="s">
        <v>21569</v>
      </c>
      <c r="D12098" s="787">
        <v>0</v>
      </c>
      <c r="E12098" s="787">
        <v>0</v>
      </c>
      <c r="H12098" s="787">
        <v>1</v>
      </c>
      <c r="K12098" s="788">
        <v>42160</v>
      </c>
      <c r="L12098" s="787">
        <v>92.74</v>
      </c>
      <c r="M12098" s="787">
        <v>20</v>
      </c>
      <c r="N12098" s="787">
        <v>0</v>
      </c>
    </row>
    <row r="12099" spans="1:15" x14ac:dyDescent="0.25">
      <c r="A12099" s="786" t="s">
        <v>21570</v>
      </c>
      <c r="B12099" s="787">
        <v>4</v>
      </c>
      <c r="C12099" s="787" t="s">
        <v>21571</v>
      </c>
      <c r="D12099" s="787">
        <v>5.19</v>
      </c>
      <c r="E12099" s="787">
        <v>25.19</v>
      </c>
      <c r="F12099" s="788">
        <v>41981</v>
      </c>
      <c r="G12099" s="788">
        <v>42008</v>
      </c>
      <c r="H12099" s="787">
        <v>1</v>
      </c>
      <c r="J12099" s="788">
        <v>41978</v>
      </c>
      <c r="K12099" s="788">
        <v>41970</v>
      </c>
      <c r="L12099" s="787">
        <v>17.27</v>
      </c>
      <c r="M12099" s="787">
        <v>20</v>
      </c>
      <c r="N12099" s="787">
        <v>18.57</v>
      </c>
      <c r="O12099" s="788">
        <v>41972</v>
      </c>
    </row>
    <row r="12100" spans="1:15" x14ac:dyDescent="0.25">
      <c r="A12100" s="786" t="s">
        <v>21572</v>
      </c>
      <c r="B12100" s="787">
        <v>4</v>
      </c>
      <c r="C12100" s="787" t="s">
        <v>21573</v>
      </c>
      <c r="D12100" s="787">
        <v>8.23</v>
      </c>
      <c r="E12100" s="787">
        <v>8.23</v>
      </c>
      <c r="F12100" s="788">
        <v>41981</v>
      </c>
      <c r="G12100" s="788">
        <v>42008</v>
      </c>
      <c r="H12100" s="787">
        <v>1</v>
      </c>
      <c r="J12100" s="788">
        <v>41978</v>
      </c>
      <c r="K12100" s="788">
        <v>41970</v>
      </c>
      <c r="L12100" s="787">
        <v>5.64</v>
      </c>
      <c r="M12100" s="787">
        <v>20</v>
      </c>
      <c r="N12100" s="787">
        <v>6.06</v>
      </c>
      <c r="O12100" s="788">
        <v>41972</v>
      </c>
    </row>
    <row r="12101" spans="1:15" x14ac:dyDescent="0.25">
      <c r="A12101" s="786" t="s">
        <v>21574</v>
      </c>
      <c r="B12101" s="787">
        <v>4</v>
      </c>
      <c r="C12101" s="787" t="s">
        <v>21575</v>
      </c>
      <c r="D12101" s="787">
        <v>0.42</v>
      </c>
      <c r="E12101" s="787">
        <v>280.42</v>
      </c>
      <c r="F12101" s="788">
        <v>42075</v>
      </c>
      <c r="G12101" s="788">
        <v>42073</v>
      </c>
      <c r="H12101" s="787">
        <v>1</v>
      </c>
      <c r="J12101" s="788">
        <v>42073</v>
      </c>
      <c r="K12101" s="788">
        <v>42054</v>
      </c>
      <c r="L12101" s="787">
        <v>280.42</v>
      </c>
      <c r="M12101" s="787">
        <v>20</v>
      </c>
      <c r="N12101" s="787">
        <v>301.45</v>
      </c>
      <c r="O12101" s="788">
        <v>42054</v>
      </c>
    </row>
    <row r="12102" spans="1:15" x14ac:dyDescent="0.25">
      <c r="A12102" s="786" t="s">
        <v>21576</v>
      </c>
      <c r="B12102" s="787">
        <v>4</v>
      </c>
      <c r="C12102" s="787" t="s">
        <v>21577</v>
      </c>
      <c r="D12102" s="787">
        <v>7.77</v>
      </c>
      <c r="E12102" s="787">
        <v>107.77</v>
      </c>
      <c r="F12102" s="788">
        <v>42143</v>
      </c>
      <c r="G12102" s="788">
        <v>42156</v>
      </c>
      <c r="H12102" s="787">
        <v>1</v>
      </c>
      <c r="J12102" s="788">
        <v>42137</v>
      </c>
      <c r="K12102" s="788">
        <v>42123</v>
      </c>
      <c r="L12102" s="787">
        <v>103.27</v>
      </c>
      <c r="M12102" s="787">
        <v>20</v>
      </c>
      <c r="N12102" s="787">
        <v>0</v>
      </c>
    </row>
    <row r="12103" spans="1:15" x14ac:dyDescent="0.25">
      <c r="A12103" s="786" t="s">
        <v>21578</v>
      </c>
      <c r="B12103" s="787">
        <v>4</v>
      </c>
      <c r="C12103" s="787" t="s">
        <v>21579</v>
      </c>
      <c r="D12103" s="787">
        <v>7.91</v>
      </c>
      <c r="E12103" s="787">
        <v>97.91</v>
      </c>
      <c r="F12103" s="788">
        <v>42136</v>
      </c>
      <c r="G12103" s="788">
        <v>42156</v>
      </c>
      <c r="H12103" s="787">
        <v>1</v>
      </c>
      <c r="J12103" s="788">
        <v>42132</v>
      </c>
      <c r="K12103" s="788">
        <v>42114</v>
      </c>
      <c r="L12103" s="787">
        <v>94.07</v>
      </c>
      <c r="M12103" s="787">
        <v>20</v>
      </c>
      <c r="N12103" s="787">
        <v>0</v>
      </c>
    </row>
    <row r="12104" spans="1:15" x14ac:dyDescent="0.25">
      <c r="A12104" s="786" t="s">
        <v>21580</v>
      </c>
      <c r="B12104" s="787">
        <v>4</v>
      </c>
      <c r="C12104" s="787" t="s">
        <v>21581</v>
      </c>
      <c r="D12104" s="787">
        <v>1.23</v>
      </c>
      <c r="E12104" s="787">
        <v>111.23</v>
      </c>
      <c r="F12104" s="788">
        <v>41974</v>
      </c>
      <c r="G12104" s="788">
        <v>41971</v>
      </c>
      <c r="H12104" s="787">
        <v>1</v>
      </c>
      <c r="J12104" s="788">
        <v>41971</v>
      </c>
      <c r="L12104" s="787">
        <v>110</v>
      </c>
      <c r="M12104" s="787">
        <v>20</v>
      </c>
      <c r="N12104" s="787">
        <v>0</v>
      </c>
    </row>
    <row r="12105" spans="1:15" x14ac:dyDescent="0.25">
      <c r="A12105" s="786" t="s">
        <v>21582</v>
      </c>
      <c r="B12105" s="787">
        <v>4</v>
      </c>
      <c r="C12105" s="787" t="s">
        <v>21583</v>
      </c>
      <c r="D12105" s="787">
        <v>7.59</v>
      </c>
      <c r="E12105" s="787">
        <v>117.59</v>
      </c>
      <c r="F12105" s="788">
        <v>41974</v>
      </c>
      <c r="G12105" s="788">
        <v>41976</v>
      </c>
      <c r="H12105" s="787">
        <v>1</v>
      </c>
      <c r="J12105" s="788">
        <v>41968</v>
      </c>
      <c r="K12105" s="788">
        <v>41956</v>
      </c>
      <c r="L12105" s="787">
        <v>106.09</v>
      </c>
      <c r="M12105" s="787">
        <v>20</v>
      </c>
      <c r="N12105" s="787">
        <v>0</v>
      </c>
    </row>
    <row r="12106" spans="1:15" x14ac:dyDescent="0.25">
      <c r="A12106" s="786" t="s">
        <v>21584</v>
      </c>
      <c r="B12106" s="787">
        <v>4</v>
      </c>
      <c r="C12106" s="787" t="s">
        <v>21585</v>
      </c>
      <c r="D12106" s="787">
        <v>5.79</v>
      </c>
      <c r="E12106" s="787">
        <v>115.79</v>
      </c>
      <c r="F12106" s="788">
        <v>41956</v>
      </c>
      <c r="G12106" s="788">
        <v>41977</v>
      </c>
      <c r="H12106" s="787">
        <v>1</v>
      </c>
      <c r="J12106" s="788">
        <v>41956</v>
      </c>
      <c r="K12106" s="788">
        <v>42121</v>
      </c>
      <c r="L12106" s="787">
        <v>115.79</v>
      </c>
      <c r="M12106" s="787">
        <v>20</v>
      </c>
      <c r="N12106" s="787">
        <v>0</v>
      </c>
    </row>
    <row r="12107" spans="1:15" x14ac:dyDescent="0.25">
      <c r="A12107" s="786" t="s">
        <v>21586</v>
      </c>
      <c r="B12107" s="787">
        <v>4</v>
      </c>
      <c r="C12107" s="787" t="s">
        <v>21587</v>
      </c>
      <c r="D12107" s="787">
        <v>1.6</v>
      </c>
      <c r="E12107" s="787">
        <v>151.6</v>
      </c>
      <c r="F12107" s="788">
        <v>41883</v>
      </c>
      <c r="G12107" s="788">
        <v>41883</v>
      </c>
      <c r="H12107" s="787">
        <v>1</v>
      </c>
      <c r="I12107" s="788">
        <v>41864</v>
      </c>
      <c r="J12107" s="788">
        <v>41880</v>
      </c>
      <c r="K12107" s="788">
        <v>41865</v>
      </c>
      <c r="L12107" s="787">
        <v>135.1</v>
      </c>
      <c r="M12107" s="787">
        <v>20</v>
      </c>
      <c r="N12107" s="787">
        <v>193.5</v>
      </c>
      <c r="O12107" s="788">
        <v>41864</v>
      </c>
    </row>
    <row r="12108" spans="1:15" x14ac:dyDescent="0.25">
      <c r="A12108" s="786" t="s">
        <v>21588</v>
      </c>
      <c r="B12108" s="787">
        <v>4</v>
      </c>
      <c r="C12108" s="787" t="s">
        <v>21589</v>
      </c>
      <c r="D12108" s="787">
        <v>6.59</v>
      </c>
      <c r="E12108" s="787">
        <v>106.59</v>
      </c>
      <c r="F12108" s="788">
        <v>41830</v>
      </c>
      <c r="G12108" s="788">
        <v>41837</v>
      </c>
      <c r="H12108" s="787">
        <v>1</v>
      </c>
      <c r="J12108" s="788">
        <v>41828</v>
      </c>
      <c r="K12108" s="788">
        <v>41795</v>
      </c>
      <c r="L12108" s="787">
        <v>96.59</v>
      </c>
      <c r="M12108" s="787">
        <v>20</v>
      </c>
      <c r="N12108" s="787">
        <v>103.83</v>
      </c>
      <c r="O12108" s="788">
        <v>41858</v>
      </c>
    </row>
    <row r="12109" spans="1:15" x14ac:dyDescent="0.25">
      <c r="A12109" s="786" t="s">
        <v>21590</v>
      </c>
      <c r="B12109" s="787">
        <v>4</v>
      </c>
      <c r="C12109" s="787" t="s">
        <v>21591</v>
      </c>
      <c r="D12109" s="787">
        <v>8.91</v>
      </c>
      <c r="E12109" s="787">
        <v>98.91</v>
      </c>
      <c r="F12109" s="788">
        <v>41743</v>
      </c>
      <c r="G12109" s="788">
        <v>41751</v>
      </c>
      <c r="H12109" s="787">
        <v>1</v>
      </c>
      <c r="J12109" s="788">
        <v>41740</v>
      </c>
      <c r="K12109" s="788">
        <v>41724</v>
      </c>
      <c r="L12109" s="787">
        <v>89.91</v>
      </c>
      <c r="M12109" s="787">
        <v>20</v>
      </c>
      <c r="N12109" s="787">
        <v>96.65</v>
      </c>
      <c r="O12109" s="788">
        <v>41858</v>
      </c>
    </row>
    <row r="12110" spans="1:15" x14ac:dyDescent="0.25">
      <c r="A12110" s="786" t="s">
        <v>21592</v>
      </c>
      <c r="B12110" s="787">
        <v>4</v>
      </c>
      <c r="C12110" s="787" t="s">
        <v>21593</v>
      </c>
      <c r="D12110" s="787">
        <v>9.93</v>
      </c>
      <c r="E12110" s="787">
        <v>109.93</v>
      </c>
      <c r="F12110" s="788">
        <v>41719</v>
      </c>
      <c r="G12110" s="788">
        <v>41726</v>
      </c>
      <c r="H12110" s="787">
        <v>1</v>
      </c>
      <c r="J12110" s="788">
        <v>41719</v>
      </c>
      <c r="K12110" s="788">
        <v>41703</v>
      </c>
      <c r="L12110" s="787">
        <v>99.93</v>
      </c>
      <c r="M12110" s="787">
        <v>20</v>
      </c>
      <c r="N12110" s="787">
        <v>107.42</v>
      </c>
      <c r="O12110" s="788">
        <v>41858</v>
      </c>
    </row>
    <row r="12111" spans="1:15" x14ac:dyDescent="0.25">
      <c r="A12111" s="786" t="s">
        <v>21594</v>
      </c>
      <c r="B12111" s="787">
        <v>4</v>
      </c>
      <c r="C12111" s="787" t="s">
        <v>21595</v>
      </c>
      <c r="D12111" s="787">
        <v>4.54</v>
      </c>
      <c r="E12111" s="787">
        <v>44.54</v>
      </c>
      <c r="F12111" s="788">
        <v>41654</v>
      </c>
      <c r="G12111" s="788">
        <v>41663</v>
      </c>
      <c r="H12111" s="787">
        <v>1</v>
      </c>
      <c r="I12111" s="788">
        <v>42058</v>
      </c>
      <c r="J12111" s="788">
        <v>42058</v>
      </c>
      <c r="K12111" s="788">
        <v>41648</v>
      </c>
      <c r="L12111" s="787">
        <v>43.46</v>
      </c>
      <c r="M12111" s="787">
        <v>20</v>
      </c>
      <c r="N12111" s="787">
        <v>46.72</v>
      </c>
      <c r="O12111" s="788">
        <v>41858</v>
      </c>
    </row>
    <row r="12112" spans="1:15" x14ac:dyDescent="0.25">
      <c r="A12112" s="786" t="s">
        <v>21596</v>
      </c>
      <c r="B12112" s="787">
        <v>4</v>
      </c>
      <c r="C12112" s="787" t="s">
        <v>21597</v>
      </c>
      <c r="D12112" s="787">
        <v>0.01</v>
      </c>
      <c r="E12112" s="789">
        <v>2713.65</v>
      </c>
      <c r="F12112" s="788">
        <v>41085</v>
      </c>
      <c r="G12112" s="788">
        <v>42166</v>
      </c>
      <c r="H12112" s="787">
        <v>1</v>
      </c>
      <c r="I12112" s="788">
        <v>42107</v>
      </c>
      <c r="J12112" s="788">
        <v>42166</v>
      </c>
      <c r="L12112" s="787">
        <v>730.25</v>
      </c>
      <c r="M12112" s="787">
        <v>20</v>
      </c>
      <c r="N12112" s="787">
        <v>785.02</v>
      </c>
      <c r="O12112" s="788">
        <v>41858</v>
      </c>
    </row>
    <row r="12113" spans="1:15" x14ac:dyDescent="0.25">
      <c r="A12113" s="786" t="s">
        <v>21596</v>
      </c>
      <c r="B12113" s="787" t="s">
        <v>4399</v>
      </c>
      <c r="C12113" s="787" t="s">
        <v>21597</v>
      </c>
      <c r="D12113" s="787">
        <v>1.48</v>
      </c>
      <c r="E12113" s="787">
        <v>1.48</v>
      </c>
      <c r="F12113" s="788">
        <v>41629</v>
      </c>
      <c r="G12113" s="788">
        <v>41642</v>
      </c>
      <c r="H12113" s="787">
        <v>1</v>
      </c>
      <c r="J12113" s="788">
        <v>41596</v>
      </c>
      <c r="K12113" s="788">
        <v>41200</v>
      </c>
      <c r="L12113" s="787">
        <v>1.48</v>
      </c>
      <c r="M12113" s="787">
        <v>20</v>
      </c>
      <c r="N12113" s="787">
        <v>1.59</v>
      </c>
      <c r="O12113" s="788">
        <v>41858</v>
      </c>
    </row>
    <row r="12114" spans="1:15" x14ac:dyDescent="0.25">
      <c r="A12114" s="786" t="s">
        <v>21596</v>
      </c>
      <c r="B12114" s="787" t="s">
        <v>21598</v>
      </c>
      <c r="C12114" s="787" t="s">
        <v>21597</v>
      </c>
      <c r="D12114" s="787">
        <v>2.6</v>
      </c>
      <c r="E12114" s="787">
        <v>5.25</v>
      </c>
      <c r="F12114" s="788">
        <v>41660</v>
      </c>
      <c r="G12114" s="788">
        <v>42125</v>
      </c>
      <c r="H12114" s="787">
        <v>1</v>
      </c>
      <c r="J12114" s="788">
        <v>42067</v>
      </c>
      <c r="K12114" s="788">
        <v>41200</v>
      </c>
      <c r="L12114" s="787">
        <v>5.15</v>
      </c>
      <c r="M12114" s="787">
        <v>20</v>
      </c>
      <c r="N12114" s="787">
        <v>5.54</v>
      </c>
      <c r="O12114" s="788">
        <v>41858</v>
      </c>
    </row>
    <row r="12115" spans="1:15" x14ac:dyDescent="0.25">
      <c r="A12115" s="786" t="s">
        <v>21596</v>
      </c>
      <c r="B12115" s="787" t="s">
        <v>4400</v>
      </c>
      <c r="C12115" s="787" t="s">
        <v>21597</v>
      </c>
      <c r="D12115" s="787">
        <v>0.1</v>
      </c>
      <c r="E12115" s="787">
        <v>7.91</v>
      </c>
      <c r="F12115" s="788">
        <v>41768</v>
      </c>
      <c r="G12115" s="788">
        <v>42166</v>
      </c>
      <c r="H12115" s="787">
        <v>1</v>
      </c>
      <c r="J12115" s="788">
        <v>42166</v>
      </c>
      <c r="K12115" s="788">
        <v>41865</v>
      </c>
      <c r="L12115" s="787">
        <v>0.11</v>
      </c>
      <c r="M12115" s="787">
        <v>20</v>
      </c>
      <c r="N12115" s="787">
        <v>0.01</v>
      </c>
      <c r="O12115" s="788">
        <v>41858</v>
      </c>
    </row>
    <row r="12116" spans="1:15" x14ac:dyDescent="0.25">
      <c r="A12116" s="786" t="s">
        <v>21596</v>
      </c>
      <c r="B12116" s="787" t="s">
        <v>4970</v>
      </c>
      <c r="C12116" s="787" t="s">
        <v>21597</v>
      </c>
      <c r="D12116" s="787">
        <v>7.0000000000000007E-2</v>
      </c>
      <c r="E12116" s="787">
        <v>3.13</v>
      </c>
      <c r="F12116" s="788">
        <v>41010</v>
      </c>
      <c r="G12116" s="788">
        <v>42157</v>
      </c>
      <c r="H12116" s="787">
        <v>1</v>
      </c>
      <c r="J12116" s="788">
        <v>42157</v>
      </c>
      <c r="L12116" s="787">
        <v>2.5099999999999998</v>
      </c>
      <c r="M12116" s="787">
        <v>20</v>
      </c>
      <c r="N12116" s="787">
        <v>2.7</v>
      </c>
      <c r="O12116" s="788">
        <v>41858</v>
      </c>
    </row>
    <row r="12117" spans="1:15" x14ac:dyDescent="0.25">
      <c r="A12117" s="786" t="s">
        <v>21596</v>
      </c>
      <c r="B12117" s="787" t="s">
        <v>21599</v>
      </c>
      <c r="C12117" s="787" t="s">
        <v>21597</v>
      </c>
      <c r="D12117" s="787">
        <v>0</v>
      </c>
      <c r="E12117" s="787">
        <v>0</v>
      </c>
      <c r="H12117" s="787">
        <v>1</v>
      </c>
      <c r="K12117" s="788">
        <v>41200</v>
      </c>
      <c r="L12117" s="787">
        <v>0.01</v>
      </c>
      <c r="M12117" s="787">
        <v>20</v>
      </c>
      <c r="N12117" s="787">
        <v>0.01</v>
      </c>
      <c r="O12117" s="788">
        <v>41858</v>
      </c>
    </row>
    <row r="12118" spans="1:15" x14ac:dyDescent="0.25">
      <c r="A12118" s="786" t="s">
        <v>21596</v>
      </c>
      <c r="B12118" s="787" t="s">
        <v>21600</v>
      </c>
      <c r="C12118" s="787" t="s">
        <v>21597</v>
      </c>
      <c r="D12118" s="787">
        <v>0</v>
      </c>
      <c r="E12118" s="787">
        <v>0</v>
      </c>
      <c r="H12118" s="787">
        <v>6</v>
      </c>
      <c r="K12118" s="788">
        <v>41200</v>
      </c>
      <c r="L12118" s="787">
        <v>0.01</v>
      </c>
      <c r="M12118" s="787">
        <v>20</v>
      </c>
      <c r="N12118" s="787">
        <v>0.01</v>
      </c>
      <c r="O12118" s="788">
        <v>41858</v>
      </c>
    </row>
    <row r="12119" spans="1:15" x14ac:dyDescent="0.25">
      <c r="A12119" s="786" t="s">
        <v>21596</v>
      </c>
      <c r="B12119" s="787" t="s">
        <v>4971</v>
      </c>
      <c r="C12119" s="787" t="s">
        <v>21597</v>
      </c>
      <c r="D12119" s="787">
        <v>0</v>
      </c>
      <c r="E12119" s="787">
        <v>0</v>
      </c>
      <c r="H12119" s="787">
        <v>1</v>
      </c>
      <c r="K12119" s="788">
        <v>41200</v>
      </c>
      <c r="L12119" s="787">
        <v>0.01</v>
      </c>
      <c r="M12119" s="787">
        <v>20</v>
      </c>
      <c r="N12119" s="787">
        <v>0.01</v>
      </c>
      <c r="O12119" s="788">
        <v>41858</v>
      </c>
    </row>
    <row r="12120" spans="1:15" x14ac:dyDescent="0.25">
      <c r="A12120" s="786" t="s">
        <v>21601</v>
      </c>
      <c r="B12120" s="787">
        <v>4</v>
      </c>
      <c r="C12120" s="787" t="s">
        <v>21602</v>
      </c>
      <c r="D12120" s="787">
        <v>0</v>
      </c>
      <c r="E12120" s="787">
        <v>0</v>
      </c>
      <c r="H12120" s="787">
        <v>1</v>
      </c>
      <c r="I12120" s="788">
        <v>39232</v>
      </c>
      <c r="J12120" s="788">
        <v>39101</v>
      </c>
      <c r="L12120" s="787">
        <v>0</v>
      </c>
      <c r="M12120" s="787">
        <v>10</v>
      </c>
      <c r="N12120" s="787">
        <v>0</v>
      </c>
      <c r="O12120" s="788">
        <v>41858</v>
      </c>
    </row>
    <row r="12121" spans="1:15" x14ac:dyDescent="0.25">
      <c r="A12121" s="786" t="s">
        <v>21603</v>
      </c>
      <c r="B12121" s="787">
        <v>4</v>
      </c>
      <c r="C12121" s="787" t="s">
        <v>21604</v>
      </c>
      <c r="D12121" s="787">
        <v>0.26</v>
      </c>
      <c r="E12121" s="787">
        <v>0.24</v>
      </c>
      <c r="F12121" s="788">
        <v>37649</v>
      </c>
      <c r="G12121" s="788">
        <v>37649</v>
      </c>
      <c r="H12121" s="787">
        <v>1</v>
      </c>
      <c r="I12121" s="788">
        <v>37454</v>
      </c>
      <c r="J12121" s="788">
        <v>37649</v>
      </c>
      <c r="L12121" s="787">
        <v>0.26</v>
      </c>
      <c r="M12121" s="787">
        <v>20</v>
      </c>
      <c r="N12121" s="787">
        <v>0.28000000000000003</v>
      </c>
      <c r="O12121" s="788">
        <v>41858</v>
      </c>
    </row>
    <row r="12122" spans="1:15" x14ac:dyDescent="0.25">
      <c r="A12122" s="786" t="s">
        <v>21605</v>
      </c>
      <c r="B12122" s="787">
        <v>4</v>
      </c>
      <c r="C12122" s="787" t="s">
        <v>21606</v>
      </c>
      <c r="D12122" s="787">
        <v>0.38</v>
      </c>
      <c r="E12122" s="787">
        <v>0.38</v>
      </c>
      <c r="F12122" s="788">
        <v>38047</v>
      </c>
      <c r="G12122" s="788">
        <v>38047</v>
      </c>
      <c r="H12122" s="787">
        <v>1</v>
      </c>
      <c r="I12122" s="788">
        <v>37540</v>
      </c>
      <c r="J12122" s="788">
        <v>38047</v>
      </c>
      <c r="L12122" s="787">
        <v>0.41</v>
      </c>
      <c r="M12122" s="787">
        <v>20</v>
      </c>
      <c r="N12122" s="787">
        <v>0.44</v>
      </c>
      <c r="O12122" s="788">
        <v>41858</v>
      </c>
    </row>
    <row r="12123" spans="1:15" x14ac:dyDescent="0.25">
      <c r="A12123" s="786" t="s">
        <v>21607</v>
      </c>
      <c r="B12123" s="787">
        <v>4</v>
      </c>
      <c r="C12123" s="787" t="s">
        <v>21608</v>
      </c>
      <c r="D12123" s="787">
        <v>6.63</v>
      </c>
      <c r="E12123" s="787">
        <v>7.33</v>
      </c>
      <c r="F12123" s="788">
        <v>42024</v>
      </c>
      <c r="G12123" s="788">
        <v>42125</v>
      </c>
      <c r="H12123" s="787">
        <v>1</v>
      </c>
      <c r="I12123" s="788">
        <v>42164</v>
      </c>
      <c r="J12123" s="788">
        <v>42090</v>
      </c>
      <c r="K12123" s="788">
        <v>42019</v>
      </c>
      <c r="L12123" s="787">
        <v>3.96</v>
      </c>
      <c r="M12123" s="787">
        <v>20</v>
      </c>
      <c r="N12123" s="787">
        <v>4.26</v>
      </c>
      <c r="O12123" s="788">
        <v>42164</v>
      </c>
    </row>
    <row r="12124" spans="1:15" x14ac:dyDescent="0.25">
      <c r="A12124" s="786" t="s">
        <v>21609</v>
      </c>
      <c r="B12124" s="787">
        <v>4</v>
      </c>
      <c r="C12124" s="787" t="s">
        <v>21610</v>
      </c>
      <c r="D12124" s="787">
        <v>0.09</v>
      </c>
      <c r="E12124" s="787">
        <v>0.09</v>
      </c>
      <c r="F12124" s="788">
        <v>39101</v>
      </c>
      <c r="G12124" s="788">
        <v>39101</v>
      </c>
      <c r="H12124" s="787">
        <v>1</v>
      </c>
      <c r="I12124" s="788">
        <v>39384</v>
      </c>
      <c r="J12124" s="788">
        <v>39149</v>
      </c>
      <c r="L12124" s="787">
        <v>0.1</v>
      </c>
      <c r="M12124" s="787">
        <v>20</v>
      </c>
      <c r="N12124" s="787">
        <v>0.11</v>
      </c>
      <c r="O12124" s="788">
        <v>41858</v>
      </c>
    </row>
    <row r="12125" spans="1:15" x14ac:dyDescent="0.25">
      <c r="A12125" s="786" t="s">
        <v>21611</v>
      </c>
      <c r="B12125" s="787">
        <v>4</v>
      </c>
      <c r="C12125" s="787" t="s">
        <v>21612</v>
      </c>
      <c r="D12125" s="787">
        <v>0.06</v>
      </c>
      <c r="E12125" s="787">
        <v>0.08</v>
      </c>
      <c r="F12125" s="788">
        <v>39155</v>
      </c>
      <c r="G12125" s="788">
        <v>41822</v>
      </c>
      <c r="H12125" s="787">
        <v>1</v>
      </c>
      <c r="I12125" s="788">
        <v>42164</v>
      </c>
      <c r="J12125" s="788">
        <v>42116</v>
      </c>
      <c r="L12125" s="787">
        <v>7.0000000000000007E-2</v>
      </c>
      <c r="M12125" s="787">
        <v>20</v>
      </c>
      <c r="N12125" s="787">
        <v>0.08</v>
      </c>
      <c r="O12125" s="788">
        <v>42164</v>
      </c>
    </row>
    <row r="12126" spans="1:15" x14ac:dyDescent="0.25">
      <c r="A12126" s="786" t="s">
        <v>21613</v>
      </c>
      <c r="B12126" s="787">
        <v>4</v>
      </c>
      <c r="C12126" s="787" t="s">
        <v>21614</v>
      </c>
      <c r="D12126" s="787">
        <v>0.09</v>
      </c>
      <c r="E12126" s="787">
        <v>0.14000000000000001</v>
      </c>
      <c r="F12126" s="788">
        <v>40333</v>
      </c>
      <c r="G12126" s="788">
        <v>41565</v>
      </c>
      <c r="H12126" s="787">
        <v>1</v>
      </c>
      <c r="I12126" s="788">
        <v>41512</v>
      </c>
      <c r="J12126" s="788">
        <v>41351</v>
      </c>
      <c r="L12126" s="787">
        <v>0.09</v>
      </c>
      <c r="M12126" s="787">
        <v>20</v>
      </c>
      <c r="N12126" s="787">
        <v>0.1</v>
      </c>
      <c r="O12126" s="788">
        <v>41858</v>
      </c>
    </row>
    <row r="12127" spans="1:15" x14ac:dyDescent="0.25">
      <c r="A12127" s="786" t="s">
        <v>21615</v>
      </c>
      <c r="B12127" s="787">
        <v>4</v>
      </c>
      <c r="C12127" s="787" t="s">
        <v>21616</v>
      </c>
      <c r="D12127" s="787">
        <v>7.0000000000000007E-2</v>
      </c>
      <c r="E12127" s="787">
        <v>0.12</v>
      </c>
      <c r="F12127" s="788">
        <v>39101</v>
      </c>
      <c r="G12127" s="788">
        <v>41282</v>
      </c>
      <c r="H12127" s="787">
        <v>1</v>
      </c>
      <c r="I12127" s="788">
        <v>40302</v>
      </c>
      <c r="J12127" s="788">
        <v>40834</v>
      </c>
      <c r="L12127" s="787">
        <v>0.08</v>
      </c>
      <c r="M12127" s="787">
        <v>20</v>
      </c>
      <c r="N12127" s="787">
        <v>0.09</v>
      </c>
      <c r="O12127" s="788">
        <v>41858</v>
      </c>
    </row>
    <row r="12128" spans="1:15" x14ac:dyDescent="0.25">
      <c r="A12128" s="786" t="s">
        <v>21617</v>
      </c>
      <c r="B12128" s="787">
        <v>4</v>
      </c>
      <c r="C12128" s="787" t="s">
        <v>21618</v>
      </c>
      <c r="D12128" s="787">
        <v>0.27</v>
      </c>
      <c r="E12128" s="787">
        <v>0.52</v>
      </c>
      <c r="F12128" s="788">
        <v>39101</v>
      </c>
      <c r="G12128" s="788">
        <v>42013</v>
      </c>
      <c r="H12128" s="787">
        <v>1</v>
      </c>
      <c r="I12128" s="788">
        <v>41936</v>
      </c>
      <c r="J12128" s="788">
        <v>41967</v>
      </c>
      <c r="L12128" s="787">
        <v>0.28999999999999998</v>
      </c>
      <c r="M12128" s="787">
        <v>20</v>
      </c>
      <c r="N12128" s="787">
        <v>0.31</v>
      </c>
      <c r="O12128" s="788">
        <v>41858</v>
      </c>
    </row>
    <row r="12129" spans="1:15" x14ac:dyDescent="0.25">
      <c r="A12129" s="786" t="s">
        <v>21619</v>
      </c>
      <c r="B12129" s="787">
        <v>4</v>
      </c>
      <c r="C12129" s="787" t="s">
        <v>21620</v>
      </c>
      <c r="D12129" s="787">
        <v>0.15</v>
      </c>
      <c r="E12129" s="787">
        <v>0.25</v>
      </c>
      <c r="F12129" s="788">
        <v>39101</v>
      </c>
      <c r="G12129" s="788">
        <v>42158</v>
      </c>
      <c r="H12129" s="787">
        <v>1</v>
      </c>
      <c r="I12129" s="788">
        <v>42163</v>
      </c>
      <c r="J12129" s="788">
        <v>42156</v>
      </c>
      <c r="L12129" s="787">
        <v>0.17</v>
      </c>
      <c r="M12129" s="787">
        <v>20</v>
      </c>
      <c r="N12129" s="787">
        <v>0.18</v>
      </c>
      <c r="O12129" s="788">
        <v>42127</v>
      </c>
    </row>
    <row r="12130" spans="1:15" x14ac:dyDescent="0.25">
      <c r="A12130" s="786" t="s">
        <v>21621</v>
      </c>
      <c r="B12130" s="787">
        <v>4</v>
      </c>
      <c r="C12130" s="787" t="s">
        <v>21622</v>
      </c>
      <c r="D12130" s="787">
        <v>1.1100000000000001</v>
      </c>
      <c r="E12130" s="787">
        <v>1.1399999999999999</v>
      </c>
      <c r="F12130" s="788">
        <v>39750</v>
      </c>
      <c r="G12130" s="788">
        <v>41646</v>
      </c>
      <c r="H12130" s="787">
        <v>1</v>
      </c>
      <c r="I12130" s="788">
        <v>41865</v>
      </c>
      <c r="J12130" s="788">
        <v>40116</v>
      </c>
      <c r="L12130" s="787">
        <v>1.7</v>
      </c>
      <c r="M12130" s="787">
        <v>20</v>
      </c>
      <c r="N12130" s="787">
        <v>1.83</v>
      </c>
      <c r="O12130" s="788">
        <v>42127</v>
      </c>
    </row>
    <row r="12131" spans="1:15" x14ac:dyDescent="0.25">
      <c r="A12131" s="786" t="s">
        <v>21623</v>
      </c>
      <c r="B12131" s="787">
        <v>4</v>
      </c>
      <c r="C12131" s="787" t="s">
        <v>21624</v>
      </c>
      <c r="D12131" s="787">
        <v>1.1399999999999999</v>
      </c>
      <c r="E12131" s="787">
        <v>1.26</v>
      </c>
      <c r="F12131" s="788">
        <v>39750</v>
      </c>
      <c r="G12131" s="788">
        <v>41795</v>
      </c>
      <c r="H12131" s="787">
        <v>1</v>
      </c>
      <c r="I12131" s="788">
        <v>41865</v>
      </c>
      <c r="J12131" s="788">
        <v>41795</v>
      </c>
      <c r="K12131" s="788">
        <v>41786</v>
      </c>
      <c r="L12131" s="787">
        <v>1.26</v>
      </c>
      <c r="M12131" s="787">
        <v>20</v>
      </c>
      <c r="N12131" s="787">
        <v>1.35</v>
      </c>
      <c r="O12131" s="788">
        <v>42127</v>
      </c>
    </row>
    <row r="12132" spans="1:15" x14ac:dyDescent="0.25">
      <c r="A12132" s="786" t="s">
        <v>21625</v>
      </c>
      <c r="B12132" s="787">
        <v>4</v>
      </c>
      <c r="C12132" s="787" t="s">
        <v>21626</v>
      </c>
      <c r="D12132" s="787">
        <v>1.45</v>
      </c>
      <c r="E12132" s="787">
        <v>1.88</v>
      </c>
      <c r="F12132" s="788">
        <v>39974</v>
      </c>
      <c r="G12132" s="788">
        <v>42023</v>
      </c>
      <c r="H12132" s="787">
        <v>1</v>
      </c>
      <c r="I12132" s="788">
        <v>42157</v>
      </c>
      <c r="J12132" s="788">
        <v>42019</v>
      </c>
      <c r="K12132" s="788">
        <v>41786</v>
      </c>
      <c r="L12132" s="787">
        <v>1.71</v>
      </c>
      <c r="M12132" s="787">
        <v>20</v>
      </c>
      <c r="N12132" s="787">
        <v>1.84</v>
      </c>
      <c r="O12132" s="788">
        <v>42046</v>
      </c>
    </row>
    <row r="12133" spans="1:15" x14ac:dyDescent="0.25">
      <c r="A12133" s="786" t="s">
        <v>21627</v>
      </c>
      <c r="B12133" s="787">
        <v>4</v>
      </c>
      <c r="C12133" s="787" t="s">
        <v>21626</v>
      </c>
      <c r="D12133" s="787">
        <v>1.68</v>
      </c>
      <c r="E12133" s="787">
        <v>1.75</v>
      </c>
      <c r="F12133" s="788">
        <v>39750</v>
      </c>
      <c r="G12133" s="788">
        <v>41646</v>
      </c>
      <c r="H12133" s="787">
        <v>1</v>
      </c>
      <c r="I12133" s="788">
        <v>41865</v>
      </c>
      <c r="J12133" s="788">
        <v>40507</v>
      </c>
      <c r="L12133" s="787">
        <v>2.15</v>
      </c>
      <c r="M12133" s="787">
        <v>20</v>
      </c>
      <c r="N12133" s="787">
        <v>2.31</v>
      </c>
      <c r="O12133" s="788">
        <v>41858</v>
      </c>
    </row>
    <row r="12134" spans="1:15" x14ac:dyDescent="0.25">
      <c r="A12134" s="786" t="s">
        <v>21628</v>
      </c>
      <c r="B12134" s="787">
        <v>4</v>
      </c>
      <c r="C12134" s="787" t="s">
        <v>21624</v>
      </c>
      <c r="D12134" s="787">
        <v>4.1399999999999997</v>
      </c>
      <c r="E12134" s="787">
        <v>4.1399999999999997</v>
      </c>
      <c r="F12134" s="788">
        <v>37649</v>
      </c>
      <c r="G12134" s="788">
        <v>37854</v>
      </c>
      <c r="H12134" s="787">
        <v>1</v>
      </c>
      <c r="J12134" s="788">
        <v>37854</v>
      </c>
      <c r="L12134" s="787">
        <v>4.51</v>
      </c>
      <c r="M12134" s="787">
        <v>20</v>
      </c>
      <c r="N12134" s="787">
        <v>4.8499999999999996</v>
      </c>
      <c r="O12134" s="788">
        <v>41858</v>
      </c>
    </row>
    <row r="12135" spans="1:15" x14ac:dyDescent="0.25">
      <c r="A12135" s="786" t="s">
        <v>21629</v>
      </c>
      <c r="B12135" s="787">
        <v>4</v>
      </c>
      <c r="C12135" s="787" t="s">
        <v>21626</v>
      </c>
      <c r="D12135" s="787">
        <v>0.8</v>
      </c>
      <c r="E12135" s="787">
        <v>0.93</v>
      </c>
      <c r="F12135" s="788">
        <v>39750</v>
      </c>
      <c r="G12135" s="788">
        <v>42165</v>
      </c>
      <c r="H12135" s="787">
        <v>1</v>
      </c>
      <c r="I12135" s="788">
        <v>42164</v>
      </c>
      <c r="J12135" s="788">
        <v>42152</v>
      </c>
      <c r="K12135" s="788">
        <v>41786</v>
      </c>
      <c r="L12135" s="787">
        <v>0.88</v>
      </c>
      <c r="M12135" s="787">
        <v>20</v>
      </c>
      <c r="N12135" s="787">
        <v>0.95</v>
      </c>
      <c r="O12135" s="788">
        <v>42162</v>
      </c>
    </row>
    <row r="12136" spans="1:15" x14ac:dyDescent="0.25">
      <c r="A12136" s="786" t="s">
        <v>21630</v>
      </c>
      <c r="B12136" s="787">
        <v>4</v>
      </c>
      <c r="C12136" s="787" t="s">
        <v>21624</v>
      </c>
      <c r="D12136" s="787">
        <v>1.08</v>
      </c>
      <c r="E12136" s="787">
        <v>1.08</v>
      </c>
      <c r="F12136" s="788">
        <v>37649</v>
      </c>
      <c r="G12136" s="788">
        <v>37649</v>
      </c>
      <c r="H12136" s="787">
        <v>1</v>
      </c>
      <c r="J12136" s="788">
        <v>37649</v>
      </c>
      <c r="L12136" s="787">
        <v>1.18</v>
      </c>
      <c r="M12136" s="787">
        <v>20</v>
      </c>
      <c r="N12136" s="787">
        <v>1.27</v>
      </c>
      <c r="O12136" s="788">
        <v>41858</v>
      </c>
    </row>
    <row r="12137" spans="1:15" x14ac:dyDescent="0.25">
      <c r="A12137" s="786" t="s">
        <v>21631</v>
      </c>
      <c r="B12137" s="787">
        <v>4</v>
      </c>
      <c r="C12137" s="787" t="s">
        <v>21632</v>
      </c>
      <c r="D12137" s="787">
        <v>4.67</v>
      </c>
      <c r="E12137" s="787">
        <v>14.67</v>
      </c>
      <c r="F12137" s="788">
        <v>39101</v>
      </c>
      <c r="G12137" s="788">
        <v>39101</v>
      </c>
      <c r="H12137" s="787">
        <v>1</v>
      </c>
      <c r="I12137" s="788">
        <v>39134</v>
      </c>
      <c r="J12137" s="788">
        <v>39149</v>
      </c>
      <c r="L12137" s="787">
        <v>14.67</v>
      </c>
      <c r="M12137" s="787">
        <v>20</v>
      </c>
      <c r="N12137" s="787">
        <v>15.77</v>
      </c>
      <c r="O12137" s="788">
        <v>41858</v>
      </c>
    </row>
    <row r="12138" spans="1:15" x14ac:dyDescent="0.25">
      <c r="A12138" s="786" t="s">
        <v>21633</v>
      </c>
      <c r="B12138" s="787">
        <v>4</v>
      </c>
      <c r="C12138" s="787" t="s">
        <v>21634</v>
      </c>
      <c r="D12138" s="787">
        <v>3.18</v>
      </c>
      <c r="E12138" s="787">
        <v>3.26</v>
      </c>
      <c r="F12138" s="788">
        <v>39681</v>
      </c>
      <c r="G12138" s="788">
        <v>41869</v>
      </c>
      <c r="H12138" s="787">
        <v>1</v>
      </c>
      <c r="I12138" s="788">
        <v>42145</v>
      </c>
      <c r="J12138" s="788">
        <v>41841</v>
      </c>
      <c r="L12138" s="787">
        <v>3.26</v>
      </c>
      <c r="M12138" s="787">
        <v>20</v>
      </c>
      <c r="N12138" s="787">
        <v>3.5</v>
      </c>
      <c r="O12138" s="788">
        <v>42162</v>
      </c>
    </row>
    <row r="12139" spans="1:15" x14ac:dyDescent="0.25">
      <c r="A12139" s="786" t="s">
        <v>21635</v>
      </c>
      <c r="B12139" s="787">
        <v>4</v>
      </c>
      <c r="C12139" s="787" t="s">
        <v>21636</v>
      </c>
      <c r="D12139" s="787">
        <v>0</v>
      </c>
      <c r="E12139" s="787">
        <v>0</v>
      </c>
      <c r="G12139" s="788">
        <v>42166</v>
      </c>
      <c r="H12139" s="787">
        <v>1</v>
      </c>
      <c r="J12139" s="788">
        <v>42166</v>
      </c>
      <c r="K12139" s="788">
        <v>42163</v>
      </c>
      <c r="L12139" s="787">
        <v>108.98</v>
      </c>
      <c r="M12139" s="787">
        <v>20</v>
      </c>
      <c r="N12139" s="787">
        <v>0</v>
      </c>
      <c r="O12139" s="788">
        <v>42163</v>
      </c>
    </row>
    <row r="12140" spans="1:15" x14ac:dyDescent="0.25">
      <c r="A12140" s="786" t="s">
        <v>21637</v>
      </c>
      <c r="B12140" s="787">
        <v>4</v>
      </c>
      <c r="C12140" s="787" t="s">
        <v>21636</v>
      </c>
      <c r="D12140" s="787">
        <v>0</v>
      </c>
      <c r="E12140" s="787">
        <v>0</v>
      </c>
      <c r="G12140" s="788">
        <v>42166</v>
      </c>
      <c r="H12140" s="787">
        <v>1</v>
      </c>
      <c r="J12140" s="788">
        <v>42166</v>
      </c>
      <c r="K12140" s="788">
        <v>42163</v>
      </c>
      <c r="L12140" s="787">
        <v>108.98</v>
      </c>
      <c r="M12140" s="787">
        <v>20</v>
      </c>
      <c r="N12140" s="787">
        <v>0</v>
      </c>
      <c r="O12140" s="788">
        <v>42163</v>
      </c>
    </row>
    <row r="12141" spans="1:15" x14ac:dyDescent="0.25">
      <c r="A12141" s="786" t="s">
        <v>21638</v>
      </c>
      <c r="B12141" s="787">
        <v>4</v>
      </c>
      <c r="C12141" s="787" t="s">
        <v>21639</v>
      </c>
      <c r="D12141" s="787">
        <v>0</v>
      </c>
      <c r="E12141" s="787">
        <v>0</v>
      </c>
      <c r="H12141" s="787">
        <v>1</v>
      </c>
      <c r="K12141" s="788">
        <v>41855</v>
      </c>
      <c r="L12141" s="787">
        <v>248.5</v>
      </c>
      <c r="M12141" s="787">
        <v>20</v>
      </c>
      <c r="N12141" s="787">
        <v>267.14</v>
      </c>
      <c r="O12141" s="788">
        <v>41858</v>
      </c>
    </row>
    <row r="12142" spans="1:15" x14ac:dyDescent="0.25">
      <c r="A12142" s="786" t="s">
        <v>21640</v>
      </c>
      <c r="B12142" s="787">
        <v>4</v>
      </c>
      <c r="C12142" s="787" t="s">
        <v>21641</v>
      </c>
      <c r="D12142" s="787">
        <v>6.35</v>
      </c>
      <c r="E12142" s="787">
        <v>220.51</v>
      </c>
      <c r="F12142" s="788">
        <v>39065</v>
      </c>
      <c r="G12142" s="788">
        <v>42081</v>
      </c>
      <c r="H12142" s="787">
        <v>1</v>
      </c>
      <c r="I12142" s="788">
        <v>42073</v>
      </c>
      <c r="J12142" s="788">
        <v>42061</v>
      </c>
      <c r="K12142" s="788">
        <v>41485</v>
      </c>
      <c r="L12142" s="787">
        <v>237.1</v>
      </c>
      <c r="M12142" s="787">
        <v>20</v>
      </c>
      <c r="N12142" s="787">
        <v>254.88</v>
      </c>
      <c r="O12142" s="788">
        <v>42127</v>
      </c>
    </row>
    <row r="12143" spans="1:15" x14ac:dyDescent="0.25">
      <c r="A12143" s="786" t="s">
        <v>21642</v>
      </c>
      <c r="B12143" s="787">
        <v>4</v>
      </c>
      <c r="C12143" s="787" t="s">
        <v>21643</v>
      </c>
      <c r="D12143" s="787">
        <v>7.33</v>
      </c>
      <c r="E12143" s="787">
        <v>40.92</v>
      </c>
      <c r="F12143" s="788">
        <v>39101</v>
      </c>
      <c r="G12143" s="788">
        <v>42159</v>
      </c>
      <c r="H12143" s="787">
        <v>1</v>
      </c>
      <c r="I12143" s="788">
        <v>42143</v>
      </c>
      <c r="J12143" s="788">
        <v>42159</v>
      </c>
      <c r="K12143" s="788">
        <v>41967</v>
      </c>
      <c r="L12143" s="787">
        <v>41.36</v>
      </c>
      <c r="M12143" s="787">
        <v>20</v>
      </c>
      <c r="N12143" s="787">
        <v>44.46</v>
      </c>
      <c r="O12143" s="788">
        <v>42164</v>
      </c>
    </row>
    <row r="12144" spans="1:15" x14ac:dyDescent="0.25">
      <c r="A12144" s="786" t="s">
        <v>21644</v>
      </c>
      <c r="B12144" s="787">
        <v>4</v>
      </c>
      <c r="C12144" s="787" t="s">
        <v>21645</v>
      </c>
      <c r="D12144" s="787">
        <v>7.15</v>
      </c>
      <c r="E12144" s="787">
        <v>115.81</v>
      </c>
      <c r="F12144" s="788">
        <v>39101</v>
      </c>
      <c r="G12144" s="788">
        <v>42081</v>
      </c>
      <c r="H12144" s="787">
        <v>1</v>
      </c>
      <c r="I12144" s="788">
        <v>42086</v>
      </c>
      <c r="J12144" s="788">
        <v>42069</v>
      </c>
      <c r="K12144" s="788">
        <v>42045</v>
      </c>
      <c r="L12144" s="787">
        <v>115.81</v>
      </c>
      <c r="M12144" s="787">
        <v>20</v>
      </c>
      <c r="N12144" s="787">
        <v>124.5</v>
      </c>
      <c r="O12144" s="788">
        <v>42146</v>
      </c>
    </row>
    <row r="12145" spans="1:15" x14ac:dyDescent="0.25">
      <c r="A12145" s="786" t="s">
        <v>21646</v>
      </c>
      <c r="B12145" s="787">
        <v>4</v>
      </c>
      <c r="C12145" s="787" t="s">
        <v>21647</v>
      </c>
      <c r="D12145" s="787">
        <v>9.92</v>
      </c>
      <c r="E12145" s="787">
        <v>461.72</v>
      </c>
      <c r="F12145" s="788">
        <v>39101</v>
      </c>
      <c r="G12145" s="788">
        <v>42152</v>
      </c>
      <c r="H12145" s="787">
        <v>1</v>
      </c>
      <c r="I12145" s="788">
        <v>42123</v>
      </c>
      <c r="J12145" s="788">
        <v>42117</v>
      </c>
      <c r="K12145" s="788">
        <v>41855</v>
      </c>
      <c r="L12145" s="787">
        <v>461.72</v>
      </c>
      <c r="M12145" s="787">
        <v>20</v>
      </c>
      <c r="N12145" s="787">
        <v>496.35</v>
      </c>
      <c r="O12145" s="788">
        <v>42111</v>
      </c>
    </row>
    <row r="12146" spans="1:15" x14ac:dyDescent="0.25">
      <c r="A12146" s="786" t="s">
        <v>21648</v>
      </c>
      <c r="B12146" s="787">
        <v>4</v>
      </c>
      <c r="C12146" s="787" t="s">
        <v>21649</v>
      </c>
      <c r="D12146" s="787">
        <v>8.89</v>
      </c>
      <c r="E12146" s="787">
        <v>151.6</v>
      </c>
      <c r="F12146" s="788">
        <v>37937</v>
      </c>
      <c r="G12146" s="788">
        <v>42008</v>
      </c>
      <c r="H12146" s="787">
        <v>1</v>
      </c>
      <c r="I12146" s="788">
        <v>42003</v>
      </c>
      <c r="J12146" s="788">
        <v>41984</v>
      </c>
      <c r="K12146" s="788">
        <v>41855</v>
      </c>
      <c r="L12146" s="787">
        <v>167.24</v>
      </c>
      <c r="M12146" s="787">
        <v>20</v>
      </c>
      <c r="N12146" s="787">
        <v>179.78</v>
      </c>
      <c r="O12146" s="788">
        <v>41858</v>
      </c>
    </row>
    <row r="12147" spans="1:15" x14ac:dyDescent="0.25">
      <c r="A12147" s="786" t="s">
        <v>21650</v>
      </c>
      <c r="B12147" s="787">
        <v>4</v>
      </c>
      <c r="C12147" s="787" t="s">
        <v>21651</v>
      </c>
      <c r="D12147" s="787">
        <v>8.06</v>
      </c>
      <c r="E12147" s="787">
        <v>18.059999999999999</v>
      </c>
      <c r="F12147" s="788">
        <v>38287</v>
      </c>
      <c r="G12147" s="788">
        <v>38287</v>
      </c>
      <c r="H12147" s="787">
        <v>1</v>
      </c>
      <c r="J12147" s="788">
        <v>38271</v>
      </c>
      <c r="K12147" s="788">
        <v>41855</v>
      </c>
      <c r="L12147" s="787">
        <v>18.059999999999999</v>
      </c>
      <c r="M12147" s="787">
        <v>20</v>
      </c>
      <c r="N12147" s="787">
        <v>19.41</v>
      </c>
      <c r="O12147" s="788">
        <v>41858</v>
      </c>
    </row>
    <row r="12148" spans="1:15" x14ac:dyDescent="0.25">
      <c r="A12148" s="786" t="s">
        <v>21652</v>
      </c>
      <c r="B12148" s="787">
        <v>4</v>
      </c>
      <c r="C12148" s="787" t="s">
        <v>21653</v>
      </c>
      <c r="D12148" s="787">
        <v>3.24</v>
      </c>
      <c r="E12148" s="787">
        <v>105.46</v>
      </c>
      <c r="F12148" s="788">
        <v>38047</v>
      </c>
      <c r="G12148" s="788">
        <v>42145</v>
      </c>
      <c r="H12148" s="787">
        <v>1</v>
      </c>
      <c r="I12148" s="788">
        <v>42086</v>
      </c>
      <c r="J12148" s="788">
        <v>42117</v>
      </c>
      <c r="K12148" s="788">
        <v>41855</v>
      </c>
      <c r="L12148" s="787">
        <v>106.6</v>
      </c>
      <c r="M12148" s="787">
        <v>20</v>
      </c>
      <c r="N12148" s="787">
        <v>114.6</v>
      </c>
      <c r="O12148" s="788">
        <v>42164</v>
      </c>
    </row>
    <row r="12149" spans="1:15" x14ac:dyDescent="0.25">
      <c r="A12149" s="786" t="s">
        <v>21654</v>
      </c>
      <c r="B12149" s="787">
        <v>4</v>
      </c>
      <c r="C12149" s="787" t="s">
        <v>21655</v>
      </c>
      <c r="D12149" s="787">
        <v>3.19</v>
      </c>
      <c r="E12149" s="787">
        <v>73.19</v>
      </c>
      <c r="F12149" s="788">
        <v>38047</v>
      </c>
      <c r="G12149" s="788">
        <v>38364</v>
      </c>
      <c r="H12149" s="787">
        <v>1</v>
      </c>
      <c r="I12149" s="788">
        <v>39640</v>
      </c>
      <c r="J12149" s="788">
        <v>38047</v>
      </c>
      <c r="K12149" s="788">
        <v>41855</v>
      </c>
      <c r="L12149" s="787">
        <v>73.19</v>
      </c>
      <c r="M12149" s="787">
        <v>20</v>
      </c>
      <c r="N12149" s="787">
        <v>78.680000000000007</v>
      </c>
      <c r="O12149" s="788">
        <v>41858</v>
      </c>
    </row>
    <row r="12150" spans="1:15" x14ac:dyDescent="0.25">
      <c r="A12150" s="786" t="s">
        <v>21656</v>
      </c>
      <c r="B12150" s="787">
        <v>4</v>
      </c>
      <c r="C12150" s="787" t="s">
        <v>21657</v>
      </c>
      <c r="D12150" s="787">
        <v>6.81</v>
      </c>
      <c r="E12150" s="787">
        <v>131.22</v>
      </c>
      <c r="F12150" s="788">
        <v>38047</v>
      </c>
      <c r="G12150" s="788">
        <v>42166</v>
      </c>
      <c r="H12150" s="787">
        <v>1</v>
      </c>
      <c r="I12150" s="788">
        <v>42163</v>
      </c>
      <c r="J12150" s="788">
        <v>42166</v>
      </c>
      <c r="K12150" s="788">
        <v>41841</v>
      </c>
      <c r="L12150" s="787">
        <v>132.63</v>
      </c>
      <c r="M12150" s="787">
        <v>20</v>
      </c>
      <c r="N12150" s="787">
        <v>142.58000000000001</v>
      </c>
      <c r="O12150" s="788">
        <v>42164</v>
      </c>
    </row>
    <row r="12151" spans="1:15" x14ac:dyDescent="0.25">
      <c r="A12151" s="786" t="s">
        <v>21658</v>
      </c>
      <c r="B12151" s="787">
        <v>4</v>
      </c>
      <c r="C12151" s="787" t="s">
        <v>21659</v>
      </c>
      <c r="D12151" s="787">
        <v>8.8699999999999992</v>
      </c>
      <c r="E12151" s="787">
        <v>66.150000000000006</v>
      </c>
      <c r="F12151" s="788">
        <v>40270</v>
      </c>
      <c r="G12151" s="788">
        <v>42156</v>
      </c>
      <c r="H12151" s="787">
        <v>1</v>
      </c>
      <c r="I12151" s="788">
        <v>42165</v>
      </c>
      <c r="J12151" s="788">
        <v>42143</v>
      </c>
      <c r="K12151" s="788">
        <v>41855</v>
      </c>
      <c r="L12151" s="787">
        <v>64.11</v>
      </c>
      <c r="M12151" s="787">
        <v>20</v>
      </c>
      <c r="N12151" s="787">
        <v>68.92</v>
      </c>
      <c r="O12151" s="788">
        <v>42164</v>
      </c>
    </row>
    <row r="12152" spans="1:15" x14ac:dyDescent="0.25">
      <c r="A12152" s="786" t="s">
        <v>21660</v>
      </c>
      <c r="B12152" s="787">
        <v>4</v>
      </c>
      <c r="C12152" s="787" t="s">
        <v>21661</v>
      </c>
      <c r="D12152" s="787">
        <v>4.3</v>
      </c>
      <c r="E12152" s="787">
        <v>57.38</v>
      </c>
      <c r="F12152" s="788">
        <v>40983</v>
      </c>
      <c r="G12152" s="788">
        <v>42159</v>
      </c>
      <c r="H12152" s="787">
        <v>1</v>
      </c>
      <c r="I12152" s="788">
        <v>42165</v>
      </c>
      <c r="J12152" s="788">
        <v>42159</v>
      </c>
      <c r="K12152" s="788">
        <v>41932</v>
      </c>
      <c r="L12152" s="787">
        <v>58</v>
      </c>
      <c r="M12152" s="787">
        <v>20</v>
      </c>
      <c r="N12152" s="787">
        <v>62.35</v>
      </c>
      <c r="O12152" s="788">
        <v>42164</v>
      </c>
    </row>
    <row r="12153" spans="1:15" x14ac:dyDescent="0.25">
      <c r="A12153" s="786" t="s">
        <v>21662</v>
      </c>
      <c r="B12153" s="787">
        <v>4</v>
      </c>
      <c r="C12153" s="787" t="s">
        <v>21663</v>
      </c>
      <c r="D12153" s="787">
        <v>4.62</v>
      </c>
      <c r="E12153" s="787">
        <v>44.62</v>
      </c>
      <c r="F12153" s="788">
        <v>41319</v>
      </c>
      <c r="G12153" s="788">
        <v>41331</v>
      </c>
      <c r="H12153" s="787">
        <v>1</v>
      </c>
      <c r="I12153" s="788">
        <v>41334</v>
      </c>
      <c r="J12153" s="788">
        <v>41317</v>
      </c>
      <c r="K12153" s="788">
        <v>41855</v>
      </c>
      <c r="L12153" s="787">
        <v>44.62</v>
      </c>
      <c r="M12153" s="787">
        <v>20</v>
      </c>
      <c r="N12153" s="787">
        <v>47.97</v>
      </c>
      <c r="O12153" s="788">
        <v>41858</v>
      </c>
    </row>
    <row r="12154" spans="1:15" x14ac:dyDescent="0.25">
      <c r="A12154" s="786" t="s">
        <v>21664</v>
      </c>
      <c r="B12154" s="787">
        <v>4</v>
      </c>
      <c r="C12154" s="787" t="s">
        <v>21665</v>
      </c>
      <c r="D12154" s="787">
        <v>7.49</v>
      </c>
      <c r="E12154" s="787">
        <v>165.23</v>
      </c>
      <c r="F12154" s="788">
        <v>39589</v>
      </c>
      <c r="G12154" s="788">
        <v>42064</v>
      </c>
      <c r="H12154" s="787">
        <v>1</v>
      </c>
      <c r="I12154" s="788">
        <v>42114</v>
      </c>
      <c r="J12154" s="788">
        <v>42047</v>
      </c>
      <c r="K12154" s="788">
        <v>42019</v>
      </c>
      <c r="L12154" s="787">
        <v>168.82</v>
      </c>
      <c r="M12154" s="787">
        <v>20</v>
      </c>
      <c r="N12154" s="787">
        <v>181.48</v>
      </c>
      <c r="O12154" s="788">
        <v>42111</v>
      </c>
    </row>
    <row r="12155" spans="1:15" x14ac:dyDescent="0.25">
      <c r="A12155" s="786" t="s">
        <v>21666</v>
      </c>
      <c r="B12155" s="787">
        <v>4</v>
      </c>
      <c r="C12155" s="787" t="s">
        <v>21667</v>
      </c>
      <c r="D12155" s="787">
        <v>0.57999999999999996</v>
      </c>
      <c r="E12155" s="787">
        <v>90.73</v>
      </c>
      <c r="F12155" s="788">
        <v>39598</v>
      </c>
      <c r="G12155" s="788">
        <v>41645</v>
      </c>
      <c r="H12155" s="787">
        <v>1</v>
      </c>
      <c r="I12155" s="788">
        <v>42088</v>
      </c>
      <c r="J12155" s="788">
        <v>41620</v>
      </c>
      <c r="K12155" s="788">
        <v>41855</v>
      </c>
      <c r="L12155" s="787">
        <v>90.73</v>
      </c>
      <c r="M12155" s="787">
        <v>20</v>
      </c>
      <c r="N12155" s="787">
        <v>97.53</v>
      </c>
      <c r="O12155" s="788">
        <v>42111</v>
      </c>
    </row>
    <row r="12156" spans="1:15" x14ac:dyDescent="0.25">
      <c r="A12156" s="786" t="s">
        <v>21668</v>
      </c>
      <c r="B12156" s="787">
        <v>4</v>
      </c>
      <c r="C12156" s="787" t="s">
        <v>21669</v>
      </c>
      <c r="D12156" s="787">
        <v>7</v>
      </c>
      <c r="E12156" s="787">
        <v>262.2</v>
      </c>
      <c r="F12156" s="788">
        <v>39101</v>
      </c>
      <c r="G12156" s="788">
        <v>41806</v>
      </c>
      <c r="H12156" s="787">
        <v>1</v>
      </c>
      <c r="I12156" s="788">
        <v>41894</v>
      </c>
      <c r="J12156" s="788">
        <v>41710</v>
      </c>
      <c r="K12156" s="788">
        <v>41855</v>
      </c>
      <c r="L12156" s="787">
        <v>262.2</v>
      </c>
      <c r="M12156" s="787">
        <v>20</v>
      </c>
      <c r="N12156" s="787">
        <v>281.87</v>
      </c>
      <c r="O12156" s="788">
        <v>42164</v>
      </c>
    </row>
    <row r="12157" spans="1:15" x14ac:dyDescent="0.25">
      <c r="A12157" s="786" t="s">
        <v>21670</v>
      </c>
      <c r="B12157" s="787">
        <v>4</v>
      </c>
      <c r="C12157" s="787" t="s">
        <v>21671</v>
      </c>
      <c r="D12157" s="787">
        <v>2.4700000000000002</v>
      </c>
      <c r="E12157" s="787">
        <v>34.97</v>
      </c>
      <c r="F12157" s="788">
        <v>39870</v>
      </c>
      <c r="G12157" s="788">
        <v>42081</v>
      </c>
      <c r="H12157" s="787">
        <v>1</v>
      </c>
      <c r="I12157" s="788">
        <v>42096</v>
      </c>
      <c r="J12157" s="788">
        <v>42061</v>
      </c>
      <c r="K12157" s="788">
        <v>41967</v>
      </c>
      <c r="L12157" s="787">
        <v>37.6</v>
      </c>
      <c r="M12157" s="787">
        <v>20</v>
      </c>
      <c r="N12157" s="787">
        <v>39.21</v>
      </c>
      <c r="O12157" s="788">
        <v>41858</v>
      </c>
    </row>
    <row r="12158" spans="1:15" x14ac:dyDescent="0.25">
      <c r="A12158" s="786" t="s">
        <v>21672</v>
      </c>
      <c r="B12158" s="787">
        <v>4</v>
      </c>
      <c r="C12158" s="787" t="s">
        <v>21673</v>
      </c>
      <c r="D12158" s="787">
        <v>9.26</v>
      </c>
      <c r="E12158" s="787">
        <v>29.26</v>
      </c>
      <c r="F12158" s="788">
        <v>40056</v>
      </c>
      <c r="G12158" s="788">
        <v>40056</v>
      </c>
      <c r="H12158" s="787">
        <v>1</v>
      </c>
      <c r="J12158" s="788">
        <v>40052</v>
      </c>
      <c r="L12158" s="787">
        <v>29.26</v>
      </c>
      <c r="M12158" s="787">
        <v>20</v>
      </c>
      <c r="N12158" s="787">
        <v>31.45</v>
      </c>
      <c r="O12158" s="788">
        <v>41858</v>
      </c>
    </row>
    <row r="12159" spans="1:15" x14ac:dyDescent="0.25">
      <c r="A12159" s="786" t="s">
        <v>21674</v>
      </c>
      <c r="B12159" s="787">
        <v>4</v>
      </c>
      <c r="C12159" s="787" t="s">
        <v>21675</v>
      </c>
      <c r="D12159" s="787">
        <v>0</v>
      </c>
      <c r="E12159" s="787">
        <v>0</v>
      </c>
      <c r="H12159" s="787">
        <v>1</v>
      </c>
      <c r="L12159" s="787">
        <v>293.92</v>
      </c>
      <c r="M12159" s="787">
        <v>20</v>
      </c>
      <c r="N12159" s="787">
        <v>315.95999999999998</v>
      </c>
      <c r="O12159" s="788">
        <v>42164</v>
      </c>
    </row>
    <row r="12160" spans="1:15" x14ac:dyDescent="0.25">
      <c r="A12160" s="786" t="s">
        <v>21676</v>
      </c>
      <c r="B12160" s="787">
        <v>4</v>
      </c>
      <c r="C12160" s="787" t="s">
        <v>21677</v>
      </c>
      <c r="D12160" s="787">
        <v>0</v>
      </c>
      <c r="E12160" s="787">
        <v>0</v>
      </c>
      <c r="H12160" s="787">
        <v>1</v>
      </c>
      <c r="I12160" s="788">
        <v>41983</v>
      </c>
      <c r="J12160" s="788">
        <v>41981</v>
      </c>
      <c r="L12160" s="787">
        <v>94.95</v>
      </c>
      <c r="M12160" s="787">
        <v>20</v>
      </c>
      <c r="N12160" s="787">
        <v>102.07</v>
      </c>
      <c r="O12160" s="788">
        <v>41858</v>
      </c>
    </row>
    <row r="12161" spans="1:15" x14ac:dyDescent="0.25">
      <c r="A12161" s="786" t="s">
        <v>21678</v>
      </c>
      <c r="B12161" s="787">
        <v>4</v>
      </c>
      <c r="C12161" s="787" t="s">
        <v>21643</v>
      </c>
      <c r="D12161" s="787">
        <v>8.25</v>
      </c>
      <c r="E12161" s="787">
        <v>46.22</v>
      </c>
      <c r="F12161" s="788">
        <v>38057</v>
      </c>
      <c r="G12161" s="788">
        <v>42142</v>
      </c>
      <c r="H12161" s="787">
        <v>1</v>
      </c>
      <c r="I12161" s="788">
        <v>42152</v>
      </c>
      <c r="J12161" s="788">
        <v>42122</v>
      </c>
      <c r="K12161" s="788">
        <v>42116</v>
      </c>
      <c r="L12161" s="787">
        <v>46.72</v>
      </c>
      <c r="M12161" s="787">
        <v>20</v>
      </c>
      <c r="N12161" s="787">
        <v>50.22</v>
      </c>
      <c r="O12161" s="788">
        <v>42127</v>
      </c>
    </row>
    <row r="12162" spans="1:15" x14ac:dyDescent="0.25">
      <c r="A12162" s="786" t="s">
        <v>21679</v>
      </c>
      <c r="B12162" s="787">
        <v>4</v>
      </c>
      <c r="C12162" s="787" t="s">
        <v>21680</v>
      </c>
      <c r="D12162" s="787">
        <v>0.37</v>
      </c>
      <c r="E12162" s="787">
        <v>20.37</v>
      </c>
      <c r="F12162" s="788">
        <v>38450</v>
      </c>
      <c r="G12162" s="788">
        <v>38450</v>
      </c>
      <c r="H12162" s="787">
        <v>1</v>
      </c>
      <c r="I12162" s="788">
        <v>38736</v>
      </c>
      <c r="J12162" s="788">
        <v>38405</v>
      </c>
      <c r="L12162" s="787">
        <v>22.2</v>
      </c>
      <c r="M12162" s="787">
        <v>20</v>
      </c>
      <c r="N12162" s="787">
        <v>23.87</v>
      </c>
      <c r="O12162" s="788">
        <v>41858</v>
      </c>
    </row>
    <row r="12163" spans="1:15" x14ac:dyDescent="0.25">
      <c r="A12163" s="786" t="s">
        <v>21681</v>
      </c>
      <c r="B12163" s="787">
        <v>4</v>
      </c>
      <c r="C12163" s="787" t="s">
        <v>21682</v>
      </c>
      <c r="D12163" s="787">
        <v>9.19</v>
      </c>
      <c r="E12163" s="787">
        <v>69.19</v>
      </c>
      <c r="F12163" s="788">
        <v>38047</v>
      </c>
      <c r="G12163" s="788">
        <v>38736</v>
      </c>
      <c r="H12163" s="787">
        <v>1</v>
      </c>
      <c r="I12163" s="788">
        <v>39384</v>
      </c>
      <c r="J12163" s="788">
        <v>38047</v>
      </c>
      <c r="L12163" s="787">
        <v>75.42</v>
      </c>
      <c r="M12163" s="787">
        <v>20</v>
      </c>
      <c r="N12163" s="787">
        <v>81.08</v>
      </c>
      <c r="O12163" s="788">
        <v>41858</v>
      </c>
    </row>
    <row r="12164" spans="1:15" x14ac:dyDescent="0.25">
      <c r="A12164" s="786" t="s">
        <v>21683</v>
      </c>
      <c r="B12164" s="787">
        <v>4</v>
      </c>
      <c r="C12164" s="787" t="s">
        <v>21684</v>
      </c>
      <c r="D12164" s="787">
        <v>1.0900000000000001</v>
      </c>
      <c r="E12164" s="787">
        <v>65.989999999999995</v>
      </c>
      <c r="F12164" s="788">
        <v>38047</v>
      </c>
      <c r="G12164" s="788">
        <v>41282</v>
      </c>
      <c r="H12164" s="787">
        <v>1</v>
      </c>
      <c r="I12164" s="788">
        <v>40512</v>
      </c>
      <c r="J12164" s="788">
        <v>39134</v>
      </c>
      <c r="L12164" s="787">
        <v>66.59</v>
      </c>
      <c r="M12164" s="787">
        <v>20</v>
      </c>
      <c r="N12164" s="787">
        <v>71.58</v>
      </c>
      <c r="O12164" s="788">
        <v>41858</v>
      </c>
    </row>
    <row r="12165" spans="1:15" x14ac:dyDescent="0.25">
      <c r="A12165" s="786" t="s">
        <v>21685</v>
      </c>
      <c r="B12165" s="787">
        <v>4</v>
      </c>
      <c r="C12165" s="787" t="s">
        <v>21686</v>
      </c>
      <c r="D12165" s="787">
        <v>3.92</v>
      </c>
      <c r="E12165" s="787">
        <v>93.92</v>
      </c>
      <c r="F12165" s="788">
        <v>38331</v>
      </c>
      <c r="G12165" s="788">
        <v>38364</v>
      </c>
      <c r="H12165" s="787">
        <v>1</v>
      </c>
      <c r="I12165" s="788">
        <v>39384</v>
      </c>
      <c r="J12165" s="788">
        <v>38308</v>
      </c>
      <c r="L12165" s="787">
        <v>102.37</v>
      </c>
      <c r="M12165" s="787">
        <v>20</v>
      </c>
      <c r="N12165" s="787">
        <v>110.05</v>
      </c>
      <c r="O12165" s="788">
        <v>41858</v>
      </c>
    </row>
    <row r="12166" spans="1:15" x14ac:dyDescent="0.25">
      <c r="A12166" s="786" t="s">
        <v>21687</v>
      </c>
      <c r="B12166" s="787">
        <v>4</v>
      </c>
      <c r="C12166" s="787" t="s">
        <v>21688</v>
      </c>
      <c r="D12166" s="787">
        <v>5.04</v>
      </c>
      <c r="E12166" s="787">
        <v>65.040000000000006</v>
      </c>
      <c r="F12166" s="788">
        <v>37649</v>
      </c>
      <c r="G12166" s="788">
        <v>37649</v>
      </c>
      <c r="H12166" s="787">
        <v>6</v>
      </c>
      <c r="J12166" s="788">
        <v>37649</v>
      </c>
      <c r="L12166" s="787">
        <v>70.89</v>
      </c>
      <c r="M12166" s="787">
        <v>20</v>
      </c>
      <c r="N12166" s="787">
        <v>69.92</v>
      </c>
      <c r="O12166" s="788">
        <v>41806</v>
      </c>
    </row>
    <row r="12167" spans="1:15" x14ac:dyDescent="0.25">
      <c r="A12167" s="786" t="s">
        <v>21689</v>
      </c>
      <c r="B12167" s="787">
        <v>4</v>
      </c>
      <c r="C12167" s="787" t="s">
        <v>21690</v>
      </c>
      <c r="D12167" s="787">
        <v>4.7300000000000004</v>
      </c>
      <c r="E12167" s="787">
        <v>24.73</v>
      </c>
      <c r="F12167" s="788">
        <v>39101</v>
      </c>
      <c r="G12167" s="788">
        <v>39101</v>
      </c>
      <c r="H12167" s="787">
        <v>1</v>
      </c>
      <c r="I12167" s="788">
        <v>39134</v>
      </c>
      <c r="J12167" s="788">
        <v>39149</v>
      </c>
      <c r="L12167" s="787">
        <v>24.73</v>
      </c>
      <c r="M12167" s="787">
        <v>20</v>
      </c>
      <c r="N12167" s="787">
        <v>26.58</v>
      </c>
      <c r="O12167" s="788">
        <v>41858</v>
      </c>
    </row>
    <row r="12168" spans="1:15" x14ac:dyDescent="0.25">
      <c r="A12168" s="786" t="s">
        <v>21691</v>
      </c>
      <c r="B12168" s="787">
        <v>4</v>
      </c>
      <c r="C12168" s="787" t="s">
        <v>21692</v>
      </c>
      <c r="D12168" s="787">
        <v>6.38</v>
      </c>
      <c r="E12168" s="787">
        <v>256.38</v>
      </c>
      <c r="F12168" s="788">
        <v>41421</v>
      </c>
      <c r="G12168" s="788">
        <v>41454</v>
      </c>
      <c r="H12168" s="787">
        <v>1</v>
      </c>
      <c r="I12168" s="788">
        <v>41425</v>
      </c>
      <c r="J12168" s="788">
        <v>41418</v>
      </c>
      <c r="K12168" s="788">
        <v>41855</v>
      </c>
      <c r="L12168" s="787">
        <v>256.38</v>
      </c>
      <c r="M12168" s="787">
        <v>20</v>
      </c>
      <c r="N12168" s="787">
        <v>275.61</v>
      </c>
      <c r="O12168" s="788">
        <v>41858</v>
      </c>
    </row>
    <row r="12169" spans="1:15" x14ac:dyDescent="0.25">
      <c r="A12169" s="786" t="s">
        <v>21693</v>
      </c>
      <c r="B12169" s="787">
        <v>4</v>
      </c>
      <c r="C12169" s="787" t="s">
        <v>21694</v>
      </c>
      <c r="D12169" s="787">
        <v>9.73</v>
      </c>
      <c r="E12169" s="787">
        <v>69.73</v>
      </c>
      <c r="F12169" s="788">
        <v>41653</v>
      </c>
      <c r="G12169" s="788">
        <v>41653</v>
      </c>
      <c r="H12169" s="787">
        <v>1</v>
      </c>
      <c r="I12169" s="788">
        <v>41894</v>
      </c>
      <c r="J12169" s="788">
        <v>41648</v>
      </c>
      <c r="K12169" s="788">
        <v>41855</v>
      </c>
      <c r="L12169" s="787">
        <v>69.73</v>
      </c>
      <c r="M12169" s="787">
        <v>20</v>
      </c>
      <c r="N12169" s="787">
        <v>74.959999999999994</v>
      </c>
      <c r="O12169" s="788">
        <v>42164</v>
      </c>
    </row>
    <row r="12170" spans="1:15" x14ac:dyDescent="0.25">
      <c r="A12170" s="786" t="s">
        <v>21695</v>
      </c>
      <c r="B12170" s="787">
        <v>4</v>
      </c>
      <c r="C12170" s="787" t="s">
        <v>21696</v>
      </c>
      <c r="D12170" s="787">
        <v>0</v>
      </c>
      <c r="E12170" s="787">
        <v>0</v>
      </c>
      <c r="H12170" s="787">
        <v>1</v>
      </c>
      <c r="L12170" s="787">
        <v>15.8</v>
      </c>
      <c r="M12170" s="787">
        <v>20</v>
      </c>
      <c r="N12170" s="787">
        <v>16.989999999999998</v>
      </c>
      <c r="O12170" s="788">
        <v>42164</v>
      </c>
    </row>
    <row r="12171" spans="1:15" x14ac:dyDescent="0.25">
      <c r="A12171" s="786" t="s">
        <v>21697</v>
      </c>
      <c r="B12171" s="787">
        <v>4</v>
      </c>
      <c r="C12171" s="787" t="s">
        <v>21698</v>
      </c>
      <c r="D12171" s="787">
        <v>0</v>
      </c>
      <c r="E12171" s="787">
        <v>0</v>
      </c>
      <c r="H12171" s="787">
        <v>1</v>
      </c>
      <c r="K12171" s="788">
        <v>41857</v>
      </c>
      <c r="L12171" s="787">
        <v>1.25</v>
      </c>
      <c r="M12171" s="787">
        <v>20</v>
      </c>
      <c r="N12171" s="787">
        <v>1.34</v>
      </c>
      <c r="O12171" s="788">
        <v>42164</v>
      </c>
    </row>
    <row r="12172" spans="1:15" x14ac:dyDescent="0.25">
      <c r="A12172" s="786" t="s">
        <v>21699</v>
      </c>
      <c r="B12172" s="787">
        <v>4</v>
      </c>
      <c r="C12172" s="787" t="s">
        <v>21700</v>
      </c>
      <c r="D12172" s="787">
        <v>0.21</v>
      </c>
      <c r="E12172" s="787">
        <v>32.81</v>
      </c>
      <c r="F12172" s="788">
        <v>41101</v>
      </c>
      <c r="G12172" s="788">
        <v>41830</v>
      </c>
      <c r="H12172" s="787">
        <v>1</v>
      </c>
      <c r="I12172" s="788">
        <v>41894</v>
      </c>
      <c r="J12172" s="788">
        <v>41830</v>
      </c>
      <c r="K12172" s="788">
        <v>41855</v>
      </c>
      <c r="L12172" s="787">
        <v>30.21</v>
      </c>
      <c r="M12172" s="787">
        <v>20</v>
      </c>
      <c r="N12172" s="787">
        <v>32.479999999999997</v>
      </c>
      <c r="O12172" s="788">
        <v>42164</v>
      </c>
    </row>
    <row r="12173" spans="1:15" x14ac:dyDescent="0.25">
      <c r="A12173" s="786" t="s">
        <v>21701</v>
      </c>
      <c r="B12173" s="787">
        <v>4</v>
      </c>
      <c r="C12173" s="787" t="s">
        <v>21702</v>
      </c>
      <c r="D12173" s="787">
        <v>0</v>
      </c>
      <c r="E12173" s="787">
        <v>0</v>
      </c>
      <c r="H12173" s="787">
        <v>1</v>
      </c>
      <c r="L12173" s="787">
        <v>374</v>
      </c>
      <c r="M12173" s="787">
        <v>20</v>
      </c>
      <c r="N12173" s="787">
        <v>402.05</v>
      </c>
      <c r="O12173" s="788">
        <v>42164</v>
      </c>
    </row>
    <row r="12174" spans="1:15" x14ac:dyDescent="0.25">
      <c r="A12174" s="786" t="s">
        <v>21703</v>
      </c>
      <c r="B12174" s="787">
        <v>4</v>
      </c>
      <c r="C12174" s="787" t="s">
        <v>21704</v>
      </c>
      <c r="D12174" s="787">
        <v>0</v>
      </c>
      <c r="E12174" s="787">
        <v>0</v>
      </c>
      <c r="H12174" s="787">
        <v>1</v>
      </c>
      <c r="L12174" s="787">
        <v>4.93</v>
      </c>
      <c r="M12174" s="787">
        <v>20</v>
      </c>
      <c r="N12174" s="787">
        <v>5.3</v>
      </c>
      <c r="O12174" s="788">
        <v>42164</v>
      </c>
    </row>
    <row r="12175" spans="1:15" x14ac:dyDescent="0.25">
      <c r="A12175" s="786" t="s">
        <v>21705</v>
      </c>
      <c r="B12175" s="787">
        <v>4</v>
      </c>
      <c r="C12175" s="787" t="s">
        <v>21706</v>
      </c>
      <c r="D12175" s="787">
        <v>8.2799999999999994</v>
      </c>
      <c r="E12175" s="787">
        <v>39.76</v>
      </c>
      <c r="F12175" s="788">
        <v>41281</v>
      </c>
      <c r="G12175" s="788">
        <v>42158</v>
      </c>
      <c r="H12175" s="787">
        <v>1</v>
      </c>
      <c r="I12175" s="788">
        <v>41957</v>
      </c>
      <c r="J12175" s="788">
        <v>42157</v>
      </c>
      <c r="K12175" s="788">
        <v>41901</v>
      </c>
      <c r="L12175" s="787">
        <v>39.76</v>
      </c>
      <c r="M12175" s="787">
        <v>20</v>
      </c>
      <c r="N12175" s="787">
        <v>42.74</v>
      </c>
      <c r="O12175" s="788">
        <v>42164</v>
      </c>
    </row>
    <row r="12176" spans="1:15" x14ac:dyDescent="0.25">
      <c r="A12176" s="786" t="s">
        <v>21707</v>
      </c>
      <c r="B12176" s="787">
        <v>4</v>
      </c>
      <c r="C12176" s="787" t="s">
        <v>21708</v>
      </c>
      <c r="D12176" s="787">
        <v>7.84</v>
      </c>
      <c r="E12176" s="787">
        <v>477.84</v>
      </c>
      <c r="F12176" s="788">
        <v>41653</v>
      </c>
      <c r="G12176" s="788">
        <v>41653</v>
      </c>
      <c r="H12176" s="787">
        <v>1</v>
      </c>
      <c r="I12176" s="788">
        <v>41894</v>
      </c>
      <c r="J12176" s="788">
        <v>41648</v>
      </c>
      <c r="K12176" s="788">
        <v>41855</v>
      </c>
      <c r="L12176" s="787">
        <v>477.84</v>
      </c>
      <c r="M12176" s="787">
        <v>20</v>
      </c>
      <c r="N12176" s="787">
        <v>513.67999999999995</v>
      </c>
      <c r="O12176" s="788">
        <v>42164</v>
      </c>
    </row>
    <row r="12177" spans="1:15" x14ac:dyDescent="0.25">
      <c r="A12177" s="786" t="s">
        <v>21709</v>
      </c>
      <c r="B12177" s="787">
        <v>4</v>
      </c>
      <c r="C12177" s="787" t="s">
        <v>21704</v>
      </c>
      <c r="D12177" s="787">
        <v>0</v>
      </c>
      <c r="E12177" s="787">
        <v>0</v>
      </c>
      <c r="H12177" s="787">
        <v>1</v>
      </c>
      <c r="L12177" s="787">
        <v>6.22</v>
      </c>
      <c r="M12177" s="787">
        <v>20</v>
      </c>
      <c r="N12177" s="787">
        <v>6.69</v>
      </c>
      <c r="O12177" s="788">
        <v>42164</v>
      </c>
    </row>
    <row r="12178" spans="1:15" x14ac:dyDescent="0.25">
      <c r="A12178" s="786" t="s">
        <v>21710</v>
      </c>
      <c r="B12178" s="787">
        <v>4</v>
      </c>
      <c r="C12178" s="787" t="s">
        <v>21711</v>
      </c>
      <c r="D12178" s="787">
        <v>9.3000000000000007</v>
      </c>
      <c r="E12178" s="787">
        <v>49.3</v>
      </c>
      <c r="F12178" s="788">
        <v>41298</v>
      </c>
      <c r="G12178" s="788">
        <v>41298</v>
      </c>
      <c r="H12178" s="787">
        <v>1</v>
      </c>
      <c r="I12178" s="788">
        <v>41320</v>
      </c>
      <c r="J12178" s="788">
        <v>41291</v>
      </c>
      <c r="K12178" s="788">
        <v>41855</v>
      </c>
      <c r="L12178" s="787">
        <v>49.3</v>
      </c>
      <c r="M12178" s="787">
        <v>20</v>
      </c>
      <c r="N12178" s="787">
        <v>53</v>
      </c>
      <c r="O12178" s="788">
        <v>42164</v>
      </c>
    </row>
    <row r="12179" spans="1:15" x14ac:dyDescent="0.25">
      <c r="A12179" s="786" t="s">
        <v>21712</v>
      </c>
      <c r="B12179" s="787">
        <v>4</v>
      </c>
      <c r="C12179" s="787" t="s">
        <v>21713</v>
      </c>
      <c r="D12179" s="787">
        <v>0</v>
      </c>
      <c r="E12179" s="787">
        <v>0</v>
      </c>
      <c r="H12179" s="787">
        <v>1</v>
      </c>
      <c r="L12179" s="787">
        <v>560</v>
      </c>
      <c r="M12179" s="787">
        <v>20</v>
      </c>
      <c r="N12179" s="787">
        <v>602</v>
      </c>
      <c r="O12179" s="788">
        <v>42164</v>
      </c>
    </row>
    <row r="12180" spans="1:15" x14ac:dyDescent="0.25">
      <c r="A12180" s="786" t="s">
        <v>21714</v>
      </c>
      <c r="B12180" s="787">
        <v>4</v>
      </c>
      <c r="C12180" s="787" t="s">
        <v>21704</v>
      </c>
      <c r="D12180" s="787">
        <v>0</v>
      </c>
      <c r="E12180" s="787">
        <v>0</v>
      </c>
      <c r="H12180" s="787">
        <v>1</v>
      </c>
      <c r="L12180" s="787">
        <v>6.92</v>
      </c>
      <c r="M12180" s="787">
        <v>20</v>
      </c>
      <c r="N12180" s="787">
        <v>7.44</v>
      </c>
      <c r="O12180" s="788">
        <v>42164</v>
      </c>
    </row>
    <row r="12181" spans="1:15" x14ac:dyDescent="0.25">
      <c r="A12181" s="786" t="s">
        <v>21715</v>
      </c>
      <c r="B12181" s="787">
        <v>4</v>
      </c>
      <c r="C12181" s="787" t="s">
        <v>21716</v>
      </c>
      <c r="D12181" s="787">
        <v>0</v>
      </c>
      <c r="E12181" s="787">
        <v>0</v>
      </c>
      <c r="H12181" s="787">
        <v>1</v>
      </c>
      <c r="I12181" s="788">
        <v>41992</v>
      </c>
      <c r="L12181" s="787">
        <v>20.3</v>
      </c>
      <c r="M12181" s="787">
        <v>20</v>
      </c>
      <c r="N12181" s="787">
        <v>21.82</v>
      </c>
      <c r="O12181" s="788">
        <v>42164</v>
      </c>
    </row>
    <row r="12182" spans="1:15" x14ac:dyDescent="0.25">
      <c r="A12182" s="786" t="s">
        <v>21717</v>
      </c>
      <c r="B12182" s="787">
        <v>4</v>
      </c>
      <c r="C12182" s="787" t="s">
        <v>21718</v>
      </c>
      <c r="D12182" s="787">
        <v>0</v>
      </c>
      <c r="E12182" s="787">
        <v>0</v>
      </c>
      <c r="H12182" s="787">
        <v>1</v>
      </c>
      <c r="L12182" s="787">
        <v>104.32</v>
      </c>
      <c r="M12182" s="787">
        <v>20</v>
      </c>
      <c r="N12182" s="787">
        <v>112.14</v>
      </c>
      <c r="O12182" s="788">
        <v>42164</v>
      </c>
    </row>
    <row r="12183" spans="1:15" x14ac:dyDescent="0.25">
      <c r="A12183" s="786" t="s">
        <v>21719</v>
      </c>
      <c r="B12183" s="787">
        <v>4</v>
      </c>
      <c r="C12183" s="787" t="s">
        <v>21720</v>
      </c>
      <c r="D12183" s="787">
        <v>0</v>
      </c>
      <c r="E12183" s="787">
        <v>0</v>
      </c>
      <c r="H12183" s="787">
        <v>1</v>
      </c>
      <c r="L12183" s="789">
        <v>1722</v>
      </c>
      <c r="M12183" s="787">
        <v>20</v>
      </c>
      <c r="N12183" s="789">
        <v>1851.15</v>
      </c>
      <c r="O12183" s="788">
        <v>42164</v>
      </c>
    </row>
    <row r="12184" spans="1:15" x14ac:dyDescent="0.25">
      <c r="A12184" s="786" t="s">
        <v>21721</v>
      </c>
      <c r="B12184" s="787">
        <v>4</v>
      </c>
      <c r="C12184" s="787" t="s">
        <v>21722</v>
      </c>
      <c r="D12184" s="787">
        <v>3.29</v>
      </c>
      <c r="E12184" s="787">
        <v>263.29000000000002</v>
      </c>
      <c r="F12184" s="788">
        <v>41981</v>
      </c>
      <c r="G12184" s="788">
        <v>42008</v>
      </c>
      <c r="H12184" s="787">
        <v>1</v>
      </c>
      <c r="I12184" s="788">
        <v>41992</v>
      </c>
      <c r="J12184" s="788">
        <v>41977</v>
      </c>
      <c r="L12184" s="787">
        <v>283</v>
      </c>
      <c r="M12184" s="787">
        <v>20</v>
      </c>
      <c r="N12184" s="787">
        <v>304.23</v>
      </c>
      <c r="O12184" s="788">
        <v>42164</v>
      </c>
    </row>
    <row r="12185" spans="1:15" x14ac:dyDescent="0.25">
      <c r="A12185" s="786" t="s">
        <v>21723</v>
      </c>
      <c r="B12185" s="787">
        <v>4</v>
      </c>
      <c r="C12185" s="787" t="s">
        <v>21724</v>
      </c>
      <c r="D12185" s="787">
        <v>0</v>
      </c>
      <c r="E12185" s="787">
        <v>0</v>
      </c>
      <c r="H12185" s="787">
        <v>1</v>
      </c>
      <c r="L12185" s="787">
        <v>66.5</v>
      </c>
      <c r="M12185" s="787">
        <v>20</v>
      </c>
      <c r="N12185" s="787">
        <v>71.489999999999995</v>
      </c>
      <c r="O12185" s="788">
        <v>42164</v>
      </c>
    </row>
    <row r="12186" spans="1:15" x14ac:dyDescent="0.25">
      <c r="A12186" s="786" t="s">
        <v>21725</v>
      </c>
      <c r="B12186" s="787">
        <v>4</v>
      </c>
      <c r="C12186" s="787" t="s">
        <v>21726</v>
      </c>
      <c r="D12186" s="787">
        <v>0</v>
      </c>
      <c r="E12186" s="787">
        <v>0</v>
      </c>
      <c r="H12186" s="787">
        <v>1</v>
      </c>
      <c r="L12186" s="787">
        <v>146.4</v>
      </c>
      <c r="M12186" s="787">
        <v>20</v>
      </c>
      <c r="N12186" s="787">
        <v>157.38</v>
      </c>
      <c r="O12186" s="788">
        <v>42164</v>
      </c>
    </row>
    <row r="12187" spans="1:15" x14ac:dyDescent="0.25">
      <c r="A12187" s="786" t="s">
        <v>21727</v>
      </c>
      <c r="B12187" s="787">
        <v>4</v>
      </c>
      <c r="C12187" s="787" t="s">
        <v>21728</v>
      </c>
      <c r="D12187" s="787">
        <v>0</v>
      </c>
      <c r="E12187" s="787">
        <v>0</v>
      </c>
      <c r="H12187" s="787">
        <v>1</v>
      </c>
      <c r="L12187" s="789">
        <v>2305</v>
      </c>
      <c r="M12187" s="787">
        <v>20</v>
      </c>
      <c r="N12187" s="789">
        <v>2477.88</v>
      </c>
      <c r="O12187" s="788">
        <v>42164</v>
      </c>
    </row>
    <row r="12188" spans="1:15" x14ac:dyDescent="0.25">
      <c r="A12188" s="786" t="s">
        <v>21729</v>
      </c>
      <c r="B12188" s="787">
        <v>4</v>
      </c>
      <c r="C12188" s="787" t="s">
        <v>21726</v>
      </c>
      <c r="D12188" s="787">
        <v>0</v>
      </c>
      <c r="E12188" s="787">
        <v>0</v>
      </c>
      <c r="H12188" s="787">
        <v>1</v>
      </c>
      <c r="L12188" s="787">
        <v>173.2</v>
      </c>
      <c r="M12188" s="787">
        <v>20</v>
      </c>
      <c r="N12188" s="787">
        <v>186.19</v>
      </c>
      <c r="O12188" s="788">
        <v>42164</v>
      </c>
    </row>
    <row r="12189" spans="1:15" x14ac:dyDescent="0.25">
      <c r="A12189" s="786" t="s">
        <v>21730</v>
      </c>
      <c r="B12189" s="787">
        <v>4</v>
      </c>
      <c r="C12189" s="787" t="s">
        <v>21704</v>
      </c>
      <c r="D12189" s="787">
        <v>0</v>
      </c>
      <c r="E12189" s="787">
        <v>0</v>
      </c>
      <c r="H12189" s="787">
        <v>1</v>
      </c>
      <c r="L12189" s="787">
        <v>30.8</v>
      </c>
      <c r="M12189" s="787">
        <v>20</v>
      </c>
      <c r="N12189" s="787">
        <v>33.11</v>
      </c>
      <c r="O12189" s="788">
        <v>42164</v>
      </c>
    </row>
    <row r="12190" spans="1:15" x14ac:dyDescent="0.25">
      <c r="A12190" s="786" t="s">
        <v>21731</v>
      </c>
      <c r="B12190" s="787">
        <v>4</v>
      </c>
      <c r="C12190" s="787" t="s">
        <v>21732</v>
      </c>
      <c r="D12190" s="787">
        <v>6.96</v>
      </c>
      <c r="E12190" s="787">
        <v>56.96</v>
      </c>
      <c r="F12190" s="788">
        <v>41948</v>
      </c>
      <c r="G12190" s="788">
        <v>41974</v>
      </c>
      <c r="H12190" s="787">
        <v>1</v>
      </c>
      <c r="J12190" s="788">
        <v>41949</v>
      </c>
      <c r="K12190" s="788">
        <v>41947</v>
      </c>
      <c r="L12190" s="787">
        <v>55.14</v>
      </c>
      <c r="M12190" s="787">
        <v>20</v>
      </c>
      <c r="N12190" s="787">
        <v>59.28</v>
      </c>
      <c r="O12190" s="788">
        <v>42164</v>
      </c>
    </row>
    <row r="12191" spans="1:15" x14ac:dyDescent="0.25">
      <c r="A12191" s="786" t="s">
        <v>21733</v>
      </c>
      <c r="B12191" s="787">
        <v>4</v>
      </c>
      <c r="C12191" s="787" t="s">
        <v>21734</v>
      </c>
      <c r="D12191" s="787">
        <v>0</v>
      </c>
      <c r="E12191" s="787">
        <v>0</v>
      </c>
      <c r="H12191" s="787">
        <v>1</v>
      </c>
      <c r="L12191" s="787">
        <v>133.1</v>
      </c>
      <c r="M12191" s="787">
        <v>20</v>
      </c>
      <c r="N12191" s="787">
        <v>143.08000000000001</v>
      </c>
      <c r="O12191" s="788">
        <v>42164</v>
      </c>
    </row>
    <row r="12192" spans="1:15" x14ac:dyDescent="0.25">
      <c r="A12192" s="786" t="s">
        <v>21735</v>
      </c>
      <c r="B12192" s="787">
        <v>4</v>
      </c>
      <c r="C12192" s="787" t="s">
        <v>21736</v>
      </c>
      <c r="D12192" s="787">
        <v>0</v>
      </c>
      <c r="E12192" s="787">
        <v>0</v>
      </c>
      <c r="H12192" s="787">
        <v>1</v>
      </c>
      <c r="L12192" s="787">
        <v>203.5</v>
      </c>
      <c r="M12192" s="787">
        <v>20</v>
      </c>
      <c r="N12192" s="787">
        <v>218.76</v>
      </c>
      <c r="O12192" s="788">
        <v>42164</v>
      </c>
    </row>
    <row r="12193" spans="1:15" x14ac:dyDescent="0.25">
      <c r="A12193" s="786" t="s">
        <v>21737</v>
      </c>
      <c r="B12193" s="787">
        <v>4</v>
      </c>
      <c r="C12193" s="787" t="s">
        <v>21738</v>
      </c>
      <c r="D12193" s="787">
        <v>6.08</v>
      </c>
      <c r="E12193" s="787">
        <v>241.04</v>
      </c>
      <c r="F12193" s="788">
        <v>41603</v>
      </c>
      <c r="G12193" s="788">
        <v>41943</v>
      </c>
      <c r="H12193" s="787">
        <v>1</v>
      </c>
      <c r="I12193" s="788">
        <v>41894</v>
      </c>
      <c r="J12193" s="788">
        <v>41683</v>
      </c>
      <c r="K12193" s="788">
        <v>41855</v>
      </c>
      <c r="L12193" s="787">
        <v>241.04</v>
      </c>
      <c r="M12193" s="787">
        <v>20</v>
      </c>
      <c r="N12193" s="787">
        <v>259.12</v>
      </c>
      <c r="O12193" s="788">
        <v>42164</v>
      </c>
    </row>
    <row r="12194" spans="1:15" x14ac:dyDescent="0.25">
      <c r="A12194" s="786" t="s">
        <v>21739</v>
      </c>
      <c r="B12194" s="787">
        <v>4</v>
      </c>
      <c r="C12194" s="787" t="s">
        <v>21740</v>
      </c>
      <c r="D12194" s="787">
        <v>2.35</v>
      </c>
      <c r="E12194" s="787">
        <v>392.35</v>
      </c>
      <c r="F12194" s="788">
        <v>41491</v>
      </c>
      <c r="G12194" s="788">
        <v>41513</v>
      </c>
      <c r="H12194" s="787">
        <v>1</v>
      </c>
      <c r="I12194" s="788">
        <v>41487</v>
      </c>
      <c r="J12194" s="788">
        <v>41487</v>
      </c>
      <c r="K12194" s="788">
        <v>41855</v>
      </c>
      <c r="L12194" s="787">
        <v>392.35</v>
      </c>
      <c r="M12194" s="787">
        <v>20</v>
      </c>
      <c r="N12194" s="787">
        <v>421.78</v>
      </c>
      <c r="O12194" s="788">
        <v>42164</v>
      </c>
    </row>
    <row r="12195" spans="1:15" x14ac:dyDescent="0.25">
      <c r="A12195" s="786" t="s">
        <v>21741</v>
      </c>
      <c r="B12195" s="787">
        <v>4</v>
      </c>
      <c r="C12195" s="787" t="s">
        <v>21742</v>
      </c>
      <c r="D12195" s="787">
        <v>5.6</v>
      </c>
      <c r="E12195" s="787">
        <v>615.6</v>
      </c>
      <c r="F12195" s="788">
        <v>41158</v>
      </c>
      <c r="G12195" s="788">
        <v>41206</v>
      </c>
      <c r="H12195" s="787">
        <v>1</v>
      </c>
      <c r="I12195" s="788">
        <v>41191</v>
      </c>
      <c r="J12195" s="788">
        <v>41179</v>
      </c>
      <c r="K12195" s="788">
        <v>41855</v>
      </c>
      <c r="L12195" s="787">
        <v>615.6</v>
      </c>
      <c r="M12195" s="787">
        <v>20</v>
      </c>
      <c r="N12195" s="787">
        <v>661.77</v>
      </c>
      <c r="O12195" s="788">
        <v>42164</v>
      </c>
    </row>
    <row r="12196" spans="1:15" x14ac:dyDescent="0.25">
      <c r="A12196" s="786" t="s">
        <v>21743</v>
      </c>
      <c r="B12196" s="787">
        <v>4</v>
      </c>
      <c r="C12196" s="787" t="s">
        <v>21744</v>
      </c>
      <c r="D12196" s="787">
        <v>1.32</v>
      </c>
      <c r="E12196" s="789">
        <v>1411.32</v>
      </c>
      <c r="F12196" s="788">
        <v>41981</v>
      </c>
      <c r="G12196" s="788">
        <v>42008</v>
      </c>
      <c r="H12196" s="787">
        <v>1</v>
      </c>
      <c r="I12196" s="788">
        <v>41992</v>
      </c>
      <c r="J12196" s="788">
        <v>41977</v>
      </c>
      <c r="L12196" s="789">
        <v>1517</v>
      </c>
      <c r="M12196" s="787">
        <v>20</v>
      </c>
      <c r="N12196" s="789">
        <v>1630.78</v>
      </c>
      <c r="O12196" s="788">
        <v>42164</v>
      </c>
    </row>
    <row r="12197" spans="1:15" x14ac:dyDescent="0.25">
      <c r="A12197" s="786" t="s">
        <v>21745</v>
      </c>
      <c r="B12197" s="787">
        <v>4</v>
      </c>
      <c r="C12197" s="787" t="s">
        <v>21704</v>
      </c>
      <c r="D12197" s="787">
        <v>0</v>
      </c>
      <c r="E12197" s="787">
        <v>0</v>
      </c>
      <c r="H12197" s="787">
        <v>1</v>
      </c>
      <c r="L12197" s="787">
        <v>5.5</v>
      </c>
      <c r="M12197" s="787">
        <v>20</v>
      </c>
      <c r="N12197" s="787">
        <v>5.91</v>
      </c>
      <c r="O12197" s="788">
        <v>42164</v>
      </c>
    </row>
    <row r="12198" spans="1:15" x14ac:dyDescent="0.25">
      <c r="A12198" s="786" t="s">
        <v>21746</v>
      </c>
      <c r="B12198" s="787">
        <v>4</v>
      </c>
      <c r="C12198" s="787" t="s">
        <v>21704</v>
      </c>
      <c r="D12198" s="787">
        <v>0</v>
      </c>
      <c r="E12198" s="787">
        <v>0</v>
      </c>
      <c r="H12198" s="787">
        <v>1</v>
      </c>
      <c r="L12198" s="787">
        <v>23.3</v>
      </c>
      <c r="M12198" s="787">
        <v>20</v>
      </c>
      <c r="N12198" s="787">
        <v>25.05</v>
      </c>
      <c r="O12198" s="788">
        <v>42164</v>
      </c>
    </row>
    <row r="12199" spans="1:15" x14ac:dyDescent="0.25">
      <c r="A12199" s="786" t="s">
        <v>21747</v>
      </c>
      <c r="B12199" s="787">
        <v>4</v>
      </c>
      <c r="C12199" s="787" t="s">
        <v>21748</v>
      </c>
      <c r="D12199" s="787">
        <v>8.32</v>
      </c>
      <c r="E12199" s="787">
        <v>18.32</v>
      </c>
      <c r="F12199" s="788">
        <v>41676</v>
      </c>
      <c r="G12199" s="788">
        <v>41943</v>
      </c>
      <c r="H12199" s="787">
        <v>1</v>
      </c>
      <c r="I12199" s="788">
        <v>42072</v>
      </c>
      <c r="J12199" s="788">
        <v>41681</v>
      </c>
      <c r="L12199" s="787">
        <v>18.32</v>
      </c>
      <c r="M12199" s="787">
        <v>20</v>
      </c>
      <c r="N12199" s="787">
        <v>19.690000000000001</v>
      </c>
      <c r="O12199" s="788">
        <v>42146</v>
      </c>
    </row>
    <row r="12200" spans="1:15" x14ac:dyDescent="0.25">
      <c r="A12200" s="786" t="s">
        <v>21749</v>
      </c>
      <c r="B12200" s="787">
        <v>4</v>
      </c>
      <c r="C12200" s="787" t="s">
        <v>21750</v>
      </c>
      <c r="D12200" s="787">
        <v>3.35</v>
      </c>
      <c r="E12200" s="787">
        <v>39.869999999999997</v>
      </c>
      <c r="F12200" s="788">
        <v>40779</v>
      </c>
      <c r="G12200" s="788">
        <v>40914</v>
      </c>
      <c r="H12200" s="787">
        <v>1</v>
      </c>
      <c r="I12200" s="788">
        <v>41059</v>
      </c>
      <c r="J12200" s="788">
        <v>40780</v>
      </c>
      <c r="L12200" s="787">
        <v>39.869999999999997</v>
      </c>
      <c r="M12200" s="787">
        <v>20</v>
      </c>
      <c r="N12200" s="787">
        <v>42.86</v>
      </c>
      <c r="O12200" s="788">
        <v>41858</v>
      </c>
    </row>
    <row r="12201" spans="1:15" x14ac:dyDescent="0.25">
      <c r="A12201" s="786" t="s">
        <v>21751</v>
      </c>
      <c r="B12201" s="787">
        <v>4</v>
      </c>
      <c r="C12201" s="787" t="s">
        <v>21752</v>
      </c>
      <c r="D12201" s="787">
        <v>4.66</v>
      </c>
      <c r="E12201" s="787">
        <v>5.73</v>
      </c>
      <c r="F12201" s="788">
        <v>40721</v>
      </c>
      <c r="G12201" s="788">
        <v>40914</v>
      </c>
      <c r="H12201" s="787">
        <v>1</v>
      </c>
      <c r="I12201" s="788">
        <v>40793</v>
      </c>
      <c r="J12201" s="788">
        <v>40780</v>
      </c>
      <c r="K12201" s="788">
        <v>41855</v>
      </c>
      <c r="L12201" s="787">
        <v>5.73</v>
      </c>
      <c r="M12201" s="787">
        <v>20</v>
      </c>
      <c r="N12201" s="787">
        <v>6.16</v>
      </c>
      <c r="O12201" s="788">
        <v>41858</v>
      </c>
    </row>
    <row r="12202" spans="1:15" x14ac:dyDescent="0.25">
      <c r="A12202" s="786" t="s">
        <v>21753</v>
      </c>
      <c r="B12202" s="787">
        <v>4</v>
      </c>
      <c r="C12202" s="787" t="s">
        <v>21754</v>
      </c>
      <c r="D12202" s="787">
        <v>6.7</v>
      </c>
      <c r="E12202" s="787">
        <v>8.24</v>
      </c>
      <c r="F12202" s="788">
        <v>40721</v>
      </c>
      <c r="G12202" s="788">
        <v>41255</v>
      </c>
      <c r="H12202" s="787">
        <v>1</v>
      </c>
      <c r="I12202" s="788">
        <v>40793</v>
      </c>
      <c r="J12202" s="788">
        <v>40780</v>
      </c>
      <c r="L12202" s="787">
        <v>8.24</v>
      </c>
      <c r="M12202" s="787">
        <v>20</v>
      </c>
      <c r="N12202" s="787">
        <v>8.86</v>
      </c>
      <c r="O12202" s="788">
        <v>41858</v>
      </c>
    </row>
    <row r="12203" spans="1:15" x14ac:dyDescent="0.25">
      <c r="A12203" s="786" t="s">
        <v>21755</v>
      </c>
      <c r="B12203" s="787">
        <v>4</v>
      </c>
      <c r="C12203" s="787" t="s">
        <v>21756</v>
      </c>
      <c r="D12203" s="787">
        <v>0</v>
      </c>
      <c r="E12203" s="787">
        <v>0</v>
      </c>
      <c r="H12203" s="787">
        <v>6</v>
      </c>
      <c r="J12203" s="788">
        <v>37649</v>
      </c>
      <c r="L12203" s="787">
        <v>0</v>
      </c>
      <c r="M12203" s="787">
        <v>20</v>
      </c>
      <c r="N12203" s="787">
        <v>0</v>
      </c>
      <c r="O12203" s="788">
        <v>40824</v>
      </c>
    </row>
    <row r="12204" spans="1:15" x14ac:dyDescent="0.25">
      <c r="A12204" s="786" t="s">
        <v>21757</v>
      </c>
      <c r="B12204" s="787">
        <v>4</v>
      </c>
      <c r="C12204" s="787" t="s">
        <v>21758</v>
      </c>
      <c r="D12204" s="787">
        <v>8.25</v>
      </c>
      <c r="E12204" s="787">
        <v>8.25</v>
      </c>
      <c r="F12204" s="788">
        <v>37649</v>
      </c>
      <c r="G12204" s="788">
        <v>37649</v>
      </c>
      <c r="H12204" s="787">
        <v>1</v>
      </c>
      <c r="J12204" s="788">
        <v>37649</v>
      </c>
      <c r="K12204" s="788">
        <v>41855</v>
      </c>
      <c r="L12204" s="787">
        <v>8.25</v>
      </c>
      <c r="M12204" s="787">
        <v>20</v>
      </c>
      <c r="N12204" s="787">
        <v>8.8699999999999992</v>
      </c>
      <c r="O12204" s="788">
        <v>41858</v>
      </c>
    </row>
    <row r="12205" spans="1:15" x14ac:dyDescent="0.25">
      <c r="A12205" s="786" t="s">
        <v>21759</v>
      </c>
      <c r="B12205" s="787">
        <v>4</v>
      </c>
      <c r="C12205" s="787" t="s">
        <v>21760</v>
      </c>
      <c r="D12205" s="787">
        <v>2.59</v>
      </c>
      <c r="E12205" s="787">
        <v>22.59</v>
      </c>
      <c r="F12205" s="788">
        <v>39101</v>
      </c>
      <c r="G12205" s="788">
        <v>39101</v>
      </c>
      <c r="H12205" s="787">
        <v>1</v>
      </c>
      <c r="I12205" s="788">
        <v>39384</v>
      </c>
      <c r="J12205" s="788">
        <v>39101</v>
      </c>
      <c r="L12205" s="787">
        <v>24.62</v>
      </c>
      <c r="M12205" s="787">
        <v>20</v>
      </c>
      <c r="N12205" s="787">
        <v>26.47</v>
      </c>
      <c r="O12205" s="788">
        <v>41858</v>
      </c>
    </row>
    <row r="12206" spans="1:15" x14ac:dyDescent="0.25">
      <c r="A12206" s="786" t="s">
        <v>21761</v>
      </c>
      <c r="B12206" s="787">
        <v>4</v>
      </c>
      <c r="C12206" s="787" t="s">
        <v>21762</v>
      </c>
      <c r="D12206" s="787">
        <v>5.73</v>
      </c>
      <c r="E12206" s="787">
        <v>20.2</v>
      </c>
      <c r="F12206" s="788">
        <v>38047</v>
      </c>
      <c r="G12206" s="788">
        <v>40724</v>
      </c>
      <c r="H12206" s="787">
        <v>1</v>
      </c>
      <c r="I12206" s="788">
        <v>40576</v>
      </c>
      <c r="J12206" s="788">
        <v>40725</v>
      </c>
      <c r="K12206" s="788">
        <v>41855</v>
      </c>
      <c r="L12206" s="787">
        <v>20.2</v>
      </c>
      <c r="M12206" s="787">
        <v>20</v>
      </c>
      <c r="N12206" s="787">
        <v>21.72</v>
      </c>
      <c r="O12206" s="788">
        <v>41858</v>
      </c>
    </row>
    <row r="12207" spans="1:15" x14ac:dyDescent="0.25">
      <c r="A12207" s="786" t="s">
        <v>21763</v>
      </c>
      <c r="B12207" s="787">
        <v>4</v>
      </c>
      <c r="C12207" s="787" t="s">
        <v>21764</v>
      </c>
      <c r="D12207" s="787">
        <v>2.06</v>
      </c>
      <c r="E12207" s="787">
        <v>12.06</v>
      </c>
      <c r="F12207" s="788">
        <v>37649</v>
      </c>
      <c r="G12207" s="788">
        <v>37649</v>
      </c>
      <c r="H12207" s="787">
        <v>1</v>
      </c>
      <c r="J12207" s="788">
        <v>37649</v>
      </c>
      <c r="L12207" s="787">
        <v>13.15</v>
      </c>
      <c r="M12207" s="787">
        <v>20</v>
      </c>
      <c r="N12207" s="787">
        <v>14.14</v>
      </c>
      <c r="O12207" s="788">
        <v>41858</v>
      </c>
    </row>
    <row r="12208" spans="1:15" x14ac:dyDescent="0.25">
      <c r="A12208" s="786" t="s">
        <v>21765</v>
      </c>
      <c r="B12208" s="787">
        <v>4</v>
      </c>
      <c r="C12208" s="787" t="s">
        <v>21766</v>
      </c>
      <c r="D12208" s="787">
        <v>5.75</v>
      </c>
      <c r="E12208" s="787">
        <v>7.02</v>
      </c>
      <c r="F12208" s="788">
        <v>41907</v>
      </c>
      <c r="G12208" s="788">
        <v>42091</v>
      </c>
      <c r="H12208" s="787">
        <v>1</v>
      </c>
      <c r="I12208" s="788">
        <v>42159</v>
      </c>
      <c r="J12208" s="788">
        <v>42083</v>
      </c>
      <c r="K12208" s="788">
        <v>41900</v>
      </c>
      <c r="L12208" s="787">
        <v>6.12</v>
      </c>
      <c r="M12208" s="787">
        <v>20</v>
      </c>
      <c r="N12208" s="787">
        <v>28.81</v>
      </c>
      <c r="O12208" s="788">
        <v>41858</v>
      </c>
    </row>
    <row r="12209" spans="1:15" x14ac:dyDescent="0.25">
      <c r="A12209" s="786" t="s">
        <v>21767</v>
      </c>
      <c r="B12209" s="787">
        <v>4</v>
      </c>
      <c r="C12209" s="787" t="s">
        <v>21768</v>
      </c>
      <c r="D12209" s="787">
        <v>0.3</v>
      </c>
      <c r="E12209" s="787">
        <v>10.3</v>
      </c>
      <c r="F12209" s="788">
        <v>37287</v>
      </c>
      <c r="G12209" s="788">
        <v>37287</v>
      </c>
      <c r="H12209" s="787">
        <v>1</v>
      </c>
      <c r="J12209" s="788">
        <v>37649</v>
      </c>
      <c r="K12209" s="788">
        <v>41855</v>
      </c>
      <c r="L12209" s="787">
        <v>10.3</v>
      </c>
      <c r="M12209" s="787">
        <v>20</v>
      </c>
      <c r="N12209" s="787">
        <v>11.07</v>
      </c>
      <c r="O12209" s="788">
        <v>41858</v>
      </c>
    </row>
    <row r="12210" spans="1:15" x14ac:dyDescent="0.25">
      <c r="A12210" s="786" t="s">
        <v>21769</v>
      </c>
      <c r="B12210" s="787">
        <v>4</v>
      </c>
      <c r="C12210" s="787" t="s">
        <v>21770</v>
      </c>
      <c r="D12210" s="787">
        <v>7.91</v>
      </c>
      <c r="E12210" s="787">
        <v>17.91</v>
      </c>
      <c r="F12210" s="788">
        <v>37287</v>
      </c>
      <c r="G12210" s="788">
        <v>37287</v>
      </c>
      <c r="H12210" s="787">
        <v>6</v>
      </c>
      <c r="J12210" s="788">
        <v>37649</v>
      </c>
      <c r="L12210" s="787">
        <v>19.52</v>
      </c>
      <c r="M12210" s="787">
        <v>20</v>
      </c>
      <c r="N12210" s="787">
        <v>19.25</v>
      </c>
      <c r="O12210" s="788">
        <v>41806</v>
      </c>
    </row>
    <row r="12211" spans="1:15" x14ac:dyDescent="0.25">
      <c r="A12211" s="786" t="s">
        <v>21771</v>
      </c>
      <c r="B12211" s="787">
        <v>4</v>
      </c>
      <c r="C12211" s="787" t="s">
        <v>21772</v>
      </c>
      <c r="D12211" s="787">
        <v>7.91</v>
      </c>
      <c r="E12211" s="787">
        <v>17.91</v>
      </c>
      <c r="F12211" s="788">
        <v>37287</v>
      </c>
      <c r="G12211" s="788">
        <v>37287</v>
      </c>
      <c r="H12211" s="787">
        <v>1</v>
      </c>
      <c r="J12211" s="788">
        <v>37649</v>
      </c>
      <c r="K12211" s="788">
        <v>41855</v>
      </c>
      <c r="L12211" s="787">
        <v>17.91</v>
      </c>
      <c r="M12211" s="787">
        <v>20</v>
      </c>
      <c r="N12211" s="787">
        <v>19.25</v>
      </c>
      <c r="O12211" s="788">
        <v>41858</v>
      </c>
    </row>
    <row r="12212" spans="1:15" x14ac:dyDescent="0.25">
      <c r="A12212" s="786" t="s">
        <v>21773</v>
      </c>
      <c r="B12212" s="787">
        <v>4</v>
      </c>
      <c r="C12212" s="787" t="s">
        <v>21774</v>
      </c>
      <c r="D12212" s="787">
        <v>1.53</v>
      </c>
      <c r="E12212" s="787">
        <v>1.53</v>
      </c>
      <c r="F12212" s="788">
        <v>37287</v>
      </c>
      <c r="G12212" s="788">
        <v>37287</v>
      </c>
      <c r="H12212" s="787">
        <v>1</v>
      </c>
      <c r="J12212" s="788">
        <v>37649</v>
      </c>
      <c r="K12212" s="788">
        <v>41856</v>
      </c>
      <c r="L12212" s="787">
        <v>1.53</v>
      </c>
      <c r="M12212" s="787">
        <v>20</v>
      </c>
      <c r="N12212" s="787">
        <v>1.64</v>
      </c>
      <c r="O12212" s="788">
        <v>41858</v>
      </c>
    </row>
    <row r="12213" spans="1:15" x14ac:dyDescent="0.25">
      <c r="A12213" s="786" t="s">
        <v>21775</v>
      </c>
      <c r="B12213" s="787">
        <v>4</v>
      </c>
      <c r="C12213" s="787" t="s">
        <v>21776</v>
      </c>
      <c r="D12213" s="787">
        <v>1.79</v>
      </c>
      <c r="E12213" s="787">
        <v>1.79</v>
      </c>
      <c r="F12213" s="788">
        <v>37287</v>
      </c>
      <c r="G12213" s="788">
        <v>37287</v>
      </c>
      <c r="H12213" s="787">
        <v>1</v>
      </c>
      <c r="J12213" s="788">
        <v>37649</v>
      </c>
      <c r="K12213" s="788">
        <v>41856</v>
      </c>
      <c r="L12213" s="787">
        <v>2.2599999999999998</v>
      </c>
      <c r="M12213" s="787">
        <v>20</v>
      </c>
      <c r="N12213" s="787">
        <v>2.4300000000000002</v>
      </c>
      <c r="O12213" s="788">
        <v>41858</v>
      </c>
    </row>
    <row r="12214" spans="1:15" x14ac:dyDescent="0.25">
      <c r="A12214" s="786" t="s">
        <v>21777</v>
      </c>
      <c r="B12214" s="787">
        <v>4</v>
      </c>
      <c r="C12214" s="787" t="s">
        <v>21778</v>
      </c>
      <c r="D12214" s="787">
        <v>3.38</v>
      </c>
      <c r="E12214" s="787">
        <v>3.38</v>
      </c>
      <c r="F12214" s="788">
        <v>42086</v>
      </c>
      <c r="G12214" s="788">
        <v>42086</v>
      </c>
      <c r="H12214" s="787">
        <v>1</v>
      </c>
      <c r="I12214" s="788">
        <v>40576</v>
      </c>
      <c r="J12214" s="788">
        <v>42069</v>
      </c>
      <c r="K12214" s="788">
        <v>42066</v>
      </c>
      <c r="L12214" s="787">
        <v>17.899999999999999</v>
      </c>
      <c r="M12214" s="787">
        <v>20</v>
      </c>
      <c r="N12214" s="787">
        <v>19.239999999999998</v>
      </c>
      <c r="O12214" s="788">
        <v>42066</v>
      </c>
    </row>
    <row r="12215" spans="1:15" x14ac:dyDescent="0.25">
      <c r="A12215" s="786" t="s">
        <v>21779</v>
      </c>
      <c r="B12215" s="787">
        <v>4</v>
      </c>
      <c r="C12215" s="787" t="s">
        <v>21780</v>
      </c>
      <c r="D12215" s="787">
        <v>0.95</v>
      </c>
      <c r="E12215" s="787">
        <v>0.95</v>
      </c>
      <c r="F12215" s="788">
        <v>39101</v>
      </c>
      <c r="G12215" s="788">
        <v>39101</v>
      </c>
      <c r="H12215" s="787">
        <v>1</v>
      </c>
      <c r="I12215" s="788">
        <v>40695</v>
      </c>
      <c r="J12215" s="788">
        <v>39149</v>
      </c>
      <c r="L12215" s="787">
        <v>0.95</v>
      </c>
      <c r="M12215" s="787">
        <v>20</v>
      </c>
      <c r="N12215" s="787">
        <v>1.02</v>
      </c>
      <c r="O12215" s="788">
        <v>42164</v>
      </c>
    </row>
    <row r="12216" spans="1:15" x14ac:dyDescent="0.25">
      <c r="A12216" s="786" t="s">
        <v>21781</v>
      </c>
      <c r="B12216" s="787">
        <v>4</v>
      </c>
      <c r="C12216" s="787" t="s">
        <v>21782</v>
      </c>
      <c r="D12216" s="787">
        <v>0.03</v>
      </c>
      <c r="E12216" s="787">
        <v>0.03</v>
      </c>
      <c r="F12216" s="788">
        <v>38047</v>
      </c>
      <c r="G12216" s="788">
        <v>38736</v>
      </c>
      <c r="H12216" s="787">
        <v>1</v>
      </c>
      <c r="I12216" s="788">
        <v>39134</v>
      </c>
      <c r="J12216" s="788">
        <v>38047</v>
      </c>
      <c r="L12216" s="787">
        <v>0.03</v>
      </c>
      <c r="M12216" s="787">
        <v>20</v>
      </c>
      <c r="N12216" s="787">
        <v>0.03</v>
      </c>
      <c r="O12216" s="788">
        <v>41858</v>
      </c>
    </row>
    <row r="12217" spans="1:15" x14ac:dyDescent="0.25">
      <c r="A12217" s="786" t="s">
        <v>21783</v>
      </c>
      <c r="B12217" s="787">
        <v>4</v>
      </c>
      <c r="C12217" s="787" t="s">
        <v>21784</v>
      </c>
      <c r="D12217" s="787">
        <v>1.75</v>
      </c>
      <c r="E12217" s="787">
        <v>11.75</v>
      </c>
      <c r="F12217" s="788">
        <v>41800</v>
      </c>
      <c r="G12217" s="788">
        <v>41795</v>
      </c>
      <c r="H12217" s="787">
        <v>1</v>
      </c>
      <c r="J12217" s="788">
        <v>41795</v>
      </c>
      <c r="K12217" s="788">
        <v>41793</v>
      </c>
      <c r="L12217" s="787">
        <v>12.5</v>
      </c>
      <c r="M12217" s="787">
        <v>20</v>
      </c>
      <c r="N12217" s="787">
        <v>13.44</v>
      </c>
      <c r="O12217" s="788">
        <v>41858</v>
      </c>
    </row>
    <row r="12218" spans="1:15" x14ac:dyDescent="0.25">
      <c r="A12218" s="786" t="s">
        <v>21785</v>
      </c>
      <c r="B12218" s="787">
        <v>4</v>
      </c>
      <c r="C12218" s="787" t="s">
        <v>21786</v>
      </c>
      <c r="D12218" s="787">
        <v>0</v>
      </c>
      <c r="E12218" s="787">
        <v>0</v>
      </c>
      <c r="H12218" s="787">
        <v>1</v>
      </c>
      <c r="K12218" s="788">
        <v>41857</v>
      </c>
      <c r="L12218" s="787">
        <v>1.1200000000000001</v>
      </c>
      <c r="M12218" s="787">
        <v>20</v>
      </c>
      <c r="N12218" s="787">
        <v>1.2</v>
      </c>
      <c r="O12218" s="788">
        <v>42164</v>
      </c>
    </row>
    <row r="12219" spans="1:15" x14ac:dyDescent="0.25">
      <c r="A12219" s="786" t="s">
        <v>21787</v>
      </c>
      <c r="B12219" s="787">
        <v>4</v>
      </c>
      <c r="C12219" s="787" t="s">
        <v>21788</v>
      </c>
      <c r="D12219" s="787">
        <v>0</v>
      </c>
      <c r="E12219" s="787">
        <v>0</v>
      </c>
      <c r="H12219" s="787">
        <v>1</v>
      </c>
      <c r="K12219" s="788">
        <v>41857</v>
      </c>
      <c r="L12219" s="787">
        <v>3.01</v>
      </c>
      <c r="M12219" s="787">
        <v>20</v>
      </c>
      <c r="N12219" s="787">
        <v>3.24</v>
      </c>
      <c r="O12219" s="788">
        <v>42164</v>
      </c>
    </row>
    <row r="12220" spans="1:15" x14ac:dyDescent="0.25">
      <c r="A12220" s="786" t="s">
        <v>21789</v>
      </c>
      <c r="B12220" s="787">
        <v>4</v>
      </c>
      <c r="C12220" s="787" t="s">
        <v>21790</v>
      </c>
      <c r="D12220" s="787">
        <v>1.61</v>
      </c>
      <c r="E12220" s="787">
        <v>1.61</v>
      </c>
      <c r="F12220" s="788">
        <v>38047</v>
      </c>
      <c r="G12220" s="788">
        <v>38736</v>
      </c>
      <c r="H12220" s="787">
        <v>6</v>
      </c>
      <c r="I12220" s="788">
        <v>39134</v>
      </c>
      <c r="J12220" s="788">
        <v>38047</v>
      </c>
      <c r="L12220" s="787">
        <v>1.75</v>
      </c>
      <c r="M12220" s="787">
        <v>20</v>
      </c>
      <c r="N12220" s="787">
        <v>1.73</v>
      </c>
      <c r="O12220" s="788">
        <v>41806</v>
      </c>
    </row>
    <row r="12221" spans="1:15" x14ac:dyDescent="0.25">
      <c r="A12221" s="786" t="s">
        <v>21791</v>
      </c>
      <c r="B12221" s="787">
        <v>4</v>
      </c>
      <c r="C12221" s="787" t="s">
        <v>21792</v>
      </c>
      <c r="D12221" s="787">
        <v>0</v>
      </c>
      <c r="E12221" s="787">
        <v>0</v>
      </c>
      <c r="H12221" s="787">
        <v>6</v>
      </c>
      <c r="J12221" s="788">
        <v>37649</v>
      </c>
      <c r="L12221" s="787">
        <v>0</v>
      </c>
      <c r="M12221" s="787">
        <v>20</v>
      </c>
      <c r="N12221" s="787">
        <v>0</v>
      </c>
      <c r="O12221" s="788">
        <v>40824</v>
      </c>
    </row>
    <row r="12222" spans="1:15" x14ac:dyDescent="0.25">
      <c r="A12222" s="786" t="s">
        <v>21793</v>
      </c>
      <c r="B12222" s="787">
        <v>4</v>
      </c>
      <c r="C12222" s="787" t="s">
        <v>21794</v>
      </c>
      <c r="D12222" s="787">
        <v>1.23</v>
      </c>
      <c r="E12222" s="787">
        <v>1.23</v>
      </c>
      <c r="F12222" s="788">
        <v>38047</v>
      </c>
      <c r="G12222" s="788">
        <v>38736</v>
      </c>
      <c r="H12222" s="787">
        <v>1</v>
      </c>
      <c r="I12222" s="788">
        <v>39134</v>
      </c>
      <c r="J12222" s="788">
        <v>38047</v>
      </c>
      <c r="K12222" s="788">
        <v>41856</v>
      </c>
      <c r="L12222" s="787">
        <v>9.1</v>
      </c>
      <c r="M12222" s="787">
        <v>20</v>
      </c>
      <c r="N12222" s="787">
        <v>9.7799999999999994</v>
      </c>
      <c r="O12222" s="788">
        <v>41858</v>
      </c>
    </row>
    <row r="12223" spans="1:15" x14ac:dyDescent="0.25">
      <c r="A12223" s="786" t="s">
        <v>21795</v>
      </c>
      <c r="B12223" s="787">
        <v>4</v>
      </c>
      <c r="C12223" s="787" t="s">
        <v>21796</v>
      </c>
      <c r="D12223" s="787">
        <v>0</v>
      </c>
      <c r="E12223" s="787">
        <v>0</v>
      </c>
      <c r="H12223" s="787">
        <v>1</v>
      </c>
      <c r="J12223" s="788">
        <v>37649</v>
      </c>
      <c r="L12223" s="787">
        <v>0</v>
      </c>
      <c r="M12223" s="787">
        <v>20</v>
      </c>
      <c r="N12223" s="787">
        <v>0</v>
      </c>
      <c r="O12223" s="788">
        <v>40824</v>
      </c>
    </row>
    <row r="12224" spans="1:15" x14ac:dyDescent="0.25">
      <c r="A12224" s="786" t="s">
        <v>21797</v>
      </c>
      <c r="B12224" s="787">
        <v>4</v>
      </c>
      <c r="C12224" s="787" t="s">
        <v>21798</v>
      </c>
      <c r="D12224" s="787">
        <v>3.21</v>
      </c>
      <c r="E12224" s="787">
        <v>2.4</v>
      </c>
      <c r="F12224" s="788">
        <v>39101</v>
      </c>
      <c r="G12224" s="788">
        <v>39101</v>
      </c>
      <c r="H12224" s="787">
        <v>1</v>
      </c>
      <c r="I12224" s="788">
        <v>39134</v>
      </c>
      <c r="J12224" s="788">
        <v>39149</v>
      </c>
      <c r="L12224" s="787">
        <v>2.62</v>
      </c>
      <c r="M12224" s="787">
        <v>20</v>
      </c>
      <c r="N12224" s="787">
        <v>2.82</v>
      </c>
      <c r="O12224" s="788">
        <v>41858</v>
      </c>
    </row>
    <row r="12225" spans="1:15" x14ac:dyDescent="0.25">
      <c r="A12225" s="786" t="s">
        <v>21799</v>
      </c>
      <c r="B12225" s="787">
        <v>4</v>
      </c>
      <c r="C12225" s="787" t="s">
        <v>21800</v>
      </c>
      <c r="D12225" s="787">
        <v>0</v>
      </c>
      <c r="E12225" s="787">
        <v>0</v>
      </c>
      <c r="H12225" s="787">
        <v>1</v>
      </c>
      <c r="J12225" s="788">
        <v>37649</v>
      </c>
      <c r="L12225" s="787">
        <v>0</v>
      </c>
      <c r="M12225" s="787">
        <v>20</v>
      </c>
      <c r="N12225" s="787">
        <v>0</v>
      </c>
      <c r="O12225" s="788">
        <v>40824</v>
      </c>
    </row>
    <row r="12226" spans="1:15" x14ac:dyDescent="0.25">
      <c r="A12226" s="786" t="s">
        <v>21801</v>
      </c>
      <c r="B12226" s="787">
        <v>4</v>
      </c>
      <c r="C12226" s="787" t="s">
        <v>21802</v>
      </c>
      <c r="D12226" s="787">
        <v>3.93</v>
      </c>
      <c r="E12226" s="787">
        <v>23.93</v>
      </c>
      <c r="F12226" s="788">
        <v>37649</v>
      </c>
      <c r="G12226" s="788">
        <v>37649</v>
      </c>
      <c r="H12226" s="787">
        <v>6</v>
      </c>
      <c r="J12226" s="788">
        <v>37649</v>
      </c>
      <c r="L12226" s="787">
        <v>26.08</v>
      </c>
      <c r="M12226" s="787">
        <v>20</v>
      </c>
      <c r="N12226" s="787">
        <v>25.72</v>
      </c>
      <c r="O12226" s="788">
        <v>41806</v>
      </c>
    </row>
    <row r="12227" spans="1:15" x14ac:dyDescent="0.25">
      <c r="A12227" s="786" t="s">
        <v>21803</v>
      </c>
      <c r="B12227" s="787">
        <v>4</v>
      </c>
      <c r="C12227" s="787" t="s">
        <v>21804</v>
      </c>
      <c r="D12227" s="787">
        <v>3.94</v>
      </c>
      <c r="E12227" s="787">
        <v>113.94</v>
      </c>
      <c r="F12227" s="788">
        <v>38047</v>
      </c>
      <c r="G12227" s="788">
        <v>38364</v>
      </c>
      <c r="H12227" s="787">
        <v>6</v>
      </c>
      <c r="I12227" s="788">
        <v>39134</v>
      </c>
      <c r="J12227" s="788">
        <v>38047</v>
      </c>
      <c r="L12227" s="787">
        <v>4.5199999999999996</v>
      </c>
      <c r="M12227" s="787">
        <v>10</v>
      </c>
      <c r="N12227" s="787">
        <v>10.65</v>
      </c>
      <c r="O12227" s="788">
        <v>40853</v>
      </c>
    </row>
    <row r="12228" spans="1:15" x14ac:dyDescent="0.25">
      <c r="A12228" s="786" t="s">
        <v>21805</v>
      </c>
      <c r="B12228" s="787">
        <v>4</v>
      </c>
      <c r="C12228" s="787" t="s">
        <v>21806</v>
      </c>
      <c r="D12228" s="787">
        <v>1.02</v>
      </c>
      <c r="E12228" s="787">
        <v>1.45</v>
      </c>
      <c r="F12228" s="788">
        <v>39589</v>
      </c>
      <c r="G12228" s="788">
        <v>42166</v>
      </c>
      <c r="H12228" s="787">
        <v>1</v>
      </c>
      <c r="I12228" s="788">
        <v>42165</v>
      </c>
      <c r="J12228" s="788">
        <v>42166</v>
      </c>
      <c r="K12228" s="788">
        <v>42164</v>
      </c>
      <c r="L12228" s="787">
        <v>5.85</v>
      </c>
      <c r="M12228" s="787">
        <v>20</v>
      </c>
      <c r="N12228" s="787">
        <v>6.29</v>
      </c>
      <c r="O12228" s="788">
        <v>42165</v>
      </c>
    </row>
    <row r="12229" spans="1:15" x14ac:dyDescent="0.25">
      <c r="A12229" s="786" t="s">
        <v>21807</v>
      </c>
      <c r="B12229" s="787">
        <v>4</v>
      </c>
      <c r="C12229" s="787" t="s">
        <v>21808</v>
      </c>
      <c r="D12229" s="787">
        <v>0.6</v>
      </c>
      <c r="E12229" s="787">
        <v>0.67</v>
      </c>
      <c r="F12229" s="788">
        <v>38693</v>
      </c>
      <c r="G12229" s="788">
        <v>41758</v>
      </c>
      <c r="H12229" s="787">
        <v>1</v>
      </c>
      <c r="I12229" s="788">
        <v>42072</v>
      </c>
      <c r="J12229" s="788">
        <v>41683</v>
      </c>
      <c r="K12229" s="788">
        <v>41869</v>
      </c>
      <c r="L12229" s="787">
        <v>0.67</v>
      </c>
      <c r="M12229" s="787">
        <v>20</v>
      </c>
      <c r="N12229" s="787">
        <v>0.72</v>
      </c>
      <c r="O12229" s="788">
        <v>42164</v>
      </c>
    </row>
    <row r="12230" spans="1:15" x14ac:dyDescent="0.25">
      <c r="A12230" s="786" t="s">
        <v>21809</v>
      </c>
      <c r="B12230" s="787">
        <v>4</v>
      </c>
      <c r="C12230" s="787" t="s">
        <v>21810</v>
      </c>
      <c r="D12230" s="787">
        <v>3.4</v>
      </c>
      <c r="E12230" s="787">
        <v>13.38</v>
      </c>
      <c r="F12230" s="788">
        <v>40210</v>
      </c>
      <c r="G12230" s="788">
        <v>41810</v>
      </c>
      <c r="H12230" s="787">
        <v>1</v>
      </c>
      <c r="I12230" s="788">
        <v>42121</v>
      </c>
      <c r="J12230" s="788">
        <v>42061</v>
      </c>
      <c r="K12230" s="788">
        <v>41856</v>
      </c>
      <c r="L12230" s="787">
        <v>15.63</v>
      </c>
      <c r="M12230" s="787">
        <v>20</v>
      </c>
      <c r="N12230" s="787">
        <v>16.8</v>
      </c>
      <c r="O12230" s="788">
        <v>42164</v>
      </c>
    </row>
    <row r="12231" spans="1:15" x14ac:dyDescent="0.25">
      <c r="A12231" s="786" t="s">
        <v>21811</v>
      </c>
      <c r="B12231" s="787">
        <v>4</v>
      </c>
      <c r="C12231" s="787" t="s">
        <v>21812</v>
      </c>
      <c r="D12231" s="787">
        <v>9.8800000000000008</v>
      </c>
      <c r="E12231" s="787">
        <v>59.88</v>
      </c>
      <c r="F12231" s="788">
        <v>39101</v>
      </c>
      <c r="G12231" s="788">
        <v>39101</v>
      </c>
      <c r="H12231" s="787">
        <v>6</v>
      </c>
      <c r="I12231" s="788">
        <v>39384</v>
      </c>
      <c r="J12231" s="788">
        <v>39149</v>
      </c>
      <c r="L12231" s="787">
        <v>53.56</v>
      </c>
      <c r="M12231" s="787">
        <v>20</v>
      </c>
      <c r="N12231" s="787">
        <v>64.37</v>
      </c>
      <c r="O12231" s="788">
        <v>41806</v>
      </c>
    </row>
    <row r="12232" spans="1:15" x14ac:dyDescent="0.25">
      <c r="A12232" s="786" t="s">
        <v>21813</v>
      </c>
      <c r="B12232" s="787">
        <v>4</v>
      </c>
      <c r="C12232" s="787" t="s">
        <v>21814</v>
      </c>
      <c r="D12232" s="787">
        <v>9.17</v>
      </c>
      <c r="E12232" s="787">
        <v>59.17</v>
      </c>
      <c r="F12232" s="788">
        <v>38047</v>
      </c>
      <c r="G12232" s="788">
        <v>38047</v>
      </c>
      <c r="H12232" s="787">
        <v>6</v>
      </c>
      <c r="I12232" s="788">
        <v>37866</v>
      </c>
      <c r="J12232" s="788">
        <v>38047</v>
      </c>
      <c r="L12232" s="787">
        <v>64.5</v>
      </c>
      <c r="M12232" s="787">
        <v>20</v>
      </c>
      <c r="N12232" s="787">
        <v>63.61</v>
      </c>
      <c r="O12232" s="788">
        <v>41806</v>
      </c>
    </row>
    <row r="12233" spans="1:15" x14ac:dyDescent="0.25">
      <c r="A12233" s="786" t="s">
        <v>21815</v>
      </c>
      <c r="B12233" s="787">
        <v>4</v>
      </c>
      <c r="C12233" s="787" t="s">
        <v>21816</v>
      </c>
      <c r="D12233" s="787">
        <v>4.12</v>
      </c>
      <c r="E12233" s="787">
        <v>64.12</v>
      </c>
      <c r="F12233" s="788">
        <v>39101</v>
      </c>
      <c r="G12233" s="788">
        <v>39101</v>
      </c>
      <c r="H12233" s="787">
        <v>1</v>
      </c>
      <c r="I12233" s="788">
        <v>41894</v>
      </c>
      <c r="J12233" s="788">
        <v>39149</v>
      </c>
      <c r="K12233" s="788">
        <v>41856</v>
      </c>
      <c r="L12233" s="787">
        <v>93</v>
      </c>
      <c r="M12233" s="787">
        <v>20</v>
      </c>
      <c r="N12233" s="787">
        <v>99.98</v>
      </c>
      <c r="O12233" s="788">
        <v>41858</v>
      </c>
    </row>
    <row r="12234" spans="1:15" x14ac:dyDescent="0.25">
      <c r="A12234" s="786" t="s">
        <v>21817</v>
      </c>
      <c r="B12234" s="787">
        <v>4</v>
      </c>
      <c r="C12234" s="787" t="s">
        <v>21818</v>
      </c>
      <c r="D12234" s="787">
        <v>8.8000000000000007</v>
      </c>
      <c r="E12234" s="787">
        <v>76.69</v>
      </c>
      <c r="F12234" s="788">
        <v>38047</v>
      </c>
      <c r="G12234" s="788">
        <v>42051</v>
      </c>
      <c r="H12234" s="787">
        <v>1</v>
      </c>
      <c r="I12234" s="788">
        <v>42053</v>
      </c>
      <c r="J12234" s="788">
        <v>42044</v>
      </c>
      <c r="K12234" s="788">
        <v>41856</v>
      </c>
      <c r="L12234" s="787">
        <v>79.97</v>
      </c>
      <c r="M12234" s="787">
        <v>20</v>
      </c>
      <c r="N12234" s="787">
        <v>85.97</v>
      </c>
      <c r="O12234" s="788">
        <v>41858</v>
      </c>
    </row>
    <row r="12235" spans="1:15" x14ac:dyDescent="0.25">
      <c r="A12235" s="786" t="s">
        <v>21819</v>
      </c>
      <c r="B12235" s="787">
        <v>4</v>
      </c>
      <c r="C12235" s="787" t="s">
        <v>21820</v>
      </c>
      <c r="D12235" s="787">
        <v>4.03</v>
      </c>
      <c r="E12235" s="787">
        <v>59.56</v>
      </c>
      <c r="F12235" s="788">
        <v>40983</v>
      </c>
      <c r="G12235" s="788">
        <v>42156</v>
      </c>
      <c r="H12235" s="787">
        <v>1</v>
      </c>
      <c r="I12235" s="788">
        <v>42136</v>
      </c>
      <c r="J12235" s="788">
        <v>42136</v>
      </c>
      <c r="K12235" s="788">
        <v>41856</v>
      </c>
      <c r="L12235" s="787">
        <v>71.27</v>
      </c>
      <c r="M12235" s="787">
        <v>20</v>
      </c>
      <c r="N12235" s="787">
        <v>76.62</v>
      </c>
      <c r="O12235" s="788">
        <v>41858</v>
      </c>
    </row>
    <row r="12236" spans="1:15" x14ac:dyDescent="0.25">
      <c r="A12236" s="786" t="s">
        <v>21821</v>
      </c>
      <c r="B12236" s="787">
        <v>4</v>
      </c>
      <c r="C12236" s="787" t="s">
        <v>21822</v>
      </c>
      <c r="D12236" s="787">
        <v>1.1599999999999999</v>
      </c>
      <c r="E12236" s="787">
        <v>60.64</v>
      </c>
      <c r="F12236" s="788">
        <v>38047</v>
      </c>
      <c r="G12236" s="788">
        <v>41898</v>
      </c>
      <c r="H12236" s="787">
        <v>1</v>
      </c>
      <c r="I12236" s="788">
        <v>41331</v>
      </c>
      <c r="J12236" s="788">
        <v>41890</v>
      </c>
      <c r="K12236" s="788">
        <v>41886</v>
      </c>
      <c r="L12236" s="787">
        <v>61.4</v>
      </c>
      <c r="M12236" s="787">
        <v>20</v>
      </c>
      <c r="N12236" s="787">
        <v>77.099999999999994</v>
      </c>
      <c r="O12236" s="788">
        <v>41858</v>
      </c>
    </row>
    <row r="12237" spans="1:15" x14ac:dyDescent="0.25">
      <c r="A12237" s="786" t="s">
        <v>21823</v>
      </c>
      <c r="B12237" s="787">
        <v>4</v>
      </c>
      <c r="C12237" s="787" t="s">
        <v>21824</v>
      </c>
      <c r="D12237" s="787">
        <v>2.99</v>
      </c>
      <c r="E12237" s="787">
        <v>4.0199999999999996</v>
      </c>
      <c r="F12237" s="788">
        <v>38310</v>
      </c>
      <c r="G12237" s="788">
        <v>42045</v>
      </c>
      <c r="H12237" s="787">
        <v>1</v>
      </c>
      <c r="I12237" s="788">
        <v>42142</v>
      </c>
      <c r="J12237" s="788">
        <v>42045</v>
      </c>
      <c r="K12237" s="788">
        <v>41856</v>
      </c>
      <c r="L12237" s="787">
        <v>15.4</v>
      </c>
      <c r="M12237" s="787">
        <v>20</v>
      </c>
      <c r="N12237" s="787">
        <v>16.559999999999999</v>
      </c>
      <c r="O12237" s="788">
        <v>42146</v>
      </c>
    </row>
    <row r="12238" spans="1:15" x14ac:dyDescent="0.25">
      <c r="A12238" s="786" t="s">
        <v>21825</v>
      </c>
      <c r="B12238" s="787">
        <v>4</v>
      </c>
      <c r="C12238" s="787" t="s">
        <v>21826</v>
      </c>
      <c r="D12238" s="787">
        <v>4</v>
      </c>
      <c r="E12238" s="787">
        <v>4.88</v>
      </c>
      <c r="F12238" s="788">
        <v>37649</v>
      </c>
      <c r="G12238" s="788">
        <v>39009</v>
      </c>
      <c r="H12238" s="787">
        <v>1</v>
      </c>
      <c r="I12238" s="788">
        <v>39134</v>
      </c>
      <c r="J12238" s="788">
        <v>39006</v>
      </c>
      <c r="K12238" s="788">
        <v>41856</v>
      </c>
      <c r="L12238" s="787">
        <v>5.75</v>
      </c>
      <c r="M12238" s="787">
        <v>20</v>
      </c>
      <c r="N12238" s="787">
        <v>6.18</v>
      </c>
      <c r="O12238" s="788">
        <v>41858</v>
      </c>
    </row>
    <row r="12239" spans="1:15" x14ac:dyDescent="0.25">
      <c r="A12239" s="786" t="s">
        <v>21827</v>
      </c>
      <c r="B12239" s="787">
        <v>4</v>
      </c>
      <c r="C12239" s="787" t="s">
        <v>21828</v>
      </c>
      <c r="D12239" s="787">
        <v>1.31</v>
      </c>
      <c r="E12239" s="787">
        <v>27.93</v>
      </c>
      <c r="F12239" s="788">
        <v>39097</v>
      </c>
      <c r="G12239" s="788">
        <v>42013</v>
      </c>
      <c r="H12239" s="787">
        <v>1</v>
      </c>
      <c r="I12239" s="788">
        <v>41894</v>
      </c>
      <c r="J12239" s="788">
        <v>41530</v>
      </c>
      <c r="K12239" s="788">
        <v>41856</v>
      </c>
      <c r="L12239" s="787">
        <v>29.4</v>
      </c>
      <c r="M12239" s="787">
        <v>20</v>
      </c>
      <c r="N12239" s="787">
        <v>31.61</v>
      </c>
      <c r="O12239" s="788">
        <v>41858</v>
      </c>
    </row>
    <row r="12240" spans="1:15" x14ac:dyDescent="0.25">
      <c r="A12240" s="786" t="s">
        <v>21829</v>
      </c>
      <c r="B12240" s="787">
        <v>4</v>
      </c>
      <c r="C12240" s="787" t="s">
        <v>21830</v>
      </c>
      <c r="D12240" s="787">
        <v>7.67</v>
      </c>
      <c r="E12240" s="787">
        <v>37.33</v>
      </c>
      <c r="F12240" s="788">
        <v>38047</v>
      </c>
      <c r="G12240" s="788">
        <v>42013</v>
      </c>
      <c r="H12240" s="787">
        <v>1</v>
      </c>
      <c r="I12240" s="788">
        <v>41429</v>
      </c>
      <c r="J12240" s="788">
        <v>41530</v>
      </c>
      <c r="K12240" s="788">
        <v>41856</v>
      </c>
      <c r="L12240" s="787">
        <v>39.299999999999997</v>
      </c>
      <c r="M12240" s="787">
        <v>20</v>
      </c>
      <c r="N12240" s="787">
        <v>42.25</v>
      </c>
      <c r="O12240" s="788">
        <v>41858</v>
      </c>
    </row>
    <row r="12241" spans="1:15" x14ac:dyDescent="0.25">
      <c r="A12241" s="786" t="s">
        <v>21831</v>
      </c>
      <c r="B12241" s="787">
        <v>4</v>
      </c>
      <c r="C12241" s="787" t="s">
        <v>21832</v>
      </c>
      <c r="D12241" s="787">
        <v>3.57</v>
      </c>
      <c r="E12241" s="787">
        <v>4.0599999999999996</v>
      </c>
      <c r="F12241" s="788">
        <v>39589</v>
      </c>
      <c r="G12241" s="788">
        <v>42145</v>
      </c>
      <c r="H12241" s="787">
        <v>1</v>
      </c>
      <c r="I12241" s="788">
        <v>42164</v>
      </c>
      <c r="J12241" s="788">
        <v>42117</v>
      </c>
      <c r="K12241" s="788">
        <v>42111</v>
      </c>
      <c r="L12241" s="787">
        <v>4.1100000000000003</v>
      </c>
      <c r="M12241" s="787">
        <v>20</v>
      </c>
      <c r="N12241" s="787">
        <v>4.42</v>
      </c>
      <c r="O12241" s="788">
        <v>42164</v>
      </c>
    </row>
    <row r="12242" spans="1:15" x14ac:dyDescent="0.25">
      <c r="A12242" s="786" t="s">
        <v>21833</v>
      </c>
      <c r="B12242" s="787">
        <v>4</v>
      </c>
      <c r="C12242" s="787" t="s">
        <v>21834</v>
      </c>
      <c r="D12242" s="787">
        <v>2.56</v>
      </c>
      <c r="E12242" s="787">
        <v>6.69</v>
      </c>
      <c r="F12242" s="788">
        <v>40949</v>
      </c>
      <c r="G12242" s="788">
        <v>41943</v>
      </c>
      <c r="H12242" s="787">
        <v>1</v>
      </c>
      <c r="I12242" s="788">
        <v>41991</v>
      </c>
      <c r="J12242" s="788">
        <v>41593</v>
      </c>
      <c r="L12242" s="787">
        <v>5.54</v>
      </c>
      <c r="M12242" s="787">
        <v>10</v>
      </c>
      <c r="N12242" s="787">
        <v>15.15</v>
      </c>
      <c r="O12242" s="788">
        <v>41858</v>
      </c>
    </row>
    <row r="12243" spans="1:15" x14ac:dyDescent="0.25">
      <c r="A12243" s="786" t="s">
        <v>21835</v>
      </c>
      <c r="B12243" s="787">
        <v>4</v>
      </c>
      <c r="C12243" s="787" t="s">
        <v>21836</v>
      </c>
      <c r="D12243" s="787">
        <v>4.67</v>
      </c>
      <c r="E12243" s="787">
        <v>8.2899999999999991</v>
      </c>
      <c r="F12243" s="788">
        <v>38606</v>
      </c>
      <c r="G12243" s="788">
        <v>41813</v>
      </c>
      <c r="H12243" s="787">
        <v>1</v>
      </c>
      <c r="I12243" s="788">
        <v>41894</v>
      </c>
      <c r="J12243" s="788">
        <v>41593</v>
      </c>
      <c r="L12243" s="787">
        <v>6.53</v>
      </c>
      <c r="M12243" s="787">
        <v>10</v>
      </c>
      <c r="N12243" s="787">
        <v>10.48</v>
      </c>
      <c r="O12243" s="788">
        <v>42087</v>
      </c>
    </row>
    <row r="12244" spans="1:15" x14ac:dyDescent="0.25">
      <c r="A12244" s="786" t="s">
        <v>21837</v>
      </c>
      <c r="B12244" s="787">
        <v>4</v>
      </c>
      <c r="C12244" s="787" t="s">
        <v>21838</v>
      </c>
      <c r="D12244" s="787">
        <v>3.6</v>
      </c>
      <c r="E12244" s="787">
        <v>13.6</v>
      </c>
      <c r="F12244" s="788">
        <v>37287</v>
      </c>
      <c r="G12244" s="788">
        <v>37287</v>
      </c>
      <c r="H12244" s="787">
        <v>1</v>
      </c>
      <c r="I12244" s="788">
        <v>39457</v>
      </c>
      <c r="J12244" s="788">
        <v>37649</v>
      </c>
      <c r="L12244" s="787">
        <v>14.82</v>
      </c>
      <c r="M12244" s="787">
        <v>20</v>
      </c>
      <c r="N12244" s="787">
        <v>15.93</v>
      </c>
      <c r="O12244" s="788">
        <v>41858</v>
      </c>
    </row>
    <row r="12245" spans="1:15" x14ac:dyDescent="0.25">
      <c r="A12245" s="786" t="s">
        <v>21839</v>
      </c>
      <c r="B12245" s="787">
        <v>4</v>
      </c>
      <c r="C12245" s="787" t="s">
        <v>21840</v>
      </c>
      <c r="D12245" s="787">
        <v>1.95</v>
      </c>
      <c r="E12245" s="787">
        <v>1.95</v>
      </c>
      <c r="F12245" s="788">
        <v>39101</v>
      </c>
      <c r="G12245" s="788">
        <v>39101</v>
      </c>
      <c r="H12245" s="787">
        <v>1</v>
      </c>
      <c r="I12245" s="788">
        <v>39134</v>
      </c>
      <c r="J12245" s="788">
        <v>39149</v>
      </c>
      <c r="K12245" s="788">
        <v>41857</v>
      </c>
      <c r="L12245" s="787">
        <v>2.9</v>
      </c>
      <c r="M12245" s="787">
        <v>20</v>
      </c>
      <c r="N12245" s="787">
        <v>3.12</v>
      </c>
      <c r="O12245" s="788">
        <v>41858</v>
      </c>
    </row>
    <row r="12246" spans="1:15" x14ac:dyDescent="0.25">
      <c r="A12246" s="786" t="s">
        <v>21841</v>
      </c>
      <c r="B12246" s="787">
        <v>4</v>
      </c>
      <c r="C12246" s="787" t="s">
        <v>21842</v>
      </c>
      <c r="D12246" s="787">
        <v>1.43</v>
      </c>
      <c r="E12246" s="787">
        <v>1.43</v>
      </c>
      <c r="F12246" s="788">
        <v>38047</v>
      </c>
      <c r="G12246" s="788">
        <v>38364</v>
      </c>
      <c r="H12246" s="787">
        <v>1</v>
      </c>
      <c r="I12246" s="788">
        <v>39134</v>
      </c>
      <c r="J12246" s="788">
        <v>38047</v>
      </c>
      <c r="K12246" s="788">
        <v>41857</v>
      </c>
      <c r="L12246" s="787">
        <v>2.1</v>
      </c>
      <c r="M12246" s="787">
        <v>20</v>
      </c>
      <c r="N12246" s="787">
        <v>2.2599999999999998</v>
      </c>
      <c r="O12246" s="788">
        <v>41858</v>
      </c>
    </row>
    <row r="12247" spans="1:15" x14ac:dyDescent="0.25">
      <c r="A12247" s="786" t="s">
        <v>21843</v>
      </c>
      <c r="B12247" s="787">
        <v>4</v>
      </c>
      <c r="C12247" s="787" t="s">
        <v>21844</v>
      </c>
      <c r="D12247" s="787">
        <v>1.18</v>
      </c>
      <c r="E12247" s="787">
        <v>41.18</v>
      </c>
      <c r="F12247" s="788">
        <v>38364</v>
      </c>
      <c r="G12247" s="788">
        <v>38364</v>
      </c>
      <c r="H12247" s="787">
        <v>1</v>
      </c>
      <c r="I12247" s="788">
        <v>39286</v>
      </c>
      <c r="J12247" s="788">
        <v>38344</v>
      </c>
      <c r="K12247" s="788">
        <v>41856</v>
      </c>
      <c r="L12247" s="787">
        <v>58</v>
      </c>
      <c r="M12247" s="787">
        <v>20</v>
      </c>
      <c r="N12247" s="787">
        <v>62.35</v>
      </c>
      <c r="O12247" s="788">
        <v>41858</v>
      </c>
    </row>
    <row r="12248" spans="1:15" x14ac:dyDescent="0.25">
      <c r="A12248" s="786" t="s">
        <v>21845</v>
      </c>
      <c r="B12248" s="787">
        <v>4</v>
      </c>
      <c r="C12248" s="787" t="s">
        <v>21846</v>
      </c>
      <c r="D12248" s="787">
        <v>5.33</v>
      </c>
      <c r="E12248" s="787">
        <v>15.33</v>
      </c>
      <c r="F12248" s="788">
        <v>42037</v>
      </c>
      <c r="G12248" s="788">
        <v>42046</v>
      </c>
      <c r="H12248" s="787">
        <v>1</v>
      </c>
      <c r="I12248" s="788">
        <v>42039</v>
      </c>
      <c r="J12248" s="788">
        <v>42033</v>
      </c>
      <c r="K12248" s="788">
        <v>41477</v>
      </c>
      <c r="L12248" s="787">
        <v>15.8</v>
      </c>
      <c r="M12248" s="787">
        <v>20</v>
      </c>
      <c r="N12248" s="787">
        <v>16.989999999999998</v>
      </c>
      <c r="O12248" s="788">
        <v>41858</v>
      </c>
    </row>
    <row r="12249" spans="1:15" x14ac:dyDescent="0.25">
      <c r="A12249" s="786" t="s">
        <v>21847</v>
      </c>
      <c r="B12249" s="787">
        <v>4</v>
      </c>
      <c r="C12249" s="787" t="s">
        <v>21848</v>
      </c>
      <c r="D12249" s="787">
        <v>6.23</v>
      </c>
      <c r="E12249" s="787">
        <v>66.23</v>
      </c>
      <c r="F12249" s="788">
        <v>41484</v>
      </c>
      <c r="G12249" s="788">
        <v>41513</v>
      </c>
      <c r="H12249" s="787">
        <v>1</v>
      </c>
      <c r="I12249" s="788">
        <v>41495</v>
      </c>
      <c r="J12249" s="788">
        <v>41484</v>
      </c>
      <c r="K12249" s="788">
        <v>41856</v>
      </c>
      <c r="L12249" s="787">
        <v>66.23</v>
      </c>
      <c r="M12249" s="787">
        <v>20</v>
      </c>
      <c r="N12249" s="787">
        <v>71.2</v>
      </c>
      <c r="O12249" s="788">
        <v>41858</v>
      </c>
    </row>
    <row r="12250" spans="1:15" x14ac:dyDescent="0.25">
      <c r="A12250" s="786" t="s">
        <v>21849</v>
      </c>
      <c r="B12250" s="787">
        <v>4</v>
      </c>
      <c r="C12250" s="787" t="s">
        <v>13045</v>
      </c>
      <c r="D12250" s="787">
        <v>6.05</v>
      </c>
      <c r="E12250" s="787">
        <v>16.05</v>
      </c>
      <c r="F12250" s="788">
        <v>41484</v>
      </c>
      <c r="G12250" s="788">
        <v>41513</v>
      </c>
      <c r="H12250" s="787">
        <v>1</v>
      </c>
      <c r="I12250" s="788">
        <v>41495</v>
      </c>
      <c r="J12250" s="788">
        <v>41484</v>
      </c>
      <c r="K12250" s="788">
        <v>41856</v>
      </c>
      <c r="L12250" s="787">
        <v>16.05</v>
      </c>
      <c r="M12250" s="787">
        <v>20</v>
      </c>
      <c r="N12250" s="787">
        <v>17.25</v>
      </c>
      <c r="O12250" s="788">
        <v>41858</v>
      </c>
    </row>
    <row r="12251" spans="1:15" x14ac:dyDescent="0.25">
      <c r="A12251" s="786" t="s">
        <v>21850</v>
      </c>
      <c r="B12251" s="787">
        <v>4</v>
      </c>
      <c r="C12251" s="787" t="s">
        <v>21851</v>
      </c>
      <c r="D12251" s="787">
        <v>5.91</v>
      </c>
      <c r="E12251" s="787">
        <v>6.04</v>
      </c>
      <c r="F12251" s="788">
        <v>41603</v>
      </c>
      <c r="G12251" s="788">
        <v>42008</v>
      </c>
      <c r="H12251" s="787">
        <v>1</v>
      </c>
      <c r="I12251" s="788">
        <v>41991</v>
      </c>
      <c r="J12251" s="788">
        <v>41984</v>
      </c>
      <c r="K12251" s="788">
        <v>41596</v>
      </c>
      <c r="L12251" s="787">
        <v>6.22</v>
      </c>
      <c r="M12251" s="787">
        <v>20</v>
      </c>
      <c r="N12251" s="787">
        <v>6.69</v>
      </c>
      <c r="O12251" s="788">
        <v>41858</v>
      </c>
    </row>
    <row r="12252" spans="1:15" x14ac:dyDescent="0.25">
      <c r="A12252" s="786" t="s">
        <v>21852</v>
      </c>
      <c r="B12252" s="787">
        <v>4</v>
      </c>
      <c r="C12252" s="787" t="s">
        <v>21853</v>
      </c>
      <c r="D12252" s="787">
        <v>3.43</v>
      </c>
      <c r="E12252" s="787">
        <v>159.54</v>
      </c>
      <c r="F12252" s="788">
        <v>38047</v>
      </c>
      <c r="G12252" s="788">
        <v>38364</v>
      </c>
      <c r="H12252" s="787">
        <v>6</v>
      </c>
      <c r="I12252" s="788">
        <v>39134</v>
      </c>
      <c r="J12252" s="788">
        <v>38176</v>
      </c>
      <c r="L12252" s="787">
        <v>173.9</v>
      </c>
      <c r="M12252" s="787">
        <v>20</v>
      </c>
      <c r="N12252" s="787">
        <v>171.51</v>
      </c>
      <c r="O12252" s="788">
        <v>41806</v>
      </c>
    </row>
    <row r="12253" spans="1:15" x14ac:dyDescent="0.25">
      <c r="A12253" s="786" t="s">
        <v>21854</v>
      </c>
      <c r="B12253" s="787">
        <v>4</v>
      </c>
      <c r="C12253" s="787" t="s">
        <v>21855</v>
      </c>
      <c r="D12253" s="787">
        <v>6.33</v>
      </c>
      <c r="E12253" s="787">
        <v>136.33000000000001</v>
      </c>
      <c r="F12253" s="788">
        <v>38047</v>
      </c>
      <c r="G12253" s="788">
        <v>38047</v>
      </c>
      <c r="H12253" s="787">
        <v>1</v>
      </c>
      <c r="I12253" s="788">
        <v>39234</v>
      </c>
      <c r="J12253" s="788">
        <v>38047</v>
      </c>
      <c r="L12253" s="787">
        <v>148.6</v>
      </c>
      <c r="M12253" s="787">
        <v>20</v>
      </c>
      <c r="N12253" s="787">
        <v>159.75</v>
      </c>
      <c r="O12253" s="788">
        <v>41858</v>
      </c>
    </row>
    <row r="12254" spans="1:15" x14ac:dyDescent="0.25">
      <c r="A12254" s="786" t="s">
        <v>21856</v>
      </c>
      <c r="B12254" s="787">
        <v>4</v>
      </c>
      <c r="C12254" s="787" t="s">
        <v>21857</v>
      </c>
      <c r="D12254" s="787">
        <v>7.67</v>
      </c>
      <c r="E12254" s="787">
        <v>199.2</v>
      </c>
      <c r="F12254" s="788">
        <v>38047</v>
      </c>
      <c r="G12254" s="788">
        <v>38364</v>
      </c>
      <c r="H12254" s="787">
        <v>1</v>
      </c>
      <c r="I12254" s="788">
        <v>39134</v>
      </c>
      <c r="J12254" s="788">
        <v>38176</v>
      </c>
      <c r="L12254" s="787">
        <v>217.13</v>
      </c>
      <c r="M12254" s="787">
        <v>20</v>
      </c>
      <c r="N12254" s="787">
        <v>233.41</v>
      </c>
      <c r="O12254" s="788">
        <v>41858</v>
      </c>
    </row>
    <row r="12255" spans="1:15" x14ac:dyDescent="0.25">
      <c r="A12255" s="786" t="s">
        <v>21858</v>
      </c>
      <c r="B12255" s="787">
        <v>4</v>
      </c>
      <c r="C12255" s="787" t="s">
        <v>21859</v>
      </c>
      <c r="D12255" s="787">
        <v>2.91</v>
      </c>
      <c r="E12255" s="787">
        <v>212.91</v>
      </c>
      <c r="F12255" s="788">
        <v>38047</v>
      </c>
      <c r="G12255" s="788">
        <v>38047</v>
      </c>
      <c r="H12255" s="787">
        <v>1</v>
      </c>
      <c r="I12255" s="788">
        <v>39134</v>
      </c>
      <c r="J12255" s="788">
        <v>38047</v>
      </c>
      <c r="K12255" s="788">
        <v>41856</v>
      </c>
      <c r="L12255" s="787">
        <v>255</v>
      </c>
      <c r="M12255" s="787">
        <v>20</v>
      </c>
      <c r="N12255" s="787">
        <v>274.13</v>
      </c>
      <c r="O12255" s="788">
        <v>41858</v>
      </c>
    </row>
    <row r="12256" spans="1:15" x14ac:dyDescent="0.25">
      <c r="A12256" s="786" t="s">
        <v>21860</v>
      </c>
      <c r="B12256" s="787">
        <v>4</v>
      </c>
      <c r="C12256" s="787" t="s">
        <v>21861</v>
      </c>
      <c r="D12256" s="787">
        <v>1.72</v>
      </c>
      <c r="E12256" s="787">
        <v>231.72</v>
      </c>
      <c r="F12256" s="788">
        <v>38047</v>
      </c>
      <c r="G12256" s="788">
        <v>38047</v>
      </c>
      <c r="H12256" s="787">
        <v>1</v>
      </c>
      <c r="I12256" s="788">
        <v>39134</v>
      </c>
      <c r="J12256" s="788">
        <v>38047</v>
      </c>
      <c r="L12256" s="787">
        <v>252.57</v>
      </c>
      <c r="M12256" s="787">
        <v>20</v>
      </c>
      <c r="N12256" s="787">
        <v>271.51</v>
      </c>
      <c r="O12256" s="788">
        <v>41858</v>
      </c>
    </row>
    <row r="12257" spans="1:15" x14ac:dyDescent="0.25">
      <c r="A12257" s="786" t="s">
        <v>21862</v>
      </c>
      <c r="B12257" s="787" t="s">
        <v>5938</v>
      </c>
      <c r="C12257" s="787" t="s">
        <v>21863</v>
      </c>
      <c r="D12257" s="787">
        <v>5.59</v>
      </c>
      <c r="E12257" s="787">
        <v>335.59</v>
      </c>
      <c r="F12257" s="788">
        <v>42157</v>
      </c>
      <c r="G12257" s="788">
        <v>42158</v>
      </c>
      <c r="H12257" s="787">
        <v>1</v>
      </c>
      <c r="J12257" s="788">
        <v>42157</v>
      </c>
      <c r="K12257" s="788">
        <v>42150</v>
      </c>
      <c r="L12257" s="787">
        <v>324.88</v>
      </c>
      <c r="M12257" s="787">
        <v>20</v>
      </c>
      <c r="N12257" s="787">
        <v>0</v>
      </c>
    </row>
    <row r="12258" spans="1:15" x14ac:dyDescent="0.25">
      <c r="A12258" s="786" t="s">
        <v>21864</v>
      </c>
      <c r="B12258" s="787">
        <v>4</v>
      </c>
      <c r="C12258" s="787" t="s">
        <v>21865</v>
      </c>
      <c r="D12258" s="787">
        <v>6.56</v>
      </c>
      <c r="E12258" s="787">
        <v>266.95</v>
      </c>
      <c r="F12258" s="788">
        <v>37649</v>
      </c>
      <c r="G12258" s="788">
        <v>40197</v>
      </c>
      <c r="H12258" s="787">
        <v>1</v>
      </c>
      <c r="I12258" s="788">
        <v>41150</v>
      </c>
      <c r="J12258" s="788">
        <v>40192</v>
      </c>
      <c r="K12258" s="788">
        <v>41864</v>
      </c>
      <c r="L12258" s="787">
        <v>36.56</v>
      </c>
      <c r="M12258" s="787">
        <v>20</v>
      </c>
      <c r="N12258" s="787">
        <v>42.84</v>
      </c>
      <c r="O12258" s="788">
        <v>41858</v>
      </c>
    </row>
    <row r="12259" spans="1:15" x14ac:dyDescent="0.25">
      <c r="A12259" s="786" t="s">
        <v>21866</v>
      </c>
      <c r="B12259" s="787">
        <v>4</v>
      </c>
      <c r="C12259" s="787" t="s">
        <v>21867</v>
      </c>
      <c r="D12259" s="787">
        <v>8.9600000000000009</v>
      </c>
      <c r="E12259" s="787">
        <v>278.95999999999998</v>
      </c>
      <c r="F12259" s="788">
        <v>37649</v>
      </c>
      <c r="G12259" s="788">
        <v>37649</v>
      </c>
      <c r="H12259" s="787">
        <v>1</v>
      </c>
      <c r="I12259" s="788">
        <v>37946</v>
      </c>
      <c r="J12259" s="788">
        <v>37649</v>
      </c>
      <c r="L12259" s="787">
        <v>304.07</v>
      </c>
      <c r="M12259" s="787">
        <v>20</v>
      </c>
      <c r="N12259" s="787">
        <v>326.88</v>
      </c>
      <c r="O12259" s="788">
        <v>41858</v>
      </c>
    </row>
    <row r="12260" spans="1:15" x14ac:dyDescent="0.25">
      <c r="A12260" s="786" t="s">
        <v>21868</v>
      </c>
      <c r="B12260" s="787">
        <v>4</v>
      </c>
      <c r="C12260" s="787" t="s">
        <v>21869</v>
      </c>
      <c r="D12260" s="787">
        <v>7.99</v>
      </c>
      <c r="E12260" s="787">
        <v>7.99</v>
      </c>
      <c r="F12260" s="788">
        <v>39155</v>
      </c>
      <c r="G12260" s="788">
        <v>39155</v>
      </c>
      <c r="H12260" s="787">
        <v>1</v>
      </c>
      <c r="I12260" s="788">
        <v>39121</v>
      </c>
      <c r="J12260" s="788">
        <v>39121</v>
      </c>
      <c r="L12260" s="787">
        <v>7.99</v>
      </c>
      <c r="M12260" s="787">
        <v>20</v>
      </c>
      <c r="N12260" s="787">
        <v>8.59</v>
      </c>
      <c r="O12260" s="788">
        <v>41858</v>
      </c>
    </row>
    <row r="12261" spans="1:15" x14ac:dyDescent="0.25">
      <c r="A12261" s="786" t="s">
        <v>21870</v>
      </c>
      <c r="B12261" s="787">
        <v>4</v>
      </c>
      <c r="C12261" s="787" t="s">
        <v>21871</v>
      </c>
      <c r="D12261" s="787">
        <v>4.34</v>
      </c>
      <c r="E12261" s="787">
        <v>15.81</v>
      </c>
      <c r="F12261" s="788">
        <v>40983</v>
      </c>
      <c r="G12261" s="788">
        <v>42156</v>
      </c>
      <c r="H12261" s="787">
        <v>1</v>
      </c>
      <c r="I12261" s="788">
        <v>42165</v>
      </c>
      <c r="J12261" s="788">
        <v>42136</v>
      </c>
      <c r="K12261" s="788">
        <v>40946</v>
      </c>
      <c r="L12261" s="787">
        <v>16.3</v>
      </c>
      <c r="M12261" s="787">
        <v>20</v>
      </c>
      <c r="N12261" s="787">
        <v>17.52</v>
      </c>
      <c r="O12261" s="788">
        <v>41858</v>
      </c>
    </row>
    <row r="12262" spans="1:15" x14ac:dyDescent="0.25">
      <c r="A12262" s="786" t="s">
        <v>21872</v>
      </c>
      <c r="B12262" s="787">
        <v>4</v>
      </c>
      <c r="C12262" s="787" t="s">
        <v>21873</v>
      </c>
      <c r="D12262" s="787">
        <v>2.12</v>
      </c>
      <c r="E12262" s="787">
        <v>72.12</v>
      </c>
      <c r="F12262" s="788">
        <v>41950</v>
      </c>
      <c r="G12262" s="788">
        <v>41974</v>
      </c>
      <c r="H12262" s="787">
        <v>1</v>
      </c>
      <c r="I12262" s="788">
        <v>41961</v>
      </c>
      <c r="J12262" s="788">
        <v>41949</v>
      </c>
      <c r="K12262" s="788">
        <v>41562</v>
      </c>
      <c r="L12262" s="787">
        <v>72.599999999999994</v>
      </c>
      <c r="M12262" s="787">
        <v>20</v>
      </c>
      <c r="N12262" s="787">
        <v>78.05</v>
      </c>
      <c r="O12262" s="788">
        <v>41858</v>
      </c>
    </row>
    <row r="12263" spans="1:15" x14ac:dyDescent="0.25">
      <c r="A12263" s="786" t="s">
        <v>21874</v>
      </c>
      <c r="B12263" s="787">
        <v>4</v>
      </c>
      <c r="C12263" s="787" t="s">
        <v>21875</v>
      </c>
      <c r="D12263" s="787">
        <v>3.84</v>
      </c>
      <c r="E12263" s="787">
        <v>3.84</v>
      </c>
      <c r="F12263" s="788">
        <v>41950</v>
      </c>
      <c r="G12263" s="788">
        <v>41974</v>
      </c>
      <c r="H12263" s="787">
        <v>1</v>
      </c>
      <c r="I12263" s="788">
        <v>41961</v>
      </c>
      <c r="J12263" s="788">
        <v>41949</v>
      </c>
      <c r="K12263" s="788">
        <v>41562</v>
      </c>
      <c r="L12263" s="787">
        <v>3.86</v>
      </c>
      <c r="M12263" s="787">
        <v>20</v>
      </c>
      <c r="N12263" s="787">
        <v>4.1500000000000004</v>
      </c>
      <c r="O12263" s="788">
        <v>41858</v>
      </c>
    </row>
    <row r="12264" spans="1:15" x14ac:dyDescent="0.25">
      <c r="A12264" s="786" t="s">
        <v>21876</v>
      </c>
      <c r="B12264" s="787">
        <v>4</v>
      </c>
      <c r="C12264" s="787" t="s">
        <v>21877</v>
      </c>
      <c r="D12264" s="787">
        <v>8.89</v>
      </c>
      <c r="E12264" s="787">
        <v>8.89</v>
      </c>
      <c r="F12264" s="788">
        <v>41950</v>
      </c>
      <c r="G12264" s="788">
        <v>41974</v>
      </c>
      <c r="H12264" s="787">
        <v>1</v>
      </c>
      <c r="I12264" s="788">
        <v>41961</v>
      </c>
      <c r="J12264" s="788">
        <v>41949</v>
      </c>
      <c r="K12264" s="788">
        <v>41562</v>
      </c>
      <c r="L12264" s="787">
        <v>8.94</v>
      </c>
      <c r="M12264" s="787">
        <v>20</v>
      </c>
      <c r="N12264" s="787">
        <v>9.61</v>
      </c>
      <c r="O12264" s="788">
        <v>41858</v>
      </c>
    </row>
    <row r="12265" spans="1:15" x14ac:dyDescent="0.25">
      <c r="A12265" s="786" t="s">
        <v>21878</v>
      </c>
      <c r="B12265" s="787">
        <v>4</v>
      </c>
      <c r="C12265" s="787" t="s">
        <v>21879</v>
      </c>
      <c r="D12265" s="787">
        <v>0</v>
      </c>
      <c r="E12265" s="787">
        <v>0</v>
      </c>
      <c r="G12265" s="788">
        <v>42017</v>
      </c>
      <c r="H12265" s="787">
        <v>1</v>
      </c>
      <c r="I12265" s="788">
        <v>42072</v>
      </c>
      <c r="J12265" s="788">
        <v>41578</v>
      </c>
      <c r="K12265" s="788">
        <v>41858</v>
      </c>
      <c r="L12265" s="787">
        <v>28.9</v>
      </c>
      <c r="M12265" s="787">
        <v>20</v>
      </c>
      <c r="N12265" s="787">
        <v>31.07</v>
      </c>
      <c r="O12265" s="788">
        <v>42146</v>
      </c>
    </row>
    <row r="12266" spans="1:15" x14ac:dyDescent="0.25">
      <c r="A12266" s="786" t="s">
        <v>21880</v>
      </c>
      <c r="B12266" s="787">
        <v>4</v>
      </c>
      <c r="C12266" s="787" t="s">
        <v>21881</v>
      </c>
      <c r="D12266" s="787">
        <v>1.5</v>
      </c>
      <c r="E12266" s="787">
        <v>351.5</v>
      </c>
      <c r="F12266" s="788">
        <v>41596</v>
      </c>
      <c r="G12266" s="788">
        <v>41605</v>
      </c>
      <c r="H12266" s="787">
        <v>1</v>
      </c>
      <c r="I12266" s="788">
        <v>41606</v>
      </c>
      <c r="J12266" s="788">
        <v>41592</v>
      </c>
      <c r="K12266" s="788">
        <v>41585</v>
      </c>
      <c r="L12266" s="787">
        <v>370</v>
      </c>
      <c r="M12266" s="787">
        <v>20</v>
      </c>
      <c r="N12266" s="787">
        <v>397.75</v>
      </c>
      <c r="O12266" s="788">
        <v>41858</v>
      </c>
    </row>
    <row r="12267" spans="1:15" x14ac:dyDescent="0.25">
      <c r="A12267" s="786" t="s">
        <v>21882</v>
      </c>
      <c r="B12267" s="787">
        <v>4</v>
      </c>
      <c r="C12267" s="787" t="s">
        <v>21883</v>
      </c>
      <c r="D12267" s="787">
        <v>5.15</v>
      </c>
      <c r="E12267" s="787">
        <v>75.150000000000006</v>
      </c>
      <c r="F12267" s="788">
        <v>41596</v>
      </c>
      <c r="G12267" s="788">
        <v>41605</v>
      </c>
      <c r="H12267" s="787">
        <v>1</v>
      </c>
      <c r="I12267" s="788">
        <v>41606</v>
      </c>
      <c r="J12267" s="788">
        <v>41592</v>
      </c>
      <c r="K12267" s="788">
        <v>41585</v>
      </c>
      <c r="L12267" s="787">
        <v>79.099999999999994</v>
      </c>
      <c r="M12267" s="787">
        <v>20</v>
      </c>
      <c r="N12267" s="787">
        <v>85.03</v>
      </c>
      <c r="O12267" s="788">
        <v>41858</v>
      </c>
    </row>
    <row r="12268" spans="1:15" x14ac:dyDescent="0.25">
      <c r="A12268" s="786" t="s">
        <v>21884</v>
      </c>
      <c r="B12268" s="787">
        <v>4</v>
      </c>
      <c r="C12268" s="787" t="s">
        <v>21885</v>
      </c>
      <c r="D12268" s="787">
        <v>7.58</v>
      </c>
      <c r="E12268" s="787">
        <v>17.579999999999998</v>
      </c>
      <c r="F12268" s="788">
        <v>41827</v>
      </c>
      <c r="G12268" s="788">
        <v>41974</v>
      </c>
      <c r="H12268" s="787">
        <v>1</v>
      </c>
      <c r="I12268" s="788">
        <v>41957</v>
      </c>
      <c r="J12268" s="788">
        <v>41949</v>
      </c>
      <c r="K12268" s="788">
        <v>41900</v>
      </c>
      <c r="L12268" s="787">
        <v>17.579999999999998</v>
      </c>
      <c r="M12268" s="787">
        <v>20</v>
      </c>
      <c r="N12268" s="787">
        <v>19.14</v>
      </c>
      <c r="O12268" s="788">
        <v>41858</v>
      </c>
    </row>
    <row r="12269" spans="1:15" x14ac:dyDescent="0.25">
      <c r="A12269" s="786" t="s">
        <v>21886</v>
      </c>
      <c r="B12269" s="787">
        <v>4</v>
      </c>
      <c r="C12269" s="787" t="s">
        <v>21887</v>
      </c>
      <c r="D12269" s="787">
        <v>6.02</v>
      </c>
      <c r="E12269" s="787">
        <v>57.81</v>
      </c>
      <c r="F12269" s="788">
        <v>41827</v>
      </c>
      <c r="G12269" s="788">
        <v>42086</v>
      </c>
      <c r="H12269" s="787">
        <v>1</v>
      </c>
      <c r="I12269" s="788">
        <v>42075</v>
      </c>
      <c r="J12269" s="788">
        <v>42069</v>
      </c>
      <c r="K12269" s="788">
        <v>41900</v>
      </c>
      <c r="L12269" s="787">
        <v>56.02</v>
      </c>
      <c r="M12269" s="787">
        <v>20</v>
      </c>
      <c r="N12269" s="787">
        <v>64.069999999999993</v>
      </c>
      <c r="O12269" s="788">
        <v>41858</v>
      </c>
    </row>
    <row r="12270" spans="1:15" x14ac:dyDescent="0.25">
      <c r="A12270" s="786" t="s">
        <v>21888</v>
      </c>
      <c r="B12270" s="787">
        <v>4</v>
      </c>
      <c r="C12270" s="787" t="s">
        <v>21889</v>
      </c>
      <c r="D12270" s="787">
        <v>9.06</v>
      </c>
      <c r="E12270" s="787">
        <v>379.06</v>
      </c>
      <c r="F12270" s="788">
        <v>41653</v>
      </c>
      <c r="G12270" s="788">
        <v>41653</v>
      </c>
      <c r="H12270" s="787">
        <v>1</v>
      </c>
      <c r="I12270" s="788">
        <v>41894</v>
      </c>
      <c r="J12270" s="788">
        <v>41648</v>
      </c>
      <c r="K12270" s="788">
        <v>41620</v>
      </c>
      <c r="L12270" s="787">
        <v>399</v>
      </c>
      <c r="M12270" s="787">
        <v>20</v>
      </c>
      <c r="N12270" s="787">
        <v>428.93</v>
      </c>
      <c r="O12270" s="788">
        <v>41858</v>
      </c>
    </row>
    <row r="12271" spans="1:15" x14ac:dyDescent="0.25">
      <c r="A12271" s="786" t="s">
        <v>21890</v>
      </c>
      <c r="B12271" s="787">
        <v>4</v>
      </c>
      <c r="C12271" s="787" t="s">
        <v>21891</v>
      </c>
      <c r="D12271" s="787">
        <v>3.88</v>
      </c>
      <c r="E12271" s="787">
        <v>83.88</v>
      </c>
      <c r="F12271" s="788">
        <v>41653</v>
      </c>
      <c r="G12271" s="788">
        <v>41653</v>
      </c>
      <c r="H12271" s="787">
        <v>1</v>
      </c>
      <c r="I12271" s="788">
        <v>41894</v>
      </c>
      <c r="J12271" s="788">
        <v>41648</v>
      </c>
      <c r="K12271" s="788">
        <v>41620</v>
      </c>
      <c r="L12271" s="787">
        <v>88.3</v>
      </c>
      <c r="M12271" s="787">
        <v>20</v>
      </c>
      <c r="N12271" s="787">
        <v>94.92</v>
      </c>
      <c r="O12271" s="788">
        <v>41858</v>
      </c>
    </row>
    <row r="12272" spans="1:15" x14ac:dyDescent="0.25">
      <c r="A12272" s="786" t="s">
        <v>21892</v>
      </c>
      <c r="B12272" s="787">
        <v>4</v>
      </c>
      <c r="C12272" s="787" t="s">
        <v>21893</v>
      </c>
      <c r="D12272" s="787">
        <v>9.1</v>
      </c>
      <c r="E12272" s="787">
        <v>19.100000000000001</v>
      </c>
      <c r="F12272" s="788">
        <v>41653</v>
      </c>
      <c r="G12272" s="788">
        <v>41653</v>
      </c>
      <c r="H12272" s="787">
        <v>1</v>
      </c>
      <c r="I12272" s="788">
        <v>41894</v>
      </c>
      <c r="J12272" s="788">
        <v>41648</v>
      </c>
      <c r="K12272" s="788">
        <v>41628</v>
      </c>
      <c r="L12272" s="787">
        <v>20.100000000000001</v>
      </c>
      <c r="M12272" s="787">
        <v>20</v>
      </c>
      <c r="N12272" s="787">
        <v>21.61</v>
      </c>
      <c r="O12272" s="788">
        <v>41858</v>
      </c>
    </row>
    <row r="12273" spans="1:15" x14ac:dyDescent="0.25">
      <c r="A12273" s="786" t="s">
        <v>21894</v>
      </c>
      <c r="B12273" s="787">
        <v>4</v>
      </c>
      <c r="C12273" s="787" t="s">
        <v>21895</v>
      </c>
      <c r="D12273" s="787">
        <v>3.15</v>
      </c>
      <c r="E12273" s="787">
        <v>93.15</v>
      </c>
      <c r="F12273" s="788">
        <v>42157</v>
      </c>
      <c r="G12273" s="788">
        <v>42158</v>
      </c>
      <c r="H12273" s="787">
        <v>1</v>
      </c>
      <c r="J12273" s="788">
        <v>42157</v>
      </c>
      <c r="K12273" s="788">
        <v>41620</v>
      </c>
      <c r="L12273" s="787">
        <v>99.1</v>
      </c>
      <c r="M12273" s="787">
        <v>20</v>
      </c>
      <c r="N12273" s="787">
        <v>106.53</v>
      </c>
      <c r="O12273" s="788">
        <v>41858</v>
      </c>
    </row>
    <row r="12274" spans="1:15" x14ac:dyDescent="0.25">
      <c r="A12274" s="786" t="s">
        <v>21896</v>
      </c>
      <c r="B12274" s="787">
        <v>4</v>
      </c>
      <c r="C12274" s="787" t="s">
        <v>21897</v>
      </c>
      <c r="D12274" s="787">
        <v>6.44</v>
      </c>
      <c r="E12274" s="787">
        <v>16.440000000000001</v>
      </c>
      <c r="F12274" s="788">
        <v>41827</v>
      </c>
      <c r="G12274" s="788">
        <v>41962</v>
      </c>
      <c r="H12274" s="787">
        <v>1</v>
      </c>
      <c r="I12274" s="788">
        <v>41957</v>
      </c>
      <c r="J12274" s="788">
        <v>41942</v>
      </c>
      <c r="K12274" s="788">
        <v>41900</v>
      </c>
      <c r="L12274" s="787">
        <v>16.440000000000001</v>
      </c>
      <c r="M12274" s="787">
        <v>20</v>
      </c>
      <c r="N12274" s="787">
        <v>18.809999999999999</v>
      </c>
      <c r="O12274" s="788">
        <v>41858</v>
      </c>
    </row>
    <row r="12275" spans="1:15" x14ac:dyDescent="0.25">
      <c r="A12275" s="786" t="s">
        <v>21898</v>
      </c>
      <c r="B12275" s="787">
        <v>4</v>
      </c>
      <c r="C12275" s="787" t="s">
        <v>21899</v>
      </c>
      <c r="D12275" s="787">
        <v>0</v>
      </c>
      <c r="E12275" s="787">
        <v>292</v>
      </c>
      <c r="H12275" s="787">
        <v>1</v>
      </c>
      <c r="K12275" s="788">
        <v>41662</v>
      </c>
      <c r="L12275" s="787">
        <v>292</v>
      </c>
      <c r="M12275" s="787">
        <v>20</v>
      </c>
      <c r="N12275" s="787">
        <v>313.89999999999998</v>
      </c>
      <c r="O12275" s="788">
        <v>41858</v>
      </c>
    </row>
    <row r="12276" spans="1:15" x14ac:dyDescent="0.25">
      <c r="A12276" s="786" t="s">
        <v>21900</v>
      </c>
      <c r="B12276" s="787">
        <v>4</v>
      </c>
      <c r="C12276" s="787" t="s">
        <v>21901</v>
      </c>
      <c r="D12276" s="787">
        <v>7.58</v>
      </c>
      <c r="E12276" s="787">
        <v>367.58</v>
      </c>
      <c r="F12276" s="788">
        <v>41694</v>
      </c>
      <c r="G12276" s="788">
        <v>41757</v>
      </c>
      <c r="H12276" s="787">
        <v>1</v>
      </c>
      <c r="I12276" s="788">
        <v>41894</v>
      </c>
      <c r="J12276" s="788">
        <v>41689</v>
      </c>
      <c r="K12276" s="788">
        <v>41663</v>
      </c>
      <c r="L12276" s="787">
        <v>352.5</v>
      </c>
      <c r="M12276" s="787">
        <v>20</v>
      </c>
      <c r="N12276" s="787">
        <v>378.94</v>
      </c>
      <c r="O12276" s="788">
        <v>41858</v>
      </c>
    </row>
    <row r="12277" spans="1:15" x14ac:dyDescent="0.25">
      <c r="A12277" s="786" t="s">
        <v>21902</v>
      </c>
      <c r="B12277" s="787">
        <v>4</v>
      </c>
      <c r="C12277" s="787" t="s">
        <v>21903</v>
      </c>
      <c r="D12277" s="787">
        <v>0.26</v>
      </c>
      <c r="E12277" s="787">
        <v>150.26</v>
      </c>
      <c r="F12277" s="788">
        <v>41687</v>
      </c>
      <c r="G12277" s="788">
        <v>41758</v>
      </c>
      <c r="H12277" s="787">
        <v>1</v>
      </c>
      <c r="J12277" s="788">
        <v>41683</v>
      </c>
      <c r="K12277" s="788">
        <v>41858</v>
      </c>
      <c r="L12277" s="787">
        <v>154.9</v>
      </c>
      <c r="M12277" s="787">
        <v>20</v>
      </c>
      <c r="N12277" s="787">
        <v>156.53</v>
      </c>
      <c r="O12277" s="788">
        <v>41858</v>
      </c>
    </row>
    <row r="12278" spans="1:15" x14ac:dyDescent="0.25">
      <c r="A12278" s="786" t="s">
        <v>21904</v>
      </c>
      <c r="B12278" s="787">
        <v>4</v>
      </c>
      <c r="C12278" s="787" t="s">
        <v>21905</v>
      </c>
      <c r="D12278" s="787">
        <v>2.86</v>
      </c>
      <c r="E12278" s="787">
        <v>52.86</v>
      </c>
      <c r="F12278" s="788">
        <v>41701</v>
      </c>
      <c r="G12278" s="788">
        <v>41757</v>
      </c>
      <c r="H12278" s="787">
        <v>1</v>
      </c>
      <c r="J12278" s="788">
        <v>41698</v>
      </c>
      <c r="K12278" s="788">
        <v>41858</v>
      </c>
      <c r="L12278" s="787">
        <v>54.5</v>
      </c>
      <c r="M12278" s="787">
        <v>20</v>
      </c>
      <c r="N12278" s="787">
        <v>55.79</v>
      </c>
      <c r="O12278" s="788">
        <v>41858</v>
      </c>
    </row>
    <row r="12279" spans="1:15" x14ac:dyDescent="0.25">
      <c r="A12279" s="786" t="s">
        <v>21906</v>
      </c>
      <c r="B12279" s="787">
        <v>4</v>
      </c>
      <c r="C12279" s="787" t="s">
        <v>21907</v>
      </c>
      <c r="D12279" s="787">
        <v>5.6</v>
      </c>
      <c r="E12279" s="787">
        <v>15.6</v>
      </c>
      <c r="F12279" s="788">
        <v>42157</v>
      </c>
      <c r="G12279" s="788">
        <v>42158</v>
      </c>
      <c r="H12279" s="787">
        <v>1</v>
      </c>
      <c r="J12279" s="788">
        <v>42157</v>
      </c>
      <c r="K12279" s="788">
        <v>41858</v>
      </c>
      <c r="L12279" s="787">
        <v>16.600000000000001</v>
      </c>
      <c r="M12279" s="787">
        <v>20</v>
      </c>
      <c r="N12279" s="787">
        <v>16.989999999999998</v>
      </c>
      <c r="O12279" s="788">
        <v>41858</v>
      </c>
    </row>
    <row r="12280" spans="1:15" x14ac:dyDescent="0.25">
      <c r="A12280" s="786" t="s">
        <v>21908</v>
      </c>
      <c r="B12280" s="787">
        <v>4</v>
      </c>
      <c r="C12280" s="787" t="s">
        <v>21909</v>
      </c>
      <c r="D12280" s="787">
        <v>2.15</v>
      </c>
      <c r="E12280" s="787">
        <v>344.99</v>
      </c>
      <c r="F12280" s="788">
        <v>41736</v>
      </c>
      <c r="G12280" s="788">
        <v>42086</v>
      </c>
      <c r="H12280" s="787">
        <v>1</v>
      </c>
      <c r="I12280" s="788">
        <v>42093</v>
      </c>
      <c r="J12280" s="788">
        <v>42069</v>
      </c>
      <c r="K12280" s="788">
        <v>42066</v>
      </c>
      <c r="L12280" s="787">
        <v>343.11</v>
      </c>
      <c r="M12280" s="787">
        <v>20</v>
      </c>
      <c r="N12280" s="787">
        <v>368.84</v>
      </c>
      <c r="O12280" s="788">
        <v>42066</v>
      </c>
    </row>
    <row r="12281" spans="1:15" x14ac:dyDescent="0.25">
      <c r="A12281" s="786" t="s">
        <v>21910</v>
      </c>
      <c r="B12281" s="787">
        <v>4</v>
      </c>
      <c r="C12281" s="787" t="s">
        <v>21911</v>
      </c>
      <c r="D12281" s="787">
        <v>8.5399999999999991</v>
      </c>
      <c r="E12281" s="787">
        <v>38.54</v>
      </c>
      <c r="F12281" s="788">
        <v>42143</v>
      </c>
      <c r="G12281" s="788">
        <v>42150</v>
      </c>
      <c r="H12281" s="787">
        <v>1</v>
      </c>
      <c r="I12281" s="788">
        <v>42158</v>
      </c>
      <c r="J12281" s="788">
        <v>42136</v>
      </c>
      <c r="K12281" s="788">
        <v>41900</v>
      </c>
      <c r="L12281" s="787">
        <v>77.08</v>
      </c>
      <c r="M12281" s="787">
        <v>20</v>
      </c>
      <c r="N12281" s="787">
        <v>88.15</v>
      </c>
      <c r="O12281" s="788">
        <v>41858</v>
      </c>
    </row>
    <row r="12282" spans="1:15" x14ac:dyDescent="0.25">
      <c r="A12282" s="786" t="s">
        <v>21912</v>
      </c>
      <c r="B12282" s="787">
        <v>4</v>
      </c>
      <c r="C12282" s="787" t="s">
        <v>21913</v>
      </c>
      <c r="D12282" s="787">
        <v>7.0000000000000007E-2</v>
      </c>
      <c r="E12282" s="787">
        <v>10.07</v>
      </c>
      <c r="F12282" s="788">
        <v>42086</v>
      </c>
      <c r="G12282" s="788">
        <v>42086</v>
      </c>
      <c r="H12282" s="787">
        <v>1</v>
      </c>
      <c r="I12282" s="788">
        <v>42093</v>
      </c>
      <c r="J12282" s="788">
        <v>42069</v>
      </c>
      <c r="K12282" s="788">
        <v>41731</v>
      </c>
      <c r="L12282" s="787">
        <v>21.3</v>
      </c>
      <c r="M12282" s="787">
        <v>20</v>
      </c>
      <c r="N12282" s="787">
        <v>22.9</v>
      </c>
      <c r="O12282" s="788">
        <v>41858</v>
      </c>
    </row>
    <row r="12283" spans="1:15" x14ac:dyDescent="0.25">
      <c r="A12283" s="786" t="s">
        <v>21914</v>
      </c>
      <c r="B12283" s="787">
        <v>4</v>
      </c>
      <c r="C12283" s="787" t="s">
        <v>21915</v>
      </c>
      <c r="D12283" s="787">
        <v>6.19</v>
      </c>
      <c r="E12283" s="787">
        <v>6.19</v>
      </c>
      <c r="F12283" s="788">
        <v>42086</v>
      </c>
      <c r="G12283" s="788">
        <v>42086</v>
      </c>
      <c r="H12283" s="787">
        <v>1</v>
      </c>
      <c r="I12283" s="788">
        <v>41894</v>
      </c>
      <c r="J12283" s="788">
        <v>42069</v>
      </c>
      <c r="K12283" s="788">
        <v>41731</v>
      </c>
      <c r="L12283" s="787">
        <v>13.1</v>
      </c>
      <c r="M12283" s="787">
        <v>20</v>
      </c>
      <c r="N12283" s="787">
        <v>14.08</v>
      </c>
      <c r="O12283" s="788">
        <v>41858</v>
      </c>
    </row>
    <row r="12284" spans="1:15" x14ac:dyDescent="0.25">
      <c r="A12284" s="786" t="s">
        <v>21916</v>
      </c>
      <c r="B12284" s="787">
        <v>4</v>
      </c>
      <c r="C12284" s="787" t="s">
        <v>21917</v>
      </c>
      <c r="D12284" s="787">
        <v>4.87</v>
      </c>
      <c r="E12284" s="787">
        <v>4.87</v>
      </c>
      <c r="F12284" s="788">
        <v>42086</v>
      </c>
      <c r="G12284" s="788">
        <v>42086</v>
      </c>
      <c r="H12284" s="787">
        <v>1</v>
      </c>
      <c r="I12284" s="788">
        <v>42093</v>
      </c>
      <c r="J12284" s="788">
        <v>42069</v>
      </c>
      <c r="K12284" s="788">
        <v>41729</v>
      </c>
      <c r="L12284" s="787">
        <v>20.6</v>
      </c>
      <c r="M12284" s="787">
        <v>20</v>
      </c>
      <c r="N12284" s="787">
        <v>22.15</v>
      </c>
      <c r="O12284" s="788">
        <v>41858</v>
      </c>
    </row>
    <row r="12285" spans="1:15" x14ac:dyDescent="0.25">
      <c r="A12285" s="786" t="s">
        <v>21918</v>
      </c>
      <c r="B12285" s="787">
        <v>4</v>
      </c>
      <c r="C12285" s="787" t="s">
        <v>21919</v>
      </c>
      <c r="D12285" s="787">
        <v>5.21</v>
      </c>
      <c r="E12285" s="787">
        <v>26.18</v>
      </c>
      <c r="F12285" s="788">
        <v>41736</v>
      </c>
      <c r="G12285" s="788">
        <v>42086</v>
      </c>
      <c r="H12285" s="787">
        <v>1</v>
      </c>
      <c r="I12285" s="788">
        <v>42093</v>
      </c>
      <c r="J12285" s="788">
        <v>42069</v>
      </c>
      <c r="K12285" s="788">
        <v>41729</v>
      </c>
      <c r="L12285" s="787">
        <v>27.7</v>
      </c>
      <c r="M12285" s="787">
        <v>20</v>
      </c>
      <c r="N12285" s="787">
        <v>29.78</v>
      </c>
      <c r="O12285" s="788">
        <v>41858</v>
      </c>
    </row>
    <row r="12286" spans="1:15" x14ac:dyDescent="0.25">
      <c r="A12286" s="786" t="s">
        <v>21920</v>
      </c>
      <c r="B12286" s="787">
        <v>4</v>
      </c>
      <c r="C12286" s="787" t="s">
        <v>21921</v>
      </c>
      <c r="D12286" s="787">
        <v>0.74</v>
      </c>
      <c r="E12286" s="787">
        <v>90.74</v>
      </c>
      <c r="F12286" s="788">
        <v>42086</v>
      </c>
      <c r="G12286" s="788">
        <v>42086</v>
      </c>
      <c r="H12286" s="787">
        <v>1</v>
      </c>
      <c r="I12286" s="788">
        <v>42093</v>
      </c>
      <c r="J12286" s="788">
        <v>42069</v>
      </c>
      <c r="K12286" s="788">
        <v>41729</v>
      </c>
      <c r="L12286" s="787">
        <v>96</v>
      </c>
      <c r="M12286" s="787">
        <v>20</v>
      </c>
      <c r="N12286" s="787">
        <v>103.2</v>
      </c>
      <c r="O12286" s="788">
        <v>41858</v>
      </c>
    </row>
    <row r="12287" spans="1:15" x14ac:dyDescent="0.25">
      <c r="A12287" s="786" t="s">
        <v>21922</v>
      </c>
      <c r="B12287" s="787">
        <v>4</v>
      </c>
      <c r="C12287" s="787" t="s">
        <v>21923</v>
      </c>
      <c r="D12287" s="787">
        <v>3.9</v>
      </c>
      <c r="E12287" s="787">
        <v>13.9</v>
      </c>
      <c r="F12287" s="788">
        <v>42086</v>
      </c>
      <c r="G12287" s="788">
        <v>42086</v>
      </c>
      <c r="H12287" s="787">
        <v>1</v>
      </c>
      <c r="I12287" s="788">
        <v>42093</v>
      </c>
      <c r="J12287" s="788">
        <v>42069</v>
      </c>
      <c r="K12287" s="788">
        <v>41729</v>
      </c>
      <c r="L12287" s="787">
        <v>14.7</v>
      </c>
      <c r="M12287" s="787">
        <v>20</v>
      </c>
      <c r="N12287" s="787">
        <v>15.8</v>
      </c>
      <c r="O12287" s="788">
        <v>41858</v>
      </c>
    </row>
    <row r="12288" spans="1:15" x14ac:dyDescent="0.25">
      <c r="A12288" s="786" t="s">
        <v>21924</v>
      </c>
      <c r="B12288" s="787">
        <v>4</v>
      </c>
      <c r="C12288" s="787" t="s">
        <v>21925</v>
      </c>
      <c r="D12288" s="787">
        <v>2.95</v>
      </c>
      <c r="E12288" s="787">
        <v>292.95</v>
      </c>
      <c r="F12288" s="788">
        <v>42086</v>
      </c>
      <c r="G12288" s="788">
        <v>42086</v>
      </c>
      <c r="H12288" s="787">
        <v>1</v>
      </c>
      <c r="I12288" s="788">
        <v>42075</v>
      </c>
      <c r="J12288" s="788">
        <v>42069</v>
      </c>
      <c r="K12288" s="788">
        <v>41858</v>
      </c>
      <c r="L12288" s="787">
        <v>315</v>
      </c>
      <c r="M12288" s="787">
        <v>20</v>
      </c>
      <c r="N12288" s="787">
        <v>318.31</v>
      </c>
      <c r="O12288" s="788">
        <v>41858</v>
      </c>
    </row>
    <row r="12289" spans="1:15" x14ac:dyDescent="0.25">
      <c r="A12289" s="786" t="s">
        <v>21926</v>
      </c>
      <c r="B12289" s="787">
        <v>4</v>
      </c>
      <c r="C12289" s="787" t="s">
        <v>21927</v>
      </c>
      <c r="D12289" s="787">
        <v>2.23</v>
      </c>
      <c r="E12289" s="787">
        <v>32.229999999999997</v>
      </c>
      <c r="F12289" s="788">
        <v>42086</v>
      </c>
      <c r="G12289" s="788">
        <v>42086</v>
      </c>
      <c r="H12289" s="787">
        <v>1</v>
      </c>
      <c r="I12289" s="788">
        <v>42075</v>
      </c>
      <c r="J12289" s="788">
        <v>42069</v>
      </c>
      <c r="K12289" s="788">
        <v>41858</v>
      </c>
      <c r="L12289" s="787">
        <v>69.3</v>
      </c>
      <c r="M12289" s="787">
        <v>20</v>
      </c>
      <c r="N12289" s="787">
        <v>70.03</v>
      </c>
      <c r="O12289" s="788">
        <v>41858</v>
      </c>
    </row>
    <row r="12290" spans="1:15" x14ac:dyDescent="0.25">
      <c r="A12290" s="786" t="s">
        <v>21928</v>
      </c>
      <c r="B12290" s="787">
        <v>4</v>
      </c>
      <c r="C12290" s="787" t="s">
        <v>21929</v>
      </c>
      <c r="D12290" s="787">
        <v>2.46</v>
      </c>
      <c r="E12290" s="787">
        <v>32.46</v>
      </c>
      <c r="F12290" s="788">
        <v>41743</v>
      </c>
      <c r="G12290" s="788">
        <v>41751</v>
      </c>
      <c r="H12290" s="787">
        <v>1</v>
      </c>
      <c r="I12290" s="788">
        <v>41894</v>
      </c>
      <c r="J12290" s="788">
        <v>41739</v>
      </c>
      <c r="K12290" s="788">
        <v>41858</v>
      </c>
      <c r="L12290" s="787">
        <v>34.9</v>
      </c>
      <c r="M12290" s="787">
        <v>20</v>
      </c>
      <c r="N12290" s="787">
        <v>35.270000000000003</v>
      </c>
      <c r="O12290" s="788">
        <v>41858</v>
      </c>
    </row>
    <row r="12291" spans="1:15" x14ac:dyDescent="0.25">
      <c r="A12291" s="786" t="s">
        <v>21930</v>
      </c>
      <c r="B12291" s="787">
        <v>4</v>
      </c>
      <c r="C12291" s="787" t="s">
        <v>21931</v>
      </c>
      <c r="D12291" s="787">
        <v>5.44</v>
      </c>
      <c r="E12291" s="787">
        <v>15.44</v>
      </c>
      <c r="F12291" s="788">
        <v>41743</v>
      </c>
      <c r="G12291" s="788">
        <v>41751</v>
      </c>
      <c r="H12291" s="787">
        <v>1</v>
      </c>
      <c r="I12291" s="788">
        <v>41894</v>
      </c>
      <c r="J12291" s="788">
        <v>41739</v>
      </c>
      <c r="K12291" s="788">
        <v>41858</v>
      </c>
      <c r="L12291" s="787">
        <v>16.600000000000001</v>
      </c>
      <c r="M12291" s="787">
        <v>20</v>
      </c>
      <c r="N12291" s="787">
        <v>16.78</v>
      </c>
      <c r="O12291" s="788">
        <v>41858</v>
      </c>
    </row>
    <row r="12292" spans="1:15" x14ac:dyDescent="0.25">
      <c r="A12292" s="786" t="s">
        <v>21932</v>
      </c>
      <c r="B12292" s="787">
        <v>4</v>
      </c>
      <c r="C12292" s="787" t="s">
        <v>21933</v>
      </c>
      <c r="D12292" s="787">
        <v>3.21</v>
      </c>
      <c r="E12292" s="787">
        <v>13.21</v>
      </c>
      <c r="F12292" s="788">
        <v>41743</v>
      </c>
      <c r="G12292" s="788">
        <v>41751</v>
      </c>
      <c r="H12292" s="787">
        <v>1</v>
      </c>
      <c r="I12292" s="788">
        <v>41894</v>
      </c>
      <c r="J12292" s="788">
        <v>41739</v>
      </c>
      <c r="K12292" s="788">
        <v>41858</v>
      </c>
      <c r="L12292" s="787">
        <v>14.2</v>
      </c>
      <c r="M12292" s="787">
        <v>20</v>
      </c>
      <c r="N12292" s="787">
        <v>14.35</v>
      </c>
      <c r="O12292" s="788">
        <v>41858</v>
      </c>
    </row>
    <row r="12293" spans="1:15" x14ac:dyDescent="0.25">
      <c r="A12293" s="786" t="s">
        <v>21934</v>
      </c>
      <c r="B12293" s="787">
        <v>4</v>
      </c>
      <c r="C12293" s="787" t="s">
        <v>21935</v>
      </c>
      <c r="D12293" s="787">
        <v>0.09</v>
      </c>
      <c r="E12293" s="787">
        <v>20.09</v>
      </c>
      <c r="F12293" s="788">
        <v>41743</v>
      </c>
      <c r="G12293" s="788">
        <v>41751</v>
      </c>
      <c r="H12293" s="787">
        <v>1</v>
      </c>
      <c r="I12293" s="788">
        <v>41765</v>
      </c>
      <c r="J12293" s="788">
        <v>41739</v>
      </c>
      <c r="K12293" s="788">
        <v>41858</v>
      </c>
      <c r="L12293" s="787">
        <v>21.6</v>
      </c>
      <c r="M12293" s="787">
        <v>20</v>
      </c>
      <c r="N12293" s="787">
        <v>21.83</v>
      </c>
      <c r="O12293" s="788">
        <v>41858</v>
      </c>
    </row>
    <row r="12294" spans="1:15" x14ac:dyDescent="0.25">
      <c r="A12294" s="786" t="s">
        <v>21936</v>
      </c>
      <c r="B12294" s="787">
        <v>4</v>
      </c>
      <c r="C12294" s="787" t="s">
        <v>21937</v>
      </c>
      <c r="D12294" s="787">
        <v>1.29</v>
      </c>
      <c r="E12294" s="787">
        <v>1.29</v>
      </c>
      <c r="F12294" s="788">
        <v>41743</v>
      </c>
      <c r="G12294" s="788">
        <v>41751</v>
      </c>
      <c r="H12294" s="787">
        <v>1</v>
      </c>
      <c r="J12294" s="788">
        <v>41739</v>
      </c>
      <c r="K12294" s="788">
        <v>41858</v>
      </c>
      <c r="L12294" s="787">
        <v>1.39</v>
      </c>
      <c r="M12294" s="787">
        <v>20</v>
      </c>
      <c r="N12294" s="787">
        <v>1.41</v>
      </c>
      <c r="O12294" s="788">
        <v>41858</v>
      </c>
    </row>
    <row r="12295" spans="1:15" x14ac:dyDescent="0.25">
      <c r="A12295" s="786" t="s">
        <v>21938</v>
      </c>
      <c r="B12295" s="787">
        <v>4</v>
      </c>
      <c r="C12295" s="787" t="s">
        <v>21939</v>
      </c>
      <c r="D12295" s="787">
        <v>1.99</v>
      </c>
      <c r="E12295" s="787">
        <v>31.99</v>
      </c>
      <c r="F12295" s="788">
        <v>41743</v>
      </c>
      <c r="G12295" s="788">
        <v>41751</v>
      </c>
      <c r="H12295" s="787">
        <v>1</v>
      </c>
      <c r="J12295" s="788">
        <v>41739</v>
      </c>
      <c r="K12295" s="788">
        <v>41858</v>
      </c>
      <c r="L12295" s="787">
        <v>34.4</v>
      </c>
      <c r="M12295" s="787">
        <v>20</v>
      </c>
      <c r="N12295" s="787">
        <v>34.770000000000003</v>
      </c>
      <c r="O12295" s="788">
        <v>41858</v>
      </c>
    </row>
    <row r="12296" spans="1:15" x14ac:dyDescent="0.25">
      <c r="A12296" s="786" t="s">
        <v>21940</v>
      </c>
      <c r="B12296" s="787">
        <v>4</v>
      </c>
      <c r="C12296" s="787" t="s">
        <v>21941</v>
      </c>
      <c r="D12296" s="787">
        <v>7.61</v>
      </c>
      <c r="E12296" s="787">
        <v>67.61</v>
      </c>
      <c r="F12296" s="788">
        <v>41743</v>
      </c>
      <c r="G12296" s="788">
        <v>41751</v>
      </c>
      <c r="H12296" s="787">
        <v>1</v>
      </c>
      <c r="I12296" s="788">
        <v>41894</v>
      </c>
      <c r="J12296" s="788">
        <v>41739</v>
      </c>
      <c r="K12296" s="788">
        <v>41858</v>
      </c>
      <c r="L12296" s="787">
        <v>72.7</v>
      </c>
      <c r="M12296" s="787">
        <v>20</v>
      </c>
      <c r="N12296" s="787">
        <v>73.47</v>
      </c>
      <c r="O12296" s="788">
        <v>41858</v>
      </c>
    </row>
    <row r="12297" spans="1:15" x14ac:dyDescent="0.25">
      <c r="A12297" s="786" t="s">
        <v>21942</v>
      </c>
      <c r="B12297" s="787">
        <v>4</v>
      </c>
      <c r="C12297" s="787" t="s">
        <v>21943</v>
      </c>
      <c r="D12297" s="787">
        <v>7.39</v>
      </c>
      <c r="E12297" s="787">
        <v>18.34</v>
      </c>
      <c r="F12297" s="788">
        <v>41743</v>
      </c>
      <c r="G12297" s="788">
        <v>41904</v>
      </c>
      <c r="H12297" s="787">
        <v>1</v>
      </c>
      <c r="I12297" s="788">
        <v>41765</v>
      </c>
      <c r="J12297" s="788">
        <v>41887</v>
      </c>
      <c r="K12297" s="788">
        <v>41858</v>
      </c>
      <c r="L12297" s="787">
        <v>18.7</v>
      </c>
      <c r="M12297" s="787">
        <v>20</v>
      </c>
      <c r="N12297" s="787">
        <v>18.899999999999999</v>
      </c>
      <c r="O12297" s="788">
        <v>41858</v>
      </c>
    </row>
    <row r="12298" spans="1:15" x14ac:dyDescent="0.25">
      <c r="A12298" s="786" t="s">
        <v>21944</v>
      </c>
      <c r="B12298" s="787">
        <v>4</v>
      </c>
      <c r="C12298" s="787" t="s">
        <v>21945</v>
      </c>
      <c r="D12298" s="787">
        <v>0.45</v>
      </c>
      <c r="E12298" s="787">
        <v>300.45</v>
      </c>
      <c r="F12298" s="788">
        <v>41761</v>
      </c>
      <c r="G12298" s="788">
        <v>41765</v>
      </c>
      <c r="H12298" s="787">
        <v>1</v>
      </c>
      <c r="J12298" s="788">
        <v>41758</v>
      </c>
      <c r="K12298" s="788">
        <v>41737</v>
      </c>
      <c r="L12298" s="787">
        <v>291.7</v>
      </c>
      <c r="M12298" s="787">
        <v>20</v>
      </c>
      <c r="N12298" s="787">
        <v>313.58</v>
      </c>
      <c r="O12298" s="788">
        <v>41858</v>
      </c>
    </row>
    <row r="12299" spans="1:15" x14ac:dyDescent="0.25">
      <c r="A12299" s="786" t="s">
        <v>21946</v>
      </c>
      <c r="B12299" s="787">
        <v>4</v>
      </c>
      <c r="C12299" s="787" t="s">
        <v>21947</v>
      </c>
      <c r="D12299" s="787">
        <v>4.63</v>
      </c>
      <c r="E12299" s="787">
        <v>24.63</v>
      </c>
      <c r="F12299" s="788">
        <v>41948</v>
      </c>
      <c r="G12299" s="788">
        <v>41974</v>
      </c>
      <c r="H12299" s="787">
        <v>1</v>
      </c>
      <c r="I12299" s="788">
        <v>41785</v>
      </c>
      <c r="J12299" s="788">
        <v>41949</v>
      </c>
      <c r="K12299" s="788">
        <v>41858</v>
      </c>
      <c r="L12299" s="787">
        <v>26.2</v>
      </c>
      <c r="M12299" s="787">
        <v>20</v>
      </c>
      <c r="N12299" s="787">
        <v>26.48</v>
      </c>
      <c r="O12299" s="788">
        <v>41858</v>
      </c>
    </row>
    <row r="12300" spans="1:15" x14ac:dyDescent="0.25">
      <c r="A12300" s="786" t="s">
        <v>21948</v>
      </c>
      <c r="B12300" s="787">
        <v>4</v>
      </c>
      <c r="C12300" s="787" t="s">
        <v>21949</v>
      </c>
      <c r="D12300" s="787">
        <v>6.61</v>
      </c>
      <c r="E12300" s="787">
        <v>366.61</v>
      </c>
      <c r="F12300" s="788">
        <v>41827</v>
      </c>
      <c r="G12300" s="788">
        <v>41962</v>
      </c>
      <c r="H12300" s="787">
        <v>1</v>
      </c>
      <c r="I12300" s="788">
        <v>41957</v>
      </c>
      <c r="J12300" s="788">
        <v>41942</v>
      </c>
      <c r="K12300" s="788">
        <v>41901</v>
      </c>
      <c r="L12300" s="787">
        <v>366.61</v>
      </c>
      <c r="M12300" s="787">
        <v>20</v>
      </c>
      <c r="N12300" s="787">
        <v>419.25</v>
      </c>
      <c r="O12300" s="788">
        <v>41858</v>
      </c>
    </row>
    <row r="12301" spans="1:15" x14ac:dyDescent="0.25">
      <c r="A12301" s="786" t="s">
        <v>21950</v>
      </c>
      <c r="B12301" s="787">
        <v>4</v>
      </c>
      <c r="C12301" s="787" t="s">
        <v>21951</v>
      </c>
      <c r="D12301" s="787">
        <v>4.51</v>
      </c>
      <c r="E12301" s="787">
        <v>4.51</v>
      </c>
      <c r="F12301" s="788">
        <v>41988</v>
      </c>
      <c r="G12301" s="788">
        <v>42013</v>
      </c>
      <c r="H12301" s="787">
        <v>1</v>
      </c>
      <c r="I12301" s="788">
        <v>42121</v>
      </c>
      <c r="J12301" s="788">
        <v>41984</v>
      </c>
      <c r="K12301" s="788">
        <v>41822</v>
      </c>
      <c r="L12301" s="787">
        <v>24</v>
      </c>
      <c r="M12301" s="787">
        <v>20</v>
      </c>
      <c r="N12301" s="787">
        <v>25.8</v>
      </c>
      <c r="O12301" s="788">
        <v>42111</v>
      </c>
    </row>
    <row r="12302" spans="1:15" x14ac:dyDescent="0.25">
      <c r="A12302" s="786" t="s">
        <v>21952</v>
      </c>
      <c r="B12302" s="787">
        <v>4</v>
      </c>
      <c r="C12302" s="787" t="s">
        <v>21953</v>
      </c>
      <c r="D12302" s="787">
        <v>3.84</v>
      </c>
      <c r="E12302" s="787">
        <v>3.84</v>
      </c>
      <c r="F12302" s="788">
        <v>41988</v>
      </c>
      <c r="G12302" s="788">
        <v>42013</v>
      </c>
      <c r="H12302" s="787">
        <v>1</v>
      </c>
      <c r="I12302" s="788">
        <v>42121</v>
      </c>
      <c r="J12302" s="788">
        <v>41984</v>
      </c>
      <c r="K12302" s="788">
        <v>41822</v>
      </c>
      <c r="L12302" s="787">
        <v>20.399999999999999</v>
      </c>
      <c r="M12302" s="787">
        <v>20</v>
      </c>
      <c r="N12302" s="787">
        <v>21.93</v>
      </c>
      <c r="O12302" s="788">
        <v>41858</v>
      </c>
    </row>
    <row r="12303" spans="1:15" x14ac:dyDescent="0.25">
      <c r="A12303" s="786" t="s">
        <v>21954</v>
      </c>
      <c r="B12303" s="787">
        <v>4</v>
      </c>
      <c r="C12303" s="787" t="s">
        <v>21955</v>
      </c>
      <c r="D12303" s="787">
        <v>0.77</v>
      </c>
      <c r="E12303" s="787">
        <v>20.89</v>
      </c>
      <c r="F12303" s="788">
        <v>41834</v>
      </c>
      <c r="G12303" s="788">
        <v>42086</v>
      </c>
      <c r="H12303" s="787">
        <v>1</v>
      </c>
      <c r="I12303" s="788">
        <v>42093</v>
      </c>
      <c r="J12303" s="788">
        <v>42068</v>
      </c>
      <c r="K12303" s="788">
        <v>41858</v>
      </c>
      <c r="L12303" s="787">
        <v>22.1</v>
      </c>
      <c r="M12303" s="787">
        <v>20</v>
      </c>
      <c r="N12303" s="787">
        <v>22.33</v>
      </c>
      <c r="O12303" s="788">
        <v>41858</v>
      </c>
    </row>
    <row r="12304" spans="1:15" x14ac:dyDescent="0.25">
      <c r="A12304" s="786" t="s">
        <v>21956</v>
      </c>
      <c r="B12304" s="787">
        <v>4</v>
      </c>
      <c r="C12304" s="787" t="s">
        <v>21957</v>
      </c>
      <c r="D12304" s="787">
        <v>9.8699999999999992</v>
      </c>
      <c r="E12304" s="787">
        <v>90.35</v>
      </c>
      <c r="F12304" s="788">
        <v>41834</v>
      </c>
      <c r="G12304" s="788">
        <v>42086</v>
      </c>
      <c r="H12304" s="787">
        <v>1</v>
      </c>
      <c r="I12304" s="788">
        <v>42093</v>
      </c>
      <c r="J12304" s="788">
        <v>42069</v>
      </c>
      <c r="K12304" s="788">
        <v>41859</v>
      </c>
      <c r="L12304" s="787">
        <v>95.6</v>
      </c>
      <c r="M12304" s="787">
        <v>20</v>
      </c>
      <c r="N12304" s="787">
        <v>96.61</v>
      </c>
      <c r="O12304" s="788">
        <v>41858</v>
      </c>
    </row>
    <row r="12305" spans="1:15" x14ac:dyDescent="0.25">
      <c r="A12305" s="786" t="s">
        <v>21958</v>
      </c>
      <c r="B12305" s="787">
        <v>4</v>
      </c>
      <c r="C12305" s="787" t="s">
        <v>21959</v>
      </c>
      <c r="D12305" s="787">
        <v>5.97</v>
      </c>
      <c r="E12305" s="787">
        <v>635.97</v>
      </c>
      <c r="F12305" s="788">
        <v>41862</v>
      </c>
      <c r="G12305" s="788">
        <v>41865</v>
      </c>
      <c r="H12305" s="787">
        <v>1</v>
      </c>
      <c r="I12305" s="788">
        <v>41880</v>
      </c>
      <c r="J12305" s="788">
        <v>41859</v>
      </c>
      <c r="K12305" s="788">
        <v>41837</v>
      </c>
      <c r="L12305" s="787">
        <v>623.79999999999995</v>
      </c>
      <c r="M12305" s="787">
        <v>20</v>
      </c>
      <c r="N12305" s="787">
        <v>670.59</v>
      </c>
      <c r="O12305" s="788">
        <v>41858</v>
      </c>
    </row>
    <row r="12306" spans="1:15" x14ac:dyDescent="0.25">
      <c r="A12306" s="786" t="s">
        <v>21960</v>
      </c>
      <c r="B12306" s="787">
        <v>4</v>
      </c>
      <c r="C12306" s="787" t="s">
        <v>21961</v>
      </c>
      <c r="D12306" s="787">
        <v>3.45</v>
      </c>
      <c r="E12306" s="787">
        <v>33.450000000000003</v>
      </c>
      <c r="F12306" s="788">
        <v>41862</v>
      </c>
      <c r="G12306" s="788">
        <v>41865</v>
      </c>
      <c r="H12306" s="787">
        <v>1</v>
      </c>
      <c r="I12306" s="788">
        <v>41880</v>
      </c>
      <c r="J12306" s="788">
        <v>41859</v>
      </c>
      <c r="K12306" s="788">
        <v>41859</v>
      </c>
      <c r="L12306" s="787">
        <v>34.9</v>
      </c>
      <c r="M12306" s="787">
        <v>20</v>
      </c>
      <c r="N12306" s="787">
        <v>35.270000000000003</v>
      </c>
      <c r="O12306" s="788">
        <v>41858</v>
      </c>
    </row>
    <row r="12307" spans="1:15" x14ac:dyDescent="0.25">
      <c r="A12307" s="786" t="s">
        <v>21962</v>
      </c>
      <c r="B12307" s="787">
        <v>4</v>
      </c>
      <c r="C12307" s="787" t="s">
        <v>21963</v>
      </c>
      <c r="D12307" s="787">
        <v>7.92</v>
      </c>
      <c r="E12307" s="787">
        <v>17.920000000000002</v>
      </c>
      <c r="F12307" s="788">
        <v>41862</v>
      </c>
      <c r="G12307" s="788">
        <v>41865</v>
      </c>
      <c r="H12307" s="787">
        <v>1</v>
      </c>
      <c r="I12307" s="788">
        <v>41880</v>
      </c>
      <c r="J12307" s="788">
        <v>41859</v>
      </c>
      <c r="K12307" s="788">
        <v>41859</v>
      </c>
      <c r="L12307" s="787">
        <v>18.7</v>
      </c>
      <c r="M12307" s="787">
        <v>20</v>
      </c>
      <c r="N12307" s="787">
        <v>18.899999999999999</v>
      </c>
      <c r="O12307" s="788">
        <v>41858</v>
      </c>
    </row>
    <row r="12308" spans="1:15" x14ac:dyDescent="0.25">
      <c r="A12308" s="786" t="s">
        <v>21964</v>
      </c>
      <c r="B12308" s="787">
        <v>4</v>
      </c>
      <c r="C12308" s="787" t="s">
        <v>21965</v>
      </c>
      <c r="D12308" s="787">
        <v>9.07</v>
      </c>
      <c r="E12308" s="787">
        <v>49.07</v>
      </c>
      <c r="F12308" s="788">
        <v>41862</v>
      </c>
      <c r="G12308" s="788">
        <v>41865</v>
      </c>
      <c r="H12308" s="787">
        <v>1</v>
      </c>
      <c r="I12308" s="788">
        <v>41880</v>
      </c>
      <c r="J12308" s="788">
        <v>41859</v>
      </c>
      <c r="K12308" s="788">
        <v>41859</v>
      </c>
      <c r="L12308" s="787">
        <v>51.2</v>
      </c>
      <c r="M12308" s="787">
        <v>20</v>
      </c>
      <c r="N12308" s="787">
        <v>51.74</v>
      </c>
      <c r="O12308" s="788">
        <v>41858</v>
      </c>
    </row>
    <row r="12309" spans="1:15" x14ac:dyDescent="0.25">
      <c r="A12309" s="786" t="s">
        <v>21966</v>
      </c>
      <c r="B12309" s="787">
        <v>4</v>
      </c>
      <c r="C12309" s="787" t="s">
        <v>21967</v>
      </c>
      <c r="D12309" s="787">
        <v>9.42</v>
      </c>
      <c r="E12309" s="787">
        <v>9.42</v>
      </c>
      <c r="F12309" s="788">
        <v>41855</v>
      </c>
      <c r="G12309" s="788">
        <v>41856</v>
      </c>
      <c r="H12309" s="787">
        <v>1</v>
      </c>
      <c r="I12309" s="788">
        <v>41894</v>
      </c>
      <c r="J12309" s="788">
        <v>41851</v>
      </c>
      <c r="K12309" s="788">
        <v>41843</v>
      </c>
      <c r="L12309" s="787">
        <v>9.7100000000000009</v>
      </c>
      <c r="M12309" s="787">
        <v>20</v>
      </c>
      <c r="N12309" s="787">
        <v>10.44</v>
      </c>
      <c r="O12309" s="788">
        <v>41858</v>
      </c>
    </row>
    <row r="12310" spans="1:15" x14ac:dyDescent="0.25">
      <c r="A12310" s="786" t="s">
        <v>21968</v>
      </c>
      <c r="B12310" s="787">
        <v>4</v>
      </c>
      <c r="C12310" s="787" t="s">
        <v>21969</v>
      </c>
      <c r="D12310" s="787">
        <v>3.1</v>
      </c>
      <c r="E12310" s="787">
        <v>3.1</v>
      </c>
      <c r="F12310" s="788">
        <v>41859</v>
      </c>
      <c r="G12310" s="788">
        <v>41891</v>
      </c>
      <c r="H12310" s="787">
        <v>1</v>
      </c>
      <c r="J12310" s="788">
        <v>41883</v>
      </c>
      <c r="K12310" s="788">
        <v>41859</v>
      </c>
      <c r="L12310" s="787">
        <v>3.19</v>
      </c>
      <c r="M12310" s="787">
        <v>20</v>
      </c>
      <c r="N12310" s="787">
        <v>3.23</v>
      </c>
      <c r="O12310" s="788">
        <v>41858</v>
      </c>
    </row>
    <row r="12311" spans="1:15" x14ac:dyDescent="0.25">
      <c r="A12311" s="786" t="s">
        <v>21970</v>
      </c>
      <c r="B12311" s="787">
        <v>4</v>
      </c>
      <c r="C12311" s="787" t="s">
        <v>21971</v>
      </c>
      <c r="D12311" s="787">
        <v>4.32</v>
      </c>
      <c r="E12311" s="787">
        <v>184.32</v>
      </c>
      <c r="F12311" s="788">
        <v>41876</v>
      </c>
      <c r="G12311" s="788">
        <v>41891</v>
      </c>
      <c r="H12311" s="787">
        <v>1</v>
      </c>
      <c r="I12311" s="788">
        <v>41879</v>
      </c>
      <c r="J12311" s="788">
        <v>41876</v>
      </c>
      <c r="K12311" s="788">
        <v>41870</v>
      </c>
      <c r="L12311" s="787">
        <v>170.24</v>
      </c>
      <c r="M12311" s="787">
        <v>20</v>
      </c>
      <c r="N12311" s="787">
        <v>183.01</v>
      </c>
      <c r="O12311" s="788">
        <v>41870</v>
      </c>
    </row>
    <row r="12312" spans="1:15" x14ac:dyDescent="0.25">
      <c r="A12312" s="786" t="s">
        <v>21972</v>
      </c>
      <c r="B12312" s="787">
        <v>4</v>
      </c>
      <c r="C12312" s="787" t="s">
        <v>21973</v>
      </c>
      <c r="D12312" s="787">
        <v>6.98</v>
      </c>
      <c r="E12312" s="787">
        <v>36.979999999999997</v>
      </c>
      <c r="F12312" s="788">
        <v>41890</v>
      </c>
      <c r="G12312" s="788">
        <v>41904</v>
      </c>
      <c r="H12312" s="787">
        <v>1</v>
      </c>
      <c r="J12312" s="788">
        <v>41887</v>
      </c>
      <c r="K12312" s="788">
        <v>41878</v>
      </c>
      <c r="L12312" s="787">
        <v>37.700000000000003</v>
      </c>
      <c r="M12312" s="787">
        <v>20</v>
      </c>
      <c r="N12312" s="787">
        <v>40.53</v>
      </c>
      <c r="O12312" s="788">
        <v>41878</v>
      </c>
    </row>
    <row r="12313" spans="1:15" x14ac:dyDescent="0.25">
      <c r="A12313" s="786" t="s">
        <v>21974</v>
      </c>
      <c r="B12313" s="787">
        <v>4</v>
      </c>
      <c r="C12313" s="787" t="s">
        <v>21975</v>
      </c>
      <c r="D12313" s="787">
        <v>4.3099999999999996</v>
      </c>
      <c r="E12313" s="787">
        <v>4.3099999999999996</v>
      </c>
      <c r="F12313" s="788">
        <v>41890</v>
      </c>
      <c r="G12313" s="788">
        <v>42013</v>
      </c>
      <c r="H12313" s="787">
        <v>1</v>
      </c>
      <c r="I12313" s="788">
        <v>42164</v>
      </c>
      <c r="J12313" s="788">
        <v>41887</v>
      </c>
      <c r="K12313" s="788">
        <v>41894</v>
      </c>
      <c r="L12313" s="787">
        <v>4.3899999999999997</v>
      </c>
      <c r="M12313" s="787">
        <v>20</v>
      </c>
      <c r="N12313" s="787">
        <v>4.72</v>
      </c>
      <c r="O12313" s="788">
        <v>41894</v>
      </c>
    </row>
    <row r="12314" spans="1:15" x14ac:dyDescent="0.25">
      <c r="A12314" s="786" t="s">
        <v>21976</v>
      </c>
      <c r="B12314" s="787">
        <v>4</v>
      </c>
      <c r="C12314" s="787" t="s">
        <v>21977</v>
      </c>
      <c r="D12314" s="787">
        <v>1</v>
      </c>
      <c r="E12314" s="787">
        <v>651</v>
      </c>
      <c r="F12314" s="788">
        <v>41907</v>
      </c>
      <c r="G12314" s="788">
        <v>41911</v>
      </c>
      <c r="H12314" s="787">
        <v>1</v>
      </c>
      <c r="I12314" s="788">
        <v>41918</v>
      </c>
      <c r="J12314" s="788">
        <v>41905</v>
      </c>
      <c r="K12314" s="788">
        <v>41887</v>
      </c>
      <c r="L12314" s="787">
        <v>700</v>
      </c>
      <c r="M12314" s="787">
        <v>20</v>
      </c>
      <c r="N12314" s="787">
        <v>752.5</v>
      </c>
      <c r="O12314" s="788">
        <v>41887</v>
      </c>
    </row>
    <row r="12315" spans="1:15" x14ac:dyDescent="0.25">
      <c r="A12315" s="786" t="s">
        <v>21978</v>
      </c>
      <c r="B12315" s="787">
        <v>4</v>
      </c>
      <c r="C12315" s="787" t="s">
        <v>21979</v>
      </c>
      <c r="D12315" s="787">
        <v>2.85</v>
      </c>
      <c r="E12315" s="787">
        <v>12.85</v>
      </c>
      <c r="F12315" s="788">
        <v>42016</v>
      </c>
      <c r="G12315" s="788">
        <v>42017</v>
      </c>
      <c r="H12315" s="787">
        <v>1</v>
      </c>
      <c r="I12315" s="788">
        <v>42121</v>
      </c>
      <c r="J12315" s="788">
        <v>42016</v>
      </c>
      <c r="K12315" s="788">
        <v>41974</v>
      </c>
      <c r="L12315" s="787">
        <v>64.959999999999994</v>
      </c>
      <c r="M12315" s="787">
        <v>20</v>
      </c>
      <c r="N12315" s="787">
        <v>74.28</v>
      </c>
      <c r="O12315" s="788">
        <v>41887</v>
      </c>
    </row>
    <row r="12316" spans="1:15" x14ac:dyDescent="0.25">
      <c r="A12316" s="786" t="s">
        <v>21980</v>
      </c>
      <c r="B12316" s="787">
        <v>4</v>
      </c>
      <c r="C12316" s="787" t="s">
        <v>21981</v>
      </c>
      <c r="D12316" s="787">
        <v>8.68</v>
      </c>
      <c r="E12316" s="787">
        <v>78.680000000000007</v>
      </c>
      <c r="F12316" s="788">
        <v>41904</v>
      </c>
      <c r="G12316" s="788">
        <v>41932</v>
      </c>
      <c r="H12316" s="787">
        <v>1</v>
      </c>
      <c r="I12316" s="788">
        <v>41913</v>
      </c>
      <c r="J12316" s="788">
        <v>41913</v>
      </c>
      <c r="K12316" s="788">
        <v>41887</v>
      </c>
      <c r="L12316" s="787">
        <v>84.6</v>
      </c>
      <c r="M12316" s="787">
        <v>20</v>
      </c>
      <c r="N12316" s="787">
        <v>90.95</v>
      </c>
      <c r="O12316" s="788">
        <v>41887</v>
      </c>
    </row>
    <row r="12317" spans="1:15" x14ac:dyDescent="0.25">
      <c r="A12317" s="786" t="s">
        <v>21982</v>
      </c>
      <c r="B12317" s="787">
        <v>4</v>
      </c>
      <c r="C12317" s="787" t="s">
        <v>21983</v>
      </c>
      <c r="D12317" s="787">
        <v>9.7100000000000009</v>
      </c>
      <c r="E12317" s="787">
        <v>159.71</v>
      </c>
      <c r="F12317" s="788">
        <v>41907</v>
      </c>
      <c r="G12317" s="788">
        <v>41914</v>
      </c>
      <c r="H12317" s="787">
        <v>1</v>
      </c>
      <c r="I12317" s="788">
        <v>41922</v>
      </c>
      <c r="J12317" s="788">
        <v>41907</v>
      </c>
      <c r="K12317" s="788">
        <v>41899</v>
      </c>
      <c r="L12317" s="787">
        <v>169.9</v>
      </c>
      <c r="M12317" s="787">
        <v>20</v>
      </c>
      <c r="N12317" s="787">
        <v>182.64</v>
      </c>
      <c r="O12317" s="788">
        <v>41899</v>
      </c>
    </row>
    <row r="12318" spans="1:15" x14ac:dyDescent="0.25">
      <c r="A12318" s="786" t="s">
        <v>21984</v>
      </c>
      <c r="B12318" s="787">
        <v>4</v>
      </c>
      <c r="C12318" s="787" t="s">
        <v>21985</v>
      </c>
      <c r="D12318" s="787">
        <v>1.7</v>
      </c>
      <c r="E12318" s="787">
        <v>161.71</v>
      </c>
      <c r="F12318" s="788">
        <v>41942</v>
      </c>
      <c r="G12318" s="788">
        <v>41947</v>
      </c>
      <c r="H12318" s="787">
        <v>1</v>
      </c>
      <c r="I12318" s="788">
        <v>41956</v>
      </c>
      <c r="J12318" s="788">
        <v>41940</v>
      </c>
      <c r="K12318" s="788">
        <v>41925</v>
      </c>
      <c r="L12318" s="787">
        <v>158.30000000000001</v>
      </c>
      <c r="M12318" s="787">
        <v>20</v>
      </c>
      <c r="N12318" s="787">
        <v>204.25</v>
      </c>
      <c r="O12318" s="788">
        <v>41914</v>
      </c>
    </row>
    <row r="12319" spans="1:15" x14ac:dyDescent="0.25">
      <c r="A12319" s="786" t="s">
        <v>21986</v>
      </c>
      <c r="B12319" s="787">
        <v>4</v>
      </c>
      <c r="C12319" s="787" t="s">
        <v>21987</v>
      </c>
      <c r="D12319" s="787">
        <v>9.8800000000000008</v>
      </c>
      <c r="E12319" s="787">
        <v>9.89</v>
      </c>
      <c r="F12319" s="788">
        <v>41939</v>
      </c>
      <c r="G12319" s="788">
        <v>41942</v>
      </c>
      <c r="H12319" s="787">
        <v>1</v>
      </c>
      <c r="I12319" s="788">
        <v>41956</v>
      </c>
      <c r="J12319" s="788">
        <v>41935</v>
      </c>
      <c r="K12319" s="788">
        <v>41914</v>
      </c>
      <c r="L12319" s="787">
        <v>9.77</v>
      </c>
      <c r="M12319" s="787">
        <v>20</v>
      </c>
      <c r="N12319" s="787">
        <v>10.5</v>
      </c>
      <c r="O12319" s="788">
        <v>41914</v>
      </c>
    </row>
    <row r="12320" spans="1:15" x14ac:dyDescent="0.25">
      <c r="A12320" s="786" t="s">
        <v>21988</v>
      </c>
      <c r="B12320" s="787">
        <v>4</v>
      </c>
      <c r="C12320" s="787" t="s">
        <v>21989</v>
      </c>
      <c r="D12320" s="787">
        <v>9.14</v>
      </c>
      <c r="E12320" s="787">
        <v>19.14</v>
      </c>
      <c r="F12320" s="788">
        <v>42051</v>
      </c>
      <c r="G12320" s="788">
        <v>42064</v>
      </c>
      <c r="H12320" s="787">
        <v>1</v>
      </c>
      <c r="I12320" s="788">
        <v>41978</v>
      </c>
      <c r="J12320" s="788">
        <v>42054</v>
      </c>
      <c r="K12320" s="788">
        <v>41918</v>
      </c>
      <c r="L12320" s="787">
        <v>20.8</v>
      </c>
      <c r="M12320" s="787">
        <v>20</v>
      </c>
      <c r="N12320" s="787">
        <v>22.36</v>
      </c>
      <c r="O12320" s="788">
        <v>41918</v>
      </c>
    </row>
    <row r="12321" spans="1:15" x14ac:dyDescent="0.25">
      <c r="A12321" s="786" t="s">
        <v>21990</v>
      </c>
      <c r="B12321" s="787">
        <v>4</v>
      </c>
      <c r="C12321" s="787" t="s">
        <v>21991</v>
      </c>
      <c r="D12321" s="787">
        <v>8.7100000000000009</v>
      </c>
      <c r="E12321" s="787">
        <v>38.71</v>
      </c>
      <c r="F12321" s="788">
        <v>41932</v>
      </c>
      <c r="G12321" s="788">
        <v>41962</v>
      </c>
      <c r="H12321" s="787">
        <v>1</v>
      </c>
      <c r="J12321" s="788">
        <v>41928</v>
      </c>
      <c r="K12321" s="788">
        <v>41921</v>
      </c>
      <c r="L12321" s="787">
        <v>39.9</v>
      </c>
      <c r="M12321" s="787">
        <v>20</v>
      </c>
      <c r="N12321" s="787">
        <v>42.89</v>
      </c>
      <c r="O12321" s="788">
        <v>41921</v>
      </c>
    </row>
    <row r="12322" spans="1:15" x14ac:dyDescent="0.25">
      <c r="A12322" s="786" t="s">
        <v>21992</v>
      </c>
      <c r="B12322" s="787">
        <v>4</v>
      </c>
      <c r="C12322" s="787" t="s">
        <v>21993</v>
      </c>
      <c r="D12322" s="787">
        <v>5.35</v>
      </c>
      <c r="E12322" s="787">
        <v>15.35</v>
      </c>
      <c r="F12322" s="788">
        <v>41932</v>
      </c>
      <c r="G12322" s="788">
        <v>41962</v>
      </c>
      <c r="H12322" s="787">
        <v>1</v>
      </c>
      <c r="I12322" s="788">
        <v>41943</v>
      </c>
      <c r="J12322" s="788">
        <v>41932</v>
      </c>
      <c r="K12322" s="788">
        <v>41926</v>
      </c>
      <c r="L12322" s="787">
        <v>11.7</v>
      </c>
      <c r="M12322" s="787">
        <v>20</v>
      </c>
      <c r="N12322" s="787">
        <v>12.58</v>
      </c>
      <c r="O12322" s="788">
        <v>41926</v>
      </c>
    </row>
    <row r="12323" spans="1:15" x14ac:dyDescent="0.25">
      <c r="A12323" s="786" t="s">
        <v>21994</v>
      </c>
      <c r="B12323" s="787">
        <v>4</v>
      </c>
      <c r="C12323" s="787" t="s">
        <v>21995</v>
      </c>
      <c r="D12323" s="787">
        <v>6.67</v>
      </c>
      <c r="E12323" s="787">
        <v>296.67</v>
      </c>
      <c r="F12323" s="788">
        <v>42016</v>
      </c>
      <c r="G12323" s="788">
        <v>42017</v>
      </c>
      <c r="H12323" s="787">
        <v>1</v>
      </c>
      <c r="I12323" s="788">
        <v>41988</v>
      </c>
      <c r="J12323" s="788">
        <v>42016</v>
      </c>
      <c r="K12323" s="788">
        <v>41964</v>
      </c>
      <c r="L12323" s="787">
        <v>299.86</v>
      </c>
      <c r="M12323" s="787">
        <v>20</v>
      </c>
      <c r="N12323" s="787">
        <v>322.35000000000002</v>
      </c>
      <c r="O12323" s="788">
        <v>41965</v>
      </c>
    </row>
    <row r="12324" spans="1:15" x14ac:dyDescent="0.25">
      <c r="A12324" s="786" t="s">
        <v>21996</v>
      </c>
      <c r="B12324" s="787">
        <v>4</v>
      </c>
      <c r="C12324" s="787" t="s">
        <v>21997</v>
      </c>
      <c r="D12324" s="787">
        <v>2.83</v>
      </c>
      <c r="E12324" s="787">
        <v>12.83</v>
      </c>
      <c r="F12324" s="788">
        <v>42016</v>
      </c>
      <c r="G12324" s="788">
        <v>42017</v>
      </c>
      <c r="H12324" s="787">
        <v>1</v>
      </c>
      <c r="I12324" s="788">
        <v>41988</v>
      </c>
      <c r="J12324" s="788">
        <v>42016</v>
      </c>
      <c r="K12324" s="788">
        <v>41964</v>
      </c>
      <c r="L12324" s="787">
        <v>12.97</v>
      </c>
      <c r="M12324" s="787">
        <v>20</v>
      </c>
      <c r="N12324" s="787">
        <v>13.94</v>
      </c>
      <c r="O12324" s="788">
        <v>41965</v>
      </c>
    </row>
    <row r="12325" spans="1:15" x14ac:dyDescent="0.25">
      <c r="A12325" s="786" t="s">
        <v>21998</v>
      </c>
      <c r="B12325" s="787">
        <v>4</v>
      </c>
      <c r="C12325" s="787" t="s">
        <v>21999</v>
      </c>
      <c r="D12325" s="787">
        <v>1.96</v>
      </c>
      <c r="E12325" s="787">
        <v>1.96</v>
      </c>
      <c r="F12325" s="788">
        <v>42016</v>
      </c>
      <c r="G12325" s="788">
        <v>42017</v>
      </c>
      <c r="H12325" s="787">
        <v>1</v>
      </c>
      <c r="I12325" s="788">
        <v>41988</v>
      </c>
      <c r="J12325" s="788">
        <v>42016</v>
      </c>
      <c r="K12325" s="788">
        <v>41964</v>
      </c>
      <c r="L12325" s="787">
        <v>1.98</v>
      </c>
      <c r="M12325" s="787">
        <v>20</v>
      </c>
      <c r="N12325" s="787">
        <v>2.13</v>
      </c>
      <c r="O12325" s="788">
        <v>41965</v>
      </c>
    </row>
    <row r="12326" spans="1:15" x14ac:dyDescent="0.25">
      <c r="A12326" s="786" t="s">
        <v>22000</v>
      </c>
      <c r="B12326" s="787">
        <v>4</v>
      </c>
      <c r="C12326" s="787" t="s">
        <v>22001</v>
      </c>
      <c r="D12326" s="787">
        <v>3.23</v>
      </c>
      <c r="E12326" s="787">
        <v>123.23</v>
      </c>
      <c r="F12326" s="788">
        <v>42016</v>
      </c>
      <c r="G12326" s="788">
        <v>42017</v>
      </c>
      <c r="H12326" s="787">
        <v>1</v>
      </c>
      <c r="I12326" s="788">
        <v>41988</v>
      </c>
      <c r="J12326" s="788">
        <v>42016</v>
      </c>
      <c r="K12326" s="788">
        <v>41964</v>
      </c>
      <c r="L12326" s="787">
        <v>124.55</v>
      </c>
      <c r="M12326" s="787">
        <v>20</v>
      </c>
      <c r="N12326" s="787">
        <v>133.88999999999999</v>
      </c>
      <c r="O12326" s="788">
        <v>41965</v>
      </c>
    </row>
    <row r="12327" spans="1:15" x14ac:dyDescent="0.25">
      <c r="A12327" s="786" t="s">
        <v>22002</v>
      </c>
      <c r="B12327" s="787">
        <v>4</v>
      </c>
      <c r="C12327" s="787" t="s">
        <v>22003</v>
      </c>
      <c r="D12327" s="787">
        <v>4.45</v>
      </c>
      <c r="E12327" s="787">
        <v>4.45</v>
      </c>
      <c r="F12327" s="788">
        <v>42020</v>
      </c>
      <c r="G12327" s="788">
        <v>42030</v>
      </c>
      <c r="H12327" s="787">
        <v>1</v>
      </c>
      <c r="I12327" s="788">
        <v>41988</v>
      </c>
      <c r="J12327" s="788">
        <v>42019</v>
      </c>
      <c r="K12327" s="788">
        <v>41964</v>
      </c>
      <c r="L12327" s="787">
        <v>4.49</v>
      </c>
      <c r="M12327" s="787">
        <v>20</v>
      </c>
      <c r="N12327" s="787">
        <v>4.83</v>
      </c>
      <c r="O12327" s="788">
        <v>41965</v>
      </c>
    </row>
    <row r="12328" spans="1:15" x14ac:dyDescent="0.25">
      <c r="A12328" s="786" t="s">
        <v>22004</v>
      </c>
      <c r="B12328" s="787">
        <v>4</v>
      </c>
      <c r="C12328" s="787" t="s">
        <v>22005</v>
      </c>
      <c r="D12328" s="787">
        <v>2.74</v>
      </c>
      <c r="E12328" s="787">
        <v>2.74</v>
      </c>
      <c r="F12328" s="788">
        <v>42016</v>
      </c>
      <c r="G12328" s="788">
        <v>42017</v>
      </c>
      <c r="H12328" s="787">
        <v>1</v>
      </c>
      <c r="I12328" s="788">
        <v>41988</v>
      </c>
      <c r="J12328" s="788">
        <v>42016</v>
      </c>
      <c r="K12328" s="788">
        <v>41964</v>
      </c>
      <c r="L12328" s="787">
        <v>11.09</v>
      </c>
      <c r="M12328" s="787">
        <v>20</v>
      </c>
      <c r="N12328" s="787">
        <v>11.92</v>
      </c>
      <c r="O12328" s="788">
        <v>41965</v>
      </c>
    </row>
    <row r="12329" spans="1:15" x14ac:dyDescent="0.25">
      <c r="A12329" s="786" t="s">
        <v>22006</v>
      </c>
      <c r="B12329" s="787">
        <v>4</v>
      </c>
      <c r="C12329" s="787" t="s">
        <v>22007</v>
      </c>
      <c r="D12329" s="787">
        <v>2.16</v>
      </c>
      <c r="E12329" s="787">
        <v>2.16</v>
      </c>
      <c r="F12329" s="788">
        <v>42016</v>
      </c>
      <c r="G12329" s="788">
        <v>42017</v>
      </c>
      <c r="H12329" s="787">
        <v>1</v>
      </c>
      <c r="I12329" s="788">
        <v>41988</v>
      </c>
      <c r="J12329" s="788">
        <v>42016</v>
      </c>
      <c r="K12329" s="788">
        <v>41964</v>
      </c>
      <c r="L12329" s="787">
        <v>10.9</v>
      </c>
      <c r="M12329" s="787">
        <v>20</v>
      </c>
      <c r="N12329" s="787">
        <v>11.72</v>
      </c>
      <c r="O12329" s="788">
        <v>41965</v>
      </c>
    </row>
    <row r="12330" spans="1:15" x14ac:dyDescent="0.25">
      <c r="A12330" s="786" t="s">
        <v>22008</v>
      </c>
      <c r="B12330" s="787">
        <v>4</v>
      </c>
      <c r="C12330" s="787" t="s">
        <v>22009</v>
      </c>
      <c r="D12330" s="787">
        <v>1.35</v>
      </c>
      <c r="E12330" s="787">
        <v>11.35</v>
      </c>
      <c r="F12330" s="788">
        <v>42016</v>
      </c>
      <c r="G12330" s="788">
        <v>42017</v>
      </c>
      <c r="H12330" s="787">
        <v>1</v>
      </c>
      <c r="I12330" s="788">
        <v>41988</v>
      </c>
      <c r="J12330" s="788">
        <v>42016</v>
      </c>
      <c r="K12330" s="788">
        <v>41967</v>
      </c>
      <c r="L12330" s="787">
        <v>57.34</v>
      </c>
      <c r="M12330" s="787">
        <v>20</v>
      </c>
      <c r="N12330" s="787">
        <v>61.64</v>
      </c>
      <c r="O12330" s="788">
        <v>41969</v>
      </c>
    </row>
    <row r="12331" spans="1:15" x14ac:dyDescent="0.25">
      <c r="A12331" s="786" t="s">
        <v>22010</v>
      </c>
      <c r="B12331" s="787">
        <v>4</v>
      </c>
      <c r="C12331" s="787" t="s">
        <v>22011</v>
      </c>
      <c r="D12331" s="787">
        <v>1.05</v>
      </c>
      <c r="E12331" s="787">
        <v>1.05</v>
      </c>
      <c r="F12331" s="788">
        <v>42016</v>
      </c>
      <c r="G12331" s="788">
        <v>42017</v>
      </c>
      <c r="H12331" s="787">
        <v>1</v>
      </c>
      <c r="I12331" s="788">
        <v>41991</v>
      </c>
      <c r="J12331" s="788">
        <v>42016</v>
      </c>
      <c r="K12331" s="788">
        <v>41974</v>
      </c>
      <c r="L12331" s="787">
        <v>10.62</v>
      </c>
      <c r="M12331" s="787">
        <v>20</v>
      </c>
      <c r="N12331" s="787">
        <v>12.15</v>
      </c>
      <c r="O12331" s="788">
        <v>41969</v>
      </c>
    </row>
    <row r="12332" spans="1:15" x14ac:dyDescent="0.25">
      <c r="A12332" s="786" t="s">
        <v>22012</v>
      </c>
      <c r="B12332" s="787">
        <v>4</v>
      </c>
      <c r="C12332" s="787" t="s">
        <v>22013</v>
      </c>
      <c r="D12332" s="787">
        <v>1.2</v>
      </c>
      <c r="E12332" s="787">
        <v>1.2</v>
      </c>
      <c r="F12332" s="788">
        <v>42016</v>
      </c>
      <c r="G12332" s="788">
        <v>42017</v>
      </c>
      <c r="H12332" s="787">
        <v>1</v>
      </c>
      <c r="I12332" s="788">
        <v>42017</v>
      </c>
      <c r="J12332" s="788">
        <v>42016</v>
      </c>
      <c r="K12332" s="788">
        <v>41974</v>
      </c>
      <c r="L12332" s="787">
        <v>12.13</v>
      </c>
      <c r="M12332" s="787">
        <v>20</v>
      </c>
      <c r="N12332" s="787">
        <v>13.87</v>
      </c>
      <c r="O12332" s="788">
        <v>41969</v>
      </c>
    </row>
    <row r="12333" spans="1:15" x14ac:dyDescent="0.25">
      <c r="A12333" s="786" t="s">
        <v>22014</v>
      </c>
      <c r="B12333" s="787">
        <v>4</v>
      </c>
      <c r="C12333" s="787" t="s">
        <v>22015</v>
      </c>
      <c r="D12333" s="787">
        <v>0</v>
      </c>
      <c r="E12333" s="787">
        <v>0</v>
      </c>
      <c r="H12333" s="787">
        <v>1</v>
      </c>
      <c r="I12333" s="788">
        <v>42003</v>
      </c>
      <c r="J12333" s="788">
        <v>42003</v>
      </c>
      <c r="K12333" s="788">
        <v>41968</v>
      </c>
      <c r="L12333" s="787">
        <v>45.7</v>
      </c>
      <c r="M12333" s="787">
        <v>20</v>
      </c>
      <c r="N12333" s="787">
        <v>49.13</v>
      </c>
      <c r="O12333" s="788">
        <v>41969</v>
      </c>
    </row>
    <row r="12334" spans="1:15" x14ac:dyDescent="0.25">
      <c r="A12334" s="786" t="s">
        <v>22016</v>
      </c>
      <c r="B12334" s="787">
        <v>4</v>
      </c>
      <c r="C12334" s="787" t="s">
        <v>22017</v>
      </c>
      <c r="D12334" s="787">
        <v>3.21</v>
      </c>
      <c r="E12334" s="787">
        <v>3.21</v>
      </c>
      <c r="F12334" s="788">
        <v>41988</v>
      </c>
      <c r="G12334" s="788">
        <v>42013</v>
      </c>
      <c r="H12334" s="787">
        <v>1</v>
      </c>
      <c r="I12334" s="788">
        <v>42121</v>
      </c>
      <c r="J12334" s="788">
        <v>41984</v>
      </c>
      <c r="K12334" s="788">
        <v>41981</v>
      </c>
      <c r="L12334" s="787">
        <v>17.100000000000001</v>
      </c>
      <c r="M12334" s="787">
        <v>20</v>
      </c>
      <c r="N12334" s="787">
        <v>18.38</v>
      </c>
      <c r="O12334" s="788">
        <v>41981</v>
      </c>
    </row>
    <row r="12335" spans="1:15" x14ac:dyDescent="0.25">
      <c r="A12335" s="786" t="s">
        <v>22018</v>
      </c>
      <c r="B12335" s="787">
        <v>4</v>
      </c>
      <c r="C12335" s="787" t="s">
        <v>22019</v>
      </c>
      <c r="D12335" s="787">
        <v>0.38</v>
      </c>
      <c r="E12335" s="787">
        <v>40.380000000000003</v>
      </c>
      <c r="F12335" s="788">
        <v>41988</v>
      </c>
      <c r="G12335" s="788">
        <v>42008</v>
      </c>
      <c r="H12335" s="787">
        <v>1</v>
      </c>
      <c r="J12335" s="788">
        <v>41985</v>
      </c>
      <c r="K12335" s="788">
        <v>41982</v>
      </c>
      <c r="L12335" s="787">
        <v>41.63</v>
      </c>
      <c r="M12335" s="787">
        <v>20</v>
      </c>
      <c r="N12335" s="787">
        <v>44.75</v>
      </c>
      <c r="O12335" s="788">
        <v>41982</v>
      </c>
    </row>
    <row r="12336" spans="1:15" x14ac:dyDescent="0.25">
      <c r="A12336" s="786" t="s">
        <v>22020</v>
      </c>
      <c r="B12336" s="787">
        <v>4</v>
      </c>
      <c r="C12336" s="787" t="s">
        <v>22021</v>
      </c>
      <c r="D12336" s="787">
        <v>1.53</v>
      </c>
      <c r="E12336" s="787">
        <v>1.53</v>
      </c>
      <c r="F12336" s="788">
        <v>41995</v>
      </c>
      <c r="G12336" s="788">
        <v>42008</v>
      </c>
      <c r="H12336" s="787">
        <v>1</v>
      </c>
      <c r="J12336" s="788">
        <v>41992</v>
      </c>
      <c r="K12336" s="788">
        <v>41988</v>
      </c>
      <c r="L12336" s="787">
        <v>1.47</v>
      </c>
      <c r="M12336" s="787">
        <v>20</v>
      </c>
      <c r="N12336" s="787">
        <v>31.61</v>
      </c>
      <c r="O12336" s="788">
        <v>41985</v>
      </c>
    </row>
    <row r="12337" spans="1:15" x14ac:dyDescent="0.25">
      <c r="A12337" s="786" t="s">
        <v>22022</v>
      </c>
      <c r="B12337" s="787">
        <v>4</v>
      </c>
      <c r="C12337" s="787" t="s">
        <v>22023</v>
      </c>
      <c r="D12337" s="787">
        <v>4.25</v>
      </c>
      <c r="E12337" s="787">
        <v>34.25</v>
      </c>
      <c r="F12337" s="788">
        <v>42037</v>
      </c>
      <c r="G12337" s="788">
        <v>42046</v>
      </c>
      <c r="H12337" s="787">
        <v>1</v>
      </c>
      <c r="I12337" s="788">
        <v>42039</v>
      </c>
      <c r="J12337" s="788">
        <v>42033</v>
      </c>
      <c r="K12337" s="788">
        <v>42027</v>
      </c>
      <c r="L12337" s="787">
        <v>35.299999999999997</v>
      </c>
      <c r="M12337" s="787">
        <v>20</v>
      </c>
      <c r="N12337" s="787">
        <v>37.950000000000003</v>
      </c>
      <c r="O12337" s="788">
        <v>42027</v>
      </c>
    </row>
    <row r="12338" spans="1:15" x14ac:dyDescent="0.25">
      <c r="A12338" s="786" t="s">
        <v>22024</v>
      </c>
      <c r="B12338" s="787">
        <v>4</v>
      </c>
      <c r="C12338" s="787" t="s">
        <v>22025</v>
      </c>
      <c r="D12338" s="787">
        <v>9.69</v>
      </c>
      <c r="E12338" s="787">
        <v>39.69</v>
      </c>
      <c r="F12338" s="788">
        <v>42040</v>
      </c>
      <c r="G12338" s="788">
        <v>42046</v>
      </c>
      <c r="H12338" s="787">
        <v>1</v>
      </c>
      <c r="I12338" s="788">
        <v>42041</v>
      </c>
      <c r="J12338" s="788">
        <v>42038</v>
      </c>
      <c r="K12338" s="788">
        <v>42033</v>
      </c>
      <c r="L12338" s="787">
        <v>28.8</v>
      </c>
      <c r="M12338" s="787">
        <v>20</v>
      </c>
      <c r="N12338" s="787">
        <v>30.96</v>
      </c>
      <c r="O12338" s="788">
        <v>42033</v>
      </c>
    </row>
    <row r="12339" spans="1:15" x14ac:dyDescent="0.25">
      <c r="A12339" s="786" t="s">
        <v>22026</v>
      </c>
      <c r="B12339" s="787">
        <v>4</v>
      </c>
      <c r="C12339" s="787" t="s">
        <v>22027</v>
      </c>
      <c r="D12339" s="787">
        <v>0</v>
      </c>
      <c r="E12339" s="787">
        <v>255.85</v>
      </c>
      <c r="H12339" s="787">
        <v>1</v>
      </c>
      <c r="K12339" s="788">
        <v>42039</v>
      </c>
      <c r="L12339" s="787">
        <v>255.85</v>
      </c>
      <c r="M12339" s="787">
        <v>20</v>
      </c>
      <c r="N12339" s="787">
        <v>275.04000000000002</v>
      </c>
      <c r="O12339" s="788">
        <v>42039</v>
      </c>
    </row>
    <row r="12340" spans="1:15" x14ac:dyDescent="0.25">
      <c r="A12340" s="786" t="s">
        <v>22028</v>
      </c>
      <c r="B12340" s="787">
        <v>4</v>
      </c>
      <c r="C12340" s="787" t="s">
        <v>22029</v>
      </c>
      <c r="D12340" s="787">
        <v>2.29</v>
      </c>
      <c r="E12340" s="787">
        <v>32.29</v>
      </c>
      <c r="F12340" s="788">
        <v>42051</v>
      </c>
      <c r="G12340" s="788">
        <v>42064</v>
      </c>
      <c r="H12340" s="787">
        <v>1</v>
      </c>
      <c r="I12340" s="788">
        <v>42061</v>
      </c>
      <c r="J12340" s="788">
        <v>42047</v>
      </c>
      <c r="K12340" s="788">
        <v>42044</v>
      </c>
      <c r="L12340" s="787">
        <v>35.1</v>
      </c>
      <c r="M12340" s="787">
        <v>20</v>
      </c>
      <c r="N12340" s="787">
        <v>37.729999999999997</v>
      </c>
      <c r="O12340" s="788">
        <v>42044</v>
      </c>
    </row>
    <row r="12341" spans="1:15" x14ac:dyDescent="0.25">
      <c r="A12341" s="786" t="s">
        <v>22030</v>
      </c>
      <c r="B12341" s="787">
        <v>4</v>
      </c>
      <c r="C12341" s="787" t="s">
        <v>22031</v>
      </c>
      <c r="D12341" s="787">
        <v>6.99</v>
      </c>
      <c r="E12341" s="787">
        <v>706.99</v>
      </c>
      <c r="F12341" s="788">
        <v>42093</v>
      </c>
      <c r="G12341" s="788">
        <v>42093</v>
      </c>
      <c r="H12341" s="787">
        <v>1</v>
      </c>
      <c r="I12341" s="788">
        <v>42110</v>
      </c>
      <c r="J12341" s="788">
        <v>42080</v>
      </c>
      <c r="K12341" s="788">
        <v>42046</v>
      </c>
      <c r="L12341" s="787">
        <v>686.4</v>
      </c>
      <c r="M12341" s="787">
        <v>20</v>
      </c>
      <c r="N12341" s="787">
        <v>737.88</v>
      </c>
      <c r="O12341" s="788">
        <v>42047</v>
      </c>
    </row>
    <row r="12342" spans="1:15" x14ac:dyDescent="0.25">
      <c r="A12342" s="786" t="s">
        <v>22032</v>
      </c>
      <c r="B12342" s="787">
        <v>4</v>
      </c>
      <c r="C12342" s="787" t="s">
        <v>22033</v>
      </c>
      <c r="D12342" s="787">
        <v>0.16</v>
      </c>
      <c r="E12342" s="787">
        <v>620.16</v>
      </c>
      <c r="F12342" s="788">
        <v>42079</v>
      </c>
      <c r="G12342" s="788">
        <v>42125</v>
      </c>
      <c r="H12342" s="787">
        <v>1</v>
      </c>
      <c r="I12342" s="788">
        <v>42110</v>
      </c>
      <c r="J12342" s="788">
        <v>42075</v>
      </c>
      <c r="K12342" s="788">
        <v>42046</v>
      </c>
      <c r="L12342" s="787">
        <v>602.1</v>
      </c>
      <c r="M12342" s="787">
        <v>20</v>
      </c>
      <c r="N12342" s="787">
        <v>647.26</v>
      </c>
      <c r="O12342" s="788">
        <v>42047</v>
      </c>
    </row>
    <row r="12343" spans="1:15" x14ac:dyDescent="0.25">
      <c r="A12343" s="786" t="s">
        <v>22034</v>
      </c>
      <c r="B12343" s="787">
        <v>4</v>
      </c>
      <c r="C12343" s="787" t="s">
        <v>22035</v>
      </c>
      <c r="D12343" s="787">
        <v>0.38</v>
      </c>
      <c r="E12343" s="787">
        <v>10.38</v>
      </c>
      <c r="F12343" s="788">
        <v>42058</v>
      </c>
      <c r="G12343" s="788">
        <v>42064</v>
      </c>
      <c r="H12343" s="787">
        <v>1</v>
      </c>
      <c r="J12343" s="788">
        <v>42054</v>
      </c>
      <c r="K12343" s="788">
        <v>42047</v>
      </c>
      <c r="L12343" s="787">
        <v>10.7</v>
      </c>
      <c r="M12343" s="787">
        <v>20</v>
      </c>
      <c r="N12343" s="787">
        <v>11.5</v>
      </c>
      <c r="O12343" s="788">
        <v>42047</v>
      </c>
    </row>
    <row r="12344" spans="1:15" x14ac:dyDescent="0.25">
      <c r="A12344" s="786" t="s">
        <v>22036</v>
      </c>
      <c r="B12344" s="787">
        <v>4</v>
      </c>
      <c r="C12344" s="787" t="s">
        <v>22037</v>
      </c>
      <c r="D12344" s="787">
        <v>0.41</v>
      </c>
      <c r="E12344" s="787">
        <v>50.41</v>
      </c>
      <c r="F12344" s="788">
        <v>39101</v>
      </c>
      <c r="G12344" s="788">
        <v>39101</v>
      </c>
      <c r="H12344" s="787">
        <v>1</v>
      </c>
      <c r="I12344" s="788">
        <v>38883</v>
      </c>
      <c r="J12344" s="788">
        <v>39101</v>
      </c>
      <c r="L12344" s="787">
        <v>54.95</v>
      </c>
      <c r="M12344" s="787">
        <v>20</v>
      </c>
      <c r="N12344" s="787">
        <v>59.07</v>
      </c>
      <c r="O12344" s="788">
        <v>41858</v>
      </c>
    </row>
    <row r="12345" spans="1:15" x14ac:dyDescent="0.25">
      <c r="A12345" s="786" t="s">
        <v>22038</v>
      </c>
      <c r="B12345" s="787">
        <v>4</v>
      </c>
      <c r="C12345" s="787" t="s">
        <v>22039</v>
      </c>
      <c r="D12345" s="787">
        <v>2.2999999999999998</v>
      </c>
      <c r="E12345" s="787">
        <v>52.3</v>
      </c>
      <c r="F12345" s="788">
        <v>39101</v>
      </c>
      <c r="G12345" s="788">
        <v>39101</v>
      </c>
      <c r="H12345" s="787">
        <v>6</v>
      </c>
      <c r="I12345" s="788">
        <v>38407</v>
      </c>
      <c r="J12345" s="788">
        <v>39101</v>
      </c>
      <c r="L12345" s="787">
        <v>57.01</v>
      </c>
      <c r="M12345" s="787">
        <v>20</v>
      </c>
      <c r="N12345" s="787">
        <v>56.22</v>
      </c>
      <c r="O12345" s="788">
        <v>41806</v>
      </c>
    </row>
    <row r="12346" spans="1:15" x14ac:dyDescent="0.25">
      <c r="A12346" s="786" t="s">
        <v>22040</v>
      </c>
      <c r="B12346" s="787">
        <v>4</v>
      </c>
      <c r="C12346" s="787" t="s">
        <v>22041</v>
      </c>
      <c r="D12346" s="787">
        <v>9.0299999999999994</v>
      </c>
      <c r="E12346" s="787">
        <v>9.0299999999999994</v>
      </c>
      <c r="F12346" s="788">
        <v>37649</v>
      </c>
      <c r="G12346" s="788">
        <v>37649</v>
      </c>
      <c r="H12346" s="787">
        <v>6</v>
      </c>
      <c r="I12346" s="788">
        <v>38343</v>
      </c>
      <c r="J12346" s="788">
        <v>37649</v>
      </c>
      <c r="L12346" s="787">
        <v>9.0399999999999991</v>
      </c>
      <c r="M12346" s="787">
        <v>10</v>
      </c>
      <c r="N12346" s="787">
        <v>21.3</v>
      </c>
      <c r="O12346" s="788">
        <v>41806</v>
      </c>
    </row>
    <row r="12347" spans="1:15" x14ac:dyDescent="0.25">
      <c r="A12347" s="786" t="s">
        <v>22042</v>
      </c>
      <c r="B12347" s="787">
        <v>4</v>
      </c>
      <c r="C12347" s="787" t="s">
        <v>22043</v>
      </c>
      <c r="D12347" s="787">
        <v>5.0199999999999996</v>
      </c>
      <c r="E12347" s="787">
        <v>105.02</v>
      </c>
      <c r="F12347" s="788">
        <v>37649</v>
      </c>
      <c r="G12347" s="788">
        <v>37649</v>
      </c>
      <c r="H12347" s="787">
        <v>6</v>
      </c>
      <c r="I12347" s="788">
        <v>37971</v>
      </c>
      <c r="J12347" s="788">
        <v>37649</v>
      </c>
      <c r="L12347" s="787">
        <v>9.0399999999999991</v>
      </c>
      <c r="M12347" s="787">
        <v>10</v>
      </c>
      <c r="N12347" s="787">
        <v>21.3</v>
      </c>
      <c r="O12347" s="788">
        <v>41806</v>
      </c>
    </row>
    <row r="12348" spans="1:15" x14ac:dyDescent="0.25">
      <c r="A12348" s="786" t="s">
        <v>22044</v>
      </c>
      <c r="B12348" s="787">
        <v>4</v>
      </c>
      <c r="C12348" s="787" t="s">
        <v>22045</v>
      </c>
      <c r="D12348" s="787">
        <v>7.24</v>
      </c>
      <c r="E12348" s="787">
        <v>147.24</v>
      </c>
      <c r="F12348" s="788">
        <v>37649</v>
      </c>
      <c r="G12348" s="788">
        <v>37649</v>
      </c>
      <c r="H12348" s="787">
        <v>6</v>
      </c>
      <c r="I12348" s="788">
        <v>37253</v>
      </c>
      <c r="J12348" s="788">
        <v>37649</v>
      </c>
      <c r="L12348" s="787">
        <v>9.0399999999999991</v>
      </c>
      <c r="M12348" s="787">
        <v>10</v>
      </c>
      <c r="N12348" s="787">
        <v>21.3</v>
      </c>
      <c r="O12348" s="788">
        <v>41543</v>
      </c>
    </row>
    <row r="12349" spans="1:15" x14ac:dyDescent="0.25">
      <c r="A12349" s="786" t="s">
        <v>22046</v>
      </c>
      <c r="B12349" s="787">
        <v>4</v>
      </c>
      <c r="C12349" s="787" t="s">
        <v>22047</v>
      </c>
      <c r="D12349" s="787">
        <v>5.7</v>
      </c>
      <c r="E12349" s="787">
        <v>165.7</v>
      </c>
      <c r="F12349" s="788">
        <v>37649</v>
      </c>
      <c r="G12349" s="788">
        <v>37649</v>
      </c>
      <c r="H12349" s="787">
        <v>6</v>
      </c>
      <c r="I12349" s="788">
        <v>38106</v>
      </c>
      <c r="J12349" s="788">
        <v>37649</v>
      </c>
      <c r="L12349" s="787">
        <v>9.0399999999999991</v>
      </c>
      <c r="M12349" s="787">
        <v>10</v>
      </c>
      <c r="N12349" s="787">
        <v>21.3</v>
      </c>
      <c r="O12349" s="788">
        <v>41806</v>
      </c>
    </row>
    <row r="12350" spans="1:15" x14ac:dyDescent="0.25">
      <c r="A12350" s="786" t="s">
        <v>22048</v>
      </c>
      <c r="B12350" s="787">
        <v>4</v>
      </c>
      <c r="C12350" s="787" t="s">
        <v>22049</v>
      </c>
      <c r="D12350" s="787">
        <v>1.89</v>
      </c>
      <c r="E12350" s="787">
        <v>191.89</v>
      </c>
      <c r="F12350" s="788">
        <v>37649</v>
      </c>
      <c r="G12350" s="788">
        <v>37649</v>
      </c>
      <c r="H12350" s="787">
        <v>6</v>
      </c>
      <c r="I12350" s="788">
        <v>38007</v>
      </c>
      <c r="J12350" s="788">
        <v>37649</v>
      </c>
      <c r="L12350" s="787">
        <v>226.16</v>
      </c>
      <c r="M12350" s="787">
        <v>10</v>
      </c>
      <c r="N12350" s="787">
        <v>235.44</v>
      </c>
      <c r="O12350" s="788">
        <v>41807</v>
      </c>
    </row>
    <row r="12351" spans="1:15" x14ac:dyDescent="0.25">
      <c r="A12351" s="786" t="s">
        <v>22050</v>
      </c>
      <c r="B12351" s="787">
        <v>4</v>
      </c>
      <c r="C12351" s="787" t="s">
        <v>22051</v>
      </c>
      <c r="D12351" s="787">
        <v>0</v>
      </c>
      <c r="E12351" s="787">
        <v>0</v>
      </c>
      <c r="H12351" s="787">
        <v>1</v>
      </c>
      <c r="L12351" s="787">
        <v>1.95</v>
      </c>
      <c r="M12351" s="787">
        <v>10</v>
      </c>
      <c r="N12351" s="787">
        <v>3.02</v>
      </c>
      <c r="O12351" s="788">
        <v>41956</v>
      </c>
    </row>
    <row r="12352" spans="1:15" x14ac:dyDescent="0.25">
      <c r="A12352" s="786" t="s">
        <v>22052</v>
      </c>
      <c r="B12352" s="787">
        <v>4</v>
      </c>
      <c r="C12352" s="787" t="s">
        <v>22053</v>
      </c>
      <c r="D12352" s="787">
        <v>0</v>
      </c>
      <c r="E12352" s="787">
        <v>0</v>
      </c>
      <c r="G12352" s="788">
        <v>37953</v>
      </c>
      <c r="H12352" s="787">
        <v>1</v>
      </c>
      <c r="I12352" s="788">
        <v>37950</v>
      </c>
      <c r="J12352" s="788">
        <v>37953</v>
      </c>
      <c r="L12352" s="787">
        <v>2.19</v>
      </c>
      <c r="M12352" s="787">
        <v>10</v>
      </c>
      <c r="N12352" s="787">
        <v>3.24</v>
      </c>
      <c r="O12352" s="788">
        <v>41956</v>
      </c>
    </row>
    <row r="12353" spans="1:15" x14ac:dyDescent="0.25">
      <c r="A12353" s="786" t="s">
        <v>22054</v>
      </c>
      <c r="B12353" s="787">
        <v>4</v>
      </c>
      <c r="C12353" s="787" t="s">
        <v>22055</v>
      </c>
      <c r="D12353" s="787">
        <v>6.74</v>
      </c>
      <c r="E12353" s="787">
        <v>838.85</v>
      </c>
      <c r="F12353" s="788">
        <v>41369</v>
      </c>
      <c r="G12353" s="788">
        <v>42143</v>
      </c>
      <c r="H12353" s="787">
        <v>1</v>
      </c>
      <c r="I12353" s="788">
        <v>42150</v>
      </c>
      <c r="J12353" s="788">
        <v>42143</v>
      </c>
      <c r="L12353" s="787">
        <v>0</v>
      </c>
      <c r="M12353" s="787">
        <v>10</v>
      </c>
      <c r="N12353" s="787">
        <v>787.89</v>
      </c>
      <c r="O12353" s="788">
        <v>42165</v>
      </c>
    </row>
    <row r="12354" spans="1:15" x14ac:dyDescent="0.25">
      <c r="A12354" s="786" t="s">
        <v>22056</v>
      </c>
      <c r="B12354" s="787">
        <v>4</v>
      </c>
      <c r="C12354" s="787" t="s">
        <v>22057</v>
      </c>
      <c r="D12354" s="787">
        <v>0.62</v>
      </c>
      <c r="E12354" s="789">
        <v>1975.13</v>
      </c>
      <c r="F12354" s="788">
        <v>41855</v>
      </c>
      <c r="G12354" s="788">
        <v>42123</v>
      </c>
      <c r="H12354" s="787">
        <v>1</v>
      </c>
      <c r="I12354" s="788">
        <v>42086</v>
      </c>
      <c r="J12354" s="788">
        <v>42086</v>
      </c>
      <c r="K12354" s="788">
        <v>42158</v>
      </c>
      <c r="L12354" s="789">
        <v>2564.5300000000002</v>
      </c>
      <c r="M12354" s="787">
        <v>10</v>
      </c>
      <c r="N12354" s="789">
        <v>1936.12</v>
      </c>
      <c r="O12354" s="788">
        <v>42146</v>
      </c>
    </row>
    <row r="12355" spans="1:15" x14ac:dyDescent="0.25">
      <c r="A12355" s="786" t="s">
        <v>22058</v>
      </c>
      <c r="B12355" s="787">
        <v>4</v>
      </c>
      <c r="C12355" s="787" t="s">
        <v>22059</v>
      </c>
      <c r="D12355" s="787">
        <v>0.15</v>
      </c>
      <c r="E12355" s="787">
        <v>748.15</v>
      </c>
      <c r="F12355" s="788">
        <v>41886</v>
      </c>
      <c r="G12355" s="788">
        <v>42082</v>
      </c>
      <c r="H12355" s="787">
        <v>1</v>
      </c>
      <c r="I12355" s="788">
        <v>41977</v>
      </c>
      <c r="J12355" s="788">
        <v>42048</v>
      </c>
      <c r="L12355" s="787">
        <v>1</v>
      </c>
      <c r="M12355" s="787">
        <v>10</v>
      </c>
      <c r="N12355" s="787">
        <v>815.27</v>
      </c>
      <c r="O12355" s="788">
        <v>42111</v>
      </c>
    </row>
    <row r="12356" spans="1:15" x14ac:dyDescent="0.25">
      <c r="A12356" s="786" t="s">
        <v>22060</v>
      </c>
      <c r="B12356" s="787">
        <v>4</v>
      </c>
      <c r="C12356" s="787" t="s">
        <v>22061</v>
      </c>
      <c r="D12356" s="787">
        <v>0.57999999999999996</v>
      </c>
      <c r="E12356" s="789">
        <v>1050.58</v>
      </c>
      <c r="F12356" s="788">
        <v>41579</v>
      </c>
      <c r="G12356" s="788">
        <v>41579</v>
      </c>
      <c r="H12356" s="787">
        <v>1</v>
      </c>
      <c r="I12356" s="788">
        <v>41548</v>
      </c>
      <c r="J12356" s="788">
        <v>41548</v>
      </c>
      <c r="K12356" s="788">
        <v>41561</v>
      </c>
      <c r="L12356" s="789">
        <v>2000</v>
      </c>
      <c r="M12356" s="787">
        <v>10</v>
      </c>
      <c r="N12356" s="789">
        <v>1553.05</v>
      </c>
      <c r="O12356" s="788">
        <v>42111</v>
      </c>
    </row>
    <row r="12357" spans="1:15" x14ac:dyDescent="0.25">
      <c r="A12357" s="786" t="s">
        <v>22062</v>
      </c>
      <c r="B12357" s="787">
        <v>4</v>
      </c>
      <c r="C12357" s="787" t="s">
        <v>22063</v>
      </c>
      <c r="D12357" s="787">
        <v>0</v>
      </c>
      <c r="E12357" s="787">
        <v>0</v>
      </c>
      <c r="H12357" s="787">
        <v>1</v>
      </c>
      <c r="L12357" s="789">
        <v>2000</v>
      </c>
      <c r="M12357" s="787">
        <v>10</v>
      </c>
      <c r="N12357" s="789">
        <v>1975.36</v>
      </c>
      <c r="O12357" s="788">
        <v>42111</v>
      </c>
    </row>
    <row r="12358" spans="1:15" x14ac:dyDescent="0.25">
      <c r="A12358" s="786" t="s">
        <v>22064</v>
      </c>
      <c r="B12358" s="787">
        <v>4</v>
      </c>
      <c r="C12358" s="787" t="s">
        <v>22065</v>
      </c>
      <c r="D12358" s="787">
        <v>0</v>
      </c>
      <c r="E12358" s="787">
        <v>0</v>
      </c>
      <c r="H12358" s="787">
        <v>1</v>
      </c>
      <c r="L12358" s="789">
        <v>2000</v>
      </c>
      <c r="M12358" s="787">
        <v>10</v>
      </c>
      <c r="N12358" s="789">
        <v>1806.53</v>
      </c>
      <c r="O12358" s="788">
        <v>42111</v>
      </c>
    </row>
    <row r="12359" spans="1:15" x14ac:dyDescent="0.25">
      <c r="A12359" s="786" t="s">
        <v>22066</v>
      </c>
      <c r="B12359" s="787">
        <v>4</v>
      </c>
      <c r="C12359" s="787" t="s">
        <v>22067</v>
      </c>
      <c r="D12359" s="787">
        <v>3.81</v>
      </c>
      <c r="E12359" s="789">
        <v>2003.81</v>
      </c>
      <c r="F12359" s="788">
        <v>41806</v>
      </c>
      <c r="G12359" s="788">
        <v>41806</v>
      </c>
      <c r="H12359" s="787">
        <v>1</v>
      </c>
      <c r="I12359" s="788">
        <v>41768</v>
      </c>
      <c r="J12359" s="788">
        <v>41771</v>
      </c>
      <c r="L12359" s="789">
        <v>2000</v>
      </c>
      <c r="M12359" s="787">
        <v>10</v>
      </c>
      <c r="N12359" s="789">
        <v>2015.88</v>
      </c>
      <c r="O12359" s="788">
        <v>42111</v>
      </c>
    </row>
    <row r="12360" spans="1:15" x14ac:dyDescent="0.25">
      <c r="A12360" s="786" t="s">
        <v>22068</v>
      </c>
      <c r="B12360" s="787">
        <v>4</v>
      </c>
      <c r="C12360" s="787" t="s">
        <v>22069</v>
      </c>
      <c r="D12360" s="787">
        <v>0</v>
      </c>
      <c r="E12360" s="787">
        <v>0</v>
      </c>
      <c r="H12360" s="787">
        <v>1</v>
      </c>
      <c r="L12360" s="789">
        <v>2000</v>
      </c>
      <c r="M12360" s="787">
        <v>10</v>
      </c>
      <c r="N12360" s="789">
        <v>1847.05</v>
      </c>
      <c r="O12360" s="788">
        <v>42111</v>
      </c>
    </row>
    <row r="12361" spans="1:15" x14ac:dyDescent="0.25">
      <c r="A12361" s="786" t="s">
        <v>22070</v>
      </c>
      <c r="B12361" s="787">
        <v>4</v>
      </c>
      <c r="C12361" s="787" t="s">
        <v>22071</v>
      </c>
      <c r="D12361" s="787">
        <v>0</v>
      </c>
      <c r="E12361" s="787">
        <v>0</v>
      </c>
      <c r="H12361" s="787">
        <v>1</v>
      </c>
      <c r="L12361" s="789">
        <v>2000</v>
      </c>
      <c r="M12361" s="787">
        <v>10</v>
      </c>
      <c r="N12361" s="789">
        <v>1980.19</v>
      </c>
      <c r="O12361" s="788">
        <v>42111</v>
      </c>
    </row>
    <row r="12362" spans="1:15" x14ac:dyDescent="0.25">
      <c r="A12362" s="786" t="s">
        <v>22072</v>
      </c>
      <c r="B12362" s="787">
        <v>4</v>
      </c>
      <c r="C12362" s="787" t="s">
        <v>22073</v>
      </c>
      <c r="D12362" s="787">
        <v>0</v>
      </c>
      <c r="E12362" s="787">
        <v>0</v>
      </c>
      <c r="H12362" s="787">
        <v>1</v>
      </c>
      <c r="L12362" s="789">
        <v>2000</v>
      </c>
      <c r="M12362" s="787">
        <v>10</v>
      </c>
      <c r="N12362" s="789">
        <v>1924.24</v>
      </c>
      <c r="O12362" s="788">
        <v>42111</v>
      </c>
    </row>
    <row r="12363" spans="1:15" x14ac:dyDescent="0.25">
      <c r="A12363" s="786" t="s">
        <v>22074</v>
      </c>
      <c r="B12363" s="787">
        <v>4</v>
      </c>
      <c r="C12363" s="787" t="s">
        <v>22075</v>
      </c>
      <c r="D12363" s="787">
        <v>0</v>
      </c>
      <c r="E12363" s="787">
        <v>0</v>
      </c>
      <c r="H12363" s="787">
        <v>1</v>
      </c>
      <c r="L12363" s="789">
        <v>2000</v>
      </c>
      <c r="M12363" s="787">
        <v>10</v>
      </c>
      <c r="N12363" s="789">
        <v>2051.36</v>
      </c>
      <c r="O12363" s="788">
        <v>42111</v>
      </c>
    </row>
    <row r="12364" spans="1:15" x14ac:dyDescent="0.25">
      <c r="A12364" s="786" t="s">
        <v>22076</v>
      </c>
      <c r="B12364" s="787">
        <v>4</v>
      </c>
      <c r="C12364" s="787" t="s">
        <v>22077</v>
      </c>
      <c r="D12364" s="787">
        <v>0</v>
      </c>
      <c r="E12364" s="787">
        <v>0</v>
      </c>
      <c r="H12364" s="787">
        <v>1</v>
      </c>
      <c r="L12364" s="789">
        <v>2000</v>
      </c>
      <c r="M12364" s="787">
        <v>10</v>
      </c>
      <c r="N12364" s="789">
        <v>2139.29</v>
      </c>
      <c r="O12364" s="788">
        <v>42111</v>
      </c>
    </row>
    <row r="12365" spans="1:15" x14ac:dyDescent="0.25">
      <c r="A12365" s="786" t="s">
        <v>22078</v>
      </c>
      <c r="B12365" s="787">
        <v>4</v>
      </c>
      <c r="C12365" s="787" t="s">
        <v>22079</v>
      </c>
      <c r="D12365" s="787">
        <v>0</v>
      </c>
      <c r="E12365" s="787">
        <v>0</v>
      </c>
      <c r="H12365" s="787">
        <v>1</v>
      </c>
      <c r="L12365" s="789">
        <v>2000</v>
      </c>
      <c r="M12365" s="787">
        <v>10</v>
      </c>
      <c r="N12365" s="789">
        <v>1943.03</v>
      </c>
      <c r="O12365" s="788">
        <v>42111</v>
      </c>
    </row>
    <row r="12366" spans="1:15" x14ac:dyDescent="0.25">
      <c r="A12366" s="786" t="s">
        <v>22080</v>
      </c>
      <c r="B12366" s="787">
        <v>4</v>
      </c>
      <c r="C12366" s="787" t="s">
        <v>22081</v>
      </c>
      <c r="D12366" s="787">
        <v>0</v>
      </c>
      <c r="E12366" s="787">
        <v>0</v>
      </c>
      <c r="H12366" s="787">
        <v>1</v>
      </c>
      <c r="L12366" s="789">
        <v>2000</v>
      </c>
      <c r="M12366" s="787">
        <v>10</v>
      </c>
      <c r="N12366" s="789">
        <v>1983.04</v>
      </c>
      <c r="O12366" s="788">
        <v>42111</v>
      </c>
    </row>
    <row r="12367" spans="1:15" x14ac:dyDescent="0.25">
      <c r="A12367" s="786" t="s">
        <v>22082</v>
      </c>
      <c r="B12367" s="787">
        <v>4</v>
      </c>
      <c r="C12367" s="787" t="s">
        <v>22083</v>
      </c>
      <c r="D12367" s="787">
        <v>2.58</v>
      </c>
      <c r="E12367" s="789">
        <v>2092.58</v>
      </c>
      <c r="F12367" s="788">
        <v>41976</v>
      </c>
      <c r="G12367" s="788">
        <v>41976</v>
      </c>
      <c r="H12367" s="787">
        <v>1</v>
      </c>
      <c r="I12367" s="788">
        <v>41957</v>
      </c>
      <c r="J12367" s="788">
        <v>41956</v>
      </c>
      <c r="L12367" s="789">
        <v>2000</v>
      </c>
      <c r="M12367" s="787">
        <v>10</v>
      </c>
      <c r="N12367" s="789">
        <v>1987.35</v>
      </c>
      <c r="O12367" s="788">
        <v>42111</v>
      </c>
    </row>
    <row r="12368" spans="1:15" x14ac:dyDescent="0.25">
      <c r="A12368" s="786" t="s">
        <v>22084</v>
      </c>
      <c r="B12368" s="787">
        <v>4</v>
      </c>
      <c r="C12368" s="787" t="s">
        <v>22085</v>
      </c>
      <c r="D12368" s="787">
        <v>0</v>
      </c>
      <c r="E12368" s="787">
        <v>0</v>
      </c>
      <c r="H12368" s="787">
        <v>1</v>
      </c>
      <c r="L12368" s="789">
        <v>2100</v>
      </c>
      <c r="M12368" s="787">
        <v>10</v>
      </c>
      <c r="N12368" s="789">
        <v>2923.81</v>
      </c>
      <c r="O12368" s="788">
        <v>42111</v>
      </c>
    </row>
    <row r="12369" spans="1:15" x14ac:dyDescent="0.25">
      <c r="A12369" s="786" t="s">
        <v>22086</v>
      </c>
      <c r="B12369" s="787">
        <v>4</v>
      </c>
      <c r="C12369" s="787" t="s">
        <v>22087</v>
      </c>
      <c r="D12369" s="787">
        <v>0</v>
      </c>
      <c r="E12369" s="787">
        <v>0</v>
      </c>
      <c r="H12369" s="787">
        <v>1</v>
      </c>
      <c r="L12369" s="789">
        <v>2100</v>
      </c>
      <c r="M12369" s="787">
        <v>10</v>
      </c>
      <c r="N12369" s="789">
        <v>2403.14</v>
      </c>
      <c r="O12369" s="788">
        <v>42111</v>
      </c>
    </row>
    <row r="12370" spans="1:15" x14ac:dyDescent="0.25">
      <c r="A12370" s="786" t="s">
        <v>22088</v>
      </c>
      <c r="B12370" s="787">
        <v>4</v>
      </c>
      <c r="C12370" s="787" t="s">
        <v>22089</v>
      </c>
      <c r="D12370" s="787">
        <v>0</v>
      </c>
      <c r="E12370" s="787">
        <v>0</v>
      </c>
      <c r="H12370" s="787">
        <v>1</v>
      </c>
      <c r="L12370" s="787">
        <v>1</v>
      </c>
      <c r="M12370" s="787">
        <v>10</v>
      </c>
      <c r="N12370" s="789">
        <v>2534.7600000000002</v>
      </c>
      <c r="O12370" s="788">
        <v>42111</v>
      </c>
    </row>
    <row r="12371" spans="1:15" x14ac:dyDescent="0.25">
      <c r="A12371" s="786" t="s">
        <v>22090</v>
      </c>
      <c r="B12371" s="787">
        <v>4</v>
      </c>
      <c r="C12371" s="787" t="s">
        <v>22091</v>
      </c>
      <c r="D12371" s="787">
        <v>0</v>
      </c>
      <c r="E12371" s="787">
        <v>0</v>
      </c>
      <c r="H12371" s="787">
        <v>1</v>
      </c>
      <c r="L12371" s="789">
        <v>2000</v>
      </c>
      <c r="M12371" s="787">
        <v>10</v>
      </c>
      <c r="N12371" s="789">
        <v>2242.14</v>
      </c>
      <c r="O12371" s="788">
        <v>42111</v>
      </c>
    </row>
    <row r="12372" spans="1:15" x14ac:dyDescent="0.25">
      <c r="A12372" s="786" t="s">
        <v>22092</v>
      </c>
      <c r="B12372" s="787">
        <v>4</v>
      </c>
      <c r="C12372" s="787" t="s">
        <v>22093</v>
      </c>
      <c r="D12372" s="787">
        <v>0</v>
      </c>
      <c r="E12372" s="787">
        <v>0</v>
      </c>
      <c r="H12372" s="787">
        <v>1</v>
      </c>
      <c r="L12372" s="789">
        <v>2100</v>
      </c>
      <c r="M12372" s="787">
        <v>10</v>
      </c>
      <c r="N12372" s="789">
        <v>2603.85</v>
      </c>
      <c r="O12372" s="788">
        <v>42111</v>
      </c>
    </row>
    <row r="12373" spans="1:15" x14ac:dyDescent="0.25">
      <c r="A12373" s="786" t="s">
        <v>22094</v>
      </c>
      <c r="B12373" s="787">
        <v>4</v>
      </c>
      <c r="C12373" s="787" t="s">
        <v>22095</v>
      </c>
      <c r="D12373" s="787">
        <v>0</v>
      </c>
      <c r="E12373" s="787">
        <v>0</v>
      </c>
      <c r="H12373" s="787">
        <v>1</v>
      </c>
      <c r="L12373" s="789">
        <v>2500</v>
      </c>
      <c r="M12373" s="787">
        <v>10</v>
      </c>
      <c r="N12373" s="789">
        <v>3344.85</v>
      </c>
      <c r="O12373" s="788">
        <v>42111</v>
      </c>
    </row>
    <row r="12374" spans="1:15" x14ac:dyDescent="0.25">
      <c r="A12374" s="786" t="s">
        <v>22096</v>
      </c>
      <c r="B12374" s="787">
        <v>4</v>
      </c>
      <c r="C12374" s="787" t="s">
        <v>22097</v>
      </c>
      <c r="D12374" s="787">
        <v>0</v>
      </c>
      <c r="E12374" s="787">
        <v>0</v>
      </c>
      <c r="H12374" s="787">
        <v>1</v>
      </c>
      <c r="L12374" s="789">
        <v>2500</v>
      </c>
      <c r="M12374" s="787">
        <v>10</v>
      </c>
      <c r="N12374" s="789">
        <v>2792.81</v>
      </c>
      <c r="O12374" s="788">
        <v>42111</v>
      </c>
    </row>
    <row r="12375" spans="1:15" x14ac:dyDescent="0.25">
      <c r="A12375" s="786" t="s">
        <v>22098</v>
      </c>
      <c r="B12375" s="787">
        <v>4</v>
      </c>
      <c r="C12375" s="787" t="s">
        <v>22099</v>
      </c>
      <c r="D12375" s="787">
        <v>0</v>
      </c>
      <c r="E12375" s="787">
        <v>0</v>
      </c>
      <c r="H12375" s="787">
        <v>1</v>
      </c>
      <c r="L12375" s="789">
        <v>2500</v>
      </c>
      <c r="M12375" s="787">
        <v>10</v>
      </c>
      <c r="N12375" s="789">
        <v>2161.2199999999998</v>
      </c>
      <c r="O12375" s="788">
        <v>42111</v>
      </c>
    </row>
    <row r="12376" spans="1:15" x14ac:dyDescent="0.25">
      <c r="A12376" s="786" t="s">
        <v>22100</v>
      </c>
      <c r="B12376" s="787">
        <v>4</v>
      </c>
      <c r="C12376" s="787" t="s">
        <v>22101</v>
      </c>
      <c r="D12376" s="787">
        <v>0</v>
      </c>
      <c r="E12376" s="787">
        <v>0</v>
      </c>
      <c r="H12376" s="787">
        <v>1</v>
      </c>
      <c r="L12376" s="789">
        <v>2000</v>
      </c>
      <c r="M12376" s="787">
        <v>10</v>
      </c>
      <c r="N12376" s="789">
        <v>2871.9</v>
      </c>
      <c r="O12376" s="788">
        <v>42111</v>
      </c>
    </row>
    <row r="12377" spans="1:15" x14ac:dyDescent="0.25">
      <c r="A12377" s="786" t="s">
        <v>22102</v>
      </c>
      <c r="B12377" s="787">
        <v>4</v>
      </c>
      <c r="C12377" s="787" t="s">
        <v>22103</v>
      </c>
      <c r="D12377" s="787">
        <v>0</v>
      </c>
      <c r="E12377" s="787">
        <v>0</v>
      </c>
      <c r="H12377" s="787">
        <v>1</v>
      </c>
      <c r="L12377" s="789">
        <v>2000</v>
      </c>
      <c r="M12377" s="787">
        <v>10</v>
      </c>
      <c r="N12377" s="789">
        <v>1842.11</v>
      </c>
      <c r="O12377" s="788">
        <v>42111</v>
      </c>
    </row>
    <row r="12378" spans="1:15" x14ac:dyDescent="0.25">
      <c r="A12378" s="786" t="s">
        <v>22104</v>
      </c>
      <c r="B12378" s="787">
        <v>4</v>
      </c>
      <c r="C12378" s="787" t="s">
        <v>22105</v>
      </c>
      <c r="D12378" s="787">
        <v>0</v>
      </c>
      <c r="E12378" s="787">
        <v>0</v>
      </c>
      <c r="H12378" s="787">
        <v>1</v>
      </c>
      <c r="L12378" s="789">
        <v>2000</v>
      </c>
      <c r="M12378" s="787">
        <v>10</v>
      </c>
      <c r="N12378" s="789">
        <v>1754.56</v>
      </c>
      <c r="O12378" s="788">
        <v>42111</v>
      </c>
    </row>
    <row r="12379" spans="1:15" x14ac:dyDescent="0.25">
      <c r="A12379" s="786" t="s">
        <v>22106</v>
      </c>
      <c r="B12379" s="787">
        <v>4</v>
      </c>
      <c r="C12379" s="787" t="s">
        <v>22107</v>
      </c>
      <c r="D12379" s="787">
        <v>0</v>
      </c>
      <c r="E12379" s="787">
        <v>0</v>
      </c>
      <c r="H12379" s="787">
        <v>1</v>
      </c>
      <c r="L12379" s="789">
        <v>2000</v>
      </c>
      <c r="M12379" s="787">
        <v>10</v>
      </c>
      <c r="N12379" s="789">
        <v>1824.77</v>
      </c>
      <c r="O12379" s="788">
        <v>42111</v>
      </c>
    </row>
    <row r="12380" spans="1:15" x14ac:dyDescent="0.25">
      <c r="A12380" s="786" t="s">
        <v>22108</v>
      </c>
      <c r="B12380" s="787">
        <v>4</v>
      </c>
      <c r="C12380" s="787" t="s">
        <v>22109</v>
      </c>
      <c r="D12380" s="787">
        <v>0</v>
      </c>
      <c r="E12380" s="787">
        <v>0</v>
      </c>
      <c r="H12380" s="787">
        <v>1</v>
      </c>
      <c r="L12380" s="789">
        <v>2200</v>
      </c>
      <c r="M12380" s="787">
        <v>10</v>
      </c>
      <c r="N12380" s="789">
        <v>1762.28</v>
      </c>
      <c r="O12380" s="788">
        <v>42111</v>
      </c>
    </row>
    <row r="12381" spans="1:15" x14ac:dyDescent="0.25">
      <c r="A12381" s="786" t="s">
        <v>22110</v>
      </c>
      <c r="B12381" s="787">
        <v>4</v>
      </c>
      <c r="C12381" s="787" t="s">
        <v>22111</v>
      </c>
      <c r="D12381" s="787">
        <v>0</v>
      </c>
      <c r="E12381" s="787">
        <v>0</v>
      </c>
      <c r="H12381" s="787">
        <v>1</v>
      </c>
      <c r="L12381" s="789">
        <v>2000</v>
      </c>
      <c r="M12381" s="787">
        <v>10</v>
      </c>
      <c r="N12381" s="789">
        <v>1229.76</v>
      </c>
      <c r="O12381" s="788">
        <v>42111</v>
      </c>
    </row>
    <row r="12382" spans="1:15" x14ac:dyDescent="0.25">
      <c r="A12382" s="786" t="s">
        <v>22112</v>
      </c>
      <c r="B12382" s="787">
        <v>4</v>
      </c>
      <c r="C12382" s="787" t="s">
        <v>22113</v>
      </c>
      <c r="D12382" s="787">
        <v>1.1100000000000001</v>
      </c>
      <c r="E12382" s="789">
        <v>2491.11</v>
      </c>
      <c r="F12382" s="788">
        <v>42038</v>
      </c>
      <c r="G12382" s="788">
        <v>42038</v>
      </c>
      <c r="H12382" s="787">
        <v>1</v>
      </c>
      <c r="I12382" s="788">
        <v>42018</v>
      </c>
      <c r="J12382" s="788">
        <v>42018</v>
      </c>
      <c r="L12382" s="789">
        <v>2000</v>
      </c>
      <c r="M12382" s="787">
        <v>10</v>
      </c>
      <c r="N12382" s="789">
        <v>2344.7399999999998</v>
      </c>
      <c r="O12382" s="788">
        <v>42111</v>
      </c>
    </row>
    <row r="12383" spans="1:15" x14ac:dyDescent="0.25">
      <c r="A12383" s="786" t="s">
        <v>22114</v>
      </c>
      <c r="B12383" s="787">
        <v>4</v>
      </c>
      <c r="C12383" s="787" t="s">
        <v>22115</v>
      </c>
      <c r="D12383" s="787">
        <v>0</v>
      </c>
      <c r="E12383" s="787">
        <v>0</v>
      </c>
      <c r="H12383" s="787">
        <v>1</v>
      </c>
      <c r="L12383" s="789">
        <v>2000</v>
      </c>
      <c r="M12383" s="787">
        <v>10</v>
      </c>
      <c r="N12383" s="789">
        <v>2279.92</v>
      </c>
      <c r="O12383" s="788">
        <v>42111</v>
      </c>
    </row>
    <row r="12384" spans="1:15" x14ac:dyDescent="0.25">
      <c r="A12384" s="786" t="s">
        <v>22116</v>
      </c>
      <c r="B12384" s="787">
        <v>4</v>
      </c>
      <c r="C12384" s="787" t="s">
        <v>22117</v>
      </c>
      <c r="D12384" s="787">
        <v>0</v>
      </c>
      <c r="E12384" s="787">
        <v>0</v>
      </c>
      <c r="H12384" s="787">
        <v>1</v>
      </c>
      <c r="L12384" s="789">
        <v>2000</v>
      </c>
      <c r="M12384" s="787">
        <v>10</v>
      </c>
      <c r="N12384" s="789">
        <v>1754.56</v>
      </c>
      <c r="O12384" s="788">
        <v>42111</v>
      </c>
    </row>
    <row r="12385" spans="1:15" x14ac:dyDescent="0.25">
      <c r="A12385" s="786" t="s">
        <v>22118</v>
      </c>
      <c r="B12385" s="787">
        <v>4</v>
      </c>
      <c r="C12385" s="787" t="s">
        <v>22119</v>
      </c>
      <c r="D12385" s="787">
        <v>0</v>
      </c>
      <c r="E12385" s="787">
        <v>0</v>
      </c>
      <c r="H12385" s="787">
        <v>1</v>
      </c>
      <c r="L12385" s="789">
        <v>2000</v>
      </c>
      <c r="M12385" s="787">
        <v>10</v>
      </c>
      <c r="N12385" s="789">
        <v>1842.11</v>
      </c>
      <c r="O12385" s="788">
        <v>42111</v>
      </c>
    </row>
    <row r="12386" spans="1:15" x14ac:dyDescent="0.25">
      <c r="A12386" s="786" t="s">
        <v>22120</v>
      </c>
      <c r="B12386" s="787">
        <v>4</v>
      </c>
      <c r="C12386" s="787" t="s">
        <v>22121</v>
      </c>
      <c r="D12386" s="787">
        <v>0</v>
      </c>
      <c r="E12386" s="787">
        <v>0</v>
      </c>
      <c r="H12386" s="787">
        <v>1</v>
      </c>
      <c r="L12386" s="789">
        <v>2000</v>
      </c>
      <c r="M12386" s="787">
        <v>10</v>
      </c>
      <c r="N12386" s="789">
        <v>2580.42</v>
      </c>
      <c r="O12386" s="788">
        <v>42111</v>
      </c>
    </row>
    <row r="12387" spans="1:15" x14ac:dyDescent="0.25">
      <c r="A12387" s="786" t="s">
        <v>22122</v>
      </c>
      <c r="B12387" s="787">
        <v>4</v>
      </c>
      <c r="C12387" s="787" t="s">
        <v>22123</v>
      </c>
      <c r="D12387" s="787">
        <v>8.99</v>
      </c>
      <c r="E12387" s="789">
        <v>3618.99</v>
      </c>
      <c r="F12387" s="788">
        <v>41775</v>
      </c>
      <c r="G12387" s="788">
        <v>41775</v>
      </c>
      <c r="H12387" s="787">
        <v>1</v>
      </c>
      <c r="I12387" s="788">
        <v>41702</v>
      </c>
      <c r="J12387" s="788">
        <v>41702</v>
      </c>
      <c r="L12387" s="789">
        <v>2000</v>
      </c>
      <c r="M12387" s="787">
        <v>10</v>
      </c>
      <c r="N12387" s="789">
        <v>3254.88</v>
      </c>
      <c r="O12387" s="788">
        <v>42111</v>
      </c>
    </row>
    <row r="12388" spans="1:15" x14ac:dyDescent="0.25">
      <c r="A12388" s="786" t="s">
        <v>22124</v>
      </c>
      <c r="B12388" s="787">
        <v>4</v>
      </c>
      <c r="C12388" s="787" t="s">
        <v>22125</v>
      </c>
      <c r="D12388" s="787">
        <v>0</v>
      </c>
      <c r="E12388" s="787">
        <v>0</v>
      </c>
      <c r="G12388" s="788">
        <v>41764</v>
      </c>
      <c r="H12388" s="787">
        <v>1</v>
      </c>
      <c r="I12388" s="788">
        <v>41696</v>
      </c>
      <c r="J12388" s="788">
        <v>41764</v>
      </c>
      <c r="L12388" s="789">
        <v>2000</v>
      </c>
      <c r="M12388" s="787">
        <v>10</v>
      </c>
      <c r="N12388" s="789">
        <v>2524.67</v>
      </c>
      <c r="O12388" s="788">
        <v>42111</v>
      </c>
    </row>
    <row r="12389" spans="1:15" x14ac:dyDescent="0.25">
      <c r="A12389" s="786" t="s">
        <v>22126</v>
      </c>
      <c r="B12389" s="787">
        <v>4</v>
      </c>
      <c r="C12389" s="787" t="s">
        <v>22127</v>
      </c>
      <c r="D12389" s="787">
        <v>7.81</v>
      </c>
      <c r="E12389" s="789">
        <v>5737.81</v>
      </c>
      <c r="F12389" s="788">
        <v>41775</v>
      </c>
      <c r="G12389" s="788">
        <v>41775</v>
      </c>
      <c r="H12389" s="787">
        <v>1</v>
      </c>
      <c r="I12389" s="788">
        <v>41715</v>
      </c>
      <c r="J12389" s="788">
        <v>41716</v>
      </c>
      <c r="L12389" s="787">
        <v>1</v>
      </c>
      <c r="M12389" s="787">
        <v>10</v>
      </c>
      <c r="N12389" s="789">
        <v>4809.01</v>
      </c>
      <c r="O12389" s="788">
        <v>42127</v>
      </c>
    </row>
    <row r="12390" spans="1:15" x14ac:dyDescent="0.25">
      <c r="A12390" s="786" t="s">
        <v>22128</v>
      </c>
      <c r="B12390" s="787">
        <v>4</v>
      </c>
      <c r="C12390" s="787" t="s">
        <v>22129</v>
      </c>
      <c r="D12390" s="787">
        <v>7.32</v>
      </c>
      <c r="E12390" s="789">
        <v>2607.3200000000002</v>
      </c>
      <c r="F12390" s="788">
        <v>41775</v>
      </c>
      <c r="G12390" s="788">
        <v>41775</v>
      </c>
      <c r="H12390" s="787">
        <v>1</v>
      </c>
      <c r="I12390" s="788">
        <v>41722</v>
      </c>
      <c r="J12390" s="788">
        <v>41722</v>
      </c>
      <c r="L12390" s="789">
        <v>1200</v>
      </c>
      <c r="M12390" s="787">
        <v>10</v>
      </c>
      <c r="N12390" s="789">
        <v>2286.67</v>
      </c>
      <c r="O12390" s="788">
        <v>42111</v>
      </c>
    </row>
    <row r="12391" spans="1:15" x14ac:dyDescent="0.25">
      <c r="A12391" s="786" t="s">
        <v>22130</v>
      </c>
      <c r="B12391" s="787">
        <v>4</v>
      </c>
      <c r="C12391" s="787" t="s">
        <v>22131</v>
      </c>
      <c r="D12391" s="787">
        <v>0</v>
      </c>
      <c r="E12391" s="787">
        <v>0</v>
      </c>
      <c r="H12391" s="787">
        <v>1</v>
      </c>
      <c r="L12391" s="789">
        <v>1500</v>
      </c>
      <c r="M12391" s="787">
        <v>10</v>
      </c>
      <c r="N12391" s="789">
        <v>3230.47</v>
      </c>
      <c r="O12391" s="788">
        <v>42127</v>
      </c>
    </row>
    <row r="12392" spans="1:15" x14ac:dyDescent="0.25">
      <c r="A12392" s="786" t="s">
        <v>22132</v>
      </c>
      <c r="B12392" s="787">
        <v>4</v>
      </c>
      <c r="C12392" s="787" t="s">
        <v>22133</v>
      </c>
      <c r="D12392" s="787">
        <v>3.62</v>
      </c>
      <c r="E12392" s="789">
        <v>1613.62</v>
      </c>
      <c r="F12392" s="788">
        <v>41806</v>
      </c>
      <c r="G12392" s="788">
        <v>41806</v>
      </c>
      <c r="H12392" s="787">
        <v>1</v>
      </c>
      <c r="I12392" s="788">
        <v>41753</v>
      </c>
      <c r="J12392" s="788">
        <v>41753</v>
      </c>
      <c r="L12392" s="789">
        <v>1200</v>
      </c>
      <c r="M12392" s="787">
        <v>10</v>
      </c>
      <c r="N12392" s="789">
        <v>1979.07</v>
      </c>
      <c r="O12392" s="788">
        <v>42111</v>
      </c>
    </row>
    <row r="12393" spans="1:15" x14ac:dyDescent="0.25">
      <c r="A12393" s="786" t="s">
        <v>22134</v>
      </c>
      <c r="B12393" s="787">
        <v>4</v>
      </c>
      <c r="C12393" s="787" t="s">
        <v>22135</v>
      </c>
      <c r="D12393" s="787">
        <v>6.66</v>
      </c>
      <c r="E12393" s="789">
        <v>2776.66</v>
      </c>
      <c r="F12393" s="788">
        <v>41824</v>
      </c>
      <c r="G12393" s="788">
        <v>41824</v>
      </c>
      <c r="H12393" s="787">
        <v>1</v>
      </c>
      <c r="I12393" s="788">
        <v>41793</v>
      </c>
      <c r="J12393" s="788">
        <v>41794</v>
      </c>
      <c r="L12393" s="789">
        <v>2000</v>
      </c>
      <c r="M12393" s="787">
        <v>10</v>
      </c>
      <c r="N12393" s="789">
        <v>2190.12</v>
      </c>
      <c r="O12393" s="788">
        <v>42111</v>
      </c>
    </row>
    <row r="12394" spans="1:15" x14ac:dyDescent="0.25">
      <c r="A12394" s="786" t="s">
        <v>22136</v>
      </c>
      <c r="B12394" s="787">
        <v>4</v>
      </c>
      <c r="C12394" s="787" t="s">
        <v>22137</v>
      </c>
      <c r="D12394" s="787">
        <v>4.83</v>
      </c>
      <c r="E12394" s="789">
        <v>4004.83</v>
      </c>
      <c r="F12394" s="788">
        <v>41829</v>
      </c>
      <c r="G12394" s="788">
        <v>41829</v>
      </c>
      <c r="H12394" s="787">
        <v>1</v>
      </c>
      <c r="I12394" s="788">
        <v>41800</v>
      </c>
      <c r="J12394" s="788">
        <v>41803</v>
      </c>
      <c r="L12394" s="789">
        <v>1500</v>
      </c>
      <c r="M12394" s="787">
        <v>10</v>
      </c>
      <c r="N12394" s="789">
        <v>2870.68</v>
      </c>
      <c r="O12394" s="788">
        <v>42111</v>
      </c>
    </row>
    <row r="12395" spans="1:15" x14ac:dyDescent="0.25">
      <c r="A12395" s="786" t="s">
        <v>22138</v>
      </c>
      <c r="B12395" s="787">
        <v>4</v>
      </c>
      <c r="C12395" s="787" t="s">
        <v>22139</v>
      </c>
      <c r="D12395" s="787">
        <v>5.48</v>
      </c>
      <c r="E12395" s="789">
        <v>3745.48</v>
      </c>
      <c r="F12395" s="788">
        <v>41886</v>
      </c>
      <c r="G12395" s="788">
        <v>41886</v>
      </c>
      <c r="H12395" s="787">
        <v>1</v>
      </c>
      <c r="I12395" s="788">
        <v>41836</v>
      </c>
      <c r="J12395" s="788">
        <v>41836</v>
      </c>
      <c r="K12395" s="788">
        <v>41822</v>
      </c>
      <c r="L12395" s="789">
        <v>2500</v>
      </c>
      <c r="M12395" s="787">
        <v>10</v>
      </c>
      <c r="N12395" s="789">
        <v>3012.59</v>
      </c>
      <c r="O12395" s="788">
        <v>42111</v>
      </c>
    </row>
    <row r="12396" spans="1:15" x14ac:dyDescent="0.25">
      <c r="A12396" s="786" t="s">
        <v>22140</v>
      </c>
      <c r="B12396" s="787">
        <v>4</v>
      </c>
      <c r="C12396" s="787" t="s">
        <v>22141</v>
      </c>
      <c r="D12396" s="787">
        <v>1.06</v>
      </c>
      <c r="E12396" s="789">
        <v>3021.06</v>
      </c>
      <c r="F12396" s="788">
        <v>41906</v>
      </c>
      <c r="G12396" s="788">
        <v>41906</v>
      </c>
      <c r="H12396" s="787">
        <v>1</v>
      </c>
      <c r="I12396" s="788">
        <v>41877</v>
      </c>
      <c r="J12396" s="788">
        <v>41872</v>
      </c>
      <c r="L12396" s="789">
        <v>2500</v>
      </c>
      <c r="M12396" s="787">
        <v>10</v>
      </c>
      <c r="N12396" s="789">
        <v>2967.55</v>
      </c>
      <c r="O12396" s="788">
        <v>42111</v>
      </c>
    </row>
    <row r="12397" spans="1:15" x14ac:dyDescent="0.25">
      <c r="A12397" s="786" t="s">
        <v>22142</v>
      </c>
      <c r="B12397" s="787">
        <v>4</v>
      </c>
      <c r="C12397" s="787" t="s">
        <v>22143</v>
      </c>
      <c r="D12397" s="787">
        <v>3.74</v>
      </c>
      <c r="E12397" s="789">
        <v>1163.93</v>
      </c>
      <c r="F12397" s="788">
        <v>41886</v>
      </c>
      <c r="G12397" s="788">
        <v>42017</v>
      </c>
      <c r="H12397" s="787">
        <v>1</v>
      </c>
      <c r="I12397" s="788">
        <v>41988</v>
      </c>
      <c r="J12397" s="788">
        <v>41977</v>
      </c>
      <c r="K12397" s="788">
        <v>41967</v>
      </c>
      <c r="L12397" s="789">
        <v>1634.91</v>
      </c>
      <c r="M12397" s="787">
        <v>10</v>
      </c>
      <c r="N12397" s="789">
        <v>1285.81</v>
      </c>
      <c r="O12397" s="788">
        <v>42111</v>
      </c>
    </row>
    <row r="12398" spans="1:15" x14ac:dyDescent="0.25">
      <c r="A12398" s="786" t="s">
        <v>22144</v>
      </c>
      <c r="B12398" s="787">
        <v>4</v>
      </c>
      <c r="C12398" s="787" t="s">
        <v>22145</v>
      </c>
      <c r="D12398" s="787">
        <v>0.94</v>
      </c>
      <c r="E12398" s="789">
        <v>2000.94</v>
      </c>
      <c r="F12398" s="788">
        <v>41906</v>
      </c>
      <c r="G12398" s="788">
        <v>41906</v>
      </c>
      <c r="H12398" s="787">
        <v>1</v>
      </c>
      <c r="I12398" s="788">
        <v>41857</v>
      </c>
      <c r="J12398" s="788">
        <v>41857</v>
      </c>
      <c r="L12398" s="789">
        <v>2700</v>
      </c>
      <c r="M12398" s="787">
        <v>10</v>
      </c>
      <c r="N12398" s="789">
        <v>2062.09</v>
      </c>
      <c r="O12398" s="788">
        <v>42127</v>
      </c>
    </row>
    <row r="12399" spans="1:15" x14ac:dyDescent="0.25">
      <c r="A12399" s="786" t="s">
        <v>22146</v>
      </c>
      <c r="B12399" s="787">
        <v>4</v>
      </c>
      <c r="C12399" s="787" t="s">
        <v>22147</v>
      </c>
      <c r="D12399" s="787">
        <v>4.03</v>
      </c>
      <c r="E12399" s="789">
        <v>2444.0300000000002</v>
      </c>
      <c r="F12399" s="788">
        <v>41927</v>
      </c>
      <c r="G12399" s="788">
        <v>41927</v>
      </c>
      <c r="H12399" s="787">
        <v>1</v>
      </c>
      <c r="I12399" s="788">
        <v>41904</v>
      </c>
      <c r="J12399" s="788">
        <v>41904</v>
      </c>
      <c r="K12399" s="788">
        <v>41886</v>
      </c>
      <c r="L12399" s="789">
        <v>2300</v>
      </c>
      <c r="M12399" s="787">
        <v>10</v>
      </c>
      <c r="N12399" s="789">
        <v>2544.09</v>
      </c>
      <c r="O12399" s="788">
        <v>42111</v>
      </c>
    </row>
    <row r="12400" spans="1:15" x14ac:dyDescent="0.25">
      <c r="A12400" s="786" t="s">
        <v>22148</v>
      </c>
      <c r="B12400" s="787">
        <v>4</v>
      </c>
      <c r="C12400" s="787" t="s">
        <v>22149</v>
      </c>
      <c r="D12400" s="787">
        <v>7.72</v>
      </c>
      <c r="E12400" s="789">
        <v>2647.72</v>
      </c>
      <c r="F12400" s="788">
        <v>41943</v>
      </c>
      <c r="G12400" s="788">
        <v>41943</v>
      </c>
      <c r="H12400" s="787">
        <v>1</v>
      </c>
      <c r="I12400" s="788">
        <v>41913</v>
      </c>
      <c r="J12400" s="788">
        <v>41913</v>
      </c>
      <c r="K12400" s="788">
        <v>41898</v>
      </c>
      <c r="L12400" s="789">
        <v>2000</v>
      </c>
      <c r="M12400" s="787">
        <v>10</v>
      </c>
      <c r="N12400" s="789">
        <v>2483.66</v>
      </c>
      <c r="O12400" s="788">
        <v>42111</v>
      </c>
    </row>
    <row r="12401" spans="1:15" x14ac:dyDescent="0.25">
      <c r="A12401" s="786" t="s">
        <v>22150</v>
      </c>
      <c r="B12401" s="787">
        <v>4</v>
      </c>
      <c r="C12401" s="787" t="s">
        <v>22151</v>
      </c>
      <c r="D12401" s="787">
        <v>0</v>
      </c>
      <c r="E12401" s="787">
        <v>0</v>
      </c>
      <c r="H12401" s="787">
        <v>1</v>
      </c>
      <c r="L12401" s="787">
        <v>1</v>
      </c>
      <c r="M12401" s="787">
        <v>10</v>
      </c>
      <c r="N12401" s="789">
        <v>2332.06</v>
      </c>
      <c r="O12401" s="788">
        <v>42111</v>
      </c>
    </row>
    <row r="12402" spans="1:15" x14ac:dyDescent="0.25">
      <c r="A12402" s="786" t="s">
        <v>22152</v>
      </c>
      <c r="B12402" s="787">
        <v>4</v>
      </c>
      <c r="C12402" s="787" t="s">
        <v>22153</v>
      </c>
      <c r="D12402" s="787">
        <v>3.57</v>
      </c>
      <c r="E12402" s="789">
        <v>3473.57</v>
      </c>
      <c r="F12402" s="788">
        <v>42055</v>
      </c>
      <c r="G12402" s="788">
        <v>42055</v>
      </c>
      <c r="H12402" s="787">
        <v>1</v>
      </c>
      <c r="I12402" s="788">
        <v>42023</v>
      </c>
      <c r="J12402" s="788">
        <v>42023</v>
      </c>
      <c r="L12402" s="789">
        <v>1000</v>
      </c>
      <c r="M12402" s="787">
        <v>10</v>
      </c>
      <c r="N12402" s="789">
        <v>3036.16</v>
      </c>
      <c r="O12402" s="788">
        <v>42111</v>
      </c>
    </row>
    <row r="12403" spans="1:15" x14ac:dyDescent="0.25">
      <c r="A12403" s="786" t="s">
        <v>22154</v>
      </c>
      <c r="B12403" s="787">
        <v>4</v>
      </c>
      <c r="C12403" s="787" t="s">
        <v>22155</v>
      </c>
      <c r="D12403" s="787">
        <v>8.23</v>
      </c>
      <c r="E12403" s="787">
        <v>748.23</v>
      </c>
      <c r="F12403" s="788">
        <v>42156</v>
      </c>
      <c r="G12403" s="788">
        <v>42124</v>
      </c>
      <c r="H12403" s="787">
        <v>1</v>
      </c>
      <c r="I12403" s="788">
        <v>42153</v>
      </c>
      <c r="J12403" s="788">
        <v>42152</v>
      </c>
      <c r="K12403" s="788">
        <v>42121</v>
      </c>
      <c r="L12403" s="789">
        <v>1400</v>
      </c>
      <c r="M12403" s="787">
        <v>10</v>
      </c>
      <c r="N12403" s="789">
        <v>1387.06</v>
      </c>
      <c r="O12403" s="788">
        <v>42127</v>
      </c>
    </row>
    <row r="12404" spans="1:15" x14ac:dyDescent="0.25">
      <c r="A12404" s="786" t="s">
        <v>22156</v>
      </c>
      <c r="B12404" s="787">
        <v>4</v>
      </c>
      <c r="C12404" s="787" t="s">
        <v>22157</v>
      </c>
      <c r="D12404" s="787">
        <v>9.9</v>
      </c>
      <c r="E12404" s="787">
        <v>319.89999999999998</v>
      </c>
      <c r="F12404" s="788">
        <v>42101</v>
      </c>
      <c r="G12404" s="788">
        <v>42125</v>
      </c>
      <c r="H12404" s="787">
        <v>1</v>
      </c>
      <c r="I12404" s="788">
        <v>42079</v>
      </c>
      <c r="J12404" s="788">
        <v>42094</v>
      </c>
      <c r="K12404" s="788">
        <v>42054</v>
      </c>
      <c r="L12404" s="787">
        <v>316.5</v>
      </c>
      <c r="M12404" s="787">
        <v>20</v>
      </c>
      <c r="N12404" s="787">
        <v>340.24</v>
      </c>
      <c r="O12404" s="788">
        <v>42054</v>
      </c>
    </row>
    <row r="12405" spans="1:15" x14ac:dyDescent="0.25">
      <c r="A12405" s="786" t="s">
        <v>22158</v>
      </c>
      <c r="B12405" s="787">
        <v>4</v>
      </c>
      <c r="C12405" s="787" t="s">
        <v>22159</v>
      </c>
      <c r="D12405" s="787">
        <v>1.74</v>
      </c>
      <c r="E12405" s="787">
        <v>231.74</v>
      </c>
      <c r="F12405" s="788">
        <v>42072</v>
      </c>
      <c r="G12405" s="788">
        <v>42086</v>
      </c>
      <c r="H12405" s="787">
        <v>1</v>
      </c>
      <c r="I12405" s="788">
        <v>42117</v>
      </c>
      <c r="J12405" s="788">
        <v>42069</v>
      </c>
      <c r="K12405" s="788">
        <v>42051</v>
      </c>
      <c r="L12405" s="787">
        <v>238.9</v>
      </c>
      <c r="M12405" s="787">
        <v>20</v>
      </c>
      <c r="N12405" s="787">
        <v>256.82</v>
      </c>
      <c r="O12405" s="788">
        <v>42051</v>
      </c>
    </row>
    <row r="12406" spans="1:15" x14ac:dyDescent="0.25">
      <c r="A12406" s="786" t="s">
        <v>22160</v>
      </c>
      <c r="B12406" s="787">
        <v>4</v>
      </c>
      <c r="C12406" s="787" t="s">
        <v>22161</v>
      </c>
      <c r="D12406" s="787">
        <v>2.35</v>
      </c>
      <c r="E12406" s="787">
        <v>122.35</v>
      </c>
      <c r="F12406" s="788">
        <v>37649</v>
      </c>
      <c r="G12406" s="788">
        <v>37649</v>
      </c>
      <c r="H12406" s="787">
        <v>6</v>
      </c>
      <c r="J12406" s="788">
        <v>37771</v>
      </c>
      <c r="L12406" s="787">
        <v>133.36000000000001</v>
      </c>
      <c r="M12406" s="787">
        <v>20</v>
      </c>
      <c r="N12406" s="787">
        <v>131.53</v>
      </c>
      <c r="O12406" s="788">
        <v>41806</v>
      </c>
    </row>
    <row r="12407" spans="1:15" x14ac:dyDescent="0.25">
      <c r="A12407" s="786" t="s">
        <v>22162</v>
      </c>
      <c r="B12407" s="787">
        <v>4</v>
      </c>
      <c r="C12407" s="787" t="s">
        <v>22163</v>
      </c>
      <c r="D12407" s="787">
        <v>6.09</v>
      </c>
      <c r="E12407" s="787">
        <v>26.09</v>
      </c>
      <c r="F12407" s="788">
        <v>42058</v>
      </c>
      <c r="G12407" s="788">
        <v>42064</v>
      </c>
      <c r="H12407" s="787">
        <v>1</v>
      </c>
      <c r="J12407" s="788">
        <v>42054</v>
      </c>
      <c r="K12407" s="788">
        <v>42052</v>
      </c>
      <c r="L12407" s="787">
        <v>26.9</v>
      </c>
      <c r="M12407" s="787">
        <v>20</v>
      </c>
      <c r="N12407" s="787">
        <v>28.92</v>
      </c>
      <c r="O12407" s="788">
        <v>42053</v>
      </c>
    </row>
    <row r="12408" spans="1:15" x14ac:dyDescent="0.25">
      <c r="A12408" s="786" t="s">
        <v>22164</v>
      </c>
      <c r="B12408" s="787">
        <v>4</v>
      </c>
      <c r="C12408" s="787" t="s">
        <v>22165</v>
      </c>
      <c r="D12408" s="787">
        <v>2.19</v>
      </c>
      <c r="E12408" s="787">
        <v>32.19</v>
      </c>
      <c r="F12408" s="788">
        <v>42060</v>
      </c>
      <c r="G12408" s="788">
        <v>42064</v>
      </c>
      <c r="H12408" s="787">
        <v>1</v>
      </c>
      <c r="J12408" s="788">
        <v>42058</v>
      </c>
      <c r="K12408" s="788">
        <v>42055</v>
      </c>
      <c r="L12408" s="787">
        <v>27.9</v>
      </c>
      <c r="M12408" s="787">
        <v>20</v>
      </c>
      <c r="N12408" s="787">
        <v>29.99</v>
      </c>
      <c r="O12408" s="788">
        <v>42055</v>
      </c>
    </row>
    <row r="12409" spans="1:15" x14ac:dyDescent="0.25">
      <c r="A12409" s="786" t="s">
        <v>22166</v>
      </c>
      <c r="B12409" s="787">
        <v>4</v>
      </c>
      <c r="C12409" s="787" t="s">
        <v>21766</v>
      </c>
      <c r="D12409" s="787">
        <v>6.14</v>
      </c>
      <c r="E12409" s="787">
        <v>6.14</v>
      </c>
      <c r="F12409" s="788">
        <v>42102</v>
      </c>
      <c r="G12409" s="788">
        <v>42125</v>
      </c>
      <c r="H12409" s="787">
        <v>1</v>
      </c>
      <c r="J12409" s="788">
        <v>42096</v>
      </c>
      <c r="K12409" s="788">
        <v>42093</v>
      </c>
      <c r="L12409" s="787">
        <v>6.12</v>
      </c>
      <c r="M12409" s="787">
        <v>20</v>
      </c>
      <c r="N12409" s="787">
        <v>0</v>
      </c>
    </row>
    <row r="12410" spans="1:15" x14ac:dyDescent="0.25">
      <c r="A12410" s="786" t="s">
        <v>22167</v>
      </c>
      <c r="B12410" s="787">
        <v>4</v>
      </c>
      <c r="C12410" s="787" t="s">
        <v>22168</v>
      </c>
      <c r="D12410" s="787">
        <v>3.65</v>
      </c>
      <c r="E12410" s="787">
        <v>39.270000000000003</v>
      </c>
      <c r="F12410" s="788">
        <v>42093</v>
      </c>
      <c r="G12410" s="788">
        <v>42156</v>
      </c>
      <c r="H12410" s="787">
        <v>1</v>
      </c>
      <c r="I12410" s="788">
        <v>42145</v>
      </c>
      <c r="J12410" s="788">
        <v>42123</v>
      </c>
      <c r="K12410" s="788">
        <v>41722</v>
      </c>
      <c r="L12410" s="787">
        <v>46</v>
      </c>
      <c r="M12410" s="787">
        <v>10</v>
      </c>
      <c r="N12410" s="787">
        <v>43.19</v>
      </c>
      <c r="O12410" s="788">
        <v>42127</v>
      </c>
    </row>
    <row r="12411" spans="1:15" x14ac:dyDescent="0.25">
      <c r="A12411" s="786" t="s">
        <v>22169</v>
      </c>
      <c r="B12411" s="787">
        <v>4</v>
      </c>
      <c r="C12411" s="787" t="s">
        <v>22170</v>
      </c>
      <c r="D12411" s="787">
        <v>4.5199999999999996</v>
      </c>
      <c r="E12411" s="787">
        <v>25.16</v>
      </c>
      <c r="F12411" s="788">
        <v>41806</v>
      </c>
      <c r="G12411" s="788">
        <v>42158</v>
      </c>
      <c r="H12411" s="787">
        <v>1</v>
      </c>
      <c r="I12411" s="788">
        <v>42152</v>
      </c>
      <c r="J12411" s="788">
        <v>42123</v>
      </c>
      <c r="K12411" s="788">
        <v>41722</v>
      </c>
      <c r="L12411" s="787">
        <v>25</v>
      </c>
      <c r="M12411" s="787">
        <v>10</v>
      </c>
      <c r="N12411" s="787">
        <v>23</v>
      </c>
      <c r="O12411" s="788">
        <v>42127</v>
      </c>
    </row>
    <row r="12412" spans="1:15" x14ac:dyDescent="0.25">
      <c r="A12412" s="786" t="s">
        <v>22171</v>
      </c>
      <c r="B12412" s="787">
        <v>4</v>
      </c>
      <c r="C12412" s="787" t="s">
        <v>22172</v>
      </c>
      <c r="D12412" s="787">
        <v>0</v>
      </c>
      <c r="E12412" s="787">
        <v>0</v>
      </c>
      <c r="H12412" s="787">
        <v>1</v>
      </c>
      <c r="K12412" s="788">
        <v>41722</v>
      </c>
      <c r="L12412" s="787">
        <v>280</v>
      </c>
      <c r="M12412" s="787">
        <v>10</v>
      </c>
      <c r="N12412" s="787">
        <v>296.10000000000002</v>
      </c>
      <c r="O12412" s="788">
        <v>41955</v>
      </c>
    </row>
    <row r="12413" spans="1:15" x14ac:dyDescent="0.25">
      <c r="A12413" s="786" t="s">
        <v>22173</v>
      </c>
      <c r="B12413" s="787">
        <v>4</v>
      </c>
      <c r="C12413" s="787" t="s">
        <v>22174</v>
      </c>
      <c r="D12413" s="787">
        <v>9.48</v>
      </c>
      <c r="E12413" s="787">
        <v>15.82</v>
      </c>
      <c r="F12413" s="788">
        <v>42089</v>
      </c>
      <c r="G12413" s="788">
        <v>42102</v>
      </c>
      <c r="H12413" s="787">
        <v>1</v>
      </c>
      <c r="I12413" s="788">
        <v>42152</v>
      </c>
      <c r="J12413" s="788">
        <v>42068</v>
      </c>
      <c r="K12413" s="788">
        <v>41722</v>
      </c>
      <c r="L12413" s="787">
        <v>15</v>
      </c>
      <c r="M12413" s="787">
        <v>10</v>
      </c>
      <c r="N12413" s="787">
        <v>12.35</v>
      </c>
      <c r="O12413" s="788">
        <v>42065</v>
      </c>
    </row>
    <row r="12414" spans="1:15" x14ac:dyDescent="0.25">
      <c r="A12414" s="786" t="s">
        <v>22175</v>
      </c>
      <c r="B12414" s="787">
        <v>4</v>
      </c>
      <c r="C12414" s="787" t="s">
        <v>22176</v>
      </c>
      <c r="D12414" s="787">
        <v>2.65</v>
      </c>
      <c r="E12414" s="787">
        <v>2.72</v>
      </c>
      <c r="F12414" s="788">
        <v>41745</v>
      </c>
      <c r="G12414" s="788">
        <v>42023</v>
      </c>
      <c r="H12414" s="787">
        <v>1</v>
      </c>
      <c r="I12414" s="788">
        <v>42163</v>
      </c>
      <c r="J12414" s="788">
        <v>42137</v>
      </c>
      <c r="K12414" s="788">
        <v>41624</v>
      </c>
      <c r="L12414" s="787">
        <v>2.5099999999999998</v>
      </c>
      <c r="M12414" s="787">
        <v>20</v>
      </c>
      <c r="N12414" s="787">
        <v>2.7</v>
      </c>
      <c r="O12414" s="788">
        <v>41949</v>
      </c>
    </row>
    <row r="12415" spans="1:15" x14ac:dyDescent="0.25">
      <c r="A12415" s="786" t="s">
        <v>22177</v>
      </c>
      <c r="B12415" s="787">
        <v>4</v>
      </c>
      <c r="C12415" s="787" t="s">
        <v>22178</v>
      </c>
      <c r="D12415" s="787">
        <v>7.22</v>
      </c>
      <c r="E12415" s="787">
        <v>7.22</v>
      </c>
      <c r="F12415" s="788">
        <v>41649</v>
      </c>
      <c r="G12415" s="788">
        <v>41647</v>
      </c>
      <c r="H12415" s="787">
        <v>1</v>
      </c>
      <c r="J12415" s="788">
        <v>41647</v>
      </c>
      <c r="K12415" s="788">
        <v>41645</v>
      </c>
      <c r="L12415" s="787">
        <v>7.22</v>
      </c>
      <c r="M12415" s="787">
        <v>20</v>
      </c>
      <c r="N12415" s="787">
        <v>7.76</v>
      </c>
      <c r="O12415" s="788">
        <v>41858</v>
      </c>
    </row>
    <row r="12416" spans="1:15" x14ac:dyDescent="0.25">
      <c r="A12416" s="786" t="s">
        <v>22179</v>
      </c>
      <c r="B12416" s="787">
        <v>4</v>
      </c>
      <c r="C12416" s="787" t="s">
        <v>22180</v>
      </c>
      <c r="D12416" s="787">
        <v>0</v>
      </c>
      <c r="E12416" s="787">
        <v>0</v>
      </c>
      <c r="H12416" s="787">
        <v>6</v>
      </c>
      <c r="L12416" s="787">
        <v>0</v>
      </c>
      <c r="M12416" s="787">
        <v>10</v>
      </c>
      <c r="N12416" s="787">
        <v>0</v>
      </c>
      <c r="O12416" s="788">
        <v>40824</v>
      </c>
    </row>
    <row r="12417" spans="1:15" x14ac:dyDescent="0.25">
      <c r="A12417" s="786" t="s">
        <v>22181</v>
      </c>
      <c r="B12417" s="787">
        <v>4</v>
      </c>
      <c r="C12417" s="787" t="s">
        <v>22182</v>
      </c>
      <c r="D12417" s="787">
        <v>0.4</v>
      </c>
      <c r="E12417" s="787">
        <v>26.51</v>
      </c>
      <c r="F12417" s="788">
        <v>41206</v>
      </c>
      <c r="G12417" s="788">
        <v>41371</v>
      </c>
      <c r="H12417" s="787">
        <v>6</v>
      </c>
      <c r="I12417" s="788">
        <v>39006</v>
      </c>
      <c r="J12417" s="788">
        <v>41347</v>
      </c>
      <c r="L12417" s="787">
        <v>108.08</v>
      </c>
      <c r="M12417" s="787">
        <v>20</v>
      </c>
      <c r="N12417" s="787">
        <v>116.19</v>
      </c>
      <c r="O12417" s="788">
        <v>41858</v>
      </c>
    </row>
    <row r="12418" spans="1:15" x14ac:dyDescent="0.25">
      <c r="A12418" s="786" t="s">
        <v>22183</v>
      </c>
      <c r="B12418" s="787">
        <v>4</v>
      </c>
      <c r="C12418" s="787" t="s">
        <v>22184</v>
      </c>
      <c r="D12418" s="787">
        <v>5.1100000000000003</v>
      </c>
      <c r="E12418" s="787">
        <v>5.1100000000000003</v>
      </c>
      <c r="F12418" s="788">
        <v>37641</v>
      </c>
      <c r="G12418" s="788">
        <v>38364</v>
      </c>
      <c r="H12418" s="787">
        <v>6</v>
      </c>
      <c r="I12418" s="788">
        <v>40976</v>
      </c>
      <c r="J12418" s="788">
        <v>37641</v>
      </c>
      <c r="L12418" s="787">
        <v>5.57</v>
      </c>
      <c r="M12418" s="787">
        <v>20</v>
      </c>
      <c r="N12418" s="787">
        <v>5.49</v>
      </c>
      <c r="O12418" s="788">
        <v>41806</v>
      </c>
    </row>
    <row r="12419" spans="1:15" x14ac:dyDescent="0.25">
      <c r="A12419" s="786" t="s">
        <v>22185</v>
      </c>
      <c r="B12419" s="787">
        <v>4</v>
      </c>
      <c r="C12419" s="787" t="s">
        <v>22186</v>
      </c>
      <c r="D12419" s="787">
        <v>2.93</v>
      </c>
      <c r="E12419" s="787">
        <v>2.93</v>
      </c>
      <c r="F12419" s="788">
        <v>37641</v>
      </c>
      <c r="G12419" s="788">
        <v>38364</v>
      </c>
      <c r="H12419" s="787">
        <v>6</v>
      </c>
      <c r="I12419" s="788">
        <v>38736</v>
      </c>
      <c r="J12419" s="788">
        <v>37641</v>
      </c>
      <c r="L12419" s="787">
        <v>3.19</v>
      </c>
      <c r="M12419" s="787">
        <v>20</v>
      </c>
      <c r="N12419" s="787">
        <v>3.15</v>
      </c>
      <c r="O12419" s="788">
        <v>41806</v>
      </c>
    </row>
    <row r="12420" spans="1:15" x14ac:dyDescent="0.25">
      <c r="A12420" s="786" t="s">
        <v>22187</v>
      </c>
      <c r="B12420" s="787">
        <v>4</v>
      </c>
      <c r="C12420" s="787" t="s">
        <v>22188</v>
      </c>
      <c r="D12420" s="787">
        <v>1.81</v>
      </c>
      <c r="E12420" s="787">
        <v>285.39999999999998</v>
      </c>
      <c r="F12420" s="788">
        <v>37650</v>
      </c>
      <c r="G12420" s="788">
        <v>39450</v>
      </c>
      <c r="H12420" s="787">
        <v>6</v>
      </c>
      <c r="I12420" s="788">
        <v>39384</v>
      </c>
      <c r="J12420" s="788">
        <v>39433</v>
      </c>
      <c r="K12420" s="788">
        <v>41865</v>
      </c>
      <c r="L12420" s="787">
        <v>285</v>
      </c>
      <c r="M12420" s="787">
        <v>20</v>
      </c>
      <c r="N12420" s="787">
        <v>95.86</v>
      </c>
      <c r="O12420" s="788">
        <v>41858</v>
      </c>
    </row>
    <row r="12421" spans="1:15" x14ac:dyDescent="0.25">
      <c r="A12421" s="786" t="s">
        <v>22189</v>
      </c>
      <c r="B12421" s="787">
        <v>4</v>
      </c>
      <c r="C12421" s="787" t="s">
        <v>22190</v>
      </c>
      <c r="D12421" s="787">
        <v>4.45</v>
      </c>
      <c r="E12421" s="787">
        <v>14.45</v>
      </c>
      <c r="F12421" s="788">
        <v>37641</v>
      </c>
      <c r="G12421" s="788">
        <v>37641</v>
      </c>
      <c r="H12421" s="787">
        <v>1</v>
      </c>
      <c r="I12421" s="788">
        <v>39946</v>
      </c>
      <c r="J12421" s="788">
        <v>37641</v>
      </c>
      <c r="L12421" s="787">
        <v>15.75</v>
      </c>
      <c r="M12421" s="787">
        <v>20</v>
      </c>
      <c r="N12421" s="787">
        <v>16.93</v>
      </c>
      <c r="O12421" s="788">
        <v>41858</v>
      </c>
    </row>
    <row r="12422" spans="1:15" x14ac:dyDescent="0.25">
      <c r="A12422" s="786" t="s">
        <v>22191</v>
      </c>
      <c r="B12422" s="787">
        <v>4</v>
      </c>
      <c r="C12422" s="787" t="s">
        <v>22192</v>
      </c>
      <c r="D12422" s="787">
        <v>4.45</v>
      </c>
      <c r="E12422" s="787">
        <v>48.47</v>
      </c>
      <c r="F12422" s="788">
        <v>37641</v>
      </c>
      <c r="G12422" s="788">
        <v>40736</v>
      </c>
      <c r="H12422" s="787">
        <v>1</v>
      </c>
      <c r="I12422" s="788">
        <v>41103</v>
      </c>
      <c r="J12422" s="788">
        <v>40737</v>
      </c>
      <c r="K12422" s="788">
        <v>41865</v>
      </c>
      <c r="L12422" s="787">
        <v>47.7</v>
      </c>
      <c r="M12422" s="787">
        <v>20</v>
      </c>
      <c r="N12422" s="787">
        <v>51.28</v>
      </c>
      <c r="O12422" s="788">
        <v>42164</v>
      </c>
    </row>
    <row r="12423" spans="1:15" x14ac:dyDescent="0.25">
      <c r="A12423" s="786" t="s">
        <v>22193</v>
      </c>
      <c r="B12423" s="787">
        <v>4</v>
      </c>
      <c r="C12423" s="787" t="s">
        <v>22194</v>
      </c>
      <c r="D12423" s="787">
        <v>4.45</v>
      </c>
      <c r="E12423" s="787">
        <v>14.45</v>
      </c>
      <c r="F12423" s="788">
        <v>39101</v>
      </c>
      <c r="G12423" s="788">
        <v>39101</v>
      </c>
      <c r="H12423" s="787">
        <v>1</v>
      </c>
      <c r="I12423" s="788">
        <v>39134</v>
      </c>
      <c r="J12423" s="788">
        <v>39149</v>
      </c>
      <c r="L12423" s="787">
        <v>15.75</v>
      </c>
      <c r="M12423" s="787">
        <v>20</v>
      </c>
      <c r="N12423" s="787">
        <v>16.93</v>
      </c>
      <c r="O12423" s="788">
        <v>41858</v>
      </c>
    </row>
    <row r="12424" spans="1:15" x14ac:dyDescent="0.25">
      <c r="A12424" s="786" t="s">
        <v>22195</v>
      </c>
      <c r="B12424" s="787">
        <v>4</v>
      </c>
      <c r="C12424" s="787" t="s">
        <v>22196</v>
      </c>
      <c r="D12424" s="787">
        <v>9.4499999999999993</v>
      </c>
      <c r="E12424" s="787">
        <v>9.4499999999999993</v>
      </c>
      <c r="F12424" s="788">
        <v>38449</v>
      </c>
      <c r="G12424" s="788">
        <v>38449</v>
      </c>
      <c r="H12424" s="787">
        <v>1</v>
      </c>
      <c r="I12424" s="788">
        <v>38736</v>
      </c>
      <c r="J12424" s="788">
        <v>38448</v>
      </c>
      <c r="L12424" s="787">
        <v>10.3</v>
      </c>
      <c r="M12424" s="787">
        <v>20</v>
      </c>
      <c r="N12424" s="787">
        <v>11.07</v>
      </c>
      <c r="O12424" s="788">
        <v>41858</v>
      </c>
    </row>
    <row r="12425" spans="1:15" x14ac:dyDescent="0.25">
      <c r="A12425" s="786" t="s">
        <v>22197</v>
      </c>
      <c r="B12425" s="787">
        <v>4</v>
      </c>
      <c r="C12425" s="787" t="s">
        <v>22198</v>
      </c>
      <c r="D12425" s="787">
        <v>0.26</v>
      </c>
      <c r="E12425" s="787">
        <v>0.26</v>
      </c>
      <c r="F12425" s="788">
        <v>39101</v>
      </c>
      <c r="G12425" s="788">
        <v>39101</v>
      </c>
      <c r="H12425" s="787">
        <v>1</v>
      </c>
      <c r="I12425" s="788">
        <v>39134</v>
      </c>
      <c r="J12425" s="788">
        <v>39149</v>
      </c>
      <c r="L12425" s="787">
        <v>0.28000000000000003</v>
      </c>
      <c r="M12425" s="787">
        <v>20</v>
      </c>
      <c r="N12425" s="787">
        <v>0.3</v>
      </c>
      <c r="O12425" s="788">
        <v>41858</v>
      </c>
    </row>
    <row r="12426" spans="1:15" x14ac:dyDescent="0.25">
      <c r="A12426" s="786" t="s">
        <v>22199</v>
      </c>
      <c r="B12426" s="787">
        <v>4</v>
      </c>
      <c r="C12426" s="787" t="s">
        <v>22200</v>
      </c>
      <c r="D12426" s="787">
        <v>0.26</v>
      </c>
      <c r="E12426" s="787">
        <v>0.26</v>
      </c>
      <c r="F12426" s="788">
        <v>39101</v>
      </c>
      <c r="G12426" s="788">
        <v>39101</v>
      </c>
      <c r="H12426" s="787">
        <v>1</v>
      </c>
      <c r="I12426" s="788">
        <v>39134</v>
      </c>
      <c r="J12426" s="788">
        <v>39149</v>
      </c>
      <c r="L12426" s="787">
        <v>0.28000000000000003</v>
      </c>
      <c r="M12426" s="787">
        <v>20</v>
      </c>
      <c r="N12426" s="787">
        <v>0.3</v>
      </c>
      <c r="O12426" s="788">
        <v>41858</v>
      </c>
    </row>
    <row r="12427" spans="1:15" x14ac:dyDescent="0.25">
      <c r="A12427" s="786" t="s">
        <v>22201</v>
      </c>
      <c r="B12427" s="787">
        <v>4</v>
      </c>
      <c r="C12427" s="787" t="s">
        <v>22202</v>
      </c>
      <c r="D12427" s="787">
        <v>0.26</v>
      </c>
      <c r="E12427" s="787">
        <v>58.95</v>
      </c>
      <c r="F12427" s="788">
        <v>39101</v>
      </c>
      <c r="G12427" s="788">
        <v>41765</v>
      </c>
      <c r="H12427" s="787">
        <v>1</v>
      </c>
      <c r="I12427" s="788">
        <v>41894</v>
      </c>
      <c r="J12427" s="788">
        <v>41879</v>
      </c>
      <c r="K12427" s="788">
        <v>41740</v>
      </c>
      <c r="L12427" s="787">
        <v>38.950000000000003</v>
      </c>
      <c r="M12427" s="787">
        <v>20</v>
      </c>
      <c r="N12427" s="787">
        <v>41.87</v>
      </c>
      <c r="O12427" s="788">
        <v>41858</v>
      </c>
    </row>
    <row r="12428" spans="1:15" x14ac:dyDescent="0.25">
      <c r="A12428" s="786" t="s">
        <v>22203</v>
      </c>
      <c r="B12428" s="787">
        <v>4</v>
      </c>
      <c r="C12428" s="787" t="s">
        <v>22204</v>
      </c>
      <c r="D12428" s="787">
        <v>4.09</v>
      </c>
      <c r="E12428" s="787">
        <v>4.09</v>
      </c>
      <c r="F12428" s="788">
        <v>37641</v>
      </c>
      <c r="G12428" s="788">
        <v>37641</v>
      </c>
      <c r="H12428" s="787">
        <v>1</v>
      </c>
      <c r="J12428" s="788">
        <v>37641</v>
      </c>
      <c r="L12428" s="787">
        <v>4.46</v>
      </c>
      <c r="M12428" s="787">
        <v>20</v>
      </c>
      <c r="N12428" s="787">
        <v>4.79</v>
      </c>
      <c r="O12428" s="788">
        <v>41858</v>
      </c>
    </row>
    <row r="12429" spans="1:15" x14ac:dyDescent="0.25">
      <c r="A12429" s="786" t="s">
        <v>22205</v>
      </c>
      <c r="B12429" s="787">
        <v>4</v>
      </c>
      <c r="C12429" s="787" t="s">
        <v>22206</v>
      </c>
      <c r="D12429" s="787">
        <v>0</v>
      </c>
      <c r="E12429" s="787">
        <v>0</v>
      </c>
      <c r="G12429" s="788">
        <v>37320</v>
      </c>
      <c r="H12429" s="787">
        <v>1</v>
      </c>
      <c r="J12429" s="788">
        <v>37641</v>
      </c>
      <c r="L12429" s="787">
        <v>47.28</v>
      </c>
      <c r="M12429" s="787">
        <v>20</v>
      </c>
      <c r="N12429" s="787">
        <v>50.83</v>
      </c>
      <c r="O12429" s="788">
        <v>41858</v>
      </c>
    </row>
    <row r="12430" spans="1:15" x14ac:dyDescent="0.25">
      <c r="A12430" s="786" t="s">
        <v>22207</v>
      </c>
      <c r="B12430" s="787">
        <v>4</v>
      </c>
      <c r="C12430" s="787" t="s">
        <v>22208</v>
      </c>
      <c r="D12430" s="787">
        <v>8.16</v>
      </c>
      <c r="E12430" s="787">
        <v>48.47</v>
      </c>
      <c r="F12430" s="788">
        <v>39925</v>
      </c>
      <c r="G12430" s="788">
        <v>41255</v>
      </c>
      <c r="H12430" s="787">
        <v>1</v>
      </c>
      <c r="I12430" s="788">
        <v>40988</v>
      </c>
      <c r="J12430" s="788">
        <v>41064</v>
      </c>
      <c r="K12430" s="788">
        <v>41239</v>
      </c>
      <c r="L12430" s="787">
        <v>48.47</v>
      </c>
      <c r="M12430" s="787">
        <v>20</v>
      </c>
      <c r="N12430" s="787">
        <v>52.11</v>
      </c>
      <c r="O12430" s="788">
        <v>41858</v>
      </c>
    </row>
    <row r="12431" spans="1:15" x14ac:dyDescent="0.25">
      <c r="A12431" s="786" t="s">
        <v>22209</v>
      </c>
      <c r="B12431" s="787">
        <v>4</v>
      </c>
      <c r="C12431" s="787" t="s">
        <v>22210</v>
      </c>
      <c r="D12431" s="787">
        <v>8.4499999999999993</v>
      </c>
      <c r="E12431" s="787">
        <v>83.64</v>
      </c>
      <c r="F12431" s="788">
        <v>41453</v>
      </c>
      <c r="G12431" s="788">
        <v>41942</v>
      </c>
      <c r="H12431" s="787">
        <v>1</v>
      </c>
      <c r="I12431" s="788">
        <v>41894</v>
      </c>
      <c r="J12431" s="788">
        <v>41936</v>
      </c>
      <c r="K12431" s="788">
        <v>41878</v>
      </c>
      <c r="L12431" s="787">
        <v>79.39</v>
      </c>
      <c r="M12431" s="787">
        <v>20</v>
      </c>
      <c r="N12431" s="787">
        <v>79.77</v>
      </c>
      <c r="O12431" s="788">
        <v>41858</v>
      </c>
    </row>
    <row r="12432" spans="1:15" x14ac:dyDescent="0.25">
      <c r="A12432" s="786" t="s">
        <v>22211</v>
      </c>
      <c r="B12432" s="787">
        <v>4</v>
      </c>
      <c r="C12432" s="787" t="s">
        <v>22212</v>
      </c>
      <c r="D12432" s="787">
        <v>1.59</v>
      </c>
      <c r="E12432" s="787">
        <v>161.59</v>
      </c>
      <c r="F12432" s="788">
        <v>41577</v>
      </c>
      <c r="G12432" s="788">
        <v>42013</v>
      </c>
      <c r="H12432" s="787">
        <v>1</v>
      </c>
      <c r="I12432" s="788">
        <v>42158</v>
      </c>
      <c r="J12432" s="788">
        <v>41577</v>
      </c>
      <c r="K12432" s="788">
        <v>41558</v>
      </c>
      <c r="L12432" s="787">
        <v>159.5</v>
      </c>
      <c r="M12432" s="787">
        <v>20</v>
      </c>
      <c r="N12432" s="787">
        <v>171.46</v>
      </c>
      <c r="O12432" s="788">
        <v>42164</v>
      </c>
    </row>
    <row r="12433" spans="1:15" x14ac:dyDescent="0.25">
      <c r="A12433" s="786" t="s">
        <v>22213</v>
      </c>
      <c r="B12433" s="787">
        <v>4</v>
      </c>
      <c r="C12433" s="787" t="s">
        <v>22214</v>
      </c>
      <c r="D12433" s="787">
        <v>4.54</v>
      </c>
      <c r="E12433" s="787">
        <v>24.54</v>
      </c>
      <c r="F12433" s="788">
        <v>39101</v>
      </c>
      <c r="G12433" s="788">
        <v>39101</v>
      </c>
      <c r="H12433" s="787">
        <v>1</v>
      </c>
      <c r="I12433" s="788">
        <v>39134</v>
      </c>
      <c r="J12433" s="788">
        <v>39149</v>
      </c>
      <c r="L12433" s="787">
        <v>26.75</v>
      </c>
      <c r="M12433" s="787">
        <v>20</v>
      </c>
      <c r="N12433" s="787">
        <v>28.76</v>
      </c>
      <c r="O12433" s="788">
        <v>41858</v>
      </c>
    </row>
    <row r="12434" spans="1:15" x14ac:dyDescent="0.25">
      <c r="A12434" s="786" t="s">
        <v>22215</v>
      </c>
      <c r="B12434" s="787">
        <v>4</v>
      </c>
      <c r="C12434" s="787" t="s">
        <v>22216</v>
      </c>
      <c r="D12434" s="787">
        <v>0.23</v>
      </c>
      <c r="E12434" s="787">
        <v>0.25</v>
      </c>
      <c r="F12434" s="788">
        <v>39101</v>
      </c>
      <c r="G12434" s="788">
        <v>41995</v>
      </c>
      <c r="H12434" s="787">
        <v>1</v>
      </c>
      <c r="I12434" s="788">
        <v>42086</v>
      </c>
      <c r="J12434" s="788">
        <v>42165</v>
      </c>
      <c r="K12434" s="788">
        <v>41060</v>
      </c>
      <c r="L12434" s="787">
        <v>0.25</v>
      </c>
      <c r="M12434" s="787">
        <v>20</v>
      </c>
      <c r="N12434" s="787">
        <v>0.27</v>
      </c>
      <c r="O12434" s="788">
        <v>42111</v>
      </c>
    </row>
    <row r="12435" spans="1:15" x14ac:dyDescent="0.25">
      <c r="A12435" s="786" t="s">
        <v>22217</v>
      </c>
      <c r="B12435" s="787">
        <v>4</v>
      </c>
      <c r="C12435" s="787" t="s">
        <v>22218</v>
      </c>
      <c r="D12435" s="787">
        <v>7.18</v>
      </c>
      <c r="E12435" s="787">
        <v>27.18</v>
      </c>
      <c r="F12435" s="788">
        <v>38882</v>
      </c>
      <c r="G12435" s="788">
        <v>41956</v>
      </c>
      <c r="H12435" s="787">
        <v>1</v>
      </c>
      <c r="I12435" s="788">
        <v>41956</v>
      </c>
      <c r="J12435" s="788">
        <v>41956</v>
      </c>
      <c r="L12435" s="787">
        <v>27.18</v>
      </c>
      <c r="M12435" s="787">
        <v>20</v>
      </c>
      <c r="N12435" s="787">
        <v>29.22</v>
      </c>
      <c r="O12435" s="788">
        <v>41858</v>
      </c>
    </row>
    <row r="12436" spans="1:15" x14ac:dyDescent="0.25">
      <c r="A12436" s="786" t="s">
        <v>22219</v>
      </c>
      <c r="B12436" s="787">
        <v>4</v>
      </c>
      <c r="C12436" s="787" t="s">
        <v>22220</v>
      </c>
      <c r="D12436" s="787">
        <v>4.22</v>
      </c>
      <c r="E12436" s="787">
        <v>188.35</v>
      </c>
      <c r="F12436" s="788">
        <v>39101</v>
      </c>
      <c r="G12436" s="788">
        <v>39814</v>
      </c>
      <c r="H12436" s="787">
        <v>1</v>
      </c>
      <c r="I12436" s="788">
        <v>40883</v>
      </c>
      <c r="J12436" s="788">
        <v>39519</v>
      </c>
      <c r="L12436" s="787">
        <v>124.5</v>
      </c>
      <c r="M12436" s="787">
        <v>20</v>
      </c>
      <c r="N12436" s="787">
        <v>133.84</v>
      </c>
      <c r="O12436" s="788">
        <v>41858</v>
      </c>
    </row>
    <row r="12437" spans="1:15" x14ac:dyDescent="0.25">
      <c r="A12437" s="786" t="s">
        <v>22221</v>
      </c>
      <c r="B12437" s="787">
        <v>4</v>
      </c>
      <c r="C12437" s="787" t="s">
        <v>22222</v>
      </c>
      <c r="D12437" s="787">
        <v>0.22</v>
      </c>
      <c r="E12437" s="787">
        <v>160.33000000000001</v>
      </c>
      <c r="F12437" s="788">
        <v>40365</v>
      </c>
      <c r="G12437" s="788">
        <v>40387</v>
      </c>
      <c r="H12437" s="787">
        <v>1</v>
      </c>
      <c r="I12437" s="788">
        <v>40424</v>
      </c>
      <c r="J12437" s="788">
        <v>40389</v>
      </c>
      <c r="L12437" s="787">
        <v>160.33000000000001</v>
      </c>
      <c r="M12437" s="787">
        <v>20</v>
      </c>
      <c r="N12437" s="787">
        <v>172.35</v>
      </c>
      <c r="O12437" s="788">
        <v>41858</v>
      </c>
    </row>
    <row r="12438" spans="1:15" x14ac:dyDescent="0.25">
      <c r="A12438" s="786" t="s">
        <v>22223</v>
      </c>
      <c r="B12438" s="787">
        <v>4</v>
      </c>
      <c r="C12438" s="787" t="s">
        <v>22224</v>
      </c>
      <c r="D12438" s="787">
        <v>0.05</v>
      </c>
      <c r="E12438" s="787">
        <v>190.05</v>
      </c>
      <c r="F12438" s="788">
        <v>41577</v>
      </c>
      <c r="G12438" s="788">
        <v>42013</v>
      </c>
      <c r="H12438" s="787">
        <v>1</v>
      </c>
      <c r="I12438" s="788">
        <v>41894</v>
      </c>
      <c r="J12438" s="788">
        <v>41577</v>
      </c>
      <c r="K12438" s="788">
        <v>41885</v>
      </c>
      <c r="L12438" s="787">
        <v>184</v>
      </c>
      <c r="M12438" s="787">
        <v>20</v>
      </c>
      <c r="N12438" s="787">
        <v>197.8</v>
      </c>
      <c r="O12438" s="788">
        <v>42164</v>
      </c>
    </row>
    <row r="12439" spans="1:15" x14ac:dyDescent="0.25">
      <c r="A12439" s="786" t="s">
        <v>22225</v>
      </c>
      <c r="B12439" s="787">
        <v>4</v>
      </c>
      <c r="C12439" s="787" t="s">
        <v>22226</v>
      </c>
      <c r="D12439" s="787">
        <v>1.59</v>
      </c>
      <c r="E12439" s="787">
        <v>174.85</v>
      </c>
      <c r="F12439" s="788">
        <v>41577</v>
      </c>
      <c r="G12439" s="788">
        <v>42092</v>
      </c>
      <c r="H12439" s="787">
        <v>1</v>
      </c>
      <c r="I12439" s="788">
        <v>42102</v>
      </c>
      <c r="J12439" s="788">
        <v>42086</v>
      </c>
      <c r="K12439" s="788">
        <v>41967</v>
      </c>
      <c r="L12439" s="787">
        <v>174</v>
      </c>
      <c r="M12439" s="787">
        <v>20</v>
      </c>
      <c r="N12439" s="787">
        <v>187.05</v>
      </c>
      <c r="O12439" s="788">
        <v>42164</v>
      </c>
    </row>
    <row r="12440" spans="1:15" x14ac:dyDescent="0.25">
      <c r="A12440" s="786" t="s">
        <v>22227</v>
      </c>
      <c r="B12440" s="787">
        <v>4</v>
      </c>
      <c r="C12440" s="787" t="s">
        <v>22228</v>
      </c>
      <c r="D12440" s="787">
        <v>2.08</v>
      </c>
      <c r="E12440" s="787">
        <v>274.3</v>
      </c>
      <c r="F12440" s="788">
        <v>41523</v>
      </c>
      <c r="G12440" s="788">
        <v>42013</v>
      </c>
      <c r="H12440" s="787">
        <v>1</v>
      </c>
      <c r="I12440" s="788">
        <v>42018</v>
      </c>
      <c r="J12440" s="788">
        <v>41590</v>
      </c>
      <c r="K12440" s="788">
        <v>41885</v>
      </c>
      <c r="L12440" s="787">
        <v>230</v>
      </c>
      <c r="M12440" s="787">
        <v>20</v>
      </c>
      <c r="N12440" s="787">
        <v>247.25</v>
      </c>
      <c r="O12440" s="788">
        <v>42164</v>
      </c>
    </row>
    <row r="12441" spans="1:15" x14ac:dyDescent="0.25">
      <c r="A12441" s="786" t="s">
        <v>22229</v>
      </c>
      <c r="B12441" s="787">
        <v>4</v>
      </c>
      <c r="C12441" s="787" t="s">
        <v>22230</v>
      </c>
      <c r="D12441" s="787">
        <v>2.38</v>
      </c>
      <c r="E12441" s="787">
        <v>448.71</v>
      </c>
      <c r="F12441" s="788">
        <v>41579</v>
      </c>
      <c r="G12441" s="788">
        <v>42118</v>
      </c>
      <c r="H12441" s="787">
        <v>1</v>
      </c>
      <c r="I12441" s="788">
        <v>41857</v>
      </c>
      <c r="J12441" s="788">
        <v>42104</v>
      </c>
      <c r="K12441" s="788">
        <v>42103</v>
      </c>
      <c r="L12441" s="787">
        <v>440.97</v>
      </c>
      <c r="M12441" s="787">
        <v>20</v>
      </c>
      <c r="N12441" s="787">
        <v>474.04</v>
      </c>
      <c r="O12441" s="788">
        <v>42127</v>
      </c>
    </row>
    <row r="12442" spans="1:15" x14ac:dyDescent="0.25">
      <c r="A12442" s="786" t="s">
        <v>22231</v>
      </c>
      <c r="B12442" s="787">
        <v>4</v>
      </c>
      <c r="C12442" s="787" t="s">
        <v>22232</v>
      </c>
      <c r="D12442" s="787">
        <v>3.46</v>
      </c>
      <c r="E12442" s="787">
        <v>23.71</v>
      </c>
      <c r="F12442" s="788">
        <v>41589</v>
      </c>
      <c r="G12442" s="788">
        <v>42013</v>
      </c>
      <c r="H12442" s="787">
        <v>1</v>
      </c>
      <c r="I12442" s="788">
        <v>42131</v>
      </c>
      <c r="J12442" s="788">
        <v>41654</v>
      </c>
      <c r="K12442" s="788">
        <v>41579</v>
      </c>
      <c r="L12442" s="787">
        <v>23.1</v>
      </c>
      <c r="M12442" s="787">
        <v>20</v>
      </c>
      <c r="N12442" s="787">
        <v>24.83</v>
      </c>
      <c r="O12442" s="788">
        <v>41858</v>
      </c>
    </row>
    <row r="12443" spans="1:15" x14ac:dyDescent="0.25">
      <c r="A12443" s="786" t="s">
        <v>22233</v>
      </c>
      <c r="B12443" s="787">
        <v>4</v>
      </c>
      <c r="C12443" s="787" t="s">
        <v>22234</v>
      </c>
      <c r="D12443" s="787">
        <v>0.11</v>
      </c>
      <c r="E12443" s="787">
        <v>20.329999999999998</v>
      </c>
      <c r="F12443" s="788">
        <v>41589</v>
      </c>
      <c r="G12443" s="788">
        <v>42013</v>
      </c>
      <c r="H12443" s="787">
        <v>1</v>
      </c>
      <c r="I12443" s="788">
        <v>41590</v>
      </c>
      <c r="J12443" s="788">
        <v>41654</v>
      </c>
      <c r="K12443" s="788">
        <v>41579</v>
      </c>
      <c r="L12443" s="787">
        <v>19.8</v>
      </c>
      <c r="M12443" s="787">
        <v>20</v>
      </c>
      <c r="N12443" s="787">
        <v>21.29</v>
      </c>
      <c r="O12443" s="788">
        <v>41858</v>
      </c>
    </row>
    <row r="12444" spans="1:15" x14ac:dyDescent="0.25">
      <c r="A12444" s="786" t="s">
        <v>22235</v>
      </c>
      <c r="B12444" s="787">
        <v>4</v>
      </c>
      <c r="C12444" s="787" t="s">
        <v>22236</v>
      </c>
      <c r="D12444" s="787">
        <v>3.07</v>
      </c>
      <c r="E12444" s="787">
        <v>53.64</v>
      </c>
      <c r="F12444" s="788">
        <v>41589</v>
      </c>
      <c r="G12444" s="788">
        <v>42013</v>
      </c>
      <c r="H12444" s="787">
        <v>1</v>
      </c>
      <c r="I12444" s="788">
        <v>42131</v>
      </c>
      <c r="J12444" s="788">
        <v>41654</v>
      </c>
      <c r="K12444" s="788">
        <v>41579</v>
      </c>
      <c r="L12444" s="787">
        <v>52.25</v>
      </c>
      <c r="M12444" s="787">
        <v>20</v>
      </c>
      <c r="N12444" s="787">
        <v>56.17</v>
      </c>
      <c r="O12444" s="788">
        <v>41858</v>
      </c>
    </row>
    <row r="12445" spans="1:15" x14ac:dyDescent="0.25">
      <c r="A12445" s="786" t="s">
        <v>22237</v>
      </c>
      <c r="B12445" s="787">
        <v>4</v>
      </c>
      <c r="C12445" s="787" t="s">
        <v>22238</v>
      </c>
      <c r="D12445" s="787">
        <v>0.46</v>
      </c>
      <c r="E12445" s="787">
        <v>350.46</v>
      </c>
      <c r="F12445" s="788">
        <v>41612</v>
      </c>
      <c r="G12445" s="788">
        <v>41642</v>
      </c>
      <c r="H12445" s="787">
        <v>1</v>
      </c>
      <c r="I12445" s="788">
        <v>41793</v>
      </c>
      <c r="J12445" s="788">
        <v>41610</v>
      </c>
      <c r="K12445" s="788">
        <v>41885</v>
      </c>
      <c r="L12445" s="787">
        <v>389.69</v>
      </c>
      <c r="M12445" s="787">
        <v>20</v>
      </c>
      <c r="N12445" s="787">
        <v>418.92</v>
      </c>
      <c r="O12445" s="788">
        <v>42111</v>
      </c>
    </row>
    <row r="12446" spans="1:15" x14ac:dyDescent="0.25">
      <c r="A12446" s="786" t="s">
        <v>22239</v>
      </c>
      <c r="B12446" s="787">
        <v>4</v>
      </c>
      <c r="C12446" s="787" t="s">
        <v>22240</v>
      </c>
      <c r="D12446" s="787">
        <v>7.57</v>
      </c>
      <c r="E12446" s="787">
        <v>67.569999999999993</v>
      </c>
      <c r="F12446" s="788">
        <v>37641</v>
      </c>
      <c r="G12446" s="788">
        <v>37641</v>
      </c>
      <c r="H12446" s="787">
        <v>1</v>
      </c>
      <c r="J12446" s="788">
        <v>37641</v>
      </c>
      <c r="L12446" s="787">
        <v>73.650000000000006</v>
      </c>
      <c r="M12446" s="787">
        <v>20</v>
      </c>
      <c r="N12446" s="787">
        <v>79.17</v>
      </c>
      <c r="O12446" s="788">
        <v>41858</v>
      </c>
    </row>
    <row r="12447" spans="1:15" x14ac:dyDescent="0.25">
      <c r="A12447" s="786" t="s">
        <v>22241</v>
      </c>
      <c r="B12447" s="787">
        <v>4</v>
      </c>
      <c r="C12447" s="787" t="s">
        <v>22242</v>
      </c>
      <c r="D12447" s="787">
        <v>3.47</v>
      </c>
      <c r="E12447" s="787">
        <v>3.47</v>
      </c>
      <c r="F12447" s="788">
        <v>37641</v>
      </c>
      <c r="G12447" s="788">
        <v>37641</v>
      </c>
      <c r="H12447" s="787">
        <v>1</v>
      </c>
      <c r="J12447" s="788">
        <v>37641</v>
      </c>
      <c r="L12447" s="787">
        <v>3.78</v>
      </c>
      <c r="M12447" s="787">
        <v>20</v>
      </c>
      <c r="N12447" s="787">
        <v>4.0599999999999996</v>
      </c>
      <c r="O12447" s="788">
        <v>41858</v>
      </c>
    </row>
    <row r="12448" spans="1:15" x14ac:dyDescent="0.25">
      <c r="A12448" s="786" t="s">
        <v>22243</v>
      </c>
      <c r="B12448" s="787">
        <v>4</v>
      </c>
      <c r="C12448" s="787" t="s">
        <v>22244</v>
      </c>
      <c r="D12448" s="787">
        <v>2.93</v>
      </c>
      <c r="E12448" s="787">
        <v>2.93</v>
      </c>
      <c r="F12448" s="788">
        <v>37641</v>
      </c>
      <c r="G12448" s="788">
        <v>37641</v>
      </c>
      <c r="H12448" s="787">
        <v>1</v>
      </c>
      <c r="J12448" s="788">
        <v>37641</v>
      </c>
      <c r="L12448" s="787">
        <v>3.19</v>
      </c>
      <c r="M12448" s="787">
        <v>20</v>
      </c>
      <c r="N12448" s="787">
        <v>3.43</v>
      </c>
      <c r="O12448" s="788">
        <v>41858</v>
      </c>
    </row>
    <row r="12449" spans="1:15" x14ac:dyDescent="0.25">
      <c r="A12449" s="786" t="s">
        <v>22245</v>
      </c>
      <c r="B12449" s="787">
        <v>4</v>
      </c>
      <c r="C12449" s="787" t="s">
        <v>22246</v>
      </c>
      <c r="D12449" s="787">
        <v>1.08</v>
      </c>
      <c r="E12449" s="787">
        <v>1.08</v>
      </c>
      <c r="F12449" s="788">
        <v>39101</v>
      </c>
      <c r="G12449" s="788">
        <v>39101</v>
      </c>
      <c r="H12449" s="787">
        <v>1</v>
      </c>
      <c r="I12449" s="788">
        <v>39134</v>
      </c>
      <c r="J12449" s="788">
        <v>39149</v>
      </c>
      <c r="L12449" s="787">
        <v>1.18</v>
      </c>
      <c r="M12449" s="787">
        <v>20</v>
      </c>
      <c r="N12449" s="787">
        <v>1.27</v>
      </c>
      <c r="O12449" s="788">
        <v>41858</v>
      </c>
    </row>
    <row r="12450" spans="1:15" x14ac:dyDescent="0.25">
      <c r="A12450" s="786" t="s">
        <v>22247</v>
      </c>
      <c r="B12450" s="787">
        <v>4</v>
      </c>
      <c r="C12450" s="787" t="s">
        <v>22248</v>
      </c>
      <c r="D12450" s="787">
        <v>0.92</v>
      </c>
      <c r="E12450" s="787">
        <v>0.92</v>
      </c>
      <c r="F12450" s="788">
        <v>39101</v>
      </c>
      <c r="G12450" s="788">
        <v>39101</v>
      </c>
      <c r="H12450" s="787">
        <v>1</v>
      </c>
      <c r="I12450" s="788">
        <v>39134</v>
      </c>
      <c r="J12450" s="788">
        <v>39149</v>
      </c>
      <c r="L12450" s="787">
        <v>1</v>
      </c>
      <c r="M12450" s="787">
        <v>20</v>
      </c>
      <c r="N12450" s="787">
        <v>1.08</v>
      </c>
      <c r="O12450" s="788">
        <v>41858</v>
      </c>
    </row>
    <row r="12451" spans="1:15" x14ac:dyDescent="0.25">
      <c r="A12451" s="786" t="s">
        <v>22249</v>
      </c>
      <c r="B12451" s="787">
        <v>4</v>
      </c>
      <c r="C12451" s="787" t="s">
        <v>22250</v>
      </c>
      <c r="D12451" s="787">
        <v>3.14</v>
      </c>
      <c r="E12451" s="787">
        <v>381.21</v>
      </c>
      <c r="F12451" s="788">
        <v>41620</v>
      </c>
      <c r="G12451" s="788">
        <v>42135</v>
      </c>
      <c r="H12451" s="787">
        <v>1</v>
      </c>
      <c r="I12451" s="788">
        <v>42158</v>
      </c>
      <c r="J12451" s="788">
        <v>42096</v>
      </c>
      <c r="K12451" s="788">
        <v>41885</v>
      </c>
      <c r="L12451" s="787">
        <v>411.76</v>
      </c>
      <c r="M12451" s="787">
        <v>20</v>
      </c>
      <c r="N12451" s="787">
        <v>442.64</v>
      </c>
      <c r="O12451" s="788">
        <v>42164</v>
      </c>
    </row>
    <row r="12452" spans="1:15" x14ac:dyDescent="0.25">
      <c r="A12452" s="786" t="s">
        <v>22251</v>
      </c>
      <c r="B12452" s="787">
        <v>4</v>
      </c>
      <c r="C12452" s="787" t="s">
        <v>22252</v>
      </c>
      <c r="D12452" s="787">
        <v>6.33</v>
      </c>
      <c r="E12452" s="787">
        <v>146.33000000000001</v>
      </c>
      <c r="F12452" s="788">
        <v>41617</v>
      </c>
      <c r="G12452" s="788">
        <v>41642</v>
      </c>
      <c r="H12452" s="787">
        <v>1</v>
      </c>
      <c r="J12452" s="788">
        <v>41611</v>
      </c>
      <c r="K12452" s="788">
        <v>41869</v>
      </c>
      <c r="L12452" s="787">
        <v>146.33000000000001</v>
      </c>
      <c r="M12452" s="787">
        <v>20</v>
      </c>
      <c r="N12452" s="787">
        <v>376.25</v>
      </c>
      <c r="O12452" s="788">
        <v>41858</v>
      </c>
    </row>
    <row r="12453" spans="1:15" x14ac:dyDescent="0.25">
      <c r="A12453" s="786" t="s">
        <v>22253</v>
      </c>
      <c r="B12453" s="787">
        <v>4</v>
      </c>
      <c r="C12453" s="787" t="s">
        <v>22254</v>
      </c>
      <c r="D12453" s="787">
        <v>6.98</v>
      </c>
      <c r="E12453" s="787">
        <v>6.98</v>
      </c>
      <c r="F12453" s="788">
        <v>37641</v>
      </c>
      <c r="G12453" s="788">
        <v>37641</v>
      </c>
      <c r="H12453" s="787">
        <v>1</v>
      </c>
      <c r="I12453" s="788">
        <v>36943</v>
      </c>
      <c r="J12453" s="788">
        <v>37641</v>
      </c>
      <c r="L12453" s="787">
        <v>7.61</v>
      </c>
      <c r="M12453" s="787">
        <v>20</v>
      </c>
      <c r="N12453" s="787">
        <v>8.18</v>
      </c>
      <c r="O12453" s="788">
        <v>41858</v>
      </c>
    </row>
    <row r="12454" spans="1:15" x14ac:dyDescent="0.25">
      <c r="A12454" s="786" t="s">
        <v>22255</v>
      </c>
      <c r="B12454" s="787">
        <v>4</v>
      </c>
      <c r="C12454" s="787" t="s">
        <v>22256</v>
      </c>
      <c r="D12454" s="787">
        <v>9.1300000000000008</v>
      </c>
      <c r="E12454" s="787">
        <v>9.1300000000000008</v>
      </c>
      <c r="F12454" s="788">
        <v>37641</v>
      </c>
      <c r="G12454" s="788">
        <v>37641</v>
      </c>
      <c r="H12454" s="787">
        <v>1</v>
      </c>
      <c r="J12454" s="788">
        <v>37641</v>
      </c>
      <c r="L12454" s="787">
        <v>9.9499999999999993</v>
      </c>
      <c r="M12454" s="787">
        <v>20</v>
      </c>
      <c r="N12454" s="787">
        <v>10.7</v>
      </c>
      <c r="O12454" s="788">
        <v>41858</v>
      </c>
    </row>
    <row r="12455" spans="1:15" x14ac:dyDescent="0.25">
      <c r="A12455" s="786" t="s">
        <v>22257</v>
      </c>
      <c r="B12455" s="787">
        <v>4</v>
      </c>
      <c r="C12455" s="787" t="s">
        <v>22258</v>
      </c>
      <c r="D12455" s="787">
        <v>5.1100000000000003</v>
      </c>
      <c r="E12455" s="787">
        <v>5.1100000000000003</v>
      </c>
      <c r="F12455" s="788">
        <v>37641</v>
      </c>
      <c r="G12455" s="788">
        <v>37641</v>
      </c>
      <c r="H12455" s="787">
        <v>1</v>
      </c>
      <c r="J12455" s="788">
        <v>37641</v>
      </c>
      <c r="L12455" s="787">
        <v>5.57</v>
      </c>
      <c r="M12455" s="787">
        <v>20</v>
      </c>
      <c r="N12455" s="787">
        <v>5.99</v>
      </c>
      <c r="O12455" s="788">
        <v>41858</v>
      </c>
    </row>
    <row r="12456" spans="1:15" x14ac:dyDescent="0.25">
      <c r="A12456" s="786" t="s">
        <v>22259</v>
      </c>
      <c r="B12456" s="787">
        <v>4</v>
      </c>
      <c r="C12456" s="787" t="s">
        <v>22260</v>
      </c>
      <c r="D12456" s="787">
        <v>5.1100000000000003</v>
      </c>
      <c r="E12456" s="787">
        <v>5.1100000000000003</v>
      </c>
      <c r="F12456" s="788">
        <v>37641</v>
      </c>
      <c r="G12456" s="788">
        <v>37641</v>
      </c>
      <c r="H12456" s="787">
        <v>1</v>
      </c>
      <c r="J12456" s="788">
        <v>37641</v>
      </c>
      <c r="L12456" s="787">
        <v>5.57</v>
      </c>
      <c r="M12456" s="787">
        <v>20</v>
      </c>
      <c r="N12456" s="787">
        <v>5.99</v>
      </c>
      <c r="O12456" s="788">
        <v>41858</v>
      </c>
    </row>
    <row r="12457" spans="1:15" x14ac:dyDescent="0.25">
      <c r="A12457" s="786" t="s">
        <v>22261</v>
      </c>
      <c r="B12457" s="787">
        <v>4</v>
      </c>
      <c r="C12457" s="787" t="s">
        <v>22262</v>
      </c>
      <c r="D12457" s="787">
        <v>7.88</v>
      </c>
      <c r="E12457" s="787">
        <v>47.88</v>
      </c>
      <c r="F12457" s="788">
        <v>38126</v>
      </c>
      <c r="G12457" s="788">
        <v>38119</v>
      </c>
      <c r="H12457" s="787">
        <v>1</v>
      </c>
      <c r="I12457" s="788">
        <v>38119</v>
      </c>
      <c r="J12457" s="788">
        <v>38119</v>
      </c>
      <c r="L12457" s="787">
        <v>52.19</v>
      </c>
      <c r="M12457" s="787">
        <v>20</v>
      </c>
      <c r="N12457" s="787">
        <v>56.1</v>
      </c>
      <c r="O12457" s="788">
        <v>41858</v>
      </c>
    </row>
    <row r="12458" spans="1:15" x14ac:dyDescent="0.25">
      <c r="A12458" s="786" t="s">
        <v>22263</v>
      </c>
      <c r="B12458" s="787">
        <v>4</v>
      </c>
      <c r="C12458" s="787" t="s">
        <v>22264</v>
      </c>
      <c r="D12458" s="787">
        <v>3.1</v>
      </c>
      <c r="E12458" s="787">
        <v>550.1</v>
      </c>
      <c r="F12458" s="788">
        <v>41736</v>
      </c>
      <c r="G12458" s="788">
        <v>42064</v>
      </c>
      <c r="H12458" s="787">
        <v>1</v>
      </c>
      <c r="I12458" s="788">
        <v>42073</v>
      </c>
      <c r="J12458" s="788">
        <v>42074</v>
      </c>
      <c r="K12458" s="788">
        <v>41885</v>
      </c>
      <c r="L12458" s="787">
        <v>517.5</v>
      </c>
      <c r="M12458" s="787">
        <v>20</v>
      </c>
      <c r="N12458" s="787">
        <v>556.30999999999995</v>
      </c>
      <c r="O12458" s="788">
        <v>42164</v>
      </c>
    </row>
    <row r="12459" spans="1:15" x14ac:dyDescent="0.25">
      <c r="A12459" s="786" t="s">
        <v>22265</v>
      </c>
      <c r="B12459" s="787">
        <v>4</v>
      </c>
      <c r="C12459" s="787" t="s">
        <v>22266</v>
      </c>
      <c r="D12459" s="787">
        <v>3.55</v>
      </c>
      <c r="E12459" s="787">
        <v>907.12</v>
      </c>
      <c r="F12459" s="788">
        <v>41740</v>
      </c>
      <c r="G12459" s="788">
        <v>42086</v>
      </c>
      <c r="H12459" s="787">
        <v>1</v>
      </c>
      <c r="I12459" s="788">
        <v>42093</v>
      </c>
      <c r="J12459" s="788">
        <v>42068</v>
      </c>
      <c r="K12459" s="788">
        <v>41905</v>
      </c>
      <c r="L12459" s="787">
        <v>888</v>
      </c>
      <c r="M12459" s="787">
        <v>20</v>
      </c>
      <c r="N12459" s="787">
        <v>875.05</v>
      </c>
      <c r="O12459" s="788">
        <v>41858</v>
      </c>
    </row>
    <row r="12460" spans="1:15" x14ac:dyDescent="0.25">
      <c r="A12460" s="786" t="s">
        <v>22267</v>
      </c>
      <c r="B12460" s="787">
        <v>4</v>
      </c>
      <c r="C12460" s="787" t="s">
        <v>22268</v>
      </c>
      <c r="D12460" s="787">
        <v>0</v>
      </c>
      <c r="E12460" s="787">
        <v>224.81</v>
      </c>
      <c r="H12460" s="787">
        <v>1</v>
      </c>
      <c r="K12460" s="788">
        <v>41778</v>
      </c>
      <c r="L12460" s="787">
        <v>245.25</v>
      </c>
      <c r="M12460" s="787">
        <v>20</v>
      </c>
      <c r="N12460" s="787">
        <v>263.64</v>
      </c>
      <c r="O12460" s="788">
        <v>42164</v>
      </c>
    </row>
    <row r="12461" spans="1:15" x14ac:dyDescent="0.25">
      <c r="A12461" s="786" t="s">
        <v>22269</v>
      </c>
      <c r="B12461" s="787">
        <v>4</v>
      </c>
      <c r="C12461" s="787" t="s">
        <v>22270</v>
      </c>
      <c r="D12461" s="787">
        <v>8.6999999999999993</v>
      </c>
      <c r="E12461" s="787">
        <v>208.14</v>
      </c>
      <c r="F12461" s="788">
        <v>41740</v>
      </c>
      <c r="G12461" s="788">
        <v>42106</v>
      </c>
      <c r="H12461" s="787">
        <v>1</v>
      </c>
      <c r="I12461" s="788">
        <v>42093</v>
      </c>
      <c r="J12461" s="788">
        <v>42089</v>
      </c>
      <c r="K12461" s="788">
        <v>42066</v>
      </c>
      <c r="L12461" s="787">
        <v>194.04</v>
      </c>
      <c r="M12461" s="787">
        <v>20</v>
      </c>
      <c r="N12461" s="787">
        <v>208.59</v>
      </c>
      <c r="O12461" s="788">
        <v>42066</v>
      </c>
    </row>
    <row r="12462" spans="1:15" x14ac:dyDescent="0.25">
      <c r="A12462" s="786" t="s">
        <v>22271</v>
      </c>
      <c r="B12462" s="787">
        <v>4</v>
      </c>
      <c r="C12462" s="787" t="s">
        <v>22272</v>
      </c>
      <c r="D12462" s="787">
        <v>5.8</v>
      </c>
      <c r="E12462" s="787">
        <v>25.8</v>
      </c>
      <c r="F12462" s="788">
        <v>37641</v>
      </c>
      <c r="G12462" s="788">
        <v>37641</v>
      </c>
      <c r="H12462" s="787">
        <v>1</v>
      </c>
      <c r="I12462" s="788">
        <v>40991</v>
      </c>
      <c r="J12462" s="788">
        <v>37641</v>
      </c>
      <c r="L12462" s="787">
        <v>28.12</v>
      </c>
      <c r="M12462" s="787">
        <v>20</v>
      </c>
      <c r="N12462" s="787">
        <v>30.23</v>
      </c>
      <c r="O12462" s="788">
        <v>41858</v>
      </c>
    </row>
    <row r="12463" spans="1:15" x14ac:dyDescent="0.25">
      <c r="A12463" s="786" t="s">
        <v>22273</v>
      </c>
      <c r="B12463" s="787">
        <v>4</v>
      </c>
      <c r="C12463" s="787" t="s">
        <v>22274</v>
      </c>
      <c r="D12463" s="787">
        <v>0</v>
      </c>
      <c r="E12463" s="787">
        <v>0</v>
      </c>
      <c r="H12463" s="787">
        <v>1</v>
      </c>
      <c r="J12463" s="788">
        <v>37641</v>
      </c>
      <c r="L12463" s="787">
        <v>0</v>
      </c>
      <c r="M12463" s="787">
        <v>20</v>
      </c>
      <c r="N12463" s="787">
        <v>0</v>
      </c>
      <c r="O12463" s="788">
        <v>40824</v>
      </c>
    </row>
    <row r="12464" spans="1:15" x14ac:dyDescent="0.25">
      <c r="A12464" s="786" t="s">
        <v>22275</v>
      </c>
      <c r="B12464" s="787">
        <v>4</v>
      </c>
      <c r="C12464" s="787" t="s">
        <v>22276</v>
      </c>
      <c r="D12464" s="787">
        <v>3.35</v>
      </c>
      <c r="E12464" s="787">
        <v>29.25</v>
      </c>
      <c r="F12464" s="788">
        <v>39101</v>
      </c>
      <c r="G12464" s="788">
        <v>42013</v>
      </c>
      <c r="H12464" s="787">
        <v>1</v>
      </c>
      <c r="I12464" s="788">
        <v>41894</v>
      </c>
      <c r="J12464" s="788">
        <v>40617</v>
      </c>
      <c r="K12464" s="788">
        <v>40910</v>
      </c>
      <c r="L12464" s="787">
        <v>29.25</v>
      </c>
      <c r="M12464" s="787">
        <v>20</v>
      </c>
      <c r="N12464" s="787">
        <v>31.44</v>
      </c>
      <c r="O12464" s="788">
        <v>41858</v>
      </c>
    </row>
    <row r="12465" spans="1:15" x14ac:dyDescent="0.25">
      <c r="A12465" s="786" t="s">
        <v>22277</v>
      </c>
      <c r="B12465" s="787">
        <v>4</v>
      </c>
      <c r="C12465" s="787" t="s">
        <v>22278</v>
      </c>
      <c r="D12465" s="787">
        <v>0</v>
      </c>
      <c r="E12465" s="787">
        <v>798</v>
      </c>
      <c r="F12465" s="788">
        <v>39161</v>
      </c>
      <c r="G12465" s="788">
        <v>40870</v>
      </c>
      <c r="H12465" s="787">
        <v>1</v>
      </c>
      <c r="I12465" s="788">
        <v>41907</v>
      </c>
      <c r="J12465" s="788">
        <v>41908</v>
      </c>
      <c r="L12465" s="787">
        <v>798</v>
      </c>
      <c r="M12465" s="787">
        <v>20</v>
      </c>
      <c r="N12465" s="787">
        <v>857.85</v>
      </c>
      <c r="O12465" s="788">
        <v>41858</v>
      </c>
    </row>
    <row r="12466" spans="1:15" x14ac:dyDescent="0.25">
      <c r="A12466" s="786" t="s">
        <v>22279</v>
      </c>
      <c r="B12466" s="787">
        <v>4</v>
      </c>
      <c r="C12466" s="787" t="s">
        <v>22280</v>
      </c>
      <c r="D12466" s="787">
        <v>8.1999999999999993</v>
      </c>
      <c r="E12466" s="787">
        <v>48.2</v>
      </c>
      <c r="F12466" s="788">
        <v>39561</v>
      </c>
      <c r="G12466" s="788">
        <v>39561</v>
      </c>
      <c r="H12466" s="787">
        <v>1</v>
      </c>
      <c r="I12466" s="788">
        <v>39561</v>
      </c>
      <c r="J12466" s="788">
        <v>39504</v>
      </c>
      <c r="L12466" s="787">
        <v>48.2</v>
      </c>
      <c r="M12466" s="787">
        <v>20</v>
      </c>
      <c r="N12466" s="787">
        <v>51.82</v>
      </c>
      <c r="O12466" s="788">
        <v>41858</v>
      </c>
    </row>
    <row r="12467" spans="1:15" x14ac:dyDescent="0.25">
      <c r="A12467" s="786" t="s">
        <v>22281</v>
      </c>
      <c r="B12467" s="787">
        <v>4</v>
      </c>
      <c r="C12467" s="787" t="s">
        <v>22282</v>
      </c>
      <c r="D12467" s="787">
        <v>5</v>
      </c>
      <c r="E12467" s="787">
        <v>83.9</v>
      </c>
      <c r="F12467" s="788">
        <v>39892</v>
      </c>
      <c r="G12467" s="788">
        <v>42013</v>
      </c>
      <c r="H12467" s="787">
        <v>1</v>
      </c>
      <c r="I12467" s="788">
        <v>41907</v>
      </c>
      <c r="J12467" s="788">
        <v>41381</v>
      </c>
      <c r="L12467" s="787">
        <v>83.9</v>
      </c>
      <c r="M12467" s="787">
        <v>20</v>
      </c>
      <c r="N12467" s="787">
        <v>90.19</v>
      </c>
      <c r="O12467" s="788">
        <v>41858</v>
      </c>
    </row>
    <row r="12468" spans="1:15" x14ac:dyDescent="0.25">
      <c r="A12468" s="786" t="s">
        <v>22283</v>
      </c>
      <c r="B12468" s="787">
        <v>4</v>
      </c>
      <c r="C12468" s="787" t="s">
        <v>22284</v>
      </c>
      <c r="D12468" s="787">
        <v>1</v>
      </c>
      <c r="E12468" s="787">
        <v>21</v>
      </c>
      <c r="F12468" s="788">
        <v>39097</v>
      </c>
      <c r="G12468" s="788">
        <v>40178</v>
      </c>
      <c r="H12468" s="787">
        <v>1</v>
      </c>
      <c r="I12468" s="788">
        <v>41787</v>
      </c>
      <c r="J12468" s="788">
        <v>41372</v>
      </c>
      <c r="L12468" s="787">
        <v>21</v>
      </c>
      <c r="M12468" s="787">
        <v>20</v>
      </c>
      <c r="N12468" s="787">
        <v>22.58</v>
      </c>
      <c r="O12468" s="788">
        <v>41858</v>
      </c>
    </row>
    <row r="12469" spans="1:15" x14ac:dyDescent="0.25">
      <c r="A12469" s="786" t="s">
        <v>22285</v>
      </c>
      <c r="B12469" s="787">
        <v>4</v>
      </c>
      <c r="C12469" s="787" t="s">
        <v>22286</v>
      </c>
      <c r="D12469" s="787">
        <v>7.65</v>
      </c>
      <c r="E12469" s="787">
        <v>67.650000000000006</v>
      </c>
      <c r="F12469" s="788">
        <v>39647</v>
      </c>
      <c r="G12469" s="788">
        <v>41646</v>
      </c>
      <c r="H12469" s="787">
        <v>1</v>
      </c>
      <c r="I12469" s="788">
        <v>42020</v>
      </c>
      <c r="J12469" s="788">
        <v>41927</v>
      </c>
      <c r="K12469" s="788">
        <v>40911</v>
      </c>
      <c r="L12469" s="787">
        <v>67.650000000000006</v>
      </c>
      <c r="M12469" s="787">
        <v>20</v>
      </c>
      <c r="N12469" s="787">
        <v>72.72</v>
      </c>
      <c r="O12469" s="788">
        <v>41858</v>
      </c>
    </row>
    <row r="12470" spans="1:15" x14ac:dyDescent="0.25">
      <c r="A12470" s="786" t="s">
        <v>22287</v>
      </c>
      <c r="B12470" s="787">
        <v>4</v>
      </c>
      <c r="C12470" s="787" t="s">
        <v>22288</v>
      </c>
      <c r="D12470" s="787">
        <v>8</v>
      </c>
      <c r="E12470" s="787">
        <v>38.950000000000003</v>
      </c>
      <c r="F12470" s="788">
        <v>37970</v>
      </c>
      <c r="G12470" s="788">
        <v>40198</v>
      </c>
      <c r="H12470" s="787">
        <v>1</v>
      </c>
      <c r="I12470" s="788">
        <v>42128</v>
      </c>
      <c r="J12470" s="788">
        <v>41834</v>
      </c>
      <c r="L12470" s="787">
        <v>41.42</v>
      </c>
      <c r="M12470" s="787">
        <v>20</v>
      </c>
      <c r="N12470" s="787">
        <v>44.53</v>
      </c>
      <c r="O12470" s="788">
        <v>42164</v>
      </c>
    </row>
    <row r="12471" spans="1:15" x14ac:dyDescent="0.25">
      <c r="A12471" s="786" t="s">
        <v>22289</v>
      </c>
      <c r="B12471" s="787">
        <v>4</v>
      </c>
      <c r="C12471" s="787" t="s">
        <v>22290</v>
      </c>
      <c r="D12471" s="787">
        <v>5</v>
      </c>
      <c r="E12471" s="787">
        <v>157.4</v>
      </c>
      <c r="F12471" s="788">
        <v>39097</v>
      </c>
      <c r="G12471" s="788">
        <v>41282</v>
      </c>
      <c r="H12471" s="787">
        <v>6</v>
      </c>
      <c r="I12471" s="788">
        <v>41894</v>
      </c>
      <c r="J12471" s="788">
        <v>40583</v>
      </c>
      <c r="L12471" s="787">
        <v>114.45</v>
      </c>
      <c r="M12471" s="787">
        <v>20</v>
      </c>
      <c r="N12471" s="787">
        <v>169.21</v>
      </c>
      <c r="O12471" s="788">
        <v>41806</v>
      </c>
    </row>
    <row r="12472" spans="1:15" x14ac:dyDescent="0.25">
      <c r="A12472" s="786" t="s">
        <v>22291</v>
      </c>
      <c r="B12472" s="787">
        <v>4</v>
      </c>
      <c r="C12472" s="787" t="s">
        <v>22292</v>
      </c>
      <c r="D12472" s="787">
        <v>9.82</v>
      </c>
      <c r="E12472" s="787">
        <v>52.28</v>
      </c>
      <c r="F12472" s="788">
        <v>41171</v>
      </c>
      <c r="G12472" s="788">
        <v>42081</v>
      </c>
      <c r="H12472" s="787">
        <v>1</v>
      </c>
      <c r="I12472" s="788">
        <v>42124</v>
      </c>
      <c r="J12472" s="788">
        <v>42060</v>
      </c>
      <c r="K12472" s="788">
        <v>40910</v>
      </c>
      <c r="L12472" s="787">
        <v>55.35</v>
      </c>
      <c r="M12472" s="787">
        <v>20</v>
      </c>
      <c r="N12472" s="787">
        <v>59.5</v>
      </c>
      <c r="O12472" s="788">
        <v>42164</v>
      </c>
    </row>
    <row r="12473" spans="1:15" x14ac:dyDescent="0.25">
      <c r="A12473" s="786" t="s">
        <v>22293</v>
      </c>
      <c r="B12473" s="787">
        <v>4</v>
      </c>
      <c r="C12473" s="787" t="s">
        <v>22294</v>
      </c>
      <c r="D12473" s="787">
        <v>2.02</v>
      </c>
      <c r="E12473" s="787">
        <v>94.4</v>
      </c>
      <c r="F12473" s="788">
        <v>39101</v>
      </c>
      <c r="G12473" s="788">
        <v>39826</v>
      </c>
      <c r="H12473" s="787">
        <v>1</v>
      </c>
      <c r="I12473" s="788">
        <v>41043</v>
      </c>
      <c r="J12473" s="788">
        <v>41036</v>
      </c>
      <c r="K12473" s="788">
        <v>40910</v>
      </c>
      <c r="L12473" s="787">
        <v>92.85</v>
      </c>
      <c r="M12473" s="787">
        <v>20</v>
      </c>
      <c r="N12473" s="787">
        <v>99.81</v>
      </c>
      <c r="O12473" s="788">
        <v>41858</v>
      </c>
    </row>
    <row r="12474" spans="1:15" x14ac:dyDescent="0.25">
      <c r="A12474" s="786" t="s">
        <v>22295</v>
      </c>
      <c r="B12474" s="787">
        <v>4</v>
      </c>
      <c r="C12474" s="787" t="s">
        <v>22296</v>
      </c>
      <c r="D12474" s="787">
        <v>1.1100000000000001</v>
      </c>
      <c r="E12474" s="787">
        <v>25.65</v>
      </c>
      <c r="F12474" s="788">
        <v>39101</v>
      </c>
      <c r="G12474" s="788">
        <v>41255</v>
      </c>
      <c r="H12474" s="787">
        <v>5</v>
      </c>
      <c r="I12474" s="788">
        <v>41164</v>
      </c>
      <c r="J12474" s="788">
        <v>41164</v>
      </c>
      <c r="K12474" s="788">
        <v>38713</v>
      </c>
      <c r="L12474" s="787">
        <v>22.89</v>
      </c>
      <c r="M12474" s="787">
        <v>20</v>
      </c>
      <c r="N12474" s="787">
        <v>24.61</v>
      </c>
      <c r="O12474" s="788">
        <v>41858</v>
      </c>
    </row>
    <row r="12475" spans="1:15" x14ac:dyDescent="0.25">
      <c r="A12475" s="786" t="s">
        <v>22297</v>
      </c>
      <c r="B12475" s="787">
        <v>4</v>
      </c>
      <c r="C12475" s="787" t="s">
        <v>22298</v>
      </c>
      <c r="D12475" s="787">
        <v>5.45</v>
      </c>
      <c r="E12475" s="787">
        <v>76.900000000000006</v>
      </c>
      <c r="F12475" s="788">
        <v>39101</v>
      </c>
      <c r="G12475" s="788">
        <v>40983</v>
      </c>
      <c r="H12475" s="787">
        <v>1</v>
      </c>
      <c r="I12475" s="788">
        <v>40974</v>
      </c>
      <c r="J12475" s="788">
        <v>40983</v>
      </c>
      <c r="L12475" s="787">
        <v>71.94</v>
      </c>
      <c r="M12475" s="787">
        <v>20</v>
      </c>
      <c r="N12475" s="787">
        <v>77.34</v>
      </c>
      <c r="O12475" s="788">
        <v>41858</v>
      </c>
    </row>
    <row r="12476" spans="1:15" x14ac:dyDescent="0.25">
      <c r="A12476" s="786" t="s">
        <v>22299</v>
      </c>
      <c r="B12476" s="787">
        <v>4</v>
      </c>
      <c r="C12476" s="787" t="s">
        <v>22300</v>
      </c>
      <c r="D12476" s="787">
        <v>4</v>
      </c>
      <c r="E12476" s="787">
        <v>76.900000000000006</v>
      </c>
      <c r="F12476" s="788">
        <v>38181</v>
      </c>
      <c r="G12476" s="788">
        <v>40983</v>
      </c>
      <c r="H12476" s="787">
        <v>1</v>
      </c>
      <c r="I12476" s="788">
        <v>40142</v>
      </c>
      <c r="J12476" s="788">
        <v>40983</v>
      </c>
      <c r="L12476" s="787">
        <v>58.86</v>
      </c>
      <c r="M12476" s="787">
        <v>20</v>
      </c>
      <c r="N12476" s="787">
        <v>63.27</v>
      </c>
      <c r="O12476" s="788">
        <v>41858</v>
      </c>
    </row>
    <row r="12477" spans="1:15" x14ac:dyDescent="0.25">
      <c r="A12477" s="786" t="s">
        <v>22301</v>
      </c>
      <c r="B12477" s="787">
        <v>4</v>
      </c>
      <c r="C12477" s="787" t="s">
        <v>22302</v>
      </c>
      <c r="D12477" s="787">
        <v>9.8699999999999992</v>
      </c>
      <c r="E12477" s="787">
        <v>258.3</v>
      </c>
      <c r="F12477" s="788">
        <v>39101</v>
      </c>
      <c r="G12477" s="788">
        <v>40570</v>
      </c>
      <c r="H12477" s="787">
        <v>1</v>
      </c>
      <c r="I12477" s="788">
        <v>42158</v>
      </c>
      <c r="J12477" s="788">
        <v>42158</v>
      </c>
      <c r="K12477" s="788">
        <v>41302</v>
      </c>
      <c r="L12477" s="787">
        <v>258.3</v>
      </c>
      <c r="M12477" s="787">
        <v>20</v>
      </c>
      <c r="N12477" s="787">
        <v>277.67</v>
      </c>
      <c r="O12477" s="788">
        <v>41858</v>
      </c>
    </row>
    <row r="12478" spans="1:15" x14ac:dyDescent="0.25">
      <c r="A12478" s="786" t="s">
        <v>22303</v>
      </c>
      <c r="B12478" s="787">
        <v>4</v>
      </c>
      <c r="C12478" s="787" t="s">
        <v>22304</v>
      </c>
      <c r="D12478" s="787">
        <v>0</v>
      </c>
      <c r="E12478" s="787">
        <v>420</v>
      </c>
      <c r="F12478" s="788">
        <v>38000</v>
      </c>
      <c r="G12478" s="788">
        <v>38903</v>
      </c>
      <c r="H12478" s="787">
        <v>1</v>
      </c>
      <c r="I12478" s="788">
        <v>39134</v>
      </c>
      <c r="J12478" s="788">
        <v>38903</v>
      </c>
      <c r="L12478" s="787">
        <v>381.5</v>
      </c>
      <c r="M12478" s="787">
        <v>20</v>
      </c>
      <c r="N12478" s="787">
        <v>410.11</v>
      </c>
      <c r="O12478" s="788">
        <v>41858</v>
      </c>
    </row>
    <row r="12479" spans="1:15" x14ac:dyDescent="0.25">
      <c r="A12479" s="786" t="s">
        <v>22305</v>
      </c>
      <c r="B12479" s="787">
        <v>4</v>
      </c>
      <c r="C12479" s="787" t="s">
        <v>22306</v>
      </c>
      <c r="D12479" s="787">
        <v>5.8</v>
      </c>
      <c r="E12479" s="787">
        <v>16.2</v>
      </c>
      <c r="F12479" s="788">
        <v>39101</v>
      </c>
      <c r="G12479" s="788">
        <v>41646</v>
      </c>
      <c r="H12479" s="787">
        <v>1</v>
      </c>
      <c r="I12479" s="788">
        <v>41880</v>
      </c>
      <c r="J12479" s="788">
        <v>41190</v>
      </c>
      <c r="L12479" s="787">
        <v>17.22</v>
      </c>
      <c r="M12479" s="787">
        <v>20</v>
      </c>
      <c r="N12479" s="787">
        <v>18.510000000000002</v>
      </c>
      <c r="O12479" s="788">
        <v>41858</v>
      </c>
    </row>
    <row r="12480" spans="1:15" x14ac:dyDescent="0.25">
      <c r="A12480" s="786" t="s">
        <v>22307</v>
      </c>
      <c r="B12480" s="787">
        <v>4</v>
      </c>
      <c r="C12480" s="787" t="s">
        <v>22308</v>
      </c>
      <c r="D12480" s="787">
        <v>8</v>
      </c>
      <c r="E12480" s="787">
        <v>38.950000000000003</v>
      </c>
      <c r="F12480" s="788">
        <v>39101</v>
      </c>
      <c r="G12480" s="788">
        <v>41255</v>
      </c>
      <c r="H12480" s="787">
        <v>1</v>
      </c>
      <c r="I12480" s="788">
        <v>42121</v>
      </c>
      <c r="J12480" s="788">
        <v>41200</v>
      </c>
      <c r="L12480" s="787">
        <v>41.42</v>
      </c>
      <c r="M12480" s="787">
        <v>20</v>
      </c>
      <c r="N12480" s="787">
        <v>44.53</v>
      </c>
      <c r="O12480" s="788">
        <v>42111</v>
      </c>
    </row>
    <row r="12481" spans="1:15" x14ac:dyDescent="0.25">
      <c r="A12481" s="786" t="s">
        <v>22309</v>
      </c>
      <c r="B12481" s="787">
        <v>4</v>
      </c>
      <c r="C12481" s="787" t="s">
        <v>22310</v>
      </c>
      <c r="D12481" s="787">
        <v>4.28</v>
      </c>
      <c r="E12481" s="787">
        <v>92.25</v>
      </c>
      <c r="F12481" s="788">
        <v>39974</v>
      </c>
      <c r="G12481" s="788">
        <v>40983</v>
      </c>
      <c r="H12481" s="787">
        <v>1</v>
      </c>
      <c r="I12481" s="788">
        <v>40974</v>
      </c>
      <c r="J12481" s="788">
        <v>40983</v>
      </c>
      <c r="L12481" s="787">
        <v>81.75</v>
      </c>
      <c r="M12481" s="787">
        <v>20</v>
      </c>
      <c r="N12481" s="787">
        <v>87.88</v>
      </c>
      <c r="O12481" s="788">
        <v>41858</v>
      </c>
    </row>
    <row r="12482" spans="1:15" x14ac:dyDescent="0.25">
      <c r="A12482" s="786" t="s">
        <v>22311</v>
      </c>
      <c r="B12482" s="787">
        <v>4</v>
      </c>
      <c r="C12482" s="787" t="s">
        <v>22312</v>
      </c>
      <c r="D12482" s="787">
        <v>1.44</v>
      </c>
      <c r="E12482" s="787">
        <v>31.44</v>
      </c>
      <c r="F12482" s="788">
        <v>37641</v>
      </c>
      <c r="G12482" s="788">
        <v>37641</v>
      </c>
      <c r="H12482" s="787">
        <v>1</v>
      </c>
      <c r="I12482" s="788">
        <v>38106</v>
      </c>
      <c r="J12482" s="788">
        <v>37641</v>
      </c>
      <c r="L12482" s="787">
        <v>34.270000000000003</v>
      </c>
      <c r="M12482" s="787">
        <v>20</v>
      </c>
      <c r="N12482" s="787">
        <v>36.840000000000003</v>
      </c>
      <c r="O12482" s="788">
        <v>41858</v>
      </c>
    </row>
    <row r="12483" spans="1:15" x14ac:dyDescent="0.25">
      <c r="A12483" s="786" t="s">
        <v>22313</v>
      </c>
      <c r="B12483" s="787">
        <v>4</v>
      </c>
      <c r="C12483" s="787" t="s">
        <v>22314</v>
      </c>
      <c r="D12483" s="787">
        <v>8.5</v>
      </c>
      <c r="E12483" s="787">
        <v>8.9499999999999993</v>
      </c>
      <c r="F12483" s="788">
        <v>41171</v>
      </c>
      <c r="G12483" s="788">
        <v>42013</v>
      </c>
      <c r="H12483" s="787">
        <v>1</v>
      </c>
      <c r="I12483" s="788">
        <v>42137</v>
      </c>
      <c r="J12483" s="788">
        <v>41927</v>
      </c>
      <c r="L12483" s="787">
        <v>9.48</v>
      </c>
      <c r="M12483" s="787">
        <v>20</v>
      </c>
      <c r="N12483" s="787">
        <v>10.19</v>
      </c>
      <c r="O12483" s="788">
        <v>42164</v>
      </c>
    </row>
    <row r="12484" spans="1:15" x14ac:dyDescent="0.25">
      <c r="A12484" s="786" t="s">
        <v>22315</v>
      </c>
      <c r="B12484" s="787">
        <v>4</v>
      </c>
      <c r="C12484" s="787" t="s">
        <v>22316</v>
      </c>
      <c r="D12484" s="787">
        <v>6.5</v>
      </c>
      <c r="E12484" s="787">
        <v>15.8</v>
      </c>
      <c r="F12484" s="788">
        <v>37641</v>
      </c>
      <c r="G12484" s="788">
        <v>37832</v>
      </c>
      <c r="H12484" s="787">
        <v>6</v>
      </c>
      <c r="I12484" s="788">
        <v>38180</v>
      </c>
      <c r="J12484" s="788">
        <v>37832</v>
      </c>
      <c r="L12484" s="787">
        <v>17.22</v>
      </c>
      <c r="M12484" s="787">
        <v>20</v>
      </c>
      <c r="N12484" s="787">
        <v>16.989999999999998</v>
      </c>
      <c r="O12484" s="788">
        <v>41806</v>
      </c>
    </row>
    <row r="12485" spans="1:15" x14ac:dyDescent="0.25">
      <c r="A12485" s="786" t="s">
        <v>22317</v>
      </c>
      <c r="B12485" s="787">
        <v>4</v>
      </c>
      <c r="C12485" s="787" t="s">
        <v>22318</v>
      </c>
      <c r="D12485" s="787">
        <v>6</v>
      </c>
      <c r="E12485" s="787">
        <v>67.650000000000006</v>
      </c>
      <c r="F12485" s="788">
        <v>39101</v>
      </c>
      <c r="G12485" s="788">
        <v>40183</v>
      </c>
      <c r="H12485" s="787">
        <v>1</v>
      </c>
      <c r="I12485" s="788">
        <v>41908</v>
      </c>
      <c r="J12485" s="788">
        <v>41911</v>
      </c>
      <c r="L12485" s="787">
        <v>89.38</v>
      </c>
      <c r="M12485" s="787">
        <v>20</v>
      </c>
      <c r="N12485" s="787">
        <v>96.08</v>
      </c>
      <c r="O12485" s="788">
        <v>41858</v>
      </c>
    </row>
    <row r="12486" spans="1:15" x14ac:dyDescent="0.25">
      <c r="A12486" s="786" t="s">
        <v>22319</v>
      </c>
      <c r="B12486" s="787">
        <v>4</v>
      </c>
      <c r="C12486" s="787" t="s">
        <v>22320</v>
      </c>
      <c r="D12486" s="787">
        <v>4</v>
      </c>
      <c r="E12486" s="787">
        <v>85.35</v>
      </c>
      <c r="F12486" s="788">
        <v>39101</v>
      </c>
      <c r="G12486" s="788">
        <v>40240</v>
      </c>
      <c r="H12486" s="787">
        <v>1</v>
      </c>
      <c r="I12486" s="788">
        <v>41135</v>
      </c>
      <c r="J12486" s="788">
        <v>40983</v>
      </c>
      <c r="L12486" s="787">
        <v>58.86</v>
      </c>
      <c r="M12486" s="787">
        <v>20</v>
      </c>
      <c r="N12486" s="787">
        <v>63.27</v>
      </c>
      <c r="O12486" s="788">
        <v>41858</v>
      </c>
    </row>
    <row r="12487" spans="1:15" x14ac:dyDescent="0.25">
      <c r="A12487" s="786" t="s">
        <v>22321</v>
      </c>
      <c r="B12487" s="787">
        <v>4</v>
      </c>
      <c r="C12487" s="787" t="s">
        <v>22322</v>
      </c>
      <c r="D12487" s="787">
        <v>0.75</v>
      </c>
      <c r="E12487" s="787">
        <v>30.75</v>
      </c>
      <c r="F12487" s="788">
        <v>39315</v>
      </c>
      <c r="G12487" s="788">
        <v>39476</v>
      </c>
      <c r="H12487" s="787">
        <v>1</v>
      </c>
      <c r="I12487" s="788">
        <v>39562</v>
      </c>
      <c r="J12487" s="788">
        <v>39477</v>
      </c>
      <c r="L12487" s="787">
        <v>30.75</v>
      </c>
      <c r="M12487" s="787">
        <v>20</v>
      </c>
      <c r="N12487" s="787">
        <v>33.06</v>
      </c>
      <c r="O12487" s="788">
        <v>41858</v>
      </c>
    </row>
    <row r="12488" spans="1:15" x14ac:dyDescent="0.25">
      <c r="A12488" s="786" t="s">
        <v>22323</v>
      </c>
      <c r="B12488" s="787">
        <v>4</v>
      </c>
      <c r="C12488" s="787" t="s">
        <v>22324</v>
      </c>
      <c r="D12488" s="787">
        <v>1.36</v>
      </c>
      <c r="E12488" s="787">
        <v>67.650000000000006</v>
      </c>
      <c r="F12488" s="788">
        <v>38047</v>
      </c>
      <c r="G12488" s="788">
        <v>42159</v>
      </c>
      <c r="H12488" s="787">
        <v>1</v>
      </c>
      <c r="I12488" s="788">
        <v>42128</v>
      </c>
      <c r="J12488" s="788">
        <v>42116</v>
      </c>
      <c r="K12488" s="788">
        <v>41906</v>
      </c>
      <c r="L12488" s="787">
        <v>67.650000000000006</v>
      </c>
      <c r="M12488" s="787">
        <v>20</v>
      </c>
      <c r="N12488" s="787">
        <v>72.72</v>
      </c>
      <c r="O12488" s="788">
        <v>42164</v>
      </c>
    </row>
    <row r="12489" spans="1:15" x14ac:dyDescent="0.25">
      <c r="A12489" s="786" t="s">
        <v>22325</v>
      </c>
      <c r="B12489" s="787">
        <v>4</v>
      </c>
      <c r="C12489" s="787" t="s">
        <v>22326</v>
      </c>
      <c r="D12489" s="787">
        <v>6</v>
      </c>
      <c r="E12489" s="787">
        <v>66</v>
      </c>
      <c r="F12489" s="788">
        <v>38853</v>
      </c>
      <c r="G12489" s="788">
        <v>38853</v>
      </c>
      <c r="H12489" s="787">
        <v>1</v>
      </c>
      <c r="I12489" s="788">
        <v>41135</v>
      </c>
      <c r="J12489" s="788">
        <v>38785</v>
      </c>
      <c r="K12489" s="788">
        <v>41239</v>
      </c>
      <c r="L12489" s="787">
        <v>66</v>
      </c>
      <c r="M12489" s="787">
        <v>20</v>
      </c>
      <c r="N12489" s="787">
        <v>70.95</v>
      </c>
      <c r="O12489" s="788">
        <v>41858</v>
      </c>
    </row>
    <row r="12490" spans="1:15" x14ac:dyDescent="0.25">
      <c r="A12490" s="786" t="s">
        <v>22327</v>
      </c>
      <c r="B12490" s="787">
        <v>4</v>
      </c>
      <c r="C12490" s="787" t="s">
        <v>22328</v>
      </c>
      <c r="D12490" s="787">
        <v>6</v>
      </c>
      <c r="E12490" s="787">
        <v>67.650000000000006</v>
      </c>
      <c r="F12490" s="788">
        <v>39233</v>
      </c>
      <c r="G12490" s="788">
        <v>39983</v>
      </c>
      <c r="H12490" s="787">
        <v>6</v>
      </c>
      <c r="I12490" s="788">
        <v>40883</v>
      </c>
      <c r="J12490" s="788">
        <v>40143</v>
      </c>
      <c r="K12490" s="788">
        <v>41239</v>
      </c>
      <c r="L12490" s="787">
        <v>67.650000000000006</v>
      </c>
      <c r="M12490" s="787">
        <v>20</v>
      </c>
      <c r="N12490" s="787">
        <v>72.72</v>
      </c>
      <c r="O12490" s="788">
        <v>41543</v>
      </c>
    </row>
    <row r="12491" spans="1:15" x14ac:dyDescent="0.25">
      <c r="A12491" s="786" t="s">
        <v>22329</v>
      </c>
      <c r="B12491" s="787">
        <v>4</v>
      </c>
      <c r="C12491" s="787" t="s">
        <v>22330</v>
      </c>
      <c r="D12491" s="787">
        <v>3.29</v>
      </c>
      <c r="E12491" s="787">
        <v>3.29</v>
      </c>
      <c r="F12491" s="788">
        <v>37641</v>
      </c>
      <c r="G12491" s="788">
        <v>37641</v>
      </c>
      <c r="H12491" s="787">
        <v>6</v>
      </c>
      <c r="I12491" s="788">
        <v>39576</v>
      </c>
      <c r="J12491" s="788">
        <v>37641</v>
      </c>
      <c r="L12491" s="787">
        <v>3.59</v>
      </c>
      <c r="M12491" s="787">
        <v>20</v>
      </c>
      <c r="N12491" s="787">
        <v>3.54</v>
      </c>
      <c r="O12491" s="788">
        <v>41806</v>
      </c>
    </row>
    <row r="12492" spans="1:15" x14ac:dyDescent="0.25">
      <c r="A12492" s="786" t="s">
        <v>22331</v>
      </c>
      <c r="B12492" s="787">
        <v>4</v>
      </c>
      <c r="C12492" s="787" t="s">
        <v>22332</v>
      </c>
      <c r="D12492" s="787">
        <v>5.75</v>
      </c>
      <c r="E12492" s="787">
        <v>36.29</v>
      </c>
      <c r="F12492" s="788">
        <v>39101</v>
      </c>
      <c r="G12492" s="788">
        <v>41943</v>
      </c>
      <c r="H12492" s="787">
        <v>1</v>
      </c>
      <c r="I12492" s="788">
        <v>41894</v>
      </c>
      <c r="J12492" s="788">
        <v>41724</v>
      </c>
      <c r="K12492" s="788">
        <v>41719</v>
      </c>
      <c r="L12492" s="787">
        <v>36.29</v>
      </c>
      <c r="M12492" s="787">
        <v>20</v>
      </c>
      <c r="N12492" s="787">
        <v>39.01</v>
      </c>
      <c r="O12492" s="788">
        <v>41858</v>
      </c>
    </row>
    <row r="12493" spans="1:15" x14ac:dyDescent="0.25">
      <c r="A12493" s="786" t="s">
        <v>22333</v>
      </c>
      <c r="B12493" s="787">
        <v>4</v>
      </c>
      <c r="C12493" s="787" t="s">
        <v>22334</v>
      </c>
      <c r="D12493" s="787">
        <v>1.5</v>
      </c>
      <c r="E12493" s="787">
        <v>1.5</v>
      </c>
      <c r="F12493" s="788">
        <v>38882</v>
      </c>
      <c r="G12493" s="788">
        <v>38882</v>
      </c>
      <c r="H12493" s="787">
        <v>1</v>
      </c>
      <c r="I12493" s="788">
        <v>39134</v>
      </c>
      <c r="J12493" s="788">
        <v>38882</v>
      </c>
      <c r="L12493" s="787">
        <v>1.5</v>
      </c>
      <c r="M12493" s="787">
        <v>20</v>
      </c>
      <c r="N12493" s="787">
        <v>1.61</v>
      </c>
      <c r="O12493" s="788">
        <v>41858</v>
      </c>
    </row>
    <row r="12494" spans="1:15" x14ac:dyDescent="0.25">
      <c r="A12494" s="786" t="s">
        <v>22335</v>
      </c>
      <c r="B12494" s="787">
        <v>4</v>
      </c>
      <c r="C12494" s="787" t="s">
        <v>22336</v>
      </c>
      <c r="D12494" s="787">
        <v>7.75</v>
      </c>
      <c r="E12494" s="787">
        <v>7.95</v>
      </c>
      <c r="F12494" s="788">
        <v>38882</v>
      </c>
      <c r="G12494" s="788">
        <v>41683</v>
      </c>
      <c r="H12494" s="787">
        <v>1</v>
      </c>
      <c r="I12494" s="788">
        <v>41894</v>
      </c>
      <c r="J12494" s="788">
        <v>41879</v>
      </c>
      <c r="K12494" s="788">
        <v>41740</v>
      </c>
      <c r="L12494" s="787">
        <v>7.95</v>
      </c>
      <c r="M12494" s="787">
        <v>20</v>
      </c>
      <c r="N12494" s="787">
        <v>8.5500000000000007</v>
      </c>
      <c r="O12494" s="788">
        <v>41858</v>
      </c>
    </row>
    <row r="12495" spans="1:15" x14ac:dyDescent="0.25">
      <c r="A12495" s="786" t="s">
        <v>22337</v>
      </c>
      <c r="B12495" s="787">
        <v>4</v>
      </c>
      <c r="C12495" s="787" t="s">
        <v>22338</v>
      </c>
      <c r="D12495" s="787">
        <v>0.2</v>
      </c>
      <c r="E12495" s="787">
        <v>0.25</v>
      </c>
      <c r="F12495" s="788">
        <v>38909</v>
      </c>
      <c r="G12495" s="788">
        <v>40127</v>
      </c>
      <c r="H12495" s="787">
        <v>1</v>
      </c>
      <c r="I12495" s="788">
        <v>39134</v>
      </c>
      <c r="J12495" s="788">
        <v>40135</v>
      </c>
      <c r="L12495" s="787">
        <v>0.25</v>
      </c>
      <c r="M12495" s="787">
        <v>20</v>
      </c>
      <c r="N12495" s="787">
        <v>0.27</v>
      </c>
      <c r="O12495" s="788">
        <v>41858</v>
      </c>
    </row>
    <row r="12496" spans="1:15" x14ac:dyDescent="0.25">
      <c r="A12496" s="786" t="s">
        <v>22339</v>
      </c>
      <c r="B12496" s="787">
        <v>4</v>
      </c>
      <c r="C12496" s="787" t="s">
        <v>22340</v>
      </c>
      <c r="D12496" s="787">
        <v>5.65</v>
      </c>
      <c r="E12496" s="787">
        <v>25.65</v>
      </c>
      <c r="F12496" s="788">
        <v>37641</v>
      </c>
      <c r="G12496" s="788">
        <v>37641</v>
      </c>
      <c r="H12496" s="787">
        <v>1</v>
      </c>
      <c r="I12496" s="788">
        <v>36949</v>
      </c>
      <c r="J12496" s="788">
        <v>37641</v>
      </c>
      <c r="L12496" s="787">
        <v>27.96</v>
      </c>
      <c r="M12496" s="787">
        <v>20</v>
      </c>
      <c r="N12496" s="787">
        <v>30.06</v>
      </c>
      <c r="O12496" s="788">
        <v>41858</v>
      </c>
    </row>
    <row r="12497" spans="1:15" x14ac:dyDescent="0.25">
      <c r="A12497" s="786" t="s">
        <v>22341</v>
      </c>
      <c r="B12497" s="787">
        <v>4</v>
      </c>
      <c r="C12497" s="787" t="s">
        <v>22342</v>
      </c>
      <c r="D12497" s="787">
        <v>0.14000000000000001</v>
      </c>
      <c r="E12497" s="787">
        <v>0.17</v>
      </c>
      <c r="F12497" s="788">
        <v>39101</v>
      </c>
      <c r="G12497" s="788">
        <v>42013</v>
      </c>
      <c r="H12497" s="787">
        <v>1</v>
      </c>
      <c r="I12497" s="788">
        <v>42145</v>
      </c>
      <c r="J12497" s="788">
        <v>41834</v>
      </c>
      <c r="L12497" s="787">
        <v>0.17</v>
      </c>
      <c r="M12497" s="787">
        <v>20</v>
      </c>
      <c r="N12497" s="787">
        <v>0.18</v>
      </c>
      <c r="O12497" s="788">
        <v>42111</v>
      </c>
    </row>
    <row r="12498" spans="1:15" x14ac:dyDescent="0.25">
      <c r="A12498" s="786" t="s">
        <v>22343</v>
      </c>
      <c r="B12498" s="787">
        <v>4</v>
      </c>
      <c r="C12498" s="787" t="s">
        <v>22344</v>
      </c>
      <c r="D12498" s="787">
        <v>3</v>
      </c>
      <c r="E12498" s="787">
        <v>192.7</v>
      </c>
      <c r="F12498" s="788">
        <v>38104</v>
      </c>
      <c r="G12498" s="788">
        <v>40865</v>
      </c>
      <c r="H12498" s="787">
        <v>1</v>
      </c>
      <c r="I12498" s="788">
        <v>40998</v>
      </c>
      <c r="J12498" s="788">
        <v>41022</v>
      </c>
      <c r="K12498" s="788">
        <v>40911</v>
      </c>
      <c r="L12498" s="787">
        <v>192.7</v>
      </c>
      <c r="M12498" s="787">
        <v>20</v>
      </c>
      <c r="N12498" s="787">
        <v>207.15</v>
      </c>
      <c r="O12498" s="788">
        <v>41858</v>
      </c>
    </row>
    <row r="12499" spans="1:15" x14ac:dyDescent="0.25">
      <c r="A12499" s="786" t="s">
        <v>22345</v>
      </c>
      <c r="B12499" s="787">
        <v>4</v>
      </c>
      <c r="C12499" s="787" t="s">
        <v>22346</v>
      </c>
      <c r="D12499" s="787">
        <v>7</v>
      </c>
      <c r="E12499" s="787">
        <v>117</v>
      </c>
      <c r="F12499" s="788">
        <v>39589</v>
      </c>
      <c r="G12499" s="788">
        <v>39594</v>
      </c>
      <c r="H12499" s="787">
        <v>1</v>
      </c>
      <c r="I12499" s="788">
        <v>39594</v>
      </c>
      <c r="J12499" s="788">
        <v>39840</v>
      </c>
      <c r="L12499" s="787">
        <v>117</v>
      </c>
      <c r="M12499" s="787">
        <v>20</v>
      </c>
      <c r="N12499" s="787">
        <v>125.78</v>
      </c>
      <c r="O12499" s="788">
        <v>41858</v>
      </c>
    </row>
    <row r="12500" spans="1:15" x14ac:dyDescent="0.25">
      <c r="A12500" s="786" t="s">
        <v>22347</v>
      </c>
      <c r="B12500" s="787">
        <v>4</v>
      </c>
      <c r="C12500" s="787" t="s">
        <v>22348</v>
      </c>
      <c r="D12500" s="787">
        <v>2</v>
      </c>
      <c r="E12500" s="787">
        <v>149.15</v>
      </c>
      <c r="F12500" s="788">
        <v>39406</v>
      </c>
      <c r="G12500" s="788">
        <v>42064</v>
      </c>
      <c r="H12500" s="787">
        <v>1</v>
      </c>
      <c r="I12500" s="788">
        <v>42144</v>
      </c>
      <c r="J12500" s="788">
        <v>42046</v>
      </c>
      <c r="K12500" s="788">
        <v>40910</v>
      </c>
      <c r="L12500" s="787">
        <v>157</v>
      </c>
      <c r="M12500" s="787">
        <v>20</v>
      </c>
      <c r="N12500" s="787">
        <v>168.78</v>
      </c>
      <c r="O12500" s="788">
        <v>42110</v>
      </c>
    </row>
    <row r="12501" spans="1:15" x14ac:dyDescent="0.25">
      <c r="A12501" s="786" t="s">
        <v>22349</v>
      </c>
      <c r="B12501" s="787">
        <v>4</v>
      </c>
      <c r="C12501" s="787" t="s">
        <v>22350</v>
      </c>
      <c r="D12501" s="787">
        <v>0.5</v>
      </c>
      <c r="E12501" s="787">
        <v>880.5</v>
      </c>
      <c r="F12501" s="788">
        <v>39769</v>
      </c>
      <c r="G12501" s="788">
        <v>39769</v>
      </c>
      <c r="H12501" s="787">
        <v>6</v>
      </c>
      <c r="I12501" s="788">
        <v>40385</v>
      </c>
      <c r="J12501" s="788">
        <v>40364</v>
      </c>
      <c r="L12501" s="787">
        <v>880.5</v>
      </c>
      <c r="M12501" s="787">
        <v>20</v>
      </c>
      <c r="N12501" s="787">
        <v>946.54</v>
      </c>
      <c r="O12501" s="788">
        <v>41543</v>
      </c>
    </row>
    <row r="12502" spans="1:15" x14ac:dyDescent="0.25">
      <c r="A12502" s="786" t="s">
        <v>22351</v>
      </c>
      <c r="B12502" s="787">
        <v>4</v>
      </c>
      <c r="C12502" s="787" t="s">
        <v>22352</v>
      </c>
      <c r="D12502" s="787">
        <v>3</v>
      </c>
      <c r="E12502" s="787">
        <v>143</v>
      </c>
      <c r="F12502" s="788">
        <v>40242</v>
      </c>
      <c r="G12502" s="788">
        <v>41681</v>
      </c>
      <c r="H12502" s="787">
        <v>1</v>
      </c>
      <c r="I12502" s="788">
        <v>42142</v>
      </c>
      <c r="J12502" s="788">
        <v>42116</v>
      </c>
      <c r="K12502" s="788">
        <v>40939</v>
      </c>
      <c r="L12502" s="787">
        <v>143</v>
      </c>
      <c r="M12502" s="787">
        <v>20</v>
      </c>
      <c r="N12502" s="787">
        <v>153.72999999999999</v>
      </c>
      <c r="O12502" s="788">
        <v>42164</v>
      </c>
    </row>
    <row r="12503" spans="1:15" x14ac:dyDescent="0.25">
      <c r="A12503" s="786" t="s">
        <v>22353</v>
      </c>
      <c r="B12503" s="787">
        <v>4</v>
      </c>
      <c r="C12503" s="787" t="s">
        <v>22354</v>
      </c>
      <c r="D12503" s="787">
        <v>5</v>
      </c>
      <c r="E12503" s="787">
        <v>157</v>
      </c>
      <c r="F12503" s="788">
        <v>41018</v>
      </c>
      <c r="G12503" s="788">
        <v>41943</v>
      </c>
      <c r="H12503" s="787">
        <v>1</v>
      </c>
      <c r="I12503" s="788">
        <v>42129</v>
      </c>
      <c r="J12503" s="788">
        <v>41807</v>
      </c>
      <c r="K12503" s="788">
        <v>41239</v>
      </c>
      <c r="L12503" s="787">
        <v>157</v>
      </c>
      <c r="M12503" s="787">
        <v>20</v>
      </c>
      <c r="N12503" s="787">
        <v>168.78</v>
      </c>
      <c r="O12503" s="788">
        <v>42164</v>
      </c>
    </row>
    <row r="12504" spans="1:15" x14ac:dyDescent="0.25">
      <c r="A12504" s="786" t="s">
        <v>22355</v>
      </c>
      <c r="B12504" s="787">
        <v>4</v>
      </c>
      <c r="C12504" s="787" t="s">
        <v>22356</v>
      </c>
      <c r="D12504" s="787">
        <v>9.1</v>
      </c>
      <c r="E12504" s="787">
        <v>259.10000000000002</v>
      </c>
      <c r="F12504" s="788">
        <v>41617</v>
      </c>
      <c r="G12504" s="788">
        <v>41642</v>
      </c>
      <c r="H12504" s="787">
        <v>1</v>
      </c>
      <c r="J12504" s="788">
        <v>41617</v>
      </c>
      <c r="K12504" s="788">
        <v>41885</v>
      </c>
      <c r="L12504" s="787">
        <v>284.63</v>
      </c>
      <c r="M12504" s="787">
        <v>20</v>
      </c>
      <c r="N12504" s="787">
        <v>305.98</v>
      </c>
      <c r="O12504" s="788">
        <v>42111</v>
      </c>
    </row>
    <row r="12505" spans="1:15" x14ac:dyDescent="0.25">
      <c r="A12505" s="786" t="s">
        <v>22357</v>
      </c>
      <c r="B12505" s="787">
        <v>4</v>
      </c>
      <c r="C12505" s="787" t="s">
        <v>22358</v>
      </c>
      <c r="D12505" s="787">
        <v>0</v>
      </c>
      <c r="E12505" s="787">
        <v>0</v>
      </c>
      <c r="H12505" s="787">
        <v>1</v>
      </c>
      <c r="I12505" s="788">
        <v>41620</v>
      </c>
      <c r="K12505" s="788">
        <v>41885</v>
      </c>
      <c r="L12505" s="787">
        <v>243.57</v>
      </c>
      <c r="M12505" s="787">
        <v>20</v>
      </c>
      <c r="N12505" s="787">
        <v>261.83999999999997</v>
      </c>
      <c r="O12505" s="788">
        <v>42111</v>
      </c>
    </row>
    <row r="12506" spans="1:15" x14ac:dyDescent="0.25">
      <c r="A12506" s="786" t="s">
        <v>22359</v>
      </c>
      <c r="B12506" s="787">
        <v>4</v>
      </c>
      <c r="C12506" s="787" t="s">
        <v>22360</v>
      </c>
      <c r="D12506" s="787">
        <v>6.8</v>
      </c>
      <c r="E12506" s="787">
        <v>313.52</v>
      </c>
      <c r="F12506" s="788">
        <v>41666</v>
      </c>
      <c r="G12506" s="788">
        <v>42118</v>
      </c>
      <c r="H12506" s="787">
        <v>1</v>
      </c>
      <c r="I12506" s="788">
        <v>42163</v>
      </c>
      <c r="J12506" s="788">
        <v>42104</v>
      </c>
      <c r="K12506" s="788">
        <v>41885</v>
      </c>
      <c r="L12506" s="787">
        <v>354.2</v>
      </c>
      <c r="M12506" s="787">
        <v>20</v>
      </c>
      <c r="N12506" s="787">
        <v>380.77</v>
      </c>
      <c r="O12506" s="788">
        <v>42164</v>
      </c>
    </row>
    <row r="12507" spans="1:15" x14ac:dyDescent="0.25">
      <c r="A12507" s="786" t="s">
        <v>22361</v>
      </c>
      <c r="B12507" s="787">
        <v>4</v>
      </c>
      <c r="C12507" s="787" t="s">
        <v>22362</v>
      </c>
      <c r="D12507" s="787">
        <v>8.9499999999999993</v>
      </c>
      <c r="E12507" s="787">
        <v>58.95</v>
      </c>
      <c r="F12507" s="788">
        <v>41688</v>
      </c>
      <c r="G12507" s="788">
        <v>41715</v>
      </c>
      <c r="H12507" s="787">
        <v>1</v>
      </c>
      <c r="I12507" s="788">
        <v>41690</v>
      </c>
      <c r="J12507" s="788">
        <v>41683</v>
      </c>
      <c r="K12507" s="788">
        <v>42011</v>
      </c>
      <c r="L12507" s="787">
        <v>58.95</v>
      </c>
      <c r="M12507" s="787">
        <v>20</v>
      </c>
      <c r="N12507" s="787">
        <v>63.37</v>
      </c>
      <c r="O12507" s="788">
        <v>42011</v>
      </c>
    </row>
    <row r="12508" spans="1:15" x14ac:dyDescent="0.25">
      <c r="A12508" s="786" t="s">
        <v>22363</v>
      </c>
      <c r="B12508" s="787">
        <v>4</v>
      </c>
      <c r="C12508" s="787" t="s">
        <v>22364</v>
      </c>
      <c r="D12508" s="787">
        <v>9.35</v>
      </c>
      <c r="E12508" s="787">
        <v>159.35</v>
      </c>
      <c r="F12508" s="788">
        <v>42062</v>
      </c>
      <c r="G12508" s="788">
        <v>42081</v>
      </c>
      <c r="H12508" s="787">
        <v>1</v>
      </c>
      <c r="I12508" s="788">
        <v>42076</v>
      </c>
      <c r="J12508" s="788">
        <v>42053</v>
      </c>
      <c r="K12508" s="788">
        <v>42102</v>
      </c>
      <c r="L12508" s="787">
        <v>159.35</v>
      </c>
      <c r="M12508" s="787">
        <v>20</v>
      </c>
      <c r="N12508" s="787">
        <v>91.38</v>
      </c>
      <c r="O12508" s="788">
        <v>42025</v>
      </c>
    </row>
    <row r="12509" spans="1:15" x14ac:dyDescent="0.25">
      <c r="A12509" s="786" t="s">
        <v>22365</v>
      </c>
      <c r="B12509" s="787">
        <v>4</v>
      </c>
      <c r="C12509" s="787" t="s">
        <v>22366</v>
      </c>
      <c r="D12509" s="787">
        <v>0.69</v>
      </c>
      <c r="E12509" s="787">
        <v>0.69</v>
      </c>
      <c r="F12509" s="788">
        <v>37641</v>
      </c>
      <c r="G12509" s="788">
        <v>37641</v>
      </c>
      <c r="H12509" s="787">
        <v>1</v>
      </c>
      <c r="J12509" s="788">
        <v>37641</v>
      </c>
      <c r="L12509" s="787">
        <v>0.75</v>
      </c>
      <c r="M12509" s="787">
        <v>20</v>
      </c>
      <c r="N12509" s="787">
        <v>0.81</v>
      </c>
      <c r="O12509" s="788">
        <v>41858</v>
      </c>
    </row>
    <row r="12510" spans="1:15" x14ac:dyDescent="0.25">
      <c r="A12510" s="786" t="s">
        <v>22367</v>
      </c>
      <c r="B12510" s="787">
        <v>4</v>
      </c>
      <c r="C12510" s="787" t="s">
        <v>22368</v>
      </c>
      <c r="D12510" s="787">
        <v>8.92</v>
      </c>
      <c r="E12510" s="787">
        <v>28.92</v>
      </c>
      <c r="F12510" s="788">
        <v>37641</v>
      </c>
      <c r="G12510" s="788">
        <v>39814</v>
      </c>
      <c r="H12510" s="787">
        <v>1</v>
      </c>
      <c r="I12510" s="788">
        <v>39134</v>
      </c>
      <c r="J12510" s="788">
        <v>39084</v>
      </c>
      <c r="L12510" s="787">
        <v>31.52</v>
      </c>
      <c r="M12510" s="787">
        <v>20</v>
      </c>
      <c r="N12510" s="787">
        <v>33.880000000000003</v>
      </c>
      <c r="O12510" s="788">
        <v>41858</v>
      </c>
    </row>
    <row r="12511" spans="1:15" x14ac:dyDescent="0.25">
      <c r="A12511" s="786" t="s">
        <v>22369</v>
      </c>
      <c r="B12511" s="787">
        <v>4</v>
      </c>
      <c r="C12511" s="787" t="s">
        <v>22370</v>
      </c>
      <c r="D12511" s="787">
        <v>0.33</v>
      </c>
      <c r="E12511" s="787">
        <v>0.33</v>
      </c>
      <c r="F12511" s="788">
        <v>39101</v>
      </c>
      <c r="G12511" s="788">
        <v>39101</v>
      </c>
      <c r="H12511" s="787">
        <v>6</v>
      </c>
      <c r="I12511" s="788">
        <v>38681</v>
      </c>
      <c r="J12511" s="788">
        <v>39101</v>
      </c>
      <c r="K12511" s="788">
        <v>41869</v>
      </c>
      <c r="L12511" s="787">
        <v>0.05</v>
      </c>
      <c r="M12511" s="787">
        <v>20</v>
      </c>
      <c r="N12511" s="787">
        <v>0.39</v>
      </c>
      <c r="O12511" s="788">
        <v>41858</v>
      </c>
    </row>
    <row r="12512" spans="1:15" x14ac:dyDescent="0.25">
      <c r="A12512" s="786" t="s">
        <v>22371</v>
      </c>
      <c r="B12512" s="787">
        <v>4</v>
      </c>
      <c r="C12512" s="787" t="s">
        <v>22372</v>
      </c>
      <c r="D12512" s="787">
        <v>0.33</v>
      </c>
      <c r="E12512" s="787">
        <v>0.33</v>
      </c>
      <c r="F12512" s="788">
        <v>39101</v>
      </c>
      <c r="G12512" s="788">
        <v>39101</v>
      </c>
      <c r="H12512" s="787">
        <v>1</v>
      </c>
      <c r="I12512" s="788">
        <v>39134</v>
      </c>
      <c r="J12512" s="788">
        <v>39149</v>
      </c>
      <c r="L12512" s="787">
        <v>0.36</v>
      </c>
      <c r="M12512" s="787">
        <v>20</v>
      </c>
      <c r="N12512" s="787">
        <v>0.39</v>
      </c>
      <c r="O12512" s="788">
        <v>41858</v>
      </c>
    </row>
    <row r="12513" spans="1:15" x14ac:dyDescent="0.25">
      <c r="A12513" s="786" t="s">
        <v>22373</v>
      </c>
      <c r="B12513" s="787">
        <v>4</v>
      </c>
      <c r="C12513" s="787" t="s">
        <v>22374</v>
      </c>
      <c r="D12513" s="787">
        <v>1.32</v>
      </c>
      <c r="E12513" s="787">
        <v>1.32</v>
      </c>
      <c r="F12513" s="788">
        <v>39101</v>
      </c>
      <c r="G12513" s="788">
        <v>39101</v>
      </c>
      <c r="H12513" s="787">
        <v>1</v>
      </c>
      <c r="I12513" s="788">
        <v>39134</v>
      </c>
      <c r="J12513" s="788">
        <v>39149</v>
      </c>
      <c r="L12513" s="787">
        <v>1.44</v>
      </c>
      <c r="M12513" s="787">
        <v>20</v>
      </c>
      <c r="N12513" s="787">
        <v>1.55</v>
      </c>
      <c r="O12513" s="788">
        <v>41858</v>
      </c>
    </row>
    <row r="12514" spans="1:15" x14ac:dyDescent="0.25">
      <c r="A12514" s="786" t="s">
        <v>22375</v>
      </c>
      <c r="B12514" s="787">
        <v>4</v>
      </c>
      <c r="C12514" s="787" t="s">
        <v>22376</v>
      </c>
      <c r="D12514" s="787">
        <v>3.11</v>
      </c>
      <c r="E12514" s="787">
        <v>3.11</v>
      </c>
      <c r="F12514" s="788">
        <v>39101</v>
      </c>
      <c r="G12514" s="788">
        <v>39101</v>
      </c>
      <c r="H12514" s="787">
        <v>1</v>
      </c>
      <c r="I12514" s="788">
        <v>40938</v>
      </c>
      <c r="J12514" s="788">
        <v>39149</v>
      </c>
      <c r="L12514" s="787">
        <v>3.39</v>
      </c>
      <c r="M12514" s="787">
        <v>20</v>
      </c>
      <c r="N12514" s="787">
        <v>3.64</v>
      </c>
      <c r="O12514" s="788">
        <v>41858</v>
      </c>
    </row>
    <row r="12515" spans="1:15" x14ac:dyDescent="0.25">
      <c r="A12515" s="786" t="s">
        <v>22377</v>
      </c>
      <c r="B12515" s="787">
        <v>4</v>
      </c>
      <c r="C12515" s="787" t="s">
        <v>22378</v>
      </c>
      <c r="D12515" s="787">
        <v>0.79</v>
      </c>
      <c r="E12515" s="787">
        <v>0.79</v>
      </c>
      <c r="F12515" s="788">
        <v>39101</v>
      </c>
      <c r="G12515" s="788">
        <v>39101</v>
      </c>
      <c r="H12515" s="787">
        <v>1</v>
      </c>
      <c r="I12515" s="788">
        <v>39134</v>
      </c>
      <c r="J12515" s="788">
        <v>39149</v>
      </c>
      <c r="L12515" s="787">
        <v>0.86</v>
      </c>
      <c r="M12515" s="787">
        <v>20</v>
      </c>
      <c r="N12515" s="787">
        <v>0.92</v>
      </c>
      <c r="O12515" s="788">
        <v>41858</v>
      </c>
    </row>
    <row r="12516" spans="1:15" x14ac:dyDescent="0.25">
      <c r="A12516" s="786" t="s">
        <v>22379</v>
      </c>
      <c r="B12516" s="787">
        <v>4</v>
      </c>
      <c r="C12516" s="787" t="s">
        <v>22380</v>
      </c>
      <c r="D12516" s="787">
        <v>0.33</v>
      </c>
      <c r="E12516" s="787">
        <v>0.33</v>
      </c>
      <c r="F12516" s="788">
        <v>37641</v>
      </c>
      <c r="G12516" s="788">
        <v>37641</v>
      </c>
      <c r="H12516" s="787">
        <v>1</v>
      </c>
      <c r="J12516" s="788">
        <v>37641</v>
      </c>
      <c r="L12516" s="787">
        <v>0.36</v>
      </c>
      <c r="M12516" s="787">
        <v>20</v>
      </c>
      <c r="N12516" s="787">
        <v>0.39</v>
      </c>
      <c r="O12516" s="788">
        <v>41858</v>
      </c>
    </row>
    <row r="12517" spans="1:15" x14ac:dyDescent="0.25">
      <c r="A12517" s="786" t="s">
        <v>22381</v>
      </c>
      <c r="B12517" s="787">
        <v>4</v>
      </c>
      <c r="C12517" s="787" t="s">
        <v>22382</v>
      </c>
      <c r="D12517" s="787">
        <v>0.42</v>
      </c>
      <c r="E12517" s="787">
        <v>0.42</v>
      </c>
      <c r="F12517" s="788">
        <v>39101</v>
      </c>
      <c r="G12517" s="788">
        <v>39101</v>
      </c>
      <c r="H12517" s="787">
        <v>6</v>
      </c>
      <c r="I12517" s="788">
        <v>40938</v>
      </c>
      <c r="J12517" s="788">
        <v>39149</v>
      </c>
      <c r="K12517" s="788">
        <v>41865</v>
      </c>
      <c r="L12517" s="787">
        <v>1.2</v>
      </c>
      <c r="M12517" s="787">
        <v>20</v>
      </c>
      <c r="N12517" s="787">
        <v>0.49</v>
      </c>
      <c r="O12517" s="788">
        <v>41858</v>
      </c>
    </row>
    <row r="12518" spans="1:15" x14ac:dyDescent="0.25">
      <c r="A12518" s="786" t="s">
        <v>22383</v>
      </c>
      <c r="B12518" s="787">
        <v>4</v>
      </c>
      <c r="C12518" s="787" t="s">
        <v>22384</v>
      </c>
      <c r="D12518" s="787">
        <v>1.98</v>
      </c>
      <c r="E12518" s="787">
        <v>1.98</v>
      </c>
      <c r="F12518" s="788">
        <v>39101</v>
      </c>
      <c r="G12518" s="788">
        <v>39101</v>
      </c>
      <c r="H12518" s="787">
        <v>6</v>
      </c>
      <c r="I12518" s="788">
        <v>39134</v>
      </c>
      <c r="J12518" s="788">
        <v>39149</v>
      </c>
      <c r="K12518" s="788">
        <v>41869</v>
      </c>
      <c r="L12518" s="787">
        <v>1.21</v>
      </c>
      <c r="M12518" s="787">
        <v>20</v>
      </c>
      <c r="N12518" s="787">
        <v>2.3199999999999998</v>
      </c>
      <c r="O12518" s="788">
        <v>41858</v>
      </c>
    </row>
    <row r="12519" spans="1:15" x14ac:dyDescent="0.25">
      <c r="A12519" s="786" t="s">
        <v>22385</v>
      </c>
      <c r="B12519" s="787">
        <v>4</v>
      </c>
      <c r="C12519" s="787" t="s">
        <v>22386</v>
      </c>
      <c r="D12519" s="787">
        <v>1.79</v>
      </c>
      <c r="E12519" s="787">
        <v>1.79</v>
      </c>
      <c r="F12519" s="788">
        <v>37641</v>
      </c>
      <c r="G12519" s="788">
        <v>37641</v>
      </c>
      <c r="H12519" s="787">
        <v>1</v>
      </c>
      <c r="J12519" s="788">
        <v>37641</v>
      </c>
      <c r="L12519" s="787">
        <v>1.95</v>
      </c>
      <c r="M12519" s="787">
        <v>20</v>
      </c>
      <c r="N12519" s="787">
        <v>2.1</v>
      </c>
      <c r="O12519" s="788">
        <v>41858</v>
      </c>
    </row>
    <row r="12520" spans="1:15" x14ac:dyDescent="0.25">
      <c r="A12520" s="786" t="s">
        <v>22387</v>
      </c>
      <c r="B12520" s="787">
        <v>4</v>
      </c>
      <c r="C12520" s="787" t="s">
        <v>22388</v>
      </c>
      <c r="D12520" s="787">
        <v>1.32</v>
      </c>
      <c r="E12520" s="787">
        <v>1.32</v>
      </c>
      <c r="F12520" s="788">
        <v>39101</v>
      </c>
      <c r="G12520" s="788">
        <v>39101</v>
      </c>
      <c r="H12520" s="787">
        <v>1</v>
      </c>
      <c r="I12520" s="788">
        <v>39134</v>
      </c>
      <c r="J12520" s="788">
        <v>39149</v>
      </c>
      <c r="L12520" s="787">
        <v>1.44</v>
      </c>
      <c r="M12520" s="787">
        <v>20</v>
      </c>
      <c r="N12520" s="787">
        <v>1.55</v>
      </c>
      <c r="O12520" s="788">
        <v>41858</v>
      </c>
    </row>
    <row r="12521" spans="1:15" x14ac:dyDescent="0.25">
      <c r="A12521" s="786" t="s">
        <v>22389</v>
      </c>
      <c r="B12521" s="787">
        <v>4</v>
      </c>
      <c r="C12521" s="787" t="s">
        <v>22390</v>
      </c>
      <c r="D12521" s="787">
        <v>1.32</v>
      </c>
      <c r="E12521" s="787">
        <v>1.32</v>
      </c>
      <c r="F12521" s="788">
        <v>39101</v>
      </c>
      <c r="G12521" s="788">
        <v>39101</v>
      </c>
      <c r="H12521" s="787">
        <v>1</v>
      </c>
      <c r="I12521" s="788">
        <v>39134</v>
      </c>
      <c r="J12521" s="788">
        <v>39149</v>
      </c>
      <c r="L12521" s="787">
        <v>1.44</v>
      </c>
      <c r="M12521" s="787">
        <v>20</v>
      </c>
      <c r="N12521" s="787">
        <v>1.55</v>
      </c>
      <c r="O12521" s="788">
        <v>41858</v>
      </c>
    </row>
    <row r="12522" spans="1:15" x14ac:dyDescent="0.25">
      <c r="A12522" s="786" t="s">
        <v>22391</v>
      </c>
      <c r="B12522" s="787">
        <v>4</v>
      </c>
      <c r="C12522" s="787" t="s">
        <v>22392</v>
      </c>
      <c r="D12522" s="787">
        <v>1.32</v>
      </c>
      <c r="E12522" s="787">
        <v>1.32</v>
      </c>
      <c r="F12522" s="788">
        <v>39101</v>
      </c>
      <c r="G12522" s="788">
        <v>39101</v>
      </c>
      <c r="H12522" s="787">
        <v>1</v>
      </c>
      <c r="I12522" s="788">
        <v>39433</v>
      </c>
      <c r="J12522" s="788">
        <v>39101</v>
      </c>
      <c r="L12522" s="787">
        <v>1.44</v>
      </c>
      <c r="M12522" s="787">
        <v>20</v>
      </c>
      <c r="N12522" s="787">
        <v>1.55</v>
      </c>
      <c r="O12522" s="788">
        <v>41858</v>
      </c>
    </row>
    <row r="12523" spans="1:15" x14ac:dyDescent="0.25">
      <c r="A12523" s="786" t="s">
        <v>22393</v>
      </c>
      <c r="B12523" s="787">
        <v>4</v>
      </c>
      <c r="C12523" s="787" t="s">
        <v>22394</v>
      </c>
      <c r="D12523" s="787">
        <v>1.67</v>
      </c>
      <c r="E12523" s="787">
        <v>1.67</v>
      </c>
      <c r="F12523" s="788">
        <v>39101</v>
      </c>
      <c r="G12523" s="788">
        <v>39101</v>
      </c>
      <c r="H12523" s="787">
        <v>6</v>
      </c>
      <c r="I12523" s="788">
        <v>39134</v>
      </c>
      <c r="J12523" s="788">
        <v>39149</v>
      </c>
      <c r="K12523" s="788">
        <v>41869</v>
      </c>
      <c r="L12523" s="787">
        <v>0.32</v>
      </c>
      <c r="M12523" s="787">
        <v>20</v>
      </c>
      <c r="N12523" s="787">
        <v>1.96</v>
      </c>
      <c r="O12523" s="788">
        <v>41858</v>
      </c>
    </row>
    <row r="12524" spans="1:15" x14ac:dyDescent="0.25">
      <c r="A12524" s="786" t="s">
        <v>22395</v>
      </c>
      <c r="B12524" s="787">
        <v>4</v>
      </c>
      <c r="C12524" s="787" t="s">
        <v>22396</v>
      </c>
      <c r="D12524" s="787">
        <v>0.56000000000000005</v>
      </c>
      <c r="E12524" s="787">
        <v>0.56000000000000005</v>
      </c>
      <c r="F12524" s="788">
        <v>39101</v>
      </c>
      <c r="G12524" s="788">
        <v>39101</v>
      </c>
      <c r="H12524" s="787">
        <v>1</v>
      </c>
      <c r="I12524" s="788">
        <v>39134</v>
      </c>
      <c r="J12524" s="788">
        <v>39149</v>
      </c>
      <c r="K12524" s="788">
        <v>41865</v>
      </c>
      <c r="L12524" s="787">
        <v>0.56000000000000005</v>
      </c>
      <c r="M12524" s="787">
        <v>20</v>
      </c>
      <c r="N12524" s="787">
        <v>0.66</v>
      </c>
      <c r="O12524" s="788">
        <v>41858</v>
      </c>
    </row>
    <row r="12525" spans="1:15" x14ac:dyDescent="0.25">
      <c r="A12525" s="786" t="s">
        <v>22397</v>
      </c>
      <c r="B12525" s="787">
        <v>4</v>
      </c>
      <c r="C12525" s="787" t="s">
        <v>22398</v>
      </c>
      <c r="D12525" s="787">
        <v>0.51</v>
      </c>
      <c r="E12525" s="787">
        <v>0.51</v>
      </c>
      <c r="F12525" s="788">
        <v>41691</v>
      </c>
      <c r="G12525" s="788">
        <v>41884</v>
      </c>
      <c r="H12525" s="787">
        <v>1</v>
      </c>
      <c r="I12525" s="788">
        <v>41880</v>
      </c>
      <c r="J12525" s="788">
        <v>41884</v>
      </c>
      <c r="K12525" s="788">
        <v>41683</v>
      </c>
      <c r="L12525" s="787">
        <v>0.51</v>
      </c>
      <c r="M12525" s="787">
        <v>20</v>
      </c>
      <c r="N12525" s="787">
        <v>0.55000000000000004</v>
      </c>
      <c r="O12525" s="788">
        <v>42111</v>
      </c>
    </row>
    <row r="12526" spans="1:15" x14ac:dyDescent="0.25">
      <c r="A12526" s="786" t="s">
        <v>22399</v>
      </c>
      <c r="B12526" s="787">
        <v>4</v>
      </c>
      <c r="C12526" s="787" t="s">
        <v>22400</v>
      </c>
      <c r="D12526" s="787">
        <v>0.24</v>
      </c>
      <c r="E12526" s="787">
        <v>0.24</v>
      </c>
      <c r="F12526" s="788">
        <v>41691</v>
      </c>
      <c r="G12526" s="788">
        <v>41684</v>
      </c>
      <c r="H12526" s="787">
        <v>1</v>
      </c>
      <c r="I12526" s="788">
        <v>41803</v>
      </c>
      <c r="J12526" s="788">
        <v>41684</v>
      </c>
      <c r="K12526" s="788">
        <v>41683</v>
      </c>
      <c r="L12526" s="787">
        <v>0.24</v>
      </c>
      <c r="M12526" s="787">
        <v>20</v>
      </c>
      <c r="N12526" s="787">
        <v>0.26</v>
      </c>
      <c r="O12526" s="788">
        <v>42111</v>
      </c>
    </row>
    <row r="12527" spans="1:15" x14ac:dyDescent="0.25">
      <c r="A12527" s="786" t="s">
        <v>22401</v>
      </c>
      <c r="B12527" s="787">
        <v>4</v>
      </c>
      <c r="C12527" s="787" t="s">
        <v>22402</v>
      </c>
      <c r="D12527" s="787">
        <v>0.17</v>
      </c>
      <c r="E12527" s="787">
        <v>0.17</v>
      </c>
      <c r="F12527" s="788">
        <v>41691</v>
      </c>
      <c r="G12527" s="788">
        <v>41758</v>
      </c>
      <c r="H12527" s="787">
        <v>1</v>
      </c>
      <c r="I12527" s="788">
        <v>41765</v>
      </c>
      <c r="J12527" s="788">
        <v>41682</v>
      </c>
      <c r="K12527" s="788">
        <v>41683</v>
      </c>
      <c r="L12527" s="787">
        <v>0.17</v>
      </c>
      <c r="M12527" s="787">
        <v>20</v>
      </c>
      <c r="N12527" s="787">
        <v>0.18</v>
      </c>
      <c r="O12527" s="788">
        <v>41858</v>
      </c>
    </row>
    <row r="12528" spans="1:15" x14ac:dyDescent="0.25">
      <c r="A12528" s="786" t="s">
        <v>22403</v>
      </c>
      <c r="B12528" s="787">
        <v>4</v>
      </c>
      <c r="C12528" s="787" t="s">
        <v>22404</v>
      </c>
      <c r="D12528" s="787">
        <v>0.44</v>
      </c>
      <c r="E12528" s="787">
        <v>0.44</v>
      </c>
      <c r="F12528" s="788">
        <v>41691</v>
      </c>
      <c r="G12528" s="788">
        <v>41758</v>
      </c>
      <c r="H12528" s="787">
        <v>1</v>
      </c>
      <c r="J12528" s="788">
        <v>41682</v>
      </c>
      <c r="K12528" s="788">
        <v>41683</v>
      </c>
      <c r="L12528" s="787">
        <v>0.44</v>
      </c>
      <c r="M12528" s="787">
        <v>20</v>
      </c>
      <c r="N12528" s="787">
        <v>0.47</v>
      </c>
      <c r="O12528" s="788">
        <v>41858</v>
      </c>
    </row>
    <row r="12529" spans="1:15" x14ac:dyDescent="0.25">
      <c r="A12529" s="786" t="s">
        <v>22405</v>
      </c>
      <c r="B12529" s="787">
        <v>4</v>
      </c>
      <c r="C12529" s="787" t="s">
        <v>22406</v>
      </c>
      <c r="D12529" s="787">
        <v>0.44</v>
      </c>
      <c r="E12529" s="787">
        <v>0.44</v>
      </c>
      <c r="F12529" s="788">
        <v>41691</v>
      </c>
      <c r="G12529" s="788">
        <v>41758</v>
      </c>
      <c r="H12529" s="787">
        <v>1</v>
      </c>
      <c r="J12529" s="788">
        <v>41682</v>
      </c>
      <c r="K12529" s="788">
        <v>41683</v>
      </c>
      <c r="L12529" s="787">
        <v>0.44</v>
      </c>
      <c r="M12529" s="787">
        <v>20</v>
      </c>
      <c r="N12529" s="787">
        <v>0.47</v>
      </c>
      <c r="O12529" s="788">
        <v>41858</v>
      </c>
    </row>
    <row r="12530" spans="1:15" x14ac:dyDescent="0.25">
      <c r="A12530" s="786" t="s">
        <v>22407</v>
      </c>
      <c r="B12530" s="787">
        <v>4</v>
      </c>
      <c r="C12530" s="787" t="s">
        <v>22408</v>
      </c>
      <c r="D12530" s="787">
        <v>0.44</v>
      </c>
      <c r="E12530" s="787">
        <v>0.44</v>
      </c>
      <c r="F12530" s="788">
        <v>41691</v>
      </c>
      <c r="G12530" s="788">
        <v>41758</v>
      </c>
      <c r="H12530" s="787">
        <v>1</v>
      </c>
      <c r="J12530" s="788">
        <v>41682</v>
      </c>
      <c r="K12530" s="788">
        <v>41683</v>
      </c>
      <c r="L12530" s="787">
        <v>0.44</v>
      </c>
      <c r="M12530" s="787">
        <v>20</v>
      </c>
      <c r="N12530" s="787">
        <v>0.47</v>
      </c>
      <c r="O12530" s="788">
        <v>41858</v>
      </c>
    </row>
    <row r="12531" spans="1:15" x14ac:dyDescent="0.25">
      <c r="A12531" s="786" t="s">
        <v>22409</v>
      </c>
      <c r="B12531" s="787">
        <v>4</v>
      </c>
      <c r="C12531" s="787" t="s">
        <v>22410</v>
      </c>
      <c r="D12531" s="787">
        <v>0</v>
      </c>
      <c r="E12531" s="787">
        <v>0</v>
      </c>
      <c r="G12531" s="788">
        <v>41684</v>
      </c>
      <c r="H12531" s="787">
        <v>1</v>
      </c>
      <c r="J12531" s="788">
        <v>41684</v>
      </c>
      <c r="K12531" s="788">
        <v>41683</v>
      </c>
      <c r="L12531" s="787">
        <v>0.44</v>
      </c>
      <c r="M12531" s="787">
        <v>20</v>
      </c>
      <c r="N12531" s="787">
        <v>0.47</v>
      </c>
      <c r="O12531" s="788">
        <v>41858</v>
      </c>
    </row>
    <row r="12532" spans="1:15" x14ac:dyDescent="0.25">
      <c r="A12532" s="786" t="s">
        <v>22411</v>
      </c>
      <c r="B12532" s="787">
        <v>4</v>
      </c>
      <c r="C12532" s="787" t="s">
        <v>22412</v>
      </c>
      <c r="D12532" s="787">
        <v>0.28999999999999998</v>
      </c>
      <c r="E12532" s="787">
        <v>0.28999999999999998</v>
      </c>
      <c r="F12532" s="788">
        <v>41691</v>
      </c>
      <c r="G12532" s="788">
        <v>41758</v>
      </c>
      <c r="H12532" s="787">
        <v>1</v>
      </c>
      <c r="J12532" s="788">
        <v>41682</v>
      </c>
      <c r="K12532" s="788">
        <v>41683</v>
      </c>
      <c r="L12532" s="787">
        <v>0.3</v>
      </c>
      <c r="M12532" s="787">
        <v>20</v>
      </c>
      <c r="N12532" s="787">
        <v>0.32</v>
      </c>
      <c r="O12532" s="788">
        <v>41858</v>
      </c>
    </row>
    <row r="12533" spans="1:15" x14ac:dyDescent="0.25">
      <c r="A12533" s="786" t="s">
        <v>22413</v>
      </c>
      <c r="B12533" s="787">
        <v>4</v>
      </c>
      <c r="C12533" s="787" t="s">
        <v>22414</v>
      </c>
      <c r="D12533" s="787">
        <v>0.31</v>
      </c>
      <c r="E12533" s="787">
        <v>0.31</v>
      </c>
      <c r="F12533" s="788">
        <v>41691</v>
      </c>
      <c r="G12533" s="788">
        <v>41767</v>
      </c>
      <c r="H12533" s="787">
        <v>1</v>
      </c>
      <c r="I12533" s="788">
        <v>41803</v>
      </c>
      <c r="J12533" s="788">
        <v>41862</v>
      </c>
      <c r="K12533" s="788">
        <v>41683</v>
      </c>
      <c r="L12533" s="787">
        <v>0.31</v>
      </c>
      <c r="M12533" s="787">
        <v>20</v>
      </c>
      <c r="N12533" s="787">
        <v>0.33</v>
      </c>
      <c r="O12533" s="788">
        <v>42111</v>
      </c>
    </row>
    <row r="12534" spans="1:15" x14ac:dyDescent="0.25">
      <c r="A12534" s="786" t="s">
        <v>22415</v>
      </c>
      <c r="B12534" s="787">
        <v>4</v>
      </c>
      <c r="C12534" s="787" t="s">
        <v>22416</v>
      </c>
      <c r="D12534" s="787">
        <v>0.15</v>
      </c>
      <c r="E12534" s="787">
        <v>0.15</v>
      </c>
      <c r="F12534" s="788">
        <v>41691</v>
      </c>
      <c r="G12534" s="788">
        <v>41758</v>
      </c>
      <c r="H12534" s="787">
        <v>1</v>
      </c>
      <c r="J12534" s="788">
        <v>41682</v>
      </c>
      <c r="K12534" s="788">
        <v>41683</v>
      </c>
      <c r="L12534" s="787">
        <v>0.15</v>
      </c>
      <c r="M12534" s="787">
        <v>20</v>
      </c>
      <c r="N12534" s="787">
        <v>0.16</v>
      </c>
      <c r="O12534" s="788">
        <v>41858</v>
      </c>
    </row>
    <row r="12535" spans="1:15" x14ac:dyDescent="0.25">
      <c r="A12535" s="786" t="s">
        <v>22417</v>
      </c>
      <c r="B12535" s="787">
        <v>4</v>
      </c>
      <c r="C12535" s="787" t="s">
        <v>22418</v>
      </c>
      <c r="D12535" s="787">
        <v>5.08</v>
      </c>
      <c r="E12535" s="787">
        <v>5.08</v>
      </c>
      <c r="F12535" s="788">
        <v>41691</v>
      </c>
      <c r="G12535" s="788">
        <v>41822</v>
      </c>
      <c r="H12535" s="787">
        <v>1</v>
      </c>
      <c r="I12535" s="788">
        <v>41803</v>
      </c>
      <c r="J12535" s="788">
        <v>41822</v>
      </c>
      <c r="K12535" s="788">
        <v>41683</v>
      </c>
      <c r="L12535" s="787">
        <v>5.08</v>
      </c>
      <c r="M12535" s="787">
        <v>20</v>
      </c>
      <c r="N12535" s="787">
        <v>5.46</v>
      </c>
      <c r="O12535" s="788">
        <v>42111</v>
      </c>
    </row>
    <row r="12536" spans="1:15" x14ac:dyDescent="0.25">
      <c r="A12536" s="786" t="s">
        <v>22419</v>
      </c>
      <c r="B12536" s="787">
        <v>4</v>
      </c>
      <c r="C12536" s="787" t="s">
        <v>22420</v>
      </c>
      <c r="D12536" s="787">
        <v>0.44</v>
      </c>
      <c r="E12536" s="787">
        <v>0.44</v>
      </c>
      <c r="F12536" s="788">
        <v>41691</v>
      </c>
      <c r="G12536" s="788">
        <v>41758</v>
      </c>
      <c r="H12536" s="787">
        <v>1</v>
      </c>
      <c r="J12536" s="788">
        <v>41682</v>
      </c>
      <c r="K12536" s="788">
        <v>41683</v>
      </c>
      <c r="L12536" s="787">
        <v>0.44</v>
      </c>
      <c r="M12536" s="787">
        <v>20</v>
      </c>
      <c r="N12536" s="787">
        <v>0.47</v>
      </c>
      <c r="O12536" s="788">
        <v>41858</v>
      </c>
    </row>
    <row r="12537" spans="1:15" x14ac:dyDescent="0.25">
      <c r="A12537" s="786" t="s">
        <v>22421</v>
      </c>
      <c r="B12537" s="787">
        <v>4</v>
      </c>
      <c r="C12537" s="787" t="s">
        <v>22422</v>
      </c>
      <c r="D12537" s="787">
        <v>0.18</v>
      </c>
      <c r="E12537" s="787">
        <v>0.18</v>
      </c>
      <c r="F12537" s="788">
        <v>41691</v>
      </c>
      <c r="G12537" s="788">
        <v>41758</v>
      </c>
      <c r="H12537" s="787">
        <v>1</v>
      </c>
      <c r="J12537" s="788">
        <v>41682</v>
      </c>
      <c r="K12537" s="788">
        <v>41683</v>
      </c>
      <c r="L12537" s="787">
        <v>0.18</v>
      </c>
      <c r="M12537" s="787">
        <v>20</v>
      </c>
      <c r="N12537" s="787">
        <v>0.19</v>
      </c>
      <c r="O12537" s="788">
        <v>41858</v>
      </c>
    </row>
    <row r="12538" spans="1:15" x14ac:dyDescent="0.25">
      <c r="A12538" s="786" t="s">
        <v>22423</v>
      </c>
      <c r="B12538" s="787">
        <v>4</v>
      </c>
      <c r="C12538" s="787" t="s">
        <v>22424</v>
      </c>
      <c r="D12538" s="787">
        <v>0.18</v>
      </c>
      <c r="E12538" s="787">
        <v>0.18</v>
      </c>
      <c r="F12538" s="788">
        <v>41691</v>
      </c>
      <c r="G12538" s="788">
        <v>41758</v>
      </c>
      <c r="H12538" s="787">
        <v>1</v>
      </c>
      <c r="J12538" s="788">
        <v>41682</v>
      </c>
      <c r="K12538" s="788">
        <v>41683</v>
      </c>
      <c r="L12538" s="787">
        <v>0.18</v>
      </c>
      <c r="M12538" s="787">
        <v>20</v>
      </c>
      <c r="N12538" s="787">
        <v>0.19</v>
      </c>
      <c r="O12538" s="788">
        <v>41858</v>
      </c>
    </row>
    <row r="12539" spans="1:15" x14ac:dyDescent="0.25">
      <c r="A12539" s="786" t="s">
        <v>22425</v>
      </c>
      <c r="B12539" s="787">
        <v>4</v>
      </c>
      <c r="C12539" s="787" t="s">
        <v>22426</v>
      </c>
      <c r="D12539" s="787">
        <v>1.28</v>
      </c>
      <c r="E12539" s="787">
        <v>1.28</v>
      </c>
      <c r="F12539" s="788">
        <v>41691</v>
      </c>
      <c r="G12539" s="788">
        <v>41800</v>
      </c>
      <c r="H12539" s="787">
        <v>1</v>
      </c>
      <c r="I12539" s="788">
        <v>41803</v>
      </c>
      <c r="J12539" s="788">
        <v>41787</v>
      </c>
      <c r="K12539" s="788">
        <v>41683</v>
      </c>
      <c r="L12539" s="787">
        <v>1.28</v>
      </c>
      <c r="M12539" s="787">
        <v>20</v>
      </c>
      <c r="N12539" s="787">
        <v>1.38</v>
      </c>
      <c r="O12539" s="788">
        <v>42111</v>
      </c>
    </row>
    <row r="12540" spans="1:15" x14ac:dyDescent="0.25">
      <c r="A12540" s="786" t="s">
        <v>22427</v>
      </c>
      <c r="B12540" s="787">
        <v>4</v>
      </c>
      <c r="C12540" s="787" t="s">
        <v>22428</v>
      </c>
      <c r="D12540" s="787">
        <v>4.8499999999999996</v>
      </c>
      <c r="E12540" s="787">
        <v>84.85</v>
      </c>
      <c r="F12540" s="788">
        <v>41879</v>
      </c>
      <c r="G12540" s="788">
        <v>41883</v>
      </c>
      <c r="H12540" s="787">
        <v>1</v>
      </c>
      <c r="I12540" s="788">
        <v>41894</v>
      </c>
      <c r="J12540" s="788">
        <v>41871</v>
      </c>
      <c r="K12540" s="788">
        <v>41870</v>
      </c>
      <c r="L12540" s="787">
        <v>84.85</v>
      </c>
      <c r="M12540" s="787">
        <v>20</v>
      </c>
      <c r="N12540" s="787">
        <v>91.21</v>
      </c>
      <c r="O12540" s="788">
        <v>41870</v>
      </c>
    </row>
    <row r="12541" spans="1:15" x14ac:dyDescent="0.25">
      <c r="A12541" s="786" t="s">
        <v>22429</v>
      </c>
      <c r="B12541" s="787">
        <v>4</v>
      </c>
      <c r="C12541" s="787" t="s">
        <v>22430</v>
      </c>
      <c r="D12541" s="787">
        <v>0.2</v>
      </c>
      <c r="E12541" s="787">
        <v>210.2</v>
      </c>
      <c r="F12541" s="788">
        <v>41879</v>
      </c>
      <c r="G12541" s="788">
        <v>41883</v>
      </c>
      <c r="H12541" s="787">
        <v>1</v>
      </c>
      <c r="I12541" s="788">
        <v>41894</v>
      </c>
      <c r="J12541" s="788">
        <v>41879</v>
      </c>
      <c r="K12541" s="788">
        <v>41870</v>
      </c>
      <c r="L12541" s="787">
        <v>210.19</v>
      </c>
      <c r="M12541" s="787">
        <v>20</v>
      </c>
      <c r="N12541" s="787">
        <v>225.95</v>
      </c>
      <c r="O12541" s="788">
        <v>41870</v>
      </c>
    </row>
    <row r="12542" spans="1:15" x14ac:dyDescent="0.25">
      <c r="A12542" s="786" t="s">
        <v>22431</v>
      </c>
      <c r="B12542" s="787">
        <v>4</v>
      </c>
      <c r="C12542" s="787" t="s">
        <v>22432</v>
      </c>
      <c r="D12542" s="787">
        <v>3.2</v>
      </c>
      <c r="E12542" s="787">
        <v>213.2</v>
      </c>
      <c r="F12542" s="788">
        <v>41884</v>
      </c>
      <c r="G12542" s="788">
        <v>41884</v>
      </c>
      <c r="H12542" s="787">
        <v>1</v>
      </c>
      <c r="I12542" s="788">
        <v>41894</v>
      </c>
      <c r="J12542" s="788">
        <v>41877</v>
      </c>
      <c r="K12542" s="788">
        <v>41870</v>
      </c>
      <c r="L12542" s="787">
        <v>213.21</v>
      </c>
      <c r="M12542" s="787">
        <v>20</v>
      </c>
      <c r="N12542" s="787">
        <v>229.2</v>
      </c>
      <c r="O12542" s="788">
        <v>41870</v>
      </c>
    </row>
    <row r="12543" spans="1:15" x14ac:dyDescent="0.25">
      <c r="A12543" s="786" t="s">
        <v>22433</v>
      </c>
      <c r="B12543" s="787">
        <v>4</v>
      </c>
      <c r="C12543" s="787" t="s">
        <v>22434</v>
      </c>
      <c r="D12543" s="787">
        <v>7.2</v>
      </c>
      <c r="E12543" s="787">
        <v>47.2</v>
      </c>
      <c r="F12543" s="788">
        <v>41879</v>
      </c>
      <c r="G12543" s="788">
        <v>41883</v>
      </c>
      <c r="H12543" s="787">
        <v>1</v>
      </c>
      <c r="I12543" s="788">
        <v>41894</v>
      </c>
      <c r="J12543" s="788">
        <v>41871</v>
      </c>
      <c r="K12543" s="788">
        <v>41870</v>
      </c>
      <c r="L12543" s="787">
        <v>47.19</v>
      </c>
      <c r="M12543" s="787">
        <v>20</v>
      </c>
      <c r="N12543" s="787">
        <v>50.73</v>
      </c>
      <c r="O12543" s="788">
        <v>41870</v>
      </c>
    </row>
    <row r="12544" spans="1:15" x14ac:dyDescent="0.25">
      <c r="A12544" s="786" t="s">
        <v>22435</v>
      </c>
      <c r="B12544" s="787">
        <v>4</v>
      </c>
      <c r="C12544" s="787" t="s">
        <v>22436</v>
      </c>
      <c r="D12544" s="787">
        <v>7.2</v>
      </c>
      <c r="E12544" s="787">
        <v>47.2</v>
      </c>
      <c r="F12544" s="788">
        <v>41879</v>
      </c>
      <c r="G12544" s="788">
        <v>41883</v>
      </c>
      <c r="H12544" s="787">
        <v>1</v>
      </c>
      <c r="I12544" s="788">
        <v>41880</v>
      </c>
      <c r="J12544" s="788">
        <v>41871</v>
      </c>
      <c r="K12544" s="788">
        <v>41870</v>
      </c>
      <c r="L12544" s="787">
        <v>47.19</v>
      </c>
      <c r="M12544" s="787">
        <v>20</v>
      </c>
      <c r="N12544" s="787">
        <v>50.73</v>
      </c>
      <c r="O12544" s="788">
        <v>41870</v>
      </c>
    </row>
    <row r="12545" spans="1:15" x14ac:dyDescent="0.25">
      <c r="A12545" s="786" t="s">
        <v>22437</v>
      </c>
      <c r="B12545" s="787">
        <v>4</v>
      </c>
      <c r="C12545" s="787" t="s">
        <v>22438</v>
      </c>
      <c r="D12545" s="787">
        <v>7.2</v>
      </c>
      <c r="E12545" s="787">
        <v>47.2</v>
      </c>
      <c r="F12545" s="788">
        <v>41879</v>
      </c>
      <c r="G12545" s="788">
        <v>41883</v>
      </c>
      <c r="H12545" s="787">
        <v>1</v>
      </c>
      <c r="I12545" s="788">
        <v>41894</v>
      </c>
      <c r="J12545" s="788">
        <v>41871</v>
      </c>
      <c r="K12545" s="788">
        <v>41870</v>
      </c>
      <c r="L12545" s="787">
        <v>47.19</v>
      </c>
      <c r="M12545" s="787">
        <v>20</v>
      </c>
      <c r="N12545" s="787">
        <v>50.73</v>
      </c>
      <c r="O12545" s="788">
        <v>41870</v>
      </c>
    </row>
    <row r="12546" spans="1:15" x14ac:dyDescent="0.25">
      <c r="A12546" s="786" t="s">
        <v>22439</v>
      </c>
      <c r="B12546" s="787">
        <v>4</v>
      </c>
      <c r="C12546" s="787" t="s">
        <v>22440</v>
      </c>
      <c r="D12546" s="787">
        <v>1</v>
      </c>
      <c r="E12546" s="787">
        <v>31</v>
      </c>
      <c r="F12546" s="788">
        <v>41879</v>
      </c>
      <c r="G12546" s="788">
        <v>41871</v>
      </c>
      <c r="H12546" s="787">
        <v>1</v>
      </c>
      <c r="I12546" s="788">
        <v>41894</v>
      </c>
      <c r="J12546" s="788">
        <v>41871</v>
      </c>
      <c r="K12546" s="788">
        <v>41870</v>
      </c>
      <c r="L12546" s="787">
        <v>31.03</v>
      </c>
      <c r="M12546" s="787">
        <v>20</v>
      </c>
      <c r="N12546" s="787">
        <v>33.36</v>
      </c>
      <c r="O12546" s="788">
        <v>41870</v>
      </c>
    </row>
    <row r="12547" spans="1:15" x14ac:dyDescent="0.25">
      <c r="A12547" s="786" t="s">
        <v>22441</v>
      </c>
      <c r="B12547" s="787">
        <v>4</v>
      </c>
      <c r="C12547" s="787" t="s">
        <v>22442</v>
      </c>
      <c r="D12547" s="787">
        <v>3.07</v>
      </c>
      <c r="E12547" s="787">
        <v>33.07</v>
      </c>
      <c r="F12547" s="788">
        <v>41879</v>
      </c>
      <c r="G12547" s="788">
        <v>41883</v>
      </c>
      <c r="H12547" s="787">
        <v>1</v>
      </c>
      <c r="I12547" s="788">
        <v>41880</v>
      </c>
      <c r="J12547" s="788">
        <v>41880</v>
      </c>
      <c r="K12547" s="788">
        <v>41870</v>
      </c>
      <c r="L12547" s="787">
        <v>33.090000000000003</v>
      </c>
      <c r="M12547" s="787">
        <v>20</v>
      </c>
      <c r="N12547" s="787">
        <v>35.57</v>
      </c>
      <c r="O12547" s="788">
        <v>41870</v>
      </c>
    </row>
    <row r="12548" spans="1:15" x14ac:dyDescent="0.25">
      <c r="A12548" s="786" t="s">
        <v>22443</v>
      </c>
      <c r="B12548" s="787">
        <v>4</v>
      </c>
      <c r="C12548" s="787" t="s">
        <v>22444</v>
      </c>
      <c r="D12548" s="787">
        <v>0</v>
      </c>
      <c r="E12548" s="787">
        <v>0</v>
      </c>
      <c r="G12548" s="788">
        <v>41964</v>
      </c>
      <c r="H12548" s="787">
        <v>1</v>
      </c>
      <c r="I12548" s="788">
        <v>42003</v>
      </c>
      <c r="J12548" s="788">
        <v>41964</v>
      </c>
      <c r="K12548" s="788">
        <v>41961</v>
      </c>
      <c r="L12548" s="787">
        <v>7.68</v>
      </c>
      <c r="M12548" s="787">
        <v>20</v>
      </c>
      <c r="N12548" s="787">
        <v>37.630000000000003</v>
      </c>
      <c r="O12548" s="788">
        <v>41960</v>
      </c>
    </row>
    <row r="12549" spans="1:15" x14ac:dyDescent="0.25">
      <c r="A12549" s="786" t="s">
        <v>22445</v>
      </c>
      <c r="B12549" s="787">
        <v>4</v>
      </c>
      <c r="C12549" s="787" t="s">
        <v>22446</v>
      </c>
      <c r="D12549" s="787">
        <v>0.22</v>
      </c>
      <c r="E12549" s="787">
        <v>20.22</v>
      </c>
      <c r="F12549" s="788">
        <v>41970</v>
      </c>
      <c r="G12549" s="788">
        <v>41964</v>
      </c>
      <c r="H12549" s="787">
        <v>1</v>
      </c>
      <c r="J12549" s="788">
        <v>41964</v>
      </c>
      <c r="K12549" s="788">
        <v>41961</v>
      </c>
      <c r="L12549" s="787">
        <v>20.22</v>
      </c>
      <c r="M12549" s="787">
        <v>20</v>
      </c>
      <c r="N12549" s="787">
        <v>48.38</v>
      </c>
      <c r="O12549" s="788">
        <v>41960</v>
      </c>
    </row>
    <row r="12550" spans="1:15" x14ac:dyDescent="0.25">
      <c r="A12550" s="786" t="s">
        <v>22447</v>
      </c>
      <c r="B12550" s="787">
        <v>4</v>
      </c>
      <c r="C12550" s="787" t="s">
        <v>22448</v>
      </c>
      <c r="D12550" s="787">
        <v>0.24</v>
      </c>
      <c r="E12550" s="787">
        <v>0.24</v>
      </c>
      <c r="F12550" s="788">
        <v>41792</v>
      </c>
      <c r="G12550" s="788">
        <v>41800</v>
      </c>
      <c r="H12550" s="787">
        <v>1</v>
      </c>
      <c r="I12550" s="788">
        <v>41894</v>
      </c>
      <c r="J12550" s="788">
        <v>41789</v>
      </c>
      <c r="K12550" s="788">
        <v>41786</v>
      </c>
      <c r="L12550" s="787">
        <v>0.23</v>
      </c>
      <c r="M12550" s="787">
        <v>20</v>
      </c>
      <c r="N12550" s="787">
        <v>0.25</v>
      </c>
      <c r="O12550" s="788">
        <v>41858</v>
      </c>
    </row>
    <row r="12551" spans="1:15" x14ac:dyDescent="0.25">
      <c r="A12551" s="786" t="s">
        <v>22449</v>
      </c>
      <c r="B12551" s="787">
        <v>4</v>
      </c>
      <c r="C12551" s="787" t="s">
        <v>22450</v>
      </c>
      <c r="D12551" s="787">
        <v>0.68</v>
      </c>
      <c r="E12551" s="787">
        <v>0.68</v>
      </c>
      <c r="F12551" s="788">
        <v>41850</v>
      </c>
      <c r="G12551" s="788">
        <v>41850</v>
      </c>
      <c r="H12551" s="787">
        <v>1</v>
      </c>
      <c r="I12551" s="788">
        <v>42079</v>
      </c>
      <c r="J12551" s="788">
        <v>42080</v>
      </c>
      <c r="K12551" s="788">
        <v>41786</v>
      </c>
      <c r="L12551" s="787">
        <v>0.68</v>
      </c>
      <c r="M12551" s="787">
        <v>20</v>
      </c>
      <c r="N12551" s="787">
        <v>0.73</v>
      </c>
      <c r="O12551" s="788">
        <v>41858</v>
      </c>
    </row>
    <row r="12552" spans="1:15" x14ac:dyDescent="0.25">
      <c r="A12552" s="786" t="s">
        <v>22451</v>
      </c>
      <c r="B12552" s="787">
        <v>4</v>
      </c>
      <c r="C12552" s="787" t="s">
        <v>22452</v>
      </c>
      <c r="D12552" s="787">
        <v>1.9</v>
      </c>
      <c r="E12552" s="787">
        <v>1.9</v>
      </c>
      <c r="F12552" s="788">
        <v>41792</v>
      </c>
      <c r="G12552" s="788">
        <v>41800</v>
      </c>
      <c r="H12552" s="787">
        <v>1</v>
      </c>
      <c r="I12552" s="788">
        <v>42079</v>
      </c>
      <c r="J12552" s="788">
        <v>42080</v>
      </c>
      <c r="K12552" s="788">
        <v>41786</v>
      </c>
      <c r="L12552" s="787">
        <v>1.9</v>
      </c>
      <c r="M12552" s="787">
        <v>20</v>
      </c>
      <c r="N12552" s="787">
        <v>2.04</v>
      </c>
      <c r="O12552" s="788">
        <v>41858</v>
      </c>
    </row>
    <row r="12553" spans="1:15" x14ac:dyDescent="0.25">
      <c r="A12553" s="786" t="s">
        <v>22453</v>
      </c>
      <c r="B12553" s="787">
        <v>4</v>
      </c>
      <c r="C12553" s="787" t="s">
        <v>22454</v>
      </c>
      <c r="D12553" s="787">
        <v>0.68</v>
      </c>
      <c r="E12553" s="787">
        <v>0.68</v>
      </c>
      <c r="F12553" s="788">
        <v>41792</v>
      </c>
      <c r="G12553" s="788">
        <v>41800</v>
      </c>
      <c r="H12553" s="787">
        <v>1</v>
      </c>
      <c r="I12553" s="788">
        <v>41894</v>
      </c>
      <c r="J12553" s="788">
        <v>41789</v>
      </c>
      <c r="K12553" s="788">
        <v>41786</v>
      </c>
      <c r="L12553" s="787">
        <v>0.68</v>
      </c>
      <c r="M12553" s="787">
        <v>20</v>
      </c>
      <c r="N12553" s="787">
        <v>0.73</v>
      </c>
      <c r="O12553" s="788">
        <v>41858</v>
      </c>
    </row>
    <row r="12554" spans="1:15" x14ac:dyDescent="0.25">
      <c r="A12554" s="786" t="s">
        <v>22455</v>
      </c>
      <c r="B12554" s="787">
        <v>4</v>
      </c>
      <c r="C12554" s="787" t="s">
        <v>22456</v>
      </c>
      <c r="D12554" s="787">
        <v>4.8</v>
      </c>
      <c r="E12554" s="787">
        <v>14.8</v>
      </c>
      <c r="F12554" s="788">
        <v>42059</v>
      </c>
      <c r="G12554" s="788">
        <v>42064</v>
      </c>
      <c r="H12554" s="787">
        <v>1</v>
      </c>
      <c r="J12554" s="788">
        <v>42059</v>
      </c>
      <c r="K12554" s="788">
        <v>42054</v>
      </c>
      <c r="L12554" s="787">
        <v>14.58</v>
      </c>
      <c r="M12554" s="787">
        <v>20</v>
      </c>
      <c r="N12554" s="787">
        <v>15.67</v>
      </c>
      <c r="O12554" s="788">
        <v>42054</v>
      </c>
    </row>
    <row r="12555" spans="1:15" x14ac:dyDescent="0.25">
      <c r="A12555" s="786" t="s">
        <v>22457</v>
      </c>
      <c r="B12555" s="787">
        <v>4</v>
      </c>
      <c r="C12555" s="787" t="s">
        <v>22458</v>
      </c>
      <c r="D12555" s="787">
        <v>9.39</v>
      </c>
      <c r="E12555" s="787">
        <v>159.55000000000001</v>
      </c>
      <c r="F12555" s="788">
        <v>39101</v>
      </c>
      <c r="G12555" s="788">
        <v>40091</v>
      </c>
      <c r="H12555" s="787">
        <v>1</v>
      </c>
      <c r="I12555" s="788">
        <v>39134</v>
      </c>
      <c r="J12555" s="788">
        <v>40093</v>
      </c>
      <c r="K12555" s="788">
        <v>40091</v>
      </c>
      <c r="L12555" s="787">
        <v>153.09</v>
      </c>
      <c r="M12555" s="787">
        <v>20</v>
      </c>
      <c r="N12555" s="787">
        <v>164.57</v>
      </c>
      <c r="O12555" s="788">
        <v>41858</v>
      </c>
    </row>
    <row r="12556" spans="1:15" x14ac:dyDescent="0.25">
      <c r="A12556" s="786" t="s">
        <v>22459</v>
      </c>
      <c r="B12556" s="787">
        <v>4</v>
      </c>
      <c r="C12556" s="787" t="s">
        <v>22460</v>
      </c>
      <c r="D12556" s="787">
        <v>3.67</v>
      </c>
      <c r="E12556" s="787">
        <v>52.03</v>
      </c>
      <c r="F12556" s="788">
        <v>39101</v>
      </c>
      <c r="G12556" s="788">
        <v>39101</v>
      </c>
      <c r="H12556" s="787">
        <v>1</v>
      </c>
      <c r="I12556" s="788">
        <v>39134</v>
      </c>
      <c r="J12556" s="788">
        <v>39149</v>
      </c>
      <c r="L12556" s="787">
        <v>56.71</v>
      </c>
      <c r="M12556" s="787">
        <v>20</v>
      </c>
      <c r="N12556" s="787">
        <v>60.96</v>
      </c>
      <c r="O12556" s="788">
        <v>41858</v>
      </c>
    </row>
    <row r="12557" spans="1:15" x14ac:dyDescent="0.25">
      <c r="A12557" s="786" t="s">
        <v>22461</v>
      </c>
      <c r="B12557" s="787">
        <v>4</v>
      </c>
      <c r="C12557" s="787" t="s">
        <v>22462</v>
      </c>
      <c r="D12557" s="787">
        <v>4.3</v>
      </c>
      <c r="E12557" s="787">
        <v>104.3</v>
      </c>
      <c r="F12557" s="788">
        <v>39101</v>
      </c>
      <c r="G12557" s="788">
        <v>39101</v>
      </c>
      <c r="H12557" s="787">
        <v>1</v>
      </c>
      <c r="I12557" s="788">
        <v>39134</v>
      </c>
      <c r="J12557" s="788">
        <v>39149</v>
      </c>
      <c r="L12557" s="787">
        <v>98.32</v>
      </c>
      <c r="M12557" s="787">
        <v>20</v>
      </c>
      <c r="N12557" s="787">
        <v>105.69</v>
      </c>
      <c r="O12557" s="788">
        <v>41858</v>
      </c>
    </row>
    <row r="12558" spans="1:15" x14ac:dyDescent="0.25">
      <c r="A12558" s="786" t="s">
        <v>22463</v>
      </c>
      <c r="B12558" s="787">
        <v>4</v>
      </c>
      <c r="C12558" s="787" t="s">
        <v>22464</v>
      </c>
      <c r="D12558" s="787">
        <v>3.39</v>
      </c>
      <c r="E12558" s="787">
        <v>153.38999999999999</v>
      </c>
      <c r="F12558" s="788">
        <v>37641</v>
      </c>
      <c r="G12558" s="788">
        <v>37641</v>
      </c>
      <c r="H12558" s="787">
        <v>1</v>
      </c>
      <c r="I12558" s="788">
        <v>37100</v>
      </c>
      <c r="J12558" s="788">
        <v>37641</v>
      </c>
      <c r="L12558" s="787">
        <v>167.2</v>
      </c>
      <c r="M12558" s="787">
        <v>20</v>
      </c>
      <c r="N12558" s="787">
        <v>179.74</v>
      </c>
      <c r="O12558" s="788">
        <v>41858</v>
      </c>
    </row>
    <row r="12559" spans="1:15" x14ac:dyDescent="0.25">
      <c r="A12559" s="786" t="s">
        <v>22465</v>
      </c>
      <c r="B12559" s="787">
        <v>4</v>
      </c>
      <c r="C12559" s="787" t="s">
        <v>22466</v>
      </c>
      <c r="D12559" s="787">
        <v>7.6</v>
      </c>
      <c r="E12559" s="787">
        <v>47.6</v>
      </c>
      <c r="F12559" s="788">
        <v>42078</v>
      </c>
      <c r="G12559" s="788">
        <v>42072</v>
      </c>
      <c r="H12559" s="787">
        <v>1</v>
      </c>
      <c r="J12559" s="788">
        <v>42072</v>
      </c>
      <c r="K12559" s="788">
        <v>42069</v>
      </c>
      <c r="L12559" s="787">
        <v>47.6</v>
      </c>
      <c r="M12559" s="787">
        <v>20</v>
      </c>
      <c r="N12559" s="787">
        <v>51.17</v>
      </c>
      <c r="O12559" s="788">
        <v>42069</v>
      </c>
    </row>
    <row r="12560" spans="1:15" x14ac:dyDescent="0.25">
      <c r="A12560" s="786" t="s">
        <v>22467</v>
      </c>
      <c r="B12560" s="787">
        <v>4</v>
      </c>
      <c r="C12560" s="787" t="s">
        <v>22468</v>
      </c>
      <c r="D12560" s="787">
        <v>2.2999999999999998</v>
      </c>
      <c r="E12560" s="787">
        <v>142.30000000000001</v>
      </c>
      <c r="F12560" s="788">
        <v>42078</v>
      </c>
      <c r="G12560" s="788">
        <v>42072</v>
      </c>
      <c r="H12560" s="787">
        <v>1</v>
      </c>
      <c r="J12560" s="788">
        <v>42072</v>
      </c>
      <c r="K12560" s="788">
        <v>42069</v>
      </c>
      <c r="L12560" s="787">
        <v>142.29</v>
      </c>
      <c r="M12560" s="787">
        <v>20</v>
      </c>
      <c r="N12560" s="787">
        <v>152.96</v>
      </c>
      <c r="O12560" s="788">
        <v>42069</v>
      </c>
    </row>
    <row r="12561" spans="1:15" x14ac:dyDescent="0.25">
      <c r="A12561" s="786" t="s">
        <v>22469</v>
      </c>
      <c r="B12561" s="787">
        <v>4</v>
      </c>
      <c r="C12561" s="787" t="s">
        <v>22470</v>
      </c>
      <c r="D12561" s="787">
        <v>9.77</v>
      </c>
      <c r="E12561" s="787">
        <v>39.770000000000003</v>
      </c>
      <c r="F12561" s="788">
        <v>42078</v>
      </c>
      <c r="G12561" s="788">
        <v>42072</v>
      </c>
      <c r="H12561" s="787">
        <v>1</v>
      </c>
      <c r="J12561" s="788">
        <v>42072</v>
      </c>
      <c r="K12561" s="788">
        <v>42069</v>
      </c>
      <c r="L12561" s="787">
        <v>39.770000000000003</v>
      </c>
      <c r="M12561" s="787">
        <v>20</v>
      </c>
      <c r="N12561" s="787">
        <v>42.75</v>
      </c>
      <c r="O12561" s="788">
        <v>42069</v>
      </c>
    </row>
    <row r="12562" spans="1:15" x14ac:dyDescent="0.25">
      <c r="A12562" s="786" t="s">
        <v>22471</v>
      </c>
      <c r="B12562" s="787">
        <v>4</v>
      </c>
      <c r="C12562" s="787" t="s">
        <v>22472</v>
      </c>
      <c r="D12562" s="787">
        <v>2.2999999999999998</v>
      </c>
      <c r="E12562" s="787">
        <v>132.30000000000001</v>
      </c>
      <c r="F12562" s="788">
        <v>42078</v>
      </c>
      <c r="G12562" s="788">
        <v>42072</v>
      </c>
      <c r="H12562" s="787">
        <v>1</v>
      </c>
      <c r="J12562" s="788">
        <v>42072</v>
      </c>
      <c r="K12562" s="788">
        <v>42069</v>
      </c>
      <c r="L12562" s="787">
        <v>132.30000000000001</v>
      </c>
      <c r="M12562" s="787">
        <v>20</v>
      </c>
      <c r="N12562" s="787">
        <v>142.22</v>
      </c>
      <c r="O12562" s="788">
        <v>42069</v>
      </c>
    </row>
    <row r="12563" spans="1:15" x14ac:dyDescent="0.25">
      <c r="A12563" s="786" t="s">
        <v>22473</v>
      </c>
      <c r="B12563" s="787">
        <v>4</v>
      </c>
      <c r="C12563" s="787" t="s">
        <v>22474</v>
      </c>
      <c r="D12563" s="787">
        <v>0.2</v>
      </c>
      <c r="E12563" s="787">
        <v>30.2</v>
      </c>
      <c r="F12563" s="788">
        <v>42078</v>
      </c>
      <c r="G12563" s="788">
        <v>42072</v>
      </c>
      <c r="H12563" s="787">
        <v>1</v>
      </c>
      <c r="J12563" s="788">
        <v>42072</v>
      </c>
      <c r="K12563" s="788">
        <v>42069</v>
      </c>
      <c r="L12563" s="787">
        <v>30.18</v>
      </c>
      <c r="M12563" s="787">
        <v>20</v>
      </c>
      <c r="N12563" s="787">
        <v>32.44</v>
      </c>
      <c r="O12563" s="788">
        <v>42069</v>
      </c>
    </row>
    <row r="12564" spans="1:15" x14ac:dyDescent="0.25">
      <c r="A12564" s="786" t="s">
        <v>22475</v>
      </c>
      <c r="B12564" s="787">
        <v>4</v>
      </c>
      <c r="C12564" s="787" t="s">
        <v>22476</v>
      </c>
      <c r="D12564" s="787">
        <v>1.2</v>
      </c>
      <c r="E12564" s="787">
        <v>21.2</v>
      </c>
      <c r="F12564" s="788">
        <v>42078</v>
      </c>
      <c r="G12564" s="788">
        <v>42072</v>
      </c>
      <c r="H12564" s="787">
        <v>1</v>
      </c>
      <c r="J12564" s="788">
        <v>42072</v>
      </c>
      <c r="K12564" s="788">
        <v>42069</v>
      </c>
      <c r="L12564" s="787">
        <v>21.11</v>
      </c>
      <c r="M12564" s="787">
        <v>20</v>
      </c>
      <c r="N12564" s="787">
        <v>22.69</v>
      </c>
      <c r="O12564" s="788">
        <v>42069</v>
      </c>
    </row>
    <row r="12565" spans="1:15" x14ac:dyDescent="0.25">
      <c r="A12565" s="786" t="s">
        <v>22477</v>
      </c>
      <c r="B12565" s="787">
        <v>4</v>
      </c>
      <c r="C12565" s="787" t="s">
        <v>22478</v>
      </c>
      <c r="D12565" s="787">
        <v>1.1000000000000001</v>
      </c>
      <c r="E12565" s="787">
        <v>21.1</v>
      </c>
      <c r="F12565" s="788">
        <v>42078</v>
      </c>
      <c r="G12565" s="788">
        <v>42072</v>
      </c>
      <c r="H12565" s="787">
        <v>1</v>
      </c>
      <c r="J12565" s="788">
        <v>42072</v>
      </c>
      <c r="K12565" s="788">
        <v>42069</v>
      </c>
      <c r="L12565" s="787">
        <v>21.11</v>
      </c>
      <c r="M12565" s="787">
        <v>20</v>
      </c>
      <c r="N12565" s="787">
        <v>22.69</v>
      </c>
      <c r="O12565" s="788">
        <v>42069</v>
      </c>
    </row>
    <row r="12566" spans="1:15" x14ac:dyDescent="0.25">
      <c r="A12566" s="786" t="s">
        <v>22479</v>
      </c>
      <c r="B12566" s="787">
        <v>4</v>
      </c>
      <c r="C12566" s="787" t="s">
        <v>22480</v>
      </c>
      <c r="D12566" s="787">
        <v>4.3</v>
      </c>
      <c r="E12566" s="787">
        <v>474.3</v>
      </c>
      <c r="F12566" s="788">
        <v>42078</v>
      </c>
      <c r="G12566" s="788">
        <v>42072</v>
      </c>
      <c r="H12566" s="787">
        <v>1</v>
      </c>
      <c r="J12566" s="788">
        <v>42072</v>
      </c>
      <c r="K12566" s="788">
        <v>42069</v>
      </c>
      <c r="L12566" s="787">
        <v>474.28</v>
      </c>
      <c r="M12566" s="787">
        <v>20</v>
      </c>
      <c r="N12566" s="787">
        <v>509.85</v>
      </c>
      <c r="O12566" s="788">
        <v>42069</v>
      </c>
    </row>
    <row r="12567" spans="1:15" x14ac:dyDescent="0.25">
      <c r="A12567" s="786" t="s">
        <v>22481</v>
      </c>
      <c r="B12567" s="787">
        <v>4</v>
      </c>
      <c r="C12567" s="787" t="s">
        <v>22482</v>
      </c>
      <c r="D12567" s="787">
        <v>3</v>
      </c>
      <c r="E12567" s="787">
        <v>43</v>
      </c>
      <c r="F12567" s="788">
        <v>42078</v>
      </c>
      <c r="G12567" s="788">
        <v>42072</v>
      </c>
      <c r="H12567" s="787">
        <v>1</v>
      </c>
      <c r="J12567" s="788">
        <v>42072</v>
      </c>
      <c r="K12567" s="788">
        <v>42069</v>
      </c>
      <c r="L12567" s="787">
        <v>43.03</v>
      </c>
      <c r="M12567" s="787">
        <v>20</v>
      </c>
      <c r="N12567" s="787">
        <v>46.26</v>
      </c>
      <c r="O12567" s="788">
        <v>42069</v>
      </c>
    </row>
    <row r="12568" spans="1:15" x14ac:dyDescent="0.25">
      <c r="A12568" s="786" t="s">
        <v>22483</v>
      </c>
      <c r="B12568" s="787">
        <v>4</v>
      </c>
      <c r="C12568" s="787" t="s">
        <v>22484</v>
      </c>
      <c r="D12568" s="787">
        <v>3</v>
      </c>
      <c r="E12568" s="787">
        <v>43</v>
      </c>
      <c r="F12568" s="788">
        <v>42078</v>
      </c>
      <c r="G12568" s="788">
        <v>42072</v>
      </c>
      <c r="H12568" s="787">
        <v>1</v>
      </c>
      <c r="J12568" s="788">
        <v>42072</v>
      </c>
      <c r="K12568" s="788">
        <v>42069</v>
      </c>
      <c r="L12568" s="787">
        <v>43.03</v>
      </c>
      <c r="M12568" s="787">
        <v>20</v>
      </c>
      <c r="N12568" s="787">
        <v>46.26</v>
      </c>
      <c r="O12568" s="788">
        <v>42069</v>
      </c>
    </row>
    <row r="12569" spans="1:15" x14ac:dyDescent="0.25">
      <c r="A12569" s="786" t="s">
        <v>22485</v>
      </c>
      <c r="B12569" s="787">
        <v>4</v>
      </c>
      <c r="C12569" s="787" t="s">
        <v>22486</v>
      </c>
      <c r="D12569" s="787">
        <v>7.7</v>
      </c>
      <c r="E12569" s="787">
        <v>37.700000000000003</v>
      </c>
      <c r="F12569" s="788">
        <v>42078</v>
      </c>
      <c r="G12569" s="788">
        <v>42072</v>
      </c>
      <c r="H12569" s="787">
        <v>1</v>
      </c>
      <c r="J12569" s="788">
        <v>42072</v>
      </c>
      <c r="K12569" s="788">
        <v>42069</v>
      </c>
      <c r="L12569" s="787">
        <v>37.68</v>
      </c>
      <c r="M12569" s="787">
        <v>20</v>
      </c>
      <c r="N12569" s="787">
        <v>40.51</v>
      </c>
      <c r="O12569" s="788">
        <v>42069</v>
      </c>
    </row>
    <row r="12570" spans="1:15" x14ac:dyDescent="0.25">
      <c r="A12570" s="786" t="s">
        <v>22487</v>
      </c>
      <c r="B12570" s="787">
        <v>4</v>
      </c>
      <c r="C12570" s="787" t="s">
        <v>22488</v>
      </c>
      <c r="D12570" s="787">
        <v>3</v>
      </c>
      <c r="E12570" s="787">
        <v>43</v>
      </c>
      <c r="F12570" s="788">
        <v>42078</v>
      </c>
      <c r="G12570" s="788">
        <v>42072</v>
      </c>
      <c r="H12570" s="787">
        <v>1</v>
      </c>
      <c r="J12570" s="788">
        <v>42072</v>
      </c>
      <c r="K12570" s="788">
        <v>42069</v>
      </c>
      <c r="L12570" s="787">
        <v>43.03</v>
      </c>
      <c r="M12570" s="787">
        <v>20</v>
      </c>
      <c r="N12570" s="787">
        <v>46.26</v>
      </c>
      <c r="O12570" s="788">
        <v>42069</v>
      </c>
    </row>
    <row r="12571" spans="1:15" x14ac:dyDescent="0.25">
      <c r="A12571" s="786" t="s">
        <v>22489</v>
      </c>
      <c r="B12571" s="787">
        <v>4</v>
      </c>
      <c r="C12571" s="787" t="s">
        <v>22490</v>
      </c>
      <c r="D12571" s="787">
        <v>2.98</v>
      </c>
      <c r="E12571" s="787">
        <v>52.98</v>
      </c>
      <c r="F12571" s="788">
        <v>41715</v>
      </c>
      <c r="G12571" s="788">
        <v>42131</v>
      </c>
      <c r="H12571" s="787">
        <v>1</v>
      </c>
      <c r="I12571" s="788">
        <v>42144</v>
      </c>
      <c r="J12571" s="788">
        <v>42131</v>
      </c>
      <c r="K12571" s="788">
        <v>41690</v>
      </c>
      <c r="L12571" s="787">
        <v>54</v>
      </c>
      <c r="M12571" s="787">
        <v>20</v>
      </c>
      <c r="N12571" s="787">
        <v>58.05</v>
      </c>
      <c r="O12571" s="788">
        <v>41858</v>
      </c>
    </row>
    <row r="12572" spans="1:15" x14ac:dyDescent="0.25">
      <c r="A12572" s="786" t="s">
        <v>22491</v>
      </c>
      <c r="B12572" s="787">
        <v>4</v>
      </c>
      <c r="C12572" s="787" t="s">
        <v>22492</v>
      </c>
      <c r="D12572" s="787">
        <v>0.12</v>
      </c>
      <c r="E12572" s="787">
        <v>0.12</v>
      </c>
      <c r="F12572" s="788">
        <v>39848</v>
      </c>
      <c r="G12572" s="788">
        <v>39848</v>
      </c>
      <c r="H12572" s="787">
        <v>1</v>
      </c>
      <c r="J12572" s="788">
        <v>39850</v>
      </c>
      <c r="L12572" s="787">
        <v>0.12</v>
      </c>
      <c r="M12572" s="787">
        <v>20</v>
      </c>
      <c r="N12572" s="787">
        <v>0.13</v>
      </c>
      <c r="O12572" s="788">
        <v>41858</v>
      </c>
    </row>
    <row r="12573" spans="1:15" x14ac:dyDescent="0.25">
      <c r="A12573" s="786" t="s">
        <v>22493</v>
      </c>
      <c r="B12573" s="787">
        <v>4</v>
      </c>
      <c r="C12573" s="787" t="s">
        <v>22494</v>
      </c>
      <c r="D12573" s="787">
        <v>0.12</v>
      </c>
      <c r="E12573" s="787">
        <v>0.12</v>
      </c>
      <c r="F12573" s="788">
        <v>39848</v>
      </c>
      <c r="G12573" s="788">
        <v>40553</v>
      </c>
      <c r="H12573" s="787">
        <v>1</v>
      </c>
      <c r="J12573" s="788">
        <v>39850</v>
      </c>
      <c r="L12573" s="787">
        <v>0.12</v>
      </c>
      <c r="M12573" s="787">
        <v>20</v>
      </c>
      <c r="N12573" s="787">
        <v>0.13</v>
      </c>
      <c r="O12573" s="788">
        <v>41858</v>
      </c>
    </row>
    <row r="12574" spans="1:15" x14ac:dyDescent="0.25">
      <c r="A12574" s="786" t="s">
        <v>22495</v>
      </c>
      <c r="B12574" s="787">
        <v>4</v>
      </c>
      <c r="C12574" s="787" t="s">
        <v>22496</v>
      </c>
      <c r="D12574" s="787">
        <v>3.57</v>
      </c>
      <c r="E12574" s="787">
        <v>23.57</v>
      </c>
      <c r="F12574" s="788">
        <v>39848</v>
      </c>
      <c r="G12574" s="788">
        <v>40553</v>
      </c>
      <c r="H12574" s="787">
        <v>1</v>
      </c>
      <c r="J12574" s="788">
        <v>39850</v>
      </c>
      <c r="L12574" s="787">
        <v>23.57</v>
      </c>
      <c r="M12574" s="787">
        <v>20</v>
      </c>
      <c r="N12574" s="787">
        <v>25.34</v>
      </c>
      <c r="O12574" s="788">
        <v>41858</v>
      </c>
    </row>
    <row r="12575" spans="1:15" x14ac:dyDescent="0.25">
      <c r="A12575" s="786" t="s">
        <v>22497</v>
      </c>
      <c r="B12575" s="787">
        <v>4</v>
      </c>
      <c r="C12575" s="787" t="s">
        <v>22498</v>
      </c>
      <c r="D12575" s="787">
        <v>1.53</v>
      </c>
      <c r="E12575" s="787">
        <v>21.53</v>
      </c>
      <c r="F12575" s="788">
        <v>37641</v>
      </c>
      <c r="G12575" s="788">
        <v>37641</v>
      </c>
      <c r="H12575" s="787">
        <v>1</v>
      </c>
      <c r="J12575" s="788">
        <v>37641</v>
      </c>
      <c r="L12575" s="787">
        <v>2.75</v>
      </c>
      <c r="M12575" s="787">
        <v>10</v>
      </c>
      <c r="N12575" s="787">
        <v>4.34</v>
      </c>
      <c r="O12575" s="788">
        <v>42087</v>
      </c>
    </row>
    <row r="12576" spans="1:15" x14ac:dyDescent="0.25">
      <c r="A12576" s="786" t="s">
        <v>22499</v>
      </c>
      <c r="B12576" s="787">
        <v>4</v>
      </c>
      <c r="C12576" s="787" t="s">
        <v>22500</v>
      </c>
      <c r="D12576" s="787">
        <v>4.75</v>
      </c>
      <c r="E12576" s="787">
        <v>24.75</v>
      </c>
      <c r="F12576" s="788">
        <v>37641</v>
      </c>
      <c r="G12576" s="788">
        <v>37641</v>
      </c>
      <c r="H12576" s="787">
        <v>1</v>
      </c>
      <c r="I12576" s="788">
        <v>37540</v>
      </c>
      <c r="J12576" s="788">
        <v>37641</v>
      </c>
      <c r="L12576" s="787">
        <v>2.69</v>
      </c>
      <c r="M12576" s="787">
        <v>10</v>
      </c>
      <c r="N12576" s="787">
        <v>4.26</v>
      </c>
      <c r="O12576" s="788">
        <v>42087</v>
      </c>
    </row>
    <row r="12577" spans="1:15" x14ac:dyDescent="0.25">
      <c r="A12577" s="786" t="s">
        <v>22501</v>
      </c>
      <c r="B12577" s="787">
        <v>4</v>
      </c>
      <c r="C12577" s="787" t="s">
        <v>22502</v>
      </c>
      <c r="D12577" s="787">
        <v>1.75</v>
      </c>
      <c r="E12577" s="787">
        <v>21.75</v>
      </c>
      <c r="F12577" s="788">
        <v>37641</v>
      </c>
      <c r="G12577" s="788">
        <v>37641</v>
      </c>
      <c r="H12577" s="787">
        <v>1</v>
      </c>
      <c r="J12577" s="788">
        <v>37641</v>
      </c>
      <c r="L12577" s="787">
        <v>2.41</v>
      </c>
      <c r="M12577" s="787">
        <v>10</v>
      </c>
      <c r="N12577" s="787">
        <v>3.91</v>
      </c>
      <c r="O12577" s="788">
        <v>42087</v>
      </c>
    </row>
    <row r="12578" spans="1:15" x14ac:dyDescent="0.25">
      <c r="A12578" s="786" t="s">
        <v>22503</v>
      </c>
      <c r="B12578" s="787">
        <v>4</v>
      </c>
      <c r="C12578" s="787" t="s">
        <v>22504</v>
      </c>
      <c r="D12578" s="787">
        <v>1.75</v>
      </c>
      <c r="E12578" s="787">
        <v>21.75</v>
      </c>
      <c r="F12578" s="788">
        <v>37641</v>
      </c>
      <c r="G12578" s="788">
        <v>37641</v>
      </c>
      <c r="H12578" s="787">
        <v>1</v>
      </c>
      <c r="J12578" s="788">
        <v>37641</v>
      </c>
      <c r="L12578" s="787">
        <v>2.69</v>
      </c>
      <c r="M12578" s="787">
        <v>10</v>
      </c>
      <c r="N12578" s="787">
        <v>4.26</v>
      </c>
      <c r="O12578" s="788">
        <v>42083</v>
      </c>
    </row>
    <row r="12579" spans="1:15" x14ac:dyDescent="0.25">
      <c r="A12579" s="786" t="s">
        <v>22505</v>
      </c>
      <c r="B12579" s="787">
        <v>4</v>
      </c>
      <c r="C12579" s="787" t="s">
        <v>22506</v>
      </c>
      <c r="D12579" s="787">
        <v>1.75</v>
      </c>
      <c r="E12579" s="787">
        <v>21.75</v>
      </c>
      <c r="F12579" s="788">
        <v>37641</v>
      </c>
      <c r="G12579" s="788">
        <v>37641</v>
      </c>
      <c r="H12579" s="787">
        <v>1</v>
      </c>
      <c r="J12579" s="788">
        <v>37641</v>
      </c>
      <c r="L12579" s="787">
        <v>3.5</v>
      </c>
      <c r="M12579" s="787">
        <v>10</v>
      </c>
      <c r="N12579" s="787">
        <v>5.32</v>
      </c>
      <c r="O12579" s="788">
        <v>42082</v>
      </c>
    </row>
    <row r="12580" spans="1:15" x14ac:dyDescent="0.25">
      <c r="A12580" s="786" t="s">
        <v>22507</v>
      </c>
      <c r="B12580" s="787">
        <v>4</v>
      </c>
      <c r="C12580" s="787" t="s">
        <v>22508</v>
      </c>
      <c r="D12580" s="787">
        <v>2.75</v>
      </c>
      <c r="E12580" s="787">
        <v>22.75</v>
      </c>
      <c r="F12580" s="788">
        <v>37641</v>
      </c>
      <c r="G12580" s="788">
        <v>37641</v>
      </c>
      <c r="H12580" s="787">
        <v>1</v>
      </c>
      <c r="J12580" s="788">
        <v>37641</v>
      </c>
      <c r="L12580" s="787">
        <v>3.87</v>
      </c>
      <c r="M12580" s="787">
        <v>10</v>
      </c>
      <c r="N12580" s="787">
        <v>5.79</v>
      </c>
      <c r="O12580" s="788">
        <v>42083</v>
      </c>
    </row>
    <row r="12581" spans="1:15" x14ac:dyDescent="0.25">
      <c r="A12581" s="786" t="s">
        <v>22509</v>
      </c>
      <c r="B12581" s="787">
        <v>4</v>
      </c>
      <c r="C12581" s="787" t="s">
        <v>22510</v>
      </c>
      <c r="D12581" s="787">
        <v>8.6999999999999993</v>
      </c>
      <c r="E12581" s="787">
        <v>18.7</v>
      </c>
      <c r="F12581" s="788">
        <v>37641</v>
      </c>
      <c r="G12581" s="788">
        <v>37641</v>
      </c>
      <c r="H12581" s="787">
        <v>1</v>
      </c>
      <c r="J12581" s="788">
        <v>37641</v>
      </c>
      <c r="L12581" s="787">
        <v>2.97</v>
      </c>
      <c r="M12581" s="787">
        <v>10</v>
      </c>
      <c r="N12581" s="787">
        <v>4.63</v>
      </c>
      <c r="O12581" s="788">
        <v>42087</v>
      </c>
    </row>
    <row r="12582" spans="1:15" x14ac:dyDescent="0.25">
      <c r="A12582" s="786" t="s">
        <v>22511</v>
      </c>
      <c r="B12582" s="787">
        <v>4</v>
      </c>
      <c r="C12582" s="787" t="s">
        <v>22512</v>
      </c>
      <c r="D12582" s="787">
        <v>6.11</v>
      </c>
      <c r="E12582" s="787">
        <v>6.11</v>
      </c>
      <c r="F12582" s="788">
        <v>38606</v>
      </c>
      <c r="G12582" s="788">
        <v>38606</v>
      </c>
      <c r="H12582" s="787">
        <v>1</v>
      </c>
      <c r="I12582" s="788">
        <v>38736</v>
      </c>
      <c r="J12582" s="788">
        <v>38313</v>
      </c>
      <c r="L12582" s="787">
        <v>7.44</v>
      </c>
      <c r="M12582" s="787">
        <v>10</v>
      </c>
      <c r="N12582" s="787">
        <v>8.5399999999999991</v>
      </c>
      <c r="O12582" s="788">
        <v>41858</v>
      </c>
    </row>
    <row r="12583" spans="1:15" x14ac:dyDescent="0.25">
      <c r="A12583" s="786" t="s">
        <v>22513</v>
      </c>
      <c r="B12583" s="787">
        <v>4</v>
      </c>
      <c r="C12583" s="787" t="s">
        <v>22514</v>
      </c>
      <c r="D12583" s="787">
        <v>2.08</v>
      </c>
      <c r="E12583" s="787">
        <v>2.08</v>
      </c>
      <c r="F12583" s="788">
        <v>38606</v>
      </c>
      <c r="G12583" s="788">
        <v>38606</v>
      </c>
      <c r="H12583" s="787">
        <v>1</v>
      </c>
      <c r="I12583" s="788">
        <v>38736</v>
      </c>
      <c r="J12583" s="788">
        <v>38420</v>
      </c>
      <c r="L12583" s="787">
        <v>2.37</v>
      </c>
      <c r="M12583" s="787">
        <v>10</v>
      </c>
      <c r="N12583" s="787">
        <v>3.35</v>
      </c>
      <c r="O12583" s="788">
        <v>41858</v>
      </c>
    </row>
    <row r="12584" spans="1:15" x14ac:dyDescent="0.25">
      <c r="A12584" s="786" t="s">
        <v>22515</v>
      </c>
      <c r="B12584" s="787">
        <v>4</v>
      </c>
      <c r="C12584" s="787" t="s">
        <v>22516</v>
      </c>
      <c r="D12584" s="787">
        <v>1.39</v>
      </c>
      <c r="E12584" s="787">
        <v>8.27</v>
      </c>
      <c r="F12584" s="788">
        <v>39456</v>
      </c>
      <c r="G12584" s="788">
        <v>41969</v>
      </c>
      <c r="H12584" s="787">
        <v>1</v>
      </c>
      <c r="I12584" s="788">
        <v>42156</v>
      </c>
      <c r="J12584" s="788">
        <v>41949</v>
      </c>
      <c r="L12584" s="787">
        <v>3.55</v>
      </c>
      <c r="M12584" s="787">
        <v>10</v>
      </c>
      <c r="N12584" s="787">
        <v>9.1300000000000008</v>
      </c>
      <c r="O12584" s="788">
        <v>42152</v>
      </c>
    </row>
    <row r="12585" spans="1:15" x14ac:dyDescent="0.25">
      <c r="A12585" s="786" t="s">
        <v>22517</v>
      </c>
      <c r="B12585" s="787">
        <v>4</v>
      </c>
      <c r="C12585" s="787" t="s">
        <v>22518</v>
      </c>
      <c r="D12585" s="787">
        <v>0</v>
      </c>
      <c r="E12585" s="787">
        <v>0</v>
      </c>
      <c r="H12585" s="787">
        <v>1</v>
      </c>
      <c r="J12585" s="788">
        <v>37641</v>
      </c>
      <c r="L12585" s="787">
        <v>4.5</v>
      </c>
      <c r="M12585" s="787">
        <v>10</v>
      </c>
      <c r="N12585" s="787">
        <v>5.86</v>
      </c>
      <c r="O12585" s="788">
        <v>42083</v>
      </c>
    </row>
    <row r="12586" spans="1:15" x14ac:dyDescent="0.25">
      <c r="A12586" s="786" t="s">
        <v>22519</v>
      </c>
      <c r="B12586" s="787">
        <v>4</v>
      </c>
      <c r="C12586" s="787" t="s">
        <v>22520</v>
      </c>
      <c r="D12586" s="787">
        <v>7.0000000000000007E-2</v>
      </c>
      <c r="E12586" s="787">
        <v>2.84</v>
      </c>
      <c r="F12586" s="788">
        <v>39974</v>
      </c>
      <c r="G12586" s="788">
        <v>42128</v>
      </c>
      <c r="H12586" s="787">
        <v>1</v>
      </c>
      <c r="I12586" s="788">
        <v>42152</v>
      </c>
      <c r="J12586" s="788">
        <v>42104</v>
      </c>
      <c r="L12586" s="787">
        <v>0.94</v>
      </c>
      <c r="M12586" s="787">
        <v>10</v>
      </c>
      <c r="N12586" s="787">
        <v>2.0699999999999998</v>
      </c>
      <c r="O12586" s="788">
        <v>42146</v>
      </c>
    </row>
    <row r="12587" spans="1:15" x14ac:dyDescent="0.25">
      <c r="A12587" s="786" t="s">
        <v>22521</v>
      </c>
      <c r="B12587" s="787">
        <v>4</v>
      </c>
      <c r="C12587" s="787" t="s">
        <v>22522</v>
      </c>
      <c r="D12587" s="787">
        <v>1.18</v>
      </c>
      <c r="E12587" s="787">
        <v>4.66</v>
      </c>
      <c r="F12587" s="788">
        <v>41180</v>
      </c>
      <c r="G12587" s="788">
        <v>42118</v>
      </c>
      <c r="H12587" s="787">
        <v>1</v>
      </c>
      <c r="I12587" s="788">
        <v>42152</v>
      </c>
      <c r="J12587" s="788">
        <v>42094</v>
      </c>
      <c r="K12587" s="788">
        <v>41659</v>
      </c>
      <c r="L12587" s="787">
        <v>1.77</v>
      </c>
      <c r="M12587" s="787">
        <v>10</v>
      </c>
      <c r="N12587" s="787">
        <v>1.77</v>
      </c>
      <c r="O12587" s="788">
        <v>42146</v>
      </c>
    </row>
    <row r="12588" spans="1:15" x14ac:dyDescent="0.25">
      <c r="A12588" s="786" t="s">
        <v>22523</v>
      </c>
      <c r="B12588" s="787">
        <v>4</v>
      </c>
      <c r="C12588" s="787" t="s">
        <v>22524</v>
      </c>
      <c r="D12588" s="787">
        <v>9.49</v>
      </c>
      <c r="E12588" s="787">
        <v>9.49</v>
      </c>
      <c r="F12588" s="788">
        <v>41969</v>
      </c>
      <c r="G12588" s="788">
        <v>41969</v>
      </c>
      <c r="H12588" s="787">
        <v>1</v>
      </c>
      <c r="I12588" s="788">
        <v>41953</v>
      </c>
      <c r="J12588" s="788">
        <v>41949</v>
      </c>
      <c r="K12588" s="788">
        <v>41704</v>
      </c>
      <c r="L12588" s="787">
        <v>9.27</v>
      </c>
      <c r="M12588" s="787">
        <v>10</v>
      </c>
      <c r="N12588" s="787">
        <v>9.17</v>
      </c>
      <c r="O12588" s="788">
        <v>41858</v>
      </c>
    </row>
    <row r="12589" spans="1:15" x14ac:dyDescent="0.25">
      <c r="A12589" s="786" t="s">
        <v>22525</v>
      </c>
      <c r="B12589" s="787">
        <v>4</v>
      </c>
      <c r="C12589" s="787" t="s">
        <v>22526</v>
      </c>
      <c r="D12589" s="787">
        <v>0</v>
      </c>
      <c r="E12589" s="787">
        <v>0</v>
      </c>
      <c r="H12589" s="787">
        <v>1</v>
      </c>
      <c r="I12589" s="788">
        <v>42061</v>
      </c>
      <c r="K12589" s="788">
        <v>42045</v>
      </c>
      <c r="L12589" s="787">
        <v>334.65</v>
      </c>
      <c r="M12589" s="787">
        <v>20</v>
      </c>
      <c r="N12589" s="787">
        <v>359.75</v>
      </c>
      <c r="O12589" s="788">
        <v>42045</v>
      </c>
    </row>
    <row r="12590" spans="1:15" x14ac:dyDescent="0.25">
      <c r="A12590" s="786" t="s">
        <v>22527</v>
      </c>
      <c r="B12590" s="787">
        <v>4</v>
      </c>
      <c r="C12590" s="787" t="s">
        <v>22528</v>
      </c>
      <c r="D12590" s="787">
        <v>0</v>
      </c>
      <c r="E12590" s="787">
        <v>0</v>
      </c>
      <c r="H12590" s="787">
        <v>1</v>
      </c>
      <c r="I12590" s="788">
        <v>42158</v>
      </c>
      <c r="J12590" s="788">
        <v>42153</v>
      </c>
      <c r="K12590" s="788">
        <v>41885</v>
      </c>
      <c r="L12590" s="787">
        <v>364.32</v>
      </c>
      <c r="M12590" s="787">
        <v>20</v>
      </c>
      <c r="N12590" s="787">
        <v>391.64</v>
      </c>
      <c r="O12590" s="788">
        <v>42164</v>
      </c>
    </row>
    <row r="12591" spans="1:15" x14ac:dyDescent="0.25">
      <c r="A12591" s="786" t="s">
        <v>22529</v>
      </c>
      <c r="B12591" s="787">
        <v>4</v>
      </c>
      <c r="C12591" s="787" t="s">
        <v>22530</v>
      </c>
      <c r="D12591" s="787">
        <v>5.88</v>
      </c>
      <c r="E12591" s="787">
        <v>245.88</v>
      </c>
      <c r="F12591" s="788">
        <v>42027</v>
      </c>
      <c r="G12591" s="788">
        <v>42033</v>
      </c>
      <c r="H12591" s="787">
        <v>1</v>
      </c>
      <c r="I12591" s="788">
        <v>42123</v>
      </c>
      <c r="J12591" s="788">
        <v>42024</v>
      </c>
      <c r="K12591" s="788">
        <v>41885</v>
      </c>
      <c r="L12591" s="787">
        <v>270.70999999999998</v>
      </c>
      <c r="M12591" s="787">
        <v>20</v>
      </c>
      <c r="N12591" s="787">
        <v>253.06</v>
      </c>
      <c r="O12591" s="788">
        <v>41858</v>
      </c>
    </row>
    <row r="12592" spans="1:15" x14ac:dyDescent="0.25">
      <c r="A12592" s="786" t="s">
        <v>22531</v>
      </c>
      <c r="B12592" s="787">
        <v>4</v>
      </c>
      <c r="C12592" s="787" t="s">
        <v>22532</v>
      </c>
      <c r="D12592" s="787">
        <v>2.2000000000000002</v>
      </c>
      <c r="E12592" s="787">
        <v>365.66</v>
      </c>
      <c r="F12592" s="788">
        <v>41806</v>
      </c>
      <c r="G12592" s="788">
        <v>42030</v>
      </c>
      <c r="H12592" s="787">
        <v>1</v>
      </c>
      <c r="I12592" s="788">
        <v>42102</v>
      </c>
      <c r="J12592" s="788">
        <v>42019</v>
      </c>
      <c r="K12592" s="788">
        <v>41885</v>
      </c>
      <c r="L12592" s="787">
        <v>382.03</v>
      </c>
      <c r="M12592" s="787">
        <v>20</v>
      </c>
      <c r="N12592" s="787">
        <v>410.68</v>
      </c>
      <c r="O12592" s="788">
        <v>42111</v>
      </c>
    </row>
    <row r="12593" spans="1:15" x14ac:dyDescent="0.25">
      <c r="A12593" s="786" t="s">
        <v>22533</v>
      </c>
      <c r="B12593" s="787">
        <v>4</v>
      </c>
      <c r="C12593" s="787" t="s">
        <v>22534</v>
      </c>
      <c r="D12593" s="787">
        <v>7.86</v>
      </c>
      <c r="E12593" s="787">
        <v>297.86</v>
      </c>
      <c r="F12593" s="788">
        <v>41857</v>
      </c>
      <c r="G12593" s="788">
        <v>41858</v>
      </c>
      <c r="H12593" s="787">
        <v>1</v>
      </c>
      <c r="I12593" s="788">
        <v>41894</v>
      </c>
      <c r="J12593" s="788">
        <v>41855</v>
      </c>
      <c r="K12593" s="788">
        <v>41885</v>
      </c>
      <c r="L12593" s="787">
        <v>332.06</v>
      </c>
      <c r="M12593" s="787">
        <v>20</v>
      </c>
      <c r="N12593" s="787">
        <v>356.96</v>
      </c>
      <c r="O12593" s="788">
        <v>42164</v>
      </c>
    </row>
    <row r="12594" spans="1:15" x14ac:dyDescent="0.25">
      <c r="A12594" s="786" t="s">
        <v>22535</v>
      </c>
      <c r="B12594" s="787">
        <v>4</v>
      </c>
      <c r="C12594" s="787" t="s">
        <v>22536</v>
      </c>
      <c r="D12594" s="787">
        <v>7.37</v>
      </c>
      <c r="E12594" s="787">
        <v>427.37</v>
      </c>
      <c r="F12594" s="788">
        <v>41932</v>
      </c>
      <c r="G12594" s="788">
        <v>41942</v>
      </c>
      <c r="H12594" s="787">
        <v>1</v>
      </c>
      <c r="I12594" s="788">
        <v>41934</v>
      </c>
      <c r="J12594" s="788">
        <v>41928</v>
      </c>
      <c r="K12594" s="788">
        <v>42045</v>
      </c>
      <c r="L12594" s="787">
        <v>478.14</v>
      </c>
      <c r="M12594" s="787">
        <v>20</v>
      </c>
      <c r="N12594" s="787">
        <v>514</v>
      </c>
      <c r="O12594" s="788">
        <v>42164</v>
      </c>
    </row>
    <row r="12595" spans="1:15" x14ac:dyDescent="0.25">
      <c r="A12595" s="786" t="s">
        <v>22537</v>
      </c>
      <c r="B12595" s="787">
        <v>4</v>
      </c>
      <c r="C12595" s="787" t="s">
        <v>22538</v>
      </c>
      <c r="D12595" s="787">
        <v>0</v>
      </c>
      <c r="E12595" s="787">
        <v>0</v>
      </c>
      <c r="H12595" s="787">
        <v>1</v>
      </c>
      <c r="K12595" s="788">
        <v>42045</v>
      </c>
      <c r="L12595" s="787">
        <v>512.33000000000004</v>
      </c>
      <c r="M12595" s="787">
        <v>20</v>
      </c>
      <c r="N12595" s="787">
        <v>550.75</v>
      </c>
      <c r="O12595" s="788">
        <v>42045</v>
      </c>
    </row>
    <row r="12596" spans="1:15" x14ac:dyDescent="0.25">
      <c r="A12596" s="786" t="s">
        <v>22539</v>
      </c>
      <c r="B12596" s="787">
        <v>4</v>
      </c>
      <c r="C12596" s="787" t="s">
        <v>22540</v>
      </c>
      <c r="D12596" s="787">
        <v>7</v>
      </c>
      <c r="E12596" s="787">
        <v>49.02</v>
      </c>
      <c r="F12596" s="788">
        <v>41879</v>
      </c>
      <c r="G12596" s="788">
        <v>42013</v>
      </c>
      <c r="H12596" s="787">
        <v>1</v>
      </c>
      <c r="I12596" s="788">
        <v>41894</v>
      </c>
      <c r="J12596" s="788">
        <v>41879</v>
      </c>
      <c r="K12596" s="788">
        <v>41879</v>
      </c>
      <c r="L12596" s="787">
        <v>49.01</v>
      </c>
      <c r="M12596" s="787">
        <v>20</v>
      </c>
      <c r="N12596" s="787">
        <v>52.69</v>
      </c>
      <c r="O12596" s="788">
        <v>42019</v>
      </c>
    </row>
    <row r="12597" spans="1:15" x14ac:dyDescent="0.25">
      <c r="A12597" s="786" t="s">
        <v>22541</v>
      </c>
      <c r="B12597" s="787">
        <v>4</v>
      </c>
      <c r="C12597" s="787" t="s">
        <v>22542</v>
      </c>
      <c r="D12597" s="787">
        <v>0.66</v>
      </c>
      <c r="E12597" s="787">
        <v>0.66</v>
      </c>
      <c r="F12597" s="788">
        <v>37641</v>
      </c>
      <c r="G12597" s="788">
        <v>38736</v>
      </c>
      <c r="H12597" s="787">
        <v>1</v>
      </c>
      <c r="I12597" s="788">
        <v>38546</v>
      </c>
      <c r="J12597" s="788">
        <v>39101</v>
      </c>
      <c r="L12597" s="787">
        <v>0.72</v>
      </c>
      <c r="M12597" s="787">
        <v>20</v>
      </c>
      <c r="N12597" s="787">
        <v>0.77</v>
      </c>
      <c r="O12597" s="788">
        <v>41858</v>
      </c>
    </row>
    <row r="12598" spans="1:15" x14ac:dyDescent="0.25">
      <c r="A12598" s="786" t="s">
        <v>22543</v>
      </c>
      <c r="B12598" s="787">
        <v>4</v>
      </c>
      <c r="C12598" s="787" t="s">
        <v>22544</v>
      </c>
      <c r="D12598" s="787">
        <v>0.44</v>
      </c>
      <c r="E12598" s="787">
        <v>0.47</v>
      </c>
      <c r="F12598" s="788">
        <v>39101</v>
      </c>
      <c r="G12598" s="788">
        <v>40553</v>
      </c>
      <c r="H12598" s="787">
        <v>1</v>
      </c>
      <c r="I12598" s="788">
        <v>40422</v>
      </c>
      <c r="J12598" s="788">
        <v>39945</v>
      </c>
      <c r="L12598" s="787">
        <v>0.46</v>
      </c>
      <c r="M12598" s="787">
        <v>20</v>
      </c>
      <c r="N12598" s="787">
        <v>0.49</v>
      </c>
      <c r="O12598" s="788">
        <v>41858</v>
      </c>
    </row>
    <row r="12599" spans="1:15" x14ac:dyDescent="0.25">
      <c r="A12599" s="786" t="s">
        <v>22545</v>
      </c>
      <c r="B12599" s="787">
        <v>4</v>
      </c>
      <c r="C12599" s="787" t="s">
        <v>22546</v>
      </c>
      <c r="D12599" s="787">
        <v>0.11</v>
      </c>
      <c r="E12599" s="787">
        <v>0.11</v>
      </c>
      <c r="F12599" s="788">
        <v>39835</v>
      </c>
      <c r="G12599" s="788">
        <v>39101</v>
      </c>
      <c r="H12599" s="787">
        <v>1</v>
      </c>
      <c r="I12599" s="788">
        <v>39134</v>
      </c>
      <c r="J12599" s="788">
        <v>39748</v>
      </c>
      <c r="K12599" s="788">
        <v>41869</v>
      </c>
      <c r="L12599" s="787">
        <v>0.11</v>
      </c>
      <c r="M12599" s="787">
        <v>20</v>
      </c>
      <c r="N12599" s="787">
        <v>1.1200000000000001</v>
      </c>
      <c r="O12599" s="788">
        <v>41858</v>
      </c>
    </row>
    <row r="12600" spans="1:15" x14ac:dyDescent="0.25">
      <c r="A12600" s="786" t="s">
        <v>22547</v>
      </c>
      <c r="B12600" s="787">
        <v>4</v>
      </c>
      <c r="C12600" s="787" t="s">
        <v>22548</v>
      </c>
      <c r="D12600" s="787">
        <v>5</v>
      </c>
      <c r="E12600" s="787">
        <v>145.25</v>
      </c>
      <c r="F12600" s="788">
        <v>41879</v>
      </c>
      <c r="G12600" s="788">
        <v>42013</v>
      </c>
      <c r="H12600" s="787">
        <v>1</v>
      </c>
      <c r="I12600" s="788">
        <v>41894</v>
      </c>
      <c r="J12600" s="788">
        <v>41880</v>
      </c>
      <c r="K12600" s="788">
        <v>41879</v>
      </c>
      <c r="L12600" s="787">
        <v>145.26</v>
      </c>
      <c r="M12600" s="787">
        <v>20</v>
      </c>
      <c r="N12600" s="787">
        <v>156.15</v>
      </c>
      <c r="O12600" s="788">
        <v>42019</v>
      </c>
    </row>
    <row r="12601" spans="1:15" x14ac:dyDescent="0.25">
      <c r="A12601" s="786" t="s">
        <v>22549</v>
      </c>
      <c r="B12601" s="787">
        <v>4</v>
      </c>
      <c r="C12601" s="787" t="s">
        <v>22550</v>
      </c>
      <c r="D12601" s="787">
        <v>1.1599999999999999</v>
      </c>
      <c r="E12601" s="787">
        <v>1.25</v>
      </c>
      <c r="F12601" s="788">
        <v>39101</v>
      </c>
      <c r="G12601" s="788">
        <v>40553</v>
      </c>
      <c r="H12601" s="787">
        <v>1</v>
      </c>
      <c r="I12601" s="788">
        <v>40625</v>
      </c>
      <c r="J12601" s="788">
        <v>39911</v>
      </c>
      <c r="L12601" s="787">
        <v>1.17</v>
      </c>
      <c r="M12601" s="787">
        <v>20</v>
      </c>
      <c r="N12601" s="787">
        <v>1.26</v>
      </c>
      <c r="O12601" s="788">
        <v>41858</v>
      </c>
    </row>
    <row r="12602" spans="1:15" x14ac:dyDescent="0.25">
      <c r="A12602" s="786" t="s">
        <v>22551</v>
      </c>
      <c r="B12602" s="787">
        <v>4</v>
      </c>
      <c r="C12602" s="787" t="s">
        <v>22552</v>
      </c>
      <c r="D12602" s="787">
        <v>0.56999999999999995</v>
      </c>
      <c r="E12602" s="787">
        <v>0.56999999999999995</v>
      </c>
      <c r="F12602" s="788">
        <v>39101</v>
      </c>
      <c r="G12602" s="788">
        <v>39101</v>
      </c>
      <c r="H12602" s="787">
        <v>6</v>
      </c>
      <c r="I12602" s="788">
        <v>39134</v>
      </c>
      <c r="J12602" s="788">
        <v>39149</v>
      </c>
      <c r="L12602" s="787">
        <v>0.62</v>
      </c>
      <c r="M12602" s="787">
        <v>20</v>
      </c>
      <c r="N12602" s="787">
        <v>0.61</v>
      </c>
      <c r="O12602" s="788">
        <v>41806</v>
      </c>
    </row>
    <row r="12603" spans="1:15" x14ac:dyDescent="0.25">
      <c r="A12603" s="786" t="s">
        <v>22553</v>
      </c>
      <c r="B12603" s="787">
        <v>4</v>
      </c>
      <c r="C12603" s="787" t="s">
        <v>22554</v>
      </c>
      <c r="D12603" s="787">
        <v>0.93</v>
      </c>
      <c r="E12603" s="787">
        <v>0.93</v>
      </c>
      <c r="F12603" s="788">
        <v>37641</v>
      </c>
      <c r="G12603" s="788">
        <v>37641</v>
      </c>
      <c r="H12603" s="787">
        <v>6</v>
      </c>
      <c r="J12603" s="788">
        <v>37641</v>
      </c>
      <c r="L12603" s="787">
        <v>1.01</v>
      </c>
      <c r="M12603" s="787">
        <v>20</v>
      </c>
      <c r="N12603" s="787">
        <v>1</v>
      </c>
      <c r="O12603" s="788">
        <v>41806</v>
      </c>
    </row>
    <row r="12604" spans="1:15" x14ac:dyDescent="0.25">
      <c r="A12604" s="786" t="s">
        <v>22555</v>
      </c>
      <c r="B12604" s="787">
        <v>4</v>
      </c>
      <c r="C12604" s="787" t="s">
        <v>22556</v>
      </c>
      <c r="D12604" s="787">
        <v>0.44</v>
      </c>
      <c r="E12604" s="787">
        <v>0.47</v>
      </c>
      <c r="F12604" s="788">
        <v>39101</v>
      </c>
      <c r="G12604" s="788">
        <v>40553</v>
      </c>
      <c r="H12604" s="787">
        <v>1</v>
      </c>
      <c r="I12604" s="788">
        <v>40422</v>
      </c>
      <c r="J12604" s="788">
        <v>39911</v>
      </c>
      <c r="L12604" s="787">
        <v>0.44</v>
      </c>
      <c r="M12604" s="787">
        <v>20</v>
      </c>
      <c r="N12604" s="787">
        <v>0.47</v>
      </c>
      <c r="O12604" s="788">
        <v>41858</v>
      </c>
    </row>
    <row r="12605" spans="1:15" x14ac:dyDescent="0.25">
      <c r="A12605" s="786" t="s">
        <v>22557</v>
      </c>
      <c r="B12605" s="787">
        <v>4</v>
      </c>
      <c r="C12605" s="787" t="s">
        <v>22558</v>
      </c>
      <c r="D12605" s="787">
        <v>0.11</v>
      </c>
      <c r="E12605" s="787">
        <v>0.12</v>
      </c>
      <c r="F12605" s="788">
        <v>39101</v>
      </c>
      <c r="G12605" s="788">
        <v>40553</v>
      </c>
      <c r="H12605" s="787">
        <v>1</v>
      </c>
      <c r="I12605" s="788">
        <v>40385</v>
      </c>
      <c r="J12605" s="788">
        <v>39911</v>
      </c>
      <c r="L12605" s="787">
        <v>0.11</v>
      </c>
      <c r="M12605" s="787">
        <v>20</v>
      </c>
      <c r="N12605" s="787">
        <v>0.12</v>
      </c>
      <c r="O12605" s="788">
        <v>41858</v>
      </c>
    </row>
    <row r="12606" spans="1:15" x14ac:dyDescent="0.25">
      <c r="A12606" s="786" t="s">
        <v>22559</v>
      </c>
      <c r="B12606" s="787">
        <v>4</v>
      </c>
      <c r="C12606" s="787" t="s">
        <v>22560</v>
      </c>
      <c r="D12606" s="787">
        <v>0.1</v>
      </c>
      <c r="E12606" s="787">
        <v>0.12</v>
      </c>
      <c r="F12606" s="788">
        <v>39101</v>
      </c>
      <c r="G12606" s="788">
        <v>41892</v>
      </c>
      <c r="H12606" s="787">
        <v>1</v>
      </c>
      <c r="I12606" s="788">
        <v>41309</v>
      </c>
      <c r="J12606" s="788">
        <v>41892</v>
      </c>
      <c r="K12606" s="788">
        <v>41892</v>
      </c>
      <c r="L12606" s="787">
        <v>0.17</v>
      </c>
      <c r="M12606" s="787">
        <v>20</v>
      </c>
      <c r="N12606" s="787">
        <v>0.12</v>
      </c>
      <c r="O12606" s="788">
        <v>41858</v>
      </c>
    </row>
    <row r="12607" spans="1:15" x14ac:dyDescent="0.25">
      <c r="A12607" s="786" t="s">
        <v>22561</v>
      </c>
      <c r="B12607" s="787">
        <v>4</v>
      </c>
      <c r="C12607" s="787" t="s">
        <v>22562</v>
      </c>
      <c r="D12607" s="787">
        <v>0.11</v>
      </c>
      <c r="E12607" s="787">
        <v>0.11</v>
      </c>
      <c r="F12607" s="788">
        <v>39238</v>
      </c>
      <c r="G12607" s="788">
        <v>40553</v>
      </c>
      <c r="H12607" s="787">
        <v>1</v>
      </c>
      <c r="I12607" s="788">
        <v>41309</v>
      </c>
      <c r="J12607" s="788">
        <v>40136</v>
      </c>
      <c r="K12607" s="788">
        <v>41869</v>
      </c>
      <c r="L12607" s="787">
        <v>0.11</v>
      </c>
      <c r="M12607" s="787">
        <v>20</v>
      </c>
      <c r="N12607" s="787">
        <v>0.88</v>
      </c>
      <c r="O12607" s="788">
        <v>41858</v>
      </c>
    </row>
    <row r="12608" spans="1:15" x14ac:dyDescent="0.25">
      <c r="A12608" s="786" t="s">
        <v>22563</v>
      </c>
      <c r="B12608" s="787">
        <v>4</v>
      </c>
      <c r="C12608" s="787" t="s">
        <v>22564</v>
      </c>
      <c r="D12608" s="787">
        <v>0.11</v>
      </c>
      <c r="E12608" s="787">
        <v>0.11</v>
      </c>
      <c r="F12608" s="788">
        <v>39647</v>
      </c>
      <c r="G12608" s="788">
        <v>40553</v>
      </c>
      <c r="H12608" s="787">
        <v>1</v>
      </c>
      <c r="I12608" s="788">
        <v>40452</v>
      </c>
      <c r="J12608" s="788">
        <v>40331</v>
      </c>
      <c r="L12608" s="787">
        <v>0.13</v>
      </c>
      <c r="M12608" s="787">
        <v>20</v>
      </c>
      <c r="N12608" s="787">
        <v>0.14000000000000001</v>
      </c>
      <c r="O12608" s="788">
        <v>41858</v>
      </c>
    </row>
    <row r="12609" spans="1:15" x14ac:dyDescent="0.25">
      <c r="A12609" s="786" t="s">
        <v>22565</v>
      </c>
      <c r="B12609" s="787">
        <v>4</v>
      </c>
      <c r="C12609" s="787" t="s">
        <v>22566</v>
      </c>
      <c r="D12609" s="787">
        <v>0.02</v>
      </c>
      <c r="E12609" s="787">
        <v>0.02</v>
      </c>
      <c r="F12609" s="788">
        <v>39101</v>
      </c>
      <c r="G12609" s="788">
        <v>40337</v>
      </c>
      <c r="H12609" s="787">
        <v>1</v>
      </c>
      <c r="I12609" s="788">
        <v>39134</v>
      </c>
      <c r="J12609" s="788">
        <v>40331</v>
      </c>
      <c r="K12609" s="788">
        <v>41869</v>
      </c>
      <c r="L12609" s="787">
        <v>0.02</v>
      </c>
      <c r="M12609" s="787">
        <v>20</v>
      </c>
      <c r="N12609" s="787">
        <v>0.09</v>
      </c>
      <c r="O12609" s="788">
        <v>41858</v>
      </c>
    </row>
    <row r="12610" spans="1:15" x14ac:dyDescent="0.25">
      <c r="A12610" s="786" t="s">
        <v>22567</v>
      </c>
      <c r="B12610" s="787">
        <v>4</v>
      </c>
      <c r="C12610" s="787" t="s">
        <v>22568</v>
      </c>
      <c r="D12610" s="787">
        <v>0.09</v>
      </c>
      <c r="E12610" s="787">
        <v>0.1</v>
      </c>
      <c r="F12610" s="788">
        <v>39101</v>
      </c>
      <c r="G12610" s="788">
        <v>40553</v>
      </c>
      <c r="H12610" s="787">
        <v>1</v>
      </c>
      <c r="I12610" s="788">
        <v>40526</v>
      </c>
      <c r="J12610" s="788">
        <v>39911</v>
      </c>
      <c r="L12610" s="787">
        <v>0.09</v>
      </c>
      <c r="M12610" s="787">
        <v>20</v>
      </c>
      <c r="N12610" s="787">
        <v>0.1</v>
      </c>
      <c r="O12610" s="788">
        <v>42019</v>
      </c>
    </row>
    <row r="12611" spans="1:15" x14ac:dyDescent="0.25">
      <c r="A12611" s="786" t="s">
        <v>22569</v>
      </c>
      <c r="B12611" s="787">
        <v>4</v>
      </c>
      <c r="C12611" s="787" t="s">
        <v>22570</v>
      </c>
      <c r="D12611" s="787">
        <v>0.09</v>
      </c>
      <c r="E12611" s="787">
        <v>0.09</v>
      </c>
      <c r="F12611" s="788">
        <v>37641</v>
      </c>
      <c r="G12611" s="788">
        <v>37641</v>
      </c>
      <c r="H12611" s="787">
        <v>1</v>
      </c>
      <c r="J12611" s="788">
        <v>37641</v>
      </c>
      <c r="L12611" s="787">
        <v>0.1</v>
      </c>
      <c r="M12611" s="787">
        <v>20</v>
      </c>
      <c r="N12611" s="787">
        <v>0.11</v>
      </c>
      <c r="O12611" s="788">
        <v>41858</v>
      </c>
    </row>
    <row r="12612" spans="1:15" x14ac:dyDescent="0.25">
      <c r="A12612" s="786" t="s">
        <v>22571</v>
      </c>
      <c r="B12612" s="787">
        <v>4</v>
      </c>
      <c r="C12612" s="787" t="s">
        <v>22572</v>
      </c>
      <c r="D12612" s="787">
        <v>0.09</v>
      </c>
      <c r="E12612" s="787">
        <v>0.09</v>
      </c>
      <c r="F12612" s="788">
        <v>37641</v>
      </c>
      <c r="G12612" s="788">
        <v>37641</v>
      </c>
      <c r="H12612" s="787">
        <v>1</v>
      </c>
      <c r="J12612" s="788">
        <v>37641</v>
      </c>
      <c r="L12612" s="787">
        <v>0.1</v>
      </c>
      <c r="M12612" s="787">
        <v>20</v>
      </c>
      <c r="N12612" s="787">
        <v>0.11</v>
      </c>
      <c r="O12612" s="788">
        <v>41858</v>
      </c>
    </row>
    <row r="12613" spans="1:15" x14ac:dyDescent="0.25">
      <c r="A12613" s="786" t="s">
        <v>22573</v>
      </c>
      <c r="B12613" s="787">
        <v>4</v>
      </c>
      <c r="C12613" s="787" t="s">
        <v>22574</v>
      </c>
      <c r="D12613" s="787">
        <v>0.13</v>
      </c>
      <c r="E12613" s="787">
        <v>0.13</v>
      </c>
      <c r="F12613" s="788">
        <v>39101</v>
      </c>
      <c r="G12613" s="788">
        <v>39101</v>
      </c>
      <c r="H12613" s="787">
        <v>1</v>
      </c>
      <c r="I12613" s="788">
        <v>39286</v>
      </c>
      <c r="J12613" s="788">
        <v>39101</v>
      </c>
      <c r="L12613" s="787">
        <v>0.14000000000000001</v>
      </c>
      <c r="M12613" s="787">
        <v>20</v>
      </c>
      <c r="N12613" s="787">
        <v>0.15</v>
      </c>
      <c r="O12613" s="788">
        <v>41858</v>
      </c>
    </row>
    <row r="12614" spans="1:15" x14ac:dyDescent="0.25">
      <c r="A12614" s="786" t="s">
        <v>22575</v>
      </c>
      <c r="B12614" s="787">
        <v>4</v>
      </c>
      <c r="C12614" s="787" t="s">
        <v>22576</v>
      </c>
      <c r="D12614" s="787">
        <v>0.12</v>
      </c>
      <c r="E12614" s="787">
        <v>0.12</v>
      </c>
      <c r="F12614" s="788">
        <v>37641</v>
      </c>
      <c r="G12614" s="788">
        <v>37641</v>
      </c>
      <c r="H12614" s="787">
        <v>6</v>
      </c>
      <c r="J12614" s="788">
        <v>37641</v>
      </c>
      <c r="L12614" s="787">
        <v>0.13</v>
      </c>
      <c r="M12614" s="787">
        <v>20</v>
      </c>
      <c r="N12614" s="787">
        <v>0.13</v>
      </c>
      <c r="O12614" s="788">
        <v>41806</v>
      </c>
    </row>
    <row r="12615" spans="1:15" x14ac:dyDescent="0.25">
      <c r="A12615" s="786" t="s">
        <v>22577</v>
      </c>
      <c r="B12615" s="787">
        <v>4</v>
      </c>
      <c r="C12615" s="787" t="s">
        <v>22578</v>
      </c>
      <c r="D12615" s="787">
        <v>0.3</v>
      </c>
      <c r="E12615" s="787">
        <v>0.32</v>
      </c>
      <c r="F12615" s="788">
        <v>39364</v>
      </c>
      <c r="G12615" s="788">
        <v>40553</v>
      </c>
      <c r="H12615" s="787">
        <v>1</v>
      </c>
      <c r="I12615" s="788">
        <v>40653</v>
      </c>
      <c r="J12615" s="788">
        <v>39911</v>
      </c>
      <c r="L12615" s="787">
        <v>0.28999999999999998</v>
      </c>
      <c r="M12615" s="787">
        <v>20</v>
      </c>
      <c r="N12615" s="787">
        <v>0.31</v>
      </c>
      <c r="O12615" s="788">
        <v>42019</v>
      </c>
    </row>
    <row r="12616" spans="1:15" x14ac:dyDescent="0.25">
      <c r="A12616" s="786" t="s">
        <v>22579</v>
      </c>
      <c r="B12616" s="787">
        <v>4</v>
      </c>
      <c r="C12616" s="787" t="s">
        <v>22580</v>
      </c>
      <c r="D12616" s="787">
        <v>4.91</v>
      </c>
      <c r="E12616" s="787">
        <v>4.91</v>
      </c>
      <c r="F12616" s="788">
        <v>38047</v>
      </c>
      <c r="G12616" s="788">
        <v>38736</v>
      </c>
      <c r="H12616" s="787">
        <v>1</v>
      </c>
      <c r="I12616" s="788">
        <v>39134</v>
      </c>
      <c r="J12616" s="788">
        <v>38047</v>
      </c>
      <c r="L12616" s="787">
        <v>5.35</v>
      </c>
      <c r="M12616" s="787">
        <v>20</v>
      </c>
      <c r="N12616" s="787">
        <v>5.75</v>
      </c>
      <c r="O12616" s="788">
        <v>41858</v>
      </c>
    </row>
    <row r="12617" spans="1:15" x14ac:dyDescent="0.25">
      <c r="A12617" s="786" t="s">
        <v>22581</v>
      </c>
      <c r="B12617" s="787">
        <v>4</v>
      </c>
      <c r="C12617" s="787" t="s">
        <v>22582</v>
      </c>
      <c r="D12617" s="787">
        <v>4.66</v>
      </c>
      <c r="E12617" s="787">
        <v>4.66</v>
      </c>
      <c r="F12617" s="788">
        <v>38047</v>
      </c>
      <c r="G12617" s="788">
        <v>38736</v>
      </c>
      <c r="H12617" s="787">
        <v>1</v>
      </c>
      <c r="I12617" s="788">
        <v>39134</v>
      </c>
      <c r="J12617" s="788">
        <v>38047</v>
      </c>
      <c r="L12617" s="787">
        <v>5.08</v>
      </c>
      <c r="M12617" s="787">
        <v>20</v>
      </c>
      <c r="N12617" s="787">
        <v>5.46</v>
      </c>
      <c r="O12617" s="788">
        <v>41858</v>
      </c>
    </row>
    <row r="12618" spans="1:15" x14ac:dyDescent="0.25">
      <c r="A12618" s="786" t="s">
        <v>22583</v>
      </c>
      <c r="B12618" s="787">
        <v>4</v>
      </c>
      <c r="C12618" s="787" t="s">
        <v>22584</v>
      </c>
      <c r="D12618" s="787">
        <v>0.22</v>
      </c>
      <c r="E12618" s="787">
        <v>0.28000000000000003</v>
      </c>
      <c r="F12618" s="788">
        <v>39773</v>
      </c>
      <c r="G12618" s="788">
        <v>39814</v>
      </c>
      <c r="H12618" s="787">
        <v>1</v>
      </c>
      <c r="I12618" s="788">
        <v>39134</v>
      </c>
      <c r="J12618" s="788">
        <v>39777</v>
      </c>
      <c r="L12618" s="787">
        <v>0.34</v>
      </c>
      <c r="M12618" s="787">
        <v>20</v>
      </c>
      <c r="N12618" s="787">
        <v>0.37</v>
      </c>
      <c r="O12618" s="788">
        <v>41858</v>
      </c>
    </row>
    <row r="12619" spans="1:15" x14ac:dyDescent="0.25">
      <c r="A12619" s="786" t="s">
        <v>22585</v>
      </c>
      <c r="B12619" s="787">
        <v>4</v>
      </c>
      <c r="C12619" s="787" t="s">
        <v>22586</v>
      </c>
      <c r="D12619" s="787">
        <v>0.11</v>
      </c>
      <c r="E12619" s="787">
        <v>0.21</v>
      </c>
      <c r="F12619" s="788">
        <v>39773</v>
      </c>
      <c r="G12619" s="788">
        <v>40553</v>
      </c>
      <c r="H12619" s="787">
        <v>1</v>
      </c>
      <c r="I12619" s="788">
        <v>39134</v>
      </c>
      <c r="J12619" s="788">
        <v>39777</v>
      </c>
      <c r="L12619" s="787">
        <v>0.28999999999999998</v>
      </c>
      <c r="M12619" s="787">
        <v>20</v>
      </c>
      <c r="N12619" s="787">
        <v>0.31</v>
      </c>
      <c r="O12619" s="788">
        <v>41858</v>
      </c>
    </row>
    <row r="12620" spans="1:15" x14ac:dyDescent="0.25">
      <c r="A12620" s="786" t="s">
        <v>22587</v>
      </c>
      <c r="B12620" s="787">
        <v>4</v>
      </c>
      <c r="C12620" s="787" t="s">
        <v>22588</v>
      </c>
      <c r="D12620" s="787">
        <v>0.14000000000000001</v>
      </c>
      <c r="E12620" s="787">
        <v>0.37</v>
      </c>
      <c r="F12620" s="788">
        <v>39164</v>
      </c>
      <c r="G12620" s="788">
        <v>40708</v>
      </c>
      <c r="H12620" s="787">
        <v>1</v>
      </c>
      <c r="I12620" s="788">
        <v>41309</v>
      </c>
      <c r="J12620" s="788">
        <v>40708</v>
      </c>
      <c r="K12620" s="788">
        <v>41865</v>
      </c>
      <c r="L12620" s="787">
        <v>0.35</v>
      </c>
      <c r="M12620" s="787">
        <v>20</v>
      </c>
      <c r="N12620" s="787">
        <v>0.38</v>
      </c>
      <c r="O12620" s="788">
        <v>42019</v>
      </c>
    </row>
    <row r="12621" spans="1:15" x14ac:dyDescent="0.25">
      <c r="A12621" s="786" t="s">
        <v>22589</v>
      </c>
      <c r="B12621" s="787">
        <v>4</v>
      </c>
      <c r="C12621" s="787" t="s">
        <v>22590</v>
      </c>
      <c r="D12621" s="787">
        <v>0.1</v>
      </c>
      <c r="E12621" s="787">
        <v>0.11</v>
      </c>
      <c r="F12621" s="788">
        <v>39101</v>
      </c>
      <c r="G12621" s="788">
        <v>40553</v>
      </c>
      <c r="H12621" s="787">
        <v>1</v>
      </c>
      <c r="I12621" s="788">
        <v>40514</v>
      </c>
      <c r="J12621" s="788">
        <v>40452</v>
      </c>
      <c r="L12621" s="787">
        <v>0.11</v>
      </c>
      <c r="M12621" s="787">
        <v>20</v>
      </c>
      <c r="N12621" s="787">
        <v>0.12</v>
      </c>
      <c r="O12621" s="788">
        <v>41858</v>
      </c>
    </row>
    <row r="12622" spans="1:15" x14ac:dyDescent="0.25">
      <c r="A12622" s="786" t="s">
        <v>22591</v>
      </c>
      <c r="B12622" s="787">
        <v>4</v>
      </c>
      <c r="C12622" s="787" t="s">
        <v>22592</v>
      </c>
      <c r="D12622" s="787">
        <v>0.11</v>
      </c>
      <c r="E12622" s="787">
        <v>0.12</v>
      </c>
      <c r="F12622" s="788">
        <v>39238</v>
      </c>
      <c r="G12622" s="788">
        <v>40553</v>
      </c>
      <c r="H12622" s="787">
        <v>1</v>
      </c>
      <c r="I12622" s="788">
        <v>40346</v>
      </c>
      <c r="J12622" s="788">
        <v>40331</v>
      </c>
      <c r="L12622" s="787">
        <v>0.11</v>
      </c>
      <c r="M12622" s="787">
        <v>20</v>
      </c>
      <c r="N12622" s="787">
        <v>0.12</v>
      </c>
      <c r="O12622" s="788">
        <v>41858</v>
      </c>
    </row>
    <row r="12623" spans="1:15" x14ac:dyDescent="0.25">
      <c r="A12623" s="786" t="s">
        <v>22593</v>
      </c>
      <c r="B12623" s="787">
        <v>4</v>
      </c>
      <c r="C12623" s="787" t="s">
        <v>22594</v>
      </c>
      <c r="D12623" s="787">
        <v>0.11</v>
      </c>
      <c r="E12623" s="787">
        <v>0.12</v>
      </c>
      <c r="F12623" s="788">
        <v>39647</v>
      </c>
      <c r="G12623" s="788">
        <v>40553</v>
      </c>
      <c r="H12623" s="787">
        <v>1</v>
      </c>
      <c r="I12623" s="788">
        <v>39134</v>
      </c>
      <c r="J12623" s="788">
        <v>40331</v>
      </c>
      <c r="L12623" s="787">
        <v>0.1</v>
      </c>
      <c r="M12623" s="787">
        <v>20</v>
      </c>
      <c r="N12623" s="787">
        <v>0.11</v>
      </c>
      <c r="O12623" s="788">
        <v>41858</v>
      </c>
    </row>
    <row r="12624" spans="1:15" x14ac:dyDescent="0.25">
      <c r="A12624" s="786" t="s">
        <v>22595</v>
      </c>
      <c r="B12624" s="787">
        <v>4</v>
      </c>
      <c r="C12624" s="787" t="s">
        <v>22596</v>
      </c>
      <c r="D12624" s="787">
        <v>0.09</v>
      </c>
      <c r="E12624" s="787">
        <v>0.12</v>
      </c>
      <c r="F12624" s="788">
        <v>39101</v>
      </c>
      <c r="G12624" s="788">
        <v>40553</v>
      </c>
      <c r="H12624" s="787">
        <v>1</v>
      </c>
      <c r="I12624" s="788">
        <v>39134</v>
      </c>
      <c r="J12624" s="788">
        <v>40331</v>
      </c>
      <c r="L12624" s="787">
        <v>0.1</v>
      </c>
      <c r="M12624" s="787">
        <v>20</v>
      </c>
      <c r="N12624" s="787">
        <v>0.11</v>
      </c>
      <c r="O12624" s="788">
        <v>41858</v>
      </c>
    </row>
    <row r="12625" spans="1:15" x14ac:dyDescent="0.25">
      <c r="A12625" s="786" t="s">
        <v>22597</v>
      </c>
      <c r="B12625" s="787">
        <v>4</v>
      </c>
      <c r="C12625" s="787" t="s">
        <v>22598</v>
      </c>
      <c r="D12625" s="787">
        <v>1.71</v>
      </c>
      <c r="E12625" s="787">
        <v>1.87</v>
      </c>
      <c r="F12625" s="788">
        <v>39101</v>
      </c>
      <c r="G12625" s="788">
        <v>39814</v>
      </c>
      <c r="H12625" s="787">
        <v>1</v>
      </c>
      <c r="I12625" s="788">
        <v>39811</v>
      </c>
      <c r="J12625" s="788">
        <v>39436</v>
      </c>
      <c r="L12625" s="787">
        <v>1.87</v>
      </c>
      <c r="M12625" s="787">
        <v>20</v>
      </c>
      <c r="N12625" s="787">
        <v>2.0099999999999998</v>
      </c>
      <c r="O12625" s="788">
        <v>41858</v>
      </c>
    </row>
    <row r="12626" spans="1:15" x14ac:dyDescent="0.25">
      <c r="A12626" s="786" t="s">
        <v>22599</v>
      </c>
      <c r="B12626" s="787">
        <v>4</v>
      </c>
      <c r="C12626" s="787" t="s">
        <v>22600</v>
      </c>
      <c r="D12626" s="787">
        <v>0.1</v>
      </c>
      <c r="E12626" s="787">
        <v>0.12</v>
      </c>
      <c r="F12626" s="788">
        <v>39364</v>
      </c>
      <c r="G12626" s="788">
        <v>40553</v>
      </c>
      <c r="H12626" s="787">
        <v>1</v>
      </c>
      <c r="I12626" s="788">
        <v>40526</v>
      </c>
      <c r="J12626" s="788">
        <v>39911</v>
      </c>
      <c r="K12626" s="788">
        <v>41869</v>
      </c>
      <c r="L12626" s="787">
        <v>0.12</v>
      </c>
      <c r="M12626" s="787">
        <v>20</v>
      </c>
      <c r="N12626" s="787">
        <v>0.25</v>
      </c>
      <c r="O12626" s="788">
        <v>41858</v>
      </c>
    </row>
    <row r="12627" spans="1:15" x14ac:dyDescent="0.25">
      <c r="A12627" s="786" t="s">
        <v>22601</v>
      </c>
      <c r="B12627" s="787">
        <v>4</v>
      </c>
      <c r="C12627" s="787" t="s">
        <v>22602</v>
      </c>
      <c r="D12627" s="787">
        <v>0.1</v>
      </c>
      <c r="E12627" s="787">
        <v>0.12</v>
      </c>
      <c r="F12627" s="788">
        <v>39101</v>
      </c>
      <c r="G12627" s="788">
        <v>40553</v>
      </c>
      <c r="H12627" s="787">
        <v>1</v>
      </c>
      <c r="I12627" s="788">
        <v>40385</v>
      </c>
      <c r="J12627" s="788">
        <v>39945</v>
      </c>
      <c r="L12627" s="787">
        <v>0.11</v>
      </c>
      <c r="M12627" s="787">
        <v>20</v>
      </c>
      <c r="N12627" s="787">
        <v>0.12</v>
      </c>
      <c r="O12627" s="788">
        <v>41858</v>
      </c>
    </row>
    <row r="12628" spans="1:15" x14ac:dyDescent="0.25">
      <c r="A12628" s="786" t="s">
        <v>22603</v>
      </c>
      <c r="B12628" s="787">
        <v>4</v>
      </c>
      <c r="C12628" s="787" t="s">
        <v>22604</v>
      </c>
      <c r="D12628" s="787">
        <v>9</v>
      </c>
      <c r="E12628" s="787">
        <v>54.64</v>
      </c>
      <c r="F12628" s="788">
        <v>41879</v>
      </c>
      <c r="G12628" s="788">
        <v>42013</v>
      </c>
      <c r="H12628" s="787">
        <v>1</v>
      </c>
      <c r="I12628" s="788">
        <v>41894</v>
      </c>
      <c r="J12628" s="788">
        <v>41886</v>
      </c>
      <c r="K12628" s="788">
        <v>41879</v>
      </c>
      <c r="L12628" s="787">
        <v>54.64</v>
      </c>
      <c r="M12628" s="787">
        <v>20</v>
      </c>
      <c r="N12628" s="787">
        <v>58.74</v>
      </c>
      <c r="O12628" s="788">
        <v>41879</v>
      </c>
    </row>
    <row r="12629" spans="1:15" x14ac:dyDescent="0.25">
      <c r="A12629" s="786" t="s">
        <v>22605</v>
      </c>
      <c r="B12629" s="787">
        <v>4</v>
      </c>
      <c r="C12629" s="787" t="s">
        <v>22606</v>
      </c>
      <c r="D12629" s="787">
        <v>7</v>
      </c>
      <c r="E12629" s="787">
        <v>151.81</v>
      </c>
      <c r="F12629" s="788">
        <v>41879</v>
      </c>
      <c r="G12629" s="788">
        <v>42013</v>
      </c>
      <c r="H12629" s="787">
        <v>1</v>
      </c>
      <c r="I12629" s="788">
        <v>41894</v>
      </c>
      <c r="J12629" s="788">
        <v>41886</v>
      </c>
      <c r="K12629" s="788">
        <v>41879</v>
      </c>
      <c r="L12629" s="787">
        <v>151.81</v>
      </c>
      <c r="M12629" s="787">
        <v>20</v>
      </c>
      <c r="N12629" s="787">
        <v>104</v>
      </c>
      <c r="O12629" s="788">
        <v>41879</v>
      </c>
    </row>
    <row r="12630" spans="1:15" x14ac:dyDescent="0.25">
      <c r="A12630" s="786" t="s">
        <v>22607</v>
      </c>
      <c r="B12630" s="787">
        <v>4</v>
      </c>
      <c r="C12630" s="787" t="s">
        <v>22608</v>
      </c>
      <c r="D12630" s="787">
        <v>0.25</v>
      </c>
      <c r="E12630" s="787">
        <v>0.27</v>
      </c>
      <c r="F12630" s="788">
        <v>39101</v>
      </c>
      <c r="G12630" s="788">
        <v>40178</v>
      </c>
      <c r="H12630" s="787">
        <v>1</v>
      </c>
      <c r="I12630" s="788">
        <v>40793</v>
      </c>
      <c r="J12630" s="788">
        <v>39149</v>
      </c>
      <c r="L12630" s="787">
        <v>0.4</v>
      </c>
      <c r="M12630" s="787">
        <v>20</v>
      </c>
      <c r="N12630" s="787">
        <v>0.43</v>
      </c>
      <c r="O12630" s="788">
        <v>42020</v>
      </c>
    </row>
    <row r="12631" spans="1:15" x14ac:dyDescent="0.25">
      <c r="A12631" s="786" t="s">
        <v>22609</v>
      </c>
      <c r="B12631" s="787">
        <v>4</v>
      </c>
      <c r="C12631" s="787" t="s">
        <v>22610</v>
      </c>
      <c r="D12631" s="787">
        <v>0.54</v>
      </c>
      <c r="E12631" s="787">
        <v>0.54</v>
      </c>
      <c r="F12631" s="788">
        <v>38047</v>
      </c>
      <c r="G12631" s="788">
        <v>38047</v>
      </c>
      <c r="H12631" s="787">
        <v>1</v>
      </c>
      <c r="J12631" s="788">
        <v>38047</v>
      </c>
      <c r="L12631" s="787">
        <v>0.59</v>
      </c>
      <c r="M12631" s="787">
        <v>20</v>
      </c>
      <c r="N12631" s="787">
        <v>0.63</v>
      </c>
      <c r="O12631" s="788">
        <v>41858</v>
      </c>
    </row>
    <row r="12632" spans="1:15" x14ac:dyDescent="0.25">
      <c r="A12632" s="786" t="s">
        <v>22611</v>
      </c>
      <c r="B12632" s="787">
        <v>4</v>
      </c>
      <c r="C12632" s="787" t="s">
        <v>22612</v>
      </c>
      <c r="D12632" s="787">
        <v>0.54</v>
      </c>
      <c r="E12632" s="787">
        <v>0.54</v>
      </c>
      <c r="F12632" s="788">
        <v>37641</v>
      </c>
      <c r="G12632" s="788">
        <v>37641</v>
      </c>
      <c r="H12632" s="787">
        <v>6</v>
      </c>
      <c r="J12632" s="788">
        <v>37641</v>
      </c>
      <c r="L12632" s="787">
        <v>0.59</v>
      </c>
      <c r="M12632" s="787">
        <v>20</v>
      </c>
      <c r="N12632" s="787">
        <v>0.57999999999999996</v>
      </c>
      <c r="O12632" s="788">
        <v>41806</v>
      </c>
    </row>
    <row r="12633" spans="1:15" x14ac:dyDescent="0.25">
      <c r="A12633" s="786" t="s">
        <v>22613</v>
      </c>
      <c r="B12633" s="787">
        <v>4</v>
      </c>
      <c r="C12633" s="787" t="s">
        <v>22614</v>
      </c>
      <c r="D12633" s="787">
        <v>0.1</v>
      </c>
      <c r="E12633" s="787">
        <v>0.12</v>
      </c>
      <c r="F12633" s="788">
        <v>39101</v>
      </c>
      <c r="G12633" s="788">
        <v>40553</v>
      </c>
      <c r="H12633" s="787">
        <v>1</v>
      </c>
      <c r="I12633" s="788">
        <v>40855</v>
      </c>
      <c r="J12633" s="788">
        <v>40331</v>
      </c>
      <c r="L12633" s="787">
        <v>0.1</v>
      </c>
      <c r="M12633" s="787">
        <v>20</v>
      </c>
      <c r="N12633" s="787">
        <v>0.11</v>
      </c>
      <c r="O12633" s="788">
        <v>41858</v>
      </c>
    </row>
    <row r="12634" spans="1:15" x14ac:dyDescent="0.25">
      <c r="A12634" s="786" t="s">
        <v>22615</v>
      </c>
      <c r="B12634" s="787">
        <v>4</v>
      </c>
      <c r="C12634" s="787" t="s">
        <v>22616</v>
      </c>
      <c r="D12634" s="787">
        <v>9</v>
      </c>
      <c r="E12634" s="787">
        <v>278.58</v>
      </c>
      <c r="F12634" s="788">
        <v>41879</v>
      </c>
      <c r="G12634" s="788">
        <v>42013</v>
      </c>
      <c r="H12634" s="787">
        <v>1</v>
      </c>
      <c r="I12634" s="788">
        <v>41961</v>
      </c>
      <c r="J12634" s="788">
        <v>41886</v>
      </c>
      <c r="K12634" s="788">
        <v>41879</v>
      </c>
      <c r="L12634" s="787">
        <v>278.58</v>
      </c>
      <c r="M12634" s="787">
        <v>20</v>
      </c>
      <c r="N12634" s="787">
        <v>299.47000000000003</v>
      </c>
      <c r="O12634" s="788">
        <v>42020</v>
      </c>
    </row>
    <row r="12635" spans="1:15" x14ac:dyDescent="0.25">
      <c r="A12635" s="786" t="s">
        <v>22617</v>
      </c>
      <c r="B12635" s="787">
        <v>4</v>
      </c>
      <c r="C12635" s="787" t="s">
        <v>22618</v>
      </c>
      <c r="D12635" s="787">
        <v>0.32</v>
      </c>
      <c r="E12635" s="787">
        <v>0.5</v>
      </c>
      <c r="F12635" s="788">
        <v>39101</v>
      </c>
      <c r="G12635" s="788">
        <v>40553</v>
      </c>
      <c r="H12635" s="787">
        <v>1</v>
      </c>
      <c r="I12635" s="788">
        <v>42114</v>
      </c>
      <c r="J12635" s="788">
        <v>42114</v>
      </c>
      <c r="L12635" s="787">
        <v>0.35</v>
      </c>
      <c r="M12635" s="787">
        <v>20</v>
      </c>
      <c r="N12635" s="787">
        <v>0.38</v>
      </c>
      <c r="O12635" s="788">
        <v>41858</v>
      </c>
    </row>
    <row r="12636" spans="1:15" x14ac:dyDescent="0.25">
      <c r="A12636" s="786" t="s">
        <v>22619</v>
      </c>
      <c r="B12636" s="787">
        <v>4</v>
      </c>
      <c r="C12636" s="787" t="s">
        <v>22620</v>
      </c>
      <c r="D12636" s="787">
        <v>0.18</v>
      </c>
      <c r="E12636" s="787">
        <v>0.18</v>
      </c>
      <c r="F12636" s="788">
        <v>37641</v>
      </c>
      <c r="G12636" s="788">
        <v>37641</v>
      </c>
      <c r="H12636" s="787">
        <v>6</v>
      </c>
      <c r="J12636" s="788">
        <v>37641</v>
      </c>
      <c r="L12636" s="787">
        <v>0.2</v>
      </c>
      <c r="M12636" s="787">
        <v>20</v>
      </c>
      <c r="N12636" s="787">
        <v>0.19</v>
      </c>
      <c r="O12636" s="788">
        <v>41543</v>
      </c>
    </row>
    <row r="12637" spans="1:15" x14ac:dyDescent="0.25">
      <c r="A12637" s="786" t="s">
        <v>22621</v>
      </c>
      <c r="B12637" s="787">
        <v>4</v>
      </c>
      <c r="C12637" s="787" t="s">
        <v>22622</v>
      </c>
      <c r="D12637" s="787">
        <v>0</v>
      </c>
      <c r="E12637" s="787">
        <v>0</v>
      </c>
      <c r="H12637" s="787">
        <v>1</v>
      </c>
      <c r="I12637" s="788">
        <v>42114</v>
      </c>
      <c r="J12637" s="788">
        <v>42114</v>
      </c>
      <c r="L12637" s="787">
        <v>0</v>
      </c>
      <c r="M12637" s="787">
        <v>20</v>
      </c>
      <c r="N12637" s="787">
        <v>0</v>
      </c>
      <c r="O12637" s="788">
        <v>40824</v>
      </c>
    </row>
    <row r="12638" spans="1:15" x14ac:dyDescent="0.25">
      <c r="A12638" s="786" t="s">
        <v>22623</v>
      </c>
      <c r="B12638" s="787">
        <v>4</v>
      </c>
      <c r="C12638" s="787" t="s">
        <v>22624</v>
      </c>
      <c r="D12638" s="787">
        <v>0.56999999999999995</v>
      </c>
      <c r="E12638" s="787">
        <v>0.56999999999999995</v>
      </c>
      <c r="F12638" s="788">
        <v>39101</v>
      </c>
      <c r="G12638" s="788">
        <v>39101</v>
      </c>
      <c r="H12638" s="787">
        <v>1</v>
      </c>
      <c r="I12638" s="788">
        <v>39134</v>
      </c>
      <c r="J12638" s="788">
        <v>39149</v>
      </c>
      <c r="L12638" s="787">
        <v>0.62</v>
      </c>
      <c r="M12638" s="787">
        <v>20</v>
      </c>
      <c r="N12638" s="787">
        <v>0.67</v>
      </c>
      <c r="O12638" s="788">
        <v>41858</v>
      </c>
    </row>
    <row r="12639" spans="1:15" x14ac:dyDescent="0.25">
      <c r="A12639" s="786" t="s">
        <v>22625</v>
      </c>
      <c r="B12639" s="787">
        <v>4</v>
      </c>
      <c r="C12639" s="787" t="s">
        <v>22626</v>
      </c>
      <c r="D12639" s="787">
        <v>0.08</v>
      </c>
      <c r="E12639" s="787">
        <v>0.08</v>
      </c>
      <c r="F12639" s="788">
        <v>39101</v>
      </c>
      <c r="G12639" s="788">
        <v>39101</v>
      </c>
      <c r="H12639" s="787">
        <v>1</v>
      </c>
      <c r="I12639" s="788">
        <v>39134</v>
      </c>
      <c r="J12639" s="788">
        <v>39149</v>
      </c>
      <c r="L12639" s="787">
        <v>0.11</v>
      </c>
      <c r="M12639" s="787">
        <v>20</v>
      </c>
      <c r="N12639" s="787">
        <v>0.12</v>
      </c>
      <c r="O12639" s="788">
        <v>41858</v>
      </c>
    </row>
    <row r="12640" spans="1:15" x14ac:dyDescent="0.25">
      <c r="A12640" s="786" t="s">
        <v>22627</v>
      </c>
      <c r="B12640" s="787">
        <v>4</v>
      </c>
      <c r="C12640" s="787" t="s">
        <v>22628</v>
      </c>
      <c r="D12640" s="787">
        <v>0.26</v>
      </c>
      <c r="E12640" s="787">
        <v>0.26</v>
      </c>
      <c r="F12640" s="788">
        <v>39101</v>
      </c>
      <c r="G12640" s="788">
        <v>39101</v>
      </c>
      <c r="H12640" s="787">
        <v>1</v>
      </c>
      <c r="I12640" s="788">
        <v>39134</v>
      </c>
      <c r="J12640" s="788">
        <v>39149</v>
      </c>
      <c r="L12640" s="787">
        <v>0.28000000000000003</v>
      </c>
      <c r="M12640" s="787">
        <v>20</v>
      </c>
      <c r="N12640" s="787">
        <v>0.3</v>
      </c>
      <c r="O12640" s="788">
        <v>41858</v>
      </c>
    </row>
    <row r="12641" spans="1:15" x14ac:dyDescent="0.25">
      <c r="A12641" s="786" t="s">
        <v>22629</v>
      </c>
      <c r="B12641" s="787">
        <v>4</v>
      </c>
      <c r="C12641" s="787" t="s">
        <v>22628</v>
      </c>
      <c r="D12641" s="787">
        <v>0.16</v>
      </c>
      <c r="E12641" s="787">
        <v>0.16</v>
      </c>
      <c r="F12641" s="788">
        <v>39101</v>
      </c>
      <c r="G12641" s="788">
        <v>39101</v>
      </c>
      <c r="H12641" s="787">
        <v>1</v>
      </c>
      <c r="I12641" s="788">
        <v>39134</v>
      </c>
      <c r="J12641" s="788">
        <v>39149</v>
      </c>
      <c r="L12641" s="787">
        <v>0.17</v>
      </c>
      <c r="M12641" s="787">
        <v>20</v>
      </c>
      <c r="N12641" s="787">
        <v>0.18</v>
      </c>
      <c r="O12641" s="788">
        <v>41858</v>
      </c>
    </row>
    <row r="12642" spans="1:15" x14ac:dyDescent="0.25">
      <c r="A12642" s="786" t="s">
        <v>22630</v>
      </c>
      <c r="B12642" s="787">
        <v>4</v>
      </c>
      <c r="C12642" s="787" t="s">
        <v>22631</v>
      </c>
      <c r="D12642" s="787">
        <v>0</v>
      </c>
      <c r="E12642" s="787">
        <v>0</v>
      </c>
      <c r="H12642" s="787">
        <v>1</v>
      </c>
      <c r="L12642" s="787">
        <v>0</v>
      </c>
      <c r="M12642" s="787">
        <v>20</v>
      </c>
      <c r="N12642" s="787">
        <v>0</v>
      </c>
      <c r="O12642" s="788">
        <v>40824</v>
      </c>
    </row>
    <row r="12643" spans="1:15" x14ac:dyDescent="0.25">
      <c r="A12643" s="786" t="s">
        <v>22632</v>
      </c>
      <c r="B12643" s="787">
        <v>4</v>
      </c>
      <c r="C12643" s="787" t="s">
        <v>22633</v>
      </c>
      <c r="D12643" s="787">
        <v>0</v>
      </c>
      <c r="E12643" s="787">
        <v>0</v>
      </c>
      <c r="H12643" s="787">
        <v>1</v>
      </c>
      <c r="L12643" s="787">
        <v>0</v>
      </c>
      <c r="M12643" s="787">
        <v>20</v>
      </c>
      <c r="N12643" s="787">
        <v>0</v>
      </c>
      <c r="O12643" s="788">
        <v>40824</v>
      </c>
    </row>
    <row r="12644" spans="1:15" x14ac:dyDescent="0.25">
      <c r="A12644" s="786" t="s">
        <v>22634</v>
      </c>
      <c r="B12644" s="787">
        <v>4</v>
      </c>
      <c r="C12644" s="787" t="s">
        <v>22635</v>
      </c>
      <c r="D12644" s="787">
        <v>0.06</v>
      </c>
      <c r="E12644" s="787">
        <v>0.06</v>
      </c>
      <c r="F12644" s="788">
        <v>37641</v>
      </c>
      <c r="G12644" s="788">
        <v>42013</v>
      </c>
      <c r="H12644" s="787">
        <v>1</v>
      </c>
      <c r="I12644" s="788">
        <v>42160</v>
      </c>
      <c r="J12644" s="788">
        <v>41068</v>
      </c>
      <c r="K12644" s="788">
        <v>41067</v>
      </c>
      <c r="L12644" s="787">
        <v>0.06</v>
      </c>
      <c r="M12644" s="787">
        <v>20</v>
      </c>
      <c r="N12644" s="787">
        <v>0.06</v>
      </c>
      <c r="O12644" s="788">
        <v>42164</v>
      </c>
    </row>
    <row r="12645" spans="1:15" x14ac:dyDescent="0.25">
      <c r="A12645" s="786" t="s">
        <v>22636</v>
      </c>
      <c r="B12645" s="787">
        <v>4</v>
      </c>
      <c r="C12645" s="787" t="s">
        <v>22637</v>
      </c>
      <c r="D12645" s="787">
        <v>0.27</v>
      </c>
      <c r="E12645" s="787">
        <v>0.32</v>
      </c>
      <c r="F12645" s="788">
        <v>40408</v>
      </c>
      <c r="G12645" s="788">
        <v>42121</v>
      </c>
      <c r="H12645" s="787">
        <v>1</v>
      </c>
      <c r="I12645" s="788">
        <v>42160</v>
      </c>
      <c r="J12645" s="788">
        <v>42075</v>
      </c>
      <c r="K12645" s="788">
        <v>41828</v>
      </c>
      <c r="L12645" s="787">
        <v>0.31</v>
      </c>
      <c r="M12645" s="787">
        <v>20</v>
      </c>
      <c r="N12645" s="787">
        <v>0.33</v>
      </c>
      <c r="O12645" s="788">
        <v>42164</v>
      </c>
    </row>
    <row r="12646" spans="1:15" x14ac:dyDescent="0.25">
      <c r="A12646" s="786" t="s">
        <v>22638</v>
      </c>
      <c r="B12646" s="787">
        <v>4</v>
      </c>
      <c r="C12646" s="787" t="s">
        <v>22639</v>
      </c>
      <c r="D12646" s="787">
        <v>0.4</v>
      </c>
      <c r="E12646" s="787">
        <v>0.44</v>
      </c>
      <c r="F12646" s="788">
        <v>40408</v>
      </c>
      <c r="G12646" s="788">
        <v>42013</v>
      </c>
      <c r="H12646" s="787">
        <v>1</v>
      </c>
      <c r="I12646" s="788">
        <v>42160</v>
      </c>
      <c r="J12646" s="788">
        <v>41068</v>
      </c>
      <c r="K12646" s="788">
        <v>41067</v>
      </c>
      <c r="L12646" s="787">
        <v>0.43</v>
      </c>
      <c r="M12646" s="787">
        <v>20</v>
      </c>
      <c r="N12646" s="787">
        <v>0.46</v>
      </c>
      <c r="O12646" s="788">
        <v>42164</v>
      </c>
    </row>
    <row r="12647" spans="1:15" x14ac:dyDescent="0.25">
      <c r="A12647" s="786" t="s">
        <v>22640</v>
      </c>
      <c r="B12647" s="787">
        <v>4</v>
      </c>
      <c r="C12647" s="787" t="s">
        <v>22641</v>
      </c>
      <c r="D12647" s="787">
        <v>0.48</v>
      </c>
      <c r="E12647" s="787">
        <v>0.48</v>
      </c>
      <c r="F12647" s="788">
        <v>37641</v>
      </c>
      <c r="G12647" s="788">
        <v>37641</v>
      </c>
      <c r="H12647" s="787">
        <v>1</v>
      </c>
      <c r="I12647" s="788">
        <v>41799</v>
      </c>
      <c r="J12647" s="788">
        <v>41803</v>
      </c>
      <c r="L12647" s="787">
        <v>0.52</v>
      </c>
      <c r="M12647" s="787">
        <v>20</v>
      </c>
      <c r="N12647" s="787">
        <v>0.56000000000000005</v>
      </c>
      <c r="O12647" s="788">
        <v>41858</v>
      </c>
    </row>
    <row r="12648" spans="1:15" x14ac:dyDescent="0.25">
      <c r="A12648" s="786" t="s">
        <v>22642</v>
      </c>
      <c r="B12648" s="787">
        <v>4</v>
      </c>
      <c r="C12648" s="787" t="s">
        <v>22643</v>
      </c>
      <c r="D12648" s="787">
        <v>0.48</v>
      </c>
      <c r="E12648" s="787">
        <v>0.48</v>
      </c>
      <c r="F12648" s="788">
        <v>39101</v>
      </c>
      <c r="G12648" s="788">
        <v>39101</v>
      </c>
      <c r="H12648" s="787">
        <v>1</v>
      </c>
      <c r="I12648" s="788">
        <v>39749</v>
      </c>
      <c r="J12648" s="788">
        <v>39149</v>
      </c>
      <c r="L12648" s="787">
        <v>0.52</v>
      </c>
      <c r="M12648" s="787">
        <v>20</v>
      </c>
      <c r="N12648" s="787">
        <v>0.56000000000000005</v>
      </c>
      <c r="O12648" s="788">
        <v>41858</v>
      </c>
    </row>
    <row r="12649" spans="1:15" x14ac:dyDescent="0.25">
      <c r="A12649" s="786" t="s">
        <v>22644</v>
      </c>
      <c r="B12649" s="787">
        <v>4</v>
      </c>
      <c r="C12649" s="787" t="s">
        <v>22645</v>
      </c>
      <c r="D12649" s="787">
        <v>2.27</v>
      </c>
      <c r="E12649" s="787">
        <v>3.18</v>
      </c>
      <c r="F12649" s="788">
        <v>39101</v>
      </c>
      <c r="G12649" s="788">
        <v>41824</v>
      </c>
      <c r="H12649" s="787">
        <v>1</v>
      </c>
      <c r="I12649" s="788">
        <v>41918</v>
      </c>
      <c r="J12649" s="788">
        <v>41824</v>
      </c>
      <c r="L12649" s="787">
        <v>2.33</v>
      </c>
      <c r="M12649" s="787">
        <v>20</v>
      </c>
      <c r="N12649" s="787">
        <v>2.5</v>
      </c>
      <c r="O12649" s="788">
        <v>42164</v>
      </c>
    </row>
    <row r="12650" spans="1:15" x14ac:dyDescent="0.25">
      <c r="A12650" s="786" t="s">
        <v>22646</v>
      </c>
      <c r="B12650" s="787">
        <v>4</v>
      </c>
      <c r="C12650" s="787" t="s">
        <v>22647</v>
      </c>
      <c r="D12650" s="787">
        <v>0.57999999999999996</v>
      </c>
      <c r="E12650" s="787">
        <v>0.57999999999999996</v>
      </c>
      <c r="F12650" s="788">
        <v>39101</v>
      </c>
      <c r="G12650" s="788">
        <v>39101</v>
      </c>
      <c r="H12650" s="787">
        <v>1</v>
      </c>
      <c r="I12650" s="788">
        <v>39519</v>
      </c>
      <c r="J12650" s="788">
        <v>39149</v>
      </c>
      <c r="L12650" s="787">
        <v>0.63</v>
      </c>
      <c r="M12650" s="787">
        <v>20</v>
      </c>
      <c r="N12650" s="787">
        <v>0.68</v>
      </c>
      <c r="O12650" s="788">
        <v>41858</v>
      </c>
    </row>
    <row r="12651" spans="1:15" x14ac:dyDescent="0.25">
      <c r="A12651" s="786" t="s">
        <v>22648</v>
      </c>
      <c r="B12651" s="787">
        <v>4</v>
      </c>
      <c r="C12651" s="787" t="s">
        <v>22649</v>
      </c>
      <c r="D12651" s="787">
        <v>0.15</v>
      </c>
      <c r="E12651" s="787">
        <v>0.21</v>
      </c>
      <c r="F12651" s="788">
        <v>38519</v>
      </c>
      <c r="G12651" s="788">
        <v>42159</v>
      </c>
      <c r="H12651" s="787">
        <v>1</v>
      </c>
      <c r="I12651" s="788">
        <v>42165</v>
      </c>
      <c r="J12651" s="788">
        <v>42160</v>
      </c>
      <c r="L12651" s="787">
        <v>0.21</v>
      </c>
      <c r="M12651" s="787">
        <v>20</v>
      </c>
      <c r="N12651" s="787">
        <v>0.23</v>
      </c>
      <c r="O12651" s="788">
        <v>42164</v>
      </c>
    </row>
    <row r="12652" spans="1:15" x14ac:dyDescent="0.25">
      <c r="A12652" s="786" t="s">
        <v>22650</v>
      </c>
      <c r="B12652" s="787">
        <v>4</v>
      </c>
      <c r="C12652" s="787" t="s">
        <v>22651</v>
      </c>
      <c r="D12652" s="787">
        <v>0.15</v>
      </c>
      <c r="E12652" s="787">
        <v>0.17</v>
      </c>
      <c r="F12652" s="788">
        <v>40408</v>
      </c>
      <c r="G12652" s="788">
        <v>42013</v>
      </c>
      <c r="H12652" s="787">
        <v>1</v>
      </c>
      <c r="I12652" s="788">
        <v>42160</v>
      </c>
      <c r="J12652" s="788">
        <v>41844</v>
      </c>
      <c r="K12652" s="788">
        <v>41828</v>
      </c>
      <c r="L12652" s="787">
        <v>0.16</v>
      </c>
      <c r="M12652" s="787">
        <v>20</v>
      </c>
      <c r="N12652" s="787">
        <v>0.17</v>
      </c>
      <c r="O12652" s="788">
        <v>42146</v>
      </c>
    </row>
    <row r="12653" spans="1:15" x14ac:dyDescent="0.25">
      <c r="A12653" s="786" t="s">
        <v>22652</v>
      </c>
      <c r="B12653" s="787">
        <v>4</v>
      </c>
      <c r="C12653" s="787" t="s">
        <v>22653</v>
      </c>
      <c r="D12653" s="787">
        <v>6.54</v>
      </c>
      <c r="E12653" s="787">
        <v>6.54</v>
      </c>
      <c r="F12653" s="788">
        <v>41913</v>
      </c>
      <c r="G12653" s="788">
        <v>42013</v>
      </c>
      <c r="H12653" s="787">
        <v>1</v>
      </c>
      <c r="I12653" s="788">
        <v>42146</v>
      </c>
      <c r="J12653" s="788">
        <v>41890</v>
      </c>
      <c r="L12653" s="787">
        <v>4.6100000000000003</v>
      </c>
      <c r="M12653" s="787">
        <v>10</v>
      </c>
      <c r="N12653" s="787">
        <v>4.7</v>
      </c>
      <c r="O12653" s="788">
        <v>42146</v>
      </c>
    </row>
    <row r="12654" spans="1:15" x14ac:dyDescent="0.25">
      <c r="A12654" s="786" t="s">
        <v>22654</v>
      </c>
      <c r="B12654" s="787">
        <v>4</v>
      </c>
      <c r="C12654" s="787" t="s">
        <v>22655</v>
      </c>
      <c r="D12654" s="787">
        <v>0.15</v>
      </c>
      <c r="E12654" s="787">
        <v>0.15</v>
      </c>
      <c r="F12654" s="788">
        <v>37641</v>
      </c>
      <c r="G12654" s="788">
        <v>37641</v>
      </c>
      <c r="H12654" s="787">
        <v>1</v>
      </c>
      <c r="J12654" s="788">
        <v>37641</v>
      </c>
      <c r="L12654" s="787">
        <v>0.16</v>
      </c>
      <c r="M12654" s="787">
        <v>20</v>
      </c>
      <c r="N12654" s="787">
        <v>0.17</v>
      </c>
      <c r="O12654" s="788">
        <v>41858</v>
      </c>
    </row>
    <row r="12655" spans="1:15" x14ac:dyDescent="0.25">
      <c r="A12655" s="786" t="s">
        <v>22656</v>
      </c>
      <c r="B12655" s="787">
        <v>4</v>
      </c>
      <c r="C12655" s="787" t="s">
        <v>22657</v>
      </c>
      <c r="D12655" s="787">
        <v>0.11</v>
      </c>
      <c r="E12655" s="787">
        <v>0.11</v>
      </c>
      <c r="F12655" s="788">
        <v>39101</v>
      </c>
      <c r="G12655" s="788">
        <v>39101</v>
      </c>
      <c r="H12655" s="787">
        <v>1</v>
      </c>
      <c r="I12655" s="788">
        <v>39134</v>
      </c>
      <c r="J12655" s="788">
        <v>39149</v>
      </c>
      <c r="L12655" s="787">
        <v>0.12</v>
      </c>
      <c r="M12655" s="787">
        <v>20</v>
      </c>
      <c r="N12655" s="787">
        <v>0.13</v>
      </c>
      <c r="O12655" s="788">
        <v>41858</v>
      </c>
    </row>
    <row r="12656" spans="1:15" x14ac:dyDescent="0.25">
      <c r="A12656" s="786" t="s">
        <v>22658</v>
      </c>
      <c r="B12656" s="787">
        <v>4</v>
      </c>
      <c r="C12656" s="787" t="s">
        <v>22659</v>
      </c>
      <c r="D12656" s="787">
        <v>1.64</v>
      </c>
      <c r="E12656" s="787">
        <v>1.64</v>
      </c>
      <c r="F12656" s="788">
        <v>40210</v>
      </c>
      <c r="G12656" s="788">
        <v>40196</v>
      </c>
      <c r="H12656" s="787">
        <v>1</v>
      </c>
      <c r="I12656" s="788">
        <v>42136</v>
      </c>
      <c r="J12656" s="788">
        <v>42137</v>
      </c>
      <c r="L12656" s="787">
        <v>1.64</v>
      </c>
      <c r="M12656" s="787">
        <v>20</v>
      </c>
      <c r="N12656" s="787">
        <v>1.76</v>
      </c>
      <c r="O12656" s="788">
        <v>41858</v>
      </c>
    </row>
    <row r="12657" spans="1:15" x14ac:dyDescent="0.25">
      <c r="A12657" s="786" t="s">
        <v>22660</v>
      </c>
      <c r="B12657" s="787">
        <v>4</v>
      </c>
      <c r="C12657" s="787" t="s">
        <v>22661</v>
      </c>
      <c r="D12657" s="787">
        <v>0.68</v>
      </c>
      <c r="E12657" s="787">
        <v>0.68</v>
      </c>
      <c r="F12657" s="788">
        <v>40210</v>
      </c>
      <c r="G12657" s="788">
        <v>40196</v>
      </c>
      <c r="H12657" s="787">
        <v>1</v>
      </c>
      <c r="J12657" s="788">
        <v>40196</v>
      </c>
      <c r="L12657" s="787">
        <v>0.68</v>
      </c>
      <c r="M12657" s="787">
        <v>20</v>
      </c>
      <c r="N12657" s="787">
        <v>0.73</v>
      </c>
      <c r="O12657" s="788">
        <v>41858</v>
      </c>
    </row>
    <row r="12658" spans="1:15" x14ac:dyDescent="0.25">
      <c r="A12658" s="786" t="s">
        <v>22662</v>
      </c>
      <c r="B12658" s="787">
        <v>4</v>
      </c>
      <c r="C12658" s="787" t="s">
        <v>22663</v>
      </c>
      <c r="D12658" s="787">
        <v>0.45</v>
      </c>
      <c r="E12658" s="787">
        <v>0.45</v>
      </c>
      <c r="F12658" s="788">
        <v>39101</v>
      </c>
      <c r="G12658" s="788">
        <v>39101</v>
      </c>
      <c r="H12658" s="787">
        <v>1</v>
      </c>
      <c r="I12658" s="788">
        <v>39134</v>
      </c>
      <c r="J12658" s="788">
        <v>39149</v>
      </c>
      <c r="L12658" s="787">
        <v>0.49</v>
      </c>
      <c r="M12658" s="787">
        <v>20</v>
      </c>
      <c r="N12658" s="787">
        <v>0.53</v>
      </c>
      <c r="O12658" s="788">
        <v>41858</v>
      </c>
    </row>
    <row r="12659" spans="1:15" x14ac:dyDescent="0.25">
      <c r="A12659" s="786" t="s">
        <v>22664</v>
      </c>
      <c r="B12659" s="787">
        <v>4</v>
      </c>
      <c r="C12659" s="787" t="s">
        <v>22663</v>
      </c>
      <c r="D12659" s="787">
        <v>1.2</v>
      </c>
      <c r="E12659" s="787">
        <v>1.2</v>
      </c>
      <c r="F12659" s="788">
        <v>39101</v>
      </c>
      <c r="G12659" s="788">
        <v>39101</v>
      </c>
      <c r="H12659" s="787">
        <v>6</v>
      </c>
      <c r="I12659" s="788">
        <v>39134</v>
      </c>
      <c r="J12659" s="788">
        <v>39149</v>
      </c>
      <c r="K12659" s="788">
        <v>41869</v>
      </c>
      <c r="L12659" s="787">
        <v>0.56000000000000005</v>
      </c>
      <c r="M12659" s="787">
        <v>20</v>
      </c>
      <c r="N12659" s="787">
        <v>1.41</v>
      </c>
      <c r="O12659" s="788">
        <v>41858</v>
      </c>
    </row>
    <row r="12660" spans="1:15" x14ac:dyDescent="0.25">
      <c r="A12660" s="786" t="s">
        <v>22665</v>
      </c>
      <c r="B12660" s="787">
        <v>4</v>
      </c>
      <c r="C12660" s="787" t="s">
        <v>22663</v>
      </c>
      <c r="D12660" s="787">
        <v>1.29</v>
      </c>
      <c r="E12660" s="787">
        <v>1.29</v>
      </c>
      <c r="F12660" s="788">
        <v>39101</v>
      </c>
      <c r="G12660" s="788">
        <v>39101</v>
      </c>
      <c r="H12660" s="787">
        <v>1</v>
      </c>
      <c r="I12660" s="788">
        <v>39134</v>
      </c>
      <c r="J12660" s="788">
        <v>39149</v>
      </c>
      <c r="L12660" s="787">
        <v>1.41</v>
      </c>
      <c r="M12660" s="787">
        <v>20</v>
      </c>
      <c r="N12660" s="787">
        <v>1.52</v>
      </c>
      <c r="O12660" s="788">
        <v>41858</v>
      </c>
    </row>
    <row r="12661" spans="1:15" x14ac:dyDescent="0.25">
      <c r="A12661" s="786" t="s">
        <v>22666</v>
      </c>
      <c r="B12661" s="787">
        <v>4</v>
      </c>
      <c r="C12661" s="787" t="s">
        <v>22663</v>
      </c>
      <c r="D12661" s="787">
        <v>0.4</v>
      </c>
      <c r="E12661" s="787">
        <v>0.4</v>
      </c>
      <c r="F12661" s="788">
        <v>37641</v>
      </c>
      <c r="G12661" s="788">
        <v>37641</v>
      </c>
      <c r="H12661" s="787">
        <v>1</v>
      </c>
      <c r="J12661" s="788">
        <v>37641</v>
      </c>
      <c r="L12661" s="787">
        <v>0.44</v>
      </c>
      <c r="M12661" s="787">
        <v>20</v>
      </c>
      <c r="N12661" s="787">
        <v>0.47</v>
      </c>
      <c r="O12661" s="788">
        <v>41858</v>
      </c>
    </row>
    <row r="12662" spans="1:15" x14ac:dyDescent="0.25">
      <c r="A12662" s="786" t="s">
        <v>22667</v>
      </c>
      <c r="B12662" s="787">
        <v>4</v>
      </c>
      <c r="C12662" s="787" t="s">
        <v>22663</v>
      </c>
      <c r="D12662" s="787">
        <v>0.78</v>
      </c>
      <c r="E12662" s="787">
        <v>0.78</v>
      </c>
      <c r="F12662" s="788">
        <v>39101</v>
      </c>
      <c r="G12662" s="788">
        <v>39101</v>
      </c>
      <c r="H12662" s="787">
        <v>1</v>
      </c>
      <c r="I12662" s="788">
        <v>39134</v>
      </c>
      <c r="J12662" s="788">
        <v>39149</v>
      </c>
      <c r="L12662" s="787">
        <v>0.85</v>
      </c>
      <c r="M12662" s="787">
        <v>20</v>
      </c>
      <c r="N12662" s="787">
        <v>0.91</v>
      </c>
      <c r="O12662" s="788">
        <v>41858</v>
      </c>
    </row>
    <row r="12663" spans="1:15" x14ac:dyDescent="0.25">
      <c r="A12663" s="786" t="s">
        <v>22668</v>
      </c>
      <c r="B12663" s="787">
        <v>4</v>
      </c>
      <c r="C12663" s="787" t="s">
        <v>22669</v>
      </c>
      <c r="D12663" s="787">
        <v>0.81</v>
      </c>
      <c r="E12663" s="787">
        <v>0.81</v>
      </c>
      <c r="F12663" s="788">
        <v>37641</v>
      </c>
      <c r="G12663" s="788">
        <v>37641</v>
      </c>
      <c r="H12663" s="787">
        <v>1</v>
      </c>
      <c r="J12663" s="788">
        <v>37641</v>
      </c>
      <c r="L12663" s="787">
        <v>0.88</v>
      </c>
      <c r="M12663" s="787">
        <v>20</v>
      </c>
      <c r="N12663" s="787">
        <v>0.95</v>
      </c>
      <c r="O12663" s="788">
        <v>41858</v>
      </c>
    </row>
    <row r="12664" spans="1:15" x14ac:dyDescent="0.25">
      <c r="A12664" s="786" t="s">
        <v>22670</v>
      </c>
      <c r="B12664" s="787">
        <v>4</v>
      </c>
      <c r="C12664" s="787" t="s">
        <v>22671</v>
      </c>
      <c r="D12664" s="787">
        <v>0.18</v>
      </c>
      <c r="E12664" s="787">
        <v>0.18</v>
      </c>
      <c r="F12664" s="788">
        <v>39101</v>
      </c>
      <c r="G12664" s="788">
        <v>39101</v>
      </c>
      <c r="H12664" s="787">
        <v>1</v>
      </c>
      <c r="I12664" s="788">
        <v>39070</v>
      </c>
      <c r="J12664" s="788">
        <v>39101</v>
      </c>
      <c r="L12664" s="787">
        <v>0.2</v>
      </c>
      <c r="M12664" s="787">
        <v>20</v>
      </c>
      <c r="N12664" s="787">
        <v>0.22</v>
      </c>
      <c r="O12664" s="788">
        <v>41858</v>
      </c>
    </row>
    <row r="12665" spans="1:15" x14ac:dyDescent="0.25">
      <c r="A12665" s="786" t="s">
        <v>22672</v>
      </c>
      <c r="B12665" s="787">
        <v>4</v>
      </c>
      <c r="C12665" s="787" t="s">
        <v>22663</v>
      </c>
      <c r="D12665" s="787">
        <v>0.15</v>
      </c>
      <c r="E12665" s="787">
        <v>0.15</v>
      </c>
      <c r="F12665" s="788">
        <v>37641</v>
      </c>
      <c r="G12665" s="788">
        <v>37641</v>
      </c>
      <c r="H12665" s="787">
        <v>1</v>
      </c>
      <c r="J12665" s="788">
        <v>37641</v>
      </c>
      <c r="L12665" s="787">
        <v>0.16</v>
      </c>
      <c r="M12665" s="787">
        <v>20</v>
      </c>
      <c r="N12665" s="787">
        <v>0.17</v>
      </c>
      <c r="O12665" s="788">
        <v>41858</v>
      </c>
    </row>
    <row r="12666" spans="1:15" x14ac:dyDescent="0.25">
      <c r="A12666" s="786" t="s">
        <v>22673</v>
      </c>
      <c r="B12666" s="787">
        <v>4</v>
      </c>
      <c r="C12666" s="787" t="s">
        <v>22663</v>
      </c>
      <c r="D12666" s="787">
        <v>0.93</v>
      </c>
      <c r="E12666" s="787">
        <v>0.93</v>
      </c>
      <c r="F12666" s="788">
        <v>37641</v>
      </c>
      <c r="G12666" s="788">
        <v>37641</v>
      </c>
      <c r="H12666" s="787">
        <v>1</v>
      </c>
      <c r="J12666" s="788">
        <v>37641</v>
      </c>
      <c r="L12666" s="787">
        <v>1.01</v>
      </c>
      <c r="M12666" s="787">
        <v>20</v>
      </c>
      <c r="N12666" s="787">
        <v>1.0900000000000001</v>
      </c>
      <c r="O12666" s="788">
        <v>41858</v>
      </c>
    </row>
    <row r="12667" spans="1:15" x14ac:dyDescent="0.25">
      <c r="A12667" s="786" t="s">
        <v>22674</v>
      </c>
      <c r="B12667" s="787">
        <v>4</v>
      </c>
      <c r="C12667" s="787" t="s">
        <v>22663</v>
      </c>
      <c r="D12667" s="787">
        <v>1.1000000000000001</v>
      </c>
      <c r="E12667" s="787">
        <v>1.1000000000000001</v>
      </c>
      <c r="F12667" s="788">
        <v>37641</v>
      </c>
      <c r="G12667" s="788">
        <v>37641</v>
      </c>
      <c r="H12667" s="787">
        <v>1</v>
      </c>
      <c r="J12667" s="788">
        <v>37641</v>
      </c>
      <c r="L12667" s="787">
        <v>1.2</v>
      </c>
      <c r="M12667" s="787">
        <v>20</v>
      </c>
      <c r="N12667" s="787">
        <v>1.29</v>
      </c>
      <c r="O12667" s="788">
        <v>41858</v>
      </c>
    </row>
    <row r="12668" spans="1:15" x14ac:dyDescent="0.25">
      <c r="A12668" s="786" t="s">
        <v>22675</v>
      </c>
      <c r="B12668" s="787">
        <v>4</v>
      </c>
      <c r="C12668" s="787" t="s">
        <v>22663</v>
      </c>
      <c r="D12668" s="787">
        <v>1.19</v>
      </c>
      <c r="E12668" s="787">
        <v>1.19</v>
      </c>
      <c r="F12668" s="788">
        <v>37641</v>
      </c>
      <c r="G12668" s="788">
        <v>37641</v>
      </c>
      <c r="H12668" s="787">
        <v>1</v>
      </c>
      <c r="J12668" s="788">
        <v>37641</v>
      </c>
      <c r="L12668" s="787">
        <v>1.3</v>
      </c>
      <c r="M12668" s="787">
        <v>20</v>
      </c>
      <c r="N12668" s="787">
        <v>1.4</v>
      </c>
      <c r="O12668" s="788">
        <v>41858</v>
      </c>
    </row>
    <row r="12669" spans="1:15" x14ac:dyDescent="0.25">
      <c r="A12669" s="786" t="s">
        <v>22676</v>
      </c>
      <c r="B12669" s="787">
        <v>4</v>
      </c>
      <c r="C12669" s="787" t="s">
        <v>22663</v>
      </c>
      <c r="D12669" s="787">
        <v>0.61</v>
      </c>
      <c r="E12669" s="787">
        <v>0.61</v>
      </c>
      <c r="F12669" s="788">
        <v>37641</v>
      </c>
      <c r="G12669" s="788">
        <v>37641</v>
      </c>
      <c r="H12669" s="787">
        <v>1</v>
      </c>
      <c r="J12669" s="788">
        <v>37641</v>
      </c>
      <c r="L12669" s="787">
        <v>0.66</v>
      </c>
      <c r="M12669" s="787">
        <v>20</v>
      </c>
      <c r="N12669" s="787">
        <v>0.71</v>
      </c>
      <c r="O12669" s="788">
        <v>41858</v>
      </c>
    </row>
    <row r="12670" spans="1:15" x14ac:dyDescent="0.25">
      <c r="A12670" s="786" t="s">
        <v>22677</v>
      </c>
      <c r="B12670" s="787">
        <v>4</v>
      </c>
      <c r="C12670" s="787" t="s">
        <v>22678</v>
      </c>
      <c r="D12670" s="787">
        <v>0.1</v>
      </c>
      <c r="E12670" s="787">
        <v>0.1</v>
      </c>
      <c r="F12670" s="788">
        <v>38853</v>
      </c>
      <c r="G12670" s="788">
        <v>38853</v>
      </c>
      <c r="H12670" s="787">
        <v>1</v>
      </c>
      <c r="I12670" s="788">
        <v>39134</v>
      </c>
      <c r="J12670" s="788">
        <v>38813</v>
      </c>
      <c r="L12670" s="787">
        <v>0.12</v>
      </c>
      <c r="M12670" s="787">
        <v>20</v>
      </c>
      <c r="N12670" s="787">
        <v>0.13</v>
      </c>
      <c r="O12670" s="788">
        <v>41858</v>
      </c>
    </row>
    <row r="12671" spans="1:15" x14ac:dyDescent="0.25">
      <c r="A12671" s="786" t="s">
        <v>22679</v>
      </c>
      <c r="B12671" s="787">
        <v>4</v>
      </c>
      <c r="C12671" s="787" t="s">
        <v>22663</v>
      </c>
      <c r="D12671" s="787">
        <v>0.19</v>
      </c>
      <c r="E12671" s="787">
        <v>0.19</v>
      </c>
      <c r="F12671" s="788">
        <v>38135</v>
      </c>
      <c r="G12671" s="788">
        <v>38147</v>
      </c>
      <c r="H12671" s="787">
        <v>1</v>
      </c>
      <c r="J12671" s="788">
        <v>38146</v>
      </c>
      <c r="L12671" s="787">
        <v>0.21</v>
      </c>
      <c r="M12671" s="787">
        <v>20</v>
      </c>
      <c r="N12671" s="787">
        <v>0.23</v>
      </c>
      <c r="O12671" s="788">
        <v>41858</v>
      </c>
    </row>
    <row r="12672" spans="1:15" x14ac:dyDescent="0.25">
      <c r="A12672" s="786" t="s">
        <v>22680</v>
      </c>
      <c r="B12672" s="787">
        <v>4</v>
      </c>
      <c r="C12672" s="787" t="s">
        <v>22681</v>
      </c>
      <c r="D12672" s="787">
        <v>1.93</v>
      </c>
      <c r="E12672" s="787">
        <v>1.93</v>
      </c>
      <c r="F12672" s="788">
        <v>39716</v>
      </c>
      <c r="G12672" s="788">
        <v>39716</v>
      </c>
      <c r="H12672" s="787">
        <v>1</v>
      </c>
      <c r="J12672" s="788">
        <v>39688</v>
      </c>
      <c r="L12672" s="787">
        <v>1.93</v>
      </c>
      <c r="M12672" s="787">
        <v>20</v>
      </c>
      <c r="N12672" s="787">
        <v>2.0699999999999998</v>
      </c>
      <c r="O12672" s="788">
        <v>41858</v>
      </c>
    </row>
    <row r="12673" spans="1:15" x14ac:dyDescent="0.25">
      <c r="A12673" s="786" t="s">
        <v>22682</v>
      </c>
      <c r="B12673" s="787">
        <v>4</v>
      </c>
      <c r="C12673" s="787" t="s">
        <v>22683</v>
      </c>
      <c r="D12673" s="787">
        <v>2.08</v>
      </c>
      <c r="E12673" s="787">
        <v>2.88</v>
      </c>
      <c r="F12673" s="788">
        <v>39716</v>
      </c>
      <c r="G12673" s="788">
        <v>42013</v>
      </c>
      <c r="H12673" s="787">
        <v>1</v>
      </c>
      <c r="I12673" s="788">
        <v>42145</v>
      </c>
      <c r="J12673" s="788">
        <v>41710</v>
      </c>
      <c r="K12673" s="788">
        <v>41038</v>
      </c>
      <c r="L12673" s="787">
        <v>2.21</v>
      </c>
      <c r="M12673" s="787">
        <v>20</v>
      </c>
      <c r="N12673" s="787">
        <v>2.38</v>
      </c>
      <c r="O12673" s="788">
        <v>42162</v>
      </c>
    </row>
    <row r="12674" spans="1:15" x14ac:dyDescent="0.25">
      <c r="A12674" s="786" t="s">
        <v>22684</v>
      </c>
      <c r="B12674" s="787">
        <v>4</v>
      </c>
      <c r="C12674" s="787" t="s">
        <v>22685</v>
      </c>
      <c r="D12674" s="787">
        <v>1.93</v>
      </c>
      <c r="E12674" s="787">
        <v>2.66</v>
      </c>
      <c r="F12674" s="788">
        <v>39828</v>
      </c>
      <c r="G12674" s="788">
        <v>42013</v>
      </c>
      <c r="H12674" s="787">
        <v>1</v>
      </c>
      <c r="I12674" s="788">
        <v>42145</v>
      </c>
      <c r="J12674" s="788">
        <v>41710</v>
      </c>
      <c r="K12674" s="788">
        <v>41038</v>
      </c>
      <c r="L12674" s="787">
        <v>2.04</v>
      </c>
      <c r="M12674" s="787">
        <v>20</v>
      </c>
      <c r="N12674" s="787">
        <v>2.19</v>
      </c>
      <c r="O12674" s="788">
        <v>42162</v>
      </c>
    </row>
    <row r="12675" spans="1:15" x14ac:dyDescent="0.25">
      <c r="A12675" s="786" t="s">
        <v>22686</v>
      </c>
      <c r="B12675" s="787">
        <v>4</v>
      </c>
      <c r="C12675" s="787" t="s">
        <v>22687</v>
      </c>
      <c r="D12675" s="787">
        <v>3.95</v>
      </c>
      <c r="E12675" s="787">
        <v>3.95</v>
      </c>
      <c r="F12675" s="788">
        <v>41529</v>
      </c>
      <c r="G12675" s="788">
        <v>42158</v>
      </c>
      <c r="H12675" s="787">
        <v>1</v>
      </c>
      <c r="I12675" s="788">
        <v>42156</v>
      </c>
      <c r="J12675" s="788">
        <v>42158</v>
      </c>
      <c r="K12675" s="788">
        <v>41522</v>
      </c>
      <c r="L12675" s="787">
        <v>3.95</v>
      </c>
      <c r="M12675" s="787">
        <v>20</v>
      </c>
      <c r="N12675" s="787">
        <v>4.25</v>
      </c>
      <c r="O12675" s="788">
        <v>41858</v>
      </c>
    </row>
    <row r="12676" spans="1:15" x14ac:dyDescent="0.25">
      <c r="A12676" s="786" t="s">
        <v>22688</v>
      </c>
      <c r="B12676" s="787">
        <v>4</v>
      </c>
      <c r="C12676" s="787" t="s">
        <v>22689</v>
      </c>
      <c r="D12676" s="787">
        <v>3</v>
      </c>
      <c r="E12676" s="787">
        <v>3</v>
      </c>
      <c r="F12676" s="788">
        <v>41624</v>
      </c>
      <c r="G12676" s="788">
        <v>41644</v>
      </c>
      <c r="H12676" s="787">
        <v>1</v>
      </c>
      <c r="J12676" s="788">
        <v>41614</v>
      </c>
      <c r="K12676" s="788">
        <v>41598</v>
      </c>
      <c r="L12676" s="787">
        <v>3.6</v>
      </c>
      <c r="M12676" s="787">
        <v>20</v>
      </c>
      <c r="N12676" s="787">
        <v>3.87</v>
      </c>
      <c r="O12676" s="788">
        <v>41858</v>
      </c>
    </row>
    <row r="12677" spans="1:15" x14ac:dyDescent="0.25">
      <c r="A12677" s="786" t="s">
        <v>22690</v>
      </c>
      <c r="B12677" s="787">
        <v>4</v>
      </c>
      <c r="C12677" s="787" t="s">
        <v>22669</v>
      </c>
      <c r="D12677" s="787">
        <v>0.81</v>
      </c>
      <c r="E12677" s="787">
        <v>0.81</v>
      </c>
      <c r="F12677" s="788">
        <v>37641</v>
      </c>
      <c r="G12677" s="788">
        <v>37641</v>
      </c>
      <c r="H12677" s="787">
        <v>1</v>
      </c>
      <c r="I12677" s="788">
        <v>40905</v>
      </c>
      <c r="J12677" s="788">
        <v>37641</v>
      </c>
      <c r="L12677" s="787">
        <v>0.88</v>
      </c>
      <c r="M12677" s="787">
        <v>20</v>
      </c>
      <c r="N12677" s="787">
        <v>0.95</v>
      </c>
      <c r="O12677" s="788">
        <v>41858</v>
      </c>
    </row>
    <row r="12678" spans="1:15" x14ac:dyDescent="0.25">
      <c r="A12678" s="786" t="s">
        <v>22691</v>
      </c>
      <c r="B12678" s="787">
        <v>4</v>
      </c>
      <c r="C12678" s="787" t="s">
        <v>22692</v>
      </c>
      <c r="D12678" s="787">
        <v>2</v>
      </c>
      <c r="E12678" s="787">
        <v>56.29</v>
      </c>
      <c r="F12678" s="788">
        <v>41879</v>
      </c>
      <c r="G12678" s="788">
        <v>42013</v>
      </c>
      <c r="H12678" s="787">
        <v>1</v>
      </c>
      <c r="I12678" s="788">
        <v>42024</v>
      </c>
      <c r="J12678" s="788">
        <v>41886</v>
      </c>
      <c r="K12678" s="788">
        <v>41879</v>
      </c>
      <c r="L12678" s="787">
        <v>56.29</v>
      </c>
      <c r="M12678" s="787">
        <v>20</v>
      </c>
      <c r="N12678" s="787">
        <v>60.51</v>
      </c>
      <c r="O12678" s="788">
        <v>42020</v>
      </c>
    </row>
    <row r="12679" spans="1:15" x14ac:dyDescent="0.25">
      <c r="A12679" s="786" t="s">
        <v>22693</v>
      </c>
      <c r="B12679" s="787">
        <v>4</v>
      </c>
      <c r="C12679" s="787" t="s">
        <v>22694</v>
      </c>
      <c r="D12679" s="787">
        <v>6</v>
      </c>
      <c r="E12679" s="787">
        <v>151.81</v>
      </c>
      <c r="F12679" s="788">
        <v>41879</v>
      </c>
      <c r="G12679" s="788">
        <v>42013</v>
      </c>
      <c r="H12679" s="787">
        <v>1</v>
      </c>
      <c r="I12679" s="788">
        <v>42024</v>
      </c>
      <c r="J12679" s="788">
        <v>41886</v>
      </c>
      <c r="K12679" s="788">
        <v>41879</v>
      </c>
      <c r="L12679" s="787">
        <v>151.81</v>
      </c>
      <c r="M12679" s="787">
        <v>20</v>
      </c>
      <c r="N12679" s="787">
        <v>163.19999999999999</v>
      </c>
      <c r="O12679" s="788">
        <v>42019</v>
      </c>
    </row>
    <row r="12680" spans="1:15" x14ac:dyDescent="0.25">
      <c r="A12680" s="786" t="s">
        <v>22695</v>
      </c>
      <c r="B12680" s="787">
        <v>4</v>
      </c>
      <c r="C12680" s="787" t="s">
        <v>22696</v>
      </c>
      <c r="D12680" s="787">
        <v>0.13</v>
      </c>
      <c r="E12680" s="787">
        <v>0.22</v>
      </c>
      <c r="F12680" s="788">
        <v>39101</v>
      </c>
      <c r="G12680" s="788">
        <v>41897</v>
      </c>
      <c r="H12680" s="787">
        <v>1</v>
      </c>
      <c r="I12680" s="788">
        <v>41309</v>
      </c>
      <c r="J12680" s="788">
        <v>41897</v>
      </c>
      <c r="K12680" s="788">
        <v>41892</v>
      </c>
      <c r="L12680" s="787">
        <v>0.22</v>
      </c>
      <c r="M12680" s="787">
        <v>20</v>
      </c>
      <c r="N12680" s="787">
        <v>0.24</v>
      </c>
      <c r="O12680" s="788">
        <v>42019</v>
      </c>
    </row>
    <row r="12681" spans="1:15" x14ac:dyDescent="0.25">
      <c r="A12681" s="786" t="s">
        <v>22697</v>
      </c>
      <c r="B12681" s="787">
        <v>4</v>
      </c>
      <c r="C12681" s="787" t="s">
        <v>22698</v>
      </c>
      <c r="D12681" s="787">
        <v>0.1</v>
      </c>
      <c r="E12681" s="787">
        <v>0.12</v>
      </c>
      <c r="F12681" s="788">
        <v>39101</v>
      </c>
      <c r="G12681" s="788">
        <v>40553</v>
      </c>
      <c r="H12681" s="787">
        <v>1</v>
      </c>
      <c r="I12681" s="788">
        <v>41309</v>
      </c>
      <c r="J12681" s="788">
        <v>40136</v>
      </c>
      <c r="L12681" s="787">
        <v>0.11</v>
      </c>
      <c r="M12681" s="787">
        <v>20</v>
      </c>
      <c r="N12681" s="787">
        <v>0.12</v>
      </c>
      <c r="O12681" s="788">
        <v>41858</v>
      </c>
    </row>
    <row r="12682" spans="1:15" x14ac:dyDescent="0.25">
      <c r="A12682" s="786" t="s">
        <v>22699</v>
      </c>
      <c r="B12682" s="787">
        <v>4</v>
      </c>
      <c r="C12682" s="787" t="s">
        <v>22700</v>
      </c>
      <c r="D12682" s="787">
        <v>9.6</v>
      </c>
      <c r="E12682" s="787">
        <v>489.6</v>
      </c>
      <c r="F12682" s="788">
        <v>41894</v>
      </c>
      <c r="G12682" s="788">
        <v>41953</v>
      </c>
      <c r="H12682" s="787">
        <v>1</v>
      </c>
      <c r="I12682" s="788">
        <v>41894</v>
      </c>
      <c r="J12682" s="788">
        <v>41953</v>
      </c>
      <c r="K12682" s="788">
        <v>41878</v>
      </c>
      <c r="L12682" s="787">
        <v>489.6</v>
      </c>
      <c r="M12682" s="787">
        <v>20</v>
      </c>
      <c r="N12682" s="787">
        <v>526.32000000000005</v>
      </c>
      <c r="O12682" s="788">
        <v>41878</v>
      </c>
    </row>
    <row r="12683" spans="1:15" x14ac:dyDescent="0.25">
      <c r="A12683" s="786" t="s">
        <v>22701</v>
      </c>
      <c r="B12683" s="787">
        <v>4</v>
      </c>
      <c r="C12683" s="787" t="s">
        <v>13083</v>
      </c>
      <c r="D12683" s="787">
        <v>0</v>
      </c>
      <c r="E12683" s="787">
        <v>0</v>
      </c>
      <c r="G12683" s="788">
        <v>41897</v>
      </c>
      <c r="H12683" s="787">
        <v>1</v>
      </c>
      <c r="J12683" s="788">
        <v>41897</v>
      </c>
      <c r="K12683" s="788">
        <v>41891</v>
      </c>
      <c r="L12683" s="787">
        <v>0.19</v>
      </c>
      <c r="M12683" s="787">
        <v>20</v>
      </c>
      <c r="N12683" s="787">
        <v>0.2</v>
      </c>
      <c r="O12683" s="788">
        <v>41891</v>
      </c>
    </row>
    <row r="12684" spans="1:15" x14ac:dyDescent="0.25">
      <c r="A12684" s="786" t="s">
        <v>22702</v>
      </c>
      <c r="B12684" s="787">
        <v>4</v>
      </c>
      <c r="C12684" s="787" t="s">
        <v>22663</v>
      </c>
      <c r="D12684" s="787">
        <v>2.85</v>
      </c>
      <c r="E12684" s="787">
        <v>2.85</v>
      </c>
      <c r="F12684" s="788">
        <v>37641</v>
      </c>
      <c r="G12684" s="788">
        <v>37641</v>
      </c>
      <c r="H12684" s="787">
        <v>1</v>
      </c>
      <c r="J12684" s="788">
        <v>37641</v>
      </c>
      <c r="L12684" s="787">
        <v>3.11</v>
      </c>
      <c r="M12684" s="787">
        <v>20</v>
      </c>
      <c r="N12684" s="787">
        <v>3.34</v>
      </c>
      <c r="O12684" s="788">
        <v>42020</v>
      </c>
    </row>
    <row r="12685" spans="1:15" x14ac:dyDescent="0.25">
      <c r="A12685" s="786" t="s">
        <v>22703</v>
      </c>
      <c r="B12685" s="787">
        <v>4</v>
      </c>
      <c r="C12685" s="787" t="s">
        <v>22704</v>
      </c>
      <c r="D12685" s="787">
        <v>0.33</v>
      </c>
      <c r="E12685" s="787">
        <v>0.33</v>
      </c>
      <c r="F12685" s="788">
        <v>37641</v>
      </c>
      <c r="G12685" s="788">
        <v>37641</v>
      </c>
      <c r="H12685" s="787">
        <v>1</v>
      </c>
      <c r="J12685" s="788">
        <v>37641</v>
      </c>
      <c r="L12685" s="787">
        <v>0.36</v>
      </c>
      <c r="M12685" s="787">
        <v>20</v>
      </c>
      <c r="N12685" s="787">
        <v>0.39</v>
      </c>
      <c r="O12685" s="788">
        <v>41858</v>
      </c>
    </row>
    <row r="12686" spans="1:15" x14ac:dyDescent="0.25">
      <c r="A12686" s="786" t="s">
        <v>22705</v>
      </c>
      <c r="B12686" s="787">
        <v>4</v>
      </c>
      <c r="C12686" s="787" t="s">
        <v>22663</v>
      </c>
      <c r="D12686" s="787">
        <v>0.52</v>
      </c>
      <c r="E12686" s="787">
        <v>0.52</v>
      </c>
      <c r="F12686" s="788">
        <v>39101</v>
      </c>
      <c r="G12686" s="788">
        <v>39101</v>
      </c>
      <c r="H12686" s="787">
        <v>1</v>
      </c>
      <c r="I12686" s="788">
        <v>39134</v>
      </c>
      <c r="J12686" s="788">
        <v>39149</v>
      </c>
      <c r="L12686" s="787">
        <v>0.56999999999999995</v>
      </c>
      <c r="M12686" s="787">
        <v>20</v>
      </c>
      <c r="N12686" s="787">
        <v>0.61</v>
      </c>
      <c r="O12686" s="788">
        <v>41858</v>
      </c>
    </row>
    <row r="12687" spans="1:15" x14ac:dyDescent="0.25">
      <c r="A12687" s="786" t="s">
        <v>22706</v>
      </c>
      <c r="B12687" s="787">
        <v>4</v>
      </c>
      <c r="C12687" s="787" t="s">
        <v>22663</v>
      </c>
      <c r="D12687" s="787">
        <v>0.53</v>
      </c>
      <c r="E12687" s="787">
        <v>0.53</v>
      </c>
      <c r="F12687" s="788">
        <v>39101</v>
      </c>
      <c r="G12687" s="788">
        <v>39101</v>
      </c>
      <c r="H12687" s="787">
        <v>1</v>
      </c>
      <c r="I12687" s="788">
        <v>39134</v>
      </c>
      <c r="J12687" s="788">
        <v>39149</v>
      </c>
      <c r="L12687" s="787">
        <v>0.57999999999999996</v>
      </c>
      <c r="M12687" s="787">
        <v>20</v>
      </c>
      <c r="N12687" s="787">
        <v>0.62</v>
      </c>
      <c r="O12687" s="788">
        <v>41858</v>
      </c>
    </row>
    <row r="12688" spans="1:15" x14ac:dyDescent="0.25">
      <c r="A12688" s="786" t="s">
        <v>22707</v>
      </c>
      <c r="B12688" s="787">
        <v>4</v>
      </c>
      <c r="C12688" s="787" t="s">
        <v>22663</v>
      </c>
      <c r="D12688" s="787">
        <v>0.26</v>
      </c>
      <c r="E12688" s="787">
        <v>0.26</v>
      </c>
      <c r="F12688" s="788">
        <v>37641</v>
      </c>
      <c r="G12688" s="788">
        <v>37641</v>
      </c>
      <c r="H12688" s="787">
        <v>1</v>
      </c>
      <c r="J12688" s="788">
        <v>37641</v>
      </c>
      <c r="L12688" s="787">
        <v>0.28000000000000003</v>
      </c>
      <c r="M12688" s="787">
        <v>20</v>
      </c>
      <c r="N12688" s="787">
        <v>0.3</v>
      </c>
      <c r="O12688" s="788">
        <v>41858</v>
      </c>
    </row>
    <row r="12689" spans="1:15" x14ac:dyDescent="0.25">
      <c r="A12689" s="786" t="s">
        <v>22708</v>
      </c>
      <c r="B12689" s="787">
        <v>4</v>
      </c>
      <c r="C12689" s="787" t="s">
        <v>22709</v>
      </c>
      <c r="D12689" s="787">
        <v>0.21</v>
      </c>
      <c r="E12689" s="787">
        <v>0.21</v>
      </c>
      <c r="F12689" s="788">
        <v>39101</v>
      </c>
      <c r="G12689" s="788">
        <v>39101</v>
      </c>
      <c r="H12689" s="787">
        <v>1</v>
      </c>
      <c r="I12689" s="788">
        <v>39864</v>
      </c>
      <c r="J12689" s="788">
        <v>39149</v>
      </c>
      <c r="L12689" s="787">
        <v>0.24</v>
      </c>
      <c r="M12689" s="787">
        <v>20</v>
      </c>
      <c r="N12689" s="787">
        <v>0.26</v>
      </c>
      <c r="O12689" s="788">
        <v>41858</v>
      </c>
    </row>
    <row r="12690" spans="1:15" x14ac:dyDescent="0.25">
      <c r="A12690" s="786" t="s">
        <v>22710</v>
      </c>
      <c r="B12690" s="787">
        <v>4</v>
      </c>
      <c r="C12690" s="787" t="s">
        <v>22657</v>
      </c>
      <c r="D12690" s="787">
        <v>0.24</v>
      </c>
      <c r="E12690" s="787">
        <v>0.24</v>
      </c>
      <c r="F12690" s="788">
        <v>37641</v>
      </c>
      <c r="G12690" s="788">
        <v>37641</v>
      </c>
      <c r="H12690" s="787">
        <v>1</v>
      </c>
      <c r="J12690" s="788">
        <v>37641</v>
      </c>
      <c r="L12690" s="787">
        <v>0.26</v>
      </c>
      <c r="M12690" s="787">
        <v>20</v>
      </c>
      <c r="N12690" s="787">
        <v>0.28000000000000003</v>
      </c>
      <c r="O12690" s="788">
        <v>41858</v>
      </c>
    </row>
    <row r="12691" spans="1:15" x14ac:dyDescent="0.25">
      <c r="A12691" s="786" t="s">
        <v>22711</v>
      </c>
      <c r="B12691" s="787">
        <v>4</v>
      </c>
      <c r="C12691" s="787" t="s">
        <v>22663</v>
      </c>
      <c r="D12691" s="787">
        <v>0.2</v>
      </c>
      <c r="E12691" s="787">
        <v>0.2</v>
      </c>
      <c r="F12691" s="788">
        <v>37641</v>
      </c>
      <c r="G12691" s="788">
        <v>37641</v>
      </c>
      <c r="H12691" s="787">
        <v>1</v>
      </c>
      <c r="J12691" s="788">
        <v>37641</v>
      </c>
      <c r="L12691" s="787">
        <v>0.22</v>
      </c>
      <c r="M12691" s="787">
        <v>20</v>
      </c>
      <c r="N12691" s="787">
        <v>0.24</v>
      </c>
      <c r="O12691" s="788">
        <v>41858</v>
      </c>
    </row>
    <row r="12692" spans="1:15" x14ac:dyDescent="0.25">
      <c r="A12692" s="786" t="s">
        <v>22712</v>
      </c>
      <c r="B12692" s="787">
        <v>4</v>
      </c>
      <c r="C12692" s="787" t="s">
        <v>22713</v>
      </c>
      <c r="D12692" s="787">
        <v>2.5</v>
      </c>
      <c r="E12692" s="787">
        <v>22.5</v>
      </c>
      <c r="F12692" s="788">
        <v>37641</v>
      </c>
      <c r="G12692" s="788">
        <v>37641</v>
      </c>
      <c r="H12692" s="787">
        <v>1</v>
      </c>
      <c r="I12692" s="788">
        <v>37623</v>
      </c>
      <c r="J12692" s="788">
        <v>37641</v>
      </c>
      <c r="L12692" s="787">
        <v>24.53</v>
      </c>
      <c r="M12692" s="787">
        <v>20</v>
      </c>
      <c r="N12692" s="787">
        <v>26.37</v>
      </c>
      <c r="O12692" s="788">
        <v>41858</v>
      </c>
    </row>
    <row r="12693" spans="1:15" x14ac:dyDescent="0.25">
      <c r="A12693" s="786" t="s">
        <v>22714</v>
      </c>
      <c r="B12693" s="787">
        <v>4</v>
      </c>
      <c r="C12693" s="787" t="s">
        <v>22715</v>
      </c>
      <c r="D12693" s="787">
        <v>0.12</v>
      </c>
      <c r="E12693" s="787">
        <v>0.12</v>
      </c>
      <c r="F12693" s="788">
        <v>38499</v>
      </c>
      <c r="G12693" s="788">
        <v>38499</v>
      </c>
      <c r="H12693" s="787">
        <v>6</v>
      </c>
      <c r="I12693" s="788">
        <v>41166</v>
      </c>
      <c r="J12693" s="788">
        <v>38527</v>
      </c>
      <c r="K12693" s="788">
        <v>41869</v>
      </c>
      <c r="L12693" s="787">
        <v>0.1</v>
      </c>
      <c r="M12693" s="787">
        <v>20</v>
      </c>
      <c r="N12693" s="787">
        <v>1.55</v>
      </c>
      <c r="O12693" s="788">
        <v>41858</v>
      </c>
    </row>
    <row r="12694" spans="1:15" x14ac:dyDescent="0.25">
      <c r="A12694" s="786" t="s">
        <v>22716</v>
      </c>
      <c r="B12694" s="787">
        <v>4</v>
      </c>
      <c r="C12694" s="787" t="s">
        <v>22717</v>
      </c>
      <c r="D12694" s="787">
        <v>0.24</v>
      </c>
      <c r="E12694" s="787">
        <v>0.27</v>
      </c>
      <c r="F12694" s="788">
        <v>38943</v>
      </c>
      <c r="G12694" s="788">
        <v>42013</v>
      </c>
      <c r="H12694" s="787">
        <v>1</v>
      </c>
      <c r="I12694" s="788">
        <v>42156</v>
      </c>
      <c r="J12694" s="788">
        <v>41995</v>
      </c>
      <c r="K12694" s="788">
        <v>41239</v>
      </c>
      <c r="L12694" s="787">
        <v>0.26</v>
      </c>
      <c r="M12694" s="787">
        <v>20</v>
      </c>
      <c r="N12694" s="787">
        <v>0.28000000000000003</v>
      </c>
      <c r="O12694" s="788">
        <v>41976</v>
      </c>
    </row>
    <row r="12695" spans="1:15" x14ac:dyDescent="0.25">
      <c r="A12695" s="786" t="s">
        <v>22718</v>
      </c>
      <c r="B12695" s="787">
        <v>4</v>
      </c>
      <c r="C12695" s="787" t="s">
        <v>22719</v>
      </c>
      <c r="D12695" s="787">
        <v>1.54</v>
      </c>
      <c r="E12695" s="787">
        <v>1.6</v>
      </c>
      <c r="F12695" s="788">
        <v>41597</v>
      </c>
      <c r="G12695" s="788">
        <v>42013</v>
      </c>
      <c r="H12695" s="787">
        <v>1</v>
      </c>
      <c r="I12695" s="788">
        <v>42086</v>
      </c>
      <c r="J12695" s="788">
        <v>42003</v>
      </c>
      <c r="K12695" s="788">
        <v>41537</v>
      </c>
      <c r="L12695" s="787">
        <v>1.54</v>
      </c>
      <c r="M12695" s="787">
        <v>20</v>
      </c>
      <c r="N12695" s="787">
        <v>1.66</v>
      </c>
      <c r="O12695" s="788">
        <v>42146</v>
      </c>
    </row>
    <row r="12696" spans="1:15" x14ac:dyDescent="0.25">
      <c r="A12696" s="786" t="s">
        <v>22720</v>
      </c>
      <c r="B12696" s="787">
        <v>4</v>
      </c>
      <c r="C12696" s="787" t="s">
        <v>22721</v>
      </c>
      <c r="D12696" s="787">
        <v>0.25</v>
      </c>
      <c r="E12696" s="787">
        <v>0.35</v>
      </c>
      <c r="F12696" s="788">
        <v>39101</v>
      </c>
      <c r="G12696" s="788">
        <v>39101</v>
      </c>
      <c r="H12696" s="787">
        <v>1</v>
      </c>
      <c r="I12696" s="788">
        <v>39134</v>
      </c>
      <c r="J12696" s="788">
        <v>39149</v>
      </c>
      <c r="L12696" s="787">
        <v>0.38</v>
      </c>
      <c r="M12696" s="787">
        <v>20</v>
      </c>
      <c r="N12696" s="787">
        <v>0.41</v>
      </c>
      <c r="O12696" s="788">
        <v>41858</v>
      </c>
    </row>
    <row r="12697" spans="1:15" x14ac:dyDescent="0.25">
      <c r="A12697" s="786" t="s">
        <v>22722</v>
      </c>
      <c r="B12697" s="787">
        <v>4</v>
      </c>
      <c r="C12697" s="787" t="s">
        <v>22723</v>
      </c>
      <c r="D12697" s="787">
        <v>4.8499999999999996</v>
      </c>
      <c r="E12697" s="787">
        <v>70.59</v>
      </c>
      <c r="F12697" s="788">
        <v>40344</v>
      </c>
      <c r="G12697" s="788">
        <v>42093</v>
      </c>
      <c r="H12697" s="787">
        <v>1</v>
      </c>
      <c r="I12697" s="788">
        <v>41865</v>
      </c>
      <c r="J12697" s="788">
        <v>42081</v>
      </c>
      <c r="K12697" s="788">
        <v>41071</v>
      </c>
      <c r="L12697" s="787">
        <v>67.41</v>
      </c>
      <c r="M12697" s="787">
        <v>20</v>
      </c>
      <c r="N12697" s="787">
        <v>72.47</v>
      </c>
      <c r="O12697" s="788">
        <v>42164</v>
      </c>
    </row>
    <row r="12698" spans="1:15" x14ac:dyDescent="0.25">
      <c r="A12698" s="786" t="s">
        <v>22724</v>
      </c>
      <c r="B12698" s="787">
        <v>4</v>
      </c>
      <c r="C12698" s="787" t="s">
        <v>22725</v>
      </c>
      <c r="D12698" s="787">
        <v>3.36</v>
      </c>
      <c r="E12698" s="787">
        <v>13.36</v>
      </c>
      <c r="F12698" s="788">
        <v>41376</v>
      </c>
      <c r="G12698" s="788">
        <v>41382</v>
      </c>
      <c r="H12698" s="787">
        <v>1</v>
      </c>
      <c r="I12698" s="788">
        <v>41865</v>
      </c>
      <c r="J12698" s="788">
        <v>41374</v>
      </c>
      <c r="K12698" s="788">
        <v>41505</v>
      </c>
      <c r="L12698" s="787">
        <v>13.36</v>
      </c>
      <c r="M12698" s="787">
        <v>20</v>
      </c>
      <c r="N12698" s="787">
        <v>14.36</v>
      </c>
      <c r="O12698" s="788">
        <v>41858</v>
      </c>
    </row>
    <row r="12699" spans="1:15" x14ac:dyDescent="0.25">
      <c r="A12699" s="786" t="s">
        <v>22726</v>
      </c>
      <c r="B12699" s="787">
        <v>4</v>
      </c>
      <c r="C12699" s="787" t="s">
        <v>22727</v>
      </c>
      <c r="D12699" s="787">
        <v>7.99</v>
      </c>
      <c r="E12699" s="787">
        <v>27.99</v>
      </c>
      <c r="F12699" s="788">
        <v>41376</v>
      </c>
      <c r="G12699" s="788">
        <v>41646</v>
      </c>
      <c r="H12699" s="787">
        <v>1</v>
      </c>
      <c r="I12699" s="788">
        <v>41865</v>
      </c>
      <c r="J12699" s="788">
        <v>41449</v>
      </c>
      <c r="L12699" s="787">
        <v>27.99</v>
      </c>
      <c r="M12699" s="787">
        <v>20</v>
      </c>
      <c r="N12699" s="787">
        <v>30.09</v>
      </c>
      <c r="O12699" s="788">
        <v>41858</v>
      </c>
    </row>
    <row r="12700" spans="1:15" x14ac:dyDescent="0.25">
      <c r="A12700" s="786" t="s">
        <v>22728</v>
      </c>
      <c r="B12700" s="787">
        <v>4</v>
      </c>
      <c r="C12700" s="787" t="s">
        <v>22729</v>
      </c>
      <c r="D12700" s="787">
        <v>5.4</v>
      </c>
      <c r="E12700" s="787">
        <v>17.11</v>
      </c>
      <c r="F12700" s="788">
        <v>40344</v>
      </c>
      <c r="G12700" s="788">
        <v>42091</v>
      </c>
      <c r="H12700" s="787">
        <v>1</v>
      </c>
      <c r="I12700" s="788">
        <v>41865</v>
      </c>
      <c r="J12700" s="788">
        <v>42082</v>
      </c>
      <c r="K12700" s="788">
        <v>41543</v>
      </c>
      <c r="L12700" s="787">
        <v>17.07</v>
      </c>
      <c r="M12700" s="787">
        <v>20</v>
      </c>
      <c r="N12700" s="787">
        <v>18.350000000000001</v>
      </c>
      <c r="O12700" s="788">
        <v>41858</v>
      </c>
    </row>
    <row r="12701" spans="1:15" x14ac:dyDescent="0.25">
      <c r="A12701" s="786" t="s">
        <v>22730</v>
      </c>
      <c r="B12701" s="787">
        <v>4</v>
      </c>
      <c r="C12701" s="787" t="s">
        <v>22731</v>
      </c>
      <c r="D12701" s="787">
        <v>9.51</v>
      </c>
      <c r="E12701" s="787">
        <v>192.6</v>
      </c>
      <c r="F12701" s="788">
        <v>40344</v>
      </c>
      <c r="G12701" s="788">
        <v>42166</v>
      </c>
      <c r="H12701" s="787">
        <v>1</v>
      </c>
      <c r="I12701" s="788">
        <v>41865</v>
      </c>
      <c r="J12701" s="788">
        <v>42131</v>
      </c>
      <c r="L12701" s="787">
        <v>189.81</v>
      </c>
      <c r="M12701" s="787">
        <v>20</v>
      </c>
      <c r="N12701" s="787">
        <v>204.05</v>
      </c>
      <c r="O12701" s="788">
        <v>41858</v>
      </c>
    </row>
    <row r="12702" spans="1:15" x14ac:dyDescent="0.25">
      <c r="A12702" s="786" t="s">
        <v>22732</v>
      </c>
      <c r="B12702" s="787">
        <v>4</v>
      </c>
      <c r="C12702" s="787" t="s">
        <v>22733</v>
      </c>
      <c r="D12702" s="787">
        <v>0.17</v>
      </c>
      <c r="E12702" s="787">
        <v>0.19</v>
      </c>
      <c r="F12702" s="788">
        <v>40344</v>
      </c>
      <c r="G12702" s="788">
        <v>41646</v>
      </c>
      <c r="H12702" s="787">
        <v>1</v>
      </c>
      <c r="I12702" s="788">
        <v>41865</v>
      </c>
      <c r="J12702" s="788">
        <v>41233</v>
      </c>
      <c r="K12702" s="788">
        <v>40975</v>
      </c>
      <c r="L12702" s="787">
        <v>0.18</v>
      </c>
      <c r="M12702" s="787">
        <v>20</v>
      </c>
      <c r="N12702" s="787">
        <v>0.19</v>
      </c>
      <c r="O12702" s="788">
        <v>41858</v>
      </c>
    </row>
    <row r="12703" spans="1:15" x14ac:dyDescent="0.25">
      <c r="A12703" s="786" t="s">
        <v>22734</v>
      </c>
      <c r="B12703" s="787">
        <v>4</v>
      </c>
      <c r="C12703" s="787" t="s">
        <v>22731</v>
      </c>
      <c r="D12703" s="787">
        <v>9.51</v>
      </c>
      <c r="E12703" s="787">
        <v>190.21</v>
      </c>
      <c r="F12703" s="788">
        <v>40344</v>
      </c>
      <c r="G12703" s="788">
        <v>42091</v>
      </c>
      <c r="H12703" s="787">
        <v>1</v>
      </c>
      <c r="I12703" s="788">
        <v>41134</v>
      </c>
      <c r="J12703" s="788">
        <v>42082</v>
      </c>
      <c r="K12703" s="788">
        <v>41652</v>
      </c>
      <c r="L12703" s="787">
        <v>189.8</v>
      </c>
      <c r="M12703" s="787">
        <v>20</v>
      </c>
      <c r="N12703" s="787">
        <v>204.04</v>
      </c>
      <c r="O12703" s="788">
        <v>41858</v>
      </c>
    </row>
    <row r="12704" spans="1:15" x14ac:dyDescent="0.25">
      <c r="A12704" s="786" t="s">
        <v>22735</v>
      </c>
      <c r="B12704" s="787">
        <v>4</v>
      </c>
      <c r="C12704" s="787" t="s">
        <v>22736</v>
      </c>
      <c r="D12704" s="787">
        <v>0.06</v>
      </c>
      <c r="E12704" s="787">
        <v>0.06</v>
      </c>
      <c r="F12704" s="788">
        <v>40344</v>
      </c>
      <c r="G12704" s="788">
        <v>42125</v>
      </c>
      <c r="H12704" s="787">
        <v>1</v>
      </c>
      <c r="J12704" s="788">
        <v>42088</v>
      </c>
      <c r="L12704" s="787">
        <v>0.06</v>
      </c>
      <c r="M12704" s="787">
        <v>20</v>
      </c>
      <c r="N12704" s="787">
        <v>0.06</v>
      </c>
      <c r="O12704" s="788">
        <v>41858</v>
      </c>
    </row>
    <row r="12705" spans="1:15" x14ac:dyDescent="0.25">
      <c r="A12705" s="786" t="s">
        <v>22737</v>
      </c>
      <c r="B12705" s="787">
        <v>4</v>
      </c>
      <c r="C12705" s="787" t="s">
        <v>22736</v>
      </c>
      <c r="D12705" s="787">
        <v>7.0000000000000007E-2</v>
      </c>
      <c r="E12705" s="787">
        <v>0.08</v>
      </c>
      <c r="F12705" s="788">
        <v>40344</v>
      </c>
      <c r="G12705" s="788">
        <v>42125</v>
      </c>
      <c r="H12705" s="787">
        <v>1</v>
      </c>
      <c r="I12705" s="788">
        <v>41865</v>
      </c>
      <c r="J12705" s="788">
        <v>42088</v>
      </c>
      <c r="K12705" s="788">
        <v>41848</v>
      </c>
      <c r="L12705" s="787">
        <v>0.08</v>
      </c>
      <c r="M12705" s="787">
        <v>20</v>
      </c>
      <c r="N12705" s="787">
        <v>0.09</v>
      </c>
      <c r="O12705" s="788">
        <v>41858</v>
      </c>
    </row>
    <row r="12706" spans="1:15" x14ac:dyDescent="0.25">
      <c r="A12706" s="786" t="s">
        <v>22738</v>
      </c>
      <c r="B12706" s="787">
        <v>4</v>
      </c>
      <c r="C12706" s="787" t="s">
        <v>22739</v>
      </c>
      <c r="D12706" s="787">
        <v>0</v>
      </c>
      <c r="E12706" s="787">
        <v>0</v>
      </c>
      <c r="H12706" s="787">
        <v>1</v>
      </c>
      <c r="I12706" s="788">
        <v>41817</v>
      </c>
      <c r="L12706" s="787">
        <v>0</v>
      </c>
      <c r="M12706" s="787">
        <v>20</v>
      </c>
      <c r="N12706" s="787">
        <v>0</v>
      </c>
      <c r="O12706" s="788">
        <v>40824</v>
      </c>
    </row>
    <row r="12707" spans="1:15" x14ac:dyDescent="0.25">
      <c r="A12707" s="786" t="s">
        <v>22740</v>
      </c>
      <c r="B12707" s="787">
        <v>4</v>
      </c>
      <c r="C12707" s="787" t="s">
        <v>22741</v>
      </c>
      <c r="D12707" s="787">
        <v>0</v>
      </c>
      <c r="E12707" s="787">
        <v>0</v>
      </c>
      <c r="H12707" s="787">
        <v>1</v>
      </c>
      <c r="I12707" s="788">
        <v>41808</v>
      </c>
      <c r="L12707" s="787">
        <v>0</v>
      </c>
      <c r="M12707" s="787">
        <v>20</v>
      </c>
      <c r="N12707" s="787">
        <v>0</v>
      </c>
      <c r="O12707" s="788">
        <v>40824</v>
      </c>
    </row>
    <row r="12708" spans="1:15" x14ac:dyDescent="0.25">
      <c r="A12708" s="786" t="s">
        <v>22742</v>
      </c>
      <c r="B12708" s="787">
        <v>4</v>
      </c>
      <c r="C12708" s="787" t="s">
        <v>22743</v>
      </c>
      <c r="D12708" s="787">
        <v>0</v>
      </c>
      <c r="E12708" s="787">
        <v>0</v>
      </c>
      <c r="H12708" s="787">
        <v>1</v>
      </c>
      <c r="I12708" s="788">
        <v>41817</v>
      </c>
      <c r="L12708" s="787">
        <v>0</v>
      </c>
      <c r="M12708" s="787">
        <v>20</v>
      </c>
      <c r="N12708" s="787">
        <v>0</v>
      </c>
      <c r="O12708" s="788">
        <v>40824</v>
      </c>
    </row>
    <row r="12709" spans="1:15" x14ac:dyDescent="0.25">
      <c r="A12709" s="786" t="s">
        <v>22744</v>
      </c>
      <c r="B12709" s="787">
        <v>4</v>
      </c>
      <c r="C12709" s="787" t="s">
        <v>22741</v>
      </c>
      <c r="D12709" s="787">
        <v>0.33</v>
      </c>
      <c r="E12709" s="787">
        <v>0.38</v>
      </c>
      <c r="F12709" s="788">
        <v>40385</v>
      </c>
      <c r="G12709" s="788">
        <v>42159</v>
      </c>
      <c r="H12709" s="787">
        <v>1</v>
      </c>
      <c r="I12709" s="788">
        <v>42165</v>
      </c>
      <c r="J12709" s="788">
        <v>42159</v>
      </c>
      <c r="K12709" s="788">
        <v>41739</v>
      </c>
      <c r="L12709" s="787">
        <v>0.37</v>
      </c>
      <c r="M12709" s="787">
        <v>20</v>
      </c>
      <c r="N12709" s="787">
        <v>0.4</v>
      </c>
      <c r="O12709" s="788">
        <v>42164</v>
      </c>
    </row>
    <row r="12710" spans="1:15" x14ac:dyDescent="0.25">
      <c r="A12710" s="786" t="s">
        <v>22745</v>
      </c>
      <c r="B12710" s="787">
        <v>4</v>
      </c>
      <c r="C12710" s="787" t="s">
        <v>22741</v>
      </c>
      <c r="D12710" s="787">
        <v>0</v>
      </c>
      <c r="E12710" s="787">
        <v>0</v>
      </c>
      <c r="G12710" s="788">
        <v>41764</v>
      </c>
      <c r="H12710" s="787">
        <v>1</v>
      </c>
      <c r="I12710" s="788">
        <v>41724</v>
      </c>
      <c r="J12710" s="788">
        <v>41764</v>
      </c>
      <c r="K12710" s="788">
        <v>41069</v>
      </c>
      <c r="L12710" s="787">
        <v>0.36</v>
      </c>
      <c r="M12710" s="787">
        <v>20</v>
      </c>
      <c r="N12710" s="787">
        <v>0.39</v>
      </c>
      <c r="O12710" s="788">
        <v>42164</v>
      </c>
    </row>
    <row r="12711" spans="1:15" x14ac:dyDescent="0.25">
      <c r="A12711" s="786" t="s">
        <v>22746</v>
      </c>
      <c r="B12711" s="787">
        <v>4</v>
      </c>
      <c r="C12711" s="787" t="s">
        <v>22743</v>
      </c>
      <c r="D12711" s="787">
        <v>1.2</v>
      </c>
      <c r="E12711" s="787">
        <v>1.39</v>
      </c>
      <c r="F12711" s="788">
        <v>40416</v>
      </c>
      <c r="G12711" s="788">
        <v>42159</v>
      </c>
      <c r="H12711" s="787">
        <v>1</v>
      </c>
      <c r="I12711" s="788">
        <v>42165</v>
      </c>
      <c r="J12711" s="788">
        <v>42156</v>
      </c>
      <c r="K12711" s="788">
        <v>41856</v>
      </c>
      <c r="L12711" s="787">
        <v>1.39</v>
      </c>
      <c r="M12711" s="787">
        <v>20</v>
      </c>
      <c r="N12711" s="787">
        <v>1.49</v>
      </c>
      <c r="O12711" s="788">
        <v>42164</v>
      </c>
    </row>
    <row r="12712" spans="1:15" x14ac:dyDescent="0.25">
      <c r="A12712" s="786" t="s">
        <v>22747</v>
      </c>
      <c r="B12712" s="787">
        <v>4</v>
      </c>
      <c r="C12712" s="787" t="s">
        <v>22748</v>
      </c>
      <c r="D12712" s="787">
        <v>0.15</v>
      </c>
      <c r="E12712" s="787">
        <v>0.17</v>
      </c>
      <c r="F12712" s="788">
        <v>40385</v>
      </c>
      <c r="G12712" s="788">
        <v>42159</v>
      </c>
      <c r="H12712" s="787">
        <v>1</v>
      </c>
      <c r="I12712" s="788">
        <v>42165</v>
      </c>
      <c r="J12712" s="788">
        <v>42156</v>
      </c>
      <c r="K12712" s="788">
        <v>41856</v>
      </c>
      <c r="L12712" s="787">
        <v>0.17</v>
      </c>
      <c r="M12712" s="787">
        <v>20</v>
      </c>
      <c r="N12712" s="787">
        <v>0.18</v>
      </c>
      <c r="O12712" s="788">
        <v>42164</v>
      </c>
    </row>
    <row r="12713" spans="1:15" x14ac:dyDescent="0.25">
      <c r="A12713" s="786" t="s">
        <v>22749</v>
      </c>
      <c r="B12713" s="787">
        <v>4</v>
      </c>
      <c r="C12713" s="787" t="s">
        <v>22750</v>
      </c>
      <c r="D12713" s="787">
        <v>0.1</v>
      </c>
      <c r="E12713" s="787">
        <v>0.12</v>
      </c>
      <c r="F12713" s="788">
        <v>40385</v>
      </c>
      <c r="G12713" s="788">
        <v>42109</v>
      </c>
      <c r="H12713" s="787">
        <v>1</v>
      </c>
      <c r="I12713" s="788">
        <v>42152</v>
      </c>
      <c r="J12713" s="788">
        <v>42088</v>
      </c>
      <c r="K12713" s="788">
        <v>41592</v>
      </c>
      <c r="L12713" s="787">
        <v>0.12</v>
      </c>
      <c r="M12713" s="787">
        <v>20</v>
      </c>
      <c r="N12713" s="787">
        <v>0.13</v>
      </c>
      <c r="O12713" s="788">
        <v>42146</v>
      </c>
    </row>
    <row r="12714" spans="1:15" x14ac:dyDescent="0.25">
      <c r="A12714" s="786" t="s">
        <v>22751</v>
      </c>
      <c r="B12714" s="787">
        <v>4</v>
      </c>
      <c r="C12714" s="787" t="s">
        <v>22752</v>
      </c>
      <c r="D12714" s="787">
        <v>3.5</v>
      </c>
      <c r="E12714" s="787">
        <v>4.07</v>
      </c>
      <c r="F12714" s="788">
        <v>40450</v>
      </c>
      <c r="G12714" s="788">
        <v>42109</v>
      </c>
      <c r="H12714" s="787">
        <v>1</v>
      </c>
      <c r="I12714" s="788">
        <v>42163</v>
      </c>
      <c r="J12714" s="788">
        <v>42088</v>
      </c>
      <c r="K12714" s="788">
        <v>41918</v>
      </c>
      <c r="L12714" s="787">
        <v>4.03</v>
      </c>
      <c r="M12714" s="787">
        <v>20</v>
      </c>
      <c r="N12714" s="787">
        <v>4.33</v>
      </c>
      <c r="O12714" s="788">
        <v>42164</v>
      </c>
    </row>
    <row r="12715" spans="1:15" x14ac:dyDescent="0.25">
      <c r="A12715" s="786" t="s">
        <v>22753</v>
      </c>
      <c r="B12715" s="787">
        <v>4</v>
      </c>
      <c r="C12715" s="787" t="s">
        <v>22754</v>
      </c>
      <c r="D12715" s="787">
        <v>0.16</v>
      </c>
      <c r="E12715" s="787">
        <v>0.16</v>
      </c>
      <c r="F12715" s="788">
        <v>40385</v>
      </c>
      <c r="G12715" s="788">
        <v>40385</v>
      </c>
      <c r="H12715" s="787">
        <v>1</v>
      </c>
      <c r="I12715" s="788">
        <v>41176</v>
      </c>
      <c r="J12715" s="788">
        <v>40366</v>
      </c>
      <c r="L12715" s="787">
        <v>0.16</v>
      </c>
      <c r="M12715" s="787">
        <v>20</v>
      </c>
      <c r="N12715" s="787">
        <v>0.17</v>
      </c>
      <c r="O12715" s="788">
        <v>41858</v>
      </c>
    </row>
    <row r="12716" spans="1:15" x14ac:dyDescent="0.25">
      <c r="A12716" s="786" t="s">
        <v>22755</v>
      </c>
      <c r="B12716" s="787">
        <v>4</v>
      </c>
      <c r="C12716" s="787" t="s">
        <v>22756</v>
      </c>
      <c r="D12716" s="787">
        <v>0.73</v>
      </c>
      <c r="E12716" s="787">
        <v>0.85</v>
      </c>
      <c r="F12716" s="788">
        <v>40385</v>
      </c>
      <c r="G12716" s="788">
        <v>42146</v>
      </c>
      <c r="H12716" s="787">
        <v>1</v>
      </c>
      <c r="I12716" s="788">
        <v>42163</v>
      </c>
      <c r="J12716" s="788">
        <v>42117</v>
      </c>
      <c r="K12716" s="788">
        <v>41824</v>
      </c>
      <c r="L12716" s="787">
        <v>0.84</v>
      </c>
      <c r="M12716" s="787">
        <v>20</v>
      </c>
      <c r="N12716" s="787">
        <v>0.9</v>
      </c>
      <c r="O12716" s="788">
        <v>42164</v>
      </c>
    </row>
    <row r="12717" spans="1:15" x14ac:dyDescent="0.25">
      <c r="A12717" s="786" t="s">
        <v>22757</v>
      </c>
      <c r="B12717" s="787">
        <v>4</v>
      </c>
      <c r="C12717" s="787" t="s">
        <v>22758</v>
      </c>
      <c r="D12717" s="787">
        <v>0.79</v>
      </c>
      <c r="E12717" s="787">
        <v>0.88</v>
      </c>
      <c r="F12717" s="788">
        <v>40688</v>
      </c>
      <c r="G12717" s="788">
        <v>42146</v>
      </c>
      <c r="H12717" s="787">
        <v>1</v>
      </c>
      <c r="I12717" s="788">
        <v>42163</v>
      </c>
      <c r="J12717" s="788">
        <v>42117</v>
      </c>
      <c r="K12717" s="788">
        <v>41824</v>
      </c>
      <c r="L12717" s="787">
        <v>0.87</v>
      </c>
      <c r="M12717" s="787">
        <v>20</v>
      </c>
      <c r="N12717" s="787">
        <v>0.94</v>
      </c>
      <c r="O12717" s="788">
        <v>42146</v>
      </c>
    </row>
    <row r="12718" spans="1:15" x14ac:dyDescent="0.25">
      <c r="A12718" s="786" t="s">
        <v>22759</v>
      </c>
      <c r="B12718" s="787">
        <v>4</v>
      </c>
      <c r="C12718" s="787" t="s">
        <v>22760</v>
      </c>
      <c r="D12718" s="787">
        <v>1.76</v>
      </c>
      <c r="E12718" s="787">
        <v>2.06</v>
      </c>
      <c r="F12718" s="788">
        <v>40385</v>
      </c>
      <c r="G12718" s="788">
        <v>42146</v>
      </c>
      <c r="H12718" s="787">
        <v>1</v>
      </c>
      <c r="I12718" s="788">
        <v>42163</v>
      </c>
      <c r="J12718" s="788">
        <v>42117</v>
      </c>
      <c r="K12718" s="788">
        <v>41824</v>
      </c>
      <c r="L12718" s="787">
        <v>2.04</v>
      </c>
      <c r="M12718" s="787">
        <v>20</v>
      </c>
      <c r="N12718" s="787">
        <v>2.19</v>
      </c>
      <c r="O12718" s="788">
        <v>42146</v>
      </c>
    </row>
    <row r="12719" spans="1:15" x14ac:dyDescent="0.25">
      <c r="A12719" s="786" t="s">
        <v>22761</v>
      </c>
      <c r="B12719" s="787">
        <v>4</v>
      </c>
      <c r="C12719" s="787" t="s">
        <v>22762</v>
      </c>
      <c r="D12719" s="787">
        <v>0.18</v>
      </c>
      <c r="E12719" s="787">
        <v>0.46</v>
      </c>
      <c r="F12719" s="788">
        <v>40385</v>
      </c>
      <c r="G12719" s="788">
        <v>42064</v>
      </c>
      <c r="H12719" s="787">
        <v>1</v>
      </c>
      <c r="I12719" s="788">
        <v>42163</v>
      </c>
      <c r="J12719" s="788">
        <v>42054</v>
      </c>
      <c r="K12719" s="788">
        <v>41310</v>
      </c>
      <c r="L12719" s="787">
        <v>0.2</v>
      </c>
      <c r="M12719" s="787">
        <v>20</v>
      </c>
      <c r="N12719" s="787">
        <v>0.22</v>
      </c>
      <c r="O12719" s="788">
        <v>42164</v>
      </c>
    </row>
    <row r="12720" spans="1:15" x14ac:dyDescent="0.25">
      <c r="A12720" s="786" t="s">
        <v>22763</v>
      </c>
      <c r="B12720" s="787">
        <v>4</v>
      </c>
      <c r="C12720" s="787" t="s">
        <v>22764</v>
      </c>
      <c r="D12720" s="787">
        <v>0.15</v>
      </c>
      <c r="E12720" s="787">
        <v>0.17</v>
      </c>
      <c r="F12720" s="788">
        <v>40385</v>
      </c>
      <c r="G12720" s="788">
        <v>42013</v>
      </c>
      <c r="H12720" s="787">
        <v>1</v>
      </c>
      <c r="I12720" s="788">
        <v>42158</v>
      </c>
      <c r="J12720" s="788">
        <v>41956</v>
      </c>
      <c r="K12720" s="788">
        <v>41416</v>
      </c>
      <c r="L12720" s="787">
        <v>0.16</v>
      </c>
      <c r="M12720" s="787">
        <v>20</v>
      </c>
      <c r="N12720" s="787">
        <v>0.17</v>
      </c>
      <c r="O12720" s="788">
        <v>42164</v>
      </c>
    </row>
    <row r="12721" spans="1:15" x14ac:dyDescent="0.25">
      <c r="A12721" s="786" t="s">
        <v>22765</v>
      </c>
      <c r="B12721" s="787">
        <v>4</v>
      </c>
      <c r="C12721" s="787" t="s">
        <v>22766</v>
      </c>
      <c r="D12721" s="787">
        <v>0.22</v>
      </c>
      <c r="E12721" s="787">
        <v>0.26</v>
      </c>
      <c r="F12721" s="788">
        <v>40494</v>
      </c>
      <c r="G12721" s="788">
        <v>42159</v>
      </c>
      <c r="H12721" s="787">
        <v>1</v>
      </c>
      <c r="I12721" s="788">
        <v>42165</v>
      </c>
      <c r="J12721" s="788">
        <v>42156</v>
      </c>
      <c r="K12721" s="788">
        <v>41856</v>
      </c>
      <c r="L12721" s="787">
        <v>0.25</v>
      </c>
      <c r="M12721" s="787">
        <v>20</v>
      </c>
      <c r="N12721" s="787">
        <v>0.27</v>
      </c>
      <c r="O12721" s="788">
        <v>42164</v>
      </c>
    </row>
    <row r="12722" spans="1:15" x14ac:dyDescent="0.25">
      <c r="A12722" s="786" t="s">
        <v>22767</v>
      </c>
      <c r="B12722" s="787">
        <v>4</v>
      </c>
      <c r="C12722" s="787" t="s">
        <v>22768</v>
      </c>
      <c r="D12722" s="787">
        <v>0.19</v>
      </c>
      <c r="E12722" s="787">
        <v>0.19</v>
      </c>
      <c r="F12722" s="788">
        <v>40497</v>
      </c>
      <c r="G12722" s="788">
        <v>42013</v>
      </c>
      <c r="H12722" s="787">
        <v>1</v>
      </c>
      <c r="I12722" s="788">
        <v>41156</v>
      </c>
      <c r="J12722" s="788">
        <v>41765</v>
      </c>
      <c r="L12722" s="787">
        <v>0.19</v>
      </c>
      <c r="M12722" s="787">
        <v>20</v>
      </c>
      <c r="N12722" s="787">
        <v>0.2</v>
      </c>
      <c r="O12722" s="788">
        <v>41858</v>
      </c>
    </row>
    <row r="12723" spans="1:15" x14ac:dyDescent="0.25">
      <c r="A12723" s="786" t="s">
        <v>22769</v>
      </c>
      <c r="B12723" s="787">
        <v>4</v>
      </c>
      <c r="C12723" s="787" t="s">
        <v>22770</v>
      </c>
      <c r="D12723" s="787">
        <v>0.2</v>
      </c>
      <c r="E12723" s="787">
        <v>0.2</v>
      </c>
      <c r="F12723" s="788">
        <v>40497</v>
      </c>
      <c r="G12723" s="788">
        <v>41565</v>
      </c>
      <c r="H12723" s="787">
        <v>1</v>
      </c>
      <c r="I12723" s="788">
        <v>40771</v>
      </c>
      <c r="J12723" s="788">
        <v>40476</v>
      </c>
      <c r="L12723" s="787">
        <v>0.2</v>
      </c>
      <c r="M12723" s="787">
        <v>20</v>
      </c>
      <c r="N12723" s="787">
        <v>0.22</v>
      </c>
      <c r="O12723" s="788">
        <v>41858</v>
      </c>
    </row>
    <row r="12724" spans="1:15" x14ac:dyDescent="0.25">
      <c r="A12724" s="786" t="s">
        <v>22771</v>
      </c>
      <c r="B12724" s="787">
        <v>4</v>
      </c>
      <c r="C12724" s="787" t="s">
        <v>22772</v>
      </c>
      <c r="D12724" s="787">
        <v>3.91</v>
      </c>
      <c r="E12724" s="787">
        <v>3.91</v>
      </c>
      <c r="F12724" s="788">
        <v>40660</v>
      </c>
      <c r="G12724" s="788">
        <v>41646</v>
      </c>
      <c r="H12724" s="787">
        <v>1</v>
      </c>
      <c r="J12724" s="788">
        <v>40661</v>
      </c>
      <c r="L12724" s="787">
        <v>3.91</v>
      </c>
      <c r="M12724" s="787">
        <v>20</v>
      </c>
      <c r="N12724" s="787">
        <v>4.2</v>
      </c>
      <c r="O12724" s="788">
        <v>41858</v>
      </c>
    </row>
    <row r="12725" spans="1:15" x14ac:dyDescent="0.25">
      <c r="A12725" s="786" t="s">
        <v>22773</v>
      </c>
      <c r="B12725" s="787">
        <v>4</v>
      </c>
      <c r="C12725" s="787" t="s">
        <v>22774</v>
      </c>
      <c r="D12725" s="787">
        <v>6.83</v>
      </c>
      <c r="E12725" s="787">
        <v>6.83</v>
      </c>
      <c r="F12725" s="788">
        <v>40660</v>
      </c>
      <c r="G12725" s="788">
        <v>42013</v>
      </c>
      <c r="H12725" s="787">
        <v>1</v>
      </c>
      <c r="J12725" s="788">
        <v>40661</v>
      </c>
      <c r="L12725" s="787">
        <v>6.83</v>
      </c>
      <c r="M12725" s="787">
        <v>20</v>
      </c>
      <c r="N12725" s="787">
        <v>7.34</v>
      </c>
      <c r="O12725" s="788">
        <v>41858</v>
      </c>
    </row>
    <row r="12726" spans="1:15" x14ac:dyDescent="0.25">
      <c r="A12726" s="786" t="s">
        <v>22775</v>
      </c>
      <c r="B12726" s="787">
        <v>4</v>
      </c>
      <c r="C12726" s="787" t="s">
        <v>22776</v>
      </c>
      <c r="D12726" s="787">
        <v>0</v>
      </c>
      <c r="E12726" s="787">
        <v>0</v>
      </c>
      <c r="H12726" s="787">
        <v>1</v>
      </c>
      <c r="K12726" s="788">
        <v>41051</v>
      </c>
      <c r="L12726" s="787">
        <v>3.81</v>
      </c>
      <c r="M12726" s="787">
        <v>20</v>
      </c>
      <c r="N12726" s="787">
        <v>4.0999999999999996</v>
      </c>
      <c r="O12726" s="788">
        <v>41858</v>
      </c>
    </row>
    <row r="12727" spans="1:15" x14ac:dyDescent="0.25">
      <c r="A12727" s="786" t="s">
        <v>22777</v>
      </c>
      <c r="B12727" s="787">
        <v>4</v>
      </c>
      <c r="C12727" s="787" t="s">
        <v>22778</v>
      </c>
      <c r="D12727" s="787">
        <v>0</v>
      </c>
      <c r="E12727" s="787">
        <v>0</v>
      </c>
      <c r="H12727" s="787">
        <v>1</v>
      </c>
      <c r="K12727" s="788">
        <v>41051</v>
      </c>
      <c r="L12727" s="787">
        <v>2.1800000000000002</v>
      </c>
      <c r="M12727" s="787">
        <v>20</v>
      </c>
      <c r="N12727" s="787">
        <v>2.34</v>
      </c>
      <c r="O12727" s="788">
        <v>41858</v>
      </c>
    </row>
    <row r="12728" spans="1:15" x14ac:dyDescent="0.25">
      <c r="A12728" s="786" t="s">
        <v>22779</v>
      </c>
      <c r="B12728" s="787">
        <v>4</v>
      </c>
      <c r="C12728" s="787" t="s">
        <v>22780</v>
      </c>
      <c r="D12728" s="787">
        <v>0</v>
      </c>
      <c r="E12728" s="787">
        <v>0</v>
      </c>
      <c r="H12728" s="787">
        <v>1</v>
      </c>
      <c r="K12728" s="788">
        <v>41051</v>
      </c>
      <c r="L12728" s="787">
        <v>3.37</v>
      </c>
      <c r="M12728" s="787">
        <v>20</v>
      </c>
      <c r="N12728" s="787">
        <v>3.62</v>
      </c>
      <c r="O12728" s="788">
        <v>41858</v>
      </c>
    </row>
    <row r="12729" spans="1:15" x14ac:dyDescent="0.25">
      <c r="A12729" s="786" t="s">
        <v>22781</v>
      </c>
      <c r="B12729" s="787">
        <v>4</v>
      </c>
      <c r="C12729" s="787" t="s">
        <v>22782</v>
      </c>
      <c r="D12729" s="787">
        <v>0</v>
      </c>
      <c r="E12729" s="787">
        <v>0</v>
      </c>
      <c r="H12729" s="787">
        <v>1</v>
      </c>
      <c r="K12729" s="788">
        <v>41051</v>
      </c>
      <c r="L12729" s="787">
        <v>3.44</v>
      </c>
      <c r="M12729" s="787">
        <v>20</v>
      </c>
      <c r="N12729" s="787">
        <v>3.7</v>
      </c>
      <c r="O12729" s="788">
        <v>41858</v>
      </c>
    </row>
    <row r="12730" spans="1:15" x14ac:dyDescent="0.25">
      <c r="A12730" s="786" t="s">
        <v>22783</v>
      </c>
      <c r="B12730" s="787">
        <v>4</v>
      </c>
      <c r="C12730" s="787" t="s">
        <v>22784</v>
      </c>
      <c r="D12730" s="787">
        <v>0</v>
      </c>
      <c r="E12730" s="787">
        <v>0</v>
      </c>
      <c r="H12730" s="787">
        <v>1</v>
      </c>
      <c r="K12730" s="788">
        <v>41051</v>
      </c>
      <c r="L12730" s="787">
        <v>5.69</v>
      </c>
      <c r="M12730" s="787">
        <v>20</v>
      </c>
      <c r="N12730" s="787">
        <v>6.12</v>
      </c>
      <c r="O12730" s="788">
        <v>41858</v>
      </c>
    </row>
    <row r="12731" spans="1:15" x14ac:dyDescent="0.25">
      <c r="A12731" s="786" t="s">
        <v>22785</v>
      </c>
      <c r="B12731" s="787">
        <v>4</v>
      </c>
      <c r="C12731" s="787" t="s">
        <v>22786</v>
      </c>
      <c r="D12731" s="787">
        <v>0</v>
      </c>
      <c r="E12731" s="787">
        <v>0</v>
      </c>
      <c r="H12731" s="787">
        <v>1</v>
      </c>
      <c r="K12731" s="788">
        <v>41051</v>
      </c>
      <c r="L12731" s="787">
        <v>5.95</v>
      </c>
      <c r="M12731" s="787">
        <v>20</v>
      </c>
      <c r="N12731" s="787">
        <v>6.4</v>
      </c>
      <c r="O12731" s="788">
        <v>41858</v>
      </c>
    </row>
    <row r="12732" spans="1:15" x14ac:dyDescent="0.25">
      <c r="A12732" s="786" t="s">
        <v>22787</v>
      </c>
      <c r="B12732" s="787">
        <v>4</v>
      </c>
      <c r="C12732" s="787" t="s">
        <v>22788</v>
      </c>
      <c r="D12732" s="787">
        <v>0</v>
      </c>
      <c r="E12732" s="787">
        <v>0</v>
      </c>
      <c r="H12732" s="787">
        <v>1</v>
      </c>
      <c r="K12732" s="788">
        <v>41051</v>
      </c>
      <c r="L12732" s="787">
        <v>6.34</v>
      </c>
      <c r="M12732" s="787">
        <v>20</v>
      </c>
      <c r="N12732" s="787">
        <v>6.82</v>
      </c>
      <c r="O12732" s="788">
        <v>41858</v>
      </c>
    </row>
    <row r="12733" spans="1:15" x14ac:dyDescent="0.25">
      <c r="A12733" s="786" t="s">
        <v>22789</v>
      </c>
      <c r="B12733" s="787">
        <v>4</v>
      </c>
      <c r="C12733" s="787" t="s">
        <v>22790</v>
      </c>
      <c r="D12733" s="787">
        <v>0</v>
      </c>
      <c r="E12733" s="787">
        <v>0</v>
      </c>
      <c r="H12733" s="787">
        <v>1</v>
      </c>
      <c r="K12733" s="788">
        <v>41051</v>
      </c>
      <c r="L12733" s="787">
        <v>7.73</v>
      </c>
      <c r="M12733" s="787">
        <v>20</v>
      </c>
      <c r="N12733" s="787">
        <v>8.31</v>
      </c>
      <c r="O12733" s="788">
        <v>41858</v>
      </c>
    </row>
    <row r="12734" spans="1:15" x14ac:dyDescent="0.25">
      <c r="A12734" s="786" t="s">
        <v>22791</v>
      </c>
      <c r="B12734" s="787">
        <v>4</v>
      </c>
      <c r="C12734" s="787" t="s">
        <v>22792</v>
      </c>
      <c r="D12734" s="787">
        <v>6</v>
      </c>
      <c r="E12734" s="787">
        <v>11.34</v>
      </c>
      <c r="F12734" s="788">
        <v>41396</v>
      </c>
      <c r="G12734" s="788">
        <v>42059</v>
      </c>
      <c r="H12734" s="787">
        <v>1</v>
      </c>
      <c r="I12734" s="788">
        <v>42068</v>
      </c>
      <c r="J12734" s="788">
        <v>42059</v>
      </c>
      <c r="K12734" s="788">
        <v>42058</v>
      </c>
      <c r="L12734" s="787">
        <v>11.34</v>
      </c>
      <c r="M12734" s="787">
        <v>20</v>
      </c>
      <c r="N12734" s="787">
        <v>12.19</v>
      </c>
      <c r="O12734" s="788">
        <v>42058</v>
      </c>
    </row>
    <row r="12735" spans="1:15" x14ac:dyDescent="0.25">
      <c r="A12735" s="786" t="s">
        <v>22793</v>
      </c>
      <c r="B12735" s="787">
        <v>4</v>
      </c>
      <c r="C12735" s="787" t="s">
        <v>22794</v>
      </c>
      <c r="D12735" s="787">
        <v>0.22</v>
      </c>
      <c r="E12735" s="787">
        <v>0.7</v>
      </c>
      <c r="F12735" s="788">
        <v>41190</v>
      </c>
      <c r="G12735" s="788">
        <v>41943</v>
      </c>
      <c r="H12735" s="787">
        <v>1</v>
      </c>
      <c r="I12735" s="788">
        <v>42160</v>
      </c>
      <c r="J12735" s="788">
        <v>42083</v>
      </c>
      <c r="K12735" s="788">
        <v>41869</v>
      </c>
      <c r="L12735" s="787">
        <v>0.7</v>
      </c>
      <c r="M12735" s="787">
        <v>20</v>
      </c>
      <c r="N12735" s="787">
        <v>0.75</v>
      </c>
      <c r="O12735" s="788">
        <v>42058</v>
      </c>
    </row>
    <row r="12736" spans="1:15" x14ac:dyDescent="0.25">
      <c r="A12736" s="786" t="s">
        <v>22795</v>
      </c>
      <c r="B12736" s="787">
        <v>4</v>
      </c>
      <c r="C12736" s="787" t="s">
        <v>22796</v>
      </c>
      <c r="D12736" s="787">
        <v>0</v>
      </c>
      <c r="E12736" s="787">
        <v>982</v>
      </c>
      <c r="F12736" s="788">
        <v>41677</v>
      </c>
      <c r="G12736" s="788">
        <v>41943</v>
      </c>
      <c r="H12736" s="787">
        <v>1</v>
      </c>
      <c r="I12736" s="788">
        <v>42165</v>
      </c>
      <c r="J12736" s="788">
        <v>42151</v>
      </c>
      <c r="K12736" s="788">
        <v>41865</v>
      </c>
      <c r="L12736" s="787">
        <v>11.34</v>
      </c>
      <c r="M12736" s="787">
        <v>20</v>
      </c>
      <c r="N12736" s="787">
        <v>12.19</v>
      </c>
      <c r="O12736" s="788">
        <v>42075</v>
      </c>
    </row>
    <row r="12737" spans="1:15" x14ac:dyDescent="0.25">
      <c r="A12737" s="786" t="s">
        <v>22797</v>
      </c>
      <c r="B12737" s="787">
        <v>4</v>
      </c>
      <c r="C12737" s="787" t="s">
        <v>22798</v>
      </c>
      <c r="D12737" s="787">
        <v>3.07</v>
      </c>
      <c r="E12737" s="787">
        <v>3.17</v>
      </c>
      <c r="F12737" s="788">
        <v>41214</v>
      </c>
      <c r="G12737" s="788">
        <v>41765</v>
      </c>
      <c r="H12737" s="787">
        <v>1</v>
      </c>
      <c r="I12737" s="788">
        <v>42160</v>
      </c>
      <c r="J12737" s="788">
        <v>41887</v>
      </c>
      <c r="K12737" s="788">
        <v>41121</v>
      </c>
      <c r="L12737" s="787">
        <v>1.85</v>
      </c>
      <c r="M12737" s="787">
        <v>20</v>
      </c>
      <c r="N12737" s="787">
        <v>1.99</v>
      </c>
      <c r="O12737" s="788">
        <v>42058</v>
      </c>
    </row>
    <row r="12738" spans="1:15" x14ac:dyDescent="0.25">
      <c r="A12738" s="786" t="s">
        <v>22799</v>
      </c>
      <c r="B12738" s="787">
        <v>4</v>
      </c>
      <c r="C12738" s="787" t="s">
        <v>22800</v>
      </c>
      <c r="D12738" s="787">
        <v>0.22</v>
      </c>
      <c r="E12738" s="787">
        <v>0.26</v>
      </c>
      <c r="F12738" s="788">
        <v>41190</v>
      </c>
      <c r="G12738" s="788">
        <v>42013</v>
      </c>
      <c r="H12738" s="787">
        <v>1</v>
      </c>
      <c r="I12738" s="788">
        <v>41982</v>
      </c>
      <c r="J12738" s="788">
        <v>41509</v>
      </c>
      <c r="K12738" s="788">
        <v>41121</v>
      </c>
      <c r="L12738" s="787">
        <v>0.19</v>
      </c>
      <c r="M12738" s="787">
        <v>20</v>
      </c>
      <c r="N12738" s="787">
        <v>0.2</v>
      </c>
      <c r="O12738" s="788">
        <v>42058</v>
      </c>
    </row>
    <row r="12739" spans="1:15" x14ac:dyDescent="0.25">
      <c r="A12739" s="786" t="s">
        <v>22801</v>
      </c>
      <c r="B12739" s="787">
        <v>4</v>
      </c>
      <c r="C12739" s="787" t="s">
        <v>22802</v>
      </c>
      <c r="D12739" s="787">
        <v>0.08</v>
      </c>
      <c r="E12739" s="787">
        <v>0.1</v>
      </c>
      <c r="F12739" s="788">
        <v>41313</v>
      </c>
      <c r="G12739" s="788">
        <v>42091</v>
      </c>
      <c r="H12739" s="787">
        <v>1</v>
      </c>
      <c r="I12739" s="788">
        <v>42146</v>
      </c>
      <c r="J12739" s="788">
        <v>42083</v>
      </c>
      <c r="K12739" s="788">
        <v>41156</v>
      </c>
      <c r="L12739" s="787">
        <v>0.08</v>
      </c>
      <c r="M12739" s="787">
        <v>20</v>
      </c>
      <c r="N12739" s="787">
        <v>0.09</v>
      </c>
      <c r="O12739" s="788">
        <v>41978</v>
      </c>
    </row>
    <row r="12740" spans="1:15" x14ac:dyDescent="0.25">
      <c r="A12740" s="786" t="s">
        <v>22803</v>
      </c>
      <c r="B12740" s="787">
        <v>4</v>
      </c>
      <c r="C12740" s="787" t="s">
        <v>22804</v>
      </c>
      <c r="D12740" s="787">
        <v>0.04</v>
      </c>
      <c r="E12740" s="787">
        <v>0.04</v>
      </c>
      <c r="F12740" s="788">
        <v>41295</v>
      </c>
      <c r="G12740" s="788">
        <v>41565</v>
      </c>
      <c r="H12740" s="787">
        <v>1</v>
      </c>
      <c r="J12740" s="788">
        <v>41382</v>
      </c>
      <c r="K12740" s="788">
        <v>41869</v>
      </c>
      <c r="L12740" s="787">
        <v>0.04</v>
      </c>
      <c r="M12740" s="787">
        <v>20</v>
      </c>
      <c r="N12740" s="787">
        <v>1.08</v>
      </c>
      <c r="O12740" s="788">
        <v>41858</v>
      </c>
    </row>
    <row r="12741" spans="1:15" x14ac:dyDescent="0.25">
      <c r="A12741" s="786" t="s">
        <v>22805</v>
      </c>
      <c r="B12741" s="787">
        <v>4</v>
      </c>
      <c r="C12741" s="787" t="s">
        <v>22806</v>
      </c>
      <c r="D12741" s="787">
        <v>3</v>
      </c>
      <c r="E12741" s="787">
        <v>7.38</v>
      </c>
      <c r="F12741" s="788">
        <v>41423</v>
      </c>
      <c r="G12741" s="788">
        <v>42062</v>
      </c>
      <c r="H12741" s="787">
        <v>1</v>
      </c>
      <c r="I12741" s="788">
        <v>42160</v>
      </c>
      <c r="J12741" s="788">
        <v>42153</v>
      </c>
      <c r="K12741" s="788">
        <v>42059</v>
      </c>
      <c r="L12741" s="787">
        <v>7.38</v>
      </c>
      <c r="M12741" s="787">
        <v>20</v>
      </c>
      <c r="N12741" s="787">
        <v>7.93</v>
      </c>
      <c r="O12741" s="788">
        <v>42059</v>
      </c>
    </row>
    <row r="12742" spans="1:15" x14ac:dyDescent="0.25">
      <c r="A12742" s="786" t="s">
        <v>22807</v>
      </c>
      <c r="B12742" s="787">
        <v>4</v>
      </c>
      <c r="C12742" s="787" t="s">
        <v>22808</v>
      </c>
      <c r="D12742" s="787">
        <v>1.99</v>
      </c>
      <c r="E12742" s="787">
        <v>2.1</v>
      </c>
      <c r="F12742" s="788">
        <v>41450</v>
      </c>
      <c r="G12742" s="788">
        <v>42064</v>
      </c>
      <c r="H12742" s="787">
        <v>1</v>
      </c>
      <c r="I12742" s="788">
        <v>42165</v>
      </c>
      <c r="J12742" s="788">
        <v>42030</v>
      </c>
      <c r="K12742" s="788">
        <v>41865</v>
      </c>
      <c r="L12742" s="787">
        <v>2.1</v>
      </c>
      <c r="M12742" s="787">
        <v>20</v>
      </c>
      <c r="N12742" s="787">
        <v>2.2599999999999998</v>
      </c>
      <c r="O12742" s="788">
        <v>42047</v>
      </c>
    </row>
    <row r="12743" spans="1:15" x14ac:dyDescent="0.25">
      <c r="A12743" s="786" t="s">
        <v>22809</v>
      </c>
      <c r="B12743" s="787">
        <v>4</v>
      </c>
      <c r="C12743" s="787" t="s">
        <v>22810</v>
      </c>
      <c r="D12743" s="787">
        <v>2</v>
      </c>
      <c r="E12743" s="787">
        <v>2</v>
      </c>
      <c r="F12743" s="788">
        <v>41449</v>
      </c>
      <c r="G12743" s="788">
        <v>42064</v>
      </c>
      <c r="H12743" s="787">
        <v>1</v>
      </c>
      <c r="I12743" s="788">
        <v>42165</v>
      </c>
      <c r="J12743" s="788">
        <v>42030</v>
      </c>
      <c r="K12743" s="788">
        <v>41869</v>
      </c>
      <c r="L12743" s="787">
        <v>2</v>
      </c>
      <c r="M12743" s="787">
        <v>20</v>
      </c>
      <c r="N12743" s="787">
        <v>2.15</v>
      </c>
      <c r="O12743" s="788">
        <v>42047</v>
      </c>
    </row>
    <row r="12744" spans="1:15" x14ac:dyDescent="0.25">
      <c r="A12744" s="786" t="s">
        <v>22811</v>
      </c>
      <c r="B12744" s="787">
        <v>4</v>
      </c>
      <c r="C12744" s="787" t="s">
        <v>22812</v>
      </c>
      <c r="D12744" s="787">
        <v>0.04</v>
      </c>
      <c r="E12744" s="787">
        <v>0.04</v>
      </c>
      <c r="F12744" s="788">
        <v>41449</v>
      </c>
      <c r="G12744" s="788">
        <v>41445</v>
      </c>
      <c r="H12744" s="787">
        <v>1</v>
      </c>
      <c r="J12744" s="788">
        <v>41445</v>
      </c>
      <c r="K12744" s="788">
        <v>41865</v>
      </c>
      <c r="L12744" s="787">
        <v>0.04</v>
      </c>
      <c r="M12744" s="787">
        <v>20</v>
      </c>
      <c r="N12744" s="787">
        <v>0.01</v>
      </c>
      <c r="O12744" s="788">
        <v>41858</v>
      </c>
    </row>
    <row r="12745" spans="1:15" x14ac:dyDescent="0.25">
      <c r="A12745" s="786" t="s">
        <v>22813</v>
      </c>
      <c r="B12745" s="787">
        <v>4</v>
      </c>
      <c r="C12745" s="787" t="s">
        <v>22814</v>
      </c>
      <c r="D12745" s="787">
        <v>3.56</v>
      </c>
      <c r="E12745" s="787">
        <v>93.75</v>
      </c>
      <c r="F12745" s="788">
        <v>41925</v>
      </c>
      <c r="G12745" s="788">
        <v>42150</v>
      </c>
      <c r="H12745" s="787">
        <v>1</v>
      </c>
      <c r="I12745" s="788">
        <v>42163</v>
      </c>
      <c r="J12745" s="788">
        <v>42144</v>
      </c>
      <c r="K12745" s="788">
        <v>41478</v>
      </c>
      <c r="L12745" s="787">
        <v>98</v>
      </c>
      <c r="M12745" s="787">
        <v>20</v>
      </c>
      <c r="N12745" s="787">
        <v>105.35</v>
      </c>
      <c r="O12745" s="788">
        <v>42164</v>
      </c>
    </row>
    <row r="12746" spans="1:15" x14ac:dyDescent="0.25">
      <c r="A12746" s="786" t="s">
        <v>22815</v>
      </c>
      <c r="B12746" s="787">
        <v>4</v>
      </c>
      <c r="C12746" s="787" t="s">
        <v>22816</v>
      </c>
      <c r="D12746" s="787">
        <v>2.11</v>
      </c>
      <c r="E12746" s="787">
        <v>2.21</v>
      </c>
      <c r="F12746" s="788">
        <v>41530</v>
      </c>
      <c r="G12746" s="788">
        <v>42146</v>
      </c>
      <c r="H12746" s="787">
        <v>1</v>
      </c>
      <c r="I12746" s="788">
        <v>42123</v>
      </c>
      <c r="J12746" s="788">
        <v>42117</v>
      </c>
      <c r="K12746" s="788">
        <v>41519</v>
      </c>
      <c r="L12746" s="787">
        <v>2.1</v>
      </c>
      <c r="M12746" s="787">
        <v>20</v>
      </c>
      <c r="N12746" s="787">
        <v>2.2599999999999998</v>
      </c>
      <c r="O12746" s="788">
        <v>42127</v>
      </c>
    </row>
    <row r="12747" spans="1:15" x14ac:dyDescent="0.25">
      <c r="A12747" s="786" t="s">
        <v>22817</v>
      </c>
      <c r="B12747" s="787">
        <v>4</v>
      </c>
      <c r="C12747" s="787" t="s">
        <v>22818</v>
      </c>
      <c r="D12747" s="787">
        <v>0</v>
      </c>
      <c r="E12747" s="787">
        <v>2.04</v>
      </c>
      <c r="G12747" s="788">
        <v>41543</v>
      </c>
      <c r="H12747" s="787">
        <v>1</v>
      </c>
      <c r="I12747" s="788">
        <v>42075</v>
      </c>
      <c r="J12747" s="788">
        <v>41543</v>
      </c>
      <c r="K12747" s="788">
        <v>41519</v>
      </c>
      <c r="L12747" s="787">
        <v>2.04</v>
      </c>
      <c r="M12747" s="787">
        <v>20</v>
      </c>
      <c r="N12747" s="787">
        <v>2.19</v>
      </c>
      <c r="O12747" s="788">
        <v>42111</v>
      </c>
    </row>
    <row r="12748" spans="1:15" x14ac:dyDescent="0.25">
      <c r="A12748" s="786" t="s">
        <v>22819</v>
      </c>
      <c r="B12748" s="787">
        <v>4</v>
      </c>
      <c r="C12748" s="787" t="s">
        <v>22820</v>
      </c>
      <c r="D12748" s="787">
        <v>0.56999999999999995</v>
      </c>
      <c r="E12748" s="787">
        <v>0.61</v>
      </c>
      <c r="F12748" s="788">
        <v>41530</v>
      </c>
      <c r="G12748" s="788">
        <v>42013</v>
      </c>
      <c r="H12748" s="787">
        <v>1</v>
      </c>
      <c r="I12748" s="788">
        <v>42123</v>
      </c>
      <c r="J12748" s="788">
        <v>41768</v>
      </c>
      <c r="K12748" s="788">
        <v>41519</v>
      </c>
      <c r="L12748" s="787">
        <v>0.56999999999999995</v>
      </c>
      <c r="M12748" s="787">
        <v>20</v>
      </c>
      <c r="N12748" s="787">
        <v>0.61</v>
      </c>
      <c r="O12748" s="788">
        <v>42127</v>
      </c>
    </row>
    <row r="12749" spans="1:15" x14ac:dyDescent="0.25">
      <c r="A12749" s="786" t="s">
        <v>22821</v>
      </c>
      <c r="B12749" s="787">
        <v>4</v>
      </c>
      <c r="C12749" s="787" t="s">
        <v>22822</v>
      </c>
      <c r="D12749" s="787">
        <v>4.55</v>
      </c>
      <c r="E12749" s="787">
        <v>4.8499999999999996</v>
      </c>
      <c r="F12749" s="788">
        <v>41530</v>
      </c>
      <c r="G12749" s="788">
        <v>41943</v>
      </c>
      <c r="H12749" s="787">
        <v>1</v>
      </c>
      <c r="I12749" s="788">
        <v>42122</v>
      </c>
      <c r="J12749" s="788">
        <v>42124</v>
      </c>
      <c r="K12749" s="788">
        <v>41519</v>
      </c>
      <c r="L12749" s="787">
        <v>4.55</v>
      </c>
      <c r="M12749" s="787">
        <v>20</v>
      </c>
      <c r="N12749" s="787">
        <v>4.8899999999999997</v>
      </c>
      <c r="O12749" s="788">
        <v>42127</v>
      </c>
    </row>
    <row r="12750" spans="1:15" x14ac:dyDescent="0.25">
      <c r="A12750" s="786" t="s">
        <v>22823</v>
      </c>
      <c r="B12750" s="787">
        <v>4</v>
      </c>
      <c r="C12750" s="787" t="s">
        <v>22824</v>
      </c>
      <c r="D12750" s="787">
        <v>1.47</v>
      </c>
      <c r="E12750" s="787">
        <v>1.47</v>
      </c>
      <c r="F12750" s="788">
        <v>41530</v>
      </c>
      <c r="G12750" s="788">
        <v>41551</v>
      </c>
      <c r="H12750" s="787">
        <v>1</v>
      </c>
      <c r="I12750" s="788">
        <v>42101</v>
      </c>
      <c r="J12750" s="788">
        <v>42093</v>
      </c>
      <c r="K12750" s="788">
        <v>41528</v>
      </c>
      <c r="L12750" s="787">
        <v>1.47</v>
      </c>
      <c r="M12750" s="787">
        <v>20</v>
      </c>
      <c r="N12750" s="787">
        <v>1.58</v>
      </c>
      <c r="O12750" s="788">
        <v>41858</v>
      </c>
    </row>
    <row r="12751" spans="1:15" x14ac:dyDescent="0.25">
      <c r="A12751" s="786" t="s">
        <v>22825</v>
      </c>
      <c r="B12751" s="787">
        <v>4</v>
      </c>
      <c r="C12751" s="787" t="s">
        <v>22826</v>
      </c>
      <c r="D12751" s="787">
        <v>2.11</v>
      </c>
      <c r="E12751" s="787">
        <v>2.21</v>
      </c>
      <c r="F12751" s="788">
        <v>41530</v>
      </c>
      <c r="G12751" s="788">
        <v>42146</v>
      </c>
      <c r="H12751" s="787">
        <v>1</v>
      </c>
      <c r="I12751" s="788">
        <v>42123</v>
      </c>
      <c r="J12751" s="788">
        <v>42117</v>
      </c>
      <c r="K12751" s="788">
        <v>41519</v>
      </c>
      <c r="L12751" s="787">
        <v>2.1</v>
      </c>
      <c r="M12751" s="787">
        <v>20</v>
      </c>
      <c r="N12751" s="787">
        <v>2.2599999999999998</v>
      </c>
      <c r="O12751" s="788">
        <v>42127</v>
      </c>
    </row>
    <row r="12752" spans="1:15" x14ac:dyDescent="0.25">
      <c r="A12752" s="786" t="s">
        <v>22827</v>
      </c>
      <c r="B12752" s="787">
        <v>4</v>
      </c>
      <c r="C12752" s="787" t="s">
        <v>22828</v>
      </c>
      <c r="D12752" s="787">
        <v>0</v>
      </c>
      <c r="E12752" s="787">
        <v>0</v>
      </c>
      <c r="H12752" s="787">
        <v>1</v>
      </c>
      <c r="I12752" s="788">
        <v>41537</v>
      </c>
      <c r="L12752" s="787">
        <v>2.1</v>
      </c>
      <c r="M12752" s="787">
        <v>20</v>
      </c>
      <c r="N12752" s="787">
        <v>2.2599999999999998</v>
      </c>
      <c r="O12752" s="788">
        <v>41858</v>
      </c>
    </row>
    <row r="12753" spans="1:15" x14ac:dyDescent="0.25">
      <c r="A12753" s="786" t="s">
        <v>22829</v>
      </c>
      <c r="B12753" s="787">
        <v>4</v>
      </c>
      <c r="C12753" s="787" t="s">
        <v>22830</v>
      </c>
      <c r="D12753" s="787">
        <v>1.18</v>
      </c>
      <c r="E12753" s="787">
        <v>1.18</v>
      </c>
      <c r="F12753" s="788">
        <v>41631</v>
      </c>
      <c r="G12753" s="788">
        <v>42013</v>
      </c>
      <c r="H12753" s="787">
        <v>1</v>
      </c>
      <c r="I12753" s="788">
        <v>41575</v>
      </c>
      <c r="J12753" s="788">
        <v>41670</v>
      </c>
      <c r="K12753" s="788">
        <v>41571</v>
      </c>
      <c r="L12753" s="787">
        <v>1.07</v>
      </c>
      <c r="M12753" s="787">
        <v>20</v>
      </c>
      <c r="N12753" s="787">
        <v>1.1499999999999999</v>
      </c>
      <c r="O12753" s="788">
        <v>42164</v>
      </c>
    </row>
    <row r="12754" spans="1:15" x14ac:dyDescent="0.25">
      <c r="A12754" s="786" t="s">
        <v>22831</v>
      </c>
      <c r="B12754" s="787">
        <v>4</v>
      </c>
      <c r="C12754" s="787" t="s">
        <v>22832</v>
      </c>
      <c r="D12754" s="787">
        <v>1.69</v>
      </c>
      <c r="E12754" s="787">
        <v>1.69</v>
      </c>
      <c r="F12754" s="788">
        <v>41578</v>
      </c>
      <c r="G12754" s="788">
        <v>42013</v>
      </c>
      <c r="H12754" s="787">
        <v>1</v>
      </c>
      <c r="I12754" s="788">
        <v>42075</v>
      </c>
      <c r="J12754" s="788">
        <v>41578</v>
      </c>
      <c r="L12754" s="787">
        <v>1.67</v>
      </c>
      <c r="M12754" s="787">
        <v>20</v>
      </c>
      <c r="N12754" s="787">
        <v>1.8</v>
      </c>
      <c r="O12754" s="788">
        <v>42127</v>
      </c>
    </row>
    <row r="12755" spans="1:15" x14ac:dyDescent="0.25">
      <c r="A12755" s="786" t="s">
        <v>22833</v>
      </c>
      <c r="B12755" s="787">
        <v>4</v>
      </c>
      <c r="C12755" s="787" t="s">
        <v>22834</v>
      </c>
      <c r="D12755" s="787">
        <v>7.83</v>
      </c>
      <c r="E12755" s="787">
        <v>17.87</v>
      </c>
      <c r="F12755" s="788">
        <v>41585</v>
      </c>
      <c r="G12755" s="788">
        <v>42091</v>
      </c>
      <c r="H12755" s="787">
        <v>1</v>
      </c>
      <c r="I12755" s="788">
        <v>42152</v>
      </c>
      <c r="J12755" s="788">
        <v>42082</v>
      </c>
      <c r="K12755" s="788">
        <v>41592</v>
      </c>
      <c r="L12755" s="787">
        <v>17.8</v>
      </c>
      <c r="M12755" s="787">
        <v>20</v>
      </c>
      <c r="N12755" s="787">
        <v>19.14</v>
      </c>
      <c r="O12755" s="788">
        <v>41858</v>
      </c>
    </row>
    <row r="12756" spans="1:15" x14ac:dyDescent="0.25">
      <c r="A12756" s="786" t="s">
        <v>22835</v>
      </c>
      <c r="B12756" s="787">
        <v>4</v>
      </c>
      <c r="C12756" s="787" t="s">
        <v>22836</v>
      </c>
      <c r="D12756" s="787">
        <v>5.65</v>
      </c>
      <c r="E12756" s="787">
        <v>5.65</v>
      </c>
      <c r="F12756" s="788">
        <v>42057</v>
      </c>
      <c r="G12756" s="788">
        <v>42164</v>
      </c>
      <c r="H12756" s="787">
        <v>1</v>
      </c>
      <c r="I12756" s="788">
        <v>42163</v>
      </c>
      <c r="J12756" s="788">
        <v>42164</v>
      </c>
      <c r="K12756" s="788">
        <v>41904</v>
      </c>
      <c r="L12756" s="787">
        <v>5.76</v>
      </c>
      <c r="M12756" s="787">
        <v>20</v>
      </c>
      <c r="N12756" s="787">
        <v>6.19</v>
      </c>
      <c r="O12756" s="788">
        <v>42127</v>
      </c>
    </row>
    <row r="12757" spans="1:15" x14ac:dyDescent="0.25">
      <c r="A12757" s="786" t="s">
        <v>22837</v>
      </c>
      <c r="B12757" s="787">
        <v>4</v>
      </c>
      <c r="C12757" s="787" t="s">
        <v>22838</v>
      </c>
      <c r="D12757" s="787">
        <v>0</v>
      </c>
      <c r="E12757" s="787">
        <v>0</v>
      </c>
      <c r="G12757" s="788">
        <v>41794</v>
      </c>
      <c r="H12757" s="787">
        <v>1</v>
      </c>
      <c r="I12757" s="788">
        <v>42018</v>
      </c>
      <c r="J12757" s="788">
        <v>42018</v>
      </c>
      <c r="L12757" s="787">
        <v>14.76</v>
      </c>
      <c r="M12757" s="787">
        <v>20</v>
      </c>
      <c r="N12757" s="787">
        <v>15.87</v>
      </c>
      <c r="O12757" s="788">
        <v>42111</v>
      </c>
    </row>
    <row r="12758" spans="1:15" x14ac:dyDescent="0.25">
      <c r="A12758" s="786" t="s">
        <v>22839</v>
      </c>
      <c r="B12758" s="787">
        <v>4</v>
      </c>
      <c r="C12758" s="787" t="s">
        <v>22840</v>
      </c>
      <c r="D12758" s="787">
        <v>0</v>
      </c>
      <c r="E12758" s="787">
        <v>0</v>
      </c>
      <c r="G12758" s="788">
        <v>41764</v>
      </c>
      <c r="H12758" s="787">
        <v>1</v>
      </c>
      <c r="I12758" s="788">
        <v>42023</v>
      </c>
      <c r="J12758" s="788">
        <v>42023</v>
      </c>
      <c r="K12758" s="788">
        <v>41555</v>
      </c>
      <c r="L12758" s="787">
        <v>0.16</v>
      </c>
      <c r="M12758" s="787">
        <v>20</v>
      </c>
      <c r="N12758" s="787">
        <v>0.17</v>
      </c>
      <c r="O12758" s="788">
        <v>42127</v>
      </c>
    </row>
    <row r="12759" spans="1:15" x14ac:dyDescent="0.25">
      <c r="A12759" s="786" t="s">
        <v>22841</v>
      </c>
      <c r="B12759" s="787">
        <v>4</v>
      </c>
      <c r="C12759" s="787" t="s">
        <v>22842</v>
      </c>
      <c r="D12759" s="787">
        <v>0.2</v>
      </c>
      <c r="E12759" s="787">
        <v>0.2</v>
      </c>
      <c r="F12759" s="788">
        <v>41970</v>
      </c>
      <c r="G12759" s="788">
        <v>42013</v>
      </c>
      <c r="H12759" s="787">
        <v>1</v>
      </c>
      <c r="I12759" s="788">
        <v>42145</v>
      </c>
      <c r="J12759" s="788">
        <v>41969</v>
      </c>
      <c r="K12759" s="788">
        <v>41555</v>
      </c>
      <c r="L12759" s="787">
        <v>0.23</v>
      </c>
      <c r="M12759" s="787">
        <v>20</v>
      </c>
      <c r="N12759" s="787">
        <v>0.25</v>
      </c>
      <c r="O12759" s="788">
        <v>42127</v>
      </c>
    </row>
    <row r="12760" spans="1:15" x14ac:dyDescent="0.25">
      <c r="A12760" s="786" t="s">
        <v>22843</v>
      </c>
      <c r="B12760" s="787">
        <v>4</v>
      </c>
      <c r="C12760" s="787" t="s">
        <v>22844</v>
      </c>
      <c r="D12760" s="787">
        <v>0.17</v>
      </c>
      <c r="E12760" s="787">
        <v>0.17</v>
      </c>
      <c r="F12760" s="788">
        <v>41611</v>
      </c>
      <c r="G12760" s="788">
        <v>42013</v>
      </c>
      <c r="H12760" s="787">
        <v>1</v>
      </c>
      <c r="I12760" s="788">
        <v>42152</v>
      </c>
      <c r="J12760" s="788">
        <v>41610</v>
      </c>
      <c r="K12760" s="788">
        <v>41604</v>
      </c>
      <c r="L12760" s="787">
        <v>0.17</v>
      </c>
      <c r="M12760" s="787">
        <v>20</v>
      </c>
      <c r="N12760" s="787">
        <v>0.18</v>
      </c>
      <c r="O12760" s="788">
        <v>42164</v>
      </c>
    </row>
    <row r="12761" spans="1:15" x14ac:dyDescent="0.25">
      <c r="A12761" s="786" t="s">
        <v>22845</v>
      </c>
      <c r="B12761" s="787">
        <v>4</v>
      </c>
      <c r="C12761" s="787" t="s">
        <v>22844</v>
      </c>
      <c r="D12761" s="787">
        <v>0.17</v>
      </c>
      <c r="E12761" s="787">
        <v>0.17</v>
      </c>
      <c r="F12761" s="788">
        <v>41611</v>
      </c>
      <c r="G12761" s="788">
        <v>41644</v>
      </c>
      <c r="H12761" s="787">
        <v>1</v>
      </c>
      <c r="J12761" s="788">
        <v>41610</v>
      </c>
      <c r="K12761" s="788">
        <v>41604</v>
      </c>
      <c r="L12761" s="787">
        <v>0.17</v>
      </c>
      <c r="M12761" s="787">
        <v>20</v>
      </c>
      <c r="N12761" s="787">
        <v>0.18</v>
      </c>
      <c r="O12761" s="788">
        <v>41858</v>
      </c>
    </row>
    <row r="12762" spans="1:15" x14ac:dyDescent="0.25">
      <c r="A12762" s="786" t="s">
        <v>22846</v>
      </c>
      <c r="B12762" s="787">
        <v>4</v>
      </c>
      <c r="C12762" s="787" t="s">
        <v>22847</v>
      </c>
      <c r="D12762" s="787">
        <v>0.14000000000000001</v>
      </c>
      <c r="E12762" s="787">
        <v>0.14000000000000001</v>
      </c>
      <c r="F12762" s="788">
        <v>41880</v>
      </c>
      <c r="G12762" s="788">
        <v>42013</v>
      </c>
      <c r="H12762" s="787">
        <v>1</v>
      </c>
      <c r="I12762" s="788">
        <v>42025</v>
      </c>
      <c r="J12762" s="788">
        <v>41975</v>
      </c>
      <c r="K12762" s="788">
        <v>41884</v>
      </c>
      <c r="L12762" s="787">
        <v>0.14000000000000001</v>
      </c>
      <c r="M12762" s="787">
        <v>20</v>
      </c>
      <c r="N12762" s="787">
        <v>0.15</v>
      </c>
      <c r="O12762" s="788">
        <v>41979</v>
      </c>
    </row>
    <row r="12763" spans="1:15" x14ac:dyDescent="0.25">
      <c r="A12763" s="786" t="s">
        <v>22848</v>
      </c>
      <c r="B12763" s="787">
        <v>4</v>
      </c>
      <c r="C12763" s="787" t="s">
        <v>22849</v>
      </c>
      <c r="D12763" s="787">
        <v>0</v>
      </c>
      <c r="E12763" s="787">
        <v>0</v>
      </c>
      <c r="G12763" s="788">
        <v>41691</v>
      </c>
      <c r="H12763" s="787">
        <v>1</v>
      </c>
      <c r="I12763" s="788">
        <v>42163</v>
      </c>
      <c r="J12763" s="788">
        <v>41691</v>
      </c>
      <c r="K12763" s="788">
        <v>41690</v>
      </c>
      <c r="L12763" s="787">
        <v>0.2</v>
      </c>
      <c r="M12763" s="787">
        <v>20</v>
      </c>
      <c r="N12763" s="787">
        <v>0.22</v>
      </c>
      <c r="O12763" s="788">
        <v>41858</v>
      </c>
    </row>
    <row r="12764" spans="1:15" x14ac:dyDescent="0.25">
      <c r="A12764" s="786" t="s">
        <v>22850</v>
      </c>
      <c r="B12764" s="787">
        <v>4</v>
      </c>
      <c r="C12764" s="787" t="s">
        <v>22851</v>
      </c>
      <c r="D12764" s="787">
        <v>0.68</v>
      </c>
      <c r="E12764" s="787">
        <v>0.68</v>
      </c>
      <c r="F12764" s="788">
        <v>41838</v>
      </c>
      <c r="G12764" s="788">
        <v>41855</v>
      </c>
      <c r="H12764" s="787">
        <v>1</v>
      </c>
      <c r="I12764" s="788">
        <v>41894</v>
      </c>
      <c r="J12764" s="788">
        <v>41883</v>
      </c>
      <c r="K12764" s="788">
        <v>41827</v>
      </c>
      <c r="L12764" s="787">
        <v>0.68</v>
      </c>
      <c r="M12764" s="787">
        <v>20</v>
      </c>
      <c r="N12764" s="787">
        <v>0.73</v>
      </c>
      <c r="O12764" s="788">
        <v>41858</v>
      </c>
    </row>
    <row r="12765" spans="1:15" x14ac:dyDescent="0.25">
      <c r="A12765" s="786" t="s">
        <v>22852</v>
      </c>
      <c r="B12765" s="787">
        <v>4</v>
      </c>
      <c r="C12765" s="787" t="s">
        <v>22853</v>
      </c>
      <c r="D12765" s="787">
        <v>5.09</v>
      </c>
      <c r="E12765" s="787">
        <v>15.09</v>
      </c>
      <c r="F12765" s="788">
        <v>41871</v>
      </c>
      <c r="G12765" s="788">
        <v>41869</v>
      </c>
      <c r="H12765" s="787">
        <v>1</v>
      </c>
      <c r="J12765" s="788">
        <v>41869</v>
      </c>
      <c r="K12765" s="788">
        <v>41864</v>
      </c>
      <c r="L12765" s="787">
        <v>15.09</v>
      </c>
      <c r="M12765" s="787">
        <v>20</v>
      </c>
      <c r="N12765" s="787">
        <v>16.22</v>
      </c>
      <c r="O12765" s="788">
        <v>41864</v>
      </c>
    </row>
    <row r="12766" spans="1:15" x14ac:dyDescent="0.25">
      <c r="A12766" s="786" t="s">
        <v>22854</v>
      </c>
      <c r="B12766" s="787">
        <v>4</v>
      </c>
      <c r="C12766" s="787" t="s">
        <v>22855</v>
      </c>
      <c r="D12766" s="787">
        <v>0.34</v>
      </c>
      <c r="E12766" s="787">
        <v>0.34</v>
      </c>
      <c r="F12766" s="788">
        <v>41871</v>
      </c>
      <c r="G12766" s="788">
        <v>41872</v>
      </c>
      <c r="H12766" s="787">
        <v>1</v>
      </c>
      <c r="J12766" s="788">
        <v>41869</v>
      </c>
      <c r="K12766" s="788">
        <v>41864</v>
      </c>
      <c r="L12766" s="787">
        <v>0.34</v>
      </c>
      <c r="M12766" s="787">
        <v>20</v>
      </c>
      <c r="N12766" s="787">
        <v>0.37</v>
      </c>
      <c r="O12766" s="788">
        <v>41864</v>
      </c>
    </row>
    <row r="12767" spans="1:15" x14ac:dyDescent="0.25">
      <c r="A12767" s="786" t="s">
        <v>22856</v>
      </c>
      <c r="B12767" s="787">
        <v>4</v>
      </c>
      <c r="C12767" s="787" t="s">
        <v>22857</v>
      </c>
      <c r="D12767" s="787">
        <v>0.98</v>
      </c>
      <c r="E12767" s="787">
        <v>0.98</v>
      </c>
      <c r="F12767" s="788">
        <v>41871</v>
      </c>
      <c r="G12767" s="788">
        <v>41869</v>
      </c>
      <c r="H12767" s="787">
        <v>1</v>
      </c>
      <c r="J12767" s="788">
        <v>41869</v>
      </c>
      <c r="K12767" s="788">
        <v>41864</v>
      </c>
      <c r="L12767" s="787">
        <v>0.98</v>
      </c>
      <c r="M12767" s="787">
        <v>20</v>
      </c>
      <c r="N12767" s="787">
        <v>1.05</v>
      </c>
      <c r="O12767" s="788">
        <v>41864</v>
      </c>
    </row>
    <row r="12768" spans="1:15" x14ac:dyDescent="0.25">
      <c r="A12768" s="786" t="s">
        <v>22858</v>
      </c>
      <c r="B12768" s="787">
        <v>4</v>
      </c>
      <c r="C12768" s="787" t="s">
        <v>22859</v>
      </c>
      <c r="D12768" s="787">
        <v>1.1200000000000001</v>
      </c>
      <c r="E12768" s="787">
        <v>1.1200000000000001</v>
      </c>
      <c r="F12768" s="788">
        <v>41871</v>
      </c>
      <c r="G12768" s="788">
        <v>41872</v>
      </c>
      <c r="H12768" s="787">
        <v>1</v>
      </c>
      <c r="J12768" s="788">
        <v>41869</v>
      </c>
      <c r="K12768" s="788">
        <v>41864</v>
      </c>
      <c r="L12768" s="787">
        <v>1.1200000000000001</v>
      </c>
      <c r="M12768" s="787">
        <v>20</v>
      </c>
      <c r="N12768" s="787">
        <v>1.2</v>
      </c>
      <c r="O12768" s="788">
        <v>41864</v>
      </c>
    </row>
    <row r="12769" spans="1:15" x14ac:dyDescent="0.25">
      <c r="A12769" s="786" t="s">
        <v>22860</v>
      </c>
      <c r="B12769" s="787">
        <v>4</v>
      </c>
      <c r="C12769" s="787" t="s">
        <v>22859</v>
      </c>
      <c r="D12769" s="787">
        <v>0.8</v>
      </c>
      <c r="E12769" s="787">
        <v>0.8</v>
      </c>
      <c r="F12769" s="788">
        <v>41871</v>
      </c>
      <c r="G12769" s="788">
        <v>41872</v>
      </c>
      <c r="H12769" s="787">
        <v>1</v>
      </c>
      <c r="J12769" s="788">
        <v>41869</v>
      </c>
      <c r="K12769" s="788">
        <v>41864</v>
      </c>
      <c r="L12769" s="787">
        <v>0.8</v>
      </c>
      <c r="M12769" s="787">
        <v>20</v>
      </c>
      <c r="N12769" s="787">
        <v>0.86</v>
      </c>
      <c r="O12769" s="788">
        <v>41864</v>
      </c>
    </row>
    <row r="12770" spans="1:15" x14ac:dyDescent="0.25">
      <c r="A12770" s="786" t="s">
        <v>22861</v>
      </c>
      <c r="B12770" s="787">
        <v>4</v>
      </c>
      <c r="C12770" s="787" t="s">
        <v>22862</v>
      </c>
      <c r="D12770" s="787">
        <v>2.83</v>
      </c>
      <c r="E12770" s="787">
        <v>12.83</v>
      </c>
      <c r="F12770" s="788">
        <v>42065</v>
      </c>
      <c r="G12770" s="788">
        <v>42061</v>
      </c>
      <c r="H12770" s="787">
        <v>1</v>
      </c>
      <c r="I12770" s="788">
        <v>42072</v>
      </c>
      <c r="J12770" s="788">
        <v>42093</v>
      </c>
      <c r="K12770" s="788">
        <v>42059</v>
      </c>
      <c r="L12770" s="787">
        <v>12.83</v>
      </c>
      <c r="M12770" s="787">
        <v>20</v>
      </c>
      <c r="N12770" s="787">
        <v>13.79</v>
      </c>
      <c r="O12770" s="788">
        <v>42059</v>
      </c>
    </row>
    <row r="12771" spans="1:15" x14ac:dyDescent="0.25">
      <c r="A12771" s="786" t="s">
        <v>22863</v>
      </c>
      <c r="B12771" s="787">
        <v>4</v>
      </c>
      <c r="C12771" s="787" t="s">
        <v>22864</v>
      </c>
      <c r="D12771" s="787">
        <v>7.45</v>
      </c>
      <c r="E12771" s="787">
        <v>7.45</v>
      </c>
      <c r="F12771" s="788">
        <v>42065</v>
      </c>
      <c r="G12771" s="788">
        <v>42061</v>
      </c>
      <c r="H12771" s="787">
        <v>1</v>
      </c>
      <c r="I12771" s="788">
        <v>42072</v>
      </c>
      <c r="J12771" s="788">
        <v>42090</v>
      </c>
      <c r="K12771" s="788">
        <v>42059</v>
      </c>
      <c r="L12771" s="787">
        <v>7.45</v>
      </c>
      <c r="M12771" s="787">
        <v>20</v>
      </c>
      <c r="N12771" s="787">
        <v>8.01</v>
      </c>
      <c r="O12771" s="788">
        <v>42059</v>
      </c>
    </row>
    <row r="12772" spans="1:15" x14ac:dyDescent="0.25">
      <c r="A12772" s="786" t="s">
        <v>22865</v>
      </c>
      <c r="B12772" s="787">
        <v>4</v>
      </c>
      <c r="C12772" s="787" t="s">
        <v>22866</v>
      </c>
      <c r="D12772" s="787">
        <v>2.04</v>
      </c>
      <c r="E12772" s="787">
        <v>2.04</v>
      </c>
      <c r="F12772" s="788">
        <v>42065</v>
      </c>
      <c r="G12772" s="788">
        <v>42061</v>
      </c>
      <c r="H12772" s="787">
        <v>1</v>
      </c>
      <c r="I12772" s="788">
        <v>42072</v>
      </c>
      <c r="J12772" s="788">
        <v>42090</v>
      </c>
      <c r="K12772" s="788">
        <v>42059</v>
      </c>
      <c r="L12772" s="787">
        <v>2.04</v>
      </c>
      <c r="M12772" s="787">
        <v>20</v>
      </c>
      <c r="N12772" s="787">
        <v>2.19</v>
      </c>
      <c r="O12772" s="788">
        <v>42059</v>
      </c>
    </row>
    <row r="12773" spans="1:15" x14ac:dyDescent="0.25">
      <c r="A12773" s="786" t="s">
        <v>22867</v>
      </c>
      <c r="B12773" s="787">
        <v>4</v>
      </c>
      <c r="C12773" s="787" t="s">
        <v>22868</v>
      </c>
      <c r="D12773" s="787">
        <v>1.1499999999999999</v>
      </c>
      <c r="E12773" s="787">
        <v>1.1499999999999999</v>
      </c>
      <c r="F12773" s="788">
        <v>42065</v>
      </c>
      <c r="G12773" s="788">
        <v>42061</v>
      </c>
      <c r="H12773" s="787">
        <v>1</v>
      </c>
      <c r="I12773" s="788">
        <v>42072</v>
      </c>
      <c r="J12773" s="788">
        <v>42090</v>
      </c>
      <c r="K12773" s="788">
        <v>42059</v>
      </c>
      <c r="L12773" s="787">
        <v>1.1499999999999999</v>
      </c>
      <c r="M12773" s="787">
        <v>20</v>
      </c>
      <c r="N12773" s="787">
        <v>1.24</v>
      </c>
      <c r="O12773" s="788">
        <v>42059</v>
      </c>
    </row>
    <row r="12774" spans="1:15" x14ac:dyDescent="0.25">
      <c r="A12774" s="786" t="s">
        <v>22869</v>
      </c>
      <c r="B12774" s="787">
        <v>4</v>
      </c>
      <c r="C12774" s="787" t="s">
        <v>22870</v>
      </c>
      <c r="D12774" s="787">
        <v>2.29</v>
      </c>
      <c r="E12774" s="787">
        <v>2.29</v>
      </c>
      <c r="F12774" s="788">
        <v>42065</v>
      </c>
      <c r="G12774" s="788">
        <v>42061</v>
      </c>
      <c r="H12774" s="787">
        <v>1</v>
      </c>
      <c r="I12774" s="788">
        <v>42072</v>
      </c>
      <c r="J12774" s="788">
        <v>42090</v>
      </c>
      <c r="K12774" s="788">
        <v>42059</v>
      </c>
      <c r="L12774" s="787">
        <v>2.29</v>
      </c>
      <c r="M12774" s="787">
        <v>20</v>
      </c>
      <c r="N12774" s="787">
        <v>2.46</v>
      </c>
      <c r="O12774" s="788">
        <v>42059</v>
      </c>
    </row>
    <row r="12775" spans="1:15" x14ac:dyDescent="0.25">
      <c r="A12775" s="786" t="s">
        <v>22871</v>
      </c>
      <c r="B12775" s="787">
        <v>4</v>
      </c>
      <c r="C12775" s="787" t="s">
        <v>22872</v>
      </c>
      <c r="D12775" s="787">
        <v>2.1</v>
      </c>
      <c r="E12775" s="787">
        <v>2.1</v>
      </c>
      <c r="F12775" s="788">
        <v>42065</v>
      </c>
      <c r="G12775" s="788">
        <v>42061</v>
      </c>
      <c r="H12775" s="787">
        <v>1</v>
      </c>
      <c r="I12775" s="788">
        <v>42072</v>
      </c>
      <c r="J12775" s="788">
        <v>42090</v>
      </c>
      <c r="K12775" s="788">
        <v>42059</v>
      </c>
      <c r="L12775" s="787">
        <v>2.1</v>
      </c>
      <c r="M12775" s="787">
        <v>20</v>
      </c>
      <c r="N12775" s="787">
        <v>2.2599999999999998</v>
      </c>
      <c r="O12775" s="788">
        <v>42059</v>
      </c>
    </row>
    <row r="12776" spans="1:15" x14ac:dyDescent="0.25">
      <c r="A12776" s="786" t="s">
        <v>22873</v>
      </c>
      <c r="B12776" s="787">
        <v>4</v>
      </c>
      <c r="C12776" s="787" t="s">
        <v>22874</v>
      </c>
      <c r="D12776" s="787">
        <v>2.29</v>
      </c>
      <c r="E12776" s="787">
        <v>2.29</v>
      </c>
      <c r="F12776" s="788">
        <v>42065</v>
      </c>
      <c r="G12776" s="788">
        <v>42061</v>
      </c>
      <c r="H12776" s="787">
        <v>1</v>
      </c>
      <c r="I12776" s="788">
        <v>42072</v>
      </c>
      <c r="J12776" s="788">
        <v>42090</v>
      </c>
      <c r="K12776" s="788">
        <v>42059</v>
      </c>
      <c r="L12776" s="787">
        <v>2.29</v>
      </c>
      <c r="M12776" s="787">
        <v>20</v>
      </c>
      <c r="N12776" s="787">
        <v>2.46</v>
      </c>
      <c r="O12776" s="788">
        <v>42059</v>
      </c>
    </row>
    <row r="12777" spans="1:15" x14ac:dyDescent="0.25">
      <c r="A12777" s="786" t="s">
        <v>22875</v>
      </c>
      <c r="B12777" s="787">
        <v>4</v>
      </c>
      <c r="C12777" s="787" t="s">
        <v>22876</v>
      </c>
      <c r="D12777" s="787">
        <v>2.41</v>
      </c>
      <c r="E12777" s="787">
        <v>12.41</v>
      </c>
      <c r="F12777" s="788">
        <v>42158</v>
      </c>
      <c r="G12777" s="788">
        <v>42153</v>
      </c>
      <c r="H12777" s="787">
        <v>1</v>
      </c>
      <c r="I12777" s="788">
        <v>42072</v>
      </c>
      <c r="J12777" s="788">
        <v>42153</v>
      </c>
      <c r="K12777" s="788">
        <v>42059</v>
      </c>
      <c r="L12777" s="787">
        <v>12.41</v>
      </c>
      <c r="M12777" s="787">
        <v>20</v>
      </c>
      <c r="N12777" s="787">
        <v>13.34</v>
      </c>
      <c r="O12777" s="788">
        <v>42059</v>
      </c>
    </row>
    <row r="12778" spans="1:15" x14ac:dyDescent="0.25">
      <c r="A12778" s="786" t="s">
        <v>22877</v>
      </c>
      <c r="B12778" s="787">
        <v>4</v>
      </c>
      <c r="C12778" s="787" t="s">
        <v>22878</v>
      </c>
      <c r="D12778" s="787">
        <v>2.71</v>
      </c>
      <c r="E12778" s="787">
        <v>12.71</v>
      </c>
      <c r="F12778" s="788">
        <v>42065</v>
      </c>
      <c r="G12778" s="788">
        <v>42081</v>
      </c>
      <c r="H12778" s="787">
        <v>1</v>
      </c>
      <c r="I12778" s="788">
        <v>42072</v>
      </c>
      <c r="J12778" s="788">
        <v>42061</v>
      </c>
      <c r="K12778" s="788">
        <v>42059</v>
      </c>
      <c r="L12778" s="787">
        <v>12.71</v>
      </c>
      <c r="M12778" s="787">
        <v>20</v>
      </c>
      <c r="N12778" s="787">
        <v>13.66</v>
      </c>
      <c r="O12778" s="788">
        <v>42059</v>
      </c>
    </row>
    <row r="12779" spans="1:15" x14ac:dyDescent="0.25">
      <c r="A12779" s="786" t="s">
        <v>22879</v>
      </c>
      <c r="B12779" s="787">
        <v>4</v>
      </c>
      <c r="C12779" s="787" t="s">
        <v>22880</v>
      </c>
      <c r="D12779" s="787">
        <v>4.4400000000000004</v>
      </c>
      <c r="E12779" s="787">
        <v>64.44</v>
      </c>
      <c r="F12779" s="788">
        <v>42065</v>
      </c>
      <c r="G12779" s="788">
        <v>42061</v>
      </c>
      <c r="H12779" s="787">
        <v>1</v>
      </c>
      <c r="J12779" s="788">
        <v>42061</v>
      </c>
      <c r="K12779" s="788">
        <v>42059</v>
      </c>
      <c r="L12779" s="787">
        <v>64.44</v>
      </c>
      <c r="M12779" s="787">
        <v>20</v>
      </c>
      <c r="N12779" s="787">
        <v>69.27</v>
      </c>
      <c r="O12779" s="788">
        <v>42059</v>
      </c>
    </row>
    <row r="12780" spans="1:15" x14ac:dyDescent="0.25">
      <c r="A12780" s="786" t="s">
        <v>22881</v>
      </c>
      <c r="B12780" s="787">
        <v>4</v>
      </c>
      <c r="C12780" s="787" t="s">
        <v>22882</v>
      </c>
      <c r="D12780" s="787">
        <v>9.16</v>
      </c>
      <c r="E12780" s="787">
        <v>169.16</v>
      </c>
      <c r="F12780" s="788">
        <v>42065</v>
      </c>
      <c r="G12780" s="788">
        <v>42093</v>
      </c>
      <c r="H12780" s="787">
        <v>1</v>
      </c>
      <c r="I12780" s="788">
        <v>42072</v>
      </c>
      <c r="J12780" s="788">
        <v>42093</v>
      </c>
      <c r="K12780" s="788">
        <v>42059</v>
      </c>
      <c r="L12780" s="787">
        <v>169.15</v>
      </c>
      <c r="M12780" s="787">
        <v>20</v>
      </c>
      <c r="N12780" s="787">
        <v>181.84</v>
      </c>
      <c r="O12780" s="788">
        <v>42059</v>
      </c>
    </row>
    <row r="12781" spans="1:15" x14ac:dyDescent="0.25">
      <c r="A12781" s="786" t="s">
        <v>22883</v>
      </c>
      <c r="B12781" s="787">
        <v>4</v>
      </c>
      <c r="C12781" s="787" t="s">
        <v>22884</v>
      </c>
      <c r="D12781" s="787">
        <v>3.71</v>
      </c>
      <c r="E12781" s="787">
        <v>13.71</v>
      </c>
      <c r="F12781" s="788">
        <v>42065</v>
      </c>
      <c r="G12781" s="788">
        <v>42081</v>
      </c>
      <c r="H12781" s="787">
        <v>1</v>
      </c>
      <c r="I12781" s="788">
        <v>42072</v>
      </c>
      <c r="J12781" s="788">
        <v>42061</v>
      </c>
      <c r="K12781" s="788">
        <v>42059</v>
      </c>
      <c r="L12781" s="787">
        <v>13.71</v>
      </c>
      <c r="M12781" s="787">
        <v>20</v>
      </c>
      <c r="N12781" s="787">
        <v>14.74</v>
      </c>
      <c r="O12781" s="788">
        <v>42059</v>
      </c>
    </row>
    <row r="12782" spans="1:15" x14ac:dyDescent="0.25">
      <c r="A12782" s="786" t="s">
        <v>22885</v>
      </c>
      <c r="B12782" s="787">
        <v>4</v>
      </c>
      <c r="C12782" s="787" t="s">
        <v>22886</v>
      </c>
      <c r="D12782" s="787">
        <v>5.71</v>
      </c>
      <c r="E12782" s="787">
        <v>85.71</v>
      </c>
      <c r="F12782" s="788">
        <v>42065</v>
      </c>
      <c r="G12782" s="788">
        <v>42061</v>
      </c>
      <c r="H12782" s="787">
        <v>1</v>
      </c>
      <c r="J12782" s="788">
        <v>42061</v>
      </c>
      <c r="K12782" s="788">
        <v>42059</v>
      </c>
      <c r="L12782" s="787">
        <v>85.71</v>
      </c>
      <c r="M12782" s="787">
        <v>20</v>
      </c>
      <c r="N12782" s="787">
        <v>92.14</v>
      </c>
      <c r="O12782" s="788">
        <v>42059</v>
      </c>
    </row>
    <row r="12783" spans="1:15" x14ac:dyDescent="0.25">
      <c r="A12783" s="786" t="s">
        <v>22887</v>
      </c>
      <c r="B12783" s="787">
        <v>4</v>
      </c>
      <c r="C12783" s="787" t="s">
        <v>22888</v>
      </c>
      <c r="D12783" s="787">
        <v>8.4600000000000009</v>
      </c>
      <c r="E12783" s="787">
        <v>28.48</v>
      </c>
      <c r="F12783" s="788">
        <v>41568</v>
      </c>
      <c r="G12783" s="788">
        <v>42013</v>
      </c>
      <c r="H12783" s="787">
        <v>1</v>
      </c>
      <c r="I12783" s="788">
        <v>42123</v>
      </c>
      <c r="J12783" s="788">
        <v>41772</v>
      </c>
      <c r="K12783" s="788">
        <v>41558</v>
      </c>
      <c r="L12783" s="787">
        <v>28.48</v>
      </c>
      <c r="M12783" s="787">
        <v>20</v>
      </c>
      <c r="N12783" s="787">
        <v>30.62</v>
      </c>
      <c r="O12783" s="788">
        <v>42127</v>
      </c>
    </row>
    <row r="12784" spans="1:15" x14ac:dyDescent="0.25">
      <c r="A12784" s="786" t="s">
        <v>22889</v>
      </c>
      <c r="B12784" s="787">
        <v>4</v>
      </c>
      <c r="C12784" s="787" t="s">
        <v>22890</v>
      </c>
      <c r="D12784" s="787">
        <v>1.3</v>
      </c>
      <c r="E12784" s="787">
        <v>31.3</v>
      </c>
      <c r="F12784" s="788">
        <v>41568</v>
      </c>
      <c r="G12784" s="788">
        <v>41646</v>
      </c>
      <c r="H12784" s="787">
        <v>1</v>
      </c>
      <c r="I12784" s="788">
        <v>41894</v>
      </c>
      <c r="J12784" s="788">
        <v>41562</v>
      </c>
      <c r="K12784" s="788">
        <v>41558</v>
      </c>
      <c r="L12784" s="787">
        <v>31.3</v>
      </c>
      <c r="M12784" s="787">
        <v>20</v>
      </c>
      <c r="N12784" s="787">
        <v>33.65</v>
      </c>
      <c r="O12784" s="788">
        <v>41858</v>
      </c>
    </row>
    <row r="12785" spans="1:15" x14ac:dyDescent="0.25">
      <c r="A12785" s="786" t="s">
        <v>22891</v>
      </c>
      <c r="B12785" s="787">
        <v>4</v>
      </c>
      <c r="C12785" s="787" t="s">
        <v>22892</v>
      </c>
      <c r="D12785" s="787">
        <v>9.9499999999999993</v>
      </c>
      <c r="E12785" s="787">
        <v>39.950000000000003</v>
      </c>
      <c r="F12785" s="788">
        <v>41568</v>
      </c>
      <c r="G12785" s="788">
        <v>41646</v>
      </c>
      <c r="H12785" s="787">
        <v>1</v>
      </c>
      <c r="I12785" s="788">
        <v>41894</v>
      </c>
      <c r="J12785" s="788">
        <v>41562</v>
      </c>
      <c r="K12785" s="788">
        <v>41558</v>
      </c>
      <c r="L12785" s="787">
        <v>39.950000000000003</v>
      </c>
      <c r="M12785" s="787">
        <v>20</v>
      </c>
      <c r="N12785" s="787">
        <v>42.95</v>
      </c>
      <c r="O12785" s="788">
        <v>41858</v>
      </c>
    </row>
    <row r="12786" spans="1:15" x14ac:dyDescent="0.25">
      <c r="A12786" s="786" t="s">
        <v>22893</v>
      </c>
      <c r="B12786" s="787">
        <v>4</v>
      </c>
      <c r="C12786" s="787" t="s">
        <v>22894</v>
      </c>
      <c r="D12786" s="787">
        <v>1.3</v>
      </c>
      <c r="E12786" s="787">
        <v>31.3</v>
      </c>
      <c r="F12786" s="788">
        <v>41568</v>
      </c>
      <c r="G12786" s="788">
        <v>41646</v>
      </c>
      <c r="H12786" s="787">
        <v>1</v>
      </c>
      <c r="I12786" s="788">
        <v>41894</v>
      </c>
      <c r="J12786" s="788">
        <v>41562</v>
      </c>
      <c r="K12786" s="788">
        <v>41558</v>
      </c>
      <c r="L12786" s="787">
        <v>31.3</v>
      </c>
      <c r="M12786" s="787">
        <v>20</v>
      </c>
      <c r="N12786" s="787">
        <v>33.65</v>
      </c>
      <c r="O12786" s="788">
        <v>41858</v>
      </c>
    </row>
    <row r="12787" spans="1:15" x14ac:dyDescent="0.25">
      <c r="A12787" s="786" t="s">
        <v>22895</v>
      </c>
      <c r="B12787" s="787">
        <v>4</v>
      </c>
      <c r="C12787" s="787" t="s">
        <v>22896</v>
      </c>
      <c r="D12787" s="787">
        <v>5.28</v>
      </c>
      <c r="E12787" s="787">
        <v>5.41</v>
      </c>
      <c r="F12787" s="788">
        <v>41575</v>
      </c>
      <c r="G12787" s="788">
        <v>42135</v>
      </c>
      <c r="H12787" s="787">
        <v>1</v>
      </c>
      <c r="I12787" s="788">
        <v>41894</v>
      </c>
      <c r="J12787" s="788">
        <v>42102</v>
      </c>
      <c r="K12787" s="788">
        <v>41925</v>
      </c>
      <c r="L12787" s="787">
        <v>5.41</v>
      </c>
      <c r="M12787" s="787">
        <v>20</v>
      </c>
      <c r="N12787" s="787">
        <v>5.68</v>
      </c>
      <c r="O12787" s="788">
        <v>41858</v>
      </c>
    </row>
    <row r="12788" spans="1:15" x14ac:dyDescent="0.25">
      <c r="A12788" s="786" t="s">
        <v>22897</v>
      </c>
      <c r="B12788" s="787">
        <v>4</v>
      </c>
      <c r="C12788" s="787" t="s">
        <v>22898</v>
      </c>
      <c r="D12788" s="787">
        <v>7.87</v>
      </c>
      <c r="E12788" s="787">
        <v>7.87</v>
      </c>
      <c r="F12788" s="788">
        <v>41792</v>
      </c>
      <c r="G12788" s="788">
        <v>41789</v>
      </c>
      <c r="H12788" s="787">
        <v>1</v>
      </c>
      <c r="I12788" s="788">
        <v>42018</v>
      </c>
      <c r="J12788" s="788">
        <v>42016</v>
      </c>
      <c r="K12788" s="788">
        <v>41786</v>
      </c>
      <c r="L12788" s="787">
        <v>7.87</v>
      </c>
      <c r="M12788" s="787">
        <v>20</v>
      </c>
      <c r="N12788" s="787">
        <v>8.4600000000000009</v>
      </c>
      <c r="O12788" s="788">
        <v>41858</v>
      </c>
    </row>
    <row r="12789" spans="1:15" x14ac:dyDescent="0.25">
      <c r="A12789" s="786" t="s">
        <v>22899</v>
      </c>
      <c r="B12789" s="787">
        <v>4</v>
      </c>
      <c r="C12789" s="787" t="s">
        <v>22900</v>
      </c>
      <c r="D12789" s="787">
        <v>8.35</v>
      </c>
      <c r="E12789" s="787">
        <v>8.35</v>
      </c>
      <c r="F12789" s="788">
        <v>41792</v>
      </c>
      <c r="G12789" s="788">
        <v>41789</v>
      </c>
      <c r="H12789" s="787">
        <v>1</v>
      </c>
      <c r="I12789" s="788">
        <v>42018</v>
      </c>
      <c r="J12789" s="788">
        <v>42016</v>
      </c>
      <c r="K12789" s="788">
        <v>41786</v>
      </c>
      <c r="L12789" s="787">
        <v>8.35</v>
      </c>
      <c r="M12789" s="787">
        <v>20</v>
      </c>
      <c r="N12789" s="787">
        <v>8.98</v>
      </c>
      <c r="O12789" s="788">
        <v>41858</v>
      </c>
    </row>
    <row r="12790" spans="1:15" x14ac:dyDescent="0.25">
      <c r="A12790" s="786" t="s">
        <v>22901</v>
      </c>
      <c r="B12790" s="787">
        <v>4</v>
      </c>
      <c r="C12790" s="787" t="s">
        <v>22902</v>
      </c>
      <c r="D12790" s="787">
        <v>9.5500000000000007</v>
      </c>
      <c r="E12790" s="787">
        <v>9.5500000000000007</v>
      </c>
      <c r="F12790" s="788">
        <v>42020</v>
      </c>
      <c r="G12790" s="788">
        <v>42016</v>
      </c>
      <c r="H12790" s="787">
        <v>1</v>
      </c>
      <c r="I12790" s="788">
        <v>42018</v>
      </c>
      <c r="J12790" s="788">
        <v>42016</v>
      </c>
      <c r="K12790" s="788">
        <v>42012</v>
      </c>
      <c r="L12790" s="787">
        <v>9.5500000000000007</v>
      </c>
      <c r="M12790" s="787">
        <v>20</v>
      </c>
      <c r="N12790" s="787">
        <v>10.27</v>
      </c>
      <c r="O12790" s="788">
        <v>42012</v>
      </c>
    </row>
    <row r="12791" spans="1:15" x14ac:dyDescent="0.25">
      <c r="A12791" s="786" t="s">
        <v>22903</v>
      </c>
      <c r="B12791" s="787">
        <v>4</v>
      </c>
      <c r="C12791" s="787" t="s">
        <v>22904</v>
      </c>
      <c r="D12791" s="787">
        <v>4.6900000000000004</v>
      </c>
      <c r="E12791" s="787">
        <v>14.69</v>
      </c>
      <c r="F12791" s="788">
        <v>42020</v>
      </c>
      <c r="G12791" s="788">
        <v>42016</v>
      </c>
      <c r="H12791" s="787">
        <v>1</v>
      </c>
      <c r="I12791" s="788">
        <v>42018</v>
      </c>
      <c r="J12791" s="788">
        <v>42016</v>
      </c>
      <c r="K12791" s="788">
        <v>42012</v>
      </c>
      <c r="L12791" s="787">
        <v>14.69</v>
      </c>
      <c r="M12791" s="787">
        <v>20</v>
      </c>
      <c r="N12791" s="787">
        <v>15.79</v>
      </c>
      <c r="O12791" s="788">
        <v>42012</v>
      </c>
    </row>
    <row r="12792" spans="1:15" x14ac:dyDescent="0.25">
      <c r="A12792" s="786" t="s">
        <v>22905</v>
      </c>
      <c r="B12792" s="787">
        <v>4</v>
      </c>
      <c r="C12792" s="787" t="s">
        <v>22906</v>
      </c>
      <c r="D12792" s="787">
        <v>0.28000000000000003</v>
      </c>
      <c r="E12792" s="787">
        <v>0.28000000000000003</v>
      </c>
      <c r="F12792" s="788">
        <v>42078</v>
      </c>
      <c r="G12792" s="788">
        <v>42116</v>
      </c>
      <c r="H12792" s="787">
        <v>1</v>
      </c>
      <c r="I12792" s="788">
        <v>42152</v>
      </c>
      <c r="J12792" s="788">
        <v>42124</v>
      </c>
      <c r="K12792" s="788">
        <v>42061</v>
      </c>
      <c r="L12792" s="787">
        <v>0.28000000000000003</v>
      </c>
      <c r="M12792" s="787">
        <v>20</v>
      </c>
      <c r="N12792" s="787">
        <v>0.3</v>
      </c>
      <c r="O12792" s="788">
        <v>42127</v>
      </c>
    </row>
    <row r="12793" spans="1:15" x14ac:dyDescent="0.25">
      <c r="A12793" s="786" t="s">
        <v>22907</v>
      </c>
      <c r="B12793" s="787">
        <v>4</v>
      </c>
      <c r="C12793" s="787" t="s">
        <v>22908</v>
      </c>
      <c r="D12793" s="787">
        <v>6.78</v>
      </c>
      <c r="E12793" s="787">
        <v>6.78</v>
      </c>
      <c r="F12793" s="788">
        <v>42123</v>
      </c>
      <c r="G12793" s="788">
        <v>42145</v>
      </c>
      <c r="H12793" s="787">
        <v>1</v>
      </c>
      <c r="I12793" s="788">
        <v>42152</v>
      </c>
      <c r="J12793" s="788">
        <v>42124</v>
      </c>
      <c r="K12793" s="788">
        <v>42061</v>
      </c>
      <c r="L12793" s="787">
        <v>6.78</v>
      </c>
      <c r="M12793" s="787">
        <v>20</v>
      </c>
      <c r="N12793" s="787">
        <v>7.29</v>
      </c>
      <c r="O12793" s="788">
        <v>42127</v>
      </c>
    </row>
    <row r="12794" spans="1:15" x14ac:dyDescent="0.25">
      <c r="A12794" s="786" t="s">
        <v>22909</v>
      </c>
      <c r="B12794" s="787">
        <v>4</v>
      </c>
      <c r="C12794" s="787" t="s">
        <v>22910</v>
      </c>
      <c r="D12794" s="787">
        <v>7.49</v>
      </c>
      <c r="E12794" s="787">
        <v>7.49</v>
      </c>
      <c r="F12794" s="788">
        <v>42078</v>
      </c>
      <c r="G12794" s="788">
        <v>42116</v>
      </c>
      <c r="H12794" s="787">
        <v>1</v>
      </c>
      <c r="I12794" s="788">
        <v>42152</v>
      </c>
      <c r="J12794" s="788">
        <v>42124</v>
      </c>
      <c r="K12794" s="788">
        <v>42061</v>
      </c>
      <c r="L12794" s="787">
        <v>7.49</v>
      </c>
      <c r="M12794" s="787">
        <v>20</v>
      </c>
      <c r="N12794" s="787">
        <v>8.0500000000000007</v>
      </c>
      <c r="O12794" s="788">
        <v>42127</v>
      </c>
    </row>
    <row r="12795" spans="1:15" x14ac:dyDescent="0.25">
      <c r="A12795" s="786" t="s">
        <v>22911</v>
      </c>
      <c r="B12795" s="787">
        <v>4</v>
      </c>
      <c r="C12795" s="787" t="s">
        <v>22864</v>
      </c>
      <c r="D12795" s="787">
        <v>7.27</v>
      </c>
      <c r="E12795" s="787">
        <v>7.27</v>
      </c>
      <c r="F12795" s="788">
        <v>42101</v>
      </c>
      <c r="G12795" s="788">
        <v>42090</v>
      </c>
      <c r="H12795" s="787">
        <v>1</v>
      </c>
      <c r="J12795" s="788">
        <v>42090</v>
      </c>
      <c r="K12795" s="788">
        <v>42089</v>
      </c>
      <c r="L12795" s="787">
        <v>7.27</v>
      </c>
      <c r="M12795" s="787">
        <v>20</v>
      </c>
      <c r="N12795" s="787">
        <v>0</v>
      </c>
    </row>
    <row r="12796" spans="1:15" x14ac:dyDescent="0.25">
      <c r="A12796" s="786" t="s">
        <v>22912</v>
      </c>
      <c r="B12796" s="787">
        <v>4</v>
      </c>
      <c r="C12796" s="787" t="s">
        <v>22913</v>
      </c>
      <c r="D12796" s="787">
        <v>9.61</v>
      </c>
      <c r="E12796" s="787">
        <v>69.61</v>
      </c>
      <c r="F12796" s="788">
        <v>42101</v>
      </c>
      <c r="G12796" s="788">
        <v>42093</v>
      </c>
      <c r="H12796" s="787">
        <v>1</v>
      </c>
      <c r="J12796" s="788">
        <v>42124</v>
      </c>
      <c r="K12796" s="788">
        <v>42089</v>
      </c>
      <c r="L12796" s="787">
        <v>69.61</v>
      </c>
      <c r="M12796" s="787">
        <v>20</v>
      </c>
      <c r="N12796" s="787">
        <v>0</v>
      </c>
    </row>
    <row r="12797" spans="1:15" x14ac:dyDescent="0.25">
      <c r="A12797" s="786" t="s">
        <v>22914</v>
      </c>
      <c r="B12797" s="787">
        <v>4</v>
      </c>
      <c r="C12797" s="787" t="s">
        <v>22915</v>
      </c>
      <c r="D12797" s="787">
        <v>7.5</v>
      </c>
      <c r="E12797" s="787">
        <v>167.5</v>
      </c>
      <c r="F12797" s="788">
        <v>42101</v>
      </c>
      <c r="G12797" s="788">
        <v>42093</v>
      </c>
      <c r="H12797" s="787">
        <v>1</v>
      </c>
      <c r="J12797" s="788">
        <v>42093</v>
      </c>
      <c r="K12797" s="788">
        <v>42089</v>
      </c>
      <c r="L12797" s="787">
        <v>167.5</v>
      </c>
      <c r="M12797" s="787">
        <v>20</v>
      </c>
      <c r="N12797" s="787">
        <v>0</v>
      </c>
    </row>
    <row r="12798" spans="1:15" x14ac:dyDescent="0.25">
      <c r="A12798" s="786" t="s">
        <v>22916</v>
      </c>
      <c r="B12798" s="787">
        <v>4</v>
      </c>
      <c r="C12798" s="787" t="s">
        <v>22917</v>
      </c>
      <c r="D12798" s="787">
        <v>8.23</v>
      </c>
      <c r="E12798" s="787">
        <v>132.31</v>
      </c>
      <c r="F12798" s="788">
        <v>37641</v>
      </c>
      <c r="G12798" s="788">
        <v>41513</v>
      </c>
      <c r="H12798" s="787">
        <v>1</v>
      </c>
      <c r="I12798" s="788">
        <v>41507</v>
      </c>
      <c r="J12798" s="788">
        <v>41486</v>
      </c>
      <c r="K12798" s="788">
        <v>41142</v>
      </c>
      <c r="L12798" s="787">
        <v>124.1</v>
      </c>
      <c r="M12798" s="787">
        <v>20</v>
      </c>
      <c r="N12798" s="787">
        <v>133.41</v>
      </c>
      <c r="O12798" s="788">
        <v>41858</v>
      </c>
    </row>
    <row r="12799" spans="1:15" x14ac:dyDescent="0.25">
      <c r="A12799" s="786" t="s">
        <v>22918</v>
      </c>
      <c r="B12799" s="787">
        <v>4</v>
      </c>
      <c r="C12799" s="787" t="s">
        <v>22919</v>
      </c>
      <c r="D12799" s="787">
        <v>6.49</v>
      </c>
      <c r="E12799" s="787">
        <v>86.49</v>
      </c>
      <c r="F12799" s="788">
        <v>37641</v>
      </c>
      <c r="G12799" s="788">
        <v>37641</v>
      </c>
      <c r="H12799" s="787">
        <v>1</v>
      </c>
      <c r="J12799" s="788">
        <v>37641</v>
      </c>
      <c r="L12799" s="787">
        <v>94.27</v>
      </c>
      <c r="M12799" s="787">
        <v>20</v>
      </c>
      <c r="N12799" s="787">
        <v>101.34</v>
      </c>
      <c r="O12799" s="788">
        <v>41858</v>
      </c>
    </row>
    <row r="12800" spans="1:15" x14ac:dyDescent="0.25">
      <c r="A12800" s="786" t="s">
        <v>22920</v>
      </c>
      <c r="B12800" s="787">
        <v>4</v>
      </c>
      <c r="C12800" s="787" t="s">
        <v>22921</v>
      </c>
      <c r="D12800" s="787">
        <v>3.86</v>
      </c>
      <c r="E12800" s="787">
        <v>227.71</v>
      </c>
      <c r="F12800" s="788">
        <v>39101</v>
      </c>
      <c r="G12800" s="788">
        <v>41371</v>
      </c>
      <c r="H12800" s="787">
        <v>1</v>
      </c>
      <c r="I12800" s="788">
        <v>41148</v>
      </c>
      <c r="J12800" s="788">
        <v>41337</v>
      </c>
      <c r="K12800" s="788">
        <v>41124</v>
      </c>
      <c r="L12800" s="787">
        <v>243</v>
      </c>
      <c r="M12800" s="787">
        <v>20</v>
      </c>
      <c r="N12800" s="787">
        <v>261.23</v>
      </c>
      <c r="O12800" s="788">
        <v>42159</v>
      </c>
    </row>
    <row r="12801" spans="1:15" x14ac:dyDescent="0.25">
      <c r="A12801" s="786" t="s">
        <v>22922</v>
      </c>
      <c r="B12801" s="787">
        <v>4</v>
      </c>
      <c r="C12801" s="787" t="s">
        <v>22923</v>
      </c>
      <c r="D12801" s="787">
        <v>2.94</v>
      </c>
      <c r="E12801" s="787">
        <v>212.29</v>
      </c>
      <c r="F12801" s="788">
        <v>38126</v>
      </c>
      <c r="G12801" s="788">
        <v>41519</v>
      </c>
      <c r="H12801" s="787">
        <v>1</v>
      </c>
      <c r="I12801" s="788">
        <v>41515</v>
      </c>
      <c r="J12801" s="788">
        <v>41495</v>
      </c>
      <c r="L12801" s="787">
        <v>155.80000000000001</v>
      </c>
      <c r="M12801" s="787">
        <v>20</v>
      </c>
      <c r="N12801" s="787">
        <v>167.49</v>
      </c>
      <c r="O12801" s="788">
        <v>41858</v>
      </c>
    </row>
    <row r="12802" spans="1:15" x14ac:dyDescent="0.25">
      <c r="A12802" s="786" t="s">
        <v>22924</v>
      </c>
      <c r="B12802" s="787">
        <v>4</v>
      </c>
      <c r="C12802" s="787" t="s">
        <v>22925</v>
      </c>
      <c r="D12802" s="787">
        <v>7.94</v>
      </c>
      <c r="E12802" s="787">
        <v>17.940000000000001</v>
      </c>
      <c r="F12802" s="788">
        <v>41595</v>
      </c>
      <c r="G12802" s="788">
        <v>41591</v>
      </c>
      <c r="H12802" s="787">
        <v>1</v>
      </c>
      <c r="I12802" s="788">
        <v>41597</v>
      </c>
      <c r="J12802" s="788">
        <v>41591</v>
      </c>
      <c r="K12802" s="788">
        <v>41590</v>
      </c>
      <c r="L12802" s="787">
        <v>17.940000000000001</v>
      </c>
      <c r="M12802" s="787">
        <v>20</v>
      </c>
      <c r="N12802" s="787">
        <v>19.29</v>
      </c>
      <c r="O12802" s="788">
        <v>41858</v>
      </c>
    </row>
    <row r="12803" spans="1:15" x14ac:dyDescent="0.25">
      <c r="A12803" s="786" t="s">
        <v>22926</v>
      </c>
      <c r="B12803" s="787">
        <v>4</v>
      </c>
      <c r="C12803" s="787" t="s">
        <v>22927</v>
      </c>
      <c r="D12803" s="787">
        <v>2.92</v>
      </c>
      <c r="E12803" s="787">
        <v>5.9</v>
      </c>
      <c r="F12803" s="788">
        <v>39101</v>
      </c>
      <c r="G12803" s="788">
        <v>42013</v>
      </c>
      <c r="H12803" s="787">
        <v>1</v>
      </c>
      <c r="I12803" s="788">
        <v>42093</v>
      </c>
      <c r="J12803" s="788">
        <v>41953</v>
      </c>
      <c r="K12803" s="788">
        <v>41878</v>
      </c>
      <c r="L12803" s="787">
        <v>5.9</v>
      </c>
      <c r="M12803" s="787">
        <v>20</v>
      </c>
      <c r="N12803" s="787">
        <v>6.34</v>
      </c>
      <c r="O12803" s="788">
        <v>42127</v>
      </c>
    </row>
    <row r="12804" spans="1:15" x14ac:dyDescent="0.25">
      <c r="A12804" s="786" t="s">
        <v>22928</v>
      </c>
      <c r="B12804" s="787">
        <v>4</v>
      </c>
      <c r="C12804" s="787" t="s">
        <v>22929</v>
      </c>
      <c r="D12804" s="787">
        <v>1.88</v>
      </c>
      <c r="E12804" s="787">
        <v>11.88</v>
      </c>
      <c r="F12804" s="788">
        <v>37641</v>
      </c>
      <c r="G12804" s="788">
        <v>37656</v>
      </c>
      <c r="H12804" s="787">
        <v>1</v>
      </c>
      <c r="I12804" s="788">
        <v>38007</v>
      </c>
      <c r="J12804" s="788">
        <v>37656</v>
      </c>
      <c r="L12804" s="787">
        <v>12.95</v>
      </c>
      <c r="M12804" s="787">
        <v>20</v>
      </c>
      <c r="N12804" s="787">
        <v>13.92</v>
      </c>
      <c r="O12804" s="788">
        <v>41858</v>
      </c>
    </row>
    <row r="12805" spans="1:15" x14ac:dyDescent="0.25">
      <c r="A12805" s="786" t="s">
        <v>22930</v>
      </c>
      <c r="B12805" s="787">
        <v>4</v>
      </c>
      <c r="C12805" s="787" t="s">
        <v>22931</v>
      </c>
      <c r="D12805" s="787">
        <v>3.86</v>
      </c>
      <c r="E12805" s="787">
        <v>13.86</v>
      </c>
      <c r="F12805" s="788">
        <v>37641</v>
      </c>
      <c r="G12805" s="788">
        <v>37641</v>
      </c>
      <c r="H12805" s="787">
        <v>6</v>
      </c>
      <c r="I12805" s="788">
        <v>37938</v>
      </c>
      <c r="J12805" s="788">
        <v>37641</v>
      </c>
      <c r="L12805" s="787">
        <v>15.11</v>
      </c>
      <c r="M12805" s="787">
        <v>20</v>
      </c>
      <c r="N12805" s="787">
        <v>14.9</v>
      </c>
      <c r="O12805" s="788">
        <v>41806</v>
      </c>
    </row>
    <row r="12806" spans="1:15" x14ac:dyDescent="0.25">
      <c r="A12806" s="786" t="s">
        <v>22932</v>
      </c>
      <c r="B12806" s="787">
        <v>4</v>
      </c>
      <c r="C12806" s="787" t="s">
        <v>22933</v>
      </c>
      <c r="D12806" s="787">
        <v>2.36</v>
      </c>
      <c r="E12806" s="787">
        <v>2.36</v>
      </c>
      <c r="F12806" s="788">
        <v>37641</v>
      </c>
      <c r="G12806" s="788">
        <v>37641</v>
      </c>
      <c r="H12806" s="787">
        <v>6</v>
      </c>
      <c r="I12806" s="788">
        <v>39449</v>
      </c>
      <c r="J12806" s="788">
        <v>37641</v>
      </c>
      <c r="L12806" s="787">
        <v>2.57</v>
      </c>
      <c r="M12806" s="787">
        <v>20</v>
      </c>
      <c r="N12806" s="787">
        <v>2.54</v>
      </c>
      <c r="O12806" s="788">
        <v>41806</v>
      </c>
    </row>
    <row r="12807" spans="1:15" x14ac:dyDescent="0.25">
      <c r="A12807" s="786" t="s">
        <v>22934</v>
      </c>
      <c r="B12807" s="787">
        <v>4</v>
      </c>
      <c r="C12807" s="787" t="s">
        <v>22935</v>
      </c>
      <c r="D12807" s="787">
        <v>2.59</v>
      </c>
      <c r="E12807" s="787">
        <v>2.59</v>
      </c>
      <c r="F12807" s="788">
        <v>39101</v>
      </c>
      <c r="G12807" s="788">
        <v>39101</v>
      </c>
      <c r="H12807" s="787">
        <v>6</v>
      </c>
      <c r="I12807" s="788">
        <v>41120</v>
      </c>
      <c r="J12807" s="788">
        <v>39101</v>
      </c>
      <c r="L12807" s="787">
        <v>2.82</v>
      </c>
      <c r="M12807" s="787">
        <v>20</v>
      </c>
      <c r="N12807" s="787">
        <v>2.78</v>
      </c>
      <c r="O12807" s="788">
        <v>41806</v>
      </c>
    </row>
    <row r="12808" spans="1:15" x14ac:dyDescent="0.25">
      <c r="A12808" s="786" t="s">
        <v>22936</v>
      </c>
      <c r="B12808" s="787">
        <v>4</v>
      </c>
      <c r="C12808" s="787" t="s">
        <v>22937</v>
      </c>
      <c r="D12808" s="787">
        <v>1.27</v>
      </c>
      <c r="E12808" s="787">
        <v>41.27</v>
      </c>
      <c r="F12808" s="788">
        <v>37641</v>
      </c>
      <c r="G12808" s="788">
        <v>37641</v>
      </c>
      <c r="H12808" s="787">
        <v>6</v>
      </c>
      <c r="I12808" s="788">
        <v>37383</v>
      </c>
      <c r="J12808" s="788">
        <v>37641</v>
      </c>
      <c r="L12808" s="787">
        <v>44.98</v>
      </c>
      <c r="M12808" s="787">
        <v>20</v>
      </c>
      <c r="N12808" s="787">
        <v>44.37</v>
      </c>
      <c r="O12808" s="788">
        <v>41543</v>
      </c>
    </row>
    <row r="12809" spans="1:15" x14ac:dyDescent="0.25">
      <c r="A12809" s="786" t="s">
        <v>22938</v>
      </c>
      <c r="B12809" s="787">
        <v>4</v>
      </c>
      <c r="C12809" s="787" t="s">
        <v>22939</v>
      </c>
      <c r="D12809" s="787">
        <v>3.01</v>
      </c>
      <c r="E12809" s="787">
        <v>23.01</v>
      </c>
      <c r="F12809" s="788">
        <v>37641</v>
      </c>
      <c r="G12809" s="788">
        <v>37641</v>
      </c>
      <c r="H12809" s="787">
        <v>6</v>
      </c>
      <c r="J12809" s="788">
        <v>37641</v>
      </c>
      <c r="L12809" s="787">
        <v>25.08</v>
      </c>
      <c r="M12809" s="787">
        <v>20</v>
      </c>
      <c r="N12809" s="787">
        <v>24.74</v>
      </c>
      <c r="O12809" s="788">
        <v>41806</v>
      </c>
    </row>
    <row r="12810" spans="1:15" x14ac:dyDescent="0.25">
      <c r="A12810" s="786" t="s">
        <v>22940</v>
      </c>
      <c r="B12810" s="787">
        <v>4</v>
      </c>
      <c r="C12810" s="787" t="s">
        <v>22933</v>
      </c>
      <c r="D12810" s="787">
        <v>3.37</v>
      </c>
      <c r="E12810" s="787">
        <v>3.37</v>
      </c>
      <c r="F12810" s="788">
        <v>37641</v>
      </c>
      <c r="G12810" s="788">
        <v>37641</v>
      </c>
      <c r="H12810" s="787">
        <v>6</v>
      </c>
      <c r="J12810" s="788">
        <v>37641</v>
      </c>
      <c r="L12810" s="787">
        <v>3.67</v>
      </c>
      <c r="M12810" s="787">
        <v>20</v>
      </c>
      <c r="N12810" s="787">
        <v>3.62</v>
      </c>
      <c r="O12810" s="788">
        <v>41806</v>
      </c>
    </row>
    <row r="12811" spans="1:15" x14ac:dyDescent="0.25">
      <c r="A12811" s="786" t="s">
        <v>22941</v>
      </c>
      <c r="B12811" s="787">
        <v>4</v>
      </c>
      <c r="C12811" s="787" t="s">
        <v>22942</v>
      </c>
      <c r="D12811" s="787">
        <v>4.92</v>
      </c>
      <c r="E12811" s="787">
        <v>5.0199999999999996</v>
      </c>
      <c r="F12811" s="788">
        <v>39283</v>
      </c>
      <c r="G12811" s="788">
        <v>42013</v>
      </c>
      <c r="H12811" s="787">
        <v>1</v>
      </c>
      <c r="I12811" s="788">
        <v>41135</v>
      </c>
      <c r="J12811" s="788">
        <v>40316</v>
      </c>
      <c r="L12811" s="787">
        <v>6.35</v>
      </c>
      <c r="M12811" s="787">
        <v>20</v>
      </c>
      <c r="N12811" s="787">
        <v>6.83</v>
      </c>
      <c r="O12811" s="788">
        <v>41858</v>
      </c>
    </row>
    <row r="12812" spans="1:15" x14ac:dyDescent="0.25">
      <c r="A12812" s="786" t="s">
        <v>22943</v>
      </c>
      <c r="B12812" s="787">
        <v>4</v>
      </c>
      <c r="C12812" s="787" t="s">
        <v>22944</v>
      </c>
      <c r="D12812" s="787">
        <v>8.25</v>
      </c>
      <c r="E12812" s="787">
        <v>38.25</v>
      </c>
      <c r="F12812" s="788">
        <v>37641</v>
      </c>
      <c r="G12812" s="788">
        <v>37641</v>
      </c>
      <c r="H12812" s="787">
        <v>1</v>
      </c>
      <c r="J12812" s="788">
        <v>37641</v>
      </c>
      <c r="L12812" s="787">
        <v>41.69</v>
      </c>
      <c r="M12812" s="787">
        <v>20</v>
      </c>
      <c r="N12812" s="787">
        <v>44.82</v>
      </c>
      <c r="O12812" s="788">
        <v>41858</v>
      </c>
    </row>
    <row r="12813" spans="1:15" x14ac:dyDescent="0.25">
      <c r="A12813" s="786" t="s">
        <v>22945</v>
      </c>
      <c r="B12813" s="787">
        <v>4</v>
      </c>
      <c r="C12813" s="787" t="s">
        <v>22946</v>
      </c>
      <c r="D12813" s="787">
        <v>7.52</v>
      </c>
      <c r="E12813" s="787">
        <v>47.52</v>
      </c>
      <c r="F12813" s="788">
        <v>37641</v>
      </c>
      <c r="G12813" s="788">
        <v>37641</v>
      </c>
      <c r="H12813" s="787">
        <v>1</v>
      </c>
      <c r="J12813" s="788">
        <v>37641</v>
      </c>
      <c r="L12813" s="787">
        <v>51.8</v>
      </c>
      <c r="M12813" s="787">
        <v>20</v>
      </c>
      <c r="N12813" s="787">
        <v>55.69</v>
      </c>
      <c r="O12813" s="788">
        <v>41858</v>
      </c>
    </row>
    <row r="12814" spans="1:15" x14ac:dyDescent="0.25">
      <c r="A12814" s="786" t="s">
        <v>22947</v>
      </c>
      <c r="B12814" s="787">
        <v>4</v>
      </c>
      <c r="C12814" s="787" t="s">
        <v>22948</v>
      </c>
      <c r="D12814" s="787">
        <v>4.59</v>
      </c>
      <c r="E12814" s="787">
        <v>34.590000000000003</v>
      </c>
      <c r="F12814" s="788">
        <v>37641</v>
      </c>
      <c r="G12814" s="788">
        <v>37641</v>
      </c>
      <c r="H12814" s="787">
        <v>1</v>
      </c>
      <c r="I12814" s="788">
        <v>38344</v>
      </c>
      <c r="J12814" s="788">
        <v>37641</v>
      </c>
      <c r="L12814" s="787">
        <v>37.700000000000003</v>
      </c>
      <c r="M12814" s="787">
        <v>20</v>
      </c>
      <c r="N12814" s="787">
        <v>40.53</v>
      </c>
      <c r="O12814" s="788">
        <v>41858</v>
      </c>
    </row>
    <row r="12815" spans="1:15" x14ac:dyDescent="0.25">
      <c r="A12815" s="786" t="s">
        <v>22949</v>
      </c>
      <c r="B12815" s="787">
        <v>4</v>
      </c>
      <c r="C12815" s="787" t="s">
        <v>22950</v>
      </c>
      <c r="D12815" s="787">
        <v>3.71</v>
      </c>
      <c r="E12815" s="787">
        <v>23.9</v>
      </c>
      <c r="F12815" s="788">
        <v>39101</v>
      </c>
      <c r="G12815" s="788">
        <v>40402</v>
      </c>
      <c r="H12815" s="787">
        <v>1</v>
      </c>
      <c r="I12815" s="788">
        <v>41162</v>
      </c>
      <c r="J12815" s="788">
        <v>40949</v>
      </c>
      <c r="L12815" s="787">
        <v>25.9</v>
      </c>
      <c r="M12815" s="787">
        <v>20</v>
      </c>
      <c r="N12815" s="787">
        <v>27.84</v>
      </c>
      <c r="O12815" s="788">
        <v>41858</v>
      </c>
    </row>
    <row r="12816" spans="1:15" x14ac:dyDescent="0.25">
      <c r="A12816" s="786" t="s">
        <v>22951</v>
      </c>
      <c r="B12816" s="787">
        <v>4</v>
      </c>
      <c r="C12816" s="787" t="s">
        <v>22933</v>
      </c>
      <c r="D12816" s="787">
        <v>0</v>
      </c>
      <c r="E12816" s="787">
        <v>0</v>
      </c>
      <c r="H12816" s="787">
        <v>6</v>
      </c>
      <c r="J12816" s="788">
        <v>37641</v>
      </c>
      <c r="L12816" s="787">
        <v>0</v>
      </c>
      <c r="M12816" s="787">
        <v>20</v>
      </c>
      <c r="N12816" s="787">
        <v>0</v>
      </c>
      <c r="O12816" s="788">
        <v>40824</v>
      </c>
    </row>
    <row r="12817" spans="1:15" x14ac:dyDescent="0.25">
      <c r="A12817" s="786" t="s">
        <v>22952</v>
      </c>
      <c r="B12817" s="787">
        <v>4</v>
      </c>
      <c r="C12817" s="787" t="s">
        <v>22933</v>
      </c>
      <c r="D12817" s="787">
        <v>0</v>
      </c>
      <c r="E12817" s="787">
        <v>0</v>
      </c>
      <c r="H12817" s="787">
        <v>6</v>
      </c>
      <c r="I12817" s="788">
        <v>39811</v>
      </c>
      <c r="J12817" s="788">
        <v>37641</v>
      </c>
      <c r="L12817" s="787">
        <v>0</v>
      </c>
      <c r="M12817" s="787">
        <v>20</v>
      </c>
      <c r="N12817" s="787">
        <v>0</v>
      </c>
      <c r="O12817" s="788">
        <v>40824</v>
      </c>
    </row>
    <row r="12818" spans="1:15" x14ac:dyDescent="0.25">
      <c r="A12818" s="786" t="s">
        <v>22953</v>
      </c>
      <c r="B12818" s="787">
        <v>4</v>
      </c>
      <c r="C12818" s="787" t="s">
        <v>22933</v>
      </c>
      <c r="D12818" s="787">
        <v>0</v>
      </c>
      <c r="E12818" s="787">
        <v>0</v>
      </c>
      <c r="H12818" s="787">
        <v>6</v>
      </c>
      <c r="J12818" s="788">
        <v>37641</v>
      </c>
      <c r="L12818" s="787">
        <v>0</v>
      </c>
      <c r="M12818" s="787">
        <v>20</v>
      </c>
      <c r="N12818" s="787">
        <v>0</v>
      </c>
      <c r="O12818" s="788">
        <v>40824</v>
      </c>
    </row>
    <row r="12819" spans="1:15" x14ac:dyDescent="0.25">
      <c r="A12819" s="786" t="s">
        <v>22954</v>
      </c>
      <c r="B12819" s="787">
        <v>4</v>
      </c>
      <c r="C12819" s="787" t="s">
        <v>22955</v>
      </c>
      <c r="D12819" s="787">
        <v>1.04</v>
      </c>
      <c r="E12819" s="787">
        <v>11.22</v>
      </c>
      <c r="F12819" s="788">
        <v>39190</v>
      </c>
      <c r="G12819" s="788">
        <v>42013</v>
      </c>
      <c r="H12819" s="787">
        <v>1</v>
      </c>
      <c r="I12819" s="788">
        <v>42142</v>
      </c>
      <c r="J12819" s="788">
        <v>40413</v>
      </c>
      <c r="L12819" s="787">
        <v>15.29</v>
      </c>
      <c r="M12819" s="787">
        <v>20</v>
      </c>
      <c r="N12819" s="787">
        <v>16.440000000000001</v>
      </c>
      <c r="O12819" s="788">
        <v>41858</v>
      </c>
    </row>
    <row r="12820" spans="1:15" x14ac:dyDescent="0.25">
      <c r="A12820" s="786" t="s">
        <v>22956</v>
      </c>
      <c r="B12820" s="787">
        <v>4</v>
      </c>
      <c r="C12820" s="787" t="s">
        <v>22957</v>
      </c>
      <c r="D12820" s="787">
        <v>3.06</v>
      </c>
      <c r="E12820" s="787">
        <v>14.43</v>
      </c>
      <c r="F12820" s="788">
        <v>39101</v>
      </c>
      <c r="G12820" s="788">
        <v>41943</v>
      </c>
      <c r="H12820" s="787">
        <v>1</v>
      </c>
      <c r="I12820" s="788">
        <v>41943</v>
      </c>
      <c r="J12820" s="788">
        <v>41943</v>
      </c>
      <c r="K12820" s="788">
        <v>41906</v>
      </c>
      <c r="L12820" s="787">
        <v>17.899999999999999</v>
      </c>
      <c r="M12820" s="787">
        <v>20</v>
      </c>
      <c r="N12820" s="787">
        <v>15.51</v>
      </c>
      <c r="O12820" s="788">
        <v>41858</v>
      </c>
    </row>
    <row r="12821" spans="1:15" x14ac:dyDescent="0.25">
      <c r="A12821" s="786" t="s">
        <v>22958</v>
      </c>
      <c r="B12821" s="787">
        <v>4</v>
      </c>
      <c r="C12821" s="787" t="s">
        <v>22959</v>
      </c>
      <c r="D12821" s="787">
        <v>3.17</v>
      </c>
      <c r="E12821" s="787">
        <v>3.43</v>
      </c>
      <c r="F12821" s="788">
        <v>39161</v>
      </c>
      <c r="G12821" s="788">
        <v>42013</v>
      </c>
      <c r="H12821" s="787">
        <v>1</v>
      </c>
      <c r="I12821" s="788">
        <v>42142</v>
      </c>
      <c r="J12821" s="788">
        <v>41050</v>
      </c>
      <c r="K12821" s="788">
        <v>41047</v>
      </c>
      <c r="L12821" s="787">
        <v>3.43</v>
      </c>
      <c r="M12821" s="787">
        <v>20</v>
      </c>
      <c r="N12821" s="787">
        <v>3.69</v>
      </c>
      <c r="O12821" s="788">
        <v>42146</v>
      </c>
    </row>
    <row r="12822" spans="1:15" x14ac:dyDescent="0.25">
      <c r="A12822" s="786" t="s">
        <v>22960</v>
      </c>
      <c r="B12822" s="787">
        <v>4</v>
      </c>
      <c r="C12822" s="787" t="s">
        <v>22961</v>
      </c>
      <c r="D12822" s="787">
        <v>3.34</v>
      </c>
      <c r="E12822" s="787">
        <v>16.239999999999998</v>
      </c>
      <c r="F12822" s="788">
        <v>39168</v>
      </c>
      <c r="G12822" s="788">
        <v>41646</v>
      </c>
      <c r="H12822" s="787">
        <v>1</v>
      </c>
      <c r="I12822" s="788">
        <v>42051</v>
      </c>
      <c r="J12822" s="788">
        <v>42003</v>
      </c>
      <c r="K12822" s="788">
        <v>41579</v>
      </c>
      <c r="L12822" s="787">
        <v>16.239999999999998</v>
      </c>
      <c r="M12822" s="787">
        <v>20</v>
      </c>
      <c r="N12822" s="787">
        <v>17.46</v>
      </c>
      <c r="O12822" s="788">
        <v>42146</v>
      </c>
    </row>
    <row r="12823" spans="1:15" x14ac:dyDescent="0.25">
      <c r="A12823" s="786" t="s">
        <v>22962</v>
      </c>
      <c r="B12823" s="787">
        <v>4</v>
      </c>
      <c r="C12823" s="787" t="s">
        <v>22963</v>
      </c>
      <c r="D12823" s="787">
        <v>3.6</v>
      </c>
      <c r="E12823" s="787">
        <v>13.6</v>
      </c>
      <c r="F12823" s="788">
        <v>40767</v>
      </c>
      <c r="G12823" s="788">
        <v>42013</v>
      </c>
      <c r="H12823" s="787">
        <v>1</v>
      </c>
      <c r="J12823" s="788">
        <v>40770</v>
      </c>
      <c r="K12823" s="788">
        <v>41037</v>
      </c>
      <c r="L12823" s="787">
        <v>13.85</v>
      </c>
      <c r="M12823" s="787">
        <v>20</v>
      </c>
      <c r="N12823" s="787">
        <v>14.89</v>
      </c>
      <c r="O12823" s="788">
        <v>41858</v>
      </c>
    </row>
    <row r="12824" spans="1:15" x14ac:dyDescent="0.25">
      <c r="A12824" s="786" t="s">
        <v>22964</v>
      </c>
      <c r="B12824" s="787">
        <v>4</v>
      </c>
      <c r="C12824" s="787" t="s">
        <v>22965</v>
      </c>
      <c r="D12824" s="787">
        <v>4.9000000000000004</v>
      </c>
      <c r="E12824" s="787">
        <v>5.76</v>
      </c>
      <c r="F12824" s="788">
        <v>39101</v>
      </c>
      <c r="G12824" s="788">
        <v>41286</v>
      </c>
      <c r="H12824" s="787">
        <v>1</v>
      </c>
      <c r="I12824" s="788">
        <v>41894</v>
      </c>
      <c r="J12824" s="788">
        <v>41286</v>
      </c>
      <c r="L12824" s="787">
        <v>5.34</v>
      </c>
      <c r="M12824" s="787">
        <v>20</v>
      </c>
      <c r="N12824" s="787">
        <v>5.74</v>
      </c>
      <c r="O12824" s="788">
        <v>41858</v>
      </c>
    </row>
    <row r="12825" spans="1:15" x14ac:dyDescent="0.25">
      <c r="A12825" s="786" t="s">
        <v>22966</v>
      </c>
      <c r="B12825" s="787">
        <v>4</v>
      </c>
      <c r="C12825" s="787" t="s">
        <v>22967</v>
      </c>
      <c r="D12825" s="787">
        <v>4.92</v>
      </c>
      <c r="E12825" s="787">
        <v>5.76</v>
      </c>
      <c r="F12825" s="788">
        <v>39283</v>
      </c>
      <c r="G12825" s="788">
        <v>41646</v>
      </c>
      <c r="H12825" s="787">
        <v>1</v>
      </c>
      <c r="I12825" s="788">
        <v>41894</v>
      </c>
      <c r="J12825" s="788">
        <v>41286</v>
      </c>
      <c r="K12825" s="788">
        <v>41289</v>
      </c>
      <c r="L12825" s="787">
        <v>5.76</v>
      </c>
      <c r="M12825" s="787">
        <v>20</v>
      </c>
      <c r="N12825" s="787">
        <v>6.19</v>
      </c>
      <c r="O12825" s="788">
        <v>41858</v>
      </c>
    </row>
    <row r="12826" spans="1:15" x14ac:dyDescent="0.25">
      <c r="A12826" s="786" t="s">
        <v>22968</v>
      </c>
      <c r="B12826" s="787">
        <v>4</v>
      </c>
      <c r="C12826" s="787" t="s">
        <v>22969</v>
      </c>
      <c r="D12826" s="787">
        <v>5.01</v>
      </c>
      <c r="E12826" s="787">
        <v>5.9</v>
      </c>
      <c r="F12826" s="788">
        <v>39161</v>
      </c>
      <c r="G12826" s="788">
        <v>42013</v>
      </c>
      <c r="H12826" s="787">
        <v>1</v>
      </c>
      <c r="I12826" s="788">
        <v>41810</v>
      </c>
      <c r="J12826" s="788">
        <v>41505</v>
      </c>
      <c r="K12826" s="788">
        <v>41226</v>
      </c>
      <c r="L12826" s="787">
        <v>5.9</v>
      </c>
      <c r="M12826" s="787">
        <v>20</v>
      </c>
      <c r="N12826" s="787">
        <v>6.34</v>
      </c>
      <c r="O12826" s="788">
        <v>41858</v>
      </c>
    </row>
    <row r="12827" spans="1:15" x14ac:dyDescent="0.25">
      <c r="A12827" s="786" t="s">
        <v>22970</v>
      </c>
      <c r="B12827" s="787">
        <v>4</v>
      </c>
      <c r="C12827" s="787" t="s">
        <v>22971</v>
      </c>
      <c r="D12827" s="787">
        <v>5.34</v>
      </c>
      <c r="E12827" s="787">
        <v>5.9</v>
      </c>
      <c r="F12827" s="788">
        <v>39843</v>
      </c>
      <c r="G12827" s="788">
        <v>42013</v>
      </c>
      <c r="H12827" s="787">
        <v>1</v>
      </c>
      <c r="I12827" s="788">
        <v>41416</v>
      </c>
      <c r="J12827" s="788">
        <v>41421</v>
      </c>
      <c r="K12827" s="788">
        <v>40973</v>
      </c>
      <c r="L12827" s="787">
        <v>5.54</v>
      </c>
      <c r="M12827" s="787">
        <v>20</v>
      </c>
      <c r="N12827" s="787">
        <v>5.96</v>
      </c>
      <c r="O12827" s="788">
        <v>41858</v>
      </c>
    </row>
    <row r="12828" spans="1:15" x14ac:dyDescent="0.25">
      <c r="A12828" s="786" t="s">
        <v>22972</v>
      </c>
      <c r="B12828" s="787">
        <v>4</v>
      </c>
      <c r="C12828" s="787" t="s">
        <v>22973</v>
      </c>
      <c r="D12828" s="787">
        <v>3.78</v>
      </c>
      <c r="E12828" s="787">
        <v>3.78</v>
      </c>
      <c r="F12828" s="788">
        <v>40410</v>
      </c>
      <c r="G12828" s="788">
        <v>41282</v>
      </c>
      <c r="H12828" s="787">
        <v>1</v>
      </c>
      <c r="I12828" s="788">
        <v>41135</v>
      </c>
      <c r="J12828" s="788">
        <v>41122</v>
      </c>
      <c r="K12828" s="788">
        <v>41120</v>
      </c>
      <c r="L12828" s="787">
        <v>4</v>
      </c>
      <c r="M12828" s="787">
        <v>20</v>
      </c>
      <c r="N12828" s="787">
        <v>4.3</v>
      </c>
      <c r="O12828" s="788">
        <v>41858</v>
      </c>
    </row>
    <row r="12829" spans="1:15" x14ac:dyDescent="0.25">
      <c r="A12829" s="786" t="s">
        <v>22974</v>
      </c>
      <c r="B12829" s="787">
        <v>4</v>
      </c>
      <c r="C12829" s="787" t="s">
        <v>22975</v>
      </c>
      <c r="D12829" s="787">
        <v>2.42</v>
      </c>
      <c r="E12829" s="787">
        <v>2.5499999999999998</v>
      </c>
      <c r="F12829" s="788">
        <v>41401</v>
      </c>
      <c r="G12829" s="788">
        <v>42009</v>
      </c>
      <c r="H12829" s="787">
        <v>1</v>
      </c>
      <c r="I12829" s="788">
        <v>42110</v>
      </c>
      <c r="J12829" s="788">
        <v>42111</v>
      </c>
      <c r="K12829" s="788">
        <v>41983</v>
      </c>
      <c r="L12829" s="787">
        <v>2.5499999999999998</v>
      </c>
      <c r="M12829" s="787">
        <v>20</v>
      </c>
      <c r="N12829" s="787">
        <v>2.74</v>
      </c>
      <c r="O12829" s="788">
        <v>42146</v>
      </c>
    </row>
    <row r="12830" spans="1:15" x14ac:dyDescent="0.25">
      <c r="A12830" s="786" t="s">
        <v>22976</v>
      </c>
      <c r="B12830" s="787">
        <v>4</v>
      </c>
      <c r="C12830" s="787" t="s">
        <v>22977</v>
      </c>
      <c r="D12830" s="787">
        <v>1.32</v>
      </c>
      <c r="E12830" s="787">
        <v>13.73</v>
      </c>
      <c r="F12830" s="788">
        <v>39160</v>
      </c>
      <c r="G12830" s="788">
        <v>42013</v>
      </c>
      <c r="H12830" s="787">
        <v>1</v>
      </c>
      <c r="I12830" s="788">
        <v>41927</v>
      </c>
      <c r="J12830" s="788">
        <v>41758</v>
      </c>
      <c r="K12830" s="788">
        <v>41264</v>
      </c>
      <c r="L12830" s="787">
        <v>13.24</v>
      </c>
      <c r="M12830" s="787">
        <v>20</v>
      </c>
      <c r="N12830" s="787">
        <v>14.23</v>
      </c>
      <c r="O12830" s="788">
        <v>41858</v>
      </c>
    </row>
    <row r="12831" spans="1:15" x14ac:dyDescent="0.25">
      <c r="A12831" s="786" t="s">
        <v>22978</v>
      </c>
      <c r="B12831" s="787">
        <v>4</v>
      </c>
      <c r="C12831" s="787" t="s">
        <v>22979</v>
      </c>
      <c r="D12831" s="787">
        <v>2.97</v>
      </c>
      <c r="E12831" s="787">
        <v>15.66</v>
      </c>
      <c r="F12831" s="788">
        <v>39101</v>
      </c>
      <c r="G12831" s="788">
        <v>41943</v>
      </c>
      <c r="H12831" s="787">
        <v>1</v>
      </c>
      <c r="I12831" s="788">
        <v>41894</v>
      </c>
      <c r="J12831" s="788">
        <v>41649</v>
      </c>
      <c r="L12831" s="787">
        <v>15.66</v>
      </c>
      <c r="M12831" s="787">
        <v>20</v>
      </c>
      <c r="N12831" s="787">
        <v>16.829999999999998</v>
      </c>
      <c r="O12831" s="788">
        <v>42164</v>
      </c>
    </row>
    <row r="12832" spans="1:15" x14ac:dyDescent="0.25">
      <c r="A12832" s="786" t="s">
        <v>22980</v>
      </c>
      <c r="B12832" s="787">
        <v>4</v>
      </c>
      <c r="C12832" s="787" t="s">
        <v>22981</v>
      </c>
      <c r="D12832" s="787">
        <v>4.88</v>
      </c>
      <c r="E12832" s="787">
        <v>5.9</v>
      </c>
      <c r="F12832" s="788">
        <v>39101</v>
      </c>
      <c r="G12832" s="788">
        <v>42013</v>
      </c>
      <c r="H12832" s="787">
        <v>1</v>
      </c>
      <c r="I12832" s="788">
        <v>41927</v>
      </c>
      <c r="J12832" s="788">
        <v>41438</v>
      </c>
      <c r="K12832" s="788">
        <v>41396</v>
      </c>
      <c r="L12832" s="787">
        <v>5.9</v>
      </c>
      <c r="M12832" s="787">
        <v>20</v>
      </c>
      <c r="N12832" s="787">
        <v>6.34</v>
      </c>
      <c r="O12832" s="788">
        <v>42164</v>
      </c>
    </row>
    <row r="12833" spans="1:15" x14ac:dyDescent="0.25">
      <c r="A12833" s="786" t="s">
        <v>22982</v>
      </c>
      <c r="B12833" s="787">
        <v>4</v>
      </c>
      <c r="C12833" s="787" t="s">
        <v>22983</v>
      </c>
      <c r="D12833" s="787">
        <v>3.17</v>
      </c>
      <c r="E12833" s="787">
        <v>3.52</v>
      </c>
      <c r="F12833" s="788">
        <v>39101</v>
      </c>
      <c r="G12833" s="788">
        <v>42013</v>
      </c>
      <c r="H12833" s="787">
        <v>1</v>
      </c>
      <c r="I12833" s="788">
        <v>42142</v>
      </c>
      <c r="J12833" s="788">
        <v>41845</v>
      </c>
      <c r="K12833" s="788">
        <v>40947</v>
      </c>
      <c r="L12833" s="787">
        <v>3.43</v>
      </c>
      <c r="M12833" s="787">
        <v>20</v>
      </c>
      <c r="N12833" s="787">
        <v>3.69</v>
      </c>
      <c r="O12833" s="788">
        <v>42164</v>
      </c>
    </row>
    <row r="12834" spans="1:15" x14ac:dyDescent="0.25">
      <c r="A12834" s="786" t="s">
        <v>22984</v>
      </c>
      <c r="B12834" s="787">
        <v>4</v>
      </c>
      <c r="C12834" s="787" t="s">
        <v>22985</v>
      </c>
      <c r="D12834" s="787">
        <v>1.96</v>
      </c>
      <c r="E12834" s="787">
        <v>12.19</v>
      </c>
      <c r="F12834" s="788">
        <v>39072</v>
      </c>
      <c r="G12834" s="788">
        <v>40332</v>
      </c>
      <c r="H12834" s="787">
        <v>1</v>
      </c>
      <c r="I12834" s="788">
        <v>39640</v>
      </c>
      <c r="J12834" s="788">
        <v>40315</v>
      </c>
      <c r="L12834" s="787">
        <v>15.88</v>
      </c>
      <c r="M12834" s="787">
        <v>20</v>
      </c>
      <c r="N12834" s="787">
        <v>17.07</v>
      </c>
      <c r="O12834" s="788">
        <v>41858</v>
      </c>
    </row>
    <row r="12835" spans="1:15" x14ac:dyDescent="0.25">
      <c r="A12835" s="786" t="s">
        <v>22986</v>
      </c>
      <c r="B12835" s="787">
        <v>4</v>
      </c>
      <c r="C12835" s="787" t="s">
        <v>22987</v>
      </c>
      <c r="D12835" s="787">
        <v>3.25</v>
      </c>
      <c r="E12835" s="787">
        <v>15.63</v>
      </c>
      <c r="F12835" s="788">
        <v>38491</v>
      </c>
      <c r="G12835" s="788">
        <v>41257</v>
      </c>
      <c r="H12835" s="787">
        <v>1</v>
      </c>
      <c r="I12835" s="788">
        <v>41264</v>
      </c>
      <c r="J12835" s="788">
        <v>41255</v>
      </c>
      <c r="L12835" s="787">
        <v>19.29</v>
      </c>
      <c r="M12835" s="787">
        <v>20</v>
      </c>
      <c r="N12835" s="787">
        <v>20.74</v>
      </c>
      <c r="O12835" s="788">
        <v>41858</v>
      </c>
    </row>
    <row r="12836" spans="1:15" x14ac:dyDescent="0.25">
      <c r="A12836" s="786" t="s">
        <v>22988</v>
      </c>
      <c r="B12836" s="787">
        <v>4</v>
      </c>
      <c r="C12836" s="787" t="s">
        <v>22989</v>
      </c>
      <c r="D12836" s="787">
        <v>0.49</v>
      </c>
      <c r="E12836" s="787">
        <v>11.13</v>
      </c>
      <c r="F12836" s="788">
        <v>38491</v>
      </c>
      <c r="G12836" s="788">
        <v>39814</v>
      </c>
      <c r="H12836" s="787">
        <v>1</v>
      </c>
      <c r="I12836" s="788">
        <v>40050</v>
      </c>
      <c r="J12836" s="788">
        <v>39127</v>
      </c>
      <c r="L12836" s="787">
        <v>14.66</v>
      </c>
      <c r="M12836" s="787">
        <v>20</v>
      </c>
      <c r="N12836" s="787">
        <v>15.76</v>
      </c>
      <c r="O12836" s="788">
        <v>41858</v>
      </c>
    </row>
    <row r="12837" spans="1:15" x14ac:dyDescent="0.25">
      <c r="A12837" s="786" t="s">
        <v>22990</v>
      </c>
      <c r="B12837" s="787">
        <v>4</v>
      </c>
      <c r="C12837" s="787" t="s">
        <v>22991</v>
      </c>
      <c r="D12837" s="787">
        <v>0</v>
      </c>
      <c r="E12837" s="787">
        <v>0</v>
      </c>
      <c r="H12837" s="787">
        <v>1</v>
      </c>
      <c r="K12837" s="788">
        <v>41558</v>
      </c>
      <c r="L12837" s="787">
        <v>18.62</v>
      </c>
      <c r="M12837" s="787">
        <v>20</v>
      </c>
      <c r="N12837" s="787">
        <v>20.02</v>
      </c>
      <c r="O12837" s="788">
        <v>42081</v>
      </c>
    </row>
    <row r="12838" spans="1:15" x14ac:dyDescent="0.25">
      <c r="A12838" s="786" t="s">
        <v>22992</v>
      </c>
      <c r="B12838" s="787">
        <v>4</v>
      </c>
      <c r="C12838" s="787" t="s">
        <v>22993</v>
      </c>
      <c r="D12838" s="787">
        <v>9.75</v>
      </c>
      <c r="E12838" s="787">
        <v>41.25</v>
      </c>
      <c r="F12838" s="788">
        <v>38047</v>
      </c>
      <c r="G12838" s="788">
        <v>38364</v>
      </c>
      <c r="H12838" s="787">
        <v>1</v>
      </c>
      <c r="I12838" s="788">
        <v>38474</v>
      </c>
      <c r="J12838" s="788">
        <v>38195</v>
      </c>
      <c r="L12838" s="787">
        <v>44.96</v>
      </c>
      <c r="M12838" s="787">
        <v>20</v>
      </c>
      <c r="N12838" s="787">
        <v>48.33</v>
      </c>
      <c r="O12838" s="788">
        <v>41858</v>
      </c>
    </row>
    <row r="12839" spans="1:15" x14ac:dyDescent="0.25">
      <c r="A12839" s="786" t="s">
        <v>22994</v>
      </c>
      <c r="B12839" s="787">
        <v>4</v>
      </c>
      <c r="C12839" s="787" t="s">
        <v>22995</v>
      </c>
      <c r="D12839" s="787">
        <v>9.75</v>
      </c>
      <c r="E12839" s="787">
        <v>29.48</v>
      </c>
      <c r="F12839" s="788">
        <v>39101</v>
      </c>
      <c r="G12839" s="788">
        <v>40183</v>
      </c>
      <c r="H12839" s="787">
        <v>1</v>
      </c>
      <c r="I12839" s="788">
        <v>40243</v>
      </c>
      <c r="J12839" s="788">
        <v>40155</v>
      </c>
      <c r="L12839" s="787">
        <v>34.31</v>
      </c>
      <c r="M12839" s="787">
        <v>20</v>
      </c>
      <c r="N12839" s="787">
        <v>36.880000000000003</v>
      </c>
      <c r="O12839" s="788">
        <v>41858</v>
      </c>
    </row>
    <row r="12840" spans="1:15" x14ac:dyDescent="0.25">
      <c r="A12840" s="786" t="s">
        <v>22996</v>
      </c>
      <c r="B12840" s="787">
        <v>4</v>
      </c>
      <c r="C12840" s="787" t="s">
        <v>22997</v>
      </c>
      <c r="D12840" s="787">
        <v>8.33</v>
      </c>
      <c r="E12840" s="787">
        <v>34.06</v>
      </c>
      <c r="F12840" s="788">
        <v>39101</v>
      </c>
      <c r="G12840" s="788">
        <v>42013</v>
      </c>
      <c r="H12840" s="787">
        <v>1</v>
      </c>
      <c r="I12840" s="788">
        <v>41954</v>
      </c>
      <c r="J12840" s="788">
        <v>41446</v>
      </c>
      <c r="L12840" s="787">
        <v>34.28</v>
      </c>
      <c r="M12840" s="787">
        <v>20</v>
      </c>
      <c r="N12840" s="787">
        <v>36.85</v>
      </c>
      <c r="O12840" s="788">
        <v>42164</v>
      </c>
    </row>
    <row r="12841" spans="1:15" x14ac:dyDescent="0.25">
      <c r="A12841" s="786" t="s">
        <v>22998</v>
      </c>
      <c r="B12841" s="787">
        <v>4</v>
      </c>
      <c r="C12841" s="787" t="s">
        <v>22999</v>
      </c>
      <c r="D12841" s="787">
        <v>0</v>
      </c>
      <c r="E12841" s="787">
        <v>0</v>
      </c>
      <c r="H12841" s="787">
        <v>1</v>
      </c>
      <c r="L12841" s="787">
        <v>34.5</v>
      </c>
      <c r="M12841" s="787">
        <v>20</v>
      </c>
      <c r="N12841" s="787">
        <v>37.090000000000003</v>
      </c>
      <c r="O12841" s="788">
        <v>41858</v>
      </c>
    </row>
    <row r="12842" spans="1:15" x14ac:dyDescent="0.25">
      <c r="A12842" s="786" t="s">
        <v>23000</v>
      </c>
      <c r="B12842" s="787">
        <v>4</v>
      </c>
      <c r="C12842" s="787" t="s">
        <v>23001</v>
      </c>
      <c r="D12842" s="787">
        <v>0.79</v>
      </c>
      <c r="E12842" s="787">
        <v>20.79</v>
      </c>
      <c r="F12842" s="788">
        <v>37641</v>
      </c>
      <c r="G12842" s="788">
        <v>37641</v>
      </c>
      <c r="H12842" s="787">
        <v>1</v>
      </c>
      <c r="I12842" s="788">
        <v>37469</v>
      </c>
      <c r="J12842" s="788">
        <v>37641</v>
      </c>
      <c r="L12842" s="787">
        <v>22.66</v>
      </c>
      <c r="M12842" s="787">
        <v>20</v>
      </c>
      <c r="N12842" s="787">
        <v>24.36</v>
      </c>
      <c r="O12842" s="788">
        <v>41858</v>
      </c>
    </row>
    <row r="12843" spans="1:15" x14ac:dyDescent="0.25">
      <c r="A12843" s="786" t="s">
        <v>23002</v>
      </c>
      <c r="B12843" s="787">
        <v>4</v>
      </c>
      <c r="C12843" s="787" t="s">
        <v>23003</v>
      </c>
      <c r="D12843" s="787">
        <v>0.42</v>
      </c>
      <c r="E12843" s="787">
        <v>20.420000000000002</v>
      </c>
      <c r="F12843" s="788">
        <v>37641</v>
      </c>
      <c r="G12843" s="788">
        <v>37641</v>
      </c>
      <c r="H12843" s="787">
        <v>1</v>
      </c>
      <c r="I12843" s="788">
        <v>37690</v>
      </c>
      <c r="J12843" s="788">
        <v>37641</v>
      </c>
      <c r="L12843" s="787">
        <v>22.26</v>
      </c>
      <c r="M12843" s="787">
        <v>20</v>
      </c>
      <c r="N12843" s="787">
        <v>23.93</v>
      </c>
      <c r="O12843" s="788">
        <v>41858</v>
      </c>
    </row>
    <row r="12844" spans="1:15" x14ac:dyDescent="0.25">
      <c r="A12844" s="786" t="s">
        <v>23004</v>
      </c>
      <c r="B12844" s="787">
        <v>4</v>
      </c>
      <c r="C12844" s="787" t="s">
        <v>23005</v>
      </c>
      <c r="D12844" s="787">
        <v>1.75</v>
      </c>
      <c r="E12844" s="787">
        <v>21.75</v>
      </c>
      <c r="F12844" s="788">
        <v>37641</v>
      </c>
      <c r="G12844" s="788">
        <v>37641</v>
      </c>
      <c r="H12844" s="787">
        <v>1</v>
      </c>
      <c r="I12844" s="788">
        <v>37687</v>
      </c>
      <c r="J12844" s="788">
        <v>37641</v>
      </c>
      <c r="L12844" s="787">
        <v>23.71</v>
      </c>
      <c r="M12844" s="787">
        <v>20</v>
      </c>
      <c r="N12844" s="787">
        <v>25.49</v>
      </c>
      <c r="O12844" s="788">
        <v>41858</v>
      </c>
    </row>
    <row r="12845" spans="1:15" x14ac:dyDescent="0.25">
      <c r="A12845" s="786" t="s">
        <v>23006</v>
      </c>
      <c r="B12845" s="787">
        <v>4</v>
      </c>
      <c r="C12845" s="787" t="s">
        <v>23007</v>
      </c>
      <c r="D12845" s="787">
        <v>6</v>
      </c>
      <c r="E12845" s="787">
        <v>6</v>
      </c>
      <c r="F12845" s="788">
        <v>39827</v>
      </c>
      <c r="G12845" s="788">
        <v>39827</v>
      </c>
      <c r="H12845" s="787">
        <v>1</v>
      </c>
      <c r="J12845" s="788">
        <v>39829</v>
      </c>
      <c r="L12845" s="787">
        <v>6</v>
      </c>
      <c r="M12845" s="787">
        <v>20</v>
      </c>
      <c r="N12845" s="787">
        <v>6.45</v>
      </c>
      <c r="O12845" s="788">
        <v>41858</v>
      </c>
    </row>
    <row r="12846" spans="1:15" x14ac:dyDescent="0.25">
      <c r="A12846" s="786" t="s">
        <v>23008</v>
      </c>
      <c r="B12846" s="787">
        <v>4</v>
      </c>
      <c r="C12846" s="787" t="s">
        <v>23009</v>
      </c>
      <c r="D12846" s="787">
        <v>3.75</v>
      </c>
      <c r="E12846" s="787">
        <v>23.75</v>
      </c>
      <c r="F12846" s="788">
        <v>37641</v>
      </c>
      <c r="G12846" s="788">
        <v>37641</v>
      </c>
      <c r="H12846" s="787">
        <v>1</v>
      </c>
      <c r="I12846" s="788">
        <v>37938</v>
      </c>
      <c r="J12846" s="788">
        <v>37641</v>
      </c>
      <c r="L12846" s="787">
        <v>25.89</v>
      </c>
      <c r="M12846" s="787">
        <v>20</v>
      </c>
      <c r="N12846" s="787">
        <v>27.83</v>
      </c>
      <c r="O12846" s="788">
        <v>41858</v>
      </c>
    </row>
    <row r="12847" spans="1:15" x14ac:dyDescent="0.25">
      <c r="A12847" s="786" t="s">
        <v>23010</v>
      </c>
      <c r="B12847" s="787">
        <v>4</v>
      </c>
      <c r="C12847" s="787" t="s">
        <v>23011</v>
      </c>
      <c r="D12847" s="787">
        <v>3.26</v>
      </c>
      <c r="E12847" s="787">
        <v>4.7300000000000004</v>
      </c>
      <c r="F12847" s="788">
        <v>38461</v>
      </c>
      <c r="G12847" s="788">
        <v>42013</v>
      </c>
      <c r="H12847" s="787">
        <v>1</v>
      </c>
      <c r="I12847" s="788">
        <v>42086</v>
      </c>
      <c r="J12847" s="788">
        <v>41956</v>
      </c>
      <c r="K12847" s="788">
        <v>41786</v>
      </c>
      <c r="L12847" s="787">
        <v>4.51</v>
      </c>
      <c r="M12847" s="787">
        <v>20</v>
      </c>
      <c r="N12847" s="787">
        <v>4.8499999999999996</v>
      </c>
      <c r="O12847" s="788">
        <v>42146</v>
      </c>
    </row>
    <row r="12848" spans="1:15" x14ac:dyDescent="0.25">
      <c r="A12848" s="786" t="s">
        <v>23012</v>
      </c>
      <c r="B12848" s="787">
        <v>4</v>
      </c>
      <c r="C12848" s="787" t="s">
        <v>23013</v>
      </c>
      <c r="D12848" s="787">
        <v>7.92</v>
      </c>
      <c r="E12848" s="787">
        <v>30.93</v>
      </c>
      <c r="F12848" s="788">
        <v>39112</v>
      </c>
      <c r="G12848" s="788">
        <v>40833</v>
      </c>
      <c r="H12848" s="787">
        <v>6</v>
      </c>
      <c r="I12848" s="788">
        <v>41313</v>
      </c>
      <c r="J12848" s="788">
        <v>41578</v>
      </c>
      <c r="L12848" s="787">
        <v>37.840000000000003</v>
      </c>
      <c r="M12848" s="787">
        <v>20</v>
      </c>
      <c r="N12848" s="787">
        <v>33.25</v>
      </c>
      <c r="O12848" s="788">
        <v>41806</v>
      </c>
    </row>
    <row r="12849" spans="1:15" x14ac:dyDescent="0.25">
      <c r="A12849" s="786" t="s">
        <v>23014</v>
      </c>
      <c r="B12849" s="787">
        <v>4</v>
      </c>
      <c r="C12849" s="787" t="s">
        <v>23015</v>
      </c>
      <c r="D12849" s="787">
        <v>9.0299999999999994</v>
      </c>
      <c r="E12849" s="787">
        <v>34.06</v>
      </c>
      <c r="F12849" s="788">
        <v>39283</v>
      </c>
      <c r="G12849" s="788">
        <v>41557</v>
      </c>
      <c r="H12849" s="787">
        <v>1</v>
      </c>
      <c r="I12849" s="788">
        <v>42122</v>
      </c>
      <c r="J12849" s="788">
        <v>42128</v>
      </c>
      <c r="K12849" s="788">
        <v>41527</v>
      </c>
      <c r="L12849" s="787">
        <v>34.06</v>
      </c>
      <c r="M12849" s="787">
        <v>20</v>
      </c>
      <c r="N12849" s="787">
        <v>36.61</v>
      </c>
      <c r="O12849" s="788">
        <v>42164</v>
      </c>
    </row>
    <row r="12850" spans="1:15" x14ac:dyDescent="0.25">
      <c r="A12850" s="786" t="s">
        <v>23016</v>
      </c>
      <c r="B12850" s="787">
        <v>4</v>
      </c>
      <c r="C12850" s="787" t="s">
        <v>23017</v>
      </c>
      <c r="D12850" s="787">
        <v>4.57</v>
      </c>
      <c r="E12850" s="787">
        <v>28.02</v>
      </c>
      <c r="F12850" s="788">
        <v>39101</v>
      </c>
      <c r="G12850" s="788">
        <v>39101</v>
      </c>
      <c r="H12850" s="787">
        <v>1</v>
      </c>
      <c r="I12850" s="788">
        <v>38883</v>
      </c>
      <c r="J12850" s="788">
        <v>39101</v>
      </c>
      <c r="L12850" s="787">
        <v>30.54</v>
      </c>
      <c r="M12850" s="787">
        <v>20</v>
      </c>
      <c r="N12850" s="787">
        <v>32.83</v>
      </c>
      <c r="O12850" s="788">
        <v>41858</v>
      </c>
    </row>
    <row r="12851" spans="1:15" x14ac:dyDescent="0.25">
      <c r="A12851" s="786" t="s">
        <v>23018</v>
      </c>
      <c r="B12851" s="787">
        <v>4</v>
      </c>
      <c r="C12851" s="787" t="s">
        <v>23019</v>
      </c>
      <c r="D12851" s="787">
        <v>1.07</v>
      </c>
      <c r="E12851" s="787">
        <v>21.38</v>
      </c>
      <c r="F12851" s="788">
        <v>39168</v>
      </c>
      <c r="G12851" s="788">
        <v>40553</v>
      </c>
      <c r="H12851" s="787">
        <v>6</v>
      </c>
      <c r="I12851" s="788">
        <v>41554</v>
      </c>
      <c r="J12851" s="788">
        <v>41577</v>
      </c>
      <c r="L12851" s="787">
        <v>31.35</v>
      </c>
      <c r="M12851" s="787">
        <v>20</v>
      </c>
      <c r="N12851" s="787">
        <v>22.98</v>
      </c>
      <c r="O12851" s="788">
        <v>41821</v>
      </c>
    </row>
    <row r="12852" spans="1:15" x14ac:dyDescent="0.25">
      <c r="A12852" s="786" t="s">
        <v>23020</v>
      </c>
      <c r="B12852" s="787">
        <v>4</v>
      </c>
      <c r="C12852" s="787" t="s">
        <v>23021</v>
      </c>
      <c r="D12852" s="787">
        <v>3.51</v>
      </c>
      <c r="E12852" s="787">
        <v>24.98</v>
      </c>
      <c r="F12852" s="788">
        <v>39259</v>
      </c>
      <c r="G12852" s="788">
        <v>40037</v>
      </c>
      <c r="H12852" s="787">
        <v>1</v>
      </c>
      <c r="I12852" s="788">
        <v>41481</v>
      </c>
      <c r="J12852" s="788">
        <v>41555</v>
      </c>
      <c r="L12852" s="787">
        <v>34.32</v>
      </c>
      <c r="M12852" s="787">
        <v>20</v>
      </c>
      <c r="N12852" s="787">
        <v>36.89</v>
      </c>
      <c r="O12852" s="788">
        <v>41858</v>
      </c>
    </row>
    <row r="12853" spans="1:15" x14ac:dyDescent="0.25">
      <c r="A12853" s="786" t="s">
        <v>23022</v>
      </c>
      <c r="B12853" s="787">
        <v>4</v>
      </c>
      <c r="C12853" s="787" t="s">
        <v>23023</v>
      </c>
      <c r="D12853" s="787">
        <v>7</v>
      </c>
      <c r="E12853" s="787">
        <v>25.27</v>
      </c>
      <c r="F12853" s="788">
        <v>37641</v>
      </c>
      <c r="G12853" s="788">
        <v>38364</v>
      </c>
      <c r="H12853" s="787">
        <v>1</v>
      </c>
      <c r="I12853" s="788">
        <v>38440</v>
      </c>
      <c r="J12853" s="788">
        <v>38348</v>
      </c>
      <c r="L12853" s="787">
        <v>27.54</v>
      </c>
      <c r="M12853" s="787">
        <v>20</v>
      </c>
      <c r="N12853" s="787">
        <v>29.61</v>
      </c>
      <c r="O12853" s="788">
        <v>41858</v>
      </c>
    </row>
    <row r="12854" spans="1:15" x14ac:dyDescent="0.25">
      <c r="A12854" s="786" t="s">
        <v>23024</v>
      </c>
      <c r="B12854" s="787">
        <v>4</v>
      </c>
      <c r="C12854" s="787" t="s">
        <v>23025</v>
      </c>
      <c r="D12854" s="787">
        <v>8.32</v>
      </c>
      <c r="E12854" s="787">
        <v>32.119999999999997</v>
      </c>
      <c r="F12854" s="788">
        <v>39101</v>
      </c>
      <c r="G12854" s="788">
        <v>40885</v>
      </c>
      <c r="H12854" s="787">
        <v>1</v>
      </c>
      <c r="I12854" s="788">
        <v>41894</v>
      </c>
      <c r="J12854" s="788">
        <v>40883</v>
      </c>
      <c r="L12854" s="787">
        <v>30.28</v>
      </c>
      <c r="M12854" s="787">
        <v>20</v>
      </c>
      <c r="N12854" s="787">
        <v>32.549999999999997</v>
      </c>
      <c r="O12854" s="788">
        <v>41858</v>
      </c>
    </row>
    <row r="12855" spans="1:15" x14ac:dyDescent="0.25">
      <c r="A12855" s="786" t="s">
        <v>23026</v>
      </c>
      <c r="B12855" s="787">
        <v>4</v>
      </c>
      <c r="C12855" s="787" t="s">
        <v>23027</v>
      </c>
      <c r="D12855" s="787">
        <v>9.0299999999999994</v>
      </c>
      <c r="E12855" s="787">
        <v>30.32</v>
      </c>
      <c r="F12855" s="788">
        <v>39283</v>
      </c>
      <c r="G12855" s="788">
        <v>42013</v>
      </c>
      <c r="H12855" s="787">
        <v>1</v>
      </c>
      <c r="I12855" s="788">
        <v>41894</v>
      </c>
      <c r="J12855" s="788">
        <v>40478</v>
      </c>
      <c r="L12855" s="787">
        <v>38.520000000000003</v>
      </c>
      <c r="M12855" s="787">
        <v>20</v>
      </c>
      <c r="N12855" s="787">
        <v>41.41</v>
      </c>
      <c r="O12855" s="788">
        <v>41858</v>
      </c>
    </row>
    <row r="12856" spans="1:15" x14ac:dyDescent="0.25">
      <c r="A12856" s="786" t="s">
        <v>23028</v>
      </c>
      <c r="B12856" s="787">
        <v>4</v>
      </c>
      <c r="C12856" s="787" t="s">
        <v>23029</v>
      </c>
      <c r="D12856" s="787">
        <v>7.92</v>
      </c>
      <c r="E12856" s="787">
        <v>32.78</v>
      </c>
      <c r="F12856" s="788">
        <v>39283</v>
      </c>
      <c r="G12856" s="788">
        <v>41358</v>
      </c>
      <c r="H12856" s="787">
        <v>1</v>
      </c>
      <c r="I12856" s="788">
        <v>41894</v>
      </c>
      <c r="J12856" s="788">
        <v>41376</v>
      </c>
      <c r="K12856" s="788">
        <v>40932</v>
      </c>
      <c r="L12856" s="787">
        <v>30.93</v>
      </c>
      <c r="M12856" s="787">
        <v>20</v>
      </c>
      <c r="N12856" s="787">
        <v>33.25</v>
      </c>
      <c r="O12856" s="788">
        <v>41858</v>
      </c>
    </row>
    <row r="12857" spans="1:15" x14ac:dyDescent="0.25">
      <c r="A12857" s="786" t="s">
        <v>23030</v>
      </c>
      <c r="B12857" s="787">
        <v>4</v>
      </c>
      <c r="C12857" s="787" t="s">
        <v>23019</v>
      </c>
      <c r="D12857" s="787">
        <v>5.99</v>
      </c>
      <c r="E12857" s="787">
        <v>32.43</v>
      </c>
      <c r="F12857" s="788">
        <v>39101</v>
      </c>
      <c r="G12857" s="788">
        <v>42013</v>
      </c>
      <c r="H12857" s="787">
        <v>1</v>
      </c>
      <c r="I12857" s="788">
        <v>42052</v>
      </c>
      <c r="J12857" s="788">
        <v>41562</v>
      </c>
      <c r="K12857" s="788">
        <v>41561</v>
      </c>
      <c r="L12857" s="787">
        <v>32.43</v>
      </c>
      <c r="M12857" s="787">
        <v>20</v>
      </c>
      <c r="N12857" s="787">
        <v>34.86</v>
      </c>
      <c r="O12857" s="788">
        <v>42164</v>
      </c>
    </row>
    <row r="12858" spans="1:15" x14ac:dyDescent="0.25">
      <c r="A12858" s="786" t="s">
        <v>23031</v>
      </c>
      <c r="B12858" s="787">
        <v>4</v>
      </c>
      <c r="C12858" s="787" t="s">
        <v>23025</v>
      </c>
      <c r="D12858" s="787">
        <v>9.0299999999999994</v>
      </c>
      <c r="E12858" s="787">
        <v>36.26</v>
      </c>
      <c r="F12858" s="788">
        <v>39160</v>
      </c>
      <c r="G12858" s="788">
        <v>42156</v>
      </c>
      <c r="H12858" s="787">
        <v>1</v>
      </c>
      <c r="I12858" s="788">
        <v>40163</v>
      </c>
      <c r="J12858" s="788">
        <v>42136</v>
      </c>
      <c r="K12858" s="788">
        <v>42131</v>
      </c>
      <c r="L12858" s="787">
        <v>36.26</v>
      </c>
      <c r="M12858" s="787">
        <v>20</v>
      </c>
      <c r="N12858" s="787">
        <v>38.979999999999997</v>
      </c>
      <c r="O12858" s="788">
        <v>42132</v>
      </c>
    </row>
    <row r="12859" spans="1:15" x14ac:dyDescent="0.25">
      <c r="A12859" s="786" t="s">
        <v>23032</v>
      </c>
      <c r="B12859" s="787">
        <v>4</v>
      </c>
      <c r="C12859" s="787" t="s">
        <v>23033</v>
      </c>
      <c r="D12859" s="787">
        <v>3.38</v>
      </c>
      <c r="E12859" s="787">
        <v>4.22</v>
      </c>
      <c r="F12859" s="788">
        <v>39101</v>
      </c>
      <c r="G12859" s="788">
        <v>41646</v>
      </c>
      <c r="H12859" s="787">
        <v>1</v>
      </c>
      <c r="I12859" s="788">
        <v>41894</v>
      </c>
      <c r="J12859" s="788">
        <v>39941</v>
      </c>
      <c r="L12859" s="787">
        <v>2.56</v>
      </c>
      <c r="M12859" s="787">
        <v>20</v>
      </c>
      <c r="N12859" s="787">
        <v>2.75</v>
      </c>
      <c r="O12859" s="788">
        <v>41858</v>
      </c>
    </row>
    <row r="12860" spans="1:15" x14ac:dyDescent="0.25">
      <c r="A12860" s="786" t="s">
        <v>23034</v>
      </c>
      <c r="B12860" s="787">
        <v>4</v>
      </c>
      <c r="C12860" s="787" t="s">
        <v>23035</v>
      </c>
      <c r="D12860" s="787">
        <v>6.47</v>
      </c>
      <c r="E12860" s="787">
        <v>26.47</v>
      </c>
      <c r="F12860" s="788">
        <v>37641</v>
      </c>
      <c r="G12860" s="788">
        <v>37875</v>
      </c>
      <c r="H12860" s="787">
        <v>1</v>
      </c>
      <c r="I12860" s="788">
        <v>37902</v>
      </c>
      <c r="J12860" s="788">
        <v>37875</v>
      </c>
      <c r="L12860" s="787">
        <v>28.85</v>
      </c>
      <c r="M12860" s="787">
        <v>20</v>
      </c>
      <c r="N12860" s="787">
        <v>31.01</v>
      </c>
      <c r="O12860" s="788">
        <v>41858</v>
      </c>
    </row>
    <row r="12861" spans="1:15" x14ac:dyDescent="0.25">
      <c r="A12861" s="786" t="s">
        <v>23036</v>
      </c>
      <c r="B12861" s="787">
        <v>4</v>
      </c>
      <c r="C12861" s="787" t="s">
        <v>23015</v>
      </c>
      <c r="D12861" s="787">
        <v>8.77</v>
      </c>
      <c r="E12861" s="787">
        <v>28.77</v>
      </c>
      <c r="F12861" s="788">
        <v>37902</v>
      </c>
      <c r="G12861" s="788">
        <v>37902</v>
      </c>
      <c r="H12861" s="787">
        <v>1</v>
      </c>
      <c r="I12861" s="788">
        <v>39226</v>
      </c>
      <c r="J12861" s="788">
        <v>37901</v>
      </c>
      <c r="L12861" s="787">
        <v>31.36</v>
      </c>
      <c r="M12861" s="787">
        <v>20</v>
      </c>
      <c r="N12861" s="787">
        <v>33.71</v>
      </c>
      <c r="O12861" s="788">
        <v>41858</v>
      </c>
    </row>
    <row r="12862" spans="1:15" x14ac:dyDescent="0.25">
      <c r="A12862" s="786" t="s">
        <v>23037</v>
      </c>
      <c r="B12862" s="787">
        <v>4</v>
      </c>
      <c r="C12862" s="787" t="s">
        <v>23038</v>
      </c>
      <c r="D12862" s="787">
        <v>3.98</v>
      </c>
      <c r="E12862" s="787">
        <v>33.979999999999997</v>
      </c>
      <c r="F12862" s="788">
        <v>37928</v>
      </c>
      <c r="G12862" s="788">
        <v>37928</v>
      </c>
      <c r="H12862" s="787">
        <v>6</v>
      </c>
      <c r="I12862" s="788">
        <v>37938</v>
      </c>
      <c r="J12862" s="788">
        <v>37910</v>
      </c>
      <c r="L12862" s="787">
        <v>37.04</v>
      </c>
      <c r="M12862" s="787">
        <v>20</v>
      </c>
      <c r="N12862" s="787">
        <v>36.53</v>
      </c>
      <c r="O12862" s="788">
        <v>41806</v>
      </c>
    </row>
    <row r="12863" spans="1:15" x14ac:dyDescent="0.25">
      <c r="A12863" s="786" t="s">
        <v>23039</v>
      </c>
      <c r="B12863" s="787">
        <v>4</v>
      </c>
      <c r="C12863" s="787" t="s">
        <v>23040</v>
      </c>
      <c r="D12863" s="787">
        <v>7</v>
      </c>
      <c r="E12863" s="787">
        <v>29.04</v>
      </c>
      <c r="F12863" s="788">
        <v>39490</v>
      </c>
      <c r="G12863" s="788">
        <v>41653</v>
      </c>
      <c r="H12863" s="787">
        <v>1</v>
      </c>
      <c r="I12863" s="788">
        <v>41652</v>
      </c>
      <c r="J12863" s="788">
        <v>41653</v>
      </c>
      <c r="L12863" s="787">
        <v>29.04</v>
      </c>
      <c r="M12863" s="787">
        <v>20</v>
      </c>
      <c r="N12863" s="787">
        <v>31.22</v>
      </c>
      <c r="O12863" s="788">
        <v>42164</v>
      </c>
    </row>
    <row r="12864" spans="1:15" x14ac:dyDescent="0.25">
      <c r="A12864" s="786" t="s">
        <v>23041</v>
      </c>
      <c r="B12864" s="787">
        <v>4</v>
      </c>
      <c r="C12864" s="787" t="s">
        <v>23042</v>
      </c>
      <c r="D12864" s="787">
        <v>4.41</v>
      </c>
      <c r="E12864" s="787">
        <v>37.549999999999997</v>
      </c>
      <c r="F12864" s="788">
        <v>39506</v>
      </c>
      <c r="G12864" s="788">
        <v>39799</v>
      </c>
      <c r="H12864" s="787">
        <v>1</v>
      </c>
      <c r="I12864" s="788">
        <v>40905</v>
      </c>
      <c r="J12864" s="788">
        <v>39577</v>
      </c>
      <c r="L12864" s="787">
        <v>37.549999999999997</v>
      </c>
      <c r="M12864" s="787">
        <v>20</v>
      </c>
      <c r="N12864" s="787">
        <v>40.369999999999997</v>
      </c>
      <c r="O12864" s="788">
        <v>41858</v>
      </c>
    </row>
    <row r="12865" spans="1:15" x14ac:dyDescent="0.25">
      <c r="A12865" s="786" t="s">
        <v>23043</v>
      </c>
      <c r="B12865" s="787">
        <v>4</v>
      </c>
      <c r="C12865" s="787" t="s">
        <v>23044</v>
      </c>
      <c r="D12865" s="787">
        <v>0</v>
      </c>
      <c r="E12865" s="787">
        <v>0</v>
      </c>
      <c r="H12865" s="787">
        <v>1</v>
      </c>
      <c r="I12865" s="788">
        <v>38810</v>
      </c>
      <c r="J12865" s="788">
        <v>39101</v>
      </c>
      <c r="L12865" s="787">
        <v>0</v>
      </c>
      <c r="M12865" s="787">
        <v>20</v>
      </c>
      <c r="N12865" s="787">
        <v>0</v>
      </c>
      <c r="O12865" s="788">
        <v>40824</v>
      </c>
    </row>
    <row r="12866" spans="1:15" x14ac:dyDescent="0.25">
      <c r="A12866" s="786" t="s">
        <v>23045</v>
      </c>
      <c r="B12866" s="787">
        <v>4</v>
      </c>
      <c r="C12866" s="787" t="s">
        <v>23046</v>
      </c>
      <c r="D12866" s="787">
        <v>4.7699999999999996</v>
      </c>
      <c r="E12866" s="787">
        <v>36.26</v>
      </c>
      <c r="F12866" s="788">
        <v>38287</v>
      </c>
      <c r="G12866" s="788">
        <v>42136</v>
      </c>
      <c r="H12866" s="787">
        <v>1</v>
      </c>
      <c r="I12866" s="788">
        <v>41095</v>
      </c>
      <c r="J12866" s="788">
        <v>42136</v>
      </c>
      <c r="K12866" s="788">
        <v>42131</v>
      </c>
      <c r="L12866" s="787">
        <v>36.26</v>
      </c>
      <c r="M12866" s="787">
        <v>20</v>
      </c>
      <c r="N12866" s="787">
        <v>38.979999999999997</v>
      </c>
      <c r="O12866" s="788">
        <v>42135</v>
      </c>
    </row>
    <row r="12867" spans="1:15" x14ac:dyDescent="0.25">
      <c r="A12867" s="786" t="s">
        <v>23047</v>
      </c>
      <c r="B12867" s="787">
        <v>4</v>
      </c>
      <c r="C12867" s="787" t="s">
        <v>23048</v>
      </c>
      <c r="D12867" s="787">
        <v>4.72</v>
      </c>
      <c r="E12867" s="787">
        <v>30.48</v>
      </c>
      <c r="F12867" s="788">
        <v>41898</v>
      </c>
      <c r="G12867" s="788">
        <v>41962</v>
      </c>
      <c r="H12867" s="787">
        <v>1</v>
      </c>
      <c r="I12867" s="788">
        <v>42159</v>
      </c>
      <c r="J12867" s="788">
        <v>41962</v>
      </c>
      <c r="K12867" s="788">
        <v>41912</v>
      </c>
      <c r="L12867" s="787">
        <v>30.48</v>
      </c>
      <c r="M12867" s="787">
        <v>20</v>
      </c>
      <c r="N12867" s="787">
        <v>32.770000000000003</v>
      </c>
      <c r="O12867" s="788">
        <v>42127</v>
      </c>
    </row>
    <row r="12868" spans="1:15" x14ac:dyDescent="0.25">
      <c r="A12868" s="786" t="s">
        <v>23049</v>
      </c>
      <c r="B12868" s="787">
        <v>4</v>
      </c>
      <c r="C12868" s="787" t="s">
        <v>8342</v>
      </c>
      <c r="D12868" s="787">
        <v>0.48</v>
      </c>
      <c r="E12868" s="787">
        <v>0.48</v>
      </c>
      <c r="F12868" s="788">
        <v>38606</v>
      </c>
      <c r="G12868" s="788">
        <v>38606</v>
      </c>
      <c r="H12868" s="787">
        <v>6</v>
      </c>
      <c r="I12868" s="788">
        <v>39155</v>
      </c>
      <c r="J12868" s="788">
        <v>39155</v>
      </c>
      <c r="L12868" s="787">
        <v>51.55</v>
      </c>
      <c r="M12868" s="787">
        <v>10</v>
      </c>
      <c r="N12868" s="787">
        <v>0</v>
      </c>
      <c r="O12868" s="788">
        <v>41806</v>
      </c>
    </row>
    <row r="12869" spans="1:15" x14ac:dyDescent="0.25">
      <c r="A12869" s="786" t="s">
        <v>23050</v>
      </c>
      <c r="B12869" s="787">
        <v>4</v>
      </c>
      <c r="C12869" s="787" t="s">
        <v>23051</v>
      </c>
      <c r="D12869" s="787">
        <v>0</v>
      </c>
      <c r="E12869" s="787">
        <v>0</v>
      </c>
      <c r="H12869" s="787">
        <v>1</v>
      </c>
      <c r="L12869" s="787">
        <v>0.01</v>
      </c>
      <c r="M12869" s="787">
        <v>10</v>
      </c>
      <c r="N12869" s="787">
        <v>0</v>
      </c>
    </row>
    <row r="12870" spans="1:15" x14ac:dyDescent="0.25">
      <c r="A12870" s="786" t="s">
        <v>23052</v>
      </c>
      <c r="B12870" s="787">
        <v>4</v>
      </c>
      <c r="C12870" s="787" t="s">
        <v>8342</v>
      </c>
      <c r="D12870" s="787">
        <v>0</v>
      </c>
      <c r="E12870" s="787">
        <v>0</v>
      </c>
      <c r="H12870" s="787">
        <v>6</v>
      </c>
      <c r="L12870" s="787">
        <v>255.35</v>
      </c>
      <c r="M12870" s="787">
        <v>10</v>
      </c>
      <c r="N12870" s="787">
        <v>0</v>
      </c>
      <c r="O12870" s="788">
        <v>41806</v>
      </c>
    </row>
    <row r="12871" spans="1:15" x14ac:dyDescent="0.25">
      <c r="A12871" s="786" t="s">
        <v>23053</v>
      </c>
      <c r="B12871" s="787">
        <v>4</v>
      </c>
      <c r="C12871" s="787" t="s">
        <v>23054</v>
      </c>
      <c r="D12871" s="787">
        <v>0</v>
      </c>
      <c r="E12871" s="787">
        <v>0</v>
      </c>
      <c r="H12871" s="787">
        <v>1</v>
      </c>
      <c r="L12871" s="787">
        <v>68.73</v>
      </c>
      <c r="M12871" s="787">
        <v>10</v>
      </c>
      <c r="N12871" s="787">
        <v>754.71</v>
      </c>
      <c r="O12871" s="788">
        <v>41858</v>
      </c>
    </row>
    <row r="12872" spans="1:15" x14ac:dyDescent="0.25">
      <c r="A12872" s="786" t="s">
        <v>23055</v>
      </c>
      <c r="B12872" s="787">
        <v>4</v>
      </c>
      <c r="C12872" s="787" t="s">
        <v>23056</v>
      </c>
      <c r="D12872" s="787">
        <v>0</v>
      </c>
      <c r="E12872" s="787">
        <v>0</v>
      </c>
      <c r="H12872" s="787">
        <v>1</v>
      </c>
      <c r="L12872" s="787">
        <v>84.59</v>
      </c>
      <c r="M12872" s="787">
        <v>10</v>
      </c>
      <c r="N12872" s="787">
        <v>201.76</v>
      </c>
      <c r="O12872" s="788">
        <v>41858</v>
      </c>
    </row>
    <row r="12873" spans="1:15" x14ac:dyDescent="0.25">
      <c r="A12873" s="786" t="s">
        <v>23057</v>
      </c>
      <c r="B12873" s="787">
        <v>4</v>
      </c>
      <c r="C12873" s="787" t="s">
        <v>23058</v>
      </c>
      <c r="D12873" s="787">
        <v>0</v>
      </c>
      <c r="E12873" s="787">
        <v>0</v>
      </c>
      <c r="H12873" s="787">
        <v>1</v>
      </c>
      <c r="L12873" s="787">
        <v>3.25</v>
      </c>
      <c r="M12873" s="787">
        <v>10</v>
      </c>
      <c r="N12873" s="787">
        <v>7.76</v>
      </c>
      <c r="O12873" s="788">
        <v>41858</v>
      </c>
    </row>
    <row r="12874" spans="1:15" x14ac:dyDescent="0.25">
      <c r="A12874" s="786" t="s">
        <v>23059</v>
      </c>
      <c r="B12874" s="787">
        <v>4</v>
      </c>
      <c r="C12874" s="787" t="s">
        <v>23060</v>
      </c>
      <c r="D12874" s="787">
        <v>0</v>
      </c>
      <c r="E12874" s="787">
        <v>0</v>
      </c>
      <c r="H12874" s="787">
        <v>1</v>
      </c>
      <c r="L12874" s="787">
        <v>3.25</v>
      </c>
      <c r="M12874" s="787">
        <v>10</v>
      </c>
      <c r="N12874" s="787">
        <v>7.76</v>
      </c>
      <c r="O12874" s="788">
        <v>41858</v>
      </c>
    </row>
    <row r="12875" spans="1:15" x14ac:dyDescent="0.25">
      <c r="A12875" s="786" t="s">
        <v>23061</v>
      </c>
      <c r="B12875" s="787">
        <v>4</v>
      </c>
      <c r="C12875" s="787" t="s">
        <v>23060</v>
      </c>
      <c r="D12875" s="787">
        <v>0</v>
      </c>
      <c r="E12875" s="787">
        <v>0</v>
      </c>
      <c r="H12875" s="787">
        <v>1</v>
      </c>
      <c r="L12875" s="787">
        <v>3.25</v>
      </c>
      <c r="M12875" s="787">
        <v>10</v>
      </c>
      <c r="N12875" s="787">
        <v>7.76</v>
      </c>
      <c r="O12875" s="788">
        <v>41858</v>
      </c>
    </row>
    <row r="12876" spans="1:15" x14ac:dyDescent="0.25">
      <c r="A12876" s="786" t="s">
        <v>23062</v>
      </c>
      <c r="B12876" s="787">
        <v>4</v>
      </c>
      <c r="C12876" s="787" t="s">
        <v>23060</v>
      </c>
      <c r="D12876" s="787">
        <v>0</v>
      </c>
      <c r="E12876" s="787">
        <v>0</v>
      </c>
      <c r="H12876" s="787">
        <v>1</v>
      </c>
      <c r="L12876" s="787">
        <v>3.25</v>
      </c>
      <c r="M12876" s="787">
        <v>10</v>
      </c>
      <c r="N12876" s="787">
        <v>7.76</v>
      </c>
      <c r="O12876" s="788">
        <v>41858</v>
      </c>
    </row>
    <row r="12877" spans="1:15" x14ac:dyDescent="0.25">
      <c r="A12877" s="786" t="s">
        <v>23063</v>
      </c>
      <c r="B12877" s="787">
        <v>4</v>
      </c>
      <c r="C12877" s="787" t="s">
        <v>23060</v>
      </c>
      <c r="D12877" s="787">
        <v>0</v>
      </c>
      <c r="E12877" s="787">
        <v>0</v>
      </c>
      <c r="H12877" s="787">
        <v>1</v>
      </c>
      <c r="L12877" s="787">
        <v>111.02</v>
      </c>
      <c r="M12877" s="787">
        <v>10</v>
      </c>
      <c r="N12877" s="787">
        <v>264.81</v>
      </c>
      <c r="O12877" s="788">
        <v>41858</v>
      </c>
    </row>
    <row r="12878" spans="1:15" x14ac:dyDescent="0.25">
      <c r="A12878" s="786" t="s">
        <v>23064</v>
      </c>
      <c r="B12878" s="787">
        <v>4</v>
      </c>
      <c r="C12878" s="787" t="s">
        <v>23065</v>
      </c>
      <c r="D12878" s="787">
        <v>2</v>
      </c>
      <c r="E12878" s="787">
        <v>2</v>
      </c>
      <c r="F12878" s="788">
        <v>37641</v>
      </c>
      <c r="G12878" s="788">
        <v>37641</v>
      </c>
      <c r="H12878" s="787">
        <v>1</v>
      </c>
      <c r="J12878" s="788">
        <v>37641</v>
      </c>
      <c r="L12878" s="787">
        <v>2.1800000000000002</v>
      </c>
      <c r="M12878" s="787">
        <v>20</v>
      </c>
      <c r="N12878" s="787">
        <v>2.34</v>
      </c>
      <c r="O12878" s="788">
        <v>41858</v>
      </c>
    </row>
    <row r="12879" spans="1:15" x14ac:dyDescent="0.25">
      <c r="A12879" s="786" t="s">
        <v>23066</v>
      </c>
      <c r="B12879" s="787">
        <v>4</v>
      </c>
      <c r="C12879" s="787" t="s">
        <v>23067</v>
      </c>
      <c r="D12879" s="787">
        <v>2.67</v>
      </c>
      <c r="E12879" s="787">
        <v>2.67</v>
      </c>
      <c r="F12879" s="788">
        <v>37641</v>
      </c>
      <c r="G12879" s="788">
        <v>37641</v>
      </c>
      <c r="H12879" s="787">
        <v>1</v>
      </c>
      <c r="J12879" s="788">
        <v>37641</v>
      </c>
      <c r="L12879" s="787">
        <v>2.91</v>
      </c>
      <c r="M12879" s="787">
        <v>20</v>
      </c>
      <c r="N12879" s="787">
        <v>3.13</v>
      </c>
      <c r="O12879" s="788">
        <v>41858</v>
      </c>
    </row>
    <row r="12880" spans="1:15" x14ac:dyDescent="0.25">
      <c r="A12880" s="786" t="s">
        <v>23068</v>
      </c>
      <c r="B12880" s="787">
        <v>4</v>
      </c>
      <c r="C12880" s="787" t="s">
        <v>23069</v>
      </c>
      <c r="D12880" s="787">
        <v>0.33</v>
      </c>
      <c r="E12880" s="787">
        <v>0.33</v>
      </c>
      <c r="F12880" s="788">
        <v>37641</v>
      </c>
      <c r="G12880" s="788">
        <v>37641</v>
      </c>
      <c r="H12880" s="787">
        <v>1</v>
      </c>
      <c r="J12880" s="788">
        <v>37641</v>
      </c>
      <c r="L12880" s="787">
        <v>0.36</v>
      </c>
      <c r="M12880" s="787">
        <v>20</v>
      </c>
      <c r="N12880" s="787">
        <v>0.39</v>
      </c>
      <c r="O12880" s="788">
        <v>41858</v>
      </c>
    </row>
    <row r="12881" spans="1:15" x14ac:dyDescent="0.25">
      <c r="A12881" s="786" t="s">
        <v>23070</v>
      </c>
      <c r="B12881" s="787">
        <v>4</v>
      </c>
      <c r="C12881" s="787" t="s">
        <v>23071</v>
      </c>
      <c r="D12881" s="787">
        <v>0.16</v>
      </c>
      <c r="E12881" s="787">
        <v>0.16</v>
      </c>
      <c r="F12881" s="788">
        <v>37641</v>
      </c>
      <c r="G12881" s="788">
        <v>37641</v>
      </c>
      <c r="H12881" s="787">
        <v>1</v>
      </c>
      <c r="J12881" s="788">
        <v>37641</v>
      </c>
      <c r="L12881" s="787">
        <v>0.17</v>
      </c>
      <c r="M12881" s="787">
        <v>20</v>
      </c>
      <c r="N12881" s="787">
        <v>0.18</v>
      </c>
      <c r="O12881" s="788">
        <v>41858</v>
      </c>
    </row>
    <row r="12882" spans="1:15" x14ac:dyDescent="0.25">
      <c r="A12882" s="786" t="s">
        <v>23072</v>
      </c>
      <c r="B12882" s="787">
        <v>4</v>
      </c>
      <c r="C12882" s="787" t="s">
        <v>23073</v>
      </c>
      <c r="D12882" s="787">
        <v>6.03</v>
      </c>
      <c r="E12882" s="787">
        <v>21.43</v>
      </c>
      <c r="F12882" s="788">
        <v>39101</v>
      </c>
      <c r="G12882" s="788">
        <v>41362</v>
      </c>
      <c r="H12882" s="787">
        <v>5</v>
      </c>
      <c r="I12882" s="788">
        <v>41537</v>
      </c>
      <c r="J12882" s="788">
        <v>41578</v>
      </c>
      <c r="K12882" s="788">
        <v>41040</v>
      </c>
      <c r="L12882" s="787">
        <v>25.74</v>
      </c>
      <c r="M12882" s="787">
        <v>20</v>
      </c>
      <c r="N12882" s="787">
        <v>27.67</v>
      </c>
      <c r="O12882" s="788">
        <v>41858</v>
      </c>
    </row>
    <row r="12883" spans="1:15" x14ac:dyDescent="0.25">
      <c r="A12883" s="786" t="s">
        <v>23074</v>
      </c>
      <c r="B12883" s="787">
        <v>4</v>
      </c>
      <c r="C12883" s="787" t="s">
        <v>23075</v>
      </c>
      <c r="D12883" s="787">
        <v>7.34</v>
      </c>
      <c r="E12883" s="787">
        <v>17.34</v>
      </c>
      <c r="F12883" s="788">
        <v>42044</v>
      </c>
      <c r="G12883" s="788">
        <v>42064</v>
      </c>
      <c r="H12883" s="787">
        <v>1</v>
      </c>
      <c r="I12883" s="788">
        <v>41680</v>
      </c>
      <c r="J12883" s="788">
        <v>42041</v>
      </c>
      <c r="K12883" s="788">
        <v>42040</v>
      </c>
      <c r="L12883" s="787">
        <v>17.34</v>
      </c>
      <c r="M12883" s="787">
        <v>20</v>
      </c>
      <c r="N12883" s="787">
        <v>18.64</v>
      </c>
      <c r="O12883" s="788">
        <v>42040</v>
      </c>
    </row>
    <row r="12884" spans="1:15" x14ac:dyDescent="0.25">
      <c r="A12884" s="786" t="s">
        <v>23076</v>
      </c>
      <c r="B12884" s="787">
        <v>4</v>
      </c>
      <c r="C12884" s="787" t="s">
        <v>23077</v>
      </c>
      <c r="D12884" s="787">
        <v>5.22</v>
      </c>
      <c r="E12884" s="787">
        <v>7.2</v>
      </c>
      <c r="F12884" s="788">
        <v>39101</v>
      </c>
      <c r="G12884" s="788">
        <v>41926</v>
      </c>
      <c r="H12884" s="787">
        <v>6</v>
      </c>
      <c r="I12884" s="788">
        <v>42048</v>
      </c>
      <c r="J12884" s="788">
        <v>42048</v>
      </c>
      <c r="K12884" s="788">
        <v>41576</v>
      </c>
      <c r="L12884" s="787">
        <v>7.2</v>
      </c>
      <c r="M12884" s="787">
        <v>20</v>
      </c>
      <c r="N12884" s="787">
        <v>7.74</v>
      </c>
      <c r="O12884" s="788">
        <v>41814</v>
      </c>
    </row>
    <row r="12885" spans="1:15" x14ac:dyDescent="0.25">
      <c r="A12885" s="786" t="s">
        <v>23078</v>
      </c>
      <c r="B12885" s="787">
        <v>4</v>
      </c>
      <c r="C12885" s="787" t="s">
        <v>23079</v>
      </c>
      <c r="D12885" s="787">
        <v>0.21</v>
      </c>
      <c r="E12885" s="787">
        <v>0.21</v>
      </c>
      <c r="F12885" s="788">
        <v>37641</v>
      </c>
      <c r="G12885" s="788">
        <v>37641</v>
      </c>
      <c r="H12885" s="787">
        <v>1</v>
      </c>
      <c r="J12885" s="788">
        <v>37641</v>
      </c>
      <c r="L12885" s="787">
        <v>0.23</v>
      </c>
      <c r="M12885" s="787">
        <v>20</v>
      </c>
      <c r="N12885" s="787">
        <v>0.25</v>
      </c>
      <c r="O12885" s="788">
        <v>42162</v>
      </c>
    </row>
    <row r="12886" spans="1:15" x14ac:dyDescent="0.25">
      <c r="A12886" s="786" t="s">
        <v>23080</v>
      </c>
      <c r="B12886" s="787">
        <v>4</v>
      </c>
      <c r="C12886" s="787" t="s">
        <v>23081</v>
      </c>
      <c r="D12886" s="787">
        <v>0.18</v>
      </c>
      <c r="E12886" s="787">
        <v>0.2</v>
      </c>
      <c r="F12886" s="788">
        <v>39101</v>
      </c>
      <c r="G12886" s="788">
        <v>39688</v>
      </c>
      <c r="H12886" s="787">
        <v>1</v>
      </c>
      <c r="I12886" s="788">
        <v>39134</v>
      </c>
      <c r="J12886" s="788">
        <v>39679</v>
      </c>
      <c r="L12886" s="787">
        <v>0.2</v>
      </c>
      <c r="M12886" s="787">
        <v>20</v>
      </c>
      <c r="N12886" s="787">
        <v>0.22</v>
      </c>
      <c r="O12886" s="788">
        <v>42162</v>
      </c>
    </row>
    <row r="12887" spans="1:15" x14ac:dyDescent="0.25">
      <c r="A12887" s="786" t="s">
        <v>23082</v>
      </c>
      <c r="B12887" s="787">
        <v>4</v>
      </c>
      <c r="C12887" s="787" t="s">
        <v>23083</v>
      </c>
      <c r="D12887" s="787">
        <v>0.14000000000000001</v>
      </c>
      <c r="E12887" s="787">
        <v>0.14000000000000001</v>
      </c>
      <c r="F12887" s="788">
        <v>38307</v>
      </c>
      <c r="G12887" s="788">
        <v>38307</v>
      </c>
      <c r="H12887" s="787">
        <v>1</v>
      </c>
      <c r="J12887" s="788">
        <v>38295</v>
      </c>
      <c r="L12887" s="787">
        <v>0.15</v>
      </c>
      <c r="M12887" s="787">
        <v>20</v>
      </c>
      <c r="N12887" s="787">
        <v>0.16</v>
      </c>
      <c r="O12887" s="788">
        <v>41858</v>
      </c>
    </row>
    <row r="12888" spans="1:15" x14ac:dyDescent="0.25">
      <c r="A12888" s="786" t="s">
        <v>23084</v>
      </c>
      <c r="B12888" s="787">
        <v>4</v>
      </c>
      <c r="C12888" s="787" t="s">
        <v>23085</v>
      </c>
      <c r="D12888" s="787">
        <v>0.56999999999999995</v>
      </c>
      <c r="E12888" s="787">
        <v>0.56999999999999995</v>
      </c>
      <c r="F12888" s="788">
        <v>37641</v>
      </c>
      <c r="G12888" s="788">
        <v>37641</v>
      </c>
      <c r="H12888" s="787">
        <v>1</v>
      </c>
      <c r="J12888" s="788">
        <v>37641</v>
      </c>
      <c r="L12888" s="787">
        <v>0.62</v>
      </c>
      <c r="M12888" s="787">
        <v>20</v>
      </c>
      <c r="N12888" s="787">
        <v>0.67</v>
      </c>
      <c r="O12888" s="788">
        <v>42162</v>
      </c>
    </row>
    <row r="12889" spans="1:15" x14ac:dyDescent="0.25">
      <c r="A12889" s="786" t="s">
        <v>23086</v>
      </c>
      <c r="B12889" s="787">
        <v>4</v>
      </c>
      <c r="C12889" s="787" t="s">
        <v>23087</v>
      </c>
      <c r="D12889" s="787">
        <v>0.35</v>
      </c>
      <c r="E12889" s="787">
        <v>0.35</v>
      </c>
      <c r="F12889" s="788">
        <v>39101</v>
      </c>
      <c r="G12889" s="788">
        <v>39101</v>
      </c>
      <c r="H12889" s="787">
        <v>1</v>
      </c>
      <c r="I12889" s="788">
        <v>39134</v>
      </c>
      <c r="J12889" s="788">
        <v>39149</v>
      </c>
      <c r="L12889" s="787">
        <v>0.38</v>
      </c>
      <c r="M12889" s="787">
        <v>20</v>
      </c>
      <c r="N12889" s="787">
        <v>0.41</v>
      </c>
      <c r="O12889" s="788">
        <v>42162</v>
      </c>
    </row>
    <row r="12890" spans="1:15" x14ac:dyDescent="0.25">
      <c r="A12890" s="786" t="s">
        <v>23088</v>
      </c>
      <c r="B12890" s="787">
        <v>4</v>
      </c>
      <c r="C12890" s="787" t="s">
        <v>23089</v>
      </c>
      <c r="D12890" s="787">
        <v>3.6</v>
      </c>
      <c r="E12890" s="787">
        <v>3.6</v>
      </c>
      <c r="F12890" s="788">
        <v>37641</v>
      </c>
      <c r="G12890" s="788">
        <v>37804</v>
      </c>
      <c r="H12890" s="787">
        <v>6</v>
      </c>
      <c r="I12890" s="788">
        <v>37902</v>
      </c>
      <c r="J12890" s="788">
        <v>37804</v>
      </c>
      <c r="L12890" s="787">
        <v>3.92</v>
      </c>
      <c r="M12890" s="787">
        <v>20</v>
      </c>
      <c r="N12890" s="787">
        <v>3.87</v>
      </c>
      <c r="O12890" s="788">
        <v>41806</v>
      </c>
    </row>
    <row r="12891" spans="1:15" x14ac:dyDescent="0.25">
      <c r="A12891" s="786" t="s">
        <v>23090</v>
      </c>
      <c r="B12891" s="787">
        <v>4</v>
      </c>
      <c r="C12891" s="787" t="s">
        <v>23091</v>
      </c>
      <c r="D12891" s="787">
        <v>5.27</v>
      </c>
      <c r="E12891" s="787">
        <v>5.86</v>
      </c>
      <c r="F12891" s="788">
        <v>39101</v>
      </c>
      <c r="G12891" s="788">
        <v>42013</v>
      </c>
      <c r="H12891" s="787">
        <v>1</v>
      </c>
      <c r="I12891" s="788">
        <v>41894</v>
      </c>
      <c r="J12891" s="788">
        <v>39149</v>
      </c>
      <c r="K12891" s="788">
        <v>41989</v>
      </c>
      <c r="L12891" s="787">
        <v>5.86</v>
      </c>
      <c r="M12891" s="787">
        <v>20</v>
      </c>
      <c r="N12891" s="787">
        <v>6.3</v>
      </c>
      <c r="O12891" s="788">
        <v>42111</v>
      </c>
    </row>
    <row r="12892" spans="1:15" x14ac:dyDescent="0.25">
      <c r="A12892" s="786" t="s">
        <v>23092</v>
      </c>
      <c r="B12892" s="787">
        <v>4</v>
      </c>
      <c r="C12892" s="787" t="s">
        <v>23093</v>
      </c>
      <c r="D12892" s="787">
        <v>4.4400000000000004</v>
      </c>
      <c r="E12892" s="787">
        <v>6.66</v>
      </c>
      <c r="F12892" s="788">
        <v>39101</v>
      </c>
      <c r="G12892" s="788">
        <v>42013</v>
      </c>
      <c r="H12892" s="787">
        <v>1</v>
      </c>
      <c r="I12892" s="788">
        <v>42163</v>
      </c>
      <c r="J12892" s="788">
        <v>41983</v>
      </c>
      <c r="K12892" s="788">
        <v>41982</v>
      </c>
      <c r="L12892" s="787">
        <v>6.66</v>
      </c>
      <c r="M12892" s="787">
        <v>20</v>
      </c>
      <c r="N12892" s="787">
        <v>7.16</v>
      </c>
      <c r="O12892" s="788">
        <v>42111</v>
      </c>
    </row>
    <row r="12893" spans="1:15" x14ac:dyDescent="0.25">
      <c r="A12893" s="786" t="s">
        <v>23094</v>
      </c>
      <c r="B12893" s="787">
        <v>4</v>
      </c>
      <c r="C12893" s="787" t="s">
        <v>23095</v>
      </c>
      <c r="D12893" s="787">
        <v>4.99</v>
      </c>
      <c r="E12893" s="787">
        <v>5.88</v>
      </c>
      <c r="F12893" s="788">
        <v>39101</v>
      </c>
      <c r="G12893" s="788">
        <v>41646</v>
      </c>
      <c r="H12893" s="787">
        <v>1</v>
      </c>
      <c r="I12893" s="788">
        <v>41894</v>
      </c>
      <c r="J12893" s="788">
        <v>39849</v>
      </c>
      <c r="L12893" s="787">
        <v>8.16</v>
      </c>
      <c r="M12893" s="787">
        <v>20</v>
      </c>
      <c r="N12893" s="787">
        <v>8.77</v>
      </c>
      <c r="O12893" s="788">
        <v>41858</v>
      </c>
    </row>
    <row r="12894" spans="1:15" x14ac:dyDescent="0.25">
      <c r="A12894" s="786" t="s">
        <v>23096</v>
      </c>
      <c r="B12894" s="787">
        <v>4</v>
      </c>
      <c r="C12894" s="787" t="s">
        <v>23097</v>
      </c>
      <c r="D12894" s="787">
        <v>0.48</v>
      </c>
      <c r="E12894" s="787">
        <v>10.48</v>
      </c>
      <c r="F12894" s="788">
        <v>39101</v>
      </c>
      <c r="G12894" s="788">
        <v>39101</v>
      </c>
      <c r="H12894" s="787">
        <v>1</v>
      </c>
      <c r="I12894" s="788">
        <v>39519</v>
      </c>
      <c r="J12894" s="788">
        <v>39149</v>
      </c>
      <c r="L12894" s="787">
        <v>11.42</v>
      </c>
      <c r="M12894" s="787">
        <v>20</v>
      </c>
      <c r="N12894" s="787">
        <v>12.28</v>
      </c>
      <c r="O12894" s="788">
        <v>41989</v>
      </c>
    </row>
    <row r="12895" spans="1:15" x14ac:dyDescent="0.25">
      <c r="A12895" s="786" t="s">
        <v>23098</v>
      </c>
      <c r="B12895" s="787">
        <v>4</v>
      </c>
      <c r="C12895" s="787" t="s">
        <v>23099</v>
      </c>
      <c r="D12895" s="787">
        <v>5.5</v>
      </c>
      <c r="E12895" s="787">
        <v>8.27</v>
      </c>
      <c r="F12895" s="788">
        <v>41116</v>
      </c>
      <c r="G12895" s="788">
        <v>41646</v>
      </c>
      <c r="H12895" s="787">
        <v>1</v>
      </c>
      <c r="I12895" s="788">
        <v>41894</v>
      </c>
      <c r="J12895" s="788">
        <v>41578</v>
      </c>
      <c r="K12895" s="788">
        <v>41576</v>
      </c>
      <c r="L12895" s="787">
        <v>8.27</v>
      </c>
      <c r="M12895" s="787">
        <v>20</v>
      </c>
      <c r="N12895" s="787">
        <v>8.89</v>
      </c>
      <c r="O12895" s="788">
        <v>41858</v>
      </c>
    </row>
    <row r="12896" spans="1:15" x14ac:dyDescent="0.25">
      <c r="A12896" s="786" t="s">
        <v>23100</v>
      </c>
      <c r="B12896" s="787">
        <v>4</v>
      </c>
      <c r="C12896" s="787" t="s">
        <v>23101</v>
      </c>
      <c r="D12896" s="787">
        <v>1.91</v>
      </c>
      <c r="E12896" s="787">
        <v>61.91</v>
      </c>
      <c r="F12896" s="788">
        <v>39101</v>
      </c>
      <c r="G12896" s="788">
        <v>39101</v>
      </c>
      <c r="H12896" s="787">
        <v>1</v>
      </c>
      <c r="I12896" s="788">
        <v>39134</v>
      </c>
      <c r="J12896" s="788">
        <v>39149</v>
      </c>
      <c r="L12896" s="787">
        <v>61.91</v>
      </c>
      <c r="M12896" s="787">
        <v>20</v>
      </c>
      <c r="N12896" s="787">
        <v>66.55</v>
      </c>
      <c r="O12896" s="788">
        <v>41858</v>
      </c>
    </row>
    <row r="12897" spans="1:15" x14ac:dyDescent="0.25">
      <c r="A12897" s="786" t="s">
        <v>23102</v>
      </c>
      <c r="B12897" s="787">
        <v>4</v>
      </c>
      <c r="C12897" s="787" t="s">
        <v>23103</v>
      </c>
      <c r="D12897" s="787">
        <v>1.73</v>
      </c>
      <c r="E12897" s="787">
        <v>61.73</v>
      </c>
      <c r="F12897" s="788">
        <v>38894</v>
      </c>
      <c r="G12897" s="788">
        <v>38894</v>
      </c>
      <c r="H12897" s="787">
        <v>1</v>
      </c>
      <c r="I12897" s="788">
        <v>39623</v>
      </c>
      <c r="J12897" s="788">
        <v>39601</v>
      </c>
      <c r="L12897" s="787">
        <v>61.73</v>
      </c>
      <c r="M12897" s="787">
        <v>20</v>
      </c>
      <c r="N12897" s="787">
        <v>66.36</v>
      </c>
      <c r="O12897" s="788">
        <v>41858</v>
      </c>
    </row>
    <row r="12898" spans="1:15" x14ac:dyDescent="0.25">
      <c r="A12898" s="786" t="s">
        <v>23104</v>
      </c>
      <c r="B12898" s="787">
        <v>4</v>
      </c>
      <c r="C12898" s="787" t="s">
        <v>23105</v>
      </c>
      <c r="D12898" s="787">
        <v>5.95</v>
      </c>
      <c r="E12898" s="787">
        <v>106.3</v>
      </c>
      <c r="F12898" s="788">
        <v>38894</v>
      </c>
      <c r="G12898" s="788">
        <v>39800</v>
      </c>
      <c r="H12898" s="787">
        <v>1</v>
      </c>
      <c r="I12898" s="788">
        <v>39715</v>
      </c>
      <c r="J12898" s="788">
        <v>39008</v>
      </c>
      <c r="L12898" s="787">
        <v>106.3</v>
      </c>
      <c r="M12898" s="787">
        <v>20</v>
      </c>
      <c r="N12898" s="787">
        <v>114.27</v>
      </c>
      <c r="O12898" s="788">
        <v>41858</v>
      </c>
    </row>
    <row r="12899" spans="1:15" x14ac:dyDescent="0.25">
      <c r="A12899" s="786" t="s">
        <v>23106</v>
      </c>
      <c r="B12899" s="787">
        <v>4</v>
      </c>
      <c r="C12899" s="787" t="s">
        <v>23107</v>
      </c>
      <c r="D12899" s="787">
        <v>5.71</v>
      </c>
      <c r="E12899" s="787">
        <v>7.56</v>
      </c>
      <c r="F12899" s="788">
        <v>40017</v>
      </c>
      <c r="G12899" s="788">
        <v>42122</v>
      </c>
      <c r="H12899" s="787">
        <v>1</v>
      </c>
      <c r="I12899" s="788">
        <v>42164</v>
      </c>
      <c r="J12899" s="788">
        <v>42088</v>
      </c>
      <c r="K12899" s="788">
        <v>41922</v>
      </c>
      <c r="L12899" s="787">
        <v>7.56</v>
      </c>
      <c r="M12899" s="787">
        <v>20</v>
      </c>
      <c r="N12899" s="787">
        <v>8.1300000000000008</v>
      </c>
      <c r="O12899" s="788">
        <v>42164</v>
      </c>
    </row>
    <row r="12900" spans="1:15" x14ac:dyDescent="0.25">
      <c r="A12900" s="786" t="s">
        <v>23108</v>
      </c>
      <c r="B12900" s="787">
        <v>4</v>
      </c>
      <c r="C12900" s="787" t="s">
        <v>23109</v>
      </c>
      <c r="D12900" s="787">
        <v>5.0199999999999996</v>
      </c>
      <c r="E12900" s="787">
        <v>6</v>
      </c>
      <c r="F12900" s="788">
        <v>40017</v>
      </c>
      <c r="G12900" s="788">
        <v>41564</v>
      </c>
      <c r="H12900" s="787">
        <v>6</v>
      </c>
      <c r="I12900" s="788">
        <v>41968</v>
      </c>
      <c r="J12900" s="788">
        <v>41971</v>
      </c>
      <c r="K12900" s="788">
        <v>41372</v>
      </c>
      <c r="L12900" s="787">
        <v>6</v>
      </c>
      <c r="M12900" s="787">
        <v>20</v>
      </c>
      <c r="N12900" s="787">
        <v>6.45</v>
      </c>
      <c r="O12900" s="788">
        <v>41568</v>
      </c>
    </row>
    <row r="12901" spans="1:15" x14ac:dyDescent="0.25">
      <c r="A12901" s="786" t="s">
        <v>23110</v>
      </c>
      <c r="B12901" s="787">
        <v>4</v>
      </c>
      <c r="C12901" s="787" t="s">
        <v>23111</v>
      </c>
      <c r="D12901" s="787">
        <v>3.79</v>
      </c>
      <c r="E12901" s="787">
        <v>3.79</v>
      </c>
      <c r="F12901" s="788">
        <v>40343</v>
      </c>
      <c r="G12901" s="788">
        <v>41794</v>
      </c>
      <c r="H12901" s="787">
        <v>1</v>
      </c>
      <c r="I12901" s="788">
        <v>41830</v>
      </c>
      <c r="J12901" s="788">
        <v>41794</v>
      </c>
      <c r="L12901" s="787">
        <v>3.79</v>
      </c>
      <c r="M12901" s="787">
        <v>20</v>
      </c>
      <c r="N12901" s="787">
        <v>4.07</v>
      </c>
      <c r="O12901" s="788">
        <v>41858</v>
      </c>
    </row>
    <row r="12902" spans="1:15" x14ac:dyDescent="0.25">
      <c r="A12902" s="786" t="s">
        <v>23112</v>
      </c>
      <c r="B12902" s="787">
        <v>4</v>
      </c>
      <c r="C12902" s="787" t="s">
        <v>23113</v>
      </c>
      <c r="D12902" s="787">
        <v>5.25</v>
      </c>
      <c r="E12902" s="787">
        <v>5.25</v>
      </c>
      <c r="F12902" s="788">
        <v>40017</v>
      </c>
      <c r="G12902" s="788">
        <v>40017</v>
      </c>
      <c r="H12902" s="787">
        <v>1</v>
      </c>
      <c r="J12902" s="788">
        <v>40018</v>
      </c>
      <c r="L12902" s="787">
        <v>5.25</v>
      </c>
      <c r="M12902" s="787">
        <v>20</v>
      </c>
      <c r="N12902" s="787">
        <v>5.64</v>
      </c>
      <c r="O12902" s="788">
        <v>41858</v>
      </c>
    </row>
    <row r="12903" spans="1:15" x14ac:dyDescent="0.25">
      <c r="A12903" s="786" t="s">
        <v>23114</v>
      </c>
      <c r="B12903" s="787">
        <v>4</v>
      </c>
      <c r="C12903" s="787" t="s">
        <v>23115</v>
      </c>
      <c r="D12903" s="787">
        <v>6.12</v>
      </c>
      <c r="E12903" s="787">
        <v>6.12</v>
      </c>
      <c r="F12903" s="788">
        <v>40504</v>
      </c>
      <c r="G12903" s="788">
        <v>40504</v>
      </c>
      <c r="H12903" s="787">
        <v>1</v>
      </c>
      <c r="I12903" s="788">
        <v>41894</v>
      </c>
      <c r="J12903" s="788">
        <v>40562</v>
      </c>
      <c r="L12903" s="787">
        <v>6.12</v>
      </c>
      <c r="M12903" s="787">
        <v>20</v>
      </c>
      <c r="N12903" s="787">
        <v>6.58</v>
      </c>
      <c r="O12903" s="788">
        <v>41858</v>
      </c>
    </row>
    <row r="12904" spans="1:15" x14ac:dyDescent="0.25">
      <c r="A12904" s="786" t="s">
        <v>23116</v>
      </c>
      <c r="B12904" s="787">
        <v>4</v>
      </c>
      <c r="C12904" s="787" t="s">
        <v>23117</v>
      </c>
      <c r="D12904" s="787">
        <v>8.6199999999999992</v>
      </c>
      <c r="E12904" s="787">
        <v>10.52</v>
      </c>
      <c r="F12904" s="788">
        <v>40485</v>
      </c>
      <c r="G12904" s="788">
        <v>42146</v>
      </c>
      <c r="H12904" s="787">
        <v>1</v>
      </c>
      <c r="I12904" s="788">
        <v>42158</v>
      </c>
      <c r="J12904" s="788">
        <v>42124</v>
      </c>
      <c r="K12904" s="788">
        <v>42066</v>
      </c>
      <c r="L12904" s="787">
        <v>10.52</v>
      </c>
      <c r="M12904" s="787">
        <v>20</v>
      </c>
      <c r="N12904" s="787">
        <v>11.31</v>
      </c>
      <c r="O12904" s="788">
        <v>42164</v>
      </c>
    </row>
    <row r="12905" spans="1:15" x14ac:dyDescent="0.25">
      <c r="A12905" s="786" t="s">
        <v>23118</v>
      </c>
      <c r="B12905" s="787">
        <v>4</v>
      </c>
      <c r="C12905" s="787" t="s">
        <v>23119</v>
      </c>
      <c r="D12905" s="787">
        <v>7.22</v>
      </c>
      <c r="E12905" s="787">
        <v>9.2799999999999994</v>
      </c>
      <c r="F12905" s="788">
        <v>40318</v>
      </c>
      <c r="G12905" s="788">
        <v>42146</v>
      </c>
      <c r="H12905" s="787">
        <v>1</v>
      </c>
      <c r="I12905" s="788">
        <v>42152</v>
      </c>
      <c r="J12905" s="788">
        <v>42124</v>
      </c>
      <c r="K12905" s="788">
        <v>42122</v>
      </c>
      <c r="L12905" s="787">
        <v>9.2799999999999994</v>
      </c>
      <c r="M12905" s="787">
        <v>20</v>
      </c>
      <c r="N12905" s="787">
        <v>9.98</v>
      </c>
      <c r="O12905" s="788">
        <v>42127</v>
      </c>
    </row>
    <row r="12906" spans="1:15" x14ac:dyDescent="0.25">
      <c r="A12906" s="786" t="s">
        <v>23120</v>
      </c>
      <c r="B12906" s="787">
        <v>4</v>
      </c>
      <c r="C12906" s="787" t="s">
        <v>23121</v>
      </c>
      <c r="D12906" s="787">
        <v>8.27</v>
      </c>
      <c r="E12906" s="787">
        <v>8.67</v>
      </c>
      <c r="F12906" s="788">
        <v>41787</v>
      </c>
      <c r="G12906" s="788">
        <v>42030</v>
      </c>
      <c r="H12906" s="787">
        <v>1</v>
      </c>
      <c r="I12906" s="788">
        <v>42082</v>
      </c>
      <c r="J12906" s="788">
        <v>42024</v>
      </c>
      <c r="K12906" s="788">
        <v>42020</v>
      </c>
      <c r="L12906" s="787">
        <v>8.67</v>
      </c>
      <c r="M12906" s="787">
        <v>20</v>
      </c>
      <c r="N12906" s="787">
        <v>9.32</v>
      </c>
      <c r="O12906" s="788">
        <v>42020</v>
      </c>
    </row>
    <row r="12907" spans="1:15" x14ac:dyDescent="0.25">
      <c r="A12907" s="786" t="s">
        <v>23122</v>
      </c>
      <c r="B12907" s="787">
        <v>4</v>
      </c>
      <c r="C12907" s="787" t="s">
        <v>23123</v>
      </c>
      <c r="D12907" s="787">
        <v>7.61</v>
      </c>
      <c r="E12907" s="787">
        <v>8.32</v>
      </c>
      <c r="F12907" s="788">
        <v>40386</v>
      </c>
      <c r="G12907" s="788">
        <v>42013</v>
      </c>
      <c r="H12907" s="787">
        <v>1</v>
      </c>
      <c r="I12907" s="788">
        <v>41957</v>
      </c>
      <c r="J12907" s="788">
        <v>40886</v>
      </c>
      <c r="L12907" s="787">
        <v>8.32</v>
      </c>
      <c r="M12907" s="787">
        <v>20</v>
      </c>
      <c r="N12907" s="787">
        <v>8.94</v>
      </c>
      <c r="O12907" s="788">
        <v>41858</v>
      </c>
    </row>
    <row r="12908" spans="1:15" x14ac:dyDescent="0.25">
      <c r="A12908" s="786" t="s">
        <v>23124</v>
      </c>
      <c r="B12908" s="787">
        <v>4</v>
      </c>
      <c r="C12908" s="787" t="s">
        <v>23125</v>
      </c>
      <c r="D12908" s="787">
        <v>8.36</v>
      </c>
      <c r="E12908" s="787">
        <v>9.15</v>
      </c>
      <c r="F12908" s="788">
        <v>40325</v>
      </c>
      <c r="G12908" s="788">
        <v>42013</v>
      </c>
      <c r="H12908" s="787">
        <v>1</v>
      </c>
      <c r="I12908" s="788">
        <v>41954</v>
      </c>
      <c r="J12908" s="788">
        <v>40886</v>
      </c>
      <c r="L12908" s="787">
        <v>9.15</v>
      </c>
      <c r="M12908" s="787">
        <v>20</v>
      </c>
      <c r="N12908" s="787">
        <v>9.84</v>
      </c>
      <c r="O12908" s="788">
        <v>41858</v>
      </c>
    </row>
    <row r="12909" spans="1:15" x14ac:dyDescent="0.25">
      <c r="A12909" s="786" t="s">
        <v>23126</v>
      </c>
      <c r="B12909" s="787">
        <v>4</v>
      </c>
      <c r="C12909" s="787" t="s">
        <v>23127</v>
      </c>
      <c r="D12909" s="787">
        <v>9.08</v>
      </c>
      <c r="E12909" s="787">
        <v>36.43</v>
      </c>
      <c r="F12909" s="788">
        <v>40144</v>
      </c>
      <c r="G12909" s="788">
        <v>42030</v>
      </c>
      <c r="H12909" s="787">
        <v>1</v>
      </c>
      <c r="I12909" s="788">
        <v>42104</v>
      </c>
      <c r="J12909" s="788">
        <v>42024</v>
      </c>
      <c r="K12909" s="788">
        <v>42020</v>
      </c>
      <c r="L12909" s="787">
        <v>36.43</v>
      </c>
      <c r="M12909" s="787">
        <v>20</v>
      </c>
      <c r="N12909" s="787">
        <v>39.159999999999997</v>
      </c>
      <c r="O12909" s="788">
        <v>42020</v>
      </c>
    </row>
    <row r="12910" spans="1:15" x14ac:dyDescent="0.25">
      <c r="A12910" s="786" t="s">
        <v>23128</v>
      </c>
      <c r="B12910" s="787">
        <v>4</v>
      </c>
      <c r="C12910" s="787" t="s">
        <v>23129</v>
      </c>
      <c r="D12910" s="787">
        <v>0.18</v>
      </c>
      <c r="E12910" s="787">
        <v>38.68</v>
      </c>
      <c r="F12910" s="788">
        <v>40343</v>
      </c>
      <c r="G12910" s="788">
        <v>42013</v>
      </c>
      <c r="H12910" s="787">
        <v>1</v>
      </c>
      <c r="I12910" s="788">
        <v>41820</v>
      </c>
      <c r="J12910" s="788">
        <v>41815</v>
      </c>
      <c r="K12910" s="788">
        <v>41865</v>
      </c>
      <c r="L12910" s="787">
        <v>38.68</v>
      </c>
      <c r="M12910" s="787">
        <v>20</v>
      </c>
      <c r="N12910" s="787">
        <v>32.44</v>
      </c>
      <c r="O12910" s="788">
        <v>41858</v>
      </c>
    </row>
    <row r="12911" spans="1:15" x14ac:dyDescent="0.25">
      <c r="A12911" s="786" t="s">
        <v>23130</v>
      </c>
      <c r="B12911" s="787">
        <v>4</v>
      </c>
      <c r="C12911" s="787" t="s">
        <v>23131</v>
      </c>
      <c r="D12911" s="787">
        <v>0.46</v>
      </c>
      <c r="E12911" s="787">
        <v>0.46</v>
      </c>
      <c r="F12911" s="788">
        <v>37641</v>
      </c>
      <c r="G12911" s="788">
        <v>37641</v>
      </c>
      <c r="H12911" s="787">
        <v>1</v>
      </c>
      <c r="J12911" s="788">
        <v>37641</v>
      </c>
      <c r="L12911" s="787">
        <v>0.5</v>
      </c>
      <c r="M12911" s="787">
        <v>20</v>
      </c>
      <c r="N12911" s="787">
        <v>0.54</v>
      </c>
      <c r="O12911" s="788">
        <v>42162</v>
      </c>
    </row>
    <row r="12912" spans="1:15" x14ac:dyDescent="0.25">
      <c r="A12912" s="786" t="s">
        <v>23132</v>
      </c>
      <c r="B12912" s="787">
        <v>4</v>
      </c>
      <c r="C12912" s="787" t="s">
        <v>23133</v>
      </c>
      <c r="D12912" s="787">
        <v>4.28</v>
      </c>
      <c r="E12912" s="787">
        <v>34.28</v>
      </c>
      <c r="F12912" s="788">
        <v>40318</v>
      </c>
      <c r="G12912" s="788">
        <v>41943</v>
      </c>
      <c r="H12912" s="787">
        <v>1</v>
      </c>
      <c r="I12912" s="788">
        <v>41954</v>
      </c>
      <c r="J12912" s="788">
        <v>41845</v>
      </c>
      <c r="L12912" s="787">
        <v>34.28</v>
      </c>
      <c r="M12912" s="787">
        <v>20</v>
      </c>
      <c r="N12912" s="787">
        <v>36.85</v>
      </c>
      <c r="O12912" s="788">
        <v>41858</v>
      </c>
    </row>
    <row r="12913" spans="1:15" x14ac:dyDescent="0.25">
      <c r="A12913" s="786" t="s">
        <v>23134</v>
      </c>
      <c r="B12913" s="787">
        <v>4</v>
      </c>
      <c r="C12913" s="787" t="s">
        <v>23135</v>
      </c>
      <c r="D12913" s="787">
        <v>5</v>
      </c>
      <c r="E12913" s="787">
        <v>15</v>
      </c>
      <c r="F12913" s="788">
        <v>40017</v>
      </c>
      <c r="G12913" s="788">
        <v>41809</v>
      </c>
      <c r="H12913" s="787">
        <v>1</v>
      </c>
      <c r="I12913" s="788">
        <v>41894</v>
      </c>
      <c r="J12913" s="788">
        <v>41809</v>
      </c>
      <c r="L12913" s="787">
        <v>15</v>
      </c>
      <c r="M12913" s="787">
        <v>20</v>
      </c>
      <c r="N12913" s="787">
        <v>16.13</v>
      </c>
      <c r="O12913" s="788">
        <v>42111</v>
      </c>
    </row>
    <row r="12914" spans="1:15" x14ac:dyDescent="0.25">
      <c r="A12914" s="786" t="s">
        <v>23136</v>
      </c>
      <c r="B12914" s="787">
        <v>4</v>
      </c>
      <c r="C12914" s="787" t="s">
        <v>22971</v>
      </c>
      <c r="D12914" s="787">
        <v>5.0999999999999996</v>
      </c>
      <c r="E12914" s="787">
        <v>5.0999999999999996</v>
      </c>
      <c r="F12914" s="788">
        <v>40183</v>
      </c>
      <c r="G12914" s="788">
        <v>40183</v>
      </c>
      <c r="H12914" s="787">
        <v>1</v>
      </c>
      <c r="I12914" s="788">
        <v>41576</v>
      </c>
      <c r="J12914" s="788">
        <v>40158</v>
      </c>
      <c r="L12914" s="787">
        <v>5.0999999999999996</v>
      </c>
      <c r="M12914" s="787">
        <v>20</v>
      </c>
      <c r="N12914" s="787">
        <v>5.48</v>
      </c>
      <c r="O12914" s="788">
        <v>41858</v>
      </c>
    </row>
    <row r="12915" spans="1:15" x14ac:dyDescent="0.25">
      <c r="A12915" s="786" t="s">
        <v>23137</v>
      </c>
      <c r="B12915" s="787">
        <v>4</v>
      </c>
      <c r="C12915" s="787" t="s">
        <v>23138</v>
      </c>
      <c r="D12915" s="787">
        <v>0.54</v>
      </c>
      <c r="E12915" s="787">
        <v>31.42</v>
      </c>
      <c r="F12915" s="788">
        <v>40183</v>
      </c>
      <c r="G12915" s="788">
        <v>40779</v>
      </c>
      <c r="H12915" s="787">
        <v>1</v>
      </c>
      <c r="I12915" s="788">
        <v>42102</v>
      </c>
      <c r="J12915" s="788">
        <v>42103</v>
      </c>
      <c r="L12915" s="787">
        <v>31.42</v>
      </c>
      <c r="M12915" s="787">
        <v>20</v>
      </c>
      <c r="N12915" s="787">
        <v>33.78</v>
      </c>
      <c r="O12915" s="788">
        <v>41858</v>
      </c>
    </row>
    <row r="12916" spans="1:15" x14ac:dyDescent="0.25">
      <c r="A12916" s="786" t="s">
        <v>23139</v>
      </c>
      <c r="B12916" s="787">
        <v>4</v>
      </c>
      <c r="C12916" s="787" t="s">
        <v>23140</v>
      </c>
      <c r="D12916" s="787">
        <v>0.54</v>
      </c>
      <c r="E12916" s="787">
        <v>33.26</v>
      </c>
      <c r="F12916" s="788">
        <v>40344</v>
      </c>
      <c r="G12916" s="788">
        <v>42013</v>
      </c>
      <c r="H12916" s="787">
        <v>1</v>
      </c>
      <c r="I12916" s="788">
        <v>42114</v>
      </c>
      <c r="J12916" s="788">
        <v>41017</v>
      </c>
      <c r="K12916" s="788">
        <v>40946</v>
      </c>
      <c r="L12916" s="787">
        <v>33.26</v>
      </c>
      <c r="M12916" s="787">
        <v>20</v>
      </c>
      <c r="N12916" s="787">
        <v>35.75</v>
      </c>
      <c r="O12916" s="788">
        <v>41858</v>
      </c>
    </row>
    <row r="12917" spans="1:15" x14ac:dyDescent="0.25">
      <c r="A12917" s="786" t="s">
        <v>23141</v>
      </c>
      <c r="B12917" s="787">
        <v>4</v>
      </c>
      <c r="C12917" s="787" t="s">
        <v>23142</v>
      </c>
      <c r="D12917" s="787">
        <v>1.42</v>
      </c>
      <c r="E12917" s="787">
        <v>33.26</v>
      </c>
      <c r="F12917" s="788">
        <v>40485</v>
      </c>
      <c r="G12917" s="788">
        <v>41646</v>
      </c>
      <c r="H12917" s="787">
        <v>1</v>
      </c>
      <c r="I12917" s="788">
        <v>41894</v>
      </c>
      <c r="J12917" s="788">
        <v>41092</v>
      </c>
      <c r="K12917" s="788">
        <v>40946</v>
      </c>
      <c r="L12917" s="787">
        <v>33.26</v>
      </c>
      <c r="M12917" s="787">
        <v>20</v>
      </c>
      <c r="N12917" s="787">
        <v>35.75</v>
      </c>
      <c r="O12917" s="788">
        <v>41858</v>
      </c>
    </row>
    <row r="12918" spans="1:15" x14ac:dyDescent="0.25">
      <c r="A12918" s="786" t="s">
        <v>23143</v>
      </c>
      <c r="B12918" s="787">
        <v>4</v>
      </c>
      <c r="C12918" s="787" t="s">
        <v>22838</v>
      </c>
      <c r="D12918" s="787">
        <v>3.92</v>
      </c>
      <c r="E12918" s="787">
        <v>4.29</v>
      </c>
      <c r="F12918" s="788">
        <v>40494</v>
      </c>
      <c r="G12918" s="788">
        <v>41646</v>
      </c>
      <c r="H12918" s="787">
        <v>1</v>
      </c>
      <c r="I12918" s="788">
        <v>41810</v>
      </c>
      <c r="J12918" s="788">
        <v>41562</v>
      </c>
      <c r="K12918" s="788">
        <v>41561</v>
      </c>
      <c r="L12918" s="787">
        <v>4.29</v>
      </c>
      <c r="M12918" s="787">
        <v>20</v>
      </c>
      <c r="N12918" s="787">
        <v>4.6100000000000003</v>
      </c>
      <c r="O12918" s="788">
        <v>41858</v>
      </c>
    </row>
    <row r="12919" spans="1:15" x14ac:dyDescent="0.25">
      <c r="A12919" s="786" t="s">
        <v>23144</v>
      </c>
      <c r="B12919" s="787">
        <v>4</v>
      </c>
      <c r="C12919" s="787" t="s">
        <v>23145</v>
      </c>
      <c r="D12919" s="787">
        <v>4.99</v>
      </c>
      <c r="E12919" s="787">
        <v>26.49</v>
      </c>
      <c r="F12919" s="788">
        <v>40485</v>
      </c>
      <c r="G12919" s="788">
        <v>42013</v>
      </c>
      <c r="H12919" s="787">
        <v>1</v>
      </c>
      <c r="I12919" s="788">
        <v>41810</v>
      </c>
      <c r="J12919" s="788">
        <v>40883</v>
      </c>
      <c r="L12919" s="787">
        <v>26.49</v>
      </c>
      <c r="M12919" s="787">
        <v>20</v>
      </c>
      <c r="N12919" s="787">
        <v>28.48</v>
      </c>
      <c r="O12919" s="788">
        <v>41858</v>
      </c>
    </row>
    <row r="12920" spans="1:15" x14ac:dyDescent="0.25">
      <c r="A12920" s="786" t="s">
        <v>23146</v>
      </c>
      <c r="B12920" s="787">
        <v>4</v>
      </c>
      <c r="C12920" s="787" t="s">
        <v>23145</v>
      </c>
      <c r="D12920" s="787">
        <v>4.99</v>
      </c>
      <c r="E12920" s="787">
        <v>28.07</v>
      </c>
      <c r="F12920" s="788">
        <v>40485</v>
      </c>
      <c r="G12920" s="788">
        <v>41646</v>
      </c>
      <c r="H12920" s="787">
        <v>1</v>
      </c>
      <c r="I12920" s="788">
        <v>41555</v>
      </c>
      <c r="J12920" s="788">
        <v>41438</v>
      </c>
      <c r="K12920" s="788">
        <v>41457</v>
      </c>
      <c r="L12920" s="787">
        <v>28.07</v>
      </c>
      <c r="M12920" s="787">
        <v>20</v>
      </c>
      <c r="N12920" s="787">
        <v>30.18</v>
      </c>
      <c r="O12920" s="788">
        <v>41858</v>
      </c>
    </row>
    <row r="12921" spans="1:15" x14ac:dyDescent="0.25">
      <c r="A12921" s="786" t="s">
        <v>23147</v>
      </c>
      <c r="B12921" s="787">
        <v>4</v>
      </c>
      <c r="C12921" s="787" t="s">
        <v>23145</v>
      </c>
      <c r="D12921" s="787">
        <v>3.76</v>
      </c>
      <c r="E12921" s="787">
        <v>25.17</v>
      </c>
      <c r="F12921" s="788">
        <v>40485</v>
      </c>
      <c r="G12921" s="788">
        <v>41646</v>
      </c>
      <c r="H12921" s="787">
        <v>1</v>
      </c>
      <c r="I12921" s="788">
        <v>41894</v>
      </c>
      <c r="J12921" s="788">
        <v>40962</v>
      </c>
      <c r="K12921" s="788">
        <v>40963</v>
      </c>
      <c r="L12921" s="787">
        <v>25.17</v>
      </c>
      <c r="M12921" s="787">
        <v>20</v>
      </c>
      <c r="N12921" s="787">
        <v>27.06</v>
      </c>
      <c r="O12921" s="788">
        <v>41858</v>
      </c>
    </row>
    <row r="12922" spans="1:15" x14ac:dyDescent="0.25">
      <c r="A12922" s="786" t="s">
        <v>23148</v>
      </c>
      <c r="B12922" s="787">
        <v>4</v>
      </c>
      <c r="C12922" s="787" t="s">
        <v>23149</v>
      </c>
      <c r="D12922" s="787">
        <v>5.14</v>
      </c>
      <c r="E12922" s="787">
        <v>25.14</v>
      </c>
      <c r="F12922" s="788">
        <v>41572</v>
      </c>
      <c r="G12922" s="788">
        <v>41571</v>
      </c>
      <c r="H12922" s="787">
        <v>1</v>
      </c>
      <c r="I12922" s="788">
        <v>42018</v>
      </c>
      <c r="J12922" s="788">
        <v>41978</v>
      </c>
      <c r="K12922" s="788">
        <v>41562</v>
      </c>
      <c r="L12922" s="787">
        <v>25.14</v>
      </c>
      <c r="M12922" s="787">
        <v>20</v>
      </c>
      <c r="N12922" s="787">
        <v>27.03</v>
      </c>
      <c r="O12922" s="788">
        <v>42111</v>
      </c>
    </row>
    <row r="12923" spans="1:15" x14ac:dyDescent="0.25">
      <c r="A12923" s="786" t="s">
        <v>23150</v>
      </c>
      <c r="B12923" s="787">
        <v>4</v>
      </c>
      <c r="C12923" s="787" t="s">
        <v>23151</v>
      </c>
      <c r="D12923" s="787">
        <v>3.43</v>
      </c>
      <c r="E12923" s="787">
        <v>4.05</v>
      </c>
      <c r="F12923" s="788">
        <v>39101</v>
      </c>
      <c r="G12923" s="788">
        <v>39793</v>
      </c>
      <c r="H12923" s="787">
        <v>1</v>
      </c>
      <c r="I12923" s="788">
        <v>39666</v>
      </c>
      <c r="J12923" s="788">
        <v>39793</v>
      </c>
      <c r="L12923" s="787">
        <v>3.74</v>
      </c>
      <c r="M12923" s="787">
        <v>20</v>
      </c>
      <c r="N12923" s="787">
        <v>4.0199999999999996</v>
      </c>
      <c r="O12923" s="788">
        <v>42162</v>
      </c>
    </row>
    <row r="12924" spans="1:15" x14ac:dyDescent="0.25">
      <c r="A12924" s="786" t="s">
        <v>23152</v>
      </c>
      <c r="B12924" s="787">
        <v>4</v>
      </c>
      <c r="C12924" s="787" t="s">
        <v>23153</v>
      </c>
      <c r="D12924" s="787">
        <v>5.0999999999999996</v>
      </c>
      <c r="E12924" s="787">
        <v>5.0999999999999996</v>
      </c>
      <c r="F12924" s="788">
        <v>37641</v>
      </c>
      <c r="G12924" s="788">
        <v>38736</v>
      </c>
      <c r="H12924" s="787">
        <v>1</v>
      </c>
      <c r="I12924" s="788">
        <v>39134</v>
      </c>
      <c r="J12924" s="788">
        <v>38624</v>
      </c>
      <c r="L12924" s="787">
        <v>5.56</v>
      </c>
      <c r="M12924" s="787">
        <v>20</v>
      </c>
      <c r="N12924" s="787">
        <v>5.98</v>
      </c>
      <c r="O12924" s="788">
        <v>41858</v>
      </c>
    </row>
    <row r="12925" spans="1:15" x14ac:dyDescent="0.25">
      <c r="A12925" s="786" t="s">
        <v>23154</v>
      </c>
      <c r="B12925" s="787">
        <v>4</v>
      </c>
      <c r="C12925" s="787" t="s">
        <v>23155</v>
      </c>
      <c r="D12925" s="787">
        <v>3.75</v>
      </c>
      <c r="E12925" s="787">
        <v>4.05</v>
      </c>
      <c r="F12925" s="788">
        <v>37641</v>
      </c>
      <c r="G12925" s="788">
        <v>39959</v>
      </c>
      <c r="H12925" s="787">
        <v>1</v>
      </c>
      <c r="I12925" s="788">
        <v>40392</v>
      </c>
      <c r="J12925" s="788">
        <v>39959</v>
      </c>
      <c r="L12925" s="787">
        <v>4.09</v>
      </c>
      <c r="M12925" s="787">
        <v>20</v>
      </c>
      <c r="N12925" s="787">
        <v>4.4000000000000004</v>
      </c>
      <c r="O12925" s="788">
        <v>41858</v>
      </c>
    </row>
    <row r="12926" spans="1:15" x14ac:dyDescent="0.25">
      <c r="A12926" s="786" t="s">
        <v>23156</v>
      </c>
      <c r="B12926" s="787">
        <v>4</v>
      </c>
      <c r="C12926" s="787" t="s">
        <v>23157</v>
      </c>
      <c r="D12926" s="787">
        <v>0</v>
      </c>
      <c r="E12926" s="787">
        <v>0</v>
      </c>
      <c r="H12926" s="787">
        <v>1</v>
      </c>
      <c r="I12926" s="788">
        <v>41921</v>
      </c>
      <c r="K12926" s="788">
        <v>41394</v>
      </c>
      <c r="L12926" s="787">
        <v>14.56</v>
      </c>
      <c r="M12926" s="787">
        <v>20</v>
      </c>
      <c r="N12926" s="787">
        <v>15.65</v>
      </c>
      <c r="O12926" s="788">
        <v>41858</v>
      </c>
    </row>
    <row r="12927" spans="1:15" x14ac:dyDescent="0.25">
      <c r="A12927" s="786" t="s">
        <v>23158</v>
      </c>
      <c r="B12927" s="787">
        <v>4</v>
      </c>
      <c r="C12927" s="787" t="s">
        <v>23159</v>
      </c>
      <c r="D12927" s="787">
        <v>4.5599999999999996</v>
      </c>
      <c r="E12927" s="787">
        <v>14.92</v>
      </c>
      <c r="F12927" s="788">
        <v>41568</v>
      </c>
      <c r="G12927" s="788">
        <v>42143</v>
      </c>
      <c r="H12927" s="787">
        <v>2</v>
      </c>
      <c r="I12927" s="788">
        <v>42152</v>
      </c>
      <c r="J12927" s="788">
        <v>42143</v>
      </c>
      <c r="K12927" s="788">
        <v>42122</v>
      </c>
      <c r="L12927" s="787">
        <v>14.92</v>
      </c>
      <c r="M12927" s="787">
        <v>20</v>
      </c>
      <c r="N12927" s="787">
        <v>16.04</v>
      </c>
      <c r="O12927" s="788">
        <v>42127</v>
      </c>
    </row>
    <row r="12928" spans="1:15" x14ac:dyDescent="0.25">
      <c r="A12928" s="786" t="s">
        <v>23160</v>
      </c>
      <c r="B12928" s="787">
        <v>4</v>
      </c>
      <c r="C12928" s="787" t="s">
        <v>23161</v>
      </c>
      <c r="D12928" s="787">
        <v>0</v>
      </c>
      <c r="E12928" s="787">
        <v>0</v>
      </c>
      <c r="H12928" s="787">
        <v>1</v>
      </c>
      <c r="K12928" s="788">
        <v>41394</v>
      </c>
      <c r="L12928" s="787">
        <v>18.96</v>
      </c>
      <c r="M12928" s="787">
        <v>20</v>
      </c>
      <c r="N12928" s="787">
        <v>20.38</v>
      </c>
      <c r="O12928" s="788">
        <v>41858</v>
      </c>
    </row>
    <row r="12929" spans="1:15" x14ac:dyDescent="0.25">
      <c r="A12929" s="786" t="s">
        <v>23162</v>
      </c>
      <c r="B12929" s="787">
        <v>4</v>
      </c>
      <c r="C12929" s="787" t="s">
        <v>23163</v>
      </c>
      <c r="D12929" s="787">
        <v>8.9600000000000009</v>
      </c>
      <c r="E12929" s="787">
        <v>19.399999999999999</v>
      </c>
      <c r="F12929" s="788">
        <v>41577</v>
      </c>
      <c r="G12929" s="788">
        <v>42030</v>
      </c>
      <c r="H12929" s="787">
        <v>1</v>
      </c>
      <c r="I12929" s="788">
        <v>42103</v>
      </c>
      <c r="J12929" s="788">
        <v>42023</v>
      </c>
      <c r="K12929" s="788">
        <v>41396</v>
      </c>
      <c r="L12929" s="787">
        <v>18.96</v>
      </c>
      <c r="M12929" s="787">
        <v>20</v>
      </c>
      <c r="N12929" s="787">
        <v>20.38</v>
      </c>
      <c r="O12929" s="788">
        <v>42127</v>
      </c>
    </row>
    <row r="12930" spans="1:15" x14ac:dyDescent="0.25">
      <c r="A12930" s="786" t="s">
        <v>23164</v>
      </c>
      <c r="B12930" s="787">
        <v>4</v>
      </c>
      <c r="C12930" s="787" t="s">
        <v>23165</v>
      </c>
      <c r="D12930" s="787">
        <v>0</v>
      </c>
      <c r="E12930" s="787">
        <v>0</v>
      </c>
      <c r="H12930" s="787">
        <v>1</v>
      </c>
      <c r="K12930" s="788">
        <v>41396</v>
      </c>
      <c r="L12930" s="787">
        <v>33.57</v>
      </c>
      <c r="M12930" s="787">
        <v>20</v>
      </c>
      <c r="N12930" s="787">
        <v>36.090000000000003</v>
      </c>
      <c r="O12930" s="788">
        <v>41858</v>
      </c>
    </row>
    <row r="12931" spans="1:15" x14ac:dyDescent="0.25">
      <c r="A12931" s="786" t="s">
        <v>23166</v>
      </c>
      <c r="B12931" s="787">
        <v>4</v>
      </c>
      <c r="C12931" s="787" t="s">
        <v>23167</v>
      </c>
      <c r="D12931" s="787">
        <v>3.57</v>
      </c>
      <c r="E12931" s="787">
        <v>34.32</v>
      </c>
      <c r="F12931" s="788">
        <v>41738</v>
      </c>
      <c r="G12931" s="788">
        <v>42069</v>
      </c>
      <c r="H12931" s="787">
        <v>1</v>
      </c>
      <c r="I12931" s="788">
        <v>42093</v>
      </c>
      <c r="J12931" s="788">
        <v>42069</v>
      </c>
      <c r="K12931" s="788">
        <v>42066</v>
      </c>
      <c r="L12931" s="787">
        <v>34.32</v>
      </c>
      <c r="M12931" s="787">
        <v>20</v>
      </c>
      <c r="N12931" s="787">
        <v>36.89</v>
      </c>
      <c r="O12931" s="788">
        <v>42066</v>
      </c>
    </row>
    <row r="12932" spans="1:15" x14ac:dyDescent="0.25">
      <c r="A12932" s="786" t="s">
        <v>23168</v>
      </c>
      <c r="B12932" s="787">
        <v>4</v>
      </c>
      <c r="C12932" s="787" t="s">
        <v>23169</v>
      </c>
      <c r="D12932" s="787">
        <v>3.52</v>
      </c>
      <c r="E12932" s="787">
        <v>3.62</v>
      </c>
      <c r="F12932" s="788">
        <v>41577</v>
      </c>
      <c r="G12932" s="788">
        <v>42150</v>
      </c>
      <c r="H12932" s="787">
        <v>1</v>
      </c>
      <c r="I12932" s="788">
        <v>42145</v>
      </c>
      <c r="J12932" s="788">
        <v>42143</v>
      </c>
      <c r="K12932" s="788">
        <v>42129</v>
      </c>
      <c r="L12932" s="787">
        <v>3.62</v>
      </c>
      <c r="M12932" s="787">
        <v>20</v>
      </c>
      <c r="N12932" s="787">
        <v>3.78</v>
      </c>
      <c r="O12932" s="788">
        <v>42127</v>
      </c>
    </row>
    <row r="12933" spans="1:15" x14ac:dyDescent="0.25">
      <c r="A12933" s="786" t="s">
        <v>23170</v>
      </c>
      <c r="B12933" s="787">
        <v>4</v>
      </c>
      <c r="C12933" s="787" t="s">
        <v>23171</v>
      </c>
      <c r="D12933" s="787">
        <v>9.2799999999999994</v>
      </c>
      <c r="E12933" s="787">
        <v>53.33</v>
      </c>
      <c r="F12933" s="788">
        <v>41610</v>
      </c>
      <c r="G12933" s="788">
        <v>41974</v>
      </c>
      <c r="H12933" s="787">
        <v>1</v>
      </c>
      <c r="I12933" s="788">
        <v>41606</v>
      </c>
      <c r="J12933" s="788">
        <v>41956</v>
      </c>
      <c r="K12933" s="788">
        <v>41396</v>
      </c>
      <c r="L12933" s="787">
        <v>49.28</v>
      </c>
      <c r="M12933" s="787">
        <v>20</v>
      </c>
      <c r="N12933" s="787">
        <v>52.98</v>
      </c>
      <c r="O12933" s="788">
        <v>41858</v>
      </c>
    </row>
    <row r="12934" spans="1:15" x14ac:dyDescent="0.25">
      <c r="A12934" s="786" t="s">
        <v>23172</v>
      </c>
      <c r="B12934" s="787">
        <v>4</v>
      </c>
      <c r="C12934" s="787" t="s">
        <v>23173</v>
      </c>
      <c r="D12934" s="787">
        <v>0</v>
      </c>
      <c r="E12934" s="787">
        <v>0</v>
      </c>
      <c r="H12934" s="787">
        <v>1</v>
      </c>
      <c r="K12934" s="788">
        <v>41396</v>
      </c>
      <c r="L12934" s="787">
        <v>66.88</v>
      </c>
      <c r="M12934" s="787">
        <v>20</v>
      </c>
      <c r="N12934" s="787">
        <v>71.900000000000006</v>
      </c>
      <c r="O12934" s="788">
        <v>41858</v>
      </c>
    </row>
    <row r="12935" spans="1:15" x14ac:dyDescent="0.25">
      <c r="A12935" s="786" t="s">
        <v>23174</v>
      </c>
      <c r="B12935" s="787">
        <v>4</v>
      </c>
      <c r="C12935" s="787" t="s">
        <v>23175</v>
      </c>
      <c r="D12935" s="787">
        <v>0</v>
      </c>
      <c r="E12935" s="787">
        <v>0</v>
      </c>
      <c r="H12935" s="787">
        <v>1</v>
      </c>
      <c r="K12935" s="788">
        <v>41396</v>
      </c>
      <c r="L12935" s="787">
        <v>73.48</v>
      </c>
      <c r="M12935" s="787">
        <v>20</v>
      </c>
      <c r="N12935" s="787">
        <v>78.989999999999995</v>
      </c>
      <c r="O12935" s="788">
        <v>41858</v>
      </c>
    </row>
    <row r="12936" spans="1:15" x14ac:dyDescent="0.25">
      <c r="A12936" s="786" t="s">
        <v>23176</v>
      </c>
      <c r="B12936" s="787">
        <v>4</v>
      </c>
      <c r="C12936" s="787" t="s">
        <v>23177</v>
      </c>
      <c r="D12936" s="787">
        <v>4.29</v>
      </c>
      <c r="E12936" s="787">
        <v>4.29</v>
      </c>
      <c r="F12936" s="788">
        <v>41610</v>
      </c>
      <c r="G12936" s="788">
        <v>41591</v>
      </c>
      <c r="H12936" s="787">
        <v>1</v>
      </c>
      <c r="J12936" s="788">
        <v>41591</v>
      </c>
      <c r="K12936" s="788">
        <v>41590</v>
      </c>
      <c r="L12936" s="787">
        <v>4.29</v>
      </c>
      <c r="M12936" s="787">
        <v>20</v>
      </c>
      <c r="N12936" s="787">
        <v>4.6100000000000003</v>
      </c>
      <c r="O12936" s="788">
        <v>41858</v>
      </c>
    </row>
    <row r="12937" spans="1:15" x14ac:dyDescent="0.25">
      <c r="A12937" s="786" t="s">
        <v>23178</v>
      </c>
      <c r="B12937" s="787">
        <v>4</v>
      </c>
      <c r="C12937" s="787" t="s">
        <v>23179</v>
      </c>
      <c r="D12937" s="787">
        <v>0</v>
      </c>
      <c r="E12937" s="787">
        <v>0</v>
      </c>
      <c r="H12937" s="787">
        <v>1</v>
      </c>
      <c r="K12937" s="788">
        <v>41396</v>
      </c>
      <c r="L12937" s="787">
        <v>12.32</v>
      </c>
      <c r="M12937" s="787">
        <v>20</v>
      </c>
      <c r="N12937" s="787">
        <v>13.24</v>
      </c>
      <c r="O12937" s="788">
        <v>41858</v>
      </c>
    </row>
    <row r="12938" spans="1:15" x14ac:dyDescent="0.25">
      <c r="A12938" s="786" t="s">
        <v>23180</v>
      </c>
      <c r="B12938" s="787">
        <v>4</v>
      </c>
      <c r="C12938" s="787" t="s">
        <v>23159</v>
      </c>
      <c r="D12938" s="787">
        <v>2.3199999999999998</v>
      </c>
      <c r="E12938" s="787">
        <v>12.63</v>
      </c>
      <c r="F12938" s="788">
        <v>41834</v>
      </c>
      <c r="G12938" s="788">
        <v>42030</v>
      </c>
      <c r="H12938" s="787">
        <v>1</v>
      </c>
      <c r="I12938" s="788">
        <v>42086</v>
      </c>
      <c r="J12938" s="788">
        <v>42023</v>
      </c>
      <c r="K12938" s="788">
        <v>42020</v>
      </c>
      <c r="L12938" s="787">
        <v>12.63</v>
      </c>
      <c r="M12938" s="787">
        <v>20</v>
      </c>
      <c r="N12938" s="787">
        <v>13.58</v>
      </c>
      <c r="O12938" s="788">
        <v>42146</v>
      </c>
    </row>
    <row r="12939" spans="1:15" x14ac:dyDescent="0.25">
      <c r="A12939" s="786" t="s">
        <v>23181</v>
      </c>
      <c r="B12939" s="787">
        <v>4</v>
      </c>
      <c r="C12939" s="787" t="s">
        <v>23161</v>
      </c>
      <c r="D12939" s="787">
        <v>0</v>
      </c>
      <c r="E12939" s="787">
        <v>0</v>
      </c>
      <c r="H12939" s="787">
        <v>1</v>
      </c>
      <c r="K12939" s="788">
        <v>41416</v>
      </c>
      <c r="L12939" s="787">
        <v>16.5</v>
      </c>
      <c r="M12939" s="787">
        <v>20</v>
      </c>
      <c r="N12939" s="787">
        <v>17.739999999999998</v>
      </c>
      <c r="O12939" s="788">
        <v>41858</v>
      </c>
    </row>
    <row r="12940" spans="1:15" x14ac:dyDescent="0.25">
      <c r="A12940" s="786" t="s">
        <v>23182</v>
      </c>
      <c r="B12940" s="787">
        <v>4</v>
      </c>
      <c r="C12940" s="787" t="s">
        <v>23183</v>
      </c>
      <c r="D12940" s="787">
        <v>0</v>
      </c>
      <c r="E12940" s="787">
        <v>0</v>
      </c>
      <c r="H12940" s="787">
        <v>1</v>
      </c>
      <c r="K12940" s="788">
        <v>41416</v>
      </c>
      <c r="L12940" s="787">
        <v>16.5</v>
      </c>
      <c r="M12940" s="787">
        <v>20</v>
      </c>
      <c r="N12940" s="787">
        <v>17.739999999999998</v>
      </c>
      <c r="O12940" s="788">
        <v>41858</v>
      </c>
    </row>
    <row r="12941" spans="1:15" x14ac:dyDescent="0.25">
      <c r="A12941" s="786" t="s">
        <v>23184</v>
      </c>
      <c r="B12941" s="787">
        <v>4</v>
      </c>
      <c r="C12941" s="787" t="s">
        <v>23165</v>
      </c>
      <c r="D12941" s="787">
        <v>0</v>
      </c>
      <c r="E12941" s="787">
        <v>0</v>
      </c>
      <c r="H12941" s="787">
        <v>1</v>
      </c>
      <c r="K12941" s="788">
        <v>41416</v>
      </c>
      <c r="L12941" s="787">
        <v>20.81</v>
      </c>
      <c r="M12941" s="787">
        <v>20</v>
      </c>
      <c r="N12941" s="787">
        <v>22.37</v>
      </c>
      <c r="O12941" s="788">
        <v>41858</v>
      </c>
    </row>
    <row r="12942" spans="1:15" x14ac:dyDescent="0.25">
      <c r="A12942" s="786" t="s">
        <v>23185</v>
      </c>
      <c r="B12942" s="787">
        <v>4</v>
      </c>
      <c r="C12942" s="787" t="s">
        <v>23186</v>
      </c>
      <c r="D12942" s="787">
        <v>0</v>
      </c>
      <c r="E12942" s="787">
        <v>0</v>
      </c>
      <c r="H12942" s="787">
        <v>1</v>
      </c>
      <c r="K12942" s="788">
        <v>41416</v>
      </c>
      <c r="L12942" s="787">
        <v>20.81</v>
      </c>
      <c r="M12942" s="787">
        <v>20</v>
      </c>
      <c r="N12942" s="787">
        <v>22.37</v>
      </c>
      <c r="O12942" s="788">
        <v>41858</v>
      </c>
    </row>
    <row r="12943" spans="1:15" x14ac:dyDescent="0.25">
      <c r="A12943" s="786" t="s">
        <v>23187</v>
      </c>
      <c r="B12943" s="787">
        <v>4</v>
      </c>
      <c r="C12943" s="787" t="s">
        <v>23188</v>
      </c>
      <c r="D12943" s="787">
        <v>0</v>
      </c>
      <c r="E12943" s="787">
        <v>0</v>
      </c>
      <c r="H12943" s="787">
        <v>1</v>
      </c>
      <c r="K12943" s="788">
        <v>41416</v>
      </c>
      <c r="L12943" s="787">
        <v>7.8</v>
      </c>
      <c r="M12943" s="787">
        <v>20</v>
      </c>
      <c r="N12943" s="787">
        <v>8.39</v>
      </c>
      <c r="O12943" s="788">
        <v>41858</v>
      </c>
    </row>
    <row r="12944" spans="1:15" x14ac:dyDescent="0.25">
      <c r="A12944" s="786" t="s">
        <v>23189</v>
      </c>
      <c r="B12944" s="787">
        <v>4</v>
      </c>
      <c r="C12944" s="787" t="s">
        <v>23190</v>
      </c>
      <c r="D12944" s="787">
        <v>0</v>
      </c>
      <c r="E12944" s="787">
        <v>0</v>
      </c>
      <c r="H12944" s="787">
        <v>1</v>
      </c>
      <c r="K12944" s="788">
        <v>41417</v>
      </c>
      <c r="L12944" s="787">
        <v>30.71</v>
      </c>
      <c r="M12944" s="787">
        <v>20</v>
      </c>
      <c r="N12944" s="787">
        <v>33.01</v>
      </c>
      <c r="O12944" s="788">
        <v>41858</v>
      </c>
    </row>
    <row r="12945" spans="1:15" x14ac:dyDescent="0.25">
      <c r="A12945" s="786" t="s">
        <v>23191</v>
      </c>
      <c r="B12945" s="787">
        <v>4</v>
      </c>
      <c r="C12945" s="787" t="s">
        <v>23192</v>
      </c>
      <c r="D12945" s="787">
        <v>0</v>
      </c>
      <c r="E12945" s="787">
        <v>0</v>
      </c>
      <c r="H12945" s="787">
        <v>1</v>
      </c>
      <c r="K12945" s="788">
        <v>41417</v>
      </c>
      <c r="L12945" s="787">
        <v>44.44</v>
      </c>
      <c r="M12945" s="787">
        <v>20</v>
      </c>
      <c r="N12945" s="787">
        <v>47.77</v>
      </c>
      <c r="O12945" s="788">
        <v>41858</v>
      </c>
    </row>
    <row r="12946" spans="1:15" x14ac:dyDescent="0.25">
      <c r="A12946" s="786" t="s">
        <v>23193</v>
      </c>
      <c r="B12946" s="787">
        <v>4</v>
      </c>
      <c r="C12946" s="787" t="s">
        <v>23194</v>
      </c>
      <c r="D12946" s="787">
        <v>0</v>
      </c>
      <c r="E12946" s="787">
        <v>0</v>
      </c>
      <c r="H12946" s="787">
        <v>1</v>
      </c>
      <c r="K12946" s="788">
        <v>41417</v>
      </c>
      <c r="L12946" s="787">
        <v>50.16</v>
      </c>
      <c r="M12946" s="787">
        <v>20</v>
      </c>
      <c r="N12946" s="787">
        <v>53.92</v>
      </c>
      <c r="O12946" s="788">
        <v>41858</v>
      </c>
    </row>
    <row r="12947" spans="1:15" x14ac:dyDescent="0.25">
      <c r="A12947" s="786" t="s">
        <v>23195</v>
      </c>
      <c r="B12947" s="787">
        <v>4</v>
      </c>
      <c r="C12947" s="787" t="s">
        <v>23196</v>
      </c>
      <c r="D12947" s="787">
        <v>0.39</v>
      </c>
      <c r="E12947" s="787">
        <v>40.39</v>
      </c>
      <c r="F12947" s="788">
        <v>41577</v>
      </c>
      <c r="G12947" s="788">
        <v>42013</v>
      </c>
      <c r="H12947" s="787">
        <v>1</v>
      </c>
      <c r="I12947" s="788">
        <v>42018</v>
      </c>
      <c r="J12947" s="788">
        <v>41606</v>
      </c>
      <c r="K12947" s="788">
        <v>41562</v>
      </c>
      <c r="L12947" s="787">
        <v>40.39</v>
      </c>
      <c r="M12947" s="787">
        <v>20</v>
      </c>
      <c r="N12947" s="787">
        <v>43.42</v>
      </c>
      <c r="O12947" s="788">
        <v>42164</v>
      </c>
    </row>
    <row r="12948" spans="1:15" x14ac:dyDescent="0.25">
      <c r="A12948" s="786" t="s">
        <v>23197</v>
      </c>
      <c r="B12948" s="787">
        <v>4</v>
      </c>
      <c r="C12948" s="787" t="s">
        <v>23188</v>
      </c>
      <c r="D12948" s="787">
        <v>0</v>
      </c>
      <c r="E12948" s="787">
        <v>0</v>
      </c>
      <c r="H12948" s="787">
        <v>1</v>
      </c>
      <c r="K12948" s="788">
        <v>41417</v>
      </c>
      <c r="L12948" s="787">
        <v>4.18</v>
      </c>
      <c r="M12948" s="787">
        <v>20</v>
      </c>
      <c r="N12948" s="787">
        <v>4.49</v>
      </c>
      <c r="O12948" s="788">
        <v>41858</v>
      </c>
    </row>
    <row r="12949" spans="1:15" x14ac:dyDescent="0.25">
      <c r="A12949" s="786" t="s">
        <v>23198</v>
      </c>
      <c r="B12949" s="787">
        <v>4</v>
      </c>
      <c r="C12949" s="787" t="s">
        <v>23199</v>
      </c>
      <c r="D12949" s="787">
        <v>5.98</v>
      </c>
      <c r="E12949" s="787">
        <v>6.07</v>
      </c>
      <c r="F12949" s="788">
        <v>41577</v>
      </c>
      <c r="G12949" s="788">
        <v>42030</v>
      </c>
      <c r="H12949" s="787">
        <v>1</v>
      </c>
      <c r="I12949" s="788">
        <v>42114</v>
      </c>
      <c r="J12949" s="788">
        <v>42023</v>
      </c>
      <c r="K12949" s="788">
        <v>41922</v>
      </c>
      <c r="L12949" s="787">
        <v>6.07</v>
      </c>
      <c r="M12949" s="787">
        <v>20</v>
      </c>
      <c r="N12949" s="787">
        <v>6.53</v>
      </c>
      <c r="O12949" s="788">
        <v>42127</v>
      </c>
    </row>
    <row r="12950" spans="1:15" x14ac:dyDescent="0.25">
      <c r="A12950" s="786" t="s">
        <v>23200</v>
      </c>
      <c r="B12950" s="787">
        <v>4</v>
      </c>
      <c r="C12950" s="787" t="s">
        <v>23201</v>
      </c>
      <c r="D12950" s="787">
        <v>5.98</v>
      </c>
      <c r="E12950" s="787">
        <v>5.98</v>
      </c>
      <c r="F12950" s="788">
        <v>41577</v>
      </c>
      <c r="G12950" s="788">
        <v>41911</v>
      </c>
      <c r="H12950" s="787">
        <v>1</v>
      </c>
      <c r="I12950" s="788">
        <v>41935</v>
      </c>
      <c r="J12950" s="788">
        <v>41901</v>
      </c>
      <c r="K12950" s="788">
        <v>41417</v>
      </c>
      <c r="L12950" s="787">
        <v>5.98</v>
      </c>
      <c r="M12950" s="787">
        <v>20</v>
      </c>
      <c r="N12950" s="787">
        <v>6.43</v>
      </c>
      <c r="O12950" s="788">
        <v>41858</v>
      </c>
    </row>
    <row r="12951" spans="1:15" x14ac:dyDescent="0.25">
      <c r="A12951" s="786" t="s">
        <v>23202</v>
      </c>
      <c r="B12951" s="787">
        <v>4</v>
      </c>
      <c r="C12951" s="787" t="s">
        <v>23203</v>
      </c>
      <c r="D12951" s="787">
        <v>5.98</v>
      </c>
      <c r="E12951" s="787">
        <v>6.07</v>
      </c>
      <c r="F12951" s="788">
        <v>41577</v>
      </c>
      <c r="G12951" s="788">
        <v>41974</v>
      </c>
      <c r="H12951" s="787">
        <v>1</v>
      </c>
      <c r="I12951" s="788">
        <v>42025</v>
      </c>
      <c r="J12951" s="788">
        <v>41954</v>
      </c>
      <c r="K12951" s="788">
        <v>41417</v>
      </c>
      <c r="L12951" s="787">
        <v>5.98</v>
      </c>
      <c r="M12951" s="787">
        <v>20</v>
      </c>
      <c r="N12951" s="787">
        <v>6.43</v>
      </c>
      <c r="O12951" s="788">
        <v>42127</v>
      </c>
    </row>
    <row r="12952" spans="1:15" x14ac:dyDescent="0.25">
      <c r="A12952" s="786" t="s">
        <v>23204</v>
      </c>
      <c r="B12952" s="787">
        <v>4</v>
      </c>
      <c r="C12952" s="787" t="s">
        <v>23205</v>
      </c>
      <c r="D12952" s="787">
        <v>5.98</v>
      </c>
      <c r="E12952" s="787">
        <v>5.98</v>
      </c>
      <c r="F12952" s="788">
        <v>41577</v>
      </c>
      <c r="G12952" s="788">
        <v>41765</v>
      </c>
      <c r="H12952" s="787">
        <v>1</v>
      </c>
      <c r="J12952" s="788">
        <v>41758</v>
      </c>
      <c r="K12952" s="788">
        <v>41417</v>
      </c>
      <c r="L12952" s="787">
        <v>5.98</v>
      </c>
      <c r="M12952" s="787">
        <v>20</v>
      </c>
      <c r="N12952" s="787">
        <v>6.43</v>
      </c>
      <c r="O12952" s="788">
        <v>41858</v>
      </c>
    </row>
    <row r="12953" spans="1:15" x14ac:dyDescent="0.25">
      <c r="A12953" s="786" t="s">
        <v>23206</v>
      </c>
      <c r="B12953" s="787">
        <v>4</v>
      </c>
      <c r="C12953" s="787" t="s">
        <v>23207</v>
      </c>
      <c r="D12953" s="787">
        <v>5.98</v>
      </c>
      <c r="E12953" s="787">
        <v>5.98</v>
      </c>
      <c r="F12953" s="788">
        <v>41577</v>
      </c>
      <c r="G12953" s="788">
        <v>41583</v>
      </c>
      <c r="H12953" s="787">
        <v>1</v>
      </c>
      <c r="I12953" s="788">
        <v>41894</v>
      </c>
      <c r="J12953" s="788">
        <v>41577</v>
      </c>
      <c r="K12953" s="788">
        <v>41417</v>
      </c>
      <c r="L12953" s="787">
        <v>5.98</v>
      </c>
      <c r="M12953" s="787">
        <v>20</v>
      </c>
      <c r="N12953" s="787">
        <v>6.43</v>
      </c>
      <c r="O12953" s="788">
        <v>41858</v>
      </c>
    </row>
    <row r="12954" spans="1:15" x14ac:dyDescent="0.25">
      <c r="A12954" s="786" t="s">
        <v>23208</v>
      </c>
      <c r="B12954" s="787">
        <v>4</v>
      </c>
      <c r="C12954" s="787" t="s">
        <v>13061</v>
      </c>
      <c r="D12954" s="787">
        <v>4.6399999999999997</v>
      </c>
      <c r="E12954" s="787">
        <v>25.21</v>
      </c>
      <c r="F12954" s="788">
        <v>41577</v>
      </c>
      <c r="G12954" s="788">
        <v>42092</v>
      </c>
      <c r="H12954" s="787">
        <v>1</v>
      </c>
      <c r="I12954" s="788">
        <v>42164</v>
      </c>
      <c r="J12954" s="788">
        <v>42073</v>
      </c>
      <c r="K12954" s="788">
        <v>42111</v>
      </c>
      <c r="L12954" s="787">
        <v>25.21</v>
      </c>
      <c r="M12954" s="787">
        <v>20</v>
      </c>
      <c r="N12954" s="787">
        <v>26.49</v>
      </c>
      <c r="O12954" s="788">
        <v>41858</v>
      </c>
    </row>
    <row r="12955" spans="1:15" x14ac:dyDescent="0.25">
      <c r="A12955" s="786" t="s">
        <v>23209</v>
      </c>
      <c r="B12955" s="787">
        <v>4</v>
      </c>
      <c r="C12955" s="787" t="s">
        <v>23210</v>
      </c>
      <c r="D12955" s="787">
        <v>0</v>
      </c>
      <c r="E12955" s="787">
        <v>0</v>
      </c>
      <c r="H12955" s="787">
        <v>1</v>
      </c>
      <c r="K12955" s="788">
        <v>41429</v>
      </c>
      <c r="L12955" s="787">
        <v>24.64</v>
      </c>
      <c r="M12955" s="787">
        <v>20</v>
      </c>
      <c r="N12955" s="787">
        <v>26.49</v>
      </c>
      <c r="O12955" s="788">
        <v>41858</v>
      </c>
    </row>
    <row r="12956" spans="1:15" x14ac:dyDescent="0.25">
      <c r="A12956" s="786" t="s">
        <v>23211</v>
      </c>
      <c r="B12956" s="787">
        <v>4</v>
      </c>
      <c r="C12956" s="787" t="s">
        <v>13061</v>
      </c>
      <c r="D12956" s="787">
        <v>6.14</v>
      </c>
      <c r="E12956" s="787">
        <v>26.71</v>
      </c>
      <c r="F12956" s="788">
        <v>41809</v>
      </c>
      <c r="G12956" s="788">
        <v>41974</v>
      </c>
      <c r="H12956" s="787">
        <v>1</v>
      </c>
      <c r="I12956" s="788">
        <v>42163</v>
      </c>
      <c r="J12956" s="788">
        <v>41954</v>
      </c>
      <c r="K12956" s="788">
        <v>41429</v>
      </c>
      <c r="L12956" s="787">
        <v>26.14</v>
      </c>
      <c r="M12956" s="787">
        <v>20</v>
      </c>
      <c r="N12956" s="787">
        <v>28.1</v>
      </c>
      <c r="O12956" s="788">
        <v>41858</v>
      </c>
    </row>
    <row r="12957" spans="1:15" x14ac:dyDescent="0.25">
      <c r="A12957" s="786" t="s">
        <v>23212</v>
      </c>
      <c r="B12957" s="787">
        <v>4</v>
      </c>
      <c r="C12957" s="787" t="s">
        <v>13061</v>
      </c>
      <c r="D12957" s="787">
        <v>6.14</v>
      </c>
      <c r="E12957" s="787">
        <v>26.71</v>
      </c>
      <c r="F12957" s="788">
        <v>41809</v>
      </c>
      <c r="G12957" s="788">
        <v>41974</v>
      </c>
      <c r="H12957" s="787">
        <v>1</v>
      </c>
      <c r="I12957" s="788">
        <v>42089</v>
      </c>
      <c r="J12957" s="788">
        <v>41954</v>
      </c>
      <c r="K12957" s="788">
        <v>41429</v>
      </c>
      <c r="L12957" s="787">
        <v>26.14</v>
      </c>
      <c r="M12957" s="787">
        <v>20</v>
      </c>
      <c r="N12957" s="787">
        <v>28.1</v>
      </c>
      <c r="O12957" s="788">
        <v>41858</v>
      </c>
    </row>
    <row r="12958" spans="1:15" x14ac:dyDescent="0.25">
      <c r="A12958" s="786" t="s">
        <v>23213</v>
      </c>
      <c r="B12958" s="787">
        <v>4</v>
      </c>
      <c r="C12958" s="787" t="s">
        <v>13061</v>
      </c>
      <c r="D12958" s="787">
        <v>7.32</v>
      </c>
      <c r="E12958" s="787">
        <v>27.32</v>
      </c>
      <c r="F12958" s="788">
        <v>41809</v>
      </c>
      <c r="G12958" s="788">
        <v>41850</v>
      </c>
      <c r="H12958" s="787">
        <v>1</v>
      </c>
      <c r="I12958" s="788">
        <v>42143</v>
      </c>
      <c r="J12958" s="788">
        <v>41831</v>
      </c>
      <c r="K12958" s="788">
        <v>41429</v>
      </c>
      <c r="L12958" s="787">
        <v>27.32</v>
      </c>
      <c r="M12958" s="787">
        <v>20</v>
      </c>
      <c r="N12958" s="787">
        <v>29.37</v>
      </c>
      <c r="O12958" s="788">
        <v>41858</v>
      </c>
    </row>
    <row r="12959" spans="1:15" x14ac:dyDescent="0.25">
      <c r="A12959" s="786" t="s">
        <v>23214</v>
      </c>
      <c r="B12959" s="787">
        <v>4</v>
      </c>
      <c r="C12959" s="787" t="s">
        <v>13061</v>
      </c>
      <c r="D12959" s="787">
        <v>7.32</v>
      </c>
      <c r="E12959" s="787">
        <v>27.94</v>
      </c>
      <c r="F12959" s="788">
        <v>41577</v>
      </c>
      <c r="G12959" s="788">
        <v>42159</v>
      </c>
      <c r="H12959" s="787">
        <v>1</v>
      </c>
      <c r="I12959" s="788">
        <v>42123</v>
      </c>
      <c r="J12959" s="788">
        <v>42159</v>
      </c>
      <c r="K12959" s="788">
        <v>41429</v>
      </c>
      <c r="L12959" s="787">
        <v>27.32</v>
      </c>
      <c r="M12959" s="787">
        <v>20</v>
      </c>
      <c r="N12959" s="787">
        <v>29.37</v>
      </c>
      <c r="O12959" s="788">
        <v>42127</v>
      </c>
    </row>
    <row r="12960" spans="1:15" x14ac:dyDescent="0.25">
      <c r="A12960" s="786" t="s">
        <v>23215</v>
      </c>
      <c r="B12960" s="787">
        <v>4</v>
      </c>
      <c r="C12960" s="787" t="s">
        <v>13061</v>
      </c>
      <c r="D12960" s="787">
        <v>7.32</v>
      </c>
      <c r="E12960" s="787">
        <v>27.32</v>
      </c>
      <c r="F12960" s="788">
        <v>41813</v>
      </c>
      <c r="G12960" s="788">
        <v>41844</v>
      </c>
      <c r="H12960" s="787">
        <v>1</v>
      </c>
      <c r="I12960" s="788">
        <v>42067</v>
      </c>
      <c r="J12960" s="788">
        <v>41809</v>
      </c>
      <c r="K12960" s="788">
        <v>41429</v>
      </c>
      <c r="L12960" s="787">
        <v>27.32</v>
      </c>
      <c r="M12960" s="787">
        <v>20</v>
      </c>
      <c r="N12960" s="787">
        <v>29.37</v>
      </c>
      <c r="O12960" s="788">
        <v>42111</v>
      </c>
    </row>
    <row r="12961" spans="1:15" x14ac:dyDescent="0.25">
      <c r="A12961" s="786" t="s">
        <v>23216</v>
      </c>
      <c r="B12961" s="787">
        <v>4</v>
      </c>
      <c r="C12961" s="787" t="s">
        <v>13061</v>
      </c>
      <c r="D12961" s="787">
        <v>7.32</v>
      </c>
      <c r="E12961" s="787">
        <v>27.94</v>
      </c>
      <c r="F12961" s="788">
        <v>41809</v>
      </c>
      <c r="G12961" s="788">
        <v>41974</v>
      </c>
      <c r="H12961" s="787">
        <v>1</v>
      </c>
      <c r="I12961" s="788">
        <v>42143</v>
      </c>
      <c r="J12961" s="788">
        <v>41954</v>
      </c>
      <c r="K12961" s="788">
        <v>41429</v>
      </c>
      <c r="L12961" s="787">
        <v>27.32</v>
      </c>
      <c r="M12961" s="787">
        <v>20</v>
      </c>
      <c r="N12961" s="787">
        <v>29.37</v>
      </c>
      <c r="O12961" s="788">
        <v>42127</v>
      </c>
    </row>
    <row r="12962" spans="1:15" x14ac:dyDescent="0.25">
      <c r="A12962" s="786" t="s">
        <v>23217</v>
      </c>
      <c r="B12962" s="787">
        <v>4</v>
      </c>
      <c r="C12962" s="787" t="s">
        <v>13061</v>
      </c>
      <c r="D12962" s="787">
        <v>7.32</v>
      </c>
      <c r="E12962" s="787">
        <v>27.94</v>
      </c>
      <c r="F12962" s="788">
        <v>41577</v>
      </c>
      <c r="G12962" s="788">
        <v>42165</v>
      </c>
      <c r="H12962" s="787">
        <v>1</v>
      </c>
      <c r="I12962" s="788">
        <v>42163</v>
      </c>
      <c r="J12962" s="788">
        <v>42159</v>
      </c>
      <c r="K12962" s="788">
        <v>42166</v>
      </c>
      <c r="L12962" s="787">
        <v>27.94</v>
      </c>
      <c r="M12962" s="787">
        <v>20</v>
      </c>
      <c r="N12962" s="787">
        <v>29.37</v>
      </c>
      <c r="O12962" s="788">
        <v>41858</v>
      </c>
    </row>
    <row r="12963" spans="1:15" x14ac:dyDescent="0.25">
      <c r="A12963" s="786" t="s">
        <v>23218</v>
      </c>
      <c r="B12963" s="787">
        <v>4</v>
      </c>
      <c r="C12963" s="787" t="s">
        <v>13061</v>
      </c>
      <c r="D12963" s="787">
        <v>7.32</v>
      </c>
      <c r="E12963" s="787">
        <v>27.94</v>
      </c>
      <c r="F12963" s="788">
        <v>41809</v>
      </c>
      <c r="G12963" s="788">
        <v>41974</v>
      </c>
      <c r="H12963" s="787">
        <v>1</v>
      </c>
      <c r="I12963" s="788">
        <v>41957</v>
      </c>
      <c r="J12963" s="788">
        <v>41954</v>
      </c>
      <c r="K12963" s="788">
        <v>41429</v>
      </c>
      <c r="L12963" s="787">
        <v>27.32</v>
      </c>
      <c r="M12963" s="787">
        <v>20</v>
      </c>
      <c r="N12963" s="787">
        <v>29.37</v>
      </c>
      <c r="O12963" s="788">
        <v>41858</v>
      </c>
    </row>
    <row r="12964" spans="1:15" x14ac:dyDescent="0.25">
      <c r="A12964" s="786" t="s">
        <v>23219</v>
      </c>
      <c r="B12964" s="787">
        <v>4</v>
      </c>
      <c r="C12964" s="787" t="s">
        <v>13061</v>
      </c>
      <c r="D12964" s="787">
        <v>7.32</v>
      </c>
      <c r="E12964" s="787">
        <v>27.32</v>
      </c>
      <c r="F12964" s="788">
        <v>41809</v>
      </c>
      <c r="G12964" s="788">
        <v>41844</v>
      </c>
      <c r="H12964" s="787">
        <v>1</v>
      </c>
      <c r="I12964" s="788">
        <v>41957</v>
      </c>
      <c r="J12964" s="788">
        <v>41806</v>
      </c>
      <c r="K12964" s="788">
        <v>41429</v>
      </c>
      <c r="L12964" s="787">
        <v>27.32</v>
      </c>
      <c r="M12964" s="787">
        <v>20</v>
      </c>
      <c r="N12964" s="787">
        <v>29.37</v>
      </c>
      <c r="O12964" s="788">
        <v>41858</v>
      </c>
    </row>
    <row r="12965" spans="1:15" x14ac:dyDescent="0.25">
      <c r="A12965" s="786" t="s">
        <v>23220</v>
      </c>
      <c r="B12965" s="787">
        <v>4</v>
      </c>
      <c r="C12965" s="787" t="s">
        <v>23221</v>
      </c>
      <c r="D12965" s="787">
        <v>0.54</v>
      </c>
      <c r="E12965" s="787">
        <v>30.54</v>
      </c>
      <c r="F12965" s="788">
        <v>41809</v>
      </c>
      <c r="G12965" s="788">
        <v>41844</v>
      </c>
      <c r="H12965" s="787">
        <v>1</v>
      </c>
      <c r="I12965" s="788">
        <v>41957</v>
      </c>
      <c r="J12965" s="788">
        <v>41806</v>
      </c>
      <c r="K12965" s="788">
        <v>41429</v>
      </c>
      <c r="L12965" s="787">
        <v>30.54</v>
      </c>
      <c r="M12965" s="787">
        <v>20</v>
      </c>
      <c r="N12965" s="787">
        <v>32.83</v>
      </c>
      <c r="O12965" s="788">
        <v>41858</v>
      </c>
    </row>
    <row r="12966" spans="1:15" x14ac:dyDescent="0.25">
      <c r="A12966" s="786" t="s">
        <v>23222</v>
      </c>
      <c r="B12966" s="787">
        <v>4</v>
      </c>
      <c r="C12966" s="787" t="s">
        <v>23221</v>
      </c>
      <c r="D12966" s="787">
        <v>0.54</v>
      </c>
      <c r="E12966" s="787">
        <v>30.54</v>
      </c>
      <c r="F12966" s="788">
        <v>41816</v>
      </c>
      <c r="G12966" s="788">
        <v>41814</v>
      </c>
      <c r="H12966" s="787">
        <v>1</v>
      </c>
      <c r="I12966" s="788">
        <v>41823</v>
      </c>
      <c r="J12966" s="788">
        <v>41814</v>
      </c>
      <c r="K12966" s="788">
        <v>41429</v>
      </c>
      <c r="L12966" s="787">
        <v>30.54</v>
      </c>
      <c r="M12966" s="787">
        <v>20</v>
      </c>
      <c r="N12966" s="787">
        <v>32.83</v>
      </c>
      <c r="O12966" s="788">
        <v>41858</v>
      </c>
    </row>
    <row r="12967" spans="1:15" x14ac:dyDescent="0.25">
      <c r="A12967" s="786" t="s">
        <v>23223</v>
      </c>
      <c r="B12967" s="787">
        <v>4</v>
      </c>
      <c r="C12967" s="787" t="s">
        <v>23210</v>
      </c>
      <c r="D12967" s="787">
        <v>0</v>
      </c>
      <c r="E12967" s="787">
        <v>0</v>
      </c>
      <c r="H12967" s="787">
        <v>1</v>
      </c>
      <c r="K12967" s="788">
        <v>41429</v>
      </c>
      <c r="L12967" s="787">
        <v>72.099999999999994</v>
      </c>
      <c r="M12967" s="787">
        <v>20</v>
      </c>
      <c r="N12967" s="787">
        <v>77.510000000000005</v>
      </c>
      <c r="O12967" s="788">
        <v>41858</v>
      </c>
    </row>
    <row r="12968" spans="1:15" x14ac:dyDescent="0.25">
      <c r="A12968" s="786" t="s">
        <v>23224</v>
      </c>
      <c r="B12968" s="787">
        <v>4</v>
      </c>
      <c r="C12968" s="787" t="s">
        <v>23221</v>
      </c>
      <c r="D12968" s="787">
        <v>3.09</v>
      </c>
      <c r="E12968" s="787">
        <v>33.92</v>
      </c>
      <c r="F12968" s="788">
        <v>41738</v>
      </c>
      <c r="G12968" s="788">
        <v>42069</v>
      </c>
      <c r="H12968" s="787">
        <v>1</v>
      </c>
      <c r="I12968" s="788">
        <v>42093</v>
      </c>
      <c r="J12968" s="788">
        <v>42069</v>
      </c>
      <c r="K12968" s="788">
        <v>42066</v>
      </c>
      <c r="L12968" s="787">
        <v>33.92</v>
      </c>
      <c r="M12968" s="787">
        <v>20</v>
      </c>
      <c r="N12968" s="787">
        <v>36.46</v>
      </c>
      <c r="O12968" s="788">
        <v>42066</v>
      </c>
    </row>
    <row r="12969" spans="1:15" x14ac:dyDescent="0.25">
      <c r="A12969" s="786" t="s">
        <v>23225</v>
      </c>
      <c r="B12969" s="787">
        <v>4</v>
      </c>
      <c r="C12969" s="787" t="s">
        <v>23210</v>
      </c>
      <c r="D12969" s="787">
        <v>0</v>
      </c>
      <c r="E12969" s="787">
        <v>0</v>
      </c>
      <c r="H12969" s="787">
        <v>1</v>
      </c>
      <c r="K12969" s="788">
        <v>41429</v>
      </c>
      <c r="L12969" s="787">
        <v>35.29</v>
      </c>
      <c r="M12969" s="787">
        <v>20</v>
      </c>
      <c r="N12969" s="787">
        <v>37.94</v>
      </c>
      <c r="O12969" s="788">
        <v>41858</v>
      </c>
    </row>
    <row r="12970" spans="1:15" x14ac:dyDescent="0.25">
      <c r="A12970" s="786" t="s">
        <v>23226</v>
      </c>
      <c r="B12970" s="787">
        <v>4</v>
      </c>
      <c r="C12970" s="787" t="s">
        <v>23210</v>
      </c>
      <c r="D12970" s="787">
        <v>0</v>
      </c>
      <c r="E12970" s="787">
        <v>0</v>
      </c>
      <c r="H12970" s="787">
        <v>1</v>
      </c>
      <c r="K12970" s="788">
        <v>41429</v>
      </c>
      <c r="L12970" s="787">
        <v>40.35</v>
      </c>
      <c r="M12970" s="787">
        <v>20</v>
      </c>
      <c r="N12970" s="787">
        <v>43.38</v>
      </c>
      <c r="O12970" s="788">
        <v>41858</v>
      </c>
    </row>
    <row r="12971" spans="1:15" x14ac:dyDescent="0.25">
      <c r="A12971" s="786" t="s">
        <v>23227</v>
      </c>
      <c r="B12971" s="787">
        <v>4</v>
      </c>
      <c r="C12971" s="787" t="s">
        <v>23210</v>
      </c>
      <c r="D12971" s="787">
        <v>0</v>
      </c>
      <c r="E12971" s="787">
        <v>0</v>
      </c>
      <c r="H12971" s="787">
        <v>1</v>
      </c>
      <c r="K12971" s="788">
        <v>41429</v>
      </c>
      <c r="L12971" s="787">
        <v>51.04</v>
      </c>
      <c r="M12971" s="787">
        <v>20</v>
      </c>
      <c r="N12971" s="787">
        <v>54.87</v>
      </c>
      <c r="O12971" s="788">
        <v>41858</v>
      </c>
    </row>
    <row r="12972" spans="1:15" x14ac:dyDescent="0.25">
      <c r="A12972" s="786" t="s">
        <v>23228</v>
      </c>
      <c r="B12972" s="787">
        <v>4</v>
      </c>
      <c r="C12972" s="787" t="s">
        <v>23210</v>
      </c>
      <c r="D12972" s="787">
        <v>0</v>
      </c>
      <c r="E12972" s="787">
        <v>0</v>
      </c>
      <c r="H12972" s="787">
        <v>1</v>
      </c>
      <c r="K12972" s="788">
        <v>41429</v>
      </c>
      <c r="L12972" s="787">
        <v>51.04</v>
      </c>
      <c r="M12972" s="787">
        <v>20</v>
      </c>
      <c r="N12972" s="787">
        <v>54.87</v>
      </c>
      <c r="O12972" s="788">
        <v>41858</v>
      </c>
    </row>
    <row r="12973" spans="1:15" x14ac:dyDescent="0.25">
      <c r="A12973" s="786" t="s">
        <v>23229</v>
      </c>
      <c r="B12973" s="787">
        <v>4</v>
      </c>
      <c r="C12973" s="787" t="s">
        <v>23230</v>
      </c>
      <c r="D12973" s="787">
        <v>4.09</v>
      </c>
      <c r="E12973" s="787">
        <v>4.2699999999999996</v>
      </c>
      <c r="F12973" s="788">
        <v>41816</v>
      </c>
      <c r="G12973" s="788">
        <v>42064</v>
      </c>
      <c r="H12973" s="787">
        <v>1</v>
      </c>
      <c r="I12973" s="788">
        <v>42123</v>
      </c>
      <c r="J12973" s="788">
        <v>42051</v>
      </c>
      <c r="K12973" s="788">
        <v>42046</v>
      </c>
      <c r="L12973" s="787">
        <v>4.2699999999999996</v>
      </c>
      <c r="M12973" s="787">
        <v>20</v>
      </c>
      <c r="N12973" s="787">
        <v>4.59</v>
      </c>
      <c r="O12973" s="788">
        <v>42127</v>
      </c>
    </row>
    <row r="12974" spans="1:15" x14ac:dyDescent="0.25">
      <c r="A12974" s="786" t="s">
        <v>23231</v>
      </c>
      <c r="B12974" s="787">
        <v>4</v>
      </c>
      <c r="C12974" s="787" t="s">
        <v>23232</v>
      </c>
      <c r="D12974" s="787">
        <v>4.09</v>
      </c>
      <c r="E12974" s="787">
        <v>4.25</v>
      </c>
      <c r="F12974" s="788">
        <v>41858</v>
      </c>
      <c r="G12974" s="788">
        <v>42013</v>
      </c>
      <c r="H12974" s="787">
        <v>1</v>
      </c>
      <c r="I12974" s="788">
        <v>42093</v>
      </c>
      <c r="J12974" s="788">
        <v>41954</v>
      </c>
      <c r="K12974" s="788">
        <v>41429</v>
      </c>
      <c r="L12974" s="787">
        <v>4.09</v>
      </c>
      <c r="M12974" s="787">
        <v>20</v>
      </c>
      <c r="N12974" s="787">
        <v>4.4000000000000004</v>
      </c>
      <c r="O12974" s="788">
        <v>41858</v>
      </c>
    </row>
    <row r="12975" spans="1:15" x14ac:dyDescent="0.25">
      <c r="A12975" s="786" t="s">
        <v>23233</v>
      </c>
      <c r="B12975" s="787">
        <v>4</v>
      </c>
      <c r="C12975" s="787" t="s">
        <v>23234</v>
      </c>
      <c r="D12975" s="787">
        <v>4.09</v>
      </c>
      <c r="E12975" s="787">
        <v>4.25</v>
      </c>
      <c r="F12975" s="788">
        <v>41577</v>
      </c>
      <c r="G12975" s="788">
        <v>42013</v>
      </c>
      <c r="H12975" s="787">
        <v>1</v>
      </c>
      <c r="I12975" s="788">
        <v>42114</v>
      </c>
      <c r="J12975" s="788">
        <v>41956</v>
      </c>
      <c r="K12975" s="788">
        <v>41429</v>
      </c>
      <c r="L12975" s="787">
        <v>4.09</v>
      </c>
      <c r="M12975" s="787">
        <v>20</v>
      </c>
      <c r="N12975" s="787">
        <v>4.4000000000000004</v>
      </c>
      <c r="O12975" s="788">
        <v>41858</v>
      </c>
    </row>
    <row r="12976" spans="1:15" x14ac:dyDescent="0.25">
      <c r="A12976" s="786" t="s">
        <v>23235</v>
      </c>
      <c r="B12976" s="787">
        <v>4</v>
      </c>
      <c r="C12976" s="787" t="s">
        <v>23236</v>
      </c>
      <c r="D12976" s="787">
        <v>4.09</v>
      </c>
      <c r="E12976" s="787">
        <v>4.25</v>
      </c>
      <c r="F12976" s="788">
        <v>41577</v>
      </c>
      <c r="G12976" s="788">
        <v>42013</v>
      </c>
      <c r="H12976" s="787">
        <v>1</v>
      </c>
      <c r="I12976" s="788">
        <v>42052</v>
      </c>
      <c r="J12976" s="788">
        <v>41964</v>
      </c>
      <c r="K12976" s="788">
        <v>41967</v>
      </c>
      <c r="L12976" s="787">
        <v>4.25</v>
      </c>
      <c r="M12976" s="787">
        <v>20</v>
      </c>
      <c r="N12976" s="787">
        <v>4.4000000000000004</v>
      </c>
      <c r="O12976" s="788">
        <v>41858</v>
      </c>
    </row>
    <row r="12977" spans="1:15" x14ac:dyDescent="0.25">
      <c r="A12977" s="786" t="s">
        <v>23237</v>
      </c>
      <c r="B12977" s="787">
        <v>4</v>
      </c>
      <c r="C12977" s="787" t="s">
        <v>23238</v>
      </c>
      <c r="D12977" s="787">
        <v>0.4</v>
      </c>
      <c r="E12977" s="787">
        <v>70.400000000000006</v>
      </c>
      <c r="F12977" s="788">
        <v>41562</v>
      </c>
      <c r="G12977" s="788">
        <v>41557</v>
      </c>
      <c r="H12977" s="787">
        <v>1</v>
      </c>
      <c r="I12977" s="788">
        <v>41576</v>
      </c>
      <c r="J12977" s="788">
        <v>41557</v>
      </c>
      <c r="K12977" s="788">
        <v>41557</v>
      </c>
      <c r="L12977" s="787">
        <v>70.400000000000006</v>
      </c>
      <c r="M12977" s="787">
        <v>20</v>
      </c>
      <c r="N12977" s="787">
        <v>75.680000000000007</v>
      </c>
      <c r="O12977" s="788">
        <v>41858</v>
      </c>
    </row>
    <row r="12978" spans="1:15" x14ac:dyDescent="0.25">
      <c r="A12978" s="786" t="s">
        <v>23239</v>
      </c>
      <c r="B12978" s="787">
        <v>4</v>
      </c>
      <c r="C12978" s="787" t="s">
        <v>23240</v>
      </c>
      <c r="D12978" s="787">
        <v>0.03</v>
      </c>
      <c r="E12978" s="787">
        <v>10.029999999999999</v>
      </c>
      <c r="F12978" s="788">
        <v>41562</v>
      </c>
      <c r="G12978" s="788">
        <v>41563</v>
      </c>
      <c r="H12978" s="787">
        <v>1</v>
      </c>
      <c r="I12978" s="788">
        <v>41576</v>
      </c>
      <c r="J12978" s="788">
        <v>41558</v>
      </c>
      <c r="K12978" s="788">
        <v>41557</v>
      </c>
      <c r="L12978" s="787">
        <v>10.029999999999999</v>
      </c>
      <c r="M12978" s="787">
        <v>20</v>
      </c>
      <c r="N12978" s="787">
        <v>10.78</v>
      </c>
      <c r="O12978" s="788">
        <v>41858</v>
      </c>
    </row>
    <row r="12979" spans="1:15" x14ac:dyDescent="0.25">
      <c r="A12979" s="786" t="s">
        <v>23241</v>
      </c>
      <c r="B12979" s="787">
        <v>4</v>
      </c>
      <c r="C12979" s="787" t="s">
        <v>23240</v>
      </c>
      <c r="D12979" s="787">
        <v>0.03</v>
      </c>
      <c r="E12979" s="787">
        <v>10.029999999999999</v>
      </c>
      <c r="F12979" s="788">
        <v>41562</v>
      </c>
      <c r="G12979" s="788">
        <v>41563</v>
      </c>
      <c r="H12979" s="787">
        <v>1</v>
      </c>
      <c r="I12979" s="788">
        <v>41576</v>
      </c>
      <c r="J12979" s="788">
        <v>41558</v>
      </c>
      <c r="K12979" s="788">
        <v>41557</v>
      </c>
      <c r="L12979" s="787">
        <v>10.029999999999999</v>
      </c>
      <c r="M12979" s="787">
        <v>20</v>
      </c>
      <c r="N12979" s="787">
        <v>10.78</v>
      </c>
      <c r="O12979" s="788">
        <v>41858</v>
      </c>
    </row>
    <row r="12980" spans="1:15" x14ac:dyDescent="0.25">
      <c r="A12980" s="786" t="s">
        <v>23242</v>
      </c>
      <c r="B12980" s="787">
        <v>4</v>
      </c>
      <c r="C12980" s="787" t="s">
        <v>23159</v>
      </c>
      <c r="D12980" s="787">
        <v>4.5599999999999996</v>
      </c>
      <c r="E12980" s="787">
        <v>14.56</v>
      </c>
      <c r="F12980" s="788">
        <v>41562</v>
      </c>
      <c r="G12980" s="788">
        <v>41563</v>
      </c>
      <c r="H12980" s="787">
        <v>1</v>
      </c>
      <c r="I12980" s="788">
        <v>41576</v>
      </c>
      <c r="J12980" s="788">
        <v>41557</v>
      </c>
      <c r="K12980" s="788">
        <v>41555</v>
      </c>
      <c r="L12980" s="787">
        <v>14.56</v>
      </c>
      <c r="M12980" s="787">
        <v>20</v>
      </c>
      <c r="N12980" s="787">
        <v>15.65</v>
      </c>
      <c r="O12980" s="788">
        <v>41858</v>
      </c>
    </row>
    <row r="12981" spans="1:15" x14ac:dyDescent="0.25">
      <c r="A12981" s="786" t="s">
        <v>23243</v>
      </c>
      <c r="B12981" s="787">
        <v>4</v>
      </c>
      <c r="C12981" s="787" t="s">
        <v>23244</v>
      </c>
      <c r="D12981" s="787">
        <v>3.85</v>
      </c>
      <c r="E12981" s="787">
        <v>23.85</v>
      </c>
      <c r="F12981" s="788">
        <v>41562</v>
      </c>
      <c r="G12981" s="788">
        <v>41563</v>
      </c>
      <c r="H12981" s="787">
        <v>1</v>
      </c>
      <c r="I12981" s="788">
        <v>41576</v>
      </c>
      <c r="J12981" s="788">
        <v>41557</v>
      </c>
      <c r="K12981" s="788">
        <v>41557</v>
      </c>
      <c r="L12981" s="787">
        <v>23.85</v>
      </c>
      <c r="M12981" s="787">
        <v>20</v>
      </c>
      <c r="N12981" s="787">
        <v>25.64</v>
      </c>
      <c r="O12981" s="788">
        <v>41858</v>
      </c>
    </row>
    <row r="12982" spans="1:15" x14ac:dyDescent="0.25">
      <c r="A12982" s="786" t="s">
        <v>23245</v>
      </c>
      <c r="B12982" s="787">
        <v>4</v>
      </c>
      <c r="C12982" s="787" t="s">
        <v>23246</v>
      </c>
      <c r="D12982" s="787">
        <v>3.7</v>
      </c>
      <c r="E12982" s="787">
        <v>3.81</v>
      </c>
      <c r="F12982" s="788">
        <v>41562</v>
      </c>
      <c r="G12982" s="788">
        <v>42009</v>
      </c>
      <c r="H12982" s="787">
        <v>1</v>
      </c>
      <c r="I12982" s="788">
        <v>41990</v>
      </c>
      <c r="J12982" s="788">
        <v>41983</v>
      </c>
      <c r="K12982" s="788">
        <v>41983</v>
      </c>
      <c r="L12982" s="787">
        <v>3.81</v>
      </c>
      <c r="M12982" s="787">
        <v>20</v>
      </c>
      <c r="N12982" s="787">
        <v>3.98</v>
      </c>
      <c r="O12982" s="788">
        <v>41858</v>
      </c>
    </row>
    <row r="12983" spans="1:15" x14ac:dyDescent="0.25">
      <c r="A12983" s="786" t="s">
        <v>23247</v>
      </c>
      <c r="B12983" s="787">
        <v>4</v>
      </c>
      <c r="C12983" s="787" t="s">
        <v>23248</v>
      </c>
      <c r="D12983" s="787">
        <v>6.07</v>
      </c>
      <c r="E12983" s="787">
        <v>6.07</v>
      </c>
      <c r="F12983" s="788">
        <v>41562</v>
      </c>
      <c r="G12983" s="788">
        <v>41557</v>
      </c>
      <c r="H12983" s="787">
        <v>1</v>
      </c>
      <c r="I12983" s="788">
        <v>41576</v>
      </c>
      <c r="J12983" s="788">
        <v>41557</v>
      </c>
      <c r="K12983" s="788">
        <v>41557</v>
      </c>
      <c r="L12983" s="787">
        <v>6.07</v>
      </c>
      <c r="M12983" s="787">
        <v>20</v>
      </c>
      <c r="N12983" s="787">
        <v>6.53</v>
      </c>
      <c r="O12983" s="788">
        <v>41858</v>
      </c>
    </row>
    <row r="12984" spans="1:15" x14ac:dyDescent="0.25">
      <c r="A12984" s="786" t="s">
        <v>23249</v>
      </c>
      <c r="B12984" s="787">
        <v>4</v>
      </c>
      <c r="C12984" s="787" t="s">
        <v>23250</v>
      </c>
      <c r="D12984" s="787">
        <v>0</v>
      </c>
      <c r="E12984" s="787">
        <v>0</v>
      </c>
      <c r="H12984" s="787">
        <v>1</v>
      </c>
      <c r="K12984" s="788">
        <v>41555</v>
      </c>
      <c r="L12984" s="787">
        <v>18.79</v>
      </c>
      <c r="M12984" s="787">
        <v>20</v>
      </c>
      <c r="N12984" s="787">
        <v>20.2</v>
      </c>
      <c r="O12984" s="788">
        <v>41858</v>
      </c>
    </row>
    <row r="12985" spans="1:15" x14ac:dyDescent="0.25">
      <c r="A12985" s="786" t="s">
        <v>23251</v>
      </c>
      <c r="B12985" s="787">
        <v>4</v>
      </c>
      <c r="C12985" s="787" t="s">
        <v>23252</v>
      </c>
      <c r="D12985" s="787">
        <v>2.4</v>
      </c>
      <c r="E12985" s="787">
        <v>95.04</v>
      </c>
      <c r="F12985" s="788">
        <v>41494</v>
      </c>
      <c r="G12985" s="788">
        <v>42051</v>
      </c>
      <c r="H12985" s="787">
        <v>1</v>
      </c>
      <c r="I12985" s="788">
        <v>42059</v>
      </c>
      <c r="J12985" s="788">
        <v>42157</v>
      </c>
      <c r="K12985" s="788">
        <v>42046</v>
      </c>
      <c r="L12985" s="787">
        <v>95.04</v>
      </c>
      <c r="M12985" s="787">
        <v>20</v>
      </c>
      <c r="N12985" s="787">
        <v>102.17</v>
      </c>
      <c r="O12985" s="788">
        <v>42127</v>
      </c>
    </row>
    <row r="12986" spans="1:15" x14ac:dyDescent="0.25">
      <c r="A12986" s="786" t="s">
        <v>23253</v>
      </c>
      <c r="B12986" s="787">
        <v>4</v>
      </c>
      <c r="C12986" s="787" t="s">
        <v>23254</v>
      </c>
      <c r="D12986" s="787">
        <v>0</v>
      </c>
      <c r="E12986" s="787">
        <v>0</v>
      </c>
      <c r="H12986" s="787">
        <v>1</v>
      </c>
      <c r="K12986" s="788">
        <v>41429</v>
      </c>
      <c r="L12986" s="787">
        <v>73.48</v>
      </c>
      <c r="M12986" s="787">
        <v>20</v>
      </c>
      <c r="N12986" s="787">
        <v>78.989999999999995</v>
      </c>
      <c r="O12986" s="788">
        <v>42164</v>
      </c>
    </row>
    <row r="12987" spans="1:15" x14ac:dyDescent="0.25">
      <c r="A12987" s="786" t="s">
        <v>23255</v>
      </c>
      <c r="B12987" s="787">
        <v>4</v>
      </c>
      <c r="C12987" s="787" t="s">
        <v>23254</v>
      </c>
      <c r="D12987" s="787">
        <v>0</v>
      </c>
      <c r="E12987" s="787">
        <v>0</v>
      </c>
      <c r="H12987" s="787">
        <v>1</v>
      </c>
      <c r="K12987" s="788">
        <v>41429</v>
      </c>
      <c r="L12987" s="787">
        <v>82.28</v>
      </c>
      <c r="M12987" s="787">
        <v>20</v>
      </c>
      <c r="N12987" s="787">
        <v>88.45</v>
      </c>
      <c r="O12987" s="788">
        <v>41858</v>
      </c>
    </row>
    <row r="12988" spans="1:15" x14ac:dyDescent="0.25">
      <c r="A12988" s="786" t="s">
        <v>23256</v>
      </c>
      <c r="B12988" s="787">
        <v>4</v>
      </c>
      <c r="C12988" s="787" t="s">
        <v>23257</v>
      </c>
      <c r="D12988" s="787">
        <v>2.85</v>
      </c>
      <c r="E12988" s="787">
        <v>22.85</v>
      </c>
      <c r="F12988" s="788">
        <v>42083</v>
      </c>
      <c r="G12988" s="788">
        <v>42076</v>
      </c>
      <c r="H12988" s="787">
        <v>1</v>
      </c>
      <c r="I12988" s="788">
        <v>41628</v>
      </c>
      <c r="J12988" s="788">
        <v>42076</v>
      </c>
      <c r="K12988" s="788">
        <v>41627</v>
      </c>
      <c r="L12988" s="787">
        <v>28</v>
      </c>
      <c r="M12988" s="787">
        <v>20</v>
      </c>
      <c r="N12988" s="787">
        <v>30.1</v>
      </c>
      <c r="O12988" s="788">
        <v>41858</v>
      </c>
    </row>
    <row r="12989" spans="1:15" x14ac:dyDescent="0.25">
      <c r="A12989" s="786" t="s">
        <v>23258</v>
      </c>
      <c r="B12989" s="787">
        <v>4</v>
      </c>
      <c r="C12989" s="787" t="s">
        <v>23259</v>
      </c>
      <c r="D12989" s="787">
        <v>9.2799999999999994</v>
      </c>
      <c r="E12989" s="787">
        <v>19.28</v>
      </c>
      <c r="F12989" s="788">
        <v>41771</v>
      </c>
      <c r="G12989" s="788">
        <v>41805</v>
      </c>
      <c r="H12989" s="787">
        <v>1</v>
      </c>
      <c r="I12989" s="788">
        <v>42136</v>
      </c>
      <c r="J12989" s="788">
        <v>41768</v>
      </c>
      <c r="K12989" s="788">
        <v>41723</v>
      </c>
      <c r="L12989" s="787">
        <v>19.149999999999999</v>
      </c>
      <c r="M12989" s="787">
        <v>20</v>
      </c>
      <c r="N12989" s="787">
        <v>20.59</v>
      </c>
      <c r="O12989" s="788">
        <v>42162</v>
      </c>
    </row>
    <row r="12990" spans="1:15" x14ac:dyDescent="0.25">
      <c r="A12990" s="786" t="s">
        <v>23260</v>
      </c>
      <c r="B12990" s="787">
        <v>4</v>
      </c>
      <c r="C12990" s="787" t="s">
        <v>23261</v>
      </c>
      <c r="D12990" s="787">
        <v>8.2899999999999991</v>
      </c>
      <c r="E12990" s="787">
        <v>38.29</v>
      </c>
      <c r="F12990" s="788">
        <v>42116</v>
      </c>
      <c r="G12990" s="788">
        <v>42066</v>
      </c>
      <c r="H12990" s="787">
        <v>1</v>
      </c>
      <c r="I12990" s="788">
        <v>42087</v>
      </c>
      <c r="J12990" s="788">
        <v>42066</v>
      </c>
      <c r="K12990" s="788">
        <v>41731</v>
      </c>
      <c r="L12990" s="787">
        <v>45</v>
      </c>
      <c r="M12990" s="787">
        <v>20</v>
      </c>
      <c r="N12990" s="787">
        <v>48.38</v>
      </c>
      <c r="O12990" s="788">
        <v>41858</v>
      </c>
    </row>
    <row r="12991" spans="1:15" x14ac:dyDescent="0.25">
      <c r="A12991" s="786" t="s">
        <v>23262</v>
      </c>
      <c r="B12991" s="787">
        <v>4</v>
      </c>
      <c r="C12991" s="787" t="s">
        <v>23263</v>
      </c>
      <c r="D12991" s="787">
        <v>0.98</v>
      </c>
      <c r="E12991" s="787">
        <v>280.98</v>
      </c>
      <c r="F12991" s="788">
        <v>41740</v>
      </c>
      <c r="G12991" s="788">
        <v>41732</v>
      </c>
      <c r="H12991" s="787">
        <v>1</v>
      </c>
      <c r="I12991" s="788">
        <v>41771</v>
      </c>
      <c r="J12991" s="788">
        <v>41732</v>
      </c>
      <c r="K12991" s="788">
        <v>41729</v>
      </c>
      <c r="L12991" s="787">
        <v>280.98</v>
      </c>
      <c r="M12991" s="787">
        <v>20</v>
      </c>
      <c r="N12991" s="787">
        <v>302.05</v>
      </c>
      <c r="O12991" s="788">
        <v>41858</v>
      </c>
    </row>
    <row r="12992" spans="1:15" x14ac:dyDescent="0.25">
      <c r="A12992" s="786" t="s">
        <v>23264</v>
      </c>
      <c r="B12992" s="787">
        <v>4</v>
      </c>
      <c r="C12992" s="787" t="s">
        <v>23265</v>
      </c>
      <c r="D12992" s="787">
        <v>6.17</v>
      </c>
      <c r="E12992" s="787">
        <v>16.170000000000002</v>
      </c>
      <c r="F12992" s="788">
        <v>41731</v>
      </c>
      <c r="G12992" s="788">
        <v>41731</v>
      </c>
      <c r="H12992" s="787">
        <v>1</v>
      </c>
      <c r="I12992" s="788">
        <v>41771</v>
      </c>
      <c r="J12992" s="788">
        <v>41731</v>
      </c>
      <c r="K12992" s="788">
        <v>41729</v>
      </c>
      <c r="L12992" s="787">
        <v>16.170000000000002</v>
      </c>
      <c r="M12992" s="787">
        <v>20</v>
      </c>
      <c r="N12992" s="787">
        <v>17.38</v>
      </c>
      <c r="O12992" s="788">
        <v>41858</v>
      </c>
    </row>
    <row r="12993" spans="1:15" x14ac:dyDescent="0.25">
      <c r="A12993" s="786" t="s">
        <v>23266</v>
      </c>
      <c r="B12993" s="787">
        <v>4</v>
      </c>
      <c r="C12993" s="787" t="s">
        <v>23267</v>
      </c>
      <c r="D12993" s="787">
        <v>6.17</v>
      </c>
      <c r="E12993" s="787">
        <v>16.170000000000002</v>
      </c>
      <c r="F12993" s="788">
        <v>41731</v>
      </c>
      <c r="G12993" s="788">
        <v>41731</v>
      </c>
      <c r="H12993" s="787">
        <v>1</v>
      </c>
      <c r="I12993" s="788">
        <v>41771</v>
      </c>
      <c r="J12993" s="788">
        <v>41731</v>
      </c>
      <c r="K12993" s="788">
        <v>41729</v>
      </c>
      <c r="L12993" s="787">
        <v>16.170000000000002</v>
      </c>
      <c r="M12993" s="787">
        <v>20</v>
      </c>
      <c r="N12993" s="787">
        <v>17.38</v>
      </c>
      <c r="O12993" s="788">
        <v>41858</v>
      </c>
    </row>
    <row r="12994" spans="1:15" x14ac:dyDescent="0.25">
      <c r="A12994" s="786" t="s">
        <v>23268</v>
      </c>
      <c r="B12994" s="787">
        <v>4</v>
      </c>
      <c r="C12994" s="787" t="s">
        <v>23269</v>
      </c>
      <c r="D12994" s="787">
        <v>1.9</v>
      </c>
      <c r="E12994" s="787">
        <v>11.9</v>
      </c>
      <c r="F12994" s="788">
        <v>41731</v>
      </c>
      <c r="G12994" s="788">
        <v>41731</v>
      </c>
      <c r="H12994" s="787">
        <v>1</v>
      </c>
      <c r="I12994" s="788">
        <v>41771</v>
      </c>
      <c r="J12994" s="788">
        <v>41731</v>
      </c>
      <c r="K12994" s="788">
        <v>41729</v>
      </c>
      <c r="L12994" s="787">
        <v>11.9</v>
      </c>
      <c r="M12994" s="787">
        <v>20</v>
      </c>
      <c r="N12994" s="787">
        <v>12.79</v>
      </c>
      <c r="O12994" s="788">
        <v>41858</v>
      </c>
    </row>
    <row r="12995" spans="1:15" x14ac:dyDescent="0.25">
      <c r="A12995" s="786" t="s">
        <v>23270</v>
      </c>
      <c r="B12995" s="787">
        <v>4</v>
      </c>
      <c r="C12995" s="787" t="s">
        <v>23267</v>
      </c>
      <c r="D12995" s="787">
        <v>6.17</v>
      </c>
      <c r="E12995" s="787">
        <v>16.170000000000002</v>
      </c>
      <c r="F12995" s="788">
        <v>41731</v>
      </c>
      <c r="G12995" s="788">
        <v>41731</v>
      </c>
      <c r="H12995" s="787">
        <v>1</v>
      </c>
      <c r="I12995" s="788">
        <v>41771</v>
      </c>
      <c r="J12995" s="788">
        <v>41731</v>
      </c>
      <c r="K12995" s="788">
        <v>41729</v>
      </c>
      <c r="L12995" s="787">
        <v>16.170000000000002</v>
      </c>
      <c r="M12995" s="787">
        <v>20</v>
      </c>
      <c r="N12995" s="787">
        <v>17.38</v>
      </c>
      <c r="O12995" s="788">
        <v>41858</v>
      </c>
    </row>
    <row r="12996" spans="1:15" x14ac:dyDescent="0.25">
      <c r="A12996" s="786" t="s">
        <v>23271</v>
      </c>
      <c r="B12996" s="787">
        <v>4</v>
      </c>
      <c r="C12996" s="787" t="s">
        <v>23272</v>
      </c>
      <c r="D12996" s="787">
        <v>5.72</v>
      </c>
      <c r="E12996" s="787">
        <v>5.9</v>
      </c>
      <c r="F12996" s="788">
        <v>41733</v>
      </c>
      <c r="G12996" s="788">
        <v>42115</v>
      </c>
      <c r="H12996" s="787">
        <v>1</v>
      </c>
      <c r="I12996" s="788">
        <v>42124</v>
      </c>
      <c r="J12996" s="788">
        <v>42115</v>
      </c>
      <c r="K12996" s="788">
        <v>42115</v>
      </c>
      <c r="L12996" s="787">
        <v>5.9</v>
      </c>
      <c r="M12996" s="787">
        <v>20</v>
      </c>
      <c r="N12996" s="787">
        <v>6.15</v>
      </c>
      <c r="O12996" s="788">
        <v>41858</v>
      </c>
    </row>
    <row r="12997" spans="1:15" x14ac:dyDescent="0.25">
      <c r="A12997" s="786" t="s">
        <v>23273</v>
      </c>
      <c r="B12997" s="787">
        <v>4</v>
      </c>
      <c r="C12997" s="787" t="s">
        <v>23272</v>
      </c>
      <c r="D12997" s="787">
        <v>5.72</v>
      </c>
      <c r="E12997" s="787">
        <v>5.9</v>
      </c>
      <c r="F12997" s="788">
        <v>41733</v>
      </c>
      <c r="G12997" s="788">
        <v>41943</v>
      </c>
      <c r="H12997" s="787">
        <v>1</v>
      </c>
      <c r="I12997" s="788">
        <v>42124</v>
      </c>
      <c r="J12997" s="788">
        <v>42115</v>
      </c>
      <c r="K12997" s="788">
        <v>41939</v>
      </c>
      <c r="L12997" s="787">
        <v>5.9</v>
      </c>
      <c r="M12997" s="787">
        <v>20</v>
      </c>
      <c r="N12997" s="787">
        <v>6.34</v>
      </c>
      <c r="O12997" s="788">
        <v>42164</v>
      </c>
    </row>
    <row r="12998" spans="1:15" x14ac:dyDescent="0.25">
      <c r="A12998" s="786" t="s">
        <v>23274</v>
      </c>
      <c r="B12998" s="787">
        <v>4</v>
      </c>
      <c r="C12998" s="787" t="s">
        <v>23275</v>
      </c>
      <c r="D12998" s="787">
        <v>6.08</v>
      </c>
      <c r="E12998" s="787">
        <v>86.08</v>
      </c>
      <c r="F12998" s="788">
        <v>41731</v>
      </c>
      <c r="G12998" s="788">
        <v>41731</v>
      </c>
      <c r="H12998" s="787">
        <v>1</v>
      </c>
      <c r="I12998" s="788">
        <v>41771</v>
      </c>
      <c r="J12998" s="788">
        <v>41731</v>
      </c>
      <c r="K12998" s="788">
        <v>41729</v>
      </c>
      <c r="L12998" s="787">
        <v>86.08</v>
      </c>
      <c r="M12998" s="787">
        <v>20</v>
      </c>
      <c r="N12998" s="787">
        <v>92.54</v>
      </c>
      <c r="O12998" s="788">
        <v>41858</v>
      </c>
    </row>
    <row r="12999" spans="1:15" x14ac:dyDescent="0.25">
      <c r="A12999" s="786" t="s">
        <v>23276</v>
      </c>
      <c r="B12999" s="787">
        <v>4</v>
      </c>
      <c r="C12999" s="787" t="s">
        <v>23277</v>
      </c>
      <c r="D12999" s="787">
        <v>6.55</v>
      </c>
      <c r="E12999" s="787">
        <v>56.55</v>
      </c>
      <c r="F12999" s="788">
        <v>41751</v>
      </c>
      <c r="G12999" s="788">
        <v>41739</v>
      </c>
      <c r="H12999" s="787">
        <v>1</v>
      </c>
      <c r="I12999" s="788">
        <v>41771</v>
      </c>
      <c r="J12999" s="788">
        <v>41739</v>
      </c>
      <c r="K12999" s="788">
        <v>41729</v>
      </c>
      <c r="L12999" s="787">
        <v>56.55</v>
      </c>
      <c r="M12999" s="787">
        <v>20</v>
      </c>
      <c r="N12999" s="787">
        <v>60.79</v>
      </c>
      <c r="O12999" s="788">
        <v>41858</v>
      </c>
    </row>
    <row r="13000" spans="1:15" x14ac:dyDescent="0.25">
      <c r="A13000" s="786" t="s">
        <v>23278</v>
      </c>
      <c r="B13000" s="787">
        <v>4</v>
      </c>
      <c r="C13000" s="787" t="s">
        <v>23279</v>
      </c>
      <c r="D13000" s="787">
        <v>3.82</v>
      </c>
      <c r="E13000" s="787">
        <v>63.82</v>
      </c>
      <c r="F13000" s="788">
        <v>41731</v>
      </c>
      <c r="G13000" s="788">
        <v>41731</v>
      </c>
      <c r="H13000" s="787">
        <v>1</v>
      </c>
      <c r="I13000" s="788">
        <v>41771</v>
      </c>
      <c r="J13000" s="788">
        <v>41731</v>
      </c>
      <c r="K13000" s="788">
        <v>41729</v>
      </c>
      <c r="L13000" s="787">
        <v>63.82</v>
      </c>
      <c r="M13000" s="787">
        <v>20</v>
      </c>
      <c r="N13000" s="787">
        <v>68.61</v>
      </c>
      <c r="O13000" s="788">
        <v>41858</v>
      </c>
    </row>
    <row r="13001" spans="1:15" x14ac:dyDescent="0.25">
      <c r="A13001" s="786" t="s">
        <v>23280</v>
      </c>
      <c r="B13001" s="787">
        <v>4</v>
      </c>
      <c r="C13001" s="787" t="s">
        <v>23281</v>
      </c>
      <c r="D13001" s="787">
        <v>1.19</v>
      </c>
      <c r="E13001" s="787">
        <v>41.19</v>
      </c>
      <c r="F13001" s="788">
        <v>41731</v>
      </c>
      <c r="G13001" s="788">
        <v>41731</v>
      </c>
      <c r="H13001" s="787">
        <v>1</v>
      </c>
      <c r="I13001" s="788">
        <v>41771</v>
      </c>
      <c r="J13001" s="788">
        <v>41731</v>
      </c>
      <c r="K13001" s="788">
        <v>41729</v>
      </c>
      <c r="L13001" s="787">
        <v>41.19</v>
      </c>
      <c r="M13001" s="787">
        <v>20</v>
      </c>
      <c r="N13001" s="787">
        <v>44.28</v>
      </c>
      <c r="O13001" s="788">
        <v>41858</v>
      </c>
    </row>
    <row r="13002" spans="1:15" x14ac:dyDescent="0.25">
      <c r="A13002" s="786" t="s">
        <v>23282</v>
      </c>
      <c r="B13002" s="787">
        <v>4</v>
      </c>
      <c r="C13002" s="787" t="s">
        <v>23283</v>
      </c>
      <c r="D13002" s="787">
        <v>0.88</v>
      </c>
      <c r="E13002" s="787">
        <v>10.88</v>
      </c>
      <c r="F13002" s="788">
        <v>41731</v>
      </c>
      <c r="G13002" s="788">
        <v>41731</v>
      </c>
      <c r="H13002" s="787">
        <v>1</v>
      </c>
      <c r="I13002" s="788">
        <v>41771</v>
      </c>
      <c r="J13002" s="788">
        <v>41731</v>
      </c>
      <c r="K13002" s="788">
        <v>41729</v>
      </c>
      <c r="L13002" s="787">
        <v>10.88</v>
      </c>
      <c r="M13002" s="787">
        <v>20</v>
      </c>
      <c r="N13002" s="787">
        <v>11.7</v>
      </c>
      <c r="O13002" s="788">
        <v>41858</v>
      </c>
    </row>
    <row r="13003" spans="1:15" x14ac:dyDescent="0.25">
      <c r="A13003" s="786" t="s">
        <v>23284</v>
      </c>
      <c r="B13003" s="787">
        <v>4</v>
      </c>
      <c r="C13003" s="787" t="s">
        <v>23285</v>
      </c>
      <c r="D13003" s="787">
        <v>9.75</v>
      </c>
      <c r="E13003" s="787">
        <v>39.75</v>
      </c>
      <c r="F13003" s="788">
        <v>41731</v>
      </c>
      <c r="G13003" s="788">
        <v>41731</v>
      </c>
      <c r="H13003" s="787">
        <v>1</v>
      </c>
      <c r="I13003" s="788">
        <v>41771</v>
      </c>
      <c r="J13003" s="788">
        <v>41731</v>
      </c>
      <c r="K13003" s="788">
        <v>41729</v>
      </c>
      <c r="L13003" s="787">
        <v>39.75</v>
      </c>
      <c r="M13003" s="787">
        <v>20</v>
      </c>
      <c r="N13003" s="787">
        <v>42.73</v>
      </c>
      <c r="O13003" s="788">
        <v>41858</v>
      </c>
    </row>
    <row r="13004" spans="1:15" x14ac:dyDescent="0.25">
      <c r="A13004" s="786" t="s">
        <v>23286</v>
      </c>
      <c r="B13004" s="787">
        <v>4</v>
      </c>
      <c r="C13004" s="787" t="s">
        <v>23287</v>
      </c>
      <c r="D13004" s="787">
        <v>8.1</v>
      </c>
      <c r="E13004" s="787">
        <v>8.1</v>
      </c>
      <c r="F13004" s="788">
        <v>41740</v>
      </c>
      <c r="G13004" s="788">
        <v>41736</v>
      </c>
      <c r="H13004" s="787">
        <v>1</v>
      </c>
      <c r="I13004" s="788">
        <v>41771</v>
      </c>
      <c r="J13004" s="788">
        <v>41736</v>
      </c>
      <c r="K13004" s="788">
        <v>41729</v>
      </c>
      <c r="L13004" s="787">
        <v>8.1</v>
      </c>
      <c r="M13004" s="787">
        <v>20</v>
      </c>
      <c r="N13004" s="787">
        <v>8.7100000000000009</v>
      </c>
      <c r="O13004" s="788">
        <v>41858</v>
      </c>
    </row>
    <row r="13005" spans="1:15" x14ac:dyDescent="0.25">
      <c r="A13005" s="786" t="s">
        <v>23288</v>
      </c>
      <c r="B13005" s="787">
        <v>4</v>
      </c>
      <c r="C13005" s="787" t="s">
        <v>23289</v>
      </c>
      <c r="D13005" s="787">
        <v>4.75</v>
      </c>
      <c r="E13005" s="787">
        <v>54.75</v>
      </c>
      <c r="F13005" s="788">
        <v>41731</v>
      </c>
      <c r="G13005" s="788">
        <v>41731</v>
      </c>
      <c r="H13005" s="787">
        <v>1</v>
      </c>
      <c r="I13005" s="788">
        <v>41771</v>
      </c>
      <c r="J13005" s="788">
        <v>41731</v>
      </c>
      <c r="K13005" s="788">
        <v>41729</v>
      </c>
      <c r="L13005" s="787">
        <v>54.75</v>
      </c>
      <c r="M13005" s="787">
        <v>20</v>
      </c>
      <c r="N13005" s="787">
        <v>58.86</v>
      </c>
      <c r="O13005" s="788">
        <v>41858</v>
      </c>
    </row>
    <row r="13006" spans="1:15" x14ac:dyDescent="0.25">
      <c r="A13006" s="786" t="s">
        <v>23290</v>
      </c>
      <c r="B13006" s="787">
        <v>4</v>
      </c>
      <c r="C13006" s="787" t="s">
        <v>23291</v>
      </c>
      <c r="D13006" s="787">
        <v>1.63</v>
      </c>
      <c r="E13006" s="787">
        <v>41.63</v>
      </c>
      <c r="F13006" s="788">
        <v>41751</v>
      </c>
      <c r="G13006" s="788">
        <v>41740</v>
      </c>
      <c r="H13006" s="787">
        <v>1</v>
      </c>
      <c r="I13006" s="788">
        <v>41771</v>
      </c>
      <c r="J13006" s="788">
        <v>41740</v>
      </c>
      <c r="K13006" s="788">
        <v>41729</v>
      </c>
      <c r="L13006" s="787">
        <v>41.63</v>
      </c>
      <c r="M13006" s="787">
        <v>20</v>
      </c>
      <c r="N13006" s="787">
        <v>44.75</v>
      </c>
      <c r="O13006" s="788">
        <v>41858</v>
      </c>
    </row>
    <row r="13007" spans="1:15" x14ac:dyDescent="0.25">
      <c r="A13007" s="786" t="s">
        <v>23292</v>
      </c>
      <c r="B13007" s="787">
        <v>4</v>
      </c>
      <c r="C13007" s="787" t="s">
        <v>23293</v>
      </c>
      <c r="D13007" s="787">
        <v>5.73</v>
      </c>
      <c r="E13007" s="787">
        <v>15.73</v>
      </c>
      <c r="F13007" s="788">
        <v>41822</v>
      </c>
      <c r="G13007" s="788">
        <v>41820</v>
      </c>
      <c r="H13007" s="787">
        <v>1</v>
      </c>
      <c r="I13007" s="788">
        <v>41822</v>
      </c>
      <c r="J13007" s="788">
        <v>41820</v>
      </c>
      <c r="K13007" s="788">
        <v>41813</v>
      </c>
      <c r="L13007" s="787">
        <v>15.73</v>
      </c>
      <c r="M13007" s="787">
        <v>20</v>
      </c>
      <c r="N13007" s="787">
        <v>16.91</v>
      </c>
      <c r="O13007" s="788">
        <v>42164</v>
      </c>
    </row>
    <row r="13008" spans="1:15" x14ac:dyDescent="0.25">
      <c r="A13008" s="786" t="s">
        <v>23294</v>
      </c>
      <c r="B13008" s="787">
        <v>4</v>
      </c>
      <c r="C13008" s="787" t="s">
        <v>23295</v>
      </c>
      <c r="D13008" s="787">
        <v>5.96</v>
      </c>
      <c r="E13008" s="787">
        <v>35.96</v>
      </c>
      <c r="F13008" s="788">
        <v>41822</v>
      </c>
      <c r="G13008" s="788">
        <v>41820</v>
      </c>
      <c r="H13008" s="787">
        <v>1</v>
      </c>
      <c r="I13008" s="788">
        <v>41822</v>
      </c>
      <c r="J13008" s="788">
        <v>41820</v>
      </c>
      <c r="K13008" s="788">
        <v>41813</v>
      </c>
      <c r="L13008" s="787">
        <v>35.96</v>
      </c>
      <c r="M13008" s="787">
        <v>20</v>
      </c>
      <c r="N13008" s="787">
        <v>38.659999999999997</v>
      </c>
      <c r="O13008" s="788">
        <v>41858</v>
      </c>
    </row>
    <row r="13009" spans="1:15" x14ac:dyDescent="0.25">
      <c r="A13009" s="786" t="s">
        <v>23296</v>
      </c>
      <c r="B13009" s="787">
        <v>4</v>
      </c>
      <c r="C13009" s="787" t="s">
        <v>23297</v>
      </c>
      <c r="D13009" s="787">
        <v>2.9</v>
      </c>
      <c r="E13009" s="787">
        <v>2.9</v>
      </c>
      <c r="F13009" s="788">
        <v>41822</v>
      </c>
      <c r="G13009" s="788">
        <v>41820</v>
      </c>
      <c r="H13009" s="787">
        <v>1</v>
      </c>
      <c r="I13009" s="788">
        <v>41822</v>
      </c>
      <c r="J13009" s="788">
        <v>41820</v>
      </c>
      <c r="K13009" s="788">
        <v>41813</v>
      </c>
      <c r="L13009" s="787">
        <v>2.9</v>
      </c>
      <c r="M13009" s="787">
        <v>20</v>
      </c>
      <c r="N13009" s="787">
        <v>3.12</v>
      </c>
      <c r="O13009" s="788">
        <v>41858</v>
      </c>
    </row>
    <row r="13010" spans="1:15" x14ac:dyDescent="0.25">
      <c r="A13010" s="786" t="s">
        <v>23298</v>
      </c>
      <c r="B13010" s="787">
        <v>4</v>
      </c>
      <c r="C13010" s="787" t="s">
        <v>23299</v>
      </c>
      <c r="D13010" s="787">
        <v>3.16</v>
      </c>
      <c r="E13010" s="787">
        <v>3.16</v>
      </c>
      <c r="F13010" s="788">
        <v>41822</v>
      </c>
      <c r="G13010" s="788">
        <v>41820</v>
      </c>
      <c r="H13010" s="787">
        <v>1</v>
      </c>
      <c r="I13010" s="788">
        <v>41822</v>
      </c>
      <c r="J13010" s="788">
        <v>41820</v>
      </c>
      <c r="K13010" s="788">
        <v>41813</v>
      </c>
      <c r="L13010" s="787">
        <v>3.16</v>
      </c>
      <c r="M13010" s="787">
        <v>20</v>
      </c>
      <c r="N13010" s="787">
        <v>3.4</v>
      </c>
      <c r="O13010" s="788">
        <v>41858</v>
      </c>
    </row>
    <row r="13011" spans="1:15" x14ac:dyDescent="0.25">
      <c r="A13011" s="786" t="s">
        <v>23300</v>
      </c>
      <c r="B13011" s="787">
        <v>4</v>
      </c>
      <c r="C13011" s="787" t="s">
        <v>23301</v>
      </c>
      <c r="D13011" s="787">
        <v>9.6300000000000008</v>
      </c>
      <c r="E13011" s="787">
        <v>9.6300000000000008</v>
      </c>
      <c r="F13011" s="788">
        <v>41822</v>
      </c>
      <c r="G13011" s="788">
        <v>41820</v>
      </c>
      <c r="H13011" s="787">
        <v>1</v>
      </c>
      <c r="I13011" s="788">
        <v>41822</v>
      </c>
      <c r="J13011" s="788">
        <v>41820</v>
      </c>
      <c r="K13011" s="788">
        <v>41813</v>
      </c>
      <c r="L13011" s="787">
        <v>9.6300000000000008</v>
      </c>
      <c r="M13011" s="787">
        <v>20</v>
      </c>
      <c r="N13011" s="787">
        <v>10.35</v>
      </c>
      <c r="O13011" s="788">
        <v>41858</v>
      </c>
    </row>
    <row r="13012" spans="1:15" x14ac:dyDescent="0.25">
      <c r="A13012" s="786" t="s">
        <v>23302</v>
      </c>
      <c r="B13012" s="787">
        <v>4</v>
      </c>
      <c r="C13012" s="787" t="s">
        <v>23303</v>
      </c>
      <c r="D13012" s="787">
        <v>1.65</v>
      </c>
      <c r="E13012" s="787">
        <v>1.65</v>
      </c>
      <c r="F13012" s="788">
        <v>41822</v>
      </c>
      <c r="G13012" s="788">
        <v>41820</v>
      </c>
      <c r="H13012" s="787">
        <v>1</v>
      </c>
      <c r="I13012" s="788">
        <v>41865</v>
      </c>
      <c r="J13012" s="788">
        <v>41820</v>
      </c>
      <c r="K13012" s="788">
        <v>41813</v>
      </c>
      <c r="L13012" s="787">
        <v>1.65</v>
      </c>
      <c r="M13012" s="787">
        <v>20</v>
      </c>
      <c r="N13012" s="787">
        <v>1.77</v>
      </c>
      <c r="O13012" s="788">
        <v>41858</v>
      </c>
    </row>
    <row r="13013" spans="1:15" x14ac:dyDescent="0.25">
      <c r="A13013" s="786" t="s">
        <v>23304</v>
      </c>
      <c r="B13013" s="787">
        <v>4</v>
      </c>
      <c r="C13013" s="787" t="s">
        <v>23305</v>
      </c>
      <c r="D13013" s="787">
        <v>0.48</v>
      </c>
      <c r="E13013" s="787">
        <v>0.48</v>
      </c>
      <c r="F13013" s="788">
        <v>41822</v>
      </c>
      <c r="G13013" s="788">
        <v>41820</v>
      </c>
      <c r="H13013" s="787">
        <v>1</v>
      </c>
      <c r="I13013" s="788">
        <v>41894</v>
      </c>
      <c r="J13013" s="788">
        <v>41820</v>
      </c>
      <c r="K13013" s="788">
        <v>41813</v>
      </c>
      <c r="L13013" s="787">
        <v>0.48</v>
      </c>
      <c r="M13013" s="787">
        <v>20</v>
      </c>
      <c r="N13013" s="787">
        <v>0.52</v>
      </c>
      <c r="O13013" s="788">
        <v>41858</v>
      </c>
    </row>
    <row r="13014" spans="1:15" x14ac:dyDescent="0.25">
      <c r="A13014" s="786" t="s">
        <v>23306</v>
      </c>
      <c r="B13014" s="787">
        <v>4</v>
      </c>
      <c r="C13014" s="787" t="s">
        <v>23307</v>
      </c>
      <c r="D13014" s="787">
        <v>1.02</v>
      </c>
      <c r="E13014" s="787">
        <v>11.02</v>
      </c>
      <c r="F13014" s="788">
        <v>41822</v>
      </c>
      <c r="G13014" s="788">
        <v>41820</v>
      </c>
      <c r="H13014" s="787">
        <v>1</v>
      </c>
      <c r="I13014" s="788">
        <v>41822</v>
      </c>
      <c r="J13014" s="788">
        <v>41820</v>
      </c>
      <c r="K13014" s="788">
        <v>41813</v>
      </c>
      <c r="L13014" s="787">
        <v>11.02</v>
      </c>
      <c r="M13014" s="787">
        <v>20</v>
      </c>
      <c r="N13014" s="787">
        <v>11.85</v>
      </c>
      <c r="O13014" s="788">
        <v>41858</v>
      </c>
    </row>
    <row r="13015" spans="1:15" x14ac:dyDescent="0.25">
      <c r="A13015" s="786" t="s">
        <v>23308</v>
      </c>
      <c r="B13015" s="787">
        <v>4</v>
      </c>
      <c r="C13015" s="787" t="s">
        <v>23309</v>
      </c>
      <c r="D13015" s="787">
        <v>4.37</v>
      </c>
      <c r="E13015" s="787">
        <v>4.37</v>
      </c>
      <c r="F13015" s="788">
        <v>41822</v>
      </c>
      <c r="G13015" s="788">
        <v>41820</v>
      </c>
      <c r="H13015" s="787">
        <v>1</v>
      </c>
      <c r="I13015" s="788">
        <v>41894</v>
      </c>
      <c r="J13015" s="788">
        <v>41820</v>
      </c>
      <c r="K13015" s="788">
        <v>41813</v>
      </c>
      <c r="L13015" s="787">
        <v>4.37</v>
      </c>
      <c r="M13015" s="787">
        <v>20</v>
      </c>
      <c r="N13015" s="787">
        <v>4.7</v>
      </c>
      <c r="O13015" s="788">
        <v>41858</v>
      </c>
    </row>
    <row r="13016" spans="1:15" x14ac:dyDescent="0.25">
      <c r="A13016" s="786" t="s">
        <v>23310</v>
      </c>
      <c r="B13016" s="787">
        <v>4</v>
      </c>
      <c r="C13016" s="787" t="s">
        <v>23311</v>
      </c>
      <c r="D13016" s="787">
        <v>6.23</v>
      </c>
      <c r="E13016" s="787">
        <v>46.23</v>
      </c>
      <c r="F13016" s="788">
        <v>42114</v>
      </c>
      <c r="G13016" s="788">
        <v>42107</v>
      </c>
      <c r="H13016" s="787">
        <v>1</v>
      </c>
      <c r="I13016" s="788">
        <v>42116</v>
      </c>
      <c r="J13016" s="788">
        <v>42107</v>
      </c>
      <c r="K13016" s="788">
        <v>42093</v>
      </c>
      <c r="L13016" s="787">
        <v>46.23</v>
      </c>
      <c r="M13016" s="787">
        <v>20</v>
      </c>
      <c r="N13016" s="787">
        <v>0</v>
      </c>
    </row>
    <row r="13017" spans="1:15" x14ac:dyDescent="0.25">
      <c r="A13017" s="786" t="s">
        <v>23312</v>
      </c>
      <c r="B13017" s="787">
        <v>4</v>
      </c>
      <c r="C13017" s="787" t="s">
        <v>23313</v>
      </c>
      <c r="D13017" s="787">
        <v>2.34</v>
      </c>
      <c r="E13017" s="787">
        <v>2.46</v>
      </c>
      <c r="F13017" s="788">
        <v>41452</v>
      </c>
      <c r="G13017" s="788">
        <v>42165</v>
      </c>
      <c r="H13017" s="787">
        <v>1</v>
      </c>
      <c r="I13017" s="788">
        <v>42145</v>
      </c>
      <c r="J13017" s="788">
        <v>42165</v>
      </c>
      <c r="K13017" s="788">
        <v>42020</v>
      </c>
      <c r="L13017" s="787">
        <v>2.46</v>
      </c>
      <c r="M13017" s="787">
        <v>20</v>
      </c>
      <c r="N13017" s="787">
        <v>2.64</v>
      </c>
      <c r="O13017" s="788">
        <v>42164</v>
      </c>
    </row>
    <row r="13018" spans="1:15" x14ac:dyDescent="0.25">
      <c r="A13018" s="786" t="s">
        <v>23314</v>
      </c>
      <c r="B13018" s="787">
        <v>4</v>
      </c>
      <c r="C13018" s="787" t="s">
        <v>23315</v>
      </c>
      <c r="D13018" s="787">
        <v>3.92</v>
      </c>
      <c r="E13018" s="787">
        <v>4.43</v>
      </c>
      <c r="F13018" s="788">
        <v>41190</v>
      </c>
      <c r="G13018" s="788">
        <v>42159</v>
      </c>
      <c r="H13018" s="787">
        <v>1</v>
      </c>
      <c r="I13018" s="788">
        <v>42163</v>
      </c>
      <c r="J13018" s="788">
        <v>42152</v>
      </c>
      <c r="K13018" s="788">
        <v>42020</v>
      </c>
      <c r="L13018" s="787">
        <v>4.43</v>
      </c>
      <c r="M13018" s="787">
        <v>20</v>
      </c>
      <c r="N13018" s="787">
        <v>4.76</v>
      </c>
      <c r="O13018" s="788">
        <v>42164</v>
      </c>
    </row>
    <row r="13019" spans="1:15" x14ac:dyDescent="0.25">
      <c r="A13019" s="786" t="s">
        <v>23316</v>
      </c>
      <c r="B13019" s="787">
        <v>4</v>
      </c>
      <c r="C13019" s="787" t="s">
        <v>23317</v>
      </c>
      <c r="D13019" s="787">
        <v>0.96</v>
      </c>
      <c r="E13019" s="787">
        <v>4.62</v>
      </c>
      <c r="F13019" s="788">
        <v>41142</v>
      </c>
      <c r="G13019" s="788">
        <v>42159</v>
      </c>
      <c r="H13019" s="787">
        <v>1</v>
      </c>
      <c r="I13019" s="788">
        <v>42165</v>
      </c>
      <c r="J13019" s="788">
        <v>42151</v>
      </c>
      <c r="K13019" s="788">
        <v>41856</v>
      </c>
      <c r="L13019" s="787">
        <v>0.96</v>
      </c>
      <c r="M13019" s="787">
        <v>20</v>
      </c>
      <c r="N13019" s="787">
        <v>1.03</v>
      </c>
      <c r="O13019" s="788">
        <v>42164</v>
      </c>
    </row>
    <row r="13020" spans="1:15" x14ac:dyDescent="0.25">
      <c r="A13020" s="786" t="s">
        <v>23318</v>
      </c>
      <c r="B13020" s="787">
        <v>4</v>
      </c>
      <c r="C13020" s="787" t="s">
        <v>23319</v>
      </c>
      <c r="D13020" s="787">
        <v>2.78</v>
      </c>
      <c r="E13020" s="787">
        <v>3.06</v>
      </c>
      <c r="F13020" s="788">
        <v>41158</v>
      </c>
      <c r="G13020" s="788">
        <v>42159</v>
      </c>
      <c r="H13020" s="787">
        <v>1</v>
      </c>
      <c r="I13020" s="788">
        <v>42164</v>
      </c>
      <c r="J13020" s="788">
        <v>42152</v>
      </c>
      <c r="K13020" s="788">
        <v>42020</v>
      </c>
      <c r="L13020" s="787">
        <v>3.06</v>
      </c>
      <c r="M13020" s="787">
        <v>20</v>
      </c>
      <c r="N13020" s="787">
        <v>3.29</v>
      </c>
      <c r="O13020" s="788">
        <v>42164</v>
      </c>
    </row>
    <row r="13021" spans="1:15" x14ac:dyDescent="0.25">
      <c r="A13021" s="786" t="s">
        <v>23320</v>
      </c>
      <c r="B13021" s="787">
        <v>4</v>
      </c>
      <c r="C13021" s="787" t="s">
        <v>23321</v>
      </c>
      <c r="D13021" s="787">
        <v>1.75</v>
      </c>
      <c r="E13021" s="787">
        <v>1.82</v>
      </c>
      <c r="F13021" s="788">
        <v>41208</v>
      </c>
      <c r="G13021" s="788">
        <v>42013</v>
      </c>
      <c r="H13021" s="787">
        <v>1</v>
      </c>
      <c r="I13021" s="788">
        <v>42143</v>
      </c>
      <c r="J13021" s="788">
        <v>41751</v>
      </c>
      <c r="K13021" s="788">
        <v>41982</v>
      </c>
      <c r="L13021" s="787">
        <v>1.95</v>
      </c>
      <c r="M13021" s="787">
        <v>20</v>
      </c>
      <c r="N13021" s="787">
        <v>2.1</v>
      </c>
      <c r="O13021" s="788">
        <v>42164</v>
      </c>
    </row>
    <row r="13022" spans="1:15" x14ac:dyDescent="0.25">
      <c r="A13022" s="786" t="s">
        <v>23322</v>
      </c>
      <c r="B13022" s="787">
        <v>4</v>
      </c>
      <c r="C13022" s="787" t="s">
        <v>23323</v>
      </c>
      <c r="D13022" s="787">
        <v>2.65</v>
      </c>
      <c r="E13022" s="787">
        <v>5.64</v>
      </c>
      <c r="F13022" s="788">
        <v>41206</v>
      </c>
      <c r="G13022" s="788">
        <v>42013</v>
      </c>
      <c r="H13022" s="787">
        <v>1</v>
      </c>
      <c r="I13022" s="788">
        <v>42152</v>
      </c>
      <c r="J13022" s="788">
        <v>41775</v>
      </c>
      <c r="L13022" s="787">
        <v>5.64</v>
      </c>
      <c r="M13022" s="787">
        <v>20</v>
      </c>
      <c r="N13022" s="787">
        <v>6.06</v>
      </c>
      <c r="O13022" s="788">
        <v>42127</v>
      </c>
    </row>
    <row r="13023" spans="1:15" x14ac:dyDescent="0.25">
      <c r="A13023" s="786" t="s">
        <v>23324</v>
      </c>
      <c r="B13023" s="787">
        <v>4</v>
      </c>
      <c r="C13023" s="787" t="s">
        <v>23325</v>
      </c>
      <c r="D13023" s="787">
        <v>6.9</v>
      </c>
      <c r="E13023" s="787">
        <v>6.9</v>
      </c>
      <c r="F13023" s="788">
        <v>40379</v>
      </c>
      <c r="G13023" s="788">
        <v>40354</v>
      </c>
      <c r="H13023" s="787">
        <v>1</v>
      </c>
      <c r="I13023" s="788">
        <v>41913</v>
      </c>
      <c r="J13023" s="788">
        <v>41578</v>
      </c>
      <c r="L13023" s="787">
        <v>6.9</v>
      </c>
      <c r="M13023" s="787">
        <v>20</v>
      </c>
      <c r="N13023" s="787">
        <v>7.42</v>
      </c>
      <c r="O13023" s="788">
        <v>41858</v>
      </c>
    </row>
    <row r="13024" spans="1:15" x14ac:dyDescent="0.25">
      <c r="A13024" s="786" t="s">
        <v>23326</v>
      </c>
      <c r="B13024" s="787">
        <v>4</v>
      </c>
      <c r="C13024" s="787" t="s">
        <v>23327</v>
      </c>
      <c r="D13024" s="787">
        <v>0.47</v>
      </c>
      <c r="E13024" s="787">
        <v>0.47</v>
      </c>
      <c r="F13024" s="788">
        <v>42082</v>
      </c>
      <c r="G13024" s="788">
        <v>42082</v>
      </c>
      <c r="H13024" s="787">
        <v>1</v>
      </c>
      <c r="I13024" s="788">
        <v>42052</v>
      </c>
      <c r="J13024" s="788">
        <v>42051</v>
      </c>
      <c r="K13024" s="788">
        <v>41114</v>
      </c>
      <c r="L13024" s="787">
        <v>0.48</v>
      </c>
      <c r="M13024" s="787">
        <v>10</v>
      </c>
      <c r="N13024" s="787">
        <v>1.54</v>
      </c>
      <c r="O13024" s="788">
        <v>42047</v>
      </c>
    </row>
    <row r="13025" spans="1:15" x14ac:dyDescent="0.25">
      <c r="A13025" s="786" t="s">
        <v>23328</v>
      </c>
      <c r="B13025" s="787">
        <v>4</v>
      </c>
      <c r="C13025" s="787" t="s">
        <v>23329</v>
      </c>
      <c r="D13025" s="787">
        <v>0.28000000000000003</v>
      </c>
      <c r="E13025" s="787">
        <v>1.1599999999999999</v>
      </c>
      <c r="F13025" s="788">
        <v>41180</v>
      </c>
      <c r="G13025" s="788">
        <v>41579</v>
      </c>
      <c r="H13025" s="787">
        <v>1</v>
      </c>
      <c r="I13025" s="788">
        <v>41836</v>
      </c>
      <c r="J13025" s="788">
        <v>41534</v>
      </c>
      <c r="K13025" s="788">
        <v>41114</v>
      </c>
      <c r="L13025" s="787">
        <v>0.56000000000000005</v>
      </c>
      <c r="M13025" s="787">
        <v>10</v>
      </c>
      <c r="N13025" s="787">
        <v>0.52</v>
      </c>
      <c r="O13025" s="788">
        <v>41858</v>
      </c>
    </row>
    <row r="13026" spans="1:15" x14ac:dyDescent="0.25">
      <c r="A13026" s="786" t="s">
        <v>23330</v>
      </c>
      <c r="B13026" s="787">
        <v>4</v>
      </c>
      <c r="C13026" s="787" t="s">
        <v>23331</v>
      </c>
      <c r="D13026" s="787">
        <v>5.92</v>
      </c>
      <c r="E13026" s="787">
        <v>6.26</v>
      </c>
      <c r="F13026" s="788">
        <v>41214</v>
      </c>
      <c r="G13026" s="788">
        <v>42158</v>
      </c>
      <c r="H13026" s="787">
        <v>1</v>
      </c>
      <c r="I13026" s="788">
        <v>42123</v>
      </c>
      <c r="J13026" s="788">
        <v>42158</v>
      </c>
      <c r="K13026" s="788">
        <v>41865</v>
      </c>
      <c r="L13026" s="787">
        <v>6.12</v>
      </c>
      <c r="M13026" s="787">
        <v>20</v>
      </c>
      <c r="N13026" s="787">
        <v>6.58</v>
      </c>
      <c r="O13026" s="788">
        <v>42146</v>
      </c>
    </row>
    <row r="13027" spans="1:15" x14ac:dyDescent="0.25">
      <c r="A13027" s="786" t="s">
        <v>23332</v>
      </c>
      <c r="B13027" s="787">
        <v>4</v>
      </c>
      <c r="C13027" s="787" t="s">
        <v>23333</v>
      </c>
      <c r="D13027" s="787">
        <v>0</v>
      </c>
      <c r="E13027" s="787">
        <v>0</v>
      </c>
      <c r="H13027" s="787">
        <v>1</v>
      </c>
      <c r="K13027" s="788">
        <v>42166</v>
      </c>
      <c r="L13027" s="787">
        <v>8.06</v>
      </c>
      <c r="M13027" s="787">
        <v>20</v>
      </c>
      <c r="N13027" s="787">
        <v>0</v>
      </c>
    </row>
    <row r="13028" spans="1:15" x14ac:dyDescent="0.25">
      <c r="A13028" s="786" t="s">
        <v>23334</v>
      </c>
      <c r="B13028" s="787">
        <v>4</v>
      </c>
      <c r="C13028" s="787" t="s">
        <v>23335</v>
      </c>
      <c r="D13028" s="787">
        <v>5.08</v>
      </c>
      <c r="E13028" s="787">
        <v>25.08</v>
      </c>
      <c r="F13028" s="788">
        <v>41948</v>
      </c>
      <c r="G13028" s="788">
        <v>41942</v>
      </c>
      <c r="H13028" s="787">
        <v>1</v>
      </c>
      <c r="I13028" s="788">
        <v>41954</v>
      </c>
      <c r="J13028" s="788">
        <v>41942</v>
      </c>
      <c r="K13028" s="788">
        <v>41934</v>
      </c>
      <c r="L13028" s="787">
        <v>25.08</v>
      </c>
      <c r="M13028" s="787">
        <v>20</v>
      </c>
      <c r="N13028" s="787">
        <v>26.96</v>
      </c>
      <c r="O13028" s="788">
        <v>41934</v>
      </c>
    </row>
    <row r="13029" spans="1:15" x14ac:dyDescent="0.25">
      <c r="A13029" s="786" t="s">
        <v>23336</v>
      </c>
      <c r="B13029" s="787">
        <v>4</v>
      </c>
      <c r="C13029" s="787" t="s">
        <v>23337</v>
      </c>
      <c r="D13029" s="787">
        <v>2.36</v>
      </c>
      <c r="E13029" s="787">
        <v>152.36000000000001</v>
      </c>
      <c r="F13029" s="788">
        <v>41943</v>
      </c>
      <c r="G13029" s="788">
        <v>41935</v>
      </c>
      <c r="H13029" s="787">
        <v>1</v>
      </c>
      <c r="I13029" s="788">
        <v>41961</v>
      </c>
      <c r="J13029" s="788">
        <v>41935</v>
      </c>
      <c r="K13029" s="788">
        <v>41934</v>
      </c>
      <c r="L13029" s="787">
        <v>152.36000000000001</v>
      </c>
      <c r="M13029" s="787">
        <v>20</v>
      </c>
      <c r="N13029" s="787">
        <v>163.79</v>
      </c>
      <c r="O13029" s="788">
        <v>41934</v>
      </c>
    </row>
    <row r="13030" spans="1:15" x14ac:dyDescent="0.25">
      <c r="A13030" s="786" t="s">
        <v>23338</v>
      </c>
      <c r="B13030" s="787">
        <v>4</v>
      </c>
      <c r="C13030" s="787" t="s">
        <v>23339</v>
      </c>
      <c r="D13030" s="787">
        <v>3.63</v>
      </c>
      <c r="E13030" s="787">
        <v>3.86</v>
      </c>
      <c r="F13030" s="788">
        <v>39112</v>
      </c>
      <c r="G13030" s="788">
        <v>39941</v>
      </c>
      <c r="H13030" s="787">
        <v>6</v>
      </c>
      <c r="I13030" s="788">
        <v>39801</v>
      </c>
      <c r="J13030" s="788">
        <v>39945</v>
      </c>
      <c r="K13030" s="788">
        <v>41869</v>
      </c>
      <c r="L13030" s="787">
        <v>3.86</v>
      </c>
      <c r="M13030" s="787">
        <v>20</v>
      </c>
      <c r="N13030" s="787">
        <v>11.43</v>
      </c>
      <c r="O13030" s="788">
        <v>41858</v>
      </c>
    </row>
    <row r="13031" spans="1:15" x14ac:dyDescent="0.25">
      <c r="A13031" s="786" t="s">
        <v>23340</v>
      </c>
      <c r="B13031" s="787">
        <v>4</v>
      </c>
      <c r="C13031" s="787" t="s">
        <v>23341</v>
      </c>
      <c r="D13031" s="787">
        <v>4.46</v>
      </c>
      <c r="E13031" s="787">
        <v>5.53</v>
      </c>
      <c r="F13031" s="788">
        <v>39283</v>
      </c>
      <c r="G13031" s="788">
        <v>40553</v>
      </c>
      <c r="H13031" s="787">
        <v>6</v>
      </c>
      <c r="I13031" s="788">
        <v>39286</v>
      </c>
      <c r="J13031" s="788">
        <v>39945</v>
      </c>
      <c r="K13031" s="788">
        <v>41869</v>
      </c>
      <c r="L13031" s="787">
        <v>5.53</v>
      </c>
      <c r="M13031" s="787">
        <v>20</v>
      </c>
      <c r="N13031" s="787">
        <v>11.43</v>
      </c>
      <c r="O13031" s="788">
        <v>41858</v>
      </c>
    </row>
    <row r="13032" spans="1:15" x14ac:dyDescent="0.25">
      <c r="A13032" s="786" t="s">
        <v>23342</v>
      </c>
      <c r="B13032" s="787">
        <v>4</v>
      </c>
      <c r="C13032" s="787" t="s">
        <v>23343</v>
      </c>
      <c r="D13032" s="787">
        <v>5.52</v>
      </c>
      <c r="E13032" s="787">
        <v>7.63</v>
      </c>
      <c r="F13032" s="788">
        <v>39283</v>
      </c>
      <c r="G13032" s="788">
        <v>39590</v>
      </c>
      <c r="H13032" s="787">
        <v>6</v>
      </c>
      <c r="I13032" s="788">
        <v>39134</v>
      </c>
      <c r="J13032" s="788">
        <v>39247</v>
      </c>
      <c r="L13032" s="787">
        <v>10.63</v>
      </c>
      <c r="M13032" s="787">
        <v>20</v>
      </c>
      <c r="N13032" s="787">
        <v>11.43</v>
      </c>
      <c r="O13032" s="788">
        <v>41858</v>
      </c>
    </row>
    <row r="13033" spans="1:15" x14ac:dyDescent="0.25">
      <c r="A13033" s="786" t="s">
        <v>23344</v>
      </c>
      <c r="B13033" s="787">
        <v>4</v>
      </c>
      <c r="C13033" s="787" t="s">
        <v>23345</v>
      </c>
      <c r="D13033" s="787">
        <v>8.83</v>
      </c>
      <c r="E13033" s="787">
        <v>19.89</v>
      </c>
      <c r="F13033" s="788">
        <v>41346</v>
      </c>
      <c r="G13033" s="788">
        <v>42136</v>
      </c>
      <c r="H13033" s="787">
        <v>1</v>
      </c>
      <c r="I13033" s="788">
        <v>42136</v>
      </c>
      <c r="J13033" s="788">
        <v>42137</v>
      </c>
      <c r="K13033" s="788">
        <v>42130</v>
      </c>
      <c r="L13033" s="787">
        <v>19.89</v>
      </c>
      <c r="M13033" s="787">
        <v>20</v>
      </c>
      <c r="N13033" s="787">
        <v>21.38</v>
      </c>
      <c r="O13033" s="788">
        <v>42130</v>
      </c>
    </row>
    <row r="13034" spans="1:15" x14ac:dyDescent="0.25">
      <c r="A13034" s="786" t="s">
        <v>23346</v>
      </c>
      <c r="B13034" s="787">
        <v>4</v>
      </c>
      <c r="C13034" s="787" t="s">
        <v>23347</v>
      </c>
      <c r="D13034" s="787">
        <v>4.92</v>
      </c>
      <c r="E13034" s="787">
        <v>5.33</v>
      </c>
      <c r="F13034" s="788">
        <v>39283</v>
      </c>
      <c r="G13034" s="788">
        <v>39941</v>
      </c>
      <c r="H13034" s="787">
        <v>6</v>
      </c>
      <c r="I13034" s="788">
        <v>39286</v>
      </c>
      <c r="J13034" s="788">
        <v>39945</v>
      </c>
      <c r="L13034" s="787">
        <v>6.69</v>
      </c>
      <c r="M13034" s="787">
        <v>20</v>
      </c>
      <c r="N13034" s="787">
        <v>7.19</v>
      </c>
      <c r="O13034" s="788">
        <v>41858</v>
      </c>
    </row>
    <row r="13035" spans="1:15" x14ac:dyDescent="0.25">
      <c r="A13035" s="786" t="s">
        <v>23348</v>
      </c>
      <c r="B13035" s="787">
        <v>4</v>
      </c>
      <c r="C13035" s="787" t="s">
        <v>23349</v>
      </c>
      <c r="D13035" s="787">
        <v>2.57</v>
      </c>
      <c r="E13035" s="787">
        <v>2.57</v>
      </c>
      <c r="F13035" s="788">
        <v>39101</v>
      </c>
      <c r="G13035" s="788">
        <v>39101</v>
      </c>
      <c r="H13035" s="787">
        <v>1</v>
      </c>
      <c r="I13035" s="788">
        <v>40081</v>
      </c>
      <c r="J13035" s="788">
        <v>39149</v>
      </c>
      <c r="L13035" s="787">
        <v>3.11</v>
      </c>
      <c r="M13035" s="787">
        <v>20</v>
      </c>
      <c r="N13035" s="787">
        <v>3.34</v>
      </c>
      <c r="O13035" s="788">
        <v>41858</v>
      </c>
    </row>
    <row r="13036" spans="1:15" x14ac:dyDescent="0.25">
      <c r="A13036" s="786" t="s">
        <v>23350</v>
      </c>
      <c r="B13036" s="787">
        <v>4</v>
      </c>
      <c r="C13036" s="787" t="s">
        <v>23351</v>
      </c>
      <c r="D13036" s="787">
        <v>2.21</v>
      </c>
      <c r="E13036" s="787">
        <v>2.6</v>
      </c>
      <c r="F13036" s="788">
        <v>39161</v>
      </c>
      <c r="G13036" s="788">
        <v>42145</v>
      </c>
      <c r="H13036" s="787">
        <v>1</v>
      </c>
      <c r="I13036" s="788">
        <v>42163</v>
      </c>
      <c r="J13036" s="788">
        <v>42116</v>
      </c>
      <c r="K13036" s="788">
        <v>41922</v>
      </c>
      <c r="L13036" s="787">
        <v>2.6</v>
      </c>
      <c r="M13036" s="787">
        <v>20</v>
      </c>
      <c r="N13036" s="787">
        <v>2.8</v>
      </c>
      <c r="O13036" s="788">
        <v>42164</v>
      </c>
    </row>
    <row r="13037" spans="1:15" x14ac:dyDescent="0.25">
      <c r="A13037" s="786" t="s">
        <v>23352</v>
      </c>
      <c r="B13037" s="787">
        <v>4</v>
      </c>
      <c r="C13037" s="787" t="s">
        <v>23353</v>
      </c>
      <c r="D13037" s="787">
        <v>0</v>
      </c>
      <c r="E13037" s="787">
        <v>131.55000000000001</v>
      </c>
      <c r="F13037" s="788">
        <v>38126</v>
      </c>
      <c r="G13037" s="788">
        <v>40576</v>
      </c>
      <c r="H13037" s="787">
        <v>1</v>
      </c>
      <c r="J13037" s="788">
        <v>40577</v>
      </c>
      <c r="L13037" s="787">
        <v>98.1</v>
      </c>
      <c r="M13037" s="787">
        <v>20</v>
      </c>
      <c r="N13037" s="787">
        <v>105.46</v>
      </c>
      <c r="O13037" s="788">
        <v>41858</v>
      </c>
    </row>
    <row r="13038" spans="1:15" x14ac:dyDescent="0.25">
      <c r="A13038" s="786" t="s">
        <v>23354</v>
      </c>
      <c r="B13038" s="787">
        <v>4</v>
      </c>
      <c r="C13038" s="787" t="s">
        <v>23355</v>
      </c>
      <c r="D13038" s="787">
        <v>3.75</v>
      </c>
      <c r="E13038" s="787">
        <v>3.75</v>
      </c>
      <c r="F13038" s="788">
        <v>37641</v>
      </c>
      <c r="G13038" s="788">
        <v>37641</v>
      </c>
      <c r="H13038" s="787">
        <v>1</v>
      </c>
      <c r="I13038" s="788">
        <v>37931</v>
      </c>
      <c r="J13038" s="788">
        <v>37641</v>
      </c>
      <c r="L13038" s="787">
        <v>4.09</v>
      </c>
      <c r="M13038" s="787">
        <v>20</v>
      </c>
      <c r="N13038" s="787">
        <v>4.4000000000000004</v>
      </c>
      <c r="O13038" s="788">
        <v>41858</v>
      </c>
    </row>
    <row r="13039" spans="1:15" x14ac:dyDescent="0.25">
      <c r="A13039" s="786" t="s">
        <v>23356</v>
      </c>
      <c r="B13039" s="787">
        <v>4</v>
      </c>
      <c r="C13039" s="787" t="s">
        <v>23357</v>
      </c>
      <c r="D13039" s="787">
        <v>1.1200000000000001</v>
      </c>
      <c r="E13039" s="787">
        <v>31.12</v>
      </c>
      <c r="F13039" s="788">
        <v>40940</v>
      </c>
      <c r="G13039" s="788">
        <v>41577</v>
      </c>
      <c r="H13039" s="787">
        <v>1</v>
      </c>
      <c r="I13039" s="788">
        <v>40855</v>
      </c>
      <c r="J13039" s="788">
        <v>41577</v>
      </c>
      <c r="L13039" s="787">
        <v>42.4</v>
      </c>
      <c r="M13039" s="787">
        <v>20</v>
      </c>
      <c r="N13039" s="787">
        <v>45.58</v>
      </c>
      <c r="O13039" s="788">
        <v>41858</v>
      </c>
    </row>
    <row r="13040" spans="1:15" x14ac:dyDescent="0.25">
      <c r="A13040" s="786" t="s">
        <v>23358</v>
      </c>
      <c r="B13040" s="787">
        <v>4</v>
      </c>
      <c r="C13040" s="787" t="s">
        <v>23359</v>
      </c>
      <c r="D13040" s="787">
        <v>5</v>
      </c>
      <c r="E13040" s="787">
        <v>48.7</v>
      </c>
      <c r="F13040" s="788">
        <v>39101</v>
      </c>
      <c r="G13040" s="788">
        <v>41897</v>
      </c>
      <c r="H13040" s="787">
        <v>1</v>
      </c>
      <c r="I13040" s="788">
        <v>41893</v>
      </c>
      <c r="J13040" s="788">
        <v>41890</v>
      </c>
      <c r="K13040" s="788">
        <v>41887</v>
      </c>
      <c r="L13040" s="787">
        <v>38.85</v>
      </c>
      <c r="M13040" s="787">
        <v>20</v>
      </c>
      <c r="N13040" s="787">
        <v>41.01</v>
      </c>
      <c r="O13040" s="788">
        <v>41858</v>
      </c>
    </row>
    <row r="13041" spans="1:15" x14ac:dyDescent="0.25">
      <c r="A13041" s="786" t="s">
        <v>23360</v>
      </c>
      <c r="B13041" s="787">
        <v>4</v>
      </c>
      <c r="C13041" s="787" t="s">
        <v>23361</v>
      </c>
      <c r="D13041" s="787">
        <v>5.01</v>
      </c>
      <c r="E13041" s="787">
        <v>6.2</v>
      </c>
      <c r="F13041" s="788">
        <v>38412</v>
      </c>
      <c r="G13041" s="788">
        <v>42159</v>
      </c>
      <c r="H13041" s="787">
        <v>1</v>
      </c>
      <c r="I13041" s="788">
        <v>42163</v>
      </c>
      <c r="J13041" s="788">
        <v>42159</v>
      </c>
      <c r="K13041" s="788">
        <v>41922</v>
      </c>
      <c r="L13041" s="787">
        <v>6.2</v>
      </c>
      <c r="M13041" s="787">
        <v>20</v>
      </c>
      <c r="N13041" s="787">
        <v>6.67</v>
      </c>
      <c r="O13041" s="788">
        <v>42164</v>
      </c>
    </row>
    <row r="13042" spans="1:15" x14ac:dyDescent="0.25">
      <c r="A13042" s="786" t="s">
        <v>23362</v>
      </c>
      <c r="B13042" s="787">
        <v>4</v>
      </c>
      <c r="C13042" s="787" t="s">
        <v>23363</v>
      </c>
      <c r="D13042" s="787">
        <v>2.39</v>
      </c>
      <c r="E13042" s="787">
        <v>2.6</v>
      </c>
      <c r="F13042" s="788">
        <v>37641</v>
      </c>
      <c r="G13042" s="788">
        <v>38201</v>
      </c>
      <c r="H13042" s="787">
        <v>1</v>
      </c>
      <c r="J13042" s="788">
        <v>38175</v>
      </c>
      <c r="L13042" s="787">
        <v>3.31</v>
      </c>
      <c r="M13042" s="787">
        <v>20</v>
      </c>
      <c r="N13042" s="787">
        <v>3.56</v>
      </c>
      <c r="O13042" s="788">
        <v>41858</v>
      </c>
    </row>
    <row r="13043" spans="1:15" x14ac:dyDescent="0.25">
      <c r="A13043" s="786" t="s">
        <v>23364</v>
      </c>
      <c r="B13043" s="787">
        <v>4</v>
      </c>
      <c r="C13043" s="787" t="s">
        <v>23365</v>
      </c>
      <c r="D13043" s="787">
        <v>3.08</v>
      </c>
      <c r="E13043" s="787">
        <v>5.76</v>
      </c>
      <c r="F13043" s="788">
        <v>41318</v>
      </c>
      <c r="G13043" s="788">
        <v>42116</v>
      </c>
      <c r="H13043" s="787">
        <v>1</v>
      </c>
      <c r="I13043" s="788">
        <v>42157</v>
      </c>
      <c r="J13043" s="788">
        <v>42116</v>
      </c>
      <c r="K13043" s="788">
        <v>41922</v>
      </c>
      <c r="L13043" s="787">
        <v>5.76</v>
      </c>
      <c r="M13043" s="787">
        <v>20</v>
      </c>
      <c r="N13043" s="787">
        <v>6.19</v>
      </c>
      <c r="O13043" s="788">
        <v>42164</v>
      </c>
    </row>
    <row r="13044" spans="1:15" x14ac:dyDescent="0.25">
      <c r="A13044" s="786" t="s">
        <v>23366</v>
      </c>
      <c r="B13044" s="787">
        <v>4</v>
      </c>
      <c r="C13044" s="787" t="s">
        <v>23367</v>
      </c>
      <c r="D13044" s="787">
        <v>6.73</v>
      </c>
      <c r="E13044" s="787">
        <v>6.73</v>
      </c>
      <c r="F13044" s="788">
        <v>41928</v>
      </c>
      <c r="G13044" s="788">
        <v>41962</v>
      </c>
      <c r="H13044" s="787">
        <v>1</v>
      </c>
      <c r="I13044" s="788">
        <v>42095</v>
      </c>
      <c r="J13044" s="788">
        <v>42094</v>
      </c>
      <c r="K13044" s="788">
        <v>41919</v>
      </c>
      <c r="L13044" s="787">
        <v>6.73</v>
      </c>
      <c r="M13044" s="787">
        <v>20</v>
      </c>
      <c r="N13044" s="787">
        <v>6.5</v>
      </c>
      <c r="O13044" s="788">
        <v>41858</v>
      </c>
    </row>
    <row r="13045" spans="1:15" x14ac:dyDescent="0.25">
      <c r="A13045" s="786" t="s">
        <v>23368</v>
      </c>
      <c r="B13045" s="787">
        <v>4</v>
      </c>
      <c r="C13045" s="787" t="s">
        <v>23369</v>
      </c>
      <c r="D13045" s="787">
        <v>8.65</v>
      </c>
      <c r="E13045" s="787">
        <v>9.86</v>
      </c>
      <c r="F13045" s="788">
        <v>39161</v>
      </c>
      <c r="G13045" s="788">
        <v>42013</v>
      </c>
      <c r="H13045" s="787">
        <v>1</v>
      </c>
      <c r="I13045" s="788">
        <v>42158</v>
      </c>
      <c r="J13045" s="788">
        <v>41324</v>
      </c>
      <c r="K13045" s="788">
        <v>40946</v>
      </c>
      <c r="L13045" s="787">
        <v>9.5500000000000007</v>
      </c>
      <c r="M13045" s="787">
        <v>20</v>
      </c>
      <c r="N13045" s="787">
        <v>10.27</v>
      </c>
      <c r="O13045" s="788">
        <v>41858</v>
      </c>
    </row>
    <row r="13046" spans="1:15" x14ac:dyDescent="0.25">
      <c r="A13046" s="786" t="s">
        <v>23370</v>
      </c>
      <c r="B13046" s="787">
        <v>4</v>
      </c>
      <c r="C13046" s="787" t="s">
        <v>23371</v>
      </c>
      <c r="D13046" s="787">
        <v>4.5999999999999996</v>
      </c>
      <c r="E13046" s="787">
        <v>5.28</v>
      </c>
      <c r="F13046" s="788">
        <v>39161</v>
      </c>
      <c r="G13046" s="788">
        <v>42013</v>
      </c>
      <c r="H13046" s="787">
        <v>1</v>
      </c>
      <c r="I13046" s="788">
        <v>42123</v>
      </c>
      <c r="J13046" s="788">
        <v>41701</v>
      </c>
      <c r="K13046" s="788">
        <v>40906</v>
      </c>
      <c r="L13046" s="787">
        <v>5.0999999999999996</v>
      </c>
      <c r="M13046" s="787">
        <v>20</v>
      </c>
      <c r="N13046" s="787">
        <v>5.48</v>
      </c>
      <c r="O13046" s="788">
        <v>42127</v>
      </c>
    </row>
    <row r="13047" spans="1:15" x14ac:dyDescent="0.25">
      <c r="A13047" s="786" t="s">
        <v>23372</v>
      </c>
      <c r="B13047" s="787">
        <v>4</v>
      </c>
      <c r="C13047" s="787" t="s">
        <v>23373</v>
      </c>
      <c r="D13047" s="787">
        <v>2.58</v>
      </c>
      <c r="E13047" s="787">
        <v>2.58</v>
      </c>
      <c r="F13047" s="788">
        <v>37641</v>
      </c>
      <c r="G13047" s="788">
        <v>38503</v>
      </c>
      <c r="H13047" s="787">
        <v>1</v>
      </c>
      <c r="I13047" s="788">
        <v>37708</v>
      </c>
      <c r="J13047" s="788">
        <v>38504</v>
      </c>
      <c r="L13047" s="787">
        <v>2.81</v>
      </c>
      <c r="M13047" s="787">
        <v>20</v>
      </c>
      <c r="N13047" s="787">
        <v>3.02</v>
      </c>
      <c r="O13047" s="788">
        <v>41858</v>
      </c>
    </row>
    <row r="13048" spans="1:15" x14ac:dyDescent="0.25">
      <c r="A13048" s="786" t="s">
        <v>23374</v>
      </c>
      <c r="B13048" s="787">
        <v>4</v>
      </c>
      <c r="C13048" s="787" t="s">
        <v>23375</v>
      </c>
      <c r="D13048" s="787">
        <v>2.5</v>
      </c>
      <c r="E13048" s="787">
        <v>2.5</v>
      </c>
      <c r="F13048" s="788">
        <v>42143</v>
      </c>
      <c r="G13048" s="788">
        <v>42157</v>
      </c>
      <c r="H13048" s="787">
        <v>1</v>
      </c>
      <c r="I13048" s="788">
        <v>42164</v>
      </c>
      <c r="J13048" s="788">
        <v>42157</v>
      </c>
      <c r="L13048" s="787">
        <v>19.11</v>
      </c>
      <c r="M13048" s="787">
        <v>10</v>
      </c>
      <c r="N13048" s="787">
        <v>20.43</v>
      </c>
      <c r="O13048" s="788">
        <v>42164</v>
      </c>
    </row>
    <row r="13049" spans="1:15" x14ac:dyDescent="0.25">
      <c r="A13049" s="786" t="s">
        <v>23376</v>
      </c>
      <c r="B13049" s="787">
        <v>4</v>
      </c>
      <c r="C13049" s="787" t="s">
        <v>23377</v>
      </c>
      <c r="D13049" s="787">
        <v>1.78</v>
      </c>
      <c r="E13049" s="787">
        <v>21.78</v>
      </c>
      <c r="F13049" s="788">
        <v>39101</v>
      </c>
      <c r="G13049" s="788">
        <v>39101</v>
      </c>
      <c r="H13049" s="787">
        <v>1</v>
      </c>
      <c r="I13049" s="788">
        <v>40414</v>
      </c>
      <c r="J13049" s="788">
        <v>39149</v>
      </c>
      <c r="L13049" s="787">
        <v>23.74</v>
      </c>
      <c r="M13049" s="787">
        <v>20</v>
      </c>
      <c r="N13049" s="787">
        <v>25.52</v>
      </c>
      <c r="O13049" s="788">
        <v>41858</v>
      </c>
    </row>
    <row r="13050" spans="1:15" x14ac:dyDescent="0.25">
      <c r="A13050" s="786" t="s">
        <v>23378</v>
      </c>
      <c r="B13050" s="787">
        <v>4</v>
      </c>
      <c r="C13050" s="787" t="s">
        <v>23379</v>
      </c>
      <c r="D13050" s="787">
        <v>3.28</v>
      </c>
      <c r="E13050" s="787">
        <v>3.37</v>
      </c>
      <c r="F13050" s="788">
        <v>39101</v>
      </c>
      <c r="G13050" s="788">
        <v>40178</v>
      </c>
      <c r="H13050" s="787">
        <v>1</v>
      </c>
      <c r="I13050" s="788">
        <v>41317</v>
      </c>
      <c r="J13050" s="788">
        <v>39349</v>
      </c>
      <c r="L13050" s="787">
        <v>3.37</v>
      </c>
      <c r="M13050" s="787">
        <v>20</v>
      </c>
      <c r="N13050" s="787">
        <v>3.62</v>
      </c>
      <c r="O13050" s="788">
        <v>41858</v>
      </c>
    </row>
    <row r="13051" spans="1:15" x14ac:dyDescent="0.25">
      <c r="A13051" s="786" t="s">
        <v>23380</v>
      </c>
      <c r="B13051" s="787">
        <v>4</v>
      </c>
      <c r="C13051" s="787" t="s">
        <v>23381</v>
      </c>
      <c r="D13051" s="787">
        <v>5.74</v>
      </c>
      <c r="E13051" s="787">
        <v>5.81</v>
      </c>
      <c r="F13051" s="788">
        <v>40142</v>
      </c>
      <c r="G13051" s="788">
        <v>42013</v>
      </c>
      <c r="H13051" s="787">
        <v>1</v>
      </c>
      <c r="I13051" s="788">
        <v>42082</v>
      </c>
      <c r="J13051" s="788">
        <v>41935</v>
      </c>
      <c r="K13051" s="788">
        <v>41869</v>
      </c>
      <c r="L13051" s="787">
        <v>5.83</v>
      </c>
      <c r="M13051" s="787">
        <v>20</v>
      </c>
      <c r="N13051" s="787">
        <v>6.27</v>
      </c>
      <c r="O13051" s="788">
        <v>42164</v>
      </c>
    </row>
    <row r="13052" spans="1:15" x14ac:dyDescent="0.25">
      <c r="A13052" s="786" t="s">
        <v>23382</v>
      </c>
      <c r="B13052" s="787">
        <v>4</v>
      </c>
      <c r="C13052" s="787" t="s">
        <v>23383</v>
      </c>
      <c r="D13052" s="787">
        <v>0.31</v>
      </c>
      <c r="E13052" s="787">
        <v>10.31</v>
      </c>
      <c r="F13052" s="788">
        <v>41612</v>
      </c>
      <c r="G13052" s="788">
        <v>42124</v>
      </c>
      <c r="H13052" s="787">
        <v>1</v>
      </c>
      <c r="I13052" s="788">
        <v>41596</v>
      </c>
      <c r="J13052" s="788">
        <v>42124</v>
      </c>
      <c r="K13052" s="788">
        <v>41864</v>
      </c>
      <c r="L13052" s="787">
        <v>11.08</v>
      </c>
      <c r="M13052" s="787">
        <v>20</v>
      </c>
      <c r="N13052" s="787">
        <v>1.08</v>
      </c>
      <c r="O13052" s="788">
        <v>41858</v>
      </c>
    </row>
    <row r="13053" spans="1:15" x14ac:dyDescent="0.25">
      <c r="A13053" s="786" t="s">
        <v>23384</v>
      </c>
      <c r="B13053" s="787">
        <v>4</v>
      </c>
      <c r="C13053" s="787" t="s">
        <v>23385</v>
      </c>
      <c r="D13053" s="787">
        <v>0.84</v>
      </c>
      <c r="E13053" s="787">
        <v>60.84</v>
      </c>
      <c r="F13053" s="788">
        <v>39101</v>
      </c>
      <c r="G13053" s="788">
        <v>39101</v>
      </c>
      <c r="H13053" s="787">
        <v>1</v>
      </c>
      <c r="I13053" s="788">
        <v>40854</v>
      </c>
      <c r="J13053" s="788">
        <v>39101</v>
      </c>
      <c r="L13053" s="787">
        <v>66.319999999999993</v>
      </c>
      <c r="M13053" s="787">
        <v>20</v>
      </c>
      <c r="N13053" s="787">
        <v>71.290000000000006</v>
      </c>
      <c r="O13053" s="788">
        <v>41858</v>
      </c>
    </row>
    <row r="13054" spans="1:15" x14ac:dyDescent="0.25">
      <c r="A13054" s="786" t="s">
        <v>23386</v>
      </c>
      <c r="B13054" s="787">
        <v>4</v>
      </c>
      <c r="C13054" s="787" t="s">
        <v>23387</v>
      </c>
      <c r="D13054" s="787">
        <v>5.22</v>
      </c>
      <c r="E13054" s="787">
        <v>40.049999999999997</v>
      </c>
      <c r="F13054" s="788">
        <v>39101</v>
      </c>
      <c r="G13054" s="788">
        <v>42165</v>
      </c>
      <c r="H13054" s="787">
        <v>1</v>
      </c>
      <c r="I13054" s="788">
        <v>42160</v>
      </c>
      <c r="J13054" s="788">
        <v>42165</v>
      </c>
      <c r="K13054" s="788">
        <v>41863</v>
      </c>
      <c r="L13054" s="787">
        <v>36.979999999999997</v>
      </c>
      <c r="M13054" s="787">
        <v>10</v>
      </c>
      <c r="N13054" s="787">
        <v>31.45</v>
      </c>
      <c r="O13054" s="788">
        <v>42047</v>
      </c>
    </row>
    <row r="13055" spans="1:15" x14ac:dyDescent="0.25">
      <c r="A13055" s="786" t="s">
        <v>23388</v>
      </c>
      <c r="B13055" s="787">
        <v>4</v>
      </c>
      <c r="C13055" s="787" t="s">
        <v>23389</v>
      </c>
      <c r="D13055" s="787">
        <v>8.6</v>
      </c>
      <c r="E13055" s="787">
        <v>28.6</v>
      </c>
      <c r="F13055" s="788">
        <v>40457</v>
      </c>
      <c r="G13055" s="788">
        <v>42013</v>
      </c>
      <c r="H13055" s="787">
        <v>1</v>
      </c>
      <c r="I13055" s="788">
        <v>42016</v>
      </c>
      <c r="J13055" s="788">
        <v>41906</v>
      </c>
      <c r="K13055" s="788">
        <v>41239</v>
      </c>
      <c r="L13055" s="787">
        <v>28.9</v>
      </c>
      <c r="M13055" s="787">
        <v>20</v>
      </c>
      <c r="N13055" s="787">
        <v>31.07</v>
      </c>
      <c r="O13055" s="788">
        <v>42164</v>
      </c>
    </row>
    <row r="13056" spans="1:15" x14ac:dyDescent="0.25">
      <c r="A13056" s="786" t="s">
        <v>23390</v>
      </c>
      <c r="B13056" s="787">
        <v>4</v>
      </c>
      <c r="C13056" s="787" t="s">
        <v>23391</v>
      </c>
      <c r="D13056" s="787">
        <v>6.98</v>
      </c>
      <c r="E13056" s="787">
        <v>26.98</v>
      </c>
      <c r="F13056" s="788">
        <v>39799</v>
      </c>
      <c r="G13056" s="788">
        <v>39590</v>
      </c>
      <c r="H13056" s="787">
        <v>1</v>
      </c>
      <c r="I13056" s="788">
        <v>39853</v>
      </c>
      <c r="J13056" s="788">
        <v>39233</v>
      </c>
      <c r="L13056" s="787">
        <v>26.98</v>
      </c>
      <c r="M13056" s="787">
        <v>20</v>
      </c>
      <c r="N13056" s="787">
        <v>29</v>
      </c>
      <c r="O13056" s="788">
        <v>41858</v>
      </c>
    </row>
    <row r="13057" spans="1:15" x14ac:dyDescent="0.25">
      <c r="A13057" s="786" t="s">
        <v>23392</v>
      </c>
      <c r="B13057" s="787">
        <v>4</v>
      </c>
      <c r="C13057" s="787" t="s">
        <v>23391</v>
      </c>
      <c r="D13057" s="787">
        <v>7.17</v>
      </c>
      <c r="E13057" s="787">
        <v>28.6</v>
      </c>
      <c r="F13057" s="788">
        <v>40325</v>
      </c>
      <c r="G13057" s="788">
        <v>42013</v>
      </c>
      <c r="H13057" s="787">
        <v>1</v>
      </c>
      <c r="I13057" s="788">
        <v>41977</v>
      </c>
      <c r="J13057" s="788">
        <v>41992</v>
      </c>
      <c r="L13057" s="787">
        <v>28.87</v>
      </c>
      <c r="M13057" s="787">
        <v>20</v>
      </c>
      <c r="N13057" s="787">
        <v>31.04</v>
      </c>
      <c r="O13057" s="788">
        <v>42111</v>
      </c>
    </row>
    <row r="13058" spans="1:15" x14ac:dyDescent="0.25">
      <c r="A13058" s="786" t="s">
        <v>23393</v>
      </c>
      <c r="B13058" s="787">
        <v>4</v>
      </c>
      <c r="C13058" s="787" t="s">
        <v>23394</v>
      </c>
      <c r="D13058" s="787">
        <v>5</v>
      </c>
      <c r="E13058" s="787">
        <v>25</v>
      </c>
      <c r="F13058" s="788">
        <v>38047</v>
      </c>
      <c r="G13058" s="788">
        <v>38364</v>
      </c>
      <c r="H13058" s="787">
        <v>1</v>
      </c>
      <c r="I13058" s="788">
        <v>39134</v>
      </c>
      <c r="J13058" s="788">
        <v>38047</v>
      </c>
      <c r="L13058" s="787">
        <v>27.25</v>
      </c>
      <c r="M13058" s="787">
        <v>20</v>
      </c>
      <c r="N13058" s="787">
        <v>29.29</v>
      </c>
      <c r="O13058" s="788">
        <v>41858</v>
      </c>
    </row>
    <row r="13059" spans="1:15" x14ac:dyDescent="0.25">
      <c r="A13059" s="786" t="s">
        <v>23395</v>
      </c>
      <c r="B13059" s="787">
        <v>4</v>
      </c>
      <c r="C13059" s="787" t="s">
        <v>23396</v>
      </c>
      <c r="D13059" s="787">
        <v>0.41</v>
      </c>
      <c r="E13059" s="787">
        <v>21.64</v>
      </c>
      <c r="F13059" s="788">
        <v>39101</v>
      </c>
      <c r="G13059" s="788">
        <v>39101</v>
      </c>
      <c r="H13059" s="787">
        <v>1</v>
      </c>
      <c r="I13059" s="788">
        <v>38023</v>
      </c>
      <c r="J13059" s="788">
        <v>39101</v>
      </c>
      <c r="L13059" s="787">
        <v>23.59</v>
      </c>
      <c r="M13059" s="787">
        <v>20</v>
      </c>
      <c r="N13059" s="787">
        <v>25.36</v>
      </c>
      <c r="O13059" s="788">
        <v>41858</v>
      </c>
    </row>
    <row r="13060" spans="1:15" x14ac:dyDescent="0.25">
      <c r="A13060" s="786" t="s">
        <v>23397</v>
      </c>
      <c r="B13060" s="787">
        <v>4</v>
      </c>
      <c r="C13060" s="787" t="s">
        <v>23398</v>
      </c>
      <c r="D13060" s="787">
        <v>1.23</v>
      </c>
      <c r="E13060" s="787">
        <v>0.45</v>
      </c>
      <c r="F13060" s="788">
        <v>39101</v>
      </c>
      <c r="G13060" s="788">
        <v>39101</v>
      </c>
      <c r="H13060" s="787">
        <v>1</v>
      </c>
      <c r="I13060" s="788">
        <v>41614</v>
      </c>
      <c r="J13060" s="788">
        <v>39101</v>
      </c>
      <c r="L13060" s="787">
        <v>0.49</v>
      </c>
      <c r="M13060" s="787">
        <v>20</v>
      </c>
      <c r="N13060" s="787">
        <v>0.53</v>
      </c>
      <c r="O13060" s="788">
        <v>41858</v>
      </c>
    </row>
    <row r="13061" spans="1:15" x14ac:dyDescent="0.25">
      <c r="A13061" s="786" t="s">
        <v>23399</v>
      </c>
      <c r="B13061" s="787">
        <v>4</v>
      </c>
      <c r="C13061" s="787" t="s">
        <v>23400</v>
      </c>
      <c r="D13061" s="787">
        <v>5.47</v>
      </c>
      <c r="E13061" s="787">
        <v>37.130000000000003</v>
      </c>
      <c r="F13061" s="788">
        <v>39101</v>
      </c>
      <c r="G13061" s="788">
        <v>39101</v>
      </c>
      <c r="H13061" s="787">
        <v>1</v>
      </c>
      <c r="I13061" s="788">
        <v>38023</v>
      </c>
      <c r="J13061" s="788">
        <v>39101</v>
      </c>
      <c r="L13061" s="787">
        <v>40.47</v>
      </c>
      <c r="M13061" s="787">
        <v>20</v>
      </c>
      <c r="N13061" s="787">
        <v>43.51</v>
      </c>
      <c r="O13061" s="788">
        <v>41858</v>
      </c>
    </row>
    <row r="13062" spans="1:15" x14ac:dyDescent="0.25">
      <c r="A13062" s="786" t="s">
        <v>23401</v>
      </c>
      <c r="B13062" s="787">
        <v>4</v>
      </c>
      <c r="C13062" s="787" t="s">
        <v>23375</v>
      </c>
      <c r="D13062" s="787">
        <v>2.82</v>
      </c>
      <c r="E13062" s="787">
        <v>18.21</v>
      </c>
      <c r="F13062" s="788">
        <v>40385</v>
      </c>
      <c r="G13062" s="788">
        <v>42165</v>
      </c>
      <c r="H13062" s="787">
        <v>1</v>
      </c>
      <c r="I13062" s="788">
        <v>42165</v>
      </c>
      <c r="J13062" s="788">
        <v>42163</v>
      </c>
      <c r="L13062" s="787">
        <v>13.33</v>
      </c>
      <c r="M13062" s="787">
        <v>10</v>
      </c>
      <c r="N13062" s="787">
        <v>15.75</v>
      </c>
      <c r="O13062" s="788">
        <v>42164</v>
      </c>
    </row>
    <row r="13063" spans="1:15" x14ac:dyDescent="0.25">
      <c r="A13063" s="786" t="s">
        <v>23402</v>
      </c>
      <c r="B13063" s="787">
        <v>4</v>
      </c>
      <c r="C13063" s="787" t="s">
        <v>23403</v>
      </c>
      <c r="D13063" s="787">
        <v>0</v>
      </c>
      <c r="E13063" s="787">
        <v>26.59</v>
      </c>
      <c r="F13063" s="788">
        <v>41018</v>
      </c>
      <c r="G13063" s="788">
        <v>41653</v>
      </c>
      <c r="H13063" s="787">
        <v>6</v>
      </c>
      <c r="I13063" s="788">
        <v>41897</v>
      </c>
      <c r="J13063" s="788">
        <v>41764</v>
      </c>
      <c r="K13063" s="788">
        <v>41519</v>
      </c>
      <c r="L13063" s="787">
        <v>26.35</v>
      </c>
      <c r="M13063" s="787">
        <v>20</v>
      </c>
      <c r="N13063" s="787">
        <v>26.35</v>
      </c>
      <c r="O13063" s="788">
        <v>41912</v>
      </c>
    </row>
    <row r="13064" spans="1:15" x14ac:dyDescent="0.25">
      <c r="A13064" s="786" t="s">
        <v>23404</v>
      </c>
      <c r="B13064" s="787">
        <v>4</v>
      </c>
      <c r="C13064" s="787" t="s">
        <v>23405</v>
      </c>
      <c r="D13064" s="787">
        <v>0</v>
      </c>
      <c r="E13064" s="787">
        <v>0</v>
      </c>
      <c r="H13064" s="787">
        <v>1</v>
      </c>
      <c r="I13064" s="788">
        <v>40854</v>
      </c>
      <c r="J13064" s="788">
        <v>39101</v>
      </c>
      <c r="K13064" s="788">
        <v>41256</v>
      </c>
      <c r="L13064" s="787">
        <v>1</v>
      </c>
      <c r="M13064" s="787">
        <v>20</v>
      </c>
      <c r="N13064" s="787">
        <v>1.08</v>
      </c>
      <c r="O13064" s="788">
        <v>41858</v>
      </c>
    </row>
    <row r="13065" spans="1:15" x14ac:dyDescent="0.25">
      <c r="A13065" s="786" t="s">
        <v>23406</v>
      </c>
      <c r="B13065" s="787">
        <v>4</v>
      </c>
      <c r="C13065" s="787" t="s">
        <v>23407</v>
      </c>
      <c r="D13065" s="787">
        <v>7.9</v>
      </c>
      <c r="E13065" s="787">
        <v>2.2000000000000002</v>
      </c>
      <c r="F13065" s="788">
        <v>37641</v>
      </c>
      <c r="G13065" s="788">
        <v>37641</v>
      </c>
      <c r="H13065" s="787">
        <v>1</v>
      </c>
      <c r="I13065" s="788">
        <v>41568</v>
      </c>
      <c r="J13065" s="788">
        <v>41578</v>
      </c>
      <c r="K13065" s="788">
        <v>42164</v>
      </c>
      <c r="L13065" s="787">
        <v>2.27</v>
      </c>
      <c r="M13065" s="787">
        <v>20</v>
      </c>
      <c r="N13065" s="787">
        <v>2.58</v>
      </c>
      <c r="O13065" s="788">
        <v>41858</v>
      </c>
    </row>
    <row r="13066" spans="1:15" x14ac:dyDescent="0.25">
      <c r="A13066" s="786" t="s">
        <v>23408</v>
      </c>
      <c r="B13066" s="787">
        <v>4</v>
      </c>
      <c r="C13066" s="787" t="s">
        <v>23409</v>
      </c>
      <c r="D13066" s="787">
        <v>2.11</v>
      </c>
      <c r="E13066" s="787">
        <v>2.11</v>
      </c>
      <c r="F13066" s="788">
        <v>40925</v>
      </c>
      <c r="G13066" s="788">
        <v>41255</v>
      </c>
      <c r="H13066" s="787">
        <v>1</v>
      </c>
      <c r="I13066" s="788">
        <v>39990</v>
      </c>
      <c r="J13066" s="788">
        <v>40921</v>
      </c>
      <c r="L13066" s="787">
        <v>2.29</v>
      </c>
      <c r="M13066" s="787">
        <v>20</v>
      </c>
      <c r="N13066" s="787">
        <v>2.46</v>
      </c>
      <c r="O13066" s="788">
        <v>41858</v>
      </c>
    </row>
    <row r="13067" spans="1:15" x14ac:dyDescent="0.25">
      <c r="A13067" s="786" t="s">
        <v>23410</v>
      </c>
      <c r="B13067" s="787">
        <v>4</v>
      </c>
      <c r="C13067" s="787" t="s">
        <v>23411</v>
      </c>
      <c r="D13067" s="787">
        <v>3.44</v>
      </c>
      <c r="E13067" s="787">
        <v>25.79</v>
      </c>
      <c r="F13067" s="788">
        <v>38218</v>
      </c>
      <c r="G13067" s="788">
        <v>38736</v>
      </c>
      <c r="H13067" s="787">
        <v>1</v>
      </c>
      <c r="I13067" s="788">
        <v>39134</v>
      </c>
      <c r="J13067" s="788">
        <v>38679</v>
      </c>
      <c r="L13067" s="787">
        <v>14.65</v>
      </c>
      <c r="M13067" s="787">
        <v>20</v>
      </c>
      <c r="N13067" s="787">
        <v>15.75</v>
      </c>
      <c r="O13067" s="788">
        <v>41858</v>
      </c>
    </row>
    <row r="13068" spans="1:15" x14ac:dyDescent="0.25">
      <c r="A13068" s="786" t="s">
        <v>23412</v>
      </c>
      <c r="B13068" s="787">
        <v>4</v>
      </c>
      <c r="C13068" s="787" t="s">
        <v>23413</v>
      </c>
      <c r="D13068" s="787">
        <v>1.75</v>
      </c>
      <c r="E13068" s="787">
        <v>41.75</v>
      </c>
      <c r="F13068" s="788">
        <v>39101</v>
      </c>
      <c r="G13068" s="788">
        <v>39101</v>
      </c>
      <c r="H13068" s="787">
        <v>1</v>
      </c>
      <c r="I13068" s="788">
        <v>40584</v>
      </c>
      <c r="J13068" s="788">
        <v>39101</v>
      </c>
      <c r="L13068" s="787">
        <v>21.54</v>
      </c>
      <c r="M13068" s="787">
        <v>20</v>
      </c>
      <c r="N13068" s="787">
        <v>23.16</v>
      </c>
      <c r="O13068" s="788">
        <v>41887</v>
      </c>
    </row>
    <row r="13069" spans="1:15" x14ac:dyDescent="0.25">
      <c r="A13069" s="786" t="s">
        <v>23414</v>
      </c>
      <c r="B13069" s="787">
        <v>4</v>
      </c>
      <c r="C13069" s="787" t="s">
        <v>23415</v>
      </c>
      <c r="D13069" s="787">
        <v>5</v>
      </c>
      <c r="E13069" s="787">
        <v>25.4</v>
      </c>
      <c r="F13069" s="788">
        <v>38275</v>
      </c>
      <c r="G13069" s="788">
        <v>38307</v>
      </c>
      <c r="H13069" s="787">
        <v>1</v>
      </c>
      <c r="J13069" s="788">
        <v>38294</v>
      </c>
      <c r="L13069" s="787">
        <v>27.69</v>
      </c>
      <c r="M13069" s="787">
        <v>20</v>
      </c>
      <c r="N13069" s="787">
        <v>29.77</v>
      </c>
      <c r="O13069" s="788">
        <v>41858</v>
      </c>
    </row>
    <row r="13070" spans="1:15" x14ac:dyDescent="0.25">
      <c r="A13070" s="786" t="s">
        <v>23416</v>
      </c>
      <c r="B13070" s="787">
        <v>4</v>
      </c>
      <c r="C13070" s="787" t="s">
        <v>23417</v>
      </c>
      <c r="D13070" s="787">
        <v>2.9</v>
      </c>
      <c r="E13070" s="787">
        <v>2.9</v>
      </c>
      <c r="F13070" s="788">
        <v>39101</v>
      </c>
      <c r="G13070" s="788">
        <v>39101</v>
      </c>
      <c r="H13070" s="787">
        <v>1</v>
      </c>
      <c r="I13070" s="788">
        <v>40704</v>
      </c>
      <c r="J13070" s="788">
        <v>40690</v>
      </c>
      <c r="K13070" s="788">
        <v>39051</v>
      </c>
      <c r="L13070" s="787">
        <v>3.85</v>
      </c>
      <c r="M13070" s="787">
        <v>20</v>
      </c>
      <c r="N13070" s="787">
        <v>4.1399999999999997</v>
      </c>
      <c r="O13070" s="788">
        <v>41858</v>
      </c>
    </row>
    <row r="13071" spans="1:15" x14ac:dyDescent="0.25">
      <c r="A13071" s="786" t="s">
        <v>23418</v>
      </c>
      <c r="B13071" s="787">
        <v>4</v>
      </c>
      <c r="C13071" s="787" t="s">
        <v>23419</v>
      </c>
      <c r="D13071" s="787">
        <v>6</v>
      </c>
      <c r="E13071" s="787">
        <v>36</v>
      </c>
      <c r="F13071" s="788">
        <v>38429</v>
      </c>
      <c r="G13071" s="788">
        <v>38736</v>
      </c>
      <c r="H13071" s="787">
        <v>1</v>
      </c>
      <c r="I13071" s="788">
        <v>39134</v>
      </c>
      <c r="J13071" s="788">
        <v>38476</v>
      </c>
      <c r="L13071" s="787">
        <v>36</v>
      </c>
      <c r="M13071" s="787">
        <v>20</v>
      </c>
      <c r="N13071" s="787">
        <v>38.700000000000003</v>
      </c>
      <c r="O13071" s="788">
        <v>41858</v>
      </c>
    </row>
    <row r="13072" spans="1:15" x14ac:dyDescent="0.25">
      <c r="A13072" s="786" t="s">
        <v>23420</v>
      </c>
      <c r="B13072" s="787">
        <v>4</v>
      </c>
      <c r="C13072" s="787" t="s">
        <v>23421</v>
      </c>
      <c r="D13072" s="787">
        <v>0.8</v>
      </c>
      <c r="E13072" s="787">
        <v>0.8</v>
      </c>
      <c r="F13072" s="788">
        <v>39101</v>
      </c>
      <c r="G13072" s="788">
        <v>42013</v>
      </c>
      <c r="H13072" s="787">
        <v>1</v>
      </c>
      <c r="I13072" s="788">
        <v>41870</v>
      </c>
      <c r="J13072" s="788">
        <v>41849</v>
      </c>
      <c r="L13072" s="787">
        <v>0.8</v>
      </c>
      <c r="M13072" s="787">
        <v>20</v>
      </c>
      <c r="N13072" s="787">
        <v>0.86</v>
      </c>
      <c r="O13072" s="788">
        <v>41858</v>
      </c>
    </row>
    <row r="13073" spans="1:15" x14ac:dyDescent="0.25">
      <c r="A13073" s="786" t="s">
        <v>23422</v>
      </c>
      <c r="B13073" s="787">
        <v>4</v>
      </c>
      <c r="C13073" s="787" t="s">
        <v>23423</v>
      </c>
      <c r="D13073" s="787">
        <v>2.14</v>
      </c>
      <c r="E13073" s="787">
        <v>2.14</v>
      </c>
      <c r="F13073" s="788">
        <v>37641</v>
      </c>
      <c r="G13073" s="788">
        <v>37641</v>
      </c>
      <c r="H13073" s="787">
        <v>1</v>
      </c>
      <c r="I13073" s="788">
        <v>38287</v>
      </c>
      <c r="J13073" s="788">
        <v>37641</v>
      </c>
      <c r="L13073" s="787">
        <v>2.33</v>
      </c>
      <c r="M13073" s="787">
        <v>20</v>
      </c>
      <c r="N13073" s="787">
        <v>2.5</v>
      </c>
      <c r="O13073" s="788">
        <v>41858</v>
      </c>
    </row>
    <row r="13074" spans="1:15" x14ac:dyDescent="0.25">
      <c r="A13074" s="786" t="s">
        <v>23424</v>
      </c>
      <c r="B13074" s="787">
        <v>4</v>
      </c>
      <c r="C13074" s="787" t="s">
        <v>23425</v>
      </c>
      <c r="D13074" s="787">
        <v>1</v>
      </c>
      <c r="E13074" s="787">
        <v>1</v>
      </c>
      <c r="F13074" s="788">
        <v>40365</v>
      </c>
      <c r="G13074" s="788">
        <v>41880</v>
      </c>
      <c r="H13074" s="787">
        <v>1</v>
      </c>
      <c r="I13074" s="788">
        <v>42048</v>
      </c>
      <c r="J13074" s="788">
        <v>41880</v>
      </c>
      <c r="L13074" s="787">
        <v>1</v>
      </c>
      <c r="M13074" s="787">
        <v>20</v>
      </c>
      <c r="N13074" s="787">
        <v>1.08</v>
      </c>
      <c r="O13074" s="788">
        <v>41858</v>
      </c>
    </row>
    <row r="13075" spans="1:15" x14ac:dyDescent="0.25">
      <c r="A13075" s="786" t="s">
        <v>23426</v>
      </c>
      <c r="B13075" s="787">
        <v>4</v>
      </c>
      <c r="C13075" s="787" t="s">
        <v>23427</v>
      </c>
      <c r="D13075" s="787">
        <v>0</v>
      </c>
      <c r="E13075" s="787">
        <v>0</v>
      </c>
      <c r="H13075" s="787">
        <v>1</v>
      </c>
      <c r="J13075" s="788">
        <v>37641</v>
      </c>
      <c r="L13075" s="787">
        <v>0</v>
      </c>
      <c r="M13075" s="787">
        <v>20</v>
      </c>
      <c r="N13075" s="787">
        <v>0</v>
      </c>
      <c r="O13075" s="788">
        <v>40824</v>
      </c>
    </row>
    <row r="13076" spans="1:15" x14ac:dyDescent="0.25">
      <c r="A13076" s="786" t="s">
        <v>23428</v>
      </c>
      <c r="B13076" s="787">
        <v>4</v>
      </c>
      <c r="C13076" s="787" t="s">
        <v>23429</v>
      </c>
      <c r="D13076" s="787">
        <v>1.75</v>
      </c>
      <c r="E13076" s="787">
        <v>31.75</v>
      </c>
      <c r="F13076" s="788">
        <v>37641</v>
      </c>
      <c r="G13076" s="788">
        <v>37641</v>
      </c>
      <c r="H13076" s="787">
        <v>1</v>
      </c>
      <c r="J13076" s="788">
        <v>37641</v>
      </c>
      <c r="L13076" s="787">
        <v>34.61</v>
      </c>
      <c r="M13076" s="787">
        <v>20</v>
      </c>
      <c r="N13076" s="787">
        <v>37.21</v>
      </c>
      <c r="O13076" s="788">
        <v>41858</v>
      </c>
    </row>
    <row r="13077" spans="1:15" x14ac:dyDescent="0.25">
      <c r="A13077" s="786" t="s">
        <v>23430</v>
      </c>
      <c r="B13077" s="787">
        <v>4</v>
      </c>
      <c r="C13077" s="787" t="s">
        <v>23431</v>
      </c>
      <c r="D13077" s="787">
        <v>4.28</v>
      </c>
      <c r="E13077" s="787">
        <v>4.88</v>
      </c>
      <c r="F13077" s="788">
        <v>38659</v>
      </c>
      <c r="G13077" s="788">
        <v>41844</v>
      </c>
      <c r="H13077" s="787">
        <v>1</v>
      </c>
      <c r="I13077" s="788">
        <v>41894</v>
      </c>
      <c r="J13077" s="788">
        <v>41844</v>
      </c>
      <c r="K13077" s="788">
        <v>41842</v>
      </c>
      <c r="L13077" s="787">
        <v>4.88</v>
      </c>
      <c r="M13077" s="787">
        <v>20</v>
      </c>
      <c r="N13077" s="787">
        <v>5.25</v>
      </c>
      <c r="O13077" s="788">
        <v>41858</v>
      </c>
    </row>
    <row r="13078" spans="1:15" x14ac:dyDescent="0.25">
      <c r="A13078" s="786" t="s">
        <v>23432</v>
      </c>
      <c r="B13078" s="787">
        <v>4</v>
      </c>
      <c r="C13078" s="787" t="s">
        <v>23433</v>
      </c>
      <c r="D13078" s="787">
        <v>6.35</v>
      </c>
      <c r="E13078" s="787">
        <v>16.579999999999998</v>
      </c>
      <c r="F13078" s="788">
        <v>40996</v>
      </c>
      <c r="G13078" s="788">
        <v>42165</v>
      </c>
      <c r="H13078" s="787">
        <v>1</v>
      </c>
      <c r="I13078" s="788">
        <v>42156</v>
      </c>
      <c r="J13078" s="788">
        <v>42158</v>
      </c>
      <c r="K13078" s="788">
        <v>40875</v>
      </c>
      <c r="L13078" s="787">
        <v>16.350000000000001</v>
      </c>
      <c r="M13078" s="787">
        <v>20</v>
      </c>
      <c r="N13078" s="787">
        <v>17.579999999999998</v>
      </c>
      <c r="O13078" s="788">
        <v>42164</v>
      </c>
    </row>
    <row r="13079" spans="1:15" x14ac:dyDescent="0.25">
      <c r="A13079" s="786" t="s">
        <v>23434</v>
      </c>
      <c r="B13079" s="787">
        <v>4</v>
      </c>
      <c r="C13079" s="787" t="s">
        <v>23435</v>
      </c>
      <c r="D13079" s="787">
        <v>0</v>
      </c>
      <c r="E13079" s="787">
        <v>0</v>
      </c>
      <c r="H13079" s="787">
        <v>1</v>
      </c>
      <c r="K13079" s="788">
        <v>41543</v>
      </c>
      <c r="L13079" s="787">
        <v>20</v>
      </c>
      <c r="M13079" s="787">
        <v>20</v>
      </c>
      <c r="N13079" s="787">
        <v>21.5</v>
      </c>
      <c r="O13079" s="788">
        <v>41858</v>
      </c>
    </row>
    <row r="13080" spans="1:15" x14ac:dyDescent="0.25">
      <c r="A13080" s="786" t="s">
        <v>23436</v>
      </c>
      <c r="B13080" s="787">
        <v>4</v>
      </c>
      <c r="C13080" s="787" t="s">
        <v>23437</v>
      </c>
      <c r="D13080" s="787">
        <v>5.0999999999999996</v>
      </c>
      <c r="E13080" s="787">
        <v>15.1</v>
      </c>
      <c r="F13080" s="788">
        <v>37641</v>
      </c>
      <c r="G13080" s="788">
        <v>37641</v>
      </c>
      <c r="H13080" s="787">
        <v>1</v>
      </c>
      <c r="J13080" s="788">
        <v>37641</v>
      </c>
      <c r="L13080" s="787">
        <v>16.46</v>
      </c>
      <c r="M13080" s="787">
        <v>20</v>
      </c>
      <c r="N13080" s="787">
        <v>17.690000000000001</v>
      </c>
      <c r="O13080" s="788">
        <v>41858</v>
      </c>
    </row>
    <row r="13081" spans="1:15" x14ac:dyDescent="0.25">
      <c r="A13081" s="786" t="s">
        <v>23438</v>
      </c>
      <c r="B13081" s="787">
        <v>4</v>
      </c>
      <c r="C13081" s="787" t="s">
        <v>23439</v>
      </c>
      <c r="D13081" s="787">
        <v>4.46</v>
      </c>
      <c r="E13081" s="787">
        <v>5.59</v>
      </c>
      <c r="F13081" s="788">
        <v>39101</v>
      </c>
      <c r="G13081" s="788">
        <v>42146</v>
      </c>
      <c r="H13081" s="787">
        <v>1</v>
      </c>
      <c r="I13081" s="788">
        <v>42152</v>
      </c>
      <c r="J13081" s="788">
        <v>42124</v>
      </c>
      <c r="K13081" s="788">
        <v>42040</v>
      </c>
      <c r="L13081" s="787">
        <v>5.59</v>
      </c>
      <c r="M13081" s="787">
        <v>20</v>
      </c>
      <c r="N13081" s="787">
        <v>6.01</v>
      </c>
      <c r="O13081" s="788">
        <v>42127</v>
      </c>
    </row>
    <row r="13082" spans="1:15" x14ac:dyDescent="0.25">
      <c r="A13082" s="786" t="s">
        <v>23440</v>
      </c>
      <c r="B13082" s="787">
        <v>4</v>
      </c>
      <c r="C13082" s="787" t="s">
        <v>23441</v>
      </c>
      <c r="D13082" s="787">
        <v>5.88</v>
      </c>
      <c r="E13082" s="787">
        <v>19.5</v>
      </c>
      <c r="F13082" s="788">
        <v>37641</v>
      </c>
      <c r="G13082" s="788">
        <v>37854</v>
      </c>
      <c r="H13082" s="787">
        <v>1</v>
      </c>
      <c r="J13082" s="788">
        <v>37854</v>
      </c>
      <c r="L13082" s="787">
        <v>21.26</v>
      </c>
      <c r="M13082" s="787">
        <v>20</v>
      </c>
      <c r="N13082" s="787">
        <v>22.85</v>
      </c>
      <c r="O13082" s="788">
        <v>41858</v>
      </c>
    </row>
    <row r="13083" spans="1:15" x14ac:dyDescent="0.25">
      <c r="A13083" s="786" t="s">
        <v>23442</v>
      </c>
      <c r="B13083" s="787">
        <v>4</v>
      </c>
      <c r="C13083" s="787" t="s">
        <v>23443</v>
      </c>
      <c r="D13083" s="787">
        <v>2.99</v>
      </c>
      <c r="E13083" s="787">
        <v>3.25</v>
      </c>
      <c r="F13083" s="788">
        <v>40893</v>
      </c>
      <c r="G13083" s="788">
        <v>42165</v>
      </c>
      <c r="H13083" s="787">
        <v>1</v>
      </c>
      <c r="I13083" s="788">
        <v>42163</v>
      </c>
      <c r="J13083" s="788">
        <v>42159</v>
      </c>
      <c r="K13083" s="788">
        <v>42074</v>
      </c>
      <c r="L13083" s="787">
        <v>3.25</v>
      </c>
      <c r="M13083" s="787">
        <v>20</v>
      </c>
      <c r="N13083" s="787">
        <v>3.49</v>
      </c>
      <c r="O13083" s="788">
        <v>42164</v>
      </c>
    </row>
    <row r="13084" spans="1:15" x14ac:dyDescent="0.25">
      <c r="A13084" s="786" t="s">
        <v>23444</v>
      </c>
      <c r="B13084" s="787">
        <v>4</v>
      </c>
      <c r="C13084" s="787" t="s">
        <v>23445</v>
      </c>
      <c r="D13084" s="787">
        <v>7.97</v>
      </c>
      <c r="E13084" s="787">
        <v>8.84</v>
      </c>
      <c r="F13084" s="788">
        <v>39101</v>
      </c>
      <c r="G13084" s="788">
        <v>42094</v>
      </c>
      <c r="H13084" s="787">
        <v>1</v>
      </c>
      <c r="I13084" s="788">
        <v>42095</v>
      </c>
      <c r="J13084" s="788">
        <v>42094</v>
      </c>
      <c r="K13084" s="788">
        <v>42093</v>
      </c>
      <c r="L13084" s="787">
        <v>8.84</v>
      </c>
      <c r="M13084" s="787">
        <v>20</v>
      </c>
      <c r="N13084" s="787">
        <v>9.89</v>
      </c>
      <c r="O13084" s="788">
        <v>41858</v>
      </c>
    </row>
    <row r="13085" spans="1:15" x14ac:dyDescent="0.25">
      <c r="A13085" s="786" t="s">
        <v>23446</v>
      </c>
      <c r="B13085" s="787">
        <v>4</v>
      </c>
      <c r="C13085" s="787" t="s">
        <v>23447</v>
      </c>
      <c r="D13085" s="787">
        <v>0.64</v>
      </c>
      <c r="E13085" s="787">
        <v>60.64</v>
      </c>
      <c r="F13085" s="788">
        <v>42123</v>
      </c>
      <c r="G13085" s="788">
        <v>42146</v>
      </c>
      <c r="H13085" s="787">
        <v>1</v>
      </c>
      <c r="I13085" s="788">
        <v>42123</v>
      </c>
      <c r="J13085" s="788">
        <v>42124</v>
      </c>
      <c r="K13085" s="788">
        <v>41066</v>
      </c>
      <c r="L13085" s="787">
        <v>57.45</v>
      </c>
      <c r="M13085" s="787">
        <v>20</v>
      </c>
      <c r="N13085" s="787">
        <v>61.76</v>
      </c>
      <c r="O13085" s="788">
        <v>42164</v>
      </c>
    </row>
    <row r="13086" spans="1:15" x14ac:dyDescent="0.25">
      <c r="A13086" s="786" t="s">
        <v>23448</v>
      </c>
      <c r="B13086" s="787">
        <v>4</v>
      </c>
      <c r="C13086" s="787" t="s">
        <v>23449</v>
      </c>
      <c r="D13086" s="787">
        <v>2.74</v>
      </c>
      <c r="E13086" s="787">
        <v>54.57</v>
      </c>
      <c r="F13086" s="788">
        <v>41806</v>
      </c>
      <c r="G13086" s="788">
        <v>42157</v>
      </c>
      <c r="H13086" s="787">
        <v>1</v>
      </c>
      <c r="I13086" s="788">
        <v>42159</v>
      </c>
      <c r="J13086" s="788">
        <v>42157</v>
      </c>
      <c r="K13086" s="788">
        <v>41066</v>
      </c>
      <c r="L13086" s="787">
        <v>57.45</v>
      </c>
      <c r="M13086" s="787">
        <v>20</v>
      </c>
      <c r="N13086" s="787">
        <v>61.76</v>
      </c>
      <c r="O13086" s="788">
        <v>42164</v>
      </c>
    </row>
    <row r="13087" spans="1:15" x14ac:dyDescent="0.25">
      <c r="A13087" s="786" t="s">
        <v>23450</v>
      </c>
      <c r="B13087" s="787">
        <v>4</v>
      </c>
      <c r="C13087" s="787" t="s">
        <v>23451</v>
      </c>
      <c r="D13087" s="787">
        <v>3.96</v>
      </c>
      <c r="E13087" s="787">
        <v>5.37</v>
      </c>
      <c r="F13087" s="788">
        <v>37641</v>
      </c>
      <c r="G13087" s="788">
        <v>41962</v>
      </c>
      <c r="H13087" s="787">
        <v>1</v>
      </c>
      <c r="I13087" s="788">
        <v>42095</v>
      </c>
      <c r="J13087" s="788">
        <v>41919</v>
      </c>
      <c r="K13087" s="788">
        <v>41919</v>
      </c>
      <c r="L13087" s="787">
        <v>5.37</v>
      </c>
      <c r="M13087" s="787">
        <v>20</v>
      </c>
      <c r="N13087" s="787">
        <v>5.16</v>
      </c>
      <c r="O13087" s="788">
        <v>41912</v>
      </c>
    </row>
    <row r="13088" spans="1:15" x14ac:dyDescent="0.25">
      <c r="A13088" s="786" t="s">
        <v>23452</v>
      </c>
      <c r="B13088" s="787">
        <v>4</v>
      </c>
      <c r="C13088" s="787" t="s">
        <v>23453</v>
      </c>
      <c r="D13088" s="787">
        <v>3.23</v>
      </c>
      <c r="E13088" s="787">
        <v>13.23</v>
      </c>
      <c r="F13088" s="788">
        <v>37641</v>
      </c>
      <c r="G13088" s="788">
        <v>37641</v>
      </c>
      <c r="H13088" s="787">
        <v>1</v>
      </c>
      <c r="I13088" s="788">
        <v>37844</v>
      </c>
      <c r="J13088" s="788">
        <v>37641</v>
      </c>
      <c r="L13088" s="787">
        <v>14.42</v>
      </c>
      <c r="M13088" s="787">
        <v>20</v>
      </c>
      <c r="N13088" s="787">
        <v>15.5</v>
      </c>
      <c r="O13088" s="788">
        <v>41858</v>
      </c>
    </row>
    <row r="13089" spans="1:15" x14ac:dyDescent="0.25">
      <c r="A13089" s="786" t="s">
        <v>23454</v>
      </c>
      <c r="B13089" s="787">
        <v>4</v>
      </c>
      <c r="C13089" s="787" t="s">
        <v>23455</v>
      </c>
      <c r="D13089" s="787">
        <v>3.5</v>
      </c>
      <c r="E13089" s="787">
        <v>67.75</v>
      </c>
      <c r="F13089" s="788">
        <v>39260</v>
      </c>
      <c r="G13089" s="788">
        <v>40178</v>
      </c>
      <c r="H13089" s="787">
        <v>1</v>
      </c>
      <c r="I13089" s="788">
        <v>39519</v>
      </c>
      <c r="J13089" s="788">
        <v>39520</v>
      </c>
      <c r="L13089" s="787">
        <v>67.75</v>
      </c>
      <c r="M13089" s="787">
        <v>20</v>
      </c>
      <c r="N13089" s="787">
        <v>72.83</v>
      </c>
      <c r="O13089" s="788">
        <v>41858</v>
      </c>
    </row>
    <row r="13090" spans="1:15" x14ac:dyDescent="0.25">
      <c r="A13090" s="786" t="s">
        <v>23456</v>
      </c>
      <c r="B13090" s="787">
        <v>4</v>
      </c>
      <c r="C13090" s="787" t="s">
        <v>23457</v>
      </c>
      <c r="D13090" s="787">
        <v>3</v>
      </c>
      <c r="E13090" s="787">
        <v>23</v>
      </c>
      <c r="F13090" s="788">
        <v>39101</v>
      </c>
      <c r="G13090" s="788">
        <v>39101</v>
      </c>
      <c r="H13090" s="787">
        <v>1</v>
      </c>
      <c r="I13090" s="788">
        <v>39503</v>
      </c>
      <c r="J13090" s="788">
        <v>39149</v>
      </c>
      <c r="L13090" s="787">
        <v>25.07</v>
      </c>
      <c r="M13090" s="787">
        <v>20</v>
      </c>
      <c r="N13090" s="787">
        <v>26.95</v>
      </c>
      <c r="O13090" s="788">
        <v>41858</v>
      </c>
    </row>
    <row r="13091" spans="1:15" x14ac:dyDescent="0.25">
      <c r="A13091" s="786" t="s">
        <v>23458</v>
      </c>
      <c r="B13091" s="787">
        <v>4</v>
      </c>
      <c r="C13091" s="787" t="s">
        <v>23459</v>
      </c>
      <c r="D13091" s="787">
        <v>0.39</v>
      </c>
      <c r="E13091" s="787">
        <v>0.39</v>
      </c>
      <c r="F13091" s="788">
        <v>41165</v>
      </c>
      <c r="G13091" s="788">
        <v>42126</v>
      </c>
      <c r="H13091" s="787">
        <v>1</v>
      </c>
      <c r="I13091" s="788">
        <v>42129</v>
      </c>
      <c r="J13091" s="788">
        <v>42089</v>
      </c>
      <c r="K13091" s="788">
        <v>41047</v>
      </c>
      <c r="L13091" s="787">
        <v>0.49</v>
      </c>
      <c r="M13091" s="787">
        <v>20</v>
      </c>
      <c r="N13091" s="787">
        <v>0.53</v>
      </c>
      <c r="O13091" s="788">
        <v>42164</v>
      </c>
    </row>
    <row r="13092" spans="1:15" x14ac:dyDescent="0.25">
      <c r="A13092" s="786" t="s">
        <v>23460</v>
      </c>
      <c r="B13092" s="787">
        <v>4</v>
      </c>
      <c r="C13092" s="787" t="s">
        <v>23461</v>
      </c>
      <c r="D13092" s="787">
        <v>3.89</v>
      </c>
      <c r="E13092" s="787">
        <v>5.21</v>
      </c>
      <c r="F13092" s="788">
        <v>39101</v>
      </c>
      <c r="G13092" s="788">
        <v>42164</v>
      </c>
      <c r="H13092" s="787">
        <v>1</v>
      </c>
      <c r="I13092" s="788">
        <v>42156</v>
      </c>
      <c r="J13092" s="788">
        <v>42143</v>
      </c>
      <c r="K13092" s="788">
        <v>41870</v>
      </c>
      <c r="L13092" s="787">
        <v>4.97</v>
      </c>
      <c r="M13092" s="787">
        <v>20</v>
      </c>
      <c r="N13092" s="787">
        <v>5.34</v>
      </c>
      <c r="O13092" s="788">
        <v>42164</v>
      </c>
    </row>
    <row r="13093" spans="1:15" x14ac:dyDescent="0.25">
      <c r="A13093" s="786" t="s">
        <v>23462</v>
      </c>
      <c r="B13093" s="787">
        <v>4</v>
      </c>
      <c r="C13093" s="787" t="s">
        <v>23463</v>
      </c>
      <c r="D13093" s="787">
        <v>2.19</v>
      </c>
      <c r="E13093" s="787">
        <v>2.52</v>
      </c>
      <c r="F13093" s="788">
        <v>39101</v>
      </c>
      <c r="G13093" s="788">
        <v>41943</v>
      </c>
      <c r="H13093" s="787">
        <v>1</v>
      </c>
      <c r="I13093" s="788">
        <v>41622</v>
      </c>
      <c r="J13093" s="788">
        <v>41831</v>
      </c>
      <c r="L13093" s="787">
        <v>2.57</v>
      </c>
      <c r="M13093" s="787">
        <v>20</v>
      </c>
      <c r="N13093" s="787">
        <v>2.76</v>
      </c>
      <c r="O13093" s="788">
        <v>41949</v>
      </c>
    </row>
    <row r="13094" spans="1:15" x14ac:dyDescent="0.25">
      <c r="A13094" s="786" t="s">
        <v>23464</v>
      </c>
      <c r="B13094" s="787">
        <v>4</v>
      </c>
      <c r="C13094" s="787" t="s">
        <v>23465</v>
      </c>
      <c r="D13094" s="787">
        <v>2.84</v>
      </c>
      <c r="E13094" s="787">
        <v>2.84</v>
      </c>
      <c r="F13094" s="788">
        <v>41045</v>
      </c>
      <c r="G13094" s="788">
        <v>42013</v>
      </c>
      <c r="H13094" s="787">
        <v>1</v>
      </c>
      <c r="I13094" s="788">
        <v>41949</v>
      </c>
      <c r="J13094" s="788">
        <v>41796</v>
      </c>
      <c r="K13094" s="788">
        <v>41869</v>
      </c>
      <c r="L13094" s="787">
        <v>2.84</v>
      </c>
      <c r="M13094" s="787">
        <v>20</v>
      </c>
      <c r="N13094" s="787">
        <v>3.05</v>
      </c>
      <c r="O13094" s="788">
        <v>41949</v>
      </c>
    </row>
    <row r="13095" spans="1:15" x14ac:dyDescent="0.25">
      <c r="A13095" s="786" t="s">
        <v>23466</v>
      </c>
      <c r="B13095" s="787">
        <v>4</v>
      </c>
      <c r="C13095" s="787" t="s">
        <v>23467</v>
      </c>
      <c r="D13095" s="787">
        <v>2.6</v>
      </c>
      <c r="E13095" s="787">
        <v>10.82</v>
      </c>
      <c r="F13095" s="788">
        <v>40499</v>
      </c>
      <c r="G13095" s="788">
        <v>42131</v>
      </c>
      <c r="H13095" s="787">
        <v>1</v>
      </c>
      <c r="I13095" s="788">
        <v>42156</v>
      </c>
      <c r="J13095" s="788">
        <v>42131</v>
      </c>
      <c r="K13095" s="788">
        <v>41372</v>
      </c>
      <c r="L13095" s="787">
        <v>9.83</v>
      </c>
      <c r="M13095" s="787">
        <v>20</v>
      </c>
      <c r="N13095" s="787">
        <v>10.57</v>
      </c>
      <c r="O13095" s="788">
        <v>42164</v>
      </c>
    </row>
    <row r="13096" spans="1:15" x14ac:dyDescent="0.25">
      <c r="A13096" s="786" t="s">
        <v>23468</v>
      </c>
      <c r="B13096" s="787">
        <v>4</v>
      </c>
      <c r="C13096" s="787" t="s">
        <v>23469</v>
      </c>
      <c r="D13096" s="787">
        <v>7.32</v>
      </c>
      <c r="E13096" s="787">
        <v>7.32</v>
      </c>
      <c r="F13096" s="788">
        <v>38047</v>
      </c>
      <c r="G13096" s="788">
        <v>38047</v>
      </c>
      <c r="H13096" s="787">
        <v>1</v>
      </c>
      <c r="J13096" s="788">
        <v>38047</v>
      </c>
      <c r="L13096" s="787">
        <v>7.98</v>
      </c>
      <c r="M13096" s="787">
        <v>20</v>
      </c>
      <c r="N13096" s="787">
        <v>8.58</v>
      </c>
      <c r="O13096" s="788">
        <v>41858</v>
      </c>
    </row>
    <row r="13097" spans="1:15" x14ac:dyDescent="0.25">
      <c r="A13097" s="786" t="s">
        <v>23470</v>
      </c>
      <c r="B13097" s="787">
        <v>4</v>
      </c>
      <c r="C13097" s="787" t="s">
        <v>23471</v>
      </c>
      <c r="D13097" s="787">
        <v>6.12</v>
      </c>
      <c r="E13097" s="787">
        <v>18.5</v>
      </c>
      <c r="F13097" s="788">
        <v>41526</v>
      </c>
      <c r="G13097" s="788">
        <v>42165</v>
      </c>
      <c r="H13097" s="787">
        <v>1</v>
      </c>
      <c r="I13097" s="788">
        <v>42016</v>
      </c>
      <c r="J13097" s="788">
        <v>42158</v>
      </c>
      <c r="K13097" s="788">
        <v>41508</v>
      </c>
      <c r="L13097" s="787">
        <v>15.94</v>
      </c>
      <c r="M13097" s="787">
        <v>20</v>
      </c>
      <c r="N13097" s="787">
        <v>17.14</v>
      </c>
      <c r="O13097" s="788">
        <v>41992</v>
      </c>
    </row>
    <row r="13098" spans="1:15" x14ac:dyDescent="0.25">
      <c r="A13098" s="786" t="s">
        <v>23472</v>
      </c>
      <c r="B13098" s="787">
        <v>4</v>
      </c>
      <c r="C13098" s="787" t="s">
        <v>23473</v>
      </c>
      <c r="D13098" s="787">
        <v>2.42</v>
      </c>
      <c r="E13098" s="787">
        <v>3.32</v>
      </c>
      <c r="F13098" s="788">
        <v>39101</v>
      </c>
      <c r="G13098" s="788">
        <v>42146</v>
      </c>
      <c r="H13098" s="787">
        <v>1</v>
      </c>
      <c r="I13098" s="788">
        <v>42156</v>
      </c>
      <c r="J13098" s="788">
        <v>42124</v>
      </c>
      <c r="K13098" s="788">
        <v>41870</v>
      </c>
      <c r="L13098" s="787">
        <v>3.16</v>
      </c>
      <c r="M13098" s="787">
        <v>20</v>
      </c>
      <c r="N13098" s="787">
        <v>3.4</v>
      </c>
      <c r="O13098" s="788">
        <v>42164</v>
      </c>
    </row>
    <row r="13099" spans="1:15" x14ac:dyDescent="0.25">
      <c r="A13099" s="786" t="s">
        <v>23474</v>
      </c>
      <c r="B13099" s="787">
        <v>4</v>
      </c>
      <c r="C13099" s="787" t="s">
        <v>23475</v>
      </c>
      <c r="D13099" s="787">
        <v>4.5599999999999996</v>
      </c>
      <c r="E13099" s="787">
        <v>8.39</v>
      </c>
      <c r="F13099" s="788">
        <v>39101</v>
      </c>
      <c r="G13099" s="788">
        <v>41641</v>
      </c>
      <c r="H13099" s="787">
        <v>1</v>
      </c>
      <c r="I13099" s="788">
        <v>41681</v>
      </c>
      <c r="J13099" s="788">
        <v>41975</v>
      </c>
      <c r="L13099" s="787">
        <v>4.97</v>
      </c>
      <c r="M13099" s="787">
        <v>20</v>
      </c>
      <c r="N13099" s="787">
        <v>5.34</v>
      </c>
      <c r="O13099" s="788">
        <v>41978</v>
      </c>
    </row>
    <row r="13100" spans="1:15" x14ac:dyDescent="0.25">
      <c r="A13100" s="786" t="s">
        <v>23476</v>
      </c>
      <c r="B13100" s="787">
        <v>4</v>
      </c>
      <c r="C13100" s="787" t="s">
        <v>23477</v>
      </c>
      <c r="D13100" s="787">
        <v>0.42</v>
      </c>
      <c r="E13100" s="787">
        <v>5.88</v>
      </c>
      <c r="F13100" s="788">
        <v>38047</v>
      </c>
      <c r="G13100" s="788">
        <v>38047</v>
      </c>
      <c r="H13100" s="787">
        <v>1</v>
      </c>
      <c r="J13100" s="788">
        <v>38047</v>
      </c>
      <c r="L13100" s="787">
        <v>6.41</v>
      </c>
      <c r="M13100" s="787">
        <v>20</v>
      </c>
      <c r="N13100" s="787">
        <v>6.89</v>
      </c>
      <c r="O13100" s="788">
        <v>41858</v>
      </c>
    </row>
    <row r="13101" spans="1:15" x14ac:dyDescent="0.25">
      <c r="A13101" s="786" t="s">
        <v>23478</v>
      </c>
      <c r="B13101" s="787">
        <v>4</v>
      </c>
      <c r="C13101" s="787" t="s">
        <v>23479</v>
      </c>
      <c r="D13101" s="787">
        <v>2.72</v>
      </c>
      <c r="E13101" s="787">
        <v>2.72</v>
      </c>
      <c r="F13101" s="788">
        <v>38181</v>
      </c>
      <c r="G13101" s="788">
        <v>38364</v>
      </c>
      <c r="H13101" s="787">
        <v>1</v>
      </c>
      <c r="I13101" s="788">
        <v>38736</v>
      </c>
      <c r="J13101" s="788">
        <v>38176</v>
      </c>
      <c r="L13101" s="787">
        <v>2.96</v>
      </c>
      <c r="M13101" s="787">
        <v>20</v>
      </c>
      <c r="N13101" s="787">
        <v>3.18</v>
      </c>
      <c r="O13101" s="788">
        <v>41858</v>
      </c>
    </row>
    <row r="13102" spans="1:15" x14ac:dyDescent="0.25">
      <c r="A13102" s="786" t="s">
        <v>23480</v>
      </c>
      <c r="B13102" s="787">
        <v>4</v>
      </c>
      <c r="C13102" s="787" t="s">
        <v>23481</v>
      </c>
      <c r="D13102" s="787">
        <v>4.53</v>
      </c>
      <c r="E13102" s="787">
        <v>4.53</v>
      </c>
      <c r="F13102" s="788">
        <v>39101</v>
      </c>
      <c r="G13102" s="788">
        <v>39101</v>
      </c>
      <c r="H13102" s="787">
        <v>1</v>
      </c>
      <c r="I13102" s="788">
        <v>40476</v>
      </c>
      <c r="J13102" s="788">
        <v>39149</v>
      </c>
      <c r="L13102" s="787">
        <v>4.9400000000000004</v>
      </c>
      <c r="M13102" s="787">
        <v>20</v>
      </c>
      <c r="N13102" s="787">
        <v>5.31</v>
      </c>
      <c r="O13102" s="788">
        <v>41858</v>
      </c>
    </row>
    <row r="13103" spans="1:15" x14ac:dyDescent="0.25">
      <c r="A13103" s="786" t="s">
        <v>23482</v>
      </c>
      <c r="B13103" s="787">
        <v>4</v>
      </c>
      <c r="C13103" s="787" t="s">
        <v>23483</v>
      </c>
      <c r="D13103" s="787">
        <v>0.73</v>
      </c>
      <c r="E13103" s="787">
        <v>9.2899999999999991</v>
      </c>
      <c r="F13103" s="788">
        <v>39101</v>
      </c>
      <c r="G13103" s="788">
        <v>41622</v>
      </c>
      <c r="H13103" s="787">
        <v>1</v>
      </c>
      <c r="I13103" s="788">
        <v>40476</v>
      </c>
      <c r="J13103" s="788">
        <v>41622</v>
      </c>
      <c r="K13103" s="788">
        <v>41864</v>
      </c>
      <c r="L13103" s="787">
        <v>8.81</v>
      </c>
      <c r="M13103" s="787">
        <v>20</v>
      </c>
      <c r="N13103" s="787">
        <v>9.4700000000000006</v>
      </c>
      <c r="O13103" s="788">
        <v>41949</v>
      </c>
    </row>
    <row r="13104" spans="1:15" x14ac:dyDescent="0.25">
      <c r="A13104" s="786" t="s">
        <v>23484</v>
      </c>
      <c r="B13104" s="787">
        <v>4</v>
      </c>
      <c r="C13104" s="787" t="s">
        <v>23485</v>
      </c>
      <c r="D13104" s="787">
        <v>0.73</v>
      </c>
      <c r="E13104" s="787">
        <v>0.91</v>
      </c>
      <c r="F13104" s="788">
        <v>39101</v>
      </c>
      <c r="G13104" s="788">
        <v>40975</v>
      </c>
      <c r="H13104" s="787">
        <v>1</v>
      </c>
      <c r="I13104" s="788">
        <v>41942</v>
      </c>
      <c r="J13104" s="788">
        <v>41943</v>
      </c>
      <c r="L13104" s="787">
        <v>0.8</v>
      </c>
      <c r="M13104" s="787">
        <v>20</v>
      </c>
      <c r="N13104" s="787">
        <v>0.86</v>
      </c>
      <c r="O13104" s="788">
        <v>41858</v>
      </c>
    </row>
    <row r="13105" spans="1:15" x14ac:dyDescent="0.25">
      <c r="A13105" s="786" t="s">
        <v>23486</v>
      </c>
      <c r="B13105" s="787">
        <v>4</v>
      </c>
      <c r="C13105" s="787" t="s">
        <v>23487</v>
      </c>
      <c r="D13105" s="787">
        <v>3.58</v>
      </c>
      <c r="E13105" s="787">
        <v>3.9</v>
      </c>
      <c r="F13105" s="788">
        <v>38250</v>
      </c>
      <c r="G13105" s="788">
        <v>38945</v>
      </c>
      <c r="H13105" s="787">
        <v>1</v>
      </c>
      <c r="I13105" s="788">
        <v>39134</v>
      </c>
      <c r="J13105" s="788">
        <v>38958</v>
      </c>
      <c r="L13105" s="787">
        <v>4.09</v>
      </c>
      <c r="M13105" s="787">
        <v>20</v>
      </c>
      <c r="N13105" s="787">
        <v>4.4000000000000004</v>
      </c>
      <c r="O13105" s="788">
        <v>41858</v>
      </c>
    </row>
    <row r="13106" spans="1:15" x14ac:dyDescent="0.25">
      <c r="A13106" s="786" t="s">
        <v>23488</v>
      </c>
      <c r="B13106" s="787">
        <v>4</v>
      </c>
      <c r="C13106" s="787" t="s">
        <v>23489</v>
      </c>
      <c r="D13106" s="787">
        <v>3.52</v>
      </c>
      <c r="E13106" s="787">
        <v>3.52</v>
      </c>
      <c r="F13106" s="788">
        <v>38250</v>
      </c>
      <c r="G13106" s="788">
        <v>38250</v>
      </c>
      <c r="H13106" s="787">
        <v>1</v>
      </c>
      <c r="I13106" s="788">
        <v>40035</v>
      </c>
      <c r="J13106" s="788">
        <v>38236</v>
      </c>
      <c r="L13106" s="787">
        <v>3.84</v>
      </c>
      <c r="M13106" s="787">
        <v>20</v>
      </c>
      <c r="N13106" s="787">
        <v>4.13</v>
      </c>
      <c r="O13106" s="788">
        <v>41858</v>
      </c>
    </row>
    <row r="13107" spans="1:15" x14ac:dyDescent="0.25">
      <c r="A13107" s="786" t="s">
        <v>23490</v>
      </c>
      <c r="B13107" s="787">
        <v>4</v>
      </c>
      <c r="C13107" s="787" t="s">
        <v>23491</v>
      </c>
      <c r="D13107" s="787">
        <v>9.98</v>
      </c>
      <c r="E13107" s="787">
        <v>17.12</v>
      </c>
      <c r="F13107" s="788">
        <v>41289</v>
      </c>
      <c r="G13107" s="788">
        <v>42165</v>
      </c>
      <c r="H13107" s="787">
        <v>1</v>
      </c>
      <c r="I13107" s="788">
        <v>42165</v>
      </c>
      <c r="J13107" s="788">
        <v>42165</v>
      </c>
      <c r="K13107" s="788">
        <v>42066</v>
      </c>
      <c r="L13107" s="787">
        <v>17.12</v>
      </c>
      <c r="M13107" s="787">
        <v>20</v>
      </c>
      <c r="N13107" s="787">
        <v>18.399999999999999</v>
      </c>
      <c r="O13107" s="788">
        <v>42066</v>
      </c>
    </row>
    <row r="13108" spans="1:15" x14ac:dyDescent="0.25">
      <c r="A13108" s="786" t="s">
        <v>23492</v>
      </c>
      <c r="B13108" s="787">
        <v>4</v>
      </c>
      <c r="C13108" s="787" t="s">
        <v>23493</v>
      </c>
      <c r="D13108" s="787">
        <v>8.0500000000000007</v>
      </c>
      <c r="E13108" s="787">
        <v>8.0500000000000007</v>
      </c>
      <c r="F13108" s="788">
        <v>38222</v>
      </c>
      <c r="G13108" s="788">
        <v>38222</v>
      </c>
      <c r="H13108" s="787">
        <v>1</v>
      </c>
      <c r="J13108" s="788">
        <v>38215</v>
      </c>
      <c r="L13108" s="787">
        <v>8.77</v>
      </c>
      <c r="M13108" s="787">
        <v>20</v>
      </c>
      <c r="N13108" s="787">
        <v>9.43</v>
      </c>
      <c r="O13108" s="788">
        <v>41858</v>
      </c>
    </row>
    <row r="13109" spans="1:15" x14ac:dyDescent="0.25">
      <c r="A13109" s="786" t="s">
        <v>23494</v>
      </c>
      <c r="B13109" s="787">
        <v>4</v>
      </c>
      <c r="C13109" s="787" t="s">
        <v>23495</v>
      </c>
      <c r="D13109" s="787">
        <v>3.85</v>
      </c>
      <c r="E13109" s="787">
        <v>3.85</v>
      </c>
      <c r="F13109" s="788">
        <v>38222</v>
      </c>
      <c r="G13109" s="788">
        <v>38736</v>
      </c>
      <c r="H13109" s="787">
        <v>1</v>
      </c>
      <c r="I13109" s="788">
        <v>39134</v>
      </c>
      <c r="J13109" s="788">
        <v>38215</v>
      </c>
      <c r="L13109" s="787">
        <v>4.2</v>
      </c>
      <c r="M13109" s="787">
        <v>20</v>
      </c>
      <c r="N13109" s="787">
        <v>4.5199999999999996</v>
      </c>
      <c r="O13109" s="788">
        <v>41858</v>
      </c>
    </row>
    <row r="13110" spans="1:15" x14ac:dyDescent="0.25">
      <c r="A13110" s="786" t="s">
        <v>23496</v>
      </c>
      <c r="B13110" s="787">
        <v>4</v>
      </c>
      <c r="C13110" s="787" t="s">
        <v>23497</v>
      </c>
      <c r="D13110" s="787">
        <v>9.33</v>
      </c>
      <c r="E13110" s="787">
        <v>34.869999999999997</v>
      </c>
      <c r="F13110" s="788">
        <v>40343</v>
      </c>
      <c r="G13110" s="788">
        <v>42144</v>
      </c>
      <c r="H13110" s="787">
        <v>1</v>
      </c>
      <c r="I13110" s="788">
        <v>42152</v>
      </c>
      <c r="J13110" s="788">
        <v>42144</v>
      </c>
      <c r="K13110" s="788">
        <v>41704</v>
      </c>
      <c r="L13110" s="787">
        <v>33.69</v>
      </c>
      <c r="M13110" s="787">
        <v>20</v>
      </c>
      <c r="N13110" s="787">
        <v>36.22</v>
      </c>
      <c r="O13110" s="788">
        <v>42164</v>
      </c>
    </row>
    <row r="13111" spans="1:15" x14ac:dyDescent="0.25">
      <c r="A13111" s="786" t="s">
        <v>23498</v>
      </c>
      <c r="B13111" s="787">
        <v>4</v>
      </c>
      <c r="C13111" s="787" t="s">
        <v>23499</v>
      </c>
      <c r="D13111" s="787">
        <v>9.33</v>
      </c>
      <c r="E13111" s="787">
        <v>34.869999999999997</v>
      </c>
      <c r="F13111" s="788">
        <v>40491</v>
      </c>
      <c r="G13111" s="788">
        <v>42137</v>
      </c>
      <c r="H13111" s="787">
        <v>1</v>
      </c>
      <c r="I13111" s="788">
        <v>42152</v>
      </c>
      <c r="J13111" s="788">
        <v>42137</v>
      </c>
      <c r="K13111" s="788">
        <v>41865</v>
      </c>
      <c r="L13111" s="787">
        <v>28.84</v>
      </c>
      <c r="M13111" s="787">
        <v>20</v>
      </c>
      <c r="N13111" s="787">
        <v>31</v>
      </c>
      <c r="O13111" s="788">
        <v>42164</v>
      </c>
    </row>
    <row r="13112" spans="1:15" x14ac:dyDescent="0.25">
      <c r="A13112" s="786" t="s">
        <v>23500</v>
      </c>
      <c r="B13112" s="787">
        <v>4</v>
      </c>
      <c r="C13112" s="787" t="s">
        <v>23501</v>
      </c>
      <c r="D13112" s="787">
        <v>1.53</v>
      </c>
      <c r="E13112" s="787">
        <v>1.95</v>
      </c>
      <c r="F13112" s="788">
        <v>40491</v>
      </c>
      <c r="G13112" s="788">
        <v>42137</v>
      </c>
      <c r="H13112" s="787">
        <v>1</v>
      </c>
      <c r="I13112" s="788">
        <v>42152</v>
      </c>
      <c r="J13112" s="788">
        <v>42137</v>
      </c>
      <c r="K13112" s="788">
        <v>41863</v>
      </c>
      <c r="L13112" s="787">
        <v>1.86</v>
      </c>
      <c r="M13112" s="787">
        <v>20</v>
      </c>
      <c r="N13112" s="787">
        <v>2</v>
      </c>
      <c r="O13112" s="788">
        <v>42164</v>
      </c>
    </row>
    <row r="13113" spans="1:15" x14ac:dyDescent="0.25">
      <c r="A13113" s="786" t="s">
        <v>23502</v>
      </c>
      <c r="B13113" s="787">
        <v>4</v>
      </c>
      <c r="C13113" s="787" t="s">
        <v>23503</v>
      </c>
      <c r="D13113" s="787">
        <v>4.16</v>
      </c>
      <c r="E13113" s="787">
        <v>4.9400000000000004</v>
      </c>
      <c r="F13113" s="788">
        <v>40343</v>
      </c>
      <c r="G13113" s="788">
        <v>42159</v>
      </c>
      <c r="H13113" s="787">
        <v>1</v>
      </c>
      <c r="I13113" s="788">
        <v>42152</v>
      </c>
      <c r="J13113" s="788">
        <v>42151</v>
      </c>
      <c r="K13113" s="788">
        <v>41704</v>
      </c>
      <c r="L13113" s="787">
        <v>4.7699999999999996</v>
      </c>
      <c r="M13113" s="787">
        <v>20</v>
      </c>
      <c r="N13113" s="787">
        <v>5.13</v>
      </c>
      <c r="O13113" s="788">
        <v>42164</v>
      </c>
    </row>
    <row r="13114" spans="1:15" x14ac:dyDescent="0.25">
      <c r="A13114" s="786" t="s">
        <v>23504</v>
      </c>
      <c r="B13114" s="787">
        <v>4</v>
      </c>
      <c r="C13114" s="787" t="s">
        <v>23505</v>
      </c>
      <c r="D13114" s="787">
        <v>6.79</v>
      </c>
      <c r="E13114" s="787">
        <v>6.79</v>
      </c>
      <c r="F13114" s="788">
        <v>41015</v>
      </c>
      <c r="G13114" s="788">
        <v>41015</v>
      </c>
      <c r="H13114" s="787">
        <v>1</v>
      </c>
      <c r="I13114" s="788">
        <v>41059</v>
      </c>
      <c r="J13114" s="788">
        <v>40996</v>
      </c>
      <c r="K13114" s="788">
        <v>41261</v>
      </c>
      <c r="L13114" s="787">
        <v>6.79</v>
      </c>
      <c r="M13114" s="787">
        <v>20</v>
      </c>
      <c r="N13114" s="787">
        <v>7.3</v>
      </c>
      <c r="O13114" s="788">
        <v>41858</v>
      </c>
    </row>
    <row r="13115" spans="1:15" x14ac:dyDescent="0.25">
      <c r="A13115" s="786" t="s">
        <v>23506</v>
      </c>
      <c r="B13115" s="787">
        <v>4</v>
      </c>
      <c r="C13115" s="787" t="s">
        <v>23507</v>
      </c>
      <c r="D13115" s="787">
        <v>0</v>
      </c>
      <c r="E13115" s="787">
        <v>0</v>
      </c>
      <c r="H13115" s="787">
        <v>1</v>
      </c>
      <c r="I13115" s="788">
        <v>41024</v>
      </c>
      <c r="K13115" s="788">
        <v>41261</v>
      </c>
      <c r="L13115" s="787">
        <v>1</v>
      </c>
      <c r="M13115" s="787">
        <v>20</v>
      </c>
      <c r="N13115" s="787">
        <v>1.08</v>
      </c>
      <c r="O13115" s="788">
        <v>41858</v>
      </c>
    </row>
    <row r="13116" spans="1:15" x14ac:dyDescent="0.25">
      <c r="A13116" s="786" t="s">
        <v>23508</v>
      </c>
      <c r="B13116" s="787">
        <v>4</v>
      </c>
      <c r="C13116" s="787" t="s">
        <v>23509</v>
      </c>
      <c r="D13116" s="787">
        <v>8.7799999999999994</v>
      </c>
      <c r="E13116" s="787">
        <v>9.2899999999999991</v>
      </c>
      <c r="F13116" s="788">
        <v>40549</v>
      </c>
      <c r="G13116" s="788">
        <v>41176</v>
      </c>
      <c r="H13116" s="787">
        <v>1</v>
      </c>
      <c r="I13116" s="788">
        <v>41201</v>
      </c>
      <c r="J13116" s="788">
        <v>41176</v>
      </c>
      <c r="K13116" s="788">
        <v>41261</v>
      </c>
      <c r="L13116" s="787">
        <v>9.2899999999999991</v>
      </c>
      <c r="M13116" s="787">
        <v>20</v>
      </c>
      <c r="N13116" s="787">
        <v>9.99</v>
      </c>
      <c r="O13116" s="788">
        <v>41858</v>
      </c>
    </row>
    <row r="13117" spans="1:15" x14ac:dyDescent="0.25">
      <c r="A13117" s="786" t="s">
        <v>23510</v>
      </c>
      <c r="B13117" s="787">
        <v>4</v>
      </c>
      <c r="C13117" s="787" t="s">
        <v>23511</v>
      </c>
      <c r="D13117" s="787">
        <v>5.57</v>
      </c>
      <c r="E13117" s="787">
        <v>19.41</v>
      </c>
      <c r="F13117" s="788">
        <v>41907</v>
      </c>
      <c r="G13117" s="788">
        <v>42131</v>
      </c>
      <c r="H13117" s="787">
        <v>1</v>
      </c>
      <c r="I13117" s="788">
        <v>42152</v>
      </c>
      <c r="J13117" s="788">
        <v>42131</v>
      </c>
      <c r="K13117" s="788">
        <v>41239</v>
      </c>
      <c r="L13117" s="787">
        <v>17.43</v>
      </c>
      <c r="M13117" s="787">
        <v>20</v>
      </c>
      <c r="N13117" s="787">
        <v>18.739999999999998</v>
      </c>
      <c r="O13117" s="788">
        <v>41949</v>
      </c>
    </row>
    <row r="13118" spans="1:15" x14ac:dyDescent="0.25">
      <c r="A13118" s="786" t="s">
        <v>23512</v>
      </c>
      <c r="B13118" s="787">
        <v>4</v>
      </c>
      <c r="C13118" s="787" t="s">
        <v>23513</v>
      </c>
      <c r="D13118" s="787">
        <v>9.8000000000000007</v>
      </c>
      <c r="E13118" s="787">
        <v>269.8</v>
      </c>
      <c r="F13118" s="788">
        <v>41369</v>
      </c>
      <c r="G13118" s="788">
        <v>41369</v>
      </c>
      <c r="H13118" s="787">
        <v>1</v>
      </c>
      <c r="I13118" s="788">
        <v>41330</v>
      </c>
      <c r="J13118" s="788">
        <v>41317</v>
      </c>
      <c r="K13118" s="788">
        <v>41386</v>
      </c>
      <c r="L13118" s="787">
        <v>1</v>
      </c>
      <c r="M13118" s="787">
        <v>10</v>
      </c>
      <c r="N13118" s="787">
        <v>99.38</v>
      </c>
      <c r="O13118" s="788">
        <v>41989</v>
      </c>
    </row>
    <row r="13119" spans="1:15" x14ac:dyDescent="0.25">
      <c r="A13119" s="786" t="s">
        <v>23514</v>
      </c>
      <c r="B13119" s="787">
        <v>4</v>
      </c>
      <c r="C13119" s="787" t="s">
        <v>23515</v>
      </c>
      <c r="D13119" s="787">
        <v>0</v>
      </c>
      <c r="E13119" s="787">
        <v>0</v>
      </c>
      <c r="H13119" s="787">
        <v>1</v>
      </c>
      <c r="L13119" s="787">
        <v>0</v>
      </c>
      <c r="M13119" s="787">
        <v>10</v>
      </c>
      <c r="N13119" s="787">
        <v>506.04</v>
      </c>
      <c r="O13119" s="788">
        <v>42019</v>
      </c>
    </row>
    <row r="13120" spans="1:15" x14ac:dyDescent="0.25">
      <c r="A13120" s="786" t="s">
        <v>23516</v>
      </c>
      <c r="B13120" s="787">
        <v>4</v>
      </c>
      <c r="C13120" s="787" t="s">
        <v>23517</v>
      </c>
      <c r="D13120" s="787">
        <v>1.94</v>
      </c>
      <c r="E13120" s="787">
        <v>382.4</v>
      </c>
      <c r="F13120" s="788">
        <v>40949</v>
      </c>
      <c r="G13120" s="788">
        <v>41519</v>
      </c>
      <c r="H13120" s="787">
        <v>1</v>
      </c>
      <c r="I13120" s="788">
        <v>41481</v>
      </c>
      <c r="J13120" s="788">
        <v>41484</v>
      </c>
      <c r="L13120" s="787">
        <v>0</v>
      </c>
      <c r="M13120" s="787">
        <v>10</v>
      </c>
      <c r="N13120" s="787">
        <v>397.93</v>
      </c>
      <c r="O13120" s="788">
        <v>41989</v>
      </c>
    </row>
    <row r="13121" spans="1:15" x14ac:dyDescent="0.25">
      <c r="A13121" s="786" t="s">
        <v>23518</v>
      </c>
      <c r="B13121" s="787">
        <v>4</v>
      </c>
      <c r="C13121" s="787" t="s">
        <v>23519</v>
      </c>
      <c r="D13121" s="787">
        <v>0</v>
      </c>
      <c r="E13121" s="787">
        <v>0</v>
      </c>
      <c r="H13121" s="787">
        <v>1</v>
      </c>
      <c r="L13121" s="787">
        <v>0</v>
      </c>
      <c r="M13121" s="787">
        <v>10</v>
      </c>
      <c r="N13121" s="787">
        <v>652.27</v>
      </c>
      <c r="O13121" s="788">
        <v>42019</v>
      </c>
    </row>
    <row r="13122" spans="1:15" x14ac:dyDescent="0.25">
      <c r="A13122" s="786" t="s">
        <v>23520</v>
      </c>
      <c r="B13122" s="787">
        <v>4</v>
      </c>
      <c r="C13122" s="787" t="s">
        <v>23521</v>
      </c>
      <c r="D13122" s="787">
        <v>0</v>
      </c>
      <c r="E13122" s="787">
        <v>0</v>
      </c>
      <c r="H13122" s="787">
        <v>1</v>
      </c>
      <c r="L13122" s="787">
        <v>0</v>
      </c>
      <c r="M13122" s="787">
        <v>10</v>
      </c>
      <c r="N13122" s="787">
        <v>7.34</v>
      </c>
      <c r="O13122" s="788">
        <v>41858</v>
      </c>
    </row>
    <row r="13123" spans="1:15" x14ac:dyDescent="0.25">
      <c r="A13123" s="786" t="s">
        <v>23522</v>
      </c>
      <c r="B13123" s="787">
        <v>4</v>
      </c>
      <c r="C13123" s="787" t="s">
        <v>23523</v>
      </c>
      <c r="D13123" s="787">
        <v>0</v>
      </c>
      <c r="E13123" s="787">
        <v>0</v>
      </c>
      <c r="H13123" s="787">
        <v>1</v>
      </c>
      <c r="L13123" s="787">
        <v>0</v>
      </c>
      <c r="M13123" s="787">
        <v>10</v>
      </c>
      <c r="N13123" s="787">
        <v>42.59</v>
      </c>
      <c r="O13123" s="788">
        <v>41858</v>
      </c>
    </row>
    <row r="13124" spans="1:15" x14ac:dyDescent="0.25">
      <c r="A13124" s="786" t="s">
        <v>23524</v>
      </c>
      <c r="B13124" s="787">
        <v>4</v>
      </c>
      <c r="C13124" s="787" t="s">
        <v>23525</v>
      </c>
      <c r="D13124" s="787">
        <v>0</v>
      </c>
      <c r="E13124" s="787">
        <v>0</v>
      </c>
      <c r="H13124" s="787">
        <v>1</v>
      </c>
      <c r="K13124" s="788">
        <v>41386</v>
      </c>
      <c r="L13124" s="787">
        <v>42</v>
      </c>
      <c r="M13124" s="787">
        <v>10</v>
      </c>
      <c r="N13124" s="787">
        <v>139.84</v>
      </c>
      <c r="O13124" s="788">
        <v>41858</v>
      </c>
    </row>
    <row r="13125" spans="1:15" x14ac:dyDescent="0.25">
      <c r="A13125" s="786" t="s">
        <v>23526</v>
      </c>
      <c r="B13125" s="787">
        <v>4</v>
      </c>
      <c r="C13125" s="787" t="s">
        <v>23527</v>
      </c>
      <c r="D13125" s="787">
        <v>0</v>
      </c>
      <c r="E13125" s="787">
        <v>0</v>
      </c>
      <c r="H13125" s="787">
        <v>1</v>
      </c>
      <c r="L13125" s="787">
        <v>0</v>
      </c>
      <c r="M13125" s="787">
        <v>10</v>
      </c>
      <c r="N13125" s="787">
        <v>994.59</v>
      </c>
      <c r="O13125" s="788">
        <v>41858</v>
      </c>
    </row>
    <row r="13126" spans="1:15" x14ac:dyDescent="0.25">
      <c r="A13126" s="786" t="s">
        <v>23528</v>
      </c>
      <c r="B13126" s="787">
        <v>4</v>
      </c>
      <c r="C13126" s="787" t="s">
        <v>23529</v>
      </c>
      <c r="D13126" s="787">
        <v>0</v>
      </c>
      <c r="E13126" s="787">
        <v>0</v>
      </c>
      <c r="H13126" s="787">
        <v>1</v>
      </c>
      <c r="K13126" s="788">
        <v>41386</v>
      </c>
      <c r="L13126" s="787">
        <v>1</v>
      </c>
      <c r="M13126" s="787">
        <v>10</v>
      </c>
      <c r="N13126" s="789">
        <v>1950.43</v>
      </c>
      <c r="O13126" s="788">
        <v>42073</v>
      </c>
    </row>
    <row r="13127" spans="1:15" x14ac:dyDescent="0.25">
      <c r="A13127" s="786" t="s">
        <v>23530</v>
      </c>
      <c r="B13127" s="787">
        <v>4</v>
      </c>
      <c r="C13127" s="787" t="s">
        <v>23531</v>
      </c>
      <c r="D13127" s="787">
        <v>0</v>
      </c>
      <c r="E13127" s="787">
        <v>0</v>
      </c>
      <c r="H13127" s="787">
        <v>1</v>
      </c>
      <c r="K13127" s="788">
        <v>41386</v>
      </c>
      <c r="L13127" s="787">
        <v>1</v>
      </c>
      <c r="M13127" s="787">
        <v>10</v>
      </c>
      <c r="N13127" s="787">
        <v>789.21</v>
      </c>
      <c r="O13127" s="788">
        <v>41858</v>
      </c>
    </row>
    <row r="13128" spans="1:15" x14ac:dyDescent="0.25">
      <c r="A13128" s="786" t="s">
        <v>23532</v>
      </c>
      <c r="B13128" s="787">
        <v>4</v>
      </c>
      <c r="C13128" s="787" t="s">
        <v>23533</v>
      </c>
      <c r="D13128" s="787">
        <v>0</v>
      </c>
      <c r="E13128" s="787">
        <v>0</v>
      </c>
      <c r="H13128" s="787">
        <v>1</v>
      </c>
      <c r="L13128" s="787">
        <v>0</v>
      </c>
      <c r="M13128" s="787">
        <v>10</v>
      </c>
      <c r="N13128" s="787">
        <v>504.8</v>
      </c>
      <c r="O13128" s="788">
        <v>41858</v>
      </c>
    </row>
    <row r="13129" spans="1:15" x14ac:dyDescent="0.25">
      <c r="A13129" s="786" t="s">
        <v>23534</v>
      </c>
      <c r="B13129" s="787">
        <v>4</v>
      </c>
      <c r="C13129" s="787" t="s">
        <v>23535</v>
      </c>
      <c r="D13129" s="787">
        <v>0</v>
      </c>
      <c r="E13129" s="787">
        <v>0</v>
      </c>
      <c r="H13129" s="787">
        <v>1</v>
      </c>
      <c r="K13129" s="788">
        <v>41386</v>
      </c>
      <c r="L13129" s="787">
        <v>469</v>
      </c>
      <c r="M13129" s="787">
        <v>10</v>
      </c>
      <c r="N13129" s="787">
        <v>580.08000000000004</v>
      </c>
      <c r="O13129" s="788">
        <v>41858</v>
      </c>
    </row>
    <row r="13130" spans="1:15" x14ac:dyDescent="0.25">
      <c r="A13130" s="786" t="s">
        <v>23536</v>
      </c>
      <c r="B13130" s="787">
        <v>4</v>
      </c>
      <c r="C13130" s="787" t="s">
        <v>23537</v>
      </c>
      <c r="D13130" s="787">
        <v>5.0199999999999996</v>
      </c>
      <c r="E13130" s="787">
        <v>7.91</v>
      </c>
      <c r="F13130" s="788">
        <v>41376</v>
      </c>
      <c r="G13130" s="788">
        <v>42157</v>
      </c>
      <c r="H13130" s="787">
        <v>1</v>
      </c>
      <c r="I13130" s="788">
        <v>42152</v>
      </c>
      <c r="J13130" s="788">
        <v>42157</v>
      </c>
      <c r="K13130" s="788">
        <v>40688</v>
      </c>
      <c r="L13130" s="787">
        <v>7.8</v>
      </c>
      <c r="M13130" s="787">
        <v>20</v>
      </c>
      <c r="N13130" s="787">
        <v>8.39</v>
      </c>
      <c r="O13130" s="788">
        <v>41949</v>
      </c>
    </row>
    <row r="13131" spans="1:15" x14ac:dyDescent="0.25">
      <c r="A13131" s="786" t="s">
        <v>23538</v>
      </c>
      <c r="B13131" s="787">
        <v>4</v>
      </c>
      <c r="C13131" s="787" t="s">
        <v>23539</v>
      </c>
      <c r="D13131" s="787">
        <v>3.14</v>
      </c>
      <c r="E13131" s="787">
        <v>856.5</v>
      </c>
      <c r="F13131" s="788">
        <v>41418</v>
      </c>
      <c r="G13131" s="788">
        <v>41813</v>
      </c>
      <c r="H13131" s="787">
        <v>1</v>
      </c>
      <c r="I13131" s="788">
        <v>42109</v>
      </c>
      <c r="J13131" s="788">
        <v>41408</v>
      </c>
      <c r="K13131" s="788">
        <v>41407</v>
      </c>
      <c r="L13131" s="787">
        <v>1</v>
      </c>
      <c r="M13131" s="787">
        <v>10</v>
      </c>
      <c r="N13131" s="787">
        <v>42.59</v>
      </c>
      <c r="O13131" s="788">
        <v>42146</v>
      </c>
    </row>
    <row r="13132" spans="1:15" x14ac:dyDescent="0.25">
      <c r="A13132" s="786" t="s">
        <v>23540</v>
      </c>
      <c r="B13132" s="787">
        <v>4</v>
      </c>
      <c r="C13132" s="787" t="s">
        <v>23541</v>
      </c>
      <c r="D13132" s="787">
        <v>0</v>
      </c>
      <c r="E13132" s="787">
        <v>0</v>
      </c>
      <c r="H13132" s="787">
        <v>1</v>
      </c>
      <c r="K13132" s="788">
        <v>41555</v>
      </c>
      <c r="L13132" s="787">
        <v>71</v>
      </c>
      <c r="M13132" s="787">
        <v>20</v>
      </c>
      <c r="N13132" s="787">
        <v>76.33</v>
      </c>
      <c r="O13132" s="788">
        <v>41858</v>
      </c>
    </row>
    <row r="13133" spans="1:15" x14ac:dyDescent="0.25">
      <c r="A13133" s="786" t="s">
        <v>23542</v>
      </c>
      <c r="B13133" s="787">
        <v>4</v>
      </c>
      <c r="C13133" s="787" t="s">
        <v>23543</v>
      </c>
      <c r="D13133" s="787">
        <v>1.31</v>
      </c>
      <c r="E13133" s="787">
        <v>1.31</v>
      </c>
      <c r="F13133" s="788">
        <v>41603</v>
      </c>
      <c r="G13133" s="788">
        <v>41644</v>
      </c>
      <c r="H13133" s="787">
        <v>1</v>
      </c>
      <c r="I13133" s="788">
        <v>41599</v>
      </c>
      <c r="J13133" s="788">
        <v>41600</v>
      </c>
      <c r="K13133" s="788">
        <v>41596</v>
      </c>
      <c r="L13133" s="787">
        <v>1.54</v>
      </c>
      <c r="M13133" s="787">
        <v>20</v>
      </c>
      <c r="N13133" s="787">
        <v>1.66</v>
      </c>
      <c r="O13133" s="788">
        <v>41858</v>
      </c>
    </row>
    <row r="13134" spans="1:15" x14ac:dyDescent="0.25">
      <c r="A13134" s="786" t="s">
        <v>23544</v>
      </c>
      <c r="B13134" s="787">
        <v>4</v>
      </c>
      <c r="C13134" s="787" t="s">
        <v>23545</v>
      </c>
      <c r="D13134" s="787">
        <v>3.8</v>
      </c>
      <c r="E13134" s="787">
        <v>76.38</v>
      </c>
      <c r="F13134" s="788">
        <v>41644</v>
      </c>
      <c r="G13134" s="788">
        <v>41765</v>
      </c>
      <c r="H13134" s="787">
        <v>1</v>
      </c>
      <c r="I13134" s="788">
        <v>41830</v>
      </c>
      <c r="J13134" s="788">
        <v>41816</v>
      </c>
      <c r="K13134" s="788">
        <v>41604</v>
      </c>
      <c r="L13134" s="787">
        <v>75</v>
      </c>
      <c r="M13134" s="787">
        <v>20</v>
      </c>
      <c r="N13134" s="787">
        <v>80.63</v>
      </c>
      <c r="O13134" s="788">
        <v>41858</v>
      </c>
    </row>
    <row r="13135" spans="1:15" x14ac:dyDescent="0.25">
      <c r="A13135" s="786" t="s">
        <v>23546</v>
      </c>
      <c r="B13135" s="787">
        <v>4</v>
      </c>
      <c r="C13135" s="787" t="s">
        <v>23547</v>
      </c>
      <c r="D13135" s="787">
        <v>8.52</v>
      </c>
      <c r="E13135" s="787">
        <v>8.52</v>
      </c>
      <c r="F13135" s="788">
        <v>41703</v>
      </c>
      <c r="G13135" s="788">
        <v>42069</v>
      </c>
      <c r="H13135" s="787">
        <v>1</v>
      </c>
      <c r="I13135" s="788">
        <v>42088</v>
      </c>
      <c r="J13135" s="788">
        <v>42069</v>
      </c>
      <c r="K13135" s="788">
        <v>41647</v>
      </c>
      <c r="L13135" s="787">
        <v>10.08</v>
      </c>
      <c r="M13135" s="787">
        <v>20</v>
      </c>
      <c r="N13135" s="787">
        <v>10.84</v>
      </c>
      <c r="O13135" s="788">
        <v>41978</v>
      </c>
    </row>
    <row r="13136" spans="1:15" x14ac:dyDescent="0.25">
      <c r="A13136" s="786" t="s">
        <v>23548</v>
      </c>
      <c r="B13136" s="787">
        <v>4</v>
      </c>
      <c r="C13136" s="787" t="s">
        <v>23549</v>
      </c>
      <c r="D13136" s="787">
        <v>3.36</v>
      </c>
      <c r="E13136" s="787">
        <v>3.36</v>
      </c>
      <c r="F13136" s="788">
        <v>41722</v>
      </c>
      <c r="G13136" s="788">
        <v>41757</v>
      </c>
      <c r="H13136" s="787">
        <v>1</v>
      </c>
      <c r="J13136" s="788">
        <v>41710</v>
      </c>
      <c r="K13136" s="788">
        <v>41709</v>
      </c>
      <c r="L13136" s="787">
        <v>4.5</v>
      </c>
      <c r="M13136" s="787">
        <v>20</v>
      </c>
      <c r="N13136" s="787">
        <v>4.84</v>
      </c>
      <c r="O13136" s="788">
        <v>41858</v>
      </c>
    </row>
    <row r="13137" spans="1:15" x14ac:dyDescent="0.25">
      <c r="A13137" s="786" t="s">
        <v>23550</v>
      </c>
      <c r="B13137" s="787">
        <v>4</v>
      </c>
      <c r="C13137" s="787" t="s">
        <v>23551</v>
      </c>
      <c r="D13137" s="787">
        <v>4.18</v>
      </c>
      <c r="E13137" s="787">
        <v>24.18</v>
      </c>
      <c r="F13137" s="788">
        <v>41661</v>
      </c>
      <c r="G13137" s="788">
        <v>41674</v>
      </c>
      <c r="H13137" s="787">
        <v>1</v>
      </c>
      <c r="I13137" s="788">
        <v>41663</v>
      </c>
      <c r="J13137" s="788">
        <v>41660</v>
      </c>
      <c r="K13137" s="788">
        <v>41484</v>
      </c>
      <c r="L13137" s="787">
        <v>23.1</v>
      </c>
      <c r="M13137" s="787">
        <v>20</v>
      </c>
      <c r="N13137" s="787">
        <v>24.83</v>
      </c>
      <c r="O13137" s="788">
        <v>41858</v>
      </c>
    </row>
    <row r="13138" spans="1:15" x14ac:dyDescent="0.25">
      <c r="A13138" s="786" t="s">
        <v>23552</v>
      </c>
      <c r="B13138" s="787">
        <v>4</v>
      </c>
      <c r="C13138" s="787" t="s">
        <v>23553</v>
      </c>
      <c r="D13138" s="787">
        <v>1.64</v>
      </c>
      <c r="E13138" s="787">
        <v>1.8</v>
      </c>
      <c r="F13138" s="788">
        <v>41651</v>
      </c>
      <c r="G13138" s="788">
        <v>42008</v>
      </c>
      <c r="H13138" s="787">
        <v>1</v>
      </c>
      <c r="I13138" s="788">
        <v>42165</v>
      </c>
      <c r="J13138" s="788">
        <v>41988</v>
      </c>
      <c r="K13138" s="788">
        <v>41704</v>
      </c>
      <c r="L13138" s="787">
        <v>1.63</v>
      </c>
      <c r="M13138" s="787">
        <v>20</v>
      </c>
      <c r="N13138" s="787">
        <v>1.75</v>
      </c>
      <c r="O13138" s="788">
        <v>41858</v>
      </c>
    </row>
    <row r="13139" spans="1:15" x14ac:dyDescent="0.25">
      <c r="A13139" s="786" t="s">
        <v>23554</v>
      </c>
      <c r="B13139" s="787">
        <v>4</v>
      </c>
      <c r="C13139" s="787" t="s">
        <v>23555</v>
      </c>
      <c r="D13139" s="787">
        <v>5.25</v>
      </c>
      <c r="E13139" s="787">
        <v>25.25</v>
      </c>
      <c r="F13139" s="788">
        <v>41900</v>
      </c>
      <c r="G13139" s="788">
        <v>41904</v>
      </c>
      <c r="H13139" s="787">
        <v>1</v>
      </c>
      <c r="I13139" s="788">
        <v>41926</v>
      </c>
      <c r="J13139" s="788">
        <v>41899</v>
      </c>
      <c r="K13139" s="788">
        <v>41897</v>
      </c>
      <c r="L13139" s="787">
        <v>18.3</v>
      </c>
      <c r="M13139" s="787">
        <v>20</v>
      </c>
      <c r="N13139" s="787">
        <v>19.670000000000002</v>
      </c>
      <c r="O13139" s="788">
        <v>41897</v>
      </c>
    </row>
    <row r="13140" spans="1:15" x14ac:dyDescent="0.25">
      <c r="A13140" s="786" t="s">
        <v>23556</v>
      </c>
      <c r="B13140" s="787">
        <v>4</v>
      </c>
      <c r="C13140" s="787" t="s">
        <v>23557</v>
      </c>
      <c r="D13140" s="787">
        <v>1.55</v>
      </c>
      <c r="E13140" s="787">
        <v>1.55</v>
      </c>
      <c r="F13140" s="788">
        <v>42058</v>
      </c>
      <c r="G13140" s="788">
        <v>42063</v>
      </c>
      <c r="H13140" s="787">
        <v>1</v>
      </c>
      <c r="I13140" s="788">
        <v>42124</v>
      </c>
      <c r="J13140" s="788">
        <v>42055</v>
      </c>
      <c r="K13140" s="788">
        <v>42052</v>
      </c>
      <c r="L13140" s="787">
        <v>15.97</v>
      </c>
      <c r="M13140" s="787">
        <v>20</v>
      </c>
      <c r="N13140" s="787">
        <v>17.170000000000002</v>
      </c>
      <c r="O13140" s="788">
        <v>42053</v>
      </c>
    </row>
    <row r="13141" spans="1:15" x14ac:dyDescent="0.25">
      <c r="A13141" s="786" t="s">
        <v>23558</v>
      </c>
      <c r="B13141" s="787">
        <v>4</v>
      </c>
      <c r="C13141" s="787" t="s">
        <v>23559</v>
      </c>
      <c r="D13141" s="787">
        <v>1.22</v>
      </c>
      <c r="E13141" s="787">
        <v>21.22</v>
      </c>
      <c r="F13141" s="788">
        <v>41941</v>
      </c>
      <c r="G13141" s="788">
        <v>41947</v>
      </c>
      <c r="H13141" s="787">
        <v>1</v>
      </c>
      <c r="I13141" s="788">
        <v>41942</v>
      </c>
      <c r="J13141" s="788">
        <v>41940</v>
      </c>
      <c r="K13141" s="788">
        <v>41918</v>
      </c>
      <c r="L13141" s="787">
        <v>35</v>
      </c>
      <c r="M13141" s="787">
        <v>20</v>
      </c>
      <c r="N13141" s="787">
        <v>37.630000000000003</v>
      </c>
      <c r="O13141" s="788">
        <v>41918</v>
      </c>
    </row>
    <row r="13142" spans="1:15" x14ac:dyDescent="0.25">
      <c r="A13142" s="786" t="s">
        <v>23560</v>
      </c>
      <c r="B13142" s="787">
        <v>4</v>
      </c>
      <c r="C13142" s="787" t="s">
        <v>23561</v>
      </c>
      <c r="D13142" s="787">
        <v>0</v>
      </c>
      <c r="E13142" s="787">
        <v>0</v>
      </c>
      <c r="H13142" s="787">
        <v>1</v>
      </c>
      <c r="K13142" s="788">
        <v>41918</v>
      </c>
      <c r="L13142" s="787">
        <v>30</v>
      </c>
      <c r="M13142" s="787">
        <v>20</v>
      </c>
      <c r="N13142" s="787">
        <v>32.25</v>
      </c>
      <c r="O13142" s="788">
        <v>41918</v>
      </c>
    </row>
    <row r="13143" spans="1:15" x14ac:dyDescent="0.25">
      <c r="A13143" s="786" t="s">
        <v>23562</v>
      </c>
      <c r="B13143" s="787">
        <v>4</v>
      </c>
      <c r="C13143" s="787" t="s">
        <v>23563</v>
      </c>
      <c r="D13143" s="787">
        <v>7.72</v>
      </c>
      <c r="E13143" s="787">
        <v>7.72</v>
      </c>
      <c r="F13143" s="788">
        <v>41872</v>
      </c>
      <c r="G13143" s="788">
        <v>41877</v>
      </c>
      <c r="H13143" s="787">
        <v>1</v>
      </c>
      <c r="I13143" s="788">
        <v>42017</v>
      </c>
      <c r="J13143" s="788">
        <v>41871</v>
      </c>
      <c r="K13143" s="788">
        <v>41869</v>
      </c>
      <c r="L13143" s="787">
        <v>1.4</v>
      </c>
      <c r="M13143" s="787">
        <v>20</v>
      </c>
      <c r="N13143" s="787">
        <v>1.51</v>
      </c>
      <c r="O13143" s="788">
        <v>41869</v>
      </c>
    </row>
    <row r="13144" spans="1:15" x14ac:dyDescent="0.25">
      <c r="A13144" s="786" t="s">
        <v>23564</v>
      </c>
      <c r="B13144" s="787">
        <v>4</v>
      </c>
      <c r="C13144" s="787" t="s">
        <v>23565</v>
      </c>
      <c r="D13144" s="787">
        <v>0</v>
      </c>
      <c r="E13144" s="787">
        <v>0</v>
      </c>
      <c r="H13144" s="787">
        <v>1</v>
      </c>
      <c r="L13144" s="787">
        <v>1</v>
      </c>
      <c r="M13144" s="787">
        <v>10</v>
      </c>
      <c r="N13144" s="789">
        <v>1894.47</v>
      </c>
      <c r="O13144" s="788">
        <v>41858</v>
      </c>
    </row>
    <row r="13145" spans="1:15" x14ac:dyDescent="0.25">
      <c r="A13145" s="786" t="s">
        <v>23566</v>
      </c>
      <c r="B13145" s="787">
        <v>4</v>
      </c>
      <c r="C13145" s="787" t="s">
        <v>23567</v>
      </c>
      <c r="D13145" s="787">
        <v>0</v>
      </c>
      <c r="E13145" s="787">
        <v>0</v>
      </c>
      <c r="H13145" s="787">
        <v>1</v>
      </c>
      <c r="L13145" s="787">
        <v>1</v>
      </c>
      <c r="M13145" s="787">
        <v>10</v>
      </c>
      <c r="N13145" s="787">
        <v>0</v>
      </c>
    </row>
    <row r="13146" spans="1:15" x14ac:dyDescent="0.25">
      <c r="A13146" s="786" t="s">
        <v>23568</v>
      </c>
      <c r="B13146" s="787">
        <v>4</v>
      </c>
      <c r="C13146" s="787" t="s">
        <v>23569</v>
      </c>
      <c r="D13146" s="787">
        <v>5.83</v>
      </c>
      <c r="E13146" s="787">
        <v>5.83</v>
      </c>
      <c r="F13146" s="788">
        <v>37641</v>
      </c>
      <c r="G13146" s="788">
        <v>37641</v>
      </c>
      <c r="H13146" s="787">
        <v>6</v>
      </c>
      <c r="J13146" s="788">
        <v>37641</v>
      </c>
      <c r="L13146" s="787">
        <v>6.35</v>
      </c>
      <c r="M13146" s="787">
        <v>20</v>
      </c>
      <c r="N13146" s="787">
        <v>6.27</v>
      </c>
      <c r="O13146" s="788">
        <v>41806</v>
      </c>
    </row>
    <row r="13147" spans="1:15" x14ac:dyDescent="0.25">
      <c r="A13147" s="786" t="s">
        <v>23570</v>
      </c>
      <c r="B13147" s="787">
        <v>4</v>
      </c>
      <c r="C13147" s="787" t="s">
        <v>23571</v>
      </c>
      <c r="D13147" s="787">
        <v>4.63</v>
      </c>
      <c r="E13147" s="787">
        <v>4.63</v>
      </c>
      <c r="F13147" s="788">
        <v>37641</v>
      </c>
      <c r="G13147" s="788">
        <v>37641</v>
      </c>
      <c r="H13147" s="787">
        <v>1</v>
      </c>
      <c r="I13147" s="788">
        <v>37866</v>
      </c>
      <c r="J13147" s="788">
        <v>37641</v>
      </c>
      <c r="L13147" s="787">
        <v>5.05</v>
      </c>
      <c r="M13147" s="787">
        <v>20</v>
      </c>
      <c r="N13147" s="787">
        <v>5.43</v>
      </c>
      <c r="O13147" s="788">
        <v>41858</v>
      </c>
    </row>
    <row r="13148" spans="1:15" x14ac:dyDescent="0.25">
      <c r="A13148" s="786" t="s">
        <v>23572</v>
      </c>
      <c r="B13148" s="787">
        <v>4</v>
      </c>
      <c r="C13148" s="787" t="s">
        <v>23573</v>
      </c>
      <c r="D13148" s="787">
        <v>4.9000000000000004</v>
      </c>
      <c r="E13148" s="787">
        <v>5.76</v>
      </c>
      <c r="F13148" s="788">
        <v>39101</v>
      </c>
      <c r="G13148" s="788">
        <v>41416</v>
      </c>
      <c r="H13148" s="787">
        <v>1</v>
      </c>
      <c r="I13148" s="788">
        <v>42003</v>
      </c>
      <c r="J13148" s="788">
        <v>41396</v>
      </c>
      <c r="K13148" s="788">
        <v>41393</v>
      </c>
      <c r="L13148" s="787">
        <v>5.76</v>
      </c>
      <c r="M13148" s="787">
        <v>20</v>
      </c>
      <c r="N13148" s="787">
        <v>6.19</v>
      </c>
      <c r="O13148" s="788">
        <v>41912</v>
      </c>
    </row>
    <row r="13149" spans="1:15" x14ac:dyDescent="0.25">
      <c r="A13149" s="786" t="s">
        <v>23574</v>
      </c>
      <c r="B13149" s="787">
        <v>4</v>
      </c>
      <c r="C13149" s="787" t="s">
        <v>23575</v>
      </c>
      <c r="D13149" s="787">
        <v>0</v>
      </c>
      <c r="E13149" s="787">
        <v>0</v>
      </c>
      <c r="H13149" s="787">
        <v>1</v>
      </c>
      <c r="J13149" s="788">
        <v>37641</v>
      </c>
      <c r="L13149" s="787">
        <v>0</v>
      </c>
      <c r="M13149" s="787">
        <v>20</v>
      </c>
      <c r="N13149" s="787">
        <v>0</v>
      </c>
      <c r="O13149" s="788">
        <v>40824</v>
      </c>
    </row>
    <row r="13150" spans="1:15" x14ac:dyDescent="0.25">
      <c r="A13150" s="786" t="s">
        <v>23576</v>
      </c>
      <c r="B13150" s="787">
        <v>4</v>
      </c>
      <c r="C13150" s="787" t="s">
        <v>23577</v>
      </c>
      <c r="D13150" s="787">
        <v>0.92</v>
      </c>
      <c r="E13150" s="787">
        <v>1.03</v>
      </c>
      <c r="F13150" s="788">
        <v>39101</v>
      </c>
      <c r="G13150" s="788">
        <v>40960</v>
      </c>
      <c r="H13150" s="787">
        <v>1</v>
      </c>
      <c r="I13150" s="788">
        <v>41547</v>
      </c>
      <c r="J13150" s="788">
        <v>40954</v>
      </c>
      <c r="L13150" s="787">
        <v>1</v>
      </c>
      <c r="M13150" s="787">
        <v>20</v>
      </c>
      <c r="N13150" s="787">
        <v>1.08</v>
      </c>
      <c r="O13150" s="788">
        <v>42019</v>
      </c>
    </row>
    <row r="13151" spans="1:15" x14ac:dyDescent="0.25">
      <c r="A13151" s="786" t="s">
        <v>23578</v>
      </c>
      <c r="B13151" s="787">
        <v>4</v>
      </c>
      <c r="C13151" s="787" t="s">
        <v>23579</v>
      </c>
      <c r="D13151" s="787">
        <v>3.9</v>
      </c>
      <c r="E13151" s="787">
        <v>9.75</v>
      </c>
      <c r="F13151" s="788">
        <v>39608</v>
      </c>
      <c r="G13151" s="788">
        <v>41694</v>
      </c>
      <c r="H13151" s="787">
        <v>1</v>
      </c>
      <c r="I13151" s="788">
        <v>41743</v>
      </c>
      <c r="J13151" s="788">
        <v>41694</v>
      </c>
      <c r="K13151" s="788">
        <v>41606</v>
      </c>
      <c r="L13151" s="787">
        <v>9.6</v>
      </c>
      <c r="M13151" s="787">
        <v>20</v>
      </c>
      <c r="N13151" s="787">
        <v>10.32</v>
      </c>
      <c r="O13151" s="788">
        <v>41858</v>
      </c>
    </row>
    <row r="13152" spans="1:15" x14ac:dyDescent="0.25">
      <c r="A13152" s="786" t="s">
        <v>23580</v>
      </c>
      <c r="B13152" s="787">
        <v>4</v>
      </c>
      <c r="C13152" s="787" t="s">
        <v>23581</v>
      </c>
      <c r="D13152" s="787">
        <v>1.1399999999999999</v>
      </c>
      <c r="E13152" s="787">
        <v>1.44</v>
      </c>
      <c r="F13152" s="788">
        <v>39190</v>
      </c>
      <c r="G13152" s="788">
        <v>41255</v>
      </c>
      <c r="H13152" s="787">
        <v>1</v>
      </c>
      <c r="I13152" s="788">
        <v>41817</v>
      </c>
      <c r="J13152" s="788">
        <v>40954</v>
      </c>
      <c r="L13152" s="787">
        <v>1.96</v>
      </c>
      <c r="M13152" s="787">
        <v>20</v>
      </c>
      <c r="N13152" s="787">
        <v>2.11</v>
      </c>
      <c r="O13152" s="788">
        <v>41858</v>
      </c>
    </row>
    <row r="13153" spans="1:15" x14ac:dyDescent="0.25">
      <c r="A13153" s="786" t="s">
        <v>23582</v>
      </c>
      <c r="B13153" s="787">
        <v>4</v>
      </c>
      <c r="C13153" s="787" t="s">
        <v>23583</v>
      </c>
      <c r="D13153" s="787">
        <v>5.15</v>
      </c>
      <c r="E13153" s="787">
        <v>5.15</v>
      </c>
      <c r="F13153" s="788">
        <v>40504</v>
      </c>
      <c r="G13153" s="788">
        <v>40504</v>
      </c>
      <c r="H13153" s="787">
        <v>1</v>
      </c>
      <c r="I13153" s="788">
        <v>41739</v>
      </c>
      <c r="J13153" s="788">
        <v>40709</v>
      </c>
      <c r="L13153" s="787">
        <v>6.78</v>
      </c>
      <c r="M13153" s="787">
        <v>20</v>
      </c>
      <c r="N13153" s="787">
        <v>7.29</v>
      </c>
      <c r="O13153" s="788">
        <v>41858</v>
      </c>
    </row>
    <row r="13154" spans="1:15" x14ac:dyDescent="0.25">
      <c r="A13154" s="786" t="s">
        <v>23584</v>
      </c>
      <c r="B13154" s="787">
        <v>4</v>
      </c>
      <c r="C13154" s="787" t="s">
        <v>23585</v>
      </c>
      <c r="D13154" s="787">
        <v>4.37</v>
      </c>
      <c r="E13154" s="787">
        <v>4.7699999999999996</v>
      </c>
      <c r="F13154" s="788">
        <v>39101</v>
      </c>
      <c r="G13154" s="788">
        <v>39101</v>
      </c>
      <c r="H13154" s="787">
        <v>1</v>
      </c>
      <c r="I13154" s="788">
        <v>40526</v>
      </c>
      <c r="J13154" s="788">
        <v>39149</v>
      </c>
      <c r="L13154" s="787">
        <v>5.2</v>
      </c>
      <c r="M13154" s="787">
        <v>20</v>
      </c>
      <c r="N13154" s="787">
        <v>5.59</v>
      </c>
      <c r="O13154" s="788">
        <v>41912</v>
      </c>
    </row>
    <row r="13155" spans="1:15" x14ac:dyDescent="0.25">
      <c r="A13155" s="786" t="s">
        <v>23586</v>
      </c>
      <c r="B13155" s="787">
        <v>4</v>
      </c>
      <c r="C13155" s="787" t="s">
        <v>23571</v>
      </c>
      <c r="D13155" s="787">
        <v>0</v>
      </c>
      <c r="E13155" s="787">
        <v>0</v>
      </c>
      <c r="G13155" s="788">
        <v>37656</v>
      </c>
      <c r="H13155" s="787">
        <v>1</v>
      </c>
      <c r="I13155" s="788">
        <v>38183</v>
      </c>
      <c r="J13155" s="788">
        <v>37656</v>
      </c>
      <c r="L13155" s="787">
        <v>7.21</v>
      </c>
      <c r="M13155" s="787">
        <v>20</v>
      </c>
      <c r="N13155" s="787">
        <v>7.75</v>
      </c>
      <c r="O13155" s="788">
        <v>41858</v>
      </c>
    </row>
    <row r="13156" spans="1:15" x14ac:dyDescent="0.25">
      <c r="A13156" s="786" t="s">
        <v>23587</v>
      </c>
      <c r="B13156" s="787">
        <v>4</v>
      </c>
      <c r="C13156" s="787" t="s">
        <v>23588</v>
      </c>
      <c r="D13156" s="787">
        <v>2.79</v>
      </c>
      <c r="E13156" s="787">
        <v>8.56</v>
      </c>
      <c r="F13156" s="788">
        <v>39955</v>
      </c>
      <c r="G13156" s="788">
        <v>40948</v>
      </c>
      <c r="H13156" s="787">
        <v>6</v>
      </c>
      <c r="I13156" s="788">
        <v>41535</v>
      </c>
      <c r="J13156" s="788">
        <v>41578</v>
      </c>
      <c r="K13156" s="788">
        <v>40938</v>
      </c>
      <c r="L13156" s="787">
        <v>8.1</v>
      </c>
      <c r="M13156" s="787">
        <v>20</v>
      </c>
      <c r="N13156" s="787">
        <v>9.1999999999999993</v>
      </c>
      <c r="O13156" s="788">
        <v>41806</v>
      </c>
    </row>
    <row r="13157" spans="1:15" x14ac:dyDescent="0.25">
      <c r="A13157" s="786" t="s">
        <v>23589</v>
      </c>
      <c r="B13157" s="787">
        <v>4</v>
      </c>
      <c r="C13157" s="787" t="s">
        <v>23590</v>
      </c>
      <c r="D13157" s="787">
        <v>2.04</v>
      </c>
      <c r="E13157" s="787">
        <v>2.2799999999999998</v>
      </c>
      <c r="F13157" s="788">
        <v>38999</v>
      </c>
      <c r="G13157" s="788">
        <v>41255</v>
      </c>
      <c r="H13157" s="787">
        <v>1</v>
      </c>
      <c r="I13157" s="788">
        <v>41050</v>
      </c>
      <c r="J13157" s="788">
        <v>40883</v>
      </c>
      <c r="L13157" s="787">
        <v>2.2799999999999998</v>
      </c>
      <c r="M13157" s="787">
        <v>20</v>
      </c>
      <c r="N13157" s="787">
        <v>2.4500000000000002</v>
      </c>
      <c r="O13157" s="788">
        <v>42019</v>
      </c>
    </row>
    <row r="13158" spans="1:15" x14ac:dyDescent="0.25">
      <c r="A13158" s="786" t="s">
        <v>23591</v>
      </c>
      <c r="B13158" s="787">
        <v>4</v>
      </c>
      <c r="C13158" s="787" t="s">
        <v>23592</v>
      </c>
      <c r="D13158" s="787">
        <v>1.18</v>
      </c>
      <c r="E13158" s="787">
        <v>1.22</v>
      </c>
      <c r="F13158" s="788">
        <v>39608</v>
      </c>
      <c r="G13158" s="788">
        <v>40914</v>
      </c>
      <c r="H13158" s="787">
        <v>1</v>
      </c>
      <c r="I13158" s="788">
        <v>41656</v>
      </c>
      <c r="J13158" s="788">
        <v>40883</v>
      </c>
      <c r="L13158" s="787">
        <v>1.22</v>
      </c>
      <c r="M13158" s="787">
        <v>20</v>
      </c>
      <c r="N13158" s="787">
        <v>1.31</v>
      </c>
      <c r="O13158" s="788">
        <v>42019</v>
      </c>
    </row>
    <row r="13159" spans="1:15" x14ac:dyDescent="0.25">
      <c r="A13159" s="786" t="s">
        <v>23593</v>
      </c>
      <c r="B13159" s="787">
        <v>4</v>
      </c>
      <c r="C13159" s="787" t="s">
        <v>23594</v>
      </c>
      <c r="D13159" s="787">
        <v>2.0699999999999998</v>
      </c>
      <c r="E13159" s="787">
        <v>2.11</v>
      </c>
      <c r="F13159" s="788">
        <v>39101</v>
      </c>
      <c r="G13159" s="788">
        <v>42013</v>
      </c>
      <c r="H13159" s="787">
        <v>1</v>
      </c>
      <c r="I13159" s="788">
        <v>42027</v>
      </c>
      <c r="J13159" s="788">
        <v>41834</v>
      </c>
      <c r="L13159" s="787">
        <v>2.11</v>
      </c>
      <c r="M13159" s="787">
        <v>20</v>
      </c>
      <c r="N13159" s="787">
        <v>2.27</v>
      </c>
      <c r="O13159" s="788">
        <v>42127</v>
      </c>
    </row>
    <row r="13160" spans="1:15" x14ac:dyDescent="0.25">
      <c r="A13160" s="786" t="s">
        <v>23595</v>
      </c>
      <c r="B13160" s="787">
        <v>4</v>
      </c>
      <c r="C13160" s="787" t="s">
        <v>23596</v>
      </c>
      <c r="D13160" s="787">
        <v>3.8</v>
      </c>
      <c r="E13160" s="787">
        <v>4.28</v>
      </c>
      <c r="F13160" s="788">
        <v>39493</v>
      </c>
      <c r="G13160" s="788">
        <v>42030</v>
      </c>
      <c r="H13160" s="787">
        <v>1</v>
      </c>
      <c r="I13160" s="788">
        <v>42027</v>
      </c>
      <c r="J13160" s="788">
        <v>42025</v>
      </c>
      <c r="K13160" s="788">
        <v>41073</v>
      </c>
      <c r="L13160" s="787">
        <v>4.25</v>
      </c>
      <c r="M13160" s="787">
        <v>20</v>
      </c>
      <c r="N13160" s="787">
        <v>4.57</v>
      </c>
      <c r="O13160" s="788">
        <v>42127</v>
      </c>
    </row>
    <row r="13161" spans="1:15" x14ac:dyDescent="0.25">
      <c r="A13161" s="786" t="s">
        <v>23597</v>
      </c>
      <c r="B13161" s="787">
        <v>4</v>
      </c>
      <c r="C13161" s="787" t="s">
        <v>23598</v>
      </c>
      <c r="D13161" s="787">
        <v>0</v>
      </c>
      <c r="E13161" s="787">
        <v>0</v>
      </c>
      <c r="G13161" s="788">
        <v>38736</v>
      </c>
      <c r="H13161" s="787">
        <v>1</v>
      </c>
      <c r="I13161" s="788">
        <v>41817</v>
      </c>
      <c r="J13161" s="788">
        <v>38736</v>
      </c>
      <c r="L13161" s="787">
        <v>0</v>
      </c>
      <c r="M13161" s="787">
        <v>20</v>
      </c>
      <c r="N13161" s="787">
        <v>0</v>
      </c>
      <c r="O13161" s="788">
        <v>40824</v>
      </c>
    </row>
    <row r="13162" spans="1:15" x14ac:dyDescent="0.25">
      <c r="A13162" s="786" t="s">
        <v>23599</v>
      </c>
      <c r="B13162" s="787">
        <v>4</v>
      </c>
      <c r="C13162" s="787" t="s">
        <v>23600</v>
      </c>
      <c r="D13162" s="787">
        <v>2.54</v>
      </c>
      <c r="E13162" s="787">
        <v>2.59</v>
      </c>
      <c r="F13162" s="788">
        <v>41395</v>
      </c>
      <c r="G13162" s="788">
        <v>42092</v>
      </c>
      <c r="H13162" s="787">
        <v>1</v>
      </c>
      <c r="I13162" s="788">
        <v>42116</v>
      </c>
      <c r="J13162" s="788">
        <v>42087</v>
      </c>
      <c r="K13162" s="788">
        <v>42018</v>
      </c>
      <c r="L13162" s="787">
        <v>2.4</v>
      </c>
      <c r="M13162" s="787">
        <v>20</v>
      </c>
      <c r="N13162" s="787">
        <v>2.58</v>
      </c>
      <c r="O13162" s="788">
        <v>42146</v>
      </c>
    </row>
    <row r="13163" spans="1:15" x14ac:dyDescent="0.25">
      <c r="A13163" s="786" t="s">
        <v>23601</v>
      </c>
      <c r="B13163" s="787">
        <v>4</v>
      </c>
      <c r="C13163" s="787" t="s">
        <v>23602</v>
      </c>
      <c r="D13163" s="787">
        <v>4.1399999999999997</v>
      </c>
      <c r="E13163" s="787">
        <v>4.1399999999999997</v>
      </c>
      <c r="F13163" s="788">
        <v>39101</v>
      </c>
      <c r="G13163" s="788">
        <v>39101</v>
      </c>
      <c r="H13163" s="787">
        <v>1</v>
      </c>
      <c r="I13163" s="788">
        <v>38230</v>
      </c>
      <c r="J13163" s="788">
        <v>39101</v>
      </c>
      <c r="L13163" s="787">
        <v>4.51</v>
      </c>
      <c r="M13163" s="787">
        <v>20</v>
      </c>
      <c r="N13163" s="787">
        <v>4.8499999999999996</v>
      </c>
      <c r="O13163" s="788">
        <v>41858</v>
      </c>
    </row>
    <row r="13164" spans="1:15" x14ac:dyDescent="0.25">
      <c r="A13164" s="786" t="s">
        <v>23603</v>
      </c>
      <c r="B13164" s="787">
        <v>4</v>
      </c>
      <c r="C13164" s="787" t="s">
        <v>23604</v>
      </c>
      <c r="D13164" s="787">
        <v>7.9</v>
      </c>
      <c r="E13164" s="787">
        <v>7.9</v>
      </c>
      <c r="F13164" s="788">
        <v>39104</v>
      </c>
      <c r="G13164" s="788">
        <v>40553</v>
      </c>
      <c r="H13164" s="787">
        <v>6</v>
      </c>
      <c r="I13164" s="788">
        <v>41334</v>
      </c>
      <c r="J13164" s="788">
        <v>41578</v>
      </c>
      <c r="L13164" s="787">
        <v>4.71</v>
      </c>
      <c r="M13164" s="787">
        <v>20</v>
      </c>
      <c r="N13164" s="787">
        <v>8.49</v>
      </c>
      <c r="O13164" s="788">
        <v>41806</v>
      </c>
    </row>
    <row r="13165" spans="1:15" x14ac:dyDescent="0.25">
      <c r="A13165" s="786" t="s">
        <v>23605</v>
      </c>
      <c r="B13165" s="787">
        <v>4</v>
      </c>
      <c r="C13165" s="787" t="s">
        <v>23606</v>
      </c>
      <c r="D13165" s="787">
        <v>2.46</v>
      </c>
      <c r="E13165" s="787">
        <v>2.4700000000000002</v>
      </c>
      <c r="F13165" s="788">
        <v>41059</v>
      </c>
      <c r="G13165" s="788">
        <v>42137</v>
      </c>
      <c r="H13165" s="787">
        <v>1</v>
      </c>
      <c r="I13165" s="788">
        <v>42163</v>
      </c>
      <c r="J13165" s="788">
        <v>42116</v>
      </c>
      <c r="K13165" s="788">
        <v>40970</v>
      </c>
      <c r="L13165" s="787">
        <v>2.4500000000000002</v>
      </c>
      <c r="M13165" s="787">
        <v>20</v>
      </c>
      <c r="N13165" s="787">
        <v>2.63</v>
      </c>
      <c r="O13165" s="788">
        <v>42164</v>
      </c>
    </row>
    <row r="13166" spans="1:15" x14ac:dyDescent="0.25">
      <c r="A13166" s="786" t="s">
        <v>23607</v>
      </c>
      <c r="B13166" s="787">
        <v>4</v>
      </c>
      <c r="C13166" s="787" t="s">
        <v>23608</v>
      </c>
      <c r="D13166" s="787">
        <v>4.5</v>
      </c>
      <c r="E13166" s="787">
        <v>4.5599999999999996</v>
      </c>
      <c r="F13166" s="788">
        <v>41037</v>
      </c>
      <c r="G13166" s="788">
        <v>42142</v>
      </c>
      <c r="H13166" s="787">
        <v>1</v>
      </c>
      <c r="I13166" s="788">
        <v>42163</v>
      </c>
      <c r="J13166" s="788">
        <v>42116</v>
      </c>
      <c r="K13166" s="788">
        <v>41892</v>
      </c>
      <c r="L13166" s="787">
        <v>4.5199999999999996</v>
      </c>
      <c r="M13166" s="787">
        <v>20</v>
      </c>
      <c r="N13166" s="787">
        <v>4.8600000000000003</v>
      </c>
      <c r="O13166" s="788">
        <v>42164</v>
      </c>
    </row>
    <row r="13167" spans="1:15" x14ac:dyDescent="0.25">
      <c r="A13167" s="786" t="s">
        <v>23609</v>
      </c>
      <c r="B13167" s="787">
        <v>4</v>
      </c>
      <c r="C13167" s="787" t="s">
        <v>23610</v>
      </c>
      <c r="D13167" s="787">
        <v>1.6</v>
      </c>
      <c r="E13167" s="787">
        <v>1.62</v>
      </c>
      <c r="F13167" s="788">
        <v>41168</v>
      </c>
      <c r="G13167" s="788">
        <v>42137</v>
      </c>
      <c r="H13167" s="787">
        <v>1</v>
      </c>
      <c r="I13167" s="788">
        <v>42163</v>
      </c>
      <c r="J13167" s="788">
        <v>42116</v>
      </c>
      <c r="K13167" s="788">
        <v>40970</v>
      </c>
      <c r="L13167" s="787">
        <v>1.6</v>
      </c>
      <c r="M13167" s="787">
        <v>20</v>
      </c>
      <c r="N13167" s="787">
        <v>1.72</v>
      </c>
      <c r="O13167" s="788">
        <v>42164</v>
      </c>
    </row>
    <row r="13168" spans="1:15" x14ac:dyDescent="0.25">
      <c r="A13168" s="786" t="s">
        <v>23611</v>
      </c>
      <c r="B13168" s="787">
        <v>4</v>
      </c>
      <c r="C13168" s="787" t="s">
        <v>23610</v>
      </c>
      <c r="D13168" s="787">
        <v>2.15</v>
      </c>
      <c r="E13168" s="787">
        <v>2.1800000000000002</v>
      </c>
      <c r="F13168" s="788">
        <v>41037</v>
      </c>
      <c r="G13168" s="788">
        <v>42142</v>
      </c>
      <c r="H13168" s="787">
        <v>1</v>
      </c>
      <c r="I13168" s="788">
        <v>42163</v>
      </c>
      <c r="J13168" s="788">
        <v>42116</v>
      </c>
      <c r="K13168" s="788">
        <v>40970</v>
      </c>
      <c r="L13168" s="787">
        <v>2.15</v>
      </c>
      <c r="M13168" s="787">
        <v>20</v>
      </c>
      <c r="N13168" s="787">
        <v>2.31</v>
      </c>
      <c r="O13168" s="788">
        <v>42164</v>
      </c>
    </row>
    <row r="13169" spans="1:15" x14ac:dyDescent="0.25">
      <c r="A13169" s="786" t="s">
        <v>23612</v>
      </c>
      <c r="B13169" s="787">
        <v>4</v>
      </c>
      <c r="C13169" s="787" t="s">
        <v>23613</v>
      </c>
      <c r="D13169" s="787">
        <v>0.9</v>
      </c>
      <c r="E13169" s="787">
        <v>0.91</v>
      </c>
      <c r="F13169" s="788">
        <v>41037</v>
      </c>
      <c r="G13169" s="788">
        <v>42142</v>
      </c>
      <c r="H13169" s="787">
        <v>1</v>
      </c>
      <c r="I13169" s="788">
        <v>42163</v>
      </c>
      <c r="J13169" s="788">
        <v>42116</v>
      </c>
      <c r="K13169" s="788">
        <v>40970</v>
      </c>
      <c r="L13169" s="787">
        <v>0.9</v>
      </c>
      <c r="M13169" s="787">
        <v>20</v>
      </c>
      <c r="N13169" s="787">
        <v>0.97</v>
      </c>
      <c r="O13169" s="788">
        <v>42164</v>
      </c>
    </row>
    <row r="13170" spans="1:15" x14ac:dyDescent="0.25">
      <c r="A13170" s="786" t="s">
        <v>23614</v>
      </c>
      <c r="B13170" s="787">
        <v>4</v>
      </c>
      <c r="C13170" s="787" t="s">
        <v>23615</v>
      </c>
      <c r="D13170" s="787">
        <v>7.27</v>
      </c>
      <c r="E13170" s="787">
        <v>17.29</v>
      </c>
      <c r="F13170" s="788">
        <v>41106</v>
      </c>
      <c r="G13170" s="788">
        <v>42086</v>
      </c>
      <c r="H13170" s="787">
        <v>1</v>
      </c>
      <c r="I13170" s="788">
        <v>42159</v>
      </c>
      <c r="J13170" s="788">
        <v>42081</v>
      </c>
      <c r="K13170" s="788">
        <v>40970</v>
      </c>
      <c r="L13170" s="787">
        <v>17.2</v>
      </c>
      <c r="M13170" s="787">
        <v>20</v>
      </c>
      <c r="N13170" s="787">
        <v>18.489999999999998</v>
      </c>
      <c r="O13170" s="788">
        <v>42164</v>
      </c>
    </row>
    <row r="13171" spans="1:15" x14ac:dyDescent="0.25">
      <c r="A13171" s="786" t="s">
        <v>23616</v>
      </c>
      <c r="B13171" s="787">
        <v>4</v>
      </c>
      <c r="C13171" s="787" t="s">
        <v>23617</v>
      </c>
      <c r="D13171" s="787">
        <v>9.44</v>
      </c>
      <c r="E13171" s="787">
        <v>9.44</v>
      </c>
      <c r="F13171" s="788">
        <v>41435</v>
      </c>
      <c r="G13171" s="788">
        <v>41435</v>
      </c>
      <c r="H13171" s="787">
        <v>1</v>
      </c>
      <c r="I13171" s="788">
        <v>41425</v>
      </c>
      <c r="J13171" s="788">
        <v>41415</v>
      </c>
      <c r="K13171" s="788">
        <v>41409</v>
      </c>
      <c r="L13171" s="787">
        <v>7.9</v>
      </c>
      <c r="M13171" s="787">
        <v>20</v>
      </c>
      <c r="N13171" s="787">
        <v>8.49</v>
      </c>
      <c r="O13171" s="788">
        <v>41858</v>
      </c>
    </row>
    <row r="13172" spans="1:15" x14ac:dyDescent="0.25">
      <c r="A13172" s="786" t="s">
        <v>23618</v>
      </c>
      <c r="B13172" s="787">
        <v>4</v>
      </c>
      <c r="C13172" s="787" t="s">
        <v>23619</v>
      </c>
      <c r="D13172" s="787">
        <v>8.98</v>
      </c>
      <c r="E13172" s="787">
        <v>27.35</v>
      </c>
      <c r="F13172" s="788">
        <v>41435</v>
      </c>
      <c r="G13172" s="788">
        <v>41882</v>
      </c>
      <c r="H13172" s="787">
        <v>1</v>
      </c>
      <c r="I13172" s="788">
        <v>41879</v>
      </c>
      <c r="J13172" s="788">
        <v>41877</v>
      </c>
      <c r="K13172" s="788">
        <v>41872</v>
      </c>
      <c r="L13172" s="787">
        <v>18.100000000000001</v>
      </c>
      <c r="M13172" s="787">
        <v>20</v>
      </c>
      <c r="N13172" s="787">
        <v>17.079999999999998</v>
      </c>
      <c r="O13172" s="788">
        <v>41858</v>
      </c>
    </row>
    <row r="13173" spans="1:15" x14ac:dyDescent="0.25">
      <c r="A13173" s="786" t="s">
        <v>23620</v>
      </c>
      <c r="B13173" s="787">
        <v>4</v>
      </c>
      <c r="C13173" s="787" t="s">
        <v>23621</v>
      </c>
      <c r="D13173" s="787">
        <v>4.68</v>
      </c>
      <c r="E13173" s="787">
        <v>6.69</v>
      </c>
      <c r="F13173" s="788">
        <v>42055</v>
      </c>
      <c r="G13173" s="788">
        <v>42158</v>
      </c>
      <c r="H13173" s="787">
        <v>1</v>
      </c>
      <c r="I13173" s="788">
        <v>42165</v>
      </c>
      <c r="J13173" s="788">
        <v>42163</v>
      </c>
      <c r="K13173" s="788">
        <v>41061</v>
      </c>
      <c r="L13173" s="787">
        <v>8.3000000000000007</v>
      </c>
      <c r="M13173" s="787">
        <v>10</v>
      </c>
      <c r="N13173" s="787">
        <v>5.71</v>
      </c>
      <c r="O13173" s="788">
        <v>42146</v>
      </c>
    </row>
    <row r="13174" spans="1:15" x14ac:dyDescent="0.25">
      <c r="A13174" s="786" t="s">
        <v>23622</v>
      </c>
      <c r="B13174" s="787">
        <v>4</v>
      </c>
      <c r="C13174" s="787" t="s">
        <v>23623</v>
      </c>
      <c r="D13174" s="787">
        <v>7.26</v>
      </c>
      <c r="E13174" s="787">
        <v>7.85</v>
      </c>
      <c r="F13174" s="788">
        <v>41775</v>
      </c>
      <c r="G13174" s="788">
        <v>42060</v>
      </c>
      <c r="H13174" s="787">
        <v>1</v>
      </c>
      <c r="I13174" s="788">
        <v>42060</v>
      </c>
      <c r="J13174" s="788">
        <v>42027</v>
      </c>
      <c r="K13174" s="788">
        <v>41061</v>
      </c>
      <c r="L13174" s="787">
        <v>7.63</v>
      </c>
      <c r="M13174" s="787">
        <v>10</v>
      </c>
      <c r="N13174" s="787">
        <v>8.11</v>
      </c>
      <c r="O13174" s="788">
        <v>42127</v>
      </c>
    </row>
    <row r="13175" spans="1:15" x14ac:dyDescent="0.25">
      <c r="A13175" s="786" t="s">
        <v>23624</v>
      </c>
      <c r="B13175" s="787">
        <v>4</v>
      </c>
      <c r="C13175" s="787" t="s">
        <v>23625</v>
      </c>
      <c r="D13175" s="787">
        <v>8.17</v>
      </c>
      <c r="E13175" s="787">
        <v>8.7200000000000006</v>
      </c>
      <c r="F13175" s="788">
        <v>41369</v>
      </c>
      <c r="G13175" s="788">
        <v>42163</v>
      </c>
      <c r="H13175" s="787">
        <v>1</v>
      </c>
      <c r="I13175" s="788">
        <v>42163</v>
      </c>
      <c r="J13175" s="788">
        <v>42163</v>
      </c>
      <c r="K13175" s="788">
        <v>41061</v>
      </c>
      <c r="L13175" s="787">
        <v>9.4499999999999993</v>
      </c>
      <c r="M13175" s="787">
        <v>10</v>
      </c>
      <c r="N13175" s="787">
        <v>9.34</v>
      </c>
      <c r="O13175" s="788">
        <v>42146</v>
      </c>
    </row>
    <row r="13176" spans="1:15" x14ac:dyDescent="0.25">
      <c r="A13176" s="786" t="s">
        <v>23626</v>
      </c>
      <c r="B13176" s="787">
        <v>4</v>
      </c>
      <c r="C13176" s="787" t="s">
        <v>23627</v>
      </c>
      <c r="D13176" s="787">
        <v>4.5999999999999996</v>
      </c>
      <c r="E13176" s="787">
        <v>44.6</v>
      </c>
      <c r="F13176" s="788">
        <v>42040</v>
      </c>
      <c r="G13176" s="788">
        <v>42045</v>
      </c>
      <c r="H13176" s="787">
        <v>1</v>
      </c>
      <c r="I13176" s="788">
        <v>42048</v>
      </c>
      <c r="J13176" s="788">
        <v>42041</v>
      </c>
      <c r="K13176" s="788">
        <v>42040</v>
      </c>
      <c r="L13176" s="787">
        <v>35.35</v>
      </c>
      <c r="M13176" s="787">
        <v>20</v>
      </c>
      <c r="N13176" s="787">
        <v>38</v>
      </c>
      <c r="O13176" s="788">
        <v>42040</v>
      </c>
    </row>
    <row r="13177" spans="1:15" x14ac:dyDescent="0.25">
      <c r="A13177" s="786" t="s">
        <v>23628</v>
      </c>
      <c r="B13177" s="787">
        <v>4</v>
      </c>
      <c r="C13177" s="787" t="s">
        <v>23629</v>
      </c>
      <c r="D13177" s="787">
        <v>7.18</v>
      </c>
      <c r="E13177" s="787">
        <v>107.18</v>
      </c>
      <c r="F13177" s="788">
        <v>42156</v>
      </c>
      <c r="G13177" s="788">
        <v>42156</v>
      </c>
      <c r="H13177" s="787">
        <v>1</v>
      </c>
      <c r="I13177" s="788">
        <v>42165</v>
      </c>
      <c r="J13177" s="788">
        <v>42123</v>
      </c>
      <c r="K13177" s="788">
        <v>41061</v>
      </c>
      <c r="L13177" s="787">
        <v>365.35</v>
      </c>
      <c r="M13177" s="787">
        <v>10</v>
      </c>
      <c r="N13177" s="787">
        <v>365.83</v>
      </c>
      <c r="O13177" s="788">
        <v>42111</v>
      </c>
    </row>
    <row r="13178" spans="1:15" x14ac:dyDescent="0.25">
      <c r="A13178" s="786" t="s">
        <v>23630</v>
      </c>
      <c r="B13178" s="787">
        <v>4</v>
      </c>
      <c r="C13178" s="787" t="s">
        <v>23631</v>
      </c>
      <c r="D13178" s="787">
        <v>0.3</v>
      </c>
      <c r="E13178" s="787">
        <v>130.30000000000001</v>
      </c>
      <c r="F13178" s="788">
        <v>42156</v>
      </c>
      <c r="G13178" s="788">
        <v>42156</v>
      </c>
      <c r="H13178" s="787">
        <v>1</v>
      </c>
      <c r="I13178" s="788">
        <v>42165</v>
      </c>
      <c r="J13178" s="788">
        <v>42123</v>
      </c>
      <c r="K13178" s="788">
        <v>41061</v>
      </c>
      <c r="L13178" s="787">
        <v>374.98</v>
      </c>
      <c r="M13178" s="787">
        <v>10</v>
      </c>
      <c r="N13178" s="787">
        <v>373.37</v>
      </c>
      <c r="O13178" s="788">
        <v>42111</v>
      </c>
    </row>
    <row r="13179" spans="1:15" x14ac:dyDescent="0.25">
      <c r="A13179" s="786" t="s">
        <v>23632</v>
      </c>
      <c r="B13179" s="787">
        <v>4</v>
      </c>
      <c r="C13179" s="787" t="s">
        <v>23633</v>
      </c>
      <c r="D13179" s="787">
        <v>7.55</v>
      </c>
      <c r="E13179" s="787">
        <v>246.25</v>
      </c>
      <c r="F13179" s="788">
        <v>41218</v>
      </c>
      <c r="G13179" s="788">
        <v>41943</v>
      </c>
      <c r="H13179" s="787">
        <v>1</v>
      </c>
      <c r="I13179" s="788">
        <v>41894</v>
      </c>
      <c r="J13179" s="788">
        <v>41528</v>
      </c>
      <c r="K13179" s="788">
        <v>41061</v>
      </c>
      <c r="L13179" s="787">
        <v>191.58</v>
      </c>
      <c r="M13179" s="787">
        <v>10</v>
      </c>
      <c r="N13179" s="787">
        <v>192.72</v>
      </c>
      <c r="O13179" s="788">
        <v>42111</v>
      </c>
    </row>
    <row r="13180" spans="1:15" x14ac:dyDescent="0.25">
      <c r="A13180" s="786" t="s">
        <v>23634</v>
      </c>
      <c r="B13180" s="787">
        <v>4</v>
      </c>
      <c r="C13180" s="787" t="s">
        <v>23635</v>
      </c>
      <c r="D13180" s="787">
        <v>8.77</v>
      </c>
      <c r="E13180" s="787">
        <v>223.06</v>
      </c>
      <c r="F13180" s="788">
        <v>41218</v>
      </c>
      <c r="G13180" s="788">
        <v>41943</v>
      </c>
      <c r="H13180" s="787">
        <v>1</v>
      </c>
      <c r="I13180" s="788">
        <v>42165</v>
      </c>
      <c r="J13180" s="788">
        <v>41831</v>
      </c>
      <c r="K13180" s="788">
        <v>41061</v>
      </c>
      <c r="L13180" s="787">
        <v>201.2</v>
      </c>
      <c r="M13180" s="787">
        <v>10</v>
      </c>
      <c r="N13180" s="787">
        <v>200.26</v>
      </c>
      <c r="O13180" s="788">
        <v>42111</v>
      </c>
    </row>
    <row r="13181" spans="1:15" x14ac:dyDescent="0.25">
      <c r="A13181" s="786" t="s">
        <v>23636</v>
      </c>
      <c r="B13181" s="787">
        <v>4</v>
      </c>
      <c r="C13181" s="787" t="s">
        <v>23637</v>
      </c>
      <c r="D13181" s="787">
        <v>0.66</v>
      </c>
      <c r="E13181" s="787">
        <v>13.16</v>
      </c>
      <c r="F13181" s="788">
        <v>39101</v>
      </c>
      <c r="G13181" s="788">
        <v>42152</v>
      </c>
      <c r="H13181" s="787">
        <v>1</v>
      </c>
      <c r="I13181" s="788">
        <v>42166</v>
      </c>
      <c r="J13181" s="788">
        <v>42131</v>
      </c>
      <c r="K13181" s="788">
        <v>42019</v>
      </c>
      <c r="L13181" s="787">
        <v>13.16</v>
      </c>
      <c r="M13181" s="787">
        <v>20</v>
      </c>
      <c r="N13181" s="787">
        <v>14.15</v>
      </c>
      <c r="O13181" s="788">
        <v>42164</v>
      </c>
    </row>
    <row r="13182" spans="1:15" x14ac:dyDescent="0.25">
      <c r="A13182" s="786" t="s">
        <v>23638</v>
      </c>
      <c r="B13182" s="787">
        <v>4</v>
      </c>
      <c r="C13182" s="787" t="s">
        <v>23639</v>
      </c>
      <c r="D13182" s="787">
        <v>5.56</v>
      </c>
      <c r="E13182" s="787">
        <v>25.56</v>
      </c>
      <c r="F13182" s="788">
        <v>39101</v>
      </c>
      <c r="G13182" s="788">
        <v>39101</v>
      </c>
      <c r="H13182" s="787">
        <v>1</v>
      </c>
      <c r="I13182" s="788">
        <v>39134</v>
      </c>
      <c r="J13182" s="788">
        <v>39149</v>
      </c>
      <c r="L13182" s="787">
        <v>27.86</v>
      </c>
      <c r="M13182" s="787">
        <v>20</v>
      </c>
      <c r="N13182" s="787">
        <v>29.95</v>
      </c>
      <c r="O13182" s="788">
        <v>41858</v>
      </c>
    </row>
    <row r="13183" spans="1:15" x14ac:dyDescent="0.25">
      <c r="A13183" s="786" t="s">
        <v>23640</v>
      </c>
      <c r="B13183" s="787">
        <v>4</v>
      </c>
      <c r="C13183" s="787" t="s">
        <v>23641</v>
      </c>
      <c r="D13183" s="787">
        <v>5.92</v>
      </c>
      <c r="E13183" s="787">
        <v>25.92</v>
      </c>
      <c r="F13183" s="788">
        <v>37641</v>
      </c>
      <c r="G13183" s="788">
        <v>37641</v>
      </c>
      <c r="H13183" s="787">
        <v>1</v>
      </c>
      <c r="J13183" s="788">
        <v>37641</v>
      </c>
      <c r="L13183" s="787">
        <v>28.25</v>
      </c>
      <c r="M13183" s="787">
        <v>20</v>
      </c>
      <c r="N13183" s="787">
        <v>30.37</v>
      </c>
      <c r="O13183" s="788">
        <v>41858</v>
      </c>
    </row>
    <row r="13184" spans="1:15" x14ac:dyDescent="0.25">
      <c r="A13184" s="786" t="s">
        <v>23642</v>
      </c>
      <c r="B13184" s="787">
        <v>4</v>
      </c>
      <c r="C13184" s="787" t="s">
        <v>23643</v>
      </c>
      <c r="D13184" s="787">
        <v>2.1</v>
      </c>
      <c r="E13184" s="787">
        <v>12.5</v>
      </c>
      <c r="F13184" s="788">
        <v>40911</v>
      </c>
      <c r="G13184" s="788">
        <v>41333</v>
      </c>
      <c r="H13184" s="787">
        <v>1</v>
      </c>
      <c r="I13184" s="788">
        <v>41990</v>
      </c>
      <c r="J13184" s="788">
        <v>41333</v>
      </c>
      <c r="K13184" s="788">
        <v>40906</v>
      </c>
      <c r="L13184" s="787">
        <v>12.1</v>
      </c>
      <c r="M13184" s="787">
        <v>20</v>
      </c>
      <c r="N13184" s="787">
        <v>13.01</v>
      </c>
      <c r="O13184" s="788">
        <v>41858</v>
      </c>
    </row>
    <row r="13185" spans="1:15" x14ac:dyDescent="0.25">
      <c r="A13185" s="786" t="s">
        <v>23644</v>
      </c>
      <c r="B13185" s="787">
        <v>4</v>
      </c>
      <c r="C13185" s="787" t="s">
        <v>23645</v>
      </c>
      <c r="D13185" s="787">
        <v>9.34</v>
      </c>
      <c r="E13185" s="787">
        <v>10.56</v>
      </c>
      <c r="F13185" s="788">
        <v>38908</v>
      </c>
      <c r="G13185" s="788">
        <v>39953</v>
      </c>
      <c r="H13185" s="787">
        <v>1</v>
      </c>
      <c r="I13185" s="788">
        <v>40423</v>
      </c>
      <c r="J13185" s="788">
        <v>39961</v>
      </c>
      <c r="K13185" s="788">
        <v>41239</v>
      </c>
      <c r="L13185" s="787">
        <v>10.56</v>
      </c>
      <c r="M13185" s="787">
        <v>20</v>
      </c>
      <c r="N13185" s="787">
        <v>11.35</v>
      </c>
      <c r="O13185" s="788">
        <v>41858</v>
      </c>
    </row>
    <row r="13186" spans="1:15" x14ac:dyDescent="0.25">
      <c r="A13186" s="786" t="s">
        <v>23646</v>
      </c>
      <c r="B13186" s="787">
        <v>4</v>
      </c>
      <c r="C13186" s="787" t="s">
        <v>23647</v>
      </c>
      <c r="D13186" s="787">
        <v>4.7699999999999996</v>
      </c>
      <c r="E13186" s="787">
        <v>27.06</v>
      </c>
      <c r="F13186" s="788">
        <v>41233</v>
      </c>
      <c r="G13186" s="788">
        <v>42152</v>
      </c>
      <c r="H13186" s="787">
        <v>1</v>
      </c>
      <c r="I13186" s="788">
        <v>42159</v>
      </c>
      <c r="J13186" s="788">
        <v>42131</v>
      </c>
      <c r="K13186" s="788">
        <v>42040</v>
      </c>
      <c r="L13186" s="787">
        <v>27.06</v>
      </c>
      <c r="M13186" s="787">
        <v>20</v>
      </c>
      <c r="N13186" s="787">
        <v>29.09</v>
      </c>
      <c r="O13186" s="788">
        <v>42164</v>
      </c>
    </row>
    <row r="13187" spans="1:15" x14ac:dyDescent="0.25">
      <c r="A13187" s="786" t="s">
        <v>23648</v>
      </c>
      <c r="B13187" s="787">
        <v>4</v>
      </c>
      <c r="C13187" s="787" t="s">
        <v>23649</v>
      </c>
      <c r="D13187" s="787">
        <v>0.52</v>
      </c>
      <c r="E13187" s="787">
        <v>10.52</v>
      </c>
      <c r="F13187" s="788">
        <v>41564</v>
      </c>
      <c r="G13187" s="788">
        <v>41494</v>
      </c>
      <c r="H13187" s="787">
        <v>1</v>
      </c>
      <c r="J13187" s="788">
        <v>41494</v>
      </c>
      <c r="K13187" s="788">
        <v>41494</v>
      </c>
      <c r="L13187" s="787">
        <v>10.52</v>
      </c>
      <c r="M13187" s="787">
        <v>20</v>
      </c>
      <c r="N13187" s="787">
        <v>11.31</v>
      </c>
      <c r="O13187" s="788">
        <v>41858</v>
      </c>
    </row>
    <row r="13188" spans="1:15" x14ac:dyDescent="0.25">
      <c r="A13188" s="786" t="s">
        <v>23650</v>
      </c>
      <c r="B13188" s="787">
        <v>4</v>
      </c>
      <c r="C13188" s="787" t="s">
        <v>23371</v>
      </c>
      <c r="D13188" s="787">
        <v>0</v>
      </c>
      <c r="E13188" s="787">
        <v>0</v>
      </c>
      <c r="G13188" s="788">
        <v>41519</v>
      </c>
      <c r="H13188" s="787">
        <v>1</v>
      </c>
      <c r="J13188" s="788">
        <v>41519</v>
      </c>
      <c r="K13188" s="788">
        <v>41508</v>
      </c>
      <c r="L13188" s="787">
        <v>9.89</v>
      </c>
      <c r="M13188" s="787">
        <v>20</v>
      </c>
      <c r="N13188" s="787">
        <v>10.63</v>
      </c>
      <c r="O13188" s="788">
        <v>41858</v>
      </c>
    </row>
    <row r="13189" spans="1:15" x14ac:dyDescent="0.25">
      <c r="A13189" s="786" t="s">
        <v>23651</v>
      </c>
      <c r="B13189" s="787">
        <v>4</v>
      </c>
      <c r="C13189" s="787" t="s">
        <v>23652</v>
      </c>
      <c r="D13189" s="787">
        <v>4.4800000000000004</v>
      </c>
      <c r="E13189" s="787">
        <v>14.48</v>
      </c>
      <c r="F13189" s="788">
        <v>41586</v>
      </c>
      <c r="G13189" s="788">
        <v>41592</v>
      </c>
      <c r="H13189" s="787">
        <v>1</v>
      </c>
      <c r="J13189" s="788">
        <v>41592</v>
      </c>
      <c r="K13189" s="788">
        <v>41578</v>
      </c>
      <c r="L13189" s="787">
        <v>14.48</v>
      </c>
      <c r="M13189" s="787">
        <v>20</v>
      </c>
      <c r="N13189" s="787">
        <v>15.57</v>
      </c>
      <c r="O13189" s="788">
        <v>41858</v>
      </c>
    </row>
    <row r="13190" spans="1:15" x14ac:dyDescent="0.25">
      <c r="A13190" s="786" t="s">
        <v>23653</v>
      </c>
      <c r="B13190" s="787">
        <v>4</v>
      </c>
      <c r="C13190" s="787" t="s">
        <v>23654</v>
      </c>
      <c r="D13190" s="787">
        <v>8.93</v>
      </c>
      <c r="E13190" s="787">
        <v>8.93</v>
      </c>
      <c r="F13190" s="788">
        <v>41593</v>
      </c>
      <c r="G13190" s="788">
        <v>41590</v>
      </c>
      <c r="H13190" s="787">
        <v>1</v>
      </c>
      <c r="I13190" s="788">
        <v>42143</v>
      </c>
      <c r="J13190" s="788">
        <v>42131</v>
      </c>
      <c r="K13190" s="788">
        <v>41589</v>
      </c>
      <c r="L13190" s="787">
        <v>8.93</v>
      </c>
      <c r="M13190" s="787">
        <v>20</v>
      </c>
      <c r="N13190" s="787">
        <v>9.6</v>
      </c>
      <c r="O13190" s="788">
        <v>41858</v>
      </c>
    </row>
    <row r="13191" spans="1:15" x14ac:dyDescent="0.25">
      <c r="A13191" s="786" t="s">
        <v>23655</v>
      </c>
      <c r="B13191" s="787">
        <v>4</v>
      </c>
      <c r="C13191" s="787" t="s">
        <v>23656</v>
      </c>
      <c r="D13191" s="787">
        <v>5.37</v>
      </c>
      <c r="E13191" s="787">
        <v>5.37</v>
      </c>
      <c r="F13191" s="788">
        <v>42136</v>
      </c>
      <c r="G13191" s="788">
        <v>42156</v>
      </c>
      <c r="H13191" s="787">
        <v>1</v>
      </c>
      <c r="I13191" s="788">
        <v>41730</v>
      </c>
      <c r="J13191" s="788">
        <v>42131</v>
      </c>
      <c r="K13191" s="788">
        <v>42130</v>
      </c>
      <c r="L13191" s="787">
        <v>5.37</v>
      </c>
      <c r="M13191" s="787">
        <v>20</v>
      </c>
      <c r="N13191" s="787">
        <v>7.04</v>
      </c>
      <c r="O13191" s="788">
        <v>41858</v>
      </c>
    </row>
    <row r="13192" spans="1:15" x14ac:dyDescent="0.25">
      <c r="A13192" s="786" t="s">
        <v>23657</v>
      </c>
      <c r="B13192" s="787">
        <v>4</v>
      </c>
      <c r="C13192" s="787" t="s">
        <v>23658</v>
      </c>
      <c r="D13192" s="787">
        <v>2.27</v>
      </c>
      <c r="E13192" s="787">
        <v>2.27</v>
      </c>
      <c r="F13192" s="788">
        <v>42136</v>
      </c>
      <c r="G13192" s="788">
        <v>42156</v>
      </c>
      <c r="H13192" s="787">
        <v>1</v>
      </c>
      <c r="I13192" s="788">
        <v>41730</v>
      </c>
      <c r="J13192" s="788">
        <v>42131</v>
      </c>
      <c r="K13192" s="788">
        <v>42130</v>
      </c>
      <c r="L13192" s="787">
        <v>2.27</v>
      </c>
      <c r="M13192" s="787">
        <v>20</v>
      </c>
      <c r="N13192" s="787">
        <v>2.99</v>
      </c>
      <c r="O13192" s="788">
        <v>41858</v>
      </c>
    </row>
    <row r="13193" spans="1:15" x14ac:dyDescent="0.25">
      <c r="A13193" s="786" t="s">
        <v>23659</v>
      </c>
      <c r="B13193" s="787">
        <v>4</v>
      </c>
      <c r="C13193" s="787" t="s">
        <v>23660</v>
      </c>
      <c r="D13193" s="787">
        <v>2.6</v>
      </c>
      <c r="E13193" s="787">
        <v>2.6</v>
      </c>
      <c r="F13193" s="788">
        <v>42136</v>
      </c>
      <c r="G13193" s="788">
        <v>42131</v>
      </c>
      <c r="H13193" s="787">
        <v>1</v>
      </c>
      <c r="I13193" s="788">
        <v>41814</v>
      </c>
      <c r="J13193" s="788">
        <v>42131</v>
      </c>
      <c r="K13193" s="788">
        <v>42130</v>
      </c>
      <c r="L13193" s="787">
        <v>2.6</v>
      </c>
      <c r="M13193" s="787">
        <v>20</v>
      </c>
      <c r="N13193" s="787">
        <v>3.36</v>
      </c>
      <c r="O13193" s="788">
        <v>41858</v>
      </c>
    </row>
    <row r="13194" spans="1:15" x14ac:dyDescent="0.25">
      <c r="A13194" s="786" t="s">
        <v>23661</v>
      </c>
      <c r="B13194" s="787">
        <v>4</v>
      </c>
      <c r="C13194" s="787" t="s">
        <v>23662</v>
      </c>
      <c r="D13194" s="787">
        <v>2.6</v>
      </c>
      <c r="E13194" s="787">
        <v>2.6</v>
      </c>
      <c r="F13194" s="788">
        <v>42136</v>
      </c>
      <c r="G13194" s="788">
        <v>42131</v>
      </c>
      <c r="H13194" s="787">
        <v>1</v>
      </c>
      <c r="I13194" s="788">
        <v>41814</v>
      </c>
      <c r="J13194" s="788">
        <v>42131</v>
      </c>
      <c r="K13194" s="788">
        <v>42130</v>
      </c>
      <c r="L13194" s="787">
        <v>2.6</v>
      </c>
      <c r="M13194" s="787">
        <v>20</v>
      </c>
      <c r="N13194" s="787">
        <v>3.36</v>
      </c>
      <c r="O13194" s="788">
        <v>41858</v>
      </c>
    </row>
    <row r="13195" spans="1:15" x14ac:dyDescent="0.25">
      <c r="A13195" s="786" t="s">
        <v>23663</v>
      </c>
      <c r="B13195" s="787">
        <v>4</v>
      </c>
      <c r="C13195" s="787" t="s">
        <v>23664</v>
      </c>
      <c r="D13195" s="787">
        <v>3.13</v>
      </c>
      <c r="E13195" s="787">
        <v>3.33</v>
      </c>
      <c r="F13195" s="788">
        <v>41603</v>
      </c>
      <c r="G13195" s="788">
        <v>41768</v>
      </c>
      <c r="H13195" s="787">
        <v>1</v>
      </c>
      <c r="I13195" s="788">
        <v>41894</v>
      </c>
      <c r="J13195" s="788">
        <v>41768</v>
      </c>
      <c r="K13195" s="788">
        <v>41988</v>
      </c>
      <c r="L13195" s="787">
        <v>3.33</v>
      </c>
      <c r="M13195" s="787">
        <v>20</v>
      </c>
      <c r="N13195" s="787">
        <v>3.36</v>
      </c>
      <c r="O13195" s="788">
        <v>41858</v>
      </c>
    </row>
    <row r="13196" spans="1:15" x14ac:dyDescent="0.25">
      <c r="A13196" s="786" t="s">
        <v>23665</v>
      </c>
      <c r="B13196" s="787">
        <v>4</v>
      </c>
      <c r="C13196" s="787" t="s">
        <v>23666</v>
      </c>
      <c r="D13196" s="787">
        <v>2.6</v>
      </c>
      <c r="E13196" s="787">
        <v>2.6</v>
      </c>
      <c r="F13196" s="788">
        <v>42136</v>
      </c>
      <c r="G13196" s="788">
        <v>42131</v>
      </c>
      <c r="H13196" s="787">
        <v>1</v>
      </c>
      <c r="I13196" s="788">
        <v>41814</v>
      </c>
      <c r="J13196" s="788">
        <v>42131</v>
      </c>
      <c r="K13196" s="788">
        <v>42130</v>
      </c>
      <c r="L13196" s="787">
        <v>2.6</v>
      </c>
      <c r="M13196" s="787">
        <v>20</v>
      </c>
      <c r="N13196" s="787">
        <v>3.36</v>
      </c>
      <c r="O13196" s="788">
        <v>41858</v>
      </c>
    </row>
    <row r="13197" spans="1:15" x14ac:dyDescent="0.25">
      <c r="A13197" s="786" t="s">
        <v>23667</v>
      </c>
      <c r="B13197" s="787">
        <v>4</v>
      </c>
      <c r="C13197" s="787" t="s">
        <v>23668</v>
      </c>
      <c r="D13197" s="787">
        <v>3.25</v>
      </c>
      <c r="E13197" s="787">
        <v>3.25</v>
      </c>
      <c r="F13197" s="788">
        <v>42136</v>
      </c>
      <c r="G13197" s="788">
        <v>42156</v>
      </c>
      <c r="H13197" s="787">
        <v>1</v>
      </c>
      <c r="I13197" s="788">
        <v>41894</v>
      </c>
      <c r="J13197" s="788">
        <v>42131</v>
      </c>
      <c r="K13197" s="788">
        <v>42130</v>
      </c>
      <c r="L13197" s="787">
        <v>3.25</v>
      </c>
      <c r="M13197" s="787">
        <v>20</v>
      </c>
      <c r="N13197" s="787">
        <v>4.24</v>
      </c>
      <c r="O13197" s="788">
        <v>41858</v>
      </c>
    </row>
    <row r="13198" spans="1:15" x14ac:dyDescent="0.25">
      <c r="A13198" s="786" t="s">
        <v>23669</v>
      </c>
      <c r="B13198" s="787">
        <v>4</v>
      </c>
      <c r="C13198" s="787" t="s">
        <v>23670</v>
      </c>
      <c r="D13198" s="787">
        <v>6.4</v>
      </c>
      <c r="E13198" s="787">
        <v>86.4</v>
      </c>
      <c r="F13198" s="788">
        <v>41617</v>
      </c>
      <c r="G13198" s="788">
        <v>41611</v>
      </c>
      <c r="H13198" s="787">
        <v>1</v>
      </c>
      <c r="J13198" s="788">
        <v>41611</v>
      </c>
      <c r="K13198" s="788">
        <v>41610</v>
      </c>
      <c r="L13198" s="787">
        <v>86.4</v>
      </c>
      <c r="M13198" s="787">
        <v>20</v>
      </c>
      <c r="N13198" s="787">
        <v>92.88</v>
      </c>
      <c r="O13198" s="788">
        <v>41858</v>
      </c>
    </row>
    <row r="13199" spans="1:15" x14ac:dyDescent="0.25">
      <c r="A13199" s="786" t="s">
        <v>23671</v>
      </c>
      <c r="B13199" s="787">
        <v>4</v>
      </c>
      <c r="C13199" s="787" t="s">
        <v>23672</v>
      </c>
      <c r="D13199" s="787">
        <v>0.21</v>
      </c>
      <c r="E13199" s="787">
        <v>10.52</v>
      </c>
      <c r="F13199" s="788">
        <v>41617</v>
      </c>
      <c r="G13199" s="788">
        <v>41974</v>
      </c>
      <c r="H13199" s="787">
        <v>1</v>
      </c>
      <c r="J13199" s="788">
        <v>41950</v>
      </c>
      <c r="K13199" s="788">
        <v>41988</v>
      </c>
      <c r="L13199" s="787">
        <v>10.52</v>
      </c>
      <c r="M13199" s="787">
        <v>20</v>
      </c>
      <c r="N13199" s="787">
        <v>10.98</v>
      </c>
      <c r="O13199" s="788">
        <v>41858</v>
      </c>
    </row>
    <row r="13200" spans="1:15" x14ac:dyDescent="0.25">
      <c r="A13200" s="786" t="s">
        <v>23673</v>
      </c>
      <c r="B13200" s="787">
        <v>4</v>
      </c>
      <c r="C13200" s="787" t="s">
        <v>23674</v>
      </c>
      <c r="D13200" s="787">
        <v>0.78</v>
      </c>
      <c r="E13200" s="787">
        <v>11.09</v>
      </c>
      <c r="F13200" s="788">
        <v>41617</v>
      </c>
      <c r="G13200" s="788">
        <v>42051</v>
      </c>
      <c r="H13200" s="787">
        <v>1</v>
      </c>
      <c r="I13200" s="788">
        <v>41894</v>
      </c>
      <c r="J13200" s="788">
        <v>42051</v>
      </c>
      <c r="K13200" s="788">
        <v>42046</v>
      </c>
      <c r="L13200" s="787">
        <v>11.09</v>
      </c>
      <c r="M13200" s="787">
        <v>20</v>
      </c>
      <c r="N13200" s="787">
        <v>11.92</v>
      </c>
      <c r="O13200" s="788">
        <v>42127</v>
      </c>
    </row>
    <row r="13201" spans="1:15" x14ac:dyDescent="0.25">
      <c r="A13201" s="786" t="s">
        <v>23675</v>
      </c>
      <c r="B13201" s="787">
        <v>4</v>
      </c>
      <c r="C13201" s="787" t="s">
        <v>23676</v>
      </c>
      <c r="D13201" s="787">
        <v>0</v>
      </c>
      <c r="E13201" s="787">
        <v>0</v>
      </c>
      <c r="H13201" s="787">
        <v>1</v>
      </c>
      <c r="L13201" s="787">
        <v>2</v>
      </c>
      <c r="M13201" s="787">
        <v>10</v>
      </c>
      <c r="N13201" s="787">
        <v>2</v>
      </c>
    </row>
    <row r="13202" spans="1:15" x14ac:dyDescent="0.25">
      <c r="A13202" s="786" t="s">
        <v>23677</v>
      </c>
      <c r="B13202" s="787">
        <v>4</v>
      </c>
      <c r="C13202" s="787" t="s">
        <v>23678</v>
      </c>
      <c r="D13202" s="787">
        <v>0</v>
      </c>
      <c r="E13202" s="787">
        <v>0</v>
      </c>
      <c r="H13202" s="787">
        <v>1</v>
      </c>
      <c r="L13202" s="787">
        <v>2</v>
      </c>
      <c r="M13202" s="787">
        <v>10</v>
      </c>
      <c r="N13202" s="787">
        <v>7.51</v>
      </c>
      <c r="O13202" s="788">
        <v>41911</v>
      </c>
    </row>
    <row r="13203" spans="1:15" x14ac:dyDescent="0.25">
      <c r="A13203" s="786" t="s">
        <v>23679</v>
      </c>
      <c r="B13203" s="787">
        <v>4</v>
      </c>
      <c r="C13203" s="787" t="s">
        <v>23680</v>
      </c>
      <c r="D13203" s="787">
        <v>0</v>
      </c>
      <c r="E13203" s="787">
        <v>0</v>
      </c>
      <c r="H13203" s="787">
        <v>1</v>
      </c>
      <c r="L13203" s="787">
        <v>1</v>
      </c>
      <c r="M13203" s="787">
        <v>20</v>
      </c>
      <c r="N13203" s="787">
        <v>1.08</v>
      </c>
      <c r="O13203" s="788">
        <v>41911</v>
      </c>
    </row>
    <row r="13204" spans="1:15" x14ac:dyDescent="0.25">
      <c r="A13204" s="786" t="s">
        <v>23681</v>
      </c>
      <c r="B13204" s="787">
        <v>4</v>
      </c>
      <c r="C13204" s="787" t="s">
        <v>23682</v>
      </c>
      <c r="D13204" s="787">
        <v>0</v>
      </c>
      <c r="E13204" s="787">
        <v>0</v>
      </c>
      <c r="H13204" s="787">
        <v>1</v>
      </c>
      <c r="L13204" s="787">
        <v>1</v>
      </c>
      <c r="M13204" s="787">
        <v>20</v>
      </c>
      <c r="N13204" s="787">
        <v>1.08</v>
      </c>
      <c r="O13204" s="788">
        <v>41898</v>
      </c>
    </row>
    <row r="13205" spans="1:15" x14ac:dyDescent="0.25">
      <c r="A13205" s="786" t="s">
        <v>23683</v>
      </c>
      <c r="B13205" s="787">
        <v>4</v>
      </c>
      <c r="C13205" s="787" t="s">
        <v>23684</v>
      </c>
      <c r="D13205" s="787">
        <v>0</v>
      </c>
      <c r="E13205" s="787">
        <v>0</v>
      </c>
      <c r="H13205" s="787">
        <v>1</v>
      </c>
      <c r="L13205" s="787">
        <v>1</v>
      </c>
      <c r="M13205" s="787">
        <v>20</v>
      </c>
      <c r="N13205" s="787">
        <v>1.08</v>
      </c>
      <c r="O13205" s="788">
        <v>41911</v>
      </c>
    </row>
    <row r="13206" spans="1:15" x14ac:dyDescent="0.25">
      <c r="A13206" s="786" t="s">
        <v>23685</v>
      </c>
      <c r="B13206" s="787">
        <v>4</v>
      </c>
      <c r="C13206" s="787" t="s">
        <v>23686</v>
      </c>
      <c r="D13206" s="787">
        <v>0</v>
      </c>
      <c r="E13206" s="787">
        <v>0</v>
      </c>
      <c r="H13206" s="787">
        <v>1</v>
      </c>
      <c r="L13206" s="787">
        <v>1</v>
      </c>
      <c r="M13206" s="787">
        <v>20</v>
      </c>
      <c r="N13206" s="787">
        <v>1.08</v>
      </c>
      <c r="O13206" s="788">
        <v>41911</v>
      </c>
    </row>
    <row r="13207" spans="1:15" x14ac:dyDescent="0.25">
      <c r="A13207" s="786" t="s">
        <v>23687</v>
      </c>
      <c r="B13207" s="787">
        <v>4</v>
      </c>
      <c r="C13207" s="787" t="s">
        <v>23688</v>
      </c>
      <c r="D13207" s="787">
        <v>0</v>
      </c>
      <c r="E13207" s="787">
        <v>0</v>
      </c>
      <c r="H13207" s="787">
        <v>1</v>
      </c>
      <c r="L13207" s="787">
        <v>3</v>
      </c>
      <c r="M13207" s="787">
        <v>10</v>
      </c>
      <c r="N13207" s="787">
        <v>0</v>
      </c>
    </row>
    <row r="13208" spans="1:15" x14ac:dyDescent="0.25">
      <c r="A13208" s="786" t="s">
        <v>23689</v>
      </c>
      <c r="B13208" s="787">
        <v>4</v>
      </c>
      <c r="C13208" s="787" t="s">
        <v>23690</v>
      </c>
      <c r="D13208" s="787">
        <v>8.36</v>
      </c>
      <c r="E13208" s="787">
        <v>18.36</v>
      </c>
      <c r="F13208" s="788">
        <v>37641</v>
      </c>
      <c r="G13208" s="788">
        <v>38736</v>
      </c>
      <c r="H13208" s="787">
        <v>6</v>
      </c>
      <c r="I13208" s="788">
        <v>39645</v>
      </c>
      <c r="J13208" s="788">
        <v>37641</v>
      </c>
      <c r="L13208" s="787">
        <v>20.010000000000002</v>
      </c>
      <c r="M13208" s="787">
        <v>20</v>
      </c>
      <c r="N13208" s="787">
        <v>19.739999999999998</v>
      </c>
      <c r="O13208" s="788">
        <v>41807</v>
      </c>
    </row>
    <row r="13209" spans="1:15" x14ac:dyDescent="0.25">
      <c r="A13209" s="786" t="s">
        <v>23691</v>
      </c>
      <c r="B13209" s="787">
        <v>4</v>
      </c>
      <c r="C13209" s="787" t="s">
        <v>23692</v>
      </c>
      <c r="D13209" s="787">
        <v>7.9</v>
      </c>
      <c r="E13209" s="787">
        <v>17.899999999999999</v>
      </c>
      <c r="F13209" s="788">
        <v>37641</v>
      </c>
      <c r="G13209" s="788">
        <v>37641</v>
      </c>
      <c r="H13209" s="787">
        <v>1</v>
      </c>
      <c r="J13209" s="788">
        <v>37641</v>
      </c>
      <c r="L13209" s="787">
        <v>19.510000000000002</v>
      </c>
      <c r="M13209" s="787">
        <v>20</v>
      </c>
      <c r="N13209" s="787">
        <v>20.97</v>
      </c>
      <c r="O13209" s="788">
        <v>41858</v>
      </c>
    </row>
    <row r="13210" spans="1:15" x14ac:dyDescent="0.25">
      <c r="A13210" s="786" t="s">
        <v>23693</v>
      </c>
      <c r="B13210" s="787">
        <v>4</v>
      </c>
      <c r="C13210" s="787" t="s">
        <v>23694</v>
      </c>
      <c r="D13210" s="787">
        <v>3.08</v>
      </c>
      <c r="E13210" s="787">
        <v>33.08</v>
      </c>
      <c r="F13210" s="788">
        <v>39101</v>
      </c>
      <c r="G13210" s="788">
        <v>39101</v>
      </c>
      <c r="H13210" s="787">
        <v>1</v>
      </c>
      <c r="I13210" s="788">
        <v>39384</v>
      </c>
      <c r="J13210" s="788">
        <v>39149</v>
      </c>
      <c r="L13210" s="787">
        <v>36.06</v>
      </c>
      <c r="M13210" s="787">
        <v>20</v>
      </c>
      <c r="N13210" s="787">
        <v>38.76</v>
      </c>
      <c r="O13210" s="788">
        <v>41858</v>
      </c>
    </row>
    <row r="13211" spans="1:15" x14ac:dyDescent="0.25">
      <c r="A13211" s="786" t="s">
        <v>23695</v>
      </c>
      <c r="B13211" s="787">
        <v>4</v>
      </c>
      <c r="C13211" s="787" t="s">
        <v>23696</v>
      </c>
      <c r="D13211" s="787">
        <v>8.91</v>
      </c>
      <c r="E13211" s="787">
        <v>18.940000000000001</v>
      </c>
      <c r="F13211" s="788">
        <v>39101</v>
      </c>
      <c r="G13211" s="788">
        <v>39101</v>
      </c>
      <c r="H13211" s="787">
        <v>1</v>
      </c>
      <c r="I13211" s="788">
        <v>41187</v>
      </c>
      <c r="J13211" s="788">
        <v>39101</v>
      </c>
      <c r="L13211" s="787">
        <v>20.61</v>
      </c>
      <c r="M13211" s="787">
        <v>20</v>
      </c>
      <c r="N13211" s="787">
        <v>22.16</v>
      </c>
      <c r="O13211" s="788">
        <v>41858</v>
      </c>
    </row>
    <row r="13212" spans="1:15" x14ac:dyDescent="0.25">
      <c r="A13212" s="786" t="s">
        <v>23697</v>
      </c>
      <c r="B13212" s="787">
        <v>4</v>
      </c>
      <c r="C13212" s="787" t="s">
        <v>23698</v>
      </c>
      <c r="D13212" s="787">
        <v>5.71</v>
      </c>
      <c r="E13212" s="787">
        <v>15.79</v>
      </c>
      <c r="F13212" s="788">
        <v>39101</v>
      </c>
      <c r="G13212" s="788">
        <v>39814</v>
      </c>
      <c r="H13212" s="787">
        <v>1</v>
      </c>
      <c r="I13212" s="788">
        <v>41001</v>
      </c>
      <c r="J13212" s="788">
        <v>39149</v>
      </c>
      <c r="L13212" s="787">
        <v>16.84</v>
      </c>
      <c r="M13212" s="787">
        <v>20</v>
      </c>
      <c r="N13212" s="787">
        <v>18.100000000000001</v>
      </c>
      <c r="O13212" s="788">
        <v>42020</v>
      </c>
    </row>
    <row r="13213" spans="1:15" x14ac:dyDescent="0.25">
      <c r="A13213" s="786" t="s">
        <v>23699</v>
      </c>
      <c r="B13213" s="787">
        <v>4</v>
      </c>
      <c r="C13213" s="787" t="s">
        <v>23700</v>
      </c>
      <c r="D13213" s="787">
        <v>5.35</v>
      </c>
      <c r="E13213" s="787">
        <v>17.760000000000002</v>
      </c>
      <c r="F13213" s="788">
        <v>39297</v>
      </c>
      <c r="G13213" s="788">
        <v>41681</v>
      </c>
      <c r="H13213" s="787">
        <v>1</v>
      </c>
      <c r="I13213" s="788">
        <v>41680</v>
      </c>
      <c r="J13213" s="788">
        <v>41681</v>
      </c>
      <c r="K13213" s="788">
        <v>40947</v>
      </c>
      <c r="L13213" s="787">
        <v>17.489999999999998</v>
      </c>
      <c r="M13213" s="787">
        <v>20</v>
      </c>
      <c r="N13213" s="787">
        <v>18.8</v>
      </c>
      <c r="O13213" s="788">
        <v>41858</v>
      </c>
    </row>
    <row r="13214" spans="1:15" x14ac:dyDescent="0.25">
      <c r="A13214" s="786" t="s">
        <v>23701</v>
      </c>
      <c r="B13214" s="787">
        <v>4</v>
      </c>
      <c r="C13214" s="787" t="s">
        <v>23702</v>
      </c>
      <c r="D13214" s="787">
        <v>5.44</v>
      </c>
      <c r="E13214" s="787">
        <v>45.44</v>
      </c>
      <c r="F13214" s="788">
        <v>40017</v>
      </c>
      <c r="G13214" s="788">
        <v>40017</v>
      </c>
      <c r="H13214" s="787">
        <v>1</v>
      </c>
      <c r="I13214" s="788">
        <v>41894</v>
      </c>
      <c r="J13214" s="788">
        <v>40021</v>
      </c>
      <c r="L13214" s="787">
        <v>45.44</v>
      </c>
      <c r="M13214" s="787">
        <v>20</v>
      </c>
      <c r="N13214" s="787">
        <v>48.85</v>
      </c>
      <c r="O13214" s="788">
        <v>41858</v>
      </c>
    </row>
    <row r="13215" spans="1:15" x14ac:dyDescent="0.25">
      <c r="A13215" s="786" t="s">
        <v>23703</v>
      </c>
      <c r="B13215" s="787">
        <v>4</v>
      </c>
      <c r="C13215" s="787" t="s">
        <v>23704</v>
      </c>
      <c r="D13215" s="787">
        <v>1.36</v>
      </c>
      <c r="E13215" s="787">
        <v>81.36</v>
      </c>
      <c r="F13215" s="788">
        <v>37641</v>
      </c>
      <c r="G13215" s="788">
        <v>37641</v>
      </c>
      <c r="H13215" s="787">
        <v>1</v>
      </c>
      <c r="J13215" s="788">
        <v>37641</v>
      </c>
      <c r="L13215" s="787">
        <v>88.68</v>
      </c>
      <c r="M13215" s="787">
        <v>20</v>
      </c>
      <c r="N13215" s="787">
        <v>95.33</v>
      </c>
      <c r="O13215" s="788">
        <v>41858</v>
      </c>
    </row>
    <row r="13216" spans="1:15" x14ac:dyDescent="0.25">
      <c r="A13216" s="786" t="s">
        <v>23705</v>
      </c>
      <c r="B13216" s="787">
        <v>4</v>
      </c>
      <c r="C13216" s="787" t="s">
        <v>22933</v>
      </c>
      <c r="D13216" s="787">
        <v>4.91</v>
      </c>
      <c r="E13216" s="787">
        <v>4.91</v>
      </c>
      <c r="F13216" s="788">
        <v>37641</v>
      </c>
      <c r="G13216" s="788">
        <v>37641</v>
      </c>
      <c r="H13216" s="787">
        <v>6</v>
      </c>
      <c r="J13216" s="788">
        <v>37641</v>
      </c>
      <c r="L13216" s="787">
        <v>5.35</v>
      </c>
      <c r="M13216" s="787">
        <v>20</v>
      </c>
      <c r="N13216" s="787">
        <v>5.28</v>
      </c>
      <c r="O13216" s="788">
        <v>41806</v>
      </c>
    </row>
    <row r="13217" spans="1:15" x14ac:dyDescent="0.25">
      <c r="A13217" s="786" t="s">
        <v>23706</v>
      </c>
      <c r="B13217" s="787">
        <v>4</v>
      </c>
      <c r="C13217" s="787" t="s">
        <v>23707</v>
      </c>
      <c r="D13217" s="787">
        <v>4.13</v>
      </c>
      <c r="E13217" s="787">
        <v>4.13</v>
      </c>
      <c r="F13217" s="788">
        <v>39101</v>
      </c>
      <c r="G13217" s="788">
        <v>39101</v>
      </c>
      <c r="H13217" s="787">
        <v>1</v>
      </c>
      <c r="I13217" s="788">
        <v>39134</v>
      </c>
      <c r="J13217" s="788">
        <v>39149</v>
      </c>
      <c r="L13217" s="787">
        <v>4.5</v>
      </c>
      <c r="M13217" s="787">
        <v>20</v>
      </c>
      <c r="N13217" s="787">
        <v>4.84</v>
      </c>
      <c r="O13217" s="788">
        <v>41858</v>
      </c>
    </row>
    <row r="13218" spans="1:15" x14ac:dyDescent="0.25">
      <c r="A13218" s="786" t="s">
        <v>23708</v>
      </c>
      <c r="B13218" s="787">
        <v>4</v>
      </c>
      <c r="C13218" s="787" t="s">
        <v>23709</v>
      </c>
      <c r="D13218" s="787">
        <v>5.46</v>
      </c>
      <c r="E13218" s="787">
        <v>5.46</v>
      </c>
      <c r="F13218" s="788">
        <v>37641</v>
      </c>
      <c r="G13218" s="788">
        <v>37641</v>
      </c>
      <c r="H13218" s="787">
        <v>1</v>
      </c>
      <c r="I13218" s="788">
        <v>37691</v>
      </c>
      <c r="J13218" s="788">
        <v>37641</v>
      </c>
      <c r="L13218" s="787">
        <v>5.95</v>
      </c>
      <c r="M13218" s="787">
        <v>20</v>
      </c>
      <c r="N13218" s="787">
        <v>6.4</v>
      </c>
      <c r="O13218" s="788">
        <v>41858</v>
      </c>
    </row>
    <row r="13219" spans="1:15" x14ac:dyDescent="0.25">
      <c r="A13219" s="786" t="s">
        <v>23710</v>
      </c>
      <c r="B13219" s="787">
        <v>4</v>
      </c>
      <c r="C13219" s="787" t="s">
        <v>23711</v>
      </c>
      <c r="D13219" s="787">
        <v>7.45</v>
      </c>
      <c r="E13219" s="787">
        <v>37.450000000000003</v>
      </c>
      <c r="F13219" s="788">
        <v>37641</v>
      </c>
      <c r="G13219" s="788">
        <v>37641</v>
      </c>
      <c r="H13219" s="787">
        <v>1</v>
      </c>
      <c r="I13219" s="788">
        <v>36899</v>
      </c>
      <c r="J13219" s="788">
        <v>37641</v>
      </c>
      <c r="L13219" s="787">
        <v>40.82</v>
      </c>
      <c r="M13219" s="787">
        <v>20</v>
      </c>
      <c r="N13219" s="787">
        <v>43.88</v>
      </c>
      <c r="O13219" s="788">
        <v>41858</v>
      </c>
    </row>
    <row r="13220" spans="1:15" x14ac:dyDescent="0.25">
      <c r="A13220" s="786" t="s">
        <v>23712</v>
      </c>
      <c r="B13220" s="787">
        <v>4</v>
      </c>
      <c r="C13220" s="787" t="s">
        <v>23713</v>
      </c>
      <c r="D13220" s="787">
        <v>3.98</v>
      </c>
      <c r="E13220" s="787">
        <v>123.98</v>
      </c>
      <c r="F13220" s="788">
        <v>41796</v>
      </c>
      <c r="G13220" s="788">
        <v>41793</v>
      </c>
      <c r="H13220" s="787">
        <v>1</v>
      </c>
      <c r="J13220" s="788">
        <v>41793</v>
      </c>
      <c r="K13220" s="788">
        <v>41786</v>
      </c>
      <c r="L13220" s="787">
        <v>123.98</v>
      </c>
      <c r="M13220" s="787">
        <v>20</v>
      </c>
      <c r="N13220" s="787">
        <v>133.28</v>
      </c>
      <c r="O13220" s="788">
        <v>41858</v>
      </c>
    </row>
    <row r="13221" spans="1:15" x14ac:dyDescent="0.25">
      <c r="A13221" s="786" t="s">
        <v>23714</v>
      </c>
      <c r="B13221" s="787">
        <v>4</v>
      </c>
      <c r="C13221" s="787" t="s">
        <v>23715</v>
      </c>
      <c r="D13221" s="787">
        <v>3.77</v>
      </c>
      <c r="E13221" s="787">
        <v>3.77</v>
      </c>
      <c r="F13221" s="788">
        <v>39101</v>
      </c>
      <c r="G13221" s="788">
        <v>39101</v>
      </c>
      <c r="H13221" s="787">
        <v>1</v>
      </c>
      <c r="I13221" s="788">
        <v>39134</v>
      </c>
      <c r="J13221" s="788">
        <v>39149</v>
      </c>
      <c r="L13221" s="787">
        <v>4.1100000000000003</v>
      </c>
      <c r="M13221" s="787">
        <v>20</v>
      </c>
      <c r="N13221" s="787">
        <v>4.42</v>
      </c>
      <c r="O13221" s="788">
        <v>41858</v>
      </c>
    </row>
    <row r="13222" spans="1:15" x14ac:dyDescent="0.25">
      <c r="A13222" s="786" t="s">
        <v>23716</v>
      </c>
      <c r="B13222" s="787">
        <v>4</v>
      </c>
      <c r="C13222" s="787" t="s">
        <v>23717</v>
      </c>
      <c r="D13222" s="787">
        <v>7.95</v>
      </c>
      <c r="E13222" s="787">
        <v>20.239999999999998</v>
      </c>
      <c r="F13222" s="788">
        <v>40382</v>
      </c>
      <c r="G13222" s="788">
        <v>42013</v>
      </c>
      <c r="H13222" s="787">
        <v>1</v>
      </c>
      <c r="I13222" s="788">
        <v>42094</v>
      </c>
      <c r="J13222" s="788">
        <v>41996</v>
      </c>
      <c r="K13222" s="788">
        <v>41438</v>
      </c>
      <c r="L13222" s="787">
        <v>20.239999999999998</v>
      </c>
      <c r="M13222" s="787">
        <v>20</v>
      </c>
      <c r="N13222" s="787">
        <v>21.76</v>
      </c>
      <c r="O13222" s="788">
        <v>41996</v>
      </c>
    </row>
    <row r="13223" spans="1:15" x14ac:dyDescent="0.25">
      <c r="A13223" s="786" t="s">
        <v>23718</v>
      </c>
      <c r="B13223" s="787">
        <v>4</v>
      </c>
      <c r="C13223" s="787" t="s">
        <v>23719</v>
      </c>
      <c r="D13223" s="787">
        <v>8.48</v>
      </c>
      <c r="E13223" s="787">
        <v>21.87</v>
      </c>
      <c r="F13223" s="788">
        <v>40485</v>
      </c>
      <c r="G13223" s="788">
        <v>42144</v>
      </c>
      <c r="H13223" s="787">
        <v>1</v>
      </c>
      <c r="I13223" s="788">
        <v>42163</v>
      </c>
      <c r="J13223" s="788">
        <v>42144</v>
      </c>
      <c r="K13223" s="788">
        <v>42045</v>
      </c>
      <c r="L13223" s="787">
        <v>20.9</v>
      </c>
      <c r="M13223" s="787">
        <v>20</v>
      </c>
      <c r="N13223" s="787">
        <v>23.51</v>
      </c>
      <c r="O13223" s="788">
        <v>42045</v>
      </c>
    </row>
    <row r="13224" spans="1:15" x14ac:dyDescent="0.25">
      <c r="A13224" s="786" t="s">
        <v>23720</v>
      </c>
      <c r="B13224" s="787">
        <v>4</v>
      </c>
      <c r="C13224" s="787" t="s">
        <v>23721</v>
      </c>
      <c r="D13224" s="787">
        <v>0</v>
      </c>
      <c r="E13224" s="787">
        <v>0</v>
      </c>
      <c r="H13224" s="787">
        <v>1</v>
      </c>
      <c r="K13224" s="788">
        <v>41793</v>
      </c>
      <c r="L13224" s="787">
        <v>4.5</v>
      </c>
      <c r="M13224" s="787">
        <v>20</v>
      </c>
      <c r="N13224" s="787">
        <v>4.84</v>
      </c>
      <c r="O13224" s="788">
        <v>42164</v>
      </c>
    </row>
    <row r="13225" spans="1:15" x14ac:dyDescent="0.25">
      <c r="A13225" s="786" t="s">
        <v>23722</v>
      </c>
      <c r="B13225" s="787">
        <v>4</v>
      </c>
      <c r="C13225" s="787" t="s">
        <v>23723</v>
      </c>
      <c r="D13225" s="787">
        <v>0</v>
      </c>
      <c r="E13225" s="787">
        <v>0</v>
      </c>
      <c r="H13225" s="787">
        <v>1</v>
      </c>
      <c r="L13225" s="787">
        <v>2.3199999999999998</v>
      </c>
      <c r="M13225" s="787">
        <v>20</v>
      </c>
      <c r="N13225" s="787">
        <v>2.4900000000000002</v>
      </c>
      <c r="O13225" s="788">
        <v>42164</v>
      </c>
    </row>
    <row r="13226" spans="1:15" x14ac:dyDescent="0.25">
      <c r="A13226" s="786" t="s">
        <v>23724</v>
      </c>
      <c r="B13226" s="787">
        <v>4</v>
      </c>
      <c r="C13226" s="787" t="s">
        <v>23725</v>
      </c>
      <c r="D13226" s="787">
        <v>4.46</v>
      </c>
      <c r="E13226" s="787">
        <v>4.46</v>
      </c>
      <c r="F13226" s="788">
        <v>41876</v>
      </c>
      <c r="G13226" s="788">
        <v>42013</v>
      </c>
      <c r="H13226" s="787">
        <v>1</v>
      </c>
      <c r="I13226" s="788">
        <v>42163</v>
      </c>
      <c r="J13226" s="788">
        <v>41933</v>
      </c>
      <c r="K13226" s="788">
        <v>41849</v>
      </c>
      <c r="L13226" s="787">
        <v>4.46</v>
      </c>
      <c r="M13226" s="787">
        <v>20</v>
      </c>
      <c r="N13226" s="787">
        <v>4.79</v>
      </c>
      <c r="O13226" s="788">
        <v>42164</v>
      </c>
    </row>
    <row r="13227" spans="1:15" x14ac:dyDescent="0.25">
      <c r="A13227" s="786" t="s">
        <v>23726</v>
      </c>
      <c r="B13227" s="787">
        <v>4</v>
      </c>
      <c r="C13227" s="787" t="s">
        <v>23727</v>
      </c>
      <c r="D13227" s="787">
        <v>3.26</v>
      </c>
      <c r="E13227" s="787">
        <v>3.26</v>
      </c>
      <c r="F13227" s="788">
        <v>42144</v>
      </c>
      <c r="G13227" s="788">
        <v>42156</v>
      </c>
      <c r="H13227" s="787">
        <v>1</v>
      </c>
      <c r="J13227" s="788">
        <v>42137</v>
      </c>
      <c r="K13227" s="788">
        <v>42132</v>
      </c>
      <c r="L13227" s="787">
        <v>2.3199999999999998</v>
      </c>
      <c r="M13227" s="787">
        <v>20</v>
      </c>
      <c r="N13227" s="787">
        <v>0</v>
      </c>
    </row>
    <row r="13228" spans="1:15" x14ac:dyDescent="0.25">
      <c r="A13228" s="786" t="s">
        <v>23728</v>
      </c>
      <c r="B13228" s="787">
        <v>4</v>
      </c>
      <c r="C13228" s="787" t="s">
        <v>23729</v>
      </c>
      <c r="D13228" s="787">
        <v>5.27</v>
      </c>
      <c r="E13228" s="787">
        <v>15.97</v>
      </c>
      <c r="F13228" s="788">
        <v>39188</v>
      </c>
      <c r="G13228" s="788">
        <v>40914</v>
      </c>
      <c r="H13228" s="787">
        <v>1</v>
      </c>
      <c r="I13228" s="788">
        <v>41115</v>
      </c>
      <c r="J13228" s="788">
        <v>40458</v>
      </c>
      <c r="L13228" s="787">
        <v>19.87</v>
      </c>
      <c r="M13228" s="787">
        <v>20</v>
      </c>
      <c r="N13228" s="787">
        <v>21.36</v>
      </c>
      <c r="O13228" s="788">
        <v>41858</v>
      </c>
    </row>
    <row r="13229" spans="1:15" x14ac:dyDescent="0.25">
      <c r="A13229" s="786" t="s">
        <v>23730</v>
      </c>
      <c r="B13229" s="787">
        <v>4</v>
      </c>
      <c r="C13229" s="787" t="s">
        <v>23731</v>
      </c>
      <c r="D13229" s="787">
        <v>0</v>
      </c>
      <c r="E13229" s="787">
        <v>0</v>
      </c>
      <c r="H13229" s="787">
        <v>1</v>
      </c>
      <c r="I13229" s="788">
        <v>41828</v>
      </c>
      <c r="J13229" s="788">
        <v>37641</v>
      </c>
      <c r="L13229" s="787">
        <v>0</v>
      </c>
      <c r="M13229" s="787">
        <v>20</v>
      </c>
      <c r="N13229" s="787">
        <v>0</v>
      </c>
      <c r="O13229" s="788">
        <v>40824</v>
      </c>
    </row>
    <row r="13230" spans="1:15" x14ac:dyDescent="0.25">
      <c r="A13230" s="786" t="s">
        <v>23732</v>
      </c>
      <c r="B13230" s="787">
        <v>4</v>
      </c>
      <c r="C13230" s="787" t="s">
        <v>23733</v>
      </c>
      <c r="D13230" s="787">
        <v>4.8</v>
      </c>
      <c r="E13230" s="787">
        <v>24.8</v>
      </c>
      <c r="F13230" s="788">
        <v>39101</v>
      </c>
      <c r="G13230" s="788">
        <v>39101</v>
      </c>
      <c r="H13230" s="787">
        <v>1</v>
      </c>
      <c r="I13230" s="788">
        <v>41295</v>
      </c>
      <c r="J13230" s="788">
        <v>41578</v>
      </c>
      <c r="L13230" s="787">
        <v>27.03</v>
      </c>
      <c r="M13230" s="787">
        <v>20</v>
      </c>
      <c r="N13230" s="787">
        <v>29.06</v>
      </c>
      <c r="O13230" s="788">
        <v>41858</v>
      </c>
    </row>
    <row r="13231" spans="1:15" x14ac:dyDescent="0.25">
      <c r="A13231" s="786" t="s">
        <v>23734</v>
      </c>
      <c r="B13231" s="787">
        <v>4</v>
      </c>
      <c r="C13231" s="787" t="s">
        <v>23735</v>
      </c>
      <c r="D13231" s="787">
        <v>1.0900000000000001</v>
      </c>
      <c r="E13231" s="787">
        <v>12.1</v>
      </c>
      <c r="F13231" s="788">
        <v>40410</v>
      </c>
      <c r="G13231" s="788">
        <v>42013</v>
      </c>
      <c r="H13231" s="787">
        <v>1</v>
      </c>
      <c r="I13231" s="788">
        <v>42121</v>
      </c>
      <c r="J13231" s="788">
        <v>41044</v>
      </c>
      <c r="L13231" s="787">
        <v>14.53</v>
      </c>
      <c r="M13231" s="787">
        <v>20</v>
      </c>
      <c r="N13231" s="787">
        <v>15.62</v>
      </c>
      <c r="O13231" s="788">
        <v>42111</v>
      </c>
    </row>
    <row r="13232" spans="1:15" x14ac:dyDescent="0.25">
      <c r="A13232" s="786" t="s">
        <v>23736</v>
      </c>
      <c r="B13232" s="787">
        <v>4</v>
      </c>
      <c r="C13232" s="787" t="s">
        <v>23737</v>
      </c>
      <c r="D13232" s="787">
        <v>3.75</v>
      </c>
      <c r="E13232" s="787">
        <v>17.07</v>
      </c>
      <c r="F13232" s="788">
        <v>39101</v>
      </c>
      <c r="G13232" s="788">
        <v>42158</v>
      </c>
      <c r="H13232" s="787">
        <v>1</v>
      </c>
      <c r="I13232" s="788">
        <v>42163</v>
      </c>
      <c r="J13232" s="788">
        <v>42158</v>
      </c>
      <c r="K13232" s="788">
        <v>41988</v>
      </c>
      <c r="L13232" s="787">
        <v>17.07</v>
      </c>
      <c r="M13232" s="787">
        <v>20</v>
      </c>
      <c r="N13232" s="787">
        <v>18.350000000000001</v>
      </c>
      <c r="O13232" s="788">
        <v>42164</v>
      </c>
    </row>
    <row r="13233" spans="1:15" x14ac:dyDescent="0.25">
      <c r="A13233" s="786" t="s">
        <v>23738</v>
      </c>
      <c r="B13233" s="787">
        <v>4</v>
      </c>
      <c r="C13233" s="787" t="s">
        <v>23739</v>
      </c>
      <c r="D13233" s="787">
        <v>5.53</v>
      </c>
      <c r="E13233" s="787">
        <v>25.53</v>
      </c>
      <c r="F13233" s="788">
        <v>39161</v>
      </c>
      <c r="G13233" s="788">
        <v>39161</v>
      </c>
      <c r="H13233" s="787">
        <v>1</v>
      </c>
      <c r="I13233" s="788">
        <v>39115</v>
      </c>
      <c r="J13233" s="788">
        <v>39636</v>
      </c>
      <c r="L13233" s="787">
        <v>25.53</v>
      </c>
      <c r="M13233" s="787">
        <v>20</v>
      </c>
      <c r="N13233" s="787">
        <v>27.44</v>
      </c>
      <c r="O13233" s="788">
        <v>41858</v>
      </c>
    </row>
    <row r="13234" spans="1:15" x14ac:dyDescent="0.25">
      <c r="A13234" s="786" t="s">
        <v>23740</v>
      </c>
      <c r="B13234" s="787">
        <v>4</v>
      </c>
      <c r="C13234" s="787" t="s">
        <v>23741</v>
      </c>
      <c r="D13234" s="787">
        <v>8.76</v>
      </c>
      <c r="E13234" s="787">
        <v>9.5500000000000007</v>
      </c>
      <c r="F13234" s="788">
        <v>40387</v>
      </c>
      <c r="G13234" s="788">
        <v>42013</v>
      </c>
      <c r="H13234" s="787">
        <v>1</v>
      </c>
      <c r="I13234" s="788">
        <v>42086</v>
      </c>
      <c r="J13234" s="788">
        <v>42087</v>
      </c>
      <c r="K13234" s="788">
        <v>40946</v>
      </c>
      <c r="L13234" s="787">
        <v>9.5500000000000007</v>
      </c>
      <c r="M13234" s="787">
        <v>20</v>
      </c>
      <c r="N13234" s="787">
        <v>10.27</v>
      </c>
      <c r="O13234" s="788">
        <v>42146</v>
      </c>
    </row>
    <row r="13235" spans="1:15" x14ac:dyDescent="0.25">
      <c r="A13235" s="786" t="s">
        <v>23742</v>
      </c>
      <c r="B13235" s="787">
        <v>4</v>
      </c>
      <c r="C13235" s="787" t="s">
        <v>23743</v>
      </c>
      <c r="D13235" s="787">
        <v>1.62</v>
      </c>
      <c r="E13235" s="787">
        <v>1.62</v>
      </c>
      <c r="F13235" s="788">
        <v>41578</v>
      </c>
      <c r="G13235" s="788">
        <v>41584</v>
      </c>
      <c r="H13235" s="787">
        <v>1</v>
      </c>
      <c r="J13235" s="788">
        <v>41584</v>
      </c>
      <c r="K13235" s="788">
        <v>41572</v>
      </c>
      <c r="L13235" s="787">
        <v>1.62</v>
      </c>
      <c r="M13235" s="787">
        <v>20</v>
      </c>
      <c r="N13235" s="787">
        <v>1.74</v>
      </c>
      <c r="O13235" s="788">
        <v>41858</v>
      </c>
    </row>
    <row r="13236" spans="1:15" x14ac:dyDescent="0.25">
      <c r="A13236" s="786" t="s">
        <v>23744</v>
      </c>
      <c r="B13236" s="787">
        <v>4</v>
      </c>
      <c r="C13236" s="787" t="s">
        <v>23745</v>
      </c>
      <c r="D13236" s="787">
        <v>5.4</v>
      </c>
      <c r="E13236" s="787">
        <v>125.4</v>
      </c>
      <c r="F13236" s="788">
        <v>41619</v>
      </c>
      <c r="G13236" s="788">
        <v>41617</v>
      </c>
      <c r="H13236" s="787">
        <v>1</v>
      </c>
      <c r="I13236" s="788">
        <v>42082</v>
      </c>
      <c r="J13236" s="788">
        <v>41617</v>
      </c>
      <c r="K13236" s="788">
        <v>41617</v>
      </c>
      <c r="L13236" s="787">
        <v>125.4</v>
      </c>
      <c r="M13236" s="787">
        <v>20</v>
      </c>
      <c r="N13236" s="787">
        <v>134.81</v>
      </c>
      <c r="O13236" s="788">
        <v>42164</v>
      </c>
    </row>
    <row r="13237" spans="1:15" x14ac:dyDescent="0.25">
      <c r="A13237" s="786" t="s">
        <v>23746</v>
      </c>
      <c r="B13237" s="787">
        <v>4</v>
      </c>
      <c r="C13237" s="787" t="s">
        <v>23238</v>
      </c>
      <c r="D13237" s="787">
        <v>0.4</v>
      </c>
      <c r="E13237" s="787">
        <v>73.92</v>
      </c>
      <c r="F13237" s="788">
        <v>41591</v>
      </c>
      <c r="G13237" s="788">
        <v>41962</v>
      </c>
      <c r="H13237" s="787">
        <v>1</v>
      </c>
      <c r="I13237" s="788">
        <v>41948</v>
      </c>
      <c r="J13237" s="788">
        <v>41927</v>
      </c>
      <c r="K13237" s="788">
        <v>41922</v>
      </c>
      <c r="L13237" s="787">
        <v>73.92</v>
      </c>
      <c r="M13237" s="787">
        <v>20</v>
      </c>
      <c r="N13237" s="787">
        <v>79.459999999999994</v>
      </c>
      <c r="O13237" s="788">
        <v>42127</v>
      </c>
    </row>
    <row r="13238" spans="1:15" x14ac:dyDescent="0.25">
      <c r="A13238" s="786" t="s">
        <v>23747</v>
      </c>
      <c r="B13238" s="787">
        <v>4</v>
      </c>
      <c r="C13238" s="787" t="s">
        <v>23748</v>
      </c>
      <c r="D13238" s="787">
        <v>5.72</v>
      </c>
      <c r="E13238" s="787">
        <v>5.72</v>
      </c>
      <c r="F13238" s="788">
        <v>41591</v>
      </c>
      <c r="G13238" s="788">
        <v>41590</v>
      </c>
      <c r="H13238" s="787">
        <v>1</v>
      </c>
      <c r="I13238" s="788">
        <v>42158</v>
      </c>
      <c r="J13238" s="788">
        <v>42146</v>
      </c>
      <c r="K13238" s="788">
        <v>41582</v>
      </c>
      <c r="L13238" s="787">
        <v>5.72</v>
      </c>
      <c r="M13238" s="787">
        <v>20</v>
      </c>
      <c r="N13238" s="787">
        <v>6.15</v>
      </c>
      <c r="O13238" s="788">
        <v>42127</v>
      </c>
    </row>
    <row r="13239" spans="1:15" x14ac:dyDescent="0.25">
      <c r="A13239" s="786" t="s">
        <v>23749</v>
      </c>
      <c r="B13239" s="787">
        <v>4</v>
      </c>
      <c r="C13239" s="787" t="s">
        <v>23750</v>
      </c>
      <c r="D13239" s="787">
        <v>9.9499999999999993</v>
      </c>
      <c r="E13239" s="787">
        <v>39.950000000000003</v>
      </c>
      <c r="F13239" s="788">
        <v>41775</v>
      </c>
      <c r="G13239" s="788">
        <v>42013</v>
      </c>
      <c r="H13239" s="787">
        <v>1</v>
      </c>
      <c r="I13239" s="788">
        <v>41957</v>
      </c>
      <c r="J13239" s="788">
        <v>41774</v>
      </c>
      <c r="K13239" s="788">
        <v>41583</v>
      </c>
      <c r="L13239" s="787">
        <v>39.950000000000003</v>
      </c>
      <c r="M13239" s="787">
        <v>20</v>
      </c>
      <c r="N13239" s="787">
        <v>42.95</v>
      </c>
      <c r="O13239" s="788">
        <v>42127</v>
      </c>
    </row>
    <row r="13240" spans="1:15" x14ac:dyDescent="0.25">
      <c r="A13240" s="786" t="s">
        <v>23751</v>
      </c>
      <c r="B13240" s="787">
        <v>4</v>
      </c>
      <c r="C13240" s="787" t="s">
        <v>23752</v>
      </c>
      <c r="D13240" s="787">
        <v>2.5499999999999998</v>
      </c>
      <c r="E13240" s="787">
        <v>42.55</v>
      </c>
      <c r="F13240" s="788">
        <v>41610</v>
      </c>
      <c r="G13240" s="788">
        <v>41591</v>
      </c>
      <c r="H13240" s="787">
        <v>1</v>
      </c>
      <c r="I13240" s="788">
        <v>41823</v>
      </c>
      <c r="J13240" s="788">
        <v>41814</v>
      </c>
      <c r="K13240" s="788">
        <v>41585</v>
      </c>
      <c r="L13240" s="787">
        <v>42.55</v>
      </c>
      <c r="M13240" s="787">
        <v>20</v>
      </c>
      <c r="N13240" s="787">
        <v>45.74</v>
      </c>
      <c r="O13240" s="788">
        <v>41858</v>
      </c>
    </row>
    <row r="13241" spans="1:15" x14ac:dyDescent="0.25">
      <c r="A13241" s="786" t="s">
        <v>23753</v>
      </c>
      <c r="B13241" s="787">
        <v>4</v>
      </c>
      <c r="C13241" s="787" t="s">
        <v>23754</v>
      </c>
      <c r="D13241" s="787">
        <v>5.9</v>
      </c>
      <c r="E13241" s="787">
        <v>5.9</v>
      </c>
      <c r="F13241" s="788">
        <v>41995</v>
      </c>
      <c r="G13241" s="788">
        <v>41992</v>
      </c>
      <c r="H13241" s="787">
        <v>1</v>
      </c>
      <c r="I13241" s="788">
        <v>42123</v>
      </c>
      <c r="J13241" s="788">
        <v>42124</v>
      </c>
      <c r="K13241" s="788">
        <v>41988</v>
      </c>
      <c r="L13241" s="787">
        <v>7.64</v>
      </c>
      <c r="M13241" s="787">
        <v>20</v>
      </c>
      <c r="N13241" s="787">
        <v>8.2100000000000009</v>
      </c>
      <c r="O13241" s="788">
        <v>42111</v>
      </c>
    </row>
    <row r="13242" spans="1:15" x14ac:dyDescent="0.25">
      <c r="A13242" s="786" t="s">
        <v>23755</v>
      </c>
      <c r="B13242" s="787">
        <v>4</v>
      </c>
      <c r="C13242" s="787" t="s">
        <v>23756</v>
      </c>
      <c r="D13242" s="787">
        <v>5.8</v>
      </c>
      <c r="E13242" s="787">
        <v>155.80000000000001</v>
      </c>
      <c r="F13242" s="788">
        <v>42102</v>
      </c>
      <c r="G13242" s="788">
        <v>42101</v>
      </c>
      <c r="H13242" s="787">
        <v>1</v>
      </c>
      <c r="J13242" s="788">
        <v>42101</v>
      </c>
      <c r="K13242" s="788">
        <v>42090</v>
      </c>
      <c r="L13242" s="787">
        <v>155.80000000000001</v>
      </c>
      <c r="M13242" s="787">
        <v>20</v>
      </c>
      <c r="N13242" s="787">
        <v>128.51</v>
      </c>
      <c r="O13242" s="788">
        <v>41858</v>
      </c>
    </row>
    <row r="13243" spans="1:15" x14ac:dyDescent="0.25">
      <c r="A13243" s="786" t="s">
        <v>23757</v>
      </c>
      <c r="B13243" s="787">
        <v>4</v>
      </c>
      <c r="C13243" s="787" t="s">
        <v>23758</v>
      </c>
      <c r="D13243" s="787">
        <v>6.39</v>
      </c>
      <c r="E13243" s="787">
        <v>76.39</v>
      </c>
      <c r="F13243" s="788">
        <v>41863</v>
      </c>
      <c r="G13243" s="788">
        <v>41865</v>
      </c>
      <c r="H13243" s="787">
        <v>1</v>
      </c>
      <c r="I13243" s="788">
        <v>41864</v>
      </c>
      <c r="J13243" s="788">
        <v>41858</v>
      </c>
      <c r="K13243" s="788">
        <v>41988</v>
      </c>
      <c r="L13243" s="787">
        <v>76.39</v>
      </c>
      <c r="M13243" s="787">
        <v>20</v>
      </c>
      <c r="N13243" s="787">
        <v>81.84</v>
      </c>
      <c r="O13243" s="788">
        <v>41858</v>
      </c>
    </row>
    <row r="13244" spans="1:15" x14ac:dyDescent="0.25">
      <c r="A13244" s="786" t="s">
        <v>23759</v>
      </c>
      <c r="B13244" s="787">
        <v>4</v>
      </c>
      <c r="C13244" s="787" t="s">
        <v>23760</v>
      </c>
      <c r="D13244" s="787">
        <v>6.98</v>
      </c>
      <c r="E13244" s="787">
        <v>9.07</v>
      </c>
      <c r="F13244" s="788">
        <v>41863</v>
      </c>
      <c r="G13244" s="788">
        <v>42101</v>
      </c>
      <c r="H13244" s="787">
        <v>1</v>
      </c>
      <c r="I13244" s="788">
        <v>41864</v>
      </c>
      <c r="J13244" s="788">
        <v>42101</v>
      </c>
      <c r="K13244" s="788">
        <v>42090</v>
      </c>
      <c r="L13244" s="787">
        <v>9.07</v>
      </c>
      <c r="M13244" s="787">
        <v>20</v>
      </c>
      <c r="N13244" s="787">
        <v>7.48</v>
      </c>
      <c r="O13244" s="788">
        <v>41858</v>
      </c>
    </row>
    <row r="13245" spans="1:15" x14ac:dyDescent="0.25">
      <c r="A13245" s="786" t="s">
        <v>23761</v>
      </c>
      <c r="B13245" s="787">
        <v>4</v>
      </c>
      <c r="C13245" s="787" t="s">
        <v>23762</v>
      </c>
      <c r="D13245" s="787">
        <v>8.1</v>
      </c>
      <c r="E13245" s="787">
        <v>198.1</v>
      </c>
      <c r="F13245" s="788">
        <v>42102</v>
      </c>
      <c r="G13245" s="788">
        <v>42101</v>
      </c>
      <c r="H13245" s="787">
        <v>1</v>
      </c>
      <c r="J13245" s="788">
        <v>42101</v>
      </c>
      <c r="K13245" s="788">
        <v>41845</v>
      </c>
      <c r="L13245" s="787">
        <v>198.1</v>
      </c>
      <c r="M13245" s="787">
        <v>20</v>
      </c>
      <c r="N13245" s="787">
        <v>212.96</v>
      </c>
      <c r="O13245" s="788">
        <v>41858</v>
      </c>
    </row>
    <row r="13246" spans="1:15" x14ac:dyDescent="0.25">
      <c r="A13246" s="786" t="s">
        <v>23763</v>
      </c>
      <c r="B13246" s="787">
        <v>4</v>
      </c>
      <c r="C13246" s="787" t="s">
        <v>23764</v>
      </c>
      <c r="D13246" s="787">
        <v>0.84</v>
      </c>
      <c r="E13246" s="787">
        <v>20.84</v>
      </c>
      <c r="F13246" s="788">
        <v>41691</v>
      </c>
      <c r="G13246" s="788">
        <v>41682</v>
      </c>
      <c r="H13246" s="787">
        <v>1</v>
      </c>
      <c r="J13246" s="788">
        <v>41682</v>
      </c>
      <c r="K13246" s="788">
        <v>41681</v>
      </c>
      <c r="L13246" s="787">
        <v>20.84</v>
      </c>
      <c r="M13246" s="787">
        <v>20</v>
      </c>
      <c r="N13246" s="787">
        <v>22.4</v>
      </c>
      <c r="O13246" s="788">
        <v>41858</v>
      </c>
    </row>
    <row r="13247" spans="1:15" x14ac:dyDescent="0.25">
      <c r="A13247" s="786" t="s">
        <v>23765</v>
      </c>
      <c r="B13247" s="787">
        <v>4</v>
      </c>
      <c r="C13247" s="787" t="s">
        <v>23766</v>
      </c>
      <c r="D13247" s="787">
        <v>6.55</v>
      </c>
      <c r="E13247" s="787">
        <v>6.55</v>
      </c>
      <c r="F13247" s="788">
        <v>41698</v>
      </c>
      <c r="G13247" s="788">
        <v>41689</v>
      </c>
      <c r="H13247" s="787">
        <v>1</v>
      </c>
      <c r="J13247" s="788">
        <v>41689</v>
      </c>
      <c r="K13247" s="788">
        <v>41681</v>
      </c>
      <c r="L13247" s="787">
        <v>6.55</v>
      </c>
      <c r="M13247" s="787">
        <v>20</v>
      </c>
      <c r="N13247" s="787">
        <v>7.04</v>
      </c>
      <c r="O13247" s="788">
        <v>41858</v>
      </c>
    </row>
    <row r="13248" spans="1:15" x14ac:dyDescent="0.25">
      <c r="A13248" s="786" t="s">
        <v>23767</v>
      </c>
      <c r="B13248" s="787">
        <v>4</v>
      </c>
      <c r="C13248" s="787" t="s">
        <v>23768</v>
      </c>
      <c r="D13248" s="787">
        <v>8.9</v>
      </c>
      <c r="E13248" s="787">
        <v>108.9</v>
      </c>
      <c r="F13248" s="788">
        <v>41691</v>
      </c>
      <c r="G13248" s="788">
        <v>41682</v>
      </c>
      <c r="H13248" s="787">
        <v>1</v>
      </c>
      <c r="J13248" s="788">
        <v>41682</v>
      </c>
      <c r="K13248" s="788">
        <v>41681</v>
      </c>
      <c r="L13248" s="787">
        <v>108.9</v>
      </c>
      <c r="M13248" s="787">
        <v>20</v>
      </c>
      <c r="N13248" s="787">
        <v>117.07</v>
      </c>
      <c r="O13248" s="788">
        <v>41858</v>
      </c>
    </row>
    <row r="13249" spans="1:15" x14ac:dyDescent="0.25">
      <c r="A13249" s="786" t="s">
        <v>23769</v>
      </c>
      <c r="B13249" s="787">
        <v>4</v>
      </c>
      <c r="C13249" s="787" t="s">
        <v>23770</v>
      </c>
      <c r="D13249" s="787">
        <v>0.28000000000000003</v>
      </c>
      <c r="E13249" s="787">
        <v>20.28</v>
      </c>
      <c r="F13249" s="788">
        <v>41691</v>
      </c>
      <c r="G13249" s="788">
        <v>41682</v>
      </c>
      <c r="H13249" s="787">
        <v>1</v>
      </c>
      <c r="J13249" s="788">
        <v>41682</v>
      </c>
      <c r="K13249" s="788">
        <v>41681</v>
      </c>
      <c r="L13249" s="787">
        <v>20.28</v>
      </c>
      <c r="M13249" s="787">
        <v>20</v>
      </c>
      <c r="N13249" s="787">
        <v>21.8</v>
      </c>
      <c r="O13249" s="788">
        <v>41858</v>
      </c>
    </row>
    <row r="13250" spans="1:15" x14ac:dyDescent="0.25">
      <c r="A13250" s="786" t="s">
        <v>23771</v>
      </c>
      <c r="B13250" s="787">
        <v>4</v>
      </c>
      <c r="C13250" s="787" t="s">
        <v>23772</v>
      </c>
      <c r="D13250" s="787">
        <v>4.68</v>
      </c>
      <c r="E13250" s="787">
        <v>4.68</v>
      </c>
      <c r="F13250" s="788">
        <v>41691</v>
      </c>
      <c r="G13250" s="788">
        <v>41682</v>
      </c>
      <c r="H13250" s="787">
        <v>1</v>
      </c>
      <c r="J13250" s="788">
        <v>41682</v>
      </c>
      <c r="K13250" s="788">
        <v>41681</v>
      </c>
      <c r="L13250" s="787">
        <v>4.68</v>
      </c>
      <c r="M13250" s="787">
        <v>20</v>
      </c>
      <c r="N13250" s="787">
        <v>5.03</v>
      </c>
      <c r="O13250" s="788">
        <v>41858</v>
      </c>
    </row>
    <row r="13251" spans="1:15" x14ac:dyDescent="0.25">
      <c r="A13251" s="786" t="s">
        <v>23773</v>
      </c>
      <c r="B13251" s="787">
        <v>4</v>
      </c>
      <c r="C13251" s="787" t="s">
        <v>23774</v>
      </c>
      <c r="D13251" s="787">
        <v>3.16</v>
      </c>
      <c r="E13251" s="787">
        <v>3.16</v>
      </c>
      <c r="F13251" s="788">
        <v>41691</v>
      </c>
      <c r="G13251" s="788">
        <v>41682</v>
      </c>
      <c r="H13251" s="787">
        <v>1</v>
      </c>
      <c r="J13251" s="788">
        <v>41682</v>
      </c>
      <c r="K13251" s="788">
        <v>41681</v>
      </c>
      <c r="L13251" s="787">
        <v>3.16</v>
      </c>
      <c r="M13251" s="787">
        <v>20</v>
      </c>
      <c r="N13251" s="787">
        <v>3.4</v>
      </c>
      <c r="O13251" s="788">
        <v>41858</v>
      </c>
    </row>
    <row r="13252" spans="1:15" x14ac:dyDescent="0.25">
      <c r="A13252" s="786" t="s">
        <v>23775</v>
      </c>
      <c r="B13252" s="787">
        <v>4</v>
      </c>
      <c r="C13252" s="787" t="s">
        <v>23776</v>
      </c>
      <c r="D13252" s="787">
        <v>0</v>
      </c>
      <c r="E13252" s="787">
        <v>0</v>
      </c>
      <c r="G13252" s="788">
        <v>41688</v>
      </c>
      <c r="H13252" s="787">
        <v>1</v>
      </c>
      <c r="J13252" s="788">
        <v>41688</v>
      </c>
      <c r="K13252" s="788">
        <v>41684</v>
      </c>
      <c r="L13252" s="787">
        <v>24.06</v>
      </c>
      <c r="M13252" s="787">
        <v>20</v>
      </c>
      <c r="N13252" s="787">
        <v>25.86</v>
      </c>
      <c r="O13252" s="788">
        <v>41858</v>
      </c>
    </row>
    <row r="13253" spans="1:15" x14ac:dyDescent="0.25">
      <c r="A13253" s="786" t="s">
        <v>23777</v>
      </c>
      <c r="B13253" s="787">
        <v>4</v>
      </c>
      <c r="C13253" s="787" t="s">
        <v>23778</v>
      </c>
      <c r="D13253" s="787">
        <v>8.3800000000000008</v>
      </c>
      <c r="E13253" s="787">
        <v>8.3800000000000008</v>
      </c>
      <c r="F13253" s="788">
        <v>41697</v>
      </c>
      <c r="G13253" s="788">
        <v>41758</v>
      </c>
      <c r="H13253" s="787">
        <v>1</v>
      </c>
      <c r="I13253" s="788">
        <v>41894</v>
      </c>
      <c r="J13253" s="788">
        <v>41698</v>
      </c>
      <c r="K13253" s="788">
        <v>41681</v>
      </c>
      <c r="L13253" s="787">
        <v>9.08</v>
      </c>
      <c r="M13253" s="787">
        <v>20</v>
      </c>
      <c r="N13253" s="787">
        <v>9.76</v>
      </c>
      <c r="O13253" s="788">
        <v>41858</v>
      </c>
    </row>
    <row r="13254" spans="1:15" x14ac:dyDescent="0.25">
      <c r="A13254" s="786" t="s">
        <v>23779</v>
      </c>
      <c r="B13254" s="787">
        <v>4</v>
      </c>
      <c r="C13254" s="787" t="s">
        <v>23780</v>
      </c>
      <c r="D13254" s="787">
        <v>5.37</v>
      </c>
      <c r="E13254" s="787">
        <v>5.37</v>
      </c>
      <c r="F13254" s="788">
        <v>41691</v>
      </c>
      <c r="G13254" s="788">
        <v>41758</v>
      </c>
      <c r="H13254" s="787">
        <v>1</v>
      </c>
      <c r="J13254" s="788">
        <v>41682</v>
      </c>
      <c r="K13254" s="788">
        <v>41681</v>
      </c>
      <c r="L13254" s="787">
        <v>5.37</v>
      </c>
      <c r="M13254" s="787">
        <v>20</v>
      </c>
      <c r="N13254" s="787">
        <v>5.77</v>
      </c>
      <c r="O13254" s="788">
        <v>41858</v>
      </c>
    </row>
    <row r="13255" spans="1:15" x14ac:dyDescent="0.25">
      <c r="A13255" s="786" t="s">
        <v>23781</v>
      </c>
      <c r="B13255" s="787">
        <v>4</v>
      </c>
      <c r="C13255" s="787" t="s">
        <v>23782</v>
      </c>
      <c r="D13255" s="787">
        <v>2</v>
      </c>
      <c r="E13255" s="787">
        <v>112</v>
      </c>
      <c r="F13255" s="788">
        <v>41698</v>
      </c>
      <c r="G13255" s="788">
        <v>41689</v>
      </c>
      <c r="H13255" s="787">
        <v>1</v>
      </c>
      <c r="J13255" s="788">
        <v>41689</v>
      </c>
      <c r="K13255" s="788">
        <v>41688</v>
      </c>
      <c r="L13255" s="787">
        <v>111.6</v>
      </c>
      <c r="M13255" s="787">
        <v>20</v>
      </c>
      <c r="N13255" s="787">
        <v>119.97</v>
      </c>
      <c r="O13255" s="788">
        <v>41858</v>
      </c>
    </row>
    <row r="13256" spans="1:15" x14ac:dyDescent="0.25">
      <c r="A13256" s="786" t="s">
        <v>23783</v>
      </c>
      <c r="B13256" s="787">
        <v>4</v>
      </c>
      <c r="C13256" s="787" t="s">
        <v>23784</v>
      </c>
      <c r="D13256" s="787">
        <v>2.14</v>
      </c>
      <c r="E13256" s="787">
        <v>12.14</v>
      </c>
      <c r="F13256" s="788">
        <v>41702</v>
      </c>
      <c r="G13256" s="788">
        <v>41695</v>
      </c>
      <c r="H13256" s="787">
        <v>1</v>
      </c>
      <c r="I13256" s="788">
        <v>41894</v>
      </c>
      <c r="J13256" s="788">
        <v>41849</v>
      </c>
      <c r="K13256" s="788">
        <v>41688</v>
      </c>
      <c r="L13256" s="787">
        <v>12.14</v>
      </c>
      <c r="M13256" s="787">
        <v>20</v>
      </c>
      <c r="N13256" s="787">
        <v>13.05</v>
      </c>
      <c r="O13256" s="788">
        <v>41858</v>
      </c>
    </row>
    <row r="13257" spans="1:15" x14ac:dyDescent="0.25">
      <c r="A13257" s="786" t="s">
        <v>23785</v>
      </c>
      <c r="B13257" s="787">
        <v>4</v>
      </c>
      <c r="C13257" s="787" t="s">
        <v>23786</v>
      </c>
      <c r="D13257" s="787">
        <v>2.97</v>
      </c>
      <c r="E13257" s="787">
        <v>22.97</v>
      </c>
      <c r="F13257" s="788">
        <v>41827</v>
      </c>
      <c r="G13257" s="788">
        <v>41838</v>
      </c>
      <c r="H13257" s="787">
        <v>1</v>
      </c>
      <c r="I13257" s="788">
        <v>41837</v>
      </c>
      <c r="J13257" s="788">
        <v>41838</v>
      </c>
      <c r="K13257" s="788">
        <v>41817</v>
      </c>
      <c r="L13257" s="787">
        <v>22.97</v>
      </c>
      <c r="M13257" s="787">
        <v>20</v>
      </c>
      <c r="N13257" s="787">
        <v>24.69</v>
      </c>
      <c r="O13257" s="788">
        <v>41858</v>
      </c>
    </row>
    <row r="13258" spans="1:15" x14ac:dyDescent="0.25">
      <c r="A13258" s="786" t="s">
        <v>23787</v>
      </c>
      <c r="B13258" s="787">
        <v>4</v>
      </c>
      <c r="C13258" s="787" t="s">
        <v>23788</v>
      </c>
      <c r="D13258" s="787">
        <v>0.25</v>
      </c>
      <c r="E13258" s="787">
        <v>10.56</v>
      </c>
      <c r="F13258" s="788">
        <v>41906</v>
      </c>
      <c r="G13258" s="788">
        <v>41943</v>
      </c>
      <c r="H13258" s="787">
        <v>1</v>
      </c>
      <c r="I13258" s="788">
        <v>42124</v>
      </c>
      <c r="J13258" s="788">
        <v>42115</v>
      </c>
      <c r="K13258" s="788">
        <v>41970</v>
      </c>
      <c r="L13258" s="787">
        <v>10.56</v>
      </c>
      <c r="M13258" s="787">
        <v>20</v>
      </c>
      <c r="N13258" s="787">
        <v>37.630000000000003</v>
      </c>
      <c r="O13258" s="788">
        <v>41897</v>
      </c>
    </row>
    <row r="13259" spans="1:15" x14ac:dyDescent="0.25">
      <c r="A13259" s="786" t="s">
        <v>23789</v>
      </c>
      <c r="B13259" s="787">
        <v>4</v>
      </c>
      <c r="C13259" s="787" t="s">
        <v>23790</v>
      </c>
      <c r="D13259" s="787">
        <v>0</v>
      </c>
      <c r="E13259" s="787">
        <v>923.8</v>
      </c>
      <c r="G13259" s="788">
        <v>42016</v>
      </c>
      <c r="H13259" s="787">
        <v>1</v>
      </c>
      <c r="J13259" s="788">
        <v>42016</v>
      </c>
      <c r="K13259" s="788">
        <v>42012</v>
      </c>
      <c r="L13259" s="787">
        <v>923.8</v>
      </c>
      <c r="M13259" s="787">
        <v>20</v>
      </c>
      <c r="N13259" s="787">
        <v>993.09</v>
      </c>
      <c r="O13259" s="788">
        <v>42012</v>
      </c>
    </row>
    <row r="13260" spans="1:15" x14ac:dyDescent="0.25">
      <c r="A13260" s="786" t="s">
        <v>23791</v>
      </c>
      <c r="B13260" s="787">
        <v>4</v>
      </c>
      <c r="C13260" s="787" t="s">
        <v>23792</v>
      </c>
      <c r="D13260" s="787">
        <v>0</v>
      </c>
      <c r="E13260" s="787">
        <v>266.60000000000002</v>
      </c>
      <c r="G13260" s="788">
        <v>42016</v>
      </c>
      <c r="H13260" s="787">
        <v>1</v>
      </c>
      <c r="J13260" s="788">
        <v>42016</v>
      </c>
      <c r="K13260" s="788">
        <v>42012</v>
      </c>
      <c r="L13260" s="787">
        <v>266.60000000000002</v>
      </c>
      <c r="M13260" s="787">
        <v>20</v>
      </c>
      <c r="N13260" s="787">
        <v>286.60000000000002</v>
      </c>
      <c r="O13260" s="788">
        <v>42012</v>
      </c>
    </row>
    <row r="13261" spans="1:15" x14ac:dyDescent="0.25">
      <c r="A13261" s="786" t="s">
        <v>23793</v>
      </c>
      <c r="B13261" s="787">
        <v>4</v>
      </c>
      <c r="C13261" s="787" t="s">
        <v>23794</v>
      </c>
      <c r="D13261" s="787">
        <v>0</v>
      </c>
      <c r="E13261" s="787">
        <v>130.19999999999999</v>
      </c>
      <c r="G13261" s="788">
        <v>42016</v>
      </c>
      <c r="H13261" s="787">
        <v>1</v>
      </c>
      <c r="J13261" s="788">
        <v>42016</v>
      </c>
      <c r="K13261" s="788">
        <v>42012</v>
      </c>
      <c r="L13261" s="787">
        <v>130.19999999999999</v>
      </c>
      <c r="M13261" s="787">
        <v>20</v>
      </c>
      <c r="N13261" s="787">
        <v>139.97</v>
      </c>
      <c r="O13261" s="788">
        <v>42012</v>
      </c>
    </row>
    <row r="13262" spans="1:15" x14ac:dyDescent="0.25">
      <c r="A13262" s="786" t="s">
        <v>23795</v>
      </c>
      <c r="B13262" s="787">
        <v>4</v>
      </c>
      <c r="C13262" s="787" t="s">
        <v>23796</v>
      </c>
      <c r="D13262" s="787">
        <v>0</v>
      </c>
      <c r="E13262" s="789">
        <v>13020</v>
      </c>
      <c r="G13262" s="788">
        <v>42016</v>
      </c>
      <c r="H13262" s="787">
        <v>1</v>
      </c>
      <c r="J13262" s="788">
        <v>42016</v>
      </c>
      <c r="K13262" s="788">
        <v>42012</v>
      </c>
      <c r="L13262" s="787">
        <v>130.19999999999999</v>
      </c>
      <c r="M13262" s="787">
        <v>20</v>
      </c>
      <c r="N13262" s="787">
        <v>139.97</v>
      </c>
      <c r="O13262" s="788">
        <v>42012</v>
      </c>
    </row>
    <row r="13263" spans="1:15" x14ac:dyDescent="0.25">
      <c r="A13263" s="786" t="s">
        <v>23797</v>
      </c>
      <c r="B13263" s="787">
        <v>4</v>
      </c>
      <c r="C13263" s="787" t="s">
        <v>23798</v>
      </c>
      <c r="D13263" s="787">
        <v>4.5</v>
      </c>
      <c r="E13263" s="787">
        <v>264.5</v>
      </c>
      <c r="F13263" s="788">
        <v>42123</v>
      </c>
      <c r="G13263" s="788">
        <v>42146</v>
      </c>
      <c r="H13263" s="787">
        <v>1</v>
      </c>
      <c r="J13263" s="788">
        <v>42118</v>
      </c>
      <c r="K13263" s="788">
        <v>42012</v>
      </c>
      <c r="L13263" s="787">
        <v>264.2</v>
      </c>
      <c r="M13263" s="787">
        <v>20</v>
      </c>
      <c r="N13263" s="787">
        <v>284.02</v>
      </c>
      <c r="O13263" s="788">
        <v>42012</v>
      </c>
    </row>
    <row r="13264" spans="1:15" x14ac:dyDescent="0.25">
      <c r="A13264" s="786" t="s">
        <v>23799</v>
      </c>
      <c r="B13264" s="787">
        <v>4</v>
      </c>
      <c r="C13264" s="787" t="s">
        <v>23800</v>
      </c>
      <c r="D13264" s="787">
        <v>0</v>
      </c>
      <c r="E13264" s="787">
        <v>114.8</v>
      </c>
      <c r="G13264" s="788">
        <v>42016</v>
      </c>
      <c r="H13264" s="787">
        <v>1</v>
      </c>
      <c r="J13264" s="788">
        <v>42016</v>
      </c>
      <c r="K13264" s="788">
        <v>42012</v>
      </c>
      <c r="L13264" s="787">
        <v>114.7</v>
      </c>
      <c r="M13264" s="787">
        <v>20</v>
      </c>
      <c r="N13264" s="787">
        <v>123.3</v>
      </c>
      <c r="O13264" s="788">
        <v>42012</v>
      </c>
    </row>
    <row r="13265" spans="1:15" x14ac:dyDescent="0.25">
      <c r="A13265" s="786" t="s">
        <v>23801</v>
      </c>
      <c r="B13265" s="787">
        <v>4</v>
      </c>
      <c r="C13265" s="787" t="s">
        <v>23802</v>
      </c>
      <c r="D13265" s="787">
        <v>7.4</v>
      </c>
      <c r="E13265" s="787">
        <v>277.39999999999998</v>
      </c>
      <c r="F13265" s="788">
        <v>42135</v>
      </c>
      <c r="G13265" s="788">
        <v>42156</v>
      </c>
      <c r="H13265" s="787">
        <v>1</v>
      </c>
      <c r="J13265" s="788">
        <v>42130</v>
      </c>
      <c r="K13265" s="788">
        <v>42128</v>
      </c>
      <c r="L13265" s="787">
        <v>270</v>
      </c>
      <c r="M13265" s="787">
        <v>20</v>
      </c>
      <c r="N13265" s="787">
        <v>0</v>
      </c>
    </row>
    <row r="13266" spans="1:15" x14ac:dyDescent="0.25">
      <c r="A13266" s="786" t="s">
        <v>23803</v>
      </c>
      <c r="B13266" s="787">
        <v>4</v>
      </c>
      <c r="C13266" s="787" t="s">
        <v>23804</v>
      </c>
      <c r="D13266" s="787">
        <v>4.3600000000000003</v>
      </c>
      <c r="E13266" s="787">
        <v>100</v>
      </c>
      <c r="F13266" s="788">
        <v>37641</v>
      </c>
      <c r="G13266" s="788">
        <v>37641</v>
      </c>
      <c r="H13266" s="787">
        <v>1</v>
      </c>
      <c r="I13266" s="788">
        <v>38250</v>
      </c>
      <c r="J13266" s="788">
        <v>38180</v>
      </c>
      <c r="L13266" s="787">
        <v>109</v>
      </c>
      <c r="M13266" s="787">
        <v>20</v>
      </c>
      <c r="N13266" s="787">
        <v>117.18</v>
      </c>
      <c r="O13266" s="788">
        <v>41858</v>
      </c>
    </row>
    <row r="13267" spans="1:15" x14ac:dyDescent="0.25">
      <c r="A13267" s="786" t="s">
        <v>23805</v>
      </c>
      <c r="B13267" s="787">
        <v>4</v>
      </c>
      <c r="C13267" s="787" t="s">
        <v>23806</v>
      </c>
      <c r="D13267" s="787">
        <v>3.75</v>
      </c>
      <c r="E13267" s="787">
        <v>85</v>
      </c>
      <c r="F13267" s="788">
        <v>37641</v>
      </c>
      <c r="G13267" s="788">
        <v>38882</v>
      </c>
      <c r="H13267" s="787">
        <v>1</v>
      </c>
      <c r="I13267" s="788">
        <v>38882</v>
      </c>
      <c r="J13267" s="788">
        <v>39114</v>
      </c>
      <c r="L13267" s="787">
        <v>85</v>
      </c>
      <c r="M13267" s="787">
        <v>20</v>
      </c>
      <c r="N13267" s="787">
        <v>91.38</v>
      </c>
      <c r="O13267" s="788">
        <v>41858</v>
      </c>
    </row>
    <row r="13268" spans="1:15" x14ac:dyDescent="0.25">
      <c r="A13268" s="786" t="s">
        <v>23807</v>
      </c>
      <c r="B13268" s="787">
        <v>4</v>
      </c>
      <c r="C13268" s="787" t="s">
        <v>23808</v>
      </c>
      <c r="D13268" s="787">
        <v>9.16</v>
      </c>
      <c r="E13268" s="787">
        <v>229.16</v>
      </c>
      <c r="F13268" s="788">
        <v>38881</v>
      </c>
      <c r="G13268" s="788">
        <v>38881</v>
      </c>
      <c r="H13268" s="787">
        <v>1</v>
      </c>
      <c r="I13268" s="788">
        <v>39134</v>
      </c>
      <c r="J13268" s="788">
        <v>38875</v>
      </c>
      <c r="L13268" s="787">
        <v>229.16</v>
      </c>
      <c r="M13268" s="787">
        <v>20</v>
      </c>
      <c r="N13268" s="787">
        <v>246.35</v>
      </c>
      <c r="O13268" s="788">
        <v>41858</v>
      </c>
    </row>
    <row r="13269" spans="1:15" x14ac:dyDescent="0.25">
      <c r="A13269" s="786" t="s">
        <v>23809</v>
      </c>
      <c r="B13269" s="787">
        <v>4</v>
      </c>
      <c r="C13269" s="787" t="s">
        <v>23810</v>
      </c>
      <c r="D13269" s="787">
        <v>6</v>
      </c>
      <c r="E13269" s="787">
        <v>65.209999999999994</v>
      </c>
      <c r="F13269" s="788">
        <v>39986</v>
      </c>
      <c r="G13269" s="788">
        <v>40786</v>
      </c>
      <c r="H13269" s="787">
        <v>1</v>
      </c>
      <c r="I13269" s="788">
        <v>42158</v>
      </c>
      <c r="J13269" s="788">
        <v>42153</v>
      </c>
      <c r="L13269" s="787">
        <v>85.27</v>
      </c>
      <c r="M13269" s="787">
        <v>20</v>
      </c>
      <c r="N13269" s="787">
        <v>91.67</v>
      </c>
      <c r="O13269" s="788">
        <v>41858</v>
      </c>
    </row>
    <row r="13270" spans="1:15" x14ac:dyDescent="0.25">
      <c r="A13270" s="786" t="s">
        <v>23811</v>
      </c>
      <c r="B13270" s="787">
        <v>4</v>
      </c>
      <c r="C13270" s="787" t="s">
        <v>23812</v>
      </c>
      <c r="D13270" s="787">
        <v>5.81</v>
      </c>
      <c r="E13270" s="787">
        <v>5.81</v>
      </c>
      <c r="F13270" s="788">
        <v>41610</v>
      </c>
      <c r="G13270" s="788">
        <v>41642</v>
      </c>
      <c r="H13270" s="787">
        <v>1</v>
      </c>
      <c r="I13270" s="788">
        <v>41894</v>
      </c>
      <c r="J13270" s="788">
        <v>41606</v>
      </c>
      <c r="K13270" s="788">
        <v>41604</v>
      </c>
      <c r="L13270" s="787">
        <v>5.81</v>
      </c>
      <c r="M13270" s="787">
        <v>20</v>
      </c>
      <c r="N13270" s="787">
        <v>6.25</v>
      </c>
      <c r="O13270" s="788">
        <v>42111</v>
      </c>
    </row>
    <row r="13271" spans="1:15" x14ac:dyDescent="0.25">
      <c r="A13271" s="786" t="s">
        <v>23813</v>
      </c>
      <c r="B13271" s="787">
        <v>4</v>
      </c>
      <c r="C13271" s="787" t="s">
        <v>22975</v>
      </c>
      <c r="D13271" s="787">
        <v>2.48</v>
      </c>
      <c r="E13271" s="787">
        <v>2.5499999999999998</v>
      </c>
      <c r="F13271" s="788">
        <v>41834</v>
      </c>
      <c r="G13271" s="788">
        <v>42009</v>
      </c>
      <c r="H13271" s="787">
        <v>1</v>
      </c>
      <c r="I13271" s="788">
        <v>42110</v>
      </c>
      <c r="J13271" s="788">
        <v>42111</v>
      </c>
      <c r="K13271" s="788">
        <v>41983</v>
      </c>
      <c r="L13271" s="787">
        <v>2.5499999999999998</v>
      </c>
      <c r="M13271" s="787">
        <v>20</v>
      </c>
      <c r="N13271" s="787">
        <v>2.74</v>
      </c>
      <c r="O13271" s="788">
        <v>42146</v>
      </c>
    </row>
    <row r="13272" spans="1:15" x14ac:dyDescent="0.25">
      <c r="A13272" s="786" t="s">
        <v>23814</v>
      </c>
      <c r="B13272" s="787">
        <v>4</v>
      </c>
      <c r="C13272" s="787" t="s">
        <v>23815</v>
      </c>
      <c r="D13272" s="787">
        <v>4.4000000000000004</v>
      </c>
      <c r="E13272" s="787">
        <v>194.4</v>
      </c>
      <c r="F13272" s="788">
        <v>41098</v>
      </c>
      <c r="G13272" s="788">
        <v>41682</v>
      </c>
      <c r="H13272" s="787">
        <v>1</v>
      </c>
      <c r="I13272" s="788">
        <v>41680</v>
      </c>
      <c r="J13272" s="788">
        <v>41682</v>
      </c>
      <c r="L13272" s="787">
        <v>216.19</v>
      </c>
      <c r="M13272" s="787">
        <v>20</v>
      </c>
      <c r="N13272" s="787">
        <v>232.4</v>
      </c>
      <c r="O13272" s="788">
        <v>41858</v>
      </c>
    </row>
    <row r="13273" spans="1:15" x14ac:dyDescent="0.25">
      <c r="A13273" s="786" t="s">
        <v>23816</v>
      </c>
      <c r="B13273" s="787">
        <v>4</v>
      </c>
      <c r="C13273" s="787" t="s">
        <v>23817</v>
      </c>
      <c r="D13273" s="787">
        <v>3.45</v>
      </c>
      <c r="E13273" s="787">
        <v>93.45</v>
      </c>
      <c r="F13273" s="788">
        <v>38166</v>
      </c>
      <c r="G13273" s="788">
        <v>38166</v>
      </c>
      <c r="H13273" s="787">
        <v>1</v>
      </c>
      <c r="I13273" s="788">
        <v>37042</v>
      </c>
      <c r="J13273" s="788">
        <v>38160</v>
      </c>
      <c r="L13273" s="787">
        <v>101.86</v>
      </c>
      <c r="M13273" s="787">
        <v>20</v>
      </c>
      <c r="N13273" s="787">
        <v>109.5</v>
      </c>
      <c r="O13273" s="788">
        <v>41858</v>
      </c>
    </row>
    <row r="13274" spans="1:15" x14ac:dyDescent="0.25">
      <c r="A13274" s="786" t="s">
        <v>23818</v>
      </c>
      <c r="B13274" s="787">
        <v>4</v>
      </c>
      <c r="C13274" s="787" t="s">
        <v>23819</v>
      </c>
      <c r="D13274" s="787">
        <v>3.81</v>
      </c>
      <c r="E13274" s="787">
        <v>163.81</v>
      </c>
      <c r="F13274" s="788">
        <v>38180</v>
      </c>
      <c r="G13274" s="788">
        <v>38180</v>
      </c>
      <c r="H13274" s="787">
        <v>1</v>
      </c>
      <c r="J13274" s="788">
        <v>38175</v>
      </c>
      <c r="L13274" s="787">
        <v>178.55</v>
      </c>
      <c r="M13274" s="787">
        <v>20</v>
      </c>
      <c r="N13274" s="787">
        <v>191.94</v>
      </c>
      <c r="O13274" s="788">
        <v>41858</v>
      </c>
    </row>
    <row r="13275" spans="1:15" x14ac:dyDescent="0.25">
      <c r="A13275" s="786" t="s">
        <v>23820</v>
      </c>
      <c r="B13275" s="787">
        <v>4</v>
      </c>
      <c r="C13275" s="787" t="s">
        <v>23821</v>
      </c>
      <c r="D13275" s="787">
        <v>5</v>
      </c>
      <c r="E13275" s="787">
        <v>25</v>
      </c>
      <c r="F13275" s="788">
        <v>39101</v>
      </c>
      <c r="G13275" s="788">
        <v>39101</v>
      </c>
      <c r="H13275" s="787">
        <v>1</v>
      </c>
      <c r="I13275" s="788">
        <v>39433</v>
      </c>
      <c r="J13275" s="788">
        <v>39149</v>
      </c>
      <c r="L13275" s="787">
        <v>27.25</v>
      </c>
      <c r="M13275" s="787">
        <v>20</v>
      </c>
      <c r="N13275" s="787">
        <v>29.29</v>
      </c>
      <c r="O13275" s="788">
        <v>41858</v>
      </c>
    </row>
    <row r="13276" spans="1:15" x14ac:dyDescent="0.25">
      <c r="A13276" s="786" t="s">
        <v>23822</v>
      </c>
      <c r="B13276" s="787">
        <v>4</v>
      </c>
      <c r="C13276" s="787" t="s">
        <v>23823</v>
      </c>
      <c r="D13276" s="787">
        <v>2</v>
      </c>
      <c r="E13276" s="787">
        <v>194.4</v>
      </c>
      <c r="F13276" s="788">
        <v>39154</v>
      </c>
      <c r="G13276" s="788">
        <v>41298</v>
      </c>
      <c r="H13276" s="787">
        <v>1</v>
      </c>
      <c r="I13276" s="788">
        <v>41621</v>
      </c>
      <c r="J13276" s="788">
        <v>41286</v>
      </c>
      <c r="K13276" s="788">
        <v>41302</v>
      </c>
      <c r="L13276" s="787">
        <v>194.4</v>
      </c>
      <c r="M13276" s="787">
        <v>20</v>
      </c>
      <c r="N13276" s="787">
        <v>208.98</v>
      </c>
      <c r="O13276" s="788">
        <v>41858</v>
      </c>
    </row>
    <row r="13277" spans="1:15" x14ac:dyDescent="0.25">
      <c r="A13277" s="786" t="s">
        <v>23824</v>
      </c>
      <c r="B13277" s="787">
        <v>4</v>
      </c>
      <c r="C13277" s="787" t="s">
        <v>23825</v>
      </c>
      <c r="D13277" s="787">
        <v>4.3499999999999996</v>
      </c>
      <c r="E13277" s="787">
        <v>5.24</v>
      </c>
      <c r="F13277" s="788">
        <v>39101</v>
      </c>
      <c r="G13277" s="788">
        <v>42150</v>
      </c>
      <c r="H13277" s="787">
        <v>1</v>
      </c>
      <c r="I13277" s="788">
        <v>42153</v>
      </c>
      <c r="J13277" s="788">
        <v>42143</v>
      </c>
      <c r="K13277" s="788">
        <v>41906</v>
      </c>
      <c r="L13277" s="787">
        <v>5.08</v>
      </c>
      <c r="M13277" s="787">
        <v>20</v>
      </c>
      <c r="N13277" s="787">
        <v>5.46</v>
      </c>
      <c r="O13277" s="788">
        <v>42020</v>
      </c>
    </row>
    <row r="13278" spans="1:15" x14ac:dyDescent="0.25">
      <c r="A13278" s="786" t="s">
        <v>23826</v>
      </c>
      <c r="B13278" s="787">
        <v>4</v>
      </c>
      <c r="C13278" s="787" t="s">
        <v>23827</v>
      </c>
      <c r="D13278" s="787">
        <v>6.02</v>
      </c>
      <c r="E13278" s="787">
        <v>8.84</v>
      </c>
      <c r="F13278" s="788">
        <v>39101</v>
      </c>
      <c r="G13278" s="788">
        <v>42158</v>
      </c>
      <c r="H13278" s="787">
        <v>1</v>
      </c>
      <c r="I13278" s="788">
        <v>42159</v>
      </c>
      <c r="J13278" s="788">
        <v>42152</v>
      </c>
      <c r="K13278" s="788">
        <v>41883</v>
      </c>
      <c r="L13278" s="787">
        <v>8.56</v>
      </c>
      <c r="M13278" s="787">
        <v>20</v>
      </c>
      <c r="N13278" s="787">
        <v>9.1999999999999993</v>
      </c>
      <c r="O13278" s="788">
        <v>42164</v>
      </c>
    </row>
    <row r="13279" spans="1:15" x14ac:dyDescent="0.25">
      <c r="A13279" s="786" t="s">
        <v>23828</v>
      </c>
      <c r="B13279" s="787">
        <v>4</v>
      </c>
      <c r="C13279" s="787" t="s">
        <v>23829</v>
      </c>
      <c r="D13279" s="787">
        <v>6.85</v>
      </c>
      <c r="E13279" s="787">
        <v>6.85</v>
      </c>
      <c r="F13279" s="788">
        <v>39101</v>
      </c>
      <c r="G13279" s="788">
        <v>39101</v>
      </c>
      <c r="H13279" s="787">
        <v>6</v>
      </c>
      <c r="I13279" s="788">
        <v>41445</v>
      </c>
      <c r="J13279" s="788">
        <v>41578</v>
      </c>
      <c r="L13279" s="787">
        <v>8.85</v>
      </c>
      <c r="M13279" s="787">
        <v>20</v>
      </c>
      <c r="N13279" s="787">
        <v>7.36</v>
      </c>
      <c r="O13279" s="788">
        <v>41806</v>
      </c>
    </row>
    <row r="13280" spans="1:15" x14ac:dyDescent="0.25">
      <c r="A13280" s="786" t="s">
        <v>23830</v>
      </c>
      <c r="B13280" s="787">
        <v>4</v>
      </c>
      <c r="C13280" s="787" t="s">
        <v>23831</v>
      </c>
      <c r="D13280" s="787">
        <v>6.54</v>
      </c>
      <c r="E13280" s="787">
        <v>6.54</v>
      </c>
      <c r="F13280" s="788">
        <v>37641</v>
      </c>
      <c r="G13280" s="788">
        <v>37641</v>
      </c>
      <c r="H13280" s="787">
        <v>6</v>
      </c>
      <c r="I13280" s="788">
        <v>41016</v>
      </c>
      <c r="J13280" s="788">
        <v>41724</v>
      </c>
      <c r="L13280" s="787">
        <v>7.13</v>
      </c>
      <c r="M13280" s="787">
        <v>20</v>
      </c>
      <c r="N13280" s="787">
        <v>7.03</v>
      </c>
      <c r="O13280" s="788">
        <v>41806</v>
      </c>
    </row>
    <row r="13281" spans="1:15" x14ac:dyDescent="0.25">
      <c r="A13281" s="786" t="s">
        <v>23832</v>
      </c>
      <c r="B13281" s="787">
        <v>4</v>
      </c>
      <c r="C13281" s="787" t="s">
        <v>23833</v>
      </c>
      <c r="D13281" s="787">
        <v>2.92</v>
      </c>
      <c r="E13281" s="787">
        <v>70.2</v>
      </c>
      <c r="F13281" s="788">
        <v>38275</v>
      </c>
      <c r="G13281" s="788">
        <v>40644</v>
      </c>
      <c r="H13281" s="787">
        <v>1</v>
      </c>
      <c r="I13281" s="788">
        <v>40668</v>
      </c>
      <c r="J13281" s="788">
        <v>40645</v>
      </c>
      <c r="L13281" s="787">
        <v>57.68</v>
      </c>
      <c r="M13281" s="787">
        <v>20</v>
      </c>
      <c r="N13281" s="787">
        <v>62.01</v>
      </c>
      <c r="O13281" s="788">
        <v>41858</v>
      </c>
    </row>
    <row r="13282" spans="1:15" x14ac:dyDescent="0.25">
      <c r="A13282" s="786" t="s">
        <v>23834</v>
      </c>
      <c r="B13282" s="787">
        <v>4</v>
      </c>
      <c r="C13282" s="787" t="s">
        <v>23835</v>
      </c>
      <c r="D13282" s="787">
        <v>7.46</v>
      </c>
      <c r="E13282" s="787">
        <v>7.46</v>
      </c>
      <c r="F13282" s="788">
        <v>37641</v>
      </c>
      <c r="G13282" s="788">
        <v>37641</v>
      </c>
      <c r="H13282" s="787">
        <v>1</v>
      </c>
      <c r="I13282" s="788">
        <v>41652</v>
      </c>
      <c r="J13282" s="788">
        <v>41661</v>
      </c>
      <c r="L13282" s="787">
        <v>8.1300000000000008</v>
      </c>
      <c r="M13282" s="787">
        <v>20</v>
      </c>
      <c r="N13282" s="787">
        <v>8.74</v>
      </c>
      <c r="O13282" s="788">
        <v>41858</v>
      </c>
    </row>
    <row r="13283" spans="1:15" x14ac:dyDescent="0.25">
      <c r="A13283" s="786" t="s">
        <v>23836</v>
      </c>
      <c r="B13283" s="787">
        <v>4</v>
      </c>
      <c r="C13283" s="787" t="s">
        <v>23837</v>
      </c>
      <c r="D13283" s="787">
        <v>9.18</v>
      </c>
      <c r="E13283" s="787">
        <v>21.03</v>
      </c>
      <c r="F13283" s="788">
        <v>40210</v>
      </c>
      <c r="G13283" s="788">
        <v>42150</v>
      </c>
      <c r="H13283" s="787">
        <v>1</v>
      </c>
      <c r="I13283" s="788">
        <v>42163</v>
      </c>
      <c r="J13283" s="788">
        <v>42143</v>
      </c>
      <c r="K13283" s="788">
        <v>41856</v>
      </c>
      <c r="L13283" s="787">
        <v>22.26</v>
      </c>
      <c r="M13283" s="787">
        <v>20</v>
      </c>
      <c r="N13283" s="787">
        <v>23.93</v>
      </c>
      <c r="O13283" s="788">
        <v>42164</v>
      </c>
    </row>
    <row r="13284" spans="1:15" x14ac:dyDescent="0.25">
      <c r="A13284" s="786" t="s">
        <v>23838</v>
      </c>
      <c r="B13284" s="787">
        <v>4</v>
      </c>
      <c r="C13284" s="787" t="s">
        <v>23839</v>
      </c>
      <c r="D13284" s="787">
        <v>3.75</v>
      </c>
      <c r="E13284" s="787">
        <v>53.75</v>
      </c>
      <c r="F13284" s="788">
        <v>41610</v>
      </c>
      <c r="G13284" s="788">
        <v>41641</v>
      </c>
      <c r="H13284" s="787">
        <v>1</v>
      </c>
      <c r="J13284" s="788">
        <v>41610</v>
      </c>
      <c r="K13284" s="788">
        <v>41606</v>
      </c>
      <c r="L13284" s="787">
        <v>33.89</v>
      </c>
      <c r="M13284" s="787">
        <v>20</v>
      </c>
      <c r="N13284" s="787">
        <v>36.43</v>
      </c>
      <c r="O13284" s="788">
        <v>41858</v>
      </c>
    </row>
    <row r="13285" spans="1:15" x14ac:dyDescent="0.25">
      <c r="A13285" s="786" t="s">
        <v>23840</v>
      </c>
      <c r="B13285" s="787">
        <v>4</v>
      </c>
      <c r="C13285" s="787" t="s">
        <v>23841</v>
      </c>
      <c r="D13285" s="787">
        <v>1.1200000000000001</v>
      </c>
      <c r="E13285" s="787">
        <v>64.77</v>
      </c>
      <c r="F13285" s="788">
        <v>41659</v>
      </c>
      <c r="G13285" s="788">
        <v>41806</v>
      </c>
      <c r="H13285" s="787">
        <v>1</v>
      </c>
      <c r="I13285" s="788">
        <v>41894</v>
      </c>
      <c r="J13285" s="788">
        <v>41766</v>
      </c>
      <c r="K13285" s="788">
        <v>41656</v>
      </c>
      <c r="L13285" s="787">
        <v>61.12</v>
      </c>
      <c r="M13285" s="787">
        <v>20</v>
      </c>
      <c r="N13285" s="787">
        <v>65.7</v>
      </c>
      <c r="O13285" s="788">
        <v>41858</v>
      </c>
    </row>
    <row r="13286" spans="1:15" x14ac:dyDescent="0.25">
      <c r="A13286" s="786" t="s">
        <v>23842</v>
      </c>
      <c r="B13286" s="787">
        <v>4</v>
      </c>
      <c r="C13286" s="787" t="s">
        <v>23843</v>
      </c>
      <c r="D13286" s="787">
        <v>0</v>
      </c>
      <c r="E13286" s="787">
        <v>0</v>
      </c>
      <c r="H13286" s="787">
        <v>1</v>
      </c>
      <c r="I13286" s="788">
        <v>41059</v>
      </c>
      <c r="L13286" s="787">
        <v>0</v>
      </c>
      <c r="M13286" s="787">
        <v>10</v>
      </c>
      <c r="N13286" s="787">
        <v>0</v>
      </c>
      <c r="O13286" s="788">
        <v>40824</v>
      </c>
    </row>
    <row r="13287" spans="1:15" x14ac:dyDescent="0.25">
      <c r="A13287" s="786" t="s">
        <v>23844</v>
      </c>
      <c r="B13287" s="787">
        <v>4</v>
      </c>
      <c r="C13287" s="787" t="s">
        <v>23845</v>
      </c>
      <c r="D13287" s="787">
        <v>4.55</v>
      </c>
      <c r="E13287" s="787">
        <v>44.55</v>
      </c>
      <c r="F13287" s="788">
        <v>39101</v>
      </c>
      <c r="G13287" s="788">
        <v>39101</v>
      </c>
      <c r="H13287" s="787">
        <v>1</v>
      </c>
      <c r="I13287" s="788">
        <v>39988</v>
      </c>
      <c r="J13287" s="788">
        <v>39149</v>
      </c>
      <c r="L13287" s="787">
        <v>48.56</v>
      </c>
      <c r="M13287" s="787">
        <v>20</v>
      </c>
      <c r="N13287" s="787">
        <v>52.2</v>
      </c>
      <c r="O13287" s="788">
        <v>41858</v>
      </c>
    </row>
    <row r="13288" spans="1:15" x14ac:dyDescent="0.25">
      <c r="A13288" s="786" t="s">
        <v>23846</v>
      </c>
      <c r="B13288" s="787">
        <v>4</v>
      </c>
      <c r="C13288" s="787" t="s">
        <v>23847</v>
      </c>
      <c r="D13288" s="787">
        <v>5</v>
      </c>
      <c r="E13288" s="787">
        <v>55</v>
      </c>
      <c r="F13288" s="788">
        <v>38908</v>
      </c>
      <c r="G13288" s="788">
        <v>38904</v>
      </c>
      <c r="H13288" s="787">
        <v>1</v>
      </c>
      <c r="I13288" s="788">
        <v>38904</v>
      </c>
      <c r="J13288" s="788">
        <v>39834</v>
      </c>
      <c r="L13288" s="787">
        <v>55</v>
      </c>
      <c r="M13288" s="787">
        <v>20</v>
      </c>
      <c r="N13288" s="787">
        <v>59.13</v>
      </c>
      <c r="O13288" s="788">
        <v>41858</v>
      </c>
    </row>
    <row r="13289" spans="1:15" x14ac:dyDescent="0.25">
      <c r="A13289" s="786" t="s">
        <v>23848</v>
      </c>
      <c r="B13289" s="787">
        <v>4</v>
      </c>
      <c r="C13289" s="787" t="s">
        <v>23849</v>
      </c>
      <c r="D13289" s="787">
        <v>8.5</v>
      </c>
      <c r="E13289" s="787">
        <v>143</v>
      </c>
      <c r="F13289" s="788">
        <v>37641</v>
      </c>
      <c r="G13289" s="788">
        <v>40379</v>
      </c>
      <c r="H13289" s="787">
        <v>6</v>
      </c>
      <c r="I13289" s="788">
        <v>41690</v>
      </c>
      <c r="J13289" s="788">
        <v>40506</v>
      </c>
      <c r="L13289" s="787">
        <v>149.06</v>
      </c>
      <c r="M13289" s="787">
        <v>20</v>
      </c>
      <c r="N13289" s="787">
        <v>153.72999999999999</v>
      </c>
      <c r="O13289" s="788">
        <v>41806</v>
      </c>
    </row>
    <row r="13290" spans="1:15" x14ac:dyDescent="0.25">
      <c r="A13290" s="786" t="s">
        <v>23850</v>
      </c>
      <c r="B13290" s="787">
        <v>4</v>
      </c>
      <c r="C13290" s="787" t="s">
        <v>23851</v>
      </c>
      <c r="D13290" s="787">
        <v>4.2300000000000004</v>
      </c>
      <c r="E13290" s="787">
        <v>203.4</v>
      </c>
      <c r="F13290" s="788">
        <v>39101</v>
      </c>
      <c r="G13290" s="788">
        <v>39101</v>
      </c>
      <c r="H13290" s="787">
        <v>1</v>
      </c>
      <c r="I13290" s="788">
        <v>39399</v>
      </c>
      <c r="J13290" s="788">
        <v>39149</v>
      </c>
      <c r="L13290" s="787">
        <v>221.71</v>
      </c>
      <c r="M13290" s="787">
        <v>20</v>
      </c>
      <c r="N13290" s="787">
        <v>238.34</v>
      </c>
      <c r="O13290" s="788">
        <v>41858</v>
      </c>
    </row>
    <row r="13291" spans="1:15" x14ac:dyDescent="0.25">
      <c r="A13291" s="786" t="s">
        <v>23852</v>
      </c>
      <c r="B13291" s="787">
        <v>4</v>
      </c>
      <c r="C13291" s="787" t="s">
        <v>23853</v>
      </c>
      <c r="D13291" s="787">
        <v>0.9</v>
      </c>
      <c r="E13291" s="787">
        <v>55</v>
      </c>
      <c r="F13291" s="788">
        <v>39101</v>
      </c>
      <c r="G13291" s="788">
        <v>41646</v>
      </c>
      <c r="H13291" s="787">
        <v>1</v>
      </c>
      <c r="I13291" s="788">
        <v>41894</v>
      </c>
      <c r="J13291" s="788">
        <v>39637</v>
      </c>
      <c r="L13291" s="787">
        <v>44.58</v>
      </c>
      <c r="M13291" s="787">
        <v>20</v>
      </c>
      <c r="N13291" s="787">
        <v>47.92</v>
      </c>
      <c r="O13291" s="788">
        <v>41858</v>
      </c>
    </row>
    <row r="13292" spans="1:15" x14ac:dyDescent="0.25">
      <c r="A13292" s="786" t="s">
        <v>23854</v>
      </c>
      <c r="B13292" s="787">
        <v>4</v>
      </c>
      <c r="C13292" s="787" t="s">
        <v>23855</v>
      </c>
      <c r="D13292" s="787">
        <v>5.14</v>
      </c>
      <c r="E13292" s="787">
        <v>205.86</v>
      </c>
      <c r="F13292" s="788">
        <v>41624</v>
      </c>
      <c r="G13292" s="788">
        <v>41943</v>
      </c>
      <c r="H13292" s="787">
        <v>1</v>
      </c>
      <c r="I13292" s="788">
        <v>41934</v>
      </c>
      <c r="J13292" s="788">
        <v>41659</v>
      </c>
      <c r="K13292" s="788">
        <v>41611</v>
      </c>
      <c r="L13292" s="787">
        <v>199.71</v>
      </c>
      <c r="M13292" s="787">
        <v>20</v>
      </c>
      <c r="N13292" s="787">
        <v>214.69</v>
      </c>
      <c r="O13292" s="788">
        <v>42127</v>
      </c>
    </row>
    <row r="13293" spans="1:15" x14ac:dyDescent="0.25">
      <c r="A13293" s="786" t="s">
        <v>23856</v>
      </c>
      <c r="B13293" s="787">
        <v>4</v>
      </c>
      <c r="C13293" s="787" t="s">
        <v>23857</v>
      </c>
      <c r="D13293" s="787">
        <v>7.58</v>
      </c>
      <c r="E13293" s="787">
        <v>174.13</v>
      </c>
      <c r="F13293" s="788">
        <v>41794</v>
      </c>
      <c r="G13293" s="788">
        <v>42146</v>
      </c>
      <c r="H13293" s="787">
        <v>1</v>
      </c>
      <c r="I13293" s="788">
        <v>42123</v>
      </c>
      <c r="J13293" s="788">
        <v>42121</v>
      </c>
      <c r="K13293" s="788">
        <v>41789</v>
      </c>
      <c r="L13293" s="787">
        <v>167.58</v>
      </c>
      <c r="M13293" s="787">
        <v>20</v>
      </c>
      <c r="N13293" s="787">
        <v>180.15</v>
      </c>
      <c r="O13293" s="788">
        <v>42111</v>
      </c>
    </row>
    <row r="13294" spans="1:15" x14ac:dyDescent="0.25">
      <c r="A13294" s="786" t="s">
        <v>23858</v>
      </c>
      <c r="B13294" s="787">
        <v>4</v>
      </c>
      <c r="C13294" s="787" t="s">
        <v>23859</v>
      </c>
      <c r="D13294" s="787">
        <v>9.5500000000000007</v>
      </c>
      <c r="E13294" s="787">
        <v>189.55</v>
      </c>
      <c r="F13294" s="788">
        <v>41857</v>
      </c>
      <c r="G13294" s="788">
        <v>41858</v>
      </c>
      <c r="H13294" s="787">
        <v>1</v>
      </c>
      <c r="I13294" s="788">
        <v>41859</v>
      </c>
      <c r="J13294" s="788">
        <v>41855</v>
      </c>
      <c r="K13294" s="788">
        <v>41856</v>
      </c>
      <c r="L13294" s="787">
        <v>183.75</v>
      </c>
      <c r="M13294" s="787">
        <v>20</v>
      </c>
      <c r="N13294" s="787">
        <v>197.53</v>
      </c>
      <c r="O13294" s="788">
        <v>42164</v>
      </c>
    </row>
    <row r="13295" spans="1:15" x14ac:dyDescent="0.25">
      <c r="A13295" s="786" t="s">
        <v>23860</v>
      </c>
      <c r="B13295" s="787">
        <v>4</v>
      </c>
      <c r="C13295" s="787" t="s">
        <v>23861</v>
      </c>
      <c r="D13295" s="787">
        <v>0</v>
      </c>
      <c r="E13295" s="787">
        <v>0</v>
      </c>
      <c r="H13295" s="787">
        <v>1</v>
      </c>
      <c r="K13295" s="788">
        <v>41849</v>
      </c>
      <c r="L13295" s="787">
        <v>217.35</v>
      </c>
      <c r="M13295" s="787">
        <v>20</v>
      </c>
      <c r="N13295" s="787">
        <v>233.65</v>
      </c>
      <c r="O13295" s="788">
        <v>41858</v>
      </c>
    </row>
    <row r="13296" spans="1:15" x14ac:dyDescent="0.25">
      <c r="A13296" s="786" t="s">
        <v>23862</v>
      </c>
      <c r="B13296" s="787">
        <v>4</v>
      </c>
      <c r="C13296" s="787" t="s">
        <v>23863</v>
      </c>
      <c r="D13296" s="787">
        <v>3.23</v>
      </c>
      <c r="E13296" s="787">
        <v>63.23</v>
      </c>
      <c r="F13296" s="788">
        <v>39101</v>
      </c>
      <c r="G13296" s="788">
        <v>39101</v>
      </c>
      <c r="H13296" s="787">
        <v>1</v>
      </c>
      <c r="I13296" s="788">
        <v>39134</v>
      </c>
      <c r="J13296" s="788">
        <v>39149</v>
      </c>
      <c r="L13296" s="787">
        <v>64.86</v>
      </c>
      <c r="M13296" s="787">
        <v>20</v>
      </c>
      <c r="N13296" s="787">
        <v>69.72</v>
      </c>
      <c r="O13296" s="788">
        <v>41858</v>
      </c>
    </row>
    <row r="13297" spans="1:15" x14ac:dyDescent="0.25">
      <c r="A13297" s="786" t="s">
        <v>23864</v>
      </c>
      <c r="B13297" s="787">
        <v>4</v>
      </c>
      <c r="C13297" s="787" t="s">
        <v>23865</v>
      </c>
      <c r="D13297" s="787">
        <v>8.51</v>
      </c>
      <c r="E13297" s="787">
        <v>61.64</v>
      </c>
      <c r="F13297" s="788">
        <v>39101</v>
      </c>
      <c r="G13297" s="788">
        <v>41865</v>
      </c>
      <c r="H13297" s="787">
        <v>1</v>
      </c>
      <c r="I13297" s="788">
        <v>41857</v>
      </c>
      <c r="J13297" s="788">
        <v>41857</v>
      </c>
      <c r="L13297" s="787">
        <v>39.57</v>
      </c>
      <c r="M13297" s="787">
        <v>20</v>
      </c>
      <c r="N13297" s="787">
        <v>42.54</v>
      </c>
      <c r="O13297" s="788">
        <v>41858</v>
      </c>
    </row>
    <row r="13298" spans="1:15" x14ac:dyDescent="0.25">
      <c r="A13298" s="786" t="s">
        <v>23866</v>
      </c>
      <c r="B13298" s="787">
        <v>4</v>
      </c>
      <c r="C13298" s="787" t="s">
        <v>23867</v>
      </c>
      <c r="D13298" s="787">
        <v>1.24</v>
      </c>
      <c r="E13298" s="787">
        <v>131.78</v>
      </c>
      <c r="F13298" s="788">
        <v>39101</v>
      </c>
      <c r="G13298" s="788">
        <v>41081</v>
      </c>
      <c r="H13298" s="787">
        <v>1</v>
      </c>
      <c r="I13298" s="788">
        <v>41101</v>
      </c>
      <c r="J13298" s="788">
        <v>41073</v>
      </c>
      <c r="L13298" s="787">
        <v>109.81</v>
      </c>
      <c r="M13298" s="787">
        <v>20</v>
      </c>
      <c r="N13298" s="787">
        <v>118.05</v>
      </c>
      <c r="O13298" s="788">
        <v>41858</v>
      </c>
    </row>
    <row r="13299" spans="1:15" x14ac:dyDescent="0.25">
      <c r="A13299" s="786" t="s">
        <v>23868</v>
      </c>
      <c r="B13299" s="787">
        <v>4</v>
      </c>
      <c r="C13299" s="787" t="s">
        <v>23869</v>
      </c>
      <c r="D13299" s="787">
        <v>4.7</v>
      </c>
      <c r="E13299" s="787">
        <v>44.64</v>
      </c>
      <c r="F13299" s="788">
        <v>39101</v>
      </c>
      <c r="G13299" s="788">
        <v>39101</v>
      </c>
      <c r="H13299" s="787">
        <v>1</v>
      </c>
      <c r="I13299" s="788">
        <v>39500</v>
      </c>
      <c r="J13299" s="788">
        <v>39149</v>
      </c>
      <c r="L13299" s="787">
        <v>48.66</v>
      </c>
      <c r="M13299" s="787">
        <v>20</v>
      </c>
      <c r="N13299" s="787">
        <v>52.31</v>
      </c>
      <c r="O13299" s="788">
        <v>41858</v>
      </c>
    </row>
    <row r="13300" spans="1:15" x14ac:dyDescent="0.25">
      <c r="A13300" s="786" t="s">
        <v>23870</v>
      </c>
      <c r="B13300" s="787">
        <v>4</v>
      </c>
      <c r="C13300" s="787" t="s">
        <v>23871</v>
      </c>
      <c r="D13300" s="787">
        <v>5.3</v>
      </c>
      <c r="E13300" s="787">
        <v>56.84</v>
      </c>
      <c r="F13300" s="788">
        <v>37641</v>
      </c>
      <c r="G13300" s="788">
        <v>38364</v>
      </c>
      <c r="H13300" s="787">
        <v>1</v>
      </c>
      <c r="I13300" s="788">
        <v>40163</v>
      </c>
      <c r="J13300" s="788">
        <v>38121</v>
      </c>
      <c r="L13300" s="787">
        <v>61.96</v>
      </c>
      <c r="M13300" s="787">
        <v>20</v>
      </c>
      <c r="N13300" s="787">
        <v>66.61</v>
      </c>
      <c r="O13300" s="788">
        <v>41858</v>
      </c>
    </row>
    <row r="13301" spans="1:15" x14ac:dyDescent="0.25">
      <c r="A13301" s="786" t="s">
        <v>23872</v>
      </c>
      <c r="B13301" s="787">
        <v>4</v>
      </c>
      <c r="C13301" s="787" t="s">
        <v>23873</v>
      </c>
      <c r="D13301" s="787">
        <v>4.7699999999999996</v>
      </c>
      <c r="E13301" s="787">
        <v>74.099999999999994</v>
      </c>
      <c r="F13301" s="788">
        <v>37641</v>
      </c>
      <c r="G13301" s="788">
        <v>37641</v>
      </c>
      <c r="H13301" s="787">
        <v>1</v>
      </c>
      <c r="I13301" s="788">
        <v>39433</v>
      </c>
      <c r="J13301" s="788">
        <v>37641</v>
      </c>
      <c r="L13301" s="787">
        <v>80.77</v>
      </c>
      <c r="M13301" s="787">
        <v>20</v>
      </c>
      <c r="N13301" s="787">
        <v>86.83</v>
      </c>
      <c r="O13301" s="788">
        <v>41858</v>
      </c>
    </row>
    <row r="13302" spans="1:15" x14ac:dyDescent="0.25">
      <c r="A13302" s="786" t="s">
        <v>23874</v>
      </c>
      <c r="B13302" s="787">
        <v>4</v>
      </c>
      <c r="C13302" s="787" t="s">
        <v>23875</v>
      </c>
      <c r="D13302" s="787">
        <v>5</v>
      </c>
      <c r="E13302" s="787">
        <v>147.6</v>
      </c>
      <c r="F13302" s="788">
        <v>38222</v>
      </c>
      <c r="G13302" s="788">
        <v>40511</v>
      </c>
      <c r="H13302" s="787">
        <v>1</v>
      </c>
      <c r="I13302" s="788">
        <v>40779</v>
      </c>
      <c r="J13302" s="788">
        <v>40511</v>
      </c>
      <c r="L13302" s="787">
        <v>136.25</v>
      </c>
      <c r="M13302" s="787">
        <v>20</v>
      </c>
      <c r="N13302" s="787">
        <v>146.47</v>
      </c>
      <c r="O13302" s="788">
        <v>41858</v>
      </c>
    </row>
    <row r="13303" spans="1:15" x14ac:dyDescent="0.25">
      <c r="A13303" s="786" t="s">
        <v>23876</v>
      </c>
      <c r="B13303" s="787">
        <v>4</v>
      </c>
      <c r="C13303" s="787" t="s">
        <v>23877</v>
      </c>
      <c r="D13303" s="787">
        <v>4.3899999999999997</v>
      </c>
      <c r="E13303" s="787">
        <v>4.5199999999999996</v>
      </c>
      <c r="F13303" s="788">
        <v>39101</v>
      </c>
      <c r="G13303" s="788">
        <v>39101</v>
      </c>
      <c r="H13303" s="787">
        <v>1</v>
      </c>
      <c r="I13303" s="788">
        <v>39134</v>
      </c>
      <c r="J13303" s="788">
        <v>39149</v>
      </c>
      <c r="L13303" s="787">
        <v>4.6900000000000004</v>
      </c>
      <c r="M13303" s="787">
        <v>20</v>
      </c>
      <c r="N13303" s="787">
        <v>5.04</v>
      </c>
      <c r="O13303" s="788">
        <v>41858</v>
      </c>
    </row>
    <row r="13304" spans="1:15" x14ac:dyDescent="0.25">
      <c r="A13304" s="786" t="s">
        <v>23878</v>
      </c>
      <c r="B13304" s="787">
        <v>4</v>
      </c>
      <c r="C13304" s="787" t="s">
        <v>23879</v>
      </c>
      <c r="D13304" s="787">
        <v>6.08</v>
      </c>
      <c r="E13304" s="787">
        <v>4.62</v>
      </c>
      <c r="F13304" s="788">
        <v>39101</v>
      </c>
      <c r="G13304" s="788">
        <v>39101</v>
      </c>
      <c r="H13304" s="787">
        <v>6</v>
      </c>
      <c r="I13304" s="788">
        <v>39134</v>
      </c>
      <c r="J13304" s="788">
        <v>39149</v>
      </c>
      <c r="K13304" s="788">
        <v>41869</v>
      </c>
      <c r="L13304" s="787">
        <v>4.62</v>
      </c>
      <c r="M13304" s="787">
        <v>20</v>
      </c>
      <c r="N13304" s="787">
        <v>48.59</v>
      </c>
      <c r="O13304" s="788">
        <v>41858</v>
      </c>
    </row>
    <row r="13305" spans="1:15" x14ac:dyDescent="0.25">
      <c r="A13305" s="786" t="s">
        <v>23880</v>
      </c>
      <c r="B13305" s="787">
        <v>4</v>
      </c>
      <c r="C13305" s="787" t="s">
        <v>23881</v>
      </c>
      <c r="D13305" s="787">
        <v>0.36</v>
      </c>
      <c r="E13305" s="787">
        <v>84.87</v>
      </c>
      <c r="F13305" s="788">
        <v>39101</v>
      </c>
      <c r="G13305" s="788">
        <v>41100</v>
      </c>
      <c r="H13305" s="787">
        <v>1</v>
      </c>
      <c r="I13305" s="788">
        <v>41104</v>
      </c>
      <c r="J13305" s="788">
        <v>41100</v>
      </c>
      <c r="L13305" s="787">
        <v>76.69</v>
      </c>
      <c r="M13305" s="787">
        <v>20</v>
      </c>
      <c r="N13305" s="787">
        <v>82.44</v>
      </c>
      <c r="O13305" s="788">
        <v>41858</v>
      </c>
    </row>
    <row r="13306" spans="1:15" x14ac:dyDescent="0.25">
      <c r="A13306" s="786" t="s">
        <v>23882</v>
      </c>
      <c r="B13306" s="787">
        <v>4</v>
      </c>
      <c r="C13306" s="787" t="s">
        <v>23883</v>
      </c>
      <c r="D13306" s="787">
        <v>3.67</v>
      </c>
      <c r="E13306" s="787">
        <v>39.200000000000003</v>
      </c>
      <c r="F13306" s="788">
        <v>39198</v>
      </c>
      <c r="G13306" s="788">
        <v>42146</v>
      </c>
      <c r="H13306" s="787">
        <v>1</v>
      </c>
      <c r="I13306" s="788">
        <v>42152</v>
      </c>
      <c r="J13306" s="788">
        <v>42121</v>
      </c>
      <c r="K13306" s="788">
        <v>41557</v>
      </c>
      <c r="L13306" s="787">
        <v>38.72</v>
      </c>
      <c r="M13306" s="787">
        <v>20</v>
      </c>
      <c r="N13306" s="787">
        <v>41.62</v>
      </c>
      <c r="O13306" s="788">
        <v>42127</v>
      </c>
    </row>
    <row r="13307" spans="1:15" x14ac:dyDescent="0.25">
      <c r="A13307" s="786" t="s">
        <v>23884</v>
      </c>
      <c r="B13307" s="787">
        <v>4</v>
      </c>
      <c r="C13307" s="787" t="s">
        <v>23885</v>
      </c>
      <c r="D13307" s="787">
        <v>8.2200000000000006</v>
      </c>
      <c r="E13307" s="787">
        <v>43.01</v>
      </c>
      <c r="F13307" s="788">
        <v>39615</v>
      </c>
      <c r="G13307" s="788">
        <v>42013</v>
      </c>
      <c r="H13307" s="787">
        <v>1</v>
      </c>
      <c r="I13307" s="788">
        <v>42067</v>
      </c>
      <c r="J13307" s="788">
        <v>41852</v>
      </c>
      <c r="K13307" s="788">
        <v>41491</v>
      </c>
      <c r="L13307" s="787">
        <v>42.12</v>
      </c>
      <c r="M13307" s="787">
        <v>20</v>
      </c>
      <c r="N13307" s="787">
        <v>45.28</v>
      </c>
      <c r="O13307" s="788">
        <v>42019</v>
      </c>
    </row>
    <row r="13308" spans="1:15" x14ac:dyDescent="0.25">
      <c r="A13308" s="786" t="s">
        <v>23886</v>
      </c>
      <c r="B13308" s="787">
        <v>4</v>
      </c>
      <c r="C13308" s="787" t="s">
        <v>23887</v>
      </c>
      <c r="D13308" s="787">
        <v>9.41</v>
      </c>
      <c r="E13308" s="787">
        <v>104.79</v>
      </c>
      <c r="F13308" s="788">
        <v>40333</v>
      </c>
      <c r="G13308" s="788">
        <v>41943</v>
      </c>
      <c r="H13308" s="787">
        <v>1</v>
      </c>
      <c r="I13308" s="788">
        <v>42094</v>
      </c>
      <c r="J13308" s="788">
        <v>41852</v>
      </c>
      <c r="K13308" s="788">
        <v>41589</v>
      </c>
      <c r="L13308" s="787">
        <v>102.62</v>
      </c>
      <c r="M13308" s="787">
        <v>20</v>
      </c>
      <c r="N13308" s="787">
        <v>110.32</v>
      </c>
      <c r="O13308" s="788">
        <v>41858</v>
      </c>
    </row>
    <row r="13309" spans="1:15" x14ac:dyDescent="0.25">
      <c r="A13309" s="786" t="s">
        <v>23888</v>
      </c>
      <c r="B13309" s="787">
        <v>4</v>
      </c>
      <c r="C13309" s="787" t="s">
        <v>23889</v>
      </c>
      <c r="D13309" s="787">
        <v>2.46</v>
      </c>
      <c r="E13309" s="787">
        <v>55.04</v>
      </c>
      <c r="F13309" s="788">
        <v>39101</v>
      </c>
      <c r="G13309" s="788">
        <v>40914</v>
      </c>
      <c r="H13309" s="787">
        <v>6</v>
      </c>
      <c r="I13309" s="788">
        <v>41192</v>
      </c>
      <c r="J13309" s="788">
        <v>40115</v>
      </c>
      <c r="L13309" s="787">
        <v>46.33</v>
      </c>
      <c r="M13309" s="787">
        <v>20</v>
      </c>
      <c r="N13309" s="787">
        <v>59.17</v>
      </c>
      <c r="O13309" s="788">
        <v>41543</v>
      </c>
    </row>
    <row r="13310" spans="1:15" x14ac:dyDescent="0.25">
      <c r="A13310" s="786" t="s">
        <v>23890</v>
      </c>
      <c r="B13310" s="787">
        <v>4</v>
      </c>
      <c r="C13310" s="787" t="s">
        <v>23891</v>
      </c>
      <c r="D13310" s="787">
        <v>5.1100000000000003</v>
      </c>
      <c r="E13310" s="787">
        <v>60.2</v>
      </c>
      <c r="F13310" s="788">
        <v>40485</v>
      </c>
      <c r="G13310" s="788">
        <v>42013</v>
      </c>
      <c r="H13310" s="787">
        <v>1</v>
      </c>
      <c r="I13310" s="788">
        <v>41954</v>
      </c>
      <c r="J13310" s="788">
        <v>40980</v>
      </c>
      <c r="K13310" s="788">
        <v>40980</v>
      </c>
      <c r="L13310" s="787">
        <v>59.68</v>
      </c>
      <c r="M13310" s="787">
        <v>20</v>
      </c>
      <c r="N13310" s="787">
        <v>64.16</v>
      </c>
      <c r="O13310" s="788">
        <v>41858</v>
      </c>
    </row>
    <row r="13311" spans="1:15" x14ac:dyDescent="0.25">
      <c r="A13311" s="786" t="s">
        <v>23892</v>
      </c>
      <c r="B13311" s="787">
        <v>4</v>
      </c>
      <c r="C13311" s="787" t="s">
        <v>23893</v>
      </c>
      <c r="D13311" s="787">
        <v>2.52</v>
      </c>
      <c r="E13311" s="787">
        <v>75.87</v>
      </c>
      <c r="F13311" s="788">
        <v>41158</v>
      </c>
      <c r="G13311" s="788">
        <v>41565</v>
      </c>
      <c r="H13311" s="787">
        <v>1</v>
      </c>
      <c r="I13311" s="788">
        <v>41871</v>
      </c>
      <c r="J13311" s="788">
        <v>41330</v>
      </c>
      <c r="K13311" s="788">
        <v>41138</v>
      </c>
      <c r="L13311" s="787">
        <v>72.52</v>
      </c>
      <c r="M13311" s="787">
        <v>20</v>
      </c>
      <c r="N13311" s="787">
        <v>77.959999999999994</v>
      </c>
      <c r="O13311" s="788">
        <v>42164</v>
      </c>
    </row>
    <row r="13312" spans="1:15" x14ac:dyDescent="0.25">
      <c r="A13312" s="786" t="s">
        <v>23894</v>
      </c>
      <c r="B13312" s="787">
        <v>4</v>
      </c>
      <c r="C13312" s="787" t="s">
        <v>23895</v>
      </c>
      <c r="D13312" s="787">
        <v>1.04</v>
      </c>
      <c r="E13312" s="787">
        <v>131.04</v>
      </c>
      <c r="F13312" s="788">
        <v>37641</v>
      </c>
      <c r="G13312" s="788">
        <v>37641</v>
      </c>
      <c r="H13312" s="787">
        <v>1</v>
      </c>
      <c r="J13312" s="788">
        <v>37641</v>
      </c>
      <c r="L13312" s="787">
        <v>142.83000000000001</v>
      </c>
      <c r="M13312" s="787">
        <v>20</v>
      </c>
      <c r="N13312" s="787">
        <v>153.54</v>
      </c>
      <c r="O13312" s="788">
        <v>41858</v>
      </c>
    </row>
    <row r="13313" spans="1:15" x14ac:dyDescent="0.25">
      <c r="A13313" s="786" t="s">
        <v>23896</v>
      </c>
      <c r="B13313" s="787">
        <v>4</v>
      </c>
      <c r="C13313" s="787" t="s">
        <v>23897</v>
      </c>
      <c r="D13313" s="787">
        <v>3.04</v>
      </c>
      <c r="E13313" s="787">
        <v>135.44999999999999</v>
      </c>
      <c r="F13313" s="788">
        <v>41845</v>
      </c>
      <c r="G13313" s="788">
        <v>42150</v>
      </c>
      <c r="H13313" s="787">
        <v>1</v>
      </c>
      <c r="I13313" s="788">
        <v>42145</v>
      </c>
      <c r="J13313" s="788">
        <v>42145</v>
      </c>
      <c r="K13313" s="788">
        <v>41676</v>
      </c>
      <c r="L13313" s="787">
        <v>146.55000000000001</v>
      </c>
      <c r="M13313" s="787">
        <v>20</v>
      </c>
      <c r="N13313" s="787">
        <v>157.54</v>
      </c>
      <c r="O13313" s="788">
        <v>41955</v>
      </c>
    </row>
    <row r="13314" spans="1:15" x14ac:dyDescent="0.25">
      <c r="A13314" s="786" t="s">
        <v>23898</v>
      </c>
      <c r="B13314" s="787">
        <v>4</v>
      </c>
      <c r="C13314" s="787" t="s">
        <v>23899</v>
      </c>
      <c r="D13314" s="787">
        <v>5.95</v>
      </c>
      <c r="E13314" s="787">
        <v>6.08</v>
      </c>
      <c r="F13314" s="788">
        <v>41842</v>
      </c>
      <c r="G13314" s="788">
        <v>42150</v>
      </c>
      <c r="H13314" s="787">
        <v>1</v>
      </c>
      <c r="I13314" s="788">
        <v>42145</v>
      </c>
      <c r="J13314" s="788">
        <v>42145</v>
      </c>
      <c r="K13314" s="788">
        <v>41676</v>
      </c>
      <c r="L13314" s="787">
        <v>6.55</v>
      </c>
      <c r="M13314" s="787">
        <v>20</v>
      </c>
      <c r="N13314" s="787">
        <v>7.04</v>
      </c>
      <c r="O13314" s="788">
        <v>41955</v>
      </c>
    </row>
    <row r="13315" spans="1:15" x14ac:dyDescent="0.25">
      <c r="A13315" s="786" t="s">
        <v>23900</v>
      </c>
      <c r="B13315" s="787">
        <v>4</v>
      </c>
      <c r="C13315" s="787" t="s">
        <v>23901</v>
      </c>
      <c r="D13315" s="787">
        <v>9.48</v>
      </c>
      <c r="E13315" s="787">
        <v>304.85000000000002</v>
      </c>
      <c r="F13315" s="788">
        <v>41794</v>
      </c>
      <c r="G13315" s="788">
        <v>42118</v>
      </c>
      <c r="H13315" s="787">
        <v>1</v>
      </c>
      <c r="I13315" s="788">
        <v>42123</v>
      </c>
      <c r="J13315" s="788">
        <v>42104</v>
      </c>
      <c r="K13315" s="788">
        <v>41885</v>
      </c>
      <c r="L13315" s="787">
        <v>344.4</v>
      </c>
      <c r="M13315" s="787">
        <v>20</v>
      </c>
      <c r="N13315" s="787">
        <v>370.23</v>
      </c>
      <c r="O13315" s="788">
        <v>42164</v>
      </c>
    </row>
    <row r="13316" spans="1:15" x14ac:dyDescent="0.25">
      <c r="A13316" s="786" t="s">
        <v>23902</v>
      </c>
      <c r="B13316" s="787">
        <v>4</v>
      </c>
      <c r="C13316" s="787" t="s">
        <v>23903</v>
      </c>
      <c r="D13316" s="787">
        <v>6.07</v>
      </c>
      <c r="E13316" s="787">
        <v>976.07</v>
      </c>
      <c r="F13316" s="788">
        <v>41887</v>
      </c>
      <c r="G13316" s="788">
        <v>41887</v>
      </c>
      <c r="H13316" s="787">
        <v>1</v>
      </c>
      <c r="I13316" s="788">
        <v>41894</v>
      </c>
      <c r="J13316" s="788">
        <v>41885</v>
      </c>
      <c r="K13316" s="788">
        <v>41869</v>
      </c>
      <c r="L13316" s="787">
        <v>952.74</v>
      </c>
      <c r="M13316" s="787">
        <v>20</v>
      </c>
      <c r="N13316" s="789">
        <v>1024.2</v>
      </c>
      <c r="O13316" s="788">
        <v>41869</v>
      </c>
    </row>
    <row r="13317" spans="1:15" x14ac:dyDescent="0.25">
      <c r="A13317" s="786" t="s">
        <v>23904</v>
      </c>
      <c r="B13317" s="787">
        <v>4</v>
      </c>
      <c r="C13317" s="787" t="s">
        <v>23905</v>
      </c>
      <c r="D13317" s="787">
        <v>3.97</v>
      </c>
      <c r="E13317" s="787">
        <v>933.97</v>
      </c>
      <c r="F13317" s="788">
        <v>41893</v>
      </c>
      <c r="G13317" s="788">
        <v>41897</v>
      </c>
      <c r="H13317" s="787">
        <v>1</v>
      </c>
      <c r="I13317" s="788">
        <v>41905</v>
      </c>
      <c r="J13317" s="788">
        <v>41892</v>
      </c>
      <c r="K13317" s="788">
        <v>41885</v>
      </c>
      <c r="L13317" s="787">
        <v>918.87</v>
      </c>
      <c r="M13317" s="787">
        <v>20</v>
      </c>
      <c r="N13317" s="787">
        <v>987.79</v>
      </c>
      <c r="O13317" s="788">
        <v>41885</v>
      </c>
    </row>
    <row r="13318" spans="1:15" x14ac:dyDescent="0.25">
      <c r="A13318" s="786" t="s">
        <v>23906</v>
      </c>
      <c r="B13318" s="787">
        <v>4</v>
      </c>
      <c r="C13318" s="787" t="s">
        <v>23907</v>
      </c>
      <c r="D13318" s="787">
        <v>3.63</v>
      </c>
      <c r="E13318" s="787">
        <v>273.99</v>
      </c>
      <c r="F13318" s="788">
        <v>41974</v>
      </c>
      <c r="G13318" s="788">
        <v>42008</v>
      </c>
      <c r="H13318" s="787">
        <v>1</v>
      </c>
      <c r="I13318" s="788">
        <v>42003</v>
      </c>
      <c r="J13318" s="788">
        <v>42003</v>
      </c>
      <c r="K13318" s="788">
        <v>41960</v>
      </c>
      <c r="L13318" s="787">
        <v>272.86</v>
      </c>
      <c r="M13318" s="787">
        <v>20</v>
      </c>
      <c r="N13318" s="787">
        <v>293.32</v>
      </c>
      <c r="O13318" s="788">
        <v>41960</v>
      </c>
    </row>
    <row r="13319" spans="1:15" x14ac:dyDescent="0.25">
      <c r="A13319" s="786" t="s">
        <v>23908</v>
      </c>
      <c r="B13319" s="787">
        <v>4</v>
      </c>
      <c r="C13319" s="787" t="s">
        <v>23909</v>
      </c>
      <c r="D13319" s="787">
        <v>8.94</v>
      </c>
      <c r="E13319" s="787">
        <v>88.94</v>
      </c>
      <c r="F13319" s="788">
        <v>41974</v>
      </c>
      <c r="G13319" s="788">
        <v>42008</v>
      </c>
      <c r="H13319" s="787">
        <v>1</v>
      </c>
      <c r="I13319" s="788">
        <v>42003</v>
      </c>
      <c r="J13319" s="788">
        <v>41971</v>
      </c>
      <c r="K13319" s="788">
        <v>41960</v>
      </c>
      <c r="L13319" s="787">
        <v>87.78</v>
      </c>
      <c r="M13319" s="787">
        <v>20</v>
      </c>
      <c r="N13319" s="787">
        <v>94.36</v>
      </c>
      <c r="O13319" s="788">
        <v>41960</v>
      </c>
    </row>
    <row r="13320" spans="1:15" x14ac:dyDescent="0.25">
      <c r="A13320" s="786" t="s">
        <v>23910</v>
      </c>
      <c r="B13320" s="787">
        <v>4</v>
      </c>
      <c r="C13320" s="787" t="s">
        <v>23911</v>
      </c>
      <c r="D13320" s="787">
        <v>0</v>
      </c>
      <c r="E13320" s="787">
        <v>20.16</v>
      </c>
      <c r="H13320" s="787">
        <v>1</v>
      </c>
      <c r="I13320" s="788">
        <v>42003</v>
      </c>
      <c r="J13320" s="788">
        <v>42003</v>
      </c>
      <c r="K13320" s="788">
        <v>41960</v>
      </c>
      <c r="L13320" s="787">
        <v>20.16</v>
      </c>
      <c r="M13320" s="787">
        <v>20</v>
      </c>
      <c r="N13320" s="787">
        <v>21.67</v>
      </c>
      <c r="O13320" s="788">
        <v>41960</v>
      </c>
    </row>
    <row r="13321" spans="1:15" x14ac:dyDescent="0.25">
      <c r="A13321" s="786" t="s">
        <v>23912</v>
      </c>
      <c r="B13321" s="787">
        <v>4</v>
      </c>
      <c r="C13321" s="787" t="s">
        <v>23913</v>
      </c>
      <c r="D13321" s="787">
        <v>0</v>
      </c>
      <c r="E13321" s="787">
        <v>1.5</v>
      </c>
      <c r="H13321" s="787">
        <v>1</v>
      </c>
      <c r="I13321" s="788">
        <v>42003</v>
      </c>
      <c r="J13321" s="788">
        <v>42003</v>
      </c>
      <c r="K13321" s="788">
        <v>41960</v>
      </c>
      <c r="L13321" s="787">
        <v>1.5</v>
      </c>
      <c r="M13321" s="787">
        <v>20</v>
      </c>
      <c r="N13321" s="787">
        <v>1.61</v>
      </c>
      <c r="O13321" s="788">
        <v>41960</v>
      </c>
    </row>
    <row r="13322" spans="1:15" x14ac:dyDescent="0.25">
      <c r="A13322" s="786" t="s">
        <v>23914</v>
      </c>
      <c r="B13322" s="787">
        <v>4</v>
      </c>
      <c r="C13322" s="787" t="s">
        <v>23915</v>
      </c>
      <c r="D13322" s="787">
        <v>0</v>
      </c>
      <c r="E13322" s="787">
        <v>10.25</v>
      </c>
      <c r="F13322" s="788">
        <v>39101</v>
      </c>
      <c r="G13322" s="788">
        <v>40060</v>
      </c>
      <c r="H13322" s="787">
        <v>1</v>
      </c>
      <c r="I13322" s="788">
        <v>40212</v>
      </c>
      <c r="J13322" s="788">
        <v>40226</v>
      </c>
      <c r="L13322" s="787">
        <v>10.9</v>
      </c>
      <c r="M13322" s="787">
        <v>20</v>
      </c>
      <c r="N13322" s="787">
        <v>11.72</v>
      </c>
      <c r="O13322" s="788">
        <v>41858</v>
      </c>
    </row>
    <row r="13323" spans="1:15" x14ac:dyDescent="0.25">
      <c r="A13323" s="786" t="s">
        <v>23916</v>
      </c>
      <c r="B13323" s="787">
        <v>4</v>
      </c>
      <c r="C13323" s="787" t="s">
        <v>23917</v>
      </c>
      <c r="D13323" s="787">
        <v>7</v>
      </c>
      <c r="E13323" s="787">
        <v>77</v>
      </c>
      <c r="F13323" s="788">
        <v>38104</v>
      </c>
      <c r="G13323" s="788">
        <v>38104</v>
      </c>
      <c r="H13323" s="787">
        <v>1</v>
      </c>
      <c r="I13323" s="788">
        <v>38420</v>
      </c>
      <c r="J13323" s="788">
        <v>38091</v>
      </c>
      <c r="L13323" s="787">
        <v>83.93</v>
      </c>
      <c r="M13323" s="787">
        <v>20</v>
      </c>
      <c r="N13323" s="787">
        <v>90.22</v>
      </c>
      <c r="O13323" s="788">
        <v>41858</v>
      </c>
    </row>
    <row r="13324" spans="1:15" x14ac:dyDescent="0.25">
      <c r="A13324" s="786" t="s">
        <v>23918</v>
      </c>
      <c r="B13324" s="787">
        <v>4</v>
      </c>
      <c r="C13324" s="787" t="s">
        <v>23919</v>
      </c>
      <c r="D13324" s="787">
        <v>2.17</v>
      </c>
      <c r="E13324" s="787">
        <v>63</v>
      </c>
      <c r="F13324" s="788">
        <v>39101</v>
      </c>
      <c r="G13324" s="788">
        <v>39218</v>
      </c>
      <c r="H13324" s="787">
        <v>6</v>
      </c>
      <c r="I13324" s="788">
        <v>40084</v>
      </c>
      <c r="J13324" s="788">
        <v>40081</v>
      </c>
      <c r="L13324" s="787">
        <v>62.13</v>
      </c>
      <c r="M13324" s="787">
        <v>20</v>
      </c>
      <c r="N13324" s="787">
        <v>67.73</v>
      </c>
      <c r="O13324" s="788">
        <v>41806</v>
      </c>
    </row>
    <row r="13325" spans="1:15" x14ac:dyDescent="0.25">
      <c r="A13325" s="786" t="s">
        <v>23920</v>
      </c>
      <c r="B13325" s="787">
        <v>4</v>
      </c>
      <c r="C13325" s="787" t="s">
        <v>23921</v>
      </c>
      <c r="D13325" s="787">
        <v>3.18</v>
      </c>
      <c r="E13325" s="787">
        <v>113</v>
      </c>
      <c r="F13325" s="788">
        <v>39101</v>
      </c>
      <c r="G13325" s="788">
        <v>40046</v>
      </c>
      <c r="H13325" s="787">
        <v>6</v>
      </c>
      <c r="I13325" s="788">
        <v>40046</v>
      </c>
      <c r="J13325" s="788">
        <v>40046</v>
      </c>
      <c r="L13325" s="787">
        <v>119.21</v>
      </c>
      <c r="M13325" s="787">
        <v>20</v>
      </c>
      <c r="N13325" s="787">
        <v>121.48</v>
      </c>
      <c r="O13325" s="788">
        <v>41806</v>
      </c>
    </row>
    <row r="13326" spans="1:15" x14ac:dyDescent="0.25">
      <c r="A13326" s="786" t="s">
        <v>23922</v>
      </c>
      <c r="B13326" s="787">
        <v>4</v>
      </c>
      <c r="C13326" s="787" t="s">
        <v>23923</v>
      </c>
      <c r="D13326" s="787">
        <v>9.31</v>
      </c>
      <c r="E13326" s="787">
        <v>60</v>
      </c>
      <c r="F13326" s="788">
        <v>39101</v>
      </c>
      <c r="G13326" s="788">
        <v>39407</v>
      </c>
      <c r="H13326" s="787">
        <v>6</v>
      </c>
      <c r="I13326" s="788">
        <v>40084</v>
      </c>
      <c r="J13326" s="788">
        <v>40081</v>
      </c>
      <c r="L13326" s="787">
        <v>58.86</v>
      </c>
      <c r="M13326" s="787">
        <v>20</v>
      </c>
      <c r="N13326" s="787">
        <v>64.5</v>
      </c>
      <c r="O13326" s="788">
        <v>41806</v>
      </c>
    </row>
    <row r="13327" spans="1:15" x14ac:dyDescent="0.25">
      <c r="A13327" s="786" t="s">
        <v>23924</v>
      </c>
      <c r="B13327" s="787">
        <v>4</v>
      </c>
      <c r="C13327" s="787" t="s">
        <v>23925</v>
      </c>
      <c r="D13327" s="787">
        <v>2.38</v>
      </c>
      <c r="E13327" s="787">
        <v>146</v>
      </c>
      <c r="F13327" s="788">
        <v>39101</v>
      </c>
      <c r="G13327" s="788">
        <v>40046</v>
      </c>
      <c r="H13327" s="787">
        <v>6</v>
      </c>
      <c r="I13327" s="788">
        <v>40046</v>
      </c>
      <c r="J13327" s="788">
        <v>40046</v>
      </c>
      <c r="L13327" s="787">
        <v>143.22999999999999</v>
      </c>
      <c r="M13327" s="787">
        <v>20</v>
      </c>
      <c r="N13327" s="787">
        <v>156.94999999999999</v>
      </c>
      <c r="O13327" s="788">
        <v>41806</v>
      </c>
    </row>
    <row r="13328" spans="1:15" x14ac:dyDescent="0.25">
      <c r="A13328" s="786" t="s">
        <v>23926</v>
      </c>
      <c r="B13328" s="787">
        <v>4</v>
      </c>
      <c r="C13328" s="787" t="s">
        <v>23927</v>
      </c>
      <c r="D13328" s="787">
        <v>8.9499999999999993</v>
      </c>
      <c r="E13328" s="787">
        <v>198</v>
      </c>
      <c r="F13328" s="788">
        <v>37678</v>
      </c>
      <c r="G13328" s="788">
        <v>39485</v>
      </c>
      <c r="H13328" s="787">
        <v>6</v>
      </c>
      <c r="I13328" s="788">
        <v>40084</v>
      </c>
      <c r="J13328" s="788">
        <v>40081</v>
      </c>
      <c r="L13328" s="787">
        <v>196.2</v>
      </c>
      <c r="M13328" s="787">
        <v>20</v>
      </c>
      <c r="N13328" s="787">
        <v>212.85</v>
      </c>
      <c r="O13328" s="788">
        <v>41806</v>
      </c>
    </row>
    <row r="13329" spans="1:15" x14ac:dyDescent="0.25">
      <c r="A13329" s="786" t="s">
        <v>23928</v>
      </c>
      <c r="B13329" s="787">
        <v>4</v>
      </c>
      <c r="C13329" s="787" t="s">
        <v>23929</v>
      </c>
      <c r="D13329" s="787">
        <v>5</v>
      </c>
      <c r="E13329" s="787">
        <v>50</v>
      </c>
      <c r="F13329" s="788">
        <v>39101</v>
      </c>
      <c r="G13329" s="788">
        <v>40098</v>
      </c>
      <c r="H13329" s="787">
        <v>6</v>
      </c>
      <c r="I13329" s="788">
        <v>39134</v>
      </c>
      <c r="J13329" s="788">
        <v>40085</v>
      </c>
      <c r="L13329" s="787">
        <v>49.05</v>
      </c>
      <c r="M13329" s="787">
        <v>20</v>
      </c>
      <c r="N13329" s="787">
        <v>53.75</v>
      </c>
      <c r="O13329" s="788">
        <v>41806</v>
      </c>
    </row>
    <row r="13330" spans="1:15" x14ac:dyDescent="0.25">
      <c r="A13330" s="786" t="s">
        <v>23930</v>
      </c>
      <c r="B13330" s="787">
        <v>4</v>
      </c>
      <c r="C13330" s="787" t="s">
        <v>23931</v>
      </c>
      <c r="D13330" s="787">
        <v>6.75</v>
      </c>
      <c r="E13330" s="787">
        <v>56.75</v>
      </c>
      <c r="F13330" s="788">
        <v>39101</v>
      </c>
      <c r="G13330" s="788">
        <v>39101</v>
      </c>
      <c r="H13330" s="787">
        <v>6</v>
      </c>
      <c r="I13330" s="788">
        <v>39134</v>
      </c>
      <c r="J13330" s="788">
        <v>39149</v>
      </c>
      <c r="L13330" s="787">
        <v>61.86</v>
      </c>
      <c r="M13330" s="787">
        <v>20</v>
      </c>
      <c r="N13330" s="787">
        <v>66.5</v>
      </c>
      <c r="O13330" s="788">
        <v>41806</v>
      </c>
    </row>
    <row r="13331" spans="1:15" x14ac:dyDescent="0.25">
      <c r="A13331" s="786" t="s">
        <v>23932</v>
      </c>
      <c r="B13331" s="787">
        <v>4</v>
      </c>
      <c r="C13331" s="787" t="s">
        <v>23933</v>
      </c>
      <c r="D13331" s="787">
        <v>6.69</v>
      </c>
      <c r="E13331" s="787">
        <v>76.69</v>
      </c>
      <c r="F13331" s="788">
        <v>39101</v>
      </c>
      <c r="G13331" s="788">
        <v>39101</v>
      </c>
      <c r="H13331" s="787">
        <v>1</v>
      </c>
      <c r="I13331" s="788">
        <v>39350</v>
      </c>
      <c r="J13331" s="788">
        <v>39149</v>
      </c>
      <c r="L13331" s="787">
        <v>83.59</v>
      </c>
      <c r="M13331" s="787">
        <v>20</v>
      </c>
      <c r="N13331" s="787">
        <v>89.86</v>
      </c>
      <c r="O13331" s="788">
        <v>41858</v>
      </c>
    </row>
    <row r="13332" spans="1:15" x14ac:dyDescent="0.25">
      <c r="A13332" s="786" t="s">
        <v>23934</v>
      </c>
      <c r="B13332" s="787">
        <v>4</v>
      </c>
      <c r="C13332" s="787" t="s">
        <v>23935</v>
      </c>
      <c r="D13332" s="787">
        <v>5</v>
      </c>
      <c r="E13332" s="787">
        <v>127</v>
      </c>
      <c r="F13332" s="788">
        <v>39101</v>
      </c>
      <c r="G13332" s="788">
        <v>40046</v>
      </c>
      <c r="H13332" s="787">
        <v>6</v>
      </c>
      <c r="I13332" s="788">
        <v>40046</v>
      </c>
      <c r="J13332" s="788">
        <v>40046</v>
      </c>
      <c r="K13332" s="788">
        <v>41869</v>
      </c>
      <c r="L13332" s="787">
        <v>127</v>
      </c>
      <c r="M13332" s="787">
        <v>20</v>
      </c>
      <c r="N13332" s="787">
        <v>136.53</v>
      </c>
      <c r="O13332" s="788">
        <v>41806</v>
      </c>
    </row>
    <row r="13333" spans="1:15" x14ac:dyDescent="0.25">
      <c r="A13333" s="786" t="s">
        <v>23936</v>
      </c>
      <c r="B13333" s="787">
        <v>4</v>
      </c>
      <c r="C13333" s="787" t="s">
        <v>23937</v>
      </c>
      <c r="D13333" s="787">
        <v>8.9499999999999993</v>
      </c>
      <c r="E13333" s="787">
        <v>178.95</v>
      </c>
      <c r="F13333" s="788">
        <v>37641</v>
      </c>
      <c r="G13333" s="788">
        <v>37641</v>
      </c>
      <c r="H13333" s="787">
        <v>1</v>
      </c>
      <c r="J13333" s="788">
        <v>37641</v>
      </c>
      <c r="L13333" s="787">
        <v>195.06</v>
      </c>
      <c r="M13333" s="787">
        <v>20</v>
      </c>
      <c r="N13333" s="787">
        <v>209.69</v>
      </c>
      <c r="O13333" s="788">
        <v>41858</v>
      </c>
    </row>
    <row r="13334" spans="1:15" x14ac:dyDescent="0.25">
      <c r="A13334" s="786" t="s">
        <v>23938</v>
      </c>
      <c r="B13334" s="787">
        <v>4</v>
      </c>
      <c r="C13334" s="787" t="s">
        <v>23939</v>
      </c>
      <c r="D13334" s="787">
        <v>8.9499999999999993</v>
      </c>
      <c r="E13334" s="787">
        <v>178.95</v>
      </c>
      <c r="F13334" s="788">
        <v>37641</v>
      </c>
      <c r="G13334" s="788">
        <v>37641</v>
      </c>
      <c r="H13334" s="787">
        <v>1</v>
      </c>
      <c r="J13334" s="788">
        <v>37641</v>
      </c>
      <c r="L13334" s="787">
        <v>195.06</v>
      </c>
      <c r="M13334" s="787">
        <v>20</v>
      </c>
      <c r="N13334" s="787">
        <v>209.69</v>
      </c>
      <c r="O13334" s="788">
        <v>41858</v>
      </c>
    </row>
    <row r="13335" spans="1:15" x14ac:dyDescent="0.25">
      <c r="A13335" s="786" t="s">
        <v>23940</v>
      </c>
      <c r="B13335" s="787">
        <v>4</v>
      </c>
      <c r="C13335" s="787" t="s">
        <v>23941</v>
      </c>
      <c r="D13335" s="787">
        <v>8.9499999999999993</v>
      </c>
      <c r="E13335" s="787">
        <v>178.95</v>
      </c>
      <c r="F13335" s="788">
        <v>37641</v>
      </c>
      <c r="G13335" s="788">
        <v>37641</v>
      </c>
      <c r="H13335" s="787">
        <v>1</v>
      </c>
      <c r="J13335" s="788">
        <v>37641</v>
      </c>
      <c r="L13335" s="787">
        <v>195.06</v>
      </c>
      <c r="M13335" s="787">
        <v>20</v>
      </c>
      <c r="N13335" s="787">
        <v>209.69</v>
      </c>
      <c r="O13335" s="788">
        <v>41858</v>
      </c>
    </row>
    <row r="13336" spans="1:15" x14ac:dyDescent="0.25">
      <c r="A13336" s="786" t="s">
        <v>23942</v>
      </c>
      <c r="B13336" s="787">
        <v>4</v>
      </c>
      <c r="C13336" s="787" t="s">
        <v>23943</v>
      </c>
      <c r="D13336" s="787">
        <v>4.7</v>
      </c>
      <c r="E13336" s="787">
        <v>64</v>
      </c>
      <c r="F13336" s="788">
        <v>39101</v>
      </c>
      <c r="G13336" s="788">
        <v>39101</v>
      </c>
      <c r="H13336" s="787">
        <v>6</v>
      </c>
      <c r="I13336" s="788">
        <v>39134</v>
      </c>
      <c r="J13336" s="788">
        <v>39149</v>
      </c>
      <c r="L13336" s="787">
        <v>72.150000000000006</v>
      </c>
      <c r="M13336" s="787">
        <v>20</v>
      </c>
      <c r="N13336" s="787">
        <v>68.8</v>
      </c>
      <c r="O13336" s="788">
        <v>41806</v>
      </c>
    </row>
    <row r="13337" spans="1:15" x14ac:dyDescent="0.25">
      <c r="A13337" s="786" t="s">
        <v>23944</v>
      </c>
      <c r="B13337" s="787">
        <v>4</v>
      </c>
      <c r="C13337" s="787" t="s">
        <v>23945</v>
      </c>
      <c r="D13337" s="787">
        <v>1.34</v>
      </c>
      <c r="E13337" s="787">
        <v>151.34</v>
      </c>
      <c r="F13337" s="788">
        <v>38047</v>
      </c>
      <c r="G13337" s="788">
        <v>38047</v>
      </c>
      <c r="H13337" s="787">
        <v>6</v>
      </c>
      <c r="I13337" s="788">
        <v>37181</v>
      </c>
      <c r="J13337" s="788">
        <v>38047</v>
      </c>
      <c r="L13337" s="787">
        <v>164.96</v>
      </c>
      <c r="M13337" s="787">
        <v>20</v>
      </c>
      <c r="N13337" s="787">
        <v>162.69</v>
      </c>
      <c r="O13337" s="788">
        <v>41806</v>
      </c>
    </row>
    <row r="13338" spans="1:15" x14ac:dyDescent="0.25">
      <c r="A13338" s="786" t="s">
        <v>23946</v>
      </c>
      <c r="B13338" s="787">
        <v>4</v>
      </c>
      <c r="C13338" s="787" t="s">
        <v>23947</v>
      </c>
      <c r="D13338" s="787">
        <v>6.62</v>
      </c>
      <c r="E13338" s="787">
        <v>209</v>
      </c>
      <c r="F13338" s="788">
        <v>37641</v>
      </c>
      <c r="G13338" s="788">
        <v>39638</v>
      </c>
      <c r="H13338" s="787">
        <v>1</v>
      </c>
      <c r="I13338" s="788">
        <v>38350</v>
      </c>
      <c r="J13338" s="788">
        <v>39639</v>
      </c>
      <c r="L13338" s="787">
        <v>239.56</v>
      </c>
      <c r="M13338" s="787">
        <v>20</v>
      </c>
      <c r="N13338" s="787">
        <v>257.52999999999997</v>
      </c>
      <c r="O13338" s="788">
        <v>41858</v>
      </c>
    </row>
    <row r="13339" spans="1:15" x14ac:dyDescent="0.25">
      <c r="A13339" s="786" t="s">
        <v>23948</v>
      </c>
      <c r="B13339" s="787">
        <v>4</v>
      </c>
      <c r="C13339" s="787" t="s">
        <v>23949</v>
      </c>
      <c r="D13339" s="787">
        <v>8.57</v>
      </c>
      <c r="E13339" s="787">
        <v>48.57</v>
      </c>
      <c r="F13339" s="788">
        <v>37641</v>
      </c>
      <c r="G13339" s="788">
        <v>37641</v>
      </c>
      <c r="H13339" s="787">
        <v>1</v>
      </c>
      <c r="I13339" s="788">
        <v>37105</v>
      </c>
      <c r="J13339" s="788">
        <v>37641</v>
      </c>
      <c r="L13339" s="787">
        <v>52.94</v>
      </c>
      <c r="M13339" s="787">
        <v>20</v>
      </c>
      <c r="N13339" s="787">
        <v>56.91</v>
      </c>
      <c r="O13339" s="788">
        <v>41858</v>
      </c>
    </row>
    <row r="13340" spans="1:15" x14ac:dyDescent="0.25">
      <c r="A13340" s="786" t="s">
        <v>23950</v>
      </c>
      <c r="B13340" s="787">
        <v>4</v>
      </c>
      <c r="C13340" s="787" t="s">
        <v>23951</v>
      </c>
      <c r="D13340" s="787">
        <v>9.31</v>
      </c>
      <c r="E13340" s="787">
        <v>59.31</v>
      </c>
      <c r="F13340" s="788">
        <v>37641</v>
      </c>
      <c r="G13340" s="788">
        <v>37641</v>
      </c>
      <c r="H13340" s="787">
        <v>1</v>
      </c>
      <c r="I13340" s="788">
        <v>41618</v>
      </c>
      <c r="J13340" s="788">
        <v>37641</v>
      </c>
      <c r="L13340" s="787">
        <v>64.650000000000006</v>
      </c>
      <c r="M13340" s="787">
        <v>20</v>
      </c>
      <c r="N13340" s="787">
        <v>69.5</v>
      </c>
      <c r="O13340" s="788">
        <v>41858</v>
      </c>
    </row>
    <row r="13341" spans="1:15" x14ac:dyDescent="0.25">
      <c r="A13341" s="786" t="s">
        <v>23952</v>
      </c>
      <c r="B13341" s="787">
        <v>4</v>
      </c>
      <c r="C13341" s="787" t="s">
        <v>23953</v>
      </c>
      <c r="D13341" s="787">
        <v>2.17</v>
      </c>
      <c r="E13341" s="787">
        <v>62.17</v>
      </c>
      <c r="F13341" s="788">
        <v>37641</v>
      </c>
      <c r="G13341" s="788">
        <v>37641</v>
      </c>
      <c r="H13341" s="787">
        <v>1</v>
      </c>
      <c r="J13341" s="788">
        <v>37641</v>
      </c>
      <c r="L13341" s="787">
        <v>67.77</v>
      </c>
      <c r="M13341" s="787">
        <v>20</v>
      </c>
      <c r="N13341" s="787">
        <v>72.849999999999994</v>
      </c>
      <c r="O13341" s="788">
        <v>41858</v>
      </c>
    </row>
    <row r="13342" spans="1:15" x14ac:dyDescent="0.25">
      <c r="A13342" s="786" t="s">
        <v>23954</v>
      </c>
      <c r="B13342" s="787">
        <v>4</v>
      </c>
      <c r="C13342" s="787" t="s">
        <v>23955</v>
      </c>
      <c r="D13342" s="787">
        <v>5.31</v>
      </c>
      <c r="E13342" s="787">
        <v>25.31</v>
      </c>
      <c r="F13342" s="788">
        <v>37641</v>
      </c>
      <c r="G13342" s="788">
        <v>37641</v>
      </c>
      <c r="H13342" s="787">
        <v>1</v>
      </c>
      <c r="I13342" s="788">
        <v>37383</v>
      </c>
      <c r="J13342" s="788">
        <v>37641</v>
      </c>
      <c r="L13342" s="787">
        <v>27.59</v>
      </c>
      <c r="M13342" s="787">
        <v>20</v>
      </c>
      <c r="N13342" s="787">
        <v>29.66</v>
      </c>
      <c r="O13342" s="788">
        <v>41858</v>
      </c>
    </row>
    <row r="13343" spans="1:15" x14ac:dyDescent="0.25">
      <c r="A13343" s="786" t="s">
        <v>23956</v>
      </c>
      <c r="B13343" s="787">
        <v>4</v>
      </c>
      <c r="C13343" s="787" t="s">
        <v>23957</v>
      </c>
      <c r="D13343" s="787">
        <v>3.46</v>
      </c>
      <c r="E13343" s="787">
        <v>43.46</v>
      </c>
      <c r="F13343" s="788">
        <v>37641</v>
      </c>
      <c r="G13343" s="788">
        <v>37641</v>
      </c>
      <c r="H13343" s="787">
        <v>6</v>
      </c>
      <c r="I13343" s="788">
        <v>37841</v>
      </c>
      <c r="J13343" s="788">
        <v>37641</v>
      </c>
      <c r="L13343" s="787">
        <v>47.37</v>
      </c>
      <c r="M13343" s="787">
        <v>20</v>
      </c>
      <c r="N13343" s="787">
        <v>46.72</v>
      </c>
      <c r="O13343" s="788">
        <v>41806</v>
      </c>
    </row>
    <row r="13344" spans="1:15" x14ac:dyDescent="0.25">
      <c r="A13344" s="786" t="s">
        <v>23958</v>
      </c>
      <c r="B13344" s="787">
        <v>4</v>
      </c>
      <c r="C13344" s="787" t="s">
        <v>23959</v>
      </c>
      <c r="D13344" s="787">
        <v>0.9</v>
      </c>
      <c r="E13344" s="787">
        <v>40.9</v>
      </c>
      <c r="F13344" s="788">
        <v>37641</v>
      </c>
      <c r="G13344" s="788">
        <v>37641</v>
      </c>
      <c r="H13344" s="787">
        <v>1</v>
      </c>
      <c r="J13344" s="788">
        <v>37641</v>
      </c>
      <c r="L13344" s="787">
        <v>44.58</v>
      </c>
      <c r="M13344" s="787">
        <v>20</v>
      </c>
      <c r="N13344" s="787">
        <v>47.92</v>
      </c>
      <c r="O13344" s="788">
        <v>41858</v>
      </c>
    </row>
    <row r="13345" spans="1:15" x14ac:dyDescent="0.25">
      <c r="A13345" s="786" t="s">
        <v>23960</v>
      </c>
      <c r="B13345" s="787">
        <v>4</v>
      </c>
      <c r="C13345" s="787" t="s">
        <v>23961</v>
      </c>
      <c r="D13345" s="787">
        <v>5</v>
      </c>
      <c r="E13345" s="787">
        <v>175</v>
      </c>
      <c r="F13345" s="788">
        <v>39798</v>
      </c>
      <c r="G13345" s="788">
        <v>39798</v>
      </c>
      <c r="H13345" s="787">
        <v>1</v>
      </c>
      <c r="I13345" s="788">
        <v>40400</v>
      </c>
      <c r="J13345" s="788">
        <v>40821</v>
      </c>
      <c r="L13345" s="787">
        <v>207.1</v>
      </c>
      <c r="M13345" s="787">
        <v>20</v>
      </c>
      <c r="N13345" s="787">
        <v>222.63</v>
      </c>
      <c r="O13345" s="788">
        <v>41858</v>
      </c>
    </row>
    <row r="13346" spans="1:15" x14ac:dyDescent="0.25">
      <c r="A13346" s="786" t="s">
        <v>23962</v>
      </c>
      <c r="B13346" s="787">
        <v>4</v>
      </c>
      <c r="C13346" s="787" t="s">
        <v>23963</v>
      </c>
      <c r="D13346" s="787">
        <v>7.82</v>
      </c>
      <c r="E13346" s="787">
        <v>130</v>
      </c>
      <c r="F13346" s="788">
        <v>37641</v>
      </c>
      <c r="G13346" s="788">
        <v>38908</v>
      </c>
      <c r="H13346" s="787">
        <v>1</v>
      </c>
      <c r="I13346" s="788">
        <v>38974</v>
      </c>
      <c r="J13346" s="788">
        <v>38903</v>
      </c>
      <c r="L13346" s="787">
        <v>141.69999999999999</v>
      </c>
      <c r="M13346" s="787">
        <v>20</v>
      </c>
      <c r="N13346" s="787">
        <v>152.33000000000001</v>
      </c>
      <c r="O13346" s="788">
        <v>41858</v>
      </c>
    </row>
    <row r="13347" spans="1:15" x14ac:dyDescent="0.25">
      <c r="A13347" s="786" t="s">
        <v>23964</v>
      </c>
      <c r="B13347" s="787">
        <v>4</v>
      </c>
      <c r="C13347" s="787" t="s">
        <v>23965</v>
      </c>
      <c r="D13347" s="787">
        <v>5</v>
      </c>
      <c r="E13347" s="787">
        <v>350</v>
      </c>
      <c r="F13347" s="788">
        <v>38250</v>
      </c>
      <c r="G13347" s="788">
        <v>39217</v>
      </c>
      <c r="H13347" s="787">
        <v>6</v>
      </c>
      <c r="I13347" s="788">
        <v>38181</v>
      </c>
      <c r="J13347" s="788">
        <v>39217</v>
      </c>
      <c r="L13347" s="787">
        <v>190.75</v>
      </c>
      <c r="M13347" s="787">
        <v>20</v>
      </c>
      <c r="N13347" s="787">
        <v>376.25</v>
      </c>
      <c r="O13347" s="788">
        <v>41806</v>
      </c>
    </row>
    <row r="13348" spans="1:15" x14ac:dyDescent="0.25">
      <c r="A13348" s="786" t="s">
        <v>23966</v>
      </c>
      <c r="B13348" s="787">
        <v>4</v>
      </c>
      <c r="C13348" s="787" t="s">
        <v>23967</v>
      </c>
      <c r="D13348" s="787">
        <v>0</v>
      </c>
      <c r="E13348" s="787">
        <v>150</v>
      </c>
      <c r="F13348" s="788">
        <v>38180</v>
      </c>
      <c r="G13348" s="788">
        <v>38180</v>
      </c>
      <c r="H13348" s="787">
        <v>1</v>
      </c>
      <c r="J13348" s="788">
        <v>38176</v>
      </c>
      <c r="L13348" s="787">
        <v>163.5</v>
      </c>
      <c r="M13348" s="787">
        <v>20</v>
      </c>
      <c r="N13348" s="787">
        <v>175.76</v>
      </c>
      <c r="O13348" s="788">
        <v>41858</v>
      </c>
    </row>
    <row r="13349" spans="1:15" x14ac:dyDescent="0.25">
      <c r="A13349" s="786" t="s">
        <v>23968</v>
      </c>
      <c r="B13349" s="787">
        <v>4</v>
      </c>
      <c r="C13349" s="787" t="s">
        <v>23969</v>
      </c>
      <c r="D13349" s="787">
        <v>7.82</v>
      </c>
      <c r="E13349" s="787">
        <v>130</v>
      </c>
      <c r="F13349" s="788">
        <v>37641</v>
      </c>
      <c r="G13349" s="788">
        <v>38903</v>
      </c>
      <c r="H13349" s="787">
        <v>1</v>
      </c>
      <c r="I13349" s="788">
        <v>39798</v>
      </c>
      <c r="J13349" s="788">
        <v>39798</v>
      </c>
      <c r="K13349" s="788">
        <v>38702</v>
      </c>
      <c r="L13349" s="787">
        <v>141.69999999999999</v>
      </c>
      <c r="M13349" s="787">
        <v>20</v>
      </c>
      <c r="N13349" s="787">
        <v>152.33000000000001</v>
      </c>
      <c r="O13349" s="788">
        <v>41858</v>
      </c>
    </row>
    <row r="13350" spans="1:15" x14ac:dyDescent="0.25">
      <c r="A13350" s="786" t="s">
        <v>23970</v>
      </c>
      <c r="B13350" s="787">
        <v>4</v>
      </c>
      <c r="C13350" s="787" t="s">
        <v>23971</v>
      </c>
      <c r="D13350" s="787">
        <v>4.04</v>
      </c>
      <c r="E13350" s="787">
        <v>242.24</v>
      </c>
      <c r="F13350" s="788">
        <v>38953</v>
      </c>
      <c r="G13350" s="788">
        <v>40504</v>
      </c>
      <c r="H13350" s="787">
        <v>1</v>
      </c>
      <c r="I13350" s="788">
        <v>39570</v>
      </c>
      <c r="J13350" s="788">
        <v>40505</v>
      </c>
      <c r="L13350" s="787">
        <v>242.24</v>
      </c>
      <c r="M13350" s="787">
        <v>20</v>
      </c>
      <c r="N13350" s="787">
        <v>260.41000000000003</v>
      </c>
      <c r="O13350" s="788">
        <v>41858</v>
      </c>
    </row>
    <row r="13351" spans="1:15" x14ac:dyDescent="0.25">
      <c r="A13351" s="786" t="s">
        <v>23972</v>
      </c>
      <c r="B13351" s="787">
        <v>4</v>
      </c>
      <c r="C13351" s="787" t="s">
        <v>23973</v>
      </c>
      <c r="D13351" s="787">
        <v>7.25</v>
      </c>
      <c r="E13351" s="787">
        <v>147.19999999999999</v>
      </c>
      <c r="F13351" s="788">
        <v>37641</v>
      </c>
      <c r="G13351" s="788">
        <v>42013</v>
      </c>
      <c r="H13351" s="787">
        <v>1</v>
      </c>
      <c r="I13351" s="788">
        <v>41669</v>
      </c>
      <c r="J13351" s="788">
        <v>41535</v>
      </c>
      <c r="K13351" s="788">
        <v>41869</v>
      </c>
      <c r="L13351" s="787">
        <v>147.19999999999999</v>
      </c>
      <c r="M13351" s="787">
        <v>20</v>
      </c>
      <c r="N13351" s="787">
        <v>298.8</v>
      </c>
      <c r="O13351" s="788">
        <v>41858</v>
      </c>
    </row>
    <row r="13352" spans="1:15" x14ac:dyDescent="0.25">
      <c r="A13352" s="786" t="s">
        <v>23974</v>
      </c>
      <c r="B13352" s="787">
        <v>4</v>
      </c>
      <c r="C13352" s="787" t="s">
        <v>23975</v>
      </c>
      <c r="D13352" s="787">
        <v>3.63</v>
      </c>
      <c r="E13352" s="787">
        <v>3.63</v>
      </c>
      <c r="F13352" s="788">
        <v>38258</v>
      </c>
      <c r="G13352" s="788">
        <v>38258</v>
      </c>
      <c r="H13352" s="787">
        <v>6</v>
      </c>
      <c r="J13352" s="788">
        <v>38279</v>
      </c>
      <c r="L13352" s="787">
        <v>3.96</v>
      </c>
      <c r="M13352" s="787">
        <v>20</v>
      </c>
      <c r="N13352" s="787">
        <v>3.9</v>
      </c>
      <c r="O13352" s="788">
        <v>41806</v>
      </c>
    </row>
    <row r="13353" spans="1:15" x14ac:dyDescent="0.25">
      <c r="A13353" s="786" t="s">
        <v>23976</v>
      </c>
      <c r="B13353" s="787">
        <v>4</v>
      </c>
      <c r="C13353" s="787" t="s">
        <v>23977</v>
      </c>
      <c r="D13353" s="787">
        <v>7.08</v>
      </c>
      <c r="E13353" s="787">
        <v>54.88</v>
      </c>
      <c r="F13353" s="788">
        <v>39953</v>
      </c>
      <c r="G13353" s="788">
        <v>41453</v>
      </c>
      <c r="H13353" s="787">
        <v>6</v>
      </c>
      <c r="I13353" s="788">
        <v>42065</v>
      </c>
      <c r="J13353" s="788">
        <v>41676</v>
      </c>
      <c r="K13353" s="788">
        <v>40939</v>
      </c>
      <c r="L13353" s="787">
        <v>66.91</v>
      </c>
      <c r="M13353" s="787">
        <v>20</v>
      </c>
      <c r="N13353" s="787">
        <v>71.930000000000007</v>
      </c>
      <c r="O13353" s="788">
        <v>41893</v>
      </c>
    </row>
    <row r="13354" spans="1:15" x14ac:dyDescent="0.25">
      <c r="A13354" s="786" t="s">
        <v>23978</v>
      </c>
      <c r="B13354" s="787">
        <v>4</v>
      </c>
      <c r="C13354" s="787" t="s">
        <v>23979</v>
      </c>
      <c r="D13354" s="787">
        <v>3.02</v>
      </c>
      <c r="E13354" s="787">
        <v>233.02</v>
      </c>
      <c r="F13354" s="788">
        <v>40302</v>
      </c>
      <c r="G13354" s="788">
        <v>40302</v>
      </c>
      <c r="H13354" s="787">
        <v>1</v>
      </c>
      <c r="J13354" s="788">
        <v>40262</v>
      </c>
      <c r="L13354" s="787">
        <v>233.02</v>
      </c>
      <c r="M13354" s="787">
        <v>20</v>
      </c>
      <c r="N13354" s="787">
        <v>250.5</v>
      </c>
      <c r="O13354" s="788">
        <v>41858</v>
      </c>
    </row>
    <row r="13355" spans="1:15" x14ac:dyDescent="0.25">
      <c r="A13355" s="786" t="s">
        <v>23980</v>
      </c>
      <c r="B13355" s="787">
        <v>4</v>
      </c>
      <c r="C13355" s="787" t="s">
        <v>23981</v>
      </c>
      <c r="D13355" s="787">
        <v>2.62</v>
      </c>
      <c r="E13355" s="787">
        <v>334.47</v>
      </c>
      <c r="F13355" s="788">
        <v>40365</v>
      </c>
      <c r="G13355" s="788">
        <v>41565</v>
      </c>
      <c r="H13355" s="787">
        <v>1</v>
      </c>
      <c r="I13355" s="788">
        <v>41396</v>
      </c>
      <c r="J13355" s="788">
        <v>41303</v>
      </c>
      <c r="L13355" s="787">
        <v>334.47</v>
      </c>
      <c r="M13355" s="787">
        <v>20</v>
      </c>
      <c r="N13355" s="787">
        <v>359.56</v>
      </c>
      <c r="O13355" s="788">
        <v>41858</v>
      </c>
    </row>
    <row r="13356" spans="1:15" x14ac:dyDescent="0.25">
      <c r="A13356" s="786" t="s">
        <v>23982</v>
      </c>
      <c r="B13356" s="787">
        <v>4</v>
      </c>
      <c r="C13356" s="787" t="s">
        <v>23983</v>
      </c>
      <c r="D13356" s="787">
        <v>7.28</v>
      </c>
      <c r="E13356" s="787">
        <v>427.28</v>
      </c>
      <c r="F13356" s="788">
        <v>40955</v>
      </c>
      <c r="G13356" s="788">
        <v>40955</v>
      </c>
      <c r="H13356" s="787">
        <v>1</v>
      </c>
      <c r="I13356" s="788">
        <v>41894</v>
      </c>
      <c r="J13356" s="788">
        <v>40947</v>
      </c>
      <c r="K13356" s="788">
        <v>41284</v>
      </c>
      <c r="L13356" s="787">
        <v>430</v>
      </c>
      <c r="M13356" s="787">
        <v>20</v>
      </c>
      <c r="N13356" s="787">
        <v>462.25</v>
      </c>
      <c r="O13356" s="788">
        <v>41858</v>
      </c>
    </row>
    <row r="13357" spans="1:15" x14ac:dyDescent="0.25">
      <c r="A13357" s="786" t="s">
        <v>23984</v>
      </c>
      <c r="B13357" s="787">
        <v>4</v>
      </c>
      <c r="C13357" s="787" t="s">
        <v>23985</v>
      </c>
      <c r="D13357" s="787">
        <v>5.56</v>
      </c>
      <c r="E13357" s="787">
        <v>25.56</v>
      </c>
      <c r="F13357" s="788">
        <v>37641</v>
      </c>
      <c r="G13357" s="788">
        <v>37641</v>
      </c>
      <c r="H13357" s="787">
        <v>1</v>
      </c>
      <c r="J13357" s="788">
        <v>37641</v>
      </c>
      <c r="L13357" s="787">
        <v>27.86</v>
      </c>
      <c r="M13357" s="787">
        <v>20</v>
      </c>
      <c r="N13357" s="787">
        <v>29.95</v>
      </c>
      <c r="O13357" s="788">
        <v>41858</v>
      </c>
    </row>
    <row r="13358" spans="1:15" x14ac:dyDescent="0.25">
      <c r="A13358" s="786" t="s">
        <v>23986</v>
      </c>
      <c r="B13358" s="787">
        <v>4</v>
      </c>
      <c r="C13358" s="787" t="s">
        <v>23987</v>
      </c>
      <c r="D13358" s="787">
        <v>5</v>
      </c>
      <c r="E13358" s="787">
        <v>85</v>
      </c>
      <c r="F13358" s="788">
        <v>38000</v>
      </c>
      <c r="G13358" s="788">
        <v>39335</v>
      </c>
      <c r="H13358" s="787">
        <v>1</v>
      </c>
      <c r="I13358" s="788">
        <v>41019</v>
      </c>
      <c r="J13358" s="788">
        <v>40737</v>
      </c>
      <c r="L13358" s="787">
        <v>100.01</v>
      </c>
      <c r="M13358" s="787">
        <v>20</v>
      </c>
      <c r="N13358" s="787">
        <v>107.51</v>
      </c>
      <c r="O13358" s="788">
        <v>41858</v>
      </c>
    </row>
    <row r="13359" spans="1:15" x14ac:dyDescent="0.25">
      <c r="A13359" s="786" t="s">
        <v>23988</v>
      </c>
      <c r="B13359" s="787">
        <v>4</v>
      </c>
      <c r="C13359" s="787" t="s">
        <v>23989</v>
      </c>
      <c r="D13359" s="787">
        <v>0.08</v>
      </c>
      <c r="E13359" s="787">
        <v>0.08</v>
      </c>
      <c r="F13359" s="788">
        <v>41582</v>
      </c>
      <c r="G13359" s="788">
        <v>41526</v>
      </c>
      <c r="H13359" s="787">
        <v>1</v>
      </c>
      <c r="I13359" s="788">
        <v>42164</v>
      </c>
      <c r="J13359" s="788">
        <v>42150</v>
      </c>
      <c r="K13359" s="788">
        <v>41450</v>
      </c>
      <c r="L13359" s="787">
        <v>0.08</v>
      </c>
      <c r="M13359" s="787">
        <v>20</v>
      </c>
      <c r="N13359" s="787">
        <v>0.09</v>
      </c>
      <c r="O13359" s="788">
        <v>41858</v>
      </c>
    </row>
    <row r="13360" spans="1:15" x14ac:dyDescent="0.25">
      <c r="A13360" s="786" t="s">
        <v>23990</v>
      </c>
      <c r="B13360" s="787">
        <v>4</v>
      </c>
      <c r="C13360" s="787" t="s">
        <v>23991</v>
      </c>
      <c r="D13360" s="787">
        <v>0.08</v>
      </c>
      <c r="E13360" s="787">
        <v>0.08</v>
      </c>
      <c r="F13360" s="788">
        <v>41520</v>
      </c>
      <c r="G13360" s="788">
        <v>41563</v>
      </c>
      <c r="H13360" s="787">
        <v>1</v>
      </c>
      <c r="J13360" s="788">
        <v>41516</v>
      </c>
      <c r="K13360" s="788">
        <v>41864</v>
      </c>
      <c r="L13360" s="787">
        <v>0.05</v>
      </c>
      <c r="M13360" s="787">
        <v>20</v>
      </c>
      <c r="N13360" s="787">
        <v>0.01</v>
      </c>
      <c r="O13360" s="788">
        <v>41858</v>
      </c>
    </row>
    <row r="13361" spans="1:15" x14ac:dyDescent="0.25">
      <c r="A13361" s="786" t="s">
        <v>23992</v>
      </c>
      <c r="B13361" s="787">
        <v>4</v>
      </c>
      <c r="C13361" s="787" t="s">
        <v>23993</v>
      </c>
      <c r="D13361" s="787">
        <v>3.01</v>
      </c>
      <c r="E13361" s="787">
        <v>23.01</v>
      </c>
      <c r="F13361" s="788">
        <v>37641</v>
      </c>
      <c r="G13361" s="788">
        <v>37641</v>
      </c>
      <c r="H13361" s="787">
        <v>1</v>
      </c>
      <c r="J13361" s="788">
        <v>37641</v>
      </c>
      <c r="L13361" s="787">
        <v>25.08</v>
      </c>
      <c r="M13361" s="787">
        <v>20</v>
      </c>
      <c r="N13361" s="787">
        <v>26.96</v>
      </c>
      <c r="O13361" s="788">
        <v>41858</v>
      </c>
    </row>
    <row r="13362" spans="1:15" x14ac:dyDescent="0.25">
      <c r="A13362" s="786" t="s">
        <v>23994</v>
      </c>
      <c r="B13362" s="787">
        <v>4</v>
      </c>
      <c r="C13362" s="787" t="s">
        <v>23995</v>
      </c>
      <c r="D13362" s="787">
        <v>0.28999999999999998</v>
      </c>
      <c r="E13362" s="787">
        <v>0.28999999999999998</v>
      </c>
      <c r="F13362" s="788">
        <v>41745</v>
      </c>
      <c r="G13362" s="788">
        <v>41892</v>
      </c>
      <c r="H13362" s="787">
        <v>1</v>
      </c>
      <c r="I13362" s="788">
        <v>42068</v>
      </c>
      <c r="J13362" s="788">
        <v>41757</v>
      </c>
      <c r="K13362" s="788">
        <v>41711</v>
      </c>
      <c r="L13362" s="787">
        <v>0.3</v>
      </c>
      <c r="M13362" s="787">
        <v>20</v>
      </c>
      <c r="N13362" s="787">
        <v>0.32</v>
      </c>
      <c r="O13362" s="788">
        <v>42065</v>
      </c>
    </row>
    <row r="13363" spans="1:15" x14ac:dyDescent="0.25">
      <c r="A13363" s="786" t="s">
        <v>23996</v>
      </c>
      <c r="B13363" s="787">
        <v>4</v>
      </c>
      <c r="C13363" s="787" t="s">
        <v>23997</v>
      </c>
      <c r="D13363" s="787">
        <v>2.29</v>
      </c>
      <c r="E13363" s="787">
        <v>2.29</v>
      </c>
      <c r="F13363" s="788">
        <v>37641</v>
      </c>
      <c r="G13363" s="788">
        <v>38364</v>
      </c>
      <c r="H13363" s="787">
        <v>1</v>
      </c>
      <c r="I13363" s="788">
        <v>36949</v>
      </c>
      <c r="J13363" s="788">
        <v>37641</v>
      </c>
      <c r="L13363" s="787">
        <v>2.5</v>
      </c>
      <c r="M13363" s="787">
        <v>20</v>
      </c>
      <c r="N13363" s="787">
        <v>2.69</v>
      </c>
      <c r="O13363" s="788">
        <v>41858</v>
      </c>
    </row>
    <row r="13364" spans="1:15" x14ac:dyDescent="0.25">
      <c r="A13364" s="786" t="s">
        <v>23998</v>
      </c>
      <c r="B13364" s="787">
        <v>4</v>
      </c>
      <c r="C13364" s="787" t="s">
        <v>23999</v>
      </c>
      <c r="D13364" s="787">
        <v>2.29</v>
      </c>
      <c r="E13364" s="787">
        <v>2.29</v>
      </c>
      <c r="F13364" s="788">
        <v>39101</v>
      </c>
      <c r="G13364" s="788">
        <v>39101</v>
      </c>
      <c r="H13364" s="787">
        <v>1</v>
      </c>
      <c r="I13364" s="788">
        <v>39443</v>
      </c>
      <c r="J13364" s="788">
        <v>39505</v>
      </c>
      <c r="L13364" s="787">
        <v>2.5</v>
      </c>
      <c r="M13364" s="787">
        <v>20</v>
      </c>
      <c r="N13364" s="787">
        <v>2.69</v>
      </c>
      <c r="O13364" s="788">
        <v>41858</v>
      </c>
    </row>
    <row r="13365" spans="1:15" x14ac:dyDescent="0.25">
      <c r="A13365" s="786" t="s">
        <v>24000</v>
      </c>
      <c r="B13365" s="787">
        <v>4</v>
      </c>
      <c r="C13365" s="787" t="s">
        <v>24001</v>
      </c>
      <c r="D13365" s="787">
        <v>3.78</v>
      </c>
      <c r="E13365" s="787">
        <v>3.78</v>
      </c>
      <c r="F13365" s="788">
        <v>39101</v>
      </c>
      <c r="G13365" s="788">
        <v>39101</v>
      </c>
      <c r="H13365" s="787">
        <v>1</v>
      </c>
      <c r="I13365" s="788">
        <v>39134</v>
      </c>
      <c r="J13365" s="788">
        <v>39149</v>
      </c>
      <c r="L13365" s="787">
        <v>4.12</v>
      </c>
      <c r="M13365" s="787">
        <v>20</v>
      </c>
      <c r="N13365" s="787">
        <v>4.43</v>
      </c>
      <c r="O13365" s="788">
        <v>41858</v>
      </c>
    </row>
    <row r="13366" spans="1:15" x14ac:dyDescent="0.25">
      <c r="A13366" s="786" t="s">
        <v>24002</v>
      </c>
      <c r="B13366" s="787">
        <v>4</v>
      </c>
      <c r="C13366" s="787" t="s">
        <v>24003</v>
      </c>
      <c r="D13366" s="787">
        <v>5.61</v>
      </c>
      <c r="E13366" s="787">
        <v>95.61</v>
      </c>
      <c r="F13366" s="788">
        <v>37641</v>
      </c>
      <c r="G13366" s="788">
        <v>37641</v>
      </c>
      <c r="H13366" s="787">
        <v>1</v>
      </c>
      <c r="I13366" s="788">
        <v>36978</v>
      </c>
      <c r="J13366" s="788">
        <v>37641</v>
      </c>
      <c r="L13366" s="787">
        <v>104.21</v>
      </c>
      <c r="M13366" s="787">
        <v>20</v>
      </c>
      <c r="N13366" s="787">
        <v>112.03</v>
      </c>
      <c r="O13366" s="788">
        <v>41858</v>
      </c>
    </row>
    <row r="13367" spans="1:15" x14ac:dyDescent="0.25">
      <c r="A13367" s="786" t="s">
        <v>24004</v>
      </c>
      <c r="B13367" s="787">
        <v>4</v>
      </c>
      <c r="C13367" s="787" t="s">
        <v>24005</v>
      </c>
      <c r="D13367" s="787">
        <v>7.75</v>
      </c>
      <c r="E13367" s="787">
        <v>358.5</v>
      </c>
      <c r="F13367" s="788">
        <v>37641</v>
      </c>
      <c r="G13367" s="788">
        <v>38104</v>
      </c>
      <c r="H13367" s="787">
        <v>1</v>
      </c>
      <c r="I13367" s="788">
        <v>39748</v>
      </c>
      <c r="J13367" s="788">
        <v>39101</v>
      </c>
      <c r="K13367" s="788">
        <v>38527</v>
      </c>
      <c r="L13367" s="787">
        <v>390.77</v>
      </c>
      <c r="M13367" s="787">
        <v>20</v>
      </c>
      <c r="N13367" s="787">
        <v>420.08</v>
      </c>
      <c r="O13367" s="788">
        <v>41858</v>
      </c>
    </row>
    <row r="13368" spans="1:15" x14ac:dyDescent="0.25">
      <c r="A13368" s="786" t="s">
        <v>24006</v>
      </c>
      <c r="B13368" s="787">
        <v>4</v>
      </c>
      <c r="C13368" s="787" t="s">
        <v>24007</v>
      </c>
      <c r="D13368" s="787">
        <v>9</v>
      </c>
      <c r="E13368" s="787">
        <v>9.25</v>
      </c>
      <c r="F13368" s="788">
        <v>39101</v>
      </c>
      <c r="G13368" s="788">
        <v>39456</v>
      </c>
      <c r="H13368" s="787">
        <v>1</v>
      </c>
      <c r="I13368" s="788">
        <v>42114</v>
      </c>
      <c r="J13368" s="788">
        <v>41017</v>
      </c>
      <c r="L13368" s="787">
        <v>9.81</v>
      </c>
      <c r="M13368" s="787">
        <v>20</v>
      </c>
      <c r="N13368" s="787">
        <v>10.55</v>
      </c>
      <c r="O13368" s="788">
        <v>41858</v>
      </c>
    </row>
    <row r="13369" spans="1:15" x14ac:dyDescent="0.25">
      <c r="A13369" s="786" t="s">
        <v>24008</v>
      </c>
      <c r="B13369" s="787">
        <v>4</v>
      </c>
      <c r="C13369" s="787" t="s">
        <v>24009</v>
      </c>
      <c r="D13369" s="787">
        <v>0.09</v>
      </c>
      <c r="E13369" s="787">
        <v>0.09</v>
      </c>
      <c r="F13369" s="788">
        <v>38946</v>
      </c>
      <c r="G13369" s="788">
        <v>38946</v>
      </c>
      <c r="H13369" s="787">
        <v>1</v>
      </c>
      <c r="I13369" s="788">
        <v>39134</v>
      </c>
      <c r="J13369" s="788">
        <v>38945</v>
      </c>
      <c r="L13369" s="787">
        <v>0.09</v>
      </c>
      <c r="M13369" s="787">
        <v>20</v>
      </c>
      <c r="N13369" s="787">
        <v>0.1</v>
      </c>
      <c r="O13369" s="788">
        <v>41858</v>
      </c>
    </row>
    <row r="13370" spans="1:15" x14ac:dyDescent="0.25">
      <c r="A13370" s="786" t="s">
        <v>24010</v>
      </c>
      <c r="B13370" s="787">
        <v>4</v>
      </c>
      <c r="C13370" s="787" t="s">
        <v>24011</v>
      </c>
      <c r="D13370" s="787">
        <v>0.08</v>
      </c>
      <c r="E13370" s="787">
        <v>0.08</v>
      </c>
      <c r="F13370" s="788">
        <v>41982</v>
      </c>
      <c r="G13370" s="788">
        <v>41642</v>
      </c>
      <c r="H13370" s="787">
        <v>6</v>
      </c>
      <c r="I13370" s="788">
        <v>41757</v>
      </c>
      <c r="J13370" s="788">
        <v>41765</v>
      </c>
      <c r="K13370" s="788">
        <v>41869</v>
      </c>
      <c r="L13370" s="787">
        <v>0.08</v>
      </c>
      <c r="M13370" s="787">
        <v>20</v>
      </c>
      <c r="N13370" s="787">
        <v>4.3</v>
      </c>
      <c r="O13370" s="788">
        <v>41866</v>
      </c>
    </row>
    <row r="13371" spans="1:15" x14ac:dyDescent="0.25">
      <c r="A13371" s="786" t="s">
        <v>24012</v>
      </c>
      <c r="B13371" s="787">
        <v>4</v>
      </c>
      <c r="C13371" s="787" t="s">
        <v>24013</v>
      </c>
      <c r="D13371" s="787">
        <v>1.55</v>
      </c>
      <c r="E13371" s="787">
        <v>21.55</v>
      </c>
      <c r="F13371" s="788">
        <v>39762</v>
      </c>
      <c r="G13371" s="788">
        <v>39763</v>
      </c>
      <c r="H13371" s="787">
        <v>1</v>
      </c>
      <c r="I13371" s="788">
        <v>39763</v>
      </c>
      <c r="J13371" s="788">
        <v>39763</v>
      </c>
      <c r="L13371" s="787">
        <v>22.29</v>
      </c>
      <c r="M13371" s="787">
        <v>20</v>
      </c>
      <c r="N13371" s="787">
        <v>23.96</v>
      </c>
      <c r="O13371" s="788">
        <v>41858</v>
      </c>
    </row>
    <row r="13372" spans="1:15" x14ac:dyDescent="0.25">
      <c r="A13372" s="786" t="s">
        <v>24014</v>
      </c>
      <c r="B13372" s="787">
        <v>4</v>
      </c>
      <c r="C13372" s="787" t="s">
        <v>24015</v>
      </c>
      <c r="D13372" s="787">
        <v>4.33</v>
      </c>
      <c r="E13372" s="787">
        <v>25.65</v>
      </c>
      <c r="F13372" s="788">
        <v>39101</v>
      </c>
      <c r="G13372" s="788">
        <v>40178</v>
      </c>
      <c r="H13372" s="787">
        <v>1</v>
      </c>
      <c r="I13372" s="788">
        <v>40345</v>
      </c>
      <c r="J13372" s="788">
        <v>40133</v>
      </c>
      <c r="L13372" s="787">
        <v>22.89</v>
      </c>
      <c r="M13372" s="787">
        <v>20</v>
      </c>
      <c r="N13372" s="787">
        <v>24.61</v>
      </c>
      <c r="O13372" s="788">
        <v>41858</v>
      </c>
    </row>
    <row r="13373" spans="1:15" x14ac:dyDescent="0.25">
      <c r="A13373" s="786" t="s">
        <v>24016</v>
      </c>
      <c r="B13373" s="787">
        <v>4</v>
      </c>
      <c r="C13373" s="787" t="s">
        <v>24017</v>
      </c>
      <c r="D13373" s="787">
        <v>2</v>
      </c>
      <c r="E13373" s="787">
        <v>91</v>
      </c>
      <c r="F13373" s="788">
        <v>39101</v>
      </c>
      <c r="G13373" s="788">
        <v>39630</v>
      </c>
      <c r="H13373" s="787">
        <v>1</v>
      </c>
      <c r="I13373" s="788">
        <v>39134</v>
      </c>
      <c r="J13373" s="788">
        <v>39631</v>
      </c>
      <c r="L13373" s="787">
        <v>89.17</v>
      </c>
      <c r="M13373" s="787">
        <v>20</v>
      </c>
      <c r="N13373" s="787">
        <v>95.86</v>
      </c>
      <c r="O13373" s="788">
        <v>41858</v>
      </c>
    </row>
    <row r="13374" spans="1:15" x14ac:dyDescent="0.25">
      <c r="A13374" s="786" t="s">
        <v>24018</v>
      </c>
      <c r="B13374" s="787">
        <v>4</v>
      </c>
      <c r="C13374" s="787" t="s">
        <v>24019</v>
      </c>
      <c r="D13374" s="787">
        <v>8.84</v>
      </c>
      <c r="E13374" s="787">
        <v>19.29</v>
      </c>
      <c r="F13374" s="788">
        <v>41943</v>
      </c>
      <c r="G13374" s="788">
        <v>41948</v>
      </c>
      <c r="H13374" s="787">
        <v>1</v>
      </c>
      <c r="I13374" s="788">
        <v>42059</v>
      </c>
      <c r="J13374" s="788">
        <v>41942</v>
      </c>
      <c r="K13374" s="788">
        <v>41528</v>
      </c>
      <c r="L13374" s="787">
        <v>18.84</v>
      </c>
      <c r="M13374" s="787">
        <v>20</v>
      </c>
      <c r="N13374" s="787">
        <v>20.25</v>
      </c>
      <c r="O13374" s="788">
        <v>42164</v>
      </c>
    </row>
    <row r="13375" spans="1:15" x14ac:dyDescent="0.25">
      <c r="A13375" s="786" t="s">
        <v>24020</v>
      </c>
      <c r="B13375" s="787">
        <v>4</v>
      </c>
      <c r="C13375" s="787" t="s">
        <v>24021</v>
      </c>
      <c r="D13375" s="787">
        <v>0</v>
      </c>
      <c r="E13375" s="787">
        <v>0</v>
      </c>
      <c r="H13375" s="787">
        <v>1</v>
      </c>
      <c r="L13375" s="787">
        <v>17.809999999999999</v>
      </c>
      <c r="M13375" s="787">
        <v>20</v>
      </c>
      <c r="N13375" s="787">
        <v>19.149999999999999</v>
      </c>
      <c r="O13375" s="788">
        <v>41858</v>
      </c>
    </row>
    <row r="13376" spans="1:15" x14ac:dyDescent="0.25">
      <c r="A13376" s="786" t="s">
        <v>24022</v>
      </c>
      <c r="B13376" s="787">
        <v>4</v>
      </c>
      <c r="C13376" s="787" t="s">
        <v>24023</v>
      </c>
      <c r="D13376" s="787">
        <v>1.74</v>
      </c>
      <c r="E13376" s="787">
        <v>121.74</v>
      </c>
      <c r="F13376" s="788">
        <v>41374</v>
      </c>
      <c r="G13376" s="788">
        <v>42013</v>
      </c>
      <c r="H13376" s="787">
        <v>1</v>
      </c>
      <c r="I13376" s="788">
        <v>41501</v>
      </c>
      <c r="J13376" s="788">
        <v>41383</v>
      </c>
      <c r="K13376" s="788">
        <v>41869</v>
      </c>
      <c r="L13376" s="787">
        <v>121.74</v>
      </c>
      <c r="M13376" s="787">
        <v>20</v>
      </c>
      <c r="N13376" s="787">
        <v>231.13</v>
      </c>
      <c r="O13376" s="788">
        <v>41858</v>
      </c>
    </row>
    <row r="13377" spans="1:15" x14ac:dyDescent="0.25">
      <c r="A13377" s="786" t="s">
        <v>24024</v>
      </c>
      <c r="B13377" s="787">
        <v>4</v>
      </c>
      <c r="C13377" s="787" t="s">
        <v>24025</v>
      </c>
      <c r="D13377" s="787">
        <v>9.56</v>
      </c>
      <c r="E13377" s="787">
        <v>174.6</v>
      </c>
      <c r="F13377" s="788">
        <v>41085</v>
      </c>
      <c r="G13377" s="788">
        <v>41565</v>
      </c>
      <c r="H13377" s="787">
        <v>1</v>
      </c>
      <c r="I13377" s="788">
        <v>41894</v>
      </c>
      <c r="J13377" s="788">
        <v>41407</v>
      </c>
      <c r="K13377" s="788">
        <v>41239</v>
      </c>
      <c r="L13377" s="787">
        <v>170.81</v>
      </c>
      <c r="M13377" s="787">
        <v>20</v>
      </c>
      <c r="N13377" s="787">
        <v>183.62</v>
      </c>
      <c r="O13377" s="788">
        <v>41858</v>
      </c>
    </row>
    <row r="13378" spans="1:15" x14ac:dyDescent="0.25">
      <c r="A13378" s="786" t="s">
        <v>24026</v>
      </c>
      <c r="B13378" s="787">
        <v>4</v>
      </c>
      <c r="C13378" s="787" t="s">
        <v>24027</v>
      </c>
      <c r="D13378" s="787">
        <v>7.3</v>
      </c>
      <c r="E13378" s="787">
        <v>221.2</v>
      </c>
      <c r="F13378" s="788">
        <v>39022</v>
      </c>
      <c r="G13378" s="788">
        <v>41519</v>
      </c>
      <c r="H13378" s="787">
        <v>6</v>
      </c>
      <c r="I13378" s="788">
        <v>41249</v>
      </c>
      <c r="J13378" s="788">
        <v>41493</v>
      </c>
      <c r="K13378" s="788">
        <v>41239</v>
      </c>
      <c r="L13378" s="787">
        <v>207.3</v>
      </c>
      <c r="M13378" s="787">
        <v>20</v>
      </c>
      <c r="N13378" s="787">
        <v>237.79</v>
      </c>
      <c r="O13378" s="788">
        <v>41543</v>
      </c>
    </row>
    <row r="13379" spans="1:15" x14ac:dyDescent="0.25">
      <c r="A13379" s="786" t="s">
        <v>24028</v>
      </c>
      <c r="B13379" s="787">
        <v>4</v>
      </c>
      <c r="C13379" s="787" t="s">
        <v>24029</v>
      </c>
      <c r="D13379" s="787">
        <v>0.1</v>
      </c>
      <c r="E13379" s="787">
        <v>210.32</v>
      </c>
      <c r="F13379" s="788">
        <v>40955</v>
      </c>
      <c r="G13379" s="788">
        <v>41646</v>
      </c>
      <c r="H13379" s="787">
        <v>1</v>
      </c>
      <c r="I13379" s="788">
        <v>41514</v>
      </c>
      <c r="J13379" s="788">
        <v>41337</v>
      </c>
      <c r="L13379" s="787">
        <v>210.32</v>
      </c>
      <c r="M13379" s="787">
        <v>20</v>
      </c>
      <c r="N13379" s="787">
        <v>226.09</v>
      </c>
      <c r="O13379" s="788">
        <v>41858</v>
      </c>
    </row>
    <row r="13380" spans="1:15" x14ac:dyDescent="0.25">
      <c r="A13380" s="786" t="s">
        <v>24030</v>
      </c>
      <c r="B13380" s="787">
        <v>4</v>
      </c>
      <c r="C13380" s="787" t="s">
        <v>24031</v>
      </c>
      <c r="D13380" s="787">
        <v>7.31</v>
      </c>
      <c r="E13380" s="787">
        <v>388.7</v>
      </c>
      <c r="F13380" s="788">
        <v>40428</v>
      </c>
      <c r="G13380" s="788">
        <v>41255</v>
      </c>
      <c r="H13380" s="787">
        <v>1</v>
      </c>
      <c r="I13380" s="788">
        <v>41283</v>
      </c>
      <c r="J13380" s="788">
        <v>40931</v>
      </c>
      <c r="K13380" s="788">
        <v>41025</v>
      </c>
      <c r="L13380" s="787">
        <v>362</v>
      </c>
      <c r="M13380" s="787">
        <v>20</v>
      </c>
      <c r="N13380" s="787">
        <v>389.15</v>
      </c>
      <c r="O13380" s="788">
        <v>41858</v>
      </c>
    </row>
    <row r="13381" spans="1:15" x14ac:dyDescent="0.25">
      <c r="A13381" s="786" t="s">
        <v>24032</v>
      </c>
      <c r="B13381" s="787">
        <v>4</v>
      </c>
      <c r="C13381" s="787" t="s">
        <v>24033</v>
      </c>
      <c r="D13381" s="787">
        <v>9.67</v>
      </c>
      <c r="E13381" s="787">
        <v>218.01</v>
      </c>
      <c r="F13381" s="788">
        <v>40329</v>
      </c>
      <c r="G13381" s="788">
        <v>40914</v>
      </c>
      <c r="H13381" s="787">
        <v>1</v>
      </c>
      <c r="I13381" s="788">
        <v>40382</v>
      </c>
      <c r="J13381" s="788">
        <v>40876</v>
      </c>
      <c r="K13381" s="788">
        <v>41025</v>
      </c>
      <c r="L13381" s="787">
        <v>198</v>
      </c>
      <c r="M13381" s="787">
        <v>20</v>
      </c>
      <c r="N13381" s="787">
        <v>212.85</v>
      </c>
      <c r="O13381" s="788">
        <v>41858</v>
      </c>
    </row>
    <row r="13382" spans="1:15" x14ac:dyDescent="0.25">
      <c r="A13382" s="786" t="s">
        <v>24034</v>
      </c>
      <c r="B13382" s="787">
        <v>4</v>
      </c>
      <c r="C13382" s="787" t="s">
        <v>24035</v>
      </c>
      <c r="D13382" s="787">
        <v>6.95</v>
      </c>
      <c r="E13382" s="787">
        <v>26.95</v>
      </c>
      <c r="F13382" s="788">
        <v>40387</v>
      </c>
      <c r="G13382" s="788">
        <v>40387</v>
      </c>
      <c r="H13382" s="787">
        <v>1</v>
      </c>
      <c r="J13382" s="788">
        <v>40388</v>
      </c>
      <c r="K13382" s="788">
        <v>40387</v>
      </c>
      <c r="L13382" s="787">
        <v>25.69</v>
      </c>
      <c r="M13382" s="787">
        <v>20</v>
      </c>
      <c r="N13382" s="787">
        <v>27.62</v>
      </c>
      <c r="O13382" s="788">
        <v>41858</v>
      </c>
    </row>
    <row r="13383" spans="1:15" x14ac:dyDescent="0.25">
      <c r="A13383" s="786" t="s">
        <v>24036</v>
      </c>
      <c r="B13383" s="787">
        <v>4</v>
      </c>
      <c r="C13383" s="787" t="s">
        <v>24037</v>
      </c>
      <c r="D13383" s="787">
        <v>2.6</v>
      </c>
      <c r="E13383" s="787">
        <v>142.6</v>
      </c>
      <c r="F13383" s="788">
        <v>41260</v>
      </c>
      <c r="G13383" s="788">
        <v>41260</v>
      </c>
      <c r="H13383" s="787">
        <v>1</v>
      </c>
      <c r="I13383" s="788">
        <v>41256</v>
      </c>
      <c r="J13383" s="788">
        <v>41250</v>
      </c>
      <c r="K13383" s="788">
        <v>41025</v>
      </c>
      <c r="L13383" s="787">
        <v>140</v>
      </c>
      <c r="M13383" s="787">
        <v>20</v>
      </c>
      <c r="N13383" s="787">
        <v>150.5</v>
      </c>
      <c r="O13383" s="788">
        <v>41858</v>
      </c>
    </row>
    <row r="13384" spans="1:15" x14ac:dyDescent="0.25">
      <c r="A13384" s="786" t="s">
        <v>24038</v>
      </c>
      <c r="B13384" s="787">
        <v>4</v>
      </c>
      <c r="C13384" s="787" t="s">
        <v>24039</v>
      </c>
      <c r="D13384" s="787">
        <v>1.59</v>
      </c>
      <c r="E13384" s="787">
        <v>591.59</v>
      </c>
      <c r="F13384" s="788">
        <v>41519</v>
      </c>
      <c r="G13384" s="788">
        <v>41565</v>
      </c>
      <c r="H13384" s="787">
        <v>1</v>
      </c>
      <c r="I13384" s="788">
        <v>41563</v>
      </c>
      <c r="J13384" s="788">
        <v>41516</v>
      </c>
      <c r="K13384" s="788">
        <v>41025</v>
      </c>
      <c r="L13384" s="787">
        <v>592</v>
      </c>
      <c r="M13384" s="787">
        <v>20</v>
      </c>
      <c r="N13384" s="787">
        <v>636.4</v>
      </c>
      <c r="O13384" s="788">
        <v>41858</v>
      </c>
    </row>
    <row r="13385" spans="1:15" x14ac:dyDescent="0.25">
      <c r="A13385" s="786" t="s">
        <v>24040</v>
      </c>
      <c r="B13385" s="787">
        <v>4</v>
      </c>
      <c r="C13385" s="787" t="s">
        <v>24041</v>
      </c>
      <c r="D13385" s="787">
        <v>6.94</v>
      </c>
      <c r="E13385" s="787">
        <v>37.35</v>
      </c>
      <c r="F13385" s="788">
        <v>41312</v>
      </c>
      <c r="G13385" s="788">
        <v>42045</v>
      </c>
      <c r="H13385" s="787">
        <v>1</v>
      </c>
      <c r="I13385" s="788">
        <v>42142</v>
      </c>
      <c r="J13385" s="788">
        <v>42039</v>
      </c>
      <c r="K13385" s="788">
        <v>41025</v>
      </c>
      <c r="L13385" s="787">
        <v>37</v>
      </c>
      <c r="M13385" s="787">
        <v>20</v>
      </c>
      <c r="N13385" s="787">
        <v>39.78</v>
      </c>
      <c r="O13385" s="788">
        <v>42146</v>
      </c>
    </row>
    <row r="13386" spans="1:15" x14ac:dyDescent="0.25">
      <c r="A13386" s="786" t="s">
        <v>24042</v>
      </c>
      <c r="B13386" s="787">
        <v>4</v>
      </c>
      <c r="C13386" s="787" t="s">
        <v>24043</v>
      </c>
      <c r="D13386" s="787">
        <v>5.0599999999999996</v>
      </c>
      <c r="E13386" s="787">
        <v>298.20999999999998</v>
      </c>
      <c r="F13386" s="788">
        <v>41205</v>
      </c>
      <c r="G13386" s="788">
        <v>42013</v>
      </c>
      <c r="H13386" s="787">
        <v>1</v>
      </c>
      <c r="I13386" s="788">
        <v>42030</v>
      </c>
      <c r="J13386" s="788">
        <v>41649</v>
      </c>
      <c r="K13386" s="788">
        <v>41025</v>
      </c>
      <c r="L13386" s="787">
        <v>295</v>
      </c>
      <c r="M13386" s="787">
        <v>20</v>
      </c>
      <c r="N13386" s="787">
        <v>317.13</v>
      </c>
      <c r="O13386" s="788">
        <v>42127</v>
      </c>
    </row>
    <row r="13387" spans="1:15" x14ac:dyDescent="0.25">
      <c r="A13387" s="786" t="s">
        <v>24044</v>
      </c>
      <c r="B13387" s="787">
        <v>4</v>
      </c>
      <c r="C13387" s="787" t="s">
        <v>24045</v>
      </c>
      <c r="D13387" s="787">
        <v>0</v>
      </c>
      <c r="E13387" s="787">
        <v>0</v>
      </c>
      <c r="H13387" s="787">
        <v>1</v>
      </c>
      <c r="L13387" s="787">
        <v>198</v>
      </c>
      <c r="M13387" s="787">
        <v>20</v>
      </c>
      <c r="N13387" s="787">
        <v>212.85</v>
      </c>
      <c r="O13387" s="788">
        <v>42164</v>
      </c>
    </row>
    <row r="13388" spans="1:15" x14ac:dyDescent="0.25">
      <c r="A13388" s="786" t="s">
        <v>24046</v>
      </c>
      <c r="B13388" s="787">
        <v>4</v>
      </c>
      <c r="C13388" s="787" t="s">
        <v>24047</v>
      </c>
      <c r="D13388" s="787">
        <v>0</v>
      </c>
      <c r="E13388" s="787">
        <v>0</v>
      </c>
      <c r="H13388" s="787">
        <v>1</v>
      </c>
      <c r="I13388" s="788">
        <v>41225</v>
      </c>
      <c r="L13388" s="787">
        <v>4.26</v>
      </c>
      <c r="M13388" s="787">
        <v>20</v>
      </c>
      <c r="N13388" s="787">
        <v>4.58</v>
      </c>
      <c r="O13388" s="788">
        <v>42164</v>
      </c>
    </row>
    <row r="13389" spans="1:15" x14ac:dyDescent="0.25">
      <c r="A13389" s="786" t="s">
        <v>24048</v>
      </c>
      <c r="B13389" s="787">
        <v>4</v>
      </c>
      <c r="C13389" s="787" t="s">
        <v>24049</v>
      </c>
      <c r="D13389" s="787">
        <v>3.52</v>
      </c>
      <c r="E13389" s="787">
        <v>104.15</v>
      </c>
      <c r="F13389" s="788">
        <v>41205</v>
      </c>
      <c r="G13389" s="788">
        <v>42013</v>
      </c>
      <c r="H13389" s="787">
        <v>1</v>
      </c>
      <c r="I13389" s="788">
        <v>42048</v>
      </c>
      <c r="J13389" s="788">
        <v>41900</v>
      </c>
      <c r="K13389" s="788">
        <v>41137</v>
      </c>
      <c r="L13389" s="787">
        <v>103.52</v>
      </c>
      <c r="M13389" s="787">
        <v>20</v>
      </c>
      <c r="N13389" s="787">
        <v>111.28</v>
      </c>
      <c r="O13389" s="788">
        <v>42111</v>
      </c>
    </row>
    <row r="13390" spans="1:15" x14ac:dyDescent="0.25">
      <c r="A13390" s="786" t="s">
        <v>24050</v>
      </c>
      <c r="B13390" s="787">
        <v>4</v>
      </c>
      <c r="C13390" s="787" t="s">
        <v>24051</v>
      </c>
      <c r="D13390" s="787">
        <v>0</v>
      </c>
      <c r="E13390" s="787">
        <v>0</v>
      </c>
      <c r="H13390" s="787">
        <v>1</v>
      </c>
      <c r="I13390" s="788">
        <v>41215</v>
      </c>
      <c r="K13390" s="788">
        <v>41177</v>
      </c>
      <c r="L13390" s="787">
        <v>295.5</v>
      </c>
      <c r="M13390" s="787">
        <v>20</v>
      </c>
      <c r="N13390" s="787">
        <v>317.66000000000003</v>
      </c>
      <c r="O13390" s="788">
        <v>41858</v>
      </c>
    </row>
    <row r="13391" spans="1:15" x14ac:dyDescent="0.25">
      <c r="A13391" s="786" t="s">
        <v>24052</v>
      </c>
      <c r="B13391" s="787">
        <v>4</v>
      </c>
      <c r="C13391" s="787" t="s">
        <v>24053</v>
      </c>
      <c r="D13391" s="787">
        <v>3.33</v>
      </c>
      <c r="E13391" s="789">
        <v>4293.33</v>
      </c>
      <c r="F13391" s="788">
        <v>41990</v>
      </c>
      <c r="G13391" s="788">
        <v>41990</v>
      </c>
      <c r="H13391" s="787">
        <v>1</v>
      </c>
      <c r="I13391" s="788">
        <v>41990</v>
      </c>
      <c r="K13391" s="788">
        <v>41932</v>
      </c>
      <c r="L13391" s="789">
        <v>4330</v>
      </c>
      <c r="M13391" s="787">
        <v>20</v>
      </c>
      <c r="N13391" s="789">
        <v>4654.75</v>
      </c>
      <c r="O13391" s="788">
        <v>42164</v>
      </c>
    </row>
    <row r="13392" spans="1:15" x14ac:dyDescent="0.25">
      <c r="A13392" s="786" t="s">
        <v>24054</v>
      </c>
      <c r="B13392" s="787">
        <v>4</v>
      </c>
      <c r="C13392" s="787" t="s">
        <v>24055</v>
      </c>
      <c r="D13392" s="787">
        <v>0</v>
      </c>
      <c r="E13392" s="787">
        <v>0</v>
      </c>
      <c r="H13392" s="787">
        <v>1</v>
      </c>
      <c r="K13392" s="788">
        <v>41197</v>
      </c>
      <c r="L13392" s="789">
        <v>4990</v>
      </c>
      <c r="M13392" s="787">
        <v>20</v>
      </c>
      <c r="N13392" s="789">
        <v>5364.25</v>
      </c>
      <c r="O13392" s="788">
        <v>42164</v>
      </c>
    </row>
    <row r="13393" spans="1:15" x14ac:dyDescent="0.25">
      <c r="A13393" s="786" t="s">
        <v>24056</v>
      </c>
      <c r="B13393" s="787">
        <v>4</v>
      </c>
      <c r="C13393" s="787" t="s">
        <v>24057</v>
      </c>
      <c r="D13393" s="787">
        <v>0</v>
      </c>
      <c r="E13393" s="787">
        <v>0</v>
      </c>
      <c r="H13393" s="787">
        <v>1</v>
      </c>
      <c r="K13393" s="788">
        <v>41198</v>
      </c>
      <c r="L13393" s="789">
        <v>4630</v>
      </c>
      <c r="M13393" s="787">
        <v>20</v>
      </c>
      <c r="N13393" s="789">
        <v>4977.25</v>
      </c>
      <c r="O13393" s="788">
        <v>42164</v>
      </c>
    </row>
    <row r="13394" spans="1:15" x14ac:dyDescent="0.25">
      <c r="A13394" s="786" t="s">
        <v>24058</v>
      </c>
      <c r="B13394" s="787">
        <v>4</v>
      </c>
      <c r="C13394" s="787" t="s">
        <v>24059</v>
      </c>
      <c r="D13394" s="787">
        <v>0</v>
      </c>
      <c r="E13394" s="787">
        <v>0</v>
      </c>
      <c r="H13394" s="787">
        <v>1</v>
      </c>
      <c r="K13394" s="788">
        <v>41198</v>
      </c>
      <c r="L13394" s="789">
        <v>5420</v>
      </c>
      <c r="M13394" s="787">
        <v>20</v>
      </c>
      <c r="N13394" s="789">
        <v>5826.5</v>
      </c>
      <c r="O13394" s="788">
        <v>42164</v>
      </c>
    </row>
    <row r="13395" spans="1:15" x14ac:dyDescent="0.25">
      <c r="A13395" s="786" t="s">
        <v>24060</v>
      </c>
      <c r="B13395" s="787">
        <v>4</v>
      </c>
      <c r="C13395" s="787" t="s">
        <v>24061</v>
      </c>
      <c r="D13395" s="787">
        <v>0</v>
      </c>
      <c r="E13395" s="789">
        <v>5550</v>
      </c>
      <c r="F13395" s="788">
        <v>41298</v>
      </c>
      <c r="G13395" s="788">
        <v>41299</v>
      </c>
      <c r="H13395" s="787">
        <v>1</v>
      </c>
      <c r="I13395" s="788">
        <v>41295</v>
      </c>
      <c r="J13395" s="788">
        <v>41299</v>
      </c>
      <c r="K13395" s="788">
        <v>41198</v>
      </c>
      <c r="L13395" s="789">
        <v>5550</v>
      </c>
      <c r="M13395" s="787">
        <v>20</v>
      </c>
      <c r="N13395" s="789">
        <v>5966.25</v>
      </c>
      <c r="O13395" s="788">
        <v>42164</v>
      </c>
    </row>
    <row r="13396" spans="1:15" x14ac:dyDescent="0.25">
      <c r="A13396" s="786" t="s">
        <v>24062</v>
      </c>
      <c r="B13396" s="787">
        <v>4</v>
      </c>
      <c r="C13396" s="787" t="s">
        <v>24063</v>
      </c>
      <c r="D13396" s="787">
        <v>0</v>
      </c>
      <c r="E13396" s="789">
        <v>3980</v>
      </c>
      <c r="H13396" s="787">
        <v>1</v>
      </c>
      <c r="K13396" s="788">
        <v>41961</v>
      </c>
      <c r="L13396" s="789">
        <v>3520</v>
      </c>
      <c r="M13396" s="787">
        <v>20</v>
      </c>
      <c r="N13396" s="789">
        <v>3784</v>
      </c>
      <c r="O13396" s="788">
        <v>42164</v>
      </c>
    </row>
    <row r="13397" spans="1:15" x14ac:dyDescent="0.25">
      <c r="A13397" s="786" t="s">
        <v>24064</v>
      </c>
      <c r="B13397" s="787">
        <v>4</v>
      </c>
      <c r="C13397" s="787" t="s">
        <v>24065</v>
      </c>
      <c r="D13397" s="787">
        <v>0</v>
      </c>
      <c r="E13397" s="787">
        <v>0</v>
      </c>
      <c r="H13397" s="787">
        <v>1</v>
      </c>
      <c r="K13397" s="788">
        <v>41198</v>
      </c>
      <c r="L13397" s="789">
        <v>4350</v>
      </c>
      <c r="M13397" s="787">
        <v>20</v>
      </c>
      <c r="N13397" s="789">
        <v>4676.25</v>
      </c>
      <c r="O13397" s="788">
        <v>42164</v>
      </c>
    </row>
    <row r="13398" spans="1:15" x14ac:dyDescent="0.25">
      <c r="A13398" s="786" t="s">
        <v>24066</v>
      </c>
      <c r="B13398" s="787">
        <v>4</v>
      </c>
      <c r="C13398" s="787" t="s">
        <v>24067</v>
      </c>
      <c r="D13398" s="787">
        <v>5</v>
      </c>
      <c r="E13398" s="789">
        <v>4535</v>
      </c>
      <c r="F13398" s="788">
        <v>41480</v>
      </c>
      <c r="G13398" s="788">
        <v>41494</v>
      </c>
      <c r="H13398" s="787">
        <v>1</v>
      </c>
      <c r="J13398" s="788">
        <v>41484</v>
      </c>
      <c r="K13398" s="788">
        <v>41198</v>
      </c>
      <c r="L13398" s="789">
        <v>4480</v>
      </c>
      <c r="M13398" s="787">
        <v>20</v>
      </c>
      <c r="N13398" s="789">
        <v>4816</v>
      </c>
      <c r="O13398" s="788">
        <v>42164</v>
      </c>
    </row>
    <row r="13399" spans="1:15" x14ac:dyDescent="0.25">
      <c r="A13399" s="786" t="s">
        <v>24068</v>
      </c>
      <c r="B13399" s="787">
        <v>4</v>
      </c>
      <c r="C13399" s="787" t="s">
        <v>24069</v>
      </c>
      <c r="D13399" s="787">
        <v>9.5</v>
      </c>
      <c r="E13399" s="787">
        <v>199.5</v>
      </c>
      <c r="F13399" s="788">
        <v>41253</v>
      </c>
      <c r="G13399" s="788">
        <v>41262</v>
      </c>
      <c r="H13399" s="787">
        <v>1</v>
      </c>
      <c r="I13399" s="788">
        <v>42142</v>
      </c>
      <c r="J13399" s="788">
        <v>42116</v>
      </c>
      <c r="K13399" s="788">
        <v>41227</v>
      </c>
      <c r="L13399" s="787">
        <v>199.5</v>
      </c>
      <c r="M13399" s="787">
        <v>20</v>
      </c>
      <c r="N13399" s="787">
        <v>214.46</v>
      </c>
      <c r="O13399" s="788">
        <v>42164</v>
      </c>
    </row>
    <row r="13400" spans="1:15" x14ac:dyDescent="0.25">
      <c r="A13400" s="786" t="s">
        <v>24070</v>
      </c>
      <c r="B13400" s="787">
        <v>4</v>
      </c>
      <c r="C13400" s="787" t="s">
        <v>24071</v>
      </c>
      <c r="D13400" s="787">
        <v>6.25</v>
      </c>
      <c r="E13400" s="787">
        <v>306.25</v>
      </c>
      <c r="F13400" s="788">
        <v>41471</v>
      </c>
      <c r="G13400" s="788">
        <v>41506</v>
      </c>
      <c r="H13400" s="787">
        <v>1</v>
      </c>
      <c r="J13400" s="788">
        <v>41471</v>
      </c>
      <c r="K13400" s="788">
        <v>41466</v>
      </c>
      <c r="L13400" s="787">
        <v>294</v>
      </c>
      <c r="M13400" s="787">
        <v>20</v>
      </c>
      <c r="N13400" s="787">
        <v>316.05</v>
      </c>
      <c r="O13400" s="788">
        <v>41858</v>
      </c>
    </row>
    <row r="13401" spans="1:15" x14ac:dyDescent="0.25">
      <c r="A13401" s="786" t="s">
        <v>24072</v>
      </c>
      <c r="B13401" s="787">
        <v>4</v>
      </c>
      <c r="C13401" s="787" t="s">
        <v>24073</v>
      </c>
      <c r="D13401" s="787">
        <v>1</v>
      </c>
      <c r="E13401" s="787">
        <v>671</v>
      </c>
      <c r="F13401" s="788">
        <v>41596</v>
      </c>
      <c r="G13401" s="788">
        <v>41605</v>
      </c>
      <c r="H13401" s="787">
        <v>1</v>
      </c>
      <c r="I13401" s="788">
        <v>41598</v>
      </c>
      <c r="J13401" s="788">
        <v>41596</v>
      </c>
      <c r="K13401" s="788">
        <v>41584</v>
      </c>
      <c r="L13401" s="787">
        <v>626</v>
      </c>
      <c r="M13401" s="787">
        <v>20</v>
      </c>
      <c r="N13401" s="787">
        <v>672.95</v>
      </c>
      <c r="O13401" s="788">
        <v>41858</v>
      </c>
    </row>
    <row r="13402" spans="1:15" x14ac:dyDescent="0.25">
      <c r="A13402" s="786" t="s">
        <v>24074</v>
      </c>
      <c r="B13402" s="787">
        <v>4</v>
      </c>
      <c r="C13402" s="787" t="s">
        <v>24075</v>
      </c>
      <c r="D13402" s="787">
        <v>1.56</v>
      </c>
      <c r="E13402" s="787">
        <v>411.56</v>
      </c>
      <c r="F13402" s="788">
        <v>41591</v>
      </c>
      <c r="G13402" s="788">
        <v>41597</v>
      </c>
      <c r="H13402" s="787">
        <v>1</v>
      </c>
      <c r="I13402" s="788">
        <v>41606</v>
      </c>
      <c r="J13402" s="788">
        <v>41591</v>
      </c>
      <c r="K13402" s="788">
        <v>41585</v>
      </c>
      <c r="L13402" s="787">
        <v>399</v>
      </c>
      <c r="M13402" s="787">
        <v>20</v>
      </c>
      <c r="N13402" s="787">
        <v>428.93</v>
      </c>
      <c r="O13402" s="788">
        <v>41858</v>
      </c>
    </row>
    <row r="13403" spans="1:15" x14ac:dyDescent="0.25">
      <c r="A13403" s="786" t="s">
        <v>24076</v>
      </c>
      <c r="B13403" s="787">
        <v>4</v>
      </c>
      <c r="C13403" s="787" t="s">
        <v>24077</v>
      </c>
      <c r="D13403" s="787">
        <v>0</v>
      </c>
      <c r="E13403" s="789">
        <v>1750</v>
      </c>
      <c r="F13403" s="788">
        <v>42094</v>
      </c>
      <c r="G13403" s="788">
        <v>42088</v>
      </c>
      <c r="H13403" s="787">
        <v>1</v>
      </c>
      <c r="I13403" s="788">
        <v>42089</v>
      </c>
      <c r="J13403" s="788">
        <v>42088</v>
      </c>
      <c r="K13403" s="788">
        <v>42072</v>
      </c>
      <c r="L13403" s="789">
        <v>1750</v>
      </c>
      <c r="M13403" s="787">
        <v>20</v>
      </c>
      <c r="N13403" s="789">
        <v>1750</v>
      </c>
      <c r="O13403" s="788">
        <v>42072</v>
      </c>
    </row>
    <row r="13404" spans="1:15" x14ac:dyDescent="0.25">
      <c r="A13404" s="786" t="s">
        <v>24078</v>
      </c>
      <c r="B13404" s="787">
        <v>4</v>
      </c>
      <c r="C13404" s="787" t="s">
        <v>24079</v>
      </c>
      <c r="D13404" s="787">
        <v>0.91</v>
      </c>
      <c r="E13404" s="787">
        <v>30.91</v>
      </c>
      <c r="F13404" s="788">
        <v>41752</v>
      </c>
      <c r="G13404" s="788">
        <v>41757</v>
      </c>
      <c r="H13404" s="787">
        <v>1</v>
      </c>
      <c r="I13404" s="788">
        <v>41785</v>
      </c>
      <c r="J13404" s="788">
        <v>41752</v>
      </c>
      <c r="K13404" s="788">
        <v>41466</v>
      </c>
      <c r="L13404" s="787">
        <v>30</v>
      </c>
      <c r="M13404" s="787">
        <v>20</v>
      </c>
      <c r="N13404" s="787">
        <v>32.25</v>
      </c>
      <c r="O13404" s="788">
        <v>41858</v>
      </c>
    </row>
    <row r="13405" spans="1:15" x14ac:dyDescent="0.25">
      <c r="A13405" s="786" t="s">
        <v>24080</v>
      </c>
      <c r="B13405" s="787">
        <v>4</v>
      </c>
      <c r="C13405" s="787" t="s">
        <v>24081</v>
      </c>
      <c r="D13405" s="787">
        <v>0.78</v>
      </c>
      <c r="E13405" s="787">
        <v>310.77999999999997</v>
      </c>
      <c r="F13405" s="788">
        <v>41900</v>
      </c>
      <c r="G13405" s="788">
        <v>41904</v>
      </c>
      <c r="H13405" s="787">
        <v>1</v>
      </c>
      <c r="J13405" s="788">
        <v>41899</v>
      </c>
      <c r="K13405" s="788">
        <v>41250</v>
      </c>
      <c r="L13405" s="787">
        <v>300</v>
      </c>
      <c r="M13405" s="787">
        <v>20</v>
      </c>
      <c r="N13405" s="787">
        <v>322.5</v>
      </c>
      <c r="O13405" s="788">
        <v>42164</v>
      </c>
    </row>
    <row r="13406" spans="1:15" x14ac:dyDescent="0.25">
      <c r="A13406" s="786" t="s">
        <v>24082</v>
      </c>
      <c r="B13406" s="787">
        <v>4</v>
      </c>
      <c r="C13406" s="787" t="s">
        <v>24083</v>
      </c>
      <c r="D13406" s="787">
        <v>0</v>
      </c>
      <c r="E13406" s="787">
        <v>0</v>
      </c>
      <c r="G13406" s="788">
        <v>42017</v>
      </c>
      <c r="H13406" s="787">
        <v>1</v>
      </c>
      <c r="I13406" s="788">
        <v>41894</v>
      </c>
      <c r="K13406" s="788">
        <v>41253</v>
      </c>
      <c r="L13406" s="787">
        <v>280</v>
      </c>
      <c r="M13406" s="787">
        <v>20</v>
      </c>
      <c r="N13406" s="787">
        <v>301</v>
      </c>
      <c r="O13406" s="788">
        <v>42164</v>
      </c>
    </row>
    <row r="13407" spans="1:15" x14ac:dyDescent="0.25">
      <c r="A13407" s="786" t="s">
        <v>24084</v>
      </c>
      <c r="B13407" s="787">
        <v>4</v>
      </c>
      <c r="C13407" s="787" t="s">
        <v>24085</v>
      </c>
      <c r="D13407" s="787">
        <v>0</v>
      </c>
      <c r="E13407" s="787">
        <v>0</v>
      </c>
      <c r="H13407" s="787">
        <v>1</v>
      </c>
      <c r="K13407" s="788">
        <v>41253</v>
      </c>
      <c r="L13407" s="787">
        <v>300</v>
      </c>
      <c r="M13407" s="787">
        <v>20</v>
      </c>
      <c r="N13407" s="787">
        <v>322.5</v>
      </c>
      <c r="O13407" s="788">
        <v>42164</v>
      </c>
    </row>
    <row r="13408" spans="1:15" x14ac:dyDescent="0.25">
      <c r="A13408" s="786" t="s">
        <v>24086</v>
      </c>
      <c r="B13408" s="787">
        <v>4</v>
      </c>
      <c r="C13408" s="787" t="s">
        <v>24087</v>
      </c>
      <c r="D13408" s="787">
        <v>0</v>
      </c>
      <c r="E13408" s="787">
        <v>0</v>
      </c>
      <c r="H13408" s="787">
        <v>1</v>
      </c>
      <c r="K13408" s="788">
        <v>41253</v>
      </c>
      <c r="L13408" s="787">
        <v>320</v>
      </c>
      <c r="M13408" s="787">
        <v>20</v>
      </c>
      <c r="N13408" s="787">
        <v>344</v>
      </c>
      <c r="O13408" s="788">
        <v>42164</v>
      </c>
    </row>
    <row r="13409" spans="1:15" x14ac:dyDescent="0.25">
      <c r="A13409" s="786" t="s">
        <v>24088</v>
      </c>
      <c r="B13409" s="787">
        <v>4</v>
      </c>
      <c r="C13409" s="787" t="s">
        <v>24089</v>
      </c>
      <c r="D13409" s="787">
        <v>0</v>
      </c>
      <c r="E13409" s="787">
        <v>0</v>
      </c>
      <c r="H13409" s="787">
        <v>1</v>
      </c>
      <c r="K13409" s="788">
        <v>41253</v>
      </c>
      <c r="L13409" s="787">
        <v>300</v>
      </c>
      <c r="M13409" s="787">
        <v>20</v>
      </c>
      <c r="N13409" s="787">
        <v>322.5</v>
      </c>
      <c r="O13409" s="788">
        <v>42164</v>
      </c>
    </row>
    <row r="13410" spans="1:15" x14ac:dyDescent="0.25">
      <c r="A13410" s="786" t="s">
        <v>24090</v>
      </c>
      <c r="B13410" s="787">
        <v>4</v>
      </c>
      <c r="C13410" s="787" t="s">
        <v>24091</v>
      </c>
      <c r="D13410" s="787">
        <v>7.17</v>
      </c>
      <c r="E13410" s="787">
        <v>787.17</v>
      </c>
      <c r="F13410" s="788">
        <v>41486</v>
      </c>
      <c r="G13410" s="788">
        <v>41663</v>
      </c>
      <c r="H13410" s="787">
        <v>1</v>
      </c>
      <c r="I13410" s="788">
        <v>41684</v>
      </c>
      <c r="J13410" s="788">
        <v>41654</v>
      </c>
      <c r="K13410" s="788">
        <v>41474</v>
      </c>
      <c r="L13410" s="787">
        <v>750</v>
      </c>
      <c r="M13410" s="787">
        <v>20</v>
      </c>
      <c r="N13410" s="787">
        <v>806.25</v>
      </c>
      <c r="O13410" s="788">
        <v>41858</v>
      </c>
    </row>
    <row r="13411" spans="1:15" x14ac:dyDescent="0.25">
      <c r="A13411" s="786" t="s">
        <v>24092</v>
      </c>
      <c r="B13411" s="787">
        <v>4</v>
      </c>
      <c r="C13411" s="787" t="s">
        <v>24093</v>
      </c>
      <c r="D13411" s="787">
        <v>5</v>
      </c>
      <c r="E13411" s="787">
        <v>121</v>
      </c>
      <c r="F13411" s="788">
        <v>41802</v>
      </c>
      <c r="G13411" s="788">
        <v>42125</v>
      </c>
      <c r="H13411" s="787">
        <v>1</v>
      </c>
      <c r="I13411" s="788">
        <v>42082</v>
      </c>
      <c r="J13411" s="788">
        <v>42079</v>
      </c>
      <c r="K13411" s="788">
        <v>41708</v>
      </c>
      <c r="L13411" s="787">
        <v>121</v>
      </c>
      <c r="M13411" s="787">
        <v>20</v>
      </c>
      <c r="N13411" s="787">
        <v>130.08000000000001</v>
      </c>
      <c r="O13411" s="788">
        <v>41858</v>
      </c>
    </row>
    <row r="13412" spans="1:15" x14ac:dyDescent="0.25">
      <c r="A13412" s="786" t="s">
        <v>24094</v>
      </c>
      <c r="B13412" s="787">
        <v>4</v>
      </c>
      <c r="C13412" s="787" t="s">
        <v>24095</v>
      </c>
      <c r="D13412" s="787">
        <v>6</v>
      </c>
      <c r="E13412" s="787">
        <v>336</v>
      </c>
      <c r="F13412" s="788">
        <v>41845</v>
      </c>
      <c r="G13412" s="788">
        <v>42158</v>
      </c>
      <c r="H13412" s="787">
        <v>1</v>
      </c>
      <c r="I13412" s="788">
        <v>42165</v>
      </c>
      <c r="J13412" s="788">
        <v>42153</v>
      </c>
      <c r="K13412" s="788">
        <v>41499</v>
      </c>
      <c r="L13412" s="787">
        <v>326</v>
      </c>
      <c r="M13412" s="787">
        <v>20</v>
      </c>
      <c r="N13412" s="787">
        <v>350.45</v>
      </c>
      <c r="O13412" s="788">
        <v>41858</v>
      </c>
    </row>
    <row r="13413" spans="1:15" x14ac:dyDescent="0.25">
      <c r="A13413" s="786" t="s">
        <v>24096</v>
      </c>
      <c r="B13413" s="787">
        <v>4</v>
      </c>
      <c r="C13413" s="787" t="s">
        <v>24097</v>
      </c>
      <c r="D13413" s="787">
        <v>7</v>
      </c>
      <c r="E13413" s="787">
        <v>61.18</v>
      </c>
      <c r="F13413" s="788">
        <v>41845</v>
      </c>
      <c r="G13413" s="788">
        <v>42153</v>
      </c>
      <c r="H13413" s="787">
        <v>1</v>
      </c>
      <c r="I13413" s="788">
        <v>42159</v>
      </c>
      <c r="J13413" s="788">
        <v>42153</v>
      </c>
      <c r="K13413" s="788">
        <v>41537</v>
      </c>
      <c r="L13413" s="787">
        <v>57</v>
      </c>
      <c r="M13413" s="787">
        <v>20</v>
      </c>
      <c r="N13413" s="787">
        <v>61.28</v>
      </c>
      <c r="O13413" s="788">
        <v>41858</v>
      </c>
    </row>
    <row r="13414" spans="1:15" x14ac:dyDescent="0.25">
      <c r="A13414" s="786" t="s">
        <v>24098</v>
      </c>
      <c r="B13414" s="787">
        <v>4</v>
      </c>
      <c r="C13414" s="787" t="s">
        <v>24099</v>
      </c>
      <c r="D13414" s="787">
        <v>0</v>
      </c>
      <c r="E13414" s="787">
        <v>0</v>
      </c>
      <c r="H13414" s="787">
        <v>1</v>
      </c>
      <c r="K13414" s="788">
        <v>41555</v>
      </c>
      <c r="L13414" s="787">
        <v>263</v>
      </c>
      <c r="M13414" s="787">
        <v>20</v>
      </c>
      <c r="N13414" s="787">
        <v>282.73</v>
      </c>
      <c r="O13414" s="788">
        <v>41858</v>
      </c>
    </row>
    <row r="13415" spans="1:15" x14ac:dyDescent="0.25">
      <c r="A13415" s="786" t="s">
        <v>24100</v>
      </c>
      <c r="B13415" s="787">
        <v>4</v>
      </c>
      <c r="C13415" s="787" t="s">
        <v>24101</v>
      </c>
      <c r="D13415" s="787">
        <v>1.01</v>
      </c>
      <c r="E13415" s="787">
        <v>6.42</v>
      </c>
      <c r="F13415" s="788">
        <v>41624</v>
      </c>
      <c r="G13415" s="788">
        <v>41943</v>
      </c>
      <c r="H13415" s="787">
        <v>1</v>
      </c>
      <c r="I13415" s="788">
        <v>42114</v>
      </c>
      <c r="J13415" s="788">
        <v>42114</v>
      </c>
      <c r="K13415" s="788">
        <v>41570</v>
      </c>
      <c r="L13415" s="787">
        <v>5.91</v>
      </c>
      <c r="M13415" s="787">
        <v>20</v>
      </c>
      <c r="N13415" s="787">
        <v>6.35</v>
      </c>
      <c r="O13415" s="788">
        <v>42127</v>
      </c>
    </row>
    <row r="13416" spans="1:15" x14ac:dyDescent="0.25">
      <c r="A13416" s="786" t="s">
        <v>24102</v>
      </c>
      <c r="B13416" s="787">
        <v>4</v>
      </c>
      <c r="C13416" s="787" t="s">
        <v>24103</v>
      </c>
      <c r="D13416" s="787">
        <v>0.95</v>
      </c>
      <c r="E13416" s="787">
        <v>1.03</v>
      </c>
      <c r="F13416" s="788">
        <v>41591</v>
      </c>
      <c r="G13416" s="788">
        <v>42013</v>
      </c>
      <c r="H13416" s="787">
        <v>1</v>
      </c>
      <c r="I13416" s="788">
        <v>42114</v>
      </c>
      <c r="J13416" s="788">
        <v>41918</v>
      </c>
      <c r="K13416" s="788">
        <v>41570</v>
      </c>
      <c r="L13416" s="787">
        <v>0.95</v>
      </c>
      <c r="M13416" s="787">
        <v>20</v>
      </c>
      <c r="N13416" s="787">
        <v>1.02</v>
      </c>
      <c r="O13416" s="788">
        <v>42127</v>
      </c>
    </row>
    <row r="13417" spans="1:15" x14ac:dyDescent="0.25">
      <c r="A13417" s="786" t="s">
        <v>24104</v>
      </c>
      <c r="B13417" s="787">
        <v>4</v>
      </c>
      <c r="C13417" s="787" t="s">
        <v>24105</v>
      </c>
      <c r="D13417" s="787">
        <v>0.95</v>
      </c>
      <c r="E13417" s="787">
        <v>0.95</v>
      </c>
      <c r="F13417" s="788">
        <v>41817</v>
      </c>
      <c r="G13417" s="788">
        <v>41943</v>
      </c>
      <c r="H13417" s="787">
        <v>1</v>
      </c>
      <c r="I13417" s="788">
        <v>41894</v>
      </c>
      <c r="J13417" s="788">
        <v>41816</v>
      </c>
      <c r="K13417" s="788">
        <v>41570</v>
      </c>
      <c r="L13417" s="787">
        <v>0.95</v>
      </c>
      <c r="M13417" s="787">
        <v>20</v>
      </c>
      <c r="N13417" s="787">
        <v>1.02</v>
      </c>
      <c r="O13417" s="788">
        <v>42111</v>
      </c>
    </row>
    <row r="13418" spans="1:15" x14ac:dyDescent="0.25">
      <c r="A13418" s="786" t="s">
        <v>24106</v>
      </c>
      <c r="B13418" s="787">
        <v>4</v>
      </c>
      <c r="C13418" s="787" t="s">
        <v>24107</v>
      </c>
      <c r="D13418" s="787">
        <v>1.01</v>
      </c>
      <c r="E13418" s="787">
        <v>1.01</v>
      </c>
      <c r="F13418" s="788">
        <v>41579</v>
      </c>
      <c r="G13418" s="788">
        <v>41642</v>
      </c>
      <c r="H13418" s="787">
        <v>1</v>
      </c>
      <c r="J13418" s="788">
        <v>41624</v>
      </c>
      <c r="K13418" s="788">
        <v>41570</v>
      </c>
      <c r="L13418" s="787">
        <v>0.95</v>
      </c>
      <c r="M13418" s="787">
        <v>20</v>
      </c>
      <c r="N13418" s="787">
        <v>1.02</v>
      </c>
      <c r="O13418" s="788">
        <v>41858</v>
      </c>
    </row>
    <row r="13419" spans="1:15" x14ac:dyDescent="0.25">
      <c r="A13419" s="786" t="s">
        <v>24108</v>
      </c>
      <c r="B13419" s="787">
        <v>4</v>
      </c>
      <c r="C13419" s="787" t="s">
        <v>24109</v>
      </c>
      <c r="D13419" s="787">
        <v>1.1100000000000001</v>
      </c>
      <c r="E13419" s="787">
        <v>376.4</v>
      </c>
      <c r="F13419" s="788">
        <v>41687</v>
      </c>
      <c r="G13419" s="788">
        <v>42013</v>
      </c>
      <c r="H13419" s="787">
        <v>1</v>
      </c>
      <c r="I13419" s="788">
        <v>42086</v>
      </c>
      <c r="J13419" s="788">
        <v>41852</v>
      </c>
      <c r="K13419" s="788">
        <v>41579</v>
      </c>
      <c r="L13419" s="787">
        <v>376.4</v>
      </c>
      <c r="M13419" s="787">
        <v>20</v>
      </c>
      <c r="N13419" s="787">
        <v>404.63</v>
      </c>
      <c r="O13419" s="788">
        <v>42146</v>
      </c>
    </row>
    <row r="13420" spans="1:15" x14ac:dyDescent="0.25">
      <c r="A13420" s="786" t="s">
        <v>24110</v>
      </c>
      <c r="B13420" s="787">
        <v>4</v>
      </c>
      <c r="C13420" s="787" t="s">
        <v>24111</v>
      </c>
      <c r="D13420" s="787">
        <v>2.5</v>
      </c>
      <c r="E13420" s="787">
        <v>182.5</v>
      </c>
      <c r="F13420" s="788">
        <v>41767</v>
      </c>
      <c r="G13420" s="788">
        <v>41976</v>
      </c>
      <c r="H13420" s="787">
        <v>1</v>
      </c>
      <c r="I13420" s="788">
        <v>41978</v>
      </c>
      <c r="J13420" s="788">
        <v>41971</v>
      </c>
      <c r="K13420" s="788">
        <v>41739</v>
      </c>
      <c r="L13420" s="787">
        <v>159.5</v>
      </c>
      <c r="M13420" s="787">
        <v>20</v>
      </c>
      <c r="N13420" s="787">
        <v>171.46</v>
      </c>
      <c r="O13420" s="788">
        <v>42164</v>
      </c>
    </row>
    <row r="13421" spans="1:15" x14ac:dyDescent="0.25">
      <c r="A13421" s="786" t="s">
        <v>24112</v>
      </c>
      <c r="B13421" s="787">
        <v>4</v>
      </c>
      <c r="C13421" s="787" t="s">
        <v>24113</v>
      </c>
      <c r="D13421" s="787">
        <v>0.43</v>
      </c>
      <c r="E13421" s="787">
        <v>150.43</v>
      </c>
      <c r="F13421" s="788">
        <v>41988</v>
      </c>
      <c r="G13421" s="788">
        <v>42008</v>
      </c>
      <c r="H13421" s="787">
        <v>1</v>
      </c>
      <c r="J13421" s="788">
        <v>41984</v>
      </c>
      <c r="K13421" s="788">
        <v>41982</v>
      </c>
      <c r="L13421" s="787">
        <v>148.72999999999999</v>
      </c>
      <c r="M13421" s="787">
        <v>20</v>
      </c>
      <c r="N13421" s="787">
        <v>64.5</v>
      </c>
      <c r="O13421" s="788">
        <v>41981</v>
      </c>
    </row>
    <row r="13422" spans="1:15" x14ac:dyDescent="0.25">
      <c r="A13422" s="786" t="s">
        <v>24114</v>
      </c>
      <c r="B13422" s="787">
        <v>4</v>
      </c>
      <c r="C13422" s="787" t="s">
        <v>24115</v>
      </c>
      <c r="D13422" s="787">
        <v>0</v>
      </c>
      <c r="E13422" s="787">
        <v>0</v>
      </c>
      <c r="G13422" s="788">
        <v>41785</v>
      </c>
      <c r="H13422" s="787">
        <v>1</v>
      </c>
      <c r="I13422" s="788">
        <v>41785</v>
      </c>
      <c r="J13422" s="788">
        <v>41785</v>
      </c>
      <c r="K13422" s="788">
        <v>41751</v>
      </c>
      <c r="L13422" s="787">
        <v>480</v>
      </c>
      <c r="M13422" s="787">
        <v>20</v>
      </c>
      <c r="N13422" s="787">
        <v>516</v>
      </c>
      <c r="O13422" s="788">
        <v>41858</v>
      </c>
    </row>
    <row r="13423" spans="1:15" x14ac:dyDescent="0.25">
      <c r="A13423" s="786" t="s">
        <v>24116</v>
      </c>
      <c r="B13423" s="787">
        <v>4</v>
      </c>
      <c r="C13423" s="787" t="s">
        <v>24117</v>
      </c>
      <c r="D13423" s="787">
        <v>0</v>
      </c>
      <c r="E13423" s="789">
        <v>5320</v>
      </c>
      <c r="H13423" s="787">
        <v>1</v>
      </c>
      <c r="K13423" s="788">
        <v>41695</v>
      </c>
      <c r="L13423" s="789">
        <v>5320</v>
      </c>
      <c r="M13423" s="787">
        <v>20</v>
      </c>
      <c r="N13423" s="789">
        <v>5719</v>
      </c>
      <c r="O13423" s="788">
        <v>41858</v>
      </c>
    </row>
    <row r="13424" spans="1:15" x14ac:dyDescent="0.25">
      <c r="A13424" s="786" t="s">
        <v>24118</v>
      </c>
      <c r="B13424" s="787">
        <v>4</v>
      </c>
      <c r="C13424" s="787" t="s">
        <v>24119</v>
      </c>
      <c r="D13424" s="787">
        <v>3.33</v>
      </c>
      <c r="E13424" s="789">
        <v>1283.33</v>
      </c>
      <c r="F13424" s="788">
        <v>41703</v>
      </c>
      <c r="G13424" s="788">
        <v>41805</v>
      </c>
      <c r="H13424" s="787">
        <v>1</v>
      </c>
      <c r="I13424" s="788">
        <v>41712</v>
      </c>
      <c r="J13424" s="788">
        <v>41702</v>
      </c>
      <c r="K13424" s="788">
        <v>41696</v>
      </c>
      <c r="L13424" s="789">
        <v>1260</v>
      </c>
      <c r="M13424" s="787">
        <v>20</v>
      </c>
      <c r="N13424" s="789">
        <v>1354.5</v>
      </c>
      <c r="O13424" s="788">
        <v>41858</v>
      </c>
    </row>
    <row r="13425" spans="1:15" x14ac:dyDescent="0.25">
      <c r="A13425" s="786" t="s">
        <v>24120</v>
      </c>
      <c r="B13425" s="787">
        <v>4</v>
      </c>
      <c r="C13425" s="787" t="s">
        <v>24121</v>
      </c>
      <c r="D13425" s="787">
        <v>0</v>
      </c>
      <c r="E13425" s="787">
        <v>390</v>
      </c>
      <c r="F13425" s="788">
        <v>41835</v>
      </c>
      <c r="G13425" s="788">
        <v>41837</v>
      </c>
      <c r="H13425" s="787">
        <v>1</v>
      </c>
      <c r="I13425" s="788">
        <v>41836</v>
      </c>
      <c r="J13425" s="788">
        <v>41835</v>
      </c>
      <c r="K13425" s="788">
        <v>41830</v>
      </c>
      <c r="L13425" s="787">
        <v>384</v>
      </c>
      <c r="M13425" s="787">
        <v>20</v>
      </c>
      <c r="N13425" s="787">
        <v>412.8</v>
      </c>
      <c r="O13425" s="788">
        <v>41858</v>
      </c>
    </row>
    <row r="13426" spans="1:15" x14ac:dyDescent="0.25">
      <c r="A13426" s="786" t="s">
        <v>24122</v>
      </c>
      <c r="B13426" s="787">
        <v>4</v>
      </c>
      <c r="C13426" s="787" t="s">
        <v>24123</v>
      </c>
      <c r="D13426" s="787">
        <v>0</v>
      </c>
      <c r="E13426" s="787">
        <v>0</v>
      </c>
      <c r="H13426" s="787">
        <v>1</v>
      </c>
      <c r="K13426" s="788">
        <v>41858</v>
      </c>
      <c r="L13426" s="789">
        <v>6120</v>
      </c>
      <c r="M13426" s="787">
        <v>20</v>
      </c>
      <c r="N13426" s="789">
        <v>6579</v>
      </c>
      <c r="O13426" s="788">
        <v>41858</v>
      </c>
    </row>
    <row r="13427" spans="1:15" x14ac:dyDescent="0.25">
      <c r="A13427" s="786" t="s">
        <v>24124</v>
      </c>
      <c r="B13427" s="787">
        <v>4</v>
      </c>
      <c r="C13427" s="787" t="s">
        <v>24125</v>
      </c>
      <c r="D13427" s="787">
        <v>6</v>
      </c>
      <c r="E13427" s="787">
        <v>46</v>
      </c>
      <c r="F13427" s="788">
        <v>41898</v>
      </c>
      <c r="G13427" s="788">
        <v>41897</v>
      </c>
      <c r="H13427" s="787">
        <v>1</v>
      </c>
      <c r="I13427" s="788">
        <v>42151</v>
      </c>
      <c r="J13427" s="788">
        <v>42018</v>
      </c>
      <c r="K13427" s="788">
        <v>41893</v>
      </c>
      <c r="L13427" s="787">
        <v>46</v>
      </c>
      <c r="M13427" s="787">
        <v>20</v>
      </c>
      <c r="N13427" s="787">
        <v>49.45</v>
      </c>
      <c r="O13427" s="788">
        <v>41949</v>
      </c>
    </row>
    <row r="13428" spans="1:15" x14ac:dyDescent="0.25">
      <c r="A13428" s="786" t="s">
        <v>24126</v>
      </c>
      <c r="B13428" s="787">
        <v>4</v>
      </c>
      <c r="C13428" s="787" t="s">
        <v>24127</v>
      </c>
      <c r="D13428" s="787">
        <v>7.77</v>
      </c>
      <c r="E13428" s="787">
        <v>596.82000000000005</v>
      </c>
      <c r="F13428" s="788">
        <v>41957</v>
      </c>
      <c r="G13428" s="788">
        <v>42153</v>
      </c>
      <c r="H13428" s="787">
        <v>1</v>
      </c>
      <c r="I13428" s="788">
        <v>42159</v>
      </c>
      <c r="J13428" s="788">
        <v>42153</v>
      </c>
      <c r="K13428" s="788">
        <v>41899</v>
      </c>
      <c r="L13428" s="787">
        <v>556</v>
      </c>
      <c r="M13428" s="787">
        <v>20</v>
      </c>
      <c r="N13428" s="787">
        <v>597.70000000000005</v>
      </c>
      <c r="O13428" s="788">
        <v>41899</v>
      </c>
    </row>
    <row r="13429" spans="1:15" x14ac:dyDescent="0.25">
      <c r="A13429" s="786" t="s">
        <v>24128</v>
      </c>
      <c r="B13429" s="787">
        <v>4</v>
      </c>
      <c r="C13429" s="787" t="s">
        <v>24129</v>
      </c>
      <c r="D13429" s="787">
        <v>1.36</v>
      </c>
      <c r="E13429" s="787">
        <v>301.36</v>
      </c>
      <c r="F13429" s="788">
        <v>41935</v>
      </c>
      <c r="G13429" s="788">
        <v>41943</v>
      </c>
      <c r="H13429" s="787">
        <v>1</v>
      </c>
      <c r="I13429" s="788">
        <v>41943</v>
      </c>
      <c r="J13429" s="788">
        <v>41934</v>
      </c>
      <c r="K13429" s="788">
        <v>41933</v>
      </c>
      <c r="L13429" s="787">
        <v>295.06</v>
      </c>
      <c r="M13429" s="787">
        <v>20</v>
      </c>
      <c r="N13429" s="787">
        <v>317.19</v>
      </c>
      <c r="O13429" s="788">
        <v>41933</v>
      </c>
    </row>
    <row r="13430" spans="1:15" x14ac:dyDescent="0.25">
      <c r="A13430" s="786" t="s">
        <v>24130</v>
      </c>
      <c r="B13430" s="787">
        <v>4</v>
      </c>
      <c r="C13430" s="787" t="s">
        <v>24131</v>
      </c>
      <c r="D13430" s="787">
        <v>4.4800000000000004</v>
      </c>
      <c r="E13430" s="787">
        <v>165.83</v>
      </c>
      <c r="F13430" s="788">
        <v>42040</v>
      </c>
      <c r="G13430" s="788">
        <v>42063</v>
      </c>
      <c r="H13430" s="787">
        <v>1</v>
      </c>
      <c r="I13430" s="788">
        <v>42158</v>
      </c>
      <c r="J13430" s="788">
        <v>42048</v>
      </c>
      <c r="K13430" s="788">
        <v>42037</v>
      </c>
      <c r="L13430" s="787">
        <v>165</v>
      </c>
      <c r="M13430" s="787">
        <v>20</v>
      </c>
      <c r="N13430" s="787">
        <v>177.38</v>
      </c>
      <c r="O13430" s="788">
        <v>42037</v>
      </c>
    </row>
    <row r="13431" spans="1:15" x14ac:dyDescent="0.25">
      <c r="A13431" s="786" t="s">
        <v>24132</v>
      </c>
      <c r="B13431" s="787">
        <v>4</v>
      </c>
      <c r="C13431" s="787" t="s">
        <v>24133</v>
      </c>
      <c r="D13431" s="787">
        <v>2.68</v>
      </c>
      <c r="E13431" s="787">
        <v>82.68</v>
      </c>
      <c r="F13431" s="788">
        <v>37641</v>
      </c>
      <c r="G13431" s="788">
        <v>37641</v>
      </c>
      <c r="H13431" s="787">
        <v>1</v>
      </c>
      <c r="J13431" s="788">
        <v>37641</v>
      </c>
      <c r="L13431" s="787">
        <v>90.12</v>
      </c>
      <c r="M13431" s="787">
        <v>20</v>
      </c>
      <c r="N13431" s="787">
        <v>96.88</v>
      </c>
      <c r="O13431" s="788">
        <v>41858</v>
      </c>
    </row>
    <row r="13432" spans="1:15" x14ac:dyDescent="0.25">
      <c r="A13432" s="786" t="s">
        <v>24134</v>
      </c>
      <c r="B13432" s="787">
        <v>4</v>
      </c>
      <c r="C13432" s="787" t="s">
        <v>24135</v>
      </c>
      <c r="D13432" s="787">
        <v>3.87</v>
      </c>
      <c r="E13432" s="787">
        <v>33.869999999999997</v>
      </c>
      <c r="F13432" s="788">
        <v>37641</v>
      </c>
      <c r="G13432" s="788">
        <v>37641</v>
      </c>
      <c r="H13432" s="787">
        <v>1</v>
      </c>
      <c r="J13432" s="788">
        <v>37641</v>
      </c>
      <c r="L13432" s="787">
        <v>36.92</v>
      </c>
      <c r="M13432" s="787">
        <v>20</v>
      </c>
      <c r="N13432" s="787">
        <v>39.69</v>
      </c>
      <c r="O13432" s="788">
        <v>41858</v>
      </c>
    </row>
    <row r="13433" spans="1:15" x14ac:dyDescent="0.25">
      <c r="A13433" s="786" t="s">
        <v>24136</v>
      </c>
      <c r="B13433" s="787">
        <v>4</v>
      </c>
      <c r="C13433" s="787" t="s">
        <v>24137</v>
      </c>
      <c r="D13433" s="787">
        <v>0.4</v>
      </c>
      <c r="E13433" s="787">
        <v>0.4</v>
      </c>
      <c r="F13433" s="788">
        <v>39101</v>
      </c>
      <c r="G13433" s="788">
        <v>39101</v>
      </c>
      <c r="H13433" s="787">
        <v>1</v>
      </c>
      <c r="I13433" s="788">
        <v>41380</v>
      </c>
      <c r="J13433" s="788">
        <v>39149</v>
      </c>
      <c r="L13433" s="787">
        <v>0.44</v>
      </c>
      <c r="M13433" s="787">
        <v>20</v>
      </c>
      <c r="N13433" s="787">
        <v>0.47</v>
      </c>
      <c r="O13433" s="788">
        <v>41858</v>
      </c>
    </row>
    <row r="13434" spans="1:15" x14ac:dyDescent="0.25">
      <c r="A13434" s="786" t="s">
        <v>24138</v>
      </c>
      <c r="B13434" s="787">
        <v>4</v>
      </c>
      <c r="C13434" s="787" t="s">
        <v>24139</v>
      </c>
      <c r="D13434" s="787">
        <v>0.49</v>
      </c>
      <c r="E13434" s="787">
        <v>0.49</v>
      </c>
      <c r="F13434" s="788">
        <v>39101</v>
      </c>
      <c r="G13434" s="788">
        <v>39101</v>
      </c>
      <c r="H13434" s="787">
        <v>1</v>
      </c>
      <c r="I13434" s="788">
        <v>41380</v>
      </c>
      <c r="J13434" s="788">
        <v>39149</v>
      </c>
      <c r="L13434" s="787">
        <v>0.53</v>
      </c>
      <c r="M13434" s="787">
        <v>20</v>
      </c>
      <c r="N13434" s="787">
        <v>0.56999999999999995</v>
      </c>
      <c r="O13434" s="788">
        <v>41858</v>
      </c>
    </row>
    <row r="13435" spans="1:15" x14ac:dyDescent="0.25">
      <c r="A13435" s="786" t="s">
        <v>24140</v>
      </c>
      <c r="B13435" s="787">
        <v>4</v>
      </c>
      <c r="C13435" s="787" t="s">
        <v>24141</v>
      </c>
      <c r="D13435" s="787">
        <v>1.98</v>
      </c>
      <c r="E13435" s="787">
        <v>1.98</v>
      </c>
      <c r="F13435" s="788">
        <v>39101</v>
      </c>
      <c r="G13435" s="788">
        <v>39101</v>
      </c>
      <c r="H13435" s="787">
        <v>1</v>
      </c>
      <c r="I13435" s="788">
        <v>41380</v>
      </c>
      <c r="J13435" s="788">
        <v>39149</v>
      </c>
      <c r="L13435" s="787">
        <v>2.16</v>
      </c>
      <c r="M13435" s="787">
        <v>20</v>
      </c>
      <c r="N13435" s="787">
        <v>2.3199999999999998</v>
      </c>
      <c r="O13435" s="788">
        <v>41858</v>
      </c>
    </row>
    <row r="13436" spans="1:15" x14ac:dyDescent="0.25">
      <c r="A13436" s="786" t="s">
        <v>24142</v>
      </c>
      <c r="B13436" s="787">
        <v>4</v>
      </c>
      <c r="C13436" s="787" t="s">
        <v>24143</v>
      </c>
      <c r="D13436" s="787">
        <v>2.09</v>
      </c>
      <c r="E13436" s="787">
        <v>2.09</v>
      </c>
      <c r="F13436" s="788">
        <v>39101</v>
      </c>
      <c r="G13436" s="788">
        <v>39101</v>
      </c>
      <c r="H13436" s="787">
        <v>1</v>
      </c>
      <c r="I13436" s="788">
        <v>41451</v>
      </c>
      <c r="J13436" s="788">
        <v>39149</v>
      </c>
      <c r="L13436" s="787">
        <v>2.2799999999999998</v>
      </c>
      <c r="M13436" s="787">
        <v>20</v>
      </c>
      <c r="N13436" s="787">
        <v>2.4500000000000002</v>
      </c>
      <c r="O13436" s="788">
        <v>41858</v>
      </c>
    </row>
    <row r="13437" spans="1:15" x14ac:dyDescent="0.25">
      <c r="A13437" s="786" t="s">
        <v>24144</v>
      </c>
      <c r="B13437" s="787">
        <v>4</v>
      </c>
      <c r="C13437" s="787" t="s">
        <v>24145</v>
      </c>
      <c r="D13437" s="787">
        <v>0.92</v>
      </c>
      <c r="E13437" s="787">
        <v>0.92</v>
      </c>
      <c r="F13437" s="788">
        <v>39101</v>
      </c>
      <c r="G13437" s="788">
        <v>39101</v>
      </c>
      <c r="H13437" s="787">
        <v>1</v>
      </c>
      <c r="I13437" s="788">
        <v>39134</v>
      </c>
      <c r="J13437" s="788">
        <v>39149</v>
      </c>
      <c r="L13437" s="787">
        <v>1</v>
      </c>
      <c r="M13437" s="787">
        <v>20</v>
      </c>
      <c r="N13437" s="787">
        <v>1.08</v>
      </c>
      <c r="O13437" s="788">
        <v>41858</v>
      </c>
    </row>
    <row r="13438" spans="1:15" x14ac:dyDescent="0.25">
      <c r="A13438" s="786" t="s">
        <v>24146</v>
      </c>
      <c r="B13438" s="787">
        <v>4</v>
      </c>
      <c r="C13438" s="787" t="s">
        <v>24147</v>
      </c>
      <c r="D13438" s="787">
        <v>0.26</v>
      </c>
      <c r="E13438" s="787">
        <v>0.26</v>
      </c>
      <c r="F13438" s="788">
        <v>39101</v>
      </c>
      <c r="G13438" s="788">
        <v>39101</v>
      </c>
      <c r="H13438" s="787">
        <v>1</v>
      </c>
      <c r="I13438" s="788">
        <v>41451</v>
      </c>
      <c r="J13438" s="788">
        <v>39149</v>
      </c>
      <c r="L13438" s="787">
        <v>0.28000000000000003</v>
      </c>
      <c r="M13438" s="787">
        <v>20</v>
      </c>
      <c r="N13438" s="787">
        <v>0.3</v>
      </c>
      <c r="O13438" s="788">
        <v>41858</v>
      </c>
    </row>
    <row r="13439" spans="1:15" x14ac:dyDescent="0.25">
      <c r="A13439" s="786" t="s">
        <v>24148</v>
      </c>
      <c r="B13439" s="787">
        <v>4</v>
      </c>
      <c r="C13439" s="787" t="s">
        <v>24149</v>
      </c>
      <c r="D13439" s="787">
        <v>0.83</v>
      </c>
      <c r="E13439" s="787">
        <v>0.83</v>
      </c>
      <c r="F13439" s="788">
        <v>37641</v>
      </c>
      <c r="G13439" s="788">
        <v>38364</v>
      </c>
      <c r="H13439" s="787">
        <v>1</v>
      </c>
      <c r="I13439" s="788">
        <v>41894</v>
      </c>
      <c r="J13439" s="788">
        <v>37641</v>
      </c>
      <c r="L13439" s="787">
        <v>0.9</v>
      </c>
      <c r="M13439" s="787">
        <v>20</v>
      </c>
      <c r="N13439" s="787">
        <v>0.97</v>
      </c>
      <c r="O13439" s="788">
        <v>41858</v>
      </c>
    </row>
    <row r="13440" spans="1:15" x14ac:dyDescent="0.25">
      <c r="A13440" s="786" t="s">
        <v>24150</v>
      </c>
      <c r="B13440" s="787">
        <v>4</v>
      </c>
      <c r="C13440" s="787" t="s">
        <v>24151</v>
      </c>
      <c r="D13440" s="787">
        <v>0.56999999999999995</v>
      </c>
      <c r="E13440" s="787">
        <v>0.56999999999999995</v>
      </c>
      <c r="F13440" s="788">
        <v>39101</v>
      </c>
      <c r="G13440" s="788">
        <v>39101</v>
      </c>
      <c r="H13440" s="787">
        <v>1</v>
      </c>
      <c r="I13440" s="788">
        <v>39134</v>
      </c>
      <c r="J13440" s="788">
        <v>39149</v>
      </c>
      <c r="L13440" s="787">
        <v>0.62</v>
      </c>
      <c r="M13440" s="787">
        <v>20</v>
      </c>
      <c r="N13440" s="787">
        <v>0.67</v>
      </c>
      <c r="O13440" s="788">
        <v>41858</v>
      </c>
    </row>
    <row r="13441" spans="1:15" x14ac:dyDescent="0.25">
      <c r="A13441" s="786" t="s">
        <v>24152</v>
      </c>
      <c r="B13441" s="787">
        <v>4</v>
      </c>
      <c r="C13441" s="787" t="s">
        <v>24153</v>
      </c>
      <c r="D13441" s="787">
        <v>1.35</v>
      </c>
      <c r="E13441" s="787">
        <v>1.35</v>
      </c>
      <c r="F13441" s="788">
        <v>39101</v>
      </c>
      <c r="G13441" s="788">
        <v>39101</v>
      </c>
      <c r="H13441" s="787">
        <v>1</v>
      </c>
      <c r="I13441" s="788">
        <v>39134</v>
      </c>
      <c r="J13441" s="788">
        <v>39149</v>
      </c>
      <c r="L13441" s="787">
        <v>1.47</v>
      </c>
      <c r="M13441" s="787">
        <v>20</v>
      </c>
      <c r="N13441" s="787">
        <v>1.58</v>
      </c>
      <c r="O13441" s="788">
        <v>41858</v>
      </c>
    </row>
    <row r="13442" spans="1:15" x14ac:dyDescent="0.25">
      <c r="A13442" s="786" t="s">
        <v>24154</v>
      </c>
      <c r="B13442" s="787">
        <v>4</v>
      </c>
      <c r="C13442" s="787" t="s">
        <v>24155</v>
      </c>
      <c r="D13442" s="787">
        <v>1.28</v>
      </c>
      <c r="E13442" s="787">
        <v>1.28</v>
      </c>
      <c r="F13442" s="788">
        <v>39101</v>
      </c>
      <c r="G13442" s="788">
        <v>39101</v>
      </c>
      <c r="H13442" s="787">
        <v>1</v>
      </c>
      <c r="I13442" s="788">
        <v>39134</v>
      </c>
      <c r="J13442" s="788">
        <v>39149</v>
      </c>
      <c r="L13442" s="787">
        <v>1.4</v>
      </c>
      <c r="M13442" s="787">
        <v>20</v>
      </c>
      <c r="N13442" s="787">
        <v>1.51</v>
      </c>
      <c r="O13442" s="788">
        <v>41858</v>
      </c>
    </row>
    <row r="13443" spans="1:15" x14ac:dyDescent="0.25">
      <c r="A13443" s="786" t="s">
        <v>24156</v>
      </c>
      <c r="B13443" s="787">
        <v>4</v>
      </c>
      <c r="C13443" s="787" t="s">
        <v>24157</v>
      </c>
      <c r="D13443" s="787">
        <v>0.64</v>
      </c>
      <c r="E13443" s="787">
        <v>0.64</v>
      </c>
      <c r="F13443" s="788">
        <v>37641</v>
      </c>
      <c r="G13443" s="788">
        <v>38364</v>
      </c>
      <c r="H13443" s="787">
        <v>1</v>
      </c>
      <c r="I13443" s="788">
        <v>38736</v>
      </c>
      <c r="J13443" s="788">
        <v>37641</v>
      </c>
      <c r="L13443" s="787">
        <v>0.7</v>
      </c>
      <c r="M13443" s="787">
        <v>20</v>
      </c>
      <c r="N13443" s="787">
        <v>0.75</v>
      </c>
      <c r="O13443" s="788">
        <v>41858</v>
      </c>
    </row>
    <row r="13444" spans="1:15" x14ac:dyDescent="0.25">
      <c r="A13444" s="786" t="s">
        <v>24158</v>
      </c>
      <c r="B13444" s="787">
        <v>4</v>
      </c>
      <c r="C13444" s="787" t="s">
        <v>24159</v>
      </c>
      <c r="D13444" s="787">
        <v>0.12</v>
      </c>
      <c r="E13444" s="787">
        <v>0.12</v>
      </c>
      <c r="F13444" s="788">
        <v>37641</v>
      </c>
      <c r="G13444" s="788">
        <v>37641</v>
      </c>
      <c r="H13444" s="787">
        <v>1</v>
      </c>
      <c r="I13444" s="788">
        <v>36913</v>
      </c>
      <c r="J13444" s="788">
        <v>37641</v>
      </c>
      <c r="L13444" s="787">
        <v>0.13</v>
      </c>
      <c r="M13444" s="787">
        <v>20</v>
      </c>
      <c r="N13444" s="787">
        <v>0.14000000000000001</v>
      </c>
      <c r="O13444" s="788">
        <v>41858</v>
      </c>
    </row>
    <row r="13445" spans="1:15" x14ac:dyDescent="0.25">
      <c r="A13445" s="786" t="s">
        <v>24160</v>
      </c>
      <c r="B13445" s="787">
        <v>4</v>
      </c>
      <c r="C13445" s="787" t="s">
        <v>24161</v>
      </c>
      <c r="D13445" s="787">
        <v>0.56999999999999995</v>
      </c>
      <c r="E13445" s="787">
        <v>0.56999999999999995</v>
      </c>
      <c r="F13445" s="788">
        <v>39101</v>
      </c>
      <c r="G13445" s="788">
        <v>39101</v>
      </c>
      <c r="H13445" s="787">
        <v>1</v>
      </c>
      <c r="I13445" s="788">
        <v>39134</v>
      </c>
      <c r="J13445" s="788">
        <v>39149</v>
      </c>
      <c r="L13445" s="787">
        <v>0.62</v>
      </c>
      <c r="M13445" s="787">
        <v>20</v>
      </c>
      <c r="N13445" s="787">
        <v>0.67</v>
      </c>
      <c r="O13445" s="788">
        <v>41858</v>
      </c>
    </row>
    <row r="13446" spans="1:15" x14ac:dyDescent="0.25">
      <c r="A13446" s="786" t="s">
        <v>24162</v>
      </c>
      <c r="B13446" s="787">
        <v>4</v>
      </c>
      <c r="C13446" s="787" t="s">
        <v>24163</v>
      </c>
      <c r="D13446" s="787">
        <v>1.22</v>
      </c>
      <c r="E13446" s="787">
        <v>1.22</v>
      </c>
      <c r="F13446" s="788">
        <v>39101</v>
      </c>
      <c r="G13446" s="788">
        <v>39101</v>
      </c>
      <c r="H13446" s="787">
        <v>1</v>
      </c>
      <c r="I13446" s="788">
        <v>39134</v>
      </c>
      <c r="J13446" s="788">
        <v>39149</v>
      </c>
      <c r="L13446" s="787">
        <v>1.33</v>
      </c>
      <c r="M13446" s="787">
        <v>20</v>
      </c>
      <c r="N13446" s="787">
        <v>1.43</v>
      </c>
      <c r="O13446" s="788">
        <v>41858</v>
      </c>
    </row>
    <row r="13447" spans="1:15" x14ac:dyDescent="0.25">
      <c r="A13447" s="786" t="s">
        <v>24164</v>
      </c>
      <c r="B13447" s="787">
        <v>4</v>
      </c>
      <c r="C13447" s="787" t="s">
        <v>24165</v>
      </c>
      <c r="D13447" s="787">
        <v>0.72</v>
      </c>
      <c r="E13447" s="787">
        <v>0.72</v>
      </c>
      <c r="F13447" s="788">
        <v>39101</v>
      </c>
      <c r="G13447" s="788">
        <v>39101</v>
      </c>
      <c r="H13447" s="787">
        <v>1</v>
      </c>
      <c r="I13447" s="788">
        <v>39134</v>
      </c>
      <c r="J13447" s="788">
        <v>39149</v>
      </c>
      <c r="L13447" s="787">
        <v>0.78</v>
      </c>
      <c r="M13447" s="787">
        <v>20</v>
      </c>
      <c r="N13447" s="787">
        <v>0.84</v>
      </c>
      <c r="O13447" s="788">
        <v>41858</v>
      </c>
    </row>
    <row r="13448" spans="1:15" x14ac:dyDescent="0.25">
      <c r="A13448" s="786" t="s">
        <v>24166</v>
      </c>
      <c r="B13448" s="787">
        <v>4</v>
      </c>
      <c r="C13448" s="787" t="s">
        <v>24167</v>
      </c>
      <c r="D13448" s="787">
        <v>0.54</v>
      </c>
      <c r="E13448" s="787">
        <v>0.54</v>
      </c>
      <c r="F13448" s="788">
        <v>39101</v>
      </c>
      <c r="G13448" s="788">
        <v>39101</v>
      </c>
      <c r="H13448" s="787">
        <v>1</v>
      </c>
      <c r="I13448" s="788">
        <v>39134</v>
      </c>
      <c r="J13448" s="788">
        <v>39149</v>
      </c>
      <c r="L13448" s="787">
        <v>0.59</v>
      </c>
      <c r="M13448" s="787">
        <v>20</v>
      </c>
      <c r="N13448" s="787">
        <v>0.63</v>
      </c>
      <c r="O13448" s="788">
        <v>41858</v>
      </c>
    </row>
    <row r="13449" spans="1:15" x14ac:dyDescent="0.25">
      <c r="A13449" s="786" t="s">
        <v>24168</v>
      </c>
      <c r="B13449" s="787">
        <v>4</v>
      </c>
      <c r="C13449" s="787" t="s">
        <v>24169</v>
      </c>
      <c r="D13449" s="787">
        <v>0.05</v>
      </c>
      <c r="E13449" s="787">
        <v>0.05</v>
      </c>
      <c r="F13449" s="788">
        <v>37648</v>
      </c>
      <c r="G13449" s="788">
        <v>37648</v>
      </c>
      <c r="H13449" s="787">
        <v>1</v>
      </c>
      <c r="J13449" s="788">
        <v>37648</v>
      </c>
      <c r="L13449" s="787">
        <v>0.05</v>
      </c>
      <c r="M13449" s="787">
        <v>20</v>
      </c>
      <c r="N13449" s="787">
        <v>0.05</v>
      </c>
      <c r="O13449" s="788">
        <v>41858</v>
      </c>
    </row>
    <row r="13450" spans="1:15" x14ac:dyDescent="0.25">
      <c r="A13450" s="786" t="s">
        <v>24170</v>
      </c>
      <c r="B13450" s="787">
        <v>4</v>
      </c>
      <c r="C13450" s="787" t="s">
        <v>24171</v>
      </c>
      <c r="D13450" s="787">
        <v>0.02</v>
      </c>
      <c r="E13450" s="787">
        <v>0.02</v>
      </c>
      <c r="F13450" s="788">
        <v>40231</v>
      </c>
      <c r="G13450" s="788">
        <v>42013</v>
      </c>
      <c r="H13450" s="787">
        <v>1</v>
      </c>
      <c r="I13450" s="788">
        <v>42160</v>
      </c>
      <c r="J13450" s="788">
        <v>40157</v>
      </c>
      <c r="K13450" s="788">
        <v>41869</v>
      </c>
      <c r="L13450" s="787">
        <v>0.02</v>
      </c>
      <c r="M13450" s="787">
        <v>20</v>
      </c>
      <c r="N13450" s="787">
        <v>0.02</v>
      </c>
      <c r="O13450" s="788">
        <v>42164</v>
      </c>
    </row>
    <row r="13451" spans="1:15" x14ac:dyDescent="0.25">
      <c r="A13451" s="786" t="s">
        <v>24172</v>
      </c>
      <c r="B13451" s="787">
        <v>4</v>
      </c>
      <c r="C13451" s="787" t="s">
        <v>24173</v>
      </c>
      <c r="D13451" s="787">
        <v>0.33</v>
      </c>
      <c r="E13451" s="787">
        <v>0.47</v>
      </c>
      <c r="F13451" s="788">
        <v>39101</v>
      </c>
      <c r="G13451" s="788">
        <v>42013</v>
      </c>
      <c r="H13451" s="787">
        <v>1</v>
      </c>
      <c r="I13451" s="788">
        <v>41451</v>
      </c>
      <c r="J13451" s="788">
        <v>40766</v>
      </c>
      <c r="L13451" s="787">
        <v>0.36</v>
      </c>
      <c r="M13451" s="787">
        <v>20</v>
      </c>
      <c r="N13451" s="787">
        <v>0.39</v>
      </c>
      <c r="O13451" s="788">
        <v>41858</v>
      </c>
    </row>
    <row r="13452" spans="1:15" x14ac:dyDescent="0.25">
      <c r="A13452" s="786" t="s">
        <v>24174</v>
      </c>
      <c r="B13452" s="787">
        <v>4</v>
      </c>
      <c r="C13452" s="787" t="s">
        <v>24175</v>
      </c>
      <c r="D13452" s="787">
        <v>0.31</v>
      </c>
      <c r="E13452" s="787">
        <v>0.31</v>
      </c>
      <c r="F13452" s="788">
        <v>39101</v>
      </c>
      <c r="G13452" s="788">
        <v>39101</v>
      </c>
      <c r="H13452" s="787">
        <v>1</v>
      </c>
      <c r="I13452" s="788">
        <v>41451</v>
      </c>
      <c r="J13452" s="788">
        <v>39149</v>
      </c>
      <c r="L13452" s="787">
        <v>0.34</v>
      </c>
      <c r="M13452" s="787">
        <v>20</v>
      </c>
      <c r="N13452" s="787">
        <v>0.37</v>
      </c>
      <c r="O13452" s="788">
        <v>41858</v>
      </c>
    </row>
    <row r="13453" spans="1:15" x14ac:dyDescent="0.25">
      <c r="A13453" s="786" t="s">
        <v>24176</v>
      </c>
      <c r="B13453" s="787">
        <v>4</v>
      </c>
      <c r="C13453" s="787" t="s">
        <v>24177</v>
      </c>
      <c r="D13453" s="787">
        <v>1.04</v>
      </c>
      <c r="E13453" s="787">
        <v>1.04</v>
      </c>
      <c r="F13453" s="788">
        <v>39101</v>
      </c>
      <c r="G13453" s="788">
        <v>39101</v>
      </c>
      <c r="H13453" s="787">
        <v>1</v>
      </c>
      <c r="I13453" s="788">
        <v>40682</v>
      </c>
      <c r="J13453" s="788">
        <v>39149</v>
      </c>
      <c r="L13453" s="787">
        <v>1.1000000000000001</v>
      </c>
      <c r="M13453" s="787">
        <v>20</v>
      </c>
      <c r="N13453" s="787">
        <v>1.18</v>
      </c>
      <c r="O13453" s="788">
        <v>41858</v>
      </c>
    </row>
    <row r="13454" spans="1:15" x14ac:dyDescent="0.25">
      <c r="A13454" s="786" t="s">
        <v>24178</v>
      </c>
      <c r="B13454" s="787">
        <v>4</v>
      </c>
      <c r="C13454" s="787" t="s">
        <v>24179</v>
      </c>
      <c r="D13454" s="787">
        <v>0.94</v>
      </c>
      <c r="E13454" s="787">
        <v>0.94</v>
      </c>
      <c r="F13454" s="788">
        <v>39101</v>
      </c>
      <c r="G13454" s="788">
        <v>39101</v>
      </c>
      <c r="H13454" s="787">
        <v>1</v>
      </c>
      <c r="I13454" s="788">
        <v>39134</v>
      </c>
      <c r="J13454" s="788">
        <v>39149</v>
      </c>
      <c r="L13454" s="787">
        <v>1.02</v>
      </c>
      <c r="M13454" s="787">
        <v>20</v>
      </c>
      <c r="N13454" s="787">
        <v>1.1000000000000001</v>
      </c>
      <c r="O13454" s="788">
        <v>41858</v>
      </c>
    </row>
    <row r="13455" spans="1:15" x14ac:dyDescent="0.25">
      <c r="A13455" s="786" t="s">
        <v>24180</v>
      </c>
      <c r="B13455" s="787">
        <v>4</v>
      </c>
      <c r="C13455" s="787" t="s">
        <v>24181</v>
      </c>
      <c r="D13455" s="787">
        <v>0.77</v>
      </c>
      <c r="E13455" s="787">
        <v>0.77</v>
      </c>
      <c r="F13455" s="788">
        <v>39101</v>
      </c>
      <c r="G13455" s="788">
        <v>39101</v>
      </c>
      <c r="H13455" s="787">
        <v>1</v>
      </c>
      <c r="I13455" s="788">
        <v>39134</v>
      </c>
      <c r="J13455" s="788">
        <v>39149</v>
      </c>
      <c r="L13455" s="787">
        <v>0.84</v>
      </c>
      <c r="M13455" s="787">
        <v>20</v>
      </c>
      <c r="N13455" s="787">
        <v>0.9</v>
      </c>
      <c r="O13455" s="788">
        <v>41858</v>
      </c>
    </row>
    <row r="13456" spans="1:15" x14ac:dyDescent="0.25">
      <c r="A13456" s="786" t="s">
        <v>24182</v>
      </c>
      <c r="B13456" s="787">
        <v>4</v>
      </c>
      <c r="C13456" s="787" t="s">
        <v>24183</v>
      </c>
      <c r="D13456" s="787">
        <v>0.12</v>
      </c>
      <c r="E13456" s="787">
        <v>0.12</v>
      </c>
      <c r="F13456" s="788">
        <v>37641</v>
      </c>
      <c r="G13456" s="788">
        <v>37641</v>
      </c>
      <c r="H13456" s="787">
        <v>1</v>
      </c>
      <c r="J13456" s="788">
        <v>37641</v>
      </c>
      <c r="L13456" s="787">
        <v>0.13</v>
      </c>
      <c r="M13456" s="787">
        <v>20</v>
      </c>
      <c r="N13456" s="787">
        <v>0.14000000000000001</v>
      </c>
      <c r="O13456" s="788">
        <v>41858</v>
      </c>
    </row>
    <row r="13457" spans="1:15" x14ac:dyDescent="0.25">
      <c r="A13457" s="786" t="s">
        <v>24184</v>
      </c>
      <c r="B13457" s="787">
        <v>4</v>
      </c>
      <c r="C13457" s="787" t="s">
        <v>24185</v>
      </c>
      <c r="D13457" s="787">
        <v>8.16</v>
      </c>
      <c r="E13457" s="787">
        <v>8.16</v>
      </c>
      <c r="F13457" s="788">
        <v>41779</v>
      </c>
      <c r="G13457" s="788">
        <v>41806</v>
      </c>
      <c r="H13457" s="787">
        <v>1</v>
      </c>
      <c r="I13457" s="788">
        <v>41775</v>
      </c>
      <c r="J13457" s="788">
        <v>41775</v>
      </c>
      <c r="K13457" s="788">
        <v>41774</v>
      </c>
      <c r="L13457" s="787">
        <v>8</v>
      </c>
      <c r="M13457" s="787">
        <v>20</v>
      </c>
      <c r="N13457" s="787">
        <v>8.6</v>
      </c>
      <c r="O13457" s="788">
        <v>41858</v>
      </c>
    </row>
    <row r="13458" spans="1:15" x14ac:dyDescent="0.25">
      <c r="A13458" s="786" t="s">
        <v>24186</v>
      </c>
      <c r="B13458" s="787">
        <v>4</v>
      </c>
      <c r="C13458" s="787" t="s">
        <v>24187</v>
      </c>
      <c r="D13458" s="787">
        <v>2.85</v>
      </c>
      <c r="E13458" s="787">
        <v>2.85</v>
      </c>
      <c r="F13458" s="788">
        <v>41779</v>
      </c>
      <c r="G13458" s="788">
        <v>41806</v>
      </c>
      <c r="H13458" s="787">
        <v>1</v>
      </c>
      <c r="I13458" s="788">
        <v>41775</v>
      </c>
      <c r="J13458" s="788">
        <v>41775</v>
      </c>
      <c r="K13458" s="788">
        <v>41869</v>
      </c>
      <c r="L13458" s="787">
        <v>2.85</v>
      </c>
      <c r="M13458" s="787">
        <v>20</v>
      </c>
      <c r="N13458" s="787">
        <v>5.38</v>
      </c>
      <c r="O13458" s="788">
        <v>41858</v>
      </c>
    </row>
    <row r="13459" spans="1:15" x14ac:dyDescent="0.25">
      <c r="A13459" s="786" t="s">
        <v>24188</v>
      </c>
      <c r="B13459" s="787">
        <v>4</v>
      </c>
      <c r="C13459" s="787" t="s">
        <v>24189</v>
      </c>
      <c r="D13459" s="787">
        <v>0.08</v>
      </c>
      <c r="E13459" s="787">
        <v>0.23</v>
      </c>
      <c r="F13459" s="788">
        <v>40855</v>
      </c>
      <c r="G13459" s="788">
        <v>41765</v>
      </c>
      <c r="H13459" s="787">
        <v>6</v>
      </c>
      <c r="I13459" s="788">
        <v>40967</v>
      </c>
      <c r="J13459" s="788">
        <v>41754</v>
      </c>
      <c r="L13459" s="787">
        <v>372.5</v>
      </c>
      <c r="M13459" s="787">
        <v>20</v>
      </c>
      <c r="N13459" s="787">
        <v>400.44</v>
      </c>
      <c r="O13459" s="788">
        <v>41858</v>
      </c>
    </row>
    <row r="13460" spans="1:15" x14ac:dyDescent="0.25">
      <c r="A13460" s="786" t="s">
        <v>24190</v>
      </c>
      <c r="B13460" s="787">
        <v>4</v>
      </c>
      <c r="C13460" s="787" t="s">
        <v>24191</v>
      </c>
      <c r="D13460" s="787">
        <v>4.5</v>
      </c>
      <c r="E13460" s="787">
        <v>324.5</v>
      </c>
      <c r="F13460" s="788">
        <v>38047</v>
      </c>
      <c r="G13460" s="788">
        <v>38047</v>
      </c>
      <c r="H13460" s="787">
        <v>1</v>
      </c>
      <c r="I13460" s="788">
        <v>38579</v>
      </c>
      <c r="J13460" s="788">
        <v>38047</v>
      </c>
      <c r="L13460" s="787">
        <v>353.71</v>
      </c>
      <c r="M13460" s="787">
        <v>20</v>
      </c>
      <c r="N13460" s="787">
        <v>380.24</v>
      </c>
      <c r="O13460" s="788">
        <v>41858</v>
      </c>
    </row>
    <row r="13461" spans="1:15" x14ac:dyDescent="0.25">
      <c r="A13461" s="786" t="s">
        <v>24192</v>
      </c>
      <c r="B13461" s="787">
        <v>4</v>
      </c>
      <c r="C13461" s="787" t="s">
        <v>24193</v>
      </c>
      <c r="D13461" s="787">
        <v>0</v>
      </c>
      <c r="E13461" s="787">
        <v>84.71</v>
      </c>
      <c r="G13461" s="787" t="s">
        <v>1067</v>
      </c>
      <c r="H13461" s="787">
        <v>1</v>
      </c>
      <c r="L13461" s="787">
        <v>87.64</v>
      </c>
      <c r="M13461" s="787">
        <v>20</v>
      </c>
      <c r="N13461" s="787">
        <v>94.21</v>
      </c>
      <c r="O13461" s="788">
        <v>41989</v>
      </c>
    </row>
    <row r="13462" spans="1:15" x14ac:dyDescent="0.25">
      <c r="A13462" s="786" t="s">
        <v>24194</v>
      </c>
      <c r="B13462" s="787">
        <v>4</v>
      </c>
      <c r="C13462" s="787" t="s">
        <v>24195</v>
      </c>
      <c r="D13462" s="787">
        <v>0.56000000000000005</v>
      </c>
      <c r="E13462" s="787">
        <v>358.01</v>
      </c>
      <c r="F13462" s="788">
        <v>38047</v>
      </c>
      <c r="G13462" s="788">
        <v>38736</v>
      </c>
      <c r="H13462" s="787">
        <v>1</v>
      </c>
      <c r="I13462" s="788">
        <v>39134</v>
      </c>
      <c r="J13462" s="788">
        <v>38344</v>
      </c>
      <c r="K13462" s="788">
        <v>41989</v>
      </c>
      <c r="L13462" s="787">
        <v>358.01</v>
      </c>
      <c r="M13462" s="787">
        <v>20</v>
      </c>
      <c r="N13462" s="787">
        <v>384.86</v>
      </c>
      <c r="O13462" s="788">
        <v>41989</v>
      </c>
    </row>
    <row r="13463" spans="1:15" x14ac:dyDescent="0.25">
      <c r="A13463" s="786" t="s">
        <v>24196</v>
      </c>
      <c r="B13463" s="787">
        <v>4</v>
      </c>
      <c r="C13463" s="787" t="s">
        <v>24197</v>
      </c>
      <c r="D13463" s="787">
        <v>0</v>
      </c>
      <c r="E13463" s="787">
        <v>0</v>
      </c>
      <c r="G13463" s="787" t="s">
        <v>1067</v>
      </c>
      <c r="H13463" s="787">
        <v>1</v>
      </c>
      <c r="K13463" s="788">
        <v>41989</v>
      </c>
      <c r="L13463" s="787">
        <v>78</v>
      </c>
      <c r="M13463" s="787">
        <v>20</v>
      </c>
      <c r="N13463" s="787">
        <v>0</v>
      </c>
      <c r="O13463" s="788">
        <v>40824</v>
      </c>
    </row>
    <row r="13464" spans="1:15" x14ac:dyDescent="0.25">
      <c r="A13464" s="786" t="s">
        <v>24198</v>
      </c>
      <c r="B13464" s="787">
        <v>4</v>
      </c>
      <c r="C13464" s="787" t="s">
        <v>24199</v>
      </c>
      <c r="D13464" s="787">
        <v>0</v>
      </c>
      <c r="E13464" s="787">
        <v>0</v>
      </c>
      <c r="G13464" s="788">
        <v>41871</v>
      </c>
      <c r="H13464" s="787">
        <v>1</v>
      </c>
      <c r="I13464" s="788">
        <v>41894</v>
      </c>
      <c r="J13464" s="788">
        <v>41871</v>
      </c>
      <c r="K13464" s="788">
        <v>41870</v>
      </c>
      <c r="L13464" s="787">
        <v>33.35</v>
      </c>
      <c r="M13464" s="787">
        <v>20</v>
      </c>
      <c r="N13464" s="787">
        <v>48.38</v>
      </c>
      <c r="O13464" s="788">
        <v>41869</v>
      </c>
    </row>
    <row r="13465" spans="1:15" x14ac:dyDescent="0.25">
      <c r="A13465" s="786" t="s">
        <v>24200</v>
      </c>
      <c r="B13465" s="787">
        <v>4</v>
      </c>
      <c r="C13465" s="787" t="s">
        <v>24201</v>
      </c>
      <c r="D13465" s="787">
        <v>9.2799999999999994</v>
      </c>
      <c r="E13465" s="787">
        <v>49.28</v>
      </c>
      <c r="F13465" s="788">
        <v>41904</v>
      </c>
      <c r="G13465" s="788">
        <v>41905</v>
      </c>
      <c r="H13465" s="787">
        <v>1</v>
      </c>
      <c r="I13465" s="788">
        <v>41914</v>
      </c>
      <c r="J13465" s="788">
        <v>41905</v>
      </c>
      <c r="K13465" s="788">
        <v>41899</v>
      </c>
      <c r="L13465" s="787">
        <v>49.28</v>
      </c>
      <c r="M13465" s="787">
        <v>20</v>
      </c>
      <c r="N13465" s="787">
        <v>51.56</v>
      </c>
      <c r="O13465" s="788">
        <v>41897</v>
      </c>
    </row>
    <row r="13466" spans="1:15" x14ac:dyDescent="0.25">
      <c r="A13466" s="786" t="s">
        <v>24202</v>
      </c>
      <c r="B13466" s="787">
        <v>4</v>
      </c>
      <c r="C13466" s="787" t="s">
        <v>24203</v>
      </c>
      <c r="D13466" s="787">
        <v>7.92</v>
      </c>
      <c r="E13466" s="787">
        <v>7.92</v>
      </c>
      <c r="F13466" s="788">
        <v>41904</v>
      </c>
      <c r="G13466" s="788">
        <v>41905</v>
      </c>
      <c r="H13466" s="787">
        <v>1</v>
      </c>
      <c r="I13466" s="788">
        <v>41914</v>
      </c>
      <c r="J13466" s="788">
        <v>41905</v>
      </c>
      <c r="K13466" s="788">
        <v>41899</v>
      </c>
      <c r="L13466" s="787">
        <v>7.92</v>
      </c>
      <c r="M13466" s="787">
        <v>20</v>
      </c>
      <c r="N13466" s="787">
        <v>91.38</v>
      </c>
      <c r="O13466" s="788">
        <v>41897</v>
      </c>
    </row>
    <row r="13467" spans="1:15" x14ac:dyDescent="0.25">
      <c r="A13467" s="786" t="s">
        <v>24204</v>
      </c>
      <c r="B13467" s="787">
        <v>4</v>
      </c>
      <c r="C13467" s="787" t="s">
        <v>24205</v>
      </c>
      <c r="D13467" s="787">
        <v>2.85</v>
      </c>
      <c r="E13467" s="787">
        <v>12.85</v>
      </c>
      <c r="F13467" s="788">
        <v>41908</v>
      </c>
      <c r="G13467" s="788">
        <v>41907</v>
      </c>
      <c r="H13467" s="787">
        <v>1</v>
      </c>
      <c r="I13467" s="788">
        <v>41908</v>
      </c>
      <c r="J13467" s="788">
        <v>41907</v>
      </c>
      <c r="K13467" s="788">
        <v>41906</v>
      </c>
      <c r="L13467" s="787">
        <v>12.85</v>
      </c>
      <c r="M13467" s="787">
        <v>20</v>
      </c>
      <c r="N13467" s="787">
        <v>13.81</v>
      </c>
      <c r="O13467" s="788">
        <v>41906</v>
      </c>
    </row>
    <row r="13468" spans="1:15" x14ac:dyDescent="0.25">
      <c r="A13468" s="786" t="s">
        <v>24206</v>
      </c>
      <c r="B13468" s="787">
        <v>4</v>
      </c>
      <c r="C13468" s="787" t="s">
        <v>24207</v>
      </c>
      <c r="D13468" s="787">
        <v>0.5</v>
      </c>
      <c r="E13468" s="787">
        <v>10.5</v>
      </c>
      <c r="F13468" s="788">
        <v>41936</v>
      </c>
      <c r="G13468" s="788">
        <v>41929</v>
      </c>
      <c r="H13468" s="787">
        <v>1</v>
      </c>
      <c r="I13468" s="788">
        <v>42163</v>
      </c>
      <c r="J13468" s="788">
        <v>42082</v>
      </c>
      <c r="K13468" s="788">
        <v>41922</v>
      </c>
      <c r="L13468" s="787">
        <v>10.5</v>
      </c>
      <c r="M13468" s="787">
        <v>20</v>
      </c>
      <c r="N13468" s="787">
        <v>11.29</v>
      </c>
      <c r="O13468" s="788">
        <v>41922</v>
      </c>
    </row>
    <row r="13469" spans="1:15" x14ac:dyDescent="0.25">
      <c r="A13469" s="786" t="s">
        <v>24208</v>
      </c>
      <c r="B13469" s="787">
        <v>4</v>
      </c>
      <c r="C13469" s="787" t="s">
        <v>24209</v>
      </c>
      <c r="D13469" s="787">
        <v>4.88</v>
      </c>
      <c r="E13469" s="787">
        <v>4.88</v>
      </c>
      <c r="F13469" s="788">
        <v>41936</v>
      </c>
      <c r="G13469" s="788">
        <v>41929</v>
      </c>
      <c r="H13469" s="787">
        <v>1</v>
      </c>
      <c r="I13469" s="788">
        <v>42158</v>
      </c>
      <c r="J13469" s="788">
        <v>41981</v>
      </c>
      <c r="K13469" s="788">
        <v>41922</v>
      </c>
      <c r="L13469" s="787">
        <v>4.88</v>
      </c>
      <c r="M13469" s="787">
        <v>20</v>
      </c>
      <c r="N13469" s="787">
        <v>5.25</v>
      </c>
      <c r="O13469" s="788">
        <v>41922</v>
      </c>
    </row>
    <row r="13470" spans="1:15" x14ac:dyDescent="0.25">
      <c r="A13470" s="786" t="s">
        <v>24210</v>
      </c>
      <c r="B13470" s="787">
        <v>4</v>
      </c>
      <c r="C13470" s="787" t="s">
        <v>24211</v>
      </c>
      <c r="D13470" s="787">
        <v>0</v>
      </c>
      <c r="E13470" s="787">
        <v>0</v>
      </c>
      <c r="H13470" s="787">
        <v>1</v>
      </c>
      <c r="I13470" s="788">
        <v>42096</v>
      </c>
      <c r="J13470" s="788">
        <v>42101</v>
      </c>
      <c r="K13470" s="788">
        <v>41968</v>
      </c>
      <c r="L13470" s="787">
        <v>28.5</v>
      </c>
      <c r="M13470" s="787">
        <v>20</v>
      </c>
      <c r="N13470" s="787">
        <v>30.64</v>
      </c>
      <c r="O13470" s="788">
        <v>41969</v>
      </c>
    </row>
    <row r="13471" spans="1:15" x14ac:dyDescent="0.25">
      <c r="A13471" s="786" t="s">
        <v>24212</v>
      </c>
      <c r="B13471" s="787">
        <v>4</v>
      </c>
      <c r="C13471" s="787" t="s">
        <v>24213</v>
      </c>
      <c r="D13471" s="787">
        <v>6.21</v>
      </c>
      <c r="E13471" s="787">
        <v>6.21</v>
      </c>
      <c r="F13471" s="788">
        <v>41985</v>
      </c>
      <c r="G13471" s="788">
        <v>41977</v>
      </c>
      <c r="H13471" s="787">
        <v>1</v>
      </c>
      <c r="J13471" s="788">
        <v>41977</v>
      </c>
      <c r="K13471" s="788">
        <v>41970</v>
      </c>
      <c r="L13471" s="787">
        <v>6.21</v>
      </c>
      <c r="M13471" s="787">
        <v>20</v>
      </c>
      <c r="N13471" s="787">
        <v>6.68</v>
      </c>
      <c r="O13471" s="788">
        <v>41972</v>
      </c>
    </row>
    <row r="13472" spans="1:15" x14ac:dyDescent="0.25">
      <c r="A13472" s="786" t="s">
        <v>24214</v>
      </c>
      <c r="B13472" s="787">
        <v>4</v>
      </c>
      <c r="C13472" s="787" t="s">
        <v>24215</v>
      </c>
      <c r="D13472" s="787">
        <v>5.01</v>
      </c>
      <c r="E13472" s="787">
        <v>5.01</v>
      </c>
      <c r="F13472" s="788">
        <v>41985</v>
      </c>
      <c r="G13472" s="788">
        <v>41978</v>
      </c>
      <c r="H13472" s="787">
        <v>1</v>
      </c>
      <c r="I13472" s="788">
        <v>42160</v>
      </c>
      <c r="J13472" s="788">
        <v>42052</v>
      </c>
      <c r="K13472" s="788">
        <v>41971</v>
      </c>
      <c r="L13472" s="787">
        <v>5.01</v>
      </c>
      <c r="M13472" s="787">
        <v>20</v>
      </c>
      <c r="N13472" s="787">
        <v>5.39</v>
      </c>
      <c r="O13472" s="788">
        <v>41972</v>
      </c>
    </row>
    <row r="13473" spans="1:15" x14ac:dyDescent="0.25">
      <c r="A13473" s="786" t="s">
        <v>24216</v>
      </c>
      <c r="B13473" s="787">
        <v>4</v>
      </c>
      <c r="C13473" s="787" t="s">
        <v>24217</v>
      </c>
      <c r="D13473" s="787">
        <v>0.25</v>
      </c>
      <c r="E13473" s="787">
        <v>0.25</v>
      </c>
      <c r="F13473" s="788">
        <v>42034</v>
      </c>
      <c r="G13473" s="788">
        <v>42026</v>
      </c>
      <c r="H13473" s="787">
        <v>1</v>
      </c>
      <c r="J13473" s="788">
        <v>42026</v>
      </c>
      <c r="K13473" s="788">
        <v>42025</v>
      </c>
      <c r="L13473" s="787">
        <v>0.25</v>
      </c>
      <c r="M13473" s="787">
        <v>20</v>
      </c>
      <c r="N13473" s="787">
        <v>0.27</v>
      </c>
      <c r="O13473" s="788">
        <v>42025</v>
      </c>
    </row>
    <row r="13474" spans="1:15" x14ac:dyDescent="0.25">
      <c r="A13474" s="786" t="s">
        <v>24218</v>
      </c>
      <c r="B13474" s="787">
        <v>4</v>
      </c>
      <c r="C13474" s="787" t="s">
        <v>24219</v>
      </c>
      <c r="D13474" s="787">
        <v>0.27</v>
      </c>
      <c r="E13474" s="787">
        <v>0.27</v>
      </c>
      <c r="F13474" s="788">
        <v>42034</v>
      </c>
      <c r="G13474" s="788">
        <v>42026</v>
      </c>
      <c r="H13474" s="787">
        <v>1</v>
      </c>
      <c r="J13474" s="788">
        <v>42026</v>
      </c>
      <c r="K13474" s="788">
        <v>42025</v>
      </c>
      <c r="L13474" s="787">
        <v>0.27</v>
      </c>
      <c r="M13474" s="787">
        <v>20</v>
      </c>
      <c r="N13474" s="787">
        <v>0.28999999999999998</v>
      </c>
      <c r="O13474" s="788">
        <v>42025</v>
      </c>
    </row>
    <row r="13475" spans="1:15" x14ac:dyDescent="0.25">
      <c r="A13475" s="786" t="s">
        <v>24220</v>
      </c>
      <c r="B13475" s="787">
        <v>4</v>
      </c>
      <c r="C13475" s="787" t="s">
        <v>24221</v>
      </c>
      <c r="D13475" s="787">
        <v>6.65</v>
      </c>
      <c r="E13475" s="787">
        <v>36.71</v>
      </c>
      <c r="F13475" s="788">
        <v>42048</v>
      </c>
      <c r="G13475" s="788">
        <v>42074</v>
      </c>
      <c r="H13475" s="787">
        <v>1</v>
      </c>
      <c r="J13475" s="788">
        <v>42074</v>
      </c>
      <c r="K13475" s="788">
        <v>42072</v>
      </c>
      <c r="L13475" s="787">
        <v>36.65</v>
      </c>
      <c r="M13475" s="787">
        <v>20</v>
      </c>
      <c r="N13475" s="787">
        <v>39.4</v>
      </c>
      <c r="O13475" s="788">
        <v>42072</v>
      </c>
    </row>
    <row r="13476" spans="1:15" x14ac:dyDescent="0.25">
      <c r="A13476" s="786" t="s">
        <v>24222</v>
      </c>
      <c r="B13476" s="787">
        <v>4</v>
      </c>
      <c r="C13476" s="787" t="s">
        <v>24223</v>
      </c>
      <c r="D13476" s="787">
        <v>5.27</v>
      </c>
      <c r="E13476" s="787">
        <v>15.27</v>
      </c>
      <c r="F13476" s="788">
        <v>42053</v>
      </c>
      <c r="G13476" s="788">
        <v>42051</v>
      </c>
      <c r="H13476" s="787">
        <v>1</v>
      </c>
      <c r="I13476" s="788">
        <v>42114</v>
      </c>
      <c r="J13476" s="788">
        <v>42114</v>
      </c>
      <c r="K13476" s="788">
        <v>42046</v>
      </c>
      <c r="L13476" s="787">
        <v>15.27</v>
      </c>
      <c r="M13476" s="787">
        <v>20</v>
      </c>
      <c r="N13476" s="787">
        <v>16.420000000000002</v>
      </c>
      <c r="O13476" s="788">
        <v>42047</v>
      </c>
    </row>
    <row r="13477" spans="1:15" x14ac:dyDescent="0.25">
      <c r="A13477" s="786" t="s">
        <v>24224</v>
      </c>
      <c r="B13477" s="787">
        <v>4</v>
      </c>
      <c r="C13477" s="787" t="s">
        <v>24225</v>
      </c>
      <c r="D13477" s="787">
        <v>8.02</v>
      </c>
      <c r="E13477" s="787">
        <v>98.02</v>
      </c>
      <c r="F13477" s="788">
        <v>42078</v>
      </c>
      <c r="G13477" s="788">
        <v>42069</v>
      </c>
      <c r="H13477" s="787">
        <v>1</v>
      </c>
      <c r="J13477" s="788">
        <v>42069</v>
      </c>
      <c r="K13477" s="788">
        <v>42061</v>
      </c>
      <c r="L13477" s="787">
        <v>98.02</v>
      </c>
      <c r="M13477" s="787">
        <v>20</v>
      </c>
      <c r="N13477" s="787">
        <v>105.37</v>
      </c>
      <c r="O13477" s="788">
        <v>42061</v>
      </c>
    </row>
    <row r="13478" spans="1:15" x14ac:dyDescent="0.25">
      <c r="A13478" s="786" t="s">
        <v>24226</v>
      </c>
      <c r="B13478" s="787">
        <v>4</v>
      </c>
      <c r="C13478" s="787" t="s">
        <v>23745</v>
      </c>
      <c r="D13478" s="787">
        <v>1</v>
      </c>
      <c r="E13478" s="787">
        <v>121</v>
      </c>
      <c r="F13478" s="788">
        <v>42092</v>
      </c>
      <c r="G13478" s="788">
        <v>42073</v>
      </c>
      <c r="H13478" s="787">
        <v>1</v>
      </c>
      <c r="I13478" s="788">
        <v>42152</v>
      </c>
      <c r="J13478" s="788">
        <v>42143</v>
      </c>
      <c r="K13478" s="788">
        <v>42069</v>
      </c>
      <c r="L13478" s="787">
        <v>121</v>
      </c>
      <c r="M13478" s="787">
        <v>20</v>
      </c>
      <c r="N13478" s="787">
        <v>130.08000000000001</v>
      </c>
      <c r="O13478" s="788">
        <v>42127</v>
      </c>
    </row>
    <row r="13479" spans="1:15" x14ac:dyDescent="0.25">
      <c r="A13479" s="786" t="s">
        <v>24227</v>
      </c>
      <c r="B13479" s="787">
        <v>4</v>
      </c>
      <c r="C13479" s="787" t="s">
        <v>24228</v>
      </c>
      <c r="D13479" s="787">
        <v>7.36</v>
      </c>
      <c r="E13479" s="787">
        <v>7.36</v>
      </c>
      <c r="F13479" s="788">
        <v>42116</v>
      </c>
      <c r="G13479" s="788">
        <v>42073</v>
      </c>
      <c r="H13479" s="787">
        <v>1</v>
      </c>
      <c r="I13479" s="788">
        <v>42145</v>
      </c>
      <c r="J13479" s="788">
        <v>42073</v>
      </c>
      <c r="K13479" s="788">
        <v>42072</v>
      </c>
      <c r="L13479" s="787">
        <v>7.36</v>
      </c>
      <c r="M13479" s="787">
        <v>20</v>
      </c>
      <c r="N13479" s="787">
        <v>7.91</v>
      </c>
      <c r="O13479" s="788">
        <v>42072</v>
      </c>
    </row>
    <row r="13480" spans="1:15" x14ac:dyDescent="0.25">
      <c r="A13480" s="786" t="s">
        <v>24229</v>
      </c>
      <c r="B13480" s="787">
        <v>4</v>
      </c>
      <c r="C13480" s="787" t="s">
        <v>24230</v>
      </c>
      <c r="D13480" s="787">
        <v>6.64</v>
      </c>
      <c r="E13480" s="787">
        <v>6.64</v>
      </c>
      <c r="F13480" s="788">
        <v>42116</v>
      </c>
      <c r="G13480" s="788">
        <v>42073</v>
      </c>
      <c r="H13480" s="787">
        <v>1</v>
      </c>
      <c r="J13480" s="788">
        <v>42073</v>
      </c>
      <c r="K13480" s="788">
        <v>42072</v>
      </c>
      <c r="L13480" s="787">
        <v>6.64</v>
      </c>
      <c r="M13480" s="787">
        <v>20</v>
      </c>
      <c r="N13480" s="787">
        <v>7.14</v>
      </c>
      <c r="O13480" s="788">
        <v>42072</v>
      </c>
    </row>
    <row r="13481" spans="1:15" x14ac:dyDescent="0.25">
      <c r="A13481" s="786" t="s">
        <v>24231</v>
      </c>
      <c r="B13481" s="787">
        <v>4</v>
      </c>
      <c r="C13481" s="787" t="s">
        <v>24232</v>
      </c>
      <c r="D13481" s="787">
        <v>8.14</v>
      </c>
      <c r="E13481" s="787">
        <v>8.14</v>
      </c>
      <c r="F13481" s="788">
        <v>42121</v>
      </c>
      <c r="G13481" s="788">
        <v>42121</v>
      </c>
      <c r="H13481" s="787">
        <v>1</v>
      </c>
      <c r="I13481" s="788">
        <v>42093</v>
      </c>
      <c r="J13481" s="788">
        <v>42089</v>
      </c>
      <c r="K13481" s="788">
        <v>42080</v>
      </c>
      <c r="L13481" s="787">
        <v>8.14</v>
      </c>
      <c r="M13481" s="787">
        <v>20</v>
      </c>
      <c r="N13481" s="787">
        <v>8.75</v>
      </c>
      <c r="O13481" s="788">
        <v>42080</v>
      </c>
    </row>
    <row r="13482" spans="1:15" x14ac:dyDescent="0.25">
      <c r="A13482" s="786" t="s">
        <v>24233</v>
      </c>
      <c r="B13482" s="787">
        <v>4</v>
      </c>
      <c r="C13482" s="787" t="s">
        <v>24234</v>
      </c>
      <c r="D13482" s="787">
        <v>5.87</v>
      </c>
      <c r="E13482" s="787">
        <v>25.87</v>
      </c>
      <c r="F13482" s="788">
        <v>42121</v>
      </c>
      <c r="G13482" s="788">
        <v>42089</v>
      </c>
      <c r="H13482" s="787">
        <v>1</v>
      </c>
      <c r="I13482" s="788">
        <v>42093</v>
      </c>
      <c r="J13482" s="788">
        <v>42089</v>
      </c>
      <c r="K13482" s="788">
        <v>42080</v>
      </c>
      <c r="L13482" s="787">
        <v>25.87</v>
      </c>
      <c r="M13482" s="787">
        <v>20</v>
      </c>
      <c r="N13482" s="787">
        <v>27.81</v>
      </c>
      <c r="O13482" s="788">
        <v>42080</v>
      </c>
    </row>
    <row r="13483" spans="1:15" x14ac:dyDescent="0.25">
      <c r="A13483" s="786" t="s">
        <v>24235</v>
      </c>
      <c r="B13483" s="787">
        <v>4</v>
      </c>
      <c r="C13483" s="787" t="s">
        <v>24236</v>
      </c>
      <c r="D13483" s="787">
        <v>9.6999999999999993</v>
      </c>
      <c r="E13483" s="787">
        <v>29.7</v>
      </c>
      <c r="F13483" s="788">
        <v>42121</v>
      </c>
      <c r="G13483" s="788">
        <v>42094</v>
      </c>
      <c r="H13483" s="787">
        <v>1</v>
      </c>
      <c r="J13483" s="788">
        <v>42094</v>
      </c>
      <c r="K13483" s="788">
        <v>42089</v>
      </c>
      <c r="L13483" s="787">
        <v>29.7</v>
      </c>
      <c r="M13483" s="787">
        <v>20</v>
      </c>
      <c r="N13483" s="787">
        <v>0</v>
      </c>
    </row>
    <row r="13484" spans="1:15" x14ac:dyDescent="0.25">
      <c r="A13484" s="786" t="s">
        <v>24237</v>
      </c>
      <c r="B13484" s="787">
        <v>4</v>
      </c>
      <c r="C13484" s="787" t="s">
        <v>24238</v>
      </c>
      <c r="D13484" s="787">
        <v>4</v>
      </c>
      <c r="E13484" s="787">
        <v>44</v>
      </c>
      <c r="F13484" s="788">
        <v>42104</v>
      </c>
      <c r="G13484" s="788">
        <v>42102</v>
      </c>
      <c r="H13484" s="787">
        <v>1</v>
      </c>
      <c r="I13484" s="788">
        <v>42104</v>
      </c>
      <c r="J13484" s="788">
        <v>42102</v>
      </c>
      <c r="K13484" s="788">
        <v>42094</v>
      </c>
      <c r="L13484" s="787">
        <v>44</v>
      </c>
      <c r="M13484" s="787">
        <v>20</v>
      </c>
      <c r="N13484" s="787">
        <v>0</v>
      </c>
    </row>
    <row r="13485" spans="1:15" x14ac:dyDescent="0.25">
      <c r="A13485" s="786" t="s">
        <v>24239</v>
      </c>
      <c r="B13485" s="787">
        <v>4</v>
      </c>
      <c r="C13485" s="787" t="s">
        <v>24240</v>
      </c>
      <c r="D13485" s="787">
        <v>4.08</v>
      </c>
      <c r="E13485" s="787">
        <v>14.08</v>
      </c>
      <c r="F13485" s="788">
        <v>42121</v>
      </c>
      <c r="G13485" s="788">
        <v>42115</v>
      </c>
      <c r="H13485" s="787">
        <v>1</v>
      </c>
      <c r="I13485" s="788">
        <v>42124</v>
      </c>
      <c r="J13485" s="788">
        <v>42115</v>
      </c>
      <c r="K13485" s="788">
        <v>42115</v>
      </c>
      <c r="L13485" s="787">
        <v>14.08</v>
      </c>
      <c r="M13485" s="787">
        <v>20</v>
      </c>
      <c r="N13485" s="787">
        <v>0</v>
      </c>
    </row>
    <row r="13486" spans="1:15" x14ac:dyDescent="0.25">
      <c r="A13486" s="786" t="s">
        <v>24241</v>
      </c>
      <c r="B13486" s="787">
        <v>4</v>
      </c>
      <c r="C13486" s="787" t="s">
        <v>24242</v>
      </c>
      <c r="D13486" s="787">
        <v>0.79</v>
      </c>
      <c r="E13486" s="787">
        <v>0.79</v>
      </c>
      <c r="F13486" s="788">
        <v>42121</v>
      </c>
      <c r="G13486" s="788">
        <v>42146</v>
      </c>
      <c r="H13486" s="787">
        <v>1</v>
      </c>
      <c r="I13486" s="788">
        <v>42124</v>
      </c>
      <c r="J13486" s="788">
        <v>42116</v>
      </c>
      <c r="K13486" s="788">
        <v>42115</v>
      </c>
      <c r="L13486" s="787">
        <v>0.79</v>
      </c>
      <c r="M13486" s="787">
        <v>20</v>
      </c>
      <c r="N13486" s="787">
        <v>0</v>
      </c>
    </row>
    <row r="13487" spans="1:15" x14ac:dyDescent="0.25">
      <c r="A13487" s="786" t="s">
        <v>24243</v>
      </c>
      <c r="B13487" s="787">
        <v>4</v>
      </c>
      <c r="C13487" s="787" t="s">
        <v>24244</v>
      </c>
      <c r="D13487" s="787">
        <v>0.79</v>
      </c>
      <c r="E13487" s="787">
        <v>0.79</v>
      </c>
      <c r="F13487" s="788">
        <v>42121</v>
      </c>
      <c r="G13487" s="788">
        <v>42146</v>
      </c>
      <c r="H13487" s="787">
        <v>1</v>
      </c>
      <c r="I13487" s="788">
        <v>42124</v>
      </c>
      <c r="J13487" s="788">
        <v>42128</v>
      </c>
      <c r="K13487" s="788">
        <v>42115</v>
      </c>
      <c r="L13487" s="787">
        <v>0.79</v>
      </c>
      <c r="M13487" s="787">
        <v>20</v>
      </c>
      <c r="N13487" s="787">
        <v>0</v>
      </c>
    </row>
    <row r="13488" spans="1:15" x14ac:dyDescent="0.25">
      <c r="A13488" s="786" t="s">
        <v>24245</v>
      </c>
      <c r="B13488" s="787">
        <v>4</v>
      </c>
      <c r="C13488" s="787" t="s">
        <v>24246</v>
      </c>
      <c r="D13488" s="787">
        <v>0.79</v>
      </c>
      <c r="E13488" s="787">
        <v>0.79</v>
      </c>
      <c r="F13488" s="788">
        <v>42121</v>
      </c>
      <c r="G13488" s="788">
        <v>42146</v>
      </c>
      <c r="H13488" s="787">
        <v>1</v>
      </c>
      <c r="I13488" s="788">
        <v>42124</v>
      </c>
      <c r="J13488" s="788">
        <v>42116</v>
      </c>
      <c r="K13488" s="788">
        <v>42115</v>
      </c>
      <c r="L13488" s="787">
        <v>0.79</v>
      </c>
      <c r="M13488" s="787">
        <v>20</v>
      </c>
      <c r="N13488" s="787">
        <v>0</v>
      </c>
    </row>
    <row r="13489" spans="1:15" x14ac:dyDescent="0.25">
      <c r="A13489" s="786" t="s">
        <v>24247</v>
      </c>
      <c r="B13489" s="787">
        <v>4</v>
      </c>
      <c r="C13489" s="787" t="s">
        <v>24248</v>
      </c>
      <c r="D13489" s="787">
        <v>2.19</v>
      </c>
      <c r="E13489" s="787">
        <v>2.2000000000000002</v>
      </c>
      <c r="F13489" s="788">
        <v>37641</v>
      </c>
      <c r="G13489" s="788">
        <v>38736</v>
      </c>
      <c r="H13489" s="787">
        <v>1</v>
      </c>
      <c r="I13489" s="788">
        <v>39134</v>
      </c>
      <c r="J13489" s="788">
        <v>38092</v>
      </c>
      <c r="L13489" s="787">
        <v>2.4</v>
      </c>
      <c r="M13489" s="787">
        <v>20</v>
      </c>
      <c r="N13489" s="787">
        <v>2.58</v>
      </c>
      <c r="O13489" s="788">
        <v>41858</v>
      </c>
    </row>
    <row r="13490" spans="1:15" x14ac:dyDescent="0.25">
      <c r="A13490" s="786" t="s">
        <v>24249</v>
      </c>
      <c r="B13490" s="787">
        <v>4</v>
      </c>
      <c r="C13490" s="787" t="s">
        <v>24250</v>
      </c>
      <c r="D13490" s="787">
        <v>8.9499999999999993</v>
      </c>
      <c r="E13490" s="787">
        <v>38.950000000000003</v>
      </c>
      <c r="F13490" s="788">
        <v>39233</v>
      </c>
      <c r="G13490" s="788">
        <v>41282</v>
      </c>
      <c r="H13490" s="787">
        <v>1</v>
      </c>
      <c r="I13490" s="788">
        <v>42093</v>
      </c>
      <c r="J13490" s="788">
        <v>41834</v>
      </c>
      <c r="K13490" s="788">
        <v>41869</v>
      </c>
      <c r="L13490" s="787">
        <v>38.950000000000003</v>
      </c>
      <c r="M13490" s="787">
        <v>20</v>
      </c>
      <c r="N13490" s="787">
        <v>41.87</v>
      </c>
      <c r="O13490" s="788">
        <v>42111</v>
      </c>
    </row>
    <row r="13491" spans="1:15" x14ac:dyDescent="0.25">
      <c r="A13491" s="786" t="s">
        <v>24251</v>
      </c>
      <c r="B13491" s="787">
        <v>4</v>
      </c>
      <c r="C13491" s="787" t="s">
        <v>24252</v>
      </c>
      <c r="D13491" s="787">
        <v>7</v>
      </c>
      <c r="E13491" s="787">
        <v>27.7</v>
      </c>
      <c r="F13491" s="788">
        <v>38835</v>
      </c>
      <c r="G13491" s="788">
        <v>40913</v>
      </c>
      <c r="H13491" s="787">
        <v>1</v>
      </c>
      <c r="I13491" s="788">
        <v>40504</v>
      </c>
      <c r="J13491" s="788">
        <v>40891</v>
      </c>
      <c r="L13491" s="787">
        <v>41.42</v>
      </c>
      <c r="M13491" s="787">
        <v>20</v>
      </c>
      <c r="N13491" s="787">
        <v>44.53</v>
      </c>
      <c r="O13491" s="788">
        <v>41858</v>
      </c>
    </row>
    <row r="13492" spans="1:15" x14ac:dyDescent="0.25">
      <c r="A13492" s="786" t="s">
        <v>24253</v>
      </c>
      <c r="B13492" s="787">
        <v>4</v>
      </c>
      <c r="C13492" s="787" t="s">
        <v>24254</v>
      </c>
      <c r="D13492" s="787">
        <v>8</v>
      </c>
      <c r="E13492" s="787">
        <v>38.950000000000003</v>
      </c>
      <c r="F13492" s="788">
        <v>39101</v>
      </c>
      <c r="G13492" s="788">
        <v>41239</v>
      </c>
      <c r="H13492" s="787">
        <v>1</v>
      </c>
      <c r="I13492" s="788">
        <v>40973</v>
      </c>
      <c r="J13492" s="788">
        <v>41213</v>
      </c>
      <c r="L13492" s="787">
        <v>41.42</v>
      </c>
      <c r="M13492" s="787">
        <v>20</v>
      </c>
      <c r="N13492" s="787">
        <v>44.53</v>
      </c>
      <c r="O13492" s="788">
        <v>41858</v>
      </c>
    </row>
    <row r="13493" spans="1:15" x14ac:dyDescent="0.25">
      <c r="A13493" s="786" t="s">
        <v>24255</v>
      </c>
      <c r="B13493" s="787">
        <v>4</v>
      </c>
      <c r="C13493" s="787" t="s">
        <v>24256</v>
      </c>
      <c r="D13493" s="787">
        <v>8.9499999999999993</v>
      </c>
      <c r="E13493" s="787">
        <v>58.95</v>
      </c>
      <c r="F13493" s="788">
        <v>39316</v>
      </c>
      <c r="G13493" s="788">
        <v>40553</v>
      </c>
      <c r="H13493" s="787">
        <v>1</v>
      </c>
      <c r="I13493" s="788">
        <v>39134</v>
      </c>
      <c r="J13493" s="788">
        <v>39974</v>
      </c>
      <c r="L13493" s="787">
        <v>63.98</v>
      </c>
      <c r="M13493" s="787">
        <v>20</v>
      </c>
      <c r="N13493" s="787">
        <v>68.78</v>
      </c>
      <c r="O13493" s="788">
        <v>41858</v>
      </c>
    </row>
    <row r="13494" spans="1:15" x14ac:dyDescent="0.25">
      <c r="A13494" s="786" t="s">
        <v>24257</v>
      </c>
      <c r="B13494" s="787">
        <v>4</v>
      </c>
      <c r="C13494" s="787" t="s">
        <v>24258</v>
      </c>
      <c r="D13494" s="787">
        <v>8.9499999999999993</v>
      </c>
      <c r="E13494" s="787">
        <v>51.86</v>
      </c>
      <c r="F13494" s="788">
        <v>39380</v>
      </c>
      <c r="G13494" s="788">
        <v>39826</v>
      </c>
      <c r="H13494" s="787">
        <v>1</v>
      </c>
      <c r="I13494" s="788">
        <v>39828</v>
      </c>
      <c r="J13494" s="788">
        <v>39827</v>
      </c>
      <c r="K13494" s="788">
        <v>41869</v>
      </c>
      <c r="L13494" s="787">
        <v>51.86</v>
      </c>
      <c r="M13494" s="787">
        <v>20</v>
      </c>
      <c r="N13494" s="787">
        <v>364.41</v>
      </c>
      <c r="O13494" s="788">
        <v>41858</v>
      </c>
    </row>
    <row r="13495" spans="1:15" x14ac:dyDescent="0.25">
      <c r="A13495" s="786" t="s">
        <v>24259</v>
      </c>
      <c r="B13495" s="787">
        <v>4</v>
      </c>
      <c r="C13495" s="787" t="s">
        <v>24260</v>
      </c>
      <c r="D13495" s="787">
        <v>0</v>
      </c>
      <c r="E13495" s="787">
        <v>0</v>
      </c>
      <c r="H13495" s="787">
        <v>1</v>
      </c>
      <c r="I13495" s="788">
        <v>41183</v>
      </c>
      <c r="J13495" s="788">
        <v>37641</v>
      </c>
      <c r="K13495" s="788">
        <v>41261</v>
      </c>
      <c r="L13495" s="787">
        <v>150</v>
      </c>
      <c r="M13495" s="787">
        <v>20</v>
      </c>
      <c r="N13495" s="787">
        <v>161.25</v>
      </c>
      <c r="O13495" s="788">
        <v>41858</v>
      </c>
    </row>
    <row r="13496" spans="1:15" x14ac:dyDescent="0.25">
      <c r="A13496" s="786" t="s">
        <v>24261</v>
      </c>
      <c r="B13496" s="787">
        <v>4</v>
      </c>
      <c r="C13496" s="787" t="s">
        <v>24262</v>
      </c>
      <c r="D13496" s="787">
        <v>0</v>
      </c>
      <c r="E13496" s="787">
        <v>0</v>
      </c>
      <c r="H13496" s="787">
        <v>1</v>
      </c>
      <c r="J13496" s="788">
        <v>37641</v>
      </c>
      <c r="L13496" s="787">
        <v>0</v>
      </c>
      <c r="M13496" s="787">
        <v>20</v>
      </c>
      <c r="N13496" s="787">
        <v>0</v>
      </c>
      <c r="O13496" s="788">
        <v>40824</v>
      </c>
    </row>
    <row r="13497" spans="1:15" x14ac:dyDescent="0.25">
      <c r="A13497" s="786" t="s">
        <v>24263</v>
      </c>
      <c r="B13497" s="787">
        <v>4</v>
      </c>
      <c r="C13497" s="787" t="s">
        <v>24264</v>
      </c>
      <c r="D13497" s="787">
        <v>0</v>
      </c>
      <c r="E13497" s="787">
        <v>0</v>
      </c>
      <c r="H13497" s="787">
        <v>1</v>
      </c>
      <c r="J13497" s="788">
        <v>37641</v>
      </c>
      <c r="L13497" s="787">
        <v>0</v>
      </c>
      <c r="M13497" s="787">
        <v>20</v>
      </c>
      <c r="N13497" s="787">
        <v>0</v>
      </c>
      <c r="O13497" s="788">
        <v>40824</v>
      </c>
    </row>
    <row r="13498" spans="1:15" x14ac:dyDescent="0.25">
      <c r="A13498" s="786" t="s">
        <v>24265</v>
      </c>
      <c r="B13498" s="787">
        <v>4</v>
      </c>
      <c r="C13498" s="787" t="s">
        <v>24266</v>
      </c>
      <c r="D13498" s="787">
        <v>2</v>
      </c>
      <c r="E13498" s="787">
        <v>258.3</v>
      </c>
      <c r="F13498" s="788">
        <v>38621</v>
      </c>
      <c r="G13498" s="788">
        <v>41565</v>
      </c>
      <c r="H13498" s="787">
        <v>1</v>
      </c>
      <c r="I13498" s="788">
        <v>41284</v>
      </c>
      <c r="J13498" s="788">
        <v>41286</v>
      </c>
      <c r="K13498" s="788">
        <v>41302</v>
      </c>
      <c r="L13498" s="787">
        <v>258.3</v>
      </c>
      <c r="M13498" s="787">
        <v>20</v>
      </c>
      <c r="N13498" s="787">
        <v>277.67</v>
      </c>
      <c r="O13498" s="788">
        <v>41858</v>
      </c>
    </row>
    <row r="13499" spans="1:15" x14ac:dyDescent="0.25">
      <c r="A13499" s="786" t="s">
        <v>24267</v>
      </c>
      <c r="B13499" s="787">
        <v>4</v>
      </c>
      <c r="C13499" s="787" t="s">
        <v>24268</v>
      </c>
      <c r="D13499" s="787">
        <v>8.6999999999999993</v>
      </c>
      <c r="E13499" s="787">
        <v>108.7</v>
      </c>
      <c r="F13499" s="788">
        <v>39101</v>
      </c>
      <c r="G13499" s="788">
        <v>39101</v>
      </c>
      <c r="H13499" s="787">
        <v>6</v>
      </c>
      <c r="I13499" s="788">
        <v>39500</v>
      </c>
      <c r="J13499" s="788">
        <v>39101</v>
      </c>
      <c r="L13499" s="787">
        <v>118.48</v>
      </c>
      <c r="M13499" s="787">
        <v>20</v>
      </c>
      <c r="N13499" s="787">
        <v>116.85</v>
      </c>
      <c r="O13499" s="788">
        <v>41806</v>
      </c>
    </row>
    <row r="13500" spans="1:15" x14ac:dyDescent="0.25">
      <c r="A13500" s="786" t="s">
        <v>24269</v>
      </c>
      <c r="B13500" s="787">
        <v>4</v>
      </c>
      <c r="C13500" s="787" t="s">
        <v>24270</v>
      </c>
      <c r="D13500" s="787">
        <v>6</v>
      </c>
      <c r="E13500" s="787">
        <v>292</v>
      </c>
      <c r="F13500" s="788">
        <v>38250</v>
      </c>
      <c r="G13500" s="788">
        <v>39660</v>
      </c>
      <c r="H13500" s="787">
        <v>1</v>
      </c>
      <c r="I13500" s="788">
        <v>40533</v>
      </c>
      <c r="J13500" s="788">
        <v>40532</v>
      </c>
      <c r="L13500" s="787">
        <v>213.64</v>
      </c>
      <c r="M13500" s="787">
        <v>20</v>
      </c>
      <c r="N13500" s="787">
        <v>229.66</v>
      </c>
      <c r="O13500" s="788">
        <v>41858</v>
      </c>
    </row>
    <row r="13501" spans="1:15" x14ac:dyDescent="0.25">
      <c r="A13501" s="786" t="s">
        <v>24271</v>
      </c>
      <c r="B13501" s="787">
        <v>4</v>
      </c>
      <c r="C13501" s="787" t="s">
        <v>24272</v>
      </c>
      <c r="D13501" s="787">
        <v>7</v>
      </c>
      <c r="E13501" s="787">
        <v>420</v>
      </c>
      <c r="F13501" s="788">
        <v>39101</v>
      </c>
      <c r="G13501" s="788">
        <v>42032</v>
      </c>
      <c r="H13501" s="787">
        <v>1</v>
      </c>
      <c r="I13501" s="788">
        <v>42116</v>
      </c>
      <c r="J13501" s="788">
        <v>42116</v>
      </c>
      <c r="K13501" s="788">
        <v>42066</v>
      </c>
      <c r="L13501" s="787">
        <v>420</v>
      </c>
      <c r="M13501" s="787">
        <v>20</v>
      </c>
      <c r="N13501" s="787">
        <v>451.5</v>
      </c>
      <c r="O13501" s="788">
        <v>42066</v>
      </c>
    </row>
    <row r="13502" spans="1:15" x14ac:dyDescent="0.25">
      <c r="A13502" s="786" t="s">
        <v>24273</v>
      </c>
      <c r="B13502" s="787">
        <v>4</v>
      </c>
      <c r="C13502" s="787" t="s">
        <v>24274</v>
      </c>
      <c r="D13502" s="787">
        <v>0.1</v>
      </c>
      <c r="E13502" s="787">
        <v>50.1</v>
      </c>
      <c r="F13502" s="788">
        <v>38685</v>
      </c>
      <c r="G13502" s="788">
        <v>38685</v>
      </c>
      <c r="H13502" s="787">
        <v>1</v>
      </c>
      <c r="I13502" s="788">
        <v>38701</v>
      </c>
      <c r="J13502" s="788">
        <v>38701</v>
      </c>
      <c r="L13502" s="787">
        <v>50.1</v>
      </c>
      <c r="M13502" s="787">
        <v>20</v>
      </c>
      <c r="N13502" s="787">
        <v>53.86</v>
      </c>
      <c r="O13502" s="788">
        <v>41858</v>
      </c>
    </row>
    <row r="13503" spans="1:15" x14ac:dyDescent="0.25">
      <c r="A13503" s="786" t="s">
        <v>24275</v>
      </c>
      <c r="B13503" s="787">
        <v>4</v>
      </c>
      <c r="C13503" s="787" t="s">
        <v>24276</v>
      </c>
      <c r="D13503" s="787">
        <v>9</v>
      </c>
      <c r="E13503" s="787">
        <v>9.5</v>
      </c>
      <c r="F13503" s="788">
        <v>41670</v>
      </c>
      <c r="G13503" s="788">
        <v>42069</v>
      </c>
      <c r="H13503" s="787">
        <v>1</v>
      </c>
      <c r="I13503" s="788">
        <v>42156</v>
      </c>
      <c r="J13503" s="788">
        <v>42165</v>
      </c>
      <c r="K13503" s="788">
        <v>41932</v>
      </c>
      <c r="L13503" s="787">
        <v>9.5</v>
      </c>
      <c r="M13503" s="787">
        <v>20</v>
      </c>
      <c r="N13503" s="787">
        <v>10.210000000000001</v>
      </c>
      <c r="O13503" s="788">
        <v>42164</v>
      </c>
    </row>
    <row r="13504" spans="1:15" x14ac:dyDescent="0.25">
      <c r="A13504" s="786" t="s">
        <v>24277</v>
      </c>
      <c r="B13504" s="787">
        <v>4</v>
      </c>
      <c r="C13504" s="787" t="s">
        <v>24278</v>
      </c>
      <c r="D13504" s="787">
        <v>7.15</v>
      </c>
      <c r="E13504" s="787">
        <v>430.96</v>
      </c>
      <c r="F13504" s="788">
        <v>40144</v>
      </c>
      <c r="G13504" s="788">
        <v>41022</v>
      </c>
      <c r="H13504" s="787">
        <v>1</v>
      </c>
      <c r="I13504" s="788">
        <v>40998</v>
      </c>
      <c r="J13504" s="788">
        <v>41022</v>
      </c>
      <c r="L13504" s="787">
        <v>430.96</v>
      </c>
      <c r="M13504" s="787">
        <v>20</v>
      </c>
      <c r="N13504" s="787">
        <v>463.28</v>
      </c>
      <c r="O13504" s="788">
        <v>41858</v>
      </c>
    </row>
    <row r="13505" spans="1:15" x14ac:dyDescent="0.25">
      <c r="A13505" s="786" t="s">
        <v>24279</v>
      </c>
      <c r="B13505" s="787">
        <v>4</v>
      </c>
      <c r="C13505" s="787" t="s">
        <v>24280</v>
      </c>
      <c r="D13505" s="787">
        <v>2</v>
      </c>
      <c r="E13505" s="787">
        <v>402</v>
      </c>
      <c r="F13505" s="788">
        <v>38412</v>
      </c>
      <c r="G13505" s="788">
        <v>38412</v>
      </c>
      <c r="H13505" s="787">
        <v>1</v>
      </c>
      <c r="I13505" s="788">
        <v>38736</v>
      </c>
      <c r="J13505" s="788">
        <v>38471</v>
      </c>
      <c r="L13505" s="787">
        <v>402</v>
      </c>
      <c r="M13505" s="787">
        <v>20</v>
      </c>
      <c r="N13505" s="787">
        <v>432.15</v>
      </c>
      <c r="O13505" s="788">
        <v>41858</v>
      </c>
    </row>
    <row r="13506" spans="1:15" x14ac:dyDescent="0.25">
      <c r="A13506" s="786" t="s">
        <v>24281</v>
      </c>
      <c r="B13506" s="787">
        <v>4</v>
      </c>
      <c r="C13506" s="787" t="s">
        <v>24282</v>
      </c>
      <c r="D13506" s="787">
        <v>4.68</v>
      </c>
      <c r="E13506" s="787">
        <v>404.68</v>
      </c>
      <c r="F13506" s="788">
        <v>38471</v>
      </c>
      <c r="G13506" s="788">
        <v>38471</v>
      </c>
      <c r="H13506" s="787">
        <v>1</v>
      </c>
      <c r="I13506" s="788">
        <v>38736</v>
      </c>
      <c r="J13506" s="788">
        <v>38491</v>
      </c>
      <c r="L13506" s="787">
        <v>404.68</v>
      </c>
      <c r="M13506" s="787">
        <v>20</v>
      </c>
      <c r="N13506" s="787">
        <v>435.03</v>
      </c>
      <c r="O13506" s="788">
        <v>41858</v>
      </c>
    </row>
    <row r="13507" spans="1:15" x14ac:dyDescent="0.25">
      <c r="A13507" s="786" t="s">
        <v>24283</v>
      </c>
      <c r="B13507" s="787">
        <v>4</v>
      </c>
      <c r="C13507" s="787" t="s">
        <v>24284</v>
      </c>
      <c r="D13507" s="787">
        <v>9.8800000000000008</v>
      </c>
      <c r="E13507" s="787">
        <v>359.88</v>
      </c>
      <c r="F13507" s="788">
        <v>37641</v>
      </c>
      <c r="G13507" s="788">
        <v>37641</v>
      </c>
      <c r="H13507" s="787">
        <v>1</v>
      </c>
      <c r="I13507" s="788">
        <v>38586</v>
      </c>
      <c r="J13507" s="788">
        <v>37641</v>
      </c>
      <c r="L13507" s="787">
        <v>392.27</v>
      </c>
      <c r="M13507" s="787">
        <v>20</v>
      </c>
      <c r="N13507" s="787">
        <v>421.69</v>
      </c>
      <c r="O13507" s="788">
        <v>41858</v>
      </c>
    </row>
    <row r="13508" spans="1:15" x14ac:dyDescent="0.25">
      <c r="A13508" s="786" t="s">
        <v>24285</v>
      </c>
      <c r="B13508" s="787">
        <v>4</v>
      </c>
      <c r="C13508" s="787" t="s">
        <v>24286</v>
      </c>
      <c r="D13508" s="787">
        <v>0</v>
      </c>
      <c r="E13508" s="787">
        <v>470</v>
      </c>
      <c r="F13508" s="788">
        <v>38980</v>
      </c>
      <c r="G13508" s="788">
        <v>39010</v>
      </c>
      <c r="H13508" s="787">
        <v>6</v>
      </c>
      <c r="I13508" s="788">
        <v>39134</v>
      </c>
      <c r="J13508" s="788">
        <v>39006</v>
      </c>
      <c r="L13508" s="787">
        <v>586.09</v>
      </c>
      <c r="M13508" s="787">
        <v>20</v>
      </c>
      <c r="N13508" s="787">
        <v>505.25</v>
      </c>
      <c r="O13508" s="788">
        <v>41806</v>
      </c>
    </row>
    <row r="13509" spans="1:15" x14ac:dyDescent="0.25">
      <c r="A13509" s="786" t="s">
        <v>24287</v>
      </c>
      <c r="B13509" s="787">
        <v>4</v>
      </c>
      <c r="C13509" s="787" t="s">
        <v>24288</v>
      </c>
      <c r="D13509" s="787">
        <v>5.56</v>
      </c>
      <c r="E13509" s="787">
        <v>627.29</v>
      </c>
      <c r="F13509" s="788">
        <v>39101</v>
      </c>
      <c r="G13509" s="788">
        <v>39814</v>
      </c>
      <c r="H13509" s="787">
        <v>1</v>
      </c>
      <c r="I13509" s="788">
        <v>39700</v>
      </c>
      <c r="J13509" s="788">
        <v>39611</v>
      </c>
      <c r="L13509" s="787">
        <v>657.62</v>
      </c>
      <c r="M13509" s="787">
        <v>20</v>
      </c>
      <c r="N13509" s="787">
        <v>706.94</v>
      </c>
      <c r="O13509" s="788">
        <v>41858</v>
      </c>
    </row>
    <row r="13510" spans="1:15" x14ac:dyDescent="0.25">
      <c r="A13510" s="786" t="s">
        <v>24289</v>
      </c>
      <c r="B13510" s="787">
        <v>4</v>
      </c>
      <c r="C13510" s="787" t="s">
        <v>24290</v>
      </c>
      <c r="D13510" s="787">
        <v>2.15</v>
      </c>
      <c r="E13510" s="787">
        <v>432.15</v>
      </c>
      <c r="F13510" s="788">
        <v>40582</v>
      </c>
      <c r="G13510" s="788">
        <v>40583</v>
      </c>
      <c r="H13510" s="787">
        <v>1</v>
      </c>
      <c r="I13510" s="788">
        <v>41313</v>
      </c>
      <c r="J13510" s="788">
        <v>41298</v>
      </c>
      <c r="K13510" s="788">
        <v>41869</v>
      </c>
      <c r="L13510" s="787">
        <v>432.15</v>
      </c>
      <c r="M13510" s="787">
        <v>20</v>
      </c>
      <c r="N13510" s="787">
        <v>707.74</v>
      </c>
      <c r="O13510" s="788">
        <v>41858</v>
      </c>
    </row>
    <row r="13511" spans="1:15" x14ac:dyDescent="0.25">
      <c r="A13511" s="786" t="s">
        <v>24291</v>
      </c>
      <c r="B13511" s="787">
        <v>4</v>
      </c>
      <c r="C13511" s="787" t="s">
        <v>24292</v>
      </c>
      <c r="D13511" s="787">
        <v>8.0500000000000007</v>
      </c>
      <c r="E13511" s="787">
        <v>378.05</v>
      </c>
      <c r="F13511" s="788">
        <v>41361</v>
      </c>
      <c r="G13511" s="788">
        <v>42156</v>
      </c>
      <c r="H13511" s="787">
        <v>1</v>
      </c>
      <c r="I13511" s="788">
        <v>42166</v>
      </c>
      <c r="J13511" s="788">
        <v>42151</v>
      </c>
      <c r="K13511" s="788">
        <v>42131</v>
      </c>
      <c r="L13511" s="787">
        <v>378.05</v>
      </c>
      <c r="M13511" s="787">
        <v>20</v>
      </c>
      <c r="N13511" s="787">
        <v>406.4</v>
      </c>
      <c r="O13511" s="788">
        <v>42164</v>
      </c>
    </row>
    <row r="13512" spans="1:15" x14ac:dyDescent="0.25">
      <c r="A13512" s="786" t="s">
        <v>24293</v>
      </c>
      <c r="B13512" s="787">
        <v>4</v>
      </c>
      <c r="C13512" s="787" t="s">
        <v>24294</v>
      </c>
      <c r="D13512" s="787">
        <v>2</v>
      </c>
      <c r="E13512" s="787">
        <v>311</v>
      </c>
      <c r="F13512" s="788">
        <v>37641</v>
      </c>
      <c r="G13512" s="788">
        <v>38310</v>
      </c>
      <c r="H13512" s="787">
        <v>1</v>
      </c>
      <c r="I13512" s="788">
        <v>40163</v>
      </c>
      <c r="J13512" s="788">
        <v>38301</v>
      </c>
      <c r="L13512" s="787">
        <v>338.99</v>
      </c>
      <c r="M13512" s="787">
        <v>20</v>
      </c>
      <c r="N13512" s="787">
        <v>364.41</v>
      </c>
      <c r="O13512" s="788">
        <v>41858</v>
      </c>
    </row>
    <row r="13513" spans="1:15" x14ac:dyDescent="0.25">
      <c r="A13513" s="786" t="s">
        <v>24295</v>
      </c>
      <c r="B13513" s="787">
        <v>4</v>
      </c>
      <c r="C13513" s="787" t="s">
        <v>24296</v>
      </c>
      <c r="D13513" s="787">
        <v>1</v>
      </c>
      <c r="E13513" s="787">
        <v>421</v>
      </c>
      <c r="F13513" s="788">
        <v>38131</v>
      </c>
      <c r="G13513" s="788">
        <v>38341</v>
      </c>
      <c r="H13513" s="787">
        <v>6</v>
      </c>
      <c r="I13513" s="788">
        <v>37669</v>
      </c>
      <c r="J13513" s="788">
        <v>38327</v>
      </c>
      <c r="L13513" s="787">
        <v>458.89</v>
      </c>
      <c r="M13513" s="787">
        <v>20</v>
      </c>
      <c r="N13513" s="787">
        <v>452.58</v>
      </c>
      <c r="O13513" s="788">
        <v>41806</v>
      </c>
    </row>
    <row r="13514" spans="1:15" x14ac:dyDescent="0.25">
      <c r="A13514" s="786" t="s">
        <v>24297</v>
      </c>
      <c r="B13514" s="787">
        <v>4</v>
      </c>
      <c r="C13514" s="787" t="s">
        <v>24298</v>
      </c>
      <c r="D13514" s="787">
        <v>2.31</v>
      </c>
      <c r="E13514" s="787">
        <v>356.8</v>
      </c>
      <c r="F13514" s="788">
        <v>39101</v>
      </c>
      <c r="G13514" s="788">
        <v>42060</v>
      </c>
      <c r="H13514" s="787">
        <v>1</v>
      </c>
      <c r="I13514" s="788">
        <v>42114</v>
      </c>
      <c r="J13514" s="788">
        <v>42109</v>
      </c>
      <c r="K13514" s="788">
        <v>41214</v>
      </c>
      <c r="L13514" s="787">
        <v>356.8</v>
      </c>
      <c r="M13514" s="787">
        <v>20</v>
      </c>
      <c r="N13514" s="787">
        <v>383.56</v>
      </c>
      <c r="O13514" s="788">
        <v>41858</v>
      </c>
    </row>
    <row r="13515" spans="1:15" x14ac:dyDescent="0.25">
      <c r="A13515" s="786" t="s">
        <v>24299</v>
      </c>
      <c r="B13515" s="787">
        <v>4</v>
      </c>
      <c r="C13515" s="787" t="s">
        <v>24300</v>
      </c>
      <c r="D13515" s="787">
        <v>2.7</v>
      </c>
      <c r="E13515" s="787">
        <v>515.76</v>
      </c>
      <c r="F13515" s="788">
        <v>39101</v>
      </c>
      <c r="G13515" s="788">
        <v>41282</v>
      </c>
      <c r="H13515" s="787">
        <v>1</v>
      </c>
      <c r="I13515" s="788">
        <v>41622</v>
      </c>
      <c r="J13515" s="788">
        <v>41022</v>
      </c>
      <c r="L13515" s="787">
        <v>707.96</v>
      </c>
      <c r="M13515" s="787">
        <v>20</v>
      </c>
      <c r="N13515" s="787">
        <v>761.06</v>
      </c>
      <c r="O13515" s="788">
        <v>41858</v>
      </c>
    </row>
    <row r="13516" spans="1:15" x14ac:dyDescent="0.25">
      <c r="A13516" s="786" t="s">
        <v>24301</v>
      </c>
      <c r="B13516" s="787">
        <v>4</v>
      </c>
      <c r="C13516" s="787" t="s">
        <v>24302</v>
      </c>
      <c r="D13516" s="787">
        <v>0</v>
      </c>
      <c r="E13516" s="787">
        <v>0</v>
      </c>
      <c r="H13516" s="787">
        <v>6</v>
      </c>
      <c r="I13516" s="788">
        <v>39800</v>
      </c>
      <c r="L13516" s="787">
        <v>0</v>
      </c>
      <c r="M13516" s="787">
        <v>20</v>
      </c>
      <c r="N13516" s="787">
        <v>0</v>
      </c>
      <c r="O13516" s="788">
        <v>40824</v>
      </c>
    </row>
    <row r="13517" spans="1:15" x14ac:dyDescent="0.25">
      <c r="A13517" s="786" t="s">
        <v>24303</v>
      </c>
      <c r="B13517" s="787">
        <v>4</v>
      </c>
      <c r="C13517" s="787" t="s">
        <v>24304</v>
      </c>
      <c r="D13517" s="787">
        <v>4.8099999999999996</v>
      </c>
      <c r="E13517" s="787">
        <v>423.8</v>
      </c>
      <c r="F13517" s="788">
        <v>39101</v>
      </c>
      <c r="G13517" s="788">
        <v>39101</v>
      </c>
      <c r="H13517" s="787">
        <v>6</v>
      </c>
      <c r="I13517" s="788">
        <v>39980</v>
      </c>
      <c r="J13517" s="788">
        <v>39101</v>
      </c>
      <c r="L13517" s="787">
        <v>461.94</v>
      </c>
      <c r="M13517" s="787">
        <v>20</v>
      </c>
      <c r="N13517" s="787">
        <v>492.02</v>
      </c>
      <c r="O13517" s="788">
        <v>41543</v>
      </c>
    </row>
    <row r="13518" spans="1:15" x14ac:dyDescent="0.25">
      <c r="A13518" s="786" t="s">
        <v>24305</v>
      </c>
      <c r="B13518" s="787">
        <v>4</v>
      </c>
      <c r="C13518" s="787" t="s">
        <v>24306</v>
      </c>
      <c r="D13518" s="787">
        <v>0.69</v>
      </c>
      <c r="E13518" s="787">
        <v>422.95</v>
      </c>
      <c r="F13518" s="788">
        <v>41298</v>
      </c>
      <c r="G13518" s="788">
        <v>42159</v>
      </c>
      <c r="H13518" s="787">
        <v>1</v>
      </c>
      <c r="I13518" s="788">
        <v>42165</v>
      </c>
      <c r="J13518" s="788">
        <v>42123</v>
      </c>
      <c r="K13518" s="788">
        <v>40910</v>
      </c>
      <c r="L13518" s="787">
        <v>445.21</v>
      </c>
      <c r="M13518" s="787">
        <v>20</v>
      </c>
      <c r="N13518" s="787">
        <v>478.6</v>
      </c>
      <c r="O13518" s="788">
        <v>42164</v>
      </c>
    </row>
    <row r="13519" spans="1:15" x14ac:dyDescent="0.25">
      <c r="A13519" s="786" t="s">
        <v>24307</v>
      </c>
      <c r="B13519" s="787">
        <v>4</v>
      </c>
      <c r="C13519" s="787" t="s">
        <v>24308</v>
      </c>
      <c r="D13519" s="787">
        <v>6.7</v>
      </c>
      <c r="E13519" s="787">
        <v>486.7</v>
      </c>
      <c r="F13519" s="788">
        <v>38622</v>
      </c>
      <c r="G13519" s="788">
        <v>38622</v>
      </c>
      <c r="H13519" s="787">
        <v>6</v>
      </c>
      <c r="I13519" s="788">
        <v>38621</v>
      </c>
      <c r="J13519" s="788">
        <v>38621</v>
      </c>
      <c r="L13519" s="787">
        <v>625.66</v>
      </c>
      <c r="M13519" s="787">
        <v>20</v>
      </c>
      <c r="N13519" s="787">
        <v>523.20000000000005</v>
      </c>
      <c r="O13519" s="788">
        <v>41806</v>
      </c>
    </row>
    <row r="13520" spans="1:15" x14ac:dyDescent="0.25">
      <c r="A13520" s="786" t="s">
        <v>24309</v>
      </c>
      <c r="B13520" s="787">
        <v>4</v>
      </c>
      <c r="C13520" s="787" t="s">
        <v>24310</v>
      </c>
      <c r="D13520" s="787">
        <v>3.5</v>
      </c>
      <c r="E13520" s="787">
        <v>42.05</v>
      </c>
      <c r="F13520" s="788">
        <v>38882</v>
      </c>
      <c r="G13520" s="788">
        <v>42013</v>
      </c>
      <c r="H13520" s="787">
        <v>1</v>
      </c>
      <c r="I13520" s="788">
        <v>41894</v>
      </c>
      <c r="J13520" s="788">
        <v>41879</v>
      </c>
      <c r="K13520" s="788">
        <v>41659</v>
      </c>
      <c r="L13520" s="787">
        <v>31.8</v>
      </c>
      <c r="M13520" s="787">
        <v>20</v>
      </c>
      <c r="N13520" s="787">
        <v>34.19</v>
      </c>
      <c r="O13520" s="788">
        <v>41858</v>
      </c>
    </row>
    <row r="13521" spans="1:15" x14ac:dyDescent="0.25">
      <c r="A13521" s="786" t="s">
        <v>24311</v>
      </c>
      <c r="B13521" s="787">
        <v>4</v>
      </c>
      <c r="C13521" s="787" t="s">
        <v>24312</v>
      </c>
      <c r="D13521" s="787">
        <v>7.28</v>
      </c>
      <c r="E13521" s="787">
        <v>302.39999999999998</v>
      </c>
      <c r="F13521" s="788">
        <v>41516</v>
      </c>
      <c r="G13521" s="788">
        <v>41969</v>
      </c>
      <c r="H13521" s="787">
        <v>1</v>
      </c>
      <c r="I13521" s="788">
        <v>42096</v>
      </c>
      <c r="J13521" s="788">
        <v>42101</v>
      </c>
      <c r="K13521" s="788">
        <v>42066</v>
      </c>
      <c r="L13521" s="787">
        <v>302.39999999999998</v>
      </c>
      <c r="M13521" s="787">
        <v>20</v>
      </c>
      <c r="N13521" s="787">
        <v>325.08</v>
      </c>
      <c r="O13521" s="788">
        <v>42111</v>
      </c>
    </row>
    <row r="13522" spans="1:15" x14ac:dyDescent="0.25">
      <c r="A13522" s="786" t="s">
        <v>24313</v>
      </c>
      <c r="B13522" s="787">
        <v>4</v>
      </c>
      <c r="C13522" s="787" t="s">
        <v>24314</v>
      </c>
      <c r="D13522" s="787">
        <v>3.35</v>
      </c>
      <c r="E13522" s="787">
        <v>493.35</v>
      </c>
      <c r="F13522" s="788">
        <v>40477</v>
      </c>
      <c r="G13522" s="788">
        <v>40443</v>
      </c>
      <c r="H13522" s="787">
        <v>1</v>
      </c>
      <c r="I13522" s="788">
        <v>39436</v>
      </c>
      <c r="J13522" s="788">
        <v>40443</v>
      </c>
      <c r="K13522" s="788">
        <v>41869</v>
      </c>
      <c r="L13522" s="787">
        <v>493.35</v>
      </c>
      <c r="M13522" s="787">
        <v>20</v>
      </c>
      <c r="N13522" s="787">
        <v>873.55</v>
      </c>
      <c r="O13522" s="788">
        <v>41858</v>
      </c>
    </row>
    <row r="13523" spans="1:15" x14ac:dyDescent="0.25">
      <c r="A13523" s="786" t="s">
        <v>24315</v>
      </c>
      <c r="B13523" s="787">
        <v>4</v>
      </c>
      <c r="C13523" s="787" t="s">
        <v>24316</v>
      </c>
      <c r="D13523" s="787">
        <v>4.82</v>
      </c>
      <c r="E13523" s="787">
        <v>434.82</v>
      </c>
      <c r="F13523" s="788">
        <v>38433</v>
      </c>
      <c r="G13523" s="788">
        <v>38433</v>
      </c>
      <c r="H13523" s="787">
        <v>6</v>
      </c>
      <c r="I13523" s="788">
        <v>38077</v>
      </c>
      <c r="J13523" s="788">
        <v>39101</v>
      </c>
      <c r="L13523" s="787">
        <v>512.29999999999995</v>
      </c>
      <c r="M13523" s="787">
        <v>20</v>
      </c>
      <c r="N13523" s="787">
        <v>467.43</v>
      </c>
      <c r="O13523" s="788">
        <v>41806</v>
      </c>
    </row>
    <row r="13524" spans="1:15" x14ac:dyDescent="0.25">
      <c r="A13524" s="786" t="s">
        <v>24317</v>
      </c>
      <c r="B13524" s="787">
        <v>4</v>
      </c>
      <c r="C13524" s="787" t="s">
        <v>24318</v>
      </c>
      <c r="D13524" s="787">
        <v>2.2000000000000002</v>
      </c>
      <c r="E13524" s="787">
        <v>446.86</v>
      </c>
      <c r="F13524" s="788">
        <v>39101</v>
      </c>
      <c r="G13524" s="788">
        <v>40773</v>
      </c>
      <c r="H13524" s="787">
        <v>1</v>
      </c>
      <c r="I13524" s="788">
        <v>40722</v>
      </c>
      <c r="J13524" s="788">
        <v>40725</v>
      </c>
      <c r="L13524" s="787">
        <v>444.72</v>
      </c>
      <c r="M13524" s="787">
        <v>20</v>
      </c>
      <c r="N13524" s="787">
        <v>478.07</v>
      </c>
      <c r="O13524" s="788">
        <v>41858</v>
      </c>
    </row>
    <row r="13525" spans="1:15" x14ac:dyDescent="0.25">
      <c r="A13525" s="786" t="s">
        <v>24319</v>
      </c>
      <c r="B13525" s="787">
        <v>4</v>
      </c>
      <c r="C13525" s="787" t="s">
        <v>24320</v>
      </c>
      <c r="D13525" s="787">
        <v>0</v>
      </c>
      <c r="E13525" s="787">
        <v>440</v>
      </c>
      <c r="F13525" s="788">
        <v>37641</v>
      </c>
      <c r="G13525" s="788">
        <v>37782</v>
      </c>
      <c r="H13525" s="787">
        <v>6</v>
      </c>
      <c r="I13525" s="788">
        <v>37739</v>
      </c>
      <c r="J13525" s="788">
        <v>37782</v>
      </c>
      <c r="L13525" s="787">
        <v>479.6</v>
      </c>
      <c r="M13525" s="787">
        <v>20</v>
      </c>
      <c r="N13525" s="787">
        <v>473</v>
      </c>
      <c r="O13525" s="788">
        <v>41814</v>
      </c>
    </row>
    <row r="13526" spans="1:15" x14ac:dyDescent="0.25">
      <c r="A13526" s="786" t="s">
        <v>24321</v>
      </c>
      <c r="B13526" s="787">
        <v>4</v>
      </c>
      <c r="C13526" s="787" t="s">
        <v>24322</v>
      </c>
      <c r="D13526" s="787">
        <v>4.68</v>
      </c>
      <c r="E13526" s="787">
        <v>314.68</v>
      </c>
      <c r="F13526" s="788">
        <v>38412</v>
      </c>
      <c r="G13526" s="788">
        <v>37641</v>
      </c>
      <c r="H13526" s="787">
        <v>1</v>
      </c>
      <c r="I13526" s="788">
        <v>39896</v>
      </c>
      <c r="J13526" s="788">
        <v>38474</v>
      </c>
      <c r="L13526" s="789">
        <v>1097.1300000000001</v>
      </c>
      <c r="M13526" s="787">
        <v>10</v>
      </c>
      <c r="N13526" s="789">
        <v>1784.65</v>
      </c>
      <c r="O13526" s="788">
        <v>42020</v>
      </c>
    </row>
    <row r="13527" spans="1:15" x14ac:dyDescent="0.25">
      <c r="A13527" s="786" t="s">
        <v>24323</v>
      </c>
      <c r="B13527" s="787">
        <v>4</v>
      </c>
      <c r="C13527" s="787" t="s">
        <v>24324</v>
      </c>
      <c r="D13527" s="787">
        <v>9</v>
      </c>
      <c r="E13527" s="787">
        <v>299.05</v>
      </c>
      <c r="F13527" s="788">
        <v>39765</v>
      </c>
      <c r="G13527" s="788">
        <v>40438</v>
      </c>
      <c r="H13527" s="787">
        <v>1</v>
      </c>
      <c r="I13527" s="788">
        <v>42025</v>
      </c>
      <c r="J13527" s="788">
        <v>41025</v>
      </c>
      <c r="K13527" s="788">
        <v>40910</v>
      </c>
      <c r="L13527" s="787">
        <v>299.05</v>
      </c>
      <c r="M13527" s="787">
        <v>20</v>
      </c>
      <c r="N13527" s="787">
        <v>321.48</v>
      </c>
      <c r="O13527" s="788">
        <v>41858</v>
      </c>
    </row>
    <row r="13528" spans="1:15" x14ac:dyDescent="0.25">
      <c r="A13528" s="786" t="s">
        <v>24325</v>
      </c>
      <c r="B13528" s="787">
        <v>4</v>
      </c>
      <c r="C13528" s="787" t="s">
        <v>24326</v>
      </c>
      <c r="D13528" s="787">
        <v>1.95</v>
      </c>
      <c r="E13528" s="787">
        <v>290.10000000000002</v>
      </c>
      <c r="F13528" s="788">
        <v>40365</v>
      </c>
      <c r="G13528" s="788">
        <v>42013</v>
      </c>
      <c r="H13528" s="787">
        <v>1</v>
      </c>
      <c r="I13528" s="788">
        <v>42108</v>
      </c>
      <c r="J13528" s="788">
        <v>41591</v>
      </c>
      <c r="K13528" s="788">
        <v>40910</v>
      </c>
      <c r="L13528" s="787">
        <v>290.10000000000002</v>
      </c>
      <c r="M13528" s="787">
        <v>20</v>
      </c>
      <c r="N13528" s="787">
        <v>311.86</v>
      </c>
      <c r="O13528" s="788">
        <v>41858</v>
      </c>
    </row>
    <row r="13529" spans="1:15" x14ac:dyDescent="0.25">
      <c r="A13529" s="786" t="s">
        <v>24327</v>
      </c>
      <c r="B13529" s="787">
        <v>4</v>
      </c>
      <c r="C13529" s="787" t="s">
        <v>24328</v>
      </c>
      <c r="D13529" s="787">
        <v>7.5</v>
      </c>
      <c r="E13529" s="787">
        <v>307.5</v>
      </c>
      <c r="F13529" s="788">
        <v>37999</v>
      </c>
      <c r="G13529" s="788">
        <v>38846</v>
      </c>
      <c r="H13529" s="787">
        <v>6</v>
      </c>
      <c r="I13529" s="788">
        <v>39134</v>
      </c>
      <c r="J13529" s="788">
        <v>38833</v>
      </c>
      <c r="L13529" s="787">
        <v>335.18</v>
      </c>
      <c r="M13529" s="787">
        <v>20</v>
      </c>
      <c r="N13529" s="787">
        <v>330.56</v>
      </c>
      <c r="O13529" s="788">
        <v>41806</v>
      </c>
    </row>
    <row r="13530" spans="1:15" x14ac:dyDescent="0.25">
      <c r="A13530" s="786" t="s">
        <v>24329</v>
      </c>
      <c r="B13530" s="787">
        <v>4</v>
      </c>
      <c r="C13530" s="787" t="s">
        <v>24330</v>
      </c>
      <c r="D13530" s="787">
        <v>0</v>
      </c>
      <c r="E13530" s="787">
        <v>430.5</v>
      </c>
      <c r="F13530" s="788">
        <v>39101</v>
      </c>
      <c r="G13530" s="788">
        <v>39450</v>
      </c>
      <c r="H13530" s="787">
        <v>6</v>
      </c>
      <c r="I13530" s="788">
        <v>40386</v>
      </c>
      <c r="J13530" s="788">
        <v>40317</v>
      </c>
      <c r="L13530" s="787">
        <v>430.5</v>
      </c>
      <c r="M13530" s="787">
        <v>20</v>
      </c>
      <c r="N13530" s="787">
        <v>462.79</v>
      </c>
      <c r="O13530" s="788">
        <v>41543</v>
      </c>
    </row>
    <row r="13531" spans="1:15" x14ac:dyDescent="0.25">
      <c r="A13531" s="786" t="s">
        <v>24331</v>
      </c>
      <c r="B13531" s="787">
        <v>4</v>
      </c>
      <c r="C13531" s="787" t="s">
        <v>24332</v>
      </c>
      <c r="D13531" s="787">
        <v>3</v>
      </c>
      <c r="E13531" s="787">
        <v>382</v>
      </c>
      <c r="F13531" s="788">
        <v>38070</v>
      </c>
      <c r="G13531" s="788">
        <v>39727</v>
      </c>
      <c r="H13531" s="787">
        <v>6</v>
      </c>
      <c r="I13531" s="788">
        <v>40009</v>
      </c>
      <c r="J13531" s="788">
        <v>40009</v>
      </c>
      <c r="L13531" s="787">
        <v>408.42</v>
      </c>
      <c r="M13531" s="787">
        <v>20</v>
      </c>
      <c r="N13531" s="787">
        <v>410.65</v>
      </c>
      <c r="O13531" s="788">
        <v>41814</v>
      </c>
    </row>
    <row r="13532" spans="1:15" x14ac:dyDescent="0.25">
      <c r="A13532" s="786" t="s">
        <v>24333</v>
      </c>
      <c r="B13532" s="787">
        <v>4</v>
      </c>
      <c r="C13532" s="787" t="s">
        <v>24334</v>
      </c>
      <c r="D13532" s="787">
        <v>6</v>
      </c>
      <c r="E13532" s="787">
        <v>406</v>
      </c>
      <c r="F13532" s="788">
        <v>38621</v>
      </c>
      <c r="G13532" s="788">
        <v>38980</v>
      </c>
      <c r="H13532" s="787">
        <v>1</v>
      </c>
      <c r="I13532" s="788">
        <v>39134</v>
      </c>
      <c r="J13532" s="788">
        <v>38931</v>
      </c>
      <c r="L13532" s="787">
        <v>406</v>
      </c>
      <c r="M13532" s="787">
        <v>20</v>
      </c>
      <c r="N13532" s="787">
        <v>436.45</v>
      </c>
      <c r="O13532" s="788">
        <v>41858</v>
      </c>
    </row>
    <row r="13533" spans="1:15" x14ac:dyDescent="0.25">
      <c r="A13533" s="786" t="s">
        <v>24335</v>
      </c>
      <c r="B13533" s="787">
        <v>4</v>
      </c>
      <c r="C13533" s="787" t="s">
        <v>24336</v>
      </c>
      <c r="D13533" s="787">
        <v>0.9</v>
      </c>
      <c r="E13533" s="787">
        <v>174</v>
      </c>
      <c r="F13533" s="788">
        <v>39405</v>
      </c>
      <c r="G13533" s="788">
        <v>41105</v>
      </c>
      <c r="H13533" s="787">
        <v>1</v>
      </c>
      <c r="I13533" s="788">
        <v>41716</v>
      </c>
      <c r="J13533" s="788">
        <v>41716</v>
      </c>
      <c r="L13533" s="787">
        <v>235.75</v>
      </c>
      <c r="M13533" s="787">
        <v>20</v>
      </c>
      <c r="N13533" s="787">
        <v>253.43</v>
      </c>
      <c r="O13533" s="788">
        <v>42127</v>
      </c>
    </row>
    <row r="13534" spans="1:15" x14ac:dyDescent="0.25">
      <c r="A13534" s="786" t="s">
        <v>24337</v>
      </c>
      <c r="B13534" s="787">
        <v>4</v>
      </c>
      <c r="C13534" s="787" t="s">
        <v>24338</v>
      </c>
      <c r="D13534" s="787">
        <v>8</v>
      </c>
      <c r="E13534" s="787">
        <v>165.05</v>
      </c>
      <c r="F13534" s="788">
        <v>39101</v>
      </c>
      <c r="G13534" s="788">
        <v>41388</v>
      </c>
      <c r="H13534" s="787">
        <v>1</v>
      </c>
      <c r="I13534" s="788">
        <v>42166</v>
      </c>
      <c r="J13534" s="788">
        <v>42165</v>
      </c>
      <c r="K13534" s="788">
        <v>42158</v>
      </c>
      <c r="L13534" s="787">
        <v>165.05</v>
      </c>
      <c r="M13534" s="787">
        <v>20</v>
      </c>
      <c r="N13534" s="787">
        <v>177.43</v>
      </c>
      <c r="O13534" s="788">
        <v>42159</v>
      </c>
    </row>
    <row r="13535" spans="1:15" x14ac:dyDescent="0.25">
      <c r="A13535" s="786" t="s">
        <v>24339</v>
      </c>
      <c r="B13535" s="787">
        <v>4</v>
      </c>
      <c r="C13535" s="787" t="s">
        <v>24340</v>
      </c>
      <c r="D13535" s="787">
        <v>4</v>
      </c>
      <c r="E13535" s="787">
        <v>455.1</v>
      </c>
      <c r="F13535" s="788">
        <v>39000</v>
      </c>
      <c r="G13535" s="788">
        <v>39694</v>
      </c>
      <c r="H13535" s="787">
        <v>6</v>
      </c>
      <c r="I13535" s="788">
        <v>39343</v>
      </c>
      <c r="J13535" s="788">
        <v>39694</v>
      </c>
      <c r="L13535" s="787">
        <v>455.1</v>
      </c>
      <c r="M13535" s="787">
        <v>20</v>
      </c>
      <c r="N13535" s="787">
        <v>489.23</v>
      </c>
      <c r="O13535" s="788">
        <v>41543</v>
      </c>
    </row>
    <row r="13536" spans="1:15" x14ac:dyDescent="0.25">
      <c r="A13536" s="786" t="s">
        <v>24341</v>
      </c>
      <c r="B13536" s="787">
        <v>4</v>
      </c>
      <c r="C13536" s="787" t="s">
        <v>24342</v>
      </c>
      <c r="D13536" s="787">
        <v>0</v>
      </c>
      <c r="E13536" s="787">
        <v>138</v>
      </c>
      <c r="G13536" s="788">
        <v>37684</v>
      </c>
      <c r="H13536" s="787">
        <v>1</v>
      </c>
      <c r="I13536" s="788">
        <v>37662</v>
      </c>
      <c r="J13536" s="788">
        <v>37684</v>
      </c>
      <c r="L13536" s="787">
        <v>150.41999999999999</v>
      </c>
      <c r="M13536" s="787">
        <v>20</v>
      </c>
      <c r="N13536" s="787">
        <v>161.69999999999999</v>
      </c>
      <c r="O13536" s="788">
        <v>41858</v>
      </c>
    </row>
    <row r="13537" spans="1:15" x14ac:dyDescent="0.25">
      <c r="A13537" s="786" t="s">
        <v>24343</v>
      </c>
      <c r="B13537" s="787">
        <v>4</v>
      </c>
      <c r="C13537" s="787" t="s">
        <v>24344</v>
      </c>
      <c r="D13537" s="787">
        <v>7.8</v>
      </c>
      <c r="E13537" s="787">
        <v>237.8</v>
      </c>
      <c r="F13537" s="788">
        <v>40487</v>
      </c>
      <c r="G13537" s="788">
        <v>40487</v>
      </c>
      <c r="H13537" s="787">
        <v>1</v>
      </c>
      <c r="I13537" s="788">
        <v>40490</v>
      </c>
      <c r="J13537" s="788">
        <v>40487</v>
      </c>
      <c r="L13537" s="787">
        <v>267.51</v>
      </c>
      <c r="M13537" s="787">
        <v>20</v>
      </c>
      <c r="N13537" s="787">
        <v>287.57</v>
      </c>
      <c r="O13537" s="788">
        <v>41858</v>
      </c>
    </row>
    <row r="13538" spans="1:15" x14ac:dyDescent="0.25">
      <c r="A13538" s="786" t="s">
        <v>24345</v>
      </c>
      <c r="B13538" s="787">
        <v>4</v>
      </c>
      <c r="C13538" s="787" t="s">
        <v>24346</v>
      </c>
      <c r="D13538" s="787">
        <v>2</v>
      </c>
      <c r="E13538" s="787">
        <v>62</v>
      </c>
      <c r="F13538" s="788">
        <v>37641</v>
      </c>
      <c r="G13538" s="788">
        <v>37641</v>
      </c>
      <c r="H13538" s="787">
        <v>1</v>
      </c>
      <c r="J13538" s="788">
        <v>37641</v>
      </c>
      <c r="L13538" s="787">
        <v>67.58</v>
      </c>
      <c r="M13538" s="787">
        <v>20</v>
      </c>
      <c r="N13538" s="787">
        <v>72.650000000000006</v>
      </c>
      <c r="O13538" s="788">
        <v>41858</v>
      </c>
    </row>
    <row r="13539" spans="1:15" x14ac:dyDescent="0.25">
      <c r="A13539" s="786" t="s">
        <v>24347</v>
      </c>
      <c r="B13539" s="787">
        <v>4</v>
      </c>
      <c r="C13539" s="787" t="s">
        <v>24348</v>
      </c>
      <c r="D13539" s="787">
        <v>9.1300000000000008</v>
      </c>
      <c r="E13539" s="787">
        <v>119.13</v>
      </c>
      <c r="F13539" s="788">
        <v>37641</v>
      </c>
      <c r="G13539" s="788">
        <v>37641</v>
      </c>
      <c r="H13539" s="787">
        <v>1</v>
      </c>
      <c r="I13539" s="788">
        <v>37946</v>
      </c>
      <c r="J13539" s="788">
        <v>37641</v>
      </c>
      <c r="L13539" s="787">
        <v>129.85</v>
      </c>
      <c r="M13539" s="787">
        <v>20</v>
      </c>
      <c r="N13539" s="787">
        <v>139.59</v>
      </c>
      <c r="O13539" s="788">
        <v>41858</v>
      </c>
    </row>
    <row r="13540" spans="1:15" x14ac:dyDescent="0.25">
      <c r="A13540" s="786" t="s">
        <v>24349</v>
      </c>
      <c r="B13540" s="787">
        <v>4</v>
      </c>
      <c r="C13540" s="787" t="s">
        <v>24350</v>
      </c>
      <c r="D13540" s="787">
        <v>5.42</v>
      </c>
      <c r="E13540" s="787">
        <v>245.42</v>
      </c>
      <c r="F13540" s="788">
        <v>38047</v>
      </c>
      <c r="G13540" s="788">
        <v>38047</v>
      </c>
      <c r="H13540" s="787">
        <v>1</v>
      </c>
      <c r="I13540" s="788">
        <v>37607</v>
      </c>
      <c r="J13540" s="788">
        <v>38047</v>
      </c>
      <c r="L13540" s="787">
        <v>267.51</v>
      </c>
      <c r="M13540" s="787">
        <v>20</v>
      </c>
      <c r="N13540" s="787">
        <v>287.57</v>
      </c>
      <c r="O13540" s="788">
        <v>41858</v>
      </c>
    </row>
    <row r="13541" spans="1:15" x14ac:dyDescent="0.25">
      <c r="A13541" s="786" t="s">
        <v>24351</v>
      </c>
      <c r="B13541" s="787">
        <v>4</v>
      </c>
      <c r="C13541" s="787" t="s">
        <v>24352</v>
      </c>
      <c r="D13541" s="787">
        <v>9.5</v>
      </c>
      <c r="E13541" s="787">
        <v>389.5</v>
      </c>
      <c r="F13541" s="788">
        <v>37641</v>
      </c>
      <c r="G13541" s="788">
        <v>37641</v>
      </c>
      <c r="H13541" s="787">
        <v>1</v>
      </c>
      <c r="I13541" s="788">
        <v>37635</v>
      </c>
      <c r="J13541" s="788">
        <v>37641</v>
      </c>
      <c r="L13541" s="787">
        <v>424.56</v>
      </c>
      <c r="M13541" s="787">
        <v>20</v>
      </c>
      <c r="N13541" s="787">
        <v>456.4</v>
      </c>
      <c r="O13541" s="788">
        <v>41858</v>
      </c>
    </row>
    <row r="13542" spans="1:15" x14ac:dyDescent="0.25">
      <c r="A13542" s="786" t="s">
        <v>24353</v>
      </c>
      <c r="B13542" s="787">
        <v>4</v>
      </c>
      <c r="C13542" s="787" t="s">
        <v>24354</v>
      </c>
      <c r="D13542" s="787">
        <v>5.42</v>
      </c>
      <c r="E13542" s="787">
        <v>245.42</v>
      </c>
      <c r="F13542" s="788">
        <v>38047</v>
      </c>
      <c r="G13542" s="788">
        <v>38047</v>
      </c>
      <c r="H13542" s="787">
        <v>1</v>
      </c>
      <c r="I13542" s="788">
        <v>37817</v>
      </c>
      <c r="J13542" s="788">
        <v>38047</v>
      </c>
      <c r="L13542" s="787">
        <v>267.51</v>
      </c>
      <c r="M13542" s="787">
        <v>20</v>
      </c>
      <c r="N13542" s="787">
        <v>287.57</v>
      </c>
      <c r="O13542" s="788">
        <v>41858</v>
      </c>
    </row>
    <row r="13543" spans="1:15" x14ac:dyDescent="0.25">
      <c r="A13543" s="786" t="s">
        <v>24355</v>
      </c>
      <c r="B13543" s="787">
        <v>4</v>
      </c>
      <c r="C13543" s="787" t="s">
        <v>24356</v>
      </c>
      <c r="D13543" s="787">
        <v>1.5</v>
      </c>
      <c r="E13543" s="787">
        <v>51.5</v>
      </c>
      <c r="F13543" s="788">
        <v>37641</v>
      </c>
      <c r="G13543" s="788">
        <v>37656</v>
      </c>
      <c r="H13543" s="787">
        <v>1</v>
      </c>
      <c r="I13543" s="788">
        <v>37628</v>
      </c>
      <c r="J13543" s="788">
        <v>37656</v>
      </c>
      <c r="L13543" s="787">
        <v>56.14</v>
      </c>
      <c r="M13543" s="787">
        <v>20</v>
      </c>
      <c r="N13543" s="787">
        <v>60.35</v>
      </c>
      <c r="O13543" s="788">
        <v>41858</v>
      </c>
    </row>
    <row r="13544" spans="1:15" x14ac:dyDescent="0.25">
      <c r="A13544" s="786" t="s">
        <v>24357</v>
      </c>
      <c r="B13544" s="787">
        <v>4</v>
      </c>
      <c r="C13544" s="787" t="s">
        <v>24358</v>
      </c>
      <c r="D13544" s="787">
        <v>2</v>
      </c>
      <c r="E13544" s="787">
        <v>62</v>
      </c>
      <c r="F13544" s="788">
        <v>37641</v>
      </c>
      <c r="G13544" s="788">
        <v>37641</v>
      </c>
      <c r="H13544" s="787">
        <v>1</v>
      </c>
      <c r="I13544" s="788">
        <v>37390</v>
      </c>
      <c r="J13544" s="788">
        <v>37641</v>
      </c>
      <c r="L13544" s="787">
        <v>67.58</v>
      </c>
      <c r="M13544" s="787">
        <v>20</v>
      </c>
      <c r="N13544" s="787">
        <v>72.650000000000006</v>
      </c>
      <c r="O13544" s="788">
        <v>41858</v>
      </c>
    </row>
    <row r="13545" spans="1:15" x14ac:dyDescent="0.25">
      <c r="A13545" s="786" t="s">
        <v>24359</v>
      </c>
      <c r="B13545" s="787">
        <v>4</v>
      </c>
      <c r="C13545" s="787" t="s">
        <v>24360</v>
      </c>
      <c r="D13545" s="787">
        <v>2</v>
      </c>
      <c r="E13545" s="787">
        <v>62</v>
      </c>
      <c r="F13545" s="788">
        <v>37641</v>
      </c>
      <c r="G13545" s="788">
        <v>37641</v>
      </c>
      <c r="H13545" s="787">
        <v>1</v>
      </c>
      <c r="I13545" s="788">
        <v>37559</v>
      </c>
      <c r="J13545" s="788">
        <v>37641</v>
      </c>
      <c r="L13545" s="787">
        <v>67.58</v>
      </c>
      <c r="M13545" s="787">
        <v>20</v>
      </c>
      <c r="N13545" s="787">
        <v>72.650000000000006</v>
      </c>
      <c r="O13545" s="788">
        <v>41858</v>
      </c>
    </row>
    <row r="13546" spans="1:15" x14ac:dyDescent="0.25">
      <c r="A13546" s="786" t="s">
        <v>24361</v>
      </c>
      <c r="B13546" s="787">
        <v>4</v>
      </c>
      <c r="C13546" s="787" t="s">
        <v>24362</v>
      </c>
      <c r="D13546" s="787">
        <v>2</v>
      </c>
      <c r="E13546" s="787">
        <v>246</v>
      </c>
      <c r="F13546" s="788">
        <v>39101</v>
      </c>
      <c r="G13546" s="788">
        <v>39101</v>
      </c>
      <c r="H13546" s="787">
        <v>1</v>
      </c>
      <c r="I13546" s="788">
        <v>39134</v>
      </c>
      <c r="J13546" s="788">
        <v>39149</v>
      </c>
      <c r="L13546" s="787">
        <v>246</v>
      </c>
      <c r="M13546" s="787">
        <v>20</v>
      </c>
      <c r="N13546" s="787">
        <v>264.45</v>
      </c>
      <c r="O13546" s="788">
        <v>41858</v>
      </c>
    </row>
    <row r="13547" spans="1:15" x14ac:dyDescent="0.25">
      <c r="A13547" s="786" t="s">
        <v>24363</v>
      </c>
      <c r="B13547" s="787">
        <v>4</v>
      </c>
      <c r="C13547" s="787" t="s">
        <v>24364</v>
      </c>
      <c r="D13547" s="787">
        <v>0</v>
      </c>
      <c r="E13547" s="787">
        <v>0</v>
      </c>
      <c r="H13547" s="787">
        <v>6</v>
      </c>
      <c r="I13547" s="788">
        <v>37628</v>
      </c>
      <c r="J13547" s="788">
        <v>37641</v>
      </c>
      <c r="L13547" s="787">
        <v>0</v>
      </c>
      <c r="M13547" s="787">
        <v>20</v>
      </c>
      <c r="N13547" s="787">
        <v>0</v>
      </c>
      <c r="O13547" s="788">
        <v>40824</v>
      </c>
    </row>
    <row r="13548" spans="1:15" x14ac:dyDescent="0.25">
      <c r="A13548" s="786" t="s">
        <v>24365</v>
      </c>
      <c r="B13548" s="787">
        <v>4</v>
      </c>
      <c r="C13548" s="787" t="s">
        <v>24330</v>
      </c>
      <c r="D13548" s="787">
        <v>1</v>
      </c>
      <c r="E13548" s="787">
        <v>430.5</v>
      </c>
      <c r="F13548" s="788">
        <v>39799</v>
      </c>
      <c r="G13548" s="788">
        <v>40365</v>
      </c>
      <c r="H13548" s="787">
        <v>6</v>
      </c>
      <c r="I13548" s="788">
        <v>39931</v>
      </c>
      <c r="J13548" s="788">
        <v>40366</v>
      </c>
      <c r="L13548" s="787">
        <v>430.5</v>
      </c>
      <c r="M13548" s="787">
        <v>20</v>
      </c>
      <c r="N13548" s="787">
        <v>462.79</v>
      </c>
      <c r="O13548" s="788">
        <v>41543</v>
      </c>
    </row>
    <row r="13549" spans="1:15" x14ac:dyDescent="0.25">
      <c r="A13549" s="786" t="s">
        <v>24366</v>
      </c>
      <c r="B13549" s="787">
        <v>4</v>
      </c>
      <c r="C13549" s="787" t="s">
        <v>24367</v>
      </c>
      <c r="D13549" s="787">
        <v>0</v>
      </c>
      <c r="E13549" s="787">
        <v>0</v>
      </c>
      <c r="H13549" s="787">
        <v>6</v>
      </c>
      <c r="I13549" s="788">
        <v>37628</v>
      </c>
      <c r="J13549" s="788">
        <v>37641</v>
      </c>
      <c r="L13549" s="787">
        <v>0</v>
      </c>
      <c r="M13549" s="787">
        <v>20</v>
      </c>
      <c r="N13549" s="787">
        <v>0</v>
      </c>
      <c r="O13549" s="788">
        <v>40824</v>
      </c>
    </row>
    <row r="13550" spans="1:15" x14ac:dyDescent="0.25">
      <c r="A13550" s="786" t="s">
        <v>24368</v>
      </c>
      <c r="B13550" s="787">
        <v>4</v>
      </c>
      <c r="C13550" s="787" t="s">
        <v>24369</v>
      </c>
      <c r="D13550" s="787">
        <v>2</v>
      </c>
      <c r="E13550" s="787">
        <v>402</v>
      </c>
      <c r="F13550" s="788">
        <v>39234</v>
      </c>
      <c r="G13550" s="788">
        <v>39994</v>
      </c>
      <c r="H13550" s="787">
        <v>1</v>
      </c>
      <c r="I13550" s="788">
        <v>39134</v>
      </c>
      <c r="J13550" s="788">
        <v>39995</v>
      </c>
      <c r="L13550" s="787">
        <v>402</v>
      </c>
      <c r="M13550" s="787">
        <v>20</v>
      </c>
      <c r="N13550" s="787">
        <v>432.15</v>
      </c>
      <c r="O13550" s="788">
        <v>41858</v>
      </c>
    </row>
    <row r="13551" spans="1:15" x14ac:dyDescent="0.25">
      <c r="A13551" s="786" t="s">
        <v>24370</v>
      </c>
      <c r="B13551" s="787">
        <v>4</v>
      </c>
      <c r="C13551" s="787" t="s">
        <v>24371</v>
      </c>
      <c r="D13551" s="787">
        <v>2.0099999999999998</v>
      </c>
      <c r="E13551" s="787">
        <v>408.5</v>
      </c>
      <c r="F13551" s="788">
        <v>39101</v>
      </c>
      <c r="G13551" s="788">
        <v>39590</v>
      </c>
      <c r="H13551" s="787">
        <v>1</v>
      </c>
      <c r="I13551" s="788">
        <v>39673</v>
      </c>
      <c r="J13551" s="788">
        <v>39428</v>
      </c>
      <c r="L13551" s="787">
        <v>408.5</v>
      </c>
      <c r="M13551" s="787">
        <v>20</v>
      </c>
      <c r="N13551" s="787">
        <v>439.14</v>
      </c>
      <c r="O13551" s="788">
        <v>41858</v>
      </c>
    </row>
    <row r="13552" spans="1:15" x14ac:dyDescent="0.25">
      <c r="A13552" s="786" t="s">
        <v>24372</v>
      </c>
      <c r="B13552" s="787">
        <v>4</v>
      </c>
      <c r="C13552" s="787" t="s">
        <v>24373</v>
      </c>
      <c r="D13552" s="787">
        <v>5.4</v>
      </c>
      <c r="E13552" s="787">
        <v>235.4</v>
      </c>
      <c r="F13552" s="788">
        <v>37641</v>
      </c>
      <c r="G13552" s="788">
        <v>37641</v>
      </c>
      <c r="H13552" s="787">
        <v>1</v>
      </c>
      <c r="I13552" s="788">
        <v>37866</v>
      </c>
      <c r="J13552" s="788">
        <v>39101</v>
      </c>
      <c r="L13552" s="787">
        <v>235.4</v>
      </c>
      <c r="M13552" s="787">
        <v>10</v>
      </c>
      <c r="N13552" s="787">
        <v>0</v>
      </c>
      <c r="O13552" s="788">
        <v>41858</v>
      </c>
    </row>
    <row r="13553" spans="1:15" x14ac:dyDescent="0.25">
      <c r="A13553" s="786" t="s">
        <v>24374</v>
      </c>
      <c r="B13553" s="787">
        <v>4</v>
      </c>
      <c r="C13553" s="787" t="s">
        <v>24375</v>
      </c>
      <c r="D13553" s="787">
        <v>5.4</v>
      </c>
      <c r="E13553" s="787">
        <v>235.4</v>
      </c>
      <c r="F13553" s="788">
        <v>37641</v>
      </c>
      <c r="G13553" s="788">
        <v>37711</v>
      </c>
      <c r="H13553" s="787">
        <v>1</v>
      </c>
      <c r="I13553" s="788">
        <v>38070</v>
      </c>
      <c r="J13553" s="788">
        <v>37775</v>
      </c>
      <c r="L13553" s="787">
        <v>235.4</v>
      </c>
      <c r="M13553" s="787">
        <v>10</v>
      </c>
      <c r="N13553" s="787">
        <v>0</v>
      </c>
      <c r="O13553" s="788">
        <v>41858</v>
      </c>
    </row>
    <row r="13554" spans="1:15" x14ac:dyDescent="0.25">
      <c r="A13554" s="786" t="s">
        <v>24376</v>
      </c>
      <c r="B13554" s="787">
        <v>4</v>
      </c>
      <c r="C13554" s="787" t="s">
        <v>24377</v>
      </c>
      <c r="D13554" s="787">
        <v>5.65</v>
      </c>
      <c r="E13554" s="787">
        <v>455.65</v>
      </c>
      <c r="F13554" s="788">
        <v>39630</v>
      </c>
      <c r="G13554" s="788">
        <v>40325</v>
      </c>
      <c r="H13554" s="787">
        <v>6</v>
      </c>
      <c r="I13554" s="788">
        <v>40294</v>
      </c>
      <c r="J13554" s="788">
        <v>40275</v>
      </c>
      <c r="L13554" s="787">
        <v>455.65</v>
      </c>
      <c r="M13554" s="787">
        <v>20</v>
      </c>
      <c r="N13554" s="787">
        <v>489.82</v>
      </c>
      <c r="O13554" s="788">
        <v>41806</v>
      </c>
    </row>
    <row r="13555" spans="1:15" x14ac:dyDescent="0.25">
      <c r="A13555" s="786" t="s">
        <v>24378</v>
      </c>
      <c r="B13555" s="787">
        <v>4</v>
      </c>
      <c r="C13555" s="787" t="s">
        <v>24379</v>
      </c>
      <c r="D13555" s="787">
        <v>7</v>
      </c>
      <c r="E13555" s="787">
        <v>408</v>
      </c>
      <c r="F13555" s="788">
        <v>38713</v>
      </c>
      <c r="G13555" s="788">
        <v>40317</v>
      </c>
      <c r="H13555" s="787">
        <v>1</v>
      </c>
      <c r="I13555" s="788">
        <v>38687</v>
      </c>
      <c r="J13555" s="788">
        <v>40247</v>
      </c>
      <c r="L13555" s="787">
        <v>408</v>
      </c>
      <c r="M13555" s="787">
        <v>20</v>
      </c>
      <c r="N13555" s="787">
        <v>438.6</v>
      </c>
      <c r="O13555" s="788">
        <v>41858</v>
      </c>
    </row>
    <row r="13556" spans="1:15" x14ac:dyDescent="0.25">
      <c r="A13556" s="786" t="s">
        <v>24380</v>
      </c>
      <c r="B13556" s="787">
        <v>4</v>
      </c>
      <c r="C13556" s="787" t="s">
        <v>24381</v>
      </c>
      <c r="D13556" s="787">
        <v>5</v>
      </c>
      <c r="E13556" s="787">
        <v>387</v>
      </c>
      <c r="F13556" s="788">
        <v>38903</v>
      </c>
      <c r="G13556" s="788">
        <v>40725</v>
      </c>
      <c r="H13556" s="787">
        <v>1</v>
      </c>
      <c r="I13556" s="788">
        <v>41996</v>
      </c>
      <c r="J13556" s="788">
        <v>40891</v>
      </c>
      <c r="K13556" s="788">
        <v>40910</v>
      </c>
      <c r="L13556" s="787">
        <v>387</v>
      </c>
      <c r="M13556" s="787">
        <v>20</v>
      </c>
      <c r="N13556" s="787">
        <v>416.03</v>
      </c>
      <c r="O13556" s="788">
        <v>41858</v>
      </c>
    </row>
    <row r="13557" spans="1:15" x14ac:dyDescent="0.25">
      <c r="A13557" s="786" t="s">
        <v>24382</v>
      </c>
      <c r="B13557" s="787">
        <v>4</v>
      </c>
      <c r="C13557" s="787" t="s">
        <v>24383</v>
      </c>
      <c r="D13557" s="787">
        <v>9.33</v>
      </c>
      <c r="E13557" s="787">
        <v>309.33</v>
      </c>
      <c r="F13557" s="788">
        <v>37641</v>
      </c>
      <c r="G13557" s="788">
        <v>37641</v>
      </c>
      <c r="H13557" s="787">
        <v>1</v>
      </c>
      <c r="I13557" s="788">
        <v>37760</v>
      </c>
      <c r="J13557" s="788">
        <v>37775</v>
      </c>
      <c r="L13557" s="787">
        <v>337.17</v>
      </c>
      <c r="M13557" s="787">
        <v>20</v>
      </c>
      <c r="N13557" s="787">
        <v>362.46</v>
      </c>
      <c r="O13557" s="788">
        <v>41858</v>
      </c>
    </row>
    <row r="13558" spans="1:15" x14ac:dyDescent="0.25">
      <c r="A13558" s="786" t="s">
        <v>24384</v>
      </c>
      <c r="B13558" s="787">
        <v>4</v>
      </c>
      <c r="C13558" s="787" t="s">
        <v>24385</v>
      </c>
      <c r="D13558" s="787">
        <v>0</v>
      </c>
      <c r="E13558" s="787">
        <v>402</v>
      </c>
      <c r="F13558" s="788">
        <v>39101</v>
      </c>
      <c r="G13558" s="788">
        <v>41765</v>
      </c>
      <c r="H13558" s="787">
        <v>1</v>
      </c>
      <c r="I13558" s="788">
        <v>41723</v>
      </c>
      <c r="J13558" s="788">
        <v>41739</v>
      </c>
      <c r="L13558" s="787">
        <v>403.3</v>
      </c>
      <c r="M13558" s="787">
        <v>20</v>
      </c>
      <c r="N13558" s="787">
        <v>433.55</v>
      </c>
      <c r="O13558" s="788">
        <v>41858</v>
      </c>
    </row>
    <row r="13559" spans="1:15" x14ac:dyDescent="0.25">
      <c r="A13559" s="786" t="s">
        <v>24386</v>
      </c>
      <c r="B13559" s="787">
        <v>4</v>
      </c>
      <c r="C13559" s="787" t="s">
        <v>24387</v>
      </c>
      <c r="D13559" s="787">
        <v>4</v>
      </c>
      <c r="E13559" s="787">
        <v>455.1</v>
      </c>
      <c r="F13559" s="788">
        <v>38602</v>
      </c>
      <c r="G13559" s="788">
        <v>39324</v>
      </c>
      <c r="H13559" s="787">
        <v>6</v>
      </c>
      <c r="I13559" s="788">
        <v>40147</v>
      </c>
      <c r="J13559" s="788">
        <v>40121</v>
      </c>
      <c r="L13559" s="787">
        <v>455.1</v>
      </c>
      <c r="M13559" s="787">
        <v>20</v>
      </c>
      <c r="N13559" s="787">
        <v>489.23</v>
      </c>
      <c r="O13559" s="788">
        <v>41543</v>
      </c>
    </row>
    <row r="13560" spans="1:15" x14ac:dyDescent="0.25">
      <c r="A13560" s="786" t="s">
        <v>24388</v>
      </c>
      <c r="B13560" s="787">
        <v>4</v>
      </c>
      <c r="C13560" s="787" t="s">
        <v>24389</v>
      </c>
      <c r="D13560" s="787">
        <v>5.76</v>
      </c>
      <c r="E13560" s="787">
        <v>545.76</v>
      </c>
      <c r="F13560" s="788">
        <v>40571</v>
      </c>
      <c r="G13560" s="788">
        <v>40571</v>
      </c>
      <c r="H13560" s="787">
        <v>1</v>
      </c>
      <c r="I13560" s="788">
        <v>40673</v>
      </c>
      <c r="J13560" s="788">
        <v>40574</v>
      </c>
      <c r="L13560" s="787">
        <v>545.76</v>
      </c>
      <c r="M13560" s="787">
        <v>20</v>
      </c>
      <c r="N13560" s="787">
        <v>586.69000000000005</v>
      </c>
      <c r="O13560" s="788">
        <v>41858</v>
      </c>
    </row>
    <row r="13561" spans="1:15" x14ac:dyDescent="0.25">
      <c r="A13561" s="786" t="s">
        <v>24390</v>
      </c>
      <c r="B13561" s="787">
        <v>4</v>
      </c>
      <c r="C13561" s="787" t="s">
        <v>24391</v>
      </c>
      <c r="D13561" s="787">
        <v>3.09</v>
      </c>
      <c r="E13561" s="787">
        <v>253.09</v>
      </c>
      <c r="F13561" s="788">
        <v>37641</v>
      </c>
      <c r="G13561" s="788">
        <v>37641</v>
      </c>
      <c r="H13561" s="787">
        <v>1</v>
      </c>
      <c r="I13561" s="788">
        <v>37628</v>
      </c>
      <c r="J13561" s="788">
        <v>37641</v>
      </c>
      <c r="L13561" s="787">
        <v>275.87</v>
      </c>
      <c r="M13561" s="787">
        <v>20</v>
      </c>
      <c r="N13561" s="787">
        <v>296.56</v>
      </c>
      <c r="O13561" s="788">
        <v>41858</v>
      </c>
    </row>
    <row r="13562" spans="1:15" x14ac:dyDescent="0.25">
      <c r="A13562" s="786" t="s">
        <v>24392</v>
      </c>
      <c r="B13562" s="787">
        <v>4</v>
      </c>
      <c r="C13562" s="787" t="s">
        <v>24393</v>
      </c>
      <c r="D13562" s="787">
        <v>6.24</v>
      </c>
      <c r="E13562" s="787">
        <v>126.28</v>
      </c>
      <c r="F13562" s="788">
        <v>37641</v>
      </c>
      <c r="G13562" s="788">
        <v>38364</v>
      </c>
      <c r="H13562" s="787">
        <v>1</v>
      </c>
      <c r="I13562" s="788">
        <v>37550</v>
      </c>
      <c r="J13562" s="788">
        <v>38363</v>
      </c>
      <c r="L13562" s="787">
        <v>137.65</v>
      </c>
      <c r="M13562" s="787">
        <v>20</v>
      </c>
      <c r="N13562" s="787">
        <v>147.97</v>
      </c>
      <c r="O13562" s="788">
        <v>41858</v>
      </c>
    </row>
    <row r="13563" spans="1:15" x14ac:dyDescent="0.25">
      <c r="A13563" s="786" t="s">
        <v>24394</v>
      </c>
      <c r="B13563" s="787">
        <v>4</v>
      </c>
      <c r="C13563" s="787" t="s">
        <v>24395</v>
      </c>
      <c r="D13563" s="787">
        <v>6.63</v>
      </c>
      <c r="E13563" s="787">
        <v>407</v>
      </c>
      <c r="F13563" s="788">
        <v>37641</v>
      </c>
      <c r="G13563" s="788">
        <v>40982</v>
      </c>
      <c r="H13563" s="787">
        <v>1</v>
      </c>
      <c r="I13563" s="788">
        <v>41723</v>
      </c>
      <c r="J13563" s="788">
        <v>41622</v>
      </c>
      <c r="L13563" s="787">
        <v>301.52999999999997</v>
      </c>
      <c r="M13563" s="787">
        <v>20</v>
      </c>
      <c r="N13563" s="787">
        <v>324.14</v>
      </c>
      <c r="O13563" s="788">
        <v>41858</v>
      </c>
    </row>
    <row r="13564" spans="1:15" x14ac:dyDescent="0.25">
      <c r="A13564" s="786" t="s">
        <v>24396</v>
      </c>
      <c r="B13564" s="787">
        <v>4</v>
      </c>
      <c r="C13564" s="787" t="s">
        <v>24397</v>
      </c>
      <c r="D13564" s="787">
        <v>0</v>
      </c>
      <c r="E13564" s="787">
        <v>313.08999999999997</v>
      </c>
      <c r="F13564" s="788">
        <v>38131</v>
      </c>
      <c r="G13564" s="788">
        <v>38497</v>
      </c>
      <c r="H13564" s="787">
        <v>1</v>
      </c>
      <c r="I13564" s="788">
        <v>37620</v>
      </c>
      <c r="J13564" s="788">
        <v>38485</v>
      </c>
      <c r="L13564" s="787">
        <v>316.10000000000002</v>
      </c>
      <c r="M13564" s="787">
        <v>20</v>
      </c>
      <c r="N13564" s="787">
        <v>339.81</v>
      </c>
      <c r="O13564" s="788">
        <v>42020</v>
      </c>
    </row>
    <row r="13565" spans="1:15" x14ac:dyDescent="0.25">
      <c r="A13565" s="786" t="s">
        <v>24398</v>
      </c>
      <c r="B13565" s="787">
        <v>4</v>
      </c>
      <c r="C13565" s="787" t="s">
        <v>24399</v>
      </c>
      <c r="D13565" s="787">
        <v>0</v>
      </c>
      <c r="E13565" s="787">
        <v>394</v>
      </c>
      <c r="F13565" s="788">
        <v>39101</v>
      </c>
      <c r="G13565" s="788">
        <v>40876</v>
      </c>
      <c r="H13565" s="787">
        <v>1</v>
      </c>
      <c r="I13565" s="788">
        <v>40673</v>
      </c>
      <c r="J13565" s="788">
        <v>40876</v>
      </c>
      <c r="K13565" s="788">
        <v>41906</v>
      </c>
      <c r="L13565" s="787">
        <v>394</v>
      </c>
      <c r="M13565" s="787">
        <v>20</v>
      </c>
      <c r="N13565" s="787">
        <v>386.68</v>
      </c>
      <c r="O13565" s="788">
        <v>41858</v>
      </c>
    </row>
    <row r="13566" spans="1:15" x14ac:dyDescent="0.25">
      <c r="A13566" s="786" t="s">
        <v>24400</v>
      </c>
      <c r="B13566" s="787">
        <v>4</v>
      </c>
      <c r="C13566" s="787" t="s">
        <v>24401</v>
      </c>
      <c r="D13566" s="787">
        <v>5.42</v>
      </c>
      <c r="E13566" s="787">
        <v>245.42</v>
      </c>
      <c r="F13566" s="788">
        <v>38047</v>
      </c>
      <c r="G13566" s="788">
        <v>38364</v>
      </c>
      <c r="H13566" s="787">
        <v>1</v>
      </c>
      <c r="I13566" s="788">
        <v>37669</v>
      </c>
      <c r="J13566" s="788">
        <v>38047</v>
      </c>
      <c r="L13566" s="787">
        <v>267.51</v>
      </c>
      <c r="M13566" s="787">
        <v>20</v>
      </c>
      <c r="N13566" s="787">
        <v>287.57</v>
      </c>
      <c r="O13566" s="788">
        <v>41858</v>
      </c>
    </row>
    <row r="13567" spans="1:15" x14ac:dyDescent="0.25">
      <c r="A13567" s="786" t="s">
        <v>24402</v>
      </c>
      <c r="B13567" s="787">
        <v>4</v>
      </c>
      <c r="C13567" s="787" t="s">
        <v>24403</v>
      </c>
      <c r="D13567" s="787">
        <v>9</v>
      </c>
      <c r="E13567" s="787">
        <v>399</v>
      </c>
      <c r="F13567" s="788">
        <v>39450</v>
      </c>
      <c r="G13567" s="788">
        <v>39430</v>
      </c>
      <c r="H13567" s="787">
        <v>1</v>
      </c>
      <c r="I13567" s="788">
        <v>39437</v>
      </c>
      <c r="J13567" s="788">
        <v>39430</v>
      </c>
      <c r="L13567" s="787">
        <v>443.63</v>
      </c>
      <c r="M13567" s="787">
        <v>20</v>
      </c>
      <c r="N13567" s="787">
        <v>476.9</v>
      </c>
      <c r="O13567" s="788">
        <v>41858</v>
      </c>
    </row>
    <row r="13568" spans="1:15" x14ac:dyDescent="0.25">
      <c r="A13568" s="786" t="s">
        <v>24404</v>
      </c>
      <c r="B13568" s="787">
        <v>4</v>
      </c>
      <c r="C13568" s="787" t="s">
        <v>24405</v>
      </c>
      <c r="D13568" s="787">
        <v>0</v>
      </c>
      <c r="E13568" s="787">
        <v>310</v>
      </c>
      <c r="F13568" s="788">
        <v>39101</v>
      </c>
      <c r="G13568" s="788">
        <v>39101</v>
      </c>
      <c r="H13568" s="787">
        <v>1</v>
      </c>
      <c r="I13568" s="788">
        <v>40004</v>
      </c>
      <c r="J13568" s="788">
        <v>39101</v>
      </c>
      <c r="L13568" s="787">
        <v>337.9</v>
      </c>
      <c r="M13568" s="787">
        <v>20</v>
      </c>
      <c r="N13568" s="787">
        <v>363.24</v>
      </c>
      <c r="O13568" s="788">
        <v>41858</v>
      </c>
    </row>
    <row r="13569" spans="1:15" x14ac:dyDescent="0.25">
      <c r="A13569" s="786" t="s">
        <v>24406</v>
      </c>
      <c r="B13569" s="787">
        <v>4</v>
      </c>
      <c r="C13569" s="787" t="s">
        <v>24407</v>
      </c>
      <c r="D13569" s="787">
        <v>3.8</v>
      </c>
      <c r="E13569" s="787">
        <v>402</v>
      </c>
      <c r="F13569" s="788">
        <v>40605</v>
      </c>
      <c r="G13569" s="788">
        <v>41172</v>
      </c>
      <c r="H13569" s="787">
        <v>1</v>
      </c>
      <c r="I13569" s="788">
        <v>41768</v>
      </c>
      <c r="J13569" s="788">
        <v>41767</v>
      </c>
      <c r="L13569" s="787">
        <v>425.1</v>
      </c>
      <c r="M13569" s="787">
        <v>20</v>
      </c>
      <c r="N13569" s="787">
        <v>456.98</v>
      </c>
      <c r="O13569" s="788">
        <v>41858</v>
      </c>
    </row>
    <row r="13570" spans="1:15" x14ac:dyDescent="0.25">
      <c r="A13570" s="786" t="s">
        <v>24408</v>
      </c>
      <c r="B13570" s="787">
        <v>4</v>
      </c>
      <c r="C13570" s="787" t="s">
        <v>24409</v>
      </c>
      <c r="D13570" s="787">
        <v>7.21</v>
      </c>
      <c r="E13570" s="787">
        <v>407.08</v>
      </c>
      <c r="F13570" s="788">
        <v>39101</v>
      </c>
      <c r="G13570" s="788">
        <v>40652</v>
      </c>
      <c r="H13570" s="787">
        <v>6</v>
      </c>
      <c r="I13570" s="788">
        <v>40674</v>
      </c>
      <c r="J13570" s="788">
        <v>40654</v>
      </c>
      <c r="L13570" s="787">
        <v>443.63</v>
      </c>
      <c r="M13570" s="787">
        <v>20</v>
      </c>
      <c r="N13570" s="787">
        <v>476.9</v>
      </c>
      <c r="O13570" s="788">
        <v>41858</v>
      </c>
    </row>
    <row r="13571" spans="1:15" x14ac:dyDescent="0.25">
      <c r="A13571" s="786" t="s">
        <v>24410</v>
      </c>
      <c r="B13571" s="787">
        <v>4</v>
      </c>
      <c r="C13571" s="787" t="s">
        <v>24411</v>
      </c>
      <c r="D13571" s="787">
        <v>0</v>
      </c>
      <c r="E13571" s="787">
        <v>402</v>
      </c>
      <c r="F13571" s="788">
        <v>39101</v>
      </c>
      <c r="G13571" s="788">
        <v>39512</v>
      </c>
      <c r="H13571" s="787">
        <v>1</v>
      </c>
      <c r="I13571" s="788">
        <v>41254</v>
      </c>
      <c r="J13571" s="788">
        <v>41187</v>
      </c>
      <c r="L13571" s="787">
        <v>425.1</v>
      </c>
      <c r="M13571" s="787">
        <v>20</v>
      </c>
      <c r="N13571" s="787">
        <v>456.98</v>
      </c>
      <c r="O13571" s="788">
        <v>41858</v>
      </c>
    </row>
    <row r="13572" spans="1:15" x14ac:dyDescent="0.25">
      <c r="A13572" s="786" t="s">
        <v>24412</v>
      </c>
      <c r="B13572" s="787">
        <v>4</v>
      </c>
      <c r="C13572" s="787" t="s">
        <v>24413</v>
      </c>
      <c r="D13572" s="787">
        <v>9</v>
      </c>
      <c r="E13572" s="787">
        <v>399</v>
      </c>
      <c r="F13572" s="788">
        <v>41171</v>
      </c>
      <c r="G13572" s="788">
        <v>42081</v>
      </c>
      <c r="H13572" s="787">
        <v>1</v>
      </c>
      <c r="I13572" s="788">
        <v>42160</v>
      </c>
      <c r="J13572" s="788">
        <v>42130</v>
      </c>
      <c r="K13572" s="788">
        <v>42094</v>
      </c>
      <c r="L13572" s="787">
        <v>399</v>
      </c>
      <c r="M13572" s="787">
        <v>20</v>
      </c>
      <c r="N13572" s="787">
        <v>428.93</v>
      </c>
      <c r="O13572" s="788">
        <v>42094</v>
      </c>
    </row>
    <row r="13573" spans="1:15" x14ac:dyDescent="0.25">
      <c r="A13573" s="786" t="s">
        <v>24414</v>
      </c>
      <c r="B13573" s="787">
        <v>4</v>
      </c>
      <c r="C13573" s="787" t="s">
        <v>24415</v>
      </c>
      <c r="D13573" s="787">
        <v>0</v>
      </c>
      <c r="E13573" s="787">
        <v>230</v>
      </c>
      <c r="F13573" s="788">
        <v>37970</v>
      </c>
      <c r="G13573" s="788">
        <v>37970</v>
      </c>
      <c r="H13573" s="787">
        <v>1</v>
      </c>
      <c r="J13573" s="788">
        <v>37958</v>
      </c>
      <c r="L13573" s="787">
        <v>250.7</v>
      </c>
      <c r="M13573" s="787">
        <v>20</v>
      </c>
      <c r="N13573" s="787">
        <v>269.5</v>
      </c>
      <c r="O13573" s="788">
        <v>41858</v>
      </c>
    </row>
    <row r="13574" spans="1:15" x14ac:dyDescent="0.25">
      <c r="A13574" s="786" t="s">
        <v>24416</v>
      </c>
      <c r="B13574" s="787">
        <v>4</v>
      </c>
      <c r="C13574" s="787" t="s">
        <v>24417</v>
      </c>
      <c r="D13574" s="787">
        <v>2</v>
      </c>
      <c r="E13574" s="787">
        <v>402</v>
      </c>
      <c r="F13574" s="788">
        <v>40596</v>
      </c>
      <c r="G13574" s="788">
        <v>42081</v>
      </c>
      <c r="H13574" s="787">
        <v>1</v>
      </c>
      <c r="I13574" s="788">
        <v>42160</v>
      </c>
      <c r="J13574" s="788">
        <v>42151</v>
      </c>
      <c r="K13574" s="788">
        <v>41261</v>
      </c>
      <c r="L13574" s="787">
        <v>402</v>
      </c>
      <c r="M13574" s="787">
        <v>20</v>
      </c>
      <c r="N13574" s="787">
        <v>432.15</v>
      </c>
      <c r="O13574" s="788">
        <v>41858</v>
      </c>
    </row>
    <row r="13575" spans="1:15" x14ac:dyDescent="0.25">
      <c r="A13575" s="786" t="s">
        <v>24418</v>
      </c>
      <c r="B13575" s="787">
        <v>4</v>
      </c>
      <c r="C13575" s="787" t="s">
        <v>24419</v>
      </c>
      <c r="D13575" s="787">
        <v>0</v>
      </c>
      <c r="E13575" s="787">
        <v>419</v>
      </c>
      <c r="F13575" s="788">
        <v>41081</v>
      </c>
      <c r="G13575" s="788">
        <v>41882</v>
      </c>
      <c r="H13575" s="787">
        <v>6</v>
      </c>
      <c r="I13575" s="788">
        <v>41879</v>
      </c>
      <c r="J13575" s="788">
        <v>41879</v>
      </c>
      <c r="K13575" s="788">
        <v>41884</v>
      </c>
      <c r="L13575" s="787">
        <v>419</v>
      </c>
      <c r="M13575" s="787">
        <v>20</v>
      </c>
      <c r="N13575" s="787">
        <v>475.73</v>
      </c>
      <c r="O13575" s="788">
        <v>41858</v>
      </c>
    </row>
    <row r="13576" spans="1:15" x14ac:dyDescent="0.25">
      <c r="A13576" s="786" t="s">
        <v>24420</v>
      </c>
      <c r="B13576" s="787">
        <v>4</v>
      </c>
      <c r="C13576" s="787" t="s">
        <v>24421</v>
      </c>
      <c r="D13576" s="787">
        <v>9.9499999999999993</v>
      </c>
      <c r="E13576" s="787">
        <v>119.95</v>
      </c>
      <c r="F13576" s="788">
        <v>39896</v>
      </c>
      <c r="G13576" s="788">
        <v>40240</v>
      </c>
      <c r="H13576" s="787">
        <v>5</v>
      </c>
      <c r="I13576" s="788">
        <v>40329</v>
      </c>
      <c r="J13576" s="788">
        <v>41622</v>
      </c>
      <c r="L13576" s="787">
        <v>144.22</v>
      </c>
      <c r="M13576" s="787">
        <v>20</v>
      </c>
      <c r="N13576" s="787">
        <v>155.04</v>
      </c>
      <c r="O13576" s="788">
        <v>41858</v>
      </c>
    </row>
    <row r="13577" spans="1:15" x14ac:dyDescent="0.25">
      <c r="A13577" s="786" t="s">
        <v>24422</v>
      </c>
      <c r="B13577" s="787">
        <v>4</v>
      </c>
      <c r="C13577" s="787" t="s">
        <v>24423</v>
      </c>
      <c r="D13577" s="787">
        <v>3</v>
      </c>
      <c r="E13577" s="787">
        <v>79.45</v>
      </c>
      <c r="F13577" s="788">
        <v>39097</v>
      </c>
      <c r="G13577" s="788">
        <v>41850</v>
      </c>
      <c r="H13577" s="787">
        <v>1</v>
      </c>
      <c r="I13577" s="788">
        <v>42137</v>
      </c>
      <c r="J13577" s="788">
        <v>42137</v>
      </c>
      <c r="K13577" s="788">
        <v>41817</v>
      </c>
      <c r="L13577" s="787">
        <v>79.45</v>
      </c>
      <c r="M13577" s="787">
        <v>20</v>
      </c>
      <c r="N13577" s="787">
        <v>85.41</v>
      </c>
      <c r="O13577" s="788">
        <v>41858</v>
      </c>
    </row>
    <row r="13578" spans="1:15" x14ac:dyDescent="0.25">
      <c r="A13578" s="786" t="s">
        <v>24424</v>
      </c>
      <c r="B13578" s="787">
        <v>4</v>
      </c>
      <c r="C13578" s="787" t="s">
        <v>24425</v>
      </c>
      <c r="D13578" s="787">
        <v>5.2</v>
      </c>
      <c r="E13578" s="787">
        <v>65.2</v>
      </c>
      <c r="F13578" s="788">
        <v>40865</v>
      </c>
      <c r="G13578" s="788">
        <v>42053</v>
      </c>
      <c r="H13578" s="787">
        <v>1</v>
      </c>
      <c r="I13578" s="788">
        <v>42166</v>
      </c>
      <c r="J13578" s="788">
        <v>42165</v>
      </c>
      <c r="K13578" s="788">
        <v>40910</v>
      </c>
      <c r="L13578" s="787">
        <v>65.2</v>
      </c>
      <c r="M13578" s="787">
        <v>20</v>
      </c>
      <c r="N13578" s="787">
        <v>70.09</v>
      </c>
      <c r="O13578" s="788">
        <v>41991</v>
      </c>
    </row>
    <row r="13579" spans="1:15" x14ac:dyDescent="0.25">
      <c r="A13579" s="786" t="s">
        <v>24426</v>
      </c>
      <c r="B13579" s="787">
        <v>4</v>
      </c>
      <c r="C13579" s="787" t="s">
        <v>24427</v>
      </c>
      <c r="D13579" s="787">
        <v>7.45</v>
      </c>
      <c r="E13579" s="787">
        <v>162.44999999999999</v>
      </c>
      <c r="F13579" s="788">
        <v>40911</v>
      </c>
      <c r="G13579" s="788">
        <v>42013</v>
      </c>
      <c r="H13579" s="787">
        <v>1</v>
      </c>
      <c r="I13579" s="788">
        <v>42159</v>
      </c>
      <c r="J13579" s="788">
        <v>41927</v>
      </c>
      <c r="K13579" s="788">
        <v>41437</v>
      </c>
      <c r="L13579" s="787">
        <v>162.44999999999999</v>
      </c>
      <c r="M13579" s="787">
        <v>20</v>
      </c>
      <c r="N13579" s="787">
        <v>174.63</v>
      </c>
      <c r="O13579" s="788">
        <v>42111</v>
      </c>
    </row>
    <row r="13580" spans="1:15" x14ac:dyDescent="0.25">
      <c r="A13580" s="786" t="s">
        <v>24428</v>
      </c>
      <c r="B13580" s="787">
        <v>4</v>
      </c>
      <c r="C13580" s="787" t="s">
        <v>24429</v>
      </c>
      <c r="D13580" s="787">
        <v>1.75</v>
      </c>
      <c r="E13580" s="787">
        <v>182.45</v>
      </c>
      <c r="F13580" s="788">
        <v>39101</v>
      </c>
      <c r="G13580" s="788">
        <v>42156</v>
      </c>
      <c r="H13580" s="787">
        <v>1</v>
      </c>
      <c r="I13580" s="788">
        <v>42164</v>
      </c>
      <c r="J13580" s="788">
        <v>42137</v>
      </c>
      <c r="K13580" s="788">
        <v>41590</v>
      </c>
      <c r="L13580" s="787">
        <v>182.45</v>
      </c>
      <c r="M13580" s="787">
        <v>20</v>
      </c>
      <c r="N13580" s="787">
        <v>196.13</v>
      </c>
      <c r="O13580" s="788">
        <v>41949</v>
      </c>
    </row>
    <row r="13581" spans="1:15" x14ac:dyDescent="0.25">
      <c r="A13581" s="786" t="s">
        <v>24430</v>
      </c>
      <c r="B13581" s="787">
        <v>4</v>
      </c>
      <c r="C13581" s="787" t="s">
        <v>24431</v>
      </c>
      <c r="D13581" s="787">
        <v>9.35</v>
      </c>
      <c r="E13581" s="787">
        <v>139.35</v>
      </c>
      <c r="F13581" s="788">
        <v>40450</v>
      </c>
      <c r="G13581" s="788">
        <v>40395</v>
      </c>
      <c r="H13581" s="787">
        <v>1</v>
      </c>
      <c r="I13581" s="788">
        <v>40948</v>
      </c>
      <c r="J13581" s="788">
        <v>40865</v>
      </c>
      <c r="K13581" s="788">
        <v>41884</v>
      </c>
      <c r="L13581" s="787">
        <v>164.35</v>
      </c>
      <c r="M13581" s="787">
        <v>20</v>
      </c>
      <c r="N13581" s="787">
        <v>284.74</v>
      </c>
      <c r="O13581" s="788">
        <v>41858</v>
      </c>
    </row>
    <row r="13582" spans="1:15" x14ac:dyDescent="0.25">
      <c r="A13582" s="786" t="s">
        <v>24432</v>
      </c>
      <c r="B13582" s="787">
        <v>4</v>
      </c>
      <c r="C13582" s="787" t="s">
        <v>24433</v>
      </c>
      <c r="D13582" s="787">
        <v>0.59</v>
      </c>
      <c r="E13582" s="787">
        <v>197.7</v>
      </c>
      <c r="F13582" s="788">
        <v>39799</v>
      </c>
      <c r="G13582" s="788">
        <v>41869</v>
      </c>
      <c r="H13582" s="787">
        <v>1</v>
      </c>
      <c r="I13582" s="788">
        <v>41829</v>
      </c>
      <c r="J13582" s="788">
        <v>41829</v>
      </c>
      <c r="K13582" s="788">
        <v>41884</v>
      </c>
      <c r="L13582" s="787">
        <v>197.7</v>
      </c>
      <c r="M13582" s="787">
        <v>20</v>
      </c>
      <c r="N13582" s="787">
        <v>212.53</v>
      </c>
      <c r="O13582" s="788">
        <v>41995</v>
      </c>
    </row>
    <row r="13583" spans="1:15" x14ac:dyDescent="0.25">
      <c r="A13583" s="786" t="s">
        <v>24434</v>
      </c>
      <c r="B13583" s="787">
        <v>4</v>
      </c>
      <c r="C13583" s="787" t="s">
        <v>24435</v>
      </c>
      <c r="D13583" s="787">
        <v>9.4499999999999993</v>
      </c>
      <c r="E13583" s="787">
        <v>104.45</v>
      </c>
      <c r="F13583" s="788">
        <v>39721</v>
      </c>
      <c r="G13583" s="788">
        <v>40057</v>
      </c>
      <c r="H13583" s="787">
        <v>6</v>
      </c>
      <c r="I13583" s="788">
        <v>40260</v>
      </c>
      <c r="J13583" s="788">
        <v>40058</v>
      </c>
      <c r="L13583" s="787">
        <v>104.45</v>
      </c>
      <c r="M13583" s="787">
        <v>20</v>
      </c>
      <c r="N13583" s="787">
        <v>112.28</v>
      </c>
      <c r="O13583" s="788">
        <v>41806</v>
      </c>
    </row>
    <row r="13584" spans="1:15" x14ac:dyDescent="0.25">
      <c r="A13584" s="786" t="s">
        <v>24436</v>
      </c>
      <c r="B13584" s="787">
        <v>4</v>
      </c>
      <c r="C13584" s="787" t="s">
        <v>24437</v>
      </c>
      <c r="D13584" s="787">
        <v>8.25</v>
      </c>
      <c r="E13584" s="787">
        <v>166.85</v>
      </c>
      <c r="F13584" s="788">
        <v>38517</v>
      </c>
      <c r="G13584" s="788">
        <v>40422</v>
      </c>
      <c r="H13584" s="787">
        <v>1</v>
      </c>
      <c r="I13584" s="788">
        <v>38579</v>
      </c>
      <c r="J13584" s="788">
        <v>40422</v>
      </c>
      <c r="K13584" s="788">
        <v>41884</v>
      </c>
      <c r="L13584" s="787">
        <v>191.85</v>
      </c>
      <c r="M13584" s="787">
        <v>20</v>
      </c>
      <c r="N13584" s="787">
        <v>179.36</v>
      </c>
      <c r="O13584" s="788">
        <v>41858</v>
      </c>
    </row>
    <row r="13585" spans="1:15" x14ac:dyDescent="0.25">
      <c r="A13585" s="786" t="s">
        <v>24438</v>
      </c>
      <c r="B13585" s="787">
        <v>4</v>
      </c>
      <c r="C13585" s="787" t="s">
        <v>24439</v>
      </c>
      <c r="D13585" s="787">
        <v>9.5</v>
      </c>
      <c r="E13585" s="787">
        <v>124.95</v>
      </c>
      <c r="F13585" s="788">
        <v>38047</v>
      </c>
      <c r="G13585" s="788">
        <v>40379</v>
      </c>
      <c r="H13585" s="787">
        <v>1</v>
      </c>
      <c r="I13585" s="788">
        <v>41089</v>
      </c>
      <c r="J13585" s="788">
        <v>41075</v>
      </c>
      <c r="K13585" s="788">
        <v>41884</v>
      </c>
      <c r="L13585" s="787">
        <v>149.94999999999999</v>
      </c>
      <c r="M13585" s="787">
        <v>20</v>
      </c>
      <c r="N13585" s="787">
        <v>134.32</v>
      </c>
      <c r="O13585" s="788">
        <v>41858</v>
      </c>
    </row>
    <row r="13586" spans="1:15" x14ac:dyDescent="0.25">
      <c r="A13586" s="786" t="s">
        <v>24440</v>
      </c>
      <c r="B13586" s="787">
        <v>4</v>
      </c>
      <c r="C13586" s="787" t="s">
        <v>24441</v>
      </c>
      <c r="D13586" s="787">
        <v>5.12</v>
      </c>
      <c r="E13586" s="787">
        <v>345.12</v>
      </c>
      <c r="F13586" s="788">
        <v>37641</v>
      </c>
      <c r="G13586" s="788">
        <v>37641</v>
      </c>
      <c r="H13586" s="787">
        <v>1</v>
      </c>
      <c r="I13586" s="788">
        <v>37462</v>
      </c>
      <c r="J13586" s="788">
        <v>37641</v>
      </c>
      <c r="L13586" s="787">
        <v>376.18</v>
      </c>
      <c r="M13586" s="787">
        <v>20</v>
      </c>
      <c r="N13586" s="787">
        <v>404.39</v>
      </c>
      <c r="O13586" s="788">
        <v>41858</v>
      </c>
    </row>
    <row r="13587" spans="1:15" x14ac:dyDescent="0.25">
      <c r="A13587" s="786" t="s">
        <v>24442</v>
      </c>
      <c r="B13587" s="787">
        <v>4</v>
      </c>
      <c r="C13587" s="787" t="s">
        <v>24443</v>
      </c>
      <c r="D13587" s="787">
        <v>1.5</v>
      </c>
      <c r="E13587" s="787">
        <v>61.5</v>
      </c>
      <c r="F13587" s="788">
        <v>41171</v>
      </c>
      <c r="G13587" s="788">
        <v>42156</v>
      </c>
      <c r="H13587" s="787">
        <v>1</v>
      </c>
      <c r="I13587" s="788">
        <v>42166</v>
      </c>
      <c r="J13587" s="788">
        <v>42144</v>
      </c>
      <c r="K13587" s="788">
        <v>42094</v>
      </c>
      <c r="L13587" s="787">
        <v>61.5</v>
      </c>
      <c r="M13587" s="787">
        <v>20</v>
      </c>
      <c r="N13587" s="787">
        <v>66.11</v>
      </c>
      <c r="O13587" s="788">
        <v>42164</v>
      </c>
    </row>
    <row r="13588" spans="1:15" x14ac:dyDescent="0.25">
      <c r="A13588" s="786" t="s">
        <v>24444</v>
      </c>
      <c r="B13588" s="787">
        <v>4</v>
      </c>
      <c r="C13588" s="787" t="s">
        <v>24445</v>
      </c>
      <c r="D13588" s="787">
        <v>3.2</v>
      </c>
      <c r="E13588" s="787">
        <v>3.2</v>
      </c>
      <c r="F13588" s="788">
        <v>38222</v>
      </c>
      <c r="G13588" s="788">
        <v>38222</v>
      </c>
      <c r="H13588" s="787">
        <v>1</v>
      </c>
      <c r="J13588" s="788">
        <v>38210</v>
      </c>
      <c r="L13588" s="787">
        <v>3.49</v>
      </c>
      <c r="M13588" s="787">
        <v>20</v>
      </c>
      <c r="N13588" s="787">
        <v>3.75</v>
      </c>
      <c r="O13588" s="788">
        <v>41858</v>
      </c>
    </row>
    <row r="13589" spans="1:15" x14ac:dyDescent="0.25">
      <c r="A13589" s="786" t="s">
        <v>24446</v>
      </c>
      <c r="B13589" s="787">
        <v>4</v>
      </c>
      <c r="C13589" s="787" t="s">
        <v>24447</v>
      </c>
      <c r="D13589" s="787">
        <v>9</v>
      </c>
      <c r="E13589" s="787">
        <v>366.55</v>
      </c>
      <c r="F13589" s="788">
        <v>38310</v>
      </c>
      <c r="G13589" s="788">
        <v>40483</v>
      </c>
      <c r="H13589" s="787">
        <v>6</v>
      </c>
      <c r="I13589" s="788">
        <v>40484</v>
      </c>
      <c r="J13589" s="788">
        <v>40483</v>
      </c>
      <c r="L13589" s="787">
        <v>380.41</v>
      </c>
      <c r="M13589" s="787">
        <v>20</v>
      </c>
      <c r="N13589" s="787">
        <v>394.04</v>
      </c>
      <c r="O13589" s="788">
        <v>41806</v>
      </c>
    </row>
    <row r="13590" spans="1:15" x14ac:dyDescent="0.25">
      <c r="A13590" s="786" t="s">
        <v>24448</v>
      </c>
      <c r="B13590" s="787">
        <v>4</v>
      </c>
      <c r="C13590" s="787" t="s">
        <v>24449</v>
      </c>
      <c r="D13590" s="787">
        <v>9.73</v>
      </c>
      <c r="E13590" s="787">
        <v>289.73</v>
      </c>
      <c r="F13590" s="788">
        <v>41991</v>
      </c>
      <c r="G13590" s="788">
        <v>42013</v>
      </c>
      <c r="H13590" s="787">
        <v>1</v>
      </c>
      <c r="I13590" s="788">
        <v>42159</v>
      </c>
      <c r="J13590" s="788">
        <v>41983</v>
      </c>
      <c r="K13590" s="788">
        <v>41932</v>
      </c>
      <c r="L13590" s="787">
        <v>304.98</v>
      </c>
      <c r="M13590" s="787">
        <v>20</v>
      </c>
      <c r="N13590" s="787">
        <v>327.85</v>
      </c>
      <c r="O13590" s="788">
        <v>42164</v>
      </c>
    </row>
    <row r="13591" spans="1:15" x14ac:dyDescent="0.25">
      <c r="A13591" s="786" t="s">
        <v>24450</v>
      </c>
      <c r="B13591" s="787">
        <v>4</v>
      </c>
      <c r="C13591" s="787" t="s">
        <v>24451</v>
      </c>
      <c r="D13591" s="787">
        <v>8.43</v>
      </c>
      <c r="E13591" s="787">
        <v>367.2</v>
      </c>
      <c r="F13591" s="788">
        <v>41305</v>
      </c>
      <c r="G13591" s="788">
        <v>42109</v>
      </c>
      <c r="H13591" s="787">
        <v>1</v>
      </c>
      <c r="I13591" s="788">
        <v>42166</v>
      </c>
      <c r="J13591" s="788">
        <v>42165</v>
      </c>
      <c r="K13591" s="788">
        <v>42131</v>
      </c>
      <c r="L13591" s="787">
        <v>367.2</v>
      </c>
      <c r="M13591" s="787">
        <v>20</v>
      </c>
      <c r="N13591" s="787">
        <v>394.74</v>
      </c>
      <c r="O13591" s="788">
        <v>42164</v>
      </c>
    </row>
    <row r="13592" spans="1:15" x14ac:dyDescent="0.25">
      <c r="A13592" s="786" t="s">
        <v>24452</v>
      </c>
      <c r="B13592" s="787">
        <v>4</v>
      </c>
      <c r="C13592" s="787" t="s">
        <v>24453</v>
      </c>
      <c r="D13592" s="787">
        <v>6.12</v>
      </c>
      <c r="E13592" s="787">
        <v>69.2</v>
      </c>
      <c r="F13592" s="788">
        <v>39233</v>
      </c>
      <c r="G13592" s="788">
        <v>42091</v>
      </c>
      <c r="H13592" s="787">
        <v>1</v>
      </c>
      <c r="I13592" s="788">
        <v>42165</v>
      </c>
      <c r="J13592" s="788">
        <v>42089</v>
      </c>
      <c r="K13592" s="788">
        <v>42066</v>
      </c>
      <c r="L13592" s="787">
        <v>69.2</v>
      </c>
      <c r="M13592" s="787">
        <v>20</v>
      </c>
      <c r="N13592" s="787">
        <v>74.39</v>
      </c>
      <c r="O13592" s="788">
        <v>42164</v>
      </c>
    </row>
    <row r="13593" spans="1:15" x14ac:dyDescent="0.25">
      <c r="A13593" s="786" t="s">
        <v>24454</v>
      </c>
      <c r="B13593" s="787">
        <v>4</v>
      </c>
      <c r="C13593" s="787" t="s">
        <v>24455</v>
      </c>
      <c r="D13593" s="787">
        <v>3.8</v>
      </c>
      <c r="E13593" s="787">
        <v>436.26</v>
      </c>
      <c r="F13593" s="788">
        <v>39101</v>
      </c>
      <c r="G13593" s="788">
        <v>42165</v>
      </c>
      <c r="H13593" s="787">
        <v>1</v>
      </c>
      <c r="I13593" s="788">
        <v>42137</v>
      </c>
      <c r="J13593" s="788">
        <v>42165</v>
      </c>
      <c r="K13593" s="788">
        <v>38742</v>
      </c>
      <c r="L13593" s="787">
        <v>461.94</v>
      </c>
      <c r="M13593" s="787">
        <v>20</v>
      </c>
      <c r="N13593" s="787">
        <v>496.59</v>
      </c>
      <c r="O13593" s="788">
        <v>41858</v>
      </c>
    </row>
    <row r="13594" spans="1:15" x14ac:dyDescent="0.25">
      <c r="A13594" s="786" t="s">
        <v>24454</v>
      </c>
      <c r="B13594" s="787" t="s">
        <v>5938</v>
      </c>
      <c r="C13594" s="787" t="s">
        <v>24456</v>
      </c>
      <c r="D13594" s="787">
        <v>5.75</v>
      </c>
      <c r="E13594" s="787">
        <v>235.75</v>
      </c>
      <c r="F13594" s="788">
        <v>39316</v>
      </c>
      <c r="G13594" s="788">
        <v>39316</v>
      </c>
      <c r="H13594" s="787">
        <v>6</v>
      </c>
      <c r="I13594" s="788">
        <v>39316</v>
      </c>
      <c r="J13594" s="788">
        <v>39265</v>
      </c>
      <c r="L13594" s="787">
        <v>235.75</v>
      </c>
      <c r="M13594" s="787">
        <v>20</v>
      </c>
      <c r="N13594" s="787">
        <v>253.43</v>
      </c>
      <c r="O13594" s="788">
        <v>41543</v>
      </c>
    </row>
    <row r="13595" spans="1:15" x14ac:dyDescent="0.25">
      <c r="A13595" s="786" t="s">
        <v>24457</v>
      </c>
      <c r="B13595" s="787">
        <v>4</v>
      </c>
      <c r="C13595" s="787" t="s">
        <v>24458</v>
      </c>
      <c r="D13595" s="787">
        <v>9.3800000000000008</v>
      </c>
      <c r="E13595" s="787">
        <v>39.380000000000003</v>
      </c>
      <c r="F13595" s="788">
        <v>38337</v>
      </c>
      <c r="G13595" s="788">
        <v>38337</v>
      </c>
      <c r="H13595" s="787">
        <v>1</v>
      </c>
      <c r="J13595" s="788">
        <v>38327</v>
      </c>
      <c r="L13595" s="787">
        <v>42.92</v>
      </c>
      <c r="M13595" s="787">
        <v>20</v>
      </c>
      <c r="N13595" s="787">
        <v>46.14</v>
      </c>
      <c r="O13595" s="788">
        <v>41858</v>
      </c>
    </row>
    <row r="13596" spans="1:15" x14ac:dyDescent="0.25">
      <c r="A13596" s="786" t="s">
        <v>24459</v>
      </c>
      <c r="B13596" s="787">
        <v>4</v>
      </c>
      <c r="C13596" s="787" t="s">
        <v>24460</v>
      </c>
      <c r="D13596" s="787">
        <v>8</v>
      </c>
      <c r="E13596" s="787">
        <v>38.950000000000003</v>
      </c>
      <c r="F13596" s="788">
        <v>38903</v>
      </c>
      <c r="G13596" s="788">
        <v>41040</v>
      </c>
      <c r="H13596" s="787">
        <v>1</v>
      </c>
      <c r="I13596" s="788">
        <v>41894</v>
      </c>
      <c r="J13596" s="788">
        <v>41213</v>
      </c>
      <c r="K13596" s="788">
        <v>41239</v>
      </c>
      <c r="L13596" s="787">
        <v>38.950000000000003</v>
      </c>
      <c r="M13596" s="787">
        <v>20</v>
      </c>
      <c r="N13596" s="787">
        <v>41.87</v>
      </c>
      <c r="O13596" s="788">
        <v>42111</v>
      </c>
    </row>
    <row r="13597" spans="1:15" x14ac:dyDescent="0.25">
      <c r="A13597" s="786" t="s">
        <v>24461</v>
      </c>
      <c r="B13597" s="787">
        <v>4</v>
      </c>
      <c r="C13597" s="787" t="s">
        <v>24462</v>
      </c>
      <c r="D13597" s="787">
        <v>8.9499999999999993</v>
      </c>
      <c r="E13597" s="787">
        <v>38.950000000000003</v>
      </c>
      <c r="F13597" s="788">
        <v>40596</v>
      </c>
      <c r="G13597" s="788">
        <v>40596</v>
      </c>
      <c r="H13597" s="787">
        <v>1</v>
      </c>
      <c r="I13597" s="788">
        <v>38440</v>
      </c>
      <c r="J13597" s="788">
        <v>40596</v>
      </c>
      <c r="L13597" s="787">
        <v>38.950000000000003</v>
      </c>
      <c r="M13597" s="787">
        <v>20</v>
      </c>
      <c r="N13597" s="787">
        <v>41.87</v>
      </c>
      <c r="O13597" s="788">
        <v>41858</v>
      </c>
    </row>
    <row r="13598" spans="1:15" x14ac:dyDescent="0.25">
      <c r="A13598" s="786" t="s">
        <v>24463</v>
      </c>
      <c r="B13598" s="787">
        <v>4</v>
      </c>
      <c r="C13598" s="787" t="s">
        <v>24464</v>
      </c>
      <c r="D13598" s="787">
        <v>8.9499999999999993</v>
      </c>
      <c r="E13598" s="787">
        <v>38.950000000000003</v>
      </c>
      <c r="F13598" s="788">
        <v>40911</v>
      </c>
      <c r="G13598" s="788">
        <v>40913</v>
      </c>
      <c r="H13598" s="787">
        <v>6</v>
      </c>
      <c r="I13598" s="788">
        <v>41352</v>
      </c>
      <c r="J13598" s="788">
        <v>41578</v>
      </c>
      <c r="K13598" s="788">
        <v>41261</v>
      </c>
      <c r="L13598" s="787">
        <v>38.950000000000003</v>
      </c>
      <c r="M13598" s="787">
        <v>20</v>
      </c>
      <c r="N13598" s="787">
        <v>41.87</v>
      </c>
      <c r="O13598" s="788">
        <v>41806</v>
      </c>
    </row>
    <row r="13599" spans="1:15" x14ac:dyDescent="0.25">
      <c r="A13599" s="786" t="s">
        <v>24465</v>
      </c>
      <c r="B13599" s="787">
        <v>4</v>
      </c>
      <c r="C13599" s="787" t="s">
        <v>24466</v>
      </c>
      <c r="D13599" s="787">
        <v>0</v>
      </c>
      <c r="E13599" s="787">
        <v>51.25</v>
      </c>
      <c r="F13599" s="788">
        <v>38713</v>
      </c>
      <c r="G13599" s="788">
        <v>39770</v>
      </c>
      <c r="H13599" s="787">
        <v>1</v>
      </c>
      <c r="I13599" s="788">
        <v>40855</v>
      </c>
      <c r="J13599" s="788">
        <v>39771</v>
      </c>
      <c r="L13599" s="787">
        <v>51.25</v>
      </c>
      <c r="M13599" s="787">
        <v>20</v>
      </c>
      <c r="N13599" s="787">
        <v>55.09</v>
      </c>
      <c r="O13599" s="788">
        <v>41858</v>
      </c>
    </row>
    <row r="13600" spans="1:15" x14ac:dyDescent="0.25">
      <c r="A13600" s="786" t="s">
        <v>24467</v>
      </c>
      <c r="B13600" s="787">
        <v>4</v>
      </c>
      <c r="C13600" s="787" t="s">
        <v>24468</v>
      </c>
      <c r="D13600" s="787">
        <v>0</v>
      </c>
      <c r="E13600" s="787">
        <v>0</v>
      </c>
      <c r="H13600" s="787">
        <v>6</v>
      </c>
      <c r="L13600" s="787">
        <v>0</v>
      </c>
      <c r="M13600" s="787">
        <v>20</v>
      </c>
      <c r="N13600" s="787">
        <v>0</v>
      </c>
      <c r="O13600" s="788">
        <v>40824</v>
      </c>
    </row>
    <row r="13601" spans="1:15" x14ac:dyDescent="0.25">
      <c r="A13601" s="786" t="s">
        <v>24469</v>
      </c>
      <c r="B13601" s="787">
        <v>4</v>
      </c>
      <c r="C13601" s="787" t="s">
        <v>24470</v>
      </c>
      <c r="D13601" s="787">
        <v>3.9</v>
      </c>
      <c r="E13601" s="787">
        <v>23.9</v>
      </c>
      <c r="F13601" s="788">
        <v>39140</v>
      </c>
      <c r="G13601" s="788">
        <v>39140</v>
      </c>
      <c r="H13601" s="787">
        <v>6</v>
      </c>
      <c r="I13601" s="788">
        <v>40604</v>
      </c>
      <c r="J13601" s="788">
        <v>40317</v>
      </c>
      <c r="K13601" s="788">
        <v>41239</v>
      </c>
      <c r="L13601" s="787">
        <v>23.9</v>
      </c>
      <c r="M13601" s="787">
        <v>20</v>
      </c>
      <c r="N13601" s="787">
        <v>25.69</v>
      </c>
      <c r="O13601" s="788">
        <v>41543</v>
      </c>
    </row>
    <row r="13602" spans="1:15" x14ac:dyDescent="0.25">
      <c r="A13602" s="786" t="s">
        <v>24471</v>
      </c>
      <c r="B13602" s="787">
        <v>4</v>
      </c>
      <c r="C13602" s="787" t="s">
        <v>24472</v>
      </c>
      <c r="D13602" s="787">
        <v>3</v>
      </c>
      <c r="E13602" s="787">
        <v>69.099999999999994</v>
      </c>
      <c r="F13602" s="788">
        <v>38456</v>
      </c>
      <c r="G13602" s="788">
        <v>42018</v>
      </c>
      <c r="H13602" s="787">
        <v>1</v>
      </c>
      <c r="I13602" s="788">
        <v>42087</v>
      </c>
      <c r="J13602" s="788">
        <v>42060</v>
      </c>
      <c r="K13602" s="788">
        <v>41883</v>
      </c>
      <c r="L13602" s="787">
        <v>69.099999999999994</v>
      </c>
      <c r="M13602" s="787">
        <v>20</v>
      </c>
      <c r="N13602" s="787">
        <v>50.39</v>
      </c>
      <c r="O13602" s="788">
        <v>41858</v>
      </c>
    </row>
    <row r="13603" spans="1:15" x14ac:dyDescent="0.25">
      <c r="A13603" s="786" t="s">
        <v>24473</v>
      </c>
      <c r="B13603" s="787">
        <v>4</v>
      </c>
      <c r="C13603" s="787" t="s">
        <v>24474</v>
      </c>
      <c r="D13603" s="787">
        <v>6.1</v>
      </c>
      <c r="E13603" s="787">
        <v>36.9</v>
      </c>
      <c r="F13603" s="788">
        <v>39101</v>
      </c>
      <c r="G13603" s="788">
        <v>42013</v>
      </c>
      <c r="H13603" s="787">
        <v>1</v>
      </c>
      <c r="I13603" s="788">
        <v>42156</v>
      </c>
      <c r="J13603" s="788">
        <v>41472</v>
      </c>
      <c r="L13603" s="787">
        <v>36.9</v>
      </c>
      <c r="M13603" s="787">
        <v>20</v>
      </c>
      <c r="N13603" s="787">
        <v>39.67</v>
      </c>
      <c r="O13603" s="788">
        <v>42164</v>
      </c>
    </row>
    <row r="13604" spans="1:15" x14ac:dyDescent="0.25">
      <c r="A13604" s="786" t="s">
        <v>24475</v>
      </c>
      <c r="B13604" s="787">
        <v>4</v>
      </c>
      <c r="C13604" s="787" t="s">
        <v>24476</v>
      </c>
      <c r="D13604" s="787">
        <v>5.8</v>
      </c>
      <c r="E13604" s="787">
        <v>83.05</v>
      </c>
      <c r="F13604" s="788">
        <v>38946</v>
      </c>
      <c r="G13604" s="788">
        <v>41190</v>
      </c>
      <c r="H13604" s="787">
        <v>1</v>
      </c>
      <c r="I13604" s="788">
        <v>41043</v>
      </c>
      <c r="J13604" s="788">
        <v>41190</v>
      </c>
      <c r="K13604" s="788">
        <v>40932</v>
      </c>
      <c r="L13604" s="787">
        <v>92.25</v>
      </c>
      <c r="M13604" s="787">
        <v>20</v>
      </c>
      <c r="N13604" s="787">
        <v>99.17</v>
      </c>
      <c r="O13604" s="788">
        <v>41858</v>
      </c>
    </row>
    <row r="13605" spans="1:15" x14ac:dyDescent="0.25">
      <c r="A13605" s="786" t="s">
        <v>24477</v>
      </c>
      <c r="B13605" s="787">
        <v>4</v>
      </c>
      <c r="C13605" s="787" t="s">
        <v>24478</v>
      </c>
      <c r="D13605" s="787">
        <v>7.35</v>
      </c>
      <c r="E13605" s="787">
        <v>180.55</v>
      </c>
      <c r="F13605" s="788">
        <v>39405</v>
      </c>
      <c r="G13605" s="788">
        <v>41882</v>
      </c>
      <c r="H13605" s="787">
        <v>1</v>
      </c>
      <c r="I13605" s="788">
        <v>42020</v>
      </c>
      <c r="J13605" s="788">
        <v>42018</v>
      </c>
      <c r="K13605" s="788">
        <v>41884</v>
      </c>
      <c r="L13605" s="787">
        <v>180.55</v>
      </c>
      <c r="M13605" s="787">
        <v>20</v>
      </c>
      <c r="N13605" s="787">
        <v>167.22</v>
      </c>
      <c r="O13605" s="788">
        <v>41858</v>
      </c>
    </row>
    <row r="13606" spans="1:15" x14ac:dyDescent="0.25">
      <c r="A13606" s="786" t="s">
        <v>24479</v>
      </c>
      <c r="B13606" s="787">
        <v>4</v>
      </c>
      <c r="C13606" s="787" t="s">
        <v>24480</v>
      </c>
      <c r="D13606" s="787">
        <v>1.41</v>
      </c>
      <c r="E13606" s="787">
        <v>11.41</v>
      </c>
      <c r="F13606" s="788">
        <v>39101</v>
      </c>
      <c r="G13606" s="788">
        <v>39101</v>
      </c>
      <c r="H13606" s="787">
        <v>1</v>
      </c>
      <c r="I13606" s="788">
        <v>39175</v>
      </c>
      <c r="J13606" s="788">
        <v>39101</v>
      </c>
      <c r="L13606" s="787">
        <v>11.41</v>
      </c>
      <c r="M13606" s="787">
        <v>20</v>
      </c>
      <c r="N13606" s="787">
        <v>12.27</v>
      </c>
      <c r="O13606" s="788">
        <v>41858</v>
      </c>
    </row>
    <row r="13607" spans="1:15" x14ac:dyDescent="0.25">
      <c r="A13607" s="786" t="s">
        <v>24481</v>
      </c>
      <c r="B13607" s="787">
        <v>4</v>
      </c>
      <c r="C13607" s="787" t="s">
        <v>24482</v>
      </c>
      <c r="D13607" s="787">
        <v>3.4</v>
      </c>
      <c r="E13607" s="787">
        <v>75.83</v>
      </c>
      <c r="F13607" s="788">
        <v>40368</v>
      </c>
      <c r="G13607" s="788">
        <v>42013</v>
      </c>
      <c r="H13607" s="787">
        <v>1</v>
      </c>
      <c r="I13607" s="788">
        <v>41894</v>
      </c>
      <c r="J13607" s="788">
        <v>41927</v>
      </c>
      <c r="K13607" s="788">
        <v>41032</v>
      </c>
      <c r="L13607" s="787">
        <v>75.7</v>
      </c>
      <c r="M13607" s="787">
        <v>20</v>
      </c>
      <c r="N13607" s="787">
        <v>81.38</v>
      </c>
      <c r="O13607" s="788">
        <v>42052</v>
      </c>
    </row>
    <row r="13608" spans="1:15" x14ac:dyDescent="0.25">
      <c r="A13608" s="786" t="s">
        <v>24483</v>
      </c>
      <c r="B13608" s="787">
        <v>4</v>
      </c>
      <c r="C13608" s="787" t="s">
        <v>24484</v>
      </c>
      <c r="D13608" s="787">
        <v>8</v>
      </c>
      <c r="E13608" s="787">
        <v>73.73</v>
      </c>
      <c r="F13608" s="788">
        <v>41516</v>
      </c>
      <c r="G13608" s="788">
        <v>42013</v>
      </c>
      <c r="H13608" s="787">
        <v>1</v>
      </c>
      <c r="I13608" s="788">
        <v>42143</v>
      </c>
      <c r="J13608" s="788">
        <v>41983</v>
      </c>
      <c r="K13608" s="788">
        <v>41918</v>
      </c>
      <c r="L13608" s="787">
        <v>73.73</v>
      </c>
      <c r="M13608" s="787">
        <v>20</v>
      </c>
      <c r="N13608" s="787">
        <v>79.260000000000005</v>
      </c>
      <c r="O13608" s="788">
        <v>42164</v>
      </c>
    </row>
    <row r="13609" spans="1:15" x14ac:dyDescent="0.25">
      <c r="A13609" s="786" t="s">
        <v>24485</v>
      </c>
      <c r="B13609" s="787">
        <v>4</v>
      </c>
      <c r="C13609" s="787" t="s">
        <v>24486</v>
      </c>
      <c r="D13609" s="787">
        <v>0.53</v>
      </c>
      <c r="E13609" s="787">
        <v>0.53</v>
      </c>
      <c r="F13609" s="788">
        <v>38713</v>
      </c>
      <c r="H13609" s="787">
        <v>1</v>
      </c>
      <c r="I13609" s="788">
        <v>38693</v>
      </c>
      <c r="J13609" s="788">
        <v>38695</v>
      </c>
      <c r="L13609" s="787">
        <v>0.53</v>
      </c>
      <c r="M13609" s="787">
        <v>20</v>
      </c>
      <c r="N13609" s="787">
        <v>0.56999999999999995</v>
      </c>
      <c r="O13609" s="788">
        <v>41858</v>
      </c>
    </row>
    <row r="13610" spans="1:15" x14ac:dyDescent="0.25">
      <c r="A13610" s="786" t="s">
        <v>24487</v>
      </c>
      <c r="B13610" s="787">
        <v>4</v>
      </c>
      <c r="C13610" s="787" t="s">
        <v>24488</v>
      </c>
      <c r="D13610" s="787">
        <v>6.8</v>
      </c>
      <c r="E13610" s="787">
        <v>150.5</v>
      </c>
      <c r="F13610" s="788">
        <v>38713</v>
      </c>
      <c r="G13610" s="788">
        <v>40422</v>
      </c>
      <c r="H13610" s="787">
        <v>1</v>
      </c>
      <c r="I13610" s="788">
        <v>41484</v>
      </c>
      <c r="J13610" s="788">
        <v>41472</v>
      </c>
      <c r="K13610" s="788">
        <v>40910</v>
      </c>
      <c r="L13610" s="787">
        <v>150.5</v>
      </c>
      <c r="M13610" s="787">
        <v>20</v>
      </c>
      <c r="N13610" s="787">
        <v>161.79</v>
      </c>
      <c r="O13610" s="788">
        <v>41989</v>
      </c>
    </row>
    <row r="13611" spans="1:15" x14ac:dyDescent="0.25">
      <c r="A13611" s="786" t="s">
        <v>24489</v>
      </c>
      <c r="B13611" s="787">
        <v>4</v>
      </c>
      <c r="C13611" s="787" t="s">
        <v>24490</v>
      </c>
      <c r="D13611" s="787">
        <v>4.45</v>
      </c>
      <c r="E13611" s="787">
        <v>79.45</v>
      </c>
      <c r="F13611" s="788">
        <v>40865</v>
      </c>
      <c r="G13611" s="788">
        <v>41331</v>
      </c>
      <c r="H13611" s="787">
        <v>1</v>
      </c>
      <c r="I13611" s="788">
        <v>41627</v>
      </c>
      <c r="J13611" s="788">
        <v>41540</v>
      </c>
      <c r="K13611" s="788">
        <v>41390</v>
      </c>
      <c r="L13611" s="787">
        <v>79.45</v>
      </c>
      <c r="M13611" s="787">
        <v>20</v>
      </c>
      <c r="N13611" s="787">
        <v>85.41</v>
      </c>
      <c r="O13611" s="788">
        <v>42019</v>
      </c>
    </row>
    <row r="13612" spans="1:15" x14ac:dyDescent="0.25">
      <c r="A13612" s="786" t="s">
        <v>24491</v>
      </c>
      <c r="B13612" s="787">
        <v>4</v>
      </c>
      <c r="C13612" s="787" t="s">
        <v>24492</v>
      </c>
      <c r="D13612" s="787">
        <v>0</v>
      </c>
      <c r="E13612" s="787">
        <v>0</v>
      </c>
      <c r="H13612" s="787">
        <v>1</v>
      </c>
      <c r="L13612" s="787">
        <v>0</v>
      </c>
      <c r="M13612" s="787">
        <v>20</v>
      </c>
      <c r="N13612" s="787">
        <v>0</v>
      </c>
      <c r="O13612" s="788">
        <v>40824</v>
      </c>
    </row>
    <row r="13613" spans="1:15" x14ac:dyDescent="0.25">
      <c r="A13613" s="786" t="s">
        <v>24493</v>
      </c>
      <c r="B13613" s="787">
        <v>4</v>
      </c>
      <c r="C13613" s="787" t="s">
        <v>24494</v>
      </c>
      <c r="D13613" s="787">
        <v>4</v>
      </c>
      <c r="E13613" s="787">
        <v>74</v>
      </c>
      <c r="F13613" s="788">
        <v>38727</v>
      </c>
      <c r="G13613" s="788">
        <v>38727</v>
      </c>
      <c r="H13613" s="787">
        <v>1</v>
      </c>
      <c r="I13613" s="788">
        <v>39134</v>
      </c>
      <c r="J13613" s="788">
        <v>38743</v>
      </c>
      <c r="L13613" s="787">
        <v>74</v>
      </c>
      <c r="M13613" s="787">
        <v>20</v>
      </c>
      <c r="N13613" s="787">
        <v>79.55</v>
      </c>
      <c r="O13613" s="788">
        <v>41858</v>
      </c>
    </row>
    <row r="13614" spans="1:15" x14ac:dyDescent="0.25">
      <c r="A13614" s="786" t="s">
        <v>24495</v>
      </c>
      <c r="B13614" s="787">
        <v>4</v>
      </c>
      <c r="C13614" s="787" t="s">
        <v>24496</v>
      </c>
      <c r="D13614" s="787">
        <v>5.0999999999999996</v>
      </c>
      <c r="E13614" s="787">
        <v>455.1</v>
      </c>
      <c r="F13614" s="788">
        <v>39324</v>
      </c>
      <c r="G13614" s="788">
        <v>39324</v>
      </c>
      <c r="H13614" s="787">
        <v>6</v>
      </c>
      <c r="I13614" s="788">
        <v>39324</v>
      </c>
      <c r="J13614" s="788">
        <v>39314</v>
      </c>
      <c r="L13614" s="787">
        <v>455.1</v>
      </c>
      <c r="M13614" s="787">
        <v>20</v>
      </c>
      <c r="N13614" s="787">
        <v>489.23</v>
      </c>
      <c r="O13614" s="788">
        <v>41543</v>
      </c>
    </row>
    <row r="13615" spans="1:15" x14ac:dyDescent="0.25">
      <c r="A13615" s="786" t="s">
        <v>24497</v>
      </c>
      <c r="B13615" s="787">
        <v>4</v>
      </c>
      <c r="C13615" s="787" t="s">
        <v>24498</v>
      </c>
      <c r="D13615" s="787">
        <v>9</v>
      </c>
      <c r="E13615" s="787">
        <v>490.56</v>
      </c>
      <c r="F13615" s="788">
        <v>38908</v>
      </c>
      <c r="G13615" s="788">
        <v>41421</v>
      </c>
      <c r="H13615" s="787">
        <v>1</v>
      </c>
      <c r="I13615" s="788">
        <v>41368</v>
      </c>
      <c r="J13615" s="788">
        <v>41404</v>
      </c>
      <c r="K13615" s="788">
        <v>40910</v>
      </c>
      <c r="L13615" s="787">
        <v>470.06</v>
      </c>
      <c r="M13615" s="787">
        <v>20</v>
      </c>
      <c r="N13615" s="787">
        <v>505.31</v>
      </c>
      <c r="O13615" s="788">
        <v>41858</v>
      </c>
    </row>
    <row r="13616" spans="1:15" x14ac:dyDescent="0.25">
      <c r="A13616" s="786" t="s">
        <v>24499</v>
      </c>
      <c r="B13616" s="787">
        <v>4</v>
      </c>
      <c r="C13616" s="787" t="s">
        <v>24500</v>
      </c>
      <c r="D13616" s="787">
        <v>5.16</v>
      </c>
      <c r="E13616" s="787">
        <v>515.16</v>
      </c>
      <c r="F13616" s="788">
        <v>38762</v>
      </c>
      <c r="G13616" s="788">
        <v>38762</v>
      </c>
      <c r="H13616" s="787">
        <v>6</v>
      </c>
      <c r="I13616" s="788">
        <v>39134</v>
      </c>
      <c r="J13616" s="788">
        <v>38768</v>
      </c>
      <c r="L13616" s="787">
        <v>515.16</v>
      </c>
      <c r="M13616" s="787">
        <v>20</v>
      </c>
      <c r="N13616" s="787">
        <v>553.79999999999995</v>
      </c>
      <c r="O13616" s="788">
        <v>41543</v>
      </c>
    </row>
    <row r="13617" spans="1:15" x14ac:dyDescent="0.25">
      <c r="A13617" s="786" t="s">
        <v>24501</v>
      </c>
      <c r="B13617" s="787">
        <v>4</v>
      </c>
      <c r="C13617" s="787" t="s">
        <v>24502</v>
      </c>
      <c r="D13617" s="787">
        <v>2.7</v>
      </c>
      <c r="E13617" s="787">
        <v>152.69999999999999</v>
      </c>
      <c r="F13617" s="788">
        <v>40379</v>
      </c>
      <c r="G13617" s="788">
        <v>40919</v>
      </c>
      <c r="H13617" s="787">
        <v>1</v>
      </c>
      <c r="I13617" s="788">
        <v>41218</v>
      </c>
      <c r="J13617" s="788">
        <v>40842</v>
      </c>
      <c r="K13617" s="788">
        <v>41884</v>
      </c>
      <c r="L13617" s="787">
        <v>172.7</v>
      </c>
      <c r="M13617" s="787">
        <v>20</v>
      </c>
      <c r="N13617" s="787">
        <v>158.78</v>
      </c>
      <c r="O13617" s="788">
        <v>41858</v>
      </c>
    </row>
    <row r="13618" spans="1:15" x14ac:dyDescent="0.25">
      <c r="A13618" s="786" t="s">
        <v>24503</v>
      </c>
      <c r="B13618" s="787">
        <v>4</v>
      </c>
      <c r="C13618" s="787" t="s">
        <v>24504</v>
      </c>
      <c r="D13618" s="787">
        <v>9.65</v>
      </c>
      <c r="E13618" s="787">
        <v>579.65</v>
      </c>
      <c r="F13618" s="788">
        <v>39630</v>
      </c>
      <c r="G13618" s="788">
        <v>39630</v>
      </c>
      <c r="H13618" s="787">
        <v>6</v>
      </c>
      <c r="I13618" s="788">
        <v>39902</v>
      </c>
      <c r="J13618" s="788">
        <v>39652</v>
      </c>
      <c r="L13618" s="787">
        <v>579.65</v>
      </c>
      <c r="M13618" s="787">
        <v>20</v>
      </c>
      <c r="N13618" s="787">
        <v>623.12</v>
      </c>
      <c r="O13618" s="788">
        <v>41543</v>
      </c>
    </row>
    <row r="13619" spans="1:15" x14ac:dyDescent="0.25">
      <c r="A13619" s="786" t="s">
        <v>24505</v>
      </c>
      <c r="B13619" s="787">
        <v>4</v>
      </c>
      <c r="C13619" s="787" t="s">
        <v>24506</v>
      </c>
      <c r="D13619" s="787">
        <v>4.5</v>
      </c>
      <c r="E13619" s="787">
        <v>468.5</v>
      </c>
      <c r="F13619" s="788">
        <v>38846</v>
      </c>
      <c r="G13619" s="788">
        <v>38831</v>
      </c>
      <c r="H13619" s="787">
        <v>6</v>
      </c>
      <c r="I13619" s="788">
        <v>39146</v>
      </c>
      <c r="J13619" s="788">
        <v>38989</v>
      </c>
      <c r="L13619" s="787">
        <v>468.5</v>
      </c>
      <c r="M13619" s="787">
        <v>20</v>
      </c>
      <c r="N13619" s="787">
        <v>503.64</v>
      </c>
      <c r="O13619" s="788">
        <v>41543</v>
      </c>
    </row>
    <row r="13620" spans="1:15" x14ac:dyDescent="0.25">
      <c r="A13620" s="786" t="s">
        <v>24507</v>
      </c>
      <c r="B13620" s="787">
        <v>4</v>
      </c>
      <c r="C13620" s="787" t="s">
        <v>24508</v>
      </c>
      <c r="D13620" s="787">
        <v>8.1</v>
      </c>
      <c r="E13620" s="787">
        <v>151.30000000000001</v>
      </c>
      <c r="F13620" s="788">
        <v>39645</v>
      </c>
      <c r="G13620" s="788">
        <v>41622</v>
      </c>
      <c r="H13620" s="787">
        <v>1</v>
      </c>
      <c r="I13620" s="788">
        <v>42034</v>
      </c>
      <c r="J13620" s="788">
        <v>41622</v>
      </c>
      <c r="K13620" s="788">
        <v>41884</v>
      </c>
      <c r="L13620" s="787">
        <v>176.3</v>
      </c>
      <c r="M13620" s="787">
        <v>20</v>
      </c>
      <c r="N13620" s="787">
        <v>162.65</v>
      </c>
      <c r="O13620" s="788">
        <v>41858</v>
      </c>
    </row>
    <row r="13621" spans="1:15" x14ac:dyDescent="0.25">
      <c r="A13621" s="786" t="s">
        <v>24509</v>
      </c>
      <c r="B13621" s="787">
        <v>4</v>
      </c>
      <c r="C13621" s="787" t="s">
        <v>24510</v>
      </c>
      <c r="D13621" s="787">
        <v>5</v>
      </c>
      <c r="E13621" s="787">
        <v>25.65</v>
      </c>
      <c r="F13621" s="788">
        <v>38882</v>
      </c>
      <c r="G13621" s="788">
        <v>40701</v>
      </c>
      <c r="H13621" s="787">
        <v>1</v>
      </c>
      <c r="I13621" s="788">
        <v>41236</v>
      </c>
      <c r="J13621" s="788">
        <v>41213</v>
      </c>
      <c r="K13621" s="788">
        <v>41239</v>
      </c>
      <c r="L13621" s="787">
        <v>25.65</v>
      </c>
      <c r="M13621" s="787">
        <v>20</v>
      </c>
      <c r="N13621" s="787">
        <v>27.57</v>
      </c>
      <c r="O13621" s="788">
        <v>41858</v>
      </c>
    </row>
    <row r="13622" spans="1:15" x14ac:dyDescent="0.25">
      <c r="A13622" s="786" t="s">
        <v>24511</v>
      </c>
      <c r="B13622" s="787">
        <v>4</v>
      </c>
      <c r="C13622" s="787" t="s">
        <v>24512</v>
      </c>
      <c r="D13622" s="787">
        <v>0.7</v>
      </c>
      <c r="E13622" s="787">
        <v>141.44999999999999</v>
      </c>
      <c r="F13622" s="788">
        <v>39406</v>
      </c>
      <c r="G13622" s="788">
        <v>40773</v>
      </c>
      <c r="H13622" s="787">
        <v>1</v>
      </c>
      <c r="I13622" s="788">
        <v>41059</v>
      </c>
      <c r="J13622" s="788">
        <v>41622</v>
      </c>
      <c r="K13622" s="788">
        <v>40910</v>
      </c>
      <c r="L13622" s="787">
        <v>141.44999999999999</v>
      </c>
      <c r="M13622" s="787">
        <v>20</v>
      </c>
      <c r="N13622" s="787">
        <v>152.06</v>
      </c>
      <c r="O13622" s="788">
        <v>41858</v>
      </c>
    </row>
    <row r="13623" spans="1:15" x14ac:dyDescent="0.25">
      <c r="A13623" s="786" t="s">
        <v>24513</v>
      </c>
      <c r="B13623" s="787">
        <v>4</v>
      </c>
      <c r="C13623" s="787" t="s">
        <v>24514</v>
      </c>
      <c r="D13623" s="787">
        <v>5</v>
      </c>
      <c r="E13623" s="787">
        <v>195</v>
      </c>
      <c r="F13623" s="788">
        <v>39101</v>
      </c>
      <c r="G13623" s="788">
        <v>39101</v>
      </c>
      <c r="H13623" s="787">
        <v>1</v>
      </c>
      <c r="I13623" s="788">
        <v>39134</v>
      </c>
      <c r="J13623" s="788">
        <v>39149</v>
      </c>
      <c r="L13623" s="787">
        <v>195</v>
      </c>
      <c r="M13623" s="787">
        <v>20</v>
      </c>
      <c r="N13623" s="787">
        <v>209.63</v>
      </c>
      <c r="O13623" s="788">
        <v>41858</v>
      </c>
    </row>
    <row r="13624" spans="1:15" x14ac:dyDescent="0.25">
      <c r="A13624" s="786" t="s">
        <v>24515</v>
      </c>
      <c r="B13624" s="787">
        <v>4</v>
      </c>
      <c r="C13624" s="787" t="s">
        <v>24516</v>
      </c>
      <c r="D13624" s="787">
        <v>1.45</v>
      </c>
      <c r="E13624" s="787">
        <v>169.55</v>
      </c>
      <c r="F13624" s="788">
        <v>39233</v>
      </c>
      <c r="G13624" s="788">
        <v>39820</v>
      </c>
      <c r="H13624" s="787">
        <v>1</v>
      </c>
      <c r="I13624" s="788">
        <v>42027</v>
      </c>
      <c r="J13624" s="788">
        <v>41622</v>
      </c>
      <c r="K13624" s="788">
        <v>40910</v>
      </c>
      <c r="L13624" s="787">
        <v>169.55</v>
      </c>
      <c r="M13624" s="787">
        <v>20</v>
      </c>
      <c r="N13624" s="787">
        <v>169.55</v>
      </c>
      <c r="O13624" s="788">
        <v>42027</v>
      </c>
    </row>
    <row r="13625" spans="1:15" x14ac:dyDescent="0.25">
      <c r="A13625" s="786" t="s">
        <v>24517</v>
      </c>
      <c r="B13625" s="787">
        <v>4</v>
      </c>
      <c r="C13625" s="787" t="s">
        <v>24518</v>
      </c>
      <c r="D13625" s="787">
        <v>4.5</v>
      </c>
      <c r="E13625" s="787">
        <v>214.5</v>
      </c>
      <c r="F13625" s="788">
        <v>38931</v>
      </c>
      <c r="G13625" s="788">
        <v>39070</v>
      </c>
      <c r="H13625" s="787">
        <v>1</v>
      </c>
      <c r="I13625" s="788">
        <v>41204</v>
      </c>
      <c r="J13625" s="788">
        <v>39037</v>
      </c>
      <c r="K13625" s="788">
        <v>41261</v>
      </c>
      <c r="L13625" s="787">
        <v>214.5</v>
      </c>
      <c r="M13625" s="787">
        <v>20</v>
      </c>
      <c r="N13625" s="787">
        <v>230.59</v>
      </c>
      <c r="O13625" s="788">
        <v>41858</v>
      </c>
    </row>
    <row r="13626" spans="1:15" x14ac:dyDescent="0.25">
      <c r="A13626" s="786" t="s">
        <v>24519</v>
      </c>
      <c r="B13626" s="787">
        <v>4</v>
      </c>
      <c r="C13626" s="787" t="s">
        <v>24520</v>
      </c>
      <c r="D13626" s="787">
        <v>7.6</v>
      </c>
      <c r="E13626" s="787">
        <v>167.6</v>
      </c>
      <c r="F13626" s="788">
        <v>39331</v>
      </c>
      <c r="G13626" s="788">
        <v>39405</v>
      </c>
      <c r="H13626" s="787">
        <v>1</v>
      </c>
      <c r="I13626" s="788">
        <v>41957</v>
      </c>
      <c r="J13626" s="788">
        <v>41948</v>
      </c>
      <c r="K13626" s="788">
        <v>41261</v>
      </c>
      <c r="L13626" s="787">
        <v>167.6</v>
      </c>
      <c r="M13626" s="787">
        <v>20</v>
      </c>
      <c r="N13626" s="787">
        <v>180.17</v>
      </c>
      <c r="O13626" s="788">
        <v>41858</v>
      </c>
    </row>
    <row r="13627" spans="1:15" x14ac:dyDescent="0.25">
      <c r="A13627" s="786" t="s">
        <v>24521</v>
      </c>
      <c r="B13627" s="787">
        <v>4</v>
      </c>
      <c r="C13627" s="787" t="s">
        <v>24522</v>
      </c>
      <c r="D13627" s="787">
        <v>0</v>
      </c>
      <c r="E13627" s="787">
        <v>470</v>
      </c>
      <c r="F13627" s="788">
        <v>38882</v>
      </c>
      <c r="G13627" s="788">
        <v>38882</v>
      </c>
      <c r="H13627" s="787">
        <v>6</v>
      </c>
      <c r="I13627" s="788">
        <v>40302</v>
      </c>
      <c r="J13627" s="788">
        <v>38882</v>
      </c>
      <c r="L13627" s="787">
        <v>470</v>
      </c>
      <c r="M13627" s="787">
        <v>20</v>
      </c>
      <c r="N13627" s="787">
        <v>505.25</v>
      </c>
      <c r="O13627" s="788">
        <v>41543</v>
      </c>
    </row>
    <row r="13628" spans="1:15" x14ac:dyDescent="0.25">
      <c r="A13628" s="786" t="s">
        <v>24523</v>
      </c>
      <c r="B13628" s="787">
        <v>4</v>
      </c>
      <c r="C13628" s="787" t="s">
        <v>24524</v>
      </c>
      <c r="D13628" s="787">
        <v>0</v>
      </c>
      <c r="E13628" s="787">
        <v>0</v>
      </c>
      <c r="F13628" s="788">
        <v>39975</v>
      </c>
      <c r="H13628" s="787">
        <v>1</v>
      </c>
      <c r="I13628" s="788">
        <v>40976</v>
      </c>
      <c r="J13628" s="788">
        <v>41927</v>
      </c>
      <c r="L13628" s="787">
        <v>0</v>
      </c>
      <c r="M13628" s="787">
        <v>20</v>
      </c>
      <c r="N13628" s="787">
        <v>0</v>
      </c>
      <c r="O13628" s="788">
        <v>40824</v>
      </c>
    </row>
    <row r="13629" spans="1:15" x14ac:dyDescent="0.25">
      <c r="A13629" s="786" t="s">
        <v>24525</v>
      </c>
      <c r="B13629" s="787">
        <v>4</v>
      </c>
      <c r="C13629" s="787" t="s">
        <v>24526</v>
      </c>
      <c r="D13629" s="787">
        <v>0</v>
      </c>
      <c r="E13629" s="787">
        <v>0</v>
      </c>
      <c r="F13629" s="788">
        <v>39975</v>
      </c>
      <c r="H13629" s="787">
        <v>1</v>
      </c>
      <c r="I13629" s="788">
        <v>38974</v>
      </c>
      <c r="J13629" s="788">
        <v>39101</v>
      </c>
      <c r="L13629" s="787">
        <v>0</v>
      </c>
      <c r="M13629" s="787">
        <v>20</v>
      </c>
      <c r="N13629" s="787">
        <v>0</v>
      </c>
      <c r="O13629" s="788">
        <v>40824</v>
      </c>
    </row>
    <row r="13630" spans="1:15" x14ac:dyDescent="0.25">
      <c r="A13630" s="786" t="s">
        <v>24527</v>
      </c>
      <c r="B13630" s="787">
        <v>4</v>
      </c>
      <c r="C13630" s="787" t="s">
        <v>24528</v>
      </c>
      <c r="D13630" s="787">
        <v>9.23</v>
      </c>
      <c r="E13630" s="787">
        <v>54.45</v>
      </c>
      <c r="F13630" s="788">
        <v>39233</v>
      </c>
      <c r="G13630" s="788">
        <v>41255</v>
      </c>
      <c r="H13630" s="787">
        <v>1</v>
      </c>
      <c r="I13630" s="788">
        <v>41089</v>
      </c>
      <c r="J13630" s="788">
        <v>41060</v>
      </c>
      <c r="K13630" s="788">
        <v>41261</v>
      </c>
      <c r="L13630" s="787">
        <v>54.45</v>
      </c>
      <c r="M13630" s="787">
        <v>20</v>
      </c>
      <c r="N13630" s="787">
        <v>58.53</v>
      </c>
      <c r="O13630" s="788">
        <v>41858</v>
      </c>
    </row>
    <row r="13631" spans="1:15" x14ac:dyDescent="0.25">
      <c r="A13631" s="786" t="s">
        <v>24529</v>
      </c>
      <c r="B13631" s="787">
        <v>4</v>
      </c>
      <c r="C13631" s="787" t="s">
        <v>24530</v>
      </c>
      <c r="D13631" s="787">
        <v>6</v>
      </c>
      <c r="E13631" s="787">
        <v>36.9</v>
      </c>
      <c r="F13631" s="788">
        <v>39101</v>
      </c>
      <c r="G13631" s="788">
        <v>41513</v>
      </c>
      <c r="H13631" s="787">
        <v>1</v>
      </c>
      <c r="I13631" s="788">
        <v>42156</v>
      </c>
      <c r="J13631" s="788">
        <v>41472</v>
      </c>
      <c r="L13631" s="787">
        <v>36.9</v>
      </c>
      <c r="M13631" s="787">
        <v>20</v>
      </c>
      <c r="N13631" s="787">
        <v>39.67</v>
      </c>
      <c r="O13631" s="788">
        <v>42108</v>
      </c>
    </row>
    <row r="13632" spans="1:15" x14ac:dyDescent="0.25">
      <c r="A13632" s="786" t="s">
        <v>24531</v>
      </c>
      <c r="B13632" s="787">
        <v>4</v>
      </c>
      <c r="C13632" s="787" t="s">
        <v>24532</v>
      </c>
      <c r="D13632" s="787">
        <v>4.1100000000000003</v>
      </c>
      <c r="E13632" s="787">
        <v>74.11</v>
      </c>
      <c r="F13632" s="788">
        <v>39975</v>
      </c>
      <c r="G13632" s="788">
        <v>42013</v>
      </c>
      <c r="H13632" s="787">
        <v>1</v>
      </c>
      <c r="I13632" s="788">
        <v>42156</v>
      </c>
      <c r="J13632" s="788">
        <v>39149</v>
      </c>
      <c r="L13632" s="787">
        <v>74.11</v>
      </c>
      <c r="M13632" s="787">
        <v>20</v>
      </c>
      <c r="N13632" s="787">
        <v>79.67</v>
      </c>
      <c r="O13632" s="788">
        <v>42164</v>
      </c>
    </row>
    <row r="13633" spans="1:15" x14ac:dyDescent="0.25">
      <c r="A13633" s="786" t="s">
        <v>24533</v>
      </c>
      <c r="B13633" s="787">
        <v>4</v>
      </c>
      <c r="C13633" s="787" t="s">
        <v>24534</v>
      </c>
      <c r="D13633" s="787">
        <v>5.2</v>
      </c>
      <c r="E13633" s="787">
        <v>90.2</v>
      </c>
      <c r="F13633" s="788">
        <v>40865</v>
      </c>
      <c r="G13633" s="788">
        <v>42013</v>
      </c>
      <c r="H13633" s="787">
        <v>1</v>
      </c>
      <c r="I13633" s="788">
        <v>42156</v>
      </c>
      <c r="J13633" s="788">
        <v>42152</v>
      </c>
      <c r="K13633" s="788">
        <v>41884</v>
      </c>
      <c r="L13633" s="787">
        <v>90.2</v>
      </c>
      <c r="M13633" s="787">
        <v>20</v>
      </c>
      <c r="N13633" s="787">
        <v>96.97</v>
      </c>
      <c r="O13633" s="788">
        <v>41991</v>
      </c>
    </row>
    <row r="13634" spans="1:15" x14ac:dyDescent="0.25">
      <c r="A13634" s="786" t="s">
        <v>24535</v>
      </c>
      <c r="B13634" s="787">
        <v>4</v>
      </c>
      <c r="C13634" s="787" t="s">
        <v>24536</v>
      </c>
      <c r="D13634" s="787">
        <v>0</v>
      </c>
      <c r="E13634" s="787">
        <v>512.91</v>
      </c>
      <c r="F13634" s="788">
        <v>38909</v>
      </c>
      <c r="G13634" s="788">
        <v>41565</v>
      </c>
      <c r="H13634" s="787">
        <v>1</v>
      </c>
      <c r="I13634" s="788">
        <v>41481</v>
      </c>
      <c r="J13634" s="788">
        <v>41478</v>
      </c>
      <c r="K13634" s="788">
        <v>40910</v>
      </c>
      <c r="L13634" s="787">
        <v>512.91</v>
      </c>
      <c r="M13634" s="787">
        <v>20</v>
      </c>
      <c r="N13634" s="787">
        <v>551.38</v>
      </c>
      <c r="O13634" s="788">
        <v>41858</v>
      </c>
    </row>
    <row r="13635" spans="1:15" x14ac:dyDescent="0.25">
      <c r="A13635" s="786" t="s">
        <v>24537</v>
      </c>
      <c r="B13635" s="787">
        <v>4</v>
      </c>
      <c r="C13635" s="787" t="s">
        <v>24538</v>
      </c>
      <c r="D13635" s="787">
        <v>3.53</v>
      </c>
      <c r="E13635" s="787">
        <v>309.60000000000002</v>
      </c>
      <c r="F13635" s="788">
        <v>41236</v>
      </c>
      <c r="G13635" s="788">
        <v>42137</v>
      </c>
      <c r="H13635" s="787">
        <v>1</v>
      </c>
      <c r="I13635" s="788">
        <v>42143</v>
      </c>
      <c r="J13635" s="788">
        <v>42144</v>
      </c>
      <c r="K13635" s="788">
        <v>41855</v>
      </c>
      <c r="L13635" s="787">
        <v>325.89</v>
      </c>
      <c r="M13635" s="787">
        <v>20</v>
      </c>
      <c r="N13635" s="787">
        <v>350.33</v>
      </c>
      <c r="O13635" s="788">
        <v>42164</v>
      </c>
    </row>
    <row r="13636" spans="1:15" x14ac:dyDescent="0.25">
      <c r="A13636" s="786" t="s">
        <v>24539</v>
      </c>
      <c r="B13636" s="787">
        <v>4</v>
      </c>
      <c r="C13636" s="787" t="s">
        <v>24540</v>
      </c>
      <c r="D13636" s="787">
        <v>3.05</v>
      </c>
      <c r="E13636" s="787">
        <v>142.01</v>
      </c>
      <c r="F13636" s="788">
        <v>40891</v>
      </c>
      <c r="G13636" s="788">
        <v>42013</v>
      </c>
      <c r="H13636" s="787">
        <v>1</v>
      </c>
      <c r="I13636" s="788">
        <v>42164</v>
      </c>
      <c r="J13636" s="788">
        <v>41936</v>
      </c>
      <c r="K13636" s="788">
        <v>40910</v>
      </c>
      <c r="L13636" s="787">
        <v>189.35</v>
      </c>
      <c r="M13636" s="787">
        <v>20</v>
      </c>
      <c r="N13636" s="787">
        <v>203.55</v>
      </c>
      <c r="O13636" s="788">
        <v>41991</v>
      </c>
    </row>
    <row r="13637" spans="1:15" x14ac:dyDescent="0.25">
      <c r="A13637" s="786" t="s">
        <v>24541</v>
      </c>
      <c r="B13637" s="787">
        <v>4</v>
      </c>
      <c r="C13637" s="787" t="s">
        <v>24542</v>
      </c>
      <c r="D13637" s="787">
        <v>4.8</v>
      </c>
      <c r="E13637" s="787">
        <v>474.15</v>
      </c>
      <c r="F13637" s="788">
        <v>39000</v>
      </c>
      <c r="G13637" s="788">
        <v>40183</v>
      </c>
      <c r="H13637" s="787">
        <v>1</v>
      </c>
      <c r="I13637" s="788">
        <v>40764</v>
      </c>
      <c r="J13637" s="788">
        <v>40149</v>
      </c>
      <c r="L13637" s="787">
        <v>474.15</v>
      </c>
      <c r="M13637" s="787">
        <v>20</v>
      </c>
      <c r="N13637" s="787">
        <v>509.71</v>
      </c>
      <c r="O13637" s="788">
        <v>41858</v>
      </c>
    </row>
    <row r="13638" spans="1:15" x14ac:dyDescent="0.25">
      <c r="A13638" s="786" t="s">
        <v>24543</v>
      </c>
      <c r="B13638" s="787">
        <v>4</v>
      </c>
      <c r="C13638" s="787" t="s">
        <v>24544</v>
      </c>
      <c r="D13638" s="787">
        <v>4</v>
      </c>
      <c r="E13638" s="787">
        <v>450.94</v>
      </c>
      <c r="F13638" s="788">
        <v>39101</v>
      </c>
      <c r="G13638" s="788">
        <v>40178</v>
      </c>
      <c r="H13638" s="787">
        <v>3</v>
      </c>
      <c r="I13638" s="788">
        <v>39881</v>
      </c>
      <c r="J13638" s="788">
        <v>39771</v>
      </c>
      <c r="K13638" s="788">
        <v>41261</v>
      </c>
      <c r="L13638" s="787">
        <v>450.94</v>
      </c>
      <c r="M13638" s="787">
        <v>20</v>
      </c>
      <c r="N13638" s="787">
        <v>484.76</v>
      </c>
      <c r="O13638" s="788">
        <v>41858</v>
      </c>
    </row>
    <row r="13639" spans="1:15" x14ac:dyDescent="0.25">
      <c r="A13639" s="786" t="s">
        <v>24545</v>
      </c>
      <c r="B13639" s="787">
        <v>4</v>
      </c>
      <c r="C13639" s="787" t="s">
        <v>24546</v>
      </c>
      <c r="D13639" s="787">
        <v>5</v>
      </c>
      <c r="E13639" s="787">
        <v>395</v>
      </c>
      <c r="F13639" s="788">
        <v>39070</v>
      </c>
      <c r="G13639" s="788">
        <v>39070</v>
      </c>
      <c r="H13639" s="787">
        <v>1</v>
      </c>
      <c r="I13639" s="788">
        <v>39134</v>
      </c>
      <c r="J13639" s="788">
        <v>38989</v>
      </c>
      <c r="L13639" s="787">
        <v>395</v>
      </c>
      <c r="M13639" s="787">
        <v>20</v>
      </c>
      <c r="N13639" s="787">
        <v>424.63</v>
      </c>
      <c r="O13639" s="788">
        <v>41858</v>
      </c>
    </row>
    <row r="13640" spans="1:15" x14ac:dyDescent="0.25">
      <c r="A13640" s="786" t="s">
        <v>24547</v>
      </c>
      <c r="B13640" s="787">
        <v>4</v>
      </c>
      <c r="C13640" s="787" t="s">
        <v>24548</v>
      </c>
      <c r="D13640" s="787">
        <v>6</v>
      </c>
      <c r="E13640" s="787">
        <v>306</v>
      </c>
      <c r="F13640" s="788">
        <v>38981</v>
      </c>
      <c r="G13640" s="788">
        <v>38981</v>
      </c>
      <c r="H13640" s="787">
        <v>1</v>
      </c>
      <c r="I13640" s="788">
        <v>39134</v>
      </c>
      <c r="J13640" s="788">
        <v>38981</v>
      </c>
      <c r="L13640" s="787">
        <v>306</v>
      </c>
      <c r="M13640" s="787">
        <v>20</v>
      </c>
      <c r="N13640" s="787">
        <v>328.95</v>
      </c>
      <c r="O13640" s="788">
        <v>41858</v>
      </c>
    </row>
    <row r="13641" spans="1:15" x14ac:dyDescent="0.25">
      <c r="A13641" s="786" t="s">
        <v>24549</v>
      </c>
      <c r="B13641" s="787">
        <v>4</v>
      </c>
      <c r="C13641" s="787" t="s">
        <v>24550</v>
      </c>
      <c r="D13641" s="787">
        <v>2.25</v>
      </c>
      <c r="E13641" s="787">
        <v>92.25</v>
      </c>
      <c r="F13641" s="788">
        <v>40982</v>
      </c>
      <c r="G13641" s="788">
        <v>40983</v>
      </c>
      <c r="H13641" s="787">
        <v>1</v>
      </c>
      <c r="I13641" s="788">
        <v>40855</v>
      </c>
      <c r="J13641" s="788">
        <v>40982</v>
      </c>
      <c r="K13641" s="788">
        <v>41261</v>
      </c>
      <c r="L13641" s="787">
        <v>92.25</v>
      </c>
      <c r="M13641" s="787">
        <v>20</v>
      </c>
      <c r="N13641" s="787">
        <v>99.17</v>
      </c>
      <c r="O13641" s="788">
        <v>41858</v>
      </c>
    </row>
    <row r="13642" spans="1:15" x14ac:dyDescent="0.25">
      <c r="A13642" s="786" t="s">
        <v>24551</v>
      </c>
      <c r="B13642" s="787">
        <v>4</v>
      </c>
      <c r="C13642" s="787" t="s">
        <v>24552</v>
      </c>
      <c r="D13642" s="787">
        <v>2.6</v>
      </c>
      <c r="E13642" s="787">
        <v>151.30000000000001</v>
      </c>
      <c r="F13642" s="788">
        <v>39161</v>
      </c>
      <c r="G13642" s="788">
        <v>41746</v>
      </c>
      <c r="H13642" s="787">
        <v>1</v>
      </c>
      <c r="I13642" s="788">
        <v>41746</v>
      </c>
      <c r="J13642" s="788">
        <v>41746</v>
      </c>
      <c r="K13642" s="788">
        <v>41884</v>
      </c>
      <c r="L13642" s="787">
        <v>176.3</v>
      </c>
      <c r="M13642" s="787">
        <v>20</v>
      </c>
      <c r="N13642" s="787">
        <v>162.65</v>
      </c>
      <c r="O13642" s="788">
        <v>41858</v>
      </c>
    </row>
    <row r="13643" spans="1:15" x14ac:dyDescent="0.25">
      <c r="A13643" s="786" t="s">
        <v>24553</v>
      </c>
      <c r="B13643" s="787">
        <v>4</v>
      </c>
      <c r="C13643" s="787" t="s">
        <v>24554</v>
      </c>
      <c r="D13643" s="787">
        <v>1.5</v>
      </c>
      <c r="E13643" s="787">
        <v>266</v>
      </c>
      <c r="F13643" s="788">
        <v>39070</v>
      </c>
      <c r="G13643" s="788">
        <v>39407</v>
      </c>
      <c r="H13643" s="787">
        <v>1</v>
      </c>
      <c r="I13643" s="788">
        <v>41166</v>
      </c>
      <c r="J13643" s="788">
        <v>40079</v>
      </c>
      <c r="K13643" s="788">
        <v>41884</v>
      </c>
      <c r="L13643" s="787">
        <v>292</v>
      </c>
      <c r="M13643" s="787">
        <v>20</v>
      </c>
      <c r="N13643" s="787">
        <v>285.95</v>
      </c>
      <c r="O13643" s="788">
        <v>41858</v>
      </c>
    </row>
    <row r="13644" spans="1:15" x14ac:dyDescent="0.25">
      <c r="A13644" s="786" t="s">
        <v>24555</v>
      </c>
      <c r="B13644" s="787">
        <v>4</v>
      </c>
      <c r="C13644" s="787" t="s">
        <v>24556</v>
      </c>
      <c r="D13644" s="787">
        <v>9.16</v>
      </c>
      <c r="E13644" s="787">
        <v>564.04999999999995</v>
      </c>
      <c r="F13644" s="788">
        <v>39237</v>
      </c>
      <c r="G13644" s="788">
        <v>39560</v>
      </c>
      <c r="H13644" s="787">
        <v>6</v>
      </c>
      <c r="I13644" s="788">
        <v>39286</v>
      </c>
      <c r="J13644" s="788">
        <v>39547</v>
      </c>
      <c r="L13644" s="787">
        <v>564.04999999999995</v>
      </c>
      <c r="M13644" s="787">
        <v>20</v>
      </c>
      <c r="N13644" s="787">
        <v>606.35</v>
      </c>
      <c r="O13644" s="788">
        <v>41543</v>
      </c>
    </row>
    <row r="13645" spans="1:15" x14ac:dyDescent="0.25">
      <c r="A13645" s="786" t="s">
        <v>24557</v>
      </c>
      <c r="B13645" s="787">
        <v>4</v>
      </c>
      <c r="C13645" s="787" t="s">
        <v>24558</v>
      </c>
      <c r="D13645" s="787">
        <v>6.9</v>
      </c>
      <c r="E13645" s="787">
        <v>87.15</v>
      </c>
      <c r="F13645" s="788">
        <v>40911</v>
      </c>
      <c r="G13645" s="788">
        <v>41757</v>
      </c>
      <c r="H13645" s="787">
        <v>1</v>
      </c>
      <c r="I13645" s="788">
        <v>41737</v>
      </c>
      <c r="J13645" s="788">
        <v>41724</v>
      </c>
      <c r="K13645" s="788">
        <v>40910</v>
      </c>
      <c r="L13645" s="787">
        <v>76.900000000000006</v>
      </c>
      <c r="M13645" s="787">
        <v>20</v>
      </c>
      <c r="N13645" s="787">
        <v>82.67</v>
      </c>
      <c r="O13645" s="788">
        <v>42019</v>
      </c>
    </row>
    <row r="13646" spans="1:15" x14ac:dyDescent="0.25">
      <c r="A13646" s="786" t="s">
        <v>24559</v>
      </c>
      <c r="B13646" s="787">
        <v>4</v>
      </c>
      <c r="C13646" s="787" t="s">
        <v>24560</v>
      </c>
      <c r="D13646" s="787">
        <v>7.55</v>
      </c>
      <c r="E13646" s="787">
        <v>227.55</v>
      </c>
      <c r="F13646" s="788">
        <v>39324</v>
      </c>
      <c r="G13646" s="788">
        <v>39316</v>
      </c>
      <c r="H13646" s="787">
        <v>1</v>
      </c>
      <c r="I13646" s="788">
        <v>39749</v>
      </c>
      <c r="J13646" s="788">
        <v>39729</v>
      </c>
      <c r="L13646" s="787">
        <v>227.55</v>
      </c>
      <c r="M13646" s="787">
        <v>20</v>
      </c>
      <c r="N13646" s="787">
        <v>244.62</v>
      </c>
      <c r="O13646" s="788">
        <v>41858</v>
      </c>
    </row>
    <row r="13647" spans="1:15" x14ac:dyDescent="0.25">
      <c r="A13647" s="786" t="s">
        <v>24561</v>
      </c>
      <c r="B13647" s="787">
        <v>4</v>
      </c>
      <c r="C13647" s="787" t="s">
        <v>24562</v>
      </c>
      <c r="D13647" s="787">
        <v>2.2000000000000002</v>
      </c>
      <c r="E13647" s="787">
        <v>242.2</v>
      </c>
      <c r="F13647" s="788">
        <v>39450</v>
      </c>
      <c r="G13647" s="788">
        <v>39450</v>
      </c>
      <c r="H13647" s="787">
        <v>6</v>
      </c>
      <c r="I13647" s="788">
        <v>39146</v>
      </c>
      <c r="J13647" s="788">
        <v>39175</v>
      </c>
      <c r="L13647" s="787">
        <v>242.2</v>
      </c>
      <c r="M13647" s="787">
        <v>20</v>
      </c>
      <c r="N13647" s="787">
        <v>260.37</v>
      </c>
      <c r="O13647" s="788">
        <v>41543</v>
      </c>
    </row>
    <row r="13648" spans="1:15" x14ac:dyDescent="0.25">
      <c r="A13648" s="786" t="s">
        <v>24563</v>
      </c>
      <c r="B13648" s="787">
        <v>4</v>
      </c>
      <c r="C13648" s="787" t="s">
        <v>24564</v>
      </c>
      <c r="D13648" s="787">
        <v>3</v>
      </c>
      <c r="E13648" s="787">
        <v>249.1</v>
      </c>
      <c r="F13648" s="788">
        <v>39161</v>
      </c>
      <c r="G13648" s="788">
        <v>39451</v>
      </c>
      <c r="H13648" s="787">
        <v>1</v>
      </c>
      <c r="I13648" s="788">
        <v>39427</v>
      </c>
      <c r="J13648" s="788">
        <v>39640</v>
      </c>
      <c r="L13648" s="787">
        <v>249.1</v>
      </c>
      <c r="M13648" s="787">
        <v>20</v>
      </c>
      <c r="N13648" s="787">
        <v>267.77999999999997</v>
      </c>
      <c r="O13648" s="788">
        <v>41858</v>
      </c>
    </row>
    <row r="13649" spans="1:15" x14ac:dyDescent="0.25">
      <c r="A13649" s="786" t="s">
        <v>24565</v>
      </c>
      <c r="B13649" s="787">
        <v>4</v>
      </c>
      <c r="C13649" s="787" t="s">
        <v>24566</v>
      </c>
      <c r="D13649" s="787">
        <v>1.7</v>
      </c>
      <c r="E13649" s="787">
        <v>209.7</v>
      </c>
      <c r="F13649" s="788">
        <v>40683</v>
      </c>
      <c r="G13649" s="788">
        <v>42159</v>
      </c>
      <c r="H13649" s="787">
        <v>1</v>
      </c>
      <c r="I13649" s="788">
        <v>42163</v>
      </c>
      <c r="J13649" s="788">
        <v>42123</v>
      </c>
      <c r="K13649" s="788">
        <v>41817</v>
      </c>
      <c r="L13649" s="787">
        <v>209.7</v>
      </c>
      <c r="M13649" s="787">
        <v>20</v>
      </c>
      <c r="N13649" s="787">
        <v>225.43</v>
      </c>
      <c r="O13649" s="788">
        <v>42164</v>
      </c>
    </row>
    <row r="13650" spans="1:15" x14ac:dyDescent="0.25">
      <c r="A13650" s="786" t="s">
        <v>24567</v>
      </c>
      <c r="B13650" s="787">
        <v>4</v>
      </c>
      <c r="C13650" s="787" t="s">
        <v>24568</v>
      </c>
      <c r="D13650" s="787">
        <v>8.6</v>
      </c>
      <c r="E13650" s="787">
        <v>242.6</v>
      </c>
      <c r="F13650" s="788">
        <v>39343</v>
      </c>
      <c r="G13650" s="788">
        <v>42103</v>
      </c>
      <c r="H13650" s="787">
        <v>1</v>
      </c>
      <c r="I13650" s="788">
        <v>42143</v>
      </c>
      <c r="J13650" s="788">
        <v>42093</v>
      </c>
      <c r="L13650" s="787">
        <v>228.6</v>
      </c>
      <c r="M13650" s="787">
        <v>20</v>
      </c>
      <c r="N13650" s="787">
        <v>245.75</v>
      </c>
      <c r="O13650" s="788">
        <v>42164</v>
      </c>
    </row>
    <row r="13651" spans="1:15" x14ac:dyDescent="0.25">
      <c r="A13651" s="786" t="s">
        <v>24569</v>
      </c>
      <c r="B13651" s="787">
        <v>4</v>
      </c>
      <c r="C13651" s="787" t="s">
        <v>24570</v>
      </c>
      <c r="D13651" s="787">
        <v>0.9</v>
      </c>
      <c r="E13651" s="787">
        <v>260.89999999999998</v>
      </c>
      <c r="F13651" s="788">
        <v>39646</v>
      </c>
      <c r="G13651" s="788">
        <v>39646</v>
      </c>
      <c r="H13651" s="787">
        <v>1</v>
      </c>
      <c r="I13651" s="788">
        <v>39646</v>
      </c>
      <c r="J13651" s="788">
        <v>39604</v>
      </c>
      <c r="K13651" s="788">
        <v>41381</v>
      </c>
      <c r="L13651" s="787">
        <v>260.89999999999998</v>
      </c>
      <c r="M13651" s="787">
        <v>20</v>
      </c>
      <c r="N13651" s="787">
        <v>280.47000000000003</v>
      </c>
      <c r="O13651" s="788">
        <v>41858</v>
      </c>
    </row>
    <row r="13652" spans="1:15" x14ac:dyDescent="0.25">
      <c r="A13652" s="786" t="s">
        <v>24571</v>
      </c>
      <c r="B13652" s="787">
        <v>4</v>
      </c>
      <c r="C13652" s="787" t="s">
        <v>24572</v>
      </c>
      <c r="D13652" s="787">
        <v>4</v>
      </c>
      <c r="E13652" s="787">
        <v>444</v>
      </c>
      <c r="F13652" s="788">
        <v>39097</v>
      </c>
      <c r="G13652" s="788">
        <v>39086</v>
      </c>
      <c r="H13652" s="787">
        <v>6</v>
      </c>
      <c r="I13652" s="788">
        <v>39776</v>
      </c>
      <c r="J13652" s="788">
        <v>39764</v>
      </c>
      <c r="L13652" s="787">
        <v>444</v>
      </c>
      <c r="M13652" s="787">
        <v>20</v>
      </c>
      <c r="N13652" s="787">
        <v>477.3</v>
      </c>
      <c r="O13652" s="788">
        <v>41543</v>
      </c>
    </row>
    <row r="13653" spans="1:15" x14ac:dyDescent="0.25">
      <c r="A13653" s="786" t="s">
        <v>24573</v>
      </c>
      <c r="B13653" s="787">
        <v>4</v>
      </c>
      <c r="C13653" s="787" t="s">
        <v>24574</v>
      </c>
      <c r="D13653" s="787">
        <v>1</v>
      </c>
      <c r="E13653" s="787">
        <v>318.8</v>
      </c>
      <c r="F13653" s="788">
        <v>39161</v>
      </c>
      <c r="G13653" s="788">
        <v>39476</v>
      </c>
      <c r="H13653" s="787">
        <v>6</v>
      </c>
      <c r="I13653" s="788">
        <v>39336</v>
      </c>
      <c r="J13653" s="788">
        <v>39477</v>
      </c>
      <c r="L13653" s="787">
        <v>318.8</v>
      </c>
      <c r="M13653" s="787">
        <v>20</v>
      </c>
      <c r="N13653" s="787">
        <v>342.71</v>
      </c>
      <c r="O13653" s="788">
        <v>41543</v>
      </c>
    </row>
    <row r="13654" spans="1:15" x14ac:dyDescent="0.25">
      <c r="A13654" s="786" t="s">
        <v>24575</v>
      </c>
      <c r="B13654" s="787">
        <v>4</v>
      </c>
      <c r="C13654" s="787" t="s">
        <v>24576</v>
      </c>
      <c r="D13654" s="787">
        <v>7.35</v>
      </c>
      <c r="E13654" s="787">
        <v>97.35</v>
      </c>
      <c r="F13654" s="788">
        <v>39331</v>
      </c>
      <c r="G13654" s="788">
        <v>39548</v>
      </c>
      <c r="H13654" s="787">
        <v>1</v>
      </c>
      <c r="I13654" s="788">
        <v>39343</v>
      </c>
      <c r="J13654" s="788">
        <v>39633</v>
      </c>
      <c r="L13654" s="787">
        <v>97.35</v>
      </c>
      <c r="M13654" s="787">
        <v>20</v>
      </c>
      <c r="N13654" s="787">
        <v>104.65</v>
      </c>
      <c r="O13654" s="788">
        <v>41858</v>
      </c>
    </row>
    <row r="13655" spans="1:15" x14ac:dyDescent="0.25">
      <c r="A13655" s="786" t="s">
        <v>24577</v>
      </c>
      <c r="B13655" s="787">
        <v>4</v>
      </c>
      <c r="C13655" s="787" t="s">
        <v>24578</v>
      </c>
      <c r="D13655" s="787">
        <v>4.4000000000000004</v>
      </c>
      <c r="E13655" s="787">
        <v>54.4</v>
      </c>
      <c r="F13655" s="788">
        <v>39161</v>
      </c>
      <c r="G13655" s="788">
        <v>39161</v>
      </c>
      <c r="H13655" s="787">
        <v>5</v>
      </c>
      <c r="I13655" s="788">
        <v>41249</v>
      </c>
      <c r="J13655" s="788">
        <v>40436</v>
      </c>
      <c r="K13655" s="788">
        <v>41261</v>
      </c>
      <c r="L13655" s="787">
        <v>54.4</v>
      </c>
      <c r="M13655" s="787">
        <v>20</v>
      </c>
      <c r="N13655" s="787">
        <v>58.48</v>
      </c>
      <c r="O13655" s="788">
        <v>41858</v>
      </c>
    </row>
    <row r="13656" spans="1:15" x14ac:dyDescent="0.25">
      <c r="A13656" s="786" t="s">
        <v>24579</v>
      </c>
      <c r="B13656" s="787">
        <v>4</v>
      </c>
      <c r="C13656" s="787" t="s">
        <v>24580</v>
      </c>
      <c r="D13656" s="787">
        <v>4.4000000000000004</v>
      </c>
      <c r="E13656" s="787">
        <v>54.4</v>
      </c>
      <c r="F13656" s="788">
        <v>39161</v>
      </c>
      <c r="G13656" s="788">
        <v>39161</v>
      </c>
      <c r="H13656" s="787">
        <v>1</v>
      </c>
      <c r="I13656" s="788">
        <v>41344</v>
      </c>
      <c r="J13656" s="788">
        <v>41372</v>
      </c>
      <c r="L13656" s="787">
        <v>54.4</v>
      </c>
      <c r="M13656" s="787">
        <v>20</v>
      </c>
      <c r="N13656" s="787">
        <v>58.48</v>
      </c>
      <c r="O13656" s="788">
        <v>41858</v>
      </c>
    </row>
    <row r="13657" spans="1:15" x14ac:dyDescent="0.25">
      <c r="A13657" s="786" t="s">
        <v>24581</v>
      </c>
      <c r="B13657" s="787">
        <v>4</v>
      </c>
      <c r="C13657" s="787" t="s">
        <v>24582</v>
      </c>
      <c r="D13657" s="787">
        <v>0.5</v>
      </c>
      <c r="E13657" s="787">
        <v>491.81</v>
      </c>
      <c r="F13657" s="788">
        <v>39147</v>
      </c>
      <c r="G13657" s="788">
        <v>40913</v>
      </c>
      <c r="H13657" s="787">
        <v>1</v>
      </c>
      <c r="I13657" s="788">
        <v>40995</v>
      </c>
      <c r="J13657" s="788">
        <v>40863</v>
      </c>
      <c r="L13657" s="787">
        <v>491.81</v>
      </c>
      <c r="M13657" s="787">
        <v>20</v>
      </c>
      <c r="N13657" s="787">
        <v>528.70000000000005</v>
      </c>
      <c r="O13657" s="788">
        <v>41858</v>
      </c>
    </row>
    <row r="13658" spans="1:15" x14ac:dyDescent="0.25">
      <c r="A13658" s="786" t="s">
        <v>24583</v>
      </c>
      <c r="B13658" s="787">
        <v>4</v>
      </c>
      <c r="C13658" s="787" t="s">
        <v>24584</v>
      </c>
      <c r="D13658" s="787">
        <v>1</v>
      </c>
      <c r="E13658" s="787">
        <v>1</v>
      </c>
      <c r="F13658" s="788">
        <v>39161</v>
      </c>
      <c r="G13658" s="788">
        <v>39134</v>
      </c>
      <c r="H13658" s="787">
        <v>1</v>
      </c>
      <c r="I13658" s="788">
        <v>42158</v>
      </c>
      <c r="J13658" s="788">
        <v>42158</v>
      </c>
      <c r="L13658" s="787">
        <v>1</v>
      </c>
      <c r="M13658" s="787">
        <v>20</v>
      </c>
      <c r="N13658" s="787">
        <v>1.08</v>
      </c>
      <c r="O13658" s="788">
        <v>41858</v>
      </c>
    </row>
    <row r="13659" spans="1:15" x14ac:dyDescent="0.25">
      <c r="A13659" s="786" t="s">
        <v>24585</v>
      </c>
      <c r="B13659" s="787">
        <v>4</v>
      </c>
      <c r="C13659" s="787" t="s">
        <v>24586</v>
      </c>
      <c r="D13659" s="787">
        <v>7</v>
      </c>
      <c r="E13659" s="787">
        <v>17</v>
      </c>
      <c r="F13659" s="788">
        <v>39161</v>
      </c>
      <c r="G13659" s="788">
        <v>39134</v>
      </c>
      <c r="H13659" s="787">
        <v>1</v>
      </c>
      <c r="I13659" s="788">
        <v>39134</v>
      </c>
      <c r="J13659" s="788">
        <v>39134</v>
      </c>
      <c r="L13659" s="787">
        <v>17</v>
      </c>
      <c r="M13659" s="787">
        <v>20</v>
      </c>
      <c r="N13659" s="787">
        <v>18.28</v>
      </c>
      <c r="O13659" s="788">
        <v>41858</v>
      </c>
    </row>
    <row r="13660" spans="1:15" x14ac:dyDescent="0.25">
      <c r="A13660" s="786" t="s">
        <v>24587</v>
      </c>
      <c r="B13660" s="787">
        <v>4</v>
      </c>
      <c r="C13660" s="787" t="s">
        <v>24588</v>
      </c>
      <c r="D13660" s="787">
        <v>3.5</v>
      </c>
      <c r="E13660" s="787">
        <v>13.5</v>
      </c>
      <c r="F13660" s="788">
        <v>39161</v>
      </c>
      <c r="G13660" s="788">
        <v>39134</v>
      </c>
      <c r="H13660" s="787">
        <v>1</v>
      </c>
      <c r="I13660" s="788">
        <v>39134</v>
      </c>
      <c r="J13660" s="788">
        <v>40738</v>
      </c>
      <c r="L13660" s="787">
        <v>13.5</v>
      </c>
      <c r="M13660" s="787">
        <v>20</v>
      </c>
      <c r="N13660" s="787">
        <v>14.51</v>
      </c>
      <c r="O13660" s="788">
        <v>41858</v>
      </c>
    </row>
    <row r="13661" spans="1:15" x14ac:dyDescent="0.25">
      <c r="A13661" s="786" t="s">
        <v>24589</v>
      </c>
      <c r="B13661" s="787">
        <v>4</v>
      </c>
      <c r="C13661" s="787" t="s">
        <v>24590</v>
      </c>
      <c r="D13661" s="787">
        <v>5.9</v>
      </c>
      <c r="E13661" s="787">
        <v>5.9</v>
      </c>
      <c r="F13661" s="788">
        <v>39645</v>
      </c>
      <c r="G13661" s="788">
        <v>39615</v>
      </c>
      <c r="H13661" s="787">
        <v>1</v>
      </c>
      <c r="I13661" s="788">
        <v>39645</v>
      </c>
      <c r="J13661" s="788">
        <v>39615</v>
      </c>
      <c r="L13661" s="787">
        <v>5.9</v>
      </c>
      <c r="M13661" s="787">
        <v>20</v>
      </c>
      <c r="N13661" s="787">
        <v>6.34</v>
      </c>
      <c r="O13661" s="788">
        <v>41858</v>
      </c>
    </row>
    <row r="13662" spans="1:15" x14ac:dyDescent="0.25">
      <c r="A13662" s="786" t="s">
        <v>24591</v>
      </c>
      <c r="B13662" s="787">
        <v>4</v>
      </c>
      <c r="C13662" s="787" t="s">
        <v>24592</v>
      </c>
      <c r="D13662" s="787">
        <v>6</v>
      </c>
      <c r="E13662" s="787">
        <v>266</v>
      </c>
      <c r="F13662" s="788">
        <v>39721</v>
      </c>
      <c r="G13662" s="788">
        <v>39715</v>
      </c>
      <c r="H13662" s="787">
        <v>1</v>
      </c>
      <c r="I13662" s="788">
        <v>41074</v>
      </c>
      <c r="J13662" s="788">
        <v>39995</v>
      </c>
      <c r="K13662" s="788">
        <v>41884</v>
      </c>
      <c r="L13662" s="787">
        <v>292</v>
      </c>
      <c r="M13662" s="787">
        <v>20</v>
      </c>
      <c r="N13662" s="787">
        <v>285.95</v>
      </c>
      <c r="O13662" s="788">
        <v>41858</v>
      </c>
    </row>
    <row r="13663" spans="1:15" x14ac:dyDescent="0.25">
      <c r="A13663" s="786" t="s">
        <v>24593</v>
      </c>
      <c r="B13663" s="787">
        <v>4</v>
      </c>
      <c r="C13663" s="787" t="s">
        <v>24594</v>
      </c>
      <c r="D13663" s="787">
        <v>3.15</v>
      </c>
      <c r="E13663" s="787">
        <v>33.15</v>
      </c>
      <c r="F13663" s="788">
        <v>41627</v>
      </c>
      <c r="G13663" s="788">
        <v>41644</v>
      </c>
      <c r="H13663" s="787">
        <v>6</v>
      </c>
      <c r="I13663" s="788">
        <v>41669</v>
      </c>
      <c r="J13663" s="788">
        <v>41669</v>
      </c>
      <c r="K13663" s="788">
        <v>41869</v>
      </c>
      <c r="L13663" s="787">
        <v>33.15</v>
      </c>
      <c r="M13663" s="787">
        <v>20</v>
      </c>
      <c r="N13663" s="787">
        <v>220.38</v>
      </c>
      <c r="O13663" s="788">
        <v>41858</v>
      </c>
    </row>
    <row r="13664" spans="1:15" x14ac:dyDescent="0.25">
      <c r="A13664" s="786" t="s">
        <v>24595</v>
      </c>
      <c r="B13664" s="787">
        <v>4</v>
      </c>
      <c r="C13664" s="787" t="s">
        <v>24596</v>
      </c>
      <c r="D13664" s="787">
        <v>1.66</v>
      </c>
      <c r="E13664" s="789">
        <v>1031.6600000000001</v>
      </c>
      <c r="F13664" s="788">
        <v>39233</v>
      </c>
      <c r="G13664" s="788">
        <v>39233</v>
      </c>
      <c r="H13664" s="787">
        <v>1</v>
      </c>
      <c r="I13664" s="788">
        <v>40063</v>
      </c>
      <c r="J13664" s="788">
        <v>39161</v>
      </c>
      <c r="L13664" s="789">
        <v>1031.6600000000001</v>
      </c>
      <c r="M13664" s="787">
        <v>20</v>
      </c>
      <c r="N13664" s="789">
        <v>1109.03</v>
      </c>
      <c r="O13664" s="788">
        <v>41858</v>
      </c>
    </row>
    <row r="13665" spans="1:15" x14ac:dyDescent="0.25">
      <c r="A13665" s="786" t="s">
        <v>24597</v>
      </c>
      <c r="B13665" s="787">
        <v>4</v>
      </c>
      <c r="C13665" s="787" t="s">
        <v>24598</v>
      </c>
      <c r="D13665" s="787">
        <v>1.5</v>
      </c>
      <c r="E13665" s="787">
        <v>621.5</v>
      </c>
      <c r="F13665" s="788">
        <v>39234</v>
      </c>
      <c r="G13665" s="788">
        <v>39234</v>
      </c>
      <c r="H13665" s="787">
        <v>6</v>
      </c>
      <c r="I13665" s="788">
        <v>39209</v>
      </c>
      <c r="J13665" s="788">
        <v>39209</v>
      </c>
      <c r="L13665" s="787">
        <v>621.5</v>
      </c>
      <c r="M13665" s="787">
        <v>20</v>
      </c>
      <c r="N13665" s="787">
        <v>668.11</v>
      </c>
      <c r="O13665" s="788">
        <v>41543</v>
      </c>
    </row>
    <row r="13666" spans="1:15" x14ac:dyDescent="0.25">
      <c r="A13666" s="786" t="s">
        <v>24599</v>
      </c>
      <c r="B13666" s="787">
        <v>4</v>
      </c>
      <c r="C13666" s="787" t="s">
        <v>24600</v>
      </c>
      <c r="D13666" s="787">
        <v>4</v>
      </c>
      <c r="E13666" s="787">
        <v>84</v>
      </c>
      <c r="F13666" s="788">
        <v>39234</v>
      </c>
      <c r="G13666" s="788">
        <v>39400</v>
      </c>
      <c r="H13666" s="787">
        <v>1</v>
      </c>
      <c r="I13666" s="788">
        <v>41894</v>
      </c>
      <c r="J13666" s="788">
        <v>40364</v>
      </c>
      <c r="L13666" s="787">
        <v>84</v>
      </c>
      <c r="M13666" s="787">
        <v>20</v>
      </c>
      <c r="N13666" s="787">
        <v>90.3</v>
      </c>
      <c r="O13666" s="788">
        <v>41858</v>
      </c>
    </row>
    <row r="13667" spans="1:15" x14ac:dyDescent="0.25">
      <c r="A13667" s="786" t="s">
        <v>24601</v>
      </c>
      <c r="B13667" s="787">
        <v>4</v>
      </c>
      <c r="C13667" s="787" t="s">
        <v>24602</v>
      </c>
      <c r="D13667" s="787">
        <v>9.0500000000000007</v>
      </c>
      <c r="E13667" s="787">
        <v>432.15</v>
      </c>
      <c r="F13667" s="788">
        <v>39973</v>
      </c>
      <c r="G13667" s="788">
        <v>40764</v>
      </c>
      <c r="H13667" s="787">
        <v>1</v>
      </c>
      <c r="I13667" s="788">
        <v>40422</v>
      </c>
      <c r="J13667" s="788">
        <v>40765</v>
      </c>
      <c r="K13667" s="788">
        <v>41239</v>
      </c>
      <c r="L13667" s="787">
        <v>432.15</v>
      </c>
      <c r="M13667" s="787">
        <v>20</v>
      </c>
      <c r="N13667" s="787">
        <v>464.56</v>
      </c>
      <c r="O13667" s="788">
        <v>41858</v>
      </c>
    </row>
    <row r="13668" spans="1:15" x14ac:dyDescent="0.25">
      <c r="A13668" s="786" t="s">
        <v>24603</v>
      </c>
      <c r="B13668" s="787">
        <v>4</v>
      </c>
      <c r="C13668" s="787" t="s">
        <v>24604</v>
      </c>
      <c r="D13668" s="787">
        <v>0.9</v>
      </c>
      <c r="E13668" s="787">
        <v>240.9</v>
      </c>
      <c r="F13668" s="788">
        <v>39315</v>
      </c>
      <c r="G13668" s="788">
        <v>39315</v>
      </c>
      <c r="H13668" s="787">
        <v>1</v>
      </c>
      <c r="I13668" s="788">
        <v>39233</v>
      </c>
      <c r="J13668" s="788">
        <v>39435</v>
      </c>
      <c r="K13668" s="788">
        <v>41884</v>
      </c>
      <c r="L13668" s="787">
        <v>271.89999999999998</v>
      </c>
      <c r="M13668" s="787">
        <v>20</v>
      </c>
      <c r="N13668" s="787">
        <v>292.29000000000002</v>
      </c>
      <c r="O13668" s="788">
        <v>41884</v>
      </c>
    </row>
    <row r="13669" spans="1:15" x14ac:dyDescent="0.25">
      <c r="A13669" s="786" t="s">
        <v>24605</v>
      </c>
      <c r="B13669" s="787">
        <v>4</v>
      </c>
      <c r="C13669" s="787" t="s">
        <v>24606</v>
      </c>
      <c r="D13669" s="787">
        <v>8.1</v>
      </c>
      <c r="E13669" s="787">
        <v>155.30000000000001</v>
      </c>
      <c r="F13669" s="788">
        <v>39315</v>
      </c>
      <c r="G13669" s="788">
        <v>40325</v>
      </c>
      <c r="H13669" s="787">
        <v>6</v>
      </c>
      <c r="I13669" s="788">
        <v>40399</v>
      </c>
      <c r="J13669" s="788">
        <v>40289</v>
      </c>
      <c r="L13669" s="787">
        <v>155.30000000000001</v>
      </c>
      <c r="M13669" s="787">
        <v>20</v>
      </c>
      <c r="N13669" s="787">
        <v>166.95</v>
      </c>
      <c r="O13669" s="788">
        <v>41543</v>
      </c>
    </row>
    <row r="13670" spans="1:15" x14ac:dyDescent="0.25">
      <c r="A13670" s="786" t="s">
        <v>24607</v>
      </c>
      <c r="B13670" s="787">
        <v>4</v>
      </c>
      <c r="C13670" s="787" t="s">
        <v>24608</v>
      </c>
      <c r="D13670" s="787">
        <v>7</v>
      </c>
      <c r="E13670" s="787">
        <v>327</v>
      </c>
      <c r="F13670" s="788">
        <v>39324</v>
      </c>
      <c r="G13670" s="788">
        <v>39324</v>
      </c>
      <c r="H13670" s="787">
        <v>6</v>
      </c>
      <c r="I13670" s="788">
        <v>39314</v>
      </c>
      <c r="J13670" s="788">
        <v>39314</v>
      </c>
      <c r="L13670" s="787">
        <v>327</v>
      </c>
      <c r="M13670" s="787">
        <v>20</v>
      </c>
      <c r="N13670" s="787">
        <v>351.53</v>
      </c>
      <c r="O13670" s="788">
        <v>41543</v>
      </c>
    </row>
    <row r="13671" spans="1:15" x14ac:dyDescent="0.25">
      <c r="A13671" s="786" t="s">
        <v>24609</v>
      </c>
      <c r="B13671" s="787">
        <v>4</v>
      </c>
      <c r="C13671" s="787" t="s">
        <v>24610</v>
      </c>
      <c r="D13671" s="787">
        <v>0</v>
      </c>
      <c r="E13671" s="787">
        <v>33.94</v>
      </c>
      <c r="F13671" s="788">
        <v>39325</v>
      </c>
      <c r="G13671" s="788">
        <v>40914</v>
      </c>
      <c r="H13671" s="787">
        <v>6</v>
      </c>
      <c r="I13671" s="788">
        <v>40413</v>
      </c>
      <c r="J13671" s="788">
        <v>39744</v>
      </c>
      <c r="L13671" s="787">
        <v>33.94</v>
      </c>
      <c r="M13671" s="787">
        <v>20</v>
      </c>
      <c r="N13671" s="787">
        <v>36.49</v>
      </c>
      <c r="O13671" s="788">
        <v>41543</v>
      </c>
    </row>
    <row r="13672" spans="1:15" x14ac:dyDescent="0.25">
      <c r="A13672" s="786" t="s">
        <v>24611</v>
      </c>
      <c r="B13672" s="787">
        <v>4</v>
      </c>
      <c r="C13672" s="787" t="s">
        <v>24612</v>
      </c>
      <c r="D13672" s="787">
        <v>6</v>
      </c>
      <c r="E13672" s="789">
        <v>1276</v>
      </c>
      <c r="F13672" s="788">
        <v>39343</v>
      </c>
      <c r="G13672" s="788">
        <v>39343</v>
      </c>
      <c r="H13672" s="787">
        <v>6</v>
      </c>
      <c r="I13672" s="788">
        <v>39314</v>
      </c>
      <c r="J13672" s="788">
        <v>39314</v>
      </c>
      <c r="L13672" s="789">
        <v>1276</v>
      </c>
      <c r="M13672" s="787">
        <v>20</v>
      </c>
      <c r="N13672" s="789">
        <v>1371.7</v>
      </c>
      <c r="O13672" s="788">
        <v>41543</v>
      </c>
    </row>
    <row r="13673" spans="1:15" x14ac:dyDescent="0.25">
      <c r="A13673" s="786" t="s">
        <v>24613</v>
      </c>
      <c r="B13673" s="787">
        <v>4</v>
      </c>
      <c r="C13673" s="787" t="s">
        <v>24614</v>
      </c>
      <c r="D13673" s="787">
        <v>5.75</v>
      </c>
      <c r="E13673" s="787">
        <v>261.75</v>
      </c>
      <c r="F13673" s="788">
        <v>39630</v>
      </c>
      <c r="G13673" s="788">
        <v>41983</v>
      </c>
      <c r="H13673" s="787">
        <v>6</v>
      </c>
      <c r="I13673" s="788">
        <v>41983</v>
      </c>
      <c r="J13673" s="788">
        <v>41983</v>
      </c>
      <c r="K13673" s="788">
        <v>41817</v>
      </c>
      <c r="L13673" s="787">
        <v>261.75</v>
      </c>
      <c r="M13673" s="787">
        <v>20</v>
      </c>
      <c r="N13673" s="787">
        <v>281.38</v>
      </c>
      <c r="O13673" s="788">
        <v>41858</v>
      </c>
    </row>
    <row r="13674" spans="1:15" x14ac:dyDescent="0.25">
      <c r="A13674" s="786" t="s">
        <v>24615</v>
      </c>
      <c r="B13674" s="787">
        <v>4</v>
      </c>
      <c r="C13674" s="787" t="s">
        <v>24616</v>
      </c>
      <c r="D13674" s="787">
        <v>0.5</v>
      </c>
      <c r="E13674" s="787">
        <v>730.5</v>
      </c>
      <c r="F13674" s="788">
        <v>39322</v>
      </c>
      <c r="G13674" s="788">
        <v>39322</v>
      </c>
      <c r="H13674" s="787">
        <v>6</v>
      </c>
      <c r="I13674" s="788">
        <v>40161</v>
      </c>
      <c r="J13674" s="788">
        <v>39336</v>
      </c>
      <c r="L13674" s="787">
        <v>730.5</v>
      </c>
      <c r="M13674" s="787">
        <v>20</v>
      </c>
      <c r="N13674" s="787">
        <v>785.29</v>
      </c>
      <c r="O13674" s="788">
        <v>41543</v>
      </c>
    </row>
    <row r="13675" spans="1:15" x14ac:dyDescent="0.25">
      <c r="A13675" s="786" t="s">
        <v>24617</v>
      </c>
      <c r="B13675" s="787">
        <v>4</v>
      </c>
      <c r="C13675" s="787" t="s">
        <v>24618</v>
      </c>
      <c r="D13675" s="787">
        <v>2</v>
      </c>
      <c r="E13675" s="787">
        <v>132</v>
      </c>
      <c r="F13675" s="788">
        <v>39329</v>
      </c>
      <c r="G13675" s="788">
        <v>39330</v>
      </c>
      <c r="H13675" s="787">
        <v>1</v>
      </c>
      <c r="I13675" s="788">
        <v>39337</v>
      </c>
      <c r="J13675" s="788">
        <v>39640</v>
      </c>
      <c r="L13675" s="787">
        <v>132</v>
      </c>
      <c r="M13675" s="787">
        <v>20</v>
      </c>
      <c r="N13675" s="787">
        <v>141.9</v>
      </c>
      <c r="O13675" s="788">
        <v>41858</v>
      </c>
    </row>
    <row r="13676" spans="1:15" x14ac:dyDescent="0.25">
      <c r="A13676" s="786" t="s">
        <v>24619</v>
      </c>
      <c r="B13676" s="787">
        <v>4</v>
      </c>
      <c r="C13676" s="787" t="s">
        <v>24620</v>
      </c>
      <c r="D13676" s="787">
        <v>5.95</v>
      </c>
      <c r="E13676" s="787">
        <v>144.55000000000001</v>
      </c>
      <c r="F13676" s="788">
        <v>39405</v>
      </c>
      <c r="G13676" s="788">
        <v>40338</v>
      </c>
      <c r="H13676" s="787">
        <v>5</v>
      </c>
      <c r="I13676" s="788">
        <v>40952</v>
      </c>
      <c r="J13676" s="788">
        <v>40303</v>
      </c>
      <c r="K13676" s="788">
        <v>41261</v>
      </c>
      <c r="L13676" s="787">
        <v>144.55000000000001</v>
      </c>
      <c r="M13676" s="787">
        <v>20</v>
      </c>
      <c r="N13676" s="787">
        <v>155.38999999999999</v>
      </c>
      <c r="O13676" s="788">
        <v>41858</v>
      </c>
    </row>
    <row r="13677" spans="1:15" x14ac:dyDescent="0.25">
      <c r="A13677" s="786" t="s">
        <v>24621</v>
      </c>
      <c r="B13677" s="787">
        <v>4</v>
      </c>
      <c r="C13677" s="787" t="s">
        <v>24622</v>
      </c>
      <c r="D13677" s="787">
        <v>9.4499999999999993</v>
      </c>
      <c r="E13677" s="787">
        <v>59.45</v>
      </c>
      <c r="F13677" s="788">
        <v>39990</v>
      </c>
      <c r="G13677" s="788">
        <v>39990</v>
      </c>
      <c r="H13677" s="787">
        <v>1</v>
      </c>
      <c r="I13677" s="788">
        <v>41383</v>
      </c>
      <c r="J13677" s="788">
        <v>41381</v>
      </c>
      <c r="L13677" s="787">
        <v>59.45</v>
      </c>
      <c r="M13677" s="787">
        <v>20</v>
      </c>
      <c r="N13677" s="787">
        <v>63.91</v>
      </c>
      <c r="O13677" s="788">
        <v>41858</v>
      </c>
    </row>
    <row r="13678" spans="1:15" x14ac:dyDescent="0.25">
      <c r="A13678" s="786" t="s">
        <v>24623</v>
      </c>
      <c r="B13678" s="787">
        <v>4</v>
      </c>
      <c r="C13678" s="787" t="s">
        <v>24624</v>
      </c>
      <c r="D13678" s="787">
        <v>9.1</v>
      </c>
      <c r="E13678" s="787">
        <v>249.1</v>
      </c>
      <c r="F13678" s="788">
        <v>39482</v>
      </c>
      <c r="G13678" s="788">
        <v>39492</v>
      </c>
      <c r="H13678" s="787">
        <v>1</v>
      </c>
      <c r="I13678" s="788">
        <v>40302</v>
      </c>
      <c r="J13678" s="788">
        <v>40865</v>
      </c>
      <c r="L13678" s="787">
        <v>249.1</v>
      </c>
      <c r="M13678" s="787">
        <v>20</v>
      </c>
      <c r="N13678" s="787">
        <v>267.77999999999997</v>
      </c>
      <c r="O13678" s="788">
        <v>41858</v>
      </c>
    </row>
    <row r="13679" spans="1:15" x14ac:dyDescent="0.25">
      <c r="A13679" s="786" t="s">
        <v>24625</v>
      </c>
      <c r="B13679" s="787">
        <v>4</v>
      </c>
      <c r="C13679" s="787" t="s">
        <v>24626</v>
      </c>
      <c r="D13679" s="787">
        <v>6.4</v>
      </c>
      <c r="E13679" s="787">
        <v>56.4</v>
      </c>
      <c r="F13679" s="788">
        <v>39854</v>
      </c>
      <c r="G13679" s="788">
        <v>39855</v>
      </c>
      <c r="H13679" s="787">
        <v>1</v>
      </c>
      <c r="I13679" s="788">
        <v>41866</v>
      </c>
      <c r="J13679" s="788">
        <v>41866</v>
      </c>
      <c r="L13679" s="787">
        <v>56.4</v>
      </c>
      <c r="M13679" s="787">
        <v>20</v>
      </c>
      <c r="N13679" s="787">
        <v>60.63</v>
      </c>
      <c r="O13679" s="788">
        <v>41858</v>
      </c>
    </row>
    <row r="13680" spans="1:15" x14ac:dyDescent="0.25">
      <c r="A13680" s="786" t="s">
        <v>24627</v>
      </c>
      <c r="B13680" s="787">
        <v>4</v>
      </c>
      <c r="C13680" s="787" t="s">
        <v>24628</v>
      </c>
      <c r="D13680" s="787">
        <v>8.6</v>
      </c>
      <c r="E13680" s="787">
        <v>299</v>
      </c>
      <c r="F13680" s="788">
        <v>40365</v>
      </c>
      <c r="G13680" s="788">
        <v>41718</v>
      </c>
      <c r="H13680" s="787">
        <v>6</v>
      </c>
      <c r="I13680" s="788">
        <v>41789</v>
      </c>
      <c r="J13680" s="788">
        <v>41718</v>
      </c>
      <c r="K13680" s="788">
        <v>40910</v>
      </c>
      <c r="L13680" s="787">
        <v>285</v>
      </c>
      <c r="M13680" s="787">
        <v>20</v>
      </c>
      <c r="N13680" s="787">
        <v>306.38</v>
      </c>
      <c r="O13680" s="788">
        <v>41858</v>
      </c>
    </row>
    <row r="13681" spans="1:15" x14ac:dyDescent="0.25">
      <c r="A13681" s="786" t="s">
        <v>24629</v>
      </c>
      <c r="B13681" s="787">
        <v>4</v>
      </c>
      <c r="C13681" s="787" t="s">
        <v>24630</v>
      </c>
      <c r="D13681" s="787">
        <v>7.35</v>
      </c>
      <c r="E13681" s="787">
        <v>236.75</v>
      </c>
      <c r="F13681" s="788">
        <v>40911</v>
      </c>
      <c r="G13681" s="788">
        <v>41255</v>
      </c>
      <c r="H13681" s="787">
        <v>1</v>
      </c>
      <c r="I13681" s="788">
        <v>41857</v>
      </c>
      <c r="J13681" s="788">
        <v>41540</v>
      </c>
      <c r="K13681" s="788">
        <v>41884</v>
      </c>
      <c r="L13681" s="787">
        <v>261.75</v>
      </c>
      <c r="M13681" s="787">
        <v>20</v>
      </c>
      <c r="N13681" s="787">
        <v>254.51</v>
      </c>
      <c r="O13681" s="788">
        <v>41858</v>
      </c>
    </row>
    <row r="13682" spans="1:15" x14ac:dyDescent="0.25">
      <c r="A13682" s="786" t="s">
        <v>24631</v>
      </c>
      <c r="B13682" s="787">
        <v>4</v>
      </c>
      <c r="C13682" s="787" t="s">
        <v>24632</v>
      </c>
      <c r="D13682" s="787">
        <v>2.35</v>
      </c>
      <c r="E13682" s="787">
        <v>472.35</v>
      </c>
      <c r="F13682" s="788">
        <v>39483</v>
      </c>
      <c r="G13682" s="788">
        <v>39483</v>
      </c>
      <c r="H13682" s="787">
        <v>6</v>
      </c>
      <c r="I13682" s="788">
        <v>39484</v>
      </c>
      <c r="J13682" s="788">
        <v>39484</v>
      </c>
      <c r="L13682" s="787">
        <v>472.35</v>
      </c>
      <c r="M13682" s="787">
        <v>20</v>
      </c>
      <c r="N13682" s="787">
        <v>507.78</v>
      </c>
      <c r="O13682" s="788">
        <v>41543</v>
      </c>
    </row>
    <row r="13683" spans="1:15" x14ac:dyDescent="0.25">
      <c r="A13683" s="786" t="s">
        <v>24633</v>
      </c>
      <c r="B13683" s="787">
        <v>4</v>
      </c>
      <c r="C13683" s="787" t="s">
        <v>24634</v>
      </c>
      <c r="D13683" s="787">
        <v>5</v>
      </c>
      <c r="E13683" s="787">
        <v>35</v>
      </c>
      <c r="F13683" s="788">
        <v>39482</v>
      </c>
      <c r="G13683" s="788">
        <v>39891</v>
      </c>
      <c r="H13683" s="787">
        <v>6</v>
      </c>
      <c r="I13683" s="788">
        <v>40386</v>
      </c>
      <c r="J13683" s="788">
        <v>39891</v>
      </c>
      <c r="L13683" s="787">
        <v>35</v>
      </c>
      <c r="M13683" s="787">
        <v>20</v>
      </c>
      <c r="N13683" s="787">
        <v>37.630000000000003</v>
      </c>
      <c r="O13683" s="788">
        <v>41543</v>
      </c>
    </row>
    <row r="13684" spans="1:15" x14ac:dyDescent="0.25">
      <c r="A13684" s="786" t="s">
        <v>24635</v>
      </c>
      <c r="B13684" s="787">
        <v>4</v>
      </c>
      <c r="C13684" s="787" t="s">
        <v>24636</v>
      </c>
      <c r="D13684" s="787">
        <v>0</v>
      </c>
      <c r="E13684" s="787">
        <v>0</v>
      </c>
      <c r="H13684" s="787">
        <v>1</v>
      </c>
      <c r="I13684" s="788">
        <v>39801</v>
      </c>
      <c r="L13684" s="787">
        <v>0</v>
      </c>
      <c r="M13684" s="787">
        <v>20</v>
      </c>
      <c r="N13684" s="787">
        <v>0</v>
      </c>
      <c r="O13684" s="788">
        <v>40824</v>
      </c>
    </row>
    <row r="13685" spans="1:15" x14ac:dyDescent="0.25">
      <c r="A13685" s="786" t="s">
        <v>24637</v>
      </c>
      <c r="B13685" s="787">
        <v>4</v>
      </c>
      <c r="C13685" s="787" t="s">
        <v>24638</v>
      </c>
      <c r="D13685" s="787">
        <v>5.65</v>
      </c>
      <c r="E13685" s="787">
        <v>256.58999999999997</v>
      </c>
      <c r="F13685" s="788">
        <v>39646</v>
      </c>
      <c r="G13685" s="788">
        <v>39646</v>
      </c>
      <c r="H13685" s="787">
        <v>1</v>
      </c>
      <c r="I13685" s="788">
        <v>39491</v>
      </c>
      <c r="J13685" s="788">
        <v>39601</v>
      </c>
      <c r="L13685" s="787">
        <v>256.58999999999997</v>
      </c>
      <c r="M13685" s="787">
        <v>20</v>
      </c>
      <c r="N13685" s="787">
        <v>275.83</v>
      </c>
      <c r="O13685" s="788">
        <v>41858</v>
      </c>
    </row>
    <row r="13686" spans="1:15" x14ac:dyDescent="0.25">
      <c r="A13686" s="786" t="s">
        <v>24639</v>
      </c>
      <c r="B13686" s="787">
        <v>4</v>
      </c>
      <c r="C13686" s="787" t="s">
        <v>24640</v>
      </c>
      <c r="D13686" s="787">
        <v>6.7</v>
      </c>
      <c r="E13686" s="787">
        <v>162.44999999999999</v>
      </c>
      <c r="F13686" s="788">
        <v>41098</v>
      </c>
      <c r="G13686" s="788">
        <v>42009</v>
      </c>
      <c r="H13686" s="787">
        <v>1</v>
      </c>
      <c r="I13686" s="788">
        <v>41996</v>
      </c>
      <c r="J13686" s="788">
        <v>41990</v>
      </c>
      <c r="K13686" s="788">
        <v>41884</v>
      </c>
      <c r="L13686" s="787">
        <v>162.44999999999999</v>
      </c>
      <c r="M13686" s="787">
        <v>20</v>
      </c>
      <c r="N13686" s="787">
        <v>147.76</v>
      </c>
      <c r="O13686" s="788">
        <v>41858</v>
      </c>
    </row>
    <row r="13687" spans="1:15" x14ac:dyDescent="0.25">
      <c r="A13687" s="786" t="s">
        <v>24641</v>
      </c>
      <c r="B13687" s="787">
        <v>4</v>
      </c>
      <c r="C13687" s="787" t="s">
        <v>24642</v>
      </c>
      <c r="D13687" s="787">
        <v>7.45</v>
      </c>
      <c r="E13687" s="787">
        <v>182.45</v>
      </c>
      <c r="F13687" s="788">
        <v>40891</v>
      </c>
      <c r="G13687" s="788">
        <v>42050</v>
      </c>
      <c r="H13687" s="787">
        <v>1</v>
      </c>
      <c r="I13687" s="788">
        <v>42139</v>
      </c>
      <c r="J13687" s="788">
        <v>42032</v>
      </c>
      <c r="K13687" s="788">
        <v>41590</v>
      </c>
      <c r="L13687" s="787">
        <v>182.45</v>
      </c>
      <c r="M13687" s="787">
        <v>20</v>
      </c>
      <c r="N13687" s="787">
        <v>196.13</v>
      </c>
      <c r="O13687" s="788">
        <v>42110</v>
      </c>
    </row>
    <row r="13688" spans="1:15" x14ac:dyDescent="0.25">
      <c r="A13688" s="786" t="s">
        <v>24643</v>
      </c>
      <c r="B13688" s="787">
        <v>4</v>
      </c>
      <c r="C13688" s="787" t="s">
        <v>24644</v>
      </c>
      <c r="D13688" s="787">
        <v>5.75</v>
      </c>
      <c r="E13688" s="787">
        <v>256.75</v>
      </c>
      <c r="F13688" s="788">
        <v>39952</v>
      </c>
      <c r="G13688" s="788">
        <v>40921</v>
      </c>
      <c r="H13688" s="787">
        <v>1</v>
      </c>
      <c r="I13688" s="788">
        <v>41156</v>
      </c>
      <c r="J13688" s="788">
        <v>41622</v>
      </c>
      <c r="K13688" s="788">
        <v>41884</v>
      </c>
      <c r="L13688" s="787">
        <v>281.75</v>
      </c>
      <c r="M13688" s="787">
        <v>20</v>
      </c>
      <c r="N13688" s="787">
        <v>274.93</v>
      </c>
      <c r="O13688" s="788">
        <v>41858</v>
      </c>
    </row>
    <row r="13689" spans="1:15" x14ac:dyDescent="0.25">
      <c r="A13689" s="786" t="s">
        <v>24645</v>
      </c>
      <c r="B13689" s="787">
        <v>4</v>
      </c>
      <c r="C13689" s="787" t="s">
        <v>24646</v>
      </c>
      <c r="D13689" s="787">
        <v>1.7</v>
      </c>
      <c r="E13689" s="787">
        <v>152.69999999999999</v>
      </c>
      <c r="F13689" s="788">
        <v>39847</v>
      </c>
      <c r="G13689" s="788">
        <v>40324</v>
      </c>
      <c r="H13689" s="787">
        <v>1</v>
      </c>
      <c r="I13689" s="788">
        <v>40323</v>
      </c>
      <c r="J13689" s="788">
        <v>40842</v>
      </c>
      <c r="K13689" s="788">
        <v>41884</v>
      </c>
      <c r="L13689" s="787">
        <v>177.7</v>
      </c>
      <c r="M13689" s="787">
        <v>20</v>
      </c>
      <c r="N13689" s="787">
        <v>191.03</v>
      </c>
      <c r="O13689" s="788">
        <v>42110</v>
      </c>
    </row>
    <row r="13690" spans="1:15" x14ac:dyDescent="0.25">
      <c r="A13690" s="786" t="s">
        <v>24647</v>
      </c>
      <c r="B13690" s="787">
        <v>4</v>
      </c>
      <c r="C13690" s="787" t="s">
        <v>24648</v>
      </c>
      <c r="D13690" s="787">
        <v>2</v>
      </c>
      <c r="E13690" s="787">
        <v>62</v>
      </c>
      <c r="F13690" s="788">
        <v>39589</v>
      </c>
      <c r="G13690" s="788">
        <v>39589</v>
      </c>
      <c r="H13690" s="787">
        <v>1</v>
      </c>
      <c r="I13690" s="788">
        <v>42145</v>
      </c>
      <c r="J13690" s="788">
        <v>42146</v>
      </c>
      <c r="K13690" s="788">
        <v>41239</v>
      </c>
      <c r="L13690" s="787">
        <v>62</v>
      </c>
      <c r="M13690" s="787">
        <v>20</v>
      </c>
      <c r="N13690" s="787">
        <v>66.650000000000006</v>
      </c>
      <c r="O13690" s="788">
        <v>42156</v>
      </c>
    </row>
    <row r="13691" spans="1:15" x14ac:dyDescent="0.25">
      <c r="A13691" s="786" t="s">
        <v>24649</v>
      </c>
      <c r="B13691" s="787">
        <v>4</v>
      </c>
      <c r="C13691" s="787" t="s">
        <v>24650</v>
      </c>
      <c r="D13691" s="787">
        <v>5.75</v>
      </c>
      <c r="E13691" s="787">
        <v>256.75</v>
      </c>
      <c r="F13691" s="788">
        <v>39896</v>
      </c>
      <c r="G13691" s="788">
        <v>41646</v>
      </c>
      <c r="H13691" s="787">
        <v>1</v>
      </c>
      <c r="I13691" s="788">
        <v>41622</v>
      </c>
      <c r="J13691" s="788">
        <v>40891</v>
      </c>
      <c r="K13691" s="788">
        <v>41884</v>
      </c>
      <c r="L13691" s="787">
        <v>281.75</v>
      </c>
      <c r="M13691" s="787">
        <v>20</v>
      </c>
      <c r="N13691" s="787">
        <v>276.01</v>
      </c>
      <c r="O13691" s="788">
        <v>41858</v>
      </c>
    </row>
    <row r="13692" spans="1:15" x14ac:dyDescent="0.25">
      <c r="A13692" s="786" t="s">
        <v>24651</v>
      </c>
      <c r="B13692" s="787">
        <v>4</v>
      </c>
      <c r="C13692" s="787" t="s">
        <v>24652</v>
      </c>
      <c r="D13692" s="787">
        <v>0</v>
      </c>
      <c r="E13692" s="787">
        <v>0</v>
      </c>
      <c r="F13692" s="788">
        <v>39800</v>
      </c>
      <c r="H13692" s="787">
        <v>1</v>
      </c>
      <c r="I13692" s="788">
        <v>40386</v>
      </c>
      <c r="K13692" s="788">
        <v>41239</v>
      </c>
      <c r="L13692" s="787">
        <v>1</v>
      </c>
      <c r="M13692" s="787">
        <v>20</v>
      </c>
      <c r="N13692" s="787">
        <v>1.08</v>
      </c>
      <c r="O13692" s="788">
        <v>41858</v>
      </c>
    </row>
    <row r="13693" spans="1:15" x14ac:dyDescent="0.25">
      <c r="A13693" s="786" t="s">
        <v>24653</v>
      </c>
      <c r="B13693" s="787">
        <v>4</v>
      </c>
      <c r="C13693" s="787" t="s">
        <v>24654</v>
      </c>
      <c r="D13693" s="787">
        <v>5.65</v>
      </c>
      <c r="E13693" s="787">
        <v>455.65</v>
      </c>
      <c r="F13693" s="788">
        <v>39560</v>
      </c>
      <c r="G13693" s="788">
        <v>39560</v>
      </c>
      <c r="H13693" s="787">
        <v>6</v>
      </c>
      <c r="I13693" s="788">
        <v>40316</v>
      </c>
      <c r="J13693" s="788">
        <v>40343</v>
      </c>
      <c r="L13693" s="787">
        <v>455.65</v>
      </c>
      <c r="M13693" s="787">
        <v>20</v>
      </c>
      <c r="N13693" s="787">
        <v>489.82</v>
      </c>
      <c r="O13693" s="788">
        <v>41543</v>
      </c>
    </row>
    <row r="13694" spans="1:15" x14ac:dyDescent="0.25">
      <c r="A13694" s="786" t="s">
        <v>24655</v>
      </c>
      <c r="B13694" s="787">
        <v>4</v>
      </c>
      <c r="C13694" s="787" t="s">
        <v>24656</v>
      </c>
      <c r="D13694" s="787">
        <v>9.1999999999999993</v>
      </c>
      <c r="E13694" s="787">
        <v>69.2</v>
      </c>
      <c r="F13694" s="788">
        <v>39560</v>
      </c>
      <c r="G13694" s="788">
        <v>39560</v>
      </c>
      <c r="H13694" s="787">
        <v>1</v>
      </c>
      <c r="I13694" s="788">
        <v>39542</v>
      </c>
      <c r="J13694" s="788">
        <v>39542</v>
      </c>
      <c r="L13694" s="787">
        <v>69.2</v>
      </c>
      <c r="M13694" s="787">
        <v>20</v>
      </c>
      <c r="N13694" s="787">
        <v>74.39</v>
      </c>
      <c r="O13694" s="788">
        <v>41858</v>
      </c>
    </row>
    <row r="13695" spans="1:15" x14ac:dyDescent="0.25">
      <c r="A13695" s="786" t="s">
        <v>24657</v>
      </c>
      <c r="B13695" s="787">
        <v>4</v>
      </c>
      <c r="C13695" s="787" t="s">
        <v>24658</v>
      </c>
      <c r="D13695" s="787">
        <v>5</v>
      </c>
      <c r="E13695" s="787">
        <v>35</v>
      </c>
      <c r="F13695" s="788">
        <v>39994</v>
      </c>
      <c r="G13695" s="788">
        <v>39988</v>
      </c>
      <c r="H13695" s="787">
        <v>1</v>
      </c>
      <c r="I13695" s="788">
        <v>42061</v>
      </c>
      <c r="J13695" s="788">
        <v>42061</v>
      </c>
      <c r="K13695" s="788">
        <v>41239</v>
      </c>
      <c r="L13695" s="787">
        <v>35</v>
      </c>
      <c r="M13695" s="787">
        <v>20</v>
      </c>
      <c r="N13695" s="787">
        <v>37.630000000000003</v>
      </c>
      <c r="O13695" s="788">
        <v>42156</v>
      </c>
    </row>
    <row r="13696" spans="1:15" x14ac:dyDescent="0.25">
      <c r="A13696" s="786" t="s">
        <v>24659</v>
      </c>
      <c r="B13696" s="787">
        <v>4</v>
      </c>
      <c r="C13696" s="787" t="s">
        <v>24660</v>
      </c>
      <c r="D13696" s="787">
        <v>0</v>
      </c>
      <c r="E13696" s="787">
        <v>0</v>
      </c>
      <c r="F13696" s="788">
        <v>39800</v>
      </c>
      <c r="H13696" s="787">
        <v>6</v>
      </c>
      <c r="I13696" s="788">
        <v>40246</v>
      </c>
      <c r="L13696" s="787">
        <v>0</v>
      </c>
      <c r="M13696" s="787">
        <v>20</v>
      </c>
      <c r="N13696" s="787">
        <v>0</v>
      </c>
      <c r="O13696" s="788">
        <v>40824</v>
      </c>
    </row>
    <row r="13697" spans="1:15" x14ac:dyDescent="0.25">
      <c r="A13697" s="786" t="s">
        <v>24661</v>
      </c>
      <c r="B13697" s="787">
        <v>4</v>
      </c>
      <c r="C13697" s="787" t="s">
        <v>24662</v>
      </c>
      <c r="D13697" s="787">
        <v>4</v>
      </c>
      <c r="E13697" s="787">
        <v>34</v>
      </c>
      <c r="F13697" s="788">
        <v>39833</v>
      </c>
      <c r="G13697" s="788">
        <v>39833</v>
      </c>
      <c r="H13697" s="787">
        <v>1</v>
      </c>
      <c r="I13697" s="788">
        <v>41984</v>
      </c>
      <c r="J13697" s="788">
        <v>40345</v>
      </c>
      <c r="K13697" s="788">
        <v>41239</v>
      </c>
      <c r="L13697" s="787">
        <v>34</v>
      </c>
      <c r="M13697" s="787">
        <v>20</v>
      </c>
      <c r="N13697" s="787">
        <v>36.549999999999997</v>
      </c>
      <c r="O13697" s="788">
        <v>42162</v>
      </c>
    </row>
    <row r="13698" spans="1:15" x14ac:dyDescent="0.25">
      <c r="A13698" s="786" t="s">
        <v>24663</v>
      </c>
      <c r="B13698" s="787">
        <v>4</v>
      </c>
      <c r="C13698" s="787" t="s">
        <v>24664</v>
      </c>
      <c r="D13698" s="787">
        <v>4</v>
      </c>
      <c r="E13698" s="787">
        <v>54</v>
      </c>
      <c r="F13698" s="788">
        <v>39833</v>
      </c>
      <c r="G13698" s="788">
        <v>39833</v>
      </c>
      <c r="H13698" s="787">
        <v>1</v>
      </c>
      <c r="I13698" s="788">
        <v>41894</v>
      </c>
      <c r="J13698" s="788">
        <v>40233</v>
      </c>
      <c r="K13698" s="788">
        <v>41261</v>
      </c>
      <c r="L13698" s="787">
        <v>54</v>
      </c>
      <c r="M13698" s="787">
        <v>20</v>
      </c>
      <c r="N13698" s="787">
        <v>58.05</v>
      </c>
      <c r="O13698" s="788">
        <v>42156</v>
      </c>
    </row>
    <row r="13699" spans="1:15" x14ac:dyDescent="0.25">
      <c r="A13699" s="786" t="s">
        <v>24665</v>
      </c>
      <c r="B13699" s="787">
        <v>4</v>
      </c>
      <c r="C13699" s="787" t="s">
        <v>24666</v>
      </c>
      <c r="D13699" s="787">
        <v>0.5</v>
      </c>
      <c r="E13699" s="787">
        <v>730.5</v>
      </c>
      <c r="F13699" s="788">
        <v>39765</v>
      </c>
      <c r="G13699" s="788">
        <v>39765</v>
      </c>
      <c r="H13699" s="787">
        <v>6</v>
      </c>
      <c r="I13699" s="788">
        <v>39657</v>
      </c>
      <c r="J13699" s="788">
        <v>39657</v>
      </c>
      <c r="L13699" s="787">
        <v>730.5</v>
      </c>
      <c r="M13699" s="787">
        <v>20</v>
      </c>
      <c r="N13699" s="787">
        <v>785.29</v>
      </c>
      <c r="O13699" s="788">
        <v>41543</v>
      </c>
    </row>
    <row r="13700" spans="1:15" x14ac:dyDescent="0.25">
      <c r="A13700" s="786" t="s">
        <v>24667</v>
      </c>
      <c r="B13700" s="787">
        <v>4</v>
      </c>
      <c r="C13700" s="787" t="s">
        <v>24668</v>
      </c>
      <c r="D13700" s="787">
        <v>8</v>
      </c>
      <c r="E13700" s="787">
        <v>73.73</v>
      </c>
      <c r="F13700" s="788">
        <v>41516</v>
      </c>
      <c r="G13700" s="788">
        <v>42032</v>
      </c>
      <c r="H13700" s="787">
        <v>1</v>
      </c>
      <c r="I13700" s="788">
        <v>42166</v>
      </c>
      <c r="J13700" s="788">
        <v>42152</v>
      </c>
      <c r="K13700" s="788">
        <v>41817</v>
      </c>
      <c r="L13700" s="787">
        <v>73.73</v>
      </c>
      <c r="M13700" s="787">
        <v>20</v>
      </c>
      <c r="N13700" s="787">
        <v>79.260000000000005</v>
      </c>
      <c r="O13700" s="788">
        <v>42164</v>
      </c>
    </row>
    <row r="13701" spans="1:15" x14ac:dyDescent="0.25">
      <c r="A13701" s="786" t="s">
        <v>24669</v>
      </c>
      <c r="B13701" s="787">
        <v>4</v>
      </c>
      <c r="C13701" s="787" t="s">
        <v>24670</v>
      </c>
      <c r="D13701" s="787">
        <v>8.1</v>
      </c>
      <c r="E13701" s="787">
        <v>267.60000000000002</v>
      </c>
      <c r="F13701" s="788">
        <v>39854</v>
      </c>
      <c r="G13701" s="788">
        <v>40766</v>
      </c>
      <c r="H13701" s="787">
        <v>1</v>
      </c>
      <c r="I13701" s="788">
        <v>41782</v>
      </c>
      <c r="J13701" s="788">
        <v>41765</v>
      </c>
      <c r="K13701" s="788">
        <v>41612</v>
      </c>
      <c r="L13701" s="787">
        <v>267.60000000000002</v>
      </c>
      <c r="M13701" s="787">
        <v>20</v>
      </c>
      <c r="N13701" s="787">
        <v>287.67</v>
      </c>
      <c r="O13701" s="788">
        <v>42164</v>
      </c>
    </row>
    <row r="13702" spans="1:15" x14ac:dyDescent="0.25">
      <c r="A13702" s="786" t="s">
        <v>24671</v>
      </c>
      <c r="B13702" s="787">
        <v>4</v>
      </c>
      <c r="C13702" s="787" t="s">
        <v>24672</v>
      </c>
      <c r="D13702" s="787">
        <v>3.8</v>
      </c>
      <c r="E13702" s="787">
        <v>14.08</v>
      </c>
      <c r="F13702" s="788">
        <v>40450</v>
      </c>
      <c r="G13702" s="788">
        <v>42158</v>
      </c>
      <c r="H13702" s="787">
        <v>1</v>
      </c>
      <c r="I13702" s="788">
        <v>42164</v>
      </c>
      <c r="J13702" s="788">
        <v>42158</v>
      </c>
      <c r="K13702" s="788">
        <v>41855</v>
      </c>
      <c r="L13702" s="787">
        <v>14.08</v>
      </c>
      <c r="M13702" s="787">
        <v>20</v>
      </c>
      <c r="N13702" s="787">
        <v>15.14</v>
      </c>
      <c r="O13702" s="788">
        <v>41858</v>
      </c>
    </row>
    <row r="13703" spans="1:15" x14ac:dyDescent="0.25">
      <c r="A13703" s="786" t="s">
        <v>24673</v>
      </c>
      <c r="B13703" s="787">
        <v>4</v>
      </c>
      <c r="C13703" s="787" t="s">
        <v>24674</v>
      </c>
      <c r="D13703" s="787">
        <v>8.9499999999999993</v>
      </c>
      <c r="E13703" s="787">
        <v>38.950000000000003</v>
      </c>
      <c r="F13703" s="788">
        <v>39854</v>
      </c>
      <c r="G13703" s="788">
        <v>39855</v>
      </c>
      <c r="H13703" s="787">
        <v>1</v>
      </c>
      <c r="I13703" s="788">
        <v>42094</v>
      </c>
      <c r="J13703" s="788">
        <v>42101</v>
      </c>
      <c r="K13703" s="788">
        <v>41239</v>
      </c>
      <c r="L13703" s="787">
        <v>38.950000000000003</v>
      </c>
      <c r="M13703" s="787">
        <v>20</v>
      </c>
      <c r="N13703" s="787">
        <v>41.87</v>
      </c>
      <c r="O13703" s="788">
        <v>42164</v>
      </c>
    </row>
    <row r="13704" spans="1:15" x14ac:dyDescent="0.25">
      <c r="A13704" s="786" t="s">
        <v>24675</v>
      </c>
      <c r="B13704" s="787">
        <v>4</v>
      </c>
      <c r="C13704" s="787" t="s">
        <v>24676</v>
      </c>
      <c r="D13704" s="787">
        <v>7.75</v>
      </c>
      <c r="E13704" s="787">
        <v>365.62</v>
      </c>
      <c r="F13704" s="788">
        <v>39974</v>
      </c>
      <c r="G13704" s="788">
        <v>42091</v>
      </c>
      <c r="H13704" s="787">
        <v>1</v>
      </c>
      <c r="I13704" s="788">
        <v>42152</v>
      </c>
      <c r="J13704" s="788">
        <v>42067</v>
      </c>
      <c r="K13704" s="788">
        <v>42086</v>
      </c>
      <c r="L13704" s="787">
        <v>365.62</v>
      </c>
      <c r="M13704" s="787">
        <v>20</v>
      </c>
      <c r="N13704" s="787">
        <v>384.58</v>
      </c>
      <c r="O13704" s="788">
        <v>41858</v>
      </c>
    </row>
    <row r="13705" spans="1:15" x14ac:dyDescent="0.25">
      <c r="A13705" s="786" t="s">
        <v>24677</v>
      </c>
      <c r="B13705" s="787">
        <v>4</v>
      </c>
      <c r="C13705" s="787" t="s">
        <v>24678</v>
      </c>
      <c r="D13705" s="787">
        <v>8.9499999999999993</v>
      </c>
      <c r="E13705" s="787">
        <v>38.950000000000003</v>
      </c>
      <c r="F13705" s="788">
        <v>39854</v>
      </c>
      <c r="G13705" s="788">
        <v>39855</v>
      </c>
      <c r="H13705" s="787">
        <v>1</v>
      </c>
      <c r="I13705" s="788">
        <v>42121</v>
      </c>
      <c r="J13705" s="788">
        <v>41540</v>
      </c>
      <c r="K13705" s="788">
        <v>41239</v>
      </c>
      <c r="L13705" s="787">
        <v>38.950000000000003</v>
      </c>
      <c r="M13705" s="787">
        <v>20</v>
      </c>
      <c r="N13705" s="787">
        <v>41.87</v>
      </c>
      <c r="O13705" s="788">
        <v>41858</v>
      </c>
    </row>
    <row r="13706" spans="1:15" x14ac:dyDescent="0.25">
      <c r="A13706" s="786" t="s">
        <v>24679</v>
      </c>
      <c r="B13706" s="787">
        <v>4</v>
      </c>
      <c r="C13706" s="787" t="s">
        <v>24680</v>
      </c>
      <c r="D13706" s="787">
        <v>0</v>
      </c>
      <c r="E13706" s="787">
        <v>0</v>
      </c>
      <c r="H13706" s="787">
        <v>1</v>
      </c>
      <c r="L13706" s="787">
        <v>0</v>
      </c>
      <c r="M13706" s="787">
        <v>20</v>
      </c>
      <c r="N13706" s="787">
        <v>0</v>
      </c>
      <c r="O13706" s="788">
        <v>40824</v>
      </c>
    </row>
    <row r="13707" spans="1:15" x14ac:dyDescent="0.25">
      <c r="A13707" s="786" t="s">
        <v>24681</v>
      </c>
      <c r="B13707" s="787">
        <v>4</v>
      </c>
      <c r="C13707" s="787" t="s">
        <v>24682</v>
      </c>
      <c r="D13707" s="787">
        <v>0</v>
      </c>
      <c r="E13707" s="787">
        <v>150</v>
      </c>
      <c r="F13707" s="788">
        <v>39974</v>
      </c>
      <c r="G13707" s="788">
        <v>39961</v>
      </c>
      <c r="H13707" s="787">
        <v>1</v>
      </c>
      <c r="I13707" s="788">
        <v>41894</v>
      </c>
      <c r="J13707" s="788">
        <v>41599</v>
      </c>
      <c r="K13707" s="788">
        <v>41261</v>
      </c>
      <c r="L13707" s="787">
        <v>150</v>
      </c>
      <c r="M13707" s="787">
        <v>20</v>
      </c>
      <c r="N13707" s="787">
        <v>161.25</v>
      </c>
      <c r="O13707" s="788">
        <v>41858</v>
      </c>
    </row>
    <row r="13708" spans="1:15" x14ac:dyDescent="0.25">
      <c r="A13708" s="786" t="s">
        <v>24683</v>
      </c>
      <c r="B13708" s="787">
        <v>4</v>
      </c>
      <c r="C13708" s="787" t="s">
        <v>24684</v>
      </c>
      <c r="D13708" s="787">
        <v>6</v>
      </c>
      <c r="E13708" s="787">
        <v>100</v>
      </c>
      <c r="F13708" s="788">
        <v>41261</v>
      </c>
      <c r="G13708" s="788">
        <v>41622</v>
      </c>
      <c r="H13708" s="787">
        <v>1</v>
      </c>
      <c r="I13708" s="788">
        <v>41711</v>
      </c>
      <c r="J13708" s="788">
        <v>41622</v>
      </c>
      <c r="K13708" s="788">
        <v>40911</v>
      </c>
      <c r="L13708" s="787">
        <v>100</v>
      </c>
      <c r="M13708" s="787">
        <v>20</v>
      </c>
      <c r="N13708" s="787">
        <v>107.5</v>
      </c>
      <c r="O13708" s="788">
        <v>41858</v>
      </c>
    </row>
    <row r="13709" spans="1:15" x14ac:dyDescent="0.25">
      <c r="A13709" s="786" t="s">
        <v>24685</v>
      </c>
      <c r="B13709" s="787">
        <v>4</v>
      </c>
      <c r="C13709" s="787" t="s">
        <v>24686</v>
      </c>
      <c r="D13709" s="787">
        <v>8.1</v>
      </c>
      <c r="E13709" s="787">
        <v>284.05</v>
      </c>
      <c r="F13709" s="788">
        <v>40015</v>
      </c>
      <c r="G13709" s="788">
        <v>41850</v>
      </c>
      <c r="H13709" s="787">
        <v>1</v>
      </c>
      <c r="I13709" s="788">
        <v>42165</v>
      </c>
      <c r="J13709" s="788">
        <v>42150</v>
      </c>
      <c r="K13709" s="788">
        <v>42094</v>
      </c>
      <c r="L13709" s="787">
        <v>284.05</v>
      </c>
      <c r="M13709" s="787">
        <v>20</v>
      </c>
      <c r="N13709" s="787">
        <v>321.43</v>
      </c>
      <c r="O13709" s="788">
        <v>41991</v>
      </c>
    </row>
    <row r="13710" spans="1:15" x14ac:dyDescent="0.25">
      <c r="A13710" s="786" t="s">
        <v>24687</v>
      </c>
      <c r="B13710" s="787">
        <v>4</v>
      </c>
      <c r="C13710" s="787" t="s">
        <v>24688</v>
      </c>
      <c r="D13710" s="787">
        <v>5</v>
      </c>
      <c r="E13710" s="787">
        <v>188.7</v>
      </c>
      <c r="F13710" s="788">
        <v>41157</v>
      </c>
      <c r="G13710" s="788">
        <v>42013</v>
      </c>
      <c r="H13710" s="787">
        <v>1</v>
      </c>
      <c r="I13710" s="788">
        <v>41942</v>
      </c>
      <c r="J13710" s="788">
        <v>41647</v>
      </c>
      <c r="K13710" s="788">
        <v>41659</v>
      </c>
      <c r="L13710" s="787">
        <v>188.7</v>
      </c>
      <c r="M13710" s="787">
        <v>20</v>
      </c>
      <c r="N13710" s="787">
        <v>202.85</v>
      </c>
      <c r="O13710" s="788">
        <v>41858</v>
      </c>
    </row>
    <row r="13711" spans="1:15" x14ac:dyDescent="0.25">
      <c r="A13711" s="786" t="s">
        <v>24689</v>
      </c>
      <c r="B13711" s="787">
        <v>4</v>
      </c>
      <c r="C13711" s="787" t="s">
        <v>24690</v>
      </c>
      <c r="D13711" s="787">
        <v>3</v>
      </c>
      <c r="E13711" s="787">
        <v>353</v>
      </c>
      <c r="F13711" s="788">
        <v>40450</v>
      </c>
      <c r="G13711" s="788">
        <v>41547</v>
      </c>
      <c r="H13711" s="787">
        <v>1</v>
      </c>
      <c r="I13711" s="788">
        <v>41991</v>
      </c>
      <c r="J13711" s="788">
        <v>41991</v>
      </c>
      <c r="K13711" s="788">
        <v>40910</v>
      </c>
      <c r="L13711" s="787">
        <v>353</v>
      </c>
      <c r="M13711" s="787">
        <v>20</v>
      </c>
      <c r="N13711" s="787">
        <v>379.48</v>
      </c>
      <c r="O13711" s="788">
        <v>41971</v>
      </c>
    </row>
    <row r="13712" spans="1:15" x14ac:dyDescent="0.25">
      <c r="A13712" s="786" t="s">
        <v>24691</v>
      </c>
      <c r="B13712" s="787">
        <v>4</v>
      </c>
      <c r="C13712" s="787" t="s">
        <v>24692</v>
      </c>
      <c r="D13712" s="787">
        <v>0</v>
      </c>
      <c r="E13712" s="787">
        <v>473</v>
      </c>
      <c r="H13712" s="787">
        <v>1</v>
      </c>
      <c r="I13712" s="788">
        <v>41247</v>
      </c>
      <c r="L13712" s="787">
        <v>450</v>
      </c>
      <c r="M13712" s="787">
        <v>20</v>
      </c>
      <c r="N13712" s="787">
        <v>483.75</v>
      </c>
      <c r="O13712" s="788">
        <v>41858</v>
      </c>
    </row>
    <row r="13713" spans="1:15" x14ac:dyDescent="0.25">
      <c r="A13713" s="786" t="s">
        <v>24693</v>
      </c>
      <c r="B13713" s="787">
        <v>4</v>
      </c>
      <c r="C13713" s="787" t="s">
        <v>24694</v>
      </c>
      <c r="D13713" s="787">
        <v>3</v>
      </c>
      <c r="E13713" s="787">
        <v>893</v>
      </c>
      <c r="F13713" s="788">
        <v>40450</v>
      </c>
      <c r="G13713" s="788">
        <v>42159</v>
      </c>
      <c r="H13713" s="787">
        <v>1</v>
      </c>
      <c r="I13713" s="788">
        <v>42123</v>
      </c>
      <c r="J13713" s="788">
        <v>42158</v>
      </c>
      <c r="K13713" s="788">
        <v>42158</v>
      </c>
      <c r="L13713" s="787">
        <v>893</v>
      </c>
      <c r="M13713" s="787">
        <v>20</v>
      </c>
      <c r="N13713" s="787">
        <v>852.48</v>
      </c>
      <c r="O13713" s="788">
        <v>41858</v>
      </c>
    </row>
    <row r="13714" spans="1:15" x14ac:dyDescent="0.25">
      <c r="A13714" s="786" t="s">
        <v>24695</v>
      </c>
      <c r="B13714" s="787">
        <v>4</v>
      </c>
      <c r="C13714" s="787" t="s">
        <v>24696</v>
      </c>
      <c r="D13714" s="787">
        <v>0</v>
      </c>
      <c r="E13714" s="787">
        <v>0</v>
      </c>
      <c r="H13714" s="787">
        <v>1</v>
      </c>
      <c r="L13714" s="787">
        <v>0</v>
      </c>
      <c r="M13714" s="787">
        <v>20</v>
      </c>
      <c r="N13714" s="787">
        <v>0</v>
      </c>
      <c r="O13714" s="788">
        <v>40824</v>
      </c>
    </row>
    <row r="13715" spans="1:15" x14ac:dyDescent="0.25">
      <c r="A13715" s="786" t="s">
        <v>24697</v>
      </c>
      <c r="B13715" s="787">
        <v>4</v>
      </c>
      <c r="C13715" s="787" t="s">
        <v>24698</v>
      </c>
      <c r="D13715" s="787">
        <v>0</v>
      </c>
      <c r="E13715" s="787">
        <v>0</v>
      </c>
      <c r="H13715" s="787">
        <v>1</v>
      </c>
      <c r="L13715" s="787">
        <v>0</v>
      </c>
      <c r="M13715" s="787">
        <v>20</v>
      </c>
      <c r="N13715" s="787">
        <v>0</v>
      </c>
      <c r="O13715" s="788">
        <v>40824</v>
      </c>
    </row>
    <row r="13716" spans="1:15" x14ac:dyDescent="0.25">
      <c r="A13716" s="786" t="s">
        <v>24699</v>
      </c>
      <c r="B13716" s="787">
        <v>4</v>
      </c>
      <c r="C13716" s="787" t="s">
        <v>24700</v>
      </c>
      <c r="D13716" s="787">
        <v>2.2999999999999998</v>
      </c>
      <c r="E13716" s="787">
        <v>92.3</v>
      </c>
      <c r="F13716" s="788">
        <v>40317</v>
      </c>
      <c r="G13716" s="788">
        <v>40240</v>
      </c>
      <c r="H13716" s="787">
        <v>1</v>
      </c>
      <c r="J13716" s="788">
        <v>40282</v>
      </c>
      <c r="L13716" s="787">
        <v>92.3</v>
      </c>
      <c r="M13716" s="787">
        <v>20</v>
      </c>
      <c r="N13716" s="787">
        <v>99.22</v>
      </c>
      <c r="O13716" s="788">
        <v>41858</v>
      </c>
    </row>
    <row r="13717" spans="1:15" x14ac:dyDescent="0.25">
      <c r="A13717" s="786" t="s">
        <v>24701</v>
      </c>
      <c r="B13717" s="787">
        <v>4</v>
      </c>
      <c r="C13717" s="787" t="s">
        <v>24702</v>
      </c>
      <c r="D13717" s="787">
        <v>1.75</v>
      </c>
      <c r="E13717" s="787">
        <v>276.75</v>
      </c>
      <c r="F13717" s="788">
        <v>40494</v>
      </c>
      <c r="G13717" s="788">
        <v>42039</v>
      </c>
      <c r="H13717" s="787">
        <v>1</v>
      </c>
      <c r="I13717" s="788">
        <v>42101</v>
      </c>
      <c r="J13717" s="788">
        <v>42088</v>
      </c>
      <c r="K13717" s="788">
        <v>41884</v>
      </c>
      <c r="L13717" s="787">
        <v>276.75</v>
      </c>
      <c r="M13717" s="787">
        <v>20</v>
      </c>
      <c r="N13717" s="787">
        <v>270.63</v>
      </c>
      <c r="O13717" s="788">
        <v>41858</v>
      </c>
    </row>
    <row r="13718" spans="1:15" x14ac:dyDescent="0.25">
      <c r="A13718" s="786" t="s">
        <v>24703</v>
      </c>
      <c r="B13718" s="787">
        <v>4</v>
      </c>
      <c r="C13718" s="787" t="s">
        <v>24704</v>
      </c>
      <c r="D13718" s="787">
        <v>0</v>
      </c>
      <c r="E13718" s="787">
        <v>0</v>
      </c>
      <c r="H13718" s="787">
        <v>1</v>
      </c>
      <c r="K13718" s="788">
        <v>41884</v>
      </c>
      <c r="L13718" s="787">
        <v>381.2</v>
      </c>
      <c r="M13718" s="787">
        <v>20</v>
      </c>
      <c r="N13718" s="787">
        <v>409.79</v>
      </c>
      <c r="O13718" s="788">
        <v>41884</v>
      </c>
    </row>
    <row r="13719" spans="1:15" x14ac:dyDescent="0.25">
      <c r="A13719" s="786" t="s">
        <v>24705</v>
      </c>
      <c r="B13719" s="787">
        <v>4</v>
      </c>
      <c r="C13719" s="787" t="s">
        <v>24706</v>
      </c>
      <c r="D13719" s="787">
        <v>8.1</v>
      </c>
      <c r="E13719" s="787">
        <v>138.1</v>
      </c>
      <c r="F13719" s="788">
        <v>40667</v>
      </c>
      <c r="G13719" s="788">
        <v>40668</v>
      </c>
      <c r="H13719" s="787">
        <v>1</v>
      </c>
      <c r="I13719" s="788">
        <v>40736</v>
      </c>
      <c r="J13719" s="788">
        <v>40723</v>
      </c>
      <c r="K13719" s="788">
        <v>41884</v>
      </c>
      <c r="L13719" s="787">
        <v>163.1</v>
      </c>
      <c r="M13719" s="787">
        <v>20</v>
      </c>
      <c r="N13719" s="787">
        <v>148.46</v>
      </c>
      <c r="O13719" s="788">
        <v>41858</v>
      </c>
    </row>
    <row r="13720" spans="1:15" x14ac:dyDescent="0.25">
      <c r="A13720" s="786" t="s">
        <v>24707</v>
      </c>
      <c r="B13720" s="787">
        <v>4</v>
      </c>
      <c r="C13720" s="787" t="s">
        <v>24708</v>
      </c>
      <c r="D13720" s="787">
        <v>7.45</v>
      </c>
      <c r="E13720" s="787">
        <v>147.44999999999999</v>
      </c>
      <c r="F13720" s="788">
        <v>41018</v>
      </c>
      <c r="G13720" s="788">
        <v>41022</v>
      </c>
      <c r="H13720" s="787">
        <v>1</v>
      </c>
      <c r="I13720" s="788">
        <v>41190</v>
      </c>
      <c r="J13720" s="788">
        <v>40976</v>
      </c>
      <c r="K13720" s="788">
        <v>41261</v>
      </c>
      <c r="L13720" s="787">
        <v>147.44999999999999</v>
      </c>
      <c r="M13720" s="787">
        <v>20</v>
      </c>
      <c r="N13720" s="787">
        <v>158.51</v>
      </c>
      <c r="O13720" s="788">
        <v>41858</v>
      </c>
    </row>
    <row r="13721" spans="1:15" x14ac:dyDescent="0.25">
      <c r="A13721" s="786" t="s">
        <v>24709</v>
      </c>
      <c r="B13721" s="787">
        <v>4</v>
      </c>
      <c r="C13721" s="787" t="s">
        <v>24710</v>
      </c>
      <c r="D13721" s="787">
        <v>0</v>
      </c>
      <c r="E13721" s="787">
        <v>0</v>
      </c>
      <c r="H13721" s="787">
        <v>6</v>
      </c>
      <c r="L13721" s="787">
        <v>0</v>
      </c>
      <c r="M13721" s="787">
        <v>20</v>
      </c>
      <c r="N13721" s="787">
        <v>0</v>
      </c>
      <c r="O13721" s="788">
        <v>40824</v>
      </c>
    </row>
    <row r="13722" spans="1:15" x14ac:dyDescent="0.25">
      <c r="A13722" s="786" t="s">
        <v>24711</v>
      </c>
      <c r="B13722" s="787">
        <v>4</v>
      </c>
      <c r="C13722" s="787" t="s">
        <v>24712</v>
      </c>
      <c r="D13722" s="787">
        <v>6.75</v>
      </c>
      <c r="E13722" s="787">
        <v>246.75</v>
      </c>
      <c r="F13722" s="788">
        <v>40494</v>
      </c>
      <c r="G13722" s="788">
        <v>40458</v>
      </c>
      <c r="H13722" s="787">
        <v>1</v>
      </c>
      <c r="I13722" s="788">
        <v>41128</v>
      </c>
      <c r="J13722" s="788">
        <v>41105</v>
      </c>
      <c r="K13722" s="788">
        <v>41884</v>
      </c>
      <c r="L13722" s="787">
        <v>271.75</v>
      </c>
      <c r="M13722" s="787">
        <v>20</v>
      </c>
      <c r="N13722" s="787">
        <v>265.26</v>
      </c>
      <c r="O13722" s="788">
        <v>41858</v>
      </c>
    </row>
    <row r="13723" spans="1:15" x14ac:dyDescent="0.25">
      <c r="A13723" s="786" t="s">
        <v>24713</v>
      </c>
      <c r="B13723" s="787">
        <v>4</v>
      </c>
      <c r="C13723" s="787" t="s">
        <v>24714</v>
      </c>
      <c r="D13723" s="787">
        <v>0</v>
      </c>
      <c r="E13723" s="787">
        <v>0</v>
      </c>
      <c r="H13723" s="787">
        <v>6</v>
      </c>
      <c r="L13723" s="787">
        <v>0</v>
      </c>
      <c r="M13723" s="787">
        <v>20</v>
      </c>
      <c r="N13723" s="787">
        <v>0</v>
      </c>
      <c r="O13723" s="788">
        <v>40824</v>
      </c>
    </row>
    <row r="13724" spans="1:15" x14ac:dyDescent="0.25">
      <c r="A13724" s="786" t="s">
        <v>24715</v>
      </c>
      <c r="B13724" s="787">
        <v>4</v>
      </c>
      <c r="C13724" s="787" t="s">
        <v>24716</v>
      </c>
      <c r="D13724" s="787">
        <v>1.75</v>
      </c>
      <c r="E13724" s="787">
        <v>261.75</v>
      </c>
      <c r="F13724" s="788">
        <v>40491</v>
      </c>
      <c r="G13724" s="788">
        <v>40492</v>
      </c>
      <c r="H13724" s="787">
        <v>1</v>
      </c>
      <c r="I13724" s="788">
        <v>41940</v>
      </c>
      <c r="J13724" s="788">
        <v>41622</v>
      </c>
      <c r="K13724" s="788">
        <v>41817</v>
      </c>
      <c r="L13724" s="787">
        <v>286.75</v>
      </c>
      <c r="M13724" s="787">
        <v>20</v>
      </c>
      <c r="N13724" s="787">
        <v>308.26</v>
      </c>
      <c r="O13724" s="788">
        <v>41858</v>
      </c>
    </row>
    <row r="13725" spans="1:15" x14ac:dyDescent="0.25">
      <c r="A13725" s="786" t="s">
        <v>24717</v>
      </c>
      <c r="B13725" s="787">
        <v>4</v>
      </c>
      <c r="C13725" s="787" t="s">
        <v>24718</v>
      </c>
      <c r="D13725" s="787">
        <v>0</v>
      </c>
      <c r="E13725" s="787">
        <v>0</v>
      </c>
      <c r="H13725" s="787">
        <v>6</v>
      </c>
      <c r="L13725" s="787">
        <v>0</v>
      </c>
      <c r="M13725" s="787">
        <v>20</v>
      </c>
      <c r="N13725" s="787">
        <v>0</v>
      </c>
      <c r="O13725" s="788">
        <v>40824</v>
      </c>
    </row>
    <row r="13726" spans="1:15" x14ac:dyDescent="0.25">
      <c r="A13726" s="786" t="s">
        <v>24719</v>
      </c>
      <c r="B13726" s="787">
        <v>4</v>
      </c>
      <c r="C13726" s="787" t="s">
        <v>24720</v>
      </c>
      <c r="D13726" s="787">
        <v>0</v>
      </c>
      <c r="E13726" s="787">
        <v>0</v>
      </c>
      <c r="H13726" s="787">
        <v>1</v>
      </c>
      <c r="K13726" s="788">
        <v>41884</v>
      </c>
      <c r="L13726" s="787">
        <v>366.2</v>
      </c>
      <c r="M13726" s="787">
        <v>20</v>
      </c>
      <c r="N13726" s="787">
        <v>393.67</v>
      </c>
      <c r="O13726" s="788">
        <v>41884</v>
      </c>
    </row>
    <row r="13727" spans="1:15" x14ac:dyDescent="0.25">
      <c r="A13727" s="786" t="s">
        <v>24721</v>
      </c>
      <c r="B13727" s="787">
        <v>4</v>
      </c>
      <c r="C13727" s="787" t="s">
        <v>24722</v>
      </c>
      <c r="D13727" s="787">
        <v>8.1</v>
      </c>
      <c r="E13727" s="787">
        <v>153.1</v>
      </c>
      <c r="F13727" s="788">
        <v>40339</v>
      </c>
      <c r="G13727" s="788">
        <v>41983</v>
      </c>
      <c r="H13727" s="787">
        <v>1</v>
      </c>
      <c r="I13727" s="788">
        <v>42019</v>
      </c>
      <c r="J13727" s="788">
        <v>42019</v>
      </c>
      <c r="K13727" s="788">
        <v>41883</v>
      </c>
      <c r="L13727" s="787">
        <v>153.1</v>
      </c>
      <c r="M13727" s="787">
        <v>20</v>
      </c>
      <c r="N13727" s="787">
        <v>137.71</v>
      </c>
      <c r="O13727" s="788">
        <v>41858</v>
      </c>
    </row>
    <row r="13728" spans="1:15" x14ac:dyDescent="0.25">
      <c r="A13728" s="786" t="s">
        <v>24723</v>
      </c>
      <c r="B13728" s="787">
        <v>4</v>
      </c>
      <c r="C13728" s="787" t="s">
        <v>24724</v>
      </c>
      <c r="D13728" s="787">
        <v>1.1000000000000001</v>
      </c>
      <c r="E13728" s="787">
        <v>231.1</v>
      </c>
      <c r="F13728" s="788">
        <v>40773</v>
      </c>
      <c r="G13728" s="788">
        <v>41137</v>
      </c>
      <c r="H13728" s="787">
        <v>1</v>
      </c>
      <c r="I13728" s="788">
        <v>41149</v>
      </c>
      <c r="J13728" s="788">
        <v>41137</v>
      </c>
      <c r="K13728" s="788">
        <v>41884</v>
      </c>
      <c r="L13728" s="787">
        <v>256.10000000000002</v>
      </c>
      <c r="M13728" s="787">
        <v>20</v>
      </c>
      <c r="N13728" s="787">
        <v>248.43</v>
      </c>
      <c r="O13728" s="788">
        <v>41858</v>
      </c>
    </row>
    <row r="13729" spans="1:15" x14ac:dyDescent="0.25">
      <c r="A13729" s="786" t="s">
        <v>24725</v>
      </c>
      <c r="B13729" s="787">
        <v>4</v>
      </c>
      <c r="C13729" s="787" t="s">
        <v>24726</v>
      </c>
      <c r="D13729" s="787">
        <v>8.1</v>
      </c>
      <c r="E13729" s="787">
        <v>128.1</v>
      </c>
      <c r="F13729" s="788">
        <v>40673</v>
      </c>
      <c r="G13729" s="788">
        <v>40674</v>
      </c>
      <c r="H13729" s="787">
        <v>1</v>
      </c>
      <c r="I13729" s="788">
        <v>40989</v>
      </c>
      <c r="J13729" s="788">
        <v>40989</v>
      </c>
      <c r="K13729" s="788">
        <v>41884</v>
      </c>
      <c r="L13729" s="787">
        <v>153.1</v>
      </c>
      <c r="M13729" s="787">
        <v>20</v>
      </c>
      <c r="N13729" s="787">
        <v>137.71</v>
      </c>
      <c r="O13729" s="788">
        <v>41858</v>
      </c>
    </row>
    <row r="13730" spans="1:15" x14ac:dyDescent="0.25">
      <c r="A13730" s="786" t="s">
        <v>24727</v>
      </c>
      <c r="B13730" s="787">
        <v>4</v>
      </c>
      <c r="C13730" s="787" t="s">
        <v>24728</v>
      </c>
      <c r="D13730" s="787">
        <v>0</v>
      </c>
      <c r="E13730" s="787">
        <v>0</v>
      </c>
      <c r="H13730" s="787">
        <v>1</v>
      </c>
      <c r="K13730" s="788">
        <v>41884</v>
      </c>
      <c r="L13730" s="787">
        <v>271.89999999999998</v>
      </c>
      <c r="M13730" s="787">
        <v>20</v>
      </c>
      <c r="N13730" s="787">
        <v>292.29000000000002</v>
      </c>
      <c r="O13730" s="788">
        <v>41884</v>
      </c>
    </row>
    <row r="13731" spans="1:15" x14ac:dyDescent="0.25">
      <c r="A13731" s="786" t="s">
        <v>24729</v>
      </c>
      <c r="B13731" s="787">
        <v>4</v>
      </c>
      <c r="C13731" s="787" t="s">
        <v>24730</v>
      </c>
      <c r="D13731" s="787">
        <v>0</v>
      </c>
      <c r="E13731" s="787">
        <v>0</v>
      </c>
      <c r="H13731" s="787">
        <v>1</v>
      </c>
      <c r="K13731" s="788">
        <v>41884</v>
      </c>
      <c r="L13731" s="787">
        <v>366.2</v>
      </c>
      <c r="M13731" s="787">
        <v>20</v>
      </c>
      <c r="N13731" s="787">
        <v>393.67</v>
      </c>
      <c r="O13731" s="788">
        <v>41884</v>
      </c>
    </row>
    <row r="13732" spans="1:15" x14ac:dyDescent="0.25">
      <c r="A13732" s="786" t="s">
        <v>24731</v>
      </c>
      <c r="B13732" s="787">
        <v>4</v>
      </c>
      <c r="C13732" s="787" t="s">
        <v>24732</v>
      </c>
      <c r="D13732" s="787">
        <v>2.35</v>
      </c>
      <c r="E13732" s="787">
        <v>242.35</v>
      </c>
      <c r="F13732" s="788">
        <v>40911</v>
      </c>
      <c r="G13732" s="788">
        <v>40914</v>
      </c>
      <c r="H13732" s="787">
        <v>1</v>
      </c>
      <c r="I13732" s="788">
        <v>41239</v>
      </c>
      <c r="J13732" s="788">
        <v>40898</v>
      </c>
      <c r="K13732" s="788">
        <v>41884</v>
      </c>
      <c r="L13732" s="787">
        <v>276.75</v>
      </c>
      <c r="M13732" s="787">
        <v>20</v>
      </c>
      <c r="N13732" s="787">
        <v>260.52999999999997</v>
      </c>
      <c r="O13732" s="788">
        <v>41858</v>
      </c>
    </row>
    <row r="13733" spans="1:15" x14ac:dyDescent="0.25">
      <c r="A13733" s="786" t="s">
        <v>24733</v>
      </c>
      <c r="B13733" s="787">
        <v>4</v>
      </c>
      <c r="C13733" s="787" t="s">
        <v>24734</v>
      </c>
      <c r="D13733" s="787">
        <v>0</v>
      </c>
      <c r="E13733" s="787">
        <v>0</v>
      </c>
      <c r="H13733" s="787">
        <v>1</v>
      </c>
      <c r="K13733" s="788">
        <v>41884</v>
      </c>
      <c r="L13733" s="787">
        <v>381.2</v>
      </c>
      <c r="M13733" s="787">
        <v>20</v>
      </c>
      <c r="N13733" s="787">
        <v>409.79</v>
      </c>
      <c r="O13733" s="788">
        <v>41884</v>
      </c>
    </row>
    <row r="13734" spans="1:15" x14ac:dyDescent="0.25">
      <c r="A13734" s="786" t="s">
        <v>24735</v>
      </c>
      <c r="B13734" s="787">
        <v>4</v>
      </c>
      <c r="C13734" s="787" t="s">
        <v>24736</v>
      </c>
      <c r="D13734" s="787">
        <v>8.1</v>
      </c>
      <c r="E13734" s="787">
        <v>138.1</v>
      </c>
      <c r="F13734" s="788">
        <v>40891</v>
      </c>
      <c r="G13734" s="788">
        <v>40861</v>
      </c>
      <c r="H13734" s="787">
        <v>1</v>
      </c>
      <c r="I13734" s="788">
        <v>40863</v>
      </c>
      <c r="J13734" s="788">
        <v>40861</v>
      </c>
      <c r="K13734" s="788">
        <v>41884</v>
      </c>
      <c r="L13734" s="787">
        <v>163.1</v>
      </c>
      <c r="M13734" s="787">
        <v>20</v>
      </c>
      <c r="N13734" s="787">
        <v>175.33</v>
      </c>
      <c r="O13734" s="788">
        <v>41884</v>
      </c>
    </row>
    <row r="13735" spans="1:15" x14ac:dyDescent="0.25">
      <c r="A13735" s="786" t="s">
        <v>24737</v>
      </c>
      <c r="B13735" s="787">
        <v>4</v>
      </c>
      <c r="C13735" s="787" t="s">
        <v>24738</v>
      </c>
      <c r="D13735" s="787">
        <v>2.4500000000000002</v>
      </c>
      <c r="E13735" s="787">
        <v>152.44999999999999</v>
      </c>
      <c r="F13735" s="788">
        <v>40477</v>
      </c>
      <c r="G13735" s="788">
        <v>40436</v>
      </c>
      <c r="H13735" s="787">
        <v>1</v>
      </c>
      <c r="I13735" s="788">
        <v>40449</v>
      </c>
      <c r="J13735" s="788">
        <v>41622</v>
      </c>
      <c r="L13735" s="787">
        <v>152.44999999999999</v>
      </c>
      <c r="M13735" s="787">
        <v>20</v>
      </c>
      <c r="N13735" s="787">
        <v>163.88</v>
      </c>
      <c r="O13735" s="788">
        <v>41858</v>
      </c>
    </row>
    <row r="13736" spans="1:15" x14ac:dyDescent="0.25">
      <c r="A13736" s="786" t="s">
        <v>24739</v>
      </c>
      <c r="B13736" s="787">
        <v>4</v>
      </c>
      <c r="C13736" s="787" t="s">
        <v>24740</v>
      </c>
      <c r="D13736" s="787">
        <v>0</v>
      </c>
      <c r="E13736" s="787">
        <v>0</v>
      </c>
      <c r="H13736" s="787">
        <v>6</v>
      </c>
      <c r="L13736" s="787">
        <v>0</v>
      </c>
      <c r="M13736" s="787">
        <v>20</v>
      </c>
      <c r="N13736" s="787">
        <v>0</v>
      </c>
      <c r="O13736" s="788">
        <v>40824</v>
      </c>
    </row>
    <row r="13737" spans="1:15" x14ac:dyDescent="0.25">
      <c r="A13737" s="786" t="s">
        <v>24741</v>
      </c>
      <c r="B13737" s="787">
        <v>4</v>
      </c>
      <c r="C13737" s="787" t="s">
        <v>24742</v>
      </c>
      <c r="D13737" s="787">
        <v>6.75</v>
      </c>
      <c r="E13737" s="787">
        <v>271.75</v>
      </c>
      <c r="F13737" s="788">
        <v>40491</v>
      </c>
      <c r="G13737" s="788">
        <v>41622</v>
      </c>
      <c r="H13737" s="787">
        <v>1</v>
      </c>
      <c r="I13737" s="788">
        <v>41340</v>
      </c>
      <c r="J13737" s="788">
        <v>41622</v>
      </c>
      <c r="K13737" s="788">
        <v>41884</v>
      </c>
      <c r="L13737" s="787">
        <v>271.75</v>
      </c>
      <c r="M13737" s="787">
        <v>20</v>
      </c>
      <c r="N13737" s="787">
        <v>265.26</v>
      </c>
      <c r="O13737" s="788">
        <v>41858</v>
      </c>
    </row>
    <row r="13738" spans="1:15" x14ac:dyDescent="0.25">
      <c r="A13738" s="786" t="s">
        <v>24743</v>
      </c>
      <c r="B13738" s="787">
        <v>4</v>
      </c>
      <c r="C13738" s="787" t="s">
        <v>24744</v>
      </c>
      <c r="D13738" s="787">
        <v>0</v>
      </c>
      <c r="E13738" s="787">
        <v>0</v>
      </c>
      <c r="H13738" s="787">
        <v>6</v>
      </c>
      <c r="L13738" s="787">
        <v>0</v>
      </c>
      <c r="M13738" s="787">
        <v>20</v>
      </c>
      <c r="N13738" s="787">
        <v>0</v>
      </c>
      <c r="O13738" s="788">
        <v>40824</v>
      </c>
    </row>
    <row r="13739" spans="1:15" x14ac:dyDescent="0.25">
      <c r="A13739" s="786" t="s">
        <v>24745</v>
      </c>
      <c r="B13739" s="787">
        <v>4</v>
      </c>
      <c r="C13739" s="787" t="s">
        <v>24746</v>
      </c>
      <c r="D13739" s="787">
        <v>1.75</v>
      </c>
      <c r="E13739" s="787">
        <v>261.75</v>
      </c>
      <c r="F13739" s="788">
        <v>40498</v>
      </c>
      <c r="G13739" s="788">
        <v>40499</v>
      </c>
      <c r="H13739" s="787">
        <v>1</v>
      </c>
      <c r="I13739" s="788">
        <v>40504</v>
      </c>
      <c r="J13739" s="788">
        <v>40499</v>
      </c>
      <c r="L13739" s="787">
        <v>261.75</v>
      </c>
      <c r="M13739" s="787">
        <v>20</v>
      </c>
      <c r="N13739" s="787">
        <v>281.38</v>
      </c>
      <c r="O13739" s="788">
        <v>41858</v>
      </c>
    </row>
    <row r="13740" spans="1:15" x14ac:dyDescent="0.25">
      <c r="A13740" s="786" t="s">
        <v>24747</v>
      </c>
      <c r="B13740" s="787">
        <v>4</v>
      </c>
      <c r="C13740" s="787" t="s">
        <v>24748</v>
      </c>
      <c r="D13740" s="787">
        <v>0</v>
      </c>
      <c r="E13740" s="787">
        <v>0</v>
      </c>
      <c r="H13740" s="787">
        <v>6</v>
      </c>
      <c r="L13740" s="787">
        <v>0</v>
      </c>
      <c r="M13740" s="787">
        <v>20</v>
      </c>
      <c r="N13740" s="787">
        <v>0</v>
      </c>
      <c r="O13740" s="788">
        <v>40824</v>
      </c>
    </row>
    <row r="13741" spans="1:15" x14ac:dyDescent="0.25">
      <c r="A13741" s="786" t="s">
        <v>24749</v>
      </c>
      <c r="B13741" s="787">
        <v>4</v>
      </c>
      <c r="C13741" s="787" t="s">
        <v>24750</v>
      </c>
      <c r="D13741" s="787">
        <v>8.1</v>
      </c>
      <c r="E13741" s="787">
        <v>173.1</v>
      </c>
      <c r="F13741" s="788">
        <v>40379</v>
      </c>
      <c r="G13741" s="788">
        <v>42153</v>
      </c>
      <c r="H13741" s="787">
        <v>1</v>
      </c>
      <c r="I13741" s="788">
        <v>42156</v>
      </c>
      <c r="J13741" s="788">
        <v>42153</v>
      </c>
      <c r="K13741" s="788">
        <v>41884</v>
      </c>
      <c r="L13741" s="787">
        <v>173.1</v>
      </c>
      <c r="M13741" s="787">
        <v>20</v>
      </c>
      <c r="N13741" s="787">
        <v>161.25</v>
      </c>
      <c r="O13741" s="788">
        <v>41858</v>
      </c>
    </row>
    <row r="13742" spans="1:15" x14ac:dyDescent="0.25">
      <c r="A13742" s="786" t="s">
        <v>24751</v>
      </c>
      <c r="B13742" s="787">
        <v>4</v>
      </c>
      <c r="C13742" s="787" t="s">
        <v>24752</v>
      </c>
      <c r="D13742" s="787">
        <v>0</v>
      </c>
      <c r="E13742" s="787">
        <v>0</v>
      </c>
      <c r="H13742" s="787">
        <v>1</v>
      </c>
      <c r="K13742" s="788">
        <v>41884</v>
      </c>
      <c r="L13742" s="787">
        <v>291.89999999999998</v>
      </c>
      <c r="M13742" s="787">
        <v>20</v>
      </c>
      <c r="N13742" s="787">
        <v>313.79000000000002</v>
      </c>
      <c r="O13742" s="788">
        <v>41884</v>
      </c>
    </row>
    <row r="13743" spans="1:15" x14ac:dyDescent="0.25">
      <c r="A13743" s="786" t="s">
        <v>24753</v>
      </c>
      <c r="B13743" s="787">
        <v>4</v>
      </c>
      <c r="C13743" s="787" t="s">
        <v>24754</v>
      </c>
      <c r="D13743" s="787">
        <v>1.2</v>
      </c>
      <c r="E13743" s="787">
        <v>361.2</v>
      </c>
      <c r="F13743" s="788">
        <v>41155</v>
      </c>
      <c r="G13743" s="788">
        <v>40989</v>
      </c>
      <c r="H13743" s="787">
        <v>1</v>
      </c>
      <c r="I13743" s="788">
        <v>40589</v>
      </c>
      <c r="J13743" s="788">
        <v>40989</v>
      </c>
      <c r="K13743" s="788">
        <v>41884</v>
      </c>
      <c r="L13743" s="787">
        <v>386.2</v>
      </c>
      <c r="M13743" s="787">
        <v>20</v>
      </c>
      <c r="N13743" s="787">
        <v>388.29</v>
      </c>
      <c r="O13743" s="788">
        <v>41858</v>
      </c>
    </row>
    <row r="13744" spans="1:15" x14ac:dyDescent="0.25">
      <c r="A13744" s="786" t="s">
        <v>24755</v>
      </c>
      <c r="B13744" s="787">
        <v>4</v>
      </c>
      <c r="C13744" s="787" t="s">
        <v>24756</v>
      </c>
      <c r="D13744" s="787">
        <v>0.9</v>
      </c>
      <c r="E13744" s="787">
        <v>296.75</v>
      </c>
      <c r="F13744" s="788">
        <v>40491</v>
      </c>
      <c r="G13744" s="788">
        <v>42013</v>
      </c>
      <c r="H13744" s="787">
        <v>1</v>
      </c>
      <c r="I13744" s="788">
        <v>41879</v>
      </c>
      <c r="J13744" s="788">
        <v>41879</v>
      </c>
      <c r="K13744" s="788">
        <v>41855</v>
      </c>
      <c r="L13744" s="787">
        <v>296.75</v>
      </c>
      <c r="M13744" s="787">
        <v>20</v>
      </c>
      <c r="N13744" s="787">
        <v>319.01</v>
      </c>
      <c r="O13744" s="788">
        <v>41949</v>
      </c>
    </row>
    <row r="13745" spans="1:15" x14ac:dyDescent="0.25">
      <c r="A13745" s="786" t="s">
        <v>24757</v>
      </c>
      <c r="B13745" s="787">
        <v>4</v>
      </c>
      <c r="C13745" s="787" t="s">
        <v>24758</v>
      </c>
      <c r="D13745" s="787">
        <v>0</v>
      </c>
      <c r="E13745" s="787">
        <v>0</v>
      </c>
      <c r="H13745" s="787">
        <v>1</v>
      </c>
      <c r="K13745" s="788">
        <v>41884</v>
      </c>
      <c r="L13745" s="787">
        <v>401.2</v>
      </c>
      <c r="M13745" s="787">
        <v>20</v>
      </c>
      <c r="N13745" s="787">
        <v>431.29</v>
      </c>
      <c r="O13745" s="788">
        <v>41884</v>
      </c>
    </row>
    <row r="13746" spans="1:15" x14ac:dyDescent="0.25">
      <c r="A13746" s="786" t="s">
        <v>24759</v>
      </c>
      <c r="B13746" s="787">
        <v>4</v>
      </c>
      <c r="C13746" s="787" t="s">
        <v>24760</v>
      </c>
      <c r="D13746" s="787">
        <v>8.1</v>
      </c>
      <c r="E13746" s="787">
        <v>158.1</v>
      </c>
      <c r="F13746" s="788">
        <v>41098</v>
      </c>
      <c r="G13746" s="788">
        <v>41105</v>
      </c>
      <c r="H13746" s="787">
        <v>1</v>
      </c>
      <c r="I13746" s="788">
        <v>41088</v>
      </c>
      <c r="J13746" s="788">
        <v>41105</v>
      </c>
      <c r="K13746" s="788">
        <v>41884</v>
      </c>
      <c r="L13746" s="787">
        <v>183.1</v>
      </c>
      <c r="M13746" s="787">
        <v>20</v>
      </c>
      <c r="N13746" s="787">
        <v>169.96</v>
      </c>
      <c r="O13746" s="788">
        <v>41858</v>
      </c>
    </row>
    <row r="13747" spans="1:15" x14ac:dyDescent="0.25">
      <c r="A13747" s="786" t="s">
        <v>24761</v>
      </c>
      <c r="B13747" s="787">
        <v>4</v>
      </c>
      <c r="C13747" s="787" t="s">
        <v>24762</v>
      </c>
      <c r="D13747" s="787">
        <v>2.4500000000000002</v>
      </c>
      <c r="E13747" s="787">
        <v>172.45</v>
      </c>
      <c r="F13747" s="788">
        <v>40450</v>
      </c>
      <c r="G13747" s="788">
        <v>40402</v>
      </c>
      <c r="H13747" s="787">
        <v>1</v>
      </c>
      <c r="I13747" s="788">
        <v>40504</v>
      </c>
      <c r="J13747" s="788">
        <v>40525</v>
      </c>
      <c r="L13747" s="787">
        <v>172.45</v>
      </c>
      <c r="M13747" s="787">
        <v>20</v>
      </c>
      <c r="N13747" s="787">
        <v>185.38</v>
      </c>
      <c r="O13747" s="788">
        <v>41858</v>
      </c>
    </row>
    <row r="13748" spans="1:15" x14ac:dyDescent="0.25">
      <c r="A13748" s="786" t="s">
        <v>24763</v>
      </c>
      <c r="B13748" s="787">
        <v>4</v>
      </c>
      <c r="C13748" s="787" t="s">
        <v>24764</v>
      </c>
      <c r="D13748" s="787">
        <v>0</v>
      </c>
      <c r="E13748" s="787">
        <v>0</v>
      </c>
      <c r="H13748" s="787">
        <v>6</v>
      </c>
      <c r="L13748" s="787">
        <v>0</v>
      </c>
      <c r="M13748" s="787">
        <v>20</v>
      </c>
      <c r="N13748" s="787">
        <v>0</v>
      </c>
      <c r="O13748" s="788">
        <v>40824</v>
      </c>
    </row>
    <row r="13749" spans="1:15" x14ac:dyDescent="0.25">
      <c r="A13749" s="786" t="s">
        <v>24765</v>
      </c>
      <c r="B13749" s="787">
        <v>4</v>
      </c>
      <c r="C13749" s="787" t="s">
        <v>24766</v>
      </c>
      <c r="D13749" s="787">
        <v>6.75</v>
      </c>
      <c r="E13749" s="787">
        <v>266.75</v>
      </c>
      <c r="F13749" s="788">
        <v>41051</v>
      </c>
      <c r="G13749" s="788">
        <v>41040</v>
      </c>
      <c r="H13749" s="787">
        <v>1</v>
      </c>
      <c r="I13749" s="788">
        <v>41040</v>
      </c>
      <c r="J13749" s="788">
        <v>41040</v>
      </c>
      <c r="K13749" s="788">
        <v>41022</v>
      </c>
      <c r="L13749" s="787">
        <v>150</v>
      </c>
      <c r="M13749" s="787">
        <v>20</v>
      </c>
      <c r="N13749" s="787">
        <v>161.25</v>
      </c>
      <c r="O13749" s="788">
        <v>41858</v>
      </c>
    </row>
    <row r="13750" spans="1:15" x14ac:dyDescent="0.25">
      <c r="A13750" s="786" t="s">
        <v>24767</v>
      </c>
      <c r="B13750" s="787">
        <v>4</v>
      </c>
      <c r="C13750" s="787" t="s">
        <v>24768</v>
      </c>
      <c r="D13750" s="787">
        <v>1.2</v>
      </c>
      <c r="E13750" s="787">
        <v>371.2</v>
      </c>
      <c r="F13750" s="788">
        <v>40542</v>
      </c>
      <c r="G13750" s="788">
        <v>40508</v>
      </c>
      <c r="H13750" s="787">
        <v>1</v>
      </c>
      <c r="I13750" s="788">
        <v>40534</v>
      </c>
      <c r="J13750" s="788">
        <v>40508</v>
      </c>
      <c r="K13750" s="788">
        <v>41884</v>
      </c>
      <c r="L13750" s="787">
        <v>396.2</v>
      </c>
      <c r="M13750" s="787">
        <v>20</v>
      </c>
      <c r="N13750" s="787">
        <v>425.92</v>
      </c>
      <c r="O13750" s="788">
        <v>41884</v>
      </c>
    </row>
    <row r="13751" spans="1:15" x14ac:dyDescent="0.25">
      <c r="A13751" s="786" t="s">
        <v>24769</v>
      </c>
      <c r="B13751" s="787">
        <v>4</v>
      </c>
      <c r="C13751" s="787" t="s">
        <v>24770</v>
      </c>
      <c r="D13751" s="787">
        <v>0</v>
      </c>
      <c r="E13751" s="787">
        <v>0</v>
      </c>
      <c r="H13751" s="787">
        <v>6</v>
      </c>
      <c r="L13751" s="787">
        <v>0</v>
      </c>
      <c r="M13751" s="787">
        <v>20</v>
      </c>
      <c r="N13751" s="787">
        <v>0</v>
      </c>
      <c r="O13751" s="788">
        <v>40824</v>
      </c>
    </row>
    <row r="13752" spans="1:15" x14ac:dyDescent="0.25">
      <c r="A13752" s="786" t="s">
        <v>24771</v>
      </c>
      <c r="B13752" s="787">
        <v>4</v>
      </c>
      <c r="C13752" s="787" t="s">
        <v>24772</v>
      </c>
      <c r="D13752" s="787">
        <v>0</v>
      </c>
      <c r="E13752" s="787">
        <v>0</v>
      </c>
      <c r="H13752" s="787">
        <v>6</v>
      </c>
      <c r="L13752" s="787">
        <v>0</v>
      </c>
      <c r="M13752" s="787">
        <v>20</v>
      </c>
      <c r="N13752" s="787">
        <v>0</v>
      </c>
      <c r="O13752" s="788">
        <v>40824</v>
      </c>
    </row>
    <row r="13753" spans="1:15" x14ac:dyDescent="0.25">
      <c r="A13753" s="786" t="s">
        <v>24773</v>
      </c>
      <c r="B13753" s="787">
        <v>4</v>
      </c>
      <c r="C13753" s="787" t="s">
        <v>24774</v>
      </c>
      <c r="D13753" s="787">
        <v>0</v>
      </c>
      <c r="E13753" s="787">
        <v>32.549999999999997</v>
      </c>
      <c r="G13753" s="788">
        <v>42158</v>
      </c>
      <c r="H13753" s="787">
        <v>1</v>
      </c>
      <c r="I13753" s="788">
        <v>42158</v>
      </c>
      <c r="J13753" s="788">
        <v>42158</v>
      </c>
      <c r="L13753" s="787">
        <v>32.549999999999997</v>
      </c>
      <c r="M13753" s="787">
        <v>20</v>
      </c>
      <c r="N13753" s="787">
        <v>0</v>
      </c>
    </row>
    <row r="13754" spans="1:15" x14ac:dyDescent="0.25">
      <c r="A13754" s="786" t="s">
        <v>24775</v>
      </c>
      <c r="B13754" s="787">
        <v>4</v>
      </c>
      <c r="C13754" s="787" t="s">
        <v>24776</v>
      </c>
      <c r="D13754" s="787">
        <v>8.1</v>
      </c>
      <c r="E13754" s="787">
        <v>173.1</v>
      </c>
      <c r="F13754" s="788">
        <v>41155</v>
      </c>
      <c r="G13754" s="788">
        <v>41935</v>
      </c>
      <c r="H13754" s="787">
        <v>1</v>
      </c>
      <c r="I13754" s="788">
        <v>41934</v>
      </c>
      <c r="J13754" s="788">
        <v>41935</v>
      </c>
      <c r="K13754" s="788">
        <v>41884</v>
      </c>
      <c r="L13754" s="787">
        <v>173.1</v>
      </c>
      <c r="M13754" s="787">
        <v>20</v>
      </c>
      <c r="N13754" s="787">
        <v>186.08</v>
      </c>
      <c r="O13754" s="788">
        <v>41884</v>
      </c>
    </row>
    <row r="13755" spans="1:15" x14ac:dyDescent="0.25">
      <c r="A13755" s="786" t="s">
        <v>24777</v>
      </c>
      <c r="B13755" s="787">
        <v>4</v>
      </c>
      <c r="C13755" s="787" t="s">
        <v>24778</v>
      </c>
      <c r="D13755" s="787">
        <v>0</v>
      </c>
      <c r="E13755" s="787">
        <v>0</v>
      </c>
      <c r="H13755" s="787">
        <v>1</v>
      </c>
      <c r="K13755" s="788">
        <v>41884</v>
      </c>
      <c r="L13755" s="787">
        <v>291.89999999999998</v>
      </c>
      <c r="M13755" s="787">
        <v>20</v>
      </c>
      <c r="N13755" s="787">
        <v>313.79000000000002</v>
      </c>
      <c r="O13755" s="788">
        <v>41884</v>
      </c>
    </row>
    <row r="13756" spans="1:15" x14ac:dyDescent="0.25">
      <c r="A13756" s="786" t="s">
        <v>24779</v>
      </c>
      <c r="B13756" s="787">
        <v>4</v>
      </c>
      <c r="C13756" s="787" t="s">
        <v>24780</v>
      </c>
      <c r="D13756" s="787">
        <v>0</v>
      </c>
      <c r="E13756" s="787">
        <v>0</v>
      </c>
      <c r="H13756" s="787">
        <v>1</v>
      </c>
      <c r="K13756" s="788">
        <v>41884</v>
      </c>
      <c r="L13756" s="787">
        <v>386.2</v>
      </c>
      <c r="M13756" s="787">
        <v>20</v>
      </c>
      <c r="N13756" s="787">
        <v>415.17</v>
      </c>
      <c r="O13756" s="788">
        <v>41884</v>
      </c>
    </row>
    <row r="13757" spans="1:15" x14ac:dyDescent="0.25">
      <c r="A13757" s="786" t="s">
        <v>24781</v>
      </c>
      <c r="B13757" s="787">
        <v>4</v>
      </c>
      <c r="C13757" s="787" t="s">
        <v>24782</v>
      </c>
      <c r="D13757" s="787">
        <v>2.35</v>
      </c>
      <c r="E13757" s="787">
        <v>271.75</v>
      </c>
      <c r="F13757" s="788">
        <v>40911</v>
      </c>
      <c r="G13757" s="788">
        <v>40913</v>
      </c>
      <c r="H13757" s="787">
        <v>1</v>
      </c>
      <c r="I13757" s="788">
        <v>41027</v>
      </c>
      <c r="J13757" s="788">
        <v>40898</v>
      </c>
      <c r="K13757" s="788">
        <v>41884</v>
      </c>
      <c r="L13757" s="787">
        <v>296.75</v>
      </c>
      <c r="M13757" s="787">
        <v>20</v>
      </c>
      <c r="N13757" s="787">
        <v>292.13</v>
      </c>
      <c r="O13757" s="788">
        <v>41858</v>
      </c>
    </row>
    <row r="13758" spans="1:15" x14ac:dyDescent="0.25">
      <c r="A13758" s="786" t="s">
        <v>24783</v>
      </c>
      <c r="B13758" s="787">
        <v>4</v>
      </c>
      <c r="C13758" s="787" t="s">
        <v>24784</v>
      </c>
      <c r="D13758" s="787">
        <v>0</v>
      </c>
      <c r="E13758" s="787">
        <v>0</v>
      </c>
      <c r="H13758" s="787">
        <v>1</v>
      </c>
      <c r="K13758" s="788">
        <v>41884</v>
      </c>
      <c r="L13758" s="787">
        <v>401.2</v>
      </c>
      <c r="M13758" s="787">
        <v>20</v>
      </c>
      <c r="N13758" s="787">
        <v>431.29</v>
      </c>
      <c r="O13758" s="788">
        <v>41884</v>
      </c>
    </row>
    <row r="13759" spans="1:15" x14ac:dyDescent="0.25">
      <c r="A13759" s="786" t="s">
        <v>24785</v>
      </c>
      <c r="B13759" s="787">
        <v>4</v>
      </c>
      <c r="C13759" s="787" t="s">
        <v>24786</v>
      </c>
      <c r="D13759" s="787">
        <v>0</v>
      </c>
      <c r="E13759" s="787">
        <v>0</v>
      </c>
      <c r="H13759" s="787">
        <v>1</v>
      </c>
      <c r="K13759" s="788">
        <v>41884</v>
      </c>
      <c r="L13759" s="787">
        <v>183.1</v>
      </c>
      <c r="M13759" s="787">
        <v>20</v>
      </c>
      <c r="N13759" s="787">
        <v>196.83</v>
      </c>
      <c r="O13759" s="788">
        <v>41884</v>
      </c>
    </row>
    <row r="13760" spans="1:15" x14ac:dyDescent="0.25">
      <c r="A13760" s="786" t="s">
        <v>24787</v>
      </c>
      <c r="B13760" s="787">
        <v>4</v>
      </c>
      <c r="C13760" s="787" t="s">
        <v>24788</v>
      </c>
      <c r="D13760" s="787">
        <v>0</v>
      </c>
      <c r="E13760" s="787">
        <v>0</v>
      </c>
      <c r="H13760" s="787">
        <v>6</v>
      </c>
      <c r="L13760" s="787">
        <v>0</v>
      </c>
      <c r="M13760" s="787">
        <v>20</v>
      </c>
      <c r="N13760" s="787">
        <v>0</v>
      </c>
      <c r="O13760" s="788">
        <v>40824</v>
      </c>
    </row>
    <row r="13761" spans="1:15" x14ac:dyDescent="0.25">
      <c r="A13761" s="786" t="s">
        <v>24789</v>
      </c>
      <c r="B13761" s="787">
        <v>4</v>
      </c>
      <c r="C13761" s="787" t="s">
        <v>24790</v>
      </c>
      <c r="D13761" s="787">
        <v>0</v>
      </c>
      <c r="E13761" s="787">
        <v>0</v>
      </c>
      <c r="H13761" s="787">
        <v>6</v>
      </c>
      <c r="L13761" s="787">
        <v>0</v>
      </c>
      <c r="M13761" s="787">
        <v>20</v>
      </c>
      <c r="N13761" s="787">
        <v>0</v>
      </c>
      <c r="O13761" s="788">
        <v>40824</v>
      </c>
    </row>
    <row r="13762" spans="1:15" x14ac:dyDescent="0.25">
      <c r="A13762" s="786" t="s">
        <v>24791</v>
      </c>
      <c r="B13762" s="787">
        <v>4</v>
      </c>
      <c r="C13762" s="787" t="s">
        <v>24792</v>
      </c>
      <c r="D13762" s="787">
        <v>6.75</v>
      </c>
      <c r="E13762" s="787">
        <v>266.75</v>
      </c>
      <c r="F13762" s="788">
        <v>40891</v>
      </c>
      <c r="G13762" s="788">
        <v>40861</v>
      </c>
      <c r="H13762" s="787">
        <v>1</v>
      </c>
      <c r="I13762" s="788">
        <v>40889</v>
      </c>
      <c r="J13762" s="788">
        <v>40891</v>
      </c>
      <c r="K13762" s="788">
        <v>40910</v>
      </c>
      <c r="L13762" s="787">
        <v>266.75</v>
      </c>
      <c r="M13762" s="787">
        <v>20</v>
      </c>
      <c r="N13762" s="787">
        <v>286.76</v>
      </c>
      <c r="O13762" s="788">
        <v>41858</v>
      </c>
    </row>
    <row r="13763" spans="1:15" x14ac:dyDescent="0.25">
      <c r="A13763" s="786" t="s">
        <v>24793</v>
      </c>
      <c r="B13763" s="787">
        <v>4</v>
      </c>
      <c r="C13763" s="787" t="s">
        <v>24794</v>
      </c>
      <c r="D13763" s="787">
        <v>0</v>
      </c>
      <c r="E13763" s="787">
        <v>0</v>
      </c>
      <c r="H13763" s="787">
        <v>6</v>
      </c>
      <c r="L13763" s="787">
        <v>0</v>
      </c>
      <c r="M13763" s="787">
        <v>20</v>
      </c>
      <c r="N13763" s="787">
        <v>0</v>
      </c>
      <c r="O13763" s="788">
        <v>40824</v>
      </c>
    </row>
    <row r="13764" spans="1:15" x14ac:dyDescent="0.25">
      <c r="A13764" s="786" t="s">
        <v>24795</v>
      </c>
      <c r="B13764" s="787">
        <v>4</v>
      </c>
      <c r="C13764" s="787" t="s">
        <v>24796</v>
      </c>
      <c r="D13764" s="787">
        <v>0</v>
      </c>
      <c r="E13764" s="787">
        <v>0</v>
      </c>
      <c r="H13764" s="787">
        <v>6</v>
      </c>
      <c r="L13764" s="787">
        <v>0</v>
      </c>
      <c r="M13764" s="787">
        <v>20</v>
      </c>
      <c r="N13764" s="787">
        <v>0</v>
      </c>
      <c r="O13764" s="788">
        <v>40824</v>
      </c>
    </row>
    <row r="13765" spans="1:15" x14ac:dyDescent="0.25">
      <c r="A13765" s="786" t="s">
        <v>24797</v>
      </c>
      <c r="B13765" s="787">
        <v>4</v>
      </c>
      <c r="C13765" s="787" t="s">
        <v>24798</v>
      </c>
      <c r="D13765" s="787">
        <v>0</v>
      </c>
      <c r="E13765" s="787">
        <v>0</v>
      </c>
      <c r="H13765" s="787">
        <v>6</v>
      </c>
      <c r="L13765" s="787">
        <v>0</v>
      </c>
      <c r="M13765" s="787">
        <v>20</v>
      </c>
      <c r="N13765" s="787">
        <v>0</v>
      </c>
      <c r="O13765" s="788">
        <v>40824</v>
      </c>
    </row>
    <row r="13766" spans="1:15" x14ac:dyDescent="0.25">
      <c r="A13766" s="786" t="s">
        <v>24799</v>
      </c>
      <c r="B13766" s="787">
        <v>4</v>
      </c>
      <c r="C13766" s="787" t="s">
        <v>24800</v>
      </c>
      <c r="D13766" s="787">
        <v>0</v>
      </c>
      <c r="E13766" s="787">
        <v>0</v>
      </c>
      <c r="H13766" s="787">
        <v>1</v>
      </c>
      <c r="K13766" s="788">
        <v>41884</v>
      </c>
      <c r="L13766" s="787">
        <v>282.14999999999998</v>
      </c>
      <c r="M13766" s="787">
        <v>20</v>
      </c>
      <c r="N13766" s="787">
        <v>303.31</v>
      </c>
      <c r="O13766" s="788">
        <v>41884</v>
      </c>
    </row>
    <row r="13767" spans="1:15" x14ac:dyDescent="0.25">
      <c r="A13767" s="786" t="s">
        <v>24801</v>
      </c>
      <c r="B13767" s="787">
        <v>4</v>
      </c>
      <c r="C13767" s="787" t="s">
        <v>24802</v>
      </c>
      <c r="D13767" s="787">
        <v>7</v>
      </c>
      <c r="E13767" s="787">
        <v>247</v>
      </c>
      <c r="F13767" s="788">
        <v>40865</v>
      </c>
      <c r="G13767" s="788">
        <v>40842</v>
      </c>
      <c r="H13767" s="787">
        <v>1</v>
      </c>
      <c r="J13767" s="788">
        <v>40842</v>
      </c>
      <c r="K13767" s="788">
        <v>41884</v>
      </c>
      <c r="L13767" s="787">
        <v>272</v>
      </c>
      <c r="M13767" s="787">
        <v>20</v>
      </c>
      <c r="N13767" s="787">
        <v>265.52999999999997</v>
      </c>
      <c r="O13767" s="788">
        <v>41858</v>
      </c>
    </row>
    <row r="13768" spans="1:15" x14ac:dyDescent="0.25">
      <c r="A13768" s="786" t="s">
        <v>24803</v>
      </c>
      <c r="B13768" s="787">
        <v>4</v>
      </c>
      <c r="C13768" s="787" t="s">
        <v>24804</v>
      </c>
      <c r="D13768" s="787">
        <v>0</v>
      </c>
      <c r="E13768" s="787">
        <v>0</v>
      </c>
      <c r="H13768" s="787">
        <v>1</v>
      </c>
      <c r="K13768" s="788">
        <v>41884</v>
      </c>
      <c r="L13768" s="787">
        <v>376.45</v>
      </c>
      <c r="M13768" s="787">
        <v>20</v>
      </c>
      <c r="N13768" s="787">
        <v>404.68</v>
      </c>
      <c r="O13768" s="788">
        <v>41884</v>
      </c>
    </row>
    <row r="13769" spans="1:15" x14ac:dyDescent="0.25">
      <c r="A13769" s="786" t="s">
        <v>24805</v>
      </c>
      <c r="B13769" s="787">
        <v>4</v>
      </c>
      <c r="C13769" s="787" t="s">
        <v>24806</v>
      </c>
      <c r="D13769" s="787">
        <v>0</v>
      </c>
      <c r="E13769" s="787">
        <v>0</v>
      </c>
      <c r="H13769" s="787">
        <v>1</v>
      </c>
      <c r="K13769" s="788">
        <v>41884</v>
      </c>
      <c r="L13769" s="787">
        <v>287</v>
      </c>
      <c r="M13769" s="787">
        <v>20</v>
      </c>
      <c r="N13769" s="787">
        <v>1.08</v>
      </c>
      <c r="O13769" s="788">
        <v>41858</v>
      </c>
    </row>
    <row r="13770" spans="1:15" x14ac:dyDescent="0.25">
      <c r="A13770" s="786" t="s">
        <v>24807</v>
      </c>
      <c r="B13770" s="787">
        <v>4</v>
      </c>
      <c r="C13770" s="787" t="s">
        <v>24808</v>
      </c>
      <c r="D13770" s="787">
        <v>0</v>
      </c>
      <c r="E13770" s="787">
        <v>0</v>
      </c>
      <c r="H13770" s="787">
        <v>1</v>
      </c>
      <c r="K13770" s="788">
        <v>41884</v>
      </c>
      <c r="L13770" s="787">
        <v>391.45</v>
      </c>
      <c r="M13770" s="787">
        <v>20</v>
      </c>
      <c r="N13770" s="787">
        <v>420.81</v>
      </c>
      <c r="O13770" s="788">
        <v>41884</v>
      </c>
    </row>
    <row r="13771" spans="1:15" x14ac:dyDescent="0.25">
      <c r="A13771" s="786" t="s">
        <v>24809</v>
      </c>
      <c r="B13771" s="787">
        <v>4</v>
      </c>
      <c r="C13771" s="787" t="s">
        <v>24810</v>
      </c>
      <c r="D13771" s="787">
        <v>0</v>
      </c>
      <c r="E13771" s="787">
        <v>0</v>
      </c>
      <c r="H13771" s="787">
        <v>1</v>
      </c>
      <c r="K13771" s="788">
        <v>41884</v>
      </c>
      <c r="L13771" s="787">
        <v>173.35</v>
      </c>
      <c r="M13771" s="787">
        <v>20</v>
      </c>
      <c r="N13771" s="787">
        <v>186.35</v>
      </c>
      <c r="O13771" s="788">
        <v>41884</v>
      </c>
    </row>
    <row r="13772" spans="1:15" x14ac:dyDescent="0.25">
      <c r="A13772" s="786" t="s">
        <v>24811</v>
      </c>
      <c r="B13772" s="787">
        <v>4</v>
      </c>
      <c r="C13772" s="787" t="s">
        <v>24812</v>
      </c>
      <c r="D13772" s="787">
        <v>2.7</v>
      </c>
      <c r="E13772" s="787">
        <v>162.69999999999999</v>
      </c>
      <c r="F13772" s="788">
        <v>40494</v>
      </c>
      <c r="G13772" s="788">
        <v>40472</v>
      </c>
      <c r="H13772" s="787">
        <v>1</v>
      </c>
      <c r="I13772" s="788">
        <v>40491</v>
      </c>
      <c r="J13772" s="788">
        <v>40472</v>
      </c>
      <c r="K13772" s="788">
        <v>41884</v>
      </c>
      <c r="L13772" s="787">
        <v>187.7</v>
      </c>
      <c r="M13772" s="787">
        <v>20</v>
      </c>
      <c r="N13772" s="787">
        <v>201.78</v>
      </c>
      <c r="O13772" s="788">
        <v>41884</v>
      </c>
    </row>
    <row r="13773" spans="1:15" x14ac:dyDescent="0.25">
      <c r="A13773" s="786" t="s">
        <v>24813</v>
      </c>
      <c r="B13773" s="787">
        <v>4</v>
      </c>
      <c r="C13773" s="787" t="s">
        <v>24814</v>
      </c>
      <c r="D13773" s="787">
        <v>0</v>
      </c>
      <c r="E13773" s="787">
        <v>0</v>
      </c>
      <c r="H13773" s="787">
        <v>6</v>
      </c>
      <c r="L13773" s="787">
        <v>0</v>
      </c>
      <c r="M13773" s="787">
        <v>20</v>
      </c>
      <c r="N13773" s="787">
        <v>0</v>
      </c>
      <c r="O13773" s="788">
        <v>40824</v>
      </c>
    </row>
    <row r="13774" spans="1:15" x14ac:dyDescent="0.25">
      <c r="A13774" s="786" t="s">
        <v>24815</v>
      </c>
      <c r="B13774" s="787">
        <v>4</v>
      </c>
      <c r="C13774" s="787" t="s">
        <v>24816</v>
      </c>
      <c r="D13774" s="787">
        <v>7</v>
      </c>
      <c r="E13774" s="787">
        <v>257</v>
      </c>
      <c r="F13774" s="788">
        <v>40494</v>
      </c>
      <c r="G13774" s="788">
        <v>40464</v>
      </c>
      <c r="H13774" s="787">
        <v>1</v>
      </c>
      <c r="I13774" s="788">
        <v>40520</v>
      </c>
      <c r="J13774" s="788">
        <v>40520</v>
      </c>
      <c r="K13774" s="788">
        <v>41884</v>
      </c>
      <c r="L13774" s="787">
        <v>282</v>
      </c>
      <c r="M13774" s="787">
        <v>20</v>
      </c>
      <c r="N13774" s="787">
        <v>303.14999999999998</v>
      </c>
      <c r="O13774" s="788">
        <v>41884</v>
      </c>
    </row>
    <row r="13775" spans="1:15" x14ac:dyDescent="0.25">
      <c r="A13775" s="786" t="s">
        <v>24817</v>
      </c>
      <c r="B13775" s="787">
        <v>4</v>
      </c>
      <c r="C13775" s="787" t="s">
        <v>24818</v>
      </c>
      <c r="D13775" s="787">
        <v>0</v>
      </c>
      <c r="E13775" s="787">
        <v>0</v>
      </c>
      <c r="H13775" s="787">
        <v>6</v>
      </c>
      <c r="L13775" s="787">
        <v>0</v>
      </c>
      <c r="M13775" s="787">
        <v>20</v>
      </c>
      <c r="N13775" s="787">
        <v>0</v>
      </c>
      <c r="O13775" s="788">
        <v>40824</v>
      </c>
    </row>
    <row r="13776" spans="1:15" x14ac:dyDescent="0.25">
      <c r="A13776" s="786" t="s">
        <v>24819</v>
      </c>
      <c r="B13776" s="787">
        <v>4</v>
      </c>
      <c r="C13776" s="787" t="s">
        <v>24820</v>
      </c>
      <c r="D13776" s="787">
        <v>0</v>
      </c>
      <c r="E13776" s="787">
        <v>0</v>
      </c>
      <c r="H13776" s="787">
        <v>6</v>
      </c>
      <c r="L13776" s="787">
        <v>0</v>
      </c>
      <c r="M13776" s="787">
        <v>20</v>
      </c>
      <c r="N13776" s="787">
        <v>0</v>
      </c>
      <c r="O13776" s="788">
        <v>40824</v>
      </c>
    </row>
    <row r="13777" spans="1:15" x14ac:dyDescent="0.25">
      <c r="A13777" s="786" t="s">
        <v>24821</v>
      </c>
      <c r="B13777" s="787">
        <v>4</v>
      </c>
      <c r="C13777" s="787" t="s">
        <v>24822</v>
      </c>
      <c r="D13777" s="787">
        <v>0</v>
      </c>
      <c r="E13777" s="787">
        <v>0</v>
      </c>
      <c r="H13777" s="787">
        <v>6</v>
      </c>
      <c r="L13777" s="787">
        <v>0</v>
      </c>
      <c r="M13777" s="787">
        <v>20</v>
      </c>
      <c r="N13777" s="787">
        <v>0</v>
      </c>
      <c r="O13777" s="788">
        <v>40824</v>
      </c>
    </row>
    <row r="13778" spans="1:15" x14ac:dyDescent="0.25">
      <c r="A13778" s="786" t="s">
        <v>24823</v>
      </c>
      <c r="B13778" s="787">
        <v>4</v>
      </c>
      <c r="C13778" s="787" t="s">
        <v>24824</v>
      </c>
      <c r="D13778" s="787">
        <v>4.3499999999999996</v>
      </c>
      <c r="E13778" s="787">
        <v>164.35</v>
      </c>
      <c r="F13778" s="788">
        <v>41914</v>
      </c>
      <c r="G13778" s="788">
        <v>41906</v>
      </c>
      <c r="H13778" s="787">
        <v>1</v>
      </c>
      <c r="I13778" s="788">
        <v>41906</v>
      </c>
      <c r="J13778" s="788">
        <v>41906</v>
      </c>
      <c r="K13778" s="788">
        <v>41884</v>
      </c>
      <c r="L13778" s="787">
        <v>164.35</v>
      </c>
      <c r="M13778" s="787">
        <v>20</v>
      </c>
      <c r="N13778" s="787">
        <v>176.68</v>
      </c>
      <c r="O13778" s="788">
        <v>41884</v>
      </c>
    </row>
    <row r="13779" spans="1:15" x14ac:dyDescent="0.25">
      <c r="A13779" s="786" t="s">
        <v>24825</v>
      </c>
      <c r="B13779" s="787">
        <v>4</v>
      </c>
      <c r="C13779" s="787" t="s">
        <v>24826</v>
      </c>
      <c r="D13779" s="787">
        <v>0</v>
      </c>
      <c r="E13779" s="787">
        <v>0</v>
      </c>
      <c r="H13779" s="787">
        <v>1</v>
      </c>
      <c r="K13779" s="788">
        <v>41884</v>
      </c>
      <c r="L13779" s="787">
        <v>282.14999999999998</v>
      </c>
      <c r="M13779" s="787">
        <v>20</v>
      </c>
      <c r="N13779" s="787">
        <v>303.31</v>
      </c>
      <c r="O13779" s="788">
        <v>41884</v>
      </c>
    </row>
    <row r="13780" spans="1:15" x14ac:dyDescent="0.25">
      <c r="A13780" s="786" t="s">
        <v>24827</v>
      </c>
      <c r="B13780" s="787">
        <v>4</v>
      </c>
      <c r="C13780" s="787" t="s">
        <v>24828</v>
      </c>
      <c r="D13780" s="787">
        <v>0</v>
      </c>
      <c r="E13780" s="787">
        <v>0</v>
      </c>
      <c r="H13780" s="787">
        <v>1</v>
      </c>
      <c r="K13780" s="788">
        <v>41884</v>
      </c>
      <c r="L13780" s="787">
        <v>272</v>
      </c>
      <c r="M13780" s="787">
        <v>20</v>
      </c>
      <c r="N13780" s="787">
        <v>1.08</v>
      </c>
      <c r="O13780" s="788">
        <v>41858</v>
      </c>
    </row>
    <row r="13781" spans="1:15" x14ac:dyDescent="0.25">
      <c r="A13781" s="786" t="s">
        <v>24829</v>
      </c>
      <c r="B13781" s="787">
        <v>4</v>
      </c>
      <c r="C13781" s="787" t="s">
        <v>24830</v>
      </c>
      <c r="D13781" s="787">
        <v>0</v>
      </c>
      <c r="E13781" s="787">
        <v>0</v>
      </c>
      <c r="H13781" s="787">
        <v>1</v>
      </c>
      <c r="K13781" s="788">
        <v>41884</v>
      </c>
      <c r="L13781" s="787">
        <v>376.45</v>
      </c>
      <c r="M13781" s="787">
        <v>20</v>
      </c>
      <c r="N13781" s="787">
        <v>404.68</v>
      </c>
      <c r="O13781" s="788">
        <v>41884</v>
      </c>
    </row>
    <row r="13782" spans="1:15" x14ac:dyDescent="0.25">
      <c r="A13782" s="786" t="s">
        <v>24831</v>
      </c>
      <c r="B13782" s="787">
        <v>4</v>
      </c>
      <c r="C13782" s="787" t="s">
        <v>24832</v>
      </c>
      <c r="D13782" s="787">
        <v>0</v>
      </c>
      <c r="E13782" s="787">
        <v>0</v>
      </c>
      <c r="H13782" s="787">
        <v>1</v>
      </c>
      <c r="K13782" s="788">
        <v>41884</v>
      </c>
      <c r="L13782" s="787">
        <v>287</v>
      </c>
      <c r="M13782" s="787">
        <v>20</v>
      </c>
      <c r="N13782" s="787">
        <v>1.08</v>
      </c>
      <c r="O13782" s="788">
        <v>41858</v>
      </c>
    </row>
    <row r="13783" spans="1:15" x14ac:dyDescent="0.25">
      <c r="A13783" s="786" t="s">
        <v>24833</v>
      </c>
      <c r="B13783" s="787">
        <v>4</v>
      </c>
      <c r="C13783" s="787" t="s">
        <v>24834</v>
      </c>
      <c r="D13783" s="787">
        <v>0</v>
      </c>
      <c r="E13783" s="787">
        <v>0</v>
      </c>
      <c r="H13783" s="787">
        <v>1</v>
      </c>
      <c r="K13783" s="788">
        <v>41884</v>
      </c>
      <c r="L13783" s="787">
        <v>391.45</v>
      </c>
      <c r="M13783" s="787">
        <v>20</v>
      </c>
      <c r="N13783" s="787">
        <v>420.81</v>
      </c>
      <c r="O13783" s="788">
        <v>41884</v>
      </c>
    </row>
    <row r="13784" spans="1:15" x14ac:dyDescent="0.25">
      <c r="A13784" s="786" t="s">
        <v>24835</v>
      </c>
      <c r="B13784" s="787">
        <v>4</v>
      </c>
      <c r="C13784" s="787" t="s">
        <v>24836</v>
      </c>
      <c r="D13784" s="787">
        <v>0</v>
      </c>
      <c r="E13784" s="787">
        <v>0</v>
      </c>
      <c r="H13784" s="787">
        <v>1</v>
      </c>
      <c r="K13784" s="788">
        <v>41884</v>
      </c>
      <c r="L13784" s="787">
        <v>173.35</v>
      </c>
      <c r="M13784" s="787">
        <v>20</v>
      </c>
      <c r="N13784" s="787">
        <v>186.35</v>
      </c>
      <c r="O13784" s="788">
        <v>41884</v>
      </c>
    </row>
    <row r="13785" spans="1:15" x14ac:dyDescent="0.25">
      <c r="A13785" s="786" t="s">
        <v>24837</v>
      </c>
      <c r="B13785" s="787">
        <v>4</v>
      </c>
      <c r="C13785" s="787" t="s">
        <v>24838</v>
      </c>
      <c r="D13785" s="787">
        <v>0</v>
      </c>
      <c r="E13785" s="787">
        <v>0</v>
      </c>
      <c r="H13785" s="787">
        <v>6</v>
      </c>
      <c r="L13785" s="787">
        <v>0</v>
      </c>
      <c r="M13785" s="787">
        <v>20</v>
      </c>
      <c r="N13785" s="787">
        <v>0</v>
      </c>
      <c r="O13785" s="788">
        <v>40824</v>
      </c>
    </row>
    <row r="13786" spans="1:15" x14ac:dyDescent="0.25">
      <c r="A13786" s="786" t="s">
        <v>24839</v>
      </c>
      <c r="B13786" s="787">
        <v>4</v>
      </c>
      <c r="C13786" s="787" t="s">
        <v>24840</v>
      </c>
      <c r="D13786" s="787">
        <v>0</v>
      </c>
      <c r="E13786" s="787">
        <v>0</v>
      </c>
      <c r="H13786" s="787">
        <v>6</v>
      </c>
      <c r="L13786" s="787">
        <v>0</v>
      </c>
      <c r="M13786" s="787">
        <v>20</v>
      </c>
      <c r="N13786" s="787">
        <v>0</v>
      </c>
      <c r="O13786" s="788">
        <v>40824</v>
      </c>
    </row>
    <row r="13787" spans="1:15" x14ac:dyDescent="0.25">
      <c r="A13787" s="786" t="s">
        <v>24841</v>
      </c>
      <c r="B13787" s="787">
        <v>4</v>
      </c>
      <c r="C13787" s="787" t="s">
        <v>24842</v>
      </c>
      <c r="D13787" s="787">
        <v>7</v>
      </c>
      <c r="E13787" s="787">
        <v>257</v>
      </c>
      <c r="F13787" s="788">
        <v>40589</v>
      </c>
      <c r="G13787" s="788">
        <v>40590</v>
      </c>
      <c r="H13787" s="787">
        <v>1</v>
      </c>
      <c r="J13787" s="788">
        <v>40590</v>
      </c>
      <c r="K13787" s="788">
        <v>41261</v>
      </c>
      <c r="L13787" s="787">
        <v>257</v>
      </c>
      <c r="M13787" s="787">
        <v>20</v>
      </c>
      <c r="N13787" s="787">
        <v>276.27999999999997</v>
      </c>
      <c r="O13787" s="788">
        <v>41858</v>
      </c>
    </row>
    <row r="13788" spans="1:15" x14ac:dyDescent="0.25">
      <c r="A13788" s="786" t="s">
        <v>24843</v>
      </c>
      <c r="B13788" s="787">
        <v>4</v>
      </c>
      <c r="C13788" s="787" t="s">
        <v>24844</v>
      </c>
      <c r="D13788" s="787">
        <v>0</v>
      </c>
      <c r="E13788" s="787">
        <v>0</v>
      </c>
      <c r="H13788" s="787">
        <v>6</v>
      </c>
      <c r="L13788" s="787">
        <v>0</v>
      </c>
      <c r="M13788" s="787">
        <v>20</v>
      </c>
      <c r="N13788" s="787">
        <v>0</v>
      </c>
      <c r="O13788" s="788">
        <v>40824</v>
      </c>
    </row>
    <row r="13789" spans="1:15" x14ac:dyDescent="0.25">
      <c r="A13789" s="786" t="s">
        <v>24845</v>
      </c>
      <c r="B13789" s="787">
        <v>4</v>
      </c>
      <c r="C13789" s="787" t="s">
        <v>24846</v>
      </c>
      <c r="D13789" s="787">
        <v>0</v>
      </c>
      <c r="E13789" s="787">
        <v>0</v>
      </c>
      <c r="H13789" s="787">
        <v>6</v>
      </c>
      <c r="L13789" s="787">
        <v>0</v>
      </c>
      <c r="M13789" s="787">
        <v>20</v>
      </c>
      <c r="N13789" s="787">
        <v>0</v>
      </c>
      <c r="O13789" s="788">
        <v>40824</v>
      </c>
    </row>
    <row r="13790" spans="1:15" x14ac:dyDescent="0.25">
      <c r="A13790" s="786" t="s">
        <v>24847</v>
      </c>
      <c r="B13790" s="787">
        <v>4</v>
      </c>
      <c r="C13790" s="787" t="s">
        <v>24848</v>
      </c>
      <c r="D13790" s="787">
        <v>0</v>
      </c>
      <c r="E13790" s="787">
        <v>0</v>
      </c>
      <c r="H13790" s="787">
        <v>6</v>
      </c>
      <c r="L13790" s="787">
        <v>0</v>
      </c>
      <c r="M13790" s="787">
        <v>20</v>
      </c>
      <c r="N13790" s="787">
        <v>0</v>
      </c>
      <c r="O13790" s="788">
        <v>40824</v>
      </c>
    </row>
    <row r="13791" spans="1:15" x14ac:dyDescent="0.25">
      <c r="A13791" s="786" t="s">
        <v>24849</v>
      </c>
      <c r="B13791" s="787">
        <v>4</v>
      </c>
      <c r="C13791" s="787" t="s">
        <v>24850</v>
      </c>
      <c r="D13791" s="787">
        <v>0</v>
      </c>
      <c r="E13791" s="787">
        <v>0</v>
      </c>
      <c r="H13791" s="787">
        <v>1</v>
      </c>
      <c r="K13791" s="788">
        <v>41884</v>
      </c>
      <c r="L13791" s="787">
        <v>183.35</v>
      </c>
      <c r="M13791" s="787">
        <v>20</v>
      </c>
      <c r="N13791" s="787">
        <v>197.1</v>
      </c>
      <c r="O13791" s="788">
        <v>41884</v>
      </c>
    </row>
    <row r="13792" spans="1:15" x14ac:dyDescent="0.25">
      <c r="A13792" s="786" t="s">
        <v>24851</v>
      </c>
      <c r="B13792" s="787">
        <v>4</v>
      </c>
      <c r="C13792" s="787" t="s">
        <v>24852</v>
      </c>
      <c r="D13792" s="787">
        <v>0</v>
      </c>
      <c r="E13792" s="787">
        <v>0</v>
      </c>
      <c r="H13792" s="787">
        <v>1</v>
      </c>
      <c r="K13792" s="788">
        <v>41884</v>
      </c>
      <c r="L13792" s="787">
        <v>302.14999999999998</v>
      </c>
      <c r="M13792" s="787">
        <v>20</v>
      </c>
      <c r="N13792" s="787">
        <v>324.81</v>
      </c>
      <c r="O13792" s="788">
        <v>41884</v>
      </c>
    </row>
    <row r="13793" spans="1:15" x14ac:dyDescent="0.25">
      <c r="A13793" s="786" t="s">
        <v>24853</v>
      </c>
      <c r="B13793" s="787">
        <v>4</v>
      </c>
      <c r="C13793" s="787" t="s">
        <v>24854</v>
      </c>
      <c r="D13793" s="787">
        <v>0</v>
      </c>
      <c r="E13793" s="787">
        <v>0</v>
      </c>
      <c r="H13793" s="787">
        <v>1</v>
      </c>
      <c r="K13793" s="788">
        <v>41884</v>
      </c>
      <c r="L13793" s="787">
        <v>396.45</v>
      </c>
      <c r="M13793" s="787">
        <v>20</v>
      </c>
      <c r="N13793" s="787">
        <v>426.18</v>
      </c>
      <c r="O13793" s="788">
        <v>41884</v>
      </c>
    </row>
    <row r="13794" spans="1:15" x14ac:dyDescent="0.25">
      <c r="A13794" s="786" t="s">
        <v>24855</v>
      </c>
      <c r="B13794" s="787">
        <v>4</v>
      </c>
      <c r="C13794" s="787" t="s">
        <v>24856</v>
      </c>
      <c r="D13794" s="787">
        <v>2</v>
      </c>
      <c r="E13794" s="787">
        <v>282</v>
      </c>
      <c r="F13794" s="788">
        <v>40891</v>
      </c>
      <c r="G13794" s="788">
        <v>40892</v>
      </c>
      <c r="H13794" s="787">
        <v>1</v>
      </c>
      <c r="I13794" s="788">
        <v>41152</v>
      </c>
      <c r="J13794" s="788">
        <v>40892</v>
      </c>
      <c r="K13794" s="788">
        <v>41884</v>
      </c>
      <c r="L13794" s="787">
        <v>307</v>
      </c>
      <c r="M13794" s="787">
        <v>20</v>
      </c>
      <c r="N13794" s="787">
        <v>303.14999999999998</v>
      </c>
      <c r="O13794" s="788">
        <v>41858</v>
      </c>
    </row>
    <row r="13795" spans="1:15" x14ac:dyDescent="0.25">
      <c r="A13795" s="786" t="s">
        <v>24857</v>
      </c>
      <c r="B13795" s="787">
        <v>4</v>
      </c>
      <c r="C13795" s="787" t="s">
        <v>24858</v>
      </c>
      <c r="D13795" s="787">
        <v>0</v>
      </c>
      <c r="E13795" s="787">
        <v>0</v>
      </c>
      <c r="H13795" s="787">
        <v>1</v>
      </c>
      <c r="K13795" s="788">
        <v>41884</v>
      </c>
      <c r="L13795" s="787">
        <v>411.45</v>
      </c>
      <c r="M13795" s="787">
        <v>20</v>
      </c>
      <c r="N13795" s="787">
        <v>442.31</v>
      </c>
      <c r="O13795" s="788">
        <v>41884</v>
      </c>
    </row>
    <row r="13796" spans="1:15" x14ac:dyDescent="0.25">
      <c r="A13796" s="786" t="s">
        <v>24859</v>
      </c>
      <c r="B13796" s="787">
        <v>4</v>
      </c>
      <c r="C13796" s="787" t="s">
        <v>24860</v>
      </c>
      <c r="D13796" s="787">
        <v>0</v>
      </c>
      <c r="E13796" s="787">
        <v>0</v>
      </c>
      <c r="H13796" s="787">
        <v>1</v>
      </c>
      <c r="K13796" s="788">
        <v>41884</v>
      </c>
      <c r="L13796" s="787">
        <v>193.35</v>
      </c>
      <c r="M13796" s="787">
        <v>20</v>
      </c>
      <c r="N13796" s="787">
        <v>207.85</v>
      </c>
      <c r="O13796" s="788">
        <v>41884</v>
      </c>
    </row>
    <row r="13797" spans="1:15" x14ac:dyDescent="0.25">
      <c r="A13797" s="786" t="s">
        <v>24861</v>
      </c>
      <c r="B13797" s="787">
        <v>4</v>
      </c>
      <c r="C13797" s="787" t="s">
        <v>24862</v>
      </c>
      <c r="D13797" s="787">
        <v>0</v>
      </c>
      <c r="E13797" s="787">
        <v>0</v>
      </c>
      <c r="H13797" s="787">
        <v>1</v>
      </c>
      <c r="K13797" s="788">
        <v>41884</v>
      </c>
      <c r="L13797" s="787">
        <v>207.7</v>
      </c>
      <c r="M13797" s="787">
        <v>20</v>
      </c>
      <c r="N13797" s="787">
        <v>223.28</v>
      </c>
      <c r="O13797" s="788">
        <v>41884</v>
      </c>
    </row>
    <row r="13798" spans="1:15" x14ac:dyDescent="0.25">
      <c r="A13798" s="786" t="s">
        <v>24863</v>
      </c>
      <c r="B13798" s="787">
        <v>4</v>
      </c>
      <c r="C13798" s="787" t="s">
        <v>24864</v>
      </c>
      <c r="D13798" s="787">
        <v>0</v>
      </c>
      <c r="E13798" s="787">
        <v>0</v>
      </c>
      <c r="H13798" s="787">
        <v>6</v>
      </c>
      <c r="L13798" s="787">
        <v>0</v>
      </c>
      <c r="M13798" s="787">
        <v>20</v>
      </c>
      <c r="N13798" s="787">
        <v>0</v>
      </c>
      <c r="O13798" s="788">
        <v>40824</v>
      </c>
    </row>
    <row r="13799" spans="1:15" x14ac:dyDescent="0.25">
      <c r="A13799" s="786" t="s">
        <v>24865</v>
      </c>
      <c r="B13799" s="787">
        <v>4</v>
      </c>
      <c r="C13799" s="787" t="s">
        <v>24866</v>
      </c>
      <c r="D13799" s="787">
        <v>0</v>
      </c>
      <c r="E13799" s="787">
        <v>0</v>
      </c>
      <c r="H13799" s="787">
        <v>1</v>
      </c>
      <c r="K13799" s="788">
        <v>41884</v>
      </c>
      <c r="L13799" s="787">
        <v>302</v>
      </c>
      <c r="M13799" s="787">
        <v>20</v>
      </c>
      <c r="N13799" s="787">
        <v>324.64999999999998</v>
      </c>
      <c r="O13799" s="788">
        <v>41884</v>
      </c>
    </row>
    <row r="13800" spans="1:15" x14ac:dyDescent="0.25">
      <c r="A13800" s="786" t="s">
        <v>24867</v>
      </c>
      <c r="B13800" s="787">
        <v>4</v>
      </c>
      <c r="C13800" s="787" t="s">
        <v>24868</v>
      </c>
      <c r="D13800" s="787">
        <v>1.45</v>
      </c>
      <c r="E13800" s="787">
        <v>381.45</v>
      </c>
      <c r="F13800" s="788">
        <v>40497</v>
      </c>
      <c r="G13800" s="788">
        <v>40406</v>
      </c>
      <c r="H13800" s="787">
        <v>1</v>
      </c>
      <c r="I13800" s="788">
        <v>40408</v>
      </c>
      <c r="J13800" s="788">
        <v>40406</v>
      </c>
      <c r="K13800" s="788">
        <v>41884</v>
      </c>
      <c r="L13800" s="787">
        <v>406.45</v>
      </c>
      <c r="M13800" s="787">
        <v>20</v>
      </c>
      <c r="N13800" s="787">
        <v>436.93</v>
      </c>
      <c r="O13800" s="788">
        <v>41884</v>
      </c>
    </row>
    <row r="13801" spans="1:15" x14ac:dyDescent="0.25">
      <c r="A13801" s="786" t="s">
        <v>24869</v>
      </c>
      <c r="B13801" s="787">
        <v>4</v>
      </c>
      <c r="C13801" s="787" t="s">
        <v>24870</v>
      </c>
      <c r="D13801" s="787">
        <v>0</v>
      </c>
      <c r="E13801" s="787">
        <v>0</v>
      </c>
      <c r="H13801" s="787">
        <v>6</v>
      </c>
      <c r="L13801" s="787">
        <v>0</v>
      </c>
      <c r="M13801" s="787">
        <v>20</v>
      </c>
      <c r="N13801" s="787">
        <v>0</v>
      </c>
      <c r="O13801" s="788">
        <v>40824</v>
      </c>
    </row>
    <row r="13802" spans="1:15" x14ac:dyDescent="0.25">
      <c r="A13802" s="786" t="s">
        <v>24871</v>
      </c>
      <c r="B13802" s="787">
        <v>4</v>
      </c>
      <c r="C13802" s="787" t="s">
        <v>24872</v>
      </c>
      <c r="D13802" s="787">
        <v>0</v>
      </c>
      <c r="E13802" s="787">
        <v>0</v>
      </c>
      <c r="H13802" s="787">
        <v>6</v>
      </c>
      <c r="L13802" s="787">
        <v>0</v>
      </c>
      <c r="M13802" s="787">
        <v>20</v>
      </c>
      <c r="N13802" s="787">
        <v>0</v>
      </c>
      <c r="O13802" s="788">
        <v>40824</v>
      </c>
    </row>
    <row r="13803" spans="1:15" x14ac:dyDescent="0.25">
      <c r="A13803" s="786" t="s">
        <v>24873</v>
      </c>
      <c r="B13803" s="787">
        <v>4</v>
      </c>
      <c r="C13803" s="787" t="s">
        <v>24874</v>
      </c>
      <c r="D13803" s="787">
        <v>0</v>
      </c>
      <c r="E13803" s="787">
        <v>0</v>
      </c>
      <c r="H13803" s="787">
        <v>1</v>
      </c>
      <c r="K13803" s="788">
        <v>41884</v>
      </c>
      <c r="L13803" s="787">
        <v>183.35</v>
      </c>
      <c r="M13803" s="787">
        <v>20</v>
      </c>
      <c r="N13803" s="787">
        <v>197.1</v>
      </c>
      <c r="O13803" s="788">
        <v>41884</v>
      </c>
    </row>
    <row r="13804" spans="1:15" x14ac:dyDescent="0.25">
      <c r="A13804" s="786" t="s">
        <v>24875</v>
      </c>
      <c r="B13804" s="787">
        <v>4</v>
      </c>
      <c r="C13804" s="787" t="s">
        <v>24876</v>
      </c>
      <c r="D13804" s="787">
        <v>2.7</v>
      </c>
      <c r="E13804" s="787">
        <v>172.7</v>
      </c>
      <c r="F13804" s="788">
        <v>40477</v>
      </c>
      <c r="G13804" s="788">
        <v>40479</v>
      </c>
      <c r="H13804" s="787">
        <v>1</v>
      </c>
      <c r="I13804" s="788">
        <v>40504</v>
      </c>
      <c r="J13804" s="788">
        <v>40479</v>
      </c>
      <c r="K13804" s="788">
        <v>41884</v>
      </c>
      <c r="L13804" s="787">
        <v>197.7</v>
      </c>
      <c r="M13804" s="787">
        <v>20</v>
      </c>
      <c r="N13804" s="787">
        <v>185.65</v>
      </c>
      <c r="O13804" s="788">
        <v>41858</v>
      </c>
    </row>
    <row r="13805" spans="1:15" x14ac:dyDescent="0.25">
      <c r="A13805" s="786" t="s">
        <v>24877</v>
      </c>
      <c r="B13805" s="787">
        <v>4</v>
      </c>
      <c r="C13805" s="787" t="s">
        <v>24878</v>
      </c>
      <c r="D13805" s="787">
        <v>0</v>
      </c>
      <c r="E13805" s="787">
        <v>0</v>
      </c>
      <c r="H13805" s="787">
        <v>1</v>
      </c>
      <c r="K13805" s="788">
        <v>41884</v>
      </c>
      <c r="L13805" s="787">
        <v>302.14999999999998</v>
      </c>
      <c r="M13805" s="787">
        <v>20</v>
      </c>
      <c r="N13805" s="787">
        <v>324.81</v>
      </c>
      <c r="O13805" s="788">
        <v>41884</v>
      </c>
    </row>
    <row r="13806" spans="1:15" x14ac:dyDescent="0.25">
      <c r="A13806" s="786" t="s">
        <v>24879</v>
      </c>
      <c r="B13806" s="787">
        <v>4</v>
      </c>
      <c r="C13806" s="787" t="s">
        <v>24880</v>
      </c>
      <c r="D13806" s="787">
        <v>0</v>
      </c>
      <c r="E13806" s="787">
        <v>0</v>
      </c>
      <c r="H13806" s="787">
        <v>1</v>
      </c>
      <c r="K13806" s="788">
        <v>41884</v>
      </c>
      <c r="L13806" s="787">
        <v>396.45</v>
      </c>
      <c r="M13806" s="787">
        <v>20</v>
      </c>
      <c r="N13806" s="787">
        <v>426.18</v>
      </c>
      <c r="O13806" s="788">
        <v>41884</v>
      </c>
    </row>
    <row r="13807" spans="1:15" x14ac:dyDescent="0.25">
      <c r="A13807" s="786" t="s">
        <v>24881</v>
      </c>
      <c r="B13807" s="787">
        <v>4</v>
      </c>
      <c r="C13807" s="787" t="s">
        <v>24882</v>
      </c>
      <c r="D13807" s="787">
        <v>2</v>
      </c>
      <c r="E13807" s="787">
        <v>282</v>
      </c>
      <c r="F13807" s="788">
        <v>40820</v>
      </c>
      <c r="G13807" s="788">
        <v>40808</v>
      </c>
      <c r="H13807" s="787">
        <v>1</v>
      </c>
      <c r="I13807" s="788">
        <v>41857</v>
      </c>
      <c r="J13807" s="788">
        <v>40931</v>
      </c>
      <c r="K13807" s="788">
        <v>41884</v>
      </c>
      <c r="L13807" s="787">
        <v>307</v>
      </c>
      <c r="M13807" s="787">
        <v>20</v>
      </c>
      <c r="N13807" s="787">
        <v>303.14999999999998</v>
      </c>
      <c r="O13807" s="788">
        <v>41858</v>
      </c>
    </row>
    <row r="13808" spans="1:15" x14ac:dyDescent="0.25">
      <c r="A13808" s="786" t="s">
        <v>24883</v>
      </c>
      <c r="B13808" s="787">
        <v>4</v>
      </c>
      <c r="C13808" s="787" t="s">
        <v>24884</v>
      </c>
      <c r="D13808" s="787">
        <v>0</v>
      </c>
      <c r="E13808" s="787">
        <v>0</v>
      </c>
      <c r="H13808" s="787">
        <v>1</v>
      </c>
      <c r="K13808" s="788">
        <v>41884</v>
      </c>
      <c r="L13808" s="787">
        <v>411.45</v>
      </c>
      <c r="M13808" s="787">
        <v>20</v>
      </c>
      <c r="N13808" s="787">
        <v>442.31</v>
      </c>
      <c r="O13808" s="788">
        <v>41884</v>
      </c>
    </row>
    <row r="13809" spans="1:15" x14ac:dyDescent="0.25">
      <c r="A13809" s="786" t="s">
        <v>24885</v>
      </c>
      <c r="B13809" s="787">
        <v>4</v>
      </c>
      <c r="C13809" s="787" t="s">
        <v>24886</v>
      </c>
      <c r="D13809" s="787">
        <v>0</v>
      </c>
      <c r="E13809" s="787">
        <v>0</v>
      </c>
      <c r="H13809" s="787">
        <v>1</v>
      </c>
      <c r="K13809" s="788">
        <v>41884</v>
      </c>
      <c r="L13809" s="787">
        <v>193.35</v>
      </c>
      <c r="M13809" s="787">
        <v>20</v>
      </c>
      <c r="N13809" s="787">
        <v>207.85</v>
      </c>
      <c r="O13809" s="788">
        <v>41884</v>
      </c>
    </row>
    <row r="13810" spans="1:15" x14ac:dyDescent="0.25">
      <c r="A13810" s="786" t="s">
        <v>24887</v>
      </c>
      <c r="B13810" s="787">
        <v>4</v>
      </c>
      <c r="C13810" s="787" t="s">
        <v>24888</v>
      </c>
      <c r="D13810" s="787">
        <v>0</v>
      </c>
      <c r="E13810" s="787">
        <v>0</v>
      </c>
      <c r="H13810" s="787">
        <v>6</v>
      </c>
      <c r="L13810" s="787">
        <v>0</v>
      </c>
      <c r="M13810" s="787">
        <v>20</v>
      </c>
      <c r="N13810" s="787">
        <v>0</v>
      </c>
      <c r="O13810" s="788">
        <v>40824</v>
      </c>
    </row>
    <row r="13811" spans="1:15" x14ac:dyDescent="0.25">
      <c r="A13811" s="786" t="s">
        <v>24889</v>
      </c>
      <c r="B13811" s="787">
        <v>4</v>
      </c>
      <c r="C13811" s="787" t="s">
        <v>24890</v>
      </c>
      <c r="D13811" s="787">
        <v>0</v>
      </c>
      <c r="E13811" s="787">
        <v>0</v>
      </c>
      <c r="H13811" s="787">
        <v>6</v>
      </c>
      <c r="L13811" s="787">
        <v>0</v>
      </c>
      <c r="M13811" s="787">
        <v>20</v>
      </c>
      <c r="N13811" s="787">
        <v>0</v>
      </c>
      <c r="O13811" s="788">
        <v>40824</v>
      </c>
    </row>
    <row r="13812" spans="1:15" x14ac:dyDescent="0.25">
      <c r="A13812" s="786" t="s">
        <v>24891</v>
      </c>
      <c r="B13812" s="787">
        <v>4</v>
      </c>
      <c r="C13812" s="787" t="s">
        <v>24892</v>
      </c>
      <c r="D13812" s="787">
        <v>0</v>
      </c>
      <c r="E13812" s="787">
        <v>0</v>
      </c>
      <c r="H13812" s="787">
        <v>1</v>
      </c>
      <c r="K13812" s="788">
        <v>41884</v>
      </c>
      <c r="L13812" s="787">
        <v>302</v>
      </c>
      <c r="M13812" s="787">
        <v>20</v>
      </c>
      <c r="N13812" s="787">
        <v>324.64999999999998</v>
      </c>
      <c r="O13812" s="788">
        <v>41884</v>
      </c>
    </row>
    <row r="13813" spans="1:15" x14ac:dyDescent="0.25">
      <c r="A13813" s="786" t="s">
        <v>24893</v>
      </c>
      <c r="B13813" s="787">
        <v>4</v>
      </c>
      <c r="C13813" s="787" t="s">
        <v>24894</v>
      </c>
      <c r="D13813" s="787">
        <v>0</v>
      </c>
      <c r="E13813" s="787">
        <v>0</v>
      </c>
      <c r="H13813" s="787">
        <v>1</v>
      </c>
      <c r="K13813" s="788">
        <v>41884</v>
      </c>
      <c r="L13813" s="787">
        <v>406.45</v>
      </c>
      <c r="M13813" s="787">
        <v>20</v>
      </c>
      <c r="N13813" s="787">
        <v>436.93</v>
      </c>
      <c r="O13813" s="788">
        <v>41884</v>
      </c>
    </row>
    <row r="13814" spans="1:15" x14ac:dyDescent="0.25">
      <c r="A13814" s="786" t="s">
        <v>24895</v>
      </c>
      <c r="B13814" s="787">
        <v>4</v>
      </c>
      <c r="C13814" s="787" t="s">
        <v>24896</v>
      </c>
      <c r="D13814" s="787">
        <v>0</v>
      </c>
      <c r="E13814" s="787">
        <v>0</v>
      </c>
      <c r="H13814" s="787">
        <v>6</v>
      </c>
      <c r="L13814" s="787">
        <v>0</v>
      </c>
      <c r="M13814" s="787">
        <v>20</v>
      </c>
      <c r="N13814" s="787">
        <v>0</v>
      </c>
      <c r="O13814" s="788">
        <v>40824</v>
      </c>
    </row>
    <row r="13815" spans="1:15" x14ac:dyDescent="0.25">
      <c r="A13815" s="786" t="s">
        <v>24897</v>
      </c>
      <c r="B13815" s="787">
        <v>4</v>
      </c>
      <c r="C13815" s="787" t="s">
        <v>24898</v>
      </c>
      <c r="D13815" s="787">
        <v>0</v>
      </c>
      <c r="E13815" s="787">
        <v>0</v>
      </c>
      <c r="H13815" s="787">
        <v>6</v>
      </c>
      <c r="L13815" s="787">
        <v>0</v>
      </c>
      <c r="M13815" s="787">
        <v>20</v>
      </c>
      <c r="N13815" s="787">
        <v>0</v>
      </c>
      <c r="O13815" s="788">
        <v>40824</v>
      </c>
    </row>
    <row r="13816" spans="1:15" x14ac:dyDescent="0.25">
      <c r="A13816" s="786" t="s">
        <v>24899</v>
      </c>
      <c r="B13816" s="787">
        <v>4</v>
      </c>
      <c r="C13816" s="787" t="s">
        <v>24900</v>
      </c>
      <c r="D13816" s="787">
        <v>4.0999999999999996</v>
      </c>
      <c r="E13816" s="787">
        <v>44.1</v>
      </c>
      <c r="F13816" s="788">
        <v>40708</v>
      </c>
      <c r="G13816" s="788">
        <v>40709</v>
      </c>
      <c r="H13816" s="787">
        <v>1</v>
      </c>
      <c r="I13816" s="788">
        <v>40725</v>
      </c>
      <c r="J13816" s="788">
        <v>40709</v>
      </c>
      <c r="K13816" s="788">
        <v>41883</v>
      </c>
      <c r="L13816" s="787">
        <v>69.099999999999994</v>
      </c>
      <c r="M13816" s="787">
        <v>20</v>
      </c>
      <c r="N13816" s="787">
        <v>74.28</v>
      </c>
      <c r="O13816" s="788">
        <v>41883</v>
      </c>
    </row>
    <row r="13817" spans="1:15" x14ac:dyDescent="0.25">
      <c r="A13817" s="786" t="s">
        <v>24901</v>
      </c>
      <c r="B13817" s="787">
        <v>4</v>
      </c>
      <c r="C13817" s="787" t="s">
        <v>24902</v>
      </c>
      <c r="D13817" s="787">
        <v>0</v>
      </c>
      <c r="E13817" s="787">
        <v>0</v>
      </c>
      <c r="H13817" s="787">
        <v>1</v>
      </c>
      <c r="K13817" s="788">
        <v>41884</v>
      </c>
      <c r="L13817" s="787">
        <v>169.55</v>
      </c>
      <c r="M13817" s="787">
        <v>20</v>
      </c>
      <c r="N13817" s="787">
        <v>182.27</v>
      </c>
      <c r="O13817" s="788">
        <v>41884</v>
      </c>
    </row>
    <row r="13818" spans="1:15" x14ac:dyDescent="0.25">
      <c r="A13818" s="786" t="s">
        <v>24903</v>
      </c>
      <c r="B13818" s="787">
        <v>4</v>
      </c>
      <c r="C13818" s="787" t="s">
        <v>24904</v>
      </c>
      <c r="D13818" s="787">
        <v>0</v>
      </c>
      <c r="E13818" s="787">
        <v>0</v>
      </c>
      <c r="H13818" s="787">
        <v>1</v>
      </c>
      <c r="K13818" s="788">
        <v>41884</v>
      </c>
      <c r="L13818" s="787">
        <v>261.14999999999998</v>
      </c>
      <c r="M13818" s="787">
        <v>20</v>
      </c>
      <c r="N13818" s="787">
        <v>280.74</v>
      </c>
      <c r="O13818" s="788">
        <v>41884</v>
      </c>
    </row>
    <row r="13819" spans="1:15" x14ac:dyDescent="0.25">
      <c r="A13819" s="786" t="s">
        <v>24905</v>
      </c>
      <c r="B13819" s="787">
        <v>4</v>
      </c>
      <c r="C13819" s="787" t="s">
        <v>24906</v>
      </c>
      <c r="D13819" s="787">
        <v>0</v>
      </c>
      <c r="E13819" s="787">
        <v>0</v>
      </c>
      <c r="H13819" s="787">
        <v>1</v>
      </c>
      <c r="K13819" s="788">
        <v>41884</v>
      </c>
      <c r="L13819" s="787">
        <v>184.55</v>
      </c>
      <c r="M13819" s="787">
        <v>20</v>
      </c>
      <c r="N13819" s="787">
        <v>198.39</v>
      </c>
      <c r="O13819" s="788">
        <v>41884</v>
      </c>
    </row>
    <row r="13820" spans="1:15" x14ac:dyDescent="0.25">
      <c r="A13820" s="786" t="s">
        <v>24907</v>
      </c>
      <c r="B13820" s="787">
        <v>4</v>
      </c>
      <c r="C13820" s="787" t="s">
        <v>24908</v>
      </c>
      <c r="D13820" s="787">
        <v>0</v>
      </c>
      <c r="E13820" s="787">
        <v>0</v>
      </c>
      <c r="H13820" s="787">
        <v>1</v>
      </c>
      <c r="K13820" s="788">
        <v>41884</v>
      </c>
      <c r="L13820" s="787">
        <v>276.14999999999998</v>
      </c>
      <c r="M13820" s="787">
        <v>20</v>
      </c>
      <c r="N13820" s="787">
        <v>296.86</v>
      </c>
      <c r="O13820" s="788">
        <v>41884</v>
      </c>
    </row>
    <row r="13821" spans="1:15" x14ac:dyDescent="0.25">
      <c r="A13821" s="786" t="s">
        <v>24909</v>
      </c>
      <c r="B13821" s="787">
        <v>4</v>
      </c>
      <c r="C13821" s="787" t="s">
        <v>24910</v>
      </c>
      <c r="D13821" s="787">
        <v>0</v>
      </c>
      <c r="E13821" s="787">
        <v>0</v>
      </c>
      <c r="H13821" s="787">
        <v>1</v>
      </c>
      <c r="K13821" s="788">
        <v>41884</v>
      </c>
      <c r="L13821" s="787">
        <v>191.75</v>
      </c>
      <c r="M13821" s="787">
        <v>20</v>
      </c>
      <c r="N13821" s="787">
        <v>206.13</v>
      </c>
      <c r="O13821" s="788">
        <v>41884</v>
      </c>
    </row>
    <row r="13822" spans="1:15" x14ac:dyDescent="0.25">
      <c r="A13822" s="786" t="s">
        <v>24911</v>
      </c>
      <c r="B13822" s="787">
        <v>4</v>
      </c>
      <c r="C13822" s="787" t="s">
        <v>24912</v>
      </c>
      <c r="D13822" s="787">
        <v>8</v>
      </c>
      <c r="E13822" s="787">
        <v>112.28</v>
      </c>
      <c r="F13822" s="788">
        <v>40771</v>
      </c>
      <c r="G13822" s="788">
        <v>41696</v>
      </c>
      <c r="H13822" s="787">
        <v>6</v>
      </c>
      <c r="I13822" s="788">
        <v>41836</v>
      </c>
      <c r="J13822" s="788">
        <v>41654</v>
      </c>
      <c r="K13822" s="788">
        <v>41852</v>
      </c>
      <c r="L13822" s="787">
        <v>112.28</v>
      </c>
      <c r="M13822" s="787">
        <v>20</v>
      </c>
      <c r="N13822" s="787">
        <v>120.7</v>
      </c>
      <c r="O13822" s="788">
        <v>41698</v>
      </c>
    </row>
    <row r="13823" spans="1:15" x14ac:dyDescent="0.25">
      <c r="A13823" s="786" t="s">
        <v>24913</v>
      </c>
      <c r="B13823" s="787">
        <v>4</v>
      </c>
      <c r="C13823" s="787" t="s">
        <v>24914</v>
      </c>
      <c r="D13823" s="787">
        <v>5</v>
      </c>
      <c r="E13823" s="787">
        <v>137.44</v>
      </c>
      <c r="F13823" s="788">
        <v>40835</v>
      </c>
      <c r="G13823" s="788">
        <v>41696</v>
      </c>
      <c r="H13823" s="787">
        <v>6</v>
      </c>
      <c r="I13823" s="788">
        <v>41836</v>
      </c>
      <c r="J13823" s="788">
        <v>41654</v>
      </c>
      <c r="K13823" s="788">
        <v>41597</v>
      </c>
      <c r="L13823" s="787">
        <v>112.83</v>
      </c>
      <c r="M13823" s="787">
        <v>20</v>
      </c>
      <c r="N13823" s="787">
        <v>147.75</v>
      </c>
      <c r="O13823" s="788">
        <v>41697</v>
      </c>
    </row>
    <row r="13824" spans="1:15" x14ac:dyDescent="0.25">
      <c r="A13824" s="786" t="s">
        <v>24915</v>
      </c>
      <c r="B13824" s="787">
        <v>4</v>
      </c>
      <c r="C13824" s="787" t="s">
        <v>24916</v>
      </c>
      <c r="D13824" s="787">
        <v>0</v>
      </c>
      <c r="E13824" s="787">
        <v>137.38999999999999</v>
      </c>
      <c r="F13824" s="788">
        <v>40891</v>
      </c>
      <c r="G13824" s="788">
        <v>41661</v>
      </c>
      <c r="H13824" s="787">
        <v>6</v>
      </c>
      <c r="I13824" s="788">
        <v>41680</v>
      </c>
      <c r="J13824" s="788">
        <v>41661</v>
      </c>
      <c r="K13824" s="788">
        <v>41437</v>
      </c>
      <c r="L13824" s="787">
        <v>136.47</v>
      </c>
      <c r="M13824" s="787">
        <v>20</v>
      </c>
      <c r="N13824" s="787">
        <v>147.69</v>
      </c>
      <c r="O13824" s="788">
        <v>41814</v>
      </c>
    </row>
    <row r="13825" spans="1:15" x14ac:dyDescent="0.25">
      <c r="A13825" s="786" t="s">
        <v>24917</v>
      </c>
      <c r="B13825" s="787">
        <v>4</v>
      </c>
      <c r="C13825" s="787" t="s">
        <v>24918</v>
      </c>
      <c r="D13825" s="787">
        <v>0</v>
      </c>
      <c r="E13825" s="787">
        <v>0</v>
      </c>
      <c r="H13825" s="787">
        <v>6</v>
      </c>
      <c r="K13825" s="788">
        <v>40771</v>
      </c>
      <c r="L13825" s="787">
        <v>85</v>
      </c>
      <c r="M13825" s="787">
        <v>20</v>
      </c>
      <c r="N13825" s="787">
        <v>91.38</v>
      </c>
      <c r="O13825" s="788">
        <v>41543</v>
      </c>
    </row>
    <row r="13826" spans="1:15" x14ac:dyDescent="0.25">
      <c r="A13826" s="786" t="s">
        <v>24919</v>
      </c>
      <c r="B13826" s="787">
        <v>4</v>
      </c>
      <c r="C13826" s="787" t="s">
        <v>24920</v>
      </c>
      <c r="D13826" s="787">
        <v>0</v>
      </c>
      <c r="E13826" s="787">
        <v>0</v>
      </c>
      <c r="H13826" s="787">
        <v>6</v>
      </c>
      <c r="L13826" s="787">
        <v>105</v>
      </c>
      <c r="M13826" s="787">
        <v>20</v>
      </c>
      <c r="N13826" s="787">
        <v>112.88</v>
      </c>
      <c r="O13826" s="788">
        <v>41543</v>
      </c>
    </row>
    <row r="13827" spans="1:15" x14ac:dyDescent="0.25">
      <c r="A13827" s="786" t="s">
        <v>24921</v>
      </c>
      <c r="B13827" s="787">
        <v>4</v>
      </c>
      <c r="C13827" s="787" t="s">
        <v>24922</v>
      </c>
      <c r="D13827" s="787">
        <v>0</v>
      </c>
      <c r="E13827" s="787">
        <v>120</v>
      </c>
      <c r="F13827" s="788">
        <v>40891</v>
      </c>
      <c r="G13827" s="788">
        <v>40892</v>
      </c>
      <c r="H13827" s="787">
        <v>6</v>
      </c>
      <c r="I13827" s="788">
        <v>40898</v>
      </c>
      <c r="J13827" s="788">
        <v>40891</v>
      </c>
      <c r="K13827" s="788">
        <v>41478</v>
      </c>
      <c r="L13827" s="787">
        <v>136.47</v>
      </c>
      <c r="M13827" s="787">
        <v>20</v>
      </c>
      <c r="N13827" s="787">
        <v>129</v>
      </c>
      <c r="O13827" s="788">
        <v>41543</v>
      </c>
    </row>
    <row r="13828" spans="1:15" x14ac:dyDescent="0.25">
      <c r="A13828" s="786" t="s">
        <v>24923</v>
      </c>
      <c r="B13828" s="787">
        <v>4</v>
      </c>
      <c r="C13828" s="787" t="s">
        <v>24924</v>
      </c>
      <c r="D13828" s="787">
        <v>2.2000000000000002</v>
      </c>
      <c r="E13828" s="787">
        <v>222</v>
      </c>
      <c r="F13828" s="788">
        <v>41166</v>
      </c>
      <c r="G13828" s="788">
        <v>41435</v>
      </c>
      <c r="H13828" s="787">
        <v>6</v>
      </c>
      <c r="I13828" s="788">
        <v>41507</v>
      </c>
      <c r="J13828" s="788">
        <v>41418</v>
      </c>
      <c r="K13828" s="788">
        <v>41029</v>
      </c>
      <c r="L13828" s="787">
        <v>222</v>
      </c>
      <c r="M13828" s="787">
        <v>20</v>
      </c>
      <c r="N13828" s="787">
        <v>238.65</v>
      </c>
      <c r="O13828" s="788">
        <v>41543</v>
      </c>
    </row>
    <row r="13829" spans="1:15" x14ac:dyDescent="0.25">
      <c r="A13829" s="786" t="s">
        <v>24925</v>
      </c>
      <c r="B13829" s="787">
        <v>4</v>
      </c>
      <c r="C13829" s="787" t="s">
        <v>24926</v>
      </c>
      <c r="D13829" s="787">
        <v>0</v>
      </c>
      <c r="E13829" s="787">
        <v>0</v>
      </c>
      <c r="H13829" s="787">
        <v>6</v>
      </c>
      <c r="K13829" s="788">
        <v>41029</v>
      </c>
      <c r="L13829" s="787">
        <v>150</v>
      </c>
      <c r="M13829" s="787">
        <v>20</v>
      </c>
      <c r="N13829" s="787">
        <v>161.25</v>
      </c>
      <c r="O13829" s="788">
        <v>41543</v>
      </c>
    </row>
    <row r="13830" spans="1:15" x14ac:dyDescent="0.25">
      <c r="A13830" s="786" t="s">
        <v>24927</v>
      </c>
      <c r="B13830" s="787">
        <v>4</v>
      </c>
      <c r="C13830" s="787" t="s">
        <v>24928</v>
      </c>
      <c r="D13830" s="787">
        <v>9</v>
      </c>
      <c r="E13830" s="787">
        <v>270.10000000000002</v>
      </c>
      <c r="F13830" s="788">
        <v>41081</v>
      </c>
      <c r="G13830" s="788">
        <v>42103</v>
      </c>
      <c r="H13830" s="787">
        <v>1</v>
      </c>
      <c r="I13830" s="788">
        <v>42165</v>
      </c>
      <c r="J13830" s="788">
        <v>42158</v>
      </c>
      <c r="K13830" s="788">
        <v>41597</v>
      </c>
      <c r="L13830" s="787">
        <v>270.10000000000002</v>
      </c>
      <c r="M13830" s="787">
        <v>20</v>
      </c>
      <c r="N13830" s="787">
        <v>290.36</v>
      </c>
      <c r="O13830" s="788">
        <v>42164</v>
      </c>
    </row>
    <row r="13831" spans="1:15" x14ac:dyDescent="0.25">
      <c r="A13831" s="786" t="s">
        <v>24929</v>
      </c>
      <c r="B13831" s="787">
        <v>4</v>
      </c>
      <c r="C13831" s="787" t="s">
        <v>24930</v>
      </c>
      <c r="D13831" s="787">
        <v>2</v>
      </c>
      <c r="E13831" s="787">
        <v>111.2</v>
      </c>
      <c r="F13831" s="788">
        <v>41161</v>
      </c>
      <c r="G13831" s="788">
        <v>41480</v>
      </c>
      <c r="H13831" s="787">
        <v>6</v>
      </c>
      <c r="I13831" s="788">
        <v>41507</v>
      </c>
      <c r="J13831" s="788">
        <v>41437</v>
      </c>
      <c r="K13831" s="788">
        <v>41095</v>
      </c>
      <c r="L13831" s="787">
        <v>109.2</v>
      </c>
      <c r="M13831" s="787">
        <v>20</v>
      </c>
      <c r="N13831" s="787">
        <v>119.54</v>
      </c>
      <c r="O13831" s="788">
        <v>41543</v>
      </c>
    </row>
    <row r="13832" spans="1:15" x14ac:dyDescent="0.25">
      <c r="A13832" s="786" t="s">
        <v>24931</v>
      </c>
      <c r="B13832" s="787">
        <v>4</v>
      </c>
      <c r="C13832" s="787" t="s">
        <v>24932</v>
      </c>
      <c r="D13832" s="787">
        <v>8.6</v>
      </c>
      <c r="E13832" s="787">
        <v>108.6</v>
      </c>
      <c r="F13832" s="788">
        <v>41157</v>
      </c>
      <c r="G13832" s="788">
        <v>41130</v>
      </c>
      <c r="H13832" s="787">
        <v>6</v>
      </c>
      <c r="I13832" s="788">
        <v>41415</v>
      </c>
      <c r="J13832" s="788">
        <v>41415</v>
      </c>
      <c r="K13832" s="788">
        <v>41095</v>
      </c>
      <c r="L13832" s="787">
        <v>108.6</v>
      </c>
      <c r="M13832" s="787">
        <v>20</v>
      </c>
      <c r="N13832" s="787">
        <v>116.75</v>
      </c>
      <c r="O13832" s="788">
        <v>41543</v>
      </c>
    </row>
    <row r="13833" spans="1:15" x14ac:dyDescent="0.25">
      <c r="A13833" s="786" t="s">
        <v>24933</v>
      </c>
      <c r="B13833" s="787">
        <v>4</v>
      </c>
      <c r="C13833" s="787" t="s">
        <v>24934</v>
      </c>
      <c r="D13833" s="787">
        <v>6</v>
      </c>
      <c r="E13833" s="787">
        <v>143.6</v>
      </c>
      <c r="F13833" s="788">
        <v>41161</v>
      </c>
      <c r="G13833" s="788">
        <v>41477</v>
      </c>
      <c r="H13833" s="787">
        <v>6</v>
      </c>
      <c r="I13833" s="788">
        <v>41507</v>
      </c>
      <c r="J13833" s="788">
        <v>41444</v>
      </c>
      <c r="K13833" s="788">
        <v>41478</v>
      </c>
      <c r="L13833" s="787">
        <v>143.6</v>
      </c>
      <c r="M13833" s="787">
        <v>20</v>
      </c>
      <c r="N13833" s="787">
        <v>154.37</v>
      </c>
      <c r="O13833" s="788">
        <v>41543</v>
      </c>
    </row>
    <row r="13834" spans="1:15" x14ac:dyDescent="0.25">
      <c r="A13834" s="786" t="s">
        <v>24935</v>
      </c>
      <c r="B13834" s="787">
        <v>4</v>
      </c>
      <c r="C13834" s="787" t="s">
        <v>24936</v>
      </c>
      <c r="D13834" s="787">
        <v>1</v>
      </c>
      <c r="E13834" s="787">
        <v>141</v>
      </c>
      <c r="F13834" s="788">
        <v>41211</v>
      </c>
      <c r="G13834" s="788">
        <v>41172</v>
      </c>
      <c r="H13834" s="787">
        <v>6</v>
      </c>
      <c r="I13834" s="788">
        <v>41529</v>
      </c>
      <c r="J13834" s="788">
        <v>41530</v>
      </c>
      <c r="K13834" s="788">
        <v>41095</v>
      </c>
      <c r="L13834" s="787">
        <v>141</v>
      </c>
      <c r="M13834" s="787">
        <v>20</v>
      </c>
      <c r="N13834" s="787">
        <v>151.58000000000001</v>
      </c>
      <c r="O13834" s="788">
        <v>41543</v>
      </c>
    </row>
    <row r="13835" spans="1:15" x14ac:dyDescent="0.25">
      <c r="A13835" s="786" t="s">
        <v>24937</v>
      </c>
      <c r="B13835" s="787">
        <v>4</v>
      </c>
      <c r="C13835" s="787" t="s">
        <v>24938</v>
      </c>
      <c r="D13835" s="787">
        <v>2.2000000000000002</v>
      </c>
      <c r="E13835" s="787">
        <v>192.2</v>
      </c>
      <c r="F13835" s="788">
        <v>41236</v>
      </c>
      <c r="G13835" s="788">
        <v>41477</v>
      </c>
      <c r="H13835" s="787">
        <v>6</v>
      </c>
      <c r="I13835" s="788">
        <v>41507</v>
      </c>
      <c r="J13835" s="788">
        <v>41474</v>
      </c>
      <c r="K13835" s="788">
        <v>41478</v>
      </c>
      <c r="L13835" s="787">
        <v>194.2</v>
      </c>
      <c r="M13835" s="787">
        <v>20</v>
      </c>
      <c r="N13835" s="787">
        <v>206.62</v>
      </c>
      <c r="O13835" s="788">
        <v>41543</v>
      </c>
    </row>
    <row r="13836" spans="1:15" x14ac:dyDescent="0.25">
      <c r="A13836" s="786" t="s">
        <v>24939</v>
      </c>
      <c r="B13836" s="787">
        <v>4</v>
      </c>
      <c r="C13836" s="787" t="s">
        <v>24940</v>
      </c>
      <c r="D13836" s="787">
        <v>1.6</v>
      </c>
      <c r="E13836" s="787">
        <v>191.6</v>
      </c>
      <c r="F13836" s="788">
        <v>41236</v>
      </c>
      <c r="G13836" s="788">
        <v>41213</v>
      </c>
      <c r="H13836" s="787">
        <v>6</v>
      </c>
      <c r="I13836" s="788">
        <v>41450</v>
      </c>
      <c r="J13836" s="788">
        <v>41507</v>
      </c>
      <c r="K13836" s="788">
        <v>41095</v>
      </c>
      <c r="L13836" s="787">
        <v>191.6</v>
      </c>
      <c r="M13836" s="787">
        <v>20</v>
      </c>
      <c r="N13836" s="787">
        <v>205.97</v>
      </c>
      <c r="O13836" s="788">
        <v>41543</v>
      </c>
    </row>
    <row r="13837" spans="1:15" x14ac:dyDescent="0.25">
      <c r="A13837" s="786" t="s">
        <v>24941</v>
      </c>
      <c r="B13837" s="787">
        <v>4</v>
      </c>
      <c r="C13837" s="787" t="s">
        <v>24942</v>
      </c>
      <c r="D13837" s="787">
        <v>0</v>
      </c>
      <c r="E13837" s="787">
        <v>0</v>
      </c>
      <c r="H13837" s="787">
        <v>6</v>
      </c>
      <c r="K13837" s="788">
        <v>41095</v>
      </c>
      <c r="L13837" s="787">
        <v>224.6</v>
      </c>
      <c r="M13837" s="787">
        <v>20</v>
      </c>
      <c r="N13837" s="787">
        <v>241.45</v>
      </c>
      <c r="O13837" s="788">
        <v>41543</v>
      </c>
    </row>
    <row r="13838" spans="1:15" x14ac:dyDescent="0.25">
      <c r="A13838" s="786" t="s">
        <v>24943</v>
      </c>
      <c r="B13838" s="787">
        <v>4</v>
      </c>
      <c r="C13838" s="787" t="s">
        <v>24944</v>
      </c>
      <c r="D13838" s="787">
        <v>0</v>
      </c>
      <c r="E13838" s="787">
        <v>0</v>
      </c>
      <c r="H13838" s="787">
        <v>6</v>
      </c>
      <c r="K13838" s="788">
        <v>41095</v>
      </c>
      <c r="L13838" s="787">
        <v>224</v>
      </c>
      <c r="M13838" s="787">
        <v>20</v>
      </c>
      <c r="N13838" s="787">
        <v>240.8</v>
      </c>
      <c r="O13838" s="788">
        <v>41543</v>
      </c>
    </row>
    <row r="13839" spans="1:15" x14ac:dyDescent="0.25">
      <c r="A13839" s="786" t="s">
        <v>24945</v>
      </c>
      <c r="B13839" s="787">
        <v>4</v>
      </c>
      <c r="C13839" s="787" t="s">
        <v>24946</v>
      </c>
      <c r="D13839" s="787">
        <v>7.2</v>
      </c>
      <c r="E13839" s="787">
        <v>209.2</v>
      </c>
      <c r="F13839" s="788">
        <v>41236</v>
      </c>
      <c r="G13839" s="788">
        <v>41477</v>
      </c>
      <c r="H13839" s="787">
        <v>6</v>
      </c>
      <c r="I13839" s="788">
        <v>41507</v>
      </c>
      <c r="J13839" s="788">
        <v>41444</v>
      </c>
      <c r="K13839" s="788">
        <v>41478</v>
      </c>
      <c r="L13839" s="787">
        <v>209.2</v>
      </c>
      <c r="M13839" s="787">
        <v>20</v>
      </c>
      <c r="N13839" s="787">
        <v>224.89</v>
      </c>
      <c r="O13839" s="788">
        <v>41543</v>
      </c>
    </row>
    <row r="13840" spans="1:15" x14ac:dyDescent="0.25">
      <c r="A13840" s="786" t="s">
        <v>24947</v>
      </c>
      <c r="B13840" s="787">
        <v>4</v>
      </c>
      <c r="C13840" s="787" t="s">
        <v>24948</v>
      </c>
      <c r="D13840" s="787">
        <v>6.6</v>
      </c>
      <c r="E13840" s="787">
        <v>206.6</v>
      </c>
      <c r="F13840" s="788">
        <v>41157</v>
      </c>
      <c r="G13840" s="788">
        <v>41130</v>
      </c>
      <c r="H13840" s="787">
        <v>6</v>
      </c>
      <c r="I13840" s="788">
        <v>41507</v>
      </c>
      <c r="J13840" s="788">
        <v>41262</v>
      </c>
      <c r="K13840" s="788">
        <v>41095</v>
      </c>
      <c r="L13840" s="787">
        <v>206.6</v>
      </c>
      <c r="M13840" s="787">
        <v>20</v>
      </c>
      <c r="N13840" s="787">
        <v>222.1</v>
      </c>
      <c r="O13840" s="788">
        <v>41543</v>
      </c>
    </row>
    <row r="13841" spans="1:15" x14ac:dyDescent="0.25">
      <c r="A13841" s="786" t="s">
        <v>24949</v>
      </c>
      <c r="B13841" s="787">
        <v>4</v>
      </c>
      <c r="C13841" s="787" t="s">
        <v>24950</v>
      </c>
      <c r="D13841" s="787">
        <v>0</v>
      </c>
      <c r="E13841" s="787">
        <v>0</v>
      </c>
      <c r="H13841" s="787">
        <v>6</v>
      </c>
      <c r="I13841" s="788">
        <v>41353</v>
      </c>
      <c r="J13841" s="788">
        <v>41507</v>
      </c>
      <c r="K13841" s="788">
        <v>41095</v>
      </c>
      <c r="L13841" s="787">
        <v>239.6</v>
      </c>
      <c r="M13841" s="787">
        <v>20</v>
      </c>
      <c r="N13841" s="787">
        <v>257.57</v>
      </c>
      <c r="O13841" s="788">
        <v>41543</v>
      </c>
    </row>
    <row r="13842" spans="1:15" x14ac:dyDescent="0.25">
      <c r="A13842" s="786" t="s">
        <v>24951</v>
      </c>
      <c r="B13842" s="787">
        <v>4</v>
      </c>
      <c r="C13842" s="787" t="s">
        <v>24952</v>
      </c>
      <c r="D13842" s="787">
        <v>9</v>
      </c>
      <c r="E13842" s="787">
        <v>239</v>
      </c>
      <c r="F13842" s="788">
        <v>41171</v>
      </c>
      <c r="G13842" s="788">
        <v>41165</v>
      </c>
      <c r="H13842" s="787">
        <v>6</v>
      </c>
      <c r="I13842" s="788">
        <v>41166</v>
      </c>
      <c r="J13842" s="788">
        <v>41165</v>
      </c>
      <c r="K13842" s="788">
        <v>41095</v>
      </c>
      <c r="L13842" s="787">
        <v>239</v>
      </c>
      <c r="M13842" s="787">
        <v>20</v>
      </c>
      <c r="N13842" s="787">
        <v>256.93</v>
      </c>
      <c r="O13842" s="788">
        <v>41543</v>
      </c>
    </row>
    <row r="13843" spans="1:15" x14ac:dyDescent="0.25">
      <c r="A13843" s="786" t="s">
        <v>24953</v>
      </c>
      <c r="B13843" s="787">
        <v>4</v>
      </c>
      <c r="C13843" s="787" t="s">
        <v>24954</v>
      </c>
      <c r="D13843" s="787">
        <v>5</v>
      </c>
      <c r="E13843" s="787">
        <v>88.92</v>
      </c>
      <c r="F13843" s="788">
        <v>41157</v>
      </c>
      <c r="G13843" s="788">
        <v>42159</v>
      </c>
      <c r="H13843" s="787">
        <v>1</v>
      </c>
      <c r="I13843" s="788">
        <v>42151</v>
      </c>
      <c r="J13843" s="788">
        <v>42151</v>
      </c>
      <c r="K13843" s="788">
        <v>41597</v>
      </c>
      <c r="L13843" s="787">
        <v>85.92</v>
      </c>
      <c r="M13843" s="787">
        <v>20</v>
      </c>
      <c r="N13843" s="787">
        <v>92.36</v>
      </c>
      <c r="O13843" s="788">
        <v>41949</v>
      </c>
    </row>
    <row r="13844" spans="1:15" x14ac:dyDescent="0.25">
      <c r="A13844" s="786" t="s">
        <v>24955</v>
      </c>
      <c r="B13844" s="787">
        <v>4</v>
      </c>
      <c r="C13844" s="787" t="s">
        <v>24956</v>
      </c>
      <c r="D13844" s="787">
        <v>5</v>
      </c>
      <c r="E13844" s="787">
        <v>118.92</v>
      </c>
      <c r="F13844" s="788">
        <v>41410</v>
      </c>
      <c r="G13844" s="788">
        <v>42156</v>
      </c>
      <c r="H13844" s="787">
        <v>1</v>
      </c>
      <c r="I13844" s="788">
        <v>42124</v>
      </c>
      <c r="J13844" s="788">
        <v>42130</v>
      </c>
      <c r="K13844" s="788">
        <v>41598</v>
      </c>
      <c r="L13844" s="787">
        <v>115.92</v>
      </c>
      <c r="M13844" s="787">
        <v>20</v>
      </c>
      <c r="N13844" s="787">
        <v>124.61</v>
      </c>
      <c r="O13844" s="788">
        <v>41949</v>
      </c>
    </row>
    <row r="13845" spans="1:15" x14ac:dyDescent="0.25">
      <c r="A13845" s="786" t="s">
        <v>24957</v>
      </c>
      <c r="B13845" s="787">
        <v>4</v>
      </c>
      <c r="C13845" s="787" t="s">
        <v>24958</v>
      </c>
      <c r="D13845" s="787">
        <v>0</v>
      </c>
      <c r="E13845" s="787">
        <v>83</v>
      </c>
      <c r="H13845" s="787">
        <v>1</v>
      </c>
      <c r="I13845" s="788">
        <v>42023</v>
      </c>
      <c r="K13845" s="788">
        <v>41054</v>
      </c>
      <c r="L13845" s="787">
        <v>79</v>
      </c>
      <c r="M13845" s="787">
        <v>20</v>
      </c>
      <c r="N13845" s="787">
        <v>84.93</v>
      </c>
      <c r="O13845" s="788">
        <v>42164</v>
      </c>
    </row>
    <row r="13846" spans="1:15" x14ac:dyDescent="0.25">
      <c r="A13846" s="786" t="s">
        <v>24959</v>
      </c>
      <c r="B13846" s="787">
        <v>4</v>
      </c>
      <c r="C13846" s="787" t="s">
        <v>24960</v>
      </c>
      <c r="D13846" s="787">
        <v>0.76</v>
      </c>
      <c r="E13846" s="787">
        <v>130.76</v>
      </c>
      <c r="F13846" s="788">
        <v>41298</v>
      </c>
      <c r="G13846" s="788">
        <v>42013</v>
      </c>
      <c r="H13846" s="787">
        <v>1</v>
      </c>
      <c r="I13846" s="788">
        <v>42107</v>
      </c>
      <c r="J13846" s="788">
        <v>41745</v>
      </c>
      <c r="K13846" s="788">
        <v>40910</v>
      </c>
      <c r="L13846" s="787">
        <v>174.35</v>
      </c>
      <c r="M13846" s="787">
        <v>20</v>
      </c>
      <c r="N13846" s="787">
        <v>187.43</v>
      </c>
      <c r="O13846" s="788">
        <v>41991</v>
      </c>
    </row>
    <row r="13847" spans="1:15" x14ac:dyDescent="0.25">
      <c r="A13847" s="786" t="s">
        <v>24961</v>
      </c>
      <c r="B13847" s="787">
        <v>4</v>
      </c>
      <c r="C13847" s="787" t="s">
        <v>24962</v>
      </c>
      <c r="D13847" s="787">
        <v>0.25</v>
      </c>
      <c r="E13847" s="787">
        <v>280.25</v>
      </c>
      <c r="F13847" s="788">
        <v>40494</v>
      </c>
      <c r="G13847" s="788">
        <v>40464</v>
      </c>
      <c r="H13847" s="787">
        <v>1</v>
      </c>
      <c r="I13847" s="788">
        <v>40470</v>
      </c>
      <c r="J13847" s="788">
        <v>40464</v>
      </c>
      <c r="L13847" s="787">
        <v>280.25</v>
      </c>
      <c r="M13847" s="787">
        <v>20</v>
      </c>
      <c r="N13847" s="787">
        <v>301.27</v>
      </c>
      <c r="O13847" s="788">
        <v>41858</v>
      </c>
    </row>
    <row r="13848" spans="1:15" x14ac:dyDescent="0.25">
      <c r="A13848" s="786" t="s">
        <v>24963</v>
      </c>
      <c r="B13848" s="787">
        <v>4</v>
      </c>
      <c r="C13848" s="787" t="s">
        <v>24964</v>
      </c>
      <c r="D13848" s="787">
        <v>0</v>
      </c>
      <c r="E13848" s="787">
        <v>0</v>
      </c>
      <c r="H13848" s="787">
        <v>1</v>
      </c>
      <c r="L13848" s="787">
        <v>0</v>
      </c>
      <c r="M13848" s="787">
        <v>20</v>
      </c>
      <c r="N13848" s="787">
        <v>0</v>
      </c>
      <c r="O13848" s="788">
        <v>40824</v>
      </c>
    </row>
    <row r="13849" spans="1:15" x14ac:dyDescent="0.25">
      <c r="A13849" s="786" t="s">
        <v>24965</v>
      </c>
      <c r="B13849" s="787">
        <v>4</v>
      </c>
      <c r="C13849" s="787" t="s">
        <v>24966</v>
      </c>
      <c r="D13849" s="787">
        <v>2.35</v>
      </c>
      <c r="E13849" s="787">
        <v>212.35</v>
      </c>
      <c r="F13849" s="788">
        <v>41066</v>
      </c>
      <c r="G13849" s="788">
        <v>41060</v>
      </c>
      <c r="H13849" s="787">
        <v>1</v>
      </c>
      <c r="I13849" s="788">
        <v>41183</v>
      </c>
      <c r="J13849" s="788">
        <v>41163</v>
      </c>
      <c r="K13849" s="788">
        <v>41261</v>
      </c>
      <c r="L13849" s="787">
        <v>212.35</v>
      </c>
      <c r="M13849" s="787">
        <v>20</v>
      </c>
      <c r="N13849" s="787">
        <v>228.28</v>
      </c>
      <c r="O13849" s="788">
        <v>41858</v>
      </c>
    </row>
    <row r="13850" spans="1:15" x14ac:dyDescent="0.25">
      <c r="A13850" s="786" t="s">
        <v>24967</v>
      </c>
      <c r="B13850" s="787">
        <v>4</v>
      </c>
      <c r="C13850" s="787" t="s">
        <v>24968</v>
      </c>
      <c r="D13850" s="787">
        <v>0</v>
      </c>
      <c r="E13850" s="787">
        <v>0</v>
      </c>
      <c r="H13850" s="787">
        <v>1</v>
      </c>
      <c r="L13850" s="787">
        <v>0</v>
      </c>
      <c r="M13850" s="787">
        <v>20</v>
      </c>
      <c r="N13850" s="787">
        <v>0</v>
      </c>
      <c r="O13850" s="788">
        <v>40824</v>
      </c>
    </row>
    <row r="13851" spans="1:15" x14ac:dyDescent="0.25">
      <c r="A13851" s="786" t="s">
        <v>24969</v>
      </c>
      <c r="B13851" s="787">
        <v>4</v>
      </c>
      <c r="C13851" s="787" t="s">
        <v>24970</v>
      </c>
      <c r="D13851" s="787">
        <v>0</v>
      </c>
      <c r="E13851" s="787">
        <v>0</v>
      </c>
      <c r="H13851" s="787">
        <v>1</v>
      </c>
      <c r="L13851" s="787">
        <v>0</v>
      </c>
      <c r="M13851" s="787">
        <v>20</v>
      </c>
      <c r="N13851" s="787">
        <v>0</v>
      </c>
      <c r="O13851" s="788">
        <v>40824</v>
      </c>
    </row>
    <row r="13852" spans="1:15" x14ac:dyDescent="0.25">
      <c r="A13852" s="786" t="s">
        <v>24971</v>
      </c>
      <c r="B13852" s="787">
        <v>4</v>
      </c>
      <c r="C13852" s="787" t="s">
        <v>24972</v>
      </c>
      <c r="D13852" s="787">
        <v>8.1</v>
      </c>
      <c r="E13852" s="787">
        <v>298.10000000000002</v>
      </c>
      <c r="F13852" s="788">
        <v>41098</v>
      </c>
      <c r="G13852" s="788">
        <v>41105</v>
      </c>
      <c r="H13852" s="787">
        <v>1</v>
      </c>
      <c r="I13852" s="788">
        <v>41205</v>
      </c>
      <c r="J13852" s="788">
        <v>41105</v>
      </c>
      <c r="K13852" s="788">
        <v>41261</v>
      </c>
      <c r="L13852" s="787">
        <v>298.10000000000002</v>
      </c>
      <c r="M13852" s="787">
        <v>20</v>
      </c>
      <c r="N13852" s="787">
        <v>320.45999999999998</v>
      </c>
      <c r="O13852" s="788">
        <v>41858</v>
      </c>
    </row>
    <row r="13853" spans="1:15" x14ac:dyDescent="0.25">
      <c r="A13853" s="786" t="s">
        <v>24973</v>
      </c>
      <c r="B13853" s="787">
        <v>4</v>
      </c>
      <c r="C13853" s="787" t="s">
        <v>24974</v>
      </c>
      <c r="D13853" s="787">
        <v>2.0499999999999998</v>
      </c>
      <c r="E13853" s="787">
        <v>112.05</v>
      </c>
      <c r="F13853" s="788">
        <v>40708</v>
      </c>
      <c r="G13853" s="788">
        <v>40709</v>
      </c>
      <c r="H13853" s="787">
        <v>1</v>
      </c>
      <c r="I13853" s="788">
        <v>40820</v>
      </c>
      <c r="J13853" s="788">
        <v>40709</v>
      </c>
      <c r="K13853" s="788">
        <v>41239</v>
      </c>
      <c r="L13853" s="787">
        <v>112.05</v>
      </c>
      <c r="M13853" s="787">
        <v>20</v>
      </c>
      <c r="N13853" s="787">
        <v>120.45</v>
      </c>
      <c r="O13853" s="788">
        <v>41858</v>
      </c>
    </row>
    <row r="13854" spans="1:15" x14ac:dyDescent="0.25">
      <c r="A13854" s="786" t="s">
        <v>24975</v>
      </c>
      <c r="B13854" s="787">
        <v>4</v>
      </c>
      <c r="C13854" s="787" t="s">
        <v>24976</v>
      </c>
      <c r="D13854" s="787">
        <v>0</v>
      </c>
      <c r="E13854" s="787">
        <v>0</v>
      </c>
      <c r="H13854" s="787">
        <v>1</v>
      </c>
      <c r="L13854" s="787">
        <v>0</v>
      </c>
      <c r="M13854" s="787">
        <v>20</v>
      </c>
      <c r="N13854" s="787">
        <v>0</v>
      </c>
      <c r="O13854" s="788">
        <v>40824</v>
      </c>
    </row>
    <row r="13855" spans="1:15" x14ac:dyDescent="0.25">
      <c r="A13855" s="786" t="s">
        <v>24977</v>
      </c>
      <c r="B13855" s="787">
        <v>4</v>
      </c>
      <c r="C13855" s="787" t="s">
        <v>24978</v>
      </c>
      <c r="D13855" s="787">
        <v>0</v>
      </c>
      <c r="E13855" s="787">
        <v>0</v>
      </c>
      <c r="H13855" s="787">
        <v>1</v>
      </c>
      <c r="L13855" s="787">
        <v>0</v>
      </c>
      <c r="M13855" s="787">
        <v>20</v>
      </c>
      <c r="N13855" s="787">
        <v>0</v>
      </c>
      <c r="O13855" s="788">
        <v>40824</v>
      </c>
    </row>
    <row r="13856" spans="1:15" x14ac:dyDescent="0.25">
      <c r="A13856" s="786" t="s">
        <v>24979</v>
      </c>
      <c r="B13856" s="787">
        <v>4</v>
      </c>
      <c r="C13856" s="787" t="s">
        <v>24980</v>
      </c>
      <c r="D13856" s="787">
        <v>0</v>
      </c>
      <c r="E13856" s="787">
        <v>0</v>
      </c>
      <c r="H13856" s="787">
        <v>6</v>
      </c>
      <c r="L13856" s="787">
        <v>311</v>
      </c>
      <c r="M13856" s="787">
        <v>20</v>
      </c>
      <c r="N13856" s="787">
        <v>334.33</v>
      </c>
      <c r="O13856" s="788">
        <v>41806</v>
      </c>
    </row>
    <row r="13857" spans="1:15" x14ac:dyDescent="0.25">
      <c r="A13857" s="786" t="s">
        <v>24981</v>
      </c>
      <c r="B13857" s="787">
        <v>4</v>
      </c>
      <c r="C13857" s="787" t="s">
        <v>24982</v>
      </c>
      <c r="D13857" s="787">
        <v>0</v>
      </c>
      <c r="E13857" s="787">
        <v>0</v>
      </c>
      <c r="H13857" s="787">
        <v>1</v>
      </c>
      <c r="L13857" s="787">
        <v>0</v>
      </c>
      <c r="M13857" s="787">
        <v>20</v>
      </c>
      <c r="N13857" s="787">
        <v>0</v>
      </c>
      <c r="O13857" s="788">
        <v>40824</v>
      </c>
    </row>
    <row r="13858" spans="1:15" x14ac:dyDescent="0.25">
      <c r="A13858" s="786" t="s">
        <v>24983</v>
      </c>
      <c r="B13858" s="787">
        <v>4</v>
      </c>
      <c r="C13858" s="787" t="s">
        <v>24984</v>
      </c>
      <c r="D13858" s="787">
        <v>7.15</v>
      </c>
      <c r="E13858" s="787">
        <v>87.15</v>
      </c>
      <c r="F13858" s="788">
        <v>40450</v>
      </c>
      <c r="G13858" s="788">
        <v>42013</v>
      </c>
      <c r="H13858" s="787">
        <v>1</v>
      </c>
      <c r="I13858" s="788">
        <v>42166</v>
      </c>
      <c r="J13858" s="788">
        <v>41906</v>
      </c>
      <c r="K13858" s="788">
        <v>40910</v>
      </c>
      <c r="L13858" s="787">
        <v>87.15</v>
      </c>
      <c r="M13858" s="787">
        <v>20</v>
      </c>
      <c r="N13858" s="787">
        <v>93.69</v>
      </c>
      <c r="O13858" s="788">
        <v>42146</v>
      </c>
    </row>
    <row r="13859" spans="1:15" x14ac:dyDescent="0.25">
      <c r="A13859" s="786" t="s">
        <v>24985</v>
      </c>
      <c r="B13859" s="787">
        <v>4</v>
      </c>
      <c r="C13859" s="787" t="s">
        <v>24986</v>
      </c>
      <c r="D13859" s="787">
        <v>4.17</v>
      </c>
      <c r="E13859" s="787">
        <v>114.17</v>
      </c>
      <c r="F13859" s="788">
        <v>40542</v>
      </c>
      <c r="G13859" s="788">
        <v>40542</v>
      </c>
      <c r="H13859" s="787">
        <v>1</v>
      </c>
      <c r="I13859" s="788">
        <v>42135</v>
      </c>
      <c r="J13859" s="788">
        <v>41850</v>
      </c>
      <c r="K13859" s="788">
        <v>40910</v>
      </c>
      <c r="L13859" s="787">
        <v>114.17</v>
      </c>
      <c r="M13859" s="787">
        <v>20</v>
      </c>
      <c r="N13859" s="787">
        <v>122.73</v>
      </c>
      <c r="O13859" s="788">
        <v>41949</v>
      </c>
    </row>
    <row r="13860" spans="1:15" x14ac:dyDescent="0.25">
      <c r="A13860" s="786" t="s">
        <v>24987</v>
      </c>
      <c r="B13860" s="787">
        <v>4</v>
      </c>
      <c r="C13860" s="787" t="s">
        <v>24988</v>
      </c>
      <c r="D13860" s="787">
        <v>9.69</v>
      </c>
      <c r="E13860" s="787">
        <v>124.59</v>
      </c>
      <c r="F13860" s="788">
        <v>40550</v>
      </c>
      <c r="G13860" s="788">
        <v>42081</v>
      </c>
      <c r="H13860" s="787">
        <v>1</v>
      </c>
      <c r="I13860" s="788">
        <v>42128</v>
      </c>
      <c r="J13860" s="788">
        <v>42060</v>
      </c>
      <c r="K13860" s="788">
        <v>41239</v>
      </c>
      <c r="L13860" s="787">
        <v>124.59</v>
      </c>
      <c r="M13860" s="787">
        <v>20</v>
      </c>
      <c r="N13860" s="787">
        <v>133.93</v>
      </c>
      <c r="O13860" s="788">
        <v>41949</v>
      </c>
    </row>
    <row r="13861" spans="1:15" x14ac:dyDescent="0.25">
      <c r="A13861" s="786" t="s">
        <v>24989</v>
      </c>
      <c r="B13861" s="787">
        <v>4</v>
      </c>
      <c r="C13861" s="787" t="s">
        <v>24990</v>
      </c>
      <c r="D13861" s="787">
        <v>9.6999999999999993</v>
      </c>
      <c r="E13861" s="787">
        <v>257.45</v>
      </c>
      <c r="F13861" s="788">
        <v>41516</v>
      </c>
      <c r="G13861" s="788">
        <v>41834</v>
      </c>
      <c r="H13861" s="787">
        <v>1</v>
      </c>
      <c r="I13861" s="788">
        <v>41935</v>
      </c>
      <c r="J13861" s="788">
        <v>41834</v>
      </c>
      <c r="K13861" s="788">
        <v>41830</v>
      </c>
      <c r="L13861" s="787">
        <v>257.45</v>
      </c>
      <c r="M13861" s="787">
        <v>20</v>
      </c>
      <c r="N13861" s="787">
        <v>276.76</v>
      </c>
      <c r="O13861" s="788">
        <v>41858</v>
      </c>
    </row>
    <row r="13862" spans="1:15" x14ac:dyDescent="0.25">
      <c r="A13862" s="786" t="s">
        <v>24991</v>
      </c>
      <c r="B13862" s="787">
        <v>4</v>
      </c>
      <c r="C13862" s="787" t="s">
        <v>24992</v>
      </c>
      <c r="D13862" s="787">
        <v>9.7899999999999991</v>
      </c>
      <c r="E13862" s="787">
        <v>93.05</v>
      </c>
      <c r="F13862" s="788">
        <v>41991</v>
      </c>
      <c r="G13862" s="788">
        <v>42159</v>
      </c>
      <c r="H13862" s="787">
        <v>1</v>
      </c>
      <c r="I13862" s="788">
        <v>42166</v>
      </c>
      <c r="J13862" s="788">
        <v>42151</v>
      </c>
      <c r="K13862" s="788">
        <v>41905</v>
      </c>
      <c r="L13862" s="787">
        <v>93.05</v>
      </c>
      <c r="M13862" s="787">
        <v>20</v>
      </c>
      <c r="N13862" s="787">
        <v>100.03</v>
      </c>
      <c r="O13862" s="788">
        <v>41949</v>
      </c>
    </row>
    <row r="13863" spans="1:15" x14ac:dyDescent="0.25">
      <c r="A13863" s="786" t="s">
        <v>24993</v>
      </c>
      <c r="B13863" s="787">
        <v>4</v>
      </c>
      <c r="C13863" s="787" t="s">
        <v>24994</v>
      </c>
      <c r="D13863" s="787">
        <v>3.35</v>
      </c>
      <c r="E13863" s="787">
        <v>176.35</v>
      </c>
      <c r="F13863" s="788">
        <v>41576</v>
      </c>
      <c r="G13863" s="788">
        <v>41800</v>
      </c>
      <c r="H13863" s="787">
        <v>6</v>
      </c>
      <c r="I13863" s="788">
        <v>41905</v>
      </c>
      <c r="J13863" s="788">
        <v>41789</v>
      </c>
      <c r="K13863" s="788">
        <v>41817</v>
      </c>
      <c r="L13863" s="787">
        <v>176.35</v>
      </c>
      <c r="M13863" s="787">
        <v>20</v>
      </c>
      <c r="N13863" s="787">
        <v>189.58</v>
      </c>
      <c r="O13863" s="788">
        <v>41991</v>
      </c>
    </row>
    <row r="13864" spans="1:15" x14ac:dyDescent="0.25">
      <c r="A13864" s="786" t="s">
        <v>24995</v>
      </c>
      <c r="B13864" s="787">
        <v>4</v>
      </c>
      <c r="C13864" s="787" t="s">
        <v>24996</v>
      </c>
      <c r="D13864" s="787">
        <v>3.35</v>
      </c>
      <c r="E13864" s="787">
        <v>191.35</v>
      </c>
      <c r="F13864" s="788">
        <v>41516</v>
      </c>
      <c r="G13864" s="788">
        <v>42013</v>
      </c>
      <c r="H13864" s="787">
        <v>1</v>
      </c>
      <c r="I13864" s="788">
        <v>42143</v>
      </c>
      <c r="J13864" s="788">
        <v>41892</v>
      </c>
      <c r="K13864" s="788">
        <v>41437</v>
      </c>
      <c r="L13864" s="787">
        <v>191.35</v>
      </c>
      <c r="M13864" s="787">
        <v>20</v>
      </c>
      <c r="N13864" s="787">
        <v>205.7</v>
      </c>
      <c r="O13864" s="788">
        <v>41949</v>
      </c>
    </row>
    <row r="13865" spans="1:15" x14ac:dyDescent="0.25">
      <c r="A13865" s="786" t="s">
        <v>24997</v>
      </c>
      <c r="B13865" s="787">
        <v>4</v>
      </c>
      <c r="C13865" s="787" t="s">
        <v>24998</v>
      </c>
      <c r="D13865" s="787">
        <v>0</v>
      </c>
      <c r="E13865" s="787">
        <v>0</v>
      </c>
      <c r="G13865" s="788">
        <v>41128</v>
      </c>
      <c r="H13865" s="787">
        <v>1</v>
      </c>
      <c r="I13865" s="788">
        <v>41368</v>
      </c>
      <c r="J13865" s="788">
        <v>41536</v>
      </c>
      <c r="K13865" s="788">
        <v>41059</v>
      </c>
      <c r="L13865" s="787">
        <v>100</v>
      </c>
      <c r="M13865" s="787">
        <v>20</v>
      </c>
      <c r="N13865" s="787">
        <v>107.5</v>
      </c>
      <c r="O13865" s="788">
        <v>41858</v>
      </c>
    </row>
    <row r="13866" spans="1:15" x14ac:dyDescent="0.25">
      <c r="A13866" s="786" t="s">
        <v>24999</v>
      </c>
      <c r="B13866" s="787">
        <v>4</v>
      </c>
      <c r="C13866" s="787" t="s">
        <v>25000</v>
      </c>
      <c r="D13866" s="787">
        <v>7.04</v>
      </c>
      <c r="E13866" s="787">
        <v>112.28</v>
      </c>
      <c r="F13866" s="788">
        <v>41576</v>
      </c>
      <c r="G13866" s="788">
        <v>41696</v>
      </c>
      <c r="H13866" s="787">
        <v>6</v>
      </c>
      <c r="I13866" s="788">
        <v>41836</v>
      </c>
      <c r="J13866" s="788">
        <v>41654</v>
      </c>
      <c r="K13866" s="788">
        <v>41597</v>
      </c>
      <c r="L13866" s="787">
        <v>87.72</v>
      </c>
      <c r="M13866" s="787">
        <v>20</v>
      </c>
      <c r="N13866" s="787">
        <v>120.7</v>
      </c>
      <c r="O13866" s="788">
        <v>41698</v>
      </c>
    </row>
    <row r="13867" spans="1:15" x14ac:dyDescent="0.25">
      <c r="A13867" s="786" t="s">
        <v>25001</v>
      </c>
      <c r="B13867" s="787">
        <v>4</v>
      </c>
      <c r="C13867" s="787" t="s">
        <v>25002</v>
      </c>
      <c r="D13867" s="787">
        <v>0</v>
      </c>
      <c r="E13867" s="787">
        <v>0</v>
      </c>
      <c r="H13867" s="787">
        <v>1</v>
      </c>
      <c r="L13867" s="787">
        <v>311</v>
      </c>
      <c r="M13867" s="787">
        <v>20</v>
      </c>
      <c r="N13867" s="787">
        <v>334.33</v>
      </c>
      <c r="O13867" s="788">
        <v>41858</v>
      </c>
    </row>
    <row r="13868" spans="1:15" x14ac:dyDescent="0.25">
      <c r="A13868" s="786" t="s">
        <v>25003</v>
      </c>
      <c r="B13868" s="787">
        <v>4</v>
      </c>
      <c r="C13868" s="787" t="s">
        <v>25004</v>
      </c>
      <c r="D13868" s="787">
        <v>7</v>
      </c>
      <c r="E13868" s="787">
        <v>207.92</v>
      </c>
      <c r="F13868" s="788">
        <v>41211</v>
      </c>
      <c r="G13868" s="788">
        <v>41668</v>
      </c>
      <c r="H13868" s="787">
        <v>6</v>
      </c>
      <c r="I13868" s="788">
        <v>41444</v>
      </c>
      <c r="J13868" s="788">
        <v>41564</v>
      </c>
      <c r="K13868" s="788">
        <v>41095</v>
      </c>
      <c r="L13868" s="787">
        <v>215</v>
      </c>
      <c r="M13868" s="787">
        <v>20</v>
      </c>
      <c r="N13868" s="787">
        <v>231.13</v>
      </c>
      <c r="O13868" s="788">
        <v>41858</v>
      </c>
    </row>
    <row r="13869" spans="1:15" x14ac:dyDescent="0.25">
      <c r="A13869" s="786" t="s">
        <v>25005</v>
      </c>
      <c r="B13869" s="787">
        <v>4</v>
      </c>
      <c r="C13869" s="787" t="s">
        <v>25006</v>
      </c>
      <c r="D13869" s="787">
        <v>0</v>
      </c>
      <c r="E13869" s="787">
        <v>0</v>
      </c>
      <c r="H13869" s="787">
        <v>6</v>
      </c>
      <c r="K13869" s="788">
        <v>41058</v>
      </c>
      <c r="L13869" s="787">
        <v>79</v>
      </c>
      <c r="M13869" s="787">
        <v>20</v>
      </c>
      <c r="N13869" s="787">
        <v>84.93</v>
      </c>
      <c r="O13869" s="788">
        <v>41543</v>
      </c>
    </row>
    <row r="13870" spans="1:15" x14ac:dyDescent="0.25">
      <c r="A13870" s="786" t="s">
        <v>25007</v>
      </c>
      <c r="B13870" s="787">
        <v>4</v>
      </c>
      <c r="C13870" s="787" t="s">
        <v>25008</v>
      </c>
      <c r="D13870" s="787">
        <v>8</v>
      </c>
      <c r="E13870" s="787">
        <v>200</v>
      </c>
      <c r="F13870" s="788">
        <v>41261</v>
      </c>
      <c r="G13870" s="788">
        <v>41513</v>
      </c>
      <c r="H13870" s="787">
        <v>6</v>
      </c>
      <c r="I13870" s="788">
        <v>41507</v>
      </c>
      <c r="J13870" s="788">
        <v>41458</v>
      </c>
      <c r="K13870" s="788">
        <v>41207</v>
      </c>
      <c r="L13870" s="787">
        <v>206</v>
      </c>
      <c r="M13870" s="787">
        <v>20</v>
      </c>
      <c r="N13870" s="787">
        <v>215</v>
      </c>
      <c r="O13870" s="788">
        <v>41543</v>
      </c>
    </row>
    <row r="13871" spans="1:15" x14ac:dyDescent="0.25">
      <c r="A13871" s="786" t="s">
        <v>25009</v>
      </c>
      <c r="B13871" s="787">
        <v>4</v>
      </c>
      <c r="C13871" s="787" t="s">
        <v>25010</v>
      </c>
      <c r="D13871" s="787">
        <v>7.5</v>
      </c>
      <c r="E13871" s="787">
        <v>117.5</v>
      </c>
      <c r="F13871" s="788">
        <v>41261</v>
      </c>
      <c r="G13871" s="788">
        <v>41221</v>
      </c>
      <c r="H13871" s="787">
        <v>1</v>
      </c>
      <c r="I13871" s="788">
        <v>41429</v>
      </c>
      <c r="J13871" s="788">
        <v>41465</v>
      </c>
      <c r="K13871" s="788">
        <v>41214</v>
      </c>
      <c r="L13871" s="787">
        <v>117.5</v>
      </c>
      <c r="M13871" s="787">
        <v>20</v>
      </c>
      <c r="N13871" s="787">
        <v>126.31</v>
      </c>
      <c r="O13871" s="788">
        <v>41858</v>
      </c>
    </row>
    <row r="13872" spans="1:15" x14ac:dyDescent="0.25">
      <c r="A13872" s="786" t="s">
        <v>25011</v>
      </c>
      <c r="B13872" s="787">
        <v>4</v>
      </c>
      <c r="C13872" s="787" t="s">
        <v>25012</v>
      </c>
      <c r="D13872" s="787">
        <v>1.5</v>
      </c>
      <c r="E13872" s="787">
        <v>141.5</v>
      </c>
      <c r="F13872" s="788">
        <v>41262</v>
      </c>
      <c r="G13872" s="788">
        <v>41262</v>
      </c>
      <c r="H13872" s="787">
        <v>1</v>
      </c>
      <c r="I13872" s="788">
        <v>41438</v>
      </c>
      <c r="J13872" s="788">
        <v>41437</v>
      </c>
      <c r="K13872" s="788">
        <v>41218</v>
      </c>
      <c r="L13872" s="787">
        <v>141.5</v>
      </c>
      <c r="M13872" s="787">
        <v>20</v>
      </c>
      <c r="N13872" s="787">
        <v>152.11000000000001</v>
      </c>
      <c r="O13872" s="788">
        <v>41858</v>
      </c>
    </row>
    <row r="13873" spans="1:15" x14ac:dyDescent="0.25">
      <c r="A13873" s="786" t="s">
        <v>25013</v>
      </c>
      <c r="B13873" s="787">
        <v>4</v>
      </c>
      <c r="C13873" s="787" t="s">
        <v>25014</v>
      </c>
      <c r="D13873" s="787">
        <v>2.83</v>
      </c>
      <c r="E13873" s="787">
        <v>137.44</v>
      </c>
      <c r="F13873" s="788">
        <v>41596</v>
      </c>
      <c r="G13873" s="788">
        <v>41696</v>
      </c>
      <c r="H13873" s="787">
        <v>6</v>
      </c>
      <c r="I13873" s="788">
        <v>41836</v>
      </c>
      <c r="J13873" s="788">
        <v>41654</v>
      </c>
      <c r="K13873" s="788">
        <v>41598</v>
      </c>
      <c r="L13873" s="787">
        <v>144.52000000000001</v>
      </c>
      <c r="M13873" s="787">
        <v>20</v>
      </c>
      <c r="N13873" s="787">
        <v>147.75</v>
      </c>
      <c r="O13873" s="788">
        <v>41698</v>
      </c>
    </row>
    <row r="13874" spans="1:15" x14ac:dyDescent="0.25">
      <c r="A13874" s="786" t="s">
        <v>25015</v>
      </c>
      <c r="B13874" s="787">
        <v>4</v>
      </c>
      <c r="C13874" s="787" t="s">
        <v>25016</v>
      </c>
      <c r="D13874" s="787">
        <v>3</v>
      </c>
      <c r="E13874" s="787">
        <v>113</v>
      </c>
      <c r="F13874" s="788">
        <v>41596</v>
      </c>
      <c r="G13874" s="788">
        <v>41641</v>
      </c>
      <c r="H13874" s="787">
        <v>6</v>
      </c>
      <c r="I13874" s="788">
        <v>41831</v>
      </c>
      <c r="J13874" s="788">
        <v>41834</v>
      </c>
      <c r="K13874" s="788">
        <v>41597</v>
      </c>
      <c r="L13874" s="787">
        <v>113</v>
      </c>
      <c r="M13874" s="787">
        <v>20</v>
      </c>
      <c r="N13874" s="787">
        <v>121.48</v>
      </c>
      <c r="O13874" s="788">
        <v>41808</v>
      </c>
    </row>
    <row r="13875" spans="1:15" x14ac:dyDescent="0.25">
      <c r="A13875" s="786" t="s">
        <v>25017</v>
      </c>
      <c r="B13875" s="787">
        <v>4</v>
      </c>
      <c r="C13875" s="787" t="s">
        <v>25018</v>
      </c>
      <c r="D13875" s="787">
        <v>5.4</v>
      </c>
      <c r="E13875" s="787">
        <v>145.4</v>
      </c>
      <c r="F13875" s="788">
        <v>41596</v>
      </c>
      <c r="G13875" s="788">
        <v>41641</v>
      </c>
      <c r="H13875" s="787">
        <v>6</v>
      </c>
      <c r="I13875" s="788">
        <v>41575</v>
      </c>
      <c r="J13875" s="788">
        <v>41653</v>
      </c>
      <c r="K13875" s="788">
        <v>41597</v>
      </c>
      <c r="L13875" s="787">
        <v>145.4</v>
      </c>
      <c r="M13875" s="787">
        <v>20</v>
      </c>
      <c r="N13875" s="787">
        <v>156.31</v>
      </c>
      <c r="O13875" s="788">
        <v>41768</v>
      </c>
    </row>
    <row r="13876" spans="1:15" x14ac:dyDescent="0.25">
      <c r="A13876" s="786" t="s">
        <v>25019</v>
      </c>
      <c r="B13876" s="787">
        <v>4</v>
      </c>
      <c r="C13876" s="787" t="s">
        <v>25020</v>
      </c>
      <c r="D13876" s="787">
        <v>0</v>
      </c>
      <c r="E13876" s="787">
        <v>0</v>
      </c>
      <c r="H13876" s="787">
        <v>1</v>
      </c>
      <c r="I13876" s="788">
        <v>40394</v>
      </c>
      <c r="L13876" s="787">
        <v>0</v>
      </c>
      <c r="M13876" s="787">
        <v>20</v>
      </c>
      <c r="N13876" s="787">
        <v>0</v>
      </c>
      <c r="O13876" s="788">
        <v>40824</v>
      </c>
    </row>
    <row r="13877" spans="1:15" x14ac:dyDescent="0.25">
      <c r="A13877" s="786" t="s">
        <v>25021</v>
      </c>
      <c r="B13877" s="787">
        <v>4</v>
      </c>
      <c r="C13877" s="787" t="s">
        <v>25022</v>
      </c>
      <c r="D13877" s="787">
        <v>9.35</v>
      </c>
      <c r="E13877" s="787">
        <v>189.35</v>
      </c>
      <c r="F13877" s="788">
        <v>41018</v>
      </c>
      <c r="G13877" s="788">
        <v>41022</v>
      </c>
      <c r="H13877" s="787">
        <v>1</v>
      </c>
      <c r="I13877" s="788">
        <v>40787</v>
      </c>
      <c r="J13877" s="788">
        <v>41022</v>
      </c>
      <c r="K13877" s="788">
        <v>41261</v>
      </c>
      <c r="L13877" s="787">
        <v>189.35</v>
      </c>
      <c r="M13877" s="787">
        <v>20</v>
      </c>
      <c r="N13877" s="787">
        <v>203.55</v>
      </c>
      <c r="O13877" s="788">
        <v>41858</v>
      </c>
    </row>
    <row r="13878" spans="1:15" x14ac:dyDescent="0.25">
      <c r="A13878" s="786" t="s">
        <v>25023</v>
      </c>
      <c r="B13878" s="787">
        <v>4</v>
      </c>
      <c r="C13878" s="787" t="s">
        <v>25024</v>
      </c>
      <c r="D13878" s="787">
        <v>0</v>
      </c>
      <c r="E13878" s="787">
        <v>0</v>
      </c>
      <c r="H13878" s="787">
        <v>1</v>
      </c>
      <c r="L13878" s="787">
        <v>0</v>
      </c>
      <c r="M13878" s="787">
        <v>20</v>
      </c>
      <c r="N13878" s="787">
        <v>0</v>
      </c>
      <c r="O13878" s="788">
        <v>40824</v>
      </c>
    </row>
    <row r="13879" spans="1:15" x14ac:dyDescent="0.25">
      <c r="A13879" s="786" t="s">
        <v>25025</v>
      </c>
      <c r="B13879" s="787">
        <v>4</v>
      </c>
      <c r="C13879" s="787" t="s">
        <v>25026</v>
      </c>
      <c r="D13879" s="787">
        <v>1.85</v>
      </c>
      <c r="E13879" s="787">
        <v>91.85</v>
      </c>
      <c r="F13879" s="788">
        <v>40983</v>
      </c>
      <c r="G13879" s="788">
        <v>41393</v>
      </c>
      <c r="H13879" s="787">
        <v>1</v>
      </c>
      <c r="I13879" s="788">
        <v>41857</v>
      </c>
      <c r="J13879" s="788">
        <v>41372</v>
      </c>
      <c r="K13879" s="788">
        <v>41528</v>
      </c>
      <c r="L13879" s="787">
        <v>68</v>
      </c>
      <c r="M13879" s="787">
        <v>20</v>
      </c>
      <c r="N13879" s="787">
        <v>73.099999999999994</v>
      </c>
      <c r="O13879" s="788">
        <v>41858</v>
      </c>
    </row>
    <row r="13880" spans="1:15" x14ac:dyDescent="0.25">
      <c r="A13880" s="786" t="s">
        <v>25027</v>
      </c>
      <c r="B13880" s="787">
        <v>4</v>
      </c>
      <c r="C13880" s="787" t="s">
        <v>25028</v>
      </c>
      <c r="D13880" s="787">
        <v>6.85</v>
      </c>
      <c r="E13880" s="787">
        <v>106.85</v>
      </c>
      <c r="F13880" s="788">
        <v>40982</v>
      </c>
      <c r="G13880" s="788">
        <v>41869</v>
      </c>
      <c r="H13880" s="787">
        <v>1</v>
      </c>
      <c r="I13880" s="788">
        <v>41850</v>
      </c>
      <c r="J13880" s="788">
        <v>41850</v>
      </c>
      <c r="K13880" s="788">
        <v>41849</v>
      </c>
      <c r="L13880" s="787">
        <v>106.85</v>
      </c>
      <c r="M13880" s="787">
        <v>20</v>
      </c>
      <c r="N13880" s="787">
        <v>114.86</v>
      </c>
      <c r="O13880" s="788">
        <v>41858</v>
      </c>
    </row>
    <row r="13881" spans="1:15" x14ac:dyDescent="0.25">
      <c r="A13881" s="786" t="s">
        <v>25029</v>
      </c>
      <c r="B13881" s="787">
        <v>4</v>
      </c>
      <c r="C13881" s="787" t="s">
        <v>25030</v>
      </c>
      <c r="D13881" s="787">
        <v>0</v>
      </c>
      <c r="E13881" s="787">
        <v>0</v>
      </c>
      <c r="H13881" s="787">
        <v>1</v>
      </c>
      <c r="L13881" s="787">
        <v>0</v>
      </c>
      <c r="M13881" s="787">
        <v>20</v>
      </c>
      <c r="N13881" s="787">
        <v>0</v>
      </c>
      <c r="O13881" s="788">
        <v>40824</v>
      </c>
    </row>
    <row r="13882" spans="1:15" x14ac:dyDescent="0.25">
      <c r="A13882" s="786" t="s">
        <v>25031</v>
      </c>
      <c r="B13882" s="787">
        <v>4</v>
      </c>
      <c r="C13882" s="787" t="s">
        <v>25032</v>
      </c>
      <c r="D13882" s="787">
        <v>2.85</v>
      </c>
      <c r="E13882" s="787">
        <v>102.85</v>
      </c>
      <c r="F13882" s="788">
        <v>40542</v>
      </c>
      <c r="G13882" s="788">
        <v>40891</v>
      </c>
      <c r="H13882" s="787">
        <v>1</v>
      </c>
      <c r="I13882" s="788">
        <v>41284</v>
      </c>
      <c r="J13882" s="788">
        <v>41549</v>
      </c>
      <c r="K13882" s="788">
        <v>40910</v>
      </c>
      <c r="L13882" s="787">
        <v>102.85</v>
      </c>
      <c r="M13882" s="787">
        <v>20</v>
      </c>
      <c r="N13882" s="787">
        <v>110.56</v>
      </c>
      <c r="O13882" s="788">
        <v>41858</v>
      </c>
    </row>
    <row r="13883" spans="1:15" x14ac:dyDescent="0.25">
      <c r="A13883" s="786" t="s">
        <v>25033</v>
      </c>
      <c r="B13883" s="787">
        <v>4</v>
      </c>
      <c r="C13883" s="787" t="s">
        <v>25034</v>
      </c>
      <c r="D13883" s="787">
        <v>1.42</v>
      </c>
      <c r="E13883" s="787">
        <v>211.42</v>
      </c>
      <c r="F13883" s="788">
        <v>41688</v>
      </c>
      <c r="G13883" s="788">
        <v>41683</v>
      </c>
      <c r="H13883" s="787">
        <v>1</v>
      </c>
      <c r="I13883" s="788">
        <v>41683</v>
      </c>
      <c r="J13883" s="788">
        <v>41683</v>
      </c>
      <c r="K13883" s="788">
        <v>41261</v>
      </c>
      <c r="L13883" s="787">
        <v>211.46</v>
      </c>
      <c r="M13883" s="787">
        <v>20</v>
      </c>
      <c r="N13883" s="787">
        <v>227.32</v>
      </c>
      <c r="O13883" s="788">
        <v>41858</v>
      </c>
    </row>
    <row r="13884" spans="1:15" x14ac:dyDescent="0.25">
      <c r="A13884" s="786" t="s">
        <v>25035</v>
      </c>
      <c r="B13884" s="787">
        <v>4</v>
      </c>
      <c r="C13884" s="787" t="s">
        <v>25036</v>
      </c>
      <c r="D13884" s="787">
        <v>5.94</v>
      </c>
      <c r="E13884" s="787">
        <v>225.94</v>
      </c>
      <c r="F13884" s="788">
        <v>40982</v>
      </c>
      <c r="G13884" s="788">
        <v>41422</v>
      </c>
      <c r="H13884" s="787">
        <v>1</v>
      </c>
      <c r="I13884" s="788">
        <v>41622</v>
      </c>
      <c r="J13884" s="788">
        <v>41374</v>
      </c>
      <c r="K13884" s="788">
        <v>41261</v>
      </c>
      <c r="L13884" s="787">
        <v>225.94</v>
      </c>
      <c r="M13884" s="787">
        <v>20</v>
      </c>
      <c r="N13884" s="787">
        <v>242.89</v>
      </c>
      <c r="O13884" s="788">
        <v>41991</v>
      </c>
    </row>
    <row r="13885" spans="1:15" x14ac:dyDescent="0.25">
      <c r="A13885" s="786" t="s">
        <v>25037</v>
      </c>
      <c r="B13885" s="787">
        <v>4</v>
      </c>
      <c r="C13885" s="787" t="s">
        <v>25038</v>
      </c>
      <c r="D13885" s="787">
        <v>6.42</v>
      </c>
      <c r="E13885" s="787">
        <v>226.42</v>
      </c>
      <c r="F13885" s="788">
        <v>41157</v>
      </c>
      <c r="G13885" s="788">
        <v>41157</v>
      </c>
      <c r="H13885" s="787">
        <v>1</v>
      </c>
      <c r="I13885" s="788">
        <v>41137</v>
      </c>
      <c r="J13885" s="788">
        <v>41627</v>
      </c>
      <c r="L13885" s="787">
        <v>226.42</v>
      </c>
      <c r="M13885" s="787">
        <v>20</v>
      </c>
      <c r="N13885" s="787">
        <v>243.4</v>
      </c>
      <c r="O13885" s="788">
        <v>41991</v>
      </c>
    </row>
    <row r="13886" spans="1:15" x14ac:dyDescent="0.25">
      <c r="A13886" s="786" t="s">
        <v>25039</v>
      </c>
      <c r="B13886" s="787">
        <v>4</v>
      </c>
      <c r="C13886" s="787" t="s">
        <v>25040</v>
      </c>
      <c r="D13886" s="787">
        <v>0.94</v>
      </c>
      <c r="E13886" s="787">
        <v>240.94</v>
      </c>
      <c r="F13886" s="788">
        <v>42062</v>
      </c>
      <c r="G13886" s="788">
        <v>42053</v>
      </c>
      <c r="H13886" s="787">
        <v>1</v>
      </c>
      <c r="I13886" s="788">
        <v>42061</v>
      </c>
      <c r="J13886" s="788">
        <v>42053</v>
      </c>
      <c r="K13886" s="788">
        <v>42045</v>
      </c>
      <c r="L13886" s="787">
        <v>240.94</v>
      </c>
      <c r="M13886" s="787">
        <v>20</v>
      </c>
      <c r="N13886" s="787">
        <v>259.01</v>
      </c>
      <c r="O13886" s="788">
        <v>42045</v>
      </c>
    </row>
    <row r="13887" spans="1:15" x14ac:dyDescent="0.25">
      <c r="A13887" s="786" t="s">
        <v>25041</v>
      </c>
      <c r="B13887" s="787">
        <v>4</v>
      </c>
      <c r="C13887" s="787" t="s">
        <v>25042</v>
      </c>
      <c r="D13887" s="787">
        <v>4</v>
      </c>
      <c r="E13887" s="787">
        <v>104.92</v>
      </c>
      <c r="F13887" s="788">
        <v>41453</v>
      </c>
      <c r="G13887" s="788">
        <v>41541</v>
      </c>
      <c r="H13887" s="787">
        <v>6</v>
      </c>
      <c r="I13887" s="788">
        <v>41830</v>
      </c>
      <c r="J13887" s="788">
        <v>41500</v>
      </c>
      <c r="K13887" s="788">
        <v>41478</v>
      </c>
      <c r="L13887" s="787">
        <v>104</v>
      </c>
      <c r="M13887" s="787">
        <v>20</v>
      </c>
      <c r="N13887" s="787">
        <v>112.79</v>
      </c>
      <c r="O13887" s="788">
        <v>41768</v>
      </c>
    </row>
    <row r="13888" spans="1:15" x14ac:dyDescent="0.25">
      <c r="A13888" s="786" t="s">
        <v>25043</v>
      </c>
      <c r="B13888" s="787">
        <v>4</v>
      </c>
      <c r="C13888" s="787" t="s">
        <v>25044</v>
      </c>
      <c r="D13888" s="787">
        <v>8</v>
      </c>
      <c r="E13888" s="787">
        <v>128.91999999999999</v>
      </c>
      <c r="F13888" s="788">
        <v>41453</v>
      </c>
      <c r="G13888" s="788">
        <v>41541</v>
      </c>
      <c r="H13888" s="787">
        <v>6</v>
      </c>
      <c r="I13888" s="788">
        <v>41830</v>
      </c>
      <c r="J13888" s="788">
        <v>41500</v>
      </c>
      <c r="K13888" s="788">
        <v>41478</v>
      </c>
      <c r="L13888" s="787">
        <v>128</v>
      </c>
      <c r="M13888" s="787">
        <v>20</v>
      </c>
      <c r="N13888" s="787">
        <v>138.59</v>
      </c>
      <c r="O13888" s="788">
        <v>41768</v>
      </c>
    </row>
    <row r="13889" spans="1:15" x14ac:dyDescent="0.25">
      <c r="A13889" s="786" t="s">
        <v>25045</v>
      </c>
      <c r="B13889" s="787">
        <v>4</v>
      </c>
      <c r="C13889" s="787" t="s">
        <v>25046</v>
      </c>
      <c r="D13889" s="787">
        <v>0.1</v>
      </c>
      <c r="E13889" s="787">
        <v>304.77</v>
      </c>
      <c r="F13889" s="788">
        <v>41565</v>
      </c>
      <c r="G13889" s="788">
        <v>42157</v>
      </c>
      <c r="H13889" s="787">
        <v>1</v>
      </c>
      <c r="I13889" s="788">
        <v>42145</v>
      </c>
      <c r="J13889" s="788">
        <v>42145</v>
      </c>
      <c r="K13889" s="788">
        <v>41473</v>
      </c>
      <c r="L13889" s="787">
        <v>310.36</v>
      </c>
      <c r="M13889" s="787">
        <v>10</v>
      </c>
      <c r="N13889" s="787">
        <v>308.58999999999997</v>
      </c>
      <c r="O13889" s="788">
        <v>42016</v>
      </c>
    </row>
    <row r="13890" spans="1:15" x14ac:dyDescent="0.25">
      <c r="A13890" s="786" t="s">
        <v>25047</v>
      </c>
      <c r="B13890" s="787">
        <v>4</v>
      </c>
      <c r="C13890" s="787" t="s">
        <v>25048</v>
      </c>
      <c r="D13890" s="787">
        <v>1.3</v>
      </c>
      <c r="E13890" s="787">
        <v>301.3</v>
      </c>
      <c r="F13890" s="788">
        <v>42094</v>
      </c>
      <c r="G13890" s="788">
        <v>42094</v>
      </c>
      <c r="H13890" s="787">
        <v>1</v>
      </c>
      <c r="I13890" s="788">
        <v>42062</v>
      </c>
      <c r="J13890" s="788">
        <v>42054</v>
      </c>
      <c r="K13890" s="788">
        <v>41473</v>
      </c>
      <c r="L13890" s="787">
        <v>310.36</v>
      </c>
      <c r="M13890" s="787">
        <v>10</v>
      </c>
      <c r="N13890" s="787">
        <v>297.45999999999998</v>
      </c>
      <c r="O13890" s="788">
        <v>41858</v>
      </c>
    </row>
    <row r="13891" spans="1:15" x14ac:dyDescent="0.25">
      <c r="A13891" s="786" t="s">
        <v>25049</v>
      </c>
      <c r="B13891" s="787">
        <v>4</v>
      </c>
      <c r="C13891" s="787" t="s">
        <v>25050</v>
      </c>
      <c r="D13891" s="787">
        <v>0</v>
      </c>
      <c r="E13891" s="787">
        <v>0</v>
      </c>
      <c r="H13891" s="787">
        <v>1</v>
      </c>
      <c r="K13891" s="788">
        <v>41473</v>
      </c>
      <c r="L13891" s="787">
        <v>310.36</v>
      </c>
      <c r="M13891" s="787">
        <v>10</v>
      </c>
      <c r="N13891" s="787">
        <v>297.45999999999998</v>
      </c>
      <c r="O13891" s="788">
        <v>41858</v>
      </c>
    </row>
    <row r="13892" spans="1:15" x14ac:dyDescent="0.25">
      <c r="A13892" s="786" t="s">
        <v>25051</v>
      </c>
      <c r="B13892" s="787">
        <v>4</v>
      </c>
      <c r="C13892" s="787" t="s">
        <v>25052</v>
      </c>
      <c r="D13892" s="787">
        <v>2.74</v>
      </c>
      <c r="E13892" s="787">
        <v>302.74</v>
      </c>
      <c r="F13892" s="788">
        <v>42076</v>
      </c>
      <c r="G13892" s="788">
        <v>42076</v>
      </c>
      <c r="H13892" s="787">
        <v>1</v>
      </c>
      <c r="I13892" s="788">
        <v>42045</v>
      </c>
      <c r="J13892" s="788">
        <v>42044</v>
      </c>
      <c r="K13892" s="788">
        <v>41473</v>
      </c>
      <c r="L13892" s="787">
        <v>310.36</v>
      </c>
      <c r="M13892" s="787">
        <v>10</v>
      </c>
      <c r="N13892" s="787">
        <v>308.57</v>
      </c>
      <c r="O13892" s="788">
        <v>41984</v>
      </c>
    </row>
    <row r="13893" spans="1:15" x14ac:dyDescent="0.25">
      <c r="A13893" s="786" t="s">
        <v>25053</v>
      </c>
      <c r="B13893" s="787">
        <v>4</v>
      </c>
      <c r="C13893" s="787" t="s">
        <v>25054</v>
      </c>
      <c r="D13893" s="787">
        <v>9.11</v>
      </c>
      <c r="E13893" s="787">
        <v>299.11</v>
      </c>
      <c r="F13893" s="788">
        <v>42017</v>
      </c>
      <c r="G13893" s="788">
        <v>42017</v>
      </c>
      <c r="H13893" s="787">
        <v>1</v>
      </c>
      <c r="I13893" s="788">
        <v>41988</v>
      </c>
      <c r="J13893" s="788">
        <v>41988</v>
      </c>
      <c r="L13893" s="787">
        <v>310.36</v>
      </c>
      <c r="M13893" s="787">
        <v>10</v>
      </c>
      <c r="N13893" s="787">
        <v>308.61</v>
      </c>
      <c r="O13893" s="788">
        <v>41992</v>
      </c>
    </row>
    <row r="13894" spans="1:15" x14ac:dyDescent="0.25">
      <c r="A13894" s="786" t="s">
        <v>25055</v>
      </c>
      <c r="B13894" s="787">
        <v>4</v>
      </c>
      <c r="C13894" s="787" t="s">
        <v>25056</v>
      </c>
      <c r="D13894" s="787">
        <v>0</v>
      </c>
      <c r="E13894" s="787">
        <v>0</v>
      </c>
      <c r="H13894" s="787">
        <v>1</v>
      </c>
      <c r="L13894" s="787">
        <v>310.36</v>
      </c>
      <c r="M13894" s="787">
        <v>10</v>
      </c>
      <c r="N13894" s="787">
        <v>297.45999999999998</v>
      </c>
      <c r="O13894" s="788">
        <v>41899</v>
      </c>
    </row>
    <row r="13895" spans="1:15" x14ac:dyDescent="0.25">
      <c r="A13895" s="786" t="s">
        <v>25057</v>
      </c>
      <c r="B13895" s="787">
        <v>4</v>
      </c>
      <c r="C13895" s="787" t="s">
        <v>25058</v>
      </c>
      <c r="D13895" s="787">
        <v>4.2699999999999996</v>
      </c>
      <c r="E13895" s="787">
        <v>294.27</v>
      </c>
      <c r="F13895" s="788">
        <v>42065</v>
      </c>
      <c r="G13895" s="788">
        <v>42065</v>
      </c>
      <c r="H13895" s="787">
        <v>1</v>
      </c>
      <c r="I13895" s="788">
        <v>42034</v>
      </c>
      <c r="J13895" s="788">
        <v>42033</v>
      </c>
      <c r="L13895" s="787">
        <v>310.36</v>
      </c>
      <c r="M13895" s="787">
        <v>10</v>
      </c>
      <c r="N13895" s="787">
        <v>297.45999999999998</v>
      </c>
      <c r="O13895" s="788">
        <v>41899</v>
      </c>
    </row>
    <row r="13896" spans="1:15" x14ac:dyDescent="0.25">
      <c r="A13896" s="786" t="s">
        <v>25059</v>
      </c>
      <c r="B13896" s="787">
        <v>4</v>
      </c>
      <c r="C13896" s="787" t="s">
        <v>25060</v>
      </c>
      <c r="D13896" s="787">
        <v>0.36</v>
      </c>
      <c r="E13896" s="787">
        <v>293.3</v>
      </c>
      <c r="F13896" s="788">
        <v>41947</v>
      </c>
      <c r="G13896" s="788">
        <v>42165</v>
      </c>
      <c r="H13896" s="787">
        <v>1</v>
      </c>
      <c r="I13896" s="788">
        <v>42165</v>
      </c>
      <c r="J13896" s="788">
        <v>42165</v>
      </c>
      <c r="K13896" s="788">
        <v>41905</v>
      </c>
      <c r="L13896" s="787">
        <v>310.36</v>
      </c>
      <c r="M13896" s="787">
        <v>10</v>
      </c>
      <c r="N13896" s="787">
        <v>308.61</v>
      </c>
      <c r="O13896" s="788">
        <v>41992</v>
      </c>
    </row>
    <row r="13897" spans="1:15" x14ac:dyDescent="0.25">
      <c r="A13897" s="786" t="s">
        <v>25061</v>
      </c>
      <c r="B13897" s="787">
        <v>4</v>
      </c>
      <c r="C13897" s="787" t="s">
        <v>25062</v>
      </c>
      <c r="D13897" s="787">
        <v>0.7</v>
      </c>
      <c r="E13897" s="787">
        <v>130.69999999999999</v>
      </c>
      <c r="F13897" s="788">
        <v>40379</v>
      </c>
      <c r="G13897" s="788">
        <v>40323</v>
      </c>
      <c r="H13897" s="787">
        <v>1</v>
      </c>
      <c r="I13897" s="788">
        <v>40968</v>
      </c>
      <c r="J13897" s="788">
        <v>40969</v>
      </c>
      <c r="K13897" s="788">
        <v>41261</v>
      </c>
      <c r="L13897" s="787">
        <v>130.69999999999999</v>
      </c>
      <c r="M13897" s="787">
        <v>20</v>
      </c>
      <c r="N13897" s="787">
        <v>140.5</v>
      </c>
      <c r="O13897" s="788">
        <v>41858</v>
      </c>
    </row>
    <row r="13898" spans="1:15" x14ac:dyDescent="0.25">
      <c r="A13898" s="786" t="s">
        <v>25063</v>
      </c>
      <c r="B13898" s="787">
        <v>4</v>
      </c>
      <c r="C13898" s="787" t="s">
        <v>25064</v>
      </c>
      <c r="D13898" s="787">
        <v>0</v>
      </c>
      <c r="E13898" s="787">
        <v>0</v>
      </c>
      <c r="H13898" s="787">
        <v>1</v>
      </c>
      <c r="L13898" s="787">
        <v>0</v>
      </c>
      <c r="M13898" s="787">
        <v>20</v>
      </c>
      <c r="N13898" s="787">
        <v>0</v>
      </c>
      <c r="O13898" s="788">
        <v>40824</v>
      </c>
    </row>
    <row r="13899" spans="1:15" x14ac:dyDescent="0.25">
      <c r="A13899" s="786" t="s">
        <v>25065</v>
      </c>
      <c r="B13899" s="787">
        <v>4</v>
      </c>
      <c r="C13899" s="787" t="s">
        <v>25066</v>
      </c>
      <c r="D13899" s="787">
        <v>0</v>
      </c>
      <c r="E13899" s="787">
        <v>0</v>
      </c>
      <c r="H13899" s="787">
        <v>1</v>
      </c>
      <c r="L13899" s="787">
        <v>0</v>
      </c>
      <c r="M13899" s="787">
        <v>20</v>
      </c>
      <c r="N13899" s="787">
        <v>0</v>
      </c>
      <c r="O13899" s="788">
        <v>40824</v>
      </c>
    </row>
    <row r="13900" spans="1:15" x14ac:dyDescent="0.25">
      <c r="A13900" s="786" t="s">
        <v>25067</v>
      </c>
      <c r="B13900" s="787">
        <v>4</v>
      </c>
      <c r="C13900" s="787" t="s">
        <v>25068</v>
      </c>
      <c r="D13900" s="787">
        <v>0</v>
      </c>
      <c r="E13900" s="787">
        <v>0</v>
      </c>
      <c r="H13900" s="787">
        <v>1</v>
      </c>
      <c r="L13900" s="787">
        <v>0</v>
      </c>
      <c r="M13900" s="787">
        <v>20</v>
      </c>
      <c r="N13900" s="787">
        <v>0</v>
      </c>
      <c r="O13900" s="788">
        <v>40824</v>
      </c>
    </row>
    <row r="13901" spans="1:15" x14ac:dyDescent="0.25">
      <c r="A13901" s="786" t="s">
        <v>25069</v>
      </c>
      <c r="B13901" s="787">
        <v>4</v>
      </c>
      <c r="C13901" s="787" t="s">
        <v>25070</v>
      </c>
      <c r="D13901" s="787">
        <v>0</v>
      </c>
      <c r="E13901" s="787">
        <v>0</v>
      </c>
      <c r="H13901" s="787">
        <v>1</v>
      </c>
      <c r="L13901" s="787">
        <v>0</v>
      </c>
      <c r="M13901" s="787">
        <v>20</v>
      </c>
      <c r="N13901" s="787">
        <v>0</v>
      </c>
      <c r="O13901" s="788">
        <v>40824</v>
      </c>
    </row>
    <row r="13902" spans="1:15" x14ac:dyDescent="0.25">
      <c r="A13902" s="786" t="s">
        <v>25071</v>
      </c>
      <c r="B13902" s="787">
        <v>4</v>
      </c>
      <c r="C13902" s="787" t="s">
        <v>25072</v>
      </c>
      <c r="D13902" s="787">
        <v>3.39</v>
      </c>
      <c r="E13902" s="787">
        <v>283.39</v>
      </c>
      <c r="F13902" s="788">
        <v>41851</v>
      </c>
      <c r="G13902" s="788">
        <v>41869</v>
      </c>
      <c r="H13902" s="787">
        <v>1</v>
      </c>
      <c r="I13902" s="788">
        <v>41865</v>
      </c>
      <c r="J13902" s="788">
        <v>41850</v>
      </c>
      <c r="K13902" s="788">
        <v>41828</v>
      </c>
      <c r="L13902" s="787">
        <v>158.80000000000001</v>
      </c>
      <c r="M13902" s="787">
        <v>20</v>
      </c>
      <c r="N13902" s="787">
        <v>170.71</v>
      </c>
      <c r="O13902" s="788">
        <v>41858</v>
      </c>
    </row>
    <row r="13903" spans="1:15" x14ac:dyDescent="0.25">
      <c r="A13903" s="786" t="s">
        <v>25073</v>
      </c>
      <c r="B13903" s="787">
        <v>4</v>
      </c>
      <c r="C13903" s="787" t="s">
        <v>25074</v>
      </c>
      <c r="D13903" s="787">
        <v>0</v>
      </c>
      <c r="E13903" s="787">
        <v>245.45</v>
      </c>
      <c r="H13903" s="787">
        <v>1</v>
      </c>
      <c r="I13903" s="788">
        <v>40771</v>
      </c>
      <c r="K13903" s="788">
        <v>41261</v>
      </c>
      <c r="L13903" s="787">
        <v>245.45</v>
      </c>
      <c r="M13903" s="787">
        <v>20</v>
      </c>
      <c r="N13903" s="787">
        <v>263.86</v>
      </c>
      <c r="O13903" s="788">
        <v>41858</v>
      </c>
    </row>
    <row r="13904" spans="1:15" x14ac:dyDescent="0.25">
      <c r="A13904" s="786" t="s">
        <v>25075</v>
      </c>
      <c r="B13904" s="787">
        <v>4</v>
      </c>
      <c r="C13904" s="787" t="s">
        <v>25076</v>
      </c>
      <c r="D13904" s="787">
        <v>0</v>
      </c>
      <c r="E13904" s="787">
        <v>0</v>
      </c>
      <c r="H13904" s="787">
        <v>1</v>
      </c>
      <c r="L13904" s="787">
        <v>0</v>
      </c>
      <c r="M13904" s="787">
        <v>20</v>
      </c>
      <c r="N13904" s="787">
        <v>0</v>
      </c>
      <c r="O13904" s="788">
        <v>40824</v>
      </c>
    </row>
    <row r="13905" spans="1:15" x14ac:dyDescent="0.25">
      <c r="A13905" s="786" t="s">
        <v>25077</v>
      </c>
      <c r="B13905" s="787">
        <v>4</v>
      </c>
      <c r="C13905" s="787" t="s">
        <v>25078</v>
      </c>
      <c r="D13905" s="787">
        <v>5.65</v>
      </c>
      <c r="E13905" s="787">
        <v>265.64999999999998</v>
      </c>
      <c r="F13905" s="788">
        <v>41106</v>
      </c>
      <c r="G13905" s="788">
        <v>41155</v>
      </c>
      <c r="H13905" s="787">
        <v>1</v>
      </c>
      <c r="I13905" s="788">
        <v>41104</v>
      </c>
      <c r="J13905" s="788">
        <v>41105</v>
      </c>
      <c r="K13905" s="788">
        <v>41687</v>
      </c>
      <c r="L13905" s="787">
        <v>265.64999999999998</v>
      </c>
      <c r="M13905" s="787">
        <v>20</v>
      </c>
      <c r="N13905" s="787">
        <v>285.57</v>
      </c>
      <c r="O13905" s="788">
        <v>41858</v>
      </c>
    </row>
    <row r="13906" spans="1:15" x14ac:dyDescent="0.25">
      <c r="A13906" s="786" t="s">
        <v>25079</v>
      </c>
      <c r="B13906" s="787">
        <v>4</v>
      </c>
      <c r="C13906" s="787" t="s">
        <v>25080</v>
      </c>
      <c r="D13906" s="787">
        <v>0</v>
      </c>
      <c r="E13906" s="787">
        <v>0</v>
      </c>
      <c r="H13906" s="787">
        <v>1</v>
      </c>
      <c r="L13906" s="787">
        <v>0</v>
      </c>
      <c r="M13906" s="787">
        <v>20</v>
      </c>
      <c r="N13906" s="787">
        <v>0</v>
      </c>
      <c r="O13906" s="788">
        <v>40824</v>
      </c>
    </row>
    <row r="13907" spans="1:15" x14ac:dyDescent="0.25">
      <c r="A13907" s="786" t="s">
        <v>25081</v>
      </c>
      <c r="B13907" s="787">
        <v>4</v>
      </c>
      <c r="C13907" s="787" t="s">
        <v>25082</v>
      </c>
      <c r="D13907" s="787">
        <v>3.35</v>
      </c>
      <c r="E13907" s="787">
        <v>140.55000000000001</v>
      </c>
      <c r="F13907" s="788">
        <v>40911</v>
      </c>
      <c r="G13907" s="788">
        <v>41255</v>
      </c>
      <c r="H13907" s="787">
        <v>1</v>
      </c>
      <c r="I13907" s="788">
        <v>41204</v>
      </c>
      <c r="J13907" s="788">
        <v>41074</v>
      </c>
      <c r="K13907" s="788">
        <v>41884</v>
      </c>
      <c r="L13907" s="787">
        <v>165.55</v>
      </c>
      <c r="M13907" s="787">
        <v>20</v>
      </c>
      <c r="N13907" s="787">
        <v>151.09</v>
      </c>
      <c r="O13907" s="788">
        <v>41858</v>
      </c>
    </row>
    <row r="13908" spans="1:15" x14ac:dyDescent="0.25">
      <c r="A13908" s="786" t="s">
        <v>25083</v>
      </c>
      <c r="B13908" s="787">
        <v>4</v>
      </c>
      <c r="C13908" s="787" t="s">
        <v>25084</v>
      </c>
      <c r="D13908" s="787">
        <v>0</v>
      </c>
      <c r="E13908" s="787">
        <v>0</v>
      </c>
      <c r="H13908" s="787">
        <v>1</v>
      </c>
      <c r="K13908" s="788">
        <v>41884</v>
      </c>
      <c r="L13908" s="787">
        <v>261.14999999999998</v>
      </c>
      <c r="M13908" s="787">
        <v>20</v>
      </c>
      <c r="N13908" s="787">
        <v>280.74</v>
      </c>
      <c r="O13908" s="788">
        <v>41884</v>
      </c>
    </row>
    <row r="13909" spans="1:15" x14ac:dyDescent="0.25">
      <c r="A13909" s="786" t="s">
        <v>25085</v>
      </c>
      <c r="B13909" s="787">
        <v>4</v>
      </c>
      <c r="C13909" s="787" t="s">
        <v>25086</v>
      </c>
      <c r="D13909" s="787">
        <v>0</v>
      </c>
      <c r="E13909" s="787">
        <v>0</v>
      </c>
      <c r="H13909" s="787">
        <v>1</v>
      </c>
      <c r="K13909" s="788">
        <v>41884</v>
      </c>
      <c r="L13909" s="787">
        <v>276.14999999999998</v>
      </c>
      <c r="M13909" s="787">
        <v>20</v>
      </c>
      <c r="N13909" s="787">
        <v>296.86</v>
      </c>
      <c r="O13909" s="788">
        <v>41884</v>
      </c>
    </row>
    <row r="13910" spans="1:15" x14ac:dyDescent="0.25">
      <c r="A13910" s="786" t="s">
        <v>25087</v>
      </c>
      <c r="B13910" s="787">
        <v>4</v>
      </c>
      <c r="C13910" s="787" t="s">
        <v>25088</v>
      </c>
      <c r="D13910" s="787">
        <v>6.75</v>
      </c>
      <c r="E13910" s="787">
        <v>166.75</v>
      </c>
      <c r="F13910" s="788">
        <v>40526</v>
      </c>
      <c r="G13910" s="788">
        <v>40534</v>
      </c>
      <c r="H13910" s="787">
        <v>1</v>
      </c>
      <c r="I13910" s="788">
        <v>40737</v>
      </c>
      <c r="J13910" s="788">
        <v>40716</v>
      </c>
      <c r="K13910" s="788">
        <v>41884</v>
      </c>
      <c r="L13910" s="787">
        <v>191.75</v>
      </c>
      <c r="M13910" s="787">
        <v>20</v>
      </c>
      <c r="N13910" s="787">
        <v>206.13</v>
      </c>
      <c r="O13910" s="788">
        <v>41884</v>
      </c>
    </row>
    <row r="13911" spans="1:15" x14ac:dyDescent="0.25">
      <c r="A13911" s="786" t="s">
        <v>25089</v>
      </c>
      <c r="B13911" s="787">
        <v>4</v>
      </c>
      <c r="C13911" s="787" t="s">
        <v>25090</v>
      </c>
      <c r="D13911" s="787">
        <v>3.35</v>
      </c>
      <c r="E13911" s="787">
        <v>43.35</v>
      </c>
      <c r="F13911" s="788">
        <v>41098</v>
      </c>
      <c r="G13911" s="788">
        <v>41169</v>
      </c>
      <c r="H13911" s="787">
        <v>1</v>
      </c>
      <c r="I13911" s="788">
        <v>41774</v>
      </c>
      <c r="J13911" s="788">
        <v>41996</v>
      </c>
      <c r="K13911" s="788">
        <v>41883</v>
      </c>
      <c r="L13911" s="787">
        <v>69.099999999999994</v>
      </c>
      <c r="M13911" s="787">
        <v>20</v>
      </c>
      <c r="N13911" s="787">
        <v>46.6</v>
      </c>
      <c r="O13911" s="788">
        <v>41858</v>
      </c>
    </row>
    <row r="13912" spans="1:15" x14ac:dyDescent="0.25">
      <c r="A13912" s="786" t="s">
        <v>25091</v>
      </c>
      <c r="B13912" s="787">
        <v>4</v>
      </c>
      <c r="C13912" s="787" t="s">
        <v>25092</v>
      </c>
      <c r="D13912" s="787">
        <v>8.9499999999999993</v>
      </c>
      <c r="E13912" s="787">
        <v>79.45</v>
      </c>
      <c r="F13912" s="788">
        <v>40820</v>
      </c>
      <c r="G13912" s="788">
        <v>41850</v>
      </c>
      <c r="H13912" s="787">
        <v>1</v>
      </c>
      <c r="I13912" s="788">
        <v>42030</v>
      </c>
      <c r="J13912" s="788">
        <v>42025</v>
      </c>
      <c r="K13912" s="788">
        <v>41817</v>
      </c>
      <c r="L13912" s="787">
        <v>79.45</v>
      </c>
      <c r="M13912" s="787">
        <v>20</v>
      </c>
      <c r="N13912" s="787">
        <v>85.41</v>
      </c>
      <c r="O13912" s="788">
        <v>41858</v>
      </c>
    </row>
    <row r="13913" spans="1:15" x14ac:dyDescent="0.25">
      <c r="A13913" s="786" t="s">
        <v>25093</v>
      </c>
      <c r="B13913" s="787">
        <v>4</v>
      </c>
      <c r="C13913" s="787" t="s">
        <v>25094</v>
      </c>
      <c r="D13913" s="787">
        <v>1.95</v>
      </c>
      <c r="E13913" s="787">
        <v>140.55000000000001</v>
      </c>
      <c r="F13913" s="788">
        <v>40911</v>
      </c>
      <c r="G13913" s="788">
        <v>41169</v>
      </c>
      <c r="H13913" s="787">
        <v>1</v>
      </c>
      <c r="I13913" s="788">
        <v>41261</v>
      </c>
      <c r="J13913" s="788">
        <v>41169</v>
      </c>
      <c r="K13913" s="788">
        <v>41884</v>
      </c>
      <c r="L13913" s="787">
        <v>165.55</v>
      </c>
      <c r="M13913" s="787">
        <v>20</v>
      </c>
      <c r="N13913" s="787">
        <v>151.09</v>
      </c>
      <c r="O13913" s="788">
        <v>41858</v>
      </c>
    </row>
    <row r="13914" spans="1:15" x14ac:dyDescent="0.25">
      <c r="A13914" s="786" t="s">
        <v>25095</v>
      </c>
      <c r="B13914" s="787">
        <v>4</v>
      </c>
      <c r="C13914" s="787" t="s">
        <v>25096</v>
      </c>
      <c r="D13914" s="787">
        <v>0</v>
      </c>
      <c r="E13914" s="787">
        <v>0</v>
      </c>
      <c r="H13914" s="787">
        <v>1</v>
      </c>
      <c r="K13914" s="788">
        <v>41884</v>
      </c>
      <c r="L13914" s="787">
        <v>261.14999999999998</v>
      </c>
      <c r="M13914" s="787">
        <v>20</v>
      </c>
      <c r="N13914" s="787">
        <v>280.74</v>
      </c>
      <c r="O13914" s="788">
        <v>41884</v>
      </c>
    </row>
    <row r="13915" spans="1:15" x14ac:dyDescent="0.25">
      <c r="A13915" s="786" t="s">
        <v>25097</v>
      </c>
      <c r="B13915" s="787">
        <v>4</v>
      </c>
      <c r="C13915" s="787" t="s">
        <v>25098</v>
      </c>
      <c r="D13915" s="787">
        <v>6.95</v>
      </c>
      <c r="E13915" s="787">
        <v>155.55000000000001</v>
      </c>
      <c r="F13915" s="788">
        <v>40865</v>
      </c>
      <c r="G13915" s="788">
        <v>41743</v>
      </c>
      <c r="H13915" s="787">
        <v>1</v>
      </c>
      <c r="I13915" s="788">
        <v>41711</v>
      </c>
      <c r="J13915" s="788">
        <v>41711</v>
      </c>
      <c r="K13915" s="788">
        <v>41884</v>
      </c>
      <c r="L13915" s="787">
        <v>180.55</v>
      </c>
      <c r="M13915" s="787">
        <v>20</v>
      </c>
      <c r="N13915" s="787">
        <v>157.97</v>
      </c>
      <c r="O13915" s="788">
        <v>41858</v>
      </c>
    </row>
    <row r="13916" spans="1:15" x14ac:dyDescent="0.25">
      <c r="A13916" s="786" t="s">
        <v>25099</v>
      </c>
      <c r="B13916" s="787">
        <v>4</v>
      </c>
      <c r="C13916" s="787" t="s">
        <v>25100</v>
      </c>
      <c r="D13916" s="787">
        <v>0</v>
      </c>
      <c r="E13916" s="787">
        <v>0</v>
      </c>
      <c r="H13916" s="787">
        <v>1</v>
      </c>
      <c r="K13916" s="788">
        <v>41884</v>
      </c>
      <c r="L13916" s="787">
        <v>276.14999999999998</v>
      </c>
      <c r="M13916" s="787">
        <v>20</v>
      </c>
      <c r="N13916" s="787">
        <v>296.86</v>
      </c>
      <c r="O13916" s="788">
        <v>41884</v>
      </c>
    </row>
    <row r="13917" spans="1:15" x14ac:dyDescent="0.25">
      <c r="A13917" s="786" t="s">
        <v>25101</v>
      </c>
      <c r="B13917" s="787">
        <v>4</v>
      </c>
      <c r="C13917" s="787" t="s">
        <v>25102</v>
      </c>
      <c r="D13917" s="787">
        <v>6.75</v>
      </c>
      <c r="E13917" s="787">
        <v>166.75</v>
      </c>
      <c r="F13917" s="788">
        <v>40707</v>
      </c>
      <c r="G13917" s="788">
        <v>40700</v>
      </c>
      <c r="H13917" s="787">
        <v>1</v>
      </c>
      <c r="I13917" s="788">
        <v>40687</v>
      </c>
      <c r="J13917" s="788">
        <v>40687</v>
      </c>
      <c r="K13917" s="788">
        <v>41884</v>
      </c>
      <c r="L13917" s="787">
        <v>191.75</v>
      </c>
      <c r="M13917" s="787">
        <v>20</v>
      </c>
      <c r="N13917" s="787">
        <v>206.13</v>
      </c>
      <c r="O13917" s="788">
        <v>41884</v>
      </c>
    </row>
    <row r="13918" spans="1:15" x14ac:dyDescent="0.25">
      <c r="A13918" s="786" t="s">
        <v>25103</v>
      </c>
      <c r="B13918" s="787">
        <v>4</v>
      </c>
      <c r="C13918" s="787" t="s">
        <v>25104</v>
      </c>
      <c r="D13918" s="787">
        <v>4.8499999999999996</v>
      </c>
      <c r="E13918" s="787">
        <v>79.849999999999994</v>
      </c>
      <c r="F13918" s="788">
        <v>40379</v>
      </c>
      <c r="G13918" s="788">
        <v>42013</v>
      </c>
      <c r="H13918" s="787">
        <v>1</v>
      </c>
      <c r="I13918" s="788">
        <v>42052</v>
      </c>
      <c r="J13918" s="788">
        <v>41996</v>
      </c>
      <c r="K13918" s="788">
        <v>41883</v>
      </c>
      <c r="L13918" s="787">
        <v>79.849999999999994</v>
      </c>
      <c r="M13918" s="787">
        <v>20</v>
      </c>
      <c r="N13918" s="787">
        <v>58.96</v>
      </c>
      <c r="O13918" s="788">
        <v>41858</v>
      </c>
    </row>
    <row r="13919" spans="1:15" x14ac:dyDescent="0.25">
      <c r="A13919" s="786" t="s">
        <v>25105</v>
      </c>
      <c r="B13919" s="787">
        <v>4</v>
      </c>
      <c r="C13919" s="787" t="s">
        <v>25106</v>
      </c>
      <c r="D13919" s="787">
        <v>0</v>
      </c>
      <c r="E13919" s="787">
        <v>246.9</v>
      </c>
      <c r="H13919" s="787">
        <v>1</v>
      </c>
      <c r="K13919" s="788">
        <v>41884</v>
      </c>
      <c r="L13919" s="787">
        <v>271.89999999999998</v>
      </c>
      <c r="M13919" s="787">
        <v>20</v>
      </c>
      <c r="N13919" s="787">
        <v>292.29000000000002</v>
      </c>
      <c r="O13919" s="788">
        <v>41884</v>
      </c>
    </row>
    <row r="13920" spans="1:15" x14ac:dyDescent="0.25">
      <c r="A13920" s="786" t="s">
        <v>25107</v>
      </c>
      <c r="B13920" s="787">
        <v>4</v>
      </c>
      <c r="C13920" s="787" t="s">
        <v>25108</v>
      </c>
      <c r="D13920" s="787">
        <v>1.7</v>
      </c>
      <c r="E13920" s="787">
        <v>191.3</v>
      </c>
      <c r="F13920" s="788">
        <v>40554</v>
      </c>
      <c r="G13920" s="788">
        <v>41843</v>
      </c>
      <c r="H13920" s="787">
        <v>1</v>
      </c>
      <c r="I13920" s="788">
        <v>42118</v>
      </c>
      <c r="J13920" s="788">
        <v>42109</v>
      </c>
      <c r="K13920" s="788">
        <v>41514</v>
      </c>
      <c r="L13920" s="787">
        <v>191.3</v>
      </c>
      <c r="M13920" s="787">
        <v>20</v>
      </c>
      <c r="N13920" s="787">
        <v>205.65</v>
      </c>
      <c r="O13920" s="788">
        <v>41858</v>
      </c>
    </row>
    <row r="13921" spans="1:15" x14ac:dyDescent="0.25">
      <c r="A13921" s="786" t="s">
        <v>25109</v>
      </c>
      <c r="B13921" s="787">
        <v>4</v>
      </c>
      <c r="C13921" s="787" t="s">
        <v>25110</v>
      </c>
      <c r="D13921" s="787">
        <v>0</v>
      </c>
      <c r="E13921" s="787">
        <v>0</v>
      </c>
      <c r="H13921" s="787">
        <v>1</v>
      </c>
      <c r="K13921" s="788">
        <v>41884</v>
      </c>
      <c r="L13921" s="787">
        <v>286.89999999999998</v>
      </c>
      <c r="M13921" s="787">
        <v>20</v>
      </c>
      <c r="N13921" s="787">
        <v>308.42</v>
      </c>
      <c r="O13921" s="788">
        <v>41884</v>
      </c>
    </row>
    <row r="13922" spans="1:15" x14ac:dyDescent="0.25">
      <c r="A13922" s="786" t="s">
        <v>25111</v>
      </c>
      <c r="B13922" s="787">
        <v>4</v>
      </c>
      <c r="C13922" s="787" t="s">
        <v>25112</v>
      </c>
      <c r="D13922" s="787">
        <v>7.5</v>
      </c>
      <c r="E13922" s="787">
        <v>177.5</v>
      </c>
      <c r="F13922" s="788">
        <v>40596</v>
      </c>
      <c r="G13922" s="788">
        <v>40597</v>
      </c>
      <c r="H13922" s="787">
        <v>1</v>
      </c>
      <c r="J13922" s="788">
        <v>40597</v>
      </c>
      <c r="K13922" s="788">
        <v>41884</v>
      </c>
      <c r="L13922" s="787">
        <v>202.5</v>
      </c>
      <c r="M13922" s="787">
        <v>20</v>
      </c>
      <c r="N13922" s="787">
        <v>190.81</v>
      </c>
      <c r="O13922" s="788">
        <v>41858</v>
      </c>
    </row>
    <row r="13923" spans="1:15" x14ac:dyDescent="0.25">
      <c r="A13923" s="786" t="s">
        <v>25113</v>
      </c>
      <c r="B13923" s="787">
        <v>4</v>
      </c>
      <c r="C13923" s="787" t="s">
        <v>25114</v>
      </c>
      <c r="D13923" s="787">
        <v>4.8499999999999996</v>
      </c>
      <c r="E13923" s="787">
        <v>54.85</v>
      </c>
      <c r="F13923" s="788">
        <v>40773</v>
      </c>
      <c r="G13923" s="788">
        <v>40737</v>
      </c>
      <c r="H13923" s="787">
        <v>1</v>
      </c>
      <c r="I13923" s="788">
        <v>41456</v>
      </c>
      <c r="J13923" s="788">
        <v>41996</v>
      </c>
      <c r="K13923" s="788">
        <v>41883</v>
      </c>
      <c r="L13923" s="787">
        <v>79.849999999999994</v>
      </c>
      <c r="M13923" s="787">
        <v>20</v>
      </c>
      <c r="N13923" s="787">
        <v>58.96</v>
      </c>
      <c r="O13923" s="788">
        <v>41858</v>
      </c>
    </row>
    <row r="13924" spans="1:15" x14ac:dyDescent="0.25">
      <c r="A13924" s="786" t="s">
        <v>25115</v>
      </c>
      <c r="B13924" s="787">
        <v>4</v>
      </c>
      <c r="C13924" s="787" t="s">
        <v>25116</v>
      </c>
      <c r="D13924" s="787">
        <v>6.9</v>
      </c>
      <c r="E13924" s="787">
        <v>246.9</v>
      </c>
      <c r="F13924" s="788">
        <v>40773</v>
      </c>
      <c r="G13924" s="788">
        <v>40730</v>
      </c>
      <c r="H13924" s="787">
        <v>1</v>
      </c>
      <c r="I13924" s="788">
        <v>40730</v>
      </c>
      <c r="J13924" s="788">
        <v>40730</v>
      </c>
      <c r="K13924" s="788">
        <v>41884</v>
      </c>
      <c r="L13924" s="787">
        <v>271.89999999999998</v>
      </c>
      <c r="M13924" s="787">
        <v>20</v>
      </c>
      <c r="N13924" s="787">
        <v>292.29000000000002</v>
      </c>
      <c r="O13924" s="788">
        <v>41884</v>
      </c>
    </row>
    <row r="13925" spans="1:15" x14ac:dyDescent="0.25">
      <c r="A13925" s="786" t="s">
        <v>25117</v>
      </c>
      <c r="B13925" s="787">
        <v>4</v>
      </c>
      <c r="C13925" s="787" t="s">
        <v>25118</v>
      </c>
      <c r="D13925" s="787">
        <v>9.1</v>
      </c>
      <c r="E13925" s="787">
        <v>191.3</v>
      </c>
      <c r="F13925" s="788">
        <v>40911</v>
      </c>
      <c r="G13925" s="788">
        <v>42032</v>
      </c>
      <c r="H13925" s="787">
        <v>1</v>
      </c>
      <c r="I13925" s="788">
        <v>42109</v>
      </c>
      <c r="J13925" s="788">
        <v>42109</v>
      </c>
      <c r="K13925" s="788">
        <v>41884</v>
      </c>
      <c r="L13925" s="787">
        <v>191.3</v>
      </c>
      <c r="M13925" s="787">
        <v>20</v>
      </c>
      <c r="N13925" s="787">
        <v>178.77</v>
      </c>
      <c r="O13925" s="788">
        <v>41858</v>
      </c>
    </row>
    <row r="13926" spans="1:15" x14ac:dyDescent="0.25">
      <c r="A13926" s="786" t="s">
        <v>25119</v>
      </c>
      <c r="B13926" s="787">
        <v>4</v>
      </c>
      <c r="C13926" s="787" t="s">
        <v>25120</v>
      </c>
      <c r="D13926" s="787">
        <v>0</v>
      </c>
      <c r="E13926" s="787">
        <v>0</v>
      </c>
      <c r="H13926" s="787">
        <v>1</v>
      </c>
      <c r="K13926" s="788">
        <v>41884</v>
      </c>
      <c r="L13926" s="787">
        <v>286.89999999999998</v>
      </c>
      <c r="M13926" s="787">
        <v>20</v>
      </c>
      <c r="N13926" s="787">
        <v>308.42</v>
      </c>
      <c r="O13926" s="788">
        <v>41884</v>
      </c>
    </row>
    <row r="13927" spans="1:15" x14ac:dyDescent="0.25">
      <c r="A13927" s="786" t="s">
        <v>25121</v>
      </c>
      <c r="B13927" s="787">
        <v>4</v>
      </c>
      <c r="C13927" s="787" t="s">
        <v>25122</v>
      </c>
      <c r="D13927" s="787">
        <v>0</v>
      </c>
      <c r="E13927" s="787">
        <v>0</v>
      </c>
      <c r="H13927" s="787">
        <v>1</v>
      </c>
      <c r="K13927" s="788">
        <v>41884</v>
      </c>
      <c r="L13927" s="787">
        <v>202.5</v>
      </c>
      <c r="M13927" s="787">
        <v>20</v>
      </c>
      <c r="N13927" s="787">
        <v>217.69</v>
      </c>
      <c r="O13927" s="788">
        <v>41884</v>
      </c>
    </row>
    <row r="13928" spans="1:15" x14ac:dyDescent="0.25">
      <c r="A13928" s="786" t="s">
        <v>25123</v>
      </c>
      <c r="B13928" s="787">
        <v>4</v>
      </c>
      <c r="C13928" s="787" t="s">
        <v>25124</v>
      </c>
      <c r="D13928" s="787">
        <v>0</v>
      </c>
      <c r="E13928" s="787">
        <v>0</v>
      </c>
      <c r="H13928" s="787">
        <v>1</v>
      </c>
      <c r="L13928" s="787">
        <v>0</v>
      </c>
      <c r="M13928" s="787">
        <v>20</v>
      </c>
      <c r="N13928" s="787">
        <v>0</v>
      </c>
      <c r="O13928" s="788">
        <v>40824</v>
      </c>
    </row>
    <row r="13929" spans="1:15" x14ac:dyDescent="0.25">
      <c r="A13929" s="786" t="s">
        <v>25125</v>
      </c>
      <c r="B13929" s="787">
        <v>4</v>
      </c>
      <c r="C13929" s="787" t="s">
        <v>25126</v>
      </c>
      <c r="D13929" s="787">
        <v>0</v>
      </c>
      <c r="E13929" s="787">
        <v>0</v>
      </c>
      <c r="H13929" s="787">
        <v>1</v>
      </c>
      <c r="L13929" s="787">
        <v>0</v>
      </c>
      <c r="M13929" s="787">
        <v>20</v>
      </c>
      <c r="N13929" s="787">
        <v>0</v>
      </c>
      <c r="O13929" s="788">
        <v>40824</v>
      </c>
    </row>
    <row r="13930" spans="1:15" x14ac:dyDescent="0.25">
      <c r="A13930" s="786" t="s">
        <v>25127</v>
      </c>
      <c r="B13930" s="787">
        <v>4</v>
      </c>
      <c r="C13930" s="787" t="s">
        <v>25128</v>
      </c>
      <c r="D13930" s="787">
        <v>0</v>
      </c>
      <c r="E13930" s="787">
        <v>0</v>
      </c>
      <c r="H13930" s="787">
        <v>1</v>
      </c>
      <c r="L13930" s="787">
        <v>0</v>
      </c>
      <c r="M13930" s="787">
        <v>20</v>
      </c>
      <c r="N13930" s="787">
        <v>0</v>
      </c>
      <c r="O13930" s="788">
        <v>40824</v>
      </c>
    </row>
    <row r="13931" spans="1:15" x14ac:dyDescent="0.25">
      <c r="A13931" s="786" t="s">
        <v>25129</v>
      </c>
      <c r="B13931" s="787">
        <v>4</v>
      </c>
      <c r="C13931" s="787" t="s">
        <v>25130</v>
      </c>
      <c r="D13931" s="787">
        <v>0</v>
      </c>
      <c r="E13931" s="787">
        <v>0</v>
      </c>
      <c r="H13931" s="787">
        <v>1</v>
      </c>
      <c r="L13931" s="787">
        <v>0</v>
      </c>
      <c r="M13931" s="787">
        <v>20</v>
      </c>
      <c r="N13931" s="787">
        <v>0</v>
      </c>
      <c r="O13931" s="788">
        <v>40824</v>
      </c>
    </row>
    <row r="13932" spans="1:15" x14ac:dyDescent="0.25">
      <c r="A13932" s="786" t="s">
        <v>25131</v>
      </c>
      <c r="B13932" s="787">
        <v>4</v>
      </c>
      <c r="C13932" s="787" t="s">
        <v>25132</v>
      </c>
      <c r="D13932" s="787">
        <v>0</v>
      </c>
      <c r="E13932" s="787">
        <v>0</v>
      </c>
      <c r="H13932" s="787">
        <v>1</v>
      </c>
      <c r="L13932" s="787">
        <v>0</v>
      </c>
      <c r="M13932" s="787">
        <v>20</v>
      </c>
      <c r="N13932" s="787">
        <v>0</v>
      </c>
      <c r="O13932" s="788">
        <v>40824</v>
      </c>
    </row>
    <row r="13933" spans="1:15" x14ac:dyDescent="0.25">
      <c r="A13933" s="786" t="s">
        <v>25133</v>
      </c>
      <c r="B13933" s="787">
        <v>4</v>
      </c>
      <c r="C13933" s="787" t="s">
        <v>25134</v>
      </c>
      <c r="D13933" s="787">
        <v>0</v>
      </c>
      <c r="E13933" s="787">
        <v>0</v>
      </c>
      <c r="H13933" s="787">
        <v>1</v>
      </c>
      <c r="L13933" s="787">
        <v>0</v>
      </c>
      <c r="M13933" s="787">
        <v>20</v>
      </c>
      <c r="N13933" s="787">
        <v>0</v>
      </c>
      <c r="O13933" s="788">
        <v>40824</v>
      </c>
    </row>
    <row r="13934" spans="1:15" x14ac:dyDescent="0.25">
      <c r="A13934" s="786" t="s">
        <v>25135</v>
      </c>
      <c r="B13934" s="787">
        <v>4</v>
      </c>
      <c r="C13934" s="787" t="s">
        <v>25136</v>
      </c>
      <c r="D13934" s="787">
        <v>0</v>
      </c>
      <c r="E13934" s="787">
        <v>0</v>
      </c>
      <c r="H13934" s="787">
        <v>1</v>
      </c>
      <c r="L13934" s="787">
        <v>0</v>
      </c>
      <c r="M13934" s="787">
        <v>20</v>
      </c>
      <c r="N13934" s="787">
        <v>0</v>
      </c>
      <c r="O13934" s="788">
        <v>40824</v>
      </c>
    </row>
    <row r="13935" spans="1:15" x14ac:dyDescent="0.25">
      <c r="A13935" s="786" t="s">
        <v>25137</v>
      </c>
      <c r="B13935" s="787">
        <v>4</v>
      </c>
      <c r="C13935" s="787" t="s">
        <v>25138</v>
      </c>
      <c r="D13935" s="787">
        <v>0</v>
      </c>
      <c r="E13935" s="787">
        <v>0</v>
      </c>
      <c r="G13935" s="788">
        <v>41764</v>
      </c>
      <c r="H13935" s="787">
        <v>1</v>
      </c>
      <c r="I13935" s="788">
        <v>41680</v>
      </c>
      <c r="J13935" s="788">
        <v>41764</v>
      </c>
      <c r="K13935" s="788">
        <v>41261</v>
      </c>
      <c r="L13935" s="787">
        <v>1</v>
      </c>
      <c r="M13935" s="787">
        <v>20</v>
      </c>
      <c r="N13935" s="787">
        <v>1.08</v>
      </c>
      <c r="O13935" s="788">
        <v>41858</v>
      </c>
    </row>
    <row r="13936" spans="1:15" x14ac:dyDescent="0.25">
      <c r="A13936" s="786" t="s">
        <v>25139</v>
      </c>
      <c r="B13936" s="787">
        <v>4</v>
      </c>
      <c r="C13936" s="787" t="s">
        <v>25140</v>
      </c>
      <c r="D13936" s="787">
        <v>9</v>
      </c>
      <c r="E13936" s="787">
        <v>909</v>
      </c>
      <c r="F13936" s="788">
        <v>41206</v>
      </c>
      <c r="G13936" s="788">
        <v>41190</v>
      </c>
      <c r="H13936" s="787">
        <v>1</v>
      </c>
      <c r="I13936" s="788">
        <v>40988</v>
      </c>
      <c r="J13936" s="788">
        <v>41190</v>
      </c>
      <c r="K13936" s="788">
        <v>40948</v>
      </c>
      <c r="L13936" s="787">
        <v>909</v>
      </c>
      <c r="M13936" s="787">
        <v>20</v>
      </c>
      <c r="N13936" s="787">
        <v>977.18</v>
      </c>
      <c r="O13936" s="788">
        <v>41858</v>
      </c>
    </row>
    <row r="13937" spans="1:15" x14ac:dyDescent="0.25">
      <c r="A13937" s="786" t="s">
        <v>25141</v>
      </c>
      <c r="B13937" s="787">
        <v>4</v>
      </c>
      <c r="C13937" s="787" t="s">
        <v>25142</v>
      </c>
      <c r="D13937" s="787">
        <v>9</v>
      </c>
      <c r="E13937" s="787">
        <v>909</v>
      </c>
      <c r="F13937" s="788">
        <v>40450</v>
      </c>
      <c r="G13937" s="788">
        <v>41565</v>
      </c>
      <c r="H13937" s="787">
        <v>1</v>
      </c>
      <c r="I13937" s="788">
        <v>41386</v>
      </c>
      <c r="J13937" s="788">
        <v>41239</v>
      </c>
      <c r="K13937" s="788">
        <v>41239</v>
      </c>
      <c r="L13937" s="787">
        <v>909</v>
      </c>
      <c r="M13937" s="787">
        <v>20</v>
      </c>
      <c r="N13937" s="787">
        <v>977.18</v>
      </c>
      <c r="O13937" s="788">
        <v>41858</v>
      </c>
    </row>
    <row r="13938" spans="1:15" x14ac:dyDescent="0.25">
      <c r="A13938" s="786" t="s">
        <v>25143</v>
      </c>
      <c r="B13938" s="787">
        <v>4</v>
      </c>
      <c r="C13938" s="787" t="s">
        <v>25144</v>
      </c>
      <c r="D13938" s="787">
        <v>0</v>
      </c>
      <c r="E13938" s="789">
        <v>1060</v>
      </c>
      <c r="F13938" s="788">
        <v>40505</v>
      </c>
      <c r="G13938" s="788">
        <v>41262</v>
      </c>
      <c r="H13938" s="787">
        <v>1</v>
      </c>
      <c r="I13938" s="788">
        <v>41521</v>
      </c>
      <c r="J13938" s="788">
        <v>41262</v>
      </c>
      <c r="K13938" s="788">
        <v>41239</v>
      </c>
      <c r="L13938" s="789">
        <v>1060</v>
      </c>
      <c r="M13938" s="787">
        <v>20</v>
      </c>
      <c r="N13938" s="789">
        <v>1139.5</v>
      </c>
      <c r="O13938" s="788">
        <v>41858</v>
      </c>
    </row>
    <row r="13939" spans="1:15" x14ac:dyDescent="0.25">
      <c r="A13939" s="786" t="s">
        <v>25145</v>
      </c>
      <c r="B13939" s="787">
        <v>4</v>
      </c>
      <c r="C13939" s="787" t="s">
        <v>25146</v>
      </c>
      <c r="D13939" s="787">
        <v>4.5</v>
      </c>
      <c r="E13939" s="789">
        <v>1060</v>
      </c>
      <c r="F13939" s="788">
        <v>40379</v>
      </c>
      <c r="G13939" s="788">
        <v>41074</v>
      </c>
      <c r="H13939" s="787">
        <v>1</v>
      </c>
      <c r="I13939" s="788">
        <v>41787</v>
      </c>
      <c r="J13939" s="788">
        <v>41906</v>
      </c>
      <c r="K13939" s="788">
        <v>40910</v>
      </c>
      <c r="L13939" s="789">
        <v>1060</v>
      </c>
      <c r="M13939" s="787">
        <v>20</v>
      </c>
      <c r="N13939" s="789">
        <v>1139.5</v>
      </c>
      <c r="O13939" s="788">
        <v>41858</v>
      </c>
    </row>
    <row r="13940" spans="1:15" x14ac:dyDescent="0.25">
      <c r="A13940" s="786" t="s">
        <v>25147</v>
      </c>
      <c r="B13940" s="787">
        <v>4</v>
      </c>
      <c r="C13940" s="787" t="s">
        <v>25148</v>
      </c>
      <c r="D13940" s="787">
        <v>0</v>
      </c>
      <c r="E13940" s="787">
        <v>0</v>
      </c>
      <c r="H13940" s="787">
        <v>1</v>
      </c>
      <c r="L13940" s="787">
        <v>0</v>
      </c>
      <c r="M13940" s="787">
        <v>20</v>
      </c>
      <c r="N13940" s="787">
        <v>0</v>
      </c>
      <c r="O13940" s="788">
        <v>40824</v>
      </c>
    </row>
    <row r="13941" spans="1:15" x14ac:dyDescent="0.25">
      <c r="A13941" s="786" t="s">
        <v>25149</v>
      </c>
      <c r="B13941" s="787">
        <v>4</v>
      </c>
      <c r="C13941" s="787" t="s">
        <v>25150</v>
      </c>
      <c r="D13941" s="787">
        <v>0</v>
      </c>
      <c r="E13941" s="787">
        <v>0</v>
      </c>
      <c r="H13941" s="787">
        <v>1</v>
      </c>
      <c r="K13941" s="788">
        <v>41255</v>
      </c>
      <c r="L13941" s="789">
        <v>1129</v>
      </c>
      <c r="M13941" s="787">
        <v>20</v>
      </c>
      <c r="N13941" s="789">
        <v>1213.68</v>
      </c>
      <c r="O13941" s="788">
        <v>41858</v>
      </c>
    </row>
    <row r="13942" spans="1:15" x14ac:dyDescent="0.25">
      <c r="A13942" s="786" t="s">
        <v>25151</v>
      </c>
      <c r="B13942" s="787">
        <v>4</v>
      </c>
      <c r="C13942" s="787" t="s">
        <v>25152</v>
      </c>
      <c r="D13942" s="787">
        <v>0</v>
      </c>
      <c r="E13942" s="787">
        <v>0</v>
      </c>
      <c r="H13942" s="787">
        <v>1</v>
      </c>
      <c r="L13942" s="787">
        <v>0</v>
      </c>
      <c r="M13942" s="787">
        <v>20</v>
      </c>
      <c r="N13942" s="787">
        <v>0</v>
      </c>
      <c r="O13942" s="788">
        <v>40824</v>
      </c>
    </row>
    <row r="13943" spans="1:15" x14ac:dyDescent="0.25">
      <c r="A13943" s="786" t="s">
        <v>25153</v>
      </c>
      <c r="B13943" s="787">
        <v>4</v>
      </c>
      <c r="C13943" s="787" t="s">
        <v>25154</v>
      </c>
      <c r="D13943" s="787">
        <v>0</v>
      </c>
      <c r="E13943" s="787">
        <v>0</v>
      </c>
      <c r="H13943" s="787">
        <v>1</v>
      </c>
      <c r="K13943" s="788">
        <v>41261</v>
      </c>
      <c r="L13943" s="787">
        <v>1</v>
      </c>
      <c r="M13943" s="787">
        <v>20</v>
      </c>
      <c r="N13943" s="787">
        <v>1.08</v>
      </c>
      <c r="O13943" s="788">
        <v>41858</v>
      </c>
    </row>
    <row r="13944" spans="1:15" x14ac:dyDescent="0.25">
      <c r="A13944" s="786" t="s">
        <v>25155</v>
      </c>
      <c r="B13944" s="787">
        <v>4</v>
      </c>
      <c r="C13944" s="787" t="s">
        <v>25156</v>
      </c>
      <c r="D13944" s="787">
        <v>0</v>
      </c>
      <c r="E13944" s="787">
        <v>0</v>
      </c>
      <c r="H13944" s="787">
        <v>1</v>
      </c>
      <c r="L13944" s="787">
        <v>0</v>
      </c>
      <c r="M13944" s="787">
        <v>20</v>
      </c>
      <c r="N13944" s="787">
        <v>0</v>
      </c>
      <c r="O13944" s="788">
        <v>40824</v>
      </c>
    </row>
    <row r="13945" spans="1:15" x14ac:dyDescent="0.25">
      <c r="A13945" s="786" t="s">
        <v>25157</v>
      </c>
      <c r="B13945" s="787">
        <v>4</v>
      </c>
      <c r="C13945" s="787" t="s">
        <v>25158</v>
      </c>
      <c r="D13945" s="787">
        <v>0</v>
      </c>
      <c r="E13945" s="787">
        <v>0</v>
      </c>
      <c r="H13945" s="787">
        <v>1</v>
      </c>
      <c r="L13945" s="787">
        <v>0</v>
      </c>
      <c r="M13945" s="787">
        <v>20</v>
      </c>
      <c r="N13945" s="787">
        <v>0</v>
      </c>
      <c r="O13945" s="788">
        <v>40824</v>
      </c>
    </row>
    <row r="13946" spans="1:15" x14ac:dyDescent="0.25">
      <c r="A13946" s="786" t="s">
        <v>25159</v>
      </c>
      <c r="B13946" s="787">
        <v>4</v>
      </c>
      <c r="C13946" s="787" t="s">
        <v>25160</v>
      </c>
      <c r="D13946" s="787">
        <v>4.4000000000000004</v>
      </c>
      <c r="E13946" s="787">
        <v>54.4</v>
      </c>
      <c r="F13946" s="788">
        <v>40707</v>
      </c>
      <c r="G13946" s="788">
        <v>40680</v>
      </c>
      <c r="H13946" s="787">
        <v>1</v>
      </c>
      <c r="I13946" s="788">
        <v>42023</v>
      </c>
      <c r="J13946" s="788">
        <v>41724</v>
      </c>
      <c r="K13946" s="788">
        <v>41261</v>
      </c>
      <c r="L13946" s="787">
        <v>54.4</v>
      </c>
      <c r="M13946" s="787">
        <v>20</v>
      </c>
      <c r="N13946" s="787">
        <v>58.48</v>
      </c>
      <c r="O13946" s="788">
        <v>42127</v>
      </c>
    </row>
    <row r="13947" spans="1:15" x14ac:dyDescent="0.25">
      <c r="A13947" s="786" t="s">
        <v>25161</v>
      </c>
      <c r="B13947" s="787">
        <v>4</v>
      </c>
      <c r="C13947" s="787" t="s">
        <v>25162</v>
      </c>
      <c r="D13947" s="787">
        <v>4</v>
      </c>
      <c r="E13947" s="787">
        <v>54</v>
      </c>
      <c r="F13947" s="788">
        <v>40742</v>
      </c>
      <c r="G13947" s="788">
        <v>40716</v>
      </c>
      <c r="H13947" s="787">
        <v>1</v>
      </c>
      <c r="I13947" s="788">
        <v>41072</v>
      </c>
      <c r="J13947" s="788">
        <v>41105</v>
      </c>
      <c r="L13947" s="787">
        <v>54</v>
      </c>
      <c r="M13947" s="787">
        <v>20</v>
      </c>
      <c r="N13947" s="787">
        <v>58.05</v>
      </c>
      <c r="O13947" s="788">
        <v>41858</v>
      </c>
    </row>
    <row r="13948" spans="1:15" x14ac:dyDescent="0.25">
      <c r="A13948" s="786" t="s">
        <v>25163</v>
      </c>
      <c r="B13948" s="787">
        <v>4</v>
      </c>
      <c r="C13948" s="787" t="s">
        <v>25164</v>
      </c>
      <c r="D13948" s="787">
        <v>5</v>
      </c>
      <c r="E13948" s="787">
        <v>15</v>
      </c>
      <c r="F13948" s="788">
        <v>40589</v>
      </c>
      <c r="G13948" s="788">
        <v>42096</v>
      </c>
      <c r="H13948" s="787">
        <v>1</v>
      </c>
      <c r="I13948" s="788">
        <v>42146</v>
      </c>
      <c r="J13948" s="788">
        <v>42130</v>
      </c>
      <c r="K13948" s="788">
        <v>41261</v>
      </c>
      <c r="L13948" s="787">
        <v>15</v>
      </c>
      <c r="M13948" s="787">
        <v>20</v>
      </c>
      <c r="N13948" s="787">
        <v>16.13</v>
      </c>
      <c r="O13948" s="788">
        <v>41858</v>
      </c>
    </row>
    <row r="13949" spans="1:15" x14ac:dyDescent="0.25">
      <c r="A13949" s="786" t="s">
        <v>25165</v>
      </c>
      <c r="B13949" s="787">
        <v>4</v>
      </c>
      <c r="C13949" s="787" t="s">
        <v>25166</v>
      </c>
      <c r="D13949" s="787">
        <v>0</v>
      </c>
      <c r="E13949" s="787">
        <v>0</v>
      </c>
      <c r="H13949" s="787">
        <v>1</v>
      </c>
      <c r="K13949" s="788">
        <v>41851</v>
      </c>
      <c r="L13949" s="787">
        <v>368</v>
      </c>
      <c r="M13949" s="787">
        <v>20</v>
      </c>
      <c r="N13949" s="787">
        <v>395.6</v>
      </c>
      <c r="O13949" s="788">
        <v>42164</v>
      </c>
    </row>
    <row r="13950" spans="1:15" x14ac:dyDescent="0.25">
      <c r="A13950" s="786" t="s">
        <v>25167</v>
      </c>
      <c r="B13950" s="787">
        <v>4</v>
      </c>
      <c r="C13950" s="787" t="s">
        <v>25168</v>
      </c>
      <c r="D13950" s="787">
        <v>4.5</v>
      </c>
      <c r="E13950" s="787">
        <v>344.5</v>
      </c>
      <c r="F13950" s="788">
        <v>41161</v>
      </c>
      <c r="G13950" s="788">
        <v>41151</v>
      </c>
      <c r="H13950" s="787">
        <v>1</v>
      </c>
      <c r="I13950" s="788">
        <v>41255</v>
      </c>
      <c r="J13950" s="788">
        <v>41151</v>
      </c>
      <c r="K13950" s="788">
        <v>41261</v>
      </c>
      <c r="L13950" s="787">
        <v>344.5</v>
      </c>
      <c r="M13950" s="787">
        <v>20</v>
      </c>
      <c r="N13950" s="787">
        <v>370.34</v>
      </c>
      <c r="O13950" s="788">
        <v>41858</v>
      </c>
    </row>
    <row r="13951" spans="1:15" x14ac:dyDescent="0.25">
      <c r="A13951" s="786" t="s">
        <v>25169</v>
      </c>
      <c r="B13951" s="787">
        <v>4</v>
      </c>
      <c r="C13951" s="787" t="s">
        <v>25170</v>
      </c>
      <c r="D13951" s="787">
        <v>1.75</v>
      </c>
      <c r="E13951" s="787">
        <v>291.75</v>
      </c>
      <c r="F13951" s="788">
        <v>41236</v>
      </c>
      <c r="G13951" s="788">
        <v>41943</v>
      </c>
      <c r="H13951" s="787">
        <v>1</v>
      </c>
      <c r="I13951" s="788">
        <v>41968</v>
      </c>
      <c r="J13951" s="788">
        <v>41213</v>
      </c>
      <c r="K13951" s="788">
        <v>40911</v>
      </c>
      <c r="L13951" s="787">
        <v>307.10000000000002</v>
      </c>
      <c r="M13951" s="787">
        <v>20</v>
      </c>
      <c r="N13951" s="787">
        <v>330.13</v>
      </c>
      <c r="O13951" s="788">
        <v>42111</v>
      </c>
    </row>
    <row r="13952" spans="1:15" x14ac:dyDescent="0.25">
      <c r="A13952" s="786" t="s">
        <v>25171</v>
      </c>
      <c r="B13952" s="787">
        <v>4</v>
      </c>
      <c r="C13952" s="787" t="s">
        <v>25172</v>
      </c>
      <c r="D13952" s="787">
        <v>0</v>
      </c>
      <c r="E13952" s="787">
        <v>0</v>
      </c>
      <c r="H13952" s="787">
        <v>1</v>
      </c>
      <c r="L13952" s="787">
        <v>0</v>
      </c>
      <c r="M13952" s="787">
        <v>20</v>
      </c>
      <c r="N13952" s="787">
        <v>0</v>
      </c>
      <c r="O13952" s="788">
        <v>40824</v>
      </c>
    </row>
    <row r="13953" spans="1:15" x14ac:dyDescent="0.25">
      <c r="A13953" s="786" t="s">
        <v>25173</v>
      </c>
      <c r="B13953" s="787">
        <v>4</v>
      </c>
      <c r="C13953" s="787" t="s">
        <v>25174</v>
      </c>
      <c r="D13953" s="787">
        <v>2.75</v>
      </c>
      <c r="E13953" s="787">
        <v>392.75</v>
      </c>
      <c r="F13953" s="788">
        <v>41106</v>
      </c>
      <c r="G13953" s="788">
        <v>41099</v>
      </c>
      <c r="H13953" s="787">
        <v>1</v>
      </c>
      <c r="I13953" s="788">
        <v>41110</v>
      </c>
      <c r="J13953" s="788">
        <v>41099</v>
      </c>
      <c r="L13953" s="787">
        <v>392.75</v>
      </c>
      <c r="M13953" s="787">
        <v>20</v>
      </c>
      <c r="N13953" s="787">
        <v>422.21</v>
      </c>
      <c r="O13953" s="788">
        <v>41858</v>
      </c>
    </row>
    <row r="13954" spans="1:15" x14ac:dyDescent="0.25">
      <c r="A13954" s="786" t="s">
        <v>25175</v>
      </c>
      <c r="B13954" s="787">
        <v>4</v>
      </c>
      <c r="C13954" s="787" t="s">
        <v>25176</v>
      </c>
      <c r="D13954" s="787">
        <v>3.95</v>
      </c>
      <c r="E13954" s="787">
        <v>403.95</v>
      </c>
      <c r="F13954" s="788">
        <v>40477</v>
      </c>
      <c r="G13954" s="788">
        <v>40441</v>
      </c>
      <c r="H13954" s="787">
        <v>1</v>
      </c>
      <c r="I13954" s="788">
        <v>41101</v>
      </c>
      <c r="J13954" s="788">
        <v>40441</v>
      </c>
      <c r="K13954" s="788">
        <v>41261</v>
      </c>
      <c r="L13954" s="787">
        <v>403.95</v>
      </c>
      <c r="M13954" s="787">
        <v>20</v>
      </c>
      <c r="N13954" s="787">
        <v>434.25</v>
      </c>
      <c r="O13954" s="788">
        <v>41858</v>
      </c>
    </row>
    <row r="13955" spans="1:15" x14ac:dyDescent="0.25">
      <c r="A13955" s="786" t="s">
        <v>25177</v>
      </c>
      <c r="B13955" s="787">
        <v>4</v>
      </c>
      <c r="C13955" s="787" t="s">
        <v>25172</v>
      </c>
      <c r="D13955" s="787">
        <v>0</v>
      </c>
      <c r="E13955" s="787">
        <v>0</v>
      </c>
      <c r="H13955" s="787">
        <v>1</v>
      </c>
      <c r="L13955" s="787">
        <v>0</v>
      </c>
      <c r="M13955" s="787">
        <v>20</v>
      </c>
      <c r="N13955" s="787">
        <v>0</v>
      </c>
      <c r="O13955" s="788">
        <v>40824</v>
      </c>
    </row>
    <row r="13956" spans="1:15" x14ac:dyDescent="0.25">
      <c r="A13956" s="786" t="s">
        <v>25178</v>
      </c>
      <c r="B13956" s="787">
        <v>4</v>
      </c>
      <c r="C13956" s="787" t="s">
        <v>25179</v>
      </c>
      <c r="D13956" s="787">
        <v>0</v>
      </c>
      <c r="E13956" s="787">
        <v>0</v>
      </c>
      <c r="H13956" s="787">
        <v>1</v>
      </c>
      <c r="L13956" s="787">
        <v>0</v>
      </c>
      <c r="M13956" s="787">
        <v>20</v>
      </c>
      <c r="N13956" s="787">
        <v>0</v>
      </c>
      <c r="O13956" s="788">
        <v>40824</v>
      </c>
    </row>
    <row r="13957" spans="1:15" x14ac:dyDescent="0.25">
      <c r="A13957" s="786" t="s">
        <v>25180</v>
      </c>
      <c r="B13957" s="787">
        <v>4</v>
      </c>
      <c r="C13957" s="787" t="s">
        <v>25181</v>
      </c>
      <c r="D13957" s="787">
        <v>7.6</v>
      </c>
      <c r="E13957" s="787">
        <v>373.88</v>
      </c>
      <c r="F13957" s="788">
        <v>40707</v>
      </c>
      <c r="G13957" s="788">
        <v>41943</v>
      </c>
      <c r="H13957" s="787">
        <v>1</v>
      </c>
      <c r="I13957" s="788">
        <v>42158</v>
      </c>
      <c r="J13957" s="788">
        <v>41649</v>
      </c>
      <c r="K13957" s="788">
        <v>40910</v>
      </c>
      <c r="L13957" s="787">
        <v>366.55</v>
      </c>
      <c r="M13957" s="787">
        <v>20</v>
      </c>
      <c r="N13957" s="787">
        <v>394.04</v>
      </c>
      <c r="O13957" s="788">
        <v>42111</v>
      </c>
    </row>
    <row r="13958" spans="1:15" x14ac:dyDescent="0.25">
      <c r="A13958" s="786" t="s">
        <v>25182</v>
      </c>
      <c r="B13958" s="787">
        <v>4</v>
      </c>
      <c r="C13958" s="787" t="s">
        <v>25183</v>
      </c>
      <c r="D13958" s="787">
        <v>0</v>
      </c>
      <c r="E13958" s="787">
        <v>0</v>
      </c>
      <c r="H13958" s="787">
        <v>1</v>
      </c>
      <c r="L13958" s="787">
        <v>0</v>
      </c>
      <c r="M13958" s="787">
        <v>20</v>
      </c>
      <c r="N13958" s="787">
        <v>0</v>
      </c>
      <c r="O13958" s="788">
        <v>40824</v>
      </c>
    </row>
    <row r="13959" spans="1:15" x14ac:dyDescent="0.25">
      <c r="A13959" s="786" t="s">
        <v>25184</v>
      </c>
      <c r="B13959" s="787">
        <v>4</v>
      </c>
      <c r="C13959" s="787" t="s">
        <v>25185</v>
      </c>
      <c r="D13959" s="787">
        <v>9.65</v>
      </c>
      <c r="E13959" s="787">
        <v>169.65</v>
      </c>
      <c r="F13959" s="788">
        <v>40450</v>
      </c>
      <c r="G13959" s="788">
        <v>40394</v>
      </c>
      <c r="H13959" s="787">
        <v>1</v>
      </c>
      <c r="I13959" s="788">
        <v>42094</v>
      </c>
      <c r="J13959" s="788">
        <v>42121</v>
      </c>
      <c r="K13959" s="788">
        <v>41239</v>
      </c>
      <c r="L13959" s="787">
        <v>169.65</v>
      </c>
      <c r="M13959" s="787">
        <v>20</v>
      </c>
      <c r="N13959" s="787">
        <v>182.37</v>
      </c>
      <c r="O13959" s="788">
        <v>41858</v>
      </c>
    </row>
    <row r="13960" spans="1:15" x14ac:dyDescent="0.25">
      <c r="A13960" s="786" t="s">
        <v>25186</v>
      </c>
      <c r="B13960" s="787">
        <v>4</v>
      </c>
      <c r="C13960" s="787" t="s">
        <v>25187</v>
      </c>
      <c r="D13960" s="787">
        <v>6.05</v>
      </c>
      <c r="E13960" s="787">
        <v>230.57</v>
      </c>
      <c r="F13960" s="788">
        <v>40450</v>
      </c>
      <c r="G13960" s="788">
        <v>41974</v>
      </c>
      <c r="H13960" s="787">
        <v>1</v>
      </c>
      <c r="I13960" s="788">
        <v>42151</v>
      </c>
      <c r="J13960" s="788">
        <v>42095</v>
      </c>
      <c r="K13960" s="788">
        <v>41962</v>
      </c>
      <c r="L13960" s="787">
        <v>230.57</v>
      </c>
      <c r="M13960" s="787">
        <v>20</v>
      </c>
      <c r="N13960" s="787">
        <v>243</v>
      </c>
      <c r="O13960" s="788">
        <v>41858</v>
      </c>
    </row>
    <row r="13961" spans="1:15" x14ac:dyDescent="0.25">
      <c r="A13961" s="786" t="s">
        <v>25188</v>
      </c>
      <c r="B13961" s="787">
        <v>4</v>
      </c>
      <c r="C13961" s="787" t="s">
        <v>25189</v>
      </c>
      <c r="D13961" s="787">
        <v>0</v>
      </c>
      <c r="E13961" s="787">
        <v>0</v>
      </c>
      <c r="H13961" s="787">
        <v>1</v>
      </c>
      <c r="L13961" s="787">
        <v>0</v>
      </c>
      <c r="M13961" s="787">
        <v>20</v>
      </c>
      <c r="N13961" s="787">
        <v>0</v>
      </c>
      <c r="O13961" s="788">
        <v>40824</v>
      </c>
    </row>
    <row r="13962" spans="1:15" x14ac:dyDescent="0.25">
      <c r="A13962" s="786" t="s">
        <v>25190</v>
      </c>
      <c r="B13962" s="787">
        <v>4</v>
      </c>
      <c r="C13962" s="787" t="s">
        <v>25191</v>
      </c>
      <c r="D13962" s="787">
        <v>0</v>
      </c>
      <c r="E13962" s="787">
        <v>0</v>
      </c>
      <c r="H13962" s="787">
        <v>1</v>
      </c>
      <c r="L13962" s="787">
        <v>0</v>
      </c>
      <c r="M13962" s="787">
        <v>20</v>
      </c>
      <c r="N13962" s="787">
        <v>0</v>
      </c>
      <c r="O13962" s="788">
        <v>40824</v>
      </c>
    </row>
    <row r="13963" spans="1:15" x14ac:dyDescent="0.25">
      <c r="A13963" s="786" t="s">
        <v>25192</v>
      </c>
      <c r="B13963" s="787">
        <v>4</v>
      </c>
      <c r="C13963" s="787" t="s">
        <v>25193</v>
      </c>
      <c r="D13963" s="787">
        <v>0</v>
      </c>
      <c r="E13963" s="787">
        <v>0</v>
      </c>
      <c r="H13963" s="787">
        <v>1</v>
      </c>
      <c r="L13963" s="787">
        <v>0</v>
      </c>
      <c r="M13963" s="787">
        <v>20</v>
      </c>
      <c r="N13963" s="787">
        <v>0</v>
      </c>
      <c r="O13963" s="788">
        <v>40824</v>
      </c>
    </row>
    <row r="13964" spans="1:15" x14ac:dyDescent="0.25">
      <c r="A13964" s="786" t="s">
        <v>25194</v>
      </c>
      <c r="B13964" s="787">
        <v>4</v>
      </c>
      <c r="C13964" s="787" t="s">
        <v>25195</v>
      </c>
      <c r="D13964" s="787">
        <v>0</v>
      </c>
      <c r="E13964" s="787">
        <v>0</v>
      </c>
      <c r="H13964" s="787">
        <v>1</v>
      </c>
      <c r="L13964" s="787">
        <v>0</v>
      </c>
      <c r="M13964" s="787">
        <v>20</v>
      </c>
      <c r="N13964" s="787">
        <v>0</v>
      </c>
      <c r="O13964" s="788">
        <v>40824</v>
      </c>
    </row>
    <row r="13965" spans="1:15" x14ac:dyDescent="0.25">
      <c r="A13965" s="786" t="s">
        <v>25196</v>
      </c>
      <c r="B13965" s="787">
        <v>4</v>
      </c>
      <c r="C13965" s="787" t="s">
        <v>25197</v>
      </c>
      <c r="D13965" s="787">
        <v>7.2</v>
      </c>
      <c r="E13965" s="787">
        <v>7.34</v>
      </c>
      <c r="F13965" s="788">
        <v>40640</v>
      </c>
      <c r="G13965" s="788">
        <v>42158</v>
      </c>
      <c r="H13965" s="787">
        <v>1</v>
      </c>
      <c r="I13965" s="788">
        <v>42152</v>
      </c>
      <c r="J13965" s="788">
        <v>42158</v>
      </c>
      <c r="K13965" s="788">
        <v>41597</v>
      </c>
      <c r="L13965" s="787">
        <v>7.34</v>
      </c>
      <c r="M13965" s="787">
        <v>20</v>
      </c>
      <c r="N13965" s="787">
        <v>7.89</v>
      </c>
      <c r="O13965" s="788">
        <v>41858</v>
      </c>
    </row>
    <row r="13966" spans="1:15" x14ac:dyDescent="0.25">
      <c r="A13966" s="786" t="s">
        <v>25198</v>
      </c>
      <c r="B13966" s="787">
        <v>4</v>
      </c>
      <c r="C13966" s="787" t="s">
        <v>25199</v>
      </c>
      <c r="D13966" s="787">
        <v>0</v>
      </c>
      <c r="E13966" s="787">
        <v>5</v>
      </c>
      <c r="H13966" s="787">
        <v>1</v>
      </c>
      <c r="I13966" s="788">
        <v>40413</v>
      </c>
      <c r="L13966" s="787">
        <v>5</v>
      </c>
      <c r="M13966" s="787">
        <v>20</v>
      </c>
      <c r="N13966" s="787">
        <v>5.38</v>
      </c>
      <c r="O13966" s="788">
        <v>41858</v>
      </c>
    </row>
    <row r="13967" spans="1:15" x14ac:dyDescent="0.25">
      <c r="A13967" s="786" t="s">
        <v>25200</v>
      </c>
      <c r="B13967" s="787">
        <v>4</v>
      </c>
      <c r="C13967" s="787" t="s">
        <v>25201</v>
      </c>
      <c r="D13967" s="787">
        <v>1.2</v>
      </c>
      <c r="E13967" s="787">
        <v>211.2</v>
      </c>
      <c r="F13967" s="788">
        <v>40379</v>
      </c>
      <c r="G13967" s="788">
        <v>40379</v>
      </c>
      <c r="H13967" s="787">
        <v>1</v>
      </c>
      <c r="I13967" s="788">
        <v>41894</v>
      </c>
      <c r="J13967" s="788">
        <v>41866</v>
      </c>
      <c r="K13967" s="788">
        <v>41239</v>
      </c>
      <c r="L13967" s="787">
        <v>211.2</v>
      </c>
      <c r="M13967" s="787">
        <v>20</v>
      </c>
      <c r="N13967" s="787">
        <v>227.04</v>
      </c>
      <c r="O13967" s="788">
        <v>42111</v>
      </c>
    </row>
    <row r="13968" spans="1:15" x14ac:dyDescent="0.25">
      <c r="A13968" s="786" t="s">
        <v>25202</v>
      </c>
      <c r="B13968" s="787">
        <v>4</v>
      </c>
      <c r="C13968" s="787" t="s">
        <v>25203</v>
      </c>
      <c r="D13968" s="787">
        <v>8.65</v>
      </c>
      <c r="E13968" s="787">
        <v>271.32</v>
      </c>
      <c r="F13968" s="788">
        <v>40865</v>
      </c>
      <c r="G13968" s="788">
        <v>42046</v>
      </c>
      <c r="H13968" s="787">
        <v>1</v>
      </c>
      <c r="I13968" s="788">
        <v>42159</v>
      </c>
      <c r="J13968" s="788">
        <v>42046</v>
      </c>
      <c r="K13968" s="788">
        <v>41659</v>
      </c>
      <c r="L13968" s="787">
        <v>285.60000000000002</v>
      </c>
      <c r="M13968" s="787">
        <v>20</v>
      </c>
      <c r="N13968" s="787">
        <v>307.02</v>
      </c>
      <c r="O13968" s="788">
        <v>42127</v>
      </c>
    </row>
    <row r="13969" spans="1:15" x14ac:dyDescent="0.25">
      <c r="A13969" s="786" t="s">
        <v>25204</v>
      </c>
      <c r="B13969" s="787">
        <v>4</v>
      </c>
      <c r="C13969" s="787" t="s">
        <v>25205</v>
      </c>
      <c r="D13969" s="787">
        <v>0</v>
      </c>
      <c r="E13969" s="787">
        <v>0</v>
      </c>
      <c r="G13969" s="788">
        <v>42017</v>
      </c>
      <c r="H13969" s="787">
        <v>1</v>
      </c>
      <c r="I13969" s="788">
        <v>40401</v>
      </c>
      <c r="K13969" s="788">
        <v>41065</v>
      </c>
      <c r="L13969" s="787">
        <v>10</v>
      </c>
      <c r="M13969" s="787">
        <v>20</v>
      </c>
      <c r="N13969" s="787">
        <v>10.75</v>
      </c>
      <c r="O13969" s="788">
        <v>41858</v>
      </c>
    </row>
    <row r="13970" spans="1:15" x14ac:dyDescent="0.25">
      <c r="A13970" s="786" t="s">
        <v>25206</v>
      </c>
      <c r="B13970" s="787">
        <v>4</v>
      </c>
      <c r="C13970" s="787" t="s">
        <v>25207</v>
      </c>
      <c r="D13970" s="787">
        <v>9.9</v>
      </c>
      <c r="E13970" s="787">
        <v>499.9</v>
      </c>
      <c r="F13970" s="788">
        <v>41761</v>
      </c>
      <c r="G13970" s="788">
        <v>41765</v>
      </c>
      <c r="H13970" s="787">
        <v>1</v>
      </c>
      <c r="I13970" s="788">
        <v>41935</v>
      </c>
      <c r="J13970" s="788">
        <v>41851</v>
      </c>
      <c r="K13970" s="788">
        <v>41830</v>
      </c>
      <c r="L13970" s="787">
        <v>499.9</v>
      </c>
      <c r="M13970" s="787">
        <v>20</v>
      </c>
      <c r="N13970" s="787">
        <v>537.39</v>
      </c>
      <c r="O13970" s="788">
        <v>41858</v>
      </c>
    </row>
    <row r="13971" spans="1:15" x14ac:dyDescent="0.25">
      <c r="A13971" s="786" t="s">
        <v>25208</v>
      </c>
      <c r="B13971" s="787">
        <v>4</v>
      </c>
      <c r="C13971" s="787" t="s">
        <v>25209</v>
      </c>
      <c r="D13971" s="787">
        <v>5</v>
      </c>
      <c r="E13971" s="787">
        <v>15</v>
      </c>
      <c r="F13971" s="788">
        <v>41474</v>
      </c>
      <c r="G13971" s="788">
        <v>41472</v>
      </c>
      <c r="H13971" s="787">
        <v>1</v>
      </c>
      <c r="I13971" s="788">
        <v>42116</v>
      </c>
      <c r="J13971" s="788">
        <v>42025</v>
      </c>
      <c r="K13971" s="788">
        <v>41381</v>
      </c>
      <c r="L13971" s="787">
        <v>15</v>
      </c>
      <c r="M13971" s="787">
        <v>20</v>
      </c>
      <c r="N13971" s="787">
        <v>16.13</v>
      </c>
      <c r="O13971" s="788">
        <v>41858</v>
      </c>
    </row>
    <row r="13972" spans="1:15" x14ac:dyDescent="0.25">
      <c r="A13972" s="786" t="s">
        <v>25210</v>
      </c>
      <c r="B13972" s="787">
        <v>4</v>
      </c>
      <c r="C13972" s="787" t="s">
        <v>25211</v>
      </c>
      <c r="D13972" s="787">
        <v>3.24</v>
      </c>
      <c r="E13972" s="787">
        <v>313.24</v>
      </c>
      <c r="F13972" s="788">
        <v>41627</v>
      </c>
      <c r="G13972" s="788">
        <v>41619</v>
      </c>
      <c r="H13972" s="787">
        <v>1</v>
      </c>
      <c r="I13972" s="788">
        <v>42156</v>
      </c>
      <c r="J13972" s="788">
        <v>41661</v>
      </c>
      <c r="K13972" s="788">
        <v>41579</v>
      </c>
      <c r="L13972" s="787">
        <v>313.24</v>
      </c>
      <c r="M13972" s="787">
        <v>20</v>
      </c>
      <c r="N13972" s="787">
        <v>336.73</v>
      </c>
      <c r="O13972" s="788">
        <v>41858</v>
      </c>
    </row>
    <row r="13973" spans="1:15" x14ac:dyDescent="0.25">
      <c r="A13973" s="786" t="s">
        <v>25212</v>
      </c>
      <c r="B13973" s="787">
        <v>4</v>
      </c>
      <c r="C13973" s="787" t="s">
        <v>25213</v>
      </c>
      <c r="D13973" s="787">
        <v>3.88</v>
      </c>
      <c r="E13973" s="787">
        <v>373.88</v>
      </c>
      <c r="F13973" s="788">
        <v>41627</v>
      </c>
      <c r="G13973" s="788">
        <v>41612</v>
      </c>
      <c r="H13973" s="787">
        <v>1</v>
      </c>
      <c r="I13973" s="788">
        <v>42166</v>
      </c>
      <c r="J13973" s="788">
        <v>42165</v>
      </c>
      <c r="K13973" s="788">
        <v>41579</v>
      </c>
      <c r="L13973" s="787">
        <v>373.88</v>
      </c>
      <c r="M13973" s="787">
        <v>20</v>
      </c>
      <c r="N13973" s="787">
        <v>401.92</v>
      </c>
      <c r="O13973" s="788">
        <v>42127</v>
      </c>
    </row>
    <row r="13974" spans="1:15" x14ac:dyDescent="0.25">
      <c r="A13974" s="786" t="s">
        <v>25214</v>
      </c>
      <c r="B13974" s="787">
        <v>4</v>
      </c>
      <c r="C13974" s="787" t="s">
        <v>25215</v>
      </c>
      <c r="D13974" s="787">
        <v>0</v>
      </c>
      <c r="E13974" s="787">
        <v>0</v>
      </c>
      <c r="H13974" s="787">
        <v>1</v>
      </c>
      <c r="L13974" s="787">
        <v>0</v>
      </c>
      <c r="M13974" s="787">
        <v>20</v>
      </c>
      <c r="N13974" s="787">
        <v>0</v>
      </c>
      <c r="O13974" s="788">
        <v>40824</v>
      </c>
    </row>
    <row r="13975" spans="1:15" x14ac:dyDescent="0.25">
      <c r="A13975" s="786" t="s">
        <v>25216</v>
      </c>
      <c r="B13975" s="787">
        <v>4</v>
      </c>
      <c r="C13975" s="787" t="s">
        <v>25217</v>
      </c>
      <c r="D13975" s="787">
        <v>0</v>
      </c>
      <c r="E13975" s="787">
        <v>0</v>
      </c>
      <c r="H13975" s="787">
        <v>1</v>
      </c>
      <c r="L13975" s="787">
        <v>0</v>
      </c>
      <c r="M13975" s="787">
        <v>20</v>
      </c>
      <c r="N13975" s="787">
        <v>0</v>
      </c>
      <c r="O13975" s="788">
        <v>40824</v>
      </c>
    </row>
    <row r="13976" spans="1:15" x14ac:dyDescent="0.25">
      <c r="A13976" s="786" t="s">
        <v>25218</v>
      </c>
      <c r="B13976" s="787">
        <v>4</v>
      </c>
      <c r="C13976" s="787" t="s">
        <v>25219</v>
      </c>
      <c r="D13976" s="787">
        <v>7.65</v>
      </c>
      <c r="E13976" s="787">
        <v>77.650000000000006</v>
      </c>
      <c r="F13976" s="788">
        <v>40364</v>
      </c>
      <c r="G13976" s="788">
        <v>40364</v>
      </c>
      <c r="H13976" s="787">
        <v>1</v>
      </c>
      <c r="I13976" s="788">
        <v>41514</v>
      </c>
      <c r="J13976" s="788">
        <v>41578</v>
      </c>
      <c r="K13976" s="788">
        <v>41261</v>
      </c>
      <c r="L13976" s="787">
        <v>77.650000000000006</v>
      </c>
      <c r="M13976" s="787">
        <v>20</v>
      </c>
      <c r="N13976" s="787">
        <v>83.47</v>
      </c>
      <c r="O13976" s="788">
        <v>41858</v>
      </c>
    </row>
    <row r="13977" spans="1:15" x14ac:dyDescent="0.25">
      <c r="A13977" s="786" t="s">
        <v>25220</v>
      </c>
      <c r="B13977" s="787">
        <v>4</v>
      </c>
      <c r="C13977" s="787" t="s">
        <v>25221</v>
      </c>
      <c r="D13977" s="787">
        <v>7.65</v>
      </c>
      <c r="E13977" s="787">
        <v>117.65</v>
      </c>
      <c r="F13977" s="788">
        <v>40494</v>
      </c>
      <c r="G13977" s="788">
        <v>40494</v>
      </c>
      <c r="H13977" s="787">
        <v>1</v>
      </c>
      <c r="I13977" s="788">
        <v>41894</v>
      </c>
      <c r="J13977" s="788">
        <v>41716</v>
      </c>
      <c r="L13977" s="787">
        <v>117.65</v>
      </c>
      <c r="M13977" s="787">
        <v>20</v>
      </c>
      <c r="N13977" s="787">
        <v>126.47</v>
      </c>
      <c r="O13977" s="788">
        <v>41858</v>
      </c>
    </row>
    <row r="13978" spans="1:15" x14ac:dyDescent="0.25">
      <c r="A13978" s="786" t="s">
        <v>25222</v>
      </c>
      <c r="B13978" s="787">
        <v>4</v>
      </c>
      <c r="C13978" s="787" t="s">
        <v>25223</v>
      </c>
      <c r="D13978" s="787">
        <v>7.65</v>
      </c>
      <c r="E13978" s="787">
        <v>127.65</v>
      </c>
      <c r="F13978" s="788">
        <v>40477</v>
      </c>
      <c r="G13978" s="788">
        <v>40436</v>
      </c>
      <c r="H13978" s="787">
        <v>1</v>
      </c>
      <c r="I13978" s="788">
        <v>40688</v>
      </c>
      <c r="J13978" s="788">
        <v>40793</v>
      </c>
      <c r="K13978" s="788">
        <v>40911</v>
      </c>
      <c r="L13978" s="787">
        <v>127.65</v>
      </c>
      <c r="M13978" s="787">
        <v>20</v>
      </c>
      <c r="N13978" s="787">
        <v>137.22</v>
      </c>
      <c r="O13978" s="788">
        <v>41858</v>
      </c>
    </row>
    <row r="13979" spans="1:15" x14ac:dyDescent="0.25">
      <c r="A13979" s="786" t="s">
        <v>25224</v>
      </c>
      <c r="B13979" s="787">
        <v>4</v>
      </c>
      <c r="C13979" s="787" t="s">
        <v>25225</v>
      </c>
      <c r="D13979" s="787">
        <v>7.65</v>
      </c>
      <c r="E13979" s="787">
        <v>97.65</v>
      </c>
      <c r="F13979" s="788">
        <v>40835</v>
      </c>
      <c r="G13979" s="788">
        <v>40793</v>
      </c>
      <c r="H13979" s="787">
        <v>1</v>
      </c>
      <c r="J13979" s="788">
        <v>40793</v>
      </c>
      <c r="L13979" s="787">
        <v>97.65</v>
      </c>
      <c r="M13979" s="787">
        <v>20</v>
      </c>
      <c r="N13979" s="787">
        <v>104.97</v>
      </c>
      <c r="O13979" s="788">
        <v>41858</v>
      </c>
    </row>
    <row r="13980" spans="1:15" x14ac:dyDescent="0.25">
      <c r="A13980" s="786" t="s">
        <v>25226</v>
      </c>
      <c r="B13980" s="787">
        <v>4</v>
      </c>
      <c r="C13980" s="787" t="s">
        <v>25227</v>
      </c>
      <c r="D13980" s="787">
        <v>5.35</v>
      </c>
      <c r="E13980" s="787">
        <v>85.35</v>
      </c>
      <c r="F13980" s="788">
        <v>40494</v>
      </c>
      <c r="G13980" s="788">
        <v>40494</v>
      </c>
      <c r="H13980" s="787">
        <v>1</v>
      </c>
      <c r="I13980" s="788">
        <v>40998</v>
      </c>
      <c r="J13980" s="788">
        <v>42165</v>
      </c>
      <c r="K13980" s="788">
        <v>40910</v>
      </c>
      <c r="L13980" s="787">
        <v>85.35</v>
      </c>
      <c r="M13980" s="787">
        <v>20</v>
      </c>
      <c r="N13980" s="787">
        <v>91.75</v>
      </c>
      <c r="O13980" s="788">
        <v>41858</v>
      </c>
    </row>
    <row r="13981" spans="1:15" x14ac:dyDescent="0.25">
      <c r="A13981" s="786" t="s">
        <v>25228</v>
      </c>
      <c r="B13981" s="787">
        <v>4</v>
      </c>
      <c r="C13981" s="787" t="s">
        <v>25229</v>
      </c>
      <c r="D13981" s="787">
        <v>5.35</v>
      </c>
      <c r="E13981" s="787">
        <v>55.35</v>
      </c>
      <c r="F13981" s="788">
        <v>40450</v>
      </c>
      <c r="G13981" s="788">
        <v>40402</v>
      </c>
      <c r="H13981" s="787">
        <v>1</v>
      </c>
      <c r="I13981" s="788">
        <v>40403</v>
      </c>
      <c r="J13981" s="788">
        <v>40787</v>
      </c>
      <c r="K13981" s="788">
        <v>40910</v>
      </c>
      <c r="L13981" s="787">
        <v>55.35</v>
      </c>
      <c r="M13981" s="787">
        <v>20</v>
      </c>
      <c r="N13981" s="787">
        <v>59.5</v>
      </c>
      <c r="O13981" s="788">
        <v>41858</v>
      </c>
    </row>
    <row r="13982" spans="1:15" x14ac:dyDescent="0.25">
      <c r="A13982" s="786" t="s">
        <v>25230</v>
      </c>
      <c r="B13982" s="787">
        <v>4</v>
      </c>
      <c r="C13982" s="787" t="s">
        <v>25231</v>
      </c>
      <c r="D13982" s="787">
        <v>5.3</v>
      </c>
      <c r="E13982" s="787">
        <v>128.15</v>
      </c>
      <c r="F13982" s="788">
        <v>41171</v>
      </c>
      <c r="G13982" s="788">
        <v>41681</v>
      </c>
      <c r="H13982" s="787">
        <v>1</v>
      </c>
      <c r="I13982" s="788">
        <v>42123</v>
      </c>
      <c r="J13982" s="788">
        <v>41834</v>
      </c>
      <c r="K13982" s="788">
        <v>40910</v>
      </c>
      <c r="L13982" s="787">
        <v>128.15</v>
      </c>
      <c r="M13982" s="787">
        <v>20</v>
      </c>
      <c r="N13982" s="787">
        <v>137.76</v>
      </c>
      <c r="O13982" s="788">
        <v>42164</v>
      </c>
    </row>
    <row r="13983" spans="1:15" x14ac:dyDescent="0.25">
      <c r="A13983" s="786" t="s">
        <v>25232</v>
      </c>
      <c r="B13983" s="787">
        <v>4</v>
      </c>
      <c r="C13983" s="787" t="s">
        <v>25233</v>
      </c>
      <c r="D13983" s="787">
        <v>0</v>
      </c>
      <c r="E13983" s="787">
        <v>0</v>
      </c>
      <c r="H13983" s="787">
        <v>1</v>
      </c>
      <c r="L13983" s="787">
        <v>0</v>
      </c>
      <c r="M13983" s="787">
        <v>20</v>
      </c>
      <c r="N13983" s="787">
        <v>0</v>
      </c>
      <c r="O13983" s="788">
        <v>40824</v>
      </c>
    </row>
    <row r="13984" spans="1:15" x14ac:dyDescent="0.25">
      <c r="A13984" s="786" t="s">
        <v>25234</v>
      </c>
      <c r="B13984" s="787">
        <v>4</v>
      </c>
      <c r="C13984" s="787" t="s">
        <v>25235</v>
      </c>
      <c r="D13984" s="787">
        <v>9.9</v>
      </c>
      <c r="E13984" s="787">
        <v>199.9</v>
      </c>
      <c r="F13984" s="788">
        <v>40773</v>
      </c>
      <c r="G13984" s="788">
        <v>40729</v>
      </c>
      <c r="H13984" s="787">
        <v>1</v>
      </c>
      <c r="I13984" s="788">
        <v>41775</v>
      </c>
      <c r="J13984" s="788">
        <v>41773</v>
      </c>
      <c r="L13984" s="787">
        <v>199.9</v>
      </c>
      <c r="M13984" s="787">
        <v>20</v>
      </c>
      <c r="N13984" s="787">
        <v>214.89</v>
      </c>
      <c r="O13984" s="788">
        <v>41858</v>
      </c>
    </row>
    <row r="13985" spans="1:15" x14ac:dyDescent="0.25">
      <c r="A13985" s="786" t="s">
        <v>25236</v>
      </c>
      <c r="B13985" s="787">
        <v>4</v>
      </c>
      <c r="C13985" s="787" t="s">
        <v>25237</v>
      </c>
      <c r="D13985" s="787">
        <v>0</v>
      </c>
      <c r="E13985" s="787">
        <v>0</v>
      </c>
      <c r="H13985" s="787">
        <v>1</v>
      </c>
      <c r="L13985" s="787">
        <v>0</v>
      </c>
      <c r="M13985" s="787">
        <v>20</v>
      </c>
      <c r="N13985" s="787">
        <v>0</v>
      </c>
      <c r="O13985" s="788">
        <v>40824</v>
      </c>
    </row>
    <row r="13986" spans="1:15" x14ac:dyDescent="0.25">
      <c r="A13986" s="786" t="s">
        <v>25238</v>
      </c>
      <c r="B13986" s="787">
        <v>4</v>
      </c>
      <c r="C13986" s="787" t="s">
        <v>25239</v>
      </c>
      <c r="D13986" s="787">
        <v>9.25</v>
      </c>
      <c r="E13986" s="787">
        <v>9.25</v>
      </c>
      <c r="F13986" s="788">
        <v>40374</v>
      </c>
      <c r="G13986" s="788">
        <v>40374</v>
      </c>
      <c r="H13986" s="787">
        <v>1</v>
      </c>
      <c r="I13986" s="788">
        <v>40374</v>
      </c>
      <c r="J13986" s="788">
        <v>40836</v>
      </c>
      <c r="L13986" s="787">
        <v>9.25</v>
      </c>
      <c r="M13986" s="787">
        <v>20</v>
      </c>
      <c r="N13986" s="787">
        <v>9.94</v>
      </c>
      <c r="O13986" s="788">
        <v>41858</v>
      </c>
    </row>
    <row r="13987" spans="1:15" x14ac:dyDescent="0.25">
      <c r="A13987" s="786" t="s">
        <v>25240</v>
      </c>
      <c r="B13987" s="787">
        <v>4</v>
      </c>
      <c r="C13987" s="787" t="s">
        <v>25241</v>
      </c>
      <c r="D13987" s="787">
        <v>5.65</v>
      </c>
      <c r="E13987" s="787">
        <v>25.66</v>
      </c>
      <c r="F13987" s="788">
        <v>40494</v>
      </c>
      <c r="G13987" s="788">
        <v>40638</v>
      </c>
      <c r="H13987" s="787">
        <v>1</v>
      </c>
      <c r="I13987" s="788">
        <v>41289</v>
      </c>
      <c r="J13987" s="788">
        <v>41577</v>
      </c>
      <c r="K13987" s="788">
        <v>41918</v>
      </c>
      <c r="L13987" s="787">
        <v>19.29</v>
      </c>
      <c r="M13987" s="787">
        <v>20</v>
      </c>
      <c r="N13987" s="787">
        <v>27.57</v>
      </c>
      <c r="O13987" s="788">
        <v>41858</v>
      </c>
    </row>
    <row r="13988" spans="1:15" x14ac:dyDescent="0.25">
      <c r="A13988" s="786" t="s">
        <v>25242</v>
      </c>
      <c r="B13988" s="787">
        <v>4</v>
      </c>
      <c r="C13988" s="787" t="s">
        <v>25243</v>
      </c>
      <c r="D13988" s="787">
        <v>0</v>
      </c>
      <c r="E13988" s="787">
        <v>0</v>
      </c>
      <c r="H13988" s="787">
        <v>1</v>
      </c>
      <c r="I13988" s="788">
        <v>40674</v>
      </c>
      <c r="L13988" s="787">
        <v>0</v>
      </c>
      <c r="M13988" s="787">
        <v>20</v>
      </c>
      <c r="N13988" s="787">
        <v>0</v>
      </c>
      <c r="O13988" s="788">
        <v>40824</v>
      </c>
    </row>
    <row r="13989" spans="1:15" x14ac:dyDescent="0.25">
      <c r="A13989" s="786" t="s">
        <v>25244</v>
      </c>
      <c r="B13989" s="787">
        <v>4</v>
      </c>
      <c r="C13989" s="787" t="s">
        <v>25245</v>
      </c>
      <c r="D13989" s="787">
        <v>0</v>
      </c>
      <c r="E13989" s="787">
        <v>0</v>
      </c>
      <c r="H13989" s="787">
        <v>1</v>
      </c>
      <c r="K13989" s="788">
        <v>40945</v>
      </c>
      <c r="L13989" s="787">
        <v>20</v>
      </c>
      <c r="M13989" s="787">
        <v>20</v>
      </c>
      <c r="N13989" s="787">
        <v>21.5</v>
      </c>
      <c r="O13989" s="788">
        <v>41858</v>
      </c>
    </row>
    <row r="13990" spans="1:15" x14ac:dyDescent="0.25">
      <c r="A13990" s="786" t="s">
        <v>25246</v>
      </c>
      <c r="B13990" s="787">
        <v>4</v>
      </c>
      <c r="C13990" s="787" t="s">
        <v>25247</v>
      </c>
      <c r="D13990" s="787">
        <v>0</v>
      </c>
      <c r="E13990" s="787">
        <v>20</v>
      </c>
      <c r="F13990" s="788">
        <v>40494</v>
      </c>
      <c r="G13990" s="788">
        <v>40462</v>
      </c>
      <c r="H13990" s="787">
        <v>1</v>
      </c>
      <c r="I13990" s="788">
        <v>40673</v>
      </c>
      <c r="J13990" s="788">
        <v>40603</v>
      </c>
      <c r="K13990" s="788">
        <v>41712</v>
      </c>
      <c r="L13990" s="787">
        <v>20</v>
      </c>
      <c r="M13990" s="787">
        <v>20</v>
      </c>
      <c r="N13990" s="787">
        <v>21.5</v>
      </c>
      <c r="O13990" s="788">
        <v>41858</v>
      </c>
    </row>
    <row r="13991" spans="1:15" x14ac:dyDescent="0.25">
      <c r="A13991" s="786" t="s">
        <v>25248</v>
      </c>
      <c r="B13991" s="787">
        <v>4</v>
      </c>
      <c r="C13991" s="787" t="s">
        <v>25243</v>
      </c>
      <c r="D13991" s="787">
        <v>0</v>
      </c>
      <c r="E13991" s="787">
        <v>135</v>
      </c>
      <c r="G13991" s="788">
        <v>40798</v>
      </c>
      <c r="H13991" s="787">
        <v>1</v>
      </c>
      <c r="I13991" s="788">
        <v>40806</v>
      </c>
      <c r="J13991" s="788">
        <v>40798</v>
      </c>
      <c r="L13991" s="787">
        <v>135</v>
      </c>
      <c r="M13991" s="787">
        <v>20</v>
      </c>
      <c r="N13991" s="787">
        <v>145.13</v>
      </c>
      <c r="O13991" s="788">
        <v>41858</v>
      </c>
    </row>
    <row r="13992" spans="1:15" x14ac:dyDescent="0.25">
      <c r="A13992" s="786" t="s">
        <v>25249</v>
      </c>
      <c r="B13992" s="787">
        <v>4</v>
      </c>
      <c r="C13992" s="787" t="s">
        <v>25250</v>
      </c>
      <c r="D13992" s="787">
        <v>8</v>
      </c>
      <c r="E13992" s="787">
        <v>18.940000000000001</v>
      </c>
      <c r="F13992" s="788">
        <v>41236</v>
      </c>
      <c r="G13992" s="788">
        <v>42164</v>
      </c>
      <c r="H13992" s="787">
        <v>1</v>
      </c>
      <c r="J13992" s="788">
        <v>42159</v>
      </c>
      <c r="K13992" s="788">
        <v>41598</v>
      </c>
      <c r="L13992" s="787">
        <v>18.920000000000002</v>
      </c>
      <c r="M13992" s="787">
        <v>20</v>
      </c>
      <c r="N13992" s="787">
        <v>20.34</v>
      </c>
      <c r="O13992" s="788">
        <v>41858</v>
      </c>
    </row>
    <row r="13993" spans="1:15" x14ac:dyDescent="0.25">
      <c r="A13993" s="786" t="s">
        <v>25251</v>
      </c>
      <c r="B13993" s="787">
        <v>4</v>
      </c>
      <c r="C13993" s="787" t="s">
        <v>25252</v>
      </c>
      <c r="D13993" s="787">
        <v>8.0399999999999991</v>
      </c>
      <c r="E13993" s="787">
        <v>18.940000000000001</v>
      </c>
      <c r="F13993" s="788">
        <v>41304</v>
      </c>
      <c r="G13993" s="788">
        <v>42164</v>
      </c>
      <c r="H13993" s="787">
        <v>1</v>
      </c>
      <c r="J13993" s="788">
        <v>42159</v>
      </c>
      <c r="K13993" s="788">
        <v>41598</v>
      </c>
      <c r="L13993" s="787">
        <v>18.920000000000002</v>
      </c>
      <c r="M13993" s="787">
        <v>20</v>
      </c>
      <c r="N13993" s="787">
        <v>20.34</v>
      </c>
      <c r="O13993" s="788">
        <v>41858</v>
      </c>
    </row>
    <row r="13994" spans="1:15" x14ac:dyDescent="0.25">
      <c r="A13994" s="786" t="s">
        <v>25253</v>
      </c>
      <c r="B13994" s="787">
        <v>4</v>
      </c>
      <c r="C13994" s="787" t="s">
        <v>25254</v>
      </c>
      <c r="D13994" s="787">
        <v>8.02</v>
      </c>
      <c r="E13994" s="787">
        <v>18.940000000000001</v>
      </c>
      <c r="F13994" s="788">
        <v>41157</v>
      </c>
      <c r="G13994" s="788">
        <v>42164</v>
      </c>
      <c r="H13994" s="787">
        <v>1</v>
      </c>
      <c r="J13994" s="788">
        <v>42159</v>
      </c>
      <c r="K13994" s="788">
        <v>41562</v>
      </c>
      <c r="L13994" s="787">
        <v>18.920000000000002</v>
      </c>
      <c r="M13994" s="787">
        <v>20</v>
      </c>
      <c r="N13994" s="787">
        <v>20.34</v>
      </c>
      <c r="O13994" s="788">
        <v>41858</v>
      </c>
    </row>
    <row r="13995" spans="1:15" x14ac:dyDescent="0.25">
      <c r="A13995" s="786" t="s">
        <v>25255</v>
      </c>
      <c r="B13995" s="787">
        <v>4</v>
      </c>
      <c r="C13995" s="787" t="s">
        <v>25256</v>
      </c>
      <c r="D13995" s="787">
        <v>0</v>
      </c>
      <c r="E13995" s="787">
        <v>20</v>
      </c>
      <c r="F13995" s="788">
        <v>41547</v>
      </c>
      <c r="G13995" s="788">
        <v>41542</v>
      </c>
      <c r="H13995" s="787">
        <v>1</v>
      </c>
      <c r="I13995" s="788">
        <v>42165</v>
      </c>
      <c r="J13995" s="788">
        <v>42137</v>
      </c>
      <c r="K13995" s="788">
        <v>41473</v>
      </c>
      <c r="L13995" s="787">
        <v>20</v>
      </c>
      <c r="M13995" s="787">
        <v>20</v>
      </c>
      <c r="N13995" s="787">
        <v>21.5</v>
      </c>
      <c r="O13995" s="788">
        <v>41949</v>
      </c>
    </row>
    <row r="13996" spans="1:15" x14ac:dyDescent="0.25">
      <c r="A13996" s="786" t="s">
        <v>25257</v>
      </c>
      <c r="B13996" s="787">
        <v>4</v>
      </c>
      <c r="C13996" s="787" t="s">
        <v>25258</v>
      </c>
      <c r="D13996" s="787">
        <v>0</v>
      </c>
      <c r="E13996" s="787">
        <v>20</v>
      </c>
      <c r="F13996" s="788">
        <v>41565</v>
      </c>
      <c r="G13996" s="788">
        <v>41549</v>
      </c>
      <c r="H13996" s="787">
        <v>1</v>
      </c>
      <c r="I13996" s="788">
        <v>42165</v>
      </c>
      <c r="J13996" s="788">
        <v>42060</v>
      </c>
      <c r="L13996" s="787">
        <v>20</v>
      </c>
      <c r="M13996" s="787">
        <v>20</v>
      </c>
      <c r="N13996" s="787">
        <v>21.5</v>
      </c>
      <c r="O13996" s="788">
        <v>41949</v>
      </c>
    </row>
    <row r="13997" spans="1:15" x14ac:dyDescent="0.25">
      <c r="A13997" s="786" t="s">
        <v>25259</v>
      </c>
      <c r="B13997" s="787">
        <v>4</v>
      </c>
      <c r="C13997" s="787" t="s">
        <v>25260</v>
      </c>
      <c r="D13997" s="787">
        <v>1.4</v>
      </c>
      <c r="E13997" s="787">
        <v>431.4</v>
      </c>
      <c r="F13997" s="788">
        <v>41540</v>
      </c>
      <c r="G13997" s="788">
        <v>41521</v>
      </c>
      <c r="H13997" s="787">
        <v>1</v>
      </c>
      <c r="I13997" s="788">
        <v>41521</v>
      </c>
      <c r="J13997" s="788">
        <v>41521</v>
      </c>
      <c r="L13997" s="787">
        <v>431.4</v>
      </c>
      <c r="M13997" s="787">
        <v>20</v>
      </c>
      <c r="N13997" s="787">
        <v>463.76</v>
      </c>
      <c r="O13997" s="788">
        <v>41858</v>
      </c>
    </row>
    <row r="13998" spans="1:15" x14ac:dyDescent="0.25">
      <c r="A13998" s="786" t="s">
        <v>25261</v>
      </c>
      <c r="B13998" s="787">
        <v>4</v>
      </c>
      <c r="C13998" s="787" t="s">
        <v>25262</v>
      </c>
      <c r="D13998" s="787">
        <v>0</v>
      </c>
      <c r="E13998" s="787">
        <v>0</v>
      </c>
      <c r="H13998" s="787">
        <v>1</v>
      </c>
      <c r="L13998" s="787">
        <v>0</v>
      </c>
      <c r="M13998" s="787">
        <v>20</v>
      </c>
      <c r="N13998" s="787">
        <v>0</v>
      </c>
      <c r="O13998" s="788">
        <v>40824</v>
      </c>
    </row>
    <row r="13999" spans="1:15" x14ac:dyDescent="0.25">
      <c r="A13999" s="786" t="s">
        <v>25263</v>
      </c>
      <c r="B13999" s="787">
        <v>4</v>
      </c>
      <c r="C13999" s="787" t="s">
        <v>25264</v>
      </c>
      <c r="D13999" s="787">
        <v>8.1999999999999993</v>
      </c>
      <c r="E13999" s="787">
        <v>450.06</v>
      </c>
      <c r="F13999" s="788">
        <v>40542</v>
      </c>
      <c r="G13999" s="788">
        <v>41282</v>
      </c>
      <c r="H13999" s="787">
        <v>1</v>
      </c>
      <c r="I13999" s="788">
        <v>40998</v>
      </c>
      <c r="J13999" s="788">
        <v>40997</v>
      </c>
      <c r="K13999" s="788">
        <v>41261</v>
      </c>
      <c r="L13999" s="787">
        <v>450.06</v>
      </c>
      <c r="M13999" s="787">
        <v>20</v>
      </c>
      <c r="N13999" s="787">
        <v>483.81</v>
      </c>
      <c r="O13999" s="788">
        <v>41858</v>
      </c>
    </row>
    <row r="14000" spans="1:15" x14ac:dyDescent="0.25">
      <c r="A14000" s="786" t="s">
        <v>25265</v>
      </c>
      <c r="B14000" s="787">
        <v>4</v>
      </c>
      <c r="C14000" s="787" t="s">
        <v>25266</v>
      </c>
      <c r="D14000" s="787">
        <v>7.99</v>
      </c>
      <c r="E14000" s="787">
        <v>490.81</v>
      </c>
      <c r="F14000" s="788">
        <v>40641</v>
      </c>
      <c r="G14000" s="788">
        <v>41422</v>
      </c>
      <c r="H14000" s="787">
        <v>1</v>
      </c>
      <c r="I14000" s="788">
        <v>41374</v>
      </c>
      <c r="J14000" s="788">
        <v>41374</v>
      </c>
      <c r="L14000" s="787">
        <v>490.81</v>
      </c>
      <c r="M14000" s="787">
        <v>20</v>
      </c>
      <c r="N14000" s="787">
        <v>527.62</v>
      </c>
      <c r="O14000" s="788">
        <v>41858</v>
      </c>
    </row>
    <row r="14001" spans="1:15" x14ac:dyDescent="0.25">
      <c r="A14001" s="786" t="s">
        <v>25267</v>
      </c>
      <c r="B14001" s="787">
        <v>4</v>
      </c>
      <c r="C14001" s="787" t="s">
        <v>25268</v>
      </c>
      <c r="D14001" s="787">
        <v>1.81</v>
      </c>
      <c r="E14001" s="787">
        <v>491.81</v>
      </c>
      <c r="F14001" s="788">
        <v>41516</v>
      </c>
      <c r="G14001" s="788">
        <v>41541</v>
      </c>
      <c r="H14001" s="787">
        <v>1</v>
      </c>
      <c r="I14001" s="788">
        <v>41585</v>
      </c>
      <c r="J14001" s="788">
        <v>41507</v>
      </c>
      <c r="L14001" s="787">
        <v>491.81</v>
      </c>
      <c r="M14001" s="787">
        <v>20</v>
      </c>
      <c r="N14001" s="787">
        <v>528.70000000000005</v>
      </c>
      <c r="O14001" s="788">
        <v>41858</v>
      </c>
    </row>
    <row r="14002" spans="1:15" x14ac:dyDescent="0.25">
      <c r="A14002" s="786" t="s">
        <v>25269</v>
      </c>
      <c r="B14002" s="787">
        <v>4</v>
      </c>
      <c r="C14002" s="787" t="s">
        <v>25270</v>
      </c>
      <c r="D14002" s="787">
        <v>0</v>
      </c>
      <c r="E14002" s="787">
        <v>0</v>
      </c>
      <c r="H14002" s="787">
        <v>1</v>
      </c>
      <c r="L14002" s="787">
        <v>0</v>
      </c>
      <c r="M14002" s="787">
        <v>20</v>
      </c>
      <c r="N14002" s="787">
        <v>0</v>
      </c>
      <c r="O14002" s="788">
        <v>40824</v>
      </c>
    </row>
    <row r="14003" spans="1:15" x14ac:dyDescent="0.25">
      <c r="A14003" s="786" t="s">
        <v>25271</v>
      </c>
      <c r="B14003" s="787">
        <v>4</v>
      </c>
      <c r="C14003" s="787" t="s">
        <v>25272</v>
      </c>
      <c r="D14003" s="787">
        <v>1.35</v>
      </c>
      <c r="E14003" s="787">
        <v>311.35000000000002</v>
      </c>
      <c r="F14003" s="788">
        <v>40542</v>
      </c>
      <c r="G14003" s="788">
        <v>42064</v>
      </c>
      <c r="H14003" s="787">
        <v>1</v>
      </c>
      <c r="I14003" s="788">
        <v>42093</v>
      </c>
      <c r="J14003" s="788">
        <v>42094</v>
      </c>
      <c r="K14003" s="788">
        <v>41261</v>
      </c>
      <c r="L14003" s="787">
        <v>311.35000000000002</v>
      </c>
      <c r="M14003" s="787">
        <v>20</v>
      </c>
      <c r="N14003" s="787">
        <v>334.7</v>
      </c>
      <c r="O14003" s="788">
        <v>41858</v>
      </c>
    </row>
    <row r="14004" spans="1:15" x14ac:dyDescent="0.25">
      <c r="A14004" s="786" t="s">
        <v>25273</v>
      </c>
      <c r="B14004" s="787">
        <v>4</v>
      </c>
      <c r="C14004" s="787" t="s">
        <v>25274</v>
      </c>
      <c r="D14004" s="787">
        <v>0</v>
      </c>
      <c r="E14004" s="787">
        <v>0</v>
      </c>
      <c r="H14004" s="787">
        <v>1</v>
      </c>
      <c r="L14004" s="787">
        <v>0</v>
      </c>
      <c r="M14004" s="787">
        <v>20</v>
      </c>
      <c r="N14004" s="787">
        <v>0</v>
      </c>
      <c r="O14004" s="788">
        <v>40824</v>
      </c>
    </row>
    <row r="14005" spans="1:15" x14ac:dyDescent="0.25">
      <c r="A14005" s="786" t="s">
        <v>25275</v>
      </c>
      <c r="B14005" s="787">
        <v>4</v>
      </c>
      <c r="C14005" s="787" t="s">
        <v>25276</v>
      </c>
      <c r="D14005" s="787">
        <v>7.55</v>
      </c>
      <c r="E14005" s="787">
        <v>337.55</v>
      </c>
      <c r="F14005" s="788">
        <v>40757</v>
      </c>
      <c r="G14005" s="788">
        <v>40757</v>
      </c>
      <c r="H14005" s="787">
        <v>1</v>
      </c>
      <c r="I14005" s="788">
        <v>40791</v>
      </c>
      <c r="J14005" s="788">
        <v>40758</v>
      </c>
      <c r="L14005" s="787">
        <v>337.55</v>
      </c>
      <c r="M14005" s="787">
        <v>20</v>
      </c>
      <c r="N14005" s="787">
        <v>362.87</v>
      </c>
      <c r="O14005" s="788">
        <v>41858</v>
      </c>
    </row>
    <row r="14006" spans="1:15" x14ac:dyDescent="0.25">
      <c r="A14006" s="786" t="s">
        <v>25277</v>
      </c>
      <c r="B14006" s="787">
        <v>4</v>
      </c>
      <c r="C14006" s="787" t="s">
        <v>25278</v>
      </c>
      <c r="D14006" s="787">
        <v>5.21</v>
      </c>
      <c r="E14006" s="787">
        <v>455.21</v>
      </c>
      <c r="F14006" s="788">
        <v>41330</v>
      </c>
      <c r="G14006" s="788">
        <v>41330</v>
      </c>
      <c r="H14006" s="787">
        <v>1</v>
      </c>
      <c r="I14006" s="788">
        <v>41316</v>
      </c>
      <c r="J14006" s="788">
        <v>41311</v>
      </c>
      <c r="K14006" s="788">
        <v>41001</v>
      </c>
      <c r="L14006" s="787">
        <v>453.35</v>
      </c>
      <c r="M14006" s="787">
        <v>20</v>
      </c>
      <c r="N14006" s="787">
        <v>487.35</v>
      </c>
      <c r="O14006" s="788">
        <v>41858</v>
      </c>
    </row>
    <row r="14007" spans="1:15" x14ac:dyDescent="0.25">
      <c r="A14007" s="786" t="s">
        <v>25279</v>
      </c>
      <c r="B14007" s="787">
        <v>4</v>
      </c>
      <c r="C14007" s="787" t="s">
        <v>25280</v>
      </c>
      <c r="D14007" s="787">
        <v>4.25</v>
      </c>
      <c r="E14007" s="787">
        <v>456.11</v>
      </c>
      <c r="F14007" s="788">
        <v>40379</v>
      </c>
      <c r="G14007" s="788">
        <v>41513</v>
      </c>
      <c r="H14007" s="787">
        <v>1</v>
      </c>
      <c r="I14007" s="788">
        <v>41479</v>
      </c>
      <c r="J14007" s="788">
        <v>41481</v>
      </c>
      <c r="L14007" s="787">
        <v>456.11</v>
      </c>
      <c r="M14007" s="787">
        <v>20</v>
      </c>
      <c r="N14007" s="787">
        <v>490.32</v>
      </c>
      <c r="O14007" s="788">
        <v>41858</v>
      </c>
    </row>
    <row r="14008" spans="1:15" x14ac:dyDescent="0.25">
      <c r="A14008" s="786" t="s">
        <v>25281</v>
      </c>
      <c r="B14008" s="787">
        <v>4</v>
      </c>
      <c r="C14008" s="787" t="s">
        <v>25282</v>
      </c>
      <c r="D14008" s="787">
        <v>5.21</v>
      </c>
      <c r="E14008" s="787">
        <v>475.21</v>
      </c>
      <c r="F14008" s="788">
        <v>40680</v>
      </c>
      <c r="G14008" s="788">
        <v>40913</v>
      </c>
      <c r="H14008" s="787">
        <v>1</v>
      </c>
      <c r="I14008" s="788">
        <v>41409</v>
      </c>
      <c r="J14008" s="788">
        <v>41105</v>
      </c>
      <c r="K14008" s="788">
        <v>40911</v>
      </c>
      <c r="L14008" s="787">
        <v>475.21</v>
      </c>
      <c r="M14008" s="787">
        <v>20</v>
      </c>
      <c r="N14008" s="787">
        <v>510.85</v>
      </c>
      <c r="O14008" s="788">
        <v>41858</v>
      </c>
    </row>
    <row r="14009" spans="1:15" x14ac:dyDescent="0.25">
      <c r="A14009" s="786" t="s">
        <v>25283</v>
      </c>
      <c r="B14009" s="787">
        <v>4</v>
      </c>
      <c r="C14009" s="787" t="s">
        <v>25284</v>
      </c>
      <c r="D14009" s="787">
        <v>5.96</v>
      </c>
      <c r="E14009" s="787">
        <v>515.96</v>
      </c>
      <c r="F14009" s="788">
        <v>40554</v>
      </c>
      <c r="G14009" s="788">
        <v>41422</v>
      </c>
      <c r="H14009" s="787">
        <v>1</v>
      </c>
      <c r="I14009" s="788">
        <v>41382</v>
      </c>
      <c r="J14009" s="788">
        <v>41374</v>
      </c>
      <c r="K14009" s="788">
        <v>41261</v>
      </c>
      <c r="L14009" s="787">
        <v>515.96</v>
      </c>
      <c r="M14009" s="787">
        <v>20</v>
      </c>
      <c r="N14009" s="787">
        <v>554.66</v>
      </c>
      <c r="O14009" s="788">
        <v>41858</v>
      </c>
    </row>
    <row r="14010" spans="1:15" x14ac:dyDescent="0.25">
      <c r="A14010" s="786" t="s">
        <v>25285</v>
      </c>
      <c r="B14010" s="787">
        <v>4</v>
      </c>
      <c r="C14010" s="787" t="s">
        <v>25286</v>
      </c>
      <c r="D14010" s="787">
        <v>0</v>
      </c>
      <c r="E14010" s="787">
        <v>0</v>
      </c>
      <c r="H14010" s="787">
        <v>1</v>
      </c>
      <c r="L14010" s="787">
        <v>0</v>
      </c>
      <c r="M14010" s="787">
        <v>20</v>
      </c>
      <c r="N14010" s="787">
        <v>0</v>
      </c>
      <c r="O14010" s="788">
        <v>40824</v>
      </c>
    </row>
    <row r="14011" spans="1:15" x14ac:dyDescent="0.25">
      <c r="A14011" s="786" t="s">
        <v>25287</v>
      </c>
      <c r="B14011" s="787">
        <v>4</v>
      </c>
      <c r="C14011" s="787" t="s">
        <v>25288</v>
      </c>
      <c r="D14011" s="787">
        <v>6.96</v>
      </c>
      <c r="E14011" s="787">
        <v>516.96</v>
      </c>
      <c r="F14011" s="788">
        <v>41789</v>
      </c>
      <c r="G14011" s="788">
        <v>41850</v>
      </c>
      <c r="H14011" s="787">
        <v>1</v>
      </c>
      <c r="I14011" s="788">
        <v>41816</v>
      </c>
      <c r="J14011" s="788">
        <v>41802</v>
      </c>
      <c r="K14011" s="788">
        <v>41817</v>
      </c>
      <c r="L14011" s="787">
        <v>516.96</v>
      </c>
      <c r="M14011" s="787">
        <v>20</v>
      </c>
      <c r="N14011" s="787">
        <v>555.73</v>
      </c>
      <c r="O14011" s="788">
        <v>41858</v>
      </c>
    </row>
    <row r="14012" spans="1:15" x14ac:dyDescent="0.25">
      <c r="A14012" s="786" t="s">
        <v>25289</v>
      </c>
      <c r="B14012" s="787">
        <v>4</v>
      </c>
      <c r="C14012" s="787" t="s">
        <v>25290</v>
      </c>
      <c r="D14012" s="787">
        <v>2.15</v>
      </c>
      <c r="E14012" s="787">
        <v>402.15</v>
      </c>
      <c r="F14012" s="788">
        <v>41157</v>
      </c>
      <c r="G14012" s="788">
        <v>41130</v>
      </c>
      <c r="H14012" s="787">
        <v>1</v>
      </c>
      <c r="I14012" s="788">
        <v>41584</v>
      </c>
      <c r="J14012" s="788">
        <v>41621</v>
      </c>
      <c r="K14012" s="788">
        <v>41591</v>
      </c>
      <c r="L14012" s="787">
        <v>402.15</v>
      </c>
      <c r="M14012" s="787">
        <v>20</v>
      </c>
      <c r="N14012" s="787">
        <v>432.31</v>
      </c>
      <c r="O14012" s="788">
        <v>41858</v>
      </c>
    </row>
    <row r="14013" spans="1:15" x14ac:dyDescent="0.25">
      <c r="A14013" s="786" t="s">
        <v>25291</v>
      </c>
      <c r="B14013" s="787">
        <v>4</v>
      </c>
      <c r="C14013" s="787" t="s">
        <v>25292</v>
      </c>
      <c r="D14013" s="787">
        <v>0</v>
      </c>
      <c r="E14013" s="787">
        <v>0</v>
      </c>
      <c r="H14013" s="787">
        <v>1</v>
      </c>
      <c r="L14013" s="787">
        <v>0</v>
      </c>
      <c r="M14013" s="787">
        <v>20</v>
      </c>
      <c r="N14013" s="787">
        <v>0</v>
      </c>
      <c r="O14013" s="788">
        <v>40824</v>
      </c>
    </row>
    <row r="14014" spans="1:15" x14ac:dyDescent="0.25">
      <c r="A14014" s="786" t="s">
        <v>25293</v>
      </c>
      <c r="B14014" s="787">
        <v>4</v>
      </c>
      <c r="C14014" s="787" t="s">
        <v>25294</v>
      </c>
      <c r="D14014" s="787">
        <v>2.15</v>
      </c>
      <c r="E14014" s="787">
        <v>412.15</v>
      </c>
      <c r="F14014" s="788">
        <v>42156</v>
      </c>
      <c r="G14014" s="788">
        <v>42116</v>
      </c>
      <c r="H14014" s="787">
        <v>1</v>
      </c>
      <c r="J14014" s="788">
        <v>42116</v>
      </c>
      <c r="K14014" s="788">
        <v>42109</v>
      </c>
      <c r="L14014" s="787">
        <v>412.5</v>
      </c>
      <c r="M14014" s="787">
        <v>20</v>
      </c>
      <c r="N14014" s="787">
        <v>0</v>
      </c>
      <c r="O14014" s="788">
        <v>40824</v>
      </c>
    </row>
    <row r="14015" spans="1:15" x14ac:dyDescent="0.25">
      <c r="A14015" s="786" t="s">
        <v>25295</v>
      </c>
      <c r="B14015" s="787">
        <v>4</v>
      </c>
      <c r="C14015" s="787" t="s">
        <v>25296</v>
      </c>
      <c r="D14015" s="787">
        <v>0</v>
      </c>
      <c r="E14015" s="787">
        <v>0</v>
      </c>
      <c r="H14015" s="787">
        <v>1</v>
      </c>
      <c r="L14015" s="787">
        <v>0</v>
      </c>
      <c r="M14015" s="787">
        <v>20</v>
      </c>
      <c r="N14015" s="787">
        <v>0</v>
      </c>
      <c r="O14015" s="788">
        <v>40824</v>
      </c>
    </row>
    <row r="14016" spans="1:15" x14ac:dyDescent="0.25">
      <c r="A14016" s="786" t="s">
        <v>25297</v>
      </c>
      <c r="B14016" s="787">
        <v>4</v>
      </c>
      <c r="C14016" s="787" t="s">
        <v>25298</v>
      </c>
      <c r="D14016" s="787">
        <v>3.9</v>
      </c>
      <c r="E14016" s="787">
        <v>523.9</v>
      </c>
      <c r="F14016" s="788">
        <v>40484</v>
      </c>
      <c r="G14016" s="788">
        <v>40485</v>
      </c>
      <c r="H14016" s="787">
        <v>1</v>
      </c>
      <c r="I14016" s="788">
        <v>40504</v>
      </c>
      <c r="J14016" s="788">
        <v>40485</v>
      </c>
      <c r="L14016" s="787">
        <v>523.9</v>
      </c>
      <c r="M14016" s="787">
        <v>20</v>
      </c>
      <c r="N14016" s="787">
        <v>563.19000000000005</v>
      </c>
      <c r="O14016" s="788">
        <v>41858</v>
      </c>
    </row>
    <row r="14017" spans="1:15" x14ac:dyDescent="0.25">
      <c r="A14017" s="786" t="s">
        <v>25299</v>
      </c>
      <c r="B14017" s="787">
        <v>4</v>
      </c>
      <c r="C14017" s="787" t="s">
        <v>25300</v>
      </c>
      <c r="D14017" s="787">
        <v>5.76</v>
      </c>
      <c r="E14017" s="787">
        <v>589.16</v>
      </c>
      <c r="F14017" s="788">
        <v>41688</v>
      </c>
      <c r="G14017" s="788">
        <v>41800</v>
      </c>
      <c r="H14017" s="787">
        <v>1</v>
      </c>
      <c r="I14017" s="788">
        <v>41775</v>
      </c>
      <c r="J14017" s="788">
        <v>41774</v>
      </c>
      <c r="L14017" s="787">
        <v>587.29999999999995</v>
      </c>
      <c r="M14017" s="787">
        <v>20</v>
      </c>
      <c r="N14017" s="787">
        <v>631.35</v>
      </c>
      <c r="O14017" s="788">
        <v>41858</v>
      </c>
    </row>
    <row r="14018" spans="1:15" x14ac:dyDescent="0.25">
      <c r="A14018" s="786" t="s">
        <v>25301</v>
      </c>
      <c r="B14018" s="787">
        <v>4</v>
      </c>
      <c r="C14018" s="787" t="s">
        <v>25302</v>
      </c>
      <c r="D14018" s="787">
        <v>0</v>
      </c>
      <c r="E14018" s="787">
        <v>0</v>
      </c>
      <c r="H14018" s="787">
        <v>1</v>
      </c>
      <c r="L14018" s="787">
        <v>0</v>
      </c>
      <c r="M14018" s="787">
        <v>20</v>
      </c>
      <c r="N14018" s="787">
        <v>0</v>
      </c>
      <c r="O14018" s="788">
        <v>40824</v>
      </c>
    </row>
    <row r="14019" spans="1:15" x14ac:dyDescent="0.25">
      <c r="A14019" s="786" t="s">
        <v>25303</v>
      </c>
      <c r="B14019" s="787">
        <v>4</v>
      </c>
      <c r="C14019" s="787" t="s">
        <v>25304</v>
      </c>
      <c r="D14019" s="787">
        <v>0</v>
      </c>
      <c r="E14019" s="787">
        <v>0</v>
      </c>
      <c r="H14019" s="787">
        <v>1</v>
      </c>
      <c r="L14019" s="787">
        <v>0</v>
      </c>
      <c r="M14019" s="787">
        <v>20</v>
      </c>
      <c r="N14019" s="787">
        <v>0</v>
      </c>
      <c r="O14019" s="788">
        <v>40824</v>
      </c>
    </row>
    <row r="14020" spans="1:15" x14ac:dyDescent="0.25">
      <c r="A14020" s="786" t="s">
        <v>25305</v>
      </c>
      <c r="B14020" s="787">
        <v>4</v>
      </c>
      <c r="C14020" s="787" t="s">
        <v>25306</v>
      </c>
      <c r="D14020" s="787">
        <v>0</v>
      </c>
      <c r="E14020" s="787">
        <v>0</v>
      </c>
      <c r="H14020" s="787">
        <v>1</v>
      </c>
      <c r="L14020" s="787">
        <v>0</v>
      </c>
      <c r="M14020" s="787">
        <v>20</v>
      </c>
      <c r="N14020" s="787">
        <v>0</v>
      </c>
      <c r="O14020" s="788">
        <v>40824</v>
      </c>
    </row>
    <row r="14021" spans="1:15" x14ac:dyDescent="0.25">
      <c r="A14021" s="786" t="s">
        <v>25307</v>
      </c>
      <c r="B14021" s="787">
        <v>4</v>
      </c>
      <c r="C14021" s="787" t="s">
        <v>25308</v>
      </c>
      <c r="D14021" s="787">
        <v>1.18</v>
      </c>
      <c r="E14021" s="787">
        <v>518.47</v>
      </c>
      <c r="F14021" s="788">
        <v>41236</v>
      </c>
      <c r="G14021" s="788">
        <v>42088</v>
      </c>
      <c r="H14021" s="787">
        <v>1</v>
      </c>
      <c r="I14021" s="788">
        <v>42157</v>
      </c>
      <c r="J14021" s="788">
        <v>42088</v>
      </c>
      <c r="K14021" s="788">
        <v>42094</v>
      </c>
      <c r="L14021" s="787">
        <v>518.47</v>
      </c>
      <c r="M14021" s="787">
        <v>20</v>
      </c>
      <c r="N14021" s="787">
        <v>586.69000000000005</v>
      </c>
      <c r="O14021" s="788">
        <v>41991</v>
      </c>
    </row>
    <row r="14022" spans="1:15" x14ac:dyDescent="0.25">
      <c r="A14022" s="786" t="s">
        <v>25309</v>
      </c>
      <c r="B14022" s="787">
        <v>4</v>
      </c>
      <c r="C14022" s="787" t="s">
        <v>25310</v>
      </c>
      <c r="D14022" s="787">
        <v>7.3</v>
      </c>
      <c r="E14022" s="787">
        <v>619.16</v>
      </c>
      <c r="F14022" s="788">
        <v>40491</v>
      </c>
      <c r="G14022" s="788">
        <v>40931</v>
      </c>
      <c r="H14022" s="787">
        <v>1</v>
      </c>
      <c r="I14022" s="788">
        <v>42163</v>
      </c>
      <c r="J14022" s="788">
        <v>42158</v>
      </c>
      <c r="K14022" s="788">
        <v>40910</v>
      </c>
      <c r="L14022" s="787">
        <v>619.16</v>
      </c>
      <c r="M14022" s="787">
        <v>20</v>
      </c>
      <c r="N14022" s="787">
        <v>665.6</v>
      </c>
      <c r="O14022" s="788">
        <v>41858</v>
      </c>
    </row>
    <row r="14023" spans="1:15" x14ac:dyDescent="0.25">
      <c r="A14023" s="786" t="s">
        <v>25311</v>
      </c>
      <c r="B14023" s="787">
        <v>4</v>
      </c>
      <c r="C14023" s="787" t="s">
        <v>25312</v>
      </c>
      <c r="D14023" s="787">
        <v>5.76</v>
      </c>
      <c r="E14023" s="787">
        <v>673.11</v>
      </c>
      <c r="F14023" s="788">
        <v>40571</v>
      </c>
      <c r="G14023" s="788">
        <v>41850</v>
      </c>
      <c r="H14023" s="787">
        <v>1</v>
      </c>
      <c r="I14023" s="788">
        <v>41808</v>
      </c>
      <c r="J14023" s="788">
        <v>41808</v>
      </c>
      <c r="K14023" s="788">
        <v>41817</v>
      </c>
      <c r="L14023" s="787">
        <v>669.16</v>
      </c>
      <c r="M14023" s="787">
        <v>20</v>
      </c>
      <c r="N14023" s="787">
        <v>719.35</v>
      </c>
      <c r="O14023" s="788">
        <v>41858</v>
      </c>
    </row>
    <row r="14024" spans="1:15" x14ac:dyDescent="0.25">
      <c r="A14024" s="786" t="s">
        <v>25313</v>
      </c>
      <c r="B14024" s="787">
        <v>4</v>
      </c>
      <c r="C14024" s="787" t="s">
        <v>25314</v>
      </c>
      <c r="D14024" s="787">
        <v>0</v>
      </c>
      <c r="E14024" s="787">
        <v>0</v>
      </c>
      <c r="H14024" s="787">
        <v>1</v>
      </c>
      <c r="L14024" s="787">
        <v>0</v>
      </c>
      <c r="M14024" s="787">
        <v>20</v>
      </c>
      <c r="N14024" s="787">
        <v>0</v>
      </c>
      <c r="O14024" s="788">
        <v>40824</v>
      </c>
    </row>
    <row r="14025" spans="1:15" x14ac:dyDescent="0.25">
      <c r="A14025" s="786" t="s">
        <v>25315</v>
      </c>
      <c r="B14025" s="787">
        <v>4</v>
      </c>
      <c r="C14025" s="787" t="s">
        <v>25316</v>
      </c>
      <c r="D14025" s="787">
        <v>0</v>
      </c>
      <c r="E14025" s="787">
        <v>0</v>
      </c>
      <c r="H14025" s="787">
        <v>1</v>
      </c>
      <c r="L14025" s="787">
        <v>0</v>
      </c>
      <c r="M14025" s="787">
        <v>20</v>
      </c>
      <c r="N14025" s="787">
        <v>0</v>
      </c>
      <c r="O14025" s="788">
        <v>40824</v>
      </c>
    </row>
    <row r="14026" spans="1:15" x14ac:dyDescent="0.25">
      <c r="A14026" s="786" t="s">
        <v>25317</v>
      </c>
      <c r="B14026" s="787">
        <v>4</v>
      </c>
      <c r="C14026" s="787" t="s">
        <v>25318</v>
      </c>
      <c r="D14026" s="787">
        <v>0</v>
      </c>
      <c r="E14026" s="787">
        <v>0</v>
      </c>
      <c r="H14026" s="787">
        <v>1</v>
      </c>
      <c r="L14026" s="787">
        <v>0</v>
      </c>
      <c r="M14026" s="787">
        <v>20</v>
      </c>
      <c r="N14026" s="787">
        <v>0</v>
      </c>
      <c r="O14026" s="788">
        <v>40824</v>
      </c>
    </row>
    <row r="14027" spans="1:15" x14ac:dyDescent="0.25">
      <c r="A14027" s="786" t="s">
        <v>25319</v>
      </c>
      <c r="B14027" s="787">
        <v>4</v>
      </c>
      <c r="C14027" s="787" t="s">
        <v>25320</v>
      </c>
      <c r="D14027" s="787">
        <v>5.3</v>
      </c>
      <c r="E14027" s="787">
        <v>490.81</v>
      </c>
      <c r="F14027" s="788">
        <v>40450</v>
      </c>
      <c r="G14027" s="788">
        <v>41206</v>
      </c>
      <c r="H14027" s="787">
        <v>1</v>
      </c>
      <c r="I14027" s="788">
        <v>41010</v>
      </c>
      <c r="J14027" s="788">
        <v>41190</v>
      </c>
      <c r="L14027" s="787">
        <v>490.81</v>
      </c>
      <c r="M14027" s="787">
        <v>20</v>
      </c>
      <c r="N14027" s="787">
        <v>527.62</v>
      </c>
      <c r="O14027" s="788">
        <v>41858</v>
      </c>
    </row>
    <row r="14028" spans="1:15" x14ac:dyDescent="0.25">
      <c r="A14028" s="786" t="s">
        <v>25321</v>
      </c>
      <c r="B14028" s="787">
        <v>4</v>
      </c>
      <c r="C14028" s="787" t="s">
        <v>25322</v>
      </c>
      <c r="D14028" s="787">
        <v>4.26</v>
      </c>
      <c r="E14028" s="787">
        <v>414.26</v>
      </c>
      <c r="F14028" s="788">
        <v>40571</v>
      </c>
      <c r="G14028" s="788">
        <v>40571</v>
      </c>
      <c r="H14028" s="787">
        <v>1</v>
      </c>
      <c r="I14028" s="788">
        <v>40799</v>
      </c>
      <c r="J14028" s="788">
        <v>40752</v>
      </c>
      <c r="K14028" s="788">
        <v>41261</v>
      </c>
      <c r="L14028" s="787">
        <v>414.26</v>
      </c>
      <c r="M14028" s="787">
        <v>20</v>
      </c>
      <c r="N14028" s="787">
        <v>445.33</v>
      </c>
      <c r="O14028" s="788">
        <v>41858</v>
      </c>
    </row>
    <row r="14029" spans="1:15" x14ac:dyDescent="0.25">
      <c r="A14029" s="786" t="s">
        <v>25323</v>
      </c>
      <c r="B14029" s="787">
        <v>4</v>
      </c>
      <c r="C14029" s="787" t="s">
        <v>25324</v>
      </c>
      <c r="D14029" s="787">
        <v>9</v>
      </c>
      <c r="E14029" s="787">
        <v>739</v>
      </c>
      <c r="F14029" s="788">
        <v>41098</v>
      </c>
      <c r="G14029" s="788">
        <v>41892</v>
      </c>
      <c r="H14029" s="787">
        <v>6</v>
      </c>
      <c r="I14029" s="788">
        <v>42061</v>
      </c>
      <c r="J14029" s="788">
        <v>42032</v>
      </c>
      <c r="K14029" s="788">
        <v>41817</v>
      </c>
      <c r="L14029" s="787">
        <v>739</v>
      </c>
      <c r="M14029" s="787">
        <v>20</v>
      </c>
      <c r="N14029" s="787">
        <v>794.43</v>
      </c>
      <c r="O14029" s="788">
        <v>41858</v>
      </c>
    </row>
    <row r="14030" spans="1:15" x14ac:dyDescent="0.25">
      <c r="A14030" s="786" t="s">
        <v>25325</v>
      </c>
      <c r="B14030" s="787">
        <v>4</v>
      </c>
      <c r="C14030" s="787" t="s">
        <v>25326</v>
      </c>
      <c r="D14030" s="787">
        <v>8.0500000000000007</v>
      </c>
      <c r="E14030" s="787">
        <v>98.05</v>
      </c>
      <c r="F14030" s="788">
        <v>41351</v>
      </c>
      <c r="G14030" s="788">
        <v>41393</v>
      </c>
      <c r="H14030" s="787">
        <v>1</v>
      </c>
      <c r="J14030" s="788">
        <v>41372</v>
      </c>
      <c r="K14030" s="788">
        <v>41165</v>
      </c>
      <c r="L14030" s="787">
        <v>114.17</v>
      </c>
      <c r="M14030" s="787">
        <v>20</v>
      </c>
      <c r="N14030" s="787">
        <v>122.73</v>
      </c>
      <c r="O14030" s="788">
        <v>42164</v>
      </c>
    </row>
    <row r="14031" spans="1:15" x14ac:dyDescent="0.25">
      <c r="A14031" s="786" t="s">
        <v>25327</v>
      </c>
      <c r="B14031" s="787">
        <v>4</v>
      </c>
      <c r="C14031" s="787" t="s">
        <v>25328</v>
      </c>
      <c r="D14031" s="787">
        <v>0</v>
      </c>
      <c r="E14031" s="787">
        <v>0</v>
      </c>
      <c r="H14031" s="787">
        <v>1</v>
      </c>
      <c r="K14031" s="788">
        <v>41165</v>
      </c>
      <c r="L14031" s="787">
        <v>124.6</v>
      </c>
      <c r="M14031" s="787">
        <v>20</v>
      </c>
      <c r="N14031" s="787">
        <v>133.94999999999999</v>
      </c>
      <c r="O14031" s="788">
        <v>42164</v>
      </c>
    </row>
    <row r="14032" spans="1:15" x14ac:dyDescent="0.25">
      <c r="A14032" s="786" t="s">
        <v>25329</v>
      </c>
      <c r="B14032" s="787">
        <v>4</v>
      </c>
      <c r="C14032" s="787" t="s">
        <v>25330</v>
      </c>
      <c r="D14032" s="787">
        <v>9</v>
      </c>
      <c r="E14032" s="787">
        <v>419</v>
      </c>
      <c r="F14032" s="788">
        <v>40477</v>
      </c>
      <c r="G14032" s="788">
        <v>40479</v>
      </c>
      <c r="H14032" s="787">
        <v>1</v>
      </c>
      <c r="I14032" s="788">
        <v>41967</v>
      </c>
      <c r="J14032" s="788">
        <v>41963</v>
      </c>
      <c r="K14032" s="788">
        <v>41261</v>
      </c>
      <c r="L14032" s="787">
        <v>419</v>
      </c>
      <c r="M14032" s="787">
        <v>20</v>
      </c>
      <c r="N14032" s="787">
        <v>450.43</v>
      </c>
      <c r="O14032" s="788">
        <v>41858</v>
      </c>
    </row>
    <row r="14033" spans="1:15" x14ac:dyDescent="0.25">
      <c r="A14033" s="786" t="s">
        <v>25331</v>
      </c>
      <c r="B14033" s="787">
        <v>4</v>
      </c>
      <c r="C14033" s="787" t="s">
        <v>25332</v>
      </c>
      <c r="D14033" s="787">
        <v>6.25</v>
      </c>
      <c r="E14033" s="787">
        <v>146.25</v>
      </c>
      <c r="F14033" s="788">
        <v>41051</v>
      </c>
      <c r="G14033" s="788">
        <v>41052</v>
      </c>
      <c r="H14033" s="787">
        <v>1</v>
      </c>
      <c r="J14033" s="788">
        <v>41052</v>
      </c>
      <c r="K14033" s="788">
        <v>41039</v>
      </c>
      <c r="L14033" s="787">
        <v>146.25</v>
      </c>
      <c r="M14033" s="787">
        <v>20</v>
      </c>
      <c r="N14033" s="787">
        <v>157.22</v>
      </c>
      <c r="O14033" s="788">
        <v>41858</v>
      </c>
    </row>
    <row r="14034" spans="1:15" x14ac:dyDescent="0.25">
      <c r="A14034" s="786" t="s">
        <v>25333</v>
      </c>
      <c r="B14034" s="787">
        <v>4</v>
      </c>
      <c r="C14034" s="787" t="s">
        <v>25334</v>
      </c>
      <c r="D14034" s="787">
        <v>9.2899999999999991</v>
      </c>
      <c r="E14034" s="787">
        <v>9.2899999999999991</v>
      </c>
      <c r="F14034" s="788">
        <v>41500</v>
      </c>
      <c r="G14034" s="788">
        <v>41564</v>
      </c>
      <c r="H14034" s="787">
        <v>1</v>
      </c>
      <c r="I14034" s="788">
        <v>41506</v>
      </c>
      <c r="J14034" s="788">
        <v>41499</v>
      </c>
      <c r="K14034" s="788">
        <v>41485</v>
      </c>
      <c r="L14034" s="787">
        <v>5.45</v>
      </c>
      <c r="M14034" s="787">
        <v>20</v>
      </c>
      <c r="N14034" s="787">
        <v>5.86</v>
      </c>
      <c r="O14034" s="788">
        <v>41858</v>
      </c>
    </row>
    <row r="14035" spans="1:15" x14ac:dyDescent="0.25">
      <c r="A14035" s="786" t="s">
        <v>25335</v>
      </c>
      <c r="B14035" s="787">
        <v>4</v>
      </c>
      <c r="C14035" s="787" t="s">
        <v>25336</v>
      </c>
      <c r="D14035" s="787">
        <v>9.1999999999999993</v>
      </c>
      <c r="E14035" s="787">
        <v>109.2</v>
      </c>
      <c r="F14035" s="788">
        <v>41361</v>
      </c>
      <c r="G14035" s="788">
        <v>41355</v>
      </c>
      <c r="H14035" s="787">
        <v>1</v>
      </c>
      <c r="J14035" s="788">
        <v>41372</v>
      </c>
      <c r="K14035" s="788">
        <v>41102</v>
      </c>
      <c r="L14035" s="787">
        <v>109.2</v>
      </c>
      <c r="M14035" s="787">
        <v>20</v>
      </c>
      <c r="N14035" s="787">
        <v>117.39</v>
      </c>
      <c r="O14035" s="788">
        <v>41858</v>
      </c>
    </row>
    <row r="14036" spans="1:15" x14ac:dyDescent="0.25">
      <c r="A14036" s="786" t="s">
        <v>25337</v>
      </c>
      <c r="B14036" s="787">
        <v>4</v>
      </c>
      <c r="C14036" s="787" t="s">
        <v>25338</v>
      </c>
      <c r="D14036" s="787">
        <v>0</v>
      </c>
      <c r="E14036" s="787">
        <v>0</v>
      </c>
      <c r="H14036" s="787">
        <v>1</v>
      </c>
      <c r="K14036" s="788">
        <v>41102</v>
      </c>
      <c r="L14036" s="787">
        <v>108.6</v>
      </c>
      <c r="M14036" s="787">
        <v>20</v>
      </c>
      <c r="N14036" s="787">
        <v>116.75</v>
      </c>
      <c r="O14036" s="788">
        <v>41858</v>
      </c>
    </row>
    <row r="14037" spans="1:15" x14ac:dyDescent="0.25">
      <c r="A14037" s="786" t="s">
        <v>25339</v>
      </c>
      <c r="B14037" s="787">
        <v>4</v>
      </c>
      <c r="C14037" s="787" t="s">
        <v>25340</v>
      </c>
      <c r="D14037" s="787">
        <v>0</v>
      </c>
      <c r="E14037" s="787">
        <v>0</v>
      </c>
      <c r="H14037" s="787">
        <v>1</v>
      </c>
      <c r="I14037" s="788">
        <v>41758</v>
      </c>
      <c r="K14037" s="788">
        <v>41102</v>
      </c>
      <c r="L14037" s="787">
        <v>141.6</v>
      </c>
      <c r="M14037" s="787">
        <v>20</v>
      </c>
      <c r="N14037" s="787">
        <v>152.22</v>
      </c>
      <c r="O14037" s="788">
        <v>41858</v>
      </c>
    </row>
    <row r="14038" spans="1:15" x14ac:dyDescent="0.25">
      <c r="A14038" s="786" t="s">
        <v>25341</v>
      </c>
      <c r="B14038" s="787">
        <v>4</v>
      </c>
      <c r="C14038" s="787" t="s">
        <v>25342</v>
      </c>
      <c r="D14038" s="787">
        <v>0</v>
      </c>
      <c r="E14038" s="787">
        <v>0</v>
      </c>
      <c r="H14038" s="787">
        <v>1</v>
      </c>
      <c r="K14038" s="788">
        <v>41102</v>
      </c>
      <c r="L14038" s="787">
        <v>141</v>
      </c>
      <c r="M14038" s="787">
        <v>20</v>
      </c>
      <c r="N14038" s="787">
        <v>151.58000000000001</v>
      </c>
      <c r="O14038" s="788">
        <v>41858</v>
      </c>
    </row>
    <row r="14039" spans="1:15" x14ac:dyDescent="0.25">
      <c r="A14039" s="786" t="s">
        <v>25343</v>
      </c>
      <c r="B14039" s="787">
        <v>4</v>
      </c>
      <c r="C14039" s="787" t="s">
        <v>25344</v>
      </c>
      <c r="D14039" s="787">
        <v>0</v>
      </c>
      <c r="E14039" s="787">
        <v>0</v>
      </c>
      <c r="H14039" s="787">
        <v>1</v>
      </c>
      <c r="K14039" s="788">
        <v>41102</v>
      </c>
      <c r="L14039" s="787">
        <v>192.2</v>
      </c>
      <c r="M14039" s="787">
        <v>20</v>
      </c>
      <c r="N14039" s="787">
        <v>206.62</v>
      </c>
      <c r="O14039" s="788">
        <v>41858</v>
      </c>
    </row>
    <row r="14040" spans="1:15" x14ac:dyDescent="0.25">
      <c r="A14040" s="786" t="s">
        <v>25345</v>
      </c>
      <c r="B14040" s="787">
        <v>4</v>
      </c>
      <c r="C14040" s="787" t="s">
        <v>25344</v>
      </c>
      <c r="D14040" s="787">
        <v>0</v>
      </c>
      <c r="E14040" s="787">
        <v>0</v>
      </c>
      <c r="H14040" s="787">
        <v>1</v>
      </c>
      <c r="K14040" s="788">
        <v>41102</v>
      </c>
      <c r="L14040" s="787">
        <v>191.6</v>
      </c>
      <c r="M14040" s="787">
        <v>20</v>
      </c>
      <c r="N14040" s="787">
        <v>205.97</v>
      </c>
      <c r="O14040" s="788">
        <v>41858</v>
      </c>
    </row>
    <row r="14041" spans="1:15" x14ac:dyDescent="0.25">
      <c r="A14041" s="786" t="s">
        <v>25346</v>
      </c>
      <c r="B14041" s="787">
        <v>4</v>
      </c>
      <c r="C14041" s="787" t="s">
        <v>25347</v>
      </c>
      <c r="D14041" s="787">
        <v>0</v>
      </c>
      <c r="E14041" s="787">
        <v>0</v>
      </c>
      <c r="H14041" s="787">
        <v>1</v>
      </c>
      <c r="K14041" s="788">
        <v>41102</v>
      </c>
      <c r="L14041" s="787">
        <v>224.6</v>
      </c>
      <c r="M14041" s="787">
        <v>20</v>
      </c>
      <c r="N14041" s="787">
        <v>241.45</v>
      </c>
      <c r="O14041" s="788">
        <v>41858</v>
      </c>
    </row>
    <row r="14042" spans="1:15" x14ac:dyDescent="0.25">
      <c r="A14042" s="786" t="s">
        <v>25348</v>
      </c>
      <c r="B14042" s="787">
        <v>4</v>
      </c>
      <c r="C14042" s="787" t="s">
        <v>25347</v>
      </c>
      <c r="D14042" s="787">
        <v>0</v>
      </c>
      <c r="E14042" s="787">
        <v>0</v>
      </c>
      <c r="H14042" s="787">
        <v>1</v>
      </c>
      <c r="K14042" s="788">
        <v>41102</v>
      </c>
      <c r="L14042" s="787">
        <v>224</v>
      </c>
      <c r="M14042" s="787">
        <v>20</v>
      </c>
      <c r="N14042" s="787">
        <v>240.8</v>
      </c>
      <c r="O14042" s="788">
        <v>41858</v>
      </c>
    </row>
    <row r="14043" spans="1:15" x14ac:dyDescent="0.25">
      <c r="A14043" s="786" t="s">
        <v>25349</v>
      </c>
      <c r="B14043" s="787">
        <v>4</v>
      </c>
      <c r="C14043" s="787" t="s">
        <v>25350</v>
      </c>
      <c r="D14043" s="787">
        <v>0</v>
      </c>
      <c r="E14043" s="787">
        <v>0</v>
      </c>
      <c r="H14043" s="787">
        <v>1</v>
      </c>
      <c r="K14043" s="788">
        <v>41102</v>
      </c>
      <c r="L14043" s="787">
        <v>207.2</v>
      </c>
      <c r="M14043" s="787">
        <v>20</v>
      </c>
      <c r="N14043" s="787">
        <v>222.74</v>
      </c>
      <c r="O14043" s="788">
        <v>41858</v>
      </c>
    </row>
    <row r="14044" spans="1:15" x14ac:dyDescent="0.25">
      <c r="A14044" s="786" t="s">
        <v>25351</v>
      </c>
      <c r="B14044" s="787">
        <v>4</v>
      </c>
      <c r="C14044" s="787" t="s">
        <v>25350</v>
      </c>
      <c r="D14044" s="787">
        <v>0</v>
      </c>
      <c r="E14044" s="787">
        <v>0</v>
      </c>
      <c r="H14044" s="787">
        <v>1</v>
      </c>
      <c r="K14044" s="788">
        <v>41102</v>
      </c>
      <c r="L14044" s="787">
        <v>206.6</v>
      </c>
      <c r="M14044" s="787">
        <v>20</v>
      </c>
      <c r="N14044" s="787">
        <v>222.1</v>
      </c>
      <c r="O14044" s="788">
        <v>41858</v>
      </c>
    </row>
    <row r="14045" spans="1:15" x14ac:dyDescent="0.25">
      <c r="A14045" s="786" t="s">
        <v>25352</v>
      </c>
      <c r="B14045" s="787">
        <v>4</v>
      </c>
      <c r="C14045" s="787" t="s">
        <v>25353</v>
      </c>
      <c r="D14045" s="787">
        <v>0</v>
      </c>
      <c r="E14045" s="787">
        <v>0</v>
      </c>
      <c r="H14045" s="787">
        <v>1</v>
      </c>
      <c r="K14045" s="788">
        <v>41102</v>
      </c>
      <c r="L14045" s="787">
        <v>239.6</v>
      </c>
      <c r="M14045" s="787">
        <v>20</v>
      </c>
      <c r="N14045" s="787">
        <v>257.57</v>
      </c>
      <c r="O14045" s="788">
        <v>41858</v>
      </c>
    </row>
    <row r="14046" spans="1:15" x14ac:dyDescent="0.25">
      <c r="A14046" s="786" t="s">
        <v>25354</v>
      </c>
      <c r="B14046" s="787">
        <v>4</v>
      </c>
      <c r="C14046" s="787" t="s">
        <v>25353</v>
      </c>
      <c r="D14046" s="787">
        <v>0</v>
      </c>
      <c r="E14046" s="787">
        <v>0</v>
      </c>
      <c r="H14046" s="787">
        <v>1</v>
      </c>
      <c r="K14046" s="788">
        <v>41102</v>
      </c>
      <c r="L14046" s="787">
        <v>239</v>
      </c>
      <c r="M14046" s="787">
        <v>20</v>
      </c>
      <c r="N14046" s="787">
        <v>256.93</v>
      </c>
      <c r="O14046" s="788">
        <v>41858</v>
      </c>
    </row>
    <row r="14047" spans="1:15" x14ac:dyDescent="0.25">
      <c r="A14047" s="786" t="s">
        <v>25355</v>
      </c>
      <c r="B14047" s="787">
        <v>4</v>
      </c>
      <c r="C14047" s="787" t="s">
        <v>25340</v>
      </c>
      <c r="D14047" s="787">
        <v>0</v>
      </c>
      <c r="E14047" s="787">
        <v>0</v>
      </c>
      <c r="H14047" s="787">
        <v>6</v>
      </c>
      <c r="K14047" s="788">
        <v>41102</v>
      </c>
      <c r="L14047" s="787">
        <v>132</v>
      </c>
      <c r="M14047" s="787">
        <v>20</v>
      </c>
      <c r="N14047" s="787">
        <v>141.9</v>
      </c>
      <c r="O14047" s="788">
        <v>41543</v>
      </c>
    </row>
    <row r="14048" spans="1:15" x14ac:dyDescent="0.25">
      <c r="A14048" s="786" t="s">
        <v>25356</v>
      </c>
      <c r="B14048" s="787">
        <v>4</v>
      </c>
      <c r="C14048" s="787" t="s">
        <v>25347</v>
      </c>
      <c r="D14048" s="787">
        <v>0</v>
      </c>
      <c r="E14048" s="787">
        <v>0</v>
      </c>
      <c r="H14048" s="787">
        <v>1</v>
      </c>
      <c r="K14048" s="788">
        <v>41102</v>
      </c>
      <c r="L14048" s="787">
        <v>215</v>
      </c>
      <c r="M14048" s="787">
        <v>20</v>
      </c>
      <c r="N14048" s="787">
        <v>231.13</v>
      </c>
      <c r="O14048" s="788">
        <v>41858</v>
      </c>
    </row>
    <row r="14049" spans="1:15" x14ac:dyDescent="0.25">
      <c r="A14049" s="786" t="s">
        <v>25357</v>
      </c>
      <c r="B14049" s="787">
        <v>4</v>
      </c>
      <c r="C14049" s="787" t="s">
        <v>25353</v>
      </c>
      <c r="D14049" s="787">
        <v>0</v>
      </c>
      <c r="E14049" s="787">
        <v>0</v>
      </c>
      <c r="H14049" s="787">
        <v>1</v>
      </c>
      <c r="K14049" s="788">
        <v>41102</v>
      </c>
      <c r="L14049" s="787">
        <v>230</v>
      </c>
      <c r="M14049" s="787">
        <v>20</v>
      </c>
      <c r="N14049" s="787">
        <v>247.25</v>
      </c>
      <c r="O14049" s="788">
        <v>41858</v>
      </c>
    </row>
    <row r="14050" spans="1:15" x14ac:dyDescent="0.25">
      <c r="A14050" s="786" t="s">
        <v>25358</v>
      </c>
      <c r="B14050" s="787">
        <v>4</v>
      </c>
      <c r="C14050" s="787" t="s">
        <v>25359</v>
      </c>
      <c r="D14050" s="787">
        <v>8.0500000000000007</v>
      </c>
      <c r="E14050" s="787">
        <v>98.05</v>
      </c>
      <c r="F14050" s="788">
        <v>41361</v>
      </c>
      <c r="G14050" s="788">
        <v>41355</v>
      </c>
      <c r="H14050" s="787">
        <v>1</v>
      </c>
      <c r="I14050" s="788">
        <v>42143</v>
      </c>
      <c r="J14050" s="788">
        <v>41584</v>
      </c>
      <c r="K14050" s="788">
        <v>41102</v>
      </c>
      <c r="L14050" s="787">
        <v>98.05</v>
      </c>
      <c r="M14050" s="787">
        <v>20</v>
      </c>
      <c r="N14050" s="787">
        <v>105.4</v>
      </c>
      <c r="O14050" s="788">
        <v>42164</v>
      </c>
    </row>
    <row r="14051" spans="1:15" x14ac:dyDescent="0.25">
      <c r="A14051" s="786" t="s">
        <v>25360</v>
      </c>
      <c r="B14051" s="787">
        <v>4</v>
      </c>
      <c r="C14051" s="787" t="s">
        <v>25361</v>
      </c>
      <c r="D14051" s="787">
        <v>0</v>
      </c>
      <c r="E14051" s="787">
        <v>0</v>
      </c>
      <c r="H14051" s="787">
        <v>1</v>
      </c>
      <c r="K14051" s="788">
        <v>41102</v>
      </c>
      <c r="L14051" s="787">
        <v>181.35</v>
      </c>
      <c r="M14051" s="787">
        <v>20</v>
      </c>
      <c r="N14051" s="787">
        <v>194.95</v>
      </c>
      <c r="O14051" s="788">
        <v>41858</v>
      </c>
    </row>
    <row r="14052" spans="1:15" x14ac:dyDescent="0.25">
      <c r="A14052" s="786" t="s">
        <v>25362</v>
      </c>
      <c r="B14052" s="787">
        <v>4</v>
      </c>
      <c r="C14052" s="787" t="s">
        <v>25363</v>
      </c>
      <c r="D14052" s="787">
        <v>0</v>
      </c>
      <c r="E14052" s="787">
        <v>0</v>
      </c>
      <c r="H14052" s="787">
        <v>1</v>
      </c>
      <c r="K14052" s="788">
        <v>41102</v>
      </c>
      <c r="L14052" s="787">
        <v>196.35</v>
      </c>
      <c r="M14052" s="787">
        <v>20</v>
      </c>
      <c r="N14052" s="787">
        <v>211.08</v>
      </c>
      <c r="O14052" s="788">
        <v>41858</v>
      </c>
    </row>
    <row r="14053" spans="1:15" x14ac:dyDescent="0.25">
      <c r="A14053" s="786" t="s">
        <v>25364</v>
      </c>
      <c r="B14053" s="787">
        <v>4</v>
      </c>
      <c r="C14053" s="787" t="s">
        <v>25365</v>
      </c>
      <c r="D14053" s="787">
        <v>0</v>
      </c>
      <c r="E14053" s="787">
        <v>0</v>
      </c>
      <c r="H14053" s="787">
        <v>1</v>
      </c>
      <c r="K14053" s="788">
        <v>41359</v>
      </c>
      <c r="L14053" s="787">
        <v>2.5</v>
      </c>
      <c r="M14053" s="787">
        <v>20</v>
      </c>
      <c r="N14053" s="787">
        <v>2.69</v>
      </c>
      <c r="O14053" s="788">
        <v>41858</v>
      </c>
    </row>
    <row r="14054" spans="1:15" x14ac:dyDescent="0.25">
      <c r="A14054" s="786" t="s">
        <v>25366</v>
      </c>
      <c r="B14054" s="787">
        <v>4</v>
      </c>
      <c r="C14054" s="787" t="s">
        <v>25367</v>
      </c>
      <c r="D14054" s="787">
        <v>0</v>
      </c>
      <c r="E14054" s="787">
        <v>0</v>
      </c>
      <c r="H14054" s="787">
        <v>1</v>
      </c>
      <c r="K14054" s="788">
        <v>41359</v>
      </c>
      <c r="L14054" s="787">
        <v>2.5</v>
      </c>
      <c r="M14054" s="787">
        <v>20</v>
      </c>
      <c r="N14054" s="787">
        <v>2.69</v>
      </c>
      <c r="O14054" s="788">
        <v>41858</v>
      </c>
    </row>
    <row r="14055" spans="1:15" x14ac:dyDescent="0.25">
      <c r="A14055" s="786" t="s">
        <v>25368</v>
      </c>
      <c r="B14055" s="787">
        <v>4</v>
      </c>
      <c r="C14055" s="787" t="s">
        <v>25369</v>
      </c>
      <c r="D14055" s="787">
        <v>7.6</v>
      </c>
      <c r="E14055" s="787">
        <v>27.6</v>
      </c>
      <c r="F14055" s="788">
        <v>41487</v>
      </c>
      <c r="G14055" s="788">
        <v>41513</v>
      </c>
      <c r="H14055" s="787">
        <v>1</v>
      </c>
      <c r="I14055" s="788">
        <v>42144</v>
      </c>
      <c r="J14055" s="788">
        <v>42137</v>
      </c>
      <c r="K14055" s="788">
        <v>41597</v>
      </c>
      <c r="L14055" s="787">
        <v>27.6</v>
      </c>
      <c r="M14055" s="787">
        <v>20</v>
      </c>
      <c r="N14055" s="787">
        <v>29.67</v>
      </c>
      <c r="O14055" s="788">
        <v>41949</v>
      </c>
    </row>
    <row r="14056" spans="1:15" x14ac:dyDescent="0.25">
      <c r="A14056" s="786" t="s">
        <v>25370</v>
      </c>
      <c r="B14056" s="787">
        <v>4</v>
      </c>
      <c r="C14056" s="787" t="s">
        <v>25371</v>
      </c>
      <c r="D14056" s="787">
        <v>6.83</v>
      </c>
      <c r="E14056" s="787">
        <v>426.83</v>
      </c>
      <c r="F14056" s="788">
        <v>41914</v>
      </c>
      <c r="G14056" s="788">
        <v>41922</v>
      </c>
      <c r="H14056" s="787">
        <v>1</v>
      </c>
      <c r="I14056" s="788">
        <v>41920</v>
      </c>
      <c r="J14056" s="788">
        <v>41920</v>
      </c>
      <c r="K14056" s="788">
        <v>41918</v>
      </c>
      <c r="L14056" s="787">
        <v>426.83</v>
      </c>
      <c r="M14056" s="787">
        <v>20</v>
      </c>
      <c r="N14056" s="787">
        <v>271.10000000000002</v>
      </c>
      <c r="O14056" s="788">
        <v>41858</v>
      </c>
    </row>
    <row r="14057" spans="1:15" x14ac:dyDescent="0.25">
      <c r="A14057" s="786" t="s">
        <v>25372</v>
      </c>
      <c r="B14057" s="787">
        <v>4</v>
      </c>
      <c r="C14057" s="787" t="s">
        <v>25373</v>
      </c>
      <c r="D14057" s="787">
        <v>4.25</v>
      </c>
      <c r="E14057" s="787">
        <v>934.25</v>
      </c>
      <c r="F14057" s="788">
        <v>41547</v>
      </c>
      <c r="G14057" s="788">
        <v>41558</v>
      </c>
      <c r="H14057" s="787">
        <v>1</v>
      </c>
      <c r="I14057" s="788">
        <v>41537</v>
      </c>
      <c r="J14057" s="788">
        <v>41537</v>
      </c>
      <c r="K14057" s="788">
        <v>41493</v>
      </c>
      <c r="L14057" s="787">
        <v>934.25</v>
      </c>
      <c r="M14057" s="787">
        <v>20</v>
      </c>
      <c r="N14057" s="789">
        <v>1004.32</v>
      </c>
      <c r="O14057" s="788">
        <v>41858</v>
      </c>
    </row>
    <row r="14058" spans="1:15" x14ac:dyDescent="0.25">
      <c r="A14058" s="786" t="s">
        <v>25374</v>
      </c>
      <c r="B14058" s="787">
        <v>4</v>
      </c>
      <c r="C14058" s="787" t="s">
        <v>25375</v>
      </c>
      <c r="D14058" s="787">
        <v>2</v>
      </c>
      <c r="E14058" s="787">
        <v>532</v>
      </c>
      <c r="F14058" s="788">
        <v>41751</v>
      </c>
      <c r="G14058" s="788">
        <v>41621</v>
      </c>
      <c r="H14058" s="787">
        <v>1</v>
      </c>
      <c r="I14058" s="788">
        <v>41738</v>
      </c>
      <c r="J14058" s="788">
        <v>41738</v>
      </c>
      <c r="K14058" s="788">
        <v>41494</v>
      </c>
      <c r="L14058" s="787">
        <v>532</v>
      </c>
      <c r="M14058" s="787">
        <v>20</v>
      </c>
      <c r="N14058" s="787">
        <v>571.9</v>
      </c>
      <c r="O14058" s="788">
        <v>41858</v>
      </c>
    </row>
    <row r="14059" spans="1:15" x14ac:dyDescent="0.25">
      <c r="A14059" s="786" t="s">
        <v>25376</v>
      </c>
      <c r="B14059" s="787">
        <v>4</v>
      </c>
      <c r="C14059" s="787" t="s">
        <v>25377</v>
      </c>
      <c r="D14059" s="787">
        <v>5</v>
      </c>
      <c r="E14059" s="787">
        <v>257.89</v>
      </c>
      <c r="F14059" s="788">
        <v>41540</v>
      </c>
      <c r="G14059" s="788">
        <v>42103</v>
      </c>
      <c r="H14059" s="787">
        <v>1</v>
      </c>
      <c r="I14059" s="788">
        <v>42123</v>
      </c>
      <c r="J14059" s="788">
        <v>42165</v>
      </c>
      <c r="K14059" s="788">
        <v>41932</v>
      </c>
      <c r="L14059" s="787">
        <v>257.89</v>
      </c>
      <c r="M14059" s="787">
        <v>20</v>
      </c>
      <c r="N14059" s="787">
        <v>277.23</v>
      </c>
      <c r="O14059" s="788">
        <v>42127</v>
      </c>
    </row>
    <row r="14060" spans="1:15" x14ac:dyDescent="0.25">
      <c r="A14060" s="786" t="s">
        <v>25378</v>
      </c>
      <c r="B14060" s="787">
        <v>4</v>
      </c>
      <c r="C14060" s="787" t="s">
        <v>25379</v>
      </c>
      <c r="D14060" s="787">
        <v>0</v>
      </c>
      <c r="E14060" s="787">
        <v>0</v>
      </c>
      <c r="H14060" s="787">
        <v>1</v>
      </c>
      <c r="K14060" s="788">
        <v>41526</v>
      </c>
      <c r="L14060" s="789">
        <v>3000</v>
      </c>
      <c r="M14060" s="787">
        <v>20</v>
      </c>
      <c r="N14060" s="789">
        <v>3225</v>
      </c>
      <c r="O14060" s="788">
        <v>41858</v>
      </c>
    </row>
    <row r="14061" spans="1:15" x14ac:dyDescent="0.25">
      <c r="A14061" s="786" t="s">
        <v>25380</v>
      </c>
      <c r="B14061" s="787">
        <v>4</v>
      </c>
      <c r="C14061" s="787" t="s">
        <v>25381</v>
      </c>
      <c r="D14061" s="787">
        <v>3.65</v>
      </c>
      <c r="E14061" s="787">
        <v>123.65</v>
      </c>
      <c r="F14061" s="788">
        <v>41838</v>
      </c>
      <c r="G14061" s="788">
        <v>41943</v>
      </c>
      <c r="H14061" s="787">
        <v>1</v>
      </c>
      <c r="I14061" s="788">
        <v>41935</v>
      </c>
      <c r="J14061" s="788">
        <v>41842</v>
      </c>
      <c r="K14061" s="788">
        <v>41520</v>
      </c>
      <c r="L14061" s="787">
        <v>136.47</v>
      </c>
      <c r="M14061" s="787">
        <v>20</v>
      </c>
      <c r="N14061" s="787">
        <v>146.71</v>
      </c>
      <c r="O14061" s="788">
        <v>41858</v>
      </c>
    </row>
    <row r="14062" spans="1:15" x14ac:dyDescent="0.25">
      <c r="A14062" s="786" t="s">
        <v>25382</v>
      </c>
      <c r="B14062" s="787">
        <v>4</v>
      </c>
      <c r="C14062" s="787" t="s">
        <v>25383</v>
      </c>
      <c r="D14062" s="787">
        <v>5</v>
      </c>
      <c r="E14062" s="787">
        <v>35</v>
      </c>
      <c r="F14062" s="788">
        <v>41812</v>
      </c>
      <c r="G14062" s="788">
        <v>41796</v>
      </c>
      <c r="H14062" s="787">
        <v>1</v>
      </c>
      <c r="I14062" s="788">
        <v>41808</v>
      </c>
      <c r="J14062" s="788">
        <v>41802</v>
      </c>
      <c r="K14062" s="788">
        <v>41571</v>
      </c>
      <c r="L14062" s="787">
        <v>35</v>
      </c>
      <c r="M14062" s="787">
        <v>20</v>
      </c>
      <c r="N14062" s="787">
        <v>37.630000000000003</v>
      </c>
      <c r="O14062" s="788">
        <v>41858</v>
      </c>
    </row>
    <row r="14063" spans="1:15" x14ac:dyDescent="0.25">
      <c r="A14063" s="786" t="s">
        <v>25384</v>
      </c>
      <c r="B14063" s="787">
        <v>4</v>
      </c>
      <c r="C14063" s="787" t="s">
        <v>25385</v>
      </c>
      <c r="D14063" s="787">
        <v>7.89</v>
      </c>
      <c r="E14063" s="787">
        <v>257.89</v>
      </c>
      <c r="F14063" s="788">
        <v>41991</v>
      </c>
      <c r="G14063" s="788">
        <v>42156</v>
      </c>
      <c r="H14063" s="787">
        <v>1</v>
      </c>
      <c r="I14063" s="788">
        <v>42163</v>
      </c>
      <c r="J14063" s="788">
        <v>42137</v>
      </c>
      <c r="K14063" s="788">
        <v>41572</v>
      </c>
      <c r="L14063" s="787">
        <v>245</v>
      </c>
      <c r="M14063" s="787">
        <v>20</v>
      </c>
      <c r="N14063" s="787">
        <v>263.38</v>
      </c>
      <c r="O14063" s="788">
        <v>42164</v>
      </c>
    </row>
    <row r="14064" spans="1:15" x14ac:dyDescent="0.25">
      <c r="A14064" s="786" t="s">
        <v>25386</v>
      </c>
      <c r="B14064" s="787">
        <v>4</v>
      </c>
      <c r="C14064" s="787" t="s">
        <v>25387</v>
      </c>
      <c r="D14064" s="787">
        <v>0</v>
      </c>
      <c r="E14064" s="787">
        <v>83</v>
      </c>
      <c r="F14064" s="788">
        <v>41688</v>
      </c>
      <c r="G14064" s="788">
        <v>42081</v>
      </c>
      <c r="H14064" s="787">
        <v>1</v>
      </c>
      <c r="I14064" s="788">
        <v>42055</v>
      </c>
      <c r="J14064" s="788">
        <v>42060</v>
      </c>
      <c r="K14064" s="788">
        <v>42066</v>
      </c>
      <c r="L14064" s="787">
        <v>83</v>
      </c>
      <c r="M14064" s="787">
        <v>20</v>
      </c>
      <c r="N14064" s="787">
        <v>89.23</v>
      </c>
      <c r="O14064" s="788">
        <v>42164</v>
      </c>
    </row>
    <row r="14065" spans="1:15" x14ac:dyDescent="0.25">
      <c r="A14065" s="786" t="s">
        <v>25388</v>
      </c>
      <c r="B14065" s="787">
        <v>4</v>
      </c>
      <c r="C14065" s="787" t="s">
        <v>25389</v>
      </c>
      <c r="D14065" s="787">
        <v>0</v>
      </c>
      <c r="E14065" s="787">
        <v>77.5</v>
      </c>
      <c r="H14065" s="787">
        <v>1</v>
      </c>
      <c r="K14065" s="788">
        <v>41610</v>
      </c>
      <c r="L14065" s="787">
        <v>77.5</v>
      </c>
      <c r="M14065" s="787">
        <v>20</v>
      </c>
      <c r="N14065" s="787">
        <v>83.31</v>
      </c>
      <c r="O14065" s="788">
        <v>41858</v>
      </c>
    </row>
    <row r="14066" spans="1:15" x14ac:dyDescent="0.25">
      <c r="A14066" s="786" t="s">
        <v>25390</v>
      </c>
      <c r="B14066" s="787">
        <v>4</v>
      </c>
      <c r="C14066" s="787" t="s">
        <v>25391</v>
      </c>
      <c r="D14066" s="787">
        <v>9.5500000000000007</v>
      </c>
      <c r="E14066" s="787">
        <v>169.55</v>
      </c>
      <c r="F14066" s="788">
        <v>41838</v>
      </c>
      <c r="G14066" s="788">
        <v>41822</v>
      </c>
      <c r="H14066" s="787">
        <v>1</v>
      </c>
      <c r="I14066" s="788">
        <v>42151</v>
      </c>
      <c r="J14066" s="788">
        <v>42151</v>
      </c>
      <c r="K14066" s="788">
        <v>41855</v>
      </c>
      <c r="L14066" s="787">
        <v>169.55</v>
      </c>
      <c r="M14066" s="787">
        <v>20</v>
      </c>
      <c r="N14066" s="787">
        <v>182.27</v>
      </c>
      <c r="O14066" s="788">
        <v>41858</v>
      </c>
    </row>
    <row r="14067" spans="1:15" x14ac:dyDescent="0.25">
      <c r="A14067" s="786" t="s">
        <v>25392</v>
      </c>
      <c r="B14067" s="787">
        <v>4</v>
      </c>
      <c r="C14067" s="787" t="s">
        <v>25393</v>
      </c>
      <c r="D14067" s="787">
        <v>9</v>
      </c>
      <c r="E14067" s="787">
        <v>129</v>
      </c>
      <c r="F14067" s="788">
        <v>41812</v>
      </c>
      <c r="G14067" s="788">
        <v>41802</v>
      </c>
      <c r="H14067" s="787">
        <v>1</v>
      </c>
      <c r="I14067" s="788">
        <v>42033</v>
      </c>
      <c r="J14067" s="788">
        <v>42032</v>
      </c>
      <c r="K14067" s="788">
        <v>41723</v>
      </c>
      <c r="L14067" s="787">
        <v>129</v>
      </c>
      <c r="M14067" s="787">
        <v>20</v>
      </c>
      <c r="N14067" s="787">
        <v>138.68</v>
      </c>
      <c r="O14067" s="788">
        <v>41858</v>
      </c>
    </row>
    <row r="14068" spans="1:15" x14ac:dyDescent="0.25">
      <c r="A14068" s="786" t="s">
        <v>25394</v>
      </c>
      <c r="B14068" s="787">
        <v>4</v>
      </c>
      <c r="C14068" s="787" t="s">
        <v>25395</v>
      </c>
      <c r="D14068" s="787">
        <v>6</v>
      </c>
      <c r="E14068" s="787">
        <v>116</v>
      </c>
      <c r="F14068" s="788">
        <v>41789</v>
      </c>
      <c r="G14068" s="788">
        <v>41752</v>
      </c>
      <c r="H14068" s="787">
        <v>1</v>
      </c>
      <c r="I14068" s="788">
        <v>41834</v>
      </c>
      <c r="J14068" s="788">
        <v>41794</v>
      </c>
      <c r="K14068" s="788">
        <v>41723</v>
      </c>
      <c r="L14068" s="787">
        <v>116</v>
      </c>
      <c r="M14068" s="787">
        <v>20</v>
      </c>
      <c r="N14068" s="787">
        <v>124.7</v>
      </c>
      <c r="O14068" s="788">
        <v>41858</v>
      </c>
    </row>
    <row r="14069" spans="1:15" x14ac:dyDescent="0.25">
      <c r="A14069" s="786" t="s">
        <v>25396</v>
      </c>
      <c r="B14069" s="787">
        <v>4</v>
      </c>
      <c r="C14069" s="787" t="s">
        <v>25397</v>
      </c>
      <c r="D14069" s="787">
        <v>0</v>
      </c>
      <c r="E14069" s="787">
        <v>0</v>
      </c>
      <c r="H14069" s="787">
        <v>1</v>
      </c>
      <c r="K14069" s="788">
        <v>41723</v>
      </c>
      <c r="L14069" s="787">
        <v>41</v>
      </c>
      <c r="M14069" s="787">
        <v>20</v>
      </c>
      <c r="N14069" s="787">
        <v>44.08</v>
      </c>
      <c r="O14069" s="788">
        <v>41858</v>
      </c>
    </row>
    <row r="14070" spans="1:15" x14ac:dyDescent="0.25">
      <c r="A14070" s="786" t="s">
        <v>25398</v>
      </c>
      <c r="B14070" s="787">
        <v>4</v>
      </c>
      <c r="C14070" s="787" t="s">
        <v>25399</v>
      </c>
      <c r="D14070" s="787">
        <v>6</v>
      </c>
      <c r="E14070" s="787">
        <v>237.92</v>
      </c>
      <c r="F14070" s="788">
        <v>41751</v>
      </c>
      <c r="G14070" s="788">
        <v>41885</v>
      </c>
      <c r="H14070" s="787">
        <v>1</v>
      </c>
      <c r="I14070" s="788">
        <v>42136</v>
      </c>
      <c r="J14070" s="788">
        <v>42132</v>
      </c>
      <c r="K14070" s="788">
        <v>41883</v>
      </c>
      <c r="L14070" s="787">
        <v>237.92</v>
      </c>
      <c r="M14070" s="787">
        <v>20</v>
      </c>
      <c r="N14070" s="787">
        <v>255.76</v>
      </c>
      <c r="O14070" s="788">
        <v>41991</v>
      </c>
    </row>
    <row r="14071" spans="1:15" x14ac:dyDescent="0.25">
      <c r="A14071" s="786" t="s">
        <v>25400</v>
      </c>
      <c r="B14071" s="787">
        <v>4</v>
      </c>
      <c r="C14071" s="787" t="s">
        <v>25401</v>
      </c>
      <c r="D14071" s="787">
        <v>8.6</v>
      </c>
      <c r="E14071" s="787">
        <v>8.6</v>
      </c>
      <c r="F14071" s="788">
        <v>41789</v>
      </c>
      <c r="G14071" s="788">
        <v>41781</v>
      </c>
      <c r="H14071" s="787">
        <v>1</v>
      </c>
      <c r="I14071" s="788">
        <v>41800</v>
      </c>
      <c r="J14071" s="788">
        <v>41781</v>
      </c>
      <c r="K14071" s="788">
        <v>41772</v>
      </c>
      <c r="L14071" s="787">
        <v>8.6</v>
      </c>
      <c r="M14071" s="787">
        <v>20</v>
      </c>
      <c r="N14071" s="787">
        <v>9.25</v>
      </c>
      <c r="O14071" s="788">
        <v>41858</v>
      </c>
    </row>
    <row r="14072" spans="1:15" x14ac:dyDescent="0.25">
      <c r="A14072" s="786" t="s">
        <v>25402</v>
      </c>
      <c r="B14072" s="787">
        <v>4</v>
      </c>
      <c r="C14072" s="787" t="s">
        <v>25403</v>
      </c>
      <c r="D14072" s="787">
        <v>7.22</v>
      </c>
      <c r="E14072" s="787">
        <v>144.44</v>
      </c>
      <c r="F14072" s="788">
        <v>42079</v>
      </c>
      <c r="G14072" s="788">
        <v>42156</v>
      </c>
      <c r="H14072" s="787">
        <v>1</v>
      </c>
      <c r="I14072" s="788">
        <v>42156</v>
      </c>
      <c r="J14072" s="788">
        <v>42151</v>
      </c>
      <c r="K14072" s="788">
        <v>41774</v>
      </c>
      <c r="L14072" s="787">
        <v>144.44</v>
      </c>
      <c r="M14072" s="787">
        <v>20</v>
      </c>
      <c r="N14072" s="787">
        <v>155.27000000000001</v>
      </c>
      <c r="O14072" s="788">
        <v>42164</v>
      </c>
    </row>
    <row r="14073" spans="1:15" x14ac:dyDescent="0.25">
      <c r="A14073" s="786" t="s">
        <v>25404</v>
      </c>
      <c r="B14073" s="787">
        <v>4</v>
      </c>
      <c r="C14073" s="787" t="s">
        <v>25405</v>
      </c>
      <c r="D14073" s="787">
        <v>8</v>
      </c>
      <c r="E14073" s="787">
        <v>368</v>
      </c>
      <c r="F14073" s="788">
        <v>41901</v>
      </c>
      <c r="G14073" s="788">
        <v>41886</v>
      </c>
      <c r="H14073" s="787">
        <v>1</v>
      </c>
      <c r="I14073" s="788">
        <v>42166</v>
      </c>
      <c r="J14073" s="788">
        <v>42165</v>
      </c>
      <c r="K14073" s="788">
        <v>41774</v>
      </c>
      <c r="L14073" s="787">
        <v>368</v>
      </c>
      <c r="M14073" s="787">
        <v>20</v>
      </c>
      <c r="N14073" s="787">
        <v>395.6</v>
      </c>
      <c r="O14073" s="788">
        <v>42111</v>
      </c>
    </row>
    <row r="14074" spans="1:15" x14ac:dyDescent="0.25">
      <c r="A14074" s="786" t="s">
        <v>25406</v>
      </c>
      <c r="B14074" s="787">
        <v>4</v>
      </c>
      <c r="C14074" s="787" t="s">
        <v>25407</v>
      </c>
      <c r="D14074" s="787">
        <v>4.45</v>
      </c>
      <c r="E14074" s="787">
        <v>114.45</v>
      </c>
      <c r="F14074" s="788">
        <v>41943</v>
      </c>
      <c r="G14074" s="788">
        <v>41932</v>
      </c>
      <c r="H14074" s="787">
        <v>1</v>
      </c>
      <c r="I14074" s="788">
        <v>41932</v>
      </c>
      <c r="J14074" s="788">
        <v>41942</v>
      </c>
      <c r="K14074" s="788">
        <v>41932</v>
      </c>
      <c r="L14074" s="787">
        <v>114.45</v>
      </c>
      <c r="M14074" s="787">
        <v>20</v>
      </c>
      <c r="N14074" s="787">
        <v>123.03</v>
      </c>
      <c r="O14074" s="788">
        <v>41932</v>
      </c>
    </row>
    <row r="14075" spans="1:15" x14ac:dyDescent="0.25">
      <c r="A14075" s="786" t="s">
        <v>25408</v>
      </c>
      <c r="B14075" s="787">
        <v>4</v>
      </c>
      <c r="C14075" s="787" t="s">
        <v>25409</v>
      </c>
      <c r="D14075" s="787">
        <v>6.89</v>
      </c>
      <c r="E14075" s="787">
        <v>66.89</v>
      </c>
      <c r="F14075" s="788">
        <v>41970</v>
      </c>
      <c r="G14075" s="788">
        <v>41964</v>
      </c>
      <c r="H14075" s="787">
        <v>1</v>
      </c>
      <c r="I14075" s="788">
        <v>42157</v>
      </c>
      <c r="J14075" s="788">
        <v>41964</v>
      </c>
      <c r="K14075" s="788">
        <v>41866</v>
      </c>
      <c r="L14075" s="787">
        <v>66.89</v>
      </c>
      <c r="M14075" s="787">
        <v>20</v>
      </c>
      <c r="N14075" s="787">
        <v>71.91</v>
      </c>
      <c r="O14075" s="788">
        <v>41926</v>
      </c>
    </row>
    <row r="14076" spans="1:15" x14ac:dyDescent="0.25">
      <c r="A14076" s="786" t="s">
        <v>25410</v>
      </c>
      <c r="B14076" s="787">
        <v>4</v>
      </c>
      <c r="C14076" s="787" t="s">
        <v>25411</v>
      </c>
      <c r="D14076" s="787">
        <v>0.87</v>
      </c>
      <c r="E14076" s="787">
        <v>770.87</v>
      </c>
      <c r="F14076" s="788">
        <v>41943</v>
      </c>
      <c r="G14076" s="788">
        <v>41942</v>
      </c>
      <c r="H14076" s="787">
        <v>1</v>
      </c>
      <c r="I14076" s="788">
        <v>41942</v>
      </c>
      <c r="J14076" s="788">
        <v>41942</v>
      </c>
      <c r="K14076" s="788">
        <v>41885</v>
      </c>
      <c r="L14076" s="787">
        <v>770.87</v>
      </c>
      <c r="M14076" s="787">
        <v>20</v>
      </c>
      <c r="N14076" s="787">
        <v>828.69</v>
      </c>
      <c r="O14076" s="788">
        <v>41885</v>
      </c>
    </row>
    <row r="14077" spans="1:15" x14ac:dyDescent="0.25">
      <c r="A14077" s="786" t="s">
        <v>25412</v>
      </c>
      <c r="B14077" s="787">
        <v>4</v>
      </c>
      <c r="C14077" s="787" t="s">
        <v>25413</v>
      </c>
      <c r="D14077" s="787">
        <v>9.5</v>
      </c>
      <c r="E14077" s="787">
        <v>9.5</v>
      </c>
      <c r="F14077" s="788">
        <v>41901</v>
      </c>
      <c r="G14077" s="788">
        <v>41911</v>
      </c>
      <c r="H14077" s="787">
        <v>1</v>
      </c>
      <c r="I14077" s="788">
        <v>41894</v>
      </c>
      <c r="J14077" s="788">
        <v>41942</v>
      </c>
      <c r="K14077" s="788">
        <v>41891</v>
      </c>
      <c r="L14077" s="787">
        <v>9.5</v>
      </c>
      <c r="M14077" s="787">
        <v>20</v>
      </c>
      <c r="N14077" s="787">
        <v>10.210000000000001</v>
      </c>
      <c r="O14077" s="788">
        <v>41891</v>
      </c>
    </row>
    <row r="14078" spans="1:15" x14ac:dyDescent="0.25">
      <c r="A14078" s="786" t="s">
        <v>25414</v>
      </c>
      <c r="B14078" s="787">
        <v>4</v>
      </c>
      <c r="C14078" s="787" t="s">
        <v>25415</v>
      </c>
      <c r="D14078" s="787">
        <v>0</v>
      </c>
      <c r="E14078" s="787">
        <v>0</v>
      </c>
      <c r="H14078" s="787">
        <v>1</v>
      </c>
      <c r="K14078" s="788">
        <v>42032</v>
      </c>
      <c r="L14078" s="787">
        <v>22.8</v>
      </c>
      <c r="M14078" s="787">
        <v>20</v>
      </c>
      <c r="N14078" s="787">
        <v>24.51</v>
      </c>
      <c r="O14078" s="788">
        <v>42032</v>
      </c>
    </row>
    <row r="14079" spans="1:15" x14ac:dyDescent="0.25">
      <c r="A14079" s="786" t="s">
        <v>25416</v>
      </c>
      <c r="B14079" s="787">
        <v>4</v>
      </c>
      <c r="C14079" s="787" t="s">
        <v>25417</v>
      </c>
      <c r="D14079" s="787">
        <v>0</v>
      </c>
      <c r="E14079" s="787">
        <v>0</v>
      </c>
      <c r="H14079" s="787">
        <v>1</v>
      </c>
      <c r="K14079" s="788">
        <v>42040</v>
      </c>
      <c r="L14079" s="787">
        <v>601.5</v>
      </c>
      <c r="M14079" s="787">
        <v>20</v>
      </c>
      <c r="N14079" s="787">
        <v>646.61</v>
      </c>
      <c r="O14079" s="788">
        <v>42040</v>
      </c>
    </row>
    <row r="14080" spans="1:15" x14ac:dyDescent="0.25">
      <c r="A14080" s="786" t="s">
        <v>25418</v>
      </c>
      <c r="B14080" s="787">
        <v>4</v>
      </c>
      <c r="C14080" s="787" t="s">
        <v>25419</v>
      </c>
      <c r="D14080" s="787">
        <v>7</v>
      </c>
      <c r="E14080" s="787">
        <v>407</v>
      </c>
      <c r="F14080" s="788">
        <v>42079</v>
      </c>
      <c r="G14080" s="788">
        <v>42091</v>
      </c>
      <c r="H14080" s="787">
        <v>1</v>
      </c>
      <c r="I14080" s="788">
        <v>42067</v>
      </c>
      <c r="J14080" s="788">
        <v>42067</v>
      </c>
      <c r="K14080" s="788">
        <v>42086</v>
      </c>
      <c r="L14080" s="787">
        <v>407</v>
      </c>
      <c r="M14080" s="787">
        <v>20</v>
      </c>
      <c r="N14080" s="787">
        <v>440.75</v>
      </c>
      <c r="O14080" s="788">
        <v>42054</v>
      </c>
    </row>
    <row r="14081" spans="1:15" x14ac:dyDescent="0.25">
      <c r="A14081" s="786" t="s">
        <v>25420</v>
      </c>
      <c r="B14081" s="787">
        <v>4</v>
      </c>
      <c r="C14081" s="787" t="s">
        <v>25421</v>
      </c>
      <c r="D14081" s="787">
        <v>9.9</v>
      </c>
      <c r="E14081" s="787">
        <v>139.9</v>
      </c>
      <c r="F14081" s="788">
        <v>42062</v>
      </c>
      <c r="G14081" s="788">
        <v>42060</v>
      </c>
      <c r="H14081" s="787">
        <v>1</v>
      </c>
      <c r="I14081" s="788">
        <v>42143</v>
      </c>
      <c r="J14081" s="788">
        <v>42075</v>
      </c>
      <c r="K14081" s="788">
        <v>42059</v>
      </c>
      <c r="L14081" s="787">
        <v>139.9</v>
      </c>
      <c r="M14081" s="787">
        <v>20</v>
      </c>
      <c r="N14081" s="787">
        <v>150.38999999999999</v>
      </c>
      <c r="O14081" s="788">
        <v>42059</v>
      </c>
    </row>
    <row r="14082" spans="1:15" x14ac:dyDescent="0.25">
      <c r="A14082" s="786" t="s">
        <v>25422</v>
      </c>
      <c r="B14082" s="787">
        <v>4</v>
      </c>
      <c r="C14082" s="787" t="s">
        <v>25423</v>
      </c>
      <c r="D14082" s="787">
        <v>0</v>
      </c>
      <c r="E14082" s="787">
        <v>62.87</v>
      </c>
      <c r="H14082" s="787">
        <v>1</v>
      </c>
      <c r="K14082" s="788">
        <v>42065</v>
      </c>
      <c r="L14082" s="787">
        <v>62.87</v>
      </c>
      <c r="M14082" s="787">
        <v>20</v>
      </c>
      <c r="N14082" s="787">
        <v>67.59</v>
      </c>
      <c r="O14082" s="788">
        <v>42065</v>
      </c>
    </row>
    <row r="14083" spans="1:15" x14ac:dyDescent="0.25">
      <c r="A14083" s="786" t="s">
        <v>25424</v>
      </c>
      <c r="B14083" s="787">
        <v>4</v>
      </c>
      <c r="C14083" s="787" t="s">
        <v>25425</v>
      </c>
      <c r="D14083" s="787">
        <v>0</v>
      </c>
      <c r="E14083" s="787">
        <v>410</v>
      </c>
      <c r="F14083" s="788">
        <v>42103</v>
      </c>
      <c r="G14083" s="788">
        <v>42081</v>
      </c>
      <c r="H14083" s="787">
        <v>1</v>
      </c>
      <c r="I14083" s="788">
        <v>42109</v>
      </c>
      <c r="J14083" s="788">
        <v>42158</v>
      </c>
      <c r="K14083" s="788">
        <v>42068</v>
      </c>
      <c r="L14083" s="787">
        <v>410</v>
      </c>
      <c r="M14083" s="787">
        <v>20</v>
      </c>
      <c r="N14083" s="787">
        <v>440.75</v>
      </c>
      <c r="O14083" s="788">
        <v>42068</v>
      </c>
    </row>
    <row r="14084" spans="1:15" x14ac:dyDescent="0.25">
      <c r="A14084" s="786" t="s">
        <v>25426</v>
      </c>
      <c r="B14084" s="787">
        <v>4</v>
      </c>
      <c r="C14084" s="787" t="s">
        <v>25427</v>
      </c>
      <c r="D14084" s="787">
        <v>9</v>
      </c>
      <c r="E14084" s="787">
        <v>299</v>
      </c>
      <c r="F14084" s="788">
        <v>42118</v>
      </c>
      <c r="G14084" s="788">
        <v>42118</v>
      </c>
      <c r="H14084" s="787">
        <v>1</v>
      </c>
      <c r="I14084" s="788">
        <v>42115</v>
      </c>
      <c r="J14084" s="788">
        <v>42109</v>
      </c>
      <c r="K14084" s="788">
        <v>42131</v>
      </c>
      <c r="L14084" s="787">
        <v>299</v>
      </c>
      <c r="M14084" s="787">
        <v>20</v>
      </c>
      <c r="N14084" s="787">
        <v>0</v>
      </c>
    </row>
    <row r="14085" spans="1:15" x14ac:dyDescent="0.25">
      <c r="A14085" s="786" t="s">
        <v>25428</v>
      </c>
      <c r="B14085" s="787">
        <v>4</v>
      </c>
      <c r="C14085" s="787" t="s">
        <v>25429</v>
      </c>
      <c r="D14085" s="787">
        <v>2.59</v>
      </c>
      <c r="E14085" s="787">
        <v>72.59</v>
      </c>
      <c r="F14085" s="788">
        <v>42156</v>
      </c>
      <c r="G14085" s="788">
        <v>42159</v>
      </c>
      <c r="H14085" s="787">
        <v>1</v>
      </c>
      <c r="I14085" s="788">
        <v>42116</v>
      </c>
      <c r="J14085" s="788">
        <v>42116</v>
      </c>
      <c r="K14085" s="788">
        <v>42114</v>
      </c>
      <c r="L14085" s="787">
        <v>72.59</v>
      </c>
      <c r="M14085" s="787">
        <v>20</v>
      </c>
      <c r="N14085" s="787">
        <v>0</v>
      </c>
    </row>
    <row r="14086" spans="1:15" x14ac:dyDescent="0.25">
      <c r="A14086" s="786" t="s">
        <v>25430</v>
      </c>
      <c r="B14086" s="787">
        <v>4</v>
      </c>
      <c r="C14086" s="787" t="s">
        <v>25431</v>
      </c>
      <c r="D14086" s="787">
        <v>0</v>
      </c>
      <c r="E14086" s="787">
        <v>0</v>
      </c>
      <c r="H14086" s="787">
        <v>1</v>
      </c>
      <c r="K14086" s="788">
        <v>42114</v>
      </c>
      <c r="L14086" s="787">
        <v>102.08</v>
      </c>
      <c r="M14086" s="787">
        <v>20</v>
      </c>
      <c r="N14086" s="787">
        <v>0</v>
      </c>
    </row>
    <row r="14087" spans="1:15" x14ac:dyDescent="0.25">
      <c r="A14087" s="786" t="s">
        <v>25432</v>
      </c>
      <c r="B14087" s="787">
        <v>4</v>
      </c>
      <c r="C14087" s="787" t="s">
        <v>25431</v>
      </c>
      <c r="D14087" s="787">
        <v>0</v>
      </c>
      <c r="E14087" s="787">
        <v>92.13</v>
      </c>
      <c r="H14087" s="787">
        <v>1</v>
      </c>
      <c r="K14087" s="788">
        <v>42114</v>
      </c>
      <c r="L14087" s="787">
        <v>92.13</v>
      </c>
      <c r="M14087" s="787">
        <v>20</v>
      </c>
      <c r="N14087" s="787">
        <v>0</v>
      </c>
    </row>
    <row r="14088" spans="1:15" x14ac:dyDescent="0.25">
      <c r="A14088" s="786" t="s">
        <v>25433</v>
      </c>
      <c r="B14088" s="787">
        <v>4</v>
      </c>
      <c r="C14088" s="787" t="s">
        <v>25434</v>
      </c>
      <c r="D14088" s="787">
        <v>0</v>
      </c>
      <c r="E14088" s="787">
        <v>73.34</v>
      </c>
      <c r="H14088" s="787">
        <v>1</v>
      </c>
      <c r="K14088" s="788">
        <v>42131</v>
      </c>
      <c r="L14088" s="787">
        <v>91.55</v>
      </c>
      <c r="M14088" s="787">
        <v>20</v>
      </c>
      <c r="N14088" s="787">
        <v>0</v>
      </c>
    </row>
    <row r="14089" spans="1:15" x14ac:dyDescent="0.25">
      <c r="A14089" s="786" t="s">
        <v>25435</v>
      </c>
      <c r="B14089" s="787">
        <v>4</v>
      </c>
      <c r="C14089" s="787" t="s">
        <v>25436</v>
      </c>
      <c r="D14089" s="787">
        <v>3.55</v>
      </c>
      <c r="E14089" s="787">
        <v>93.55</v>
      </c>
      <c r="F14089" s="788">
        <v>42150</v>
      </c>
      <c r="G14089" s="788">
        <v>42137</v>
      </c>
      <c r="H14089" s="787">
        <v>1</v>
      </c>
      <c r="I14089" s="788">
        <v>42150</v>
      </c>
      <c r="J14089" s="788">
        <v>42137</v>
      </c>
      <c r="K14089" s="788">
        <v>42131</v>
      </c>
      <c r="L14089" s="787">
        <v>93.55</v>
      </c>
      <c r="M14089" s="787">
        <v>20</v>
      </c>
      <c r="N14089" s="787">
        <v>0</v>
      </c>
    </row>
    <row r="14090" spans="1:15" x14ac:dyDescent="0.25">
      <c r="A14090" s="786" t="s">
        <v>25437</v>
      </c>
      <c r="B14090" s="787">
        <v>4</v>
      </c>
      <c r="C14090" s="787" t="s">
        <v>25438</v>
      </c>
      <c r="D14090" s="787">
        <v>0</v>
      </c>
      <c r="E14090" s="787">
        <v>22.5</v>
      </c>
      <c r="G14090" s="788">
        <v>42165</v>
      </c>
      <c r="H14090" s="787">
        <v>1</v>
      </c>
      <c r="I14090" s="788">
        <v>42166</v>
      </c>
      <c r="J14090" s="788">
        <v>42165</v>
      </c>
      <c r="K14090" s="788">
        <v>42158</v>
      </c>
      <c r="L14090" s="787">
        <v>22.5</v>
      </c>
      <c r="M14090" s="787">
        <v>20</v>
      </c>
      <c r="N14090" s="787">
        <v>0</v>
      </c>
    </row>
    <row r="14091" spans="1:15" x14ac:dyDescent="0.25">
      <c r="A14091" s="786" t="s">
        <v>25439</v>
      </c>
      <c r="B14091" s="787">
        <v>4</v>
      </c>
      <c r="C14091" s="787" t="s">
        <v>25440</v>
      </c>
      <c r="D14091" s="787">
        <v>7.34</v>
      </c>
      <c r="E14091" s="787">
        <v>17.34</v>
      </c>
      <c r="F14091" s="788">
        <v>42037</v>
      </c>
      <c r="G14091" s="788">
        <v>42025</v>
      </c>
      <c r="H14091" s="787">
        <v>1</v>
      </c>
      <c r="I14091" s="788">
        <v>42156</v>
      </c>
      <c r="J14091" s="788">
        <v>42144</v>
      </c>
      <c r="K14091" s="788">
        <v>42017</v>
      </c>
      <c r="L14091" s="787">
        <v>17.34</v>
      </c>
      <c r="M14091" s="787">
        <v>20</v>
      </c>
      <c r="N14091" s="787">
        <v>18.64</v>
      </c>
      <c r="O14091" s="788">
        <v>42017</v>
      </c>
    </row>
    <row r="14092" spans="1:15" x14ac:dyDescent="0.25">
      <c r="A14092" s="786" t="s">
        <v>25441</v>
      </c>
      <c r="B14092" s="787">
        <v>4</v>
      </c>
      <c r="C14092" s="787" t="s">
        <v>25442</v>
      </c>
      <c r="D14092" s="787">
        <v>8.9499999999999993</v>
      </c>
      <c r="E14092" s="787">
        <v>66.900000000000006</v>
      </c>
      <c r="F14092" s="788">
        <v>41688</v>
      </c>
      <c r="G14092" s="788">
        <v>41757</v>
      </c>
      <c r="H14092" s="787">
        <v>1</v>
      </c>
      <c r="J14092" s="788">
        <v>41683</v>
      </c>
      <c r="K14092" s="788">
        <v>42011</v>
      </c>
      <c r="L14092" s="787">
        <v>66.900000000000006</v>
      </c>
      <c r="M14092" s="787">
        <v>20</v>
      </c>
      <c r="N14092" s="787">
        <v>71.92</v>
      </c>
      <c r="O14092" s="788">
        <v>42011</v>
      </c>
    </row>
    <row r="14093" spans="1:15" x14ac:dyDescent="0.25">
      <c r="A14093" s="786" t="s">
        <v>25443</v>
      </c>
      <c r="B14093" s="787">
        <v>4</v>
      </c>
      <c r="C14093" s="787" t="s">
        <v>25444</v>
      </c>
      <c r="D14093" s="787">
        <v>2.5</v>
      </c>
      <c r="E14093" s="787">
        <v>2.5</v>
      </c>
      <c r="F14093" s="788">
        <v>41929</v>
      </c>
      <c r="G14093" s="788">
        <v>41927</v>
      </c>
      <c r="H14093" s="787">
        <v>1</v>
      </c>
      <c r="I14093" s="788">
        <v>41927</v>
      </c>
      <c r="J14093" s="788">
        <v>41927</v>
      </c>
      <c r="K14093" s="788">
        <v>41919</v>
      </c>
      <c r="L14093" s="787">
        <v>2.5</v>
      </c>
      <c r="M14093" s="787">
        <v>20</v>
      </c>
      <c r="N14093" s="787">
        <v>2.69</v>
      </c>
      <c r="O14093" s="788">
        <v>41919</v>
      </c>
    </row>
    <row r="14094" spans="1:15" x14ac:dyDescent="0.25">
      <c r="A14094" s="786" t="s">
        <v>25445</v>
      </c>
      <c r="B14094" s="787">
        <v>4</v>
      </c>
      <c r="C14094" s="787" t="s">
        <v>25446</v>
      </c>
      <c r="D14094" s="787">
        <v>9</v>
      </c>
      <c r="E14094" s="787">
        <v>739</v>
      </c>
      <c r="F14094" s="788">
        <v>42037</v>
      </c>
      <c r="G14094" s="788">
        <v>42032</v>
      </c>
      <c r="H14094" s="787">
        <v>1</v>
      </c>
      <c r="I14094" s="788">
        <v>42046</v>
      </c>
      <c r="J14094" s="788">
        <v>42158</v>
      </c>
      <c r="K14094" s="788">
        <v>42032</v>
      </c>
      <c r="L14094" s="787">
        <v>739</v>
      </c>
      <c r="M14094" s="787">
        <v>20</v>
      </c>
      <c r="N14094" s="787">
        <v>794.43</v>
      </c>
      <c r="O14094" s="788">
        <v>42032</v>
      </c>
    </row>
    <row r="14095" spans="1:15" x14ac:dyDescent="0.25">
      <c r="A14095" s="786" t="s">
        <v>25447</v>
      </c>
      <c r="B14095" s="787">
        <v>4</v>
      </c>
      <c r="C14095" s="787" t="s">
        <v>25448</v>
      </c>
      <c r="D14095" s="787">
        <v>8</v>
      </c>
      <c r="E14095" s="787">
        <v>408</v>
      </c>
      <c r="F14095" s="788">
        <v>41960</v>
      </c>
      <c r="G14095" s="788">
        <v>41948</v>
      </c>
      <c r="H14095" s="787">
        <v>1</v>
      </c>
      <c r="I14095" s="788">
        <v>42157</v>
      </c>
      <c r="J14095" s="788">
        <v>42151</v>
      </c>
      <c r="K14095" s="788">
        <v>41933</v>
      </c>
      <c r="L14095" s="787">
        <v>408</v>
      </c>
      <c r="M14095" s="787">
        <v>20</v>
      </c>
      <c r="N14095" s="787">
        <v>438.6</v>
      </c>
      <c r="O14095" s="788">
        <v>41933</v>
      </c>
    </row>
    <row r="14096" spans="1:15" x14ac:dyDescent="0.25">
      <c r="A14096" s="786" t="s">
        <v>25449</v>
      </c>
      <c r="B14096" s="787">
        <v>4</v>
      </c>
      <c r="C14096" s="787" t="s">
        <v>25450</v>
      </c>
      <c r="D14096" s="787">
        <v>7.45</v>
      </c>
      <c r="E14096" s="787">
        <v>107.45</v>
      </c>
      <c r="F14096" s="788">
        <v>41970</v>
      </c>
      <c r="G14096" s="788">
        <v>41969</v>
      </c>
      <c r="H14096" s="787">
        <v>1</v>
      </c>
      <c r="I14096" s="788">
        <v>41969</v>
      </c>
      <c r="J14096" s="788">
        <v>41969</v>
      </c>
      <c r="K14096" s="788">
        <v>41967</v>
      </c>
      <c r="L14096" s="787">
        <v>107.45</v>
      </c>
      <c r="M14096" s="787">
        <v>20</v>
      </c>
      <c r="N14096" s="787">
        <v>115.51</v>
      </c>
      <c r="O14096" s="788">
        <v>41969</v>
      </c>
    </row>
    <row r="14097" spans="1:15" x14ac:dyDescent="0.25">
      <c r="A14097" s="786" t="s">
        <v>25451</v>
      </c>
      <c r="B14097" s="787">
        <v>4</v>
      </c>
      <c r="C14097" s="787" t="s">
        <v>25452</v>
      </c>
      <c r="D14097" s="787">
        <v>9.16</v>
      </c>
      <c r="E14097" s="787">
        <v>589.16</v>
      </c>
      <c r="F14097" s="788">
        <v>42037</v>
      </c>
      <c r="G14097" s="788">
        <v>42050</v>
      </c>
      <c r="H14097" s="787">
        <v>1</v>
      </c>
      <c r="I14097" s="788">
        <v>42033</v>
      </c>
      <c r="J14097" s="788">
        <v>42032</v>
      </c>
      <c r="K14097" s="788">
        <v>42066</v>
      </c>
      <c r="L14097" s="787">
        <v>589.16</v>
      </c>
      <c r="M14097" s="787">
        <v>20</v>
      </c>
      <c r="N14097" s="787">
        <v>633.35</v>
      </c>
      <c r="O14097" s="788">
        <v>42066</v>
      </c>
    </row>
    <row r="14098" spans="1:15" x14ac:dyDescent="0.25">
      <c r="A14098" s="786" t="s">
        <v>25453</v>
      </c>
      <c r="B14098" s="787">
        <v>4</v>
      </c>
      <c r="C14098" s="787" t="s">
        <v>25454</v>
      </c>
      <c r="D14098" s="787">
        <v>8.9499999999999993</v>
      </c>
      <c r="E14098" s="789">
        <v>2780.53</v>
      </c>
      <c r="F14098" s="788">
        <v>41305</v>
      </c>
      <c r="G14098" s="788">
        <v>41564</v>
      </c>
      <c r="H14098" s="787">
        <v>6</v>
      </c>
      <c r="I14098" s="788">
        <v>39006</v>
      </c>
      <c r="J14098" s="788">
        <v>41521</v>
      </c>
      <c r="K14098" s="788">
        <v>41865</v>
      </c>
      <c r="L14098" s="789">
        <v>2800</v>
      </c>
      <c r="M14098" s="787">
        <v>20</v>
      </c>
      <c r="N14098" s="787">
        <v>661.77</v>
      </c>
      <c r="O14098" s="788">
        <v>41858</v>
      </c>
    </row>
    <row r="14099" spans="1:15" x14ac:dyDescent="0.25">
      <c r="A14099" s="786" t="s">
        <v>25455</v>
      </c>
      <c r="B14099" s="787">
        <v>4</v>
      </c>
      <c r="C14099" s="787" t="s">
        <v>25456</v>
      </c>
      <c r="D14099" s="787">
        <v>0</v>
      </c>
      <c r="E14099" s="787">
        <v>0</v>
      </c>
      <c r="H14099" s="787">
        <v>1</v>
      </c>
      <c r="L14099" s="787">
        <v>0</v>
      </c>
      <c r="M14099" s="787">
        <v>10</v>
      </c>
      <c r="N14099" s="787">
        <v>0.98</v>
      </c>
      <c r="O14099" s="788">
        <v>40446</v>
      </c>
    </row>
    <row r="14100" spans="1:15" x14ac:dyDescent="0.25">
      <c r="A14100" s="786" t="s">
        <v>25457</v>
      </c>
      <c r="B14100" s="787">
        <v>4</v>
      </c>
      <c r="C14100" s="787" t="s">
        <v>25458</v>
      </c>
      <c r="D14100" s="787">
        <v>1.0900000000000001</v>
      </c>
      <c r="E14100" s="787">
        <v>1.0900000000000001</v>
      </c>
      <c r="F14100" s="788">
        <v>38980</v>
      </c>
      <c r="G14100" s="788">
        <v>38980</v>
      </c>
      <c r="H14100" s="787">
        <v>1</v>
      </c>
      <c r="I14100" s="788">
        <v>41180</v>
      </c>
      <c r="J14100" s="788">
        <v>38972</v>
      </c>
      <c r="L14100" s="787">
        <v>1.0900000000000001</v>
      </c>
      <c r="M14100" s="787">
        <v>20</v>
      </c>
      <c r="N14100" s="787">
        <v>1.17</v>
      </c>
      <c r="O14100" s="788">
        <v>41858</v>
      </c>
    </row>
    <row r="14101" spans="1:15" x14ac:dyDescent="0.25">
      <c r="A14101" s="786" t="s">
        <v>25459</v>
      </c>
      <c r="B14101" s="787">
        <v>4</v>
      </c>
      <c r="C14101" s="787" t="s">
        <v>25460</v>
      </c>
      <c r="D14101" s="787">
        <v>1.37</v>
      </c>
      <c r="E14101" s="787">
        <v>1.37</v>
      </c>
      <c r="F14101" s="788">
        <v>38275</v>
      </c>
      <c r="G14101" s="788">
        <v>38275</v>
      </c>
      <c r="H14101" s="787">
        <v>1</v>
      </c>
      <c r="J14101" s="788">
        <v>38239</v>
      </c>
      <c r="L14101" s="787">
        <v>1.49</v>
      </c>
      <c r="M14101" s="787">
        <v>20</v>
      </c>
      <c r="N14101" s="787">
        <v>1.6</v>
      </c>
      <c r="O14101" s="788">
        <v>41858</v>
      </c>
    </row>
    <row r="14102" spans="1:15" x14ac:dyDescent="0.25">
      <c r="A14102" s="786" t="s">
        <v>25461</v>
      </c>
      <c r="B14102" s="787">
        <v>4</v>
      </c>
      <c r="C14102" s="787" t="s">
        <v>25462</v>
      </c>
      <c r="D14102" s="787">
        <v>0.22</v>
      </c>
      <c r="E14102" s="787">
        <v>0.34</v>
      </c>
      <c r="F14102" s="788">
        <v>39818</v>
      </c>
      <c r="G14102" s="788">
        <v>42046</v>
      </c>
      <c r="H14102" s="787">
        <v>1</v>
      </c>
      <c r="I14102" s="788">
        <v>41990</v>
      </c>
      <c r="J14102" s="788">
        <v>42030</v>
      </c>
      <c r="K14102" s="788">
        <v>41869</v>
      </c>
      <c r="L14102" s="787">
        <v>0.44</v>
      </c>
      <c r="M14102" s="787">
        <v>20</v>
      </c>
      <c r="N14102" s="787">
        <v>1.39</v>
      </c>
      <c r="O14102" s="788">
        <v>41858</v>
      </c>
    </row>
    <row r="14103" spans="1:15" x14ac:dyDescent="0.25">
      <c r="A14103" s="786" t="s">
        <v>25463</v>
      </c>
      <c r="B14103" s="787">
        <v>4</v>
      </c>
      <c r="C14103" s="787" t="s">
        <v>25464</v>
      </c>
      <c r="D14103" s="787">
        <v>0.24</v>
      </c>
      <c r="E14103" s="787">
        <v>0.38</v>
      </c>
      <c r="F14103" s="788">
        <v>40946</v>
      </c>
      <c r="G14103" s="788">
        <v>42164</v>
      </c>
      <c r="H14103" s="787">
        <v>1</v>
      </c>
      <c r="I14103" s="788">
        <v>42165</v>
      </c>
      <c r="J14103" s="788">
        <v>42144</v>
      </c>
      <c r="K14103" s="788">
        <v>41663</v>
      </c>
      <c r="L14103" s="787">
        <v>0.36</v>
      </c>
      <c r="M14103" s="787">
        <v>20</v>
      </c>
      <c r="N14103" s="787">
        <v>0.39</v>
      </c>
      <c r="O14103" s="788">
        <v>42164</v>
      </c>
    </row>
    <row r="14104" spans="1:15" x14ac:dyDescent="0.25">
      <c r="A14104" s="786" t="s">
        <v>25465</v>
      </c>
      <c r="B14104" s="787">
        <v>4</v>
      </c>
      <c r="C14104" s="787" t="s">
        <v>25466</v>
      </c>
      <c r="D14104" s="787">
        <v>0.54</v>
      </c>
      <c r="E14104" s="787">
        <v>0.54</v>
      </c>
      <c r="F14104" s="788">
        <v>38560</v>
      </c>
      <c r="G14104" s="788">
        <v>38736</v>
      </c>
      <c r="H14104" s="787">
        <v>6</v>
      </c>
      <c r="I14104" s="788">
        <v>39134</v>
      </c>
      <c r="J14104" s="788">
        <v>38595</v>
      </c>
      <c r="K14104" s="788">
        <v>41869</v>
      </c>
      <c r="L14104" s="787">
        <v>0.54</v>
      </c>
      <c r="M14104" s="787">
        <v>20</v>
      </c>
      <c r="N14104" s="787">
        <v>2.87</v>
      </c>
      <c r="O14104" s="788">
        <v>41858</v>
      </c>
    </row>
    <row r="14105" spans="1:15" x14ac:dyDescent="0.25">
      <c r="A14105" s="786" t="s">
        <v>25467</v>
      </c>
      <c r="B14105" s="787">
        <v>4</v>
      </c>
      <c r="C14105" s="787" t="s">
        <v>25468</v>
      </c>
      <c r="D14105" s="787">
        <v>0.38</v>
      </c>
      <c r="E14105" s="787">
        <v>0.71</v>
      </c>
      <c r="F14105" s="788">
        <v>38258</v>
      </c>
      <c r="G14105" s="788">
        <v>41396</v>
      </c>
      <c r="H14105" s="787">
        <v>1</v>
      </c>
      <c r="I14105" s="788">
        <v>41400</v>
      </c>
      <c r="J14105" s="788">
        <v>41388</v>
      </c>
      <c r="L14105" s="787">
        <v>0.44</v>
      </c>
      <c r="M14105" s="787">
        <v>20</v>
      </c>
      <c r="N14105" s="787">
        <v>0.47</v>
      </c>
      <c r="O14105" s="788">
        <v>41858</v>
      </c>
    </row>
    <row r="14106" spans="1:15" x14ac:dyDescent="0.25">
      <c r="A14106" s="786" t="s">
        <v>25469</v>
      </c>
      <c r="B14106" s="787">
        <v>4</v>
      </c>
      <c r="C14106" s="787" t="s">
        <v>25470</v>
      </c>
      <c r="D14106" s="787">
        <v>0.19</v>
      </c>
      <c r="E14106" s="787">
        <v>0.19</v>
      </c>
      <c r="F14106" s="788">
        <v>38310</v>
      </c>
      <c r="G14106" s="788">
        <v>38736</v>
      </c>
      <c r="H14106" s="787">
        <v>1</v>
      </c>
      <c r="I14106" s="788">
        <v>39384</v>
      </c>
      <c r="J14106" s="788">
        <v>38308</v>
      </c>
      <c r="L14106" s="787">
        <v>0.21</v>
      </c>
      <c r="M14106" s="787">
        <v>20</v>
      </c>
      <c r="N14106" s="787">
        <v>0.23</v>
      </c>
      <c r="O14106" s="788">
        <v>41858</v>
      </c>
    </row>
    <row r="14107" spans="1:15" x14ac:dyDescent="0.25">
      <c r="A14107" s="786" t="s">
        <v>25471</v>
      </c>
      <c r="B14107" s="787">
        <v>4</v>
      </c>
      <c r="C14107" s="787" t="s">
        <v>25472</v>
      </c>
      <c r="D14107" s="787">
        <v>0.9</v>
      </c>
      <c r="E14107" s="787">
        <v>0.15</v>
      </c>
      <c r="F14107" s="788">
        <v>38135</v>
      </c>
      <c r="G14107" s="788">
        <v>39457</v>
      </c>
      <c r="H14107" s="787">
        <v>1</v>
      </c>
      <c r="I14107" s="788">
        <v>41519</v>
      </c>
      <c r="J14107" s="788">
        <v>41578</v>
      </c>
      <c r="L14107" s="787">
        <v>0.16</v>
      </c>
      <c r="M14107" s="787">
        <v>20</v>
      </c>
      <c r="N14107" s="787">
        <v>0.17</v>
      </c>
      <c r="O14107" s="788">
        <v>41858</v>
      </c>
    </row>
    <row r="14108" spans="1:15" x14ac:dyDescent="0.25">
      <c r="A14108" s="786" t="s">
        <v>25473</v>
      </c>
      <c r="B14108" s="787">
        <v>4</v>
      </c>
      <c r="C14108" s="787" t="s">
        <v>25474</v>
      </c>
      <c r="D14108" s="787">
        <v>1.1200000000000001</v>
      </c>
      <c r="E14108" s="787">
        <v>1.1200000000000001</v>
      </c>
      <c r="F14108" s="788">
        <v>39864</v>
      </c>
      <c r="G14108" s="788">
        <v>39850</v>
      </c>
      <c r="H14108" s="787">
        <v>1</v>
      </c>
      <c r="I14108" s="788">
        <v>40358</v>
      </c>
      <c r="J14108" s="788">
        <v>39864</v>
      </c>
      <c r="L14108" s="787">
        <v>1.04</v>
      </c>
      <c r="M14108" s="787">
        <v>20</v>
      </c>
      <c r="N14108" s="787">
        <v>1.1200000000000001</v>
      </c>
      <c r="O14108" s="788">
        <v>41858</v>
      </c>
    </row>
    <row r="14109" spans="1:15" x14ac:dyDescent="0.25">
      <c r="A14109" s="786" t="s">
        <v>25475</v>
      </c>
      <c r="B14109" s="787">
        <v>4</v>
      </c>
      <c r="C14109" s="787" t="s">
        <v>25476</v>
      </c>
      <c r="D14109" s="787">
        <v>0.72</v>
      </c>
      <c r="E14109" s="787">
        <v>0.81</v>
      </c>
      <c r="F14109" s="788">
        <v>41773</v>
      </c>
      <c r="G14109" s="788">
        <v>42164</v>
      </c>
      <c r="H14109" s="787">
        <v>1</v>
      </c>
      <c r="I14109" s="788">
        <v>42164</v>
      </c>
      <c r="J14109" s="788">
        <v>42165</v>
      </c>
      <c r="L14109" s="787">
        <v>0.5</v>
      </c>
      <c r="M14109" s="787">
        <v>20</v>
      </c>
      <c r="N14109" s="787">
        <v>0.54</v>
      </c>
      <c r="O14109" s="788">
        <v>41858</v>
      </c>
    </row>
    <row r="14110" spans="1:15" x14ac:dyDescent="0.25">
      <c r="A14110" s="786" t="s">
        <v>25477</v>
      </c>
      <c r="B14110" s="787">
        <v>4</v>
      </c>
      <c r="C14110" s="787" t="s">
        <v>25478</v>
      </c>
      <c r="D14110" s="787">
        <v>4.51</v>
      </c>
      <c r="E14110" s="787">
        <v>4.51</v>
      </c>
      <c r="F14110" s="788">
        <v>38047</v>
      </c>
      <c r="G14110" s="788">
        <v>38364</v>
      </c>
      <c r="H14110" s="787">
        <v>1</v>
      </c>
      <c r="I14110" s="788">
        <v>40358</v>
      </c>
      <c r="J14110" s="788">
        <v>41989</v>
      </c>
      <c r="L14110" s="787">
        <v>4.92</v>
      </c>
      <c r="M14110" s="787">
        <v>20</v>
      </c>
      <c r="N14110" s="787">
        <v>5.29</v>
      </c>
      <c r="O14110" s="788">
        <v>41989</v>
      </c>
    </row>
    <row r="14111" spans="1:15" x14ac:dyDescent="0.25">
      <c r="A14111" s="786" t="s">
        <v>25479</v>
      </c>
      <c r="B14111" s="787">
        <v>4</v>
      </c>
      <c r="C14111" s="787" t="s">
        <v>25480</v>
      </c>
      <c r="D14111" s="787">
        <v>4.33</v>
      </c>
      <c r="E14111" s="787">
        <v>4.33</v>
      </c>
      <c r="F14111" s="788">
        <v>38047</v>
      </c>
      <c r="G14111" s="788">
        <v>38047</v>
      </c>
      <c r="H14111" s="787">
        <v>1</v>
      </c>
      <c r="J14111" s="788">
        <v>38047</v>
      </c>
      <c r="L14111" s="787">
        <v>4.72</v>
      </c>
      <c r="M14111" s="787">
        <v>20</v>
      </c>
      <c r="N14111" s="787">
        <v>5.07</v>
      </c>
      <c r="O14111" s="788">
        <v>41858</v>
      </c>
    </row>
    <row r="14112" spans="1:15" x14ac:dyDescent="0.25">
      <c r="A14112" s="786" t="s">
        <v>25481</v>
      </c>
      <c r="B14112" s="787">
        <v>4</v>
      </c>
      <c r="C14112" s="787" t="s">
        <v>25482</v>
      </c>
      <c r="D14112" s="787">
        <v>0.6</v>
      </c>
      <c r="E14112" s="787">
        <v>0.6</v>
      </c>
      <c r="F14112" s="788">
        <v>39560</v>
      </c>
      <c r="G14112" s="788">
        <v>39560</v>
      </c>
      <c r="H14112" s="787">
        <v>1</v>
      </c>
      <c r="I14112" s="788">
        <v>38230</v>
      </c>
      <c r="J14112" s="788">
        <v>39560</v>
      </c>
      <c r="K14112" s="788">
        <v>41869</v>
      </c>
      <c r="L14112" s="787">
        <v>0.6</v>
      </c>
      <c r="M14112" s="787">
        <v>20</v>
      </c>
      <c r="N14112" s="787">
        <v>3.63</v>
      </c>
      <c r="O14112" s="788">
        <v>41858</v>
      </c>
    </row>
    <row r="14113" spans="1:15" x14ac:dyDescent="0.25">
      <c r="A14113" s="786" t="s">
        <v>25483</v>
      </c>
      <c r="B14113" s="787">
        <v>4</v>
      </c>
      <c r="C14113" s="787" t="s">
        <v>25484</v>
      </c>
      <c r="D14113" s="787">
        <v>4.67</v>
      </c>
      <c r="E14113" s="787">
        <v>4.67</v>
      </c>
      <c r="F14113" s="788">
        <v>37641</v>
      </c>
      <c r="G14113" s="788">
        <v>37641</v>
      </c>
      <c r="H14113" s="787">
        <v>1</v>
      </c>
      <c r="I14113" s="788">
        <v>37524</v>
      </c>
      <c r="J14113" s="788">
        <v>37641</v>
      </c>
      <c r="L14113" s="787">
        <v>5.09</v>
      </c>
      <c r="M14113" s="787">
        <v>20</v>
      </c>
      <c r="N14113" s="787">
        <v>5.47</v>
      </c>
      <c r="O14113" s="788">
        <v>41858</v>
      </c>
    </row>
    <row r="14114" spans="1:15" x14ac:dyDescent="0.25">
      <c r="A14114" s="786" t="s">
        <v>25485</v>
      </c>
      <c r="B14114" s="787">
        <v>4</v>
      </c>
      <c r="C14114" s="787" t="s">
        <v>25486</v>
      </c>
      <c r="D14114" s="787">
        <v>4.5599999999999996</v>
      </c>
      <c r="E14114" s="787">
        <v>4.5599999999999996</v>
      </c>
      <c r="F14114" s="788">
        <v>37641</v>
      </c>
      <c r="G14114" s="788">
        <v>37641</v>
      </c>
      <c r="H14114" s="787">
        <v>1</v>
      </c>
      <c r="J14114" s="788">
        <v>37641</v>
      </c>
      <c r="L14114" s="787">
        <v>4.97</v>
      </c>
      <c r="M14114" s="787">
        <v>20</v>
      </c>
      <c r="N14114" s="787">
        <v>5.34</v>
      </c>
      <c r="O14114" s="788">
        <v>41858</v>
      </c>
    </row>
    <row r="14115" spans="1:15" x14ac:dyDescent="0.25">
      <c r="A14115" s="786" t="s">
        <v>25487</v>
      </c>
      <c r="B14115" s="787">
        <v>4</v>
      </c>
      <c r="C14115" s="787" t="s">
        <v>25488</v>
      </c>
      <c r="D14115" s="787">
        <v>0.67</v>
      </c>
      <c r="E14115" s="787">
        <v>0.99</v>
      </c>
      <c r="F14115" s="788">
        <v>40024</v>
      </c>
      <c r="G14115" s="788">
        <v>41953</v>
      </c>
      <c r="H14115" s="787">
        <v>1</v>
      </c>
      <c r="I14115" s="788">
        <v>42054</v>
      </c>
      <c r="J14115" s="788">
        <v>41989</v>
      </c>
      <c r="L14115" s="787">
        <v>0.85</v>
      </c>
      <c r="M14115" s="787">
        <v>20</v>
      </c>
      <c r="N14115" s="787">
        <v>0.91</v>
      </c>
      <c r="O14115" s="788">
        <v>42040</v>
      </c>
    </row>
    <row r="14116" spans="1:15" x14ac:dyDescent="0.25">
      <c r="A14116" s="786" t="s">
        <v>25489</v>
      </c>
      <c r="B14116" s="787">
        <v>4</v>
      </c>
      <c r="C14116" s="787" t="s">
        <v>25490</v>
      </c>
      <c r="D14116" s="787">
        <v>2.44</v>
      </c>
      <c r="E14116" s="787">
        <v>2.44</v>
      </c>
      <c r="F14116" s="788">
        <v>37641</v>
      </c>
      <c r="G14116" s="788">
        <v>40178</v>
      </c>
      <c r="H14116" s="787">
        <v>1</v>
      </c>
      <c r="I14116" s="788">
        <v>39519</v>
      </c>
      <c r="J14116" s="788">
        <v>39101</v>
      </c>
      <c r="L14116" s="787">
        <v>2.66</v>
      </c>
      <c r="M14116" s="787">
        <v>20</v>
      </c>
      <c r="N14116" s="787">
        <v>2.86</v>
      </c>
      <c r="O14116" s="788">
        <v>41858</v>
      </c>
    </row>
    <row r="14117" spans="1:15" x14ac:dyDescent="0.25">
      <c r="A14117" s="786" t="s">
        <v>25491</v>
      </c>
      <c r="B14117" s="787">
        <v>4</v>
      </c>
      <c r="C14117" s="787" t="s">
        <v>25492</v>
      </c>
      <c r="D14117" s="787">
        <v>3.86</v>
      </c>
      <c r="E14117" s="787">
        <v>3.86</v>
      </c>
      <c r="F14117" s="788">
        <v>37641</v>
      </c>
      <c r="G14117" s="788">
        <v>37641</v>
      </c>
      <c r="H14117" s="787">
        <v>1</v>
      </c>
      <c r="I14117" s="788">
        <v>40660</v>
      </c>
      <c r="J14117" s="788">
        <v>39101</v>
      </c>
      <c r="K14117" s="788">
        <v>38713</v>
      </c>
      <c r="L14117" s="787">
        <v>4.21</v>
      </c>
      <c r="M14117" s="787">
        <v>20</v>
      </c>
      <c r="N14117" s="787">
        <v>4.53</v>
      </c>
      <c r="O14117" s="788">
        <v>41858</v>
      </c>
    </row>
    <row r="14118" spans="1:15" x14ac:dyDescent="0.25">
      <c r="A14118" s="786" t="s">
        <v>25493</v>
      </c>
      <c r="B14118" s="787">
        <v>4</v>
      </c>
      <c r="C14118" s="787" t="s">
        <v>25494</v>
      </c>
      <c r="D14118" s="787">
        <v>0.96</v>
      </c>
      <c r="E14118" s="787">
        <v>0.96</v>
      </c>
      <c r="F14118" s="788">
        <v>41037</v>
      </c>
      <c r="G14118" s="788">
        <v>41646</v>
      </c>
      <c r="H14118" s="787">
        <v>1</v>
      </c>
      <c r="I14118" s="788">
        <v>38007</v>
      </c>
      <c r="J14118" s="788">
        <v>41108</v>
      </c>
      <c r="K14118" s="788">
        <v>41869</v>
      </c>
      <c r="L14118" s="787">
        <v>0.96</v>
      </c>
      <c r="M14118" s="787">
        <v>20</v>
      </c>
      <c r="N14118" s="787">
        <v>2.59</v>
      </c>
      <c r="O14118" s="788">
        <v>41858</v>
      </c>
    </row>
    <row r="14119" spans="1:15" x14ac:dyDescent="0.25">
      <c r="A14119" s="786" t="s">
        <v>25495</v>
      </c>
      <c r="B14119" s="787">
        <v>4</v>
      </c>
      <c r="C14119" s="787" t="s">
        <v>25496</v>
      </c>
      <c r="D14119" s="787">
        <v>3.76</v>
      </c>
      <c r="E14119" s="787">
        <v>3.76</v>
      </c>
      <c r="F14119" s="788">
        <v>37287</v>
      </c>
      <c r="G14119" s="788">
        <v>38364</v>
      </c>
      <c r="H14119" s="787">
        <v>6</v>
      </c>
      <c r="I14119" s="788">
        <v>37566</v>
      </c>
      <c r="J14119" s="788">
        <v>37641</v>
      </c>
      <c r="K14119" s="788">
        <v>41869</v>
      </c>
      <c r="L14119" s="787">
        <v>0.87</v>
      </c>
      <c r="M14119" s="787">
        <v>20</v>
      </c>
      <c r="N14119" s="787">
        <v>0.94</v>
      </c>
      <c r="O14119" s="788">
        <v>41806</v>
      </c>
    </row>
    <row r="14120" spans="1:15" x14ac:dyDescent="0.25">
      <c r="A14120" s="786" t="s">
        <v>25497</v>
      </c>
      <c r="B14120" s="787">
        <v>4</v>
      </c>
      <c r="C14120" s="787" t="s">
        <v>25498</v>
      </c>
      <c r="D14120" s="787">
        <v>1.28</v>
      </c>
      <c r="E14120" s="787">
        <v>1.28</v>
      </c>
      <c r="F14120" s="788">
        <v>37641</v>
      </c>
      <c r="G14120" s="788">
        <v>37641</v>
      </c>
      <c r="H14120" s="787">
        <v>1</v>
      </c>
      <c r="I14120" s="788">
        <v>39401</v>
      </c>
      <c r="J14120" s="788">
        <v>37641</v>
      </c>
      <c r="L14120" s="787">
        <v>1.4</v>
      </c>
      <c r="M14120" s="787">
        <v>20</v>
      </c>
      <c r="N14120" s="787">
        <v>1.51</v>
      </c>
      <c r="O14120" s="788">
        <v>41858</v>
      </c>
    </row>
    <row r="14121" spans="1:15" x14ac:dyDescent="0.25">
      <c r="A14121" s="786" t="s">
        <v>25499</v>
      </c>
      <c r="B14121" s="787">
        <v>4</v>
      </c>
      <c r="C14121" s="787" t="s">
        <v>25500</v>
      </c>
      <c r="D14121" s="787">
        <v>5.66</v>
      </c>
      <c r="E14121" s="787">
        <v>5.66</v>
      </c>
      <c r="F14121" s="788">
        <v>37641</v>
      </c>
      <c r="G14121" s="788">
        <v>38364</v>
      </c>
      <c r="H14121" s="787">
        <v>1</v>
      </c>
      <c r="I14121" s="788">
        <v>39134</v>
      </c>
      <c r="J14121" s="788">
        <v>37641</v>
      </c>
      <c r="L14121" s="787">
        <v>6.17</v>
      </c>
      <c r="M14121" s="787">
        <v>20</v>
      </c>
      <c r="N14121" s="787">
        <v>6.63</v>
      </c>
      <c r="O14121" s="788">
        <v>41858</v>
      </c>
    </row>
    <row r="14122" spans="1:15" x14ac:dyDescent="0.25">
      <c r="A14122" s="786" t="s">
        <v>25501</v>
      </c>
      <c r="B14122" s="787">
        <v>4</v>
      </c>
      <c r="C14122" s="787" t="s">
        <v>25502</v>
      </c>
      <c r="D14122" s="787">
        <v>5.66</v>
      </c>
      <c r="E14122" s="787">
        <v>5.66</v>
      </c>
      <c r="F14122" s="788">
        <v>39101</v>
      </c>
      <c r="G14122" s="788">
        <v>39101</v>
      </c>
      <c r="H14122" s="787">
        <v>1</v>
      </c>
      <c r="I14122" s="788">
        <v>38883</v>
      </c>
      <c r="J14122" s="788">
        <v>39101</v>
      </c>
      <c r="L14122" s="787">
        <v>6.17</v>
      </c>
      <c r="M14122" s="787">
        <v>20</v>
      </c>
      <c r="N14122" s="787">
        <v>6.63</v>
      </c>
      <c r="O14122" s="788">
        <v>41858</v>
      </c>
    </row>
    <row r="14123" spans="1:15" x14ac:dyDescent="0.25">
      <c r="A14123" s="786" t="s">
        <v>25503</v>
      </c>
      <c r="B14123" s="787">
        <v>4</v>
      </c>
      <c r="C14123" s="787" t="s">
        <v>25504</v>
      </c>
      <c r="D14123" s="787">
        <v>6</v>
      </c>
      <c r="E14123" s="787">
        <v>84.48</v>
      </c>
      <c r="F14123" s="788">
        <v>41857</v>
      </c>
      <c r="G14123" s="788">
        <v>42150</v>
      </c>
      <c r="H14123" s="787">
        <v>1</v>
      </c>
      <c r="I14123" s="788">
        <v>42164</v>
      </c>
      <c r="J14123" s="788">
        <v>42142</v>
      </c>
      <c r="K14123" s="788">
        <v>41996</v>
      </c>
      <c r="L14123" s="787">
        <v>85</v>
      </c>
      <c r="M14123" s="787">
        <v>20</v>
      </c>
      <c r="N14123" s="787">
        <v>91.38</v>
      </c>
      <c r="O14123" s="788">
        <v>42127</v>
      </c>
    </row>
    <row r="14124" spans="1:15" x14ac:dyDescent="0.25">
      <c r="A14124" s="786" t="s">
        <v>25505</v>
      </c>
      <c r="B14124" s="787">
        <v>4</v>
      </c>
      <c r="C14124" s="787" t="s">
        <v>25506</v>
      </c>
      <c r="D14124" s="787">
        <v>0.34</v>
      </c>
      <c r="E14124" s="787">
        <v>0.5</v>
      </c>
      <c r="F14124" s="788">
        <v>39836</v>
      </c>
      <c r="G14124" s="788">
        <v>42013</v>
      </c>
      <c r="H14124" s="787">
        <v>1</v>
      </c>
      <c r="I14124" s="788">
        <v>42164</v>
      </c>
      <c r="J14124" s="788">
        <v>41957</v>
      </c>
      <c r="L14124" s="787">
        <v>0.33</v>
      </c>
      <c r="M14124" s="787">
        <v>20</v>
      </c>
      <c r="N14124" s="787">
        <v>0.35</v>
      </c>
      <c r="O14124" s="788">
        <v>42127</v>
      </c>
    </row>
    <row r="14125" spans="1:15" x14ac:dyDescent="0.25">
      <c r="A14125" s="786" t="s">
        <v>25507</v>
      </c>
      <c r="B14125" s="787">
        <v>4</v>
      </c>
      <c r="C14125" s="787" t="s">
        <v>25508</v>
      </c>
      <c r="D14125" s="787">
        <v>0.12</v>
      </c>
      <c r="E14125" s="787">
        <v>0.26</v>
      </c>
      <c r="F14125" s="788">
        <v>38047</v>
      </c>
      <c r="G14125" s="788">
        <v>41646</v>
      </c>
      <c r="H14125" s="787">
        <v>1</v>
      </c>
      <c r="I14125" s="788">
        <v>41002</v>
      </c>
      <c r="J14125" s="788">
        <v>41520</v>
      </c>
      <c r="K14125" s="788">
        <v>41036</v>
      </c>
      <c r="L14125" s="787">
        <v>0.18</v>
      </c>
      <c r="M14125" s="787">
        <v>20</v>
      </c>
      <c r="N14125" s="787">
        <v>0.19</v>
      </c>
      <c r="O14125" s="788">
        <v>42127</v>
      </c>
    </row>
    <row r="14126" spans="1:15" x14ac:dyDescent="0.25">
      <c r="A14126" s="786" t="s">
        <v>25509</v>
      </c>
      <c r="B14126" s="787">
        <v>4</v>
      </c>
      <c r="C14126" s="787" t="s">
        <v>25510</v>
      </c>
      <c r="D14126" s="787">
        <v>1.28</v>
      </c>
      <c r="E14126" s="787">
        <v>1.37</v>
      </c>
      <c r="F14126" s="788">
        <v>40134</v>
      </c>
      <c r="G14126" s="788">
        <v>42086</v>
      </c>
      <c r="H14126" s="787">
        <v>1</v>
      </c>
      <c r="I14126" s="788">
        <v>42082</v>
      </c>
      <c r="J14126" s="788">
        <v>42068</v>
      </c>
      <c r="K14126" s="788">
        <v>41067</v>
      </c>
      <c r="L14126" s="787">
        <v>1.91</v>
      </c>
      <c r="M14126" s="787">
        <v>20</v>
      </c>
      <c r="N14126" s="787">
        <v>2.0499999999999998</v>
      </c>
      <c r="O14126" s="788">
        <v>41858</v>
      </c>
    </row>
    <row r="14127" spans="1:15" x14ac:dyDescent="0.25">
      <c r="A14127" s="786" t="s">
        <v>25511</v>
      </c>
      <c r="B14127" s="787">
        <v>4</v>
      </c>
      <c r="C14127" s="787" t="s">
        <v>25512</v>
      </c>
      <c r="D14127" s="787">
        <v>1.18</v>
      </c>
      <c r="E14127" s="787">
        <v>1.32</v>
      </c>
      <c r="F14127" s="788">
        <v>41800</v>
      </c>
      <c r="G14127" s="788">
        <v>42144</v>
      </c>
      <c r="H14127" s="787">
        <v>1</v>
      </c>
      <c r="I14127" s="788">
        <v>42124</v>
      </c>
      <c r="J14127" s="788">
        <v>42115</v>
      </c>
      <c r="K14127" s="788">
        <v>41143</v>
      </c>
      <c r="L14127" s="787">
        <v>1.75</v>
      </c>
      <c r="M14127" s="787">
        <v>20</v>
      </c>
      <c r="N14127" s="787">
        <v>1.88</v>
      </c>
      <c r="O14127" s="788">
        <v>41996</v>
      </c>
    </row>
    <row r="14128" spans="1:15" x14ac:dyDescent="0.25">
      <c r="A14128" s="786" t="s">
        <v>25513</v>
      </c>
      <c r="B14128" s="787">
        <v>4</v>
      </c>
      <c r="C14128" s="787" t="s">
        <v>25514</v>
      </c>
      <c r="D14128" s="787">
        <v>0.44</v>
      </c>
      <c r="E14128" s="787">
        <v>0.48</v>
      </c>
      <c r="F14128" s="788">
        <v>42041</v>
      </c>
      <c r="G14128" s="788">
        <v>42150</v>
      </c>
      <c r="H14128" s="787">
        <v>1</v>
      </c>
      <c r="I14128" s="788">
        <v>42146</v>
      </c>
      <c r="J14128" s="788">
        <v>42142</v>
      </c>
      <c r="K14128" s="788">
        <v>41095</v>
      </c>
      <c r="L14128" s="787">
        <v>0.54</v>
      </c>
      <c r="M14128" s="787">
        <v>20</v>
      </c>
      <c r="N14128" s="787">
        <v>0.57999999999999996</v>
      </c>
      <c r="O14128" s="788">
        <v>41989</v>
      </c>
    </row>
    <row r="14129" spans="1:15" x14ac:dyDescent="0.25">
      <c r="A14129" s="786" t="s">
        <v>25515</v>
      </c>
      <c r="B14129" s="787">
        <v>4</v>
      </c>
      <c r="C14129" s="787" t="s">
        <v>25516</v>
      </c>
      <c r="D14129" s="787">
        <v>0.14000000000000001</v>
      </c>
      <c r="E14129" s="787">
        <v>0.15</v>
      </c>
      <c r="F14129" s="788">
        <v>41081</v>
      </c>
      <c r="G14129" s="788">
        <v>42013</v>
      </c>
      <c r="H14129" s="787">
        <v>1</v>
      </c>
      <c r="I14129" s="788">
        <v>41996</v>
      </c>
      <c r="J14129" s="788">
        <v>41653</v>
      </c>
      <c r="L14129" s="787">
        <v>0.15</v>
      </c>
      <c r="M14129" s="787">
        <v>20</v>
      </c>
      <c r="N14129" s="787">
        <v>0.16</v>
      </c>
      <c r="O14129" s="788">
        <v>41858</v>
      </c>
    </row>
    <row r="14130" spans="1:15" x14ac:dyDescent="0.25">
      <c r="A14130" s="786" t="s">
        <v>25517</v>
      </c>
      <c r="B14130" s="787">
        <v>4</v>
      </c>
      <c r="C14130" s="787" t="s">
        <v>25518</v>
      </c>
      <c r="D14130" s="787">
        <v>0.8</v>
      </c>
      <c r="E14130" s="787">
        <v>60.8</v>
      </c>
      <c r="F14130" s="788">
        <v>42129</v>
      </c>
      <c r="G14130" s="788">
        <v>42143</v>
      </c>
      <c r="H14130" s="787">
        <v>1</v>
      </c>
      <c r="J14130" s="788">
        <v>42128</v>
      </c>
      <c r="K14130" s="788">
        <v>42116</v>
      </c>
      <c r="L14130" s="787">
        <v>85.8</v>
      </c>
      <c r="M14130" s="787">
        <v>20</v>
      </c>
      <c r="N14130" s="787">
        <v>0</v>
      </c>
    </row>
    <row r="14131" spans="1:15" x14ac:dyDescent="0.25">
      <c r="A14131" s="786" t="s">
        <v>25519</v>
      </c>
      <c r="B14131" s="787">
        <v>4</v>
      </c>
      <c r="C14131" s="787" t="s">
        <v>25520</v>
      </c>
      <c r="D14131" s="787">
        <v>3.22</v>
      </c>
      <c r="E14131" s="787">
        <v>224.48</v>
      </c>
      <c r="F14131" s="788">
        <v>41764</v>
      </c>
      <c r="G14131" s="788">
        <v>42150</v>
      </c>
      <c r="H14131" s="787">
        <v>1</v>
      </c>
      <c r="I14131" s="788">
        <v>42150</v>
      </c>
      <c r="J14131" s="788">
        <v>42142</v>
      </c>
      <c r="K14131" s="788">
        <v>41869</v>
      </c>
      <c r="L14131" s="787">
        <v>223.22</v>
      </c>
      <c r="M14131" s="787">
        <v>20</v>
      </c>
      <c r="N14131" s="787">
        <v>239.96</v>
      </c>
      <c r="O14131" s="788">
        <v>42075</v>
      </c>
    </row>
    <row r="14132" spans="1:15" x14ac:dyDescent="0.25">
      <c r="A14132" s="786" t="s">
        <v>25521</v>
      </c>
      <c r="B14132" s="787">
        <v>4</v>
      </c>
      <c r="C14132" s="787" t="s">
        <v>25522</v>
      </c>
      <c r="D14132" s="787">
        <v>0.34</v>
      </c>
      <c r="E14132" s="787">
        <v>0.34</v>
      </c>
      <c r="F14132" s="788">
        <v>37641</v>
      </c>
      <c r="G14132" s="788">
        <v>37641</v>
      </c>
      <c r="H14132" s="787">
        <v>1</v>
      </c>
      <c r="I14132" s="788">
        <v>37133</v>
      </c>
      <c r="J14132" s="788">
        <v>37641</v>
      </c>
      <c r="L14132" s="787">
        <v>0.37</v>
      </c>
      <c r="M14132" s="787">
        <v>20</v>
      </c>
      <c r="N14132" s="787">
        <v>0.4</v>
      </c>
      <c r="O14132" s="788">
        <v>41858</v>
      </c>
    </row>
    <row r="14133" spans="1:15" x14ac:dyDescent="0.25">
      <c r="A14133" s="786" t="s">
        <v>25523</v>
      </c>
      <c r="B14133" s="787">
        <v>4</v>
      </c>
      <c r="C14133" s="787" t="s">
        <v>25524</v>
      </c>
      <c r="D14133" s="787">
        <v>8.5</v>
      </c>
      <c r="E14133" s="787">
        <v>118.5</v>
      </c>
      <c r="F14133" s="788">
        <v>42028</v>
      </c>
      <c r="G14133" s="788">
        <v>42046</v>
      </c>
      <c r="H14133" s="787">
        <v>1</v>
      </c>
      <c r="I14133" s="788">
        <v>42025</v>
      </c>
      <c r="J14133" s="788">
        <v>42020</v>
      </c>
      <c r="K14133" s="788">
        <v>41865</v>
      </c>
      <c r="L14133" s="787">
        <v>121.93</v>
      </c>
      <c r="M14133" s="787">
        <v>20</v>
      </c>
      <c r="N14133" s="787">
        <v>51.49</v>
      </c>
      <c r="O14133" s="788">
        <v>41858</v>
      </c>
    </row>
    <row r="14134" spans="1:15" x14ac:dyDescent="0.25">
      <c r="A14134" s="786" t="s">
        <v>25525</v>
      </c>
      <c r="B14134" s="787">
        <v>4</v>
      </c>
      <c r="C14134" s="787" t="s">
        <v>25526</v>
      </c>
      <c r="D14134" s="787">
        <v>0.45</v>
      </c>
      <c r="E14134" s="787">
        <v>0.85</v>
      </c>
      <c r="F14134" s="788">
        <v>39101</v>
      </c>
      <c r="G14134" s="788">
        <v>42164</v>
      </c>
      <c r="H14134" s="787">
        <v>1</v>
      </c>
      <c r="I14134" s="788">
        <v>42166</v>
      </c>
      <c r="J14134" s="788">
        <v>42152</v>
      </c>
      <c r="K14134" s="788">
        <v>41011</v>
      </c>
      <c r="L14134" s="787">
        <v>0.68</v>
      </c>
      <c r="M14134" s="787">
        <v>20</v>
      </c>
      <c r="N14134" s="787">
        <v>0.73</v>
      </c>
      <c r="O14134" s="788">
        <v>42164</v>
      </c>
    </row>
    <row r="14135" spans="1:15" x14ac:dyDescent="0.25">
      <c r="A14135" s="786" t="s">
        <v>25527</v>
      </c>
      <c r="B14135" s="787">
        <v>4</v>
      </c>
      <c r="C14135" s="787" t="s">
        <v>25528</v>
      </c>
      <c r="D14135" s="787">
        <v>0.11</v>
      </c>
      <c r="E14135" s="787">
        <v>0.17</v>
      </c>
      <c r="F14135" s="788">
        <v>39101</v>
      </c>
      <c r="G14135" s="788">
        <v>42143</v>
      </c>
      <c r="H14135" s="787">
        <v>1</v>
      </c>
      <c r="I14135" s="788">
        <v>42165</v>
      </c>
      <c r="J14135" s="788">
        <v>42124</v>
      </c>
      <c r="L14135" s="787">
        <v>0.14000000000000001</v>
      </c>
      <c r="M14135" s="787">
        <v>20</v>
      </c>
      <c r="N14135" s="787">
        <v>0.15</v>
      </c>
      <c r="O14135" s="788">
        <v>42164</v>
      </c>
    </row>
    <row r="14136" spans="1:15" x14ac:dyDescent="0.25">
      <c r="A14136" s="786" t="s">
        <v>25529</v>
      </c>
      <c r="B14136" s="787">
        <v>4</v>
      </c>
      <c r="C14136" s="787" t="s">
        <v>25530</v>
      </c>
      <c r="D14136" s="787">
        <v>0.12</v>
      </c>
      <c r="E14136" s="787">
        <v>0.7</v>
      </c>
      <c r="F14136" s="788">
        <v>37641</v>
      </c>
      <c r="G14136" s="788">
        <v>41864</v>
      </c>
      <c r="H14136" s="787">
        <v>1</v>
      </c>
      <c r="I14136" s="788">
        <v>41809</v>
      </c>
      <c r="J14136" s="788">
        <v>41807</v>
      </c>
      <c r="L14136" s="787">
        <v>0.13</v>
      </c>
      <c r="M14136" s="787">
        <v>20</v>
      </c>
      <c r="N14136" s="787">
        <v>0.14000000000000001</v>
      </c>
      <c r="O14136" s="788">
        <v>41858</v>
      </c>
    </row>
    <row r="14137" spans="1:15" x14ac:dyDescent="0.25">
      <c r="A14137" s="786" t="s">
        <v>25531</v>
      </c>
      <c r="B14137" s="787">
        <v>4</v>
      </c>
      <c r="C14137" s="787" t="s">
        <v>25532</v>
      </c>
      <c r="D14137" s="787">
        <v>0.34</v>
      </c>
      <c r="E14137" s="787">
        <v>0.5</v>
      </c>
      <c r="F14137" s="788">
        <v>39864</v>
      </c>
      <c r="G14137" s="788">
        <v>42013</v>
      </c>
      <c r="H14137" s="787">
        <v>1</v>
      </c>
      <c r="I14137" s="788">
        <v>42164</v>
      </c>
      <c r="J14137" s="788">
        <v>41957</v>
      </c>
      <c r="K14137" s="788">
        <v>41025</v>
      </c>
      <c r="L14137" s="787">
        <v>0.37</v>
      </c>
      <c r="M14137" s="787">
        <v>20</v>
      </c>
      <c r="N14137" s="787">
        <v>0.4</v>
      </c>
      <c r="O14137" s="788">
        <v>42127</v>
      </c>
    </row>
    <row r="14138" spans="1:15" x14ac:dyDescent="0.25">
      <c r="A14138" s="786" t="s">
        <v>25533</v>
      </c>
      <c r="B14138" s="787">
        <v>4</v>
      </c>
      <c r="C14138" s="787" t="s">
        <v>25534</v>
      </c>
      <c r="D14138" s="787">
        <v>0.81</v>
      </c>
      <c r="E14138" s="787">
        <v>1.42</v>
      </c>
      <c r="F14138" s="788">
        <v>39101</v>
      </c>
      <c r="G14138" s="788">
        <v>40553</v>
      </c>
      <c r="H14138" s="787">
        <v>1</v>
      </c>
      <c r="I14138" s="788">
        <v>40955</v>
      </c>
      <c r="J14138" s="788">
        <v>40330</v>
      </c>
      <c r="L14138" s="787">
        <v>0.84</v>
      </c>
      <c r="M14138" s="787">
        <v>20</v>
      </c>
      <c r="N14138" s="787">
        <v>0.9</v>
      </c>
      <c r="O14138" s="788">
        <v>41858</v>
      </c>
    </row>
    <row r="14139" spans="1:15" x14ac:dyDescent="0.25">
      <c r="A14139" s="786" t="s">
        <v>25535</v>
      </c>
      <c r="B14139" s="787">
        <v>4</v>
      </c>
      <c r="C14139" s="787" t="s">
        <v>25536</v>
      </c>
      <c r="D14139" s="787">
        <v>0.14000000000000001</v>
      </c>
      <c r="E14139" s="787">
        <v>0.25</v>
      </c>
      <c r="F14139" s="788">
        <v>38364</v>
      </c>
      <c r="G14139" s="788">
        <v>42146</v>
      </c>
      <c r="H14139" s="787">
        <v>1</v>
      </c>
      <c r="I14139" s="788">
        <v>42164</v>
      </c>
      <c r="J14139" s="788">
        <v>42121</v>
      </c>
      <c r="L14139" s="787">
        <v>0.15</v>
      </c>
      <c r="M14139" s="787">
        <v>20</v>
      </c>
      <c r="N14139" s="787">
        <v>0.16</v>
      </c>
      <c r="O14139" s="788">
        <v>42164</v>
      </c>
    </row>
    <row r="14140" spans="1:15" x14ac:dyDescent="0.25">
      <c r="A14140" s="786" t="s">
        <v>25537</v>
      </c>
      <c r="B14140" s="787">
        <v>4</v>
      </c>
      <c r="C14140" s="787" t="s">
        <v>25538</v>
      </c>
      <c r="D14140" s="787">
        <v>0.77</v>
      </c>
      <c r="E14140" s="787">
        <v>0.91</v>
      </c>
      <c r="F14140" s="788">
        <v>40151</v>
      </c>
      <c r="G14140" s="788">
        <v>42008</v>
      </c>
      <c r="H14140" s="787">
        <v>1</v>
      </c>
      <c r="I14140" s="788">
        <v>41990</v>
      </c>
      <c r="J14140" s="788">
        <v>41983</v>
      </c>
      <c r="K14140" s="788">
        <v>41974</v>
      </c>
      <c r="L14140" s="787">
        <v>1.36</v>
      </c>
      <c r="M14140" s="787">
        <v>20</v>
      </c>
      <c r="N14140" s="787">
        <v>1</v>
      </c>
      <c r="O14140" s="788">
        <v>41858</v>
      </c>
    </row>
    <row r="14141" spans="1:15" x14ac:dyDescent="0.25">
      <c r="A14141" s="786" t="s">
        <v>25539</v>
      </c>
      <c r="B14141" s="787">
        <v>4</v>
      </c>
      <c r="C14141" s="787" t="s">
        <v>25540</v>
      </c>
      <c r="D14141" s="787">
        <v>0.86</v>
      </c>
      <c r="E14141" s="787">
        <v>0.86</v>
      </c>
      <c r="F14141" s="788">
        <v>39101</v>
      </c>
      <c r="G14141" s="788">
        <v>39101</v>
      </c>
      <c r="H14141" s="787">
        <v>5</v>
      </c>
      <c r="I14141" s="788">
        <v>39811</v>
      </c>
      <c r="J14141" s="788">
        <v>39101</v>
      </c>
      <c r="K14141" s="788">
        <v>41869</v>
      </c>
      <c r="L14141" s="787">
        <v>0.43</v>
      </c>
      <c r="M14141" s="787">
        <v>20</v>
      </c>
      <c r="N14141" s="787">
        <v>0.46</v>
      </c>
      <c r="O14141" s="788">
        <v>41869</v>
      </c>
    </row>
    <row r="14142" spans="1:15" x14ac:dyDescent="0.25">
      <c r="A14142" s="786" t="s">
        <v>25541</v>
      </c>
      <c r="B14142" s="787">
        <v>4</v>
      </c>
      <c r="C14142" s="787" t="s">
        <v>25542</v>
      </c>
      <c r="D14142" s="787">
        <v>5</v>
      </c>
      <c r="E14142" s="787">
        <v>24</v>
      </c>
      <c r="F14142" s="788">
        <v>42164</v>
      </c>
      <c r="G14142" s="788">
        <v>42164</v>
      </c>
      <c r="H14142" s="787">
        <v>1</v>
      </c>
      <c r="I14142" s="788">
        <v>40392</v>
      </c>
      <c r="J14142" s="788">
        <v>39149</v>
      </c>
      <c r="K14142" s="788">
        <v>42164</v>
      </c>
      <c r="L14142" s="787">
        <v>26.15</v>
      </c>
      <c r="M14142" s="787">
        <v>20</v>
      </c>
      <c r="N14142" s="787">
        <v>28.11</v>
      </c>
      <c r="O14142" s="788">
        <v>42164</v>
      </c>
    </row>
    <row r="14143" spans="1:15" x14ac:dyDescent="0.25">
      <c r="A14143" s="786" t="s">
        <v>25543</v>
      </c>
      <c r="B14143" s="787">
        <v>4</v>
      </c>
      <c r="C14143" s="787" t="s">
        <v>25544</v>
      </c>
      <c r="D14143" s="787">
        <v>0.68</v>
      </c>
      <c r="E14143" s="787">
        <v>0.89</v>
      </c>
      <c r="F14143" s="788">
        <v>39882</v>
      </c>
      <c r="G14143" s="788">
        <v>42137</v>
      </c>
      <c r="H14143" s="787">
        <v>1</v>
      </c>
      <c r="I14143" s="788">
        <v>42165</v>
      </c>
      <c r="J14143" s="788">
        <v>42114</v>
      </c>
      <c r="L14143" s="787">
        <v>0.75</v>
      </c>
      <c r="M14143" s="787">
        <v>20</v>
      </c>
      <c r="N14143" s="787">
        <v>0.81</v>
      </c>
      <c r="O14143" s="788">
        <v>42066</v>
      </c>
    </row>
    <row r="14144" spans="1:15" x14ac:dyDescent="0.25">
      <c r="A14144" s="786" t="s">
        <v>25545</v>
      </c>
      <c r="B14144" s="787">
        <v>4</v>
      </c>
      <c r="C14144" s="787" t="s">
        <v>25546</v>
      </c>
      <c r="D14144" s="787">
        <v>0.34</v>
      </c>
      <c r="E14144" s="787">
        <v>1.19</v>
      </c>
      <c r="F14144" s="788">
        <v>39777</v>
      </c>
      <c r="G14144" s="788">
        <v>41911</v>
      </c>
      <c r="H14144" s="787">
        <v>1</v>
      </c>
      <c r="I14144" s="788">
        <v>41911</v>
      </c>
      <c r="J14144" s="788">
        <v>41906</v>
      </c>
      <c r="K14144" s="788">
        <v>41900</v>
      </c>
      <c r="L14144" s="787">
        <v>1.17</v>
      </c>
      <c r="M14144" s="787">
        <v>20</v>
      </c>
      <c r="N14144" s="787">
        <v>0.73</v>
      </c>
      <c r="O14144" s="788">
        <v>41858</v>
      </c>
    </row>
    <row r="14145" spans="1:15" x14ac:dyDescent="0.25">
      <c r="A14145" s="786" t="s">
        <v>25547</v>
      </c>
      <c r="B14145" s="787">
        <v>4</v>
      </c>
      <c r="C14145" s="787" t="s">
        <v>25548</v>
      </c>
      <c r="D14145" s="787">
        <v>1.59</v>
      </c>
      <c r="E14145" s="787">
        <v>258.43</v>
      </c>
      <c r="F14145" s="788">
        <v>41742</v>
      </c>
      <c r="G14145" s="788">
        <v>42156</v>
      </c>
      <c r="H14145" s="787">
        <v>1</v>
      </c>
      <c r="I14145" s="788">
        <v>42121</v>
      </c>
      <c r="J14145" s="788">
        <v>42131</v>
      </c>
      <c r="K14145" s="788">
        <v>41424</v>
      </c>
      <c r="L14145" s="787">
        <v>267.83999999999997</v>
      </c>
      <c r="M14145" s="787">
        <v>20</v>
      </c>
      <c r="N14145" s="787">
        <v>287.93</v>
      </c>
      <c r="O14145" s="788">
        <v>42067</v>
      </c>
    </row>
    <row r="14146" spans="1:15" x14ac:dyDescent="0.25">
      <c r="A14146" s="786" t="s">
        <v>25549</v>
      </c>
      <c r="B14146" s="787">
        <v>4</v>
      </c>
      <c r="C14146" s="787" t="s">
        <v>25550</v>
      </c>
      <c r="D14146" s="787">
        <v>0.49</v>
      </c>
      <c r="E14146" s="787">
        <v>0.99</v>
      </c>
      <c r="F14146" s="788">
        <v>41953</v>
      </c>
      <c r="G14146" s="788">
        <v>42068</v>
      </c>
      <c r="H14146" s="787">
        <v>1</v>
      </c>
      <c r="I14146" s="788">
        <v>42156</v>
      </c>
      <c r="J14146" s="788">
        <v>42068</v>
      </c>
      <c r="K14146" s="788">
        <v>42059</v>
      </c>
      <c r="L14146" s="787">
        <v>0.99</v>
      </c>
      <c r="M14146" s="787">
        <v>20</v>
      </c>
      <c r="N14146" s="787">
        <v>1.06</v>
      </c>
      <c r="O14146" s="788">
        <v>42159</v>
      </c>
    </row>
    <row r="14147" spans="1:15" x14ac:dyDescent="0.25">
      <c r="A14147" s="786" t="s">
        <v>25551</v>
      </c>
      <c r="B14147" s="787">
        <v>4</v>
      </c>
      <c r="C14147" s="787" t="s">
        <v>25552</v>
      </c>
      <c r="D14147" s="787">
        <v>0.24</v>
      </c>
      <c r="E14147" s="787">
        <v>0.51</v>
      </c>
      <c r="F14147" s="788">
        <v>40834</v>
      </c>
      <c r="G14147" s="788">
        <v>42164</v>
      </c>
      <c r="H14147" s="787">
        <v>1</v>
      </c>
      <c r="I14147" s="788">
        <v>42164</v>
      </c>
      <c r="J14147" s="788">
        <v>42163</v>
      </c>
      <c r="L14147" s="787">
        <v>0.37</v>
      </c>
      <c r="M14147" s="787">
        <v>20</v>
      </c>
      <c r="N14147" s="787">
        <v>0.4</v>
      </c>
      <c r="O14147" s="788">
        <v>42162</v>
      </c>
    </row>
    <row r="14148" spans="1:15" x14ac:dyDescent="0.25">
      <c r="A14148" s="786" t="s">
        <v>25553</v>
      </c>
      <c r="B14148" s="787">
        <v>4</v>
      </c>
      <c r="C14148" s="787" t="s">
        <v>25554</v>
      </c>
      <c r="D14148" s="787">
        <v>0.57999999999999996</v>
      </c>
      <c r="E14148" s="787">
        <v>0.57999999999999996</v>
      </c>
      <c r="F14148" s="788">
        <v>39364</v>
      </c>
      <c r="G14148" s="788">
        <v>42060</v>
      </c>
      <c r="H14148" s="787">
        <v>1</v>
      </c>
      <c r="I14148" s="788">
        <v>42060</v>
      </c>
      <c r="J14148" s="788">
        <v>42060</v>
      </c>
      <c r="K14148" s="788">
        <v>41869</v>
      </c>
      <c r="L14148" s="787">
        <v>0.57999999999999996</v>
      </c>
      <c r="M14148" s="787">
        <v>20</v>
      </c>
      <c r="N14148" s="787">
        <v>1.23</v>
      </c>
      <c r="O14148" s="788">
        <v>41858</v>
      </c>
    </row>
    <row r="14149" spans="1:15" x14ac:dyDescent="0.25">
      <c r="A14149" s="786" t="s">
        <v>25555</v>
      </c>
      <c r="B14149" s="787">
        <v>4</v>
      </c>
      <c r="C14149" s="787" t="s">
        <v>25556</v>
      </c>
      <c r="D14149" s="787">
        <v>0.23</v>
      </c>
      <c r="E14149" s="787">
        <v>0.12</v>
      </c>
      <c r="F14149" s="788">
        <v>39101</v>
      </c>
      <c r="G14149" s="788">
        <v>39101</v>
      </c>
      <c r="H14149" s="787">
        <v>1</v>
      </c>
      <c r="I14149" s="788">
        <v>40991</v>
      </c>
      <c r="J14149" s="788">
        <v>39101</v>
      </c>
      <c r="L14149" s="787">
        <v>0.13</v>
      </c>
      <c r="M14149" s="787">
        <v>20</v>
      </c>
      <c r="N14149" s="787">
        <v>0.14000000000000001</v>
      </c>
      <c r="O14149" s="788">
        <v>41858</v>
      </c>
    </row>
    <row r="14150" spans="1:15" x14ac:dyDescent="0.25">
      <c r="A14150" s="786" t="s">
        <v>25557</v>
      </c>
      <c r="B14150" s="787">
        <v>4</v>
      </c>
      <c r="C14150" s="787" t="s">
        <v>25558</v>
      </c>
      <c r="D14150" s="787">
        <v>0.16</v>
      </c>
      <c r="E14150" s="787">
        <v>1.78</v>
      </c>
      <c r="F14150" s="788">
        <v>39101</v>
      </c>
      <c r="G14150" s="788">
        <v>42093</v>
      </c>
      <c r="H14150" s="787">
        <v>1</v>
      </c>
      <c r="I14150" s="788">
        <v>42081</v>
      </c>
      <c r="J14150" s="788">
        <v>42080</v>
      </c>
      <c r="K14150" s="788">
        <v>41865</v>
      </c>
      <c r="L14150" s="787">
        <v>0.23</v>
      </c>
      <c r="M14150" s="787">
        <v>20</v>
      </c>
      <c r="N14150" s="787">
        <v>0.18</v>
      </c>
      <c r="O14150" s="788">
        <v>41858</v>
      </c>
    </row>
    <row r="14151" spans="1:15" x14ac:dyDescent="0.25">
      <c r="A14151" s="786" t="s">
        <v>25559</v>
      </c>
      <c r="B14151" s="787">
        <v>4</v>
      </c>
      <c r="C14151" s="787" t="s">
        <v>25560</v>
      </c>
      <c r="D14151" s="787">
        <v>0.28000000000000003</v>
      </c>
      <c r="E14151" s="787">
        <v>0.28999999999999998</v>
      </c>
      <c r="F14151" s="788">
        <v>41673</v>
      </c>
      <c r="G14151" s="788">
        <v>42045</v>
      </c>
      <c r="H14151" s="787">
        <v>1</v>
      </c>
      <c r="I14151" s="788">
        <v>42159</v>
      </c>
      <c r="J14151" s="788">
        <v>42039</v>
      </c>
      <c r="L14151" s="787">
        <v>0.38</v>
      </c>
      <c r="M14151" s="787">
        <v>20</v>
      </c>
      <c r="N14151" s="787">
        <v>0.41</v>
      </c>
      <c r="O14151" s="788">
        <v>42156</v>
      </c>
    </row>
    <row r="14152" spans="1:15" x14ac:dyDescent="0.25">
      <c r="A14152" s="786" t="s">
        <v>25561</v>
      </c>
      <c r="B14152" s="787">
        <v>4</v>
      </c>
      <c r="C14152" s="787" t="s">
        <v>25562</v>
      </c>
      <c r="D14152" s="787">
        <v>0.97</v>
      </c>
      <c r="E14152" s="787">
        <v>1.4</v>
      </c>
      <c r="F14152" s="788">
        <v>39101</v>
      </c>
      <c r="G14152" s="788">
        <v>41947</v>
      </c>
      <c r="H14152" s="787">
        <v>1</v>
      </c>
      <c r="I14152" s="788">
        <v>41926</v>
      </c>
      <c r="J14152" s="788">
        <v>41925</v>
      </c>
      <c r="L14152" s="787">
        <v>0.89</v>
      </c>
      <c r="M14152" s="787">
        <v>20</v>
      </c>
      <c r="N14152" s="787">
        <v>0.96</v>
      </c>
      <c r="O14152" s="788">
        <v>41858</v>
      </c>
    </row>
    <row r="14153" spans="1:15" x14ac:dyDescent="0.25">
      <c r="A14153" s="786" t="s">
        <v>25563</v>
      </c>
      <c r="B14153" s="787">
        <v>4</v>
      </c>
      <c r="C14153" s="787" t="s">
        <v>25564</v>
      </c>
      <c r="D14153" s="787">
        <v>9</v>
      </c>
      <c r="E14153" s="787">
        <v>141</v>
      </c>
      <c r="F14153" s="788">
        <v>42164</v>
      </c>
      <c r="G14153" s="788">
        <v>42164</v>
      </c>
      <c r="H14153" s="787">
        <v>1</v>
      </c>
      <c r="I14153" s="788">
        <v>42083</v>
      </c>
      <c r="J14153" s="788">
        <v>41991</v>
      </c>
      <c r="K14153" s="788">
        <v>42164</v>
      </c>
      <c r="L14153" s="787">
        <v>56.73</v>
      </c>
      <c r="M14153" s="787">
        <v>20</v>
      </c>
      <c r="N14153" s="787">
        <v>60.98</v>
      </c>
      <c r="O14153" s="788">
        <v>42164</v>
      </c>
    </row>
    <row r="14154" spans="1:15" x14ac:dyDescent="0.25">
      <c r="A14154" s="786" t="s">
        <v>25565</v>
      </c>
      <c r="B14154" s="787">
        <v>4</v>
      </c>
      <c r="C14154" s="787" t="s">
        <v>25566</v>
      </c>
      <c r="D14154" s="787">
        <v>0.35</v>
      </c>
      <c r="E14154" s="787">
        <v>0.35</v>
      </c>
      <c r="F14154" s="788">
        <v>38047</v>
      </c>
      <c r="G14154" s="788">
        <v>38047</v>
      </c>
      <c r="H14154" s="787">
        <v>1</v>
      </c>
      <c r="I14154" s="788">
        <v>37133</v>
      </c>
      <c r="J14154" s="788">
        <v>38047</v>
      </c>
      <c r="L14154" s="787">
        <v>0.38</v>
      </c>
      <c r="M14154" s="787">
        <v>20</v>
      </c>
      <c r="N14154" s="787">
        <v>0.41</v>
      </c>
      <c r="O14154" s="788">
        <v>41858</v>
      </c>
    </row>
    <row r="14155" spans="1:15" x14ac:dyDescent="0.25">
      <c r="A14155" s="786" t="s">
        <v>25567</v>
      </c>
      <c r="B14155" s="787">
        <v>4</v>
      </c>
      <c r="C14155" s="787" t="s">
        <v>25568</v>
      </c>
      <c r="D14155" s="787">
        <v>0.16</v>
      </c>
      <c r="E14155" s="787">
        <v>0.2</v>
      </c>
      <c r="F14155" s="788">
        <v>38364</v>
      </c>
      <c r="G14155" s="788">
        <v>42046</v>
      </c>
      <c r="H14155" s="787">
        <v>1</v>
      </c>
      <c r="I14155" s="788">
        <v>42158</v>
      </c>
      <c r="J14155" s="788">
        <v>42030</v>
      </c>
      <c r="K14155" s="788">
        <v>41717</v>
      </c>
      <c r="L14155" s="787">
        <v>0.26</v>
      </c>
      <c r="M14155" s="787">
        <v>20</v>
      </c>
      <c r="N14155" s="787">
        <v>0.28000000000000003</v>
      </c>
      <c r="O14155" s="788">
        <v>42060</v>
      </c>
    </row>
    <row r="14156" spans="1:15" x14ac:dyDescent="0.25">
      <c r="A14156" s="786" t="s">
        <v>25569</v>
      </c>
      <c r="B14156" s="787">
        <v>4</v>
      </c>
      <c r="C14156" s="787" t="s">
        <v>25570</v>
      </c>
      <c r="D14156" s="787">
        <v>0.39</v>
      </c>
      <c r="E14156" s="787">
        <v>0.88</v>
      </c>
      <c r="F14156" s="788">
        <v>38364</v>
      </c>
      <c r="G14156" s="788">
        <v>42143</v>
      </c>
      <c r="H14156" s="787">
        <v>1</v>
      </c>
      <c r="I14156" s="788">
        <v>42165</v>
      </c>
      <c r="J14156" s="788">
        <v>42124</v>
      </c>
      <c r="K14156" s="788">
        <v>41660</v>
      </c>
      <c r="L14156" s="787">
        <v>0.62</v>
      </c>
      <c r="M14156" s="787">
        <v>20</v>
      </c>
      <c r="N14156" s="787">
        <v>0.67</v>
      </c>
      <c r="O14156" s="788">
        <v>42061</v>
      </c>
    </row>
    <row r="14157" spans="1:15" x14ac:dyDescent="0.25">
      <c r="A14157" s="786" t="s">
        <v>25571</v>
      </c>
      <c r="B14157" s="787">
        <v>4</v>
      </c>
      <c r="C14157" s="787" t="s">
        <v>25572</v>
      </c>
      <c r="D14157" s="787">
        <v>0</v>
      </c>
      <c r="E14157" s="787">
        <v>0</v>
      </c>
      <c r="G14157" s="787" t="s">
        <v>1067</v>
      </c>
      <c r="H14157" s="787">
        <v>1</v>
      </c>
      <c r="L14157" s="787">
        <v>0</v>
      </c>
      <c r="M14157" s="787">
        <v>20</v>
      </c>
      <c r="N14157" s="787">
        <v>0</v>
      </c>
      <c r="O14157" s="788">
        <v>40824</v>
      </c>
    </row>
    <row r="14158" spans="1:15" x14ac:dyDescent="0.25">
      <c r="A14158" s="786" t="s">
        <v>25573</v>
      </c>
      <c r="B14158" s="787">
        <v>4</v>
      </c>
      <c r="C14158" s="787" t="s">
        <v>25574</v>
      </c>
      <c r="D14158" s="787">
        <v>0</v>
      </c>
      <c r="E14158" s="787">
        <v>8.44</v>
      </c>
      <c r="G14158" s="788">
        <v>41286</v>
      </c>
      <c r="H14158" s="787">
        <v>1</v>
      </c>
      <c r="I14158" s="788">
        <v>41295</v>
      </c>
      <c r="J14158" s="788">
        <v>41286</v>
      </c>
      <c r="K14158" s="788">
        <v>41277</v>
      </c>
      <c r="L14158" s="787">
        <v>8.44</v>
      </c>
      <c r="M14158" s="787">
        <v>20</v>
      </c>
      <c r="N14158" s="787">
        <v>9.07</v>
      </c>
      <c r="O14158" s="788">
        <v>41858</v>
      </c>
    </row>
    <row r="14159" spans="1:15" x14ac:dyDescent="0.25">
      <c r="A14159" s="786" t="s">
        <v>25575</v>
      </c>
      <c r="B14159" s="787">
        <v>4</v>
      </c>
      <c r="C14159" s="787" t="s">
        <v>25576</v>
      </c>
      <c r="D14159" s="787">
        <v>0.87</v>
      </c>
      <c r="E14159" s="787">
        <v>1.47</v>
      </c>
      <c r="F14159" s="788">
        <v>41761</v>
      </c>
      <c r="G14159" s="788">
        <v>42166</v>
      </c>
      <c r="H14159" s="787">
        <v>1</v>
      </c>
      <c r="I14159" s="788">
        <v>42157</v>
      </c>
      <c r="J14159" s="788">
        <v>42166</v>
      </c>
      <c r="K14159" s="788">
        <v>41900</v>
      </c>
      <c r="L14159" s="787">
        <v>1.65</v>
      </c>
      <c r="M14159" s="787">
        <v>20</v>
      </c>
      <c r="N14159" s="787">
        <v>1.77</v>
      </c>
      <c r="O14159" s="788">
        <v>42164</v>
      </c>
    </row>
    <row r="14160" spans="1:15" x14ac:dyDescent="0.25">
      <c r="A14160" s="786" t="s">
        <v>25577</v>
      </c>
      <c r="B14160" s="787">
        <v>4</v>
      </c>
      <c r="C14160" s="787" t="s">
        <v>25578</v>
      </c>
      <c r="D14160" s="787">
        <v>2</v>
      </c>
      <c r="E14160" s="787">
        <v>220.03</v>
      </c>
      <c r="F14160" s="788">
        <v>42017</v>
      </c>
      <c r="G14160" s="788">
        <v>42166</v>
      </c>
      <c r="H14160" s="787">
        <v>1</v>
      </c>
      <c r="I14160" s="788">
        <v>42016</v>
      </c>
      <c r="J14160" s="788">
        <v>42166</v>
      </c>
      <c r="K14160" s="788">
        <v>42017</v>
      </c>
      <c r="L14160" s="787">
        <v>156.1</v>
      </c>
      <c r="M14160" s="787">
        <v>20</v>
      </c>
      <c r="N14160" s="787">
        <v>167.81</v>
      </c>
      <c r="O14160" s="788">
        <v>42017</v>
      </c>
    </row>
    <row r="14161" spans="1:15" x14ac:dyDescent="0.25">
      <c r="A14161" s="786" t="s">
        <v>25579</v>
      </c>
      <c r="B14161" s="787">
        <v>4</v>
      </c>
      <c r="C14161" s="787" t="s">
        <v>25580</v>
      </c>
      <c r="D14161" s="787">
        <v>2.17</v>
      </c>
      <c r="E14161" s="787">
        <v>2.17</v>
      </c>
      <c r="F14161" s="788">
        <v>41983</v>
      </c>
      <c r="G14161" s="788">
        <v>42013</v>
      </c>
      <c r="H14161" s="787">
        <v>1</v>
      </c>
      <c r="I14161" s="788">
        <v>42164</v>
      </c>
      <c r="J14161" s="788">
        <v>41981</v>
      </c>
      <c r="K14161" s="788">
        <v>41025</v>
      </c>
      <c r="L14161" s="787">
        <v>2.2599999999999998</v>
      </c>
      <c r="M14161" s="787">
        <v>20</v>
      </c>
      <c r="N14161" s="787">
        <v>2.4300000000000002</v>
      </c>
      <c r="O14161" s="788">
        <v>42026</v>
      </c>
    </row>
    <row r="14162" spans="1:15" x14ac:dyDescent="0.25">
      <c r="A14162" s="786" t="s">
        <v>25581</v>
      </c>
      <c r="B14162" s="787">
        <v>4</v>
      </c>
      <c r="C14162" s="787" t="s">
        <v>25582</v>
      </c>
      <c r="D14162" s="787">
        <v>4</v>
      </c>
      <c r="E14162" s="787">
        <v>367.37</v>
      </c>
      <c r="F14162" s="788">
        <v>42122</v>
      </c>
      <c r="G14162" s="788">
        <v>42150</v>
      </c>
      <c r="H14162" s="787">
        <v>1</v>
      </c>
      <c r="I14162" s="788">
        <v>42157</v>
      </c>
      <c r="J14162" s="788">
        <v>42137</v>
      </c>
      <c r="K14162" s="788">
        <v>42122</v>
      </c>
      <c r="L14162" s="787">
        <v>310.89999999999998</v>
      </c>
      <c r="M14162" s="787">
        <v>20</v>
      </c>
      <c r="N14162" s="787">
        <v>470</v>
      </c>
      <c r="O14162" s="788">
        <v>42122</v>
      </c>
    </row>
    <row r="14163" spans="1:15" x14ac:dyDescent="0.25">
      <c r="A14163" s="786" t="s">
        <v>25583</v>
      </c>
      <c r="B14163" s="787">
        <v>4</v>
      </c>
      <c r="C14163" s="787" t="s">
        <v>25584</v>
      </c>
      <c r="D14163" s="787">
        <v>0</v>
      </c>
      <c r="E14163" s="787">
        <v>194.25</v>
      </c>
      <c r="F14163" s="788">
        <v>42017</v>
      </c>
      <c r="G14163" s="788">
        <v>42144</v>
      </c>
      <c r="H14163" s="787">
        <v>1</v>
      </c>
      <c r="I14163" s="788">
        <v>42142</v>
      </c>
      <c r="J14163" s="788">
        <v>42124</v>
      </c>
      <c r="K14163" s="788">
        <v>42017</v>
      </c>
      <c r="L14163" s="787">
        <v>122.4</v>
      </c>
      <c r="M14163" s="787">
        <v>20</v>
      </c>
      <c r="N14163" s="787">
        <v>131.58000000000001</v>
      </c>
      <c r="O14163" s="788">
        <v>42017</v>
      </c>
    </row>
    <row r="14164" spans="1:15" x14ac:dyDescent="0.25">
      <c r="A14164" s="786" t="s">
        <v>25585</v>
      </c>
      <c r="B14164" s="787">
        <v>4</v>
      </c>
      <c r="C14164" s="787" t="s">
        <v>25586</v>
      </c>
      <c r="D14164" s="787">
        <v>0</v>
      </c>
      <c r="E14164" s="787">
        <v>0</v>
      </c>
      <c r="H14164" s="787">
        <v>1</v>
      </c>
      <c r="L14164" s="787">
        <v>2.4300000000000002</v>
      </c>
      <c r="M14164" s="787">
        <v>20</v>
      </c>
      <c r="N14164" s="787">
        <v>2.61</v>
      </c>
      <c r="O14164" s="788">
        <v>42164</v>
      </c>
    </row>
    <row r="14165" spans="1:15" x14ac:dyDescent="0.25">
      <c r="A14165" s="786" t="s">
        <v>25587</v>
      </c>
      <c r="B14165" s="787">
        <v>4</v>
      </c>
      <c r="C14165" s="787" t="s">
        <v>25588</v>
      </c>
      <c r="D14165" s="787">
        <v>8.9700000000000006</v>
      </c>
      <c r="E14165" s="787">
        <v>121.4</v>
      </c>
      <c r="F14165" s="788">
        <v>41402</v>
      </c>
      <c r="G14165" s="788">
        <v>41646</v>
      </c>
      <c r="H14165" s="787">
        <v>1</v>
      </c>
      <c r="I14165" s="788">
        <v>41813</v>
      </c>
      <c r="J14165" s="788">
        <v>41442</v>
      </c>
      <c r="K14165" s="788">
        <v>41121</v>
      </c>
      <c r="L14165" s="787">
        <v>85.5</v>
      </c>
      <c r="M14165" s="787">
        <v>20</v>
      </c>
      <c r="N14165" s="787">
        <v>91.91</v>
      </c>
      <c r="O14165" s="788">
        <v>42058</v>
      </c>
    </row>
    <row r="14166" spans="1:15" x14ac:dyDescent="0.25">
      <c r="A14166" s="786" t="s">
        <v>25589</v>
      </c>
      <c r="B14166" s="787">
        <v>4</v>
      </c>
      <c r="C14166" s="787" t="s">
        <v>25590</v>
      </c>
      <c r="D14166" s="787">
        <v>8.24</v>
      </c>
      <c r="E14166" s="787">
        <v>83.07</v>
      </c>
      <c r="F14166" s="788">
        <v>41740</v>
      </c>
      <c r="G14166" s="788">
        <v>42146</v>
      </c>
      <c r="H14166" s="787">
        <v>1</v>
      </c>
      <c r="I14166" s="788">
        <v>42159</v>
      </c>
      <c r="J14166" s="788">
        <v>42121</v>
      </c>
      <c r="K14166" s="788">
        <v>41869</v>
      </c>
      <c r="L14166" s="787">
        <v>78.239999999999995</v>
      </c>
      <c r="M14166" s="787">
        <v>20</v>
      </c>
      <c r="N14166" s="787">
        <v>84.11</v>
      </c>
      <c r="O14166" s="788">
        <v>41979</v>
      </c>
    </row>
    <row r="14167" spans="1:15" x14ac:dyDescent="0.25">
      <c r="A14167" s="786" t="s">
        <v>25591</v>
      </c>
      <c r="B14167" s="787">
        <v>4</v>
      </c>
      <c r="C14167" s="787" t="s">
        <v>25592</v>
      </c>
      <c r="D14167" s="787">
        <v>0</v>
      </c>
      <c r="E14167" s="787">
        <v>88.97</v>
      </c>
      <c r="G14167" s="788">
        <v>41866</v>
      </c>
      <c r="H14167" s="787">
        <v>1</v>
      </c>
      <c r="I14167" s="788">
        <v>41866</v>
      </c>
      <c r="J14167" s="788">
        <v>41866</v>
      </c>
      <c r="K14167" s="788">
        <v>41866</v>
      </c>
      <c r="L14167" s="787">
        <v>254.2</v>
      </c>
      <c r="M14167" s="787">
        <v>20</v>
      </c>
      <c r="N14167" s="787">
        <v>273.27</v>
      </c>
      <c r="O14167" s="788">
        <v>41866</v>
      </c>
    </row>
    <row r="14168" spans="1:15" x14ac:dyDescent="0.25">
      <c r="A14168" s="786" t="s">
        <v>25593</v>
      </c>
      <c r="B14168" s="787">
        <v>4</v>
      </c>
      <c r="C14168" s="787" t="s">
        <v>25594</v>
      </c>
      <c r="D14168" s="787">
        <v>7.4</v>
      </c>
      <c r="E14168" s="787">
        <v>507.4</v>
      </c>
      <c r="F14168" s="788">
        <v>42019</v>
      </c>
      <c r="G14168" s="788">
        <v>42024</v>
      </c>
      <c r="H14168" s="787">
        <v>1</v>
      </c>
      <c r="I14168" s="788">
        <v>42018</v>
      </c>
      <c r="J14168" s="788">
        <v>42018</v>
      </c>
      <c r="K14168" s="788">
        <v>42012</v>
      </c>
      <c r="L14168" s="787">
        <v>413.4</v>
      </c>
      <c r="M14168" s="787">
        <v>20</v>
      </c>
      <c r="N14168" s="787">
        <v>444.41</v>
      </c>
      <c r="O14168" s="788">
        <v>42012</v>
      </c>
    </row>
    <row r="14169" spans="1:15" x14ac:dyDescent="0.25">
      <c r="A14169" s="786" t="s">
        <v>25595</v>
      </c>
      <c r="B14169" s="787">
        <v>4</v>
      </c>
      <c r="C14169" s="787" t="s">
        <v>25596</v>
      </c>
      <c r="D14169" s="787">
        <v>1.34</v>
      </c>
      <c r="E14169" s="787">
        <v>231.34</v>
      </c>
      <c r="F14169" s="788">
        <v>42052</v>
      </c>
      <c r="G14169" s="788">
        <v>42064</v>
      </c>
      <c r="H14169" s="787">
        <v>1</v>
      </c>
      <c r="I14169" s="788">
        <v>42060</v>
      </c>
      <c r="J14169" s="788">
        <v>42051</v>
      </c>
      <c r="K14169" s="788">
        <v>42044</v>
      </c>
      <c r="L14169" s="787">
        <v>149.34</v>
      </c>
      <c r="M14169" s="787">
        <v>20</v>
      </c>
      <c r="N14169" s="787">
        <v>160.54</v>
      </c>
      <c r="O14169" s="788">
        <v>42044</v>
      </c>
    </row>
    <row r="14170" spans="1:15" x14ac:dyDescent="0.25">
      <c r="A14170" s="786" t="s">
        <v>25597</v>
      </c>
      <c r="B14170" s="787">
        <v>4</v>
      </c>
      <c r="C14170" s="787" t="s">
        <v>25598</v>
      </c>
      <c r="D14170" s="787">
        <v>2.25</v>
      </c>
      <c r="E14170" s="787">
        <v>252.25</v>
      </c>
      <c r="F14170" s="788">
        <v>42128</v>
      </c>
      <c r="G14170" s="788">
        <v>42142</v>
      </c>
      <c r="H14170" s="787">
        <v>1</v>
      </c>
      <c r="J14170" s="788">
        <v>42124</v>
      </c>
      <c r="K14170" s="788">
        <v>42118</v>
      </c>
      <c r="L14170" s="787">
        <v>221.33</v>
      </c>
      <c r="M14170" s="787">
        <v>20</v>
      </c>
      <c r="N14170" s="787">
        <v>0</v>
      </c>
    </row>
    <row r="14171" spans="1:15" x14ac:dyDescent="0.25">
      <c r="A14171" s="786" t="s">
        <v>25599</v>
      </c>
      <c r="B14171" s="787">
        <v>4</v>
      </c>
      <c r="C14171" s="787" t="s">
        <v>25600</v>
      </c>
      <c r="D14171" s="787">
        <v>3.28</v>
      </c>
      <c r="E14171" s="787">
        <v>133.28</v>
      </c>
      <c r="F14171" s="788">
        <v>42123</v>
      </c>
      <c r="G14171" s="788">
        <v>42146</v>
      </c>
      <c r="H14171" s="787">
        <v>1</v>
      </c>
      <c r="J14171" s="788">
        <v>42146</v>
      </c>
      <c r="K14171" s="788">
        <v>42118</v>
      </c>
      <c r="L14171" s="787">
        <v>112.08</v>
      </c>
      <c r="M14171" s="787">
        <v>20</v>
      </c>
      <c r="N14171" s="787">
        <v>0</v>
      </c>
    </row>
    <row r="14172" spans="1:15" x14ac:dyDescent="0.25">
      <c r="A14172" s="786" t="s">
        <v>25601</v>
      </c>
      <c r="B14172" s="787">
        <v>4</v>
      </c>
      <c r="C14172" s="787" t="s">
        <v>25602</v>
      </c>
      <c r="D14172" s="787">
        <v>0.15</v>
      </c>
      <c r="E14172" s="787">
        <v>0.19</v>
      </c>
      <c r="F14172" s="788">
        <v>39101</v>
      </c>
      <c r="G14172" s="788">
        <v>42013</v>
      </c>
      <c r="H14172" s="787">
        <v>1</v>
      </c>
      <c r="I14172" s="788">
        <v>42087</v>
      </c>
      <c r="J14172" s="788">
        <v>40974</v>
      </c>
      <c r="L14172" s="787">
        <v>0.12</v>
      </c>
      <c r="M14172" s="787">
        <v>20</v>
      </c>
      <c r="N14172" s="787">
        <v>0.13</v>
      </c>
      <c r="O14172" s="788">
        <v>41989</v>
      </c>
    </row>
    <row r="14173" spans="1:15" x14ac:dyDescent="0.25">
      <c r="A14173" s="786" t="s">
        <v>25603</v>
      </c>
      <c r="B14173" s="787">
        <v>4</v>
      </c>
      <c r="C14173" s="787" t="s">
        <v>25604</v>
      </c>
      <c r="D14173" s="787">
        <v>0.14000000000000001</v>
      </c>
      <c r="E14173" s="787">
        <v>0.48</v>
      </c>
      <c r="F14173" s="788">
        <v>39101</v>
      </c>
      <c r="G14173" s="788">
        <v>41563</v>
      </c>
      <c r="H14173" s="787">
        <v>1</v>
      </c>
      <c r="I14173" s="788">
        <v>41554</v>
      </c>
      <c r="J14173" s="788">
        <v>41554</v>
      </c>
      <c r="K14173" s="788">
        <v>41865</v>
      </c>
      <c r="L14173" s="787">
        <v>0.2</v>
      </c>
      <c r="M14173" s="787">
        <v>20</v>
      </c>
      <c r="N14173" s="787">
        <v>0.2</v>
      </c>
      <c r="O14173" s="788">
        <v>41858</v>
      </c>
    </row>
    <row r="14174" spans="1:15" x14ac:dyDescent="0.25">
      <c r="A14174" s="786" t="s">
        <v>25605</v>
      </c>
      <c r="B14174" s="787">
        <v>4</v>
      </c>
      <c r="C14174" s="787" t="s">
        <v>25606</v>
      </c>
      <c r="D14174" s="787">
        <v>3</v>
      </c>
      <c r="E14174" s="787">
        <v>56.05</v>
      </c>
      <c r="F14174" s="788">
        <v>42017</v>
      </c>
      <c r="G14174" s="788">
        <v>42166</v>
      </c>
      <c r="H14174" s="787">
        <v>1</v>
      </c>
      <c r="I14174" s="788">
        <v>42157</v>
      </c>
      <c r="J14174" s="788">
        <v>42166</v>
      </c>
      <c r="K14174" s="788">
        <v>42017</v>
      </c>
      <c r="L14174" s="787">
        <v>43.9</v>
      </c>
      <c r="M14174" s="787">
        <v>20</v>
      </c>
      <c r="N14174" s="787">
        <v>47.19</v>
      </c>
      <c r="O14174" s="788">
        <v>42164</v>
      </c>
    </row>
    <row r="14175" spans="1:15" x14ac:dyDescent="0.25">
      <c r="A14175" s="786" t="s">
        <v>25607</v>
      </c>
      <c r="B14175" s="787">
        <v>4</v>
      </c>
      <c r="C14175" s="787" t="s">
        <v>25608</v>
      </c>
      <c r="D14175" s="787">
        <v>0.21</v>
      </c>
      <c r="E14175" s="787">
        <v>1.46</v>
      </c>
      <c r="F14175" s="788">
        <v>39101</v>
      </c>
      <c r="G14175" s="788">
        <v>42125</v>
      </c>
      <c r="H14175" s="787">
        <v>1</v>
      </c>
      <c r="I14175" s="788">
        <v>42090</v>
      </c>
      <c r="J14175" s="788">
        <v>42089</v>
      </c>
      <c r="K14175" s="788">
        <v>41025</v>
      </c>
      <c r="L14175" s="787">
        <v>0.35</v>
      </c>
      <c r="M14175" s="787">
        <v>20</v>
      </c>
      <c r="N14175" s="787">
        <v>0.38</v>
      </c>
      <c r="O14175" s="788">
        <v>41858</v>
      </c>
    </row>
    <row r="14176" spans="1:15" x14ac:dyDescent="0.25">
      <c r="A14176" s="786" t="s">
        <v>25609</v>
      </c>
      <c r="B14176" s="787">
        <v>4</v>
      </c>
      <c r="C14176" s="787" t="s">
        <v>25610</v>
      </c>
      <c r="D14176" s="787">
        <v>0.5</v>
      </c>
      <c r="E14176" s="787">
        <v>0.5</v>
      </c>
      <c r="F14176" s="788">
        <v>38146</v>
      </c>
      <c r="G14176" s="788">
        <v>38736</v>
      </c>
      <c r="H14176" s="787">
        <v>1</v>
      </c>
      <c r="I14176" s="788">
        <v>39134</v>
      </c>
      <c r="J14176" s="788">
        <v>38146</v>
      </c>
      <c r="L14176" s="787">
        <v>0.55000000000000004</v>
      </c>
      <c r="M14176" s="787">
        <v>20</v>
      </c>
      <c r="N14176" s="787">
        <v>0.59</v>
      </c>
      <c r="O14176" s="788">
        <v>41858</v>
      </c>
    </row>
    <row r="14177" spans="1:15" x14ac:dyDescent="0.25">
      <c r="A14177" s="786" t="s">
        <v>25611</v>
      </c>
      <c r="B14177" s="787">
        <v>4</v>
      </c>
      <c r="C14177" s="787" t="s">
        <v>25612</v>
      </c>
      <c r="D14177" s="787">
        <v>0.24</v>
      </c>
      <c r="E14177" s="787">
        <v>0.24</v>
      </c>
      <c r="F14177" s="788">
        <v>39975</v>
      </c>
      <c r="G14177" s="788">
        <v>41255</v>
      </c>
      <c r="H14177" s="787">
        <v>1</v>
      </c>
      <c r="I14177" s="788">
        <v>39331</v>
      </c>
      <c r="J14177" s="788">
        <v>39149</v>
      </c>
      <c r="L14177" s="787">
        <v>0.61</v>
      </c>
      <c r="M14177" s="787">
        <v>10</v>
      </c>
      <c r="N14177" s="787">
        <v>1.31</v>
      </c>
      <c r="O14177" s="788">
        <v>41858</v>
      </c>
    </row>
    <row r="14178" spans="1:15" x14ac:dyDescent="0.25">
      <c r="A14178" s="786" t="s">
        <v>25613</v>
      </c>
      <c r="B14178" s="787">
        <v>4</v>
      </c>
      <c r="C14178" s="787" t="s">
        <v>25614</v>
      </c>
      <c r="D14178" s="787">
        <v>0.2</v>
      </c>
      <c r="E14178" s="787">
        <v>0.2</v>
      </c>
      <c r="F14178" s="788">
        <v>41607</v>
      </c>
      <c r="G14178" s="788">
        <v>42013</v>
      </c>
      <c r="H14178" s="787">
        <v>1</v>
      </c>
      <c r="I14178" s="788">
        <v>42121</v>
      </c>
      <c r="J14178" s="788">
        <v>41989</v>
      </c>
      <c r="K14178" s="788">
        <v>41261</v>
      </c>
      <c r="L14178" s="787">
        <v>0.19</v>
      </c>
      <c r="M14178" s="787">
        <v>20</v>
      </c>
      <c r="N14178" s="787">
        <v>0.2</v>
      </c>
      <c r="O14178" s="788">
        <v>41989</v>
      </c>
    </row>
    <row r="14179" spans="1:15" x14ac:dyDescent="0.25">
      <c r="A14179" s="786" t="s">
        <v>25615</v>
      </c>
      <c r="B14179" s="787">
        <v>4</v>
      </c>
      <c r="C14179" s="787" t="s">
        <v>25616</v>
      </c>
      <c r="D14179" s="787">
        <v>0.13</v>
      </c>
      <c r="E14179" s="787">
        <v>0.21</v>
      </c>
      <c r="F14179" s="788">
        <v>39423</v>
      </c>
      <c r="G14179" s="788">
        <v>42159</v>
      </c>
      <c r="H14179" s="787">
        <v>1</v>
      </c>
      <c r="I14179" s="788">
        <v>42166</v>
      </c>
      <c r="J14179" s="788">
        <v>42159</v>
      </c>
      <c r="L14179" s="787">
        <v>0.25</v>
      </c>
      <c r="M14179" s="787">
        <v>20</v>
      </c>
      <c r="N14179" s="787">
        <v>0.27</v>
      </c>
      <c r="O14179" s="788">
        <v>42164</v>
      </c>
    </row>
    <row r="14180" spans="1:15" x14ac:dyDescent="0.25">
      <c r="A14180" s="786" t="s">
        <v>25617</v>
      </c>
      <c r="B14180" s="787">
        <v>4</v>
      </c>
      <c r="C14180" s="787" t="s">
        <v>25618</v>
      </c>
      <c r="D14180" s="787">
        <v>0</v>
      </c>
      <c r="E14180" s="787">
        <v>0</v>
      </c>
      <c r="H14180" s="787">
        <v>1</v>
      </c>
      <c r="I14180" s="788">
        <v>41608</v>
      </c>
      <c r="L14180" s="787">
        <v>0.8</v>
      </c>
      <c r="M14180" s="787">
        <v>20</v>
      </c>
      <c r="N14180" s="787">
        <v>0.86</v>
      </c>
      <c r="O14180" s="788">
        <v>41858</v>
      </c>
    </row>
    <row r="14181" spans="1:15" x14ac:dyDescent="0.25">
      <c r="A14181" s="786" t="s">
        <v>25619</v>
      </c>
      <c r="B14181" s="787">
        <v>4</v>
      </c>
      <c r="C14181" s="787" t="s">
        <v>25620</v>
      </c>
      <c r="D14181" s="787">
        <v>0</v>
      </c>
      <c r="E14181" s="787">
        <v>0</v>
      </c>
      <c r="H14181" s="787">
        <v>1</v>
      </c>
      <c r="L14181" s="787">
        <v>2.0499999999999998</v>
      </c>
      <c r="M14181" s="787">
        <v>20</v>
      </c>
      <c r="N14181" s="787">
        <v>2.2000000000000002</v>
      </c>
      <c r="O14181" s="788">
        <v>42164</v>
      </c>
    </row>
    <row r="14182" spans="1:15" x14ac:dyDescent="0.25">
      <c r="A14182" s="786" t="s">
        <v>25621</v>
      </c>
      <c r="B14182" s="787">
        <v>4</v>
      </c>
      <c r="C14182" s="787" t="s">
        <v>25622</v>
      </c>
      <c r="D14182" s="787">
        <v>0</v>
      </c>
      <c r="E14182" s="787">
        <v>0</v>
      </c>
      <c r="H14182" s="787">
        <v>1</v>
      </c>
      <c r="L14182" s="787">
        <v>5.93</v>
      </c>
      <c r="M14182" s="787">
        <v>20</v>
      </c>
      <c r="N14182" s="787">
        <v>6.37</v>
      </c>
      <c r="O14182" s="788">
        <v>42164</v>
      </c>
    </row>
    <row r="14183" spans="1:15" x14ac:dyDescent="0.25">
      <c r="A14183" s="786" t="s">
        <v>25623</v>
      </c>
      <c r="B14183" s="787">
        <v>4</v>
      </c>
      <c r="C14183" s="787" t="s">
        <v>25624</v>
      </c>
      <c r="D14183" s="787">
        <v>0</v>
      </c>
      <c r="E14183" s="787">
        <v>0</v>
      </c>
      <c r="H14183" s="787">
        <v>1</v>
      </c>
      <c r="I14183" s="788">
        <v>41149</v>
      </c>
      <c r="L14183" s="787">
        <v>5.33</v>
      </c>
      <c r="M14183" s="787">
        <v>20</v>
      </c>
      <c r="N14183" s="787">
        <v>5.73</v>
      </c>
      <c r="O14183" s="788">
        <v>42164</v>
      </c>
    </row>
    <row r="14184" spans="1:15" x14ac:dyDescent="0.25">
      <c r="A14184" s="786" t="s">
        <v>25625</v>
      </c>
      <c r="B14184" s="787">
        <v>4</v>
      </c>
      <c r="C14184" s="787" t="s">
        <v>25626</v>
      </c>
      <c r="D14184" s="787">
        <v>4.92</v>
      </c>
      <c r="E14184" s="787">
        <v>24.92</v>
      </c>
      <c r="F14184" s="788">
        <v>41540</v>
      </c>
      <c r="G14184" s="788">
        <v>42013</v>
      </c>
      <c r="H14184" s="787">
        <v>1</v>
      </c>
      <c r="I14184" s="788">
        <v>42123</v>
      </c>
      <c r="J14184" s="788">
        <v>41676</v>
      </c>
      <c r="K14184" s="788">
        <v>41289</v>
      </c>
      <c r="L14184" s="787">
        <v>27.32</v>
      </c>
      <c r="M14184" s="787">
        <v>20</v>
      </c>
      <c r="N14184" s="787">
        <v>29.37</v>
      </c>
      <c r="O14184" s="788">
        <v>42027</v>
      </c>
    </row>
    <row r="14185" spans="1:15" x14ac:dyDescent="0.25">
      <c r="A14185" s="786" t="s">
        <v>25627</v>
      </c>
      <c r="B14185" s="787">
        <v>4</v>
      </c>
      <c r="C14185" s="787" t="s">
        <v>25628</v>
      </c>
      <c r="D14185" s="787">
        <v>0.1</v>
      </c>
      <c r="E14185" s="787">
        <v>30.28</v>
      </c>
      <c r="F14185" s="788">
        <v>41491</v>
      </c>
      <c r="G14185" s="788">
        <v>42013</v>
      </c>
      <c r="H14185" s="787">
        <v>1</v>
      </c>
      <c r="I14185" s="788">
        <v>42165</v>
      </c>
      <c r="J14185" s="788">
        <v>41976</v>
      </c>
      <c r="K14185" s="788">
        <v>41442</v>
      </c>
      <c r="L14185" s="787">
        <v>30.36</v>
      </c>
      <c r="M14185" s="787">
        <v>20</v>
      </c>
      <c r="N14185" s="787">
        <v>32.64</v>
      </c>
      <c r="O14185" s="788">
        <v>42146</v>
      </c>
    </row>
    <row r="14186" spans="1:15" x14ac:dyDescent="0.25">
      <c r="A14186" s="786" t="s">
        <v>25629</v>
      </c>
      <c r="B14186" s="787">
        <v>4</v>
      </c>
      <c r="C14186" s="787" t="s">
        <v>25630</v>
      </c>
      <c r="D14186" s="787">
        <v>8.15</v>
      </c>
      <c r="E14186" s="787">
        <v>8.15</v>
      </c>
      <c r="F14186" s="788">
        <v>41449</v>
      </c>
      <c r="G14186" s="788">
        <v>41456</v>
      </c>
      <c r="H14186" s="787">
        <v>1</v>
      </c>
      <c r="J14186" s="788">
        <v>41446</v>
      </c>
      <c r="K14186" s="788">
        <v>41445</v>
      </c>
      <c r="L14186" s="787">
        <v>8.15</v>
      </c>
      <c r="M14186" s="787">
        <v>20</v>
      </c>
      <c r="N14186" s="787">
        <v>8.76</v>
      </c>
      <c r="O14186" s="788">
        <v>41858</v>
      </c>
    </row>
    <row r="14187" spans="1:15" x14ac:dyDescent="0.25">
      <c r="A14187" s="786" t="s">
        <v>25631</v>
      </c>
      <c r="B14187" s="787">
        <v>4</v>
      </c>
      <c r="C14187" s="787" t="s">
        <v>25632</v>
      </c>
      <c r="D14187" s="787">
        <v>5.6</v>
      </c>
      <c r="E14187" s="787">
        <v>15.6</v>
      </c>
      <c r="F14187" s="788">
        <v>41474</v>
      </c>
      <c r="G14187" s="788">
        <v>41472</v>
      </c>
      <c r="H14187" s="787">
        <v>1</v>
      </c>
      <c r="I14187" s="788">
        <v>42152</v>
      </c>
      <c r="J14187" s="788">
        <v>41983</v>
      </c>
      <c r="K14187" s="788">
        <v>41450</v>
      </c>
      <c r="L14187" s="787">
        <v>15.6</v>
      </c>
      <c r="M14187" s="787">
        <v>20</v>
      </c>
      <c r="N14187" s="787">
        <v>16.77</v>
      </c>
      <c r="O14187" s="788">
        <v>41989</v>
      </c>
    </row>
    <row r="14188" spans="1:15" x14ac:dyDescent="0.25">
      <c r="A14188" s="786" t="s">
        <v>25633</v>
      </c>
      <c r="B14188" s="787">
        <v>4</v>
      </c>
      <c r="C14188" s="787" t="s">
        <v>25634</v>
      </c>
      <c r="D14188" s="787">
        <v>0.32</v>
      </c>
      <c r="E14188" s="787">
        <v>0.32</v>
      </c>
      <c r="F14188" s="788">
        <v>42028</v>
      </c>
      <c r="G14188" s="788">
        <v>42046</v>
      </c>
      <c r="H14188" s="787">
        <v>1</v>
      </c>
      <c r="I14188" s="788">
        <v>42025</v>
      </c>
      <c r="J14188" s="788">
        <v>42020</v>
      </c>
      <c r="K14188" s="788">
        <v>41690</v>
      </c>
      <c r="L14188" s="787">
        <v>0.3</v>
      </c>
      <c r="M14188" s="787">
        <v>20</v>
      </c>
      <c r="N14188" s="787">
        <v>0.32</v>
      </c>
      <c r="O14188" s="788">
        <v>41858</v>
      </c>
    </row>
    <row r="14189" spans="1:15" x14ac:dyDescent="0.25">
      <c r="A14189" s="786" t="s">
        <v>25635</v>
      </c>
      <c r="B14189" s="787">
        <v>4</v>
      </c>
      <c r="C14189" s="787" t="s">
        <v>25636</v>
      </c>
      <c r="D14189" s="787">
        <v>0.85</v>
      </c>
      <c r="E14189" s="787">
        <v>0.89</v>
      </c>
      <c r="F14189" s="788">
        <v>41722</v>
      </c>
      <c r="G14189" s="788">
        <v>42106</v>
      </c>
      <c r="H14189" s="787">
        <v>1</v>
      </c>
      <c r="I14189" s="788">
        <v>42123</v>
      </c>
      <c r="J14189" s="788">
        <v>42076</v>
      </c>
      <c r="K14189" s="788">
        <v>42074</v>
      </c>
      <c r="L14189" s="787">
        <v>0.88</v>
      </c>
      <c r="M14189" s="787">
        <v>20</v>
      </c>
      <c r="N14189" s="787">
        <v>0.95</v>
      </c>
      <c r="O14189" s="788">
        <v>42111</v>
      </c>
    </row>
    <row r="14190" spans="1:15" x14ac:dyDescent="0.25">
      <c r="A14190" s="786" t="s">
        <v>25637</v>
      </c>
      <c r="B14190" s="787">
        <v>4</v>
      </c>
      <c r="C14190" s="787" t="s">
        <v>25638</v>
      </c>
      <c r="D14190" s="787">
        <v>3.21</v>
      </c>
      <c r="E14190" s="787">
        <v>233.21</v>
      </c>
      <c r="F14190" s="788">
        <v>41885</v>
      </c>
      <c r="G14190" s="788">
        <v>41886</v>
      </c>
      <c r="H14190" s="787">
        <v>1</v>
      </c>
      <c r="I14190" s="788">
        <v>41894</v>
      </c>
      <c r="J14190" s="788">
        <v>41880</v>
      </c>
      <c r="K14190" s="788">
        <v>41869</v>
      </c>
      <c r="L14190" s="787">
        <v>229.95</v>
      </c>
      <c r="M14190" s="787">
        <v>20</v>
      </c>
      <c r="N14190" s="787">
        <v>247.2</v>
      </c>
      <c r="O14190" s="788">
        <v>41869</v>
      </c>
    </row>
    <row r="14191" spans="1:15" x14ac:dyDescent="0.25">
      <c r="A14191" s="786" t="s">
        <v>25639</v>
      </c>
      <c r="B14191" s="787">
        <v>4</v>
      </c>
      <c r="C14191" s="787" t="s">
        <v>25640</v>
      </c>
      <c r="D14191" s="787">
        <v>2.4</v>
      </c>
      <c r="E14191" s="787">
        <v>112.4</v>
      </c>
      <c r="F14191" s="788">
        <v>41899</v>
      </c>
      <c r="G14191" s="788">
        <v>41904</v>
      </c>
      <c r="H14191" s="787">
        <v>1</v>
      </c>
      <c r="I14191" s="788">
        <v>41911</v>
      </c>
      <c r="J14191" s="788">
        <v>41894</v>
      </c>
      <c r="K14191" s="788">
        <v>41885</v>
      </c>
      <c r="L14191" s="787">
        <v>100.8</v>
      </c>
      <c r="M14191" s="787">
        <v>20</v>
      </c>
      <c r="N14191" s="787">
        <v>108.36</v>
      </c>
      <c r="O14191" s="788">
        <v>41885</v>
      </c>
    </row>
    <row r="14192" spans="1:15" x14ac:dyDescent="0.25">
      <c r="A14192" s="786" t="s">
        <v>25641</v>
      </c>
      <c r="B14192" s="787">
        <v>4</v>
      </c>
      <c r="C14192" s="787" t="s">
        <v>25642</v>
      </c>
      <c r="D14192" s="787">
        <v>0.34</v>
      </c>
      <c r="E14192" s="787">
        <v>0.34</v>
      </c>
      <c r="F14192" s="788">
        <v>41898</v>
      </c>
      <c r="G14192" s="788">
        <v>41898</v>
      </c>
      <c r="H14192" s="787">
        <v>1</v>
      </c>
      <c r="J14192" s="788">
        <v>41887</v>
      </c>
      <c r="K14192" s="788">
        <v>41886</v>
      </c>
      <c r="L14192" s="787">
        <v>0.8</v>
      </c>
      <c r="M14192" s="787">
        <v>20</v>
      </c>
      <c r="N14192" s="787">
        <v>0.86</v>
      </c>
      <c r="O14192" s="788">
        <v>41886</v>
      </c>
    </row>
    <row r="14193" spans="1:15" x14ac:dyDescent="0.25">
      <c r="A14193" s="786" t="s">
        <v>25643</v>
      </c>
      <c r="B14193" s="787">
        <v>4</v>
      </c>
      <c r="C14193" s="787" t="s">
        <v>25644</v>
      </c>
      <c r="D14193" s="787">
        <v>0.08</v>
      </c>
      <c r="E14193" s="787">
        <v>0.11</v>
      </c>
      <c r="F14193" s="788">
        <v>38047</v>
      </c>
      <c r="G14193" s="788">
        <v>38736</v>
      </c>
      <c r="H14193" s="787">
        <v>1</v>
      </c>
      <c r="I14193" s="788">
        <v>39134</v>
      </c>
      <c r="J14193" s="788">
        <v>38607</v>
      </c>
      <c r="L14193" s="787">
        <v>0.1</v>
      </c>
      <c r="M14193" s="787">
        <v>20</v>
      </c>
      <c r="N14193" s="787">
        <v>0.11</v>
      </c>
      <c r="O14193" s="788">
        <v>41858</v>
      </c>
    </row>
    <row r="14194" spans="1:15" x14ac:dyDescent="0.25">
      <c r="A14194" s="786" t="s">
        <v>25645</v>
      </c>
      <c r="B14194" s="787">
        <v>4</v>
      </c>
      <c r="C14194" s="787" t="s">
        <v>25646</v>
      </c>
      <c r="D14194" s="787">
        <v>0.14000000000000001</v>
      </c>
      <c r="E14194" s="787">
        <v>0.09</v>
      </c>
      <c r="F14194" s="788">
        <v>39101</v>
      </c>
      <c r="G14194" s="788">
        <v>39101</v>
      </c>
      <c r="H14194" s="787">
        <v>1</v>
      </c>
      <c r="I14194" s="788">
        <v>39134</v>
      </c>
      <c r="J14194" s="788">
        <v>39149</v>
      </c>
      <c r="L14194" s="787">
        <v>0.1</v>
      </c>
      <c r="M14194" s="787">
        <v>20</v>
      </c>
      <c r="N14194" s="787">
        <v>0.11</v>
      </c>
      <c r="O14194" s="788">
        <v>41858</v>
      </c>
    </row>
    <row r="14195" spans="1:15" x14ac:dyDescent="0.25">
      <c r="A14195" s="786" t="s">
        <v>25647</v>
      </c>
      <c r="B14195" s="787">
        <v>4</v>
      </c>
      <c r="C14195" s="787" t="s">
        <v>25648</v>
      </c>
      <c r="D14195" s="787">
        <v>5.0199999999999996</v>
      </c>
      <c r="E14195" s="787">
        <v>125.02</v>
      </c>
      <c r="F14195" s="788">
        <v>41593</v>
      </c>
      <c r="G14195" s="788">
        <v>41904</v>
      </c>
      <c r="H14195" s="787">
        <v>1</v>
      </c>
      <c r="I14195" s="788">
        <v>42023</v>
      </c>
      <c r="J14195" s="788">
        <v>42018</v>
      </c>
      <c r="K14195" s="788">
        <v>41556</v>
      </c>
      <c r="L14195" s="787">
        <v>99</v>
      </c>
      <c r="M14195" s="787">
        <v>20</v>
      </c>
      <c r="N14195" s="787">
        <v>106.43</v>
      </c>
      <c r="O14195" s="788">
        <v>42127</v>
      </c>
    </row>
    <row r="14196" spans="1:15" x14ac:dyDescent="0.25">
      <c r="A14196" s="786" t="s">
        <v>25649</v>
      </c>
      <c r="B14196" s="787">
        <v>4</v>
      </c>
      <c r="C14196" s="787" t="s">
        <v>25650</v>
      </c>
      <c r="D14196" s="787">
        <v>6.65</v>
      </c>
      <c r="E14196" s="787">
        <v>16.649999999999999</v>
      </c>
      <c r="F14196" s="788">
        <v>41852</v>
      </c>
      <c r="G14196" s="788">
        <v>41855</v>
      </c>
      <c r="H14196" s="787">
        <v>1</v>
      </c>
      <c r="I14196" s="788">
        <v>41894</v>
      </c>
      <c r="J14196" s="788">
        <v>41850</v>
      </c>
      <c r="K14196" s="788">
        <v>41845</v>
      </c>
      <c r="L14196" s="787">
        <v>3.52</v>
      </c>
      <c r="M14196" s="787">
        <v>20</v>
      </c>
      <c r="N14196" s="787">
        <v>3.78</v>
      </c>
      <c r="O14196" s="788">
        <v>41858</v>
      </c>
    </row>
    <row r="14197" spans="1:15" x14ac:dyDescent="0.25">
      <c r="A14197" s="786" t="s">
        <v>25651</v>
      </c>
      <c r="B14197" s="787">
        <v>4</v>
      </c>
      <c r="C14197" s="787" t="s">
        <v>25652</v>
      </c>
      <c r="D14197" s="787">
        <v>4.29</v>
      </c>
      <c r="E14197" s="787">
        <v>14.29</v>
      </c>
      <c r="F14197" s="788">
        <v>42024</v>
      </c>
      <c r="G14197" s="788">
        <v>42030</v>
      </c>
      <c r="H14197" s="787">
        <v>1</v>
      </c>
      <c r="I14197" s="788">
        <v>42123</v>
      </c>
      <c r="J14197" s="788">
        <v>42023</v>
      </c>
      <c r="K14197" s="788">
        <v>41527</v>
      </c>
      <c r="L14197" s="787">
        <v>22.4</v>
      </c>
      <c r="M14197" s="787">
        <v>20</v>
      </c>
      <c r="N14197" s="787">
        <v>24.08</v>
      </c>
      <c r="O14197" s="788">
        <v>42127</v>
      </c>
    </row>
    <row r="14198" spans="1:15" x14ac:dyDescent="0.25">
      <c r="A14198" s="786" t="s">
        <v>25653</v>
      </c>
      <c r="B14198" s="787">
        <v>4</v>
      </c>
      <c r="C14198" s="787" t="s">
        <v>25654</v>
      </c>
      <c r="D14198" s="787">
        <v>6.09</v>
      </c>
      <c r="E14198" s="787">
        <v>26.09</v>
      </c>
      <c r="F14198" s="788">
        <v>41764</v>
      </c>
      <c r="G14198" s="788">
        <v>42013</v>
      </c>
      <c r="H14198" s="787">
        <v>1</v>
      </c>
      <c r="I14198" s="788">
        <v>42123</v>
      </c>
      <c r="J14198" s="788">
        <v>41764</v>
      </c>
      <c r="K14198" s="788">
        <v>41869</v>
      </c>
      <c r="L14198" s="787">
        <v>26.09</v>
      </c>
      <c r="M14198" s="787">
        <v>20</v>
      </c>
      <c r="N14198" s="787">
        <v>28.05</v>
      </c>
      <c r="O14198" s="788">
        <v>42127</v>
      </c>
    </row>
    <row r="14199" spans="1:15" x14ac:dyDescent="0.25">
      <c r="A14199" s="786" t="s">
        <v>25655</v>
      </c>
      <c r="B14199" s="787">
        <v>4</v>
      </c>
      <c r="C14199" s="787" t="s">
        <v>25656</v>
      </c>
      <c r="D14199" s="787">
        <v>7.6</v>
      </c>
      <c r="E14199" s="787">
        <v>14.46</v>
      </c>
      <c r="F14199" s="788">
        <v>42096</v>
      </c>
      <c r="G14199" s="788">
        <v>42163</v>
      </c>
      <c r="H14199" s="787">
        <v>1</v>
      </c>
      <c r="I14199" s="788">
        <v>42164</v>
      </c>
      <c r="J14199" s="788">
        <v>42163</v>
      </c>
      <c r="K14199" s="788">
        <v>42093</v>
      </c>
      <c r="L14199" s="787">
        <v>3.96</v>
      </c>
      <c r="M14199" s="787">
        <v>20</v>
      </c>
      <c r="N14199" s="787">
        <v>4.26</v>
      </c>
      <c r="O14199" s="788">
        <v>42146</v>
      </c>
    </row>
    <row r="14200" spans="1:15" x14ac:dyDescent="0.25">
      <c r="A14200" s="786" t="s">
        <v>25657</v>
      </c>
      <c r="B14200" s="787">
        <v>4</v>
      </c>
      <c r="C14200" s="787" t="s">
        <v>25658</v>
      </c>
      <c r="D14200" s="787">
        <v>9.5399999999999991</v>
      </c>
      <c r="E14200" s="787">
        <v>9.5399999999999991</v>
      </c>
      <c r="F14200" s="788">
        <v>39959</v>
      </c>
      <c r="G14200" s="788">
        <v>41659</v>
      </c>
      <c r="H14200" s="787">
        <v>1</v>
      </c>
      <c r="I14200" s="788">
        <v>42076</v>
      </c>
      <c r="J14200" s="788">
        <v>42079</v>
      </c>
      <c r="L14200" s="787">
        <v>9.5399999999999991</v>
      </c>
      <c r="M14200" s="787">
        <v>20</v>
      </c>
      <c r="N14200" s="787">
        <v>10.26</v>
      </c>
      <c r="O14200" s="788">
        <v>42127</v>
      </c>
    </row>
    <row r="14201" spans="1:15" x14ac:dyDescent="0.25">
      <c r="A14201" s="786" t="s">
        <v>25659</v>
      </c>
      <c r="B14201" s="787">
        <v>4</v>
      </c>
      <c r="C14201" s="787" t="s">
        <v>25660</v>
      </c>
      <c r="D14201" s="787">
        <v>0.1</v>
      </c>
      <c r="E14201" s="787">
        <v>0.1</v>
      </c>
      <c r="F14201" s="788">
        <v>39506</v>
      </c>
      <c r="G14201" s="788">
        <v>39506</v>
      </c>
      <c r="H14201" s="787">
        <v>1</v>
      </c>
      <c r="I14201" s="788">
        <v>39500</v>
      </c>
      <c r="J14201" s="788">
        <v>39490</v>
      </c>
      <c r="K14201" s="788">
        <v>41869</v>
      </c>
      <c r="L14201" s="787">
        <v>0.1</v>
      </c>
      <c r="M14201" s="787">
        <v>20</v>
      </c>
      <c r="N14201" s="787">
        <v>0.22</v>
      </c>
      <c r="O14201" s="788">
        <v>41858</v>
      </c>
    </row>
    <row r="14202" spans="1:15" x14ac:dyDescent="0.25">
      <c r="A14202" s="786" t="s">
        <v>25661</v>
      </c>
      <c r="B14202" s="787">
        <v>4</v>
      </c>
      <c r="C14202" s="787" t="s">
        <v>25662</v>
      </c>
      <c r="D14202" s="787">
        <v>0.17</v>
      </c>
      <c r="E14202" s="787">
        <v>0.24</v>
      </c>
      <c r="F14202" s="788">
        <v>39843</v>
      </c>
      <c r="G14202" s="788">
        <v>42156</v>
      </c>
      <c r="H14202" s="787">
        <v>1</v>
      </c>
      <c r="I14202" s="788">
        <v>42160</v>
      </c>
      <c r="J14202" s="788">
        <v>42142</v>
      </c>
      <c r="L14202" s="787">
        <v>0.24</v>
      </c>
      <c r="M14202" s="787">
        <v>20</v>
      </c>
      <c r="N14202" s="787">
        <v>0.26</v>
      </c>
      <c r="O14202" s="788">
        <v>42146</v>
      </c>
    </row>
    <row r="14203" spans="1:15" x14ac:dyDescent="0.25">
      <c r="A14203" s="786" t="s">
        <v>25663</v>
      </c>
      <c r="B14203" s="787">
        <v>4</v>
      </c>
      <c r="C14203" s="787" t="s">
        <v>25664</v>
      </c>
      <c r="D14203" s="787">
        <v>3</v>
      </c>
      <c r="E14203" s="787">
        <v>17.399999999999999</v>
      </c>
      <c r="F14203" s="788">
        <v>42023</v>
      </c>
      <c r="G14203" s="788">
        <v>42030</v>
      </c>
      <c r="H14203" s="787">
        <v>1</v>
      </c>
      <c r="I14203" s="788">
        <v>42164</v>
      </c>
      <c r="J14203" s="788">
        <v>42023</v>
      </c>
      <c r="K14203" s="788">
        <v>42023</v>
      </c>
      <c r="L14203" s="787">
        <v>11.03</v>
      </c>
      <c r="M14203" s="787">
        <v>20</v>
      </c>
      <c r="N14203" s="787">
        <v>11.86</v>
      </c>
      <c r="O14203" s="788">
        <v>42146</v>
      </c>
    </row>
    <row r="14204" spans="1:15" x14ac:dyDescent="0.25">
      <c r="A14204" s="786" t="s">
        <v>25665</v>
      </c>
      <c r="B14204" s="787">
        <v>4</v>
      </c>
      <c r="C14204" s="787" t="s">
        <v>25666</v>
      </c>
      <c r="D14204" s="787">
        <v>0.09</v>
      </c>
      <c r="E14204" s="787">
        <v>0.16</v>
      </c>
      <c r="F14204" s="788">
        <v>40333</v>
      </c>
      <c r="G14204" s="788">
        <v>42013</v>
      </c>
      <c r="H14204" s="787">
        <v>1</v>
      </c>
      <c r="I14204" s="788">
        <v>42159</v>
      </c>
      <c r="J14204" s="788">
        <v>41967</v>
      </c>
      <c r="L14204" s="787">
        <v>0.09</v>
      </c>
      <c r="M14204" s="787">
        <v>20</v>
      </c>
      <c r="N14204" s="787">
        <v>0.1</v>
      </c>
      <c r="O14204" s="788">
        <v>41858</v>
      </c>
    </row>
    <row r="14205" spans="1:15" x14ac:dyDescent="0.25">
      <c r="A14205" s="786" t="s">
        <v>25667</v>
      </c>
      <c r="B14205" s="787">
        <v>4</v>
      </c>
      <c r="C14205" s="787" t="s">
        <v>25668</v>
      </c>
      <c r="D14205" s="787">
        <v>0.43</v>
      </c>
      <c r="E14205" s="787">
        <v>0.43</v>
      </c>
      <c r="F14205" s="788">
        <v>40242</v>
      </c>
      <c r="G14205" s="788">
        <v>42013</v>
      </c>
      <c r="H14205" s="787">
        <v>1</v>
      </c>
      <c r="J14205" s="788">
        <v>40240</v>
      </c>
      <c r="L14205" s="787">
        <v>0.43</v>
      </c>
      <c r="M14205" s="787">
        <v>20</v>
      </c>
      <c r="N14205" s="787">
        <v>0.46</v>
      </c>
      <c r="O14205" s="788">
        <v>41858</v>
      </c>
    </row>
    <row r="14206" spans="1:15" x14ac:dyDescent="0.25">
      <c r="A14206" s="786" t="s">
        <v>25669</v>
      </c>
      <c r="B14206" s="787">
        <v>4</v>
      </c>
      <c r="C14206" s="787" t="s">
        <v>25670</v>
      </c>
      <c r="D14206" s="787">
        <v>0.43</v>
      </c>
      <c r="E14206" s="787">
        <v>0.43</v>
      </c>
      <c r="F14206" s="788">
        <v>40242</v>
      </c>
      <c r="G14206" s="788">
        <v>42013</v>
      </c>
      <c r="H14206" s="787">
        <v>1</v>
      </c>
      <c r="I14206" s="788">
        <v>41976</v>
      </c>
      <c r="J14206" s="788">
        <v>40240</v>
      </c>
      <c r="L14206" s="787">
        <v>0.43</v>
      </c>
      <c r="M14206" s="787">
        <v>20</v>
      </c>
      <c r="N14206" s="787">
        <v>0.46</v>
      </c>
      <c r="O14206" s="788">
        <v>41858</v>
      </c>
    </row>
    <row r="14207" spans="1:15" x14ac:dyDescent="0.25">
      <c r="A14207" s="786" t="s">
        <v>25671</v>
      </c>
      <c r="B14207" s="787">
        <v>4</v>
      </c>
      <c r="C14207" s="787" t="s">
        <v>25672</v>
      </c>
      <c r="D14207" s="787">
        <v>0</v>
      </c>
      <c r="E14207" s="787">
        <v>24.9</v>
      </c>
      <c r="G14207" s="788">
        <v>42086</v>
      </c>
      <c r="H14207" s="787">
        <v>1</v>
      </c>
      <c r="I14207" s="788">
        <v>42160</v>
      </c>
      <c r="J14207" s="788">
        <v>42086</v>
      </c>
      <c r="K14207" s="788">
        <v>41424</v>
      </c>
      <c r="L14207" s="787">
        <v>24.9</v>
      </c>
      <c r="M14207" s="787">
        <v>20</v>
      </c>
      <c r="N14207" s="787">
        <v>26.77</v>
      </c>
      <c r="O14207" s="788">
        <v>42146</v>
      </c>
    </row>
    <row r="14208" spans="1:15" x14ac:dyDescent="0.25">
      <c r="A14208" s="786" t="s">
        <v>25673</v>
      </c>
      <c r="B14208" s="787">
        <v>4</v>
      </c>
      <c r="C14208" s="787" t="s">
        <v>25674</v>
      </c>
      <c r="D14208" s="787">
        <v>0.26</v>
      </c>
      <c r="E14208" s="787">
        <v>850.26</v>
      </c>
      <c r="F14208" s="788">
        <v>41963</v>
      </c>
      <c r="G14208" s="788">
        <v>41963</v>
      </c>
      <c r="H14208" s="787">
        <v>1</v>
      </c>
      <c r="I14208" s="788">
        <v>42142</v>
      </c>
      <c r="J14208" s="788">
        <v>41943</v>
      </c>
      <c r="K14208" s="788">
        <v>41906</v>
      </c>
      <c r="L14208" s="789">
        <v>1120</v>
      </c>
      <c r="M14208" s="787">
        <v>10</v>
      </c>
      <c r="N14208" s="787">
        <v>842.83</v>
      </c>
      <c r="O14208" s="788">
        <v>42111</v>
      </c>
    </row>
    <row r="14209" spans="1:15" x14ac:dyDescent="0.25">
      <c r="A14209" s="786" t="s">
        <v>25675</v>
      </c>
      <c r="B14209" s="787">
        <v>4</v>
      </c>
      <c r="C14209" s="787" t="s">
        <v>25676</v>
      </c>
      <c r="D14209" s="787">
        <v>6.65</v>
      </c>
      <c r="E14209" s="787">
        <v>16.649999999999999</v>
      </c>
      <c r="F14209" s="788">
        <v>41852</v>
      </c>
      <c r="G14209" s="788">
        <v>41855</v>
      </c>
      <c r="H14209" s="787">
        <v>1</v>
      </c>
      <c r="I14209" s="788">
        <v>41894</v>
      </c>
      <c r="J14209" s="788">
        <v>41850</v>
      </c>
      <c r="K14209" s="788">
        <v>41845</v>
      </c>
      <c r="L14209" s="787">
        <v>3.52</v>
      </c>
      <c r="M14209" s="787">
        <v>20</v>
      </c>
      <c r="N14209" s="787">
        <v>3.78</v>
      </c>
      <c r="O14209" s="788">
        <v>41858</v>
      </c>
    </row>
    <row r="14210" spans="1:15" x14ac:dyDescent="0.25">
      <c r="A14210" s="786" t="s">
        <v>25677</v>
      </c>
      <c r="B14210" s="787">
        <v>4</v>
      </c>
      <c r="C14210" s="787" t="s">
        <v>25678</v>
      </c>
      <c r="D14210" s="787">
        <v>0.08</v>
      </c>
      <c r="E14210" s="787">
        <v>0.11</v>
      </c>
      <c r="F14210" s="788">
        <v>38047</v>
      </c>
      <c r="G14210" s="788">
        <v>38736</v>
      </c>
      <c r="H14210" s="787">
        <v>1</v>
      </c>
      <c r="I14210" s="788">
        <v>39500</v>
      </c>
      <c r="J14210" s="788">
        <v>38607</v>
      </c>
      <c r="L14210" s="787">
        <v>0.2</v>
      </c>
      <c r="M14210" s="787">
        <v>20</v>
      </c>
      <c r="N14210" s="787">
        <v>0.22</v>
      </c>
      <c r="O14210" s="788">
        <v>41858</v>
      </c>
    </row>
    <row r="14211" spans="1:15" x14ac:dyDescent="0.25">
      <c r="A14211" s="786" t="s">
        <v>25679</v>
      </c>
      <c r="B14211" s="787">
        <v>4</v>
      </c>
      <c r="C14211" s="787" t="s">
        <v>25680</v>
      </c>
      <c r="D14211" s="787">
        <v>7.0000000000000007E-2</v>
      </c>
      <c r="E14211" s="787">
        <v>0.1</v>
      </c>
      <c r="F14211" s="788">
        <v>37641</v>
      </c>
      <c r="G14211" s="788">
        <v>40914</v>
      </c>
      <c r="H14211" s="787">
        <v>1</v>
      </c>
      <c r="J14211" s="788">
        <v>39846</v>
      </c>
      <c r="K14211" s="788">
        <v>38551</v>
      </c>
      <c r="L14211" s="787">
        <v>0.08</v>
      </c>
      <c r="M14211" s="787">
        <v>20</v>
      </c>
      <c r="N14211" s="787">
        <v>0.09</v>
      </c>
      <c r="O14211" s="788">
        <v>42164</v>
      </c>
    </row>
    <row r="14212" spans="1:15" x14ac:dyDescent="0.25">
      <c r="A14212" s="786" t="s">
        <v>25681</v>
      </c>
      <c r="B14212" s="787">
        <v>4</v>
      </c>
      <c r="C14212" s="787" t="s">
        <v>25682</v>
      </c>
      <c r="D14212" s="787">
        <v>6.5</v>
      </c>
      <c r="E14212" s="787">
        <v>12.75</v>
      </c>
      <c r="F14212" s="788">
        <v>41764</v>
      </c>
      <c r="G14212" s="788">
        <v>42150</v>
      </c>
      <c r="H14212" s="787">
        <v>1</v>
      </c>
      <c r="I14212" s="788">
        <v>42165</v>
      </c>
      <c r="J14212" s="788">
        <v>42144</v>
      </c>
      <c r="K14212" s="788">
        <v>42019</v>
      </c>
      <c r="L14212" s="787">
        <v>9.9</v>
      </c>
      <c r="M14212" s="787">
        <v>20</v>
      </c>
      <c r="N14212" s="787">
        <v>10.64</v>
      </c>
      <c r="O14212" s="788">
        <v>42146</v>
      </c>
    </row>
    <row r="14213" spans="1:15" x14ac:dyDescent="0.25">
      <c r="A14213" s="786" t="s">
        <v>25683</v>
      </c>
      <c r="B14213" s="787">
        <v>4</v>
      </c>
      <c r="C14213" s="787" t="s">
        <v>25684</v>
      </c>
      <c r="D14213" s="787">
        <v>0</v>
      </c>
      <c r="E14213" s="787">
        <v>0</v>
      </c>
      <c r="H14213" s="787">
        <v>1</v>
      </c>
      <c r="L14213" s="787">
        <v>0</v>
      </c>
      <c r="M14213" s="787">
        <v>20</v>
      </c>
      <c r="N14213" s="787">
        <v>0</v>
      </c>
    </row>
    <row r="14214" spans="1:15" x14ac:dyDescent="0.25">
      <c r="A14214" s="786" t="s">
        <v>25685</v>
      </c>
      <c r="B14214" s="787">
        <v>4</v>
      </c>
      <c r="C14214" s="787" t="s">
        <v>25686</v>
      </c>
      <c r="D14214" s="787">
        <v>0</v>
      </c>
      <c r="E14214" s="787">
        <v>0</v>
      </c>
      <c r="H14214" s="787">
        <v>1</v>
      </c>
      <c r="L14214" s="787">
        <v>0</v>
      </c>
      <c r="M14214" s="787">
        <v>10</v>
      </c>
      <c r="N14214" s="787">
        <v>0</v>
      </c>
    </row>
    <row r="14215" spans="1:15" x14ac:dyDescent="0.25">
      <c r="A14215" s="786" t="s">
        <v>25687</v>
      </c>
      <c r="B14215" s="787">
        <v>4</v>
      </c>
      <c r="C14215" s="787" t="s">
        <v>25688</v>
      </c>
      <c r="D14215" s="787">
        <v>0.21</v>
      </c>
      <c r="E14215" s="787">
        <v>0.21</v>
      </c>
      <c r="F14215" s="788">
        <v>40333</v>
      </c>
      <c r="G14215" s="788">
        <v>42013</v>
      </c>
      <c r="H14215" s="787">
        <v>1</v>
      </c>
      <c r="I14215" s="788">
        <v>42160</v>
      </c>
      <c r="J14215" s="788">
        <v>40325</v>
      </c>
      <c r="L14215" s="787">
        <v>0.21</v>
      </c>
      <c r="M14215" s="787">
        <v>20</v>
      </c>
      <c r="N14215" s="787">
        <v>0.23</v>
      </c>
      <c r="O14215" s="788">
        <v>42127</v>
      </c>
    </row>
    <row r="14216" spans="1:15" x14ac:dyDescent="0.25">
      <c r="A14216" s="786" t="s">
        <v>25689</v>
      </c>
      <c r="B14216" s="787">
        <v>4</v>
      </c>
      <c r="C14216" s="787" t="s">
        <v>25690</v>
      </c>
      <c r="D14216" s="787">
        <v>0.06</v>
      </c>
      <c r="E14216" s="787">
        <v>0.06</v>
      </c>
      <c r="F14216" s="788">
        <v>37641</v>
      </c>
      <c r="G14216" s="788">
        <v>37641</v>
      </c>
      <c r="H14216" s="787">
        <v>1</v>
      </c>
      <c r="I14216" s="788">
        <v>39443</v>
      </c>
      <c r="J14216" s="788">
        <v>37641</v>
      </c>
      <c r="L14216" s="787">
        <v>7.0000000000000007E-2</v>
      </c>
      <c r="M14216" s="787">
        <v>20</v>
      </c>
      <c r="N14216" s="787">
        <v>0.08</v>
      </c>
      <c r="O14216" s="788">
        <v>41858</v>
      </c>
    </row>
    <row r="14217" spans="1:15" x14ac:dyDescent="0.25">
      <c r="A14217" s="786" t="s">
        <v>25691</v>
      </c>
      <c r="B14217" s="787">
        <v>4</v>
      </c>
      <c r="C14217" s="787" t="s">
        <v>25692</v>
      </c>
      <c r="D14217" s="787">
        <v>5.29</v>
      </c>
      <c r="E14217" s="787">
        <v>35.29</v>
      </c>
      <c r="F14217" s="788">
        <v>41603</v>
      </c>
      <c r="G14217" s="788">
        <v>41645</v>
      </c>
      <c r="H14217" s="787">
        <v>1</v>
      </c>
      <c r="J14217" s="788">
        <v>41597</v>
      </c>
      <c r="K14217" s="788">
        <v>41597</v>
      </c>
      <c r="L14217" s="787">
        <v>20.34</v>
      </c>
      <c r="M14217" s="787">
        <v>20</v>
      </c>
      <c r="N14217" s="787">
        <v>21.87</v>
      </c>
      <c r="O14217" s="788">
        <v>41858</v>
      </c>
    </row>
    <row r="14218" spans="1:15" x14ac:dyDescent="0.25">
      <c r="A14218" s="786" t="s">
        <v>25693</v>
      </c>
      <c r="B14218" s="787">
        <v>4</v>
      </c>
      <c r="C14218" s="787" t="s">
        <v>25694</v>
      </c>
      <c r="D14218" s="787">
        <v>2.41</v>
      </c>
      <c r="E14218" s="787">
        <v>22.41</v>
      </c>
      <c r="F14218" s="788">
        <v>41603</v>
      </c>
      <c r="G14218" s="788">
        <v>41646</v>
      </c>
      <c r="H14218" s="787">
        <v>1</v>
      </c>
      <c r="I14218" s="788">
        <v>41971</v>
      </c>
      <c r="J14218" s="788">
        <v>41975</v>
      </c>
      <c r="K14218" s="788">
        <v>41597</v>
      </c>
      <c r="L14218" s="787">
        <v>12.97</v>
      </c>
      <c r="M14218" s="787">
        <v>20</v>
      </c>
      <c r="N14218" s="787">
        <v>13.94</v>
      </c>
      <c r="O14218" s="788">
        <v>42127</v>
      </c>
    </row>
    <row r="14219" spans="1:15" x14ac:dyDescent="0.25">
      <c r="A14219" s="786" t="s">
        <v>25695</v>
      </c>
      <c r="B14219" s="787">
        <v>4</v>
      </c>
      <c r="C14219" s="787" t="s">
        <v>25696</v>
      </c>
      <c r="D14219" s="787">
        <v>6</v>
      </c>
      <c r="E14219" s="787">
        <v>58.48</v>
      </c>
      <c r="F14219" s="788">
        <v>42023</v>
      </c>
      <c r="G14219" s="788">
        <v>42030</v>
      </c>
      <c r="H14219" s="787">
        <v>1</v>
      </c>
      <c r="I14219" s="788">
        <v>42160</v>
      </c>
      <c r="J14219" s="788">
        <v>42023</v>
      </c>
      <c r="K14219" s="788">
        <v>42023</v>
      </c>
      <c r="L14219" s="787">
        <v>33.5</v>
      </c>
      <c r="M14219" s="787">
        <v>20</v>
      </c>
      <c r="N14219" s="787">
        <v>36.01</v>
      </c>
      <c r="O14219" s="788">
        <v>42111</v>
      </c>
    </row>
    <row r="14220" spans="1:15" x14ac:dyDescent="0.25">
      <c r="A14220" s="786" t="s">
        <v>25697</v>
      </c>
      <c r="B14220" s="787">
        <v>4</v>
      </c>
      <c r="C14220" s="787" t="s">
        <v>25698</v>
      </c>
      <c r="D14220" s="787">
        <v>0.1</v>
      </c>
      <c r="E14220" s="787">
        <v>0.12</v>
      </c>
      <c r="F14220" s="788">
        <v>38047</v>
      </c>
      <c r="G14220" s="788">
        <v>39590</v>
      </c>
      <c r="H14220" s="787">
        <v>1</v>
      </c>
      <c r="I14220" s="788">
        <v>36920</v>
      </c>
      <c r="J14220" s="788">
        <v>38504</v>
      </c>
      <c r="L14220" s="787">
        <v>0.12</v>
      </c>
      <c r="M14220" s="787">
        <v>20</v>
      </c>
      <c r="N14220" s="787">
        <v>0.13</v>
      </c>
      <c r="O14220" s="788">
        <v>41858</v>
      </c>
    </row>
    <row r="14221" spans="1:15" x14ac:dyDescent="0.25">
      <c r="A14221" s="786" t="s">
        <v>25699</v>
      </c>
      <c r="B14221" s="787">
        <v>4</v>
      </c>
      <c r="C14221" s="787" t="s">
        <v>25700</v>
      </c>
      <c r="D14221" s="787">
        <v>4</v>
      </c>
      <c r="E14221" s="787">
        <v>17.399999999999999</v>
      </c>
      <c r="F14221" s="788">
        <v>42023</v>
      </c>
      <c r="G14221" s="788">
        <v>42030</v>
      </c>
      <c r="H14221" s="787">
        <v>1</v>
      </c>
      <c r="I14221" s="788">
        <v>42160</v>
      </c>
      <c r="J14221" s="788">
        <v>42023</v>
      </c>
      <c r="K14221" s="788">
        <v>42023</v>
      </c>
      <c r="L14221" s="787">
        <v>11.03</v>
      </c>
      <c r="M14221" s="787">
        <v>20</v>
      </c>
      <c r="N14221" s="787">
        <v>11.86</v>
      </c>
      <c r="O14221" s="788">
        <v>42146</v>
      </c>
    </row>
    <row r="14222" spans="1:15" x14ac:dyDescent="0.25">
      <c r="A14222" s="786" t="s">
        <v>25701</v>
      </c>
      <c r="B14222" s="787">
        <v>4</v>
      </c>
      <c r="C14222" s="787" t="s">
        <v>25702</v>
      </c>
      <c r="D14222" s="787">
        <v>0.19</v>
      </c>
      <c r="E14222" s="787">
        <v>0.28999999999999998</v>
      </c>
      <c r="F14222" s="788">
        <v>39884</v>
      </c>
      <c r="G14222" s="788">
        <v>42156</v>
      </c>
      <c r="H14222" s="787">
        <v>1</v>
      </c>
      <c r="I14222" s="788">
        <v>42164</v>
      </c>
      <c r="J14222" s="788">
        <v>42142</v>
      </c>
      <c r="K14222" s="788">
        <v>41869</v>
      </c>
      <c r="L14222" s="787">
        <v>0.22</v>
      </c>
      <c r="M14222" s="787">
        <v>20</v>
      </c>
      <c r="N14222" s="787">
        <v>0.24</v>
      </c>
      <c r="O14222" s="788">
        <v>42164</v>
      </c>
    </row>
    <row r="14223" spans="1:15" x14ac:dyDescent="0.25">
      <c r="A14223" s="786" t="s">
        <v>25703</v>
      </c>
      <c r="B14223" s="787">
        <v>4</v>
      </c>
      <c r="C14223" s="787" t="s">
        <v>25704</v>
      </c>
      <c r="D14223" s="787">
        <v>3</v>
      </c>
      <c r="E14223" s="787">
        <v>17.41</v>
      </c>
      <c r="F14223" s="788">
        <v>42023</v>
      </c>
      <c r="G14223" s="788">
        <v>42030</v>
      </c>
      <c r="H14223" s="787">
        <v>1</v>
      </c>
      <c r="I14223" s="788">
        <v>42165</v>
      </c>
      <c r="J14223" s="788">
        <v>42023</v>
      </c>
      <c r="K14223" s="788">
        <v>42023</v>
      </c>
      <c r="L14223" s="787">
        <v>11.03</v>
      </c>
      <c r="M14223" s="787">
        <v>20</v>
      </c>
      <c r="N14223" s="787">
        <v>11.86</v>
      </c>
      <c r="O14223" s="788">
        <v>42164</v>
      </c>
    </row>
    <row r="14224" spans="1:15" x14ac:dyDescent="0.25">
      <c r="A14224" s="786" t="s">
        <v>25705</v>
      </c>
      <c r="B14224" s="787">
        <v>4</v>
      </c>
      <c r="C14224" s="787" t="s">
        <v>25706</v>
      </c>
      <c r="D14224" s="787">
        <v>0.24</v>
      </c>
      <c r="E14224" s="787">
        <v>0.24</v>
      </c>
      <c r="F14224" s="788">
        <v>38047</v>
      </c>
      <c r="G14224" s="788">
        <v>38047</v>
      </c>
      <c r="H14224" s="787">
        <v>1</v>
      </c>
      <c r="I14224" s="788">
        <v>41935</v>
      </c>
      <c r="J14224" s="788">
        <v>38047</v>
      </c>
      <c r="L14224" s="787">
        <v>0.26</v>
      </c>
      <c r="M14224" s="787">
        <v>20</v>
      </c>
      <c r="N14224" s="787">
        <v>0.28000000000000003</v>
      </c>
      <c r="O14224" s="788">
        <v>41858</v>
      </c>
    </row>
    <row r="14225" spans="1:15" x14ac:dyDescent="0.25">
      <c r="A14225" s="786" t="s">
        <v>25707</v>
      </c>
      <c r="B14225" s="787">
        <v>4</v>
      </c>
      <c r="C14225" s="787" t="s">
        <v>25708</v>
      </c>
      <c r="D14225" s="787">
        <v>0.13</v>
      </c>
      <c r="E14225" s="787">
        <v>0.18</v>
      </c>
      <c r="F14225" s="788">
        <v>39843</v>
      </c>
      <c r="G14225" s="788">
        <v>42013</v>
      </c>
      <c r="H14225" s="787">
        <v>1</v>
      </c>
      <c r="I14225" s="788">
        <v>42142</v>
      </c>
      <c r="J14225" s="788">
        <v>40506</v>
      </c>
      <c r="L14225" s="787">
        <v>0.18</v>
      </c>
      <c r="M14225" s="787">
        <v>20</v>
      </c>
      <c r="N14225" s="787">
        <v>0.19</v>
      </c>
      <c r="O14225" s="788">
        <v>42146</v>
      </c>
    </row>
    <row r="14226" spans="1:15" x14ac:dyDescent="0.25">
      <c r="A14226" s="786" t="s">
        <v>25709</v>
      </c>
      <c r="B14226" s="787">
        <v>4</v>
      </c>
      <c r="C14226" s="787" t="s">
        <v>25710</v>
      </c>
      <c r="D14226" s="787">
        <v>9.7200000000000006</v>
      </c>
      <c r="E14226" s="787">
        <v>12.79</v>
      </c>
      <c r="F14226" s="788">
        <v>39843</v>
      </c>
      <c r="G14226" s="788">
        <v>42081</v>
      </c>
      <c r="H14226" s="787">
        <v>1</v>
      </c>
      <c r="I14226" s="788">
        <v>41991</v>
      </c>
      <c r="J14226" s="788">
        <v>42062</v>
      </c>
      <c r="L14226" s="787">
        <v>20.14</v>
      </c>
      <c r="M14226" s="787">
        <v>20</v>
      </c>
      <c r="N14226" s="787">
        <v>21.65</v>
      </c>
      <c r="O14226" s="788">
        <v>41858</v>
      </c>
    </row>
    <row r="14227" spans="1:15" x14ac:dyDescent="0.25">
      <c r="A14227" s="786" t="s">
        <v>25711</v>
      </c>
      <c r="B14227" s="787">
        <v>4</v>
      </c>
      <c r="C14227" s="787" t="s">
        <v>25712</v>
      </c>
      <c r="D14227" s="787">
        <v>0.1</v>
      </c>
      <c r="E14227" s="787">
        <v>0.12</v>
      </c>
      <c r="F14227" s="788">
        <v>39843</v>
      </c>
      <c r="G14227" s="788">
        <v>42013</v>
      </c>
      <c r="H14227" s="787">
        <v>1</v>
      </c>
      <c r="I14227" s="788">
        <v>41411</v>
      </c>
      <c r="J14227" s="788">
        <v>40834</v>
      </c>
      <c r="L14227" s="787">
        <v>0.12</v>
      </c>
      <c r="M14227" s="787">
        <v>20</v>
      </c>
      <c r="N14227" s="787">
        <v>0.13</v>
      </c>
      <c r="O14227" s="788">
        <v>41858</v>
      </c>
    </row>
    <row r="14228" spans="1:15" x14ac:dyDescent="0.25">
      <c r="A14228" s="786" t="s">
        <v>25713</v>
      </c>
      <c r="B14228" s="787">
        <v>4</v>
      </c>
      <c r="C14228" s="787" t="s">
        <v>25714</v>
      </c>
      <c r="D14228" s="787">
        <v>0.21</v>
      </c>
      <c r="E14228" s="787">
        <v>0.24</v>
      </c>
      <c r="F14228" s="788">
        <v>39430</v>
      </c>
      <c r="G14228" s="788">
        <v>39486</v>
      </c>
      <c r="H14228" s="787">
        <v>1</v>
      </c>
      <c r="I14228" s="788">
        <v>42160</v>
      </c>
      <c r="J14228" s="788">
        <v>42163</v>
      </c>
      <c r="L14228" s="787">
        <v>0.25</v>
      </c>
      <c r="M14228" s="787">
        <v>20</v>
      </c>
      <c r="N14228" s="787">
        <v>0.27</v>
      </c>
      <c r="O14228" s="788">
        <v>41858</v>
      </c>
    </row>
    <row r="14229" spans="1:15" x14ac:dyDescent="0.25">
      <c r="A14229" s="786" t="s">
        <v>25715</v>
      </c>
      <c r="B14229" s="787">
        <v>4</v>
      </c>
      <c r="C14229" s="787" t="s">
        <v>25716</v>
      </c>
      <c r="D14229" s="787">
        <v>3</v>
      </c>
      <c r="E14229" s="787">
        <v>18.3</v>
      </c>
      <c r="F14229" s="788">
        <v>42023</v>
      </c>
      <c r="G14229" s="788">
        <v>42158</v>
      </c>
      <c r="H14229" s="787">
        <v>1</v>
      </c>
      <c r="I14229" s="788">
        <v>42164</v>
      </c>
      <c r="J14229" s="788">
        <v>42156</v>
      </c>
      <c r="K14229" s="788">
        <v>42023</v>
      </c>
      <c r="L14229" s="787">
        <v>11.03</v>
      </c>
      <c r="M14229" s="787">
        <v>20</v>
      </c>
      <c r="N14229" s="787">
        <v>11.86</v>
      </c>
      <c r="O14229" s="788">
        <v>42164</v>
      </c>
    </row>
    <row r="14230" spans="1:15" x14ac:dyDescent="0.25">
      <c r="A14230" s="786" t="s">
        <v>25717</v>
      </c>
      <c r="B14230" s="787">
        <v>4</v>
      </c>
      <c r="C14230" s="787" t="s">
        <v>25718</v>
      </c>
      <c r="D14230" s="787">
        <v>0.1</v>
      </c>
      <c r="E14230" s="787">
        <v>0.17</v>
      </c>
      <c r="F14230" s="788">
        <v>39101</v>
      </c>
      <c r="G14230" s="788">
        <v>40914</v>
      </c>
      <c r="H14230" s="787">
        <v>1</v>
      </c>
      <c r="I14230" s="788">
        <v>39519</v>
      </c>
      <c r="J14230" s="788">
        <v>40365</v>
      </c>
      <c r="L14230" s="787">
        <v>0.1</v>
      </c>
      <c r="M14230" s="787">
        <v>20</v>
      </c>
      <c r="N14230" s="787">
        <v>0.11</v>
      </c>
      <c r="O14230" s="788">
        <v>41858</v>
      </c>
    </row>
    <row r="14231" spans="1:15" x14ac:dyDescent="0.25">
      <c r="A14231" s="786" t="s">
        <v>25719</v>
      </c>
      <c r="B14231" s="787">
        <v>4</v>
      </c>
      <c r="C14231" s="787" t="s">
        <v>25720</v>
      </c>
      <c r="D14231" s="787">
        <v>0.47</v>
      </c>
      <c r="E14231" s="787">
        <v>0.67</v>
      </c>
      <c r="F14231" s="788">
        <v>39101</v>
      </c>
      <c r="G14231" s="788">
        <v>42013</v>
      </c>
      <c r="H14231" s="787">
        <v>1</v>
      </c>
      <c r="I14231" s="788">
        <v>42145</v>
      </c>
      <c r="J14231" s="788">
        <v>41834</v>
      </c>
      <c r="L14231" s="787">
        <v>0.52</v>
      </c>
      <c r="M14231" s="787">
        <v>20</v>
      </c>
      <c r="N14231" s="787">
        <v>0.56000000000000005</v>
      </c>
      <c r="O14231" s="788">
        <v>42111</v>
      </c>
    </row>
    <row r="14232" spans="1:15" x14ac:dyDescent="0.25">
      <c r="A14232" s="786" t="s">
        <v>25721</v>
      </c>
      <c r="B14232" s="787">
        <v>4</v>
      </c>
      <c r="C14232" s="787" t="s">
        <v>25722</v>
      </c>
      <c r="D14232" s="787">
        <v>1.58</v>
      </c>
      <c r="E14232" s="787">
        <v>1.58</v>
      </c>
      <c r="F14232" s="788">
        <v>38309</v>
      </c>
      <c r="G14232" s="788">
        <v>38309</v>
      </c>
      <c r="H14232" s="787">
        <v>6</v>
      </c>
      <c r="J14232" s="788">
        <v>38295</v>
      </c>
      <c r="K14232" s="788">
        <v>41869</v>
      </c>
      <c r="L14232" s="787">
        <v>0.36</v>
      </c>
      <c r="M14232" s="787">
        <v>20</v>
      </c>
      <c r="N14232" s="787">
        <v>1.85</v>
      </c>
      <c r="O14232" s="788">
        <v>41858</v>
      </c>
    </row>
    <row r="14233" spans="1:15" x14ac:dyDescent="0.25">
      <c r="A14233" s="786" t="s">
        <v>25723</v>
      </c>
      <c r="B14233" s="787">
        <v>4</v>
      </c>
      <c r="C14233" s="787" t="s">
        <v>25724</v>
      </c>
      <c r="D14233" s="787">
        <v>0.31</v>
      </c>
      <c r="E14233" s="787">
        <v>0.31</v>
      </c>
      <c r="F14233" s="788">
        <v>38275</v>
      </c>
      <c r="G14233" s="788">
        <v>38275</v>
      </c>
      <c r="H14233" s="787">
        <v>1</v>
      </c>
      <c r="J14233" s="788">
        <v>38239</v>
      </c>
      <c r="L14233" s="787">
        <v>0.34</v>
      </c>
      <c r="M14233" s="787">
        <v>20</v>
      </c>
      <c r="N14233" s="787">
        <v>0.37</v>
      </c>
      <c r="O14233" s="788">
        <v>41858</v>
      </c>
    </row>
    <row r="14234" spans="1:15" x14ac:dyDescent="0.25">
      <c r="A14234" s="786" t="s">
        <v>25725</v>
      </c>
      <c r="B14234" s="787">
        <v>4</v>
      </c>
      <c r="C14234" s="787" t="s">
        <v>25726</v>
      </c>
      <c r="D14234" s="787">
        <v>0.57999999999999996</v>
      </c>
      <c r="E14234" s="787">
        <v>0.57999999999999996</v>
      </c>
      <c r="F14234" s="788">
        <v>38275</v>
      </c>
      <c r="G14234" s="788">
        <v>38275</v>
      </c>
      <c r="H14234" s="787">
        <v>1</v>
      </c>
      <c r="J14234" s="788">
        <v>38239</v>
      </c>
      <c r="L14234" s="787">
        <v>0.63</v>
      </c>
      <c r="M14234" s="787">
        <v>20</v>
      </c>
      <c r="N14234" s="787">
        <v>0.68</v>
      </c>
      <c r="O14234" s="788">
        <v>41858</v>
      </c>
    </row>
    <row r="14235" spans="1:15" x14ac:dyDescent="0.25">
      <c r="A14235" s="786" t="s">
        <v>25727</v>
      </c>
      <c r="B14235" s="787">
        <v>4</v>
      </c>
      <c r="C14235" s="787" t="s">
        <v>25728</v>
      </c>
      <c r="D14235" s="787">
        <v>0.88</v>
      </c>
      <c r="E14235" s="787">
        <v>0.88</v>
      </c>
      <c r="F14235" s="788">
        <v>38341</v>
      </c>
      <c r="G14235" s="788">
        <v>38736</v>
      </c>
      <c r="H14235" s="787">
        <v>1</v>
      </c>
      <c r="I14235" s="788">
        <v>39134</v>
      </c>
      <c r="J14235" s="788">
        <v>38338</v>
      </c>
      <c r="L14235" s="787">
        <v>0.96</v>
      </c>
      <c r="M14235" s="787">
        <v>20</v>
      </c>
      <c r="N14235" s="787">
        <v>1.03</v>
      </c>
      <c r="O14235" s="788">
        <v>41858</v>
      </c>
    </row>
    <row r="14236" spans="1:15" x14ac:dyDescent="0.25">
      <c r="A14236" s="786" t="s">
        <v>25729</v>
      </c>
      <c r="B14236" s="787">
        <v>4</v>
      </c>
      <c r="C14236" s="787" t="s">
        <v>25730</v>
      </c>
      <c r="D14236" s="787">
        <v>3.26</v>
      </c>
      <c r="E14236" s="787">
        <v>27.42</v>
      </c>
      <c r="F14236" s="788">
        <v>39155</v>
      </c>
      <c r="G14236" s="788">
        <v>41565</v>
      </c>
      <c r="H14236" s="787">
        <v>1</v>
      </c>
      <c r="I14236" s="788">
        <v>41894</v>
      </c>
      <c r="J14236" s="788">
        <v>40269</v>
      </c>
      <c r="K14236" s="788">
        <v>41239</v>
      </c>
      <c r="L14236" s="787">
        <v>27.31</v>
      </c>
      <c r="M14236" s="787">
        <v>20</v>
      </c>
      <c r="N14236" s="787">
        <v>29.36</v>
      </c>
      <c r="O14236" s="788">
        <v>41858</v>
      </c>
    </row>
    <row r="14237" spans="1:15" x14ac:dyDescent="0.25">
      <c r="A14237" s="786" t="s">
        <v>25731</v>
      </c>
      <c r="B14237" s="787">
        <v>4</v>
      </c>
      <c r="C14237" s="787" t="s">
        <v>25732</v>
      </c>
      <c r="D14237" s="787">
        <v>0.4</v>
      </c>
      <c r="E14237" s="787">
        <v>0.44</v>
      </c>
      <c r="F14237" s="788">
        <v>40877</v>
      </c>
      <c r="G14237" s="788">
        <v>41908</v>
      </c>
      <c r="H14237" s="787">
        <v>1</v>
      </c>
      <c r="I14237" s="788">
        <v>42142</v>
      </c>
      <c r="J14237" s="788">
        <v>41908</v>
      </c>
      <c r="K14237" s="788">
        <v>41556</v>
      </c>
      <c r="L14237" s="787">
        <v>0.48</v>
      </c>
      <c r="M14237" s="787">
        <v>20</v>
      </c>
      <c r="N14237" s="787">
        <v>0.52</v>
      </c>
      <c r="O14237" s="788">
        <v>42146</v>
      </c>
    </row>
    <row r="14238" spans="1:15" x14ac:dyDescent="0.25">
      <c r="A14238" s="786" t="s">
        <v>25733</v>
      </c>
      <c r="B14238" s="787">
        <v>4</v>
      </c>
      <c r="C14238" s="787" t="s">
        <v>25734</v>
      </c>
      <c r="D14238" s="787">
        <v>2.39</v>
      </c>
      <c r="E14238" s="787">
        <v>12.53</v>
      </c>
      <c r="F14238" s="788">
        <v>41264</v>
      </c>
      <c r="G14238" s="788">
        <v>42008</v>
      </c>
      <c r="H14238" s="787">
        <v>1</v>
      </c>
      <c r="I14238" s="788">
        <v>42160</v>
      </c>
      <c r="J14238" s="788">
        <v>42079</v>
      </c>
      <c r="K14238" s="788">
        <v>40872</v>
      </c>
      <c r="L14238" s="787">
        <v>12.38</v>
      </c>
      <c r="M14238" s="787">
        <v>20</v>
      </c>
      <c r="N14238" s="787">
        <v>13.31</v>
      </c>
      <c r="O14238" s="788">
        <v>42010</v>
      </c>
    </row>
    <row r="14239" spans="1:15" x14ac:dyDescent="0.25">
      <c r="A14239" s="786" t="s">
        <v>25735</v>
      </c>
      <c r="B14239" s="787">
        <v>4</v>
      </c>
      <c r="C14239" s="787" t="s">
        <v>25736</v>
      </c>
      <c r="D14239" s="787">
        <v>3.85</v>
      </c>
      <c r="E14239" s="787">
        <v>3.85</v>
      </c>
      <c r="F14239" s="788">
        <v>41289</v>
      </c>
      <c r="G14239" s="788">
        <v>42013</v>
      </c>
      <c r="H14239" s="787">
        <v>1</v>
      </c>
      <c r="I14239" s="788">
        <v>42156</v>
      </c>
      <c r="J14239" s="788">
        <v>41564</v>
      </c>
      <c r="K14239" s="788">
        <v>40872</v>
      </c>
      <c r="L14239" s="787">
        <v>3.85</v>
      </c>
      <c r="M14239" s="787">
        <v>20</v>
      </c>
      <c r="N14239" s="787">
        <v>3.85</v>
      </c>
      <c r="O14239" s="788">
        <v>42146</v>
      </c>
    </row>
    <row r="14240" spans="1:15" x14ac:dyDescent="0.25">
      <c r="A14240" s="786" t="s">
        <v>25737</v>
      </c>
      <c r="B14240" s="787">
        <v>4</v>
      </c>
      <c r="C14240" s="787" t="s">
        <v>25738</v>
      </c>
      <c r="D14240" s="787">
        <v>3.34</v>
      </c>
      <c r="E14240" s="787">
        <v>3.34</v>
      </c>
      <c r="F14240" s="788">
        <v>41290</v>
      </c>
      <c r="G14240" s="788">
        <v>42013</v>
      </c>
      <c r="H14240" s="787">
        <v>1</v>
      </c>
      <c r="I14240" s="788">
        <v>42156</v>
      </c>
      <c r="J14240" s="788">
        <v>41290</v>
      </c>
      <c r="K14240" s="788">
        <v>40872</v>
      </c>
      <c r="L14240" s="787">
        <v>3.34</v>
      </c>
      <c r="M14240" s="787">
        <v>20</v>
      </c>
      <c r="N14240" s="787">
        <v>3.34</v>
      </c>
      <c r="O14240" s="788">
        <v>41858</v>
      </c>
    </row>
    <row r="14241" spans="1:15" x14ac:dyDescent="0.25">
      <c r="A14241" s="786" t="s">
        <v>25739</v>
      </c>
      <c r="B14241" s="787">
        <v>4</v>
      </c>
      <c r="C14241" s="787" t="s">
        <v>25740</v>
      </c>
      <c r="D14241" s="787">
        <v>6.73</v>
      </c>
      <c r="E14241" s="787">
        <v>16.93</v>
      </c>
      <c r="F14241" s="788">
        <v>41855</v>
      </c>
      <c r="G14241" s="788">
        <v>42008</v>
      </c>
      <c r="H14241" s="787">
        <v>1</v>
      </c>
      <c r="I14241" s="788">
        <v>42160</v>
      </c>
      <c r="J14241" s="788">
        <v>42079</v>
      </c>
      <c r="K14241" s="788">
        <v>40872</v>
      </c>
      <c r="L14241" s="787">
        <v>16.73</v>
      </c>
      <c r="M14241" s="787">
        <v>20</v>
      </c>
      <c r="N14241" s="787">
        <v>17.98</v>
      </c>
      <c r="O14241" s="788">
        <v>41989</v>
      </c>
    </row>
    <row r="14242" spans="1:15" x14ac:dyDescent="0.25">
      <c r="A14242" s="786" t="s">
        <v>25741</v>
      </c>
      <c r="B14242" s="787">
        <v>4</v>
      </c>
      <c r="C14242" s="787" t="s">
        <v>25742</v>
      </c>
      <c r="D14242" s="787">
        <v>5.29</v>
      </c>
      <c r="E14242" s="787">
        <v>5.29</v>
      </c>
      <c r="F14242" s="788">
        <v>40940</v>
      </c>
      <c r="G14242" s="788">
        <v>42013</v>
      </c>
      <c r="H14242" s="787">
        <v>1</v>
      </c>
      <c r="I14242" s="788">
        <v>42156</v>
      </c>
      <c r="J14242" s="788">
        <v>41536</v>
      </c>
      <c r="K14242" s="788">
        <v>40872</v>
      </c>
      <c r="L14242" s="787">
        <v>5.29</v>
      </c>
      <c r="M14242" s="787">
        <v>20</v>
      </c>
      <c r="N14242" s="787">
        <v>5.69</v>
      </c>
      <c r="O14242" s="788">
        <v>42146</v>
      </c>
    </row>
    <row r="14243" spans="1:15" x14ac:dyDescent="0.25">
      <c r="A14243" s="786" t="s">
        <v>25743</v>
      </c>
      <c r="B14243" s="787">
        <v>4</v>
      </c>
      <c r="C14243" s="787" t="s">
        <v>25744</v>
      </c>
      <c r="D14243" s="787">
        <v>4.5999999999999996</v>
      </c>
      <c r="E14243" s="787">
        <v>4.5999999999999996</v>
      </c>
      <c r="F14243" s="788">
        <v>40940</v>
      </c>
      <c r="G14243" s="788">
        <v>42013</v>
      </c>
      <c r="H14243" s="787">
        <v>1</v>
      </c>
      <c r="I14243" s="788">
        <v>42156</v>
      </c>
      <c r="J14243" s="788">
        <v>41564</v>
      </c>
      <c r="K14243" s="788">
        <v>40872</v>
      </c>
      <c r="L14243" s="787">
        <v>4.5999999999999996</v>
      </c>
      <c r="M14243" s="787">
        <v>20</v>
      </c>
      <c r="N14243" s="787">
        <v>4.95</v>
      </c>
      <c r="O14243" s="788">
        <v>41858</v>
      </c>
    </row>
    <row r="14244" spans="1:15" x14ac:dyDescent="0.25">
      <c r="A14244" s="786" t="s">
        <v>25745</v>
      </c>
      <c r="B14244" s="787">
        <v>4</v>
      </c>
      <c r="C14244" s="787" t="s">
        <v>25746</v>
      </c>
      <c r="D14244" s="787">
        <v>0</v>
      </c>
      <c r="E14244" s="787">
        <v>0</v>
      </c>
      <c r="H14244" s="787">
        <v>6</v>
      </c>
      <c r="K14244" s="788">
        <v>41071</v>
      </c>
      <c r="L14244" s="787">
        <v>22.33</v>
      </c>
      <c r="M14244" s="787">
        <v>20</v>
      </c>
      <c r="N14244" s="787">
        <v>24</v>
      </c>
      <c r="O14244" s="788">
        <v>41814</v>
      </c>
    </row>
    <row r="14245" spans="1:15" x14ac:dyDescent="0.25">
      <c r="A14245" s="786" t="s">
        <v>25747</v>
      </c>
      <c r="B14245" s="787">
        <v>4</v>
      </c>
      <c r="C14245" s="787" t="s">
        <v>25748</v>
      </c>
      <c r="D14245" s="787">
        <v>0</v>
      </c>
      <c r="E14245" s="787">
        <v>0</v>
      </c>
      <c r="G14245" s="788">
        <v>41338</v>
      </c>
      <c r="H14245" s="787">
        <v>1</v>
      </c>
      <c r="I14245" s="788">
        <v>41593</v>
      </c>
      <c r="J14245" s="788">
        <v>41338</v>
      </c>
      <c r="K14245" s="788">
        <v>41071</v>
      </c>
      <c r="L14245" s="787">
        <v>8.5299999999999994</v>
      </c>
      <c r="M14245" s="787">
        <v>20</v>
      </c>
      <c r="N14245" s="787">
        <v>9.17</v>
      </c>
      <c r="O14245" s="788">
        <v>41858</v>
      </c>
    </row>
    <row r="14246" spans="1:15" x14ac:dyDescent="0.25">
      <c r="A14246" s="786" t="s">
        <v>25749</v>
      </c>
      <c r="B14246" s="787">
        <v>4</v>
      </c>
      <c r="C14246" s="787" t="s">
        <v>25750</v>
      </c>
      <c r="D14246" s="787">
        <v>5.58</v>
      </c>
      <c r="E14246" s="787">
        <v>26.5</v>
      </c>
      <c r="F14246" s="788">
        <v>41218</v>
      </c>
      <c r="G14246" s="788">
        <v>42017</v>
      </c>
      <c r="H14246" s="787">
        <v>1</v>
      </c>
      <c r="I14246" s="788">
        <v>41982</v>
      </c>
      <c r="J14246" s="788">
        <v>41982</v>
      </c>
      <c r="K14246" s="788">
        <v>41121</v>
      </c>
      <c r="L14246" s="787">
        <v>121.12</v>
      </c>
      <c r="M14246" s="787">
        <v>10</v>
      </c>
      <c r="N14246" s="787">
        <v>35.15</v>
      </c>
      <c r="O14246" s="788">
        <v>42058</v>
      </c>
    </row>
    <row r="14247" spans="1:15" x14ac:dyDescent="0.25">
      <c r="A14247" s="786" t="s">
        <v>25751</v>
      </c>
      <c r="B14247" s="787">
        <v>4</v>
      </c>
      <c r="C14247" s="787" t="s">
        <v>25752</v>
      </c>
      <c r="D14247" s="787">
        <v>0.9</v>
      </c>
      <c r="E14247" s="787">
        <v>270.22000000000003</v>
      </c>
      <c r="F14247" s="788">
        <v>41813</v>
      </c>
      <c r="G14247" s="788">
        <v>42116</v>
      </c>
      <c r="H14247" s="787">
        <v>1</v>
      </c>
      <c r="I14247" s="788">
        <v>42088</v>
      </c>
      <c r="J14247" s="788">
        <v>42080</v>
      </c>
      <c r="K14247" s="788">
        <v>41121</v>
      </c>
      <c r="L14247" s="787">
        <v>342.52</v>
      </c>
      <c r="M14247" s="787">
        <v>10</v>
      </c>
      <c r="N14247" s="787">
        <v>253.07</v>
      </c>
      <c r="O14247" s="788">
        <v>41879</v>
      </c>
    </row>
    <row r="14248" spans="1:15" x14ac:dyDescent="0.25">
      <c r="A14248" s="786" t="s">
        <v>25753</v>
      </c>
      <c r="B14248" s="787">
        <v>4</v>
      </c>
      <c r="C14248" s="787" t="s">
        <v>25754</v>
      </c>
      <c r="D14248" s="787">
        <v>7.97</v>
      </c>
      <c r="E14248" s="787">
        <v>206.98</v>
      </c>
      <c r="F14248" s="788">
        <v>41519</v>
      </c>
      <c r="G14248" s="788">
        <v>41855</v>
      </c>
      <c r="H14248" s="787">
        <v>1</v>
      </c>
      <c r="I14248" s="788">
        <v>41835</v>
      </c>
      <c r="J14248" s="788">
        <v>41822</v>
      </c>
      <c r="K14248" s="788">
        <v>41122</v>
      </c>
      <c r="L14248" s="787">
        <v>303.33</v>
      </c>
      <c r="M14248" s="787">
        <v>10</v>
      </c>
      <c r="N14248" s="787">
        <v>235.06</v>
      </c>
      <c r="O14248" s="788">
        <v>42040</v>
      </c>
    </row>
    <row r="14249" spans="1:15" x14ac:dyDescent="0.25">
      <c r="A14249" s="786" t="s">
        <v>25755</v>
      </c>
      <c r="B14249" s="787">
        <v>4</v>
      </c>
      <c r="C14249" s="787" t="s">
        <v>25756</v>
      </c>
      <c r="D14249" s="787">
        <v>4.78</v>
      </c>
      <c r="E14249" s="787">
        <v>184.18</v>
      </c>
      <c r="F14249" s="788">
        <v>41813</v>
      </c>
      <c r="G14249" s="788">
        <v>42069</v>
      </c>
      <c r="H14249" s="787">
        <v>1</v>
      </c>
      <c r="I14249" s="788">
        <v>42034</v>
      </c>
      <c r="J14249" s="788">
        <v>42039</v>
      </c>
      <c r="K14249" s="788">
        <v>41122</v>
      </c>
      <c r="L14249" s="787">
        <v>271.83</v>
      </c>
      <c r="M14249" s="787">
        <v>10</v>
      </c>
      <c r="N14249" s="787">
        <v>181.59</v>
      </c>
      <c r="O14249" s="788">
        <v>41879</v>
      </c>
    </row>
    <row r="14250" spans="1:15" x14ac:dyDescent="0.25">
      <c r="A14250" s="786" t="s">
        <v>25757</v>
      </c>
      <c r="B14250" s="787">
        <v>4</v>
      </c>
      <c r="C14250" s="787" t="s">
        <v>25758</v>
      </c>
      <c r="D14250" s="787">
        <v>4.09</v>
      </c>
      <c r="E14250" s="787">
        <v>251.25</v>
      </c>
      <c r="F14250" s="788">
        <v>41180</v>
      </c>
      <c r="G14250" s="788">
        <v>41775</v>
      </c>
      <c r="H14250" s="787">
        <v>1</v>
      </c>
      <c r="I14250" s="788">
        <v>41613</v>
      </c>
      <c r="J14250" s="788">
        <v>41611</v>
      </c>
      <c r="K14250" s="788">
        <v>41122</v>
      </c>
      <c r="L14250" s="787">
        <v>287.8</v>
      </c>
      <c r="M14250" s="787">
        <v>10</v>
      </c>
      <c r="N14250" s="787">
        <v>299.68</v>
      </c>
      <c r="O14250" s="788">
        <v>42058</v>
      </c>
    </row>
    <row r="14251" spans="1:15" x14ac:dyDescent="0.25">
      <c r="A14251" s="786" t="s">
        <v>25759</v>
      </c>
      <c r="B14251" s="787">
        <v>4</v>
      </c>
      <c r="C14251" s="787" t="s">
        <v>25760</v>
      </c>
      <c r="D14251" s="787">
        <v>0.32</v>
      </c>
      <c r="E14251" s="787">
        <v>248.33</v>
      </c>
      <c r="F14251" s="788">
        <v>41499</v>
      </c>
      <c r="G14251" s="788">
        <v>42114</v>
      </c>
      <c r="H14251" s="787">
        <v>1</v>
      </c>
      <c r="I14251" s="788">
        <v>42082</v>
      </c>
      <c r="J14251" s="788">
        <v>42082</v>
      </c>
      <c r="K14251" s="788">
        <v>41122</v>
      </c>
      <c r="L14251" s="787">
        <v>248.61</v>
      </c>
      <c r="M14251" s="787">
        <v>10</v>
      </c>
      <c r="N14251" s="787">
        <v>258.83</v>
      </c>
      <c r="O14251" s="788">
        <v>42058</v>
      </c>
    </row>
    <row r="14252" spans="1:15" x14ac:dyDescent="0.25">
      <c r="A14252" s="786" t="s">
        <v>25761</v>
      </c>
      <c r="B14252" s="787">
        <v>4</v>
      </c>
      <c r="C14252" s="787" t="s">
        <v>25762</v>
      </c>
      <c r="D14252" s="787">
        <v>7.64</v>
      </c>
      <c r="E14252" s="787">
        <v>214.14</v>
      </c>
      <c r="F14252" s="788">
        <v>41218</v>
      </c>
      <c r="G14252" s="788">
        <v>42160</v>
      </c>
      <c r="H14252" s="787">
        <v>1</v>
      </c>
      <c r="I14252" s="788">
        <v>42166</v>
      </c>
      <c r="J14252" s="788">
        <v>42160</v>
      </c>
      <c r="K14252" s="788">
        <v>41122</v>
      </c>
      <c r="L14252" s="787">
        <v>217.11</v>
      </c>
      <c r="M14252" s="787">
        <v>10</v>
      </c>
      <c r="N14252" s="787">
        <v>225.7</v>
      </c>
      <c r="O14252" s="788">
        <v>42058</v>
      </c>
    </row>
    <row r="14253" spans="1:15" x14ac:dyDescent="0.25">
      <c r="A14253" s="786" t="s">
        <v>25763</v>
      </c>
      <c r="B14253" s="787">
        <v>4</v>
      </c>
      <c r="C14253" s="787" t="s">
        <v>25764</v>
      </c>
      <c r="D14253" s="787">
        <v>3.07</v>
      </c>
      <c r="E14253" s="787">
        <v>43.07</v>
      </c>
      <c r="F14253" s="788">
        <v>41855</v>
      </c>
      <c r="G14253" s="788">
        <v>41855</v>
      </c>
      <c r="H14253" s="787">
        <v>1</v>
      </c>
      <c r="I14253" s="788">
        <v>41754</v>
      </c>
      <c r="J14253" s="788">
        <v>41820</v>
      </c>
      <c r="K14253" s="788">
        <v>41702</v>
      </c>
      <c r="L14253" s="787">
        <v>31.76</v>
      </c>
      <c r="M14253" s="787">
        <v>10</v>
      </c>
      <c r="N14253" s="787">
        <v>29.96</v>
      </c>
      <c r="O14253" s="788">
        <v>41978</v>
      </c>
    </row>
    <row r="14254" spans="1:15" x14ac:dyDescent="0.25">
      <c r="A14254" s="786" t="s">
        <v>25765</v>
      </c>
      <c r="B14254" s="787">
        <v>4</v>
      </c>
      <c r="C14254" s="787" t="s">
        <v>25766</v>
      </c>
      <c r="D14254" s="787">
        <v>0</v>
      </c>
      <c r="E14254" s="787">
        <v>0</v>
      </c>
      <c r="H14254" s="787">
        <v>1</v>
      </c>
      <c r="K14254" s="788">
        <v>41843</v>
      </c>
      <c r="L14254" s="787">
        <v>257.07</v>
      </c>
      <c r="M14254" s="787">
        <v>10</v>
      </c>
      <c r="N14254" s="787">
        <v>253.26</v>
      </c>
      <c r="O14254" s="788">
        <v>41879</v>
      </c>
    </row>
    <row r="14255" spans="1:15" x14ac:dyDescent="0.25">
      <c r="A14255" s="786" t="s">
        <v>25767</v>
      </c>
      <c r="B14255" s="787">
        <v>4</v>
      </c>
      <c r="C14255" s="787" t="s">
        <v>25768</v>
      </c>
      <c r="D14255" s="787">
        <v>0</v>
      </c>
      <c r="E14255" s="787">
        <v>0</v>
      </c>
      <c r="H14255" s="787">
        <v>1</v>
      </c>
      <c r="K14255" s="788">
        <v>41843</v>
      </c>
      <c r="L14255" s="787">
        <v>214.92</v>
      </c>
      <c r="M14255" s="787">
        <v>10</v>
      </c>
      <c r="N14255" s="787">
        <v>235.25</v>
      </c>
      <c r="O14255" s="788">
        <v>42040</v>
      </c>
    </row>
    <row r="14256" spans="1:15" x14ac:dyDescent="0.25">
      <c r="A14256" s="786" t="s">
        <v>25769</v>
      </c>
      <c r="B14256" s="787">
        <v>4</v>
      </c>
      <c r="C14256" s="787" t="s">
        <v>25770</v>
      </c>
      <c r="D14256" s="787">
        <v>7.91</v>
      </c>
      <c r="E14256" s="787">
        <v>177.91</v>
      </c>
      <c r="F14256" s="788">
        <v>41886</v>
      </c>
      <c r="G14256" s="788">
        <v>41886</v>
      </c>
      <c r="H14256" s="787">
        <v>1</v>
      </c>
      <c r="I14256" s="788">
        <v>41855</v>
      </c>
      <c r="J14256" s="788">
        <v>41855</v>
      </c>
      <c r="K14256" s="788">
        <v>41843</v>
      </c>
      <c r="L14256" s="787">
        <v>182.55</v>
      </c>
      <c r="M14256" s="787">
        <v>10</v>
      </c>
      <c r="N14256" s="787">
        <v>181.78</v>
      </c>
      <c r="O14256" s="788">
        <v>41879</v>
      </c>
    </row>
    <row r="14257" spans="1:15" x14ac:dyDescent="0.25">
      <c r="A14257" s="786" t="s">
        <v>25771</v>
      </c>
      <c r="B14257" s="787">
        <v>4</v>
      </c>
      <c r="C14257" s="787" t="s">
        <v>25772</v>
      </c>
      <c r="D14257" s="787">
        <v>9.91</v>
      </c>
      <c r="E14257" s="787">
        <v>462.48</v>
      </c>
      <c r="F14257" s="788">
        <v>41319</v>
      </c>
      <c r="G14257" s="788">
        <v>42008</v>
      </c>
      <c r="H14257" s="787">
        <v>1</v>
      </c>
      <c r="I14257" s="788">
        <v>42164</v>
      </c>
      <c r="J14257" s="788">
        <v>41985</v>
      </c>
      <c r="K14257" s="788">
        <v>41221</v>
      </c>
      <c r="L14257" s="787">
        <v>455</v>
      </c>
      <c r="M14257" s="787">
        <v>20</v>
      </c>
      <c r="N14257" s="787">
        <v>489.13</v>
      </c>
      <c r="O14257" s="788">
        <v>42010</v>
      </c>
    </row>
    <row r="14258" spans="1:15" x14ac:dyDescent="0.25">
      <c r="A14258" s="786" t="s">
        <v>25773</v>
      </c>
      <c r="B14258" s="787">
        <v>4</v>
      </c>
      <c r="C14258" s="787" t="s">
        <v>25774</v>
      </c>
      <c r="D14258" s="787">
        <v>8.85</v>
      </c>
      <c r="E14258" s="787">
        <v>842.09</v>
      </c>
      <c r="F14258" s="788">
        <v>41319</v>
      </c>
      <c r="G14258" s="788">
        <v>42159</v>
      </c>
      <c r="H14258" s="787">
        <v>1</v>
      </c>
      <c r="I14258" s="788">
        <v>42166</v>
      </c>
      <c r="J14258" s="788">
        <v>42118</v>
      </c>
      <c r="K14258" s="788">
        <v>41221</v>
      </c>
      <c r="L14258" s="787">
        <v>810.1</v>
      </c>
      <c r="M14258" s="787">
        <v>20</v>
      </c>
      <c r="N14258" s="787">
        <v>870.86</v>
      </c>
      <c r="O14258" s="788">
        <v>42146</v>
      </c>
    </row>
    <row r="14259" spans="1:15" x14ac:dyDescent="0.25">
      <c r="A14259" s="786" t="s">
        <v>25775</v>
      </c>
      <c r="B14259" s="787">
        <v>4</v>
      </c>
      <c r="C14259" s="787" t="s">
        <v>25776</v>
      </c>
      <c r="D14259" s="787">
        <v>9.9</v>
      </c>
      <c r="E14259" s="789">
        <v>1233.95</v>
      </c>
      <c r="F14259" s="788">
        <v>41319</v>
      </c>
      <c r="G14259" s="788">
        <v>42159</v>
      </c>
      <c r="H14259" s="787">
        <v>1</v>
      </c>
      <c r="I14259" s="788">
        <v>42166</v>
      </c>
      <c r="J14259" s="788">
        <v>42118</v>
      </c>
      <c r="K14259" s="788">
        <v>41221</v>
      </c>
      <c r="L14259" s="789">
        <v>1187.08</v>
      </c>
      <c r="M14259" s="787">
        <v>20</v>
      </c>
      <c r="N14259" s="789">
        <v>1276.1099999999999</v>
      </c>
      <c r="O14259" s="788">
        <v>42146</v>
      </c>
    </row>
    <row r="14260" spans="1:15" x14ac:dyDescent="0.25">
      <c r="A14260" s="786" t="s">
        <v>25777</v>
      </c>
      <c r="B14260" s="787">
        <v>4</v>
      </c>
      <c r="C14260" s="787" t="s">
        <v>25778</v>
      </c>
      <c r="D14260" s="787">
        <v>4</v>
      </c>
      <c r="E14260" s="787">
        <v>605.82000000000005</v>
      </c>
      <c r="F14260" s="788">
        <v>41810</v>
      </c>
      <c r="G14260" s="788">
        <v>42013</v>
      </c>
      <c r="H14260" s="787">
        <v>1</v>
      </c>
      <c r="I14260" s="788">
        <v>42159</v>
      </c>
      <c r="J14260" s="788">
        <v>41904</v>
      </c>
      <c r="K14260" s="788">
        <v>41221</v>
      </c>
      <c r="L14260" s="787">
        <v>604</v>
      </c>
      <c r="M14260" s="787">
        <v>20</v>
      </c>
      <c r="N14260" s="787">
        <v>649.29999999999995</v>
      </c>
      <c r="O14260" s="788">
        <v>42075</v>
      </c>
    </row>
    <row r="14261" spans="1:15" x14ac:dyDescent="0.25">
      <c r="A14261" s="786" t="s">
        <v>25779</v>
      </c>
      <c r="B14261" s="787">
        <v>4</v>
      </c>
      <c r="C14261" s="787" t="s">
        <v>25780</v>
      </c>
      <c r="D14261" s="787">
        <v>8</v>
      </c>
      <c r="E14261" s="787">
        <v>519.55999999999995</v>
      </c>
      <c r="F14261" s="788">
        <v>41810</v>
      </c>
      <c r="G14261" s="788">
        <v>42013</v>
      </c>
      <c r="H14261" s="787">
        <v>1</v>
      </c>
      <c r="I14261" s="788">
        <v>42159</v>
      </c>
      <c r="J14261" s="788">
        <v>41904</v>
      </c>
      <c r="K14261" s="788">
        <v>41221</v>
      </c>
      <c r="L14261" s="787">
        <v>518</v>
      </c>
      <c r="M14261" s="787">
        <v>20</v>
      </c>
      <c r="N14261" s="787">
        <v>556.85</v>
      </c>
      <c r="O14261" s="788">
        <v>41978</v>
      </c>
    </row>
    <row r="14262" spans="1:15" x14ac:dyDescent="0.25">
      <c r="A14262" s="786" t="s">
        <v>25781</v>
      </c>
      <c r="B14262" s="787">
        <v>4</v>
      </c>
      <c r="C14262" s="787" t="s">
        <v>25782</v>
      </c>
      <c r="D14262" s="787">
        <v>0.02</v>
      </c>
      <c r="E14262" s="789">
        <v>2680</v>
      </c>
      <c r="F14262" s="788">
        <v>41540</v>
      </c>
      <c r="G14262" s="788">
        <v>42067</v>
      </c>
      <c r="H14262" s="787">
        <v>1</v>
      </c>
      <c r="I14262" s="788">
        <v>41831</v>
      </c>
      <c r="J14262" s="788">
        <v>42067</v>
      </c>
      <c r="K14262" s="788">
        <v>41221</v>
      </c>
      <c r="L14262" s="789">
        <v>2233</v>
      </c>
      <c r="M14262" s="787">
        <v>20</v>
      </c>
      <c r="N14262" s="789">
        <v>2400.48</v>
      </c>
      <c r="O14262" s="788">
        <v>41858</v>
      </c>
    </row>
    <row r="14263" spans="1:15" x14ac:dyDescent="0.25">
      <c r="A14263" s="786" t="s">
        <v>25783</v>
      </c>
      <c r="B14263" s="787">
        <v>4</v>
      </c>
      <c r="C14263" s="787" t="s">
        <v>25784</v>
      </c>
      <c r="D14263" s="787">
        <v>7.47</v>
      </c>
      <c r="E14263" s="789">
        <v>1025</v>
      </c>
      <c r="F14263" s="788">
        <v>41369</v>
      </c>
      <c r="G14263" s="788">
        <v>42156</v>
      </c>
      <c r="H14263" s="787">
        <v>1</v>
      </c>
      <c r="I14263" s="788">
        <v>42137</v>
      </c>
      <c r="J14263" s="788">
        <v>42137</v>
      </c>
      <c r="K14263" s="788">
        <v>41221</v>
      </c>
      <c r="L14263" s="787">
        <v>853.2</v>
      </c>
      <c r="M14263" s="787">
        <v>20</v>
      </c>
      <c r="N14263" s="787">
        <v>917.19</v>
      </c>
      <c r="O14263" s="788">
        <v>41978</v>
      </c>
    </row>
    <row r="14264" spans="1:15" x14ac:dyDescent="0.25">
      <c r="A14264" s="786" t="s">
        <v>25785</v>
      </c>
      <c r="B14264" s="787">
        <v>4</v>
      </c>
      <c r="C14264" s="787" t="s">
        <v>25786</v>
      </c>
      <c r="D14264" s="787">
        <v>2.1800000000000002</v>
      </c>
      <c r="E14264" s="787">
        <v>45.45</v>
      </c>
      <c r="F14264" s="788">
        <v>41477</v>
      </c>
      <c r="G14264" s="788">
        <v>41943</v>
      </c>
      <c r="H14264" s="787">
        <v>1</v>
      </c>
      <c r="I14264" s="788">
        <v>40847</v>
      </c>
      <c r="J14264" s="788">
        <v>41835</v>
      </c>
      <c r="K14264" s="788">
        <v>41461</v>
      </c>
      <c r="L14264" s="787">
        <v>0.01</v>
      </c>
      <c r="M14264" s="787">
        <v>10</v>
      </c>
      <c r="N14264" s="787">
        <v>37.74</v>
      </c>
      <c r="O14264" s="788">
        <v>41979</v>
      </c>
    </row>
    <row r="14265" spans="1:15" x14ac:dyDescent="0.25">
      <c r="A14265" s="786" t="s">
        <v>25787</v>
      </c>
      <c r="B14265" s="787">
        <v>4</v>
      </c>
      <c r="C14265" s="787" t="s">
        <v>25788</v>
      </c>
      <c r="D14265" s="787">
        <v>7.93</v>
      </c>
      <c r="E14265" s="787">
        <v>36.76</v>
      </c>
      <c r="F14265" s="788">
        <v>42023</v>
      </c>
      <c r="G14265" s="788">
        <v>42159</v>
      </c>
      <c r="H14265" s="787">
        <v>1</v>
      </c>
      <c r="I14265" s="788">
        <v>42158</v>
      </c>
      <c r="J14265" s="788">
        <v>42159</v>
      </c>
      <c r="K14265" s="788">
        <v>41461</v>
      </c>
      <c r="L14265" s="787">
        <v>0.01</v>
      </c>
      <c r="M14265" s="787">
        <v>10</v>
      </c>
      <c r="N14265" s="787">
        <v>36.29</v>
      </c>
      <c r="O14265" s="788">
        <v>41979</v>
      </c>
    </row>
    <row r="14266" spans="1:15" x14ac:dyDescent="0.25">
      <c r="A14266" s="786" t="s">
        <v>25789</v>
      </c>
      <c r="B14266" s="787">
        <v>4</v>
      </c>
      <c r="C14266" s="787" t="s">
        <v>25790</v>
      </c>
      <c r="D14266" s="787">
        <v>0.39</v>
      </c>
      <c r="E14266" s="787">
        <v>25.83</v>
      </c>
      <c r="F14266" s="788">
        <v>41813</v>
      </c>
      <c r="G14266" s="788">
        <v>42166</v>
      </c>
      <c r="H14266" s="787">
        <v>1</v>
      </c>
      <c r="I14266" s="788">
        <v>42166</v>
      </c>
      <c r="J14266" s="788">
        <v>42166</v>
      </c>
      <c r="K14266" s="788">
        <v>41865</v>
      </c>
      <c r="L14266" s="787">
        <v>35.479999999999997</v>
      </c>
      <c r="M14266" s="787">
        <v>10</v>
      </c>
      <c r="N14266" s="787">
        <v>33.64</v>
      </c>
      <c r="O14266" s="788">
        <v>42047</v>
      </c>
    </row>
    <row r="14267" spans="1:15" x14ac:dyDescent="0.25">
      <c r="A14267" s="786" t="s">
        <v>25791</v>
      </c>
      <c r="B14267" s="787">
        <v>4</v>
      </c>
      <c r="C14267" s="787" t="s">
        <v>25792</v>
      </c>
      <c r="D14267" s="787">
        <v>0.04</v>
      </c>
      <c r="E14267" s="787">
        <v>133.07</v>
      </c>
      <c r="F14267" s="788">
        <v>41813</v>
      </c>
      <c r="G14267" s="788">
        <v>42165</v>
      </c>
      <c r="H14267" s="787">
        <v>1</v>
      </c>
      <c r="I14267" s="788">
        <v>42166</v>
      </c>
      <c r="J14267" s="788">
        <v>42165</v>
      </c>
      <c r="K14267" s="788">
        <v>42128</v>
      </c>
      <c r="L14267" s="787">
        <v>120.53</v>
      </c>
      <c r="M14267" s="787">
        <v>20</v>
      </c>
      <c r="N14267" s="787">
        <v>129.57</v>
      </c>
      <c r="O14267" s="788">
        <v>42164</v>
      </c>
    </row>
    <row r="14268" spans="1:15" x14ac:dyDescent="0.25">
      <c r="A14268" s="786" t="s">
        <v>25793</v>
      </c>
      <c r="B14268" s="787">
        <v>4</v>
      </c>
      <c r="C14268" s="787" t="s">
        <v>25794</v>
      </c>
      <c r="D14268" s="787">
        <v>0.04</v>
      </c>
      <c r="E14268" s="787">
        <v>133.07</v>
      </c>
      <c r="F14268" s="788">
        <v>41813</v>
      </c>
      <c r="G14268" s="788">
        <v>42165</v>
      </c>
      <c r="H14268" s="787">
        <v>1</v>
      </c>
      <c r="I14268" s="788">
        <v>42166</v>
      </c>
      <c r="J14268" s="788">
        <v>42165</v>
      </c>
      <c r="K14268" s="788">
        <v>42128</v>
      </c>
      <c r="L14268" s="787">
        <v>120.53</v>
      </c>
      <c r="M14268" s="787">
        <v>20</v>
      </c>
      <c r="N14268" s="787">
        <v>129.57</v>
      </c>
      <c r="O14268" s="788">
        <v>42164</v>
      </c>
    </row>
    <row r="14269" spans="1:15" x14ac:dyDescent="0.25">
      <c r="A14269" s="786" t="s">
        <v>25795</v>
      </c>
      <c r="B14269" s="787">
        <v>4</v>
      </c>
      <c r="C14269" s="787" t="s">
        <v>25796</v>
      </c>
      <c r="D14269" s="787">
        <v>7.54</v>
      </c>
      <c r="E14269" s="787">
        <v>162.88999999999999</v>
      </c>
      <c r="F14269" s="788">
        <v>41670</v>
      </c>
      <c r="G14269" s="788">
        <v>42091</v>
      </c>
      <c r="H14269" s="787">
        <v>1</v>
      </c>
      <c r="I14269" s="788">
        <v>42156</v>
      </c>
      <c r="J14269" s="788">
        <v>42088</v>
      </c>
      <c r="K14269" s="788">
        <v>42128</v>
      </c>
      <c r="L14269" s="787">
        <v>147.54</v>
      </c>
      <c r="M14269" s="787">
        <v>20</v>
      </c>
      <c r="N14269" s="787">
        <v>158.61000000000001</v>
      </c>
      <c r="O14269" s="788">
        <v>42164</v>
      </c>
    </row>
    <row r="14270" spans="1:15" x14ac:dyDescent="0.25">
      <c r="A14270" s="786" t="s">
        <v>25797</v>
      </c>
      <c r="B14270" s="787">
        <v>4</v>
      </c>
      <c r="C14270" s="787" t="s">
        <v>25798</v>
      </c>
      <c r="D14270" s="787">
        <v>0.04</v>
      </c>
      <c r="E14270" s="787">
        <v>162.88999999999999</v>
      </c>
      <c r="F14270" s="788">
        <v>41813</v>
      </c>
      <c r="G14270" s="788">
        <v>42156</v>
      </c>
      <c r="H14270" s="787">
        <v>1</v>
      </c>
      <c r="I14270" s="788">
        <v>42165</v>
      </c>
      <c r="J14270" s="788">
        <v>42165</v>
      </c>
      <c r="K14270" s="788">
        <v>42128</v>
      </c>
      <c r="L14270" s="787">
        <v>147.54</v>
      </c>
      <c r="M14270" s="787">
        <v>20</v>
      </c>
      <c r="N14270" s="787">
        <v>158.61000000000001</v>
      </c>
      <c r="O14270" s="788">
        <v>42164</v>
      </c>
    </row>
    <row r="14271" spans="1:15" x14ac:dyDescent="0.25">
      <c r="A14271" s="786" t="s">
        <v>25799</v>
      </c>
      <c r="B14271" s="787">
        <v>4</v>
      </c>
      <c r="C14271" s="787" t="s">
        <v>25800</v>
      </c>
      <c r="D14271" s="787">
        <v>4.84</v>
      </c>
      <c r="E14271" s="787">
        <v>53.83</v>
      </c>
      <c r="F14271" s="788">
        <v>42089</v>
      </c>
      <c r="G14271" s="788">
        <v>42152</v>
      </c>
      <c r="H14271" s="787">
        <v>1</v>
      </c>
      <c r="I14271" s="788">
        <v>42117</v>
      </c>
      <c r="J14271" s="788">
        <v>42121</v>
      </c>
      <c r="L14271" s="787">
        <v>1</v>
      </c>
      <c r="M14271" s="787">
        <v>10</v>
      </c>
      <c r="N14271" s="787">
        <v>0</v>
      </c>
    </row>
    <row r="14272" spans="1:15" x14ac:dyDescent="0.25">
      <c r="A14272" s="786" t="s">
        <v>25801</v>
      </c>
      <c r="B14272" s="787">
        <v>4</v>
      </c>
      <c r="C14272" s="787" t="s">
        <v>25802</v>
      </c>
      <c r="D14272" s="787">
        <v>2.15</v>
      </c>
      <c r="E14272" s="787">
        <v>210.93</v>
      </c>
      <c r="F14272" s="788">
        <v>41775</v>
      </c>
      <c r="G14272" s="788">
        <v>42144</v>
      </c>
      <c r="H14272" s="787">
        <v>1</v>
      </c>
      <c r="I14272" s="788">
        <v>42144</v>
      </c>
      <c r="J14272" s="788">
        <v>42144</v>
      </c>
      <c r="L14272" s="787">
        <v>160</v>
      </c>
      <c r="M14272" s="787">
        <v>10</v>
      </c>
      <c r="N14272" s="787">
        <v>165.7</v>
      </c>
      <c r="O14272" s="788">
        <v>42164</v>
      </c>
    </row>
    <row r="14273" spans="1:15" x14ac:dyDescent="0.25">
      <c r="A14273" s="786" t="s">
        <v>25803</v>
      </c>
      <c r="B14273" s="787">
        <v>4</v>
      </c>
      <c r="C14273" s="787" t="s">
        <v>25804</v>
      </c>
      <c r="D14273" s="787">
        <v>8.35</v>
      </c>
      <c r="E14273" s="787">
        <v>162.79</v>
      </c>
      <c r="F14273" s="788">
        <v>41813</v>
      </c>
      <c r="G14273" s="788">
        <v>42095</v>
      </c>
      <c r="H14273" s="787">
        <v>1</v>
      </c>
      <c r="I14273" s="788">
        <v>42062</v>
      </c>
      <c r="J14273" s="788">
        <v>42061</v>
      </c>
      <c r="L14273" s="787">
        <v>160</v>
      </c>
      <c r="M14273" s="787">
        <v>10</v>
      </c>
      <c r="N14273" s="787">
        <v>165.7</v>
      </c>
      <c r="O14273" s="788">
        <v>42164</v>
      </c>
    </row>
    <row r="14274" spans="1:15" x14ac:dyDescent="0.25">
      <c r="A14274" s="786" t="s">
        <v>25805</v>
      </c>
      <c r="B14274" s="787">
        <v>4</v>
      </c>
      <c r="C14274" s="787" t="s">
        <v>25806</v>
      </c>
      <c r="D14274" s="787">
        <v>0.53</v>
      </c>
      <c r="E14274" s="787">
        <v>160.51</v>
      </c>
      <c r="F14274" s="788">
        <v>41838</v>
      </c>
      <c r="G14274" s="788">
        <v>42160</v>
      </c>
      <c r="H14274" s="787">
        <v>1</v>
      </c>
      <c r="I14274" s="788">
        <v>42165</v>
      </c>
      <c r="J14274" s="788">
        <v>42160</v>
      </c>
      <c r="K14274" s="788">
        <v>41956</v>
      </c>
      <c r="L14274" s="787">
        <v>185.71</v>
      </c>
      <c r="M14274" s="787">
        <v>10</v>
      </c>
      <c r="N14274" s="787">
        <v>153.54</v>
      </c>
      <c r="O14274" s="788">
        <v>42164</v>
      </c>
    </row>
    <row r="14275" spans="1:15" x14ac:dyDescent="0.25">
      <c r="A14275" s="786" t="s">
        <v>25807</v>
      </c>
      <c r="B14275" s="787">
        <v>4</v>
      </c>
      <c r="C14275" s="787" t="s">
        <v>25808</v>
      </c>
      <c r="D14275" s="787">
        <v>5.43</v>
      </c>
      <c r="E14275" s="787">
        <v>155.43</v>
      </c>
      <c r="F14275" s="788">
        <v>42110</v>
      </c>
      <c r="G14275" s="788">
        <v>42143</v>
      </c>
      <c r="H14275" s="787">
        <v>1</v>
      </c>
      <c r="I14275" s="788">
        <v>42150</v>
      </c>
      <c r="J14275" s="788">
        <v>42164</v>
      </c>
      <c r="L14275" s="787">
        <v>250</v>
      </c>
      <c r="M14275" s="787">
        <v>10</v>
      </c>
      <c r="N14275" s="787">
        <v>149.54</v>
      </c>
      <c r="O14275" s="788">
        <v>42045</v>
      </c>
    </row>
    <row r="14276" spans="1:15" x14ac:dyDescent="0.25">
      <c r="A14276" s="786" t="s">
        <v>25809</v>
      </c>
      <c r="B14276" s="787">
        <v>4</v>
      </c>
      <c r="C14276" s="787" t="s">
        <v>25810</v>
      </c>
      <c r="D14276" s="787">
        <v>0</v>
      </c>
      <c r="E14276" s="787">
        <v>0</v>
      </c>
      <c r="H14276" s="787">
        <v>1</v>
      </c>
      <c r="K14276" s="788">
        <v>41461</v>
      </c>
      <c r="L14276" s="787">
        <v>42.97</v>
      </c>
      <c r="M14276" s="787">
        <v>10</v>
      </c>
      <c r="N14276" s="787">
        <v>42.83</v>
      </c>
      <c r="O14276" s="788">
        <v>41858</v>
      </c>
    </row>
    <row r="14277" spans="1:15" x14ac:dyDescent="0.25">
      <c r="A14277" s="786" t="s">
        <v>25811</v>
      </c>
      <c r="B14277" s="787">
        <v>4</v>
      </c>
      <c r="C14277" s="787" t="s">
        <v>25812</v>
      </c>
      <c r="D14277" s="787">
        <v>0</v>
      </c>
      <c r="E14277" s="787">
        <v>0</v>
      </c>
      <c r="H14277" s="787">
        <v>1</v>
      </c>
      <c r="K14277" s="788">
        <v>41461</v>
      </c>
      <c r="L14277" s="787">
        <v>50.17</v>
      </c>
      <c r="M14277" s="787">
        <v>10</v>
      </c>
      <c r="N14277" s="787">
        <v>50.03</v>
      </c>
      <c r="O14277" s="788">
        <v>41858</v>
      </c>
    </row>
    <row r="14278" spans="1:15" x14ac:dyDescent="0.25">
      <c r="A14278" s="786" t="s">
        <v>25813</v>
      </c>
      <c r="B14278" s="787">
        <v>4</v>
      </c>
      <c r="C14278" s="787" t="s">
        <v>25800</v>
      </c>
      <c r="D14278" s="787">
        <v>5.07</v>
      </c>
      <c r="E14278" s="787">
        <v>45.07</v>
      </c>
      <c r="F14278" s="788">
        <v>41855</v>
      </c>
      <c r="G14278" s="788">
        <v>41855</v>
      </c>
      <c r="H14278" s="787">
        <v>1</v>
      </c>
      <c r="I14278" s="788">
        <v>41808</v>
      </c>
      <c r="J14278" s="788">
        <v>41808</v>
      </c>
      <c r="K14278" s="788">
        <v>41461</v>
      </c>
      <c r="L14278" s="787">
        <v>58.15</v>
      </c>
      <c r="M14278" s="787">
        <v>10</v>
      </c>
      <c r="N14278" s="787">
        <v>62.2</v>
      </c>
      <c r="O14278" s="788">
        <v>41549</v>
      </c>
    </row>
    <row r="14279" spans="1:15" x14ac:dyDescent="0.25">
      <c r="A14279" s="786" t="s">
        <v>25814</v>
      </c>
      <c r="B14279" s="787">
        <v>4</v>
      </c>
      <c r="C14279" s="787" t="s">
        <v>25815</v>
      </c>
      <c r="D14279" s="787">
        <v>0.13</v>
      </c>
      <c r="E14279" s="787">
        <v>10.130000000000001</v>
      </c>
      <c r="F14279" s="788">
        <v>41647</v>
      </c>
      <c r="G14279" s="788">
        <v>41666</v>
      </c>
      <c r="H14279" s="787">
        <v>6</v>
      </c>
      <c r="I14279" s="788">
        <v>41576</v>
      </c>
      <c r="J14279" s="788">
        <v>41575</v>
      </c>
      <c r="K14279" s="788">
        <v>41869</v>
      </c>
      <c r="L14279" s="787">
        <v>10.130000000000001</v>
      </c>
      <c r="M14279" s="787">
        <v>20</v>
      </c>
      <c r="N14279" s="787">
        <v>26.88</v>
      </c>
      <c r="O14279" s="788">
        <v>41858</v>
      </c>
    </row>
    <row r="14280" spans="1:15" x14ac:dyDescent="0.25">
      <c r="A14280" s="786" t="s">
        <v>25816</v>
      </c>
      <c r="B14280" s="787">
        <v>4</v>
      </c>
      <c r="C14280" s="787" t="s">
        <v>25817</v>
      </c>
      <c r="D14280" s="787">
        <v>0</v>
      </c>
      <c r="E14280" s="787">
        <v>0</v>
      </c>
      <c r="H14280" s="787">
        <v>1</v>
      </c>
      <c r="I14280" s="788">
        <v>41576</v>
      </c>
      <c r="K14280" s="788">
        <v>41568</v>
      </c>
      <c r="L14280" s="787">
        <v>20</v>
      </c>
      <c r="M14280" s="787">
        <v>20</v>
      </c>
      <c r="N14280" s="787">
        <v>21.5</v>
      </c>
      <c r="O14280" s="788">
        <v>41858</v>
      </c>
    </row>
    <row r="14281" spans="1:15" x14ac:dyDescent="0.25">
      <c r="A14281" s="786" t="s">
        <v>25818</v>
      </c>
      <c r="B14281" s="787">
        <v>4</v>
      </c>
      <c r="C14281" s="787" t="s">
        <v>25819</v>
      </c>
      <c r="D14281" s="787">
        <v>0</v>
      </c>
      <c r="E14281" s="787">
        <v>0</v>
      </c>
      <c r="H14281" s="787">
        <v>1</v>
      </c>
      <c r="K14281" s="788">
        <v>41815</v>
      </c>
      <c r="L14281" s="787">
        <v>722</v>
      </c>
      <c r="M14281" s="787">
        <v>20</v>
      </c>
      <c r="N14281" s="787">
        <v>776.15</v>
      </c>
      <c r="O14281" s="788">
        <v>41869</v>
      </c>
    </row>
    <row r="14282" spans="1:15" x14ac:dyDescent="0.25">
      <c r="A14282" s="786" t="s">
        <v>25820</v>
      </c>
      <c r="B14282" s="787">
        <v>4</v>
      </c>
      <c r="C14282" s="787" t="s">
        <v>25819</v>
      </c>
      <c r="D14282" s="787">
        <v>0</v>
      </c>
      <c r="E14282" s="787">
        <v>0</v>
      </c>
      <c r="H14282" s="787">
        <v>1</v>
      </c>
      <c r="K14282" s="788">
        <v>41815</v>
      </c>
      <c r="L14282" s="787">
        <v>932</v>
      </c>
      <c r="M14282" s="787">
        <v>20</v>
      </c>
      <c r="N14282" s="789">
        <v>1001.9</v>
      </c>
      <c r="O14282" s="788">
        <v>41869</v>
      </c>
    </row>
    <row r="14283" spans="1:15" x14ac:dyDescent="0.25">
      <c r="A14283" s="786" t="s">
        <v>25821</v>
      </c>
      <c r="B14283" s="787">
        <v>4</v>
      </c>
      <c r="C14283" s="787" t="s">
        <v>25822</v>
      </c>
      <c r="D14283" s="787">
        <v>2.27</v>
      </c>
      <c r="E14283" s="787">
        <v>22.27</v>
      </c>
      <c r="F14283" s="788">
        <v>41913</v>
      </c>
      <c r="G14283" s="788">
        <v>41913</v>
      </c>
      <c r="H14283" s="787">
        <v>1</v>
      </c>
      <c r="I14283" s="788">
        <v>41901</v>
      </c>
      <c r="J14283" s="788">
        <v>41892</v>
      </c>
      <c r="K14283" s="788">
        <v>41883</v>
      </c>
      <c r="L14283" s="787">
        <v>22.35</v>
      </c>
      <c r="M14283" s="787">
        <v>10</v>
      </c>
      <c r="N14283" s="787">
        <v>22.35</v>
      </c>
      <c r="O14283" s="788">
        <v>41883</v>
      </c>
    </row>
    <row r="14284" spans="1:15" x14ac:dyDescent="0.25">
      <c r="A14284" s="786" t="s">
        <v>25823</v>
      </c>
      <c r="B14284" s="787">
        <v>4</v>
      </c>
      <c r="C14284" s="787" t="s">
        <v>25824</v>
      </c>
      <c r="D14284" s="787">
        <v>2.2999999999999998</v>
      </c>
      <c r="E14284" s="787">
        <v>94.46</v>
      </c>
      <c r="F14284" s="788">
        <v>41936</v>
      </c>
      <c r="G14284" s="788">
        <v>42013</v>
      </c>
      <c r="H14284" s="787">
        <v>1</v>
      </c>
      <c r="I14284" s="788">
        <v>41990</v>
      </c>
      <c r="J14284" s="788">
        <v>41992</v>
      </c>
      <c r="K14284" s="788">
        <v>41932</v>
      </c>
      <c r="L14284" s="787">
        <v>55.68</v>
      </c>
      <c r="M14284" s="787">
        <v>20</v>
      </c>
      <c r="N14284" s="787">
        <v>59.86</v>
      </c>
      <c r="O14284" s="788">
        <v>41932</v>
      </c>
    </row>
    <row r="14285" spans="1:15" x14ac:dyDescent="0.25">
      <c r="A14285" s="786" t="s">
        <v>25825</v>
      </c>
      <c r="B14285" s="787">
        <v>4</v>
      </c>
      <c r="C14285" s="787" t="s">
        <v>25826</v>
      </c>
      <c r="D14285" s="787">
        <v>8.89</v>
      </c>
      <c r="E14285" s="787">
        <v>168.89</v>
      </c>
      <c r="F14285" s="788">
        <v>41936</v>
      </c>
      <c r="G14285" s="788">
        <v>42013</v>
      </c>
      <c r="H14285" s="787">
        <v>1</v>
      </c>
      <c r="I14285" s="788">
        <v>42163</v>
      </c>
      <c r="J14285" s="788">
        <v>41935</v>
      </c>
      <c r="K14285" s="788">
        <v>41932</v>
      </c>
      <c r="L14285" s="787">
        <v>122.73</v>
      </c>
      <c r="M14285" s="787">
        <v>20</v>
      </c>
      <c r="N14285" s="787">
        <v>131.93</v>
      </c>
      <c r="O14285" s="788">
        <v>41932</v>
      </c>
    </row>
    <row r="14286" spans="1:15" x14ac:dyDescent="0.25">
      <c r="A14286" s="786" t="s">
        <v>25827</v>
      </c>
      <c r="B14286" s="787">
        <v>4</v>
      </c>
      <c r="C14286" s="787" t="s">
        <v>25828</v>
      </c>
      <c r="D14286" s="787">
        <v>0</v>
      </c>
      <c r="E14286" s="787">
        <v>0</v>
      </c>
      <c r="G14286" s="788">
        <v>41963</v>
      </c>
      <c r="H14286" s="787">
        <v>1</v>
      </c>
      <c r="J14286" s="788">
        <v>41963</v>
      </c>
      <c r="K14286" s="788">
        <v>41962</v>
      </c>
      <c r="L14286" s="787">
        <v>26.9</v>
      </c>
      <c r="M14286" s="787">
        <v>20</v>
      </c>
      <c r="N14286" s="787">
        <v>28.92</v>
      </c>
      <c r="O14286" s="788">
        <v>41964</v>
      </c>
    </row>
    <row r="14287" spans="1:15" x14ac:dyDescent="0.25">
      <c r="A14287" s="786" t="s">
        <v>25829</v>
      </c>
      <c r="B14287" s="787">
        <v>4</v>
      </c>
      <c r="C14287" s="787" t="s">
        <v>25830</v>
      </c>
      <c r="D14287" s="787">
        <v>9.19</v>
      </c>
      <c r="E14287" s="787">
        <v>9.19</v>
      </c>
      <c r="F14287" s="788">
        <v>42096</v>
      </c>
      <c r="G14287" s="788">
        <v>42125</v>
      </c>
      <c r="H14287" s="787">
        <v>1</v>
      </c>
      <c r="I14287" s="788">
        <v>42159</v>
      </c>
      <c r="J14287" s="788">
        <v>42094</v>
      </c>
      <c r="K14287" s="788">
        <v>42093</v>
      </c>
      <c r="L14287" s="787">
        <v>4.4000000000000004</v>
      </c>
      <c r="M14287" s="787">
        <v>20</v>
      </c>
      <c r="N14287" s="787">
        <v>13.8</v>
      </c>
      <c r="O14287" s="788">
        <v>42017</v>
      </c>
    </row>
    <row r="14288" spans="1:15" x14ac:dyDescent="0.25">
      <c r="A14288" s="786" t="s">
        <v>25831</v>
      </c>
      <c r="B14288" s="787">
        <v>4</v>
      </c>
      <c r="C14288" s="787" t="s">
        <v>25656</v>
      </c>
      <c r="D14288" s="787">
        <v>7.6</v>
      </c>
      <c r="E14288" s="787">
        <v>7.6</v>
      </c>
      <c r="F14288" s="788">
        <v>42096</v>
      </c>
      <c r="G14288" s="788">
        <v>42125</v>
      </c>
      <c r="H14288" s="787">
        <v>1</v>
      </c>
      <c r="J14288" s="788">
        <v>42094</v>
      </c>
      <c r="K14288" s="788">
        <v>42093</v>
      </c>
      <c r="L14288" s="787">
        <v>3.96</v>
      </c>
      <c r="M14288" s="787">
        <v>20</v>
      </c>
      <c r="N14288" s="787">
        <v>0</v>
      </c>
    </row>
    <row r="14289" spans="1:15" x14ac:dyDescent="0.25">
      <c r="A14289" s="786" t="s">
        <v>25832</v>
      </c>
      <c r="B14289" s="787">
        <v>4</v>
      </c>
      <c r="C14289" s="787" t="s">
        <v>25833</v>
      </c>
      <c r="D14289" s="787">
        <v>7.21</v>
      </c>
      <c r="E14289" s="787">
        <v>17.21</v>
      </c>
      <c r="F14289" s="788">
        <v>42136</v>
      </c>
      <c r="G14289" s="788">
        <v>42156</v>
      </c>
      <c r="H14289" s="787">
        <v>1</v>
      </c>
      <c r="J14289" s="788">
        <v>42131</v>
      </c>
      <c r="K14289" s="788">
        <v>42129</v>
      </c>
      <c r="L14289" s="787">
        <v>6.44</v>
      </c>
      <c r="M14289" s="787">
        <v>20</v>
      </c>
      <c r="N14289" s="787">
        <v>0</v>
      </c>
    </row>
    <row r="14290" spans="1:15" x14ac:dyDescent="0.25">
      <c r="A14290" s="786" t="s">
        <v>25834</v>
      </c>
      <c r="B14290" s="787">
        <v>4</v>
      </c>
      <c r="C14290" s="787" t="s">
        <v>25835</v>
      </c>
      <c r="D14290" s="787">
        <v>3.05</v>
      </c>
      <c r="E14290" s="787">
        <v>143.05000000000001</v>
      </c>
      <c r="F14290" s="788">
        <v>42122</v>
      </c>
      <c r="G14290" s="788">
        <v>42122</v>
      </c>
      <c r="H14290" s="787">
        <v>1</v>
      </c>
      <c r="I14290" s="788">
        <v>42089</v>
      </c>
      <c r="J14290" s="788">
        <v>42089</v>
      </c>
      <c r="K14290" s="788">
        <v>42088</v>
      </c>
      <c r="L14290" s="787">
        <v>146.6</v>
      </c>
      <c r="M14290" s="787">
        <v>10</v>
      </c>
      <c r="N14290" s="787">
        <v>0</v>
      </c>
    </row>
    <row r="14291" spans="1:15" x14ac:dyDescent="0.25">
      <c r="A14291" s="786" t="s">
        <v>25836</v>
      </c>
      <c r="B14291" s="787">
        <v>4</v>
      </c>
      <c r="C14291" s="787" t="s">
        <v>25837</v>
      </c>
      <c r="D14291" s="787">
        <v>3.29</v>
      </c>
      <c r="E14291" s="787">
        <v>253.29</v>
      </c>
      <c r="F14291" s="788">
        <v>42142</v>
      </c>
      <c r="G14291" s="788">
        <v>42142</v>
      </c>
      <c r="H14291" s="787">
        <v>1</v>
      </c>
      <c r="I14291" s="788">
        <v>42114</v>
      </c>
      <c r="J14291" s="788">
        <v>42114</v>
      </c>
      <c r="L14291" s="787">
        <v>253.39</v>
      </c>
      <c r="M14291" s="787">
        <v>10</v>
      </c>
      <c r="N14291" s="787">
        <v>0</v>
      </c>
    </row>
    <row r="14292" spans="1:15" x14ac:dyDescent="0.25">
      <c r="A14292" s="786" t="s">
        <v>25838</v>
      </c>
      <c r="B14292" s="787">
        <v>4</v>
      </c>
      <c r="C14292" s="787" t="s">
        <v>25839</v>
      </c>
      <c r="D14292" s="787">
        <v>0</v>
      </c>
      <c r="E14292" s="787">
        <v>0</v>
      </c>
      <c r="H14292" s="787">
        <v>1</v>
      </c>
      <c r="L14292" s="787">
        <v>300</v>
      </c>
      <c r="M14292" s="787">
        <v>10</v>
      </c>
      <c r="N14292" s="787">
        <v>390</v>
      </c>
      <c r="O14292" s="788">
        <v>42115</v>
      </c>
    </row>
    <row r="14293" spans="1:15" x14ac:dyDescent="0.25">
      <c r="A14293" s="786" t="s">
        <v>25840</v>
      </c>
      <c r="B14293" s="787">
        <v>4</v>
      </c>
      <c r="C14293" s="787" t="s">
        <v>25841</v>
      </c>
      <c r="D14293" s="787">
        <v>0</v>
      </c>
      <c r="E14293" s="787">
        <v>0</v>
      </c>
      <c r="H14293" s="787">
        <v>6</v>
      </c>
      <c r="K14293" s="788">
        <v>41852</v>
      </c>
      <c r="L14293" s="787">
        <v>120.53</v>
      </c>
      <c r="M14293" s="787">
        <v>20</v>
      </c>
      <c r="N14293" s="787">
        <v>0</v>
      </c>
    </row>
    <row r="14294" spans="1:15" x14ac:dyDescent="0.25">
      <c r="A14294" s="786" t="s">
        <v>25842</v>
      </c>
      <c r="B14294" s="787">
        <v>4</v>
      </c>
      <c r="C14294" s="787" t="s">
        <v>25794</v>
      </c>
      <c r="D14294" s="787">
        <v>0</v>
      </c>
      <c r="E14294" s="787">
        <v>0</v>
      </c>
      <c r="H14294" s="787">
        <v>6</v>
      </c>
      <c r="K14294" s="788">
        <v>41852</v>
      </c>
      <c r="L14294" s="787">
        <v>120.53</v>
      </c>
      <c r="M14294" s="787">
        <v>20</v>
      </c>
      <c r="N14294" s="787">
        <v>0</v>
      </c>
    </row>
    <row r="14295" spans="1:15" x14ac:dyDescent="0.25">
      <c r="A14295" s="786" t="s">
        <v>25843</v>
      </c>
      <c r="B14295" s="787">
        <v>4</v>
      </c>
      <c r="C14295" s="787" t="s">
        <v>25844</v>
      </c>
      <c r="D14295" s="787">
        <v>0</v>
      </c>
      <c r="E14295" s="787">
        <v>0</v>
      </c>
      <c r="H14295" s="787">
        <v>6</v>
      </c>
      <c r="K14295" s="788">
        <v>41852</v>
      </c>
      <c r="L14295" s="787">
        <v>147.54</v>
      </c>
      <c r="M14295" s="787">
        <v>20</v>
      </c>
      <c r="N14295" s="787">
        <v>0</v>
      </c>
    </row>
    <row r="14296" spans="1:15" x14ac:dyDescent="0.25">
      <c r="A14296" s="786" t="s">
        <v>25845</v>
      </c>
      <c r="B14296" s="787">
        <v>4</v>
      </c>
      <c r="C14296" s="787" t="s">
        <v>25798</v>
      </c>
      <c r="D14296" s="787">
        <v>0</v>
      </c>
      <c r="E14296" s="787">
        <v>0</v>
      </c>
      <c r="H14296" s="787">
        <v>6</v>
      </c>
      <c r="K14296" s="788">
        <v>41852</v>
      </c>
      <c r="L14296" s="787">
        <v>147.54</v>
      </c>
      <c r="M14296" s="787">
        <v>20</v>
      </c>
      <c r="N14296" s="787">
        <v>0</v>
      </c>
    </row>
    <row r="14297" spans="1:15" x14ac:dyDescent="0.25">
      <c r="A14297" s="786" t="s">
        <v>25846</v>
      </c>
      <c r="B14297" s="787">
        <v>4</v>
      </c>
      <c r="C14297" s="787" t="s">
        <v>25847</v>
      </c>
      <c r="D14297" s="787">
        <v>7.72</v>
      </c>
      <c r="E14297" s="787">
        <v>437.72</v>
      </c>
      <c r="F14297" s="788">
        <v>42114</v>
      </c>
      <c r="G14297" s="788">
        <v>42144</v>
      </c>
      <c r="H14297" s="787">
        <v>1</v>
      </c>
      <c r="I14297" s="788">
        <v>42157</v>
      </c>
      <c r="J14297" s="788">
        <v>42150</v>
      </c>
      <c r="L14297" s="787">
        <v>140</v>
      </c>
      <c r="M14297" s="787">
        <v>10</v>
      </c>
      <c r="N14297" s="787">
        <v>179.6</v>
      </c>
      <c r="O14297" s="788">
        <v>42075</v>
      </c>
    </row>
    <row r="14298" spans="1:15" x14ac:dyDescent="0.25">
      <c r="A14298" s="786" t="s">
        <v>25848</v>
      </c>
      <c r="B14298" s="787">
        <v>4</v>
      </c>
      <c r="C14298" s="787" t="s">
        <v>25849</v>
      </c>
      <c r="D14298" s="787">
        <v>4.6399999999999997</v>
      </c>
      <c r="E14298" s="787">
        <v>144.63999999999999</v>
      </c>
      <c r="F14298" s="788">
        <v>41991</v>
      </c>
      <c r="G14298" s="788">
        <v>41976</v>
      </c>
      <c r="H14298" s="787">
        <v>1</v>
      </c>
      <c r="I14298" s="788">
        <v>42143</v>
      </c>
      <c r="J14298" s="788">
        <v>41976</v>
      </c>
      <c r="K14298" s="788">
        <v>42132</v>
      </c>
      <c r="L14298" s="787">
        <v>144.63999999999999</v>
      </c>
      <c r="M14298" s="787">
        <v>20</v>
      </c>
      <c r="N14298" s="787">
        <v>155.49</v>
      </c>
      <c r="O14298" s="788">
        <v>42164</v>
      </c>
    </row>
    <row r="14299" spans="1:15" x14ac:dyDescent="0.25">
      <c r="A14299" s="786" t="s">
        <v>25850</v>
      </c>
      <c r="B14299" s="787">
        <v>4</v>
      </c>
      <c r="C14299" s="787" t="s">
        <v>25851</v>
      </c>
      <c r="D14299" s="787">
        <v>9.02</v>
      </c>
      <c r="E14299" s="787">
        <v>129.02000000000001</v>
      </c>
      <c r="F14299" s="788">
        <v>41477</v>
      </c>
      <c r="G14299" s="788">
        <v>41758</v>
      </c>
      <c r="H14299" s="787">
        <v>1</v>
      </c>
      <c r="I14299" s="788">
        <v>41830</v>
      </c>
      <c r="J14299" s="788">
        <v>41992</v>
      </c>
      <c r="K14299" s="788">
        <v>41830</v>
      </c>
      <c r="L14299" s="787">
        <v>144.63999999999999</v>
      </c>
      <c r="M14299" s="787">
        <v>20</v>
      </c>
      <c r="N14299" s="787">
        <v>155.49</v>
      </c>
      <c r="O14299" s="788">
        <v>41991</v>
      </c>
    </row>
    <row r="14300" spans="1:15" x14ac:dyDescent="0.25">
      <c r="A14300" s="786" t="s">
        <v>25852</v>
      </c>
      <c r="B14300" s="787">
        <v>4</v>
      </c>
      <c r="C14300" s="787" t="s">
        <v>25853</v>
      </c>
      <c r="D14300" s="787">
        <v>0.72</v>
      </c>
      <c r="E14300" s="787">
        <v>177.05</v>
      </c>
      <c r="F14300" s="788">
        <v>41613</v>
      </c>
      <c r="G14300" s="788">
        <v>42009</v>
      </c>
      <c r="H14300" s="787">
        <v>1</v>
      </c>
      <c r="I14300" s="788">
        <v>42136</v>
      </c>
      <c r="J14300" s="788">
        <v>41983</v>
      </c>
      <c r="K14300" s="788">
        <v>41830</v>
      </c>
      <c r="L14300" s="787">
        <v>177.05</v>
      </c>
      <c r="M14300" s="787">
        <v>20</v>
      </c>
      <c r="N14300" s="787">
        <v>190.33</v>
      </c>
      <c r="O14300" s="788">
        <v>42164</v>
      </c>
    </row>
    <row r="14301" spans="1:15" x14ac:dyDescent="0.25">
      <c r="A14301" s="786" t="s">
        <v>25854</v>
      </c>
      <c r="B14301" s="787">
        <v>4</v>
      </c>
      <c r="C14301" s="787" t="s">
        <v>25855</v>
      </c>
      <c r="D14301" s="787">
        <v>3.4</v>
      </c>
      <c r="E14301" s="787">
        <v>183.4</v>
      </c>
      <c r="F14301" s="788">
        <v>41824</v>
      </c>
      <c r="G14301" s="788">
        <v>42013</v>
      </c>
      <c r="H14301" s="787">
        <v>1</v>
      </c>
      <c r="I14301" s="788">
        <v>41830</v>
      </c>
      <c r="J14301" s="788">
        <v>41992</v>
      </c>
      <c r="K14301" s="788">
        <v>41878</v>
      </c>
      <c r="L14301" s="787">
        <v>183.4</v>
      </c>
      <c r="M14301" s="787">
        <v>20</v>
      </c>
      <c r="N14301" s="787">
        <v>197.16</v>
      </c>
      <c r="O14301" s="788">
        <v>41991</v>
      </c>
    </row>
    <row r="14302" spans="1:15" x14ac:dyDescent="0.25">
      <c r="A14302" s="786" t="s">
        <v>25856</v>
      </c>
      <c r="B14302" s="787">
        <v>4</v>
      </c>
      <c r="C14302" s="787" t="s">
        <v>25857</v>
      </c>
      <c r="D14302" s="787">
        <v>2.87</v>
      </c>
      <c r="E14302" s="787">
        <v>31.47</v>
      </c>
      <c r="F14302" s="788">
        <v>42143</v>
      </c>
      <c r="G14302" s="788">
        <v>42157</v>
      </c>
      <c r="H14302" s="787">
        <v>1</v>
      </c>
      <c r="I14302" s="788">
        <v>42166</v>
      </c>
      <c r="J14302" s="788">
        <v>42157</v>
      </c>
      <c r="K14302" s="788">
        <v>41855</v>
      </c>
      <c r="L14302" s="787">
        <v>32.83</v>
      </c>
      <c r="M14302" s="787">
        <v>10</v>
      </c>
      <c r="N14302" s="787">
        <v>31.25</v>
      </c>
      <c r="O14302" s="788">
        <v>42164</v>
      </c>
    </row>
    <row r="14303" spans="1:15" x14ac:dyDescent="0.25">
      <c r="A14303" s="786" t="s">
        <v>25858</v>
      </c>
      <c r="B14303" s="787">
        <v>4</v>
      </c>
      <c r="C14303" s="787" t="s">
        <v>25859</v>
      </c>
      <c r="D14303" s="787">
        <v>8.9700000000000006</v>
      </c>
      <c r="E14303" s="787">
        <v>29.36</v>
      </c>
      <c r="F14303" s="788">
        <v>41548</v>
      </c>
      <c r="G14303" s="788">
        <v>42013</v>
      </c>
      <c r="H14303" s="787">
        <v>1</v>
      </c>
      <c r="I14303" s="788">
        <v>42143</v>
      </c>
      <c r="J14303" s="788">
        <v>41894</v>
      </c>
      <c r="K14303" s="788">
        <v>42142</v>
      </c>
      <c r="L14303" s="787">
        <v>32</v>
      </c>
      <c r="M14303" s="787">
        <v>10</v>
      </c>
      <c r="N14303" s="787">
        <v>32.6</v>
      </c>
      <c r="O14303" s="788">
        <v>42164</v>
      </c>
    </row>
    <row r="14304" spans="1:15" x14ac:dyDescent="0.25">
      <c r="A14304" s="786" t="s">
        <v>25860</v>
      </c>
      <c r="B14304" s="787">
        <v>4</v>
      </c>
      <c r="C14304" s="787" t="s">
        <v>25861</v>
      </c>
      <c r="D14304" s="787">
        <v>1.1299999999999999</v>
      </c>
      <c r="E14304" s="787">
        <v>32.86</v>
      </c>
      <c r="F14304" s="788">
        <v>41548</v>
      </c>
      <c r="G14304" s="788">
        <v>42048</v>
      </c>
      <c r="H14304" s="787">
        <v>1</v>
      </c>
      <c r="I14304" s="788">
        <v>42159</v>
      </c>
      <c r="J14304" s="788">
        <v>42016</v>
      </c>
      <c r="L14304" s="787">
        <v>15</v>
      </c>
      <c r="M14304" s="787">
        <v>10</v>
      </c>
      <c r="N14304" s="787">
        <v>31.88</v>
      </c>
      <c r="O14304" s="788">
        <v>41992</v>
      </c>
    </row>
    <row r="14305" spans="1:15" x14ac:dyDescent="0.25">
      <c r="A14305" s="786" t="s">
        <v>25862</v>
      </c>
      <c r="B14305" s="787">
        <v>4</v>
      </c>
      <c r="C14305" s="787" t="s">
        <v>25863</v>
      </c>
      <c r="D14305" s="787">
        <v>8.75</v>
      </c>
      <c r="E14305" s="787">
        <v>98.75</v>
      </c>
      <c r="F14305" s="788">
        <v>42037</v>
      </c>
      <c r="G14305" s="788">
        <v>42050</v>
      </c>
      <c r="H14305" s="787">
        <v>1</v>
      </c>
      <c r="J14305" s="788">
        <v>42025</v>
      </c>
      <c r="K14305" s="788">
        <v>42066</v>
      </c>
      <c r="L14305" s="787">
        <v>98.75</v>
      </c>
      <c r="M14305" s="787">
        <v>20</v>
      </c>
      <c r="N14305" s="787">
        <v>106.16</v>
      </c>
      <c r="O14305" s="788">
        <v>42066</v>
      </c>
    </row>
    <row r="14306" spans="1:15" x14ac:dyDescent="0.25">
      <c r="A14306" s="786" t="s">
        <v>25864</v>
      </c>
      <c r="B14306" s="787">
        <v>4</v>
      </c>
      <c r="C14306" s="787" t="s">
        <v>25865</v>
      </c>
      <c r="D14306" s="787">
        <v>8.75</v>
      </c>
      <c r="E14306" s="787">
        <v>98.75</v>
      </c>
      <c r="F14306" s="788">
        <v>42037</v>
      </c>
      <c r="G14306" s="788">
        <v>42050</v>
      </c>
      <c r="H14306" s="787">
        <v>1</v>
      </c>
      <c r="J14306" s="788">
        <v>42025</v>
      </c>
      <c r="K14306" s="788">
        <v>42128</v>
      </c>
      <c r="L14306" s="787">
        <v>98.75</v>
      </c>
      <c r="M14306" s="787">
        <v>20</v>
      </c>
      <c r="N14306" s="787">
        <v>117.2</v>
      </c>
      <c r="O14306" s="788">
        <v>42024</v>
      </c>
    </row>
    <row r="14307" spans="1:15" x14ac:dyDescent="0.25">
      <c r="A14307" s="786" t="s">
        <v>25866</v>
      </c>
      <c r="B14307" s="787">
        <v>4</v>
      </c>
      <c r="C14307" s="787" t="s">
        <v>25867</v>
      </c>
      <c r="D14307" s="787">
        <v>0</v>
      </c>
      <c r="E14307" s="787">
        <v>20.5</v>
      </c>
      <c r="H14307" s="787">
        <v>1</v>
      </c>
      <c r="K14307" s="788">
        <v>42128</v>
      </c>
      <c r="L14307" s="787">
        <v>124.5</v>
      </c>
      <c r="M14307" s="787">
        <v>20</v>
      </c>
      <c r="N14307" s="787">
        <v>147.76</v>
      </c>
      <c r="O14307" s="788">
        <v>42024</v>
      </c>
    </row>
    <row r="14308" spans="1:15" x14ac:dyDescent="0.25">
      <c r="A14308" s="786" t="s">
        <v>25868</v>
      </c>
      <c r="B14308" s="787">
        <v>4</v>
      </c>
      <c r="C14308" s="787" t="s">
        <v>25869</v>
      </c>
      <c r="D14308" s="787">
        <v>0</v>
      </c>
      <c r="E14308" s="787">
        <v>20.5</v>
      </c>
      <c r="H14308" s="787">
        <v>1</v>
      </c>
      <c r="K14308" s="788">
        <v>42128</v>
      </c>
      <c r="L14308" s="787">
        <v>124.5</v>
      </c>
      <c r="M14308" s="787">
        <v>20</v>
      </c>
      <c r="N14308" s="787">
        <v>147.76</v>
      </c>
      <c r="O14308" s="788">
        <v>42024</v>
      </c>
    </row>
    <row r="14309" spans="1:15" x14ac:dyDescent="0.25">
      <c r="A14309" s="786" t="s">
        <v>25870</v>
      </c>
      <c r="B14309" s="787">
        <v>4</v>
      </c>
      <c r="C14309" s="787" t="s">
        <v>25871</v>
      </c>
      <c r="D14309" s="787">
        <v>8.6</v>
      </c>
      <c r="E14309" s="787">
        <v>8.6</v>
      </c>
      <c r="F14309" s="788">
        <v>42118</v>
      </c>
      <c r="G14309" s="788">
        <v>42095</v>
      </c>
      <c r="H14309" s="787">
        <v>1</v>
      </c>
      <c r="J14309" s="788">
        <v>42095</v>
      </c>
      <c r="K14309" s="788">
        <v>42087</v>
      </c>
      <c r="L14309" s="787">
        <v>8.6</v>
      </c>
      <c r="M14309" s="787">
        <v>20</v>
      </c>
      <c r="N14309" s="787">
        <v>0</v>
      </c>
    </row>
    <row r="14310" spans="1:15" x14ac:dyDescent="0.25">
      <c r="A14310" s="786" t="s">
        <v>25872</v>
      </c>
      <c r="B14310" s="787">
        <v>4</v>
      </c>
      <c r="C14310" s="787" t="s">
        <v>25873</v>
      </c>
      <c r="D14310" s="787">
        <v>6.05</v>
      </c>
      <c r="E14310" s="787">
        <v>6.05</v>
      </c>
      <c r="F14310" s="788">
        <v>41967</v>
      </c>
      <c r="G14310" s="788">
        <v>41975</v>
      </c>
      <c r="H14310" s="787">
        <v>1</v>
      </c>
      <c r="I14310" s="788">
        <v>42156</v>
      </c>
      <c r="J14310" s="788">
        <v>41964</v>
      </c>
      <c r="K14310" s="788">
        <v>41933</v>
      </c>
      <c r="L14310" s="787">
        <v>5.95</v>
      </c>
      <c r="M14310" s="787">
        <v>20</v>
      </c>
      <c r="N14310" s="787">
        <v>6.4</v>
      </c>
      <c r="O14310" s="788">
        <v>41989</v>
      </c>
    </row>
    <row r="14311" spans="1:15" x14ac:dyDescent="0.25">
      <c r="A14311" s="786" t="s">
        <v>25874</v>
      </c>
      <c r="B14311" s="787">
        <v>4</v>
      </c>
      <c r="C14311" s="787" t="s">
        <v>25875</v>
      </c>
      <c r="D14311" s="787">
        <v>1.69</v>
      </c>
      <c r="E14311" s="787">
        <v>11.69</v>
      </c>
      <c r="F14311" s="788">
        <v>41967</v>
      </c>
      <c r="G14311" s="788">
        <v>41975</v>
      </c>
      <c r="H14311" s="787">
        <v>1</v>
      </c>
      <c r="J14311" s="788">
        <v>41964</v>
      </c>
      <c r="K14311" s="788">
        <v>41933</v>
      </c>
      <c r="L14311" s="787">
        <v>11.5</v>
      </c>
      <c r="M14311" s="787">
        <v>20</v>
      </c>
      <c r="N14311" s="787">
        <v>12.36</v>
      </c>
      <c r="O14311" s="788">
        <v>41989</v>
      </c>
    </row>
    <row r="14312" spans="1:15" x14ac:dyDescent="0.25">
      <c r="A14312" s="786" t="s">
        <v>25876</v>
      </c>
      <c r="B14312" s="787">
        <v>4</v>
      </c>
      <c r="C14312" s="787" t="s">
        <v>25877</v>
      </c>
      <c r="D14312" s="787">
        <v>5.76</v>
      </c>
      <c r="E14312" s="787">
        <v>15.76</v>
      </c>
      <c r="F14312" s="788">
        <v>41967</v>
      </c>
      <c r="G14312" s="788">
        <v>41975</v>
      </c>
      <c r="H14312" s="787">
        <v>1</v>
      </c>
      <c r="J14312" s="788">
        <v>41964</v>
      </c>
      <c r="K14312" s="788">
        <v>41933</v>
      </c>
      <c r="L14312" s="787">
        <v>16.5</v>
      </c>
      <c r="M14312" s="787">
        <v>20</v>
      </c>
      <c r="N14312" s="787">
        <v>17.739999999999998</v>
      </c>
      <c r="O14312" s="788">
        <v>41989</v>
      </c>
    </row>
    <row r="14313" spans="1:15" x14ac:dyDescent="0.25">
      <c r="A14313" s="786" t="s">
        <v>25878</v>
      </c>
      <c r="B14313" s="787">
        <v>4</v>
      </c>
      <c r="C14313" s="787" t="s">
        <v>25879</v>
      </c>
      <c r="D14313" s="787">
        <v>0</v>
      </c>
      <c r="E14313" s="787">
        <v>0</v>
      </c>
      <c r="H14313" s="787">
        <v>1</v>
      </c>
      <c r="K14313" s="788">
        <v>41933</v>
      </c>
      <c r="L14313" s="787">
        <v>26</v>
      </c>
      <c r="M14313" s="787">
        <v>20</v>
      </c>
      <c r="N14313" s="787">
        <v>27.95</v>
      </c>
      <c r="O14313" s="788">
        <v>41933</v>
      </c>
    </row>
    <row r="14314" spans="1:15" x14ac:dyDescent="0.25">
      <c r="A14314" s="786" t="s">
        <v>25880</v>
      </c>
      <c r="B14314" s="787">
        <v>4</v>
      </c>
      <c r="C14314" s="787" t="s">
        <v>25881</v>
      </c>
      <c r="D14314" s="787">
        <v>0</v>
      </c>
      <c r="E14314" s="787">
        <v>0</v>
      </c>
      <c r="H14314" s="787">
        <v>1</v>
      </c>
      <c r="K14314" s="788">
        <v>41933</v>
      </c>
      <c r="L14314" s="787">
        <v>49</v>
      </c>
      <c r="M14314" s="787">
        <v>20</v>
      </c>
      <c r="N14314" s="787">
        <v>52.68</v>
      </c>
      <c r="O14314" s="788">
        <v>41933</v>
      </c>
    </row>
    <row r="14315" spans="1:15" x14ac:dyDescent="0.25">
      <c r="A14315" s="786" t="s">
        <v>25882</v>
      </c>
      <c r="B14315" s="787">
        <v>4</v>
      </c>
      <c r="C14315" s="787" t="s">
        <v>25883</v>
      </c>
      <c r="D14315" s="787">
        <v>0.14000000000000001</v>
      </c>
      <c r="E14315" s="787">
        <v>16.829999999999998</v>
      </c>
      <c r="F14315" s="788">
        <v>39260</v>
      </c>
      <c r="G14315" s="788">
        <v>41214</v>
      </c>
      <c r="H14315" s="787">
        <v>6</v>
      </c>
      <c r="I14315" s="788">
        <v>39016</v>
      </c>
      <c r="J14315" s="788">
        <v>41194</v>
      </c>
      <c r="L14315" s="787">
        <v>496.09</v>
      </c>
      <c r="M14315" s="787">
        <v>20</v>
      </c>
      <c r="N14315" s="787">
        <v>533.29999999999995</v>
      </c>
      <c r="O14315" s="788">
        <v>41858</v>
      </c>
    </row>
    <row r="14316" spans="1:15" x14ac:dyDescent="0.25">
      <c r="A14316" s="786" t="s">
        <v>25882</v>
      </c>
      <c r="B14316" s="787" t="s">
        <v>4399</v>
      </c>
      <c r="C14316" s="787" t="s">
        <v>25883</v>
      </c>
      <c r="D14316" s="787">
        <v>0</v>
      </c>
      <c r="E14316" s="787">
        <v>0</v>
      </c>
      <c r="H14316" s="787">
        <v>6</v>
      </c>
      <c r="K14316" s="788">
        <v>41865</v>
      </c>
      <c r="L14316" s="787">
        <v>0.1</v>
      </c>
      <c r="M14316" s="787">
        <v>20</v>
      </c>
      <c r="N14316" s="787">
        <v>0</v>
      </c>
      <c r="O14316" s="788">
        <v>40824</v>
      </c>
    </row>
    <row r="14317" spans="1:15" x14ac:dyDescent="0.25">
      <c r="A14317" s="786" t="s">
        <v>25882</v>
      </c>
      <c r="B14317" s="787" t="s">
        <v>4400</v>
      </c>
      <c r="C14317" s="787" t="s">
        <v>25883</v>
      </c>
      <c r="D14317" s="787">
        <v>0.08</v>
      </c>
      <c r="E14317" s="787">
        <v>0.52</v>
      </c>
      <c r="F14317" s="788">
        <v>40878</v>
      </c>
      <c r="G14317" s="788">
        <v>41891</v>
      </c>
      <c r="H14317" s="787">
        <v>1</v>
      </c>
      <c r="J14317" s="788">
        <v>41883</v>
      </c>
      <c r="L14317" s="787">
        <v>7.41</v>
      </c>
      <c r="M14317" s="787">
        <v>20</v>
      </c>
      <c r="N14317" s="787">
        <v>7.97</v>
      </c>
      <c r="O14317" s="788">
        <v>41858</v>
      </c>
    </row>
    <row r="14318" spans="1:15" x14ac:dyDescent="0.25">
      <c r="A14318" s="786" t="s">
        <v>25884</v>
      </c>
      <c r="B14318" s="787">
        <v>4</v>
      </c>
      <c r="C14318" s="787" t="s">
        <v>25885</v>
      </c>
      <c r="D14318" s="787">
        <v>0.45</v>
      </c>
      <c r="E14318" s="787">
        <v>0.55000000000000004</v>
      </c>
      <c r="F14318" s="788">
        <v>40498</v>
      </c>
      <c r="G14318" s="788">
        <v>42137</v>
      </c>
      <c r="H14318" s="787">
        <v>1</v>
      </c>
      <c r="I14318" s="788">
        <v>41213</v>
      </c>
      <c r="J14318" s="788">
        <v>42137</v>
      </c>
      <c r="K14318" s="788">
        <v>41213</v>
      </c>
      <c r="L14318" s="787">
        <v>0.56000000000000005</v>
      </c>
      <c r="M14318" s="787">
        <v>20</v>
      </c>
      <c r="N14318" s="787">
        <v>0.6</v>
      </c>
      <c r="O14318" s="788">
        <v>42164</v>
      </c>
    </row>
    <row r="14319" spans="1:15" x14ac:dyDescent="0.25">
      <c r="A14319" s="786" t="s">
        <v>25886</v>
      </c>
      <c r="B14319" s="787">
        <v>4</v>
      </c>
      <c r="C14319" s="787" t="s">
        <v>25887</v>
      </c>
      <c r="D14319" s="787">
        <v>0.5</v>
      </c>
      <c r="E14319" s="787">
        <v>1.1200000000000001</v>
      </c>
      <c r="F14319" s="788">
        <v>39101</v>
      </c>
      <c r="G14319" s="788">
        <v>42013</v>
      </c>
      <c r="H14319" s="787">
        <v>1</v>
      </c>
      <c r="I14319" s="788">
        <v>41873</v>
      </c>
      <c r="J14319" s="788">
        <v>41621</v>
      </c>
      <c r="K14319" s="788">
        <v>41261</v>
      </c>
      <c r="L14319" s="787">
        <v>1.1200000000000001</v>
      </c>
      <c r="M14319" s="787">
        <v>20</v>
      </c>
      <c r="N14319" s="787">
        <v>1.2</v>
      </c>
      <c r="O14319" s="788">
        <v>41858</v>
      </c>
    </row>
    <row r="14320" spans="1:15" x14ac:dyDescent="0.25">
      <c r="A14320" s="786" t="s">
        <v>25888</v>
      </c>
      <c r="B14320" s="787">
        <v>4</v>
      </c>
      <c r="C14320" s="787" t="s">
        <v>25889</v>
      </c>
      <c r="D14320" s="787">
        <v>1.91</v>
      </c>
      <c r="E14320" s="787">
        <v>0.43</v>
      </c>
      <c r="F14320" s="788">
        <v>39101</v>
      </c>
      <c r="G14320" s="788">
        <v>39101</v>
      </c>
      <c r="H14320" s="787">
        <v>6</v>
      </c>
      <c r="I14320" s="788">
        <v>40925</v>
      </c>
      <c r="J14320" s="788">
        <v>39101</v>
      </c>
      <c r="K14320" s="788">
        <v>41865</v>
      </c>
      <c r="L14320" s="787">
        <v>5.5</v>
      </c>
      <c r="M14320" s="787">
        <v>20</v>
      </c>
      <c r="N14320" s="787">
        <v>0.42</v>
      </c>
      <c r="O14320" s="788">
        <v>41858</v>
      </c>
    </row>
    <row r="14321" spans="1:15" x14ac:dyDescent="0.25">
      <c r="A14321" s="786" t="s">
        <v>25890</v>
      </c>
      <c r="B14321" s="787">
        <v>4</v>
      </c>
      <c r="C14321" s="787" t="s">
        <v>25891</v>
      </c>
      <c r="D14321" s="787">
        <v>0.36</v>
      </c>
      <c r="E14321" s="787">
        <v>0.68</v>
      </c>
      <c r="F14321" s="788">
        <v>39101</v>
      </c>
      <c r="G14321" s="788">
        <v>42146</v>
      </c>
      <c r="H14321" s="787">
        <v>1</v>
      </c>
      <c r="I14321" s="788">
        <v>42165</v>
      </c>
      <c r="J14321" s="788">
        <v>42118</v>
      </c>
      <c r="K14321" s="788">
        <v>41704</v>
      </c>
      <c r="L14321" s="787">
        <v>0.63</v>
      </c>
      <c r="M14321" s="787">
        <v>20</v>
      </c>
      <c r="N14321" s="787">
        <v>0.68</v>
      </c>
      <c r="O14321" s="788">
        <v>41975</v>
      </c>
    </row>
    <row r="14322" spans="1:15" x14ac:dyDescent="0.25">
      <c r="A14322" s="786" t="s">
        <v>25892</v>
      </c>
      <c r="B14322" s="787">
        <v>4</v>
      </c>
      <c r="C14322" s="787" t="s">
        <v>25893</v>
      </c>
      <c r="D14322" s="787">
        <v>2.99</v>
      </c>
      <c r="E14322" s="787">
        <v>2.99</v>
      </c>
      <c r="F14322" s="788">
        <v>39101</v>
      </c>
      <c r="G14322" s="788">
        <v>39101</v>
      </c>
      <c r="H14322" s="787">
        <v>1</v>
      </c>
      <c r="I14322" s="788">
        <v>40416</v>
      </c>
      <c r="J14322" s="788">
        <v>39149</v>
      </c>
      <c r="L14322" s="787">
        <v>3.17</v>
      </c>
      <c r="M14322" s="787">
        <v>20</v>
      </c>
      <c r="N14322" s="787">
        <v>3.41</v>
      </c>
      <c r="O14322" s="788">
        <v>41858</v>
      </c>
    </row>
    <row r="14323" spans="1:15" x14ac:dyDescent="0.25">
      <c r="A14323" s="786" t="s">
        <v>25894</v>
      </c>
      <c r="B14323" s="787">
        <v>4</v>
      </c>
      <c r="C14323" s="787" t="s">
        <v>25895</v>
      </c>
      <c r="D14323" s="787">
        <v>0.36</v>
      </c>
      <c r="E14323" s="787">
        <v>0.36</v>
      </c>
      <c r="F14323" s="788">
        <v>41165</v>
      </c>
      <c r="G14323" s="788">
        <v>42158</v>
      </c>
      <c r="H14323" s="787">
        <v>1</v>
      </c>
      <c r="I14323" s="788">
        <v>42165</v>
      </c>
      <c r="J14323" s="788">
        <v>42156</v>
      </c>
      <c r="K14323" s="788">
        <v>41261</v>
      </c>
      <c r="L14323" s="787">
        <v>0.37</v>
      </c>
      <c r="M14323" s="787">
        <v>20</v>
      </c>
      <c r="N14323" s="787">
        <v>0.4</v>
      </c>
      <c r="O14323" s="788">
        <v>42047</v>
      </c>
    </row>
    <row r="14324" spans="1:15" x14ac:dyDescent="0.25">
      <c r="A14324" s="786" t="s">
        <v>25896</v>
      </c>
      <c r="B14324" s="787">
        <v>4</v>
      </c>
      <c r="C14324" s="787" t="s">
        <v>25897</v>
      </c>
      <c r="D14324" s="787">
        <v>0.65</v>
      </c>
      <c r="E14324" s="787">
        <v>0.82</v>
      </c>
      <c r="F14324" s="788">
        <v>39101</v>
      </c>
      <c r="G14324" s="788">
        <v>40553</v>
      </c>
      <c r="H14324" s="787">
        <v>1</v>
      </c>
      <c r="I14324" s="788">
        <v>39324</v>
      </c>
      <c r="J14324" s="788">
        <v>39238</v>
      </c>
      <c r="L14324" s="787">
        <v>0.73</v>
      </c>
      <c r="M14324" s="787">
        <v>20</v>
      </c>
      <c r="N14324" s="787">
        <v>0.78</v>
      </c>
      <c r="O14324" s="788">
        <v>41858</v>
      </c>
    </row>
    <row r="14325" spans="1:15" x14ac:dyDescent="0.25">
      <c r="A14325" s="786" t="s">
        <v>25898</v>
      </c>
      <c r="B14325" s="787">
        <v>4</v>
      </c>
      <c r="C14325" s="787" t="s">
        <v>25899</v>
      </c>
      <c r="D14325" s="787">
        <v>0.25</v>
      </c>
      <c r="E14325" s="787">
        <v>0.25</v>
      </c>
      <c r="F14325" s="788">
        <v>37641</v>
      </c>
      <c r="G14325" s="788">
        <v>38736</v>
      </c>
      <c r="H14325" s="787">
        <v>1</v>
      </c>
      <c r="I14325" s="788">
        <v>39134</v>
      </c>
      <c r="J14325" s="788">
        <v>37844</v>
      </c>
      <c r="L14325" s="787">
        <v>0.27</v>
      </c>
      <c r="M14325" s="787">
        <v>20</v>
      </c>
      <c r="N14325" s="787">
        <v>0.28999999999999998</v>
      </c>
      <c r="O14325" s="788">
        <v>41858</v>
      </c>
    </row>
    <row r="14326" spans="1:15" x14ac:dyDescent="0.25">
      <c r="A14326" s="786" t="s">
        <v>25900</v>
      </c>
      <c r="B14326" s="787">
        <v>4</v>
      </c>
      <c r="C14326" s="787" t="s">
        <v>25901</v>
      </c>
      <c r="D14326" s="787">
        <v>0.19</v>
      </c>
      <c r="E14326" s="787">
        <v>0.19</v>
      </c>
      <c r="F14326" s="788">
        <v>37641</v>
      </c>
      <c r="G14326" s="788">
        <v>37641</v>
      </c>
      <c r="H14326" s="787">
        <v>1</v>
      </c>
      <c r="I14326" s="788">
        <v>37378</v>
      </c>
      <c r="J14326" s="788">
        <v>37641</v>
      </c>
      <c r="L14326" s="787">
        <v>0.21</v>
      </c>
      <c r="M14326" s="787">
        <v>20</v>
      </c>
      <c r="N14326" s="787">
        <v>0.23</v>
      </c>
      <c r="O14326" s="788">
        <v>41858</v>
      </c>
    </row>
    <row r="14327" spans="1:15" x14ac:dyDescent="0.25">
      <c r="A14327" s="786" t="s">
        <v>25902</v>
      </c>
      <c r="B14327" s="787">
        <v>4</v>
      </c>
      <c r="C14327" s="787" t="s">
        <v>25903</v>
      </c>
      <c r="D14327" s="787">
        <v>1.71</v>
      </c>
      <c r="E14327" s="787">
        <v>11.71</v>
      </c>
      <c r="F14327" s="788">
        <v>37970</v>
      </c>
      <c r="G14327" s="788">
        <v>37970</v>
      </c>
      <c r="H14327" s="787">
        <v>1</v>
      </c>
      <c r="J14327" s="788">
        <v>37957</v>
      </c>
      <c r="L14327" s="787">
        <v>12.76</v>
      </c>
      <c r="M14327" s="787">
        <v>20</v>
      </c>
      <c r="N14327" s="787">
        <v>13.72</v>
      </c>
      <c r="O14327" s="788">
        <v>41858</v>
      </c>
    </row>
    <row r="14328" spans="1:15" x14ac:dyDescent="0.25">
      <c r="A14328" s="786" t="s">
        <v>25904</v>
      </c>
      <c r="B14328" s="787">
        <v>4</v>
      </c>
      <c r="C14328" s="787" t="s">
        <v>25905</v>
      </c>
      <c r="D14328" s="787">
        <v>0.85</v>
      </c>
      <c r="E14328" s="787">
        <v>0.85</v>
      </c>
      <c r="F14328" s="788">
        <v>39101</v>
      </c>
      <c r="G14328" s="788">
        <v>39101</v>
      </c>
      <c r="H14328" s="787">
        <v>1</v>
      </c>
      <c r="I14328" s="788">
        <v>40820</v>
      </c>
      <c r="J14328" s="788">
        <v>39149</v>
      </c>
      <c r="L14328" s="787">
        <v>0.93</v>
      </c>
      <c r="M14328" s="787">
        <v>20</v>
      </c>
      <c r="N14328" s="787">
        <v>1</v>
      </c>
      <c r="O14328" s="788">
        <v>41858</v>
      </c>
    </row>
    <row r="14329" spans="1:15" x14ac:dyDescent="0.25">
      <c r="A14329" s="786" t="s">
        <v>25906</v>
      </c>
      <c r="B14329" s="787">
        <v>4</v>
      </c>
      <c r="C14329" s="787" t="s">
        <v>25907</v>
      </c>
      <c r="D14329" s="787">
        <v>0.1</v>
      </c>
      <c r="E14329" s="787">
        <v>0.11</v>
      </c>
      <c r="F14329" s="788">
        <v>40484</v>
      </c>
      <c r="G14329" s="788">
        <v>41646</v>
      </c>
      <c r="H14329" s="787">
        <v>1</v>
      </c>
      <c r="I14329" s="788">
        <v>42048</v>
      </c>
      <c r="J14329" s="788">
        <v>41323</v>
      </c>
      <c r="L14329" s="787">
        <v>0.14000000000000001</v>
      </c>
      <c r="M14329" s="787">
        <v>20</v>
      </c>
      <c r="N14329" s="787">
        <v>0.15</v>
      </c>
      <c r="O14329" s="788">
        <v>42127</v>
      </c>
    </row>
    <row r="14330" spans="1:15" x14ac:dyDescent="0.25">
      <c r="A14330" s="786" t="s">
        <v>25908</v>
      </c>
      <c r="B14330" s="787">
        <v>4</v>
      </c>
      <c r="C14330" s="787" t="s">
        <v>25909</v>
      </c>
      <c r="D14330" s="787">
        <v>0.1</v>
      </c>
      <c r="E14330" s="787">
        <v>0.12</v>
      </c>
      <c r="F14330" s="788">
        <v>39255</v>
      </c>
      <c r="G14330" s="788">
        <v>41807</v>
      </c>
      <c r="H14330" s="787">
        <v>1</v>
      </c>
      <c r="I14330" s="788">
        <v>41950</v>
      </c>
      <c r="J14330" s="788">
        <v>41764</v>
      </c>
      <c r="L14330" s="787">
        <v>0.15</v>
      </c>
      <c r="M14330" s="787">
        <v>20</v>
      </c>
      <c r="N14330" s="787">
        <v>0.16</v>
      </c>
      <c r="O14330" s="788">
        <v>42127</v>
      </c>
    </row>
    <row r="14331" spans="1:15" x14ac:dyDescent="0.25">
      <c r="A14331" s="786" t="s">
        <v>25910</v>
      </c>
      <c r="B14331" s="787">
        <v>4</v>
      </c>
      <c r="C14331" s="787" t="s">
        <v>25911</v>
      </c>
      <c r="D14331" s="787">
        <v>7.0000000000000007E-2</v>
      </c>
      <c r="E14331" s="787">
        <v>0.14000000000000001</v>
      </c>
      <c r="F14331" s="788">
        <v>41718</v>
      </c>
      <c r="G14331" s="788">
        <v>42159</v>
      </c>
      <c r="H14331" s="787">
        <v>1</v>
      </c>
      <c r="I14331" s="788">
        <v>41954</v>
      </c>
      <c r="J14331" s="788">
        <v>42151</v>
      </c>
      <c r="K14331" s="788">
        <v>42066</v>
      </c>
      <c r="L14331" s="787">
        <v>0.14000000000000001</v>
      </c>
      <c r="M14331" s="787">
        <v>20</v>
      </c>
      <c r="N14331" s="787">
        <v>0.15</v>
      </c>
      <c r="O14331" s="788">
        <v>42066</v>
      </c>
    </row>
    <row r="14332" spans="1:15" x14ac:dyDescent="0.25">
      <c r="A14332" s="786" t="s">
        <v>25912</v>
      </c>
      <c r="B14332" s="787">
        <v>4</v>
      </c>
      <c r="C14332" s="787" t="s">
        <v>25913</v>
      </c>
      <c r="D14332" s="787">
        <v>0.06</v>
      </c>
      <c r="E14332" s="787">
        <v>0.06</v>
      </c>
      <c r="F14332" s="788">
        <v>41718</v>
      </c>
      <c r="G14332" s="788">
        <v>41743</v>
      </c>
      <c r="H14332" s="787">
        <v>1</v>
      </c>
      <c r="I14332" s="788">
        <v>41971</v>
      </c>
      <c r="J14332" s="788">
        <v>41715</v>
      </c>
      <c r="K14332" s="788">
        <v>41869</v>
      </c>
      <c r="L14332" s="787">
        <v>0.06</v>
      </c>
      <c r="M14332" s="787">
        <v>20</v>
      </c>
      <c r="N14332" s="787">
        <v>0.06</v>
      </c>
      <c r="O14332" s="788">
        <v>42127</v>
      </c>
    </row>
    <row r="14333" spans="1:15" x14ac:dyDescent="0.25">
      <c r="A14333" s="786" t="s">
        <v>25914</v>
      </c>
      <c r="B14333" s="787">
        <v>4</v>
      </c>
      <c r="C14333" s="787" t="s">
        <v>25915</v>
      </c>
      <c r="D14333" s="787">
        <v>7.0000000000000007E-2</v>
      </c>
      <c r="E14333" s="787">
        <v>0.12</v>
      </c>
      <c r="F14333" s="788">
        <v>41718</v>
      </c>
      <c r="G14333" s="788">
        <v>41807</v>
      </c>
      <c r="H14333" s="787">
        <v>1</v>
      </c>
      <c r="I14333" s="788">
        <v>41971</v>
      </c>
      <c r="J14333" s="788">
        <v>41758</v>
      </c>
      <c r="L14333" s="787">
        <v>0.15</v>
      </c>
      <c r="M14333" s="787">
        <v>20</v>
      </c>
      <c r="N14333" s="787">
        <v>0.16</v>
      </c>
      <c r="O14333" s="788">
        <v>41858</v>
      </c>
    </row>
    <row r="14334" spans="1:15" x14ac:dyDescent="0.25">
      <c r="A14334" s="786" t="s">
        <v>25916</v>
      </c>
      <c r="B14334" s="787">
        <v>4</v>
      </c>
      <c r="C14334" s="787" t="s">
        <v>25917</v>
      </c>
      <c r="D14334" s="787">
        <v>0.1</v>
      </c>
      <c r="E14334" s="787">
        <v>0.11</v>
      </c>
      <c r="F14334" s="788">
        <v>39469</v>
      </c>
      <c r="G14334" s="788">
        <v>41646</v>
      </c>
      <c r="H14334" s="787">
        <v>1</v>
      </c>
      <c r="I14334" s="788">
        <v>41971</v>
      </c>
      <c r="J14334" s="788">
        <v>41351</v>
      </c>
      <c r="L14334" s="787">
        <v>0.11</v>
      </c>
      <c r="M14334" s="787">
        <v>20</v>
      </c>
      <c r="N14334" s="787">
        <v>0.12</v>
      </c>
      <c r="O14334" s="788">
        <v>41858</v>
      </c>
    </row>
    <row r="14335" spans="1:15" x14ac:dyDescent="0.25">
      <c r="A14335" s="786" t="s">
        <v>25918</v>
      </c>
      <c r="B14335" s="787">
        <v>4</v>
      </c>
      <c r="C14335" s="787" t="s">
        <v>25919</v>
      </c>
      <c r="D14335" s="787">
        <v>0.06</v>
      </c>
      <c r="E14335" s="787">
        <v>0.06</v>
      </c>
      <c r="F14335" s="788">
        <v>41718</v>
      </c>
      <c r="G14335" s="788">
        <v>41872</v>
      </c>
      <c r="H14335" s="787">
        <v>1</v>
      </c>
      <c r="I14335" s="788">
        <v>41872</v>
      </c>
      <c r="J14335" s="788">
        <v>41872</v>
      </c>
      <c r="K14335" s="788">
        <v>41855</v>
      </c>
      <c r="L14335" s="787">
        <v>0.06</v>
      </c>
      <c r="M14335" s="787">
        <v>20</v>
      </c>
      <c r="N14335" s="787">
        <v>0.06</v>
      </c>
      <c r="O14335" s="788">
        <v>42111</v>
      </c>
    </row>
    <row r="14336" spans="1:15" x14ac:dyDescent="0.25">
      <c r="A14336" s="786" t="s">
        <v>25920</v>
      </c>
      <c r="B14336" s="787">
        <v>4</v>
      </c>
      <c r="C14336" s="787" t="s">
        <v>25921</v>
      </c>
      <c r="D14336" s="787">
        <v>0.1</v>
      </c>
      <c r="E14336" s="787">
        <v>2.88</v>
      </c>
      <c r="F14336" s="788">
        <v>39905</v>
      </c>
      <c r="G14336" s="788">
        <v>42046</v>
      </c>
      <c r="H14336" s="787">
        <v>1</v>
      </c>
      <c r="I14336" s="788">
        <v>41871</v>
      </c>
      <c r="J14336" s="788">
        <v>42019</v>
      </c>
      <c r="K14336" s="788">
        <v>41869</v>
      </c>
      <c r="L14336" s="787">
        <v>0.1</v>
      </c>
      <c r="M14336" s="787">
        <v>20</v>
      </c>
      <c r="N14336" s="787">
        <v>0.39</v>
      </c>
      <c r="O14336" s="788">
        <v>41858</v>
      </c>
    </row>
    <row r="14337" spans="1:15" x14ac:dyDescent="0.25">
      <c r="A14337" s="786" t="s">
        <v>25922</v>
      </c>
      <c r="B14337" s="787">
        <v>4</v>
      </c>
      <c r="C14337" s="787" t="s">
        <v>25923</v>
      </c>
      <c r="D14337" s="787">
        <v>0.1</v>
      </c>
      <c r="E14337" s="787">
        <v>0.14000000000000001</v>
      </c>
      <c r="F14337" s="788">
        <v>39255</v>
      </c>
      <c r="G14337" s="788">
        <v>42126</v>
      </c>
      <c r="H14337" s="787">
        <v>1</v>
      </c>
      <c r="I14337" s="788">
        <v>42048</v>
      </c>
      <c r="J14337" s="788">
        <v>42087</v>
      </c>
      <c r="K14337" s="788">
        <v>42103</v>
      </c>
      <c r="L14337" s="787">
        <v>0.14000000000000001</v>
      </c>
      <c r="M14337" s="787">
        <v>20</v>
      </c>
      <c r="N14337" s="787">
        <v>0.15</v>
      </c>
      <c r="O14337" s="788">
        <v>42111</v>
      </c>
    </row>
    <row r="14338" spans="1:15" x14ac:dyDescent="0.25">
      <c r="A14338" s="786" t="s">
        <v>25924</v>
      </c>
      <c r="B14338" s="787">
        <v>4</v>
      </c>
      <c r="C14338" s="787" t="s">
        <v>25925</v>
      </c>
      <c r="D14338" s="787">
        <v>0.1</v>
      </c>
      <c r="E14338" s="787">
        <v>0.14000000000000001</v>
      </c>
      <c r="F14338" s="788">
        <v>39255</v>
      </c>
      <c r="G14338" s="788">
        <v>42159</v>
      </c>
      <c r="H14338" s="787">
        <v>1</v>
      </c>
      <c r="I14338" s="788">
        <v>42023</v>
      </c>
      <c r="J14338" s="788">
        <v>42151</v>
      </c>
      <c r="K14338" s="788">
        <v>42103</v>
      </c>
      <c r="L14338" s="787">
        <v>0.14000000000000001</v>
      </c>
      <c r="M14338" s="787">
        <v>20</v>
      </c>
      <c r="N14338" s="787">
        <v>0.15</v>
      </c>
      <c r="O14338" s="788">
        <v>42127</v>
      </c>
    </row>
    <row r="14339" spans="1:15" x14ac:dyDescent="0.25">
      <c r="A14339" s="786" t="s">
        <v>25926</v>
      </c>
      <c r="B14339" s="787">
        <v>4</v>
      </c>
      <c r="C14339" s="787" t="s">
        <v>25927</v>
      </c>
      <c r="D14339" s="787">
        <v>7.0000000000000007E-2</v>
      </c>
      <c r="E14339" s="787">
        <v>7.0000000000000007E-2</v>
      </c>
      <c r="F14339" s="788">
        <v>41718</v>
      </c>
      <c r="G14339" s="788">
        <v>41743</v>
      </c>
      <c r="H14339" s="787">
        <v>1</v>
      </c>
      <c r="I14339" s="788">
        <v>41871</v>
      </c>
      <c r="J14339" s="788">
        <v>41715</v>
      </c>
      <c r="K14339" s="788">
        <v>41869</v>
      </c>
      <c r="L14339" s="787">
        <v>7.0000000000000007E-2</v>
      </c>
      <c r="M14339" s="787">
        <v>20</v>
      </c>
      <c r="N14339" s="787">
        <v>0.12</v>
      </c>
      <c r="O14339" s="788">
        <v>41858</v>
      </c>
    </row>
    <row r="14340" spans="1:15" x14ac:dyDescent="0.25">
      <c r="A14340" s="786" t="s">
        <v>25928</v>
      </c>
      <c r="B14340" s="787">
        <v>4</v>
      </c>
      <c r="C14340" s="787" t="s">
        <v>25929</v>
      </c>
      <c r="D14340" s="787">
        <v>0.1</v>
      </c>
      <c r="E14340" s="787">
        <v>0.12</v>
      </c>
      <c r="F14340" s="788">
        <v>39255</v>
      </c>
      <c r="G14340" s="788">
        <v>41807</v>
      </c>
      <c r="H14340" s="787">
        <v>1</v>
      </c>
      <c r="I14340" s="788">
        <v>41871</v>
      </c>
      <c r="J14340" s="788">
        <v>41758</v>
      </c>
      <c r="L14340" s="787">
        <v>0.12</v>
      </c>
      <c r="M14340" s="787">
        <v>20</v>
      </c>
      <c r="N14340" s="787">
        <v>0.13</v>
      </c>
      <c r="O14340" s="788">
        <v>41858</v>
      </c>
    </row>
    <row r="14341" spans="1:15" x14ac:dyDescent="0.25">
      <c r="A14341" s="786" t="s">
        <v>25930</v>
      </c>
      <c r="B14341" s="787">
        <v>4</v>
      </c>
      <c r="C14341" s="787" t="s">
        <v>25931</v>
      </c>
      <c r="D14341" s="787">
        <v>0.51</v>
      </c>
      <c r="E14341" s="787">
        <v>0.53</v>
      </c>
      <c r="F14341" s="788">
        <v>40997</v>
      </c>
      <c r="G14341" s="788">
        <v>42107</v>
      </c>
      <c r="H14341" s="787">
        <v>1</v>
      </c>
      <c r="I14341" s="788">
        <v>42166</v>
      </c>
      <c r="J14341" s="788">
        <v>42107</v>
      </c>
      <c r="K14341" s="788">
        <v>40934</v>
      </c>
      <c r="L14341" s="787">
        <v>0.74</v>
      </c>
      <c r="M14341" s="787">
        <v>20</v>
      </c>
      <c r="N14341" s="787">
        <v>0.8</v>
      </c>
      <c r="O14341" s="788">
        <v>42146</v>
      </c>
    </row>
    <row r="14342" spans="1:15" x14ac:dyDescent="0.25">
      <c r="A14342" s="786" t="s">
        <v>25932</v>
      </c>
      <c r="B14342" s="787">
        <v>4</v>
      </c>
      <c r="C14342" s="787" t="s">
        <v>25933</v>
      </c>
      <c r="D14342" s="787">
        <v>0.36</v>
      </c>
      <c r="E14342" s="787">
        <v>0.36</v>
      </c>
      <c r="F14342" s="788">
        <v>38047</v>
      </c>
      <c r="G14342" s="788">
        <v>38736</v>
      </c>
      <c r="H14342" s="787">
        <v>6</v>
      </c>
      <c r="I14342" s="788">
        <v>40415</v>
      </c>
      <c r="J14342" s="788">
        <v>38047</v>
      </c>
      <c r="K14342" s="788">
        <v>41865</v>
      </c>
      <c r="L14342" s="787">
        <v>5</v>
      </c>
      <c r="M14342" s="787">
        <v>20</v>
      </c>
      <c r="N14342" s="787">
        <v>0.42</v>
      </c>
      <c r="O14342" s="788">
        <v>41858</v>
      </c>
    </row>
    <row r="14343" spans="1:15" x14ac:dyDescent="0.25">
      <c r="A14343" s="786" t="s">
        <v>25934</v>
      </c>
      <c r="B14343" s="787">
        <v>4</v>
      </c>
      <c r="C14343" s="787" t="s">
        <v>25935</v>
      </c>
      <c r="D14343" s="787">
        <v>9.84</v>
      </c>
      <c r="E14343" s="787">
        <v>9.84</v>
      </c>
      <c r="F14343" s="788">
        <v>37641</v>
      </c>
      <c r="G14343" s="788">
        <v>37641</v>
      </c>
      <c r="H14343" s="787">
        <v>1</v>
      </c>
      <c r="J14343" s="788">
        <v>37641</v>
      </c>
      <c r="L14343" s="787">
        <v>10.73</v>
      </c>
      <c r="M14343" s="787">
        <v>20</v>
      </c>
      <c r="N14343" s="787">
        <v>11.53</v>
      </c>
      <c r="O14343" s="788">
        <v>41858</v>
      </c>
    </row>
    <row r="14344" spans="1:15" x14ac:dyDescent="0.25">
      <c r="A14344" s="786" t="s">
        <v>25936</v>
      </c>
      <c r="B14344" s="787">
        <v>4</v>
      </c>
      <c r="C14344" s="787" t="s">
        <v>25937</v>
      </c>
      <c r="D14344" s="787">
        <v>8.1</v>
      </c>
      <c r="E14344" s="787">
        <v>18.100000000000001</v>
      </c>
      <c r="F14344" s="788">
        <v>37641</v>
      </c>
      <c r="G14344" s="788">
        <v>37641</v>
      </c>
      <c r="H14344" s="787">
        <v>1</v>
      </c>
      <c r="J14344" s="788">
        <v>37641</v>
      </c>
      <c r="L14344" s="787">
        <v>19.73</v>
      </c>
      <c r="M14344" s="787">
        <v>20</v>
      </c>
      <c r="N14344" s="787">
        <v>21.21</v>
      </c>
      <c r="O14344" s="788">
        <v>41858</v>
      </c>
    </row>
    <row r="14345" spans="1:15" x14ac:dyDescent="0.25">
      <c r="A14345" s="786" t="s">
        <v>25938</v>
      </c>
      <c r="B14345" s="787">
        <v>4</v>
      </c>
      <c r="C14345" s="787" t="s">
        <v>25935</v>
      </c>
      <c r="D14345" s="787">
        <v>2.85</v>
      </c>
      <c r="E14345" s="787">
        <v>2.85</v>
      </c>
      <c r="F14345" s="788">
        <v>37641</v>
      </c>
      <c r="G14345" s="788">
        <v>37641</v>
      </c>
      <c r="H14345" s="787">
        <v>1</v>
      </c>
      <c r="I14345" s="788">
        <v>36913</v>
      </c>
      <c r="J14345" s="788">
        <v>37641</v>
      </c>
      <c r="L14345" s="787">
        <v>3.11</v>
      </c>
      <c r="M14345" s="787">
        <v>20</v>
      </c>
      <c r="N14345" s="787">
        <v>3.34</v>
      </c>
      <c r="O14345" s="788">
        <v>41858</v>
      </c>
    </row>
    <row r="14346" spans="1:15" x14ac:dyDescent="0.25">
      <c r="A14346" s="786" t="s">
        <v>25939</v>
      </c>
      <c r="B14346" s="787">
        <v>4</v>
      </c>
      <c r="C14346" s="787" t="s">
        <v>25940</v>
      </c>
      <c r="D14346" s="787">
        <v>0.98</v>
      </c>
      <c r="E14346" s="787">
        <v>0.98</v>
      </c>
      <c r="F14346" s="788">
        <v>39574</v>
      </c>
      <c r="G14346" s="788">
        <v>40178</v>
      </c>
      <c r="H14346" s="787">
        <v>1</v>
      </c>
      <c r="I14346" s="788">
        <v>42088</v>
      </c>
      <c r="J14346" s="788">
        <v>39870</v>
      </c>
      <c r="L14346" s="787">
        <v>1.1299999999999999</v>
      </c>
      <c r="M14346" s="787">
        <v>20</v>
      </c>
      <c r="N14346" s="787">
        <v>1.21</v>
      </c>
      <c r="O14346" s="788">
        <v>41858</v>
      </c>
    </row>
    <row r="14347" spans="1:15" x14ac:dyDescent="0.25">
      <c r="A14347" s="786" t="s">
        <v>25941</v>
      </c>
      <c r="B14347" s="787">
        <v>4</v>
      </c>
      <c r="C14347" s="787" t="s">
        <v>25942</v>
      </c>
      <c r="D14347" s="787">
        <v>0.64</v>
      </c>
      <c r="E14347" s="787">
        <v>100.64</v>
      </c>
      <c r="F14347" s="788">
        <v>38126</v>
      </c>
      <c r="G14347" s="788">
        <v>38126</v>
      </c>
      <c r="H14347" s="787">
        <v>1</v>
      </c>
      <c r="J14347" s="788">
        <v>38111</v>
      </c>
      <c r="L14347" s="787">
        <v>109.7</v>
      </c>
      <c r="M14347" s="787">
        <v>20</v>
      </c>
      <c r="N14347" s="787">
        <v>117.93</v>
      </c>
      <c r="O14347" s="788">
        <v>41858</v>
      </c>
    </row>
    <row r="14348" spans="1:15" x14ac:dyDescent="0.25">
      <c r="A14348" s="786" t="s">
        <v>25943</v>
      </c>
      <c r="B14348" s="787">
        <v>4</v>
      </c>
      <c r="C14348" s="787" t="s">
        <v>25944</v>
      </c>
      <c r="D14348" s="787">
        <v>0.1</v>
      </c>
      <c r="E14348" s="787">
        <v>0.12</v>
      </c>
      <c r="F14348" s="788">
        <v>39469</v>
      </c>
      <c r="G14348" s="788">
        <v>41646</v>
      </c>
      <c r="H14348" s="787">
        <v>1</v>
      </c>
      <c r="I14348" s="788">
        <v>41871</v>
      </c>
      <c r="J14348" s="788">
        <v>41578</v>
      </c>
      <c r="K14348" s="788">
        <v>41869</v>
      </c>
      <c r="L14348" s="787">
        <v>0.12</v>
      </c>
      <c r="M14348" s="787">
        <v>20</v>
      </c>
      <c r="N14348" s="787">
        <v>0.13</v>
      </c>
      <c r="O14348" s="788">
        <v>42111</v>
      </c>
    </row>
    <row r="14349" spans="1:15" x14ac:dyDescent="0.25">
      <c r="A14349" s="786" t="s">
        <v>25945</v>
      </c>
      <c r="B14349" s="787">
        <v>4</v>
      </c>
      <c r="C14349" s="787" t="s">
        <v>25946</v>
      </c>
      <c r="D14349" s="787">
        <v>0.1</v>
      </c>
      <c r="E14349" s="787">
        <v>0.12</v>
      </c>
      <c r="F14349" s="788">
        <v>39255</v>
      </c>
      <c r="G14349" s="788">
        <v>41850</v>
      </c>
      <c r="H14349" s="787">
        <v>1</v>
      </c>
      <c r="I14349" s="788">
        <v>41871</v>
      </c>
      <c r="J14349" s="788">
        <v>41842</v>
      </c>
      <c r="L14349" s="787">
        <v>0.14000000000000001</v>
      </c>
      <c r="M14349" s="787">
        <v>20</v>
      </c>
      <c r="N14349" s="787">
        <v>0.15</v>
      </c>
      <c r="O14349" s="788">
        <v>42111</v>
      </c>
    </row>
    <row r="14350" spans="1:15" x14ac:dyDescent="0.25">
      <c r="A14350" s="786" t="s">
        <v>25947</v>
      </c>
      <c r="B14350" s="787">
        <v>4</v>
      </c>
      <c r="C14350" s="787" t="s">
        <v>25948</v>
      </c>
      <c r="D14350" s="787">
        <v>0.1</v>
      </c>
      <c r="E14350" s="787">
        <v>0.12</v>
      </c>
      <c r="F14350" s="788">
        <v>39469</v>
      </c>
      <c r="G14350" s="788">
        <v>41807</v>
      </c>
      <c r="H14350" s="787">
        <v>1</v>
      </c>
      <c r="I14350" s="788">
        <v>41871</v>
      </c>
      <c r="J14350" s="788">
        <v>41758</v>
      </c>
      <c r="L14350" s="787">
        <v>0.12</v>
      </c>
      <c r="M14350" s="787">
        <v>20</v>
      </c>
      <c r="N14350" s="787">
        <v>0.13</v>
      </c>
      <c r="O14350" s="788">
        <v>41858</v>
      </c>
    </row>
    <row r="14351" spans="1:15" x14ac:dyDescent="0.25">
      <c r="A14351" s="786" t="s">
        <v>25949</v>
      </c>
      <c r="B14351" s="787">
        <v>4</v>
      </c>
      <c r="C14351" s="787" t="s">
        <v>25950</v>
      </c>
      <c r="D14351" s="787">
        <v>4.07</v>
      </c>
      <c r="E14351" s="787">
        <v>16.89</v>
      </c>
      <c r="F14351" s="788">
        <v>39101</v>
      </c>
      <c r="G14351" s="788">
        <v>41814</v>
      </c>
      <c r="H14351" s="787">
        <v>1</v>
      </c>
      <c r="I14351" s="788">
        <v>41974</v>
      </c>
      <c r="J14351" s="788">
        <v>41975</v>
      </c>
      <c r="K14351" s="788">
        <v>41050</v>
      </c>
      <c r="L14351" s="787">
        <v>17.34</v>
      </c>
      <c r="M14351" s="787">
        <v>20</v>
      </c>
      <c r="N14351" s="787">
        <v>18.64</v>
      </c>
      <c r="O14351" s="788">
        <v>42124</v>
      </c>
    </row>
    <row r="14352" spans="1:15" x14ac:dyDescent="0.25">
      <c r="A14352" s="786" t="s">
        <v>25951</v>
      </c>
      <c r="B14352" s="787">
        <v>4</v>
      </c>
      <c r="C14352" s="787" t="s">
        <v>25952</v>
      </c>
      <c r="D14352" s="787">
        <v>2.9</v>
      </c>
      <c r="E14352" s="787">
        <v>2.97</v>
      </c>
      <c r="F14352" s="788">
        <v>39101</v>
      </c>
      <c r="G14352" s="788">
        <v>41591</v>
      </c>
      <c r="H14352" s="787">
        <v>1</v>
      </c>
      <c r="I14352" s="788">
        <v>41529</v>
      </c>
      <c r="J14352" s="788">
        <v>41591</v>
      </c>
      <c r="K14352" s="788">
        <v>41869</v>
      </c>
      <c r="L14352" s="787">
        <v>2.97</v>
      </c>
      <c r="M14352" s="787">
        <v>20</v>
      </c>
      <c r="N14352" s="787">
        <v>14.94</v>
      </c>
      <c r="O14352" s="788">
        <v>41858</v>
      </c>
    </row>
    <row r="14353" spans="1:15" x14ac:dyDescent="0.25">
      <c r="A14353" s="786" t="s">
        <v>25953</v>
      </c>
      <c r="B14353" s="787">
        <v>4</v>
      </c>
      <c r="C14353" s="787" t="s">
        <v>25954</v>
      </c>
      <c r="D14353" s="787">
        <v>0.1</v>
      </c>
      <c r="E14353" s="787">
        <v>0.23</v>
      </c>
      <c r="F14353" s="788">
        <v>39469</v>
      </c>
      <c r="G14353" s="788">
        <v>41850</v>
      </c>
      <c r="H14353" s="787">
        <v>1</v>
      </c>
      <c r="I14353" s="788">
        <v>41871</v>
      </c>
      <c r="J14353" s="788">
        <v>41842</v>
      </c>
      <c r="K14353" s="788">
        <v>41869</v>
      </c>
      <c r="L14353" s="787">
        <v>0.23</v>
      </c>
      <c r="M14353" s="787">
        <v>20</v>
      </c>
      <c r="N14353" s="787">
        <v>0.39</v>
      </c>
      <c r="O14353" s="788">
        <v>41858</v>
      </c>
    </row>
    <row r="14354" spans="1:15" x14ac:dyDescent="0.25">
      <c r="A14354" s="786" t="s">
        <v>25955</v>
      </c>
      <c r="B14354" s="787">
        <v>4</v>
      </c>
      <c r="C14354" s="787" t="s">
        <v>25956</v>
      </c>
      <c r="D14354" s="787">
        <v>3.58</v>
      </c>
      <c r="E14354" s="787">
        <v>7.03</v>
      </c>
      <c r="F14354" s="788">
        <v>39101</v>
      </c>
      <c r="G14354" s="788">
        <v>42013</v>
      </c>
      <c r="H14354" s="787">
        <v>1</v>
      </c>
      <c r="I14354" s="788">
        <v>42160</v>
      </c>
      <c r="J14354" s="788">
        <v>41689</v>
      </c>
      <c r="L14354" s="787">
        <v>4.75</v>
      </c>
      <c r="M14354" s="787">
        <v>20</v>
      </c>
      <c r="N14354" s="787">
        <v>5.1100000000000003</v>
      </c>
      <c r="O14354" s="788">
        <v>42163</v>
      </c>
    </row>
    <row r="14355" spans="1:15" x14ac:dyDescent="0.25">
      <c r="A14355" s="786" t="s">
        <v>25957</v>
      </c>
      <c r="B14355" s="787">
        <v>4</v>
      </c>
      <c r="C14355" s="787" t="s">
        <v>25958</v>
      </c>
      <c r="D14355" s="787">
        <v>0.1</v>
      </c>
      <c r="E14355" s="787">
        <v>0.12</v>
      </c>
      <c r="F14355" s="788">
        <v>39969</v>
      </c>
      <c r="G14355" s="788">
        <v>41807</v>
      </c>
      <c r="H14355" s="787">
        <v>1</v>
      </c>
      <c r="I14355" s="788">
        <v>41871</v>
      </c>
      <c r="J14355" s="788">
        <v>41764</v>
      </c>
      <c r="K14355" s="788">
        <v>41869</v>
      </c>
      <c r="L14355" s="787">
        <v>0.12</v>
      </c>
      <c r="M14355" s="787">
        <v>20</v>
      </c>
      <c r="N14355" s="787">
        <v>1.87</v>
      </c>
      <c r="O14355" s="788">
        <v>41858</v>
      </c>
    </row>
    <row r="14356" spans="1:15" x14ac:dyDescent="0.25">
      <c r="A14356" s="786" t="s">
        <v>25959</v>
      </c>
      <c r="B14356" s="787">
        <v>4</v>
      </c>
      <c r="C14356" s="787" t="s">
        <v>25960</v>
      </c>
      <c r="D14356" s="787">
        <v>0.82</v>
      </c>
      <c r="E14356" s="787">
        <v>1.41</v>
      </c>
      <c r="F14356" s="788">
        <v>39329</v>
      </c>
      <c r="G14356" s="788">
        <v>42013</v>
      </c>
      <c r="H14356" s="787">
        <v>1</v>
      </c>
      <c r="I14356" s="788">
        <v>42160</v>
      </c>
      <c r="J14356" s="788">
        <v>41465</v>
      </c>
      <c r="L14356" s="787">
        <v>0.82</v>
      </c>
      <c r="M14356" s="787">
        <v>20</v>
      </c>
      <c r="N14356" s="787">
        <v>0.88</v>
      </c>
      <c r="O14356" s="788">
        <v>42163</v>
      </c>
    </row>
    <row r="14357" spans="1:15" x14ac:dyDescent="0.25">
      <c r="A14357" s="786" t="s">
        <v>25961</v>
      </c>
      <c r="B14357" s="787">
        <v>4</v>
      </c>
      <c r="C14357" s="787" t="s">
        <v>25962</v>
      </c>
      <c r="D14357" s="787">
        <v>1.33</v>
      </c>
      <c r="E14357" s="787">
        <v>1.62</v>
      </c>
      <c r="F14357" s="788">
        <v>40365</v>
      </c>
      <c r="G14357" s="788">
        <v>42013</v>
      </c>
      <c r="H14357" s="787">
        <v>1</v>
      </c>
      <c r="I14357" s="788">
        <v>42163</v>
      </c>
      <c r="J14357" s="788">
        <v>41935</v>
      </c>
      <c r="K14357" s="788">
        <v>41863</v>
      </c>
      <c r="L14357" s="787">
        <v>1.62</v>
      </c>
      <c r="M14357" s="787">
        <v>20</v>
      </c>
      <c r="N14357" s="787">
        <v>1.74</v>
      </c>
      <c r="O14357" s="788">
        <v>42111</v>
      </c>
    </row>
    <row r="14358" spans="1:15" x14ac:dyDescent="0.25">
      <c r="A14358" s="786" t="s">
        <v>25963</v>
      </c>
      <c r="B14358" s="787">
        <v>4</v>
      </c>
      <c r="C14358" s="787" t="s">
        <v>25964</v>
      </c>
      <c r="D14358" s="787">
        <v>0.19</v>
      </c>
      <c r="E14358" s="787">
        <v>0.2</v>
      </c>
      <c r="F14358" s="788">
        <v>41718</v>
      </c>
      <c r="G14358" s="788">
        <v>41850</v>
      </c>
      <c r="H14358" s="787">
        <v>1</v>
      </c>
      <c r="I14358" s="788">
        <v>41853</v>
      </c>
      <c r="J14358" s="788">
        <v>41850</v>
      </c>
      <c r="K14358" s="788">
        <v>41528</v>
      </c>
      <c r="L14358" s="787">
        <v>0.2</v>
      </c>
      <c r="M14358" s="787">
        <v>20</v>
      </c>
      <c r="N14358" s="787">
        <v>0.22</v>
      </c>
      <c r="O14358" s="788">
        <v>41858</v>
      </c>
    </row>
    <row r="14359" spans="1:15" x14ac:dyDescent="0.25">
      <c r="A14359" s="786" t="s">
        <v>25965</v>
      </c>
      <c r="B14359" s="787">
        <v>4</v>
      </c>
      <c r="C14359" s="787" t="s">
        <v>25966</v>
      </c>
      <c r="D14359" s="787">
        <v>0.16</v>
      </c>
      <c r="E14359" s="787">
        <v>0.18</v>
      </c>
      <c r="F14359" s="788">
        <v>41718</v>
      </c>
      <c r="G14359" s="788">
        <v>41850</v>
      </c>
      <c r="H14359" s="787">
        <v>1</v>
      </c>
      <c r="I14359" s="788">
        <v>41853</v>
      </c>
      <c r="J14359" s="788">
        <v>41850</v>
      </c>
      <c r="K14359" s="788">
        <v>41528</v>
      </c>
      <c r="L14359" s="787">
        <v>0.18</v>
      </c>
      <c r="M14359" s="787">
        <v>20</v>
      </c>
      <c r="N14359" s="787">
        <v>0.19</v>
      </c>
      <c r="O14359" s="788">
        <v>41858</v>
      </c>
    </row>
    <row r="14360" spans="1:15" x14ac:dyDescent="0.25">
      <c r="A14360" s="786" t="s">
        <v>25967</v>
      </c>
      <c r="B14360" s="787">
        <v>4</v>
      </c>
      <c r="C14360" s="787" t="s">
        <v>25968</v>
      </c>
      <c r="D14360" s="787">
        <v>0.08</v>
      </c>
      <c r="E14360" s="787">
        <v>0.08</v>
      </c>
      <c r="F14360" s="788">
        <v>41540</v>
      </c>
      <c r="G14360" s="788">
        <v>41535</v>
      </c>
      <c r="H14360" s="787">
        <v>1</v>
      </c>
      <c r="I14360" s="788">
        <v>41535</v>
      </c>
      <c r="J14360" s="788">
        <v>41535</v>
      </c>
      <c r="K14360" s="788">
        <v>41528</v>
      </c>
      <c r="L14360" s="787">
        <v>0.08</v>
      </c>
      <c r="M14360" s="787">
        <v>20</v>
      </c>
      <c r="N14360" s="787">
        <v>0.09</v>
      </c>
      <c r="O14360" s="788">
        <v>41858</v>
      </c>
    </row>
    <row r="14361" spans="1:15" x14ac:dyDescent="0.25">
      <c r="A14361" s="786" t="s">
        <v>25969</v>
      </c>
      <c r="B14361" s="787">
        <v>4</v>
      </c>
      <c r="C14361" s="787" t="s">
        <v>25970</v>
      </c>
      <c r="D14361" s="787">
        <v>6.85</v>
      </c>
      <c r="E14361" s="787">
        <v>16.850000000000001</v>
      </c>
      <c r="F14361" s="788">
        <v>41836</v>
      </c>
      <c r="G14361" s="788">
        <v>41838</v>
      </c>
      <c r="H14361" s="787">
        <v>1</v>
      </c>
      <c r="I14361" s="788">
        <v>41848</v>
      </c>
      <c r="J14361" s="788">
        <v>41835</v>
      </c>
      <c r="K14361" s="788">
        <v>41827</v>
      </c>
      <c r="L14361" s="787">
        <v>14.05</v>
      </c>
      <c r="M14361" s="787">
        <v>20</v>
      </c>
      <c r="N14361" s="787">
        <v>15.1</v>
      </c>
      <c r="O14361" s="788">
        <v>41858</v>
      </c>
    </row>
    <row r="14362" spans="1:15" x14ac:dyDescent="0.25">
      <c r="A14362" s="786" t="s">
        <v>25971</v>
      </c>
      <c r="B14362" s="787">
        <v>4</v>
      </c>
      <c r="C14362" s="787" t="s">
        <v>25972</v>
      </c>
      <c r="D14362" s="787">
        <v>0</v>
      </c>
      <c r="E14362" s="787">
        <v>0</v>
      </c>
      <c r="G14362" s="788">
        <v>42095</v>
      </c>
      <c r="H14362" s="787">
        <v>1</v>
      </c>
      <c r="I14362" s="788">
        <v>42165</v>
      </c>
      <c r="J14362" s="788">
        <v>42095</v>
      </c>
      <c r="L14362" s="787">
        <v>1</v>
      </c>
      <c r="M14362" s="787">
        <v>20</v>
      </c>
      <c r="N14362" s="787">
        <v>1.08</v>
      </c>
      <c r="O14362" s="788">
        <v>41979</v>
      </c>
    </row>
    <row r="14363" spans="1:15" x14ac:dyDescent="0.25">
      <c r="A14363" s="786" t="s">
        <v>25973</v>
      </c>
      <c r="B14363" s="787">
        <v>4</v>
      </c>
      <c r="C14363" s="787" t="s">
        <v>25974</v>
      </c>
      <c r="D14363" s="787">
        <v>7.32</v>
      </c>
      <c r="E14363" s="787">
        <v>34.97</v>
      </c>
      <c r="F14363" s="788">
        <v>37641</v>
      </c>
      <c r="G14363" s="788">
        <v>41513</v>
      </c>
      <c r="H14363" s="787">
        <v>1</v>
      </c>
      <c r="I14363" s="788">
        <v>41507</v>
      </c>
      <c r="J14363" s="788">
        <v>41486</v>
      </c>
      <c r="L14363" s="787">
        <v>29.78</v>
      </c>
      <c r="M14363" s="787">
        <v>20</v>
      </c>
      <c r="N14363" s="787">
        <v>32.01</v>
      </c>
      <c r="O14363" s="788">
        <v>41858</v>
      </c>
    </row>
    <row r="14364" spans="1:15" x14ac:dyDescent="0.25">
      <c r="A14364" s="786" t="s">
        <v>25975</v>
      </c>
      <c r="B14364" s="787">
        <v>4</v>
      </c>
      <c r="C14364" s="787" t="s">
        <v>25976</v>
      </c>
      <c r="D14364" s="787">
        <v>4.46</v>
      </c>
      <c r="E14364" s="787">
        <v>4.46</v>
      </c>
      <c r="F14364" s="788">
        <v>42065</v>
      </c>
      <c r="G14364" s="788">
        <v>42081</v>
      </c>
      <c r="H14364" s="787">
        <v>1</v>
      </c>
      <c r="J14364" s="788">
        <v>42061</v>
      </c>
      <c r="K14364" s="788">
        <v>42083</v>
      </c>
      <c r="L14364" s="787">
        <v>4.46</v>
      </c>
      <c r="M14364" s="787">
        <v>20</v>
      </c>
      <c r="N14364" s="787">
        <v>6.07</v>
      </c>
      <c r="O14364" s="788">
        <v>42061</v>
      </c>
    </row>
    <row r="14365" spans="1:15" x14ac:dyDescent="0.25">
      <c r="A14365" s="786" t="s">
        <v>25977</v>
      </c>
      <c r="B14365" s="787">
        <v>4</v>
      </c>
      <c r="C14365" s="787" t="s">
        <v>25978</v>
      </c>
      <c r="D14365" s="787">
        <v>9.1199999999999992</v>
      </c>
      <c r="E14365" s="787">
        <v>79.12</v>
      </c>
      <c r="F14365" s="788">
        <v>37641</v>
      </c>
      <c r="G14365" s="788">
        <v>37641</v>
      </c>
      <c r="H14365" s="787">
        <v>1</v>
      </c>
      <c r="I14365" s="788">
        <v>37938</v>
      </c>
      <c r="J14365" s="788">
        <v>37641</v>
      </c>
      <c r="L14365" s="787">
        <v>86.24</v>
      </c>
      <c r="M14365" s="787">
        <v>20</v>
      </c>
      <c r="N14365" s="787">
        <v>92.71</v>
      </c>
      <c r="O14365" s="788">
        <v>41858</v>
      </c>
    </row>
    <row r="14366" spans="1:15" x14ac:dyDescent="0.25">
      <c r="A14366" s="786" t="s">
        <v>25979</v>
      </c>
      <c r="B14366" s="787">
        <v>4</v>
      </c>
      <c r="C14366" s="787" t="s">
        <v>25980</v>
      </c>
      <c r="D14366" s="787">
        <v>9.0399999999999991</v>
      </c>
      <c r="E14366" s="787">
        <v>50.95</v>
      </c>
      <c r="F14366" s="788">
        <v>40844</v>
      </c>
      <c r="G14366" s="788">
        <v>41519</v>
      </c>
      <c r="H14366" s="787">
        <v>1</v>
      </c>
      <c r="I14366" s="788">
        <v>41515</v>
      </c>
      <c r="J14366" s="788">
        <v>41495</v>
      </c>
      <c r="K14366" s="788">
        <v>41261</v>
      </c>
      <c r="L14366" s="787">
        <v>50.28</v>
      </c>
      <c r="M14366" s="787">
        <v>20</v>
      </c>
      <c r="N14366" s="787">
        <v>54.05</v>
      </c>
      <c r="O14366" s="788">
        <v>41858</v>
      </c>
    </row>
    <row r="14367" spans="1:15" x14ac:dyDescent="0.25">
      <c r="A14367" s="786" t="s">
        <v>25981</v>
      </c>
      <c r="B14367" s="787">
        <v>4</v>
      </c>
      <c r="C14367" s="787" t="s">
        <v>25982</v>
      </c>
      <c r="D14367" s="787">
        <v>9.9499999999999993</v>
      </c>
      <c r="E14367" s="787">
        <v>9.9499999999999993</v>
      </c>
      <c r="F14367" s="788">
        <v>39101</v>
      </c>
      <c r="G14367" s="788">
        <v>39101</v>
      </c>
      <c r="H14367" s="787">
        <v>1</v>
      </c>
      <c r="I14367" s="788">
        <v>41865</v>
      </c>
      <c r="J14367" s="788">
        <v>41850</v>
      </c>
      <c r="K14367" s="788">
        <v>41828</v>
      </c>
      <c r="L14367" s="787">
        <v>9.9499999999999993</v>
      </c>
      <c r="M14367" s="787">
        <v>20</v>
      </c>
      <c r="N14367" s="787">
        <v>10.7</v>
      </c>
      <c r="O14367" s="788">
        <v>41858</v>
      </c>
    </row>
    <row r="14368" spans="1:15" x14ac:dyDescent="0.25">
      <c r="A14368" s="786" t="s">
        <v>25983</v>
      </c>
      <c r="B14368" s="787">
        <v>4</v>
      </c>
      <c r="C14368" s="787" t="s">
        <v>25984</v>
      </c>
      <c r="D14368" s="787">
        <v>8.7200000000000006</v>
      </c>
      <c r="E14368" s="787">
        <v>4.78</v>
      </c>
      <c r="F14368" s="788">
        <v>37641</v>
      </c>
      <c r="G14368" s="788">
        <v>37641</v>
      </c>
      <c r="H14368" s="787">
        <v>1</v>
      </c>
      <c r="I14368" s="788">
        <v>37658</v>
      </c>
      <c r="J14368" s="788">
        <v>37641</v>
      </c>
      <c r="L14368" s="787">
        <v>5.21</v>
      </c>
      <c r="M14368" s="787">
        <v>20</v>
      </c>
      <c r="N14368" s="787">
        <v>5.6</v>
      </c>
      <c r="O14368" s="788">
        <v>41858</v>
      </c>
    </row>
    <row r="14369" spans="1:15" x14ac:dyDescent="0.25">
      <c r="A14369" s="786" t="s">
        <v>25985</v>
      </c>
      <c r="B14369" s="787">
        <v>4</v>
      </c>
      <c r="C14369" s="787" t="s">
        <v>25986</v>
      </c>
      <c r="D14369" s="787">
        <v>5.89</v>
      </c>
      <c r="E14369" s="787">
        <v>25.15</v>
      </c>
      <c r="F14369" s="788">
        <v>39101</v>
      </c>
      <c r="G14369" s="788">
        <v>41701</v>
      </c>
      <c r="H14369" s="787">
        <v>5</v>
      </c>
      <c r="I14369" s="788">
        <v>41894</v>
      </c>
      <c r="J14369" s="788">
        <v>41701</v>
      </c>
      <c r="K14369" s="788">
        <v>41865</v>
      </c>
      <c r="L14369" s="787">
        <v>24.25</v>
      </c>
      <c r="M14369" s="787">
        <v>20</v>
      </c>
      <c r="N14369" s="787">
        <v>26.07</v>
      </c>
      <c r="O14369" s="788">
        <v>41865</v>
      </c>
    </row>
    <row r="14370" spans="1:15" x14ac:dyDescent="0.25">
      <c r="A14370" s="786" t="s">
        <v>25987</v>
      </c>
      <c r="B14370" s="787">
        <v>4</v>
      </c>
      <c r="C14370" s="787" t="s">
        <v>25988</v>
      </c>
      <c r="D14370" s="787">
        <v>6.6</v>
      </c>
      <c r="E14370" s="787">
        <v>29.15</v>
      </c>
      <c r="F14370" s="788">
        <v>39330</v>
      </c>
      <c r="G14370" s="788">
        <v>41129</v>
      </c>
      <c r="H14370" s="787">
        <v>1</v>
      </c>
      <c r="I14370" s="788">
        <v>42019</v>
      </c>
      <c r="J14370" s="788">
        <v>41115</v>
      </c>
      <c r="K14370" s="788">
        <v>41050</v>
      </c>
      <c r="L14370" s="787">
        <v>27.16</v>
      </c>
      <c r="M14370" s="787">
        <v>20</v>
      </c>
      <c r="N14370" s="787">
        <v>29.2</v>
      </c>
      <c r="O14370" s="788">
        <v>41858</v>
      </c>
    </row>
    <row r="14371" spans="1:15" x14ac:dyDescent="0.25">
      <c r="A14371" s="786" t="s">
        <v>25989</v>
      </c>
      <c r="B14371" s="787">
        <v>4</v>
      </c>
      <c r="C14371" s="787" t="s">
        <v>25990</v>
      </c>
      <c r="D14371" s="787">
        <v>9.67</v>
      </c>
      <c r="E14371" s="787">
        <v>19.670000000000002</v>
      </c>
      <c r="F14371" s="788">
        <v>38047</v>
      </c>
      <c r="G14371" s="788">
        <v>38047</v>
      </c>
      <c r="H14371" s="787">
        <v>1</v>
      </c>
      <c r="I14371" s="788">
        <v>40989</v>
      </c>
      <c r="J14371" s="788">
        <v>38047</v>
      </c>
      <c r="L14371" s="787">
        <v>21.44</v>
      </c>
      <c r="M14371" s="787">
        <v>20</v>
      </c>
      <c r="N14371" s="787">
        <v>23.05</v>
      </c>
      <c r="O14371" s="788">
        <v>41858</v>
      </c>
    </row>
    <row r="14372" spans="1:15" x14ac:dyDescent="0.25">
      <c r="A14372" s="786" t="s">
        <v>25991</v>
      </c>
      <c r="B14372" s="787">
        <v>4</v>
      </c>
      <c r="C14372" s="787" t="s">
        <v>25992</v>
      </c>
      <c r="D14372" s="787">
        <v>5.13</v>
      </c>
      <c r="E14372" s="787">
        <v>16.46</v>
      </c>
      <c r="F14372" s="788">
        <v>38047</v>
      </c>
      <c r="G14372" s="788">
        <v>38047</v>
      </c>
      <c r="H14372" s="787">
        <v>1</v>
      </c>
      <c r="I14372" s="788">
        <v>40466</v>
      </c>
      <c r="J14372" s="788">
        <v>39006</v>
      </c>
      <c r="L14372" s="787">
        <v>16.489999999999998</v>
      </c>
      <c r="M14372" s="787">
        <v>20</v>
      </c>
      <c r="N14372" s="787">
        <v>17.73</v>
      </c>
      <c r="O14372" s="788">
        <v>41858</v>
      </c>
    </row>
    <row r="14373" spans="1:15" x14ac:dyDescent="0.25">
      <c r="A14373" s="786" t="s">
        <v>25993</v>
      </c>
      <c r="B14373" s="787">
        <v>4</v>
      </c>
      <c r="C14373" s="787" t="s">
        <v>25994</v>
      </c>
      <c r="D14373" s="787">
        <v>7.6</v>
      </c>
      <c r="E14373" s="787">
        <v>37.43</v>
      </c>
      <c r="F14373" s="788">
        <v>39101</v>
      </c>
      <c r="G14373" s="788">
        <v>41701</v>
      </c>
      <c r="H14373" s="787">
        <v>6</v>
      </c>
      <c r="I14373" s="788">
        <v>41921</v>
      </c>
      <c r="J14373" s="788">
        <v>41701</v>
      </c>
      <c r="L14373" s="787">
        <v>24.81</v>
      </c>
      <c r="M14373" s="787">
        <v>20</v>
      </c>
      <c r="N14373" s="787">
        <v>40.24</v>
      </c>
      <c r="O14373" s="788">
        <v>41806</v>
      </c>
    </row>
    <row r="14374" spans="1:15" x14ac:dyDescent="0.25">
      <c r="A14374" s="786" t="s">
        <v>25995</v>
      </c>
      <c r="B14374" s="787">
        <v>4</v>
      </c>
      <c r="C14374" s="787" t="s">
        <v>25996</v>
      </c>
      <c r="D14374" s="787">
        <v>7.64</v>
      </c>
      <c r="E14374" s="787">
        <v>47.64</v>
      </c>
      <c r="F14374" s="788">
        <v>38047</v>
      </c>
      <c r="G14374" s="788">
        <v>38047</v>
      </c>
      <c r="H14374" s="787">
        <v>1</v>
      </c>
      <c r="J14374" s="788">
        <v>38047</v>
      </c>
      <c r="L14374" s="787">
        <v>51.93</v>
      </c>
      <c r="M14374" s="787">
        <v>20</v>
      </c>
      <c r="N14374" s="787">
        <v>55.82</v>
      </c>
      <c r="O14374" s="788">
        <v>41858</v>
      </c>
    </row>
    <row r="14375" spans="1:15" x14ac:dyDescent="0.25">
      <c r="A14375" s="786" t="s">
        <v>25997</v>
      </c>
      <c r="B14375" s="787">
        <v>4</v>
      </c>
      <c r="C14375" s="787" t="s">
        <v>25998</v>
      </c>
      <c r="D14375" s="787">
        <v>4.5599999999999996</v>
      </c>
      <c r="E14375" s="787">
        <v>24.56</v>
      </c>
      <c r="F14375" s="788">
        <v>39101</v>
      </c>
      <c r="G14375" s="788">
        <v>39101</v>
      </c>
      <c r="H14375" s="787">
        <v>5</v>
      </c>
      <c r="I14375" s="788">
        <v>41894</v>
      </c>
      <c r="J14375" s="788">
        <v>39101</v>
      </c>
      <c r="L14375" s="787">
        <v>26.77</v>
      </c>
      <c r="M14375" s="787">
        <v>20</v>
      </c>
      <c r="N14375" s="787">
        <v>28.78</v>
      </c>
      <c r="O14375" s="788">
        <v>42019</v>
      </c>
    </row>
    <row r="14376" spans="1:15" x14ac:dyDescent="0.25">
      <c r="A14376" s="786" t="s">
        <v>25999</v>
      </c>
      <c r="B14376" s="787">
        <v>4</v>
      </c>
      <c r="C14376" s="787" t="s">
        <v>26000</v>
      </c>
      <c r="D14376" s="787">
        <v>1.76</v>
      </c>
      <c r="E14376" s="787">
        <v>11.76</v>
      </c>
      <c r="F14376" s="788">
        <v>39163</v>
      </c>
      <c r="G14376" s="788">
        <v>39148</v>
      </c>
      <c r="H14376" s="787">
        <v>1</v>
      </c>
      <c r="I14376" s="788">
        <v>39149</v>
      </c>
      <c r="J14376" s="788">
        <v>39148</v>
      </c>
      <c r="L14376" s="787">
        <v>11.76</v>
      </c>
      <c r="M14376" s="787">
        <v>20</v>
      </c>
      <c r="N14376" s="787">
        <v>12.64</v>
      </c>
      <c r="O14376" s="788">
        <v>41858</v>
      </c>
    </row>
    <row r="14377" spans="1:15" x14ac:dyDescent="0.25">
      <c r="A14377" s="786" t="s">
        <v>26001</v>
      </c>
      <c r="B14377" s="787">
        <v>4</v>
      </c>
      <c r="C14377" s="787" t="s">
        <v>26002</v>
      </c>
      <c r="D14377" s="787">
        <v>8.7799999999999994</v>
      </c>
      <c r="E14377" s="787">
        <v>18.78</v>
      </c>
      <c r="F14377" s="788">
        <v>37641</v>
      </c>
      <c r="G14377" s="788">
        <v>37641</v>
      </c>
      <c r="H14377" s="787">
        <v>1</v>
      </c>
      <c r="I14377" s="788">
        <v>39688</v>
      </c>
      <c r="J14377" s="788">
        <v>37641</v>
      </c>
      <c r="L14377" s="787">
        <v>20.47</v>
      </c>
      <c r="M14377" s="787">
        <v>20</v>
      </c>
      <c r="N14377" s="787">
        <v>22.01</v>
      </c>
      <c r="O14377" s="788">
        <v>41858</v>
      </c>
    </row>
    <row r="14378" spans="1:15" x14ac:dyDescent="0.25">
      <c r="A14378" s="786" t="s">
        <v>26003</v>
      </c>
      <c r="B14378" s="787">
        <v>4</v>
      </c>
      <c r="C14378" s="787" t="s">
        <v>26004</v>
      </c>
      <c r="D14378" s="787">
        <v>7.83</v>
      </c>
      <c r="E14378" s="787">
        <v>8.3800000000000008</v>
      </c>
      <c r="F14378" s="788">
        <v>41768</v>
      </c>
      <c r="G14378" s="788">
        <v>42158</v>
      </c>
      <c r="H14378" s="787">
        <v>1</v>
      </c>
      <c r="I14378" s="788">
        <v>42160</v>
      </c>
      <c r="J14378" s="788">
        <v>42156</v>
      </c>
      <c r="K14378" s="788">
        <v>41236</v>
      </c>
      <c r="L14378" s="787">
        <v>7.83</v>
      </c>
      <c r="M14378" s="787">
        <v>20</v>
      </c>
      <c r="N14378" s="787">
        <v>8.42</v>
      </c>
      <c r="O14378" s="788">
        <v>42164</v>
      </c>
    </row>
    <row r="14379" spans="1:15" x14ac:dyDescent="0.25">
      <c r="A14379" s="786" t="s">
        <v>26005</v>
      </c>
      <c r="B14379" s="787">
        <v>4</v>
      </c>
      <c r="C14379" s="787" t="s">
        <v>26006</v>
      </c>
      <c r="D14379" s="787">
        <v>2.99</v>
      </c>
      <c r="E14379" s="787">
        <v>13.88</v>
      </c>
      <c r="F14379" s="788">
        <v>41768</v>
      </c>
      <c r="G14379" s="788">
        <v>42158</v>
      </c>
      <c r="H14379" s="787">
        <v>1</v>
      </c>
      <c r="I14379" s="788">
        <v>42165</v>
      </c>
      <c r="J14379" s="788">
        <v>42156</v>
      </c>
      <c r="K14379" s="788">
        <v>42046</v>
      </c>
      <c r="L14379" s="787">
        <v>13.22</v>
      </c>
      <c r="M14379" s="787">
        <v>20</v>
      </c>
      <c r="N14379" s="787">
        <v>14.21</v>
      </c>
      <c r="O14379" s="788">
        <v>42047</v>
      </c>
    </row>
    <row r="14380" spans="1:15" x14ac:dyDescent="0.25">
      <c r="A14380" s="786" t="s">
        <v>26007</v>
      </c>
      <c r="B14380" s="787">
        <v>4</v>
      </c>
      <c r="C14380" s="787" t="s">
        <v>26008</v>
      </c>
      <c r="D14380" s="787">
        <v>1.29</v>
      </c>
      <c r="E14380" s="787">
        <v>33.92</v>
      </c>
      <c r="F14380" s="788">
        <v>41768</v>
      </c>
      <c r="G14380" s="788">
        <v>42143</v>
      </c>
      <c r="H14380" s="787">
        <v>1</v>
      </c>
      <c r="I14380" s="788">
        <v>42124</v>
      </c>
      <c r="J14380" s="788">
        <v>42115</v>
      </c>
      <c r="K14380" s="788">
        <v>42083</v>
      </c>
      <c r="L14380" s="787">
        <v>31.86</v>
      </c>
      <c r="M14380" s="787">
        <v>20</v>
      </c>
      <c r="N14380" s="787">
        <v>33.64</v>
      </c>
      <c r="O14380" s="788">
        <v>41858</v>
      </c>
    </row>
    <row r="14381" spans="1:15" x14ac:dyDescent="0.25">
      <c r="A14381" s="786" t="s">
        <v>26009</v>
      </c>
      <c r="B14381" s="787">
        <v>4</v>
      </c>
      <c r="C14381" s="787" t="s">
        <v>26010</v>
      </c>
      <c r="D14381" s="787">
        <v>8.15</v>
      </c>
      <c r="E14381" s="787">
        <v>19.399999999999999</v>
      </c>
      <c r="F14381" s="788">
        <v>41768</v>
      </c>
      <c r="G14381" s="788">
        <v>42158</v>
      </c>
      <c r="H14381" s="787">
        <v>1</v>
      </c>
      <c r="I14381" s="788">
        <v>42156</v>
      </c>
      <c r="J14381" s="788">
        <v>42156</v>
      </c>
      <c r="K14381" s="788">
        <v>41236</v>
      </c>
      <c r="L14381" s="787">
        <v>18.149999999999999</v>
      </c>
      <c r="M14381" s="787">
        <v>20</v>
      </c>
      <c r="N14381" s="787">
        <v>19.510000000000002</v>
      </c>
      <c r="O14381" s="788">
        <v>41858</v>
      </c>
    </row>
    <row r="14382" spans="1:15" x14ac:dyDescent="0.25">
      <c r="A14382" s="786" t="s">
        <v>26011</v>
      </c>
      <c r="B14382" s="787">
        <v>4</v>
      </c>
      <c r="C14382" s="787" t="s">
        <v>26012</v>
      </c>
      <c r="D14382" s="787">
        <v>0</v>
      </c>
      <c r="E14382" s="787">
        <v>0</v>
      </c>
      <c r="H14382" s="787">
        <v>1</v>
      </c>
      <c r="K14382" s="788">
        <v>41505</v>
      </c>
      <c r="L14382" s="787">
        <v>7.67</v>
      </c>
      <c r="M14382" s="787">
        <v>20</v>
      </c>
      <c r="N14382" s="787">
        <v>8.25</v>
      </c>
      <c r="O14382" s="788">
        <v>41858</v>
      </c>
    </row>
    <row r="14383" spans="1:15" x14ac:dyDescent="0.25">
      <c r="A14383" s="786" t="s">
        <v>26013</v>
      </c>
      <c r="B14383" s="787">
        <v>4</v>
      </c>
      <c r="C14383" s="787" t="s">
        <v>26014</v>
      </c>
      <c r="D14383" s="787">
        <v>8.8000000000000007</v>
      </c>
      <c r="E14383" s="787">
        <v>8.8000000000000007</v>
      </c>
      <c r="F14383" s="788">
        <v>41536</v>
      </c>
      <c r="G14383" s="788">
        <v>42116</v>
      </c>
      <c r="H14383" s="787">
        <v>1</v>
      </c>
      <c r="I14383" s="788">
        <v>42156</v>
      </c>
      <c r="J14383" s="788">
        <v>42121</v>
      </c>
      <c r="K14383" s="788">
        <v>41522</v>
      </c>
      <c r="L14383" s="787">
        <v>8.8000000000000007</v>
      </c>
      <c r="M14383" s="787">
        <v>20</v>
      </c>
      <c r="N14383" s="787">
        <v>9.4600000000000009</v>
      </c>
      <c r="O14383" s="788">
        <v>42041</v>
      </c>
    </row>
    <row r="14384" spans="1:15" x14ac:dyDescent="0.25">
      <c r="A14384" s="786" t="s">
        <v>26015</v>
      </c>
      <c r="B14384" s="787">
        <v>4</v>
      </c>
      <c r="C14384" s="787" t="s">
        <v>26016</v>
      </c>
      <c r="D14384" s="787">
        <v>0.3</v>
      </c>
      <c r="E14384" s="787">
        <v>20.3</v>
      </c>
      <c r="F14384" s="788">
        <v>41894</v>
      </c>
      <c r="G14384" s="788">
        <v>41886</v>
      </c>
      <c r="H14384" s="787">
        <v>1</v>
      </c>
      <c r="I14384" s="788">
        <v>41894</v>
      </c>
      <c r="J14384" s="788">
        <v>41890</v>
      </c>
      <c r="K14384" s="788">
        <v>41878</v>
      </c>
      <c r="L14384" s="787">
        <v>20.3</v>
      </c>
      <c r="M14384" s="787">
        <v>20</v>
      </c>
      <c r="N14384" s="787">
        <v>21.82</v>
      </c>
      <c r="O14384" s="788">
        <v>41878</v>
      </c>
    </row>
    <row r="14385" spans="1:15" x14ac:dyDescent="0.25">
      <c r="A14385" s="786" t="s">
        <v>26017</v>
      </c>
      <c r="B14385" s="787">
        <v>4</v>
      </c>
      <c r="C14385" s="787" t="s">
        <v>26018</v>
      </c>
      <c r="D14385" s="787">
        <v>7.99</v>
      </c>
      <c r="E14385" s="787">
        <v>37.99</v>
      </c>
      <c r="F14385" s="788">
        <v>42072</v>
      </c>
      <c r="G14385" s="788">
        <v>42072</v>
      </c>
      <c r="H14385" s="787">
        <v>1</v>
      </c>
      <c r="I14385" s="788">
        <v>42159</v>
      </c>
      <c r="J14385" s="788">
        <v>42069</v>
      </c>
      <c r="K14385" s="788">
        <v>42060</v>
      </c>
      <c r="L14385" s="787">
        <v>6.75</v>
      </c>
      <c r="M14385" s="787">
        <v>20</v>
      </c>
      <c r="N14385" s="787">
        <v>7.26</v>
      </c>
      <c r="O14385" s="788">
        <v>42061</v>
      </c>
    </row>
    <row r="14386" spans="1:15" x14ac:dyDescent="0.25">
      <c r="A14386" s="786" t="s">
        <v>26019</v>
      </c>
      <c r="B14386" s="787">
        <v>4</v>
      </c>
      <c r="C14386" s="787" t="s">
        <v>26020</v>
      </c>
      <c r="D14386" s="787">
        <v>9.1999999999999993</v>
      </c>
      <c r="E14386" s="787">
        <v>739.2</v>
      </c>
      <c r="F14386" s="788">
        <v>42083</v>
      </c>
      <c r="G14386" s="788">
        <v>42075</v>
      </c>
      <c r="H14386" s="787">
        <v>1</v>
      </c>
      <c r="I14386" s="788">
        <v>42159</v>
      </c>
      <c r="J14386" s="788">
        <v>42075</v>
      </c>
      <c r="K14386" s="788">
        <v>42066</v>
      </c>
      <c r="L14386" s="787">
        <v>739.2</v>
      </c>
      <c r="M14386" s="787">
        <v>20</v>
      </c>
      <c r="N14386" s="787">
        <v>794.64</v>
      </c>
      <c r="O14386" s="788">
        <v>42066</v>
      </c>
    </row>
    <row r="14387" spans="1:15" x14ac:dyDescent="0.25">
      <c r="A14387" s="786" t="s">
        <v>26021</v>
      </c>
      <c r="B14387" s="787">
        <v>4</v>
      </c>
      <c r="C14387" s="787" t="s">
        <v>26022</v>
      </c>
      <c r="D14387" s="787">
        <v>8.93</v>
      </c>
      <c r="E14387" s="787">
        <v>210.19</v>
      </c>
      <c r="F14387" s="788">
        <v>42122</v>
      </c>
      <c r="G14387" s="788">
        <v>42124</v>
      </c>
      <c r="H14387" s="787">
        <v>1</v>
      </c>
      <c r="I14387" s="788">
        <v>42094</v>
      </c>
      <c r="J14387" s="788">
        <v>42090</v>
      </c>
      <c r="L14387" s="787">
        <v>1</v>
      </c>
      <c r="M14387" s="787">
        <v>10</v>
      </c>
      <c r="N14387" s="787">
        <v>294.04000000000002</v>
      </c>
      <c r="O14387" s="788">
        <v>42073</v>
      </c>
    </row>
    <row r="14388" spans="1:15" x14ac:dyDescent="0.25">
      <c r="A14388" s="786" t="s">
        <v>26023</v>
      </c>
      <c r="B14388" s="787">
        <v>4</v>
      </c>
      <c r="C14388" s="787" t="s">
        <v>26024</v>
      </c>
      <c r="D14388" s="787">
        <v>4.1100000000000003</v>
      </c>
      <c r="E14388" s="787">
        <v>88.89</v>
      </c>
      <c r="F14388" s="788">
        <v>42118</v>
      </c>
      <c r="G14388" s="788">
        <v>42128</v>
      </c>
      <c r="H14388" s="787">
        <v>1</v>
      </c>
      <c r="I14388" s="788">
        <v>42095</v>
      </c>
      <c r="J14388" s="788">
        <v>42094</v>
      </c>
      <c r="K14388" s="788">
        <v>42041</v>
      </c>
      <c r="L14388" s="787">
        <v>115</v>
      </c>
      <c r="M14388" s="787">
        <v>10</v>
      </c>
      <c r="N14388" s="787">
        <v>83.93</v>
      </c>
      <c r="O14388" s="788">
        <v>42041</v>
      </c>
    </row>
    <row r="14389" spans="1:15" x14ac:dyDescent="0.25">
      <c r="A14389" s="786" t="s">
        <v>26025</v>
      </c>
      <c r="B14389" s="787">
        <v>4</v>
      </c>
      <c r="C14389" s="787" t="s">
        <v>26026</v>
      </c>
      <c r="D14389" s="787">
        <v>0</v>
      </c>
      <c r="E14389" s="787">
        <v>0</v>
      </c>
      <c r="H14389" s="787">
        <v>1</v>
      </c>
      <c r="I14389" s="788">
        <v>37105</v>
      </c>
      <c r="J14389" s="788">
        <v>37641</v>
      </c>
      <c r="L14389" s="787">
        <v>0</v>
      </c>
      <c r="M14389" s="787">
        <v>20</v>
      </c>
      <c r="N14389" s="787">
        <v>0</v>
      </c>
      <c r="O14389" s="788">
        <v>40824</v>
      </c>
    </row>
    <row r="14390" spans="1:15" x14ac:dyDescent="0.25">
      <c r="A14390" s="786" t="s">
        <v>26027</v>
      </c>
      <c r="B14390" s="787">
        <v>4</v>
      </c>
      <c r="C14390" s="787" t="s">
        <v>26028</v>
      </c>
      <c r="D14390" s="787">
        <v>0</v>
      </c>
      <c r="E14390" s="787">
        <v>0</v>
      </c>
      <c r="H14390" s="787">
        <v>1</v>
      </c>
      <c r="I14390" s="788">
        <v>42165</v>
      </c>
      <c r="J14390" s="788">
        <v>42058</v>
      </c>
      <c r="K14390" s="788">
        <v>42058</v>
      </c>
      <c r="L14390" s="787">
        <v>9.5</v>
      </c>
      <c r="M14390" s="787">
        <v>20</v>
      </c>
      <c r="N14390" s="787">
        <v>10.210000000000001</v>
      </c>
      <c r="O14390" s="788">
        <v>42058</v>
      </c>
    </row>
    <row r="14391" spans="1:15" x14ac:dyDescent="0.25">
      <c r="A14391" s="786" t="s">
        <v>26029</v>
      </c>
      <c r="B14391" s="787">
        <v>4</v>
      </c>
      <c r="C14391" s="787" t="s">
        <v>26030</v>
      </c>
      <c r="D14391" s="787">
        <v>3.38</v>
      </c>
      <c r="E14391" s="787">
        <v>63.29</v>
      </c>
      <c r="F14391" s="788">
        <v>42065</v>
      </c>
      <c r="G14391" s="788">
        <v>42166</v>
      </c>
      <c r="H14391" s="787">
        <v>1</v>
      </c>
      <c r="I14391" s="788">
        <v>42131</v>
      </c>
      <c r="J14391" s="788">
        <v>42166</v>
      </c>
      <c r="L14391" s="787">
        <v>57.4</v>
      </c>
      <c r="M14391" s="787">
        <v>20</v>
      </c>
      <c r="N14391" s="787">
        <v>0</v>
      </c>
    </row>
    <row r="14392" spans="1:15" x14ac:dyDescent="0.25">
      <c r="A14392" s="786" t="s">
        <v>26031</v>
      </c>
      <c r="B14392" s="787">
        <v>4</v>
      </c>
      <c r="C14392" s="787" t="s">
        <v>26032</v>
      </c>
      <c r="D14392" s="787">
        <v>0.42</v>
      </c>
      <c r="E14392" s="787">
        <v>0.42</v>
      </c>
      <c r="F14392" s="788">
        <v>42065</v>
      </c>
      <c r="G14392" s="788">
        <v>42081</v>
      </c>
      <c r="H14392" s="787">
        <v>1</v>
      </c>
      <c r="J14392" s="788">
        <v>42061</v>
      </c>
      <c r="L14392" s="787">
        <v>0.46</v>
      </c>
      <c r="M14392" s="787">
        <v>20</v>
      </c>
      <c r="N14392" s="787">
        <v>0</v>
      </c>
    </row>
    <row r="14393" spans="1:15" x14ac:dyDescent="0.25">
      <c r="A14393" s="786" t="s">
        <v>26033</v>
      </c>
      <c r="B14393" s="787">
        <v>4</v>
      </c>
      <c r="C14393" s="787" t="s">
        <v>26034</v>
      </c>
      <c r="D14393" s="787">
        <v>9.61</v>
      </c>
      <c r="E14393" s="787">
        <v>79.61</v>
      </c>
      <c r="F14393" s="788">
        <v>42065</v>
      </c>
      <c r="G14393" s="788">
        <v>42081</v>
      </c>
      <c r="H14393" s="787">
        <v>1</v>
      </c>
      <c r="J14393" s="788">
        <v>42061</v>
      </c>
      <c r="L14393" s="787">
        <v>85.6</v>
      </c>
      <c r="M14393" s="787">
        <v>20</v>
      </c>
      <c r="N14393" s="787">
        <v>0</v>
      </c>
    </row>
    <row r="14394" spans="1:15" x14ac:dyDescent="0.25">
      <c r="A14394" s="786" t="s">
        <v>26035</v>
      </c>
      <c r="B14394" s="787">
        <v>4</v>
      </c>
      <c r="C14394" s="787" t="s">
        <v>26036</v>
      </c>
      <c r="D14394" s="787">
        <v>7.6</v>
      </c>
      <c r="E14394" s="787">
        <v>7.6</v>
      </c>
      <c r="F14394" s="788">
        <v>42094</v>
      </c>
      <c r="G14394" s="788">
        <v>42086</v>
      </c>
      <c r="H14394" s="787">
        <v>1</v>
      </c>
      <c r="I14394" s="788">
        <v>42156</v>
      </c>
      <c r="J14394" s="788">
        <v>42160</v>
      </c>
      <c r="K14394" s="788">
        <v>42080</v>
      </c>
      <c r="L14394" s="787">
        <v>7.6</v>
      </c>
      <c r="M14394" s="787">
        <v>20</v>
      </c>
      <c r="N14394" s="787">
        <v>8.17</v>
      </c>
      <c r="O14394" s="788">
        <v>42080</v>
      </c>
    </row>
    <row r="14395" spans="1:15" x14ac:dyDescent="0.25">
      <c r="A14395" s="786" t="s">
        <v>26037</v>
      </c>
      <c r="B14395" s="787">
        <v>4</v>
      </c>
      <c r="C14395" s="787" t="s">
        <v>26038</v>
      </c>
      <c r="D14395" s="787">
        <v>9.25</v>
      </c>
      <c r="E14395" s="787">
        <v>289.25</v>
      </c>
      <c r="F14395" s="788">
        <v>42094</v>
      </c>
      <c r="G14395" s="788">
        <v>42088</v>
      </c>
      <c r="H14395" s="787">
        <v>1</v>
      </c>
      <c r="I14395" s="788">
        <v>42156</v>
      </c>
      <c r="J14395" s="788">
        <v>42088</v>
      </c>
      <c r="K14395" s="788">
        <v>42080</v>
      </c>
      <c r="L14395" s="787">
        <v>289.29000000000002</v>
      </c>
      <c r="M14395" s="787">
        <v>20</v>
      </c>
      <c r="N14395" s="787">
        <v>310.99</v>
      </c>
      <c r="O14395" s="788">
        <v>42080</v>
      </c>
    </row>
    <row r="14396" spans="1:15" x14ac:dyDescent="0.25">
      <c r="A14396" s="786" t="s">
        <v>26039</v>
      </c>
      <c r="B14396" s="787">
        <v>4</v>
      </c>
      <c r="C14396" s="787" t="s">
        <v>26040</v>
      </c>
      <c r="D14396" s="787">
        <v>6.13</v>
      </c>
      <c r="E14396" s="787">
        <v>6.13</v>
      </c>
      <c r="F14396" s="788">
        <v>42126</v>
      </c>
      <c r="G14396" s="788">
        <v>42087</v>
      </c>
      <c r="H14396" s="787">
        <v>1</v>
      </c>
      <c r="J14396" s="788">
        <v>42087</v>
      </c>
      <c r="K14396" s="788">
        <v>42086</v>
      </c>
      <c r="L14396" s="787">
        <v>6.13</v>
      </c>
      <c r="M14396" s="787">
        <v>20</v>
      </c>
      <c r="N14396" s="787">
        <v>0</v>
      </c>
    </row>
    <row r="14397" spans="1:15" x14ac:dyDescent="0.25">
      <c r="A14397" s="786" t="s">
        <v>26041</v>
      </c>
      <c r="B14397" s="787">
        <v>4</v>
      </c>
      <c r="C14397" s="787" t="s">
        <v>26042</v>
      </c>
      <c r="D14397" s="787">
        <v>0.2</v>
      </c>
      <c r="E14397" s="787">
        <v>0.2</v>
      </c>
      <c r="F14397" s="788">
        <v>39101</v>
      </c>
      <c r="G14397" s="788">
        <v>39101</v>
      </c>
      <c r="H14397" s="787">
        <v>1</v>
      </c>
      <c r="I14397" s="788">
        <v>40632</v>
      </c>
      <c r="J14397" s="788">
        <v>39149</v>
      </c>
      <c r="L14397" s="787">
        <v>0.22</v>
      </c>
      <c r="M14397" s="787">
        <v>20</v>
      </c>
      <c r="N14397" s="787">
        <v>0.24</v>
      </c>
      <c r="O14397" s="788">
        <v>41858</v>
      </c>
    </row>
    <row r="14398" spans="1:15" x14ac:dyDescent="0.25">
      <c r="A14398" s="786" t="s">
        <v>26043</v>
      </c>
      <c r="B14398" s="787">
        <v>4</v>
      </c>
      <c r="C14398" s="787" t="s">
        <v>26044</v>
      </c>
      <c r="D14398" s="787">
        <v>0.26</v>
      </c>
      <c r="E14398" s="787">
        <v>0.26</v>
      </c>
      <c r="F14398" s="788">
        <v>39101</v>
      </c>
      <c r="G14398" s="788">
        <v>39101</v>
      </c>
      <c r="H14398" s="787">
        <v>1</v>
      </c>
      <c r="I14398" s="788">
        <v>39134</v>
      </c>
      <c r="J14398" s="788">
        <v>39149</v>
      </c>
      <c r="L14398" s="787">
        <v>0.28000000000000003</v>
      </c>
      <c r="M14398" s="787">
        <v>20</v>
      </c>
      <c r="N14398" s="787">
        <v>0.3</v>
      </c>
      <c r="O14398" s="788">
        <v>41858</v>
      </c>
    </row>
    <row r="14399" spans="1:15" x14ac:dyDescent="0.25">
      <c r="A14399" s="786" t="s">
        <v>26045</v>
      </c>
      <c r="B14399" s="787">
        <v>4</v>
      </c>
      <c r="C14399" s="787" t="s">
        <v>26046</v>
      </c>
      <c r="D14399" s="787">
        <v>0.25</v>
      </c>
      <c r="E14399" s="787">
        <v>1.2</v>
      </c>
      <c r="F14399" s="788">
        <v>38131</v>
      </c>
      <c r="G14399" s="788">
        <v>39800</v>
      </c>
      <c r="H14399" s="787">
        <v>5</v>
      </c>
      <c r="I14399" s="788">
        <v>39773</v>
      </c>
      <c r="J14399" s="788">
        <v>38992</v>
      </c>
      <c r="K14399" s="788">
        <v>41865</v>
      </c>
      <c r="L14399" s="787">
        <v>1.2</v>
      </c>
      <c r="M14399" s="787">
        <v>20</v>
      </c>
      <c r="N14399" s="787">
        <v>1.29</v>
      </c>
      <c r="O14399" s="788">
        <v>41865</v>
      </c>
    </row>
    <row r="14400" spans="1:15" x14ac:dyDescent="0.25">
      <c r="A14400" s="786" t="s">
        <v>26047</v>
      </c>
      <c r="B14400" s="787">
        <v>4</v>
      </c>
      <c r="C14400" s="787" t="s">
        <v>26048</v>
      </c>
      <c r="D14400" s="787">
        <v>0.01</v>
      </c>
      <c r="E14400" s="787">
        <v>0.01</v>
      </c>
      <c r="F14400" s="788">
        <v>38047</v>
      </c>
      <c r="G14400" s="788">
        <v>38364</v>
      </c>
      <c r="H14400" s="787">
        <v>1</v>
      </c>
      <c r="I14400" s="788">
        <v>37840</v>
      </c>
      <c r="J14400" s="788">
        <v>38047</v>
      </c>
      <c r="L14400" s="787">
        <v>0.01</v>
      </c>
      <c r="M14400" s="787">
        <v>20</v>
      </c>
      <c r="N14400" s="787">
        <v>0.01</v>
      </c>
      <c r="O14400" s="788">
        <v>41858</v>
      </c>
    </row>
    <row r="14401" spans="1:15" x14ac:dyDescent="0.25">
      <c r="A14401" s="786" t="s">
        <v>26049</v>
      </c>
      <c r="B14401" s="787">
        <v>4</v>
      </c>
      <c r="C14401" s="787" t="s">
        <v>26050</v>
      </c>
      <c r="D14401" s="787">
        <v>1.72</v>
      </c>
      <c r="E14401" s="787">
        <v>1.72</v>
      </c>
      <c r="F14401" s="788">
        <v>39101</v>
      </c>
      <c r="G14401" s="788">
        <v>39101</v>
      </c>
      <c r="H14401" s="787">
        <v>1</v>
      </c>
      <c r="I14401" s="788">
        <v>40745</v>
      </c>
      <c r="J14401" s="788">
        <v>39149</v>
      </c>
      <c r="L14401" s="787">
        <v>1.87</v>
      </c>
      <c r="M14401" s="787">
        <v>20</v>
      </c>
      <c r="N14401" s="787">
        <v>2.0099999999999998</v>
      </c>
      <c r="O14401" s="788">
        <v>41858</v>
      </c>
    </row>
    <row r="14402" spans="1:15" x14ac:dyDescent="0.25">
      <c r="A14402" s="786" t="s">
        <v>26051</v>
      </c>
      <c r="B14402" s="787">
        <v>4</v>
      </c>
      <c r="C14402" s="787" t="s">
        <v>26052</v>
      </c>
      <c r="D14402" s="787">
        <v>0.08</v>
      </c>
      <c r="E14402" s="787">
        <v>0.08</v>
      </c>
      <c r="F14402" s="788">
        <v>38047</v>
      </c>
      <c r="G14402" s="788">
        <v>38364</v>
      </c>
      <c r="H14402" s="787">
        <v>1</v>
      </c>
      <c r="I14402" s="788">
        <v>41002</v>
      </c>
      <c r="J14402" s="788">
        <v>38047</v>
      </c>
      <c r="L14402" s="787">
        <v>0.09</v>
      </c>
      <c r="M14402" s="787">
        <v>20</v>
      </c>
      <c r="N14402" s="787">
        <v>0.1</v>
      </c>
      <c r="O14402" s="788">
        <v>41858</v>
      </c>
    </row>
    <row r="14403" spans="1:15" x14ac:dyDescent="0.25">
      <c r="A14403" s="786" t="s">
        <v>26053</v>
      </c>
      <c r="B14403" s="787">
        <v>4</v>
      </c>
      <c r="C14403" s="787" t="s">
        <v>26054</v>
      </c>
      <c r="D14403" s="787">
        <v>0.16</v>
      </c>
      <c r="E14403" s="787">
        <v>0.2</v>
      </c>
      <c r="F14403" s="788">
        <v>41764</v>
      </c>
      <c r="G14403" s="788">
        <v>42146</v>
      </c>
      <c r="H14403" s="787">
        <v>1</v>
      </c>
      <c r="I14403" s="788">
        <v>42128</v>
      </c>
      <c r="J14403" s="788">
        <v>42124</v>
      </c>
      <c r="K14403" s="788">
        <v>41869</v>
      </c>
      <c r="L14403" s="787">
        <v>0.16</v>
      </c>
      <c r="M14403" s="787">
        <v>20</v>
      </c>
      <c r="N14403" s="787">
        <v>0.68</v>
      </c>
      <c r="O14403" s="788">
        <v>41858</v>
      </c>
    </row>
    <row r="14404" spans="1:15" x14ac:dyDescent="0.25">
      <c r="A14404" s="786" t="s">
        <v>26055</v>
      </c>
      <c r="B14404" s="787">
        <v>4</v>
      </c>
      <c r="C14404" s="787" t="s">
        <v>26056</v>
      </c>
      <c r="D14404" s="787">
        <v>0.14000000000000001</v>
      </c>
      <c r="E14404" s="787">
        <v>0.2</v>
      </c>
      <c r="F14404" s="788">
        <v>37648</v>
      </c>
      <c r="G14404" s="788">
        <v>38364</v>
      </c>
      <c r="H14404" s="787">
        <v>1</v>
      </c>
      <c r="I14404" s="788">
        <v>37690</v>
      </c>
      <c r="J14404" s="788">
        <v>38047</v>
      </c>
      <c r="L14404" s="787">
        <v>0.15</v>
      </c>
      <c r="M14404" s="787">
        <v>20</v>
      </c>
      <c r="N14404" s="787">
        <v>0.16</v>
      </c>
      <c r="O14404" s="788">
        <v>41858</v>
      </c>
    </row>
    <row r="14405" spans="1:15" x14ac:dyDescent="0.25">
      <c r="A14405" s="786" t="s">
        <v>26057</v>
      </c>
      <c r="B14405" s="787">
        <v>4</v>
      </c>
      <c r="C14405" s="787" t="s">
        <v>26058</v>
      </c>
      <c r="D14405" s="787">
        <v>4.63</v>
      </c>
      <c r="E14405" s="787">
        <v>4.63</v>
      </c>
      <c r="F14405" s="788">
        <v>37641</v>
      </c>
      <c r="G14405" s="788">
        <v>37641</v>
      </c>
      <c r="H14405" s="787">
        <v>1</v>
      </c>
      <c r="I14405" s="788">
        <v>37389</v>
      </c>
      <c r="J14405" s="788">
        <v>37641</v>
      </c>
      <c r="L14405" s="787">
        <v>5.05</v>
      </c>
      <c r="M14405" s="787">
        <v>20</v>
      </c>
      <c r="N14405" s="787">
        <v>5.43</v>
      </c>
      <c r="O14405" s="788">
        <v>41858</v>
      </c>
    </row>
    <row r="14406" spans="1:15" x14ac:dyDescent="0.25">
      <c r="A14406" s="786" t="s">
        <v>26059</v>
      </c>
      <c r="B14406" s="787">
        <v>4</v>
      </c>
      <c r="C14406" s="787" t="s">
        <v>26060</v>
      </c>
      <c r="D14406" s="787">
        <v>0.21</v>
      </c>
      <c r="E14406" s="787">
        <v>0.21</v>
      </c>
      <c r="F14406" s="788">
        <v>38047</v>
      </c>
      <c r="G14406" s="788">
        <v>38047</v>
      </c>
      <c r="H14406" s="787">
        <v>1</v>
      </c>
      <c r="J14406" s="788">
        <v>38047</v>
      </c>
      <c r="L14406" s="787">
        <v>0.23</v>
      </c>
      <c r="M14406" s="787">
        <v>20</v>
      </c>
      <c r="N14406" s="787">
        <v>0.25</v>
      </c>
      <c r="O14406" s="788">
        <v>41858</v>
      </c>
    </row>
    <row r="14407" spans="1:15" x14ac:dyDescent="0.25">
      <c r="A14407" s="786" t="s">
        <v>26061</v>
      </c>
      <c r="B14407" s="787">
        <v>4</v>
      </c>
      <c r="C14407" s="787" t="s">
        <v>26062</v>
      </c>
      <c r="D14407" s="787">
        <v>0.55000000000000004</v>
      </c>
      <c r="E14407" s="787">
        <v>1.1399999999999999</v>
      </c>
      <c r="F14407" s="788">
        <v>39101</v>
      </c>
      <c r="G14407" s="788">
        <v>41794</v>
      </c>
      <c r="H14407" s="787">
        <v>5</v>
      </c>
      <c r="I14407" s="788">
        <v>42145</v>
      </c>
      <c r="J14407" s="788">
        <v>42146</v>
      </c>
      <c r="K14407" s="788">
        <v>41865</v>
      </c>
      <c r="L14407" s="787">
        <v>1.1399999999999999</v>
      </c>
      <c r="M14407" s="787">
        <v>20</v>
      </c>
      <c r="N14407" s="787">
        <v>1.23</v>
      </c>
      <c r="O14407" s="788">
        <v>42164</v>
      </c>
    </row>
    <row r="14408" spans="1:15" x14ac:dyDescent="0.25">
      <c r="A14408" s="786" t="s">
        <v>26063</v>
      </c>
      <c r="B14408" s="787">
        <v>4</v>
      </c>
      <c r="C14408" s="787" t="s">
        <v>26064</v>
      </c>
      <c r="D14408" s="787">
        <v>7.0000000000000007E-2</v>
      </c>
      <c r="E14408" s="787">
        <v>0.14000000000000001</v>
      </c>
      <c r="F14408" s="788">
        <v>39751</v>
      </c>
      <c r="G14408" s="788">
        <v>42013</v>
      </c>
      <c r="H14408" s="787">
        <v>1</v>
      </c>
      <c r="I14408" s="788">
        <v>42146</v>
      </c>
      <c r="J14408" s="788">
        <v>41927</v>
      </c>
      <c r="K14408" s="788">
        <v>41865</v>
      </c>
      <c r="L14408" s="787">
        <v>0.14000000000000001</v>
      </c>
      <c r="M14408" s="787">
        <v>20</v>
      </c>
      <c r="N14408" s="787">
        <v>0.15</v>
      </c>
      <c r="O14408" s="788">
        <v>42164</v>
      </c>
    </row>
    <row r="14409" spans="1:15" x14ac:dyDescent="0.25">
      <c r="A14409" s="786" t="s">
        <v>26065</v>
      </c>
      <c r="B14409" s="787">
        <v>4</v>
      </c>
      <c r="C14409" s="787" t="s">
        <v>26066</v>
      </c>
      <c r="D14409" s="787">
        <v>0.08</v>
      </c>
      <c r="E14409" s="787">
        <v>0.17</v>
      </c>
      <c r="F14409" s="788">
        <v>40592</v>
      </c>
      <c r="G14409" s="788">
        <v>41659</v>
      </c>
      <c r="H14409" s="787">
        <v>5</v>
      </c>
      <c r="I14409" s="788">
        <v>42145</v>
      </c>
      <c r="J14409" s="788">
        <v>42146</v>
      </c>
      <c r="L14409" s="787">
        <v>0.17</v>
      </c>
      <c r="M14409" s="787">
        <v>20</v>
      </c>
      <c r="N14409" s="787">
        <v>0.18</v>
      </c>
      <c r="O14409" s="788">
        <v>42164</v>
      </c>
    </row>
    <row r="14410" spans="1:15" x14ac:dyDescent="0.25">
      <c r="A14410" s="786" t="s">
        <v>26067</v>
      </c>
      <c r="B14410" s="787">
        <v>4</v>
      </c>
      <c r="C14410" s="787" t="s">
        <v>26068</v>
      </c>
      <c r="D14410" s="787">
        <v>0.44</v>
      </c>
      <c r="E14410" s="787">
        <v>1.2</v>
      </c>
      <c r="F14410" s="788">
        <v>39175</v>
      </c>
      <c r="G14410" s="788">
        <v>40914</v>
      </c>
      <c r="H14410" s="787">
        <v>5</v>
      </c>
      <c r="I14410" s="788">
        <v>41306</v>
      </c>
      <c r="J14410" s="788">
        <v>41407</v>
      </c>
      <c r="L14410" s="787">
        <v>1.52</v>
      </c>
      <c r="M14410" s="787">
        <v>20</v>
      </c>
      <c r="N14410" s="787">
        <v>1.63</v>
      </c>
      <c r="O14410" s="788">
        <v>41858</v>
      </c>
    </row>
    <row r="14411" spans="1:15" x14ac:dyDescent="0.25">
      <c r="A14411" s="786" t="s">
        <v>26069</v>
      </c>
      <c r="B14411" s="787">
        <v>4</v>
      </c>
      <c r="C14411" s="787" t="s">
        <v>26070</v>
      </c>
      <c r="D14411" s="787">
        <v>0.09</v>
      </c>
      <c r="E14411" s="787">
        <v>0.2</v>
      </c>
      <c r="F14411" s="788">
        <v>40592</v>
      </c>
      <c r="G14411" s="788">
        <v>41794</v>
      </c>
      <c r="H14411" s="787">
        <v>5</v>
      </c>
      <c r="I14411" s="788">
        <v>41904</v>
      </c>
      <c r="J14411" s="788">
        <v>41794</v>
      </c>
      <c r="L14411" s="787">
        <v>0.2</v>
      </c>
      <c r="M14411" s="787">
        <v>20</v>
      </c>
      <c r="N14411" s="787">
        <v>0.22</v>
      </c>
      <c r="O14411" s="788">
        <v>42164</v>
      </c>
    </row>
    <row r="14412" spans="1:15" x14ac:dyDescent="0.25">
      <c r="A14412" s="786" t="s">
        <v>26071</v>
      </c>
      <c r="B14412" s="787">
        <v>4</v>
      </c>
      <c r="C14412" s="787" t="s">
        <v>26072</v>
      </c>
      <c r="D14412" s="787">
        <v>0.12</v>
      </c>
      <c r="E14412" s="787">
        <v>0.13</v>
      </c>
      <c r="F14412" s="788">
        <v>40773</v>
      </c>
      <c r="G14412" s="788">
        <v>41255</v>
      </c>
      <c r="H14412" s="787">
        <v>5</v>
      </c>
      <c r="I14412" s="788">
        <v>41904</v>
      </c>
      <c r="J14412" s="788">
        <v>41163</v>
      </c>
      <c r="L14412" s="787">
        <v>0.09</v>
      </c>
      <c r="M14412" s="787">
        <v>20</v>
      </c>
      <c r="N14412" s="787">
        <v>0.1</v>
      </c>
      <c r="O14412" s="788">
        <v>42164</v>
      </c>
    </row>
    <row r="14413" spans="1:15" x14ac:dyDescent="0.25">
      <c r="A14413" s="786" t="s">
        <v>26073</v>
      </c>
      <c r="B14413" s="787">
        <v>4</v>
      </c>
      <c r="C14413" s="787" t="s">
        <v>26074</v>
      </c>
      <c r="D14413" s="787">
        <v>2.42</v>
      </c>
      <c r="E14413" s="787">
        <v>2.88</v>
      </c>
      <c r="F14413" s="788">
        <v>39175</v>
      </c>
      <c r="G14413" s="788">
        <v>39281</v>
      </c>
      <c r="H14413" s="787">
        <v>6</v>
      </c>
      <c r="I14413" s="788">
        <v>41904</v>
      </c>
      <c r="J14413" s="788">
        <v>40828</v>
      </c>
      <c r="K14413" s="788">
        <v>41864</v>
      </c>
      <c r="L14413" s="787">
        <v>2.88</v>
      </c>
      <c r="M14413" s="787">
        <v>20</v>
      </c>
      <c r="N14413" s="787">
        <v>0.52</v>
      </c>
      <c r="O14413" s="788">
        <v>41858</v>
      </c>
    </row>
    <row r="14414" spans="1:15" x14ac:dyDescent="0.25">
      <c r="A14414" s="786" t="s">
        <v>26075</v>
      </c>
      <c r="B14414" s="787">
        <v>4</v>
      </c>
      <c r="C14414" s="787" t="s">
        <v>26076</v>
      </c>
    </row>
    <row r="14415" spans="1:15" x14ac:dyDescent="0.25">
      <c r="A14415" s="786" t="s">
        <v>26077</v>
      </c>
      <c r="B14415" s="787">
        <v>4</v>
      </c>
      <c r="C14415" s="787" t="s">
        <v>26078</v>
      </c>
      <c r="D14415" s="787">
        <v>0.12</v>
      </c>
      <c r="E14415" s="787">
        <v>0.12</v>
      </c>
      <c r="F14415" s="788">
        <v>39101</v>
      </c>
      <c r="G14415" s="788">
        <v>39101</v>
      </c>
      <c r="H14415" s="787">
        <v>1</v>
      </c>
      <c r="I14415" s="788">
        <v>39134</v>
      </c>
      <c r="J14415" s="788">
        <v>39149</v>
      </c>
      <c r="L14415" s="787">
        <v>0.13</v>
      </c>
      <c r="M14415" s="787">
        <v>20</v>
      </c>
      <c r="N14415" s="787">
        <v>0.14000000000000001</v>
      </c>
      <c r="O14415" s="788">
        <v>41858</v>
      </c>
    </row>
    <row r="14416" spans="1:15" x14ac:dyDescent="0.25">
      <c r="A14416" s="786" t="s">
        <v>26079</v>
      </c>
      <c r="B14416" s="787">
        <v>4</v>
      </c>
      <c r="C14416" s="787" t="s">
        <v>26080</v>
      </c>
      <c r="D14416" s="787">
        <v>0.18</v>
      </c>
      <c r="E14416" s="787">
        <v>0.18</v>
      </c>
      <c r="F14416" s="788">
        <v>37641</v>
      </c>
      <c r="G14416" s="788">
        <v>37641</v>
      </c>
      <c r="H14416" s="787">
        <v>1</v>
      </c>
      <c r="J14416" s="788">
        <v>37641</v>
      </c>
      <c r="L14416" s="787">
        <v>0.2</v>
      </c>
      <c r="M14416" s="787">
        <v>20</v>
      </c>
      <c r="N14416" s="787">
        <v>0.22</v>
      </c>
      <c r="O14416" s="788">
        <v>41858</v>
      </c>
    </row>
    <row r="14417" spans="1:15" x14ac:dyDescent="0.25">
      <c r="A14417" s="786" t="s">
        <v>26081</v>
      </c>
      <c r="B14417" s="787">
        <v>4</v>
      </c>
      <c r="C14417" s="787" t="s">
        <v>26082</v>
      </c>
      <c r="D14417" s="787">
        <v>0.15</v>
      </c>
      <c r="E14417" s="787">
        <v>0.15</v>
      </c>
      <c r="F14417" s="788">
        <v>41975</v>
      </c>
      <c r="G14417" s="788">
        <v>42013</v>
      </c>
      <c r="H14417" s="787">
        <v>1</v>
      </c>
      <c r="I14417" s="788">
        <v>41954</v>
      </c>
      <c r="J14417" s="788">
        <v>41956</v>
      </c>
      <c r="L14417" s="787">
        <v>0.23</v>
      </c>
      <c r="M14417" s="787">
        <v>20</v>
      </c>
      <c r="N14417" s="787">
        <v>0.25</v>
      </c>
      <c r="O14417" s="788">
        <v>41858</v>
      </c>
    </row>
    <row r="14418" spans="1:15" x14ac:dyDescent="0.25">
      <c r="A14418" s="786" t="s">
        <v>26083</v>
      </c>
      <c r="B14418" s="787">
        <v>4</v>
      </c>
      <c r="C14418" s="787" t="s">
        <v>26084</v>
      </c>
      <c r="D14418" s="787">
        <v>0.16</v>
      </c>
      <c r="E14418" s="787">
        <v>0.16</v>
      </c>
      <c r="F14418" s="788">
        <v>41298</v>
      </c>
      <c r="G14418" s="788">
        <v>42146</v>
      </c>
      <c r="H14418" s="787">
        <v>1</v>
      </c>
      <c r="I14418" s="788">
        <v>42128</v>
      </c>
      <c r="J14418" s="788">
        <v>42124</v>
      </c>
      <c r="L14418" s="787">
        <v>0.16</v>
      </c>
      <c r="M14418" s="787">
        <v>20</v>
      </c>
      <c r="N14418" s="787">
        <v>0.17</v>
      </c>
      <c r="O14418" s="788">
        <v>41858</v>
      </c>
    </row>
    <row r="14419" spans="1:15" x14ac:dyDescent="0.25">
      <c r="A14419" s="786" t="s">
        <v>26085</v>
      </c>
      <c r="B14419" s="787">
        <v>4</v>
      </c>
      <c r="C14419" s="787" t="s">
        <v>26086</v>
      </c>
      <c r="D14419" s="787">
        <v>1.57</v>
      </c>
      <c r="E14419" s="787">
        <v>1.57</v>
      </c>
      <c r="F14419" s="788">
        <v>39091</v>
      </c>
      <c r="G14419" s="788">
        <v>40914</v>
      </c>
      <c r="H14419" s="787">
        <v>5</v>
      </c>
      <c r="I14419" s="788">
        <v>41296</v>
      </c>
      <c r="J14419" s="788">
        <v>41577</v>
      </c>
      <c r="L14419" s="787">
        <v>2.0299999999999998</v>
      </c>
      <c r="M14419" s="787">
        <v>20</v>
      </c>
      <c r="N14419" s="787">
        <v>2.1800000000000002</v>
      </c>
      <c r="O14419" s="788">
        <v>42164</v>
      </c>
    </row>
    <row r="14420" spans="1:15" x14ac:dyDescent="0.25">
      <c r="A14420" s="786" t="s">
        <v>26087</v>
      </c>
      <c r="B14420" s="787">
        <v>4</v>
      </c>
      <c r="C14420" s="787" t="s">
        <v>8447</v>
      </c>
      <c r="D14420" s="787">
        <v>0.34</v>
      </c>
      <c r="E14420" s="787">
        <v>0.34</v>
      </c>
      <c r="F14420" s="788">
        <v>38450</v>
      </c>
      <c r="G14420" s="788">
        <v>38736</v>
      </c>
      <c r="H14420" s="787">
        <v>6</v>
      </c>
      <c r="I14420" s="788">
        <v>39134</v>
      </c>
      <c r="J14420" s="788">
        <v>38425</v>
      </c>
      <c r="L14420" s="787">
        <v>0.37</v>
      </c>
      <c r="M14420" s="787">
        <v>20</v>
      </c>
      <c r="N14420" s="787">
        <v>0.37</v>
      </c>
      <c r="O14420" s="788">
        <v>41806</v>
      </c>
    </row>
    <row r="14421" spans="1:15" x14ac:dyDescent="0.25">
      <c r="A14421" s="786" t="s">
        <v>26088</v>
      </c>
      <c r="B14421" s="787">
        <v>4</v>
      </c>
      <c r="C14421" s="787" t="s">
        <v>26089</v>
      </c>
      <c r="D14421" s="787">
        <v>3.9</v>
      </c>
      <c r="E14421" s="787">
        <v>37.82</v>
      </c>
      <c r="F14421" s="788">
        <v>41698</v>
      </c>
      <c r="G14421" s="788">
        <v>41689</v>
      </c>
      <c r="H14421" s="787">
        <v>1</v>
      </c>
      <c r="J14421" s="788">
        <v>41689</v>
      </c>
      <c r="K14421" s="788">
        <v>41688</v>
      </c>
      <c r="L14421" s="787">
        <v>23.92</v>
      </c>
      <c r="M14421" s="787">
        <v>20</v>
      </c>
      <c r="N14421" s="787">
        <v>25.71</v>
      </c>
      <c r="O14421" s="788">
        <v>41858</v>
      </c>
    </row>
    <row r="14422" spans="1:15" x14ac:dyDescent="0.25">
      <c r="A14422" s="786" t="s">
        <v>26090</v>
      </c>
      <c r="B14422" s="787">
        <v>4</v>
      </c>
      <c r="C14422" s="787" t="s">
        <v>26091</v>
      </c>
      <c r="D14422" s="787">
        <v>2.7</v>
      </c>
      <c r="E14422" s="787">
        <v>32.700000000000003</v>
      </c>
      <c r="F14422" s="788">
        <v>41691</v>
      </c>
      <c r="G14422" s="788">
        <v>41682</v>
      </c>
      <c r="H14422" s="787">
        <v>1</v>
      </c>
      <c r="J14422" s="788">
        <v>41682</v>
      </c>
      <c r="K14422" s="788">
        <v>41681</v>
      </c>
      <c r="L14422" s="787">
        <v>32.729999999999997</v>
      </c>
      <c r="M14422" s="787">
        <v>20</v>
      </c>
      <c r="N14422" s="787">
        <v>35.18</v>
      </c>
      <c r="O14422" s="788">
        <v>41858</v>
      </c>
    </row>
    <row r="14423" spans="1:15" x14ac:dyDescent="0.25">
      <c r="A14423" s="786" t="s">
        <v>26092</v>
      </c>
      <c r="B14423" s="787">
        <v>4</v>
      </c>
      <c r="C14423" s="787" t="s">
        <v>26093</v>
      </c>
      <c r="D14423" s="787">
        <v>4.5999999999999996</v>
      </c>
      <c r="E14423" s="787">
        <v>54.6</v>
      </c>
      <c r="F14423" s="788">
        <v>41691</v>
      </c>
      <c r="G14423" s="788">
        <v>41682</v>
      </c>
      <c r="H14423" s="787">
        <v>1</v>
      </c>
      <c r="J14423" s="788">
        <v>41682</v>
      </c>
      <c r="K14423" s="788">
        <v>41681</v>
      </c>
      <c r="L14423" s="787">
        <v>54.57</v>
      </c>
      <c r="M14423" s="787">
        <v>20</v>
      </c>
      <c r="N14423" s="787">
        <v>58.66</v>
      </c>
      <c r="O14423" s="788">
        <v>41858</v>
      </c>
    </row>
    <row r="14424" spans="1:15" x14ac:dyDescent="0.25">
      <c r="A14424" s="786" t="s">
        <v>26094</v>
      </c>
      <c r="B14424" s="787">
        <v>4</v>
      </c>
      <c r="C14424" s="787" t="s">
        <v>26095</v>
      </c>
      <c r="D14424" s="787">
        <v>6.5</v>
      </c>
      <c r="E14424" s="787">
        <v>16.5</v>
      </c>
      <c r="F14424" s="788">
        <v>41992</v>
      </c>
      <c r="G14424" s="788">
        <v>42013</v>
      </c>
      <c r="H14424" s="787">
        <v>1</v>
      </c>
      <c r="J14424" s="788">
        <v>41988</v>
      </c>
      <c r="K14424" s="788">
        <v>41985</v>
      </c>
      <c r="L14424" s="787">
        <v>16.5</v>
      </c>
      <c r="M14424" s="787">
        <v>20</v>
      </c>
      <c r="N14424" s="787">
        <v>17.739999999999998</v>
      </c>
      <c r="O14424" s="788">
        <v>41985</v>
      </c>
    </row>
    <row r="14425" spans="1:15" x14ac:dyDescent="0.25">
      <c r="A14425" s="786" t="s">
        <v>26096</v>
      </c>
      <c r="B14425" s="787">
        <v>4</v>
      </c>
      <c r="C14425" s="787" t="s">
        <v>26097</v>
      </c>
      <c r="D14425" s="787">
        <v>0.04</v>
      </c>
      <c r="E14425" s="787">
        <v>0.04</v>
      </c>
      <c r="F14425" s="788">
        <v>39101</v>
      </c>
      <c r="G14425" s="788">
        <v>39101</v>
      </c>
      <c r="H14425" s="787">
        <v>1</v>
      </c>
      <c r="I14425" s="788">
        <v>38883</v>
      </c>
      <c r="J14425" s="788">
        <v>39101</v>
      </c>
      <c r="L14425" s="787">
        <v>0.04</v>
      </c>
      <c r="M14425" s="787">
        <v>20</v>
      </c>
      <c r="N14425" s="787">
        <v>0.04</v>
      </c>
      <c r="O14425" s="788">
        <v>41858</v>
      </c>
    </row>
    <row r="14426" spans="1:15" x14ac:dyDescent="0.25">
      <c r="A14426" s="786" t="s">
        <v>26098</v>
      </c>
      <c r="B14426" s="787">
        <v>4</v>
      </c>
      <c r="C14426" s="787" t="s">
        <v>26099</v>
      </c>
      <c r="D14426" s="787">
        <v>0.05</v>
      </c>
      <c r="E14426" s="787">
        <v>0.05</v>
      </c>
      <c r="F14426" s="788">
        <v>39101</v>
      </c>
      <c r="G14426" s="788">
        <v>39101</v>
      </c>
      <c r="H14426" s="787">
        <v>1</v>
      </c>
      <c r="I14426" s="788">
        <v>38883</v>
      </c>
      <c r="J14426" s="788">
        <v>39101</v>
      </c>
      <c r="L14426" s="787">
        <v>0.05</v>
      </c>
      <c r="M14426" s="787">
        <v>20</v>
      </c>
      <c r="N14426" s="787">
        <v>0.05</v>
      </c>
      <c r="O14426" s="788">
        <v>41858</v>
      </c>
    </row>
    <row r="14427" spans="1:15" x14ac:dyDescent="0.25">
      <c r="A14427" s="786" t="s">
        <v>26100</v>
      </c>
      <c r="B14427" s="787">
        <v>4</v>
      </c>
      <c r="C14427" s="787" t="s">
        <v>26101</v>
      </c>
      <c r="D14427" s="787">
        <v>0.05</v>
      </c>
      <c r="E14427" s="787">
        <v>0.05</v>
      </c>
      <c r="F14427" s="788">
        <v>38047</v>
      </c>
      <c r="G14427" s="788">
        <v>38047</v>
      </c>
      <c r="H14427" s="787">
        <v>1</v>
      </c>
      <c r="I14427" s="788">
        <v>37844</v>
      </c>
      <c r="J14427" s="788">
        <v>38047</v>
      </c>
      <c r="L14427" s="787">
        <v>0.05</v>
      </c>
      <c r="M14427" s="787">
        <v>20</v>
      </c>
      <c r="N14427" s="787">
        <v>0.05</v>
      </c>
      <c r="O14427" s="788">
        <v>41858</v>
      </c>
    </row>
    <row r="14428" spans="1:15" x14ac:dyDescent="0.25">
      <c r="A14428" s="786" t="s">
        <v>26102</v>
      </c>
      <c r="B14428" s="787">
        <v>4</v>
      </c>
      <c r="C14428" s="787" t="s">
        <v>26103</v>
      </c>
      <c r="D14428" s="787">
        <v>0.06</v>
      </c>
      <c r="E14428" s="787">
        <v>0.06</v>
      </c>
      <c r="F14428" s="788">
        <v>37641</v>
      </c>
      <c r="G14428" s="788">
        <v>38687</v>
      </c>
      <c r="H14428" s="787">
        <v>1</v>
      </c>
      <c r="I14428" s="788">
        <v>37690</v>
      </c>
      <c r="J14428" s="788">
        <v>37641</v>
      </c>
      <c r="L14428" s="787">
        <v>7.0000000000000007E-2</v>
      </c>
      <c r="M14428" s="787">
        <v>20</v>
      </c>
      <c r="N14428" s="787">
        <v>0.08</v>
      </c>
      <c r="O14428" s="788">
        <v>41858</v>
      </c>
    </row>
    <row r="14429" spans="1:15" x14ac:dyDescent="0.25">
      <c r="A14429" s="786" t="s">
        <v>26104</v>
      </c>
      <c r="B14429" s="787">
        <v>4</v>
      </c>
      <c r="C14429" s="787" t="s">
        <v>26105</v>
      </c>
      <c r="D14429" s="787">
        <v>0.09</v>
      </c>
      <c r="E14429" s="787">
        <v>0.09</v>
      </c>
      <c r="F14429" s="788">
        <v>38047</v>
      </c>
      <c r="G14429" s="788">
        <v>38047</v>
      </c>
      <c r="H14429" s="787">
        <v>1</v>
      </c>
      <c r="I14429" s="788">
        <v>37690</v>
      </c>
      <c r="J14429" s="788">
        <v>38047</v>
      </c>
      <c r="L14429" s="787">
        <v>0.1</v>
      </c>
      <c r="M14429" s="787">
        <v>20</v>
      </c>
      <c r="N14429" s="787">
        <v>0.11</v>
      </c>
      <c r="O14429" s="788">
        <v>41858</v>
      </c>
    </row>
    <row r="14430" spans="1:15" x14ac:dyDescent="0.25">
      <c r="A14430" s="786" t="s">
        <v>26106</v>
      </c>
      <c r="B14430" s="787">
        <v>4</v>
      </c>
      <c r="C14430" s="787" t="s">
        <v>26107</v>
      </c>
      <c r="D14430" s="787">
        <v>0.19</v>
      </c>
      <c r="E14430" s="787">
        <v>0.19</v>
      </c>
      <c r="F14430" s="788">
        <v>37641</v>
      </c>
      <c r="G14430" s="788">
        <v>38736</v>
      </c>
      <c r="H14430" s="787">
        <v>1</v>
      </c>
      <c r="I14430" s="788">
        <v>39134</v>
      </c>
      <c r="J14430" s="788">
        <v>37641</v>
      </c>
      <c r="L14430" s="787">
        <v>0.21</v>
      </c>
      <c r="M14430" s="787">
        <v>20</v>
      </c>
      <c r="N14430" s="787">
        <v>0.23</v>
      </c>
      <c r="O14430" s="788">
        <v>41858</v>
      </c>
    </row>
    <row r="14431" spans="1:15" x14ac:dyDescent="0.25">
      <c r="A14431" s="786" t="s">
        <v>26108</v>
      </c>
      <c r="B14431" s="787">
        <v>4</v>
      </c>
      <c r="C14431" s="787" t="s">
        <v>26109</v>
      </c>
      <c r="D14431" s="787">
        <v>0.15</v>
      </c>
      <c r="E14431" s="787">
        <v>0.17</v>
      </c>
      <c r="F14431" s="788">
        <v>38450</v>
      </c>
      <c r="G14431" s="788">
        <v>38946</v>
      </c>
      <c r="H14431" s="787">
        <v>1</v>
      </c>
      <c r="I14431" s="788">
        <v>39134</v>
      </c>
      <c r="J14431" s="788">
        <v>38945</v>
      </c>
      <c r="L14431" s="787">
        <v>0.16</v>
      </c>
      <c r="M14431" s="787">
        <v>20</v>
      </c>
      <c r="N14431" s="787">
        <v>0.17</v>
      </c>
      <c r="O14431" s="788">
        <v>41858</v>
      </c>
    </row>
    <row r="14432" spans="1:15" x14ac:dyDescent="0.25">
      <c r="A14432" s="786" t="s">
        <v>26110</v>
      </c>
      <c r="B14432" s="787">
        <v>4</v>
      </c>
      <c r="C14432" s="787" t="s">
        <v>26111</v>
      </c>
      <c r="D14432" s="787">
        <v>7.1</v>
      </c>
      <c r="E14432" s="787">
        <v>7.1</v>
      </c>
      <c r="F14432" s="788">
        <v>41698</v>
      </c>
      <c r="G14432" s="788">
        <v>41689</v>
      </c>
      <c r="H14432" s="787">
        <v>1</v>
      </c>
      <c r="J14432" s="788">
        <v>41689</v>
      </c>
      <c r="K14432" s="788">
        <v>41688</v>
      </c>
      <c r="L14432" s="787">
        <v>7.05</v>
      </c>
      <c r="M14432" s="787">
        <v>20</v>
      </c>
      <c r="N14432" s="787">
        <v>7.58</v>
      </c>
      <c r="O14432" s="788">
        <v>41858</v>
      </c>
    </row>
    <row r="14433" spans="1:15" x14ac:dyDescent="0.25">
      <c r="A14433" s="786" t="s">
        <v>26112</v>
      </c>
      <c r="B14433" s="787">
        <v>4</v>
      </c>
      <c r="C14433" s="787" t="s">
        <v>26113</v>
      </c>
      <c r="D14433" s="787">
        <v>8.4</v>
      </c>
      <c r="E14433" s="787">
        <v>8.4</v>
      </c>
      <c r="F14433" s="788">
        <v>41698</v>
      </c>
      <c r="G14433" s="788">
        <v>41689</v>
      </c>
      <c r="H14433" s="787">
        <v>1</v>
      </c>
      <c r="I14433" s="788">
        <v>42018</v>
      </c>
      <c r="J14433" s="788">
        <v>41689</v>
      </c>
      <c r="K14433" s="788">
        <v>41688</v>
      </c>
      <c r="L14433" s="787">
        <v>8.42</v>
      </c>
      <c r="M14433" s="787">
        <v>20</v>
      </c>
      <c r="N14433" s="787">
        <v>9.0500000000000007</v>
      </c>
      <c r="O14433" s="788">
        <v>41858</v>
      </c>
    </row>
    <row r="14434" spans="1:15" x14ac:dyDescent="0.25">
      <c r="A14434" s="786" t="s">
        <v>26114</v>
      </c>
      <c r="B14434" s="787">
        <v>4</v>
      </c>
      <c r="C14434" s="787" t="s">
        <v>26115</v>
      </c>
      <c r="D14434" s="787">
        <v>9.6</v>
      </c>
      <c r="E14434" s="787">
        <v>9.6</v>
      </c>
      <c r="F14434" s="788">
        <v>41698</v>
      </c>
      <c r="G14434" s="788">
        <v>41757</v>
      </c>
      <c r="H14434" s="787">
        <v>1</v>
      </c>
      <c r="J14434" s="788">
        <v>41689</v>
      </c>
      <c r="K14434" s="788">
        <v>41688</v>
      </c>
      <c r="L14434" s="787">
        <v>9.5</v>
      </c>
      <c r="M14434" s="787">
        <v>20</v>
      </c>
      <c r="N14434" s="787">
        <v>10.210000000000001</v>
      </c>
      <c r="O14434" s="788">
        <v>41858</v>
      </c>
    </row>
    <row r="14435" spans="1:15" x14ac:dyDescent="0.25">
      <c r="A14435" s="786" t="s">
        <v>26116</v>
      </c>
      <c r="B14435" s="787">
        <v>4</v>
      </c>
      <c r="C14435" s="787" t="s">
        <v>26117</v>
      </c>
      <c r="D14435" s="787">
        <v>1.45</v>
      </c>
      <c r="E14435" s="787">
        <v>1.45</v>
      </c>
      <c r="F14435" s="788">
        <v>37641</v>
      </c>
      <c r="G14435" s="788">
        <v>37641</v>
      </c>
      <c r="H14435" s="787">
        <v>1</v>
      </c>
      <c r="I14435" s="788">
        <v>41778</v>
      </c>
      <c r="J14435" s="788">
        <v>41794</v>
      </c>
      <c r="L14435" s="787">
        <v>1.58</v>
      </c>
      <c r="M14435" s="787">
        <v>20</v>
      </c>
      <c r="N14435" s="787">
        <v>1.7</v>
      </c>
      <c r="O14435" s="788">
        <v>41858</v>
      </c>
    </row>
    <row r="14436" spans="1:15" x14ac:dyDescent="0.25">
      <c r="A14436" s="786" t="s">
        <v>26118</v>
      </c>
      <c r="B14436" s="787">
        <v>4</v>
      </c>
      <c r="C14436" s="787" t="s">
        <v>26119</v>
      </c>
      <c r="D14436" s="787">
        <v>1.44</v>
      </c>
      <c r="E14436" s="787">
        <v>1.44</v>
      </c>
      <c r="F14436" s="788">
        <v>37641</v>
      </c>
      <c r="G14436" s="788">
        <v>37641</v>
      </c>
      <c r="H14436" s="787">
        <v>1</v>
      </c>
      <c r="I14436" s="788">
        <v>42018</v>
      </c>
      <c r="J14436" s="788">
        <v>37641</v>
      </c>
      <c r="L14436" s="787">
        <v>1.57</v>
      </c>
      <c r="M14436" s="787">
        <v>20</v>
      </c>
      <c r="N14436" s="787">
        <v>1.69</v>
      </c>
      <c r="O14436" s="788">
        <v>41858</v>
      </c>
    </row>
    <row r="14437" spans="1:15" x14ac:dyDescent="0.25">
      <c r="A14437" s="786" t="s">
        <v>26120</v>
      </c>
      <c r="B14437" s="787">
        <v>4</v>
      </c>
      <c r="C14437" s="787" t="s">
        <v>26121</v>
      </c>
      <c r="D14437" s="787">
        <v>0.21</v>
      </c>
      <c r="E14437" s="787">
        <v>0.42</v>
      </c>
      <c r="F14437" s="788">
        <v>37641</v>
      </c>
      <c r="G14437" s="788">
        <v>37641</v>
      </c>
      <c r="H14437" s="787">
        <v>1</v>
      </c>
      <c r="I14437" s="788">
        <v>37439</v>
      </c>
      <c r="J14437" s="788">
        <v>37641</v>
      </c>
      <c r="L14437" s="787">
        <v>0.46</v>
      </c>
      <c r="M14437" s="787">
        <v>20</v>
      </c>
      <c r="N14437" s="787">
        <v>0.49</v>
      </c>
      <c r="O14437" s="788">
        <v>41858</v>
      </c>
    </row>
    <row r="14438" spans="1:15" x14ac:dyDescent="0.25">
      <c r="A14438" s="786" t="s">
        <v>26122</v>
      </c>
      <c r="B14438" s="787">
        <v>4</v>
      </c>
      <c r="C14438" s="787" t="s">
        <v>26123</v>
      </c>
      <c r="D14438" s="787">
        <v>2.98</v>
      </c>
      <c r="E14438" s="787">
        <v>3.65</v>
      </c>
      <c r="F14438" s="788">
        <v>39010</v>
      </c>
      <c r="G14438" s="788">
        <v>41882</v>
      </c>
      <c r="H14438" s="787">
        <v>1</v>
      </c>
      <c r="I14438" s="788">
        <v>41879</v>
      </c>
      <c r="J14438" s="788">
        <v>41879</v>
      </c>
      <c r="K14438" s="788">
        <v>41883</v>
      </c>
      <c r="L14438" s="787">
        <v>3.65</v>
      </c>
      <c r="M14438" s="787">
        <v>20</v>
      </c>
      <c r="N14438" s="787">
        <v>3.92</v>
      </c>
      <c r="O14438" s="788">
        <v>41887</v>
      </c>
    </row>
    <row r="14439" spans="1:15" x14ac:dyDescent="0.25">
      <c r="A14439" s="786" t="s">
        <v>26124</v>
      </c>
      <c r="B14439" s="787">
        <v>4</v>
      </c>
      <c r="C14439" s="787" t="s">
        <v>26125</v>
      </c>
      <c r="D14439" s="787">
        <v>0.32</v>
      </c>
      <c r="E14439" s="787">
        <v>0.32</v>
      </c>
      <c r="F14439" s="788">
        <v>39799</v>
      </c>
      <c r="G14439" s="788">
        <v>40919</v>
      </c>
      <c r="H14439" s="787">
        <v>1</v>
      </c>
      <c r="I14439" s="788">
        <v>39198</v>
      </c>
      <c r="J14439" s="788">
        <v>38861</v>
      </c>
      <c r="K14439" s="788">
        <v>41261</v>
      </c>
      <c r="L14439" s="787">
        <v>0.32</v>
      </c>
      <c r="M14439" s="787">
        <v>20</v>
      </c>
      <c r="N14439" s="787">
        <v>0.34</v>
      </c>
      <c r="O14439" s="788">
        <v>41858</v>
      </c>
    </row>
    <row r="14440" spans="1:15" x14ac:dyDescent="0.25">
      <c r="A14440" s="786" t="s">
        <v>26126</v>
      </c>
      <c r="B14440" s="787">
        <v>4</v>
      </c>
      <c r="C14440" s="787" t="s">
        <v>26127</v>
      </c>
      <c r="D14440" s="787">
        <v>6.6</v>
      </c>
      <c r="E14440" s="787">
        <v>305.2</v>
      </c>
      <c r="F14440" s="788">
        <v>41350</v>
      </c>
      <c r="G14440" s="788">
        <v>42109</v>
      </c>
      <c r="H14440" s="787">
        <v>1</v>
      </c>
      <c r="I14440" s="788">
        <v>42165</v>
      </c>
      <c r="J14440" s="788">
        <v>42109</v>
      </c>
      <c r="K14440" s="788">
        <v>41704</v>
      </c>
      <c r="L14440" s="787">
        <v>305.2</v>
      </c>
      <c r="M14440" s="787">
        <v>20</v>
      </c>
      <c r="N14440" s="787">
        <v>328.09</v>
      </c>
      <c r="O14440" s="788">
        <v>42019</v>
      </c>
    </row>
    <row r="14441" spans="1:15" x14ac:dyDescent="0.25">
      <c r="A14441" s="786" t="s">
        <v>26128</v>
      </c>
      <c r="B14441" s="787">
        <v>4</v>
      </c>
      <c r="C14441" s="787" t="s">
        <v>26129</v>
      </c>
      <c r="D14441" s="787">
        <v>5.85</v>
      </c>
      <c r="E14441" s="787">
        <v>25.85</v>
      </c>
      <c r="F14441" s="788">
        <v>40051</v>
      </c>
      <c r="G14441" s="788">
        <v>40178</v>
      </c>
      <c r="H14441" s="787">
        <v>6</v>
      </c>
      <c r="I14441" s="788">
        <v>41484</v>
      </c>
      <c r="J14441" s="788">
        <v>40038</v>
      </c>
      <c r="L14441" s="787">
        <v>25.85</v>
      </c>
      <c r="M14441" s="787">
        <v>20</v>
      </c>
      <c r="N14441" s="787">
        <v>27.79</v>
      </c>
      <c r="O14441" s="788">
        <v>41807</v>
      </c>
    </row>
    <row r="14442" spans="1:15" x14ac:dyDescent="0.25">
      <c r="A14442" s="786" t="s">
        <v>26130</v>
      </c>
      <c r="B14442" s="787">
        <v>4</v>
      </c>
      <c r="C14442" s="787" t="s">
        <v>26131</v>
      </c>
      <c r="D14442" s="787">
        <v>8.85</v>
      </c>
      <c r="E14442" s="787">
        <v>149.34</v>
      </c>
      <c r="F14442" s="788">
        <v>41338</v>
      </c>
      <c r="G14442" s="788">
        <v>42165</v>
      </c>
      <c r="H14442" s="787">
        <v>1</v>
      </c>
      <c r="I14442" s="788">
        <v>42166</v>
      </c>
      <c r="J14442" s="788">
        <v>42158</v>
      </c>
      <c r="K14442" s="788">
        <v>40862</v>
      </c>
      <c r="L14442" s="787">
        <v>143.9</v>
      </c>
      <c r="M14442" s="787">
        <v>20</v>
      </c>
      <c r="N14442" s="787">
        <v>154.69</v>
      </c>
      <c r="O14442" s="788">
        <v>42164</v>
      </c>
    </row>
    <row r="14443" spans="1:15" x14ac:dyDescent="0.25">
      <c r="A14443" s="786" t="s">
        <v>26132</v>
      </c>
      <c r="B14443" s="787">
        <v>4</v>
      </c>
      <c r="C14443" s="787" t="s">
        <v>26133</v>
      </c>
      <c r="D14443" s="787">
        <v>0.18</v>
      </c>
      <c r="E14443" s="787">
        <v>0.18</v>
      </c>
      <c r="F14443" s="788">
        <v>41437</v>
      </c>
      <c r="G14443" s="788">
        <v>42165</v>
      </c>
      <c r="H14443" s="787">
        <v>1</v>
      </c>
      <c r="I14443" s="788">
        <v>42166</v>
      </c>
      <c r="J14443" s="788">
        <v>42158</v>
      </c>
      <c r="K14443" s="788">
        <v>41437</v>
      </c>
      <c r="L14443" s="787">
        <v>0.19</v>
      </c>
      <c r="M14443" s="787">
        <v>20</v>
      </c>
      <c r="N14443" s="787">
        <v>0.2</v>
      </c>
      <c r="O14443" s="788">
        <v>42164</v>
      </c>
    </row>
    <row r="14444" spans="1:15" x14ac:dyDescent="0.25">
      <c r="A14444" s="786" t="s">
        <v>26134</v>
      </c>
      <c r="B14444" s="787">
        <v>4</v>
      </c>
      <c r="C14444" s="787" t="s">
        <v>26135</v>
      </c>
      <c r="D14444" s="787">
        <v>7.4</v>
      </c>
      <c r="E14444" s="787">
        <v>204.86</v>
      </c>
      <c r="F14444" s="788">
        <v>41822</v>
      </c>
      <c r="G14444" s="788">
        <v>42165</v>
      </c>
      <c r="H14444" s="787">
        <v>1</v>
      </c>
      <c r="I14444" s="788">
        <v>42166</v>
      </c>
      <c r="J14444" s="788">
        <v>42158</v>
      </c>
      <c r="K14444" s="788">
        <v>40862</v>
      </c>
      <c r="L14444" s="787">
        <v>197.4</v>
      </c>
      <c r="M14444" s="787">
        <v>20</v>
      </c>
      <c r="N14444" s="787">
        <v>212.21</v>
      </c>
      <c r="O14444" s="788">
        <v>42164</v>
      </c>
    </row>
    <row r="14445" spans="1:15" x14ac:dyDescent="0.25">
      <c r="A14445" s="786" t="s">
        <v>26136</v>
      </c>
      <c r="B14445" s="787">
        <v>4</v>
      </c>
      <c r="C14445" s="787" t="s">
        <v>26137</v>
      </c>
      <c r="D14445" s="787">
        <v>3.2</v>
      </c>
      <c r="E14445" s="787">
        <v>73.3</v>
      </c>
      <c r="F14445" s="788">
        <v>41866</v>
      </c>
      <c r="G14445" s="788">
        <v>42046</v>
      </c>
      <c r="H14445" s="787">
        <v>1</v>
      </c>
      <c r="I14445" s="788">
        <v>42156</v>
      </c>
      <c r="J14445" s="788">
        <v>42031</v>
      </c>
      <c r="K14445" s="788">
        <v>40862</v>
      </c>
      <c r="L14445" s="787">
        <v>69.959999999999994</v>
      </c>
      <c r="M14445" s="787">
        <v>20</v>
      </c>
      <c r="N14445" s="787">
        <v>75.209999999999994</v>
      </c>
      <c r="O14445" s="788">
        <v>41858</v>
      </c>
    </row>
    <row r="14446" spans="1:15" x14ac:dyDescent="0.25">
      <c r="A14446" s="786" t="s">
        <v>26138</v>
      </c>
      <c r="B14446" s="787">
        <v>4</v>
      </c>
      <c r="C14446" s="787" t="s">
        <v>26139</v>
      </c>
      <c r="D14446" s="787">
        <v>9.15</v>
      </c>
      <c r="E14446" s="787">
        <v>83.25</v>
      </c>
      <c r="F14446" s="788">
        <v>40983</v>
      </c>
      <c r="G14446" s="788">
        <v>42046</v>
      </c>
      <c r="H14446" s="787">
        <v>1</v>
      </c>
      <c r="I14446" s="788">
        <v>42165</v>
      </c>
      <c r="J14446" s="788">
        <v>42031</v>
      </c>
      <c r="K14446" s="788">
        <v>40862</v>
      </c>
      <c r="L14446" s="787">
        <v>79.17</v>
      </c>
      <c r="M14446" s="787">
        <v>20</v>
      </c>
      <c r="N14446" s="787">
        <v>85.11</v>
      </c>
      <c r="O14446" s="788">
        <v>42164</v>
      </c>
    </row>
    <row r="14447" spans="1:15" x14ac:dyDescent="0.25">
      <c r="A14447" s="786" t="s">
        <v>26140</v>
      </c>
      <c r="B14447" s="787">
        <v>4</v>
      </c>
      <c r="C14447" s="787" t="s">
        <v>26141</v>
      </c>
      <c r="D14447" s="787">
        <v>0.35</v>
      </c>
      <c r="E14447" s="787">
        <v>129.6</v>
      </c>
      <c r="F14447" s="788">
        <v>40983</v>
      </c>
      <c r="G14447" s="788">
        <v>42013</v>
      </c>
      <c r="H14447" s="787">
        <v>1</v>
      </c>
      <c r="I14447" s="788">
        <v>42165</v>
      </c>
      <c r="J14447" s="788">
        <v>41956</v>
      </c>
      <c r="K14447" s="788">
        <v>40862</v>
      </c>
      <c r="L14447" s="787">
        <v>120.35</v>
      </c>
      <c r="M14447" s="787">
        <v>20</v>
      </c>
      <c r="N14447" s="787">
        <v>129.38</v>
      </c>
      <c r="O14447" s="788">
        <v>42164</v>
      </c>
    </row>
    <row r="14448" spans="1:15" x14ac:dyDescent="0.25">
      <c r="A14448" s="786" t="s">
        <v>26142</v>
      </c>
      <c r="B14448" s="787">
        <v>4</v>
      </c>
      <c r="C14448" s="787" t="s">
        <v>26143</v>
      </c>
      <c r="D14448" s="787">
        <v>2.35</v>
      </c>
      <c r="E14448" s="787">
        <v>86.6</v>
      </c>
      <c r="F14448" s="788">
        <v>40983</v>
      </c>
      <c r="G14448" s="788">
        <v>42046</v>
      </c>
      <c r="H14448" s="787">
        <v>1</v>
      </c>
      <c r="I14448" s="788">
        <v>42165</v>
      </c>
      <c r="J14448" s="788">
        <v>42031</v>
      </c>
      <c r="K14448" s="788">
        <v>40862</v>
      </c>
      <c r="L14448" s="787">
        <v>82.35</v>
      </c>
      <c r="M14448" s="787">
        <v>20</v>
      </c>
      <c r="N14448" s="787">
        <v>88.53</v>
      </c>
      <c r="O14448" s="788">
        <v>42164</v>
      </c>
    </row>
    <row r="14449" spans="1:15" x14ac:dyDescent="0.25">
      <c r="A14449" s="786" t="s">
        <v>26144</v>
      </c>
      <c r="B14449" s="787">
        <v>4</v>
      </c>
      <c r="C14449" s="787" t="s">
        <v>26145</v>
      </c>
      <c r="D14449" s="787">
        <v>0</v>
      </c>
      <c r="E14449" s="787">
        <v>0</v>
      </c>
      <c r="H14449" s="787">
        <v>1</v>
      </c>
      <c r="I14449" s="788">
        <v>41894</v>
      </c>
      <c r="K14449" s="788">
        <v>40862</v>
      </c>
      <c r="L14449" s="787">
        <v>199.52</v>
      </c>
      <c r="M14449" s="787">
        <v>20</v>
      </c>
      <c r="N14449" s="787">
        <v>214.48</v>
      </c>
      <c r="O14449" s="788">
        <v>41858</v>
      </c>
    </row>
    <row r="14450" spans="1:15" x14ac:dyDescent="0.25">
      <c r="A14450" s="786" t="s">
        <v>26146</v>
      </c>
      <c r="B14450" s="787">
        <v>4</v>
      </c>
      <c r="C14450" s="787" t="s">
        <v>26147</v>
      </c>
      <c r="D14450" s="787">
        <v>3</v>
      </c>
      <c r="E14450" s="787">
        <v>374.24</v>
      </c>
      <c r="F14450" s="788">
        <v>42111</v>
      </c>
      <c r="G14450" s="788">
        <v>42165</v>
      </c>
      <c r="H14450" s="787">
        <v>1</v>
      </c>
      <c r="I14450" s="788">
        <v>42164</v>
      </c>
      <c r="J14450" s="788">
        <v>42158</v>
      </c>
      <c r="K14450" s="788">
        <v>40862</v>
      </c>
      <c r="L14450" s="787">
        <v>360.59</v>
      </c>
      <c r="M14450" s="787">
        <v>20</v>
      </c>
      <c r="N14450" s="787">
        <v>387.63</v>
      </c>
      <c r="O14450" s="788">
        <v>42164</v>
      </c>
    </row>
    <row r="14451" spans="1:15" x14ac:dyDescent="0.25">
      <c r="A14451" s="786" t="s">
        <v>26148</v>
      </c>
      <c r="B14451" s="787">
        <v>4</v>
      </c>
      <c r="C14451" s="787" t="s">
        <v>26149</v>
      </c>
      <c r="D14451" s="787">
        <v>6.52</v>
      </c>
      <c r="E14451" s="787">
        <v>235.7</v>
      </c>
      <c r="F14451" s="788">
        <v>41060</v>
      </c>
      <c r="G14451" s="788">
        <v>42106</v>
      </c>
      <c r="H14451" s="787">
        <v>1</v>
      </c>
      <c r="I14451" s="788">
        <v>42164</v>
      </c>
      <c r="J14451" s="788">
        <v>42089</v>
      </c>
      <c r="K14451" s="788">
        <v>40862</v>
      </c>
      <c r="L14451" s="787">
        <v>214.1</v>
      </c>
      <c r="M14451" s="787">
        <v>20</v>
      </c>
      <c r="N14451" s="787">
        <v>230.16</v>
      </c>
      <c r="O14451" s="788">
        <v>42164</v>
      </c>
    </row>
    <row r="14452" spans="1:15" x14ac:dyDescent="0.25">
      <c r="A14452" s="786" t="s">
        <v>26150</v>
      </c>
      <c r="B14452" s="787">
        <v>4</v>
      </c>
      <c r="C14452" s="787" t="s">
        <v>26151</v>
      </c>
      <c r="D14452" s="787">
        <v>6.16</v>
      </c>
      <c r="E14452" s="787">
        <v>47.9</v>
      </c>
      <c r="F14452" s="788">
        <v>41822</v>
      </c>
      <c r="G14452" s="788">
        <v>42165</v>
      </c>
      <c r="H14452" s="787">
        <v>1</v>
      </c>
      <c r="I14452" s="788">
        <v>42166</v>
      </c>
      <c r="J14452" s="788">
        <v>42158</v>
      </c>
      <c r="K14452" s="788">
        <v>40862</v>
      </c>
      <c r="L14452" s="787">
        <v>46.15</v>
      </c>
      <c r="M14452" s="787">
        <v>20</v>
      </c>
      <c r="N14452" s="787">
        <v>49.61</v>
      </c>
      <c r="O14452" s="788">
        <v>42164</v>
      </c>
    </row>
    <row r="14453" spans="1:15" x14ac:dyDescent="0.25">
      <c r="A14453" s="786" t="s">
        <v>26152</v>
      </c>
      <c r="B14453" s="787">
        <v>4</v>
      </c>
      <c r="C14453" s="787" t="s">
        <v>26153</v>
      </c>
      <c r="D14453" s="787">
        <v>8.66</v>
      </c>
      <c r="E14453" s="787">
        <v>50.5</v>
      </c>
      <c r="F14453" s="788">
        <v>41822</v>
      </c>
      <c r="G14453" s="788">
        <v>42165</v>
      </c>
      <c r="H14453" s="787">
        <v>1</v>
      </c>
      <c r="I14453" s="788">
        <v>42166</v>
      </c>
      <c r="J14453" s="788">
        <v>42158</v>
      </c>
      <c r="K14453" s="788">
        <v>40862</v>
      </c>
      <c r="L14453" s="787">
        <v>48.65</v>
      </c>
      <c r="M14453" s="787">
        <v>20</v>
      </c>
      <c r="N14453" s="787">
        <v>52.3</v>
      </c>
      <c r="O14453" s="788">
        <v>42164</v>
      </c>
    </row>
    <row r="14454" spans="1:15" x14ac:dyDescent="0.25">
      <c r="A14454" s="786" t="s">
        <v>26154</v>
      </c>
      <c r="B14454" s="787">
        <v>4</v>
      </c>
      <c r="C14454" s="787" t="s">
        <v>26155</v>
      </c>
      <c r="D14454" s="787">
        <v>0.15</v>
      </c>
      <c r="E14454" s="787">
        <v>60.15</v>
      </c>
      <c r="F14454" s="788">
        <v>42159</v>
      </c>
      <c r="G14454" s="788">
        <v>42165</v>
      </c>
      <c r="H14454" s="787">
        <v>1</v>
      </c>
      <c r="I14454" s="788">
        <v>42164</v>
      </c>
      <c r="J14454" s="788">
        <v>42158</v>
      </c>
      <c r="K14454" s="788">
        <v>40862</v>
      </c>
      <c r="L14454" s="787">
        <v>54.75</v>
      </c>
      <c r="M14454" s="787">
        <v>20</v>
      </c>
      <c r="N14454" s="787">
        <v>58.86</v>
      </c>
      <c r="O14454" s="788">
        <v>42164</v>
      </c>
    </row>
    <row r="14455" spans="1:15" x14ac:dyDescent="0.25">
      <c r="A14455" s="786" t="s">
        <v>26156</v>
      </c>
      <c r="B14455" s="787">
        <v>4</v>
      </c>
      <c r="C14455" s="787" t="s">
        <v>26157</v>
      </c>
      <c r="D14455" s="787">
        <v>0.35</v>
      </c>
      <c r="E14455" s="787">
        <v>0.35</v>
      </c>
      <c r="F14455" s="788">
        <v>41529</v>
      </c>
      <c r="G14455" s="788">
        <v>41631</v>
      </c>
      <c r="H14455" s="787">
        <v>1</v>
      </c>
      <c r="I14455" s="788">
        <v>42166</v>
      </c>
      <c r="J14455" s="788">
        <v>42082</v>
      </c>
      <c r="L14455" s="787">
        <v>0.36</v>
      </c>
      <c r="M14455" s="787">
        <v>20</v>
      </c>
      <c r="N14455" s="787">
        <v>0.39</v>
      </c>
      <c r="O14455" s="788">
        <v>42075</v>
      </c>
    </row>
    <row r="14456" spans="1:15" x14ac:dyDescent="0.25">
      <c r="A14456" s="786" t="s">
        <v>26158</v>
      </c>
      <c r="B14456" s="787">
        <v>4</v>
      </c>
      <c r="C14456" s="787" t="s">
        <v>26159</v>
      </c>
      <c r="D14456" s="787">
        <v>4.55</v>
      </c>
      <c r="E14456" s="787">
        <v>4.55</v>
      </c>
      <c r="F14456" s="788">
        <v>41992</v>
      </c>
      <c r="G14456" s="788">
        <v>41988</v>
      </c>
      <c r="H14456" s="787">
        <v>1</v>
      </c>
      <c r="J14456" s="788">
        <v>41988</v>
      </c>
      <c r="K14456" s="788">
        <v>41985</v>
      </c>
      <c r="L14456" s="787">
        <v>4.55</v>
      </c>
      <c r="M14456" s="787">
        <v>20</v>
      </c>
      <c r="N14456" s="787">
        <v>4.8899999999999997</v>
      </c>
      <c r="O14456" s="788">
        <v>41985</v>
      </c>
    </row>
    <row r="14457" spans="1:15" x14ac:dyDescent="0.25">
      <c r="A14457" s="786" t="s">
        <v>26160</v>
      </c>
      <c r="B14457" s="787">
        <v>4</v>
      </c>
      <c r="C14457" s="787" t="s">
        <v>26161</v>
      </c>
      <c r="D14457" s="787">
        <v>8.3000000000000007</v>
      </c>
      <c r="E14457" s="787">
        <v>198.3</v>
      </c>
      <c r="F14457" s="788">
        <v>41338</v>
      </c>
      <c r="G14457" s="788">
        <v>42013</v>
      </c>
      <c r="H14457" s="787">
        <v>1</v>
      </c>
      <c r="I14457" s="788">
        <v>41965</v>
      </c>
      <c r="J14457" s="788">
        <v>41337</v>
      </c>
      <c r="K14457" s="788">
        <v>41256</v>
      </c>
      <c r="L14457" s="787">
        <v>191.74</v>
      </c>
      <c r="M14457" s="787">
        <v>20</v>
      </c>
      <c r="N14457" s="787">
        <v>206.12</v>
      </c>
      <c r="O14457" s="788">
        <v>41858</v>
      </c>
    </row>
    <row r="14458" spans="1:15" x14ac:dyDescent="0.25">
      <c r="A14458" s="786" t="s">
        <v>26162</v>
      </c>
      <c r="B14458" s="787">
        <v>4</v>
      </c>
      <c r="C14458" s="787" t="s">
        <v>26161</v>
      </c>
      <c r="D14458" s="787">
        <v>8.3000000000000007</v>
      </c>
      <c r="E14458" s="787">
        <v>198.3</v>
      </c>
      <c r="F14458" s="788">
        <v>41338</v>
      </c>
      <c r="G14458" s="788">
        <v>41627</v>
      </c>
      <c r="H14458" s="787">
        <v>1</v>
      </c>
      <c r="I14458" s="788">
        <v>41528</v>
      </c>
      <c r="J14458" s="788">
        <v>41627</v>
      </c>
      <c r="K14458" s="788">
        <v>41256</v>
      </c>
      <c r="L14458" s="787">
        <v>191.74</v>
      </c>
      <c r="M14458" s="787">
        <v>20</v>
      </c>
      <c r="N14458" s="787">
        <v>206.12</v>
      </c>
      <c r="O14458" s="788">
        <v>41858</v>
      </c>
    </row>
    <row r="14459" spans="1:15" x14ac:dyDescent="0.25">
      <c r="A14459" s="786" t="s">
        <v>26163</v>
      </c>
      <c r="B14459" s="787">
        <v>4</v>
      </c>
      <c r="C14459" s="787" t="s">
        <v>26164</v>
      </c>
      <c r="D14459" s="787">
        <v>3.9</v>
      </c>
      <c r="E14459" s="787">
        <v>293.89999999999998</v>
      </c>
      <c r="F14459" s="788">
        <v>41338</v>
      </c>
      <c r="G14459" s="788">
        <v>42013</v>
      </c>
      <c r="H14459" s="787">
        <v>1</v>
      </c>
      <c r="I14459" s="788">
        <v>41817</v>
      </c>
      <c r="J14459" s="788">
        <v>41337</v>
      </c>
      <c r="K14459" s="788">
        <v>41256</v>
      </c>
      <c r="L14459" s="787">
        <v>284.14</v>
      </c>
      <c r="M14459" s="787">
        <v>20</v>
      </c>
      <c r="N14459" s="787">
        <v>305.45</v>
      </c>
      <c r="O14459" s="788">
        <v>41858</v>
      </c>
    </row>
    <row r="14460" spans="1:15" x14ac:dyDescent="0.25">
      <c r="A14460" s="786" t="s">
        <v>26165</v>
      </c>
      <c r="B14460" s="787">
        <v>4</v>
      </c>
      <c r="C14460" s="787" t="s">
        <v>26164</v>
      </c>
      <c r="D14460" s="787">
        <v>3.9</v>
      </c>
      <c r="E14460" s="787">
        <v>293.89999999999998</v>
      </c>
      <c r="F14460" s="788">
        <v>41338</v>
      </c>
      <c r="G14460" s="788">
        <v>42013</v>
      </c>
      <c r="H14460" s="787">
        <v>1</v>
      </c>
      <c r="I14460" s="788">
        <v>41965</v>
      </c>
      <c r="J14460" s="788">
        <v>41337</v>
      </c>
      <c r="K14460" s="788">
        <v>41256</v>
      </c>
      <c r="L14460" s="787">
        <v>284.14</v>
      </c>
      <c r="M14460" s="787">
        <v>20</v>
      </c>
      <c r="N14460" s="787">
        <v>305.45</v>
      </c>
      <c r="O14460" s="788">
        <v>41858</v>
      </c>
    </row>
    <row r="14461" spans="1:15" x14ac:dyDescent="0.25">
      <c r="A14461" s="786" t="s">
        <v>26166</v>
      </c>
      <c r="B14461" s="787">
        <v>4</v>
      </c>
      <c r="C14461" s="787" t="s">
        <v>26167</v>
      </c>
      <c r="D14461" s="787">
        <v>4.7</v>
      </c>
      <c r="E14461" s="789">
        <v>2104.6999999999998</v>
      </c>
      <c r="F14461" s="788">
        <v>41338</v>
      </c>
      <c r="G14461" s="788">
        <v>42013</v>
      </c>
      <c r="H14461" s="787">
        <v>1</v>
      </c>
      <c r="I14461" s="788">
        <v>42145</v>
      </c>
      <c r="J14461" s="788">
        <v>41317</v>
      </c>
      <c r="K14461" s="788">
        <v>41299</v>
      </c>
      <c r="L14461" s="789">
        <v>2002.9</v>
      </c>
      <c r="M14461" s="787">
        <v>20</v>
      </c>
      <c r="N14461" s="789">
        <v>2153.12</v>
      </c>
      <c r="O14461" s="788">
        <v>41858</v>
      </c>
    </row>
    <row r="14462" spans="1:15" x14ac:dyDescent="0.25">
      <c r="A14462" s="786" t="s">
        <v>92</v>
      </c>
      <c r="B14462" s="787">
        <v>4</v>
      </c>
      <c r="C14462" s="787" t="s">
        <v>26168</v>
      </c>
      <c r="D14462" s="787">
        <v>0.13</v>
      </c>
      <c r="E14462" s="787">
        <v>0.15</v>
      </c>
      <c r="F14462" s="788">
        <v>39101</v>
      </c>
      <c r="G14462" s="788">
        <v>42165</v>
      </c>
      <c r="H14462" s="787">
        <v>1</v>
      </c>
      <c r="I14462" s="788">
        <v>42166</v>
      </c>
      <c r="J14462" s="788">
        <v>42163</v>
      </c>
      <c r="K14462" s="788">
        <v>41554</v>
      </c>
      <c r="L14462" s="787">
        <v>0.2</v>
      </c>
      <c r="M14462" s="787">
        <v>20</v>
      </c>
      <c r="N14462" s="787">
        <v>0.22</v>
      </c>
      <c r="O14462" s="788">
        <v>42039</v>
      </c>
    </row>
    <row r="14463" spans="1:15" x14ac:dyDescent="0.25">
      <c r="A14463" s="786" t="s">
        <v>26169</v>
      </c>
      <c r="B14463" s="787">
        <v>4</v>
      </c>
      <c r="C14463" s="787" t="s">
        <v>26170</v>
      </c>
      <c r="D14463" s="787">
        <v>0.05</v>
      </c>
      <c r="E14463" s="787">
        <v>0.1</v>
      </c>
      <c r="F14463" s="788">
        <v>39101</v>
      </c>
      <c r="G14463" s="788">
        <v>41739</v>
      </c>
      <c r="H14463" s="787">
        <v>1</v>
      </c>
      <c r="I14463" s="788">
        <v>42163</v>
      </c>
      <c r="J14463" s="788">
        <v>41733</v>
      </c>
      <c r="K14463" s="788">
        <v>41530</v>
      </c>
      <c r="L14463" s="787">
        <v>0.15</v>
      </c>
      <c r="M14463" s="787">
        <v>20</v>
      </c>
      <c r="N14463" s="787">
        <v>0.16</v>
      </c>
      <c r="O14463" s="788">
        <v>42164</v>
      </c>
    </row>
    <row r="14464" spans="1:15" x14ac:dyDescent="0.25">
      <c r="A14464" s="786" t="s">
        <v>663</v>
      </c>
      <c r="B14464" s="787">
        <v>4</v>
      </c>
      <c r="C14464" s="787" t="s">
        <v>26171</v>
      </c>
      <c r="D14464" s="787">
        <v>0.06</v>
      </c>
      <c r="E14464" s="787">
        <v>0.1</v>
      </c>
      <c r="F14464" s="788">
        <v>39101</v>
      </c>
      <c r="G14464" s="788">
        <v>39101</v>
      </c>
      <c r="H14464" s="787">
        <v>1</v>
      </c>
      <c r="I14464" s="788">
        <v>42131</v>
      </c>
      <c r="J14464" s="788">
        <v>39149</v>
      </c>
      <c r="L14464" s="787">
        <v>0.05</v>
      </c>
      <c r="M14464" s="787">
        <v>20</v>
      </c>
      <c r="N14464" s="787">
        <v>0.05</v>
      </c>
      <c r="O14464" s="788">
        <v>41858</v>
      </c>
    </row>
    <row r="14465" spans="1:15" x14ac:dyDescent="0.25">
      <c r="A14465" s="786" t="s">
        <v>26172</v>
      </c>
      <c r="B14465" s="787">
        <v>4</v>
      </c>
      <c r="C14465" s="787" t="s">
        <v>26173</v>
      </c>
      <c r="D14465" s="787">
        <v>0.08</v>
      </c>
      <c r="E14465" s="787">
        <v>0.67</v>
      </c>
      <c r="F14465" s="788">
        <v>39101</v>
      </c>
      <c r="G14465" s="788">
        <v>39101</v>
      </c>
      <c r="H14465" s="787">
        <v>1</v>
      </c>
      <c r="I14465" s="788">
        <v>41166</v>
      </c>
      <c r="J14465" s="788">
        <v>39101</v>
      </c>
      <c r="L14465" s="787">
        <v>0.11</v>
      </c>
      <c r="M14465" s="787">
        <v>20</v>
      </c>
      <c r="N14465" s="787">
        <v>0.12</v>
      </c>
      <c r="O14465" s="788">
        <v>41858</v>
      </c>
    </row>
    <row r="14466" spans="1:15" x14ac:dyDescent="0.25">
      <c r="A14466" s="786" t="s">
        <v>26174</v>
      </c>
      <c r="B14466" s="787">
        <v>4</v>
      </c>
      <c r="C14466" s="787" t="s">
        <v>26175</v>
      </c>
      <c r="D14466" s="787">
        <v>0.08</v>
      </c>
      <c r="E14466" s="787">
        <v>0.08</v>
      </c>
      <c r="F14466" s="788">
        <v>37641</v>
      </c>
      <c r="G14466" s="788">
        <v>37641</v>
      </c>
      <c r="H14466" s="787">
        <v>5</v>
      </c>
      <c r="I14466" s="788">
        <v>37142</v>
      </c>
      <c r="J14466" s="788">
        <v>39101</v>
      </c>
      <c r="K14466" s="788">
        <v>41864</v>
      </c>
      <c r="L14466" s="787">
        <v>0.81</v>
      </c>
      <c r="M14466" s="787">
        <v>20</v>
      </c>
      <c r="N14466" s="787">
        <v>0.81</v>
      </c>
      <c r="O14466" s="788">
        <v>41858</v>
      </c>
    </row>
    <row r="14467" spans="1:15" x14ac:dyDescent="0.25">
      <c r="A14467" s="786" t="s">
        <v>26176</v>
      </c>
      <c r="B14467" s="787">
        <v>4</v>
      </c>
      <c r="C14467" s="787" t="s">
        <v>26177</v>
      </c>
      <c r="D14467" s="787">
        <v>0.71</v>
      </c>
      <c r="E14467" s="787">
        <v>0.71</v>
      </c>
      <c r="F14467" s="788">
        <v>39101</v>
      </c>
      <c r="G14467" s="788">
        <v>39101</v>
      </c>
      <c r="H14467" s="787">
        <v>1</v>
      </c>
      <c r="I14467" s="788">
        <v>37585</v>
      </c>
      <c r="J14467" s="788">
        <v>39101</v>
      </c>
      <c r="L14467" s="787">
        <v>1.2</v>
      </c>
      <c r="M14467" s="787">
        <v>20</v>
      </c>
      <c r="N14467" s="787">
        <v>1.29</v>
      </c>
      <c r="O14467" s="788">
        <v>41858</v>
      </c>
    </row>
    <row r="14468" spans="1:15" x14ac:dyDescent="0.25">
      <c r="A14468" s="786" t="s">
        <v>26178</v>
      </c>
      <c r="B14468" s="787">
        <v>4</v>
      </c>
      <c r="C14468" s="787" t="s">
        <v>26179</v>
      </c>
      <c r="D14468" s="787">
        <v>0.56000000000000005</v>
      </c>
      <c r="E14468" s="787">
        <v>0.83</v>
      </c>
      <c r="F14468" s="788">
        <v>39101</v>
      </c>
      <c r="G14468" s="788">
        <v>40914</v>
      </c>
      <c r="H14468" s="787">
        <v>5</v>
      </c>
      <c r="I14468" s="788">
        <v>41002</v>
      </c>
      <c r="J14468" s="788">
        <v>39615</v>
      </c>
      <c r="K14468" s="788">
        <v>41869</v>
      </c>
      <c r="L14468" s="787">
        <v>0.83</v>
      </c>
      <c r="M14468" s="787">
        <v>20</v>
      </c>
      <c r="N14468" s="787">
        <v>0.89</v>
      </c>
      <c r="O14468" s="788">
        <v>42164</v>
      </c>
    </row>
    <row r="14469" spans="1:15" x14ac:dyDescent="0.25">
      <c r="A14469" s="786" t="s">
        <v>26180</v>
      </c>
      <c r="B14469" s="787">
        <v>4</v>
      </c>
      <c r="C14469" s="787" t="s">
        <v>26181</v>
      </c>
      <c r="D14469" s="787">
        <v>0.12</v>
      </c>
      <c r="E14469" s="787">
        <v>0.12</v>
      </c>
      <c r="F14469" s="788">
        <v>39101</v>
      </c>
      <c r="G14469" s="788">
        <v>39101</v>
      </c>
      <c r="H14469" s="787">
        <v>1</v>
      </c>
      <c r="I14469" s="788">
        <v>39134</v>
      </c>
      <c r="J14469" s="788">
        <v>39149</v>
      </c>
      <c r="L14469" s="787">
        <v>0.13</v>
      </c>
      <c r="M14469" s="787">
        <v>20</v>
      </c>
      <c r="N14469" s="787">
        <v>0.14000000000000001</v>
      </c>
      <c r="O14469" s="788">
        <v>41858</v>
      </c>
    </row>
    <row r="14470" spans="1:15" x14ac:dyDescent="0.25">
      <c r="A14470" s="786" t="s">
        <v>26182</v>
      </c>
      <c r="B14470" s="787">
        <v>4</v>
      </c>
      <c r="C14470" s="787" t="s">
        <v>26183</v>
      </c>
      <c r="D14470" s="787">
        <v>1.1000000000000001</v>
      </c>
      <c r="E14470" s="787">
        <v>2.0099999999999998</v>
      </c>
      <c r="F14470" s="788">
        <v>39799</v>
      </c>
      <c r="G14470" s="788">
        <v>41309</v>
      </c>
      <c r="H14470" s="787">
        <v>1</v>
      </c>
      <c r="I14470" s="788">
        <v>41498</v>
      </c>
      <c r="J14470" s="788">
        <v>41417</v>
      </c>
      <c r="K14470" s="788">
        <v>41865</v>
      </c>
      <c r="L14470" s="787">
        <v>1.94</v>
      </c>
      <c r="M14470" s="787">
        <v>20</v>
      </c>
      <c r="N14470" s="787">
        <v>0.54</v>
      </c>
      <c r="O14470" s="788">
        <v>41858</v>
      </c>
    </row>
    <row r="14471" spans="1:15" x14ac:dyDescent="0.25">
      <c r="A14471" s="786" t="s">
        <v>26184</v>
      </c>
      <c r="B14471" s="787">
        <v>4</v>
      </c>
      <c r="C14471" s="787" t="s">
        <v>26185</v>
      </c>
      <c r="D14471" s="787">
        <v>1.95</v>
      </c>
      <c r="E14471" s="787">
        <v>2.65</v>
      </c>
      <c r="F14471" s="788">
        <v>39101</v>
      </c>
      <c r="G14471" s="788">
        <v>41697</v>
      </c>
      <c r="H14471" s="787">
        <v>1</v>
      </c>
      <c r="I14471" s="788">
        <v>41663</v>
      </c>
      <c r="J14471" s="788">
        <v>41662</v>
      </c>
      <c r="L14471" s="787">
        <v>1.35</v>
      </c>
      <c r="M14471" s="787">
        <v>20</v>
      </c>
      <c r="N14471" s="787">
        <v>1.45</v>
      </c>
      <c r="O14471" s="788">
        <v>41858</v>
      </c>
    </row>
    <row r="14472" spans="1:15" x14ac:dyDescent="0.25">
      <c r="A14472" s="786" t="s">
        <v>26186</v>
      </c>
      <c r="B14472" s="787">
        <v>4</v>
      </c>
      <c r="C14472" s="787" t="s">
        <v>26187</v>
      </c>
      <c r="D14472" s="787">
        <v>0.61</v>
      </c>
      <c r="E14472" s="787">
        <v>0.72</v>
      </c>
      <c r="F14472" s="788">
        <v>39101</v>
      </c>
      <c r="G14472" s="788">
        <v>42013</v>
      </c>
      <c r="H14472" s="787">
        <v>1</v>
      </c>
      <c r="I14472" s="788">
        <v>42165</v>
      </c>
      <c r="J14472" s="788">
        <v>41954</v>
      </c>
      <c r="L14472" s="787">
        <v>0.66</v>
      </c>
      <c r="M14472" s="787">
        <v>20</v>
      </c>
      <c r="N14472" s="787">
        <v>0.71</v>
      </c>
      <c r="O14472" s="788">
        <v>41858</v>
      </c>
    </row>
    <row r="14473" spans="1:15" x14ac:dyDescent="0.25">
      <c r="A14473" s="786" t="s">
        <v>26188</v>
      </c>
      <c r="B14473" s="787">
        <v>4</v>
      </c>
      <c r="C14473" s="787" t="s">
        <v>26189</v>
      </c>
      <c r="D14473" s="787">
        <v>0.82</v>
      </c>
      <c r="E14473" s="787">
        <v>2.19</v>
      </c>
      <c r="F14473" s="788">
        <v>38047</v>
      </c>
      <c r="G14473" s="788">
        <v>41282</v>
      </c>
      <c r="H14473" s="787">
        <v>1</v>
      </c>
      <c r="I14473" s="788">
        <v>39657</v>
      </c>
      <c r="J14473" s="788">
        <v>41187</v>
      </c>
      <c r="K14473" s="788">
        <v>41865</v>
      </c>
      <c r="L14473" s="787">
        <v>0.82</v>
      </c>
      <c r="M14473" s="787">
        <v>20</v>
      </c>
      <c r="N14473" s="787">
        <v>0.96</v>
      </c>
      <c r="O14473" s="788">
        <v>41858</v>
      </c>
    </row>
    <row r="14474" spans="1:15" x14ac:dyDescent="0.25">
      <c r="A14474" s="786" t="s">
        <v>26190</v>
      </c>
      <c r="B14474" s="787">
        <v>4</v>
      </c>
      <c r="C14474" s="787" t="s">
        <v>26191</v>
      </c>
      <c r="D14474" s="787">
        <v>0.09</v>
      </c>
      <c r="E14474" s="787">
        <v>0.09</v>
      </c>
      <c r="F14474" s="788">
        <v>39643</v>
      </c>
      <c r="G14474" s="788">
        <v>39800</v>
      </c>
      <c r="H14474" s="787">
        <v>1</v>
      </c>
      <c r="I14474" s="788">
        <v>40743</v>
      </c>
      <c r="J14474" s="788">
        <v>40842</v>
      </c>
      <c r="K14474" s="788">
        <v>41869</v>
      </c>
      <c r="L14474" s="787">
        <v>0.09</v>
      </c>
      <c r="M14474" s="787">
        <v>20</v>
      </c>
      <c r="N14474" s="787">
        <v>0.96</v>
      </c>
      <c r="O14474" s="788">
        <v>41858</v>
      </c>
    </row>
    <row r="14475" spans="1:15" x14ac:dyDescent="0.25">
      <c r="A14475" s="786" t="s">
        <v>26192</v>
      </c>
      <c r="B14475" s="787">
        <v>4</v>
      </c>
      <c r="C14475" s="787" t="s">
        <v>26193</v>
      </c>
      <c r="D14475" s="787">
        <v>0.37</v>
      </c>
      <c r="E14475" s="787">
        <v>0.37</v>
      </c>
      <c r="F14475" s="788">
        <v>42104</v>
      </c>
      <c r="G14475" s="788">
        <v>42104</v>
      </c>
      <c r="H14475" s="787">
        <v>6</v>
      </c>
      <c r="I14475" s="788">
        <v>42160</v>
      </c>
      <c r="J14475" s="788">
        <v>42164</v>
      </c>
      <c r="L14475" s="787">
        <v>0.8</v>
      </c>
      <c r="M14475" s="787">
        <v>20</v>
      </c>
      <c r="N14475" s="787">
        <v>0.86</v>
      </c>
      <c r="O14475" s="788">
        <v>42108</v>
      </c>
    </row>
    <row r="14476" spans="1:15" x14ac:dyDescent="0.25">
      <c r="A14476" s="786" t="s">
        <v>26194</v>
      </c>
      <c r="B14476" s="787">
        <v>4</v>
      </c>
      <c r="C14476" s="787" t="s">
        <v>26195</v>
      </c>
      <c r="D14476" s="787">
        <v>0.53</v>
      </c>
      <c r="E14476" s="787">
        <v>0.53</v>
      </c>
      <c r="F14476" s="788">
        <v>38047</v>
      </c>
      <c r="G14476" s="788">
        <v>38047</v>
      </c>
      <c r="H14476" s="787">
        <v>1</v>
      </c>
      <c r="I14476" s="788">
        <v>40820</v>
      </c>
      <c r="J14476" s="788">
        <v>38047</v>
      </c>
      <c r="L14476" s="787">
        <v>0.57999999999999996</v>
      </c>
      <c r="M14476" s="787">
        <v>20</v>
      </c>
      <c r="N14476" s="787">
        <v>0.62</v>
      </c>
      <c r="O14476" s="788">
        <v>41858</v>
      </c>
    </row>
    <row r="14477" spans="1:15" x14ac:dyDescent="0.25">
      <c r="A14477" s="786" t="s">
        <v>26196</v>
      </c>
      <c r="B14477" s="787">
        <v>4</v>
      </c>
      <c r="C14477" s="787" t="s">
        <v>26197</v>
      </c>
      <c r="D14477" s="787">
        <v>0.56999999999999995</v>
      </c>
      <c r="E14477" s="787">
        <v>0.21</v>
      </c>
      <c r="F14477" s="788">
        <v>39101</v>
      </c>
      <c r="G14477" s="788">
        <v>39101</v>
      </c>
      <c r="H14477" s="787">
        <v>1</v>
      </c>
      <c r="I14477" s="788">
        <v>39134</v>
      </c>
      <c r="J14477" s="788">
        <v>39149</v>
      </c>
      <c r="L14477" s="787">
        <v>0.23</v>
      </c>
      <c r="M14477" s="787">
        <v>20</v>
      </c>
      <c r="N14477" s="787">
        <v>0.25</v>
      </c>
      <c r="O14477" s="788">
        <v>41858</v>
      </c>
    </row>
    <row r="14478" spans="1:15" x14ac:dyDescent="0.25">
      <c r="A14478" s="786" t="s">
        <v>26198</v>
      </c>
      <c r="B14478" s="787">
        <v>4</v>
      </c>
      <c r="C14478" s="787" t="s">
        <v>26199</v>
      </c>
      <c r="D14478" s="787">
        <v>0</v>
      </c>
      <c r="E14478" s="787">
        <v>0</v>
      </c>
      <c r="G14478" s="788">
        <v>37670</v>
      </c>
      <c r="H14478" s="787">
        <v>1</v>
      </c>
      <c r="J14478" s="788">
        <v>37670</v>
      </c>
      <c r="L14478" s="787">
        <v>0.56999999999999995</v>
      </c>
      <c r="M14478" s="787">
        <v>20</v>
      </c>
      <c r="N14478" s="787">
        <v>0.61</v>
      </c>
      <c r="O14478" s="788">
        <v>41858</v>
      </c>
    </row>
    <row r="14479" spans="1:15" x14ac:dyDescent="0.25">
      <c r="A14479" s="786" t="s">
        <v>26200</v>
      </c>
      <c r="B14479" s="787">
        <v>4</v>
      </c>
      <c r="C14479" s="787" t="s">
        <v>26201</v>
      </c>
      <c r="D14479" s="787">
        <v>0.67</v>
      </c>
      <c r="E14479" s="787">
        <v>0.67</v>
      </c>
      <c r="F14479" s="788">
        <v>39101</v>
      </c>
      <c r="G14479" s="788">
        <v>39101</v>
      </c>
      <c r="H14479" s="787">
        <v>1</v>
      </c>
      <c r="I14479" s="788">
        <v>39134</v>
      </c>
      <c r="J14479" s="788">
        <v>39149</v>
      </c>
      <c r="L14479" s="787">
        <v>0.73</v>
      </c>
      <c r="M14479" s="787">
        <v>20</v>
      </c>
      <c r="N14479" s="787">
        <v>0.78</v>
      </c>
      <c r="O14479" s="788">
        <v>41858</v>
      </c>
    </row>
    <row r="14480" spans="1:15" x14ac:dyDescent="0.25">
      <c r="A14480" s="786" t="s">
        <v>26202</v>
      </c>
      <c r="B14480" s="787">
        <v>4</v>
      </c>
      <c r="C14480" s="787" t="s">
        <v>26203</v>
      </c>
      <c r="D14480" s="787">
        <v>0.94</v>
      </c>
      <c r="E14480" s="787">
        <v>0.94</v>
      </c>
      <c r="F14480" s="788">
        <v>39101</v>
      </c>
      <c r="G14480" s="788">
        <v>39101</v>
      </c>
      <c r="H14480" s="787">
        <v>1</v>
      </c>
      <c r="I14480" s="788">
        <v>39134</v>
      </c>
      <c r="J14480" s="788">
        <v>39149</v>
      </c>
      <c r="L14480" s="787">
        <v>0.94</v>
      </c>
      <c r="M14480" s="787">
        <v>20</v>
      </c>
      <c r="N14480" s="787">
        <v>1.01</v>
      </c>
      <c r="O14480" s="788">
        <v>41858</v>
      </c>
    </row>
    <row r="14481" spans="1:15" x14ac:dyDescent="0.25">
      <c r="A14481" s="786" t="s">
        <v>26204</v>
      </c>
      <c r="B14481" s="787">
        <v>4</v>
      </c>
      <c r="C14481" s="787" t="s">
        <v>26205</v>
      </c>
      <c r="D14481" s="787">
        <v>0.62</v>
      </c>
      <c r="E14481" s="787">
        <v>0.62</v>
      </c>
      <c r="F14481" s="788">
        <v>39101</v>
      </c>
      <c r="G14481" s="788">
        <v>39101</v>
      </c>
      <c r="H14481" s="787">
        <v>1</v>
      </c>
      <c r="I14481" s="788">
        <v>39134</v>
      </c>
      <c r="J14481" s="788">
        <v>39149</v>
      </c>
      <c r="L14481" s="787">
        <v>0.68</v>
      </c>
      <c r="M14481" s="787">
        <v>20</v>
      </c>
      <c r="N14481" s="787">
        <v>0.73</v>
      </c>
      <c r="O14481" s="788">
        <v>41858</v>
      </c>
    </row>
    <row r="14482" spans="1:15" x14ac:dyDescent="0.25">
      <c r="A14482" s="786" t="s">
        <v>26206</v>
      </c>
      <c r="B14482" s="787">
        <v>4</v>
      </c>
      <c r="C14482" s="787" t="s">
        <v>26207</v>
      </c>
      <c r="D14482" s="787">
        <v>1</v>
      </c>
      <c r="E14482" s="787">
        <v>1</v>
      </c>
      <c r="F14482" s="788">
        <v>39101</v>
      </c>
      <c r="G14482" s="788">
        <v>39101</v>
      </c>
      <c r="H14482" s="787">
        <v>1</v>
      </c>
      <c r="I14482" s="788">
        <v>39134</v>
      </c>
      <c r="J14482" s="788">
        <v>39149</v>
      </c>
      <c r="L14482" s="787">
        <v>1</v>
      </c>
      <c r="M14482" s="787">
        <v>20</v>
      </c>
      <c r="N14482" s="787">
        <v>1.08</v>
      </c>
      <c r="O14482" s="788">
        <v>41858</v>
      </c>
    </row>
    <row r="14483" spans="1:15" x14ac:dyDescent="0.25">
      <c r="A14483" s="786" t="s">
        <v>26208</v>
      </c>
      <c r="B14483" s="787">
        <v>4</v>
      </c>
      <c r="C14483" s="787" t="s">
        <v>26209</v>
      </c>
      <c r="D14483" s="787">
        <v>1.42</v>
      </c>
      <c r="E14483" s="787">
        <v>1.42</v>
      </c>
      <c r="F14483" s="788">
        <v>39101</v>
      </c>
      <c r="G14483" s="788">
        <v>39101</v>
      </c>
      <c r="H14483" s="787">
        <v>1</v>
      </c>
      <c r="I14483" s="788">
        <v>39134</v>
      </c>
      <c r="J14483" s="788">
        <v>39149</v>
      </c>
      <c r="L14483" s="787">
        <v>1.55</v>
      </c>
      <c r="M14483" s="787">
        <v>20</v>
      </c>
      <c r="N14483" s="787">
        <v>1.67</v>
      </c>
      <c r="O14483" s="788">
        <v>41858</v>
      </c>
    </row>
    <row r="14484" spans="1:15" x14ac:dyDescent="0.25">
      <c r="A14484" s="786" t="s">
        <v>26210</v>
      </c>
      <c r="B14484" s="787">
        <v>4</v>
      </c>
      <c r="C14484" s="787" t="s">
        <v>26211</v>
      </c>
      <c r="D14484" s="787">
        <v>0.92</v>
      </c>
      <c r="E14484" s="787">
        <v>0.92</v>
      </c>
      <c r="F14484" s="788">
        <v>39101</v>
      </c>
      <c r="G14484" s="788">
        <v>39101</v>
      </c>
      <c r="H14484" s="787">
        <v>1</v>
      </c>
      <c r="I14484" s="788">
        <v>39134</v>
      </c>
      <c r="J14484" s="788">
        <v>39149</v>
      </c>
      <c r="L14484" s="787">
        <v>0.92</v>
      </c>
      <c r="M14484" s="787">
        <v>20</v>
      </c>
      <c r="N14484" s="787">
        <v>0.99</v>
      </c>
      <c r="O14484" s="788">
        <v>41858</v>
      </c>
    </row>
    <row r="14485" spans="1:15" x14ac:dyDescent="0.25">
      <c r="A14485" s="786" t="s">
        <v>26212</v>
      </c>
      <c r="B14485" s="787">
        <v>4</v>
      </c>
      <c r="C14485" s="787" t="s">
        <v>26213</v>
      </c>
      <c r="D14485" s="787">
        <v>0</v>
      </c>
      <c r="E14485" s="787">
        <v>0</v>
      </c>
      <c r="G14485" s="788">
        <v>39590</v>
      </c>
      <c r="H14485" s="787">
        <v>1</v>
      </c>
      <c r="I14485" s="788">
        <v>41894</v>
      </c>
      <c r="J14485" s="788">
        <v>41894</v>
      </c>
      <c r="L14485" s="787">
        <v>0.24</v>
      </c>
      <c r="M14485" s="787">
        <v>20</v>
      </c>
      <c r="N14485" s="787">
        <v>0.26</v>
      </c>
      <c r="O14485" s="788">
        <v>41858</v>
      </c>
    </row>
    <row r="14486" spans="1:15" x14ac:dyDescent="0.25">
      <c r="A14486" s="786" t="s">
        <v>26214</v>
      </c>
      <c r="B14486" s="787">
        <v>4</v>
      </c>
      <c r="C14486" s="787" t="s">
        <v>26215</v>
      </c>
      <c r="D14486" s="787">
        <v>0.18</v>
      </c>
      <c r="E14486" s="787">
        <v>0.18</v>
      </c>
      <c r="F14486" s="788">
        <v>37641</v>
      </c>
      <c r="G14486" s="788">
        <v>38449</v>
      </c>
      <c r="H14486" s="787">
        <v>6</v>
      </c>
      <c r="I14486" s="788">
        <v>38448</v>
      </c>
      <c r="J14486" s="788">
        <v>38448</v>
      </c>
      <c r="K14486" s="788">
        <v>41865</v>
      </c>
      <c r="L14486" s="787">
        <v>0.82</v>
      </c>
      <c r="M14486" s="787">
        <v>20</v>
      </c>
      <c r="N14486" s="787">
        <v>0.22</v>
      </c>
      <c r="O14486" s="788">
        <v>41858</v>
      </c>
    </row>
    <row r="14487" spans="1:15" x14ac:dyDescent="0.25">
      <c r="A14487" s="786" t="s">
        <v>26216</v>
      </c>
      <c r="B14487" s="787">
        <v>4</v>
      </c>
      <c r="C14487" s="787" t="s">
        <v>26217</v>
      </c>
      <c r="D14487" s="787">
        <v>0</v>
      </c>
      <c r="E14487" s="787">
        <v>0</v>
      </c>
      <c r="G14487" s="788">
        <v>37861</v>
      </c>
      <c r="H14487" s="787">
        <v>1</v>
      </c>
      <c r="I14487" s="788">
        <v>37901</v>
      </c>
      <c r="J14487" s="788">
        <v>37861</v>
      </c>
      <c r="L14487" s="787">
        <v>0.52</v>
      </c>
      <c r="M14487" s="787">
        <v>20</v>
      </c>
      <c r="N14487" s="787">
        <v>0.56000000000000005</v>
      </c>
      <c r="O14487" s="788">
        <v>41858</v>
      </c>
    </row>
    <row r="14488" spans="1:15" x14ac:dyDescent="0.25">
      <c r="A14488" s="786" t="s">
        <v>26218</v>
      </c>
      <c r="B14488" s="787">
        <v>4</v>
      </c>
      <c r="C14488" s="787" t="s">
        <v>26219</v>
      </c>
      <c r="D14488" s="787">
        <v>0</v>
      </c>
      <c r="E14488" s="787">
        <v>0</v>
      </c>
      <c r="G14488" s="788">
        <v>37861</v>
      </c>
      <c r="H14488" s="787">
        <v>1</v>
      </c>
      <c r="I14488" s="788">
        <v>38707</v>
      </c>
      <c r="J14488" s="788">
        <v>37861</v>
      </c>
      <c r="L14488" s="787">
        <v>0.53</v>
      </c>
      <c r="M14488" s="787">
        <v>20</v>
      </c>
      <c r="N14488" s="787">
        <v>0.56999999999999995</v>
      </c>
      <c r="O14488" s="788">
        <v>41858</v>
      </c>
    </row>
    <row r="14489" spans="1:15" x14ac:dyDescent="0.25">
      <c r="A14489" s="786" t="s">
        <v>26220</v>
      </c>
      <c r="B14489" s="787">
        <v>4</v>
      </c>
      <c r="C14489" s="787" t="s">
        <v>26221</v>
      </c>
      <c r="D14489" s="787">
        <v>0.37</v>
      </c>
      <c r="E14489" s="787">
        <v>1.53</v>
      </c>
      <c r="F14489" s="788">
        <v>37928</v>
      </c>
      <c r="G14489" s="788">
        <v>41565</v>
      </c>
      <c r="H14489" s="787">
        <v>1</v>
      </c>
      <c r="I14489" s="788">
        <v>41094</v>
      </c>
      <c r="J14489" s="788">
        <v>40857</v>
      </c>
      <c r="K14489" s="788">
        <v>41865</v>
      </c>
      <c r="L14489" s="787">
        <v>0.37</v>
      </c>
      <c r="M14489" s="787">
        <v>20</v>
      </c>
      <c r="N14489" s="787">
        <v>0.4</v>
      </c>
      <c r="O14489" s="788">
        <v>42127</v>
      </c>
    </row>
    <row r="14490" spans="1:15" x14ac:dyDescent="0.25">
      <c r="A14490" s="786" t="s">
        <v>26222</v>
      </c>
      <c r="B14490" s="787">
        <v>4</v>
      </c>
      <c r="C14490" s="787" t="s">
        <v>26223</v>
      </c>
      <c r="D14490" s="787">
        <v>0.15</v>
      </c>
      <c r="E14490" s="787">
        <v>0.15</v>
      </c>
      <c r="F14490" s="788">
        <v>39799</v>
      </c>
      <c r="G14490" s="788">
        <v>41794</v>
      </c>
      <c r="H14490" s="787">
        <v>1</v>
      </c>
      <c r="I14490" s="788">
        <v>41709</v>
      </c>
      <c r="J14490" s="788">
        <v>41794</v>
      </c>
      <c r="L14490" s="787">
        <v>0.15</v>
      </c>
      <c r="M14490" s="787">
        <v>20</v>
      </c>
      <c r="N14490" s="787">
        <v>0.16</v>
      </c>
      <c r="O14490" s="788">
        <v>42046</v>
      </c>
    </row>
    <row r="14491" spans="1:15" x14ac:dyDescent="0.25">
      <c r="A14491" s="786" t="s">
        <v>26224</v>
      </c>
      <c r="B14491" s="787">
        <v>4</v>
      </c>
      <c r="C14491" s="787" t="s">
        <v>26225</v>
      </c>
      <c r="D14491" s="787">
        <v>0</v>
      </c>
      <c r="E14491" s="787">
        <v>0</v>
      </c>
      <c r="H14491" s="787">
        <v>1</v>
      </c>
      <c r="I14491" s="788">
        <v>42082</v>
      </c>
      <c r="K14491" s="788">
        <v>41025</v>
      </c>
      <c r="L14491" s="787">
        <v>0.1</v>
      </c>
      <c r="M14491" s="787">
        <v>20</v>
      </c>
      <c r="N14491" s="787">
        <v>0.11</v>
      </c>
      <c r="O14491" s="788">
        <v>42080</v>
      </c>
    </row>
    <row r="14492" spans="1:15" x14ac:dyDescent="0.25">
      <c r="A14492" s="786" t="s">
        <v>26226</v>
      </c>
      <c r="B14492" s="787">
        <v>4</v>
      </c>
      <c r="C14492" s="787" t="s">
        <v>26227</v>
      </c>
      <c r="D14492" s="787">
        <v>0.18</v>
      </c>
      <c r="E14492" s="787">
        <v>0.49</v>
      </c>
      <c r="F14492" s="788">
        <v>39799</v>
      </c>
      <c r="G14492" s="788">
        <v>42159</v>
      </c>
      <c r="H14492" s="787">
        <v>1</v>
      </c>
      <c r="I14492" s="788">
        <v>42153</v>
      </c>
      <c r="J14492" s="788">
        <v>42151</v>
      </c>
      <c r="K14492" s="788">
        <v>42066</v>
      </c>
      <c r="L14492" s="787">
        <v>0.49</v>
      </c>
      <c r="M14492" s="787">
        <v>20</v>
      </c>
      <c r="N14492" s="787">
        <v>0.53</v>
      </c>
      <c r="O14492" s="788">
        <v>42162</v>
      </c>
    </row>
    <row r="14493" spans="1:15" x14ac:dyDescent="0.25">
      <c r="A14493" s="786" t="s">
        <v>26228</v>
      </c>
      <c r="B14493" s="787">
        <v>4</v>
      </c>
      <c r="C14493" s="787" t="s">
        <v>26229</v>
      </c>
      <c r="D14493" s="787">
        <v>0.09</v>
      </c>
      <c r="E14493" s="787">
        <v>0.15</v>
      </c>
      <c r="F14493" s="788">
        <v>40122</v>
      </c>
      <c r="G14493" s="788">
        <v>42146</v>
      </c>
      <c r="H14493" s="787">
        <v>1</v>
      </c>
      <c r="I14493" s="788">
        <v>42165</v>
      </c>
      <c r="J14493" s="788">
        <v>42118</v>
      </c>
      <c r="K14493" s="788">
        <v>41710</v>
      </c>
      <c r="L14493" s="787">
        <v>0.15</v>
      </c>
      <c r="M14493" s="787">
        <v>20</v>
      </c>
      <c r="N14493" s="787">
        <v>0.16</v>
      </c>
      <c r="O14493" s="788">
        <v>41975</v>
      </c>
    </row>
    <row r="14494" spans="1:15" x14ac:dyDescent="0.25">
      <c r="A14494" s="786" t="s">
        <v>26230</v>
      </c>
      <c r="B14494" s="787">
        <v>4</v>
      </c>
      <c r="C14494" s="787" t="s">
        <v>26231</v>
      </c>
      <c r="D14494" s="787">
        <v>0.15</v>
      </c>
      <c r="E14494" s="787">
        <v>0.2</v>
      </c>
      <c r="F14494" s="788">
        <v>41071</v>
      </c>
      <c r="G14494" s="788">
        <v>42069</v>
      </c>
      <c r="H14494" s="787">
        <v>1</v>
      </c>
      <c r="I14494" s="788">
        <v>42111</v>
      </c>
      <c r="J14494" s="788">
        <v>42069</v>
      </c>
      <c r="K14494" s="788">
        <v>41710</v>
      </c>
      <c r="L14494" s="787">
        <v>0.28999999999999998</v>
      </c>
      <c r="M14494" s="787">
        <v>20</v>
      </c>
      <c r="N14494" s="787">
        <v>0.31</v>
      </c>
      <c r="O14494" s="788">
        <v>41977</v>
      </c>
    </row>
    <row r="14495" spans="1:15" x14ac:dyDescent="0.25">
      <c r="A14495" s="786" t="s">
        <v>26232</v>
      </c>
      <c r="B14495" s="787">
        <v>4</v>
      </c>
      <c r="C14495" s="787" t="s">
        <v>26233</v>
      </c>
      <c r="D14495" s="787">
        <v>1.21</v>
      </c>
      <c r="E14495" s="787">
        <v>1.26</v>
      </c>
      <c r="F14495" s="788">
        <v>41745</v>
      </c>
      <c r="G14495" s="788">
        <v>42146</v>
      </c>
      <c r="H14495" s="787">
        <v>1</v>
      </c>
      <c r="I14495" s="788">
        <v>42130</v>
      </c>
      <c r="J14495" s="788">
        <v>42124</v>
      </c>
      <c r="K14495" s="788">
        <v>41863</v>
      </c>
      <c r="L14495" s="787">
        <v>1.21</v>
      </c>
      <c r="M14495" s="787">
        <v>20</v>
      </c>
      <c r="N14495" s="787">
        <v>1.23</v>
      </c>
      <c r="O14495" s="788">
        <v>41858</v>
      </c>
    </row>
    <row r="14496" spans="1:15" x14ac:dyDescent="0.25">
      <c r="A14496" s="786" t="s">
        <v>26234</v>
      </c>
      <c r="B14496" s="787">
        <v>4</v>
      </c>
      <c r="C14496" s="787" t="s">
        <v>26235</v>
      </c>
      <c r="D14496" s="787">
        <v>1.48</v>
      </c>
      <c r="E14496" s="787">
        <v>1.89</v>
      </c>
      <c r="F14496" s="788">
        <v>39101</v>
      </c>
      <c r="G14496" s="788">
        <v>42158</v>
      </c>
      <c r="H14496" s="787">
        <v>1</v>
      </c>
      <c r="I14496" s="788">
        <v>42150</v>
      </c>
      <c r="J14496" s="788">
        <v>42158</v>
      </c>
      <c r="K14496" s="788">
        <v>40960</v>
      </c>
      <c r="L14496" s="787">
        <v>1.73</v>
      </c>
      <c r="M14496" s="787">
        <v>20</v>
      </c>
      <c r="N14496" s="787">
        <v>1.86</v>
      </c>
      <c r="O14496" s="788">
        <v>42164</v>
      </c>
    </row>
    <row r="14497" spans="1:15" x14ac:dyDescent="0.25">
      <c r="A14497" s="786" t="s">
        <v>26236</v>
      </c>
      <c r="B14497" s="787">
        <v>4</v>
      </c>
      <c r="C14497" s="787" t="s">
        <v>26237</v>
      </c>
      <c r="D14497" s="787">
        <v>0.76</v>
      </c>
      <c r="E14497" s="787">
        <v>0.76</v>
      </c>
      <c r="F14497" s="788">
        <v>39101</v>
      </c>
      <c r="G14497" s="788">
        <v>39101</v>
      </c>
      <c r="H14497" s="787">
        <v>1</v>
      </c>
      <c r="I14497" s="788">
        <v>39134</v>
      </c>
      <c r="J14497" s="788">
        <v>39149</v>
      </c>
      <c r="L14497" s="787">
        <v>0.83</v>
      </c>
      <c r="M14497" s="787">
        <v>20</v>
      </c>
      <c r="N14497" s="787">
        <v>0.89</v>
      </c>
      <c r="O14497" s="788">
        <v>41858</v>
      </c>
    </row>
    <row r="14498" spans="1:15" x14ac:dyDescent="0.25">
      <c r="A14498" s="786" t="s">
        <v>26238</v>
      </c>
      <c r="B14498" s="787">
        <v>4</v>
      </c>
      <c r="C14498" s="787" t="s">
        <v>26239</v>
      </c>
      <c r="D14498" s="787">
        <v>0.46</v>
      </c>
      <c r="E14498" s="787">
        <v>0.46</v>
      </c>
      <c r="F14498" s="788">
        <v>39101</v>
      </c>
      <c r="G14498" s="788">
        <v>39101</v>
      </c>
      <c r="H14498" s="787">
        <v>1</v>
      </c>
      <c r="I14498" s="788">
        <v>40030</v>
      </c>
      <c r="J14498" s="788">
        <v>39149</v>
      </c>
      <c r="L14498" s="787">
        <v>0.5</v>
      </c>
      <c r="M14498" s="787">
        <v>20</v>
      </c>
      <c r="N14498" s="787">
        <v>0.54</v>
      </c>
      <c r="O14498" s="788">
        <v>41858</v>
      </c>
    </row>
    <row r="14499" spans="1:15" x14ac:dyDescent="0.25">
      <c r="A14499" s="786" t="s">
        <v>26240</v>
      </c>
      <c r="B14499" s="787">
        <v>4</v>
      </c>
      <c r="C14499" s="787" t="s">
        <v>26241</v>
      </c>
      <c r="D14499" s="787">
        <v>0</v>
      </c>
      <c r="E14499" s="787">
        <v>0</v>
      </c>
      <c r="H14499" s="787">
        <v>1</v>
      </c>
      <c r="L14499" s="787">
        <v>8.2799999999999994</v>
      </c>
      <c r="M14499" s="787">
        <v>20</v>
      </c>
      <c r="N14499" s="787">
        <v>8.9</v>
      </c>
      <c r="O14499" s="788">
        <v>42164</v>
      </c>
    </row>
    <row r="14500" spans="1:15" x14ac:dyDescent="0.25">
      <c r="A14500" s="786" t="s">
        <v>26242</v>
      </c>
      <c r="B14500" s="787">
        <v>4</v>
      </c>
      <c r="C14500" s="787" t="s">
        <v>26243</v>
      </c>
      <c r="D14500" s="787">
        <v>1.38</v>
      </c>
      <c r="E14500" s="787">
        <v>1.46</v>
      </c>
      <c r="F14500" s="788">
        <v>41603</v>
      </c>
      <c r="G14500" s="788">
        <v>42146</v>
      </c>
      <c r="H14500" s="787">
        <v>1</v>
      </c>
      <c r="I14500" s="788">
        <v>42130</v>
      </c>
      <c r="J14500" s="788">
        <v>42124</v>
      </c>
      <c r="K14500" s="788">
        <v>41863</v>
      </c>
      <c r="L14500" s="787">
        <v>1.4</v>
      </c>
      <c r="M14500" s="787">
        <v>20</v>
      </c>
      <c r="N14500" s="787">
        <v>1.42</v>
      </c>
      <c r="O14500" s="788">
        <v>41858</v>
      </c>
    </row>
    <row r="14501" spans="1:15" x14ac:dyDescent="0.25">
      <c r="A14501" s="786" t="s">
        <v>26244</v>
      </c>
      <c r="B14501" s="787">
        <v>4</v>
      </c>
      <c r="C14501" s="787" t="s">
        <v>26245</v>
      </c>
      <c r="D14501" s="787">
        <v>1.1200000000000001</v>
      </c>
      <c r="E14501" s="787">
        <v>1.1200000000000001</v>
      </c>
      <c r="F14501" s="788">
        <v>39101</v>
      </c>
      <c r="G14501" s="788">
        <v>39101</v>
      </c>
      <c r="H14501" s="787">
        <v>1</v>
      </c>
      <c r="I14501" s="788">
        <v>38749</v>
      </c>
      <c r="J14501" s="788">
        <v>39101</v>
      </c>
      <c r="L14501" s="787">
        <v>1.22</v>
      </c>
      <c r="M14501" s="787">
        <v>20</v>
      </c>
      <c r="N14501" s="787">
        <v>1.31</v>
      </c>
      <c r="O14501" s="788">
        <v>41858</v>
      </c>
    </row>
    <row r="14502" spans="1:15" x14ac:dyDescent="0.25">
      <c r="A14502" s="786" t="s">
        <v>26246</v>
      </c>
      <c r="B14502" s="787">
        <v>4</v>
      </c>
      <c r="C14502" s="787" t="s">
        <v>26247</v>
      </c>
      <c r="D14502" s="787">
        <v>1.21</v>
      </c>
      <c r="E14502" s="787">
        <v>1.22</v>
      </c>
      <c r="F14502" s="788">
        <v>39188</v>
      </c>
      <c r="G14502" s="788">
        <v>40553</v>
      </c>
      <c r="H14502" s="787">
        <v>1</v>
      </c>
      <c r="I14502" s="788">
        <v>40513</v>
      </c>
      <c r="J14502" s="788">
        <v>39188</v>
      </c>
      <c r="K14502" s="788">
        <v>41869</v>
      </c>
      <c r="L14502" s="787">
        <v>1.22</v>
      </c>
      <c r="M14502" s="787">
        <v>20</v>
      </c>
      <c r="N14502" s="787">
        <v>2.52</v>
      </c>
      <c r="O14502" s="788">
        <v>41858</v>
      </c>
    </row>
    <row r="14503" spans="1:15" x14ac:dyDescent="0.25">
      <c r="A14503" s="786" t="s">
        <v>26248</v>
      </c>
      <c r="B14503" s="787">
        <v>4</v>
      </c>
      <c r="C14503" s="787" t="s">
        <v>26249</v>
      </c>
      <c r="D14503" s="787">
        <v>2.52</v>
      </c>
      <c r="E14503" s="787">
        <v>2.52</v>
      </c>
      <c r="F14503" s="788">
        <v>42002</v>
      </c>
      <c r="G14503" s="788">
        <v>41992</v>
      </c>
      <c r="H14503" s="787">
        <v>1</v>
      </c>
      <c r="J14503" s="788">
        <v>41992</v>
      </c>
      <c r="K14503" s="788">
        <v>41991</v>
      </c>
      <c r="L14503" s="787">
        <v>2.52</v>
      </c>
      <c r="M14503" s="787">
        <v>20</v>
      </c>
      <c r="N14503" s="787">
        <v>2.71</v>
      </c>
      <c r="O14503" s="788">
        <v>41991</v>
      </c>
    </row>
    <row r="14504" spans="1:15" x14ac:dyDescent="0.25">
      <c r="A14504" s="786" t="s">
        <v>26250</v>
      </c>
      <c r="B14504" s="787">
        <v>4</v>
      </c>
      <c r="C14504" s="787" t="s">
        <v>26251</v>
      </c>
      <c r="D14504" s="787">
        <v>0.26</v>
      </c>
      <c r="E14504" s="787">
        <v>0.26</v>
      </c>
      <c r="F14504" s="788">
        <v>39071</v>
      </c>
      <c r="G14504" s="788">
        <v>39071</v>
      </c>
      <c r="H14504" s="787">
        <v>1</v>
      </c>
      <c r="I14504" s="788">
        <v>39134</v>
      </c>
      <c r="J14504" s="788">
        <v>39071</v>
      </c>
      <c r="L14504" s="787">
        <v>0.36</v>
      </c>
      <c r="M14504" s="787">
        <v>20</v>
      </c>
      <c r="N14504" s="787">
        <v>0.39</v>
      </c>
      <c r="O14504" s="788">
        <v>41858</v>
      </c>
    </row>
    <row r="14505" spans="1:15" x14ac:dyDescent="0.25">
      <c r="A14505" s="786" t="s">
        <v>26252</v>
      </c>
      <c r="B14505" s="787">
        <v>4</v>
      </c>
      <c r="C14505" s="787" t="s">
        <v>26253</v>
      </c>
      <c r="D14505" s="787">
        <v>3.25</v>
      </c>
      <c r="E14505" s="787">
        <v>4.05</v>
      </c>
      <c r="F14505" s="788">
        <v>37641</v>
      </c>
      <c r="G14505" s="788">
        <v>38364</v>
      </c>
      <c r="H14505" s="787">
        <v>1</v>
      </c>
      <c r="I14505" s="788">
        <v>38432</v>
      </c>
      <c r="J14505" s="788">
        <v>38294</v>
      </c>
      <c r="L14505" s="787">
        <v>4.41</v>
      </c>
      <c r="M14505" s="787">
        <v>20</v>
      </c>
      <c r="N14505" s="787">
        <v>4.74</v>
      </c>
      <c r="O14505" s="788">
        <v>41858</v>
      </c>
    </row>
    <row r="14506" spans="1:15" x14ac:dyDescent="0.25">
      <c r="A14506" s="786" t="s">
        <v>26254</v>
      </c>
      <c r="B14506" s="787">
        <v>4</v>
      </c>
      <c r="C14506" s="787" t="s">
        <v>26255</v>
      </c>
      <c r="D14506" s="787">
        <v>1.21</v>
      </c>
      <c r="E14506" s="787">
        <v>1.21</v>
      </c>
      <c r="F14506" s="788">
        <v>37641</v>
      </c>
      <c r="G14506" s="788">
        <v>38736</v>
      </c>
      <c r="H14506" s="787">
        <v>6</v>
      </c>
      <c r="I14506" s="788">
        <v>39134</v>
      </c>
      <c r="J14506" s="788">
        <v>37641</v>
      </c>
      <c r="K14506" s="788">
        <v>41865</v>
      </c>
      <c r="L14506" s="787">
        <v>4.5</v>
      </c>
      <c r="M14506" s="787">
        <v>20</v>
      </c>
      <c r="N14506" s="787">
        <v>1.42</v>
      </c>
      <c r="O14506" s="788">
        <v>41858</v>
      </c>
    </row>
    <row r="14507" spans="1:15" x14ac:dyDescent="0.25">
      <c r="A14507" s="786" t="s">
        <v>26256</v>
      </c>
      <c r="B14507" s="787">
        <v>4</v>
      </c>
      <c r="C14507" s="787" t="s">
        <v>26257</v>
      </c>
      <c r="D14507" s="787">
        <v>1.19</v>
      </c>
      <c r="E14507" s="787">
        <v>1.19</v>
      </c>
      <c r="F14507" s="788">
        <v>37641</v>
      </c>
      <c r="G14507" s="788">
        <v>38736</v>
      </c>
      <c r="H14507" s="787">
        <v>1</v>
      </c>
      <c r="I14507" s="788">
        <v>39134</v>
      </c>
      <c r="J14507" s="788">
        <v>37641</v>
      </c>
      <c r="L14507" s="787">
        <v>1.3</v>
      </c>
      <c r="M14507" s="787">
        <v>20</v>
      </c>
      <c r="N14507" s="787">
        <v>1.4</v>
      </c>
      <c r="O14507" s="788">
        <v>41858</v>
      </c>
    </row>
    <row r="14508" spans="1:15" x14ac:dyDescent="0.25">
      <c r="A14508" s="786" t="s">
        <v>26258</v>
      </c>
      <c r="B14508" s="787">
        <v>4</v>
      </c>
      <c r="C14508" s="787" t="s">
        <v>26259</v>
      </c>
      <c r="D14508" s="787">
        <v>2.63</v>
      </c>
      <c r="E14508" s="787">
        <v>2.63</v>
      </c>
      <c r="F14508" s="788">
        <v>41953</v>
      </c>
      <c r="G14508" s="788">
        <v>42013</v>
      </c>
      <c r="H14508" s="787">
        <v>1</v>
      </c>
      <c r="I14508" s="788">
        <v>42157</v>
      </c>
      <c r="J14508" s="788">
        <v>41950</v>
      </c>
      <c r="K14508" s="788">
        <v>41869</v>
      </c>
      <c r="L14508" s="787">
        <v>4.8600000000000003</v>
      </c>
      <c r="M14508" s="787">
        <v>20</v>
      </c>
      <c r="N14508" s="787">
        <v>5.22</v>
      </c>
      <c r="O14508" s="788">
        <v>42146</v>
      </c>
    </row>
    <row r="14509" spans="1:15" x14ac:dyDescent="0.25">
      <c r="A14509" s="786" t="s">
        <v>26260</v>
      </c>
      <c r="B14509" s="787">
        <v>4</v>
      </c>
      <c r="C14509" s="787" t="s">
        <v>26261</v>
      </c>
      <c r="D14509" s="787">
        <v>2.77</v>
      </c>
      <c r="E14509" s="787">
        <v>3.63</v>
      </c>
      <c r="F14509" s="788">
        <v>39101</v>
      </c>
      <c r="G14509" s="788">
        <v>41950</v>
      </c>
      <c r="H14509" s="787">
        <v>1</v>
      </c>
      <c r="I14509" s="788">
        <v>42157</v>
      </c>
      <c r="J14509" s="788">
        <v>41950</v>
      </c>
      <c r="K14509" s="788">
        <v>41261</v>
      </c>
      <c r="L14509" s="787">
        <v>3.63</v>
      </c>
      <c r="M14509" s="787">
        <v>20</v>
      </c>
      <c r="N14509" s="787">
        <v>3.9</v>
      </c>
      <c r="O14509" s="788">
        <v>42146</v>
      </c>
    </row>
    <row r="14510" spans="1:15" x14ac:dyDescent="0.25">
      <c r="A14510" s="786" t="s">
        <v>26262</v>
      </c>
      <c r="B14510" s="787">
        <v>4</v>
      </c>
      <c r="C14510" s="787" t="s">
        <v>26263</v>
      </c>
      <c r="D14510" s="787">
        <v>0.76</v>
      </c>
      <c r="E14510" s="787">
        <v>0.09</v>
      </c>
      <c r="F14510" s="788">
        <v>39101</v>
      </c>
      <c r="G14510" s="788">
        <v>41892</v>
      </c>
      <c r="H14510" s="787">
        <v>1</v>
      </c>
      <c r="I14510" s="788">
        <v>41892</v>
      </c>
      <c r="J14510" s="788">
        <v>41892</v>
      </c>
      <c r="K14510" s="788">
        <v>41869</v>
      </c>
      <c r="L14510" s="787">
        <v>0.09</v>
      </c>
      <c r="M14510" s="787">
        <v>20</v>
      </c>
      <c r="N14510" s="787">
        <v>0.89</v>
      </c>
      <c r="O14510" s="788">
        <v>41858</v>
      </c>
    </row>
    <row r="14511" spans="1:15" x14ac:dyDescent="0.25">
      <c r="A14511" s="786" t="s">
        <v>26264</v>
      </c>
      <c r="B14511" s="787">
        <v>4</v>
      </c>
      <c r="C14511" s="787" t="s">
        <v>26265</v>
      </c>
      <c r="D14511" s="787">
        <v>0.67</v>
      </c>
      <c r="E14511" s="787">
        <v>1.24</v>
      </c>
      <c r="F14511" s="788">
        <v>40785</v>
      </c>
      <c r="G14511" s="788">
        <v>41255</v>
      </c>
      <c r="H14511" s="787">
        <v>5</v>
      </c>
      <c r="I14511" s="788">
        <v>41179</v>
      </c>
      <c r="J14511" s="788">
        <v>41187</v>
      </c>
      <c r="L14511" s="787">
        <v>1.06</v>
      </c>
      <c r="M14511" s="787">
        <v>20</v>
      </c>
      <c r="N14511" s="787">
        <v>1.1399999999999999</v>
      </c>
      <c r="O14511" s="788">
        <v>42162</v>
      </c>
    </row>
    <row r="14512" spans="1:15" x14ac:dyDescent="0.25">
      <c r="A14512" s="786" t="s">
        <v>26266</v>
      </c>
      <c r="B14512" s="787">
        <v>4</v>
      </c>
      <c r="C14512" s="787" t="s">
        <v>26267</v>
      </c>
      <c r="D14512" s="787">
        <v>0.41</v>
      </c>
      <c r="E14512" s="787">
        <v>0.49</v>
      </c>
      <c r="F14512" s="788">
        <v>39101</v>
      </c>
      <c r="G14512" s="788">
        <v>41299</v>
      </c>
      <c r="H14512" s="787">
        <v>5</v>
      </c>
      <c r="I14512" s="788">
        <v>41344</v>
      </c>
      <c r="J14512" s="788">
        <v>41248</v>
      </c>
      <c r="L14512" s="787">
        <v>0.52</v>
      </c>
      <c r="M14512" s="787">
        <v>20</v>
      </c>
      <c r="N14512" s="787">
        <v>0.56000000000000005</v>
      </c>
      <c r="O14512" s="788">
        <v>41858</v>
      </c>
    </row>
    <row r="14513" spans="1:15" x14ac:dyDescent="0.25">
      <c r="A14513" s="786" t="s">
        <v>26268</v>
      </c>
      <c r="B14513" s="787">
        <v>4</v>
      </c>
      <c r="C14513" s="787" t="s">
        <v>26269</v>
      </c>
      <c r="D14513" s="787">
        <v>1.59</v>
      </c>
      <c r="E14513" s="787">
        <v>1.71</v>
      </c>
      <c r="F14513" s="788">
        <v>39101</v>
      </c>
      <c r="G14513" s="788">
        <v>41211</v>
      </c>
      <c r="H14513" s="787">
        <v>1</v>
      </c>
      <c r="I14513" s="788">
        <v>41799</v>
      </c>
      <c r="J14513" s="788">
        <v>41857</v>
      </c>
      <c r="L14513" s="787">
        <v>1.36</v>
      </c>
      <c r="M14513" s="787">
        <v>20</v>
      </c>
      <c r="N14513" s="787">
        <v>1.46</v>
      </c>
      <c r="O14513" s="788">
        <v>41858</v>
      </c>
    </row>
    <row r="14514" spans="1:15" x14ac:dyDescent="0.25">
      <c r="A14514" s="786" t="s">
        <v>26270</v>
      </c>
      <c r="B14514" s="787">
        <v>4</v>
      </c>
      <c r="C14514" s="787" t="s">
        <v>26271</v>
      </c>
      <c r="D14514" s="787">
        <v>1.35</v>
      </c>
      <c r="E14514" s="787">
        <v>1.35</v>
      </c>
      <c r="F14514" s="788">
        <v>41161</v>
      </c>
      <c r="G14514" s="788">
        <v>42013</v>
      </c>
      <c r="H14514" s="787">
        <v>1</v>
      </c>
      <c r="I14514" s="788">
        <v>42030</v>
      </c>
      <c r="J14514" s="788">
        <v>41857</v>
      </c>
      <c r="L14514" s="787">
        <v>1.92</v>
      </c>
      <c r="M14514" s="787">
        <v>20</v>
      </c>
      <c r="N14514" s="787">
        <v>2.06</v>
      </c>
      <c r="O14514" s="788">
        <v>42065</v>
      </c>
    </row>
    <row r="14515" spans="1:15" x14ac:dyDescent="0.25">
      <c r="A14515" s="786" t="s">
        <v>26272</v>
      </c>
      <c r="B14515" s="787">
        <v>4</v>
      </c>
      <c r="C14515" s="787" t="s">
        <v>26273</v>
      </c>
      <c r="D14515" s="787">
        <v>4.12</v>
      </c>
      <c r="E14515" s="787">
        <v>4.12</v>
      </c>
      <c r="F14515" s="788">
        <v>37641</v>
      </c>
      <c r="G14515" s="788">
        <v>37641</v>
      </c>
      <c r="H14515" s="787">
        <v>1</v>
      </c>
      <c r="I14515" s="788">
        <v>37844</v>
      </c>
      <c r="J14515" s="788">
        <v>37641</v>
      </c>
      <c r="L14515" s="787">
        <v>4.49</v>
      </c>
      <c r="M14515" s="787">
        <v>20</v>
      </c>
      <c r="N14515" s="787">
        <v>4.83</v>
      </c>
      <c r="O14515" s="788">
        <v>41858</v>
      </c>
    </row>
    <row r="14516" spans="1:15" x14ac:dyDescent="0.25">
      <c r="A14516" s="786" t="s">
        <v>26274</v>
      </c>
      <c r="B14516" s="787">
        <v>4</v>
      </c>
      <c r="C14516" s="787" t="s">
        <v>26275</v>
      </c>
      <c r="D14516" s="787">
        <v>4.96</v>
      </c>
      <c r="E14516" s="787">
        <v>8.64</v>
      </c>
      <c r="F14516" s="788">
        <v>39101</v>
      </c>
      <c r="G14516" s="788">
        <v>40955</v>
      </c>
      <c r="H14516" s="787">
        <v>1</v>
      </c>
      <c r="I14516" s="788">
        <v>40868</v>
      </c>
      <c r="J14516" s="788">
        <v>40949</v>
      </c>
      <c r="L14516" s="787">
        <v>5.41</v>
      </c>
      <c r="M14516" s="787">
        <v>20</v>
      </c>
      <c r="N14516" s="787">
        <v>5.82</v>
      </c>
      <c r="O14516" s="788">
        <v>41858</v>
      </c>
    </row>
    <row r="14517" spans="1:15" x14ac:dyDescent="0.25">
      <c r="A14517" s="786" t="s">
        <v>26276</v>
      </c>
      <c r="B14517" s="787">
        <v>4</v>
      </c>
      <c r="C14517" s="787" t="s">
        <v>26277</v>
      </c>
      <c r="D14517" s="787">
        <v>4.16</v>
      </c>
      <c r="E14517" s="787">
        <v>2.15</v>
      </c>
      <c r="F14517" s="788">
        <v>37641</v>
      </c>
      <c r="G14517" s="788">
        <v>37641</v>
      </c>
      <c r="H14517" s="787">
        <v>1</v>
      </c>
      <c r="J14517" s="788">
        <v>37641</v>
      </c>
      <c r="L14517" s="787">
        <v>2.34</v>
      </c>
      <c r="M14517" s="787">
        <v>20</v>
      </c>
      <c r="N14517" s="787">
        <v>2.52</v>
      </c>
      <c r="O14517" s="788">
        <v>41858</v>
      </c>
    </row>
    <row r="14518" spans="1:15" x14ac:dyDescent="0.25">
      <c r="A14518" s="786" t="s">
        <v>26278</v>
      </c>
      <c r="B14518" s="787">
        <v>4</v>
      </c>
      <c r="C14518" s="787" t="s">
        <v>26279</v>
      </c>
      <c r="D14518" s="787">
        <v>2.5499999999999998</v>
      </c>
      <c r="E14518" s="787">
        <v>7.73</v>
      </c>
      <c r="F14518" s="788">
        <v>39101</v>
      </c>
      <c r="G14518" s="788">
        <v>42146</v>
      </c>
      <c r="H14518" s="787">
        <v>1</v>
      </c>
      <c r="I14518" s="788">
        <v>42130</v>
      </c>
      <c r="J14518" s="788">
        <v>42124</v>
      </c>
      <c r="K14518" s="788">
        <v>41863</v>
      </c>
      <c r="L14518" s="787">
        <v>7.73</v>
      </c>
      <c r="M14518" s="787">
        <v>20</v>
      </c>
      <c r="N14518" s="787">
        <v>8.31</v>
      </c>
      <c r="O14518" s="788">
        <v>42164</v>
      </c>
    </row>
    <row r="14519" spans="1:15" x14ac:dyDescent="0.25">
      <c r="A14519" s="786" t="s">
        <v>26280</v>
      </c>
      <c r="B14519" s="787">
        <v>4</v>
      </c>
      <c r="C14519" s="787" t="s">
        <v>26281</v>
      </c>
      <c r="D14519" s="787">
        <v>1.43</v>
      </c>
      <c r="E14519" s="787">
        <v>1.68</v>
      </c>
      <c r="F14519" s="788">
        <v>39232</v>
      </c>
      <c r="G14519" s="788">
        <v>42159</v>
      </c>
      <c r="H14519" s="787">
        <v>1</v>
      </c>
      <c r="I14519" s="788">
        <v>42163</v>
      </c>
      <c r="J14519" s="788">
        <v>42151</v>
      </c>
      <c r="K14519" s="788">
        <v>41372</v>
      </c>
      <c r="L14519" s="787">
        <v>1.67</v>
      </c>
      <c r="M14519" s="787">
        <v>20</v>
      </c>
      <c r="N14519" s="787">
        <v>1.8</v>
      </c>
      <c r="O14519" s="788">
        <v>42163</v>
      </c>
    </row>
    <row r="14520" spans="1:15" x14ac:dyDescent="0.25">
      <c r="A14520" s="786" t="s">
        <v>26282</v>
      </c>
      <c r="B14520" s="787">
        <v>4</v>
      </c>
      <c r="C14520" s="787" t="s">
        <v>26283</v>
      </c>
      <c r="D14520" s="787">
        <v>2.31</v>
      </c>
      <c r="E14520" s="787">
        <v>2.31</v>
      </c>
      <c r="F14520" s="788">
        <v>37641</v>
      </c>
      <c r="G14520" s="788">
        <v>37641</v>
      </c>
      <c r="H14520" s="787">
        <v>1</v>
      </c>
      <c r="I14520" s="788">
        <v>37454</v>
      </c>
      <c r="J14520" s="788">
        <v>37641</v>
      </c>
      <c r="L14520" s="787">
        <v>2.52</v>
      </c>
      <c r="M14520" s="787">
        <v>20</v>
      </c>
      <c r="N14520" s="787">
        <v>2.71</v>
      </c>
      <c r="O14520" s="788">
        <v>41858</v>
      </c>
    </row>
    <row r="14521" spans="1:15" x14ac:dyDescent="0.25">
      <c r="A14521" s="786" t="s">
        <v>26284</v>
      </c>
      <c r="B14521" s="787">
        <v>4</v>
      </c>
      <c r="C14521" s="787" t="s">
        <v>26285</v>
      </c>
      <c r="D14521" s="787">
        <v>0</v>
      </c>
      <c r="E14521" s="787">
        <v>0.33</v>
      </c>
      <c r="H14521" s="787">
        <v>1</v>
      </c>
      <c r="I14521" s="788">
        <v>39226</v>
      </c>
      <c r="J14521" s="788">
        <v>39101</v>
      </c>
      <c r="L14521" s="787">
        <v>0.36</v>
      </c>
      <c r="M14521" s="787">
        <v>20</v>
      </c>
      <c r="N14521" s="787">
        <v>0.39</v>
      </c>
      <c r="O14521" s="788">
        <v>41858</v>
      </c>
    </row>
    <row r="14522" spans="1:15" x14ac:dyDescent="0.25">
      <c r="A14522" s="786" t="s">
        <v>26286</v>
      </c>
      <c r="B14522" s="787">
        <v>4</v>
      </c>
      <c r="C14522" s="787" t="s">
        <v>26287</v>
      </c>
      <c r="D14522" s="787">
        <v>0.11</v>
      </c>
      <c r="E14522" s="787">
        <v>1.01</v>
      </c>
      <c r="F14522" s="788">
        <v>39800</v>
      </c>
      <c r="G14522" s="788">
        <v>40178</v>
      </c>
      <c r="H14522" s="787">
        <v>5</v>
      </c>
      <c r="I14522" s="788">
        <v>40752</v>
      </c>
      <c r="J14522" s="788">
        <v>39864</v>
      </c>
      <c r="K14522" s="788">
        <v>41865</v>
      </c>
      <c r="L14522" s="787">
        <v>1</v>
      </c>
      <c r="M14522" s="787">
        <v>20</v>
      </c>
      <c r="N14522" s="787">
        <v>1.08</v>
      </c>
      <c r="O14522" s="788">
        <v>41865</v>
      </c>
    </row>
    <row r="14523" spans="1:15" x14ac:dyDescent="0.25">
      <c r="A14523" s="786" t="s">
        <v>26288</v>
      </c>
      <c r="B14523" s="787">
        <v>4</v>
      </c>
      <c r="C14523" s="787" t="s">
        <v>26289</v>
      </c>
      <c r="D14523" s="787">
        <v>1.3</v>
      </c>
      <c r="E14523" s="787">
        <v>1.3</v>
      </c>
      <c r="F14523" s="788">
        <v>38849</v>
      </c>
      <c r="G14523" s="788">
        <v>38849</v>
      </c>
      <c r="H14523" s="787">
        <v>1</v>
      </c>
      <c r="I14523" s="788">
        <v>39134</v>
      </c>
      <c r="J14523" s="788">
        <v>38846</v>
      </c>
      <c r="L14523" s="787">
        <v>1.3</v>
      </c>
      <c r="M14523" s="787">
        <v>20</v>
      </c>
      <c r="N14523" s="787">
        <v>1.4</v>
      </c>
      <c r="O14523" s="788">
        <v>41858</v>
      </c>
    </row>
    <row r="14524" spans="1:15" x14ac:dyDescent="0.25">
      <c r="A14524" s="786" t="s">
        <v>26290</v>
      </c>
      <c r="B14524" s="787">
        <v>4</v>
      </c>
      <c r="C14524" s="787" t="s">
        <v>26291</v>
      </c>
      <c r="D14524" s="787">
        <v>4.17</v>
      </c>
      <c r="E14524" s="787">
        <v>4.17</v>
      </c>
      <c r="F14524" s="788">
        <v>37641</v>
      </c>
      <c r="G14524" s="788">
        <v>37641</v>
      </c>
      <c r="H14524" s="787">
        <v>1</v>
      </c>
      <c r="I14524" s="788">
        <v>40539</v>
      </c>
      <c r="J14524" s="788">
        <v>37641</v>
      </c>
      <c r="L14524" s="787">
        <v>4.55</v>
      </c>
      <c r="M14524" s="787">
        <v>20</v>
      </c>
      <c r="N14524" s="787">
        <v>4.8899999999999997</v>
      </c>
      <c r="O14524" s="788">
        <v>41858</v>
      </c>
    </row>
    <row r="14525" spans="1:15" x14ac:dyDescent="0.25">
      <c r="A14525" s="786" t="s">
        <v>26292</v>
      </c>
      <c r="B14525" s="787">
        <v>4</v>
      </c>
      <c r="C14525" s="787" t="s">
        <v>26293</v>
      </c>
      <c r="D14525" s="787">
        <v>0.3</v>
      </c>
      <c r="E14525" s="787">
        <v>0.34</v>
      </c>
      <c r="F14525" s="788">
        <v>40511</v>
      </c>
      <c r="G14525" s="788">
        <v>41565</v>
      </c>
      <c r="H14525" s="787">
        <v>5</v>
      </c>
      <c r="I14525" s="788">
        <v>41389</v>
      </c>
      <c r="J14525" s="788">
        <v>41263</v>
      </c>
      <c r="L14525" s="787">
        <v>0.48</v>
      </c>
      <c r="M14525" s="787">
        <v>20</v>
      </c>
      <c r="N14525" s="787">
        <v>0.52</v>
      </c>
      <c r="O14525" s="788">
        <v>41858</v>
      </c>
    </row>
    <row r="14526" spans="1:15" x14ac:dyDescent="0.25">
      <c r="A14526" s="786" t="s">
        <v>26294</v>
      </c>
      <c r="B14526" s="787">
        <v>4</v>
      </c>
      <c r="C14526" s="787" t="s">
        <v>26295</v>
      </c>
      <c r="D14526" s="787">
        <v>6.92</v>
      </c>
      <c r="E14526" s="787">
        <v>6.92</v>
      </c>
      <c r="F14526" s="788">
        <v>40940</v>
      </c>
      <c r="G14526" s="788">
        <v>41880</v>
      </c>
      <c r="H14526" s="787">
        <v>1</v>
      </c>
      <c r="I14526" s="788">
        <v>42034</v>
      </c>
      <c r="J14526" s="788">
        <v>41880</v>
      </c>
      <c r="K14526" s="788">
        <v>40912</v>
      </c>
      <c r="L14526" s="787">
        <v>3.46</v>
      </c>
      <c r="M14526" s="787">
        <v>20</v>
      </c>
      <c r="N14526" s="787">
        <v>3.72</v>
      </c>
      <c r="O14526" s="788">
        <v>41858</v>
      </c>
    </row>
    <row r="14527" spans="1:15" x14ac:dyDescent="0.25">
      <c r="A14527" s="786" t="s">
        <v>26296</v>
      </c>
      <c r="B14527" s="787">
        <v>4</v>
      </c>
      <c r="C14527" s="787" t="s">
        <v>26297</v>
      </c>
      <c r="D14527" s="787">
        <v>0.69</v>
      </c>
      <c r="E14527" s="787">
        <v>0.69</v>
      </c>
      <c r="F14527" s="788">
        <v>37641</v>
      </c>
      <c r="G14527" s="788">
        <v>37641</v>
      </c>
      <c r="H14527" s="787">
        <v>1</v>
      </c>
      <c r="I14527" s="788">
        <v>37928</v>
      </c>
      <c r="J14527" s="788">
        <v>37641</v>
      </c>
      <c r="L14527" s="787">
        <v>0.75</v>
      </c>
      <c r="M14527" s="787">
        <v>20</v>
      </c>
      <c r="N14527" s="787">
        <v>0.81</v>
      </c>
      <c r="O14527" s="788">
        <v>41858</v>
      </c>
    </row>
    <row r="14528" spans="1:15" x14ac:dyDescent="0.25">
      <c r="A14528" s="786" t="s">
        <v>26298</v>
      </c>
      <c r="B14528" s="787">
        <v>4</v>
      </c>
      <c r="C14528" s="787" t="s">
        <v>26299</v>
      </c>
      <c r="D14528" s="787">
        <v>4.3499999999999996</v>
      </c>
      <c r="E14528" s="787">
        <v>4.3499999999999996</v>
      </c>
      <c r="F14528" s="788">
        <v>38047</v>
      </c>
      <c r="G14528" s="788">
        <v>38047</v>
      </c>
      <c r="H14528" s="787">
        <v>1</v>
      </c>
      <c r="I14528" s="788">
        <v>37355</v>
      </c>
      <c r="J14528" s="788">
        <v>38047</v>
      </c>
      <c r="L14528" s="787">
        <v>4.74</v>
      </c>
      <c r="M14528" s="787">
        <v>20</v>
      </c>
      <c r="N14528" s="787">
        <v>5.0999999999999996</v>
      </c>
      <c r="O14528" s="788">
        <v>41955</v>
      </c>
    </row>
    <row r="14529" spans="1:15" x14ac:dyDescent="0.25">
      <c r="A14529" s="786" t="s">
        <v>26300</v>
      </c>
      <c r="B14529" s="787">
        <v>4</v>
      </c>
      <c r="C14529" s="787" t="s">
        <v>26301</v>
      </c>
      <c r="D14529" s="787">
        <v>0.46</v>
      </c>
      <c r="E14529" s="787">
        <v>0.46</v>
      </c>
      <c r="F14529" s="788">
        <v>37641</v>
      </c>
      <c r="G14529" s="788">
        <v>37641</v>
      </c>
      <c r="H14529" s="787">
        <v>1</v>
      </c>
      <c r="I14529" s="788">
        <v>37390</v>
      </c>
      <c r="J14529" s="788">
        <v>37641</v>
      </c>
      <c r="L14529" s="787">
        <v>0.5</v>
      </c>
      <c r="M14529" s="787">
        <v>20</v>
      </c>
      <c r="N14529" s="787">
        <v>0.54</v>
      </c>
      <c r="O14529" s="788">
        <v>41858</v>
      </c>
    </row>
    <row r="14530" spans="1:15" x14ac:dyDescent="0.25">
      <c r="A14530" s="786" t="s">
        <v>26302</v>
      </c>
      <c r="B14530" s="787">
        <v>4</v>
      </c>
      <c r="C14530" s="787" t="s">
        <v>26303</v>
      </c>
      <c r="D14530" s="787">
        <v>3.32</v>
      </c>
      <c r="E14530" s="787">
        <v>5.88</v>
      </c>
      <c r="F14530" s="788">
        <v>37641</v>
      </c>
      <c r="G14530" s="788">
        <v>41859</v>
      </c>
      <c r="H14530" s="787">
        <v>1</v>
      </c>
      <c r="I14530" s="788">
        <v>42130</v>
      </c>
      <c r="J14530" s="788">
        <v>42124</v>
      </c>
      <c r="K14530" s="788">
        <v>41863</v>
      </c>
      <c r="L14530" s="787">
        <v>5.88</v>
      </c>
      <c r="M14530" s="787">
        <v>20</v>
      </c>
      <c r="N14530" s="787">
        <v>5.05</v>
      </c>
      <c r="O14530" s="788">
        <v>41858</v>
      </c>
    </row>
    <row r="14531" spans="1:15" x14ac:dyDescent="0.25">
      <c r="A14531" s="786" t="s">
        <v>26304</v>
      </c>
      <c r="B14531" s="787">
        <v>4</v>
      </c>
      <c r="C14531" s="787" t="s">
        <v>26305</v>
      </c>
      <c r="D14531" s="787">
        <v>5.2</v>
      </c>
      <c r="E14531" s="787">
        <v>5.2</v>
      </c>
      <c r="F14531" s="788">
        <v>41520</v>
      </c>
      <c r="G14531" s="788">
        <v>42158</v>
      </c>
      <c r="H14531" s="787">
        <v>1</v>
      </c>
      <c r="I14531" s="788">
        <v>42163</v>
      </c>
      <c r="J14531" s="788">
        <v>42152</v>
      </c>
      <c r="K14531" s="788">
        <v>41009</v>
      </c>
      <c r="L14531" s="787">
        <v>5.91</v>
      </c>
      <c r="M14531" s="787">
        <v>20</v>
      </c>
      <c r="N14531" s="787">
        <v>6.35</v>
      </c>
      <c r="O14531" s="788">
        <v>41991</v>
      </c>
    </row>
    <row r="14532" spans="1:15" x14ac:dyDescent="0.25">
      <c r="A14532" s="786" t="s">
        <v>26306</v>
      </c>
      <c r="B14532" s="787">
        <v>4</v>
      </c>
      <c r="C14532" s="787" t="s">
        <v>26307</v>
      </c>
      <c r="D14532" s="787">
        <v>2.52</v>
      </c>
      <c r="E14532" s="787">
        <v>2.5299999999999998</v>
      </c>
      <c r="F14532" s="788">
        <v>42010</v>
      </c>
      <c r="G14532" s="788">
        <v>42064</v>
      </c>
      <c r="H14532" s="787">
        <v>1</v>
      </c>
      <c r="I14532" s="788">
        <v>42163</v>
      </c>
      <c r="J14532" s="788">
        <v>42025</v>
      </c>
      <c r="K14532" s="788">
        <v>41009</v>
      </c>
      <c r="L14532" s="787">
        <v>7.96</v>
      </c>
      <c r="M14532" s="787">
        <v>20</v>
      </c>
      <c r="N14532" s="787">
        <v>8.56</v>
      </c>
      <c r="O14532" s="788">
        <v>41991</v>
      </c>
    </row>
    <row r="14533" spans="1:15" x14ac:dyDescent="0.25">
      <c r="A14533" s="786" t="s">
        <v>26308</v>
      </c>
      <c r="B14533" s="787">
        <v>4</v>
      </c>
      <c r="C14533" s="787" t="s">
        <v>26309</v>
      </c>
      <c r="D14533" s="787">
        <v>4.4400000000000004</v>
      </c>
      <c r="E14533" s="787">
        <v>4.4400000000000004</v>
      </c>
      <c r="F14533" s="788">
        <v>37641</v>
      </c>
      <c r="G14533" s="788">
        <v>38364</v>
      </c>
      <c r="H14533" s="787">
        <v>1</v>
      </c>
      <c r="I14533" s="788">
        <v>38736</v>
      </c>
      <c r="J14533" s="788">
        <v>37762</v>
      </c>
      <c r="L14533" s="787">
        <v>4.84</v>
      </c>
      <c r="M14533" s="787">
        <v>20</v>
      </c>
      <c r="N14533" s="787">
        <v>5.2</v>
      </c>
      <c r="O14533" s="788">
        <v>41858</v>
      </c>
    </row>
    <row r="14534" spans="1:15" x14ac:dyDescent="0.25">
      <c r="A14534" s="786" t="s">
        <v>26310</v>
      </c>
      <c r="B14534" s="787">
        <v>4</v>
      </c>
      <c r="C14534" s="787" t="s">
        <v>26311</v>
      </c>
      <c r="D14534" s="787">
        <v>0.44</v>
      </c>
      <c r="E14534" s="787">
        <v>4.2</v>
      </c>
      <c r="F14534" s="788">
        <v>39456</v>
      </c>
      <c r="G14534" s="788">
        <v>42013</v>
      </c>
      <c r="H14534" s="787">
        <v>1</v>
      </c>
      <c r="I14534" s="788">
        <v>42160</v>
      </c>
      <c r="J14534" s="788">
        <v>41918</v>
      </c>
      <c r="L14534" s="787">
        <v>0.6</v>
      </c>
      <c r="M14534" s="787">
        <v>10</v>
      </c>
      <c r="N14534" s="787">
        <v>3.57</v>
      </c>
      <c r="O14534" s="788">
        <v>42164</v>
      </c>
    </row>
    <row r="14535" spans="1:15" x14ac:dyDescent="0.25">
      <c r="A14535" s="786" t="s">
        <v>26312</v>
      </c>
      <c r="B14535" s="787">
        <v>4</v>
      </c>
      <c r="C14535" s="787" t="s">
        <v>26313</v>
      </c>
      <c r="D14535" s="787">
        <v>1.2</v>
      </c>
      <c r="E14535" s="787">
        <v>1.2</v>
      </c>
      <c r="F14535" s="788">
        <v>37641</v>
      </c>
      <c r="G14535" s="788">
        <v>37641</v>
      </c>
      <c r="H14535" s="787">
        <v>1</v>
      </c>
      <c r="I14535" s="788">
        <v>40308</v>
      </c>
      <c r="J14535" s="788">
        <v>37641</v>
      </c>
      <c r="L14535" s="787">
        <v>1.31</v>
      </c>
      <c r="M14535" s="787">
        <v>20</v>
      </c>
      <c r="N14535" s="787">
        <v>1.41</v>
      </c>
      <c r="O14535" s="788">
        <v>41858</v>
      </c>
    </row>
    <row r="14536" spans="1:15" x14ac:dyDescent="0.25">
      <c r="A14536" s="786" t="s">
        <v>26314</v>
      </c>
      <c r="B14536" s="787">
        <v>4</v>
      </c>
      <c r="C14536" s="787" t="s">
        <v>26313</v>
      </c>
      <c r="D14536" s="787">
        <v>1.32</v>
      </c>
      <c r="E14536" s="787">
        <v>1.32</v>
      </c>
      <c r="F14536" s="788">
        <v>39101</v>
      </c>
      <c r="G14536" s="788">
        <v>39101</v>
      </c>
      <c r="H14536" s="787">
        <v>6</v>
      </c>
      <c r="I14536" s="788">
        <v>40087</v>
      </c>
      <c r="J14536" s="788">
        <v>39101</v>
      </c>
      <c r="K14536" s="788">
        <v>41865</v>
      </c>
      <c r="L14536" s="787">
        <v>7.5</v>
      </c>
      <c r="M14536" s="787">
        <v>20</v>
      </c>
      <c r="N14536" s="787">
        <v>1.55</v>
      </c>
      <c r="O14536" s="788">
        <v>41858</v>
      </c>
    </row>
    <row r="14537" spans="1:15" x14ac:dyDescent="0.25">
      <c r="A14537" s="786" t="s">
        <v>26315</v>
      </c>
      <c r="B14537" s="787">
        <v>4</v>
      </c>
      <c r="C14537" s="787" t="s">
        <v>26316</v>
      </c>
      <c r="D14537" s="787">
        <v>0.91</v>
      </c>
      <c r="E14537" s="787">
        <v>2.52</v>
      </c>
      <c r="F14537" s="788">
        <v>37641</v>
      </c>
      <c r="G14537" s="788">
        <v>41646</v>
      </c>
      <c r="H14537" s="787">
        <v>1</v>
      </c>
      <c r="I14537" s="788">
        <v>41991</v>
      </c>
      <c r="J14537" s="788">
        <v>41584</v>
      </c>
      <c r="K14537" s="788">
        <v>41865</v>
      </c>
      <c r="L14537" s="787">
        <v>3.65</v>
      </c>
      <c r="M14537" s="787">
        <v>20</v>
      </c>
      <c r="N14537" s="787">
        <v>3.92</v>
      </c>
      <c r="O14537" s="788">
        <v>42127</v>
      </c>
    </row>
    <row r="14538" spans="1:15" x14ac:dyDescent="0.25">
      <c r="A14538" s="786" t="s">
        <v>26317</v>
      </c>
      <c r="B14538" s="787">
        <v>4</v>
      </c>
      <c r="C14538" s="787" t="s">
        <v>26318</v>
      </c>
      <c r="D14538" s="787">
        <v>1.01</v>
      </c>
      <c r="E14538" s="787">
        <v>1.01</v>
      </c>
      <c r="F14538" s="788">
        <v>41289</v>
      </c>
      <c r="G14538" s="788">
        <v>42106</v>
      </c>
      <c r="H14538" s="787">
        <v>1</v>
      </c>
      <c r="I14538" s="788">
        <v>42081</v>
      </c>
      <c r="J14538" s="788">
        <v>42076</v>
      </c>
      <c r="K14538" s="788">
        <v>41298</v>
      </c>
      <c r="L14538" s="787">
        <v>1.01</v>
      </c>
      <c r="M14538" s="787">
        <v>20</v>
      </c>
      <c r="N14538" s="787">
        <v>1.0900000000000001</v>
      </c>
      <c r="O14538" s="788">
        <v>41858</v>
      </c>
    </row>
    <row r="14539" spans="1:15" x14ac:dyDescent="0.25">
      <c r="A14539" s="786" t="s">
        <v>26319</v>
      </c>
      <c r="B14539" s="787">
        <v>4</v>
      </c>
      <c r="C14539" s="787" t="s">
        <v>26320</v>
      </c>
      <c r="D14539" s="787">
        <v>1.5</v>
      </c>
      <c r="E14539" s="787">
        <v>1.5</v>
      </c>
      <c r="F14539" s="788">
        <v>41289</v>
      </c>
      <c r="G14539" s="788">
        <v>42106</v>
      </c>
      <c r="H14539" s="787">
        <v>1</v>
      </c>
      <c r="I14539" s="788">
        <v>42081</v>
      </c>
      <c r="J14539" s="788">
        <v>42076</v>
      </c>
      <c r="K14539" s="788">
        <v>41298</v>
      </c>
      <c r="L14539" s="787">
        <v>1.5</v>
      </c>
      <c r="M14539" s="787">
        <v>20</v>
      </c>
      <c r="N14539" s="787">
        <v>1.61</v>
      </c>
      <c r="O14539" s="788">
        <v>41858</v>
      </c>
    </row>
    <row r="14540" spans="1:15" x14ac:dyDescent="0.25">
      <c r="A14540" s="786" t="s">
        <v>26321</v>
      </c>
      <c r="B14540" s="787">
        <v>4</v>
      </c>
      <c r="C14540" s="787" t="s">
        <v>26322</v>
      </c>
      <c r="D14540" s="787">
        <v>0.45</v>
      </c>
      <c r="E14540" s="787">
        <v>2.08</v>
      </c>
      <c r="F14540" s="788">
        <v>41298</v>
      </c>
      <c r="G14540" s="788">
        <v>42106</v>
      </c>
      <c r="H14540" s="787">
        <v>1</v>
      </c>
      <c r="I14540" s="788">
        <v>42081</v>
      </c>
      <c r="J14540" s="788">
        <v>42076</v>
      </c>
      <c r="K14540" s="788">
        <v>41372</v>
      </c>
      <c r="L14540" s="787">
        <v>2.5</v>
      </c>
      <c r="M14540" s="787">
        <v>20</v>
      </c>
      <c r="N14540" s="787">
        <v>2.69</v>
      </c>
      <c r="O14540" s="788">
        <v>41858</v>
      </c>
    </row>
    <row r="14541" spans="1:15" x14ac:dyDescent="0.25">
      <c r="A14541" s="786" t="s">
        <v>26323</v>
      </c>
      <c r="B14541" s="787">
        <v>4</v>
      </c>
      <c r="C14541" s="787" t="s">
        <v>26324</v>
      </c>
      <c r="D14541" s="787">
        <v>0.55000000000000004</v>
      </c>
      <c r="E14541" s="787">
        <v>2.11</v>
      </c>
      <c r="F14541" s="788">
        <v>41298</v>
      </c>
      <c r="G14541" s="788">
        <v>42106</v>
      </c>
      <c r="H14541" s="787">
        <v>1</v>
      </c>
      <c r="I14541" s="788">
        <v>42081</v>
      </c>
      <c r="J14541" s="788">
        <v>42076</v>
      </c>
      <c r="K14541" s="788">
        <v>41372</v>
      </c>
      <c r="L14541" s="787">
        <v>2.54</v>
      </c>
      <c r="M14541" s="787">
        <v>20</v>
      </c>
      <c r="N14541" s="787">
        <v>2.73</v>
      </c>
      <c r="O14541" s="788">
        <v>41858</v>
      </c>
    </row>
    <row r="14542" spans="1:15" x14ac:dyDescent="0.25">
      <c r="A14542" s="786" t="s">
        <v>26325</v>
      </c>
      <c r="B14542" s="787">
        <v>4</v>
      </c>
      <c r="C14542" s="787" t="s">
        <v>26326</v>
      </c>
      <c r="D14542" s="787">
        <v>0.12</v>
      </c>
      <c r="E14542" s="787">
        <v>0.12</v>
      </c>
      <c r="F14542" s="788">
        <v>39560</v>
      </c>
      <c r="G14542" s="788">
        <v>41565</v>
      </c>
      <c r="H14542" s="787">
        <v>5</v>
      </c>
      <c r="I14542" s="788">
        <v>41176</v>
      </c>
      <c r="J14542" s="788">
        <v>40672</v>
      </c>
      <c r="K14542" s="788">
        <v>41298</v>
      </c>
      <c r="L14542" s="787">
        <v>0.12</v>
      </c>
      <c r="M14542" s="787">
        <v>20</v>
      </c>
      <c r="N14542" s="787">
        <v>0.13</v>
      </c>
      <c r="O14542" s="788">
        <v>41858</v>
      </c>
    </row>
    <row r="14543" spans="1:15" x14ac:dyDescent="0.25">
      <c r="A14543" s="786" t="s">
        <v>26327</v>
      </c>
      <c r="B14543" s="787">
        <v>4</v>
      </c>
      <c r="C14543" s="787" t="s">
        <v>26328</v>
      </c>
      <c r="D14543" s="787">
        <v>0</v>
      </c>
      <c r="E14543" s="787">
        <v>0</v>
      </c>
      <c r="H14543" s="787">
        <v>1</v>
      </c>
      <c r="I14543" s="788">
        <v>37369</v>
      </c>
      <c r="J14543" s="788">
        <v>37642</v>
      </c>
      <c r="L14543" s="787">
        <v>0</v>
      </c>
      <c r="M14543" s="787">
        <v>20</v>
      </c>
      <c r="N14543" s="787">
        <v>0</v>
      </c>
      <c r="O14543" s="788">
        <v>40824</v>
      </c>
    </row>
    <row r="14544" spans="1:15" x14ac:dyDescent="0.25">
      <c r="A14544" s="786" t="s">
        <v>26329</v>
      </c>
      <c r="B14544" s="787">
        <v>4</v>
      </c>
      <c r="C14544" s="787" t="s">
        <v>26328</v>
      </c>
      <c r="D14544" s="787">
        <v>8.2200000000000006</v>
      </c>
      <c r="E14544" s="787">
        <v>19.11</v>
      </c>
      <c r="F14544" s="788">
        <v>39101</v>
      </c>
      <c r="G14544" s="788">
        <v>41051</v>
      </c>
      <c r="H14544" s="787">
        <v>1</v>
      </c>
      <c r="I14544" s="788">
        <v>41043</v>
      </c>
      <c r="J14544" s="788">
        <v>41032</v>
      </c>
      <c r="L14544" s="787">
        <v>14.04</v>
      </c>
      <c r="M14544" s="787">
        <v>20</v>
      </c>
      <c r="N14544" s="787">
        <v>15.09</v>
      </c>
      <c r="O14544" s="788">
        <v>41858</v>
      </c>
    </row>
    <row r="14545" spans="1:15" x14ac:dyDescent="0.25">
      <c r="A14545" s="786" t="s">
        <v>26330</v>
      </c>
      <c r="B14545" s="787">
        <v>4</v>
      </c>
      <c r="C14545" s="787" t="s">
        <v>26328</v>
      </c>
      <c r="D14545" s="787">
        <v>2.88</v>
      </c>
      <c r="E14545" s="787">
        <v>2.88</v>
      </c>
      <c r="F14545" s="788">
        <v>39101</v>
      </c>
      <c r="G14545" s="788">
        <v>39101</v>
      </c>
      <c r="H14545" s="787">
        <v>1</v>
      </c>
      <c r="I14545" s="788">
        <v>40889</v>
      </c>
      <c r="J14545" s="788">
        <v>39101</v>
      </c>
      <c r="L14545" s="787">
        <v>3.14</v>
      </c>
      <c r="M14545" s="787">
        <v>20</v>
      </c>
      <c r="N14545" s="787">
        <v>3.38</v>
      </c>
      <c r="O14545" s="788">
        <v>41858</v>
      </c>
    </row>
    <row r="14546" spans="1:15" x14ac:dyDescent="0.25">
      <c r="A14546" s="786" t="s">
        <v>26331</v>
      </c>
      <c r="B14546" s="787">
        <v>4</v>
      </c>
      <c r="C14546" s="787" t="s">
        <v>26332</v>
      </c>
      <c r="D14546" s="787">
        <v>0.57999999999999996</v>
      </c>
      <c r="E14546" s="787">
        <v>0.67</v>
      </c>
      <c r="F14546" s="788">
        <v>38275</v>
      </c>
      <c r="G14546" s="788">
        <v>41565</v>
      </c>
      <c r="H14546" s="787">
        <v>5</v>
      </c>
      <c r="I14546" s="788">
        <v>41318</v>
      </c>
      <c r="J14546" s="788">
        <v>41260</v>
      </c>
      <c r="L14546" s="787">
        <v>0.65</v>
      </c>
      <c r="M14546" s="787">
        <v>20</v>
      </c>
      <c r="N14546" s="787">
        <v>0.7</v>
      </c>
      <c r="O14546" s="788">
        <v>41858</v>
      </c>
    </row>
    <row r="14547" spans="1:15" x14ac:dyDescent="0.25">
      <c r="A14547" s="786" t="s">
        <v>26333</v>
      </c>
      <c r="B14547" s="787">
        <v>4</v>
      </c>
      <c r="C14547" s="787" t="s">
        <v>26334</v>
      </c>
      <c r="D14547" s="787">
        <v>0.79</v>
      </c>
      <c r="E14547" s="787">
        <v>0.89</v>
      </c>
      <c r="F14547" s="788">
        <v>40122</v>
      </c>
      <c r="G14547" s="788">
        <v>41282</v>
      </c>
      <c r="H14547" s="787">
        <v>5</v>
      </c>
      <c r="I14547" s="788">
        <v>41344</v>
      </c>
      <c r="J14547" s="788">
        <v>41255</v>
      </c>
      <c r="L14547" s="787">
        <v>0.87</v>
      </c>
      <c r="M14547" s="787">
        <v>20</v>
      </c>
      <c r="N14547" s="787">
        <v>0.94</v>
      </c>
      <c r="O14547" s="788">
        <v>41858</v>
      </c>
    </row>
    <row r="14548" spans="1:15" x14ac:dyDescent="0.25">
      <c r="A14548" s="786" t="s">
        <v>26335</v>
      </c>
      <c r="B14548" s="787">
        <v>4</v>
      </c>
      <c r="C14548" s="787" t="s">
        <v>26336</v>
      </c>
      <c r="D14548" s="787">
        <v>0.33</v>
      </c>
      <c r="E14548" s="787">
        <v>0.35</v>
      </c>
      <c r="F14548" s="788">
        <v>41161</v>
      </c>
      <c r="G14548" s="788">
        <v>42122</v>
      </c>
      <c r="H14548" s="787">
        <v>1</v>
      </c>
      <c r="I14548" s="788">
        <v>42160</v>
      </c>
      <c r="J14548" s="788">
        <v>42166</v>
      </c>
      <c r="K14548" s="788">
        <v>42013</v>
      </c>
      <c r="L14548" s="787">
        <v>0.35</v>
      </c>
      <c r="M14548" s="787">
        <v>20</v>
      </c>
      <c r="N14548" s="787">
        <v>0.38</v>
      </c>
      <c r="O14548" s="788">
        <v>42014</v>
      </c>
    </row>
    <row r="14549" spans="1:15" x14ac:dyDescent="0.25">
      <c r="A14549" s="786" t="s">
        <v>26337</v>
      </c>
      <c r="B14549" s="787">
        <v>4</v>
      </c>
      <c r="C14549" s="787" t="s">
        <v>26338</v>
      </c>
      <c r="D14549" s="787">
        <v>0</v>
      </c>
      <c r="E14549" s="787">
        <v>5.69</v>
      </c>
      <c r="H14549" s="787">
        <v>1</v>
      </c>
      <c r="L14549" s="787">
        <v>6.2</v>
      </c>
      <c r="M14549" s="787">
        <v>20</v>
      </c>
      <c r="N14549" s="787">
        <v>6.67</v>
      </c>
      <c r="O14549" s="788">
        <v>41858</v>
      </c>
    </row>
    <row r="14550" spans="1:15" x14ac:dyDescent="0.25">
      <c r="A14550" s="786" t="s">
        <v>26339</v>
      </c>
      <c r="B14550" s="787">
        <v>4</v>
      </c>
      <c r="C14550" s="787" t="s">
        <v>26340</v>
      </c>
      <c r="D14550" s="787">
        <v>0</v>
      </c>
      <c r="E14550" s="787">
        <v>0</v>
      </c>
      <c r="H14550" s="787">
        <v>1</v>
      </c>
      <c r="L14550" s="787">
        <v>6.49</v>
      </c>
      <c r="M14550" s="787">
        <v>20</v>
      </c>
      <c r="N14550" s="787">
        <v>6.98</v>
      </c>
      <c r="O14550" s="788">
        <v>41858</v>
      </c>
    </row>
    <row r="14551" spans="1:15" x14ac:dyDescent="0.25">
      <c r="A14551" s="786" t="s">
        <v>26341</v>
      </c>
      <c r="B14551" s="787">
        <v>4</v>
      </c>
      <c r="C14551" s="787" t="s">
        <v>26342</v>
      </c>
      <c r="D14551" s="787">
        <v>0</v>
      </c>
      <c r="E14551" s="787">
        <v>0</v>
      </c>
      <c r="H14551" s="787">
        <v>1</v>
      </c>
      <c r="L14551" s="787">
        <v>4.99</v>
      </c>
      <c r="M14551" s="787">
        <v>20</v>
      </c>
      <c r="N14551" s="787">
        <v>5.36</v>
      </c>
      <c r="O14551" s="788">
        <v>41858</v>
      </c>
    </row>
    <row r="14552" spans="1:15" x14ac:dyDescent="0.25">
      <c r="A14552" s="786" t="s">
        <v>26343</v>
      </c>
      <c r="B14552" s="787">
        <v>4</v>
      </c>
      <c r="C14552" s="787" t="s">
        <v>26342</v>
      </c>
      <c r="D14552" s="787">
        <v>0</v>
      </c>
      <c r="E14552" s="787">
        <v>0</v>
      </c>
      <c r="H14552" s="787">
        <v>1</v>
      </c>
      <c r="L14552" s="787">
        <v>1.0900000000000001</v>
      </c>
      <c r="M14552" s="787">
        <v>20</v>
      </c>
      <c r="N14552" s="787">
        <v>1.17</v>
      </c>
      <c r="O14552" s="788">
        <v>41858</v>
      </c>
    </row>
    <row r="14553" spans="1:15" x14ac:dyDescent="0.25">
      <c r="A14553" s="786" t="s">
        <v>26344</v>
      </c>
      <c r="B14553" s="787">
        <v>4</v>
      </c>
      <c r="C14553" s="787" t="s">
        <v>26345</v>
      </c>
      <c r="D14553" s="787">
        <v>0</v>
      </c>
      <c r="E14553" s="787">
        <v>0</v>
      </c>
      <c r="H14553" s="787">
        <v>1</v>
      </c>
      <c r="L14553" s="787">
        <v>0.45</v>
      </c>
      <c r="M14553" s="787">
        <v>20</v>
      </c>
      <c r="N14553" s="787">
        <v>0.48</v>
      </c>
      <c r="O14553" s="788">
        <v>41858</v>
      </c>
    </row>
    <row r="14554" spans="1:15" x14ac:dyDescent="0.25">
      <c r="A14554" s="786" t="s">
        <v>26346</v>
      </c>
      <c r="B14554" s="787">
        <v>4</v>
      </c>
      <c r="C14554" s="787" t="s">
        <v>26345</v>
      </c>
      <c r="D14554" s="787">
        <v>0</v>
      </c>
      <c r="E14554" s="787">
        <v>0</v>
      </c>
      <c r="H14554" s="787">
        <v>1</v>
      </c>
      <c r="L14554" s="787">
        <v>0.55000000000000004</v>
      </c>
      <c r="M14554" s="787">
        <v>20</v>
      </c>
      <c r="N14554" s="787">
        <v>0.59</v>
      </c>
      <c r="O14554" s="788">
        <v>41858</v>
      </c>
    </row>
    <row r="14555" spans="1:15" x14ac:dyDescent="0.25">
      <c r="A14555" s="786" t="s">
        <v>26347</v>
      </c>
      <c r="B14555" s="787">
        <v>4</v>
      </c>
      <c r="C14555" s="787" t="s">
        <v>26348</v>
      </c>
      <c r="D14555" s="787">
        <v>0</v>
      </c>
      <c r="E14555" s="787">
        <v>0</v>
      </c>
      <c r="H14555" s="787">
        <v>1</v>
      </c>
      <c r="L14555" s="787">
        <v>3.09</v>
      </c>
      <c r="M14555" s="787">
        <v>20</v>
      </c>
      <c r="N14555" s="787">
        <v>3.32</v>
      </c>
      <c r="O14555" s="788">
        <v>41858</v>
      </c>
    </row>
    <row r="14556" spans="1:15" x14ac:dyDescent="0.25">
      <c r="A14556" s="786" t="s">
        <v>26349</v>
      </c>
      <c r="B14556" s="787">
        <v>4</v>
      </c>
      <c r="C14556" s="787" t="s">
        <v>26350</v>
      </c>
      <c r="D14556" s="787">
        <v>0</v>
      </c>
      <c r="E14556" s="787">
        <v>0</v>
      </c>
      <c r="H14556" s="787">
        <v>1</v>
      </c>
      <c r="L14556" s="787">
        <v>5.49</v>
      </c>
      <c r="M14556" s="787">
        <v>20</v>
      </c>
      <c r="N14556" s="787">
        <v>5.9</v>
      </c>
      <c r="O14556" s="788">
        <v>41858</v>
      </c>
    </row>
    <row r="14557" spans="1:15" x14ac:dyDescent="0.25">
      <c r="A14557" s="786" t="s">
        <v>26351</v>
      </c>
      <c r="B14557" s="787">
        <v>4</v>
      </c>
      <c r="C14557" s="787" t="s">
        <v>26352</v>
      </c>
      <c r="D14557" s="787">
        <v>1.05</v>
      </c>
      <c r="E14557" s="787">
        <v>1.57</v>
      </c>
      <c r="F14557" s="788">
        <v>41289</v>
      </c>
      <c r="G14557" s="788">
        <v>42044</v>
      </c>
      <c r="H14557" s="787">
        <v>1</v>
      </c>
      <c r="I14557" s="788">
        <v>42164</v>
      </c>
      <c r="J14557" s="788">
        <v>42166</v>
      </c>
      <c r="K14557" s="788">
        <v>41704</v>
      </c>
      <c r="L14557" s="787">
        <v>1.53</v>
      </c>
      <c r="M14557" s="787">
        <v>20</v>
      </c>
      <c r="N14557" s="787">
        <v>1.64</v>
      </c>
      <c r="O14557" s="788">
        <v>41991</v>
      </c>
    </row>
    <row r="14558" spans="1:15" x14ac:dyDescent="0.25">
      <c r="A14558" s="786" t="s">
        <v>26353</v>
      </c>
      <c r="B14558" s="787">
        <v>4</v>
      </c>
      <c r="C14558" s="787" t="s">
        <v>26354</v>
      </c>
      <c r="D14558" s="787">
        <v>0</v>
      </c>
      <c r="E14558" s="787">
        <v>4.75</v>
      </c>
      <c r="H14558" s="787">
        <v>1</v>
      </c>
      <c r="L14558" s="787">
        <v>4.75</v>
      </c>
      <c r="M14558" s="787">
        <v>20</v>
      </c>
      <c r="N14558" s="787">
        <v>5.1100000000000003</v>
      </c>
      <c r="O14558" s="788">
        <v>41858</v>
      </c>
    </row>
    <row r="14559" spans="1:15" x14ac:dyDescent="0.25">
      <c r="A14559" s="786" t="s">
        <v>26355</v>
      </c>
      <c r="B14559" s="787">
        <v>4</v>
      </c>
      <c r="C14559" s="787" t="s">
        <v>26356</v>
      </c>
      <c r="D14559" s="787">
        <v>0</v>
      </c>
      <c r="E14559" s="787">
        <v>0</v>
      </c>
      <c r="H14559" s="787">
        <v>1</v>
      </c>
      <c r="L14559" s="787">
        <v>1.89</v>
      </c>
      <c r="M14559" s="787">
        <v>20</v>
      </c>
      <c r="N14559" s="787">
        <v>2.0299999999999998</v>
      </c>
      <c r="O14559" s="788">
        <v>41858</v>
      </c>
    </row>
    <row r="14560" spans="1:15" x14ac:dyDescent="0.25">
      <c r="A14560" s="786" t="s">
        <v>26357</v>
      </c>
      <c r="B14560" s="787">
        <v>4</v>
      </c>
      <c r="C14560" s="787" t="s">
        <v>26358</v>
      </c>
      <c r="D14560" s="787">
        <v>0.25</v>
      </c>
      <c r="E14560" s="787">
        <v>0.25</v>
      </c>
      <c r="F14560" s="788">
        <v>40625</v>
      </c>
      <c r="G14560" s="788">
        <v>40625</v>
      </c>
      <c r="H14560" s="787">
        <v>1</v>
      </c>
      <c r="J14560" s="788">
        <v>40626</v>
      </c>
      <c r="L14560" s="787">
        <v>0.25</v>
      </c>
      <c r="M14560" s="787">
        <v>20</v>
      </c>
      <c r="N14560" s="787">
        <v>0.27</v>
      </c>
      <c r="O14560" s="788">
        <v>41858</v>
      </c>
    </row>
    <row r="14561" spans="1:15" x14ac:dyDescent="0.25">
      <c r="A14561" s="786" t="s">
        <v>26359</v>
      </c>
      <c r="B14561" s="787">
        <v>4</v>
      </c>
      <c r="C14561" s="787" t="s">
        <v>26360</v>
      </c>
      <c r="D14561" s="787">
        <v>0</v>
      </c>
      <c r="E14561" s="787">
        <v>0</v>
      </c>
      <c r="G14561" s="787" t="s">
        <v>1067</v>
      </c>
      <c r="H14561" s="787">
        <v>1</v>
      </c>
      <c r="L14561" s="787">
        <v>0</v>
      </c>
      <c r="M14561" s="787">
        <v>20</v>
      </c>
      <c r="N14561" s="787">
        <v>0</v>
      </c>
      <c r="O14561" s="788">
        <v>40824</v>
      </c>
    </row>
    <row r="14562" spans="1:15" x14ac:dyDescent="0.25">
      <c r="A14562" s="786" t="s">
        <v>26361</v>
      </c>
      <c r="B14562" s="787">
        <v>4</v>
      </c>
      <c r="C14562" s="787" t="s">
        <v>26360</v>
      </c>
      <c r="D14562" s="787">
        <v>0</v>
      </c>
      <c r="E14562" s="787">
        <v>0</v>
      </c>
      <c r="G14562" s="787" t="s">
        <v>1067</v>
      </c>
      <c r="H14562" s="787">
        <v>1</v>
      </c>
      <c r="K14562" s="788">
        <v>42128</v>
      </c>
      <c r="L14562" s="787">
        <v>5.03</v>
      </c>
      <c r="M14562" s="787">
        <v>20</v>
      </c>
      <c r="N14562" s="787">
        <v>0</v>
      </c>
      <c r="O14562" s="788">
        <v>40824</v>
      </c>
    </row>
    <row r="14563" spans="1:15" x14ac:dyDescent="0.25">
      <c r="A14563" s="786" t="s">
        <v>26362</v>
      </c>
      <c r="B14563" s="787">
        <v>4</v>
      </c>
      <c r="C14563" s="787" t="s">
        <v>26363</v>
      </c>
      <c r="D14563" s="787">
        <v>0</v>
      </c>
      <c r="E14563" s="787">
        <v>0</v>
      </c>
      <c r="G14563" s="787" t="s">
        <v>1067</v>
      </c>
      <c r="H14563" s="787">
        <v>1</v>
      </c>
      <c r="L14563" s="787">
        <v>0</v>
      </c>
      <c r="M14563" s="787">
        <v>20</v>
      </c>
      <c r="N14563" s="787">
        <v>0</v>
      </c>
      <c r="O14563" s="788">
        <v>40824</v>
      </c>
    </row>
    <row r="14564" spans="1:15" x14ac:dyDescent="0.25">
      <c r="A14564" s="786" t="s">
        <v>26364</v>
      </c>
      <c r="B14564" s="787">
        <v>4</v>
      </c>
      <c r="C14564" s="787" t="s">
        <v>26365</v>
      </c>
      <c r="D14564" s="787">
        <v>0</v>
      </c>
      <c r="E14564" s="787">
        <v>0</v>
      </c>
      <c r="G14564" s="787" t="s">
        <v>1067</v>
      </c>
      <c r="H14564" s="787">
        <v>1</v>
      </c>
      <c r="L14564" s="787">
        <v>0</v>
      </c>
      <c r="M14564" s="787">
        <v>20</v>
      </c>
      <c r="N14564" s="787">
        <v>0</v>
      </c>
      <c r="O14564" s="788">
        <v>40824</v>
      </c>
    </row>
    <row r="14565" spans="1:15" x14ac:dyDescent="0.25">
      <c r="A14565" s="786" t="s">
        <v>26366</v>
      </c>
      <c r="B14565" s="787">
        <v>4</v>
      </c>
      <c r="C14565" s="787" t="s">
        <v>26367</v>
      </c>
      <c r="D14565" s="787">
        <v>0</v>
      </c>
      <c r="E14565" s="787">
        <v>0</v>
      </c>
      <c r="G14565" s="787" t="s">
        <v>1067</v>
      </c>
      <c r="H14565" s="787">
        <v>1</v>
      </c>
      <c r="L14565" s="787">
        <v>0</v>
      </c>
      <c r="M14565" s="787">
        <v>20</v>
      </c>
      <c r="N14565" s="787">
        <v>0</v>
      </c>
      <c r="O14565" s="788">
        <v>40824</v>
      </c>
    </row>
    <row r="14566" spans="1:15" x14ac:dyDescent="0.25">
      <c r="A14566" s="786" t="s">
        <v>26368</v>
      </c>
      <c r="B14566" s="787">
        <v>4</v>
      </c>
      <c r="C14566" s="787" t="s">
        <v>26369</v>
      </c>
      <c r="D14566" s="787">
        <v>0</v>
      </c>
      <c r="E14566" s="787">
        <v>0</v>
      </c>
      <c r="G14566" s="788">
        <v>42124</v>
      </c>
      <c r="H14566" s="787">
        <v>1</v>
      </c>
      <c r="J14566" s="788">
        <v>42124</v>
      </c>
      <c r="K14566" s="788">
        <v>41622</v>
      </c>
      <c r="L14566" s="787">
        <v>0.5</v>
      </c>
      <c r="M14566" s="787">
        <v>20</v>
      </c>
      <c r="N14566" s="787">
        <v>0.54</v>
      </c>
      <c r="O14566" s="788">
        <v>41858</v>
      </c>
    </row>
    <row r="14567" spans="1:15" x14ac:dyDescent="0.25">
      <c r="A14567" s="786" t="s">
        <v>26370</v>
      </c>
      <c r="B14567" s="787">
        <v>4</v>
      </c>
      <c r="C14567" s="787" t="s">
        <v>26371</v>
      </c>
      <c r="D14567" s="787">
        <v>2.4300000000000002</v>
      </c>
      <c r="E14567" s="787">
        <v>20.55</v>
      </c>
      <c r="F14567" s="788">
        <v>41159</v>
      </c>
      <c r="G14567" s="788">
        <v>42106</v>
      </c>
      <c r="H14567" s="787">
        <v>1</v>
      </c>
      <c r="I14567" s="788">
        <v>42081</v>
      </c>
      <c r="J14567" s="788">
        <v>42076</v>
      </c>
      <c r="L14567" s="787">
        <v>22.05</v>
      </c>
      <c r="M14567" s="787">
        <v>20</v>
      </c>
      <c r="N14567" s="787">
        <v>23.7</v>
      </c>
      <c r="O14567" s="788">
        <v>42164</v>
      </c>
    </row>
    <row r="14568" spans="1:15" x14ac:dyDescent="0.25">
      <c r="A14568" s="786" t="s">
        <v>26372</v>
      </c>
      <c r="B14568" s="787">
        <v>4</v>
      </c>
      <c r="C14568" s="787" t="s">
        <v>26373</v>
      </c>
      <c r="D14568" s="787">
        <v>0</v>
      </c>
      <c r="E14568" s="787">
        <v>0</v>
      </c>
      <c r="H14568" s="787">
        <v>1</v>
      </c>
      <c r="L14568" s="787">
        <v>15.96</v>
      </c>
      <c r="M14568" s="787">
        <v>20</v>
      </c>
      <c r="N14568" s="787">
        <v>17.16</v>
      </c>
      <c r="O14568" s="788">
        <v>42164</v>
      </c>
    </row>
    <row r="14569" spans="1:15" x14ac:dyDescent="0.25">
      <c r="A14569" s="786" t="s">
        <v>26374</v>
      </c>
      <c r="B14569" s="787">
        <v>4</v>
      </c>
      <c r="C14569" s="787" t="s">
        <v>26375</v>
      </c>
      <c r="D14569" s="787">
        <v>9.36</v>
      </c>
      <c r="E14569" s="787">
        <v>39.36</v>
      </c>
      <c r="F14569" s="788">
        <v>41081</v>
      </c>
      <c r="G14569" s="788">
        <v>41081</v>
      </c>
      <c r="H14569" s="787">
        <v>1</v>
      </c>
      <c r="I14569" s="788">
        <v>41075</v>
      </c>
      <c r="J14569" s="788">
        <v>41067</v>
      </c>
      <c r="L14569" s="787">
        <v>30.52</v>
      </c>
      <c r="M14569" s="787">
        <v>20</v>
      </c>
      <c r="N14569" s="787">
        <v>32.81</v>
      </c>
      <c r="O14569" s="788">
        <v>42164</v>
      </c>
    </row>
    <row r="14570" spans="1:15" x14ac:dyDescent="0.25">
      <c r="A14570" s="786" t="s">
        <v>26376</v>
      </c>
      <c r="B14570" s="787">
        <v>4</v>
      </c>
      <c r="C14570" s="787" t="s">
        <v>26377</v>
      </c>
      <c r="D14570" s="787">
        <v>7.94</v>
      </c>
      <c r="E14570" s="787">
        <v>7.94</v>
      </c>
      <c r="F14570" s="788">
        <v>41974</v>
      </c>
      <c r="G14570" s="788">
        <v>42009</v>
      </c>
      <c r="H14570" s="787">
        <v>1</v>
      </c>
      <c r="I14570" s="788">
        <v>41975</v>
      </c>
      <c r="J14570" s="788">
        <v>41968</v>
      </c>
      <c r="L14570" s="787">
        <v>14.79</v>
      </c>
      <c r="M14570" s="787">
        <v>20</v>
      </c>
      <c r="N14570" s="787">
        <v>15.9</v>
      </c>
      <c r="O14570" s="788">
        <v>42164</v>
      </c>
    </row>
    <row r="14571" spans="1:15" x14ac:dyDescent="0.25">
      <c r="A14571" s="786" t="s">
        <v>26378</v>
      </c>
      <c r="B14571" s="787">
        <v>4</v>
      </c>
      <c r="C14571" s="787" t="s">
        <v>26379</v>
      </c>
      <c r="D14571" s="787">
        <v>0</v>
      </c>
      <c r="E14571" s="787">
        <v>0</v>
      </c>
      <c r="H14571" s="787">
        <v>1</v>
      </c>
      <c r="L14571" s="787">
        <v>3.05</v>
      </c>
      <c r="M14571" s="787">
        <v>20</v>
      </c>
      <c r="N14571" s="787">
        <v>3.28</v>
      </c>
      <c r="O14571" s="788">
        <v>42164</v>
      </c>
    </row>
    <row r="14572" spans="1:15" x14ac:dyDescent="0.25">
      <c r="A14572" s="786" t="s">
        <v>26380</v>
      </c>
      <c r="B14572" s="787">
        <v>4</v>
      </c>
      <c r="C14572" s="787" t="s">
        <v>26381</v>
      </c>
      <c r="D14572" s="787">
        <v>0</v>
      </c>
      <c r="E14572" s="787">
        <v>0</v>
      </c>
      <c r="H14572" s="787">
        <v>1</v>
      </c>
      <c r="L14572" s="787">
        <v>2.31</v>
      </c>
      <c r="M14572" s="787">
        <v>20</v>
      </c>
      <c r="N14572" s="787">
        <v>2.48</v>
      </c>
      <c r="O14572" s="788">
        <v>42164</v>
      </c>
    </row>
    <row r="14573" spans="1:15" x14ac:dyDescent="0.25">
      <c r="A14573" s="786" t="s">
        <v>26382</v>
      </c>
      <c r="B14573" s="787">
        <v>4</v>
      </c>
      <c r="C14573" s="787" t="s">
        <v>26383</v>
      </c>
      <c r="D14573" s="787">
        <v>2.11</v>
      </c>
      <c r="E14573" s="787">
        <v>8.77</v>
      </c>
      <c r="F14573" s="788">
        <v>41015</v>
      </c>
      <c r="G14573" s="788">
        <v>42013</v>
      </c>
      <c r="H14573" s="787">
        <v>1</v>
      </c>
      <c r="I14573" s="788">
        <v>42111</v>
      </c>
      <c r="J14573" s="788">
        <v>41991</v>
      </c>
      <c r="K14573" s="788">
        <v>41857</v>
      </c>
      <c r="L14573" s="787">
        <v>9.18</v>
      </c>
      <c r="M14573" s="787">
        <v>20</v>
      </c>
      <c r="N14573" s="787">
        <v>9.8699999999999992</v>
      </c>
      <c r="O14573" s="788">
        <v>42164</v>
      </c>
    </row>
    <row r="14574" spans="1:15" x14ac:dyDescent="0.25">
      <c r="A14574" s="786" t="s">
        <v>26384</v>
      </c>
      <c r="B14574" s="787">
        <v>4</v>
      </c>
      <c r="C14574" s="787" t="s">
        <v>26385</v>
      </c>
      <c r="D14574" s="787">
        <v>0</v>
      </c>
      <c r="E14574" s="787">
        <v>0</v>
      </c>
      <c r="H14574" s="787">
        <v>1</v>
      </c>
      <c r="I14574" s="788">
        <v>41094</v>
      </c>
      <c r="L14574" s="787">
        <v>6.74</v>
      </c>
      <c r="M14574" s="787">
        <v>20</v>
      </c>
      <c r="N14574" s="787">
        <v>7.25</v>
      </c>
      <c r="O14574" s="788">
        <v>42164</v>
      </c>
    </row>
    <row r="14575" spans="1:15" x14ac:dyDescent="0.25">
      <c r="A14575" s="786" t="s">
        <v>26386</v>
      </c>
      <c r="B14575" s="787">
        <v>4</v>
      </c>
      <c r="C14575" s="787" t="s">
        <v>26387</v>
      </c>
      <c r="D14575" s="787">
        <v>0</v>
      </c>
      <c r="E14575" s="787">
        <v>0</v>
      </c>
      <c r="H14575" s="787">
        <v>1</v>
      </c>
      <c r="L14575" s="787">
        <v>7.16</v>
      </c>
      <c r="M14575" s="787">
        <v>20</v>
      </c>
      <c r="N14575" s="787">
        <v>7.7</v>
      </c>
      <c r="O14575" s="788">
        <v>42164</v>
      </c>
    </row>
    <row r="14576" spans="1:15" x14ac:dyDescent="0.25">
      <c r="A14576" s="786" t="s">
        <v>26388</v>
      </c>
      <c r="B14576" s="787">
        <v>4</v>
      </c>
      <c r="C14576" s="787" t="s">
        <v>26389</v>
      </c>
      <c r="D14576" s="787">
        <v>2.4500000000000002</v>
      </c>
      <c r="E14576" s="787">
        <v>2.4500000000000002</v>
      </c>
      <c r="F14576" s="788">
        <v>40925</v>
      </c>
      <c r="G14576" s="788">
        <v>40925</v>
      </c>
      <c r="H14576" s="787">
        <v>1</v>
      </c>
      <c r="I14576" s="788">
        <v>41104</v>
      </c>
      <c r="J14576" s="788">
        <v>41059</v>
      </c>
      <c r="K14576" s="788">
        <v>40924</v>
      </c>
      <c r="L14576" s="787">
        <v>2.4500000000000002</v>
      </c>
      <c r="M14576" s="787">
        <v>20</v>
      </c>
      <c r="N14576" s="787">
        <v>2.63</v>
      </c>
      <c r="O14576" s="788">
        <v>42164</v>
      </c>
    </row>
    <row r="14577" spans="1:15" x14ac:dyDescent="0.25">
      <c r="A14577" s="786" t="s">
        <v>26390</v>
      </c>
      <c r="B14577" s="787">
        <v>4</v>
      </c>
      <c r="C14577" s="787" t="s">
        <v>26391</v>
      </c>
      <c r="D14577" s="787">
        <v>6.74</v>
      </c>
      <c r="E14577" s="787">
        <v>6.74</v>
      </c>
      <c r="F14577" s="788">
        <v>41190</v>
      </c>
      <c r="G14577" s="788">
        <v>41169</v>
      </c>
      <c r="H14577" s="787">
        <v>1</v>
      </c>
      <c r="I14577" s="788">
        <v>42165</v>
      </c>
      <c r="J14577" s="788">
        <v>42158</v>
      </c>
      <c r="K14577" s="788">
        <v>41141</v>
      </c>
      <c r="L14577" s="787">
        <v>6.74</v>
      </c>
      <c r="M14577" s="787">
        <v>20</v>
      </c>
      <c r="N14577" s="787">
        <v>7.25</v>
      </c>
      <c r="O14577" s="788">
        <v>41949</v>
      </c>
    </row>
    <row r="14578" spans="1:15" x14ac:dyDescent="0.25">
      <c r="A14578" s="786" t="s">
        <v>26392</v>
      </c>
      <c r="B14578" s="787">
        <v>4</v>
      </c>
      <c r="C14578" s="787" t="s">
        <v>26393</v>
      </c>
      <c r="D14578" s="787">
        <v>2.4700000000000002</v>
      </c>
      <c r="E14578" s="787">
        <v>2.4700000000000002</v>
      </c>
      <c r="F14578" s="788">
        <v>41190</v>
      </c>
      <c r="G14578" s="788">
        <v>42052</v>
      </c>
      <c r="H14578" s="787">
        <v>1</v>
      </c>
      <c r="I14578" s="788">
        <v>42165</v>
      </c>
      <c r="J14578" s="788">
        <v>42158</v>
      </c>
      <c r="K14578" s="788">
        <v>41141</v>
      </c>
      <c r="L14578" s="787">
        <v>2.4700000000000002</v>
      </c>
      <c r="M14578" s="787">
        <v>20</v>
      </c>
      <c r="N14578" s="787">
        <v>2.66</v>
      </c>
      <c r="O14578" s="788">
        <v>41978</v>
      </c>
    </row>
    <row r="14579" spans="1:15" x14ac:dyDescent="0.25">
      <c r="A14579" s="786" t="s">
        <v>26394</v>
      </c>
      <c r="B14579" s="787">
        <v>4</v>
      </c>
      <c r="C14579" s="787" t="s">
        <v>26395</v>
      </c>
      <c r="D14579" s="787">
        <v>1.99</v>
      </c>
      <c r="E14579" s="787">
        <v>9.23</v>
      </c>
      <c r="F14579" s="788">
        <v>41235</v>
      </c>
      <c r="G14579" s="788">
        <v>41294</v>
      </c>
      <c r="H14579" s="787">
        <v>1</v>
      </c>
      <c r="I14579" s="788">
        <v>41260</v>
      </c>
      <c r="J14579" s="788">
        <v>41219</v>
      </c>
      <c r="K14579" s="788">
        <v>41149</v>
      </c>
      <c r="L14579" s="787">
        <v>9.23</v>
      </c>
      <c r="M14579" s="787">
        <v>20</v>
      </c>
      <c r="N14579" s="787">
        <v>9.92</v>
      </c>
      <c r="O14579" s="788">
        <v>41858</v>
      </c>
    </row>
    <row r="14580" spans="1:15" x14ac:dyDescent="0.25">
      <c r="A14580" s="786" t="s">
        <v>26396</v>
      </c>
      <c r="B14580" s="787">
        <v>4</v>
      </c>
      <c r="C14580" s="787" t="s">
        <v>26397</v>
      </c>
      <c r="D14580" s="787">
        <v>0.51</v>
      </c>
      <c r="E14580" s="787">
        <v>0.68</v>
      </c>
      <c r="F14580" s="788">
        <v>41235</v>
      </c>
      <c r="G14580" s="788">
        <v>41362</v>
      </c>
      <c r="H14580" s="787">
        <v>1</v>
      </c>
      <c r="I14580" s="788">
        <v>41456</v>
      </c>
      <c r="J14580" s="788">
        <v>41312</v>
      </c>
      <c r="K14580" s="788">
        <v>41869</v>
      </c>
      <c r="L14580" s="787">
        <v>0.68</v>
      </c>
      <c r="M14580" s="787">
        <v>20</v>
      </c>
      <c r="N14580" s="787">
        <v>2.9</v>
      </c>
      <c r="O14580" s="788">
        <v>41858</v>
      </c>
    </row>
    <row r="14581" spans="1:15" x14ac:dyDescent="0.25">
      <c r="A14581" s="786" t="s">
        <v>26398</v>
      </c>
      <c r="B14581" s="787">
        <v>4</v>
      </c>
      <c r="C14581" s="787" t="s">
        <v>26399</v>
      </c>
      <c r="D14581" s="787">
        <v>8.5399999999999991</v>
      </c>
      <c r="E14581" s="787">
        <v>8.5399999999999991</v>
      </c>
      <c r="F14581" s="788">
        <v>41311</v>
      </c>
      <c r="G14581" s="788">
        <v>42158</v>
      </c>
      <c r="H14581" s="787">
        <v>1</v>
      </c>
      <c r="I14581" s="788">
        <v>42166</v>
      </c>
      <c r="J14581" s="788">
        <v>42158</v>
      </c>
      <c r="K14581" s="788">
        <v>41260</v>
      </c>
      <c r="L14581" s="787">
        <v>8.5399999999999991</v>
      </c>
      <c r="M14581" s="787">
        <v>20</v>
      </c>
      <c r="N14581" s="787">
        <v>9.18</v>
      </c>
      <c r="O14581" s="788">
        <v>41949</v>
      </c>
    </row>
    <row r="14582" spans="1:15" x14ac:dyDescent="0.25">
      <c r="A14582" s="786" t="s">
        <v>26400</v>
      </c>
      <c r="B14582" s="787">
        <v>4</v>
      </c>
      <c r="C14582" s="787" t="s">
        <v>26401</v>
      </c>
      <c r="D14582" s="787">
        <v>7.78</v>
      </c>
      <c r="E14582" s="787">
        <v>7.78</v>
      </c>
      <c r="F14582" s="788">
        <v>41311</v>
      </c>
      <c r="G14582" s="788">
        <v>42158</v>
      </c>
      <c r="H14582" s="787">
        <v>1</v>
      </c>
      <c r="I14582" s="788">
        <v>42165</v>
      </c>
      <c r="J14582" s="788">
        <v>42158</v>
      </c>
      <c r="K14582" s="788">
        <v>41260</v>
      </c>
      <c r="L14582" s="787">
        <v>7.78</v>
      </c>
      <c r="M14582" s="787">
        <v>20</v>
      </c>
      <c r="N14582" s="787">
        <v>8.36</v>
      </c>
      <c r="O14582" s="788">
        <v>42065</v>
      </c>
    </row>
    <row r="14583" spans="1:15" x14ac:dyDescent="0.25">
      <c r="A14583" s="786" t="s">
        <v>26402</v>
      </c>
      <c r="B14583" s="787">
        <v>4</v>
      </c>
      <c r="C14583" s="787" t="s">
        <v>26403</v>
      </c>
      <c r="D14583" s="787">
        <v>4.8099999999999996</v>
      </c>
      <c r="E14583" s="787">
        <v>15.8</v>
      </c>
      <c r="F14583" s="788">
        <v>41338</v>
      </c>
      <c r="G14583" s="788">
        <v>42158</v>
      </c>
      <c r="H14583" s="787">
        <v>1</v>
      </c>
      <c r="I14583" s="788">
        <v>42164</v>
      </c>
      <c r="J14583" s="788">
        <v>42153</v>
      </c>
      <c r="K14583" s="788">
        <v>41260</v>
      </c>
      <c r="L14583" s="787">
        <v>14.81</v>
      </c>
      <c r="M14583" s="787">
        <v>20</v>
      </c>
      <c r="N14583" s="787">
        <v>15.92</v>
      </c>
      <c r="O14583" s="788">
        <v>41949</v>
      </c>
    </row>
    <row r="14584" spans="1:15" x14ac:dyDescent="0.25">
      <c r="A14584" s="786" t="s">
        <v>26404</v>
      </c>
      <c r="B14584" s="787">
        <v>4</v>
      </c>
      <c r="C14584" s="787" t="s">
        <v>26405</v>
      </c>
      <c r="D14584" s="787">
        <v>9.44</v>
      </c>
      <c r="E14584" s="787">
        <v>31.41</v>
      </c>
      <c r="F14584" s="788">
        <v>41311</v>
      </c>
      <c r="G14584" s="788">
        <v>42158</v>
      </c>
      <c r="H14584" s="787">
        <v>1</v>
      </c>
      <c r="I14584" s="788">
        <v>42166</v>
      </c>
      <c r="J14584" s="788">
        <v>42158</v>
      </c>
      <c r="K14584" s="788">
        <v>41260</v>
      </c>
      <c r="L14584" s="787">
        <v>29.44</v>
      </c>
      <c r="M14584" s="787">
        <v>20</v>
      </c>
      <c r="N14584" s="787">
        <v>31.65</v>
      </c>
      <c r="O14584" s="788">
        <v>41991</v>
      </c>
    </row>
    <row r="14585" spans="1:15" x14ac:dyDescent="0.25">
      <c r="A14585" s="786" t="s">
        <v>26406</v>
      </c>
      <c r="B14585" s="787">
        <v>4</v>
      </c>
      <c r="C14585" s="787" t="s">
        <v>26407</v>
      </c>
      <c r="D14585" s="787">
        <v>5.84</v>
      </c>
      <c r="E14585" s="787">
        <v>35.840000000000003</v>
      </c>
      <c r="F14585" s="788">
        <v>41338</v>
      </c>
      <c r="G14585" s="788">
        <v>42165</v>
      </c>
      <c r="H14585" s="787">
        <v>1</v>
      </c>
      <c r="I14585" s="788">
        <v>42165</v>
      </c>
      <c r="J14585" s="788">
        <v>42165</v>
      </c>
      <c r="K14585" s="788">
        <v>41260</v>
      </c>
      <c r="L14585" s="787">
        <v>35.85</v>
      </c>
      <c r="M14585" s="787">
        <v>20</v>
      </c>
      <c r="N14585" s="787">
        <v>38.54</v>
      </c>
      <c r="O14585" s="788">
        <v>42065</v>
      </c>
    </row>
    <row r="14586" spans="1:15" x14ac:dyDescent="0.25">
      <c r="A14586" s="786" t="s">
        <v>26408</v>
      </c>
      <c r="B14586" s="787">
        <v>4</v>
      </c>
      <c r="C14586" s="787" t="s">
        <v>26409</v>
      </c>
      <c r="D14586" s="787">
        <v>7.6</v>
      </c>
      <c r="E14586" s="787">
        <v>72.11</v>
      </c>
      <c r="F14586" s="788">
        <v>41520</v>
      </c>
      <c r="G14586" s="788">
        <v>42158</v>
      </c>
      <c r="H14586" s="787">
        <v>1</v>
      </c>
      <c r="I14586" s="788">
        <v>42165</v>
      </c>
      <c r="J14586" s="788">
        <v>42153</v>
      </c>
      <c r="K14586" s="788">
        <v>41260</v>
      </c>
      <c r="L14586" s="787">
        <v>67.8</v>
      </c>
      <c r="M14586" s="787">
        <v>20</v>
      </c>
      <c r="N14586" s="787">
        <v>72.89</v>
      </c>
      <c r="O14586" s="788">
        <v>42046</v>
      </c>
    </row>
    <row r="14587" spans="1:15" x14ac:dyDescent="0.25">
      <c r="A14587" s="786" t="s">
        <v>26410</v>
      </c>
      <c r="B14587" s="787">
        <v>4</v>
      </c>
      <c r="C14587" s="787" t="s">
        <v>26411</v>
      </c>
      <c r="D14587" s="787">
        <v>4.8</v>
      </c>
      <c r="E14587" s="787">
        <v>4.8</v>
      </c>
      <c r="F14587" s="788">
        <v>41400</v>
      </c>
      <c r="G14587" s="788">
        <v>41421</v>
      </c>
      <c r="H14587" s="787">
        <v>1</v>
      </c>
      <c r="I14587" s="788">
        <v>41824</v>
      </c>
      <c r="J14587" s="788">
        <v>41823</v>
      </c>
      <c r="K14587" s="788">
        <v>41865</v>
      </c>
      <c r="L14587" s="787">
        <v>4.8</v>
      </c>
      <c r="M14587" s="787">
        <v>20</v>
      </c>
      <c r="N14587" s="787">
        <v>1.08</v>
      </c>
      <c r="O14587" s="788">
        <v>41858</v>
      </c>
    </row>
    <row r="14588" spans="1:15" x14ac:dyDescent="0.25">
      <c r="A14588" s="786" t="s">
        <v>26412</v>
      </c>
      <c r="B14588" s="787">
        <v>4</v>
      </c>
      <c r="C14588" s="787" t="s">
        <v>26413</v>
      </c>
      <c r="D14588" s="787">
        <v>2.79</v>
      </c>
      <c r="E14588" s="787">
        <v>2.92</v>
      </c>
      <c r="F14588" s="788">
        <v>41517</v>
      </c>
      <c r="G14588" s="788">
        <v>41984</v>
      </c>
      <c r="H14588" s="787">
        <v>1</v>
      </c>
      <c r="I14588" s="788">
        <v>42164</v>
      </c>
      <c r="J14588" s="788">
        <v>42151</v>
      </c>
      <c r="K14588" s="788">
        <v>41841</v>
      </c>
      <c r="L14588" s="787">
        <v>2.86</v>
      </c>
      <c r="M14588" s="787">
        <v>20</v>
      </c>
      <c r="N14588" s="787">
        <v>3.07</v>
      </c>
      <c r="O14588" s="788">
        <v>41858</v>
      </c>
    </row>
    <row r="14589" spans="1:15" x14ac:dyDescent="0.25">
      <c r="A14589" s="786" t="s">
        <v>26414</v>
      </c>
      <c r="B14589" s="787">
        <v>4</v>
      </c>
      <c r="C14589" s="787" t="s">
        <v>26413</v>
      </c>
      <c r="D14589" s="787">
        <v>6.8</v>
      </c>
      <c r="E14589" s="787">
        <v>7.21</v>
      </c>
      <c r="F14589" s="788">
        <v>41517</v>
      </c>
      <c r="G14589" s="788">
        <v>42008</v>
      </c>
      <c r="H14589" s="787">
        <v>1</v>
      </c>
      <c r="I14589" s="788">
        <v>42164</v>
      </c>
      <c r="J14589" s="788">
        <v>42151</v>
      </c>
      <c r="K14589" s="788">
        <v>41386</v>
      </c>
      <c r="L14589" s="787">
        <v>7</v>
      </c>
      <c r="M14589" s="787">
        <v>20</v>
      </c>
      <c r="N14589" s="787">
        <v>7.53</v>
      </c>
      <c r="O14589" s="788">
        <v>41858</v>
      </c>
    </row>
    <row r="14590" spans="1:15" x14ac:dyDescent="0.25">
      <c r="A14590" s="786" t="s">
        <v>26415</v>
      </c>
      <c r="B14590" s="787">
        <v>4</v>
      </c>
      <c r="C14590" s="787" t="s">
        <v>26413</v>
      </c>
      <c r="D14590" s="787">
        <v>9.7899999999999991</v>
      </c>
      <c r="E14590" s="787">
        <v>10.06</v>
      </c>
      <c r="F14590" s="788">
        <v>41624</v>
      </c>
      <c r="G14590" s="788">
        <v>42069</v>
      </c>
      <c r="H14590" s="787">
        <v>1</v>
      </c>
      <c r="I14590" s="788">
        <v>42087</v>
      </c>
      <c r="J14590" s="788">
        <v>42080</v>
      </c>
      <c r="K14590" s="788">
        <v>41751</v>
      </c>
      <c r="L14590" s="787">
        <v>9.7899999999999991</v>
      </c>
      <c r="M14590" s="787">
        <v>20</v>
      </c>
      <c r="N14590" s="787">
        <v>10.52</v>
      </c>
      <c r="O14590" s="788">
        <v>41858</v>
      </c>
    </row>
    <row r="14591" spans="1:15" x14ac:dyDescent="0.25">
      <c r="A14591" s="786" t="s">
        <v>26416</v>
      </c>
      <c r="B14591" s="787">
        <v>4</v>
      </c>
      <c r="C14591" s="787" t="s">
        <v>26417</v>
      </c>
      <c r="D14591" s="787">
        <v>1</v>
      </c>
      <c r="E14591" s="789">
        <v>1661</v>
      </c>
      <c r="F14591" s="788">
        <v>41684</v>
      </c>
      <c r="G14591" s="788">
        <v>42013</v>
      </c>
      <c r="H14591" s="787">
        <v>1</v>
      </c>
      <c r="I14591" s="788">
        <v>42165</v>
      </c>
      <c r="J14591" s="788">
        <v>41757</v>
      </c>
      <c r="K14591" s="788">
        <v>42047</v>
      </c>
      <c r="L14591" s="787">
        <v>16.61</v>
      </c>
      <c r="M14591" s="787">
        <v>20</v>
      </c>
      <c r="N14591" s="787">
        <v>17.86</v>
      </c>
      <c r="O14591" s="788">
        <v>42047</v>
      </c>
    </row>
    <row r="14592" spans="1:15" x14ac:dyDescent="0.25">
      <c r="A14592" s="786" t="s">
        <v>26418</v>
      </c>
      <c r="B14592" s="787">
        <v>4</v>
      </c>
      <c r="C14592" s="787" t="s">
        <v>26419</v>
      </c>
      <c r="D14592" s="787">
        <v>7.16</v>
      </c>
      <c r="E14592" s="787">
        <v>7.16</v>
      </c>
      <c r="F14592" s="788">
        <v>41474</v>
      </c>
      <c r="G14592" s="788">
        <v>42016</v>
      </c>
      <c r="H14592" s="787">
        <v>1</v>
      </c>
      <c r="I14592" s="788">
        <v>42150</v>
      </c>
      <c r="J14592" s="788">
        <v>42152</v>
      </c>
      <c r="K14592" s="788">
        <v>41421</v>
      </c>
      <c r="L14592" s="787">
        <v>7.16</v>
      </c>
      <c r="M14592" s="787">
        <v>20</v>
      </c>
      <c r="N14592" s="787">
        <v>7.7</v>
      </c>
      <c r="O14592" s="788">
        <v>41949</v>
      </c>
    </row>
    <row r="14593" spans="1:15" x14ac:dyDescent="0.25">
      <c r="A14593" s="786" t="s">
        <v>26420</v>
      </c>
      <c r="B14593" s="787">
        <v>4</v>
      </c>
      <c r="C14593" s="787" t="s">
        <v>26421</v>
      </c>
      <c r="D14593" s="787">
        <v>2.5499999999999998</v>
      </c>
      <c r="E14593" s="787">
        <v>2.72</v>
      </c>
      <c r="F14593" s="788">
        <v>41463</v>
      </c>
      <c r="G14593" s="788">
        <v>42158</v>
      </c>
      <c r="H14593" s="787">
        <v>1</v>
      </c>
      <c r="I14593" s="788">
        <v>42164</v>
      </c>
      <c r="J14593" s="788">
        <v>42158</v>
      </c>
      <c r="K14593" s="788">
        <v>41421</v>
      </c>
      <c r="L14593" s="787">
        <v>2.41</v>
      </c>
      <c r="M14593" s="787">
        <v>20</v>
      </c>
      <c r="N14593" s="787">
        <v>2.59</v>
      </c>
      <c r="O14593" s="788">
        <v>41949</v>
      </c>
    </row>
    <row r="14594" spans="1:15" x14ac:dyDescent="0.25">
      <c r="A14594" s="786" t="s">
        <v>26422</v>
      </c>
      <c r="B14594" s="787">
        <v>4</v>
      </c>
      <c r="C14594" s="787" t="s">
        <v>26423</v>
      </c>
      <c r="D14594" s="787">
        <v>9.27</v>
      </c>
      <c r="E14594" s="787">
        <v>87.81</v>
      </c>
      <c r="F14594" s="788">
        <v>41948</v>
      </c>
      <c r="G14594" s="788">
        <v>42146</v>
      </c>
      <c r="H14594" s="787">
        <v>1</v>
      </c>
      <c r="I14594" s="788">
        <v>42159</v>
      </c>
      <c r="J14594" s="788">
        <v>42116</v>
      </c>
      <c r="K14594" s="788">
        <v>41604</v>
      </c>
      <c r="L14594" s="787">
        <v>87.81</v>
      </c>
      <c r="M14594" s="787">
        <v>20</v>
      </c>
      <c r="N14594" s="787">
        <v>94.4</v>
      </c>
      <c r="O14594" s="788">
        <v>41996</v>
      </c>
    </row>
    <row r="14595" spans="1:15" x14ac:dyDescent="0.25">
      <c r="A14595" s="786" t="s">
        <v>26424</v>
      </c>
      <c r="B14595" s="787">
        <v>4</v>
      </c>
      <c r="C14595" s="787" t="s">
        <v>26425</v>
      </c>
      <c r="D14595" s="787">
        <v>7.66</v>
      </c>
      <c r="E14595" s="787">
        <v>142.97999999999999</v>
      </c>
      <c r="F14595" s="788">
        <v>41495</v>
      </c>
      <c r="G14595" s="788">
        <v>42013</v>
      </c>
      <c r="H14595" s="787">
        <v>1</v>
      </c>
      <c r="I14595" s="788">
        <v>41768</v>
      </c>
      <c r="J14595" s="788">
        <v>41857</v>
      </c>
      <c r="K14595" s="788">
        <v>41624</v>
      </c>
      <c r="L14595" s="787">
        <v>142.97999999999999</v>
      </c>
      <c r="M14595" s="787">
        <v>20</v>
      </c>
      <c r="N14595" s="787">
        <v>153.69999999999999</v>
      </c>
      <c r="O14595" s="788">
        <v>41858</v>
      </c>
    </row>
    <row r="14596" spans="1:15" x14ac:dyDescent="0.25">
      <c r="A14596" s="786" t="s">
        <v>26426</v>
      </c>
      <c r="B14596" s="787">
        <v>4</v>
      </c>
      <c r="C14596" s="787" t="s">
        <v>26427</v>
      </c>
      <c r="D14596" s="787">
        <v>9.43</v>
      </c>
      <c r="E14596" s="787">
        <v>19.43</v>
      </c>
      <c r="F14596" s="788">
        <v>41485</v>
      </c>
      <c r="G14596" s="788">
        <v>41480</v>
      </c>
      <c r="H14596" s="787">
        <v>1</v>
      </c>
      <c r="I14596" s="788">
        <v>42159</v>
      </c>
      <c r="J14596" s="788">
        <v>42146</v>
      </c>
      <c r="K14596" s="788">
        <v>41478</v>
      </c>
      <c r="L14596" s="787">
        <v>19.43</v>
      </c>
      <c r="M14596" s="787">
        <v>20</v>
      </c>
      <c r="N14596" s="787">
        <v>20.89</v>
      </c>
      <c r="O14596" s="788">
        <v>41858</v>
      </c>
    </row>
    <row r="14597" spans="1:15" x14ac:dyDescent="0.25">
      <c r="A14597" s="786" t="s">
        <v>26428</v>
      </c>
      <c r="B14597" s="787">
        <v>4</v>
      </c>
      <c r="C14597" s="787" t="s">
        <v>26429</v>
      </c>
      <c r="D14597" s="787">
        <v>3.77</v>
      </c>
      <c r="E14597" s="787">
        <v>3.89</v>
      </c>
      <c r="F14597" s="788">
        <v>41488</v>
      </c>
      <c r="G14597" s="788">
        <v>42092</v>
      </c>
      <c r="H14597" s="787">
        <v>1</v>
      </c>
      <c r="I14597" s="788">
        <v>42117</v>
      </c>
      <c r="J14597" s="788">
        <v>42059</v>
      </c>
      <c r="K14597" s="788">
        <v>42055</v>
      </c>
      <c r="L14597" s="787">
        <v>3.89</v>
      </c>
      <c r="M14597" s="787">
        <v>20</v>
      </c>
      <c r="N14597" s="787">
        <v>4.18</v>
      </c>
      <c r="O14597" s="788">
        <v>42055</v>
      </c>
    </row>
    <row r="14598" spans="1:15" x14ac:dyDescent="0.25">
      <c r="A14598" s="786" t="s">
        <v>26430</v>
      </c>
      <c r="B14598" s="787">
        <v>4</v>
      </c>
      <c r="C14598" s="787" t="s">
        <v>26431</v>
      </c>
      <c r="D14598" s="787">
        <v>0.87</v>
      </c>
      <c r="E14598" s="787">
        <v>30.87</v>
      </c>
      <c r="F14598" s="788">
        <v>41663</v>
      </c>
      <c r="G14598" s="788">
        <v>42013</v>
      </c>
      <c r="H14598" s="787">
        <v>1</v>
      </c>
      <c r="I14598" s="788">
        <v>41970</v>
      </c>
      <c r="J14598" s="788">
        <v>41940</v>
      </c>
      <c r="K14598" s="788">
        <v>41653</v>
      </c>
      <c r="L14598" s="787">
        <v>30.87</v>
      </c>
      <c r="M14598" s="787">
        <v>20</v>
      </c>
      <c r="N14598" s="787">
        <v>33.19</v>
      </c>
      <c r="O14598" s="788">
        <v>41858</v>
      </c>
    </row>
    <row r="14599" spans="1:15" x14ac:dyDescent="0.25">
      <c r="A14599" s="786" t="s">
        <v>26432</v>
      </c>
      <c r="B14599" s="787">
        <v>4</v>
      </c>
      <c r="C14599" s="787" t="s">
        <v>26433</v>
      </c>
      <c r="D14599" s="787">
        <v>0</v>
      </c>
      <c r="E14599" s="787">
        <v>0</v>
      </c>
      <c r="H14599" s="787">
        <v>1</v>
      </c>
      <c r="K14599" s="788">
        <v>41445</v>
      </c>
      <c r="L14599" s="787">
        <v>1.28</v>
      </c>
      <c r="M14599" s="787">
        <v>20</v>
      </c>
      <c r="N14599" s="787">
        <v>1.38</v>
      </c>
      <c r="O14599" s="788">
        <v>41858</v>
      </c>
    </row>
    <row r="14600" spans="1:15" x14ac:dyDescent="0.25">
      <c r="A14600" s="786" t="s">
        <v>26434</v>
      </c>
      <c r="B14600" s="787">
        <v>4</v>
      </c>
      <c r="C14600" s="787" t="s">
        <v>26433</v>
      </c>
      <c r="D14600" s="787">
        <v>3.98</v>
      </c>
      <c r="E14600" s="787">
        <v>3.98</v>
      </c>
      <c r="F14600" s="788">
        <v>41660</v>
      </c>
      <c r="G14600" s="788">
        <v>41667</v>
      </c>
      <c r="H14600" s="787">
        <v>1</v>
      </c>
      <c r="I14600" s="788">
        <v>41654</v>
      </c>
      <c r="J14600" s="788">
        <v>41653</v>
      </c>
      <c r="K14600" s="788">
        <v>41865</v>
      </c>
      <c r="L14600" s="787">
        <v>3.98</v>
      </c>
      <c r="M14600" s="787">
        <v>20</v>
      </c>
      <c r="N14600" s="787">
        <v>1.8</v>
      </c>
      <c r="O14600" s="788">
        <v>41858</v>
      </c>
    </row>
    <row r="14601" spans="1:15" x14ac:dyDescent="0.25">
      <c r="A14601" s="786" t="s">
        <v>26435</v>
      </c>
      <c r="B14601" s="787">
        <v>4</v>
      </c>
      <c r="C14601" s="787" t="s">
        <v>26433</v>
      </c>
      <c r="D14601" s="787">
        <v>0</v>
      </c>
      <c r="E14601" s="787">
        <v>0</v>
      </c>
      <c r="H14601" s="787">
        <v>1</v>
      </c>
      <c r="K14601" s="788">
        <v>41445</v>
      </c>
      <c r="L14601" s="787">
        <v>3.02</v>
      </c>
      <c r="M14601" s="787">
        <v>20</v>
      </c>
      <c r="N14601" s="787">
        <v>3.25</v>
      </c>
      <c r="O14601" s="788">
        <v>41858</v>
      </c>
    </row>
    <row r="14602" spans="1:15" x14ac:dyDescent="0.25">
      <c r="A14602" s="786" t="s">
        <v>26436</v>
      </c>
      <c r="B14602" s="787">
        <v>4</v>
      </c>
      <c r="C14602" s="787" t="s">
        <v>26433</v>
      </c>
      <c r="D14602" s="787">
        <v>0</v>
      </c>
      <c r="E14602" s="787">
        <v>0</v>
      </c>
      <c r="H14602" s="787">
        <v>1</v>
      </c>
      <c r="K14602" s="788">
        <v>41445</v>
      </c>
      <c r="L14602" s="787">
        <v>4.18</v>
      </c>
      <c r="M14602" s="787">
        <v>20</v>
      </c>
      <c r="N14602" s="787">
        <v>4.49</v>
      </c>
      <c r="O14602" s="788">
        <v>41858</v>
      </c>
    </row>
    <row r="14603" spans="1:15" x14ac:dyDescent="0.25">
      <c r="A14603" s="786" t="s">
        <v>26437</v>
      </c>
      <c r="B14603" s="787">
        <v>4</v>
      </c>
      <c r="C14603" s="787" t="s">
        <v>26438</v>
      </c>
      <c r="D14603" s="787">
        <v>0</v>
      </c>
      <c r="E14603" s="787">
        <v>0</v>
      </c>
      <c r="H14603" s="787">
        <v>1</v>
      </c>
      <c r="K14603" s="788">
        <v>41445</v>
      </c>
      <c r="L14603" s="787">
        <v>1.48</v>
      </c>
      <c r="M14603" s="787">
        <v>20</v>
      </c>
      <c r="N14603" s="787">
        <v>1.59</v>
      </c>
      <c r="O14603" s="788">
        <v>41858</v>
      </c>
    </row>
    <row r="14604" spans="1:15" x14ac:dyDescent="0.25">
      <c r="A14604" s="786" t="s">
        <v>26439</v>
      </c>
      <c r="B14604" s="787">
        <v>4</v>
      </c>
      <c r="C14604" s="787" t="s">
        <v>26440</v>
      </c>
      <c r="D14604" s="787">
        <v>0</v>
      </c>
      <c r="E14604" s="787">
        <v>0</v>
      </c>
      <c r="H14604" s="787">
        <v>1</v>
      </c>
      <c r="K14604" s="788">
        <v>41445</v>
      </c>
      <c r="L14604" s="787">
        <v>1.48</v>
      </c>
      <c r="M14604" s="787">
        <v>20</v>
      </c>
      <c r="N14604" s="787">
        <v>1.59</v>
      </c>
      <c r="O14604" s="788">
        <v>41858</v>
      </c>
    </row>
    <row r="14605" spans="1:15" x14ac:dyDescent="0.25">
      <c r="A14605" s="786" t="s">
        <v>26441</v>
      </c>
      <c r="B14605" s="787">
        <v>4</v>
      </c>
      <c r="C14605" s="787" t="s">
        <v>26438</v>
      </c>
      <c r="D14605" s="787">
        <v>0</v>
      </c>
      <c r="E14605" s="787">
        <v>0</v>
      </c>
      <c r="H14605" s="787">
        <v>1</v>
      </c>
      <c r="K14605" s="788">
        <v>41445</v>
      </c>
      <c r="L14605" s="787">
        <v>1.85</v>
      </c>
      <c r="M14605" s="787">
        <v>20</v>
      </c>
      <c r="N14605" s="787">
        <v>1.99</v>
      </c>
      <c r="O14605" s="788">
        <v>41858</v>
      </c>
    </row>
    <row r="14606" spans="1:15" x14ac:dyDescent="0.25">
      <c r="A14606" s="786" t="s">
        <v>26442</v>
      </c>
      <c r="B14606" s="787">
        <v>4</v>
      </c>
      <c r="C14606" s="787" t="s">
        <v>26443</v>
      </c>
      <c r="D14606" s="787">
        <v>3.47</v>
      </c>
      <c r="E14606" s="787">
        <v>15.68</v>
      </c>
      <c r="F14606" s="788">
        <v>41669</v>
      </c>
      <c r="G14606" s="788">
        <v>41754</v>
      </c>
      <c r="H14606" s="787">
        <v>1</v>
      </c>
      <c r="I14606" s="788">
        <v>42124</v>
      </c>
      <c r="J14606" s="788">
        <v>42124</v>
      </c>
      <c r="K14606" s="788">
        <v>41745</v>
      </c>
      <c r="L14606" s="787">
        <v>15.68</v>
      </c>
      <c r="M14606" s="787">
        <v>20</v>
      </c>
      <c r="N14606" s="787">
        <v>16.86</v>
      </c>
      <c r="O14606" s="788">
        <v>41858</v>
      </c>
    </row>
    <row r="14607" spans="1:15" x14ac:dyDescent="0.25">
      <c r="A14607" s="786" t="s">
        <v>26444</v>
      </c>
      <c r="B14607" s="787">
        <v>4</v>
      </c>
      <c r="C14607" s="787" t="s">
        <v>26445</v>
      </c>
      <c r="D14607" s="787">
        <v>4.93</v>
      </c>
      <c r="E14607" s="787">
        <v>24.93</v>
      </c>
      <c r="F14607" s="788">
        <v>41684</v>
      </c>
      <c r="G14607" s="788">
        <v>41765</v>
      </c>
      <c r="H14607" s="787">
        <v>1</v>
      </c>
      <c r="I14607" s="788">
        <v>41681</v>
      </c>
      <c r="J14607" s="788">
        <v>41680</v>
      </c>
      <c r="K14607" s="788">
        <v>41680</v>
      </c>
      <c r="L14607" s="787">
        <v>35</v>
      </c>
      <c r="M14607" s="787">
        <v>20</v>
      </c>
      <c r="N14607" s="787">
        <v>37.630000000000003</v>
      </c>
      <c r="O14607" s="788">
        <v>41858</v>
      </c>
    </row>
    <row r="14608" spans="1:15" x14ac:dyDescent="0.25">
      <c r="A14608" s="786" t="s">
        <v>26446</v>
      </c>
      <c r="B14608" s="787">
        <v>4</v>
      </c>
      <c r="C14608" s="787" t="s">
        <v>26447</v>
      </c>
      <c r="D14608" s="787">
        <v>1.69</v>
      </c>
      <c r="E14608" s="787">
        <v>1.98</v>
      </c>
      <c r="F14608" s="788">
        <v>41948</v>
      </c>
      <c r="G14608" s="788">
        <v>42165</v>
      </c>
      <c r="H14608" s="787">
        <v>1</v>
      </c>
      <c r="I14608" s="788">
        <v>42163</v>
      </c>
      <c r="J14608" s="788">
        <v>42165</v>
      </c>
      <c r="K14608" s="788">
        <v>41857</v>
      </c>
      <c r="L14608" s="787">
        <v>1.98</v>
      </c>
      <c r="M14608" s="787">
        <v>20</v>
      </c>
      <c r="N14608" s="787">
        <v>2.13</v>
      </c>
      <c r="O14608" s="788">
        <v>42146</v>
      </c>
    </row>
    <row r="14609" spans="1:15" x14ac:dyDescent="0.25">
      <c r="A14609" s="786" t="s">
        <v>26448</v>
      </c>
      <c r="B14609" s="787">
        <v>4</v>
      </c>
      <c r="C14609" s="787" t="s">
        <v>26449</v>
      </c>
      <c r="D14609" s="787">
        <v>0</v>
      </c>
      <c r="E14609" s="787">
        <v>0</v>
      </c>
      <c r="H14609" s="787">
        <v>1</v>
      </c>
      <c r="K14609" s="788">
        <v>42060</v>
      </c>
      <c r="L14609" s="787">
        <v>8</v>
      </c>
      <c r="M14609" s="787">
        <v>20</v>
      </c>
      <c r="N14609" s="787">
        <v>8.6</v>
      </c>
      <c r="O14609" s="788">
        <v>42061</v>
      </c>
    </row>
    <row r="14610" spans="1:15" x14ac:dyDescent="0.25">
      <c r="A14610" s="786" t="s">
        <v>26450</v>
      </c>
      <c r="B14610" s="787">
        <v>4</v>
      </c>
      <c r="C14610" s="787" t="s">
        <v>26451</v>
      </c>
      <c r="D14610" s="787">
        <v>0</v>
      </c>
      <c r="E14610" s="787">
        <v>0</v>
      </c>
      <c r="H14610" s="787">
        <v>1</v>
      </c>
      <c r="K14610" s="788">
        <v>42060</v>
      </c>
      <c r="L14610" s="787">
        <v>5</v>
      </c>
      <c r="M14610" s="787">
        <v>20</v>
      </c>
      <c r="N14610" s="787">
        <v>5.38</v>
      </c>
      <c r="O14610" s="788">
        <v>42061</v>
      </c>
    </row>
    <row r="14611" spans="1:15" x14ac:dyDescent="0.25">
      <c r="A14611" s="786" t="s">
        <v>26452</v>
      </c>
      <c r="B14611" s="787">
        <v>4</v>
      </c>
      <c r="C14611" s="787" t="s">
        <v>26453</v>
      </c>
      <c r="D14611" s="787">
        <v>9.43</v>
      </c>
      <c r="E14611" s="787">
        <v>19.43</v>
      </c>
      <c r="F14611" s="788">
        <v>41943</v>
      </c>
      <c r="G14611" s="788">
        <v>41934</v>
      </c>
      <c r="H14611" s="787">
        <v>1</v>
      </c>
      <c r="J14611" s="788">
        <v>41934</v>
      </c>
      <c r="K14611" s="788">
        <v>41932</v>
      </c>
      <c r="L14611" s="787">
        <v>19.43</v>
      </c>
      <c r="M14611" s="787">
        <v>20</v>
      </c>
      <c r="N14611" s="787">
        <v>20.89</v>
      </c>
      <c r="O14611" s="788">
        <v>41932</v>
      </c>
    </row>
    <row r="14612" spans="1:15" x14ac:dyDescent="0.25">
      <c r="A14612" s="786" t="s">
        <v>26454</v>
      </c>
      <c r="B14612" s="787">
        <v>4</v>
      </c>
      <c r="C14612" s="787" t="s">
        <v>26455</v>
      </c>
      <c r="D14612" s="787">
        <v>1.6</v>
      </c>
      <c r="E14612" s="787">
        <v>81.599999999999994</v>
      </c>
      <c r="F14612" s="788">
        <v>37642</v>
      </c>
      <c r="G14612" s="788">
        <v>37642</v>
      </c>
      <c r="H14612" s="787">
        <v>1</v>
      </c>
      <c r="J14612" s="788">
        <v>37642</v>
      </c>
      <c r="L14612" s="787">
        <v>88.94</v>
      </c>
      <c r="M14612" s="787">
        <v>20</v>
      </c>
      <c r="N14612" s="787">
        <v>95.61</v>
      </c>
      <c r="O14612" s="788">
        <v>41858</v>
      </c>
    </row>
    <row r="14613" spans="1:15" x14ac:dyDescent="0.25">
      <c r="A14613" s="786" t="s">
        <v>26456</v>
      </c>
      <c r="B14613" s="787">
        <v>4</v>
      </c>
      <c r="C14613" s="787" t="s">
        <v>26457</v>
      </c>
      <c r="D14613" s="787">
        <v>9.73</v>
      </c>
      <c r="E14613" s="787">
        <v>7.6</v>
      </c>
      <c r="F14613" s="788">
        <v>37642</v>
      </c>
      <c r="G14613" s="788">
        <v>40840</v>
      </c>
      <c r="H14613" s="787">
        <v>1</v>
      </c>
      <c r="J14613" s="788">
        <v>40840</v>
      </c>
      <c r="L14613" s="787">
        <v>8.2799999999999994</v>
      </c>
      <c r="M14613" s="787">
        <v>20</v>
      </c>
      <c r="N14613" s="787">
        <v>8.9</v>
      </c>
      <c r="O14613" s="788">
        <v>41858</v>
      </c>
    </row>
    <row r="14614" spans="1:15" x14ac:dyDescent="0.25">
      <c r="A14614" s="786" t="s">
        <v>26458</v>
      </c>
      <c r="B14614" s="787">
        <v>4</v>
      </c>
      <c r="C14614" s="787" t="s">
        <v>26459</v>
      </c>
      <c r="D14614" s="787">
        <v>5.55</v>
      </c>
      <c r="E14614" s="787">
        <v>5.55</v>
      </c>
      <c r="F14614" s="788">
        <v>37642</v>
      </c>
      <c r="G14614" s="788">
        <v>38736</v>
      </c>
      <c r="H14614" s="787">
        <v>1</v>
      </c>
      <c r="I14614" s="788">
        <v>39134</v>
      </c>
      <c r="J14614" s="788">
        <v>37642</v>
      </c>
      <c r="L14614" s="787">
        <v>6.05</v>
      </c>
      <c r="M14614" s="787">
        <v>20</v>
      </c>
      <c r="N14614" s="787">
        <v>6.5</v>
      </c>
      <c r="O14614" s="788">
        <v>41858</v>
      </c>
    </row>
    <row r="14615" spans="1:15" x14ac:dyDescent="0.25">
      <c r="A14615" s="786" t="s">
        <v>26460</v>
      </c>
      <c r="B14615" s="787">
        <v>4</v>
      </c>
      <c r="C14615" s="787" t="s">
        <v>26461</v>
      </c>
      <c r="D14615" s="787">
        <v>8.41</v>
      </c>
      <c r="E14615" s="787">
        <v>18.41</v>
      </c>
      <c r="F14615" s="788">
        <v>37642</v>
      </c>
      <c r="G14615" s="788">
        <v>37642</v>
      </c>
      <c r="H14615" s="787">
        <v>1</v>
      </c>
      <c r="I14615" s="788">
        <v>38736</v>
      </c>
      <c r="J14615" s="788">
        <v>37642</v>
      </c>
      <c r="L14615" s="787">
        <v>20.07</v>
      </c>
      <c r="M14615" s="787">
        <v>20</v>
      </c>
      <c r="N14615" s="787">
        <v>21.58</v>
      </c>
      <c r="O14615" s="788">
        <v>42164</v>
      </c>
    </row>
    <row r="14616" spans="1:15" x14ac:dyDescent="0.25">
      <c r="A14616" s="786" t="s">
        <v>26462</v>
      </c>
      <c r="B14616" s="787">
        <v>4</v>
      </c>
      <c r="C14616" s="787" t="s">
        <v>26463</v>
      </c>
      <c r="D14616" s="787">
        <v>9.68</v>
      </c>
      <c r="E14616" s="787">
        <v>19.68</v>
      </c>
      <c r="F14616" s="788">
        <v>37642</v>
      </c>
      <c r="G14616" s="788">
        <v>37642</v>
      </c>
      <c r="H14616" s="787">
        <v>1</v>
      </c>
      <c r="J14616" s="788">
        <v>37642</v>
      </c>
      <c r="L14616" s="787">
        <v>21.45</v>
      </c>
      <c r="M14616" s="787">
        <v>20</v>
      </c>
      <c r="N14616" s="787">
        <v>23.06</v>
      </c>
      <c r="O14616" s="788">
        <v>41858</v>
      </c>
    </row>
    <row r="14617" spans="1:15" x14ac:dyDescent="0.25">
      <c r="A14617" s="786" t="s">
        <v>26464</v>
      </c>
      <c r="B14617" s="787">
        <v>4</v>
      </c>
      <c r="C14617" s="787" t="s">
        <v>26465</v>
      </c>
      <c r="D14617" s="787">
        <v>1.58</v>
      </c>
      <c r="E14617" s="787">
        <v>1.58</v>
      </c>
      <c r="F14617" s="788">
        <v>37642</v>
      </c>
      <c r="G14617" s="788">
        <v>37642</v>
      </c>
      <c r="H14617" s="787">
        <v>1</v>
      </c>
      <c r="J14617" s="788">
        <v>37642</v>
      </c>
      <c r="L14617" s="787">
        <v>1.72</v>
      </c>
      <c r="M14617" s="787">
        <v>20</v>
      </c>
      <c r="N14617" s="787">
        <v>1.85</v>
      </c>
      <c r="O14617" s="788">
        <v>41858</v>
      </c>
    </row>
    <row r="14618" spans="1:15" x14ac:dyDescent="0.25">
      <c r="A14618" s="786" t="s">
        <v>26466</v>
      </c>
      <c r="B14618" s="787">
        <v>4</v>
      </c>
      <c r="C14618" s="787" t="s">
        <v>26467</v>
      </c>
      <c r="D14618" s="787">
        <v>1.78</v>
      </c>
      <c r="E14618" s="787">
        <v>21.78</v>
      </c>
      <c r="F14618" s="788">
        <v>37642</v>
      </c>
      <c r="G14618" s="788">
        <v>37642</v>
      </c>
      <c r="H14618" s="787">
        <v>1</v>
      </c>
      <c r="I14618" s="788">
        <v>39286</v>
      </c>
      <c r="J14618" s="788">
        <v>37642</v>
      </c>
      <c r="L14618" s="787">
        <v>23.74</v>
      </c>
      <c r="M14618" s="787">
        <v>20</v>
      </c>
      <c r="N14618" s="787">
        <v>25.52</v>
      </c>
      <c r="O14618" s="788">
        <v>41858</v>
      </c>
    </row>
    <row r="14619" spans="1:15" x14ac:dyDescent="0.25">
      <c r="A14619" s="786" t="s">
        <v>26468</v>
      </c>
      <c r="B14619" s="787">
        <v>4</v>
      </c>
      <c r="C14619" s="787" t="s">
        <v>26469</v>
      </c>
      <c r="D14619" s="787">
        <v>0.72</v>
      </c>
      <c r="E14619" s="787">
        <v>0.72</v>
      </c>
      <c r="F14619" s="788">
        <v>37642</v>
      </c>
      <c r="G14619" s="788">
        <v>37642</v>
      </c>
      <c r="H14619" s="787">
        <v>1</v>
      </c>
      <c r="J14619" s="788">
        <v>37642</v>
      </c>
      <c r="L14619" s="787">
        <v>0.78</v>
      </c>
      <c r="M14619" s="787">
        <v>20</v>
      </c>
      <c r="N14619" s="787">
        <v>0.84</v>
      </c>
      <c r="O14619" s="788">
        <v>41858</v>
      </c>
    </row>
    <row r="14620" spans="1:15" x14ac:dyDescent="0.25">
      <c r="A14620" s="786" t="s">
        <v>26470</v>
      </c>
      <c r="B14620" s="787">
        <v>4</v>
      </c>
      <c r="C14620" s="787" t="s">
        <v>26463</v>
      </c>
      <c r="D14620" s="787">
        <v>9.74</v>
      </c>
      <c r="E14620" s="787">
        <v>19.739999999999998</v>
      </c>
      <c r="F14620" s="788">
        <v>37642</v>
      </c>
      <c r="G14620" s="788">
        <v>37642</v>
      </c>
      <c r="H14620" s="787">
        <v>1</v>
      </c>
      <c r="I14620" s="788">
        <v>41079</v>
      </c>
      <c r="J14620" s="788">
        <v>37642</v>
      </c>
      <c r="L14620" s="787">
        <v>21.52</v>
      </c>
      <c r="M14620" s="787">
        <v>20</v>
      </c>
      <c r="N14620" s="787">
        <v>23.13</v>
      </c>
      <c r="O14620" s="788">
        <v>41858</v>
      </c>
    </row>
    <row r="14621" spans="1:15" x14ac:dyDescent="0.25">
      <c r="A14621" s="786" t="s">
        <v>26471</v>
      </c>
      <c r="B14621" s="787">
        <v>4</v>
      </c>
      <c r="C14621" s="787" t="s">
        <v>26472</v>
      </c>
      <c r="D14621" s="787">
        <v>0.21</v>
      </c>
      <c r="E14621" s="787">
        <v>0.56999999999999995</v>
      </c>
      <c r="F14621" s="788">
        <v>39293</v>
      </c>
      <c r="G14621" s="788">
        <v>42013</v>
      </c>
      <c r="H14621" s="787">
        <v>1</v>
      </c>
      <c r="I14621" s="788">
        <v>42160</v>
      </c>
      <c r="J14621" s="788">
        <v>41921</v>
      </c>
      <c r="K14621" s="788">
        <v>41298</v>
      </c>
      <c r="L14621" s="787">
        <v>0.54</v>
      </c>
      <c r="M14621" s="787">
        <v>20</v>
      </c>
      <c r="N14621" s="787">
        <v>0.57999999999999996</v>
      </c>
      <c r="O14621" s="788">
        <v>42164</v>
      </c>
    </row>
    <row r="14622" spans="1:15" x14ac:dyDescent="0.25">
      <c r="A14622" s="786" t="s">
        <v>26473</v>
      </c>
      <c r="B14622" s="787">
        <v>4</v>
      </c>
      <c r="C14622" s="787" t="s">
        <v>26474</v>
      </c>
      <c r="D14622" s="787">
        <v>0.02</v>
      </c>
      <c r="E14622" s="787">
        <v>0.04</v>
      </c>
      <c r="F14622" s="788">
        <v>39101</v>
      </c>
      <c r="G14622" s="788">
        <v>41646</v>
      </c>
      <c r="H14622" s="787">
        <v>1</v>
      </c>
      <c r="I14622" s="788">
        <v>42164</v>
      </c>
      <c r="J14622" s="788">
        <v>39311</v>
      </c>
      <c r="L14622" s="787">
        <v>0.02</v>
      </c>
      <c r="M14622" s="787">
        <v>20</v>
      </c>
      <c r="N14622" s="787">
        <v>0.02</v>
      </c>
      <c r="O14622" s="788">
        <v>42127</v>
      </c>
    </row>
    <row r="14623" spans="1:15" x14ac:dyDescent="0.25">
      <c r="A14623" s="786" t="s">
        <v>26475</v>
      </c>
      <c r="B14623" s="787">
        <v>4</v>
      </c>
      <c r="C14623" s="787" t="s">
        <v>26476</v>
      </c>
      <c r="D14623" s="787">
        <v>0.03</v>
      </c>
      <c r="E14623" s="787">
        <v>0.03</v>
      </c>
      <c r="F14623" s="788">
        <v>39101</v>
      </c>
      <c r="G14623" s="788">
        <v>41646</v>
      </c>
      <c r="H14623" s="787">
        <v>1</v>
      </c>
      <c r="I14623" s="788">
        <v>42164</v>
      </c>
      <c r="J14623" s="788">
        <v>39311</v>
      </c>
      <c r="L14623" s="787">
        <v>0.03</v>
      </c>
      <c r="M14623" s="787">
        <v>20</v>
      </c>
      <c r="N14623" s="787">
        <v>0.03</v>
      </c>
      <c r="O14623" s="788">
        <v>42127</v>
      </c>
    </row>
    <row r="14624" spans="1:15" x14ac:dyDescent="0.25">
      <c r="A14624" s="786" t="s">
        <v>26477</v>
      </c>
      <c r="B14624" s="787">
        <v>4</v>
      </c>
      <c r="C14624" s="787" t="s">
        <v>26478</v>
      </c>
      <c r="D14624" s="787">
        <v>0.18</v>
      </c>
      <c r="E14624" s="787">
        <v>0.18</v>
      </c>
      <c r="F14624" s="788">
        <v>39101</v>
      </c>
      <c r="G14624" s="788">
        <v>39101</v>
      </c>
      <c r="H14624" s="787">
        <v>1</v>
      </c>
      <c r="I14624" s="788">
        <v>41906</v>
      </c>
      <c r="J14624" s="788">
        <v>39149</v>
      </c>
      <c r="L14624" s="787">
        <v>0.2</v>
      </c>
      <c r="M14624" s="787">
        <v>20</v>
      </c>
      <c r="N14624" s="787">
        <v>0.22</v>
      </c>
      <c r="O14624" s="788">
        <v>42127</v>
      </c>
    </row>
    <row r="14625" spans="1:15" x14ac:dyDescent="0.25">
      <c r="A14625" s="786" t="s">
        <v>26479</v>
      </c>
      <c r="B14625" s="787">
        <v>4</v>
      </c>
      <c r="C14625" s="787" t="s">
        <v>26480</v>
      </c>
      <c r="D14625" s="787">
        <v>0.18</v>
      </c>
      <c r="E14625" s="787">
        <v>0.18</v>
      </c>
      <c r="F14625" s="788">
        <v>38337</v>
      </c>
      <c r="G14625" s="788">
        <v>41646</v>
      </c>
      <c r="H14625" s="787">
        <v>1</v>
      </c>
      <c r="I14625" s="788">
        <v>41906</v>
      </c>
      <c r="J14625" s="788">
        <v>38323</v>
      </c>
      <c r="L14625" s="787">
        <v>0.2</v>
      </c>
      <c r="M14625" s="787">
        <v>20</v>
      </c>
      <c r="N14625" s="787">
        <v>0.22</v>
      </c>
      <c r="O14625" s="788">
        <v>42127</v>
      </c>
    </row>
    <row r="14626" spans="1:15" x14ac:dyDescent="0.25">
      <c r="A14626" s="786" t="s">
        <v>26481</v>
      </c>
      <c r="B14626" s="787">
        <v>4</v>
      </c>
      <c r="C14626" s="787" t="s">
        <v>26482</v>
      </c>
      <c r="D14626" s="787">
        <v>5.5</v>
      </c>
      <c r="E14626" s="787">
        <v>445.5</v>
      </c>
      <c r="F14626" s="788">
        <v>41918</v>
      </c>
      <c r="G14626" s="788">
        <v>41926</v>
      </c>
      <c r="H14626" s="787">
        <v>1</v>
      </c>
      <c r="I14626" s="788">
        <v>41926</v>
      </c>
      <c r="J14626" s="788">
        <v>41907</v>
      </c>
      <c r="K14626" s="788">
        <v>41928</v>
      </c>
      <c r="L14626" s="787">
        <v>445.5</v>
      </c>
      <c r="M14626" s="787">
        <v>20</v>
      </c>
      <c r="N14626" s="787">
        <v>431.45</v>
      </c>
      <c r="O14626" s="788">
        <v>41897</v>
      </c>
    </row>
    <row r="14627" spans="1:15" x14ac:dyDescent="0.25">
      <c r="A14627" s="786" t="s">
        <v>26483</v>
      </c>
      <c r="B14627" s="787">
        <v>4</v>
      </c>
      <c r="C14627" s="787" t="s">
        <v>26484</v>
      </c>
      <c r="D14627" s="787">
        <v>4</v>
      </c>
      <c r="E14627" s="787">
        <v>594</v>
      </c>
      <c r="F14627" s="788">
        <v>41918</v>
      </c>
      <c r="G14627" s="788">
        <v>41926</v>
      </c>
      <c r="H14627" s="787">
        <v>1</v>
      </c>
      <c r="I14627" s="788">
        <v>41926</v>
      </c>
      <c r="J14627" s="788">
        <v>41907</v>
      </c>
      <c r="K14627" s="788">
        <v>41928</v>
      </c>
      <c r="L14627" s="787">
        <v>594</v>
      </c>
      <c r="M14627" s="787">
        <v>20</v>
      </c>
      <c r="N14627" s="787">
        <v>575.28</v>
      </c>
      <c r="O14627" s="788">
        <v>41897</v>
      </c>
    </row>
    <row r="14628" spans="1:15" x14ac:dyDescent="0.25">
      <c r="A14628" s="786" t="s">
        <v>26485</v>
      </c>
      <c r="B14628" s="787">
        <v>4</v>
      </c>
      <c r="C14628" s="787" t="s">
        <v>26486</v>
      </c>
      <c r="D14628" s="787">
        <v>2.5</v>
      </c>
      <c r="E14628" s="787">
        <v>82.5</v>
      </c>
      <c r="F14628" s="788">
        <v>41918</v>
      </c>
      <c r="G14628" s="788">
        <v>41926</v>
      </c>
      <c r="H14628" s="787">
        <v>1</v>
      </c>
      <c r="I14628" s="788">
        <v>41926</v>
      </c>
      <c r="J14628" s="788">
        <v>41907</v>
      </c>
      <c r="K14628" s="788">
        <v>41928</v>
      </c>
      <c r="L14628" s="787">
        <v>82.5</v>
      </c>
      <c r="M14628" s="787">
        <v>20</v>
      </c>
      <c r="N14628" s="787">
        <v>71.7</v>
      </c>
      <c r="O14628" s="788">
        <v>41897</v>
      </c>
    </row>
    <row r="14629" spans="1:15" x14ac:dyDescent="0.25">
      <c r="A14629" s="786" t="s">
        <v>26487</v>
      </c>
      <c r="B14629" s="787">
        <v>4</v>
      </c>
      <c r="C14629" s="787" t="s">
        <v>26488</v>
      </c>
      <c r="D14629" s="787">
        <v>4.5</v>
      </c>
      <c r="E14629" s="787">
        <v>94.5</v>
      </c>
      <c r="F14629" s="788">
        <v>41918</v>
      </c>
      <c r="G14629" s="788">
        <v>41926</v>
      </c>
      <c r="H14629" s="787">
        <v>1</v>
      </c>
      <c r="I14629" s="788">
        <v>41926</v>
      </c>
      <c r="J14629" s="788">
        <v>41907</v>
      </c>
      <c r="K14629" s="788">
        <v>41928</v>
      </c>
      <c r="L14629" s="787">
        <v>94.5</v>
      </c>
      <c r="M14629" s="787">
        <v>20</v>
      </c>
      <c r="N14629" s="787">
        <v>91.53</v>
      </c>
      <c r="O14629" s="788">
        <v>41897</v>
      </c>
    </row>
    <row r="14630" spans="1:15" x14ac:dyDescent="0.25">
      <c r="A14630" s="786" t="s">
        <v>26489</v>
      </c>
      <c r="B14630" s="787">
        <v>4</v>
      </c>
      <c r="C14630" s="787" t="s">
        <v>26490</v>
      </c>
      <c r="D14630" s="787">
        <v>9.35</v>
      </c>
      <c r="E14630" s="787">
        <v>9.3800000000000008</v>
      </c>
      <c r="F14630" s="788">
        <v>41975</v>
      </c>
      <c r="G14630" s="788">
        <v>42064</v>
      </c>
      <c r="H14630" s="787">
        <v>1</v>
      </c>
      <c r="I14630" s="788">
        <v>42031</v>
      </c>
      <c r="J14630" s="788">
        <v>42017</v>
      </c>
      <c r="K14630" s="788">
        <v>41969</v>
      </c>
      <c r="L14630" s="787">
        <v>9.35</v>
      </c>
      <c r="M14630" s="787">
        <v>20</v>
      </c>
      <c r="N14630" s="787">
        <v>10.050000000000001</v>
      </c>
      <c r="O14630" s="788">
        <v>41991</v>
      </c>
    </row>
    <row r="14631" spans="1:15" x14ac:dyDescent="0.25">
      <c r="A14631" s="786" t="s">
        <v>26491</v>
      </c>
      <c r="B14631" s="787">
        <v>4</v>
      </c>
      <c r="C14631" s="787" t="s">
        <v>26492</v>
      </c>
      <c r="D14631" s="787">
        <v>0.01</v>
      </c>
      <c r="E14631" s="787">
        <v>0.02</v>
      </c>
      <c r="F14631" s="788">
        <v>39101</v>
      </c>
      <c r="G14631" s="788">
        <v>42008</v>
      </c>
      <c r="H14631" s="787">
        <v>1</v>
      </c>
      <c r="I14631" s="788">
        <v>41871</v>
      </c>
      <c r="J14631" s="788">
        <v>41989</v>
      </c>
      <c r="L14631" s="787">
        <v>0.01</v>
      </c>
      <c r="M14631" s="787">
        <v>20</v>
      </c>
      <c r="N14631" s="787">
        <v>0.01</v>
      </c>
      <c r="O14631" s="788">
        <v>41858</v>
      </c>
    </row>
    <row r="14632" spans="1:15" x14ac:dyDescent="0.25">
      <c r="A14632" s="786" t="s">
        <v>26493</v>
      </c>
      <c r="B14632" s="787">
        <v>4</v>
      </c>
      <c r="C14632" s="787" t="s">
        <v>26494</v>
      </c>
      <c r="D14632" s="787">
        <v>0.01</v>
      </c>
      <c r="E14632" s="787">
        <v>0.02</v>
      </c>
      <c r="F14632" s="788">
        <v>39101</v>
      </c>
      <c r="G14632" s="788">
        <v>42158</v>
      </c>
      <c r="H14632" s="787">
        <v>1</v>
      </c>
      <c r="I14632" s="788">
        <v>42066</v>
      </c>
      <c r="J14632" s="788">
        <v>42158</v>
      </c>
      <c r="L14632" s="787">
        <v>0.01</v>
      </c>
      <c r="M14632" s="787">
        <v>20</v>
      </c>
      <c r="N14632" s="787">
        <v>0.01</v>
      </c>
      <c r="O14632" s="788">
        <v>41858</v>
      </c>
    </row>
    <row r="14633" spans="1:15" x14ac:dyDescent="0.25">
      <c r="A14633" s="786" t="s">
        <v>26495</v>
      </c>
      <c r="B14633" s="787">
        <v>4</v>
      </c>
      <c r="C14633" s="787" t="s">
        <v>26496</v>
      </c>
      <c r="D14633" s="787">
        <v>0.01</v>
      </c>
      <c r="E14633" s="787">
        <v>0.02</v>
      </c>
      <c r="F14633" s="788">
        <v>39101</v>
      </c>
      <c r="G14633" s="788">
        <v>41646</v>
      </c>
      <c r="H14633" s="787">
        <v>1</v>
      </c>
      <c r="I14633" s="788">
        <v>41872</v>
      </c>
      <c r="J14633" s="788">
        <v>39625</v>
      </c>
      <c r="L14633" s="787">
        <v>0.01</v>
      </c>
      <c r="M14633" s="787">
        <v>20</v>
      </c>
      <c r="N14633" s="787">
        <v>0.01</v>
      </c>
      <c r="O14633" s="788">
        <v>41858</v>
      </c>
    </row>
    <row r="14634" spans="1:15" x14ac:dyDescent="0.25">
      <c r="A14634" s="786" t="s">
        <v>26497</v>
      </c>
      <c r="B14634" s="787">
        <v>4</v>
      </c>
      <c r="C14634" s="787" t="s">
        <v>26498</v>
      </c>
      <c r="D14634" s="787">
        <v>0.02</v>
      </c>
      <c r="E14634" s="787">
        <v>0.02</v>
      </c>
      <c r="F14634" s="788">
        <v>39101</v>
      </c>
      <c r="G14634" s="788">
        <v>42158</v>
      </c>
      <c r="H14634" s="787">
        <v>1</v>
      </c>
      <c r="I14634" s="788">
        <v>41872</v>
      </c>
      <c r="J14634" s="788">
        <v>42158</v>
      </c>
      <c r="L14634" s="787">
        <v>0.02</v>
      </c>
      <c r="M14634" s="787">
        <v>20</v>
      </c>
      <c r="N14634" s="787">
        <v>0.02</v>
      </c>
      <c r="O14634" s="788">
        <v>41858</v>
      </c>
    </row>
    <row r="14635" spans="1:15" x14ac:dyDescent="0.25">
      <c r="A14635" s="786" t="s">
        <v>26499</v>
      </c>
      <c r="B14635" s="787">
        <v>4</v>
      </c>
      <c r="C14635" s="787" t="s">
        <v>26500</v>
      </c>
      <c r="D14635" s="787">
        <v>0.02</v>
      </c>
      <c r="E14635" s="787">
        <v>0.02</v>
      </c>
      <c r="F14635" s="788">
        <v>39101</v>
      </c>
      <c r="G14635" s="788">
        <v>42008</v>
      </c>
      <c r="H14635" s="787">
        <v>1</v>
      </c>
      <c r="I14635" s="788">
        <v>41872</v>
      </c>
      <c r="J14635" s="788">
        <v>41989</v>
      </c>
      <c r="L14635" s="787">
        <v>0.02</v>
      </c>
      <c r="M14635" s="787">
        <v>20</v>
      </c>
      <c r="N14635" s="787">
        <v>0.02</v>
      </c>
      <c r="O14635" s="788">
        <v>41858</v>
      </c>
    </row>
    <row r="14636" spans="1:15" x14ac:dyDescent="0.25">
      <c r="A14636" s="786" t="s">
        <v>26501</v>
      </c>
      <c r="B14636" s="787">
        <v>4</v>
      </c>
      <c r="C14636" s="787" t="s">
        <v>26502</v>
      </c>
      <c r="D14636" s="787">
        <v>0.05</v>
      </c>
      <c r="E14636" s="787">
        <v>7.0000000000000007E-2</v>
      </c>
      <c r="F14636" s="788">
        <v>39101</v>
      </c>
      <c r="G14636" s="788">
        <v>41646</v>
      </c>
      <c r="H14636" s="787">
        <v>1</v>
      </c>
      <c r="I14636" s="788">
        <v>41872</v>
      </c>
      <c r="J14636" s="788">
        <v>40318</v>
      </c>
      <c r="L14636" s="787">
        <v>0.05</v>
      </c>
      <c r="M14636" s="787">
        <v>20</v>
      </c>
      <c r="N14636" s="787">
        <v>0.05</v>
      </c>
      <c r="O14636" s="788">
        <v>41858</v>
      </c>
    </row>
    <row r="14637" spans="1:15" x14ac:dyDescent="0.25">
      <c r="A14637" s="786" t="s">
        <v>26503</v>
      </c>
      <c r="B14637" s="787">
        <v>4</v>
      </c>
      <c r="C14637" s="787" t="s">
        <v>26504</v>
      </c>
      <c r="D14637" s="787">
        <v>0.01</v>
      </c>
      <c r="E14637" s="787">
        <v>0.02</v>
      </c>
      <c r="F14637" s="788">
        <v>38075</v>
      </c>
      <c r="G14637" s="788">
        <v>41646</v>
      </c>
      <c r="H14637" s="787">
        <v>1</v>
      </c>
      <c r="I14637" s="788">
        <v>41872</v>
      </c>
      <c r="J14637" s="788">
        <v>41306</v>
      </c>
      <c r="L14637" s="787">
        <v>0.01</v>
      </c>
      <c r="M14637" s="787">
        <v>20</v>
      </c>
      <c r="N14637" s="787">
        <v>0.01</v>
      </c>
      <c r="O14637" s="788">
        <v>41858</v>
      </c>
    </row>
    <row r="14638" spans="1:15" x14ac:dyDescent="0.25">
      <c r="A14638" s="786" t="s">
        <v>26505</v>
      </c>
      <c r="B14638" s="787">
        <v>4</v>
      </c>
      <c r="C14638" s="787" t="s">
        <v>26506</v>
      </c>
      <c r="D14638" s="787">
        <v>0.02</v>
      </c>
      <c r="E14638" s="787">
        <v>0.02</v>
      </c>
      <c r="F14638" s="788">
        <v>39101</v>
      </c>
      <c r="G14638" s="788">
        <v>41646</v>
      </c>
      <c r="H14638" s="787">
        <v>1</v>
      </c>
      <c r="I14638" s="788">
        <v>41872</v>
      </c>
      <c r="J14638" s="788">
        <v>41543</v>
      </c>
      <c r="L14638" s="787">
        <v>0.02</v>
      </c>
      <c r="M14638" s="787">
        <v>20</v>
      </c>
      <c r="N14638" s="787">
        <v>0.02</v>
      </c>
      <c r="O14638" s="788">
        <v>41858</v>
      </c>
    </row>
    <row r="14639" spans="1:15" x14ac:dyDescent="0.25">
      <c r="A14639" s="786" t="s">
        <v>26507</v>
      </c>
      <c r="B14639" s="787">
        <v>4</v>
      </c>
      <c r="C14639" s="787" t="s">
        <v>26508</v>
      </c>
      <c r="D14639" s="787">
        <v>0.04</v>
      </c>
      <c r="E14639" s="787">
        <v>0.04</v>
      </c>
      <c r="F14639" s="788">
        <v>39101</v>
      </c>
      <c r="G14639" s="788">
        <v>41646</v>
      </c>
      <c r="H14639" s="787">
        <v>1</v>
      </c>
      <c r="I14639" s="788">
        <v>41872</v>
      </c>
      <c r="J14639" s="788">
        <v>41611</v>
      </c>
      <c r="K14639" s="788">
        <v>40456</v>
      </c>
      <c r="L14639" s="787">
        <v>0.06</v>
      </c>
      <c r="M14639" s="787">
        <v>20</v>
      </c>
      <c r="N14639" s="787">
        <v>0.06</v>
      </c>
      <c r="O14639" s="788">
        <v>41858</v>
      </c>
    </row>
    <row r="14640" spans="1:15" x14ac:dyDescent="0.25">
      <c r="A14640" s="786" t="s">
        <v>26509</v>
      </c>
      <c r="B14640" s="787">
        <v>4</v>
      </c>
      <c r="C14640" s="787" t="s">
        <v>26510</v>
      </c>
      <c r="D14640" s="787">
        <v>0.04</v>
      </c>
      <c r="E14640" s="787">
        <v>0.05</v>
      </c>
      <c r="F14640" s="788">
        <v>39101</v>
      </c>
      <c r="G14640" s="788">
        <v>40914</v>
      </c>
      <c r="H14640" s="787">
        <v>1</v>
      </c>
      <c r="I14640" s="788">
        <v>39134</v>
      </c>
      <c r="J14640" s="788">
        <v>40148</v>
      </c>
      <c r="L14640" s="787">
        <v>0.05</v>
      </c>
      <c r="M14640" s="787">
        <v>20</v>
      </c>
      <c r="N14640" s="787">
        <v>0.05</v>
      </c>
      <c r="O14640" s="788">
        <v>41858</v>
      </c>
    </row>
    <row r="14641" spans="1:15" x14ac:dyDescent="0.25">
      <c r="A14641" s="786" t="s">
        <v>26511</v>
      </c>
      <c r="B14641" s="787">
        <v>4</v>
      </c>
      <c r="C14641" s="787" t="s">
        <v>26512</v>
      </c>
      <c r="D14641" s="787">
        <v>0.05</v>
      </c>
      <c r="E14641" s="787">
        <v>0.06</v>
      </c>
      <c r="F14641" s="788">
        <v>39101</v>
      </c>
      <c r="G14641" s="788">
        <v>42145</v>
      </c>
      <c r="H14641" s="787">
        <v>1</v>
      </c>
      <c r="I14641" s="788">
        <v>42158</v>
      </c>
      <c r="J14641" s="788">
        <v>42117</v>
      </c>
      <c r="K14641" s="788">
        <v>41249</v>
      </c>
      <c r="L14641" s="787">
        <v>0.06</v>
      </c>
      <c r="M14641" s="787">
        <v>20</v>
      </c>
      <c r="N14641" s="787">
        <v>0.06</v>
      </c>
      <c r="O14641" s="788">
        <v>42164</v>
      </c>
    </row>
    <row r="14642" spans="1:15" x14ac:dyDescent="0.25">
      <c r="A14642" s="786" t="s">
        <v>26513</v>
      </c>
      <c r="B14642" s="787">
        <v>4</v>
      </c>
      <c r="C14642" s="787" t="s">
        <v>26514</v>
      </c>
      <c r="D14642" s="787">
        <v>0.06</v>
      </c>
      <c r="E14642" s="787">
        <v>7.0000000000000007E-2</v>
      </c>
      <c r="F14642" s="788">
        <v>39101</v>
      </c>
      <c r="G14642" s="788">
        <v>41851</v>
      </c>
      <c r="H14642" s="787">
        <v>1</v>
      </c>
      <c r="I14642" s="788">
        <v>41872</v>
      </c>
      <c r="J14642" s="788">
        <v>41849</v>
      </c>
      <c r="L14642" s="787">
        <v>7.0000000000000007E-2</v>
      </c>
      <c r="M14642" s="787">
        <v>20</v>
      </c>
      <c r="N14642" s="787">
        <v>0.08</v>
      </c>
      <c r="O14642" s="788">
        <v>41858</v>
      </c>
    </row>
    <row r="14643" spans="1:15" x14ac:dyDescent="0.25">
      <c r="A14643" s="786" t="s">
        <v>26515</v>
      </c>
      <c r="B14643" s="787">
        <v>4</v>
      </c>
      <c r="C14643" s="787" t="s">
        <v>26516</v>
      </c>
      <c r="D14643" s="787">
        <v>7.0000000000000007E-2</v>
      </c>
      <c r="E14643" s="787">
        <v>0.11</v>
      </c>
      <c r="F14643" s="788">
        <v>39101</v>
      </c>
      <c r="G14643" s="788">
        <v>42146</v>
      </c>
      <c r="H14643" s="787">
        <v>1</v>
      </c>
      <c r="I14643" s="788">
        <v>41872</v>
      </c>
      <c r="J14643" s="788">
        <v>42132</v>
      </c>
      <c r="L14643" s="787">
        <v>0.08</v>
      </c>
      <c r="M14643" s="787">
        <v>20</v>
      </c>
      <c r="N14643" s="787">
        <v>0.09</v>
      </c>
      <c r="O14643" s="788">
        <v>41858</v>
      </c>
    </row>
    <row r="14644" spans="1:15" x14ac:dyDescent="0.25">
      <c r="A14644" s="786" t="s">
        <v>26517</v>
      </c>
      <c r="B14644" s="787">
        <v>4</v>
      </c>
      <c r="C14644" s="787" t="s">
        <v>26518</v>
      </c>
      <c r="D14644" s="787">
        <v>0.06</v>
      </c>
      <c r="E14644" s="787">
        <v>0.08</v>
      </c>
      <c r="F14644" s="788">
        <v>39101</v>
      </c>
      <c r="G14644" s="788">
        <v>41851</v>
      </c>
      <c r="H14644" s="787">
        <v>1</v>
      </c>
      <c r="I14644" s="788">
        <v>41872</v>
      </c>
      <c r="J14644" s="788">
        <v>41849</v>
      </c>
      <c r="K14644" s="788">
        <v>41856</v>
      </c>
      <c r="L14644" s="787">
        <v>0.08</v>
      </c>
      <c r="M14644" s="787">
        <v>20</v>
      </c>
      <c r="N14644" s="787">
        <v>0.09</v>
      </c>
      <c r="O14644" s="788">
        <v>42164</v>
      </c>
    </row>
    <row r="14645" spans="1:15" x14ac:dyDescent="0.25">
      <c r="A14645" s="786" t="s">
        <v>26519</v>
      </c>
      <c r="B14645" s="787">
        <v>4</v>
      </c>
      <c r="C14645" s="787" t="s">
        <v>26520</v>
      </c>
      <c r="D14645" s="787">
        <v>0.08</v>
      </c>
      <c r="E14645" s="787">
        <v>0.08</v>
      </c>
      <c r="F14645" s="788">
        <v>41850</v>
      </c>
      <c r="G14645" s="788">
        <v>41851</v>
      </c>
      <c r="H14645" s="787">
        <v>1</v>
      </c>
      <c r="I14645" s="788">
        <v>41872</v>
      </c>
      <c r="J14645" s="788">
        <v>41849</v>
      </c>
      <c r="L14645" s="787">
        <v>7.0000000000000007E-2</v>
      </c>
      <c r="M14645" s="787">
        <v>20</v>
      </c>
      <c r="N14645" s="787">
        <v>0.08</v>
      </c>
      <c r="O14645" s="788">
        <v>41858</v>
      </c>
    </row>
    <row r="14646" spans="1:15" x14ac:dyDescent="0.25">
      <c r="A14646" s="786" t="s">
        <v>26521</v>
      </c>
      <c r="B14646" s="787">
        <v>4</v>
      </c>
      <c r="C14646" s="787" t="s">
        <v>26522</v>
      </c>
      <c r="D14646" s="787">
        <v>0.1</v>
      </c>
      <c r="E14646" s="787">
        <v>0.11</v>
      </c>
      <c r="F14646" s="788">
        <v>41544</v>
      </c>
      <c r="G14646" s="788">
        <v>42145</v>
      </c>
      <c r="H14646" s="787">
        <v>1</v>
      </c>
      <c r="I14646" s="788">
        <v>41872</v>
      </c>
      <c r="J14646" s="788">
        <v>42117</v>
      </c>
      <c r="L14646" s="787">
        <v>0.12</v>
      </c>
      <c r="M14646" s="787">
        <v>20</v>
      </c>
      <c r="N14646" s="787">
        <v>0.13</v>
      </c>
      <c r="O14646" s="788">
        <v>41858</v>
      </c>
    </row>
    <row r="14647" spans="1:15" x14ac:dyDescent="0.25">
      <c r="A14647" s="786" t="s">
        <v>26523</v>
      </c>
      <c r="B14647" s="787">
        <v>4</v>
      </c>
      <c r="C14647" s="787" t="s">
        <v>26524</v>
      </c>
      <c r="D14647" s="787">
        <v>0.1</v>
      </c>
      <c r="E14647" s="787">
        <v>0.12</v>
      </c>
      <c r="F14647" s="788">
        <v>39101</v>
      </c>
      <c r="G14647" s="788">
        <v>40914</v>
      </c>
      <c r="H14647" s="787">
        <v>1</v>
      </c>
      <c r="I14647" s="788">
        <v>39134</v>
      </c>
      <c r="J14647" s="788">
        <v>40212</v>
      </c>
      <c r="L14647" s="787">
        <v>0.1</v>
      </c>
      <c r="M14647" s="787">
        <v>20</v>
      </c>
      <c r="N14647" s="787">
        <v>0.11</v>
      </c>
      <c r="O14647" s="788">
        <v>41858</v>
      </c>
    </row>
    <row r="14648" spans="1:15" x14ac:dyDescent="0.25">
      <c r="A14648" s="786" t="s">
        <v>26525</v>
      </c>
      <c r="B14648" s="787">
        <v>4</v>
      </c>
      <c r="C14648" s="787" t="s">
        <v>26526</v>
      </c>
      <c r="D14648" s="787">
        <v>7.0000000000000007E-2</v>
      </c>
      <c r="E14648" s="787">
        <v>0.19</v>
      </c>
      <c r="F14648" s="788">
        <v>39101</v>
      </c>
      <c r="G14648" s="788">
        <v>42013</v>
      </c>
      <c r="H14648" s="787">
        <v>1</v>
      </c>
      <c r="I14648" s="788">
        <v>42131</v>
      </c>
      <c r="J14648" s="788">
        <v>42132</v>
      </c>
      <c r="L14648" s="787">
        <v>0.19</v>
      </c>
      <c r="M14648" s="787">
        <v>20</v>
      </c>
      <c r="N14648" s="787">
        <v>0.2</v>
      </c>
      <c r="O14648" s="788">
        <v>42156</v>
      </c>
    </row>
    <row r="14649" spans="1:15" x14ac:dyDescent="0.25">
      <c r="A14649" s="786" t="s">
        <v>26527</v>
      </c>
      <c r="B14649" s="787">
        <v>4</v>
      </c>
      <c r="C14649" s="787" t="s">
        <v>26528</v>
      </c>
      <c r="D14649" s="787">
        <v>0.05</v>
      </c>
      <c r="E14649" s="787">
        <v>0.06</v>
      </c>
      <c r="F14649" s="788">
        <v>37642</v>
      </c>
      <c r="G14649" s="788">
        <v>41646</v>
      </c>
      <c r="H14649" s="787">
        <v>1</v>
      </c>
      <c r="I14649" s="788">
        <v>42131</v>
      </c>
      <c r="J14649" s="788">
        <v>40352</v>
      </c>
      <c r="L14649" s="787">
        <v>0.05</v>
      </c>
      <c r="M14649" s="787">
        <v>20</v>
      </c>
      <c r="N14649" s="787">
        <v>0.05</v>
      </c>
      <c r="O14649" s="788">
        <v>42156</v>
      </c>
    </row>
    <row r="14650" spans="1:15" x14ac:dyDescent="0.25">
      <c r="A14650" s="786" t="s">
        <v>26529</v>
      </c>
      <c r="B14650" s="787">
        <v>4</v>
      </c>
      <c r="C14650" s="787" t="s">
        <v>26530</v>
      </c>
      <c r="D14650" s="787">
        <v>0.04</v>
      </c>
      <c r="E14650" s="787">
        <v>0.05</v>
      </c>
      <c r="F14650" s="788">
        <v>39101</v>
      </c>
      <c r="G14650" s="788">
        <v>41646</v>
      </c>
      <c r="H14650" s="787">
        <v>1</v>
      </c>
      <c r="I14650" s="788">
        <v>42131</v>
      </c>
      <c r="J14650" s="788">
        <v>40352</v>
      </c>
      <c r="L14650" s="787">
        <v>0.04</v>
      </c>
      <c r="M14650" s="787">
        <v>20</v>
      </c>
      <c r="N14650" s="787">
        <v>0.04</v>
      </c>
      <c r="O14650" s="788">
        <v>42156</v>
      </c>
    </row>
    <row r="14651" spans="1:15" x14ac:dyDescent="0.25">
      <c r="A14651" s="786" t="s">
        <v>26531</v>
      </c>
      <c r="B14651" s="787">
        <v>4</v>
      </c>
      <c r="C14651" s="787" t="s">
        <v>26532</v>
      </c>
      <c r="D14651" s="787">
        <v>0.02</v>
      </c>
      <c r="E14651" s="787">
        <v>0.02</v>
      </c>
      <c r="F14651" s="788">
        <v>37642</v>
      </c>
      <c r="G14651" s="788">
        <v>41809</v>
      </c>
      <c r="H14651" s="787">
        <v>1</v>
      </c>
      <c r="I14651" s="788">
        <v>41799</v>
      </c>
      <c r="J14651" s="788">
        <v>41809</v>
      </c>
      <c r="L14651" s="787">
        <v>0.02</v>
      </c>
      <c r="M14651" s="787">
        <v>20</v>
      </c>
      <c r="N14651" s="787">
        <v>0.02</v>
      </c>
      <c r="O14651" s="788">
        <v>41858</v>
      </c>
    </row>
    <row r="14652" spans="1:15" x14ac:dyDescent="0.25">
      <c r="A14652" s="786" t="s">
        <v>26533</v>
      </c>
      <c r="B14652" s="787">
        <v>4</v>
      </c>
      <c r="C14652" s="787" t="s">
        <v>26534</v>
      </c>
      <c r="D14652" s="787">
        <v>0.02</v>
      </c>
      <c r="E14652" s="787">
        <v>0.02</v>
      </c>
      <c r="F14652" s="788">
        <v>37642</v>
      </c>
      <c r="G14652" s="788">
        <v>37642</v>
      </c>
      <c r="H14652" s="787">
        <v>1</v>
      </c>
      <c r="J14652" s="788">
        <v>37642</v>
      </c>
      <c r="L14652" s="787">
        <v>0.02</v>
      </c>
      <c r="M14652" s="787">
        <v>20</v>
      </c>
      <c r="N14652" s="787">
        <v>0.02</v>
      </c>
      <c r="O14652" s="788">
        <v>41858</v>
      </c>
    </row>
    <row r="14653" spans="1:15" x14ac:dyDescent="0.25">
      <c r="A14653" s="786" t="s">
        <v>26535</v>
      </c>
      <c r="B14653" s="787">
        <v>4</v>
      </c>
      <c r="C14653" s="787" t="s">
        <v>26536</v>
      </c>
      <c r="D14653" s="787">
        <v>0.02</v>
      </c>
      <c r="E14653" s="787">
        <v>0.03</v>
      </c>
      <c r="F14653" s="788">
        <v>39101</v>
      </c>
      <c r="G14653" s="788">
        <v>41646</v>
      </c>
      <c r="H14653" s="787">
        <v>1</v>
      </c>
      <c r="I14653" s="788">
        <v>42145</v>
      </c>
      <c r="J14653" s="788">
        <v>40722</v>
      </c>
      <c r="L14653" s="787">
        <v>0.02</v>
      </c>
      <c r="M14653" s="787">
        <v>20</v>
      </c>
      <c r="N14653" s="787">
        <v>0.02</v>
      </c>
      <c r="O14653" s="788">
        <v>42162</v>
      </c>
    </row>
    <row r="14654" spans="1:15" x14ac:dyDescent="0.25">
      <c r="A14654" s="786" t="s">
        <v>26537</v>
      </c>
      <c r="B14654" s="787">
        <v>4</v>
      </c>
      <c r="C14654" s="787" t="s">
        <v>26538</v>
      </c>
      <c r="D14654" s="787">
        <v>0.02</v>
      </c>
      <c r="E14654" s="787">
        <v>0.04</v>
      </c>
      <c r="F14654" s="788">
        <v>38047</v>
      </c>
      <c r="G14654" s="788">
        <v>41646</v>
      </c>
      <c r="H14654" s="787">
        <v>1</v>
      </c>
      <c r="I14654" s="788">
        <v>41872</v>
      </c>
      <c r="J14654" s="788">
        <v>40318</v>
      </c>
      <c r="L14654" s="787">
        <v>0.02</v>
      </c>
      <c r="M14654" s="787">
        <v>20</v>
      </c>
      <c r="N14654" s="787">
        <v>0.02</v>
      </c>
      <c r="O14654" s="788">
        <v>41858</v>
      </c>
    </row>
    <row r="14655" spans="1:15" x14ac:dyDescent="0.25">
      <c r="A14655" s="786" t="s">
        <v>26539</v>
      </c>
      <c r="B14655" s="787">
        <v>4</v>
      </c>
      <c r="C14655" s="787" t="s">
        <v>26540</v>
      </c>
      <c r="D14655" s="787">
        <v>0.19</v>
      </c>
      <c r="E14655" s="787">
        <v>0.19</v>
      </c>
      <c r="F14655" s="788">
        <v>38307</v>
      </c>
      <c r="G14655" s="788">
        <v>38364</v>
      </c>
      <c r="H14655" s="787">
        <v>1</v>
      </c>
      <c r="I14655" s="788">
        <v>38736</v>
      </c>
      <c r="J14655" s="788">
        <v>38303</v>
      </c>
      <c r="L14655" s="787">
        <v>0.21</v>
      </c>
      <c r="M14655" s="787">
        <v>20</v>
      </c>
      <c r="N14655" s="787">
        <v>0.23</v>
      </c>
      <c r="O14655" s="788">
        <v>41858</v>
      </c>
    </row>
    <row r="14656" spans="1:15" x14ac:dyDescent="0.25">
      <c r="A14656" s="786" t="s">
        <v>26541</v>
      </c>
      <c r="B14656" s="787">
        <v>4</v>
      </c>
      <c r="C14656" s="787" t="s">
        <v>26542</v>
      </c>
      <c r="D14656" s="787">
        <v>0.03</v>
      </c>
      <c r="E14656" s="787">
        <v>0.03</v>
      </c>
      <c r="F14656" s="788">
        <v>39101</v>
      </c>
      <c r="G14656" s="788">
        <v>39101</v>
      </c>
      <c r="H14656" s="787">
        <v>1</v>
      </c>
      <c r="I14656" s="788">
        <v>39134</v>
      </c>
      <c r="J14656" s="788">
        <v>39149</v>
      </c>
      <c r="L14656" s="787">
        <v>0.03</v>
      </c>
      <c r="M14656" s="787">
        <v>20</v>
      </c>
      <c r="N14656" s="787">
        <v>0.03</v>
      </c>
      <c r="O14656" s="788">
        <v>41858</v>
      </c>
    </row>
    <row r="14657" spans="1:15" x14ac:dyDescent="0.25">
      <c r="A14657" s="786" t="s">
        <v>26543</v>
      </c>
      <c r="B14657" s="787">
        <v>4</v>
      </c>
      <c r="C14657" s="787" t="s">
        <v>26544</v>
      </c>
      <c r="D14657" s="787">
        <v>0.01</v>
      </c>
      <c r="E14657" s="787">
        <v>0.01</v>
      </c>
      <c r="F14657" s="788">
        <v>39101</v>
      </c>
      <c r="G14657" s="788">
        <v>42158</v>
      </c>
      <c r="H14657" s="787">
        <v>1</v>
      </c>
      <c r="I14657" s="788">
        <v>42158</v>
      </c>
      <c r="J14657" s="788">
        <v>42158</v>
      </c>
      <c r="K14657" s="788">
        <v>41879</v>
      </c>
      <c r="L14657" s="787">
        <v>7.0000000000000007E-2</v>
      </c>
      <c r="M14657" s="787">
        <v>20</v>
      </c>
      <c r="N14657" s="787">
        <v>0.08</v>
      </c>
      <c r="O14657" s="788">
        <v>42162</v>
      </c>
    </row>
    <row r="14658" spans="1:15" x14ac:dyDescent="0.25">
      <c r="A14658" s="786" t="s">
        <v>26545</v>
      </c>
      <c r="B14658" s="787">
        <v>4</v>
      </c>
      <c r="C14658" s="787" t="s">
        <v>26546</v>
      </c>
      <c r="D14658" s="787">
        <v>0.02</v>
      </c>
      <c r="E14658" s="787">
        <v>0.02</v>
      </c>
      <c r="F14658" s="788">
        <v>39101</v>
      </c>
      <c r="G14658" s="788">
        <v>40785</v>
      </c>
      <c r="H14658" s="787">
        <v>1</v>
      </c>
      <c r="I14658" s="788">
        <v>39134</v>
      </c>
      <c r="J14658" s="788">
        <v>40781</v>
      </c>
      <c r="L14658" s="787">
        <v>0.01</v>
      </c>
      <c r="M14658" s="787">
        <v>20</v>
      </c>
      <c r="N14658" s="787">
        <v>0.01</v>
      </c>
      <c r="O14658" s="788">
        <v>41858</v>
      </c>
    </row>
    <row r="14659" spans="1:15" x14ac:dyDescent="0.25">
      <c r="A14659" s="786" t="s">
        <v>26547</v>
      </c>
      <c r="B14659" s="787">
        <v>4</v>
      </c>
      <c r="C14659" s="787" t="s">
        <v>26548</v>
      </c>
      <c r="D14659" s="787">
        <v>0.04</v>
      </c>
      <c r="E14659" s="787">
        <v>0.05</v>
      </c>
      <c r="F14659" s="788">
        <v>39101</v>
      </c>
      <c r="G14659" s="788">
        <v>42158</v>
      </c>
      <c r="H14659" s="787">
        <v>1</v>
      </c>
      <c r="I14659" s="788">
        <v>41872</v>
      </c>
      <c r="J14659" s="788">
        <v>42158</v>
      </c>
      <c r="L14659" s="787">
        <v>0.05</v>
      </c>
      <c r="M14659" s="787">
        <v>20</v>
      </c>
      <c r="N14659" s="787">
        <v>0.05</v>
      </c>
      <c r="O14659" s="788">
        <v>41858</v>
      </c>
    </row>
    <row r="14660" spans="1:15" x14ac:dyDescent="0.25">
      <c r="A14660" s="786" t="s">
        <v>26549</v>
      </c>
      <c r="B14660" s="787">
        <v>4</v>
      </c>
      <c r="C14660" s="787" t="s">
        <v>26550</v>
      </c>
      <c r="D14660" s="787">
        <v>0.02</v>
      </c>
      <c r="E14660" s="787">
        <v>0.02</v>
      </c>
      <c r="F14660" s="788">
        <v>38047</v>
      </c>
      <c r="G14660" s="788">
        <v>38337</v>
      </c>
      <c r="H14660" s="787">
        <v>1</v>
      </c>
      <c r="I14660" s="788">
        <v>41163</v>
      </c>
      <c r="J14660" s="788">
        <v>38323</v>
      </c>
      <c r="L14660" s="787">
        <v>0.02</v>
      </c>
      <c r="M14660" s="787">
        <v>20</v>
      </c>
      <c r="N14660" s="787">
        <v>0.02</v>
      </c>
      <c r="O14660" s="788">
        <v>41858</v>
      </c>
    </row>
    <row r="14661" spans="1:15" x14ac:dyDescent="0.25">
      <c r="A14661" s="786" t="s">
        <v>26551</v>
      </c>
      <c r="B14661" s="787">
        <v>4</v>
      </c>
      <c r="C14661" s="787" t="s">
        <v>26552</v>
      </c>
      <c r="D14661" s="787">
        <v>0.01</v>
      </c>
      <c r="E14661" s="787">
        <v>0.01</v>
      </c>
      <c r="F14661" s="788">
        <v>39101</v>
      </c>
      <c r="G14661" s="788">
        <v>42013</v>
      </c>
      <c r="H14661" s="787">
        <v>1</v>
      </c>
      <c r="I14661" s="788">
        <v>42166</v>
      </c>
      <c r="J14661" s="788">
        <v>41982</v>
      </c>
      <c r="L14661" s="787">
        <v>0.02</v>
      </c>
      <c r="M14661" s="787">
        <v>20</v>
      </c>
      <c r="N14661" s="787">
        <v>0.02</v>
      </c>
      <c r="O14661" s="788">
        <v>42162</v>
      </c>
    </row>
    <row r="14662" spans="1:15" x14ac:dyDescent="0.25">
      <c r="A14662" s="786" t="s">
        <v>26553</v>
      </c>
      <c r="B14662" s="787">
        <v>4</v>
      </c>
      <c r="C14662" s="787" t="s">
        <v>26554</v>
      </c>
      <c r="D14662" s="787">
        <v>0.02</v>
      </c>
      <c r="E14662" s="787">
        <v>0.05</v>
      </c>
      <c r="F14662" s="788">
        <v>39101</v>
      </c>
      <c r="G14662" s="788">
        <v>42013</v>
      </c>
      <c r="H14662" s="787">
        <v>1</v>
      </c>
      <c r="I14662" s="788">
        <v>42165</v>
      </c>
      <c r="J14662" s="788">
        <v>41890</v>
      </c>
      <c r="L14662" s="787">
        <v>0.04</v>
      </c>
      <c r="M14662" s="787">
        <v>20</v>
      </c>
      <c r="N14662" s="787">
        <v>0.04</v>
      </c>
      <c r="O14662" s="788">
        <v>41858</v>
      </c>
    </row>
    <row r="14663" spans="1:15" x14ac:dyDescent="0.25">
      <c r="A14663" s="786" t="s">
        <v>26555</v>
      </c>
      <c r="B14663" s="787">
        <v>4</v>
      </c>
      <c r="C14663" s="787" t="s">
        <v>26556</v>
      </c>
      <c r="D14663" s="787">
        <v>0.02</v>
      </c>
      <c r="E14663" s="787">
        <v>0.04</v>
      </c>
      <c r="F14663" s="788">
        <v>39101</v>
      </c>
      <c r="G14663" s="788">
        <v>41626</v>
      </c>
      <c r="H14663" s="787">
        <v>1</v>
      </c>
      <c r="I14663" s="788">
        <v>41617</v>
      </c>
      <c r="J14663" s="788">
        <v>41626</v>
      </c>
      <c r="K14663" s="788">
        <v>41869</v>
      </c>
      <c r="L14663" s="787">
        <v>0.03</v>
      </c>
      <c r="M14663" s="787">
        <v>20</v>
      </c>
      <c r="N14663" s="787">
        <v>0.14000000000000001</v>
      </c>
      <c r="O14663" s="788">
        <v>41858</v>
      </c>
    </row>
    <row r="14664" spans="1:15" x14ac:dyDescent="0.25">
      <c r="A14664" s="786" t="s">
        <v>26557</v>
      </c>
      <c r="B14664" s="787">
        <v>4</v>
      </c>
      <c r="C14664" s="787" t="s">
        <v>26558</v>
      </c>
      <c r="D14664" s="787">
        <v>0.05</v>
      </c>
      <c r="E14664" s="787">
        <v>0.06</v>
      </c>
      <c r="F14664" s="788">
        <v>39101</v>
      </c>
      <c r="G14664" s="788">
        <v>41229</v>
      </c>
      <c r="H14664" s="787">
        <v>1</v>
      </c>
      <c r="I14664" s="788">
        <v>41204</v>
      </c>
      <c r="J14664" s="788">
        <v>41207</v>
      </c>
      <c r="L14664" s="787">
        <v>0.05</v>
      </c>
      <c r="M14664" s="787">
        <v>20</v>
      </c>
      <c r="N14664" s="787">
        <v>0.05</v>
      </c>
      <c r="O14664" s="788">
        <v>41858</v>
      </c>
    </row>
    <row r="14665" spans="1:15" x14ac:dyDescent="0.25">
      <c r="A14665" s="786" t="s">
        <v>26559</v>
      </c>
      <c r="B14665" s="787">
        <v>4</v>
      </c>
      <c r="C14665" s="787" t="s">
        <v>26560</v>
      </c>
      <c r="D14665" s="787">
        <v>0.01</v>
      </c>
      <c r="E14665" s="787">
        <v>0.02</v>
      </c>
      <c r="F14665" s="788">
        <v>39538</v>
      </c>
      <c r="G14665" s="788">
        <v>41646</v>
      </c>
      <c r="H14665" s="787">
        <v>1</v>
      </c>
      <c r="I14665" s="788">
        <v>41872</v>
      </c>
      <c r="J14665" s="788">
        <v>41611</v>
      </c>
      <c r="L14665" s="787">
        <v>0.01</v>
      </c>
      <c r="M14665" s="787">
        <v>20</v>
      </c>
      <c r="N14665" s="787">
        <v>0.01</v>
      </c>
      <c r="O14665" s="788">
        <v>41858</v>
      </c>
    </row>
    <row r="14666" spans="1:15" x14ac:dyDescent="0.25">
      <c r="A14666" s="786" t="s">
        <v>26561</v>
      </c>
      <c r="B14666" s="787">
        <v>4</v>
      </c>
      <c r="C14666" s="787" t="s">
        <v>26562</v>
      </c>
      <c r="D14666" s="787">
        <v>0.05</v>
      </c>
      <c r="E14666" s="787">
        <v>0.06</v>
      </c>
      <c r="F14666" s="788">
        <v>41411</v>
      </c>
      <c r="G14666" s="788">
        <v>41926</v>
      </c>
      <c r="H14666" s="787">
        <v>1</v>
      </c>
      <c r="I14666" s="788">
        <v>42165</v>
      </c>
      <c r="J14666" s="788">
        <v>41907</v>
      </c>
      <c r="K14666" s="788">
        <v>41869</v>
      </c>
      <c r="L14666" s="787">
        <v>0.05</v>
      </c>
      <c r="M14666" s="787">
        <v>20</v>
      </c>
      <c r="N14666" s="787">
        <v>0.05</v>
      </c>
      <c r="O14666" s="788">
        <v>42075</v>
      </c>
    </row>
    <row r="14667" spans="1:15" x14ac:dyDescent="0.25">
      <c r="A14667" s="786" t="s">
        <v>26563</v>
      </c>
      <c r="B14667" s="787">
        <v>4</v>
      </c>
      <c r="C14667" s="787" t="s">
        <v>26564</v>
      </c>
      <c r="D14667" s="787">
        <v>7.0000000000000007E-2</v>
      </c>
      <c r="E14667" s="787">
        <v>0.11</v>
      </c>
      <c r="F14667" s="788">
        <v>39301</v>
      </c>
      <c r="G14667" s="788">
        <v>42023</v>
      </c>
      <c r="H14667" s="787">
        <v>1</v>
      </c>
      <c r="I14667" s="788">
        <v>42086</v>
      </c>
      <c r="J14667" s="788">
        <v>42019</v>
      </c>
      <c r="L14667" s="787">
        <v>0.1</v>
      </c>
      <c r="M14667" s="787">
        <v>20</v>
      </c>
      <c r="N14667" s="787">
        <v>0.11</v>
      </c>
      <c r="O14667" s="788">
        <v>42111</v>
      </c>
    </row>
    <row r="14668" spans="1:15" x14ac:dyDescent="0.25">
      <c r="A14668" s="786" t="s">
        <v>26565</v>
      </c>
      <c r="B14668" s="787">
        <v>4</v>
      </c>
      <c r="C14668" s="787" t="s">
        <v>26566</v>
      </c>
      <c r="D14668" s="787">
        <v>0.12</v>
      </c>
      <c r="E14668" s="787">
        <v>0.12</v>
      </c>
      <c r="F14668" s="788">
        <v>40074</v>
      </c>
      <c r="G14668" s="788">
        <v>41646</v>
      </c>
      <c r="H14668" s="787">
        <v>1</v>
      </c>
      <c r="I14668" s="788">
        <v>41873</v>
      </c>
      <c r="J14668" s="788">
        <v>40077</v>
      </c>
      <c r="L14668" s="787">
        <v>0.12</v>
      </c>
      <c r="M14668" s="787">
        <v>20</v>
      </c>
      <c r="N14668" s="787">
        <v>0.13</v>
      </c>
      <c r="O14668" s="788">
        <v>41858</v>
      </c>
    </row>
    <row r="14669" spans="1:15" x14ac:dyDescent="0.25">
      <c r="A14669" s="786" t="s">
        <v>26567</v>
      </c>
      <c r="B14669" s="787">
        <v>4</v>
      </c>
      <c r="C14669" s="787" t="s">
        <v>26552</v>
      </c>
      <c r="D14669" s="787">
        <v>0</v>
      </c>
      <c r="E14669" s="787">
        <v>0</v>
      </c>
      <c r="H14669" s="787">
        <v>1</v>
      </c>
      <c r="I14669" s="788">
        <v>42031</v>
      </c>
      <c r="L14669" s="787">
        <v>0</v>
      </c>
      <c r="M14669" s="787">
        <v>20</v>
      </c>
      <c r="N14669" s="787">
        <v>0</v>
      </c>
      <c r="O14669" s="788">
        <v>40824</v>
      </c>
    </row>
    <row r="14670" spans="1:15" x14ac:dyDescent="0.25">
      <c r="A14670" s="786" t="s">
        <v>26568</v>
      </c>
      <c r="B14670" s="787">
        <v>4</v>
      </c>
      <c r="C14670" s="787" t="s">
        <v>26569</v>
      </c>
      <c r="D14670" s="787">
        <v>0.06</v>
      </c>
      <c r="E14670" s="787">
        <v>0.1</v>
      </c>
      <c r="F14670" s="788">
        <v>37642</v>
      </c>
      <c r="G14670" s="788">
        <v>41255</v>
      </c>
      <c r="H14670" s="787">
        <v>1</v>
      </c>
      <c r="I14670" s="788">
        <v>41050</v>
      </c>
      <c r="J14670" s="788">
        <v>41207</v>
      </c>
      <c r="L14670" s="787">
        <v>0.08</v>
      </c>
      <c r="M14670" s="787">
        <v>20</v>
      </c>
      <c r="N14670" s="787">
        <v>0.09</v>
      </c>
      <c r="O14670" s="788">
        <v>42019</v>
      </c>
    </row>
    <row r="14671" spans="1:15" x14ac:dyDescent="0.25">
      <c r="A14671" s="786" t="s">
        <v>26570</v>
      </c>
      <c r="B14671" s="787">
        <v>4</v>
      </c>
      <c r="C14671" s="787" t="s">
        <v>26571</v>
      </c>
      <c r="D14671" s="787">
        <v>0.08</v>
      </c>
      <c r="E14671" s="787">
        <v>0.08</v>
      </c>
      <c r="F14671" s="788">
        <v>39101</v>
      </c>
      <c r="G14671" s="788">
        <v>39101</v>
      </c>
      <c r="H14671" s="787">
        <v>1</v>
      </c>
      <c r="I14671" s="788">
        <v>39134</v>
      </c>
      <c r="J14671" s="788">
        <v>39149</v>
      </c>
      <c r="L14671" s="787">
        <v>0.08</v>
      </c>
      <c r="M14671" s="787">
        <v>20</v>
      </c>
      <c r="N14671" s="787">
        <v>0.09</v>
      </c>
      <c r="O14671" s="788">
        <v>41858</v>
      </c>
    </row>
    <row r="14672" spans="1:15" x14ac:dyDescent="0.25">
      <c r="A14672" s="786" t="s">
        <v>26572</v>
      </c>
      <c r="B14672" s="787">
        <v>4</v>
      </c>
      <c r="C14672" s="787" t="s">
        <v>26573</v>
      </c>
      <c r="D14672" s="787">
        <v>0.09</v>
      </c>
      <c r="E14672" s="787">
        <v>0.09</v>
      </c>
      <c r="F14672" s="788">
        <v>38870</v>
      </c>
      <c r="G14672" s="788">
        <v>38870</v>
      </c>
      <c r="H14672" s="787">
        <v>1</v>
      </c>
      <c r="I14672" s="788">
        <v>39134</v>
      </c>
      <c r="J14672" s="788">
        <v>38869</v>
      </c>
      <c r="L14672" s="787">
        <v>0.11</v>
      </c>
      <c r="M14672" s="787">
        <v>20</v>
      </c>
      <c r="N14672" s="787">
        <v>0.12</v>
      </c>
      <c r="O14672" s="788">
        <v>41858</v>
      </c>
    </row>
    <row r="14673" spans="1:15" x14ac:dyDescent="0.25">
      <c r="A14673" s="786" t="s">
        <v>26574</v>
      </c>
      <c r="B14673" s="787">
        <v>4</v>
      </c>
      <c r="C14673" s="787" t="s">
        <v>26573</v>
      </c>
      <c r="D14673" s="787">
        <v>1.1000000000000001</v>
      </c>
      <c r="E14673" s="787">
        <v>1.1399999999999999</v>
      </c>
      <c r="F14673" s="788">
        <v>39721</v>
      </c>
      <c r="G14673" s="788">
        <v>40553</v>
      </c>
      <c r="H14673" s="787">
        <v>1</v>
      </c>
      <c r="I14673" s="788">
        <v>39134</v>
      </c>
      <c r="J14673" s="788">
        <v>39716</v>
      </c>
      <c r="L14673" s="787">
        <v>1.1399999999999999</v>
      </c>
      <c r="M14673" s="787">
        <v>20</v>
      </c>
      <c r="N14673" s="787">
        <v>1.23</v>
      </c>
      <c r="O14673" s="788">
        <v>41858</v>
      </c>
    </row>
    <row r="14674" spans="1:15" x14ac:dyDescent="0.25">
      <c r="A14674" s="786" t="s">
        <v>26575</v>
      </c>
      <c r="B14674" s="787">
        <v>4</v>
      </c>
      <c r="C14674" s="787" t="s">
        <v>26576</v>
      </c>
      <c r="D14674" s="787">
        <v>7.76</v>
      </c>
      <c r="E14674" s="787">
        <v>7.76</v>
      </c>
      <c r="F14674" s="788">
        <v>42055</v>
      </c>
      <c r="G14674" s="788">
        <v>42046</v>
      </c>
      <c r="H14674" s="787">
        <v>1</v>
      </c>
      <c r="J14674" s="788">
        <v>42153</v>
      </c>
      <c r="K14674" s="788">
        <v>42045</v>
      </c>
      <c r="L14674" s="787">
        <v>7.76</v>
      </c>
      <c r="M14674" s="787">
        <v>20</v>
      </c>
      <c r="N14674" s="787">
        <v>8.34</v>
      </c>
      <c r="O14674" s="788">
        <v>42045</v>
      </c>
    </row>
    <row r="14675" spans="1:15" x14ac:dyDescent="0.25">
      <c r="A14675" s="786" t="s">
        <v>26577</v>
      </c>
      <c r="B14675" s="787">
        <v>4</v>
      </c>
      <c r="C14675" s="787" t="s">
        <v>26578</v>
      </c>
      <c r="D14675" s="787">
        <v>0.26</v>
      </c>
      <c r="E14675" s="787">
        <v>0.99</v>
      </c>
      <c r="F14675" s="788">
        <v>39101</v>
      </c>
      <c r="G14675" s="788">
        <v>42090</v>
      </c>
      <c r="H14675" s="787">
        <v>1</v>
      </c>
      <c r="I14675" s="788">
        <v>41873</v>
      </c>
      <c r="J14675" s="788">
        <v>42072</v>
      </c>
      <c r="K14675" s="788">
        <v>42072</v>
      </c>
      <c r="L14675" s="787">
        <v>0.84</v>
      </c>
      <c r="M14675" s="787">
        <v>20</v>
      </c>
      <c r="N14675" s="787">
        <v>0.9</v>
      </c>
      <c r="O14675" s="788">
        <v>42072</v>
      </c>
    </row>
    <row r="14676" spans="1:15" x14ac:dyDescent="0.25">
      <c r="A14676" s="786" t="s">
        <v>26579</v>
      </c>
      <c r="B14676" s="787">
        <v>4</v>
      </c>
      <c r="C14676" s="787" t="s">
        <v>26580</v>
      </c>
      <c r="D14676" s="787">
        <v>0.27</v>
      </c>
      <c r="E14676" s="787">
        <v>0.4</v>
      </c>
      <c r="F14676" s="788">
        <v>39101</v>
      </c>
      <c r="G14676" s="788">
        <v>41646</v>
      </c>
      <c r="H14676" s="787">
        <v>1</v>
      </c>
      <c r="I14676" s="788">
        <v>41873</v>
      </c>
      <c r="J14676" s="788">
        <v>41060</v>
      </c>
      <c r="L14676" s="787">
        <v>0.28999999999999998</v>
      </c>
      <c r="M14676" s="787">
        <v>20</v>
      </c>
      <c r="N14676" s="787">
        <v>0.31</v>
      </c>
      <c r="O14676" s="788">
        <v>41858</v>
      </c>
    </row>
    <row r="14677" spans="1:15" x14ac:dyDescent="0.25">
      <c r="A14677" s="786" t="s">
        <v>26581</v>
      </c>
      <c r="B14677" s="787">
        <v>4</v>
      </c>
      <c r="C14677" s="787" t="s">
        <v>26582</v>
      </c>
      <c r="D14677" s="787">
        <v>0.39</v>
      </c>
      <c r="E14677" s="787">
        <v>0.56000000000000005</v>
      </c>
      <c r="F14677" s="788">
        <v>37642</v>
      </c>
      <c r="G14677" s="788">
        <v>41282</v>
      </c>
      <c r="H14677" s="787">
        <v>1</v>
      </c>
      <c r="I14677" s="788">
        <v>40645</v>
      </c>
      <c r="J14677" s="788">
        <v>40652</v>
      </c>
      <c r="L14677" s="787">
        <v>0.43</v>
      </c>
      <c r="M14677" s="787">
        <v>20</v>
      </c>
      <c r="N14677" s="787">
        <v>0.46</v>
      </c>
      <c r="O14677" s="788">
        <v>41858</v>
      </c>
    </row>
    <row r="14678" spans="1:15" x14ac:dyDescent="0.25">
      <c r="A14678" s="786" t="s">
        <v>26583</v>
      </c>
      <c r="B14678" s="787">
        <v>4</v>
      </c>
      <c r="C14678" s="787" t="s">
        <v>26584</v>
      </c>
      <c r="D14678" s="787">
        <v>0.47</v>
      </c>
      <c r="E14678" s="787">
        <v>0.71</v>
      </c>
      <c r="F14678" s="788">
        <v>37642</v>
      </c>
      <c r="G14678" s="788">
        <v>40914</v>
      </c>
      <c r="H14678" s="787">
        <v>1</v>
      </c>
      <c r="I14678" s="788">
        <v>40721</v>
      </c>
      <c r="J14678" s="788">
        <v>40652</v>
      </c>
      <c r="L14678" s="787">
        <v>0.51</v>
      </c>
      <c r="M14678" s="787">
        <v>20</v>
      </c>
      <c r="N14678" s="787">
        <v>0.55000000000000004</v>
      </c>
      <c r="O14678" s="788">
        <v>42019</v>
      </c>
    </row>
    <row r="14679" spans="1:15" x14ac:dyDescent="0.25">
      <c r="A14679" s="786" t="s">
        <v>26585</v>
      </c>
      <c r="B14679" s="787">
        <v>4</v>
      </c>
      <c r="C14679" s="787" t="s">
        <v>26586</v>
      </c>
      <c r="D14679" s="787">
        <v>0</v>
      </c>
      <c r="E14679" s="787">
        <v>0</v>
      </c>
      <c r="G14679" s="788">
        <v>38736</v>
      </c>
      <c r="H14679" s="787">
        <v>1</v>
      </c>
      <c r="I14679" s="788">
        <v>38978</v>
      </c>
      <c r="J14679" s="788">
        <v>39101</v>
      </c>
      <c r="L14679" s="787">
        <v>10.14</v>
      </c>
      <c r="M14679" s="787">
        <v>20</v>
      </c>
      <c r="N14679" s="787">
        <v>10.9</v>
      </c>
      <c r="O14679" s="788">
        <v>41858</v>
      </c>
    </row>
    <row r="14680" spans="1:15" x14ac:dyDescent="0.25">
      <c r="A14680" s="786" t="s">
        <v>26587</v>
      </c>
      <c r="B14680" s="787">
        <v>4</v>
      </c>
      <c r="C14680" s="787" t="s">
        <v>26588</v>
      </c>
      <c r="D14680" s="787">
        <v>0</v>
      </c>
      <c r="E14680" s="787">
        <v>0</v>
      </c>
      <c r="G14680" s="788">
        <v>38736</v>
      </c>
      <c r="H14680" s="787">
        <v>1</v>
      </c>
      <c r="I14680" s="788">
        <v>39134</v>
      </c>
      <c r="J14680" s="788">
        <v>39149</v>
      </c>
      <c r="L14680" s="787">
        <v>9.58</v>
      </c>
      <c r="M14680" s="787">
        <v>20</v>
      </c>
      <c r="N14680" s="787">
        <v>10.3</v>
      </c>
      <c r="O14680" s="788">
        <v>41858</v>
      </c>
    </row>
    <row r="14681" spans="1:15" x14ac:dyDescent="0.25">
      <c r="A14681" s="786" t="s">
        <v>26589</v>
      </c>
      <c r="B14681" s="787">
        <v>4</v>
      </c>
      <c r="C14681" s="787" t="s">
        <v>26590</v>
      </c>
      <c r="D14681" s="787">
        <v>0</v>
      </c>
      <c r="E14681" s="787">
        <v>0</v>
      </c>
      <c r="G14681" s="788">
        <v>38736</v>
      </c>
      <c r="H14681" s="787">
        <v>1</v>
      </c>
      <c r="I14681" s="788">
        <v>39134</v>
      </c>
      <c r="J14681" s="788">
        <v>39149</v>
      </c>
      <c r="L14681" s="787">
        <v>11.26</v>
      </c>
      <c r="M14681" s="787">
        <v>20</v>
      </c>
      <c r="N14681" s="787">
        <v>12.1</v>
      </c>
      <c r="O14681" s="788">
        <v>41858</v>
      </c>
    </row>
    <row r="14682" spans="1:15" x14ac:dyDescent="0.25">
      <c r="A14682" s="786" t="s">
        <v>26591</v>
      </c>
      <c r="B14682" s="787">
        <v>4</v>
      </c>
      <c r="C14682" s="787" t="s">
        <v>26592</v>
      </c>
      <c r="D14682" s="787">
        <v>0</v>
      </c>
      <c r="E14682" s="787">
        <v>0</v>
      </c>
      <c r="G14682" s="788">
        <v>38736</v>
      </c>
      <c r="H14682" s="787">
        <v>1</v>
      </c>
      <c r="I14682" s="788">
        <v>39134</v>
      </c>
      <c r="J14682" s="788">
        <v>39149</v>
      </c>
      <c r="L14682" s="787">
        <v>0.19</v>
      </c>
      <c r="M14682" s="787">
        <v>20</v>
      </c>
      <c r="N14682" s="787">
        <v>0.2</v>
      </c>
      <c r="O14682" s="788">
        <v>41858</v>
      </c>
    </row>
    <row r="14683" spans="1:15" x14ac:dyDescent="0.25">
      <c r="A14683" s="786" t="s">
        <v>26593</v>
      </c>
      <c r="B14683" s="787">
        <v>4</v>
      </c>
      <c r="C14683" s="787" t="s">
        <v>26594</v>
      </c>
      <c r="D14683" s="787">
        <v>0</v>
      </c>
      <c r="E14683" s="787">
        <v>0</v>
      </c>
      <c r="G14683" s="788">
        <v>38736</v>
      </c>
      <c r="H14683" s="787">
        <v>1</v>
      </c>
      <c r="I14683" s="788">
        <v>39226</v>
      </c>
      <c r="J14683" s="788">
        <v>39149</v>
      </c>
      <c r="L14683" s="787">
        <v>9.2899999999999991</v>
      </c>
      <c r="M14683" s="787">
        <v>20</v>
      </c>
      <c r="N14683" s="787">
        <v>9.99</v>
      </c>
      <c r="O14683" s="788">
        <v>41858</v>
      </c>
    </row>
    <row r="14684" spans="1:15" x14ac:dyDescent="0.25">
      <c r="A14684" s="786" t="s">
        <v>26595</v>
      </c>
      <c r="B14684" s="787">
        <v>4</v>
      </c>
      <c r="C14684" s="787" t="s">
        <v>26596</v>
      </c>
      <c r="D14684" s="787">
        <v>0</v>
      </c>
      <c r="E14684" s="787">
        <v>0</v>
      </c>
      <c r="G14684" s="787" t="s">
        <v>1067</v>
      </c>
      <c r="H14684" s="787">
        <v>1</v>
      </c>
      <c r="I14684" s="788">
        <v>39226</v>
      </c>
      <c r="J14684" s="788">
        <v>39101</v>
      </c>
      <c r="L14684" s="787">
        <v>0.19</v>
      </c>
      <c r="M14684" s="787">
        <v>20</v>
      </c>
      <c r="N14684" s="787">
        <v>0.2</v>
      </c>
      <c r="O14684" s="788">
        <v>41858</v>
      </c>
    </row>
    <row r="14685" spans="1:15" x14ac:dyDescent="0.25">
      <c r="A14685" s="786" t="s">
        <v>26597</v>
      </c>
      <c r="B14685" s="787">
        <v>4</v>
      </c>
      <c r="C14685" s="787" t="s">
        <v>26598</v>
      </c>
      <c r="D14685" s="787">
        <v>0.17</v>
      </c>
      <c r="E14685" s="787">
        <v>0.21</v>
      </c>
      <c r="F14685" s="788">
        <v>39101</v>
      </c>
      <c r="G14685" s="788">
        <v>41883</v>
      </c>
      <c r="H14685" s="787">
        <v>1</v>
      </c>
      <c r="I14685" s="788">
        <v>42116</v>
      </c>
      <c r="J14685" s="788">
        <v>41880</v>
      </c>
      <c r="K14685" s="788">
        <v>41879</v>
      </c>
      <c r="L14685" s="787">
        <v>0.2</v>
      </c>
      <c r="M14685" s="787">
        <v>20</v>
      </c>
      <c r="N14685" s="787">
        <v>0.22</v>
      </c>
      <c r="O14685" s="788">
        <v>42061</v>
      </c>
    </row>
    <row r="14686" spans="1:15" x14ac:dyDescent="0.25">
      <c r="A14686" s="786" t="s">
        <v>26599</v>
      </c>
      <c r="B14686" s="787">
        <v>4</v>
      </c>
      <c r="C14686" s="787" t="s">
        <v>26600</v>
      </c>
      <c r="D14686" s="787">
        <v>0</v>
      </c>
      <c r="E14686" s="787">
        <v>0</v>
      </c>
      <c r="G14686" s="787" t="s">
        <v>1067</v>
      </c>
      <c r="H14686" s="787">
        <v>6</v>
      </c>
      <c r="I14686" s="788">
        <v>41906</v>
      </c>
      <c r="K14686" s="788">
        <v>41869</v>
      </c>
      <c r="L14686" s="787">
        <v>0.01</v>
      </c>
      <c r="M14686" s="787">
        <v>20</v>
      </c>
      <c r="N14686" s="787">
        <v>0.54</v>
      </c>
      <c r="O14686" s="788">
        <v>41858</v>
      </c>
    </row>
    <row r="14687" spans="1:15" x14ac:dyDescent="0.25">
      <c r="A14687" s="786" t="s">
        <v>26601</v>
      </c>
      <c r="B14687" s="787">
        <v>4</v>
      </c>
      <c r="C14687" s="787" t="s">
        <v>26600</v>
      </c>
      <c r="D14687" s="787">
        <v>0</v>
      </c>
      <c r="E14687" s="787">
        <v>0</v>
      </c>
      <c r="G14687" s="787" t="s">
        <v>1067</v>
      </c>
      <c r="H14687" s="787">
        <v>1</v>
      </c>
      <c r="L14687" s="787">
        <v>0</v>
      </c>
      <c r="M14687" s="787">
        <v>20</v>
      </c>
      <c r="N14687" s="787">
        <v>0</v>
      </c>
      <c r="O14687" s="788">
        <v>40824</v>
      </c>
    </row>
    <row r="14688" spans="1:15" x14ac:dyDescent="0.25">
      <c r="A14688" s="786" t="s">
        <v>26602</v>
      </c>
      <c r="B14688" s="787">
        <v>4</v>
      </c>
      <c r="C14688" s="787" t="s">
        <v>26600</v>
      </c>
      <c r="D14688" s="787">
        <v>0</v>
      </c>
      <c r="E14688" s="787">
        <v>0</v>
      </c>
      <c r="G14688" s="787" t="s">
        <v>1067</v>
      </c>
      <c r="H14688" s="787">
        <v>1</v>
      </c>
      <c r="I14688" s="788">
        <v>42165</v>
      </c>
      <c r="J14688" s="788">
        <v>41981</v>
      </c>
      <c r="K14688" s="788">
        <v>41256</v>
      </c>
      <c r="L14688" s="787">
        <v>0.04</v>
      </c>
      <c r="M14688" s="787">
        <v>20</v>
      </c>
      <c r="N14688" s="787">
        <v>0.04</v>
      </c>
      <c r="O14688" s="788">
        <v>42146</v>
      </c>
    </row>
    <row r="14689" spans="1:15" x14ac:dyDescent="0.25">
      <c r="A14689" s="786" t="s">
        <v>26603</v>
      </c>
      <c r="B14689" s="787">
        <v>4</v>
      </c>
      <c r="C14689" s="787" t="s">
        <v>26600</v>
      </c>
      <c r="D14689" s="787">
        <v>0</v>
      </c>
      <c r="E14689" s="787">
        <v>0</v>
      </c>
      <c r="G14689" s="787" t="s">
        <v>1067</v>
      </c>
      <c r="H14689" s="787">
        <v>1</v>
      </c>
      <c r="I14689" s="788">
        <v>41050</v>
      </c>
      <c r="K14689" s="788">
        <v>41256</v>
      </c>
      <c r="L14689" s="787">
        <v>0.02</v>
      </c>
      <c r="M14689" s="787">
        <v>20</v>
      </c>
      <c r="N14689" s="787">
        <v>0.02</v>
      </c>
      <c r="O14689" s="788">
        <v>41858</v>
      </c>
    </row>
    <row r="14690" spans="1:15" x14ac:dyDescent="0.25">
      <c r="A14690" s="786" t="s">
        <v>26604</v>
      </c>
      <c r="B14690" s="787">
        <v>4</v>
      </c>
      <c r="C14690" s="787" t="s">
        <v>26600</v>
      </c>
      <c r="D14690" s="787">
        <v>0</v>
      </c>
      <c r="E14690" s="787">
        <v>0</v>
      </c>
      <c r="G14690" s="787" t="s">
        <v>1067</v>
      </c>
      <c r="H14690" s="787">
        <v>1</v>
      </c>
      <c r="I14690" s="788">
        <v>42146</v>
      </c>
      <c r="J14690" s="788">
        <v>42166</v>
      </c>
      <c r="L14690" s="787">
        <v>0.06</v>
      </c>
      <c r="M14690" s="787">
        <v>20</v>
      </c>
      <c r="N14690" s="787">
        <v>0.06</v>
      </c>
      <c r="O14690" s="788">
        <v>41858</v>
      </c>
    </row>
    <row r="14691" spans="1:15" x14ac:dyDescent="0.25">
      <c r="A14691" s="786" t="s">
        <v>26605</v>
      </c>
      <c r="B14691" s="787">
        <v>4</v>
      </c>
      <c r="C14691" s="787" t="s">
        <v>26606</v>
      </c>
      <c r="D14691" s="787">
        <v>0.16</v>
      </c>
      <c r="E14691" s="787">
        <v>0.17</v>
      </c>
      <c r="F14691" s="788">
        <v>41161</v>
      </c>
      <c r="G14691" s="788">
        <v>42059</v>
      </c>
      <c r="H14691" s="787">
        <v>1</v>
      </c>
      <c r="I14691" s="788">
        <v>42166</v>
      </c>
      <c r="J14691" s="788">
        <v>42061</v>
      </c>
      <c r="L14691" s="787">
        <v>0.16</v>
      </c>
      <c r="M14691" s="787">
        <v>20</v>
      </c>
      <c r="N14691" s="787">
        <v>0.17</v>
      </c>
      <c r="O14691" s="788">
        <v>42146</v>
      </c>
    </row>
    <row r="14692" spans="1:15" x14ac:dyDescent="0.25">
      <c r="A14692" s="786" t="s">
        <v>26607</v>
      </c>
      <c r="B14692" s="787">
        <v>4</v>
      </c>
      <c r="C14692" s="787" t="s">
        <v>26608</v>
      </c>
      <c r="D14692" s="787">
        <v>0</v>
      </c>
      <c r="E14692" s="787">
        <v>0</v>
      </c>
      <c r="H14692" s="787">
        <v>1</v>
      </c>
      <c r="K14692" s="788">
        <v>40668</v>
      </c>
      <c r="L14692" s="787">
        <v>0.3</v>
      </c>
      <c r="M14692" s="787">
        <v>20</v>
      </c>
      <c r="N14692" s="787">
        <v>0.32</v>
      </c>
      <c r="O14692" s="788">
        <v>41858</v>
      </c>
    </row>
    <row r="14693" spans="1:15" x14ac:dyDescent="0.25">
      <c r="A14693" s="786" t="s">
        <v>26609</v>
      </c>
      <c r="B14693" s="787">
        <v>4</v>
      </c>
      <c r="C14693" s="787" t="s">
        <v>26610</v>
      </c>
      <c r="D14693" s="787">
        <v>0.26</v>
      </c>
      <c r="E14693" s="787">
        <v>0.26</v>
      </c>
      <c r="F14693" s="788">
        <v>41890</v>
      </c>
      <c r="G14693" s="788">
        <v>41869</v>
      </c>
      <c r="H14693" s="787">
        <v>1</v>
      </c>
      <c r="I14693" s="788">
        <v>42075</v>
      </c>
      <c r="J14693" s="788">
        <v>42075</v>
      </c>
      <c r="K14693" s="788">
        <v>41862</v>
      </c>
      <c r="L14693" s="787">
        <v>0.26</v>
      </c>
      <c r="M14693" s="787">
        <v>20</v>
      </c>
      <c r="N14693" s="787">
        <v>0.28000000000000003</v>
      </c>
      <c r="O14693" s="788">
        <v>41862</v>
      </c>
    </row>
    <row r="14694" spans="1:15" x14ac:dyDescent="0.25">
      <c r="A14694" s="786" t="s">
        <v>26611</v>
      </c>
      <c r="B14694" s="787">
        <v>4</v>
      </c>
      <c r="C14694" s="787" t="s">
        <v>26612</v>
      </c>
      <c r="D14694" s="787">
        <v>0.05</v>
      </c>
      <c r="E14694" s="787">
        <v>0.05</v>
      </c>
      <c r="F14694" s="788">
        <v>37642</v>
      </c>
      <c r="G14694" s="788">
        <v>37642</v>
      </c>
      <c r="H14694" s="787">
        <v>1</v>
      </c>
      <c r="I14694" s="788">
        <v>37566</v>
      </c>
      <c r="J14694" s="788">
        <v>37642</v>
      </c>
      <c r="L14694" s="787">
        <v>0.05</v>
      </c>
      <c r="M14694" s="787">
        <v>20</v>
      </c>
      <c r="N14694" s="787">
        <v>0.05</v>
      </c>
      <c r="O14694" s="788">
        <v>41858</v>
      </c>
    </row>
    <row r="14695" spans="1:15" x14ac:dyDescent="0.25">
      <c r="A14695" s="786" t="s">
        <v>26613</v>
      </c>
      <c r="B14695" s="787">
        <v>4</v>
      </c>
      <c r="C14695" s="787" t="s">
        <v>26614</v>
      </c>
      <c r="D14695" s="787">
        <v>0.04</v>
      </c>
      <c r="E14695" s="787">
        <v>0.04</v>
      </c>
      <c r="F14695" s="788">
        <v>37642</v>
      </c>
      <c r="G14695" s="788">
        <v>37642</v>
      </c>
      <c r="H14695" s="787">
        <v>1</v>
      </c>
      <c r="I14695" s="788">
        <v>37164</v>
      </c>
      <c r="J14695" s="788">
        <v>37642</v>
      </c>
      <c r="L14695" s="787">
        <v>0.04</v>
      </c>
      <c r="M14695" s="787">
        <v>20</v>
      </c>
      <c r="N14695" s="787">
        <v>0.04</v>
      </c>
      <c r="O14695" s="788">
        <v>41858</v>
      </c>
    </row>
    <row r="14696" spans="1:15" x14ac:dyDescent="0.25">
      <c r="A14696" s="786" t="s">
        <v>26615</v>
      </c>
      <c r="B14696" s="787">
        <v>4</v>
      </c>
      <c r="C14696" s="787" t="s">
        <v>26616</v>
      </c>
      <c r="D14696" s="787">
        <v>0.05</v>
      </c>
      <c r="E14696" s="787">
        <v>0.05</v>
      </c>
      <c r="F14696" s="788">
        <v>37642</v>
      </c>
      <c r="G14696" s="788">
        <v>37642</v>
      </c>
      <c r="H14696" s="787">
        <v>1</v>
      </c>
      <c r="I14696" s="788">
        <v>37320</v>
      </c>
      <c r="J14696" s="788">
        <v>37642</v>
      </c>
      <c r="L14696" s="787">
        <v>0.05</v>
      </c>
      <c r="M14696" s="787">
        <v>20</v>
      </c>
      <c r="N14696" s="787">
        <v>0.05</v>
      </c>
      <c r="O14696" s="788">
        <v>41858</v>
      </c>
    </row>
    <row r="14697" spans="1:15" x14ac:dyDescent="0.25">
      <c r="A14697" s="786" t="s">
        <v>26617</v>
      </c>
      <c r="B14697" s="787">
        <v>4</v>
      </c>
      <c r="C14697" s="787" t="s">
        <v>26618</v>
      </c>
      <c r="D14697" s="787">
        <v>0.05</v>
      </c>
      <c r="E14697" s="787">
        <v>0.05</v>
      </c>
      <c r="F14697" s="788">
        <v>37642</v>
      </c>
      <c r="G14697" s="788">
        <v>37642</v>
      </c>
      <c r="H14697" s="787">
        <v>1</v>
      </c>
      <c r="I14697" s="788">
        <v>37945</v>
      </c>
      <c r="J14697" s="788">
        <v>37642</v>
      </c>
      <c r="L14697" s="787">
        <v>0.05</v>
      </c>
      <c r="M14697" s="787">
        <v>20</v>
      </c>
      <c r="N14697" s="787">
        <v>0.05</v>
      </c>
      <c r="O14697" s="788">
        <v>42083</v>
      </c>
    </row>
    <row r="14698" spans="1:15" x14ac:dyDescent="0.25">
      <c r="A14698" s="786" t="s">
        <v>26619</v>
      </c>
      <c r="B14698" s="787">
        <v>4</v>
      </c>
      <c r="C14698" s="787" t="s">
        <v>26620</v>
      </c>
      <c r="D14698" s="787">
        <v>0.11</v>
      </c>
      <c r="E14698" s="787">
        <v>0.12</v>
      </c>
      <c r="F14698" s="788">
        <v>39615</v>
      </c>
      <c r="G14698" s="788">
        <v>41255</v>
      </c>
      <c r="H14698" s="787">
        <v>5</v>
      </c>
      <c r="I14698" s="788">
        <v>41149</v>
      </c>
      <c r="J14698" s="788">
        <v>41190</v>
      </c>
      <c r="K14698" s="788">
        <v>41869</v>
      </c>
      <c r="L14698" s="787">
        <v>0.12</v>
      </c>
      <c r="M14698" s="787">
        <v>20</v>
      </c>
      <c r="N14698" s="787">
        <v>0.24</v>
      </c>
      <c r="O14698" s="788">
        <v>41858</v>
      </c>
    </row>
    <row r="14699" spans="1:15" x14ac:dyDescent="0.25">
      <c r="A14699" s="786" t="s">
        <v>26621</v>
      </c>
      <c r="B14699" s="787">
        <v>4</v>
      </c>
      <c r="C14699" s="787" t="s">
        <v>26622</v>
      </c>
      <c r="D14699" s="787">
        <v>0.14000000000000001</v>
      </c>
      <c r="E14699" s="787">
        <v>0.14000000000000001</v>
      </c>
      <c r="F14699" s="788">
        <v>39101</v>
      </c>
      <c r="G14699" s="788">
        <v>39624</v>
      </c>
      <c r="H14699" s="787">
        <v>5</v>
      </c>
      <c r="I14699" s="788">
        <v>41225</v>
      </c>
      <c r="J14699" s="788">
        <v>40770</v>
      </c>
      <c r="K14699" s="788">
        <v>41261</v>
      </c>
      <c r="L14699" s="787">
        <v>0.14000000000000001</v>
      </c>
      <c r="M14699" s="787">
        <v>20</v>
      </c>
      <c r="N14699" s="787">
        <v>0.15</v>
      </c>
      <c r="O14699" s="788">
        <v>41858</v>
      </c>
    </row>
    <row r="14700" spans="1:15" x14ac:dyDescent="0.25">
      <c r="A14700" s="786" t="s">
        <v>26623</v>
      </c>
      <c r="B14700" s="787">
        <v>4</v>
      </c>
      <c r="C14700" s="787" t="s">
        <v>26624</v>
      </c>
      <c r="D14700" s="787">
        <v>0.12</v>
      </c>
      <c r="E14700" s="787">
        <v>0.13</v>
      </c>
      <c r="F14700" s="788">
        <v>38849</v>
      </c>
      <c r="G14700" s="788">
        <v>41255</v>
      </c>
      <c r="H14700" s="787">
        <v>5</v>
      </c>
      <c r="I14700" s="788">
        <v>41074</v>
      </c>
      <c r="J14700" s="788">
        <v>40770</v>
      </c>
      <c r="K14700" s="788">
        <v>41261</v>
      </c>
      <c r="L14700" s="787">
        <v>0.13</v>
      </c>
      <c r="M14700" s="787">
        <v>20</v>
      </c>
      <c r="N14700" s="787">
        <v>0.14000000000000001</v>
      </c>
      <c r="O14700" s="788">
        <v>41858</v>
      </c>
    </row>
    <row r="14701" spans="1:15" x14ac:dyDescent="0.25">
      <c r="A14701" s="786" t="s">
        <v>26625</v>
      </c>
      <c r="B14701" s="787">
        <v>4</v>
      </c>
      <c r="C14701" s="787" t="s">
        <v>26626</v>
      </c>
      <c r="D14701" s="787">
        <v>0.08</v>
      </c>
      <c r="E14701" s="787">
        <v>0.13</v>
      </c>
      <c r="F14701" s="788">
        <v>39748</v>
      </c>
      <c r="G14701" s="788">
        <v>41894</v>
      </c>
      <c r="H14701" s="787">
        <v>1</v>
      </c>
      <c r="I14701" s="788">
        <v>41894</v>
      </c>
      <c r="J14701" s="788">
        <v>41894</v>
      </c>
      <c r="K14701" s="788">
        <v>41261</v>
      </c>
      <c r="L14701" s="787">
        <v>0.13</v>
      </c>
      <c r="M14701" s="787">
        <v>20</v>
      </c>
      <c r="N14701" s="787">
        <v>0.14000000000000001</v>
      </c>
      <c r="O14701" s="788">
        <v>41858</v>
      </c>
    </row>
    <row r="14702" spans="1:15" x14ac:dyDescent="0.25">
      <c r="A14702" s="786" t="s">
        <v>26627</v>
      </c>
      <c r="B14702" s="787">
        <v>4</v>
      </c>
      <c r="C14702" s="787" t="s">
        <v>26628</v>
      </c>
      <c r="D14702" s="787">
        <v>0.22</v>
      </c>
      <c r="E14702" s="787">
        <v>0.22</v>
      </c>
      <c r="F14702" s="788">
        <v>41390</v>
      </c>
      <c r="G14702" s="788">
        <v>41565</v>
      </c>
      <c r="H14702" s="787">
        <v>1</v>
      </c>
      <c r="I14702" s="788">
        <v>41383</v>
      </c>
      <c r="J14702" s="788">
        <v>41383</v>
      </c>
      <c r="K14702" s="788">
        <v>41261</v>
      </c>
      <c r="L14702" s="787">
        <v>0.3</v>
      </c>
      <c r="M14702" s="787">
        <v>20</v>
      </c>
      <c r="N14702" s="787">
        <v>0.32</v>
      </c>
      <c r="O14702" s="788">
        <v>41858</v>
      </c>
    </row>
    <row r="14703" spans="1:15" x14ac:dyDescent="0.25">
      <c r="A14703" s="786" t="s">
        <v>26629</v>
      </c>
      <c r="B14703" s="787">
        <v>4</v>
      </c>
      <c r="C14703" s="787" t="s">
        <v>26630</v>
      </c>
      <c r="D14703" s="787">
        <v>2.08</v>
      </c>
      <c r="E14703" s="787">
        <v>12.08</v>
      </c>
      <c r="F14703" s="788">
        <v>37642</v>
      </c>
      <c r="G14703" s="788">
        <v>37642</v>
      </c>
      <c r="H14703" s="787">
        <v>1</v>
      </c>
      <c r="J14703" s="788">
        <v>37642</v>
      </c>
      <c r="L14703" s="787">
        <v>13.17</v>
      </c>
      <c r="M14703" s="787">
        <v>20</v>
      </c>
      <c r="N14703" s="787">
        <v>14.16</v>
      </c>
      <c r="O14703" s="788">
        <v>41858</v>
      </c>
    </row>
    <row r="14704" spans="1:15" x14ac:dyDescent="0.25">
      <c r="A14704" s="786" t="s">
        <v>26631</v>
      </c>
      <c r="B14704" s="787">
        <v>4</v>
      </c>
      <c r="C14704" s="787" t="s">
        <v>26632</v>
      </c>
      <c r="D14704" s="787">
        <v>0.06</v>
      </c>
      <c r="E14704" s="787">
        <v>0.06</v>
      </c>
      <c r="F14704" s="788">
        <v>39910</v>
      </c>
      <c r="G14704" s="788">
        <v>41646</v>
      </c>
      <c r="H14704" s="787">
        <v>1</v>
      </c>
      <c r="I14704" s="788">
        <v>41984</v>
      </c>
      <c r="J14704" s="788">
        <v>40352</v>
      </c>
      <c r="L14704" s="787">
        <v>0.05</v>
      </c>
      <c r="M14704" s="787">
        <v>20</v>
      </c>
      <c r="N14704" s="787">
        <v>0.05</v>
      </c>
      <c r="O14704" s="788">
        <v>42162</v>
      </c>
    </row>
    <row r="14705" spans="1:15" x14ac:dyDescent="0.25">
      <c r="A14705" s="786" t="s">
        <v>26633</v>
      </c>
      <c r="B14705" s="787">
        <v>4</v>
      </c>
      <c r="C14705" s="787" t="s">
        <v>26634</v>
      </c>
      <c r="D14705" s="787">
        <v>0.05</v>
      </c>
      <c r="E14705" s="787">
        <v>0.08</v>
      </c>
      <c r="F14705" s="788">
        <v>37645</v>
      </c>
      <c r="G14705" s="788">
        <v>37831</v>
      </c>
      <c r="H14705" s="787">
        <v>6</v>
      </c>
      <c r="J14705" s="788">
        <v>37830</v>
      </c>
      <c r="K14705" s="788">
        <v>41865</v>
      </c>
      <c r="L14705" s="787">
        <v>0.2</v>
      </c>
      <c r="M14705" s="787">
        <v>20</v>
      </c>
      <c r="N14705" s="787">
        <v>0.1</v>
      </c>
      <c r="O14705" s="788">
        <v>41858</v>
      </c>
    </row>
    <row r="14706" spans="1:15" x14ac:dyDescent="0.25">
      <c r="A14706" s="786" t="s">
        <v>26635</v>
      </c>
      <c r="B14706" s="787">
        <v>4</v>
      </c>
      <c r="C14706" s="787" t="s">
        <v>26636</v>
      </c>
      <c r="D14706" s="787">
        <v>0.12</v>
      </c>
      <c r="E14706" s="787">
        <v>0.13</v>
      </c>
      <c r="F14706" s="788">
        <v>39101</v>
      </c>
      <c r="G14706" s="788">
        <v>39590</v>
      </c>
      <c r="H14706" s="787">
        <v>6</v>
      </c>
      <c r="I14706" s="788">
        <v>39134</v>
      </c>
      <c r="J14706" s="788">
        <v>39231</v>
      </c>
      <c r="L14706" s="787">
        <v>0.13</v>
      </c>
      <c r="M14706" s="787">
        <v>20</v>
      </c>
      <c r="N14706" s="787">
        <v>0.14000000000000001</v>
      </c>
      <c r="O14706" s="788">
        <v>41806</v>
      </c>
    </row>
    <row r="14707" spans="1:15" x14ac:dyDescent="0.25">
      <c r="A14707" s="786" t="s">
        <v>26637</v>
      </c>
      <c r="B14707" s="787">
        <v>4</v>
      </c>
      <c r="C14707" s="787" t="s">
        <v>26638</v>
      </c>
      <c r="D14707" s="787">
        <v>0.02</v>
      </c>
      <c r="E14707" s="787">
        <v>0.02</v>
      </c>
      <c r="F14707" s="788">
        <v>41850</v>
      </c>
      <c r="G14707" s="788">
        <v>42008</v>
      </c>
      <c r="H14707" s="787">
        <v>1</v>
      </c>
      <c r="I14707" s="788">
        <v>41873</v>
      </c>
      <c r="J14707" s="788">
        <v>41989</v>
      </c>
      <c r="K14707" s="788">
        <v>41844</v>
      </c>
      <c r="L14707" s="787">
        <v>0.03</v>
      </c>
      <c r="M14707" s="787">
        <v>20</v>
      </c>
      <c r="N14707" s="787">
        <v>0.03</v>
      </c>
      <c r="O14707" s="788">
        <v>41858</v>
      </c>
    </row>
    <row r="14708" spans="1:15" x14ac:dyDescent="0.25">
      <c r="A14708" s="786" t="s">
        <v>26639</v>
      </c>
      <c r="B14708" s="787">
        <v>4</v>
      </c>
      <c r="C14708" s="787" t="s">
        <v>26640</v>
      </c>
      <c r="D14708" s="787">
        <v>0.02</v>
      </c>
      <c r="E14708" s="787">
        <v>0.02</v>
      </c>
      <c r="F14708" s="788">
        <v>41850</v>
      </c>
      <c r="G14708" s="788">
        <v>42008</v>
      </c>
      <c r="H14708" s="787">
        <v>1</v>
      </c>
      <c r="J14708" s="788">
        <v>41989</v>
      </c>
      <c r="K14708" s="788">
        <v>41844</v>
      </c>
      <c r="L14708" s="787">
        <v>0.05</v>
      </c>
      <c r="M14708" s="787">
        <v>20</v>
      </c>
      <c r="N14708" s="787">
        <v>0.05</v>
      </c>
      <c r="O14708" s="788">
        <v>41858</v>
      </c>
    </row>
    <row r="14709" spans="1:15" x14ac:dyDescent="0.25">
      <c r="A14709" s="786" t="s">
        <v>26641</v>
      </c>
      <c r="B14709" s="787">
        <v>4</v>
      </c>
      <c r="C14709" s="787" t="s">
        <v>26642</v>
      </c>
      <c r="D14709" s="787">
        <v>0.18</v>
      </c>
      <c r="E14709" s="787">
        <v>0.26</v>
      </c>
      <c r="F14709" s="788">
        <v>38894</v>
      </c>
      <c r="G14709" s="788">
        <v>41822</v>
      </c>
      <c r="H14709" s="787">
        <v>1</v>
      </c>
      <c r="I14709" s="788">
        <v>42164</v>
      </c>
      <c r="J14709" s="788">
        <v>41822</v>
      </c>
      <c r="L14709" s="787">
        <v>0.23</v>
      </c>
      <c r="M14709" s="787">
        <v>20</v>
      </c>
      <c r="N14709" s="787">
        <v>0.25</v>
      </c>
      <c r="O14709" s="788">
        <v>42127</v>
      </c>
    </row>
    <row r="14710" spans="1:15" x14ac:dyDescent="0.25">
      <c r="A14710" s="786" t="s">
        <v>26643</v>
      </c>
      <c r="B14710" s="787">
        <v>4</v>
      </c>
      <c r="C14710" s="787" t="s">
        <v>26644</v>
      </c>
      <c r="D14710" s="787">
        <v>0.18</v>
      </c>
      <c r="E14710" s="787">
        <v>0.26</v>
      </c>
      <c r="F14710" s="788">
        <v>38875</v>
      </c>
      <c r="G14710" s="788">
        <v>40365</v>
      </c>
      <c r="H14710" s="787">
        <v>1</v>
      </c>
      <c r="I14710" s="788">
        <v>42164</v>
      </c>
      <c r="J14710" s="788">
        <v>41822</v>
      </c>
      <c r="L14710" s="787">
        <v>0.24</v>
      </c>
      <c r="M14710" s="787">
        <v>20</v>
      </c>
      <c r="N14710" s="787">
        <v>0.26</v>
      </c>
      <c r="O14710" s="788">
        <v>42127</v>
      </c>
    </row>
    <row r="14711" spans="1:15" x14ac:dyDescent="0.25">
      <c r="A14711" s="786" t="s">
        <v>26645</v>
      </c>
      <c r="B14711" s="787">
        <v>4</v>
      </c>
      <c r="C14711" s="787" t="s">
        <v>26646</v>
      </c>
      <c r="D14711" s="787">
        <v>0.05</v>
      </c>
      <c r="E14711" s="787">
        <v>0.05</v>
      </c>
      <c r="F14711" s="788">
        <v>37645</v>
      </c>
      <c r="G14711" s="788">
        <v>37645</v>
      </c>
      <c r="H14711" s="787">
        <v>1</v>
      </c>
      <c r="J14711" s="788">
        <v>37645</v>
      </c>
      <c r="L14711" s="787">
        <v>0.05</v>
      </c>
      <c r="M14711" s="787">
        <v>20</v>
      </c>
      <c r="N14711" s="787">
        <v>0.05</v>
      </c>
      <c r="O14711" s="788">
        <v>41858</v>
      </c>
    </row>
    <row r="14712" spans="1:15" x14ac:dyDescent="0.25">
      <c r="A14712" s="786" t="s">
        <v>26647</v>
      </c>
      <c r="B14712" s="787">
        <v>4</v>
      </c>
      <c r="C14712" s="787" t="s">
        <v>26646</v>
      </c>
      <c r="D14712" s="787">
        <v>0.05</v>
      </c>
      <c r="E14712" s="787">
        <v>0.05</v>
      </c>
      <c r="F14712" s="788">
        <v>37645</v>
      </c>
      <c r="G14712" s="788">
        <v>37645</v>
      </c>
      <c r="H14712" s="787">
        <v>1</v>
      </c>
      <c r="I14712" s="788">
        <v>37223</v>
      </c>
      <c r="J14712" s="788">
        <v>37645</v>
      </c>
      <c r="L14712" s="787">
        <v>0.05</v>
      </c>
      <c r="M14712" s="787">
        <v>20</v>
      </c>
      <c r="N14712" s="787">
        <v>0.05</v>
      </c>
      <c r="O14712" s="788">
        <v>41858</v>
      </c>
    </row>
    <row r="14713" spans="1:15" x14ac:dyDescent="0.25">
      <c r="A14713" s="786" t="s">
        <v>26648</v>
      </c>
      <c r="B14713" s="787">
        <v>4</v>
      </c>
      <c r="C14713" s="787" t="s">
        <v>26649</v>
      </c>
      <c r="D14713" s="787">
        <v>7.0000000000000007E-2</v>
      </c>
      <c r="E14713" s="787">
        <v>0.08</v>
      </c>
      <c r="F14713" s="788">
        <v>39633</v>
      </c>
      <c r="G14713" s="788">
        <v>41851</v>
      </c>
      <c r="H14713" s="787">
        <v>1</v>
      </c>
      <c r="I14713" s="788">
        <v>42164</v>
      </c>
      <c r="J14713" s="788">
        <v>41849</v>
      </c>
      <c r="L14713" s="787">
        <v>0.09</v>
      </c>
      <c r="M14713" s="787">
        <v>20</v>
      </c>
      <c r="N14713" s="787">
        <v>0.1</v>
      </c>
      <c r="O14713" s="788">
        <v>42127</v>
      </c>
    </row>
    <row r="14714" spans="1:15" x14ac:dyDescent="0.25">
      <c r="A14714" s="786" t="s">
        <v>26650</v>
      </c>
      <c r="B14714" s="787">
        <v>4</v>
      </c>
      <c r="C14714" s="787" t="s">
        <v>26651</v>
      </c>
      <c r="D14714" s="787">
        <v>0.06</v>
      </c>
      <c r="E14714" s="787">
        <v>0.08</v>
      </c>
      <c r="F14714" s="788">
        <v>39101</v>
      </c>
      <c r="G14714" s="788">
        <v>41338</v>
      </c>
      <c r="H14714" s="787">
        <v>1</v>
      </c>
      <c r="I14714" s="788">
        <v>41873</v>
      </c>
      <c r="J14714" s="788">
        <v>41337</v>
      </c>
      <c r="L14714" s="787">
        <v>0.09</v>
      </c>
      <c r="M14714" s="787">
        <v>20</v>
      </c>
      <c r="N14714" s="787">
        <v>0.1</v>
      </c>
      <c r="O14714" s="788">
        <v>41858</v>
      </c>
    </row>
    <row r="14715" spans="1:15" x14ac:dyDescent="0.25">
      <c r="A14715" s="786" t="s">
        <v>26652</v>
      </c>
      <c r="B14715" s="787">
        <v>4</v>
      </c>
      <c r="C14715" s="787" t="s">
        <v>26653</v>
      </c>
      <c r="D14715" s="787">
        <v>0.1</v>
      </c>
      <c r="E14715" s="787">
        <v>0.21</v>
      </c>
      <c r="F14715" s="788">
        <v>39412</v>
      </c>
      <c r="G14715" s="788">
        <v>41883</v>
      </c>
      <c r="H14715" s="787">
        <v>1</v>
      </c>
      <c r="I14715" s="788">
        <v>42164</v>
      </c>
      <c r="J14715" s="788">
        <v>41880</v>
      </c>
      <c r="K14715" s="788">
        <v>41879</v>
      </c>
      <c r="L14715" s="787">
        <v>0.21</v>
      </c>
      <c r="M14715" s="787">
        <v>20</v>
      </c>
      <c r="N14715" s="787">
        <v>0.23</v>
      </c>
      <c r="O14715" s="788">
        <v>42162</v>
      </c>
    </row>
    <row r="14716" spans="1:15" x14ac:dyDescent="0.25">
      <c r="A14716" s="786" t="s">
        <v>26654</v>
      </c>
      <c r="B14716" s="787">
        <v>4</v>
      </c>
      <c r="C14716" s="787" t="s">
        <v>26655</v>
      </c>
      <c r="D14716" s="787">
        <v>9.91</v>
      </c>
      <c r="E14716" s="787">
        <v>29.91</v>
      </c>
      <c r="F14716" s="788">
        <v>41438</v>
      </c>
      <c r="G14716" s="788">
        <v>41646</v>
      </c>
      <c r="H14716" s="787">
        <v>1</v>
      </c>
      <c r="I14716" s="788">
        <v>41873</v>
      </c>
      <c r="J14716" s="788">
        <v>41438</v>
      </c>
      <c r="K14716" s="788">
        <v>41436</v>
      </c>
      <c r="L14716" s="787">
        <v>29.91</v>
      </c>
      <c r="M14716" s="787">
        <v>20</v>
      </c>
      <c r="N14716" s="787">
        <v>32.15</v>
      </c>
      <c r="O14716" s="788">
        <v>41858</v>
      </c>
    </row>
    <row r="14717" spans="1:15" x14ac:dyDescent="0.25">
      <c r="A14717" s="786" t="s">
        <v>26656</v>
      </c>
      <c r="B14717" s="787">
        <v>4</v>
      </c>
      <c r="C14717" s="787" t="s">
        <v>26657</v>
      </c>
      <c r="D14717" s="787">
        <v>0.86</v>
      </c>
      <c r="E14717" s="787">
        <v>3.78</v>
      </c>
      <c r="F14717" s="788">
        <v>41157</v>
      </c>
      <c r="G14717" s="788">
        <v>42164</v>
      </c>
      <c r="H14717" s="787">
        <v>1</v>
      </c>
      <c r="I14717" s="788">
        <v>42164</v>
      </c>
      <c r="J14717" s="788">
        <v>42158</v>
      </c>
      <c r="K14717" s="788">
        <v>41515</v>
      </c>
      <c r="L14717" s="787">
        <v>3.8</v>
      </c>
      <c r="M14717" s="787">
        <v>20</v>
      </c>
      <c r="N14717" s="787">
        <v>4.09</v>
      </c>
      <c r="O14717" s="788">
        <v>41991</v>
      </c>
    </row>
    <row r="14718" spans="1:15" x14ac:dyDescent="0.25">
      <c r="A14718" s="786" t="s">
        <v>26658</v>
      </c>
      <c r="B14718" s="787">
        <v>4</v>
      </c>
      <c r="C14718" s="787" t="s">
        <v>26659</v>
      </c>
      <c r="D14718" s="787">
        <v>0</v>
      </c>
      <c r="E14718" s="787">
        <v>0</v>
      </c>
      <c r="G14718" s="787" t="s">
        <v>1067</v>
      </c>
      <c r="H14718" s="787">
        <v>1</v>
      </c>
      <c r="L14718" s="787">
        <v>0</v>
      </c>
      <c r="M14718" s="787">
        <v>20</v>
      </c>
      <c r="N14718" s="787">
        <v>0</v>
      </c>
      <c r="O14718" s="788">
        <v>40824</v>
      </c>
    </row>
    <row r="14719" spans="1:15" x14ac:dyDescent="0.25">
      <c r="A14719" s="786" t="s">
        <v>26660</v>
      </c>
      <c r="B14719" s="787">
        <v>4</v>
      </c>
      <c r="C14719" s="787" t="s">
        <v>26661</v>
      </c>
      <c r="D14719" s="787">
        <v>0</v>
      </c>
      <c r="E14719" s="787">
        <v>0</v>
      </c>
      <c r="G14719" s="787" t="s">
        <v>1067</v>
      </c>
      <c r="H14719" s="787">
        <v>1</v>
      </c>
      <c r="I14719" s="788">
        <v>40925</v>
      </c>
      <c r="K14719" s="788">
        <v>41256</v>
      </c>
      <c r="L14719" s="787">
        <v>0.23</v>
      </c>
      <c r="M14719" s="787">
        <v>20</v>
      </c>
      <c r="N14719" s="787">
        <v>0.25</v>
      </c>
      <c r="O14719" s="788">
        <v>41858</v>
      </c>
    </row>
    <row r="14720" spans="1:15" x14ac:dyDescent="0.25">
      <c r="A14720" s="786" t="s">
        <v>26662</v>
      </c>
      <c r="B14720" s="787">
        <v>4</v>
      </c>
      <c r="C14720" s="787" t="s">
        <v>26663</v>
      </c>
      <c r="D14720" s="787">
        <v>0</v>
      </c>
      <c r="E14720" s="787">
        <v>0</v>
      </c>
      <c r="G14720" s="787" t="s">
        <v>1067</v>
      </c>
      <c r="H14720" s="787">
        <v>1</v>
      </c>
      <c r="L14720" s="787">
        <v>0</v>
      </c>
      <c r="M14720" s="787">
        <v>20</v>
      </c>
      <c r="N14720" s="787">
        <v>0</v>
      </c>
      <c r="O14720" s="788">
        <v>40824</v>
      </c>
    </row>
    <row r="14721" spans="1:15" x14ac:dyDescent="0.25">
      <c r="A14721" s="786" t="s">
        <v>26664</v>
      </c>
      <c r="B14721" s="787">
        <v>4</v>
      </c>
      <c r="C14721" s="787" t="s">
        <v>26665</v>
      </c>
      <c r="D14721" s="787">
        <v>0</v>
      </c>
      <c r="E14721" s="787">
        <v>0</v>
      </c>
      <c r="G14721" s="787" t="s">
        <v>1067</v>
      </c>
      <c r="H14721" s="787">
        <v>1</v>
      </c>
      <c r="L14721" s="787">
        <v>0</v>
      </c>
      <c r="M14721" s="787">
        <v>20</v>
      </c>
      <c r="N14721" s="787">
        <v>0</v>
      </c>
      <c r="O14721" s="788">
        <v>40824</v>
      </c>
    </row>
    <row r="14722" spans="1:15" x14ac:dyDescent="0.25">
      <c r="A14722" s="786" t="s">
        <v>26666</v>
      </c>
      <c r="B14722" s="787">
        <v>4</v>
      </c>
      <c r="C14722" s="787" t="s">
        <v>26667</v>
      </c>
      <c r="D14722" s="787">
        <v>1.65</v>
      </c>
      <c r="E14722" s="787">
        <v>11.65</v>
      </c>
      <c r="F14722" s="788">
        <v>41649</v>
      </c>
      <c r="G14722" s="788">
        <v>41647</v>
      </c>
      <c r="H14722" s="787">
        <v>1</v>
      </c>
      <c r="J14722" s="788">
        <v>41647</v>
      </c>
      <c r="K14722" s="788">
        <v>41645</v>
      </c>
      <c r="L14722" s="787">
        <v>11.65</v>
      </c>
      <c r="M14722" s="787">
        <v>20</v>
      </c>
      <c r="N14722" s="787">
        <v>12.52</v>
      </c>
      <c r="O14722" s="788">
        <v>41858</v>
      </c>
    </row>
    <row r="14723" spans="1:15" x14ac:dyDescent="0.25">
      <c r="A14723" s="786" t="s">
        <v>26668</v>
      </c>
      <c r="B14723" s="787">
        <v>4</v>
      </c>
      <c r="C14723" s="787" t="s">
        <v>26669</v>
      </c>
      <c r="D14723" s="787">
        <v>9.2100000000000009</v>
      </c>
      <c r="E14723" s="787">
        <v>69.209999999999994</v>
      </c>
      <c r="F14723" s="788">
        <v>41684</v>
      </c>
      <c r="G14723" s="788">
        <v>41680</v>
      </c>
      <c r="H14723" s="787">
        <v>1</v>
      </c>
      <c r="J14723" s="788">
        <v>41680</v>
      </c>
      <c r="K14723" s="788">
        <v>41662</v>
      </c>
      <c r="L14723" s="787">
        <v>69.209999999999994</v>
      </c>
      <c r="M14723" s="787">
        <v>20</v>
      </c>
      <c r="N14723" s="787">
        <v>74.400000000000006</v>
      </c>
      <c r="O14723" s="788">
        <v>41858</v>
      </c>
    </row>
    <row r="14724" spans="1:15" x14ac:dyDescent="0.25">
      <c r="A14724" s="786" t="s">
        <v>26670</v>
      </c>
      <c r="B14724" s="787">
        <v>4</v>
      </c>
      <c r="C14724" s="787" t="s">
        <v>26671</v>
      </c>
      <c r="D14724" s="787">
        <v>3.6</v>
      </c>
      <c r="E14724" s="787">
        <v>3.6</v>
      </c>
      <c r="F14724" s="788">
        <v>41850</v>
      </c>
      <c r="G14724" s="788">
        <v>41845</v>
      </c>
      <c r="H14724" s="787">
        <v>1</v>
      </c>
      <c r="I14724" s="788">
        <v>41992</v>
      </c>
      <c r="J14724" s="788">
        <v>41845</v>
      </c>
      <c r="K14724" s="788">
        <v>41844</v>
      </c>
      <c r="L14724" s="787">
        <v>3.6</v>
      </c>
      <c r="M14724" s="787">
        <v>20</v>
      </c>
      <c r="N14724" s="787">
        <v>3.87</v>
      </c>
      <c r="O14724" s="788">
        <v>41858</v>
      </c>
    </row>
    <row r="14725" spans="1:15" x14ac:dyDescent="0.25">
      <c r="A14725" s="786" t="s">
        <v>26672</v>
      </c>
      <c r="B14725" s="787">
        <v>4</v>
      </c>
      <c r="C14725" s="787" t="s">
        <v>26673</v>
      </c>
      <c r="D14725" s="787">
        <v>6.75</v>
      </c>
      <c r="E14725" s="787">
        <v>6.75</v>
      </c>
      <c r="F14725" s="788">
        <v>41850</v>
      </c>
      <c r="G14725" s="788">
        <v>41845</v>
      </c>
      <c r="H14725" s="787">
        <v>1</v>
      </c>
      <c r="I14725" s="788">
        <v>41925</v>
      </c>
      <c r="J14725" s="788">
        <v>41845</v>
      </c>
      <c r="K14725" s="788">
        <v>41844</v>
      </c>
      <c r="L14725" s="787">
        <v>6.75</v>
      </c>
      <c r="M14725" s="787">
        <v>20</v>
      </c>
      <c r="N14725" s="787">
        <v>7.26</v>
      </c>
      <c r="O14725" s="788">
        <v>41858</v>
      </c>
    </row>
    <row r="14726" spans="1:15" x14ac:dyDescent="0.25">
      <c r="A14726" s="786" t="s">
        <v>26674</v>
      </c>
      <c r="B14726" s="787">
        <v>4</v>
      </c>
      <c r="C14726" s="787" t="s">
        <v>26675</v>
      </c>
      <c r="D14726" s="787">
        <v>5.74</v>
      </c>
      <c r="E14726" s="787">
        <v>35.74</v>
      </c>
      <c r="F14726" s="788">
        <v>41850</v>
      </c>
      <c r="G14726" s="788">
        <v>41845</v>
      </c>
      <c r="H14726" s="787">
        <v>1</v>
      </c>
      <c r="I14726" s="788">
        <v>41925</v>
      </c>
      <c r="J14726" s="788">
        <v>41845</v>
      </c>
      <c r="K14726" s="788">
        <v>41844</v>
      </c>
      <c r="L14726" s="787">
        <v>35.74</v>
      </c>
      <c r="M14726" s="787">
        <v>20</v>
      </c>
      <c r="N14726" s="787">
        <v>38.42</v>
      </c>
      <c r="O14726" s="788">
        <v>41858</v>
      </c>
    </row>
    <row r="14727" spans="1:15" x14ac:dyDescent="0.25">
      <c r="A14727" s="786" t="s">
        <v>26676</v>
      </c>
      <c r="B14727" s="787">
        <v>4</v>
      </c>
      <c r="C14727" s="787" t="s">
        <v>26677</v>
      </c>
      <c r="D14727" s="787">
        <v>7.11</v>
      </c>
      <c r="E14727" s="787">
        <v>17.11</v>
      </c>
      <c r="F14727" s="788">
        <v>41908</v>
      </c>
      <c r="G14727" s="788">
        <v>41908</v>
      </c>
      <c r="H14727" s="787">
        <v>1</v>
      </c>
      <c r="I14727" s="788">
        <v>41908</v>
      </c>
      <c r="J14727" s="788">
        <v>41908</v>
      </c>
      <c r="K14727" s="788">
        <v>41891</v>
      </c>
      <c r="L14727" s="787">
        <v>17.11</v>
      </c>
      <c r="M14727" s="787">
        <v>20</v>
      </c>
      <c r="N14727" s="787">
        <v>18.39</v>
      </c>
      <c r="O14727" s="788">
        <v>41891</v>
      </c>
    </row>
    <row r="14728" spans="1:15" x14ac:dyDescent="0.25">
      <c r="A14728" s="786" t="s">
        <v>26678</v>
      </c>
      <c r="B14728" s="787">
        <v>4</v>
      </c>
      <c r="C14728" s="787" t="s">
        <v>26679</v>
      </c>
      <c r="D14728" s="787">
        <v>6.81</v>
      </c>
      <c r="E14728" s="787">
        <v>46.81</v>
      </c>
      <c r="F14728" s="788">
        <v>41908</v>
      </c>
      <c r="G14728" s="788">
        <v>41901</v>
      </c>
      <c r="H14728" s="787">
        <v>1</v>
      </c>
      <c r="I14728" s="788">
        <v>41908</v>
      </c>
      <c r="J14728" s="788">
        <v>41901</v>
      </c>
      <c r="K14728" s="788">
        <v>41891</v>
      </c>
      <c r="L14728" s="787">
        <v>46.81</v>
      </c>
      <c r="M14728" s="787">
        <v>20</v>
      </c>
      <c r="N14728" s="787">
        <v>50.32</v>
      </c>
      <c r="O14728" s="788">
        <v>41891</v>
      </c>
    </row>
    <row r="14729" spans="1:15" x14ac:dyDescent="0.25">
      <c r="A14729" s="786" t="s">
        <v>26680</v>
      </c>
      <c r="B14729" s="787">
        <v>4</v>
      </c>
      <c r="C14729" s="787" t="s">
        <v>26681</v>
      </c>
      <c r="D14729" s="787">
        <v>4.68</v>
      </c>
      <c r="E14729" s="787">
        <v>4.68</v>
      </c>
      <c r="F14729" s="788">
        <v>42106</v>
      </c>
      <c r="G14729" s="788">
        <v>42106</v>
      </c>
      <c r="H14729" s="787">
        <v>1</v>
      </c>
      <c r="I14729" s="788">
        <v>42081</v>
      </c>
      <c r="J14729" s="788">
        <v>42076</v>
      </c>
      <c r="K14729" s="788">
        <v>42073</v>
      </c>
      <c r="L14729" s="787">
        <v>4.38</v>
      </c>
      <c r="M14729" s="787">
        <v>20</v>
      </c>
      <c r="N14729" s="787">
        <v>4.71</v>
      </c>
      <c r="O14729" s="788">
        <v>42073</v>
      </c>
    </row>
    <row r="14730" spans="1:15" x14ac:dyDescent="0.25">
      <c r="A14730" s="786" t="s">
        <v>26682</v>
      </c>
      <c r="B14730" s="787">
        <v>4</v>
      </c>
      <c r="C14730" s="787" t="s">
        <v>26683</v>
      </c>
      <c r="D14730" s="787">
        <v>3.68</v>
      </c>
      <c r="E14730" s="787">
        <v>363.68</v>
      </c>
      <c r="F14730" s="788">
        <v>42052</v>
      </c>
      <c r="G14730" s="788">
        <v>42091</v>
      </c>
      <c r="H14730" s="787">
        <v>1</v>
      </c>
      <c r="J14730" s="788">
        <v>42053</v>
      </c>
      <c r="K14730" s="788">
        <v>42052</v>
      </c>
      <c r="L14730" s="787">
        <v>352</v>
      </c>
      <c r="M14730" s="787">
        <v>20</v>
      </c>
      <c r="N14730" s="787">
        <v>378.4</v>
      </c>
      <c r="O14730" s="788">
        <v>42053</v>
      </c>
    </row>
    <row r="14731" spans="1:15" x14ac:dyDescent="0.25">
      <c r="A14731" s="786" t="s">
        <v>26684</v>
      </c>
      <c r="B14731" s="787">
        <v>4</v>
      </c>
      <c r="C14731" s="787" t="s">
        <v>26685</v>
      </c>
      <c r="D14731" s="787">
        <v>3.69</v>
      </c>
      <c r="E14731" s="787">
        <v>363.69</v>
      </c>
      <c r="F14731" s="788">
        <v>42052</v>
      </c>
      <c r="G14731" s="788">
        <v>42091</v>
      </c>
      <c r="H14731" s="787">
        <v>1</v>
      </c>
      <c r="J14731" s="788">
        <v>42053</v>
      </c>
      <c r="K14731" s="788">
        <v>42052</v>
      </c>
      <c r="L14731" s="787">
        <v>352</v>
      </c>
      <c r="M14731" s="787">
        <v>20</v>
      </c>
      <c r="N14731" s="787">
        <v>378.4</v>
      </c>
      <c r="O14731" s="788">
        <v>42053</v>
      </c>
    </row>
    <row r="14732" spans="1:15" x14ac:dyDescent="0.25">
      <c r="A14732" s="786" t="s">
        <v>26686</v>
      </c>
      <c r="B14732" s="787">
        <v>4</v>
      </c>
      <c r="C14732" s="787" t="s">
        <v>26687</v>
      </c>
      <c r="D14732" s="787">
        <v>5.05</v>
      </c>
      <c r="E14732" s="787">
        <v>405.05</v>
      </c>
      <c r="F14732" s="788">
        <v>42052</v>
      </c>
      <c r="G14732" s="788">
        <v>42091</v>
      </c>
      <c r="H14732" s="787">
        <v>1</v>
      </c>
      <c r="J14732" s="788">
        <v>42053</v>
      </c>
      <c r="K14732" s="788">
        <v>42052</v>
      </c>
      <c r="L14732" s="787">
        <v>392</v>
      </c>
      <c r="M14732" s="787">
        <v>20</v>
      </c>
      <c r="N14732" s="787">
        <v>421.4</v>
      </c>
      <c r="O14732" s="788">
        <v>42053</v>
      </c>
    </row>
    <row r="14733" spans="1:15" x14ac:dyDescent="0.25">
      <c r="A14733" s="786" t="s">
        <v>26688</v>
      </c>
      <c r="B14733" s="787">
        <v>4</v>
      </c>
      <c r="C14733" s="787" t="s">
        <v>26689</v>
      </c>
      <c r="D14733" s="787">
        <v>3</v>
      </c>
      <c r="E14733" s="787">
        <v>963</v>
      </c>
      <c r="F14733" s="788">
        <v>42052</v>
      </c>
      <c r="G14733" s="788">
        <v>42091</v>
      </c>
      <c r="H14733" s="787">
        <v>1</v>
      </c>
      <c r="J14733" s="788">
        <v>42053</v>
      </c>
      <c r="K14733" s="788">
        <v>42052</v>
      </c>
      <c r="L14733" s="787">
        <v>932</v>
      </c>
      <c r="M14733" s="787">
        <v>20</v>
      </c>
      <c r="N14733" s="789">
        <v>1001.9</v>
      </c>
      <c r="O14733" s="788">
        <v>42053</v>
      </c>
    </row>
    <row r="14734" spans="1:15" x14ac:dyDescent="0.25">
      <c r="A14734" s="786" t="s">
        <v>26690</v>
      </c>
      <c r="B14734" s="787">
        <v>4</v>
      </c>
      <c r="C14734" s="787" t="s">
        <v>26691</v>
      </c>
      <c r="D14734" s="787">
        <v>4.9000000000000004</v>
      </c>
      <c r="E14734" s="789">
        <v>1034.9000000000001</v>
      </c>
      <c r="F14734" s="788">
        <v>42052</v>
      </c>
      <c r="G14734" s="788">
        <v>42091</v>
      </c>
      <c r="H14734" s="787">
        <v>1</v>
      </c>
      <c r="J14734" s="788">
        <v>42053</v>
      </c>
      <c r="K14734" s="788">
        <v>42052</v>
      </c>
      <c r="L14734" s="789">
        <v>1001.6</v>
      </c>
      <c r="M14734" s="787">
        <v>20</v>
      </c>
      <c r="N14734" s="789">
        <v>1076.72</v>
      </c>
      <c r="O14734" s="788">
        <v>42053</v>
      </c>
    </row>
    <row r="14735" spans="1:15" x14ac:dyDescent="0.25">
      <c r="A14735" s="786" t="s">
        <v>26692</v>
      </c>
      <c r="B14735" s="787">
        <v>4</v>
      </c>
      <c r="C14735" s="787" t="s">
        <v>26693</v>
      </c>
      <c r="D14735" s="787">
        <v>3.46</v>
      </c>
      <c r="E14735" s="787">
        <v>3.46</v>
      </c>
      <c r="F14735" s="788">
        <v>42078</v>
      </c>
      <c r="G14735" s="788">
        <v>42069</v>
      </c>
      <c r="H14735" s="787">
        <v>1</v>
      </c>
      <c r="I14735" s="788">
        <v>42095</v>
      </c>
      <c r="J14735" s="788">
        <v>42095</v>
      </c>
      <c r="K14735" s="788">
        <v>42068</v>
      </c>
      <c r="L14735" s="787">
        <v>3.46</v>
      </c>
      <c r="M14735" s="787">
        <v>20</v>
      </c>
      <c r="N14735" s="787">
        <v>3.72</v>
      </c>
      <c r="O14735" s="788">
        <v>42068</v>
      </c>
    </row>
    <row r="14736" spans="1:15" x14ac:dyDescent="0.25">
      <c r="A14736" s="786" t="s">
        <v>26694</v>
      </c>
      <c r="B14736" s="787">
        <v>4</v>
      </c>
      <c r="C14736" s="787" t="s">
        <v>26695</v>
      </c>
      <c r="D14736" s="787">
        <v>0.08</v>
      </c>
      <c r="E14736" s="787">
        <v>3.98</v>
      </c>
      <c r="F14736" s="788">
        <v>39260</v>
      </c>
      <c r="G14736" s="788">
        <v>41015</v>
      </c>
      <c r="H14736" s="787">
        <v>1</v>
      </c>
      <c r="I14736" s="788">
        <v>39136</v>
      </c>
      <c r="J14736" s="788">
        <v>40980</v>
      </c>
      <c r="L14736" s="787">
        <v>299.20999999999998</v>
      </c>
      <c r="M14736" s="787">
        <v>20</v>
      </c>
      <c r="N14736" s="787">
        <v>321.64999999999998</v>
      </c>
      <c r="O14736" s="788">
        <v>41858</v>
      </c>
    </row>
    <row r="14737" spans="1:15" x14ac:dyDescent="0.25">
      <c r="A14737" s="786" t="s">
        <v>26694</v>
      </c>
      <c r="B14737" s="787" t="s">
        <v>4400</v>
      </c>
      <c r="C14737" s="787" t="s">
        <v>26695</v>
      </c>
      <c r="D14737" s="787">
        <v>1.94</v>
      </c>
      <c r="E14737" s="787">
        <v>2.11</v>
      </c>
      <c r="F14737" s="788">
        <v>40863</v>
      </c>
      <c r="G14737" s="788">
        <v>40913</v>
      </c>
      <c r="H14737" s="787">
        <v>6</v>
      </c>
      <c r="J14737" s="788">
        <v>40858</v>
      </c>
      <c r="L14737" s="787">
        <v>2.11</v>
      </c>
      <c r="M14737" s="787">
        <v>20</v>
      </c>
      <c r="N14737" s="787">
        <v>2.27</v>
      </c>
      <c r="O14737" s="788">
        <v>41858</v>
      </c>
    </row>
    <row r="14738" spans="1:15" x14ac:dyDescent="0.25">
      <c r="A14738" s="786" t="s">
        <v>26694</v>
      </c>
      <c r="B14738" s="787" t="s">
        <v>4970</v>
      </c>
      <c r="C14738" s="787" t="s">
        <v>26695</v>
      </c>
      <c r="D14738" s="787">
        <v>0</v>
      </c>
      <c r="E14738" s="787">
        <v>0</v>
      </c>
      <c r="H14738" s="787">
        <v>6</v>
      </c>
      <c r="K14738" s="788">
        <v>41865</v>
      </c>
      <c r="L14738" s="787">
        <v>0.01</v>
      </c>
      <c r="M14738" s="787">
        <v>20</v>
      </c>
      <c r="N14738" s="787">
        <v>0</v>
      </c>
      <c r="O14738" s="788">
        <v>40824</v>
      </c>
    </row>
    <row r="14739" spans="1:15" x14ac:dyDescent="0.25">
      <c r="A14739" s="786" t="s">
        <v>26696</v>
      </c>
      <c r="B14739" s="787">
        <v>4</v>
      </c>
      <c r="C14739" s="787" t="s">
        <v>26697</v>
      </c>
      <c r="D14739" s="787">
        <v>9.77</v>
      </c>
      <c r="E14739" s="787">
        <v>9.77</v>
      </c>
      <c r="F14739" s="788">
        <v>39101</v>
      </c>
      <c r="G14739" s="788">
        <v>39101</v>
      </c>
      <c r="H14739" s="787">
        <v>1</v>
      </c>
      <c r="I14739" s="788">
        <v>41622</v>
      </c>
      <c r="J14739" s="788">
        <v>39149</v>
      </c>
      <c r="L14739" s="787">
        <v>11.12</v>
      </c>
      <c r="M14739" s="787">
        <v>20</v>
      </c>
      <c r="N14739" s="787">
        <v>11.95</v>
      </c>
      <c r="O14739" s="788">
        <v>41858</v>
      </c>
    </row>
    <row r="14740" spans="1:15" x14ac:dyDescent="0.25">
      <c r="A14740" s="786" t="s">
        <v>26698</v>
      </c>
      <c r="B14740" s="787">
        <v>4</v>
      </c>
      <c r="C14740" s="787" t="s">
        <v>26699</v>
      </c>
      <c r="D14740" s="787">
        <v>6.68</v>
      </c>
      <c r="E14740" s="787">
        <v>26.68</v>
      </c>
      <c r="F14740" s="788">
        <v>39101</v>
      </c>
      <c r="G14740" s="788">
        <v>39101</v>
      </c>
      <c r="H14740" s="787">
        <v>1</v>
      </c>
      <c r="I14740" s="788">
        <v>39363</v>
      </c>
      <c r="J14740" s="788">
        <v>39101</v>
      </c>
      <c r="L14740" s="787">
        <v>29.08</v>
      </c>
      <c r="M14740" s="787">
        <v>20</v>
      </c>
      <c r="N14740" s="787">
        <v>31.26</v>
      </c>
      <c r="O14740" s="788">
        <v>42127</v>
      </c>
    </row>
    <row r="14741" spans="1:15" x14ac:dyDescent="0.25">
      <c r="A14741" s="786" t="s">
        <v>26700</v>
      </c>
      <c r="B14741" s="787">
        <v>4</v>
      </c>
      <c r="C14741" s="787" t="s">
        <v>26701</v>
      </c>
      <c r="D14741" s="787">
        <v>4.16</v>
      </c>
      <c r="E14741" s="787">
        <v>44.16</v>
      </c>
      <c r="F14741" s="788">
        <v>37642</v>
      </c>
      <c r="G14741" s="788">
        <v>37642</v>
      </c>
      <c r="H14741" s="787">
        <v>1</v>
      </c>
      <c r="J14741" s="788">
        <v>37642</v>
      </c>
      <c r="L14741" s="787">
        <v>64.36</v>
      </c>
      <c r="M14741" s="787">
        <v>10</v>
      </c>
      <c r="N14741" s="787">
        <v>97.33</v>
      </c>
      <c r="O14741" s="788">
        <v>42084</v>
      </c>
    </row>
    <row r="14742" spans="1:15" x14ac:dyDescent="0.25">
      <c r="A14742" s="786" t="s">
        <v>26702</v>
      </c>
      <c r="B14742" s="787">
        <v>4</v>
      </c>
      <c r="C14742" s="787" t="s">
        <v>26703</v>
      </c>
      <c r="D14742" s="787">
        <v>0</v>
      </c>
      <c r="E14742" s="787">
        <v>0</v>
      </c>
      <c r="G14742" s="788">
        <v>37840</v>
      </c>
      <c r="H14742" s="787">
        <v>1</v>
      </c>
      <c r="J14742" s="788">
        <v>37840</v>
      </c>
      <c r="L14742" s="787">
        <v>4.91</v>
      </c>
      <c r="M14742" s="787">
        <v>20</v>
      </c>
      <c r="N14742" s="787">
        <v>5.28</v>
      </c>
      <c r="O14742" s="788">
        <v>41858</v>
      </c>
    </row>
    <row r="14743" spans="1:15" x14ac:dyDescent="0.25">
      <c r="A14743" s="786" t="s">
        <v>26704</v>
      </c>
      <c r="B14743" s="787">
        <v>4</v>
      </c>
      <c r="C14743" s="787" t="s">
        <v>26705</v>
      </c>
      <c r="D14743" s="787">
        <v>0</v>
      </c>
      <c r="E14743" s="787">
        <v>0</v>
      </c>
      <c r="G14743" s="788">
        <v>37840</v>
      </c>
      <c r="H14743" s="787">
        <v>1</v>
      </c>
      <c r="J14743" s="788">
        <v>37840</v>
      </c>
      <c r="L14743" s="787">
        <v>0.42</v>
      </c>
      <c r="M14743" s="787">
        <v>20</v>
      </c>
      <c r="N14743" s="787">
        <v>0.45</v>
      </c>
      <c r="O14743" s="788">
        <v>41858</v>
      </c>
    </row>
    <row r="14744" spans="1:15" x14ac:dyDescent="0.25">
      <c r="A14744" s="786" t="s">
        <v>26706</v>
      </c>
      <c r="B14744" s="787">
        <v>4</v>
      </c>
      <c r="C14744" s="787" t="s">
        <v>26707</v>
      </c>
      <c r="D14744" s="787">
        <v>0</v>
      </c>
      <c r="E14744" s="787">
        <v>0</v>
      </c>
      <c r="H14744" s="787">
        <v>1</v>
      </c>
      <c r="I14744" s="788">
        <v>39800</v>
      </c>
      <c r="J14744" s="788">
        <v>39101</v>
      </c>
      <c r="L14744" s="787">
        <v>61.74</v>
      </c>
      <c r="M14744" s="787">
        <v>20</v>
      </c>
      <c r="N14744" s="787">
        <v>66.37</v>
      </c>
      <c r="O14744" s="788">
        <v>41858</v>
      </c>
    </row>
    <row r="14745" spans="1:15" x14ac:dyDescent="0.25">
      <c r="A14745" s="786" t="s">
        <v>26708</v>
      </c>
      <c r="B14745" s="787">
        <v>4</v>
      </c>
      <c r="C14745" s="787" t="s">
        <v>26709</v>
      </c>
      <c r="D14745" s="787">
        <v>2.95</v>
      </c>
      <c r="E14745" s="787">
        <v>100</v>
      </c>
      <c r="F14745" s="788">
        <v>39101</v>
      </c>
      <c r="G14745" s="788">
        <v>41800</v>
      </c>
      <c r="H14745" s="787">
        <v>1</v>
      </c>
      <c r="I14745" s="788">
        <v>42032</v>
      </c>
      <c r="J14745" s="788">
        <v>41976</v>
      </c>
      <c r="L14745" s="787">
        <v>98.22</v>
      </c>
      <c r="M14745" s="787">
        <v>20</v>
      </c>
      <c r="N14745" s="787">
        <v>105.59</v>
      </c>
      <c r="O14745" s="788">
        <v>41858</v>
      </c>
    </row>
    <row r="14746" spans="1:15" x14ac:dyDescent="0.25">
      <c r="A14746" s="786" t="s">
        <v>26710</v>
      </c>
      <c r="B14746" s="787">
        <v>4</v>
      </c>
      <c r="C14746" s="787" t="s">
        <v>26711</v>
      </c>
      <c r="D14746" s="787">
        <v>2.95</v>
      </c>
      <c r="E14746" s="787">
        <v>65.14</v>
      </c>
      <c r="F14746" s="788">
        <v>39101</v>
      </c>
      <c r="G14746" s="788">
        <v>39800</v>
      </c>
      <c r="H14746" s="787">
        <v>1</v>
      </c>
      <c r="I14746" s="788">
        <v>40854</v>
      </c>
      <c r="J14746" s="788">
        <v>39268</v>
      </c>
      <c r="L14746" s="787">
        <v>61.64</v>
      </c>
      <c r="M14746" s="787">
        <v>20</v>
      </c>
      <c r="N14746" s="787">
        <v>66.260000000000005</v>
      </c>
      <c r="O14746" s="788">
        <v>41858</v>
      </c>
    </row>
    <row r="14747" spans="1:15" x14ac:dyDescent="0.25">
      <c r="A14747" s="786" t="s">
        <v>26712</v>
      </c>
      <c r="B14747" s="787">
        <v>4</v>
      </c>
      <c r="C14747" s="787" t="s">
        <v>26713</v>
      </c>
      <c r="D14747" s="787">
        <v>2.81</v>
      </c>
      <c r="E14747" s="787">
        <v>2.85</v>
      </c>
      <c r="F14747" s="788">
        <v>39293</v>
      </c>
      <c r="G14747" s="788">
        <v>39800</v>
      </c>
      <c r="H14747" s="787">
        <v>1</v>
      </c>
      <c r="I14747" s="788">
        <v>39595</v>
      </c>
      <c r="J14747" s="788">
        <v>39268</v>
      </c>
      <c r="L14747" s="787">
        <v>2.85</v>
      </c>
      <c r="M14747" s="787">
        <v>20</v>
      </c>
      <c r="N14747" s="787">
        <v>3.06</v>
      </c>
      <c r="O14747" s="788">
        <v>41858</v>
      </c>
    </row>
    <row r="14748" spans="1:15" x14ac:dyDescent="0.25">
      <c r="A14748" s="786" t="s">
        <v>26714</v>
      </c>
      <c r="B14748" s="787">
        <v>4</v>
      </c>
      <c r="C14748" s="787" t="s">
        <v>26715</v>
      </c>
      <c r="D14748" s="787">
        <v>2.8</v>
      </c>
      <c r="E14748" s="787">
        <v>2.81</v>
      </c>
      <c r="F14748" s="788">
        <v>39101</v>
      </c>
      <c r="G14748" s="788">
        <v>39457</v>
      </c>
      <c r="H14748" s="787">
        <v>1</v>
      </c>
      <c r="I14748" s="788">
        <v>39800</v>
      </c>
      <c r="J14748" s="788">
        <v>39268</v>
      </c>
      <c r="K14748" s="788">
        <v>41261</v>
      </c>
      <c r="L14748" s="787">
        <v>2.81</v>
      </c>
      <c r="M14748" s="787">
        <v>20</v>
      </c>
      <c r="N14748" s="787">
        <v>3.02</v>
      </c>
      <c r="O14748" s="788">
        <v>41858</v>
      </c>
    </row>
    <row r="14749" spans="1:15" x14ac:dyDescent="0.25">
      <c r="A14749" s="786" t="s">
        <v>26716</v>
      </c>
      <c r="B14749" s="787">
        <v>4</v>
      </c>
      <c r="C14749" s="787" t="s">
        <v>26717</v>
      </c>
      <c r="D14749" s="787">
        <v>0</v>
      </c>
      <c r="E14749" s="787">
        <v>0</v>
      </c>
      <c r="H14749" s="787">
        <v>1</v>
      </c>
      <c r="I14749" s="788">
        <v>39401</v>
      </c>
      <c r="J14749" s="788">
        <v>39101</v>
      </c>
      <c r="L14749" s="787">
        <v>65.260000000000005</v>
      </c>
      <c r="M14749" s="787">
        <v>20</v>
      </c>
      <c r="N14749" s="787">
        <v>70.150000000000006</v>
      </c>
      <c r="O14749" s="788">
        <v>41858</v>
      </c>
    </row>
    <row r="14750" spans="1:15" x14ac:dyDescent="0.25">
      <c r="A14750" s="786" t="s">
        <v>26718</v>
      </c>
      <c r="B14750" s="787">
        <v>4</v>
      </c>
      <c r="C14750" s="787" t="s">
        <v>26719</v>
      </c>
      <c r="D14750" s="787">
        <v>5.86</v>
      </c>
      <c r="E14750" s="787">
        <v>70.760000000000005</v>
      </c>
      <c r="F14750" s="788">
        <v>38985</v>
      </c>
      <c r="G14750" s="788">
        <v>40329</v>
      </c>
      <c r="H14750" s="787">
        <v>1</v>
      </c>
      <c r="I14750" s="788">
        <v>40316</v>
      </c>
      <c r="J14750" s="788">
        <v>40304</v>
      </c>
      <c r="L14750" s="787">
        <v>70.760000000000005</v>
      </c>
      <c r="M14750" s="787">
        <v>20</v>
      </c>
      <c r="N14750" s="787">
        <v>76.069999999999993</v>
      </c>
      <c r="O14750" s="788">
        <v>41858</v>
      </c>
    </row>
    <row r="14751" spans="1:15" x14ac:dyDescent="0.25">
      <c r="A14751" s="786" t="s">
        <v>26720</v>
      </c>
      <c r="B14751" s="787">
        <v>4</v>
      </c>
      <c r="C14751" s="787" t="s">
        <v>26721</v>
      </c>
      <c r="D14751" s="787">
        <v>6.65</v>
      </c>
      <c r="E14751" s="787">
        <v>16.649999999999999</v>
      </c>
      <c r="F14751" s="788">
        <v>38782</v>
      </c>
      <c r="G14751" s="788">
        <v>38782</v>
      </c>
      <c r="H14751" s="787">
        <v>1</v>
      </c>
      <c r="I14751" s="788">
        <v>39134</v>
      </c>
      <c r="J14751" s="788">
        <v>38810</v>
      </c>
      <c r="L14751" s="787">
        <v>16.649999999999999</v>
      </c>
      <c r="M14751" s="787">
        <v>20</v>
      </c>
      <c r="N14751" s="787">
        <v>17.899999999999999</v>
      </c>
      <c r="O14751" s="788">
        <v>41858</v>
      </c>
    </row>
    <row r="14752" spans="1:15" x14ac:dyDescent="0.25">
      <c r="A14752" s="786" t="s">
        <v>26722</v>
      </c>
      <c r="B14752" s="787">
        <v>4</v>
      </c>
      <c r="C14752" s="787" t="s">
        <v>26723</v>
      </c>
      <c r="D14752" s="787">
        <v>8.4</v>
      </c>
      <c r="E14752" s="787">
        <v>75.48</v>
      </c>
      <c r="F14752" s="788">
        <v>39343</v>
      </c>
      <c r="G14752" s="788">
        <v>42013</v>
      </c>
      <c r="H14752" s="787">
        <v>1</v>
      </c>
      <c r="I14752" s="788">
        <v>41991</v>
      </c>
      <c r="J14752" s="788">
        <v>41622</v>
      </c>
      <c r="L14752" s="787">
        <v>72.180000000000007</v>
      </c>
      <c r="M14752" s="787">
        <v>20</v>
      </c>
      <c r="N14752" s="787">
        <v>77.59</v>
      </c>
      <c r="O14752" s="788">
        <v>41887</v>
      </c>
    </row>
    <row r="14753" spans="1:15" x14ac:dyDescent="0.25">
      <c r="A14753" s="786" t="s">
        <v>26724</v>
      </c>
      <c r="B14753" s="787">
        <v>4</v>
      </c>
      <c r="C14753" s="787" t="s">
        <v>26725</v>
      </c>
      <c r="D14753" s="787">
        <v>7.75</v>
      </c>
      <c r="E14753" s="787">
        <v>8.5500000000000007</v>
      </c>
      <c r="F14753" s="788">
        <v>39329</v>
      </c>
      <c r="G14753" s="788">
        <v>40553</v>
      </c>
      <c r="H14753" s="787">
        <v>1</v>
      </c>
      <c r="I14753" s="788">
        <v>40276</v>
      </c>
      <c r="J14753" s="788">
        <v>39757</v>
      </c>
      <c r="L14753" s="787">
        <v>8.5500000000000007</v>
      </c>
      <c r="M14753" s="787">
        <v>20</v>
      </c>
      <c r="N14753" s="787">
        <v>9.19</v>
      </c>
      <c r="O14753" s="788">
        <v>41858</v>
      </c>
    </row>
    <row r="14754" spans="1:15" x14ac:dyDescent="0.25">
      <c r="A14754" s="786" t="s">
        <v>26726</v>
      </c>
      <c r="B14754" s="787">
        <v>4</v>
      </c>
      <c r="C14754" s="787" t="s">
        <v>26727</v>
      </c>
      <c r="D14754" s="787">
        <v>7.86</v>
      </c>
      <c r="E14754" s="787">
        <v>7.86</v>
      </c>
      <c r="F14754" s="788">
        <v>39323</v>
      </c>
      <c r="G14754" s="788">
        <v>39323</v>
      </c>
      <c r="H14754" s="787">
        <v>1</v>
      </c>
      <c r="I14754" s="788">
        <v>39316</v>
      </c>
      <c r="J14754" s="788">
        <v>39316</v>
      </c>
      <c r="L14754" s="787">
        <v>8.3000000000000007</v>
      </c>
      <c r="M14754" s="787">
        <v>20</v>
      </c>
      <c r="N14754" s="787">
        <v>8.92</v>
      </c>
      <c r="O14754" s="788">
        <v>41858</v>
      </c>
    </row>
    <row r="14755" spans="1:15" x14ac:dyDescent="0.25">
      <c r="A14755" s="786" t="s">
        <v>26728</v>
      </c>
      <c r="B14755" s="787">
        <v>4</v>
      </c>
      <c r="C14755" s="787" t="s">
        <v>26729</v>
      </c>
      <c r="D14755" s="787">
        <v>8.68</v>
      </c>
      <c r="E14755" s="787">
        <v>33.69</v>
      </c>
      <c r="F14755" s="788">
        <v>40389</v>
      </c>
      <c r="G14755" s="788">
        <v>41947</v>
      </c>
      <c r="H14755" s="787">
        <v>1</v>
      </c>
      <c r="I14755" s="788">
        <v>42163</v>
      </c>
      <c r="J14755" s="788">
        <v>42137</v>
      </c>
      <c r="K14755" s="788">
        <v>39898</v>
      </c>
      <c r="L14755" s="787">
        <v>28.31</v>
      </c>
      <c r="M14755" s="787">
        <v>20</v>
      </c>
      <c r="N14755" s="787">
        <v>30.43</v>
      </c>
      <c r="O14755" s="788">
        <v>42164</v>
      </c>
    </row>
    <row r="14756" spans="1:15" x14ac:dyDescent="0.25">
      <c r="A14756" s="786" t="s">
        <v>26730</v>
      </c>
      <c r="B14756" s="787">
        <v>4</v>
      </c>
      <c r="C14756" s="787" t="s">
        <v>26731</v>
      </c>
      <c r="D14756" s="787">
        <v>6.25</v>
      </c>
      <c r="E14756" s="787">
        <v>36.4</v>
      </c>
      <c r="F14756" s="788">
        <v>39918</v>
      </c>
      <c r="G14756" s="788">
        <v>42013</v>
      </c>
      <c r="H14756" s="787">
        <v>1</v>
      </c>
      <c r="I14756" s="788">
        <v>42165</v>
      </c>
      <c r="J14756" s="788">
        <v>41809</v>
      </c>
      <c r="L14756" s="787">
        <v>36.67</v>
      </c>
      <c r="M14756" s="787">
        <v>20</v>
      </c>
      <c r="N14756" s="787">
        <v>39.42</v>
      </c>
      <c r="O14756" s="788">
        <v>42164</v>
      </c>
    </row>
    <row r="14757" spans="1:15" x14ac:dyDescent="0.25">
      <c r="A14757" s="786" t="s">
        <v>26732</v>
      </c>
      <c r="B14757" s="787">
        <v>4</v>
      </c>
      <c r="C14757" s="787" t="s">
        <v>26733</v>
      </c>
      <c r="D14757" s="787">
        <v>1.67</v>
      </c>
      <c r="E14757" s="787">
        <v>23</v>
      </c>
      <c r="F14757" s="788">
        <v>39951</v>
      </c>
      <c r="G14757" s="788">
        <v>42013</v>
      </c>
      <c r="H14757" s="787">
        <v>1</v>
      </c>
      <c r="I14757" s="788">
        <v>41992</v>
      </c>
      <c r="J14757" s="788">
        <v>41540</v>
      </c>
      <c r="K14757" s="788">
        <v>41622</v>
      </c>
      <c r="L14757" s="787">
        <v>23</v>
      </c>
      <c r="M14757" s="787">
        <v>20</v>
      </c>
      <c r="N14757" s="787">
        <v>24.73</v>
      </c>
      <c r="O14757" s="788">
        <v>42019</v>
      </c>
    </row>
    <row r="14758" spans="1:15" x14ac:dyDescent="0.25">
      <c r="A14758" s="786" t="s">
        <v>26734</v>
      </c>
      <c r="B14758" s="787">
        <v>4</v>
      </c>
      <c r="C14758" s="787" t="s">
        <v>26735</v>
      </c>
      <c r="D14758" s="787">
        <v>0</v>
      </c>
      <c r="E14758" s="787">
        <v>0</v>
      </c>
      <c r="H14758" s="787">
        <v>1</v>
      </c>
      <c r="L14758" s="787">
        <v>0</v>
      </c>
      <c r="M14758" s="787">
        <v>20</v>
      </c>
      <c r="N14758" s="787">
        <v>0</v>
      </c>
      <c r="O14758" s="788">
        <v>40824</v>
      </c>
    </row>
    <row r="14759" spans="1:15" x14ac:dyDescent="0.25">
      <c r="A14759" s="786" t="s">
        <v>26736</v>
      </c>
      <c r="B14759" s="787">
        <v>4</v>
      </c>
      <c r="C14759" s="787" t="s">
        <v>26737</v>
      </c>
      <c r="D14759" s="787">
        <v>6.47</v>
      </c>
      <c r="E14759" s="787">
        <v>36.090000000000003</v>
      </c>
      <c r="F14759" s="788">
        <v>41474</v>
      </c>
      <c r="G14759" s="788">
        <v>42146</v>
      </c>
      <c r="H14759" s="787">
        <v>1</v>
      </c>
      <c r="I14759" s="788">
        <v>42143</v>
      </c>
      <c r="J14759" s="788">
        <v>42115</v>
      </c>
      <c r="K14759" s="788">
        <v>41155</v>
      </c>
      <c r="L14759" s="787">
        <v>35.36</v>
      </c>
      <c r="M14759" s="787">
        <v>20</v>
      </c>
      <c r="N14759" s="787">
        <v>38.01</v>
      </c>
      <c r="O14759" s="788">
        <v>41949</v>
      </c>
    </row>
    <row r="14760" spans="1:15" x14ac:dyDescent="0.25">
      <c r="A14760" s="786" t="s">
        <v>26738</v>
      </c>
      <c r="B14760" s="787">
        <v>4</v>
      </c>
      <c r="C14760" s="787" t="s">
        <v>26739</v>
      </c>
      <c r="D14760" s="787">
        <v>9.7799999999999994</v>
      </c>
      <c r="E14760" s="787">
        <v>92.07</v>
      </c>
      <c r="F14760" s="788">
        <v>39101</v>
      </c>
      <c r="G14760" s="788">
        <v>42046</v>
      </c>
      <c r="H14760" s="787">
        <v>1</v>
      </c>
      <c r="I14760" s="788">
        <v>42128</v>
      </c>
      <c r="J14760" s="788">
        <v>42041</v>
      </c>
      <c r="K14760" s="788">
        <v>40980</v>
      </c>
      <c r="L14760" s="787">
        <v>94.43</v>
      </c>
      <c r="M14760" s="787">
        <v>20</v>
      </c>
      <c r="N14760" s="787">
        <v>101.51</v>
      </c>
      <c r="O14760" s="788">
        <v>42164</v>
      </c>
    </row>
    <row r="14761" spans="1:15" x14ac:dyDescent="0.25">
      <c r="A14761" s="786" t="s">
        <v>26740</v>
      </c>
      <c r="B14761" s="787">
        <v>4</v>
      </c>
      <c r="C14761" s="787" t="s">
        <v>26741</v>
      </c>
      <c r="D14761" s="787">
        <v>0</v>
      </c>
      <c r="E14761" s="787">
        <v>0</v>
      </c>
      <c r="H14761" s="787">
        <v>6</v>
      </c>
      <c r="I14761" s="788">
        <v>38708</v>
      </c>
      <c r="J14761" s="788">
        <v>37642</v>
      </c>
      <c r="L14761" s="787">
        <v>0</v>
      </c>
      <c r="M14761" s="787">
        <v>20</v>
      </c>
      <c r="N14761" s="787">
        <v>0</v>
      </c>
      <c r="O14761" s="788">
        <v>40824</v>
      </c>
    </row>
    <row r="14762" spans="1:15" x14ac:dyDescent="0.25">
      <c r="A14762" s="786" t="s">
        <v>26742</v>
      </c>
      <c r="B14762" s="787">
        <v>4</v>
      </c>
      <c r="C14762" s="787" t="s">
        <v>26743</v>
      </c>
      <c r="D14762" s="787">
        <v>6.72</v>
      </c>
      <c r="E14762" s="787">
        <v>66.72</v>
      </c>
      <c r="F14762" s="788">
        <v>39101</v>
      </c>
      <c r="G14762" s="788">
        <v>39101</v>
      </c>
      <c r="H14762" s="787">
        <v>1</v>
      </c>
      <c r="I14762" s="788">
        <v>38470</v>
      </c>
      <c r="J14762" s="788">
        <v>39101</v>
      </c>
      <c r="L14762" s="787">
        <v>72.72</v>
      </c>
      <c r="M14762" s="787">
        <v>20</v>
      </c>
      <c r="N14762" s="787">
        <v>78.17</v>
      </c>
      <c r="O14762" s="788">
        <v>41858</v>
      </c>
    </row>
    <row r="14763" spans="1:15" x14ac:dyDescent="0.25">
      <c r="A14763" s="786" t="s">
        <v>26744</v>
      </c>
      <c r="B14763" s="787">
        <v>4</v>
      </c>
      <c r="C14763" s="787" t="s">
        <v>26745</v>
      </c>
      <c r="D14763" s="787">
        <v>4.0599999999999996</v>
      </c>
      <c r="E14763" s="787">
        <v>14.06</v>
      </c>
      <c r="F14763" s="788">
        <v>39101</v>
      </c>
      <c r="G14763" s="788">
        <v>39101</v>
      </c>
      <c r="H14763" s="787">
        <v>1</v>
      </c>
      <c r="I14763" s="788">
        <v>40855</v>
      </c>
      <c r="J14763" s="788">
        <v>39101</v>
      </c>
      <c r="L14763" s="787">
        <v>15.33</v>
      </c>
      <c r="M14763" s="787">
        <v>20</v>
      </c>
      <c r="N14763" s="787">
        <v>16.48</v>
      </c>
      <c r="O14763" s="788">
        <v>41858</v>
      </c>
    </row>
    <row r="14764" spans="1:15" x14ac:dyDescent="0.25">
      <c r="A14764" s="786" t="s">
        <v>26746</v>
      </c>
      <c r="B14764" s="787">
        <v>4</v>
      </c>
      <c r="C14764" s="787" t="s">
        <v>26747</v>
      </c>
      <c r="D14764" s="787">
        <v>9.59</v>
      </c>
      <c r="E14764" s="787">
        <v>59.59</v>
      </c>
      <c r="F14764" s="788">
        <v>38047</v>
      </c>
      <c r="G14764" s="788">
        <v>38736</v>
      </c>
      <c r="H14764" s="787">
        <v>1</v>
      </c>
      <c r="I14764" s="788">
        <v>39134</v>
      </c>
      <c r="J14764" s="788">
        <v>38047</v>
      </c>
      <c r="L14764" s="787">
        <v>64.95</v>
      </c>
      <c r="M14764" s="787">
        <v>20</v>
      </c>
      <c r="N14764" s="787">
        <v>69.819999999999993</v>
      </c>
      <c r="O14764" s="788">
        <v>41858</v>
      </c>
    </row>
    <row r="14765" spans="1:15" x14ac:dyDescent="0.25">
      <c r="A14765" s="786" t="s">
        <v>26748</v>
      </c>
      <c r="B14765" s="787">
        <v>4</v>
      </c>
      <c r="C14765" s="787" t="s">
        <v>26749</v>
      </c>
      <c r="D14765" s="787">
        <v>0</v>
      </c>
      <c r="E14765" s="787">
        <v>0</v>
      </c>
      <c r="H14765" s="787">
        <v>1</v>
      </c>
      <c r="J14765" s="788">
        <v>37642</v>
      </c>
      <c r="L14765" s="787">
        <v>0</v>
      </c>
      <c r="M14765" s="787">
        <v>20</v>
      </c>
      <c r="N14765" s="787">
        <v>0</v>
      </c>
      <c r="O14765" s="788">
        <v>40824</v>
      </c>
    </row>
    <row r="14766" spans="1:15" x14ac:dyDescent="0.25">
      <c r="A14766" s="786" t="s">
        <v>26750</v>
      </c>
      <c r="B14766" s="787">
        <v>4</v>
      </c>
      <c r="C14766" s="787" t="s">
        <v>26751</v>
      </c>
      <c r="D14766" s="787">
        <v>7.96</v>
      </c>
      <c r="E14766" s="787">
        <v>77.959999999999994</v>
      </c>
      <c r="F14766" s="788">
        <v>37642</v>
      </c>
      <c r="G14766" s="788">
        <v>37642</v>
      </c>
      <c r="H14766" s="787">
        <v>1</v>
      </c>
      <c r="I14766" s="788">
        <v>37690</v>
      </c>
      <c r="J14766" s="788">
        <v>37642</v>
      </c>
      <c r="L14766" s="787">
        <v>84.98</v>
      </c>
      <c r="M14766" s="787">
        <v>20</v>
      </c>
      <c r="N14766" s="787">
        <v>91.35</v>
      </c>
      <c r="O14766" s="788">
        <v>41858</v>
      </c>
    </row>
    <row r="14767" spans="1:15" x14ac:dyDescent="0.25">
      <c r="A14767" s="786" t="s">
        <v>26752</v>
      </c>
      <c r="B14767" s="787">
        <v>4</v>
      </c>
      <c r="C14767" s="787" t="s">
        <v>26753</v>
      </c>
      <c r="D14767" s="787">
        <v>8.11</v>
      </c>
      <c r="E14767" s="787">
        <v>88.11</v>
      </c>
      <c r="F14767" s="788">
        <v>37642</v>
      </c>
      <c r="G14767" s="788">
        <v>37642</v>
      </c>
      <c r="H14767" s="787">
        <v>1</v>
      </c>
      <c r="I14767" s="788">
        <v>37902</v>
      </c>
      <c r="J14767" s="788">
        <v>37642</v>
      </c>
      <c r="L14767" s="787">
        <v>96.04</v>
      </c>
      <c r="M14767" s="787">
        <v>20</v>
      </c>
      <c r="N14767" s="787">
        <v>103.24</v>
      </c>
      <c r="O14767" s="788">
        <v>41858</v>
      </c>
    </row>
    <row r="14768" spans="1:15" x14ac:dyDescent="0.25">
      <c r="A14768" s="786" t="s">
        <v>26754</v>
      </c>
      <c r="B14768" s="787">
        <v>4</v>
      </c>
      <c r="C14768" s="787" t="s">
        <v>26755</v>
      </c>
      <c r="D14768" s="787">
        <v>9.6</v>
      </c>
      <c r="E14768" s="787">
        <v>10.43</v>
      </c>
      <c r="F14768" s="788">
        <v>41157</v>
      </c>
      <c r="G14768" s="788">
        <v>42157</v>
      </c>
      <c r="H14768" s="787">
        <v>1</v>
      </c>
      <c r="I14768" s="788">
        <v>42128</v>
      </c>
      <c r="J14768" s="788">
        <v>42157</v>
      </c>
      <c r="K14768" s="788">
        <v>41416</v>
      </c>
      <c r="L14768" s="787">
        <v>9.9</v>
      </c>
      <c r="M14768" s="787">
        <v>20</v>
      </c>
      <c r="N14768" s="787">
        <v>10.64</v>
      </c>
      <c r="O14768" s="788">
        <v>41989</v>
      </c>
    </row>
    <row r="14769" spans="1:15" x14ac:dyDescent="0.25">
      <c r="A14769" s="786" t="s">
        <v>26756</v>
      </c>
      <c r="B14769" s="787">
        <v>4</v>
      </c>
      <c r="C14769" s="787" t="s">
        <v>26757</v>
      </c>
      <c r="D14769" s="787">
        <v>0.41</v>
      </c>
      <c r="E14769" s="787">
        <v>0.74</v>
      </c>
      <c r="F14769" s="788">
        <v>42072</v>
      </c>
      <c r="G14769" s="788">
        <v>42159</v>
      </c>
      <c r="H14769" s="787">
        <v>1</v>
      </c>
      <c r="I14769" s="788">
        <v>42166</v>
      </c>
      <c r="J14769" s="788">
        <v>42158</v>
      </c>
      <c r="L14769" s="787">
        <v>1.86</v>
      </c>
      <c r="M14769" s="787">
        <v>10</v>
      </c>
      <c r="N14769" s="787">
        <v>1.06</v>
      </c>
      <c r="O14769" s="788">
        <v>42164</v>
      </c>
    </row>
    <row r="14770" spans="1:15" x14ac:dyDescent="0.25">
      <c r="A14770" s="786" t="s">
        <v>26758</v>
      </c>
      <c r="B14770" s="787">
        <v>4</v>
      </c>
      <c r="C14770" s="787" t="s">
        <v>26759</v>
      </c>
      <c r="D14770" s="787">
        <v>1.36</v>
      </c>
      <c r="E14770" s="787">
        <v>1.36</v>
      </c>
      <c r="F14770" s="788">
        <v>42025</v>
      </c>
      <c r="G14770" s="788">
        <v>42025</v>
      </c>
      <c r="H14770" s="787">
        <v>1</v>
      </c>
      <c r="I14770" s="788">
        <v>42163</v>
      </c>
      <c r="J14770" s="788">
        <v>41995</v>
      </c>
      <c r="L14770" s="787">
        <v>2.35</v>
      </c>
      <c r="M14770" s="787">
        <v>10</v>
      </c>
      <c r="N14770" s="787">
        <v>2.69</v>
      </c>
      <c r="O14770" s="788">
        <v>42164</v>
      </c>
    </row>
    <row r="14771" spans="1:15" x14ac:dyDescent="0.25">
      <c r="A14771" s="786" t="s">
        <v>26760</v>
      </c>
      <c r="B14771" s="787">
        <v>4</v>
      </c>
      <c r="C14771" s="787" t="s">
        <v>26761</v>
      </c>
      <c r="D14771" s="787">
        <v>1.0900000000000001</v>
      </c>
      <c r="E14771" s="787">
        <v>5.92</v>
      </c>
      <c r="F14771" s="788">
        <v>41209</v>
      </c>
      <c r="G14771" s="788">
        <v>42165</v>
      </c>
      <c r="H14771" s="787">
        <v>1</v>
      </c>
      <c r="I14771" s="788">
        <v>42166</v>
      </c>
      <c r="J14771" s="788">
        <v>42163</v>
      </c>
      <c r="L14771" s="787">
        <v>4.3</v>
      </c>
      <c r="M14771" s="787">
        <v>10</v>
      </c>
      <c r="N14771" s="787">
        <v>6.32</v>
      </c>
      <c r="O14771" s="788">
        <v>42164</v>
      </c>
    </row>
    <row r="14772" spans="1:15" x14ac:dyDescent="0.25">
      <c r="A14772" s="786" t="s">
        <v>26762</v>
      </c>
      <c r="B14772" s="787">
        <v>4</v>
      </c>
      <c r="C14772" s="787" t="s">
        <v>26763</v>
      </c>
      <c r="D14772" s="787">
        <v>2.94</v>
      </c>
      <c r="E14772" s="787">
        <v>16.68</v>
      </c>
      <c r="F14772" s="788">
        <v>42096</v>
      </c>
      <c r="G14772" s="788">
        <v>42165</v>
      </c>
      <c r="H14772" s="787">
        <v>1</v>
      </c>
      <c r="I14772" s="788">
        <v>42159</v>
      </c>
      <c r="J14772" s="788">
        <v>42136</v>
      </c>
      <c r="L14772" s="787">
        <v>8.58</v>
      </c>
      <c r="M14772" s="787">
        <v>10</v>
      </c>
      <c r="N14772" s="787">
        <v>10.3</v>
      </c>
      <c r="O14772" s="788">
        <v>42164</v>
      </c>
    </row>
    <row r="14773" spans="1:15" x14ac:dyDescent="0.25">
      <c r="A14773" s="786" t="s">
        <v>26764</v>
      </c>
      <c r="B14773" s="787">
        <v>4</v>
      </c>
      <c r="C14773" s="787" t="s">
        <v>26765</v>
      </c>
      <c r="D14773" s="787">
        <v>3.49</v>
      </c>
      <c r="E14773" s="787">
        <v>3.49</v>
      </c>
      <c r="F14773" s="788">
        <v>41369</v>
      </c>
      <c r="G14773" s="788">
        <v>42013</v>
      </c>
      <c r="H14773" s="787">
        <v>1</v>
      </c>
      <c r="I14773" s="788">
        <v>42163</v>
      </c>
      <c r="J14773" s="788">
        <v>41312</v>
      </c>
      <c r="K14773" s="788">
        <v>41239</v>
      </c>
      <c r="L14773" s="787">
        <v>4.87</v>
      </c>
      <c r="M14773" s="787">
        <v>10</v>
      </c>
      <c r="N14773" s="787">
        <v>3.47</v>
      </c>
      <c r="O14773" s="788">
        <v>42075</v>
      </c>
    </row>
    <row r="14774" spans="1:15" x14ac:dyDescent="0.25">
      <c r="A14774" s="786" t="s">
        <v>26766</v>
      </c>
      <c r="B14774" s="787">
        <v>4</v>
      </c>
      <c r="C14774" s="787" t="s">
        <v>26761</v>
      </c>
      <c r="D14774" s="787">
        <v>0.98</v>
      </c>
      <c r="E14774" s="787">
        <v>5.18</v>
      </c>
      <c r="F14774" s="788">
        <v>40792</v>
      </c>
      <c r="G14774" s="788">
        <v>42017</v>
      </c>
      <c r="H14774" s="787">
        <v>1</v>
      </c>
      <c r="I14774" s="788">
        <v>42163</v>
      </c>
      <c r="J14774" s="788">
        <v>41982</v>
      </c>
      <c r="K14774" s="788">
        <v>41239</v>
      </c>
      <c r="L14774" s="787">
        <v>2.57</v>
      </c>
      <c r="M14774" s="787">
        <v>10</v>
      </c>
      <c r="N14774" s="787">
        <v>2.69</v>
      </c>
      <c r="O14774" s="788">
        <v>42075</v>
      </c>
    </row>
    <row r="14775" spans="1:15" x14ac:dyDescent="0.25">
      <c r="A14775" s="786" t="s">
        <v>26767</v>
      </c>
      <c r="B14775" s="787">
        <v>4</v>
      </c>
      <c r="C14775" s="787" t="s">
        <v>26768</v>
      </c>
      <c r="D14775" s="787">
        <v>1.03</v>
      </c>
      <c r="E14775" s="787">
        <v>2.54</v>
      </c>
      <c r="F14775" s="788">
        <v>41775</v>
      </c>
      <c r="G14775" s="788">
        <v>42166</v>
      </c>
      <c r="H14775" s="787">
        <v>1</v>
      </c>
      <c r="I14775" s="788">
        <v>42163</v>
      </c>
      <c r="J14775" s="788">
        <v>42166</v>
      </c>
      <c r="K14775" s="788">
        <v>41261</v>
      </c>
      <c r="L14775" s="787">
        <v>2.31</v>
      </c>
      <c r="M14775" s="787">
        <v>10</v>
      </c>
      <c r="N14775" s="787">
        <v>1.97</v>
      </c>
      <c r="O14775" s="788">
        <v>42075</v>
      </c>
    </row>
    <row r="14776" spans="1:15" x14ac:dyDescent="0.25">
      <c r="A14776" s="786" t="s">
        <v>26769</v>
      </c>
      <c r="B14776" s="787">
        <v>4</v>
      </c>
      <c r="C14776" s="787" t="s">
        <v>26770</v>
      </c>
      <c r="D14776" s="787">
        <v>6.61</v>
      </c>
      <c r="E14776" s="787">
        <v>111.38</v>
      </c>
      <c r="F14776" s="788">
        <v>41813</v>
      </c>
      <c r="G14776" s="788">
        <v>42165</v>
      </c>
      <c r="H14776" s="787">
        <v>1</v>
      </c>
      <c r="I14776" s="788">
        <v>42165</v>
      </c>
      <c r="J14776" s="788">
        <v>42165</v>
      </c>
      <c r="K14776" s="788">
        <v>41974</v>
      </c>
      <c r="L14776" s="787">
        <v>125</v>
      </c>
      <c r="M14776" s="787">
        <v>10</v>
      </c>
      <c r="N14776" s="787">
        <v>111.29</v>
      </c>
      <c r="O14776" s="788">
        <v>42075</v>
      </c>
    </row>
    <row r="14777" spans="1:15" x14ac:dyDescent="0.25">
      <c r="A14777" s="786" t="s">
        <v>26771</v>
      </c>
      <c r="B14777" s="787">
        <v>4</v>
      </c>
      <c r="C14777" s="787" t="s">
        <v>26772</v>
      </c>
      <c r="D14777" s="787">
        <v>5.23</v>
      </c>
      <c r="E14777" s="787">
        <v>90.55</v>
      </c>
      <c r="F14777" s="788">
        <v>41474</v>
      </c>
      <c r="G14777" s="788">
        <v>42145</v>
      </c>
      <c r="H14777" s="787">
        <v>1</v>
      </c>
      <c r="I14777" s="788">
        <v>42159</v>
      </c>
      <c r="J14777" s="788">
        <v>42165</v>
      </c>
      <c r="K14777" s="788">
        <v>41261</v>
      </c>
      <c r="L14777" s="787">
        <v>139.82</v>
      </c>
      <c r="M14777" s="787">
        <v>10</v>
      </c>
      <c r="N14777" s="787">
        <v>86.42</v>
      </c>
      <c r="O14777" s="788">
        <v>42075</v>
      </c>
    </row>
    <row r="14778" spans="1:15" x14ac:dyDescent="0.25">
      <c r="A14778" s="786" t="s">
        <v>26773</v>
      </c>
      <c r="B14778" s="787">
        <v>4</v>
      </c>
      <c r="C14778" s="787" t="s">
        <v>26774</v>
      </c>
      <c r="D14778" s="787">
        <v>1.38</v>
      </c>
      <c r="E14778" s="787">
        <v>1.38</v>
      </c>
      <c r="F14778" s="788">
        <v>42128</v>
      </c>
      <c r="G14778" s="788">
        <v>42158</v>
      </c>
      <c r="H14778" s="787">
        <v>1</v>
      </c>
      <c r="I14778" s="788">
        <v>42166</v>
      </c>
      <c r="J14778" s="788">
        <v>42158</v>
      </c>
      <c r="K14778" s="788">
        <v>41977</v>
      </c>
      <c r="L14778" s="787">
        <v>10</v>
      </c>
      <c r="M14778" s="787">
        <v>10</v>
      </c>
      <c r="N14778" s="787">
        <v>4.07</v>
      </c>
      <c r="O14778" s="788">
        <v>41979</v>
      </c>
    </row>
    <row r="14779" spans="1:15" x14ac:dyDescent="0.25">
      <c r="A14779" s="786" t="s">
        <v>26775</v>
      </c>
      <c r="B14779" s="787">
        <v>4</v>
      </c>
      <c r="C14779" s="787" t="s">
        <v>26776</v>
      </c>
      <c r="D14779" s="787">
        <v>1.41</v>
      </c>
      <c r="E14779" s="787">
        <v>42.07</v>
      </c>
      <c r="F14779" s="788">
        <v>39101</v>
      </c>
      <c r="G14779" s="788">
        <v>40389</v>
      </c>
      <c r="H14779" s="787">
        <v>1</v>
      </c>
      <c r="I14779" s="788">
        <v>40035</v>
      </c>
      <c r="J14779" s="788">
        <v>40392</v>
      </c>
      <c r="L14779" s="787">
        <v>52.23</v>
      </c>
      <c r="M14779" s="787">
        <v>20</v>
      </c>
      <c r="N14779" s="787">
        <v>56.15</v>
      </c>
      <c r="O14779" s="788">
        <v>41858</v>
      </c>
    </row>
    <row r="14780" spans="1:15" x14ac:dyDescent="0.25">
      <c r="A14780" s="786" t="s">
        <v>26777</v>
      </c>
      <c r="B14780" s="787">
        <v>4</v>
      </c>
      <c r="C14780" s="787" t="s">
        <v>26778</v>
      </c>
      <c r="D14780" s="787">
        <v>7.46</v>
      </c>
      <c r="E14780" s="787">
        <v>8.17</v>
      </c>
      <c r="F14780" s="788">
        <v>39101</v>
      </c>
      <c r="G14780" s="788">
        <v>42046</v>
      </c>
      <c r="H14780" s="787">
        <v>1</v>
      </c>
      <c r="I14780" s="788">
        <v>42166</v>
      </c>
      <c r="J14780" s="788">
        <v>42041</v>
      </c>
      <c r="K14780" s="788">
        <v>41906</v>
      </c>
      <c r="L14780" s="787">
        <v>8.6300000000000008</v>
      </c>
      <c r="M14780" s="787">
        <v>20</v>
      </c>
      <c r="N14780" s="787">
        <v>9.2799999999999994</v>
      </c>
      <c r="O14780" s="788">
        <v>42164</v>
      </c>
    </row>
    <row r="14781" spans="1:15" x14ac:dyDescent="0.25">
      <c r="A14781" s="786" t="s">
        <v>26779</v>
      </c>
      <c r="B14781" s="787">
        <v>4</v>
      </c>
      <c r="C14781" s="787" t="s">
        <v>26780</v>
      </c>
      <c r="D14781" s="787">
        <v>1.48</v>
      </c>
      <c r="E14781" s="787">
        <v>13.33</v>
      </c>
      <c r="F14781" s="788">
        <v>39101</v>
      </c>
      <c r="G14781" s="788">
        <v>42013</v>
      </c>
      <c r="H14781" s="787">
        <v>1</v>
      </c>
      <c r="I14781" s="788">
        <v>42128</v>
      </c>
      <c r="J14781" s="788">
        <v>41621</v>
      </c>
      <c r="K14781" s="788">
        <v>40987</v>
      </c>
      <c r="L14781" s="787">
        <v>13.3</v>
      </c>
      <c r="M14781" s="787">
        <v>20</v>
      </c>
      <c r="N14781" s="787">
        <v>14.3</v>
      </c>
      <c r="O14781" s="788">
        <v>42164</v>
      </c>
    </row>
    <row r="14782" spans="1:15" x14ac:dyDescent="0.25">
      <c r="A14782" s="786" t="s">
        <v>26781</v>
      </c>
      <c r="B14782" s="787">
        <v>4</v>
      </c>
      <c r="C14782" s="787" t="s">
        <v>26782</v>
      </c>
      <c r="D14782" s="787">
        <v>5.03</v>
      </c>
      <c r="E14782" s="787">
        <v>67.180000000000007</v>
      </c>
      <c r="F14782" s="788">
        <v>39101</v>
      </c>
      <c r="G14782" s="788">
        <v>42013</v>
      </c>
      <c r="H14782" s="787">
        <v>1</v>
      </c>
      <c r="I14782" s="788">
        <v>41975</v>
      </c>
      <c r="J14782" s="788">
        <v>41656</v>
      </c>
      <c r="L14782" s="787">
        <v>47.83</v>
      </c>
      <c r="M14782" s="787">
        <v>20</v>
      </c>
      <c r="N14782" s="787">
        <v>51.42</v>
      </c>
      <c r="O14782" s="788">
        <v>42164</v>
      </c>
    </row>
    <row r="14783" spans="1:15" x14ac:dyDescent="0.25">
      <c r="A14783" s="786" t="s">
        <v>26783</v>
      </c>
      <c r="B14783" s="787">
        <v>4</v>
      </c>
      <c r="C14783" s="787" t="s">
        <v>26784</v>
      </c>
      <c r="D14783" s="787">
        <v>7.77</v>
      </c>
      <c r="E14783" s="787">
        <v>55.1</v>
      </c>
      <c r="F14783" s="788">
        <v>39101</v>
      </c>
      <c r="G14783" s="788">
        <v>42013</v>
      </c>
      <c r="H14783" s="787">
        <v>1</v>
      </c>
      <c r="I14783" s="788">
        <v>42096</v>
      </c>
      <c r="J14783" s="788">
        <v>41621</v>
      </c>
      <c r="L14783" s="787">
        <v>41.99</v>
      </c>
      <c r="M14783" s="787">
        <v>20</v>
      </c>
      <c r="N14783" s="787">
        <v>45.14</v>
      </c>
      <c r="O14783" s="788">
        <v>42164</v>
      </c>
    </row>
    <row r="14784" spans="1:15" x14ac:dyDescent="0.25">
      <c r="A14784" s="786" t="s">
        <v>26785</v>
      </c>
      <c r="B14784" s="787">
        <v>4</v>
      </c>
      <c r="C14784" s="787" t="s">
        <v>26786</v>
      </c>
      <c r="D14784" s="787">
        <v>7.72</v>
      </c>
      <c r="E14784" s="787">
        <v>9.02</v>
      </c>
      <c r="F14784" s="788">
        <v>39101</v>
      </c>
      <c r="G14784" s="788">
        <v>42013</v>
      </c>
      <c r="H14784" s="787">
        <v>1</v>
      </c>
      <c r="I14784" s="788">
        <v>41577</v>
      </c>
      <c r="J14784" s="788">
        <v>40695</v>
      </c>
      <c r="L14784" s="787">
        <v>8.32</v>
      </c>
      <c r="M14784" s="787">
        <v>20</v>
      </c>
      <c r="N14784" s="787">
        <v>8.94</v>
      </c>
      <c r="O14784" s="788">
        <v>42164</v>
      </c>
    </row>
    <row r="14785" spans="1:15" x14ac:dyDescent="0.25">
      <c r="A14785" s="786" t="s">
        <v>26787</v>
      </c>
      <c r="B14785" s="787">
        <v>4</v>
      </c>
      <c r="C14785" s="787" t="s">
        <v>26788</v>
      </c>
      <c r="D14785" s="787">
        <v>6.64</v>
      </c>
      <c r="E14785" s="787">
        <v>16.64</v>
      </c>
      <c r="F14785" s="788">
        <v>39101</v>
      </c>
      <c r="G14785" s="788">
        <v>39101</v>
      </c>
      <c r="H14785" s="787">
        <v>1</v>
      </c>
      <c r="I14785" s="788">
        <v>41453</v>
      </c>
      <c r="J14785" s="788">
        <v>41555</v>
      </c>
      <c r="L14785" s="787">
        <v>21.58</v>
      </c>
      <c r="M14785" s="787">
        <v>20</v>
      </c>
      <c r="N14785" s="787">
        <v>23.2</v>
      </c>
      <c r="O14785" s="788">
        <v>41858</v>
      </c>
    </row>
    <row r="14786" spans="1:15" x14ac:dyDescent="0.25">
      <c r="A14786" s="786" t="s">
        <v>26789</v>
      </c>
      <c r="B14786" s="787">
        <v>4</v>
      </c>
      <c r="C14786" s="787" t="s">
        <v>26790</v>
      </c>
      <c r="D14786" s="787">
        <v>8.8000000000000007</v>
      </c>
      <c r="E14786" s="787">
        <v>18.8</v>
      </c>
      <c r="F14786" s="788">
        <v>39101</v>
      </c>
      <c r="G14786" s="788">
        <v>39101</v>
      </c>
      <c r="H14786" s="787">
        <v>1</v>
      </c>
      <c r="I14786" s="788">
        <v>41463</v>
      </c>
      <c r="J14786" s="788">
        <v>41578</v>
      </c>
      <c r="L14786" s="787">
        <v>12.54</v>
      </c>
      <c r="M14786" s="787">
        <v>20</v>
      </c>
      <c r="N14786" s="787">
        <v>13.48</v>
      </c>
      <c r="O14786" s="788">
        <v>41858</v>
      </c>
    </row>
    <row r="14787" spans="1:15" x14ac:dyDescent="0.25">
      <c r="A14787" s="786" t="s">
        <v>26791</v>
      </c>
      <c r="B14787" s="787">
        <v>4</v>
      </c>
      <c r="C14787" s="787" t="s">
        <v>26792</v>
      </c>
      <c r="D14787" s="787">
        <v>1.62</v>
      </c>
      <c r="E14787" s="787">
        <v>1.83</v>
      </c>
      <c r="F14787" s="788">
        <v>39519</v>
      </c>
      <c r="G14787" s="788">
        <v>42166</v>
      </c>
      <c r="H14787" s="787">
        <v>1</v>
      </c>
      <c r="I14787" s="788">
        <v>42166</v>
      </c>
      <c r="J14787" s="788">
        <v>42159</v>
      </c>
      <c r="L14787" s="787">
        <v>1.85</v>
      </c>
      <c r="M14787" s="787">
        <v>20</v>
      </c>
      <c r="N14787" s="787">
        <v>1.99</v>
      </c>
      <c r="O14787" s="788">
        <v>42164</v>
      </c>
    </row>
    <row r="14788" spans="1:15" x14ac:dyDescent="0.25">
      <c r="A14788" s="786" t="s">
        <v>26793</v>
      </c>
      <c r="B14788" s="787">
        <v>4</v>
      </c>
      <c r="C14788" s="787" t="s">
        <v>26794</v>
      </c>
      <c r="D14788" s="787">
        <v>7</v>
      </c>
      <c r="E14788" s="787">
        <v>37</v>
      </c>
      <c r="F14788" s="788">
        <v>39101</v>
      </c>
      <c r="G14788" s="788">
        <v>39101</v>
      </c>
      <c r="H14788" s="787">
        <v>1</v>
      </c>
      <c r="I14788" s="788">
        <v>39175</v>
      </c>
      <c r="J14788" s="788">
        <v>39149</v>
      </c>
      <c r="L14788" s="787">
        <v>40.33</v>
      </c>
      <c r="M14788" s="787">
        <v>20</v>
      </c>
      <c r="N14788" s="787">
        <v>43.35</v>
      </c>
      <c r="O14788" s="788">
        <v>41858</v>
      </c>
    </row>
    <row r="14789" spans="1:15" x14ac:dyDescent="0.25">
      <c r="A14789" s="786" t="s">
        <v>26795</v>
      </c>
      <c r="B14789" s="787">
        <v>4</v>
      </c>
      <c r="C14789" s="787" t="s">
        <v>26796</v>
      </c>
      <c r="D14789" s="787">
        <v>2.2000000000000002</v>
      </c>
      <c r="E14789" s="787">
        <v>42.87</v>
      </c>
      <c r="F14789" s="788">
        <v>38930</v>
      </c>
      <c r="G14789" s="788">
        <v>40178</v>
      </c>
      <c r="H14789" s="787">
        <v>6</v>
      </c>
      <c r="I14789" s="788">
        <v>40478</v>
      </c>
      <c r="J14789" s="788">
        <v>38994</v>
      </c>
      <c r="L14789" s="787">
        <v>46</v>
      </c>
      <c r="M14789" s="787">
        <v>20</v>
      </c>
      <c r="N14789" s="787">
        <v>46.09</v>
      </c>
      <c r="O14789" s="788">
        <v>41806</v>
      </c>
    </row>
    <row r="14790" spans="1:15" x14ac:dyDescent="0.25">
      <c r="A14790" s="786" t="s">
        <v>26797</v>
      </c>
      <c r="B14790" s="787">
        <v>4</v>
      </c>
      <c r="C14790" s="787" t="s">
        <v>26798</v>
      </c>
      <c r="D14790" s="787">
        <v>4.34</v>
      </c>
      <c r="E14790" s="787">
        <v>54.34</v>
      </c>
      <c r="F14790" s="788">
        <v>39455</v>
      </c>
      <c r="G14790" s="788">
        <v>39799</v>
      </c>
      <c r="H14790" s="787">
        <v>6</v>
      </c>
      <c r="I14790" s="788">
        <v>40392</v>
      </c>
      <c r="J14790" s="788">
        <v>39456</v>
      </c>
      <c r="L14790" s="787">
        <v>63.22</v>
      </c>
      <c r="M14790" s="787">
        <v>20</v>
      </c>
      <c r="N14790" s="787">
        <v>58.42</v>
      </c>
      <c r="O14790" s="788">
        <v>41806</v>
      </c>
    </row>
    <row r="14791" spans="1:15" x14ac:dyDescent="0.25">
      <c r="A14791" s="786" t="s">
        <v>26799</v>
      </c>
      <c r="B14791" s="787">
        <v>4</v>
      </c>
      <c r="C14791" s="787" t="s">
        <v>26800</v>
      </c>
      <c r="D14791" s="787">
        <v>1.5</v>
      </c>
      <c r="E14791" s="787">
        <v>84.7</v>
      </c>
      <c r="F14791" s="788">
        <v>39101</v>
      </c>
      <c r="G14791" s="788">
        <v>39101</v>
      </c>
      <c r="H14791" s="787">
        <v>1</v>
      </c>
      <c r="I14791" s="788">
        <v>38586</v>
      </c>
      <c r="J14791" s="788">
        <v>39101</v>
      </c>
      <c r="L14791" s="787">
        <v>56.14</v>
      </c>
      <c r="M14791" s="787">
        <v>20</v>
      </c>
      <c r="N14791" s="787">
        <v>60.35</v>
      </c>
      <c r="O14791" s="788">
        <v>41858</v>
      </c>
    </row>
    <row r="14792" spans="1:15" x14ac:dyDescent="0.25">
      <c r="A14792" s="786" t="s">
        <v>26801</v>
      </c>
      <c r="B14792" s="787">
        <v>4</v>
      </c>
      <c r="C14792" s="787" t="s">
        <v>26802</v>
      </c>
      <c r="D14792" s="787">
        <v>5.13</v>
      </c>
      <c r="E14792" s="787">
        <v>5.85</v>
      </c>
      <c r="F14792" s="788">
        <v>39455</v>
      </c>
      <c r="G14792" s="788">
        <v>40553</v>
      </c>
      <c r="H14792" s="787">
        <v>6</v>
      </c>
      <c r="I14792" s="788">
        <v>40392</v>
      </c>
      <c r="J14792" s="788">
        <v>40235</v>
      </c>
      <c r="L14792" s="787">
        <v>6</v>
      </c>
      <c r="M14792" s="787">
        <v>20</v>
      </c>
      <c r="N14792" s="787">
        <v>6.29</v>
      </c>
      <c r="O14792" s="788">
        <v>41806</v>
      </c>
    </row>
    <row r="14793" spans="1:15" x14ac:dyDescent="0.25">
      <c r="A14793" s="786" t="s">
        <v>26803</v>
      </c>
      <c r="B14793" s="787">
        <v>4</v>
      </c>
      <c r="C14793" s="787" t="s">
        <v>26804</v>
      </c>
      <c r="D14793" s="787">
        <v>5.0999999999999996</v>
      </c>
      <c r="E14793" s="787">
        <v>17.690000000000001</v>
      </c>
      <c r="F14793" s="788">
        <v>40996</v>
      </c>
      <c r="G14793" s="788">
        <v>42166</v>
      </c>
      <c r="H14793" s="787">
        <v>1</v>
      </c>
      <c r="I14793" s="788">
        <v>42166</v>
      </c>
      <c r="J14793" s="788">
        <v>42159</v>
      </c>
      <c r="K14793" s="788">
        <v>41425</v>
      </c>
      <c r="L14793" s="787">
        <v>17.399999999999999</v>
      </c>
      <c r="M14793" s="787">
        <v>20</v>
      </c>
      <c r="N14793" s="787">
        <v>18.71</v>
      </c>
      <c r="O14793" s="788">
        <v>42164</v>
      </c>
    </row>
    <row r="14794" spans="1:15" x14ac:dyDescent="0.25">
      <c r="A14794" s="786" t="s">
        <v>26805</v>
      </c>
      <c r="B14794" s="787">
        <v>4</v>
      </c>
      <c r="C14794" s="787" t="s">
        <v>26806</v>
      </c>
      <c r="D14794" s="787">
        <v>0.98</v>
      </c>
      <c r="E14794" s="787">
        <v>12.58</v>
      </c>
      <c r="F14794" s="788">
        <v>39519</v>
      </c>
      <c r="G14794" s="788">
        <v>42166</v>
      </c>
      <c r="H14794" s="787">
        <v>1</v>
      </c>
      <c r="I14794" s="788">
        <v>42166</v>
      </c>
      <c r="J14794" s="788">
        <v>42159</v>
      </c>
      <c r="K14794" s="788">
        <v>41906</v>
      </c>
      <c r="L14794" s="787">
        <v>12.5</v>
      </c>
      <c r="M14794" s="787">
        <v>20</v>
      </c>
      <c r="N14794" s="787">
        <v>13.44</v>
      </c>
      <c r="O14794" s="788">
        <v>42164</v>
      </c>
    </row>
    <row r="14795" spans="1:15" x14ac:dyDescent="0.25">
      <c r="A14795" s="786" t="s">
        <v>26807</v>
      </c>
      <c r="B14795" s="787">
        <v>4</v>
      </c>
      <c r="C14795" s="787" t="s">
        <v>26808</v>
      </c>
      <c r="D14795" s="787">
        <v>8.4</v>
      </c>
      <c r="E14795" s="787">
        <v>19.03</v>
      </c>
      <c r="F14795" s="788">
        <v>40911</v>
      </c>
      <c r="G14795" s="788">
        <v>41943</v>
      </c>
      <c r="H14795" s="787">
        <v>1</v>
      </c>
      <c r="I14795" s="788">
        <v>42115</v>
      </c>
      <c r="J14795" s="788">
        <v>41849</v>
      </c>
      <c r="K14795" s="788">
        <v>41261</v>
      </c>
      <c r="L14795" s="787">
        <v>18.100000000000001</v>
      </c>
      <c r="M14795" s="787">
        <v>20</v>
      </c>
      <c r="N14795" s="787">
        <v>19.46</v>
      </c>
      <c r="O14795" s="788">
        <v>41949</v>
      </c>
    </row>
    <row r="14796" spans="1:15" x14ac:dyDescent="0.25">
      <c r="A14796" s="786" t="s">
        <v>26809</v>
      </c>
      <c r="B14796" s="787">
        <v>4</v>
      </c>
      <c r="C14796" s="787" t="s">
        <v>26810</v>
      </c>
      <c r="D14796" s="787">
        <v>8.7100000000000009</v>
      </c>
      <c r="E14796" s="787">
        <v>79.09</v>
      </c>
      <c r="F14796" s="788">
        <v>40070</v>
      </c>
      <c r="G14796" s="788">
        <v>41869</v>
      </c>
      <c r="H14796" s="787">
        <v>1</v>
      </c>
      <c r="I14796" s="788">
        <v>41866</v>
      </c>
      <c r="J14796" s="788">
        <v>41859</v>
      </c>
      <c r="K14796" s="788">
        <v>41859</v>
      </c>
      <c r="L14796" s="787">
        <v>68</v>
      </c>
      <c r="M14796" s="787">
        <v>20</v>
      </c>
      <c r="N14796" s="787">
        <v>53</v>
      </c>
      <c r="O14796" s="788">
        <v>41858</v>
      </c>
    </row>
    <row r="14797" spans="1:15" x14ac:dyDescent="0.25">
      <c r="A14797" s="786" t="s">
        <v>26811</v>
      </c>
      <c r="B14797" s="787">
        <v>4</v>
      </c>
      <c r="C14797" s="787" t="s">
        <v>26812</v>
      </c>
      <c r="D14797" s="787">
        <v>7.35</v>
      </c>
      <c r="E14797" s="787">
        <v>112.7</v>
      </c>
      <c r="F14797" s="788">
        <v>38602</v>
      </c>
      <c r="G14797" s="788">
        <v>39155</v>
      </c>
      <c r="H14797" s="787">
        <v>1</v>
      </c>
      <c r="I14797" s="788">
        <v>39175</v>
      </c>
      <c r="J14797" s="788">
        <v>39133</v>
      </c>
      <c r="L14797" s="787">
        <v>112.7</v>
      </c>
      <c r="M14797" s="787">
        <v>20</v>
      </c>
      <c r="N14797" s="787">
        <v>121.15</v>
      </c>
      <c r="O14797" s="788">
        <v>41858</v>
      </c>
    </row>
    <row r="14798" spans="1:15" x14ac:dyDescent="0.25">
      <c r="A14798" s="786" t="s">
        <v>26813</v>
      </c>
      <c r="B14798" s="787">
        <v>4</v>
      </c>
      <c r="C14798" s="787" t="s">
        <v>26814</v>
      </c>
      <c r="D14798" s="787">
        <v>0</v>
      </c>
      <c r="E14798" s="787">
        <v>151.30000000000001</v>
      </c>
      <c r="H14798" s="787">
        <v>1</v>
      </c>
      <c r="I14798" s="788">
        <v>38845</v>
      </c>
      <c r="J14798" s="788">
        <v>39101</v>
      </c>
      <c r="L14798" s="787">
        <v>151.30000000000001</v>
      </c>
      <c r="M14798" s="787">
        <v>20</v>
      </c>
      <c r="N14798" s="787">
        <v>162.65</v>
      </c>
      <c r="O14798" s="788">
        <v>41858</v>
      </c>
    </row>
    <row r="14799" spans="1:15" x14ac:dyDescent="0.25">
      <c r="A14799" s="786" t="s">
        <v>26815</v>
      </c>
      <c r="B14799" s="787">
        <v>4</v>
      </c>
      <c r="C14799" s="787" t="s">
        <v>26816</v>
      </c>
      <c r="D14799" s="787">
        <v>0.56999999999999995</v>
      </c>
      <c r="E14799" s="787">
        <v>93.44</v>
      </c>
      <c r="F14799" s="788">
        <v>38999</v>
      </c>
      <c r="G14799" s="788">
        <v>39155</v>
      </c>
      <c r="H14799" s="787">
        <v>1</v>
      </c>
      <c r="I14799" s="788">
        <v>39175</v>
      </c>
      <c r="J14799" s="788">
        <v>39134</v>
      </c>
      <c r="L14799" s="787">
        <v>93.44</v>
      </c>
      <c r="M14799" s="787">
        <v>20</v>
      </c>
      <c r="N14799" s="787">
        <v>100.45</v>
      </c>
      <c r="O14799" s="788">
        <v>41858</v>
      </c>
    </row>
    <row r="14800" spans="1:15" x14ac:dyDescent="0.25">
      <c r="A14800" s="786" t="s">
        <v>26817</v>
      </c>
      <c r="B14800" s="787">
        <v>4</v>
      </c>
      <c r="C14800" s="787" t="s">
        <v>26818</v>
      </c>
      <c r="D14800" s="787">
        <v>3</v>
      </c>
      <c r="E14800" s="787">
        <v>116.45</v>
      </c>
      <c r="F14800" s="788">
        <v>39454</v>
      </c>
      <c r="G14800" s="788">
        <v>41789</v>
      </c>
      <c r="H14800" s="787">
        <v>1</v>
      </c>
      <c r="I14800" s="788">
        <v>41766</v>
      </c>
      <c r="J14800" s="788">
        <v>41746</v>
      </c>
      <c r="K14800" s="788">
        <v>41261</v>
      </c>
      <c r="L14800" s="787">
        <v>113.31</v>
      </c>
      <c r="M14800" s="787">
        <v>20</v>
      </c>
      <c r="N14800" s="787">
        <v>121.81</v>
      </c>
      <c r="O14800" s="788">
        <v>42164</v>
      </c>
    </row>
    <row r="14801" spans="1:15" x14ac:dyDescent="0.25">
      <c r="A14801" s="786" t="s">
        <v>26819</v>
      </c>
      <c r="B14801" s="787">
        <v>4</v>
      </c>
      <c r="C14801" s="787" t="s">
        <v>26820</v>
      </c>
      <c r="D14801" s="787">
        <v>0.45</v>
      </c>
      <c r="E14801" s="787">
        <v>164.5</v>
      </c>
      <c r="F14801" s="788">
        <v>39259</v>
      </c>
      <c r="G14801" s="788">
        <v>41558</v>
      </c>
      <c r="H14801" s="787">
        <v>1</v>
      </c>
      <c r="I14801" s="788">
        <v>41557</v>
      </c>
      <c r="J14801" s="788">
        <v>41555</v>
      </c>
      <c r="L14801" s="787">
        <v>164.5</v>
      </c>
      <c r="M14801" s="787">
        <v>20</v>
      </c>
      <c r="N14801" s="787">
        <v>176.84</v>
      </c>
      <c r="O14801" s="788">
        <v>41858</v>
      </c>
    </row>
    <row r="14802" spans="1:15" x14ac:dyDescent="0.25">
      <c r="A14802" s="786" t="s">
        <v>26821</v>
      </c>
      <c r="B14802" s="787">
        <v>4</v>
      </c>
      <c r="C14802" s="787" t="s">
        <v>26822</v>
      </c>
      <c r="D14802" s="787">
        <v>7.5</v>
      </c>
      <c r="E14802" s="787">
        <v>37.5</v>
      </c>
      <c r="F14802" s="788">
        <v>38835</v>
      </c>
      <c r="G14802" s="788">
        <v>38835</v>
      </c>
      <c r="H14802" s="787">
        <v>1</v>
      </c>
      <c r="I14802" s="788">
        <v>39134</v>
      </c>
      <c r="J14802" s="788">
        <v>38835</v>
      </c>
      <c r="L14802" s="787">
        <v>37.5</v>
      </c>
      <c r="M14802" s="787">
        <v>20</v>
      </c>
      <c r="N14802" s="787">
        <v>40.31</v>
      </c>
      <c r="O14802" s="788">
        <v>41858</v>
      </c>
    </row>
    <row r="14803" spans="1:15" x14ac:dyDescent="0.25">
      <c r="A14803" s="786" t="s">
        <v>26823</v>
      </c>
      <c r="B14803" s="787">
        <v>4</v>
      </c>
      <c r="C14803" s="787" t="s">
        <v>26824</v>
      </c>
      <c r="D14803" s="787">
        <v>6.17</v>
      </c>
      <c r="E14803" s="787">
        <v>86.17</v>
      </c>
      <c r="F14803" s="788">
        <v>38903</v>
      </c>
      <c r="G14803" s="788">
        <v>38903</v>
      </c>
      <c r="H14803" s="787">
        <v>1</v>
      </c>
      <c r="I14803" s="788">
        <v>40674</v>
      </c>
      <c r="J14803" s="788">
        <v>38903</v>
      </c>
      <c r="K14803" s="788">
        <v>41261</v>
      </c>
      <c r="L14803" s="787">
        <v>86.17</v>
      </c>
      <c r="M14803" s="787">
        <v>20</v>
      </c>
      <c r="N14803" s="787">
        <v>92.63</v>
      </c>
      <c r="O14803" s="788">
        <v>41858</v>
      </c>
    </row>
    <row r="14804" spans="1:15" x14ac:dyDescent="0.25">
      <c r="A14804" s="786" t="s">
        <v>26825</v>
      </c>
      <c r="B14804" s="787">
        <v>4</v>
      </c>
      <c r="C14804" s="787" t="s">
        <v>26826</v>
      </c>
      <c r="D14804" s="787">
        <v>0.4</v>
      </c>
      <c r="E14804" s="787">
        <v>11.02</v>
      </c>
      <c r="F14804" s="788">
        <v>41157</v>
      </c>
      <c r="G14804" s="788">
        <v>42050</v>
      </c>
      <c r="H14804" s="787">
        <v>1</v>
      </c>
      <c r="I14804" s="788">
        <v>42157</v>
      </c>
      <c r="J14804" s="788">
        <v>42095</v>
      </c>
      <c r="K14804" s="788">
        <v>41425</v>
      </c>
      <c r="L14804" s="787">
        <v>10.9</v>
      </c>
      <c r="M14804" s="787">
        <v>20</v>
      </c>
      <c r="N14804" s="787">
        <v>11.72</v>
      </c>
      <c r="O14804" s="788">
        <v>42164</v>
      </c>
    </row>
    <row r="14805" spans="1:15" x14ac:dyDescent="0.25">
      <c r="A14805" s="786" t="s">
        <v>26827</v>
      </c>
      <c r="B14805" s="787">
        <v>4</v>
      </c>
      <c r="C14805" s="787" t="s">
        <v>26828</v>
      </c>
      <c r="D14805" s="787">
        <v>7.9</v>
      </c>
      <c r="E14805" s="787">
        <v>8.24</v>
      </c>
      <c r="F14805" s="788">
        <v>41157</v>
      </c>
      <c r="G14805" s="788">
        <v>42013</v>
      </c>
      <c r="H14805" s="787">
        <v>1</v>
      </c>
      <c r="I14805" s="788">
        <v>42137</v>
      </c>
      <c r="J14805" s="788">
        <v>41877</v>
      </c>
      <c r="K14805" s="788">
        <v>41449</v>
      </c>
      <c r="L14805" s="787">
        <v>8.1999999999999993</v>
      </c>
      <c r="M14805" s="787">
        <v>20</v>
      </c>
      <c r="N14805" s="787">
        <v>8.82</v>
      </c>
      <c r="O14805" s="788">
        <v>42164</v>
      </c>
    </row>
    <row r="14806" spans="1:15" x14ac:dyDescent="0.25">
      <c r="A14806" s="786" t="s">
        <v>26829</v>
      </c>
      <c r="B14806" s="787">
        <v>4</v>
      </c>
      <c r="C14806" s="787" t="s">
        <v>26830</v>
      </c>
      <c r="D14806" s="787">
        <v>1.72</v>
      </c>
      <c r="E14806" s="787">
        <v>1.9</v>
      </c>
      <c r="F14806" s="788">
        <v>40382</v>
      </c>
      <c r="G14806" s="788">
        <v>42073</v>
      </c>
      <c r="H14806" s="787">
        <v>1</v>
      </c>
      <c r="I14806" s="788">
        <v>42157</v>
      </c>
      <c r="J14806" s="788">
        <v>42066</v>
      </c>
      <c r="K14806" s="788">
        <v>41239</v>
      </c>
      <c r="L14806" s="787">
        <v>1.81</v>
      </c>
      <c r="M14806" s="787">
        <v>20</v>
      </c>
      <c r="N14806" s="787">
        <v>1.95</v>
      </c>
      <c r="O14806" s="788">
        <v>42164</v>
      </c>
    </row>
    <row r="14807" spans="1:15" x14ac:dyDescent="0.25">
      <c r="A14807" s="786" t="s">
        <v>26831</v>
      </c>
      <c r="B14807" s="787">
        <v>4</v>
      </c>
      <c r="C14807" s="787" t="s">
        <v>26832</v>
      </c>
      <c r="D14807" s="787">
        <v>5.25</v>
      </c>
      <c r="E14807" s="787">
        <v>5.25</v>
      </c>
      <c r="F14807" s="788">
        <v>40616</v>
      </c>
      <c r="G14807" s="788">
        <v>40616</v>
      </c>
      <c r="H14807" s="787">
        <v>1</v>
      </c>
      <c r="I14807" s="788">
        <v>40674</v>
      </c>
      <c r="J14807" s="788">
        <v>40616</v>
      </c>
      <c r="L14807" s="787">
        <v>5.25</v>
      </c>
      <c r="M14807" s="787">
        <v>20</v>
      </c>
      <c r="N14807" s="787">
        <v>5.64</v>
      </c>
      <c r="O14807" s="788">
        <v>41858</v>
      </c>
    </row>
    <row r="14808" spans="1:15" x14ac:dyDescent="0.25">
      <c r="A14808" s="786" t="s">
        <v>26833</v>
      </c>
      <c r="B14808" s="787">
        <v>4</v>
      </c>
      <c r="C14808" s="787" t="s">
        <v>26834</v>
      </c>
      <c r="D14808" s="787">
        <v>3.23</v>
      </c>
      <c r="E14808" s="787">
        <v>13.23</v>
      </c>
      <c r="F14808" s="788">
        <v>41705</v>
      </c>
      <c r="G14808" s="788">
        <v>41733</v>
      </c>
      <c r="H14808" s="787">
        <v>1</v>
      </c>
      <c r="I14808" s="788">
        <v>41708</v>
      </c>
      <c r="J14808" s="788">
        <v>41705</v>
      </c>
      <c r="K14808" s="788">
        <v>40812</v>
      </c>
      <c r="L14808" s="787">
        <v>13.2</v>
      </c>
      <c r="M14808" s="787">
        <v>20</v>
      </c>
      <c r="N14808" s="787">
        <v>14.19</v>
      </c>
      <c r="O14808" s="788">
        <v>41858</v>
      </c>
    </row>
    <row r="14809" spans="1:15" x14ac:dyDescent="0.25">
      <c r="A14809" s="786" t="s">
        <v>26835</v>
      </c>
      <c r="B14809" s="787">
        <v>4</v>
      </c>
      <c r="C14809" s="787" t="s">
        <v>26836</v>
      </c>
      <c r="D14809" s="787">
        <v>0</v>
      </c>
      <c r="E14809" s="787">
        <v>0</v>
      </c>
      <c r="H14809" s="787">
        <v>1</v>
      </c>
      <c r="L14809" s="787">
        <v>0</v>
      </c>
      <c r="M14809" s="787">
        <v>20</v>
      </c>
      <c r="N14809" s="787">
        <v>0</v>
      </c>
      <c r="O14809" s="788">
        <v>40824</v>
      </c>
    </row>
    <row r="14810" spans="1:15" x14ac:dyDescent="0.25">
      <c r="A14810" s="786" t="s">
        <v>26837</v>
      </c>
      <c r="B14810" s="787">
        <v>4</v>
      </c>
      <c r="C14810" s="787" t="s">
        <v>26838</v>
      </c>
      <c r="D14810" s="787">
        <v>0</v>
      </c>
      <c r="E14810" s="787">
        <v>0</v>
      </c>
      <c r="H14810" s="787">
        <v>1</v>
      </c>
      <c r="L14810" s="787">
        <v>0</v>
      </c>
      <c r="M14810" s="787">
        <v>20</v>
      </c>
      <c r="N14810" s="787">
        <v>0</v>
      </c>
      <c r="O14810" s="788">
        <v>40824</v>
      </c>
    </row>
    <row r="14811" spans="1:15" x14ac:dyDescent="0.25">
      <c r="A14811" s="786" t="s">
        <v>26839</v>
      </c>
      <c r="B14811" s="787">
        <v>4</v>
      </c>
      <c r="C14811" s="787" t="s">
        <v>26840</v>
      </c>
      <c r="D14811" s="787">
        <v>1</v>
      </c>
      <c r="E14811" s="787">
        <v>54.01</v>
      </c>
      <c r="F14811" s="788">
        <v>41037</v>
      </c>
      <c r="G14811" s="788">
        <v>41864</v>
      </c>
      <c r="H14811" s="787">
        <v>1</v>
      </c>
      <c r="I14811" s="788">
        <v>41844</v>
      </c>
      <c r="J14811" s="788">
        <v>41844</v>
      </c>
      <c r="K14811" s="788">
        <v>41842</v>
      </c>
      <c r="L14811" s="787">
        <v>53</v>
      </c>
      <c r="M14811" s="787">
        <v>20</v>
      </c>
      <c r="N14811" s="787">
        <v>56.98</v>
      </c>
      <c r="O14811" s="788">
        <v>41858</v>
      </c>
    </row>
    <row r="14812" spans="1:15" x14ac:dyDescent="0.25">
      <c r="A14812" s="786" t="s">
        <v>26841</v>
      </c>
      <c r="B14812" s="787">
        <v>4</v>
      </c>
      <c r="C14812" s="787" t="s">
        <v>26842</v>
      </c>
      <c r="D14812" s="787">
        <v>0.3</v>
      </c>
      <c r="E14812" s="787">
        <v>45.38</v>
      </c>
      <c r="F14812" s="788">
        <v>41037</v>
      </c>
      <c r="G14812" s="788">
        <v>42166</v>
      </c>
      <c r="H14812" s="787">
        <v>1</v>
      </c>
      <c r="I14812" s="788">
        <v>42158</v>
      </c>
      <c r="J14812" s="788">
        <v>42159</v>
      </c>
      <c r="K14812" s="788">
        <v>41842</v>
      </c>
      <c r="L14812" s="787">
        <v>41.8</v>
      </c>
      <c r="M14812" s="787">
        <v>20</v>
      </c>
      <c r="N14812" s="787">
        <v>44.94</v>
      </c>
      <c r="O14812" s="788">
        <v>41858</v>
      </c>
    </row>
    <row r="14813" spans="1:15" x14ac:dyDescent="0.25">
      <c r="A14813" s="786" t="s">
        <v>26843</v>
      </c>
      <c r="B14813" s="787">
        <v>4</v>
      </c>
      <c r="C14813" s="787" t="s">
        <v>26844</v>
      </c>
      <c r="D14813" s="787">
        <v>0.38</v>
      </c>
      <c r="E14813" s="787">
        <v>200.79</v>
      </c>
      <c r="F14813" s="788">
        <v>41159</v>
      </c>
      <c r="G14813" s="788">
        <v>41774</v>
      </c>
      <c r="H14813" s="787">
        <v>6</v>
      </c>
      <c r="I14813" s="788">
        <v>41939</v>
      </c>
      <c r="J14813" s="788">
        <v>41774</v>
      </c>
      <c r="L14813" s="787">
        <v>198.1</v>
      </c>
      <c r="M14813" s="787">
        <v>20</v>
      </c>
      <c r="N14813" s="787">
        <v>212.96</v>
      </c>
      <c r="O14813" s="788">
        <v>41887</v>
      </c>
    </row>
    <row r="14814" spans="1:15" x14ac:dyDescent="0.25">
      <c r="A14814" s="786" t="s">
        <v>26845</v>
      </c>
      <c r="B14814" s="787">
        <v>4</v>
      </c>
      <c r="C14814" s="787" t="s">
        <v>26846</v>
      </c>
      <c r="D14814" s="787">
        <v>3.06</v>
      </c>
      <c r="E14814" s="787">
        <v>193.07</v>
      </c>
      <c r="F14814" s="788">
        <v>41159</v>
      </c>
      <c r="G14814" s="788">
        <v>42013</v>
      </c>
      <c r="H14814" s="787">
        <v>1</v>
      </c>
      <c r="I14814" s="788">
        <v>41939</v>
      </c>
      <c r="J14814" s="788">
        <v>41421</v>
      </c>
      <c r="L14814" s="787">
        <v>190.55</v>
      </c>
      <c r="M14814" s="787">
        <v>20</v>
      </c>
      <c r="N14814" s="787">
        <v>204.84</v>
      </c>
      <c r="O14814" s="788">
        <v>42164</v>
      </c>
    </row>
    <row r="14815" spans="1:15" x14ac:dyDescent="0.25">
      <c r="A14815" s="786" t="s">
        <v>26847</v>
      </c>
      <c r="B14815" s="787">
        <v>4</v>
      </c>
      <c r="C14815" s="787" t="s">
        <v>26848</v>
      </c>
      <c r="D14815" s="787">
        <v>4.9000000000000004</v>
      </c>
      <c r="E14815" s="787">
        <v>5.43</v>
      </c>
      <c r="F14815" s="788">
        <v>41037</v>
      </c>
      <c r="G14815" s="788">
        <v>42166</v>
      </c>
      <c r="H14815" s="787">
        <v>1</v>
      </c>
      <c r="I14815" s="788">
        <v>42158</v>
      </c>
      <c r="J14815" s="788">
        <v>42159</v>
      </c>
      <c r="K14815" s="788">
        <v>41842</v>
      </c>
      <c r="L14815" s="787">
        <v>5</v>
      </c>
      <c r="M14815" s="787">
        <v>20</v>
      </c>
      <c r="N14815" s="787">
        <v>5.38</v>
      </c>
      <c r="O14815" s="788">
        <v>42065</v>
      </c>
    </row>
    <row r="14816" spans="1:15" x14ac:dyDescent="0.25">
      <c r="A14816" s="786" t="s">
        <v>26849</v>
      </c>
      <c r="B14816" s="787">
        <v>4</v>
      </c>
      <c r="C14816" s="787" t="s">
        <v>26850</v>
      </c>
      <c r="D14816" s="787">
        <v>9.35</v>
      </c>
      <c r="E14816" s="787">
        <v>85.64</v>
      </c>
      <c r="F14816" s="788">
        <v>40722</v>
      </c>
      <c r="G14816" s="788">
        <v>41520</v>
      </c>
      <c r="H14816" s="787">
        <v>1</v>
      </c>
      <c r="I14816" s="788">
        <v>41507</v>
      </c>
      <c r="J14816" s="788">
        <v>41578</v>
      </c>
      <c r="K14816" s="788">
        <v>41101</v>
      </c>
      <c r="L14816" s="787">
        <v>81</v>
      </c>
      <c r="M14816" s="787">
        <v>20</v>
      </c>
      <c r="N14816" s="787">
        <v>87.08</v>
      </c>
      <c r="O14816" s="788">
        <v>41858</v>
      </c>
    </row>
    <row r="14817" spans="1:15" x14ac:dyDescent="0.25">
      <c r="A14817" s="786" t="s">
        <v>26851</v>
      </c>
      <c r="B14817" s="787">
        <v>4</v>
      </c>
      <c r="C14817" s="787" t="s">
        <v>26852</v>
      </c>
      <c r="D14817" s="787">
        <v>8.69</v>
      </c>
      <c r="E14817" s="787">
        <v>81.56</v>
      </c>
      <c r="F14817" s="788">
        <v>40998</v>
      </c>
      <c r="G14817" s="788">
        <v>42016</v>
      </c>
      <c r="H14817" s="787">
        <v>1</v>
      </c>
      <c r="I14817" s="788">
        <v>42156</v>
      </c>
      <c r="J14817" s="788">
        <v>42144</v>
      </c>
      <c r="K14817" s="788">
        <v>41995</v>
      </c>
      <c r="L14817" s="787">
        <v>81.56</v>
      </c>
      <c r="M14817" s="787">
        <v>20</v>
      </c>
      <c r="N14817" s="787">
        <v>87.68</v>
      </c>
      <c r="O14817" s="788">
        <v>41996</v>
      </c>
    </row>
    <row r="14818" spans="1:15" x14ac:dyDescent="0.25">
      <c r="A14818" s="786" t="s">
        <v>26853</v>
      </c>
      <c r="B14818" s="787">
        <v>4</v>
      </c>
      <c r="C14818" s="787" t="s">
        <v>26854</v>
      </c>
      <c r="D14818" s="787">
        <v>2.91</v>
      </c>
      <c r="E14818" s="787">
        <v>3.95</v>
      </c>
      <c r="F14818" s="788">
        <v>40998</v>
      </c>
      <c r="G14818" s="788">
        <v>41565</v>
      </c>
      <c r="H14818" s="787">
        <v>1</v>
      </c>
      <c r="I14818" s="788">
        <v>41291</v>
      </c>
      <c r="J14818" s="788">
        <v>41151</v>
      </c>
      <c r="K14818" s="788">
        <v>40987</v>
      </c>
      <c r="L14818" s="787">
        <v>3.95</v>
      </c>
      <c r="M14818" s="787">
        <v>20</v>
      </c>
      <c r="N14818" s="787">
        <v>4.25</v>
      </c>
      <c r="O14818" s="788">
        <v>41989</v>
      </c>
    </row>
    <row r="14819" spans="1:15" x14ac:dyDescent="0.25">
      <c r="A14819" s="786" t="s">
        <v>26855</v>
      </c>
      <c r="B14819" s="787">
        <v>4</v>
      </c>
      <c r="C14819" s="787" t="s">
        <v>26856</v>
      </c>
      <c r="D14819" s="787">
        <v>4.1500000000000004</v>
      </c>
      <c r="E14819" s="787">
        <v>116.45</v>
      </c>
      <c r="F14819" s="788">
        <v>41494</v>
      </c>
      <c r="G14819" s="788">
        <v>42156</v>
      </c>
      <c r="H14819" s="787">
        <v>1</v>
      </c>
      <c r="I14819" s="788">
        <v>42135</v>
      </c>
      <c r="J14819" s="788">
        <v>42121</v>
      </c>
      <c r="K14819" s="788">
        <v>41066</v>
      </c>
      <c r="L14819" s="787">
        <v>114.73</v>
      </c>
      <c r="M14819" s="787">
        <v>20</v>
      </c>
      <c r="N14819" s="787">
        <v>123.33</v>
      </c>
      <c r="O14819" s="788">
        <v>42164</v>
      </c>
    </row>
    <row r="14820" spans="1:15" x14ac:dyDescent="0.25">
      <c r="A14820" s="786" t="s">
        <v>26857</v>
      </c>
      <c r="B14820" s="787">
        <v>4</v>
      </c>
      <c r="C14820" s="787" t="s">
        <v>26858</v>
      </c>
      <c r="D14820" s="787">
        <v>1.03</v>
      </c>
      <c r="E14820" s="787">
        <v>301.16000000000003</v>
      </c>
      <c r="F14820" s="788">
        <v>41704</v>
      </c>
      <c r="G14820" s="788">
        <v>42166</v>
      </c>
      <c r="H14820" s="787">
        <v>1</v>
      </c>
      <c r="I14820" s="788">
        <v>42165</v>
      </c>
      <c r="J14820" s="788">
        <v>42164</v>
      </c>
      <c r="K14820" s="788">
        <v>41858</v>
      </c>
      <c r="L14820" s="787">
        <v>290.75</v>
      </c>
      <c r="M14820" s="787">
        <v>20</v>
      </c>
      <c r="N14820" s="787">
        <v>312.56</v>
      </c>
      <c r="O14820" s="788">
        <v>42164</v>
      </c>
    </row>
    <row r="14821" spans="1:15" x14ac:dyDescent="0.25">
      <c r="A14821" s="786" t="s">
        <v>26859</v>
      </c>
      <c r="B14821" s="787">
        <v>4</v>
      </c>
      <c r="C14821" s="787" t="s">
        <v>26860</v>
      </c>
      <c r="D14821" s="787">
        <v>8.57</v>
      </c>
      <c r="E14821" s="787">
        <v>58.57</v>
      </c>
      <c r="F14821" s="788">
        <v>41542</v>
      </c>
      <c r="G14821" s="788">
        <v>41551</v>
      </c>
      <c r="H14821" s="787">
        <v>1</v>
      </c>
      <c r="I14821" s="788">
        <v>41542</v>
      </c>
      <c r="J14821" s="788">
        <v>41541</v>
      </c>
      <c r="K14821" s="788">
        <v>41106</v>
      </c>
      <c r="L14821" s="787">
        <v>57.6</v>
      </c>
      <c r="M14821" s="787">
        <v>20</v>
      </c>
      <c r="N14821" s="787">
        <v>61.92</v>
      </c>
      <c r="O14821" s="788">
        <v>41858</v>
      </c>
    </row>
    <row r="14822" spans="1:15" x14ac:dyDescent="0.25">
      <c r="A14822" s="786" t="s">
        <v>26861</v>
      </c>
      <c r="B14822" s="787">
        <v>4</v>
      </c>
      <c r="C14822" s="787" t="s">
        <v>26862</v>
      </c>
      <c r="D14822" s="787">
        <v>2.14</v>
      </c>
      <c r="E14822" s="787">
        <v>15.02</v>
      </c>
      <c r="F14822" s="788">
        <v>41542</v>
      </c>
      <c r="G14822" s="788">
        <v>42008</v>
      </c>
      <c r="H14822" s="787">
        <v>1</v>
      </c>
      <c r="I14822" s="788">
        <v>41975</v>
      </c>
      <c r="J14822" s="788">
        <v>41977</v>
      </c>
      <c r="K14822" s="788">
        <v>41106</v>
      </c>
      <c r="L14822" s="787">
        <v>11.94</v>
      </c>
      <c r="M14822" s="787">
        <v>20</v>
      </c>
      <c r="N14822" s="787">
        <v>12.84</v>
      </c>
      <c r="O14822" s="788">
        <v>41978</v>
      </c>
    </row>
    <row r="14823" spans="1:15" x14ac:dyDescent="0.25">
      <c r="A14823" s="786" t="s">
        <v>26863</v>
      </c>
      <c r="B14823" s="787">
        <v>4</v>
      </c>
      <c r="C14823" s="787" t="s">
        <v>26864</v>
      </c>
      <c r="D14823" s="787">
        <v>0.28999999999999998</v>
      </c>
      <c r="E14823" s="787">
        <v>90.29</v>
      </c>
      <c r="F14823" s="788">
        <v>41542</v>
      </c>
      <c r="G14823" s="788">
        <v>41551</v>
      </c>
      <c r="H14823" s="787">
        <v>1</v>
      </c>
      <c r="I14823" s="788">
        <v>41542</v>
      </c>
      <c r="J14823" s="788">
        <v>41541</v>
      </c>
      <c r="K14823" s="788">
        <v>41106</v>
      </c>
      <c r="L14823" s="787">
        <v>88.8</v>
      </c>
      <c r="M14823" s="787">
        <v>20</v>
      </c>
      <c r="N14823" s="787">
        <v>95.46</v>
      </c>
      <c r="O14823" s="788">
        <v>41858</v>
      </c>
    </row>
    <row r="14824" spans="1:15" x14ac:dyDescent="0.25">
      <c r="A14824" s="786" t="s">
        <v>26865</v>
      </c>
      <c r="B14824" s="787">
        <v>4</v>
      </c>
      <c r="C14824" s="787" t="s">
        <v>26866</v>
      </c>
      <c r="D14824" s="787">
        <v>3.15</v>
      </c>
      <c r="E14824" s="787">
        <v>3.15</v>
      </c>
      <c r="F14824" s="788">
        <v>41234</v>
      </c>
      <c r="G14824" s="788">
        <v>41212</v>
      </c>
      <c r="H14824" s="787">
        <v>1</v>
      </c>
      <c r="I14824" s="788">
        <v>42156</v>
      </c>
      <c r="J14824" s="788">
        <v>42144</v>
      </c>
      <c r="K14824" s="788">
        <v>41144</v>
      </c>
      <c r="L14824" s="787">
        <v>3.15</v>
      </c>
      <c r="M14824" s="787">
        <v>20</v>
      </c>
      <c r="N14824" s="787">
        <v>3.39</v>
      </c>
      <c r="O14824" s="788">
        <v>41996</v>
      </c>
    </row>
    <row r="14825" spans="1:15" x14ac:dyDescent="0.25">
      <c r="A14825" s="786" t="s">
        <v>26867</v>
      </c>
      <c r="B14825" s="787">
        <v>4</v>
      </c>
      <c r="C14825" s="787" t="s">
        <v>26868</v>
      </c>
      <c r="D14825" s="787">
        <v>9.9499999999999993</v>
      </c>
      <c r="E14825" s="787">
        <v>10</v>
      </c>
      <c r="F14825" s="788">
        <v>41418</v>
      </c>
      <c r="G14825" s="788">
        <v>41751</v>
      </c>
      <c r="H14825" s="787">
        <v>1</v>
      </c>
      <c r="I14825" s="788">
        <v>41740</v>
      </c>
      <c r="J14825" s="788">
        <v>41739</v>
      </c>
      <c r="K14825" s="788">
        <v>41416</v>
      </c>
      <c r="L14825" s="787">
        <v>9</v>
      </c>
      <c r="M14825" s="787">
        <v>20</v>
      </c>
      <c r="N14825" s="787">
        <v>9.68</v>
      </c>
      <c r="O14825" s="788">
        <v>41858</v>
      </c>
    </row>
    <row r="14826" spans="1:15" x14ac:dyDescent="0.25">
      <c r="A14826" s="786" t="s">
        <v>26869</v>
      </c>
      <c r="B14826" s="787">
        <v>4</v>
      </c>
      <c r="C14826" s="787" t="s">
        <v>26870</v>
      </c>
      <c r="D14826" s="787">
        <v>0</v>
      </c>
      <c r="E14826" s="787">
        <v>40</v>
      </c>
      <c r="F14826" s="788">
        <v>42012</v>
      </c>
      <c r="G14826" s="788">
        <v>42016</v>
      </c>
      <c r="H14826" s="787">
        <v>1</v>
      </c>
      <c r="I14826" s="788">
        <v>42016</v>
      </c>
      <c r="J14826" s="788">
        <v>42016</v>
      </c>
      <c r="K14826" s="788">
        <v>41988</v>
      </c>
      <c r="L14826" s="787">
        <v>40</v>
      </c>
      <c r="M14826" s="787">
        <v>20</v>
      </c>
      <c r="N14826" s="787">
        <v>33.22</v>
      </c>
      <c r="O14826" s="788">
        <v>41858</v>
      </c>
    </row>
    <row r="14827" spans="1:15" x14ac:dyDescent="0.25">
      <c r="A14827" s="786" t="s">
        <v>26871</v>
      </c>
      <c r="B14827" s="787">
        <v>4</v>
      </c>
      <c r="C14827" s="787" t="s">
        <v>26872</v>
      </c>
      <c r="D14827" s="787">
        <v>0</v>
      </c>
      <c r="E14827" s="787">
        <v>0</v>
      </c>
      <c r="H14827" s="787">
        <v>1</v>
      </c>
      <c r="K14827" s="788">
        <v>41555</v>
      </c>
      <c r="L14827" s="787">
        <v>98.27</v>
      </c>
      <c r="M14827" s="787">
        <v>20</v>
      </c>
      <c r="N14827" s="787">
        <v>105.64</v>
      </c>
      <c r="O14827" s="788">
        <v>41858</v>
      </c>
    </row>
    <row r="14828" spans="1:15" x14ac:dyDescent="0.25">
      <c r="A14828" s="786" t="s">
        <v>26873</v>
      </c>
      <c r="B14828" s="787">
        <v>4</v>
      </c>
      <c r="C14828" s="787" t="s">
        <v>26874</v>
      </c>
      <c r="D14828" s="787">
        <v>0</v>
      </c>
      <c r="E14828" s="787">
        <v>0</v>
      </c>
      <c r="H14828" s="787">
        <v>1</v>
      </c>
      <c r="K14828" s="788">
        <v>41555</v>
      </c>
      <c r="L14828" s="787">
        <v>215.48</v>
      </c>
      <c r="M14828" s="787">
        <v>20</v>
      </c>
      <c r="N14828" s="787">
        <v>231.64</v>
      </c>
      <c r="O14828" s="788">
        <v>41858</v>
      </c>
    </row>
    <row r="14829" spans="1:15" x14ac:dyDescent="0.25">
      <c r="A14829" s="786" t="s">
        <v>26875</v>
      </c>
      <c r="B14829" s="787">
        <v>4</v>
      </c>
      <c r="C14829" s="787" t="s">
        <v>26876</v>
      </c>
      <c r="D14829" s="787">
        <v>2.3199999999999998</v>
      </c>
      <c r="E14829" s="787">
        <v>2.3199999999999998</v>
      </c>
      <c r="F14829" s="788">
        <v>42094</v>
      </c>
      <c r="G14829" s="788">
        <v>42125</v>
      </c>
      <c r="H14829" s="787">
        <v>1</v>
      </c>
      <c r="I14829" s="788">
        <v>42089</v>
      </c>
      <c r="J14829" s="788">
        <v>42089</v>
      </c>
      <c r="K14829" s="788">
        <v>42068</v>
      </c>
      <c r="L14829" s="787">
        <v>2</v>
      </c>
      <c r="M14829" s="787">
        <v>20</v>
      </c>
      <c r="N14829" s="787">
        <v>2.15</v>
      </c>
      <c r="O14829" s="788">
        <v>42068</v>
      </c>
    </row>
    <row r="14830" spans="1:15" x14ac:dyDescent="0.25">
      <c r="A14830" s="786" t="s">
        <v>26877</v>
      </c>
      <c r="B14830" s="787">
        <v>4</v>
      </c>
      <c r="C14830" s="787" t="s">
        <v>26878</v>
      </c>
      <c r="D14830" s="787">
        <v>7.05</v>
      </c>
      <c r="E14830" s="787">
        <v>17.05</v>
      </c>
      <c r="F14830" s="788">
        <v>42094</v>
      </c>
      <c r="G14830" s="788">
        <v>42125</v>
      </c>
      <c r="H14830" s="787">
        <v>1</v>
      </c>
      <c r="I14830" s="788">
        <v>42089</v>
      </c>
      <c r="J14830" s="788">
        <v>42089</v>
      </c>
      <c r="K14830" s="788">
        <v>42068</v>
      </c>
      <c r="L14830" s="787">
        <v>14.7</v>
      </c>
      <c r="M14830" s="787">
        <v>20</v>
      </c>
      <c r="N14830" s="787">
        <v>15.8</v>
      </c>
      <c r="O14830" s="788">
        <v>42068</v>
      </c>
    </row>
    <row r="14831" spans="1:15" x14ac:dyDescent="0.25">
      <c r="A14831" s="786" t="s">
        <v>26879</v>
      </c>
      <c r="B14831" s="787">
        <v>4</v>
      </c>
      <c r="C14831" s="787" t="s">
        <v>26880</v>
      </c>
      <c r="D14831" s="787">
        <v>3.69</v>
      </c>
      <c r="E14831" s="787">
        <v>33.69</v>
      </c>
      <c r="F14831" s="788">
        <v>38047</v>
      </c>
      <c r="G14831" s="788">
        <v>38364</v>
      </c>
      <c r="H14831" s="787">
        <v>1</v>
      </c>
      <c r="I14831" s="788">
        <v>39877</v>
      </c>
      <c r="J14831" s="788">
        <v>38047</v>
      </c>
      <c r="L14831" s="787">
        <v>36.72</v>
      </c>
      <c r="M14831" s="787">
        <v>20</v>
      </c>
      <c r="N14831" s="787">
        <v>39.47</v>
      </c>
      <c r="O14831" s="788">
        <v>41858</v>
      </c>
    </row>
    <row r="14832" spans="1:15" x14ac:dyDescent="0.25">
      <c r="A14832" s="786" t="s">
        <v>26881</v>
      </c>
      <c r="B14832" s="787">
        <v>4</v>
      </c>
      <c r="C14832" s="787" t="s">
        <v>26882</v>
      </c>
      <c r="D14832" s="787">
        <v>6.98</v>
      </c>
      <c r="E14832" s="787">
        <v>67.569999999999993</v>
      </c>
      <c r="F14832" s="788">
        <v>39101</v>
      </c>
      <c r="G14832" s="788">
        <v>40725</v>
      </c>
      <c r="H14832" s="787">
        <v>1</v>
      </c>
      <c r="I14832" s="788">
        <v>40921</v>
      </c>
      <c r="J14832" s="788">
        <v>40728</v>
      </c>
      <c r="L14832" s="787">
        <v>38.619999999999997</v>
      </c>
      <c r="M14832" s="787">
        <v>20</v>
      </c>
      <c r="N14832" s="787">
        <v>41.52</v>
      </c>
      <c r="O14832" s="788">
        <v>41858</v>
      </c>
    </row>
    <row r="14833" spans="1:15" x14ac:dyDescent="0.25">
      <c r="A14833" s="786" t="s">
        <v>26883</v>
      </c>
      <c r="B14833" s="787">
        <v>4</v>
      </c>
      <c r="C14833" s="787" t="s">
        <v>26884</v>
      </c>
      <c r="D14833" s="787">
        <v>8.65</v>
      </c>
      <c r="E14833" s="787">
        <v>48.65</v>
      </c>
      <c r="F14833" s="788">
        <v>37642</v>
      </c>
      <c r="G14833" s="788">
        <v>37642</v>
      </c>
      <c r="H14833" s="787">
        <v>1</v>
      </c>
      <c r="I14833" s="788">
        <v>37924</v>
      </c>
      <c r="J14833" s="788">
        <v>37642</v>
      </c>
      <c r="L14833" s="787">
        <v>53.03</v>
      </c>
      <c r="M14833" s="787">
        <v>20</v>
      </c>
      <c r="N14833" s="787">
        <v>57.01</v>
      </c>
      <c r="O14833" s="788">
        <v>41858</v>
      </c>
    </row>
    <row r="14834" spans="1:15" x14ac:dyDescent="0.25">
      <c r="A14834" s="786" t="s">
        <v>26885</v>
      </c>
      <c r="B14834" s="787">
        <v>4</v>
      </c>
      <c r="C14834" s="787" t="s">
        <v>26886</v>
      </c>
      <c r="D14834" s="787">
        <v>4.5199999999999996</v>
      </c>
      <c r="E14834" s="787">
        <v>74.52</v>
      </c>
      <c r="F14834" s="788">
        <v>39101</v>
      </c>
      <c r="G14834" s="788">
        <v>39101</v>
      </c>
      <c r="H14834" s="787">
        <v>1</v>
      </c>
      <c r="I14834" s="788">
        <v>39134</v>
      </c>
      <c r="J14834" s="788">
        <v>39149</v>
      </c>
      <c r="L14834" s="787">
        <v>81.23</v>
      </c>
      <c r="M14834" s="787">
        <v>20</v>
      </c>
      <c r="N14834" s="787">
        <v>87.32</v>
      </c>
      <c r="O14834" s="788">
        <v>41858</v>
      </c>
    </row>
    <row r="14835" spans="1:15" x14ac:dyDescent="0.25">
      <c r="A14835" s="786" t="s">
        <v>26887</v>
      </c>
      <c r="B14835" s="787">
        <v>4</v>
      </c>
      <c r="C14835" s="787" t="s">
        <v>26888</v>
      </c>
      <c r="D14835" s="787">
        <v>7.72</v>
      </c>
      <c r="E14835" s="787">
        <v>71.14</v>
      </c>
      <c r="F14835" s="788">
        <v>40857</v>
      </c>
      <c r="G14835" s="788">
        <v>42013</v>
      </c>
      <c r="H14835" s="787">
        <v>1</v>
      </c>
      <c r="I14835" s="788">
        <v>42166</v>
      </c>
      <c r="J14835" s="788">
        <v>41886</v>
      </c>
      <c r="K14835" s="788">
        <v>41648</v>
      </c>
      <c r="L14835" s="787">
        <v>69.16</v>
      </c>
      <c r="M14835" s="787">
        <v>20</v>
      </c>
      <c r="N14835" s="787">
        <v>74.349999999999994</v>
      </c>
      <c r="O14835" s="788">
        <v>42164</v>
      </c>
    </row>
    <row r="14836" spans="1:15" x14ac:dyDescent="0.25">
      <c r="A14836" s="786" t="s">
        <v>26889</v>
      </c>
      <c r="B14836" s="787">
        <v>4</v>
      </c>
      <c r="C14836" s="787" t="s">
        <v>26890</v>
      </c>
      <c r="D14836" s="787">
        <v>4.3499999999999996</v>
      </c>
      <c r="E14836" s="787">
        <v>14.35</v>
      </c>
      <c r="F14836" s="788">
        <v>41789</v>
      </c>
      <c r="G14836" s="788">
        <v>41792</v>
      </c>
      <c r="H14836" s="787">
        <v>1</v>
      </c>
      <c r="I14836" s="788">
        <v>41803</v>
      </c>
      <c r="J14836" s="788">
        <v>41792</v>
      </c>
      <c r="K14836" s="788">
        <v>41778</v>
      </c>
      <c r="L14836" s="787">
        <v>14.35</v>
      </c>
      <c r="M14836" s="787">
        <v>20</v>
      </c>
      <c r="N14836" s="787">
        <v>15.43</v>
      </c>
      <c r="O14836" s="788">
        <v>41858</v>
      </c>
    </row>
    <row r="14837" spans="1:15" x14ac:dyDescent="0.25">
      <c r="A14837" s="786" t="s">
        <v>26891</v>
      </c>
      <c r="B14837" s="787">
        <v>4</v>
      </c>
      <c r="C14837" s="787" t="s">
        <v>26892</v>
      </c>
      <c r="D14837" s="787">
        <v>7.99</v>
      </c>
      <c r="E14837" s="787">
        <v>117.99</v>
      </c>
      <c r="F14837" s="788">
        <v>42101</v>
      </c>
      <c r="G14837" s="788">
        <v>42125</v>
      </c>
      <c r="H14837" s="787">
        <v>1</v>
      </c>
      <c r="I14837" s="788">
        <v>42136</v>
      </c>
      <c r="J14837" s="788">
        <v>42095</v>
      </c>
      <c r="K14837" s="788">
        <v>42143</v>
      </c>
      <c r="L14837" s="787">
        <v>116.9</v>
      </c>
      <c r="M14837" s="787">
        <v>20</v>
      </c>
      <c r="N14837" s="787">
        <v>0</v>
      </c>
    </row>
    <row r="14838" spans="1:15" x14ac:dyDescent="0.25">
      <c r="A14838" s="786" t="s">
        <v>26893</v>
      </c>
      <c r="B14838" s="787">
        <v>4</v>
      </c>
      <c r="C14838" s="787" t="s">
        <v>26894</v>
      </c>
      <c r="D14838" s="787">
        <v>9.82</v>
      </c>
      <c r="E14838" s="787">
        <v>9.82</v>
      </c>
      <c r="F14838" s="788">
        <v>42101</v>
      </c>
      <c r="G14838" s="788">
        <v>42125</v>
      </c>
      <c r="H14838" s="787">
        <v>1</v>
      </c>
      <c r="I14838" s="788">
        <v>42136</v>
      </c>
      <c r="J14838" s="788">
        <v>42095</v>
      </c>
      <c r="K14838" s="788">
        <v>42143</v>
      </c>
      <c r="L14838" s="787">
        <v>9.73</v>
      </c>
      <c r="M14838" s="787">
        <v>20</v>
      </c>
      <c r="N14838" s="787">
        <v>0</v>
      </c>
    </row>
    <row r="14839" spans="1:15" x14ac:dyDescent="0.25">
      <c r="A14839" s="786" t="s">
        <v>26895</v>
      </c>
      <c r="B14839" s="787">
        <v>4</v>
      </c>
      <c r="C14839" s="787" t="s">
        <v>26896</v>
      </c>
      <c r="D14839" s="787">
        <v>0.84</v>
      </c>
      <c r="E14839" s="787">
        <v>420.84</v>
      </c>
      <c r="F14839" s="788">
        <v>37642</v>
      </c>
      <c r="G14839" s="788">
        <v>37642</v>
      </c>
      <c r="H14839" s="787">
        <v>1</v>
      </c>
      <c r="I14839" s="788">
        <v>37284</v>
      </c>
      <c r="J14839" s="788">
        <v>37642</v>
      </c>
      <c r="L14839" s="787">
        <v>458.72</v>
      </c>
      <c r="M14839" s="787">
        <v>20</v>
      </c>
      <c r="N14839" s="787">
        <v>493.12</v>
      </c>
      <c r="O14839" s="788">
        <v>41858</v>
      </c>
    </row>
    <row r="14840" spans="1:15" x14ac:dyDescent="0.25">
      <c r="A14840" s="786" t="s">
        <v>26897</v>
      </c>
      <c r="B14840" s="787">
        <v>4</v>
      </c>
      <c r="C14840" s="787" t="s">
        <v>26898</v>
      </c>
      <c r="D14840" s="787">
        <v>3.95</v>
      </c>
      <c r="E14840" s="787">
        <v>15.52</v>
      </c>
      <c r="F14840" s="788">
        <v>41432</v>
      </c>
      <c r="G14840" s="788">
        <v>42046</v>
      </c>
      <c r="H14840" s="787">
        <v>1</v>
      </c>
      <c r="I14840" s="788">
        <v>42079</v>
      </c>
      <c r="J14840" s="788">
        <v>42037</v>
      </c>
      <c r="K14840" s="788">
        <v>42032</v>
      </c>
      <c r="L14840" s="787">
        <v>15.2</v>
      </c>
      <c r="M14840" s="787">
        <v>20</v>
      </c>
      <c r="N14840" s="787">
        <v>16.34</v>
      </c>
      <c r="O14840" s="788">
        <v>42032</v>
      </c>
    </row>
    <row r="14841" spans="1:15" x14ac:dyDescent="0.25">
      <c r="A14841" s="786" t="s">
        <v>26899</v>
      </c>
      <c r="B14841" s="787">
        <v>4</v>
      </c>
      <c r="C14841" s="787" t="s">
        <v>26900</v>
      </c>
      <c r="D14841" s="787">
        <v>1.71</v>
      </c>
      <c r="E14841" s="787">
        <v>191.71</v>
      </c>
      <c r="F14841" s="788">
        <v>39101</v>
      </c>
      <c r="G14841" s="788">
        <v>39101</v>
      </c>
      <c r="H14841" s="787">
        <v>1</v>
      </c>
      <c r="I14841" s="788">
        <v>39134</v>
      </c>
      <c r="J14841" s="788">
        <v>39149</v>
      </c>
      <c r="L14841" s="787">
        <v>179.63</v>
      </c>
      <c r="M14841" s="787">
        <v>20</v>
      </c>
      <c r="N14841" s="787">
        <v>193.1</v>
      </c>
      <c r="O14841" s="788">
        <v>41858</v>
      </c>
    </row>
    <row r="14842" spans="1:15" x14ac:dyDescent="0.25">
      <c r="A14842" s="786" t="s">
        <v>26901</v>
      </c>
      <c r="B14842" s="787">
        <v>4</v>
      </c>
      <c r="C14842" s="787" t="s">
        <v>26902</v>
      </c>
      <c r="D14842" s="787">
        <v>3.16</v>
      </c>
      <c r="E14842" s="787">
        <v>143.16</v>
      </c>
      <c r="F14842" s="788">
        <v>38047</v>
      </c>
      <c r="G14842" s="788">
        <v>38047</v>
      </c>
      <c r="H14842" s="787">
        <v>1</v>
      </c>
      <c r="I14842" s="788">
        <v>40511</v>
      </c>
      <c r="J14842" s="788">
        <v>38047</v>
      </c>
      <c r="L14842" s="787">
        <v>156.04</v>
      </c>
      <c r="M14842" s="787">
        <v>20</v>
      </c>
      <c r="N14842" s="787">
        <v>167.74</v>
      </c>
      <c r="O14842" s="788">
        <v>41858</v>
      </c>
    </row>
    <row r="14843" spans="1:15" x14ac:dyDescent="0.25">
      <c r="A14843" s="786" t="s">
        <v>26903</v>
      </c>
      <c r="B14843" s="787">
        <v>4</v>
      </c>
      <c r="C14843" s="787" t="s">
        <v>26904</v>
      </c>
      <c r="D14843" s="787">
        <v>5.2</v>
      </c>
      <c r="E14843" s="787">
        <v>85.2</v>
      </c>
      <c r="F14843" s="788">
        <v>41499</v>
      </c>
      <c r="G14843" s="788">
        <v>41891</v>
      </c>
      <c r="H14843" s="787">
        <v>1</v>
      </c>
      <c r="I14843" s="788">
        <v>41660</v>
      </c>
      <c r="J14843" s="788">
        <v>41891</v>
      </c>
      <c r="K14843" s="788">
        <v>41890</v>
      </c>
      <c r="L14843" s="787">
        <v>102.4</v>
      </c>
      <c r="M14843" s="787">
        <v>20</v>
      </c>
      <c r="N14843" s="787">
        <v>91.59</v>
      </c>
      <c r="O14843" s="788">
        <v>41858</v>
      </c>
    </row>
    <row r="14844" spans="1:15" x14ac:dyDescent="0.25">
      <c r="A14844" s="786" t="s">
        <v>26905</v>
      </c>
      <c r="B14844" s="787">
        <v>4</v>
      </c>
      <c r="C14844" s="787" t="s">
        <v>26906</v>
      </c>
      <c r="D14844" s="787">
        <v>5.92</v>
      </c>
      <c r="E14844" s="787">
        <v>165.92</v>
      </c>
      <c r="F14844" s="788">
        <v>39101</v>
      </c>
      <c r="G14844" s="788">
        <v>39101</v>
      </c>
      <c r="H14844" s="787">
        <v>1</v>
      </c>
      <c r="I14844" s="788">
        <v>40711</v>
      </c>
      <c r="J14844" s="788">
        <v>39101</v>
      </c>
      <c r="L14844" s="787">
        <v>180.85</v>
      </c>
      <c r="M14844" s="787">
        <v>20</v>
      </c>
      <c r="N14844" s="787">
        <v>194.41</v>
      </c>
      <c r="O14844" s="788">
        <v>41858</v>
      </c>
    </row>
    <row r="14845" spans="1:15" x14ac:dyDescent="0.25">
      <c r="A14845" s="786" t="s">
        <v>26907</v>
      </c>
      <c r="B14845" s="787">
        <v>4</v>
      </c>
      <c r="C14845" s="787" t="s">
        <v>26908</v>
      </c>
      <c r="D14845" s="787">
        <v>0</v>
      </c>
      <c r="E14845" s="787">
        <v>0</v>
      </c>
      <c r="H14845" s="787">
        <v>1</v>
      </c>
      <c r="I14845" s="788">
        <v>37123</v>
      </c>
      <c r="J14845" s="788">
        <v>37642</v>
      </c>
      <c r="L14845" s="787">
        <v>0</v>
      </c>
      <c r="M14845" s="787">
        <v>20</v>
      </c>
      <c r="N14845" s="787">
        <v>0</v>
      </c>
      <c r="O14845" s="788">
        <v>40824</v>
      </c>
    </row>
    <row r="14846" spans="1:15" x14ac:dyDescent="0.25">
      <c r="A14846" s="786" t="s">
        <v>26909</v>
      </c>
      <c r="B14846" s="787">
        <v>4</v>
      </c>
      <c r="C14846" s="787" t="s">
        <v>26910</v>
      </c>
      <c r="D14846" s="787">
        <v>2.98</v>
      </c>
      <c r="E14846" s="787">
        <v>69.430000000000007</v>
      </c>
      <c r="F14846" s="788">
        <v>41432</v>
      </c>
      <c r="G14846" s="788">
        <v>42046</v>
      </c>
      <c r="H14846" s="787">
        <v>1</v>
      </c>
      <c r="I14846" s="788">
        <v>42079</v>
      </c>
      <c r="J14846" s="788">
        <v>42039</v>
      </c>
      <c r="K14846" s="788">
        <v>42032</v>
      </c>
      <c r="L14846" s="787">
        <v>68</v>
      </c>
      <c r="M14846" s="787">
        <v>20</v>
      </c>
      <c r="N14846" s="787">
        <v>73.099999999999994</v>
      </c>
      <c r="O14846" s="788">
        <v>42032</v>
      </c>
    </row>
    <row r="14847" spans="1:15" x14ac:dyDescent="0.25">
      <c r="A14847" s="786" t="s">
        <v>26911</v>
      </c>
      <c r="B14847" s="787">
        <v>4</v>
      </c>
      <c r="C14847" s="787" t="s">
        <v>26912</v>
      </c>
      <c r="D14847" s="787">
        <v>4.62</v>
      </c>
      <c r="E14847" s="787">
        <v>84.62</v>
      </c>
      <c r="F14847" s="788">
        <v>39101</v>
      </c>
      <c r="G14847" s="788">
        <v>39101</v>
      </c>
      <c r="H14847" s="787">
        <v>6</v>
      </c>
      <c r="I14847" s="788">
        <v>39931</v>
      </c>
      <c r="J14847" s="788">
        <v>39101</v>
      </c>
      <c r="L14847" s="787">
        <v>92.24</v>
      </c>
      <c r="M14847" s="787">
        <v>20</v>
      </c>
      <c r="N14847" s="787">
        <v>90.97</v>
      </c>
      <c r="O14847" s="788">
        <v>41814</v>
      </c>
    </row>
    <row r="14848" spans="1:15" x14ac:dyDescent="0.25">
      <c r="A14848" s="786" t="s">
        <v>26913</v>
      </c>
      <c r="B14848" s="787">
        <v>4</v>
      </c>
      <c r="C14848" s="787" t="s">
        <v>26914</v>
      </c>
      <c r="D14848" s="787">
        <v>2.04</v>
      </c>
      <c r="E14848" s="787">
        <v>2.5499999999999998</v>
      </c>
      <c r="F14848" s="788">
        <v>39302</v>
      </c>
      <c r="G14848" s="788">
        <v>41282</v>
      </c>
      <c r="H14848" s="787">
        <v>1</v>
      </c>
      <c r="I14848" s="788">
        <v>40948</v>
      </c>
      <c r="J14848" s="788">
        <v>39896</v>
      </c>
      <c r="K14848" s="788">
        <v>41415</v>
      </c>
      <c r="L14848" s="787">
        <v>2.5</v>
      </c>
      <c r="M14848" s="787">
        <v>20</v>
      </c>
      <c r="N14848" s="787">
        <v>2.69</v>
      </c>
      <c r="O14848" s="788">
        <v>41858</v>
      </c>
    </row>
    <row r="14849" spans="1:15" x14ac:dyDescent="0.25">
      <c r="A14849" s="786" t="s">
        <v>26915</v>
      </c>
      <c r="B14849" s="787">
        <v>4</v>
      </c>
      <c r="C14849" s="787" t="s">
        <v>26916</v>
      </c>
      <c r="D14849" s="787">
        <v>3.02</v>
      </c>
      <c r="E14849" s="787">
        <v>3.02</v>
      </c>
      <c r="F14849" s="788">
        <v>39101</v>
      </c>
      <c r="G14849" s="788">
        <v>39101</v>
      </c>
      <c r="H14849" s="787">
        <v>1</v>
      </c>
      <c r="I14849" s="788">
        <v>40674</v>
      </c>
      <c r="J14849" s="788">
        <v>39101</v>
      </c>
      <c r="L14849" s="787">
        <v>3.07</v>
      </c>
      <c r="M14849" s="787">
        <v>10</v>
      </c>
      <c r="N14849" s="787">
        <v>4.29</v>
      </c>
      <c r="O14849" s="788">
        <v>41858</v>
      </c>
    </row>
    <row r="14850" spans="1:15" x14ac:dyDescent="0.25">
      <c r="A14850" s="786" t="s">
        <v>26917</v>
      </c>
      <c r="B14850" s="787">
        <v>4</v>
      </c>
      <c r="C14850" s="787" t="s">
        <v>26918</v>
      </c>
      <c r="D14850" s="787">
        <v>0.5</v>
      </c>
      <c r="E14850" s="787">
        <v>2.04</v>
      </c>
      <c r="F14850" s="788">
        <v>39456</v>
      </c>
      <c r="G14850" s="788">
        <v>42159</v>
      </c>
      <c r="H14850" s="787">
        <v>1</v>
      </c>
      <c r="I14850" s="788">
        <v>42165</v>
      </c>
      <c r="J14850" s="788">
        <v>42129</v>
      </c>
      <c r="L14850" s="787">
        <v>0.8</v>
      </c>
      <c r="M14850" s="787">
        <v>10</v>
      </c>
      <c r="N14850" s="787">
        <v>2.33</v>
      </c>
      <c r="O14850" s="788">
        <v>42164</v>
      </c>
    </row>
    <row r="14851" spans="1:15" x14ac:dyDescent="0.25">
      <c r="A14851" s="786" t="s">
        <v>26919</v>
      </c>
      <c r="B14851" s="787">
        <v>4</v>
      </c>
      <c r="C14851" s="787" t="s">
        <v>26920</v>
      </c>
      <c r="D14851" s="787">
        <v>4.78</v>
      </c>
      <c r="E14851" s="787">
        <v>4.78</v>
      </c>
      <c r="F14851" s="788">
        <v>39101</v>
      </c>
      <c r="G14851" s="788">
        <v>41255</v>
      </c>
      <c r="H14851" s="787">
        <v>1</v>
      </c>
      <c r="I14851" s="788">
        <v>40030</v>
      </c>
      <c r="J14851" s="788">
        <v>39149</v>
      </c>
      <c r="L14851" s="787">
        <v>0.33</v>
      </c>
      <c r="M14851" s="787">
        <v>10</v>
      </c>
      <c r="N14851" s="787">
        <v>0.46</v>
      </c>
      <c r="O14851" s="788">
        <v>41858</v>
      </c>
    </row>
    <row r="14852" spans="1:15" x14ac:dyDescent="0.25">
      <c r="A14852" s="786" t="s">
        <v>26921</v>
      </c>
      <c r="B14852" s="787">
        <v>4</v>
      </c>
      <c r="C14852" s="787" t="s">
        <v>26922</v>
      </c>
      <c r="D14852" s="787">
        <v>0.06</v>
      </c>
      <c r="E14852" s="787">
        <v>1.47</v>
      </c>
      <c r="F14852" s="788">
        <v>39456</v>
      </c>
      <c r="G14852" s="788">
        <v>42093</v>
      </c>
      <c r="H14852" s="787">
        <v>1</v>
      </c>
      <c r="I14852" s="788">
        <v>42150</v>
      </c>
      <c r="J14852" s="788">
        <v>42061</v>
      </c>
      <c r="L14852" s="787">
        <v>1.7</v>
      </c>
      <c r="M14852" s="787">
        <v>10</v>
      </c>
      <c r="N14852" s="787">
        <v>2.91</v>
      </c>
      <c r="O14852" s="788">
        <v>42164</v>
      </c>
    </row>
    <row r="14853" spans="1:15" x14ac:dyDescent="0.25">
      <c r="A14853" s="786" t="s">
        <v>26923</v>
      </c>
      <c r="B14853" s="787">
        <v>4</v>
      </c>
      <c r="C14853" s="787" t="s">
        <v>26924</v>
      </c>
      <c r="D14853" s="787">
        <v>0.94</v>
      </c>
      <c r="E14853" s="787">
        <v>2.88</v>
      </c>
      <c r="F14853" s="788">
        <v>39456</v>
      </c>
      <c r="G14853" s="788">
        <v>42013</v>
      </c>
      <c r="H14853" s="787">
        <v>1</v>
      </c>
      <c r="I14853" s="788">
        <v>41622</v>
      </c>
      <c r="J14853" s="788">
        <v>41743</v>
      </c>
      <c r="L14853" s="787">
        <v>1.02</v>
      </c>
      <c r="M14853" s="787">
        <v>10</v>
      </c>
      <c r="N14853" s="787">
        <v>3.24</v>
      </c>
      <c r="O14853" s="788">
        <v>42068</v>
      </c>
    </row>
    <row r="14854" spans="1:15" x14ac:dyDescent="0.25">
      <c r="A14854" s="786" t="s">
        <v>26925</v>
      </c>
      <c r="B14854" s="787">
        <v>4</v>
      </c>
      <c r="C14854" s="787" t="s">
        <v>26926</v>
      </c>
      <c r="D14854" s="787">
        <v>1.89</v>
      </c>
      <c r="E14854" s="787">
        <v>2.99</v>
      </c>
      <c r="F14854" s="788">
        <v>37642</v>
      </c>
      <c r="G14854" s="788">
        <v>41474</v>
      </c>
      <c r="H14854" s="787">
        <v>1</v>
      </c>
      <c r="I14854" s="788">
        <v>41422</v>
      </c>
      <c r="J14854" s="788">
        <v>41444</v>
      </c>
      <c r="L14854" s="787">
        <v>1.23</v>
      </c>
      <c r="M14854" s="787">
        <v>10</v>
      </c>
      <c r="N14854" s="787">
        <v>3.25</v>
      </c>
      <c r="O14854" s="788">
        <v>41858</v>
      </c>
    </row>
    <row r="14855" spans="1:15" x14ac:dyDescent="0.25">
      <c r="A14855" s="786" t="s">
        <v>26927</v>
      </c>
      <c r="B14855" s="787">
        <v>4</v>
      </c>
      <c r="C14855" s="787" t="s">
        <v>26928</v>
      </c>
      <c r="D14855" s="787">
        <v>1.61</v>
      </c>
      <c r="E14855" s="787">
        <v>1.61</v>
      </c>
      <c r="F14855" s="788">
        <v>37642</v>
      </c>
      <c r="G14855" s="788">
        <v>37642</v>
      </c>
      <c r="H14855" s="787">
        <v>1</v>
      </c>
      <c r="J14855" s="788">
        <v>37642</v>
      </c>
      <c r="L14855" s="787">
        <v>1.53</v>
      </c>
      <c r="M14855" s="787">
        <v>10</v>
      </c>
      <c r="N14855" s="787">
        <v>2.57</v>
      </c>
      <c r="O14855" s="788">
        <v>42083</v>
      </c>
    </row>
    <row r="14856" spans="1:15" x14ac:dyDescent="0.25">
      <c r="A14856" s="786" t="s">
        <v>26929</v>
      </c>
      <c r="B14856" s="787">
        <v>4</v>
      </c>
      <c r="C14856" s="787" t="s">
        <v>26930</v>
      </c>
      <c r="D14856" s="787">
        <v>1.33</v>
      </c>
      <c r="E14856" s="787">
        <v>4.79</v>
      </c>
      <c r="F14856" s="788">
        <v>38698</v>
      </c>
      <c r="G14856" s="788">
        <v>42013</v>
      </c>
      <c r="H14856" s="787">
        <v>1</v>
      </c>
      <c r="I14856" s="788">
        <v>42082</v>
      </c>
      <c r="J14856" s="788">
        <v>41438</v>
      </c>
      <c r="L14856" s="787">
        <v>2.09</v>
      </c>
      <c r="M14856" s="787">
        <v>10</v>
      </c>
      <c r="N14856" s="787">
        <v>4.54</v>
      </c>
      <c r="O14856" s="788">
        <v>42080</v>
      </c>
    </row>
    <row r="14857" spans="1:15" x14ac:dyDescent="0.25">
      <c r="A14857" s="786" t="s">
        <v>26931</v>
      </c>
      <c r="B14857" s="787">
        <v>4</v>
      </c>
      <c r="C14857" s="787" t="s">
        <v>26932</v>
      </c>
      <c r="D14857" s="787">
        <v>2.79</v>
      </c>
      <c r="E14857" s="787">
        <v>2.79</v>
      </c>
      <c r="F14857" s="788">
        <v>41134</v>
      </c>
      <c r="G14857" s="788">
        <v>41943</v>
      </c>
      <c r="H14857" s="787">
        <v>1</v>
      </c>
      <c r="I14857" s="788">
        <v>41422</v>
      </c>
      <c r="J14857" s="788">
        <v>41001</v>
      </c>
      <c r="L14857" s="787">
        <v>2.62</v>
      </c>
      <c r="M14857" s="787">
        <v>10</v>
      </c>
      <c r="N14857" s="787">
        <v>2.7</v>
      </c>
      <c r="O14857" s="788">
        <v>42068</v>
      </c>
    </row>
    <row r="14858" spans="1:15" x14ac:dyDescent="0.25">
      <c r="A14858" s="786" t="s">
        <v>26933</v>
      </c>
      <c r="B14858" s="787">
        <v>4</v>
      </c>
      <c r="C14858" s="787" t="s">
        <v>26926</v>
      </c>
      <c r="D14858" s="787">
        <v>4.3</v>
      </c>
      <c r="E14858" s="787">
        <v>4.3</v>
      </c>
      <c r="F14858" s="788">
        <v>37642</v>
      </c>
      <c r="G14858" s="788">
        <v>37642</v>
      </c>
      <c r="H14858" s="787">
        <v>1</v>
      </c>
      <c r="J14858" s="788">
        <v>37642</v>
      </c>
      <c r="K14858" s="788">
        <v>39265</v>
      </c>
      <c r="L14858" s="787">
        <v>4.3</v>
      </c>
      <c r="M14858" s="787">
        <v>10</v>
      </c>
      <c r="N14858" s="787">
        <v>23.73</v>
      </c>
      <c r="O14858" s="788">
        <v>42052</v>
      </c>
    </row>
    <row r="14859" spans="1:15" x14ac:dyDescent="0.25">
      <c r="A14859" s="786" t="s">
        <v>26934</v>
      </c>
      <c r="B14859" s="787">
        <v>4</v>
      </c>
      <c r="C14859" s="787" t="s">
        <v>26935</v>
      </c>
      <c r="D14859" s="787">
        <v>7</v>
      </c>
      <c r="E14859" s="787">
        <v>110.43</v>
      </c>
      <c r="F14859" s="788">
        <v>39752</v>
      </c>
      <c r="G14859" s="788">
        <v>42117</v>
      </c>
      <c r="H14859" s="787">
        <v>1</v>
      </c>
      <c r="I14859" s="788">
        <v>42150</v>
      </c>
      <c r="J14859" s="788">
        <v>42109</v>
      </c>
      <c r="L14859" s="787">
        <v>130.63999999999999</v>
      </c>
      <c r="M14859" s="787">
        <v>20</v>
      </c>
      <c r="N14859" s="787">
        <v>140.44</v>
      </c>
      <c r="O14859" s="788">
        <v>42164</v>
      </c>
    </row>
    <row r="14860" spans="1:15" x14ac:dyDescent="0.25">
      <c r="A14860" s="786" t="s">
        <v>26936</v>
      </c>
      <c r="B14860" s="787">
        <v>4</v>
      </c>
      <c r="C14860" s="787" t="s">
        <v>26937</v>
      </c>
      <c r="D14860" s="787">
        <v>4</v>
      </c>
      <c r="E14860" s="787">
        <v>4.13</v>
      </c>
      <c r="F14860" s="788">
        <v>40865</v>
      </c>
      <c r="G14860" s="788">
        <v>42118</v>
      </c>
      <c r="H14860" s="787">
        <v>1</v>
      </c>
      <c r="I14860" s="788">
        <v>42165</v>
      </c>
      <c r="J14860" s="788">
        <v>42109</v>
      </c>
      <c r="K14860" s="788">
        <v>41869</v>
      </c>
      <c r="L14860" s="787">
        <v>4.12</v>
      </c>
      <c r="M14860" s="787">
        <v>20</v>
      </c>
      <c r="N14860" s="787">
        <v>4.43</v>
      </c>
      <c r="O14860" s="788">
        <v>42164</v>
      </c>
    </row>
    <row r="14861" spans="1:15" x14ac:dyDescent="0.25">
      <c r="A14861" s="786" t="s">
        <v>26938</v>
      </c>
      <c r="B14861" s="787">
        <v>4</v>
      </c>
      <c r="C14861" s="787" t="s">
        <v>26939</v>
      </c>
      <c r="D14861" s="787">
        <v>5.32</v>
      </c>
      <c r="E14861" s="787">
        <v>5.7</v>
      </c>
      <c r="F14861" s="788">
        <v>40848</v>
      </c>
      <c r="G14861" s="788">
        <v>42156</v>
      </c>
      <c r="H14861" s="787">
        <v>1</v>
      </c>
      <c r="I14861" s="788">
        <v>42150</v>
      </c>
      <c r="J14861" s="788">
        <v>42145</v>
      </c>
      <c r="K14861" s="788">
        <v>41932</v>
      </c>
      <c r="L14861" s="787">
        <v>5.57</v>
      </c>
      <c r="M14861" s="787">
        <v>20</v>
      </c>
      <c r="N14861" s="787">
        <v>5.99</v>
      </c>
      <c r="O14861" s="788">
        <v>42164</v>
      </c>
    </row>
    <row r="14862" spans="1:15" x14ac:dyDescent="0.25">
      <c r="A14862" s="786" t="s">
        <v>26940</v>
      </c>
      <c r="B14862" s="787">
        <v>4</v>
      </c>
      <c r="C14862" s="787" t="s">
        <v>26941</v>
      </c>
      <c r="D14862" s="787">
        <v>0.33</v>
      </c>
      <c r="E14862" s="787">
        <v>90.33</v>
      </c>
      <c r="F14862" s="788">
        <v>40385</v>
      </c>
      <c r="G14862" s="788">
        <v>40553</v>
      </c>
      <c r="H14862" s="787">
        <v>1</v>
      </c>
      <c r="I14862" s="788">
        <v>40364</v>
      </c>
      <c r="J14862" s="788">
        <v>40365</v>
      </c>
      <c r="L14862" s="787">
        <v>90.33</v>
      </c>
      <c r="M14862" s="787">
        <v>20</v>
      </c>
      <c r="N14862" s="787">
        <v>97.1</v>
      </c>
      <c r="O14862" s="788">
        <v>41858</v>
      </c>
    </row>
    <row r="14863" spans="1:15" x14ac:dyDescent="0.25">
      <c r="A14863" s="786" t="s">
        <v>26942</v>
      </c>
      <c r="B14863" s="787">
        <v>4</v>
      </c>
      <c r="C14863" s="787" t="s">
        <v>26943</v>
      </c>
      <c r="D14863" s="787">
        <v>2.2000000000000002</v>
      </c>
      <c r="E14863" s="787">
        <v>2.3199999999999998</v>
      </c>
      <c r="F14863" s="788">
        <v>39721</v>
      </c>
      <c r="G14863" s="788">
        <v>42013</v>
      </c>
      <c r="H14863" s="787">
        <v>1</v>
      </c>
      <c r="I14863" s="788">
        <v>42150</v>
      </c>
      <c r="J14863" s="788">
        <v>41935</v>
      </c>
      <c r="K14863" s="788">
        <v>41932</v>
      </c>
      <c r="L14863" s="787">
        <v>2.31</v>
      </c>
      <c r="M14863" s="787">
        <v>20</v>
      </c>
      <c r="N14863" s="787">
        <v>2.48</v>
      </c>
      <c r="O14863" s="788">
        <v>42164</v>
      </c>
    </row>
    <row r="14864" spans="1:15" x14ac:dyDescent="0.25">
      <c r="A14864" s="786" t="s">
        <v>26944</v>
      </c>
      <c r="B14864" s="787">
        <v>4</v>
      </c>
      <c r="C14864" s="787" t="s">
        <v>26945</v>
      </c>
      <c r="D14864" s="787">
        <v>8.11</v>
      </c>
      <c r="E14864" s="787">
        <v>8.11</v>
      </c>
      <c r="F14864" s="788">
        <v>39800</v>
      </c>
      <c r="G14864" s="788">
        <v>39800</v>
      </c>
      <c r="H14864" s="787">
        <v>1</v>
      </c>
      <c r="I14864" s="788">
        <v>40596</v>
      </c>
      <c r="J14864" s="788">
        <v>39605</v>
      </c>
      <c r="K14864" s="788">
        <v>41869</v>
      </c>
      <c r="L14864" s="787">
        <v>8.11</v>
      </c>
      <c r="M14864" s="787">
        <v>20</v>
      </c>
      <c r="N14864" s="787">
        <v>8.7200000000000006</v>
      </c>
      <c r="O14864" s="788">
        <v>42164</v>
      </c>
    </row>
    <row r="14865" spans="1:15" x14ac:dyDescent="0.25">
      <c r="A14865" s="786" t="s">
        <v>26946</v>
      </c>
      <c r="B14865" s="787">
        <v>4</v>
      </c>
      <c r="C14865" s="787" t="s">
        <v>26947</v>
      </c>
      <c r="D14865" s="787">
        <v>1.58</v>
      </c>
      <c r="E14865" s="787">
        <v>13.85</v>
      </c>
      <c r="F14865" s="788">
        <v>39195</v>
      </c>
      <c r="G14865" s="788">
        <v>42158</v>
      </c>
      <c r="H14865" s="787">
        <v>1</v>
      </c>
      <c r="I14865" s="788">
        <v>42166</v>
      </c>
      <c r="J14865" s="788">
        <v>42158</v>
      </c>
      <c r="K14865" s="788">
        <v>42040</v>
      </c>
      <c r="L14865" s="787">
        <v>13.47</v>
      </c>
      <c r="M14865" s="787">
        <v>20</v>
      </c>
      <c r="N14865" s="787">
        <v>14.48</v>
      </c>
      <c r="O14865" s="788">
        <v>42164</v>
      </c>
    </row>
    <row r="14866" spans="1:15" x14ac:dyDescent="0.25">
      <c r="A14866" s="786" t="s">
        <v>26948</v>
      </c>
      <c r="B14866" s="787">
        <v>4</v>
      </c>
      <c r="C14866" s="787" t="s">
        <v>26949</v>
      </c>
      <c r="D14866" s="787">
        <v>6.31</v>
      </c>
      <c r="E14866" s="787">
        <v>26.31</v>
      </c>
      <c r="F14866" s="788">
        <v>39101</v>
      </c>
      <c r="G14866" s="788">
        <v>39101</v>
      </c>
      <c r="H14866" s="787">
        <v>1</v>
      </c>
      <c r="I14866" s="788">
        <v>40422</v>
      </c>
      <c r="J14866" s="788">
        <v>39101</v>
      </c>
      <c r="L14866" s="787">
        <v>26.31</v>
      </c>
      <c r="M14866" s="787">
        <v>20</v>
      </c>
      <c r="N14866" s="787">
        <v>28.28</v>
      </c>
      <c r="O14866" s="788">
        <v>41858</v>
      </c>
    </row>
    <row r="14867" spans="1:15" x14ac:dyDescent="0.25">
      <c r="A14867" s="786" t="s">
        <v>26950</v>
      </c>
      <c r="B14867" s="787">
        <v>4</v>
      </c>
      <c r="C14867" s="787" t="s">
        <v>26951</v>
      </c>
      <c r="D14867" s="787">
        <v>9.31</v>
      </c>
      <c r="E14867" s="787">
        <v>59.63</v>
      </c>
      <c r="F14867" s="788">
        <v>39318</v>
      </c>
      <c r="G14867" s="788">
        <v>40919</v>
      </c>
      <c r="H14867" s="787">
        <v>1</v>
      </c>
      <c r="I14867" s="788">
        <v>40442</v>
      </c>
      <c r="J14867" s="788">
        <v>39373</v>
      </c>
      <c r="K14867" s="788">
        <v>40906</v>
      </c>
      <c r="L14867" s="787">
        <v>59.63</v>
      </c>
      <c r="M14867" s="787">
        <v>20</v>
      </c>
      <c r="N14867" s="787">
        <v>64.099999999999994</v>
      </c>
      <c r="O14867" s="788">
        <v>41858</v>
      </c>
    </row>
    <row r="14868" spans="1:15" x14ac:dyDescent="0.25">
      <c r="A14868" s="786" t="s">
        <v>26952</v>
      </c>
      <c r="B14868" s="787">
        <v>4</v>
      </c>
      <c r="C14868" s="787" t="s">
        <v>26953</v>
      </c>
      <c r="D14868" s="787">
        <v>5.8</v>
      </c>
      <c r="E14868" s="787">
        <v>6.1</v>
      </c>
      <c r="F14868" s="788">
        <v>40954</v>
      </c>
      <c r="G14868" s="788">
        <v>42008</v>
      </c>
      <c r="H14868" s="787">
        <v>1</v>
      </c>
      <c r="I14868" s="788">
        <v>42165</v>
      </c>
      <c r="J14868" s="788">
        <v>41985</v>
      </c>
      <c r="K14868" s="788">
        <v>41261</v>
      </c>
      <c r="L14868" s="787">
        <v>5.81</v>
      </c>
      <c r="M14868" s="787">
        <v>20</v>
      </c>
      <c r="N14868" s="787">
        <v>6.25</v>
      </c>
      <c r="O14868" s="788">
        <v>42083</v>
      </c>
    </row>
    <row r="14869" spans="1:15" x14ac:dyDescent="0.25">
      <c r="A14869" s="786" t="s">
        <v>26954</v>
      </c>
      <c r="B14869" s="787">
        <v>4</v>
      </c>
      <c r="C14869" s="787" t="s">
        <v>26955</v>
      </c>
      <c r="D14869" s="787">
        <v>1.56</v>
      </c>
      <c r="E14869" s="787">
        <v>121.56</v>
      </c>
      <c r="F14869" s="788">
        <v>38047</v>
      </c>
      <c r="G14869" s="788">
        <v>38047</v>
      </c>
      <c r="H14869" s="787">
        <v>6</v>
      </c>
      <c r="I14869" s="788">
        <v>40772</v>
      </c>
      <c r="J14869" s="788">
        <v>39101</v>
      </c>
      <c r="L14869" s="787">
        <v>132.5</v>
      </c>
      <c r="M14869" s="787">
        <v>20</v>
      </c>
      <c r="N14869" s="787">
        <v>130.68</v>
      </c>
      <c r="O14869" s="788">
        <v>41806</v>
      </c>
    </row>
    <row r="14870" spans="1:15" x14ac:dyDescent="0.25">
      <c r="A14870" s="786" t="s">
        <v>26956</v>
      </c>
      <c r="B14870" s="787">
        <v>4</v>
      </c>
      <c r="C14870" s="787" t="s">
        <v>26957</v>
      </c>
      <c r="D14870" s="787">
        <v>0</v>
      </c>
      <c r="E14870" s="787">
        <v>0</v>
      </c>
      <c r="H14870" s="787">
        <v>1</v>
      </c>
      <c r="L14870" s="787">
        <v>0</v>
      </c>
      <c r="M14870" s="787">
        <v>20</v>
      </c>
      <c r="N14870" s="787">
        <v>0</v>
      </c>
      <c r="O14870" s="788">
        <v>40824</v>
      </c>
    </row>
    <row r="14871" spans="1:15" x14ac:dyDescent="0.25">
      <c r="A14871" s="786" t="s">
        <v>26958</v>
      </c>
      <c r="B14871" s="787">
        <v>4</v>
      </c>
      <c r="C14871" s="787" t="s">
        <v>26957</v>
      </c>
      <c r="D14871" s="787">
        <v>0</v>
      </c>
      <c r="E14871" s="787">
        <v>0</v>
      </c>
      <c r="H14871" s="787">
        <v>1</v>
      </c>
      <c r="L14871" s="787">
        <v>0</v>
      </c>
      <c r="M14871" s="787">
        <v>20</v>
      </c>
      <c r="N14871" s="787">
        <v>0</v>
      </c>
      <c r="O14871" s="788">
        <v>40824</v>
      </c>
    </row>
    <row r="14872" spans="1:15" x14ac:dyDescent="0.25">
      <c r="A14872" s="786" t="s">
        <v>26959</v>
      </c>
      <c r="B14872" s="787">
        <v>4</v>
      </c>
      <c r="C14872" s="787" t="s">
        <v>26957</v>
      </c>
      <c r="D14872" s="787">
        <v>0</v>
      </c>
      <c r="E14872" s="787">
        <v>0</v>
      </c>
      <c r="H14872" s="787">
        <v>1</v>
      </c>
      <c r="L14872" s="787">
        <v>0</v>
      </c>
      <c r="M14872" s="787">
        <v>20</v>
      </c>
      <c r="N14872" s="787">
        <v>0</v>
      </c>
      <c r="O14872" s="788">
        <v>40824</v>
      </c>
    </row>
    <row r="14873" spans="1:15" x14ac:dyDescent="0.25">
      <c r="A14873" s="786" t="s">
        <v>26960</v>
      </c>
      <c r="B14873" s="787">
        <v>4</v>
      </c>
      <c r="C14873" s="787" t="s">
        <v>26961</v>
      </c>
      <c r="D14873" s="787">
        <v>0</v>
      </c>
      <c r="E14873" s="787">
        <v>0</v>
      </c>
      <c r="H14873" s="787">
        <v>6</v>
      </c>
      <c r="L14873" s="787">
        <v>1</v>
      </c>
      <c r="M14873" s="787">
        <v>20</v>
      </c>
      <c r="N14873" s="787">
        <v>1.08</v>
      </c>
      <c r="O14873" s="788">
        <v>41806</v>
      </c>
    </row>
    <row r="14874" spans="1:15" x14ac:dyDescent="0.25">
      <c r="A14874" s="786" t="s">
        <v>26962</v>
      </c>
      <c r="B14874" s="787">
        <v>4</v>
      </c>
      <c r="C14874" s="787" t="s">
        <v>26963</v>
      </c>
      <c r="D14874" s="787">
        <v>0</v>
      </c>
      <c r="E14874" s="787">
        <v>0</v>
      </c>
      <c r="H14874" s="787">
        <v>6</v>
      </c>
      <c r="L14874" s="787">
        <v>1</v>
      </c>
      <c r="M14874" s="787">
        <v>20</v>
      </c>
      <c r="N14874" s="787">
        <v>1.08</v>
      </c>
      <c r="O14874" s="788">
        <v>41806</v>
      </c>
    </row>
    <row r="14875" spans="1:15" x14ac:dyDescent="0.25">
      <c r="A14875" s="786" t="s">
        <v>26964</v>
      </c>
      <c r="B14875" s="787">
        <v>4</v>
      </c>
      <c r="C14875" s="787" t="s">
        <v>26965</v>
      </c>
      <c r="D14875" s="787">
        <v>0</v>
      </c>
      <c r="E14875" s="787">
        <v>0</v>
      </c>
      <c r="F14875" s="788">
        <v>39800</v>
      </c>
      <c r="H14875" s="787">
        <v>1</v>
      </c>
      <c r="I14875" s="788">
        <v>39723</v>
      </c>
      <c r="L14875" s="787">
        <v>0</v>
      </c>
      <c r="M14875" s="787">
        <v>20</v>
      </c>
      <c r="N14875" s="787">
        <v>0</v>
      </c>
      <c r="O14875" s="788">
        <v>40824</v>
      </c>
    </row>
    <row r="14876" spans="1:15" x14ac:dyDescent="0.25">
      <c r="A14876" s="786" t="s">
        <v>26966</v>
      </c>
      <c r="B14876" s="787">
        <v>4</v>
      </c>
      <c r="C14876" s="787" t="s">
        <v>26967</v>
      </c>
      <c r="D14876" s="787">
        <v>0</v>
      </c>
      <c r="E14876" s="787">
        <v>0</v>
      </c>
      <c r="H14876" s="787">
        <v>1</v>
      </c>
      <c r="L14876" s="787">
        <v>433.46</v>
      </c>
      <c r="M14876" s="787">
        <v>20</v>
      </c>
      <c r="N14876" s="787">
        <v>465.97</v>
      </c>
      <c r="O14876" s="788">
        <v>41858</v>
      </c>
    </row>
    <row r="14877" spans="1:15" x14ac:dyDescent="0.25">
      <c r="A14877" s="786" t="s">
        <v>26968</v>
      </c>
      <c r="B14877" s="787">
        <v>4</v>
      </c>
      <c r="C14877" s="787" t="s">
        <v>26969</v>
      </c>
      <c r="D14877" s="787">
        <v>0</v>
      </c>
      <c r="E14877" s="787">
        <v>11.7</v>
      </c>
      <c r="H14877" s="787">
        <v>6</v>
      </c>
      <c r="I14877" s="788">
        <v>41836</v>
      </c>
      <c r="J14877" s="788">
        <v>39457</v>
      </c>
      <c r="K14877" s="788">
        <v>41869</v>
      </c>
      <c r="L14877" s="787">
        <v>7.54</v>
      </c>
      <c r="M14877" s="787">
        <v>20</v>
      </c>
      <c r="N14877" s="787">
        <v>12.58</v>
      </c>
      <c r="O14877" s="788">
        <v>41858</v>
      </c>
    </row>
    <row r="14878" spans="1:15" x14ac:dyDescent="0.25">
      <c r="A14878" s="786" t="s">
        <v>26970</v>
      </c>
      <c r="B14878" s="787">
        <v>4</v>
      </c>
      <c r="C14878" s="787" t="s">
        <v>26971</v>
      </c>
      <c r="D14878" s="787">
        <v>1.99</v>
      </c>
      <c r="E14878" s="787">
        <v>11.99</v>
      </c>
      <c r="F14878" s="788">
        <v>41081</v>
      </c>
      <c r="G14878" s="788">
        <v>41081</v>
      </c>
      <c r="H14878" s="787">
        <v>1</v>
      </c>
      <c r="I14878" s="788">
        <v>41878</v>
      </c>
      <c r="J14878" s="788">
        <v>41578</v>
      </c>
      <c r="K14878" s="788">
        <v>41068</v>
      </c>
      <c r="L14878" s="787">
        <v>11.24</v>
      </c>
      <c r="M14878" s="787">
        <v>20</v>
      </c>
      <c r="N14878" s="787">
        <v>12.08</v>
      </c>
      <c r="O14878" s="788">
        <v>41989</v>
      </c>
    </row>
    <row r="14879" spans="1:15" x14ac:dyDescent="0.25">
      <c r="A14879" s="786" t="s">
        <v>26972</v>
      </c>
      <c r="B14879" s="787">
        <v>4</v>
      </c>
      <c r="C14879" s="787" t="s">
        <v>26973</v>
      </c>
      <c r="D14879" s="787">
        <v>8.2799999999999994</v>
      </c>
      <c r="E14879" s="787">
        <v>19.87</v>
      </c>
      <c r="F14879" s="788">
        <v>41085</v>
      </c>
      <c r="G14879" s="788">
        <v>42158</v>
      </c>
      <c r="H14879" s="787">
        <v>1</v>
      </c>
      <c r="I14879" s="788">
        <v>42165</v>
      </c>
      <c r="J14879" s="788">
        <v>42158</v>
      </c>
      <c r="K14879" s="788">
        <v>42166</v>
      </c>
      <c r="L14879" s="787">
        <v>24.4</v>
      </c>
      <c r="M14879" s="787">
        <v>20</v>
      </c>
      <c r="N14879" s="787">
        <v>18.71</v>
      </c>
      <c r="O14879" s="788">
        <v>41858</v>
      </c>
    </row>
    <row r="14880" spans="1:15" x14ac:dyDescent="0.25">
      <c r="A14880" s="786" t="s">
        <v>26974</v>
      </c>
      <c r="B14880" s="787">
        <v>4</v>
      </c>
      <c r="C14880" s="787" t="s">
        <v>26975</v>
      </c>
      <c r="D14880" s="787">
        <v>0</v>
      </c>
      <c r="E14880" s="787">
        <v>0</v>
      </c>
      <c r="H14880" s="787">
        <v>6</v>
      </c>
      <c r="L14880" s="787">
        <v>19.5</v>
      </c>
      <c r="M14880" s="787">
        <v>20</v>
      </c>
      <c r="N14880" s="787">
        <v>20.96</v>
      </c>
      <c r="O14880" s="788">
        <v>41543</v>
      </c>
    </row>
    <row r="14881" spans="1:15" x14ac:dyDescent="0.25">
      <c r="A14881" s="786" t="s">
        <v>26976</v>
      </c>
      <c r="B14881" s="787">
        <v>4</v>
      </c>
      <c r="C14881" s="787" t="s">
        <v>26975</v>
      </c>
      <c r="D14881" s="787">
        <v>0</v>
      </c>
      <c r="E14881" s="787">
        <v>0</v>
      </c>
      <c r="H14881" s="787">
        <v>6</v>
      </c>
      <c r="L14881" s="787">
        <v>80</v>
      </c>
      <c r="M14881" s="787">
        <v>20</v>
      </c>
      <c r="N14881" s="787">
        <v>86</v>
      </c>
      <c r="O14881" s="788">
        <v>41543</v>
      </c>
    </row>
    <row r="14882" spans="1:15" x14ac:dyDescent="0.25">
      <c r="A14882" s="786" t="s">
        <v>26977</v>
      </c>
      <c r="B14882" s="787">
        <v>4</v>
      </c>
      <c r="C14882" s="787" t="s">
        <v>26978</v>
      </c>
      <c r="D14882" s="787">
        <v>0</v>
      </c>
      <c r="E14882" s="787">
        <v>0</v>
      </c>
      <c r="H14882" s="787">
        <v>1</v>
      </c>
      <c r="L14882" s="787">
        <v>35</v>
      </c>
      <c r="M14882" s="787">
        <v>20</v>
      </c>
      <c r="N14882" s="787">
        <v>37.630000000000003</v>
      </c>
      <c r="O14882" s="788">
        <v>41858</v>
      </c>
    </row>
    <row r="14883" spans="1:15" x14ac:dyDescent="0.25">
      <c r="A14883" s="786" t="s">
        <v>26979</v>
      </c>
      <c r="B14883" s="787">
        <v>4</v>
      </c>
      <c r="C14883" s="787" t="s">
        <v>26980</v>
      </c>
      <c r="D14883" s="787">
        <v>0</v>
      </c>
      <c r="E14883" s="787">
        <v>0</v>
      </c>
      <c r="H14883" s="787">
        <v>1</v>
      </c>
      <c r="K14883" s="788">
        <v>41450</v>
      </c>
      <c r="L14883" s="787">
        <v>12.85</v>
      </c>
      <c r="M14883" s="787">
        <v>20</v>
      </c>
      <c r="N14883" s="787">
        <v>13.81</v>
      </c>
      <c r="O14883" s="788">
        <v>41858</v>
      </c>
    </row>
    <row r="14884" spans="1:15" x14ac:dyDescent="0.25">
      <c r="A14884" s="786" t="s">
        <v>26981</v>
      </c>
      <c r="B14884" s="787">
        <v>4</v>
      </c>
      <c r="C14884" s="787" t="s">
        <v>26982</v>
      </c>
      <c r="D14884" s="787">
        <v>1.64</v>
      </c>
      <c r="E14884" s="787">
        <v>21.64</v>
      </c>
      <c r="F14884" s="788">
        <v>41886</v>
      </c>
      <c r="G14884" s="788">
        <v>41978</v>
      </c>
      <c r="H14884" s="787">
        <v>1</v>
      </c>
      <c r="I14884" s="788">
        <v>41960</v>
      </c>
      <c r="J14884" s="788">
        <v>41960</v>
      </c>
      <c r="K14884" s="788">
        <v>41450</v>
      </c>
      <c r="L14884" s="787">
        <v>10.24</v>
      </c>
      <c r="M14884" s="787">
        <v>20</v>
      </c>
      <c r="N14884" s="787">
        <v>11.01</v>
      </c>
      <c r="O14884" s="788">
        <v>41858</v>
      </c>
    </row>
    <row r="14885" spans="1:15" x14ac:dyDescent="0.25">
      <c r="A14885" s="786" t="s">
        <v>26983</v>
      </c>
      <c r="B14885" s="787">
        <v>4</v>
      </c>
      <c r="C14885" s="787" t="s">
        <v>26984</v>
      </c>
      <c r="D14885" s="787">
        <v>0</v>
      </c>
      <c r="E14885" s="787">
        <v>0</v>
      </c>
      <c r="H14885" s="787">
        <v>1</v>
      </c>
      <c r="K14885" s="788">
        <v>41450</v>
      </c>
      <c r="L14885" s="787">
        <v>15.4</v>
      </c>
      <c r="M14885" s="787">
        <v>20</v>
      </c>
      <c r="N14885" s="787">
        <v>16.559999999999999</v>
      </c>
      <c r="O14885" s="788">
        <v>41858</v>
      </c>
    </row>
    <row r="14886" spans="1:15" x14ac:dyDescent="0.25">
      <c r="A14886" s="786" t="s">
        <v>26985</v>
      </c>
      <c r="B14886" s="787">
        <v>4</v>
      </c>
      <c r="C14886" s="787" t="s">
        <v>26986</v>
      </c>
      <c r="D14886" s="787">
        <v>8.48</v>
      </c>
      <c r="E14886" s="787">
        <v>21.25</v>
      </c>
      <c r="F14886" s="788">
        <v>41780</v>
      </c>
      <c r="G14886" s="788">
        <v>41869</v>
      </c>
      <c r="H14886" s="787">
        <v>1</v>
      </c>
      <c r="I14886" s="788">
        <v>41850</v>
      </c>
      <c r="J14886" s="788">
        <v>41842</v>
      </c>
      <c r="K14886" s="788">
        <v>42030</v>
      </c>
      <c r="L14886" s="787">
        <v>18.79</v>
      </c>
      <c r="M14886" s="787">
        <v>20</v>
      </c>
      <c r="N14886" s="787">
        <v>20.2</v>
      </c>
      <c r="O14886" s="788">
        <v>42030</v>
      </c>
    </row>
    <row r="14887" spans="1:15" x14ac:dyDescent="0.25">
      <c r="A14887" s="786" t="s">
        <v>26987</v>
      </c>
      <c r="B14887" s="787">
        <v>4</v>
      </c>
      <c r="C14887" s="787" t="s">
        <v>26988</v>
      </c>
      <c r="D14887" s="787">
        <v>4.09</v>
      </c>
      <c r="E14887" s="787">
        <v>14.09</v>
      </c>
      <c r="F14887" s="788">
        <v>41792</v>
      </c>
      <c r="G14887" s="788">
        <v>41786</v>
      </c>
      <c r="H14887" s="787">
        <v>1</v>
      </c>
      <c r="I14887" s="788">
        <v>41794</v>
      </c>
      <c r="J14887" s="788">
        <v>41786</v>
      </c>
      <c r="K14887" s="788">
        <v>41786</v>
      </c>
      <c r="L14887" s="787">
        <v>14.1</v>
      </c>
      <c r="M14887" s="787">
        <v>20</v>
      </c>
      <c r="N14887" s="787">
        <v>15.16</v>
      </c>
      <c r="O14887" s="788">
        <v>41858</v>
      </c>
    </row>
    <row r="14888" spans="1:15" x14ac:dyDescent="0.25">
      <c r="A14888" s="786" t="s">
        <v>26989</v>
      </c>
      <c r="B14888" s="787">
        <v>4</v>
      </c>
      <c r="C14888" s="787" t="s">
        <v>26990</v>
      </c>
      <c r="D14888" s="787">
        <v>1.2</v>
      </c>
      <c r="E14888" s="787">
        <v>336.2</v>
      </c>
      <c r="F14888" s="788">
        <v>37645</v>
      </c>
      <c r="G14888" s="788">
        <v>37725</v>
      </c>
      <c r="H14888" s="787">
        <v>6</v>
      </c>
      <c r="I14888" s="788">
        <v>39800</v>
      </c>
      <c r="J14888" s="788">
        <v>37698</v>
      </c>
      <c r="L14888" s="787">
        <v>366.46</v>
      </c>
      <c r="M14888" s="787">
        <v>20</v>
      </c>
      <c r="N14888" s="787">
        <v>361.42</v>
      </c>
      <c r="O14888" s="788">
        <v>41806</v>
      </c>
    </row>
    <row r="14889" spans="1:15" x14ac:dyDescent="0.25">
      <c r="A14889" s="786" t="s">
        <v>26991</v>
      </c>
      <c r="B14889" s="787">
        <v>4</v>
      </c>
      <c r="C14889" s="787" t="s">
        <v>26992</v>
      </c>
      <c r="D14889" s="787">
        <v>9.18</v>
      </c>
      <c r="E14889" s="787">
        <v>387.2</v>
      </c>
      <c r="F14889" s="788">
        <v>37642</v>
      </c>
      <c r="G14889" s="788">
        <v>37725</v>
      </c>
      <c r="H14889" s="787">
        <v>6</v>
      </c>
      <c r="I14889" s="788">
        <v>39800</v>
      </c>
      <c r="J14889" s="788">
        <v>37698</v>
      </c>
      <c r="L14889" s="787">
        <v>422.05</v>
      </c>
      <c r="M14889" s="787">
        <v>20</v>
      </c>
      <c r="N14889" s="787">
        <v>416.24</v>
      </c>
      <c r="O14889" s="788">
        <v>41806</v>
      </c>
    </row>
    <row r="14890" spans="1:15" x14ac:dyDescent="0.25">
      <c r="A14890" s="786" t="s">
        <v>26993</v>
      </c>
      <c r="B14890" s="787">
        <v>4</v>
      </c>
      <c r="C14890" s="787" t="s">
        <v>26994</v>
      </c>
      <c r="D14890" s="787">
        <v>7.15</v>
      </c>
      <c r="E14890" s="787">
        <v>178.59</v>
      </c>
      <c r="F14890" s="788">
        <v>41913</v>
      </c>
      <c r="G14890" s="788">
        <v>42006</v>
      </c>
      <c r="H14890" s="787">
        <v>1</v>
      </c>
      <c r="I14890" s="788">
        <v>42166</v>
      </c>
      <c r="J14890" s="788">
        <v>42152</v>
      </c>
      <c r="L14890" s="787">
        <v>186.94</v>
      </c>
      <c r="M14890" s="787">
        <v>10</v>
      </c>
      <c r="N14890" s="787">
        <v>179.39</v>
      </c>
      <c r="O14890" s="788">
        <v>42164</v>
      </c>
    </row>
    <row r="14891" spans="1:15" x14ac:dyDescent="0.25">
      <c r="A14891" s="786" t="s">
        <v>26995</v>
      </c>
      <c r="B14891" s="787">
        <v>4</v>
      </c>
      <c r="C14891" s="787" t="s">
        <v>26996</v>
      </c>
      <c r="D14891" s="787">
        <v>8.5</v>
      </c>
      <c r="E14891" s="787">
        <v>48.5</v>
      </c>
      <c r="F14891" s="788">
        <v>40519</v>
      </c>
      <c r="G14891" s="788">
        <v>41646</v>
      </c>
      <c r="H14891" s="787">
        <v>1</v>
      </c>
      <c r="I14891" s="788">
        <v>42090</v>
      </c>
      <c r="J14891" s="788">
        <v>40520</v>
      </c>
      <c r="K14891" s="788">
        <v>41808</v>
      </c>
      <c r="L14891" s="787">
        <v>48.5</v>
      </c>
      <c r="M14891" s="787">
        <v>20</v>
      </c>
      <c r="N14891" s="787">
        <v>52.14</v>
      </c>
      <c r="O14891" s="788">
        <v>41858</v>
      </c>
    </row>
    <row r="14892" spans="1:15" x14ac:dyDescent="0.25">
      <c r="A14892" s="786" t="s">
        <v>26997</v>
      </c>
      <c r="B14892" s="787">
        <v>4</v>
      </c>
      <c r="C14892" s="787" t="s">
        <v>26998</v>
      </c>
      <c r="D14892" s="787">
        <v>0</v>
      </c>
      <c r="E14892" s="787">
        <v>0</v>
      </c>
      <c r="H14892" s="787">
        <v>1</v>
      </c>
      <c r="K14892" s="788">
        <v>41415</v>
      </c>
      <c r="L14892" s="787">
        <v>93.7</v>
      </c>
      <c r="M14892" s="787">
        <v>20</v>
      </c>
      <c r="N14892" s="787">
        <v>100.73</v>
      </c>
      <c r="O14892" s="788">
        <v>41858</v>
      </c>
    </row>
    <row r="14893" spans="1:15" x14ac:dyDescent="0.25">
      <c r="A14893" s="786" t="s">
        <v>26999</v>
      </c>
      <c r="B14893" s="787">
        <v>4</v>
      </c>
      <c r="C14893" s="787" t="s">
        <v>27000</v>
      </c>
      <c r="D14893" s="787">
        <v>9.5399999999999991</v>
      </c>
      <c r="E14893" s="787">
        <v>9.5399999999999991</v>
      </c>
      <c r="F14893" s="788">
        <v>41913</v>
      </c>
      <c r="G14893" s="788">
        <v>41922</v>
      </c>
      <c r="H14893" s="787">
        <v>1</v>
      </c>
      <c r="I14893" s="788">
        <v>41921</v>
      </c>
      <c r="J14893" s="788">
        <v>41911</v>
      </c>
      <c r="K14893" s="788">
        <v>41415</v>
      </c>
      <c r="L14893" s="787">
        <v>8.6999999999999993</v>
      </c>
      <c r="M14893" s="787">
        <v>20</v>
      </c>
      <c r="N14893" s="787">
        <v>9.35</v>
      </c>
      <c r="O14893" s="788">
        <v>41858</v>
      </c>
    </row>
    <row r="14894" spans="1:15" x14ac:dyDescent="0.25">
      <c r="A14894" s="786" t="s">
        <v>27001</v>
      </c>
      <c r="B14894" s="787">
        <v>4</v>
      </c>
      <c r="C14894" s="787" t="s">
        <v>27002</v>
      </c>
      <c r="D14894" s="787">
        <v>3.5</v>
      </c>
      <c r="E14894" s="787">
        <v>36.61</v>
      </c>
      <c r="F14894" s="788">
        <v>40954</v>
      </c>
      <c r="G14894" s="788">
        <v>42013</v>
      </c>
      <c r="H14894" s="787">
        <v>1</v>
      </c>
      <c r="I14894" s="788">
        <v>42111</v>
      </c>
      <c r="J14894" s="788">
        <v>41983</v>
      </c>
      <c r="K14894" s="788">
        <v>41261</v>
      </c>
      <c r="L14894" s="787">
        <v>34.6</v>
      </c>
      <c r="M14894" s="787">
        <v>20</v>
      </c>
      <c r="N14894" s="787">
        <v>37.200000000000003</v>
      </c>
      <c r="O14894" s="788">
        <v>42164</v>
      </c>
    </row>
    <row r="14895" spans="1:15" x14ac:dyDescent="0.25">
      <c r="A14895" s="786" t="s">
        <v>27003</v>
      </c>
      <c r="B14895" s="787">
        <v>4</v>
      </c>
      <c r="C14895" s="787" t="s">
        <v>27004</v>
      </c>
      <c r="D14895" s="787">
        <v>0</v>
      </c>
      <c r="E14895" s="787">
        <v>0</v>
      </c>
      <c r="H14895" s="787">
        <v>1</v>
      </c>
      <c r="I14895" s="788">
        <v>40737</v>
      </c>
      <c r="K14895" s="788">
        <v>41261</v>
      </c>
      <c r="L14895" s="787">
        <v>25.8</v>
      </c>
      <c r="M14895" s="787">
        <v>20</v>
      </c>
      <c r="N14895" s="787">
        <v>27.74</v>
      </c>
      <c r="O14895" s="788">
        <v>41858</v>
      </c>
    </row>
    <row r="14896" spans="1:15" x14ac:dyDescent="0.25">
      <c r="A14896" s="786" t="s">
        <v>27005</v>
      </c>
      <c r="B14896" s="787">
        <v>4</v>
      </c>
      <c r="C14896" s="787" t="s">
        <v>27006</v>
      </c>
      <c r="D14896" s="787">
        <v>9.4499999999999993</v>
      </c>
      <c r="E14896" s="787">
        <v>9.4499999999999993</v>
      </c>
      <c r="F14896" s="788">
        <v>40865</v>
      </c>
      <c r="G14896" s="788">
        <v>40861</v>
      </c>
      <c r="H14896" s="787">
        <v>1</v>
      </c>
      <c r="I14896" s="788">
        <v>41002</v>
      </c>
      <c r="J14896" s="788">
        <v>40861</v>
      </c>
      <c r="K14896" s="788">
        <v>40800</v>
      </c>
      <c r="L14896" s="787">
        <v>9.4499999999999993</v>
      </c>
      <c r="M14896" s="787">
        <v>20</v>
      </c>
      <c r="N14896" s="787">
        <v>10.16</v>
      </c>
      <c r="O14896" s="788">
        <v>41858</v>
      </c>
    </row>
    <row r="14897" spans="1:15" x14ac:dyDescent="0.25">
      <c r="A14897" s="786" t="s">
        <v>27007</v>
      </c>
      <c r="B14897" s="787">
        <v>4</v>
      </c>
      <c r="C14897" s="787" t="s">
        <v>27008</v>
      </c>
      <c r="D14897" s="787">
        <v>0</v>
      </c>
      <c r="E14897" s="787">
        <v>0</v>
      </c>
      <c r="H14897" s="787">
        <v>1</v>
      </c>
      <c r="K14897" s="788">
        <v>40800</v>
      </c>
      <c r="L14897" s="787">
        <v>12.55</v>
      </c>
      <c r="M14897" s="787">
        <v>20</v>
      </c>
      <c r="N14897" s="787">
        <v>13.49</v>
      </c>
      <c r="O14897" s="788">
        <v>41858</v>
      </c>
    </row>
    <row r="14898" spans="1:15" x14ac:dyDescent="0.25">
      <c r="A14898" s="786" t="s">
        <v>27009</v>
      </c>
      <c r="B14898" s="787">
        <v>4</v>
      </c>
      <c r="C14898" s="787" t="s">
        <v>27010</v>
      </c>
      <c r="D14898" s="787">
        <v>4.4400000000000004</v>
      </c>
      <c r="E14898" s="787">
        <v>193.33</v>
      </c>
      <c r="F14898" s="788">
        <v>41180</v>
      </c>
      <c r="G14898" s="788">
        <v>42116</v>
      </c>
      <c r="H14898" s="787">
        <v>1</v>
      </c>
      <c r="I14898" s="788">
        <v>42124</v>
      </c>
      <c r="J14898" s="788">
        <v>42087</v>
      </c>
      <c r="L14898" s="787">
        <v>1</v>
      </c>
      <c r="M14898" s="787">
        <v>10</v>
      </c>
      <c r="N14898" s="787">
        <v>196.15</v>
      </c>
      <c r="O14898" s="788">
        <v>42095</v>
      </c>
    </row>
    <row r="14899" spans="1:15" x14ac:dyDescent="0.25">
      <c r="A14899" s="786" t="s">
        <v>27011</v>
      </c>
      <c r="B14899" s="787">
        <v>4</v>
      </c>
      <c r="C14899" s="787" t="s">
        <v>27012</v>
      </c>
      <c r="D14899" s="787">
        <v>0</v>
      </c>
      <c r="E14899" s="787">
        <v>0</v>
      </c>
      <c r="H14899" s="787">
        <v>1</v>
      </c>
      <c r="L14899" s="787">
        <v>46</v>
      </c>
      <c r="M14899" s="787">
        <v>20</v>
      </c>
      <c r="N14899" s="787">
        <v>49.45</v>
      </c>
      <c r="O14899" s="788">
        <v>41858</v>
      </c>
    </row>
    <row r="14900" spans="1:15" x14ac:dyDescent="0.25">
      <c r="A14900" s="786" t="s">
        <v>27013</v>
      </c>
      <c r="B14900" s="787">
        <v>4</v>
      </c>
      <c r="C14900" s="787" t="s">
        <v>27012</v>
      </c>
      <c r="D14900" s="787">
        <v>0</v>
      </c>
      <c r="E14900" s="787">
        <v>0</v>
      </c>
      <c r="H14900" s="787">
        <v>1</v>
      </c>
      <c r="L14900" s="787">
        <v>46</v>
      </c>
      <c r="M14900" s="787">
        <v>20</v>
      </c>
      <c r="N14900" s="787">
        <v>49.45</v>
      </c>
      <c r="O14900" s="788">
        <v>41858</v>
      </c>
    </row>
    <row r="14901" spans="1:15" x14ac:dyDescent="0.25">
      <c r="A14901" s="786" t="s">
        <v>27014</v>
      </c>
      <c r="B14901" s="787">
        <v>4</v>
      </c>
      <c r="C14901" s="787" t="s">
        <v>27015</v>
      </c>
      <c r="D14901" s="787">
        <v>8.86</v>
      </c>
      <c r="E14901" s="787">
        <v>208.34</v>
      </c>
      <c r="F14901" s="788">
        <v>41913</v>
      </c>
      <c r="G14901" s="788">
        <v>42050</v>
      </c>
      <c r="H14901" s="787">
        <v>1</v>
      </c>
      <c r="I14901" s="788">
        <v>42045</v>
      </c>
      <c r="J14901" s="788">
        <v>42044</v>
      </c>
      <c r="K14901" s="788">
        <v>41437</v>
      </c>
      <c r="L14901" s="787">
        <v>173</v>
      </c>
      <c r="M14901" s="787">
        <v>20</v>
      </c>
      <c r="N14901" s="787">
        <v>185.98</v>
      </c>
      <c r="O14901" s="788">
        <v>41858</v>
      </c>
    </row>
    <row r="14902" spans="1:15" x14ac:dyDescent="0.25">
      <c r="A14902" s="786" t="s">
        <v>27016</v>
      </c>
      <c r="B14902" s="787">
        <v>4</v>
      </c>
      <c r="C14902" s="787" t="s">
        <v>27017</v>
      </c>
      <c r="D14902" s="787">
        <v>2.23</v>
      </c>
      <c r="E14902" s="787">
        <v>52.23</v>
      </c>
      <c r="F14902" s="788">
        <v>41565</v>
      </c>
      <c r="G14902" s="788">
        <v>41566</v>
      </c>
      <c r="H14902" s="787">
        <v>1</v>
      </c>
      <c r="I14902" s="788">
        <v>41575</v>
      </c>
      <c r="J14902" s="788">
        <v>41563</v>
      </c>
      <c r="K14902" s="788">
        <v>41561</v>
      </c>
      <c r="L14902" s="787">
        <v>55.3</v>
      </c>
      <c r="M14902" s="787">
        <v>20</v>
      </c>
      <c r="N14902" s="787">
        <v>59.45</v>
      </c>
      <c r="O14902" s="788">
        <v>41858</v>
      </c>
    </row>
    <row r="14903" spans="1:15" x14ac:dyDescent="0.25">
      <c r="A14903" s="786" t="s">
        <v>27018</v>
      </c>
      <c r="B14903" s="787">
        <v>4</v>
      </c>
      <c r="C14903" s="787" t="s">
        <v>27019</v>
      </c>
      <c r="D14903" s="787">
        <v>9.85</v>
      </c>
      <c r="E14903" s="787">
        <v>89.85</v>
      </c>
      <c r="F14903" s="788">
        <v>41613</v>
      </c>
      <c r="G14903" s="788">
        <v>41642</v>
      </c>
      <c r="H14903" s="787">
        <v>1</v>
      </c>
      <c r="J14903" s="788">
        <v>41611</v>
      </c>
      <c r="K14903" s="788">
        <v>41611</v>
      </c>
      <c r="L14903" s="787">
        <v>88</v>
      </c>
      <c r="M14903" s="787">
        <v>10</v>
      </c>
      <c r="N14903" s="787">
        <v>0</v>
      </c>
    </row>
    <row r="14904" spans="1:15" x14ac:dyDescent="0.25">
      <c r="A14904" s="786" t="s">
        <v>27020</v>
      </c>
      <c r="B14904" s="787">
        <v>4</v>
      </c>
      <c r="C14904" s="787" t="s">
        <v>27021</v>
      </c>
      <c r="D14904" s="787">
        <v>1.86</v>
      </c>
      <c r="E14904" s="787">
        <v>121.86</v>
      </c>
      <c r="F14904" s="788">
        <v>41613</v>
      </c>
      <c r="G14904" s="788">
        <v>41642</v>
      </c>
      <c r="H14904" s="787">
        <v>1</v>
      </c>
      <c r="J14904" s="788">
        <v>41611</v>
      </c>
      <c r="K14904" s="788">
        <v>41611</v>
      </c>
      <c r="L14904" s="787">
        <v>119.35</v>
      </c>
      <c r="M14904" s="787">
        <v>20</v>
      </c>
      <c r="N14904" s="787">
        <v>128.30000000000001</v>
      </c>
      <c r="O14904" s="788">
        <v>41858</v>
      </c>
    </row>
    <row r="14905" spans="1:15" x14ac:dyDescent="0.25">
      <c r="A14905" s="786" t="s">
        <v>27022</v>
      </c>
      <c r="B14905" s="787">
        <v>4</v>
      </c>
      <c r="C14905" s="787" t="s">
        <v>27023</v>
      </c>
      <c r="D14905" s="787">
        <v>3.55</v>
      </c>
      <c r="E14905" s="787">
        <v>13.55</v>
      </c>
      <c r="F14905" s="788">
        <v>41949</v>
      </c>
      <c r="G14905" s="788">
        <v>41978</v>
      </c>
      <c r="H14905" s="787">
        <v>1</v>
      </c>
      <c r="I14905" s="788">
        <v>41961</v>
      </c>
      <c r="J14905" s="788">
        <v>41947</v>
      </c>
      <c r="K14905" s="788">
        <v>41652</v>
      </c>
      <c r="L14905" s="787">
        <v>13.4</v>
      </c>
      <c r="M14905" s="787">
        <v>20</v>
      </c>
      <c r="N14905" s="787">
        <v>14.41</v>
      </c>
      <c r="O14905" s="788">
        <v>41858</v>
      </c>
    </row>
    <row r="14906" spans="1:15" x14ac:dyDescent="0.25">
      <c r="A14906" s="786" t="s">
        <v>27024</v>
      </c>
      <c r="B14906" s="787">
        <v>4</v>
      </c>
      <c r="C14906" s="787" t="s">
        <v>27025</v>
      </c>
      <c r="D14906" s="787">
        <v>4.54</v>
      </c>
      <c r="E14906" s="787">
        <v>114.54</v>
      </c>
      <c r="F14906" s="788">
        <v>41949</v>
      </c>
      <c r="G14906" s="788">
        <v>41978</v>
      </c>
      <c r="H14906" s="787">
        <v>1</v>
      </c>
      <c r="I14906" s="788">
        <v>41961</v>
      </c>
      <c r="J14906" s="788">
        <v>41947</v>
      </c>
      <c r="K14906" s="788">
        <v>41652</v>
      </c>
      <c r="L14906" s="787">
        <v>113.3</v>
      </c>
      <c r="M14906" s="787">
        <v>20</v>
      </c>
      <c r="N14906" s="787">
        <v>121.8</v>
      </c>
      <c r="O14906" s="788">
        <v>41858</v>
      </c>
    </row>
    <row r="14907" spans="1:15" x14ac:dyDescent="0.25">
      <c r="A14907" s="786" t="s">
        <v>839</v>
      </c>
      <c r="B14907" s="787">
        <v>4</v>
      </c>
      <c r="C14907" s="787" t="s">
        <v>27026</v>
      </c>
      <c r="D14907" s="787">
        <v>7.95</v>
      </c>
      <c r="E14907" s="787">
        <v>7.95</v>
      </c>
      <c r="F14907" s="788">
        <v>42087</v>
      </c>
      <c r="G14907" s="788">
        <v>42159</v>
      </c>
      <c r="H14907" s="787">
        <v>1</v>
      </c>
      <c r="I14907" s="788">
        <v>42163</v>
      </c>
      <c r="J14907" s="788">
        <v>42159</v>
      </c>
      <c r="K14907" s="788">
        <v>42072</v>
      </c>
      <c r="L14907" s="787">
        <v>7.9</v>
      </c>
      <c r="M14907" s="787">
        <v>20</v>
      </c>
      <c r="N14907" s="787">
        <v>8.49</v>
      </c>
      <c r="O14907" s="788">
        <v>42072</v>
      </c>
    </row>
    <row r="14908" spans="1:15" x14ac:dyDescent="0.25">
      <c r="A14908" s="786" t="s">
        <v>27027</v>
      </c>
      <c r="B14908" s="787">
        <v>4</v>
      </c>
      <c r="C14908" s="787" t="s">
        <v>27028</v>
      </c>
      <c r="D14908" s="787">
        <v>1.64</v>
      </c>
      <c r="E14908" s="787">
        <v>71.64</v>
      </c>
      <c r="F14908" s="788">
        <v>42104</v>
      </c>
      <c r="G14908" s="788">
        <v>42135</v>
      </c>
      <c r="H14908" s="787">
        <v>1</v>
      </c>
      <c r="J14908" s="788">
        <v>42101</v>
      </c>
      <c r="K14908" s="788">
        <v>42088</v>
      </c>
      <c r="L14908" s="787">
        <v>70.88</v>
      </c>
      <c r="M14908" s="787">
        <v>20</v>
      </c>
      <c r="N14908" s="787">
        <v>0</v>
      </c>
    </row>
    <row r="14909" spans="1:15" x14ac:dyDescent="0.25">
      <c r="A14909" s="786" t="s">
        <v>27029</v>
      </c>
      <c r="B14909" s="787">
        <v>4</v>
      </c>
      <c r="C14909" s="787" t="s">
        <v>27030</v>
      </c>
      <c r="D14909" s="787">
        <v>3.91</v>
      </c>
      <c r="E14909" s="787">
        <v>23.91</v>
      </c>
      <c r="F14909" s="788">
        <v>39101</v>
      </c>
      <c r="G14909" s="788">
        <v>39101</v>
      </c>
      <c r="H14909" s="787">
        <v>1</v>
      </c>
      <c r="I14909" s="788">
        <v>40718</v>
      </c>
      <c r="J14909" s="788">
        <v>39149</v>
      </c>
      <c r="L14909" s="787">
        <v>25.94</v>
      </c>
      <c r="M14909" s="787">
        <v>20</v>
      </c>
      <c r="N14909" s="787">
        <v>27.89</v>
      </c>
      <c r="O14909" s="788">
        <v>41858</v>
      </c>
    </row>
    <row r="14910" spans="1:15" x14ac:dyDescent="0.25">
      <c r="A14910" s="786" t="s">
        <v>27031</v>
      </c>
      <c r="B14910" s="787">
        <v>4</v>
      </c>
      <c r="C14910" s="787" t="s">
        <v>27032</v>
      </c>
      <c r="D14910" s="787">
        <v>0.8</v>
      </c>
      <c r="E14910" s="787">
        <v>22.75</v>
      </c>
      <c r="F14910" s="788">
        <v>41017</v>
      </c>
      <c r="G14910" s="788">
        <v>42063</v>
      </c>
      <c r="H14910" s="787">
        <v>1</v>
      </c>
      <c r="I14910" s="788">
        <v>42089</v>
      </c>
      <c r="J14910" s="788">
        <v>42037</v>
      </c>
      <c r="K14910" s="788">
        <v>41002</v>
      </c>
      <c r="L14910" s="787">
        <v>20.8</v>
      </c>
      <c r="M14910" s="787">
        <v>20</v>
      </c>
      <c r="N14910" s="787">
        <v>22.36</v>
      </c>
      <c r="O14910" s="788">
        <v>42164</v>
      </c>
    </row>
    <row r="14911" spans="1:15" x14ac:dyDescent="0.25">
      <c r="A14911" s="786" t="s">
        <v>27033</v>
      </c>
      <c r="B14911" s="787">
        <v>4</v>
      </c>
      <c r="C14911" s="787" t="s">
        <v>27034</v>
      </c>
      <c r="D14911" s="787">
        <v>5.82</v>
      </c>
      <c r="E14911" s="787">
        <v>75.819999999999993</v>
      </c>
      <c r="F14911" s="788">
        <v>39101</v>
      </c>
      <c r="G14911" s="788">
        <v>39101</v>
      </c>
      <c r="H14911" s="787">
        <v>6</v>
      </c>
      <c r="I14911" s="788">
        <v>41712</v>
      </c>
      <c r="J14911" s="788">
        <v>39149</v>
      </c>
      <c r="L14911" s="787">
        <v>25.18</v>
      </c>
      <c r="M14911" s="787">
        <v>20</v>
      </c>
      <c r="N14911" s="787">
        <v>81.510000000000005</v>
      </c>
      <c r="O14911" s="788">
        <v>41806</v>
      </c>
    </row>
    <row r="14912" spans="1:15" x14ac:dyDescent="0.25">
      <c r="A14912" s="786" t="s">
        <v>27035</v>
      </c>
      <c r="B14912" s="787">
        <v>4</v>
      </c>
      <c r="C14912" s="787" t="s">
        <v>27036</v>
      </c>
      <c r="D14912" s="787">
        <v>1.82</v>
      </c>
      <c r="E14912" s="787">
        <v>1.82</v>
      </c>
      <c r="F14912" s="788">
        <v>39101</v>
      </c>
      <c r="G14912" s="788">
        <v>39101</v>
      </c>
      <c r="H14912" s="787">
        <v>1</v>
      </c>
      <c r="I14912" s="788">
        <v>39045</v>
      </c>
      <c r="J14912" s="788">
        <v>39101</v>
      </c>
      <c r="L14912" s="787">
        <v>1.98</v>
      </c>
      <c r="M14912" s="787">
        <v>20</v>
      </c>
      <c r="N14912" s="787">
        <v>2.13</v>
      </c>
      <c r="O14912" s="788">
        <v>41858</v>
      </c>
    </row>
    <row r="14913" spans="1:15" x14ac:dyDescent="0.25">
      <c r="A14913" s="786" t="s">
        <v>27037</v>
      </c>
      <c r="B14913" s="787">
        <v>4</v>
      </c>
      <c r="C14913" s="787" t="s">
        <v>27038</v>
      </c>
      <c r="D14913" s="787">
        <v>0</v>
      </c>
      <c r="E14913" s="787">
        <v>0</v>
      </c>
      <c r="G14913" s="788">
        <v>37652</v>
      </c>
      <c r="H14913" s="787">
        <v>1</v>
      </c>
      <c r="J14913" s="788">
        <v>37652</v>
      </c>
      <c r="L14913" s="787">
        <v>112</v>
      </c>
      <c r="M14913" s="787">
        <v>20</v>
      </c>
      <c r="N14913" s="787">
        <v>120.4</v>
      </c>
      <c r="O14913" s="788">
        <v>41858</v>
      </c>
    </row>
    <row r="14914" spans="1:15" x14ac:dyDescent="0.25">
      <c r="A14914" s="786" t="s">
        <v>27039</v>
      </c>
      <c r="B14914" s="787">
        <v>4</v>
      </c>
      <c r="C14914" s="787" t="s">
        <v>27040</v>
      </c>
      <c r="D14914" s="787">
        <v>2.84</v>
      </c>
      <c r="E14914" s="787">
        <v>172.84</v>
      </c>
      <c r="F14914" s="788">
        <v>41880</v>
      </c>
      <c r="G14914" s="788">
        <v>41882</v>
      </c>
      <c r="H14914" s="787">
        <v>1</v>
      </c>
      <c r="I14914" s="788">
        <v>41879</v>
      </c>
      <c r="J14914" s="788">
        <v>41878</v>
      </c>
      <c r="K14914" s="788">
        <v>41876</v>
      </c>
      <c r="L14914" s="787">
        <v>165.06</v>
      </c>
      <c r="M14914" s="787">
        <v>20</v>
      </c>
      <c r="N14914" s="787">
        <v>177.44</v>
      </c>
      <c r="O14914" s="788">
        <v>42164</v>
      </c>
    </row>
    <row r="14915" spans="1:15" x14ac:dyDescent="0.25">
      <c r="A14915" s="786" t="s">
        <v>27041</v>
      </c>
      <c r="B14915" s="787">
        <v>4</v>
      </c>
      <c r="C14915" s="787" t="s">
        <v>27042</v>
      </c>
      <c r="D14915" s="787">
        <v>9</v>
      </c>
      <c r="E14915" s="787">
        <v>49</v>
      </c>
      <c r="F14915" s="788">
        <v>41382</v>
      </c>
      <c r="G14915" s="788">
        <v>41374</v>
      </c>
      <c r="H14915" s="787">
        <v>1</v>
      </c>
      <c r="I14915" s="788">
        <v>41374</v>
      </c>
      <c r="J14915" s="788">
        <v>41374</v>
      </c>
      <c r="K14915" s="788">
        <v>41262</v>
      </c>
      <c r="L14915" s="787">
        <v>49</v>
      </c>
      <c r="M14915" s="787">
        <v>20</v>
      </c>
      <c r="N14915" s="787">
        <v>52.68</v>
      </c>
      <c r="O14915" s="788">
        <v>41858</v>
      </c>
    </row>
    <row r="14916" spans="1:15" x14ac:dyDescent="0.25">
      <c r="A14916" s="786" t="s">
        <v>27043</v>
      </c>
      <c r="B14916" s="787">
        <v>4</v>
      </c>
      <c r="C14916" s="787" t="s">
        <v>27044</v>
      </c>
      <c r="D14916" s="787">
        <v>4</v>
      </c>
      <c r="E14916" s="787">
        <v>54</v>
      </c>
      <c r="F14916" s="788">
        <v>41610</v>
      </c>
      <c r="G14916" s="788">
        <v>41606</v>
      </c>
      <c r="H14916" s="787">
        <v>1</v>
      </c>
      <c r="I14916" s="788">
        <v>41802</v>
      </c>
      <c r="J14916" s="788">
        <v>41802</v>
      </c>
      <c r="K14916" s="788">
        <v>41262</v>
      </c>
      <c r="L14916" s="787">
        <v>54</v>
      </c>
      <c r="M14916" s="787">
        <v>20</v>
      </c>
      <c r="N14916" s="787">
        <v>58.05</v>
      </c>
      <c r="O14916" s="788">
        <v>41858</v>
      </c>
    </row>
    <row r="14917" spans="1:15" x14ac:dyDescent="0.25">
      <c r="A14917" s="786" t="s">
        <v>27045</v>
      </c>
      <c r="B14917" s="787">
        <v>4</v>
      </c>
      <c r="C14917" s="787" t="s">
        <v>27046</v>
      </c>
      <c r="D14917" s="787">
        <v>4.6500000000000004</v>
      </c>
      <c r="E14917" s="787">
        <v>44.65</v>
      </c>
      <c r="F14917" s="788">
        <v>41438</v>
      </c>
      <c r="G14917" s="788">
        <v>41622</v>
      </c>
      <c r="H14917" s="787">
        <v>1</v>
      </c>
      <c r="I14917" s="788">
        <v>41866</v>
      </c>
      <c r="J14917" s="788">
        <v>41622</v>
      </c>
      <c r="K14917" s="788">
        <v>41428</v>
      </c>
      <c r="L14917" s="787">
        <v>57.44</v>
      </c>
      <c r="M14917" s="787">
        <v>20</v>
      </c>
      <c r="N14917" s="787">
        <v>61.75</v>
      </c>
      <c r="O14917" s="788">
        <v>42164</v>
      </c>
    </row>
    <row r="14918" spans="1:15" x14ac:dyDescent="0.25">
      <c r="A14918" s="786" t="s">
        <v>27047</v>
      </c>
      <c r="B14918" s="787">
        <v>4</v>
      </c>
      <c r="C14918" s="787" t="s">
        <v>27048</v>
      </c>
      <c r="D14918" s="787">
        <v>1.1399999999999999</v>
      </c>
      <c r="E14918" s="787">
        <v>1.1399999999999999</v>
      </c>
      <c r="F14918" s="788">
        <v>41452</v>
      </c>
      <c r="G14918" s="788">
        <v>42013</v>
      </c>
      <c r="H14918" s="787">
        <v>1</v>
      </c>
      <c r="I14918" s="788">
        <v>41866</v>
      </c>
      <c r="J14918" s="788">
        <v>41622</v>
      </c>
      <c r="K14918" s="788">
        <v>41428</v>
      </c>
      <c r="L14918" s="787">
        <v>1.1000000000000001</v>
      </c>
      <c r="M14918" s="787">
        <v>20</v>
      </c>
      <c r="N14918" s="787">
        <v>1.18</v>
      </c>
      <c r="O14918" s="788">
        <v>41887</v>
      </c>
    </row>
    <row r="14919" spans="1:15" x14ac:dyDescent="0.25">
      <c r="A14919" s="786" t="s">
        <v>27049</v>
      </c>
      <c r="B14919" s="787">
        <v>4</v>
      </c>
      <c r="C14919" s="787" t="s">
        <v>27050</v>
      </c>
      <c r="D14919" s="787">
        <v>1.87</v>
      </c>
      <c r="E14919" s="787">
        <v>26.87</v>
      </c>
      <c r="F14919" s="788">
        <v>41796</v>
      </c>
      <c r="G14919" s="788">
        <v>41926</v>
      </c>
      <c r="H14919" s="787">
        <v>1</v>
      </c>
      <c r="I14919" s="788">
        <v>42072</v>
      </c>
      <c r="J14919" s="788">
        <v>42069</v>
      </c>
      <c r="K14919" s="788">
        <v>41466</v>
      </c>
      <c r="L14919" s="787">
        <v>33.57</v>
      </c>
      <c r="M14919" s="787">
        <v>20</v>
      </c>
      <c r="N14919" s="787">
        <v>36.090000000000003</v>
      </c>
      <c r="O14919" s="788">
        <v>41858</v>
      </c>
    </row>
    <row r="14920" spans="1:15" x14ac:dyDescent="0.25">
      <c r="A14920" s="786" t="s">
        <v>27051</v>
      </c>
      <c r="B14920" s="787">
        <v>4</v>
      </c>
      <c r="C14920" s="787" t="s">
        <v>27052</v>
      </c>
      <c r="D14920" s="787">
        <v>0.7</v>
      </c>
      <c r="E14920" s="787">
        <v>2.88</v>
      </c>
      <c r="F14920" s="788">
        <v>39101</v>
      </c>
      <c r="G14920" s="788">
        <v>42013</v>
      </c>
      <c r="H14920" s="787">
        <v>1</v>
      </c>
      <c r="I14920" s="788">
        <v>42082</v>
      </c>
      <c r="J14920" s="788">
        <v>41401</v>
      </c>
      <c r="L14920" s="787">
        <v>0.7</v>
      </c>
      <c r="M14920" s="787">
        <v>10</v>
      </c>
      <c r="N14920" s="787">
        <v>2.97</v>
      </c>
      <c r="O14920" s="788">
        <v>42080</v>
      </c>
    </row>
    <row r="14921" spans="1:15" x14ac:dyDescent="0.25">
      <c r="A14921" s="786" t="s">
        <v>27053</v>
      </c>
      <c r="B14921" s="787">
        <v>4</v>
      </c>
      <c r="C14921" s="787" t="s">
        <v>27054</v>
      </c>
      <c r="D14921" s="787">
        <v>7.1</v>
      </c>
      <c r="E14921" s="787">
        <v>137.1</v>
      </c>
      <c r="F14921" s="788">
        <v>41806</v>
      </c>
      <c r="G14921" s="788">
        <v>41794</v>
      </c>
      <c r="H14921" s="787">
        <v>1</v>
      </c>
      <c r="I14921" s="788">
        <v>41660</v>
      </c>
      <c r="J14921" s="788">
        <v>41794</v>
      </c>
      <c r="K14921" s="788">
        <v>41466</v>
      </c>
      <c r="L14921" s="787">
        <v>129</v>
      </c>
      <c r="M14921" s="787">
        <v>20</v>
      </c>
      <c r="N14921" s="787">
        <v>138.68</v>
      </c>
      <c r="O14921" s="788">
        <v>41858</v>
      </c>
    </row>
    <row r="14922" spans="1:15" x14ac:dyDescent="0.25">
      <c r="A14922" s="786" t="s">
        <v>27055</v>
      </c>
      <c r="B14922" s="787">
        <v>4</v>
      </c>
      <c r="C14922" s="787" t="s">
        <v>27056</v>
      </c>
      <c r="D14922" s="787">
        <v>2.5</v>
      </c>
      <c r="E14922" s="787">
        <v>12.5</v>
      </c>
      <c r="F14922" s="788">
        <v>41806</v>
      </c>
      <c r="G14922" s="788">
        <v>42081</v>
      </c>
      <c r="H14922" s="787">
        <v>1</v>
      </c>
      <c r="I14922" s="788">
        <v>42095</v>
      </c>
      <c r="J14922" s="788">
        <v>42095</v>
      </c>
      <c r="K14922" s="788">
        <v>41795</v>
      </c>
      <c r="L14922" s="787">
        <v>12.5</v>
      </c>
      <c r="M14922" s="787">
        <v>20</v>
      </c>
      <c r="N14922" s="787">
        <v>13.44</v>
      </c>
      <c r="O14922" s="788">
        <v>41858</v>
      </c>
    </row>
    <row r="14923" spans="1:15" x14ac:dyDescent="0.25">
      <c r="A14923" s="786" t="s">
        <v>27057</v>
      </c>
      <c r="B14923" s="787">
        <v>4</v>
      </c>
      <c r="C14923" s="787" t="s">
        <v>27058</v>
      </c>
      <c r="D14923" s="787">
        <v>0</v>
      </c>
      <c r="E14923" s="787">
        <v>0</v>
      </c>
      <c r="H14923" s="787">
        <v>1</v>
      </c>
      <c r="I14923" s="788">
        <v>41508</v>
      </c>
      <c r="K14923" s="788">
        <v>41466</v>
      </c>
      <c r="L14923" s="787">
        <v>8</v>
      </c>
      <c r="M14923" s="787">
        <v>20</v>
      </c>
      <c r="N14923" s="787">
        <v>8.6</v>
      </c>
      <c r="O14923" s="788">
        <v>41858</v>
      </c>
    </row>
    <row r="14924" spans="1:15" x14ac:dyDescent="0.25">
      <c r="A14924" s="786" t="s">
        <v>27059</v>
      </c>
      <c r="B14924" s="787">
        <v>4</v>
      </c>
      <c r="C14924" s="787" t="s">
        <v>27060</v>
      </c>
      <c r="D14924" s="787">
        <v>6.75</v>
      </c>
      <c r="E14924" s="787">
        <v>116.75</v>
      </c>
      <c r="F14924" s="788">
        <v>42081</v>
      </c>
      <c r="G14924" s="788">
        <v>42081</v>
      </c>
      <c r="H14924" s="787">
        <v>1</v>
      </c>
      <c r="I14924" s="788">
        <v>42095</v>
      </c>
      <c r="J14924" s="788">
        <v>42095</v>
      </c>
      <c r="K14924" s="788">
        <v>41795</v>
      </c>
      <c r="L14924" s="787">
        <v>119</v>
      </c>
      <c r="M14924" s="787">
        <v>20</v>
      </c>
      <c r="N14924" s="787">
        <v>127.93</v>
      </c>
      <c r="O14924" s="788">
        <v>41858</v>
      </c>
    </row>
    <row r="14925" spans="1:15" x14ac:dyDescent="0.25">
      <c r="A14925" s="786" t="s">
        <v>27061</v>
      </c>
      <c r="B14925" s="787">
        <v>4</v>
      </c>
      <c r="C14925" s="787" t="s">
        <v>27062</v>
      </c>
      <c r="D14925" s="787">
        <v>2.1</v>
      </c>
      <c r="E14925" s="787">
        <v>2.1</v>
      </c>
      <c r="F14925" s="788">
        <v>41806</v>
      </c>
      <c r="G14925" s="788">
        <v>41800</v>
      </c>
      <c r="H14925" s="787">
        <v>1</v>
      </c>
      <c r="I14925" s="788">
        <v>41827</v>
      </c>
      <c r="J14925" s="788">
        <v>41922</v>
      </c>
      <c r="K14925" s="788">
        <v>41795</v>
      </c>
      <c r="L14925" s="787">
        <v>2.1</v>
      </c>
      <c r="M14925" s="787">
        <v>20</v>
      </c>
      <c r="N14925" s="787">
        <v>2.2599999999999998</v>
      </c>
      <c r="O14925" s="788">
        <v>41858</v>
      </c>
    </row>
    <row r="14926" spans="1:15" x14ac:dyDescent="0.25">
      <c r="A14926" s="786" t="s">
        <v>27063</v>
      </c>
      <c r="B14926" s="787">
        <v>4</v>
      </c>
      <c r="C14926" s="787" t="s">
        <v>27064</v>
      </c>
      <c r="D14926" s="787">
        <v>4</v>
      </c>
      <c r="E14926" s="787">
        <v>14</v>
      </c>
      <c r="F14926" s="788">
        <v>41806</v>
      </c>
      <c r="G14926" s="788">
        <v>42073</v>
      </c>
      <c r="H14926" s="787">
        <v>1</v>
      </c>
      <c r="I14926" s="788">
        <v>42072</v>
      </c>
      <c r="J14926" s="788">
        <v>42073</v>
      </c>
      <c r="K14926" s="788">
        <v>41795</v>
      </c>
      <c r="L14926" s="787">
        <v>14</v>
      </c>
      <c r="M14926" s="787">
        <v>20</v>
      </c>
      <c r="N14926" s="787">
        <v>15.05</v>
      </c>
      <c r="O14926" s="788">
        <v>41858</v>
      </c>
    </row>
    <row r="14927" spans="1:15" x14ac:dyDescent="0.25">
      <c r="A14927" s="786" t="s">
        <v>27065</v>
      </c>
      <c r="B14927" s="787">
        <v>4</v>
      </c>
      <c r="C14927" s="787" t="s">
        <v>27066</v>
      </c>
      <c r="D14927" s="787">
        <v>3.79</v>
      </c>
      <c r="E14927" s="787">
        <v>33.79</v>
      </c>
      <c r="F14927" s="788">
        <v>40644</v>
      </c>
      <c r="G14927" s="788">
        <v>40644</v>
      </c>
      <c r="H14927" s="787">
        <v>1</v>
      </c>
      <c r="I14927" s="788">
        <v>41257</v>
      </c>
      <c r="J14927" s="788">
        <v>40645</v>
      </c>
      <c r="K14927" s="788">
        <v>41869</v>
      </c>
      <c r="L14927" s="787">
        <v>33.79</v>
      </c>
      <c r="M14927" s="787">
        <v>20</v>
      </c>
      <c r="N14927" s="787">
        <v>59.07</v>
      </c>
      <c r="O14927" s="788">
        <v>41858</v>
      </c>
    </row>
    <row r="14928" spans="1:15" x14ac:dyDescent="0.25">
      <c r="A14928" s="786" t="s">
        <v>27067</v>
      </c>
      <c r="B14928" s="787">
        <v>4</v>
      </c>
      <c r="C14928" s="787" t="s">
        <v>27068</v>
      </c>
      <c r="D14928" s="787">
        <v>8.23</v>
      </c>
      <c r="E14928" s="787">
        <v>28.23</v>
      </c>
      <c r="F14928" s="788">
        <v>39450</v>
      </c>
      <c r="G14928" s="788">
        <v>40914</v>
      </c>
      <c r="H14928" s="787">
        <v>6</v>
      </c>
      <c r="I14928" s="788">
        <v>40816</v>
      </c>
      <c r="J14928" s="788">
        <v>40287</v>
      </c>
      <c r="L14928" s="787">
        <v>29.98</v>
      </c>
      <c r="M14928" s="787">
        <v>20</v>
      </c>
      <c r="N14928" s="787">
        <v>30.35</v>
      </c>
      <c r="O14928" s="788">
        <v>41806</v>
      </c>
    </row>
    <row r="14929" spans="1:15" x14ac:dyDescent="0.25">
      <c r="A14929" s="786" t="s">
        <v>27069</v>
      </c>
      <c r="B14929" s="787">
        <v>4</v>
      </c>
      <c r="C14929" s="787" t="s">
        <v>27070</v>
      </c>
      <c r="D14929" s="787">
        <v>1.85</v>
      </c>
      <c r="E14929" s="787">
        <v>42.11</v>
      </c>
      <c r="F14929" s="788">
        <v>41810</v>
      </c>
      <c r="G14929" s="788">
        <v>42158</v>
      </c>
      <c r="H14929" s="787">
        <v>1</v>
      </c>
      <c r="I14929" s="788">
        <v>42166</v>
      </c>
      <c r="J14929" s="788">
        <v>42152</v>
      </c>
      <c r="K14929" s="788">
        <v>41505</v>
      </c>
      <c r="L14929" s="787">
        <v>42.64</v>
      </c>
      <c r="M14929" s="787">
        <v>20</v>
      </c>
      <c r="N14929" s="787">
        <v>45.84</v>
      </c>
      <c r="O14929" s="788">
        <v>42164</v>
      </c>
    </row>
    <row r="14930" spans="1:15" x14ac:dyDescent="0.25">
      <c r="A14930" s="786" t="s">
        <v>27071</v>
      </c>
      <c r="B14930" s="787">
        <v>4</v>
      </c>
      <c r="C14930" s="787" t="s">
        <v>27072</v>
      </c>
      <c r="D14930" s="787">
        <v>2.75</v>
      </c>
      <c r="E14930" s="787">
        <v>25.19</v>
      </c>
      <c r="F14930" s="788">
        <v>41017</v>
      </c>
      <c r="G14930" s="788">
        <v>42135</v>
      </c>
      <c r="H14930" s="787">
        <v>1</v>
      </c>
      <c r="I14930" s="788">
        <v>42152</v>
      </c>
      <c r="J14930" s="788">
        <v>42079</v>
      </c>
      <c r="K14930" s="788">
        <v>41025</v>
      </c>
      <c r="L14930" s="787">
        <v>22.75</v>
      </c>
      <c r="M14930" s="787">
        <v>20</v>
      </c>
      <c r="N14930" s="787">
        <v>24.46</v>
      </c>
      <c r="O14930" s="788">
        <v>42164</v>
      </c>
    </row>
    <row r="14931" spans="1:15" x14ac:dyDescent="0.25">
      <c r="A14931" s="786" t="s">
        <v>27073</v>
      </c>
      <c r="B14931" s="787">
        <v>4</v>
      </c>
      <c r="C14931" s="787" t="s">
        <v>27074</v>
      </c>
      <c r="D14931" s="787">
        <v>6.61</v>
      </c>
      <c r="E14931" s="787">
        <v>54.13</v>
      </c>
      <c r="F14931" s="788">
        <v>39799</v>
      </c>
      <c r="G14931" s="788">
        <v>41943</v>
      </c>
      <c r="H14931" s="787">
        <v>1</v>
      </c>
      <c r="I14931" s="788">
        <v>42093</v>
      </c>
      <c r="J14931" s="788">
        <v>41806</v>
      </c>
      <c r="K14931" s="788">
        <v>40938</v>
      </c>
      <c r="L14931" s="787">
        <v>45.91</v>
      </c>
      <c r="M14931" s="787">
        <v>20</v>
      </c>
      <c r="N14931" s="787">
        <v>49.35</v>
      </c>
      <c r="O14931" s="788">
        <v>41887</v>
      </c>
    </row>
    <row r="14932" spans="1:15" x14ac:dyDescent="0.25">
      <c r="A14932" s="786" t="s">
        <v>27075</v>
      </c>
      <c r="B14932" s="787">
        <v>4</v>
      </c>
      <c r="C14932" s="787" t="s">
        <v>27076</v>
      </c>
      <c r="D14932" s="787">
        <v>2.5499999999999998</v>
      </c>
      <c r="E14932" s="787">
        <v>22.55</v>
      </c>
      <c r="F14932" s="788">
        <v>40609</v>
      </c>
      <c r="G14932" s="788">
        <v>40609</v>
      </c>
      <c r="H14932" s="787">
        <v>1</v>
      </c>
      <c r="J14932" s="788">
        <v>40610</v>
      </c>
      <c r="L14932" s="787">
        <v>22.55</v>
      </c>
      <c r="M14932" s="787">
        <v>20</v>
      </c>
      <c r="N14932" s="787">
        <v>24.24</v>
      </c>
      <c r="O14932" s="788">
        <v>41858</v>
      </c>
    </row>
    <row r="14933" spans="1:15" x14ac:dyDescent="0.25">
      <c r="A14933" s="786" t="s">
        <v>27077</v>
      </c>
      <c r="B14933" s="787">
        <v>4</v>
      </c>
      <c r="C14933" s="787" t="s">
        <v>27078</v>
      </c>
      <c r="D14933" s="787">
        <v>3.46</v>
      </c>
      <c r="E14933" s="787">
        <v>13.46</v>
      </c>
      <c r="F14933" s="788">
        <v>40323</v>
      </c>
      <c r="G14933" s="788">
        <v>40323</v>
      </c>
      <c r="H14933" s="787">
        <v>1</v>
      </c>
      <c r="J14933" s="788">
        <v>40284</v>
      </c>
      <c r="L14933" s="787">
        <v>13.46</v>
      </c>
      <c r="M14933" s="787">
        <v>20</v>
      </c>
      <c r="N14933" s="787">
        <v>14.47</v>
      </c>
      <c r="O14933" s="788">
        <v>41858</v>
      </c>
    </row>
    <row r="14934" spans="1:15" x14ac:dyDescent="0.25">
      <c r="A14934" s="786" t="s">
        <v>27079</v>
      </c>
      <c r="B14934" s="787">
        <v>4</v>
      </c>
      <c r="C14934" s="787" t="s">
        <v>27080</v>
      </c>
      <c r="D14934" s="787">
        <v>0</v>
      </c>
      <c r="E14934" s="787">
        <v>0</v>
      </c>
      <c r="H14934" s="787">
        <v>1</v>
      </c>
      <c r="K14934" s="788">
        <v>41555</v>
      </c>
      <c r="L14934" s="787">
        <v>63.68</v>
      </c>
      <c r="M14934" s="787">
        <v>20</v>
      </c>
      <c r="N14934" s="787">
        <v>68.459999999999994</v>
      </c>
      <c r="O14934" s="788">
        <v>41858</v>
      </c>
    </row>
    <row r="14935" spans="1:15" x14ac:dyDescent="0.25">
      <c r="A14935" s="786" t="s">
        <v>27081</v>
      </c>
      <c r="B14935" s="787">
        <v>4</v>
      </c>
      <c r="C14935" s="787" t="s">
        <v>27082</v>
      </c>
      <c r="D14935" s="787">
        <v>0</v>
      </c>
      <c r="E14935" s="787">
        <v>41.06</v>
      </c>
      <c r="G14935" s="788">
        <v>41715</v>
      </c>
      <c r="H14935" s="787">
        <v>1</v>
      </c>
      <c r="I14935" s="788">
        <v>41726</v>
      </c>
      <c r="J14935" s="788">
        <v>41725</v>
      </c>
      <c r="K14935" s="788">
        <v>41705</v>
      </c>
      <c r="L14935" s="787">
        <v>41.06</v>
      </c>
      <c r="M14935" s="787">
        <v>20</v>
      </c>
      <c r="N14935" s="787">
        <v>44.14</v>
      </c>
      <c r="O14935" s="788">
        <v>41858</v>
      </c>
    </row>
    <row r="14936" spans="1:15" x14ac:dyDescent="0.25">
      <c r="A14936" s="786" t="s">
        <v>27083</v>
      </c>
      <c r="B14936" s="787">
        <v>4</v>
      </c>
      <c r="C14936" s="787" t="s">
        <v>27084</v>
      </c>
      <c r="D14936" s="787">
        <v>0.4</v>
      </c>
      <c r="E14936" s="787">
        <v>51.09</v>
      </c>
      <c r="F14936" s="788">
        <v>41786</v>
      </c>
      <c r="G14936" s="788">
        <v>42013</v>
      </c>
      <c r="H14936" s="787">
        <v>1</v>
      </c>
      <c r="I14936" s="788">
        <v>42130</v>
      </c>
      <c r="J14936" s="788">
        <v>41941</v>
      </c>
      <c r="K14936" s="788">
        <v>41709</v>
      </c>
      <c r="L14936" s="787">
        <v>49</v>
      </c>
      <c r="M14936" s="787">
        <v>20</v>
      </c>
      <c r="N14936" s="787">
        <v>52.68</v>
      </c>
      <c r="O14936" s="788">
        <v>42164</v>
      </c>
    </row>
    <row r="14937" spans="1:15" x14ac:dyDescent="0.25">
      <c r="A14937" s="786" t="s">
        <v>27085</v>
      </c>
      <c r="B14937" s="787">
        <v>4</v>
      </c>
      <c r="C14937" s="787" t="s">
        <v>27086</v>
      </c>
      <c r="D14937" s="787">
        <v>0.4</v>
      </c>
      <c r="E14937" s="787">
        <v>51.78</v>
      </c>
      <c r="F14937" s="788">
        <v>41827</v>
      </c>
      <c r="G14937" s="788">
        <v>42136</v>
      </c>
      <c r="H14937" s="787">
        <v>1</v>
      </c>
      <c r="I14937" s="788">
        <v>42121</v>
      </c>
      <c r="J14937" s="788">
        <v>42136</v>
      </c>
      <c r="K14937" s="788">
        <v>41709</v>
      </c>
      <c r="L14937" s="787">
        <v>49</v>
      </c>
      <c r="M14937" s="787">
        <v>20</v>
      </c>
      <c r="N14937" s="787">
        <v>52.68</v>
      </c>
      <c r="O14937" s="788">
        <v>41949</v>
      </c>
    </row>
    <row r="14938" spans="1:15" x14ac:dyDescent="0.25">
      <c r="A14938" s="786" t="s">
        <v>27087</v>
      </c>
      <c r="B14938" s="787">
        <v>4</v>
      </c>
      <c r="C14938" s="787" t="s">
        <v>27088</v>
      </c>
      <c r="D14938" s="787">
        <v>7</v>
      </c>
      <c r="E14938" s="787">
        <v>78.38</v>
      </c>
      <c r="F14938" s="788">
        <v>41746</v>
      </c>
      <c r="G14938" s="788">
        <v>42063</v>
      </c>
      <c r="H14938" s="787">
        <v>1</v>
      </c>
      <c r="I14938" s="788">
        <v>42111</v>
      </c>
      <c r="J14938" s="788">
        <v>42033</v>
      </c>
      <c r="K14938" s="788">
        <v>41709</v>
      </c>
      <c r="L14938" s="787">
        <v>75</v>
      </c>
      <c r="M14938" s="787">
        <v>20</v>
      </c>
      <c r="N14938" s="787">
        <v>80.63</v>
      </c>
      <c r="O14938" s="788">
        <v>41949</v>
      </c>
    </row>
    <row r="14939" spans="1:15" x14ac:dyDescent="0.25">
      <c r="A14939" s="786" t="s">
        <v>27089</v>
      </c>
      <c r="B14939" s="787">
        <v>4</v>
      </c>
      <c r="C14939" s="787" t="s">
        <v>27090</v>
      </c>
      <c r="D14939" s="787">
        <v>0.4</v>
      </c>
      <c r="E14939" s="787">
        <v>51.78</v>
      </c>
      <c r="F14939" s="788">
        <v>41786</v>
      </c>
      <c r="G14939" s="788">
        <v>42063</v>
      </c>
      <c r="H14939" s="787">
        <v>1</v>
      </c>
      <c r="I14939" s="788">
        <v>42116</v>
      </c>
      <c r="J14939" s="788">
        <v>42136</v>
      </c>
      <c r="K14939" s="788">
        <v>41709</v>
      </c>
      <c r="L14939" s="787">
        <v>49</v>
      </c>
      <c r="M14939" s="787">
        <v>20</v>
      </c>
      <c r="N14939" s="787">
        <v>52.68</v>
      </c>
      <c r="O14939" s="788">
        <v>41949</v>
      </c>
    </row>
    <row r="14940" spans="1:15" x14ac:dyDescent="0.25">
      <c r="A14940" s="786" t="s">
        <v>27091</v>
      </c>
      <c r="B14940" s="787">
        <v>4</v>
      </c>
      <c r="C14940" s="787" t="s">
        <v>27092</v>
      </c>
      <c r="D14940" s="787">
        <v>8.1</v>
      </c>
      <c r="E14940" s="787">
        <v>48.1</v>
      </c>
      <c r="F14940" s="788">
        <v>41848</v>
      </c>
      <c r="G14940" s="788">
        <v>41850</v>
      </c>
      <c r="H14940" s="787">
        <v>1</v>
      </c>
      <c r="I14940" s="788">
        <v>42061</v>
      </c>
      <c r="J14940" s="788">
        <v>41844</v>
      </c>
      <c r="K14940" s="788">
        <v>41842</v>
      </c>
      <c r="L14940" s="787">
        <v>45.8</v>
      </c>
      <c r="M14940" s="787">
        <v>20</v>
      </c>
      <c r="N14940" s="787">
        <v>49.24</v>
      </c>
      <c r="O14940" s="788">
        <v>41858</v>
      </c>
    </row>
    <row r="14941" spans="1:15" x14ac:dyDescent="0.25">
      <c r="A14941" s="786" t="s">
        <v>27093</v>
      </c>
      <c r="B14941" s="787">
        <v>4</v>
      </c>
      <c r="C14941" s="787" t="s">
        <v>27094</v>
      </c>
      <c r="D14941" s="787">
        <v>0</v>
      </c>
      <c r="E14941" s="787">
        <v>0</v>
      </c>
      <c r="H14941" s="787">
        <v>1</v>
      </c>
      <c r="K14941" s="788">
        <v>41862</v>
      </c>
      <c r="L14941" s="787">
        <v>47.12</v>
      </c>
      <c r="M14941" s="787">
        <v>20</v>
      </c>
      <c r="N14941" s="787">
        <v>50.65</v>
      </c>
      <c r="O14941" s="788">
        <v>41862</v>
      </c>
    </row>
    <row r="14942" spans="1:15" x14ac:dyDescent="0.25">
      <c r="A14942" s="786" t="s">
        <v>27095</v>
      </c>
      <c r="B14942" s="787">
        <v>4</v>
      </c>
      <c r="C14942" s="787" t="s">
        <v>27096</v>
      </c>
      <c r="D14942" s="787">
        <v>6.46</v>
      </c>
      <c r="E14942" s="787">
        <v>48.1</v>
      </c>
      <c r="F14942" s="788">
        <v>42116</v>
      </c>
      <c r="G14942" s="788">
        <v>42166</v>
      </c>
      <c r="H14942" s="787">
        <v>1</v>
      </c>
      <c r="I14942" s="788">
        <v>42164</v>
      </c>
      <c r="J14942" s="788">
        <v>42166</v>
      </c>
      <c r="K14942" s="788">
        <v>42060</v>
      </c>
      <c r="L14942" s="787">
        <v>45.8</v>
      </c>
      <c r="M14942" s="787">
        <v>20</v>
      </c>
      <c r="N14942" s="787">
        <v>49.24</v>
      </c>
      <c r="O14942" s="788">
        <v>42076</v>
      </c>
    </row>
    <row r="14943" spans="1:15" x14ac:dyDescent="0.25">
      <c r="A14943" s="786" t="s">
        <v>27097</v>
      </c>
      <c r="B14943" s="787">
        <v>4</v>
      </c>
      <c r="C14943" s="787" t="s">
        <v>27098</v>
      </c>
      <c r="D14943" s="787">
        <v>4.2699999999999996</v>
      </c>
      <c r="E14943" s="787">
        <v>34.44</v>
      </c>
      <c r="F14943" s="788">
        <v>39101</v>
      </c>
      <c r="G14943" s="788">
        <v>41578</v>
      </c>
      <c r="H14943" s="787">
        <v>1</v>
      </c>
      <c r="I14943" s="788">
        <v>41799</v>
      </c>
      <c r="J14943" s="788">
        <v>41799</v>
      </c>
      <c r="L14943" s="787">
        <v>37.68</v>
      </c>
      <c r="M14943" s="787">
        <v>20</v>
      </c>
      <c r="N14943" s="787">
        <v>40.51</v>
      </c>
      <c r="O14943" s="788">
        <v>41858</v>
      </c>
    </row>
    <row r="14944" spans="1:15" x14ac:dyDescent="0.25">
      <c r="A14944" s="786" t="s">
        <v>27099</v>
      </c>
      <c r="B14944" s="787">
        <v>4</v>
      </c>
      <c r="C14944" s="787" t="s">
        <v>27100</v>
      </c>
      <c r="D14944" s="787">
        <v>5.7</v>
      </c>
      <c r="E14944" s="787">
        <v>15.7</v>
      </c>
      <c r="F14944" s="788">
        <v>39101</v>
      </c>
      <c r="G14944" s="788">
        <v>39101</v>
      </c>
      <c r="H14944" s="787">
        <v>1</v>
      </c>
      <c r="I14944" s="788">
        <v>39700</v>
      </c>
      <c r="J14944" s="788">
        <v>39101</v>
      </c>
      <c r="L14944" s="787">
        <v>17.11</v>
      </c>
      <c r="M14944" s="787">
        <v>20</v>
      </c>
      <c r="N14944" s="787">
        <v>18.39</v>
      </c>
      <c r="O14944" s="788">
        <v>41858</v>
      </c>
    </row>
    <row r="14945" spans="1:15" x14ac:dyDescent="0.25">
      <c r="A14945" s="786" t="s">
        <v>27101</v>
      </c>
      <c r="B14945" s="787">
        <v>4</v>
      </c>
      <c r="C14945" s="787" t="s">
        <v>27102</v>
      </c>
      <c r="D14945" s="787">
        <v>0</v>
      </c>
      <c r="E14945" s="787">
        <v>25.92</v>
      </c>
      <c r="H14945" s="787">
        <v>6</v>
      </c>
      <c r="K14945" s="788">
        <v>41869</v>
      </c>
      <c r="L14945" s="787">
        <v>15.75</v>
      </c>
      <c r="M14945" s="787">
        <v>20</v>
      </c>
      <c r="N14945" s="787">
        <v>30.37</v>
      </c>
      <c r="O14945" s="788">
        <v>41858</v>
      </c>
    </row>
    <row r="14946" spans="1:15" x14ac:dyDescent="0.25">
      <c r="A14946" s="786" t="s">
        <v>27103</v>
      </c>
      <c r="B14946" s="787">
        <v>4</v>
      </c>
      <c r="C14946" s="787" t="s">
        <v>27104</v>
      </c>
      <c r="D14946" s="787">
        <v>2.29</v>
      </c>
      <c r="E14946" s="787">
        <v>2.9</v>
      </c>
      <c r="F14946" s="788">
        <v>39101</v>
      </c>
      <c r="G14946" s="788">
        <v>42067</v>
      </c>
      <c r="H14946" s="787">
        <v>1</v>
      </c>
      <c r="I14946" s="788">
        <v>42130</v>
      </c>
      <c r="J14946" s="788">
        <v>42067</v>
      </c>
      <c r="K14946" s="788">
        <v>41261</v>
      </c>
      <c r="L14946" s="787">
        <v>2.74</v>
      </c>
      <c r="M14946" s="787">
        <v>20</v>
      </c>
      <c r="N14946" s="787">
        <v>2.95</v>
      </c>
      <c r="O14946" s="788">
        <v>42019</v>
      </c>
    </row>
    <row r="14947" spans="1:15" x14ac:dyDescent="0.25">
      <c r="A14947" s="786" t="s">
        <v>27105</v>
      </c>
      <c r="B14947" s="787">
        <v>4</v>
      </c>
      <c r="C14947" s="787" t="s">
        <v>27106</v>
      </c>
      <c r="D14947" s="787">
        <v>6.22</v>
      </c>
      <c r="E14947" s="787">
        <v>76.22</v>
      </c>
      <c r="F14947" s="788">
        <v>41829</v>
      </c>
      <c r="G14947" s="788">
        <v>41827</v>
      </c>
      <c r="H14947" s="787">
        <v>1</v>
      </c>
      <c r="I14947" s="788">
        <v>41830</v>
      </c>
      <c r="J14947" s="788">
        <v>41827</v>
      </c>
      <c r="K14947" s="788">
        <v>41701</v>
      </c>
      <c r="L14947" s="787">
        <v>76.22</v>
      </c>
      <c r="M14947" s="787">
        <v>20</v>
      </c>
      <c r="N14947" s="787">
        <v>81.94</v>
      </c>
      <c r="O14947" s="788">
        <v>41858</v>
      </c>
    </row>
    <row r="14948" spans="1:15" x14ac:dyDescent="0.25">
      <c r="A14948" s="786" t="s">
        <v>27107</v>
      </c>
      <c r="B14948" s="787">
        <v>4</v>
      </c>
      <c r="C14948" s="787" t="s">
        <v>27108</v>
      </c>
      <c r="D14948" s="787">
        <v>0</v>
      </c>
      <c r="E14948" s="787">
        <v>0</v>
      </c>
      <c r="G14948" s="788">
        <v>41848</v>
      </c>
      <c r="H14948" s="787">
        <v>1</v>
      </c>
      <c r="I14948" s="788">
        <v>41838</v>
      </c>
      <c r="J14948" s="788">
        <v>41848</v>
      </c>
      <c r="K14948" s="788">
        <v>41823</v>
      </c>
      <c r="L14948" s="787">
        <v>78.8</v>
      </c>
      <c r="M14948" s="787">
        <v>20</v>
      </c>
      <c r="N14948" s="787">
        <v>84.71</v>
      </c>
      <c r="O14948" s="788">
        <v>41858</v>
      </c>
    </row>
    <row r="14949" spans="1:15" x14ac:dyDescent="0.25">
      <c r="A14949" s="786" t="s">
        <v>27109</v>
      </c>
      <c r="B14949" s="787">
        <v>4</v>
      </c>
      <c r="C14949" s="787" t="s">
        <v>27110</v>
      </c>
      <c r="D14949" s="787">
        <v>0</v>
      </c>
      <c r="E14949" s="787">
        <v>0</v>
      </c>
      <c r="G14949" s="788">
        <v>41848</v>
      </c>
      <c r="H14949" s="787">
        <v>1</v>
      </c>
      <c r="I14949" s="788">
        <v>41838</v>
      </c>
      <c r="J14949" s="788">
        <v>41848</v>
      </c>
      <c r="K14949" s="788">
        <v>41823</v>
      </c>
      <c r="L14949" s="787">
        <v>231.59</v>
      </c>
      <c r="M14949" s="787">
        <v>20</v>
      </c>
      <c r="N14949" s="787">
        <v>248.96</v>
      </c>
      <c r="O14949" s="788">
        <v>41858</v>
      </c>
    </row>
    <row r="14950" spans="1:15" x14ac:dyDescent="0.25">
      <c r="A14950" s="786" t="s">
        <v>27111</v>
      </c>
      <c r="B14950" s="787">
        <v>4</v>
      </c>
      <c r="C14950" s="787" t="s">
        <v>27112</v>
      </c>
      <c r="D14950" s="787">
        <v>0</v>
      </c>
      <c r="E14950" s="787">
        <v>0</v>
      </c>
      <c r="H14950" s="787">
        <v>1</v>
      </c>
      <c r="K14950" s="788">
        <v>42129</v>
      </c>
      <c r="L14950" s="787">
        <v>187</v>
      </c>
      <c r="M14950" s="787">
        <v>20</v>
      </c>
      <c r="N14950" s="787">
        <v>0</v>
      </c>
    </row>
    <row r="14951" spans="1:15" x14ac:dyDescent="0.25">
      <c r="A14951" s="786" t="s">
        <v>27113</v>
      </c>
      <c r="B14951" s="787">
        <v>4</v>
      </c>
      <c r="C14951" s="787" t="s">
        <v>27114</v>
      </c>
      <c r="D14951" s="787">
        <v>0</v>
      </c>
      <c r="E14951" s="787">
        <v>0</v>
      </c>
      <c r="H14951" s="787">
        <v>1</v>
      </c>
      <c r="K14951" s="788">
        <v>42129</v>
      </c>
      <c r="L14951" s="787">
        <v>4.12</v>
      </c>
      <c r="M14951" s="787">
        <v>20</v>
      </c>
      <c r="N14951" s="787">
        <v>0</v>
      </c>
    </row>
    <row r="14952" spans="1:15" x14ac:dyDescent="0.25">
      <c r="A14952" s="786" t="s">
        <v>27115</v>
      </c>
      <c r="B14952" s="787">
        <v>4</v>
      </c>
      <c r="C14952" s="787" t="s">
        <v>27116</v>
      </c>
      <c r="D14952" s="787">
        <v>5.95</v>
      </c>
      <c r="E14952" s="787">
        <v>24.98</v>
      </c>
      <c r="F14952" s="788">
        <v>40365</v>
      </c>
      <c r="G14952" s="788">
        <v>42013</v>
      </c>
      <c r="H14952" s="787">
        <v>1</v>
      </c>
      <c r="I14952" s="788">
        <v>42109</v>
      </c>
      <c r="J14952" s="788">
        <v>41956</v>
      </c>
      <c r="K14952" s="788">
        <v>41498</v>
      </c>
      <c r="L14952" s="787">
        <v>22.9</v>
      </c>
      <c r="M14952" s="787">
        <v>20</v>
      </c>
      <c r="N14952" s="787">
        <v>24.62</v>
      </c>
      <c r="O14952" s="788">
        <v>42053</v>
      </c>
    </row>
    <row r="14953" spans="1:15" x14ac:dyDescent="0.25">
      <c r="A14953" s="786" t="s">
        <v>27117</v>
      </c>
      <c r="B14953" s="787">
        <v>4</v>
      </c>
      <c r="C14953" s="787" t="s">
        <v>27118</v>
      </c>
      <c r="D14953" s="787">
        <v>0</v>
      </c>
      <c r="E14953" s="787">
        <v>0</v>
      </c>
      <c r="H14953" s="787">
        <v>1</v>
      </c>
      <c r="L14953" s="787">
        <v>22.9</v>
      </c>
      <c r="M14953" s="787">
        <v>10</v>
      </c>
      <c r="N14953" s="787">
        <v>29.14</v>
      </c>
      <c r="O14953" s="788">
        <v>42164</v>
      </c>
    </row>
    <row r="14954" spans="1:15" x14ac:dyDescent="0.25">
      <c r="A14954" s="786" t="s">
        <v>27119</v>
      </c>
      <c r="B14954" s="787">
        <v>4</v>
      </c>
      <c r="C14954" s="787" t="s">
        <v>27120</v>
      </c>
      <c r="D14954" s="787">
        <v>0</v>
      </c>
      <c r="E14954" s="787">
        <v>0</v>
      </c>
      <c r="H14954" s="787">
        <v>1</v>
      </c>
      <c r="L14954" s="787">
        <v>0</v>
      </c>
      <c r="M14954" s="787">
        <v>10</v>
      </c>
      <c r="N14954" s="787">
        <v>14</v>
      </c>
      <c r="O14954" s="788">
        <v>40848</v>
      </c>
    </row>
    <row r="14955" spans="1:15" x14ac:dyDescent="0.25">
      <c r="A14955" s="786" t="s">
        <v>27121</v>
      </c>
      <c r="B14955" s="787">
        <v>4</v>
      </c>
      <c r="C14955" s="787" t="s">
        <v>27122</v>
      </c>
      <c r="D14955" s="787">
        <v>1.01</v>
      </c>
      <c r="E14955" s="787">
        <v>28.79</v>
      </c>
      <c r="F14955" s="788">
        <v>41548</v>
      </c>
      <c r="G14955" s="788">
        <v>42017</v>
      </c>
      <c r="H14955" s="787">
        <v>1</v>
      </c>
      <c r="I14955" s="788">
        <v>41984</v>
      </c>
      <c r="J14955" s="788">
        <v>41988</v>
      </c>
      <c r="L14955" s="787">
        <v>17.12</v>
      </c>
      <c r="M14955" s="787">
        <v>10</v>
      </c>
      <c r="N14955" s="787">
        <v>22.11</v>
      </c>
      <c r="O14955" s="788">
        <v>42164</v>
      </c>
    </row>
    <row r="14956" spans="1:15" x14ac:dyDescent="0.25">
      <c r="A14956" s="786" t="s">
        <v>27123</v>
      </c>
      <c r="B14956" s="787">
        <v>4</v>
      </c>
      <c r="C14956" s="787" t="s">
        <v>27124</v>
      </c>
      <c r="D14956" s="787">
        <v>0</v>
      </c>
      <c r="E14956" s="787">
        <v>0</v>
      </c>
      <c r="H14956" s="787">
        <v>1</v>
      </c>
      <c r="L14956" s="787">
        <v>0</v>
      </c>
      <c r="M14956" s="787">
        <v>10</v>
      </c>
      <c r="N14956" s="787">
        <v>14</v>
      </c>
      <c r="O14956" s="788">
        <v>40711</v>
      </c>
    </row>
    <row r="14957" spans="1:15" x14ac:dyDescent="0.25">
      <c r="A14957" s="786" t="s">
        <v>27125</v>
      </c>
      <c r="B14957" s="787">
        <v>4</v>
      </c>
      <c r="C14957" s="787" t="s">
        <v>27126</v>
      </c>
      <c r="D14957" s="787">
        <v>0</v>
      </c>
      <c r="E14957" s="787">
        <v>0</v>
      </c>
      <c r="H14957" s="787">
        <v>1</v>
      </c>
      <c r="L14957" s="787">
        <v>80.209999999999994</v>
      </c>
      <c r="M14957" s="787">
        <v>10</v>
      </c>
      <c r="N14957" s="787">
        <v>68.81</v>
      </c>
      <c r="O14957" s="788">
        <v>42164</v>
      </c>
    </row>
    <row r="14958" spans="1:15" x14ac:dyDescent="0.25">
      <c r="A14958" s="786" t="s">
        <v>27127</v>
      </c>
      <c r="B14958" s="787">
        <v>4</v>
      </c>
      <c r="C14958" s="787" t="s">
        <v>27128</v>
      </c>
      <c r="D14958" s="787">
        <v>0</v>
      </c>
      <c r="E14958" s="787">
        <v>0</v>
      </c>
      <c r="H14958" s="787">
        <v>1</v>
      </c>
      <c r="L14958" s="787">
        <v>0</v>
      </c>
      <c r="M14958" s="787">
        <v>10</v>
      </c>
      <c r="N14958" s="787">
        <v>14</v>
      </c>
      <c r="O14958" s="788">
        <v>40848</v>
      </c>
    </row>
    <row r="14959" spans="1:15" x14ac:dyDescent="0.25">
      <c r="A14959" s="786" t="s">
        <v>27129</v>
      </c>
      <c r="B14959" s="787">
        <v>4</v>
      </c>
      <c r="C14959" s="787" t="s">
        <v>27130</v>
      </c>
      <c r="D14959" s="787">
        <v>0</v>
      </c>
      <c r="E14959" s="787">
        <v>0</v>
      </c>
      <c r="H14959" s="787">
        <v>1</v>
      </c>
      <c r="L14959" s="787">
        <v>106.41</v>
      </c>
      <c r="M14959" s="787">
        <v>10</v>
      </c>
      <c r="N14959" s="787">
        <v>119.24</v>
      </c>
      <c r="O14959" s="788">
        <v>42164</v>
      </c>
    </row>
    <row r="14960" spans="1:15" x14ac:dyDescent="0.25">
      <c r="A14960" s="786" t="s">
        <v>27131</v>
      </c>
      <c r="B14960" s="787">
        <v>4</v>
      </c>
      <c r="C14960" s="787" t="s">
        <v>27132</v>
      </c>
      <c r="D14960" s="787">
        <v>0</v>
      </c>
      <c r="E14960" s="787">
        <v>0</v>
      </c>
      <c r="H14960" s="787">
        <v>1</v>
      </c>
      <c r="L14960" s="787">
        <v>0</v>
      </c>
      <c r="M14960" s="787">
        <v>10</v>
      </c>
      <c r="N14960" s="787">
        <v>14</v>
      </c>
      <c r="O14960" s="788">
        <v>40848</v>
      </c>
    </row>
    <row r="14961" spans="1:15" x14ac:dyDescent="0.25">
      <c r="A14961" s="786" t="s">
        <v>27133</v>
      </c>
      <c r="B14961" s="787">
        <v>4</v>
      </c>
      <c r="C14961" s="787" t="s">
        <v>27134</v>
      </c>
      <c r="D14961" s="787">
        <v>0</v>
      </c>
      <c r="E14961" s="787">
        <v>0</v>
      </c>
      <c r="H14961" s="787">
        <v>1</v>
      </c>
      <c r="L14961" s="787">
        <v>393.32</v>
      </c>
      <c r="M14961" s="787">
        <v>10</v>
      </c>
      <c r="N14961" s="787">
        <v>221.41</v>
      </c>
      <c r="O14961" s="788">
        <v>42164</v>
      </c>
    </row>
    <row r="14962" spans="1:15" x14ac:dyDescent="0.25">
      <c r="A14962" s="786" t="s">
        <v>27135</v>
      </c>
      <c r="B14962" s="787">
        <v>4</v>
      </c>
      <c r="C14962" s="787" t="s">
        <v>27136</v>
      </c>
      <c r="D14962" s="787">
        <v>0</v>
      </c>
      <c r="E14962" s="787">
        <v>0</v>
      </c>
      <c r="H14962" s="787">
        <v>1</v>
      </c>
      <c r="L14962" s="787">
        <v>0</v>
      </c>
      <c r="M14962" s="787">
        <v>10</v>
      </c>
      <c r="N14962" s="787">
        <v>14</v>
      </c>
      <c r="O14962" s="788">
        <v>40848</v>
      </c>
    </row>
    <row r="14963" spans="1:15" x14ac:dyDescent="0.25">
      <c r="A14963" s="786" t="s">
        <v>27137</v>
      </c>
      <c r="B14963" s="787">
        <v>4</v>
      </c>
      <c r="C14963" s="787" t="s">
        <v>27138</v>
      </c>
      <c r="D14963" s="787">
        <v>0</v>
      </c>
      <c r="E14963" s="787">
        <v>0</v>
      </c>
      <c r="H14963" s="787">
        <v>1</v>
      </c>
      <c r="L14963" s="787">
        <v>75.790000000000006</v>
      </c>
      <c r="M14963" s="787">
        <v>10</v>
      </c>
      <c r="N14963" s="787">
        <v>83.73</v>
      </c>
      <c r="O14963" s="788">
        <v>42082</v>
      </c>
    </row>
    <row r="14964" spans="1:15" x14ac:dyDescent="0.25">
      <c r="A14964" s="786" t="s">
        <v>27139</v>
      </c>
      <c r="B14964" s="787">
        <v>4</v>
      </c>
      <c r="C14964" s="787" t="s">
        <v>27140</v>
      </c>
      <c r="D14964" s="787">
        <v>0</v>
      </c>
      <c r="E14964" s="787">
        <v>0</v>
      </c>
      <c r="H14964" s="787">
        <v>1</v>
      </c>
      <c r="L14964" s="787">
        <v>0</v>
      </c>
      <c r="M14964" s="787">
        <v>10</v>
      </c>
      <c r="N14964" s="787">
        <v>14</v>
      </c>
      <c r="O14964" s="788">
        <v>40848</v>
      </c>
    </row>
    <row r="14965" spans="1:15" x14ac:dyDescent="0.25">
      <c r="A14965" s="786" t="s">
        <v>27141</v>
      </c>
      <c r="B14965" s="787">
        <v>4</v>
      </c>
      <c r="C14965" s="787" t="s">
        <v>27142</v>
      </c>
      <c r="D14965" s="787">
        <v>0</v>
      </c>
      <c r="E14965" s="787">
        <v>0</v>
      </c>
      <c r="H14965" s="787">
        <v>1</v>
      </c>
      <c r="L14965" s="787">
        <v>24.53</v>
      </c>
      <c r="M14965" s="787">
        <v>10</v>
      </c>
      <c r="N14965" s="787">
        <v>33.119999999999997</v>
      </c>
      <c r="O14965" s="788">
        <v>42164</v>
      </c>
    </row>
    <row r="14966" spans="1:15" x14ac:dyDescent="0.25">
      <c r="A14966" s="786" t="s">
        <v>27143</v>
      </c>
      <c r="B14966" s="787">
        <v>4</v>
      </c>
      <c r="C14966" s="787" t="s">
        <v>27144</v>
      </c>
      <c r="D14966" s="787">
        <v>0</v>
      </c>
      <c r="E14966" s="787">
        <v>0</v>
      </c>
      <c r="H14966" s="787">
        <v>1</v>
      </c>
      <c r="L14966" s="787">
        <v>0</v>
      </c>
      <c r="M14966" s="787">
        <v>10</v>
      </c>
      <c r="N14966" s="787">
        <v>14</v>
      </c>
      <c r="O14966" s="788">
        <v>40848</v>
      </c>
    </row>
    <row r="14967" spans="1:15" x14ac:dyDescent="0.25">
      <c r="A14967" s="786" t="s">
        <v>27145</v>
      </c>
      <c r="B14967" s="787">
        <v>4</v>
      </c>
      <c r="C14967" s="787" t="s">
        <v>27146</v>
      </c>
      <c r="D14967" s="787">
        <v>0</v>
      </c>
      <c r="E14967" s="787">
        <v>0</v>
      </c>
      <c r="H14967" s="787">
        <v>1</v>
      </c>
      <c r="L14967" s="787">
        <v>18.75</v>
      </c>
      <c r="M14967" s="787">
        <v>10</v>
      </c>
      <c r="N14967" s="787">
        <v>26.09</v>
      </c>
      <c r="O14967" s="788">
        <v>42164</v>
      </c>
    </row>
    <row r="14968" spans="1:15" x14ac:dyDescent="0.25">
      <c r="A14968" s="786" t="s">
        <v>27147</v>
      </c>
      <c r="B14968" s="787">
        <v>4</v>
      </c>
      <c r="C14968" s="787" t="s">
        <v>27148</v>
      </c>
      <c r="D14968" s="787">
        <v>0</v>
      </c>
      <c r="E14968" s="787">
        <v>0</v>
      </c>
      <c r="H14968" s="787">
        <v>1</v>
      </c>
      <c r="L14968" s="787">
        <v>0</v>
      </c>
      <c r="M14968" s="787">
        <v>10</v>
      </c>
      <c r="N14968" s="787">
        <v>14</v>
      </c>
      <c r="O14968" s="788">
        <v>40848</v>
      </c>
    </row>
    <row r="14969" spans="1:15" x14ac:dyDescent="0.25">
      <c r="A14969" s="786" t="s">
        <v>27149</v>
      </c>
      <c r="B14969" s="787">
        <v>4</v>
      </c>
      <c r="C14969" s="787" t="s">
        <v>27150</v>
      </c>
      <c r="D14969" s="787">
        <v>0</v>
      </c>
      <c r="E14969" s="787">
        <v>0</v>
      </c>
      <c r="H14969" s="787">
        <v>1</v>
      </c>
      <c r="L14969" s="787">
        <v>81.84</v>
      </c>
      <c r="M14969" s="787">
        <v>10</v>
      </c>
      <c r="N14969" s="787">
        <v>72.790000000000006</v>
      </c>
      <c r="O14969" s="788">
        <v>42164</v>
      </c>
    </row>
    <row r="14970" spans="1:15" x14ac:dyDescent="0.25">
      <c r="A14970" s="786" t="s">
        <v>27151</v>
      </c>
      <c r="B14970" s="787">
        <v>4</v>
      </c>
      <c r="C14970" s="787" t="s">
        <v>27152</v>
      </c>
      <c r="D14970" s="787">
        <v>0</v>
      </c>
      <c r="E14970" s="787">
        <v>0</v>
      </c>
      <c r="H14970" s="787">
        <v>1</v>
      </c>
      <c r="L14970" s="787">
        <v>0</v>
      </c>
      <c r="M14970" s="787">
        <v>10</v>
      </c>
      <c r="N14970" s="787">
        <v>14</v>
      </c>
      <c r="O14970" s="788">
        <v>40848</v>
      </c>
    </row>
    <row r="14971" spans="1:15" x14ac:dyDescent="0.25">
      <c r="A14971" s="786" t="s">
        <v>27153</v>
      </c>
      <c r="B14971" s="787">
        <v>4</v>
      </c>
      <c r="C14971" s="787" t="s">
        <v>27154</v>
      </c>
      <c r="D14971" s="787">
        <v>0</v>
      </c>
      <c r="E14971" s="787">
        <v>0</v>
      </c>
      <c r="H14971" s="787">
        <v>1</v>
      </c>
      <c r="L14971" s="787">
        <v>108.04</v>
      </c>
      <c r="M14971" s="787">
        <v>10</v>
      </c>
      <c r="N14971" s="787">
        <v>123.22</v>
      </c>
      <c r="O14971" s="788">
        <v>42164</v>
      </c>
    </row>
    <row r="14972" spans="1:15" x14ac:dyDescent="0.25">
      <c r="A14972" s="786" t="s">
        <v>27155</v>
      </c>
      <c r="B14972" s="787">
        <v>4</v>
      </c>
      <c r="C14972" s="787" t="s">
        <v>27156</v>
      </c>
      <c r="D14972" s="787">
        <v>0</v>
      </c>
      <c r="E14972" s="787">
        <v>0</v>
      </c>
      <c r="H14972" s="787">
        <v>1</v>
      </c>
      <c r="L14972" s="787">
        <v>0</v>
      </c>
      <c r="M14972" s="787">
        <v>10</v>
      </c>
      <c r="N14972" s="787">
        <v>14</v>
      </c>
      <c r="O14972" s="788">
        <v>40848</v>
      </c>
    </row>
    <row r="14973" spans="1:15" x14ac:dyDescent="0.25">
      <c r="A14973" s="786" t="s">
        <v>27157</v>
      </c>
      <c r="B14973" s="787">
        <v>4</v>
      </c>
      <c r="C14973" s="787" t="s">
        <v>27158</v>
      </c>
      <c r="D14973" s="787">
        <v>0</v>
      </c>
      <c r="E14973" s="787">
        <v>0</v>
      </c>
      <c r="H14973" s="787">
        <v>1</v>
      </c>
      <c r="L14973" s="787">
        <v>394.95</v>
      </c>
      <c r="M14973" s="787">
        <v>10</v>
      </c>
      <c r="N14973" s="787">
        <v>225.38</v>
      </c>
      <c r="O14973" s="788">
        <v>42164</v>
      </c>
    </row>
    <row r="14974" spans="1:15" x14ac:dyDescent="0.25">
      <c r="A14974" s="786" t="s">
        <v>27159</v>
      </c>
      <c r="B14974" s="787">
        <v>4</v>
      </c>
      <c r="C14974" s="787" t="s">
        <v>27160</v>
      </c>
      <c r="D14974" s="787">
        <v>0</v>
      </c>
      <c r="E14974" s="787">
        <v>0</v>
      </c>
      <c r="H14974" s="787">
        <v>1</v>
      </c>
      <c r="L14974" s="787">
        <v>0</v>
      </c>
      <c r="M14974" s="787">
        <v>10</v>
      </c>
      <c r="N14974" s="787">
        <v>14</v>
      </c>
      <c r="O14974" s="788">
        <v>40848</v>
      </c>
    </row>
    <row r="14975" spans="1:15" x14ac:dyDescent="0.25">
      <c r="A14975" s="786" t="s">
        <v>27161</v>
      </c>
      <c r="B14975" s="787">
        <v>4</v>
      </c>
      <c r="C14975" s="787" t="s">
        <v>27162</v>
      </c>
      <c r="D14975" s="787">
        <v>0</v>
      </c>
      <c r="E14975" s="787">
        <v>0</v>
      </c>
      <c r="H14975" s="787">
        <v>1</v>
      </c>
      <c r="L14975" s="787">
        <v>16.149999999999999</v>
      </c>
      <c r="M14975" s="787">
        <v>10</v>
      </c>
      <c r="N14975" s="787">
        <v>18.62</v>
      </c>
      <c r="O14975" s="788">
        <v>42164</v>
      </c>
    </row>
    <row r="14976" spans="1:15" x14ac:dyDescent="0.25">
      <c r="A14976" s="786" t="s">
        <v>27163</v>
      </c>
      <c r="B14976" s="787">
        <v>4</v>
      </c>
      <c r="C14976" s="787" t="s">
        <v>27164</v>
      </c>
      <c r="D14976" s="787">
        <v>0</v>
      </c>
      <c r="E14976" s="787">
        <v>0</v>
      </c>
      <c r="H14976" s="787">
        <v>1</v>
      </c>
      <c r="L14976" s="787">
        <v>0</v>
      </c>
      <c r="M14976" s="787">
        <v>10</v>
      </c>
      <c r="N14976" s="787">
        <v>14</v>
      </c>
      <c r="O14976" s="788">
        <v>40848</v>
      </c>
    </row>
    <row r="14977" spans="1:15" x14ac:dyDescent="0.25">
      <c r="A14977" s="786" t="s">
        <v>27165</v>
      </c>
      <c r="B14977" s="787">
        <v>4</v>
      </c>
      <c r="C14977" s="787" t="s">
        <v>27166</v>
      </c>
      <c r="D14977" s="787">
        <v>0</v>
      </c>
      <c r="E14977" s="787">
        <v>0</v>
      </c>
      <c r="H14977" s="787">
        <v>1</v>
      </c>
      <c r="L14977" s="787">
        <v>12.37</v>
      </c>
      <c r="M14977" s="787">
        <v>10</v>
      </c>
      <c r="N14977" s="787">
        <v>13.95</v>
      </c>
      <c r="O14977" s="788">
        <v>42164</v>
      </c>
    </row>
    <row r="14978" spans="1:15" x14ac:dyDescent="0.25">
      <c r="A14978" s="786" t="s">
        <v>27167</v>
      </c>
      <c r="B14978" s="787">
        <v>4</v>
      </c>
      <c r="C14978" s="787" t="s">
        <v>27168</v>
      </c>
      <c r="D14978" s="787">
        <v>0</v>
      </c>
      <c r="E14978" s="787">
        <v>0</v>
      </c>
      <c r="H14978" s="787">
        <v>1</v>
      </c>
      <c r="L14978" s="787">
        <v>0</v>
      </c>
      <c r="M14978" s="787">
        <v>10</v>
      </c>
      <c r="N14978" s="787">
        <v>14</v>
      </c>
      <c r="O14978" s="788">
        <v>40848</v>
      </c>
    </row>
    <row r="14979" spans="1:15" x14ac:dyDescent="0.25">
      <c r="A14979" s="786" t="s">
        <v>27169</v>
      </c>
      <c r="B14979" s="787">
        <v>4</v>
      </c>
      <c r="C14979" s="787" t="s">
        <v>27170</v>
      </c>
      <c r="D14979" s="787">
        <v>0</v>
      </c>
      <c r="E14979" s="787">
        <v>0</v>
      </c>
      <c r="H14979" s="787">
        <v>1</v>
      </c>
      <c r="L14979" s="787">
        <v>63</v>
      </c>
      <c r="M14979" s="787">
        <v>10</v>
      </c>
      <c r="N14979" s="787">
        <v>57.28</v>
      </c>
      <c r="O14979" s="788">
        <v>42164</v>
      </c>
    </row>
    <row r="14980" spans="1:15" x14ac:dyDescent="0.25">
      <c r="A14980" s="786" t="s">
        <v>27171</v>
      </c>
      <c r="B14980" s="787">
        <v>4</v>
      </c>
      <c r="C14980" s="787" t="s">
        <v>27172</v>
      </c>
      <c r="D14980" s="787">
        <v>0</v>
      </c>
      <c r="E14980" s="787">
        <v>0</v>
      </c>
      <c r="H14980" s="787">
        <v>1</v>
      </c>
      <c r="L14980" s="787">
        <v>0</v>
      </c>
      <c r="M14980" s="787">
        <v>10</v>
      </c>
      <c r="N14980" s="787">
        <v>14</v>
      </c>
      <c r="O14980" s="788">
        <v>40848</v>
      </c>
    </row>
    <row r="14981" spans="1:15" x14ac:dyDescent="0.25">
      <c r="A14981" s="786" t="s">
        <v>27173</v>
      </c>
      <c r="B14981" s="787">
        <v>4</v>
      </c>
      <c r="C14981" s="787" t="s">
        <v>27174</v>
      </c>
      <c r="D14981" s="787">
        <v>0</v>
      </c>
      <c r="E14981" s="787">
        <v>0</v>
      </c>
      <c r="H14981" s="787">
        <v>1</v>
      </c>
      <c r="L14981" s="787">
        <v>59.97</v>
      </c>
      <c r="M14981" s="787">
        <v>10</v>
      </c>
      <c r="N14981" s="787">
        <v>90.77</v>
      </c>
      <c r="O14981" s="788">
        <v>42164</v>
      </c>
    </row>
    <row r="14982" spans="1:15" x14ac:dyDescent="0.25">
      <c r="A14982" s="786" t="s">
        <v>27175</v>
      </c>
      <c r="B14982" s="787">
        <v>4</v>
      </c>
      <c r="C14982" s="787" t="s">
        <v>27176</v>
      </c>
      <c r="D14982" s="787">
        <v>0</v>
      </c>
      <c r="E14982" s="787">
        <v>0</v>
      </c>
      <c r="H14982" s="787">
        <v>1</v>
      </c>
      <c r="L14982" s="787">
        <v>0</v>
      </c>
      <c r="M14982" s="787">
        <v>10</v>
      </c>
      <c r="N14982" s="787">
        <v>14</v>
      </c>
      <c r="O14982" s="788">
        <v>40848</v>
      </c>
    </row>
    <row r="14983" spans="1:15" x14ac:dyDescent="0.25">
      <c r="A14983" s="786" t="s">
        <v>27177</v>
      </c>
      <c r="B14983" s="787">
        <v>4</v>
      </c>
      <c r="C14983" s="787" t="s">
        <v>27178</v>
      </c>
      <c r="D14983" s="787">
        <v>0</v>
      </c>
      <c r="E14983" s="787">
        <v>0</v>
      </c>
      <c r="H14983" s="787">
        <v>1</v>
      </c>
      <c r="L14983" s="787">
        <v>391.16</v>
      </c>
      <c r="M14983" s="787">
        <v>10</v>
      </c>
      <c r="N14983" s="787">
        <v>216.15</v>
      </c>
      <c r="O14983" s="788">
        <v>42164</v>
      </c>
    </row>
    <row r="14984" spans="1:15" x14ac:dyDescent="0.25">
      <c r="A14984" s="786" t="s">
        <v>27179</v>
      </c>
      <c r="B14984" s="787">
        <v>4</v>
      </c>
      <c r="C14984" s="787" t="s">
        <v>27180</v>
      </c>
      <c r="D14984" s="787">
        <v>0</v>
      </c>
      <c r="E14984" s="787">
        <v>0</v>
      </c>
      <c r="H14984" s="787">
        <v>1</v>
      </c>
      <c r="L14984" s="787">
        <v>0</v>
      </c>
      <c r="M14984" s="787">
        <v>10</v>
      </c>
      <c r="N14984" s="787">
        <v>14</v>
      </c>
      <c r="O14984" s="788">
        <v>40848</v>
      </c>
    </row>
    <row r="14985" spans="1:15" x14ac:dyDescent="0.25">
      <c r="A14985" s="786" t="s">
        <v>27181</v>
      </c>
      <c r="B14985" s="787">
        <v>4</v>
      </c>
      <c r="C14985" s="787" t="s">
        <v>27182</v>
      </c>
      <c r="D14985" s="787">
        <v>0</v>
      </c>
      <c r="E14985" s="787">
        <v>0</v>
      </c>
      <c r="H14985" s="787">
        <v>1</v>
      </c>
      <c r="L14985" s="787">
        <v>75.790000000000006</v>
      </c>
      <c r="M14985" s="787">
        <v>10</v>
      </c>
      <c r="N14985" s="787">
        <v>83.73</v>
      </c>
      <c r="O14985" s="788">
        <v>42082</v>
      </c>
    </row>
    <row r="14986" spans="1:15" x14ac:dyDescent="0.25">
      <c r="A14986" s="786" t="s">
        <v>27183</v>
      </c>
      <c r="B14986" s="787">
        <v>4</v>
      </c>
      <c r="C14986" s="787" t="s">
        <v>27184</v>
      </c>
      <c r="D14986" s="787">
        <v>0</v>
      </c>
      <c r="E14986" s="787">
        <v>0</v>
      </c>
      <c r="H14986" s="787">
        <v>1</v>
      </c>
      <c r="L14986" s="787">
        <v>0</v>
      </c>
      <c r="M14986" s="787">
        <v>10</v>
      </c>
      <c r="N14986" s="787">
        <v>14</v>
      </c>
      <c r="O14986" s="788">
        <v>40848</v>
      </c>
    </row>
    <row r="14987" spans="1:15" x14ac:dyDescent="0.25">
      <c r="A14987" s="786" t="s">
        <v>27185</v>
      </c>
      <c r="B14987" s="787">
        <v>4</v>
      </c>
      <c r="C14987" s="787" t="s">
        <v>27186</v>
      </c>
      <c r="D14987" s="787">
        <v>0</v>
      </c>
      <c r="E14987" s="787">
        <v>0</v>
      </c>
      <c r="H14987" s="787">
        <v>1</v>
      </c>
      <c r="L14987" s="787">
        <v>17.100000000000001</v>
      </c>
      <c r="M14987" s="787">
        <v>10</v>
      </c>
      <c r="N14987" s="787">
        <v>20.239999999999998</v>
      </c>
      <c r="O14987" s="788">
        <v>42164</v>
      </c>
    </row>
    <row r="14988" spans="1:15" x14ac:dyDescent="0.25">
      <c r="A14988" s="786" t="s">
        <v>27187</v>
      </c>
      <c r="B14988" s="787">
        <v>4</v>
      </c>
      <c r="C14988" s="787" t="s">
        <v>27188</v>
      </c>
      <c r="D14988" s="787">
        <v>0</v>
      </c>
      <c r="E14988" s="787">
        <v>0</v>
      </c>
      <c r="H14988" s="787">
        <v>1</v>
      </c>
      <c r="L14988" s="787">
        <v>0</v>
      </c>
      <c r="M14988" s="787">
        <v>10</v>
      </c>
      <c r="N14988" s="787">
        <v>14</v>
      </c>
      <c r="O14988" s="788">
        <v>40848</v>
      </c>
    </row>
    <row r="14989" spans="1:15" x14ac:dyDescent="0.25">
      <c r="A14989" s="786" t="s">
        <v>27189</v>
      </c>
      <c r="B14989" s="787">
        <v>4</v>
      </c>
      <c r="C14989" s="787" t="s">
        <v>27190</v>
      </c>
      <c r="D14989" s="787">
        <v>0</v>
      </c>
      <c r="E14989" s="787">
        <v>0</v>
      </c>
      <c r="H14989" s="787">
        <v>1</v>
      </c>
      <c r="L14989" s="787">
        <v>13.32</v>
      </c>
      <c r="M14989" s="787">
        <v>10</v>
      </c>
      <c r="N14989" s="787">
        <v>15.58</v>
      </c>
      <c r="O14989" s="788">
        <v>42164</v>
      </c>
    </row>
    <row r="14990" spans="1:15" x14ac:dyDescent="0.25">
      <c r="A14990" s="786" t="s">
        <v>27191</v>
      </c>
      <c r="B14990" s="787">
        <v>4</v>
      </c>
      <c r="C14990" s="787" t="s">
        <v>27192</v>
      </c>
      <c r="D14990" s="787">
        <v>0</v>
      </c>
      <c r="E14990" s="787">
        <v>0</v>
      </c>
      <c r="H14990" s="787">
        <v>1</v>
      </c>
      <c r="L14990" s="787">
        <v>0</v>
      </c>
      <c r="M14990" s="787">
        <v>10</v>
      </c>
      <c r="N14990" s="787">
        <v>14</v>
      </c>
      <c r="O14990" s="788">
        <v>40848</v>
      </c>
    </row>
    <row r="14991" spans="1:15" x14ac:dyDescent="0.25">
      <c r="A14991" s="786" t="s">
        <v>27193</v>
      </c>
      <c r="B14991" s="787">
        <v>4</v>
      </c>
      <c r="C14991" s="787" t="s">
        <v>27194</v>
      </c>
      <c r="D14991" s="787">
        <v>0</v>
      </c>
      <c r="E14991" s="787">
        <v>0</v>
      </c>
      <c r="H14991" s="787">
        <v>1</v>
      </c>
      <c r="L14991" s="787">
        <v>63.95</v>
      </c>
      <c r="M14991" s="787">
        <v>10</v>
      </c>
      <c r="N14991" s="787">
        <v>58.9</v>
      </c>
      <c r="O14991" s="788">
        <v>42164</v>
      </c>
    </row>
    <row r="14992" spans="1:15" x14ac:dyDescent="0.25">
      <c r="A14992" s="786" t="s">
        <v>27195</v>
      </c>
      <c r="B14992" s="787">
        <v>4</v>
      </c>
      <c r="C14992" s="787" t="s">
        <v>27196</v>
      </c>
      <c r="D14992" s="787">
        <v>0</v>
      </c>
      <c r="E14992" s="787">
        <v>0</v>
      </c>
      <c r="H14992" s="787">
        <v>1</v>
      </c>
      <c r="L14992" s="787">
        <v>0</v>
      </c>
      <c r="M14992" s="787">
        <v>10</v>
      </c>
      <c r="N14992" s="787">
        <v>14</v>
      </c>
      <c r="O14992" s="788">
        <v>40848</v>
      </c>
    </row>
    <row r="14993" spans="1:15" x14ac:dyDescent="0.25">
      <c r="A14993" s="786" t="s">
        <v>27197</v>
      </c>
      <c r="B14993" s="787">
        <v>4</v>
      </c>
      <c r="C14993" s="787" t="s">
        <v>27198</v>
      </c>
      <c r="D14993" s="787">
        <v>0</v>
      </c>
      <c r="E14993" s="787">
        <v>0</v>
      </c>
      <c r="H14993" s="787">
        <v>1</v>
      </c>
      <c r="L14993" s="787">
        <v>49.98</v>
      </c>
      <c r="M14993" s="787">
        <v>10</v>
      </c>
      <c r="N14993" s="787">
        <v>88.44</v>
      </c>
      <c r="O14993" s="788">
        <v>42164</v>
      </c>
    </row>
    <row r="14994" spans="1:15" x14ac:dyDescent="0.25">
      <c r="A14994" s="786" t="s">
        <v>27199</v>
      </c>
      <c r="B14994" s="787">
        <v>4</v>
      </c>
      <c r="C14994" s="787" t="s">
        <v>27200</v>
      </c>
      <c r="D14994" s="787">
        <v>0</v>
      </c>
      <c r="E14994" s="787">
        <v>0</v>
      </c>
      <c r="H14994" s="787">
        <v>1</v>
      </c>
      <c r="L14994" s="787">
        <v>0</v>
      </c>
      <c r="M14994" s="787">
        <v>10</v>
      </c>
      <c r="N14994" s="787">
        <v>14</v>
      </c>
      <c r="O14994" s="788">
        <v>40848</v>
      </c>
    </row>
    <row r="14995" spans="1:15" x14ac:dyDescent="0.25">
      <c r="A14995" s="786" t="s">
        <v>27201</v>
      </c>
      <c r="B14995" s="787">
        <v>4</v>
      </c>
      <c r="C14995" s="787" t="s">
        <v>27202</v>
      </c>
      <c r="D14995" s="787">
        <v>0</v>
      </c>
      <c r="E14995" s="787">
        <v>0</v>
      </c>
      <c r="H14995" s="787">
        <v>1</v>
      </c>
      <c r="L14995" s="787">
        <v>392.11</v>
      </c>
      <c r="M14995" s="787">
        <v>10</v>
      </c>
      <c r="N14995" s="787">
        <v>217.77</v>
      </c>
      <c r="O14995" s="788">
        <v>42164</v>
      </c>
    </row>
    <row r="14996" spans="1:15" x14ac:dyDescent="0.25">
      <c r="A14996" s="786" t="s">
        <v>27203</v>
      </c>
      <c r="B14996" s="787">
        <v>4</v>
      </c>
      <c r="C14996" s="787" t="s">
        <v>27204</v>
      </c>
      <c r="D14996" s="787">
        <v>0</v>
      </c>
      <c r="E14996" s="787">
        <v>0</v>
      </c>
      <c r="H14996" s="787">
        <v>1</v>
      </c>
      <c r="L14996" s="787">
        <v>0</v>
      </c>
      <c r="M14996" s="787">
        <v>10</v>
      </c>
      <c r="N14996" s="787">
        <v>14</v>
      </c>
      <c r="O14996" s="788">
        <v>40848</v>
      </c>
    </row>
    <row r="14997" spans="1:15" x14ac:dyDescent="0.25">
      <c r="A14997" s="786" t="s">
        <v>27205</v>
      </c>
      <c r="B14997" s="787">
        <v>4</v>
      </c>
      <c r="C14997" s="787" t="s">
        <v>27206</v>
      </c>
      <c r="D14997" s="787">
        <v>0</v>
      </c>
      <c r="E14997" s="787">
        <v>0</v>
      </c>
      <c r="H14997" s="787">
        <v>1</v>
      </c>
      <c r="K14997" s="788">
        <v>41673</v>
      </c>
      <c r="L14997" s="787">
        <v>12.95</v>
      </c>
      <c r="M14997" s="787">
        <v>10</v>
      </c>
      <c r="N14997" s="787">
        <v>12.95</v>
      </c>
      <c r="O14997" s="788">
        <v>40848</v>
      </c>
    </row>
    <row r="14998" spans="1:15" x14ac:dyDescent="0.25">
      <c r="A14998" s="786" t="s">
        <v>27207</v>
      </c>
      <c r="B14998" s="787">
        <v>4</v>
      </c>
      <c r="C14998" s="787" t="s">
        <v>27208</v>
      </c>
      <c r="D14998" s="787">
        <v>0</v>
      </c>
      <c r="E14998" s="787">
        <v>0</v>
      </c>
      <c r="H14998" s="787">
        <v>1</v>
      </c>
      <c r="L14998" s="787">
        <v>0</v>
      </c>
      <c r="M14998" s="787">
        <v>10</v>
      </c>
      <c r="N14998" s="787">
        <v>12.95</v>
      </c>
      <c r="O14998" s="788">
        <v>40848</v>
      </c>
    </row>
    <row r="14999" spans="1:15" x14ac:dyDescent="0.25">
      <c r="A14999" s="786" t="s">
        <v>27209</v>
      </c>
      <c r="B14999" s="787">
        <v>4</v>
      </c>
      <c r="C14999" s="787" t="s">
        <v>27210</v>
      </c>
      <c r="D14999" s="787">
        <v>0</v>
      </c>
      <c r="E14999" s="787">
        <v>0</v>
      </c>
      <c r="H14999" s="787">
        <v>1</v>
      </c>
      <c r="L14999" s="787">
        <v>0</v>
      </c>
      <c r="M14999" s="787">
        <v>10</v>
      </c>
      <c r="N14999" s="787">
        <v>12.95</v>
      </c>
      <c r="O14999" s="788">
        <v>40848</v>
      </c>
    </row>
    <row r="15000" spans="1:15" x14ac:dyDescent="0.25">
      <c r="A15000" s="786" t="s">
        <v>27211</v>
      </c>
      <c r="B15000" s="787">
        <v>4</v>
      </c>
      <c r="C15000" s="787" t="s">
        <v>27212</v>
      </c>
      <c r="D15000" s="787">
        <v>2.76</v>
      </c>
      <c r="E15000" s="787">
        <v>32.76</v>
      </c>
      <c r="F15000" s="788">
        <v>41886</v>
      </c>
      <c r="G15000" s="788">
        <v>41886</v>
      </c>
      <c r="H15000" s="787">
        <v>1</v>
      </c>
      <c r="I15000" s="788">
        <v>41834</v>
      </c>
      <c r="J15000" s="788">
        <v>41834</v>
      </c>
      <c r="L15000" s="787">
        <v>16.16</v>
      </c>
      <c r="M15000" s="787">
        <v>10</v>
      </c>
      <c r="N15000" s="787">
        <v>21.96</v>
      </c>
      <c r="O15000" s="788">
        <v>42164</v>
      </c>
    </row>
    <row r="15001" spans="1:15" x14ac:dyDescent="0.25">
      <c r="A15001" s="786" t="s">
        <v>27213</v>
      </c>
      <c r="B15001" s="787">
        <v>4</v>
      </c>
      <c r="C15001" s="787" t="s">
        <v>27214</v>
      </c>
      <c r="D15001" s="787">
        <v>0</v>
      </c>
      <c r="E15001" s="787">
        <v>0</v>
      </c>
      <c r="H15001" s="787">
        <v>1</v>
      </c>
      <c r="L15001" s="787">
        <v>0</v>
      </c>
      <c r="M15001" s="787">
        <v>10</v>
      </c>
      <c r="N15001" s="787">
        <v>10.5</v>
      </c>
      <c r="O15001" s="788">
        <v>40848</v>
      </c>
    </row>
    <row r="15002" spans="1:15" x14ac:dyDescent="0.25">
      <c r="A15002" s="786" t="s">
        <v>27215</v>
      </c>
      <c r="B15002" s="787">
        <v>4</v>
      </c>
      <c r="C15002" s="787" t="s">
        <v>27216</v>
      </c>
      <c r="D15002" s="787">
        <v>0</v>
      </c>
      <c r="E15002" s="787">
        <v>0</v>
      </c>
      <c r="H15002" s="787">
        <v>1</v>
      </c>
      <c r="L15002" s="787">
        <v>0</v>
      </c>
      <c r="M15002" s="787">
        <v>10</v>
      </c>
      <c r="N15002" s="787">
        <v>12.95</v>
      </c>
      <c r="O15002" s="788">
        <v>40848</v>
      </c>
    </row>
    <row r="15003" spans="1:15" x14ac:dyDescent="0.25">
      <c r="A15003" s="786" t="s">
        <v>27217</v>
      </c>
      <c r="B15003" s="787">
        <v>4</v>
      </c>
      <c r="C15003" s="787" t="s">
        <v>27218</v>
      </c>
      <c r="D15003" s="787">
        <v>0</v>
      </c>
      <c r="E15003" s="787">
        <v>0</v>
      </c>
      <c r="H15003" s="787">
        <v>1</v>
      </c>
      <c r="K15003" s="788">
        <v>41908</v>
      </c>
      <c r="L15003" s="787">
        <v>12.95</v>
      </c>
      <c r="M15003" s="787">
        <v>10</v>
      </c>
      <c r="N15003" s="787">
        <v>12.95</v>
      </c>
      <c r="O15003" s="788">
        <v>42164</v>
      </c>
    </row>
    <row r="15004" spans="1:15" x14ac:dyDescent="0.25">
      <c r="A15004" s="786" t="s">
        <v>27219</v>
      </c>
      <c r="B15004" s="787">
        <v>4</v>
      </c>
      <c r="C15004" s="787" t="s">
        <v>27220</v>
      </c>
      <c r="D15004" s="787">
        <v>0</v>
      </c>
      <c r="E15004" s="787">
        <v>0</v>
      </c>
      <c r="H15004" s="787">
        <v>1</v>
      </c>
      <c r="L15004" s="787">
        <v>34.57</v>
      </c>
      <c r="M15004" s="787">
        <v>10</v>
      </c>
      <c r="N15004" s="787">
        <v>45.47</v>
      </c>
      <c r="O15004" s="788">
        <v>42164</v>
      </c>
    </row>
    <row r="15005" spans="1:15" x14ac:dyDescent="0.25">
      <c r="A15005" s="786" t="s">
        <v>27221</v>
      </c>
      <c r="B15005" s="787">
        <v>4</v>
      </c>
      <c r="C15005" s="787" t="s">
        <v>27222</v>
      </c>
      <c r="D15005" s="787">
        <v>0</v>
      </c>
      <c r="E15005" s="787">
        <v>0</v>
      </c>
      <c r="H15005" s="787">
        <v>1</v>
      </c>
      <c r="L15005" s="787">
        <v>0</v>
      </c>
      <c r="M15005" s="787">
        <v>10</v>
      </c>
      <c r="N15005" s="787">
        <v>12.95</v>
      </c>
      <c r="O15005" s="788">
        <v>40848</v>
      </c>
    </row>
    <row r="15006" spans="1:15" x14ac:dyDescent="0.25">
      <c r="A15006" s="786" t="s">
        <v>27223</v>
      </c>
      <c r="B15006" s="787">
        <v>4</v>
      </c>
      <c r="C15006" s="787" t="s">
        <v>27224</v>
      </c>
      <c r="D15006" s="787">
        <v>0</v>
      </c>
      <c r="E15006" s="787">
        <v>0</v>
      </c>
      <c r="H15006" s="787">
        <v>1</v>
      </c>
      <c r="L15006" s="787">
        <v>20.260000000000002</v>
      </c>
      <c r="M15006" s="787">
        <v>10</v>
      </c>
      <c r="N15006" s="787">
        <v>40.26</v>
      </c>
      <c r="O15006" s="788">
        <v>42164</v>
      </c>
    </row>
    <row r="15007" spans="1:15" x14ac:dyDescent="0.25">
      <c r="A15007" s="786" t="s">
        <v>27225</v>
      </c>
      <c r="B15007" s="787">
        <v>4</v>
      </c>
      <c r="C15007" s="787" t="s">
        <v>27226</v>
      </c>
      <c r="D15007" s="787">
        <v>0</v>
      </c>
      <c r="E15007" s="787">
        <v>0</v>
      </c>
      <c r="H15007" s="787">
        <v>1</v>
      </c>
      <c r="L15007" s="787">
        <v>0</v>
      </c>
      <c r="M15007" s="787">
        <v>10</v>
      </c>
      <c r="N15007" s="787">
        <v>12.95</v>
      </c>
      <c r="O15007" s="788">
        <v>40848</v>
      </c>
    </row>
    <row r="15008" spans="1:15" x14ac:dyDescent="0.25">
      <c r="A15008" s="786" t="s">
        <v>27227</v>
      </c>
      <c r="B15008" s="787">
        <v>4</v>
      </c>
      <c r="C15008" s="787" t="s">
        <v>27228</v>
      </c>
      <c r="D15008" s="787">
        <v>0</v>
      </c>
      <c r="E15008" s="787">
        <v>0</v>
      </c>
      <c r="H15008" s="787">
        <v>1</v>
      </c>
      <c r="L15008" s="787">
        <v>34.57</v>
      </c>
      <c r="M15008" s="787">
        <v>10</v>
      </c>
      <c r="N15008" s="787">
        <v>45.47</v>
      </c>
      <c r="O15008" s="788">
        <v>42164</v>
      </c>
    </row>
    <row r="15009" spans="1:15" x14ac:dyDescent="0.25">
      <c r="A15009" s="786" t="s">
        <v>27229</v>
      </c>
      <c r="B15009" s="787">
        <v>4</v>
      </c>
      <c r="C15009" s="787" t="s">
        <v>27230</v>
      </c>
      <c r="D15009" s="787">
        <v>0</v>
      </c>
      <c r="E15009" s="787">
        <v>0</v>
      </c>
      <c r="H15009" s="787">
        <v>1</v>
      </c>
      <c r="L15009" s="787">
        <v>0</v>
      </c>
      <c r="M15009" s="787">
        <v>10</v>
      </c>
      <c r="N15009" s="787">
        <v>12.95</v>
      </c>
      <c r="O15009" s="788">
        <v>40848</v>
      </c>
    </row>
    <row r="15010" spans="1:15" x14ac:dyDescent="0.25">
      <c r="A15010" s="786" t="s">
        <v>27231</v>
      </c>
      <c r="B15010" s="787">
        <v>4</v>
      </c>
      <c r="C15010" s="787" t="s">
        <v>27232</v>
      </c>
      <c r="D15010" s="787">
        <v>0</v>
      </c>
      <c r="E15010" s="787">
        <v>0</v>
      </c>
      <c r="H15010" s="787">
        <v>1</v>
      </c>
      <c r="L15010" s="787">
        <v>20.260000000000002</v>
      </c>
      <c r="M15010" s="787">
        <v>10</v>
      </c>
      <c r="N15010" s="787">
        <v>45.47</v>
      </c>
      <c r="O15010" s="788">
        <v>42164</v>
      </c>
    </row>
    <row r="15011" spans="1:15" x14ac:dyDescent="0.25">
      <c r="A15011" s="786" t="s">
        <v>27233</v>
      </c>
      <c r="B15011" s="787">
        <v>4</v>
      </c>
      <c r="C15011" s="787" t="s">
        <v>27234</v>
      </c>
      <c r="D15011" s="787">
        <v>0</v>
      </c>
      <c r="E15011" s="787">
        <v>0</v>
      </c>
      <c r="H15011" s="787">
        <v>1</v>
      </c>
      <c r="L15011" s="787">
        <v>0</v>
      </c>
      <c r="M15011" s="787">
        <v>10</v>
      </c>
      <c r="N15011" s="787">
        <v>12.95</v>
      </c>
      <c r="O15011" s="788">
        <v>40848</v>
      </c>
    </row>
    <row r="15012" spans="1:15" x14ac:dyDescent="0.25">
      <c r="A15012" s="786" t="s">
        <v>27235</v>
      </c>
      <c r="B15012" s="787">
        <v>4</v>
      </c>
      <c r="C15012" s="787" t="s">
        <v>27236</v>
      </c>
      <c r="D15012" s="787">
        <v>0</v>
      </c>
      <c r="E15012" s="787">
        <v>0</v>
      </c>
      <c r="H15012" s="787">
        <v>1</v>
      </c>
      <c r="L15012" s="787">
        <v>198.64</v>
      </c>
      <c r="M15012" s="787">
        <v>10</v>
      </c>
      <c r="N15012" s="787">
        <v>187.49</v>
      </c>
      <c r="O15012" s="788">
        <v>42164</v>
      </c>
    </row>
    <row r="15013" spans="1:15" x14ac:dyDescent="0.25">
      <c r="A15013" s="786" t="s">
        <v>27237</v>
      </c>
      <c r="B15013" s="787">
        <v>4</v>
      </c>
      <c r="C15013" s="787" t="s">
        <v>27238</v>
      </c>
      <c r="D15013" s="787">
        <v>0</v>
      </c>
      <c r="E15013" s="787">
        <v>0</v>
      </c>
      <c r="H15013" s="787">
        <v>1</v>
      </c>
      <c r="L15013" s="787">
        <v>0</v>
      </c>
      <c r="M15013" s="787">
        <v>10</v>
      </c>
      <c r="N15013" s="787">
        <v>16.45</v>
      </c>
      <c r="O15013" s="788">
        <v>40848</v>
      </c>
    </row>
    <row r="15014" spans="1:15" x14ac:dyDescent="0.25">
      <c r="A15014" s="786" t="s">
        <v>27239</v>
      </c>
      <c r="B15014" s="787">
        <v>4</v>
      </c>
      <c r="C15014" s="787" t="s">
        <v>27240</v>
      </c>
      <c r="D15014" s="787">
        <v>0</v>
      </c>
      <c r="E15014" s="787">
        <v>0</v>
      </c>
      <c r="H15014" s="787">
        <v>1</v>
      </c>
      <c r="L15014" s="787">
        <v>70.5</v>
      </c>
      <c r="M15014" s="787">
        <v>10</v>
      </c>
      <c r="N15014" s="787">
        <v>69.849999999999994</v>
      </c>
      <c r="O15014" s="788">
        <v>42164</v>
      </c>
    </row>
    <row r="15015" spans="1:15" x14ac:dyDescent="0.25">
      <c r="A15015" s="786" t="s">
        <v>27241</v>
      </c>
      <c r="B15015" s="787">
        <v>4</v>
      </c>
      <c r="C15015" s="787" t="s">
        <v>27242</v>
      </c>
      <c r="D15015" s="787">
        <v>0</v>
      </c>
      <c r="E15015" s="787">
        <v>0</v>
      </c>
      <c r="H15015" s="787">
        <v>1</v>
      </c>
      <c r="L15015" s="787">
        <v>0</v>
      </c>
      <c r="M15015" s="787">
        <v>10</v>
      </c>
      <c r="N15015" s="787">
        <v>14</v>
      </c>
      <c r="O15015" s="788">
        <v>40848</v>
      </c>
    </row>
    <row r="15016" spans="1:15" x14ac:dyDescent="0.25">
      <c r="A15016" s="786" t="s">
        <v>27243</v>
      </c>
      <c r="B15016" s="787">
        <v>4</v>
      </c>
      <c r="C15016" s="787" t="s">
        <v>27244</v>
      </c>
      <c r="D15016" s="787">
        <v>0</v>
      </c>
      <c r="E15016" s="787">
        <v>0</v>
      </c>
      <c r="H15016" s="787">
        <v>1</v>
      </c>
      <c r="L15016" s="787">
        <v>0.01</v>
      </c>
      <c r="M15016" s="787">
        <v>10</v>
      </c>
      <c r="N15016" s="787">
        <v>0</v>
      </c>
    </row>
    <row r="15017" spans="1:15" x14ac:dyDescent="0.25">
      <c r="A15017" s="786" t="s">
        <v>27245</v>
      </c>
      <c r="B15017" s="787">
        <v>4</v>
      </c>
      <c r="C15017" s="787" t="s">
        <v>27246</v>
      </c>
      <c r="D15017" s="787">
        <v>0</v>
      </c>
      <c r="E15017" s="787">
        <v>0</v>
      </c>
      <c r="H15017" s="787">
        <v>1</v>
      </c>
      <c r="L15017" s="787">
        <v>0.01</v>
      </c>
      <c r="M15017" s="787">
        <v>10</v>
      </c>
      <c r="N15017" s="787">
        <v>0</v>
      </c>
    </row>
    <row r="15018" spans="1:15" x14ac:dyDescent="0.25">
      <c r="A15018" s="786" t="s">
        <v>27247</v>
      </c>
      <c r="B15018" s="787">
        <v>4</v>
      </c>
      <c r="C15018" s="787" t="s">
        <v>27248</v>
      </c>
      <c r="D15018" s="787">
        <v>0</v>
      </c>
      <c r="E15018" s="787">
        <v>0</v>
      </c>
      <c r="H15018" s="787">
        <v>1</v>
      </c>
      <c r="L15018" s="787">
        <v>0</v>
      </c>
      <c r="M15018" s="787">
        <v>10</v>
      </c>
      <c r="N15018" s="787">
        <v>28.35</v>
      </c>
      <c r="O15018" s="788">
        <v>40848</v>
      </c>
    </row>
    <row r="15019" spans="1:15" x14ac:dyDescent="0.25">
      <c r="A15019" s="786" t="s">
        <v>27249</v>
      </c>
      <c r="B15019" s="787">
        <v>4</v>
      </c>
      <c r="C15019" s="787" t="s">
        <v>27250</v>
      </c>
      <c r="D15019" s="787">
        <v>0</v>
      </c>
      <c r="E15019" s="787">
        <v>0</v>
      </c>
      <c r="H15019" s="787">
        <v>1</v>
      </c>
      <c r="K15019" s="788">
        <v>41032</v>
      </c>
      <c r="L15019" s="787">
        <v>89.28</v>
      </c>
      <c r="M15019" s="787">
        <v>10</v>
      </c>
      <c r="N15019" s="787">
        <v>74.39</v>
      </c>
      <c r="O15019" s="788">
        <v>42164</v>
      </c>
    </row>
    <row r="15020" spans="1:15" x14ac:dyDescent="0.25">
      <c r="A15020" s="786" t="s">
        <v>27251</v>
      </c>
      <c r="B15020" s="787">
        <v>4</v>
      </c>
      <c r="C15020" s="787" t="s">
        <v>27252</v>
      </c>
      <c r="D15020" s="787">
        <v>0</v>
      </c>
      <c r="E15020" s="787">
        <v>0</v>
      </c>
      <c r="H15020" s="787">
        <v>1</v>
      </c>
      <c r="L15020" s="787">
        <v>0</v>
      </c>
      <c r="M15020" s="787">
        <v>10</v>
      </c>
      <c r="N15020" s="787">
        <v>28.35</v>
      </c>
      <c r="O15020" s="788">
        <v>40848</v>
      </c>
    </row>
    <row r="15021" spans="1:15" x14ac:dyDescent="0.25">
      <c r="A15021" s="786" t="s">
        <v>27253</v>
      </c>
      <c r="B15021" s="787">
        <v>4</v>
      </c>
      <c r="C15021" s="787" t="s">
        <v>27254</v>
      </c>
      <c r="D15021" s="787">
        <v>0</v>
      </c>
      <c r="E15021" s="787">
        <v>0</v>
      </c>
      <c r="H15021" s="787">
        <v>1</v>
      </c>
      <c r="K15021" s="788">
        <v>41032</v>
      </c>
      <c r="L15021" s="787">
        <v>89.28</v>
      </c>
      <c r="M15021" s="787">
        <v>10</v>
      </c>
      <c r="N15021" s="787">
        <v>74.39</v>
      </c>
      <c r="O15021" s="788">
        <v>42164</v>
      </c>
    </row>
    <row r="15022" spans="1:15" x14ac:dyDescent="0.25">
      <c r="A15022" s="786" t="s">
        <v>27255</v>
      </c>
      <c r="B15022" s="787">
        <v>4</v>
      </c>
      <c r="C15022" s="787" t="s">
        <v>27256</v>
      </c>
      <c r="D15022" s="787">
        <v>0</v>
      </c>
      <c r="E15022" s="787">
        <v>0</v>
      </c>
      <c r="H15022" s="787">
        <v>1</v>
      </c>
      <c r="L15022" s="787">
        <v>0</v>
      </c>
      <c r="M15022" s="787">
        <v>10</v>
      </c>
      <c r="N15022" s="787">
        <v>28.35</v>
      </c>
      <c r="O15022" s="788">
        <v>40848</v>
      </c>
    </row>
    <row r="15023" spans="1:15" x14ac:dyDescent="0.25">
      <c r="A15023" s="786" t="s">
        <v>27257</v>
      </c>
      <c r="B15023" s="787">
        <v>4</v>
      </c>
      <c r="C15023" s="787" t="s">
        <v>27258</v>
      </c>
      <c r="D15023" s="787">
        <v>0</v>
      </c>
      <c r="E15023" s="787">
        <v>0</v>
      </c>
      <c r="H15023" s="787">
        <v>1</v>
      </c>
      <c r="L15023" s="787">
        <v>0</v>
      </c>
      <c r="M15023" s="787">
        <v>10</v>
      </c>
      <c r="N15023" s="787">
        <v>0</v>
      </c>
      <c r="O15023" s="788">
        <v>40824</v>
      </c>
    </row>
    <row r="15024" spans="1:15" x14ac:dyDescent="0.25">
      <c r="A15024" s="786" t="s">
        <v>27259</v>
      </c>
      <c r="B15024" s="787">
        <v>4</v>
      </c>
      <c r="C15024" s="787" t="s">
        <v>27260</v>
      </c>
      <c r="D15024" s="787">
        <v>0</v>
      </c>
      <c r="E15024" s="787">
        <v>0</v>
      </c>
      <c r="H15024" s="787">
        <v>1</v>
      </c>
      <c r="L15024" s="787">
        <v>0</v>
      </c>
      <c r="M15024" s="787">
        <v>10</v>
      </c>
      <c r="N15024" s="787">
        <v>28.35</v>
      </c>
      <c r="O15024" s="788">
        <v>40848</v>
      </c>
    </row>
    <row r="15025" spans="1:15" x14ac:dyDescent="0.25">
      <c r="A15025" s="786" t="s">
        <v>27261</v>
      </c>
      <c r="B15025" s="787">
        <v>4</v>
      </c>
      <c r="C15025" s="787" t="s">
        <v>27262</v>
      </c>
      <c r="D15025" s="787">
        <v>0</v>
      </c>
      <c r="E15025" s="787">
        <v>0</v>
      </c>
      <c r="H15025" s="787">
        <v>1</v>
      </c>
      <c r="L15025" s="787">
        <v>0</v>
      </c>
      <c r="M15025" s="787">
        <v>10</v>
      </c>
      <c r="N15025" s="787">
        <v>32.200000000000003</v>
      </c>
      <c r="O15025" s="788">
        <v>40848</v>
      </c>
    </row>
    <row r="15026" spans="1:15" x14ac:dyDescent="0.25">
      <c r="A15026" s="786" t="s">
        <v>27263</v>
      </c>
      <c r="B15026" s="787">
        <v>4</v>
      </c>
      <c r="C15026" s="787" t="s">
        <v>27264</v>
      </c>
      <c r="D15026" s="787">
        <v>0</v>
      </c>
      <c r="E15026" s="787">
        <v>0</v>
      </c>
      <c r="H15026" s="787">
        <v>1</v>
      </c>
      <c r="L15026" s="787">
        <v>0</v>
      </c>
      <c r="M15026" s="787">
        <v>10</v>
      </c>
      <c r="N15026" s="787">
        <v>32.200000000000003</v>
      </c>
      <c r="O15026" s="788">
        <v>40848</v>
      </c>
    </row>
    <row r="15027" spans="1:15" x14ac:dyDescent="0.25">
      <c r="A15027" s="786" t="s">
        <v>27265</v>
      </c>
      <c r="B15027" s="787">
        <v>4</v>
      </c>
      <c r="C15027" s="787" t="s">
        <v>27266</v>
      </c>
      <c r="D15027" s="787">
        <v>0</v>
      </c>
      <c r="E15027" s="787">
        <v>0</v>
      </c>
      <c r="H15027" s="787">
        <v>1</v>
      </c>
      <c r="L15027" s="787">
        <v>0</v>
      </c>
      <c r="M15027" s="787">
        <v>10</v>
      </c>
      <c r="N15027" s="787">
        <v>25.2</v>
      </c>
      <c r="O15027" s="788">
        <v>40848</v>
      </c>
    </row>
    <row r="15028" spans="1:15" x14ac:dyDescent="0.25">
      <c r="A15028" s="786" t="s">
        <v>27267</v>
      </c>
      <c r="B15028" s="787">
        <v>4</v>
      </c>
      <c r="C15028" s="787" t="s">
        <v>27268</v>
      </c>
      <c r="D15028" s="787">
        <v>0</v>
      </c>
      <c r="E15028" s="787">
        <v>0</v>
      </c>
      <c r="H15028" s="787">
        <v>1</v>
      </c>
      <c r="L15028" s="787">
        <v>0</v>
      </c>
      <c r="M15028" s="787">
        <v>10</v>
      </c>
      <c r="N15028" s="787">
        <v>28.35</v>
      </c>
      <c r="O15028" s="788">
        <v>40848</v>
      </c>
    </row>
    <row r="15029" spans="1:15" x14ac:dyDescent="0.25">
      <c r="A15029" s="786" t="s">
        <v>27269</v>
      </c>
      <c r="B15029" s="787">
        <v>4</v>
      </c>
      <c r="C15029" s="787" t="s">
        <v>27270</v>
      </c>
      <c r="D15029" s="787">
        <v>0</v>
      </c>
      <c r="E15029" s="787">
        <v>0</v>
      </c>
      <c r="H15029" s="787">
        <v>1</v>
      </c>
      <c r="L15029" s="787">
        <v>0</v>
      </c>
      <c r="M15029" s="787">
        <v>10</v>
      </c>
      <c r="N15029" s="787">
        <v>46.2</v>
      </c>
      <c r="O15029" s="788">
        <v>40848</v>
      </c>
    </row>
    <row r="15030" spans="1:15" x14ac:dyDescent="0.25">
      <c r="A15030" s="786" t="s">
        <v>27271</v>
      </c>
      <c r="B15030" s="787">
        <v>4</v>
      </c>
      <c r="C15030" s="787" t="s">
        <v>27272</v>
      </c>
      <c r="D15030" s="787">
        <v>0</v>
      </c>
      <c r="E15030" s="787">
        <v>0</v>
      </c>
      <c r="H15030" s="787">
        <v>6</v>
      </c>
      <c r="L15030" s="787">
        <v>110</v>
      </c>
      <c r="M15030" s="787">
        <v>10</v>
      </c>
      <c r="N15030" s="787">
        <v>180.87</v>
      </c>
      <c r="O15030" s="788">
        <v>41814</v>
      </c>
    </row>
    <row r="15031" spans="1:15" x14ac:dyDescent="0.25">
      <c r="A15031" s="786" t="s">
        <v>27273</v>
      </c>
      <c r="B15031" s="787">
        <v>4</v>
      </c>
      <c r="C15031" s="787" t="s">
        <v>27274</v>
      </c>
      <c r="D15031" s="787">
        <v>0</v>
      </c>
      <c r="E15031" s="787">
        <v>0</v>
      </c>
      <c r="H15031" s="787">
        <v>1</v>
      </c>
      <c r="L15031" s="787">
        <v>0</v>
      </c>
      <c r="M15031" s="787">
        <v>10</v>
      </c>
      <c r="N15031" s="787">
        <v>31.5</v>
      </c>
      <c r="O15031" s="788">
        <v>40848</v>
      </c>
    </row>
    <row r="15032" spans="1:15" x14ac:dyDescent="0.25">
      <c r="A15032" s="786" t="s">
        <v>27275</v>
      </c>
      <c r="B15032" s="787">
        <v>4</v>
      </c>
      <c r="C15032" s="787" t="s">
        <v>27276</v>
      </c>
      <c r="D15032" s="787">
        <v>0</v>
      </c>
      <c r="E15032" s="787">
        <v>0</v>
      </c>
      <c r="H15032" s="787">
        <v>6</v>
      </c>
      <c r="L15032" s="787">
        <v>130</v>
      </c>
      <c r="M15032" s="787">
        <v>10</v>
      </c>
      <c r="N15032" s="787">
        <v>180.92</v>
      </c>
      <c r="O15032" s="788">
        <v>41697</v>
      </c>
    </row>
    <row r="15033" spans="1:15" x14ac:dyDescent="0.25">
      <c r="A15033" s="786" t="s">
        <v>27277</v>
      </c>
      <c r="B15033" s="787">
        <v>4</v>
      </c>
      <c r="C15033" s="787" t="s">
        <v>27278</v>
      </c>
      <c r="D15033" s="787">
        <v>0</v>
      </c>
      <c r="E15033" s="787">
        <v>0</v>
      </c>
      <c r="H15033" s="787">
        <v>1</v>
      </c>
      <c r="L15033" s="787">
        <v>0</v>
      </c>
      <c r="M15033" s="787">
        <v>10</v>
      </c>
      <c r="N15033" s="787">
        <v>42</v>
      </c>
      <c r="O15033" s="788">
        <v>40848</v>
      </c>
    </row>
    <row r="15034" spans="1:15" x14ac:dyDescent="0.25">
      <c r="A15034" s="786" t="s">
        <v>27279</v>
      </c>
      <c r="B15034" s="787">
        <v>4</v>
      </c>
      <c r="C15034" s="787" t="s">
        <v>27280</v>
      </c>
      <c r="D15034" s="787">
        <v>0</v>
      </c>
      <c r="E15034" s="787">
        <v>0</v>
      </c>
      <c r="H15034" s="787">
        <v>1</v>
      </c>
      <c r="K15034" s="788">
        <v>40849</v>
      </c>
      <c r="L15034" s="787">
        <v>4.26</v>
      </c>
      <c r="M15034" s="787">
        <v>10</v>
      </c>
      <c r="N15034" s="787">
        <v>2.7</v>
      </c>
      <c r="O15034" s="788">
        <v>42065</v>
      </c>
    </row>
    <row r="15035" spans="1:15" x14ac:dyDescent="0.25">
      <c r="A15035" s="786" t="s">
        <v>27281</v>
      </c>
      <c r="B15035" s="787">
        <v>4</v>
      </c>
      <c r="C15035" s="787" t="s">
        <v>27282</v>
      </c>
      <c r="D15035" s="787">
        <v>0</v>
      </c>
      <c r="E15035" s="787">
        <v>0</v>
      </c>
      <c r="H15035" s="787">
        <v>1</v>
      </c>
      <c r="K15035" s="788">
        <v>41824</v>
      </c>
      <c r="L15035" s="787">
        <v>5.6</v>
      </c>
      <c r="M15035" s="787">
        <v>10</v>
      </c>
      <c r="N15035" s="787">
        <v>5.6</v>
      </c>
      <c r="O15035" s="788">
        <v>41858</v>
      </c>
    </row>
    <row r="15036" spans="1:15" x14ac:dyDescent="0.25">
      <c r="A15036" s="786" t="s">
        <v>27283</v>
      </c>
      <c r="B15036" s="787">
        <v>4</v>
      </c>
      <c r="C15036" s="787" t="s">
        <v>27284</v>
      </c>
      <c r="D15036" s="787">
        <v>0</v>
      </c>
      <c r="E15036" s="787">
        <v>0</v>
      </c>
      <c r="H15036" s="787">
        <v>1</v>
      </c>
      <c r="K15036" s="788">
        <v>40849</v>
      </c>
      <c r="L15036" s="787">
        <v>15.82</v>
      </c>
      <c r="M15036" s="787">
        <v>10</v>
      </c>
      <c r="N15036" s="787">
        <v>16.54</v>
      </c>
      <c r="O15036" s="788">
        <v>42065</v>
      </c>
    </row>
    <row r="15037" spans="1:15" x14ac:dyDescent="0.25">
      <c r="A15037" s="786" t="s">
        <v>27285</v>
      </c>
      <c r="B15037" s="787">
        <v>4</v>
      </c>
      <c r="C15037" s="787" t="s">
        <v>27286</v>
      </c>
      <c r="D15037" s="787">
        <v>0</v>
      </c>
      <c r="E15037" s="787">
        <v>0</v>
      </c>
      <c r="H15037" s="787">
        <v>1</v>
      </c>
      <c r="L15037" s="787">
        <v>0</v>
      </c>
      <c r="M15037" s="787">
        <v>10</v>
      </c>
      <c r="N15037" s="787">
        <v>5.6</v>
      </c>
      <c r="O15037" s="788">
        <v>40848</v>
      </c>
    </row>
    <row r="15038" spans="1:15" x14ac:dyDescent="0.25">
      <c r="A15038" s="786" t="s">
        <v>27287</v>
      </c>
      <c r="B15038" s="787">
        <v>4</v>
      </c>
      <c r="C15038" s="787" t="s">
        <v>27288</v>
      </c>
      <c r="D15038" s="787">
        <v>0</v>
      </c>
      <c r="E15038" s="787">
        <v>0</v>
      </c>
      <c r="H15038" s="787">
        <v>1</v>
      </c>
      <c r="L15038" s="787">
        <v>43.42</v>
      </c>
      <c r="M15038" s="787">
        <v>10</v>
      </c>
      <c r="N15038" s="787">
        <v>46.17</v>
      </c>
      <c r="O15038" s="788">
        <v>42164</v>
      </c>
    </row>
    <row r="15039" spans="1:15" x14ac:dyDescent="0.25">
      <c r="A15039" s="786" t="s">
        <v>27289</v>
      </c>
      <c r="B15039" s="787">
        <v>4</v>
      </c>
      <c r="C15039" s="787" t="s">
        <v>27290</v>
      </c>
      <c r="D15039" s="787">
        <v>0</v>
      </c>
      <c r="E15039" s="787">
        <v>0</v>
      </c>
      <c r="H15039" s="787">
        <v>1</v>
      </c>
      <c r="L15039" s="787">
        <v>0</v>
      </c>
      <c r="M15039" s="787">
        <v>10</v>
      </c>
      <c r="N15039" s="787">
        <v>5.6</v>
      </c>
      <c r="O15039" s="788">
        <v>40848</v>
      </c>
    </row>
    <row r="15040" spans="1:15" x14ac:dyDescent="0.25">
      <c r="A15040" s="786" t="s">
        <v>27291</v>
      </c>
      <c r="B15040" s="787">
        <v>4</v>
      </c>
      <c r="C15040" s="787" t="s">
        <v>27292</v>
      </c>
      <c r="D15040" s="787">
        <v>0</v>
      </c>
      <c r="E15040" s="787">
        <v>0</v>
      </c>
      <c r="H15040" s="787">
        <v>1</v>
      </c>
      <c r="K15040" s="788">
        <v>40849</v>
      </c>
      <c r="L15040" s="787">
        <v>8.89</v>
      </c>
      <c r="M15040" s="787">
        <v>10</v>
      </c>
      <c r="N15040" s="787">
        <v>13.91</v>
      </c>
      <c r="O15040" s="788">
        <v>42164</v>
      </c>
    </row>
    <row r="15041" spans="1:15" x14ac:dyDescent="0.25">
      <c r="A15041" s="786" t="s">
        <v>27293</v>
      </c>
      <c r="B15041" s="787">
        <v>4</v>
      </c>
      <c r="C15041" s="787" t="s">
        <v>27294</v>
      </c>
      <c r="D15041" s="787">
        <v>0</v>
      </c>
      <c r="E15041" s="787">
        <v>0</v>
      </c>
      <c r="H15041" s="787">
        <v>1</v>
      </c>
      <c r="L15041" s="787">
        <v>0</v>
      </c>
      <c r="M15041" s="787">
        <v>10</v>
      </c>
      <c r="N15041" s="787">
        <v>5.6</v>
      </c>
      <c r="O15041" s="788">
        <v>40848</v>
      </c>
    </row>
    <row r="15042" spans="1:15" x14ac:dyDescent="0.25">
      <c r="A15042" s="786" t="s">
        <v>27295</v>
      </c>
      <c r="B15042" s="787">
        <v>4</v>
      </c>
      <c r="C15042" s="787" t="s">
        <v>27296</v>
      </c>
      <c r="D15042" s="787">
        <v>0</v>
      </c>
      <c r="E15042" s="787">
        <v>0</v>
      </c>
      <c r="H15042" s="787">
        <v>1</v>
      </c>
      <c r="K15042" s="788">
        <v>40849</v>
      </c>
      <c r="L15042" s="787">
        <v>17.96</v>
      </c>
      <c r="M15042" s="787">
        <v>10</v>
      </c>
      <c r="N15042" s="787">
        <v>20.010000000000002</v>
      </c>
      <c r="O15042" s="788">
        <v>42164</v>
      </c>
    </row>
    <row r="15043" spans="1:15" x14ac:dyDescent="0.25">
      <c r="A15043" s="786" t="s">
        <v>27297</v>
      </c>
      <c r="B15043" s="787">
        <v>4</v>
      </c>
      <c r="C15043" s="787" t="s">
        <v>27296</v>
      </c>
      <c r="D15043" s="787">
        <v>0</v>
      </c>
      <c r="E15043" s="787">
        <v>0</v>
      </c>
      <c r="H15043" s="787">
        <v>1</v>
      </c>
      <c r="L15043" s="787">
        <v>0</v>
      </c>
      <c r="M15043" s="787">
        <v>10</v>
      </c>
      <c r="N15043" s="787">
        <v>5.6</v>
      </c>
      <c r="O15043" s="788">
        <v>40848</v>
      </c>
    </row>
    <row r="15044" spans="1:15" x14ac:dyDescent="0.25">
      <c r="A15044" s="786" t="s">
        <v>27298</v>
      </c>
      <c r="B15044" s="787">
        <v>4</v>
      </c>
      <c r="C15044" s="787" t="s">
        <v>27299</v>
      </c>
      <c r="D15044" s="787">
        <v>0</v>
      </c>
      <c r="E15044" s="787">
        <v>0</v>
      </c>
      <c r="H15044" s="787">
        <v>1</v>
      </c>
      <c r="L15044" s="787">
        <v>45.56</v>
      </c>
      <c r="M15044" s="787">
        <v>10</v>
      </c>
      <c r="N15044" s="787">
        <v>49.64</v>
      </c>
      <c r="O15044" s="788">
        <v>42164</v>
      </c>
    </row>
    <row r="15045" spans="1:15" x14ac:dyDescent="0.25">
      <c r="A15045" s="786" t="s">
        <v>27300</v>
      </c>
      <c r="B15045" s="787">
        <v>4</v>
      </c>
      <c r="C15045" s="787" t="s">
        <v>27299</v>
      </c>
      <c r="D15045" s="787">
        <v>0</v>
      </c>
      <c r="E15045" s="787">
        <v>0</v>
      </c>
      <c r="H15045" s="787">
        <v>1</v>
      </c>
      <c r="L15045" s="787">
        <v>0</v>
      </c>
      <c r="M15045" s="787">
        <v>10</v>
      </c>
      <c r="N15045" s="787">
        <v>5.6</v>
      </c>
      <c r="O15045" s="788">
        <v>40848</v>
      </c>
    </row>
    <row r="15046" spans="1:15" x14ac:dyDescent="0.25">
      <c r="A15046" s="786" t="s">
        <v>27301</v>
      </c>
      <c r="B15046" s="787">
        <v>4</v>
      </c>
      <c r="C15046" s="787" t="s">
        <v>27302</v>
      </c>
      <c r="D15046" s="787">
        <v>0</v>
      </c>
      <c r="E15046" s="787">
        <v>0</v>
      </c>
      <c r="H15046" s="787">
        <v>1</v>
      </c>
      <c r="L15046" s="787">
        <v>31.55</v>
      </c>
      <c r="M15046" s="787">
        <v>10</v>
      </c>
      <c r="N15046" s="787">
        <v>33.92</v>
      </c>
      <c r="O15046" s="788">
        <v>42164</v>
      </c>
    </row>
    <row r="15047" spans="1:15" x14ac:dyDescent="0.25">
      <c r="A15047" s="786" t="s">
        <v>27303</v>
      </c>
      <c r="B15047" s="787">
        <v>4</v>
      </c>
      <c r="C15047" s="787" t="s">
        <v>27304</v>
      </c>
      <c r="D15047" s="787">
        <v>0</v>
      </c>
      <c r="E15047" s="787">
        <v>0</v>
      </c>
      <c r="H15047" s="787">
        <v>1</v>
      </c>
      <c r="L15047" s="787">
        <v>0</v>
      </c>
      <c r="M15047" s="787">
        <v>10</v>
      </c>
      <c r="N15047" s="787">
        <v>5.6</v>
      </c>
      <c r="O15047" s="788">
        <v>40848</v>
      </c>
    </row>
    <row r="15048" spans="1:15" x14ac:dyDescent="0.25">
      <c r="A15048" s="786" t="s">
        <v>27305</v>
      </c>
      <c r="B15048" s="787">
        <v>4</v>
      </c>
      <c r="C15048" s="787" t="s">
        <v>27306</v>
      </c>
      <c r="D15048" s="787">
        <v>0</v>
      </c>
      <c r="E15048" s="787">
        <v>0</v>
      </c>
      <c r="H15048" s="787">
        <v>1</v>
      </c>
      <c r="L15048" s="787">
        <v>1.76</v>
      </c>
      <c r="M15048" s="787">
        <v>10</v>
      </c>
      <c r="N15048" s="787">
        <v>1.39</v>
      </c>
      <c r="O15048" s="788">
        <v>42164</v>
      </c>
    </row>
    <row r="15049" spans="1:15" x14ac:dyDescent="0.25">
      <c r="A15049" s="786" t="s">
        <v>27307</v>
      </c>
      <c r="B15049" s="787">
        <v>4</v>
      </c>
      <c r="C15049" s="787" t="s">
        <v>27308</v>
      </c>
      <c r="D15049" s="787">
        <v>0</v>
      </c>
      <c r="E15049" s="787">
        <v>0</v>
      </c>
      <c r="H15049" s="787">
        <v>1</v>
      </c>
      <c r="L15049" s="787">
        <v>0</v>
      </c>
      <c r="M15049" s="787">
        <v>10</v>
      </c>
      <c r="N15049" s="787">
        <v>5.6</v>
      </c>
      <c r="O15049" s="788">
        <v>40848</v>
      </c>
    </row>
    <row r="15050" spans="1:15" x14ac:dyDescent="0.25">
      <c r="A15050" s="786" t="s">
        <v>27309</v>
      </c>
      <c r="B15050" s="787">
        <v>4</v>
      </c>
      <c r="C15050" s="787" t="s">
        <v>27310</v>
      </c>
      <c r="D15050" s="787">
        <v>0</v>
      </c>
      <c r="E15050" s="787">
        <v>0</v>
      </c>
      <c r="H15050" s="787">
        <v>1</v>
      </c>
      <c r="L15050" s="787">
        <v>3.9</v>
      </c>
      <c r="M15050" s="787">
        <v>10</v>
      </c>
      <c r="N15050" s="787">
        <v>4.8600000000000003</v>
      </c>
      <c r="O15050" s="788">
        <v>42164</v>
      </c>
    </row>
    <row r="15051" spans="1:15" x14ac:dyDescent="0.25">
      <c r="A15051" s="786" t="s">
        <v>27311</v>
      </c>
      <c r="B15051" s="787">
        <v>4</v>
      </c>
      <c r="C15051" s="787" t="s">
        <v>27310</v>
      </c>
      <c r="D15051" s="787">
        <v>0</v>
      </c>
      <c r="E15051" s="787">
        <v>0</v>
      </c>
      <c r="H15051" s="787">
        <v>1</v>
      </c>
      <c r="L15051" s="787">
        <v>0</v>
      </c>
      <c r="M15051" s="787">
        <v>10</v>
      </c>
      <c r="N15051" s="787">
        <v>5.6</v>
      </c>
      <c r="O15051" s="788">
        <v>40848</v>
      </c>
    </row>
    <row r="15052" spans="1:15" x14ac:dyDescent="0.25">
      <c r="A15052" s="786" t="s">
        <v>27312</v>
      </c>
      <c r="B15052" s="787">
        <v>4</v>
      </c>
      <c r="C15052" s="787" t="s">
        <v>27313</v>
      </c>
      <c r="D15052" s="787">
        <v>0</v>
      </c>
      <c r="E15052" s="787">
        <v>0</v>
      </c>
      <c r="H15052" s="787">
        <v>1</v>
      </c>
      <c r="L15052" s="787">
        <v>202.26</v>
      </c>
      <c r="M15052" s="787">
        <v>10</v>
      </c>
      <c r="N15052" s="787">
        <v>219.56</v>
      </c>
      <c r="O15052" s="788">
        <v>42164</v>
      </c>
    </row>
    <row r="15053" spans="1:15" x14ac:dyDescent="0.25">
      <c r="A15053" s="786" t="s">
        <v>27314</v>
      </c>
      <c r="B15053" s="787">
        <v>4</v>
      </c>
      <c r="C15053" s="787" t="s">
        <v>27315</v>
      </c>
      <c r="D15053" s="787">
        <v>0</v>
      </c>
      <c r="E15053" s="787">
        <v>0</v>
      </c>
      <c r="H15053" s="787">
        <v>1</v>
      </c>
      <c r="L15053" s="787">
        <v>0</v>
      </c>
      <c r="M15053" s="787">
        <v>10</v>
      </c>
      <c r="N15053" s="787">
        <v>17.850000000000001</v>
      </c>
      <c r="O15053" s="788">
        <v>40848</v>
      </c>
    </row>
    <row r="15054" spans="1:15" x14ac:dyDescent="0.25">
      <c r="A15054" s="786" t="s">
        <v>27316</v>
      </c>
      <c r="B15054" s="787">
        <v>4</v>
      </c>
      <c r="C15054" s="787" t="s">
        <v>27317</v>
      </c>
      <c r="D15054" s="787">
        <v>0</v>
      </c>
      <c r="E15054" s="787">
        <v>0</v>
      </c>
      <c r="H15054" s="787">
        <v>1</v>
      </c>
      <c r="L15054" s="787">
        <v>0</v>
      </c>
      <c r="M15054" s="787">
        <v>10</v>
      </c>
      <c r="N15054" s="787">
        <v>14</v>
      </c>
      <c r="O15054" s="788">
        <v>40848</v>
      </c>
    </row>
    <row r="15055" spans="1:15" x14ac:dyDescent="0.25">
      <c r="A15055" s="786" t="s">
        <v>27318</v>
      </c>
      <c r="B15055" s="787">
        <v>4</v>
      </c>
      <c r="C15055" s="787" t="s">
        <v>27319</v>
      </c>
      <c r="D15055" s="787">
        <v>0</v>
      </c>
      <c r="E15055" s="787">
        <v>0</v>
      </c>
      <c r="H15055" s="787">
        <v>1</v>
      </c>
      <c r="L15055" s="787">
        <v>0</v>
      </c>
      <c r="M15055" s="787">
        <v>10</v>
      </c>
      <c r="N15055" s="787">
        <v>14</v>
      </c>
      <c r="O15055" s="788">
        <v>40848</v>
      </c>
    </row>
    <row r="15056" spans="1:15" x14ac:dyDescent="0.25">
      <c r="A15056" s="786" t="s">
        <v>27320</v>
      </c>
      <c r="B15056" s="787">
        <v>4</v>
      </c>
      <c r="C15056" s="787" t="s">
        <v>27321</v>
      </c>
      <c r="D15056" s="787">
        <v>0</v>
      </c>
      <c r="E15056" s="787">
        <v>0</v>
      </c>
      <c r="H15056" s="787">
        <v>1</v>
      </c>
      <c r="K15056" s="788">
        <v>41032</v>
      </c>
      <c r="L15056" s="787">
        <v>89.28</v>
      </c>
      <c r="M15056" s="787">
        <v>10</v>
      </c>
      <c r="N15056" s="787">
        <v>74.39</v>
      </c>
      <c r="O15056" s="788">
        <v>42066</v>
      </c>
    </row>
    <row r="15057" spans="1:15" x14ac:dyDescent="0.25">
      <c r="A15057" s="786" t="s">
        <v>27322</v>
      </c>
      <c r="B15057" s="787">
        <v>4</v>
      </c>
      <c r="C15057" s="787" t="s">
        <v>27323</v>
      </c>
      <c r="D15057" s="787">
        <v>0</v>
      </c>
      <c r="E15057" s="787">
        <v>0</v>
      </c>
      <c r="H15057" s="787">
        <v>1</v>
      </c>
      <c r="K15057" s="788">
        <v>41032</v>
      </c>
      <c r="L15057" s="787">
        <v>89.28</v>
      </c>
      <c r="M15057" s="787">
        <v>10</v>
      </c>
      <c r="N15057" s="787">
        <v>74.39</v>
      </c>
      <c r="O15057" s="788">
        <v>42164</v>
      </c>
    </row>
    <row r="15058" spans="1:15" x14ac:dyDescent="0.25">
      <c r="A15058" s="786" t="s">
        <v>27324</v>
      </c>
      <c r="B15058" s="787">
        <v>4</v>
      </c>
      <c r="C15058" s="787" t="s">
        <v>27325</v>
      </c>
      <c r="D15058" s="787">
        <v>0</v>
      </c>
      <c r="E15058" s="787">
        <v>0</v>
      </c>
      <c r="H15058" s="787">
        <v>1</v>
      </c>
      <c r="K15058" s="788">
        <v>41032</v>
      </c>
      <c r="L15058" s="787">
        <v>89.28</v>
      </c>
      <c r="M15058" s="787">
        <v>10</v>
      </c>
      <c r="N15058" s="787">
        <v>74.39</v>
      </c>
      <c r="O15058" s="788">
        <v>42164</v>
      </c>
    </row>
    <row r="15059" spans="1:15" x14ac:dyDescent="0.25">
      <c r="A15059" s="786" t="s">
        <v>27326</v>
      </c>
      <c r="B15059" s="787">
        <v>4</v>
      </c>
      <c r="C15059" s="787" t="s">
        <v>27327</v>
      </c>
      <c r="D15059" s="787">
        <v>0</v>
      </c>
      <c r="E15059" s="787">
        <v>0</v>
      </c>
      <c r="H15059" s="787">
        <v>1</v>
      </c>
      <c r="K15059" s="788">
        <v>41032</v>
      </c>
      <c r="L15059" s="787">
        <v>89.28</v>
      </c>
      <c r="M15059" s="787">
        <v>10</v>
      </c>
      <c r="N15059" s="787">
        <v>74.39</v>
      </c>
      <c r="O15059" s="788">
        <v>42164</v>
      </c>
    </row>
    <row r="15060" spans="1:15" x14ac:dyDescent="0.25">
      <c r="A15060" s="786" t="s">
        <v>27328</v>
      </c>
      <c r="B15060" s="787">
        <v>4</v>
      </c>
      <c r="C15060" s="787" t="s">
        <v>27329</v>
      </c>
      <c r="D15060" s="787">
        <v>8.9700000000000006</v>
      </c>
      <c r="E15060" s="787">
        <v>728.97</v>
      </c>
      <c r="F15060" s="788">
        <v>41927</v>
      </c>
      <c r="G15060" s="788">
        <v>41927</v>
      </c>
      <c r="H15060" s="787">
        <v>1</v>
      </c>
      <c r="I15060" s="788">
        <v>41901</v>
      </c>
      <c r="J15060" s="788">
        <v>41904</v>
      </c>
      <c r="K15060" s="788">
        <v>41082</v>
      </c>
      <c r="L15060" s="787">
        <v>761.46</v>
      </c>
      <c r="M15060" s="787">
        <v>10</v>
      </c>
      <c r="N15060" s="787">
        <v>691.48</v>
      </c>
      <c r="O15060" s="788">
        <v>42164</v>
      </c>
    </row>
    <row r="15061" spans="1:15" x14ac:dyDescent="0.25">
      <c r="A15061" s="786" t="s">
        <v>27330</v>
      </c>
      <c r="B15061" s="787">
        <v>4</v>
      </c>
      <c r="C15061" s="787" t="s">
        <v>27331</v>
      </c>
      <c r="D15061" s="787">
        <v>0</v>
      </c>
      <c r="E15061" s="787">
        <v>0</v>
      </c>
      <c r="H15061" s="787">
        <v>1</v>
      </c>
      <c r="L15061" s="787">
        <v>0</v>
      </c>
      <c r="M15061" s="787">
        <v>10</v>
      </c>
      <c r="N15061" s="787">
        <v>35.700000000000003</v>
      </c>
      <c r="O15061" s="788">
        <v>42164</v>
      </c>
    </row>
    <row r="15062" spans="1:15" x14ac:dyDescent="0.25">
      <c r="A15062" s="786" t="s">
        <v>27332</v>
      </c>
      <c r="B15062" s="787">
        <v>4</v>
      </c>
      <c r="C15062" s="787" t="s">
        <v>27333</v>
      </c>
      <c r="D15062" s="787">
        <v>0</v>
      </c>
      <c r="E15062" s="787">
        <v>0</v>
      </c>
      <c r="H15062" s="787">
        <v>1</v>
      </c>
      <c r="K15062" s="788">
        <v>41082</v>
      </c>
      <c r="L15062" s="787">
        <v>795.96</v>
      </c>
      <c r="M15062" s="787">
        <v>10</v>
      </c>
      <c r="N15062" s="787">
        <v>735.8</v>
      </c>
      <c r="O15062" s="788">
        <v>42164</v>
      </c>
    </row>
    <row r="15063" spans="1:15" x14ac:dyDescent="0.25">
      <c r="A15063" s="786" t="s">
        <v>27334</v>
      </c>
      <c r="B15063" s="787">
        <v>4</v>
      </c>
      <c r="C15063" s="787" t="s">
        <v>27335</v>
      </c>
      <c r="D15063" s="787">
        <v>0</v>
      </c>
      <c r="E15063" s="787">
        <v>0</v>
      </c>
      <c r="H15063" s="787">
        <v>1</v>
      </c>
      <c r="L15063" s="787">
        <v>0</v>
      </c>
      <c r="M15063" s="787">
        <v>10</v>
      </c>
      <c r="N15063" s="787">
        <v>50.4</v>
      </c>
      <c r="O15063" s="788">
        <v>42164</v>
      </c>
    </row>
    <row r="15064" spans="1:15" x14ac:dyDescent="0.25">
      <c r="A15064" s="786" t="s">
        <v>27336</v>
      </c>
      <c r="B15064" s="787">
        <v>4</v>
      </c>
      <c r="C15064" s="787" t="s">
        <v>27337</v>
      </c>
      <c r="D15064" s="787">
        <v>0</v>
      </c>
      <c r="E15064" s="787">
        <v>0</v>
      </c>
      <c r="H15064" s="787">
        <v>1</v>
      </c>
      <c r="K15064" s="788">
        <v>41082</v>
      </c>
      <c r="L15064" s="789">
        <v>1102.25</v>
      </c>
      <c r="M15064" s="787">
        <v>10</v>
      </c>
      <c r="N15064" s="789">
        <v>1036.0899999999999</v>
      </c>
      <c r="O15064" s="788">
        <v>42164</v>
      </c>
    </row>
    <row r="15065" spans="1:15" x14ac:dyDescent="0.25">
      <c r="A15065" s="786" t="s">
        <v>27338</v>
      </c>
      <c r="B15065" s="787">
        <v>4</v>
      </c>
      <c r="C15065" s="787" t="s">
        <v>27339</v>
      </c>
      <c r="D15065" s="787">
        <v>0</v>
      </c>
      <c r="E15065" s="787">
        <v>0</v>
      </c>
      <c r="H15065" s="787">
        <v>1</v>
      </c>
      <c r="L15065" s="787">
        <v>0</v>
      </c>
      <c r="M15065" s="787">
        <v>10</v>
      </c>
      <c r="N15065" s="787">
        <v>50.4</v>
      </c>
      <c r="O15065" s="788">
        <v>42164</v>
      </c>
    </row>
    <row r="15066" spans="1:15" x14ac:dyDescent="0.25">
      <c r="A15066" s="786" t="s">
        <v>27340</v>
      </c>
      <c r="B15066" s="787">
        <v>4</v>
      </c>
      <c r="C15066" s="787" t="s">
        <v>27337</v>
      </c>
      <c r="D15066" s="787">
        <v>0</v>
      </c>
      <c r="E15066" s="787">
        <v>0</v>
      </c>
      <c r="H15066" s="787">
        <v>1</v>
      </c>
      <c r="K15066" s="788">
        <v>41082</v>
      </c>
      <c r="L15066" s="789">
        <v>1447.98</v>
      </c>
      <c r="M15066" s="787">
        <v>10</v>
      </c>
      <c r="N15066" s="789">
        <v>1379.31</v>
      </c>
      <c r="O15066" s="788">
        <v>42164</v>
      </c>
    </row>
    <row r="15067" spans="1:15" x14ac:dyDescent="0.25">
      <c r="A15067" s="786" t="s">
        <v>27341</v>
      </c>
      <c r="B15067" s="787">
        <v>4</v>
      </c>
      <c r="C15067" s="787" t="s">
        <v>27342</v>
      </c>
      <c r="D15067" s="787">
        <v>0</v>
      </c>
      <c r="E15067" s="787">
        <v>0</v>
      </c>
      <c r="H15067" s="787">
        <v>1</v>
      </c>
      <c r="L15067" s="787">
        <v>0</v>
      </c>
      <c r="M15067" s="787">
        <v>10</v>
      </c>
      <c r="N15067" s="787">
        <v>65.099999999999994</v>
      </c>
      <c r="O15067" s="788">
        <v>42164</v>
      </c>
    </row>
    <row r="15068" spans="1:15" x14ac:dyDescent="0.25">
      <c r="A15068" s="786" t="s">
        <v>27343</v>
      </c>
      <c r="B15068" s="787">
        <v>4</v>
      </c>
      <c r="C15068" s="787" t="s">
        <v>27344</v>
      </c>
      <c r="D15068" s="787">
        <v>0</v>
      </c>
      <c r="E15068" s="787">
        <v>0</v>
      </c>
      <c r="H15068" s="787">
        <v>1</v>
      </c>
      <c r="K15068" s="788">
        <v>41233</v>
      </c>
      <c r="L15068" s="787">
        <v>0.01</v>
      </c>
      <c r="M15068" s="787">
        <v>10</v>
      </c>
      <c r="N15068" s="789">
        <v>1750.12</v>
      </c>
      <c r="O15068" s="788">
        <v>42164</v>
      </c>
    </row>
    <row r="15069" spans="1:15" x14ac:dyDescent="0.25">
      <c r="A15069" s="786" t="s">
        <v>27345</v>
      </c>
      <c r="B15069" s="787">
        <v>4</v>
      </c>
      <c r="C15069" s="787" t="s">
        <v>27346</v>
      </c>
      <c r="D15069" s="787">
        <v>0</v>
      </c>
      <c r="E15069" s="787">
        <v>0</v>
      </c>
      <c r="H15069" s="787">
        <v>1</v>
      </c>
      <c r="L15069" s="787">
        <v>0</v>
      </c>
      <c r="M15069" s="787">
        <v>10</v>
      </c>
      <c r="N15069" s="787">
        <v>79.8</v>
      </c>
      <c r="O15069" s="788">
        <v>42164</v>
      </c>
    </row>
    <row r="15070" spans="1:15" x14ac:dyDescent="0.25">
      <c r="A15070" s="786" t="s">
        <v>27347</v>
      </c>
      <c r="B15070" s="787">
        <v>4</v>
      </c>
      <c r="C15070" s="787" t="s">
        <v>27348</v>
      </c>
      <c r="D15070" s="787">
        <v>0</v>
      </c>
      <c r="E15070" s="787">
        <v>0</v>
      </c>
      <c r="H15070" s="787">
        <v>1</v>
      </c>
      <c r="K15070" s="788">
        <v>41233</v>
      </c>
      <c r="L15070" s="787">
        <v>0.01</v>
      </c>
      <c r="M15070" s="787">
        <v>10</v>
      </c>
      <c r="N15070" s="789">
        <v>2112.5</v>
      </c>
      <c r="O15070" s="788">
        <v>42164</v>
      </c>
    </row>
    <row r="15071" spans="1:15" x14ac:dyDescent="0.25">
      <c r="A15071" s="786" t="s">
        <v>27349</v>
      </c>
      <c r="B15071" s="787">
        <v>4</v>
      </c>
      <c r="C15071" s="787" t="s">
        <v>27350</v>
      </c>
      <c r="D15071" s="787">
        <v>0</v>
      </c>
      <c r="E15071" s="787">
        <v>0</v>
      </c>
      <c r="H15071" s="787">
        <v>1</v>
      </c>
      <c r="L15071" s="787">
        <v>0</v>
      </c>
      <c r="M15071" s="787">
        <v>10</v>
      </c>
      <c r="N15071" s="787">
        <v>94.5</v>
      </c>
      <c r="O15071" s="788">
        <v>42164</v>
      </c>
    </row>
    <row r="15072" spans="1:15" x14ac:dyDescent="0.25">
      <c r="A15072" s="786" t="s">
        <v>27351</v>
      </c>
      <c r="B15072" s="787">
        <v>4</v>
      </c>
      <c r="C15072" s="787" t="s">
        <v>27352</v>
      </c>
      <c r="D15072" s="787">
        <v>0</v>
      </c>
      <c r="E15072" s="787">
        <v>0</v>
      </c>
      <c r="H15072" s="787">
        <v>1</v>
      </c>
      <c r="K15072" s="788">
        <v>41240</v>
      </c>
      <c r="L15072" s="789">
        <v>2546.06</v>
      </c>
      <c r="M15072" s="787">
        <v>10</v>
      </c>
      <c r="N15072" s="789">
        <v>2474.87</v>
      </c>
      <c r="O15072" s="788">
        <v>42164</v>
      </c>
    </row>
    <row r="15073" spans="1:15" x14ac:dyDescent="0.25">
      <c r="A15073" s="786" t="s">
        <v>27353</v>
      </c>
      <c r="B15073" s="787">
        <v>4</v>
      </c>
      <c r="C15073" s="787" t="s">
        <v>27354</v>
      </c>
      <c r="D15073" s="787">
        <v>0</v>
      </c>
      <c r="E15073" s="787">
        <v>0</v>
      </c>
      <c r="H15073" s="787">
        <v>1</v>
      </c>
      <c r="L15073" s="787">
        <v>0</v>
      </c>
      <c r="M15073" s="787">
        <v>10</v>
      </c>
      <c r="N15073" s="787">
        <v>109.2</v>
      </c>
      <c r="O15073" s="788">
        <v>42164</v>
      </c>
    </row>
    <row r="15074" spans="1:15" x14ac:dyDescent="0.25">
      <c r="A15074" s="786" t="s">
        <v>27355</v>
      </c>
      <c r="B15074" s="787">
        <v>4</v>
      </c>
      <c r="C15074" s="787" t="s">
        <v>27356</v>
      </c>
      <c r="D15074" s="787">
        <v>0</v>
      </c>
      <c r="E15074" s="787">
        <v>0</v>
      </c>
      <c r="H15074" s="787">
        <v>1</v>
      </c>
      <c r="K15074" s="788">
        <v>41240</v>
      </c>
      <c r="L15074" s="787">
        <v>0.01</v>
      </c>
      <c r="M15074" s="787">
        <v>10</v>
      </c>
      <c r="N15074" s="789">
        <v>2837.25</v>
      </c>
      <c r="O15074" s="788">
        <v>42164</v>
      </c>
    </row>
    <row r="15075" spans="1:15" x14ac:dyDescent="0.25">
      <c r="A15075" s="786" t="s">
        <v>27357</v>
      </c>
      <c r="B15075" s="787">
        <v>4</v>
      </c>
      <c r="C15075" s="787" t="s">
        <v>27358</v>
      </c>
      <c r="D15075" s="787">
        <v>0</v>
      </c>
      <c r="E15075" s="787">
        <v>0</v>
      </c>
      <c r="H15075" s="787">
        <v>1</v>
      </c>
      <c r="K15075" s="788">
        <v>41080</v>
      </c>
      <c r="L15075" s="787">
        <v>123.9</v>
      </c>
      <c r="M15075" s="787">
        <v>10</v>
      </c>
      <c r="N15075" s="787">
        <v>123.9</v>
      </c>
      <c r="O15075" s="788">
        <v>42164</v>
      </c>
    </row>
    <row r="15076" spans="1:15" x14ac:dyDescent="0.25">
      <c r="A15076" s="786" t="s">
        <v>27359</v>
      </c>
      <c r="B15076" s="787">
        <v>4</v>
      </c>
      <c r="C15076" s="787" t="s">
        <v>27360</v>
      </c>
      <c r="D15076" s="787">
        <v>0</v>
      </c>
      <c r="E15076" s="787">
        <v>0</v>
      </c>
      <c r="H15076" s="787">
        <v>1</v>
      </c>
      <c r="K15076" s="788">
        <v>41240</v>
      </c>
      <c r="L15076" s="787">
        <v>0.01</v>
      </c>
      <c r="M15076" s="787">
        <v>10</v>
      </c>
      <c r="N15076" s="789">
        <v>3545.88</v>
      </c>
      <c r="O15076" s="788">
        <v>42164</v>
      </c>
    </row>
    <row r="15077" spans="1:15" x14ac:dyDescent="0.25">
      <c r="A15077" s="786" t="s">
        <v>27361</v>
      </c>
      <c r="B15077" s="787">
        <v>4</v>
      </c>
      <c r="C15077" s="787" t="s">
        <v>27362</v>
      </c>
      <c r="D15077" s="787">
        <v>0</v>
      </c>
      <c r="E15077" s="787">
        <v>0</v>
      </c>
      <c r="H15077" s="787">
        <v>1</v>
      </c>
      <c r="K15077" s="788">
        <v>41080</v>
      </c>
      <c r="L15077" s="787">
        <v>138.6</v>
      </c>
      <c r="M15077" s="787">
        <v>10</v>
      </c>
      <c r="N15077" s="787">
        <v>138.6</v>
      </c>
      <c r="O15077" s="788">
        <v>42164</v>
      </c>
    </row>
    <row r="15078" spans="1:15" x14ac:dyDescent="0.25">
      <c r="A15078" s="786" t="s">
        <v>27363</v>
      </c>
      <c r="B15078" s="787">
        <v>4</v>
      </c>
      <c r="C15078" s="787" t="s">
        <v>27364</v>
      </c>
      <c r="D15078" s="787">
        <v>0</v>
      </c>
      <c r="E15078" s="787">
        <v>0</v>
      </c>
      <c r="H15078" s="787">
        <v>1</v>
      </c>
      <c r="K15078" s="788">
        <v>41240</v>
      </c>
      <c r="L15078" s="787">
        <v>0.01</v>
      </c>
      <c r="M15078" s="787">
        <v>10</v>
      </c>
      <c r="N15078" s="789">
        <v>3908.26</v>
      </c>
      <c r="O15078" s="788">
        <v>42164</v>
      </c>
    </row>
    <row r="15079" spans="1:15" x14ac:dyDescent="0.25">
      <c r="A15079" s="786" t="s">
        <v>27365</v>
      </c>
      <c r="B15079" s="787">
        <v>4</v>
      </c>
      <c r="C15079" s="787" t="s">
        <v>27366</v>
      </c>
      <c r="D15079" s="787">
        <v>0</v>
      </c>
      <c r="E15079" s="787">
        <v>0</v>
      </c>
      <c r="H15079" s="787">
        <v>1</v>
      </c>
      <c r="K15079" s="788">
        <v>41080</v>
      </c>
      <c r="L15079" s="787">
        <v>153.30000000000001</v>
      </c>
      <c r="M15079" s="787">
        <v>10</v>
      </c>
      <c r="N15079" s="787">
        <v>153.30000000000001</v>
      </c>
      <c r="O15079" s="788">
        <v>42164</v>
      </c>
    </row>
    <row r="15080" spans="1:15" x14ac:dyDescent="0.25">
      <c r="A15080" s="786" t="s">
        <v>27367</v>
      </c>
      <c r="B15080" s="787">
        <v>4</v>
      </c>
      <c r="C15080" s="787" t="s">
        <v>27368</v>
      </c>
      <c r="D15080" s="787">
        <v>0</v>
      </c>
      <c r="E15080" s="787">
        <v>0</v>
      </c>
      <c r="H15080" s="787">
        <v>1</v>
      </c>
      <c r="K15080" s="788">
        <v>41240</v>
      </c>
      <c r="L15080" s="787">
        <v>0.01</v>
      </c>
      <c r="M15080" s="787">
        <v>10</v>
      </c>
      <c r="N15080" s="789">
        <v>4270.63</v>
      </c>
      <c r="O15080" s="788">
        <v>42164</v>
      </c>
    </row>
    <row r="15081" spans="1:15" x14ac:dyDescent="0.25">
      <c r="A15081" s="786" t="s">
        <v>27369</v>
      </c>
      <c r="B15081" s="787">
        <v>4</v>
      </c>
      <c r="C15081" s="787" t="s">
        <v>27370</v>
      </c>
      <c r="D15081" s="787">
        <v>0</v>
      </c>
      <c r="E15081" s="787">
        <v>0</v>
      </c>
      <c r="H15081" s="787">
        <v>1</v>
      </c>
      <c r="K15081" s="788">
        <v>41080</v>
      </c>
      <c r="L15081" s="787">
        <v>168</v>
      </c>
      <c r="M15081" s="787">
        <v>10</v>
      </c>
      <c r="N15081" s="787">
        <v>168</v>
      </c>
      <c r="O15081" s="788">
        <v>42164</v>
      </c>
    </row>
    <row r="15082" spans="1:15" x14ac:dyDescent="0.25">
      <c r="A15082" s="786" t="s">
        <v>27371</v>
      </c>
      <c r="B15082" s="787">
        <v>4</v>
      </c>
      <c r="C15082" s="787" t="s">
        <v>27372</v>
      </c>
      <c r="D15082" s="787">
        <v>0</v>
      </c>
      <c r="E15082" s="787">
        <v>0</v>
      </c>
      <c r="H15082" s="787">
        <v>1</v>
      </c>
      <c r="K15082" s="788">
        <v>41240</v>
      </c>
      <c r="L15082" s="787">
        <v>0.01</v>
      </c>
      <c r="M15082" s="787">
        <v>10</v>
      </c>
      <c r="N15082" s="789">
        <v>4633.01</v>
      </c>
      <c r="O15082" s="788">
        <v>42164</v>
      </c>
    </row>
    <row r="15083" spans="1:15" x14ac:dyDescent="0.25">
      <c r="A15083" s="786" t="s">
        <v>27373</v>
      </c>
      <c r="B15083" s="787">
        <v>4</v>
      </c>
      <c r="C15083" s="787" t="s">
        <v>27374</v>
      </c>
      <c r="D15083" s="787">
        <v>0</v>
      </c>
      <c r="E15083" s="787">
        <v>0</v>
      </c>
      <c r="H15083" s="787">
        <v>1</v>
      </c>
      <c r="K15083" s="788">
        <v>41080</v>
      </c>
      <c r="L15083" s="787">
        <v>182.7</v>
      </c>
      <c r="M15083" s="787">
        <v>10</v>
      </c>
      <c r="N15083" s="787">
        <v>182.7</v>
      </c>
      <c r="O15083" s="788">
        <v>42164</v>
      </c>
    </row>
    <row r="15084" spans="1:15" x14ac:dyDescent="0.25">
      <c r="A15084" s="786" t="s">
        <v>27375</v>
      </c>
      <c r="B15084" s="787">
        <v>4</v>
      </c>
      <c r="C15084" s="787" t="s">
        <v>27376</v>
      </c>
      <c r="D15084" s="787">
        <v>0</v>
      </c>
      <c r="E15084" s="787">
        <v>0</v>
      </c>
      <c r="H15084" s="787">
        <v>1</v>
      </c>
      <c r="L15084" s="787">
        <v>0</v>
      </c>
      <c r="M15084" s="787">
        <v>10</v>
      </c>
      <c r="N15084" s="787">
        <v>0</v>
      </c>
      <c r="O15084" s="788">
        <v>42164</v>
      </c>
    </row>
    <row r="15085" spans="1:15" x14ac:dyDescent="0.25">
      <c r="A15085" s="786" t="s">
        <v>27377</v>
      </c>
      <c r="B15085" s="787">
        <v>4</v>
      </c>
      <c r="C15085" s="787" t="s">
        <v>27378</v>
      </c>
      <c r="D15085" s="787">
        <v>0</v>
      </c>
      <c r="E15085" s="787">
        <v>0</v>
      </c>
      <c r="H15085" s="787">
        <v>1</v>
      </c>
      <c r="K15085" s="788">
        <v>41080</v>
      </c>
      <c r="L15085" s="787">
        <v>197.4</v>
      </c>
      <c r="M15085" s="787">
        <v>10</v>
      </c>
      <c r="N15085" s="787">
        <v>197.4</v>
      </c>
      <c r="O15085" s="788">
        <v>42164</v>
      </c>
    </row>
    <row r="15086" spans="1:15" x14ac:dyDescent="0.25">
      <c r="A15086" s="786" t="s">
        <v>27379</v>
      </c>
      <c r="B15086" s="787">
        <v>4</v>
      </c>
      <c r="C15086" s="787" t="s">
        <v>27380</v>
      </c>
      <c r="D15086" s="787">
        <v>0</v>
      </c>
      <c r="E15086" s="787">
        <v>0</v>
      </c>
      <c r="H15086" s="787">
        <v>1</v>
      </c>
      <c r="L15086" s="787">
        <v>0</v>
      </c>
      <c r="M15086" s="787">
        <v>10</v>
      </c>
      <c r="N15086" s="787">
        <v>0</v>
      </c>
      <c r="O15086" s="788">
        <v>42164</v>
      </c>
    </row>
    <row r="15087" spans="1:15" x14ac:dyDescent="0.25">
      <c r="A15087" s="786" t="s">
        <v>27381</v>
      </c>
      <c r="B15087" s="787">
        <v>4</v>
      </c>
      <c r="C15087" s="787" t="s">
        <v>27382</v>
      </c>
      <c r="D15087" s="787">
        <v>0</v>
      </c>
      <c r="E15087" s="787">
        <v>0</v>
      </c>
      <c r="H15087" s="787">
        <v>1</v>
      </c>
      <c r="K15087" s="788">
        <v>41080</v>
      </c>
      <c r="L15087" s="787">
        <v>212.1</v>
      </c>
      <c r="M15087" s="787">
        <v>10</v>
      </c>
      <c r="N15087" s="787">
        <v>212.1</v>
      </c>
      <c r="O15087" s="788">
        <v>42164</v>
      </c>
    </row>
    <row r="15088" spans="1:15" x14ac:dyDescent="0.25">
      <c r="A15088" s="786" t="s">
        <v>27383</v>
      </c>
      <c r="B15088" s="787">
        <v>4</v>
      </c>
      <c r="C15088" s="787" t="s">
        <v>27384</v>
      </c>
      <c r="D15088" s="787">
        <v>0</v>
      </c>
      <c r="E15088" s="787">
        <v>0</v>
      </c>
      <c r="H15088" s="787">
        <v>1</v>
      </c>
      <c r="L15088" s="787">
        <v>0</v>
      </c>
      <c r="M15088" s="787">
        <v>10</v>
      </c>
      <c r="N15088" s="787">
        <v>0</v>
      </c>
      <c r="O15088" s="788">
        <v>42164</v>
      </c>
    </row>
    <row r="15089" spans="1:15" x14ac:dyDescent="0.25">
      <c r="A15089" s="786" t="s">
        <v>27385</v>
      </c>
      <c r="B15089" s="787">
        <v>4</v>
      </c>
      <c r="C15089" s="787" t="s">
        <v>27386</v>
      </c>
      <c r="D15089" s="787">
        <v>0</v>
      </c>
      <c r="E15089" s="787">
        <v>0</v>
      </c>
      <c r="H15089" s="787">
        <v>1</v>
      </c>
      <c r="K15089" s="788">
        <v>41080</v>
      </c>
      <c r="L15089" s="787">
        <v>226.8</v>
      </c>
      <c r="M15089" s="787">
        <v>10</v>
      </c>
      <c r="N15089" s="787">
        <v>226.8</v>
      </c>
      <c r="O15089" s="788">
        <v>42164</v>
      </c>
    </row>
    <row r="15090" spans="1:15" x14ac:dyDescent="0.25">
      <c r="A15090" s="786" t="s">
        <v>27387</v>
      </c>
      <c r="B15090" s="787">
        <v>4</v>
      </c>
      <c r="C15090" s="787" t="s">
        <v>27388</v>
      </c>
      <c r="D15090" s="787">
        <v>0</v>
      </c>
      <c r="E15090" s="787">
        <v>0</v>
      </c>
      <c r="H15090" s="787">
        <v>1</v>
      </c>
      <c r="L15090" s="787">
        <v>0</v>
      </c>
      <c r="M15090" s="787">
        <v>10</v>
      </c>
      <c r="N15090" s="787">
        <v>0</v>
      </c>
      <c r="O15090" s="788">
        <v>42164</v>
      </c>
    </row>
    <row r="15091" spans="1:15" x14ac:dyDescent="0.25">
      <c r="A15091" s="786" t="s">
        <v>27389</v>
      </c>
      <c r="B15091" s="787">
        <v>4</v>
      </c>
      <c r="C15091" s="787" t="s">
        <v>27390</v>
      </c>
      <c r="D15091" s="787">
        <v>0</v>
      </c>
      <c r="E15091" s="787">
        <v>0</v>
      </c>
      <c r="H15091" s="787">
        <v>1</v>
      </c>
      <c r="K15091" s="788">
        <v>41080</v>
      </c>
      <c r="L15091" s="787">
        <v>241.5</v>
      </c>
      <c r="M15091" s="787">
        <v>10</v>
      </c>
      <c r="N15091" s="787">
        <v>241.5</v>
      </c>
      <c r="O15091" s="788">
        <v>42164</v>
      </c>
    </row>
    <row r="15092" spans="1:15" x14ac:dyDescent="0.25">
      <c r="A15092" s="786" t="s">
        <v>27391</v>
      </c>
      <c r="B15092" s="787">
        <v>4</v>
      </c>
      <c r="C15092" s="787" t="s">
        <v>27392</v>
      </c>
      <c r="D15092" s="787">
        <v>0</v>
      </c>
      <c r="E15092" s="787">
        <v>0</v>
      </c>
      <c r="H15092" s="787">
        <v>1</v>
      </c>
      <c r="L15092" s="787">
        <v>0</v>
      </c>
      <c r="M15092" s="787">
        <v>10</v>
      </c>
      <c r="N15092" s="787">
        <v>0</v>
      </c>
      <c r="O15092" s="788">
        <v>42164</v>
      </c>
    </row>
    <row r="15093" spans="1:15" x14ac:dyDescent="0.25">
      <c r="A15093" s="786" t="s">
        <v>27393</v>
      </c>
      <c r="B15093" s="787">
        <v>4</v>
      </c>
      <c r="C15093" s="787" t="s">
        <v>27394</v>
      </c>
      <c r="D15093" s="787">
        <v>0</v>
      </c>
      <c r="E15093" s="787">
        <v>0</v>
      </c>
      <c r="H15093" s="787">
        <v>1</v>
      </c>
      <c r="K15093" s="788">
        <v>41080</v>
      </c>
      <c r="L15093" s="787">
        <v>256.2</v>
      </c>
      <c r="M15093" s="787">
        <v>10</v>
      </c>
      <c r="N15093" s="787">
        <v>256.2</v>
      </c>
      <c r="O15093" s="788">
        <v>42164</v>
      </c>
    </row>
    <row r="15094" spans="1:15" x14ac:dyDescent="0.25">
      <c r="A15094" s="786" t="s">
        <v>27395</v>
      </c>
      <c r="B15094" s="787">
        <v>4</v>
      </c>
      <c r="C15094" s="787" t="s">
        <v>27396</v>
      </c>
      <c r="D15094" s="787">
        <v>0</v>
      </c>
      <c r="E15094" s="787">
        <v>0</v>
      </c>
      <c r="H15094" s="787">
        <v>1</v>
      </c>
      <c r="K15094" s="788">
        <v>41082</v>
      </c>
      <c r="L15094" s="789">
        <v>1130.3599999999999</v>
      </c>
      <c r="M15094" s="787">
        <v>10</v>
      </c>
      <c r="N15094" s="789">
        <v>1073.25</v>
      </c>
      <c r="O15094" s="788">
        <v>42164</v>
      </c>
    </row>
    <row r="15095" spans="1:15" x14ac:dyDescent="0.25">
      <c r="A15095" s="786" t="s">
        <v>27397</v>
      </c>
      <c r="B15095" s="787">
        <v>4</v>
      </c>
      <c r="C15095" s="787" t="s">
        <v>27396</v>
      </c>
      <c r="D15095" s="787">
        <v>0</v>
      </c>
      <c r="E15095" s="787">
        <v>0</v>
      </c>
      <c r="H15095" s="787">
        <v>1</v>
      </c>
      <c r="K15095" s="788">
        <v>41082</v>
      </c>
      <c r="L15095" s="789">
        <v>1497.18</v>
      </c>
      <c r="M15095" s="787">
        <v>10</v>
      </c>
      <c r="N15095" s="789">
        <v>1449.9</v>
      </c>
      <c r="O15095" s="788">
        <v>42164</v>
      </c>
    </row>
    <row r="15096" spans="1:15" x14ac:dyDescent="0.25">
      <c r="A15096" s="786" t="s">
        <v>27398</v>
      </c>
      <c r="B15096" s="787">
        <v>4</v>
      </c>
      <c r="C15096" s="787" t="s">
        <v>27396</v>
      </c>
      <c r="D15096" s="787">
        <v>0</v>
      </c>
      <c r="E15096" s="787">
        <v>0</v>
      </c>
      <c r="H15096" s="787">
        <v>1</v>
      </c>
      <c r="L15096" s="787">
        <v>0.01</v>
      </c>
      <c r="M15096" s="787">
        <v>10</v>
      </c>
      <c r="N15096" s="789">
        <v>5316.28</v>
      </c>
      <c r="O15096" s="788">
        <v>42164</v>
      </c>
    </row>
    <row r="15097" spans="1:15" x14ac:dyDescent="0.25">
      <c r="A15097" s="786" t="s">
        <v>27399</v>
      </c>
      <c r="B15097" s="787">
        <v>4</v>
      </c>
      <c r="C15097" s="787" t="s">
        <v>27396</v>
      </c>
      <c r="D15097" s="787">
        <v>0</v>
      </c>
      <c r="E15097" s="787">
        <v>0</v>
      </c>
      <c r="H15097" s="787">
        <v>1</v>
      </c>
      <c r="L15097" s="787">
        <v>0.01</v>
      </c>
      <c r="M15097" s="787">
        <v>10</v>
      </c>
      <c r="N15097" s="787">
        <v>0</v>
      </c>
    </row>
    <row r="15098" spans="1:15" x14ac:dyDescent="0.25">
      <c r="A15098" s="786" t="s">
        <v>27400</v>
      </c>
      <c r="B15098" s="787">
        <v>4</v>
      </c>
      <c r="C15098" s="787" t="s">
        <v>27396</v>
      </c>
      <c r="D15098" s="787">
        <v>0</v>
      </c>
      <c r="E15098" s="787">
        <v>0</v>
      </c>
      <c r="H15098" s="787">
        <v>1</v>
      </c>
      <c r="L15098" s="787">
        <v>0.01</v>
      </c>
      <c r="M15098" s="787">
        <v>10</v>
      </c>
      <c r="N15098" s="787">
        <v>0</v>
      </c>
    </row>
    <row r="15099" spans="1:15" x14ac:dyDescent="0.25">
      <c r="A15099" s="786" t="s">
        <v>27401</v>
      </c>
      <c r="B15099" s="787">
        <v>4</v>
      </c>
      <c r="C15099" s="787" t="s">
        <v>27396</v>
      </c>
      <c r="D15099" s="787">
        <v>0</v>
      </c>
      <c r="E15099" s="787">
        <v>0</v>
      </c>
      <c r="H15099" s="787">
        <v>1</v>
      </c>
      <c r="L15099" s="787">
        <v>0.01</v>
      </c>
      <c r="M15099" s="787">
        <v>10</v>
      </c>
      <c r="N15099" s="787">
        <v>0</v>
      </c>
    </row>
    <row r="15100" spans="1:15" x14ac:dyDescent="0.25">
      <c r="A15100" s="786" t="s">
        <v>27402</v>
      </c>
      <c r="B15100" s="787">
        <v>4</v>
      </c>
      <c r="C15100" s="787" t="s">
        <v>27396</v>
      </c>
      <c r="D15100" s="787">
        <v>0</v>
      </c>
      <c r="E15100" s="787">
        <v>0</v>
      </c>
      <c r="H15100" s="787">
        <v>1</v>
      </c>
      <c r="L15100" s="787">
        <v>0.01</v>
      </c>
      <c r="M15100" s="787">
        <v>10</v>
      </c>
      <c r="N15100" s="787">
        <v>0</v>
      </c>
    </row>
    <row r="15101" spans="1:15" x14ac:dyDescent="0.25">
      <c r="A15101" s="786" t="s">
        <v>27403</v>
      </c>
      <c r="B15101" s="787">
        <v>4</v>
      </c>
      <c r="C15101" s="787" t="s">
        <v>27396</v>
      </c>
      <c r="D15101" s="787">
        <v>0</v>
      </c>
      <c r="E15101" s="787">
        <v>0</v>
      </c>
      <c r="H15101" s="787">
        <v>1</v>
      </c>
      <c r="L15101" s="787">
        <v>0.01</v>
      </c>
      <c r="M15101" s="787">
        <v>10</v>
      </c>
      <c r="N15101" s="787">
        <v>0</v>
      </c>
    </row>
    <row r="15102" spans="1:15" x14ac:dyDescent="0.25">
      <c r="A15102" s="786" t="s">
        <v>27404</v>
      </c>
      <c r="B15102" s="787">
        <v>4</v>
      </c>
      <c r="C15102" s="787" t="s">
        <v>27396</v>
      </c>
      <c r="D15102" s="787">
        <v>0</v>
      </c>
      <c r="E15102" s="787">
        <v>0</v>
      </c>
      <c r="H15102" s="787">
        <v>1</v>
      </c>
      <c r="L15102" s="787">
        <v>0.01</v>
      </c>
      <c r="M15102" s="787">
        <v>10</v>
      </c>
      <c r="N15102" s="789">
        <v>1851.23</v>
      </c>
      <c r="O15102" s="788">
        <v>42164</v>
      </c>
    </row>
    <row r="15103" spans="1:15" x14ac:dyDescent="0.25">
      <c r="A15103" s="786" t="s">
        <v>27405</v>
      </c>
      <c r="B15103" s="787">
        <v>4</v>
      </c>
      <c r="C15103" s="787" t="s">
        <v>27396</v>
      </c>
      <c r="D15103" s="787">
        <v>0</v>
      </c>
      <c r="E15103" s="787">
        <v>0</v>
      </c>
      <c r="H15103" s="787">
        <v>1</v>
      </c>
      <c r="L15103" s="787">
        <v>0.01</v>
      </c>
      <c r="M15103" s="787">
        <v>10</v>
      </c>
      <c r="N15103" s="789">
        <v>2247.3000000000002</v>
      </c>
      <c r="O15103" s="788">
        <v>42164</v>
      </c>
    </row>
    <row r="15104" spans="1:15" x14ac:dyDescent="0.25">
      <c r="A15104" s="786" t="s">
        <v>27406</v>
      </c>
      <c r="B15104" s="787">
        <v>4</v>
      </c>
      <c r="C15104" s="787" t="s">
        <v>27396</v>
      </c>
      <c r="D15104" s="787">
        <v>0</v>
      </c>
      <c r="E15104" s="787">
        <v>0</v>
      </c>
      <c r="H15104" s="787">
        <v>1</v>
      </c>
      <c r="L15104" s="787">
        <v>0.01</v>
      </c>
      <c r="M15104" s="787">
        <v>10</v>
      </c>
      <c r="N15104" s="789">
        <v>2989.64</v>
      </c>
      <c r="O15104" s="788">
        <v>42164</v>
      </c>
    </row>
    <row r="15105" spans="1:15" x14ac:dyDescent="0.25">
      <c r="A15105" s="786" t="s">
        <v>27407</v>
      </c>
      <c r="B15105" s="787">
        <v>4</v>
      </c>
      <c r="C15105" s="787" t="s">
        <v>27396</v>
      </c>
      <c r="D15105" s="787">
        <v>0</v>
      </c>
      <c r="E15105" s="787">
        <v>0</v>
      </c>
      <c r="H15105" s="787">
        <v>1</v>
      </c>
      <c r="L15105" s="787">
        <v>0.01</v>
      </c>
      <c r="M15105" s="787">
        <v>10</v>
      </c>
      <c r="N15105" s="789">
        <v>3385.71</v>
      </c>
      <c r="O15105" s="788">
        <v>42164</v>
      </c>
    </row>
    <row r="15106" spans="1:15" x14ac:dyDescent="0.25">
      <c r="A15106" s="786" t="s">
        <v>27408</v>
      </c>
      <c r="B15106" s="787">
        <v>4</v>
      </c>
      <c r="C15106" s="787" t="s">
        <v>27396</v>
      </c>
      <c r="D15106" s="787">
        <v>0</v>
      </c>
      <c r="E15106" s="787">
        <v>0</v>
      </c>
      <c r="H15106" s="787">
        <v>1</v>
      </c>
      <c r="L15106" s="787">
        <v>0.01</v>
      </c>
      <c r="M15106" s="787">
        <v>10</v>
      </c>
      <c r="N15106" s="789">
        <v>3781.79</v>
      </c>
      <c r="O15106" s="788">
        <v>42164</v>
      </c>
    </row>
    <row r="15107" spans="1:15" x14ac:dyDescent="0.25">
      <c r="A15107" s="786" t="s">
        <v>27409</v>
      </c>
      <c r="B15107" s="787">
        <v>4</v>
      </c>
      <c r="C15107" s="787" t="s">
        <v>27396</v>
      </c>
      <c r="D15107" s="787">
        <v>0</v>
      </c>
      <c r="E15107" s="787">
        <v>0</v>
      </c>
      <c r="H15107" s="787">
        <v>1</v>
      </c>
      <c r="L15107" s="787">
        <v>0.01</v>
      </c>
      <c r="M15107" s="787">
        <v>10</v>
      </c>
      <c r="N15107" s="789">
        <v>4177.87</v>
      </c>
      <c r="O15107" s="788">
        <v>42164</v>
      </c>
    </row>
    <row r="15108" spans="1:15" x14ac:dyDescent="0.25">
      <c r="A15108" s="786" t="s">
        <v>27410</v>
      </c>
      <c r="B15108" s="787">
        <v>4</v>
      </c>
      <c r="C15108" s="787" t="s">
        <v>27396</v>
      </c>
      <c r="D15108" s="787">
        <v>0</v>
      </c>
      <c r="E15108" s="787">
        <v>0</v>
      </c>
      <c r="H15108" s="787">
        <v>1</v>
      </c>
      <c r="L15108" s="787">
        <v>0.01</v>
      </c>
      <c r="M15108" s="787">
        <v>10</v>
      </c>
      <c r="N15108" s="789">
        <v>4920.2</v>
      </c>
      <c r="O15108" s="788">
        <v>42164</v>
      </c>
    </row>
    <row r="15109" spans="1:15" x14ac:dyDescent="0.25">
      <c r="A15109" s="786" t="s">
        <v>27411</v>
      </c>
      <c r="B15109" s="787">
        <v>4</v>
      </c>
      <c r="C15109" s="787" t="s">
        <v>27412</v>
      </c>
      <c r="D15109" s="787">
        <v>0</v>
      </c>
      <c r="E15109" s="787">
        <v>0</v>
      </c>
      <c r="H15109" s="787">
        <v>1</v>
      </c>
      <c r="L15109" s="787">
        <v>400</v>
      </c>
      <c r="M15109" s="787">
        <v>10</v>
      </c>
      <c r="N15109" s="787">
        <v>0</v>
      </c>
      <c r="O15109" s="788">
        <v>41887</v>
      </c>
    </row>
    <row r="15110" spans="1:15" x14ac:dyDescent="0.25">
      <c r="A15110" s="786" t="s">
        <v>27413</v>
      </c>
      <c r="B15110" s="787">
        <v>4</v>
      </c>
      <c r="C15110" s="787" t="s">
        <v>27414</v>
      </c>
      <c r="D15110" s="787">
        <v>0</v>
      </c>
      <c r="E15110" s="787">
        <v>0</v>
      </c>
      <c r="H15110" s="787">
        <v>1</v>
      </c>
      <c r="L15110" s="787">
        <v>250</v>
      </c>
      <c r="M15110" s="787">
        <v>10</v>
      </c>
      <c r="N15110" s="787">
        <v>0</v>
      </c>
      <c r="O15110" s="788">
        <v>41887</v>
      </c>
    </row>
    <row r="15111" spans="1:15" x14ac:dyDescent="0.25">
      <c r="A15111" s="786" t="s">
        <v>27415</v>
      </c>
      <c r="B15111" s="787">
        <v>4</v>
      </c>
      <c r="C15111" s="787" t="s">
        <v>27416</v>
      </c>
      <c r="D15111" s="787">
        <v>0</v>
      </c>
      <c r="E15111" s="787">
        <v>0</v>
      </c>
      <c r="H15111" s="787">
        <v>1</v>
      </c>
      <c r="L15111" s="787">
        <v>34.78</v>
      </c>
      <c r="M15111" s="787">
        <v>10</v>
      </c>
      <c r="N15111" s="787">
        <v>37.39</v>
      </c>
      <c r="O15111" s="788">
        <v>41869</v>
      </c>
    </row>
    <row r="15112" spans="1:15" x14ac:dyDescent="0.25">
      <c r="A15112" s="786" t="s">
        <v>27417</v>
      </c>
      <c r="B15112" s="787">
        <v>4</v>
      </c>
      <c r="C15112" s="787" t="s">
        <v>27418</v>
      </c>
      <c r="D15112" s="787">
        <v>0</v>
      </c>
      <c r="E15112" s="787">
        <v>0</v>
      </c>
      <c r="H15112" s="787">
        <v>1</v>
      </c>
      <c r="K15112" s="788">
        <v>41817</v>
      </c>
      <c r="L15112" s="787">
        <v>15.6</v>
      </c>
      <c r="M15112" s="787">
        <v>10</v>
      </c>
      <c r="N15112" s="787">
        <v>8.4</v>
      </c>
      <c r="O15112" s="788">
        <v>41858</v>
      </c>
    </row>
    <row r="15113" spans="1:15" x14ac:dyDescent="0.25">
      <c r="A15113" s="786" t="s">
        <v>27419</v>
      </c>
      <c r="B15113" s="787">
        <v>4</v>
      </c>
      <c r="C15113" s="787" t="s">
        <v>27420</v>
      </c>
      <c r="D15113" s="787">
        <v>0</v>
      </c>
      <c r="E15113" s="787">
        <v>0</v>
      </c>
      <c r="H15113" s="787">
        <v>1</v>
      </c>
      <c r="L15113" s="787">
        <v>30</v>
      </c>
      <c r="M15113" s="787">
        <v>10</v>
      </c>
      <c r="N15113" s="787">
        <v>11.2</v>
      </c>
      <c r="O15113" s="788">
        <v>41858</v>
      </c>
    </row>
    <row r="15114" spans="1:15" x14ac:dyDescent="0.25">
      <c r="A15114" s="786" t="s">
        <v>27421</v>
      </c>
      <c r="B15114" s="787">
        <v>4</v>
      </c>
      <c r="C15114" s="787" t="s">
        <v>27422</v>
      </c>
      <c r="D15114" s="787">
        <v>0</v>
      </c>
      <c r="E15114" s="787">
        <v>0</v>
      </c>
      <c r="H15114" s="787">
        <v>1</v>
      </c>
      <c r="K15114" s="788">
        <v>41071</v>
      </c>
      <c r="L15114" s="787">
        <v>133.62</v>
      </c>
      <c r="M15114" s="787">
        <v>10</v>
      </c>
      <c r="N15114" s="787">
        <v>135.47999999999999</v>
      </c>
      <c r="O15114" s="788">
        <v>42164</v>
      </c>
    </row>
    <row r="15115" spans="1:15" x14ac:dyDescent="0.25">
      <c r="A15115" s="786" t="s">
        <v>27423</v>
      </c>
      <c r="B15115" s="787">
        <v>4</v>
      </c>
      <c r="C15115" s="787" t="s">
        <v>27422</v>
      </c>
      <c r="D15115" s="787">
        <v>0</v>
      </c>
      <c r="E15115" s="787">
        <v>0</v>
      </c>
      <c r="H15115" s="787">
        <v>1</v>
      </c>
      <c r="K15115" s="788">
        <v>41071</v>
      </c>
      <c r="L15115" s="787">
        <v>13.3</v>
      </c>
      <c r="M15115" s="787">
        <v>10</v>
      </c>
      <c r="N15115" s="787">
        <v>13.3</v>
      </c>
      <c r="O15115" s="788">
        <v>42164</v>
      </c>
    </row>
    <row r="15116" spans="1:15" x14ac:dyDescent="0.25">
      <c r="A15116" s="786" t="s">
        <v>27424</v>
      </c>
      <c r="B15116" s="787">
        <v>4</v>
      </c>
      <c r="C15116" s="787" t="s">
        <v>27425</v>
      </c>
      <c r="D15116" s="787">
        <v>0</v>
      </c>
      <c r="E15116" s="787">
        <v>0</v>
      </c>
      <c r="H15116" s="787">
        <v>1</v>
      </c>
      <c r="K15116" s="788">
        <v>41071</v>
      </c>
      <c r="L15116" s="787">
        <v>148.93</v>
      </c>
      <c r="M15116" s="787">
        <v>10</v>
      </c>
      <c r="N15116" s="787">
        <v>151.52000000000001</v>
      </c>
      <c r="O15116" s="788">
        <v>42164</v>
      </c>
    </row>
    <row r="15117" spans="1:15" x14ac:dyDescent="0.25">
      <c r="A15117" s="786" t="s">
        <v>27426</v>
      </c>
      <c r="B15117" s="787">
        <v>4</v>
      </c>
      <c r="C15117" s="787" t="s">
        <v>27425</v>
      </c>
      <c r="D15117" s="787">
        <v>0</v>
      </c>
      <c r="E15117" s="787">
        <v>0</v>
      </c>
      <c r="H15117" s="787">
        <v>1</v>
      </c>
      <c r="K15117" s="788">
        <v>41071</v>
      </c>
      <c r="L15117" s="787">
        <v>13.3</v>
      </c>
      <c r="M15117" s="787">
        <v>10</v>
      </c>
      <c r="N15117" s="787">
        <v>13.3</v>
      </c>
      <c r="O15117" s="788">
        <v>42164</v>
      </c>
    </row>
    <row r="15118" spans="1:15" x14ac:dyDescent="0.25">
      <c r="A15118" s="786" t="s">
        <v>27427</v>
      </c>
      <c r="B15118" s="787">
        <v>4</v>
      </c>
      <c r="C15118" s="787" t="s">
        <v>27428</v>
      </c>
      <c r="D15118" s="787">
        <v>0</v>
      </c>
      <c r="E15118" s="787">
        <v>0</v>
      </c>
      <c r="H15118" s="787">
        <v>1</v>
      </c>
      <c r="K15118" s="788">
        <v>41071</v>
      </c>
      <c r="L15118" s="787">
        <v>176.12</v>
      </c>
      <c r="M15118" s="787">
        <v>10</v>
      </c>
      <c r="N15118" s="787">
        <v>177.95</v>
      </c>
      <c r="O15118" s="788">
        <v>42164</v>
      </c>
    </row>
    <row r="15119" spans="1:15" x14ac:dyDescent="0.25">
      <c r="A15119" s="786" t="s">
        <v>27429</v>
      </c>
      <c r="B15119" s="787">
        <v>4</v>
      </c>
      <c r="C15119" s="787" t="s">
        <v>27430</v>
      </c>
      <c r="D15119" s="787">
        <v>0</v>
      </c>
      <c r="E15119" s="787">
        <v>0</v>
      </c>
      <c r="H15119" s="787">
        <v>1</v>
      </c>
      <c r="K15119" s="788">
        <v>41071</v>
      </c>
      <c r="L15119" s="787">
        <v>13.3</v>
      </c>
      <c r="M15119" s="787">
        <v>10</v>
      </c>
      <c r="N15119" s="787">
        <v>13.3</v>
      </c>
      <c r="O15119" s="788">
        <v>42164</v>
      </c>
    </row>
    <row r="15120" spans="1:15" x14ac:dyDescent="0.25">
      <c r="A15120" s="786" t="s">
        <v>27431</v>
      </c>
      <c r="B15120" s="787">
        <v>4</v>
      </c>
      <c r="C15120" s="787" t="s">
        <v>27428</v>
      </c>
      <c r="D15120" s="787">
        <v>0</v>
      </c>
      <c r="E15120" s="787">
        <v>0</v>
      </c>
      <c r="H15120" s="787">
        <v>1</v>
      </c>
      <c r="K15120" s="788">
        <v>41071</v>
      </c>
      <c r="L15120" s="787">
        <v>228.23</v>
      </c>
      <c r="M15120" s="787">
        <v>10</v>
      </c>
      <c r="N15120" s="787">
        <v>229.23</v>
      </c>
      <c r="O15120" s="788">
        <v>42164</v>
      </c>
    </row>
    <row r="15121" spans="1:15" x14ac:dyDescent="0.25">
      <c r="A15121" s="786" t="s">
        <v>27432</v>
      </c>
      <c r="B15121" s="787">
        <v>4</v>
      </c>
      <c r="C15121" s="787" t="s">
        <v>27428</v>
      </c>
      <c r="D15121" s="787">
        <v>0</v>
      </c>
      <c r="E15121" s="787">
        <v>0</v>
      </c>
      <c r="H15121" s="787">
        <v>1</v>
      </c>
      <c r="K15121" s="788">
        <v>41071</v>
      </c>
      <c r="L15121" s="787">
        <v>13.3</v>
      </c>
      <c r="M15121" s="787">
        <v>10</v>
      </c>
      <c r="N15121" s="787">
        <v>13.3</v>
      </c>
      <c r="O15121" s="788">
        <v>42164</v>
      </c>
    </row>
    <row r="15122" spans="1:15" x14ac:dyDescent="0.25">
      <c r="A15122" s="786" t="s">
        <v>27433</v>
      </c>
      <c r="B15122" s="787">
        <v>4</v>
      </c>
      <c r="C15122" s="787" t="s">
        <v>27428</v>
      </c>
      <c r="D15122" s="787">
        <v>0</v>
      </c>
      <c r="E15122" s="787">
        <v>0</v>
      </c>
      <c r="H15122" s="787">
        <v>1</v>
      </c>
      <c r="K15122" s="788">
        <v>41071</v>
      </c>
      <c r="L15122" s="787">
        <v>133.62</v>
      </c>
      <c r="M15122" s="787">
        <v>10</v>
      </c>
      <c r="N15122" s="787">
        <v>135.47999999999999</v>
      </c>
      <c r="O15122" s="788">
        <v>42164</v>
      </c>
    </row>
    <row r="15123" spans="1:15" x14ac:dyDescent="0.25">
      <c r="A15123" s="786" t="s">
        <v>27434</v>
      </c>
      <c r="B15123" s="787">
        <v>4</v>
      </c>
      <c r="C15123" s="787" t="s">
        <v>27428</v>
      </c>
      <c r="D15123" s="787">
        <v>0</v>
      </c>
      <c r="E15123" s="787">
        <v>0</v>
      </c>
      <c r="H15123" s="787">
        <v>1</v>
      </c>
      <c r="K15123" s="788">
        <v>41071</v>
      </c>
      <c r="L15123" s="787">
        <v>13.3</v>
      </c>
      <c r="M15123" s="787">
        <v>10</v>
      </c>
      <c r="N15123" s="787">
        <v>13.3</v>
      </c>
      <c r="O15123" s="788">
        <v>42164</v>
      </c>
    </row>
    <row r="15124" spans="1:15" x14ac:dyDescent="0.25">
      <c r="A15124" s="786" t="s">
        <v>27435</v>
      </c>
      <c r="B15124" s="787">
        <v>4</v>
      </c>
      <c r="C15124" s="787" t="s">
        <v>27428</v>
      </c>
      <c r="D15124" s="787">
        <v>0</v>
      </c>
      <c r="E15124" s="787">
        <v>0</v>
      </c>
      <c r="H15124" s="787">
        <v>1</v>
      </c>
      <c r="K15124" s="788">
        <v>41071</v>
      </c>
      <c r="L15124" s="787">
        <v>148.84</v>
      </c>
      <c r="M15124" s="787">
        <v>10</v>
      </c>
      <c r="N15124" s="787">
        <v>151.52000000000001</v>
      </c>
      <c r="O15124" s="788">
        <v>42164</v>
      </c>
    </row>
    <row r="15125" spans="1:15" x14ac:dyDescent="0.25">
      <c r="A15125" s="786" t="s">
        <v>27436</v>
      </c>
      <c r="B15125" s="787">
        <v>4</v>
      </c>
      <c r="C15125" s="787" t="s">
        <v>27428</v>
      </c>
      <c r="D15125" s="787">
        <v>0</v>
      </c>
      <c r="E15125" s="787">
        <v>0</v>
      </c>
      <c r="H15125" s="787">
        <v>1</v>
      </c>
      <c r="K15125" s="788">
        <v>41071</v>
      </c>
      <c r="L15125" s="787">
        <v>13.3</v>
      </c>
      <c r="M15125" s="787">
        <v>10</v>
      </c>
      <c r="N15125" s="787">
        <v>13.3</v>
      </c>
      <c r="O15125" s="788">
        <v>42164</v>
      </c>
    </row>
    <row r="15126" spans="1:15" x14ac:dyDescent="0.25">
      <c r="A15126" s="786" t="s">
        <v>27437</v>
      </c>
      <c r="B15126" s="787">
        <v>4</v>
      </c>
      <c r="C15126" s="787" t="s">
        <v>27438</v>
      </c>
      <c r="D15126" s="787">
        <v>0</v>
      </c>
      <c r="E15126" s="787">
        <v>0</v>
      </c>
      <c r="H15126" s="787">
        <v>1</v>
      </c>
      <c r="K15126" s="788">
        <v>41071</v>
      </c>
      <c r="L15126" s="787">
        <v>121.77</v>
      </c>
      <c r="M15126" s="787">
        <v>10</v>
      </c>
      <c r="N15126" s="787">
        <v>121.73</v>
      </c>
      <c r="O15126" s="788">
        <v>42164</v>
      </c>
    </row>
    <row r="15127" spans="1:15" x14ac:dyDescent="0.25">
      <c r="A15127" s="786" t="s">
        <v>27439</v>
      </c>
      <c r="B15127" s="787">
        <v>4</v>
      </c>
      <c r="C15127" s="787" t="s">
        <v>27438</v>
      </c>
      <c r="D15127" s="787">
        <v>0</v>
      </c>
      <c r="E15127" s="787">
        <v>0</v>
      </c>
      <c r="H15127" s="787">
        <v>1</v>
      </c>
      <c r="L15127" s="787">
        <v>0.01</v>
      </c>
      <c r="M15127" s="787">
        <v>10</v>
      </c>
      <c r="N15127" s="787">
        <v>13.3</v>
      </c>
      <c r="O15127" s="788">
        <v>42164</v>
      </c>
    </row>
    <row r="15128" spans="1:15" x14ac:dyDescent="0.25">
      <c r="A15128" s="786" t="s">
        <v>27440</v>
      </c>
      <c r="B15128" s="787">
        <v>4</v>
      </c>
      <c r="C15128" s="787" t="s">
        <v>27441</v>
      </c>
      <c r="D15128" s="787">
        <v>0</v>
      </c>
      <c r="E15128" s="787">
        <v>0</v>
      </c>
      <c r="H15128" s="787">
        <v>1</v>
      </c>
      <c r="K15128" s="788">
        <v>41071</v>
      </c>
      <c r="L15128" s="787">
        <v>121.77</v>
      </c>
      <c r="M15128" s="787">
        <v>10</v>
      </c>
      <c r="N15128" s="787">
        <v>121.73</v>
      </c>
      <c r="O15128" s="788">
        <v>42164</v>
      </c>
    </row>
    <row r="15129" spans="1:15" x14ac:dyDescent="0.25">
      <c r="A15129" s="786" t="s">
        <v>27442</v>
      </c>
      <c r="B15129" s="787">
        <v>4</v>
      </c>
      <c r="C15129" s="787" t="s">
        <v>27441</v>
      </c>
      <c r="D15129" s="787">
        <v>0</v>
      </c>
      <c r="E15129" s="787">
        <v>0</v>
      </c>
      <c r="H15129" s="787">
        <v>1</v>
      </c>
      <c r="K15129" s="788">
        <v>41071</v>
      </c>
      <c r="L15129" s="787">
        <v>13.3</v>
      </c>
      <c r="M15129" s="787">
        <v>10</v>
      </c>
      <c r="N15129" s="787">
        <v>13.3</v>
      </c>
      <c r="O15129" s="788">
        <v>42164</v>
      </c>
    </row>
    <row r="15130" spans="1:15" x14ac:dyDescent="0.25">
      <c r="A15130" s="786" t="s">
        <v>27443</v>
      </c>
      <c r="B15130" s="787">
        <v>4</v>
      </c>
      <c r="C15130" s="787" t="s">
        <v>27444</v>
      </c>
      <c r="D15130" s="787">
        <v>0</v>
      </c>
      <c r="E15130" s="787">
        <v>0</v>
      </c>
      <c r="H15130" s="787">
        <v>1</v>
      </c>
      <c r="K15130" s="788">
        <v>41071</v>
      </c>
      <c r="L15130" s="787">
        <v>133.62</v>
      </c>
      <c r="M15130" s="787">
        <v>10</v>
      </c>
      <c r="N15130" s="787">
        <v>135.47999999999999</v>
      </c>
      <c r="O15130" s="788">
        <v>42164</v>
      </c>
    </row>
    <row r="15131" spans="1:15" x14ac:dyDescent="0.25">
      <c r="A15131" s="786" t="s">
        <v>27445</v>
      </c>
      <c r="B15131" s="787">
        <v>4</v>
      </c>
      <c r="C15131" s="787" t="s">
        <v>27444</v>
      </c>
      <c r="D15131" s="787">
        <v>0</v>
      </c>
      <c r="E15131" s="787">
        <v>0</v>
      </c>
      <c r="H15131" s="787">
        <v>1</v>
      </c>
      <c r="K15131" s="788">
        <v>41071</v>
      </c>
      <c r="L15131" s="787">
        <v>13.3</v>
      </c>
      <c r="M15131" s="787">
        <v>10</v>
      </c>
      <c r="N15131" s="787">
        <v>13.3</v>
      </c>
      <c r="O15131" s="788">
        <v>42164</v>
      </c>
    </row>
    <row r="15132" spans="1:15" x14ac:dyDescent="0.25">
      <c r="A15132" s="786" t="s">
        <v>27446</v>
      </c>
      <c r="B15132" s="787">
        <v>4</v>
      </c>
      <c r="C15132" s="787" t="s">
        <v>27447</v>
      </c>
      <c r="D15132" s="787">
        <v>0</v>
      </c>
      <c r="E15132" s="787">
        <v>0</v>
      </c>
      <c r="H15132" s="787">
        <v>1</v>
      </c>
      <c r="K15132" s="788">
        <v>41071</v>
      </c>
      <c r="L15132" s="787">
        <v>147.87</v>
      </c>
      <c r="M15132" s="787">
        <v>10</v>
      </c>
      <c r="N15132" s="787">
        <v>150.6</v>
      </c>
      <c r="O15132" s="788">
        <v>42164</v>
      </c>
    </row>
    <row r="15133" spans="1:15" x14ac:dyDescent="0.25">
      <c r="A15133" s="786" t="s">
        <v>27448</v>
      </c>
      <c r="B15133" s="787">
        <v>4</v>
      </c>
      <c r="C15133" s="787" t="s">
        <v>27447</v>
      </c>
      <c r="D15133" s="787">
        <v>0</v>
      </c>
      <c r="E15133" s="787">
        <v>0</v>
      </c>
      <c r="H15133" s="787">
        <v>1</v>
      </c>
      <c r="K15133" s="788">
        <v>41071</v>
      </c>
      <c r="L15133" s="787">
        <v>13.3</v>
      </c>
      <c r="M15133" s="787">
        <v>10</v>
      </c>
      <c r="N15133" s="787">
        <v>13.3</v>
      </c>
      <c r="O15133" s="788">
        <v>42164</v>
      </c>
    </row>
    <row r="15134" spans="1:15" x14ac:dyDescent="0.25">
      <c r="A15134" s="786" t="s">
        <v>27449</v>
      </c>
      <c r="B15134" s="787">
        <v>4</v>
      </c>
      <c r="C15134" s="787" t="s">
        <v>27450</v>
      </c>
      <c r="D15134" s="787">
        <v>0</v>
      </c>
      <c r="E15134" s="787">
        <v>0</v>
      </c>
      <c r="H15134" s="787">
        <v>1</v>
      </c>
      <c r="K15134" s="788">
        <v>41071</v>
      </c>
      <c r="L15134" s="787">
        <v>211.11</v>
      </c>
      <c r="M15134" s="787">
        <v>10</v>
      </c>
      <c r="N15134" s="787">
        <v>208.01</v>
      </c>
      <c r="O15134" s="788">
        <v>42164</v>
      </c>
    </row>
    <row r="15135" spans="1:15" x14ac:dyDescent="0.25">
      <c r="A15135" s="786" t="s">
        <v>27451</v>
      </c>
      <c r="B15135" s="787">
        <v>4</v>
      </c>
      <c r="C15135" s="787" t="s">
        <v>27452</v>
      </c>
      <c r="D15135" s="787">
        <v>0</v>
      </c>
      <c r="E15135" s="787">
        <v>0</v>
      </c>
      <c r="H15135" s="787">
        <v>1</v>
      </c>
      <c r="L15135" s="787">
        <v>0.01</v>
      </c>
      <c r="M15135" s="787">
        <v>10</v>
      </c>
      <c r="N15135" s="787">
        <v>33.950000000000003</v>
      </c>
      <c r="O15135" s="788">
        <v>42164</v>
      </c>
    </row>
    <row r="15136" spans="1:15" x14ac:dyDescent="0.25">
      <c r="A15136" s="786" t="s">
        <v>27453</v>
      </c>
      <c r="B15136" s="787">
        <v>4</v>
      </c>
      <c r="C15136" s="787" t="s">
        <v>27454</v>
      </c>
      <c r="D15136" s="787">
        <v>0</v>
      </c>
      <c r="E15136" s="787">
        <v>0</v>
      </c>
      <c r="H15136" s="787">
        <v>1</v>
      </c>
      <c r="K15136" s="788">
        <v>41072</v>
      </c>
      <c r="L15136" s="787">
        <v>388.81</v>
      </c>
      <c r="M15136" s="787">
        <v>10</v>
      </c>
      <c r="N15136" s="787">
        <v>393.2</v>
      </c>
      <c r="O15136" s="788">
        <v>42164</v>
      </c>
    </row>
    <row r="15137" spans="1:15" x14ac:dyDescent="0.25">
      <c r="A15137" s="786" t="s">
        <v>27455</v>
      </c>
      <c r="B15137" s="787">
        <v>4</v>
      </c>
      <c r="C15137" s="787" t="s">
        <v>27454</v>
      </c>
      <c r="D15137" s="787">
        <v>0</v>
      </c>
      <c r="E15137" s="787">
        <v>0</v>
      </c>
      <c r="H15137" s="787">
        <v>1</v>
      </c>
      <c r="K15137" s="788">
        <v>41071</v>
      </c>
      <c r="L15137" s="787">
        <v>33.950000000000003</v>
      </c>
      <c r="M15137" s="787">
        <v>10</v>
      </c>
      <c r="N15137" s="787">
        <v>33.950000000000003</v>
      </c>
      <c r="O15137" s="788">
        <v>42164</v>
      </c>
    </row>
    <row r="15138" spans="1:15" x14ac:dyDescent="0.25">
      <c r="A15138" s="786" t="s">
        <v>27456</v>
      </c>
      <c r="B15138" s="787">
        <v>4</v>
      </c>
      <c r="C15138" s="787" t="s">
        <v>27457</v>
      </c>
      <c r="D15138" s="787">
        <v>0</v>
      </c>
      <c r="E15138" s="787">
        <v>0</v>
      </c>
      <c r="H15138" s="787">
        <v>1</v>
      </c>
      <c r="I15138" s="788">
        <v>41901</v>
      </c>
      <c r="K15138" s="788">
        <v>41088</v>
      </c>
      <c r="L15138" s="787">
        <v>68.28</v>
      </c>
      <c r="M15138" s="787">
        <v>10</v>
      </c>
      <c r="N15138" s="787">
        <v>131.80000000000001</v>
      </c>
      <c r="O15138" s="788">
        <v>42164</v>
      </c>
    </row>
    <row r="15139" spans="1:15" x14ac:dyDescent="0.25">
      <c r="A15139" s="786" t="s">
        <v>27458</v>
      </c>
      <c r="B15139" s="787">
        <v>4</v>
      </c>
      <c r="C15139" s="787" t="s">
        <v>27459</v>
      </c>
      <c r="D15139" s="787">
        <v>0</v>
      </c>
      <c r="E15139" s="787">
        <v>0</v>
      </c>
      <c r="H15139" s="787">
        <v>1</v>
      </c>
      <c r="K15139" s="788">
        <v>41088</v>
      </c>
      <c r="L15139" s="787">
        <v>281.48</v>
      </c>
      <c r="M15139" s="787">
        <v>10</v>
      </c>
      <c r="N15139" s="787">
        <v>384.76</v>
      </c>
      <c r="O15139" s="788">
        <v>42164</v>
      </c>
    </row>
    <row r="15140" spans="1:15" x14ac:dyDescent="0.25">
      <c r="A15140" s="786" t="s">
        <v>27460</v>
      </c>
      <c r="B15140" s="787">
        <v>4</v>
      </c>
      <c r="C15140" s="787" t="s">
        <v>27461</v>
      </c>
      <c r="D15140" s="787">
        <v>0</v>
      </c>
      <c r="E15140" s="787">
        <v>0</v>
      </c>
      <c r="H15140" s="787">
        <v>1</v>
      </c>
      <c r="K15140" s="788">
        <v>41088</v>
      </c>
      <c r="L15140" s="787">
        <v>74.92</v>
      </c>
      <c r="M15140" s="787">
        <v>10</v>
      </c>
      <c r="N15140" s="787">
        <v>146.56</v>
      </c>
      <c r="O15140" s="788">
        <v>42164</v>
      </c>
    </row>
    <row r="15141" spans="1:15" x14ac:dyDescent="0.25">
      <c r="A15141" s="786" t="s">
        <v>27462</v>
      </c>
      <c r="B15141" s="787">
        <v>4</v>
      </c>
      <c r="C15141" s="787" t="s">
        <v>27463</v>
      </c>
      <c r="D15141" s="787">
        <v>0</v>
      </c>
      <c r="E15141" s="787">
        <v>0</v>
      </c>
      <c r="H15141" s="787">
        <v>1</v>
      </c>
      <c r="K15141" s="788">
        <v>41088</v>
      </c>
      <c r="L15141" s="787">
        <v>329.32</v>
      </c>
      <c r="M15141" s="787">
        <v>10</v>
      </c>
      <c r="N15141" s="787">
        <v>425.11</v>
      </c>
      <c r="O15141" s="788">
        <v>42164</v>
      </c>
    </row>
    <row r="15142" spans="1:15" x14ac:dyDescent="0.25">
      <c r="A15142" s="786" t="s">
        <v>27464</v>
      </c>
      <c r="B15142" s="787">
        <v>4</v>
      </c>
      <c r="C15142" s="787" t="s">
        <v>27465</v>
      </c>
      <c r="D15142" s="787">
        <v>0</v>
      </c>
      <c r="E15142" s="787">
        <v>0</v>
      </c>
      <c r="H15142" s="787">
        <v>1</v>
      </c>
      <c r="K15142" s="788">
        <v>41929</v>
      </c>
      <c r="L15142" s="787">
        <v>192.24</v>
      </c>
      <c r="M15142" s="787">
        <v>10</v>
      </c>
      <c r="N15142" s="787">
        <v>192.24</v>
      </c>
      <c r="O15142" s="788">
        <v>42164</v>
      </c>
    </row>
    <row r="15143" spans="1:15" x14ac:dyDescent="0.25">
      <c r="A15143" s="786" t="s">
        <v>27466</v>
      </c>
      <c r="B15143" s="787">
        <v>4</v>
      </c>
      <c r="C15143" s="787" t="s">
        <v>27467</v>
      </c>
      <c r="D15143" s="787">
        <v>0</v>
      </c>
      <c r="E15143" s="787">
        <v>0</v>
      </c>
      <c r="H15143" s="787">
        <v>1</v>
      </c>
      <c r="K15143" s="788">
        <v>41088</v>
      </c>
      <c r="L15143" s="787">
        <v>506.69</v>
      </c>
      <c r="M15143" s="787">
        <v>10</v>
      </c>
      <c r="N15143" s="787">
        <v>587.77</v>
      </c>
      <c r="O15143" s="788">
        <v>42164</v>
      </c>
    </row>
    <row r="15144" spans="1:15" x14ac:dyDescent="0.25">
      <c r="A15144" s="786" t="s">
        <v>27468</v>
      </c>
      <c r="B15144" s="787">
        <v>4</v>
      </c>
      <c r="C15144" s="787" t="s">
        <v>27469</v>
      </c>
      <c r="D15144" s="787">
        <v>0</v>
      </c>
      <c r="E15144" s="787">
        <v>0</v>
      </c>
      <c r="H15144" s="787">
        <v>1</v>
      </c>
      <c r="K15144" s="788">
        <v>41088</v>
      </c>
      <c r="L15144" s="787">
        <v>333.09</v>
      </c>
      <c r="M15144" s="787">
        <v>10</v>
      </c>
      <c r="N15144" s="787">
        <v>383.53</v>
      </c>
      <c r="O15144" s="788">
        <v>42164</v>
      </c>
    </row>
    <row r="15145" spans="1:15" x14ac:dyDescent="0.25">
      <c r="A15145" s="786" t="s">
        <v>27470</v>
      </c>
      <c r="B15145" s="787">
        <v>4</v>
      </c>
      <c r="C15145" s="787" t="s">
        <v>27471</v>
      </c>
      <c r="D15145" s="787">
        <v>0</v>
      </c>
      <c r="E15145" s="787">
        <v>0</v>
      </c>
      <c r="H15145" s="787">
        <v>1</v>
      </c>
      <c r="K15145" s="788">
        <v>41088</v>
      </c>
      <c r="L15145" s="787">
        <v>759.32</v>
      </c>
      <c r="M15145" s="787">
        <v>10</v>
      </c>
      <c r="N15145" s="787">
        <v>851.79</v>
      </c>
      <c r="O15145" s="788">
        <v>42164</v>
      </c>
    </row>
    <row r="15146" spans="1:15" x14ac:dyDescent="0.25">
      <c r="A15146" s="786" t="s">
        <v>27472</v>
      </c>
      <c r="B15146" s="787">
        <v>4</v>
      </c>
      <c r="C15146" s="787" t="s">
        <v>27473</v>
      </c>
      <c r="D15146" s="787">
        <v>0</v>
      </c>
      <c r="E15146" s="787">
        <v>0</v>
      </c>
      <c r="H15146" s="787">
        <v>1</v>
      </c>
      <c r="K15146" s="788">
        <v>41088</v>
      </c>
      <c r="L15146" s="787">
        <v>478.21</v>
      </c>
      <c r="M15146" s="787">
        <v>10</v>
      </c>
      <c r="N15146" s="787">
        <v>548.5</v>
      </c>
      <c r="O15146" s="788">
        <v>42164</v>
      </c>
    </row>
    <row r="15147" spans="1:15" x14ac:dyDescent="0.25">
      <c r="A15147" s="786" t="s">
        <v>27474</v>
      </c>
      <c r="B15147" s="787">
        <v>4</v>
      </c>
      <c r="C15147" s="787" t="s">
        <v>27475</v>
      </c>
      <c r="D15147" s="787">
        <v>0</v>
      </c>
      <c r="E15147" s="787">
        <v>0</v>
      </c>
      <c r="H15147" s="787">
        <v>1</v>
      </c>
      <c r="K15147" s="788">
        <v>41088</v>
      </c>
      <c r="L15147" s="789">
        <v>2668.67</v>
      </c>
      <c r="M15147" s="787">
        <v>10</v>
      </c>
      <c r="N15147" s="789">
        <v>2768.63</v>
      </c>
      <c r="O15147" s="788">
        <v>42164</v>
      </c>
    </row>
    <row r="15148" spans="1:15" x14ac:dyDescent="0.25">
      <c r="A15148" s="786" t="s">
        <v>27476</v>
      </c>
      <c r="B15148" s="787">
        <v>4</v>
      </c>
      <c r="C15148" s="787" t="s">
        <v>27477</v>
      </c>
      <c r="D15148" s="787">
        <v>0</v>
      </c>
      <c r="E15148" s="787">
        <v>0</v>
      </c>
      <c r="H15148" s="787">
        <v>1</v>
      </c>
      <c r="K15148" s="788">
        <v>41088</v>
      </c>
      <c r="L15148" s="787">
        <v>574.04999999999995</v>
      </c>
      <c r="M15148" s="787">
        <v>10</v>
      </c>
      <c r="N15148" s="787">
        <v>645.47</v>
      </c>
      <c r="O15148" s="788">
        <v>42164</v>
      </c>
    </row>
    <row r="15149" spans="1:15" x14ac:dyDescent="0.25">
      <c r="A15149" s="786" t="s">
        <v>27478</v>
      </c>
      <c r="B15149" s="787">
        <v>4</v>
      </c>
      <c r="C15149" s="787" t="s">
        <v>27479</v>
      </c>
      <c r="D15149" s="787">
        <v>0</v>
      </c>
      <c r="E15149" s="787">
        <v>0</v>
      </c>
      <c r="H15149" s="787">
        <v>1</v>
      </c>
      <c r="K15149" s="788">
        <v>41088</v>
      </c>
      <c r="L15149" s="789">
        <v>2909.79</v>
      </c>
      <c r="M15149" s="787">
        <v>10</v>
      </c>
      <c r="N15149" s="789">
        <v>3009.76</v>
      </c>
      <c r="O15149" s="788">
        <v>42164</v>
      </c>
    </row>
    <row r="15150" spans="1:15" x14ac:dyDescent="0.25">
      <c r="A15150" s="786" t="s">
        <v>27480</v>
      </c>
      <c r="B15150" s="787">
        <v>4</v>
      </c>
      <c r="C15150" s="787" t="s">
        <v>27481</v>
      </c>
      <c r="D15150" s="787">
        <v>0</v>
      </c>
      <c r="E15150" s="787">
        <v>0</v>
      </c>
      <c r="H15150" s="787">
        <v>1</v>
      </c>
      <c r="K15150" s="788">
        <v>41088</v>
      </c>
      <c r="L15150" s="787">
        <v>725.97</v>
      </c>
      <c r="M15150" s="787">
        <v>10</v>
      </c>
      <c r="N15150" s="787">
        <v>792.15</v>
      </c>
      <c r="O15150" s="788">
        <v>42164</v>
      </c>
    </row>
    <row r="15151" spans="1:15" x14ac:dyDescent="0.25">
      <c r="A15151" s="786" t="s">
        <v>27482</v>
      </c>
      <c r="B15151" s="787">
        <v>4</v>
      </c>
      <c r="C15151" s="787" t="s">
        <v>27483</v>
      </c>
      <c r="D15151" s="787">
        <v>0</v>
      </c>
      <c r="E15151" s="787">
        <v>0</v>
      </c>
      <c r="H15151" s="787">
        <v>1</v>
      </c>
      <c r="K15151" s="788">
        <v>41088</v>
      </c>
      <c r="L15151" s="789">
        <v>3581.45</v>
      </c>
      <c r="M15151" s="787">
        <v>10</v>
      </c>
      <c r="N15151" s="789">
        <v>3705.44</v>
      </c>
      <c r="O15151" s="788">
        <v>42164</v>
      </c>
    </row>
    <row r="15152" spans="1:15" x14ac:dyDescent="0.25">
      <c r="A15152" s="786" t="s">
        <v>27484</v>
      </c>
      <c r="B15152" s="787">
        <v>4</v>
      </c>
      <c r="C15152" s="787" t="s">
        <v>27485</v>
      </c>
      <c r="D15152" s="787">
        <v>0</v>
      </c>
      <c r="E15152" s="787">
        <v>0</v>
      </c>
      <c r="H15152" s="787">
        <v>1</v>
      </c>
      <c r="K15152" s="788">
        <v>41088</v>
      </c>
      <c r="L15152" s="787">
        <v>794.23</v>
      </c>
      <c r="M15152" s="787">
        <v>10</v>
      </c>
      <c r="N15152" s="787">
        <v>887.5</v>
      </c>
      <c r="O15152" s="788">
        <v>42164</v>
      </c>
    </row>
    <row r="15153" spans="1:15" x14ac:dyDescent="0.25">
      <c r="A15153" s="786" t="s">
        <v>27486</v>
      </c>
      <c r="B15153" s="787">
        <v>4</v>
      </c>
      <c r="C15153" s="787" t="s">
        <v>27487</v>
      </c>
      <c r="D15153" s="787">
        <v>0</v>
      </c>
      <c r="E15153" s="787">
        <v>0</v>
      </c>
      <c r="H15153" s="787">
        <v>1</v>
      </c>
      <c r="L15153" s="787">
        <v>0.01</v>
      </c>
      <c r="M15153" s="787">
        <v>10</v>
      </c>
      <c r="N15153" s="787">
        <v>28</v>
      </c>
      <c r="O15153" s="788">
        <v>42164</v>
      </c>
    </row>
    <row r="15154" spans="1:15" x14ac:dyDescent="0.25">
      <c r="A15154" s="786" t="s">
        <v>27488</v>
      </c>
      <c r="B15154" s="787">
        <v>4</v>
      </c>
      <c r="C15154" s="787" t="s">
        <v>27489</v>
      </c>
      <c r="D15154" s="787">
        <v>0</v>
      </c>
      <c r="E15154" s="787">
        <v>0</v>
      </c>
      <c r="H15154" s="787">
        <v>1</v>
      </c>
      <c r="L15154" s="787">
        <v>0.01</v>
      </c>
      <c r="M15154" s="787">
        <v>10</v>
      </c>
      <c r="N15154" s="789">
        <v>1150.6500000000001</v>
      </c>
      <c r="O15154" s="788">
        <v>42164</v>
      </c>
    </row>
    <row r="15155" spans="1:15" x14ac:dyDescent="0.25">
      <c r="A15155" s="786" t="s">
        <v>27490</v>
      </c>
      <c r="B15155" s="787">
        <v>4</v>
      </c>
      <c r="C15155" s="787" t="s">
        <v>27491</v>
      </c>
      <c r="D15155" s="787">
        <v>0</v>
      </c>
      <c r="E15155" s="787">
        <v>0</v>
      </c>
      <c r="H15155" s="787">
        <v>1</v>
      </c>
      <c r="L15155" s="787">
        <v>0.01</v>
      </c>
      <c r="M15155" s="787">
        <v>10</v>
      </c>
      <c r="N15155" s="789">
        <v>1591.78</v>
      </c>
      <c r="O15155" s="788">
        <v>42164</v>
      </c>
    </row>
    <row r="15156" spans="1:15" x14ac:dyDescent="0.25">
      <c r="A15156" s="786" t="s">
        <v>27492</v>
      </c>
      <c r="B15156" s="787">
        <v>4</v>
      </c>
      <c r="C15156" s="787" t="s">
        <v>27493</v>
      </c>
      <c r="D15156" s="787">
        <v>0</v>
      </c>
      <c r="E15156" s="787">
        <v>0</v>
      </c>
      <c r="H15156" s="787">
        <v>1</v>
      </c>
      <c r="L15156" s="787">
        <v>0.01</v>
      </c>
      <c r="M15156" s="787">
        <v>10</v>
      </c>
      <c r="N15156" s="787">
        <v>28</v>
      </c>
      <c r="O15156" s="788">
        <v>42164</v>
      </c>
    </row>
    <row r="15157" spans="1:15" x14ac:dyDescent="0.25">
      <c r="A15157" s="786" t="s">
        <v>27494</v>
      </c>
      <c r="B15157" s="787">
        <v>4</v>
      </c>
      <c r="C15157" s="787" t="s">
        <v>27495</v>
      </c>
      <c r="D15157" s="787">
        <v>0</v>
      </c>
      <c r="E15157" s="787">
        <v>0</v>
      </c>
      <c r="H15157" s="787">
        <v>1</v>
      </c>
      <c r="L15157" s="787">
        <v>0.01</v>
      </c>
      <c r="M15157" s="787">
        <v>10</v>
      </c>
      <c r="N15157" s="789">
        <v>1615.8</v>
      </c>
      <c r="O15157" s="788">
        <v>42164</v>
      </c>
    </row>
    <row r="15158" spans="1:15" x14ac:dyDescent="0.25">
      <c r="A15158" s="786" t="s">
        <v>27496</v>
      </c>
      <c r="B15158" s="787">
        <v>4</v>
      </c>
      <c r="C15158" s="787" t="s">
        <v>27497</v>
      </c>
      <c r="D15158" s="787">
        <v>0</v>
      </c>
      <c r="E15158" s="787">
        <v>0</v>
      </c>
      <c r="H15158" s="787">
        <v>1</v>
      </c>
      <c r="L15158" s="787">
        <v>0.01</v>
      </c>
      <c r="M15158" s="787">
        <v>10</v>
      </c>
      <c r="N15158" s="787">
        <v>28</v>
      </c>
      <c r="O15158" s="788">
        <v>42164</v>
      </c>
    </row>
    <row r="15159" spans="1:15" x14ac:dyDescent="0.25">
      <c r="A15159" s="786" t="s">
        <v>27498</v>
      </c>
      <c r="B15159" s="787">
        <v>4</v>
      </c>
      <c r="C15159" s="787" t="s">
        <v>27499</v>
      </c>
      <c r="D15159" s="787">
        <v>0</v>
      </c>
      <c r="E15159" s="787">
        <v>0</v>
      </c>
      <c r="H15159" s="787">
        <v>1</v>
      </c>
      <c r="L15159" s="787">
        <v>0.01</v>
      </c>
      <c r="M15159" s="787">
        <v>10</v>
      </c>
      <c r="N15159" s="789">
        <v>2104.79</v>
      </c>
      <c r="O15159" s="788">
        <v>42164</v>
      </c>
    </row>
    <row r="15160" spans="1:15" x14ac:dyDescent="0.25">
      <c r="A15160" s="786" t="s">
        <v>27500</v>
      </c>
      <c r="B15160" s="787">
        <v>4</v>
      </c>
      <c r="C15160" s="787" t="s">
        <v>27501</v>
      </c>
      <c r="D15160" s="787">
        <v>0</v>
      </c>
      <c r="E15160" s="787">
        <v>0</v>
      </c>
      <c r="H15160" s="787">
        <v>1</v>
      </c>
      <c r="L15160" s="787">
        <v>0.01</v>
      </c>
      <c r="M15160" s="787">
        <v>10</v>
      </c>
      <c r="N15160" s="787">
        <v>28</v>
      </c>
      <c r="O15160" s="788">
        <v>42164</v>
      </c>
    </row>
    <row r="15161" spans="1:15" x14ac:dyDescent="0.25">
      <c r="A15161" s="786" t="s">
        <v>27502</v>
      </c>
      <c r="B15161" s="787">
        <v>4</v>
      </c>
      <c r="C15161" s="787" t="s">
        <v>27503</v>
      </c>
      <c r="D15161" s="787">
        <v>0</v>
      </c>
      <c r="E15161" s="787">
        <v>0</v>
      </c>
      <c r="H15161" s="787">
        <v>1</v>
      </c>
      <c r="L15161" s="787">
        <v>0.01</v>
      </c>
      <c r="M15161" s="787">
        <v>10</v>
      </c>
      <c r="N15161" s="789">
        <v>2505.37</v>
      </c>
      <c r="O15161" s="788">
        <v>42164</v>
      </c>
    </row>
    <row r="15162" spans="1:15" x14ac:dyDescent="0.25">
      <c r="A15162" s="786" t="s">
        <v>27504</v>
      </c>
      <c r="B15162" s="787">
        <v>4</v>
      </c>
      <c r="C15162" s="787" t="s">
        <v>27505</v>
      </c>
      <c r="D15162" s="787">
        <v>0</v>
      </c>
      <c r="E15162" s="787">
        <v>0</v>
      </c>
      <c r="H15162" s="787">
        <v>1</v>
      </c>
      <c r="L15162" s="787">
        <v>0.01</v>
      </c>
      <c r="M15162" s="787">
        <v>10</v>
      </c>
      <c r="N15162" s="787">
        <v>28</v>
      </c>
      <c r="O15162" s="788">
        <v>42164</v>
      </c>
    </row>
    <row r="15163" spans="1:15" x14ac:dyDescent="0.25">
      <c r="A15163" s="786" t="s">
        <v>27506</v>
      </c>
      <c r="B15163" s="787">
        <v>4</v>
      </c>
      <c r="C15163" s="787" t="s">
        <v>27507</v>
      </c>
      <c r="D15163" s="787">
        <v>0</v>
      </c>
      <c r="E15163" s="787">
        <v>0</v>
      </c>
      <c r="H15163" s="787">
        <v>1</v>
      </c>
      <c r="K15163" s="788">
        <v>41806</v>
      </c>
      <c r="L15163" s="789">
        <v>1453.59</v>
      </c>
      <c r="M15163" s="787">
        <v>10</v>
      </c>
      <c r="N15163" s="789">
        <v>1163.8499999999999</v>
      </c>
      <c r="O15163" s="788">
        <v>42164</v>
      </c>
    </row>
    <row r="15164" spans="1:15" x14ac:dyDescent="0.25">
      <c r="A15164" s="786" t="s">
        <v>27508</v>
      </c>
      <c r="B15164" s="787">
        <v>4</v>
      </c>
      <c r="C15164" s="787" t="s">
        <v>27509</v>
      </c>
      <c r="D15164" s="787">
        <v>0</v>
      </c>
      <c r="E15164" s="787">
        <v>0</v>
      </c>
      <c r="H15164" s="787">
        <v>1</v>
      </c>
      <c r="K15164" s="788">
        <v>41806</v>
      </c>
      <c r="L15164" s="789">
        <v>1285.69</v>
      </c>
      <c r="M15164" s="787">
        <v>10</v>
      </c>
      <c r="N15164" s="787">
        <v>971.43</v>
      </c>
      <c r="O15164" s="788">
        <v>42164</v>
      </c>
    </row>
    <row r="15165" spans="1:15" x14ac:dyDescent="0.25">
      <c r="A15165" s="786" t="s">
        <v>27510</v>
      </c>
      <c r="B15165" s="787">
        <v>4</v>
      </c>
      <c r="C15165" s="787" t="s">
        <v>27511</v>
      </c>
      <c r="D15165" s="787">
        <v>0</v>
      </c>
      <c r="E15165" s="787">
        <v>0</v>
      </c>
      <c r="H15165" s="787">
        <v>1</v>
      </c>
      <c r="K15165" s="788">
        <v>41806</v>
      </c>
      <c r="L15165" s="789">
        <v>1499.13</v>
      </c>
      <c r="M15165" s="787">
        <v>10</v>
      </c>
      <c r="N15165" s="789">
        <v>1302.6099999999999</v>
      </c>
      <c r="O15165" s="788">
        <v>42164</v>
      </c>
    </row>
    <row r="15166" spans="1:15" x14ac:dyDescent="0.25">
      <c r="A15166" s="786" t="s">
        <v>27512</v>
      </c>
      <c r="B15166" s="787">
        <v>4</v>
      </c>
      <c r="C15166" s="787" t="s">
        <v>27513</v>
      </c>
      <c r="D15166" s="787">
        <v>0</v>
      </c>
      <c r="E15166" s="787">
        <v>0</v>
      </c>
      <c r="H15166" s="787">
        <v>1</v>
      </c>
      <c r="K15166" s="788">
        <v>41929</v>
      </c>
      <c r="L15166" s="789">
        <v>1018.8</v>
      </c>
      <c r="M15166" s="787">
        <v>10</v>
      </c>
      <c r="N15166" s="789">
        <v>1020.88</v>
      </c>
      <c r="O15166" s="788">
        <v>42164</v>
      </c>
    </row>
    <row r="15167" spans="1:15" x14ac:dyDescent="0.25">
      <c r="A15167" s="786" t="s">
        <v>27514</v>
      </c>
      <c r="B15167" s="787">
        <v>4</v>
      </c>
      <c r="C15167" s="787" t="s">
        <v>27515</v>
      </c>
      <c r="D15167" s="787">
        <v>0</v>
      </c>
      <c r="E15167" s="787">
        <v>0</v>
      </c>
      <c r="H15167" s="787">
        <v>1</v>
      </c>
      <c r="K15167" s="788">
        <v>41806</v>
      </c>
      <c r="L15167" s="789">
        <v>1911.93</v>
      </c>
      <c r="M15167" s="787">
        <v>10</v>
      </c>
      <c r="N15167" s="789">
        <v>1662.51</v>
      </c>
      <c r="O15167" s="788">
        <v>42164</v>
      </c>
    </row>
    <row r="15168" spans="1:15" x14ac:dyDescent="0.25">
      <c r="A15168" s="786" t="s">
        <v>27516</v>
      </c>
      <c r="B15168" s="787">
        <v>4</v>
      </c>
      <c r="C15168" s="787" t="s">
        <v>27517</v>
      </c>
      <c r="D15168" s="787">
        <v>0</v>
      </c>
      <c r="E15168" s="787">
        <v>0</v>
      </c>
      <c r="H15168" s="787">
        <v>1</v>
      </c>
      <c r="K15168" s="788">
        <v>41806</v>
      </c>
      <c r="L15168" s="789">
        <v>1685.32</v>
      </c>
      <c r="M15168" s="787">
        <v>10</v>
      </c>
      <c r="N15168" s="789">
        <v>1452.68</v>
      </c>
      <c r="O15168" s="788">
        <v>42164</v>
      </c>
    </row>
    <row r="15169" spans="1:15" x14ac:dyDescent="0.25">
      <c r="A15169" s="786" t="s">
        <v>27518</v>
      </c>
      <c r="B15169" s="787">
        <v>4</v>
      </c>
      <c r="C15169" s="787" t="s">
        <v>27519</v>
      </c>
      <c r="D15169" s="787">
        <v>0</v>
      </c>
      <c r="E15169" s="787">
        <v>0</v>
      </c>
      <c r="H15169" s="787">
        <v>1</v>
      </c>
      <c r="K15169" s="788">
        <v>41806</v>
      </c>
      <c r="L15169" s="789">
        <v>2135.42</v>
      </c>
      <c r="M15169" s="787">
        <v>10</v>
      </c>
      <c r="N15169" s="789">
        <v>1958.23</v>
      </c>
      <c r="O15169" s="788">
        <v>42164</v>
      </c>
    </row>
    <row r="15170" spans="1:15" x14ac:dyDescent="0.25">
      <c r="A15170" s="786" t="s">
        <v>27520</v>
      </c>
      <c r="B15170" s="787">
        <v>4</v>
      </c>
      <c r="C15170" s="787" t="s">
        <v>27521</v>
      </c>
      <c r="D15170" s="787">
        <v>0</v>
      </c>
      <c r="E15170" s="787">
        <v>0</v>
      </c>
      <c r="H15170" s="787">
        <v>1</v>
      </c>
      <c r="K15170" s="788">
        <v>41806</v>
      </c>
      <c r="L15170" s="789">
        <v>2240.77</v>
      </c>
      <c r="M15170" s="787">
        <v>10</v>
      </c>
      <c r="N15170" s="789">
        <v>2039.55</v>
      </c>
      <c r="O15170" s="788">
        <v>42164</v>
      </c>
    </row>
    <row r="15171" spans="1:15" x14ac:dyDescent="0.25">
      <c r="A15171" s="786" t="s">
        <v>27522</v>
      </c>
      <c r="B15171" s="787">
        <v>4</v>
      </c>
      <c r="C15171" s="787" t="s">
        <v>27523</v>
      </c>
      <c r="D15171" s="787">
        <v>0</v>
      </c>
      <c r="E15171" s="787">
        <v>0</v>
      </c>
      <c r="H15171" s="787">
        <v>1</v>
      </c>
      <c r="L15171" s="787">
        <v>239.8</v>
      </c>
      <c r="M15171" s="787">
        <v>10</v>
      </c>
      <c r="N15171" s="787">
        <v>391.47</v>
      </c>
      <c r="O15171" s="788">
        <v>42164</v>
      </c>
    </row>
    <row r="15172" spans="1:15" x14ac:dyDescent="0.25">
      <c r="A15172" s="786" t="s">
        <v>27524</v>
      </c>
      <c r="B15172" s="787">
        <v>4</v>
      </c>
      <c r="C15172" s="787" t="s">
        <v>27525</v>
      </c>
      <c r="D15172" s="787">
        <v>0</v>
      </c>
      <c r="E15172" s="787">
        <v>0</v>
      </c>
      <c r="H15172" s="787">
        <v>1</v>
      </c>
      <c r="L15172" s="787">
        <v>373.8</v>
      </c>
      <c r="M15172" s="787">
        <v>10</v>
      </c>
      <c r="N15172" s="787">
        <v>550.29999999999995</v>
      </c>
      <c r="O15172" s="788">
        <v>42164</v>
      </c>
    </row>
    <row r="15173" spans="1:15" x14ac:dyDescent="0.25">
      <c r="A15173" s="786" t="s">
        <v>27526</v>
      </c>
      <c r="B15173" s="787">
        <v>4</v>
      </c>
      <c r="C15173" s="787" t="s">
        <v>27527</v>
      </c>
      <c r="D15173" s="787">
        <v>0</v>
      </c>
      <c r="E15173" s="787">
        <v>0</v>
      </c>
      <c r="H15173" s="787">
        <v>1</v>
      </c>
      <c r="L15173" s="787">
        <v>0</v>
      </c>
      <c r="M15173" s="787">
        <v>10</v>
      </c>
      <c r="N15173" s="789">
        <v>1512.7</v>
      </c>
      <c r="O15173" s="788">
        <v>42165</v>
      </c>
    </row>
    <row r="15174" spans="1:15" x14ac:dyDescent="0.25">
      <c r="A15174" s="786" t="s">
        <v>27528</v>
      </c>
      <c r="B15174" s="787">
        <v>4</v>
      </c>
      <c r="C15174" s="787" t="s">
        <v>27529</v>
      </c>
      <c r="D15174" s="787">
        <v>0</v>
      </c>
      <c r="E15174" s="787">
        <v>0</v>
      </c>
      <c r="H15174" s="787">
        <v>1</v>
      </c>
      <c r="L15174" s="787">
        <v>0</v>
      </c>
      <c r="M15174" s="787">
        <v>10</v>
      </c>
      <c r="N15174" s="789">
        <v>1398</v>
      </c>
      <c r="O15174" s="788">
        <v>42165</v>
      </c>
    </row>
    <row r="15175" spans="1:15" x14ac:dyDescent="0.25">
      <c r="A15175" s="786" t="s">
        <v>27530</v>
      </c>
      <c r="B15175" s="787">
        <v>4</v>
      </c>
      <c r="C15175" s="787" t="s">
        <v>27531</v>
      </c>
      <c r="D15175" s="787">
        <v>0</v>
      </c>
      <c r="E15175" s="787">
        <v>0</v>
      </c>
      <c r="H15175" s="787">
        <v>1</v>
      </c>
      <c r="L15175" s="787">
        <v>0</v>
      </c>
      <c r="M15175" s="787">
        <v>10</v>
      </c>
      <c r="N15175" s="789">
        <v>1525.96</v>
      </c>
      <c r="O15175" s="788">
        <v>42165</v>
      </c>
    </row>
    <row r="15176" spans="1:15" x14ac:dyDescent="0.25">
      <c r="A15176" s="786" t="s">
        <v>27532</v>
      </c>
      <c r="B15176" s="787">
        <v>4</v>
      </c>
      <c r="C15176" s="787" t="s">
        <v>27533</v>
      </c>
      <c r="D15176" s="787">
        <v>0</v>
      </c>
      <c r="E15176" s="787">
        <v>0</v>
      </c>
      <c r="H15176" s="787">
        <v>1</v>
      </c>
      <c r="L15176" s="787">
        <v>0</v>
      </c>
      <c r="M15176" s="787">
        <v>10</v>
      </c>
      <c r="N15176" s="789">
        <v>1411.99</v>
      </c>
      <c r="O15176" s="788">
        <v>42165</v>
      </c>
    </row>
    <row r="15177" spans="1:15" x14ac:dyDescent="0.25">
      <c r="A15177" s="786" t="s">
        <v>27534</v>
      </c>
      <c r="B15177" s="787">
        <v>4</v>
      </c>
      <c r="C15177" s="787" t="s">
        <v>27535</v>
      </c>
      <c r="D15177" s="787">
        <v>0</v>
      </c>
      <c r="E15177" s="787">
        <v>0</v>
      </c>
      <c r="H15177" s="787">
        <v>1</v>
      </c>
      <c r="L15177" s="787">
        <v>0</v>
      </c>
      <c r="M15177" s="787">
        <v>10</v>
      </c>
      <c r="N15177" s="789">
        <v>2078.4</v>
      </c>
      <c r="O15177" s="788">
        <v>42165</v>
      </c>
    </row>
    <row r="15178" spans="1:15" x14ac:dyDescent="0.25">
      <c r="A15178" s="786" t="s">
        <v>27536</v>
      </c>
      <c r="B15178" s="787">
        <v>4</v>
      </c>
      <c r="C15178" s="787" t="s">
        <v>27537</v>
      </c>
      <c r="D15178" s="787">
        <v>0</v>
      </c>
      <c r="E15178" s="787">
        <v>0</v>
      </c>
      <c r="H15178" s="787">
        <v>1</v>
      </c>
      <c r="L15178" s="787">
        <v>0</v>
      </c>
      <c r="M15178" s="787">
        <v>10</v>
      </c>
      <c r="N15178" s="789">
        <v>1975.39</v>
      </c>
      <c r="O15178" s="788">
        <v>42165</v>
      </c>
    </row>
    <row r="15179" spans="1:15" x14ac:dyDescent="0.25">
      <c r="A15179" s="786" t="s">
        <v>27538</v>
      </c>
      <c r="B15179" s="787">
        <v>4</v>
      </c>
      <c r="C15179" s="787" t="s">
        <v>27539</v>
      </c>
      <c r="D15179" s="787">
        <v>0</v>
      </c>
      <c r="E15179" s="787">
        <v>0</v>
      </c>
      <c r="H15179" s="787">
        <v>1</v>
      </c>
      <c r="L15179" s="787">
        <v>0</v>
      </c>
      <c r="M15179" s="787">
        <v>10</v>
      </c>
      <c r="N15179" s="789">
        <v>2596.65</v>
      </c>
      <c r="O15179" s="788">
        <v>42165</v>
      </c>
    </row>
    <row r="15180" spans="1:15" x14ac:dyDescent="0.25">
      <c r="A15180" s="786" t="s">
        <v>27540</v>
      </c>
      <c r="B15180" s="787">
        <v>4</v>
      </c>
      <c r="C15180" s="787" t="s">
        <v>27541</v>
      </c>
      <c r="D15180" s="787">
        <v>0</v>
      </c>
      <c r="E15180" s="787">
        <v>0</v>
      </c>
      <c r="H15180" s="787">
        <v>1</v>
      </c>
      <c r="L15180" s="787">
        <v>0</v>
      </c>
      <c r="M15180" s="787">
        <v>10</v>
      </c>
      <c r="N15180" s="789">
        <v>2482.6799999999998</v>
      </c>
      <c r="O15180" s="788">
        <v>42165</v>
      </c>
    </row>
    <row r="15181" spans="1:15" x14ac:dyDescent="0.25">
      <c r="A15181" s="786" t="s">
        <v>27542</v>
      </c>
      <c r="B15181" s="787">
        <v>4</v>
      </c>
      <c r="C15181" s="787" t="s">
        <v>27543</v>
      </c>
      <c r="D15181" s="787">
        <v>0</v>
      </c>
      <c r="E15181" s="787">
        <v>0</v>
      </c>
      <c r="H15181" s="787">
        <v>1</v>
      </c>
      <c r="L15181" s="787">
        <v>0</v>
      </c>
      <c r="M15181" s="787">
        <v>10</v>
      </c>
      <c r="N15181" s="787">
        <v>819.91</v>
      </c>
      <c r="O15181" s="788">
        <v>42111</v>
      </c>
    </row>
    <row r="15182" spans="1:15" x14ac:dyDescent="0.25">
      <c r="A15182" s="786" t="s">
        <v>27544</v>
      </c>
      <c r="B15182" s="787">
        <v>4</v>
      </c>
      <c r="C15182" s="787" t="s">
        <v>27545</v>
      </c>
      <c r="D15182" s="787">
        <v>0</v>
      </c>
      <c r="E15182" s="787">
        <v>0</v>
      </c>
      <c r="H15182" s="787">
        <v>1</v>
      </c>
      <c r="L15182" s="787">
        <v>0</v>
      </c>
      <c r="M15182" s="787">
        <v>10</v>
      </c>
      <c r="N15182" s="787">
        <v>819.48</v>
      </c>
      <c r="O15182" s="788">
        <v>42165</v>
      </c>
    </row>
    <row r="15183" spans="1:15" x14ac:dyDescent="0.25">
      <c r="A15183" s="786" t="s">
        <v>27546</v>
      </c>
      <c r="B15183" s="787">
        <v>4</v>
      </c>
      <c r="C15183" s="787" t="s">
        <v>27547</v>
      </c>
      <c r="D15183" s="787">
        <v>0</v>
      </c>
      <c r="E15183" s="787">
        <v>0</v>
      </c>
      <c r="H15183" s="787">
        <v>1</v>
      </c>
      <c r="L15183" s="787">
        <v>0</v>
      </c>
      <c r="M15183" s="787">
        <v>10</v>
      </c>
      <c r="N15183" s="789">
        <v>1227.0999999999999</v>
      </c>
      <c r="O15183" s="788">
        <v>42165</v>
      </c>
    </row>
    <row r="15184" spans="1:15" x14ac:dyDescent="0.25">
      <c r="A15184" s="786" t="s">
        <v>27548</v>
      </c>
      <c r="B15184" s="787">
        <v>4</v>
      </c>
      <c r="C15184" s="787" t="s">
        <v>27549</v>
      </c>
      <c r="D15184" s="787">
        <v>0</v>
      </c>
      <c r="E15184" s="787">
        <v>0</v>
      </c>
      <c r="H15184" s="787">
        <v>1</v>
      </c>
      <c r="L15184" s="787">
        <v>0</v>
      </c>
      <c r="M15184" s="787">
        <v>10</v>
      </c>
      <c r="N15184" s="789">
        <v>1634.71</v>
      </c>
      <c r="O15184" s="788">
        <v>42165</v>
      </c>
    </row>
    <row r="15185" spans="1:15" x14ac:dyDescent="0.25">
      <c r="A15185" s="786" t="s">
        <v>27550</v>
      </c>
      <c r="B15185" s="787">
        <v>4</v>
      </c>
      <c r="C15185" s="787" t="s">
        <v>27551</v>
      </c>
      <c r="D15185" s="787">
        <v>0</v>
      </c>
      <c r="E15185" s="787">
        <v>0</v>
      </c>
      <c r="H15185" s="787">
        <v>1</v>
      </c>
      <c r="L15185" s="787">
        <v>0</v>
      </c>
      <c r="M15185" s="787">
        <v>10</v>
      </c>
      <c r="N15185" s="787">
        <v>244.25</v>
      </c>
      <c r="O15185" s="788">
        <v>41955</v>
      </c>
    </row>
    <row r="15186" spans="1:15" x14ac:dyDescent="0.25">
      <c r="A15186" s="786" t="s">
        <v>27552</v>
      </c>
      <c r="B15186" s="787">
        <v>4</v>
      </c>
      <c r="C15186" s="787" t="s">
        <v>27553</v>
      </c>
      <c r="D15186" s="787">
        <v>0</v>
      </c>
      <c r="E15186" s="787">
        <v>0</v>
      </c>
      <c r="H15186" s="787">
        <v>1</v>
      </c>
      <c r="L15186" s="787">
        <v>31.5</v>
      </c>
      <c r="M15186" s="787">
        <v>10</v>
      </c>
      <c r="N15186" s="787">
        <v>0</v>
      </c>
    </row>
    <row r="15187" spans="1:15" x14ac:dyDescent="0.25">
      <c r="A15187" s="786" t="s">
        <v>27554</v>
      </c>
      <c r="B15187" s="787">
        <v>4</v>
      </c>
      <c r="C15187" s="787" t="s">
        <v>27555</v>
      </c>
      <c r="D15187" s="787">
        <v>0</v>
      </c>
      <c r="E15187" s="787">
        <v>0</v>
      </c>
      <c r="H15187" s="787">
        <v>1</v>
      </c>
      <c r="L15187" s="787">
        <v>31.5</v>
      </c>
      <c r="M15187" s="787">
        <v>10</v>
      </c>
      <c r="N15187" s="787">
        <v>0</v>
      </c>
    </row>
    <row r="15188" spans="1:15" x14ac:dyDescent="0.25">
      <c r="A15188" s="786" t="s">
        <v>27556</v>
      </c>
      <c r="B15188" s="787">
        <v>4</v>
      </c>
      <c r="C15188" s="787" t="s">
        <v>27557</v>
      </c>
      <c r="D15188" s="787">
        <v>0.78</v>
      </c>
      <c r="E15188" s="787">
        <v>630.78</v>
      </c>
      <c r="F15188" s="788">
        <v>41961</v>
      </c>
      <c r="G15188" s="788">
        <v>41961</v>
      </c>
      <c r="H15188" s="787">
        <v>1</v>
      </c>
      <c r="J15188" s="788">
        <v>41932</v>
      </c>
      <c r="K15188" s="788">
        <v>41926</v>
      </c>
      <c r="L15188" s="789">
        <v>1500</v>
      </c>
      <c r="M15188" s="787">
        <v>10</v>
      </c>
      <c r="N15188" s="787">
        <v>657.7</v>
      </c>
      <c r="O15188" s="788">
        <v>41926</v>
      </c>
    </row>
    <row r="15189" spans="1:15" x14ac:dyDescent="0.25">
      <c r="A15189" s="786" t="s">
        <v>27558</v>
      </c>
      <c r="B15189" s="787">
        <v>4</v>
      </c>
      <c r="C15189" s="787" t="s">
        <v>27559</v>
      </c>
      <c r="D15189" s="787">
        <v>0</v>
      </c>
      <c r="E15189" s="787">
        <v>0</v>
      </c>
      <c r="H15189" s="787">
        <v>1</v>
      </c>
      <c r="L15189" s="787">
        <v>285</v>
      </c>
      <c r="M15189" s="787">
        <v>10</v>
      </c>
      <c r="N15189" s="787">
        <v>199.5</v>
      </c>
      <c r="O15189" s="788">
        <v>42164</v>
      </c>
    </row>
    <row r="15190" spans="1:15" x14ac:dyDescent="0.25">
      <c r="A15190" s="786" t="s">
        <v>27560</v>
      </c>
      <c r="B15190" s="787">
        <v>4</v>
      </c>
      <c r="C15190" s="787" t="s">
        <v>27561</v>
      </c>
      <c r="D15190" s="787">
        <v>0</v>
      </c>
      <c r="E15190" s="787">
        <v>0</v>
      </c>
      <c r="H15190" s="787">
        <v>1</v>
      </c>
      <c r="I15190" s="788">
        <v>42073</v>
      </c>
      <c r="L15190" s="787">
        <v>135</v>
      </c>
      <c r="M15190" s="787">
        <v>10</v>
      </c>
      <c r="N15190" s="787">
        <v>94.5</v>
      </c>
      <c r="O15190" s="788">
        <v>42164</v>
      </c>
    </row>
    <row r="15191" spans="1:15" x14ac:dyDescent="0.25">
      <c r="A15191" s="786" t="s">
        <v>27562</v>
      </c>
      <c r="B15191" s="787">
        <v>4</v>
      </c>
      <c r="C15191" s="787" t="s">
        <v>27563</v>
      </c>
      <c r="D15191" s="787">
        <v>0</v>
      </c>
      <c r="E15191" s="787">
        <v>0</v>
      </c>
      <c r="H15191" s="787">
        <v>1</v>
      </c>
      <c r="L15191" s="787">
        <v>75</v>
      </c>
      <c r="M15191" s="787">
        <v>10</v>
      </c>
      <c r="N15191" s="787">
        <v>52.5</v>
      </c>
      <c r="O15191" s="788">
        <v>42164</v>
      </c>
    </row>
    <row r="15192" spans="1:15" x14ac:dyDescent="0.25">
      <c r="A15192" s="786" t="s">
        <v>27564</v>
      </c>
      <c r="B15192" s="787">
        <v>4</v>
      </c>
      <c r="C15192" s="787" t="s">
        <v>27565</v>
      </c>
      <c r="D15192" s="787">
        <v>0</v>
      </c>
      <c r="E15192" s="787">
        <v>0</v>
      </c>
      <c r="H15192" s="787">
        <v>1</v>
      </c>
      <c r="L15192" s="787">
        <v>0.01</v>
      </c>
      <c r="M15192" s="787">
        <v>10</v>
      </c>
      <c r="N15192" s="787">
        <v>12.95</v>
      </c>
      <c r="O15192" s="788">
        <v>42164</v>
      </c>
    </row>
    <row r="15193" spans="1:15" x14ac:dyDescent="0.25">
      <c r="A15193" s="786" t="s">
        <v>27566</v>
      </c>
      <c r="B15193" s="787">
        <v>4</v>
      </c>
      <c r="C15193" s="787" t="s">
        <v>27567</v>
      </c>
      <c r="D15193" s="787">
        <v>0</v>
      </c>
      <c r="E15193" s="787">
        <v>0</v>
      </c>
      <c r="H15193" s="787">
        <v>1</v>
      </c>
      <c r="L15193" s="787">
        <v>0.01</v>
      </c>
      <c r="M15193" s="787">
        <v>10</v>
      </c>
      <c r="N15193" s="787">
        <v>42</v>
      </c>
      <c r="O15193" s="788">
        <v>42164</v>
      </c>
    </row>
    <row r="15194" spans="1:15" x14ac:dyDescent="0.25">
      <c r="A15194" s="786" t="s">
        <v>27568</v>
      </c>
      <c r="B15194" s="787">
        <v>4</v>
      </c>
      <c r="C15194" s="787" t="s">
        <v>27569</v>
      </c>
      <c r="D15194" s="787">
        <v>0</v>
      </c>
      <c r="E15194" s="787">
        <v>0</v>
      </c>
      <c r="H15194" s="787">
        <v>1</v>
      </c>
      <c r="L15194" s="787">
        <v>0.01</v>
      </c>
      <c r="M15194" s="787">
        <v>10</v>
      </c>
      <c r="N15194" s="787">
        <v>31.5</v>
      </c>
      <c r="O15194" s="788">
        <v>42164</v>
      </c>
    </row>
    <row r="15195" spans="1:15" x14ac:dyDescent="0.25">
      <c r="A15195" s="786" t="s">
        <v>27570</v>
      </c>
      <c r="B15195" s="787">
        <v>4</v>
      </c>
      <c r="C15195" s="787" t="s">
        <v>403</v>
      </c>
      <c r="D15195" s="787">
        <v>0</v>
      </c>
      <c r="E15195" s="787">
        <v>0</v>
      </c>
      <c r="H15195" s="787">
        <v>1</v>
      </c>
      <c r="L15195" s="787">
        <v>0.01</v>
      </c>
      <c r="M15195" s="787">
        <v>10</v>
      </c>
      <c r="N15195" s="787">
        <v>14.7</v>
      </c>
      <c r="O15195" s="788">
        <v>42164</v>
      </c>
    </row>
    <row r="15196" spans="1:15" x14ac:dyDescent="0.25">
      <c r="A15196" s="786" t="s">
        <v>27571</v>
      </c>
      <c r="B15196" s="787">
        <v>4</v>
      </c>
      <c r="C15196" s="787" t="s">
        <v>27572</v>
      </c>
      <c r="D15196" s="787">
        <v>0</v>
      </c>
      <c r="E15196" s="787">
        <v>0</v>
      </c>
      <c r="H15196" s="787">
        <v>1</v>
      </c>
      <c r="L15196" s="787">
        <v>0.01</v>
      </c>
      <c r="M15196" s="787">
        <v>10</v>
      </c>
      <c r="N15196" s="787">
        <v>14.7</v>
      </c>
      <c r="O15196" s="788">
        <v>42164</v>
      </c>
    </row>
    <row r="15197" spans="1:15" x14ac:dyDescent="0.25">
      <c r="A15197" s="786" t="s">
        <v>27573</v>
      </c>
      <c r="B15197" s="787">
        <v>4</v>
      </c>
      <c r="C15197" s="787" t="s">
        <v>27574</v>
      </c>
      <c r="D15197" s="787">
        <v>0</v>
      </c>
      <c r="E15197" s="787">
        <v>0</v>
      </c>
      <c r="H15197" s="787">
        <v>1</v>
      </c>
      <c r="L15197" s="787">
        <v>0.01</v>
      </c>
      <c r="M15197" s="787">
        <v>10</v>
      </c>
      <c r="N15197" s="787">
        <v>14.7</v>
      </c>
      <c r="O15197" s="788">
        <v>42164</v>
      </c>
    </row>
    <row r="15198" spans="1:15" x14ac:dyDescent="0.25">
      <c r="A15198" s="786" t="s">
        <v>27575</v>
      </c>
      <c r="B15198" s="787">
        <v>4</v>
      </c>
      <c r="C15198" s="787" t="s">
        <v>27576</v>
      </c>
      <c r="D15198" s="787">
        <v>0</v>
      </c>
      <c r="E15198" s="787">
        <v>0</v>
      </c>
      <c r="H15198" s="787">
        <v>1</v>
      </c>
      <c r="L15198" s="787">
        <v>0.01</v>
      </c>
      <c r="M15198" s="787">
        <v>10</v>
      </c>
      <c r="N15198" s="787">
        <v>14.7</v>
      </c>
      <c r="O15198" s="788">
        <v>42164</v>
      </c>
    </row>
    <row r="15199" spans="1:15" x14ac:dyDescent="0.25">
      <c r="A15199" s="786" t="s">
        <v>27577</v>
      </c>
      <c r="B15199" s="787">
        <v>4</v>
      </c>
      <c r="C15199" s="787" t="s">
        <v>27578</v>
      </c>
      <c r="D15199" s="787">
        <v>0</v>
      </c>
      <c r="E15199" s="787">
        <v>0</v>
      </c>
      <c r="H15199" s="787">
        <v>1</v>
      </c>
      <c r="L15199" s="787">
        <v>0.01</v>
      </c>
      <c r="M15199" s="787">
        <v>10</v>
      </c>
      <c r="N15199" s="787">
        <v>14.7</v>
      </c>
      <c r="O15199" s="788">
        <v>42164</v>
      </c>
    </row>
    <row r="15200" spans="1:15" x14ac:dyDescent="0.25">
      <c r="A15200" s="786" t="s">
        <v>27579</v>
      </c>
      <c r="B15200" s="787">
        <v>4</v>
      </c>
      <c r="C15200" s="787" t="s">
        <v>27580</v>
      </c>
      <c r="D15200" s="787">
        <v>0</v>
      </c>
      <c r="E15200" s="787">
        <v>0</v>
      </c>
      <c r="H15200" s="787">
        <v>1</v>
      </c>
      <c r="L15200" s="787">
        <v>0.01</v>
      </c>
      <c r="M15200" s="787">
        <v>10</v>
      </c>
      <c r="N15200" s="787">
        <v>12.95</v>
      </c>
      <c r="O15200" s="788">
        <v>42164</v>
      </c>
    </row>
    <row r="15201" spans="1:15" x14ac:dyDescent="0.25">
      <c r="A15201" s="786" t="s">
        <v>27581</v>
      </c>
      <c r="B15201" s="787">
        <v>4</v>
      </c>
      <c r="C15201" s="787" t="s">
        <v>27582</v>
      </c>
      <c r="D15201" s="787">
        <v>0</v>
      </c>
      <c r="E15201" s="787">
        <v>0</v>
      </c>
      <c r="H15201" s="787">
        <v>1</v>
      </c>
      <c r="L15201" s="787">
        <v>0.01</v>
      </c>
      <c r="M15201" s="787">
        <v>10</v>
      </c>
      <c r="N15201" s="787">
        <v>12.95</v>
      </c>
      <c r="O15201" s="788">
        <v>42164</v>
      </c>
    </row>
    <row r="15202" spans="1:15" x14ac:dyDescent="0.25">
      <c r="A15202" s="786" t="s">
        <v>27583</v>
      </c>
      <c r="B15202" s="787">
        <v>4</v>
      </c>
      <c r="C15202" s="787" t="s">
        <v>27584</v>
      </c>
      <c r="D15202" s="787">
        <v>0</v>
      </c>
      <c r="E15202" s="787">
        <v>0</v>
      </c>
      <c r="H15202" s="787">
        <v>1</v>
      </c>
      <c r="L15202" s="787">
        <v>0.01</v>
      </c>
      <c r="M15202" s="787">
        <v>10</v>
      </c>
      <c r="N15202" s="787">
        <v>12.95</v>
      </c>
      <c r="O15202" s="788">
        <v>42164</v>
      </c>
    </row>
    <row r="15203" spans="1:15" x14ac:dyDescent="0.25">
      <c r="A15203" s="786" t="s">
        <v>27585</v>
      </c>
      <c r="B15203" s="787">
        <v>4</v>
      </c>
      <c r="C15203" s="787" t="s">
        <v>27586</v>
      </c>
      <c r="D15203" s="787">
        <v>0</v>
      </c>
      <c r="E15203" s="787">
        <v>0</v>
      </c>
      <c r="H15203" s="787">
        <v>1</v>
      </c>
      <c r="K15203" s="788">
        <v>41080</v>
      </c>
      <c r="L15203" s="787">
        <v>31.5</v>
      </c>
      <c r="M15203" s="787">
        <v>10</v>
      </c>
      <c r="N15203" s="787">
        <v>31.5</v>
      </c>
      <c r="O15203" s="788">
        <v>42164</v>
      </c>
    </row>
    <row r="15204" spans="1:15" x14ac:dyDescent="0.25">
      <c r="A15204" s="786" t="s">
        <v>27587</v>
      </c>
      <c r="B15204" s="787">
        <v>4</v>
      </c>
      <c r="C15204" s="787" t="s">
        <v>27588</v>
      </c>
      <c r="D15204" s="787">
        <v>0</v>
      </c>
      <c r="E15204" s="787">
        <v>0</v>
      </c>
      <c r="H15204" s="787">
        <v>1</v>
      </c>
      <c r="L15204" s="787">
        <v>0.01</v>
      </c>
      <c r="M15204" s="787">
        <v>10</v>
      </c>
      <c r="N15204" s="787">
        <v>0</v>
      </c>
    </row>
    <row r="15205" spans="1:15" x14ac:dyDescent="0.25">
      <c r="A15205" s="786" t="s">
        <v>27589</v>
      </c>
      <c r="B15205" s="787">
        <v>4</v>
      </c>
      <c r="C15205" s="787" t="s">
        <v>27590</v>
      </c>
      <c r="D15205" s="787">
        <v>0</v>
      </c>
      <c r="E15205" s="787">
        <v>0</v>
      </c>
      <c r="H15205" s="787">
        <v>1</v>
      </c>
      <c r="K15205" s="788">
        <v>41088</v>
      </c>
      <c r="L15205" s="787">
        <v>20.65</v>
      </c>
      <c r="M15205" s="787">
        <v>10</v>
      </c>
      <c r="N15205" s="787">
        <v>20.65</v>
      </c>
      <c r="O15205" s="788">
        <v>42164</v>
      </c>
    </row>
    <row r="15206" spans="1:15" x14ac:dyDescent="0.25">
      <c r="A15206" s="786" t="s">
        <v>27591</v>
      </c>
      <c r="B15206" s="787">
        <v>4</v>
      </c>
      <c r="C15206" s="787" t="s">
        <v>27592</v>
      </c>
      <c r="D15206" s="787">
        <v>0</v>
      </c>
      <c r="E15206" s="787">
        <v>0</v>
      </c>
      <c r="H15206" s="787">
        <v>1</v>
      </c>
      <c r="K15206" s="788">
        <v>41088</v>
      </c>
      <c r="L15206" s="787">
        <v>23.1</v>
      </c>
      <c r="M15206" s="787">
        <v>10</v>
      </c>
      <c r="N15206" s="787">
        <v>23.1</v>
      </c>
      <c r="O15206" s="788">
        <v>42164</v>
      </c>
    </row>
    <row r="15207" spans="1:15" x14ac:dyDescent="0.25">
      <c r="A15207" s="786" t="s">
        <v>27593</v>
      </c>
      <c r="B15207" s="787">
        <v>4</v>
      </c>
      <c r="C15207" s="787" t="s">
        <v>27594</v>
      </c>
      <c r="D15207" s="787">
        <v>0</v>
      </c>
      <c r="E15207" s="787">
        <v>0</v>
      </c>
      <c r="H15207" s="787">
        <v>1</v>
      </c>
      <c r="K15207" s="788">
        <v>41218</v>
      </c>
      <c r="L15207" s="787">
        <v>14</v>
      </c>
      <c r="M15207" s="787">
        <v>10</v>
      </c>
      <c r="N15207" s="787">
        <v>14</v>
      </c>
      <c r="O15207" s="788">
        <v>42164</v>
      </c>
    </row>
    <row r="15208" spans="1:15" x14ac:dyDescent="0.25">
      <c r="A15208" s="786" t="s">
        <v>27595</v>
      </c>
      <c r="B15208" s="787">
        <v>4</v>
      </c>
      <c r="C15208" s="787" t="s">
        <v>27596</v>
      </c>
      <c r="D15208" s="787">
        <v>0</v>
      </c>
      <c r="E15208" s="787">
        <v>0</v>
      </c>
      <c r="H15208" s="787">
        <v>1</v>
      </c>
      <c r="K15208" s="788">
        <v>41218</v>
      </c>
      <c r="L15208" s="787">
        <v>17.850000000000001</v>
      </c>
      <c r="M15208" s="787">
        <v>10</v>
      </c>
      <c r="N15208" s="787">
        <v>17.850000000000001</v>
      </c>
      <c r="O15208" s="788">
        <v>41887</v>
      </c>
    </row>
    <row r="15209" spans="1:15" x14ac:dyDescent="0.25">
      <c r="A15209" s="786" t="s">
        <v>27597</v>
      </c>
      <c r="B15209" s="787">
        <v>4</v>
      </c>
      <c r="C15209" s="787" t="s">
        <v>27598</v>
      </c>
      <c r="D15209" s="787">
        <v>0</v>
      </c>
      <c r="E15209" s="787">
        <v>0</v>
      </c>
      <c r="H15209" s="787">
        <v>1</v>
      </c>
      <c r="K15209" s="788">
        <v>41218</v>
      </c>
      <c r="L15209" s="787">
        <v>17.850000000000001</v>
      </c>
      <c r="M15209" s="787">
        <v>10</v>
      </c>
      <c r="N15209" s="787">
        <v>17.850000000000001</v>
      </c>
      <c r="O15209" s="788">
        <v>41887</v>
      </c>
    </row>
    <row r="15210" spans="1:15" x14ac:dyDescent="0.25">
      <c r="A15210" s="786" t="s">
        <v>27599</v>
      </c>
      <c r="B15210" s="787">
        <v>4</v>
      </c>
      <c r="C15210" s="787" t="s">
        <v>27600</v>
      </c>
      <c r="D15210" s="787">
        <v>0</v>
      </c>
      <c r="E15210" s="787">
        <v>0</v>
      </c>
      <c r="H15210" s="787">
        <v>1</v>
      </c>
      <c r="K15210" s="788">
        <v>41218</v>
      </c>
      <c r="L15210" s="787">
        <v>12.95</v>
      </c>
      <c r="M15210" s="787">
        <v>10</v>
      </c>
      <c r="N15210" s="787">
        <v>12.95</v>
      </c>
      <c r="O15210" s="788">
        <v>42164</v>
      </c>
    </row>
    <row r="15211" spans="1:15" x14ac:dyDescent="0.25">
      <c r="A15211" s="786" t="s">
        <v>27601</v>
      </c>
      <c r="B15211" s="787">
        <v>4</v>
      </c>
      <c r="C15211" s="787" t="s">
        <v>27602</v>
      </c>
      <c r="D15211" s="787">
        <v>0</v>
      </c>
      <c r="E15211" s="787">
        <v>0</v>
      </c>
      <c r="H15211" s="787">
        <v>1</v>
      </c>
      <c r="K15211" s="788">
        <v>41218</v>
      </c>
      <c r="L15211" s="787">
        <v>23.1</v>
      </c>
      <c r="M15211" s="787">
        <v>10</v>
      </c>
      <c r="N15211" s="787">
        <v>23.1</v>
      </c>
      <c r="O15211" s="788">
        <v>41858</v>
      </c>
    </row>
    <row r="15212" spans="1:15" x14ac:dyDescent="0.25">
      <c r="A15212" s="786" t="s">
        <v>27603</v>
      </c>
      <c r="B15212" s="787">
        <v>4</v>
      </c>
      <c r="C15212" s="787" t="s">
        <v>27604</v>
      </c>
      <c r="D15212" s="787">
        <v>0</v>
      </c>
      <c r="E15212" s="787">
        <v>0</v>
      </c>
      <c r="H15212" s="787">
        <v>1</v>
      </c>
      <c r="K15212" s="788">
        <v>41218</v>
      </c>
      <c r="L15212" s="787">
        <v>23.1</v>
      </c>
      <c r="M15212" s="787">
        <v>10</v>
      </c>
      <c r="N15212" s="787">
        <v>23.1</v>
      </c>
      <c r="O15212" s="788">
        <v>41858</v>
      </c>
    </row>
    <row r="15213" spans="1:15" x14ac:dyDescent="0.25">
      <c r="A15213" s="786" t="s">
        <v>27605</v>
      </c>
      <c r="B15213" s="787">
        <v>4</v>
      </c>
      <c r="C15213" s="787" t="s">
        <v>27606</v>
      </c>
      <c r="D15213" s="787">
        <v>0</v>
      </c>
      <c r="E15213" s="787">
        <v>0</v>
      </c>
      <c r="H15213" s="787">
        <v>1</v>
      </c>
      <c r="K15213" s="788">
        <v>41218</v>
      </c>
      <c r="L15213" s="787">
        <v>23.1</v>
      </c>
      <c r="M15213" s="787">
        <v>10</v>
      </c>
      <c r="N15213" s="787">
        <v>23.1</v>
      </c>
      <c r="O15213" s="788">
        <v>41858</v>
      </c>
    </row>
    <row r="15214" spans="1:15" x14ac:dyDescent="0.25">
      <c r="A15214" s="786" t="s">
        <v>27607</v>
      </c>
      <c r="B15214" s="787">
        <v>4</v>
      </c>
      <c r="C15214" s="787" t="s">
        <v>27602</v>
      </c>
      <c r="D15214" s="787">
        <v>0</v>
      </c>
      <c r="E15214" s="787">
        <v>0</v>
      </c>
      <c r="H15214" s="787">
        <v>1</v>
      </c>
      <c r="K15214" s="788">
        <v>41218</v>
      </c>
      <c r="L15214" s="787">
        <v>23.1</v>
      </c>
      <c r="M15214" s="787">
        <v>10</v>
      </c>
      <c r="N15214" s="787">
        <v>23.1</v>
      </c>
      <c r="O15214" s="788">
        <v>41858</v>
      </c>
    </row>
    <row r="15215" spans="1:15" x14ac:dyDescent="0.25">
      <c r="A15215" s="786" t="s">
        <v>27608</v>
      </c>
      <c r="B15215" s="787">
        <v>4</v>
      </c>
      <c r="C15215" s="787" t="s">
        <v>27604</v>
      </c>
      <c r="D15215" s="787">
        <v>0</v>
      </c>
      <c r="E15215" s="787">
        <v>0</v>
      </c>
      <c r="H15215" s="787">
        <v>1</v>
      </c>
      <c r="K15215" s="788">
        <v>41218</v>
      </c>
      <c r="L15215" s="787">
        <v>23.1</v>
      </c>
      <c r="M15215" s="787">
        <v>10</v>
      </c>
      <c r="N15215" s="787">
        <v>23.1</v>
      </c>
      <c r="O15215" s="788">
        <v>41858</v>
      </c>
    </row>
    <row r="15216" spans="1:15" x14ac:dyDescent="0.25">
      <c r="A15216" s="786" t="s">
        <v>27609</v>
      </c>
      <c r="B15216" s="787">
        <v>4</v>
      </c>
      <c r="C15216" s="787" t="s">
        <v>27606</v>
      </c>
      <c r="D15216" s="787">
        <v>0</v>
      </c>
      <c r="E15216" s="787">
        <v>0</v>
      </c>
      <c r="H15216" s="787">
        <v>1</v>
      </c>
      <c r="K15216" s="788">
        <v>41218</v>
      </c>
      <c r="L15216" s="787">
        <v>23.1</v>
      </c>
      <c r="M15216" s="787">
        <v>10</v>
      </c>
      <c r="N15216" s="787">
        <v>23.1</v>
      </c>
      <c r="O15216" s="788">
        <v>41858</v>
      </c>
    </row>
    <row r="15217" spans="1:15" x14ac:dyDescent="0.25">
      <c r="A15217" s="786" t="s">
        <v>27610</v>
      </c>
      <c r="B15217" s="787" t="s">
        <v>27611</v>
      </c>
      <c r="C15217" s="787" t="s">
        <v>27612</v>
      </c>
      <c r="D15217" s="787">
        <v>0</v>
      </c>
      <c r="E15217" s="787">
        <v>0</v>
      </c>
      <c r="H15217" s="787">
        <v>1</v>
      </c>
      <c r="L15217" s="787">
        <v>0.01</v>
      </c>
      <c r="M15217" s="787">
        <v>10</v>
      </c>
      <c r="N15217" s="787">
        <v>0</v>
      </c>
    </row>
    <row r="15218" spans="1:15" x14ac:dyDescent="0.25">
      <c r="A15218" s="786" t="s">
        <v>27613</v>
      </c>
      <c r="B15218" s="787">
        <v>4</v>
      </c>
      <c r="C15218" s="787" t="s">
        <v>27614</v>
      </c>
      <c r="D15218" s="787">
        <v>0</v>
      </c>
      <c r="E15218" s="787">
        <v>0</v>
      </c>
      <c r="H15218" s="787">
        <v>1</v>
      </c>
      <c r="K15218" s="788">
        <v>41673</v>
      </c>
      <c r="L15218" s="787">
        <v>31.5</v>
      </c>
      <c r="M15218" s="787">
        <v>10</v>
      </c>
      <c r="N15218" s="787">
        <v>0</v>
      </c>
    </row>
    <row r="15219" spans="1:15" x14ac:dyDescent="0.25">
      <c r="A15219" s="786" t="s">
        <v>27615</v>
      </c>
      <c r="B15219" s="787">
        <v>4</v>
      </c>
      <c r="C15219" s="787" t="s">
        <v>27616</v>
      </c>
      <c r="D15219" s="787">
        <v>0</v>
      </c>
      <c r="E15219" s="787">
        <v>0</v>
      </c>
      <c r="H15219" s="787">
        <v>1</v>
      </c>
      <c r="L15219" s="787">
        <v>31.5</v>
      </c>
      <c r="M15219" s="787">
        <v>10</v>
      </c>
      <c r="N15219" s="787">
        <v>0</v>
      </c>
    </row>
    <row r="15220" spans="1:15" x14ac:dyDescent="0.25">
      <c r="A15220" s="786" t="s">
        <v>27617</v>
      </c>
      <c r="B15220" s="787">
        <v>4</v>
      </c>
      <c r="C15220" s="787" t="s">
        <v>27618</v>
      </c>
      <c r="D15220" s="787">
        <v>0</v>
      </c>
      <c r="E15220" s="787">
        <v>0</v>
      </c>
      <c r="H15220" s="787">
        <v>1</v>
      </c>
      <c r="L15220" s="787">
        <v>37</v>
      </c>
      <c r="M15220" s="787">
        <v>10</v>
      </c>
      <c r="N15220" s="787">
        <v>0</v>
      </c>
    </row>
    <row r="15221" spans="1:15" x14ac:dyDescent="0.25">
      <c r="A15221" s="786" t="s">
        <v>27619</v>
      </c>
      <c r="B15221" s="787">
        <v>4</v>
      </c>
      <c r="C15221" s="787" t="s">
        <v>27620</v>
      </c>
      <c r="D15221" s="787">
        <v>2.83</v>
      </c>
      <c r="E15221" s="787">
        <v>24.25</v>
      </c>
      <c r="F15221" s="788">
        <v>38629</v>
      </c>
      <c r="G15221" s="788">
        <v>40861</v>
      </c>
      <c r="H15221" s="787">
        <v>6</v>
      </c>
      <c r="I15221" s="788">
        <v>39008</v>
      </c>
      <c r="J15221" s="788">
        <v>40849</v>
      </c>
      <c r="L15221" s="787">
        <v>86.33</v>
      </c>
      <c r="M15221" s="787">
        <v>20</v>
      </c>
      <c r="N15221" s="787">
        <v>92.8</v>
      </c>
      <c r="O15221" s="788">
        <v>41858</v>
      </c>
    </row>
    <row r="15222" spans="1:15" x14ac:dyDescent="0.25">
      <c r="A15222" s="786" t="s">
        <v>27621</v>
      </c>
      <c r="B15222" s="787">
        <v>4</v>
      </c>
      <c r="C15222" s="787" t="s">
        <v>27622</v>
      </c>
      <c r="D15222" s="787">
        <v>0</v>
      </c>
      <c r="E15222" s="787">
        <v>0</v>
      </c>
      <c r="H15222" s="787">
        <v>1</v>
      </c>
      <c r="L15222" s="787">
        <v>0.01</v>
      </c>
      <c r="M15222" s="787">
        <v>10</v>
      </c>
      <c r="N15222" s="787">
        <v>48.05</v>
      </c>
      <c r="O15222" s="788">
        <v>42144</v>
      </c>
    </row>
    <row r="15223" spans="1:15" x14ac:dyDescent="0.25">
      <c r="A15223" s="786" t="s">
        <v>27623</v>
      </c>
      <c r="B15223" s="787">
        <v>4</v>
      </c>
      <c r="C15223" s="787" t="s">
        <v>27624</v>
      </c>
      <c r="D15223" s="787">
        <v>0.14000000000000001</v>
      </c>
      <c r="E15223" s="787">
        <v>0.16</v>
      </c>
      <c r="F15223" s="788">
        <v>39101</v>
      </c>
      <c r="G15223" s="788">
        <v>39456</v>
      </c>
      <c r="H15223" s="787">
        <v>1</v>
      </c>
      <c r="I15223" s="788">
        <v>39134</v>
      </c>
      <c r="J15223" s="788">
        <v>39149</v>
      </c>
      <c r="L15223" s="787">
        <v>0</v>
      </c>
      <c r="M15223" s="787">
        <v>10</v>
      </c>
      <c r="N15223" s="787">
        <v>1.64</v>
      </c>
      <c r="O15223" s="788">
        <v>41858</v>
      </c>
    </row>
    <row r="15224" spans="1:15" x14ac:dyDescent="0.25">
      <c r="A15224" s="786" t="s">
        <v>27625</v>
      </c>
      <c r="B15224" s="787">
        <v>4</v>
      </c>
      <c r="C15224" s="787" t="s">
        <v>27626</v>
      </c>
      <c r="D15224" s="787">
        <v>0</v>
      </c>
      <c r="E15224" s="787">
        <v>0</v>
      </c>
      <c r="H15224" s="787">
        <v>1</v>
      </c>
      <c r="L15224" s="787">
        <v>0</v>
      </c>
      <c r="M15224" s="787">
        <v>10</v>
      </c>
      <c r="N15224" s="787">
        <v>83.94</v>
      </c>
      <c r="O15224" s="788">
        <v>42018</v>
      </c>
    </row>
    <row r="15225" spans="1:15" x14ac:dyDescent="0.25">
      <c r="A15225" s="786" t="s">
        <v>27627</v>
      </c>
      <c r="B15225" s="787">
        <v>4</v>
      </c>
      <c r="C15225" s="787" t="s">
        <v>27628</v>
      </c>
      <c r="D15225" s="787">
        <v>0</v>
      </c>
      <c r="E15225" s="787">
        <v>0</v>
      </c>
      <c r="H15225" s="787">
        <v>1</v>
      </c>
      <c r="L15225" s="787">
        <v>0</v>
      </c>
      <c r="M15225" s="787">
        <v>10</v>
      </c>
      <c r="N15225" s="787">
        <v>153.33000000000001</v>
      </c>
      <c r="O15225" s="788">
        <v>42018</v>
      </c>
    </row>
    <row r="15226" spans="1:15" x14ac:dyDescent="0.25">
      <c r="A15226" s="786" t="s">
        <v>27629</v>
      </c>
      <c r="B15226" s="787">
        <v>4</v>
      </c>
      <c r="C15226" s="787" t="s">
        <v>27630</v>
      </c>
      <c r="D15226" s="787">
        <v>0</v>
      </c>
      <c r="E15226" s="787">
        <v>0</v>
      </c>
      <c r="H15226" s="787">
        <v>1</v>
      </c>
      <c r="L15226" s="787">
        <v>0</v>
      </c>
      <c r="M15226" s="787">
        <v>10</v>
      </c>
      <c r="N15226" s="787">
        <v>133.06</v>
      </c>
      <c r="O15226" s="788">
        <v>42018</v>
      </c>
    </row>
    <row r="15227" spans="1:15" x14ac:dyDescent="0.25">
      <c r="A15227" s="786" t="s">
        <v>27631</v>
      </c>
      <c r="B15227" s="787">
        <v>4</v>
      </c>
      <c r="C15227" s="787" t="s">
        <v>27632</v>
      </c>
      <c r="D15227" s="787">
        <v>0</v>
      </c>
      <c r="E15227" s="787">
        <v>0</v>
      </c>
      <c r="H15227" s="787">
        <v>1</v>
      </c>
      <c r="L15227" s="787">
        <v>0</v>
      </c>
      <c r="M15227" s="787">
        <v>10</v>
      </c>
      <c r="N15227" s="787">
        <v>301.19</v>
      </c>
      <c r="O15227" s="788">
        <v>42060</v>
      </c>
    </row>
    <row r="15228" spans="1:15" x14ac:dyDescent="0.25">
      <c r="A15228" s="786" t="s">
        <v>27633</v>
      </c>
      <c r="B15228" s="787">
        <v>4</v>
      </c>
      <c r="C15228" s="787" t="s">
        <v>27634</v>
      </c>
      <c r="D15228" s="787">
        <v>0</v>
      </c>
      <c r="E15228" s="787">
        <v>0</v>
      </c>
      <c r="H15228" s="787">
        <v>1</v>
      </c>
      <c r="L15228" s="787">
        <v>0</v>
      </c>
      <c r="M15228" s="787">
        <v>10</v>
      </c>
      <c r="N15228" s="787">
        <v>282.14999999999998</v>
      </c>
      <c r="O15228" s="788">
        <v>42060</v>
      </c>
    </row>
    <row r="15229" spans="1:15" x14ac:dyDescent="0.25">
      <c r="A15229" s="786" t="s">
        <v>27635</v>
      </c>
      <c r="B15229" s="787">
        <v>4</v>
      </c>
      <c r="C15229" s="787" t="s">
        <v>27636</v>
      </c>
      <c r="D15229" s="787">
        <v>0</v>
      </c>
      <c r="E15229" s="787">
        <v>0</v>
      </c>
      <c r="H15229" s="787">
        <v>1</v>
      </c>
      <c r="L15229" s="787">
        <v>0</v>
      </c>
      <c r="M15229" s="787">
        <v>10</v>
      </c>
      <c r="N15229" s="787">
        <v>120.61</v>
      </c>
      <c r="O15229" s="788">
        <v>42164</v>
      </c>
    </row>
    <row r="15230" spans="1:15" x14ac:dyDescent="0.25">
      <c r="A15230" s="786" t="s">
        <v>27637</v>
      </c>
      <c r="B15230" s="787">
        <v>4</v>
      </c>
      <c r="C15230" s="787" t="s">
        <v>27638</v>
      </c>
      <c r="D15230" s="787">
        <v>0</v>
      </c>
      <c r="E15230" s="787">
        <v>0</v>
      </c>
      <c r="H15230" s="787">
        <v>1</v>
      </c>
      <c r="L15230" s="787">
        <v>0</v>
      </c>
      <c r="M15230" s="787">
        <v>10</v>
      </c>
      <c r="N15230" s="787">
        <v>135.22</v>
      </c>
      <c r="O15230" s="788">
        <v>42164</v>
      </c>
    </row>
    <row r="15231" spans="1:15" x14ac:dyDescent="0.25">
      <c r="A15231" s="786" t="s">
        <v>27639</v>
      </c>
      <c r="B15231" s="787">
        <v>4</v>
      </c>
      <c r="C15231" s="787" t="s">
        <v>27640</v>
      </c>
      <c r="D15231" s="787">
        <v>0</v>
      </c>
      <c r="E15231" s="787">
        <v>0</v>
      </c>
      <c r="H15231" s="787">
        <v>1</v>
      </c>
      <c r="L15231" s="787">
        <v>0</v>
      </c>
      <c r="M15231" s="787">
        <v>10</v>
      </c>
      <c r="N15231" s="787">
        <v>151.54</v>
      </c>
      <c r="O15231" s="788">
        <v>42164</v>
      </c>
    </row>
    <row r="15232" spans="1:15" x14ac:dyDescent="0.25">
      <c r="A15232" s="786" t="s">
        <v>27641</v>
      </c>
      <c r="B15232" s="787">
        <v>4</v>
      </c>
      <c r="C15232" s="787" t="s">
        <v>27642</v>
      </c>
      <c r="D15232" s="787">
        <v>0</v>
      </c>
      <c r="E15232" s="787">
        <v>0</v>
      </c>
      <c r="H15232" s="787">
        <v>1</v>
      </c>
      <c r="L15232" s="787">
        <v>0</v>
      </c>
      <c r="M15232" s="787">
        <v>10</v>
      </c>
      <c r="N15232" s="787">
        <v>170.8</v>
      </c>
      <c r="O15232" s="788">
        <v>42164</v>
      </c>
    </row>
    <row r="15233" spans="1:15" x14ac:dyDescent="0.25">
      <c r="A15233" s="786" t="s">
        <v>27643</v>
      </c>
      <c r="B15233" s="787">
        <v>4</v>
      </c>
      <c r="C15233" s="787" t="s">
        <v>27644</v>
      </c>
      <c r="D15233" s="787">
        <v>0</v>
      </c>
      <c r="E15233" s="787">
        <v>0</v>
      </c>
      <c r="H15233" s="787">
        <v>1</v>
      </c>
      <c r="L15233" s="787">
        <v>0</v>
      </c>
      <c r="M15233" s="787">
        <v>10</v>
      </c>
      <c r="N15233" s="787">
        <v>147.47999999999999</v>
      </c>
      <c r="O15233" s="788">
        <v>42164</v>
      </c>
    </row>
  </sheetData>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6">
    <tabColor indexed="40"/>
    <pageSetUpPr fitToPage="1"/>
  </sheetPr>
  <dimension ref="B1:AC97"/>
  <sheetViews>
    <sheetView showGridLines="0" showWhiteSpace="0" view="pageBreakPreview" zoomScale="70" zoomScaleNormal="100" zoomScaleSheetLayoutView="70" workbookViewId="0">
      <selection activeCell="AB21" sqref="AB21:AC59"/>
    </sheetView>
  </sheetViews>
  <sheetFormatPr baseColWidth="10" defaultRowHeight="15" x14ac:dyDescent="0.2"/>
  <cols>
    <col min="1" max="1" width="2.7109375" customWidth="1"/>
    <col min="2" max="2" width="6.42578125" style="193" customWidth="1"/>
    <col min="3" max="3" width="28.28515625" style="20" customWidth="1"/>
    <col min="4" max="4" width="27.5703125" style="20" customWidth="1"/>
    <col min="5" max="5" width="39.42578125" style="20" customWidth="1"/>
    <col min="6" max="6" width="11.7109375" style="20" customWidth="1"/>
    <col min="7" max="7" width="12.42578125" style="27" customWidth="1"/>
    <col min="8" max="8" width="10.7109375" style="677" bestFit="1" customWidth="1"/>
    <col min="9" max="9" width="10.7109375" style="677" customWidth="1"/>
    <col min="10" max="10" width="7.7109375" style="144" customWidth="1"/>
    <col min="11" max="11" width="24.5703125" style="1334" customWidth="1"/>
    <col min="12" max="12" width="20.7109375" style="1969" customWidth="1"/>
    <col min="13" max="13" width="5.42578125" style="20" customWidth="1"/>
    <col min="14" max="14" width="0.85546875" customWidth="1"/>
    <col min="16" max="16" width="30" customWidth="1"/>
    <col min="17" max="17" width="16.7109375" customWidth="1"/>
    <col min="18" max="18" width="11.5703125" customWidth="1"/>
    <col min="19" max="27" width="11.42578125" customWidth="1"/>
    <col min="28" max="29" width="90.7109375" customWidth="1"/>
  </cols>
  <sheetData>
    <row r="1" spans="2:13" ht="12.75" customHeight="1" x14ac:dyDescent="0.2">
      <c r="B1" s="1201"/>
      <c r="C1" s="78"/>
      <c r="D1" s="2726" t="str">
        <f>Dateneingabe!$F$1&amp;" "&amp;Dateneingabe!$I$1</f>
        <v>Ausschreibung GCC vertikal Rev. 0563b</v>
      </c>
      <c r="E1" s="2726"/>
      <c r="F1" s="2726"/>
      <c r="G1" s="2726"/>
      <c r="H1" s="668"/>
      <c r="I1" s="669"/>
      <c r="J1" s="136"/>
      <c r="K1" s="1326"/>
      <c r="L1" s="2699" t="s">
        <v>30635</v>
      </c>
      <c r="M1" s="2718"/>
    </row>
    <row r="2" spans="2:13" ht="18" customHeight="1" x14ac:dyDescent="0.2">
      <c r="B2" s="1201"/>
      <c r="C2" s="22"/>
      <c r="D2" s="2727"/>
      <c r="E2" s="2727"/>
      <c r="F2" s="2727"/>
      <c r="G2" s="2727"/>
      <c r="H2" s="670"/>
      <c r="I2" s="671"/>
      <c r="J2" s="137"/>
      <c r="K2" s="1327"/>
      <c r="L2" s="2719"/>
      <c r="M2" s="2720"/>
    </row>
    <row r="3" spans="2:13" ht="15.75" x14ac:dyDescent="0.25">
      <c r="B3" s="1201"/>
      <c r="C3" s="22"/>
      <c r="D3" s="22"/>
      <c r="E3" s="148" t="s">
        <v>30635</v>
      </c>
      <c r="F3" s="22"/>
      <c r="G3" s="50"/>
      <c r="H3" s="671"/>
      <c r="I3" s="671"/>
      <c r="J3" s="138"/>
      <c r="K3" s="1328"/>
      <c r="L3" s="1721"/>
      <c r="M3" s="73">
        <v>520</v>
      </c>
    </row>
    <row r="4" spans="2:13" ht="6" customHeight="1" x14ac:dyDescent="0.25">
      <c r="B4" s="1201"/>
      <c r="C4" s="22"/>
      <c r="D4" s="22"/>
      <c r="E4" s="22"/>
      <c r="F4" s="22"/>
      <c r="G4" s="50"/>
      <c r="H4" s="671"/>
      <c r="I4" s="671"/>
      <c r="J4" s="138"/>
      <c r="K4" s="1328"/>
      <c r="L4" s="1721"/>
      <c r="M4" s="73"/>
    </row>
    <row r="5" spans="2:13" ht="15.75" x14ac:dyDescent="0.25">
      <c r="B5" s="1201"/>
      <c r="C5" s="57" t="s">
        <v>106</v>
      </c>
      <c r="D5" s="146" t="str">
        <f>Dateneingabe!F3</f>
        <v>05217112</v>
      </c>
      <c r="E5" s="22"/>
      <c r="F5" s="57" t="s">
        <v>13</v>
      </c>
      <c r="G5" s="146" t="str">
        <f>Dateneingabe!H3</f>
        <v>200</v>
      </c>
      <c r="H5" s="671"/>
      <c r="I5" s="671"/>
      <c r="J5" s="139"/>
      <c r="K5" s="1329"/>
      <c r="L5" s="1721"/>
      <c r="M5" s="74"/>
    </row>
    <row r="6" spans="2:13" ht="6" customHeight="1" x14ac:dyDescent="0.25">
      <c r="B6" s="1201"/>
      <c r="C6" s="22"/>
      <c r="D6" s="59"/>
      <c r="E6" s="22"/>
      <c r="F6" s="57"/>
      <c r="G6" s="50"/>
      <c r="H6" s="671"/>
      <c r="I6" s="671"/>
      <c r="J6" s="139"/>
      <c r="K6" s="1329"/>
      <c r="L6" s="1721"/>
      <c r="M6" s="74"/>
    </row>
    <row r="7" spans="2:13" ht="15.75" x14ac:dyDescent="0.25">
      <c r="B7" s="1201"/>
      <c r="C7" s="57" t="s">
        <v>83</v>
      </c>
      <c r="D7" s="146" t="str">
        <f>Dateneingabe!F5</f>
        <v>5101.002095</v>
      </c>
      <c r="E7" s="22"/>
      <c r="F7" s="6"/>
      <c r="G7" s="10"/>
      <c r="H7" s="671"/>
      <c r="I7" s="671"/>
      <c r="J7" s="139"/>
      <c r="K7" s="1329"/>
      <c r="L7" s="1721"/>
      <c r="M7" s="74"/>
    </row>
    <row r="8" spans="2:13" ht="6" customHeight="1" x14ac:dyDescent="0.25">
      <c r="B8" s="1201"/>
      <c r="C8" s="22"/>
      <c r="D8" s="59"/>
      <c r="E8" s="22"/>
      <c r="F8" s="57"/>
      <c r="G8" s="50"/>
      <c r="H8" s="671"/>
      <c r="I8" s="671"/>
      <c r="J8" s="139"/>
      <c r="K8" s="1329"/>
      <c r="L8" s="1721"/>
      <c r="M8" s="74"/>
    </row>
    <row r="9" spans="2:13" ht="15.75" x14ac:dyDescent="0.25">
      <c r="B9" s="1201"/>
      <c r="C9" s="57" t="s">
        <v>335</v>
      </c>
      <c r="D9" s="147" t="str">
        <f>Dateneingabe!F15</f>
        <v>MiWo</v>
      </c>
      <c r="E9" s="22"/>
      <c r="F9" s="57" t="s">
        <v>97</v>
      </c>
      <c r="G9" s="145">
        <f>Dateneingabe!F13</f>
        <v>44594</v>
      </c>
      <c r="H9" s="671"/>
      <c r="I9" s="671"/>
      <c r="J9" s="139"/>
      <c r="K9" s="1329"/>
      <c r="L9" s="1721"/>
      <c r="M9" s="74"/>
    </row>
    <row r="10" spans="2:13" ht="6" customHeight="1" x14ac:dyDescent="0.2">
      <c r="B10" s="1201"/>
      <c r="C10" s="22"/>
      <c r="D10" s="22"/>
      <c r="E10" s="22"/>
      <c r="F10" s="22"/>
      <c r="G10" s="50"/>
      <c r="H10" s="671"/>
      <c r="I10" s="671"/>
      <c r="J10" s="139"/>
      <c r="K10" s="1329"/>
      <c r="L10" s="1721"/>
      <c r="M10" s="74"/>
    </row>
    <row r="11" spans="2:13" x14ac:dyDescent="0.2">
      <c r="B11" s="1201"/>
      <c r="C11" s="22" t="s">
        <v>57</v>
      </c>
      <c r="D11" s="104"/>
      <c r="E11" s="22"/>
      <c r="F11" s="22"/>
      <c r="G11" s="50"/>
      <c r="H11" s="671"/>
      <c r="I11" s="673"/>
      <c r="J11" s="152"/>
      <c r="K11" s="1330"/>
      <c r="L11" s="1966"/>
      <c r="M11" s="74"/>
    </row>
    <row r="12" spans="2:13" ht="6" customHeight="1" x14ac:dyDescent="0.2">
      <c r="B12" s="1201"/>
      <c r="C12" s="22"/>
      <c r="D12" s="22"/>
      <c r="E12" s="22"/>
      <c r="F12" s="22"/>
      <c r="G12" s="50"/>
      <c r="H12" s="671"/>
      <c r="I12" s="673"/>
      <c r="J12" s="152"/>
      <c r="K12" s="1330"/>
      <c r="L12" s="1966"/>
      <c r="M12" s="74"/>
    </row>
    <row r="13" spans="2:13" x14ac:dyDescent="0.2">
      <c r="B13" s="1201"/>
      <c r="C13" s="1322" t="s">
        <v>14</v>
      </c>
      <c r="D13" s="22"/>
      <c r="E13" s="22"/>
      <c r="F13" s="22"/>
      <c r="G13" s="50"/>
      <c r="H13" s="671"/>
      <c r="I13" s="673"/>
      <c r="J13" s="152"/>
      <c r="K13" s="1330"/>
      <c r="L13" s="1966"/>
      <c r="M13" s="74"/>
    </row>
    <row r="14" spans="2:13" ht="6" customHeight="1" x14ac:dyDescent="0.2">
      <c r="B14" s="1201"/>
      <c r="C14" s="22"/>
      <c r="D14" s="22"/>
      <c r="E14" s="22"/>
      <c r="F14" s="22"/>
      <c r="G14" s="50"/>
      <c r="H14" s="671"/>
      <c r="I14" s="673"/>
      <c r="J14" s="152"/>
      <c r="K14" s="1330"/>
      <c r="L14" s="1966"/>
      <c r="M14" s="74"/>
    </row>
    <row r="15" spans="2:13" ht="20.25" customHeight="1" x14ac:dyDescent="0.3">
      <c r="B15" s="1201"/>
      <c r="C15" s="2978"/>
      <c r="D15" s="2979"/>
      <c r="E15" s="2979"/>
      <c r="F15" s="2979"/>
      <c r="G15" s="2980"/>
      <c r="H15" s="671"/>
      <c r="I15" s="2975"/>
      <c r="J15" s="2975"/>
      <c r="K15" s="2975"/>
      <c r="L15" s="2975"/>
      <c r="M15" s="74"/>
    </row>
    <row r="16" spans="2:13" ht="6" customHeight="1" x14ac:dyDescent="0.2">
      <c r="B16" s="1201"/>
      <c r="C16" s="2981"/>
      <c r="D16" s="2982"/>
      <c r="E16" s="2982"/>
      <c r="F16" s="2982"/>
      <c r="G16" s="2983"/>
      <c r="H16" s="671"/>
      <c r="I16" s="673"/>
      <c r="J16" s="152"/>
      <c r="K16" s="1330"/>
      <c r="L16" s="1966"/>
      <c r="M16" s="74"/>
    </row>
    <row r="17" spans="2:29" ht="20.25" customHeight="1" x14ac:dyDescent="0.25">
      <c r="B17" s="1201"/>
      <c r="C17" s="2984"/>
      <c r="D17" s="2985"/>
      <c r="E17" s="2985"/>
      <c r="F17" s="2985"/>
      <c r="G17" s="2986"/>
      <c r="H17" s="671"/>
      <c r="I17" s="673"/>
      <c r="J17" s="152"/>
      <c r="K17" s="1330"/>
      <c r="L17" s="1967"/>
      <c r="M17" s="74"/>
    </row>
    <row r="18" spans="2:29" ht="20.100000000000001" customHeight="1" thickBot="1" x14ac:dyDescent="0.3">
      <c r="B18" s="1226"/>
      <c r="C18" s="50"/>
      <c r="D18" s="50"/>
      <c r="E18" s="50"/>
      <c r="F18" s="50"/>
      <c r="G18" s="50"/>
      <c r="H18" s="671"/>
      <c r="I18" s="671"/>
      <c r="J18" s="139"/>
      <c r="K18" s="1329"/>
      <c r="L18" s="1721"/>
      <c r="M18" s="74"/>
      <c r="P18" s="2167" t="s">
        <v>30636</v>
      </c>
      <c r="Q18" s="2168">
        <f>SUM(P21:P59)</f>
        <v>3</v>
      </c>
    </row>
    <row r="19" spans="2:29" ht="15" customHeight="1" thickBot="1" x14ac:dyDescent="0.3">
      <c r="B19" s="2724" t="s">
        <v>28098</v>
      </c>
      <c r="C19" s="2713" t="s">
        <v>72</v>
      </c>
      <c r="D19" s="2713"/>
      <c r="E19" s="2713"/>
      <c r="F19" s="2713" t="s">
        <v>104</v>
      </c>
      <c r="G19" s="2989" t="s">
        <v>238</v>
      </c>
      <c r="H19" s="2721" t="s">
        <v>103</v>
      </c>
      <c r="I19" s="2722"/>
      <c r="J19" s="2723"/>
      <c r="K19" s="2976" t="s">
        <v>109</v>
      </c>
      <c r="L19" s="2973" t="s">
        <v>60</v>
      </c>
      <c r="M19" s="2724" t="s">
        <v>12</v>
      </c>
    </row>
    <row r="20" spans="2:29" ht="18.75" thickBot="1" x14ac:dyDescent="0.3">
      <c r="B20" s="2725"/>
      <c r="C20" s="2714"/>
      <c r="D20" s="2714"/>
      <c r="E20" s="2714"/>
      <c r="F20" s="2714"/>
      <c r="G20" s="2725"/>
      <c r="H20" s="672" t="s">
        <v>17</v>
      </c>
      <c r="I20" s="672" t="s">
        <v>73</v>
      </c>
      <c r="J20" s="140" t="s">
        <v>16</v>
      </c>
      <c r="K20" s="2977"/>
      <c r="L20" s="2974"/>
      <c r="M20" s="2725"/>
      <c r="P20" s="2169" t="s">
        <v>30637</v>
      </c>
      <c r="Q20" s="2169" t="s">
        <v>30638</v>
      </c>
      <c r="R20" s="2170" t="s">
        <v>30639</v>
      </c>
      <c r="S20" s="2171" t="s">
        <v>30640</v>
      </c>
      <c r="T20" s="2169" t="s">
        <v>30641</v>
      </c>
      <c r="U20" s="2169" t="s">
        <v>30642</v>
      </c>
      <c r="V20" s="2169" t="s">
        <v>30643</v>
      </c>
      <c r="W20" s="2169" t="s">
        <v>30644</v>
      </c>
      <c r="X20" s="2169" t="s">
        <v>30645</v>
      </c>
      <c r="Y20" s="2169" t="s">
        <v>30646</v>
      </c>
      <c r="Z20" s="2169" t="s">
        <v>30647</v>
      </c>
      <c r="AA20" s="2169" t="s">
        <v>30648</v>
      </c>
      <c r="AB20" s="2169" t="s">
        <v>30649</v>
      </c>
      <c r="AC20" s="2169" t="s">
        <v>30650</v>
      </c>
    </row>
    <row r="21" spans="2:29" s="65" customFormat="1" ht="21.75" customHeight="1" x14ac:dyDescent="0.25">
      <c r="B21" s="1323">
        <v>1</v>
      </c>
      <c r="C21" s="2715" t="s">
        <v>497</v>
      </c>
      <c r="D21" s="2716"/>
      <c r="E21" s="2716"/>
      <c r="F21" s="62" t="s">
        <v>804</v>
      </c>
      <c r="G21" s="149">
        <v>1</v>
      </c>
      <c r="H21" s="674">
        <v>685</v>
      </c>
      <c r="I21" s="674">
        <v>1080</v>
      </c>
      <c r="J21" s="141">
        <v>1</v>
      </c>
      <c r="K21" s="1331" t="s">
        <v>28636</v>
      </c>
      <c r="L21" s="1968">
        <v>0</v>
      </c>
      <c r="M21" s="79"/>
      <c r="P21" s="2172">
        <f>IF(AND(LEFT(AB21,15)&lt;&gt;"nicht vorhanden",LEFT(AC21,15)&lt;&gt;"nicht vorhanden"),1,0)</f>
        <v>1</v>
      </c>
      <c r="Q21" s="2173"/>
      <c r="R21" s="2174"/>
      <c r="S21" s="2175">
        <f t="shared" ref="S21:S59" si="0">P21</f>
        <v>1</v>
      </c>
      <c r="T21" s="2173">
        <f t="shared" ref="T21:T59" si="1">H21</f>
        <v>685</v>
      </c>
      <c r="U21" s="2173">
        <f t="shared" ref="U21:U59" si="2">I21</f>
        <v>1080</v>
      </c>
      <c r="V21" s="2173" t="str">
        <f>CONCATENATE("""",$D$5,"-",$G$5,"""")</f>
        <v>"05217112-200"</v>
      </c>
      <c r="W21" s="2173"/>
      <c r="X21" s="2173"/>
      <c r="Y21" s="2173"/>
      <c r="Z21" s="2173"/>
      <c r="AA21" s="2173"/>
      <c r="AB21" s="2173" t="str">
        <f>IF(ISERROR(VLOOKUP(F21,[2]FlexSys_GMVDatenbak!$A$2:$C$3000,2,FALSE)),"nicht vorhanden+",IF(VLOOKUP(F21,[2]FlexSys_GMVDatenbak!$A$2:$C$3000,2,FALSE)=0,"nicht vorhanden",VLOOKUP(F21,[2]FlexSys_GMVDatenbak!$A$2:$C$3000,2,FALSE)))</f>
        <v>"//shrzboost01/TRUMPF.NET/DATA_PDM2/Stöbich/Varianten/0308094.GMV"</v>
      </c>
      <c r="AC21" s="2173" t="str">
        <f>IF(ISERROR(CONCATENATE("""",VLOOKUP(F21,[2]FlexSys_GMVDatenbak!$A$2:$C$3000,3,FALSE),"/","""",$D$5,"-",$G$5,"""/-",$G$5,"-",F21, "-" &amp;T21 &amp; "-" &amp;U21 &amp; ".GEO""")),"nicht vorhanden+",IF(VLOOKUP(F21,[2]FlexSys_GMVDatenbak!$A$2:$C$3000,3,FALSE)=0,"nicht vorhanden",CONCATENATE("""",VLOOKUP(F21,[2]FlexSys_GMVDatenbak!$A$2:$C$3000,3,FALSE),"/","""",$D$5,"-",$G$5,"""/-",$G$5,"-",F21, "-" &amp;T21 &amp; "-" &amp;U21 &amp; ".GEO""")))</f>
        <v>"//shrzboost01/TRUMPF.NET/DATA_PDM2/Stöbich/Aufträge.GEO/"05217112-200"/-200-0308094-685-1080.GEO"</v>
      </c>
    </row>
    <row r="22" spans="2:29" s="65" customFormat="1" ht="21.75" customHeight="1" x14ac:dyDescent="0.25">
      <c r="B22" s="1324">
        <v>2</v>
      </c>
      <c r="C22" s="2711" t="s">
        <v>27964</v>
      </c>
      <c r="D22" s="2712"/>
      <c r="E22" s="2712"/>
      <c r="F22" s="66" t="s">
        <v>807</v>
      </c>
      <c r="G22" s="150">
        <v>1</v>
      </c>
      <c r="H22" s="675">
        <v>365</v>
      </c>
      <c r="I22" s="675">
        <v>193</v>
      </c>
      <c r="J22" s="142">
        <v>3</v>
      </c>
      <c r="K22" s="1332" t="s">
        <v>28402</v>
      </c>
      <c r="L22" s="1698">
        <v>0</v>
      </c>
      <c r="M22" s="80"/>
      <c r="P22" s="2172">
        <f t="shared" ref="P22:P59" si="3">IF(AND(LEFT(AB22,15)&lt;&gt;"nicht vorhanden",LEFT(AC22,15)&lt;&gt;"nicht vorhanden"),1,0)</f>
        <v>1</v>
      </c>
      <c r="Q22" s="2173"/>
      <c r="R22" s="2174"/>
      <c r="S22" s="2175">
        <f t="shared" si="0"/>
        <v>1</v>
      </c>
      <c r="T22" s="2173">
        <f t="shared" si="1"/>
        <v>365</v>
      </c>
      <c r="U22" s="2173">
        <f t="shared" si="2"/>
        <v>193</v>
      </c>
      <c r="V22" s="2173" t="str">
        <f t="shared" ref="V22:V59" si="4">CONCATENATE("""",$D$5,"-",$G$5,"""")</f>
        <v>"05217112-200"</v>
      </c>
      <c r="W22" s="2173"/>
      <c r="X22" s="2173"/>
      <c r="Y22" s="2173"/>
      <c r="Z22" s="2173"/>
      <c r="AA22" s="2173"/>
      <c r="AB22" s="2173" t="str">
        <f>IF(ISERROR(VLOOKUP(F22,[2]FlexSys_GMVDatenbak!$A$2:$C$3000,2,FALSE)),"nicht vorhanden+",IF(VLOOKUP(F22,[2]FlexSys_GMVDatenbak!$A$2:$C$3000,2,FALSE)=0,"nicht vorhanden",VLOOKUP(F22,[2]FlexSys_GMVDatenbak!$A$2:$C$3000,2,FALSE)))</f>
        <v>"//shrzboost01/TRUMPF.NET/DATA_PDM2/Stöbich/Varianten/0308044.GMV"</v>
      </c>
      <c r="AC22" s="2173" t="str">
        <f>IF(ISERROR(CONCATENATE("""",VLOOKUP(F22,[2]FlexSys_GMVDatenbak!$A$2:$C$3000,3,FALSE),"/","""",$D$5,"-",$G$5,"""/-",$G$5,"-",F22, "-" &amp;T22 &amp; "-" &amp;U22 &amp; ".GEO""")),"nicht vorhanden+",IF(VLOOKUP(F22,[2]FlexSys_GMVDatenbak!$A$2:$C$3000,3,FALSE)=0,"nicht vorhanden",CONCATENATE("""",VLOOKUP(F22,[2]FlexSys_GMVDatenbak!$A$2:$C$3000,3,FALSE),"/","""",$D$5,"-",$G$5,"""/-",$G$5,"-",F22, "-" &amp;T22 &amp; "-" &amp;U22 &amp; ".GEO""")))</f>
        <v>"//shrzboost01/TRUMPF.NET/DATA_PDM2/Stöbich/Aufträge.GEO/"05217112-200"/-200-0308044-365-193.GEO"</v>
      </c>
    </row>
    <row r="23" spans="2:29" s="65" customFormat="1" ht="21.75" customHeight="1" x14ac:dyDescent="0.25">
      <c r="B23" s="1324">
        <v>3</v>
      </c>
      <c r="C23" s="2711" t="s">
        <v>27970</v>
      </c>
      <c r="D23" s="2712"/>
      <c r="E23" s="2712"/>
      <c r="F23" s="66" t="s">
        <v>809</v>
      </c>
      <c r="G23" s="150">
        <v>1</v>
      </c>
      <c r="H23" s="675">
        <v>365</v>
      </c>
      <c r="I23" s="675">
        <v>193</v>
      </c>
      <c r="J23" s="142">
        <v>3</v>
      </c>
      <c r="K23" s="1332" t="s">
        <v>28402</v>
      </c>
      <c r="L23" s="1698">
        <v>0</v>
      </c>
      <c r="M23" s="80"/>
      <c r="P23" s="2172">
        <f t="shared" si="3"/>
        <v>1</v>
      </c>
      <c r="Q23" s="2173"/>
      <c r="R23" s="2174"/>
      <c r="S23" s="2175">
        <f t="shared" si="0"/>
        <v>1</v>
      </c>
      <c r="T23" s="2173">
        <f t="shared" si="1"/>
        <v>365</v>
      </c>
      <c r="U23" s="2173">
        <f t="shared" si="2"/>
        <v>193</v>
      </c>
      <c r="V23" s="2173" t="str">
        <f t="shared" si="4"/>
        <v>"05217112-200"</v>
      </c>
      <c r="W23" s="2173"/>
      <c r="X23" s="2173"/>
      <c r="Y23" s="2173"/>
      <c r="Z23" s="2173"/>
      <c r="AA23" s="2173"/>
      <c r="AB23" s="2173" t="str">
        <f>IF(ISERROR(VLOOKUP(F23,[2]FlexSys_GMVDatenbak!$A$2:$C$3000,2,FALSE)),"nicht vorhanden+",IF(VLOOKUP(F23,[2]FlexSys_GMVDatenbak!$A$2:$C$3000,2,FALSE)=0,"nicht vorhanden",VLOOKUP(F23,[2]FlexSys_GMVDatenbak!$A$2:$C$3000,2,FALSE)))</f>
        <v>"//shrzboost01/TRUMPF.NET/DATA_PDM2/Stöbich/Varianten/0308045.GMV"</v>
      </c>
      <c r="AC23" s="2173" t="str">
        <f>IF(ISERROR(CONCATENATE("""",VLOOKUP(F23,[2]FlexSys_GMVDatenbak!$A$2:$C$3000,3,FALSE),"/","""",$D$5,"-",$G$5,"""/-",$G$5,"-",F23, "-" &amp;T23 &amp; "-" &amp;U23 &amp; ".GEO""")),"nicht vorhanden+",IF(VLOOKUP(F23,[2]FlexSys_GMVDatenbak!$A$2:$C$3000,3,FALSE)=0,"nicht vorhanden",CONCATENATE("""",VLOOKUP(F23,[2]FlexSys_GMVDatenbak!$A$2:$C$3000,3,FALSE),"/","""",$D$5,"-",$G$5,"""/-",$G$5,"-",F23, "-" &amp;T23 &amp; "-" &amp;U23 &amp; ".GEO""")))</f>
        <v>"//shrzboost01/TRUMPF.NET/DATA_PDM2/Stöbich/Aufträge.GEO/"05217112-200"/-200-0308045-365-193.GEO"</v>
      </c>
    </row>
    <row r="24" spans="2:29" s="65" customFormat="1" ht="21.75" customHeight="1" x14ac:dyDescent="0.25">
      <c r="B24" s="1324">
        <v>4</v>
      </c>
      <c r="C24" s="2711"/>
      <c r="D24" s="2712"/>
      <c r="E24" s="2712"/>
      <c r="F24" s="66"/>
      <c r="G24" s="150"/>
      <c r="H24" s="675"/>
      <c r="I24" s="675"/>
      <c r="J24" s="142"/>
      <c r="K24" s="1332"/>
      <c r="L24" s="1698"/>
      <c r="M24" s="80"/>
      <c r="P24" s="2172">
        <f t="shared" si="3"/>
        <v>0</v>
      </c>
      <c r="Q24" s="2173"/>
      <c r="R24" s="2174"/>
      <c r="S24" s="2175">
        <f t="shared" si="0"/>
        <v>0</v>
      </c>
      <c r="T24" s="2173">
        <f t="shared" si="1"/>
        <v>0</v>
      </c>
      <c r="U24" s="2173">
        <f t="shared" si="2"/>
        <v>0</v>
      </c>
      <c r="V24" s="2173" t="str">
        <f t="shared" si="4"/>
        <v>"05217112-200"</v>
      </c>
      <c r="W24" s="2173"/>
      <c r="X24" s="2173"/>
      <c r="Y24" s="2173"/>
      <c r="Z24" s="2173"/>
      <c r="AA24" s="2173"/>
      <c r="AB24" s="2173" t="str">
        <f>IF(ISERROR(VLOOKUP(F24,[2]FlexSys_GMVDatenbak!$A$2:$C$3000,2,FALSE)),"nicht vorhanden+",IF(VLOOKUP(F24,[2]FlexSys_GMVDatenbak!$A$2:$C$3000,2,FALSE)=0,"nicht vorhanden",VLOOKUP(F24,[2]FlexSys_GMVDatenbak!$A$2:$C$3000,2,FALSE)))</f>
        <v>nicht vorhanden+</v>
      </c>
      <c r="AC24" s="2173" t="str">
        <f>IF(ISERROR(CONCATENATE("""",VLOOKUP(F24,[2]FlexSys_GMVDatenbak!$A$2:$C$3000,3,FALSE),"/","""",$D$5,"-",$G$5,"""/-",$G$5,"-",F24, "-" &amp;T24 &amp; "-" &amp;U24 &amp; ".GEO""")),"nicht vorhanden+",IF(VLOOKUP(F24,[2]FlexSys_GMVDatenbak!$A$2:$C$3000,3,FALSE)=0,"nicht vorhanden",CONCATENATE("""",VLOOKUP(F24,[2]FlexSys_GMVDatenbak!$A$2:$C$3000,3,FALSE),"/","""",$D$5,"-",$G$5,"""/-",$G$5,"-",F24, "-" &amp;T24 &amp; "-" &amp;U24 &amp; ".GEO""")))</f>
        <v>nicht vorhanden+</v>
      </c>
    </row>
    <row r="25" spans="2:29" s="65" customFormat="1" ht="21.75" customHeight="1" x14ac:dyDescent="0.25">
      <c r="B25" s="1324">
        <v>5</v>
      </c>
      <c r="C25" s="2711"/>
      <c r="D25" s="2712"/>
      <c r="E25" s="2712"/>
      <c r="F25" s="66"/>
      <c r="G25" s="150"/>
      <c r="H25" s="675"/>
      <c r="I25" s="675"/>
      <c r="J25" s="142"/>
      <c r="K25" s="1332"/>
      <c r="L25" s="1698"/>
      <c r="M25" s="80"/>
      <c r="P25" s="2172">
        <f t="shared" si="3"/>
        <v>0</v>
      </c>
      <c r="Q25" s="2173"/>
      <c r="R25" s="2174"/>
      <c r="S25" s="2175">
        <f t="shared" si="0"/>
        <v>0</v>
      </c>
      <c r="T25" s="2173">
        <f t="shared" si="1"/>
        <v>0</v>
      </c>
      <c r="U25" s="2173">
        <f t="shared" si="2"/>
        <v>0</v>
      </c>
      <c r="V25" s="2173" t="str">
        <f t="shared" si="4"/>
        <v>"05217112-200"</v>
      </c>
      <c r="W25" s="2173"/>
      <c r="X25" s="2173"/>
      <c r="Y25" s="2173"/>
      <c r="Z25" s="2173"/>
      <c r="AA25" s="2173"/>
      <c r="AB25" s="2173" t="str">
        <f>IF(ISERROR(VLOOKUP(F25,[2]FlexSys_GMVDatenbak!$A$2:$C$3000,2,FALSE)),"nicht vorhanden+",IF(VLOOKUP(F25,[2]FlexSys_GMVDatenbak!$A$2:$C$3000,2,FALSE)=0,"nicht vorhanden",VLOOKUP(F25,[2]FlexSys_GMVDatenbak!$A$2:$C$3000,2,FALSE)))</f>
        <v>nicht vorhanden+</v>
      </c>
      <c r="AC25" s="2173" t="str">
        <f>IF(ISERROR(CONCATENATE("""",VLOOKUP(F25,[2]FlexSys_GMVDatenbak!$A$2:$C$3000,3,FALSE),"/","""",$D$5,"-",$G$5,"""/-",$G$5,"-",F25, "-" &amp;T25 &amp; "-" &amp;U25 &amp; ".GEO""")),"nicht vorhanden+",IF(VLOOKUP(F25,[2]FlexSys_GMVDatenbak!$A$2:$C$3000,3,FALSE)=0,"nicht vorhanden",CONCATENATE("""",VLOOKUP(F25,[2]FlexSys_GMVDatenbak!$A$2:$C$3000,3,FALSE),"/","""",$D$5,"-",$G$5,"""/-",$G$5,"-",F25, "-" &amp;T25 &amp; "-" &amp;U25 &amp; ".GEO""")))</f>
        <v>nicht vorhanden+</v>
      </c>
    </row>
    <row r="26" spans="2:29" s="65" customFormat="1" ht="21.75" customHeight="1" x14ac:dyDescent="0.25">
      <c r="B26" s="1324">
        <v>6</v>
      </c>
      <c r="C26" s="2711"/>
      <c r="D26" s="2712"/>
      <c r="E26" s="2712"/>
      <c r="F26" s="66"/>
      <c r="G26" s="150"/>
      <c r="H26" s="675"/>
      <c r="I26" s="675"/>
      <c r="J26" s="142"/>
      <c r="K26" s="1332"/>
      <c r="L26" s="1698"/>
      <c r="M26" s="80"/>
      <c r="P26" s="2172">
        <f t="shared" si="3"/>
        <v>0</v>
      </c>
      <c r="Q26" s="2173"/>
      <c r="R26" s="2174"/>
      <c r="S26" s="2175">
        <f t="shared" si="0"/>
        <v>0</v>
      </c>
      <c r="T26" s="2173">
        <f t="shared" si="1"/>
        <v>0</v>
      </c>
      <c r="U26" s="2173">
        <f t="shared" si="2"/>
        <v>0</v>
      </c>
      <c r="V26" s="2173" t="str">
        <f t="shared" si="4"/>
        <v>"05217112-200"</v>
      </c>
      <c r="W26" s="2173"/>
      <c r="X26" s="2173"/>
      <c r="Y26" s="2173"/>
      <c r="Z26" s="2173"/>
      <c r="AA26" s="2173"/>
      <c r="AB26" s="2173" t="str">
        <f>IF(ISERROR(VLOOKUP(F26,[2]FlexSys_GMVDatenbak!$A$2:$C$3000,2,FALSE)),"nicht vorhanden+",IF(VLOOKUP(F26,[2]FlexSys_GMVDatenbak!$A$2:$C$3000,2,FALSE)=0,"nicht vorhanden",VLOOKUP(F26,[2]FlexSys_GMVDatenbak!$A$2:$C$3000,2,FALSE)))</f>
        <v>nicht vorhanden+</v>
      </c>
      <c r="AC26" s="2173" t="str">
        <f>IF(ISERROR(CONCATENATE("""",VLOOKUP(F26,[2]FlexSys_GMVDatenbak!$A$2:$C$3000,3,FALSE),"/","""",$D$5,"-",$G$5,"""/-",$G$5,"-",F26, "-" &amp;T26 &amp; "-" &amp;U26 &amp; ".GEO""")),"nicht vorhanden+",IF(VLOOKUP(F26,[2]FlexSys_GMVDatenbak!$A$2:$C$3000,3,FALSE)=0,"nicht vorhanden",CONCATENATE("""",VLOOKUP(F26,[2]FlexSys_GMVDatenbak!$A$2:$C$3000,3,FALSE),"/","""",$D$5,"-",$G$5,"""/-",$G$5,"-",F26, "-" &amp;T26 &amp; "-" &amp;U26 &amp; ".GEO""")))</f>
        <v>nicht vorhanden+</v>
      </c>
    </row>
    <row r="27" spans="2:29" s="65" customFormat="1" ht="21.75" customHeight="1" x14ac:dyDescent="0.25">
      <c r="B27" s="1324">
        <v>7</v>
      </c>
      <c r="C27" s="2711"/>
      <c r="D27" s="2712"/>
      <c r="E27" s="2712"/>
      <c r="F27" s="66"/>
      <c r="G27" s="150"/>
      <c r="H27" s="675"/>
      <c r="I27" s="675"/>
      <c r="J27" s="142"/>
      <c r="K27" s="1332"/>
      <c r="L27" s="1698"/>
      <c r="M27" s="80"/>
      <c r="P27" s="2172">
        <f t="shared" si="3"/>
        <v>0</v>
      </c>
      <c r="Q27" s="2173"/>
      <c r="R27" s="2174"/>
      <c r="S27" s="2175">
        <f t="shared" si="0"/>
        <v>0</v>
      </c>
      <c r="T27" s="2173">
        <f t="shared" si="1"/>
        <v>0</v>
      </c>
      <c r="U27" s="2173">
        <f t="shared" si="2"/>
        <v>0</v>
      </c>
      <c r="V27" s="2173" t="str">
        <f t="shared" si="4"/>
        <v>"05217112-200"</v>
      </c>
      <c r="W27" s="2173"/>
      <c r="X27" s="2173"/>
      <c r="Y27" s="2173"/>
      <c r="Z27" s="2173"/>
      <c r="AA27" s="2173"/>
      <c r="AB27" s="2173" t="str">
        <f>IF(ISERROR(VLOOKUP(F27,[2]FlexSys_GMVDatenbak!$A$2:$C$3000,2,FALSE)),"nicht vorhanden+",IF(VLOOKUP(F27,[2]FlexSys_GMVDatenbak!$A$2:$C$3000,2,FALSE)=0,"nicht vorhanden",VLOOKUP(F27,[2]FlexSys_GMVDatenbak!$A$2:$C$3000,2,FALSE)))</f>
        <v>nicht vorhanden+</v>
      </c>
      <c r="AC27" s="2173" t="str">
        <f>IF(ISERROR(CONCATENATE("""",VLOOKUP(F27,[2]FlexSys_GMVDatenbak!$A$2:$C$3000,3,FALSE),"/","""",$D$5,"-",$G$5,"""/-",$G$5,"-",F27, "-" &amp;T27 &amp; "-" &amp;U27 &amp; ".GEO""")),"nicht vorhanden+",IF(VLOOKUP(F27,[2]FlexSys_GMVDatenbak!$A$2:$C$3000,3,FALSE)=0,"nicht vorhanden",CONCATENATE("""",VLOOKUP(F27,[2]FlexSys_GMVDatenbak!$A$2:$C$3000,3,FALSE),"/","""",$D$5,"-",$G$5,"""/-",$G$5,"-",F27, "-" &amp;T27 &amp; "-" &amp;U27 &amp; ".GEO""")))</f>
        <v>nicht vorhanden+</v>
      </c>
    </row>
    <row r="28" spans="2:29" s="65" customFormat="1" ht="21.75" customHeight="1" x14ac:dyDescent="0.25">
      <c r="B28" s="1324">
        <v>8</v>
      </c>
      <c r="C28" s="2711"/>
      <c r="D28" s="2712"/>
      <c r="E28" s="2712"/>
      <c r="F28" s="66"/>
      <c r="G28" s="150"/>
      <c r="H28" s="675"/>
      <c r="I28" s="675"/>
      <c r="J28" s="142"/>
      <c r="K28" s="1332"/>
      <c r="L28" s="1698"/>
      <c r="M28" s="80"/>
      <c r="P28" s="2172">
        <f t="shared" si="3"/>
        <v>0</v>
      </c>
      <c r="Q28" s="2173"/>
      <c r="R28" s="2174"/>
      <c r="S28" s="2175">
        <f t="shared" si="0"/>
        <v>0</v>
      </c>
      <c r="T28" s="2173">
        <f t="shared" si="1"/>
        <v>0</v>
      </c>
      <c r="U28" s="2173">
        <f t="shared" si="2"/>
        <v>0</v>
      </c>
      <c r="V28" s="2173" t="str">
        <f t="shared" si="4"/>
        <v>"05217112-200"</v>
      </c>
      <c r="W28" s="2173"/>
      <c r="X28" s="2173"/>
      <c r="Y28" s="2173"/>
      <c r="Z28" s="2173"/>
      <c r="AA28" s="2173"/>
      <c r="AB28" s="2173" t="str">
        <f>IF(ISERROR(VLOOKUP(F28,[2]FlexSys_GMVDatenbak!$A$2:$C$3000,2,FALSE)),"nicht vorhanden+",IF(VLOOKUP(F28,[2]FlexSys_GMVDatenbak!$A$2:$C$3000,2,FALSE)=0,"nicht vorhanden",VLOOKUP(F28,[2]FlexSys_GMVDatenbak!$A$2:$C$3000,2,FALSE)))</f>
        <v>nicht vorhanden+</v>
      </c>
      <c r="AC28" s="2173" t="str">
        <f>IF(ISERROR(CONCATENATE("""",VLOOKUP(F28,[2]FlexSys_GMVDatenbak!$A$2:$C$3000,3,FALSE),"/","""",$D$5,"-",$G$5,"""/-",$G$5,"-",F28, "-" &amp;T28 &amp; "-" &amp;U28 &amp; ".GEO""")),"nicht vorhanden+",IF(VLOOKUP(F28,[2]FlexSys_GMVDatenbak!$A$2:$C$3000,3,FALSE)=0,"nicht vorhanden",CONCATENATE("""",VLOOKUP(F28,[2]FlexSys_GMVDatenbak!$A$2:$C$3000,3,FALSE),"/","""",$D$5,"-",$G$5,"""/-",$G$5,"-",F28, "-" &amp;T28 &amp; "-" &amp;U28 &amp; ".GEO""")))</f>
        <v>nicht vorhanden+</v>
      </c>
    </row>
    <row r="29" spans="2:29" s="65" customFormat="1" ht="21.75" customHeight="1" x14ac:dyDescent="0.25">
      <c r="B29" s="1324">
        <v>9</v>
      </c>
      <c r="C29" s="2711"/>
      <c r="D29" s="2712"/>
      <c r="E29" s="2712"/>
      <c r="F29" s="66"/>
      <c r="G29" s="150"/>
      <c r="H29" s="675"/>
      <c r="I29" s="675"/>
      <c r="J29" s="142"/>
      <c r="K29" s="1332"/>
      <c r="L29" s="1698"/>
      <c r="M29" s="80"/>
      <c r="P29" s="2172">
        <f t="shared" si="3"/>
        <v>0</v>
      </c>
      <c r="Q29" s="2173"/>
      <c r="R29" s="2174"/>
      <c r="S29" s="2175">
        <f t="shared" si="0"/>
        <v>0</v>
      </c>
      <c r="T29" s="2173">
        <f t="shared" si="1"/>
        <v>0</v>
      </c>
      <c r="U29" s="2173">
        <f t="shared" si="2"/>
        <v>0</v>
      </c>
      <c r="V29" s="2173" t="str">
        <f t="shared" si="4"/>
        <v>"05217112-200"</v>
      </c>
      <c r="W29" s="2173"/>
      <c r="X29" s="2173"/>
      <c r="Y29" s="2173"/>
      <c r="Z29" s="2173"/>
      <c r="AA29" s="2173"/>
      <c r="AB29" s="2173" t="str">
        <f>IF(ISERROR(VLOOKUP(F29,[2]FlexSys_GMVDatenbak!$A$2:$C$3000,2,FALSE)),"nicht vorhanden+",IF(VLOOKUP(F29,[2]FlexSys_GMVDatenbak!$A$2:$C$3000,2,FALSE)=0,"nicht vorhanden",VLOOKUP(F29,[2]FlexSys_GMVDatenbak!$A$2:$C$3000,2,FALSE)))</f>
        <v>nicht vorhanden+</v>
      </c>
      <c r="AC29" s="2173" t="str">
        <f>IF(ISERROR(CONCATENATE("""",VLOOKUP(F29,[2]FlexSys_GMVDatenbak!$A$2:$C$3000,3,FALSE),"/","""",$D$5,"-",$G$5,"""/-",$G$5,"-",F29, "-" &amp;T29 &amp; "-" &amp;U29 &amp; ".GEO""")),"nicht vorhanden+",IF(VLOOKUP(F29,[2]FlexSys_GMVDatenbak!$A$2:$C$3000,3,FALSE)=0,"nicht vorhanden",CONCATENATE("""",VLOOKUP(F29,[2]FlexSys_GMVDatenbak!$A$2:$C$3000,3,FALSE),"/","""",$D$5,"-",$G$5,"""/-",$G$5,"-",F29, "-" &amp;T29 &amp; "-" &amp;U29 &amp; ".GEO""")))</f>
        <v>nicht vorhanden+</v>
      </c>
    </row>
    <row r="30" spans="2:29" s="65" customFormat="1" ht="21.75" customHeight="1" x14ac:dyDescent="0.25">
      <c r="B30" s="1324">
        <v>10</v>
      </c>
      <c r="C30" s="2988"/>
      <c r="D30" s="2709"/>
      <c r="E30" s="2710"/>
      <c r="F30" s="66"/>
      <c r="G30" s="150"/>
      <c r="H30" s="675"/>
      <c r="I30" s="675"/>
      <c r="J30" s="142"/>
      <c r="K30" s="1332"/>
      <c r="L30" s="1698"/>
      <c r="M30" s="80"/>
      <c r="P30" s="2172">
        <f t="shared" si="3"/>
        <v>0</v>
      </c>
      <c r="Q30" s="2173"/>
      <c r="R30" s="2174"/>
      <c r="S30" s="2175">
        <f t="shared" si="0"/>
        <v>0</v>
      </c>
      <c r="T30" s="2173">
        <f t="shared" si="1"/>
        <v>0</v>
      </c>
      <c r="U30" s="2173">
        <f t="shared" si="2"/>
        <v>0</v>
      </c>
      <c r="V30" s="2173" t="str">
        <f t="shared" si="4"/>
        <v>"05217112-200"</v>
      </c>
      <c r="W30" s="2173"/>
      <c r="X30" s="2173"/>
      <c r="Y30" s="2173"/>
      <c r="Z30" s="2173"/>
      <c r="AA30" s="2173"/>
      <c r="AB30" s="2173" t="str">
        <f>IF(ISERROR(VLOOKUP(F30,[2]FlexSys_GMVDatenbak!$A$2:$C$3000,2,FALSE)),"nicht vorhanden+",IF(VLOOKUP(F30,[2]FlexSys_GMVDatenbak!$A$2:$C$3000,2,FALSE)=0,"nicht vorhanden",VLOOKUP(F30,[2]FlexSys_GMVDatenbak!$A$2:$C$3000,2,FALSE)))</f>
        <v>nicht vorhanden+</v>
      </c>
      <c r="AC30" s="2173" t="str">
        <f>IF(ISERROR(CONCATENATE("""",VLOOKUP(F30,[2]FlexSys_GMVDatenbak!$A$2:$C$3000,3,FALSE),"/","""",$D$5,"-",$G$5,"""/-",$G$5,"-",F30, "-" &amp;T30 &amp; "-" &amp;U30 &amp; ".GEO""")),"nicht vorhanden+",IF(VLOOKUP(F30,[2]FlexSys_GMVDatenbak!$A$2:$C$3000,3,FALSE)=0,"nicht vorhanden",CONCATENATE("""",VLOOKUP(F30,[2]FlexSys_GMVDatenbak!$A$2:$C$3000,3,FALSE),"/","""",$D$5,"-",$G$5,"""/-",$G$5,"-",F30, "-" &amp;T30 &amp; "-" &amp;U30 &amp; ".GEO""")))</f>
        <v>nicht vorhanden+</v>
      </c>
    </row>
    <row r="31" spans="2:29" s="65" customFormat="1" ht="21.75" customHeight="1" x14ac:dyDescent="0.25">
      <c r="B31" s="1324">
        <v>11</v>
      </c>
      <c r="C31" s="2987"/>
      <c r="D31" s="2712"/>
      <c r="E31" s="2712"/>
      <c r="F31" s="1311"/>
      <c r="G31" s="150"/>
      <c r="H31" s="675"/>
      <c r="I31" s="675"/>
      <c r="J31" s="142"/>
      <c r="K31" s="1332"/>
      <c r="L31" s="1698"/>
      <c r="M31" s="80"/>
      <c r="P31" s="2172">
        <f t="shared" si="3"/>
        <v>0</v>
      </c>
      <c r="Q31" s="2173"/>
      <c r="R31" s="2174"/>
      <c r="S31" s="2175">
        <f t="shared" si="0"/>
        <v>0</v>
      </c>
      <c r="T31" s="2173">
        <f t="shared" si="1"/>
        <v>0</v>
      </c>
      <c r="U31" s="2173">
        <f t="shared" si="2"/>
        <v>0</v>
      </c>
      <c r="V31" s="2173" t="str">
        <f t="shared" si="4"/>
        <v>"05217112-200"</v>
      </c>
      <c r="W31" s="2173"/>
      <c r="X31" s="2173"/>
      <c r="Y31" s="2173"/>
      <c r="Z31" s="2173"/>
      <c r="AA31" s="2173"/>
      <c r="AB31" s="2173" t="str">
        <f>IF(ISERROR(VLOOKUP(F31,[2]FlexSys_GMVDatenbak!$A$2:$C$3000,2,FALSE)),"nicht vorhanden+",IF(VLOOKUP(F31,[2]FlexSys_GMVDatenbak!$A$2:$C$3000,2,FALSE)=0,"nicht vorhanden",VLOOKUP(F31,[2]FlexSys_GMVDatenbak!$A$2:$C$3000,2,FALSE)))</f>
        <v>nicht vorhanden+</v>
      </c>
      <c r="AC31" s="2173" t="str">
        <f>IF(ISERROR(CONCATENATE("""",VLOOKUP(F31,[2]FlexSys_GMVDatenbak!$A$2:$C$3000,3,FALSE),"/","""",$D$5,"-",$G$5,"""/-",$G$5,"-",F31, "-" &amp;T31 &amp; "-" &amp;U31 &amp; ".GEO""")),"nicht vorhanden+",IF(VLOOKUP(F31,[2]FlexSys_GMVDatenbak!$A$2:$C$3000,3,FALSE)=0,"nicht vorhanden",CONCATENATE("""",VLOOKUP(F31,[2]FlexSys_GMVDatenbak!$A$2:$C$3000,3,FALSE),"/","""",$D$5,"-",$G$5,"""/-",$G$5,"-",F31, "-" &amp;T31 &amp; "-" &amp;U31 &amp; ".GEO""")))</f>
        <v>nicht vorhanden+</v>
      </c>
    </row>
    <row r="32" spans="2:29" s="65" customFormat="1" ht="21.75" customHeight="1" x14ac:dyDescent="0.25">
      <c r="B32" s="1324">
        <v>12</v>
      </c>
      <c r="C32" s="2711"/>
      <c r="D32" s="2712"/>
      <c r="E32" s="2712"/>
      <c r="F32" s="66"/>
      <c r="G32" s="150"/>
      <c r="H32" s="675"/>
      <c r="I32" s="675"/>
      <c r="J32" s="142"/>
      <c r="K32" s="1332"/>
      <c r="L32" s="1698"/>
      <c r="M32" s="80"/>
      <c r="P32" s="2172">
        <f t="shared" si="3"/>
        <v>0</v>
      </c>
      <c r="Q32" s="2173"/>
      <c r="R32" s="2174"/>
      <c r="S32" s="2175">
        <f t="shared" si="0"/>
        <v>0</v>
      </c>
      <c r="T32" s="2173">
        <f t="shared" si="1"/>
        <v>0</v>
      </c>
      <c r="U32" s="2173">
        <f t="shared" si="2"/>
        <v>0</v>
      </c>
      <c r="V32" s="2173" t="str">
        <f>CONCATENATE("""",$D$5,"-",$G$5,"""")</f>
        <v>"05217112-200"</v>
      </c>
      <c r="W32" s="2173"/>
      <c r="X32" s="2173"/>
      <c r="Y32" s="2173"/>
      <c r="Z32" s="2173"/>
      <c r="AA32" s="2173"/>
      <c r="AB32" s="2173" t="str">
        <f>IF(ISERROR(VLOOKUP(F32,[2]FlexSys_GMVDatenbak!$A$2:$C$3000,2,FALSE)),"nicht vorhanden+",IF(VLOOKUP(F32,[2]FlexSys_GMVDatenbak!$A$2:$C$3000,2,FALSE)=0,"nicht vorhanden",VLOOKUP(F32,[2]FlexSys_GMVDatenbak!$A$2:$C$3000,2,FALSE)))</f>
        <v>nicht vorhanden+</v>
      </c>
      <c r="AC32" s="2173" t="str">
        <f>IF(ISERROR(CONCATENATE("""",VLOOKUP(F32,[2]FlexSys_GMVDatenbak!$A$2:$C$3000,3,FALSE),"/","""",$D$5,"-",$G$5,"""/-",$G$5,"-",F32, "-" &amp;T32 &amp; "-" &amp;U32 &amp; ".GEO""")),"nicht vorhanden+",IF(VLOOKUP(F32,[2]FlexSys_GMVDatenbak!$A$2:$C$3000,3,FALSE)=0,"nicht vorhanden",CONCATENATE("""",VLOOKUP(F32,[2]FlexSys_GMVDatenbak!$A$2:$C$3000,3,FALSE),"/","""",$D$5,"-",$G$5,"""/-",$G$5,"-",F32, "-" &amp;T32 &amp; "-" &amp;U32 &amp; ".GEO""")))</f>
        <v>nicht vorhanden+</v>
      </c>
    </row>
    <row r="33" spans="2:29" s="65" customFormat="1" ht="21.75" customHeight="1" x14ac:dyDescent="0.25">
      <c r="B33" s="1324">
        <v>13</v>
      </c>
      <c r="C33" s="2711"/>
      <c r="D33" s="2712"/>
      <c r="E33" s="2712"/>
      <c r="F33" s="66"/>
      <c r="G33" s="150"/>
      <c r="H33" s="675"/>
      <c r="I33" s="675"/>
      <c r="J33" s="142"/>
      <c r="K33" s="1332"/>
      <c r="L33" s="1698"/>
      <c r="M33" s="80"/>
      <c r="P33" s="2172">
        <f t="shared" si="3"/>
        <v>0</v>
      </c>
      <c r="Q33" s="2173"/>
      <c r="R33" s="2174"/>
      <c r="S33" s="2175">
        <f t="shared" si="0"/>
        <v>0</v>
      </c>
      <c r="T33" s="2173">
        <f t="shared" si="1"/>
        <v>0</v>
      </c>
      <c r="U33" s="2173">
        <f t="shared" si="2"/>
        <v>0</v>
      </c>
      <c r="V33" s="2173" t="str">
        <f t="shared" si="4"/>
        <v>"05217112-200"</v>
      </c>
      <c r="W33" s="2173"/>
      <c r="X33" s="2173"/>
      <c r="Y33" s="2173"/>
      <c r="Z33" s="2173"/>
      <c r="AA33" s="2173"/>
      <c r="AB33" s="2173" t="str">
        <f>IF(ISERROR(VLOOKUP(F33,[2]FlexSys_GMVDatenbak!$A$2:$C$3000,2,FALSE)),"nicht vorhanden+",IF(VLOOKUP(F33,[2]FlexSys_GMVDatenbak!$A$2:$C$3000,2,FALSE)=0,"nicht vorhanden",VLOOKUP(F33,[2]FlexSys_GMVDatenbak!$A$2:$C$3000,2,FALSE)))</f>
        <v>nicht vorhanden+</v>
      </c>
      <c r="AC33" s="2173" t="str">
        <f>IF(ISERROR(CONCATENATE("""",VLOOKUP(F33,[2]FlexSys_GMVDatenbak!$A$2:$C$3000,3,FALSE),"/","""",$D$5,"-",$G$5,"""/-",$G$5,"-",F33, "-" &amp;T33 &amp; "-" &amp;U33 &amp; ".GEO""")),"nicht vorhanden+",IF(VLOOKUP(F33,[2]FlexSys_GMVDatenbak!$A$2:$C$3000,3,FALSE)=0,"nicht vorhanden",CONCATENATE("""",VLOOKUP(F33,[2]FlexSys_GMVDatenbak!$A$2:$C$3000,3,FALSE),"/","""",$D$5,"-",$G$5,"""/-",$G$5,"-",F33, "-" &amp;T33 &amp; "-" &amp;U33 &amp; ".GEO""")))</f>
        <v>nicht vorhanden+</v>
      </c>
    </row>
    <row r="34" spans="2:29" s="65" customFormat="1" ht="21.75" customHeight="1" x14ac:dyDescent="0.25">
      <c r="B34" s="1324">
        <v>14</v>
      </c>
      <c r="C34" s="2711"/>
      <c r="D34" s="2712"/>
      <c r="E34" s="2712"/>
      <c r="F34" s="66"/>
      <c r="G34" s="150"/>
      <c r="H34" s="675"/>
      <c r="I34" s="675"/>
      <c r="J34" s="142"/>
      <c r="K34" s="1332"/>
      <c r="L34" s="1698"/>
      <c r="M34" s="80"/>
      <c r="P34" s="2172">
        <f t="shared" si="3"/>
        <v>0</v>
      </c>
      <c r="Q34" s="2173"/>
      <c r="R34" s="2174"/>
      <c r="S34" s="2175">
        <f t="shared" si="0"/>
        <v>0</v>
      </c>
      <c r="T34" s="2173">
        <f t="shared" si="1"/>
        <v>0</v>
      </c>
      <c r="U34" s="2173">
        <f t="shared" si="2"/>
        <v>0</v>
      </c>
      <c r="V34" s="2173" t="str">
        <f t="shared" si="4"/>
        <v>"05217112-200"</v>
      </c>
      <c r="W34" s="2173"/>
      <c r="X34" s="2173"/>
      <c r="Y34" s="2173"/>
      <c r="Z34" s="2173"/>
      <c r="AA34" s="2173"/>
      <c r="AB34" s="2173" t="str">
        <f>IF(ISERROR(VLOOKUP(F34,[2]FlexSys_GMVDatenbak!$A$2:$C$3000,2,FALSE)),"nicht vorhanden+",IF(VLOOKUP(F34,[2]FlexSys_GMVDatenbak!$A$2:$C$3000,2,FALSE)=0,"nicht vorhanden",VLOOKUP(F34,[2]FlexSys_GMVDatenbak!$A$2:$C$3000,2,FALSE)))</f>
        <v>nicht vorhanden+</v>
      </c>
      <c r="AC34" s="2173" t="str">
        <f>IF(ISERROR(CONCATENATE("""",VLOOKUP(F34,[2]FlexSys_GMVDatenbak!$A$2:$C$3000,3,FALSE),"/","""",$D$5,"-",$G$5,"""/-",$G$5,"-",F34, "-" &amp;T34 &amp; "-" &amp;U34 &amp; ".GEO""")),"nicht vorhanden+",IF(VLOOKUP(F34,[2]FlexSys_GMVDatenbak!$A$2:$C$3000,3,FALSE)=0,"nicht vorhanden",CONCATENATE("""",VLOOKUP(F34,[2]FlexSys_GMVDatenbak!$A$2:$C$3000,3,FALSE),"/","""",$D$5,"-",$G$5,"""/-",$G$5,"-",F34, "-" &amp;T34 &amp; "-" &amp;U34 &amp; ".GEO""")))</f>
        <v>nicht vorhanden+</v>
      </c>
    </row>
    <row r="35" spans="2:29" s="65" customFormat="1" ht="21.75" customHeight="1" x14ac:dyDescent="0.25">
      <c r="B35" s="1324">
        <v>15</v>
      </c>
      <c r="C35" s="2970"/>
      <c r="D35" s="2971"/>
      <c r="E35" s="2971"/>
      <c r="F35" s="66"/>
      <c r="G35" s="150"/>
      <c r="H35" s="675"/>
      <c r="I35" s="675"/>
      <c r="J35" s="142"/>
      <c r="K35" s="1332"/>
      <c r="L35" s="1698"/>
      <c r="M35" s="80"/>
      <c r="P35" s="2172">
        <f t="shared" si="3"/>
        <v>0</v>
      </c>
      <c r="Q35" s="2173"/>
      <c r="R35" s="2174"/>
      <c r="S35" s="2175">
        <f t="shared" si="0"/>
        <v>0</v>
      </c>
      <c r="T35" s="2173">
        <f t="shared" si="1"/>
        <v>0</v>
      </c>
      <c r="U35" s="2173">
        <f t="shared" si="2"/>
        <v>0</v>
      </c>
      <c r="V35" s="2173" t="str">
        <f t="shared" si="4"/>
        <v>"05217112-200"</v>
      </c>
      <c r="W35" s="2173"/>
      <c r="X35" s="2173"/>
      <c r="Y35" s="2173"/>
      <c r="Z35" s="2173"/>
      <c r="AA35" s="2173"/>
      <c r="AB35" s="2173" t="str">
        <f>IF(ISERROR(VLOOKUP(F35,[2]FlexSys_GMVDatenbak!$A$2:$C$3000,2,FALSE)),"nicht vorhanden+",IF(VLOOKUP(F35,[2]FlexSys_GMVDatenbak!$A$2:$C$3000,2,FALSE)=0,"nicht vorhanden",VLOOKUP(F35,[2]FlexSys_GMVDatenbak!$A$2:$C$3000,2,FALSE)))</f>
        <v>nicht vorhanden+</v>
      </c>
      <c r="AC35" s="2173" t="str">
        <f>IF(ISERROR(CONCATENATE("""",VLOOKUP(F35,[2]FlexSys_GMVDatenbak!$A$2:$C$3000,3,FALSE),"/","""",$D$5,"-",$G$5,"""/-",$G$5,"-",F35, "-" &amp;T35 &amp; "-" &amp;U35 &amp; ".GEO""")),"nicht vorhanden+",IF(VLOOKUP(F35,[2]FlexSys_GMVDatenbak!$A$2:$C$3000,3,FALSE)=0,"nicht vorhanden",CONCATENATE("""",VLOOKUP(F35,[2]FlexSys_GMVDatenbak!$A$2:$C$3000,3,FALSE),"/","""",$D$5,"-",$G$5,"""/-",$G$5,"-",F35, "-" &amp;T35 &amp; "-" &amp;U35 &amp; ".GEO""")))</f>
        <v>nicht vorhanden+</v>
      </c>
    </row>
    <row r="36" spans="2:29" s="65" customFormat="1" ht="21.75" customHeight="1" x14ac:dyDescent="0.25">
      <c r="B36" s="1324">
        <v>16</v>
      </c>
      <c r="C36" s="2970"/>
      <c r="D36" s="2971"/>
      <c r="E36" s="2971"/>
      <c r="F36" s="66"/>
      <c r="G36" s="150"/>
      <c r="H36" s="675"/>
      <c r="I36" s="675"/>
      <c r="J36" s="142"/>
      <c r="K36" s="1332"/>
      <c r="L36" s="1698"/>
      <c r="M36" s="80"/>
      <c r="P36" s="2172">
        <f t="shared" si="3"/>
        <v>0</v>
      </c>
      <c r="Q36" s="2173"/>
      <c r="R36" s="2174"/>
      <c r="S36" s="2175">
        <f t="shared" si="0"/>
        <v>0</v>
      </c>
      <c r="T36" s="2173">
        <f t="shared" si="1"/>
        <v>0</v>
      </c>
      <c r="U36" s="2173">
        <f t="shared" si="2"/>
        <v>0</v>
      </c>
      <c r="V36" s="2173" t="str">
        <f t="shared" si="4"/>
        <v>"05217112-200"</v>
      </c>
      <c r="W36" s="2173"/>
      <c r="X36" s="2173"/>
      <c r="Y36" s="2173"/>
      <c r="Z36" s="2173"/>
      <c r="AA36" s="2173"/>
      <c r="AB36" s="2173" t="str">
        <f>IF(ISERROR(VLOOKUP(F36,[2]FlexSys_GMVDatenbak!$A$2:$C$3000,2,FALSE)),"nicht vorhanden+",IF(VLOOKUP(F36,[2]FlexSys_GMVDatenbak!$A$2:$C$3000,2,FALSE)=0,"nicht vorhanden",VLOOKUP(F36,[2]FlexSys_GMVDatenbak!$A$2:$C$3000,2,FALSE)))</f>
        <v>nicht vorhanden+</v>
      </c>
      <c r="AC36" s="2173" t="str">
        <f>IF(ISERROR(CONCATENATE("""",VLOOKUP(F36,[2]FlexSys_GMVDatenbak!$A$2:$C$3000,3,FALSE),"/","""",$D$5,"-",$G$5,"""/-",$G$5,"-",F36, "-" &amp;T36 &amp; "-" &amp;U36 &amp; ".GEO""")),"nicht vorhanden+",IF(VLOOKUP(F36,[2]FlexSys_GMVDatenbak!$A$2:$C$3000,3,FALSE)=0,"nicht vorhanden",CONCATENATE("""",VLOOKUP(F36,[2]FlexSys_GMVDatenbak!$A$2:$C$3000,3,FALSE),"/","""",$D$5,"-",$G$5,"""/-",$G$5,"-",F36, "-" &amp;T36 &amp; "-" &amp;U36 &amp; ".GEO""")))</f>
        <v>nicht vorhanden+</v>
      </c>
    </row>
    <row r="37" spans="2:29" s="65" customFormat="1" ht="21.75" customHeight="1" x14ac:dyDescent="0.25">
      <c r="B37" s="1324">
        <v>17</v>
      </c>
      <c r="C37" s="2970"/>
      <c r="D37" s="2971"/>
      <c r="E37" s="2971"/>
      <c r="F37" s="66"/>
      <c r="G37" s="150"/>
      <c r="H37" s="675"/>
      <c r="I37" s="675"/>
      <c r="J37" s="142"/>
      <c r="K37" s="1332"/>
      <c r="L37" s="1698"/>
      <c r="M37" s="80"/>
      <c r="P37" s="2172">
        <f t="shared" si="3"/>
        <v>0</v>
      </c>
      <c r="Q37" s="2173"/>
      <c r="R37" s="2174"/>
      <c r="S37" s="2175">
        <f t="shared" si="0"/>
        <v>0</v>
      </c>
      <c r="T37" s="2173">
        <f t="shared" si="1"/>
        <v>0</v>
      </c>
      <c r="U37" s="2173">
        <f t="shared" si="2"/>
        <v>0</v>
      </c>
      <c r="V37" s="2173" t="str">
        <f t="shared" si="4"/>
        <v>"05217112-200"</v>
      </c>
      <c r="W37" s="2173"/>
      <c r="X37" s="2173"/>
      <c r="Y37" s="2173"/>
      <c r="Z37" s="2173"/>
      <c r="AA37" s="2173"/>
      <c r="AB37" s="2173" t="str">
        <f>IF(ISERROR(VLOOKUP(F37,[2]FlexSys_GMVDatenbak!$A$2:$C$3000,2,FALSE)),"nicht vorhanden+",IF(VLOOKUP(F37,[2]FlexSys_GMVDatenbak!$A$2:$C$3000,2,FALSE)=0,"nicht vorhanden",VLOOKUP(F37,[2]FlexSys_GMVDatenbak!$A$2:$C$3000,2,FALSE)))</f>
        <v>nicht vorhanden+</v>
      </c>
      <c r="AC37" s="2173" t="str">
        <f>IF(ISERROR(CONCATENATE("""",VLOOKUP(F37,[2]FlexSys_GMVDatenbak!$A$2:$C$3000,3,FALSE),"/","""",$D$5,"-",$G$5,"""/-",$G$5,"-",F37, "-" &amp;T37 &amp; "-" &amp;U37 &amp; ".GEO""")),"nicht vorhanden+",IF(VLOOKUP(F37,[2]FlexSys_GMVDatenbak!$A$2:$C$3000,3,FALSE)=0,"nicht vorhanden",CONCATENATE("""",VLOOKUP(F37,[2]FlexSys_GMVDatenbak!$A$2:$C$3000,3,FALSE),"/","""",$D$5,"-",$G$5,"""/-",$G$5,"-",F37, "-" &amp;T37 &amp; "-" &amp;U37 &amp; ".GEO""")))</f>
        <v>nicht vorhanden+</v>
      </c>
    </row>
    <row r="38" spans="2:29" s="65" customFormat="1" ht="21.75" customHeight="1" x14ac:dyDescent="0.25">
      <c r="B38" s="1324">
        <v>18</v>
      </c>
      <c r="C38" s="2970"/>
      <c r="D38" s="2971"/>
      <c r="E38" s="2971"/>
      <c r="F38" s="66"/>
      <c r="G38" s="150"/>
      <c r="H38" s="675"/>
      <c r="I38" s="675"/>
      <c r="J38" s="142"/>
      <c r="K38" s="1332"/>
      <c r="L38" s="1698"/>
      <c r="M38" s="80"/>
      <c r="P38" s="2172">
        <f t="shared" si="3"/>
        <v>0</v>
      </c>
      <c r="Q38" s="2173"/>
      <c r="R38" s="2174"/>
      <c r="S38" s="2175">
        <f t="shared" si="0"/>
        <v>0</v>
      </c>
      <c r="T38" s="2173">
        <f t="shared" si="1"/>
        <v>0</v>
      </c>
      <c r="U38" s="2173">
        <f t="shared" si="2"/>
        <v>0</v>
      </c>
      <c r="V38" s="2173" t="str">
        <f t="shared" si="4"/>
        <v>"05217112-200"</v>
      </c>
      <c r="W38" s="2173"/>
      <c r="X38" s="2173"/>
      <c r="Y38" s="2173"/>
      <c r="Z38" s="2173"/>
      <c r="AA38" s="2173"/>
      <c r="AB38" s="2173" t="str">
        <f>IF(ISERROR(VLOOKUP(F38,[2]FlexSys_GMVDatenbak!$A$2:$C$3000,2,FALSE)),"nicht vorhanden+",IF(VLOOKUP(F38,[2]FlexSys_GMVDatenbak!$A$2:$C$3000,2,FALSE)=0,"nicht vorhanden",VLOOKUP(F38,[2]FlexSys_GMVDatenbak!$A$2:$C$3000,2,FALSE)))</f>
        <v>nicht vorhanden+</v>
      </c>
      <c r="AC38" s="2173" t="str">
        <f>IF(ISERROR(CONCATENATE("""",VLOOKUP(F38,[2]FlexSys_GMVDatenbak!$A$2:$C$3000,3,FALSE),"/","""",$D$5,"-",$G$5,"""/-",$G$5,"-",F38, "-" &amp;T38 &amp; "-" &amp;U38 &amp; ".GEO""")),"nicht vorhanden+",IF(VLOOKUP(F38,[2]FlexSys_GMVDatenbak!$A$2:$C$3000,3,FALSE)=0,"nicht vorhanden",CONCATENATE("""",VLOOKUP(F38,[2]FlexSys_GMVDatenbak!$A$2:$C$3000,3,FALSE),"/","""",$D$5,"-",$G$5,"""/-",$G$5,"-",F38, "-" &amp;T38 &amp; "-" &amp;U38 &amp; ".GEO""")))</f>
        <v>nicht vorhanden+</v>
      </c>
    </row>
    <row r="39" spans="2:29" s="65" customFormat="1" ht="21.75" customHeight="1" x14ac:dyDescent="0.25">
      <c r="B39" s="1324">
        <v>19</v>
      </c>
      <c r="C39" s="2970"/>
      <c r="D39" s="2971"/>
      <c r="E39" s="2971"/>
      <c r="F39" s="66"/>
      <c r="G39" s="150"/>
      <c r="H39" s="675"/>
      <c r="I39" s="675"/>
      <c r="J39" s="142"/>
      <c r="K39" s="1332"/>
      <c r="L39" s="1698"/>
      <c r="M39" s="80"/>
      <c r="P39" s="2172">
        <f t="shared" si="3"/>
        <v>0</v>
      </c>
      <c r="Q39" s="2173"/>
      <c r="R39" s="2174"/>
      <c r="S39" s="2175">
        <f t="shared" si="0"/>
        <v>0</v>
      </c>
      <c r="T39" s="2173">
        <f t="shared" si="1"/>
        <v>0</v>
      </c>
      <c r="U39" s="2173">
        <f t="shared" si="2"/>
        <v>0</v>
      </c>
      <c r="V39" s="2173" t="str">
        <f t="shared" si="4"/>
        <v>"05217112-200"</v>
      </c>
      <c r="W39" s="2173"/>
      <c r="X39" s="2173"/>
      <c r="Y39" s="2173"/>
      <c r="Z39" s="2173"/>
      <c r="AA39" s="2173"/>
      <c r="AB39" s="2173" t="str">
        <f>IF(ISERROR(VLOOKUP(F39,[2]FlexSys_GMVDatenbak!$A$2:$C$3000,2,FALSE)),"nicht vorhanden+",IF(VLOOKUP(F39,[2]FlexSys_GMVDatenbak!$A$2:$C$3000,2,FALSE)=0,"nicht vorhanden",VLOOKUP(F39,[2]FlexSys_GMVDatenbak!$A$2:$C$3000,2,FALSE)))</f>
        <v>nicht vorhanden+</v>
      </c>
      <c r="AC39" s="2173" t="str">
        <f>IF(ISERROR(CONCATENATE("""",VLOOKUP(F39,[2]FlexSys_GMVDatenbak!$A$2:$C$3000,3,FALSE),"/","""",$D$5,"-",$G$5,"""/-",$G$5,"-",F39, "-" &amp;T39 &amp; "-" &amp;U39 &amp; ".GEO""")),"nicht vorhanden+",IF(VLOOKUP(F39,[2]FlexSys_GMVDatenbak!$A$2:$C$3000,3,FALSE)=0,"nicht vorhanden",CONCATENATE("""",VLOOKUP(F39,[2]FlexSys_GMVDatenbak!$A$2:$C$3000,3,FALSE),"/","""",$D$5,"-",$G$5,"""/-",$G$5,"-",F39, "-" &amp;T39 &amp; "-" &amp;U39 &amp; ".GEO""")))</f>
        <v>nicht vorhanden+</v>
      </c>
    </row>
    <row r="40" spans="2:29" s="65" customFormat="1" ht="21.75" customHeight="1" x14ac:dyDescent="0.25">
      <c r="B40" s="1324">
        <v>20</v>
      </c>
      <c r="C40" s="2972"/>
      <c r="D40" s="2971"/>
      <c r="E40" s="2971"/>
      <c r="F40" s="66"/>
      <c r="G40" s="150"/>
      <c r="H40" s="675"/>
      <c r="I40" s="675"/>
      <c r="J40" s="142"/>
      <c r="K40" s="1332"/>
      <c r="L40" s="1698"/>
      <c r="M40" s="80"/>
      <c r="P40" s="2172">
        <f t="shared" si="3"/>
        <v>0</v>
      </c>
      <c r="Q40" s="2173"/>
      <c r="R40" s="2174"/>
      <c r="S40" s="2175">
        <f t="shared" si="0"/>
        <v>0</v>
      </c>
      <c r="T40" s="2173">
        <f t="shared" si="1"/>
        <v>0</v>
      </c>
      <c r="U40" s="2173">
        <f t="shared" si="2"/>
        <v>0</v>
      </c>
      <c r="V40" s="2173" t="str">
        <f t="shared" si="4"/>
        <v>"05217112-200"</v>
      </c>
      <c r="W40" s="2173"/>
      <c r="X40" s="2173"/>
      <c r="Y40" s="2173"/>
      <c r="Z40" s="2173"/>
      <c r="AA40" s="2173"/>
      <c r="AB40" s="2173" t="str">
        <f>IF(ISERROR(VLOOKUP(F40,[2]FlexSys_GMVDatenbak!$A$2:$C$3000,2,FALSE)),"nicht vorhanden+",IF(VLOOKUP(F40,[2]FlexSys_GMVDatenbak!$A$2:$C$3000,2,FALSE)=0,"nicht vorhanden",VLOOKUP(F40,[2]FlexSys_GMVDatenbak!$A$2:$C$3000,2,FALSE)))</f>
        <v>nicht vorhanden+</v>
      </c>
      <c r="AC40" s="2173" t="str">
        <f>IF(ISERROR(CONCATENATE("""",VLOOKUP(F40,[2]FlexSys_GMVDatenbak!$A$2:$C$3000,3,FALSE),"/","""",$D$5,"-",$G$5,"""/-",$G$5,"-",F40, "-" &amp;T40 &amp; "-" &amp;U40 &amp; ".GEO""")),"nicht vorhanden+",IF(VLOOKUP(F40,[2]FlexSys_GMVDatenbak!$A$2:$C$3000,3,FALSE)=0,"nicht vorhanden",CONCATENATE("""",VLOOKUP(F40,[2]FlexSys_GMVDatenbak!$A$2:$C$3000,3,FALSE),"/","""",$D$5,"-",$G$5,"""/-",$G$5,"-",F40, "-" &amp;T40 &amp; "-" &amp;U40 &amp; ".GEO""")))</f>
        <v>nicht vorhanden+</v>
      </c>
    </row>
    <row r="41" spans="2:29" s="65" customFormat="1" ht="21.75" customHeight="1" x14ac:dyDescent="0.25">
      <c r="B41" s="1324">
        <v>21</v>
      </c>
      <c r="C41" s="2708"/>
      <c r="D41" s="2709"/>
      <c r="E41" s="2710"/>
      <c r="F41" s="66"/>
      <c r="G41" s="150"/>
      <c r="H41" s="675"/>
      <c r="I41" s="675"/>
      <c r="J41" s="142"/>
      <c r="K41" s="1332"/>
      <c r="L41" s="1698"/>
      <c r="M41" s="80"/>
      <c r="P41" s="2172">
        <f t="shared" si="3"/>
        <v>0</v>
      </c>
      <c r="Q41" s="2173"/>
      <c r="R41" s="2174"/>
      <c r="S41" s="2175">
        <f t="shared" si="0"/>
        <v>0</v>
      </c>
      <c r="T41" s="2173">
        <f t="shared" si="1"/>
        <v>0</v>
      </c>
      <c r="U41" s="2173">
        <f t="shared" si="2"/>
        <v>0</v>
      </c>
      <c r="V41" s="2173" t="str">
        <f>CONCATENATE("""",$D$5,"-",$G$5,"""")</f>
        <v>"05217112-200"</v>
      </c>
      <c r="W41" s="2173"/>
      <c r="X41" s="2173"/>
      <c r="Y41" s="2173"/>
      <c r="Z41" s="2173"/>
      <c r="AA41" s="2173"/>
      <c r="AB41" s="2173" t="str">
        <f>IF(ISERROR(VLOOKUP(F41,[2]FlexSys_GMVDatenbak!$A$2:$C$3000,2,FALSE)),"nicht vorhanden+",IF(VLOOKUP(F41,[2]FlexSys_GMVDatenbak!$A$2:$C$3000,2,FALSE)=0,"nicht vorhanden",VLOOKUP(F41,[2]FlexSys_GMVDatenbak!$A$2:$C$3000,2,FALSE)))</f>
        <v>nicht vorhanden+</v>
      </c>
      <c r="AC41" s="2173" t="str">
        <f>IF(ISERROR(CONCATENATE("""",VLOOKUP(F41,[2]FlexSys_GMVDatenbak!$A$2:$C$3000,3,FALSE),"/","""",$D$5,"-",$G$5,"""/-",$G$5,"-",F41, "-" &amp;T41 &amp; "-" &amp;U41 &amp; ".GEO""")),"nicht vorhanden+",IF(VLOOKUP(F41,[2]FlexSys_GMVDatenbak!$A$2:$C$3000,3,FALSE)=0,"nicht vorhanden",CONCATENATE("""",VLOOKUP(F41,[2]FlexSys_GMVDatenbak!$A$2:$C$3000,3,FALSE),"/","""",$D$5,"-",$G$5,"""/-",$G$5,"-",F41, "-" &amp;T41 &amp; "-" &amp;U41 &amp; ".GEO""")))</f>
        <v>nicht vorhanden+</v>
      </c>
    </row>
    <row r="42" spans="2:29" s="65" customFormat="1" ht="21.75" customHeight="1" x14ac:dyDescent="0.25">
      <c r="B42" s="1324">
        <v>22</v>
      </c>
      <c r="C42" s="2708"/>
      <c r="D42" s="2709"/>
      <c r="E42" s="2710"/>
      <c r="F42" s="66"/>
      <c r="G42" s="150"/>
      <c r="H42" s="675"/>
      <c r="I42" s="675"/>
      <c r="J42" s="142"/>
      <c r="K42" s="1332"/>
      <c r="L42" s="1698"/>
      <c r="M42" s="80"/>
      <c r="P42" s="2172">
        <f t="shared" si="3"/>
        <v>0</v>
      </c>
      <c r="Q42" s="2173"/>
      <c r="R42" s="2174"/>
      <c r="S42" s="2175">
        <f t="shared" si="0"/>
        <v>0</v>
      </c>
      <c r="T42" s="2173">
        <f t="shared" si="1"/>
        <v>0</v>
      </c>
      <c r="U42" s="2173">
        <f t="shared" si="2"/>
        <v>0</v>
      </c>
      <c r="V42" s="2173" t="str">
        <f t="shared" si="4"/>
        <v>"05217112-200"</v>
      </c>
      <c r="W42" s="2173"/>
      <c r="X42" s="2173"/>
      <c r="Y42" s="2173"/>
      <c r="Z42" s="2173"/>
      <c r="AA42" s="2173"/>
      <c r="AB42" s="2173" t="str">
        <f>IF(ISERROR(VLOOKUP(F42,[2]FlexSys_GMVDatenbak!$A$2:$C$3000,2,FALSE)),"nicht vorhanden+",IF(VLOOKUP(F42,[2]FlexSys_GMVDatenbak!$A$2:$C$3000,2,FALSE)=0,"nicht vorhanden",VLOOKUP(F42,[2]FlexSys_GMVDatenbak!$A$2:$C$3000,2,FALSE)))</f>
        <v>nicht vorhanden+</v>
      </c>
      <c r="AC42" s="2173" t="str">
        <f>IF(ISERROR(CONCATENATE("""",VLOOKUP(F42,[2]FlexSys_GMVDatenbak!$A$2:$C$3000,3,FALSE),"/","""",$D$5,"-",$G$5,"""/-",$G$5,"-",F42, "-" &amp;T42 &amp; "-" &amp;U42 &amp; ".GEO""")),"nicht vorhanden+",IF(VLOOKUP(F42,[2]FlexSys_GMVDatenbak!$A$2:$C$3000,3,FALSE)=0,"nicht vorhanden",CONCATENATE("""",VLOOKUP(F42,[2]FlexSys_GMVDatenbak!$A$2:$C$3000,3,FALSE),"/","""",$D$5,"-",$G$5,"""/-",$G$5,"-",F42, "-" &amp;T42 &amp; "-" &amp;U42 &amp; ".GEO""")))</f>
        <v>nicht vorhanden+</v>
      </c>
    </row>
    <row r="43" spans="2:29" s="65" customFormat="1" ht="21.75" customHeight="1" x14ac:dyDescent="0.25">
      <c r="B43" s="1324">
        <v>23</v>
      </c>
      <c r="C43" s="2708"/>
      <c r="D43" s="2709"/>
      <c r="E43" s="2710"/>
      <c r="F43" s="66"/>
      <c r="G43" s="150"/>
      <c r="H43" s="675"/>
      <c r="I43" s="675"/>
      <c r="J43" s="142"/>
      <c r="K43" s="1332"/>
      <c r="L43" s="1698"/>
      <c r="M43" s="80"/>
      <c r="P43" s="2172">
        <f t="shared" si="3"/>
        <v>0</v>
      </c>
      <c r="Q43" s="2173"/>
      <c r="R43" s="2174"/>
      <c r="S43" s="2175">
        <f t="shared" si="0"/>
        <v>0</v>
      </c>
      <c r="T43" s="2173">
        <f t="shared" si="1"/>
        <v>0</v>
      </c>
      <c r="U43" s="2173">
        <f t="shared" si="2"/>
        <v>0</v>
      </c>
      <c r="V43" s="2173" t="str">
        <f t="shared" si="4"/>
        <v>"05217112-200"</v>
      </c>
      <c r="W43" s="2173"/>
      <c r="X43" s="2173"/>
      <c r="Y43" s="2173"/>
      <c r="Z43" s="2173"/>
      <c r="AA43" s="2173"/>
      <c r="AB43" s="2173" t="str">
        <f>IF(ISERROR(VLOOKUP(F43,[2]FlexSys_GMVDatenbak!$A$2:$C$3000,2,FALSE)),"nicht vorhanden+",IF(VLOOKUP(F43,[2]FlexSys_GMVDatenbak!$A$2:$C$3000,2,FALSE)=0,"nicht vorhanden",VLOOKUP(F43,[2]FlexSys_GMVDatenbak!$A$2:$C$3000,2,FALSE)))</f>
        <v>nicht vorhanden+</v>
      </c>
      <c r="AC43" s="2173" t="str">
        <f>IF(ISERROR(CONCATENATE("""",VLOOKUP(F43,[2]FlexSys_GMVDatenbak!$A$2:$C$3000,3,FALSE),"/","""",$D$5,"-",$G$5,"""/-",$G$5,"-",F43, "-" &amp;T43 &amp; "-" &amp;U43 &amp; ".GEO""")),"nicht vorhanden+",IF(VLOOKUP(F43,[2]FlexSys_GMVDatenbak!$A$2:$C$3000,3,FALSE)=0,"nicht vorhanden",CONCATENATE("""",VLOOKUP(F43,[2]FlexSys_GMVDatenbak!$A$2:$C$3000,3,FALSE),"/","""",$D$5,"-",$G$5,"""/-",$G$5,"-",F43, "-" &amp;T43 &amp; "-" &amp;U43 &amp; ".GEO""")))</f>
        <v>nicht vorhanden+</v>
      </c>
    </row>
    <row r="44" spans="2:29" s="65" customFormat="1" ht="21.75" customHeight="1" x14ac:dyDescent="0.25">
      <c r="B44" s="1324">
        <v>24</v>
      </c>
      <c r="C44" s="2708"/>
      <c r="D44" s="2709"/>
      <c r="E44" s="2710"/>
      <c r="F44" s="66"/>
      <c r="G44" s="150"/>
      <c r="H44" s="675"/>
      <c r="I44" s="675"/>
      <c r="J44" s="142"/>
      <c r="K44" s="1332"/>
      <c r="L44" s="1698"/>
      <c r="M44" s="80"/>
      <c r="P44" s="2172">
        <f t="shared" si="3"/>
        <v>0</v>
      </c>
      <c r="Q44" s="2173"/>
      <c r="R44" s="2174"/>
      <c r="S44" s="2175">
        <f t="shared" si="0"/>
        <v>0</v>
      </c>
      <c r="T44" s="2173">
        <f t="shared" si="1"/>
        <v>0</v>
      </c>
      <c r="U44" s="2173">
        <f t="shared" si="2"/>
        <v>0</v>
      </c>
      <c r="V44" s="2173" t="str">
        <f t="shared" si="4"/>
        <v>"05217112-200"</v>
      </c>
      <c r="W44" s="2173"/>
      <c r="X44" s="2173"/>
      <c r="Y44" s="2173"/>
      <c r="Z44" s="2173"/>
      <c r="AA44" s="2173"/>
      <c r="AB44" s="2173" t="str">
        <f>IF(ISERROR(VLOOKUP(F44,[2]FlexSys_GMVDatenbak!$A$2:$C$3000,2,FALSE)),"nicht vorhanden+",IF(VLOOKUP(F44,[2]FlexSys_GMVDatenbak!$A$2:$C$3000,2,FALSE)=0,"nicht vorhanden",VLOOKUP(F44,[2]FlexSys_GMVDatenbak!$A$2:$C$3000,2,FALSE)))</f>
        <v>nicht vorhanden+</v>
      </c>
      <c r="AC44" s="2173" t="str">
        <f>IF(ISERROR(CONCATENATE("""",VLOOKUP(F44,[2]FlexSys_GMVDatenbak!$A$2:$C$3000,3,FALSE),"/","""",$D$5,"-",$G$5,"""/-",$G$5,"-",F44, "-" &amp;T44 &amp; "-" &amp;U44 &amp; ".GEO""")),"nicht vorhanden+",IF(VLOOKUP(F44,[2]FlexSys_GMVDatenbak!$A$2:$C$3000,3,FALSE)=0,"nicht vorhanden",CONCATENATE("""",VLOOKUP(F44,[2]FlexSys_GMVDatenbak!$A$2:$C$3000,3,FALSE),"/","""",$D$5,"-",$G$5,"""/-",$G$5,"-",F44, "-" &amp;T44 &amp; "-" &amp;U44 &amp; ".GEO""")))</f>
        <v>nicht vorhanden+</v>
      </c>
    </row>
    <row r="45" spans="2:29" s="65" customFormat="1" ht="21.75" customHeight="1" x14ac:dyDescent="0.25">
      <c r="B45" s="1324">
        <v>25</v>
      </c>
      <c r="C45" s="2708"/>
      <c r="D45" s="2709"/>
      <c r="E45" s="2710"/>
      <c r="F45" s="66"/>
      <c r="G45" s="150"/>
      <c r="H45" s="675"/>
      <c r="I45" s="675"/>
      <c r="J45" s="142"/>
      <c r="K45" s="1332"/>
      <c r="L45" s="1698"/>
      <c r="M45" s="80"/>
      <c r="P45" s="2172">
        <f t="shared" si="3"/>
        <v>0</v>
      </c>
      <c r="Q45" s="2173"/>
      <c r="R45" s="2174"/>
      <c r="S45" s="2175">
        <f t="shared" si="0"/>
        <v>0</v>
      </c>
      <c r="T45" s="2173">
        <f t="shared" si="1"/>
        <v>0</v>
      </c>
      <c r="U45" s="2173">
        <f t="shared" si="2"/>
        <v>0</v>
      </c>
      <c r="V45" s="2173" t="str">
        <f t="shared" si="4"/>
        <v>"05217112-200"</v>
      </c>
      <c r="W45" s="2173"/>
      <c r="X45" s="2173"/>
      <c r="Y45" s="2173"/>
      <c r="Z45" s="2173"/>
      <c r="AA45" s="2173"/>
      <c r="AB45" s="2173" t="str">
        <f>IF(ISERROR(VLOOKUP(F45,[2]FlexSys_GMVDatenbak!$A$2:$C$3000,2,FALSE)),"nicht vorhanden+",IF(VLOOKUP(F45,[2]FlexSys_GMVDatenbak!$A$2:$C$3000,2,FALSE)=0,"nicht vorhanden",VLOOKUP(F45,[2]FlexSys_GMVDatenbak!$A$2:$C$3000,2,FALSE)))</f>
        <v>nicht vorhanden+</v>
      </c>
      <c r="AC45" s="2173" t="str">
        <f>IF(ISERROR(CONCATENATE("""",VLOOKUP(F45,[2]FlexSys_GMVDatenbak!$A$2:$C$3000,3,FALSE),"/","""",$D$5,"-",$G$5,"""/-",$G$5,"-",F45, "-" &amp;T45 &amp; "-" &amp;U45 &amp; ".GEO""")),"nicht vorhanden+",IF(VLOOKUP(F45,[2]FlexSys_GMVDatenbak!$A$2:$C$3000,3,FALSE)=0,"nicht vorhanden",CONCATENATE("""",VLOOKUP(F45,[2]FlexSys_GMVDatenbak!$A$2:$C$3000,3,FALSE),"/","""",$D$5,"-",$G$5,"""/-",$G$5,"-",F45, "-" &amp;T45 &amp; "-" &amp;U45 &amp; ".GEO""")))</f>
        <v>nicht vorhanden+</v>
      </c>
    </row>
    <row r="46" spans="2:29" s="65" customFormat="1" ht="21.75" customHeight="1" x14ac:dyDescent="0.25">
      <c r="B46" s="1324">
        <v>26</v>
      </c>
      <c r="C46" s="2708"/>
      <c r="D46" s="2709"/>
      <c r="E46" s="2710"/>
      <c r="F46" s="66"/>
      <c r="G46" s="150"/>
      <c r="H46" s="675"/>
      <c r="I46" s="675"/>
      <c r="J46" s="142"/>
      <c r="K46" s="1332"/>
      <c r="L46" s="1698"/>
      <c r="M46" s="80"/>
      <c r="P46" s="2172">
        <f t="shared" si="3"/>
        <v>0</v>
      </c>
      <c r="Q46" s="2173"/>
      <c r="R46" s="2174"/>
      <c r="S46" s="2175">
        <f t="shared" si="0"/>
        <v>0</v>
      </c>
      <c r="T46" s="2173">
        <f t="shared" si="1"/>
        <v>0</v>
      </c>
      <c r="U46" s="2173">
        <f t="shared" si="2"/>
        <v>0</v>
      </c>
      <c r="V46" s="2173" t="str">
        <f t="shared" si="4"/>
        <v>"05217112-200"</v>
      </c>
      <c r="W46" s="2173"/>
      <c r="X46" s="2173"/>
      <c r="Y46" s="2173"/>
      <c r="Z46" s="2173"/>
      <c r="AA46" s="2173"/>
      <c r="AB46" s="2173" t="str">
        <f>IF(ISERROR(VLOOKUP(F46,[2]FlexSys_GMVDatenbak!$A$2:$C$3000,2,FALSE)),"nicht vorhanden+",IF(VLOOKUP(F46,[2]FlexSys_GMVDatenbak!$A$2:$C$3000,2,FALSE)=0,"nicht vorhanden",VLOOKUP(F46,[2]FlexSys_GMVDatenbak!$A$2:$C$3000,2,FALSE)))</f>
        <v>nicht vorhanden+</v>
      </c>
      <c r="AC46" s="2173" t="str">
        <f>IF(ISERROR(CONCATENATE("""",VLOOKUP(F46,[2]FlexSys_GMVDatenbak!$A$2:$C$3000,3,FALSE),"/","""",$D$5,"-",$G$5,"""/-",$G$5,"-",F46, "-" &amp;T46 &amp; "-" &amp;U46 &amp; ".GEO""")),"nicht vorhanden+",IF(VLOOKUP(F46,[2]FlexSys_GMVDatenbak!$A$2:$C$3000,3,FALSE)=0,"nicht vorhanden",CONCATENATE("""",VLOOKUP(F46,[2]FlexSys_GMVDatenbak!$A$2:$C$3000,3,FALSE),"/","""",$D$5,"-",$G$5,"""/-",$G$5,"-",F46, "-" &amp;T46 &amp; "-" &amp;U46 &amp; ".GEO""")))</f>
        <v>nicht vorhanden+</v>
      </c>
    </row>
    <row r="47" spans="2:29" s="65" customFormat="1" ht="21.75" customHeight="1" x14ac:dyDescent="0.25">
      <c r="B47" s="1324">
        <v>27</v>
      </c>
      <c r="C47" s="2708"/>
      <c r="D47" s="2709"/>
      <c r="E47" s="2710"/>
      <c r="F47" s="66"/>
      <c r="G47" s="150"/>
      <c r="H47" s="675"/>
      <c r="I47" s="675"/>
      <c r="J47" s="142"/>
      <c r="K47" s="1332"/>
      <c r="L47" s="1698"/>
      <c r="M47" s="80"/>
      <c r="P47" s="2172">
        <f t="shared" si="3"/>
        <v>0</v>
      </c>
      <c r="Q47" s="2173"/>
      <c r="R47" s="2174"/>
      <c r="S47" s="2175">
        <f t="shared" si="0"/>
        <v>0</v>
      </c>
      <c r="T47" s="2173">
        <f t="shared" si="1"/>
        <v>0</v>
      </c>
      <c r="U47" s="2173">
        <f t="shared" si="2"/>
        <v>0</v>
      </c>
      <c r="V47" s="2173" t="str">
        <f t="shared" si="4"/>
        <v>"05217112-200"</v>
      </c>
      <c r="W47" s="2173"/>
      <c r="X47" s="2173"/>
      <c r="Y47" s="2173"/>
      <c r="Z47" s="2173"/>
      <c r="AA47" s="2173"/>
      <c r="AB47" s="2173" t="str">
        <f>IF(ISERROR(VLOOKUP(F47,[2]FlexSys_GMVDatenbak!$A$2:$C$3000,2,FALSE)),"nicht vorhanden+",IF(VLOOKUP(F47,[2]FlexSys_GMVDatenbak!$A$2:$C$3000,2,FALSE)=0,"nicht vorhanden",VLOOKUP(F47,[2]FlexSys_GMVDatenbak!$A$2:$C$3000,2,FALSE)))</f>
        <v>nicht vorhanden+</v>
      </c>
      <c r="AC47" s="2173" t="str">
        <f>IF(ISERROR(CONCATENATE("""",VLOOKUP(F47,[2]FlexSys_GMVDatenbak!$A$2:$C$3000,3,FALSE),"/","""",$D$5,"-",$G$5,"""/-",$G$5,"-",F47, "-" &amp;T47 &amp; "-" &amp;U47 &amp; ".GEO""")),"nicht vorhanden+",IF(VLOOKUP(F47,[2]FlexSys_GMVDatenbak!$A$2:$C$3000,3,FALSE)=0,"nicht vorhanden",CONCATENATE("""",VLOOKUP(F47,[2]FlexSys_GMVDatenbak!$A$2:$C$3000,3,FALSE),"/","""",$D$5,"-",$G$5,"""/-",$G$5,"-",F47, "-" &amp;T47 &amp; "-" &amp;U47 &amp; ".GEO""")))</f>
        <v>nicht vorhanden+</v>
      </c>
    </row>
    <row r="48" spans="2:29" s="65" customFormat="1" ht="21.75" customHeight="1" x14ac:dyDescent="0.25">
      <c r="B48" s="1324">
        <v>28</v>
      </c>
      <c r="C48" s="2708"/>
      <c r="D48" s="2709"/>
      <c r="E48" s="2710"/>
      <c r="F48" s="66"/>
      <c r="G48" s="150"/>
      <c r="H48" s="675"/>
      <c r="I48" s="675"/>
      <c r="J48" s="142"/>
      <c r="K48" s="1332"/>
      <c r="L48" s="1698"/>
      <c r="M48" s="80"/>
      <c r="P48" s="2172">
        <f t="shared" si="3"/>
        <v>0</v>
      </c>
      <c r="Q48" s="2173"/>
      <c r="R48" s="2174"/>
      <c r="S48" s="2175">
        <f t="shared" si="0"/>
        <v>0</v>
      </c>
      <c r="T48" s="2173">
        <f t="shared" si="1"/>
        <v>0</v>
      </c>
      <c r="U48" s="2173">
        <f t="shared" si="2"/>
        <v>0</v>
      </c>
      <c r="V48" s="2173" t="str">
        <f t="shared" si="4"/>
        <v>"05217112-200"</v>
      </c>
      <c r="W48" s="2173"/>
      <c r="X48" s="2173"/>
      <c r="Y48" s="2173"/>
      <c r="Z48" s="2173"/>
      <c r="AA48" s="2173"/>
      <c r="AB48" s="2173" t="str">
        <f>IF(ISERROR(VLOOKUP(F48,[2]FlexSys_GMVDatenbak!$A$2:$C$3000,2,FALSE)),"nicht vorhanden+",IF(VLOOKUP(F48,[2]FlexSys_GMVDatenbak!$A$2:$C$3000,2,FALSE)=0,"nicht vorhanden",VLOOKUP(F48,[2]FlexSys_GMVDatenbak!$A$2:$C$3000,2,FALSE)))</f>
        <v>nicht vorhanden+</v>
      </c>
      <c r="AC48" s="2173" t="str">
        <f>IF(ISERROR(CONCATENATE("""",VLOOKUP(F48,[2]FlexSys_GMVDatenbak!$A$2:$C$3000,3,FALSE),"/","""",$D$5,"-",$G$5,"""/-",$G$5,"-",F48, "-" &amp;T48 &amp; "-" &amp;U48 &amp; ".GEO""")),"nicht vorhanden+",IF(VLOOKUP(F48,[2]FlexSys_GMVDatenbak!$A$2:$C$3000,3,FALSE)=0,"nicht vorhanden",CONCATENATE("""",VLOOKUP(F48,[2]FlexSys_GMVDatenbak!$A$2:$C$3000,3,FALSE),"/","""",$D$5,"-",$G$5,"""/-",$G$5,"-",F48, "-" &amp;T48 &amp; "-" &amp;U48 &amp; ".GEO""")))</f>
        <v>nicht vorhanden+</v>
      </c>
    </row>
    <row r="49" spans="2:29" s="65" customFormat="1" ht="21.75" customHeight="1" x14ac:dyDescent="0.25">
      <c r="B49" s="1324">
        <v>29</v>
      </c>
      <c r="C49" s="2708"/>
      <c r="D49" s="2709"/>
      <c r="E49" s="2710"/>
      <c r="F49" s="66"/>
      <c r="G49" s="150"/>
      <c r="H49" s="675"/>
      <c r="I49" s="675"/>
      <c r="J49" s="142"/>
      <c r="K49" s="1332"/>
      <c r="L49" s="1698"/>
      <c r="M49" s="80"/>
      <c r="P49" s="2172">
        <f t="shared" si="3"/>
        <v>0</v>
      </c>
      <c r="Q49" s="2173"/>
      <c r="R49" s="2174"/>
      <c r="S49" s="2175">
        <f t="shared" si="0"/>
        <v>0</v>
      </c>
      <c r="T49" s="2173">
        <f t="shared" si="1"/>
        <v>0</v>
      </c>
      <c r="U49" s="2173">
        <f t="shared" si="2"/>
        <v>0</v>
      </c>
      <c r="V49" s="2173" t="str">
        <f t="shared" si="4"/>
        <v>"05217112-200"</v>
      </c>
      <c r="W49" s="2173"/>
      <c r="X49" s="2173"/>
      <c r="Y49" s="2173"/>
      <c r="Z49" s="2173"/>
      <c r="AA49" s="2173"/>
      <c r="AB49" s="2173" t="str">
        <f>IF(ISERROR(VLOOKUP(F49,[2]FlexSys_GMVDatenbak!$A$2:$C$3000,2,FALSE)),"nicht vorhanden+",IF(VLOOKUP(F49,[2]FlexSys_GMVDatenbak!$A$2:$C$3000,2,FALSE)=0,"nicht vorhanden",VLOOKUP(F49,[2]FlexSys_GMVDatenbak!$A$2:$C$3000,2,FALSE)))</f>
        <v>nicht vorhanden+</v>
      </c>
      <c r="AC49" s="2173" t="str">
        <f>IF(ISERROR(CONCATENATE("""",VLOOKUP(F49,[2]FlexSys_GMVDatenbak!$A$2:$C$3000,3,FALSE),"/","""",$D$5,"-",$G$5,"""/-",$G$5,"-",F49, "-" &amp;T49 &amp; "-" &amp;U49 &amp; ".GEO""")),"nicht vorhanden+",IF(VLOOKUP(F49,[2]FlexSys_GMVDatenbak!$A$2:$C$3000,3,FALSE)=0,"nicht vorhanden",CONCATENATE("""",VLOOKUP(F49,[2]FlexSys_GMVDatenbak!$A$2:$C$3000,3,FALSE),"/","""",$D$5,"-",$G$5,"""/-",$G$5,"-",F49, "-" &amp;T49 &amp; "-" &amp;U49 &amp; ".GEO""")))</f>
        <v>nicht vorhanden+</v>
      </c>
    </row>
    <row r="50" spans="2:29" s="65" customFormat="1" ht="21.75" customHeight="1" x14ac:dyDescent="0.25">
      <c r="B50" s="1324">
        <v>30</v>
      </c>
      <c r="C50" s="2708"/>
      <c r="D50" s="2709"/>
      <c r="E50" s="2710"/>
      <c r="F50" s="66"/>
      <c r="G50" s="150"/>
      <c r="H50" s="675"/>
      <c r="I50" s="675"/>
      <c r="J50" s="142"/>
      <c r="K50" s="1332"/>
      <c r="L50" s="1698"/>
      <c r="M50" s="80"/>
      <c r="P50" s="2172">
        <f t="shared" si="3"/>
        <v>0</v>
      </c>
      <c r="Q50" s="2173"/>
      <c r="R50" s="2174"/>
      <c r="S50" s="2175">
        <f t="shared" si="0"/>
        <v>0</v>
      </c>
      <c r="T50" s="2173">
        <f t="shared" si="1"/>
        <v>0</v>
      </c>
      <c r="U50" s="2173">
        <f t="shared" si="2"/>
        <v>0</v>
      </c>
      <c r="V50" s="2173" t="str">
        <f t="shared" si="4"/>
        <v>"05217112-200"</v>
      </c>
      <c r="W50" s="2173"/>
      <c r="X50" s="2173"/>
      <c r="Y50" s="2173"/>
      <c r="Z50" s="2173"/>
      <c r="AA50" s="2173"/>
      <c r="AB50" s="2173" t="str">
        <f>IF(ISERROR(VLOOKUP(F50,[2]FlexSys_GMVDatenbak!$A$2:$C$3000,2,FALSE)),"nicht vorhanden+",IF(VLOOKUP(F50,[2]FlexSys_GMVDatenbak!$A$2:$C$3000,2,FALSE)=0,"nicht vorhanden",VLOOKUP(F50,[2]FlexSys_GMVDatenbak!$A$2:$C$3000,2,FALSE)))</f>
        <v>nicht vorhanden+</v>
      </c>
      <c r="AC50" s="2173" t="str">
        <f>IF(ISERROR(CONCATENATE("""",VLOOKUP(F50,[2]FlexSys_GMVDatenbak!$A$2:$C$3000,3,FALSE),"/","""",$D$5,"-",$G$5,"""/-",$G$5,"-",F50, "-" &amp;T50 &amp; "-" &amp;U50 &amp; ".GEO""")),"nicht vorhanden+",IF(VLOOKUP(F50,[2]FlexSys_GMVDatenbak!$A$2:$C$3000,3,FALSE)=0,"nicht vorhanden",CONCATENATE("""",VLOOKUP(F50,[2]FlexSys_GMVDatenbak!$A$2:$C$3000,3,FALSE),"/","""",$D$5,"-",$G$5,"""/-",$G$5,"-",F50, "-" &amp;T50 &amp; "-" &amp;U50 &amp; ".GEO""")))</f>
        <v>nicht vorhanden+</v>
      </c>
    </row>
    <row r="51" spans="2:29" s="65" customFormat="1" ht="21.75" customHeight="1" x14ac:dyDescent="0.25">
      <c r="B51" s="1324">
        <v>31</v>
      </c>
      <c r="C51" s="2708"/>
      <c r="D51" s="2709"/>
      <c r="E51" s="2710"/>
      <c r="F51" s="66"/>
      <c r="G51" s="150"/>
      <c r="H51" s="675"/>
      <c r="I51" s="675"/>
      <c r="J51" s="142"/>
      <c r="K51" s="1332"/>
      <c r="L51" s="1698"/>
      <c r="M51" s="80"/>
      <c r="P51" s="2172">
        <f t="shared" si="3"/>
        <v>0</v>
      </c>
      <c r="Q51" s="2173"/>
      <c r="R51" s="2174"/>
      <c r="S51" s="2175">
        <f t="shared" si="0"/>
        <v>0</v>
      </c>
      <c r="T51" s="2173">
        <f t="shared" si="1"/>
        <v>0</v>
      </c>
      <c r="U51" s="2173">
        <f t="shared" si="2"/>
        <v>0</v>
      </c>
      <c r="V51" s="2173" t="str">
        <f t="shared" si="4"/>
        <v>"05217112-200"</v>
      </c>
      <c r="W51" s="2173"/>
      <c r="X51" s="2173"/>
      <c r="Y51" s="2173"/>
      <c r="Z51" s="2173"/>
      <c r="AA51" s="2173"/>
      <c r="AB51" s="2173" t="str">
        <f>IF(ISERROR(VLOOKUP(F51,[2]FlexSys_GMVDatenbak!$A$2:$C$3000,2,FALSE)),"nicht vorhanden+",IF(VLOOKUP(F51,[2]FlexSys_GMVDatenbak!$A$2:$C$3000,2,FALSE)=0,"nicht vorhanden",VLOOKUP(F51,[2]FlexSys_GMVDatenbak!$A$2:$C$3000,2,FALSE)))</f>
        <v>nicht vorhanden+</v>
      </c>
      <c r="AC51" s="2173" t="str">
        <f>IF(ISERROR(CONCATENATE("""",VLOOKUP(F51,[2]FlexSys_GMVDatenbak!$A$2:$C$3000,3,FALSE),"/","""",$D$5,"-",$G$5,"""/-",$G$5,"-",F51, "-" &amp;T51 &amp; "-" &amp;U51 &amp; ".GEO""")),"nicht vorhanden+",IF(VLOOKUP(F51,[2]FlexSys_GMVDatenbak!$A$2:$C$3000,3,FALSE)=0,"nicht vorhanden",CONCATENATE("""",VLOOKUP(F51,[2]FlexSys_GMVDatenbak!$A$2:$C$3000,3,FALSE),"/","""",$D$5,"-",$G$5,"""/-",$G$5,"-",F51, "-" &amp;T51 &amp; "-" &amp;U51 &amp; ".GEO""")))</f>
        <v>nicht vorhanden+</v>
      </c>
    </row>
    <row r="52" spans="2:29" s="65" customFormat="1" ht="21.75" customHeight="1" x14ac:dyDescent="0.25">
      <c r="B52" s="1324">
        <v>32</v>
      </c>
      <c r="C52" s="2708"/>
      <c r="D52" s="2709"/>
      <c r="E52" s="2710"/>
      <c r="F52" s="66"/>
      <c r="G52" s="150"/>
      <c r="H52" s="675"/>
      <c r="I52" s="675"/>
      <c r="J52" s="142"/>
      <c r="K52" s="1332"/>
      <c r="L52" s="1698"/>
      <c r="M52" s="80"/>
      <c r="P52" s="2172">
        <f t="shared" si="3"/>
        <v>0</v>
      </c>
      <c r="Q52" s="2173"/>
      <c r="R52" s="2174"/>
      <c r="S52" s="2175">
        <f t="shared" si="0"/>
        <v>0</v>
      </c>
      <c r="T52" s="2173">
        <f t="shared" si="1"/>
        <v>0</v>
      </c>
      <c r="U52" s="2173">
        <f t="shared" si="2"/>
        <v>0</v>
      </c>
      <c r="V52" s="2173" t="str">
        <f>CONCATENATE("""",$D$5,"-",$G$5,"""")</f>
        <v>"05217112-200"</v>
      </c>
      <c r="W52" s="2173"/>
      <c r="X52" s="2173"/>
      <c r="Y52" s="2173"/>
      <c r="Z52" s="2173"/>
      <c r="AA52" s="2173"/>
      <c r="AB52" s="2173" t="str">
        <f>IF(ISERROR(VLOOKUP(F52,[2]FlexSys_GMVDatenbak!$A$2:$C$3000,2,FALSE)),"nicht vorhanden+",IF(VLOOKUP(F52,[2]FlexSys_GMVDatenbak!$A$2:$C$3000,2,FALSE)=0,"nicht vorhanden",VLOOKUP(F52,[2]FlexSys_GMVDatenbak!$A$2:$C$3000,2,FALSE)))</f>
        <v>nicht vorhanden+</v>
      </c>
      <c r="AC52" s="2173" t="str">
        <f>IF(ISERROR(CONCATENATE("""",VLOOKUP(F52,[2]FlexSys_GMVDatenbak!$A$2:$C$3000,3,FALSE),"/","""",$D$5,"-",$G$5,"""/-",$G$5,"-",F52, "-" &amp;T52 &amp; "-" &amp;U52 &amp; ".GEO""")),"nicht vorhanden+",IF(VLOOKUP(F52,[2]FlexSys_GMVDatenbak!$A$2:$C$3000,3,FALSE)=0,"nicht vorhanden",CONCATENATE("""",VLOOKUP(F52,[2]FlexSys_GMVDatenbak!$A$2:$C$3000,3,FALSE),"/","""",$D$5,"-",$G$5,"""/-",$G$5,"-",F52, "-" &amp;T52 &amp; "-" &amp;U52 &amp; ".GEO""")))</f>
        <v>nicht vorhanden+</v>
      </c>
    </row>
    <row r="53" spans="2:29" s="65" customFormat="1" ht="21.75" customHeight="1" x14ac:dyDescent="0.25">
      <c r="B53" s="1324">
        <v>33</v>
      </c>
      <c r="C53" s="2708"/>
      <c r="D53" s="2709"/>
      <c r="E53" s="2710"/>
      <c r="F53" s="66"/>
      <c r="G53" s="150"/>
      <c r="H53" s="675"/>
      <c r="I53" s="675"/>
      <c r="J53" s="142"/>
      <c r="K53" s="1332"/>
      <c r="L53" s="1698"/>
      <c r="M53" s="80"/>
      <c r="P53" s="2172">
        <f t="shared" si="3"/>
        <v>0</v>
      </c>
      <c r="Q53" s="2173"/>
      <c r="R53" s="2174"/>
      <c r="S53" s="2175">
        <f t="shared" si="0"/>
        <v>0</v>
      </c>
      <c r="T53" s="2173">
        <f t="shared" si="1"/>
        <v>0</v>
      </c>
      <c r="U53" s="2173">
        <f t="shared" si="2"/>
        <v>0</v>
      </c>
      <c r="V53" s="2173" t="str">
        <f t="shared" si="4"/>
        <v>"05217112-200"</v>
      </c>
      <c r="W53" s="2173"/>
      <c r="X53" s="2173"/>
      <c r="Y53" s="2173"/>
      <c r="Z53" s="2173"/>
      <c r="AA53" s="2173"/>
      <c r="AB53" s="2173" t="str">
        <f>IF(ISERROR(VLOOKUP(F53,[2]FlexSys_GMVDatenbak!$A$2:$C$3000,2,FALSE)),"nicht vorhanden+",IF(VLOOKUP(F53,[2]FlexSys_GMVDatenbak!$A$2:$C$3000,2,FALSE)=0,"nicht vorhanden",VLOOKUP(F53,[2]FlexSys_GMVDatenbak!$A$2:$C$3000,2,FALSE)))</f>
        <v>nicht vorhanden+</v>
      </c>
      <c r="AC53" s="2173" t="str">
        <f>IF(ISERROR(CONCATENATE("""",VLOOKUP(F53,[2]FlexSys_GMVDatenbak!$A$2:$C$3000,3,FALSE),"/","""",$D$5,"-",$G$5,"""/-",$G$5,"-",F53, "-" &amp;T53 &amp; "-" &amp;U53 &amp; ".GEO""")),"nicht vorhanden+",IF(VLOOKUP(F53,[2]FlexSys_GMVDatenbak!$A$2:$C$3000,3,FALSE)=0,"nicht vorhanden",CONCATENATE("""",VLOOKUP(F53,[2]FlexSys_GMVDatenbak!$A$2:$C$3000,3,FALSE),"/","""",$D$5,"-",$G$5,"""/-",$G$5,"-",F53, "-" &amp;T53 &amp; "-" &amp;U53 &amp; ".GEO""")))</f>
        <v>nicht vorhanden+</v>
      </c>
    </row>
    <row r="54" spans="2:29" s="65" customFormat="1" ht="21.75" customHeight="1" x14ac:dyDescent="0.25">
      <c r="B54" s="1324">
        <v>34</v>
      </c>
      <c r="C54" s="2708"/>
      <c r="D54" s="2709"/>
      <c r="E54" s="2710"/>
      <c r="F54" s="66"/>
      <c r="G54" s="150"/>
      <c r="H54" s="675"/>
      <c r="I54" s="675"/>
      <c r="J54" s="142"/>
      <c r="K54" s="1332"/>
      <c r="L54" s="1698"/>
      <c r="M54" s="80"/>
      <c r="P54" s="2172">
        <f t="shared" si="3"/>
        <v>0</v>
      </c>
      <c r="Q54" s="2173"/>
      <c r="R54" s="2174"/>
      <c r="S54" s="2175">
        <f t="shared" si="0"/>
        <v>0</v>
      </c>
      <c r="T54" s="2173">
        <f t="shared" si="1"/>
        <v>0</v>
      </c>
      <c r="U54" s="2173">
        <f t="shared" si="2"/>
        <v>0</v>
      </c>
      <c r="V54" s="2173" t="str">
        <f t="shared" si="4"/>
        <v>"05217112-200"</v>
      </c>
      <c r="W54" s="2173"/>
      <c r="X54" s="2173"/>
      <c r="Y54" s="2173"/>
      <c r="Z54" s="2173"/>
      <c r="AA54" s="2173"/>
      <c r="AB54" s="2173" t="str">
        <f>IF(ISERROR(VLOOKUP(F54,[2]FlexSys_GMVDatenbak!$A$2:$C$3000,2,FALSE)),"nicht vorhanden+",IF(VLOOKUP(F54,[2]FlexSys_GMVDatenbak!$A$2:$C$3000,2,FALSE)=0,"nicht vorhanden",VLOOKUP(F54,[2]FlexSys_GMVDatenbak!$A$2:$C$3000,2,FALSE)))</f>
        <v>nicht vorhanden+</v>
      </c>
      <c r="AC54" s="2173" t="str">
        <f>IF(ISERROR(CONCATENATE("""",VLOOKUP(F54,[2]FlexSys_GMVDatenbak!$A$2:$C$3000,3,FALSE),"/","""",$D$5,"-",$G$5,"""/-",$G$5,"-",F54, "-" &amp;T54 &amp; "-" &amp;U54 &amp; ".GEO""")),"nicht vorhanden+",IF(VLOOKUP(F54,[2]FlexSys_GMVDatenbak!$A$2:$C$3000,3,FALSE)=0,"nicht vorhanden",CONCATENATE("""",VLOOKUP(F54,[2]FlexSys_GMVDatenbak!$A$2:$C$3000,3,FALSE),"/","""",$D$5,"-",$G$5,"""/-",$G$5,"-",F54, "-" &amp;T54 &amp; "-" &amp;U54 &amp; ".GEO""")))</f>
        <v>nicht vorhanden+</v>
      </c>
    </row>
    <row r="55" spans="2:29" s="65" customFormat="1" ht="21.75" customHeight="1" x14ac:dyDescent="0.25">
      <c r="B55" s="1324">
        <v>35</v>
      </c>
      <c r="C55" s="2708"/>
      <c r="D55" s="2709"/>
      <c r="E55" s="2710"/>
      <c r="F55" s="66"/>
      <c r="G55" s="150"/>
      <c r="H55" s="675"/>
      <c r="I55" s="675"/>
      <c r="J55" s="142"/>
      <c r="K55" s="1332"/>
      <c r="L55" s="1698"/>
      <c r="M55" s="80"/>
      <c r="P55" s="2172">
        <f t="shared" si="3"/>
        <v>0</v>
      </c>
      <c r="Q55" s="2173"/>
      <c r="R55" s="2174"/>
      <c r="S55" s="2175">
        <f t="shared" si="0"/>
        <v>0</v>
      </c>
      <c r="T55" s="2173">
        <f t="shared" si="1"/>
        <v>0</v>
      </c>
      <c r="U55" s="2173">
        <f t="shared" si="2"/>
        <v>0</v>
      </c>
      <c r="V55" s="2173" t="str">
        <f t="shared" si="4"/>
        <v>"05217112-200"</v>
      </c>
      <c r="W55" s="2173"/>
      <c r="X55" s="2173"/>
      <c r="Y55" s="2173"/>
      <c r="Z55" s="2173"/>
      <c r="AA55" s="2173"/>
      <c r="AB55" s="2173" t="str">
        <f>IF(ISERROR(VLOOKUP(F55,[2]FlexSys_GMVDatenbak!$A$2:$C$3000,2,FALSE)),"nicht vorhanden+",IF(VLOOKUP(F55,[2]FlexSys_GMVDatenbak!$A$2:$C$3000,2,FALSE)=0,"nicht vorhanden",VLOOKUP(F55,[2]FlexSys_GMVDatenbak!$A$2:$C$3000,2,FALSE)))</f>
        <v>nicht vorhanden+</v>
      </c>
      <c r="AC55" s="2173" t="str">
        <f>IF(ISERROR(CONCATENATE("""",VLOOKUP(F55,[2]FlexSys_GMVDatenbak!$A$2:$C$3000,3,FALSE),"/","""",$D$5,"-",$G$5,"""/-",$G$5,"-",F55, "-" &amp;T55 &amp; "-" &amp;U55 &amp; ".GEO""")),"nicht vorhanden+",IF(VLOOKUP(F55,[2]FlexSys_GMVDatenbak!$A$2:$C$3000,3,FALSE)=0,"nicht vorhanden",CONCATENATE("""",VLOOKUP(F55,[2]FlexSys_GMVDatenbak!$A$2:$C$3000,3,FALSE),"/","""",$D$5,"-",$G$5,"""/-",$G$5,"-",F55, "-" &amp;T55 &amp; "-" &amp;U55 &amp; ".GEO""")))</f>
        <v>nicht vorhanden+</v>
      </c>
    </row>
    <row r="56" spans="2:29" s="65" customFormat="1" ht="21.75" customHeight="1" x14ac:dyDescent="0.25">
      <c r="B56" s="1324">
        <v>36</v>
      </c>
      <c r="C56" s="2708"/>
      <c r="D56" s="2709"/>
      <c r="E56" s="2710"/>
      <c r="F56" s="66"/>
      <c r="G56" s="150"/>
      <c r="H56" s="675"/>
      <c r="I56" s="675"/>
      <c r="J56" s="142"/>
      <c r="K56" s="1332"/>
      <c r="L56" s="1698"/>
      <c r="M56" s="80"/>
      <c r="P56" s="2172">
        <f t="shared" si="3"/>
        <v>0</v>
      </c>
      <c r="Q56" s="2173"/>
      <c r="R56" s="2174"/>
      <c r="S56" s="2175">
        <f t="shared" si="0"/>
        <v>0</v>
      </c>
      <c r="T56" s="2173">
        <f t="shared" si="1"/>
        <v>0</v>
      </c>
      <c r="U56" s="2173">
        <f t="shared" si="2"/>
        <v>0</v>
      </c>
      <c r="V56" s="2173" t="str">
        <f t="shared" si="4"/>
        <v>"05217112-200"</v>
      </c>
      <c r="W56" s="2173"/>
      <c r="X56" s="2173"/>
      <c r="Y56" s="2173"/>
      <c r="Z56" s="2173"/>
      <c r="AA56" s="2173"/>
      <c r="AB56" s="2173" t="str">
        <f>IF(ISERROR(VLOOKUP(F56,[2]FlexSys_GMVDatenbak!$A$2:$C$3000,2,FALSE)),"nicht vorhanden+",IF(VLOOKUP(F56,[2]FlexSys_GMVDatenbak!$A$2:$C$3000,2,FALSE)=0,"nicht vorhanden",VLOOKUP(F56,[2]FlexSys_GMVDatenbak!$A$2:$C$3000,2,FALSE)))</f>
        <v>nicht vorhanden+</v>
      </c>
      <c r="AC56" s="2173" t="str">
        <f>IF(ISERROR(CONCATENATE("""",VLOOKUP(F56,[2]FlexSys_GMVDatenbak!$A$2:$C$3000,3,FALSE),"/","""",$D$5,"-",$G$5,"""/-",$G$5,"-",F56, "-" &amp;T56 &amp; "-" &amp;U56 &amp; ".GEO""")),"nicht vorhanden+",IF(VLOOKUP(F56,[2]FlexSys_GMVDatenbak!$A$2:$C$3000,3,FALSE)=0,"nicht vorhanden",CONCATENATE("""",VLOOKUP(F56,[2]FlexSys_GMVDatenbak!$A$2:$C$3000,3,FALSE),"/","""",$D$5,"-",$G$5,"""/-",$G$5,"-",F56, "-" &amp;T56 &amp; "-" &amp;U56 &amp; ".GEO""")))</f>
        <v>nicht vorhanden+</v>
      </c>
    </row>
    <row r="57" spans="2:29" s="65" customFormat="1" ht="21.75" customHeight="1" x14ac:dyDescent="0.25">
      <c r="B57" s="1324">
        <v>37</v>
      </c>
      <c r="C57" s="2708"/>
      <c r="D57" s="2709"/>
      <c r="E57" s="2710"/>
      <c r="F57" s="66"/>
      <c r="G57" s="150"/>
      <c r="H57" s="675"/>
      <c r="I57" s="675"/>
      <c r="J57" s="142"/>
      <c r="K57" s="1332"/>
      <c r="L57" s="1698"/>
      <c r="M57" s="80"/>
      <c r="P57" s="2172">
        <f t="shared" si="3"/>
        <v>0</v>
      </c>
      <c r="Q57" s="2173"/>
      <c r="R57" s="2174"/>
      <c r="S57" s="2175">
        <f t="shared" si="0"/>
        <v>0</v>
      </c>
      <c r="T57" s="2173">
        <f t="shared" si="1"/>
        <v>0</v>
      </c>
      <c r="U57" s="2173">
        <f t="shared" si="2"/>
        <v>0</v>
      </c>
      <c r="V57" s="2173" t="str">
        <f t="shared" si="4"/>
        <v>"05217112-200"</v>
      </c>
      <c r="W57" s="2173"/>
      <c r="X57" s="2173"/>
      <c r="Y57" s="2173"/>
      <c r="Z57" s="2173"/>
      <c r="AA57" s="2173"/>
      <c r="AB57" s="2173" t="str">
        <f>IF(ISERROR(VLOOKUP(F57,[2]FlexSys_GMVDatenbak!$A$2:$C$3000,2,FALSE)),"nicht vorhanden+",IF(VLOOKUP(F57,[2]FlexSys_GMVDatenbak!$A$2:$C$3000,2,FALSE)=0,"nicht vorhanden",VLOOKUP(F57,[2]FlexSys_GMVDatenbak!$A$2:$C$3000,2,FALSE)))</f>
        <v>nicht vorhanden+</v>
      </c>
      <c r="AC57" s="2173" t="str">
        <f>IF(ISERROR(CONCATENATE("""",VLOOKUP(F57,[2]FlexSys_GMVDatenbak!$A$2:$C$3000,3,FALSE),"/","""",$D$5,"-",$G$5,"""/-",$G$5,"-",F57, "-" &amp;T57 &amp; "-" &amp;U57 &amp; ".GEO""")),"nicht vorhanden+",IF(VLOOKUP(F57,[2]FlexSys_GMVDatenbak!$A$2:$C$3000,3,FALSE)=0,"nicht vorhanden",CONCATENATE("""",VLOOKUP(F57,[2]FlexSys_GMVDatenbak!$A$2:$C$3000,3,FALSE),"/","""",$D$5,"-",$G$5,"""/-",$G$5,"-",F57, "-" &amp;T57 &amp; "-" &amp;U57 &amp; ".GEO""")))</f>
        <v>nicht vorhanden+</v>
      </c>
    </row>
    <row r="58" spans="2:29" s="65" customFormat="1" ht="21.75" customHeight="1" x14ac:dyDescent="0.25">
      <c r="B58" s="1324">
        <v>38</v>
      </c>
      <c r="C58" s="2970"/>
      <c r="D58" s="2971"/>
      <c r="E58" s="2971"/>
      <c r="F58" s="66"/>
      <c r="G58" s="150"/>
      <c r="H58" s="675"/>
      <c r="I58" s="675"/>
      <c r="J58" s="142"/>
      <c r="K58" s="1332"/>
      <c r="L58" s="1698"/>
      <c r="M58" s="80"/>
      <c r="P58" s="2172">
        <f t="shared" si="3"/>
        <v>0</v>
      </c>
      <c r="Q58" s="2173"/>
      <c r="R58" s="2174"/>
      <c r="S58" s="2175">
        <f t="shared" si="0"/>
        <v>0</v>
      </c>
      <c r="T58" s="2173">
        <f t="shared" si="1"/>
        <v>0</v>
      </c>
      <c r="U58" s="2173">
        <f t="shared" si="2"/>
        <v>0</v>
      </c>
      <c r="V58" s="2173" t="str">
        <f t="shared" si="4"/>
        <v>"05217112-200"</v>
      </c>
      <c r="W58" s="2173"/>
      <c r="X58" s="2173"/>
      <c r="Y58" s="2173"/>
      <c r="Z58" s="2173"/>
      <c r="AA58" s="2173"/>
      <c r="AB58" s="2173" t="str">
        <f>IF(ISERROR(VLOOKUP(F58,[2]FlexSys_GMVDatenbak!$A$2:$C$3000,2,FALSE)),"nicht vorhanden+",IF(VLOOKUP(F58,[2]FlexSys_GMVDatenbak!$A$2:$C$3000,2,FALSE)=0,"nicht vorhanden",VLOOKUP(F58,[2]FlexSys_GMVDatenbak!$A$2:$C$3000,2,FALSE)))</f>
        <v>nicht vorhanden+</v>
      </c>
      <c r="AC58" s="2173" t="str">
        <f>IF(ISERROR(CONCATENATE("""",VLOOKUP(F58,[2]FlexSys_GMVDatenbak!$A$2:$C$3000,3,FALSE),"/","""",$D$5,"-",$G$5,"""/-",$G$5,"-",F58, "-" &amp;T58 &amp; "-" &amp;U58 &amp; ".GEO""")),"nicht vorhanden+",IF(VLOOKUP(F58,[2]FlexSys_GMVDatenbak!$A$2:$C$3000,3,FALSE)=0,"nicht vorhanden",CONCATENATE("""",VLOOKUP(F58,[2]FlexSys_GMVDatenbak!$A$2:$C$3000,3,FALSE),"/","""",$D$5,"-",$G$5,"""/-",$G$5,"-",F58, "-" &amp;T58 &amp; "-" &amp;U58 &amp; ".GEO""")))</f>
        <v>nicht vorhanden+</v>
      </c>
    </row>
    <row r="59" spans="2:29" s="65" customFormat="1" ht="21.75" customHeight="1" x14ac:dyDescent="0.25">
      <c r="B59" s="1324">
        <v>39</v>
      </c>
      <c r="C59" s="2970"/>
      <c r="D59" s="2971"/>
      <c r="E59" s="2971"/>
      <c r="F59" s="66"/>
      <c r="G59" s="150"/>
      <c r="H59" s="675"/>
      <c r="I59" s="675"/>
      <c r="J59" s="142"/>
      <c r="K59" s="1332"/>
      <c r="L59" s="1698"/>
      <c r="M59" s="80"/>
      <c r="P59" s="2172">
        <f t="shared" si="3"/>
        <v>0</v>
      </c>
      <c r="Q59" s="2173"/>
      <c r="R59" s="2174"/>
      <c r="S59" s="2175">
        <f t="shared" si="0"/>
        <v>0</v>
      </c>
      <c r="T59" s="2173">
        <f t="shared" si="1"/>
        <v>0</v>
      </c>
      <c r="U59" s="2173">
        <f t="shared" si="2"/>
        <v>0</v>
      </c>
      <c r="V59" s="2173" t="str">
        <f t="shared" si="4"/>
        <v>"05217112-200"</v>
      </c>
      <c r="W59" s="2173"/>
      <c r="X59" s="2173"/>
      <c r="Y59" s="2173"/>
      <c r="Z59" s="2173"/>
      <c r="AA59" s="2173"/>
      <c r="AB59" s="2173" t="str">
        <f>IF(ISERROR(VLOOKUP(F59,[2]FlexSys_GMVDatenbak!$A$2:$C$3000,2,FALSE)),"nicht vorhanden+",IF(VLOOKUP(F59,[2]FlexSys_GMVDatenbak!$A$2:$C$3000,2,FALSE)=0,"nicht vorhanden",VLOOKUP(F59,[2]FlexSys_GMVDatenbak!$A$2:$C$3000,2,FALSE)))</f>
        <v>nicht vorhanden+</v>
      </c>
      <c r="AC59" s="2173" t="str">
        <f>IF(ISERROR(CONCATENATE("""",VLOOKUP(F59,[2]FlexSys_GMVDatenbak!$A$2:$C$3000,3,FALSE),"/","""",$D$5,"-",$G$5,"""/-",$G$5,"-",F59, "-" &amp;T59 &amp; "-" &amp;U59 &amp; ".GEO""")),"nicht vorhanden+",IF(VLOOKUP(F59,[2]FlexSys_GMVDatenbak!$A$2:$C$3000,3,FALSE)=0,"nicht vorhanden",CONCATENATE("""",VLOOKUP(F59,[2]FlexSys_GMVDatenbak!$A$2:$C$3000,3,FALSE),"/","""",$D$5,"-",$G$5,"""/-",$G$5,"-",F59, "-" &amp;T59 &amp; "-" &amp;U59 &amp; ".GEO""")))</f>
        <v>nicht vorhanden+</v>
      </c>
    </row>
    <row r="60" spans="2:29" s="20" customFormat="1" ht="21.75" customHeight="1" x14ac:dyDescent="0.25">
      <c r="B60" s="1324">
        <v>40</v>
      </c>
      <c r="C60" s="2711"/>
      <c r="D60" s="2712"/>
      <c r="E60" s="2712"/>
      <c r="F60" s="66"/>
      <c r="G60" s="150"/>
      <c r="H60" s="675"/>
      <c r="I60" s="675"/>
      <c r="J60" s="142"/>
      <c r="K60" s="1332"/>
      <c r="L60" s="1698"/>
      <c r="M60" s="80"/>
    </row>
    <row r="61" spans="2:29" s="20" customFormat="1" ht="21.75" customHeight="1" x14ac:dyDescent="0.25">
      <c r="B61" s="1324">
        <v>41</v>
      </c>
      <c r="C61" s="2711"/>
      <c r="D61" s="2712"/>
      <c r="E61" s="2712"/>
      <c r="F61" s="66"/>
      <c r="G61" s="150"/>
      <c r="H61" s="675"/>
      <c r="I61" s="675"/>
      <c r="J61" s="142"/>
      <c r="K61" s="1332"/>
      <c r="L61" s="1698"/>
      <c r="M61" s="80"/>
    </row>
    <row r="62" spans="2:29" s="20" customFormat="1" ht="21.75" customHeight="1" x14ac:dyDescent="0.25">
      <c r="B62" s="1324">
        <v>42</v>
      </c>
      <c r="C62" s="2711"/>
      <c r="D62" s="2712"/>
      <c r="E62" s="2712"/>
      <c r="F62" s="66"/>
      <c r="G62" s="150"/>
      <c r="H62" s="675"/>
      <c r="I62" s="675"/>
      <c r="J62" s="142"/>
      <c r="K62" s="1332"/>
      <c r="L62" s="1698"/>
      <c r="M62" s="80"/>
    </row>
    <row r="63" spans="2:29" s="20" customFormat="1" ht="21.75" customHeight="1" x14ac:dyDescent="0.25">
      <c r="B63" s="1324">
        <v>43</v>
      </c>
      <c r="C63" s="2711"/>
      <c r="D63" s="2712"/>
      <c r="E63" s="2712"/>
      <c r="F63" s="66"/>
      <c r="G63" s="150"/>
      <c r="H63" s="675"/>
      <c r="I63" s="675"/>
      <c r="J63" s="142"/>
      <c r="K63" s="1332"/>
      <c r="L63" s="1698"/>
      <c r="M63" s="80"/>
    </row>
    <row r="64" spans="2:29" s="20" customFormat="1" ht="21.75" customHeight="1" x14ac:dyDescent="0.25">
      <c r="B64" s="1324">
        <v>44</v>
      </c>
      <c r="C64" s="2711"/>
      <c r="D64" s="2712"/>
      <c r="E64" s="2712"/>
      <c r="F64" s="66"/>
      <c r="G64" s="150"/>
      <c r="H64" s="675"/>
      <c r="I64" s="675"/>
      <c r="J64" s="142"/>
      <c r="K64" s="1332"/>
      <c r="L64" s="1698"/>
      <c r="M64" s="80"/>
    </row>
    <row r="65" spans="2:13" s="20" customFormat="1" ht="21.75" customHeight="1" x14ac:dyDescent="0.25">
      <c r="B65" s="1324">
        <v>45</v>
      </c>
      <c r="C65" s="2711"/>
      <c r="D65" s="2712"/>
      <c r="E65" s="2712"/>
      <c r="F65" s="66"/>
      <c r="G65" s="150"/>
      <c r="H65" s="675"/>
      <c r="I65" s="675"/>
      <c r="J65" s="142"/>
      <c r="K65" s="1332"/>
      <c r="L65" s="1698"/>
      <c r="M65" s="80"/>
    </row>
    <row r="66" spans="2:13" s="20" customFormat="1" ht="21.75" customHeight="1" x14ac:dyDescent="0.25">
      <c r="B66" s="1324">
        <v>46</v>
      </c>
      <c r="C66" s="2711"/>
      <c r="D66" s="2712"/>
      <c r="E66" s="2712"/>
      <c r="F66" s="66"/>
      <c r="G66" s="150"/>
      <c r="H66" s="675"/>
      <c r="I66" s="675"/>
      <c r="J66" s="142"/>
      <c r="K66" s="1332"/>
      <c r="L66" s="1698"/>
      <c r="M66" s="80"/>
    </row>
    <row r="67" spans="2:13" s="20" customFormat="1" ht="21.75" customHeight="1" x14ac:dyDescent="0.25">
      <c r="B67" s="1324">
        <v>47</v>
      </c>
      <c r="C67" s="2711"/>
      <c r="D67" s="2712"/>
      <c r="E67" s="2712"/>
      <c r="F67" s="66"/>
      <c r="G67" s="150"/>
      <c r="H67" s="675"/>
      <c r="I67" s="675"/>
      <c r="J67" s="142"/>
      <c r="K67" s="1332"/>
      <c r="L67" s="1698"/>
      <c r="M67" s="80"/>
    </row>
    <row r="68" spans="2:13" s="20" customFormat="1" ht="21.75" customHeight="1" x14ac:dyDescent="0.25">
      <c r="B68" s="1324">
        <v>48</v>
      </c>
      <c r="C68" s="2711"/>
      <c r="D68" s="2712"/>
      <c r="E68" s="2712"/>
      <c r="F68" s="66"/>
      <c r="G68" s="150"/>
      <c r="H68" s="675"/>
      <c r="I68" s="675"/>
      <c r="J68" s="142"/>
      <c r="K68" s="1332"/>
      <c r="L68" s="1698"/>
      <c r="M68" s="80"/>
    </row>
    <row r="69" spans="2:13" s="20" customFormat="1" ht="21.75" customHeight="1" x14ac:dyDescent="0.25">
      <c r="B69" s="1324">
        <v>49</v>
      </c>
      <c r="C69" s="2708"/>
      <c r="D69" s="2709"/>
      <c r="E69" s="2710"/>
      <c r="F69" s="66"/>
      <c r="G69" s="150"/>
      <c r="H69" s="675"/>
      <c r="I69" s="675"/>
      <c r="J69" s="142"/>
      <c r="K69" s="1332"/>
      <c r="L69" s="1698"/>
      <c r="M69" s="80"/>
    </row>
    <row r="70" spans="2:13" s="20" customFormat="1" ht="21.75" customHeight="1" x14ac:dyDescent="0.25">
      <c r="B70" s="1324">
        <v>50</v>
      </c>
      <c r="C70" s="2711"/>
      <c r="D70" s="2712"/>
      <c r="E70" s="2712"/>
      <c r="F70" s="66"/>
      <c r="G70" s="150"/>
      <c r="H70" s="675"/>
      <c r="I70" s="675"/>
      <c r="J70" s="142"/>
      <c r="K70" s="1332"/>
      <c r="L70" s="1698"/>
      <c r="M70" s="80"/>
    </row>
    <row r="71" spans="2:13" s="20" customFormat="1" ht="21.75" customHeight="1" x14ac:dyDescent="0.25">
      <c r="B71" s="1324">
        <v>51</v>
      </c>
      <c r="C71" s="2711"/>
      <c r="D71" s="2712"/>
      <c r="E71" s="2712"/>
      <c r="F71" s="66"/>
      <c r="G71" s="150"/>
      <c r="H71" s="675"/>
      <c r="I71" s="675"/>
      <c r="J71" s="142"/>
      <c r="K71" s="1332"/>
      <c r="L71" s="1698"/>
      <c r="M71" s="80"/>
    </row>
    <row r="72" spans="2:13" ht="21.75" customHeight="1" x14ac:dyDescent="0.25">
      <c r="B72" s="1324">
        <v>52</v>
      </c>
      <c r="C72" s="2711"/>
      <c r="D72" s="2712"/>
      <c r="E72" s="2712"/>
      <c r="F72" s="66"/>
      <c r="G72" s="150"/>
      <c r="H72" s="675"/>
      <c r="I72" s="675"/>
      <c r="J72" s="142"/>
      <c r="K72" s="1332"/>
      <c r="L72" s="1698"/>
      <c r="M72" s="80"/>
    </row>
    <row r="73" spans="2:13" ht="21.75" customHeight="1" x14ac:dyDescent="0.25">
      <c r="B73" s="1324">
        <v>53</v>
      </c>
      <c r="C73" s="2711"/>
      <c r="D73" s="2712"/>
      <c r="E73" s="2712"/>
      <c r="F73" s="66"/>
      <c r="G73" s="150"/>
      <c r="H73" s="675"/>
      <c r="I73" s="675"/>
      <c r="J73" s="142"/>
      <c r="K73" s="1332"/>
      <c r="L73" s="1698"/>
      <c r="M73" s="80"/>
    </row>
    <row r="74" spans="2:13" ht="21.75" customHeight="1" x14ac:dyDescent="0.25">
      <c r="B74" s="1324">
        <v>54</v>
      </c>
      <c r="C74" s="2970"/>
      <c r="D74" s="2971"/>
      <c r="E74" s="2971"/>
      <c r="F74" s="66"/>
      <c r="G74" s="150"/>
      <c r="H74" s="675"/>
      <c r="I74" s="675"/>
      <c r="J74" s="142"/>
      <c r="K74" s="1332"/>
      <c r="L74" s="1698"/>
      <c r="M74" s="80"/>
    </row>
    <row r="75" spans="2:13" ht="21.75" customHeight="1" x14ac:dyDescent="0.25">
      <c r="B75" s="1324">
        <v>55</v>
      </c>
      <c r="C75" s="2970"/>
      <c r="D75" s="2971"/>
      <c r="E75" s="2971"/>
      <c r="F75" s="66"/>
      <c r="G75" s="150"/>
      <c r="H75" s="675"/>
      <c r="I75" s="675"/>
      <c r="J75" s="142"/>
      <c r="K75" s="1332"/>
      <c r="L75" s="1698"/>
      <c r="M75" s="80"/>
    </row>
    <row r="76" spans="2:13" ht="21.75" customHeight="1" x14ac:dyDescent="0.25">
      <c r="B76" s="1324">
        <v>56</v>
      </c>
      <c r="C76" s="2970"/>
      <c r="D76" s="2971"/>
      <c r="E76" s="2971"/>
      <c r="F76" s="66"/>
      <c r="G76" s="150"/>
      <c r="H76" s="675"/>
      <c r="I76" s="675"/>
      <c r="J76" s="142"/>
      <c r="K76" s="1332"/>
      <c r="L76" s="1698"/>
      <c r="M76" s="80"/>
    </row>
    <row r="77" spans="2:13" ht="21.75" customHeight="1" x14ac:dyDescent="0.25">
      <c r="B77" s="1324">
        <v>57</v>
      </c>
      <c r="C77" s="2970"/>
      <c r="D77" s="2971"/>
      <c r="E77" s="2971"/>
      <c r="F77" s="66"/>
      <c r="G77" s="150"/>
      <c r="H77" s="675"/>
      <c r="I77" s="675"/>
      <c r="J77" s="142"/>
      <c r="K77" s="1332"/>
      <c r="L77" s="1698"/>
      <c r="M77" s="80"/>
    </row>
    <row r="78" spans="2:13" ht="21.75" customHeight="1" x14ac:dyDescent="0.25">
      <c r="B78" s="1324">
        <v>58</v>
      </c>
      <c r="C78" s="2970"/>
      <c r="D78" s="2971"/>
      <c r="E78" s="2971"/>
      <c r="F78" s="66"/>
      <c r="G78" s="150"/>
      <c r="H78" s="675"/>
      <c r="I78" s="675"/>
      <c r="J78" s="142"/>
      <c r="K78" s="1332"/>
      <c r="L78" s="1698"/>
      <c r="M78" s="80"/>
    </row>
    <row r="79" spans="2:13" ht="21.75" customHeight="1" x14ac:dyDescent="0.25">
      <c r="B79" s="1324">
        <v>59</v>
      </c>
      <c r="C79" s="2970"/>
      <c r="D79" s="2971"/>
      <c r="E79" s="2971"/>
      <c r="F79" s="66"/>
      <c r="G79" s="150"/>
      <c r="H79" s="675"/>
      <c r="I79" s="675"/>
      <c r="J79" s="142"/>
      <c r="K79" s="1332"/>
      <c r="L79" s="1698"/>
      <c r="M79" s="80"/>
    </row>
    <row r="80" spans="2:13" ht="21.75" customHeight="1" x14ac:dyDescent="0.25">
      <c r="B80" s="1324">
        <v>60</v>
      </c>
      <c r="C80" s="2708"/>
      <c r="D80" s="2709"/>
      <c r="E80" s="2710"/>
      <c r="F80" s="66"/>
      <c r="G80" s="150"/>
      <c r="H80" s="675"/>
      <c r="I80" s="675"/>
      <c r="J80" s="142"/>
      <c r="K80" s="1332"/>
      <c r="L80" s="1698"/>
      <c r="M80" s="80"/>
    </row>
    <row r="81" spans="2:13" ht="21.75" customHeight="1" x14ac:dyDescent="0.25">
      <c r="B81" s="1324">
        <v>61</v>
      </c>
      <c r="C81" s="2708"/>
      <c r="D81" s="2709"/>
      <c r="E81" s="2710"/>
      <c r="F81" s="66"/>
      <c r="G81" s="150"/>
      <c r="H81" s="675"/>
      <c r="I81" s="675"/>
      <c r="J81" s="142"/>
      <c r="K81" s="1332"/>
      <c r="L81" s="1698"/>
      <c r="M81" s="80"/>
    </row>
    <row r="82" spans="2:13" ht="21.75" customHeight="1" x14ac:dyDescent="0.25">
      <c r="B82" s="1324">
        <v>62</v>
      </c>
      <c r="C82" s="2708"/>
      <c r="D82" s="2709"/>
      <c r="E82" s="2710"/>
      <c r="F82" s="66"/>
      <c r="G82" s="150"/>
      <c r="H82" s="675"/>
      <c r="I82" s="675"/>
      <c r="J82" s="142"/>
      <c r="K82" s="1332"/>
      <c r="L82" s="1698"/>
      <c r="M82" s="80"/>
    </row>
    <row r="83" spans="2:13" ht="21.75" customHeight="1" x14ac:dyDescent="0.25">
      <c r="B83" s="1324">
        <v>63</v>
      </c>
      <c r="C83" s="2708"/>
      <c r="D83" s="2709"/>
      <c r="E83" s="2710"/>
      <c r="F83" s="66"/>
      <c r="G83" s="150"/>
      <c r="H83" s="675"/>
      <c r="I83" s="675"/>
      <c r="J83" s="142"/>
      <c r="K83" s="1332"/>
      <c r="L83" s="1698"/>
      <c r="M83" s="80"/>
    </row>
    <row r="84" spans="2:13" ht="21.75" customHeight="1" x14ac:dyDescent="0.25">
      <c r="B84" s="1324">
        <v>64</v>
      </c>
      <c r="C84" s="2708"/>
      <c r="D84" s="2709"/>
      <c r="E84" s="2710"/>
      <c r="F84" s="66"/>
      <c r="G84" s="150"/>
      <c r="H84" s="675"/>
      <c r="I84" s="675"/>
      <c r="J84" s="142"/>
      <c r="K84" s="1332"/>
      <c r="L84" s="1698"/>
      <c r="M84" s="80"/>
    </row>
    <row r="85" spans="2:13" ht="21.75" customHeight="1" x14ac:dyDescent="0.25">
      <c r="B85" s="1324">
        <v>65</v>
      </c>
      <c r="C85" s="2708"/>
      <c r="D85" s="2709"/>
      <c r="E85" s="2710"/>
      <c r="F85" s="66"/>
      <c r="G85" s="150"/>
      <c r="H85" s="675"/>
      <c r="I85" s="675"/>
      <c r="J85" s="142"/>
      <c r="K85" s="1332"/>
      <c r="L85" s="1698"/>
      <c r="M85" s="80"/>
    </row>
    <row r="86" spans="2:13" ht="21.75" customHeight="1" x14ac:dyDescent="0.25">
      <c r="B86" s="1324">
        <v>66</v>
      </c>
      <c r="C86" s="2708"/>
      <c r="D86" s="2709"/>
      <c r="E86" s="2710"/>
      <c r="F86" s="66"/>
      <c r="G86" s="150"/>
      <c r="H86" s="675"/>
      <c r="I86" s="675"/>
      <c r="J86" s="142"/>
      <c r="K86" s="1332"/>
      <c r="L86" s="1698"/>
      <c r="M86" s="80"/>
    </row>
    <row r="87" spans="2:13" ht="21.75" customHeight="1" x14ac:dyDescent="0.25">
      <c r="B87" s="1324">
        <v>67</v>
      </c>
      <c r="C87" s="2708"/>
      <c r="D87" s="2709"/>
      <c r="E87" s="2710"/>
      <c r="F87" s="66"/>
      <c r="G87" s="150"/>
      <c r="H87" s="675"/>
      <c r="I87" s="675"/>
      <c r="J87" s="142"/>
      <c r="K87" s="1332"/>
      <c r="L87" s="1698"/>
      <c r="M87" s="80"/>
    </row>
    <row r="88" spans="2:13" ht="21.75" customHeight="1" x14ac:dyDescent="0.25">
      <c r="B88" s="1324">
        <v>68</v>
      </c>
      <c r="C88" s="2708"/>
      <c r="D88" s="2709"/>
      <c r="E88" s="2710"/>
      <c r="F88" s="66"/>
      <c r="G88" s="150"/>
      <c r="H88" s="675"/>
      <c r="I88" s="675"/>
      <c r="J88" s="142"/>
      <c r="K88" s="1332"/>
      <c r="L88" s="1698"/>
      <c r="M88" s="80"/>
    </row>
    <row r="89" spans="2:13" ht="21.75" customHeight="1" x14ac:dyDescent="0.25">
      <c r="B89" s="1324">
        <v>69</v>
      </c>
      <c r="C89" s="2708"/>
      <c r="D89" s="2709"/>
      <c r="E89" s="2710"/>
      <c r="F89" s="66"/>
      <c r="G89" s="150"/>
      <c r="H89" s="675"/>
      <c r="I89" s="675"/>
      <c r="J89" s="142"/>
      <c r="K89" s="1332"/>
      <c r="L89" s="1698"/>
      <c r="M89" s="80"/>
    </row>
    <row r="90" spans="2:13" ht="21.75" customHeight="1" x14ac:dyDescent="0.25">
      <c r="B90" s="1324">
        <v>70</v>
      </c>
      <c r="C90" s="2708"/>
      <c r="D90" s="2709"/>
      <c r="E90" s="2710"/>
      <c r="F90" s="66"/>
      <c r="G90" s="150"/>
      <c r="H90" s="675"/>
      <c r="I90" s="675"/>
      <c r="J90" s="142"/>
      <c r="K90" s="1332"/>
      <c r="L90" s="1698"/>
      <c r="M90" s="80"/>
    </row>
    <row r="91" spans="2:13" ht="21.75" customHeight="1" x14ac:dyDescent="0.25">
      <c r="B91" s="1324">
        <v>71</v>
      </c>
      <c r="C91" s="2708"/>
      <c r="D91" s="2709"/>
      <c r="E91" s="2710"/>
      <c r="F91" s="66"/>
      <c r="G91" s="150"/>
      <c r="H91" s="675"/>
      <c r="I91" s="675"/>
      <c r="J91" s="142"/>
      <c r="K91" s="1332"/>
      <c r="L91" s="1698"/>
      <c r="M91" s="80"/>
    </row>
    <row r="92" spans="2:13" ht="21.75" customHeight="1" x14ac:dyDescent="0.25">
      <c r="B92" s="1324">
        <v>72</v>
      </c>
      <c r="C92" s="2708"/>
      <c r="D92" s="2709"/>
      <c r="E92" s="2710"/>
      <c r="F92" s="66"/>
      <c r="G92" s="150"/>
      <c r="H92" s="675"/>
      <c r="I92" s="675"/>
      <c r="J92" s="142"/>
      <c r="K92" s="1332"/>
      <c r="L92" s="1698"/>
      <c r="M92" s="80"/>
    </row>
    <row r="93" spans="2:13" ht="21.75" customHeight="1" x14ac:dyDescent="0.25">
      <c r="B93" s="1324">
        <v>73</v>
      </c>
      <c r="C93" s="2708"/>
      <c r="D93" s="2709"/>
      <c r="E93" s="2710"/>
      <c r="F93" s="66"/>
      <c r="G93" s="150"/>
      <c r="H93" s="675"/>
      <c r="I93" s="675"/>
      <c r="J93" s="142"/>
      <c r="K93" s="1332"/>
      <c r="L93" s="1698"/>
      <c r="M93" s="80"/>
    </row>
    <row r="94" spans="2:13" ht="21.75" customHeight="1" x14ac:dyDescent="0.25">
      <c r="B94" s="1324">
        <v>74</v>
      </c>
      <c r="C94" s="2708"/>
      <c r="D94" s="2709"/>
      <c r="E94" s="2710"/>
      <c r="F94" s="66"/>
      <c r="G94" s="150"/>
      <c r="H94" s="675"/>
      <c r="I94" s="675"/>
      <c r="J94" s="142"/>
      <c r="K94" s="1332"/>
      <c r="L94" s="1698"/>
      <c r="M94" s="80"/>
    </row>
    <row r="95" spans="2:13" ht="21.75" customHeight="1" x14ac:dyDescent="0.25">
      <c r="B95" s="1324">
        <v>75</v>
      </c>
      <c r="C95" s="2708"/>
      <c r="D95" s="2709"/>
      <c r="E95" s="2710"/>
      <c r="F95" s="66"/>
      <c r="G95" s="150"/>
      <c r="H95" s="675"/>
      <c r="I95" s="675"/>
      <c r="J95" s="142"/>
      <c r="K95" s="1332"/>
      <c r="L95" s="1698"/>
      <c r="M95" s="80"/>
    </row>
    <row r="96" spans="2:13" ht="21.75" customHeight="1" x14ac:dyDescent="0.25">
      <c r="B96" s="1324">
        <v>76</v>
      </c>
      <c r="C96" s="2708"/>
      <c r="D96" s="2709"/>
      <c r="E96" s="2710"/>
      <c r="F96" s="66"/>
      <c r="G96" s="150"/>
      <c r="H96" s="675"/>
      <c r="I96" s="675"/>
      <c r="J96" s="142"/>
      <c r="K96" s="1332"/>
      <c r="L96" s="1698"/>
      <c r="M96" s="80"/>
    </row>
    <row r="97" spans="2:13" ht="21.75" customHeight="1" thickBot="1" x14ac:dyDescent="0.3">
      <c r="B97" s="1325">
        <v>77</v>
      </c>
      <c r="C97" s="2738"/>
      <c r="D97" s="2739"/>
      <c r="E97" s="2740"/>
      <c r="F97" s="84"/>
      <c r="G97" s="151"/>
      <c r="H97" s="676"/>
      <c r="I97" s="676"/>
      <c r="J97" s="143"/>
      <c r="K97" s="1333"/>
      <c r="L97" s="1745"/>
      <c r="M97" s="83"/>
    </row>
  </sheetData>
  <mergeCells count="89">
    <mergeCell ref="C97:E97"/>
    <mergeCell ref="C95:E95"/>
    <mergeCell ref="C96:E96"/>
    <mergeCell ref="C91:E91"/>
    <mergeCell ref="C92:E92"/>
    <mergeCell ref="C93:E93"/>
    <mergeCell ref="C94:E94"/>
    <mergeCell ref="C89:E89"/>
    <mergeCell ref="C90:E90"/>
    <mergeCell ref="C83:E83"/>
    <mergeCell ref="C84:E84"/>
    <mergeCell ref="C85:E85"/>
    <mergeCell ref="C86:E86"/>
    <mergeCell ref="C87:E87"/>
    <mergeCell ref="C88:E88"/>
    <mergeCell ref="C75:E75"/>
    <mergeCell ref="C76:E76"/>
    <mergeCell ref="C77:E77"/>
    <mergeCell ref="C82:E82"/>
    <mergeCell ref="C78:E78"/>
    <mergeCell ref="C79:E79"/>
    <mergeCell ref="C80:E80"/>
    <mergeCell ref="C81:E81"/>
    <mergeCell ref="C61:E61"/>
    <mergeCell ref="C71:E71"/>
    <mergeCell ref="C72:E72"/>
    <mergeCell ref="C73:E73"/>
    <mergeCell ref="C74:E74"/>
    <mergeCell ref="C67:E67"/>
    <mergeCell ref="C68:E68"/>
    <mergeCell ref="C69:E69"/>
    <mergeCell ref="C70:E70"/>
    <mergeCell ref="C63:E63"/>
    <mergeCell ref="C64:E64"/>
    <mergeCell ref="C65:E65"/>
    <mergeCell ref="C66:E66"/>
    <mergeCell ref="C62:E62"/>
    <mergeCell ref="C60:E60"/>
    <mergeCell ref="C58:E58"/>
    <mergeCell ref="C59:E59"/>
    <mergeCell ref="C57:E57"/>
    <mergeCell ref="C53:E53"/>
    <mergeCell ref="C54:E54"/>
    <mergeCell ref="C55:E55"/>
    <mergeCell ref="C56:E56"/>
    <mergeCell ref="C49:E49"/>
    <mergeCell ref="C50:E50"/>
    <mergeCell ref="C51:E51"/>
    <mergeCell ref="C52:E52"/>
    <mergeCell ref="C45:E45"/>
    <mergeCell ref="C46:E46"/>
    <mergeCell ref="C47:E47"/>
    <mergeCell ref="C48:E48"/>
    <mergeCell ref="C42:E42"/>
    <mergeCell ref="D1:G2"/>
    <mergeCell ref="C15:G17"/>
    <mergeCell ref="C43:E43"/>
    <mergeCell ref="C44:E44"/>
    <mergeCell ref="C29:E29"/>
    <mergeCell ref="C32:E32"/>
    <mergeCell ref="C33:E33"/>
    <mergeCell ref="C34:E34"/>
    <mergeCell ref="C31:E31"/>
    <mergeCell ref="C30:E30"/>
    <mergeCell ref="C41:E41"/>
    <mergeCell ref="G19:G20"/>
    <mergeCell ref="F19:F20"/>
    <mergeCell ref="C19:E20"/>
    <mergeCell ref="C23:E23"/>
    <mergeCell ref="L1:M2"/>
    <mergeCell ref="H19:J19"/>
    <mergeCell ref="L19:L20"/>
    <mergeCell ref="M19:M20"/>
    <mergeCell ref="I15:L15"/>
    <mergeCell ref="K19:K20"/>
    <mergeCell ref="B19:B20"/>
    <mergeCell ref="C36:E36"/>
    <mergeCell ref="C35:E35"/>
    <mergeCell ref="C40:E40"/>
    <mergeCell ref="C39:E39"/>
    <mergeCell ref="C38:E38"/>
    <mergeCell ref="C37:E37"/>
    <mergeCell ref="C28:E28"/>
    <mergeCell ref="C25:E25"/>
    <mergeCell ref="C26:E26"/>
    <mergeCell ref="C27:E27"/>
    <mergeCell ref="C22:E22"/>
    <mergeCell ref="C24:E24"/>
    <mergeCell ref="C21:E21"/>
  </mergeCells>
  <phoneticPr fontId="20" type="noConversion"/>
  <conditionalFormatting sqref="A1:XFD16 A98:XFD65536 C19:J20 L19:O20 A21:A97 C60:IV97 A17:O18 AD17:XFD18 C21:O59 AD19:IV59">
    <cfRule type="cellIs" dxfId="1030" priority="4" stopIfTrue="1" operator="equal">
      <formula>0</formula>
    </cfRule>
  </conditionalFormatting>
  <conditionalFormatting sqref="K19">
    <cfRule type="cellIs" dxfId="1029" priority="3" stopIfTrue="1" operator="equal">
      <formula>0</formula>
    </cfRule>
  </conditionalFormatting>
  <conditionalFormatting sqref="B19:B97">
    <cfRule type="cellIs" dxfId="1028" priority="2" stopIfTrue="1" operator="equal">
      <formula>0</formula>
    </cfRule>
  </conditionalFormatting>
  <conditionalFormatting sqref="P18:AC20">
    <cfRule type="cellIs" dxfId="1027" priority="1" stopIfTrue="1" operator="equal">
      <formula>0</formula>
    </cfRule>
  </conditionalFormatting>
  <printOptions horizontalCentered="1"/>
  <pageMargins left="0" right="0" top="0.19685039370078741" bottom="0.19685039370078741" header="0" footer="0"/>
  <pageSetup paperSize="9" scale="72" fitToHeight="0" orientation="landscape" r:id="rId1"/>
  <headerFooter alignWithMargins="0">
    <oddFooter>&amp;RSeite &amp;P / &amp;N</oddFooter>
  </headerFooter>
  <drawing r:id="rId2"/>
  <legacyDrawing r:id="rId3"/>
  <controls>
    <mc:AlternateContent xmlns:mc="http://schemas.openxmlformats.org/markup-compatibility/2006">
      <mc:Choice Requires="x14">
        <control shapeId="209921" r:id="rId4" name="CommandButton1">
          <controlPr defaultSize="0" autoLine="0" r:id="rId5">
            <anchor moveWithCells="1">
              <from>
                <xdr:col>10</xdr:col>
                <xdr:colOff>1476375</xdr:colOff>
                <xdr:row>4</xdr:row>
                <xdr:rowOff>161925</xdr:rowOff>
              </from>
              <to>
                <xdr:col>12</xdr:col>
                <xdr:colOff>276225</xdr:colOff>
                <xdr:row>7</xdr:row>
                <xdr:rowOff>0</xdr:rowOff>
              </to>
            </anchor>
          </controlPr>
        </control>
      </mc:Choice>
      <mc:Fallback>
        <control shapeId="209921" r:id="rId4" name="CommandButton1"/>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33">
    <tabColor indexed="24"/>
    <pageSetUpPr fitToPage="1"/>
  </sheetPr>
  <dimension ref="B1:T121"/>
  <sheetViews>
    <sheetView showGridLines="0" view="pageBreakPreview" zoomScale="85" zoomScaleNormal="100" zoomScaleSheetLayoutView="85" workbookViewId="0">
      <selection activeCell="E25" sqref="E25"/>
    </sheetView>
  </sheetViews>
  <sheetFormatPr baseColWidth="10" defaultRowHeight="15" x14ac:dyDescent="0.2"/>
  <cols>
    <col min="1" max="1" width="0.85546875" customWidth="1"/>
    <col min="2" max="2" width="7" customWidth="1"/>
    <col min="3" max="3" width="20.140625" style="20" customWidth="1"/>
    <col min="4" max="4" width="13.140625" style="20" customWidth="1"/>
    <col min="5" max="5" width="27.28515625" style="20" customWidth="1"/>
    <col min="6" max="6" width="11.7109375" style="27" customWidth="1"/>
    <col min="7" max="7" width="14" style="27" bestFit="1" customWidth="1"/>
    <col min="8" max="9" width="7.7109375" style="1" customWidth="1"/>
    <col min="10" max="10" width="14.140625" style="1" customWidth="1"/>
    <col min="11" max="11" width="5.42578125" customWidth="1"/>
    <col min="12" max="12" width="0.85546875" customWidth="1"/>
    <col min="13" max="13" width="13.28515625" style="1" customWidth="1"/>
    <col min="14" max="14" width="11.42578125" style="1" customWidth="1"/>
    <col min="18" max="18" width="33.42578125" customWidth="1"/>
    <col min="19" max="20" width="11.42578125" style="1" customWidth="1"/>
  </cols>
  <sheetData>
    <row r="1" spans="3:11" ht="12.75" customHeight="1" x14ac:dyDescent="0.2">
      <c r="D1" s="3004" t="str">
        <f>Dateneingabe!$F$1&amp;" "&amp;Dateneingabe!$I$1</f>
        <v>Ausschreibung GCC vertikal Rev. 0563b</v>
      </c>
      <c r="E1" s="3004"/>
      <c r="F1" s="3004"/>
      <c r="G1" s="3004"/>
      <c r="H1" s="21"/>
      <c r="J1" s="2701"/>
      <c r="K1" s="2701"/>
    </row>
    <row r="2" spans="3:11" ht="18" customHeight="1" x14ac:dyDescent="0.2">
      <c r="D2" s="3004"/>
      <c r="E2" s="3004"/>
      <c r="F2" s="3004"/>
      <c r="G2" s="3004"/>
      <c r="H2" s="21"/>
      <c r="J2" s="2701"/>
      <c r="K2" s="2701"/>
    </row>
    <row r="3" spans="3:11" ht="15.75" x14ac:dyDescent="0.25">
      <c r="C3" s="3012" t="s">
        <v>28135</v>
      </c>
      <c r="D3" s="3012"/>
      <c r="E3" s="3012"/>
      <c r="F3" s="3012"/>
      <c r="G3" s="3012"/>
      <c r="H3" s="1117" t="s">
        <v>28105</v>
      </c>
      <c r="K3" s="26">
        <v>502</v>
      </c>
    </row>
    <row r="4" spans="3:11" ht="6" customHeight="1" x14ac:dyDescent="0.25">
      <c r="K4" s="26"/>
    </row>
    <row r="5" spans="3:11" x14ac:dyDescent="0.2">
      <c r="D5" s="126" t="s">
        <v>106</v>
      </c>
      <c r="E5" s="127" t="str">
        <f>Dateneingabe!F3</f>
        <v>05217112</v>
      </c>
      <c r="F5" s="128" t="s">
        <v>13</v>
      </c>
      <c r="G5" s="127" t="str">
        <f>Dateneingabe!H3</f>
        <v>200</v>
      </c>
      <c r="H5" s="10"/>
    </row>
    <row r="6" spans="3:11" ht="6" customHeight="1" x14ac:dyDescent="0.2">
      <c r="D6" s="126"/>
      <c r="E6" s="123"/>
      <c r="F6" s="128"/>
      <c r="G6" s="123"/>
    </row>
    <row r="7" spans="3:11" x14ac:dyDescent="0.2">
      <c r="D7" s="126" t="s">
        <v>83</v>
      </c>
      <c r="E7" s="127" t="str">
        <f>Dateneingabe!F5</f>
        <v>5101.002095</v>
      </c>
      <c r="F7" s="128"/>
      <c r="G7" s="123"/>
      <c r="H7" s="10"/>
    </row>
    <row r="8" spans="3:11" ht="6" customHeight="1" x14ac:dyDescent="0.2">
      <c r="D8" s="126"/>
      <c r="E8" s="123"/>
      <c r="F8" s="128"/>
      <c r="G8" s="123"/>
    </row>
    <row r="9" spans="3:11" x14ac:dyDescent="0.2">
      <c r="D9" s="126" t="s">
        <v>301</v>
      </c>
      <c r="E9" s="115" t="str">
        <f>Dateneingabe!F15</f>
        <v>MiWo</v>
      </c>
      <c r="F9" s="128" t="s">
        <v>97</v>
      </c>
      <c r="G9" s="129">
        <f>Dateneingabe!F13</f>
        <v>44594</v>
      </c>
      <c r="H9" s="10"/>
    </row>
    <row r="10" spans="3:11" ht="6" customHeight="1" x14ac:dyDescent="0.2"/>
    <row r="11" spans="3:11" ht="18" x14ac:dyDescent="0.2">
      <c r="C11" s="22" t="s">
        <v>57</v>
      </c>
      <c r="D11" s="104"/>
      <c r="F11" s="50"/>
      <c r="G11" s="1105" t="s">
        <v>445</v>
      </c>
      <c r="H11" s="2996" t="str">
        <f>Dateneingabe!F46</f>
        <v>Standardfarbgebung</v>
      </c>
      <c r="I11" s="2997"/>
      <c r="J11" s="2998"/>
    </row>
    <row r="12" spans="3:11" ht="6" customHeight="1" x14ac:dyDescent="0.2"/>
    <row r="13" spans="3:11" x14ac:dyDescent="0.2">
      <c r="C13" s="23" t="s">
        <v>14</v>
      </c>
    </row>
    <row r="14" spans="3:11" ht="6" customHeight="1" x14ac:dyDescent="0.2"/>
    <row r="15" spans="3:11" ht="12.75" x14ac:dyDescent="0.2">
      <c r="C15" s="3005"/>
      <c r="D15" s="2729"/>
      <c r="E15" s="2729"/>
      <c r="F15" s="2729"/>
      <c r="G15" s="2730"/>
      <c r="H15" s="10"/>
      <c r="I15" s="10"/>
    </row>
    <row r="16" spans="3:11" ht="15" customHeight="1" x14ac:dyDescent="0.2">
      <c r="C16" s="3006"/>
      <c r="D16" s="2732"/>
      <c r="E16" s="2732"/>
      <c r="F16" s="2732"/>
      <c r="G16" s="2733"/>
      <c r="H16" s="10"/>
      <c r="I16" s="10"/>
    </row>
    <row r="17" spans="2:20" ht="15" customHeight="1" x14ac:dyDescent="0.2">
      <c r="C17" s="3007"/>
      <c r="D17" s="2735"/>
      <c r="E17" s="2735"/>
      <c r="F17" s="2735"/>
      <c r="G17" s="2736"/>
      <c r="H17" s="10"/>
      <c r="I17" s="10"/>
    </row>
    <row r="18" spans="2:20" ht="24" customHeight="1" thickBot="1" x14ac:dyDescent="0.25">
      <c r="C18" s="50"/>
      <c r="D18" s="50"/>
      <c r="E18" s="50"/>
      <c r="F18" s="50"/>
      <c r="G18" s="50"/>
      <c r="H18" s="10"/>
      <c r="I18" s="10"/>
    </row>
    <row r="19" spans="2:20" ht="15" customHeight="1" thickBot="1" x14ac:dyDescent="0.3">
      <c r="B19" s="2976" t="s">
        <v>28098</v>
      </c>
      <c r="C19" s="3008" t="s">
        <v>109</v>
      </c>
      <c r="D19" s="3009"/>
      <c r="E19" s="2724" t="s">
        <v>297</v>
      </c>
      <c r="F19" s="2724" t="s">
        <v>104</v>
      </c>
      <c r="G19" s="2989" t="s">
        <v>299</v>
      </c>
      <c r="H19" s="3001" t="s">
        <v>103</v>
      </c>
      <c r="I19" s="3002"/>
      <c r="J19" s="3003" t="s">
        <v>4</v>
      </c>
      <c r="K19" s="2976" t="s">
        <v>12</v>
      </c>
      <c r="Q19" t="s">
        <v>543</v>
      </c>
      <c r="R19" t="s">
        <v>28100</v>
      </c>
      <c r="S19" s="1" t="s">
        <v>69</v>
      </c>
      <c r="T19" s="1" t="s">
        <v>67</v>
      </c>
    </row>
    <row r="20" spans="2:20" ht="16.5" thickBot="1" x14ac:dyDescent="0.3">
      <c r="B20" s="2725"/>
      <c r="C20" s="3010"/>
      <c r="D20" s="3011"/>
      <c r="E20" s="2725"/>
      <c r="F20" s="2725"/>
      <c r="G20" s="2725"/>
      <c r="H20" s="25" t="s">
        <v>17</v>
      </c>
      <c r="I20" s="25" t="s">
        <v>73</v>
      </c>
      <c r="J20" s="2977"/>
      <c r="K20" s="2977"/>
      <c r="M20" s="1" t="s">
        <v>28104</v>
      </c>
      <c r="N20" s="1" t="s">
        <v>28103</v>
      </c>
      <c r="Q20" s="32" t="str">
        <f t="shared" ref="Q20:Q33" si="0">LEFT(R20,7)</f>
        <v>0202003</v>
      </c>
      <c r="R20" s="7" t="s">
        <v>86</v>
      </c>
      <c r="S20" s="27">
        <v>2500</v>
      </c>
      <c r="T20" s="1">
        <v>1250</v>
      </c>
    </row>
    <row r="21" spans="2:20" s="20" customFormat="1" ht="17.100000000000001" customHeight="1" x14ac:dyDescent="0.2">
      <c r="B21" s="1509">
        <f>Liste!O274</f>
        <v>0</v>
      </c>
      <c r="C21" s="2999"/>
      <c r="D21" s="3000"/>
      <c r="E21" s="1581"/>
      <c r="F21" s="1579"/>
      <c r="G21" s="1552"/>
      <c r="H21" s="1552"/>
      <c r="I21" s="1552"/>
      <c r="J21" s="133">
        <f t="shared" ref="J21:J65" si="1">(H21/1000)*(I21/1000)*G21</f>
        <v>0</v>
      </c>
      <c r="K21" s="1519"/>
      <c r="M21" s="27" t="e">
        <f>VLOOKUP(F21,$Q$20:$T$34,3,FALSE)</f>
        <v>#N/A</v>
      </c>
      <c r="N21" s="27" t="e">
        <f>VLOOKUP(F21,$Q$20:$T$34,4,FALSE)</f>
        <v>#N/A</v>
      </c>
      <c r="O21"/>
      <c r="P21"/>
      <c r="Q21" s="32" t="str">
        <f t="shared" si="0"/>
        <v>0202010</v>
      </c>
      <c r="R21" s="7" t="s">
        <v>87</v>
      </c>
      <c r="S21" s="27">
        <v>2500</v>
      </c>
      <c r="T21" s="27">
        <v>1250</v>
      </c>
    </row>
    <row r="22" spans="2:20" s="20" customFormat="1" ht="17.100000000000001" customHeight="1" x14ac:dyDescent="0.2">
      <c r="B22" s="1509">
        <f>Liste!O269</f>
        <v>0</v>
      </c>
      <c r="C22" s="2999"/>
      <c r="D22" s="3000"/>
      <c r="E22" s="1581"/>
      <c r="F22" s="1582"/>
      <c r="G22" s="1580"/>
      <c r="H22" s="1552"/>
      <c r="I22" s="1552"/>
      <c r="J22" s="32">
        <f t="shared" si="1"/>
        <v>0</v>
      </c>
      <c r="K22" s="1520"/>
      <c r="M22" s="27" t="e">
        <f t="shared" ref="M22:M83" si="2">VLOOKUP(F22,$Q$20:$T$34,3,FALSE)</f>
        <v>#N/A</v>
      </c>
      <c r="N22" s="27" t="e">
        <f t="shared" ref="N22:N83" si="3">VLOOKUP(F22,$Q$20:$T$34,4,FALSE)</f>
        <v>#N/A</v>
      </c>
      <c r="O22"/>
      <c r="P22"/>
      <c r="Q22" s="32" t="str">
        <f t="shared" si="0"/>
        <v>0202012</v>
      </c>
      <c r="R22" s="7" t="s">
        <v>88</v>
      </c>
      <c r="S22" s="27">
        <v>2500</v>
      </c>
      <c r="T22" s="27">
        <v>1250</v>
      </c>
    </row>
    <row r="23" spans="2:20" s="20" customFormat="1" ht="17.100000000000001" customHeight="1" x14ac:dyDescent="0.2">
      <c r="B23" s="753"/>
      <c r="C23" s="1103"/>
      <c r="D23" s="1104"/>
      <c r="E23" s="134"/>
      <c r="F23" s="754"/>
      <c r="G23" s="32"/>
      <c r="H23" s="133"/>
      <c r="I23" s="133"/>
      <c r="J23" s="32"/>
      <c r="K23" s="1520"/>
      <c r="M23" s="27" t="e">
        <f t="shared" si="2"/>
        <v>#N/A</v>
      </c>
      <c r="N23" s="27" t="e">
        <f t="shared" si="3"/>
        <v>#N/A</v>
      </c>
      <c r="O23"/>
      <c r="P23"/>
      <c r="Q23" s="32" t="str">
        <f t="shared" si="0"/>
        <v>0202015</v>
      </c>
      <c r="R23" s="7" t="s">
        <v>89</v>
      </c>
      <c r="S23" s="27">
        <v>2500</v>
      </c>
      <c r="T23" s="27">
        <v>1250</v>
      </c>
    </row>
    <row r="24" spans="2:20" s="20" customFormat="1" ht="17.100000000000001" customHeight="1" x14ac:dyDescent="0.2">
      <c r="B24" s="1509">
        <f>Liste!O8</f>
        <v>3</v>
      </c>
      <c r="C24" s="2992" t="str">
        <f>VLOOKUP(F24,$Q$20:$R$52,2,FALSE)</f>
        <v xml:space="preserve">0202003 / Promatect-H 6  </v>
      </c>
      <c r="D24" s="2993"/>
      <c r="E24" s="201" t="str">
        <f>Liste!N8</f>
        <v>Komplettelement Innenlagen</v>
      </c>
      <c r="F24" s="30" t="str">
        <f>Liste!C6</f>
        <v>0202003</v>
      </c>
      <c r="G24" s="32">
        <f>Liste!D6</f>
        <v>2</v>
      </c>
      <c r="H24" s="133">
        <f>IF(Liste!E6&gt;Liste!F6,Liste!E6,Liste!F6)</f>
        <v>1080</v>
      </c>
      <c r="I24" s="133">
        <f>IF(Liste!E6&gt;Liste!F6,Liste!F6,Liste!E6)</f>
        <v>686</v>
      </c>
      <c r="J24" s="32">
        <f t="shared" si="1"/>
        <v>1.4817600000000002</v>
      </c>
      <c r="K24" s="1520"/>
      <c r="M24" s="27">
        <f t="shared" si="2"/>
        <v>2500</v>
      </c>
      <c r="N24" s="27">
        <f t="shared" si="3"/>
        <v>1250</v>
      </c>
      <c r="O24"/>
      <c r="P24"/>
      <c r="Q24" s="32" t="str">
        <f t="shared" si="0"/>
        <v>0202020</v>
      </c>
      <c r="R24" s="7" t="s">
        <v>90</v>
      </c>
      <c r="S24" s="27">
        <v>2500</v>
      </c>
      <c r="T24" s="27">
        <v>1250</v>
      </c>
    </row>
    <row r="25" spans="2:20" s="20" customFormat="1" ht="17.100000000000001" customHeight="1" x14ac:dyDescent="0.2">
      <c r="B25" s="1509">
        <f>Liste!O9</f>
        <v>4</v>
      </c>
      <c r="C25" s="2992" t="str">
        <f>VLOOKUP(F25,$Q$20:$R$52,2,FALSE)</f>
        <v xml:space="preserve">0202003 / Promatect-H 6  </v>
      </c>
      <c r="D25" s="2993"/>
      <c r="E25" s="201" t="str">
        <f>Liste!N9</f>
        <v>Komplettelement Innenlagen</v>
      </c>
      <c r="F25" s="30" t="str">
        <f>Liste!C7</f>
        <v>0202003</v>
      </c>
      <c r="G25" s="32">
        <f>Liste!D7</f>
        <v>0</v>
      </c>
      <c r="H25" s="133">
        <f>IF(Liste!E7&gt;Liste!F7,Liste!E7,Liste!F7)</f>
        <v>686</v>
      </c>
      <c r="I25" s="133">
        <f>IF(Liste!E7&gt;Liste!F7,Liste!F7,Liste!E7)</f>
        <v>0</v>
      </c>
      <c r="J25" s="32">
        <f>(H25/1000)*(I25/1000)*G25</f>
        <v>0</v>
      </c>
      <c r="K25" s="1520"/>
      <c r="M25" s="27">
        <f t="shared" si="2"/>
        <v>2500</v>
      </c>
      <c r="N25" s="27">
        <f t="shared" si="3"/>
        <v>1250</v>
      </c>
      <c r="O25"/>
      <c r="P25"/>
      <c r="Q25" s="32" t="str">
        <f t="shared" si="0"/>
        <v>0202024</v>
      </c>
      <c r="R25" s="7" t="s">
        <v>94</v>
      </c>
      <c r="S25" s="27">
        <v>2500</v>
      </c>
      <c r="T25" s="27">
        <v>1250</v>
      </c>
    </row>
    <row r="26" spans="2:20" s="20" customFormat="1" ht="17.100000000000001" customHeight="1" x14ac:dyDescent="0.25">
      <c r="B26" s="753" t="str">
        <f>Liste!O6</f>
        <v>5</v>
      </c>
      <c r="C26" s="2994" t="str">
        <f>VLOOKUP(F26,$Q$20:$R$52,2,FALSE)</f>
        <v xml:space="preserve">0202018 / GKF VK 18mm </v>
      </c>
      <c r="D26" s="2995"/>
      <c r="E26" s="1106" t="str">
        <f>Liste!N6</f>
        <v>Komplettelement Aussenlagen</v>
      </c>
      <c r="F26" s="2537" t="str">
        <f>Liste!C8</f>
        <v>0202018</v>
      </c>
      <c r="G26" s="1107">
        <f>Liste!D8</f>
        <v>2</v>
      </c>
      <c r="H26" s="133">
        <f>IF(Liste!E8&gt;Liste!F8,Liste!E8,Liste!F8)</f>
        <v>1080</v>
      </c>
      <c r="I26" s="133">
        <f>IF(Liste!E8&gt;Liste!F8,Liste!F8,Liste!E8)</f>
        <v>686</v>
      </c>
      <c r="J26" s="1107">
        <f t="shared" si="1"/>
        <v>1.4817600000000002</v>
      </c>
      <c r="K26" s="1520"/>
      <c r="M26" s="27">
        <f t="shared" si="2"/>
        <v>2500</v>
      </c>
      <c r="N26" s="27">
        <f t="shared" si="3"/>
        <v>1250</v>
      </c>
      <c r="O26"/>
      <c r="P26"/>
      <c r="Q26" s="32" t="str">
        <f t="shared" si="0"/>
        <v>0202030</v>
      </c>
      <c r="R26" s="7" t="s">
        <v>95</v>
      </c>
      <c r="S26" s="27">
        <v>2500</v>
      </c>
      <c r="T26" s="27">
        <v>1200</v>
      </c>
    </row>
    <row r="27" spans="2:20" s="20" customFormat="1" ht="17.100000000000001" customHeight="1" x14ac:dyDescent="0.25">
      <c r="B27" s="753">
        <f>Liste!O7</f>
        <v>6</v>
      </c>
      <c r="C27" s="2994" t="str">
        <f>VLOOKUP(F27,$Q$20:$R$52,2,FALSE)</f>
        <v xml:space="preserve">0202018 / GKF VK 18mm </v>
      </c>
      <c r="D27" s="2995"/>
      <c r="E27" s="1106" t="str">
        <f>Liste!N7</f>
        <v>Komplettelement Aussenlagen</v>
      </c>
      <c r="F27" s="2537" t="str">
        <f>Liste!C9</f>
        <v>0202018</v>
      </c>
      <c r="G27" s="1107">
        <f>Liste!D9</f>
        <v>0</v>
      </c>
      <c r="H27" s="133">
        <f>IF(Liste!E9&gt;Liste!F9,Liste!E9,Liste!F9)</f>
        <v>686</v>
      </c>
      <c r="I27" s="133">
        <f>IF(Liste!E9&gt;Liste!F9,Liste!F9,Liste!E9)</f>
        <v>0</v>
      </c>
      <c r="J27" s="1107">
        <f>(H27/1000)*(I27/1000)*G27</f>
        <v>0</v>
      </c>
      <c r="K27" s="1520"/>
      <c r="M27" s="27">
        <f t="shared" si="2"/>
        <v>2500</v>
      </c>
      <c r="N27" s="27">
        <f t="shared" si="3"/>
        <v>1250</v>
      </c>
      <c r="O27"/>
      <c r="P27"/>
      <c r="Q27" s="32" t="str">
        <f t="shared" si="0"/>
        <v>0708157</v>
      </c>
      <c r="R27" s="7" t="s">
        <v>295</v>
      </c>
      <c r="S27" s="27">
        <v>2000</v>
      </c>
      <c r="T27" s="27">
        <v>1250</v>
      </c>
    </row>
    <row r="28" spans="2:20" s="20" customFormat="1" ht="17.100000000000001" customHeight="1" x14ac:dyDescent="0.2">
      <c r="B28" s="753"/>
      <c r="C28" s="1103"/>
      <c r="D28" s="1104"/>
      <c r="E28" s="134"/>
      <c r="F28" s="202"/>
      <c r="G28" s="32"/>
      <c r="H28" s="133"/>
      <c r="I28" s="133"/>
      <c r="J28" s="32"/>
      <c r="K28" s="1520"/>
      <c r="M28" s="27" t="e">
        <f t="shared" si="2"/>
        <v>#N/A</v>
      </c>
      <c r="N28" s="27" t="e">
        <f t="shared" si="3"/>
        <v>#N/A</v>
      </c>
      <c r="O28"/>
      <c r="P28"/>
      <c r="Q28" s="32" t="str">
        <f t="shared" si="0"/>
        <v>0202011</v>
      </c>
      <c r="R28" s="7" t="s">
        <v>296</v>
      </c>
      <c r="S28" s="27">
        <v>2000</v>
      </c>
      <c r="T28" s="27">
        <v>1250</v>
      </c>
    </row>
    <row r="29" spans="2:20" s="20" customFormat="1" ht="17.100000000000001" customHeight="1" x14ac:dyDescent="0.25">
      <c r="B29" s="1509">
        <f>Liste!O51</f>
        <v>7</v>
      </c>
      <c r="C29" s="2994" t="str">
        <f>VLOOKUP(F29,$Q$20:$R$52,2,FALSE)</f>
        <v xml:space="preserve">0202003 / Promatect-H 6  </v>
      </c>
      <c r="D29" s="2995"/>
      <c r="E29" s="1513" t="str">
        <f>Liste!N51</f>
        <v>Element mitte Aussenlagen</v>
      </c>
      <c r="F29" s="1107" t="str">
        <f>Liste!C51</f>
        <v>0202003</v>
      </c>
      <c r="G29" s="1107">
        <f>Liste!D51</f>
        <v>0</v>
      </c>
      <c r="H29" s="133">
        <f>Liste!E51</f>
        <v>1080</v>
      </c>
      <c r="I29" s="133">
        <f>Liste!F51</f>
        <v>500</v>
      </c>
      <c r="J29" s="1107">
        <f t="shared" si="1"/>
        <v>0</v>
      </c>
      <c r="K29" s="1520"/>
      <c r="M29" s="27">
        <f t="shared" si="2"/>
        <v>2500</v>
      </c>
      <c r="N29" s="27">
        <f t="shared" si="3"/>
        <v>1250</v>
      </c>
      <c r="O29"/>
      <c r="P29"/>
      <c r="Q29" s="32" t="str">
        <f t="shared" si="0"/>
        <v>0708161</v>
      </c>
      <c r="R29" s="7" t="s">
        <v>294</v>
      </c>
      <c r="S29" s="27">
        <v>2000</v>
      </c>
      <c r="T29" s="27">
        <v>1250</v>
      </c>
    </row>
    <row r="30" spans="2:20" s="20" customFormat="1" ht="17.100000000000001" customHeight="1" x14ac:dyDescent="0.25">
      <c r="B30" s="1509">
        <f>Liste!O52</f>
        <v>8</v>
      </c>
      <c r="C30" s="2994" t="str">
        <f>VLOOKUP(F30,$Q$20:$R$52,2,FALSE)</f>
        <v xml:space="preserve">0202003 / Promatect-H 6  </v>
      </c>
      <c r="D30" s="2995"/>
      <c r="E30" s="1513" t="str">
        <f>Liste!N52</f>
        <v>Element mitte Aussenlagen</v>
      </c>
      <c r="F30" s="1107" t="str">
        <f>Liste!C52</f>
        <v>0202003</v>
      </c>
      <c r="G30" s="1107">
        <f>Liste!D52</f>
        <v>0</v>
      </c>
      <c r="H30" s="133">
        <f>Liste!E52</f>
        <v>0</v>
      </c>
      <c r="I30" s="133">
        <f>Liste!F52</f>
        <v>500</v>
      </c>
      <c r="J30" s="1107">
        <f t="shared" si="1"/>
        <v>0</v>
      </c>
      <c r="K30" s="1520"/>
      <c r="M30" s="27">
        <f t="shared" si="2"/>
        <v>2500</v>
      </c>
      <c r="N30" s="27">
        <f t="shared" si="3"/>
        <v>1250</v>
      </c>
      <c r="O30"/>
      <c r="P30"/>
      <c r="Q30" s="32" t="str">
        <f t="shared" si="0"/>
        <v>0202018</v>
      </c>
      <c r="R30" s="1541" t="s">
        <v>29523</v>
      </c>
      <c r="S30" s="27">
        <v>2500</v>
      </c>
      <c r="T30" s="27">
        <v>1250</v>
      </c>
    </row>
    <row r="31" spans="2:20" s="20" customFormat="1" ht="17.100000000000001" customHeight="1" x14ac:dyDescent="0.2">
      <c r="B31" s="1509">
        <f>Liste!O53</f>
        <v>9</v>
      </c>
      <c r="C31" s="2992" t="str">
        <f>VLOOKUP(F31,$Q$20:$R$52,2,FALSE)</f>
        <v xml:space="preserve">0202018 / GKF VK 18mm </v>
      </c>
      <c r="D31" s="2993"/>
      <c r="E31" s="1515" t="str">
        <f>Liste!N53</f>
        <v>Element mitte Innenlagen</v>
      </c>
      <c r="F31" s="32" t="str">
        <f>Liste!C53</f>
        <v>0202018</v>
      </c>
      <c r="G31" s="32">
        <f>Liste!D53</f>
        <v>0</v>
      </c>
      <c r="H31" s="133">
        <f>Liste!E53</f>
        <v>1080</v>
      </c>
      <c r="I31" s="133">
        <f>Liste!F53</f>
        <v>500</v>
      </c>
      <c r="J31" s="32">
        <f t="shared" si="1"/>
        <v>0</v>
      </c>
      <c r="K31" s="1520"/>
      <c r="M31" s="27">
        <f t="shared" si="2"/>
        <v>2500</v>
      </c>
      <c r="N31" s="27">
        <f t="shared" si="3"/>
        <v>1250</v>
      </c>
      <c r="O31"/>
      <c r="P31"/>
      <c r="Q31" s="32" t="str">
        <f t="shared" si="0"/>
        <v>0213002</v>
      </c>
      <c r="R31" s="1541" t="s">
        <v>30924</v>
      </c>
      <c r="S31" s="27">
        <v>2500</v>
      </c>
      <c r="T31" s="27">
        <v>1250</v>
      </c>
    </row>
    <row r="32" spans="2:20" s="20" customFormat="1" ht="17.100000000000001" customHeight="1" x14ac:dyDescent="0.2">
      <c r="B32" s="1509">
        <f>Liste!O54</f>
        <v>10</v>
      </c>
      <c r="C32" s="2992" t="str">
        <f>VLOOKUP(F32,$Q$20:$R$52,2,FALSE)</f>
        <v xml:space="preserve">0202018 / GKF VK 18mm </v>
      </c>
      <c r="D32" s="2993"/>
      <c r="E32" s="1515" t="str">
        <f>Liste!N54</f>
        <v>Element mitte Innenlagen</v>
      </c>
      <c r="F32" s="32" t="str">
        <f>Liste!C54</f>
        <v>0202018</v>
      </c>
      <c r="G32" s="32">
        <f>Liste!D54</f>
        <v>0</v>
      </c>
      <c r="H32" s="133">
        <f>Liste!E54</f>
        <v>0</v>
      </c>
      <c r="I32" s="133">
        <f>Liste!F54</f>
        <v>500</v>
      </c>
      <c r="J32" s="32">
        <f>(H32/1000)*(I32/1000)*G32</f>
        <v>0</v>
      </c>
      <c r="K32" s="1520"/>
      <c r="M32" s="27">
        <f t="shared" si="2"/>
        <v>2500</v>
      </c>
      <c r="N32" s="27">
        <f t="shared" si="3"/>
        <v>1250</v>
      </c>
      <c r="O32"/>
      <c r="P32"/>
      <c r="Q32" s="32" t="str">
        <f t="shared" si="0"/>
        <v>0213001</v>
      </c>
      <c r="R32" s="1541" t="s">
        <v>30925</v>
      </c>
      <c r="S32" s="27">
        <v>2500</v>
      </c>
      <c r="T32" s="27">
        <v>1250</v>
      </c>
    </row>
    <row r="33" spans="2:20" s="20" customFormat="1" ht="17.100000000000001" customHeight="1" x14ac:dyDescent="0.2">
      <c r="B33" s="753"/>
      <c r="C33" s="1103"/>
      <c r="D33" s="1104"/>
      <c r="E33" s="134"/>
      <c r="F33" s="32"/>
      <c r="G33" s="32"/>
      <c r="H33" s="133"/>
      <c r="I33" s="133"/>
      <c r="J33" s="32"/>
      <c r="K33" s="1520"/>
      <c r="M33" s="27" t="e">
        <f t="shared" si="2"/>
        <v>#N/A</v>
      </c>
      <c r="N33" s="27" t="e">
        <f t="shared" si="3"/>
        <v>#N/A</v>
      </c>
      <c r="O33"/>
      <c r="P33"/>
      <c r="Q33" s="32" t="str">
        <f t="shared" si="0"/>
        <v>0202023</v>
      </c>
      <c r="R33" s="1541" t="s">
        <v>29204</v>
      </c>
      <c r="S33" s="27">
        <v>3000</v>
      </c>
      <c r="T33" s="27">
        <v>1250</v>
      </c>
    </row>
    <row r="34" spans="2:20" s="20" customFormat="1" ht="17.100000000000001" customHeight="1" x14ac:dyDescent="0.25">
      <c r="B34" s="1509">
        <f>Liste!O66</f>
        <v>11</v>
      </c>
      <c r="C34" s="2994" t="str">
        <f t="shared" ref="C34:C41" si="4">VLOOKUP(F34,$Q$20:$R$52,2,FALSE)</f>
        <v xml:space="preserve">0202003 / Promatect-H 6  </v>
      </c>
      <c r="D34" s="2995"/>
      <c r="E34" s="1516" t="str">
        <f>Liste!N66</f>
        <v>Element oben Raums. Aussenl.</v>
      </c>
      <c r="F34" s="1107" t="str">
        <f>Liste!C66</f>
        <v>0202003</v>
      </c>
      <c r="G34" s="1107">
        <f>Liste!D66</f>
        <v>0</v>
      </c>
      <c r="H34" s="133">
        <f>Liste!E66</f>
        <v>1080</v>
      </c>
      <c r="I34" s="133">
        <f>Liste!F66</f>
        <v>400</v>
      </c>
      <c r="J34" s="1107">
        <f t="shared" si="1"/>
        <v>0</v>
      </c>
      <c r="K34" s="1520"/>
      <c r="M34" s="27">
        <f t="shared" si="2"/>
        <v>2500</v>
      </c>
      <c r="N34" s="27">
        <f t="shared" si="3"/>
        <v>1250</v>
      </c>
      <c r="O34"/>
      <c r="P34"/>
      <c r="Q34" s="32"/>
      <c r="R34" s="18"/>
      <c r="S34" s="27"/>
      <c r="T34" s="27"/>
    </row>
    <row r="35" spans="2:20" s="20" customFormat="1" ht="17.100000000000001" customHeight="1" x14ac:dyDescent="0.25">
      <c r="B35" s="1509">
        <f>Liste!O67</f>
        <v>12</v>
      </c>
      <c r="C35" s="2994" t="str">
        <f t="shared" si="4"/>
        <v xml:space="preserve">0202003 / Promatect-H 6  </v>
      </c>
      <c r="D35" s="2995"/>
      <c r="E35" s="1516" t="str">
        <f>Liste!N67</f>
        <v>Element oben Raums. Aussenl.</v>
      </c>
      <c r="F35" s="1107" t="str">
        <f>Liste!C67</f>
        <v>0202003</v>
      </c>
      <c r="G35" s="1107">
        <f>Liste!D67</f>
        <v>0</v>
      </c>
      <c r="H35" s="133">
        <f>Liste!E67</f>
        <v>0</v>
      </c>
      <c r="I35" s="133">
        <f>Liste!F67</f>
        <v>400</v>
      </c>
      <c r="J35" s="1107">
        <f>(H35/1000)*(I35/1000)*G35</f>
        <v>0</v>
      </c>
      <c r="K35" s="1520"/>
      <c r="M35" s="27">
        <f t="shared" si="2"/>
        <v>2500</v>
      </c>
      <c r="N35" s="27">
        <f t="shared" si="3"/>
        <v>1250</v>
      </c>
      <c r="O35"/>
      <c r="P35"/>
      <c r="Q35" s="32"/>
      <c r="R35" s="18"/>
      <c r="S35" s="27"/>
      <c r="T35" s="27"/>
    </row>
    <row r="36" spans="2:20" s="20" customFormat="1" ht="17.100000000000001" customHeight="1" x14ac:dyDescent="0.2">
      <c r="B36" s="1509">
        <f>Liste!O68</f>
        <v>13</v>
      </c>
      <c r="C36" s="2992" t="str">
        <f t="shared" si="4"/>
        <v xml:space="preserve">0202018 / GKF VK 18mm </v>
      </c>
      <c r="D36" s="2993"/>
      <c r="E36" s="1517" t="str">
        <f>Liste!N68</f>
        <v>Element oben Raums. Innenl.</v>
      </c>
      <c r="F36" s="32" t="str">
        <f>Liste!C68</f>
        <v>0202018</v>
      </c>
      <c r="G36" s="32">
        <f>Liste!D68</f>
        <v>0</v>
      </c>
      <c r="H36" s="133">
        <f>Liste!E68</f>
        <v>1080</v>
      </c>
      <c r="I36" s="133">
        <f>Liste!F68</f>
        <v>400</v>
      </c>
      <c r="J36" s="32">
        <f t="shared" si="1"/>
        <v>0</v>
      </c>
      <c r="K36" s="1520"/>
      <c r="M36" s="27">
        <f t="shared" si="2"/>
        <v>2500</v>
      </c>
      <c r="N36" s="27">
        <f t="shared" si="3"/>
        <v>1250</v>
      </c>
      <c r="O36"/>
      <c r="P36"/>
      <c r="Q36" s="32"/>
      <c r="R36" s="18"/>
      <c r="S36" s="27"/>
      <c r="T36" s="27"/>
    </row>
    <row r="37" spans="2:20" s="20" customFormat="1" ht="17.100000000000001" customHeight="1" x14ac:dyDescent="0.2">
      <c r="B37" s="1509">
        <f>Liste!O69</f>
        <v>14</v>
      </c>
      <c r="C37" s="2992" t="str">
        <f t="shared" si="4"/>
        <v xml:space="preserve">0202018 / GKF VK 18mm </v>
      </c>
      <c r="D37" s="2993"/>
      <c r="E37" s="1517" t="str">
        <f>Liste!N69</f>
        <v>Element oben Raums. Innenl.</v>
      </c>
      <c r="F37" s="32" t="str">
        <f>Liste!C69</f>
        <v>0202018</v>
      </c>
      <c r="G37" s="32">
        <f>Liste!D69</f>
        <v>0</v>
      </c>
      <c r="H37" s="133">
        <f>Liste!E69</f>
        <v>0</v>
      </c>
      <c r="I37" s="133">
        <f>Liste!F69</f>
        <v>400</v>
      </c>
      <c r="J37" s="32">
        <f>(H37/1000)*(I37/1000)*G37</f>
        <v>0</v>
      </c>
      <c r="K37" s="1520"/>
      <c r="M37" s="27">
        <f t="shared" si="2"/>
        <v>2500</v>
      </c>
      <c r="N37" s="27">
        <f t="shared" si="3"/>
        <v>1250</v>
      </c>
      <c r="O37"/>
      <c r="P37"/>
      <c r="Q37" s="32"/>
      <c r="S37" s="27"/>
      <c r="T37" s="27"/>
    </row>
    <row r="38" spans="2:20" s="20" customFormat="1" ht="17.100000000000001" customHeight="1" x14ac:dyDescent="0.2">
      <c r="B38" s="1509">
        <f>Liste!O70</f>
        <v>15</v>
      </c>
      <c r="C38" s="2992" t="str">
        <f t="shared" si="4"/>
        <v xml:space="preserve">0202018 / GKF VK 18mm </v>
      </c>
      <c r="D38" s="2993"/>
      <c r="E38" s="1517" t="str">
        <f>Liste!N70</f>
        <v>Element oben Wands. Innenl.</v>
      </c>
      <c r="F38" s="32" t="str">
        <f>Liste!C70</f>
        <v>0202018</v>
      </c>
      <c r="G38" s="32">
        <f>Liste!D70</f>
        <v>0</v>
      </c>
      <c r="H38" s="133">
        <f>Liste!E70</f>
        <v>1080</v>
      </c>
      <c r="I38" s="133">
        <f>Liste!F70</f>
        <v>500</v>
      </c>
      <c r="J38" s="32">
        <f t="shared" si="1"/>
        <v>0</v>
      </c>
      <c r="K38" s="1520"/>
      <c r="M38" s="27">
        <f t="shared" si="2"/>
        <v>2500</v>
      </c>
      <c r="N38" s="27">
        <f t="shared" si="3"/>
        <v>1250</v>
      </c>
      <c r="O38"/>
      <c r="P38"/>
      <c r="Q38" s="32"/>
      <c r="R38" s="18"/>
      <c r="S38" s="27"/>
      <c r="T38" s="27"/>
    </row>
    <row r="39" spans="2:20" s="20" customFormat="1" ht="17.100000000000001" customHeight="1" x14ac:dyDescent="0.2">
      <c r="B39" s="1509">
        <f>Liste!O71</f>
        <v>16</v>
      </c>
      <c r="C39" s="2992" t="str">
        <f t="shared" si="4"/>
        <v xml:space="preserve">0202018 / GKF VK 18mm </v>
      </c>
      <c r="D39" s="2993"/>
      <c r="E39" s="1517" t="str">
        <f>Liste!N71</f>
        <v>Element oben Wands. Innenl.</v>
      </c>
      <c r="F39" s="32" t="str">
        <f>Liste!C71</f>
        <v>0202018</v>
      </c>
      <c r="G39" s="32">
        <f>Liste!D71</f>
        <v>0</v>
      </c>
      <c r="H39" s="133">
        <f>Liste!E71</f>
        <v>0</v>
      </c>
      <c r="I39" s="133">
        <f>Liste!F71</f>
        <v>500</v>
      </c>
      <c r="J39" s="32">
        <f>(H39/1000)*(I39/1000)*G39</f>
        <v>0</v>
      </c>
      <c r="K39" s="1520"/>
      <c r="M39" s="27">
        <f t="shared" si="2"/>
        <v>2500</v>
      </c>
      <c r="N39" s="27">
        <f t="shared" si="3"/>
        <v>1250</v>
      </c>
      <c r="O39"/>
      <c r="P39"/>
      <c r="Q39" s="32"/>
      <c r="R39" s="18"/>
      <c r="S39" s="27"/>
      <c r="T39" s="27"/>
    </row>
    <row r="40" spans="2:20" s="20" customFormat="1" ht="17.100000000000001" customHeight="1" x14ac:dyDescent="0.25">
      <c r="B40" s="1509">
        <f>Liste!O72</f>
        <v>17</v>
      </c>
      <c r="C40" s="2994" t="str">
        <f t="shared" si="4"/>
        <v xml:space="preserve">0202003 / Promatect-H 6  </v>
      </c>
      <c r="D40" s="2995"/>
      <c r="E40" s="1516" t="str">
        <f>Liste!N72</f>
        <v>Element oben Wands. Aussenl.</v>
      </c>
      <c r="F40" s="1107" t="str">
        <f>Liste!C72</f>
        <v>0202003</v>
      </c>
      <c r="G40" s="1107">
        <f>Liste!D72</f>
        <v>0</v>
      </c>
      <c r="H40" s="133">
        <f>Liste!E72</f>
        <v>1080</v>
      </c>
      <c r="I40" s="133">
        <f>Liste!F72</f>
        <v>500</v>
      </c>
      <c r="J40" s="1107">
        <f t="shared" si="1"/>
        <v>0</v>
      </c>
      <c r="K40" s="1520"/>
      <c r="M40" s="27">
        <f t="shared" si="2"/>
        <v>2500</v>
      </c>
      <c r="N40" s="27">
        <f t="shared" si="3"/>
        <v>1250</v>
      </c>
      <c r="O40"/>
      <c r="P40"/>
      <c r="Q40" s="32"/>
      <c r="R40" s="18"/>
      <c r="S40" s="27"/>
      <c r="T40" s="27"/>
    </row>
    <row r="41" spans="2:20" s="20" customFormat="1" ht="17.100000000000001" customHeight="1" x14ac:dyDescent="0.25">
      <c r="B41" s="1509">
        <f>Liste!O73</f>
        <v>18</v>
      </c>
      <c r="C41" s="2994" t="str">
        <f t="shared" si="4"/>
        <v xml:space="preserve">0202003 / Promatect-H 6  </v>
      </c>
      <c r="D41" s="2995"/>
      <c r="E41" s="1516" t="str">
        <f>Liste!N73</f>
        <v>Element oben Wands. Aussenl.</v>
      </c>
      <c r="F41" s="1107" t="str">
        <f>Liste!C73</f>
        <v>0202003</v>
      </c>
      <c r="G41" s="1107">
        <f>Liste!D73</f>
        <v>0</v>
      </c>
      <c r="H41" s="133">
        <f>Liste!E73</f>
        <v>0</v>
      </c>
      <c r="I41" s="133">
        <f>Liste!F73</f>
        <v>500</v>
      </c>
      <c r="J41" s="1107">
        <f>(H41/1000)*(I41/1000)*G41</f>
        <v>0</v>
      </c>
      <c r="K41" s="1520"/>
      <c r="M41" s="27">
        <f t="shared" si="2"/>
        <v>2500</v>
      </c>
      <c r="N41" s="27">
        <f t="shared" si="3"/>
        <v>1250</v>
      </c>
      <c r="O41"/>
      <c r="P41"/>
      <c r="Q41" s="32"/>
      <c r="R41" s="18"/>
      <c r="S41" s="27"/>
      <c r="T41" s="27"/>
    </row>
    <row r="42" spans="2:20" s="20" customFormat="1" ht="17.100000000000001" customHeight="1" x14ac:dyDescent="0.2">
      <c r="B42" s="753"/>
      <c r="C42" s="1103"/>
      <c r="D42" s="1104"/>
      <c r="E42" s="134"/>
      <c r="F42" s="32"/>
      <c r="G42" s="32"/>
      <c r="H42" s="133"/>
      <c r="I42" s="133"/>
      <c r="J42" s="32"/>
      <c r="K42" s="1520"/>
      <c r="M42" s="27" t="e">
        <f t="shared" si="2"/>
        <v>#N/A</v>
      </c>
      <c r="N42" s="27" t="e">
        <f t="shared" si="3"/>
        <v>#N/A</v>
      </c>
      <c r="O42"/>
      <c r="P42"/>
      <c r="Q42" s="32"/>
      <c r="R42" s="18"/>
      <c r="S42" s="27"/>
      <c r="T42" s="27"/>
    </row>
    <row r="43" spans="2:20" s="20" customFormat="1" ht="17.100000000000001" customHeight="1" x14ac:dyDescent="0.25">
      <c r="B43" s="1509">
        <f>Liste!O87</f>
        <v>19</v>
      </c>
      <c r="C43" s="2994" t="str">
        <f t="shared" ref="C43:C50" si="5">VLOOKUP(F43,$Q$20:$R$52,2,FALSE)</f>
        <v xml:space="preserve">0202003 / Promatect-H 6  </v>
      </c>
      <c r="D43" s="2995"/>
      <c r="E43" s="1513" t="str">
        <f>Liste!N87</f>
        <v>Element unten Raums. Aussenl.</v>
      </c>
      <c r="F43" s="1107" t="str">
        <f>Liste!C87</f>
        <v>0202003</v>
      </c>
      <c r="G43" s="1107">
        <f>Liste!D87</f>
        <v>0</v>
      </c>
      <c r="H43" s="133">
        <f>Liste!E87</f>
        <v>1080</v>
      </c>
      <c r="I43" s="133">
        <f>Liste!F87</f>
        <v>286</v>
      </c>
      <c r="J43" s="1107">
        <f t="shared" si="1"/>
        <v>0</v>
      </c>
      <c r="K43" s="1520"/>
      <c r="M43" s="27">
        <f t="shared" si="2"/>
        <v>2500</v>
      </c>
      <c r="N43" s="27">
        <f t="shared" si="3"/>
        <v>1250</v>
      </c>
      <c r="O43"/>
      <c r="P43"/>
      <c r="Q43" s="32"/>
      <c r="S43" s="27"/>
      <c r="T43" s="27"/>
    </row>
    <row r="44" spans="2:20" s="20" customFormat="1" ht="17.100000000000001" customHeight="1" x14ac:dyDescent="0.25">
      <c r="B44" s="1509">
        <f>Liste!O88</f>
        <v>20</v>
      </c>
      <c r="C44" s="2994" t="str">
        <f t="shared" si="5"/>
        <v xml:space="preserve">0202003 / Promatect-H 6  </v>
      </c>
      <c r="D44" s="2995"/>
      <c r="E44" s="1513" t="str">
        <f>Liste!N88</f>
        <v>Element unten Raums. Aussenl.</v>
      </c>
      <c r="F44" s="1107" t="str">
        <f>Liste!C88</f>
        <v>0202003</v>
      </c>
      <c r="G44" s="1107">
        <f>Liste!D88</f>
        <v>0</v>
      </c>
      <c r="H44" s="133">
        <f>Liste!E88</f>
        <v>0</v>
      </c>
      <c r="I44" s="133">
        <f>Liste!F88</f>
        <v>286</v>
      </c>
      <c r="J44" s="1107">
        <f>(H44/1000)*(I44/1000)*G44</f>
        <v>0</v>
      </c>
      <c r="K44" s="1520"/>
      <c r="M44" s="27">
        <f t="shared" si="2"/>
        <v>2500</v>
      </c>
      <c r="N44" s="27">
        <f t="shared" si="3"/>
        <v>1250</v>
      </c>
      <c r="O44"/>
      <c r="P44"/>
      <c r="Q44" s="32"/>
      <c r="S44" s="27"/>
      <c r="T44" s="27"/>
    </row>
    <row r="45" spans="2:20" s="20" customFormat="1" ht="17.100000000000001" customHeight="1" x14ac:dyDescent="0.2">
      <c r="B45" s="1509">
        <f>Liste!O89</f>
        <v>21</v>
      </c>
      <c r="C45" s="2992" t="str">
        <f t="shared" si="5"/>
        <v xml:space="preserve">0202018 / GKF VK 18mm </v>
      </c>
      <c r="D45" s="2993"/>
      <c r="E45" s="1515" t="str">
        <f>Liste!N89</f>
        <v>Element unten Raums. Innenl.</v>
      </c>
      <c r="F45" s="32" t="str">
        <f>Liste!C89</f>
        <v>0202018</v>
      </c>
      <c r="G45" s="32">
        <f>Liste!D89</f>
        <v>0</v>
      </c>
      <c r="H45" s="133">
        <f>Liste!E89</f>
        <v>1080</v>
      </c>
      <c r="I45" s="133">
        <f>Liste!F89</f>
        <v>286</v>
      </c>
      <c r="J45" s="32">
        <f t="shared" si="1"/>
        <v>0</v>
      </c>
      <c r="K45" s="1520"/>
      <c r="M45" s="27">
        <f t="shared" si="2"/>
        <v>2500</v>
      </c>
      <c r="N45" s="27">
        <f t="shared" si="3"/>
        <v>1250</v>
      </c>
      <c r="O45"/>
      <c r="P45"/>
      <c r="Q45" s="32"/>
      <c r="S45" s="27"/>
      <c r="T45" s="27"/>
    </row>
    <row r="46" spans="2:20" s="20" customFormat="1" ht="17.100000000000001" customHeight="1" x14ac:dyDescent="0.2">
      <c r="B46" s="1509">
        <f>Liste!O90</f>
        <v>22</v>
      </c>
      <c r="C46" s="2992" t="str">
        <f t="shared" si="5"/>
        <v xml:space="preserve">0202018 / GKF VK 18mm </v>
      </c>
      <c r="D46" s="2993"/>
      <c r="E46" s="1515" t="str">
        <f>Liste!N90</f>
        <v>Element unten Raums. Innenl.</v>
      </c>
      <c r="F46" s="32" t="str">
        <f>Liste!C90</f>
        <v>0202018</v>
      </c>
      <c r="G46" s="32">
        <f>Liste!D90</f>
        <v>0</v>
      </c>
      <c r="H46" s="133">
        <f>Liste!E90</f>
        <v>0</v>
      </c>
      <c r="I46" s="133">
        <f>Liste!F90</f>
        <v>286</v>
      </c>
      <c r="J46" s="32">
        <f>(H46/1000)*(I46/1000)*G46</f>
        <v>0</v>
      </c>
      <c r="K46" s="1520"/>
      <c r="M46" s="27">
        <f t="shared" si="2"/>
        <v>2500</v>
      </c>
      <c r="N46" s="27">
        <f t="shared" si="3"/>
        <v>1250</v>
      </c>
      <c r="O46"/>
      <c r="P46"/>
      <c r="Q46" s="32"/>
      <c r="S46" s="27"/>
      <c r="T46" s="27"/>
    </row>
    <row r="47" spans="2:20" s="20" customFormat="1" ht="17.100000000000001" customHeight="1" x14ac:dyDescent="0.2">
      <c r="B47" s="1509">
        <f>Liste!O91</f>
        <v>23</v>
      </c>
      <c r="C47" s="2992" t="str">
        <f t="shared" si="5"/>
        <v xml:space="preserve">0202018 / GKF VK 18mm </v>
      </c>
      <c r="D47" s="2993"/>
      <c r="E47" s="1515" t="str">
        <f>Liste!N91</f>
        <v>Element unten Wands. Innenl.</v>
      </c>
      <c r="F47" s="32" t="str">
        <f>Liste!C91</f>
        <v>0202018</v>
      </c>
      <c r="G47" s="32">
        <f>Liste!D91</f>
        <v>0</v>
      </c>
      <c r="H47" s="133">
        <f>Liste!E91</f>
        <v>1080</v>
      </c>
      <c r="I47" s="133">
        <f>Liste!F91</f>
        <v>186</v>
      </c>
      <c r="J47" s="32">
        <f t="shared" si="1"/>
        <v>0</v>
      </c>
      <c r="K47" s="1520"/>
      <c r="M47" s="27">
        <f t="shared" si="2"/>
        <v>2500</v>
      </c>
      <c r="N47" s="27">
        <f t="shared" si="3"/>
        <v>1250</v>
      </c>
      <c r="O47"/>
      <c r="P47"/>
      <c r="Q47" s="32"/>
      <c r="S47" s="27"/>
      <c r="T47" s="27"/>
    </row>
    <row r="48" spans="2:20" s="20" customFormat="1" ht="17.100000000000001" customHeight="1" x14ac:dyDescent="0.2">
      <c r="B48" s="1509">
        <f>Liste!O92</f>
        <v>24</v>
      </c>
      <c r="C48" s="2992" t="str">
        <f t="shared" si="5"/>
        <v xml:space="preserve">0202018 / GKF VK 18mm </v>
      </c>
      <c r="D48" s="2993"/>
      <c r="E48" s="1515" t="str">
        <f>Liste!N92</f>
        <v>Element unten Wands. Innenl.</v>
      </c>
      <c r="F48" s="32" t="str">
        <f>Liste!C92</f>
        <v>0202018</v>
      </c>
      <c r="G48" s="32">
        <f>Liste!D92</f>
        <v>0</v>
      </c>
      <c r="H48" s="133">
        <f>Liste!E92</f>
        <v>0</v>
      </c>
      <c r="I48" s="133">
        <f>Liste!F92</f>
        <v>186</v>
      </c>
      <c r="J48" s="32">
        <f>(H48/1000)*(I48/1000)*G48</f>
        <v>0</v>
      </c>
      <c r="K48" s="1520"/>
      <c r="M48" s="27">
        <f t="shared" si="2"/>
        <v>2500</v>
      </c>
      <c r="N48" s="27">
        <f t="shared" si="3"/>
        <v>1250</v>
      </c>
      <c r="O48"/>
      <c r="P48"/>
      <c r="Q48" s="32"/>
      <c r="S48" s="27"/>
      <c r="T48" s="27"/>
    </row>
    <row r="49" spans="2:20" s="20" customFormat="1" ht="17.100000000000001" customHeight="1" x14ac:dyDescent="0.25">
      <c r="B49" s="1509">
        <f>Liste!O93</f>
        <v>25</v>
      </c>
      <c r="C49" s="2994" t="str">
        <f t="shared" si="5"/>
        <v xml:space="preserve">0202003 / Promatect-H 6  </v>
      </c>
      <c r="D49" s="2995"/>
      <c r="E49" s="1513" t="str">
        <f>Liste!N93</f>
        <v>Element unten Wands. Aussenl.</v>
      </c>
      <c r="F49" s="1107" t="str">
        <f>Liste!C93</f>
        <v>0202003</v>
      </c>
      <c r="G49" s="1107">
        <f>Liste!D93</f>
        <v>0</v>
      </c>
      <c r="H49" s="133">
        <f>Liste!E93</f>
        <v>1080</v>
      </c>
      <c r="I49" s="133">
        <f>Liste!F93</f>
        <v>186</v>
      </c>
      <c r="J49" s="1107">
        <f t="shared" si="1"/>
        <v>0</v>
      </c>
      <c r="K49" s="1520"/>
      <c r="M49" s="27">
        <f t="shared" si="2"/>
        <v>2500</v>
      </c>
      <c r="N49" s="27">
        <f t="shared" si="3"/>
        <v>1250</v>
      </c>
      <c r="O49"/>
      <c r="P49"/>
      <c r="Q49" s="32"/>
      <c r="S49" s="27"/>
      <c r="T49" s="27"/>
    </row>
    <row r="50" spans="2:20" s="20" customFormat="1" ht="17.100000000000001" customHeight="1" x14ac:dyDescent="0.25">
      <c r="B50" s="1509">
        <f>Liste!O94</f>
        <v>26</v>
      </c>
      <c r="C50" s="2994" t="str">
        <f t="shared" si="5"/>
        <v xml:space="preserve">0202003 / Promatect-H 6  </v>
      </c>
      <c r="D50" s="2995"/>
      <c r="E50" s="1513" t="str">
        <f>Liste!N94</f>
        <v>Element unten Wands. Aussenl.</v>
      </c>
      <c r="F50" s="1107" t="str">
        <f>Liste!C94</f>
        <v>0202003</v>
      </c>
      <c r="G50" s="1107">
        <f>Liste!D94</f>
        <v>0</v>
      </c>
      <c r="H50" s="133">
        <f>Liste!E94</f>
        <v>0</v>
      </c>
      <c r="I50" s="133">
        <f>Liste!F94</f>
        <v>186</v>
      </c>
      <c r="J50" s="1107">
        <f>(H50/1000)*(I50/1000)*G50</f>
        <v>0</v>
      </c>
      <c r="K50" s="1520"/>
      <c r="M50" s="27">
        <f t="shared" si="2"/>
        <v>2500</v>
      </c>
      <c r="N50" s="27">
        <f t="shared" si="3"/>
        <v>1250</v>
      </c>
      <c r="O50"/>
      <c r="P50"/>
      <c r="Q50" s="32"/>
      <c r="S50" s="27"/>
      <c r="T50" s="27"/>
    </row>
    <row r="51" spans="2:20" s="20" customFormat="1" ht="17.100000000000001" customHeight="1" x14ac:dyDescent="0.2">
      <c r="B51" s="753"/>
      <c r="C51" s="1103"/>
      <c r="D51" s="1104"/>
      <c r="E51" s="134"/>
      <c r="F51" s="32"/>
      <c r="G51" s="32"/>
      <c r="H51" s="133"/>
      <c r="I51" s="133"/>
      <c r="J51" s="32"/>
      <c r="K51" s="1520"/>
      <c r="M51" s="27" t="e">
        <f t="shared" si="2"/>
        <v>#N/A</v>
      </c>
      <c r="N51" s="27" t="e">
        <f t="shared" si="3"/>
        <v>#N/A</v>
      </c>
      <c r="O51"/>
      <c r="P51"/>
      <c r="Q51" s="32"/>
      <c r="S51" s="27"/>
      <c r="T51" s="27"/>
    </row>
    <row r="52" spans="2:20" s="20" customFormat="1" x14ac:dyDescent="0.2">
      <c r="B52" s="1509">
        <f>Liste!O95</f>
        <v>27</v>
      </c>
      <c r="C52" s="2992" t="str">
        <f t="shared" ref="C52:C57" si="6">VLOOKUP(F52,$Q$20:$R$52,2,FALSE)</f>
        <v xml:space="preserve">0202003 / Promatect-H 6  </v>
      </c>
      <c r="D52" s="2993"/>
      <c r="E52" s="1514" t="str">
        <f>Liste!N95</f>
        <v>Aufdopplung</v>
      </c>
      <c r="F52" s="32" t="str">
        <f>Liste!C95</f>
        <v>0202003</v>
      </c>
      <c r="G52" s="32">
        <f>Liste!D95</f>
        <v>1</v>
      </c>
      <c r="H52" s="133">
        <f>Liste!E95</f>
        <v>960</v>
      </c>
      <c r="I52" s="133">
        <f>Liste!F95</f>
        <v>80</v>
      </c>
      <c r="J52" s="32">
        <f t="shared" si="1"/>
        <v>7.6799999999999993E-2</v>
      </c>
      <c r="K52" s="1520"/>
      <c r="M52" s="27">
        <f t="shared" si="2"/>
        <v>2500</v>
      </c>
      <c r="N52" s="27">
        <f t="shared" si="3"/>
        <v>1250</v>
      </c>
      <c r="O52"/>
      <c r="P52"/>
      <c r="Q52" s="32"/>
      <c r="S52" s="27"/>
      <c r="T52" s="27"/>
    </row>
    <row r="53" spans="2:20" s="20" customFormat="1" x14ac:dyDescent="0.2">
      <c r="B53" s="1509">
        <f>Liste!O96</f>
        <v>28</v>
      </c>
      <c r="C53" s="2992" t="str">
        <f t="shared" si="6"/>
        <v xml:space="preserve">0202003 / Promatect-H 6  </v>
      </c>
      <c r="D53" s="2993"/>
      <c r="E53" s="1514" t="str">
        <f>Liste!N96</f>
        <v>Aufdopplung</v>
      </c>
      <c r="F53" s="32" t="str">
        <f>Liste!C96</f>
        <v>0202003</v>
      </c>
      <c r="G53" s="32">
        <f>Liste!D96</f>
        <v>0</v>
      </c>
      <c r="H53" s="133">
        <f>Liste!E96</f>
        <v>0</v>
      </c>
      <c r="I53" s="133">
        <f>Liste!F96</f>
        <v>80</v>
      </c>
      <c r="J53" s="32">
        <f>(H53/1000)*(I53/1000)*G53</f>
        <v>0</v>
      </c>
      <c r="K53" s="1520"/>
      <c r="M53" s="27">
        <f t="shared" si="2"/>
        <v>2500</v>
      </c>
      <c r="N53" s="27">
        <f t="shared" si="3"/>
        <v>1250</v>
      </c>
      <c r="O53"/>
      <c r="P53"/>
      <c r="Q53" s="1121"/>
      <c r="S53" s="27"/>
      <c r="T53" s="27"/>
    </row>
    <row r="54" spans="2:20" s="20" customFormat="1" x14ac:dyDescent="0.2">
      <c r="B54" s="1509">
        <f>Liste!O97</f>
        <v>29</v>
      </c>
      <c r="C54" s="2992" t="str">
        <f t="shared" si="6"/>
        <v xml:space="preserve">0202018 / GKF VK 18mm </v>
      </c>
      <c r="D54" s="2993"/>
      <c r="E54" s="1514" t="str">
        <f>Liste!N97</f>
        <v>Aufdopplung</v>
      </c>
      <c r="F54" s="32" t="str">
        <f>Liste!C97</f>
        <v>0202018</v>
      </c>
      <c r="G54" s="32">
        <f>Liste!D97</f>
        <v>2</v>
      </c>
      <c r="H54" s="133">
        <f>Liste!E97</f>
        <v>960</v>
      </c>
      <c r="I54" s="133">
        <f>Liste!F97</f>
        <v>80</v>
      </c>
      <c r="J54" s="32">
        <f t="shared" si="1"/>
        <v>0.15359999999999999</v>
      </c>
      <c r="K54" s="1520"/>
      <c r="M54" s="27">
        <f t="shared" si="2"/>
        <v>2500</v>
      </c>
      <c r="N54" s="27">
        <f t="shared" si="3"/>
        <v>1250</v>
      </c>
      <c r="O54"/>
      <c r="P54"/>
      <c r="S54" s="27"/>
      <c r="T54" s="27"/>
    </row>
    <row r="55" spans="2:20" s="20" customFormat="1" x14ac:dyDescent="0.2">
      <c r="B55" s="1509">
        <f>Liste!O98</f>
        <v>30</v>
      </c>
      <c r="C55" s="2992" t="str">
        <f t="shared" si="6"/>
        <v xml:space="preserve">0202018 / GKF VK 18mm </v>
      </c>
      <c r="D55" s="2993"/>
      <c r="E55" s="1514" t="str">
        <f>Liste!N98</f>
        <v>Aufdopplung</v>
      </c>
      <c r="F55" s="32" t="str">
        <f>Liste!C98</f>
        <v>0202018</v>
      </c>
      <c r="G55" s="32">
        <f>Liste!D98</f>
        <v>0</v>
      </c>
      <c r="H55" s="133">
        <f>Liste!E98</f>
        <v>0</v>
      </c>
      <c r="I55" s="133">
        <f>Liste!F98</f>
        <v>80</v>
      </c>
      <c r="J55" s="32">
        <f>(H55/1000)*(I55/1000)*G55</f>
        <v>0</v>
      </c>
      <c r="K55" s="1520"/>
      <c r="M55" s="27">
        <f t="shared" si="2"/>
        <v>2500</v>
      </c>
      <c r="N55" s="27">
        <f t="shared" si="3"/>
        <v>1250</v>
      </c>
      <c r="O55"/>
      <c r="P55"/>
      <c r="S55" s="27"/>
      <c r="T55" s="27"/>
    </row>
    <row r="56" spans="2:20" s="20" customFormat="1" x14ac:dyDescent="0.2">
      <c r="B56" s="1509">
        <f>Liste!O99</f>
        <v>31</v>
      </c>
      <c r="C56" s="2992" t="str">
        <f t="shared" si="6"/>
        <v xml:space="preserve">0708161 / GKF 12,5mm </v>
      </c>
      <c r="D56" s="2993"/>
      <c r="E56" s="1514" t="str">
        <f>Liste!N99</f>
        <v>Aufdopplung</v>
      </c>
      <c r="F56" s="32" t="str">
        <f>Liste!C99</f>
        <v>0708161</v>
      </c>
      <c r="G56" s="32">
        <f>Liste!D99</f>
        <v>2</v>
      </c>
      <c r="H56" s="133">
        <f>Liste!E99</f>
        <v>960</v>
      </c>
      <c r="I56" s="133">
        <f>Liste!F99</f>
        <v>80</v>
      </c>
      <c r="J56" s="32">
        <f>(H56/1000)*(I56/1000)*G56</f>
        <v>0.15359999999999999</v>
      </c>
      <c r="K56" s="1520"/>
      <c r="M56" s="27">
        <f t="shared" si="2"/>
        <v>2000</v>
      </c>
      <c r="N56" s="27">
        <f t="shared" si="3"/>
        <v>1250</v>
      </c>
      <c r="O56"/>
      <c r="P56"/>
      <c r="S56" s="27"/>
      <c r="T56" s="27"/>
    </row>
    <row r="57" spans="2:20" s="20" customFormat="1" x14ac:dyDescent="0.2">
      <c r="B57" s="1509">
        <f>Liste!O100</f>
        <v>32</v>
      </c>
      <c r="C57" s="2992" t="str">
        <f t="shared" si="6"/>
        <v xml:space="preserve">0708161 / GKF 12,5mm </v>
      </c>
      <c r="D57" s="2993"/>
      <c r="E57" s="1514" t="str">
        <f>Liste!N100</f>
        <v>Aufdopplung</v>
      </c>
      <c r="F57" s="32" t="str">
        <f>Liste!C100</f>
        <v>0708161</v>
      </c>
      <c r="G57" s="32">
        <f>Liste!D100</f>
        <v>0</v>
      </c>
      <c r="H57" s="133">
        <f>Liste!E100</f>
        <v>0</v>
      </c>
      <c r="I57" s="133">
        <f>Liste!F100</f>
        <v>80</v>
      </c>
      <c r="J57" s="32">
        <f>(H57/1000)*(I57/1000)*G57</f>
        <v>0</v>
      </c>
      <c r="K57" s="1520"/>
      <c r="M57" s="27">
        <f t="shared" si="2"/>
        <v>2000</v>
      </c>
      <c r="N57" s="27">
        <f t="shared" si="3"/>
        <v>1250</v>
      </c>
      <c r="O57"/>
      <c r="P57"/>
      <c r="S57" s="27"/>
      <c r="T57" s="27"/>
    </row>
    <row r="58" spans="2:20" s="20" customFormat="1" x14ac:dyDescent="0.2">
      <c r="B58" s="753"/>
      <c r="C58" s="1103"/>
      <c r="D58" s="1104"/>
      <c r="E58" s="134"/>
      <c r="F58" s="32"/>
      <c r="G58" s="32"/>
      <c r="H58" s="133"/>
      <c r="I58" s="133"/>
      <c r="J58" s="32"/>
      <c r="K58" s="1520"/>
      <c r="M58" s="27" t="e">
        <f t="shared" si="2"/>
        <v>#N/A</v>
      </c>
      <c r="N58" s="27" t="e">
        <f t="shared" si="3"/>
        <v>#N/A</v>
      </c>
      <c r="O58"/>
      <c r="P58"/>
      <c r="S58" s="27"/>
      <c r="T58" s="27"/>
    </row>
    <row r="59" spans="2:20" s="20" customFormat="1" x14ac:dyDescent="0.2">
      <c r="B59" s="1509">
        <f>Liste!O165</f>
        <v>33</v>
      </c>
      <c r="C59" s="2992" t="str">
        <f>VLOOKUP(F59,$Q$20:$R$52,2,FALSE)</f>
        <v xml:space="preserve">0202010 / Promatect-H 10 </v>
      </c>
      <c r="D59" s="2993"/>
      <c r="E59" s="1514" t="str">
        <f>Liste!N165</f>
        <v>Deckelplatte Siko in Aufdopplung</v>
      </c>
      <c r="F59" s="30" t="str">
        <f>Liste!C165</f>
        <v>0202010</v>
      </c>
      <c r="G59" s="202">
        <f>Liste!D165</f>
        <v>0</v>
      </c>
      <c r="H59" s="133">
        <f>Liste!F165</f>
        <v>100</v>
      </c>
      <c r="I59" s="133">
        <f>Liste!E165</f>
        <v>80</v>
      </c>
      <c r="J59" s="32">
        <f>(H59/1000)*(I59/1000)*G59</f>
        <v>0</v>
      </c>
      <c r="K59" s="1520"/>
      <c r="M59" s="27">
        <f t="shared" si="2"/>
        <v>2500</v>
      </c>
      <c r="N59" s="27">
        <f t="shared" si="3"/>
        <v>1250</v>
      </c>
      <c r="O59"/>
      <c r="P59"/>
      <c r="S59" s="27"/>
      <c r="T59" s="27"/>
    </row>
    <row r="60" spans="2:20" s="20" customFormat="1" x14ac:dyDescent="0.2">
      <c r="B60" s="1509">
        <f>Liste!O166</f>
        <v>34</v>
      </c>
      <c r="C60" s="2992" t="str">
        <f t="shared" ref="C60:C65" si="7">VLOOKUP(F60,$Q$20:$R$52,2,FALSE)</f>
        <v xml:space="preserve">0202020 / Promatect-H 20 </v>
      </c>
      <c r="D60" s="2993"/>
      <c r="E60" s="1514" t="str">
        <f>Liste!N166</f>
        <v>Aufdopplung Siko Lage 1</v>
      </c>
      <c r="F60" s="30" t="str">
        <f>Liste!C166</f>
        <v>0202020</v>
      </c>
      <c r="G60" s="202">
        <f>Liste!D166</f>
        <v>0</v>
      </c>
      <c r="H60" s="133">
        <f>Liste!F166</f>
        <v>950</v>
      </c>
      <c r="I60" s="133">
        <f>Liste!E166</f>
        <v>50</v>
      </c>
      <c r="J60" s="32">
        <f>(H60/1000)*(I60/1000)*G60</f>
        <v>0</v>
      </c>
      <c r="K60" s="1520"/>
      <c r="M60" s="27">
        <f t="shared" si="2"/>
        <v>2500</v>
      </c>
      <c r="N60" s="27">
        <f t="shared" si="3"/>
        <v>1250</v>
      </c>
      <c r="O60"/>
      <c r="P60"/>
      <c r="S60" s="27"/>
      <c r="T60" s="27"/>
    </row>
    <row r="61" spans="2:20" s="20" customFormat="1" x14ac:dyDescent="0.2">
      <c r="B61" s="1509">
        <f>Liste!O167</f>
        <v>35</v>
      </c>
      <c r="C61" s="2992" t="str">
        <f t="shared" si="7"/>
        <v xml:space="preserve">0202020 / Promatect-H 20 </v>
      </c>
      <c r="D61" s="2993"/>
      <c r="E61" s="1514" t="str">
        <f>Liste!N167</f>
        <v>Aufdopplung Siko Lage 1</v>
      </c>
      <c r="F61" s="30" t="str">
        <f>Liste!C167</f>
        <v>0202020</v>
      </c>
      <c r="G61" s="202">
        <f>Liste!D167</f>
        <v>0</v>
      </c>
      <c r="H61" s="133">
        <f>Liste!F167</f>
        <v>0</v>
      </c>
      <c r="I61" s="133">
        <f>Liste!E167</f>
        <v>50</v>
      </c>
      <c r="J61" s="954">
        <f t="shared" si="1"/>
        <v>0</v>
      </c>
      <c r="K61" s="40"/>
      <c r="M61" s="27">
        <f t="shared" si="2"/>
        <v>2500</v>
      </c>
      <c r="N61" s="27">
        <f t="shared" si="3"/>
        <v>1250</v>
      </c>
      <c r="S61" s="27"/>
      <c r="T61" s="27"/>
    </row>
    <row r="62" spans="2:20" s="20" customFormat="1" x14ac:dyDescent="0.2">
      <c r="B62" s="1509">
        <f>Liste!O168</f>
        <v>36</v>
      </c>
      <c r="C62" s="2992" t="str">
        <f t="shared" si="7"/>
        <v xml:space="preserve">0202020 / Promatect-H 20 </v>
      </c>
      <c r="D62" s="2993"/>
      <c r="E62" s="1514" t="str">
        <f>Liste!N168</f>
        <v>Aufdopplung Siko Lage 2</v>
      </c>
      <c r="F62" s="30" t="str">
        <f>Liste!C168</f>
        <v>0202020</v>
      </c>
      <c r="G62" s="202">
        <f>Liste!D168</f>
        <v>0</v>
      </c>
      <c r="H62" s="133">
        <f>Liste!F168</f>
        <v>920</v>
      </c>
      <c r="I62" s="133">
        <f>Liste!E168</f>
        <v>50</v>
      </c>
      <c r="J62" s="954">
        <f t="shared" si="1"/>
        <v>0</v>
      </c>
      <c r="K62" s="40"/>
      <c r="M62" s="27">
        <f t="shared" si="2"/>
        <v>2500</v>
      </c>
      <c r="N62" s="27">
        <f t="shared" si="3"/>
        <v>1250</v>
      </c>
      <c r="S62" s="27"/>
      <c r="T62" s="27"/>
    </row>
    <row r="63" spans="2:20" s="20" customFormat="1" x14ac:dyDescent="0.2">
      <c r="B63" s="1509">
        <f>Liste!O169</f>
        <v>37</v>
      </c>
      <c r="C63" s="2992" t="str">
        <f t="shared" si="7"/>
        <v xml:space="preserve">0202020 / Promatect-H 20 </v>
      </c>
      <c r="D63" s="2993"/>
      <c r="E63" s="1514" t="str">
        <f>Liste!N169</f>
        <v>Aufdopplung Siko Lage 2</v>
      </c>
      <c r="F63" s="30" t="str">
        <f>Liste!C169</f>
        <v>0202020</v>
      </c>
      <c r="G63" s="202">
        <f>Liste!D169</f>
        <v>0</v>
      </c>
      <c r="H63" s="133">
        <f>Liste!F169</f>
        <v>0</v>
      </c>
      <c r="I63" s="133">
        <f>Liste!E169</f>
        <v>50</v>
      </c>
      <c r="J63" s="954">
        <f t="shared" si="1"/>
        <v>0</v>
      </c>
      <c r="K63" s="40"/>
      <c r="M63" s="27">
        <f t="shared" si="2"/>
        <v>2500</v>
      </c>
      <c r="N63" s="27">
        <f t="shared" si="3"/>
        <v>1250</v>
      </c>
      <c r="S63" s="27"/>
      <c r="T63" s="27"/>
    </row>
    <row r="64" spans="2:20" s="20" customFormat="1" x14ac:dyDescent="0.2">
      <c r="B64" s="1509">
        <f>Liste!O170</f>
        <v>38</v>
      </c>
      <c r="C64" s="2992" t="str">
        <f t="shared" si="7"/>
        <v xml:space="preserve">0202020 / Promatect-H 20 </v>
      </c>
      <c r="D64" s="2993"/>
      <c r="E64" s="1514" t="str">
        <f>Liste!N170</f>
        <v>Aufdopplung Siko Lage 3+4</v>
      </c>
      <c r="F64" s="30" t="str">
        <f>Liste!C170</f>
        <v>0202020</v>
      </c>
      <c r="G64" s="202">
        <f>Liste!D170</f>
        <v>0</v>
      </c>
      <c r="H64" s="133">
        <f>Liste!F170</f>
        <v>950</v>
      </c>
      <c r="I64" s="133">
        <f>Liste!E170</f>
        <v>100</v>
      </c>
      <c r="J64" s="954">
        <f t="shared" si="1"/>
        <v>0</v>
      </c>
      <c r="K64" s="40"/>
      <c r="M64" s="27">
        <f t="shared" si="2"/>
        <v>2500</v>
      </c>
      <c r="N64" s="27">
        <f t="shared" si="3"/>
        <v>1250</v>
      </c>
      <c r="S64" s="27"/>
      <c r="T64" s="27"/>
    </row>
    <row r="65" spans="2:20" s="20" customFormat="1" x14ac:dyDescent="0.2">
      <c r="B65" s="1509">
        <f>Liste!O171</f>
        <v>39</v>
      </c>
      <c r="C65" s="2992" t="str">
        <f t="shared" si="7"/>
        <v xml:space="preserve">0202020 / Promatect-H 20 </v>
      </c>
      <c r="D65" s="2993"/>
      <c r="E65" s="1514" t="str">
        <f>Liste!N171</f>
        <v>Aufdopplung Siko Lage 3+4</v>
      </c>
      <c r="F65" s="30" t="str">
        <f>Liste!C171</f>
        <v>0202020</v>
      </c>
      <c r="G65" s="202">
        <f>Liste!D171</f>
        <v>0</v>
      </c>
      <c r="H65" s="133">
        <f>Liste!F171</f>
        <v>0</v>
      </c>
      <c r="I65" s="133">
        <f>Liste!E171</f>
        <v>100</v>
      </c>
      <c r="J65" s="954">
        <f t="shared" si="1"/>
        <v>0</v>
      </c>
      <c r="K65" s="40"/>
      <c r="M65" s="27">
        <f t="shared" si="2"/>
        <v>2500</v>
      </c>
      <c r="N65" s="27">
        <f t="shared" si="3"/>
        <v>1250</v>
      </c>
      <c r="S65" s="27"/>
      <c r="T65" s="27"/>
    </row>
    <row r="66" spans="2:20" s="20" customFormat="1" x14ac:dyDescent="0.2">
      <c r="B66" s="1509">
        <f>Liste!O260</f>
        <v>40</v>
      </c>
      <c r="C66" s="2992" t="str">
        <f>VLOOKUP(F66,$Q$20:$R$52,2,FALSE)</f>
        <v xml:space="preserve">0202024 / Promatect-H 25 </v>
      </c>
      <c r="D66" s="2993"/>
      <c r="E66" s="1514" t="str">
        <f>Liste!N260</f>
        <v>Platten für Auflaufkonsolen</v>
      </c>
      <c r="F66" s="949" t="str">
        <f>Liste!C260</f>
        <v>0202024</v>
      </c>
      <c r="G66" s="202">
        <f>Liste!D260</f>
        <v>0</v>
      </c>
      <c r="H66" s="133">
        <f>Liste!F260</f>
        <v>1100</v>
      </c>
      <c r="I66" s="133">
        <f>Liste!E260</f>
        <v>120</v>
      </c>
      <c r="J66" s="954">
        <f>(H66/1000)*(I66/1000)*G66</f>
        <v>0</v>
      </c>
      <c r="K66" s="40"/>
      <c r="M66" s="27">
        <f>VLOOKUP(F66,$Q$20:$T$34,3,FALSE)</f>
        <v>2500</v>
      </c>
      <c r="N66" s="27">
        <f>VLOOKUP(F66,$Q$20:$T$34,4,FALSE)</f>
        <v>1250</v>
      </c>
      <c r="S66" s="27"/>
      <c r="T66" s="27"/>
    </row>
    <row r="67" spans="2:20" s="20" customFormat="1" x14ac:dyDescent="0.2">
      <c r="B67" s="1509">
        <f>Liste!O261</f>
        <v>41</v>
      </c>
      <c r="C67" s="2992" t="str">
        <f>VLOOKUP(F67,$Q$20:$R$52,2,FALSE)</f>
        <v xml:space="preserve">0202024 / Promatect-H 25 </v>
      </c>
      <c r="D67" s="2993"/>
      <c r="E67" s="1514" t="str">
        <f>Liste!N261</f>
        <v>Platten für Auflaufkonsolen</v>
      </c>
      <c r="F67" s="949" t="str">
        <f>Liste!C261</f>
        <v>0202024</v>
      </c>
      <c r="G67" s="202">
        <f>Liste!D261</f>
        <v>0</v>
      </c>
      <c r="H67" s="133">
        <f>Liste!F261</f>
        <v>0</v>
      </c>
      <c r="I67" s="133">
        <f>Liste!E261</f>
        <v>120</v>
      </c>
      <c r="J67" s="954">
        <f>(H67/1000)*(I67/1000)*G67</f>
        <v>0</v>
      </c>
      <c r="K67" s="40"/>
      <c r="M67" s="27">
        <f>VLOOKUP(F67,$Q$20:$T$34,3,FALSE)</f>
        <v>2500</v>
      </c>
      <c r="N67" s="27">
        <f>VLOOKUP(F67,$Q$20:$T$34,4,FALSE)</f>
        <v>1250</v>
      </c>
      <c r="S67" s="27"/>
      <c r="T67" s="27"/>
    </row>
    <row r="68" spans="2:20" s="20" customFormat="1" x14ac:dyDescent="0.2">
      <c r="B68" s="1509"/>
      <c r="C68" s="2111"/>
      <c r="D68" s="2112"/>
      <c r="E68" s="1514"/>
      <c r="F68" s="949"/>
      <c r="G68" s="202"/>
      <c r="H68" s="133"/>
      <c r="I68" s="133"/>
      <c r="J68" s="954"/>
      <c r="K68" s="40"/>
      <c r="M68" s="27" t="e">
        <f t="shared" ref="M68" si="8">VLOOKUP(F68,$Q$20:$T$34,3,FALSE)</f>
        <v>#N/A</v>
      </c>
      <c r="N68" s="27" t="e">
        <f t="shared" ref="N68" si="9">VLOOKUP(F68,$Q$20:$T$34,4,FALSE)</f>
        <v>#N/A</v>
      </c>
      <c r="S68" s="27"/>
      <c r="T68" s="27"/>
    </row>
    <row r="69" spans="2:20" s="20" customFormat="1" x14ac:dyDescent="0.2">
      <c r="B69" s="753" t="s">
        <v>28113</v>
      </c>
      <c r="C69" s="2990"/>
      <c r="D69" s="2991"/>
      <c r="E69" s="2578"/>
      <c r="F69" s="32" t="str">
        <f t="shared" ref="F69:F83" si="10">LEFT(C69,7)</f>
        <v/>
      </c>
      <c r="G69" s="2581"/>
      <c r="H69" s="2580"/>
      <c r="I69" s="2580"/>
      <c r="J69" s="202">
        <f>(H69/1000)*(I69/1000)*G69</f>
        <v>0</v>
      </c>
      <c r="K69" s="40"/>
      <c r="M69" s="27" t="e">
        <f t="shared" si="2"/>
        <v>#N/A</v>
      </c>
      <c r="N69" s="27" t="e">
        <f t="shared" si="3"/>
        <v>#N/A</v>
      </c>
      <c r="S69" s="27"/>
      <c r="T69" s="27"/>
    </row>
    <row r="70" spans="2:20" s="20" customFormat="1" x14ac:dyDescent="0.2">
      <c r="B70" s="753" t="s">
        <v>28114</v>
      </c>
      <c r="C70" s="2990"/>
      <c r="D70" s="2991"/>
      <c r="E70" s="2578"/>
      <c r="F70" s="32" t="str">
        <f t="shared" si="10"/>
        <v/>
      </c>
      <c r="G70" s="2581"/>
      <c r="H70" s="2580"/>
      <c r="I70" s="2580"/>
      <c r="J70" s="202">
        <f t="shared" ref="J70:J78" si="11">(H70/1000)*(I70/1000)*G70</f>
        <v>0</v>
      </c>
      <c r="K70" s="40"/>
      <c r="M70" s="27" t="e">
        <f t="shared" si="2"/>
        <v>#N/A</v>
      </c>
      <c r="N70" s="27" t="e">
        <f t="shared" si="3"/>
        <v>#N/A</v>
      </c>
      <c r="S70" s="27"/>
      <c r="T70" s="27"/>
    </row>
    <row r="71" spans="2:20" s="20" customFormat="1" x14ac:dyDescent="0.2">
      <c r="B71" s="753" t="s">
        <v>28115</v>
      </c>
      <c r="C71" s="2990"/>
      <c r="D71" s="2991"/>
      <c r="E71" s="2579"/>
      <c r="F71" s="32" t="str">
        <f t="shared" si="10"/>
        <v/>
      </c>
      <c r="G71" s="2581"/>
      <c r="H71" s="2580"/>
      <c r="I71" s="2580"/>
      <c r="J71" s="32">
        <f t="shared" si="11"/>
        <v>0</v>
      </c>
      <c r="K71" s="40"/>
      <c r="M71" s="27" t="e">
        <f t="shared" si="2"/>
        <v>#N/A</v>
      </c>
      <c r="N71" s="27" t="e">
        <f t="shared" si="3"/>
        <v>#N/A</v>
      </c>
      <c r="S71" s="27"/>
      <c r="T71" s="27"/>
    </row>
    <row r="72" spans="2:20" s="20" customFormat="1" x14ac:dyDescent="0.2">
      <c r="B72" s="753" t="s">
        <v>28116</v>
      </c>
      <c r="C72" s="2990"/>
      <c r="D72" s="2991"/>
      <c r="E72" s="2579"/>
      <c r="F72" s="32" t="str">
        <f t="shared" si="10"/>
        <v/>
      </c>
      <c r="G72" s="2581"/>
      <c r="H72" s="2580"/>
      <c r="I72" s="2580"/>
      <c r="J72" s="32">
        <f t="shared" si="11"/>
        <v>0</v>
      </c>
      <c r="K72" s="40"/>
      <c r="M72" s="27" t="e">
        <f t="shared" si="2"/>
        <v>#N/A</v>
      </c>
      <c r="N72" s="27" t="e">
        <f t="shared" si="3"/>
        <v>#N/A</v>
      </c>
      <c r="S72" s="27"/>
      <c r="T72" s="27"/>
    </row>
    <row r="73" spans="2:20" s="20" customFormat="1" x14ac:dyDescent="0.2">
      <c r="B73" s="753" t="s">
        <v>28117</v>
      </c>
      <c r="C73" s="2990"/>
      <c r="D73" s="2991"/>
      <c r="E73" s="2579"/>
      <c r="F73" s="32" t="str">
        <f t="shared" si="10"/>
        <v/>
      </c>
      <c r="G73" s="2581"/>
      <c r="H73" s="2580"/>
      <c r="I73" s="2580"/>
      <c r="J73" s="32">
        <f t="shared" si="11"/>
        <v>0</v>
      </c>
      <c r="K73" s="40"/>
      <c r="M73" s="27" t="e">
        <f t="shared" si="2"/>
        <v>#N/A</v>
      </c>
      <c r="N73" s="27" t="e">
        <f t="shared" si="3"/>
        <v>#N/A</v>
      </c>
      <c r="S73" s="27"/>
      <c r="T73" s="27"/>
    </row>
    <row r="74" spans="2:20" s="20" customFormat="1" x14ac:dyDescent="0.2">
      <c r="B74" s="753" t="s">
        <v>28118</v>
      </c>
      <c r="C74" s="2990"/>
      <c r="D74" s="2991"/>
      <c r="E74" s="2579"/>
      <c r="F74" s="32" t="str">
        <f t="shared" si="10"/>
        <v/>
      </c>
      <c r="G74" s="2581"/>
      <c r="H74" s="2580"/>
      <c r="I74" s="2580"/>
      <c r="J74" s="32">
        <f t="shared" si="11"/>
        <v>0</v>
      </c>
      <c r="K74" s="40"/>
      <c r="M74" s="27" t="e">
        <f t="shared" si="2"/>
        <v>#N/A</v>
      </c>
      <c r="N74" s="27" t="e">
        <f t="shared" si="3"/>
        <v>#N/A</v>
      </c>
      <c r="S74" s="27"/>
      <c r="T74" s="27"/>
    </row>
    <row r="75" spans="2:20" s="20" customFormat="1" x14ac:dyDescent="0.2">
      <c r="B75" s="753" t="s">
        <v>28119</v>
      </c>
      <c r="C75" s="2990"/>
      <c r="D75" s="2991"/>
      <c r="E75" s="2579"/>
      <c r="F75" s="32" t="str">
        <f t="shared" si="10"/>
        <v/>
      </c>
      <c r="G75" s="2581"/>
      <c r="H75" s="2580"/>
      <c r="I75" s="2580"/>
      <c r="J75" s="32">
        <f t="shared" si="11"/>
        <v>0</v>
      </c>
      <c r="K75" s="40"/>
      <c r="M75" s="27" t="e">
        <f t="shared" si="2"/>
        <v>#N/A</v>
      </c>
      <c r="N75" s="27" t="e">
        <f t="shared" si="3"/>
        <v>#N/A</v>
      </c>
      <c r="S75" s="27"/>
      <c r="T75" s="27"/>
    </row>
    <row r="76" spans="2:20" s="20" customFormat="1" x14ac:dyDescent="0.2">
      <c r="B76" s="753" t="s">
        <v>28120</v>
      </c>
      <c r="C76" s="2990"/>
      <c r="D76" s="2991"/>
      <c r="E76" s="2579"/>
      <c r="F76" s="32" t="str">
        <f t="shared" si="10"/>
        <v/>
      </c>
      <c r="G76" s="2581"/>
      <c r="H76" s="2580"/>
      <c r="I76" s="2580"/>
      <c r="J76" s="32">
        <f t="shared" si="11"/>
        <v>0</v>
      </c>
      <c r="K76" s="40"/>
      <c r="M76" s="27" t="e">
        <f t="shared" si="2"/>
        <v>#N/A</v>
      </c>
      <c r="N76" s="27" t="e">
        <f t="shared" si="3"/>
        <v>#N/A</v>
      </c>
      <c r="S76" s="27"/>
      <c r="T76" s="27"/>
    </row>
    <row r="77" spans="2:20" s="20" customFormat="1" x14ac:dyDescent="0.2">
      <c r="B77" s="753" t="s">
        <v>28121</v>
      </c>
      <c r="C77" s="2990"/>
      <c r="D77" s="2991"/>
      <c r="E77" s="2579"/>
      <c r="F77" s="32" t="str">
        <f t="shared" si="10"/>
        <v/>
      </c>
      <c r="G77" s="2581"/>
      <c r="H77" s="2580"/>
      <c r="I77" s="2580"/>
      <c r="J77" s="32">
        <f t="shared" si="11"/>
        <v>0</v>
      </c>
      <c r="K77" s="40"/>
      <c r="M77" s="27" t="e">
        <f t="shared" si="2"/>
        <v>#N/A</v>
      </c>
      <c r="N77" s="27" t="e">
        <f t="shared" si="3"/>
        <v>#N/A</v>
      </c>
      <c r="S77" s="27"/>
      <c r="T77" s="27"/>
    </row>
    <row r="78" spans="2:20" s="20" customFormat="1" x14ac:dyDescent="0.2">
      <c r="B78" s="753" t="s">
        <v>28122</v>
      </c>
      <c r="C78" s="2990"/>
      <c r="D78" s="2991"/>
      <c r="E78" s="2579"/>
      <c r="F78" s="32" t="str">
        <f t="shared" si="10"/>
        <v/>
      </c>
      <c r="G78" s="2581"/>
      <c r="H78" s="2580"/>
      <c r="I78" s="2580"/>
      <c r="J78" s="32">
        <f t="shared" si="11"/>
        <v>0</v>
      </c>
      <c r="K78" s="40"/>
      <c r="M78" s="27" t="e">
        <f t="shared" si="2"/>
        <v>#N/A</v>
      </c>
      <c r="N78" s="27" t="e">
        <f t="shared" si="3"/>
        <v>#N/A</v>
      </c>
      <c r="S78" s="27"/>
      <c r="T78" s="27"/>
    </row>
    <row r="79" spans="2:20" x14ac:dyDescent="0.2">
      <c r="B79" s="753" t="s">
        <v>28123</v>
      </c>
      <c r="C79" s="2990"/>
      <c r="D79" s="2991"/>
      <c r="E79" s="2579"/>
      <c r="F79" s="32" t="str">
        <f t="shared" si="10"/>
        <v/>
      </c>
      <c r="G79" s="2581"/>
      <c r="H79" s="2580"/>
      <c r="I79" s="2580"/>
      <c r="J79" s="32">
        <f t="shared" ref="J79:J84" si="12">(H79/1000)*(I79/1000)*G79</f>
        <v>0</v>
      </c>
      <c r="K79" s="40"/>
      <c r="M79" s="27" t="e">
        <f t="shared" si="2"/>
        <v>#N/A</v>
      </c>
      <c r="N79" s="27" t="e">
        <f t="shared" si="3"/>
        <v>#N/A</v>
      </c>
    </row>
    <row r="80" spans="2:20" x14ac:dyDescent="0.2">
      <c r="B80" s="753" t="s">
        <v>28130</v>
      </c>
      <c r="C80" s="2990"/>
      <c r="D80" s="2991"/>
      <c r="E80" s="2579"/>
      <c r="F80" s="32" t="str">
        <f t="shared" si="10"/>
        <v/>
      </c>
      <c r="G80" s="2581"/>
      <c r="H80" s="2580"/>
      <c r="I80" s="2580"/>
      <c r="J80" s="32">
        <f t="shared" si="12"/>
        <v>0</v>
      </c>
      <c r="K80" s="40"/>
      <c r="M80" s="27" t="e">
        <f t="shared" si="2"/>
        <v>#N/A</v>
      </c>
      <c r="N80" s="27" t="e">
        <f t="shared" si="3"/>
        <v>#N/A</v>
      </c>
    </row>
    <row r="81" spans="2:14" x14ac:dyDescent="0.2">
      <c r="B81" s="753" t="s">
        <v>28131</v>
      </c>
      <c r="C81" s="2990"/>
      <c r="D81" s="2991"/>
      <c r="E81" s="2579"/>
      <c r="F81" s="32" t="str">
        <f t="shared" si="10"/>
        <v/>
      </c>
      <c r="G81" s="2581"/>
      <c r="H81" s="2580"/>
      <c r="I81" s="2580"/>
      <c r="J81" s="32">
        <f t="shared" si="12"/>
        <v>0</v>
      </c>
      <c r="K81" s="40"/>
      <c r="M81" s="27" t="e">
        <f t="shared" si="2"/>
        <v>#N/A</v>
      </c>
      <c r="N81" s="27" t="e">
        <f t="shared" si="3"/>
        <v>#N/A</v>
      </c>
    </row>
    <row r="82" spans="2:14" x14ac:dyDescent="0.2">
      <c r="B82" s="753" t="s">
        <v>28781</v>
      </c>
      <c r="C82" s="2990"/>
      <c r="D82" s="2991"/>
      <c r="E82" s="2579"/>
      <c r="F82" s="32" t="str">
        <f t="shared" si="10"/>
        <v/>
      </c>
      <c r="G82" s="2581"/>
      <c r="H82" s="2580"/>
      <c r="I82" s="2580"/>
      <c r="J82" s="32">
        <f t="shared" si="12"/>
        <v>0</v>
      </c>
      <c r="K82" s="40"/>
      <c r="M82" s="27" t="e">
        <f t="shared" si="2"/>
        <v>#N/A</v>
      </c>
      <c r="N82" s="27" t="e">
        <f t="shared" si="3"/>
        <v>#N/A</v>
      </c>
    </row>
    <row r="83" spans="2:14" ht="15.75" thickBot="1" x14ac:dyDescent="0.25">
      <c r="B83" s="2212" t="s">
        <v>28782</v>
      </c>
      <c r="C83" s="3013"/>
      <c r="D83" s="3014"/>
      <c r="E83" s="2582"/>
      <c r="F83" s="2213" t="str">
        <f t="shared" si="10"/>
        <v/>
      </c>
      <c r="G83" s="2584"/>
      <c r="H83" s="2585"/>
      <c r="I83" s="2585"/>
      <c r="J83" s="2213">
        <f t="shared" si="12"/>
        <v>0</v>
      </c>
      <c r="K83" s="2214"/>
      <c r="M83" s="27" t="e">
        <f t="shared" si="2"/>
        <v>#N/A</v>
      </c>
      <c r="N83" s="27" t="e">
        <f t="shared" si="3"/>
        <v>#N/A</v>
      </c>
    </row>
    <row r="84" spans="2:14" x14ac:dyDescent="0.2">
      <c r="B84" s="2215" t="s">
        <v>30490</v>
      </c>
      <c r="C84" s="3015"/>
      <c r="D84" s="3016"/>
      <c r="E84" s="2583"/>
      <c r="F84" s="205" t="str">
        <f t="shared" ref="F84:F111" si="13">LEFT(C84,7)</f>
        <v/>
      </c>
      <c r="G84" s="2586"/>
      <c r="H84" s="2586"/>
      <c r="I84" s="2586"/>
      <c r="J84" s="2216">
        <f t="shared" si="12"/>
        <v>0</v>
      </c>
      <c r="K84" s="2217"/>
      <c r="M84" s="27" t="e">
        <f t="shared" ref="M84:M111" si="14">VLOOKUP(F84,$Q$20:$T$34,3,FALSE)</f>
        <v>#N/A</v>
      </c>
      <c r="N84" s="27" t="e">
        <f t="shared" ref="N84:N111" si="15">VLOOKUP(F84,$Q$20:$T$34,4,FALSE)</f>
        <v>#N/A</v>
      </c>
    </row>
    <row r="85" spans="2:14" x14ac:dyDescent="0.2">
      <c r="B85" s="753" t="s">
        <v>30491</v>
      </c>
      <c r="C85" s="2990"/>
      <c r="D85" s="2991"/>
      <c r="E85" s="2578"/>
      <c r="F85" s="32" t="str">
        <f t="shared" si="13"/>
        <v/>
      </c>
      <c r="G85" s="2581"/>
      <c r="H85" s="2580"/>
      <c r="I85" s="2580"/>
      <c r="J85" s="202">
        <f t="shared" ref="J85:J93" si="16">(H85/1000)*(I85/1000)*G85</f>
        <v>0</v>
      </c>
      <c r="K85" s="40"/>
      <c r="M85" s="27" t="e">
        <f t="shared" si="14"/>
        <v>#N/A</v>
      </c>
      <c r="N85" s="27" t="e">
        <f t="shared" si="15"/>
        <v>#N/A</v>
      </c>
    </row>
    <row r="86" spans="2:14" x14ac:dyDescent="0.2">
      <c r="B86" s="753" t="s">
        <v>30492</v>
      </c>
      <c r="C86" s="2990"/>
      <c r="D86" s="2991"/>
      <c r="E86" s="2579"/>
      <c r="F86" s="32" t="str">
        <f t="shared" si="13"/>
        <v/>
      </c>
      <c r="G86" s="2581"/>
      <c r="H86" s="2580"/>
      <c r="I86" s="2580"/>
      <c r="J86" s="32">
        <f t="shared" si="16"/>
        <v>0</v>
      </c>
      <c r="K86" s="40"/>
      <c r="M86" s="27" t="e">
        <f t="shared" si="14"/>
        <v>#N/A</v>
      </c>
      <c r="N86" s="27" t="e">
        <f t="shared" si="15"/>
        <v>#N/A</v>
      </c>
    </row>
    <row r="87" spans="2:14" x14ac:dyDescent="0.2">
      <c r="B87" s="753" t="s">
        <v>30493</v>
      </c>
      <c r="C87" s="2990"/>
      <c r="D87" s="2991"/>
      <c r="E87" s="2579"/>
      <c r="F87" s="32" t="str">
        <f t="shared" si="13"/>
        <v/>
      </c>
      <c r="G87" s="2581"/>
      <c r="H87" s="2580"/>
      <c r="I87" s="2580"/>
      <c r="J87" s="32">
        <f t="shared" si="16"/>
        <v>0</v>
      </c>
      <c r="K87" s="40"/>
      <c r="M87" s="27" t="e">
        <f t="shared" si="14"/>
        <v>#N/A</v>
      </c>
      <c r="N87" s="27" t="e">
        <f t="shared" si="15"/>
        <v>#N/A</v>
      </c>
    </row>
    <row r="88" spans="2:14" x14ac:dyDescent="0.2">
      <c r="B88" s="753" t="s">
        <v>30494</v>
      </c>
      <c r="C88" s="2990"/>
      <c r="D88" s="2991"/>
      <c r="E88" s="2579"/>
      <c r="F88" s="32" t="str">
        <f t="shared" si="13"/>
        <v/>
      </c>
      <c r="G88" s="2581"/>
      <c r="H88" s="2580"/>
      <c r="I88" s="2580"/>
      <c r="J88" s="32">
        <f t="shared" si="16"/>
        <v>0</v>
      </c>
      <c r="K88" s="40"/>
      <c r="M88" s="27" t="e">
        <f t="shared" si="14"/>
        <v>#N/A</v>
      </c>
      <c r="N88" s="27" t="e">
        <f t="shared" si="15"/>
        <v>#N/A</v>
      </c>
    </row>
    <row r="89" spans="2:14" x14ac:dyDescent="0.2">
      <c r="B89" s="753" t="s">
        <v>30495</v>
      </c>
      <c r="C89" s="2990"/>
      <c r="D89" s="2991"/>
      <c r="E89" s="2579"/>
      <c r="F89" s="32" t="str">
        <f t="shared" si="13"/>
        <v/>
      </c>
      <c r="G89" s="2581"/>
      <c r="H89" s="2580"/>
      <c r="I89" s="2580"/>
      <c r="J89" s="32">
        <f t="shared" si="16"/>
        <v>0</v>
      </c>
      <c r="K89" s="40"/>
      <c r="M89" s="27" t="e">
        <f t="shared" si="14"/>
        <v>#N/A</v>
      </c>
      <c r="N89" s="27" t="e">
        <f t="shared" si="15"/>
        <v>#N/A</v>
      </c>
    </row>
    <row r="90" spans="2:14" x14ac:dyDescent="0.2">
      <c r="B90" s="753" t="s">
        <v>30496</v>
      </c>
      <c r="C90" s="2990"/>
      <c r="D90" s="2991"/>
      <c r="E90" s="2579"/>
      <c r="F90" s="32" t="str">
        <f t="shared" si="13"/>
        <v/>
      </c>
      <c r="G90" s="2581"/>
      <c r="H90" s="2580"/>
      <c r="I90" s="2580"/>
      <c r="J90" s="32">
        <f t="shared" si="16"/>
        <v>0</v>
      </c>
      <c r="K90" s="40"/>
      <c r="M90" s="27" t="e">
        <f t="shared" si="14"/>
        <v>#N/A</v>
      </c>
      <c r="N90" s="27" t="e">
        <f t="shared" si="15"/>
        <v>#N/A</v>
      </c>
    </row>
    <row r="91" spans="2:14" x14ac:dyDescent="0.2">
      <c r="B91" s="753" t="s">
        <v>30497</v>
      </c>
      <c r="C91" s="2990"/>
      <c r="D91" s="2991"/>
      <c r="E91" s="2579"/>
      <c r="F91" s="32" t="str">
        <f t="shared" si="13"/>
        <v/>
      </c>
      <c r="G91" s="2581"/>
      <c r="H91" s="2580"/>
      <c r="I91" s="2580"/>
      <c r="J91" s="32">
        <f t="shared" si="16"/>
        <v>0</v>
      </c>
      <c r="K91" s="40"/>
      <c r="M91" s="27" t="e">
        <f t="shared" si="14"/>
        <v>#N/A</v>
      </c>
      <c r="N91" s="27" t="e">
        <f t="shared" si="15"/>
        <v>#N/A</v>
      </c>
    </row>
    <row r="92" spans="2:14" x14ac:dyDescent="0.2">
      <c r="B92" s="753" t="s">
        <v>30498</v>
      </c>
      <c r="C92" s="2990"/>
      <c r="D92" s="2991"/>
      <c r="E92" s="2579"/>
      <c r="F92" s="32" t="str">
        <f t="shared" si="13"/>
        <v/>
      </c>
      <c r="G92" s="2581"/>
      <c r="H92" s="2580"/>
      <c r="I92" s="2580"/>
      <c r="J92" s="32">
        <f t="shared" si="16"/>
        <v>0</v>
      </c>
      <c r="K92" s="40"/>
      <c r="M92" s="27" t="e">
        <f t="shared" si="14"/>
        <v>#N/A</v>
      </c>
      <c r="N92" s="27" t="e">
        <f t="shared" si="15"/>
        <v>#N/A</v>
      </c>
    </row>
    <row r="93" spans="2:14" x14ac:dyDescent="0.2">
      <c r="B93" s="753" t="s">
        <v>30499</v>
      </c>
      <c r="C93" s="2990"/>
      <c r="D93" s="2991"/>
      <c r="E93" s="2579"/>
      <c r="F93" s="32" t="str">
        <f t="shared" si="13"/>
        <v/>
      </c>
      <c r="G93" s="2581"/>
      <c r="H93" s="2580"/>
      <c r="I93" s="2580"/>
      <c r="J93" s="32">
        <f t="shared" si="16"/>
        <v>0</v>
      </c>
      <c r="K93" s="40"/>
      <c r="M93" s="27" t="e">
        <f t="shared" si="14"/>
        <v>#N/A</v>
      </c>
      <c r="N93" s="27" t="e">
        <f t="shared" si="15"/>
        <v>#N/A</v>
      </c>
    </row>
    <row r="94" spans="2:14" x14ac:dyDescent="0.2">
      <c r="B94" s="753" t="s">
        <v>30500</v>
      </c>
      <c r="C94" s="2990"/>
      <c r="D94" s="2991"/>
      <c r="E94" s="2579"/>
      <c r="F94" s="32" t="str">
        <f t="shared" si="13"/>
        <v/>
      </c>
      <c r="G94" s="2581"/>
      <c r="H94" s="2580"/>
      <c r="I94" s="2580"/>
      <c r="J94" s="32">
        <f>(H94/1000)*(I94/1000)*G94</f>
        <v>0</v>
      </c>
      <c r="K94" s="40"/>
      <c r="M94" s="27" t="e">
        <f t="shared" si="14"/>
        <v>#N/A</v>
      </c>
      <c r="N94" s="27" t="e">
        <f t="shared" si="15"/>
        <v>#N/A</v>
      </c>
    </row>
    <row r="95" spans="2:14" x14ac:dyDescent="0.2">
      <c r="B95" s="753" t="s">
        <v>30501</v>
      </c>
      <c r="C95" s="2990"/>
      <c r="D95" s="2991"/>
      <c r="E95" s="2579"/>
      <c r="F95" s="32" t="str">
        <f t="shared" si="13"/>
        <v/>
      </c>
      <c r="G95" s="2581"/>
      <c r="H95" s="2580"/>
      <c r="I95" s="2580"/>
      <c r="J95" s="32">
        <f>(H95/1000)*(I95/1000)*G95</f>
        <v>0</v>
      </c>
      <c r="K95" s="40"/>
      <c r="M95" s="27" t="e">
        <f t="shared" si="14"/>
        <v>#N/A</v>
      </c>
      <c r="N95" s="27" t="e">
        <f t="shared" si="15"/>
        <v>#N/A</v>
      </c>
    </row>
    <row r="96" spans="2:14" x14ac:dyDescent="0.2">
      <c r="B96" s="753" t="s">
        <v>30502</v>
      </c>
      <c r="C96" s="2990"/>
      <c r="D96" s="2991"/>
      <c r="E96" s="2578"/>
      <c r="F96" s="32" t="str">
        <f t="shared" si="13"/>
        <v/>
      </c>
      <c r="G96" s="2581"/>
      <c r="H96" s="2580"/>
      <c r="I96" s="2580"/>
      <c r="J96" s="202">
        <f>(H96/1000)*(I96/1000)*G96</f>
        <v>0</v>
      </c>
      <c r="K96" s="40"/>
      <c r="M96" s="27" t="e">
        <f t="shared" si="14"/>
        <v>#N/A</v>
      </c>
      <c r="N96" s="27" t="e">
        <f t="shared" si="15"/>
        <v>#N/A</v>
      </c>
    </row>
    <row r="97" spans="2:14" x14ac:dyDescent="0.2">
      <c r="B97" s="753" t="s">
        <v>30503</v>
      </c>
      <c r="C97" s="2990"/>
      <c r="D97" s="2991"/>
      <c r="E97" s="2578"/>
      <c r="F97" s="32" t="str">
        <f t="shared" si="13"/>
        <v/>
      </c>
      <c r="G97" s="2581"/>
      <c r="H97" s="2580"/>
      <c r="I97" s="2580"/>
      <c r="J97" s="202">
        <f>(H97/1000)*(I97/1000)*G97</f>
        <v>0</v>
      </c>
      <c r="K97" s="40"/>
      <c r="M97" s="27" t="e">
        <f t="shared" si="14"/>
        <v>#N/A</v>
      </c>
      <c r="N97" s="27" t="e">
        <f t="shared" si="15"/>
        <v>#N/A</v>
      </c>
    </row>
    <row r="98" spans="2:14" x14ac:dyDescent="0.2">
      <c r="B98" s="753" t="s">
        <v>30504</v>
      </c>
      <c r="C98" s="2990"/>
      <c r="D98" s="2991"/>
      <c r="E98" s="2578"/>
      <c r="F98" s="32" t="str">
        <f t="shared" si="13"/>
        <v/>
      </c>
      <c r="G98" s="2581"/>
      <c r="H98" s="2580"/>
      <c r="I98" s="2580"/>
      <c r="J98" s="202">
        <f t="shared" ref="J98:J106" si="17">(H98/1000)*(I98/1000)*G98</f>
        <v>0</v>
      </c>
      <c r="K98" s="40"/>
      <c r="M98" s="27" t="e">
        <f t="shared" si="14"/>
        <v>#N/A</v>
      </c>
      <c r="N98" s="27" t="e">
        <f t="shared" si="15"/>
        <v>#N/A</v>
      </c>
    </row>
    <row r="99" spans="2:14" x14ac:dyDescent="0.2">
      <c r="B99" s="753" t="s">
        <v>30505</v>
      </c>
      <c r="C99" s="2990"/>
      <c r="D99" s="2991"/>
      <c r="E99" s="2579"/>
      <c r="F99" s="32" t="str">
        <f t="shared" si="13"/>
        <v/>
      </c>
      <c r="G99" s="2581"/>
      <c r="H99" s="2580"/>
      <c r="I99" s="2580"/>
      <c r="J99" s="32">
        <f t="shared" si="17"/>
        <v>0</v>
      </c>
      <c r="K99" s="40"/>
      <c r="M99" s="27" t="e">
        <f t="shared" si="14"/>
        <v>#N/A</v>
      </c>
      <c r="N99" s="27" t="e">
        <f t="shared" si="15"/>
        <v>#N/A</v>
      </c>
    </row>
    <row r="100" spans="2:14" x14ac:dyDescent="0.2">
      <c r="B100" s="753" t="s">
        <v>30506</v>
      </c>
      <c r="C100" s="2990"/>
      <c r="D100" s="2991"/>
      <c r="E100" s="2579"/>
      <c r="F100" s="32" t="str">
        <f t="shared" si="13"/>
        <v/>
      </c>
      <c r="G100" s="2581"/>
      <c r="H100" s="2580"/>
      <c r="I100" s="2580"/>
      <c r="J100" s="32">
        <f t="shared" si="17"/>
        <v>0</v>
      </c>
      <c r="K100" s="40"/>
      <c r="M100" s="27" t="e">
        <f t="shared" si="14"/>
        <v>#N/A</v>
      </c>
      <c r="N100" s="27" t="e">
        <f t="shared" si="15"/>
        <v>#N/A</v>
      </c>
    </row>
    <row r="101" spans="2:14" x14ac:dyDescent="0.2">
      <c r="B101" s="753" t="s">
        <v>30507</v>
      </c>
      <c r="C101" s="2990"/>
      <c r="D101" s="2991"/>
      <c r="E101" s="2579"/>
      <c r="F101" s="32" t="str">
        <f t="shared" si="13"/>
        <v/>
      </c>
      <c r="G101" s="2581"/>
      <c r="H101" s="2580"/>
      <c r="I101" s="2580"/>
      <c r="J101" s="32">
        <f t="shared" si="17"/>
        <v>0</v>
      </c>
      <c r="K101" s="40"/>
      <c r="M101" s="27" t="e">
        <f t="shared" si="14"/>
        <v>#N/A</v>
      </c>
      <c r="N101" s="27" t="e">
        <f t="shared" si="15"/>
        <v>#N/A</v>
      </c>
    </row>
    <row r="102" spans="2:14" x14ac:dyDescent="0.2">
      <c r="B102" s="753" t="s">
        <v>30508</v>
      </c>
      <c r="C102" s="2990"/>
      <c r="D102" s="2991"/>
      <c r="E102" s="2579"/>
      <c r="F102" s="32" t="str">
        <f t="shared" si="13"/>
        <v/>
      </c>
      <c r="G102" s="2581"/>
      <c r="H102" s="2580"/>
      <c r="I102" s="2580"/>
      <c r="J102" s="32">
        <f t="shared" si="17"/>
        <v>0</v>
      </c>
      <c r="K102" s="40"/>
      <c r="M102" s="27" t="e">
        <f t="shared" si="14"/>
        <v>#N/A</v>
      </c>
      <c r="N102" s="27" t="e">
        <f t="shared" si="15"/>
        <v>#N/A</v>
      </c>
    </row>
    <row r="103" spans="2:14" x14ac:dyDescent="0.2">
      <c r="B103" s="753" t="s">
        <v>30509</v>
      </c>
      <c r="C103" s="2990"/>
      <c r="D103" s="2991"/>
      <c r="E103" s="2579"/>
      <c r="F103" s="32" t="str">
        <f t="shared" si="13"/>
        <v/>
      </c>
      <c r="G103" s="2581"/>
      <c r="H103" s="2580"/>
      <c r="I103" s="2580"/>
      <c r="J103" s="32">
        <f t="shared" si="17"/>
        <v>0</v>
      </c>
      <c r="K103" s="40"/>
      <c r="M103" s="27" t="e">
        <f t="shared" si="14"/>
        <v>#N/A</v>
      </c>
      <c r="N103" s="27" t="e">
        <f t="shared" si="15"/>
        <v>#N/A</v>
      </c>
    </row>
    <row r="104" spans="2:14" x14ac:dyDescent="0.2">
      <c r="B104" s="753" t="s">
        <v>30510</v>
      </c>
      <c r="C104" s="2990"/>
      <c r="D104" s="2991"/>
      <c r="E104" s="2579"/>
      <c r="F104" s="32" t="str">
        <f t="shared" si="13"/>
        <v/>
      </c>
      <c r="G104" s="2581"/>
      <c r="H104" s="2580"/>
      <c r="I104" s="2580"/>
      <c r="J104" s="32">
        <f t="shared" si="17"/>
        <v>0</v>
      </c>
      <c r="K104" s="40"/>
      <c r="M104" s="27" t="e">
        <f t="shared" si="14"/>
        <v>#N/A</v>
      </c>
      <c r="N104" s="27" t="e">
        <f t="shared" si="15"/>
        <v>#N/A</v>
      </c>
    </row>
    <row r="105" spans="2:14" x14ac:dyDescent="0.2">
      <c r="B105" s="753" t="s">
        <v>30511</v>
      </c>
      <c r="C105" s="2990"/>
      <c r="D105" s="2991"/>
      <c r="E105" s="2579"/>
      <c r="F105" s="32" t="str">
        <f t="shared" si="13"/>
        <v/>
      </c>
      <c r="G105" s="2581"/>
      <c r="H105" s="2580"/>
      <c r="I105" s="2580"/>
      <c r="J105" s="32">
        <f t="shared" si="17"/>
        <v>0</v>
      </c>
      <c r="K105" s="40"/>
      <c r="M105" s="27" t="e">
        <f t="shared" si="14"/>
        <v>#N/A</v>
      </c>
      <c r="N105" s="27" t="e">
        <f t="shared" si="15"/>
        <v>#N/A</v>
      </c>
    </row>
    <row r="106" spans="2:14" x14ac:dyDescent="0.2">
      <c r="B106" s="753" t="s">
        <v>30512</v>
      </c>
      <c r="C106" s="2990"/>
      <c r="D106" s="2991"/>
      <c r="E106" s="2579"/>
      <c r="F106" s="32" t="str">
        <f t="shared" si="13"/>
        <v/>
      </c>
      <c r="G106" s="2581"/>
      <c r="H106" s="2580"/>
      <c r="I106" s="2580"/>
      <c r="J106" s="32">
        <f t="shared" si="17"/>
        <v>0</v>
      </c>
      <c r="K106" s="40"/>
      <c r="M106" s="27" t="e">
        <f t="shared" si="14"/>
        <v>#N/A</v>
      </c>
      <c r="N106" s="27" t="e">
        <f t="shared" si="15"/>
        <v>#N/A</v>
      </c>
    </row>
    <row r="107" spans="2:14" x14ac:dyDescent="0.2">
      <c r="B107" s="753" t="s">
        <v>30513</v>
      </c>
      <c r="C107" s="2990"/>
      <c r="D107" s="2991"/>
      <c r="E107" s="2579"/>
      <c r="F107" s="32" t="str">
        <f t="shared" si="13"/>
        <v/>
      </c>
      <c r="G107" s="2581"/>
      <c r="H107" s="2580"/>
      <c r="I107" s="2580"/>
      <c r="J107" s="32">
        <f>(H107/1000)*(I107/1000)*G107</f>
        <v>0</v>
      </c>
      <c r="K107" s="40"/>
      <c r="M107" s="27" t="e">
        <f t="shared" si="14"/>
        <v>#N/A</v>
      </c>
      <c r="N107" s="27" t="e">
        <f t="shared" si="15"/>
        <v>#N/A</v>
      </c>
    </row>
    <row r="108" spans="2:14" x14ac:dyDescent="0.2">
      <c r="B108" s="753" t="s">
        <v>30514</v>
      </c>
      <c r="C108" s="2990"/>
      <c r="D108" s="2991"/>
      <c r="E108" s="2579"/>
      <c r="F108" s="32" t="str">
        <f t="shared" si="13"/>
        <v/>
      </c>
      <c r="G108" s="2581"/>
      <c r="H108" s="2580"/>
      <c r="I108" s="2580"/>
      <c r="J108" s="32">
        <f t="shared" ref="J108:J115" si="18">(H108/1000)*(I108/1000)*G108</f>
        <v>0</v>
      </c>
      <c r="K108" s="40"/>
      <c r="M108" s="27" t="e">
        <f t="shared" si="14"/>
        <v>#N/A</v>
      </c>
      <c r="N108" s="27" t="e">
        <f t="shared" si="15"/>
        <v>#N/A</v>
      </c>
    </row>
    <row r="109" spans="2:14" x14ac:dyDescent="0.2">
      <c r="B109" s="753" t="s">
        <v>30515</v>
      </c>
      <c r="C109" s="2990"/>
      <c r="D109" s="2991"/>
      <c r="E109" s="2579"/>
      <c r="F109" s="32" t="str">
        <f t="shared" si="13"/>
        <v/>
      </c>
      <c r="G109" s="2581"/>
      <c r="H109" s="2580"/>
      <c r="I109" s="2580"/>
      <c r="J109" s="32">
        <f t="shared" si="18"/>
        <v>0</v>
      </c>
      <c r="K109" s="40"/>
      <c r="M109" s="27" t="e">
        <f t="shared" si="14"/>
        <v>#N/A</v>
      </c>
      <c r="N109" s="27" t="e">
        <f t="shared" si="15"/>
        <v>#N/A</v>
      </c>
    </row>
    <row r="110" spans="2:14" x14ac:dyDescent="0.2">
      <c r="B110" s="753" t="s">
        <v>30516</v>
      </c>
      <c r="C110" s="2990"/>
      <c r="D110" s="2991"/>
      <c r="E110" s="2579"/>
      <c r="F110" s="32" t="str">
        <f t="shared" si="13"/>
        <v/>
      </c>
      <c r="G110" s="2581"/>
      <c r="H110" s="2580"/>
      <c r="I110" s="2580"/>
      <c r="J110" s="32">
        <f t="shared" si="18"/>
        <v>0</v>
      </c>
      <c r="K110" s="40"/>
      <c r="M110" s="27" t="e">
        <f t="shared" si="14"/>
        <v>#N/A</v>
      </c>
      <c r="N110" s="27" t="e">
        <f t="shared" si="15"/>
        <v>#N/A</v>
      </c>
    </row>
    <row r="111" spans="2:14" x14ac:dyDescent="0.2">
      <c r="B111" s="753" t="s">
        <v>30517</v>
      </c>
      <c r="C111" s="2990"/>
      <c r="D111" s="2991"/>
      <c r="E111" s="2579"/>
      <c r="F111" s="32" t="str">
        <f t="shared" si="13"/>
        <v/>
      </c>
      <c r="G111" s="2581"/>
      <c r="H111" s="2580"/>
      <c r="I111" s="2580"/>
      <c r="J111" s="32">
        <f t="shared" si="18"/>
        <v>0</v>
      </c>
      <c r="K111" s="40"/>
      <c r="M111" s="27" t="e">
        <f t="shared" si="14"/>
        <v>#N/A</v>
      </c>
      <c r="N111" s="27" t="e">
        <f t="shared" si="15"/>
        <v>#N/A</v>
      </c>
    </row>
    <row r="112" spans="2:14" x14ac:dyDescent="0.2">
      <c r="B112" s="753" t="s">
        <v>30518</v>
      </c>
      <c r="C112" s="2990"/>
      <c r="D112" s="2991"/>
      <c r="E112" s="2579"/>
      <c r="F112" s="32" t="str">
        <f t="shared" ref="F112:F115" si="19">LEFT(C112,7)</f>
        <v/>
      </c>
      <c r="G112" s="2581"/>
      <c r="H112" s="2580"/>
      <c r="I112" s="2580"/>
      <c r="J112" s="32">
        <f t="shared" si="18"/>
        <v>0</v>
      </c>
      <c r="K112" s="40"/>
      <c r="M112" s="27" t="e">
        <f t="shared" ref="M112:M115" si="20">VLOOKUP(F112,$Q$20:$T$34,3,FALSE)</f>
        <v>#N/A</v>
      </c>
      <c r="N112" s="27" t="e">
        <f t="shared" ref="N112:N115" si="21">VLOOKUP(F112,$Q$20:$T$34,4,FALSE)</f>
        <v>#N/A</v>
      </c>
    </row>
    <row r="113" spans="2:14" x14ac:dyDescent="0.2">
      <c r="B113" s="753" t="s">
        <v>30519</v>
      </c>
      <c r="C113" s="2990"/>
      <c r="D113" s="2991"/>
      <c r="E113" s="2579"/>
      <c r="F113" s="32" t="str">
        <f t="shared" si="19"/>
        <v/>
      </c>
      <c r="G113" s="2581"/>
      <c r="H113" s="2580"/>
      <c r="I113" s="2580"/>
      <c r="J113" s="32">
        <f t="shared" si="18"/>
        <v>0</v>
      </c>
      <c r="K113" s="40"/>
      <c r="M113" s="27" t="e">
        <f t="shared" si="20"/>
        <v>#N/A</v>
      </c>
      <c r="N113" s="27" t="e">
        <f t="shared" si="21"/>
        <v>#N/A</v>
      </c>
    </row>
    <row r="114" spans="2:14" x14ac:dyDescent="0.2">
      <c r="B114" s="753" t="s">
        <v>30520</v>
      </c>
      <c r="C114" s="2990"/>
      <c r="D114" s="2991"/>
      <c r="E114" s="2579"/>
      <c r="F114" s="32" t="str">
        <f t="shared" si="19"/>
        <v/>
      </c>
      <c r="G114" s="2581"/>
      <c r="H114" s="2580"/>
      <c r="I114" s="2580"/>
      <c r="J114" s="32">
        <f t="shared" si="18"/>
        <v>0</v>
      </c>
      <c r="K114" s="40"/>
      <c r="M114" s="27" t="e">
        <f t="shared" si="20"/>
        <v>#N/A</v>
      </c>
      <c r="N114" s="27" t="e">
        <f t="shared" si="21"/>
        <v>#N/A</v>
      </c>
    </row>
    <row r="115" spans="2:14" x14ac:dyDescent="0.2">
      <c r="B115" s="753" t="s">
        <v>30521</v>
      </c>
      <c r="C115" s="2990"/>
      <c r="D115" s="2991"/>
      <c r="E115" s="2579"/>
      <c r="F115" s="32" t="str">
        <f t="shared" si="19"/>
        <v/>
      </c>
      <c r="G115" s="2581"/>
      <c r="H115" s="2580"/>
      <c r="I115" s="2580"/>
      <c r="J115" s="32">
        <f t="shared" si="18"/>
        <v>0</v>
      </c>
      <c r="K115" s="40"/>
      <c r="M115" s="27" t="e">
        <f t="shared" si="20"/>
        <v>#N/A</v>
      </c>
      <c r="N115" s="27" t="e">
        <f t="shared" si="21"/>
        <v>#N/A</v>
      </c>
    </row>
    <row r="116" spans="2:14" x14ac:dyDescent="0.2">
      <c r="B116" s="753" t="s">
        <v>30793</v>
      </c>
      <c r="C116" s="2990"/>
      <c r="D116" s="2991"/>
      <c r="E116" s="2579"/>
      <c r="F116" s="32" t="str">
        <f t="shared" ref="F116:F118" si="22">LEFT(C116,7)</f>
        <v/>
      </c>
      <c r="G116" s="2581"/>
      <c r="H116" s="2580"/>
      <c r="I116" s="2580"/>
      <c r="J116" s="32">
        <f t="shared" ref="J116:J118" si="23">(H116/1000)*(I116/1000)*G116</f>
        <v>0</v>
      </c>
      <c r="K116" s="40"/>
      <c r="M116" s="27" t="e">
        <f t="shared" ref="M116:M118" si="24">VLOOKUP(F116,$Q$20:$T$34,3,FALSE)</f>
        <v>#N/A</v>
      </c>
      <c r="N116" s="27" t="e">
        <f t="shared" ref="N116:N118" si="25">VLOOKUP(F116,$Q$20:$T$34,4,FALSE)</f>
        <v>#N/A</v>
      </c>
    </row>
    <row r="117" spans="2:14" x14ac:dyDescent="0.2">
      <c r="B117" s="753" t="s">
        <v>30794</v>
      </c>
      <c r="C117" s="2990"/>
      <c r="D117" s="2991"/>
      <c r="E117" s="2579"/>
      <c r="F117" s="32" t="str">
        <f t="shared" si="22"/>
        <v/>
      </c>
      <c r="G117" s="2581"/>
      <c r="H117" s="2580"/>
      <c r="I117" s="2580"/>
      <c r="J117" s="32">
        <f t="shared" si="23"/>
        <v>0</v>
      </c>
      <c r="K117" s="40"/>
      <c r="M117" s="27" t="e">
        <f t="shared" si="24"/>
        <v>#N/A</v>
      </c>
      <c r="N117" s="27" t="e">
        <f t="shared" si="25"/>
        <v>#N/A</v>
      </c>
    </row>
    <row r="118" spans="2:14" x14ac:dyDescent="0.2">
      <c r="B118" s="753" t="s">
        <v>30795</v>
      </c>
      <c r="C118" s="2990"/>
      <c r="D118" s="2991"/>
      <c r="E118" s="2579"/>
      <c r="F118" s="32" t="str">
        <f t="shared" si="22"/>
        <v/>
      </c>
      <c r="G118" s="2581"/>
      <c r="H118" s="2580"/>
      <c r="I118" s="2580"/>
      <c r="J118" s="32">
        <f t="shared" si="23"/>
        <v>0</v>
      </c>
      <c r="K118" s="40"/>
      <c r="M118" s="27" t="e">
        <f t="shared" si="24"/>
        <v>#N/A</v>
      </c>
      <c r="N118" s="27" t="e">
        <f t="shared" si="25"/>
        <v>#N/A</v>
      </c>
    </row>
    <row r="121" spans="2:14" x14ac:dyDescent="0.2">
      <c r="F121" s="54" t="s">
        <v>27658</v>
      </c>
      <c r="G121" s="27">
        <f>SUM(G21:G115)</f>
        <v>9</v>
      </c>
    </row>
  </sheetData>
  <mergeCells count="104">
    <mergeCell ref="C116:D116"/>
    <mergeCell ref="C117:D117"/>
    <mergeCell ref="C118:D118"/>
    <mergeCell ref="C82:D82"/>
    <mergeCell ref="C83:D83"/>
    <mergeCell ref="C78:D78"/>
    <mergeCell ref="C79:D79"/>
    <mergeCell ref="C80:D80"/>
    <mergeCell ref="C77:D77"/>
    <mergeCell ref="C89:D89"/>
    <mergeCell ref="C90:D90"/>
    <mergeCell ref="C91:D91"/>
    <mergeCell ref="C92:D92"/>
    <mergeCell ref="C93:D93"/>
    <mergeCell ref="C84:D84"/>
    <mergeCell ref="C85:D85"/>
    <mergeCell ref="C86:D86"/>
    <mergeCell ref="C87:D87"/>
    <mergeCell ref="C88:D88"/>
    <mergeCell ref="C99:D99"/>
    <mergeCell ref="C100:D100"/>
    <mergeCell ref="C101:D101"/>
    <mergeCell ref="C102:D102"/>
    <mergeCell ref="C103:D103"/>
    <mergeCell ref="C76:D76"/>
    <mergeCell ref="C81:D81"/>
    <mergeCell ref="C75:D75"/>
    <mergeCell ref="C74:D74"/>
    <mergeCell ref="C69:D69"/>
    <mergeCell ref="C54:D54"/>
    <mergeCell ref="C62:D62"/>
    <mergeCell ref="C60:D60"/>
    <mergeCell ref="C56:D56"/>
    <mergeCell ref="C57:D57"/>
    <mergeCell ref="C66:D66"/>
    <mergeCell ref="C70:D70"/>
    <mergeCell ref="C73:D73"/>
    <mergeCell ref="C67:D67"/>
    <mergeCell ref="C72:D72"/>
    <mergeCell ref="C63:D63"/>
    <mergeCell ref="C64:D64"/>
    <mergeCell ref="C45:D45"/>
    <mergeCell ref="C49:D49"/>
    <mergeCell ref="C71:D71"/>
    <mergeCell ref="C61:D61"/>
    <mergeCell ref="C59:D59"/>
    <mergeCell ref="C46:D46"/>
    <mergeCell ref="C48:D48"/>
    <mergeCell ref="C50:D50"/>
    <mergeCell ref="C53:D53"/>
    <mergeCell ref="C55:D55"/>
    <mergeCell ref="C47:D47"/>
    <mergeCell ref="C52:D52"/>
    <mergeCell ref="C65:D65"/>
    <mergeCell ref="J1:K2"/>
    <mergeCell ref="H19:I19"/>
    <mergeCell ref="J19:J20"/>
    <mergeCell ref="K19:K20"/>
    <mergeCell ref="F19:F20"/>
    <mergeCell ref="D1:G2"/>
    <mergeCell ref="C15:G17"/>
    <mergeCell ref="G19:G20"/>
    <mergeCell ref="C19:D20"/>
    <mergeCell ref="C3:G3"/>
    <mergeCell ref="C32:D32"/>
    <mergeCell ref="C35:D35"/>
    <mergeCell ref="C37:D37"/>
    <mergeCell ref="C39:D39"/>
    <mergeCell ref="C41:D41"/>
    <mergeCell ref="C44:D44"/>
    <mergeCell ref="B19:B20"/>
    <mergeCell ref="H11:J11"/>
    <mergeCell ref="C38:D38"/>
    <mergeCell ref="E19:E20"/>
    <mergeCell ref="C24:D24"/>
    <mergeCell ref="C29:D29"/>
    <mergeCell ref="C34:D34"/>
    <mergeCell ref="C26:D26"/>
    <mergeCell ref="C21:D21"/>
    <mergeCell ref="C31:D31"/>
    <mergeCell ref="C30:D30"/>
    <mergeCell ref="C22:D22"/>
    <mergeCell ref="C36:D36"/>
    <mergeCell ref="C40:D40"/>
    <mergeCell ref="C43:D43"/>
    <mergeCell ref="C25:D25"/>
    <mergeCell ref="C27:D27"/>
    <mergeCell ref="C94:D94"/>
    <mergeCell ref="C95:D95"/>
    <mergeCell ref="C96:D96"/>
    <mergeCell ref="C97:D97"/>
    <mergeCell ref="C98:D98"/>
    <mergeCell ref="C114:D114"/>
    <mergeCell ref="C115:D115"/>
    <mergeCell ref="C109:D109"/>
    <mergeCell ref="C110:D110"/>
    <mergeCell ref="C111:D111"/>
    <mergeCell ref="C112:D112"/>
    <mergeCell ref="C113:D113"/>
    <mergeCell ref="C104:D104"/>
    <mergeCell ref="C105:D105"/>
    <mergeCell ref="C106:D106"/>
    <mergeCell ref="C107:D107"/>
    <mergeCell ref="C108:D108"/>
  </mergeCells>
  <phoneticPr fontId="20" type="noConversion"/>
  <conditionalFormatting sqref="A1:XFD2 A11:F11 K11:IV11 A121:XFD65572 A12:XFD20 A4:XFD10 H3:IV3 A3:C3 C58:G58 A21:G57 J21:IV29 J31:IV65 J30:Q30 S30:IV30 A58:B65 A119:L120 O119:XFD120 J69:IV83 A69:G83 L84:IV98 L99:N111 O99:IV118 A84:A118">
    <cfRule type="cellIs" dxfId="1026" priority="151" stopIfTrue="1" operator="equal">
      <formula>0</formula>
    </cfRule>
  </conditionalFormatting>
  <conditionalFormatting sqref="G11">
    <cfRule type="cellIs" dxfId="1025" priority="148" stopIfTrue="1" operator="equal">
      <formula>0</formula>
    </cfRule>
  </conditionalFormatting>
  <conditionalFormatting sqref="H21:I58 H69:I83">
    <cfRule type="cellIs" dxfId="1024" priority="143" stopIfTrue="1" operator="equal">
      <formula>0</formula>
    </cfRule>
  </conditionalFormatting>
  <conditionalFormatting sqref="H21:I58 H69:I82">
    <cfRule type="expression" dxfId="1023" priority="133" stopIfTrue="1">
      <formula>H21&gt;M21</formula>
    </cfRule>
  </conditionalFormatting>
  <conditionalFormatting sqref="H21:I58">
    <cfRule type="expression" dxfId="1022" priority="128" stopIfTrue="1">
      <formula>$G21&lt;1</formula>
    </cfRule>
  </conditionalFormatting>
  <conditionalFormatting sqref="F59:G65">
    <cfRule type="cellIs" dxfId="1021" priority="126" stopIfTrue="1" operator="equal">
      <formula>0</formula>
    </cfRule>
  </conditionalFormatting>
  <conditionalFormatting sqref="Q32:T32">
    <cfRule type="cellIs" dxfId="1020" priority="122" stopIfTrue="1" operator="equal">
      <formula>0</formula>
    </cfRule>
  </conditionalFormatting>
  <conditionalFormatting sqref="Q33:T33">
    <cfRule type="cellIs" dxfId="1019" priority="123" stopIfTrue="1" operator="equal">
      <formula>0</formula>
    </cfRule>
  </conditionalFormatting>
  <conditionalFormatting sqref="R30">
    <cfRule type="cellIs" dxfId="1018" priority="121" stopIfTrue="1" operator="equal">
      <formula>0</formula>
    </cfRule>
  </conditionalFormatting>
  <conditionalFormatting sqref="E59:E65">
    <cfRule type="cellIs" dxfId="1017" priority="120" stopIfTrue="1" operator="equal">
      <formula>0</formula>
    </cfRule>
  </conditionalFormatting>
  <conditionalFormatting sqref="C59:D65">
    <cfRule type="cellIs" dxfId="1016" priority="119" stopIfTrue="1" operator="equal">
      <formula>0</formula>
    </cfRule>
  </conditionalFormatting>
  <conditionalFormatting sqref="H59:I65">
    <cfRule type="cellIs" dxfId="1015" priority="118" stopIfTrue="1" operator="equal">
      <formula>0</formula>
    </cfRule>
  </conditionalFormatting>
  <conditionalFormatting sqref="H59:I65">
    <cfRule type="expression" dxfId="1014" priority="117" stopIfTrue="1">
      <formula>H59&gt;M59</formula>
    </cfRule>
  </conditionalFormatting>
  <conditionalFormatting sqref="H59:I65">
    <cfRule type="expression" dxfId="1013" priority="116" stopIfTrue="1">
      <formula>$G59&lt;1</formula>
    </cfRule>
  </conditionalFormatting>
  <conditionalFormatting sqref="J66:IV66 A66:B66">
    <cfRule type="cellIs" dxfId="1012" priority="115" stopIfTrue="1" operator="equal">
      <formula>0</formula>
    </cfRule>
  </conditionalFormatting>
  <conditionalFormatting sqref="F66:G66">
    <cfRule type="cellIs" dxfId="1011" priority="114" stopIfTrue="1" operator="equal">
      <formula>0</formula>
    </cfRule>
  </conditionalFormatting>
  <conditionalFormatting sqref="E66">
    <cfRule type="cellIs" dxfId="1010" priority="113" stopIfTrue="1" operator="equal">
      <formula>0</formula>
    </cfRule>
  </conditionalFormatting>
  <conditionalFormatting sqref="C66:D66">
    <cfRule type="cellIs" dxfId="1009" priority="112" stopIfTrue="1" operator="equal">
      <formula>0</formula>
    </cfRule>
  </conditionalFormatting>
  <conditionalFormatting sqref="H66:I66">
    <cfRule type="cellIs" dxfId="1008" priority="111" stopIfTrue="1" operator="equal">
      <formula>0</formula>
    </cfRule>
  </conditionalFormatting>
  <conditionalFormatting sqref="H66:I66">
    <cfRule type="expression" dxfId="1007" priority="110" stopIfTrue="1">
      <formula>H66&gt;M66</formula>
    </cfRule>
  </conditionalFormatting>
  <conditionalFormatting sqref="H66:I66">
    <cfRule type="expression" dxfId="1006" priority="109" stopIfTrue="1">
      <formula>$G66&lt;1</formula>
    </cfRule>
  </conditionalFormatting>
  <conditionalFormatting sqref="J67:IV67 A67:A68 J68:L68 O68:IV68">
    <cfRule type="cellIs" dxfId="1005" priority="108" stopIfTrue="1" operator="equal">
      <formula>0</formula>
    </cfRule>
  </conditionalFormatting>
  <conditionalFormatting sqref="B67:B68">
    <cfRule type="cellIs" dxfId="1004" priority="100" stopIfTrue="1" operator="equal">
      <formula>0</formula>
    </cfRule>
  </conditionalFormatting>
  <conditionalFormatting sqref="G67:G68">
    <cfRule type="cellIs" dxfId="1003" priority="98" stopIfTrue="1" operator="equal">
      <formula>0</formula>
    </cfRule>
  </conditionalFormatting>
  <conditionalFormatting sqref="C67:D68">
    <cfRule type="cellIs" dxfId="1002" priority="105" stopIfTrue="1" operator="equal">
      <formula>0</formula>
    </cfRule>
  </conditionalFormatting>
  <conditionalFormatting sqref="F67:F68">
    <cfRule type="cellIs" dxfId="1001" priority="101" stopIfTrue="1" operator="equal">
      <formula>0</formula>
    </cfRule>
  </conditionalFormatting>
  <conditionalFormatting sqref="E67:E68">
    <cfRule type="cellIs" dxfId="1000" priority="99" stopIfTrue="1" operator="equal">
      <formula>0</formula>
    </cfRule>
  </conditionalFormatting>
  <conditionalFormatting sqref="H67:H68">
    <cfRule type="cellIs" dxfId="999" priority="97" stopIfTrue="1" operator="equal">
      <formula>0</formula>
    </cfRule>
  </conditionalFormatting>
  <conditionalFormatting sqref="H67:H68">
    <cfRule type="expression" dxfId="998" priority="96" stopIfTrue="1">
      <formula>H67&gt;M67</formula>
    </cfRule>
  </conditionalFormatting>
  <conditionalFormatting sqref="H67:H68">
    <cfRule type="expression" dxfId="997" priority="95" stopIfTrue="1">
      <formula>$G67&lt;1</formula>
    </cfRule>
  </conditionalFormatting>
  <conditionalFormatting sqref="I67:I68">
    <cfRule type="cellIs" dxfId="996" priority="94" stopIfTrue="1" operator="equal">
      <formula>0</formula>
    </cfRule>
  </conditionalFormatting>
  <conditionalFormatting sqref="I67:I68">
    <cfRule type="expression" dxfId="995" priority="93" stopIfTrue="1">
      <formula>I67&gt;N67</formula>
    </cfRule>
  </conditionalFormatting>
  <conditionalFormatting sqref="I67:I68">
    <cfRule type="expression" dxfId="994" priority="92" stopIfTrue="1">
      <formula>$G67&lt;1</formula>
    </cfRule>
  </conditionalFormatting>
  <conditionalFormatting sqref="J84:K95 B84:G95">
    <cfRule type="cellIs" dxfId="993" priority="91" stopIfTrue="1" operator="equal">
      <formula>0</formula>
    </cfRule>
  </conditionalFormatting>
  <conditionalFormatting sqref="H84:I95">
    <cfRule type="cellIs" dxfId="992" priority="90" stopIfTrue="1" operator="equal">
      <formula>0</formula>
    </cfRule>
  </conditionalFormatting>
  <conditionalFormatting sqref="H84:I95">
    <cfRule type="expression" dxfId="991" priority="89" stopIfTrue="1">
      <formula>H84&gt;M84</formula>
    </cfRule>
  </conditionalFormatting>
  <conditionalFormatting sqref="B96:G96 J96:K96">
    <cfRule type="cellIs" dxfId="990" priority="88" stopIfTrue="1" operator="equal">
      <formula>0</formula>
    </cfRule>
  </conditionalFormatting>
  <conditionalFormatting sqref="H96:I96">
    <cfRule type="cellIs" dxfId="989" priority="87" stopIfTrue="1" operator="equal">
      <formula>0</formula>
    </cfRule>
  </conditionalFormatting>
  <conditionalFormatting sqref="H96:I96">
    <cfRule type="expression" dxfId="988" priority="86" stopIfTrue="1">
      <formula>H96&gt;M96</formula>
    </cfRule>
  </conditionalFormatting>
  <conditionalFormatting sqref="B97:G111 J97:K111">
    <cfRule type="cellIs" dxfId="987" priority="85" stopIfTrue="1" operator="equal">
      <formula>0</formula>
    </cfRule>
  </conditionalFormatting>
  <conditionalFormatting sqref="H97:I111">
    <cfRule type="cellIs" dxfId="986" priority="84" stopIfTrue="1" operator="equal">
      <formula>0</formula>
    </cfRule>
  </conditionalFormatting>
  <conditionalFormatting sqref="H97:I110">
    <cfRule type="expression" dxfId="985" priority="83" stopIfTrue="1">
      <formula>H97&gt;M97</formula>
    </cfRule>
  </conditionalFormatting>
  <conditionalFormatting sqref="M68:N68">
    <cfRule type="cellIs" dxfId="984" priority="82" stopIfTrue="1" operator="equal">
      <formula>0</formula>
    </cfRule>
  </conditionalFormatting>
  <conditionalFormatting sqref="M119:N120">
    <cfRule type="cellIs" dxfId="983" priority="80" stopIfTrue="1" operator="equal">
      <formula>0</formula>
    </cfRule>
  </conditionalFormatting>
  <conditionalFormatting sqref="L112:L115">
    <cfRule type="cellIs" dxfId="982" priority="19" stopIfTrue="1" operator="equal">
      <formula>0</formula>
    </cfRule>
  </conditionalFormatting>
  <conditionalFormatting sqref="B112:G115 J112:K115">
    <cfRule type="cellIs" dxfId="981" priority="18" stopIfTrue="1" operator="equal">
      <formula>0</formula>
    </cfRule>
  </conditionalFormatting>
  <conditionalFormatting sqref="H112:I115">
    <cfRule type="cellIs" dxfId="980" priority="17" stopIfTrue="1" operator="equal">
      <formula>0</formula>
    </cfRule>
  </conditionalFormatting>
  <conditionalFormatting sqref="H112:I114">
    <cfRule type="expression" dxfId="979" priority="16" stopIfTrue="1">
      <formula>H112&gt;M112</formula>
    </cfRule>
  </conditionalFormatting>
  <conditionalFormatting sqref="M112:N115">
    <cfRule type="cellIs" dxfId="978" priority="15" stopIfTrue="1" operator="equal">
      <formula>0</formula>
    </cfRule>
  </conditionalFormatting>
  <conditionalFormatting sqref="M118:N118">
    <cfRule type="cellIs" dxfId="977" priority="1" stopIfTrue="1" operator="equal">
      <formula>0</formula>
    </cfRule>
  </conditionalFormatting>
  <conditionalFormatting sqref="L116">
    <cfRule type="cellIs" dxfId="976" priority="12" stopIfTrue="1" operator="equal">
      <formula>0</formula>
    </cfRule>
  </conditionalFormatting>
  <conditionalFormatting sqref="B116:G116 J116:K116">
    <cfRule type="cellIs" dxfId="975" priority="11" stopIfTrue="1" operator="equal">
      <formula>0</formula>
    </cfRule>
  </conditionalFormatting>
  <conditionalFormatting sqref="H116:I116">
    <cfRule type="cellIs" dxfId="974" priority="10" stopIfTrue="1" operator="equal">
      <formula>0</formula>
    </cfRule>
  </conditionalFormatting>
  <conditionalFormatting sqref="M116:N116">
    <cfRule type="cellIs" dxfId="973" priority="9" stopIfTrue="1" operator="equal">
      <formula>0</formula>
    </cfRule>
  </conditionalFormatting>
  <conditionalFormatting sqref="L117">
    <cfRule type="cellIs" dxfId="972" priority="8" stopIfTrue="1" operator="equal">
      <formula>0</formula>
    </cfRule>
  </conditionalFormatting>
  <conditionalFormatting sqref="B117:G117 J117:K117">
    <cfRule type="cellIs" dxfId="971" priority="7" stopIfTrue="1" operator="equal">
      <formula>0</formula>
    </cfRule>
  </conditionalFormatting>
  <conditionalFormatting sqref="H117:I117">
    <cfRule type="cellIs" dxfId="970" priority="6" stopIfTrue="1" operator="equal">
      <formula>0</formula>
    </cfRule>
  </conditionalFormatting>
  <conditionalFormatting sqref="M117:N117">
    <cfRule type="cellIs" dxfId="969" priority="5" stopIfTrue="1" operator="equal">
      <formula>0</formula>
    </cfRule>
  </conditionalFormatting>
  <conditionalFormatting sqref="L118">
    <cfRule type="cellIs" dxfId="968" priority="4" stopIfTrue="1" operator="equal">
      <formula>0</formula>
    </cfRule>
  </conditionalFormatting>
  <conditionalFormatting sqref="B118:G118 J118:K118">
    <cfRule type="cellIs" dxfId="967" priority="3" stopIfTrue="1" operator="equal">
      <formula>0</formula>
    </cfRule>
  </conditionalFormatting>
  <conditionalFormatting sqref="H118:I118">
    <cfRule type="cellIs" dxfId="966" priority="2" stopIfTrue="1" operator="equal">
      <formula>0</formula>
    </cfRule>
  </conditionalFormatting>
  <dataValidations count="5">
    <dataValidation type="textLength" allowBlank="1" showInputMessage="1" showErrorMessage="1" sqref="E21:E58 E69:E118" xr:uid="{00000000-0002-0000-1100-000000000000}">
      <formula1>0</formula1>
      <formula2>35</formula2>
    </dataValidation>
    <dataValidation type="whole" allowBlank="1" showInputMessage="1" showErrorMessage="1" errorTitle="Formatüberschreitung!" error="Das Maß übersteigt das augewählte Plattenformat!Falls möglich anderes Plattenformat wählen, sonst Platte teilen." sqref="H21:I82 H112:I114 H84:I110" xr:uid="{00000000-0002-0000-1100-000001000000}">
      <formula1>0</formula1>
      <formula2>M21</formula2>
    </dataValidation>
    <dataValidation type="whole" allowBlank="1" showInputMessage="1" showErrorMessage="1" errorTitle="Formatüberschreitung!" error="Hallo, auch in dieser Zeile gilt: Das Maß übersteigt das augewählte Plattenformat!Falls möglich anderes Plattenformat wählen, sonst Platte teilen.Bei weiteren Fehleingaben schließt sich Excel!!!" sqref="H83:I83 H111:I111 H115:I118" xr:uid="{00000000-0002-0000-1100-000002000000}">
      <formula1>0</formula1>
      <formula2>M83</formula2>
    </dataValidation>
    <dataValidation type="list" allowBlank="1" showInputMessage="1" showErrorMessage="1" sqref="C69:D118" xr:uid="{00000000-0002-0000-1100-000003000000}">
      <formula1>$R$20:$R$33</formula1>
    </dataValidation>
    <dataValidation type="textLength" allowBlank="1" showInputMessage="1" showErrorMessage="1" sqref="E59:E68" xr:uid="{00000000-0002-0000-1100-000004000000}">
      <formula1>0</formula1>
      <formula2>50</formula2>
    </dataValidation>
  </dataValidations>
  <pageMargins left="0.39370078740157483" right="0.19685039370078741" top="0.39370078740157483" bottom="0.39370078740157483" header="0" footer="0"/>
  <pageSetup paperSize="9" scale="44"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21">
    <tabColor indexed="24"/>
  </sheetPr>
  <dimension ref="B2:E31"/>
  <sheetViews>
    <sheetView zoomScale="130" zoomScaleNormal="130" workbookViewId="0">
      <selection activeCell="C10" sqref="C10"/>
    </sheetView>
  </sheetViews>
  <sheetFormatPr baseColWidth="10" defaultColWidth="11.42578125" defaultRowHeight="12.75" x14ac:dyDescent="0.2"/>
  <cols>
    <col min="1" max="1" width="11.42578125" style="9"/>
    <col min="2" max="5" width="25.7109375" style="9" customWidth="1"/>
    <col min="6" max="16384" width="11.42578125" style="9"/>
  </cols>
  <sheetData>
    <row r="2" spans="2:5" x14ac:dyDescent="0.2">
      <c r="B2" s="132" t="s">
        <v>27869</v>
      </c>
    </row>
    <row r="5" spans="2:5" x14ac:dyDescent="0.2">
      <c r="B5" s="2756" t="s">
        <v>27870</v>
      </c>
      <c r="C5" s="2756"/>
      <c r="D5" s="2756" t="s">
        <v>27876</v>
      </c>
      <c r="E5" s="2756"/>
    </row>
    <row r="6" spans="2:5" x14ac:dyDescent="0.2">
      <c r="B6" s="741" t="s">
        <v>27871</v>
      </c>
      <c r="C6" s="741" t="s">
        <v>27872</v>
      </c>
      <c r="D6" s="741" t="s">
        <v>27871</v>
      </c>
      <c r="E6" s="741" t="s">
        <v>27872</v>
      </c>
    </row>
    <row r="7" spans="2:5" ht="45" x14ac:dyDescent="0.2">
      <c r="B7" s="957" t="s">
        <v>27873</v>
      </c>
      <c r="C7" s="957" t="s">
        <v>27879</v>
      </c>
      <c r="D7" s="955" t="s">
        <v>27880</v>
      </c>
      <c r="E7" s="955" t="s">
        <v>27881</v>
      </c>
    </row>
    <row r="8" spans="2:5" ht="22.5" x14ac:dyDescent="0.2">
      <c r="B8" s="957"/>
      <c r="C8" s="957" t="s">
        <v>27886</v>
      </c>
      <c r="D8" s="955" t="s">
        <v>27885</v>
      </c>
      <c r="E8" s="955"/>
    </row>
    <row r="9" spans="2:5" ht="33.75" x14ac:dyDescent="0.2">
      <c r="B9" s="957" t="s">
        <v>27874</v>
      </c>
      <c r="C9" s="957" t="s">
        <v>27877</v>
      </c>
      <c r="D9" s="955" t="s">
        <v>27883</v>
      </c>
      <c r="E9" s="955" t="s">
        <v>27882</v>
      </c>
    </row>
    <row r="10" spans="2:5" ht="123.75" x14ac:dyDescent="0.2">
      <c r="B10" s="957"/>
      <c r="C10" s="957" t="s">
        <v>27875</v>
      </c>
      <c r="D10" s="955" t="s">
        <v>27884</v>
      </c>
      <c r="E10" s="955"/>
    </row>
    <row r="11" spans="2:5" ht="22.5" x14ac:dyDescent="0.2">
      <c r="B11" s="957" t="s">
        <v>27878</v>
      </c>
      <c r="C11" s="957"/>
      <c r="D11" s="955"/>
      <c r="E11" s="955" t="s">
        <v>27887</v>
      </c>
    </row>
    <row r="12" spans="2:5" x14ac:dyDescent="0.2">
      <c r="B12" s="955"/>
      <c r="C12" s="955"/>
      <c r="D12" s="955"/>
      <c r="E12" s="955"/>
    </row>
    <row r="13" spans="2:5" x14ac:dyDescent="0.2">
      <c r="B13" s="955"/>
      <c r="C13" s="955"/>
      <c r="D13" s="955"/>
      <c r="E13" s="955"/>
    </row>
    <row r="14" spans="2:5" x14ac:dyDescent="0.2">
      <c r="B14" s="955"/>
      <c r="C14" s="955"/>
      <c r="D14" s="955"/>
      <c r="E14" s="955"/>
    </row>
    <row r="15" spans="2:5" x14ac:dyDescent="0.2">
      <c r="B15" s="955"/>
      <c r="C15" s="955"/>
      <c r="D15" s="955"/>
      <c r="E15" s="955"/>
    </row>
    <row r="16" spans="2:5" x14ac:dyDescent="0.2">
      <c r="B16" s="955"/>
      <c r="C16" s="955"/>
      <c r="D16" s="955"/>
      <c r="E16" s="955"/>
    </row>
    <row r="17" spans="2:5" x14ac:dyDescent="0.2">
      <c r="B17" s="955"/>
      <c r="C17" s="955"/>
      <c r="D17" s="955"/>
      <c r="E17" s="955"/>
    </row>
    <row r="18" spans="2:5" x14ac:dyDescent="0.2">
      <c r="B18" s="955"/>
      <c r="C18" s="955"/>
      <c r="D18" s="955"/>
      <c r="E18" s="955"/>
    </row>
    <row r="19" spans="2:5" x14ac:dyDescent="0.2">
      <c r="B19" s="955"/>
      <c r="C19" s="955"/>
      <c r="D19" s="955"/>
      <c r="E19" s="955"/>
    </row>
    <row r="20" spans="2:5" x14ac:dyDescent="0.2">
      <c r="B20" s="955"/>
      <c r="C20" s="955"/>
      <c r="D20" s="955"/>
      <c r="E20" s="955"/>
    </row>
    <row r="21" spans="2:5" x14ac:dyDescent="0.2">
      <c r="B21" s="955"/>
      <c r="C21" s="955"/>
      <c r="D21" s="955"/>
      <c r="E21" s="955"/>
    </row>
    <row r="22" spans="2:5" x14ac:dyDescent="0.2">
      <c r="B22" s="955"/>
      <c r="C22" s="955"/>
      <c r="D22" s="955"/>
      <c r="E22" s="955"/>
    </row>
    <row r="23" spans="2:5" x14ac:dyDescent="0.2">
      <c r="B23" s="955"/>
      <c r="C23" s="955"/>
      <c r="D23" s="955"/>
      <c r="E23" s="955"/>
    </row>
    <row r="24" spans="2:5" x14ac:dyDescent="0.2">
      <c r="B24" s="955"/>
      <c r="C24" s="955"/>
      <c r="D24" s="955"/>
      <c r="E24" s="955"/>
    </row>
    <row r="25" spans="2:5" x14ac:dyDescent="0.2">
      <c r="B25" s="955"/>
      <c r="C25" s="955"/>
      <c r="D25" s="955"/>
      <c r="E25" s="955"/>
    </row>
    <row r="26" spans="2:5" x14ac:dyDescent="0.2">
      <c r="B26" s="955"/>
      <c r="C26" s="955"/>
      <c r="D26" s="955"/>
      <c r="E26" s="955"/>
    </row>
    <row r="27" spans="2:5" x14ac:dyDescent="0.2">
      <c r="B27" s="955"/>
      <c r="C27" s="955"/>
      <c r="D27" s="955"/>
      <c r="E27" s="955"/>
    </row>
    <row r="28" spans="2:5" x14ac:dyDescent="0.2">
      <c r="B28" s="955"/>
      <c r="C28" s="955"/>
      <c r="D28" s="955"/>
      <c r="E28" s="955"/>
    </row>
    <row r="29" spans="2:5" x14ac:dyDescent="0.2">
      <c r="B29" s="955"/>
      <c r="C29" s="955"/>
      <c r="D29" s="955"/>
      <c r="E29" s="955"/>
    </row>
    <row r="30" spans="2:5" x14ac:dyDescent="0.2">
      <c r="B30" s="956"/>
      <c r="C30" s="956"/>
      <c r="D30" s="956"/>
      <c r="E30" s="956"/>
    </row>
    <row r="31" spans="2:5" x14ac:dyDescent="0.2">
      <c r="B31" s="956"/>
      <c r="C31" s="956"/>
      <c r="D31" s="956"/>
      <c r="E31" s="956"/>
    </row>
  </sheetData>
  <mergeCells count="2">
    <mergeCell ref="B5:C5"/>
    <mergeCell ref="D5:E5"/>
  </mergeCells>
  <pageMargins left="0.7" right="0.7" top="0.78740157499999996" bottom="0.78740157499999996" header="0.3" footer="0.3"/>
  <pageSetup paperSize="9"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34">
    <tabColor indexed="48"/>
  </sheetPr>
  <dimension ref="B1:T55"/>
  <sheetViews>
    <sheetView showGridLines="0" view="pageBreakPreview" zoomScaleNormal="100" workbookViewId="0">
      <selection activeCell="G28" sqref="G28"/>
    </sheetView>
  </sheetViews>
  <sheetFormatPr baseColWidth="10" defaultRowHeight="15" x14ac:dyDescent="0.2"/>
  <cols>
    <col min="1" max="1" width="0.85546875" customWidth="1"/>
    <col min="2" max="2" width="6.7109375" customWidth="1"/>
    <col min="3" max="3" width="22.7109375" customWidth="1"/>
    <col min="4" max="4" width="20.7109375" style="18" customWidth="1"/>
    <col min="5" max="5" width="16.7109375" style="18" customWidth="1"/>
    <col min="6" max="6" width="11.7109375" style="54" customWidth="1"/>
    <col min="7" max="7" width="12.7109375" style="54" customWidth="1"/>
    <col min="8" max="10" width="7.7109375" style="18" customWidth="1"/>
    <col min="11" max="11" width="17.140625" style="54" customWidth="1"/>
    <col min="12" max="12" width="5.42578125" style="18" customWidth="1"/>
    <col min="19" max="19" width="47.42578125" customWidth="1"/>
  </cols>
  <sheetData>
    <row r="1" spans="3:12" ht="12.75" customHeight="1" x14ac:dyDescent="0.2">
      <c r="D1" s="3004" t="str">
        <f>Dateneingabe!$F$1&amp;" "&amp;Dateneingabe!$I$1</f>
        <v>Ausschreibung GCC vertikal Rev. 0563b</v>
      </c>
      <c r="E1" s="3004"/>
      <c r="F1" s="3004"/>
      <c r="G1" s="3004"/>
      <c r="H1" s="53"/>
      <c r="I1" s="54"/>
      <c r="K1" s="2701" t="s">
        <v>5</v>
      </c>
      <c r="L1" s="2701"/>
    </row>
    <row r="2" spans="3:12" ht="18" customHeight="1" x14ac:dyDescent="0.2">
      <c r="D2" s="3004"/>
      <c r="E2" s="3004"/>
      <c r="F2" s="3004"/>
      <c r="G2" s="3004"/>
      <c r="H2" s="53"/>
      <c r="J2" s="24"/>
      <c r="K2" s="2701"/>
      <c r="L2" s="2701"/>
    </row>
    <row r="3" spans="3:12" ht="15.75" customHeight="1" x14ac:dyDescent="0.25">
      <c r="J3" s="37"/>
      <c r="L3" s="26">
        <v>524</v>
      </c>
    </row>
    <row r="4" spans="3:12" ht="6" customHeight="1" x14ac:dyDescent="0.25">
      <c r="J4" s="37"/>
      <c r="L4" s="26"/>
    </row>
    <row r="5" spans="3:12" x14ac:dyDescent="0.2">
      <c r="C5" s="18" t="s">
        <v>106</v>
      </c>
      <c r="D5" s="45" t="str">
        <f>Dateneingabe!F3</f>
        <v>05217112</v>
      </c>
      <c r="F5" s="37" t="s">
        <v>13</v>
      </c>
      <c r="G5" s="203" t="str">
        <f>Dateneingabe!H3</f>
        <v>200</v>
      </c>
      <c r="H5" s="38"/>
    </row>
    <row r="6" spans="3:12" ht="6" customHeight="1" x14ac:dyDescent="0.2">
      <c r="F6" s="37"/>
    </row>
    <row r="7" spans="3:12" x14ac:dyDescent="0.2">
      <c r="C7" s="20" t="s">
        <v>83</v>
      </c>
      <c r="D7" s="45" t="str">
        <f>Dateneingabe!H3</f>
        <v>200</v>
      </c>
      <c r="F7" s="16"/>
      <c r="G7" s="1"/>
      <c r="H7" s="38"/>
    </row>
    <row r="8" spans="3:12" ht="6" customHeight="1" x14ac:dyDescent="0.2">
      <c r="F8" s="37"/>
    </row>
    <row r="9" spans="3:12" x14ac:dyDescent="0.2">
      <c r="C9" s="20" t="s">
        <v>66</v>
      </c>
      <c r="D9" s="46" t="str">
        <f>Dateneingabe!F15</f>
        <v>MiWo</v>
      </c>
      <c r="F9" s="37" t="s">
        <v>97</v>
      </c>
      <c r="G9" s="204">
        <f>Dateneingabe!F13</f>
        <v>44594</v>
      </c>
      <c r="H9" s="38"/>
    </row>
    <row r="10" spans="3:12" ht="6" customHeight="1" x14ac:dyDescent="0.2"/>
    <row r="11" spans="3:12" x14ac:dyDescent="0.2">
      <c r="C11" s="22" t="s">
        <v>57</v>
      </c>
      <c r="D11" s="104"/>
      <c r="F11" s="48"/>
      <c r="G11" s="48"/>
      <c r="H11" s="38"/>
    </row>
    <row r="12" spans="3:12" ht="6" customHeight="1" x14ac:dyDescent="0.2"/>
    <row r="13" spans="3:12" x14ac:dyDescent="0.2">
      <c r="C13" s="23" t="s">
        <v>15</v>
      </c>
    </row>
    <row r="14" spans="3:12" ht="6" customHeight="1" x14ac:dyDescent="0.2"/>
    <row r="15" spans="3:12" x14ac:dyDescent="0.2">
      <c r="C15" s="3025"/>
      <c r="D15" s="3026"/>
      <c r="E15" s="3026"/>
      <c r="F15" s="3026"/>
      <c r="G15" s="3027"/>
      <c r="H15" s="3034" t="str">
        <f>IF(Dateneingabe!H184=1,"Achtung: Intumatversiegelung für Promaseal","")</f>
        <v/>
      </c>
      <c r="I15" s="3035"/>
      <c r="J15" s="3036"/>
    </row>
    <row r="16" spans="3:12" ht="15" customHeight="1" x14ac:dyDescent="0.2">
      <c r="C16" s="3028"/>
      <c r="D16" s="3029"/>
      <c r="E16" s="3029"/>
      <c r="F16" s="3029"/>
      <c r="G16" s="3030"/>
      <c r="H16" s="3037"/>
      <c r="I16" s="3038"/>
      <c r="J16" s="3039"/>
    </row>
    <row r="17" spans="2:20" ht="15" customHeight="1" x14ac:dyDescent="0.2">
      <c r="C17" s="3031"/>
      <c r="D17" s="3032"/>
      <c r="E17" s="3032"/>
      <c r="F17" s="3032"/>
      <c r="G17" s="3033"/>
      <c r="H17" s="3040"/>
      <c r="I17" s="3041"/>
      <c r="J17" s="3042"/>
    </row>
    <row r="18" spans="2:20" ht="24" customHeight="1" thickBot="1" x14ac:dyDescent="0.25">
      <c r="C18" s="10"/>
      <c r="D18" s="48"/>
      <c r="E18" s="48"/>
      <c r="F18" s="48"/>
      <c r="G18" s="48"/>
      <c r="H18" s="48"/>
      <c r="I18" s="55"/>
    </row>
    <row r="19" spans="2:20" ht="15" customHeight="1" thickBot="1" x14ac:dyDescent="0.3">
      <c r="B19" s="2976" t="s">
        <v>28098</v>
      </c>
      <c r="C19" s="3008" t="s">
        <v>72</v>
      </c>
      <c r="D19" s="3043"/>
      <c r="E19" s="2976" t="s">
        <v>297</v>
      </c>
      <c r="F19" s="2976" t="s">
        <v>104</v>
      </c>
      <c r="G19" s="3003" t="s">
        <v>238</v>
      </c>
      <c r="H19" s="3001" t="s">
        <v>103</v>
      </c>
      <c r="I19" s="3023"/>
      <c r="J19" s="3024"/>
      <c r="K19" s="3003" t="s">
        <v>4</v>
      </c>
      <c r="L19" s="2976" t="s">
        <v>12</v>
      </c>
    </row>
    <row r="20" spans="2:20" ht="16.5" thickBot="1" x14ac:dyDescent="0.3">
      <c r="B20" s="2977"/>
      <c r="C20" s="3044"/>
      <c r="D20" s="3045"/>
      <c r="E20" s="2977"/>
      <c r="F20" s="2977"/>
      <c r="G20" s="2977"/>
      <c r="H20" s="25" t="s">
        <v>17</v>
      </c>
      <c r="I20" s="25" t="s">
        <v>18</v>
      </c>
      <c r="J20" s="25" t="s">
        <v>16</v>
      </c>
      <c r="K20" s="2977"/>
      <c r="L20" s="2977"/>
      <c r="R20" s="1541" t="str">
        <f t="shared" ref="R20:R28" si="0">LEFT(S20,7)</f>
        <v>0204004</v>
      </c>
      <c r="S20" s="1541" t="s">
        <v>518</v>
      </c>
      <c r="T20" s="1102">
        <v>2.5</v>
      </c>
    </row>
    <row r="21" spans="2:20" s="20" customFormat="1" ht="17.100000000000001" customHeight="1" x14ac:dyDescent="0.2">
      <c r="B21" s="1509">
        <v>1</v>
      </c>
      <c r="C21" s="3019">
        <f>IF(F21&gt;0,VLOOKUP(F21,R20:S28,2,FALSE),0)</f>
        <v>0</v>
      </c>
      <c r="D21" s="3020"/>
      <c r="E21" s="2632"/>
      <c r="F21" s="202">
        <f>Liste!C174</f>
        <v>0</v>
      </c>
      <c r="G21" s="202">
        <f>Liste!A174</f>
        <v>0</v>
      </c>
      <c r="H21" s="202">
        <f>IF(F21&gt;0,Liste!F174,0)</f>
        <v>0</v>
      </c>
      <c r="I21" s="202">
        <f>IF(F21&gt;0,Liste!E174,0)</f>
        <v>0</v>
      </c>
      <c r="J21" s="1543">
        <f>IF(F21&gt;0,IF(F21&lt;&gt;"",VLOOKUP(F21,$R$20:$T$28,3,FALSE),0),0)</f>
        <v>0</v>
      </c>
      <c r="K21" s="202">
        <f>(H21/1000)*(I21/1000)*G21</f>
        <v>0</v>
      </c>
      <c r="L21" s="56"/>
      <c r="R21" s="1541" t="str">
        <f t="shared" si="0"/>
        <v>0204008</v>
      </c>
      <c r="S21" s="1541" t="s">
        <v>517</v>
      </c>
      <c r="T21" s="1102">
        <v>2.5</v>
      </c>
    </row>
    <row r="22" spans="2:20" s="20" customFormat="1" ht="17.100000000000001" customHeight="1" x14ac:dyDescent="0.2">
      <c r="B22" s="1509">
        <v>2</v>
      </c>
      <c r="C22" s="3021" t="s">
        <v>8</v>
      </c>
      <c r="D22" s="3022"/>
      <c r="E22" s="2633"/>
      <c r="F22" s="202" t="str">
        <f t="shared" ref="F22:F28" si="1">LEFT(C22,7)</f>
        <v>0204153</v>
      </c>
      <c r="G22" s="202">
        <f>IF(AND('Berechnung &amp; Tabellen'!D9*'Berechnung &amp; Tabellen'!D19*Liste!C2&lt;&gt;3,Dateneingabe!H30=Dateneingabe!F121),'Berechnung &amp; Tabellen'!D9*'Berechnung &amp; Tabellen'!D19*Liste!C2,0)*IF(Dateneingabe!E159=1,0,1)</f>
        <v>0</v>
      </c>
      <c r="H22" s="202">
        <f>Liste!$G$1</f>
        <v>1080</v>
      </c>
      <c r="I22" s="202">
        <v>199</v>
      </c>
      <c r="J22" s="1543">
        <f t="shared" ref="J22:J28" si="2">IF(F22&lt;&gt;"",VLOOKUP(F22,$R$20:$T$28,3,FALSE),0)</f>
        <v>2</v>
      </c>
      <c r="K22" s="202">
        <f>(H22/1000)*(I22/1000)*G22</f>
        <v>0</v>
      </c>
      <c r="L22" s="56"/>
      <c r="O22" s="27"/>
      <c r="R22" s="1541" t="str">
        <f t="shared" si="0"/>
        <v>0204150</v>
      </c>
      <c r="S22" s="7" t="s">
        <v>6</v>
      </c>
      <c r="T22" s="1102">
        <v>2</v>
      </c>
    </row>
    <row r="23" spans="2:20" s="20" customFormat="1" ht="17.100000000000001" customHeight="1" x14ac:dyDescent="0.2">
      <c r="B23" s="1509">
        <v>3</v>
      </c>
      <c r="C23" s="3021" t="s">
        <v>9</v>
      </c>
      <c r="D23" s="3022"/>
      <c r="E23" s="2633"/>
      <c r="F23" s="202" t="str">
        <f t="shared" si="1"/>
        <v>0204154</v>
      </c>
      <c r="G23" s="202">
        <f>IF(AND('Berechnung &amp; Tabellen'!D9*'Berechnung &amp; Tabellen'!D19*Liste!C2=3,Dateneingabe!H30=Dateneingabe!F121),1,0)*IF(Dateneingabe!E159=1,0,1)</f>
        <v>0</v>
      </c>
      <c r="H23" s="202">
        <f>Liste!$G$1</f>
        <v>1080</v>
      </c>
      <c r="I23" s="202">
        <v>199</v>
      </c>
      <c r="J23" s="1543">
        <f t="shared" si="2"/>
        <v>6</v>
      </c>
      <c r="K23" s="202">
        <f>(H23/1000)*(I23/1000)*G23</f>
        <v>0</v>
      </c>
      <c r="L23" s="56"/>
      <c r="R23" s="1541" t="str">
        <f t="shared" si="0"/>
        <v>0204152</v>
      </c>
      <c r="S23" s="7" t="s">
        <v>7</v>
      </c>
      <c r="T23" s="1102">
        <v>6</v>
      </c>
    </row>
    <row r="24" spans="2:20" s="20" customFormat="1" ht="17.100000000000001" customHeight="1" x14ac:dyDescent="0.2">
      <c r="B24" s="1509">
        <v>4</v>
      </c>
      <c r="C24" s="3021" t="s">
        <v>517</v>
      </c>
      <c r="D24" s="3022"/>
      <c r="E24" s="2633"/>
      <c r="F24" s="202" t="str">
        <f t="shared" si="1"/>
        <v>0204008</v>
      </c>
      <c r="G24" s="202">
        <f>IF(Dateneingabe!H30=Dateneingabe!F121,'Berechnung &amp; Tabellen'!D9*'Berechnung &amp; Tabellen'!D19*Liste!C1,0)*IF(Dateneingabe!E159=1,0,1)</f>
        <v>0</v>
      </c>
      <c r="H24" s="202">
        <f>Liste!$G$1</f>
        <v>1080</v>
      </c>
      <c r="I24" s="202">
        <v>199</v>
      </c>
      <c r="J24" s="1543">
        <f t="shared" si="2"/>
        <v>2.5</v>
      </c>
      <c r="K24" s="202">
        <f t="shared" ref="K24:K36" si="3">(H24/1000)*(I24/1000)*G24</f>
        <v>0</v>
      </c>
      <c r="L24" s="56"/>
      <c r="R24" s="1541" t="str">
        <f t="shared" si="0"/>
        <v>0204153</v>
      </c>
      <c r="S24" s="7" t="s">
        <v>8</v>
      </c>
      <c r="T24" s="1102">
        <v>2</v>
      </c>
    </row>
    <row r="25" spans="2:20" s="20" customFormat="1" ht="17.100000000000001" customHeight="1" x14ac:dyDescent="0.2">
      <c r="B25" s="1509">
        <v>5</v>
      </c>
      <c r="C25" s="3017"/>
      <c r="D25" s="3018"/>
      <c r="E25" s="2578"/>
      <c r="F25" s="202" t="str">
        <f t="shared" si="1"/>
        <v/>
      </c>
      <c r="G25" s="2575"/>
      <c r="H25" s="2575"/>
      <c r="I25" s="2575"/>
      <c r="J25" s="1543">
        <f t="shared" si="2"/>
        <v>0</v>
      </c>
      <c r="K25" s="202">
        <f t="shared" si="3"/>
        <v>0</v>
      </c>
      <c r="L25" s="56"/>
      <c r="R25" s="1541" t="str">
        <f t="shared" si="0"/>
        <v>0204154</v>
      </c>
      <c r="S25" s="7" t="s">
        <v>9</v>
      </c>
      <c r="T25" s="1102">
        <v>6</v>
      </c>
    </row>
    <row r="26" spans="2:20" s="20" customFormat="1" ht="17.100000000000001" customHeight="1" x14ac:dyDescent="0.2">
      <c r="B26" s="1509">
        <v>6</v>
      </c>
      <c r="C26" s="3017" t="s">
        <v>8</v>
      </c>
      <c r="D26" s="3018"/>
      <c r="E26" s="2578"/>
      <c r="F26" s="202" t="str">
        <f t="shared" si="1"/>
        <v>0204153</v>
      </c>
      <c r="G26" s="2575">
        <v>3</v>
      </c>
      <c r="H26" s="2575">
        <v>1200</v>
      </c>
      <c r="I26" s="2575">
        <v>175</v>
      </c>
      <c r="J26" s="1543">
        <f t="shared" si="2"/>
        <v>2</v>
      </c>
      <c r="K26" s="202">
        <f t="shared" si="3"/>
        <v>0.63</v>
      </c>
      <c r="L26" s="56"/>
      <c r="R26" s="1541" t="str">
        <f t="shared" si="0"/>
        <v>0204113</v>
      </c>
      <c r="S26" s="7" t="s">
        <v>31217</v>
      </c>
      <c r="T26" s="1102">
        <v>3</v>
      </c>
    </row>
    <row r="27" spans="2:20" s="20" customFormat="1" ht="17.100000000000001" customHeight="1" x14ac:dyDescent="0.2">
      <c r="B27" s="1509">
        <v>7</v>
      </c>
      <c r="C27" s="3017" t="s">
        <v>31217</v>
      </c>
      <c r="D27" s="3018"/>
      <c r="E27" s="2578"/>
      <c r="F27" s="202" t="str">
        <f t="shared" si="1"/>
        <v>0204113</v>
      </c>
      <c r="G27" s="2575">
        <v>2</v>
      </c>
      <c r="H27" s="2575">
        <v>900</v>
      </c>
      <c r="I27" s="2575">
        <v>170</v>
      </c>
      <c r="J27" s="1543">
        <f t="shared" si="2"/>
        <v>3</v>
      </c>
      <c r="K27" s="202">
        <f t="shared" si="3"/>
        <v>0.30600000000000005</v>
      </c>
      <c r="L27" s="56"/>
      <c r="R27" s="1541" t="str">
        <f t="shared" si="0"/>
        <v>0204120</v>
      </c>
      <c r="S27" s="7" t="s">
        <v>31216</v>
      </c>
      <c r="T27" s="1102">
        <v>10</v>
      </c>
    </row>
    <row r="28" spans="2:20" s="20" customFormat="1" ht="17.100000000000001" customHeight="1" x14ac:dyDescent="0.2">
      <c r="B28" s="1509">
        <v>8</v>
      </c>
      <c r="C28" s="3017"/>
      <c r="D28" s="3018"/>
      <c r="E28" s="2578"/>
      <c r="F28" s="202" t="str">
        <f t="shared" si="1"/>
        <v/>
      </c>
      <c r="G28" s="2575"/>
      <c r="H28" s="2575"/>
      <c r="I28" s="2575"/>
      <c r="J28" s="1543">
        <f t="shared" si="2"/>
        <v>0</v>
      </c>
      <c r="K28" s="202">
        <f t="shared" si="3"/>
        <v>0</v>
      </c>
      <c r="L28" s="56"/>
      <c r="R28" s="1541" t="str">
        <f t="shared" si="0"/>
        <v>0204141</v>
      </c>
      <c r="S28" s="7" t="s">
        <v>31215</v>
      </c>
      <c r="T28" s="1102">
        <v>40</v>
      </c>
    </row>
    <row r="29" spans="2:20" s="20" customFormat="1" ht="17.100000000000001" customHeight="1" x14ac:dyDescent="0.2">
      <c r="B29" s="1509">
        <v>9</v>
      </c>
      <c r="C29" s="3017"/>
      <c r="D29" s="3018"/>
      <c r="E29" s="2578"/>
      <c r="F29" s="202" t="str">
        <f>LEFT(C29,7)</f>
        <v/>
      </c>
      <c r="G29" s="2575"/>
      <c r="H29" s="2575"/>
      <c r="I29" s="2575"/>
      <c r="J29" s="1543">
        <f>IF(F29&lt;&gt;"",VLOOKUP(F29,$R$20:$T$28,3,FALSE),0)</f>
        <v>0</v>
      </c>
      <c r="K29" s="202">
        <f t="shared" si="3"/>
        <v>0</v>
      </c>
      <c r="L29" s="56"/>
    </row>
    <row r="30" spans="2:20" s="20" customFormat="1" ht="17.100000000000001" customHeight="1" x14ac:dyDescent="0.2">
      <c r="B30" s="1509">
        <v>10</v>
      </c>
      <c r="C30" s="3017"/>
      <c r="D30" s="3018"/>
      <c r="E30" s="2578"/>
      <c r="F30" s="202" t="str">
        <f>LEFT(C30,7)</f>
        <v/>
      </c>
      <c r="G30" s="2575"/>
      <c r="H30" s="2575"/>
      <c r="I30" s="2575"/>
      <c r="J30" s="1543">
        <f>IF(F30&lt;&gt;"",VLOOKUP(F30,$R$20:$T$28,3,FALSE),0)</f>
        <v>0</v>
      </c>
      <c r="K30" s="202">
        <f t="shared" si="3"/>
        <v>0</v>
      </c>
      <c r="L30" s="56"/>
    </row>
    <row r="31" spans="2:20" s="20" customFormat="1" ht="17.100000000000001" customHeight="1" x14ac:dyDescent="0.2">
      <c r="B31" s="1509">
        <v>11</v>
      </c>
      <c r="C31" s="3017"/>
      <c r="D31" s="3018"/>
      <c r="E31" s="2578"/>
      <c r="F31" s="202" t="str">
        <f>LEFT(C31,7)</f>
        <v/>
      </c>
      <c r="G31" s="2575"/>
      <c r="H31" s="2575"/>
      <c r="I31" s="2575"/>
      <c r="J31" s="1543">
        <f>IF(F31&lt;&gt;"",VLOOKUP(F31,$R$20:$T$28,3,FALSE),0)</f>
        <v>0</v>
      </c>
      <c r="K31" s="202">
        <f t="shared" si="3"/>
        <v>0</v>
      </c>
      <c r="L31" s="56"/>
    </row>
    <row r="32" spans="2:20" s="20" customFormat="1" ht="17.100000000000001" customHeight="1" x14ac:dyDescent="0.2">
      <c r="B32" s="1509">
        <v>12</v>
      </c>
      <c r="C32" s="3017"/>
      <c r="D32" s="3018"/>
      <c r="E32" s="2578"/>
      <c r="F32" s="2572"/>
      <c r="G32" s="2576"/>
      <c r="H32" s="2576"/>
      <c r="I32" s="2576"/>
      <c r="J32" s="2573"/>
      <c r="K32" s="2572"/>
      <c r="L32" s="2574"/>
    </row>
    <row r="33" spans="2:12" s="20" customFormat="1" ht="17.100000000000001" customHeight="1" x14ac:dyDescent="0.2">
      <c r="B33" s="1509">
        <v>13</v>
      </c>
      <c r="C33" s="3017"/>
      <c r="D33" s="3018"/>
      <c r="E33" s="2578"/>
      <c r="F33" s="2572"/>
      <c r="G33" s="2576"/>
      <c r="H33" s="2576"/>
      <c r="I33" s="2576"/>
      <c r="J33" s="2573"/>
      <c r="K33" s="2572"/>
      <c r="L33" s="2574"/>
    </row>
    <row r="34" spans="2:12" s="20" customFormat="1" ht="17.100000000000001" customHeight="1" x14ac:dyDescent="0.2">
      <c r="B34" s="1509">
        <v>14</v>
      </c>
      <c r="C34" s="3017"/>
      <c r="D34" s="3018"/>
      <c r="E34" s="2578"/>
      <c r="F34" s="2572"/>
      <c r="G34" s="2576"/>
      <c r="H34" s="2576"/>
      <c r="I34" s="2576"/>
      <c r="J34" s="2573"/>
      <c r="K34" s="2572"/>
      <c r="L34" s="2574"/>
    </row>
    <row r="35" spans="2:12" s="20" customFormat="1" ht="17.100000000000001" customHeight="1" x14ac:dyDescent="0.2">
      <c r="B35" s="1509">
        <v>15</v>
      </c>
      <c r="C35" s="3017"/>
      <c r="D35" s="3018"/>
      <c r="E35" s="2578"/>
      <c r="F35" s="202" t="str">
        <f>LEFT(C35,7)</f>
        <v/>
      </c>
      <c r="G35" s="2575"/>
      <c r="H35" s="2575"/>
      <c r="I35" s="2575"/>
      <c r="J35" s="1543">
        <f>IF(F35&lt;&gt;"",VLOOKUP(F35,$R$20:$T$28,3,FALSE),0)</f>
        <v>0</v>
      </c>
      <c r="K35" s="202">
        <f t="shared" si="3"/>
        <v>0</v>
      </c>
      <c r="L35" s="56"/>
    </row>
    <row r="36" spans="2:12" s="20" customFormat="1" ht="17.100000000000001" customHeight="1" x14ac:dyDescent="0.2">
      <c r="B36" s="1509">
        <v>16</v>
      </c>
      <c r="C36" s="3017"/>
      <c r="D36" s="3018"/>
      <c r="E36" s="2578"/>
      <c r="F36" s="202" t="str">
        <f>LEFT(C36,7)</f>
        <v/>
      </c>
      <c r="G36" s="2575"/>
      <c r="H36" s="2575"/>
      <c r="I36" s="2575"/>
      <c r="J36" s="1543">
        <f>IF(F36&lt;&gt;"",VLOOKUP(F36,$R$20:$T$28,3,FALSE),0)</f>
        <v>0</v>
      </c>
      <c r="K36" s="202">
        <f t="shared" si="3"/>
        <v>0</v>
      </c>
      <c r="L36" s="56"/>
    </row>
    <row r="37" spans="2:12" s="20" customFormat="1" x14ac:dyDescent="0.2">
      <c r="C37"/>
      <c r="D37" s="18"/>
      <c r="E37" s="18"/>
      <c r="F37" s="54"/>
      <c r="G37" s="54"/>
      <c r="H37" s="18"/>
      <c r="I37" s="18"/>
      <c r="J37" s="18"/>
      <c r="K37" s="54"/>
      <c r="L37" s="18"/>
    </row>
    <row r="38" spans="2:12" s="20" customFormat="1" x14ac:dyDescent="0.2">
      <c r="C38"/>
      <c r="D38" s="18"/>
      <c r="E38" s="18"/>
      <c r="F38" s="54"/>
      <c r="G38" s="54"/>
      <c r="H38" s="18"/>
      <c r="I38" s="18"/>
      <c r="J38" s="18"/>
      <c r="K38" s="54"/>
      <c r="L38" s="18"/>
    </row>
    <row r="39" spans="2:12" s="20" customFormat="1" x14ac:dyDescent="0.2">
      <c r="C39"/>
      <c r="D39" s="18"/>
      <c r="E39" s="18"/>
      <c r="F39" s="54"/>
      <c r="G39" s="54"/>
      <c r="H39" s="18"/>
      <c r="I39" s="18"/>
      <c r="J39" s="18"/>
      <c r="K39" s="54"/>
      <c r="L39" s="18"/>
    </row>
    <row r="40" spans="2:12" s="20" customFormat="1" x14ac:dyDescent="0.2">
      <c r="C40"/>
      <c r="D40" s="18"/>
      <c r="E40" s="18"/>
      <c r="F40" s="54"/>
      <c r="G40" s="54"/>
      <c r="H40" s="18"/>
      <c r="I40" s="18"/>
      <c r="J40" s="18"/>
      <c r="K40" s="54"/>
      <c r="L40" s="18"/>
    </row>
    <row r="41" spans="2:12" s="20" customFormat="1" x14ac:dyDescent="0.2">
      <c r="C41"/>
      <c r="D41" s="18"/>
      <c r="E41" s="18"/>
      <c r="F41" s="54"/>
      <c r="G41" s="54"/>
      <c r="H41" s="18"/>
      <c r="I41" s="18"/>
      <c r="J41" s="18"/>
      <c r="K41" s="54"/>
      <c r="L41" s="18"/>
    </row>
    <row r="42" spans="2:12" s="20" customFormat="1" x14ac:dyDescent="0.2">
      <c r="C42"/>
      <c r="D42" s="18"/>
      <c r="E42" s="18"/>
      <c r="F42" s="54"/>
      <c r="G42" s="54"/>
      <c r="H42" s="18"/>
      <c r="I42" s="18"/>
      <c r="J42" s="18"/>
      <c r="K42" s="54"/>
      <c r="L42" s="18"/>
    </row>
    <row r="43" spans="2:12" s="20" customFormat="1" x14ac:dyDescent="0.2">
      <c r="C43"/>
      <c r="D43" s="18"/>
      <c r="E43" s="18"/>
      <c r="F43" s="54"/>
      <c r="G43" s="54"/>
      <c r="H43" s="18"/>
      <c r="I43" s="18"/>
      <c r="J43" s="18"/>
      <c r="K43" s="54"/>
      <c r="L43" s="18"/>
    </row>
    <row r="44" spans="2:12" s="20" customFormat="1" x14ac:dyDescent="0.2">
      <c r="C44"/>
      <c r="D44" s="18"/>
      <c r="E44" s="18"/>
      <c r="F44" s="54"/>
      <c r="G44" s="54"/>
      <c r="H44" s="18"/>
      <c r="I44" s="18"/>
      <c r="J44" s="18"/>
      <c r="K44" s="54"/>
      <c r="L44" s="18"/>
    </row>
    <row r="45" spans="2:12" s="20" customFormat="1" x14ac:dyDescent="0.2">
      <c r="C45"/>
      <c r="D45" s="18"/>
      <c r="E45" s="18"/>
      <c r="F45" s="54"/>
      <c r="G45" s="54"/>
      <c r="H45" s="18"/>
      <c r="I45" s="18"/>
      <c r="J45" s="18"/>
      <c r="K45" s="54"/>
      <c r="L45" s="18"/>
    </row>
    <row r="46" spans="2:12" s="20" customFormat="1" x14ac:dyDescent="0.2">
      <c r="C46"/>
      <c r="D46" s="18"/>
      <c r="E46" s="18"/>
      <c r="F46" s="54"/>
      <c r="G46" s="54"/>
      <c r="H46" s="18"/>
      <c r="I46" s="18"/>
      <c r="J46" s="18"/>
      <c r="K46" s="54"/>
      <c r="L46" s="18"/>
    </row>
    <row r="47" spans="2:12" s="20" customFormat="1" x14ac:dyDescent="0.2">
      <c r="C47"/>
      <c r="D47" s="18"/>
      <c r="E47" s="18"/>
      <c r="F47" s="54"/>
      <c r="G47" s="54"/>
      <c r="H47" s="18"/>
      <c r="I47" s="18"/>
      <c r="J47" s="18"/>
      <c r="K47" s="54"/>
      <c r="L47" s="18"/>
    </row>
    <row r="48" spans="2:12" s="20" customFormat="1" x14ac:dyDescent="0.2">
      <c r="C48"/>
      <c r="D48" s="18"/>
      <c r="E48" s="18"/>
      <c r="F48" s="54"/>
      <c r="G48" s="54"/>
      <c r="H48" s="18"/>
      <c r="I48" s="18"/>
      <c r="J48" s="18"/>
      <c r="K48" s="54"/>
      <c r="L48" s="18"/>
    </row>
    <row r="49" spans="3:12" s="20" customFormat="1" x14ac:dyDescent="0.2">
      <c r="C49"/>
      <c r="D49" s="18"/>
      <c r="E49" s="18"/>
      <c r="F49" s="54"/>
      <c r="G49" s="54"/>
      <c r="H49" s="18"/>
      <c r="I49" s="18"/>
      <c r="J49" s="18"/>
      <c r="K49" s="54"/>
      <c r="L49" s="18"/>
    </row>
    <row r="50" spans="3:12" s="20" customFormat="1" x14ac:dyDescent="0.2">
      <c r="C50"/>
      <c r="D50" s="18"/>
      <c r="E50" s="18"/>
      <c r="F50" s="54"/>
      <c r="G50" s="54"/>
      <c r="H50" s="18"/>
      <c r="I50" s="18"/>
      <c r="J50" s="18"/>
      <c r="K50" s="54"/>
      <c r="L50" s="18"/>
    </row>
    <row r="51" spans="3:12" s="20" customFormat="1" x14ac:dyDescent="0.2">
      <c r="C51"/>
      <c r="D51" s="18"/>
      <c r="E51" s="18"/>
      <c r="F51" s="54"/>
      <c r="G51" s="54"/>
      <c r="H51" s="18"/>
      <c r="I51" s="18"/>
      <c r="J51" s="18"/>
      <c r="K51" s="54"/>
      <c r="L51" s="18"/>
    </row>
    <row r="52" spans="3:12" s="20" customFormat="1" x14ac:dyDescent="0.2">
      <c r="C52"/>
      <c r="D52" s="18"/>
      <c r="E52" s="18"/>
      <c r="F52" s="54"/>
      <c r="G52" s="54"/>
      <c r="H52" s="18"/>
      <c r="I52" s="18"/>
      <c r="J52" s="18"/>
      <c r="K52" s="54"/>
      <c r="L52" s="18"/>
    </row>
    <row r="53" spans="3:12" s="20" customFormat="1" x14ac:dyDescent="0.2">
      <c r="C53"/>
      <c r="D53" s="18"/>
      <c r="E53" s="18"/>
      <c r="F53" s="54"/>
      <c r="G53" s="54"/>
      <c r="H53" s="18"/>
      <c r="I53" s="18"/>
      <c r="J53" s="18"/>
      <c r="K53" s="54"/>
      <c r="L53" s="18"/>
    </row>
    <row r="54" spans="3:12" s="20" customFormat="1" x14ac:dyDescent="0.2">
      <c r="D54" s="18"/>
      <c r="E54" s="18"/>
      <c r="F54" s="54"/>
      <c r="G54" s="54"/>
      <c r="H54" s="18"/>
      <c r="I54" s="18"/>
      <c r="J54" s="18"/>
      <c r="K54" s="54"/>
      <c r="L54" s="18"/>
    </row>
    <row r="55" spans="3:12" s="20" customFormat="1" x14ac:dyDescent="0.2">
      <c r="D55" s="18"/>
      <c r="E55" s="18"/>
      <c r="F55" s="54"/>
      <c r="G55" s="54"/>
      <c r="H55" s="18"/>
      <c r="I55" s="18"/>
      <c r="J55" s="18"/>
      <c r="K55" s="54"/>
      <c r="L55" s="18"/>
    </row>
  </sheetData>
  <mergeCells count="28">
    <mergeCell ref="B19:B20"/>
    <mergeCell ref="K1:L2"/>
    <mergeCell ref="H19:J19"/>
    <mergeCell ref="K19:K20"/>
    <mergeCell ref="L19:L20"/>
    <mergeCell ref="D1:G2"/>
    <mergeCell ref="C15:G17"/>
    <mergeCell ref="H15:J17"/>
    <mergeCell ref="G19:G20"/>
    <mergeCell ref="F19:F20"/>
    <mergeCell ref="C19:D20"/>
    <mergeCell ref="E19:E20"/>
    <mergeCell ref="C36:D36"/>
    <mergeCell ref="C21:D21"/>
    <mergeCell ref="C22:D22"/>
    <mergeCell ref="C23:D23"/>
    <mergeCell ref="C24:D24"/>
    <mergeCell ref="C25:D25"/>
    <mergeCell ref="C26:D26"/>
    <mergeCell ref="C27:D27"/>
    <mergeCell ref="C28:D28"/>
    <mergeCell ref="C29:D29"/>
    <mergeCell ref="C30:D30"/>
    <mergeCell ref="C31:D31"/>
    <mergeCell ref="C32:D32"/>
    <mergeCell ref="C33:D33"/>
    <mergeCell ref="C34:D34"/>
    <mergeCell ref="C35:D35"/>
  </mergeCells>
  <phoneticPr fontId="20" type="noConversion"/>
  <conditionalFormatting sqref="D1:G2">
    <cfRule type="cellIs" dxfId="965" priority="5" stopIfTrue="1" operator="equal">
      <formula>0</formula>
    </cfRule>
  </conditionalFormatting>
  <conditionalFormatting sqref="A1:XFD14 T29:IV29 S20:S28 U20:IV28 A37:XFD65539 A19 C19 A18:XFD18 A15:G17 K15:IV17 E19:IV19 F20:Q20 E21:Q28 E29:R29 C21:C36 E30:IV36">
    <cfRule type="cellIs" dxfId="964" priority="4" stopIfTrue="1" operator="equal">
      <formula>0</formula>
    </cfRule>
  </conditionalFormatting>
  <conditionalFormatting sqref="R20:R28">
    <cfRule type="cellIs" dxfId="963" priority="3" stopIfTrue="1" operator="equal">
      <formula>0</formula>
    </cfRule>
  </conditionalFormatting>
  <conditionalFormatting sqref="T20:T28">
    <cfRule type="cellIs" dxfId="962" priority="2" stopIfTrue="1" operator="equal">
      <formula>0</formula>
    </cfRule>
  </conditionalFormatting>
  <conditionalFormatting sqref="B19:B36">
    <cfRule type="cellIs" dxfId="961" priority="1" stopIfTrue="1" operator="equal">
      <formula>0</formula>
    </cfRule>
  </conditionalFormatting>
  <dataValidations count="2">
    <dataValidation type="list" allowBlank="1" showInputMessage="1" showErrorMessage="1" sqref="C22:C36" xr:uid="{00000000-0002-0000-1400-000000000000}">
      <formula1>$S$20:$S$28</formula1>
    </dataValidation>
    <dataValidation type="list" allowBlank="1" showDropDown="1" sqref="C21" xr:uid="{00000000-0002-0000-1400-000001000000}">
      <formula1>$S$20:$S$28</formula1>
    </dataValidation>
  </dataValidations>
  <pageMargins left="0.78740157480314965" right="0.78740157480314965" top="0.98425196850393704" bottom="0.98425196850393704" header="0.51181102362204722" footer="0.51181102362204722"/>
  <pageSetup paperSize="9" scale="95" orientation="landscape"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abelle36">
    <tabColor indexed="24"/>
    <pageSetUpPr fitToPage="1"/>
  </sheetPr>
  <dimension ref="B1:U63"/>
  <sheetViews>
    <sheetView showGridLines="0" view="pageBreakPreview" topLeftCell="B1" zoomScale="85" zoomScaleNormal="100" zoomScaleSheetLayoutView="85" workbookViewId="0">
      <selection activeCell="E45" sqref="E45"/>
    </sheetView>
  </sheetViews>
  <sheetFormatPr baseColWidth="10" defaultRowHeight="15" x14ac:dyDescent="0.2"/>
  <cols>
    <col min="1" max="1" width="0.85546875" customWidth="1"/>
    <col min="2" max="2" width="6.7109375" customWidth="1"/>
    <col min="3" max="3" width="20.140625" style="20" customWidth="1"/>
    <col min="4" max="4" width="13.140625" style="20" customWidth="1"/>
    <col min="5" max="5" width="22.5703125" style="20" bestFit="1" customWidth="1"/>
    <col min="6" max="6" width="11.7109375" style="27" customWidth="1"/>
    <col min="7" max="7" width="14" style="27" bestFit="1" customWidth="1"/>
    <col min="8" max="9" width="7.7109375" style="1" customWidth="1"/>
    <col min="10" max="10" width="14.140625" style="1" customWidth="1"/>
    <col min="11" max="11" width="5.42578125" customWidth="1"/>
    <col min="12" max="12" width="0.85546875" customWidth="1"/>
    <col min="19" max="19" width="33.140625" customWidth="1"/>
  </cols>
  <sheetData>
    <row r="1" spans="3:11" ht="12.75" customHeight="1" x14ac:dyDescent="0.2">
      <c r="D1" s="3004" t="str">
        <f>Dateneingabe!$F$1&amp;" "&amp;Dateneingabe!$I$1</f>
        <v>Ausschreibung GCC vertikal Rev. 0563b</v>
      </c>
      <c r="E1" s="3004"/>
      <c r="F1" s="3004"/>
      <c r="G1" s="3004"/>
      <c r="H1" s="21"/>
      <c r="J1" s="2701"/>
      <c r="K1" s="2701"/>
    </row>
    <row r="2" spans="3:11" ht="18" customHeight="1" x14ac:dyDescent="0.2">
      <c r="D2" s="3004"/>
      <c r="E2" s="3004"/>
      <c r="F2" s="3004"/>
      <c r="G2" s="3004"/>
      <c r="H2" s="21"/>
      <c r="J2" s="2701"/>
      <c r="K2" s="2701"/>
    </row>
    <row r="3" spans="3:11" ht="15.75" x14ac:dyDescent="0.25">
      <c r="D3" s="3012" t="s">
        <v>27847</v>
      </c>
      <c r="E3" s="3012"/>
      <c r="F3" s="3012"/>
      <c r="G3" s="3012"/>
      <c r="H3" s="1117" t="s">
        <v>29023</v>
      </c>
      <c r="K3" s="26">
        <v>502</v>
      </c>
    </row>
    <row r="4" spans="3:11" ht="6" customHeight="1" x14ac:dyDescent="0.25">
      <c r="K4" s="26"/>
    </row>
    <row r="5" spans="3:11" x14ac:dyDescent="0.2">
      <c r="D5" s="126" t="s">
        <v>106</v>
      </c>
      <c r="E5" s="127" t="str">
        <f>Dateneingabe!F3</f>
        <v>05217112</v>
      </c>
      <c r="F5" s="128" t="s">
        <v>13</v>
      </c>
      <c r="G5" s="127" t="str">
        <f>Dateneingabe!H3</f>
        <v>200</v>
      </c>
      <c r="H5" s="10"/>
    </row>
    <row r="6" spans="3:11" ht="6" customHeight="1" x14ac:dyDescent="0.2">
      <c r="D6" s="126"/>
      <c r="E6" s="123"/>
      <c r="F6" s="128"/>
      <c r="G6" s="123"/>
    </row>
    <row r="7" spans="3:11" x14ac:dyDescent="0.2">
      <c r="D7" s="126" t="s">
        <v>83</v>
      </c>
      <c r="E7" s="127" t="str">
        <f>Dateneingabe!F5</f>
        <v>5101.002095</v>
      </c>
      <c r="F7" s="128"/>
      <c r="G7" s="123"/>
      <c r="H7" s="10"/>
    </row>
    <row r="8" spans="3:11" ht="6" customHeight="1" x14ac:dyDescent="0.2">
      <c r="D8" s="126"/>
      <c r="E8" s="123"/>
      <c r="F8" s="128"/>
      <c r="G8" s="123"/>
    </row>
    <row r="9" spans="3:11" x14ac:dyDescent="0.2">
      <c r="D9" s="126" t="s">
        <v>301</v>
      </c>
      <c r="E9" s="115" t="str">
        <f>Dateneingabe!F15</f>
        <v>MiWo</v>
      </c>
      <c r="F9" s="128" t="s">
        <v>97</v>
      </c>
      <c r="G9" s="129">
        <f>Dateneingabe!F13</f>
        <v>44594</v>
      </c>
      <c r="H9" s="10"/>
    </row>
    <row r="10" spans="3:11" ht="6" customHeight="1" x14ac:dyDescent="0.2"/>
    <row r="11" spans="3:11" x14ac:dyDescent="0.2">
      <c r="C11" s="22" t="s">
        <v>57</v>
      </c>
      <c r="D11" s="104"/>
      <c r="F11" s="50"/>
      <c r="G11" s="50"/>
      <c r="H11" s="10"/>
    </row>
    <row r="12" spans="3:11" ht="6" customHeight="1" x14ac:dyDescent="0.2"/>
    <row r="13" spans="3:11" x14ac:dyDescent="0.2">
      <c r="C13" s="23" t="s">
        <v>14</v>
      </c>
    </row>
    <row r="14" spans="3:11" ht="6" customHeight="1" x14ac:dyDescent="0.2"/>
    <row r="15" spans="3:11" ht="12.75" x14ac:dyDescent="0.2">
      <c r="C15" s="3005"/>
      <c r="D15" s="2729"/>
      <c r="E15" s="2729"/>
      <c r="F15" s="2729"/>
      <c r="G15" s="2730"/>
      <c r="H15" s="10"/>
      <c r="I15" s="10"/>
    </row>
    <row r="16" spans="3:11" ht="15" customHeight="1" x14ac:dyDescent="0.2">
      <c r="C16" s="3006"/>
      <c r="D16" s="2732"/>
      <c r="E16" s="2732"/>
      <c r="F16" s="2732"/>
      <c r="G16" s="2733"/>
      <c r="H16" s="10"/>
      <c r="I16" s="10"/>
    </row>
    <row r="17" spans="2:21" ht="15" customHeight="1" x14ac:dyDescent="0.2">
      <c r="C17" s="3007"/>
      <c r="D17" s="2735"/>
      <c r="E17" s="2735"/>
      <c r="F17" s="2735"/>
      <c r="G17" s="2736"/>
      <c r="H17" s="10"/>
      <c r="I17" s="10"/>
    </row>
    <row r="18" spans="2:21" ht="24" customHeight="1" thickBot="1" x14ac:dyDescent="0.25">
      <c r="C18" s="50"/>
      <c r="D18" s="50"/>
      <c r="E18" s="50"/>
      <c r="F18" s="50"/>
      <c r="G18" s="50"/>
      <c r="H18" s="10"/>
      <c r="I18" s="10"/>
    </row>
    <row r="19" spans="2:21" ht="15" customHeight="1" thickBot="1" x14ac:dyDescent="0.3">
      <c r="B19" s="2976" t="s">
        <v>28098</v>
      </c>
      <c r="C19" s="3050" t="s">
        <v>72</v>
      </c>
      <c r="D19" s="3009"/>
      <c r="E19" s="2724" t="s">
        <v>297</v>
      </c>
      <c r="F19" s="2724" t="s">
        <v>104</v>
      </c>
      <c r="G19" s="2989" t="s">
        <v>299</v>
      </c>
      <c r="H19" s="3001" t="s">
        <v>103</v>
      </c>
      <c r="I19" s="3002"/>
      <c r="J19" s="3003" t="s">
        <v>4</v>
      </c>
      <c r="K19" s="2976" t="s">
        <v>12</v>
      </c>
    </row>
    <row r="20" spans="2:21" ht="16.5" thickBot="1" x14ac:dyDescent="0.3">
      <c r="B20" s="2725"/>
      <c r="C20" s="3010"/>
      <c r="D20" s="3011"/>
      <c r="E20" s="2725"/>
      <c r="F20" s="2725"/>
      <c r="G20" s="2725"/>
      <c r="H20" s="25" t="s">
        <v>17</v>
      </c>
      <c r="I20" s="25" t="s">
        <v>73</v>
      </c>
      <c r="J20" s="2977"/>
      <c r="K20" s="2977"/>
      <c r="M20" s="1" t="s">
        <v>28104</v>
      </c>
      <c r="N20" s="1" t="s">
        <v>28103</v>
      </c>
      <c r="R20" t="s">
        <v>543</v>
      </c>
      <c r="S20" t="s">
        <v>28100</v>
      </c>
      <c r="T20" s="1" t="s">
        <v>69</v>
      </c>
      <c r="U20" s="1" t="s">
        <v>67</v>
      </c>
    </row>
    <row r="21" spans="2:21" s="20" customFormat="1" ht="17.100000000000001" customHeight="1" x14ac:dyDescent="0.2">
      <c r="B21" s="1509">
        <f>Liste!O427</f>
        <v>57</v>
      </c>
      <c r="C21" s="2992" t="str">
        <f>VLOOKUP(F21,$R$21:$S$35,2,FALSE)</f>
        <v xml:space="preserve">0708161 / GKF 12,5mm </v>
      </c>
      <c r="D21" s="3047"/>
      <c r="E21" s="1515" t="str">
        <f>Liste!N427</f>
        <v>Festfelddeckplatte</v>
      </c>
      <c r="F21" s="30" t="str">
        <f>Liste!C427</f>
        <v>0708161</v>
      </c>
      <c r="G21" s="202">
        <f>Liste!$D$427</f>
        <v>2</v>
      </c>
      <c r="H21" s="133">
        <f>Liste!$F$427</f>
        <v>1100</v>
      </c>
      <c r="I21" s="133">
        <f>Liste!$E$427</f>
        <v>365</v>
      </c>
      <c r="J21" s="954">
        <f t="shared" ref="J21:J46" si="0">(H21/1000)*(I21/1000)*G21</f>
        <v>0.80300000000000005</v>
      </c>
      <c r="K21" s="1520"/>
      <c r="M21" s="27">
        <f>VLOOKUP(F21,$R$21:$U$35,3,FALSE)</f>
        <v>2000</v>
      </c>
      <c r="N21" s="27">
        <f>VLOOKUP(F21,$R$21:$U$35,4,FALSE)</f>
        <v>1250</v>
      </c>
      <c r="R21" s="32" t="str">
        <f t="shared" ref="R21:R34" si="1">LEFT(S21,7)</f>
        <v>0202003</v>
      </c>
      <c r="S21" s="7" t="s">
        <v>86</v>
      </c>
      <c r="T21" s="27">
        <v>2500</v>
      </c>
      <c r="U21" s="1">
        <v>1250</v>
      </c>
    </row>
    <row r="22" spans="2:21" s="20" customFormat="1" ht="17.100000000000001" customHeight="1" x14ac:dyDescent="0.2">
      <c r="B22" s="1509">
        <f>Liste!O428</f>
        <v>58</v>
      </c>
      <c r="C22" s="2992" t="str">
        <f>VLOOKUP(F22,$R$21:$S$35,2,FALSE)</f>
        <v xml:space="preserve">0708161 / GKF 12,5mm </v>
      </c>
      <c r="D22" s="3047"/>
      <c r="E22" s="1515" t="str">
        <f>Liste!N428</f>
        <v>Festfelddeckplatte</v>
      </c>
      <c r="F22" s="30" t="str">
        <f>Liste!C428</f>
        <v>0708161</v>
      </c>
      <c r="G22" s="202">
        <f>Liste!$D$428</f>
        <v>0</v>
      </c>
      <c r="H22" s="133">
        <f>Liste!$F$428</f>
        <v>0</v>
      </c>
      <c r="I22" s="133">
        <f>Liste!$E$428</f>
        <v>365</v>
      </c>
      <c r="J22" s="954">
        <f t="shared" si="0"/>
        <v>0</v>
      </c>
      <c r="K22" s="1520"/>
      <c r="M22" s="27">
        <f t="shared" ref="M22:M63" si="2">VLOOKUP(F22,$R$21:$U$35,3,FALSE)</f>
        <v>2000</v>
      </c>
      <c r="N22" s="27">
        <f t="shared" ref="N22:N63" si="3">VLOOKUP(F22,$R$21:$U$35,4,FALSE)</f>
        <v>1250</v>
      </c>
      <c r="R22" s="32" t="str">
        <f t="shared" si="1"/>
        <v>0202010</v>
      </c>
      <c r="S22" s="7" t="s">
        <v>87</v>
      </c>
      <c r="T22" s="27">
        <v>2500</v>
      </c>
      <c r="U22" s="27">
        <v>1250</v>
      </c>
    </row>
    <row r="23" spans="2:21" s="20" customFormat="1" ht="17.100000000000001" customHeight="1" x14ac:dyDescent="0.2">
      <c r="B23" s="1509">
        <f>Liste!O443</f>
        <v>59</v>
      </c>
      <c r="C23" s="2992"/>
      <c r="D23" s="3047"/>
      <c r="E23" s="1515"/>
      <c r="F23" s="949"/>
      <c r="G23" s="1551"/>
      <c r="H23" s="1552"/>
      <c r="I23" s="1552"/>
      <c r="J23" s="954">
        <f t="shared" si="0"/>
        <v>0</v>
      </c>
      <c r="K23" s="1520"/>
      <c r="M23" s="27" t="e">
        <f t="shared" si="2"/>
        <v>#N/A</v>
      </c>
      <c r="N23" s="27" t="e">
        <f t="shared" si="3"/>
        <v>#N/A</v>
      </c>
      <c r="R23" s="32" t="str">
        <f t="shared" si="1"/>
        <v>0202012</v>
      </c>
      <c r="S23" s="7" t="s">
        <v>88</v>
      </c>
      <c r="T23" s="27">
        <v>2500</v>
      </c>
      <c r="U23" s="27">
        <v>1250</v>
      </c>
    </row>
    <row r="24" spans="2:21" s="20" customFormat="1" ht="17.100000000000001" customHeight="1" x14ac:dyDescent="0.2">
      <c r="B24" s="1509">
        <f>Liste!O444</f>
        <v>60</v>
      </c>
      <c r="C24" s="2992" t="str">
        <f>VLOOKUP(F24,$R$21:$S$35,2,FALSE)</f>
        <v xml:space="preserve">0202018 / GKF VK 18mm </v>
      </c>
      <c r="D24" s="3047"/>
      <c r="E24" s="1515" t="str">
        <f>Liste!N444</f>
        <v>Festfeldfüllplatte</v>
      </c>
      <c r="F24" s="30" t="str">
        <f>Liste!C444</f>
        <v>0202018</v>
      </c>
      <c r="G24" s="30">
        <f>Liste!D444</f>
        <v>0</v>
      </c>
      <c r="H24" s="133">
        <f>Liste!E444</f>
        <v>225</v>
      </c>
      <c r="I24" s="133">
        <f>Liste!F444</f>
        <v>1225</v>
      </c>
      <c r="J24" s="954">
        <f t="shared" si="0"/>
        <v>0</v>
      </c>
      <c r="K24" s="1520"/>
      <c r="M24" s="27">
        <f t="shared" si="2"/>
        <v>2500</v>
      </c>
      <c r="N24" s="27">
        <f t="shared" si="3"/>
        <v>1250</v>
      </c>
      <c r="R24" s="32" t="str">
        <f t="shared" si="1"/>
        <v>0202015</v>
      </c>
      <c r="S24" s="7" t="s">
        <v>89</v>
      </c>
      <c r="T24" s="27">
        <v>2500</v>
      </c>
      <c r="U24" s="27">
        <v>1250</v>
      </c>
    </row>
    <row r="25" spans="2:21" s="20" customFormat="1" ht="17.100000000000001" customHeight="1" x14ac:dyDescent="0.2">
      <c r="B25" s="1509">
        <f>Liste!O446</f>
        <v>61</v>
      </c>
      <c r="C25" s="2992"/>
      <c r="D25" s="3047"/>
      <c r="E25" s="1515"/>
      <c r="F25" s="30"/>
      <c r="G25" s="1551"/>
      <c r="H25" s="1552"/>
      <c r="I25" s="1552"/>
      <c r="J25" s="954">
        <f t="shared" si="0"/>
        <v>0</v>
      </c>
      <c r="K25" s="1520"/>
      <c r="M25" s="27" t="e">
        <f t="shared" si="2"/>
        <v>#N/A</v>
      </c>
      <c r="N25" s="27" t="e">
        <f t="shared" si="3"/>
        <v>#N/A</v>
      </c>
      <c r="R25" s="32" t="str">
        <f t="shared" si="1"/>
        <v>0202020</v>
      </c>
      <c r="S25" s="7" t="s">
        <v>90</v>
      </c>
      <c r="T25" s="27">
        <v>2500</v>
      </c>
      <c r="U25" s="27">
        <v>1250</v>
      </c>
    </row>
    <row r="26" spans="2:21" s="20" customFormat="1" ht="17.100000000000001" customHeight="1" x14ac:dyDescent="0.2">
      <c r="B26" s="1509">
        <f>Liste!O447</f>
        <v>62</v>
      </c>
      <c r="C26" s="2992" t="str">
        <f>VLOOKUP(F26,$R$21:$S$35,2,FALSE)</f>
        <v xml:space="preserve">0708161 / GKF 12,5mm </v>
      </c>
      <c r="D26" s="3047"/>
      <c r="E26" s="1515" t="str">
        <f>Liste!N447</f>
        <v>Festfeldfüllplatte</v>
      </c>
      <c r="F26" s="30" t="str">
        <f>Liste!C447</f>
        <v>0708161</v>
      </c>
      <c r="G26" s="30">
        <f>Liste!D447</f>
        <v>0</v>
      </c>
      <c r="H26" s="133">
        <f>Liste!E447</f>
        <v>225</v>
      </c>
      <c r="I26" s="133">
        <f>Liste!F447</f>
        <v>1225</v>
      </c>
      <c r="J26" s="954">
        <f t="shared" si="0"/>
        <v>0</v>
      </c>
      <c r="K26" s="1520"/>
      <c r="M26" s="27">
        <f t="shared" si="2"/>
        <v>2000</v>
      </c>
      <c r="N26" s="27">
        <f t="shared" si="3"/>
        <v>1250</v>
      </c>
      <c r="R26" s="32" t="str">
        <f t="shared" si="1"/>
        <v>0202024</v>
      </c>
      <c r="S26" s="7" t="s">
        <v>94</v>
      </c>
      <c r="T26" s="27">
        <v>2500</v>
      </c>
      <c r="U26" s="27">
        <v>1250</v>
      </c>
    </row>
    <row r="27" spans="2:21" s="20" customFormat="1" ht="17.100000000000001" customHeight="1" x14ac:dyDescent="0.2">
      <c r="B27" s="1509">
        <f>Liste!O449</f>
        <v>63</v>
      </c>
      <c r="C27" s="2992"/>
      <c r="D27" s="3047"/>
      <c r="E27" s="1515"/>
      <c r="F27" s="30"/>
      <c r="G27" s="1551"/>
      <c r="H27" s="1552"/>
      <c r="I27" s="1552"/>
      <c r="J27" s="954">
        <f t="shared" si="0"/>
        <v>0</v>
      </c>
      <c r="K27" s="1520"/>
      <c r="M27" s="27" t="e">
        <f t="shared" si="2"/>
        <v>#N/A</v>
      </c>
      <c r="N27" s="27" t="e">
        <f t="shared" si="3"/>
        <v>#N/A</v>
      </c>
      <c r="R27" s="32" t="str">
        <f t="shared" si="1"/>
        <v>0202030</v>
      </c>
      <c r="S27" s="7" t="s">
        <v>95</v>
      </c>
      <c r="T27" s="27">
        <v>2500</v>
      </c>
      <c r="U27" s="27">
        <v>1200</v>
      </c>
    </row>
    <row r="28" spans="2:21" s="20" customFormat="1" ht="17.100000000000001" customHeight="1" x14ac:dyDescent="0.2">
      <c r="B28" s="1509">
        <f>Liste!O450</f>
        <v>64</v>
      </c>
      <c r="C28" s="2992" t="str">
        <f>VLOOKUP(F28,$R$21:$S$35,2,FALSE)</f>
        <v xml:space="preserve">0202015 / Promatect-H 15 </v>
      </c>
      <c r="D28" s="3047"/>
      <c r="E28" s="1515" t="str">
        <f>Liste!N450</f>
        <v>Festfeldfüllplatte</v>
      </c>
      <c r="F28" s="30" t="str">
        <f>Liste!C450</f>
        <v>0202015</v>
      </c>
      <c r="G28" s="30">
        <f>Liste!D450</f>
        <v>0</v>
      </c>
      <c r="H28" s="133">
        <f>Liste!E450</f>
        <v>225</v>
      </c>
      <c r="I28" s="133">
        <f>Liste!F450</f>
        <v>1225</v>
      </c>
      <c r="J28" s="954">
        <f t="shared" si="0"/>
        <v>0</v>
      </c>
      <c r="K28" s="1520"/>
      <c r="M28" s="27">
        <f t="shared" si="2"/>
        <v>2500</v>
      </c>
      <c r="N28" s="27">
        <f t="shared" si="3"/>
        <v>1250</v>
      </c>
      <c r="R28" s="32" t="str">
        <f t="shared" si="1"/>
        <v>0708157</v>
      </c>
      <c r="S28" s="7" t="s">
        <v>295</v>
      </c>
      <c r="T28" s="27">
        <v>2000</v>
      </c>
      <c r="U28" s="27">
        <v>1250</v>
      </c>
    </row>
    <row r="29" spans="2:21" s="20" customFormat="1" ht="17.100000000000001" customHeight="1" x14ac:dyDescent="0.2">
      <c r="B29" s="1509">
        <f>Liste!O452</f>
        <v>65</v>
      </c>
      <c r="C29" s="2992"/>
      <c r="D29" s="3047"/>
      <c r="E29" s="1515"/>
      <c r="F29" s="30"/>
      <c r="G29" s="1551"/>
      <c r="H29" s="1552"/>
      <c r="I29" s="1552"/>
      <c r="J29" s="954">
        <f t="shared" si="0"/>
        <v>0</v>
      </c>
      <c r="K29" s="1520"/>
      <c r="M29" s="27" t="e">
        <f t="shared" si="2"/>
        <v>#N/A</v>
      </c>
      <c r="N29" s="27" t="e">
        <f t="shared" si="3"/>
        <v>#N/A</v>
      </c>
      <c r="R29" s="32" t="str">
        <f t="shared" si="1"/>
        <v>0202011</v>
      </c>
      <c r="S29" s="7" t="s">
        <v>296</v>
      </c>
      <c r="T29" s="27">
        <v>2000</v>
      </c>
      <c r="U29" s="27">
        <v>1250</v>
      </c>
    </row>
    <row r="30" spans="2:21" s="20" customFormat="1" ht="17.100000000000001" customHeight="1" x14ac:dyDescent="0.2">
      <c r="B30" s="1509">
        <f>Liste!O453</f>
        <v>66</v>
      </c>
      <c r="C30" s="2992" t="str">
        <f>VLOOKUP(F30,$R$21:$S$35,2,FALSE)</f>
        <v xml:space="preserve">0202003 / Promatect-H 6  </v>
      </c>
      <c r="D30" s="3047"/>
      <c r="E30" s="1515" t="str">
        <f>Liste!N453</f>
        <v>Festfeldfüllplatte</v>
      </c>
      <c r="F30" s="30" t="str">
        <f>Liste!C453</f>
        <v>0202003</v>
      </c>
      <c r="G30" s="30">
        <f>Liste!D453</f>
        <v>0</v>
      </c>
      <c r="H30" s="133">
        <f>Liste!E453</f>
        <v>225</v>
      </c>
      <c r="I30" s="133">
        <f>Liste!F453</f>
        <v>1225</v>
      </c>
      <c r="J30" s="954">
        <f t="shared" si="0"/>
        <v>0</v>
      </c>
      <c r="K30" s="1520"/>
      <c r="M30" s="27">
        <f t="shared" si="2"/>
        <v>2500</v>
      </c>
      <c r="N30" s="27">
        <f t="shared" si="3"/>
        <v>1250</v>
      </c>
      <c r="R30" s="32" t="str">
        <f t="shared" si="1"/>
        <v>0708161</v>
      </c>
      <c r="S30" s="7" t="s">
        <v>294</v>
      </c>
      <c r="T30" s="27">
        <v>2000</v>
      </c>
      <c r="U30" s="27">
        <v>1250</v>
      </c>
    </row>
    <row r="31" spans="2:21" s="20" customFormat="1" ht="17.100000000000001" customHeight="1" x14ac:dyDescent="0.2">
      <c r="B31" s="1509">
        <f>Liste!O298</f>
        <v>67</v>
      </c>
      <c r="C31" s="2992" t="str">
        <f>VLOOKUP(F31,$R$21:$S$35,2,FALSE)</f>
        <v xml:space="preserve">0202024 / Promatect-H 25 </v>
      </c>
      <c r="D31" s="3047"/>
      <c r="E31" s="1515" t="str">
        <f>Liste!N298</f>
        <v>Hinterf. Dichtrahmen</v>
      </c>
      <c r="F31" s="1542" t="str">
        <f>Liste!C298</f>
        <v>0202024</v>
      </c>
      <c r="G31" s="202">
        <f>Liste!D298</f>
        <v>0</v>
      </c>
      <c r="H31" s="133">
        <f>Liste!E298</f>
        <v>150</v>
      </c>
      <c r="I31" s="133">
        <f>Liste!F298</f>
        <v>550</v>
      </c>
      <c r="J31" s="954">
        <f t="shared" si="0"/>
        <v>0</v>
      </c>
      <c r="K31" s="1520"/>
      <c r="M31" s="27">
        <f t="shared" si="2"/>
        <v>2500</v>
      </c>
      <c r="N31" s="27">
        <f t="shared" si="3"/>
        <v>1250</v>
      </c>
      <c r="R31" s="32" t="str">
        <f t="shared" si="1"/>
        <v>0202018</v>
      </c>
      <c r="S31" s="1541" t="s">
        <v>29523</v>
      </c>
      <c r="T31" s="27">
        <v>2500</v>
      </c>
      <c r="U31" s="27">
        <v>1250</v>
      </c>
    </row>
    <row r="32" spans="2:21" s="20" customFormat="1" ht="17.100000000000001" customHeight="1" x14ac:dyDescent="0.2">
      <c r="B32" s="1509">
        <f>Liste!O299</f>
        <v>68</v>
      </c>
      <c r="C32" s="2992" t="str">
        <f>VLOOKUP(F32,$R$21:$S$35,2,FALSE)</f>
        <v xml:space="preserve">0202024 / Promatect-H 25 </v>
      </c>
      <c r="D32" s="3047"/>
      <c r="E32" s="1515" t="str">
        <f>Liste!N299</f>
        <v>Hinterf. Dichtrahmen</v>
      </c>
      <c r="F32" s="1542" t="str">
        <f>Liste!C299</f>
        <v>0202024</v>
      </c>
      <c r="G32" s="202">
        <f>Liste!D299</f>
        <v>0</v>
      </c>
      <c r="H32" s="133">
        <f>Liste!E299</f>
        <v>150</v>
      </c>
      <c r="I32" s="133">
        <f>Liste!F299</f>
        <v>550</v>
      </c>
      <c r="J32" s="954">
        <f t="shared" si="0"/>
        <v>0</v>
      </c>
      <c r="K32" s="1520"/>
      <c r="M32" s="27">
        <f t="shared" si="2"/>
        <v>2500</v>
      </c>
      <c r="N32" s="27">
        <f t="shared" si="3"/>
        <v>1250</v>
      </c>
      <c r="R32" s="32" t="str">
        <f t="shared" si="1"/>
        <v>0213001</v>
      </c>
      <c r="S32" s="1541" t="s">
        <v>28101</v>
      </c>
      <c r="T32" s="27">
        <v>2500</v>
      </c>
      <c r="U32" s="27">
        <v>1250</v>
      </c>
    </row>
    <row r="33" spans="2:21" s="20" customFormat="1" ht="17.100000000000001" customHeight="1" x14ac:dyDescent="0.2">
      <c r="B33" s="1509">
        <f>Liste!O300</f>
        <v>69</v>
      </c>
      <c r="C33" s="2992" t="str">
        <f>VLOOKUP(F33,$R$21:$S$35,2,FALSE)</f>
        <v xml:space="preserve">0202024 / Promatect-H 25 </v>
      </c>
      <c r="D33" s="3047"/>
      <c r="E33" s="1515" t="str">
        <f>Liste!N300</f>
        <v>Hinterf. Dichtrahmen</v>
      </c>
      <c r="F33" s="1542" t="str">
        <f>Liste!C300</f>
        <v>0202024</v>
      </c>
      <c r="G33" s="202">
        <f>Liste!D300</f>
        <v>0</v>
      </c>
      <c r="H33" s="133">
        <f>Liste!E300</f>
        <v>185</v>
      </c>
      <c r="I33" s="133">
        <f>Liste!F300</f>
        <v>1100</v>
      </c>
      <c r="J33" s="954">
        <f t="shared" si="0"/>
        <v>0</v>
      </c>
      <c r="K33" s="1520"/>
      <c r="M33" s="27">
        <f t="shared" si="2"/>
        <v>2500</v>
      </c>
      <c r="N33" s="27">
        <f t="shared" si="3"/>
        <v>1250</v>
      </c>
      <c r="R33" s="32" t="str">
        <f t="shared" si="1"/>
        <v>0213002</v>
      </c>
      <c r="S33" s="1541" t="s">
        <v>28102</v>
      </c>
      <c r="T33" s="27">
        <v>2500</v>
      </c>
      <c r="U33" s="27">
        <v>1250</v>
      </c>
    </row>
    <row r="34" spans="2:21" s="20" customFormat="1" ht="17.100000000000001" customHeight="1" x14ac:dyDescent="0.2">
      <c r="B34" s="1509">
        <f>Liste!O301</f>
        <v>70</v>
      </c>
      <c r="C34" s="2992" t="str">
        <f>VLOOKUP(F34,$R$21:$S$35,2,FALSE)</f>
        <v xml:space="preserve">0202024 / Promatect-H 25 </v>
      </c>
      <c r="D34" s="3047"/>
      <c r="E34" s="1515" t="str">
        <f>Liste!N301</f>
        <v>Hinterf. Dichtrahmen</v>
      </c>
      <c r="F34" s="1542" t="str">
        <f>Liste!C301</f>
        <v>0202024</v>
      </c>
      <c r="G34" s="202">
        <f>Liste!D301</f>
        <v>0</v>
      </c>
      <c r="H34" s="133">
        <f>Liste!E301</f>
        <v>50</v>
      </c>
      <c r="I34" s="133">
        <f>Liste!F301</f>
        <v>515</v>
      </c>
      <c r="J34" s="954">
        <f t="shared" si="0"/>
        <v>0</v>
      </c>
      <c r="K34" s="1520"/>
      <c r="M34" s="27">
        <f t="shared" si="2"/>
        <v>2500</v>
      </c>
      <c r="N34" s="27">
        <f t="shared" si="3"/>
        <v>1250</v>
      </c>
      <c r="R34" s="32" t="str">
        <f t="shared" si="1"/>
        <v>0202023</v>
      </c>
      <c r="S34" s="1541" t="s">
        <v>29204</v>
      </c>
      <c r="T34" s="27">
        <v>3000</v>
      </c>
      <c r="U34" s="27">
        <v>1250</v>
      </c>
    </row>
    <row r="35" spans="2:21" s="20" customFormat="1" ht="17.100000000000001" customHeight="1" x14ac:dyDescent="0.2">
      <c r="B35" s="753" t="s">
        <v>28991</v>
      </c>
      <c r="C35" s="2990"/>
      <c r="D35" s="2991"/>
      <c r="E35" s="2577"/>
      <c r="F35" s="32" t="str">
        <f t="shared" ref="F35:F51" si="4">LEFT(C35,7)</f>
        <v/>
      </c>
      <c r="G35" s="2575"/>
      <c r="H35" s="2580"/>
      <c r="I35" s="2580"/>
      <c r="J35" s="954">
        <f t="shared" si="0"/>
        <v>0</v>
      </c>
      <c r="K35" s="40"/>
      <c r="M35" s="27" t="e">
        <f t="shared" si="2"/>
        <v>#N/A</v>
      </c>
      <c r="N35" s="27" t="e">
        <f t="shared" si="3"/>
        <v>#N/A</v>
      </c>
    </row>
    <row r="36" spans="2:21" s="20" customFormat="1" ht="17.100000000000001" customHeight="1" x14ac:dyDescent="0.2">
      <c r="B36" s="753" t="s">
        <v>28992</v>
      </c>
      <c r="C36" s="2990" t="s">
        <v>86</v>
      </c>
      <c r="D36" s="2991"/>
      <c r="E36" s="2577" t="s">
        <v>31521</v>
      </c>
      <c r="F36" s="32" t="str">
        <f t="shared" si="4"/>
        <v>0202003</v>
      </c>
      <c r="G36" s="2575">
        <v>1</v>
      </c>
      <c r="H36" s="2580">
        <v>600</v>
      </c>
      <c r="I36" s="2580">
        <v>175</v>
      </c>
      <c r="J36" s="954">
        <f t="shared" si="0"/>
        <v>0.105</v>
      </c>
      <c r="K36" s="40"/>
      <c r="M36" s="27">
        <f t="shared" si="2"/>
        <v>2500</v>
      </c>
      <c r="N36" s="27">
        <f t="shared" si="3"/>
        <v>1250</v>
      </c>
    </row>
    <row r="37" spans="2:21" s="20" customFormat="1" ht="17.100000000000001" customHeight="1" x14ac:dyDescent="0.2">
      <c r="B37" s="753" t="s">
        <v>28993</v>
      </c>
      <c r="C37" s="2990" t="s">
        <v>87</v>
      </c>
      <c r="D37" s="2991"/>
      <c r="E37" s="2577" t="s">
        <v>31521</v>
      </c>
      <c r="F37" s="32" t="str">
        <f t="shared" si="4"/>
        <v>0202010</v>
      </c>
      <c r="G37" s="2575">
        <v>2</v>
      </c>
      <c r="H37" s="2580">
        <v>600</v>
      </c>
      <c r="I37" s="2580">
        <v>175</v>
      </c>
      <c r="J37" s="954">
        <f t="shared" si="0"/>
        <v>0.21</v>
      </c>
      <c r="K37" s="40"/>
      <c r="M37" s="27">
        <f t="shared" si="2"/>
        <v>2500</v>
      </c>
      <c r="N37" s="27">
        <f t="shared" si="3"/>
        <v>1250</v>
      </c>
    </row>
    <row r="38" spans="2:21" s="20" customFormat="1" ht="17.100000000000001" customHeight="1" x14ac:dyDescent="0.2">
      <c r="B38" s="753" t="s">
        <v>28994</v>
      </c>
      <c r="C38" s="2990" t="s">
        <v>89</v>
      </c>
      <c r="D38" s="2991"/>
      <c r="E38" s="2577" t="s">
        <v>31521</v>
      </c>
      <c r="F38" s="32" t="str">
        <f t="shared" si="4"/>
        <v>0202015</v>
      </c>
      <c r="G38" s="2575">
        <v>1</v>
      </c>
      <c r="H38" s="2580">
        <v>600</v>
      </c>
      <c r="I38" s="2580">
        <v>175</v>
      </c>
      <c r="J38" s="954">
        <f t="shared" si="0"/>
        <v>0.105</v>
      </c>
      <c r="K38" s="40"/>
      <c r="M38" s="27">
        <f t="shared" si="2"/>
        <v>2500</v>
      </c>
      <c r="N38" s="27">
        <f t="shared" si="3"/>
        <v>1250</v>
      </c>
    </row>
    <row r="39" spans="2:21" s="20" customFormat="1" ht="17.100000000000001" customHeight="1" x14ac:dyDescent="0.2">
      <c r="B39" s="753" t="s">
        <v>28995</v>
      </c>
      <c r="C39" s="2990" t="s">
        <v>90</v>
      </c>
      <c r="D39" s="2991"/>
      <c r="E39" s="2577" t="s">
        <v>31521</v>
      </c>
      <c r="F39" s="32" t="str">
        <f t="shared" si="4"/>
        <v>0202020</v>
      </c>
      <c r="G39" s="2575">
        <v>3</v>
      </c>
      <c r="H39" s="2580">
        <v>600</v>
      </c>
      <c r="I39" s="2580">
        <v>175</v>
      </c>
      <c r="J39" s="954">
        <f t="shared" si="0"/>
        <v>0.315</v>
      </c>
      <c r="K39" s="40"/>
      <c r="M39" s="27">
        <f t="shared" si="2"/>
        <v>2500</v>
      </c>
      <c r="N39" s="27">
        <f t="shared" si="3"/>
        <v>1250</v>
      </c>
    </row>
    <row r="40" spans="2:21" s="20" customFormat="1" x14ac:dyDescent="0.2">
      <c r="B40" s="753" t="s">
        <v>28996</v>
      </c>
      <c r="C40" s="2990" t="s">
        <v>90</v>
      </c>
      <c r="D40" s="2991"/>
      <c r="E40" s="2577" t="s">
        <v>31521</v>
      </c>
      <c r="F40" s="32" t="str">
        <f t="shared" si="4"/>
        <v>0202020</v>
      </c>
      <c r="G40" s="2575">
        <v>1</v>
      </c>
      <c r="H40" s="2580">
        <v>780</v>
      </c>
      <c r="I40" s="2580">
        <v>175</v>
      </c>
      <c r="J40" s="954">
        <f t="shared" si="0"/>
        <v>0.13649999999999998</v>
      </c>
      <c r="K40" s="40"/>
      <c r="M40" s="27">
        <f t="shared" si="2"/>
        <v>2500</v>
      </c>
      <c r="N40" s="27">
        <f t="shared" si="3"/>
        <v>1250</v>
      </c>
    </row>
    <row r="41" spans="2:21" s="20" customFormat="1" x14ac:dyDescent="0.2">
      <c r="B41" s="753" t="s">
        <v>28997</v>
      </c>
      <c r="C41" s="2990" t="s">
        <v>90</v>
      </c>
      <c r="D41" s="2991"/>
      <c r="E41" s="2577" t="s">
        <v>31521</v>
      </c>
      <c r="F41" s="32" t="str">
        <f t="shared" si="4"/>
        <v>0202020</v>
      </c>
      <c r="G41" s="2575">
        <v>2</v>
      </c>
      <c r="H41" s="2580">
        <v>118</v>
      </c>
      <c r="I41" s="2580">
        <v>175</v>
      </c>
      <c r="J41" s="954">
        <f t="shared" si="0"/>
        <v>4.1299999999999996E-2</v>
      </c>
      <c r="K41" s="40"/>
      <c r="M41" s="27">
        <f t="shared" si="2"/>
        <v>2500</v>
      </c>
      <c r="N41" s="27">
        <f t="shared" si="3"/>
        <v>1250</v>
      </c>
    </row>
    <row r="42" spans="2:21" s="20" customFormat="1" x14ac:dyDescent="0.2">
      <c r="B42" s="753" t="s">
        <v>28998</v>
      </c>
      <c r="C42" s="2990" t="s">
        <v>86</v>
      </c>
      <c r="D42" s="2991"/>
      <c r="E42" s="2577" t="s">
        <v>31521</v>
      </c>
      <c r="F42" s="32" t="str">
        <f t="shared" si="4"/>
        <v>0202003</v>
      </c>
      <c r="G42" s="2575">
        <v>4</v>
      </c>
      <c r="H42" s="2580">
        <v>175</v>
      </c>
      <c r="I42" s="2580">
        <v>65</v>
      </c>
      <c r="J42" s="954">
        <f t="shared" si="0"/>
        <v>4.5499999999999999E-2</v>
      </c>
      <c r="K42" s="40"/>
      <c r="M42" s="27">
        <f t="shared" si="2"/>
        <v>2500</v>
      </c>
      <c r="N42" s="27">
        <f t="shared" si="3"/>
        <v>1250</v>
      </c>
    </row>
    <row r="43" spans="2:21" s="20" customFormat="1" x14ac:dyDescent="0.2">
      <c r="B43" s="753" t="s">
        <v>28999</v>
      </c>
      <c r="C43" s="2990" t="s">
        <v>87</v>
      </c>
      <c r="D43" s="2991"/>
      <c r="E43" s="2577" t="s">
        <v>31521</v>
      </c>
      <c r="F43" s="32" t="str">
        <f t="shared" si="4"/>
        <v>0202010</v>
      </c>
      <c r="G43" s="2575">
        <v>8</v>
      </c>
      <c r="H43" s="2580">
        <v>175</v>
      </c>
      <c r="I43" s="2580">
        <v>65</v>
      </c>
      <c r="J43" s="954">
        <f t="shared" si="0"/>
        <v>9.0999999999999998E-2</v>
      </c>
      <c r="K43" s="40"/>
      <c r="M43" s="27">
        <f t="shared" si="2"/>
        <v>2500</v>
      </c>
      <c r="N43" s="27">
        <f t="shared" si="3"/>
        <v>1250</v>
      </c>
    </row>
    <row r="44" spans="2:21" s="20" customFormat="1" x14ac:dyDescent="0.2">
      <c r="B44" s="753" t="s">
        <v>29000</v>
      </c>
      <c r="C44" s="2990" t="s">
        <v>90</v>
      </c>
      <c r="D44" s="2991"/>
      <c r="E44" s="2577" t="s">
        <v>31522</v>
      </c>
      <c r="F44" s="32" t="str">
        <f t="shared" si="4"/>
        <v>0202020</v>
      </c>
      <c r="G44" s="2575">
        <v>2</v>
      </c>
      <c r="H44" s="2580">
        <v>600</v>
      </c>
      <c r="I44" s="2580">
        <v>110</v>
      </c>
      <c r="J44" s="954">
        <f t="shared" si="0"/>
        <v>0.13200000000000001</v>
      </c>
      <c r="K44" s="40"/>
      <c r="M44" s="27">
        <f t="shared" si="2"/>
        <v>2500</v>
      </c>
      <c r="N44" s="27">
        <f t="shared" si="3"/>
        <v>1250</v>
      </c>
    </row>
    <row r="45" spans="2:21" s="20" customFormat="1" x14ac:dyDescent="0.2">
      <c r="B45" s="753" t="s">
        <v>29001</v>
      </c>
      <c r="C45" s="2990"/>
      <c r="D45" s="2991"/>
      <c r="E45" s="2577"/>
      <c r="F45" s="32" t="str">
        <f t="shared" si="4"/>
        <v/>
      </c>
      <c r="G45" s="2575"/>
      <c r="H45" s="2580"/>
      <c r="I45" s="2580"/>
      <c r="J45" s="954">
        <f t="shared" si="0"/>
        <v>0</v>
      </c>
      <c r="K45" s="40"/>
      <c r="M45" s="27" t="e">
        <f t="shared" si="2"/>
        <v>#N/A</v>
      </c>
      <c r="N45" s="27" t="e">
        <f t="shared" si="3"/>
        <v>#N/A</v>
      </c>
    </row>
    <row r="46" spans="2:21" s="20" customFormat="1" x14ac:dyDescent="0.2">
      <c r="B46" s="753" t="s">
        <v>29002</v>
      </c>
      <c r="C46" s="3048"/>
      <c r="D46" s="3049"/>
      <c r="E46" s="2577"/>
      <c r="F46" s="32" t="str">
        <f t="shared" si="4"/>
        <v/>
      </c>
      <c r="G46" s="2575"/>
      <c r="H46" s="2580"/>
      <c r="I46" s="2580"/>
      <c r="J46" s="954">
        <f t="shared" si="0"/>
        <v>0</v>
      </c>
      <c r="K46" s="40"/>
      <c r="M46" s="27" t="e">
        <f t="shared" si="2"/>
        <v>#N/A</v>
      </c>
      <c r="N46" s="27" t="e">
        <f t="shared" si="3"/>
        <v>#N/A</v>
      </c>
    </row>
    <row r="47" spans="2:21" s="20" customFormat="1" x14ac:dyDescent="0.2">
      <c r="B47" s="753" t="s">
        <v>29003</v>
      </c>
      <c r="C47" s="2990"/>
      <c r="D47" s="2991"/>
      <c r="E47" s="2577"/>
      <c r="F47" s="32" t="str">
        <f t="shared" si="4"/>
        <v/>
      </c>
      <c r="G47" s="2575"/>
      <c r="H47" s="2580"/>
      <c r="I47" s="2580"/>
      <c r="J47" s="954">
        <f t="shared" ref="J47:J58" si="5">(H47/1000)*(I47/1000)*G47</f>
        <v>0</v>
      </c>
      <c r="K47" s="40"/>
      <c r="M47" s="27" t="e">
        <f t="shared" si="2"/>
        <v>#N/A</v>
      </c>
      <c r="N47" s="27" t="e">
        <f t="shared" si="3"/>
        <v>#N/A</v>
      </c>
    </row>
    <row r="48" spans="2:21" s="20" customFormat="1" x14ac:dyDescent="0.2">
      <c r="B48" s="753" t="s">
        <v>29004</v>
      </c>
      <c r="C48" s="2990"/>
      <c r="D48" s="2991"/>
      <c r="E48" s="2577"/>
      <c r="F48" s="32" t="str">
        <f t="shared" si="4"/>
        <v/>
      </c>
      <c r="G48" s="2575"/>
      <c r="H48" s="2580"/>
      <c r="I48" s="2580"/>
      <c r="J48" s="954">
        <f>(H48/1000)*(I48/1000)*G48</f>
        <v>0</v>
      </c>
      <c r="K48" s="40"/>
      <c r="M48" s="27" t="e">
        <f t="shared" si="2"/>
        <v>#N/A</v>
      </c>
      <c r="N48" s="27" t="e">
        <f t="shared" si="3"/>
        <v>#N/A</v>
      </c>
    </row>
    <row r="49" spans="2:14" s="20" customFormat="1" x14ac:dyDescent="0.2">
      <c r="B49" s="753" t="s">
        <v>29005</v>
      </c>
      <c r="C49" s="2990"/>
      <c r="D49" s="2991"/>
      <c r="E49" s="2578"/>
      <c r="F49" s="32" t="str">
        <f t="shared" si="4"/>
        <v/>
      </c>
      <c r="G49" s="2581"/>
      <c r="H49" s="2580"/>
      <c r="I49" s="2580"/>
      <c r="J49" s="202">
        <f>(H49/1000)*(I49/1000)*G49</f>
        <v>0</v>
      </c>
      <c r="K49" s="40"/>
      <c r="M49" s="27" t="e">
        <f t="shared" si="2"/>
        <v>#N/A</v>
      </c>
      <c r="N49" s="27" t="e">
        <f t="shared" si="3"/>
        <v>#N/A</v>
      </c>
    </row>
    <row r="50" spans="2:14" s="20" customFormat="1" x14ac:dyDescent="0.2">
      <c r="B50" s="753" t="s">
        <v>29006</v>
      </c>
      <c r="C50" s="2990"/>
      <c r="D50" s="2991"/>
      <c r="E50" s="2578"/>
      <c r="F50" s="32" t="str">
        <f t="shared" si="4"/>
        <v/>
      </c>
      <c r="G50" s="2581"/>
      <c r="H50" s="2580"/>
      <c r="I50" s="2580"/>
      <c r="J50" s="202">
        <f t="shared" si="5"/>
        <v>0</v>
      </c>
      <c r="K50" s="40"/>
      <c r="M50" s="27" t="e">
        <f t="shared" si="2"/>
        <v>#N/A</v>
      </c>
      <c r="N50" s="27" t="e">
        <f t="shared" si="3"/>
        <v>#N/A</v>
      </c>
    </row>
    <row r="51" spans="2:14" s="20" customFormat="1" x14ac:dyDescent="0.2">
      <c r="B51" s="753" t="s">
        <v>29007</v>
      </c>
      <c r="C51" s="2990"/>
      <c r="D51" s="2991"/>
      <c r="E51" s="2579"/>
      <c r="F51" s="32" t="str">
        <f t="shared" si="4"/>
        <v/>
      </c>
      <c r="G51" s="2581"/>
      <c r="H51" s="2580"/>
      <c r="I51" s="2580"/>
      <c r="J51" s="32">
        <f t="shared" si="5"/>
        <v>0</v>
      </c>
      <c r="K51" s="40"/>
      <c r="M51" s="27" t="e">
        <f t="shared" si="2"/>
        <v>#N/A</v>
      </c>
      <c r="N51" s="27" t="e">
        <f t="shared" si="3"/>
        <v>#N/A</v>
      </c>
    </row>
    <row r="52" spans="2:14" s="20" customFormat="1" x14ac:dyDescent="0.2">
      <c r="B52" s="753" t="s">
        <v>29008</v>
      </c>
      <c r="C52" s="2990"/>
      <c r="D52" s="3046"/>
      <c r="E52" s="2579"/>
      <c r="F52" s="32" t="str">
        <f t="shared" ref="F52:F63" si="6">LEFT(C52,7)</f>
        <v/>
      </c>
      <c r="G52" s="2581"/>
      <c r="H52" s="2580"/>
      <c r="I52" s="2580"/>
      <c r="J52" s="32">
        <f t="shared" si="5"/>
        <v>0</v>
      </c>
      <c r="K52" s="40"/>
      <c r="M52" s="27" t="e">
        <f t="shared" si="2"/>
        <v>#N/A</v>
      </c>
      <c r="N52" s="27" t="e">
        <f t="shared" si="3"/>
        <v>#N/A</v>
      </c>
    </row>
    <row r="53" spans="2:14" s="20" customFormat="1" x14ac:dyDescent="0.2">
      <c r="B53" s="753" t="s">
        <v>29009</v>
      </c>
      <c r="C53" s="2990"/>
      <c r="D53" s="3046"/>
      <c r="E53" s="2579"/>
      <c r="F53" s="32" t="str">
        <f t="shared" si="6"/>
        <v/>
      </c>
      <c r="G53" s="2581"/>
      <c r="H53" s="2580"/>
      <c r="I53" s="2580"/>
      <c r="J53" s="32">
        <f t="shared" si="5"/>
        <v>0</v>
      </c>
      <c r="K53" s="40"/>
      <c r="M53" s="27" t="e">
        <f t="shared" si="2"/>
        <v>#N/A</v>
      </c>
      <c r="N53" s="27" t="e">
        <f t="shared" si="3"/>
        <v>#N/A</v>
      </c>
    </row>
    <row r="54" spans="2:14" s="20" customFormat="1" x14ac:dyDescent="0.2">
      <c r="B54" s="753" t="s">
        <v>29010</v>
      </c>
      <c r="C54" s="2990"/>
      <c r="D54" s="3046"/>
      <c r="E54" s="2579"/>
      <c r="F54" s="32" t="str">
        <f t="shared" si="6"/>
        <v/>
      </c>
      <c r="G54" s="2581"/>
      <c r="H54" s="2580"/>
      <c r="I54" s="2580"/>
      <c r="J54" s="32">
        <f t="shared" si="5"/>
        <v>0</v>
      </c>
      <c r="K54" s="40"/>
      <c r="M54" s="27" t="e">
        <f>VLOOKUP(F54,$R$21:$U$35,3,FALSE)</f>
        <v>#N/A</v>
      </c>
      <c r="N54" s="27" t="e">
        <f t="shared" si="3"/>
        <v>#N/A</v>
      </c>
    </row>
    <row r="55" spans="2:14" s="20" customFormat="1" x14ac:dyDescent="0.2">
      <c r="B55" s="753" t="s">
        <v>29011</v>
      </c>
      <c r="C55" s="2990"/>
      <c r="D55" s="3046"/>
      <c r="E55" s="2579"/>
      <c r="F55" s="32" t="str">
        <f t="shared" si="6"/>
        <v/>
      </c>
      <c r="G55" s="2581"/>
      <c r="H55" s="2580"/>
      <c r="I55" s="2580"/>
      <c r="J55" s="32">
        <f t="shared" si="5"/>
        <v>0</v>
      </c>
      <c r="K55" s="40"/>
      <c r="M55" s="27" t="e">
        <f t="shared" si="2"/>
        <v>#N/A</v>
      </c>
      <c r="N55" s="27" t="e">
        <f t="shared" si="3"/>
        <v>#N/A</v>
      </c>
    </row>
    <row r="56" spans="2:14" s="20" customFormat="1" x14ac:dyDescent="0.2">
      <c r="B56" s="753" t="s">
        <v>29012</v>
      </c>
      <c r="C56" s="2990"/>
      <c r="D56" s="3046"/>
      <c r="E56" s="2579"/>
      <c r="F56" s="32" t="str">
        <f t="shared" si="6"/>
        <v/>
      </c>
      <c r="G56" s="2581"/>
      <c r="H56" s="2580"/>
      <c r="I56" s="2580"/>
      <c r="J56" s="32">
        <f t="shared" si="5"/>
        <v>0</v>
      </c>
      <c r="K56" s="40"/>
      <c r="M56" s="27" t="e">
        <f t="shared" si="2"/>
        <v>#N/A</v>
      </c>
      <c r="N56" s="27" t="e">
        <f t="shared" si="3"/>
        <v>#N/A</v>
      </c>
    </row>
    <row r="57" spans="2:14" s="20" customFormat="1" x14ac:dyDescent="0.2">
      <c r="B57" s="753" t="s">
        <v>29013</v>
      </c>
      <c r="C57" s="2990"/>
      <c r="D57" s="3046"/>
      <c r="E57" s="2579"/>
      <c r="F57" s="32" t="str">
        <f t="shared" si="6"/>
        <v/>
      </c>
      <c r="G57" s="2581"/>
      <c r="H57" s="2580"/>
      <c r="I57" s="2580"/>
      <c r="J57" s="32">
        <f t="shared" si="5"/>
        <v>0</v>
      </c>
      <c r="K57" s="40"/>
      <c r="M57" s="27" t="e">
        <f t="shared" si="2"/>
        <v>#N/A</v>
      </c>
      <c r="N57" s="27" t="e">
        <f t="shared" si="3"/>
        <v>#N/A</v>
      </c>
    </row>
    <row r="58" spans="2:14" s="20" customFormat="1" x14ac:dyDescent="0.2">
      <c r="B58" s="753" t="s">
        <v>29014</v>
      </c>
      <c r="C58" s="2990"/>
      <c r="D58" s="3046"/>
      <c r="E58" s="2579"/>
      <c r="F58" s="32" t="str">
        <f t="shared" si="6"/>
        <v/>
      </c>
      <c r="G58" s="2581"/>
      <c r="H58" s="2580"/>
      <c r="I58" s="2580"/>
      <c r="J58" s="32">
        <f t="shared" si="5"/>
        <v>0</v>
      </c>
      <c r="K58" s="40"/>
      <c r="M58" s="27" t="e">
        <f t="shared" si="2"/>
        <v>#N/A</v>
      </c>
      <c r="N58" s="27" t="e">
        <f t="shared" si="3"/>
        <v>#N/A</v>
      </c>
    </row>
    <row r="59" spans="2:14" x14ac:dyDescent="0.2">
      <c r="B59" s="753" t="s">
        <v>29015</v>
      </c>
      <c r="C59" s="2990"/>
      <c r="D59" s="3046"/>
      <c r="E59" s="2579"/>
      <c r="F59" s="32" t="str">
        <f t="shared" si="6"/>
        <v/>
      </c>
      <c r="G59" s="2581"/>
      <c r="H59" s="2580"/>
      <c r="I59" s="2580"/>
      <c r="J59" s="32">
        <f>(H59/1000)*(I59/1000)*G59</f>
        <v>0</v>
      </c>
      <c r="K59" s="40"/>
      <c r="M59" s="27" t="e">
        <f t="shared" si="2"/>
        <v>#N/A</v>
      </c>
      <c r="N59" s="27" t="e">
        <f t="shared" si="3"/>
        <v>#N/A</v>
      </c>
    </row>
    <row r="60" spans="2:14" x14ac:dyDescent="0.2">
      <c r="B60" s="753" t="s">
        <v>29016</v>
      </c>
      <c r="C60" s="2990"/>
      <c r="D60" s="3046"/>
      <c r="E60" s="2579"/>
      <c r="F60" s="32" t="str">
        <f t="shared" si="6"/>
        <v/>
      </c>
      <c r="G60" s="2581"/>
      <c r="H60" s="2580"/>
      <c r="I60" s="2580"/>
      <c r="J60" s="32">
        <f>(H60/1000)*(I60/1000)*G60</f>
        <v>0</v>
      </c>
      <c r="K60" s="40"/>
      <c r="M60" s="27" t="e">
        <f t="shared" si="2"/>
        <v>#N/A</v>
      </c>
      <c r="N60" s="27" t="e">
        <f t="shared" si="3"/>
        <v>#N/A</v>
      </c>
    </row>
    <row r="61" spans="2:14" x14ac:dyDescent="0.2">
      <c r="B61" s="753" t="s">
        <v>29017</v>
      </c>
      <c r="C61" s="2990"/>
      <c r="D61" s="3046"/>
      <c r="E61" s="2579"/>
      <c r="F61" s="32" t="str">
        <f t="shared" si="6"/>
        <v/>
      </c>
      <c r="G61" s="2581"/>
      <c r="H61" s="2580"/>
      <c r="I61" s="2580"/>
      <c r="J61" s="32">
        <f>(H61/1000)*(I61/1000)*G61</f>
        <v>0</v>
      </c>
      <c r="K61" s="40"/>
      <c r="M61" s="27" t="e">
        <f t="shared" si="2"/>
        <v>#N/A</v>
      </c>
      <c r="N61" s="27" t="e">
        <f t="shared" si="3"/>
        <v>#N/A</v>
      </c>
    </row>
    <row r="62" spans="2:14" x14ac:dyDescent="0.2">
      <c r="B62" s="753" t="s">
        <v>29018</v>
      </c>
      <c r="C62" s="2990"/>
      <c r="D62" s="3046"/>
      <c r="E62" s="2579"/>
      <c r="F62" s="32" t="str">
        <f t="shared" si="6"/>
        <v/>
      </c>
      <c r="G62" s="2581"/>
      <c r="H62" s="2580"/>
      <c r="I62" s="2580"/>
      <c r="J62" s="32">
        <f>(H62/1000)*(I62/1000)*G62</f>
        <v>0</v>
      </c>
      <c r="K62" s="40"/>
      <c r="M62" s="27" t="e">
        <f t="shared" si="2"/>
        <v>#N/A</v>
      </c>
      <c r="N62" s="27" t="e">
        <f t="shared" si="3"/>
        <v>#N/A</v>
      </c>
    </row>
    <row r="63" spans="2:14" x14ac:dyDescent="0.2">
      <c r="B63" s="753" t="s">
        <v>29019</v>
      </c>
      <c r="C63" s="2990"/>
      <c r="D63" s="3046"/>
      <c r="E63" s="2579"/>
      <c r="F63" s="32" t="str">
        <f t="shared" si="6"/>
        <v/>
      </c>
      <c r="G63" s="2581"/>
      <c r="H63" s="2580"/>
      <c r="I63" s="2580"/>
      <c r="J63" s="32">
        <f>(H63/1000)*(I63/1000)*G63</f>
        <v>0</v>
      </c>
      <c r="K63" s="40"/>
      <c r="M63" s="27" t="e">
        <f t="shared" si="2"/>
        <v>#N/A</v>
      </c>
      <c r="N63" s="27" t="e">
        <f t="shared" si="3"/>
        <v>#N/A</v>
      </c>
    </row>
  </sheetData>
  <mergeCells count="55">
    <mergeCell ref="J1:K2"/>
    <mergeCell ref="D3:G3"/>
    <mergeCell ref="C15:G17"/>
    <mergeCell ref="C19:D20"/>
    <mergeCell ref="E19:E20"/>
    <mergeCell ref="J19:J20"/>
    <mergeCell ref="H19:I19"/>
    <mergeCell ref="D1:G2"/>
    <mergeCell ref="F19:F20"/>
    <mergeCell ref="G19:G20"/>
    <mergeCell ref="K19:K20"/>
    <mergeCell ref="C24:D24"/>
    <mergeCell ref="C40:D40"/>
    <mergeCell ref="C43:D43"/>
    <mergeCell ref="C41:D41"/>
    <mergeCell ref="C37:D37"/>
    <mergeCell ref="C36:D36"/>
    <mergeCell ref="C31:D31"/>
    <mergeCell ref="C33:D33"/>
    <mergeCell ref="C34:D34"/>
    <mergeCell ref="C25:D25"/>
    <mergeCell ref="C26:D26"/>
    <mergeCell ref="C35:D35"/>
    <mergeCell ref="C32:D32"/>
    <mergeCell ref="C27:D27"/>
    <mergeCell ref="C28:D28"/>
    <mergeCell ref="C29:D29"/>
    <mergeCell ref="C44:D44"/>
    <mergeCell ref="C38:D38"/>
    <mergeCell ref="C39:D39"/>
    <mergeCell ref="C46:D46"/>
    <mergeCell ref="C51:D51"/>
    <mergeCell ref="C48:D48"/>
    <mergeCell ref="C47:D47"/>
    <mergeCell ref="C56:D56"/>
    <mergeCell ref="C58:D58"/>
    <mergeCell ref="C52:D52"/>
    <mergeCell ref="C49:D49"/>
    <mergeCell ref="C50:D50"/>
    <mergeCell ref="B19:B20"/>
    <mergeCell ref="C62:D62"/>
    <mergeCell ref="C63:D63"/>
    <mergeCell ref="C21:D21"/>
    <mergeCell ref="C22:D22"/>
    <mergeCell ref="C23:D23"/>
    <mergeCell ref="C30:D30"/>
    <mergeCell ref="C42:D42"/>
    <mergeCell ref="C54:D54"/>
    <mergeCell ref="C57:D57"/>
    <mergeCell ref="C59:D59"/>
    <mergeCell ref="C53:D53"/>
    <mergeCell ref="C60:D60"/>
    <mergeCell ref="C55:D55"/>
    <mergeCell ref="C61:D61"/>
    <mergeCell ref="C45:D45"/>
  </mergeCells>
  <conditionalFormatting sqref="A64:XFD65536 A1:XFD2 S37:T37 U37:IV43 O20:P43 O44:IV63 J21:L63 C20:L20 C19:IV19 A19:A63 C52:G63 C48:E51 C35:D41 E21:G22 E23:E30 F23:G24 A4:XFD18 A3:G3 I3:IV3 F26:G26 F25 F28:G28 F27 F30:G51 F29 C21:C34 V20:IV36 R20:U30 R32:U34 R31 T31:U31 C46:C47 E35:E47">
    <cfRule type="cellIs" dxfId="960" priority="60" stopIfTrue="1" operator="equal">
      <formula>0</formula>
    </cfRule>
  </conditionalFormatting>
  <conditionalFormatting sqref="G21:G24 E21:E30 G26 G28 G30">
    <cfRule type="cellIs" dxfId="959" priority="59" stopIfTrue="1" operator="equal">
      <formula>0</formula>
    </cfRule>
  </conditionalFormatting>
  <conditionalFormatting sqref="C21:C34">
    <cfRule type="cellIs" dxfId="958" priority="58" stopIfTrue="1" operator="equal">
      <formula>0</formula>
    </cfRule>
  </conditionalFormatting>
  <conditionalFormatting sqref="C42:D42">
    <cfRule type="cellIs" dxfId="957" priority="57" stopIfTrue="1" operator="equal">
      <formula>0</formula>
    </cfRule>
  </conditionalFormatting>
  <conditionalFormatting sqref="C43:D45 C46">
    <cfRule type="cellIs" dxfId="956" priority="56" stopIfTrue="1" operator="equal">
      <formula>0</formula>
    </cfRule>
  </conditionalFormatting>
  <conditionalFormatting sqref="E31:E34">
    <cfRule type="cellIs" dxfId="955" priority="55" stopIfTrue="1" operator="equal">
      <formula>0</formula>
    </cfRule>
  </conditionalFormatting>
  <conditionalFormatting sqref="M20:N20">
    <cfRule type="cellIs" dxfId="954" priority="51" stopIfTrue="1" operator="equal">
      <formula>0</formula>
    </cfRule>
  </conditionalFormatting>
  <conditionalFormatting sqref="M21:N63">
    <cfRule type="cellIs" dxfId="953" priority="50" stopIfTrue="1" operator="equal">
      <formula>0</formula>
    </cfRule>
  </conditionalFormatting>
  <conditionalFormatting sqref="H35:I63">
    <cfRule type="expression" dxfId="952" priority="48" stopIfTrue="1">
      <formula>H35&gt;M35</formula>
    </cfRule>
  </conditionalFormatting>
  <conditionalFormatting sqref="H35:I63">
    <cfRule type="cellIs" dxfId="951" priority="49" stopIfTrue="1" operator="equal">
      <formula>0</formula>
    </cfRule>
  </conditionalFormatting>
  <conditionalFormatting sqref="B19:B63">
    <cfRule type="cellIs" dxfId="950" priority="47" stopIfTrue="1" operator="equal">
      <formula>0</formula>
    </cfRule>
  </conditionalFormatting>
  <conditionalFormatting sqref="I23:I24 I26 I28 I30:I34">
    <cfRule type="expression" dxfId="949" priority="29" stopIfTrue="1">
      <formula>$G23&lt;1</formula>
    </cfRule>
  </conditionalFormatting>
  <conditionalFormatting sqref="H21">
    <cfRule type="cellIs" dxfId="948" priority="46" stopIfTrue="1" operator="equal">
      <formula>0</formula>
    </cfRule>
  </conditionalFormatting>
  <conditionalFormatting sqref="H21">
    <cfRule type="expression" dxfId="947" priority="45" stopIfTrue="1">
      <formula>H21&gt;M21</formula>
    </cfRule>
  </conditionalFormatting>
  <conditionalFormatting sqref="H21">
    <cfRule type="expression" dxfId="946" priority="44" stopIfTrue="1">
      <formula>$G21&lt;1</formula>
    </cfRule>
  </conditionalFormatting>
  <conditionalFormatting sqref="I21">
    <cfRule type="cellIs" dxfId="945" priority="43" stopIfTrue="1" operator="equal">
      <formula>0</formula>
    </cfRule>
  </conditionalFormatting>
  <conditionalFormatting sqref="I21">
    <cfRule type="expression" dxfId="944" priority="42" stopIfTrue="1">
      <formula>I21&gt;N21</formula>
    </cfRule>
  </conditionalFormatting>
  <conditionalFormatting sqref="I21">
    <cfRule type="expression" dxfId="943" priority="41" stopIfTrue="1">
      <formula>$G21&lt;1</formula>
    </cfRule>
  </conditionalFormatting>
  <conditionalFormatting sqref="H22">
    <cfRule type="cellIs" dxfId="942" priority="40" stopIfTrue="1" operator="equal">
      <formula>0</formula>
    </cfRule>
  </conditionalFormatting>
  <conditionalFormatting sqref="H22">
    <cfRule type="expression" dxfId="941" priority="39" stopIfTrue="1">
      <formula>H22&gt;M22</formula>
    </cfRule>
  </conditionalFormatting>
  <conditionalFormatting sqref="H22">
    <cfRule type="expression" dxfId="940" priority="38" stopIfTrue="1">
      <formula>$G22&lt;1</formula>
    </cfRule>
  </conditionalFormatting>
  <conditionalFormatting sqref="I22">
    <cfRule type="cellIs" dxfId="939" priority="37" stopIfTrue="1" operator="equal">
      <formula>0</formula>
    </cfRule>
  </conditionalFormatting>
  <conditionalFormatting sqref="I22">
    <cfRule type="expression" dxfId="938" priority="36" stopIfTrue="1">
      <formula>I22&gt;N22</formula>
    </cfRule>
  </conditionalFormatting>
  <conditionalFormatting sqref="I22">
    <cfRule type="expression" dxfId="937" priority="35" stopIfTrue="1">
      <formula>$G22&lt;1</formula>
    </cfRule>
  </conditionalFormatting>
  <conditionalFormatting sqref="H23:H24 H26 H28 H30:H34">
    <cfRule type="cellIs" dxfId="936" priority="34" stopIfTrue="1" operator="equal">
      <formula>0</formula>
    </cfRule>
  </conditionalFormatting>
  <conditionalFormatting sqref="H23:H24 H26 H28 H30:H34">
    <cfRule type="expression" dxfId="935" priority="33" stopIfTrue="1">
      <formula>H23&gt;M23</formula>
    </cfRule>
  </conditionalFormatting>
  <conditionalFormatting sqref="H23:H24 H26 H28 H30:H34">
    <cfRule type="expression" dxfId="934" priority="32" stopIfTrue="1">
      <formula>$G23&lt;1</formula>
    </cfRule>
  </conditionalFormatting>
  <conditionalFormatting sqref="I23:I24 I26 I28 I30:I34">
    <cfRule type="cellIs" dxfId="933" priority="31" stopIfTrue="1" operator="equal">
      <formula>0</formula>
    </cfRule>
  </conditionalFormatting>
  <conditionalFormatting sqref="I23:I24 I26 I28 I30:I34">
    <cfRule type="expression" dxfId="932" priority="30" stopIfTrue="1">
      <formula>I23&gt;N23</formula>
    </cfRule>
  </conditionalFormatting>
  <conditionalFormatting sqref="H3">
    <cfRule type="cellIs" dxfId="931" priority="28" stopIfTrue="1" operator="equal">
      <formula>0</formula>
    </cfRule>
  </conditionalFormatting>
  <conditionalFormatting sqref="G25">
    <cfRule type="cellIs" dxfId="930" priority="27" stopIfTrue="1" operator="equal">
      <formula>0</formula>
    </cfRule>
  </conditionalFormatting>
  <conditionalFormatting sqref="G25">
    <cfRule type="cellIs" dxfId="929" priority="26" stopIfTrue="1" operator="equal">
      <formula>0</formula>
    </cfRule>
  </conditionalFormatting>
  <conditionalFormatting sqref="I25">
    <cfRule type="expression" dxfId="928" priority="20" stopIfTrue="1">
      <formula>$G25&lt;1</formula>
    </cfRule>
  </conditionalFormatting>
  <conditionalFormatting sqref="H25">
    <cfRule type="cellIs" dxfId="927" priority="25" stopIfTrue="1" operator="equal">
      <formula>0</formula>
    </cfRule>
  </conditionalFormatting>
  <conditionalFormatting sqref="H25">
    <cfRule type="expression" dxfId="926" priority="24" stopIfTrue="1">
      <formula>H25&gt;M25</formula>
    </cfRule>
  </conditionalFormatting>
  <conditionalFormatting sqref="H25">
    <cfRule type="expression" dxfId="925" priority="23" stopIfTrue="1">
      <formula>$G25&lt;1</formula>
    </cfRule>
  </conditionalFormatting>
  <conditionalFormatting sqref="I25">
    <cfRule type="cellIs" dxfId="924" priority="22" stopIfTrue="1" operator="equal">
      <formula>0</formula>
    </cfRule>
  </conditionalFormatting>
  <conditionalFormatting sqref="I25">
    <cfRule type="expression" dxfId="923" priority="21" stopIfTrue="1">
      <formula>I25&gt;N25</formula>
    </cfRule>
  </conditionalFormatting>
  <conditionalFormatting sqref="G27">
    <cfRule type="cellIs" dxfId="922" priority="19" stopIfTrue="1" operator="equal">
      <formula>0</formula>
    </cfRule>
  </conditionalFormatting>
  <conditionalFormatting sqref="G27">
    <cfRule type="cellIs" dxfId="921" priority="18" stopIfTrue="1" operator="equal">
      <formula>0</formula>
    </cfRule>
  </conditionalFormatting>
  <conditionalFormatting sqref="I27">
    <cfRule type="expression" dxfId="920" priority="12" stopIfTrue="1">
      <formula>$G27&lt;1</formula>
    </cfRule>
  </conditionalFormatting>
  <conditionalFormatting sqref="H27">
    <cfRule type="cellIs" dxfId="919" priority="17" stopIfTrue="1" operator="equal">
      <formula>0</formula>
    </cfRule>
  </conditionalFormatting>
  <conditionalFormatting sqref="H27">
    <cfRule type="expression" dxfId="918" priority="16" stopIfTrue="1">
      <formula>H27&gt;M27</formula>
    </cfRule>
  </conditionalFormatting>
  <conditionalFormatting sqref="H27">
    <cfRule type="expression" dxfId="917" priority="15" stopIfTrue="1">
      <formula>$G27&lt;1</formula>
    </cfRule>
  </conditionalFormatting>
  <conditionalFormatting sqref="I27">
    <cfRule type="cellIs" dxfId="916" priority="14" stopIfTrue="1" operator="equal">
      <formula>0</formula>
    </cfRule>
  </conditionalFormatting>
  <conditionalFormatting sqref="I27">
    <cfRule type="expression" dxfId="915" priority="13" stopIfTrue="1">
      <formula>I27&gt;N27</formula>
    </cfRule>
  </conditionalFormatting>
  <conditionalFormatting sqref="G29">
    <cfRule type="cellIs" dxfId="914" priority="11" stopIfTrue="1" operator="equal">
      <formula>0</formula>
    </cfRule>
  </conditionalFormatting>
  <conditionalFormatting sqref="G29">
    <cfRule type="cellIs" dxfId="913" priority="10" stopIfTrue="1" operator="equal">
      <formula>0</formula>
    </cfRule>
  </conditionalFormatting>
  <conditionalFormatting sqref="I29">
    <cfRule type="expression" dxfId="912" priority="4" stopIfTrue="1">
      <formula>$G29&lt;1</formula>
    </cfRule>
  </conditionalFormatting>
  <conditionalFormatting sqref="H29">
    <cfRule type="cellIs" dxfId="911" priority="9" stopIfTrue="1" operator="equal">
      <formula>0</formula>
    </cfRule>
  </conditionalFormatting>
  <conditionalFormatting sqref="H29">
    <cfRule type="expression" dxfId="910" priority="8" stopIfTrue="1">
      <formula>H29&gt;M29</formula>
    </cfRule>
  </conditionalFormatting>
  <conditionalFormatting sqref="H29">
    <cfRule type="expression" dxfId="909" priority="7" stopIfTrue="1">
      <formula>$G29&lt;1</formula>
    </cfRule>
  </conditionalFormatting>
  <conditionalFormatting sqref="I29">
    <cfRule type="cellIs" dxfId="908" priority="6" stopIfTrue="1" operator="equal">
      <formula>0</formula>
    </cfRule>
  </conditionalFormatting>
  <conditionalFormatting sqref="I29">
    <cfRule type="expression" dxfId="907" priority="5" stopIfTrue="1">
      <formula>I29&gt;N29</formula>
    </cfRule>
  </conditionalFormatting>
  <conditionalFormatting sqref="R34:U34">
    <cfRule type="cellIs" dxfId="906" priority="3" stopIfTrue="1" operator="equal">
      <formula>0</formula>
    </cfRule>
  </conditionalFormatting>
  <conditionalFormatting sqref="R33:U33">
    <cfRule type="cellIs" dxfId="905" priority="2" stopIfTrue="1" operator="equal">
      <formula>0</formula>
    </cfRule>
  </conditionalFormatting>
  <conditionalFormatting sqref="S31">
    <cfRule type="cellIs" dxfId="904" priority="1" stopIfTrue="1" operator="equal">
      <formula>0</formula>
    </cfRule>
  </conditionalFormatting>
  <dataValidations count="3">
    <dataValidation type="whole" allowBlank="1" showInputMessage="1" showErrorMessage="1" errorTitle="Formatüberschreitung!" error="Das Maß übersteigt das augewählte Plattenformat!Falls möglich anderes Plattenformat wählen, sonst Platte teilen." sqref="H35:I63" xr:uid="{00000000-0002-0000-1300-000000000000}">
      <formula1>0</formula1>
      <formula2>M35</formula2>
    </dataValidation>
    <dataValidation allowBlank="1" showInputMessage="1" sqref="C21:D34" xr:uid="{00000000-0002-0000-1300-000001000000}"/>
    <dataValidation type="list" allowBlank="1" showInputMessage="1" showErrorMessage="1" sqref="C35:C63 D35:D46 D48:D63" xr:uid="{00000000-0002-0000-1300-000002000000}">
      <formula1>$S$21:$S$34</formula1>
    </dataValidation>
  </dataValidations>
  <pageMargins left="0.39370078740157483" right="0.19685039370078741" top="0.39370078740157483" bottom="0.39370078740157483" header="0" footer="0"/>
  <pageSetup paperSize="9" scale="78" orientation="portrait"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25">
    <tabColor indexed="48"/>
    <pageSetUpPr fitToPage="1"/>
  </sheetPr>
  <dimension ref="C1:AP227"/>
  <sheetViews>
    <sheetView showGridLines="0" view="pageBreakPreview" zoomScale="70" zoomScaleNormal="75" zoomScaleSheetLayoutView="70" workbookViewId="0">
      <selection activeCell="AB49" sqref="AB49"/>
    </sheetView>
  </sheetViews>
  <sheetFormatPr baseColWidth="10" defaultColWidth="11.42578125" defaultRowHeight="12.75" x14ac:dyDescent="0.2"/>
  <cols>
    <col min="1" max="1" width="6.7109375" style="962" customWidth="1"/>
    <col min="2" max="2" width="0.85546875" style="962" customWidth="1"/>
    <col min="3" max="3" width="37.42578125" style="1044" customWidth="1"/>
    <col min="4" max="4" width="14" style="962" customWidth="1"/>
    <col min="5" max="5" width="8.85546875" style="1044" customWidth="1"/>
    <col min="6" max="20" width="8.7109375" style="964" customWidth="1"/>
    <col min="21" max="21" width="8.85546875" style="962" customWidth="1"/>
    <col min="22" max="22" width="0.85546875" style="962" customWidth="1"/>
    <col min="23" max="27" width="8.7109375" style="962" customWidth="1"/>
    <col min="28" max="28" width="11.5703125" style="962" customWidth="1"/>
    <col min="29" max="29" width="8.7109375" style="962" customWidth="1"/>
    <col min="30" max="30" width="34.42578125" style="962" customWidth="1"/>
    <col min="31" max="38" width="8.7109375" style="962" customWidth="1"/>
    <col min="39" max="16384" width="11.42578125" style="962"/>
  </cols>
  <sheetData>
    <row r="1" spans="3:42" ht="38.25" customHeight="1" x14ac:dyDescent="0.2">
      <c r="C1" s="961"/>
      <c r="E1" s="963"/>
      <c r="G1" s="3110" t="s">
        <v>27896</v>
      </c>
      <c r="H1" s="3110"/>
      <c r="I1" s="3110"/>
      <c r="J1" s="3110"/>
      <c r="K1" s="3110"/>
      <c r="L1" s="3110"/>
      <c r="M1" s="3110"/>
      <c r="N1" s="3110"/>
      <c r="O1" s="3110"/>
      <c r="P1" s="3110"/>
      <c r="Q1" s="3110"/>
      <c r="R1" s="3110"/>
      <c r="S1" s="3110"/>
      <c r="T1" s="3110"/>
      <c r="U1" s="3111"/>
      <c r="V1" s="3111"/>
      <c r="W1" s="3111"/>
      <c r="X1" s="3111"/>
      <c r="Y1" s="3111"/>
      <c r="Z1" s="3111"/>
      <c r="AA1" s="3111"/>
      <c r="AB1" s="3111"/>
      <c r="AC1" s="3111"/>
      <c r="AD1" s="3111"/>
      <c r="AE1" s="3111"/>
      <c r="AF1" s="3111"/>
      <c r="AG1" s="3111"/>
      <c r="AH1" s="3111"/>
      <c r="AI1" s="3111"/>
      <c r="AJ1" s="3111"/>
      <c r="AK1" s="3111"/>
      <c r="AL1" s="3111"/>
    </row>
    <row r="2" spans="3:42" ht="38.25" customHeight="1" x14ac:dyDescent="0.25">
      <c r="C2" s="1820" t="str">
        <f>Dateneingabe!F1&amp;" "&amp;Dateneingabe!I1</f>
        <v>Ausschreibung GCC vertikal Rev. 0563b</v>
      </c>
      <c r="D2" s="1819"/>
      <c r="E2" s="1819"/>
      <c r="F2" s="1819"/>
      <c r="G2" s="1819"/>
      <c r="H2" s="1819"/>
      <c r="I2" s="1819"/>
      <c r="J2" s="1819"/>
      <c r="K2" s="1819"/>
      <c r="L2" s="1819"/>
      <c r="M2" s="1819"/>
      <c r="N2" s="1819"/>
      <c r="O2" s="1819"/>
      <c r="P2" s="1819"/>
      <c r="Q2" s="1819"/>
      <c r="R2" s="1819"/>
      <c r="S2" s="1819"/>
      <c r="T2" s="1819"/>
      <c r="U2" s="1819"/>
      <c r="V2" s="965"/>
      <c r="W2" s="965"/>
      <c r="X2" s="966"/>
      <c r="Y2" s="965"/>
      <c r="Z2" s="965"/>
      <c r="AA2" s="965"/>
      <c r="AB2" s="965"/>
      <c r="AC2" s="965"/>
      <c r="AD2" s="965"/>
      <c r="AE2" s="965"/>
      <c r="AF2" s="965"/>
      <c r="AG2" s="965"/>
      <c r="AH2" s="965"/>
      <c r="AI2" s="965"/>
      <c r="AJ2" s="965"/>
      <c r="AK2" s="965"/>
      <c r="AL2" s="965"/>
    </row>
    <row r="3" spans="3:42" ht="20.25" x14ac:dyDescent="0.2">
      <c r="C3" s="3085" t="s">
        <v>81</v>
      </c>
      <c r="D3" s="3086"/>
      <c r="E3" s="3112" t="str">
        <f>Dateneingabe!F3</f>
        <v>05217112</v>
      </c>
      <c r="F3" s="3113"/>
      <c r="G3" s="3113"/>
      <c r="H3" s="3113"/>
      <c r="I3" s="3114" t="s">
        <v>27897</v>
      </c>
      <c r="J3" s="3114"/>
      <c r="K3" s="3114"/>
      <c r="L3" s="3115" t="str">
        <f>Dateneingabe!H3</f>
        <v>200</v>
      </c>
      <c r="M3" s="3116"/>
      <c r="N3" s="3116"/>
      <c r="O3" s="3117" t="str">
        <f>IF(X2&gt;0,"ACHTUNG 
Intumeszierende Materialen 
müssen mit 2K-PUR-Lack 
versiegelt werden !","")</f>
        <v/>
      </c>
      <c r="P3" s="3118"/>
      <c r="Q3" s="3118"/>
      <c r="R3" s="3118"/>
      <c r="S3" s="3118"/>
      <c r="T3" s="3118"/>
      <c r="U3" s="3075"/>
      <c r="V3" s="3075"/>
      <c r="W3" s="3088"/>
      <c r="X3" s="3088"/>
      <c r="Y3" s="3088"/>
      <c r="Z3" s="3088"/>
      <c r="AA3" s="970"/>
      <c r="AB3" s="970"/>
      <c r="AC3" s="971"/>
      <c r="AD3" s="3119"/>
      <c r="AE3" s="3119"/>
      <c r="AF3" s="3119"/>
      <c r="AG3" s="3120"/>
      <c r="AH3" s="3120"/>
      <c r="AI3" s="3120"/>
      <c r="AJ3" s="970"/>
      <c r="AK3" s="970"/>
      <c r="AL3" s="970"/>
    </row>
    <row r="4" spans="3:42" ht="3.2" customHeight="1" x14ac:dyDescent="0.2">
      <c r="C4" s="972"/>
      <c r="D4" s="973"/>
      <c r="E4" s="974"/>
      <c r="F4" s="975"/>
      <c r="G4" s="975"/>
      <c r="H4" s="975"/>
      <c r="I4" s="976"/>
      <c r="J4" s="976"/>
      <c r="K4" s="973"/>
      <c r="L4" s="977"/>
      <c r="M4" s="977"/>
      <c r="N4" s="977"/>
      <c r="O4" s="3118"/>
      <c r="P4" s="3118"/>
      <c r="Q4" s="3118"/>
      <c r="R4" s="3118"/>
      <c r="S4" s="3118"/>
      <c r="T4" s="3118"/>
      <c r="U4" s="968"/>
      <c r="V4" s="978"/>
      <c r="W4" s="969"/>
      <c r="X4" s="979"/>
      <c r="Y4" s="979"/>
      <c r="Z4" s="979"/>
      <c r="AA4" s="980"/>
      <c r="AB4" s="980"/>
      <c r="AC4" s="978"/>
      <c r="AD4" s="978"/>
      <c r="AE4" s="978"/>
      <c r="AF4" s="978"/>
      <c r="AG4" s="980"/>
      <c r="AH4" s="980"/>
      <c r="AI4" s="980"/>
      <c r="AJ4" s="980"/>
      <c r="AK4" s="980"/>
      <c r="AL4" s="980"/>
    </row>
    <row r="5" spans="3:42" ht="20.25" x14ac:dyDescent="0.2">
      <c r="C5" s="3107" t="s">
        <v>27898</v>
      </c>
      <c r="D5" s="3107"/>
      <c r="E5" s="3121"/>
      <c r="F5" s="3121"/>
      <c r="G5" s="3121"/>
      <c r="H5" s="3121"/>
      <c r="I5" s="3107" t="s">
        <v>27899</v>
      </c>
      <c r="J5" s="3107"/>
      <c r="K5" s="3107"/>
      <c r="L5" s="3122" t="str">
        <f>Dateneingabe!F15</f>
        <v>MiWo</v>
      </c>
      <c r="M5" s="3109"/>
      <c r="N5" s="3109"/>
      <c r="O5" s="3118"/>
      <c r="P5" s="3118"/>
      <c r="Q5" s="3118"/>
      <c r="R5" s="3118"/>
      <c r="S5" s="3118"/>
      <c r="T5" s="3118"/>
      <c r="U5" s="3075"/>
      <c r="V5" s="3075"/>
      <c r="W5" s="3088"/>
      <c r="X5" s="3088"/>
      <c r="Y5" s="3088"/>
      <c r="Z5" s="3088"/>
      <c r="AA5" s="980"/>
      <c r="AB5" s="980"/>
      <c r="AC5" s="978"/>
      <c r="AD5" s="3075"/>
      <c r="AE5" s="3075"/>
      <c r="AF5" s="3075"/>
      <c r="AG5" s="3077"/>
      <c r="AH5" s="3077"/>
      <c r="AI5" s="3077"/>
      <c r="AJ5" s="980"/>
      <c r="AK5" s="980"/>
      <c r="AL5" s="982"/>
    </row>
    <row r="6" spans="3:42" ht="3.2" customHeight="1" x14ac:dyDescent="0.2">
      <c r="C6" s="972"/>
      <c r="D6" s="973"/>
      <c r="E6" s="974"/>
      <c r="F6" s="975"/>
      <c r="G6" s="975"/>
      <c r="H6" s="975"/>
      <c r="I6" s="973"/>
      <c r="J6" s="973"/>
      <c r="K6" s="973"/>
      <c r="L6" s="977"/>
      <c r="M6" s="977"/>
      <c r="N6" s="977"/>
      <c r="O6" s="3118"/>
      <c r="P6" s="3118"/>
      <c r="Q6" s="3118"/>
      <c r="R6" s="3118"/>
      <c r="S6" s="3118"/>
      <c r="T6" s="3118"/>
      <c r="U6" s="968"/>
      <c r="V6" s="978"/>
      <c r="W6" s="969"/>
      <c r="X6" s="979"/>
      <c r="Y6" s="979"/>
      <c r="Z6" s="979"/>
      <c r="AA6" s="980"/>
      <c r="AB6" s="980"/>
      <c r="AC6" s="978"/>
      <c r="AD6" s="978"/>
      <c r="AE6" s="978"/>
      <c r="AF6" s="978"/>
      <c r="AG6" s="980"/>
      <c r="AH6" s="980"/>
      <c r="AI6" s="980"/>
      <c r="AJ6" s="980"/>
      <c r="AK6" s="980"/>
      <c r="AL6" s="980"/>
    </row>
    <row r="7" spans="3:42" ht="33" customHeight="1" x14ac:dyDescent="0.2">
      <c r="C7" s="3085" t="s">
        <v>443</v>
      </c>
      <c r="D7" s="3086"/>
      <c r="E7" s="3104" t="str">
        <f>Dateneingabe!F19</f>
        <v>Emil Lux GmbH</v>
      </c>
      <c r="F7" s="3105"/>
      <c r="G7" s="3105"/>
      <c r="H7" s="3106"/>
      <c r="I7" s="3107" t="s">
        <v>27900</v>
      </c>
      <c r="J7" s="3107"/>
      <c r="K7" s="3107"/>
      <c r="L7" s="3108">
        <f>Dateneingabe!F9</f>
        <v>44622</v>
      </c>
      <c r="M7" s="3109"/>
      <c r="N7" s="3109"/>
      <c r="O7" s="3118"/>
      <c r="P7" s="3118"/>
      <c r="Q7" s="3118"/>
      <c r="R7" s="3118"/>
      <c r="S7" s="3118"/>
      <c r="T7" s="3118"/>
      <c r="U7" s="3075"/>
      <c r="V7" s="3075"/>
      <c r="W7" s="3088"/>
      <c r="X7" s="3088"/>
      <c r="Y7" s="3088"/>
      <c r="Z7" s="3088"/>
      <c r="AA7" s="980"/>
      <c r="AB7" s="980"/>
      <c r="AC7" s="978"/>
      <c r="AD7" s="3075"/>
      <c r="AE7" s="3075"/>
      <c r="AF7" s="3075"/>
      <c r="AG7" s="3076"/>
      <c r="AH7" s="3077"/>
      <c r="AI7" s="3077"/>
      <c r="AJ7" s="980"/>
      <c r="AK7" s="980"/>
      <c r="AL7" s="980"/>
    </row>
    <row r="8" spans="3:42" ht="3.2" customHeight="1" x14ac:dyDescent="0.2">
      <c r="C8" s="983"/>
      <c r="D8" s="977"/>
      <c r="E8" s="974"/>
      <c r="F8" s="975"/>
      <c r="G8" s="975"/>
      <c r="H8" s="975"/>
      <c r="I8" s="984"/>
      <c r="J8" s="984"/>
      <c r="K8" s="977"/>
      <c r="L8" s="977"/>
      <c r="M8" s="977"/>
      <c r="N8" s="977"/>
      <c r="O8" s="980"/>
      <c r="P8" s="980"/>
      <c r="Q8" s="980"/>
      <c r="R8" s="980"/>
      <c r="S8" s="980"/>
      <c r="T8" s="980"/>
      <c r="U8" s="968"/>
      <c r="V8" s="978"/>
      <c r="W8" s="969"/>
      <c r="X8" s="979"/>
      <c r="Y8" s="979"/>
      <c r="Z8" s="979"/>
      <c r="AA8" s="980"/>
      <c r="AB8" s="980"/>
      <c r="AC8" s="978"/>
      <c r="AD8" s="978"/>
      <c r="AE8" s="978"/>
      <c r="AF8" s="978"/>
      <c r="AG8" s="980"/>
      <c r="AH8" s="980"/>
      <c r="AI8" s="980"/>
      <c r="AJ8" s="980"/>
      <c r="AK8" s="980"/>
      <c r="AL8" s="980"/>
    </row>
    <row r="9" spans="3:42" ht="20.25" x14ac:dyDescent="0.2">
      <c r="C9" s="3085" t="s">
        <v>444</v>
      </c>
      <c r="D9" s="3086"/>
      <c r="E9" s="3087" t="s">
        <v>21601</v>
      </c>
      <c r="F9" s="3087"/>
      <c r="G9" s="3087"/>
      <c r="H9" s="3087"/>
      <c r="I9" s="3089" t="str">
        <f>IF(Dateneingabe!H184=1,"Achtung: Intumatversiegelung für Promaseal","")</f>
        <v/>
      </c>
      <c r="J9" s="3090"/>
      <c r="K9" s="3090"/>
      <c r="L9" s="3090"/>
      <c r="M9" s="3090"/>
      <c r="N9" s="3091"/>
      <c r="O9" s="3076"/>
      <c r="P9" s="3077"/>
      <c r="Q9" s="3077"/>
      <c r="R9" s="980"/>
      <c r="S9" s="980"/>
      <c r="T9" s="980"/>
      <c r="U9" s="3075"/>
      <c r="V9" s="3075"/>
      <c r="W9" s="3088"/>
      <c r="X9" s="3088"/>
      <c r="Y9" s="3088"/>
      <c r="Z9" s="3088"/>
      <c r="AA9" s="980"/>
      <c r="AB9" s="3075"/>
      <c r="AC9" s="3075"/>
      <c r="AD9" s="3075"/>
      <c r="AE9" s="3075"/>
      <c r="AF9" s="3075"/>
      <c r="AG9" s="3076"/>
      <c r="AH9" s="3077"/>
      <c r="AI9" s="3077"/>
      <c r="AJ9" s="980"/>
      <c r="AK9" s="980"/>
      <c r="AL9" s="980"/>
    </row>
    <row r="10" spans="3:42" ht="3.2" customHeight="1" x14ac:dyDescent="0.2">
      <c r="C10" s="1821"/>
      <c r="D10" s="1821"/>
      <c r="E10" s="1822"/>
      <c r="F10" s="1822"/>
      <c r="G10" s="1822"/>
      <c r="H10" s="1822"/>
      <c r="I10" s="3092"/>
      <c r="J10" s="3093"/>
      <c r="K10" s="3093"/>
      <c r="L10" s="3093"/>
      <c r="M10" s="3093"/>
      <c r="N10" s="3094"/>
      <c r="O10" s="1818"/>
      <c r="P10" s="1817"/>
      <c r="Q10" s="1817"/>
      <c r="R10" s="980"/>
      <c r="S10" s="980"/>
      <c r="T10" s="980"/>
      <c r="U10" s="968"/>
      <c r="V10" s="968"/>
      <c r="W10" s="969"/>
      <c r="X10" s="969"/>
      <c r="Y10" s="969"/>
      <c r="Z10" s="969"/>
      <c r="AA10" s="980"/>
      <c r="AB10" s="968"/>
      <c r="AC10" s="968"/>
      <c r="AD10" s="968"/>
      <c r="AE10" s="968"/>
      <c r="AF10" s="968"/>
      <c r="AG10" s="1818"/>
      <c r="AH10" s="1817"/>
      <c r="AI10" s="1817"/>
      <c r="AJ10" s="980"/>
      <c r="AK10" s="980"/>
      <c r="AL10" s="980"/>
    </row>
    <row r="11" spans="3:42" ht="20.25" x14ac:dyDescent="0.25">
      <c r="C11" s="1823" t="s">
        <v>27919</v>
      </c>
      <c r="D11" s="3098"/>
      <c r="E11" s="3099"/>
      <c r="F11" s="3099"/>
      <c r="G11" s="3099"/>
      <c r="H11" s="3100"/>
      <c r="I11" s="3092"/>
      <c r="J11" s="3093"/>
      <c r="K11" s="3093"/>
      <c r="L11" s="3093"/>
      <c r="M11" s="3093"/>
      <c r="N11" s="3094"/>
      <c r="O11" s="1818"/>
      <c r="P11" s="1817"/>
      <c r="Q11" s="1817"/>
      <c r="R11" s="980"/>
      <c r="S11" s="980"/>
      <c r="T11" s="980"/>
      <c r="U11" s="968"/>
      <c r="V11" s="968"/>
      <c r="W11" s="969"/>
      <c r="X11" s="969"/>
      <c r="Y11" s="969"/>
      <c r="Z11" s="969"/>
      <c r="AA11" s="980"/>
      <c r="AB11" s="968"/>
      <c r="AC11" s="968"/>
      <c r="AD11" s="968"/>
      <c r="AE11" s="968"/>
      <c r="AF11" s="968"/>
      <c r="AG11" s="1818"/>
      <c r="AH11" s="1817"/>
      <c r="AI11" s="1817"/>
      <c r="AJ11" s="980"/>
      <c r="AK11" s="980"/>
      <c r="AL11" s="980"/>
    </row>
    <row r="12" spans="3:42" ht="3.2" customHeight="1" x14ac:dyDescent="0.2">
      <c r="C12" s="1821"/>
      <c r="D12" s="1821"/>
      <c r="E12" s="1822"/>
      <c r="F12" s="1822"/>
      <c r="G12" s="1822"/>
      <c r="H12" s="1822"/>
      <c r="I12" s="3092"/>
      <c r="J12" s="3093"/>
      <c r="K12" s="3093"/>
      <c r="L12" s="3093"/>
      <c r="M12" s="3093"/>
      <c r="N12" s="3094"/>
      <c r="O12" s="1818"/>
      <c r="P12" s="1817"/>
      <c r="Q12" s="1817"/>
      <c r="R12" s="980"/>
      <c r="S12" s="980"/>
      <c r="T12" s="980"/>
      <c r="U12" s="968"/>
      <c r="V12" s="968"/>
      <c r="W12" s="969"/>
      <c r="X12" s="969"/>
      <c r="Y12" s="969"/>
      <c r="Z12" s="969"/>
      <c r="AA12" s="980"/>
      <c r="AB12" s="968"/>
      <c r="AC12" s="968"/>
      <c r="AD12" s="968"/>
      <c r="AE12" s="968"/>
      <c r="AF12" s="968"/>
      <c r="AG12" s="1818"/>
      <c r="AH12" s="1817"/>
      <c r="AI12" s="1817"/>
      <c r="AJ12" s="980"/>
      <c r="AK12" s="980"/>
      <c r="AL12" s="980"/>
    </row>
    <row r="13" spans="3:42" ht="20.25" customHeight="1" x14ac:dyDescent="0.2">
      <c r="C13" s="1823" t="str">
        <f>IF(D11=AC15,"Feuchtraumausführung:"," ")</f>
        <v xml:space="preserve"> </v>
      </c>
      <c r="D13" s="3101" t="s">
        <v>545</v>
      </c>
      <c r="E13" s="3102"/>
      <c r="F13" s="3102"/>
      <c r="G13" s="3102"/>
      <c r="H13" s="3103"/>
      <c r="I13" s="3095"/>
      <c r="J13" s="3096"/>
      <c r="K13" s="3096"/>
      <c r="L13" s="3096"/>
      <c r="M13" s="3096"/>
      <c r="N13" s="3097"/>
      <c r="O13" s="987"/>
      <c r="P13" s="988"/>
      <c r="Q13" s="988"/>
      <c r="R13" s="989"/>
      <c r="S13" s="989"/>
      <c r="T13" s="989"/>
      <c r="U13" s="987"/>
      <c r="V13" s="987"/>
      <c r="W13" s="990"/>
      <c r="X13" s="987"/>
      <c r="Y13" s="987"/>
      <c r="Z13" s="987"/>
      <c r="AA13" s="987"/>
      <c r="AB13" s="987"/>
      <c r="AC13" s="987"/>
      <c r="AD13" s="987"/>
      <c r="AE13" s="987"/>
      <c r="AF13" s="987"/>
      <c r="AG13" s="987"/>
      <c r="AH13" s="988"/>
      <c r="AI13" s="988"/>
      <c r="AJ13" s="989"/>
      <c r="AK13" s="989"/>
      <c r="AL13" s="989"/>
    </row>
    <row r="14" spans="3:42" ht="2.25" customHeight="1" x14ac:dyDescent="0.2">
      <c r="C14" s="985"/>
      <c r="D14" s="985"/>
      <c r="E14" s="986"/>
      <c r="F14" s="985"/>
      <c r="G14" s="985"/>
      <c r="H14" s="985"/>
      <c r="I14" s="987"/>
      <c r="J14" s="987"/>
      <c r="K14" s="987"/>
      <c r="L14" s="987"/>
      <c r="M14" s="987"/>
      <c r="N14" s="987"/>
      <c r="O14" s="987"/>
      <c r="P14" s="988"/>
      <c r="Q14" s="988"/>
      <c r="R14" s="989"/>
      <c r="S14" s="989"/>
      <c r="T14" s="989"/>
      <c r="U14" s="987"/>
      <c r="V14" s="987"/>
      <c r="W14" s="990"/>
      <c r="X14" s="987"/>
      <c r="Y14" s="987"/>
      <c r="Z14" s="987"/>
      <c r="AA14" s="987"/>
      <c r="AB14" s="987"/>
      <c r="AC14" s="987"/>
      <c r="AD14" s="987"/>
      <c r="AE14" s="987"/>
      <c r="AF14" s="987"/>
      <c r="AG14" s="987"/>
      <c r="AH14" s="988"/>
      <c r="AI14" s="988"/>
      <c r="AJ14" s="989"/>
      <c r="AK14" s="989"/>
      <c r="AL14" s="989"/>
    </row>
    <row r="15" spans="3:42" ht="18" customHeight="1" x14ac:dyDescent="0.2">
      <c r="C15" s="3078" t="s">
        <v>27901</v>
      </c>
      <c r="D15" s="3079"/>
      <c r="E15" s="981">
        <v>1</v>
      </c>
      <c r="F15" s="981">
        <v>2</v>
      </c>
      <c r="G15" s="981">
        <v>3</v>
      </c>
      <c r="H15" s="981">
        <v>4</v>
      </c>
      <c r="I15" s="981">
        <v>5</v>
      </c>
      <c r="J15" s="981">
        <v>6</v>
      </c>
      <c r="K15" s="981">
        <v>7</v>
      </c>
      <c r="L15" s="981">
        <v>8</v>
      </c>
      <c r="M15" s="981">
        <v>9</v>
      </c>
      <c r="N15" s="967">
        <v>10</v>
      </c>
      <c r="O15" s="981">
        <v>11</v>
      </c>
      <c r="P15" s="981">
        <v>12</v>
      </c>
      <c r="Q15" s="981">
        <v>13</v>
      </c>
      <c r="R15" s="981">
        <v>14</v>
      </c>
      <c r="S15" s="981">
        <v>15</v>
      </c>
      <c r="T15" s="981">
        <v>16</v>
      </c>
      <c r="U15" s="981">
        <v>17</v>
      </c>
      <c r="V15" s="991"/>
      <c r="W15" s="990"/>
      <c r="X15" s="990"/>
      <c r="Y15" s="990"/>
      <c r="Z15" s="990"/>
      <c r="AA15" s="990"/>
      <c r="AB15" s="990"/>
      <c r="AC15" s="3080" t="s">
        <v>27902</v>
      </c>
      <c r="AD15" s="3080"/>
      <c r="AE15" s="3080"/>
      <c r="AF15" s="1824" t="s">
        <v>545</v>
      </c>
      <c r="AG15" s="990"/>
      <c r="AH15" s="990"/>
      <c r="AI15" s="990"/>
      <c r="AJ15" s="990"/>
      <c r="AK15" s="990"/>
      <c r="AL15" s="3081"/>
      <c r="AM15" s="962" t="s">
        <v>27903</v>
      </c>
      <c r="AN15" s="991"/>
      <c r="AO15" s="991"/>
      <c r="AP15" s="991"/>
    </row>
    <row r="16" spans="3:42" ht="18" customHeight="1" x14ac:dyDescent="0.2">
      <c r="C16" s="3082" t="s">
        <v>27904</v>
      </c>
      <c r="D16" s="3083"/>
      <c r="E16" s="993"/>
      <c r="F16" s="1828"/>
      <c r="G16" s="993"/>
      <c r="H16" s="1828"/>
      <c r="I16" s="993"/>
      <c r="J16" s="1828"/>
      <c r="K16" s="993"/>
      <c r="L16" s="1828"/>
      <c r="M16" s="993"/>
      <c r="N16" s="1828"/>
      <c r="O16" s="993"/>
      <c r="P16" s="1828"/>
      <c r="Q16" s="993"/>
      <c r="R16" s="1828"/>
      <c r="S16" s="993"/>
      <c r="T16" s="1828"/>
      <c r="U16" s="993"/>
      <c r="V16" s="991"/>
      <c r="W16" s="990"/>
      <c r="X16" s="990"/>
      <c r="Y16" s="990"/>
      <c r="Z16" s="990"/>
      <c r="AA16" s="990"/>
      <c r="AB16" s="990"/>
      <c r="AC16" s="3080" t="s">
        <v>27905</v>
      </c>
      <c r="AD16" s="3080"/>
      <c r="AE16" s="3080"/>
      <c r="AF16" s="1825" t="s">
        <v>796</v>
      </c>
      <c r="AG16" s="990"/>
      <c r="AH16" s="990"/>
      <c r="AI16" s="990"/>
      <c r="AJ16" s="990"/>
      <c r="AK16" s="990"/>
      <c r="AL16" s="3081"/>
      <c r="AM16" s="962" t="s">
        <v>27906</v>
      </c>
      <c r="AN16" s="991"/>
      <c r="AO16" s="991"/>
      <c r="AP16" s="991"/>
    </row>
    <row r="17" spans="3:42" ht="18" customHeight="1" x14ac:dyDescent="0.2">
      <c r="C17" s="3078" t="s">
        <v>27907</v>
      </c>
      <c r="D17" s="3079"/>
      <c r="E17" s="993"/>
      <c r="F17" s="1828"/>
      <c r="G17" s="993"/>
      <c r="H17" s="1828"/>
      <c r="I17" s="993"/>
      <c r="J17" s="1828"/>
      <c r="K17" s="993"/>
      <c r="L17" s="1828"/>
      <c r="M17" s="993"/>
      <c r="N17" s="1828"/>
      <c r="O17" s="994"/>
      <c r="P17" s="1828"/>
      <c r="Q17" s="994"/>
      <c r="R17" s="1828"/>
      <c r="S17" s="994"/>
      <c r="T17" s="1828"/>
      <c r="U17" s="995"/>
      <c r="V17" s="991"/>
      <c r="W17" s="996"/>
      <c r="X17" s="996"/>
      <c r="Y17" s="997"/>
      <c r="Z17" s="998"/>
      <c r="AA17" s="998"/>
      <c r="AB17" s="1003" t="s">
        <v>4719</v>
      </c>
      <c r="AC17" s="1004">
        <f>SUM(E118:U118)</f>
        <v>0</v>
      </c>
      <c r="AD17" s="1005" t="s">
        <v>27911</v>
      </c>
      <c r="AE17" s="998"/>
      <c r="AF17" s="998"/>
      <c r="AG17" s="998"/>
      <c r="AH17" s="999"/>
      <c r="AI17" s="999"/>
      <c r="AJ17" s="996"/>
      <c r="AK17" s="996"/>
      <c r="AL17" s="3081"/>
      <c r="AM17" s="962" t="s">
        <v>27908</v>
      </c>
      <c r="AN17" s="991"/>
      <c r="AO17" s="991"/>
      <c r="AP17" s="991"/>
    </row>
    <row r="18" spans="3:42" ht="18" customHeight="1" x14ac:dyDescent="0.2">
      <c r="C18" s="3078" t="s">
        <v>27909</v>
      </c>
      <c r="D18" s="3079"/>
      <c r="E18" s="993"/>
      <c r="F18" s="1828"/>
      <c r="G18" s="993"/>
      <c r="H18" s="1828"/>
      <c r="I18" s="993"/>
      <c r="J18" s="1828"/>
      <c r="K18" s="993"/>
      <c r="L18" s="1828"/>
      <c r="M18" s="993"/>
      <c r="N18" s="1828"/>
      <c r="O18" s="993"/>
      <c r="P18" s="1828"/>
      <c r="Q18" s="993"/>
      <c r="R18" s="1828"/>
      <c r="S18" s="993"/>
      <c r="T18" s="1828"/>
      <c r="U18" s="993"/>
      <c r="V18" s="991"/>
      <c r="W18" s="996"/>
      <c r="X18" s="996"/>
      <c r="Y18" s="1000"/>
      <c r="Z18" s="996"/>
      <c r="AA18" s="996"/>
      <c r="AB18" s="1003" t="s">
        <v>4721</v>
      </c>
      <c r="AC18" s="1004">
        <f>SUM(E121:U121)</f>
        <v>0</v>
      </c>
      <c r="AD18" s="1005" t="s">
        <v>27914</v>
      </c>
      <c r="AE18" s="996"/>
      <c r="AF18" s="996"/>
      <c r="AG18" s="996"/>
      <c r="AH18" s="996"/>
      <c r="AI18" s="996"/>
      <c r="AJ18" s="996"/>
      <c r="AK18" s="996"/>
      <c r="AL18" s="3081"/>
      <c r="AM18" s="962" t="s">
        <v>27910</v>
      </c>
      <c r="AN18" s="991"/>
      <c r="AO18" s="991"/>
      <c r="AP18" s="991"/>
    </row>
    <row r="19" spans="3:42" ht="9" customHeight="1" x14ac:dyDescent="0.2">
      <c r="C19" s="3059"/>
      <c r="D19" s="3084"/>
      <c r="E19" s="3084"/>
      <c r="F19" s="3084"/>
      <c r="G19" s="3084"/>
      <c r="H19" s="3084"/>
      <c r="I19" s="3084"/>
      <c r="J19" s="3084"/>
      <c r="K19" s="3084"/>
      <c r="L19" s="3084"/>
      <c r="M19" s="3084"/>
      <c r="N19" s="3084"/>
      <c r="O19" s="3084"/>
      <c r="P19" s="3084"/>
      <c r="Q19" s="3084"/>
      <c r="R19" s="3084"/>
      <c r="S19" s="3084"/>
      <c r="T19" s="3084"/>
      <c r="U19" s="3060"/>
      <c r="V19" s="991"/>
      <c r="W19" s="996"/>
      <c r="X19" s="996"/>
      <c r="Y19" s="1000"/>
      <c r="Z19" s="996"/>
      <c r="AA19" s="996"/>
      <c r="AB19" s="996"/>
      <c r="AC19" s="1004"/>
      <c r="AD19" s="1005"/>
      <c r="AE19" s="996"/>
      <c r="AF19" s="996"/>
      <c r="AG19" s="996"/>
      <c r="AH19" s="996"/>
      <c r="AI19" s="996"/>
      <c r="AJ19" s="996"/>
      <c r="AK19" s="996"/>
      <c r="AL19" s="3081"/>
      <c r="AM19" s="962" t="s">
        <v>27912</v>
      </c>
      <c r="AN19" s="991"/>
      <c r="AO19" s="991"/>
      <c r="AP19" s="991"/>
    </row>
    <row r="20" spans="3:42" ht="18" customHeight="1" x14ac:dyDescent="0.2">
      <c r="C20" s="3059" t="s">
        <v>27913</v>
      </c>
      <c r="D20" s="3060"/>
      <c r="E20" s="993"/>
      <c r="F20" s="1828"/>
      <c r="G20" s="993"/>
      <c r="H20" s="1828"/>
      <c r="I20" s="993"/>
      <c r="J20" s="1828"/>
      <c r="K20" s="993"/>
      <c r="L20" s="1828"/>
      <c r="M20" s="993"/>
      <c r="N20" s="1828"/>
      <c r="O20" s="993"/>
      <c r="P20" s="1828"/>
      <c r="Q20" s="993"/>
      <c r="R20" s="1828"/>
      <c r="S20" s="993"/>
      <c r="T20" s="1828"/>
      <c r="U20" s="993"/>
      <c r="V20" s="1006"/>
      <c r="W20" s="996"/>
      <c r="X20" s="996"/>
      <c r="Y20" s="1000"/>
      <c r="Z20" s="996"/>
      <c r="AA20" s="996"/>
      <c r="AB20" s="996"/>
      <c r="AC20" s="1004"/>
      <c r="AD20" s="1005"/>
      <c r="AE20" s="996"/>
      <c r="AF20" s="996"/>
      <c r="AG20" s="996"/>
      <c r="AH20" s="996"/>
      <c r="AI20" s="996"/>
      <c r="AJ20" s="996"/>
      <c r="AK20" s="996"/>
      <c r="AL20" s="3081"/>
      <c r="AM20" s="962" t="s">
        <v>27915</v>
      </c>
      <c r="AN20" s="991"/>
      <c r="AO20" s="991"/>
      <c r="AP20" s="991"/>
    </row>
    <row r="21" spans="3:42" ht="18" hidden="1" customHeight="1" x14ac:dyDescent="0.25">
      <c r="C21" s="1001"/>
      <c r="D21" s="1002"/>
      <c r="E21" s="993">
        <f>IF(E20&gt;0,0,1000)</f>
        <v>1000</v>
      </c>
      <c r="F21" s="993">
        <f>IF(F20&gt;0,0,1000)</f>
        <v>1000</v>
      </c>
      <c r="G21" s="993">
        <f t="shared" ref="G21:U21" si="0">IF(G20&gt;0,0,1000)</f>
        <v>1000</v>
      </c>
      <c r="H21" s="993">
        <f t="shared" si="0"/>
        <v>1000</v>
      </c>
      <c r="I21" s="993">
        <f t="shared" si="0"/>
        <v>1000</v>
      </c>
      <c r="J21" s="993">
        <f t="shared" si="0"/>
        <v>1000</v>
      </c>
      <c r="K21" s="993">
        <f t="shared" si="0"/>
        <v>1000</v>
      </c>
      <c r="L21" s="993">
        <f t="shared" si="0"/>
        <v>1000</v>
      </c>
      <c r="M21" s="993">
        <f>IF(M20&gt;0,0,1000)</f>
        <v>1000</v>
      </c>
      <c r="N21" s="993">
        <f>IF(N20&gt;0,0,1000)</f>
        <v>1000</v>
      </c>
      <c r="O21" s="993">
        <f t="shared" si="0"/>
        <v>1000</v>
      </c>
      <c r="P21" s="993">
        <f t="shared" si="0"/>
        <v>1000</v>
      </c>
      <c r="Q21" s="993">
        <f t="shared" si="0"/>
        <v>1000</v>
      </c>
      <c r="R21" s="993">
        <f t="shared" si="0"/>
        <v>1000</v>
      </c>
      <c r="S21" s="993">
        <f t="shared" si="0"/>
        <v>1000</v>
      </c>
      <c r="T21" s="993">
        <f t="shared" si="0"/>
        <v>1000</v>
      </c>
      <c r="U21" s="993">
        <f t="shared" si="0"/>
        <v>1000</v>
      </c>
      <c r="V21" s="1006"/>
      <c r="W21" s="996"/>
      <c r="X21" s="996"/>
      <c r="Y21" s="1000"/>
      <c r="Z21" s="996"/>
      <c r="AA21" s="996"/>
      <c r="AB21" s="1008"/>
      <c r="AC21" s="1010"/>
      <c r="AD21" s="1005"/>
      <c r="AE21" s="996"/>
      <c r="AF21" s="996"/>
      <c r="AG21" s="996"/>
      <c r="AH21" s="996"/>
      <c r="AI21" s="996"/>
      <c r="AJ21" s="996"/>
      <c r="AK21" s="996"/>
      <c r="AL21" s="3081"/>
      <c r="AN21" s="991"/>
      <c r="AO21" s="991"/>
      <c r="AP21" s="991"/>
    </row>
    <row r="22" spans="3:42" ht="18" hidden="1" customHeight="1" x14ac:dyDescent="0.25">
      <c r="C22" s="1001"/>
      <c r="D22" s="1002"/>
      <c r="E22" s="993">
        <f>IF(E23&gt;0,0,1000)</f>
        <v>1000</v>
      </c>
      <c r="F22" s="993">
        <f>IF(F23&gt;0,0,1000)</f>
        <v>1000</v>
      </c>
      <c r="G22" s="993">
        <f t="shared" ref="G22:U22" si="1">IF(G23&gt;0,0,1000)</f>
        <v>1000</v>
      </c>
      <c r="H22" s="993">
        <f t="shared" si="1"/>
        <v>1000</v>
      </c>
      <c r="I22" s="993">
        <f t="shared" si="1"/>
        <v>1000</v>
      </c>
      <c r="J22" s="993">
        <f t="shared" si="1"/>
        <v>1000</v>
      </c>
      <c r="K22" s="993">
        <f t="shared" si="1"/>
        <v>1000</v>
      </c>
      <c r="L22" s="993">
        <f t="shared" si="1"/>
        <v>1000</v>
      </c>
      <c r="M22" s="993">
        <f t="shared" si="1"/>
        <v>1000</v>
      </c>
      <c r="N22" s="993">
        <f t="shared" si="1"/>
        <v>1000</v>
      </c>
      <c r="O22" s="993">
        <f t="shared" si="1"/>
        <v>1000</v>
      </c>
      <c r="P22" s="993">
        <f t="shared" si="1"/>
        <v>1000</v>
      </c>
      <c r="Q22" s="993">
        <f t="shared" si="1"/>
        <v>1000</v>
      </c>
      <c r="R22" s="993">
        <f t="shared" si="1"/>
        <v>1000</v>
      </c>
      <c r="S22" s="993">
        <f t="shared" si="1"/>
        <v>1000</v>
      </c>
      <c r="T22" s="993">
        <f t="shared" si="1"/>
        <v>1000</v>
      </c>
      <c r="U22" s="993">
        <f t="shared" si="1"/>
        <v>1000</v>
      </c>
      <c r="V22" s="1006"/>
      <c r="W22" s="996"/>
      <c r="X22" s="996"/>
      <c r="Y22" s="1000"/>
      <c r="Z22" s="996"/>
      <c r="AA22" s="996"/>
      <c r="AB22" s="1008"/>
      <c r="AC22" s="1010"/>
      <c r="AD22" s="1005"/>
      <c r="AE22" s="996"/>
      <c r="AF22" s="996"/>
      <c r="AG22" s="996"/>
      <c r="AH22" s="996"/>
      <c r="AI22" s="996"/>
      <c r="AJ22" s="996"/>
      <c r="AK22" s="996"/>
      <c r="AL22" s="3081"/>
      <c r="AN22" s="991"/>
      <c r="AO22" s="991"/>
      <c r="AP22" s="991"/>
    </row>
    <row r="23" spans="3:42" ht="18" customHeight="1" x14ac:dyDescent="0.25">
      <c r="C23" s="3059" t="s">
        <v>27916</v>
      </c>
      <c r="D23" s="3060"/>
      <c r="E23" s="1011"/>
      <c r="F23" s="1829"/>
      <c r="G23" s="1011"/>
      <c r="H23" s="1829"/>
      <c r="I23" s="1011"/>
      <c r="J23" s="1829"/>
      <c r="K23" s="1011"/>
      <c r="L23" s="1829"/>
      <c r="M23" s="1011"/>
      <c r="N23" s="1829"/>
      <c r="O23" s="1011"/>
      <c r="P23" s="1829"/>
      <c r="Q23" s="1011"/>
      <c r="R23" s="1829"/>
      <c r="S23" s="1011"/>
      <c r="T23" s="1829"/>
      <c r="U23" s="1011"/>
      <c r="V23" s="1007"/>
      <c r="W23" s="1008"/>
      <c r="X23" s="1008"/>
      <c r="Y23" s="1009"/>
      <c r="Z23" s="1008"/>
      <c r="AA23" s="1008"/>
      <c r="AB23" s="1003" t="s">
        <v>4759</v>
      </c>
      <c r="AC23" s="1004">
        <f>SUM(E126:U126)</f>
        <v>0</v>
      </c>
      <c r="AD23" s="1005" t="s">
        <v>27921</v>
      </c>
      <c r="AE23" s="1008"/>
      <c r="AF23" s="1008"/>
      <c r="AG23" s="1008"/>
      <c r="AH23" s="1008"/>
      <c r="AI23" s="1008"/>
      <c r="AJ23" s="1008"/>
      <c r="AK23" s="1008"/>
      <c r="AL23" s="3081"/>
      <c r="AM23" s="962" t="s">
        <v>27917</v>
      </c>
      <c r="AN23" s="991"/>
      <c r="AO23" s="991"/>
      <c r="AP23" s="991"/>
    </row>
    <row r="24" spans="3:42" ht="18" customHeight="1" x14ac:dyDescent="0.25">
      <c r="C24" s="3059" t="s">
        <v>27918</v>
      </c>
      <c r="D24" s="3060"/>
      <c r="E24" s="1011">
        <f t="shared" ref="E24:L24" si="2">IF(E20&gt;0,IF($D$11="Promaseal",FLOOR(E20,2.5),FLOOR(E20,2)),IF($D$11="Promaseal",E23*2.5,E23*2))</f>
        <v>0</v>
      </c>
      <c r="F24" s="1829">
        <f t="shared" si="2"/>
        <v>0</v>
      </c>
      <c r="G24" s="1011">
        <f t="shared" si="2"/>
        <v>0</v>
      </c>
      <c r="H24" s="1829">
        <f t="shared" si="2"/>
        <v>0</v>
      </c>
      <c r="I24" s="1011">
        <f t="shared" si="2"/>
        <v>0</v>
      </c>
      <c r="J24" s="1829">
        <f t="shared" si="2"/>
        <v>0</v>
      </c>
      <c r="K24" s="1011">
        <f t="shared" si="2"/>
        <v>0</v>
      </c>
      <c r="L24" s="1829">
        <f t="shared" si="2"/>
        <v>0</v>
      </c>
      <c r="M24" s="1011">
        <f t="shared" ref="M24:U24" si="3">IF(M20&gt;0,IF($D$11="Promaseal",FLOOR(M20,2.5),FLOOR(M20,2)),IF($D$11="Promaseal",M23*2.5,M23*2))</f>
        <v>0</v>
      </c>
      <c r="N24" s="1829">
        <f t="shared" si="3"/>
        <v>0</v>
      </c>
      <c r="O24" s="1011">
        <f t="shared" si="3"/>
        <v>0</v>
      </c>
      <c r="P24" s="1829">
        <f t="shared" si="3"/>
        <v>0</v>
      </c>
      <c r="Q24" s="1011">
        <f t="shared" si="3"/>
        <v>0</v>
      </c>
      <c r="R24" s="1829">
        <f t="shared" si="3"/>
        <v>0</v>
      </c>
      <c r="S24" s="1011">
        <f t="shared" si="3"/>
        <v>0</v>
      </c>
      <c r="T24" s="1829">
        <f t="shared" si="3"/>
        <v>0</v>
      </c>
      <c r="U24" s="1011">
        <f t="shared" si="3"/>
        <v>0</v>
      </c>
      <c r="V24" s="1007"/>
      <c r="W24" s="1008"/>
      <c r="X24" s="1008"/>
      <c r="Y24" s="1009"/>
      <c r="Z24" s="1008"/>
      <c r="AA24" s="1008"/>
      <c r="AB24" s="1003" t="s">
        <v>4763</v>
      </c>
      <c r="AC24" s="1004">
        <f>SUM(E131:U131)</f>
        <v>0</v>
      </c>
      <c r="AD24" s="1005" t="s">
        <v>27922</v>
      </c>
      <c r="AE24" s="1008"/>
      <c r="AF24" s="1008"/>
      <c r="AG24" s="1008"/>
      <c r="AH24" s="1008"/>
      <c r="AI24" s="1008"/>
      <c r="AJ24" s="1008"/>
      <c r="AK24" s="1008"/>
      <c r="AL24" s="3081"/>
      <c r="AN24" s="991"/>
      <c r="AO24" s="991"/>
      <c r="AP24" s="991"/>
    </row>
    <row r="25" spans="3:42" s="1014" customFormat="1" ht="18" customHeight="1" x14ac:dyDescent="0.25">
      <c r="C25" s="3069" t="s">
        <v>29680</v>
      </c>
      <c r="D25" s="3069"/>
      <c r="E25" s="3072" t="s">
        <v>27920</v>
      </c>
      <c r="F25" s="3073"/>
      <c r="G25" s="3073"/>
      <c r="H25" s="3073"/>
      <c r="I25" s="3073"/>
      <c r="J25" s="3073"/>
      <c r="K25" s="3073"/>
      <c r="L25" s="3073"/>
      <c r="M25" s="3073"/>
      <c r="N25" s="3073"/>
      <c r="O25" s="3073"/>
      <c r="P25" s="3073"/>
      <c r="Q25" s="3073"/>
      <c r="R25" s="3073"/>
      <c r="S25" s="3073"/>
      <c r="T25" s="3073"/>
      <c r="U25" s="3074"/>
      <c r="V25" s="1007"/>
      <c r="W25" s="1008"/>
      <c r="X25" s="1008"/>
      <c r="Y25" s="1009"/>
      <c r="Z25" s="1008"/>
      <c r="AA25" s="1008"/>
      <c r="AB25" s="1008"/>
      <c r="AC25" s="1008"/>
      <c r="AD25" s="1008"/>
      <c r="AE25" s="1008"/>
      <c r="AF25" s="1008"/>
      <c r="AG25" s="1008"/>
      <c r="AH25" s="1015"/>
      <c r="AI25" s="1016"/>
      <c r="AJ25" s="1015"/>
      <c r="AK25" s="1016"/>
      <c r="AL25" s="3081"/>
      <c r="AM25" s="962" t="s">
        <v>27923</v>
      </c>
      <c r="AN25" s="1013"/>
      <c r="AO25" s="1013"/>
      <c r="AP25" s="1013"/>
    </row>
    <row r="26" spans="3:42" s="1014" customFormat="1" ht="18" hidden="1" customHeight="1" x14ac:dyDescent="0.25">
      <c r="C26" s="3070" t="s">
        <v>27924</v>
      </c>
      <c r="D26" s="3071"/>
      <c r="E26" s="1020"/>
      <c r="F26" s="1020"/>
      <c r="G26" s="1020"/>
      <c r="H26" s="1020"/>
      <c r="I26" s="1020"/>
      <c r="J26" s="1020"/>
      <c r="K26" s="1020"/>
      <c r="L26" s="1020"/>
      <c r="M26" s="1020"/>
      <c r="N26" s="1020"/>
      <c r="O26" s="1020"/>
      <c r="P26" s="1020"/>
      <c r="Q26" s="1020"/>
      <c r="R26" s="1020"/>
      <c r="S26" s="1020"/>
      <c r="T26" s="1020"/>
      <c r="U26" s="1020"/>
      <c r="V26" s="1007"/>
      <c r="W26" s="1008"/>
      <c r="X26" s="1008"/>
      <c r="Y26" s="1009"/>
      <c r="Z26" s="1008"/>
      <c r="AA26" s="1008"/>
      <c r="AB26" s="1008"/>
      <c r="AC26" s="1008"/>
      <c r="AD26" s="1008"/>
      <c r="AE26" s="1008"/>
      <c r="AF26" s="1008"/>
      <c r="AG26" s="1008"/>
      <c r="AH26" s="1015"/>
      <c r="AI26" s="1016"/>
      <c r="AJ26" s="1015"/>
      <c r="AK26" s="1016"/>
      <c r="AL26" s="3081"/>
      <c r="AM26" s="962" t="s">
        <v>27925</v>
      </c>
      <c r="AN26" s="1013"/>
      <c r="AO26" s="1013"/>
      <c r="AP26" s="1013"/>
    </row>
    <row r="27" spans="3:42" s="1014" customFormat="1" ht="18" hidden="1" customHeight="1" x14ac:dyDescent="0.25">
      <c r="C27" s="1018"/>
      <c r="D27" s="1019"/>
      <c r="E27" s="1020">
        <f t="shared" ref="E27:U27" si="4">IF(E29=1,0,1)</f>
        <v>1</v>
      </c>
      <c r="F27" s="1020">
        <f t="shared" si="4"/>
        <v>1</v>
      </c>
      <c r="G27" s="1020">
        <f t="shared" si="4"/>
        <v>1</v>
      </c>
      <c r="H27" s="1020">
        <f t="shared" si="4"/>
        <v>1</v>
      </c>
      <c r="I27" s="1020">
        <f t="shared" si="4"/>
        <v>1</v>
      </c>
      <c r="J27" s="1020">
        <f t="shared" si="4"/>
        <v>1</v>
      </c>
      <c r="K27" s="1020">
        <f t="shared" si="4"/>
        <v>1</v>
      </c>
      <c r="L27" s="1020">
        <f t="shared" si="4"/>
        <v>1</v>
      </c>
      <c r="M27" s="1020">
        <f t="shared" si="4"/>
        <v>1</v>
      </c>
      <c r="N27" s="1020">
        <f t="shared" si="4"/>
        <v>1</v>
      </c>
      <c r="O27" s="1020">
        <f t="shared" si="4"/>
        <v>1</v>
      </c>
      <c r="P27" s="1020">
        <f t="shared" si="4"/>
        <v>1</v>
      </c>
      <c r="Q27" s="1020">
        <f t="shared" si="4"/>
        <v>1</v>
      </c>
      <c r="R27" s="1020">
        <f t="shared" si="4"/>
        <v>1</v>
      </c>
      <c r="S27" s="1020">
        <f t="shared" si="4"/>
        <v>1</v>
      </c>
      <c r="T27" s="1020">
        <f t="shared" si="4"/>
        <v>1</v>
      </c>
      <c r="U27" s="1020">
        <f t="shared" si="4"/>
        <v>1</v>
      </c>
      <c r="V27" s="1007"/>
      <c r="W27" s="1008"/>
      <c r="X27" s="1008"/>
      <c r="Y27" s="1009"/>
      <c r="Z27" s="1008"/>
      <c r="AA27" s="1008"/>
      <c r="AB27" s="1008"/>
      <c r="AC27" s="1008"/>
      <c r="AD27" s="1008"/>
      <c r="AE27" s="1008"/>
      <c r="AF27" s="1008"/>
      <c r="AG27" s="1008"/>
      <c r="AH27" s="1015"/>
      <c r="AI27" s="1016"/>
      <c r="AJ27" s="1015"/>
      <c r="AK27" s="1016"/>
      <c r="AL27" s="3081"/>
      <c r="AM27" s="962"/>
      <c r="AN27" s="1013"/>
      <c r="AO27" s="1013"/>
      <c r="AP27" s="1013"/>
    </row>
    <row r="28" spans="3:42" s="1014" customFormat="1" ht="18" hidden="1" customHeight="1" x14ac:dyDescent="0.25">
      <c r="C28" s="1018"/>
      <c r="D28" s="1019"/>
      <c r="E28" s="1020">
        <f>IF(E24&lt;20,0,1)</f>
        <v>0</v>
      </c>
      <c r="F28" s="1020">
        <f t="shared" ref="F28:U28" si="5">IF(F24&lt;20,0,1)</f>
        <v>0</v>
      </c>
      <c r="G28" s="1020">
        <f t="shared" si="5"/>
        <v>0</v>
      </c>
      <c r="H28" s="1020">
        <f t="shared" si="5"/>
        <v>0</v>
      </c>
      <c r="I28" s="1020">
        <f t="shared" si="5"/>
        <v>0</v>
      </c>
      <c r="J28" s="1020">
        <f t="shared" si="5"/>
        <v>0</v>
      </c>
      <c r="K28" s="1020">
        <f t="shared" si="5"/>
        <v>0</v>
      </c>
      <c r="L28" s="1020">
        <f t="shared" si="5"/>
        <v>0</v>
      </c>
      <c r="M28" s="1020">
        <f t="shared" si="5"/>
        <v>0</v>
      </c>
      <c r="N28" s="1020">
        <f t="shared" si="5"/>
        <v>0</v>
      </c>
      <c r="O28" s="1020">
        <f t="shared" si="5"/>
        <v>0</v>
      </c>
      <c r="P28" s="1020">
        <f t="shared" si="5"/>
        <v>0</v>
      </c>
      <c r="Q28" s="1020">
        <f t="shared" si="5"/>
        <v>0</v>
      </c>
      <c r="R28" s="1020">
        <f t="shared" si="5"/>
        <v>0</v>
      </c>
      <c r="S28" s="1020">
        <f t="shared" si="5"/>
        <v>0</v>
      </c>
      <c r="T28" s="1020">
        <f t="shared" si="5"/>
        <v>0</v>
      </c>
      <c r="U28" s="1020">
        <f t="shared" si="5"/>
        <v>0</v>
      </c>
      <c r="V28" s="1007"/>
      <c r="W28" s="1008"/>
      <c r="X28" s="1008"/>
      <c r="Y28" s="1009"/>
      <c r="Z28" s="1008"/>
      <c r="AA28" s="1008"/>
      <c r="AB28" s="1008"/>
      <c r="AC28" s="1008"/>
      <c r="AD28" s="1008"/>
      <c r="AE28" s="1008"/>
      <c r="AF28" s="1008"/>
      <c r="AG28" s="1008"/>
      <c r="AH28" s="1015"/>
      <c r="AI28" s="1016"/>
      <c r="AJ28" s="1015"/>
      <c r="AK28" s="1016"/>
      <c r="AL28" s="3081"/>
      <c r="AM28" s="962"/>
      <c r="AN28" s="1013"/>
      <c r="AO28" s="1013"/>
      <c r="AP28" s="1013"/>
    </row>
    <row r="29" spans="3:42" s="1014" customFormat="1" ht="18" customHeight="1" x14ac:dyDescent="0.25">
      <c r="C29" s="3070" t="s">
        <v>27926</v>
      </c>
      <c r="D29" s="3071"/>
      <c r="E29" s="1020"/>
      <c r="F29" s="1828"/>
      <c r="G29" s="1020"/>
      <c r="H29" s="1828"/>
      <c r="I29" s="1020"/>
      <c r="J29" s="1828"/>
      <c r="K29" s="1020"/>
      <c r="L29" s="1828"/>
      <c r="M29" s="1020"/>
      <c r="N29" s="1828"/>
      <c r="O29" s="1020"/>
      <c r="P29" s="1828"/>
      <c r="Q29" s="1020"/>
      <c r="R29" s="1828"/>
      <c r="S29" s="1020"/>
      <c r="T29" s="1828"/>
      <c r="U29" s="1020"/>
      <c r="V29" s="1007"/>
      <c r="W29" s="1008"/>
      <c r="X29" s="1008"/>
      <c r="Y29" s="1009"/>
      <c r="Z29" s="1008"/>
      <c r="AA29" s="1008"/>
      <c r="AB29" s="1008"/>
      <c r="AC29" s="1008"/>
      <c r="AD29" s="1008"/>
      <c r="AE29" s="1008"/>
      <c r="AF29" s="1008"/>
      <c r="AG29" s="1008"/>
      <c r="AH29" s="1015"/>
      <c r="AI29" s="1016"/>
      <c r="AJ29" s="1015"/>
      <c r="AK29" s="1016"/>
      <c r="AL29" s="3081"/>
      <c r="AM29" s="962" t="s">
        <v>27927</v>
      </c>
      <c r="AN29" s="1013"/>
      <c r="AO29" s="1013"/>
      <c r="AP29" s="1013"/>
    </row>
    <row r="30" spans="3:42" s="1014" customFormat="1" ht="18" hidden="1" customHeight="1" x14ac:dyDescent="0.25">
      <c r="C30" s="1018"/>
      <c r="D30" s="1019"/>
      <c r="E30" s="1020">
        <v>1</v>
      </c>
      <c r="F30" s="1020"/>
      <c r="G30" s="1020"/>
      <c r="H30" s="1020"/>
      <c r="I30" s="1020"/>
      <c r="J30" s="1020"/>
      <c r="K30" s="1020"/>
      <c r="L30" s="1020"/>
      <c r="M30" s="1020"/>
      <c r="N30" s="1020"/>
      <c r="O30" s="1020"/>
      <c r="P30" s="1020"/>
      <c r="Q30" s="1021"/>
      <c r="R30" s="1021"/>
      <c r="S30" s="1022"/>
      <c r="T30" s="1022"/>
      <c r="U30" s="1023"/>
      <c r="V30" s="1007"/>
      <c r="W30" s="1008"/>
      <c r="X30" s="1008"/>
      <c r="Y30" s="1009"/>
      <c r="Z30" s="1008"/>
      <c r="AA30" s="1008"/>
      <c r="AB30" s="1008"/>
      <c r="AC30" s="1008"/>
      <c r="AD30" s="1008"/>
      <c r="AE30" s="1008"/>
      <c r="AF30" s="1008"/>
      <c r="AG30" s="1008"/>
      <c r="AH30" s="1015"/>
      <c r="AI30" s="1016"/>
      <c r="AJ30" s="1015"/>
      <c r="AK30" s="1016"/>
      <c r="AL30" s="992"/>
      <c r="AN30" s="1013"/>
      <c r="AO30" s="1013"/>
      <c r="AP30" s="1013"/>
    </row>
    <row r="31" spans="3:42" s="1014" customFormat="1" ht="18" hidden="1" customHeight="1" x14ac:dyDescent="0.25">
      <c r="C31" s="1018"/>
      <c r="D31" s="1019"/>
      <c r="E31" s="1020"/>
      <c r="F31" s="1020"/>
      <c r="G31" s="1020"/>
      <c r="H31" s="1020"/>
      <c r="I31" s="1020"/>
      <c r="J31" s="1020"/>
      <c r="K31" s="1020"/>
      <c r="L31" s="1020"/>
      <c r="M31" s="1020"/>
      <c r="N31" s="1020"/>
      <c r="O31" s="1020"/>
      <c r="P31" s="1020"/>
      <c r="Q31" s="1021"/>
      <c r="R31" s="1021"/>
      <c r="S31" s="1022"/>
      <c r="T31" s="1022"/>
      <c r="U31" s="1023"/>
      <c r="V31" s="1007"/>
      <c r="W31" s="1008"/>
      <c r="X31" s="1008"/>
      <c r="Y31" s="1009"/>
      <c r="Z31" s="1008"/>
      <c r="AA31" s="1008"/>
      <c r="AB31" s="1008"/>
      <c r="AC31" s="1008"/>
      <c r="AD31" s="1008"/>
      <c r="AE31" s="1008"/>
      <c r="AF31" s="1008"/>
      <c r="AG31" s="1008"/>
      <c r="AH31" s="1015"/>
      <c r="AI31" s="1016"/>
      <c r="AJ31" s="1015"/>
      <c r="AK31" s="1016"/>
      <c r="AL31" s="992"/>
      <c r="AN31" s="1013"/>
      <c r="AO31" s="1013"/>
      <c r="AP31" s="1013"/>
    </row>
    <row r="32" spans="3:42" s="1014" customFormat="1" ht="18" hidden="1" customHeight="1" x14ac:dyDescent="0.25">
      <c r="C32" s="1018"/>
      <c r="D32" s="1019"/>
      <c r="E32" s="1020"/>
      <c r="F32" s="1020"/>
      <c r="G32" s="1020"/>
      <c r="H32" s="1020"/>
      <c r="I32" s="1020"/>
      <c r="J32" s="1020"/>
      <c r="K32" s="1020"/>
      <c r="L32" s="1020"/>
      <c r="M32" s="1020"/>
      <c r="N32" s="1020"/>
      <c r="O32" s="1020"/>
      <c r="P32" s="1020"/>
      <c r="Q32" s="1021"/>
      <c r="R32" s="1021"/>
      <c r="S32" s="1022"/>
      <c r="T32" s="1022"/>
      <c r="U32" s="1023"/>
      <c r="V32" s="1007"/>
      <c r="W32" s="1008"/>
      <c r="X32" s="1008"/>
      <c r="Y32" s="1009"/>
      <c r="Z32" s="1008"/>
      <c r="AA32" s="1008"/>
      <c r="AB32" s="1008"/>
      <c r="AC32" s="1008"/>
      <c r="AD32" s="1008"/>
      <c r="AE32" s="1008"/>
      <c r="AF32" s="1008"/>
      <c r="AG32" s="1008"/>
      <c r="AH32" s="1015"/>
      <c r="AI32" s="1016"/>
      <c r="AJ32" s="1015"/>
      <c r="AK32" s="1016"/>
      <c r="AL32" s="992"/>
      <c r="AN32" s="1013"/>
      <c r="AO32" s="1013"/>
      <c r="AP32" s="1013"/>
    </row>
    <row r="33" spans="3:42" s="1014" customFormat="1" ht="18" hidden="1" customHeight="1" x14ac:dyDescent="0.25">
      <c r="C33" s="1018"/>
      <c r="D33" s="1019"/>
      <c r="E33" s="1020"/>
      <c r="F33" s="1020"/>
      <c r="G33" s="1020"/>
      <c r="H33" s="1020"/>
      <c r="I33" s="1020"/>
      <c r="J33" s="1020"/>
      <c r="K33" s="1020"/>
      <c r="L33" s="1020"/>
      <c r="M33" s="1020"/>
      <c r="N33" s="1020"/>
      <c r="O33" s="1020"/>
      <c r="P33" s="1020"/>
      <c r="Q33" s="1021"/>
      <c r="R33" s="1021"/>
      <c r="S33" s="1022"/>
      <c r="T33" s="1022"/>
      <c r="U33" s="1023"/>
      <c r="V33" s="1007"/>
      <c r="W33" s="1008"/>
      <c r="X33" s="1008"/>
      <c r="Y33" s="1009"/>
      <c r="Z33" s="1008"/>
      <c r="AA33" s="1008"/>
      <c r="AB33" s="1008"/>
      <c r="AC33" s="1008"/>
      <c r="AD33" s="1008"/>
      <c r="AE33" s="1008"/>
      <c r="AF33" s="1008"/>
      <c r="AG33" s="1008"/>
      <c r="AH33" s="1015"/>
      <c r="AI33" s="1016"/>
      <c r="AJ33" s="1015"/>
      <c r="AK33" s="1016"/>
      <c r="AL33" s="992"/>
      <c r="AN33" s="1013"/>
      <c r="AO33" s="1013"/>
      <c r="AP33" s="1013"/>
    </row>
    <row r="34" spans="3:42" s="1014" customFormat="1" ht="18" hidden="1" customHeight="1" x14ac:dyDescent="0.25">
      <c r="C34" s="1018"/>
      <c r="D34" s="1019"/>
      <c r="E34" s="1020"/>
      <c r="F34" s="1020"/>
      <c r="G34" s="1020"/>
      <c r="H34" s="1020"/>
      <c r="I34" s="1020"/>
      <c r="J34" s="1020"/>
      <c r="K34" s="1020"/>
      <c r="L34" s="1020"/>
      <c r="M34" s="1020"/>
      <c r="N34" s="1020"/>
      <c r="O34" s="1020"/>
      <c r="P34" s="1020"/>
      <c r="Q34" s="1021"/>
      <c r="R34" s="1021"/>
      <c r="S34" s="1022"/>
      <c r="T34" s="1022"/>
      <c r="U34" s="1023"/>
      <c r="V34" s="1007"/>
      <c r="W34" s="1008"/>
      <c r="X34" s="1008"/>
      <c r="Y34" s="1009"/>
      <c r="Z34" s="1008"/>
      <c r="AA34" s="1008"/>
      <c r="AB34" s="1008"/>
      <c r="AC34" s="1008"/>
      <c r="AD34" s="1008"/>
      <c r="AE34" s="1008"/>
      <c r="AF34" s="1008"/>
      <c r="AG34" s="1008"/>
      <c r="AH34" s="1015"/>
      <c r="AI34" s="1016"/>
      <c r="AJ34" s="1015"/>
      <c r="AK34" s="1016"/>
      <c r="AL34" s="992"/>
      <c r="AN34" s="1013"/>
      <c r="AO34" s="1013"/>
      <c r="AP34" s="1013"/>
    </row>
    <row r="35" spans="3:42" s="1014" customFormat="1" ht="18" hidden="1" customHeight="1" x14ac:dyDescent="0.25">
      <c r="C35" s="3067" t="str">
        <f>IF(D11="Promaseal","Decklage Rot PVC kaschiert"," ")</f>
        <v xml:space="preserve"> </v>
      </c>
      <c r="D35" s="3068"/>
      <c r="E35" s="1020"/>
      <c r="F35" s="1020"/>
      <c r="G35" s="1020"/>
      <c r="H35" s="1020"/>
      <c r="I35" s="1020"/>
      <c r="J35" s="1020"/>
      <c r="K35" s="1020"/>
      <c r="L35" s="1020"/>
      <c r="M35" s="1020"/>
      <c r="N35" s="1020"/>
      <c r="O35" s="1020"/>
      <c r="P35" s="1020"/>
      <c r="Q35" s="1021"/>
      <c r="R35" s="1021"/>
      <c r="S35" s="1022"/>
      <c r="T35" s="1022"/>
      <c r="U35" s="1023"/>
      <c r="V35" s="1007"/>
      <c r="W35" s="3055"/>
      <c r="X35" s="3055"/>
      <c r="Y35" s="3055"/>
      <c r="Z35" s="3055"/>
      <c r="AA35" s="3055"/>
      <c r="AB35" s="3055"/>
      <c r="AC35" s="3055"/>
      <c r="AD35" s="3055"/>
      <c r="AE35" s="3055"/>
      <c r="AF35" s="3055"/>
      <c r="AG35" s="3055"/>
      <c r="AH35" s="3055"/>
      <c r="AI35" s="3055"/>
      <c r="AJ35" s="3055"/>
      <c r="AK35" s="3055"/>
      <c r="AL35" s="3055"/>
      <c r="AM35" s="962" t="s">
        <v>27928</v>
      </c>
      <c r="AN35" s="1007"/>
      <c r="AO35" s="3055"/>
      <c r="AP35" s="3055"/>
    </row>
    <row r="36" spans="3:42" s="1014" customFormat="1" ht="18" hidden="1" customHeight="1" x14ac:dyDescent="0.25">
      <c r="C36" s="3067"/>
      <c r="D36" s="3068"/>
      <c r="E36" s="1024"/>
      <c r="F36" s="1024"/>
      <c r="G36" s="1024"/>
      <c r="H36" s="1024"/>
      <c r="I36" s="1024"/>
      <c r="J36" s="1024"/>
      <c r="K36" s="1024"/>
      <c r="L36" s="1024"/>
      <c r="M36" s="1024"/>
      <c r="N36" s="1024"/>
      <c r="O36" s="1024"/>
      <c r="P36" s="1024"/>
      <c r="Q36" s="1024"/>
      <c r="R36" s="1024"/>
      <c r="S36" s="1024"/>
      <c r="T36" s="1024"/>
      <c r="U36" s="1024"/>
      <c r="V36" s="1007"/>
      <c r="W36" s="1012"/>
      <c r="X36" s="1012"/>
      <c r="Y36" s="1012"/>
      <c r="Z36" s="1012"/>
      <c r="AA36" s="1012"/>
      <c r="AB36" s="1012"/>
      <c r="AC36" s="1012"/>
      <c r="AD36" s="1012"/>
      <c r="AE36" s="1012"/>
      <c r="AF36" s="1012"/>
      <c r="AG36" s="1012"/>
      <c r="AH36" s="1012"/>
      <c r="AI36" s="1012"/>
      <c r="AJ36" s="1012"/>
      <c r="AK36" s="1012"/>
      <c r="AL36" s="1012"/>
      <c r="AM36" s="962" t="s">
        <v>27929</v>
      </c>
      <c r="AN36" s="1012"/>
      <c r="AO36" s="1012"/>
      <c r="AP36" s="1012"/>
    </row>
    <row r="37" spans="3:42" s="1014" customFormat="1" ht="18" hidden="1" customHeight="1" x14ac:dyDescent="0.25">
      <c r="C37" s="3064" t="str">
        <f>IF(O1="UNI BZ","Blöcke für Zeitungsforderer Dreiteilig"," ")</f>
        <v xml:space="preserve"> </v>
      </c>
      <c r="D37" s="3065"/>
      <c r="E37" s="1025"/>
      <c r="F37" s="1025"/>
      <c r="G37" s="1025"/>
      <c r="H37" s="1025"/>
      <c r="I37" s="1025"/>
      <c r="J37" s="1025"/>
      <c r="K37" s="1025"/>
      <c r="L37" s="1025"/>
      <c r="M37" s="1025"/>
      <c r="N37" s="1025"/>
      <c r="O37" s="1025"/>
      <c r="P37" s="1025"/>
      <c r="Q37" s="1025"/>
      <c r="R37" s="1025"/>
      <c r="S37" s="1026"/>
      <c r="T37" s="1026"/>
      <c r="U37" s="1027"/>
      <c r="V37" s="1007"/>
      <c r="W37" s="1012"/>
      <c r="X37" s="1012"/>
      <c r="Y37" s="1012"/>
      <c r="Z37" s="1012"/>
      <c r="AA37" s="1012"/>
      <c r="AB37" s="1012"/>
      <c r="AC37" s="1012"/>
      <c r="AD37" s="1012"/>
      <c r="AE37" s="1012"/>
      <c r="AF37" s="1012"/>
      <c r="AG37" s="1012"/>
      <c r="AH37" s="1012"/>
      <c r="AI37" s="1012"/>
      <c r="AJ37" s="1012"/>
      <c r="AK37" s="1012"/>
      <c r="AL37" s="1012"/>
      <c r="AM37" s="1012"/>
      <c r="AN37" s="1012"/>
      <c r="AO37" s="1012"/>
      <c r="AP37" s="1012"/>
    </row>
    <row r="38" spans="3:42" s="1014" customFormat="1" ht="18" hidden="1" customHeight="1" x14ac:dyDescent="0.25">
      <c r="C38" s="3064" t="str">
        <f>IF(O1="UNI BZ","Blöcke für Zeitungsforderer Zweiteilig"," ")</f>
        <v xml:space="preserve"> </v>
      </c>
      <c r="D38" s="3065"/>
      <c r="E38" s="1025"/>
      <c r="F38" s="1025"/>
      <c r="G38" s="1025"/>
      <c r="H38" s="1025"/>
      <c r="I38" s="1025"/>
      <c r="J38" s="1025"/>
      <c r="K38" s="1025"/>
      <c r="L38" s="1025"/>
      <c r="M38" s="1025"/>
      <c r="N38" s="1025"/>
      <c r="O38" s="1025"/>
      <c r="P38" s="1025"/>
      <c r="Q38" s="1025"/>
      <c r="R38" s="1025"/>
      <c r="S38" s="1026"/>
      <c r="T38" s="1026"/>
      <c r="U38" s="1027"/>
      <c r="V38" s="1007"/>
      <c r="W38" s="1012"/>
      <c r="X38" s="1012"/>
      <c r="Y38" s="1012"/>
      <c r="Z38" s="1012"/>
      <c r="AA38" s="1012"/>
      <c r="AB38" s="1012"/>
      <c r="AC38" s="1012"/>
      <c r="AD38" s="1012"/>
      <c r="AE38" s="1012"/>
      <c r="AF38" s="1012"/>
      <c r="AG38" s="1012"/>
      <c r="AH38" s="1012"/>
      <c r="AI38" s="1012"/>
      <c r="AJ38" s="1012"/>
      <c r="AK38" s="1012"/>
      <c r="AL38" s="1012"/>
      <c r="AM38" s="1012"/>
      <c r="AN38" s="1012"/>
      <c r="AO38" s="1012"/>
      <c r="AP38" s="1012"/>
    </row>
    <row r="39" spans="3:42" s="1014" customFormat="1" ht="21.2" customHeight="1" x14ac:dyDescent="0.3">
      <c r="C39" s="3061" t="s">
        <v>27930</v>
      </c>
      <c r="D39" s="3062"/>
      <c r="E39" s="3062"/>
      <c r="F39" s="3062"/>
      <c r="G39" s="3062"/>
      <c r="H39" s="3062"/>
      <c r="I39" s="3062"/>
      <c r="J39" s="3062"/>
      <c r="K39" s="3062"/>
      <c r="L39" s="3062"/>
      <c r="M39" s="3062"/>
      <c r="N39" s="3062"/>
      <c r="O39" s="3062"/>
      <c r="P39" s="3062"/>
      <c r="Q39" s="3062"/>
      <c r="R39" s="3062"/>
      <c r="S39" s="3062"/>
      <c r="T39" s="3062"/>
      <c r="U39" s="3066"/>
      <c r="V39" s="1007"/>
      <c r="W39" s="3055"/>
      <c r="X39" s="3055"/>
      <c r="Y39" s="3055"/>
      <c r="Z39" s="3055"/>
      <c r="AA39" s="3055"/>
      <c r="AB39" s="3055"/>
      <c r="AC39" s="3055"/>
      <c r="AD39" s="3055"/>
      <c r="AE39" s="3055"/>
      <c r="AF39" s="3055"/>
      <c r="AG39" s="3055"/>
      <c r="AH39" s="3055"/>
      <c r="AI39" s="3055"/>
      <c r="AJ39" s="3055"/>
      <c r="AK39" s="3055"/>
      <c r="AL39" s="3055"/>
      <c r="AM39" s="3055"/>
      <c r="AN39" s="3055"/>
      <c r="AO39" s="3055"/>
      <c r="AP39" s="3055"/>
    </row>
    <row r="40" spans="3:42" s="1014" customFormat="1" ht="17.45" customHeight="1" x14ac:dyDescent="0.25">
      <c r="C40" s="3059" t="s">
        <v>27931</v>
      </c>
      <c r="D40" s="3060"/>
      <c r="E40" s="1017">
        <f>IF(E38=1,E17-70,E17)</f>
        <v>0</v>
      </c>
      <c r="F40" s="1829">
        <f t="shared" ref="F40:R40" si="6">F17</f>
        <v>0</v>
      </c>
      <c r="G40" s="1017">
        <f t="shared" si="6"/>
        <v>0</v>
      </c>
      <c r="H40" s="1829">
        <f t="shared" si="6"/>
        <v>0</v>
      </c>
      <c r="I40" s="1017">
        <f t="shared" si="6"/>
        <v>0</v>
      </c>
      <c r="J40" s="1829">
        <f t="shared" si="6"/>
        <v>0</v>
      </c>
      <c r="K40" s="1017">
        <f t="shared" si="6"/>
        <v>0</v>
      </c>
      <c r="L40" s="1829">
        <f t="shared" si="6"/>
        <v>0</v>
      </c>
      <c r="M40" s="1017">
        <f t="shared" si="6"/>
        <v>0</v>
      </c>
      <c r="N40" s="1829">
        <f t="shared" si="6"/>
        <v>0</v>
      </c>
      <c r="O40" s="1017">
        <f t="shared" si="6"/>
        <v>0</v>
      </c>
      <c r="P40" s="1829">
        <f t="shared" si="6"/>
        <v>0</v>
      </c>
      <c r="Q40" s="1017">
        <f t="shared" si="6"/>
        <v>0</v>
      </c>
      <c r="R40" s="1829">
        <f t="shared" si="6"/>
        <v>0</v>
      </c>
      <c r="S40" s="1017"/>
      <c r="T40" s="1829"/>
      <c r="U40" s="1101"/>
      <c r="V40" s="1007"/>
      <c r="W40" s="1012"/>
      <c r="X40" s="1012"/>
      <c r="Y40" s="1012"/>
      <c r="Z40" s="1012"/>
      <c r="AA40" s="1012"/>
      <c r="AB40" s="1012"/>
      <c r="AC40" s="1012"/>
      <c r="AD40" s="1012"/>
      <c r="AE40" s="1012"/>
      <c r="AF40" s="1012"/>
      <c r="AG40" s="1012"/>
      <c r="AH40" s="1012"/>
      <c r="AI40" s="1012"/>
      <c r="AJ40" s="1012"/>
      <c r="AK40" s="1012"/>
      <c r="AL40" s="1012"/>
      <c r="AM40" s="1012"/>
      <c r="AN40" s="1012"/>
      <c r="AO40" s="1012"/>
      <c r="AP40" s="1012"/>
    </row>
    <row r="41" spans="3:42" s="1014" customFormat="1" ht="17.45" customHeight="1" x14ac:dyDescent="0.25">
      <c r="C41" s="3059" t="s">
        <v>27932</v>
      </c>
      <c r="D41" s="3060"/>
      <c r="E41" s="1017">
        <f>E18</f>
        <v>0</v>
      </c>
      <c r="F41" s="1829">
        <f t="shared" ref="F41:R41" si="7">F18</f>
        <v>0</v>
      </c>
      <c r="G41" s="1017">
        <f t="shared" si="7"/>
        <v>0</v>
      </c>
      <c r="H41" s="1829">
        <f t="shared" si="7"/>
        <v>0</v>
      </c>
      <c r="I41" s="1017">
        <f t="shared" si="7"/>
        <v>0</v>
      </c>
      <c r="J41" s="1829">
        <f t="shared" si="7"/>
        <v>0</v>
      </c>
      <c r="K41" s="1017">
        <f t="shared" si="7"/>
        <v>0</v>
      </c>
      <c r="L41" s="1829">
        <f t="shared" si="7"/>
        <v>0</v>
      </c>
      <c r="M41" s="1017">
        <f t="shared" si="7"/>
        <v>0</v>
      </c>
      <c r="N41" s="1829">
        <f t="shared" si="7"/>
        <v>0</v>
      </c>
      <c r="O41" s="1017">
        <f t="shared" si="7"/>
        <v>0</v>
      </c>
      <c r="P41" s="1829">
        <f t="shared" si="7"/>
        <v>0</v>
      </c>
      <c r="Q41" s="1017">
        <f t="shared" si="7"/>
        <v>0</v>
      </c>
      <c r="R41" s="1829">
        <f t="shared" si="7"/>
        <v>0</v>
      </c>
      <c r="S41" s="1017"/>
      <c r="T41" s="1829"/>
      <c r="U41" s="1101"/>
      <c r="V41" s="1007"/>
      <c r="W41" s="1012"/>
      <c r="X41" s="1012"/>
      <c r="Y41" s="1012"/>
      <c r="Z41" s="1012"/>
      <c r="AA41" s="1012"/>
      <c r="AB41" s="1012"/>
      <c r="AC41" s="1012"/>
      <c r="AD41" s="1012"/>
      <c r="AE41" s="1012"/>
      <c r="AF41" s="1012"/>
      <c r="AG41" s="1012"/>
      <c r="AH41" s="1012"/>
      <c r="AI41" s="1012"/>
      <c r="AJ41" s="1012"/>
      <c r="AK41" s="1012"/>
      <c r="AL41" s="1012"/>
      <c r="AM41" s="1012"/>
      <c r="AN41" s="1012"/>
      <c r="AO41" s="1012"/>
      <c r="AP41" s="1012"/>
    </row>
    <row r="42" spans="3:42" s="1014" customFormat="1" ht="18" customHeight="1" x14ac:dyDescent="0.25">
      <c r="C42" s="1029" t="str">
        <f>IF(D11="Promaseal","Promaseal 2,5mm"," ")</f>
        <v xml:space="preserve"> </v>
      </c>
      <c r="D42" s="1029" t="str">
        <f>IF(D11="Promaseal","0204004"," ")</f>
        <v xml:space="preserve"> </v>
      </c>
      <c r="E42" s="1030">
        <f t="shared" ref="E42:R42" si="8">SUM(E156:E159)*E16</f>
        <v>0</v>
      </c>
      <c r="F42" s="1829">
        <f t="shared" si="8"/>
        <v>0</v>
      </c>
      <c r="G42" s="1030">
        <f t="shared" si="8"/>
        <v>0</v>
      </c>
      <c r="H42" s="1829">
        <f t="shared" si="8"/>
        <v>0</v>
      </c>
      <c r="I42" s="1030">
        <f t="shared" si="8"/>
        <v>0</v>
      </c>
      <c r="J42" s="1829">
        <f t="shared" si="8"/>
        <v>0</v>
      </c>
      <c r="K42" s="1030">
        <f t="shared" si="8"/>
        <v>0</v>
      </c>
      <c r="L42" s="1829">
        <f t="shared" si="8"/>
        <v>0</v>
      </c>
      <c r="M42" s="1030">
        <f t="shared" si="8"/>
        <v>0</v>
      </c>
      <c r="N42" s="1829">
        <f t="shared" si="8"/>
        <v>0</v>
      </c>
      <c r="O42" s="1030">
        <f t="shared" si="8"/>
        <v>0</v>
      </c>
      <c r="P42" s="1829">
        <f t="shared" si="8"/>
        <v>0</v>
      </c>
      <c r="Q42" s="1030">
        <f t="shared" si="8"/>
        <v>0</v>
      </c>
      <c r="R42" s="1829">
        <f t="shared" si="8"/>
        <v>0</v>
      </c>
      <c r="S42" s="1030"/>
      <c r="T42" s="1829"/>
      <c r="U42" s="1028"/>
      <c r="V42" s="1007"/>
      <c r="W42" s="1012"/>
      <c r="X42" s="1012"/>
      <c r="Y42" s="1012"/>
      <c r="Z42" s="1012"/>
      <c r="AA42" s="1012"/>
      <c r="AB42" s="1012"/>
      <c r="AC42" s="1012"/>
      <c r="AD42" s="1012"/>
      <c r="AE42" s="1012"/>
      <c r="AF42" s="1012"/>
      <c r="AG42" s="1012"/>
      <c r="AH42" s="1012"/>
      <c r="AI42" s="1012"/>
      <c r="AJ42" s="1012"/>
      <c r="AK42" s="1012"/>
      <c r="AL42" s="1012"/>
      <c r="AM42" s="1013"/>
      <c r="AN42" s="1013"/>
      <c r="AO42" s="1013"/>
      <c r="AP42" s="1013"/>
    </row>
    <row r="43" spans="3:42" s="1014" customFormat="1" ht="18" customHeight="1" x14ac:dyDescent="0.25">
      <c r="C43" s="1029"/>
      <c r="D43" s="1029"/>
      <c r="E43" s="1030"/>
      <c r="F43" s="1829"/>
      <c r="G43" s="1030"/>
      <c r="H43" s="1829"/>
      <c r="I43" s="1030"/>
      <c r="J43" s="1829"/>
      <c r="K43" s="1030"/>
      <c r="L43" s="1829"/>
      <c r="M43" s="1030"/>
      <c r="N43" s="1829"/>
      <c r="O43" s="1030"/>
      <c r="P43" s="1829"/>
      <c r="Q43" s="1030"/>
      <c r="R43" s="1829"/>
      <c r="S43" s="1030"/>
      <c r="T43" s="1829"/>
      <c r="U43" s="1028"/>
      <c r="V43" s="1007"/>
      <c r="W43" s="1012"/>
      <c r="X43" s="1012"/>
      <c r="Y43" s="1012"/>
      <c r="Z43" s="1012"/>
      <c r="AA43" s="1012"/>
      <c r="AB43" s="1012"/>
      <c r="AC43" s="1012"/>
      <c r="AD43" s="1012"/>
      <c r="AE43" s="1012"/>
      <c r="AF43" s="1012"/>
      <c r="AG43" s="1012"/>
      <c r="AH43" s="1012"/>
      <c r="AI43" s="1012"/>
      <c r="AJ43" s="1012"/>
      <c r="AK43" s="1012"/>
      <c r="AL43" s="1012"/>
      <c r="AM43" s="1013"/>
      <c r="AN43" s="1013"/>
      <c r="AO43" s="1013"/>
      <c r="AP43" s="1013"/>
    </row>
    <row r="44" spans="3:42" s="1034" customFormat="1" ht="18" customHeight="1" x14ac:dyDescent="0.25">
      <c r="C44" s="1029" t="str">
        <f>IF(AND(D11="Promaseal",E35=1),"Promaseal Rot 2,5mm"," ")</f>
        <v xml:space="preserve"> </v>
      </c>
      <c r="D44" s="1029" t="str">
        <f>IF(AND(D11="Promaseal",E35=1),"0204005"," ")</f>
        <v xml:space="preserve"> </v>
      </c>
      <c r="E44" s="1030">
        <f t="shared" ref="E44:R44" si="9">IF(E35&gt;0,(1*E16),0)</f>
        <v>0</v>
      </c>
      <c r="F44" s="1829">
        <f t="shared" si="9"/>
        <v>0</v>
      </c>
      <c r="G44" s="1030">
        <f t="shared" si="9"/>
        <v>0</v>
      </c>
      <c r="H44" s="1829">
        <f t="shared" si="9"/>
        <v>0</v>
      </c>
      <c r="I44" s="1030">
        <f t="shared" si="9"/>
        <v>0</v>
      </c>
      <c r="J44" s="1829">
        <f t="shared" si="9"/>
        <v>0</v>
      </c>
      <c r="K44" s="1030">
        <f t="shared" si="9"/>
        <v>0</v>
      </c>
      <c r="L44" s="1829">
        <f t="shared" si="9"/>
        <v>0</v>
      </c>
      <c r="M44" s="1030">
        <f t="shared" si="9"/>
        <v>0</v>
      </c>
      <c r="N44" s="1829">
        <f t="shared" si="9"/>
        <v>0</v>
      </c>
      <c r="O44" s="1030">
        <f t="shared" si="9"/>
        <v>0</v>
      </c>
      <c r="P44" s="1829">
        <f t="shared" si="9"/>
        <v>0</v>
      </c>
      <c r="Q44" s="1030">
        <f t="shared" si="9"/>
        <v>0</v>
      </c>
      <c r="R44" s="1829">
        <f t="shared" si="9"/>
        <v>0</v>
      </c>
      <c r="S44" s="1031"/>
      <c r="T44" s="1829"/>
      <c r="U44" s="1028"/>
      <c r="V44" s="1007"/>
      <c r="W44" s="1032"/>
      <c r="X44" s="1032"/>
      <c r="Y44" s="1032"/>
      <c r="Z44" s="1032"/>
      <c r="AA44" s="1032"/>
      <c r="AB44" s="1032"/>
      <c r="AC44" s="1032"/>
      <c r="AD44" s="1032"/>
      <c r="AE44" s="1032"/>
      <c r="AF44" s="1032"/>
      <c r="AG44" s="1032"/>
      <c r="AH44" s="1032"/>
      <c r="AI44" s="1032"/>
      <c r="AJ44" s="1032"/>
      <c r="AK44" s="1032"/>
      <c r="AL44" s="1032"/>
      <c r="AM44" s="1033"/>
      <c r="AN44" s="1033"/>
      <c r="AO44" s="1033"/>
      <c r="AP44" s="1033"/>
    </row>
    <row r="45" spans="3:42" s="1014" customFormat="1" ht="18" customHeight="1" x14ac:dyDescent="0.25">
      <c r="C45" s="1029" t="str">
        <f>IF(D11="Firefly","Firefly 102 2mm"," ")</f>
        <v xml:space="preserve"> </v>
      </c>
      <c r="D45" s="1029" t="str">
        <f>IF(D11="Firefly","0204150"," ")</f>
        <v xml:space="preserve"> </v>
      </c>
      <c r="E45" s="1030">
        <f t="shared" ref="E45:R45" si="10">SUM(E186:E187)*E16</f>
        <v>0</v>
      </c>
      <c r="F45" s="1829">
        <f t="shared" si="10"/>
        <v>0</v>
      </c>
      <c r="G45" s="1030">
        <f t="shared" si="10"/>
        <v>0</v>
      </c>
      <c r="H45" s="1829">
        <f t="shared" si="10"/>
        <v>0</v>
      </c>
      <c r="I45" s="1030">
        <f t="shared" si="10"/>
        <v>0</v>
      </c>
      <c r="J45" s="1829">
        <f t="shared" si="10"/>
        <v>0</v>
      </c>
      <c r="K45" s="1030">
        <f t="shared" si="10"/>
        <v>0</v>
      </c>
      <c r="L45" s="1829">
        <f t="shared" si="10"/>
        <v>0</v>
      </c>
      <c r="M45" s="1030">
        <f t="shared" si="10"/>
        <v>0</v>
      </c>
      <c r="N45" s="1829">
        <f t="shared" si="10"/>
        <v>0</v>
      </c>
      <c r="O45" s="1030">
        <f t="shared" si="10"/>
        <v>0</v>
      </c>
      <c r="P45" s="1829">
        <f t="shared" si="10"/>
        <v>0</v>
      </c>
      <c r="Q45" s="1030">
        <f t="shared" si="10"/>
        <v>0</v>
      </c>
      <c r="R45" s="1829">
        <f t="shared" si="10"/>
        <v>0</v>
      </c>
      <c r="S45" s="1030"/>
      <c r="T45" s="1829"/>
      <c r="U45" s="1028"/>
      <c r="V45" s="1007"/>
      <c r="W45" s="1012"/>
      <c r="X45" s="1012"/>
      <c r="Y45" s="1012"/>
      <c r="Z45" s="1012"/>
      <c r="AA45" s="1012"/>
      <c r="AB45" s="1012"/>
      <c r="AC45" s="1012"/>
      <c r="AD45" s="1012"/>
      <c r="AE45" s="1012"/>
      <c r="AF45" s="1012"/>
      <c r="AG45" s="1012"/>
      <c r="AH45" s="1012"/>
      <c r="AI45" s="1012"/>
      <c r="AJ45" s="1012"/>
      <c r="AK45" s="1012"/>
      <c r="AL45" s="1012"/>
      <c r="AM45" s="1013"/>
      <c r="AN45" s="1013"/>
      <c r="AO45" s="1013"/>
      <c r="AP45" s="1013"/>
    </row>
    <row r="46" spans="3:42" s="1014" customFormat="1" ht="18" customHeight="1" x14ac:dyDescent="0.25">
      <c r="C46" s="1035" t="str">
        <f>IF(D11="Firefly","Firefly 102 6mm"," ")</f>
        <v xml:space="preserve"> </v>
      </c>
      <c r="D46" s="1035" t="str">
        <f>IF(D11="Firefly","0204152"," ")</f>
        <v xml:space="preserve"> </v>
      </c>
      <c r="E46" s="1030">
        <f t="shared" ref="E46:R46" si="11">SUM(E181:E182)*E16</f>
        <v>0</v>
      </c>
      <c r="F46" s="1829">
        <f t="shared" si="11"/>
        <v>0</v>
      </c>
      <c r="G46" s="1030">
        <f t="shared" si="11"/>
        <v>0</v>
      </c>
      <c r="H46" s="1829">
        <f t="shared" si="11"/>
        <v>0</v>
      </c>
      <c r="I46" s="1030">
        <f t="shared" si="11"/>
        <v>0</v>
      </c>
      <c r="J46" s="1829">
        <f t="shared" si="11"/>
        <v>0</v>
      </c>
      <c r="K46" s="1030">
        <f t="shared" si="11"/>
        <v>0</v>
      </c>
      <c r="L46" s="1829">
        <f t="shared" si="11"/>
        <v>0</v>
      </c>
      <c r="M46" s="1030">
        <f t="shared" si="11"/>
        <v>0</v>
      </c>
      <c r="N46" s="1829">
        <f t="shared" si="11"/>
        <v>0</v>
      </c>
      <c r="O46" s="1030">
        <f t="shared" si="11"/>
        <v>0</v>
      </c>
      <c r="P46" s="1829">
        <f t="shared" si="11"/>
        <v>0</v>
      </c>
      <c r="Q46" s="1030">
        <f t="shared" si="11"/>
        <v>0</v>
      </c>
      <c r="R46" s="1829">
        <f t="shared" si="11"/>
        <v>0</v>
      </c>
      <c r="S46" s="1030"/>
      <c r="T46" s="1829"/>
      <c r="U46" s="1028"/>
      <c r="V46" s="1007"/>
      <c r="W46" s="1012"/>
      <c r="X46" s="1012"/>
      <c r="Y46" s="1012"/>
      <c r="Z46" s="1012"/>
      <c r="AA46" s="1012"/>
      <c r="AB46" s="1012"/>
      <c r="AC46" s="1012"/>
      <c r="AD46" s="1012"/>
      <c r="AE46" s="1012"/>
      <c r="AF46" s="1012"/>
      <c r="AG46" s="1012"/>
      <c r="AH46" s="1012"/>
      <c r="AI46" s="1012"/>
      <c r="AJ46" s="1012"/>
      <c r="AK46" s="1012"/>
      <c r="AL46" s="1012"/>
      <c r="AM46" s="1013"/>
      <c r="AN46" s="1013"/>
      <c r="AO46" s="1013"/>
      <c r="AP46" s="1013"/>
    </row>
    <row r="47" spans="3:42" s="1014" customFormat="1" ht="18.75" customHeight="1" x14ac:dyDescent="0.3">
      <c r="C47" s="1036"/>
      <c r="D47" s="1037"/>
      <c r="E47" s="3061" t="s">
        <v>27933</v>
      </c>
      <c r="F47" s="3062"/>
      <c r="G47" s="3062"/>
      <c r="H47" s="3062"/>
      <c r="I47" s="3062"/>
      <c r="J47" s="3062"/>
      <c r="K47" s="3062"/>
      <c r="L47" s="3062"/>
      <c r="M47" s="3063"/>
      <c r="N47" s="3063"/>
      <c r="O47" s="1012"/>
      <c r="P47" s="1012"/>
      <c r="Q47" s="1012"/>
      <c r="R47" s="1012"/>
      <c r="S47" s="1012"/>
      <c r="T47" s="1012"/>
      <c r="U47" s="1038"/>
      <c r="V47" s="1007"/>
      <c r="W47" s="1012"/>
      <c r="X47" s="1012"/>
      <c r="Y47" s="1012"/>
      <c r="Z47" s="1012"/>
      <c r="AA47" s="1012"/>
      <c r="AB47" s="1012"/>
      <c r="AC47" s="1012"/>
      <c r="AD47" s="1012"/>
      <c r="AE47" s="1012"/>
      <c r="AF47" s="1012"/>
      <c r="AG47" s="1012"/>
      <c r="AH47" s="1012"/>
      <c r="AI47" s="1012"/>
      <c r="AJ47" s="1012"/>
      <c r="AK47" s="1012"/>
      <c r="AL47" s="1012"/>
    </row>
    <row r="48" spans="3:42" s="1014" customFormat="1" ht="17.45" customHeight="1" x14ac:dyDescent="0.25">
      <c r="C48" s="1029" t="str">
        <f>IF(D11="Promaseal","Promaseal 2,5mm"," ")</f>
        <v xml:space="preserve"> </v>
      </c>
      <c r="D48" s="1029" t="str">
        <f>IF(D11="Promaseal","0204004"," ")</f>
        <v xml:space="preserve"> </v>
      </c>
      <c r="E48" s="1030">
        <f t="shared" ref="E48:U48" si="12">SUM(E156:E159)</f>
        <v>0</v>
      </c>
      <c r="F48" s="1829">
        <f t="shared" si="12"/>
        <v>0</v>
      </c>
      <c r="G48" s="1030">
        <f t="shared" si="12"/>
        <v>0</v>
      </c>
      <c r="H48" s="1829">
        <f t="shared" si="12"/>
        <v>0</v>
      </c>
      <c r="I48" s="1030">
        <f t="shared" si="12"/>
        <v>0</v>
      </c>
      <c r="J48" s="1829">
        <f t="shared" si="12"/>
        <v>0</v>
      </c>
      <c r="K48" s="1030">
        <f t="shared" si="12"/>
        <v>0</v>
      </c>
      <c r="L48" s="1829">
        <f t="shared" si="12"/>
        <v>0</v>
      </c>
      <c r="M48" s="1030">
        <f t="shared" si="12"/>
        <v>0</v>
      </c>
      <c r="N48" s="1829">
        <f t="shared" si="12"/>
        <v>0</v>
      </c>
      <c r="O48" s="1030">
        <f t="shared" si="12"/>
        <v>0</v>
      </c>
      <c r="P48" s="1829">
        <f t="shared" si="12"/>
        <v>0</v>
      </c>
      <c r="Q48" s="1030">
        <f t="shared" si="12"/>
        <v>0</v>
      </c>
      <c r="R48" s="1829">
        <f t="shared" si="12"/>
        <v>0</v>
      </c>
      <c r="S48" s="1030">
        <f t="shared" si="12"/>
        <v>0</v>
      </c>
      <c r="T48" s="1829">
        <f t="shared" si="12"/>
        <v>0</v>
      </c>
      <c r="U48" s="1030">
        <f t="shared" si="12"/>
        <v>0</v>
      </c>
      <c r="V48" s="1007"/>
      <c r="W48" s="996"/>
      <c r="X48" s="996"/>
      <c r="Y48" s="996"/>
      <c r="Z48" s="996"/>
      <c r="AA48" s="996"/>
      <c r="AB48" s="996"/>
      <c r="AC48" s="996"/>
      <c r="AD48" s="996"/>
      <c r="AE48" s="996"/>
      <c r="AF48" s="996"/>
      <c r="AG48" s="996"/>
      <c r="AH48" s="996"/>
      <c r="AI48" s="996"/>
      <c r="AJ48" s="996"/>
      <c r="AK48" s="996"/>
      <c r="AL48" s="1012"/>
    </row>
    <row r="49" spans="3:38" s="1014" customFormat="1" ht="15.75" customHeight="1" x14ac:dyDescent="0.25">
      <c r="C49" s="1029"/>
      <c r="D49" s="1029"/>
      <c r="E49" s="1030"/>
      <c r="F49" s="1829"/>
      <c r="G49" s="1030"/>
      <c r="H49" s="1829"/>
      <c r="I49" s="1030"/>
      <c r="J49" s="1829"/>
      <c r="K49" s="1030"/>
      <c r="L49" s="1829"/>
      <c r="M49" s="1030"/>
      <c r="N49" s="1829"/>
      <c r="O49" s="1030"/>
      <c r="P49" s="1829"/>
      <c r="Q49" s="1030"/>
      <c r="R49" s="1829"/>
      <c r="S49" s="1030"/>
      <c r="T49" s="1829"/>
      <c r="U49" s="1030"/>
      <c r="V49" s="1007"/>
      <c r="W49" s="1012"/>
      <c r="X49" s="1012"/>
      <c r="Y49" s="1012"/>
      <c r="Z49" s="1012"/>
      <c r="AA49" s="1012"/>
      <c r="AB49" s="1012"/>
      <c r="AC49" s="1012"/>
      <c r="AD49" s="1012"/>
      <c r="AE49" s="1012"/>
      <c r="AF49" s="1012"/>
      <c r="AG49" s="1012"/>
      <c r="AH49" s="1012"/>
      <c r="AI49" s="1012"/>
      <c r="AJ49" s="1012"/>
      <c r="AK49" s="1012"/>
      <c r="AL49" s="1012"/>
    </row>
    <row r="50" spans="3:38" s="1014" customFormat="1" ht="15.75" customHeight="1" x14ac:dyDescent="0.25">
      <c r="C50" s="1029" t="str">
        <f>IF(AND(D11="Promaseal",E35=1),"Promaseal Rot 2,5mm"," ")</f>
        <v xml:space="preserve"> </v>
      </c>
      <c r="D50" s="1029" t="str">
        <f>IF(AND(D11="Promaseal",E35=1),"0204005"," ")</f>
        <v xml:space="preserve"> </v>
      </c>
      <c r="E50" s="1030">
        <f t="shared" ref="E50:U50" si="13">IF(E35&gt;0,1,0)</f>
        <v>0</v>
      </c>
      <c r="F50" s="1829">
        <f t="shared" si="13"/>
        <v>0</v>
      </c>
      <c r="G50" s="1030">
        <f t="shared" si="13"/>
        <v>0</v>
      </c>
      <c r="H50" s="1829">
        <f t="shared" si="13"/>
        <v>0</v>
      </c>
      <c r="I50" s="1030">
        <f t="shared" si="13"/>
        <v>0</v>
      </c>
      <c r="J50" s="1829">
        <f t="shared" si="13"/>
        <v>0</v>
      </c>
      <c r="K50" s="1030">
        <f t="shared" si="13"/>
        <v>0</v>
      </c>
      <c r="L50" s="1829">
        <f t="shared" si="13"/>
        <v>0</v>
      </c>
      <c r="M50" s="1030">
        <f t="shared" si="13"/>
        <v>0</v>
      </c>
      <c r="N50" s="1829">
        <f t="shared" si="13"/>
        <v>0</v>
      </c>
      <c r="O50" s="1030">
        <f t="shared" si="13"/>
        <v>0</v>
      </c>
      <c r="P50" s="1829">
        <f t="shared" si="13"/>
        <v>0</v>
      </c>
      <c r="Q50" s="1030">
        <f t="shared" si="13"/>
        <v>0</v>
      </c>
      <c r="R50" s="1829">
        <f t="shared" si="13"/>
        <v>0</v>
      </c>
      <c r="S50" s="1030">
        <f t="shared" si="13"/>
        <v>0</v>
      </c>
      <c r="T50" s="1829">
        <f t="shared" si="13"/>
        <v>0</v>
      </c>
      <c r="U50" s="1030">
        <f t="shared" si="13"/>
        <v>0</v>
      </c>
      <c r="V50" s="1007"/>
      <c r="W50" s="1012"/>
      <c r="X50" s="1012"/>
      <c r="Y50" s="1012"/>
      <c r="Z50" s="1012"/>
      <c r="AA50" s="1012"/>
      <c r="AB50" s="1012"/>
      <c r="AC50" s="1012"/>
      <c r="AD50" s="1012"/>
      <c r="AE50" s="1012"/>
      <c r="AF50" s="1012"/>
      <c r="AG50" s="1012"/>
      <c r="AH50" s="1012"/>
      <c r="AI50" s="1012"/>
      <c r="AJ50" s="1012"/>
      <c r="AK50" s="1012"/>
      <c r="AL50" s="1012"/>
    </row>
    <row r="51" spans="3:38" s="1014" customFormat="1" ht="15.75" customHeight="1" x14ac:dyDescent="0.25">
      <c r="C51" s="1029" t="str">
        <f>IF(D11="Firefly","Firefly 102 2mm"," ")</f>
        <v xml:space="preserve"> </v>
      </c>
      <c r="D51" s="1029" t="str">
        <f>IF(D11="Firefly","0204150"," ")</f>
        <v xml:space="preserve"> </v>
      </c>
      <c r="E51" s="1030">
        <f t="shared" ref="E51:U51" si="14">SUM(E186:E187)</f>
        <v>0</v>
      </c>
      <c r="F51" s="1829">
        <f t="shared" si="14"/>
        <v>0</v>
      </c>
      <c r="G51" s="1030">
        <f t="shared" si="14"/>
        <v>0</v>
      </c>
      <c r="H51" s="1829">
        <f t="shared" si="14"/>
        <v>0</v>
      </c>
      <c r="I51" s="1030">
        <f t="shared" si="14"/>
        <v>0</v>
      </c>
      <c r="J51" s="1829">
        <f t="shared" si="14"/>
        <v>0</v>
      </c>
      <c r="K51" s="1030">
        <f t="shared" si="14"/>
        <v>0</v>
      </c>
      <c r="L51" s="1829">
        <f t="shared" si="14"/>
        <v>0</v>
      </c>
      <c r="M51" s="1030">
        <f t="shared" si="14"/>
        <v>0</v>
      </c>
      <c r="N51" s="1829">
        <f t="shared" si="14"/>
        <v>0</v>
      </c>
      <c r="O51" s="1030">
        <f t="shared" si="14"/>
        <v>0</v>
      </c>
      <c r="P51" s="1829">
        <f t="shared" si="14"/>
        <v>0</v>
      </c>
      <c r="Q51" s="1030">
        <f t="shared" si="14"/>
        <v>0</v>
      </c>
      <c r="R51" s="1829">
        <f t="shared" si="14"/>
        <v>0</v>
      </c>
      <c r="S51" s="1030">
        <f t="shared" si="14"/>
        <v>0</v>
      </c>
      <c r="T51" s="1829">
        <f t="shared" si="14"/>
        <v>0</v>
      </c>
      <c r="U51" s="1030">
        <f t="shared" si="14"/>
        <v>0</v>
      </c>
      <c r="V51" s="1007"/>
      <c r="W51" s="1012"/>
      <c r="X51" s="1012"/>
      <c r="Y51" s="1012"/>
      <c r="Z51" s="1012"/>
      <c r="AA51" s="1012"/>
      <c r="AB51" s="1012"/>
      <c r="AC51" s="1012"/>
      <c r="AD51" s="1012"/>
      <c r="AE51" s="1012"/>
      <c r="AF51" s="1012"/>
      <c r="AG51" s="1012"/>
      <c r="AH51" s="1012"/>
      <c r="AI51" s="1012"/>
      <c r="AJ51" s="1012"/>
      <c r="AK51" s="1012"/>
      <c r="AL51" s="1012"/>
    </row>
    <row r="52" spans="3:38" s="1014" customFormat="1" ht="15.75" customHeight="1" x14ac:dyDescent="0.25">
      <c r="C52" s="1035" t="str">
        <f>IF(D11="Firefly","Firefly 102 6mm"," ")</f>
        <v xml:space="preserve"> </v>
      </c>
      <c r="D52" s="1035" t="str">
        <f>IF(D11="Firefly","0204152"," ")</f>
        <v xml:space="preserve"> </v>
      </c>
      <c r="E52" s="1030">
        <f t="shared" ref="E52:U52" si="15">SUM(E181:E182)</f>
        <v>0</v>
      </c>
      <c r="F52" s="1829">
        <f t="shared" si="15"/>
        <v>0</v>
      </c>
      <c r="G52" s="1030">
        <f t="shared" si="15"/>
        <v>0</v>
      </c>
      <c r="H52" s="1829">
        <f t="shared" si="15"/>
        <v>0</v>
      </c>
      <c r="I52" s="1030">
        <f t="shared" si="15"/>
        <v>0</v>
      </c>
      <c r="J52" s="1829">
        <f t="shared" si="15"/>
        <v>0</v>
      </c>
      <c r="K52" s="1030">
        <f t="shared" si="15"/>
        <v>0</v>
      </c>
      <c r="L52" s="1829">
        <f t="shared" si="15"/>
        <v>0</v>
      </c>
      <c r="M52" s="1030">
        <f t="shared" si="15"/>
        <v>0</v>
      </c>
      <c r="N52" s="1829">
        <f t="shared" si="15"/>
        <v>0</v>
      </c>
      <c r="O52" s="1030">
        <f t="shared" si="15"/>
        <v>0</v>
      </c>
      <c r="P52" s="1829">
        <f t="shared" si="15"/>
        <v>0</v>
      </c>
      <c r="Q52" s="1030">
        <f t="shared" si="15"/>
        <v>0</v>
      </c>
      <c r="R52" s="1829">
        <f t="shared" si="15"/>
        <v>0</v>
      </c>
      <c r="S52" s="1030">
        <f t="shared" si="15"/>
        <v>0</v>
      </c>
      <c r="T52" s="1829">
        <f t="shared" si="15"/>
        <v>0</v>
      </c>
      <c r="U52" s="1030">
        <f t="shared" si="15"/>
        <v>0</v>
      </c>
      <c r="V52" s="1007"/>
      <c r="W52" s="1012"/>
      <c r="X52" s="1012"/>
      <c r="Y52" s="1012"/>
      <c r="Z52" s="1012"/>
      <c r="AA52" s="1012"/>
      <c r="AB52" s="1012"/>
      <c r="AC52" s="1012"/>
      <c r="AD52" s="1012"/>
      <c r="AE52" s="1012"/>
      <c r="AF52" s="1012"/>
      <c r="AG52" s="1012"/>
      <c r="AH52" s="1012"/>
      <c r="AI52" s="1012"/>
      <c r="AJ52" s="1012"/>
      <c r="AK52" s="1012"/>
      <c r="AL52" s="1012"/>
    </row>
    <row r="53" spans="3:38" s="1014" customFormat="1" ht="15.75" customHeight="1" x14ac:dyDescent="0.25">
      <c r="C53" s="1039"/>
      <c r="D53" s="1039"/>
      <c r="E53" s="1030"/>
      <c r="F53" s="1829"/>
      <c r="G53" s="1030"/>
      <c r="H53" s="1829"/>
      <c r="I53" s="1030"/>
      <c r="J53" s="1829"/>
      <c r="K53" s="1030"/>
      <c r="L53" s="1829"/>
      <c r="M53" s="1030"/>
      <c r="N53" s="1829"/>
      <c r="O53" s="1030"/>
      <c r="P53" s="1829"/>
      <c r="Q53" s="1030"/>
      <c r="R53" s="1829"/>
      <c r="S53" s="1030"/>
      <c r="T53" s="1829"/>
      <c r="U53" s="1030"/>
      <c r="V53" s="1007"/>
      <c r="W53" s="1012"/>
      <c r="X53" s="1012"/>
      <c r="Y53" s="1012"/>
      <c r="Z53" s="1012"/>
      <c r="AA53" s="1012"/>
      <c r="AB53" s="1012"/>
      <c r="AC53" s="1012"/>
      <c r="AD53" s="1012"/>
      <c r="AE53" s="1012"/>
      <c r="AF53" s="1012"/>
      <c r="AG53" s="1012"/>
      <c r="AH53" s="1012"/>
      <c r="AI53" s="1012"/>
      <c r="AJ53" s="1012"/>
      <c r="AK53" s="1012"/>
      <c r="AL53" s="1012"/>
    </row>
    <row r="54" spans="3:38" s="1014" customFormat="1" ht="18.75" customHeight="1" x14ac:dyDescent="0.3">
      <c r="C54" s="1039"/>
      <c r="D54" s="1039"/>
      <c r="E54" s="3061" t="s">
        <v>27934</v>
      </c>
      <c r="F54" s="3062"/>
      <c r="G54" s="3062"/>
      <c r="H54" s="3062"/>
      <c r="I54" s="3062"/>
      <c r="J54" s="3062"/>
      <c r="K54" s="3062"/>
      <c r="L54" s="3062"/>
      <c r="M54" s="3062"/>
      <c r="N54" s="3062"/>
      <c r="O54" s="1040"/>
      <c r="P54" s="1040"/>
      <c r="Q54" s="1040"/>
      <c r="R54" s="1040"/>
      <c r="S54" s="1040"/>
      <c r="T54" s="1040"/>
      <c r="U54" s="1041"/>
      <c r="V54" s="1007"/>
      <c r="W54" s="1012"/>
      <c r="X54" s="1012"/>
      <c r="Y54" s="1012"/>
      <c r="Z54" s="1012"/>
      <c r="AA54" s="1012"/>
      <c r="AB54" s="1012"/>
      <c r="AC54" s="1012"/>
      <c r="AD54" s="1012"/>
      <c r="AE54" s="1012"/>
      <c r="AF54" s="1012"/>
      <c r="AG54" s="1012"/>
      <c r="AH54" s="1012"/>
      <c r="AI54" s="1012"/>
      <c r="AJ54" s="1012"/>
      <c r="AK54" s="1012"/>
      <c r="AL54" s="1012"/>
    </row>
    <row r="55" spans="3:38" s="1014" customFormat="1" ht="20.25" customHeight="1" x14ac:dyDescent="0.3">
      <c r="C55" s="3056"/>
      <c r="D55" s="3057"/>
      <c r="E55" s="1042"/>
      <c r="F55" s="1829"/>
      <c r="G55" s="1042"/>
      <c r="H55" s="1829"/>
      <c r="I55" s="1042"/>
      <c r="J55" s="1829"/>
      <c r="K55" s="1042"/>
      <c r="L55" s="1829"/>
      <c r="M55" s="1042"/>
      <c r="N55" s="1829"/>
      <c r="O55" s="1042"/>
      <c r="P55" s="1829"/>
      <c r="Q55" s="1042"/>
      <c r="R55" s="1829"/>
      <c r="S55" s="1030"/>
      <c r="T55" s="1829"/>
      <c r="U55" s="1028"/>
      <c r="V55" s="1007"/>
      <c r="W55" s="1012"/>
      <c r="X55" s="1012"/>
      <c r="Y55" s="1012"/>
      <c r="Z55" s="1012"/>
      <c r="AA55" s="1012"/>
      <c r="AB55" s="1012"/>
      <c r="AC55" s="1012"/>
      <c r="AD55" s="1012"/>
      <c r="AE55" s="1012"/>
      <c r="AF55" s="1012"/>
      <c r="AG55" s="1012"/>
      <c r="AH55" s="1012"/>
      <c r="AI55" s="1012"/>
      <c r="AJ55" s="1012"/>
      <c r="AK55" s="1012"/>
      <c r="AL55" s="1012"/>
    </row>
    <row r="56" spans="3:38" s="1014" customFormat="1" ht="35.450000000000003" customHeight="1" x14ac:dyDescent="0.25">
      <c r="C56" s="3056" t="s">
        <v>27935</v>
      </c>
      <c r="D56" s="3057"/>
      <c r="E56" s="981">
        <f t="shared" ref="E56:U56" si="16">IF(E57&gt;0,(E17-E57)/2,0)</f>
        <v>0</v>
      </c>
      <c r="F56" s="1829">
        <f t="shared" si="16"/>
        <v>0</v>
      </c>
      <c r="G56" s="981">
        <f t="shared" si="16"/>
        <v>0</v>
      </c>
      <c r="H56" s="1829">
        <f t="shared" si="16"/>
        <v>0</v>
      </c>
      <c r="I56" s="981">
        <f t="shared" si="16"/>
        <v>0</v>
      </c>
      <c r="J56" s="1829">
        <f t="shared" si="16"/>
        <v>0</v>
      </c>
      <c r="K56" s="981">
        <f t="shared" si="16"/>
        <v>0</v>
      </c>
      <c r="L56" s="1829">
        <f t="shared" si="16"/>
        <v>0</v>
      </c>
      <c r="M56" s="981">
        <f t="shared" si="16"/>
        <v>0</v>
      </c>
      <c r="N56" s="1829">
        <f t="shared" si="16"/>
        <v>0</v>
      </c>
      <c r="O56" s="981">
        <f t="shared" si="16"/>
        <v>0</v>
      </c>
      <c r="P56" s="1829">
        <f t="shared" si="16"/>
        <v>0</v>
      </c>
      <c r="Q56" s="981">
        <f t="shared" si="16"/>
        <v>0</v>
      </c>
      <c r="R56" s="1829">
        <f t="shared" si="16"/>
        <v>0</v>
      </c>
      <c r="S56" s="981">
        <f t="shared" si="16"/>
        <v>0</v>
      </c>
      <c r="T56" s="1829">
        <f t="shared" si="16"/>
        <v>0</v>
      </c>
      <c r="U56" s="981">
        <f t="shared" si="16"/>
        <v>0</v>
      </c>
      <c r="V56" s="1007"/>
      <c r="W56" s="1012"/>
      <c r="X56" s="1012"/>
      <c r="Y56" s="1012"/>
      <c r="Z56" s="1012"/>
      <c r="AA56" s="1012"/>
      <c r="AB56" s="1012"/>
      <c r="AC56" s="1012"/>
      <c r="AD56" s="1012"/>
      <c r="AE56" s="1012"/>
      <c r="AF56" s="1012"/>
      <c r="AG56" s="1012"/>
      <c r="AH56" s="1012"/>
      <c r="AI56" s="1012"/>
      <c r="AJ56" s="1012"/>
      <c r="AK56" s="1012"/>
      <c r="AL56" s="1012"/>
    </row>
    <row r="57" spans="3:38" s="1014" customFormat="1" ht="19.5" customHeight="1" x14ac:dyDescent="0.25">
      <c r="C57" s="3056" t="s">
        <v>27936</v>
      </c>
      <c r="D57" s="3057"/>
      <c r="E57" s="981">
        <f t="shared" ref="E57:U57" si="17">E91</f>
        <v>0</v>
      </c>
      <c r="F57" s="1829">
        <f t="shared" si="17"/>
        <v>0</v>
      </c>
      <c r="G57" s="981">
        <f t="shared" si="17"/>
        <v>0</v>
      </c>
      <c r="H57" s="1829">
        <f t="shared" si="17"/>
        <v>0</v>
      </c>
      <c r="I57" s="981">
        <f t="shared" si="17"/>
        <v>0</v>
      </c>
      <c r="J57" s="1829">
        <f t="shared" si="17"/>
        <v>0</v>
      </c>
      <c r="K57" s="981">
        <f t="shared" si="17"/>
        <v>0</v>
      </c>
      <c r="L57" s="1829">
        <f t="shared" si="17"/>
        <v>0</v>
      </c>
      <c r="M57" s="981">
        <f t="shared" si="17"/>
        <v>0</v>
      </c>
      <c r="N57" s="1829">
        <f t="shared" si="17"/>
        <v>0</v>
      </c>
      <c r="O57" s="981">
        <f t="shared" si="17"/>
        <v>0</v>
      </c>
      <c r="P57" s="1829">
        <f t="shared" si="17"/>
        <v>0</v>
      </c>
      <c r="Q57" s="981">
        <f t="shared" si="17"/>
        <v>0</v>
      </c>
      <c r="R57" s="1829">
        <f t="shared" si="17"/>
        <v>0</v>
      </c>
      <c r="S57" s="981">
        <f t="shared" si="17"/>
        <v>0</v>
      </c>
      <c r="T57" s="1829">
        <f t="shared" si="17"/>
        <v>0</v>
      </c>
      <c r="U57" s="981">
        <f t="shared" si="17"/>
        <v>0</v>
      </c>
      <c r="V57" s="1007"/>
      <c r="W57" s="1012"/>
      <c r="X57" s="1012"/>
      <c r="Y57" s="1012"/>
      <c r="Z57" s="1012"/>
      <c r="AA57" s="1012"/>
      <c r="AB57" s="1012"/>
      <c r="AC57" s="1012"/>
      <c r="AD57" s="1012"/>
      <c r="AE57" s="1012"/>
      <c r="AF57" s="1012"/>
      <c r="AG57" s="1012"/>
      <c r="AH57" s="1012"/>
      <c r="AI57" s="1012"/>
      <c r="AJ57" s="1012"/>
      <c r="AK57" s="1012"/>
      <c r="AL57" s="1012"/>
    </row>
    <row r="58" spans="3:38" s="1014" customFormat="1" ht="19.5" customHeight="1" x14ac:dyDescent="0.25">
      <c r="C58" s="3056"/>
      <c r="D58" s="3057"/>
      <c r="E58" s="1043"/>
      <c r="F58" s="1829"/>
      <c r="G58" s="1030"/>
      <c r="H58" s="1829"/>
      <c r="I58" s="1030"/>
      <c r="J58" s="1829"/>
      <c r="K58" s="1030"/>
      <c r="L58" s="1829"/>
      <c r="M58" s="1030"/>
      <c r="N58" s="1829"/>
      <c r="O58" s="1028"/>
      <c r="P58" s="1829"/>
      <c r="Q58" s="1028"/>
      <c r="R58" s="1829"/>
      <c r="S58" s="1030"/>
      <c r="T58" s="1829"/>
      <c r="U58" s="1028"/>
      <c r="V58" s="1007"/>
      <c r="W58" s="1012"/>
      <c r="X58" s="1012"/>
      <c r="Y58" s="1012"/>
      <c r="Z58" s="1012"/>
      <c r="AA58" s="1012"/>
      <c r="AB58" s="1012"/>
      <c r="AC58" s="1012"/>
      <c r="AD58" s="1012"/>
      <c r="AE58" s="1012"/>
      <c r="AF58" s="1012"/>
      <c r="AG58" s="1012"/>
      <c r="AH58" s="1012"/>
      <c r="AI58" s="1012"/>
      <c r="AJ58" s="1012"/>
      <c r="AK58" s="1012"/>
      <c r="AL58" s="1012"/>
    </row>
    <row r="59" spans="3:38" ht="4.7" customHeight="1" x14ac:dyDescent="0.2"/>
    <row r="60" spans="3:38" s="1014" customFormat="1" ht="39.75" customHeight="1" x14ac:dyDescent="0.2">
      <c r="C60" s="1045"/>
      <c r="D60" s="1045"/>
      <c r="E60" s="1046"/>
      <c r="F60" s="1045"/>
      <c r="G60" s="1045"/>
      <c r="H60" s="1045"/>
      <c r="I60" s="1045"/>
      <c r="J60" s="1045"/>
      <c r="K60" s="1045"/>
      <c r="L60" s="1045"/>
      <c r="M60" s="1045"/>
      <c r="N60" s="1045"/>
      <c r="O60" s="1045"/>
      <c r="P60" s="988"/>
      <c r="Q60" s="988"/>
      <c r="R60" s="1047"/>
      <c r="S60" s="1047"/>
      <c r="T60" s="1047"/>
      <c r="U60" s="987"/>
      <c r="V60" s="987"/>
      <c r="W60" s="990"/>
      <c r="X60" s="987"/>
      <c r="Y60" s="987"/>
      <c r="Z60" s="987"/>
      <c r="AA60" s="987"/>
      <c r="AB60" s="987"/>
      <c r="AC60" s="987"/>
      <c r="AD60" s="987"/>
      <c r="AE60" s="987"/>
      <c r="AF60" s="987"/>
      <c r="AG60" s="987"/>
      <c r="AH60" s="988"/>
      <c r="AI60" s="988"/>
      <c r="AJ60" s="989"/>
      <c r="AK60" s="989"/>
      <c r="AL60" s="989"/>
    </row>
    <row r="61" spans="3:38" s="1014" customFormat="1" ht="19.5" customHeight="1" x14ac:dyDescent="0.2">
      <c r="C61" s="3058"/>
      <c r="D61" s="3058"/>
      <c r="E61" s="1046"/>
      <c r="F61" s="1046"/>
      <c r="G61" s="1046"/>
      <c r="H61" s="1046"/>
      <c r="I61" s="1046"/>
      <c r="J61" s="1046"/>
      <c r="K61" s="1046"/>
      <c r="L61" s="1046"/>
      <c r="M61" s="1046"/>
      <c r="N61" s="1046"/>
      <c r="O61" s="1046" t="s">
        <v>27941</v>
      </c>
      <c r="P61" s="1046"/>
      <c r="Q61" s="1827" t="s">
        <v>29678</v>
      </c>
      <c r="R61" s="1046"/>
      <c r="S61" s="1046"/>
      <c r="T61" s="1046"/>
      <c r="U61" s="3054"/>
      <c r="V61" s="3054"/>
      <c r="W61" s="990"/>
      <c r="X61" s="990"/>
      <c r="Y61" s="990"/>
      <c r="Z61" s="990"/>
      <c r="AA61" s="990"/>
      <c r="AB61" s="990"/>
      <c r="AC61" s="990"/>
      <c r="AD61" s="990"/>
      <c r="AE61" s="990"/>
      <c r="AF61" s="990"/>
      <c r="AG61" s="990"/>
      <c r="AH61" s="990"/>
      <c r="AI61" s="990"/>
      <c r="AJ61" s="990"/>
      <c r="AK61" s="990"/>
      <c r="AL61" s="1049"/>
    </row>
    <row r="62" spans="3:38" s="1014" customFormat="1" ht="18" x14ac:dyDescent="0.2">
      <c r="C62" s="3058"/>
      <c r="D62" s="3058"/>
      <c r="E62" s="1048"/>
      <c r="F62" s="1048"/>
      <c r="G62" s="1048"/>
      <c r="H62" s="1048"/>
      <c r="I62" s="1048"/>
      <c r="J62" s="1048"/>
      <c r="K62" s="1048"/>
      <c r="L62" s="1048"/>
      <c r="M62" s="1048"/>
      <c r="N62" s="1048"/>
      <c r="O62" s="1048"/>
      <c r="P62" s="1048"/>
      <c r="Q62" s="1827" t="s">
        <v>29679</v>
      </c>
      <c r="R62" s="1048"/>
      <c r="S62" s="1048"/>
      <c r="T62" s="1048"/>
      <c r="U62" s="3054"/>
      <c r="V62" s="3054"/>
      <c r="W62" s="1048"/>
      <c r="X62" s="1048"/>
      <c r="Y62" s="1826"/>
      <c r="Z62" s="1048"/>
      <c r="AA62" s="1048"/>
      <c r="AB62" s="1048"/>
      <c r="AC62" s="1048"/>
      <c r="AD62" s="1048"/>
      <c r="AE62" s="1048"/>
      <c r="AF62" s="1048"/>
      <c r="AG62" s="1048"/>
      <c r="AH62" s="1048"/>
      <c r="AI62" s="1048"/>
      <c r="AJ62" s="1048"/>
      <c r="AK62" s="1048"/>
      <c r="AL62" s="1049"/>
    </row>
    <row r="63" spans="3:38" s="1014" customFormat="1" ht="15.75" x14ac:dyDescent="0.2">
      <c r="C63" s="1048"/>
      <c r="D63" s="1050"/>
      <c r="E63" s="1048"/>
      <c r="F63" s="1048"/>
      <c r="G63" s="1048"/>
      <c r="H63" s="1048"/>
      <c r="I63" s="1048"/>
      <c r="J63" s="1048"/>
      <c r="K63" s="1048"/>
      <c r="L63" s="1048"/>
      <c r="M63" s="1048"/>
      <c r="N63" s="1048"/>
      <c r="O63" s="1048"/>
      <c r="P63" s="1048"/>
      <c r="Q63" s="1048"/>
      <c r="R63" s="1048"/>
      <c r="S63" s="1048"/>
      <c r="T63" s="1048"/>
      <c r="U63" s="3054"/>
      <c r="V63" s="3054"/>
      <c r="W63" s="1048"/>
      <c r="X63" s="1048"/>
      <c r="Y63" s="1826"/>
      <c r="Z63" s="1048"/>
      <c r="AA63" s="1048"/>
      <c r="AB63" s="1048"/>
      <c r="AC63" s="1048"/>
      <c r="AD63" s="1048"/>
      <c r="AE63" s="1048"/>
      <c r="AF63" s="1048"/>
      <c r="AG63" s="1048"/>
      <c r="AH63" s="1048"/>
      <c r="AI63" s="1048"/>
      <c r="AJ63" s="1048"/>
      <c r="AK63" s="1048"/>
      <c r="AL63" s="1049"/>
    </row>
    <row r="64" spans="3:38" s="1014" customFormat="1" ht="19.5" x14ac:dyDescent="0.2">
      <c r="C64" s="1051"/>
      <c r="D64" s="1051"/>
      <c r="E64" s="1048"/>
      <c r="F64" s="1048"/>
      <c r="G64" s="1048"/>
      <c r="H64" s="1048"/>
      <c r="I64" s="1048"/>
      <c r="J64" s="1048"/>
      <c r="K64" s="1048"/>
      <c r="L64" s="1048"/>
      <c r="M64" s="1048"/>
      <c r="N64" s="1048"/>
      <c r="O64" s="1048"/>
      <c r="P64" s="1048"/>
      <c r="Q64" s="1048"/>
      <c r="R64" s="1048"/>
      <c r="S64" s="1048"/>
      <c r="T64" s="1048"/>
      <c r="U64" s="3054"/>
      <c r="V64" s="3054"/>
      <c r="W64" s="1048"/>
      <c r="X64" s="1048"/>
      <c r="Y64" s="1048"/>
      <c r="Z64" s="1048"/>
      <c r="AA64" s="1048"/>
      <c r="AB64" s="1048"/>
      <c r="AC64" s="1048"/>
      <c r="AD64" s="1048"/>
      <c r="AE64" s="1048"/>
      <c r="AF64" s="1048"/>
      <c r="AG64" s="1048"/>
      <c r="AH64" s="1048"/>
      <c r="AI64" s="1048"/>
      <c r="AJ64" s="1048"/>
      <c r="AK64" s="1048"/>
      <c r="AL64" s="1049"/>
    </row>
    <row r="65" spans="3:38" s="1014" customFormat="1" ht="15.75" x14ac:dyDescent="0.25">
      <c r="C65" s="3051"/>
      <c r="D65" s="3051"/>
      <c r="E65" s="1048"/>
      <c r="F65" s="1048"/>
      <c r="G65" s="1048"/>
      <c r="H65" s="1048"/>
      <c r="I65" s="1048"/>
      <c r="J65" s="1048"/>
      <c r="K65" s="1048"/>
      <c r="L65" s="1048"/>
      <c r="M65" s="1048"/>
      <c r="N65" s="1048"/>
      <c r="O65" s="1048"/>
      <c r="P65" s="1048"/>
      <c r="Q65" s="1048"/>
      <c r="R65" s="1048"/>
      <c r="S65" s="1048"/>
      <c r="T65" s="1048"/>
      <c r="U65" s="3055"/>
      <c r="V65" s="3055"/>
      <c r="W65" s="1048"/>
      <c r="X65" s="1048"/>
      <c r="Y65" s="1048"/>
      <c r="Z65" s="1048"/>
      <c r="AA65" s="1048"/>
      <c r="AB65" s="1048"/>
      <c r="AC65" s="1048"/>
      <c r="AD65" s="1048"/>
      <c r="AE65" s="1048"/>
      <c r="AF65" s="1048"/>
      <c r="AG65" s="1048"/>
      <c r="AH65" s="1048"/>
      <c r="AI65" s="1048"/>
      <c r="AJ65" s="1048"/>
      <c r="AK65" s="1048"/>
      <c r="AL65" s="1049"/>
    </row>
    <row r="66" spans="3:38" s="1014" customFormat="1" ht="15.75" customHeight="1" x14ac:dyDescent="0.25">
      <c r="C66" s="3051"/>
      <c r="D66" s="3051"/>
      <c r="E66" s="1052"/>
      <c r="F66" s="1052"/>
      <c r="G66" s="1052"/>
      <c r="H66" s="1053"/>
      <c r="I66" s="1053"/>
      <c r="J66" s="1053"/>
      <c r="K66" s="1053"/>
      <c r="L66" s="1053"/>
      <c r="M66" s="1053"/>
      <c r="N66" s="1053"/>
      <c r="O66" s="1053"/>
      <c r="P66" s="1053"/>
      <c r="Q66" s="1053"/>
      <c r="R66" s="1053"/>
      <c r="S66" s="1053"/>
      <c r="T66" s="1053"/>
      <c r="U66" s="1054"/>
      <c r="V66" s="1013"/>
      <c r="W66" s="1054"/>
      <c r="X66" s="1049"/>
      <c r="Y66" s="1049"/>
      <c r="Z66" s="1049"/>
      <c r="AA66" s="1049"/>
      <c r="AB66" s="1049"/>
      <c r="AC66" s="1049"/>
      <c r="AD66" s="1049"/>
      <c r="AE66" s="1049"/>
      <c r="AF66" s="1049"/>
      <c r="AG66" s="1049"/>
      <c r="AH66" s="1049"/>
      <c r="AI66" s="1049"/>
      <c r="AJ66" s="1049"/>
      <c r="AK66" s="1049"/>
      <c r="AL66" s="1049"/>
    </row>
    <row r="67" spans="3:38" s="1014" customFormat="1" ht="15.75" x14ac:dyDescent="0.25">
      <c r="C67" s="3051"/>
      <c r="D67" s="3051"/>
      <c r="E67" s="1052"/>
      <c r="F67" s="1052"/>
      <c r="G67" s="1052"/>
      <c r="H67" s="1053"/>
      <c r="I67" s="1053"/>
      <c r="J67" s="1053"/>
      <c r="K67" s="1053"/>
      <c r="L67" s="1053"/>
      <c r="M67" s="1053"/>
      <c r="N67" s="1053"/>
      <c r="O67" s="1053"/>
      <c r="P67" s="1053"/>
      <c r="Q67" s="1053"/>
      <c r="R67" s="1053"/>
      <c r="S67" s="1053"/>
      <c r="T67" s="1053"/>
      <c r="U67" s="1054"/>
      <c r="V67" s="1013"/>
      <c r="W67" s="1054"/>
      <c r="X67" s="1049"/>
      <c r="Y67" s="1049"/>
      <c r="Z67" s="1049"/>
      <c r="AA67" s="1049"/>
      <c r="AB67" s="1049"/>
      <c r="AC67" s="1049"/>
      <c r="AD67" s="1049"/>
      <c r="AE67" s="1049"/>
      <c r="AF67" s="1049"/>
      <c r="AG67" s="1049"/>
      <c r="AH67" s="1049"/>
      <c r="AI67" s="1049"/>
      <c r="AJ67" s="1049"/>
      <c r="AK67" s="1049"/>
      <c r="AL67" s="1049"/>
    </row>
    <row r="68" spans="3:38" s="1014" customFormat="1" ht="15.75" x14ac:dyDescent="0.25">
      <c r="C68" s="3051"/>
      <c r="D68" s="3051"/>
      <c r="E68" s="1052"/>
      <c r="F68" s="1052"/>
      <c r="G68" s="1052"/>
      <c r="H68" s="1053"/>
      <c r="I68" s="1053"/>
      <c r="J68" s="1053"/>
      <c r="K68" s="1053"/>
      <c r="L68" s="1053"/>
      <c r="M68" s="1053"/>
      <c r="N68" s="1053"/>
      <c r="O68" s="1053"/>
      <c r="P68" s="1053"/>
      <c r="Q68" s="1053"/>
      <c r="R68" s="1053"/>
      <c r="S68" s="1053"/>
      <c r="T68" s="1053"/>
      <c r="U68" s="1054"/>
      <c r="V68" s="1013"/>
      <c r="W68" s="1054"/>
      <c r="X68" s="1049"/>
      <c r="Y68" s="1049"/>
      <c r="Z68" s="1049"/>
      <c r="AA68" s="1049"/>
      <c r="AB68" s="1049"/>
      <c r="AC68" s="1049"/>
      <c r="AD68" s="1049"/>
      <c r="AE68" s="1049"/>
      <c r="AF68" s="1049"/>
      <c r="AG68" s="1049"/>
      <c r="AH68" s="1049"/>
      <c r="AI68" s="1049"/>
      <c r="AJ68" s="1049"/>
      <c r="AK68" s="1049"/>
      <c r="AL68" s="1049"/>
    </row>
    <row r="69" spans="3:38" s="1014" customFormat="1" ht="15.75" x14ac:dyDescent="0.25">
      <c r="C69" s="3051"/>
      <c r="D69" s="3051"/>
      <c r="E69" s="1052"/>
      <c r="F69" s="1052"/>
      <c r="G69" s="1052"/>
      <c r="H69" s="1053"/>
      <c r="I69" s="1053"/>
      <c r="J69" s="1053"/>
      <c r="K69" s="1053"/>
      <c r="L69" s="1053"/>
      <c r="M69" s="1053"/>
      <c r="N69" s="1053"/>
      <c r="O69" s="1053"/>
      <c r="P69" s="1053"/>
      <c r="Q69" s="1053"/>
      <c r="R69" s="1053"/>
      <c r="S69" s="1053"/>
      <c r="T69" s="1053"/>
      <c r="U69" s="1054"/>
      <c r="V69" s="1013"/>
      <c r="W69" s="1054"/>
      <c r="X69" s="1049"/>
      <c r="Y69" s="1049"/>
      <c r="Z69" s="1049"/>
      <c r="AA69" s="1049"/>
      <c r="AB69" s="1049"/>
      <c r="AC69" s="1049"/>
      <c r="AD69" s="1049"/>
      <c r="AE69" s="1049"/>
      <c r="AF69" s="1049"/>
      <c r="AG69" s="1049"/>
      <c r="AH69" s="1049"/>
      <c r="AI69" s="1049"/>
      <c r="AJ69" s="1049"/>
      <c r="AK69" s="1049"/>
      <c r="AL69" s="1049"/>
    </row>
    <row r="70" spans="3:38" s="1014" customFormat="1" ht="330" customHeight="1" x14ac:dyDescent="0.3">
      <c r="V70" s="1013"/>
      <c r="W70" s="1054"/>
      <c r="X70" s="1049"/>
      <c r="Y70" s="1055"/>
      <c r="Z70" s="1049"/>
      <c r="AA70" s="1049"/>
      <c r="AB70" s="1049"/>
      <c r="AC70" s="1049"/>
      <c r="AD70" s="1049"/>
      <c r="AE70" s="1049"/>
      <c r="AF70" s="1049"/>
      <c r="AG70" s="1049"/>
      <c r="AH70" s="1049"/>
      <c r="AI70" s="1049"/>
      <c r="AJ70" s="1049"/>
      <c r="AK70" s="1049"/>
      <c r="AL70" s="1049"/>
    </row>
    <row r="71" spans="3:38" s="1014" customFormat="1" ht="9.75" customHeight="1" x14ac:dyDescent="0.25">
      <c r="C71" s="3051"/>
      <c r="D71" s="3051"/>
      <c r="E71" s="1052"/>
      <c r="F71" s="1052"/>
      <c r="G71" s="1052"/>
      <c r="H71" s="1052"/>
      <c r="I71" s="1052"/>
      <c r="J71" s="1052"/>
      <c r="K71" s="1052"/>
      <c r="L71" s="1052"/>
      <c r="M71" s="1052"/>
      <c r="N71" s="1052"/>
      <c r="O71" s="1052"/>
      <c r="P71" s="1052"/>
      <c r="Q71" s="1052"/>
      <c r="R71" s="1052"/>
      <c r="S71" s="1052"/>
      <c r="T71" s="1052"/>
      <c r="U71" s="1054"/>
      <c r="V71" s="1013"/>
      <c r="W71" s="1054"/>
      <c r="X71" s="1049"/>
      <c r="Y71" s="1049"/>
      <c r="Z71" s="1049"/>
      <c r="AA71" s="1049"/>
      <c r="AB71" s="1049"/>
      <c r="AC71" s="1049"/>
      <c r="AD71" s="1049"/>
      <c r="AE71" s="1049"/>
      <c r="AF71" s="1049"/>
      <c r="AG71" s="1049"/>
      <c r="AH71" s="1049"/>
      <c r="AI71" s="1049"/>
      <c r="AJ71" s="1049"/>
      <c r="AK71" s="1049"/>
      <c r="AL71" s="1049"/>
    </row>
    <row r="72" spans="3:38" s="1014" customFormat="1" ht="15.75" hidden="1" x14ac:dyDescent="0.25">
      <c r="C72" s="3051"/>
      <c r="D72" s="3051"/>
      <c r="E72" s="1052"/>
      <c r="F72" s="1052"/>
      <c r="G72" s="1052"/>
      <c r="H72" s="1052"/>
      <c r="I72" s="1052"/>
      <c r="J72" s="1052"/>
      <c r="K72" s="1052"/>
      <c r="L72" s="1052"/>
      <c r="M72" s="1052"/>
      <c r="N72" s="1052"/>
      <c r="O72" s="1052"/>
      <c r="P72" s="1052"/>
      <c r="Q72" s="1052"/>
      <c r="R72" s="1052"/>
      <c r="S72" s="1052"/>
      <c r="T72" s="1052"/>
      <c r="U72" s="1054"/>
      <c r="V72" s="1013"/>
      <c r="W72" s="1054"/>
      <c r="X72" s="1049"/>
      <c r="Y72" s="1049"/>
      <c r="Z72" s="1049"/>
      <c r="AA72" s="1049"/>
      <c r="AB72" s="1049"/>
      <c r="AC72" s="1049"/>
      <c r="AD72" s="1049"/>
      <c r="AE72" s="1049"/>
      <c r="AF72" s="1049"/>
      <c r="AG72" s="1049"/>
      <c r="AH72" s="1049"/>
      <c r="AI72" s="1049"/>
      <c r="AJ72" s="1049"/>
      <c r="AK72" s="1049"/>
      <c r="AL72" s="1049"/>
    </row>
    <row r="73" spans="3:38" s="1014" customFormat="1" ht="56.25" customHeight="1" x14ac:dyDescent="0.4">
      <c r="C73" s="3053" t="s">
        <v>27937</v>
      </c>
      <c r="D73" s="3053"/>
      <c r="E73" s="3053"/>
      <c r="F73" s="3053"/>
      <c r="G73" s="3053"/>
      <c r="H73" s="3053"/>
      <c r="I73" s="3053"/>
      <c r="J73" s="3053"/>
      <c r="K73" s="3053"/>
      <c r="L73" s="3053"/>
      <c r="M73" s="3053"/>
      <c r="N73" s="3053"/>
      <c r="O73" s="3053"/>
      <c r="P73" s="3053"/>
      <c r="Q73" s="3053"/>
      <c r="R73" s="3053"/>
      <c r="S73" s="3053"/>
      <c r="T73" s="3053"/>
      <c r="U73" s="3053"/>
      <c r="V73" s="1013"/>
      <c r="W73" s="1054"/>
      <c r="X73" s="1049"/>
      <c r="Y73" s="1049"/>
      <c r="Z73" s="1049"/>
      <c r="AA73" s="1049"/>
      <c r="AB73" s="1049"/>
      <c r="AC73" s="1049"/>
      <c r="AD73" s="1049"/>
      <c r="AE73" s="1049"/>
      <c r="AF73" s="1049"/>
      <c r="AG73" s="1049"/>
      <c r="AH73" s="1049"/>
      <c r="AI73" s="1049"/>
      <c r="AJ73" s="1049"/>
      <c r="AK73" s="1049"/>
      <c r="AL73" s="1049"/>
    </row>
    <row r="74" spans="3:38" s="1014" customFormat="1" ht="15.75" x14ac:dyDescent="0.25">
      <c r="C74" s="3051"/>
      <c r="D74" s="3051"/>
      <c r="E74" s="1052"/>
      <c r="F74" s="1052"/>
      <c r="G74" s="1052"/>
      <c r="H74" s="1052"/>
      <c r="I74" s="1052"/>
      <c r="J74" s="1052"/>
      <c r="K74" s="1052"/>
      <c r="L74" s="1052"/>
      <c r="M74" s="1052"/>
      <c r="N74" s="1052"/>
      <c r="O74" s="1052"/>
      <c r="P74" s="1052"/>
      <c r="Q74" s="1052"/>
      <c r="R74" s="1052"/>
      <c r="S74" s="1052"/>
      <c r="T74" s="1052"/>
      <c r="U74" s="1054"/>
      <c r="V74" s="1013"/>
      <c r="W74" s="1054"/>
      <c r="X74" s="1049"/>
      <c r="Y74" s="1049"/>
      <c r="Z74" s="1049"/>
      <c r="AA74" s="1049"/>
      <c r="AB74" s="1049"/>
      <c r="AC74" s="1049"/>
      <c r="AD74" s="1049"/>
      <c r="AE74" s="1049"/>
      <c r="AF74" s="1049"/>
      <c r="AG74" s="1049"/>
      <c r="AH74" s="1049"/>
      <c r="AI74" s="1049"/>
      <c r="AJ74" s="1049"/>
      <c r="AK74" s="1049"/>
      <c r="AL74" s="1049"/>
    </row>
    <row r="75" spans="3:38" s="1014" customFormat="1" ht="15.75" x14ac:dyDescent="0.25">
      <c r="C75" s="3051"/>
      <c r="D75" s="3051"/>
      <c r="E75" s="1052"/>
      <c r="F75" s="1052"/>
      <c r="G75" s="1052"/>
      <c r="H75" s="1052"/>
      <c r="I75" s="1052"/>
      <c r="J75" s="1052"/>
      <c r="K75" s="1052"/>
      <c r="L75" s="1052"/>
      <c r="M75" s="1052"/>
      <c r="N75" s="1052"/>
      <c r="O75" s="1052"/>
      <c r="P75" s="1052"/>
      <c r="Q75" s="1052"/>
      <c r="R75" s="1052"/>
      <c r="S75" s="1052"/>
      <c r="T75" s="1052"/>
      <c r="U75" s="1054"/>
      <c r="V75" s="1013"/>
      <c r="W75" s="1054"/>
      <c r="X75" s="1049"/>
      <c r="Y75" s="1049"/>
      <c r="Z75" s="1049"/>
      <c r="AA75" s="1049"/>
      <c r="AB75" s="1049"/>
      <c r="AC75" s="1049"/>
      <c r="AD75" s="1049"/>
      <c r="AE75" s="1049"/>
      <c r="AF75" s="1049"/>
      <c r="AG75" s="1049"/>
      <c r="AH75" s="1049"/>
      <c r="AI75" s="1049"/>
      <c r="AJ75" s="1049"/>
      <c r="AK75" s="1049"/>
      <c r="AL75" s="1049"/>
    </row>
    <row r="76" spans="3:38" s="1014" customFormat="1" ht="15.75" x14ac:dyDescent="0.25">
      <c r="C76" s="3051"/>
      <c r="D76" s="3051"/>
      <c r="E76" s="1052"/>
      <c r="F76" s="1052"/>
      <c r="G76" s="1052"/>
      <c r="H76" s="1052"/>
      <c r="I76" s="1052"/>
      <c r="J76" s="1052"/>
      <c r="K76" s="1052"/>
      <c r="L76" s="1052"/>
      <c r="M76" s="1052"/>
      <c r="N76" s="1052"/>
      <c r="O76" s="1052"/>
      <c r="P76" s="1052"/>
      <c r="Q76" s="1052"/>
      <c r="R76" s="1052"/>
      <c r="S76" s="1052"/>
      <c r="T76" s="1052"/>
      <c r="U76" s="1054"/>
      <c r="V76" s="1013"/>
      <c r="W76" s="1054"/>
      <c r="X76" s="1049"/>
      <c r="Y76" s="1049"/>
      <c r="Z76" s="1049"/>
      <c r="AA76" s="1049"/>
      <c r="AB76" s="1049"/>
      <c r="AC76" s="1049"/>
      <c r="AD76" s="1049"/>
      <c r="AE76" s="1049"/>
      <c r="AF76" s="1049"/>
      <c r="AG76" s="1049"/>
      <c r="AH76" s="1049"/>
      <c r="AI76" s="1049"/>
      <c r="AJ76" s="1049"/>
      <c r="AK76" s="1049"/>
      <c r="AL76" s="1049"/>
    </row>
    <row r="77" spans="3:38" s="1014" customFormat="1" ht="15.75" x14ac:dyDescent="0.25">
      <c r="C77" s="3051"/>
      <c r="D77" s="3051"/>
      <c r="E77" s="1052"/>
      <c r="F77" s="1052"/>
      <c r="G77" s="1052"/>
      <c r="H77" s="1052"/>
      <c r="I77" s="1052"/>
      <c r="J77" s="1052"/>
      <c r="K77" s="1052"/>
      <c r="L77" s="1052"/>
      <c r="M77" s="1052"/>
      <c r="N77" s="1052"/>
      <c r="O77" s="1052"/>
      <c r="P77" s="1052"/>
      <c r="Q77" s="1052"/>
      <c r="R77" s="1052"/>
      <c r="S77" s="1052"/>
      <c r="T77" s="1052"/>
      <c r="U77" s="1054"/>
      <c r="V77" s="1013"/>
      <c r="W77" s="1054"/>
      <c r="X77" s="1049"/>
      <c r="Y77" s="1049"/>
      <c r="Z77" s="1049"/>
      <c r="AA77" s="1049"/>
      <c r="AB77" s="1049"/>
      <c r="AC77" s="1049"/>
      <c r="AD77" s="1049"/>
      <c r="AE77" s="1049"/>
      <c r="AF77" s="1049"/>
      <c r="AG77" s="1049"/>
      <c r="AH77" s="1049"/>
      <c r="AI77" s="1049"/>
      <c r="AJ77" s="1049"/>
      <c r="AK77" s="1049"/>
      <c r="AL77" s="1049"/>
    </row>
    <row r="78" spans="3:38" s="1014" customFormat="1" ht="25.5" customHeight="1" x14ac:dyDescent="0.25">
      <c r="C78" s="3051"/>
      <c r="D78" s="3051"/>
      <c r="E78" s="3051"/>
      <c r="F78" s="3051"/>
      <c r="G78" s="3051"/>
      <c r="H78" s="3051"/>
      <c r="I78" s="3051"/>
      <c r="J78" s="3051"/>
      <c r="K78" s="3051"/>
      <c r="L78" s="3051"/>
      <c r="M78" s="3051"/>
      <c r="N78" s="3051"/>
      <c r="O78" s="3051"/>
      <c r="P78" s="3051"/>
      <c r="Q78" s="3051"/>
      <c r="R78" s="3051"/>
      <c r="S78" s="3051"/>
      <c r="T78" s="1056"/>
      <c r="U78" s="1054"/>
      <c r="V78" s="1013"/>
      <c r="W78" s="1054"/>
      <c r="X78" s="1049"/>
      <c r="Y78" s="1049"/>
      <c r="Z78" s="1049"/>
      <c r="AA78" s="1049"/>
      <c r="AB78" s="1049"/>
      <c r="AC78" s="1049"/>
      <c r="AD78" s="1049"/>
      <c r="AE78" s="1049"/>
      <c r="AF78" s="1049"/>
      <c r="AG78" s="1049"/>
      <c r="AH78" s="1049"/>
      <c r="AI78" s="1049"/>
      <c r="AJ78" s="1049"/>
      <c r="AK78" s="1049"/>
      <c r="AL78" s="1049"/>
    </row>
    <row r="79" spans="3:38" s="1014" customFormat="1" ht="25.5" customHeight="1" x14ac:dyDescent="0.25">
      <c r="C79" s="1053"/>
      <c r="D79" s="1053"/>
      <c r="E79" s="1053"/>
      <c r="F79" s="1053"/>
      <c r="G79" s="1053"/>
      <c r="H79" s="1053"/>
      <c r="I79" s="1053"/>
      <c r="J79" s="1053"/>
      <c r="K79" s="1053"/>
      <c r="L79" s="1053"/>
      <c r="M79" s="1053"/>
      <c r="N79" s="1053"/>
      <c r="O79" s="1053"/>
      <c r="P79" s="1053"/>
      <c r="Q79" s="1053"/>
      <c r="R79" s="1053"/>
      <c r="S79" s="1053"/>
      <c r="T79" s="1056"/>
      <c r="U79" s="1054"/>
      <c r="V79" s="1013"/>
      <c r="W79" s="1054"/>
      <c r="X79" s="1049"/>
      <c r="Y79" s="1049"/>
      <c r="Z79" s="1049"/>
      <c r="AA79" s="1049"/>
      <c r="AB79" s="1049"/>
      <c r="AC79" s="1049"/>
      <c r="AD79" s="1049"/>
      <c r="AE79" s="1049"/>
      <c r="AF79" s="1049"/>
      <c r="AG79" s="1049"/>
      <c r="AH79" s="1049"/>
      <c r="AI79" s="1049"/>
      <c r="AJ79" s="1049"/>
      <c r="AK79" s="1049"/>
      <c r="AL79" s="1049"/>
    </row>
    <row r="80" spans="3:38" s="1014" customFormat="1" ht="15.75" x14ac:dyDescent="0.25">
      <c r="C80" s="1057"/>
      <c r="D80" s="1058"/>
      <c r="E80" s="1052"/>
      <c r="F80" s="1052"/>
      <c r="G80" s="1052"/>
      <c r="H80" s="1052"/>
      <c r="I80" s="1052"/>
      <c r="J80" s="1052"/>
      <c r="K80" s="1052"/>
      <c r="L80" s="1052"/>
      <c r="M80" s="1052"/>
      <c r="N80" s="1052"/>
      <c r="O80" s="1052"/>
      <c r="P80" s="1052"/>
      <c r="Q80" s="1052"/>
      <c r="R80" s="1052"/>
      <c r="S80" s="1052"/>
      <c r="T80" s="1052"/>
      <c r="U80" s="1054"/>
      <c r="V80" s="1013"/>
      <c r="W80" s="1054"/>
      <c r="X80" s="1049"/>
      <c r="Y80" s="1049"/>
      <c r="Z80" s="1049"/>
      <c r="AA80" s="1049"/>
      <c r="AB80" s="1049"/>
      <c r="AC80" s="1049"/>
      <c r="AD80" s="1049"/>
      <c r="AE80" s="1049"/>
      <c r="AF80" s="1049"/>
      <c r="AG80" s="1049"/>
      <c r="AH80" s="1049"/>
      <c r="AI80" s="1049"/>
      <c r="AJ80" s="1049"/>
      <c r="AK80" s="1049"/>
      <c r="AL80" s="1049"/>
    </row>
    <row r="81" spans="3:38" s="1014" customFormat="1" ht="19.5" customHeight="1" x14ac:dyDescent="0.25">
      <c r="C81" s="1053"/>
      <c r="D81" s="1053"/>
      <c r="E81" s="1053"/>
      <c r="F81" s="1053"/>
      <c r="G81" s="1053"/>
      <c r="H81" s="1053"/>
      <c r="I81" s="1053"/>
      <c r="J81" s="1053"/>
      <c r="K81" s="1053"/>
      <c r="L81" s="1053"/>
      <c r="M81" s="1053"/>
      <c r="N81" s="1053"/>
      <c r="O81" s="1053"/>
      <c r="P81" s="1053"/>
      <c r="Q81" s="1053"/>
      <c r="R81" s="1053"/>
      <c r="S81" s="1053"/>
      <c r="T81" s="1053"/>
      <c r="U81" s="1053"/>
      <c r="V81" s="1013"/>
      <c r="W81" s="1054"/>
      <c r="X81" s="1049"/>
      <c r="Y81" s="1049"/>
      <c r="Z81" s="1049"/>
      <c r="AA81" s="1049"/>
      <c r="AB81" s="1049"/>
      <c r="AC81" s="1049"/>
      <c r="AD81" s="1049"/>
      <c r="AE81" s="1049"/>
      <c r="AF81" s="1049"/>
      <c r="AG81" s="1049"/>
      <c r="AH81" s="1049"/>
      <c r="AI81" s="1049"/>
      <c r="AJ81" s="1049"/>
      <c r="AK81" s="1049"/>
      <c r="AL81" s="1049"/>
    </row>
    <row r="82" spans="3:38" s="1014" customFormat="1" ht="20.100000000000001" customHeight="1" x14ac:dyDescent="0.25">
      <c r="C82" s="1053"/>
      <c r="D82" s="1053"/>
      <c r="E82" s="1053"/>
      <c r="F82" s="1053"/>
      <c r="G82" s="1053"/>
      <c r="H82" s="1053"/>
      <c r="I82" s="1053"/>
      <c r="J82" s="1053"/>
      <c r="K82" s="1053"/>
      <c r="L82" s="1053"/>
      <c r="M82" s="1053"/>
      <c r="N82" s="1053"/>
      <c r="O82" s="1053"/>
      <c r="P82" s="1053"/>
      <c r="Q82" s="1053"/>
      <c r="R82" s="1053"/>
      <c r="S82" s="1053"/>
      <c r="T82" s="1053"/>
      <c r="U82" s="1053"/>
      <c r="V82" s="1013"/>
      <c r="W82" s="1054"/>
      <c r="X82" s="1049"/>
      <c r="Y82" s="1049"/>
      <c r="Z82" s="1049"/>
      <c r="AA82" s="1049"/>
      <c r="AB82" s="1049"/>
      <c r="AC82" s="1049"/>
      <c r="AD82" s="1049"/>
      <c r="AE82" s="1049"/>
      <c r="AF82" s="1049"/>
      <c r="AG82" s="1049"/>
      <c r="AH82" s="1049"/>
      <c r="AI82" s="1049"/>
      <c r="AJ82" s="1049"/>
      <c r="AK82" s="1049"/>
      <c r="AL82" s="1049"/>
    </row>
    <row r="83" spans="3:38" s="1014" customFormat="1" ht="20.100000000000001" customHeight="1" x14ac:dyDescent="0.25">
      <c r="C83" s="1053"/>
      <c r="D83" s="1053"/>
      <c r="E83" s="1053"/>
      <c r="F83" s="1053"/>
      <c r="G83" s="1053"/>
      <c r="H83" s="1053"/>
      <c r="I83" s="1053"/>
      <c r="J83" s="1053"/>
      <c r="K83" s="1053"/>
      <c r="L83" s="1053"/>
      <c r="M83" s="1053"/>
      <c r="N83" s="1053"/>
      <c r="O83" s="1053"/>
      <c r="P83" s="1053"/>
      <c r="Q83" s="1053"/>
      <c r="R83" s="1053"/>
      <c r="S83" s="1053"/>
      <c r="T83" s="1053"/>
      <c r="U83" s="1053"/>
      <c r="V83" s="1013"/>
      <c r="W83" s="1054"/>
      <c r="X83" s="1049"/>
      <c r="Y83" s="1049"/>
      <c r="Z83" s="1049"/>
      <c r="AA83" s="1049"/>
      <c r="AB83" s="1049"/>
      <c r="AC83" s="1049"/>
      <c r="AD83" s="1049"/>
      <c r="AE83" s="1049"/>
      <c r="AF83" s="1049"/>
      <c r="AG83" s="1049"/>
      <c r="AH83" s="1049"/>
      <c r="AI83" s="1049"/>
      <c r="AJ83" s="1049"/>
      <c r="AK83" s="1049"/>
      <c r="AL83" s="1049"/>
    </row>
    <row r="84" spans="3:38" s="1014" customFormat="1" ht="20.100000000000001" customHeight="1" x14ac:dyDescent="0.25">
      <c r="C84" s="1053"/>
      <c r="D84" s="1053"/>
      <c r="E84" s="1053"/>
      <c r="F84" s="1053"/>
      <c r="G84" s="1053"/>
      <c r="H84" s="1053"/>
      <c r="I84" s="1053"/>
      <c r="J84" s="1053"/>
      <c r="K84" s="1053"/>
      <c r="L84" s="1053"/>
      <c r="M84" s="1053"/>
      <c r="N84" s="1053"/>
      <c r="O84" s="1053"/>
      <c r="P84" s="1053"/>
      <c r="Q84" s="1053"/>
      <c r="R84" s="1053"/>
      <c r="S84" s="1053"/>
      <c r="T84" s="1053"/>
      <c r="U84" s="1053"/>
      <c r="V84" s="1013"/>
      <c r="W84" s="1054"/>
      <c r="X84" s="1049"/>
      <c r="Y84" s="1049"/>
      <c r="Z84" s="1049"/>
      <c r="AA84" s="1049"/>
      <c r="AB84" s="1049"/>
      <c r="AC84" s="1049"/>
      <c r="AD84" s="1049"/>
      <c r="AE84" s="1049"/>
      <c r="AF84" s="1049"/>
      <c r="AG84" s="1049"/>
      <c r="AH84" s="1049"/>
      <c r="AI84" s="1049"/>
      <c r="AJ84" s="1049"/>
      <c r="AK84" s="1049"/>
      <c r="AL84" s="1049"/>
    </row>
    <row r="85" spans="3:38" s="1014" customFormat="1" ht="20.100000000000001" customHeight="1" x14ac:dyDescent="0.25">
      <c r="C85" s="1053"/>
      <c r="D85" s="1053"/>
      <c r="E85" s="1053"/>
      <c r="F85" s="1053"/>
      <c r="G85" s="1053"/>
      <c r="H85" s="1053"/>
      <c r="I85" s="1053"/>
      <c r="J85" s="1053"/>
      <c r="K85" s="1053"/>
      <c r="L85" s="1053"/>
      <c r="M85" s="1053"/>
      <c r="N85" s="1053"/>
      <c r="O85" s="1053"/>
      <c r="P85" s="1053"/>
      <c r="Q85" s="1053"/>
      <c r="R85" s="1053"/>
      <c r="S85" s="1053"/>
      <c r="T85" s="1053"/>
      <c r="U85" s="1053"/>
      <c r="V85" s="1013"/>
      <c r="W85" s="1054"/>
      <c r="X85" s="1049"/>
      <c r="Y85" s="1049"/>
      <c r="Z85" s="1049"/>
      <c r="AA85" s="1049"/>
      <c r="AB85" s="1049"/>
      <c r="AC85" s="1049"/>
      <c r="AD85" s="1049"/>
      <c r="AE85" s="1049"/>
      <c r="AF85" s="1049"/>
      <c r="AG85" s="1049"/>
      <c r="AH85" s="1049"/>
      <c r="AI85" s="1049"/>
      <c r="AJ85" s="1049"/>
      <c r="AK85" s="1049"/>
      <c r="AL85" s="1049"/>
    </row>
    <row r="86" spans="3:38" s="1014" customFormat="1" ht="20.100000000000001" customHeight="1" x14ac:dyDescent="0.25">
      <c r="C86" s="1053"/>
      <c r="D86" s="1053"/>
      <c r="E86" s="1053"/>
      <c r="F86" s="1053"/>
      <c r="G86" s="1053"/>
      <c r="H86" s="1053"/>
      <c r="I86" s="1053"/>
      <c r="J86" s="1053"/>
      <c r="K86" s="1053"/>
      <c r="L86" s="1053"/>
      <c r="M86" s="1053"/>
      <c r="N86" s="1053"/>
      <c r="O86" s="1053"/>
      <c r="P86" s="1053"/>
      <c r="Q86" s="1053"/>
      <c r="R86" s="1053"/>
      <c r="S86" s="1053"/>
      <c r="T86" s="1053"/>
      <c r="U86" s="1053"/>
      <c r="V86" s="1013"/>
      <c r="W86" s="1054"/>
      <c r="X86" s="1049"/>
      <c r="Y86" s="1049"/>
      <c r="Z86" s="1049"/>
      <c r="AA86" s="1049"/>
      <c r="AB86" s="1049"/>
      <c r="AC86" s="1049"/>
      <c r="AD86" s="1049"/>
      <c r="AE86" s="1049"/>
      <c r="AF86" s="1049"/>
      <c r="AG86" s="1049"/>
      <c r="AH86" s="1049"/>
      <c r="AI86" s="1049"/>
      <c r="AJ86" s="1049"/>
      <c r="AK86" s="1049"/>
      <c r="AL86" s="1049"/>
    </row>
    <row r="87" spans="3:38" s="1014" customFormat="1" ht="20.100000000000001" customHeight="1" x14ac:dyDescent="0.25">
      <c r="C87" s="1053"/>
      <c r="D87" s="1053"/>
      <c r="E87" s="1053"/>
      <c r="F87" s="1053"/>
      <c r="G87" s="1053"/>
      <c r="H87" s="1053"/>
      <c r="I87" s="1053"/>
      <c r="J87" s="1053"/>
      <c r="K87" s="1053"/>
      <c r="L87" s="1053"/>
      <c r="M87" s="1053"/>
      <c r="N87" s="1053"/>
      <c r="O87" s="1053"/>
      <c r="P87" s="1053"/>
      <c r="Q87" s="1053"/>
      <c r="R87" s="1053"/>
      <c r="S87" s="1053"/>
      <c r="T87" s="1053"/>
      <c r="U87" s="1053"/>
      <c r="V87" s="1013"/>
      <c r="W87" s="1054"/>
      <c r="X87" s="1049"/>
      <c r="Y87" s="1049"/>
      <c r="Z87" s="1049"/>
      <c r="AA87" s="1049"/>
      <c r="AB87" s="1049"/>
      <c r="AC87" s="1049"/>
      <c r="AD87" s="1049"/>
      <c r="AE87" s="1049"/>
      <c r="AF87" s="1049"/>
      <c r="AG87" s="1049"/>
      <c r="AH87" s="1049"/>
      <c r="AI87" s="1049"/>
      <c r="AJ87" s="1049"/>
      <c r="AK87" s="1049"/>
      <c r="AL87" s="1049"/>
    </row>
    <row r="88" spans="3:38" s="1014" customFormat="1" ht="20.100000000000001" customHeight="1" x14ac:dyDescent="0.25">
      <c r="C88" s="1053"/>
      <c r="D88" s="1053"/>
      <c r="E88" s="1053"/>
      <c r="F88" s="1053"/>
      <c r="G88" s="1053"/>
      <c r="H88" s="1053"/>
      <c r="I88" s="1053"/>
      <c r="J88" s="1053"/>
      <c r="K88" s="1053"/>
      <c r="L88" s="1053"/>
      <c r="M88" s="1053"/>
      <c r="N88" s="1053"/>
      <c r="O88" s="1053"/>
      <c r="P88" s="1053"/>
      <c r="Q88" s="1053"/>
      <c r="R88" s="1053"/>
      <c r="S88" s="1053"/>
      <c r="T88" s="1053"/>
      <c r="U88" s="1053"/>
      <c r="V88" s="1013"/>
      <c r="W88" s="1054"/>
      <c r="X88" s="1049"/>
      <c r="Y88" s="1049"/>
      <c r="Z88" s="1049"/>
      <c r="AA88" s="1049"/>
      <c r="AB88" s="1049"/>
      <c r="AC88" s="1049"/>
      <c r="AD88" s="1049"/>
      <c r="AE88" s="1049"/>
      <c r="AF88" s="1049"/>
      <c r="AG88" s="1049"/>
      <c r="AH88" s="1049"/>
      <c r="AI88" s="1049"/>
      <c r="AJ88" s="1049"/>
      <c r="AK88" s="1049"/>
      <c r="AL88" s="1049"/>
    </row>
    <row r="89" spans="3:38" s="1014" customFormat="1" ht="20.100000000000001" customHeight="1" x14ac:dyDescent="0.25">
      <c r="C89" s="1053"/>
      <c r="D89" s="1053"/>
      <c r="E89" s="1053"/>
      <c r="F89" s="1053"/>
      <c r="G89" s="1053"/>
      <c r="H89" s="1053"/>
      <c r="I89" s="1053"/>
      <c r="J89" s="1053"/>
      <c r="K89" s="1053"/>
      <c r="L89" s="1053"/>
      <c r="M89" s="1053"/>
      <c r="N89" s="1053"/>
      <c r="O89" s="1053"/>
      <c r="P89" s="1053"/>
      <c r="Q89" s="1053"/>
      <c r="R89" s="1053"/>
      <c r="S89" s="1053"/>
      <c r="T89" s="1053"/>
      <c r="U89" s="1053"/>
      <c r="V89" s="1013"/>
      <c r="W89" s="1054"/>
      <c r="X89" s="1049"/>
      <c r="Y89" s="1049"/>
      <c r="Z89" s="1049"/>
      <c r="AA89" s="1049"/>
      <c r="AB89" s="1049"/>
      <c r="AC89" s="1049"/>
      <c r="AD89" s="1049"/>
      <c r="AE89" s="1049"/>
      <c r="AF89" s="1049"/>
      <c r="AG89" s="1049"/>
      <c r="AH89" s="1049"/>
      <c r="AI89" s="1049"/>
      <c r="AJ89" s="1049"/>
      <c r="AK89" s="1049"/>
      <c r="AL89" s="1049"/>
    </row>
    <row r="90" spans="3:38" s="1014" customFormat="1" ht="20.100000000000001" customHeight="1" x14ac:dyDescent="0.25">
      <c r="C90" s="1053"/>
      <c r="D90" s="1053"/>
      <c r="E90" s="1053"/>
      <c r="F90" s="1053"/>
      <c r="G90" s="1053"/>
      <c r="H90" s="1053"/>
      <c r="I90" s="1053"/>
      <c r="J90" s="1053"/>
      <c r="K90" s="1053"/>
      <c r="L90" s="1053"/>
      <c r="M90" s="1053"/>
      <c r="N90" s="1053"/>
      <c r="O90" s="1053"/>
      <c r="P90" s="1053"/>
      <c r="Q90" s="1053"/>
      <c r="R90" s="1053"/>
      <c r="S90" s="1053"/>
      <c r="T90" s="1053"/>
      <c r="U90" s="1053"/>
      <c r="V90" s="1013"/>
      <c r="W90" s="1054"/>
      <c r="X90" s="1049"/>
      <c r="Y90" s="1049"/>
      <c r="Z90" s="1049"/>
      <c r="AA90" s="1049"/>
      <c r="AB90" s="1049"/>
      <c r="AC90" s="1049"/>
      <c r="AD90" s="1049"/>
      <c r="AE90" s="1049"/>
      <c r="AF90" s="1049"/>
      <c r="AG90" s="1049"/>
      <c r="AH90" s="1049"/>
      <c r="AI90" s="1049"/>
      <c r="AJ90" s="1049"/>
      <c r="AK90" s="1049"/>
      <c r="AL90" s="1049"/>
    </row>
    <row r="91" spans="3:38" s="1014" customFormat="1" ht="20.100000000000001" customHeight="1" x14ac:dyDescent="0.25">
      <c r="C91" s="1053"/>
      <c r="D91" s="1053"/>
      <c r="E91" s="1053">
        <f t="shared" ref="E91:U91" si="18">IF(AND(E17&lt;150,E29=1),25,E92)</f>
        <v>0</v>
      </c>
      <c r="F91" s="1053">
        <f t="shared" si="18"/>
        <v>0</v>
      </c>
      <c r="G91" s="1053">
        <f t="shared" si="18"/>
        <v>0</v>
      </c>
      <c r="H91" s="1053">
        <f t="shared" si="18"/>
        <v>0</v>
      </c>
      <c r="I91" s="1053">
        <f t="shared" si="18"/>
        <v>0</v>
      </c>
      <c r="J91" s="1053">
        <f t="shared" si="18"/>
        <v>0</v>
      </c>
      <c r="K91" s="1053">
        <f t="shared" si="18"/>
        <v>0</v>
      </c>
      <c r="L91" s="1053">
        <f t="shared" si="18"/>
        <v>0</v>
      </c>
      <c r="M91" s="1053">
        <f t="shared" si="18"/>
        <v>0</v>
      </c>
      <c r="N91" s="1053">
        <f t="shared" si="18"/>
        <v>0</v>
      </c>
      <c r="O91" s="1053">
        <f t="shared" si="18"/>
        <v>0</v>
      </c>
      <c r="P91" s="1053">
        <f t="shared" si="18"/>
        <v>0</v>
      </c>
      <c r="Q91" s="1053">
        <f t="shared" si="18"/>
        <v>0</v>
      </c>
      <c r="R91" s="1053">
        <f t="shared" si="18"/>
        <v>0</v>
      </c>
      <c r="S91" s="1053">
        <f t="shared" si="18"/>
        <v>0</v>
      </c>
      <c r="T91" s="1053">
        <f t="shared" si="18"/>
        <v>0</v>
      </c>
      <c r="U91" s="1053">
        <f t="shared" si="18"/>
        <v>0</v>
      </c>
      <c r="V91" s="1013"/>
      <c r="W91" s="1054"/>
      <c r="X91" s="1049"/>
      <c r="Y91" s="1049"/>
      <c r="Z91" s="1049"/>
      <c r="AA91" s="1049"/>
      <c r="AB91" s="1049"/>
      <c r="AC91" s="1049"/>
      <c r="AD91" s="1049"/>
      <c r="AE91" s="1049"/>
      <c r="AF91" s="1049"/>
      <c r="AG91" s="1049"/>
      <c r="AH91" s="1049"/>
      <c r="AI91" s="1049"/>
      <c r="AJ91" s="1049"/>
      <c r="AK91" s="1049"/>
      <c r="AL91" s="1049"/>
    </row>
    <row r="92" spans="3:38" s="1014" customFormat="1" ht="20.100000000000001" customHeight="1" x14ac:dyDescent="0.25">
      <c r="C92" s="1053"/>
      <c r="D92" s="1053"/>
      <c r="E92" s="1053">
        <f t="shared" ref="E92:U92" si="19">IF(AND(E17&gt;=150,E17&lt;210,E29=1),50,E93)</f>
        <v>0</v>
      </c>
      <c r="F92" s="1053">
        <f t="shared" si="19"/>
        <v>0</v>
      </c>
      <c r="G92" s="1053">
        <f t="shared" si="19"/>
        <v>0</v>
      </c>
      <c r="H92" s="1053">
        <f t="shared" si="19"/>
        <v>0</v>
      </c>
      <c r="I92" s="1053">
        <f t="shared" si="19"/>
        <v>0</v>
      </c>
      <c r="J92" s="1053">
        <f t="shared" si="19"/>
        <v>0</v>
      </c>
      <c r="K92" s="1053">
        <f t="shared" si="19"/>
        <v>0</v>
      </c>
      <c r="L92" s="1053">
        <f t="shared" si="19"/>
        <v>0</v>
      </c>
      <c r="M92" s="1053">
        <f t="shared" si="19"/>
        <v>0</v>
      </c>
      <c r="N92" s="1053">
        <f t="shared" si="19"/>
        <v>0</v>
      </c>
      <c r="O92" s="1053">
        <f t="shared" si="19"/>
        <v>0</v>
      </c>
      <c r="P92" s="1053">
        <f t="shared" si="19"/>
        <v>0</v>
      </c>
      <c r="Q92" s="1053">
        <f t="shared" si="19"/>
        <v>0</v>
      </c>
      <c r="R92" s="1053">
        <f t="shared" si="19"/>
        <v>0</v>
      </c>
      <c r="S92" s="1053">
        <f t="shared" si="19"/>
        <v>0</v>
      </c>
      <c r="T92" s="1053">
        <f t="shared" si="19"/>
        <v>0</v>
      </c>
      <c r="U92" s="1053">
        <f t="shared" si="19"/>
        <v>0</v>
      </c>
      <c r="V92" s="1013"/>
      <c r="W92" s="1054"/>
      <c r="X92" s="1049"/>
      <c r="Y92" s="1049"/>
      <c r="Z92" s="1049"/>
      <c r="AA92" s="1049"/>
      <c r="AB92" s="1049"/>
      <c r="AC92" s="1049"/>
      <c r="AD92" s="1049"/>
      <c r="AE92" s="1049"/>
      <c r="AF92" s="1049"/>
      <c r="AG92" s="1049"/>
      <c r="AH92" s="1049"/>
      <c r="AI92" s="1049"/>
      <c r="AJ92" s="1049"/>
      <c r="AK92" s="1049"/>
      <c r="AL92" s="1049"/>
    </row>
    <row r="93" spans="3:38" s="1014" customFormat="1" ht="19.5" customHeight="1" x14ac:dyDescent="0.25">
      <c r="C93" s="1053"/>
      <c r="D93" s="1053"/>
      <c r="E93" s="1053">
        <f t="shared" ref="E93:U93" si="20">IF(AND(E17&gt;=210,E17&lt;255,E29=1),70,E94)</f>
        <v>0</v>
      </c>
      <c r="F93" s="1053">
        <f t="shared" si="20"/>
        <v>0</v>
      </c>
      <c r="G93" s="1053">
        <f t="shared" si="20"/>
        <v>0</v>
      </c>
      <c r="H93" s="1053">
        <f t="shared" si="20"/>
        <v>0</v>
      </c>
      <c r="I93" s="1053">
        <f t="shared" si="20"/>
        <v>0</v>
      </c>
      <c r="J93" s="1053">
        <f t="shared" si="20"/>
        <v>0</v>
      </c>
      <c r="K93" s="1053">
        <f t="shared" si="20"/>
        <v>0</v>
      </c>
      <c r="L93" s="1053">
        <f t="shared" si="20"/>
        <v>0</v>
      </c>
      <c r="M93" s="1053">
        <f t="shared" si="20"/>
        <v>0</v>
      </c>
      <c r="N93" s="1053">
        <f t="shared" si="20"/>
        <v>0</v>
      </c>
      <c r="O93" s="1053">
        <f t="shared" si="20"/>
        <v>0</v>
      </c>
      <c r="P93" s="1053">
        <f t="shared" si="20"/>
        <v>0</v>
      </c>
      <c r="Q93" s="1053">
        <f t="shared" si="20"/>
        <v>0</v>
      </c>
      <c r="R93" s="1053">
        <f t="shared" si="20"/>
        <v>0</v>
      </c>
      <c r="S93" s="1053">
        <f t="shared" si="20"/>
        <v>0</v>
      </c>
      <c r="T93" s="1053">
        <f t="shared" si="20"/>
        <v>0</v>
      </c>
      <c r="U93" s="1053">
        <f t="shared" si="20"/>
        <v>0</v>
      </c>
      <c r="V93" s="1013"/>
      <c r="W93" s="1054"/>
      <c r="X93" s="1049"/>
      <c r="Y93" s="1049"/>
      <c r="Z93" s="1049"/>
      <c r="AA93" s="1049"/>
      <c r="AB93" s="1049"/>
      <c r="AC93" s="1049"/>
      <c r="AD93" s="1049"/>
      <c r="AE93" s="1049"/>
      <c r="AF93" s="1049"/>
      <c r="AG93" s="1049"/>
      <c r="AH93" s="1049"/>
      <c r="AI93" s="1049"/>
      <c r="AJ93" s="1049"/>
      <c r="AK93" s="1049"/>
      <c r="AL93" s="1049"/>
    </row>
    <row r="94" spans="3:38" s="1014" customFormat="1" ht="20.25" customHeight="1" x14ac:dyDescent="0.25">
      <c r="C94" s="1053"/>
      <c r="D94" s="1053"/>
      <c r="E94" s="1053">
        <f t="shared" ref="E94:U94" si="21">IF(AND(E17&gt;=255,E29=1),100,E95)</f>
        <v>0</v>
      </c>
      <c r="F94" s="1053">
        <f t="shared" si="21"/>
        <v>0</v>
      </c>
      <c r="G94" s="1053">
        <f t="shared" si="21"/>
        <v>0</v>
      </c>
      <c r="H94" s="1053">
        <f t="shared" si="21"/>
        <v>0</v>
      </c>
      <c r="I94" s="1053">
        <f t="shared" si="21"/>
        <v>0</v>
      </c>
      <c r="J94" s="1053">
        <f t="shared" si="21"/>
        <v>0</v>
      </c>
      <c r="K94" s="1053">
        <f t="shared" si="21"/>
        <v>0</v>
      </c>
      <c r="L94" s="1053">
        <f t="shared" si="21"/>
        <v>0</v>
      </c>
      <c r="M94" s="1053">
        <f t="shared" si="21"/>
        <v>0</v>
      </c>
      <c r="N94" s="1053">
        <f t="shared" si="21"/>
        <v>0</v>
      </c>
      <c r="O94" s="1053">
        <f t="shared" si="21"/>
        <v>0</v>
      </c>
      <c r="P94" s="1053">
        <f t="shared" si="21"/>
        <v>0</v>
      </c>
      <c r="Q94" s="1053">
        <f t="shared" si="21"/>
        <v>0</v>
      </c>
      <c r="R94" s="1053">
        <f t="shared" si="21"/>
        <v>0</v>
      </c>
      <c r="S94" s="1053">
        <f t="shared" si="21"/>
        <v>0</v>
      </c>
      <c r="T94" s="1053">
        <f t="shared" si="21"/>
        <v>0</v>
      </c>
      <c r="U94" s="1053">
        <f t="shared" si="21"/>
        <v>0</v>
      </c>
      <c r="V94" s="1013"/>
      <c r="W94" s="1054"/>
      <c r="X94" s="1049"/>
      <c r="Y94" s="1049"/>
      <c r="Z94" s="1049"/>
      <c r="AA94" s="1049"/>
      <c r="AB94" s="1049"/>
      <c r="AC94" s="1049"/>
      <c r="AD94" s="1049"/>
      <c r="AE94" s="1049"/>
      <c r="AF94" s="1049"/>
      <c r="AG94" s="1049"/>
      <c r="AH94" s="1049"/>
      <c r="AI94" s="1049"/>
      <c r="AJ94" s="1049"/>
      <c r="AK94" s="1049"/>
      <c r="AL94" s="1049"/>
    </row>
    <row r="95" spans="3:38" s="1014" customFormat="1" ht="20.25" customHeight="1" x14ac:dyDescent="0.25">
      <c r="C95" s="1053"/>
      <c r="D95" s="1053"/>
      <c r="E95" s="1053"/>
      <c r="F95" s="1053">
        <f t="shared" ref="F95:U95" si="22">IF(AND(F17&gt;=251,F37=1),74,F96)</f>
        <v>0</v>
      </c>
      <c r="G95" s="1053">
        <f t="shared" si="22"/>
        <v>0</v>
      </c>
      <c r="H95" s="1053">
        <f t="shared" si="22"/>
        <v>0</v>
      </c>
      <c r="I95" s="1053">
        <f t="shared" si="22"/>
        <v>0</v>
      </c>
      <c r="J95" s="1053">
        <f t="shared" si="22"/>
        <v>0</v>
      </c>
      <c r="K95" s="1053">
        <f t="shared" si="22"/>
        <v>0</v>
      </c>
      <c r="L95" s="1053">
        <f t="shared" si="22"/>
        <v>0</v>
      </c>
      <c r="M95" s="1053">
        <f t="shared" si="22"/>
        <v>0</v>
      </c>
      <c r="N95" s="1053">
        <f t="shared" si="22"/>
        <v>0</v>
      </c>
      <c r="O95" s="1053">
        <f t="shared" si="22"/>
        <v>0</v>
      </c>
      <c r="P95" s="1053">
        <f t="shared" si="22"/>
        <v>0</v>
      </c>
      <c r="Q95" s="1053">
        <f t="shared" si="22"/>
        <v>0</v>
      </c>
      <c r="R95" s="1053">
        <f t="shared" si="22"/>
        <v>0</v>
      </c>
      <c r="S95" s="1053">
        <f t="shared" si="22"/>
        <v>0</v>
      </c>
      <c r="T95" s="1053">
        <f t="shared" si="22"/>
        <v>0</v>
      </c>
      <c r="U95" s="1053">
        <f t="shared" si="22"/>
        <v>0</v>
      </c>
      <c r="V95" s="1013"/>
      <c r="W95" s="1054"/>
      <c r="X95" s="1049"/>
      <c r="Y95" s="1049"/>
      <c r="Z95" s="1049"/>
      <c r="AA95" s="1049"/>
      <c r="AB95" s="1049"/>
      <c r="AC95" s="1049"/>
      <c r="AD95" s="1049"/>
      <c r="AE95" s="1049"/>
      <c r="AF95" s="1049"/>
      <c r="AG95" s="1049"/>
      <c r="AH95" s="1049"/>
      <c r="AI95" s="1049"/>
      <c r="AJ95" s="1049"/>
      <c r="AK95" s="1049"/>
      <c r="AL95" s="1049"/>
    </row>
    <row r="96" spans="3:38" s="1014" customFormat="1" ht="20.25" customHeight="1" x14ac:dyDescent="0.25">
      <c r="C96" s="1053"/>
      <c r="D96" s="1053"/>
      <c r="E96" s="1053">
        <f t="shared" ref="E96:U96" si="23">IF(AND(E17&lt;251,E38=1),0,E97)</f>
        <v>0</v>
      </c>
      <c r="F96" s="1053">
        <f t="shared" si="23"/>
        <v>0</v>
      </c>
      <c r="G96" s="1053">
        <f t="shared" si="23"/>
        <v>0</v>
      </c>
      <c r="H96" s="1053">
        <f t="shared" si="23"/>
        <v>0</v>
      </c>
      <c r="I96" s="1053">
        <f t="shared" si="23"/>
        <v>0</v>
      </c>
      <c r="J96" s="1053">
        <f t="shared" si="23"/>
        <v>0</v>
      </c>
      <c r="K96" s="1053">
        <f t="shared" si="23"/>
        <v>0</v>
      </c>
      <c r="L96" s="1053">
        <f t="shared" si="23"/>
        <v>0</v>
      </c>
      <c r="M96" s="1053">
        <f t="shared" si="23"/>
        <v>0</v>
      </c>
      <c r="N96" s="1053">
        <f t="shared" si="23"/>
        <v>0</v>
      </c>
      <c r="O96" s="1053">
        <f t="shared" si="23"/>
        <v>0</v>
      </c>
      <c r="P96" s="1053">
        <f t="shared" si="23"/>
        <v>0</v>
      </c>
      <c r="Q96" s="1053">
        <f t="shared" si="23"/>
        <v>0</v>
      </c>
      <c r="R96" s="1053">
        <f t="shared" si="23"/>
        <v>0</v>
      </c>
      <c r="S96" s="1053">
        <f t="shared" si="23"/>
        <v>0</v>
      </c>
      <c r="T96" s="1053">
        <f t="shared" si="23"/>
        <v>0</v>
      </c>
      <c r="U96" s="1053">
        <f t="shared" si="23"/>
        <v>0</v>
      </c>
      <c r="V96" s="1013"/>
      <c r="W96" s="1054"/>
      <c r="X96" s="1049"/>
      <c r="Y96" s="1049"/>
      <c r="Z96" s="1049"/>
      <c r="AA96" s="1049"/>
      <c r="AB96" s="1049"/>
      <c r="AC96" s="1049"/>
      <c r="AD96" s="1049"/>
      <c r="AE96" s="1049"/>
      <c r="AF96" s="1049"/>
      <c r="AG96" s="1049"/>
      <c r="AH96" s="1049"/>
      <c r="AI96" s="1049"/>
      <c r="AJ96" s="1049"/>
      <c r="AK96" s="1049"/>
      <c r="AL96" s="1049"/>
    </row>
    <row r="97" spans="3:38" s="1014" customFormat="1" ht="19.5" customHeight="1" x14ac:dyDescent="0.25">
      <c r="C97" s="1053"/>
      <c r="D97" s="1053"/>
      <c r="E97" s="1053">
        <f t="shared" ref="E97:U97" si="24">IF(AND(E17&gt;=251,E38=1),0,0)</f>
        <v>0</v>
      </c>
      <c r="F97" s="1053">
        <f t="shared" si="24"/>
        <v>0</v>
      </c>
      <c r="G97" s="1053">
        <f t="shared" si="24"/>
        <v>0</v>
      </c>
      <c r="H97" s="1053">
        <f t="shared" si="24"/>
        <v>0</v>
      </c>
      <c r="I97" s="1053">
        <f t="shared" si="24"/>
        <v>0</v>
      </c>
      <c r="J97" s="1053">
        <f t="shared" si="24"/>
        <v>0</v>
      </c>
      <c r="K97" s="1053">
        <f t="shared" si="24"/>
        <v>0</v>
      </c>
      <c r="L97" s="1053">
        <f t="shared" si="24"/>
        <v>0</v>
      </c>
      <c r="M97" s="1053">
        <f t="shared" si="24"/>
        <v>0</v>
      </c>
      <c r="N97" s="1053">
        <f t="shared" si="24"/>
        <v>0</v>
      </c>
      <c r="O97" s="1053">
        <f t="shared" si="24"/>
        <v>0</v>
      </c>
      <c r="P97" s="1053">
        <f t="shared" si="24"/>
        <v>0</v>
      </c>
      <c r="Q97" s="1053">
        <f t="shared" si="24"/>
        <v>0</v>
      </c>
      <c r="R97" s="1053">
        <f t="shared" si="24"/>
        <v>0</v>
      </c>
      <c r="S97" s="1053">
        <f t="shared" si="24"/>
        <v>0</v>
      </c>
      <c r="T97" s="1053">
        <f t="shared" si="24"/>
        <v>0</v>
      </c>
      <c r="U97" s="1053">
        <f t="shared" si="24"/>
        <v>0</v>
      </c>
      <c r="V97" s="1013"/>
      <c r="W97" s="1054"/>
      <c r="X97" s="1049"/>
      <c r="Y97" s="1049"/>
      <c r="Z97" s="1049"/>
      <c r="AA97" s="1049"/>
      <c r="AB97" s="1049"/>
      <c r="AC97" s="1049"/>
      <c r="AD97" s="1049"/>
      <c r="AE97" s="1049"/>
      <c r="AF97" s="1049"/>
      <c r="AG97" s="1049"/>
      <c r="AH97" s="1049"/>
      <c r="AI97" s="1049"/>
      <c r="AJ97" s="1049"/>
      <c r="AK97" s="1049"/>
      <c r="AL97" s="1049"/>
    </row>
    <row r="98" spans="3:38" s="1014" customFormat="1" ht="19.5" customHeight="1" x14ac:dyDescent="0.25">
      <c r="C98" s="1053"/>
      <c r="D98" s="1053"/>
      <c r="E98" s="1053"/>
      <c r="F98" s="1053"/>
      <c r="G98" s="1053"/>
      <c r="H98" s="1053"/>
      <c r="I98" s="1053"/>
      <c r="J98" s="1053"/>
      <c r="K98" s="1053"/>
      <c r="L98" s="1053"/>
      <c r="M98" s="1053"/>
      <c r="N98" s="1053"/>
      <c r="O98" s="1053"/>
      <c r="P98" s="1053"/>
      <c r="Q98" s="1053"/>
      <c r="R98" s="1053"/>
      <c r="S98" s="1056"/>
      <c r="T98" s="1056"/>
      <c r="U98" s="1054"/>
      <c r="V98" s="1013"/>
      <c r="W98" s="1054"/>
      <c r="X98" s="1049"/>
      <c r="Y98" s="1049"/>
      <c r="Z98" s="1049"/>
      <c r="AA98" s="1049"/>
      <c r="AB98" s="1049"/>
      <c r="AC98" s="1049"/>
      <c r="AD98" s="1049"/>
      <c r="AE98" s="1049"/>
      <c r="AF98" s="1049"/>
      <c r="AG98" s="1049"/>
      <c r="AH98" s="1049"/>
      <c r="AI98" s="1049"/>
      <c r="AJ98" s="1049"/>
      <c r="AK98" s="1049"/>
      <c r="AL98" s="1049"/>
    </row>
    <row r="99" spans="3:38" s="1014" customFormat="1" ht="16.5" customHeight="1" x14ac:dyDescent="0.25">
      <c r="C99" s="1059"/>
      <c r="D99" s="1060"/>
      <c r="E99" s="1057"/>
      <c r="F99" s="1057"/>
      <c r="G99" s="1057"/>
      <c r="H99" s="1057"/>
      <c r="I99" s="1057"/>
      <c r="J99" s="1057"/>
      <c r="K99" s="1057"/>
      <c r="L99" s="1057"/>
      <c r="M99" s="1057"/>
      <c r="N99" s="1057"/>
      <c r="O99" s="1057"/>
      <c r="P99" s="1057"/>
      <c r="Q99" s="1057"/>
      <c r="R99" s="1057"/>
      <c r="S99" s="1056"/>
      <c r="T99" s="1056"/>
      <c r="U99" s="1054"/>
      <c r="V99" s="1013"/>
      <c r="W99" s="1054"/>
      <c r="X99" s="1049"/>
      <c r="Y99" s="1049"/>
      <c r="Z99" s="1049"/>
      <c r="AA99" s="1049"/>
      <c r="AB99" s="1049"/>
      <c r="AC99" s="1049"/>
      <c r="AD99" s="1049"/>
      <c r="AE99" s="1049"/>
      <c r="AF99" s="1049"/>
      <c r="AG99" s="1049"/>
      <c r="AH99" s="1049"/>
      <c r="AI99" s="1049"/>
      <c r="AJ99" s="1049"/>
      <c r="AK99" s="1049"/>
      <c r="AL99" s="1049"/>
    </row>
    <row r="100" spans="3:38" s="1014" customFormat="1" ht="16.5" customHeight="1" x14ac:dyDescent="0.25">
      <c r="C100" s="1059"/>
      <c r="D100" s="1060"/>
      <c r="E100" s="1057"/>
      <c r="F100" s="1057"/>
      <c r="G100" s="1057"/>
      <c r="H100" s="1057"/>
      <c r="I100" s="1057"/>
      <c r="J100" s="1057"/>
      <c r="K100" s="1057"/>
      <c r="L100" s="1057"/>
      <c r="M100" s="1057"/>
      <c r="N100" s="1057"/>
      <c r="O100" s="1057"/>
      <c r="P100" s="1057"/>
      <c r="Q100" s="1057"/>
      <c r="R100" s="1057"/>
      <c r="S100" s="1056"/>
      <c r="T100" s="1056"/>
      <c r="U100" s="1054"/>
      <c r="V100" s="1013"/>
      <c r="W100" s="1054"/>
      <c r="X100" s="1049"/>
      <c r="Y100" s="1049"/>
      <c r="Z100" s="1049"/>
      <c r="AA100" s="1049"/>
      <c r="AB100" s="1049"/>
      <c r="AC100" s="1049"/>
      <c r="AD100" s="1049"/>
      <c r="AE100" s="1049"/>
      <c r="AF100" s="1049"/>
      <c r="AG100" s="1049"/>
      <c r="AH100" s="1049"/>
      <c r="AI100" s="1049"/>
      <c r="AJ100" s="1049"/>
      <c r="AK100" s="1049"/>
      <c r="AL100" s="1049"/>
    </row>
    <row r="101" spans="3:38" s="1014" customFormat="1" ht="15" x14ac:dyDescent="0.2">
      <c r="C101" s="1057"/>
      <c r="D101" s="1058"/>
      <c r="E101" s="1057"/>
      <c r="F101" s="1057"/>
      <c r="G101" s="1057"/>
      <c r="H101" s="1057"/>
      <c r="I101" s="1057"/>
      <c r="J101" s="1057"/>
      <c r="K101" s="1057"/>
      <c r="L101" s="1057"/>
      <c r="M101" s="1057"/>
      <c r="N101" s="1057"/>
      <c r="O101" s="1057"/>
      <c r="P101" s="1057"/>
      <c r="Q101" s="1057"/>
      <c r="R101" s="1057"/>
      <c r="S101" s="1056"/>
      <c r="T101" s="1056"/>
      <c r="U101" s="1054"/>
      <c r="V101" s="1013"/>
      <c r="W101" s="1054"/>
      <c r="X101" s="1049"/>
      <c r="Y101" s="1049"/>
      <c r="Z101" s="1049"/>
      <c r="AA101" s="1049"/>
      <c r="AB101" s="1049"/>
      <c r="AC101" s="1049"/>
      <c r="AD101" s="1049"/>
      <c r="AE101" s="1049"/>
      <c r="AF101" s="1049"/>
      <c r="AG101" s="1049"/>
      <c r="AH101" s="1049"/>
      <c r="AI101" s="1049"/>
      <c r="AJ101" s="1049"/>
      <c r="AK101" s="1049"/>
      <c r="AL101" s="1049"/>
    </row>
    <row r="102" spans="3:38" x14ac:dyDescent="0.2">
      <c r="C102" s="1061"/>
      <c r="D102" s="1062"/>
      <c r="E102" s="1061"/>
      <c r="F102" s="1061"/>
      <c r="G102" s="1061"/>
      <c r="H102" s="1061"/>
      <c r="I102" s="1061"/>
      <c r="J102" s="1061"/>
      <c r="K102" s="1061"/>
      <c r="L102" s="1061"/>
      <c r="M102" s="1061"/>
      <c r="N102" s="1061"/>
      <c r="O102" s="1061"/>
      <c r="P102" s="1061"/>
      <c r="Q102" s="1061"/>
      <c r="R102" s="1061"/>
      <c r="S102" s="1063"/>
      <c r="T102" s="1063"/>
      <c r="U102" s="1064"/>
      <c r="V102" s="991"/>
      <c r="W102" s="1064"/>
      <c r="X102" s="1065"/>
      <c r="Y102" s="1065"/>
      <c r="Z102" s="1065"/>
      <c r="AA102" s="1065"/>
      <c r="AB102" s="1065"/>
      <c r="AC102" s="1065"/>
      <c r="AD102" s="1065"/>
      <c r="AE102" s="1065"/>
      <c r="AF102" s="1065"/>
      <c r="AG102" s="1065"/>
      <c r="AH102" s="1065"/>
      <c r="AI102" s="1065"/>
      <c r="AJ102" s="1065"/>
      <c r="AK102" s="1065"/>
      <c r="AL102" s="1065"/>
    </row>
    <row r="103" spans="3:38" x14ac:dyDescent="0.2">
      <c r="C103" s="1061"/>
      <c r="D103" s="1062"/>
      <c r="E103" s="1061"/>
      <c r="F103" s="1061"/>
      <c r="G103" s="1061"/>
      <c r="H103" s="1061"/>
      <c r="I103" s="1061"/>
      <c r="J103" s="1061"/>
      <c r="K103" s="1061"/>
      <c r="L103" s="1061"/>
      <c r="M103" s="1061"/>
      <c r="N103" s="1061"/>
      <c r="O103" s="1061"/>
      <c r="P103" s="1061"/>
      <c r="Q103" s="1061"/>
      <c r="R103" s="1061"/>
      <c r="S103" s="1063"/>
      <c r="T103" s="1063"/>
      <c r="U103" s="1064"/>
      <c r="V103" s="991"/>
      <c r="W103" s="1064"/>
      <c r="X103" s="1065"/>
      <c r="Y103" s="1065"/>
      <c r="Z103" s="1065"/>
      <c r="AA103" s="1065"/>
      <c r="AB103" s="1065"/>
      <c r="AC103" s="1065"/>
      <c r="AD103" s="1065"/>
      <c r="AE103" s="1065"/>
      <c r="AF103" s="1065"/>
      <c r="AG103" s="1065"/>
      <c r="AH103" s="1065"/>
      <c r="AI103" s="1065"/>
      <c r="AJ103" s="1065"/>
      <c r="AK103" s="1065"/>
      <c r="AL103" s="1065"/>
    </row>
    <row r="104" spans="3:38" x14ac:dyDescent="0.2">
      <c r="C104" s="1061"/>
      <c r="D104" s="1062"/>
      <c r="E104" s="1061"/>
      <c r="F104" s="1061"/>
      <c r="G104" s="1061"/>
      <c r="H104" s="1061"/>
      <c r="I104" s="1061"/>
      <c r="J104" s="1061"/>
      <c r="K104" s="1061"/>
      <c r="L104" s="1061"/>
      <c r="M104" s="1061"/>
      <c r="N104" s="1061"/>
      <c r="O104" s="1061"/>
      <c r="P104" s="1061"/>
      <c r="Q104" s="1061"/>
      <c r="R104" s="1061"/>
      <c r="S104" s="1063"/>
      <c r="T104" s="1063"/>
      <c r="U104" s="1064"/>
      <c r="V104" s="991"/>
      <c r="W104" s="1064"/>
      <c r="X104" s="1065"/>
      <c r="Y104" s="1065"/>
      <c r="Z104" s="1065"/>
      <c r="AA104" s="1065"/>
      <c r="AB104" s="1065"/>
      <c r="AC104" s="1065"/>
      <c r="AD104" s="1065"/>
      <c r="AE104" s="1065"/>
      <c r="AF104" s="1065"/>
      <c r="AG104" s="1065"/>
      <c r="AH104" s="1065"/>
      <c r="AI104" s="1065"/>
      <c r="AJ104" s="1065"/>
      <c r="AK104" s="1065"/>
      <c r="AL104" s="1065"/>
    </row>
    <row r="105" spans="3:38" x14ac:dyDescent="0.2">
      <c r="C105" s="1061"/>
      <c r="D105" s="1062"/>
      <c r="E105" s="1061"/>
      <c r="F105" s="1061"/>
      <c r="G105" s="1061"/>
      <c r="H105" s="1061"/>
      <c r="I105" s="1061"/>
      <c r="J105" s="1061"/>
      <c r="K105" s="1061"/>
      <c r="L105" s="1061"/>
      <c r="M105" s="1061"/>
      <c r="N105" s="1061"/>
      <c r="O105" s="1061"/>
      <c r="P105" s="1061"/>
      <c r="Q105" s="1061"/>
      <c r="R105" s="1061"/>
      <c r="S105" s="1063"/>
      <c r="T105" s="1063"/>
      <c r="U105" s="1064"/>
      <c r="V105" s="991"/>
      <c r="W105" s="1064"/>
      <c r="X105" s="1065"/>
      <c r="Y105" s="1065"/>
      <c r="Z105" s="1065"/>
      <c r="AA105" s="1065"/>
      <c r="AB105" s="1065"/>
      <c r="AC105" s="1065"/>
      <c r="AD105" s="1065"/>
      <c r="AE105" s="1065"/>
      <c r="AF105" s="1065"/>
      <c r="AG105" s="1065"/>
      <c r="AH105" s="1065"/>
      <c r="AI105" s="1065"/>
      <c r="AJ105" s="1065"/>
      <c r="AK105" s="1065"/>
      <c r="AL105" s="1065"/>
    </row>
    <row r="106" spans="3:38" x14ac:dyDescent="0.2">
      <c r="C106" s="1061"/>
      <c r="D106" s="1062"/>
      <c r="E106" s="1061"/>
      <c r="F106" s="1061"/>
      <c r="G106" s="1061"/>
      <c r="H106" s="1061"/>
      <c r="I106" s="1061"/>
      <c r="J106" s="1061"/>
      <c r="K106" s="1061"/>
      <c r="L106" s="1061"/>
      <c r="M106" s="1061"/>
      <c r="N106" s="1061"/>
      <c r="O106" s="1061"/>
      <c r="P106" s="1061"/>
      <c r="Q106" s="1061"/>
      <c r="R106" s="1061"/>
      <c r="S106" s="1063"/>
      <c r="T106" s="1063"/>
      <c r="U106" s="1064"/>
      <c r="V106" s="991"/>
      <c r="W106" s="1064"/>
      <c r="X106" s="1065"/>
      <c r="Y106" s="1065"/>
      <c r="Z106" s="1065"/>
      <c r="AA106" s="1065"/>
      <c r="AB106" s="1065"/>
      <c r="AC106" s="1065"/>
      <c r="AD106" s="1065"/>
      <c r="AE106" s="1065"/>
      <c r="AF106" s="1065"/>
      <c r="AG106" s="1065"/>
      <c r="AH106" s="1065"/>
      <c r="AI106" s="1065"/>
      <c r="AJ106" s="1065"/>
      <c r="AK106" s="1065"/>
      <c r="AL106" s="1065"/>
    </row>
    <row r="107" spans="3:38" x14ac:dyDescent="0.2">
      <c r="C107" s="1061"/>
      <c r="D107" s="1062"/>
      <c r="E107" s="1061"/>
      <c r="F107" s="1061"/>
      <c r="G107" s="1061"/>
      <c r="H107" s="1061"/>
      <c r="I107" s="1061"/>
      <c r="J107" s="1061"/>
      <c r="K107" s="1061"/>
      <c r="L107" s="1061"/>
      <c r="M107" s="1061"/>
      <c r="N107" s="1061"/>
      <c r="O107" s="1061"/>
      <c r="P107" s="1061"/>
      <c r="Q107" s="1061"/>
      <c r="R107" s="1061"/>
      <c r="S107" s="1063"/>
      <c r="T107" s="1063"/>
      <c r="U107" s="1064"/>
      <c r="V107" s="991"/>
      <c r="W107" s="1064"/>
      <c r="X107" s="1065"/>
      <c r="Y107" s="1065"/>
      <c r="Z107" s="1065"/>
      <c r="AA107" s="1065"/>
      <c r="AB107" s="1065"/>
      <c r="AC107" s="1065"/>
      <c r="AD107" s="1065"/>
      <c r="AE107" s="1065"/>
      <c r="AF107" s="1065"/>
      <c r="AG107" s="1065"/>
      <c r="AH107" s="1065"/>
      <c r="AI107" s="1065"/>
      <c r="AJ107" s="1065"/>
      <c r="AK107" s="1065"/>
      <c r="AL107" s="1065"/>
    </row>
    <row r="108" spans="3:38" x14ac:dyDescent="0.2">
      <c r="C108" s="1061"/>
      <c r="D108" s="1062"/>
      <c r="E108" s="1061"/>
      <c r="F108" s="1061"/>
      <c r="G108" s="1061"/>
      <c r="H108" s="1061"/>
      <c r="I108" s="1061"/>
      <c r="J108" s="1061"/>
      <c r="K108" s="1061"/>
      <c r="L108" s="1061"/>
      <c r="M108" s="1061"/>
      <c r="N108" s="1061"/>
      <c r="O108" s="1061"/>
      <c r="P108" s="1061"/>
      <c r="Q108" s="1061"/>
      <c r="R108" s="1061"/>
      <c r="S108" s="1063"/>
      <c r="T108" s="1063"/>
      <c r="U108" s="1064"/>
      <c r="V108" s="991"/>
      <c r="W108" s="1064"/>
      <c r="X108" s="1065"/>
      <c r="Y108" s="1065"/>
      <c r="Z108" s="1065"/>
      <c r="AA108" s="1065"/>
      <c r="AB108" s="1065"/>
      <c r="AC108" s="1065"/>
      <c r="AD108" s="1065"/>
      <c r="AE108" s="1065"/>
      <c r="AF108" s="1065"/>
      <c r="AG108" s="1065"/>
      <c r="AH108" s="1065"/>
      <c r="AI108" s="1065"/>
      <c r="AJ108" s="1065"/>
      <c r="AK108" s="1065"/>
      <c r="AL108" s="1065"/>
    </row>
    <row r="109" spans="3:38" x14ac:dyDescent="0.2">
      <c r="C109" s="1061"/>
      <c r="D109" s="1062"/>
      <c r="E109" s="1061"/>
      <c r="F109" s="1061"/>
      <c r="G109" s="1061"/>
      <c r="H109" s="1061"/>
      <c r="I109" s="1061"/>
      <c r="J109" s="1061"/>
      <c r="K109" s="1061"/>
      <c r="L109" s="1061"/>
      <c r="M109" s="1061"/>
      <c r="N109" s="1061"/>
      <c r="O109" s="1061"/>
      <c r="P109" s="1061"/>
      <c r="Q109" s="1061"/>
      <c r="R109" s="1061"/>
      <c r="S109" s="1063"/>
      <c r="T109" s="1063"/>
      <c r="U109" s="1064"/>
      <c r="V109" s="991"/>
      <c r="W109" s="1064"/>
      <c r="X109" s="1065"/>
      <c r="Y109" s="1065"/>
      <c r="Z109" s="1065"/>
      <c r="AA109" s="1065"/>
      <c r="AB109" s="1065"/>
      <c r="AC109" s="1065"/>
      <c r="AD109" s="1065"/>
      <c r="AE109" s="1065"/>
      <c r="AF109" s="1065"/>
      <c r="AG109" s="1065"/>
      <c r="AH109" s="1065"/>
      <c r="AI109" s="1065"/>
      <c r="AJ109" s="1065"/>
      <c r="AK109" s="1065"/>
      <c r="AL109" s="1065"/>
    </row>
    <row r="110" spans="3:38" x14ac:dyDescent="0.2">
      <c r="C110" s="1061"/>
      <c r="D110" s="1062"/>
      <c r="E110" s="1061"/>
      <c r="F110" s="1061"/>
      <c r="G110" s="1061"/>
      <c r="H110" s="1061"/>
      <c r="I110" s="1061"/>
      <c r="J110" s="1061"/>
      <c r="K110" s="1061"/>
      <c r="L110" s="1061"/>
      <c r="M110" s="1061"/>
      <c r="N110" s="1061"/>
      <c r="O110" s="1061"/>
      <c r="P110" s="1061"/>
      <c r="Q110" s="1061"/>
      <c r="R110" s="1061"/>
      <c r="S110" s="1063"/>
      <c r="T110" s="1063"/>
      <c r="U110" s="1064"/>
      <c r="V110" s="991"/>
      <c r="W110" s="1064"/>
      <c r="X110" s="1065"/>
      <c r="Y110" s="1065"/>
      <c r="Z110" s="1065"/>
      <c r="AA110" s="1065"/>
      <c r="AB110" s="1065"/>
      <c r="AC110" s="1065"/>
      <c r="AD110" s="1065"/>
      <c r="AE110" s="1065"/>
      <c r="AF110" s="1065"/>
      <c r="AG110" s="1065"/>
      <c r="AH110" s="1065"/>
      <c r="AI110" s="1065"/>
      <c r="AJ110" s="1065"/>
      <c r="AK110" s="1065"/>
      <c r="AL110" s="1065"/>
    </row>
    <row r="111" spans="3:38" x14ac:dyDescent="0.2">
      <c r="C111" s="1061"/>
      <c r="D111" s="1062"/>
      <c r="E111" s="1061">
        <f t="shared" ref="E111:U111" si="25">(E17*E18)/1000000</f>
        <v>0</v>
      </c>
      <c r="F111" s="1061">
        <f t="shared" si="25"/>
        <v>0</v>
      </c>
      <c r="G111" s="1061">
        <f t="shared" si="25"/>
        <v>0</v>
      </c>
      <c r="H111" s="1061">
        <f t="shared" si="25"/>
        <v>0</v>
      </c>
      <c r="I111" s="1061">
        <f t="shared" si="25"/>
        <v>0</v>
      </c>
      <c r="J111" s="1061">
        <f t="shared" si="25"/>
        <v>0</v>
      </c>
      <c r="K111" s="1061">
        <f t="shared" si="25"/>
        <v>0</v>
      </c>
      <c r="L111" s="1061">
        <f t="shared" si="25"/>
        <v>0</v>
      </c>
      <c r="M111" s="1061">
        <f t="shared" si="25"/>
        <v>0</v>
      </c>
      <c r="N111" s="1061">
        <f t="shared" si="25"/>
        <v>0</v>
      </c>
      <c r="O111" s="1061">
        <f t="shared" si="25"/>
        <v>0</v>
      </c>
      <c r="P111" s="1061">
        <f t="shared" si="25"/>
        <v>0</v>
      </c>
      <c r="Q111" s="1061">
        <f t="shared" si="25"/>
        <v>0</v>
      </c>
      <c r="R111" s="1061">
        <f t="shared" si="25"/>
        <v>0</v>
      </c>
      <c r="S111" s="1061">
        <f t="shared" si="25"/>
        <v>0</v>
      </c>
      <c r="T111" s="1061">
        <f t="shared" si="25"/>
        <v>0</v>
      </c>
      <c r="U111" s="1061">
        <f t="shared" si="25"/>
        <v>0</v>
      </c>
      <c r="V111" s="1061"/>
      <c r="W111" s="1064"/>
      <c r="X111" s="1065"/>
      <c r="Y111" s="1065"/>
      <c r="Z111" s="1065"/>
      <c r="AA111" s="1065"/>
      <c r="AB111" s="1065"/>
      <c r="AC111" s="1065"/>
      <c r="AD111" s="1065"/>
      <c r="AE111" s="1065"/>
      <c r="AF111" s="1065"/>
      <c r="AG111" s="1065"/>
      <c r="AH111" s="1065"/>
      <c r="AI111" s="1065"/>
      <c r="AJ111" s="1065"/>
      <c r="AK111" s="1065"/>
      <c r="AL111" s="1065"/>
    </row>
    <row r="112" spans="3:38" x14ac:dyDescent="0.2">
      <c r="C112" s="1061"/>
      <c r="D112" s="1062"/>
      <c r="E112" s="1061"/>
      <c r="F112" s="1061"/>
      <c r="G112" s="1061"/>
      <c r="H112" s="1061"/>
      <c r="I112" s="1061"/>
      <c r="J112" s="1061"/>
      <c r="K112" s="1061"/>
      <c r="L112" s="1061"/>
      <c r="M112" s="1061"/>
      <c r="N112" s="1061"/>
      <c r="O112" s="1061"/>
      <c r="P112" s="1061"/>
      <c r="Q112" s="1061"/>
      <c r="R112" s="1061"/>
      <c r="S112" s="1061"/>
      <c r="T112" s="1061"/>
      <c r="U112" s="1061"/>
      <c r="V112" s="1061"/>
      <c r="W112" s="1064"/>
      <c r="X112" s="1065"/>
      <c r="Y112" s="1065"/>
      <c r="Z112" s="1065"/>
      <c r="AA112" s="1065"/>
      <c r="AB112" s="1065"/>
      <c r="AC112" s="1065"/>
      <c r="AD112" s="1065"/>
      <c r="AE112" s="1065"/>
      <c r="AF112" s="1065"/>
      <c r="AG112" s="1065"/>
      <c r="AH112" s="1065"/>
      <c r="AI112" s="1065"/>
      <c r="AJ112" s="1065"/>
      <c r="AK112" s="1065"/>
      <c r="AL112" s="1065"/>
    </row>
    <row r="113" spans="3:41" x14ac:dyDescent="0.2">
      <c r="C113" s="1061"/>
      <c r="D113" s="1062"/>
      <c r="E113" s="1061"/>
      <c r="F113" s="1061"/>
      <c r="G113" s="1061"/>
      <c r="H113" s="1061"/>
      <c r="I113" s="1061"/>
      <c r="J113" s="1061"/>
      <c r="K113" s="1061"/>
      <c r="L113" s="1061"/>
      <c r="M113" s="1061"/>
      <c r="N113" s="1061"/>
      <c r="O113" s="1061"/>
      <c r="P113" s="1061"/>
      <c r="Q113" s="1061"/>
      <c r="R113" s="1061"/>
      <c r="S113" s="1061"/>
      <c r="T113" s="1061"/>
      <c r="U113" s="1061"/>
      <c r="V113" s="1061"/>
      <c r="W113" s="1064"/>
      <c r="X113" s="1065"/>
      <c r="Y113" s="1065"/>
      <c r="Z113" s="1065"/>
      <c r="AA113" s="1065"/>
      <c r="AB113" s="1065"/>
      <c r="AC113" s="1065"/>
      <c r="AD113" s="1065"/>
      <c r="AE113" s="1065"/>
      <c r="AF113" s="1065"/>
      <c r="AG113" s="1065"/>
      <c r="AH113" s="1065"/>
      <c r="AI113" s="1065"/>
      <c r="AJ113" s="1065"/>
      <c r="AK113" s="1065"/>
      <c r="AL113" s="1065"/>
    </row>
    <row r="114" spans="3:41" x14ac:dyDescent="0.2">
      <c r="C114" s="1061"/>
      <c r="D114" s="1062"/>
      <c r="E114" s="1061"/>
      <c r="F114" s="1061"/>
      <c r="G114" s="1061"/>
      <c r="H114" s="1061"/>
      <c r="I114" s="1061"/>
      <c r="J114" s="1061"/>
      <c r="K114" s="1061"/>
      <c r="L114" s="1061"/>
      <c r="M114" s="1061"/>
      <c r="N114" s="1061"/>
      <c r="O114" s="1061"/>
      <c r="P114" s="1061"/>
      <c r="Q114" s="1061"/>
      <c r="R114" s="1061"/>
      <c r="S114" s="1061"/>
      <c r="T114" s="1061"/>
      <c r="U114" s="1061"/>
      <c r="V114" s="1061"/>
      <c r="W114" s="1064"/>
      <c r="X114" s="1065"/>
      <c r="Y114" s="1065"/>
      <c r="Z114" s="1065"/>
      <c r="AA114" s="1065"/>
      <c r="AB114" s="1065"/>
      <c r="AC114" s="1065"/>
      <c r="AD114" s="1065"/>
      <c r="AE114" s="1065"/>
      <c r="AF114" s="1065"/>
      <c r="AG114" s="1065"/>
      <c r="AH114" s="1065"/>
      <c r="AI114" s="1065"/>
      <c r="AJ114" s="1065"/>
      <c r="AK114" s="1065"/>
      <c r="AL114" s="1065"/>
    </row>
    <row r="115" spans="3:41" x14ac:dyDescent="0.2">
      <c r="C115" s="1061"/>
      <c r="D115" s="1062"/>
      <c r="E115" s="1061"/>
      <c r="F115" s="1061"/>
      <c r="G115" s="1061"/>
      <c r="H115" s="1061"/>
      <c r="I115" s="1061"/>
      <c r="J115" s="1061"/>
      <c r="K115" s="1061"/>
      <c r="L115" s="1061"/>
      <c r="M115" s="1061"/>
      <c r="N115" s="1061"/>
      <c r="O115" s="1061"/>
      <c r="P115" s="1061"/>
      <c r="Q115" s="1061"/>
      <c r="R115" s="1061"/>
      <c r="S115" s="1061"/>
      <c r="T115" s="1061"/>
      <c r="U115" s="1061"/>
      <c r="V115" s="1061"/>
      <c r="W115" s="1066"/>
      <c r="X115" s="1067"/>
      <c r="Y115" s="1067"/>
      <c r="Z115" s="1067"/>
      <c r="AA115" s="1067"/>
      <c r="AB115" s="1067"/>
      <c r="AC115" s="1067"/>
      <c r="AD115" s="1067"/>
      <c r="AE115" s="1067"/>
      <c r="AF115" s="1067"/>
      <c r="AG115" s="1067"/>
      <c r="AH115" s="1067"/>
      <c r="AI115" s="1067"/>
      <c r="AJ115" s="1067"/>
      <c r="AK115" s="1067"/>
      <c r="AL115" s="1067"/>
      <c r="AM115" s="1068"/>
      <c r="AN115" s="1068"/>
      <c r="AO115" s="1068"/>
    </row>
    <row r="116" spans="3:41" x14ac:dyDescent="0.2">
      <c r="C116" s="1061"/>
      <c r="D116" s="1062"/>
      <c r="E116" s="1069">
        <f t="shared" ref="E116:U116" si="26">E111*E42</f>
        <v>0</v>
      </c>
      <c r="F116" s="1069">
        <f t="shared" si="26"/>
        <v>0</v>
      </c>
      <c r="G116" s="1069">
        <f t="shared" si="26"/>
        <v>0</v>
      </c>
      <c r="H116" s="1069">
        <f t="shared" si="26"/>
        <v>0</v>
      </c>
      <c r="I116" s="1069">
        <f t="shared" si="26"/>
        <v>0</v>
      </c>
      <c r="J116" s="1069">
        <f t="shared" si="26"/>
        <v>0</v>
      </c>
      <c r="K116" s="1069">
        <f t="shared" si="26"/>
        <v>0</v>
      </c>
      <c r="L116" s="1069">
        <f t="shared" si="26"/>
        <v>0</v>
      </c>
      <c r="M116" s="1069">
        <f t="shared" si="26"/>
        <v>0</v>
      </c>
      <c r="N116" s="1069">
        <f t="shared" si="26"/>
        <v>0</v>
      </c>
      <c r="O116" s="1069">
        <f t="shared" si="26"/>
        <v>0</v>
      </c>
      <c r="P116" s="1069">
        <f t="shared" si="26"/>
        <v>0</v>
      </c>
      <c r="Q116" s="1069">
        <f t="shared" si="26"/>
        <v>0</v>
      </c>
      <c r="R116" s="1069">
        <f t="shared" si="26"/>
        <v>0</v>
      </c>
      <c r="S116" s="1069">
        <f t="shared" si="26"/>
        <v>0</v>
      </c>
      <c r="T116" s="1069">
        <f t="shared" si="26"/>
        <v>0</v>
      </c>
      <c r="U116" s="1069">
        <f t="shared" si="26"/>
        <v>0</v>
      </c>
      <c r="V116" s="1069"/>
      <c r="W116" s="1066"/>
      <c r="X116" s="1067"/>
      <c r="Y116" s="1067"/>
      <c r="Z116" s="1067"/>
      <c r="AA116" s="1067"/>
      <c r="AB116" s="1067"/>
      <c r="AC116" s="1067"/>
      <c r="AD116" s="1067"/>
      <c r="AE116" s="1067"/>
      <c r="AF116" s="1067"/>
      <c r="AG116" s="1067"/>
      <c r="AH116" s="1067"/>
      <c r="AI116" s="1067"/>
      <c r="AJ116" s="1067"/>
      <c r="AK116" s="1067"/>
      <c r="AL116" s="1067"/>
      <c r="AM116" s="1068"/>
      <c r="AN116" s="1068"/>
      <c r="AO116" s="1068"/>
    </row>
    <row r="117" spans="3:41" x14ac:dyDescent="0.2">
      <c r="C117" s="1061"/>
      <c r="D117" s="1062"/>
      <c r="E117" s="1069">
        <f t="shared" ref="E117:U117" si="27">E111*(E43*2)</f>
        <v>0</v>
      </c>
      <c r="F117" s="1069">
        <f t="shared" si="27"/>
        <v>0</v>
      </c>
      <c r="G117" s="1069">
        <f t="shared" si="27"/>
        <v>0</v>
      </c>
      <c r="H117" s="1069">
        <f t="shared" si="27"/>
        <v>0</v>
      </c>
      <c r="I117" s="1069">
        <f t="shared" si="27"/>
        <v>0</v>
      </c>
      <c r="J117" s="1069">
        <f t="shared" si="27"/>
        <v>0</v>
      </c>
      <c r="K117" s="1069">
        <f t="shared" si="27"/>
        <v>0</v>
      </c>
      <c r="L117" s="1069">
        <f t="shared" si="27"/>
        <v>0</v>
      </c>
      <c r="M117" s="1069">
        <f t="shared" si="27"/>
        <v>0</v>
      </c>
      <c r="N117" s="1069">
        <f t="shared" si="27"/>
        <v>0</v>
      </c>
      <c r="O117" s="1069">
        <f t="shared" si="27"/>
        <v>0</v>
      </c>
      <c r="P117" s="1069">
        <f t="shared" si="27"/>
        <v>0</v>
      </c>
      <c r="Q117" s="1069">
        <f t="shared" si="27"/>
        <v>0</v>
      </c>
      <c r="R117" s="1069">
        <f t="shared" si="27"/>
        <v>0</v>
      </c>
      <c r="S117" s="1069">
        <f t="shared" si="27"/>
        <v>0</v>
      </c>
      <c r="T117" s="1069">
        <f t="shared" si="27"/>
        <v>0</v>
      </c>
      <c r="U117" s="1069">
        <f t="shared" si="27"/>
        <v>0</v>
      </c>
      <c r="V117" s="1069"/>
      <c r="W117" s="1066"/>
      <c r="X117" s="1067"/>
      <c r="Y117" s="1067"/>
      <c r="Z117" s="1067"/>
      <c r="AA117" s="1067"/>
      <c r="AB117" s="1067"/>
      <c r="AC117" s="1067"/>
      <c r="AD117" s="1067"/>
      <c r="AE117" s="1067"/>
      <c r="AF117" s="1067"/>
      <c r="AG117" s="1067"/>
      <c r="AH117" s="1067"/>
      <c r="AI117" s="1067"/>
      <c r="AJ117" s="1067"/>
      <c r="AK117" s="1067"/>
      <c r="AL117" s="1067"/>
      <c r="AM117" s="1068"/>
      <c r="AN117" s="1068"/>
      <c r="AO117" s="1068"/>
    </row>
    <row r="118" spans="3:41" x14ac:dyDescent="0.2">
      <c r="C118" s="1061"/>
      <c r="D118" s="1062"/>
      <c r="E118" s="1069">
        <f t="shared" ref="E118:U118" si="28">E116+E117</f>
        <v>0</v>
      </c>
      <c r="F118" s="1069">
        <f t="shared" si="28"/>
        <v>0</v>
      </c>
      <c r="G118" s="1069">
        <f t="shared" si="28"/>
        <v>0</v>
      </c>
      <c r="H118" s="1069">
        <f t="shared" si="28"/>
        <v>0</v>
      </c>
      <c r="I118" s="1069">
        <f t="shared" si="28"/>
        <v>0</v>
      </c>
      <c r="J118" s="1069">
        <f t="shared" si="28"/>
        <v>0</v>
      </c>
      <c r="K118" s="1069">
        <f t="shared" si="28"/>
        <v>0</v>
      </c>
      <c r="L118" s="1069">
        <f t="shared" si="28"/>
        <v>0</v>
      </c>
      <c r="M118" s="1069">
        <f t="shared" si="28"/>
        <v>0</v>
      </c>
      <c r="N118" s="1069">
        <f t="shared" si="28"/>
        <v>0</v>
      </c>
      <c r="O118" s="1069">
        <f t="shared" si="28"/>
        <v>0</v>
      </c>
      <c r="P118" s="1069">
        <f t="shared" si="28"/>
        <v>0</v>
      </c>
      <c r="Q118" s="1069">
        <f t="shared" si="28"/>
        <v>0</v>
      </c>
      <c r="R118" s="1069">
        <f t="shared" si="28"/>
        <v>0</v>
      </c>
      <c r="S118" s="1069">
        <f t="shared" si="28"/>
        <v>0</v>
      </c>
      <c r="T118" s="1069">
        <f t="shared" si="28"/>
        <v>0</v>
      </c>
      <c r="U118" s="1069">
        <f t="shared" si="28"/>
        <v>0</v>
      </c>
      <c r="V118" s="1069"/>
      <c r="W118" s="1066"/>
      <c r="X118" s="1067"/>
      <c r="Y118" s="1067"/>
      <c r="Z118" s="1067"/>
      <c r="AA118" s="1067"/>
      <c r="AB118" s="1067"/>
      <c r="AC118" s="1067"/>
      <c r="AD118" s="1067"/>
      <c r="AE118" s="1067"/>
      <c r="AF118" s="1067"/>
      <c r="AG118" s="1067"/>
      <c r="AH118" s="1067"/>
      <c r="AI118" s="1067"/>
      <c r="AJ118" s="1067"/>
      <c r="AK118" s="1067"/>
      <c r="AL118" s="1067"/>
      <c r="AM118" s="1068"/>
      <c r="AN118" s="1068"/>
      <c r="AO118" s="1068"/>
    </row>
    <row r="119" spans="3:41" x14ac:dyDescent="0.2">
      <c r="C119" s="1061"/>
      <c r="D119" s="1062"/>
      <c r="E119" s="1069"/>
      <c r="F119" s="1069"/>
      <c r="G119" s="1069"/>
      <c r="H119" s="1069"/>
      <c r="I119" s="1069"/>
      <c r="J119" s="1069"/>
      <c r="K119" s="1069"/>
      <c r="L119" s="1069"/>
      <c r="M119" s="1069"/>
      <c r="N119" s="1069"/>
      <c r="O119" s="1069"/>
      <c r="P119" s="1069"/>
      <c r="Q119" s="1069"/>
      <c r="R119" s="1069"/>
      <c r="S119" s="1069"/>
      <c r="T119" s="1069"/>
      <c r="U119" s="1069"/>
      <c r="V119" s="1069"/>
      <c r="W119" s="1070"/>
      <c r="X119" s="1070"/>
      <c r="Y119" s="1070"/>
      <c r="Z119" s="1070"/>
      <c r="AA119" s="1070"/>
      <c r="AB119" s="1070"/>
      <c r="AC119" s="1070"/>
      <c r="AD119" s="1070"/>
      <c r="AE119" s="1070"/>
      <c r="AF119" s="1070"/>
      <c r="AG119" s="1070"/>
      <c r="AH119" s="1070"/>
      <c r="AI119" s="1070"/>
      <c r="AJ119" s="1070"/>
      <c r="AK119" s="1070"/>
      <c r="AL119" s="1067"/>
      <c r="AM119" s="1068"/>
      <c r="AN119" s="1068"/>
      <c r="AO119" s="1068"/>
    </row>
    <row r="120" spans="3:41" x14ac:dyDescent="0.2">
      <c r="C120" s="1061"/>
      <c r="D120" s="1062"/>
      <c r="E120" s="1069"/>
      <c r="F120" s="1069"/>
      <c r="G120" s="1069"/>
      <c r="H120" s="1069"/>
      <c r="I120" s="1069"/>
      <c r="J120" s="1069"/>
      <c r="K120" s="1069"/>
      <c r="L120" s="1069"/>
      <c r="M120" s="1069"/>
      <c r="N120" s="1069"/>
      <c r="O120" s="1069"/>
      <c r="P120" s="1069"/>
      <c r="Q120" s="1069"/>
      <c r="R120" s="1069"/>
      <c r="S120" s="1069"/>
      <c r="T120" s="1069"/>
      <c r="U120" s="1069"/>
      <c r="V120" s="1069"/>
      <c r="W120" s="1070"/>
      <c r="X120" s="1070"/>
      <c r="Y120" s="1070"/>
      <c r="Z120" s="1070"/>
      <c r="AA120" s="1070"/>
      <c r="AB120" s="1070"/>
      <c r="AC120" s="1070"/>
      <c r="AD120" s="1070"/>
      <c r="AE120" s="1070"/>
      <c r="AF120" s="1070"/>
      <c r="AG120" s="1070"/>
      <c r="AH120" s="1070"/>
      <c r="AI120" s="1070"/>
      <c r="AJ120" s="1070"/>
      <c r="AK120" s="1070"/>
      <c r="AL120" s="1067"/>
      <c r="AM120" s="1068"/>
      <c r="AN120" s="1068"/>
      <c r="AO120" s="1068"/>
    </row>
    <row r="121" spans="3:41" x14ac:dyDescent="0.2">
      <c r="C121" s="1061"/>
      <c r="D121" s="1062"/>
      <c r="E121" s="1069">
        <f t="shared" ref="E121:U121" si="29">E111*E35</f>
        <v>0</v>
      </c>
      <c r="F121" s="1069">
        <f t="shared" si="29"/>
        <v>0</v>
      </c>
      <c r="G121" s="1069">
        <f t="shared" si="29"/>
        <v>0</v>
      </c>
      <c r="H121" s="1069">
        <f t="shared" si="29"/>
        <v>0</v>
      </c>
      <c r="I121" s="1069">
        <f t="shared" si="29"/>
        <v>0</v>
      </c>
      <c r="J121" s="1069">
        <f t="shared" si="29"/>
        <v>0</v>
      </c>
      <c r="K121" s="1069">
        <f t="shared" si="29"/>
        <v>0</v>
      </c>
      <c r="L121" s="1069">
        <f t="shared" si="29"/>
        <v>0</v>
      </c>
      <c r="M121" s="1069">
        <f t="shared" si="29"/>
        <v>0</v>
      </c>
      <c r="N121" s="1069">
        <f t="shared" si="29"/>
        <v>0</v>
      </c>
      <c r="O121" s="1069">
        <f t="shared" si="29"/>
        <v>0</v>
      </c>
      <c r="P121" s="1069">
        <f t="shared" si="29"/>
        <v>0</v>
      </c>
      <c r="Q121" s="1069">
        <f t="shared" si="29"/>
        <v>0</v>
      </c>
      <c r="R121" s="1069">
        <f t="shared" si="29"/>
        <v>0</v>
      </c>
      <c r="S121" s="1069">
        <f t="shared" si="29"/>
        <v>0</v>
      </c>
      <c r="T121" s="1069">
        <f t="shared" si="29"/>
        <v>0</v>
      </c>
      <c r="U121" s="1069">
        <f t="shared" si="29"/>
        <v>0</v>
      </c>
      <c r="V121" s="1069"/>
      <c r="W121" s="1070"/>
      <c r="X121" s="1070"/>
      <c r="Y121" s="1070"/>
      <c r="Z121" s="1070"/>
      <c r="AA121" s="1070"/>
      <c r="AB121" s="1070"/>
      <c r="AC121" s="1070"/>
      <c r="AD121" s="1070"/>
      <c r="AE121" s="1070"/>
      <c r="AF121" s="1070"/>
      <c r="AG121" s="1070"/>
      <c r="AH121" s="1070"/>
      <c r="AI121" s="1070"/>
      <c r="AJ121" s="1070"/>
      <c r="AK121" s="1070"/>
      <c r="AL121" s="1067"/>
      <c r="AM121" s="1068"/>
      <c r="AN121" s="1068"/>
      <c r="AO121" s="1068"/>
    </row>
    <row r="122" spans="3:41" x14ac:dyDescent="0.2">
      <c r="C122" s="1061"/>
      <c r="D122" s="1062"/>
      <c r="E122" s="1069"/>
      <c r="F122" s="1069"/>
      <c r="G122" s="1069"/>
      <c r="H122" s="1069"/>
      <c r="I122" s="1069"/>
      <c r="J122" s="1069"/>
      <c r="K122" s="1069"/>
      <c r="L122" s="1069"/>
      <c r="M122" s="1069"/>
      <c r="N122" s="1069"/>
      <c r="O122" s="1069"/>
      <c r="P122" s="1069"/>
      <c r="Q122" s="1069"/>
      <c r="R122" s="1069"/>
      <c r="S122" s="1069"/>
      <c r="T122" s="1069"/>
      <c r="U122" s="1069"/>
      <c r="V122" s="1069"/>
      <c r="W122" s="1070"/>
      <c r="X122" s="1070"/>
      <c r="Y122" s="1070"/>
      <c r="Z122" s="1070"/>
      <c r="AA122" s="1070"/>
      <c r="AB122" s="1070"/>
      <c r="AC122" s="1070"/>
      <c r="AD122" s="1070"/>
      <c r="AE122" s="1070"/>
      <c r="AF122" s="1070"/>
      <c r="AG122" s="1070"/>
      <c r="AH122" s="1070"/>
      <c r="AI122" s="1070"/>
      <c r="AJ122" s="1070"/>
      <c r="AK122" s="1070"/>
      <c r="AL122" s="1067"/>
      <c r="AM122" s="1068"/>
      <c r="AN122" s="1068"/>
      <c r="AO122" s="1068"/>
    </row>
    <row r="123" spans="3:41" x14ac:dyDescent="0.2">
      <c r="C123" s="1061"/>
      <c r="D123" s="1062"/>
      <c r="E123" s="1069"/>
      <c r="F123" s="1069"/>
      <c r="G123" s="1069"/>
      <c r="H123" s="1069"/>
      <c r="I123" s="1069"/>
      <c r="J123" s="1069"/>
      <c r="K123" s="1069"/>
      <c r="L123" s="1069"/>
      <c r="M123" s="1069"/>
      <c r="N123" s="1069"/>
      <c r="O123" s="1069"/>
      <c r="P123" s="1069"/>
      <c r="Q123" s="1069"/>
      <c r="R123" s="1069"/>
      <c r="S123" s="1069"/>
      <c r="T123" s="1069"/>
      <c r="U123" s="1069"/>
      <c r="V123" s="1069"/>
      <c r="W123" s="1070"/>
      <c r="X123" s="1070"/>
      <c r="Y123" s="1070"/>
      <c r="Z123" s="1070"/>
      <c r="AA123" s="1070"/>
      <c r="AB123" s="1070"/>
      <c r="AC123" s="1070"/>
      <c r="AD123" s="1070"/>
      <c r="AE123" s="1070"/>
      <c r="AF123" s="1070"/>
      <c r="AG123" s="1070"/>
      <c r="AH123" s="1070"/>
      <c r="AI123" s="1070"/>
      <c r="AJ123" s="1070"/>
      <c r="AK123" s="1070"/>
      <c r="AL123" s="1067"/>
      <c r="AM123" s="1068"/>
      <c r="AN123" s="1068"/>
      <c r="AO123" s="1068"/>
    </row>
    <row r="124" spans="3:41" x14ac:dyDescent="0.2">
      <c r="C124" s="1061"/>
      <c r="D124" s="1062"/>
      <c r="E124" s="1069"/>
      <c r="F124" s="1069"/>
      <c r="G124" s="1069"/>
      <c r="H124" s="1069"/>
      <c r="I124" s="1069"/>
      <c r="J124" s="1069"/>
      <c r="K124" s="1069"/>
      <c r="L124" s="1069"/>
      <c r="M124" s="1069"/>
      <c r="N124" s="1069"/>
      <c r="O124" s="1069"/>
      <c r="P124" s="1069"/>
      <c r="Q124" s="1069"/>
      <c r="R124" s="1069"/>
      <c r="S124" s="1069"/>
      <c r="T124" s="1069"/>
      <c r="U124" s="1069"/>
      <c r="V124" s="1069"/>
      <c r="W124" s="1070"/>
      <c r="X124" s="1070"/>
      <c r="Y124" s="1070"/>
      <c r="Z124" s="1070"/>
      <c r="AA124" s="1070"/>
      <c r="AB124" s="1070"/>
      <c r="AC124" s="1070"/>
      <c r="AD124" s="1070"/>
      <c r="AE124" s="1070"/>
      <c r="AF124" s="1070"/>
      <c r="AG124" s="1070"/>
      <c r="AH124" s="1070"/>
      <c r="AI124" s="1070"/>
      <c r="AJ124" s="1070"/>
      <c r="AK124" s="1070"/>
      <c r="AL124" s="1067"/>
      <c r="AM124" s="1068"/>
      <c r="AN124" s="1068"/>
      <c r="AO124" s="1068"/>
    </row>
    <row r="125" spans="3:41" x14ac:dyDescent="0.2">
      <c r="C125" s="1061"/>
      <c r="D125" s="1062"/>
      <c r="E125" s="1069"/>
      <c r="F125" s="1069"/>
      <c r="G125" s="1069"/>
      <c r="H125" s="1069"/>
      <c r="I125" s="1069"/>
      <c r="J125" s="1069"/>
      <c r="K125" s="1069"/>
      <c r="L125" s="1069"/>
      <c r="M125" s="1069"/>
      <c r="N125" s="1069"/>
      <c r="O125" s="1069"/>
      <c r="P125" s="1069"/>
      <c r="Q125" s="1069"/>
      <c r="R125" s="1069"/>
      <c r="S125" s="1069"/>
      <c r="T125" s="1069"/>
      <c r="U125" s="1069"/>
      <c r="V125" s="1069"/>
      <c r="W125" s="1070"/>
      <c r="X125" s="1070"/>
      <c r="Y125" s="1070"/>
      <c r="Z125" s="1070"/>
      <c r="AA125" s="1070"/>
      <c r="AB125" s="1070"/>
      <c r="AC125" s="1070"/>
      <c r="AD125" s="1070"/>
      <c r="AE125" s="1070"/>
      <c r="AF125" s="1070"/>
      <c r="AG125" s="1070"/>
      <c r="AH125" s="1070"/>
      <c r="AI125" s="1070"/>
      <c r="AJ125" s="1070"/>
      <c r="AK125" s="1070"/>
      <c r="AL125" s="1067"/>
      <c r="AM125" s="1068"/>
      <c r="AN125" s="1068"/>
      <c r="AO125" s="1068"/>
    </row>
    <row r="126" spans="3:41" x14ac:dyDescent="0.2">
      <c r="C126" s="1061"/>
      <c r="D126" s="1062"/>
      <c r="E126" s="1069">
        <f t="shared" ref="E126:U126" si="30">E111*E45</f>
        <v>0</v>
      </c>
      <c r="F126" s="1069">
        <f t="shared" si="30"/>
        <v>0</v>
      </c>
      <c r="G126" s="1069">
        <f t="shared" si="30"/>
        <v>0</v>
      </c>
      <c r="H126" s="1069">
        <f t="shared" si="30"/>
        <v>0</v>
      </c>
      <c r="I126" s="1069">
        <f t="shared" si="30"/>
        <v>0</v>
      </c>
      <c r="J126" s="1069">
        <f t="shared" si="30"/>
        <v>0</v>
      </c>
      <c r="K126" s="1069">
        <f t="shared" si="30"/>
        <v>0</v>
      </c>
      <c r="L126" s="1069">
        <f t="shared" si="30"/>
        <v>0</v>
      </c>
      <c r="M126" s="1069">
        <f t="shared" si="30"/>
        <v>0</v>
      </c>
      <c r="N126" s="1069">
        <f t="shared" si="30"/>
        <v>0</v>
      </c>
      <c r="O126" s="1069">
        <f t="shared" si="30"/>
        <v>0</v>
      </c>
      <c r="P126" s="1069">
        <f t="shared" si="30"/>
        <v>0</v>
      </c>
      <c r="Q126" s="1069">
        <f t="shared" si="30"/>
        <v>0</v>
      </c>
      <c r="R126" s="1069">
        <f t="shared" si="30"/>
        <v>0</v>
      </c>
      <c r="S126" s="1069">
        <f t="shared" si="30"/>
        <v>0</v>
      </c>
      <c r="T126" s="1069">
        <f t="shared" si="30"/>
        <v>0</v>
      </c>
      <c r="U126" s="1069">
        <f t="shared" si="30"/>
        <v>0</v>
      </c>
      <c r="V126" s="1069"/>
      <c r="W126" s="1070"/>
      <c r="X126" s="1070"/>
      <c r="Y126" s="1070"/>
      <c r="Z126" s="1070"/>
      <c r="AA126" s="1070"/>
      <c r="AB126" s="1070"/>
      <c r="AC126" s="1070"/>
      <c r="AD126" s="1070"/>
      <c r="AE126" s="1070"/>
      <c r="AF126" s="1070"/>
      <c r="AG126" s="1070"/>
      <c r="AH126" s="1070"/>
      <c r="AI126" s="1070"/>
      <c r="AJ126" s="1070"/>
      <c r="AK126" s="1070"/>
      <c r="AL126" s="1067"/>
      <c r="AM126" s="1068"/>
      <c r="AN126" s="1068"/>
      <c r="AO126" s="1068"/>
    </row>
    <row r="127" spans="3:41" x14ac:dyDescent="0.2">
      <c r="C127" s="1061"/>
      <c r="D127" s="1062"/>
      <c r="E127" s="1069"/>
      <c r="F127" s="1069"/>
      <c r="G127" s="1069"/>
      <c r="H127" s="1069"/>
      <c r="I127" s="1069"/>
      <c r="J127" s="1069"/>
      <c r="K127" s="1069"/>
      <c r="L127" s="1069"/>
      <c r="M127" s="1069"/>
      <c r="N127" s="1069"/>
      <c r="O127" s="1069"/>
      <c r="P127" s="1069"/>
      <c r="Q127" s="1069"/>
      <c r="R127" s="1069"/>
      <c r="S127" s="1069"/>
      <c r="T127" s="1069"/>
      <c r="U127" s="1069"/>
      <c r="V127" s="1069"/>
      <c r="W127" s="1070"/>
      <c r="X127" s="1070"/>
      <c r="Y127" s="1070"/>
      <c r="Z127" s="1070"/>
      <c r="AA127" s="1070"/>
      <c r="AB127" s="1070"/>
      <c r="AC127" s="1070"/>
      <c r="AD127" s="1070"/>
      <c r="AE127" s="1070"/>
      <c r="AF127" s="1070"/>
      <c r="AG127" s="1070"/>
      <c r="AH127" s="1070"/>
      <c r="AI127" s="1070"/>
      <c r="AJ127" s="1070"/>
      <c r="AK127" s="1070"/>
      <c r="AL127" s="1067"/>
      <c r="AM127" s="1068"/>
      <c r="AN127" s="1068"/>
      <c r="AO127" s="1068"/>
    </row>
    <row r="128" spans="3:41" x14ac:dyDescent="0.2">
      <c r="C128" s="1061"/>
      <c r="D128" s="1062"/>
      <c r="E128" s="1061"/>
      <c r="F128" s="1061"/>
      <c r="G128" s="1061"/>
      <c r="H128" s="1061"/>
      <c r="I128" s="1061"/>
      <c r="J128" s="1061"/>
      <c r="K128" s="1061"/>
      <c r="L128" s="1061"/>
      <c r="M128" s="1061"/>
      <c r="N128" s="1061"/>
      <c r="O128" s="1061"/>
      <c r="P128" s="1061"/>
      <c r="Q128" s="1061"/>
      <c r="R128" s="1061"/>
      <c r="S128" s="1061"/>
      <c r="T128" s="1061"/>
      <c r="U128" s="1061"/>
      <c r="V128" s="1061"/>
      <c r="W128" s="1066"/>
      <c r="X128" s="1066"/>
      <c r="Y128" s="1066"/>
      <c r="Z128" s="1066"/>
      <c r="AA128" s="1066"/>
      <c r="AB128" s="1066"/>
      <c r="AC128" s="1066"/>
      <c r="AD128" s="1066"/>
      <c r="AE128" s="1066"/>
      <c r="AF128" s="1066"/>
      <c r="AG128" s="1066"/>
      <c r="AH128" s="1066"/>
      <c r="AI128" s="1066"/>
      <c r="AJ128" s="1066"/>
      <c r="AK128" s="1066"/>
      <c r="AL128" s="1067"/>
      <c r="AM128" s="1068"/>
      <c r="AN128" s="1068"/>
      <c r="AO128" s="1068"/>
    </row>
    <row r="129" spans="3:41" x14ac:dyDescent="0.2">
      <c r="C129" s="1061"/>
      <c r="D129" s="1062"/>
      <c r="E129" s="1061"/>
      <c r="F129" s="1061"/>
      <c r="G129" s="1061"/>
      <c r="H129" s="1061"/>
      <c r="I129" s="1061"/>
      <c r="J129" s="1061"/>
      <c r="K129" s="1061"/>
      <c r="L129" s="1061"/>
      <c r="M129" s="1061"/>
      <c r="N129" s="1061"/>
      <c r="O129" s="1061"/>
      <c r="P129" s="1061"/>
      <c r="Q129" s="1061"/>
      <c r="R129" s="1061"/>
      <c r="S129" s="1061"/>
      <c r="T129" s="1061"/>
      <c r="U129" s="1061"/>
      <c r="V129" s="1061"/>
      <c r="W129" s="1066"/>
      <c r="X129" s="1066"/>
      <c r="Y129" s="1066"/>
      <c r="Z129" s="1066"/>
      <c r="AA129" s="1066"/>
      <c r="AB129" s="1066"/>
      <c r="AC129" s="1066"/>
      <c r="AD129" s="1066"/>
      <c r="AE129" s="1066"/>
      <c r="AF129" s="1066"/>
      <c r="AG129" s="1066"/>
      <c r="AH129" s="1066"/>
      <c r="AI129" s="1066"/>
      <c r="AJ129" s="1066"/>
      <c r="AK129" s="1066"/>
      <c r="AL129" s="1067"/>
      <c r="AM129" s="1068"/>
      <c r="AN129" s="1068"/>
      <c r="AO129" s="1068"/>
    </row>
    <row r="130" spans="3:41" x14ac:dyDescent="0.2">
      <c r="C130" s="1061"/>
      <c r="D130" s="1062"/>
      <c r="E130" s="1061"/>
      <c r="F130" s="1061"/>
      <c r="G130" s="1061"/>
      <c r="H130" s="1061"/>
      <c r="I130" s="1061"/>
      <c r="J130" s="1061"/>
      <c r="K130" s="1061"/>
      <c r="L130" s="1061"/>
      <c r="M130" s="1061"/>
      <c r="N130" s="1061"/>
      <c r="O130" s="1061"/>
      <c r="P130" s="1061"/>
      <c r="Q130" s="1061"/>
      <c r="R130" s="1061"/>
      <c r="S130" s="1061"/>
      <c r="T130" s="1061"/>
      <c r="U130" s="1061"/>
      <c r="V130" s="1061"/>
      <c r="W130" s="1066"/>
      <c r="X130" s="1066"/>
      <c r="Y130" s="1066"/>
      <c r="Z130" s="1066"/>
      <c r="AA130" s="1066"/>
      <c r="AB130" s="1066"/>
      <c r="AC130" s="1066"/>
      <c r="AD130" s="1066"/>
      <c r="AE130" s="1066"/>
      <c r="AF130" s="1066"/>
      <c r="AG130" s="1066"/>
      <c r="AH130" s="1066"/>
      <c r="AI130" s="1066"/>
      <c r="AJ130" s="1066"/>
      <c r="AK130" s="1066"/>
      <c r="AL130" s="1067"/>
      <c r="AM130" s="1068"/>
      <c r="AN130" s="1068"/>
      <c r="AO130" s="1068"/>
    </row>
    <row r="131" spans="3:41" x14ac:dyDescent="0.2">
      <c r="C131" s="1061"/>
      <c r="D131" s="1062"/>
      <c r="E131" s="1061">
        <f t="shared" ref="E131:U131" si="31">E111*E46</f>
        <v>0</v>
      </c>
      <c r="F131" s="1061">
        <f t="shared" si="31"/>
        <v>0</v>
      </c>
      <c r="G131" s="1061">
        <f t="shared" si="31"/>
        <v>0</v>
      </c>
      <c r="H131" s="1061">
        <f t="shared" si="31"/>
        <v>0</v>
      </c>
      <c r="I131" s="1061">
        <f t="shared" si="31"/>
        <v>0</v>
      </c>
      <c r="J131" s="1061">
        <f t="shared" si="31"/>
        <v>0</v>
      </c>
      <c r="K131" s="1061">
        <f t="shared" si="31"/>
        <v>0</v>
      </c>
      <c r="L131" s="1061">
        <f t="shared" si="31"/>
        <v>0</v>
      </c>
      <c r="M131" s="1061">
        <f t="shared" si="31"/>
        <v>0</v>
      </c>
      <c r="N131" s="1061">
        <f t="shared" si="31"/>
        <v>0</v>
      </c>
      <c r="O131" s="1061">
        <f t="shared" si="31"/>
        <v>0</v>
      </c>
      <c r="P131" s="1061">
        <f t="shared" si="31"/>
        <v>0</v>
      </c>
      <c r="Q131" s="1061">
        <f t="shared" si="31"/>
        <v>0</v>
      </c>
      <c r="R131" s="1061">
        <f t="shared" si="31"/>
        <v>0</v>
      </c>
      <c r="S131" s="1061">
        <f t="shared" si="31"/>
        <v>0</v>
      </c>
      <c r="T131" s="1061">
        <f t="shared" si="31"/>
        <v>0</v>
      </c>
      <c r="U131" s="1061">
        <f t="shared" si="31"/>
        <v>0</v>
      </c>
      <c r="V131" s="1061"/>
      <c r="W131" s="1066"/>
      <c r="X131" s="1066"/>
      <c r="Y131" s="1066"/>
      <c r="Z131" s="1066"/>
      <c r="AA131" s="1066"/>
      <c r="AB131" s="1066"/>
      <c r="AC131" s="1066"/>
      <c r="AD131" s="1066"/>
      <c r="AE131" s="1066"/>
      <c r="AF131" s="1066"/>
      <c r="AG131" s="1066"/>
      <c r="AH131" s="1066"/>
      <c r="AI131" s="1066"/>
      <c r="AJ131" s="1066"/>
      <c r="AK131" s="1066"/>
      <c r="AL131" s="1067"/>
      <c r="AM131" s="1068"/>
      <c r="AN131" s="1068"/>
      <c r="AO131" s="1068"/>
    </row>
    <row r="132" spans="3:41" x14ac:dyDescent="0.2">
      <c r="C132" s="1061"/>
      <c r="D132" s="1062"/>
      <c r="E132" s="1061"/>
      <c r="F132" s="1061"/>
      <c r="G132" s="1061"/>
      <c r="H132" s="1061"/>
      <c r="I132" s="1061"/>
      <c r="J132" s="1061"/>
      <c r="K132" s="1061"/>
      <c r="L132" s="1061"/>
      <c r="M132" s="1061"/>
      <c r="N132" s="1061"/>
      <c r="O132" s="1061"/>
      <c r="P132" s="1061"/>
      <c r="Q132" s="1061"/>
      <c r="R132" s="1061"/>
      <c r="S132" s="1061"/>
      <c r="T132" s="1071"/>
      <c r="U132" s="1066"/>
      <c r="V132" s="1072"/>
      <c r="W132" s="1066"/>
      <c r="X132" s="1066"/>
      <c r="Y132" s="1066"/>
      <c r="Z132" s="1066"/>
      <c r="AA132" s="1066"/>
      <c r="AB132" s="1066"/>
      <c r="AC132" s="1066"/>
      <c r="AD132" s="1066"/>
      <c r="AE132" s="1066"/>
      <c r="AF132" s="1066"/>
      <c r="AG132" s="1066"/>
      <c r="AH132" s="1066"/>
      <c r="AI132" s="1066"/>
      <c r="AJ132" s="1066"/>
      <c r="AK132" s="1066"/>
      <c r="AL132" s="1067"/>
      <c r="AM132" s="1068"/>
      <c r="AN132" s="1068"/>
      <c r="AO132" s="1068"/>
    </row>
    <row r="133" spans="3:41" x14ac:dyDescent="0.2">
      <c r="C133" s="1061"/>
      <c r="D133" s="1062"/>
      <c r="E133" s="1061"/>
      <c r="F133" s="1061"/>
      <c r="G133" s="1061"/>
      <c r="H133" s="1061"/>
      <c r="I133" s="1061"/>
      <c r="J133" s="1061"/>
      <c r="K133" s="1061"/>
      <c r="L133" s="1061"/>
      <c r="M133" s="1061"/>
      <c r="N133" s="1061"/>
      <c r="O133" s="1061"/>
      <c r="P133" s="1061"/>
      <c r="Q133" s="1061"/>
      <c r="R133" s="1061"/>
      <c r="S133" s="1061"/>
      <c r="T133" s="1071"/>
      <c r="U133" s="1066"/>
      <c r="V133" s="1072"/>
      <c r="W133" s="1066"/>
      <c r="X133" s="1066"/>
      <c r="Y133" s="1066"/>
      <c r="Z133" s="1066"/>
      <c r="AA133" s="1066"/>
      <c r="AB133" s="1066"/>
      <c r="AC133" s="1066"/>
      <c r="AD133" s="1066"/>
      <c r="AE133" s="1066"/>
      <c r="AF133" s="1066"/>
      <c r="AG133" s="1066"/>
      <c r="AH133" s="1066"/>
      <c r="AI133" s="1066"/>
      <c r="AJ133" s="1066"/>
      <c r="AK133" s="1066"/>
      <c r="AL133" s="1067"/>
      <c r="AM133" s="1068"/>
      <c r="AN133" s="1068"/>
      <c r="AO133" s="1068"/>
    </row>
    <row r="134" spans="3:41" x14ac:dyDescent="0.2">
      <c r="C134" s="1061"/>
      <c r="D134" s="1062"/>
      <c r="E134" s="1061"/>
      <c r="F134" s="1061"/>
      <c r="G134" s="1061"/>
      <c r="H134" s="1061"/>
      <c r="I134" s="1061"/>
      <c r="J134" s="1061"/>
      <c r="K134" s="1061"/>
      <c r="L134" s="1061"/>
      <c r="M134" s="1061"/>
      <c r="N134" s="1061"/>
      <c r="O134" s="1061"/>
      <c r="P134" s="1061"/>
      <c r="Q134" s="1061"/>
      <c r="R134" s="1061"/>
      <c r="S134" s="1061"/>
      <c r="T134" s="1071"/>
      <c r="U134" s="1066"/>
      <c r="V134" s="1072"/>
      <c r="W134" s="1066"/>
      <c r="X134" s="1066"/>
      <c r="Y134" s="1066"/>
      <c r="Z134" s="1066"/>
      <c r="AA134" s="1066"/>
      <c r="AB134" s="1066"/>
      <c r="AC134" s="1066"/>
      <c r="AD134" s="1066"/>
      <c r="AE134" s="1066"/>
      <c r="AF134" s="1066"/>
      <c r="AG134" s="1066"/>
      <c r="AH134" s="1066"/>
      <c r="AI134" s="1066"/>
      <c r="AJ134" s="1066"/>
      <c r="AK134" s="1066"/>
      <c r="AL134" s="1067"/>
      <c r="AM134" s="1068"/>
      <c r="AN134" s="1068"/>
      <c r="AO134" s="1068"/>
    </row>
    <row r="135" spans="3:41" x14ac:dyDescent="0.2">
      <c r="C135" s="1061"/>
      <c r="D135" s="1062"/>
      <c r="E135" s="1061"/>
      <c r="F135" s="1061"/>
      <c r="G135" s="1061"/>
      <c r="H135" s="1061"/>
      <c r="I135" s="1061"/>
      <c r="J135" s="1061"/>
      <c r="K135" s="1061"/>
      <c r="L135" s="1061"/>
      <c r="M135" s="1061"/>
      <c r="N135" s="1061"/>
      <c r="O135" s="1061"/>
      <c r="P135" s="1061"/>
      <c r="Q135" s="1061"/>
      <c r="R135" s="1061"/>
      <c r="S135" s="1061"/>
      <c r="T135" s="1071"/>
      <c r="U135" s="1066"/>
      <c r="V135" s="1072"/>
      <c r="W135" s="1066"/>
      <c r="X135" s="1066"/>
      <c r="Y135" s="1066"/>
      <c r="Z135" s="1066"/>
      <c r="AA135" s="1066"/>
      <c r="AB135" s="1066"/>
      <c r="AC135" s="1066"/>
      <c r="AD135" s="1066"/>
      <c r="AE135" s="1066"/>
      <c r="AF135" s="1066"/>
      <c r="AG135" s="1066"/>
      <c r="AH135" s="1066"/>
      <c r="AI135" s="1066"/>
      <c r="AJ135" s="1066"/>
      <c r="AK135" s="1066"/>
      <c r="AL135" s="1067"/>
      <c r="AM135" s="1068"/>
      <c r="AN135" s="1068"/>
      <c r="AO135" s="1068"/>
    </row>
    <row r="136" spans="3:41" x14ac:dyDescent="0.2">
      <c r="C136" s="1061"/>
      <c r="D136" s="1062"/>
      <c r="E136" s="1061"/>
      <c r="F136" s="1061"/>
      <c r="G136" s="1061"/>
      <c r="H136" s="1061"/>
      <c r="I136" s="1061"/>
      <c r="J136" s="1061"/>
      <c r="K136" s="1061"/>
      <c r="L136" s="1061"/>
      <c r="M136" s="1061"/>
      <c r="N136" s="1061"/>
      <c r="O136" s="1061"/>
      <c r="P136" s="1061"/>
      <c r="Q136" s="1061"/>
      <c r="R136" s="1061"/>
      <c r="S136" s="1061"/>
      <c r="T136" s="1071"/>
      <c r="U136" s="1066"/>
      <c r="V136" s="1072"/>
      <c r="W136" s="1066"/>
      <c r="X136" s="1066"/>
      <c r="Y136" s="1066"/>
      <c r="Z136" s="1066"/>
      <c r="AA136" s="1066"/>
      <c r="AB136" s="1066"/>
      <c r="AC136" s="1066"/>
      <c r="AD136" s="1066"/>
      <c r="AE136" s="1066"/>
      <c r="AF136" s="1066"/>
      <c r="AG136" s="1066"/>
      <c r="AH136" s="1066"/>
      <c r="AI136" s="1066"/>
      <c r="AJ136" s="1066"/>
      <c r="AK136" s="1066"/>
      <c r="AL136" s="1067"/>
      <c r="AM136" s="1068"/>
      <c r="AN136" s="1068"/>
      <c r="AO136" s="1068"/>
    </row>
    <row r="137" spans="3:41" x14ac:dyDescent="0.2">
      <c r="C137" s="1061"/>
      <c r="D137" s="1062"/>
      <c r="E137" s="1061"/>
      <c r="F137" s="1061"/>
      <c r="G137" s="1061"/>
      <c r="H137" s="1061"/>
      <c r="I137" s="1061"/>
      <c r="J137" s="1061"/>
      <c r="K137" s="1061"/>
      <c r="L137" s="1061"/>
      <c r="M137" s="1061"/>
      <c r="N137" s="1061"/>
      <c r="O137" s="1061"/>
      <c r="P137" s="1061"/>
      <c r="Q137" s="1061"/>
      <c r="R137" s="1061"/>
      <c r="S137" s="1061"/>
      <c r="T137" s="1071"/>
      <c r="U137" s="1066"/>
      <c r="V137" s="1072"/>
      <c r="W137" s="1066"/>
      <c r="X137" s="1066"/>
      <c r="Y137" s="1066"/>
      <c r="Z137" s="1066"/>
      <c r="AA137" s="1066"/>
      <c r="AB137" s="1066"/>
      <c r="AC137" s="1066"/>
      <c r="AD137" s="1066"/>
      <c r="AE137" s="1066"/>
      <c r="AF137" s="1066"/>
      <c r="AG137" s="1066"/>
      <c r="AH137" s="1066"/>
      <c r="AI137" s="1066"/>
      <c r="AJ137" s="1066"/>
      <c r="AK137" s="1066"/>
      <c r="AL137" s="1067"/>
      <c r="AM137" s="1068"/>
      <c r="AN137" s="1068"/>
      <c r="AO137" s="1068"/>
    </row>
    <row r="138" spans="3:41" x14ac:dyDescent="0.2">
      <c r="C138" s="1061"/>
      <c r="D138" s="1062"/>
      <c r="E138" s="1061"/>
      <c r="F138" s="1061"/>
      <c r="G138" s="1061"/>
      <c r="H138" s="1061"/>
      <c r="I138" s="1061"/>
      <c r="J138" s="1061"/>
      <c r="K138" s="1061"/>
      <c r="L138" s="1061"/>
      <c r="M138" s="1061"/>
      <c r="N138" s="1061"/>
      <c r="O138" s="1061"/>
      <c r="P138" s="1061"/>
      <c r="Q138" s="1061"/>
      <c r="R138" s="1061"/>
      <c r="S138" s="1061"/>
      <c r="T138" s="1071"/>
      <c r="U138" s="1066"/>
      <c r="V138" s="1072"/>
      <c r="W138" s="1066"/>
      <c r="X138" s="1066"/>
      <c r="Y138" s="1066"/>
      <c r="Z138" s="1066"/>
      <c r="AA138" s="1066"/>
      <c r="AB138" s="1066"/>
      <c r="AC138" s="1066"/>
      <c r="AD138" s="1066"/>
      <c r="AE138" s="1066"/>
      <c r="AF138" s="1066"/>
      <c r="AG138" s="1066"/>
      <c r="AH138" s="1066"/>
      <c r="AI138" s="1066"/>
      <c r="AJ138" s="1066"/>
      <c r="AK138" s="1066"/>
      <c r="AL138" s="1067"/>
      <c r="AM138" s="1068"/>
      <c r="AN138" s="1068"/>
      <c r="AO138" s="1068"/>
    </row>
    <row r="139" spans="3:41" x14ac:dyDescent="0.2">
      <c r="C139" s="1061"/>
      <c r="D139" s="1062"/>
      <c r="E139" s="1061"/>
      <c r="F139" s="1061"/>
      <c r="G139" s="1061"/>
      <c r="H139" s="1061"/>
      <c r="I139" s="1061"/>
      <c r="J139" s="1061"/>
      <c r="K139" s="1061"/>
      <c r="L139" s="1061"/>
      <c r="M139" s="1061"/>
      <c r="N139" s="1061"/>
      <c r="O139" s="1061"/>
      <c r="P139" s="1061"/>
      <c r="Q139" s="1061"/>
      <c r="R139" s="1061"/>
      <c r="S139" s="1061"/>
      <c r="T139" s="1071"/>
      <c r="U139" s="1066"/>
      <c r="V139" s="1072"/>
      <c r="W139" s="1066"/>
      <c r="X139" s="1066"/>
      <c r="Y139" s="1066"/>
      <c r="Z139" s="1066"/>
      <c r="AA139" s="1066"/>
      <c r="AB139" s="1066"/>
      <c r="AC139" s="1066"/>
      <c r="AD139" s="1066"/>
      <c r="AE139" s="1066"/>
      <c r="AF139" s="1066"/>
      <c r="AG139" s="1066"/>
      <c r="AH139" s="1066"/>
      <c r="AI139" s="1066"/>
      <c r="AJ139" s="1066"/>
      <c r="AK139" s="1066"/>
      <c r="AL139" s="1067"/>
      <c r="AM139" s="1068"/>
      <c r="AN139" s="1068"/>
      <c r="AO139" s="1068"/>
    </row>
    <row r="140" spans="3:41" x14ac:dyDescent="0.2">
      <c r="C140" s="1061"/>
      <c r="D140" s="1062"/>
      <c r="E140" s="1061"/>
      <c r="F140" s="1061"/>
      <c r="G140" s="1061"/>
      <c r="H140" s="1061"/>
      <c r="I140" s="1061"/>
      <c r="J140" s="1061"/>
      <c r="K140" s="1061"/>
      <c r="L140" s="1061"/>
      <c r="M140" s="1061"/>
      <c r="N140" s="1061"/>
      <c r="O140" s="1061"/>
      <c r="P140" s="1061"/>
      <c r="Q140" s="1061"/>
      <c r="R140" s="1061"/>
      <c r="S140" s="1061"/>
      <c r="T140" s="1071"/>
      <c r="U140" s="1066"/>
      <c r="V140" s="1072"/>
      <c r="W140" s="1066"/>
      <c r="X140" s="1066"/>
      <c r="Y140" s="1066"/>
      <c r="Z140" s="1066"/>
      <c r="AA140" s="1066"/>
      <c r="AB140" s="1066"/>
      <c r="AC140" s="1066"/>
      <c r="AD140" s="1066"/>
      <c r="AE140" s="1066"/>
      <c r="AF140" s="1066"/>
      <c r="AG140" s="1066"/>
      <c r="AH140" s="1066"/>
      <c r="AI140" s="1066"/>
      <c r="AJ140" s="1066"/>
      <c r="AK140" s="1066"/>
      <c r="AL140" s="1067"/>
      <c r="AM140" s="1068"/>
      <c r="AN140" s="1068"/>
      <c r="AO140" s="1068"/>
    </row>
    <row r="141" spans="3:41" x14ac:dyDescent="0.2">
      <c r="C141" s="1061"/>
      <c r="D141" s="1062"/>
      <c r="E141" s="1061"/>
      <c r="F141" s="1061"/>
      <c r="G141" s="1061"/>
      <c r="H141" s="1061"/>
      <c r="I141" s="1061"/>
      <c r="J141" s="1061"/>
      <c r="K141" s="1061"/>
      <c r="L141" s="1061"/>
      <c r="M141" s="1061"/>
      <c r="N141" s="1061"/>
      <c r="O141" s="1061"/>
      <c r="P141" s="1061"/>
      <c r="Q141" s="1061"/>
      <c r="R141" s="1061"/>
      <c r="S141" s="1061"/>
      <c r="T141" s="1071"/>
      <c r="U141" s="1066"/>
      <c r="V141" s="1072"/>
      <c r="W141" s="1066"/>
      <c r="X141" s="1066"/>
      <c r="Y141" s="1066"/>
      <c r="Z141" s="1066"/>
      <c r="AA141" s="1066"/>
      <c r="AB141" s="1066"/>
      <c r="AC141" s="1066"/>
      <c r="AD141" s="1066"/>
      <c r="AE141" s="1066"/>
      <c r="AF141" s="1066"/>
      <c r="AG141" s="1066"/>
      <c r="AH141" s="1066"/>
      <c r="AI141" s="1066"/>
      <c r="AJ141" s="1066"/>
      <c r="AK141" s="1066"/>
      <c r="AL141" s="1067"/>
      <c r="AM141" s="1068"/>
      <c r="AN141" s="1068"/>
      <c r="AO141" s="1068"/>
    </row>
    <row r="142" spans="3:41" x14ac:dyDescent="0.2">
      <c r="C142" s="1061"/>
      <c r="D142" s="1062"/>
      <c r="E142" s="1061"/>
      <c r="F142" s="1061"/>
      <c r="G142" s="1061"/>
      <c r="H142" s="1061"/>
      <c r="I142" s="1061"/>
      <c r="J142" s="1061"/>
      <c r="K142" s="1061"/>
      <c r="L142" s="1061"/>
      <c r="M142" s="1061"/>
      <c r="N142" s="1061"/>
      <c r="O142" s="1061"/>
      <c r="P142" s="1061"/>
      <c r="Q142" s="1061"/>
      <c r="R142" s="1061"/>
      <c r="S142" s="1061"/>
      <c r="T142" s="1071"/>
      <c r="U142" s="1066"/>
      <c r="V142" s="1072"/>
      <c r="W142" s="1066"/>
      <c r="X142" s="1066"/>
      <c r="Y142" s="1066"/>
      <c r="Z142" s="1066"/>
      <c r="AA142" s="1066"/>
      <c r="AB142" s="1066"/>
      <c r="AC142" s="1066"/>
      <c r="AD142" s="1066"/>
      <c r="AE142" s="1066"/>
      <c r="AF142" s="1066"/>
      <c r="AG142" s="1066"/>
      <c r="AH142" s="1066"/>
      <c r="AI142" s="1066"/>
      <c r="AJ142" s="1066"/>
      <c r="AK142" s="1066"/>
      <c r="AL142" s="1067"/>
      <c r="AM142" s="1068"/>
      <c r="AN142" s="1068"/>
      <c r="AO142" s="1068"/>
    </row>
    <row r="143" spans="3:41" x14ac:dyDescent="0.2">
      <c r="C143" s="1061"/>
      <c r="D143" s="1062"/>
      <c r="E143" s="1061"/>
      <c r="F143" s="1061"/>
      <c r="G143" s="1061"/>
      <c r="H143" s="1061"/>
      <c r="I143" s="1061"/>
      <c r="J143" s="1061"/>
      <c r="K143" s="1061"/>
      <c r="L143" s="1061"/>
      <c r="M143" s="1061"/>
      <c r="N143" s="1061"/>
      <c r="O143" s="1061"/>
      <c r="P143" s="1061"/>
      <c r="Q143" s="1061"/>
      <c r="R143" s="1061"/>
      <c r="S143" s="1061"/>
      <c r="T143" s="1071"/>
      <c r="U143" s="1066"/>
      <c r="V143" s="1072"/>
      <c r="W143" s="1066"/>
      <c r="X143" s="1066"/>
      <c r="Y143" s="1066"/>
      <c r="Z143" s="1066"/>
      <c r="AA143" s="1066"/>
      <c r="AB143" s="1066"/>
      <c r="AC143" s="1066"/>
      <c r="AD143" s="1066"/>
      <c r="AE143" s="1066"/>
      <c r="AF143" s="1066"/>
      <c r="AG143" s="1066"/>
      <c r="AH143" s="1066"/>
      <c r="AI143" s="1066"/>
      <c r="AJ143" s="1066"/>
      <c r="AK143" s="1066"/>
      <c r="AL143" s="1067"/>
      <c r="AM143" s="1068"/>
      <c r="AN143" s="1068"/>
      <c r="AO143" s="1068"/>
    </row>
    <row r="144" spans="3:41" x14ac:dyDescent="0.2">
      <c r="C144" s="1061"/>
      <c r="D144" s="1062"/>
      <c r="E144" s="1061"/>
      <c r="F144" s="1061"/>
      <c r="G144" s="1061"/>
      <c r="H144" s="1061"/>
      <c r="I144" s="1061"/>
      <c r="J144" s="1061"/>
      <c r="K144" s="1061"/>
      <c r="L144" s="1061"/>
      <c r="M144" s="1061"/>
      <c r="N144" s="1061"/>
      <c r="O144" s="1061"/>
      <c r="P144" s="1061"/>
      <c r="Q144" s="1061"/>
      <c r="R144" s="1061"/>
      <c r="S144" s="1061"/>
      <c r="T144" s="1071"/>
      <c r="U144" s="1066"/>
      <c r="V144" s="1072"/>
      <c r="W144" s="1066"/>
      <c r="X144" s="1066"/>
      <c r="Y144" s="1066"/>
      <c r="Z144" s="1066"/>
      <c r="AA144" s="1066"/>
      <c r="AB144" s="1066"/>
      <c r="AC144" s="1066"/>
      <c r="AD144" s="1066"/>
      <c r="AE144" s="1066"/>
      <c r="AF144" s="1066"/>
      <c r="AG144" s="1066"/>
      <c r="AH144" s="1066"/>
      <c r="AI144" s="1066"/>
      <c r="AJ144" s="1066"/>
      <c r="AK144" s="1066"/>
      <c r="AL144" s="1067"/>
      <c r="AM144" s="1068"/>
      <c r="AN144" s="1068"/>
      <c r="AO144" s="1068"/>
    </row>
    <row r="145" spans="3:41" x14ac:dyDescent="0.2">
      <c r="C145" s="1061"/>
      <c r="D145" s="1062"/>
      <c r="E145" s="1061"/>
      <c r="F145" s="1061"/>
      <c r="G145" s="1061"/>
      <c r="H145" s="1061"/>
      <c r="I145" s="1061"/>
      <c r="J145" s="1061"/>
      <c r="K145" s="1061"/>
      <c r="L145" s="1061"/>
      <c r="M145" s="1061"/>
      <c r="N145" s="1061"/>
      <c r="O145" s="1061"/>
      <c r="P145" s="1061"/>
      <c r="Q145" s="1061"/>
      <c r="R145" s="1061"/>
      <c r="S145" s="1061"/>
      <c r="T145" s="1071"/>
      <c r="U145" s="1066"/>
      <c r="V145" s="1072"/>
      <c r="W145" s="1066"/>
      <c r="X145" s="1066"/>
      <c r="Y145" s="1066"/>
      <c r="Z145" s="1066"/>
      <c r="AA145" s="1066"/>
      <c r="AB145" s="1066"/>
      <c r="AC145" s="1066"/>
      <c r="AD145" s="1066"/>
      <c r="AE145" s="1066"/>
      <c r="AF145" s="1066"/>
      <c r="AG145" s="1066"/>
      <c r="AH145" s="1066"/>
      <c r="AI145" s="1066"/>
      <c r="AJ145" s="1066"/>
      <c r="AK145" s="1066"/>
      <c r="AL145" s="1067"/>
      <c r="AM145" s="1068"/>
      <c r="AN145" s="1068"/>
      <c r="AO145" s="1068"/>
    </row>
    <row r="146" spans="3:41" x14ac:dyDescent="0.2">
      <c r="C146" s="1061"/>
      <c r="D146" s="1062"/>
      <c r="E146" s="1061">
        <f t="shared" ref="E146:U146" si="32">IF($D$11="Promaseal",E23*2.5,0)</f>
        <v>0</v>
      </c>
      <c r="F146" s="1061">
        <f t="shared" si="32"/>
        <v>0</v>
      </c>
      <c r="G146" s="1061">
        <f t="shared" si="32"/>
        <v>0</v>
      </c>
      <c r="H146" s="1061">
        <f t="shared" si="32"/>
        <v>0</v>
      </c>
      <c r="I146" s="1061">
        <f t="shared" si="32"/>
        <v>0</v>
      </c>
      <c r="J146" s="1061">
        <f t="shared" si="32"/>
        <v>0</v>
      </c>
      <c r="K146" s="1061">
        <f t="shared" si="32"/>
        <v>0</v>
      </c>
      <c r="L146" s="1061">
        <f t="shared" si="32"/>
        <v>0</v>
      </c>
      <c r="M146" s="1061">
        <f t="shared" si="32"/>
        <v>0</v>
      </c>
      <c r="N146" s="1061">
        <f t="shared" si="32"/>
        <v>0</v>
      </c>
      <c r="O146" s="1061">
        <f t="shared" si="32"/>
        <v>0</v>
      </c>
      <c r="P146" s="1061">
        <f t="shared" si="32"/>
        <v>0</v>
      </c>
      <c r="Q146" s="1061">
        <f t="shared" si="32"/>
        <v>0</v>
      </c>
      <c r="R146" s="1061">
        <f t="shared" si="32"/>
        <v>0</v>
      </c>
      <c r="S146" s="1061">
        <f t="shared" si="32"/>
        <v>0</v>
      </c>
      <c r="T146" s="1061">
        <f t="shared" si="32"/>
        <v>0</v>
      </c>
      <c r="U146" s="1061">
        <f t="shared" si="32"/>
        <v>0</v>
      </c>
      <c r="V146" s="1072"/>
      <c r="W146" s="1066"/>
      <c r="X146" s="1066"/>
      <c r="Y146" s="1066"/>
      <c r="Z146" s="1066"/>
      <c r="AA146" s="1066"/>
      <c r="AB146" s="1066"/>
      <c r="AC146" s="1066"/>
      <c r="AD146" s="1066"/>
      <c r="AE146" s="1066"/>
      <c r="AF146" s="1066"/>
      <c r="AG146" s="1066"/>
      <c r="AH146" s="1066"/>
      <c r="AI146" s="1066"/>
      <c r="AJ146" s="1066"/>
      <c r="AK146" s="1066"/>
      <c r="AL146" s="1067"/>
      <c r="AM146" s="1068"/>
      <c r="AN146" s="1068"/>
      <c r="AO146" s="1068"/>
    </row>
    <row r="147" spans="3:41" x14ac:dyDescent="0.2">
      <c r="C147" s="1061"/>
      <c r="D147" s="1062"/>
      <c r="E147" s="1061"/>
      <c r="F147" s="1061"/>
      <c r="G147" s="1061"/>
      <c r="H147" s="1061"/>
      <c r="I147" s="1061"/>
      <c r="J147" s="1061"/>
      <c r="K147" s="1061"/>
      <c r="L147" s="1061"/>
      <c r="M147" s="1061"/>
      <c r="N147" s="1061"/>
      <c r="O147" s="1061"/>
      <c r="P147" s="1061"/>
      <c r="Q147" s="1061"/>
      <c r="R147" s="1061"/>
      <c r="S147" s="1061"/>
      <c r="T147" s="1061"/>
      <c r="U147" s="1061"/>
      <c r="V147" s="1072"/>
      <c r="W147" s="1066"/>
      <c r="X147" s="1066"/>
      <c r="Y147" s="1066"/>
      <c r="Z147" s="1066"/>
      <c r="AA147" s="1066"/>
      <c r="AB147" s="1066"/>
      <c r="AC147" s="1066"/>
      <c r="AD147" s="1066"/>
      <c r="AE147" s="1066"/>
      <c r="AF147" s="1066"/>
      <c r="AG147" s="1066"/>
      <c r="AH147" s="1066"/>
      <c r="AI147" s="1066"/>
      <c r="AJ147" s="1066"/>
      <c r="AK147" s="1066"/>
      <c r="AL147" s="1067"/>
      <c r="AM147" s="1068"/>
      <c r="AN147" s="1068"/>
      <c r="AO147" s="1068"/>
    </row>
    <row r="148" spans="3:41" x14ac:dyDescent="0.2">
      <c r="C148" s="1061"/>
      <c r="D148" s="1062"/>
      <c r="E148" s="1061"/>
      <c r="F148" s="1061"/>
      <c r="G148" s="1061"/>
      <c r="H148" s="1061"/>
      <c r="I148" s="1061"/>
      <c r="J148" s="1061"/>
      <c r="K148" s="1061"/>
      <c r="L148" s="1061"/>
      <c r="M148" s="1061"/>
      <c r="N148" s="1061"/>
      <c r="O148" s="1061"/>
      <c r="P148" s="1061"/>
      <c r="Q148" s="1061"/>
      <c r="R148" s="1061"/>
      <c r="S148" s="1061"/>
      <c r="T148" s="1061"/>
      <c r="U148" s="1061"/>
      <c r="V148" s="1072"/>
      <c r="W148" s="1066"/>
      <c r="X148" s="1066"/>
      <c r="Y148" s="1066"/>
      <c r="Z148" s="1066"/>
      <c r="AA148" s="1066"/>
      <c r="AB148" s="1066"/>
      <c r="AC148" s="1066"/>
      <c r="AD148" s="1066"/>
      <c r="AE148" s="1066"/>
      <c r="AF148" s="1066"/>
      <c r="AG148" s="1066"/>
      <c r="AH148" s="1066"/>
      <c r="AI148" s="1066"/>
      <c r="AJ148" s="1066"/>
      <c r="AK148" s="1066"/>
      <c r="AL148" s="1067"/>
      <c r="AM148" s="1068"/>
      <c r="AN148" s="1068"/>
      <c r="AO148" s="1068"/>
    </row>
    <row r="149" spans="3:41" x14ac:dyDescent="0.2">
      <c r="C149" s="1061"/>
      <c r="D149" s="1062"/>
      <c r="E149" s="1061"/>
      <c r="F149" s="1061"/>
      <c r="G149" s="1061"/>
      <c r="H149" s="1061"/>
      <c r="I149" s="1061"/>
      <c r="J149" s="1061"/>
      <c r="K149" s="1061"/>
      <c r="L149" s="1061"/>
      <c r="M149" s="1061"/>
      <c r="N149" s="1061"/>
      <c r="O149" s="1061"/>
      <c r="P149" s="1061"/>
      <c r="Q149" s="1061"/>
      <c r="R149" s="1061"/>
      <c r="S149" s="1061"/>
      <c r="T149" s="1061"/>
      <c r="U149" s="1061"/>
      <c r="V149" s="1072"/>
      <c r="W149" s="1066"/>
      <c r="X149" s="1066"/>
      <c r="Y149" s="1066"/>
      <c r="Z149" s="1066"/>
      <c r="AA149" s="1066"/>
      <c r="AB149" s="1066"/>
      <c r="AC149" s="1066"/>
      <c r="AD149" s="1066"/>
      <c r="AE149" s="1066"/>
      <c r="AF149" s="1066"/>
      <c r="AG149" s="1066"/>
      <c r="AH149" s="1066"/>
      <c r="AI149" s="1066"/>
      <c r="AJ149" s="1066"/>
      <c r="AK149" s="1066"/>
      <c r="AL149" s="1067"/>
      <c r="AM149" s="1068"/>
      <c r="AN149" s="1068"/>
      <c r="AO149" s="1068"/>
    </row>
    <row r="150" spans="3:41" x14ac:dyDescent="0.2">
      <c r="C150" s="1061"/>
      <c r="D150" s="1062"/>
      <c r="E150" s="1061"/>
      <c r="F150" s="1061"/>
      <c r="G150" s="1061"/>
      <c r="H150" s="1061"/>
      <c r="I150" s="1061"/>
      <c r="J150" s="1061"/>
      <c r="K150" s="1061"/>
      <c r="L150" s="1061"/>
      <c r="M150" s="1061"/>
      <c r="N150" s="1061"/>
      <c r="O150" s="1061"/>
      <c r="P150" s="1061"/>
      <c r="Q150" s="1061"/>
      <c r="R150" s="1061"/>
      <c r="S150" s="1061"/>
      <c r="T150" s="1061"/>
      <c r="U150" s="1061"/>
      <c r="V150" s="1072"/>
      <c r="W150" s="1066"/>
      <c r="X150" s="1066"/>
      <c r="Y150" s="1066"/>
      <c r="Z150" s="1066"/>
      <c r="AA150" s="1066"/>
      <c r="AB150" s="1066"/>
      <c r="AC150" s="1066"/>
      <c r="AD150" s="1066"/>
      <c r="AE150" s="1066"/>
      <c r="AF150" s="1066"/>
      <c r="AG150" s="1066"/>
      <c r="AH150" s="1066"/>
      <c r="AI150" s="1066"/>
      <c r="AJ150" s="1066"/>
      <c r="AK150" s="1066"/>
      <c r="AL150" s="1067"/>
      <c r="AM150" s="1068"/>
      <c r="AN150" s="1068"/>
      <c r="AO150" s="1068"/>
    </row>
    <row r="151" spans="3:41" x14ac:dyDescent="0.2">
      <c r="C151" s="1061"/>
      <c r="D151" s="1062"/>
      <c r="E151" s="1061"/>
      <c r="F151" s="1061"/>
      <c r="G151" s="1061"/>
      <c r="H151" s="1061"/>
      <c r="I151" s="1061"/>
      <c r="J151" s="1061"/>
      <c r="K151" s="1061"/>
      <c r="L151" s="1061"/>
      <c r="M151" s="1061"/>
      <c r="N151" s="1061"/>
      <c r="O151" s="1061"/>
      <c r="P151" s="1061"/>
      <c r="Q151" s="1061"/>
      <c r="R151" s="1061"/>
      <c r="S151" s="1061"/>
      <c r="T151" s="1061"/>
      <c r="U151" s="1061"/>
      <c r="V151" s="1072"/>
      <c r="W151" s="1066"/>
      <c r="X151" s="1066"/>
      <c r="Y151" s="1066"/>
      <c r="Z151" s="1066"/>
      <c r="AA151" s="1066"/>
      <c r="AB151" s="1066"/>
      <c r="AC151" s="1066"/>
      <c r="AD151" s="1066"/>
      <c r="AE151" s="1066"/>
      <c r="AF151" s="1066"/>
      <c r="AG151" s="1066"/>
      <c r="AH151" s="1066"/>
      <c r="AI151" s="1066"/>
      <c r="AJ151" s="1066"/>
      <c r="AK151" s="1066"/>
      <c r="AL151" s="1067"/>
      <c r="AM151" s="1068"/>
      <c r="AN151" s="1068"/>
      <c r="AO151" s="1068"/>
    </row>
    <row r="152" spans="3:41" x14ac:dyDescent="0.2">
      <c r="C152" s="1061"/>
      <c r="D152" s="1062"/>
      <c r="E152" s="1061"/>
      <c r="F152" s="1061"/>
      <c r="G152" s="1061"/>
      <c r="H152" s="1061"/>
      <c r="I152" s="1061"/>
      <c r="J152" s="1061"/>
      <c r="K152" s="1061"/>
      <c r="L152" s="1061"/>
      <c r="M152" s="1061"/>
      <c r="N152" s="1061"/>
      <c r="O152" s="1061"/>
      <c r="P152" s="1061"/>
      <c r="Q152" s="1061"/>
      <c r="R152" s="1061"/>
      <c r="S152" s="1061"/>
      <c r="T152" s="1061"/>
      <c r="U152" s="1061"/>
      <c r="V152" s="1072"/>
      <c r="W152" s="1066"/>
      <c r="X152" s="1067"/>
      <c r="Y152" s="1067"/>
      <c r="Z152" s="1067"/>
      <c r="AA152" s="1067"/>
      <c r="AB152" s="1067"/>
      <c r="AC152" s="1067"/>
      <c r="AD152" s="1067"/>
      <c r="AE152" s="1067"/>
      <c r="AF152" s="1067"/>
      <c r="AG152" s="1067"/>
      <c r="AH152" s="1067"/>
      <c r="AI152" s="1067"/>
      <c r="AJ152" s="1067"/>
      <c r="AK152" s="1067"/>
      <c r="AL152" s="1067"/>
      <c r="AM152" s="1068"/>
      <c r="AN152" s="1068"/>
      <c r="AO152" s="1068"/>
    </row>
    <row r="153" spans="3:41" x14ac:dyDescent="0.2">
      <c r="C153" s="1061"/>
      <c r="D153" s="1062"/>
      <c r="E153" s="1061"/>
      <c r="F153" s="1061"/>
      <c r="G153" s="1061"/>
      <c r="H153" s="1061"/>
      <c r="I153" s="1061"/>
      <c r="J153" s="1061"/>
      <c r="K153" s="1061"/>
      <c r="L153" s="1061"/>
      <c r="M153" s="1061"/>
      <c r="N153" s="1061"/>
      <c r="O153" s="1061"/>
      <c r="P153" s="1061"/>
      <c r="Q153" s="1061"/>
      <c r="R153" s="1061"/>
      <c r="S153" s="1061"/>
      <c r="T153" s="1061"/>
      <c r="U153" s="1061"/>
      <c r="V153" s="1072"/>
      <c r="W153" s="1066"/>
      <c r="X153" s="1067"/>
      <c r="Y153" s="1067"/>
      <c r="Z153" s="1067"/>
      <c r="AA153" s="1067"/>
      <c r="AB153" s="1067"/>
      <c r="AC153" s="1067"/>
      <c r="AD153" s="1067"/>
      <c r="AE153" s="1067"/>
      <c r="AF153" s="1067"/>
      <c r="AG153" s="1067"/>
      <c r="AH153" s="1067"/>
      <c r="AI153" s="1067"/>
      <c r="AJ153" s="1067"/>
      <c r="AK153" s="1067"/>
      <c r="AL153" s="1067"/>
      <c r="AM153" s="1068"/>
      <c r="AN153" s="1068"/>
      <c r="AO153" s="1068"/>
    </row>
    <row r="154" spans="3:41" x14ac:dyDescent="0.2">
      <c r="C154" s="1061"/>
      <c r="D154" s="1062"/>
      <c r="E154" s="1061"/>
      <c r="F154" s="1061"/>
      <c r="G154" s="1061"/>
      <c r="H154" s="1061"/>
      <c r="I154" s="1061"/>
      <c r="J154" s="1061"/>
      <c r="K154" s="1061"/>
      <c r="L154" s="1061"/>
      <c r="M154" s="1061"/>
      <c r="N154" s="1061"/>
      <c r="O154" s="1061"/>
      <c r="P154" s="1061"/>
      <c r="Q154" s="1061"/>
      <c r="R154" s="1061"/>
      <c r="S154" s="1061"/>
      <c r="T154" s="1061"/>
      <c r="U154" s="1061"/>
      <c r="V154" s="1072"/>
      <c r="W154" s="1066"/>
      <c r="X154" s="1067"/>
      <c r="Y154" s="1067"/>
      <c r="Z154" s="1067"/>
      <c r="AA154" s="1067"/>
      <c r="AB154" s="1067"/>
      <c r="AC154" s="1067"/>
      <c r="AD154" s="1067"/>
      <c r="AE154" s="1067"/>
      <c r="AF154" s="1067"/>
      <c r="AG154" s="1067"/>
      <c r="AH154" s="1067"/>
      <c r="AI154" s="1067"/>
      <c r="AJ154" s="1067"/>
      <c r="AK154" s="1067"/>
      <c r="AL154" s="1067"/>
      <c r="AM154" s="1068"/>
      <c r="AN154" s="1068"/>
      <c r="AO154" s="1068"/>
    </row>
    <row r="155" spans="3:41" x14ac:dyDescent="0.2">
      <c r="C155" s="1061"/>
      <c r="D155" s="1062"/>
      <c r="E155" s="1061"/>
      <c r="F155" s="1061"/>
      <c r="G155" s="1061"/>
      <c r="H155" s="1061"/>
      <c r="I155" s="1061"/>
      <c r="J155" s="1061"/>
      <c r="K155" s="1061"/>
      <c r="L155" s="1061"/>
      <c r="M155" s="1061"/>
      <c r="N155" s="1061"/>
      <c r="O155" s="1061"/>
      <c r="P155" s="1061"/>
      <c r="Q155" s="1061"/>
      <c r="R155" s="1061"/>
      <c r="S155" s="1061"/>
      <c r="T155" s="1061"/>
      <c r="U155" s="1061"/>
      <c r="V155" s="1072"/>
      <c r="W155" s="1066"/>
      <c r="X155" s="1067"/>
      <c r="Y155" s="1067"/>
      <c r="Z155" s="1067"/>
      <c r="AA155" s="1067"/>
      <c r="AB155" s="1067"/>
      <c r="AC155" s="1067"/>
      <c r="AD155" s="1067"/>
      <c r="AE155" s="1067"/>
      <c r="AF155" s="1067"/>
      <c r="AG155" s="1067"/>
      <c r="AH155" s="1067"/>
      <c r="AI155" s="1067"/>
      <c r="AJ155" s="1067"/>
      <c r="AK155" s="1067"/>
      <c r="AL155" s="1067"/>
      <c r="AM155" s="1068"/>
      <c r="AN155" s="1068"/>
      <c r="AO155" s="1068"/>
    </row>
    <row r="156" spans="3:41" x14ac:dyDescent="0.2">
      <c r="C156" s="1061"/>
      <c r="D156" s="1062"/>
      <c r="E156" s="1061">
        <f t="shared" ref="E156:U156" si="33">IF(AND($D$11="Promaseal",E35&lt;1),(ROUNDDOWN((E164/2.5),0)),0)</f>
        <v>0</v>
      </c>
      <c r="F156" s="1061">
        <f t="shared" si="33"/>
        <v>0</v>
      </c>
      <c r="G156" s="1061">
        <f t="shared" si="33"/>
        <v>0</v>
      </c>
      <c r="H156" s="1061">
        <f t="shared" si="33"/>
        <v>0</v>
      </c>
      <c r="I156" s="1061">
        <f t="shared" si="33"/>
        <v>0</v>
      </c>
      <c r="J156" s="1061">
        <f t="shared" si="33"/>
        <v>0</v>
      </c>
      <c r="K156" s="1061">
        <f t="shared" si="33"/>
        <v>0</v>
      </c>
      <c r="L156" s="1061">
        <f t="shared" si="33"/>
        <v>0</v>
      </c>
      <c r="M156" s="1061">
        <f t="shared" si="33"/>
        <v>0</v>
      </c>
      <c r="N156" s="1061">
        <f t="shared" si="33"/>
        <v>0</v>
      </c>
      <c r="O156" s="1061">
        <f t="shared" si="33"/>
        <v>0</v>
      </c>
      <c r="P156" s="1061">
        <f t="shared" si="33"/>
        <v>0</v>
      </c>
      <c r="Q156" s="1061">
        <f t="shared" si="33"/>
        <v>0</v>
      </c>
      <c r="R156" s="1061">
        <f t="shared" si="33"/>
        <v>0</v>
      </c>
      <c r="S156" s="1061">
        <f t="shared" si="33"/>
        <v>0</v>
      </c>
      <c r="T156" s="1061">
        <f t="shared" si="33"/>
        <v>0</v>
      </c>
      <c r="U156" s="1061">
        <f t="shared" si="33"/>
        <v>0</v>
      </c>
      <c r="V156" s="1072"/>
      <c r="W156" s="1066"/>
      <c r="X156" s="1067"/>
      <c r="Y156" s="1067"/>
      <c r="Z156" s="1067"/>
      <c r="AA156" s="1067"/>
      <c r="AB156" s="1067"/>
      <c r="AC156" s="1067"/>
      <c r="AD156" s="1067"/>
      <c r="AE156" s="1067"/>
      <c r="AF156" s="1067"/>
      <c r="AG156" s="1067"/>
      <c r="AH156" s="1067"/>
      <c r="AI156" s="1067"/>
      <c r="AJ156" s="1067"/>
      <c r="AK156" s="1067"/>
      <c r="AL156" s="1067"/>
      <c r="AM156" s="1068"/>
      <c r="AN156" s="1068"/>
      <c r="AO156" s="1068"/>
    </row>
    <row r="157" spans="3:41" x14ac:dyDescent="0.2">
      <c r="C157" s="1061"/>
      <c r="D157" s="1062"/>
      <c r="E157" s="1061">
        <f t="shared" ref="E157:U157" si="34">IF(AND($D$11="Promaseal",E35&lt;1),(ROUNDDOWN((E166/2.5),0)),0)</f>
        <v>0</v>
      </c>
      <c r="F157" s="1061">
        <f t="shared" si="34"/>
        <v>0</v>
      </c>
      <c r="G157" s="1061">
        <f t="shared" si="34"/>
        <v>0</v>
      </c>
      <c r="H157" s="1061">
        <f t="shared" si="34"/>
        <v>0</v>
      </c>
      <c r="I157" s="1061">
        <f t="shared" si="34"/>
        <v>0</v>
      </c>
      <c r="J157" s="1061">
        <f t="shared" si="34"/>
        <v>0</v>
      </c>
      <c r="K157" s="1061">
        <f t="shared" si="34"/>
        <v>0</v>
      </c>
      <c r="L157" s="1061">
        <f t="shared" si="34"/>
        <v>0</v>
      </c>
      <c r="M157" s="1061">
        <f t="shared" si="34"/>
        <v>0</v>
      </c>
      <c r="N157" s="1061">
        <f t="shared" si="34"/>
        <v>0</v>
      </c>
      <c r="O157" s="1061">
        <f t="shared" si="34"/>
        <v>0</v>
      </c>
      <c r="P157" s="1061">
        <f t="shared" si="34"/>
        <v>0</v>
      </c>
      <c r="Q157" s="1061">
        <f t="shared" si="34"/>
        <v>0</v>
      </c>
      <c r="R157" s="1061">
        <f t="shared" si="34"/>
        <v>0</v>
      </c>
      <c r="S157" s="1061">
        <f t="shared" si="34"/>
        <v>0</v>
      </c>
      <c r="T157" s="1061">
        <f t="shared" si="34"/>
        <v>0</v>
      </c>
      <c r="U157" s="1061">
        <f t="shared" si="34"/>
        <v>0</v>
      </c>
      <c r="V157" s="1072"/>
      <c r="W157" s="1066"/>
      <c r="X157" s="1067"/>
      <c r="Y157" s="1067"/>
      <c r="Z157" s="1067"/>
      <c r="AA157" s="1067"/>
      <c r="AB157" s="1067"/>
      <c r="AC157" s="1067"/>
      <c r="AD157" s="1067"/>
      <c r="AE157" s="1067"/>
      <c r="AF157" s="1067"/>
      <c r="AG157" s="1067"/>
      <c r="AH157" s="1067"/>
      <c r="AI157" s="1067"/>
      <c r="AJ157" s="1067"/>
      <c r="AK157" s="1067"/>
      <c r="AL157" s="1067"/>
      <c r="AM157" s="1068"/>
      <c r="AN157" s="1068"/>
      <c r="AO157" s="1068"/>
    </row>
    <row r="158" spans="3:41" x14ac:dyDescent="0.2">
      <c r="C158" s="1061"/>
      <c r="D158" s="1062"/>
      <c r="E158" s="1061">
        <f t="shared" ref="E158:U158" si="35">IF(AND($D$11="Promaseal",E35=1),(ROUNDDOWN((E168/2.5),0)),0)</f>
        <v>0</v>
      </c>
      <c r="F158" s="1061">
        <f t="shared" si="35"/>
        <v>0</v>
      </c>
      <c r="G158" s="1061">
        <f t="shared" si="35"/>
        <v>0</v>
      </c>
      <c r="H158" s="1061">
        <f t="shared" si="35"/>
        <v>0</v>
      </c>
      <c r="I158" s="1061">
        <f t="shared" si="35"/>
        <v>0</v>
      </c>
      <c r="J158" s="1061">
        <f t="shared" si="35"/>
        <v>0</v>
      </c>
      <c r="K158" s="1061">
        <f t="shared" si="35"/>
        <v>0</v>
      </c>
      <c r="L158" s="1061">
        <f t="shared" si="35"/>
        <v>0</v>
      </c>
      <c r="M158" s="1061">
        <f t="shared" si="35"/>
        <v>0</v>
      </c>
      <c r="N158" s="1061">
        <f t="shared" si="35"/>
        <v>0</v>
      </c>
      <c r="O158" s="1061">
        <f t="shared" si="35"/>
        <v>0</v>
      </c>
      <c r="P158" s="1061">
        <f t="shared" si="35"/>
        <v>0</v>
      </c>
      <c r="Q158" s="1061">
        <f t="shared" si="35"/>
        <v>0</v>
      </c>
      <c r="R158" s="1061">
        <f t="shared" si="35"/>
        <v>0</v>
      </c>
      <c r="S158" s="1061">
        <f t="shared" si="35"/>
        <v>0</v>
      </c>
      <c r="T158" s="1061">
        <f t="shared" si="35"/>
        <v>0</v>
      </c>
      <c r="U158" s="1061">
        <f t="shared" si="35"/>
        <v>0</v>
      </c>
      <c r="V158" s="1072"/>
      <c r="W158" s="1066"/>
      <c r="X158" s="1067"/>
      <c r="Y158" s="1067"/>
      <c r="Z158" s="1067"/>
      <c r="AA158" s="1067"/>
      <c r="AB158" s="1067"/>
      <c r="AC158" s="1067"/>
      <c r="AD158" s="1067"/>
      <c r="AE158" s="1067"/>
      <c r="AF158" s="1067"/>
      <c r="AG158" s="1067"/>
      <c r="AH158" s="1067"/>
      <c r="AI158" s="1067"/>
      <c r="AJ158" s="1067"/>
      <c r="AK158" s="1067"/>
      <c r="AL158" s="1067"/>
      <c r="AM158" s="1068"/>
      <c r="AN158" s="1068"/>
      <c r="AO158" s="1068"/>
    </row>
    <row r="159" spans="3:41" x14ac:dyDescent="0.2">
      <c r="C159" s="1061"/>
      <c r="D159" s="1062"/>
      <c r="E159" s="1061">
        <f t="shared" ref="E159:U159" si="36">IF(AND($D$11="Promaseal",E35=1),(ROUNDDOWN((E170/2.5),0)),0)</f>
        <v>0</v>
      </c>
      <c r="F159" s="1061">
        <f t="shared" si="36"/>
        <v>0</v>
      </c>
      <c r="G159" s="1061">
        <f t="shared" si="36"/>
        <v>0</v>
      </c>
      <c r="H159" s="1061">
        <f t="shared" si="36"/>
        <v>0</v>
      </c>
      <c r="I159" s="1061">
        <f t="shared" si="36"/>
        <v>0</v>
      </c>
      <c r="J159" s="1061">
        <f t="shared" si="36"/>
        <v>0</v>
      </c>
      <c r="K159" s="1061">
        <f t="shared" si="36"/>
        <v>0</v>
      </c>
      <c r="L159" s="1061">
        <f t="shared" si="36"/>
        <v>0</v>
      </c>
      <c r="M159" s="1061">
        <f t="shared" si="36"/>
        <v>0</v>
      </c>
      <c r="N159" s="1061">
        <f t="shared" si="36"/>
        <v>0</v>
      </c>
      <c r="O159" s="1061">
        <f t="shared" si="36"/>
        <v>0</v>
      </c>
      <c r="P159" s="1061">
        <f t="shared" si="36"/>
        <v>0</v>
      </c>
      <c r="Q159" s="1061">
        <f t="shared" si="36"/>
        <v>0</v>
      </c>
      <c r="R159" s="1061">
        <f t="shared" si="36"/>
        <v>0</v>
      </c>
      <c r="S159" s="1061">
        <f t="shared" si="36"/>
        <v>0</v>
      </c>
      <c r="T159" s="1061">
        <f t="shared" si="36"/>
        <v>0</v>
      </c>
      <c r="U159" s="1061">
        <f t="shared" si="36"/>
        <v>0</v>
      </c>
      <c r="V159" s="1072"/>
      <c r="W159" s="1066"/>
      <c r="X159" s="1067"/>
      <c r="Y159" s="1067"/>
      <c r="Z159" s="1067"/>
      <c r="AA159" s="1067"/>
      <c r="AB159" s="1067"/>
      <c r="AC159" s="1067"/>
      <c r="AD159" s="1067"/>
      <c r="AE159" s="1067"/>
      <c r="AF159" s="1067"/>
      <c r="AG159" s="1067"/>
      <c r="AH159" s="1067"/>
      <c r="AI159" s="1067"/>
      <c r="AJ159" s="1067"/>
      <c r="AK159" s="1067"/>
      <c r="AL159" s="1067"/>
      <c r="AM159" s="1068"/>
      <c r="AN159" s="1068"/>
      <c r="AO159" s="1068"/>
    </row>
    <row r="160" spans="3:41" x14ac:dyDescent="0.2">
      <c r="C160" s="1061"/>
      <c r="D160" s="1062"/>
      <c r="E160" s="1061"/>
      <c r="F160" s="1061"/>
      <c r="G160" s="1061"/>
      <c r="H160" s="1061"/>
      <c r="I160" s="1061"/>
      <c r="J160" s="1061"/>
      <c r="K160" s="1061"/>
      <c r="L160" s="1061"/>
      <c r="M160" s="1061"/>
      <c r="N160" s="1061"/>
      <c r="O160" s="1061"/>
      <c r="P160" s="1061"/>
      <c r="Q160" s="1061"/>
      <c r="R160" s="1061"/>
      <c r="S160" s="1061"/>
      <c r="T160" s="1061"/>
      <c r="U160" s="1061"/>
      <c r="V160" s="1072"/>
      <c r="W160" s="1066"/>
      <c r="X160" s="1067"/>
      <c r="Y160" s="1067"/>
      <c r="Z160" s="1067"/>
      <c r="AA160" s="1067"/>
      <c r="AB160" s="1067"/>
      <c r="AC160" s="1067"/>
      <c r="AD160" s="1067"/>
      <c r="AE160" s="1067"/>
      <c r="AF160" s="1067"/>
      <c r="AG160" s="1067"/>
      <c r="AH160" s="1067"/>
      <c r="AI160" s="1067"/>
      <c r="AJ160" s="1067"/>
      <c r="AK160" s="1067"/>
      <c r="AL160" s="1067"/>
      <c r="AM160" s="1068"/>
      <c r="AN160" s="1068"/>
      <c r="AO160" s="1068"/>
    </row>
    <row r="161" spans="3:41" x14ac:dyDescent="0.2">
      <c r="C161" s="1061"/>
      <c r="D161" s="1062"/>
      <c r="E161" s="1061"/>
      <c r="F161" s="1061"/>
      <c r="G161" s="1061"/>
      <c r="H161" s="1061"/>
      <c r="I161" s="1061"/>
      <c r="J161" s="1061"/>
      <c r="K161" s="1061"/>
      <c r="L161" s="1061"/>
      <c r="M161" s="1061"/>
      <c r="N161" s="1061"/>
      <c r="O161" s="1061"/>
      <c r="P161" s="1061"/>
      <c r="Q161" s="1061"/>
      <c r="R161" s="1061"/>
      <c r="S161" s="1061"/>
      <c r="T161" s="1061"/>
      <c r="U161" s="1061"/>
      <c r="V161" s="1072"/>
      <c r="W161" s="1066"/>
      <c r="X161" s="1067"/>
      <c r="Y161" s="1067"/>
      <c r="Z161" s="1067"/>
      <c r="AA161" s="1067"/>
      <c r="AB161" s="1067"/>
      <c r="AC161" s="1067"/>
      <c r="AD161" s="1067"/>
      <c r="AE161" s="1067"/>
      <c r="AF161" s="1067"/>
      <c r="AG161" s="1067"/>
      <c r="AH161" s="1067"/>
      <c r="AI161" s="1067"/>
      <c r="AJ161" s="1067"/>
      <c r="AK161" s="1067"/>
      <c r="AL161" s="1067"/>
      <c r="AM161" s="1068"/>
      <c r="AN161" s="1068"/>
      <c r="AO161" s="1068"/>
    </row>
    <row r="162" spans="3:41" x14ac:dyDescent="0.2">
      <c r="C162" s="1061"/>
      <c r="D162" s="1062"/>
      <c r="E162" s="1061"/>
      <c r="F162" s="1061"/>
      <c r="G162" s="1061"/>
      <c r="H162" s="1061"/>
      <c r="I162" s="1061"/>
      <c r="J162" s="1061"/>
      <c r="K162" s="1061"/>
      <c r="L162" s="1061"/>
      <c r="M162" s="1061"/>
      <c r="N162" s="1061"/>
      <c r="O162" s="1061"/>
      <c r="P162" s="1061"/>
      <c r="Q162" s="1061"/>
      <c r="R162" s="1061"/>
      <c r="S162" s="1061"/>
      <c r="T162" s="1061"/>
      <c r="U162" s="1061"/>
      <c r="V162" s="1072"/>
      <c r="W162" s="1066"/>
      <c r="X162" s="1067"/>
      <c r="Y162" s="1067"/>
      <c r="Z162" s="1067"/>
      <c r="AA162" s="1067"/>
      <c r="AB162" s="1067"/>
      <c r="AC162" s="1067"/>
      <c r="AD162" s="1067"/>
      <c r="AE162" s="1067"/>
      <c r="AF162" s="1067"/>
      <c r="AG162" s="1067"/>
      <c r="AH162" s="1067"/>
      <c r="AI162" s="1067"/>
      <c r="AJ162" s="1067"/>
      <c r="AK162" s="1067"/>
      <c r="AL162" s="1067"/>
      <c r="AM162" s="1068"/>
      <c r="AN162" s="1068"/>
      <c r="AO162" s="1068"/>
    </row>
    <row r="163" spans="3:41" x14ac:dyDescent="0.2">
      <c r="C163" s="1061"/>
      <c r="D163" s="1062"/>
      <c r="E163" s="1061">
        <f t="shared" ref="E163:U163" si="37">E20/5</f>
        <v>0</v>
      </c>
      <c r="F163" s="1061">
        <f t="shared" si="37"/>
        <v>0</v>
      </c>
      <c r="G163" s="1061">
        <f t="shared" si="37"/>
        <v>0</v>
      </c>
      <c r="H163" s="1061">
        <f t="shared" si="37"/>
        <v>0</v>
      </c>
      <c r="I163" s="1061">
        <f t="shared" si="37"/>
        <v>0</v>
      </c>
      <c r="J163" s="1061">
        <f t="shared" si="37"/>
        <v>0</v>
      </c>
      <c r="K163" s="1061">
        <f t="shared" si="37"/>
        <v>0</v>
      </c>
      <c r="L163" s="1061">
        <f t="shared" si="37"/>
        <v>0</v>
      </c>
      <c r="M163" s="1061">
        <f t="shared" si="37"/>
        <v>0</v>
      </c>
      <c r="N163" s="1061">
        <f t="shared" si="37"/>
        <v>0</v>
      </c>
      <c r="O163" s="1061">
        <f t="shared" si="37"/>
        <v>0</v>
      </c>
      <c r="P163" s="1061">
        <f t="shared" si="37"/>
        <v>0</v>
      </c>
      <c r="Q163" s="1061">
        <f t="shared" si="37"/>
        <v>0</v>
      </c>
      <c r="R163" s="1061">
        <f t="shared" si="37"/>
        <v>0</v>
      </c>
      <c r="S163" s="1061">
        <f t="shared" si="37"/>
        <v>0</v>
      </c>
      <c r="T163" s="1061">
        <f t="shared" si="37"/>
        <v>0</v>
      </c>
      <c r="U163" s="1061">
        <f t="shared" si="37"/>
        <v>0</v>
      </c>
      <c r="V163" s="1072"/>
      <c r="W163" s="1066"/>
      <c r="X163" s="1067"/>
      <c r="Y163" s="1067"/>
      <c r="Z163" s="1067"/>
      <c r="AA163" s="1067"/>
      <c r="AB163" s="1067"/>
      <c r="AC163" s="1067"/>
      <c r="AD163" s="1067"/>
      <c r="AE163" s="1067"/>
      <c r="AF163" s="1067"/>
      <c r="AG163" s="1067"/>
      <c r="AH163" s="1067"/>
      <c r="AI163" s="1067"/>
      <c r="AJ163" s="1067"/>
      <c r="AK163" s="1067"/>
      <c r="AL163" s="1067"/>
      <c r="AM163" s="1068"/>
      <c r="AN163" s="1068"/>
      <c r="AO163" s="1068"/>
    </row>
    <row r="164" spans="3:41" x14ac:dyDescent="0.2">
      <c r="C164" s="1061"/>
      <c r="D164" s="1062"/>
      <c r="E164" s="1061">
        <f t="shared" ref="E164:U164" si="38">(E163-E151)*5</f>
        <v>0</v>
      </c>
      <c r="F164" s="1061">
        <f t="shared" si="38"/>
        <v>0</v>
      </c>
      <c r="G164" s="1061">
        <f t="shared" si="38"/>
        <v>0</v>
      </c>
      <c r="H164" s="1061">
        <f t="shared" si="38"/>
        <v>0</v>
      </c>
      <c r="I164" s="1061">
        <f t="shared" si="38"/>
        <v>0</v>
      </c>
      <c r="J164" s="1061">
        <f t="shared" si="38"/>
        <v>0</v>
      </c>
      <c r="K164" s="1061">
        <f t="shared" si="38"/>
        <v>0</v>
      </c>
      <c r="L164" s="1061">
        <f t="shared" si="38"/>
        <v>0</v>
      </c>
      <c r="M164" s="1061">
        <f t="shared" si="38"/>
        <v>0</v>
      </c>
      <c r="N164" s="1061">
        <f t="shared" si="38"/>
        <v>0</v>
      </c>
      <c r="O164" s="1061">
        <f t="shared" si="38"/>
        <v>0</v>
      </c>
      <c r="P164" s="1061">
        <f t="shared" si="38"/>
        <v>0</v>
      </c>
      <c r="Q164" s="1061">
        <f t="shared" si="38"/>
        <v>0</v>
      </c>
      <c r="R164" s="1061">
        <f t="shared" si="38"/>
        <v>0</v>
      </c>
      <c r="S164" s="1061">
        <f t="shared" si="38"/>
        <v>0</v>
      </c>
      <c r="T164" s="1061">
        <f t="shared" si="38"/>
        <v>0</v>
      </c>
      <c r="U164" s="1061">
        <f t="shared" si="38"/>
        <v>0</v>
      </c>
      <c r="V164" s="1072"/>
      <c r="W164" s="1072"/>
      <c r="X164" s="1072"/>
      <c r="Y164" s="1072"/>
      <c r="Z164" s="1072"/>
      <c r="AA164" s="1072"/>
      <c r="AB164" s="1072"/>
      <c r="AC164" s="1072"/>
      <c r="AD164" s="1072"/>
      <c r="AE164" s="1072"/>
      <c r="AF164" s="1072"/>
      <c r="AG164" s="1072"/>
      <c r="AH164" s="1072"/>
      <c r="AI164" s="1072"/>
      <c r="AJ164" s="1072"/>
      <c r="AK164" s="1072"/>
      <c r="AL164" s="1072"/>
      <c r="AM164" s="1068"/>
      <c r="AN164" s="1068"/>
      <c r="AO164" s="1068"/>
    </row>
    <row r="165" spans="3:41" x14ac:dyDescent="0.2">
      <c r="C165" s="1061"/>
      <c r="D165" s="1062"/>
      <c r="E165" s="1061">
        <f t="shared" ref="E165:U165" si="39">E146/5</f>
        <v>0</v>
      </c>
      <c r="F165" s="1061">
        <f t="shared" si="39"/>
        <v>0</v>
      </c>
      <c r="G165" s="1061">
        <f t="shared" si="39"/>
        <v>0</v>
      </c>
      <c r="H165" s="1061">
        <f t="shared" si="39"/>
        <v>0</v>
      </c>
      <c r="I165" s="1061">
        <f t="shared" si="39"/>
        <v>0</v>
      </c>
      <c r="J165" s="1061">
        <f t="shared" si="39"/>
        <v>0</v>
      </c>
      <c r="K165" s="1061">
        <f t="shared" si="39"/>
        <v>0</v>
      </c>
      <c r="L165" s="1061">
        <f t="shared" si="39"/>
        <v>0</v>
      </c>
      <c r="M165" s="1061">
        <f t="shared" si="39"/>
        <v>0</v>
      </c>
      <c r="N165" s="1061">
        <f t="shared" si="39"/>
        <v>0</v>
      </c>
      <c r="O165" s="1061">
        <f t="shared" si="39"/>
        <v>0</v>
      </c>
      <c r="P165" s="1061">
        <f t="shared" si="39"/>
        <v>0</v>
      </c>
      <c r="Q165" s="1061">
        <f t="shared" si="39"/>
        <v>0</v>
      </c>
      <c r="R165" s="1061">
        <f t="shared" si="39"/>
        <v>0</v>
      </c>
      <c r="S165" s="1061">
        <f t="shared" si="39"/>
        <v>0</v>
      </c>
      <c r="T165" s="1061">
        <f t="shared" si="39"/>
        <v>0</v>
      </c>
      <c r="U165" s="1061">
        <f t="shared" si="39"/>
        <v>0</v>
      </c>
      <c r="V165" s="1072"/>
      <c r="W165" s="1072"/>
      <c r="X165" s="1072"/>
      <c r="Y165" s="1072"/>
      <c r="Z165" s="1072"/>
      <c r="AA165" s="1072"/>
      <c r="AB165" s="1072"/>
      <c r="AC165" s="1072"/>
      <c r="AD165" s="1072"/>
      <c r="AE165" s="1072"/>
      <c r="AF165" s="1072"/>
      <c r="AG165" s="1072"/>
      <c r="AH165" s="1072"/>
      <c r="AI165" s="1072"/>
      <c r="AJ165" s="1072"/>
      <c r="AK165" s="1072"/>
      <c r="AL165" s="1072"/>
      <c r="AM165" s="1068"/>
      <c r="AN165" s="1068"/>
      <c r="AO165" s="1068"/>
    </row>
    <row r="166" spans="3:41" x14ac:dyDescent="0.2">
      <c r="C166" s="1061"/>
      <c r="D166" s="1062"/>
      <c r="E166" s="1061">
        <f t="shared" ref="E166:U166" si="40">(E165-E152)*5</f>
        <v>0</v>
      </c>
      <c r="F166" s="1061">
        <f t="shared" si="40"/>
        <v>0</v>
      </c>
      <c r="G166" s="1061">
        <f t="shared" si="40"/>
        <v>0</v>
      </c>
      <c r="H166" s="1061">
        <f t="shared" si="40"/>
        <v>0</v>
      </c>
      <c r="I166" s="1061">
        <f t="shared" si="40"/>
        <v>0</v>
      </c>
      <c r="J166" s="1061">
        <f t="shared" si="40"/>
        <v>0</v>
      </c>
      <c r="K166" s="1061">
        <f t="shared" si="40"/>
        <v>0</v>
      </c>
      <c r="L166" s="1061">
        <f t="shared" si="40"/>
        <v>0</v>
      </c>
      <c r="M166" s="1061">
        <f t="shared" si="40"/>
        <v>0</v>
      </c>
      <c r="N166" s="1061">
        <f t="shared" si="40"/>
        <v>0</v>
      </c>
      <c r="O166" s="1061">
        <f t="shared" si="40"/>
        <v>0</v>
      </c>
      <c r="P166" s="1061">
        <f t="shared" si="40"/>
        <v>0</v>
      </c>
      <c r="Q166" s="1061">
        <f t="shared" si="40"/>
        <v>0</v>
      </c>
      <c r="R166" s="1061">
        <f t="shared" si="40"/>
        <v>0</v>
      </c>
      <c r="S166" s="1061">
        <f t="shared" si="40"/>
        <v>0</v>
      </c>
      <c r="T166" s="1061">
        <f t="shared" si="40"/>
        <v>0</v>
      </c>
      <c r="U166" s="1061">
        <f t="shared" si="40"/>
        <v>0</v>
      </c>
      <c r="V166" s="1072"/>
      <c r="W166" s="1072"/>
      <c r="X166" s="1072"/>
      <c r="Y166" s="1072"/>
      <c r="Z166" s="1072"/>
      <c r="AA166" s="1072"/>
      <c r="AB166" s="1072"/>
      <c r="AC166" s="1072"/>
      <c r="AD166" s="1072"/>
      <c r="AE166" s="1072"/>
      <c r="AF166" s="1072"/>
      <c r="AG166" s="1072"/>
      <c r="AH166" s="1072"/>
      <c r="AI166" s="1072"/>
      <c r="AJ166" s="1072"/>
      <c r="AK166" s="1072"/>
      <c r="AL166" s="1072"/>
      <c r="AM166" s="1068"/>
      <c r="AN166" s="1068"/>
      <c r="AO166" s="1068"/>
    </row>
    <row r="167" spans="3:41" x14ac:dyDescent="0.2">
      <c r="C167" s="1061"/>
      <c r="D167" s="1062"/>
      <c r="E167" s="1061">
        <f t="shared" ref="E167:U167" si="41">(E20-2.5)/5</f>
        <v>-0.5</v>
      </c>
      <c r="F167" s="1061">
        <f t="shared" si="41"/>
        <v>-0.5</v>
      </c>
      <c r="G167" s="1061">
        <f t="shared" si="41"/>
        <v>-0.5</v>
      </c>
      <c r="H167" s="1061">
        <f t="shared" si="41"/>
        <v>-0.5</v>
      </c>
      <c r="I167" s="1061">
        <f t="shared" si="41"/>
        <v>-0.5</v>
      </c>
      <c r="J167" s="1061">
        <f t="shared" si="41"/>
        <v>-0.5</v>
      </c>
      <c r="K167" s="1061">
        <f t="shared" si="41"/>
        <v>-0.5</v>
      </c>
      <c r="L167" s="1061">
        <f t="shared" si="41"/>
        <v>-0.5</v>
      </c>
      <c r="M167" s="1061">
        <f t="shared" si="41"/>
        <v>-0.5</v>
      </c>
      <c r="N167" s="1061">
        <f t="shared" si="41"/>
        <v>-0.5</v>
      </c>
      <c r="O167" s="1061">
        <f t="shared" si="41"/>
        <v>-0.5</v>
      </c>
      <c r="P167" s="1061">
        <f t="shared" si="41"/>
        <v>-0.5</v>
      </c>
      <c r="Q167" s="1061">
        <f t="shared" si="41"/>
        <v>-0.5</v>
      </c>
      <c r="R167" s="1061">
        <f t="shared" si="41"/>
        <v>-0.5</v>
      </c>
      <c r="S167" s="1061">
        <f t="shared" si="41"/>
        <v>-0.5</v>
      </c>
      <c r="T167" s="1061">
        <f t="shared" si="41"/>
        <v>-0.5</v>
      </c>
      <c r="U167" s="1061">
        <f t="shared" si="41"/>
        <v>-0.5</v>
      </c>
      <c r="V167" s="1072"/>
      <c r="W167" s="1072"/>
      <c r="X167" s="1072"/>
      <c r="Y167" s="1072"/>
      <c r="Z167" s="1072"/>
      <c r="AA167" s="1072"/>
      <c r="AB167" s="1072"/>
      <c r="AC167" s="1072"/>
      <c r="AD167" s="1072"/>
      <c r="AE167" s="1072"/>
      <c r="AF167" s="1072"/>
      <c r="AG167" s="1072"/>
      <c r="AH167" s="1072"/>
      <c r="AI167" s="1072"/>
      <c r="AJ167" s="1072"/>
      <c r="AK167" s="1072"/>
      <c r="AL167" s="1072"/>
      <c r="AM167" s="1068"/>
      <c r="AN167" s="1068"/>
      <c r="AO167" s="1068"/>
    </row>
    <row r="168" spans="3:41" x14ac:dyDescent="0.2">
      <c r="C168" s="1061"/>
      <c r="D168" s="1062"/>
      <c r="E168" s="1061">
        <f t="shared" ref="E168:U168" si="42">IF(E167&gt;0,(E167-E153)*5,0)</f>
        <v>0</v>
      </c>
      <c r="F168" s="1061">
        <f t="shared" si="42"/>
        <v>0</v>
      </c>
      <c r="G168" s="1061">
        <f t="shared" si="42"/>
        <v>0</v>
      </c>
      <c r="H168" s="1061">
        <f t="shared" si="42"/>
        <v>0</v>
      </c>
      <c r="I168" s="1061">
        <f t="shared" si="42"/>
        <v>0</v>
      </c>
      <c r="J168" s="1061">
        <f t="shared" si="42"/>
        <v>0</v>
      </c>
      <c r="K168" s="1061">
        <f t="shared" si="42"/>
        <v>0</v>
      </c>
      <c r="L168" s="1061">
        <f t="shared" si="42"/>
        <v>0</v>
      </c>
      <c r="M168" s="1061">
        <f t="shared" si="42"/>
        <v>0</v>
      </c>
      <c r="N168" s="1061">
        <f t="shared" si="42"/>
        <v>0</v>
      </c>
      <c r="O168" s="1061">
        <f t="shared" si="42"/>
        <v>0</v>
      </c>
      <c r="P168" s="1061">
        <f t="shared" si="42"/>
        <v>0</v>
      </c>
      <c r="Q168" s="1061">
        <f t="shared" si="42"/>
        <v>0</v>
      </c>
      <c r="R168" s="1061">
        <f t="shared" si="42"/>
        <v>0</v>
      </c>
      <c r="S168" s="1061">
        <f t="shared" si="42"/>
        <v>0</v>
      </c>
      <c r="T168" s="1061">
        <f t="shared" si="42"/>
        <v>0</v>
      </c>
      <c r="U168" s="1061">
        <f t="shared" si="42"/>
        <v>0</v>
      </c>
      <c r="V168" s="1072"/>
      <c r="W168" s="1072"/>
      <c r="X168" s="1072"/>
      <c r="Y168" s="1072"/>
      <c r="Z168" s="1072"/>
      <c r="AA168" s="1072"/>
      <c r="AB168" s="1072"/>
      <c r="AC168" s="1072"/>
      <c r="AD168" s="1072"/>
      <c r="AE168" s="1072"/>
      <c r="AF168" s="1072"/>
      <c r="AG168" s="1072"/>
      <c r="AH168" s="1072"/>
      <c r="AI168" s="1072"/>
      <c r="AJ168" s="1072"/>
      <c r="AK168" s="1072"/>
      <c r="AL168" s="1072"/>
      <c r="AM168" s="1068"/>
      <c r="AN168" s="1068"/>
      <c r="AO168" s="1068"/>
    </row>
    <row r="169" spans="3:41" x14ac:dyDescent="0.2">
      <c r="C169" s="1061"/>
      <c r="D169" s="1062"/>
      <c r="E169" s="1061">
        <f t="shared" ref="E169:U169" si="43">(E146-2.5)/5</f>
        <v>-0.5</v>
      </c>
      <c r="F169" s="1061">
        <f t="shared" si="43"/>
        <v>-0.5</v>
      </c>
      <c r="G169" s="1061">
        <f t="shared" si="43"/>
        <v>-0.5</v>
      </c>
      <c r="H169" s="1061">
        <f t="shared" si="43"/>
        <v>-0.5</v>
      </c>
      <c r="I169" s="1061">
        <f t="shared" si="43"/>
        <v>-0.5</v>
      </c>
      <c r="J169" s="1061">
        <f t="shared" si="43"/>
        <v>-0.5</v>
      </c>
      <c r="K169" s="1061">
        <f t="shared" si="43"/>
        <v>-0.5</v>
      </c>
      <c r="L169" s="1061">
        <f t="shared" si="43"/>
        <v>-0.5</v>
      </c>
      <c r="M169" s="1061">
        <f t="shared" si="43"/>
        <v>-0.5</v>
      </c>
      <c r="N169" s="1061">
        <f t="shared" si="43"/>
        <v>-0.5</v>
      </c>
      <c r="O169" s="1061">
        <f t="shared" si="43"/>
        <v>-0.5</v>
      </c>
      <c r="P169" s="1061">
        <f t="shared" si="43"/>
        <v>-0.5</v>
      </c>
      <c r="Q169" s="1061">
        <f t="shared" si="43"/>
        <v>-0.5</v>
      </c>
      <c r="R169" s="1061">
        <f t="shared" si="43"/>
        <v>-0.5</v>
      </c>
      <c r="S169" s="1061">
        <f t="shared" si="43"/>
        <v>-0.5</v>
      </c>
      <c r="T169" s="1061">
        <f t="shared" si="43"/>
        <v>-0.5</v>
      </c>
      <c r="U169" s="1061">
        <f t="shared" si="43"/>
        <v>-0.5</v>
      </c>
      <c r="V169" s="1072"/>
      <c r="W169" s="1072"/>
      <c r="X169" s="1072"/>
      <c r="Y169" s="1072"/>
      <c r="Z169" s="1072"/>
      <c r="AA169" s="1072"/>
      <c r="AB169" s="1072"/>
      <c r="AC169" s="1072"/>
      <c r="AD169" s="1072"/>
      <c r="AE169" s="1072"/>
      <c r="AF169" s="1072"/>
      <c r="AG169" s="1072"/>
      <c r="AH169" s="1072"/>
      <c r="AI169" s="1072"/>
      <c r="AJ169" s="1072"/>
      <c r="AK169" s="1072"/>
      <c r="AL169" s="1072"/>
      <c r="AM169" s="1068"/>
      <c r="AN169" s="1068"/>
      <c r="AO169" s="1068"/>
    </row>
    <row r="170" spans="3:41" x14ac:dyDescent="0.2">
      <c r="C170" s="1061"/>
      <c r="D170" s="1062"/>
      <c r="E170" s="1061">
        <f t="shared" ref="E170:U170" si="44">IF(E169&gt;0,(E169-E154)*5,0)</f>
        <v>0</v>
      </c>
      <c r="F170" s="1061">
        <f t="shared" si="44"/>
        <v>0</v>
      </c>
      <c r="G170" s="1061">
        <f t="shared" si="44"/>
        <v>0</v>
      </c>
      <c r="H170" s="1061">
        <f t="shared" si="44"/>
        <v>0</v>
      </c>
      <c r="I170" s="1061">
        <f t="shared" si="44"/>
        <v>0</v>
      </c>
      <c r="J170" s="1061">
        <f t="shared" si="44"/>
        <v>0</v>
      </c>
      <c r="K170" s="1061">
        <f t="shared" si="44"/>
        <v>0</v>
      </c>
      <c r="L170" s="1061">
        <f t="shared" si="44"/>
        <v>0</v>
      </c>
      <c r="M170" s="1061">
        <f t="shared" si="44"/>
        <v>0</v>
      </c>
      <c r="N170" s="1061">
        <f t="shared" si="44"/>
        <v>0</v>
      </c>
      <c r="O170" s="1061">
        <f t="shared" si="44"/>
        <v>0</v>
      </c>
      <c r="P170" s="1061">
        <f t="shared" si="44"/>
        <v>0</v>
      </c>
      <c r="Q170" s="1061">
        <f t="shared" si="44"/>
        <v>0</v>
      </c>
      <c r="R170" s="1061">
        <f t="shared" si="44"/>
        <v>0</v>
      </c>
      <c r="S170" s="1061">
        <f t="shared" si="44"/>
        <v>0</v>
      </c>
      <c r="T170" s="1061">
        <f t="shared" si="44"/>
        <v>0</v>
      </c>
      <c r="U170" s="1061">
        <f t="shared" si="44"/>
        <v>0</v>
      </c>
      <c r="V170" s="1072"/>
      <c r="W170" s="1072"/>
      <c r="X170" s="1072"/>
      <c r="Y170" s="1072"/>
      <c r="Z170" s="1072"/>
      <c r="AA170" s="1072"/>
      <c r="AB170" s="1072"/>
      <c r="AC170" s="1072"/>
      <c r="AD170" s="1072"/>
      <c r="AE170" s="1072"/>
      <c r="AF170" s="1072"/>
      <c r="AG170" s="1072"/>
      <c r="AH170" s="1072"/>
      <c r="AI170" s="1072"/>
      <c r="AJ170" s="1072"/>
      <c r="AK170" s="1072"/>
      <c r="AL170" s="1072"/>
      <c r="AM170" s="1068"/>
      <c r="AN170" s="1068"/>
      <c r="AO170" s="1068"/>
    </row>
    <row r="171" spans="3:41" x14ac:dyDescent="0.2">
      <c r="C171" s="1061"/>
      <c r="D171" s="1062"/>
      <c r="E171" s="1061"/>
      <c r="F171" s="1061"/>
      <c r="G171" s="1061"/>
      <c r="H171" s="1061"/>
      <c r="I171" s="1061"/>
      <c r="J171" s="1061"/>
      <c r="K171" s="1061"/>
      <c r="L171" s="1061"/>
      <c r="M171" s="1061"/>
      <c r="N171" s="1061"/>
      <c r="O171" s="1061"/>
      <c r="P171" s="1061"/>
      <c r="Q171" s="1061"/>
      <c r="R171" s="1061"/>
      <c r="S171" s="1061"/>
      <c r="T171" s="1061"/>
      <c r="U171" s="1061"/>
      <c r="V171" s="1072"/>
      <c r="W171" s="1072"/>
      <c r="X171" s="1072"/>
      <c r="Y171" s="1072"/>
      <c r="Z171" s="1072"/>
      <c r="AA171" s="1072"/>
      <c r="AB171" s="1072"/>
      <c r="AC171" s="1072"/>
      <c r="AD171" s="1072"/>
      <c r="AE171" s="1072"/>
      <c r="AF171" s="1072"/>
      <c r="AG171" s="1072"/>
      <c r="AH171" s="1072"/>
      <c r="AI171" s="1072"/>
      <c r="AJ171" s="1072"/>
      <c r="AK171" s="1072"/>
      <c r="AL171" s="1072"/>
      <c r="AM171" s="1068"/>
      <c r="AN171" s="1068"/>
      <c r="AO171" s="1068"/>
    </row>
    <row r="172" spans="3:41" x14ac:dyDescent="0.2">
      <c r="C172" s="1061"/>
      <c r="D172" s="1062"/>
      <c r="E172" s="1061"/>
      <c r="F172" s="1061"/>
      <c r="G172" s="1061"/>
      <c r="H172" s="1061"/>
      <c r="I172" s="1061"/>
      <c r="J172" s="1061"/>
      <c r="K172" s="1061"/>
      <c r="L172" s="1061"/>
      <c r="M172" s="1061"/>
      <c r="N172" s="1061"/>
      <c r="O172" s="1061"/>
      <c r="P172" s="1061"/>
      <c r="Q172" s="1061"/>
      <c r="R172" s="1061"/>
      <c r="S172" s="1061"/>
      <c r="T172" s="1061"/>
      <c r="U172" s="1061"/>
      <c r="V172" s="1072"/>
      <c r="W172" s="1072"/>
      <c r="X172" s="1072"/>
      <c r="Y172" s="1072"/>
      <c r="Z172" s="1072"/>
      <c r="AA172" s="1072"/>
      <c r="AB172" s="1072"/>
      <c r="AC172" s="1072"/>
      <c r="AD172" s="1072"/>
      <c r="AE172" s="1072"/>
      <c r="AF172" s="1072"/>
      <c r="AG172" s="1072"/>
      <c r="AH172" s="1072"/>
      <c r="AI172" s="1072"/>
      <c r="AJ172" s="1072"/>
      <c r="AK172" s="1072"/>
      <c r="AL172" s="1072"/>
      <c r="AM172" s="1068"/>
      <c r="AN172" s="1068"/>
      <c r="AO172" s="1068"/>
    </row>
    <row r="173" spans="3:41" x14ac:dyDescent="0.2">
      <c r="C173" s="1061"/>
      <c r="D173" s="1062"/>
      <c r="E173" s="1061"/>
      <c r="F173" s="1061"/>
      <c r="G173" s="1061"/>
      <c r="H173" s="1061"/>
      <c r="I173" s="1061"/>
      <c r="J173" s="1061"/>
      <c r="K173" s="1061"/>
      <c r="L173" s="1061"/>
      <c r="M173" s="1061"/>
      <c r="N173" s="1061"/>
      <c r="O173" s="1061"/>
      <c r="P173" s="1061"/>
      <c r="Q173" s="1061"/>
      <c r="R173" s="1061"/>
      <c r="S173" s="1061"/>
      <c r="T173" s="1061"/>
      <c r="U173" s="1061"/>
      <c r="V173" s="1072"/>
      <c r="W173" s="1072"/>
      <c r="X173" s="1072"/>
      <c r="Y173" s="1072"/>
      <c r="Z173" s="1072"/>
      <c r="AA173" s="1072"/>
      <c r="AB173" s="1072"/>
      <c r="AC173" s="1072"/>
      <c r="AD173" s="1072"/>
      <c r="AE173" s="1072"/>
      <c r="AF173" s="1072"/>
      <c r="AG173" s="1072"/>
      <c r="AH173" s="1072"/>
      <c r="AI173" s="1072"/>
      <c r="AJ173" s="1072"/>
      <c r="AK173" s="1072"/>
      <c r="AL173" s="1072"/>
      <c r="AM173" s="1068"/>
      <c r="AN173" s="1068"/>
      <c r="AO173" s="1068"/>
    </row>
    <row r="174" spans="3:41" x14ac:dyDescent="0.2">
      <c r="C174" s="1061"/>
      <c r="D174" s="1062"/>
      <c r="E174" s="1061"/>
      <c r="F174" s="1061"/>
      <c r="G174" s="1061"/>
      <c r="H174" s="1061"/>
      <c r="I174" s="1061"/>
      <c r="J174" s="1061"/>
      <c r="K174" s="1061"/>
      <c r="L174" s="1061"/>
      <c r="M174" s="1061"/>
      <c r="N174" s="1061"/>
      <c r="O174" s="1061"/>
      <c r="P174" s="1061"/>
      <c r="Q174" s="1061"/>
      <c r="R174" s="1061"/>
      <c r="S174" s="1061"/>
      <c r="T174" s="1061"/>
      <c r="U174" s="1061"/>
      <c r="V174" s="1072"/>
      <c r="W174" s="1072"/>
      <c r="X174" s="1072"/>
      <c r="Y174" s="1072"/>
      <c r="Z174" s="1072"/>
      <c r="AA174" s="1072"/>
      <c r="AB174" s="1072"/>
      <c r="AC174" s="1072"/>
      <c r="AD174" s="1072"/>
      <c r="AE174" s="1072"/>
      <c r="AF174" s="1072"/>
      <c r="AG174" s="1072"/>
      <c r="AH174" s="1072"/>
      <c r="AI174" s="1072"/>
      <c r="AJ174" s="1072"/>
      <c r="AK174" s="1072"/>
      <c r="AL174" s="1072"/>
      <c r="AM174" s="1068"/>
      <c r="AN174" s="1068"/>
      <c r="AO174" s="1068"/>
    </row>
    <row r="175" spans="3:41" x14ac:dyDescent="0.2">
      <c r="C175" s="1061"/>
      <c r="D175" s="1062"/>
      <c r="E175" s="1061"/>
      <c r="F175" s="1061"/>
      <c r="G175" s="1061"/>
      <c r="H175" s="1061"/>
      <c r="I175" s="1061"/>
      <c r="J175" s="1061"/>
      <c r="K175" s="1061"/>
      <c r="L175" s="1061"/>
      <c r="M175" s="1061"/>
      <c r="N175" s="1061"/>
      <c r="O175" s="1061"/>
      <c r="P175" s="1061"/>
      <c r="Q175" s="1061"/>
      <c r="R175" s="1061"/>
      <c r="S175" s="1061"/>
      <c r="T175" s="1061"/>
      <c r="U175" s="1061"/>
      <c r="V175" s="1072"/>
      <c r="W175" s="1072"/>
      <c r="X175" s="1072"/>
      <c r="Y175" s="1072"/>
      <c r="Z175" s="1072"/>
      <c r="AA175" s="1072"/>
      <c r="AB175" s="1072"/>
      <c r="AC175" s="1072"/>
      <c r="AD175" s="1072"/>
      <c r="AE175" s="1072"/>
      <c r="AF175" s="1072"/>
      <c r="AG175" s="1072"/>
      <c r="AH175" s="1072"/>
      <c r="AI175" s="1072"/>
      <c r="AJ175" s="1072"/>
      <c r="AK175" s="1072"/>
      <c r="AL175" s="1072"/>
      <c r="AM175" s="1068"/>
      <c r="AN175" s="1068"/>
      <c r="AO175" s="1068"/>
    </row>
    <row r="176" spans="3:41" x14ac:dyDescent="0.2">
      <c r="C176" s="1061"/>
      <c r="D176" s="1062"/>
      <c r="E176" s="1061">
        <f t="shared" ref="E176:U176" si="45">IF($D$11="Firefly",E23*2,0)</f>
        <v>0</v>
      </c>
      <c r="F176" s="1061">
        <f t="shared" si="45"/>
        <v>0</v>
      </c>
      <c r="G176" s="1061">
        <f t="shared" si="45"/>
        <v>0</v>
      </c>
      <c r="H176" s="1061">
        <f t="shared" si="45"/>
        <v>0</v>
      </c>
      <c r="I176" s="1061">
        <f t="shared" si="45"/>
        <v>0</v>
      </c>
      <c r="J176" s="1061">
        <f t="shared" si="45"/>
        <v>0</v>
      </c>
      <c r="K176" s="1061">
        <f t="shared" si="45"/>
        <v>0</v>
      </c>
      <c r="L176" s="1061">
        <f t="shared" si="45"/>
        <v>0</v>
      </c>
      <c r="M176" s="1061">
        <f t="shared" si="45"/>
        <v>0</v>
      </c>
      <c r="N176" s="1061">
        <f t="shared" si="45"/>
        <v>0</v>
      </c>
      <c r="O176" s="1061">
        <f t="shared" si="45"/>
        <v>0</v>
      </c>
      <c r="P176" s="1061">
        <f t="shared" si="45"/>
        <v>0</v>
      </c>
      <c r="Q176" s="1061">
        <f t="shared" si="45"/>
        <v>0</v>
      </c>
      <c r="R176" s="1061">
        <f t="shared" si="45"/>
        <v>0</v>
      </c>
      <c r="S176" s="1061">
        <f t="shared" si="45"/>
        <v>0</v>
      </c>
      <c r="T176" s="1061">
        <f t="shared" si="45"/>
        <v>0</v>
      </c>
      <c r="U176" s="1061">
        <f t="shared" si="45"/>
        <v>0</v>
      </c>
      <c r="V176" s="991"/>
      <c r="W176" s="991"/>
      <c r="X176" s="991"/>
      <c r="Y176" s="991"/>
      <c r="Z176" s="991"/>
      <c r="AA176" s="991"/>
      <c r="AB176" s="991"/>
      <c r="AC176" s="991"/>
      <c r="AD176" s="991"/>
      <c r="AE176" s="991"/>
      <c r="AF176" s="991"/>
      <c r="AG176" s="991"/>
      <c r="AH176" s="991"/>
      <c r="AI176" s="991"/>
      <c r="AJ176" s="991"/>
      <c r="AK176" s="991"/>
      <c r="AL176" s="991"/>
    </row>
    <row r="177" spans="3:38" x14ac:dyDescent="0.2">
      <c r="C177" s="1061"/>
      <c r="D177" s="1062"/>
      <c r="E177" s="1061"/>
      <c r="F177" s="1061"/>
      <c r="G177" s="1061"/>
      <c r="H177" s="1061"/>
      <c r="I177" s="1061"/>
      <c r="J177" s="1061"/>
      <c r="K177" s="1061"/>
      <c r="L177" s="1061"/>
      <c r="M177" s="1061"/>
      <c r="N177" s="1061"/>
      <c r="O177" s="1061"/>
      <c r="P177" s="1061"/>
      <c r="Q177" s="1061"/>
      <c r="R177" s="1061"/>
      <c r="S177" s="1061"/>
      <c r="T177" s="1061"/>
      <c r="U177" s="1061"/>
      <c r="V177" s="991"/>
      <c r="W177" s="991"/>
      <c r="X177" s="991"/>
      <c r="Y177" s="991"/>
      <c r="Z177" s="991"/>
      <c r="AA177" s="991"/>
      <c r="AB177" s="991"/>
      <c r="AC177" s="991"/>
      <c r="AD177" s="991"/>
      <c r="AE177" s="991"/>
      <c r="AF177" s="991"/>
      <c r="AG177" s="991"/>
      <c r="AH177" s="991"/>
      <c r="AI177" s="991"/>
      <c r="AJ177" s="991"/>
      <c r="AK177" s="991"/>
      <c r="AL177" s="991"/>
    </row>
    <row r="178" spans="3:38" x14ac:dyDescent="0.2">
      <c r="C178" s="1061"/>
      <c r="D178" s="1062"/>
      <c r="E178" s="1061"/>
      <c r="F178" s="1061"/>
      <c r="G178" s="1061"/>
      <c r="H178" s="1061"/>
      <c r="I178" s="1061"/>
      <c r="J178" s="1061"/>
      <c r="K178" s="1061"/>
      <c r="L178" s="1061"/>
      <c r="M178" s="1061"/>
      <c r="N178" s="1061"/>
      <c r="O178" s="1061"/>
      <c r="P178" s="1061"/>
      <c r="Q178" s="1061"/>
      <c r="R178" s="1061"/>
      <c r="S178" s="1061"/>
      <c r="T178" s="1061"/>
      <c r="U178" s="1061"/>
      <c r="V178" s="991"/>
      <c r="W178" s="991"/>
      <c r="X178" s="991"/>
      <c r="Y178" s="991"/>
      <c r="Z178" s="991"/>
      <c r="AA178" s="991"/>
      <c r="AB178" s="991"/>
      <c r="AC178" s="991"/>
      <c r="AD178" s="991"/>
      <c r="AE178" s="991"/>
      <c r="AF178" s="991"/>
      <c r="AG178" s="991"/>
      <c r="AH178" s="991"/>
      <c r="AI178" s="991"/>
      <c r="AJ178" s="991"/>
      <c r="AK178" s="991"/>
      <c r="AL178" s="991"/>
    </row>
    <row r="179" spans="3:38" x14ac:dyDescent="0.2">
      <c r="C179" s="1061"/>
      <c r="D179" s="1062"/>
      <c r="E179" s="1061"/>
      <c r="F179" s="1061"/>
      <c r="G179" s="1061"/>
      <c r="H179" s="1061"/>
      <c r="I179" s="1061"/>
      <c r="J179" s="1061"/>
      <c r="K179" s="1061"/>
      <c r="L179" s="1061"/>
      <c r="M179" s="1061"/>
      <c r="N179" s="1061"/>
      <c r="O179" s="1061"/>
      <c r="P179" s="1061"/>
      <c r="Q179" s="1061"/>
      <c r="R179" s="1061"/>
      <c r="S179" s="1061"/>
      <c r="T179" s="1061"/>
      <c r="U179" s="1061"/>
      <c r="V179" s="991"/>
      <c r="W179" s="991"/>
      <c r="X179" s="991"/>
      <c r="Y179" s="991"/>
      <c r="Z179" s="991"/>
      <c r="AA179" s="991"/>
      <c r="AB179" s="991"/>
      <c r="AC179" s="991"/>
      <c r="AD179" s="991"/>
      <c r="AE179" s="991"/>
      <c r="AF179" s="991"/>
      <c r="AG179" s="991"/>
      <c r="AH179" s="991"/>
      <c r="AI179" s="991"/>
      <c r="AJ179" s="991"/>
      <c r="AK179" s="991"/>
      <c r="AL179" s="991"/>
    </row>
    <row r="180" spans="3:38" x14ac:dyDescent="0.2">
      <c r="C180" s="1061"/>
      <c r="D180" s="1062"/>
      <c r="E180" s="1061"/>
      <c r="F180" s="1061"/>
      <c r="G180" s="1061"/>
      <c r="H180" s="1061"/>
      <c r="I180" s="1061"/>
      <c r="J180" s="1061"/>
      <c r="K180" s="1061"/>
      <c r="L180" s="1061"/>
      <c r="M180" s="1061"/>
      <c r="N180" s="1061"/>
      <c r="O180" s="1061"/>
      <c r="P180" s="1061"/>
      <c r="Q180" s="1061"/>
      <c r="R180" s="1061"/>
      <c r="S180" s="1061"/>
      <c r="T180" s="1061"/>
      <c r="U180" s="1061"/>
      <c r="V180" s="991"/>
      <c r="W180" s="991"/>
      <c r="X180" s="991"/>
      <c r="Y180" s="991"/>
      <c r="Z180" s="991"/>
      <c r="AA180" s="991"/>
      <c r="AB180" s="991"/>
      <c r="AC180" s="991"/>
      <c r="AD180" s="991"/>
      <c r="AE180" s="991"/>
      <c r="AF180" s="991"/>
      <c r="AG180" s="991"/>
      <c r="AH180" s="991"/>
      <c r="AI180" s="991"/>
      <c r="AJ180" s="991"/>
      <c r="AK180" s="991"/>
      <c r="AL180" s="991"/>
    </row>
    <row r="181" spans="3:38" x14ac:dyDescent="0.2">
      <c r="C181" s="1061"/>
      <c r="D181" s="1062"/>
      <c r="E181" s="1061">
        <f t="shared" ref="E181:U181" si="46">IF($D$11="Firefly",(ROUNDDOWN((E20/6),0)),0)</f>
        <v>0</v>
      </c>
      <c r="F181" s="1061">
        <f t="shared" si="46"/>
        <v>0</v>
      </c>
      <c r="G181" s="1061">
        <f t="shared" si="46"/>
        <v>0</v>
      </c>
      <c r="H181" s="1061">
        <f t="shared" si="46"/>
        <v>0</v>
      </c>
      <c r="I181" s="1061">
        <f t="shared" si="46"/>
        <v>0</v>
      </c>
      <c r="J181" s="1061">
        <f t="shared" si="46"/>
        <v>0</v>
      </c>
      <c r="K181" s="1061">
        <f t="shared" si="46"/>
        <v>0</v>
      </c>
      <c r="L181" s="1061">
        <f t="shared" si="46"/>
        <v>0</v>
      </c>
      <c r="M181" s="1061">
        <f t="shared" si="46"/>
        <v>0</v>
      </c>
      <c r="N181" s="1061">
        <f t="shared" si="46"/>
        <v>0</v>
      </c>
      <c r="O181" s="1061">
        <f t="shared" si="46"/>
        <v>0</v>
      </c>
      <c r="P181" s="1061">
        <f t="shared" si="46"/>
        <v>0</v>
      </c>
      <c r="Q181" s="1061">
        <f t="shared" si="46"/>
        <v>0</v>
      </c>
      <c r="R181" s="1061">
        <f t="shared" si="46"/>
        <v>0</v>
      </c>
      <c r="S181" s="1061">
        <f t="shared" si="46"/>
        <v>0</v>
      </c>
      <c r="T181" s="1061">
        <f t="shared" si="46"/>
        <v>0</v>
      </c>
      <c r="U181" s="1061">
        <f t="shared" si="46"/>
        <v>0</v>
      </c>
      <c r="V181" s="991"/>
      <c r="W181" s="991"/>
      <c r="X181" s="991"/>
      <c r="Y181" s="991"/>
      <c r="Z181" s="991"/>
      <c r="AA181" s="991"/>
      <c r="AB181" s="991"/>
      <c r="AC181" s="991"/>
      <c r="AD181" s="991"/>
      <c r="AE181" s="991"/>
      <c r="AF181" s="991"/>
      <c r="AG181" s="991"/>
      <c r="AH181" s="991"/>
      <c r="AI181" s="991"/>
      <c r="AJ181" s="991"/>
      <c r="AK181" s="991"/>
      <c r="AL181" s="991"/>
    </row>
    <row r="182" spans="3:38" x14ac:dyDescent="0.2">
      <c r="C182" s="1061"/>
      <c r="D182" s="1062"/>
      <c r="E182" s="1061">
        <f t="shared" ref="E182:U182" si="47">IF($D$11="Firefly",(ROUNDDOWN((E176/6),0)),0)</f>
        <v>0</v>
      </c>
      <c r="F182" s="1061">
        <f t="shared" si="47"/>
        <v>0</v>
      </c>
      <c r="G182" s="1061">
        <f t="shared" si="47"/>
        <v>0</v>
      </c>
      <c r="H182" s="1061">
        <f t="shared" si="47"/>
        <v>0</v>
      </c>
      <c r="I182" s="1061">
        <f t="shared" si="47"/>
        <v>0</v>
      </c>
      <c r="J182" s="1061">
        <f t="shared" si="47"/>
        <v>0</v>
      </c>
      <c r="K182" s="1061">
        <f t="shared" si="47"/>
        <v>0</v>
      </c>
      <c r="L182" s="1061">
        <f t="shared" si="47"/>
        <v>0</v>
      </c>
      <c r="M182" s="1061">
        <f t="shared" si="47"/>
        <v>0</v>
      </c>
      <c r="N182" s="1061">
        <f t="shared" si="47"/>
        <v>0</v>
      </c>
      <c r="O182" s="1061">
        <f t="shared" si="47"/>
        <v>0</v>
      </c>
      <c r="P182" s="1061">
        <f t="shared" si="47"/>
        <v>0</v>
      </c>
      <c r="Q182" s="1061">
        <f t="shared" si="47"/>
        <v>0</v>
      </c>
      <c r="R182" s="1061">
        <f t="shared" si="47"/>
        <v>0</v>
      </c>
      <c r="S182" s="1061">
        <f t="shared" si="47"/>
        <v>0</v>
      </c>
      <c r="T182" s="1061">
        <f t="shared" si="47"/>
        <v>0</v>
      </c>
      <c r="U182" s="1061">
        <f t="shared" si="47"/>
        <v>0</v>
      </c>
      <c r="V182" s="991"/>
      <c r="W182" s="991"/>
      <c r="X182" s="991"/>
      <c r="Y182" s="991"/>
      <c r="Z182" s="991"/>
      <c r="AA182" s="991"/>
      <c r="AB182" s="991"/>
      <c r="AC182" s="991"/>
      <c r="AD182" s="991"/>
      <c r="AE182" s="991"/>
      <c r="AF182" s="991"/>
      <c r="AG182" s="991"/>
      <c r="AH182" s="991"/>
      <c r="AI182" s="991"/>
      <c r="AJ182" s="991"/>
      <c r="AK182" s="991"/>
      <c r="AL182" s="991"/>
    </row>
    <row r="183" spans="3:38" x14ac:dyDescent="0.2">
      <c r="C183" s="1061"/>
      <c r="D183" s="1062"/>
      <c r="E183" s="1061"/>
      <c r="F183" s="1061"/>
      <c r="G183" s="1061"/>
      <c r="H183" s="1061"/>
      <c r="I183" s="1061"/>
      <c r="J183" s="1061"/>
      <c r="K183" s="1061"/>
      <c r="L183" s="1061"/>
      <c r="M183" s="1061"/>
      <c r="N183" s="1061"/>
      <c r="O183" s="1061"/>
      <c r="P183" s="1061"/>
      <c r="Q183" s="1061"/>
      <c r="R183" s="1061"/>
      <c r="S183" s="1061"/>
      <c r="T183" s="1061"/>
      <c r="U183" s="1061"/>
      <c r="V183" s="991"/>
      <c r="W183" s="991"/>
      <c r="X183" s="991"/>
      <c r="Y183" s="991"/>
      <c r="Z183" s="991"/>
      <c r="AA183" s="991"/>
      <c r="AB183" s="991"/>
      <c r="AC183" s="991"/>
      <c r="AD183" s="991"/>
      <c r="AE183" s="991"/>
      <c r="AF183" s="991"/>
      <c r="AG183" s="991"/>
      <c r="AH183" s="991"/>
      <c r="AI183" s="991"/>
      <c r="AJ183" s="991"/>
      <c r="AK183" s="991"/>
      <c r="AL183" s="991"/>
    </row>
    <row r="184" spans="3:38" x14ac:dyDescent="0.2">
      <c r="C184" s="1061"/>
      <c r="D184" s="1062"/>
      <c r="E184" s="1061"/>
      <c r="F184" s="1061"/>
      <c r="G184" s="1061"/>
      <c r="H184" s="1061"/>
      <c r="I184" s="1061"/>
      <c r="J184" s="1061"/>
      <c r="K184" s="1061"/>
      <c r="L184" s="1061"/>
      <c r="M184" s="1061"/>
      <c r="N184" s="1061"/>
      <c r="O184" s="1061"/>
      <c r="P184" s="1061"/>
      <c r="Q184" s="1061"/>
      <c r="R184" s="1061"/>
      <c r="S184" s="1061"/>
      <c r="T184" s="1061"/>
      <c r="U184" s="1061"/>
      <c r="V184" s="991"/>
      <c r="W184" s="991"/>
      <c r="X184" s="991"/>
      <c r="Y184" s="991"/>
      <c r="Z184" s="991"/>
      <c r="AA184" s="991"/>
      <c r="AB184" s="991"/>
      <c r="AC184" s="991"/>
      <c r="AD184" s="991"/>
      <c r="AE184" s="991"/>
      <c r="AF184" s="991"/>
      <c r="AG184" s="991"/>
      <c r="AH184" s="991"/>
      <c r="AI184" s="991"/>
      <c r="AJ184" s="991"/>
      <c r="AK184" s="991"/>
      <c r="AL184" s="991"/>
    </row>
    <row r="185" spans="3:38" x14ac:dyDescent="0.2">
      <c r="C185" s="1061"/>
      <c r="D185" s="1062"/>
      <c r="E185" s="1061"/>
      <c r="F185" s="1061"/>
      <c r="G185" s="1061"/>
      <c r="H185" s="1061"/>
      <c r="I185" s="1061"/>
      <c r="J185" s="1061"/>
      <c r="K185" s="1061"/>
      <c r="L185" s="1061"/>
      <c r="M185" s="1061"/>
      <c r="N185" s="1061"/>
      <c r="O185" s="1061"/>
      <c r="P185" s="1061"/>
      <c r="Q185" s="1061"/>
      <c r="R185" s="1061"/>
      <c r="S185" s="1061"/>
      <c r="T185" s="1061"/>
      <c r="U185" s="1061"/>
      <c r="V185" s="991"/>
      <c r="W185" s="991"/>
      <c r="X185" s="991"/>
      <c r="Y185" s="991"/>
      <c r="Z185" s="991"/>
      <c r="AA185" s="991"/>
      <c r="AB185" s="991"/>
      <c r="AC185" s="991"/>
      <c r="AD185" s="991"/>
      <c r="AE185" s="991"/>
      <c r="AF185" s="991"/>
      <c r="AG185" s="991"/>
      <c r="AH185" s="991"/>
      <c r="AI185" s="991"/>
      <c r="AJ185" s="991"/>
      <c r="AK185" s="991"/>
      <c r="AL185" s="991"/>
    </row>
    <row r="186" spans="3:38" x14ac:dyDescent="0.2">
      <c r="C186" s="1061"/>
      <c r="D186" s="1062"/>
      <c r="E186" s="1061">
        <f t="shared" ref="E186:U186" si="48">IF($D$11="Firefly",(ROUNDDOWN((E194/2),0)),0)</f>
        <v>0</v>
      </c>
      <c r="F186" s="1061">
        <f t="shared" si="48"/>
        <v>0</v>
      </c>
      <c r="G186" s="1061">
        <f t="shared" si="48"/>
        <v>0</v>
      </c>
      <c r="H186" s="1061">
        <f t="shared" si="48"/>
        <v>0</v>
      </c>
      <c r="I186" s="1061">
        <f t="shared" si="48"/>
        <v>0</v>
      </c>
      <c r="J186" s="1061">
        <f t="shared" si="48"/>
        <v>0</v>
      </c>
      <c r="K186" s="1061">
        <f t="shared" si="48"/>
        <v>0</v>
      </c>
      <c r="L186" s="1061">
        <f t="shared" si="48"/>
        <v>0</v>
      </c>
      <c r="M186" s="1061">
        <f t="shared" si="48"/>
        <v>0</v>
      </c>
      <c r="N186" s="1061">
        <f t="shared" si="48"/>
        <v>0</v>
      </c>
      <c r="O186" s="1061">
        <f t="shared" si="48"/>
        <v>0</v>
      </c>
      <c r="P186" s="1061">
        <f t="shared" si="48"/>
        <v>0</v>
      </c>
      <c r="Q186" s="1061">
        <f t="shared" si="48"/>
        <v>0</v>
      </c>
      <c r="R186" s="1061">
        <f t="shared" si="48"/>
        <v>0</v>
      </c>
      <c r="S186" s="1061">
        <f t="shared" si="48"/>
        <v>0</v>
      </c>
      <c r="T186" s="1061">
        <f t="shared" si="48"/>
        <v>0</v>
      </c>
      <c r="U186" s="1061">
        <f t="shared" si="48"/>
        <v>0</v>
      </c>
      <c r="V186" s="991"/>
      <c r="W186" s="991"/>
      <c r="X186" s="991"/>
      <c r="Y186" s="991"/>
      <c r="Z186" s="991"/>
      <c r="AA186" s="991"/>
      <c r="AB186" s="991"/>
      <c r="AC186" s="991"/>
      <c r="AD186" s="991"/>
      <c r="AE186" s="991"/>
      <c r="AF186" s="991"/>
      <c r="AG186" s="991"/>
      <c r="AH186" s="991"/>
      <c r="AI186" s="991"/>
      <c r="AJ186" s="991"/>
      <c r="AK186" s="991"/>
      <c r="AL186" s="991"/>
    </row>
    <row r="187" spans="3:38" x14ac:dyDescent="0.2">
      <c r="C187" s="1061"/>
      <c r="D187" s="1062"/>
      <c r="E187" s="1061">
        <f t="shared" ref="E187:U187" si="49">IF($D$11="Firefly",(ROUNDDOWN((E196/2),0)),0)</f>
        <v>0</v>
      </c>
      <c r="F187" s="1061">
        <f t="shared" si="49"/>
        <v>0</v>
      </c>
      <c r="G187" s="1061">
        <f t="shared" si="49"/>
        <v>0</v>
      </c>
      <c r="H187" s="1061">
        <f t="shared" si="49"/>
        <v>0</v>
      </c>
      <c r="I187" s="1061">
        <f t="shared" si="49"/>
        <v>0</v>
      </c>
      <c r="J187" s="1061">
        <f t="shared" si="49"/>
        <v>0</v>
      </c>
      <c r="K187" s="1061">
        <f t="shared" si="49"/>
        <v>0</v>
      </c>
      <c r="L187" s="1061">
        <f t="shared" si="49"/>
        <v>0</v>
      </c>
      <c r="M187" s="1061">
        <f t="shared" si="49"/>
        <v>0</v>
      </c>
      <c r="N187" s="1061">
        <f t="shared" si="49"/>
        <v>0</v>
      </c>
      <c r="O187" s="1061">
        <f t="shared" si="49"/>
        <v>0</v>
      </c>
      <c r="P187" s="1061">
        <f t="shared" si="49"/>
        <v>0</v>
      </c>
      <c r="Q187" s="1061">
        <f t="shared" si="49"/>
        <v>0</v>
      </c>
      <c r="R187" s="1061">
        <f t="shared" si="49"/>
        <v>0</v>
      </c>
      <c r="S187" s="1061">
        <f t="shared" si="49"/>
        <v>0</v>
      </c>
      <c r="T187" s="1061">
        <f t="shared" si="49"/>
        <v>0</v>
      </c>
      <c r="U187" s="1061">
        <f t="shared" si="49"/>
        <v>0</v>
      </c>
      <c r="V187" s="991"/>
      <c r="W187" s="991"/>
      <c r="X187" s="991"/>
      <c r="Y187" s="991"/>
      <c r="Z187" s="991"/>
      <c r="AA187" s="991"/>
      <c r="AB187" s="991"/>
      <c r="AC187" s="991"/>
      <c r="AD187" s="991"/>
      <c r="AE187" s="991"/>
      <c r="AF187" s="991"/>
      <c r="AG187" s="991"/>
      <c r="AH187" s="991"/>
      <c r="AI187" s="991"/>
      <c r="AJ187" s="991"/>
      <c r="AK187" s="991"/>
      <c r="AL187" s="991"/>
    </row>
    <row r="188" spans="3:38" x14ac:dyDescent="0.2">
      <c r="C188" s="1061"/>
      <c r="D188" s="1062"/>
      <c r="E188" s="1061"/>
      <c r="F188" s="1061"/>
      <c r="G188" s="1061"/>
      <c r="H188" s="1061"/>
      <c r="I188" s="1061"/>
      <c r="J188" s="1061"/>
      <c r="K188" s="1061"/>
      <c r="L188" s="1061"/>
      <c r="M188" s="1061"/>
      <c r="N188" s="1061"/>
      <c r="O188" s="1061"/>
      <c r="P188" s="1061"/>
      <c r="Q188" s="1061"/>
      <c r="R188" s="1061"/>
      <c r="S188" s="1061"/>
      <c r="T188" s="1061"/>
      <c r="U188" s="1061"/>
      <c r="V188" s="991"/>
      <c r="W188" s="991"/>
      <c r="X188" s="991"/>
      <c r="Y188" s="991"/>
      <c r="Z188" s="991"/>
      <c r="AA188" s="991"/>
      <c r="AB188" s="991"/>
      <c r="AC188" s="991"/>
      <c r="AD188" s="991"/>
      <c r="AE188" s="991"/>
      <c r="AF188" s="991"/>
      <c r="AG188" s="991"/>
      <c r="AH188" s="991"/>
      <c r="AI188" s="991"/>
      <c r="AJ188" s="991"/>
      <c r="AK188" s="991"/>
      <c r="AL188" s="991"/>
    </row>
    <row r="189" spans="3:38" x14ac:dyDescent="0.2">
      <c r="C189" s="1061"/>
      <c r="D189" s="1062"/>
      <c r="E189" s="1061"/>
      <c r="F189" s="1061"/>
      <c r="G189" s="1061"/>
      <c r="H189" s="1061"/>
      <c r="I189" s="1061"/>
      <c r="J189" s="1061"/>
      <c r="K189" s="1061"/>
      <c r="L189" s="1061"/>
      <c r="M189" s="1061"/>
      <c r="N189" s="1061"/>
      <c r="O189" s="1061"/>
      <c r="P189" s="1061"/>
      <c r="Q189" s="1061"/>
      <c r="R189" s="1061"/>
      <c r="S189" s="1061"/>
      <c r="T189" s="1061"/>
      <c r="U189" s="1061"/>
      <c r="V189" s="991"/>
      <c r="W189" s="991"/>
      <c r="X189" s="991"/>
      <c r="Y189" s="991"/>
      <c r="Z189" s="991"/>
      <c r="AA189" s="991"/>
      <c r="AB189" s="991"/>
      <c r="AC189" s="991"/>
      <c r="AD189" s="991"/>
      <c r="AE189" s="991"/>
      <c r="AF189" s="991"/>
      <c r="AG189" s="991"/>
      <c r="AH189" s="991"/>
      <c r="AI189" s="991"/>
      <c r="AJ189" s="991"/>
      <c r="AK189" s="991"/>
      <c r="AL189" s="991"/>
    </row>
    <row r="190" spans="3:38" x14ac:dyDescent="0.2">
      <c r="C190" s="1061"/>
      <c r="D190" s="1062"/>
      <c r="E190" s="1061"/>
      <c r="F190" s="1061"/>
      <c r="G190" s="1061"/>
      <c r="H190" s="1061"/>
      <c r="I190" s="1061"/>
      <c r="J190" s="1061"/>
      <c r="K190" s="1061"/>
      <c r="L190" s="1061"/>
      <c r="M190" s="1061"/>
      <c r="N190" s="1061"/>
      <c r="O190" s="1061"/>
      <c r="P190" s="1061"/>
      <c r="Q190" s="1061"/>
      <c r="R190" s="1061"/>
      <c r="S190" s="1061"/>
      <c r="T190" s="1061"/>
      <c r="U190" s="1061"/>
      <c r="V190" s="991"/>
      <c r="W190" s="991"/>
      <c r="X190" s="991"/>
      <c r="Y190" s="991"/>
      <c r="Z190" s="991"/>
      <c r="AA190" s="991"/>
      <c r="AB190" s="991"/>
      <c r="AC190" s="991"/>
      <c r="AD190" s="991"/>
      <c r="AE190" s="991"/>
      <c r="AF190" s="991"/>
      <c r="AG190" s="991"/>
      <c r="AH190" s="991"/>
      <c r="AI190" s="991"/>
      <c r="AJ190" s="991"/>
      <c r="AK190" s="991"/>
      <c r="AL190" s="991"/>
    </row>
    <row r="191" spans="3:38" x14ac:dyDescent="0.2">
      <c r="C191" s="1061"/>
      <c r="D191" s="1062"/>
      <c r="E191" s="1061"/>
      <c r="F191" s="1061"/>
      <c r="G191" s="1061"/>
      <c r="H191" s="1061"/>
      <c r="I191" s="1061"/>
      <c r="J191" s="1061"/>
      <c r="K191" s="1061"/>
      <c r="L191" s="1061"/>
      <c r="M191" s="1061"/>
      <c r="N191" s="1061"/>
      <c r="O191" s="1061"/>
      <c r="P191" s="1061"/>
      <c r="Q191" s="1061"/>
      <c r="R191" s="1061"/>
      <c r="S191" s="1061"/>
      <c r="T191" s="1061"/>
      <c r="U191" s="1061"/>
      <c r="V191" s="991"/>
      <c r="W191" s="991"/>
      <c r="X191" s="991"/>
      <c r="Y191" s="991"/>
      <c r="Z191" s="991"/>
      <c r="AA191" s="991"/>
      <c r="AB191" s="991"/>
      <c r="AC191" s="991"/>
      <c r="AD191" s="991"/>
      <c r="AE191" s="991"/>
      <c r="AF191" s="991"/>
      <c r="AG191" s="991"/>
      <c r="AH191" s="991"/>
      <c r="AI191" s="991"/>
      <c r="AJ191" s="991"/>
      <c r="AK191" s="991"/>
      <c r="AL191" s="991"/>
    </row>
    <row r="192" spans="3:38" x14ac:dyDescent="0.2">
      <c r="C192" s="1061"/>
      <c r="D192" s="1062"/>
      <c r="E192" s="1061"/>
      <c r="F192" s="1061"/>
      <c r="G192" s="1061"/>
      <c r="H192" s="1061"/>
      <c r="I192" s="1061"/>
      <c r="J192" s="1061"/>
      <c r="K192" s="1061"/>
      <c r="L192" s="1061"/>
      <c r="M192" s="1061"/>
      <c r="N192" s="1061"/>
      <c r="O192" s="1061"/>
      <c r="P192" s="1061"/>
      <c r="Q192" s="1061"/>
      <c r="R192" s="1061"/>
      <c r="S192" s="1061"/>
      <c r="T192" s="1061"/>
      <c r="U192" s="1061"/>
      <c r="V192" s="991"/>
      <c r="W192" s="991"/>
      <c r="X192" s="991"/>
      <c r="Y192" s="991"/>
      <c r="Z192" s="991"/>
      <c r="AA192" s="991"/>
      <c r="AB192" s="991"/>
      <c r="AC192" s="991"/>
      <c r="AD192" s="991"/>
      <c r="AE192" s="991"/>
      <c r="AF192" s="991"/>
      <c r="AG192" s="991"/>
      <c r="AH192" s="991"/>
      <c r="AI192" s="991"/>
      <c r="AJ192" s="991"/>
      <c r="AK192" s="991"/>
      <c r="AL192" s="991"/>
    </row>
    <row r="193" spans="3:38" x14ac:dyDescent="0.2">
      <c r="C193" s="1061"/>
      <c r="D193" s="1062"/>
      <c r="E193" s="1069">
        <f t="shared" ref="E193:U193" si="50">E20/6</f>
        <v>0</v>
      </c>
      <c r="F193" s="1069">
        <f t="shared" si="50"/>
        <v>0</v>
      </c>
      <c r="G193" s="1069">
        <f t="shared" si="50"/>
        <v>0</v>
      </c>
      <c r="H193" s="1069">
        <f t="shared" si="50"/>
        <v>0</v>
      </c>
      <c r="I193" s="1069">
        <f t="shared" si="50"/>
        <v>0</v>
      </c>
      <c r="J193" s="1069">
        <f t="shared" si="50"/>
        <v>0</v>
      </c>
      <c r="K193" s="1069">
        <f t="shared" si="50"/>
        <v>0</v>
      </c>
      <c r="L193" s="1069">
        <f t="shared" si="50"/>
        <v>0</v>
      </c>
      <c r="M193" s="1069">
        <f t="shared" si="50"/>
        <v>0</v>
      </c>
      <c r="N193" s="1069">
        <f t="shared" si="50"/>
        <v>0</v>
      </c>
      <c r="O193" s="1069">
        <f t="shared" si="50"/>
        <v>0</v>
      </c>
      <c r="P193" s="1069">
        <f t="shared" si="50"/>
        <v>0</v>
      </c>
      <c r="Q193" s="1069">
        <f t="shared" si="50"/>
        <v>0</v>
      </c>
      <c r="R193" s="1069">
        <f t="shared" si="50"/>
        <v>0</v>
      </c>
      <c r="S193" s="1069">
        <f t="shared" si="50"/>
        <v>0</v>
      </c>
      <c r="T193" s="1069">
        <f t="shared" si="50"/>
        <v>0</v>
      </c>
      <c r="U193" s="1069">
        <f t="shared" si="50"/>
        <v>0</v>
      </c>
      <c r="V193" s="991"/>
      <c r="W193" s="991"/>
      <c r="X193" s="991"/>
      <c r="Y193" s="991"/>
      <c r="Z193" s="991"/>
      <c r="AA193" s="991"/>
      <c r="AB193" s="991"/>
      <c r="AC193" s="991"/>
      <c r="AD193" s="991"/>
      <c r="AE193" s="991"/>
      <c r="AF193" s="991"/>
      <c r="AG193" s="991"/>
      <c r="AH193" s="991"/>
      <c r="AI193" s="991"/>
      <c r="AJ193" s="991"/>
      <c r="AK193" s="991"/>
      <c r="AL193" s="991"/>
    </row>
    <row r="194" spans="3:38" x14ac:dyDescent="0.2">
      <c r="C194" s="1061"/>
      <c r="D194" s="1062"/>
      <c r="E194" s="1061">
        <f t="shared" ref="E194:U194" si="51">(E193-E181)*6</f>
        <v>0</v>
      </c>
      <c r="F194" s="1061">
        <f t="shared" si="51"/>
        <v>0</v>
      </c>
      <c r="G194" s="1061">
        <f t="shared" si="51"/>
        <v>0</v>
      </c>
      <c r="H194" s="1061">
        <f t="shared" si="51"/>
        <v>0</v>
      </c>
      <c r="I194" s="1061">
        <f t="shared" si="51"/>
        <v>0</v>
      </c>
      <c r="J194" s="1061">
        <f t="shared" si="51"/>
        <v>0</v>
      </c>
      <c r="K194" s="1061">
        <f t="shared" si="51"/>
        <v>0</v>
      </c>
      <c r="L194" s="1061">
        <f t="shared" si="51"/>
        <v>0</v>
      </c>
      <c r="M194" s="1061">
        <f t="shared" si="51"/>
        <v>0</v>
      </c>
      <c r="N194" s="1061">
        <f t="shared" si="51"/>
        <v>0</v>
      </c>
      <c r="O194" s="1061">
        <f t="shared" si="51"/>
        <v>0</v>
      </c>
      <c r="P194" s="1061">
        <f t="shared" si="51"/>
        <v>0</v>
      </c>
      <c r="Q194" s="1061">
        <f t="shared" si="51"/>
        <v>0</v>
      </c>
      <c r="R194" s="1061">
        <f t="shared" si="51"/>
        <v>0</v>
      </c>
      <c r="S194" s="1061">
        <f t="shared" si="51"/>
        <v>0</v>
      </c>
      <c r="T194" s="1061">
        <f t="shared" si="51"/>
        <v>0</v>
      </c>
      <c r="U194" s="1061">
        <f t="shared" si="51"/>
        <v>0</v>
      </c>
    </row>
    <row r="195" spans="3:38" x14ac:dyDescent="0.2">
      <c r="C195" s="1061"/>
      <c r="D195" s="1062"/>
      <c r="E195" s="1069">
        <f t="shared" ref="E195:U195" si="52">E176/6</f>
        <v>0</v>
      </c>
      <c r="F195" s="1069">
        <f t="shared" si="52"/>
        <v>0</v>
      </c>
      <c r="G195" s="1069">
        <f t="shared" si="52"/>
        <v>0</v>
      </c>
      <c r="H195" s="1069">
        <f t="shared" si="52"/>
        <v>0</v>
      </c>
      <c r="I195" s="1069">
        <f t="shared" si="52"/>
        <v>0</v>
      </c>
      <c r="J195" s="1069">
        <f t="shared" si="52"/>
        <v>0</v>
      </c>
      <c r="K195" s="1069">
        <f t="shared" si="52"/>
        <v>0</v>
      </c>
      <c r="L195" s="1069">
        <f t="shared" si="52"/>
        <v>0</v>
      </c>
      <c r="M195" s="1069">
        <f t="shared" si="52"/>
        <v>0</v>
      </c>
      <c r="N195" s="1069">
        <f t="shared" si="52"/>
        <v>0</v>
      </c>
      <c r="O195" s="1069">
        <f t="shared" si="52"/>
        <v>0</v>
      </c>
      <c r="P195" s="1069">
        <f t="shared" si="52"/>
        <v>0</v>
      </c>
      <c r="Q195" s="1069">
        <f t="shared" si="52"/>
        <v>0</v>
      </c>
      <c r="R195" s="1069">
        <f t="shared" si="52"/>
        <v>0</v>
      </c>
      <c r="S195" s="1069">
        <f t="shared" si="52"/>
        <v>0</v>
      </c>
      <c r="T195" s="1069">
        <f t="shared" si="52"/>
        <v>0</v>
      </c>
      <c r="U195" s="1069">
        <f t="shared" si="52"/>
        <v>0</v>
      </c>
    </row>
    <row r="196" spans="3:38" x14ac:dyDescent="0.2">
      <c r="C196" s="1061"/>
      <c r="D196" s="1062"/>
      <c r="E196" s="1069">
        <f t="shared" ref="E196:U196" si="53">(E195-E182)*6</f>
        <v>0</v>
      </c>
      <c r="F196" s="1069">
        <f t="shared" si="53"/>
        <v>0</v>
      </c>
      <c r="G196" s="1069">
        <f t="shared" si="53"/>
        <v>0</v>
      </c>
      <c r="H196" s="1069">
        <f t="shared" si="53"/>
        <v>0</v>
      </c>
      <c r="I196" s="1069">
        <f t="shared" si="53"/>
        <v>0</v>
      </c>
      <c r="J196" s="1069">
        <f t="shared" si="53"/>
        <v>0</v>
      </c>
      <c r="K196" s="1069">
        <f t="shared" si="53"/>
        <v>0</v>
      </c>
      <c r="L196" s="1069">
        <f t="shared" si="53"/>
        <v>0</v>
      </c>
      <c r="M196" s="1069">
        <f t="shared" si="53"/>
        <v>0</v>
      </c>
      <c r="N196" s="1069">
        <f t="shared" si="53"/>
        <v>0</v>
      </c>
      <c r="O196" s="1069">
        <f t="shared" si="53"/>
        <v>0</v>
      </c>
      <c r="P196" s="1069">
        <f t="shared" si="53"/>
        <v>0</v>
      </c>
      <c r="Q196" s="1069">
        <f t="shared" si="53"/>
        <v>0</v>
      </c>
      <c r="R196" s="1069">
        <f t="shared" si="53"/>
        <v>0</v>
      </c>
      <c r="S196" s="1069">
        <f t="shared" si="53"/>
        <v>0</v>
      </c>
      <c r="T196" s="1069">
        <f t="shared" si="53"/>
        <v>0</v>
      </c>
      <c r="U196" s="1069">
        <f t="shared" si="53"/>
        <v>0</v>
      </c>
    </row>
    <row r="197" spans="3:38" x14ac:dyDescent="0.2">
      <c r="C197" s="1061"/>
      <c r="D197" s="1062"/>
      <c r="E197" s="1061"/>
      <c r="F197" s="1061"/>
      <c r="G197" s="1061"/>
      <c r="H197" s="1061"/>
      <c r="I197" s="1061"/>
      <c r="J197" s="1061"/>
      <c r="K197" s="1061"/>
      <c r="L197" s="1061"/>
      <c r="M197" s="1061"/>
      <c r="N197" s="1061"/>
      <c r="O197" s="1061"/>
      <c r="P197" s="1061"/>
      <c r="Q197" s="1061"/>
      <c r="R197" s="1061"/>
      <c r="S197" s="1063"/>
      <c r="T197" s="1063"/>
    </row>
    <row r="198" spans="3:38" x14ac:dyDescent="0.2">
      <c r="C198" s="1061"/>
      <c r="D198" s="1062"/>
      <c r="E198" s="1061"/>
      <c r="F198" s="1061"/>
      <c r="G198" s="1061"/>
      <c r="H198" s="1061"/>
      <c r="I198" s="1061"/>
      <c r="J198" s="1061"/>
      <c r="K198" s="1061"/>
      <c r="L198" s="1061"/>
      <c r="M198" s="1061"/>
      <c r="N198" s="1061"/>
      <c r="O198" s="1061"/>
      <c r="P198" s="1061"/>
      <c r="Q198" s="1061"/>
      <c r="R198" s="1061"/>
      <c r="S198" s="1063"/>
      <c r="T198" s="1063"/>
    </row>
    <row r="199" spans="3:38" x14ac:dyDescent="0.2">
      <c r="C199" s="1061"/>
      <c r="D199" s="1062"/>
      <c r="E199" s="1061"/>
      <c r="F199" s="1061"/>
      <c r="G199" s="1061"/>
      <c r="H199" s="1061"/>
      <c r="I199" s="1061"/>
      <c r="J199" s="1061"/>
      <c r="K199" s="1061"/>
      <c r="L199" s="1061"/>
      <c r="M199" s="1061"/>
      <c r="N199" s="1061"/>
      <c r="O199" s="1061"/>
      <c r="P199" s="1061"/>
      <c r="Q199" s="1061"/>
      <c r="R199" s="1061"/>
      <c r="S199" s="1063"/>
      <c r="T199" s="1063"/>
    </row>
    <row r="200" spans="3:38" x14ac:dyDescent="0.2">
      <c r="C200" s="1061"/>
      <c r="D200" s="1062"/>
      <c r="E200" s="1061"/>
      <c r="F200" s="1061"/>
      <c r="G200" s="1061"/>
      <c r="H200" s="1061"/>
      <c r="I200" s="1061"/>
      <c r="J200" s="1061"/>
      <c r="K200" s="1061"/>
      <c r="L200" s="1061"/>
      <c r="M200" s="1061"/>
      <c r="N200" s="1061"/>
      <c r="O200" s="1061"/>
      <c r="P200" s="1061"/>
      <c r="Q200" s="1061"/>
      <c r="R200" s="1061"/>
      <c r="S200" s="1063"/>
      <c r="T200" s="1063"/>
    </row>
    <row r="201" spans="3:38" x14ac:dyDescent="0.2">
      <c r="C201" s="1061"/>
      <c r="D201" s="1062"/>
      <c r="E201" s="1061"/>
      <c r="F201" s="1061"/>
      <c r="G201" s="1061"/>
      <c r="H201" s="1061"/>
      <c r="I201" s="1061"/>
      <c r="J201" s="1061"/>
      <c r="K201" s="1061"/>
      <c r="L201" s="1061"/>
      <c r="M201" s="1061"/>
      <c r="N201" s="1061"/>
      <c r="O201" s="1061"/>
      <c r="P201" s="1061"/>
      <c r="Q201" s="1061"/>
      <c r="R201" s="1061"/>
      <c r="S201" s="1063"/>
      <c r="T201" s="1063"/>
    </row>
    <row r="202" spans="3:38" x14ac:dyDescent="0.2">
      <c r="C202" s="1061"/>
      <c r="D202" s="1062"/>
      <c r="E202" s="1061"/>
      <c r="F202" s="1061"/>
      <c r="G202" s="1061"/>
      <c r="H202" s="1061"/>
      <c r="I202" s="1061"/>
      <c r="J202" s="1061"/>
      <c r="K202" s="1061"/>
      <c r="L202" s="1061"/>
      <c r="M202" s="1061"/>
      <c r="N202" s="1061"/>
      <c r="O202" s="1061"/>
      <c r="P202" s="1061"/>
      <c r="Q202" s="1061"/>
      <c r="R202" s="1061"/>
      <c r="S202" s="1063"/>
      <c r="T202" s="1063"/>
    </row>
    <row r="203" spans="3:38" x14ac:dyDescent="0.2">
      <c r="C203" s="1061"/>
      <c r="D203" s="1062"/>
      <c r="E203" s="1061"/>
      <c r="F203" s="1061"/>
      <c r="G203" s="1061"/>
      <c r="H203" s="1061"/>
      <c r="I203" s="1061"/>
      <c r="J203" s="1061"/>
      <c r="K203" s="1061"/>
      <c r="L203" s="1061"/>
      <c r="M203" s="1061"/>
      <c r="N203" s="1061"/>
      <c r="O203" s="1061"/>
      <c r="P203" s="1061"/>
      <c r="Q203" s="1061"/>
      <c r="R203" s="1061"/>
      <c r="S203" s="1063"/>
      <c r="T203" s="1063"/>
    </row>
    <row r="204" spans="3:38" x14ac:dyDescent="0.2">
      <c r="C204" s="1061"/>
      <c r="D204" s="1062"/>
      <c r="E204" s="1061"/>
      <c r="F204" s="1063"/>
      <c r="G204" s="1063"/>
      <c r="H204" s="1063"/>
      <c r="I204" s="1063"/>
      <c r="J204" s="1063"/>
      <c r="K204" s="1063"/>
      <c r="L204" s="1063"/>
      <c r="M204" s="1063"/>
      <c r="N204" s="1063"/>
      <c r="O204" s="1063"/>
      <c r="P204" s="1063"/>
      <c r="Q204" s="1063"/>
      <c r="R204" s="1063"/>
      <c r="S204" s="1063"/>
      <c r="T204" s="1063"/>
    </row>
    <row r="205" spans="3:38" x14ac:dyDescent="0.2">
      <c r="D205" s="1073" t="s">
        <v>27938</v>
      </c>
      <c r="E205" s="1073">
        <f t="shared" ref="E205:V205" si="54">E17/100*E18/100*E20/100</f>
        <v>0</v>
      </c>
      <c r="F205" s="1073">
        <f t="shared" si="54"/>
        <v>0</v>
      </c>
      <c r="G205" s="1073">
        <f t="shared" si="54"/>
        <v>0</v>
      </c>
      <c r="H205" s="1073">
        <f t="shared" si="54"/>
        <v>0</v>
      </c>
      <c r="I205" s="1073">
        <f t="shared" si="54"/>
        <v>0</v>
      </c>
      <c r="J205" s="1073">
        <f t="shared" si="54"/>
        <v>0</v>
      </c>
      <c r="K205" s="1073">
        <f t="shared" si="54"/>
        <v>0</v>
      </c>
      <c r="L205" s="1073">
        <f t="shared" si="54"/>
        <v>0</v>
      </c>
      <c r="M205" s="1073">
        <f t="shared" si="54"/>
        <v>0</v>
      </c>
      <c r="N205" s="1073">
        <f t="shared" si="54"/>
        <v>0</v>
      </c>
      <c r="O205" s="1073">
        <f t="shared" si="54"/>
        <v>0</v>
      </c>
      <c r="P205" s="1073">
        <f t="shared" si="54"/>
        <v>0</v>
      </c>
      <c r="Q205" s="1073">
        <f t="shared" si="54"/>
        <v>0</v>
      </c>
      <c r="R205" s="1073">
        <f t="shared" si="54"/>
        <v>0</v>
      </c>
      <c r="S205" s="1073">
        <f t="shared" si="54"/>
        <v>0</v>
      </c>
      <c r="T205" s="1073">
        <f t="shared" si="54"/>
        <v>0</v>
      </c>
      <c r="U205" s="1073">
        <f t="shared" si="54"/>
        <v>0</v>
      </c>
      <c r="V205" s="1073">
        <f t="shared" si="54"/>
        <v>0</v>
      </c>
      <c r="W205" s="962" t="s">
        <v>27658</v>
      </c>
      <c r="X205" s="962" t="s">
        <v>27939</v>
      </c>
      <c r="Y205" s="962" t="s">
        <v>27940</v>
      </c>
    </row>
    <row r="206" spans="3:38" x14ac:dyDescent="0.2">
      <c r="D206" s="1073" t="s">
        <v>27941</v>
      </c>
      <c r="E206" s="1073">
        <f t="shared" ref="E206:U206" si="55">E29</f>
        <v>0</v>
      </c>
      <c r="F206" s="1073">
        <f t="shared" si="55"/>
        <v>0</v>
      </c>
      <c r="G206" s="1073">
        <f t="shared" si="55"/>
        <v>0</v>
      </c>
      <c r="H206" s="1073">
        <f t="shared" si="55"/>
        <v>0</v>
      </c>
      <c r="I206" s="1073">
        <f t="shared" si="55"/>
        <v>0</v>
      </c>
      <c r="J206" s="1073">
        <f t="shared" si="55"/>
        <v>0</v>
      </c>
      <c r="K206" s="1073">
        <f t="shared" si="55"/>
        <v>0</v>
      </c>
      <c r="L206" s="1073">
        <f t="shared" si="55"/>
        <v>0</v>
      </c>
      <c r="M206" s="1073">
        <f t="shared" si="55"/>
        <v>0</v>
      </c>
      <c r="N206" s="1073">
        <f t="shared" si="55"/>
        <v>0</v>
      </c>
      <c r="O206" s="1073">
        <f t="shared" si="55"/>
        <v>0</v>
      </c>
      <c r="P206" s="1073">
        <f t="shared" si="55"/>
        <v>0</v>
      </c>
      <c r="Q206" s="1073">
        <f t="shared" si="55"/>
        <v>0</v>
      </c>
      <c r="R206" s="1073">
        <f t="shared" si="55"/>
        <v>0</v>
      </c>
      <c r="S206" s="1073">
        <f t="shared" si="55"/>
        <v>0</v>
      </c>
      <c r="T206" s="1073">
        <f t="shared" si="55"/>
        <v>0</v>
      </c>
      <c r="U206" s="1073">
        <f t="shared" si="55"/>
        <v>0</v>
      </c>
      <c r="V206" s="1073">
        <f>V28</f>
        <v>0</v>
      </c>
      <c r="W206" s="1005"/>
      <c r="X206" s="1005"/>
      <c r="Y206" s="1005"/>
    </row>
    <row r="207" spans="3:38" x14ac:dyDescent="0.2">
      <c r="C207" s="3052" t="s">
        <v>27942</v>
      </c>
      <c r="D207" s="1073" t="s">
        <v>27943</v>
      </c>
      <c r="E207" s="1073">
        <f t="shared" ref="E207:V207" si="56">IF(E206=1,IF(E205&lt;1,E16,0),0)</f>
        <v>0</v>
      </c>
      <c r="F207" s="1073">
        <f t="shared" si="56"/>
        <v>0</v>
      </c>
      <c r="G207" s="1073">
        <f t="shared" si="56"/>
        <v>0</v>
      </c>
      <c r="H207" s="1073">
        <f t="shared" si="56"/>
        <v>0</v>
      </c>
      <c r="I207" s="1073">
        <f t="shared" si="56"/>
        <v>0</v>
      </c>
      <c r="J207" s="1073">
        <f t="shared" si="56"/>
        <v>0</v>
      </c>
      <c r="K207" s="1073">
        <f t="shared" si="56"/>
        <v>0</v>
      </c>
      <c r="L207" s="1073">
        <f t="shared" si="56"/>
        <v>0</v>
      </c>
      <c r="M207" s="1073">
        <f t="shared" si="56"/>
        <v>0</v>
      </c>
      <c r="N207" s="1073">
        <f t="shared" si="56"/>
        <v>0</v>
      </c>
      <c r="O207" s="1073">
        <f t="shared" si="56"/>
        <v>0</v>
      </c>
      <c r="P207" s="1073">
        <f t="shared" si="56"/>
        <v>0</v>
      </c>
      <c r="Q207" s="1073">
        <f t="shared" si="56"/>
        <v>0</v>
      </c>
      <c r="R207" s="1073">
        <f t="shared" si="56"/>
        <v>0</v>
      </c>
      <c r="S207" s="1073">
        <f t="shared" si="56"/>
        <v>0</v>
      </c>
      <c r="T207" s="1073">
        <f t="shared" si="56"/>
        <v>0</v>
      </c>
      <c r="U207" s="1073">
        <f t="shared" si="56"/>
        <v>0</v>
      </c>
      <c r="V207" s="1073">
        <f t="shared" si="56"/>
        <v>0</v>
      </c>
      <c r="W207" s="1005">
        <f t="shared" ref="W207:W212" si="57">SUM(E207:U207)</f>
        <v>0</v>
      </c>
      <c r="X207" s="1074">
        <f>20/60</f>
        <v>0.33333333333333331</v>
      </c>
      <c r="Y207" s="1074">
        <f t="shared" ref="Y207:Y212" si="58">X207*W207</f>
        <v>0</v>
      </c>
    </row>
    <row r="208" spans="3:38" x14ac:dyDescent="0.2">
      <c r="C208" s="3052"/>
      <c r="D208" s="1073" t="s">
        <v>27944</v>
      </c>
      <c r="E208" s="1073">
        <f t="shared" ref="E208:V208" si="59">IF(E206=1,IF(AND(E205&lt;=2,E205&gt;=1),E16,0),0)</f>
        <v>0</v>
      </c>
      <c r="F208" s="1073">
        <f t="shared" si="59"/>
        <v>0</v>
      </c>
      <c r="G208" s="1073">
        <f t="shared" si="59"/>
        <v>0</v>
      </c>
      <c r="H208" s="1073">
        <f t="shared" si="59"/>
        <v>0</v>
      </c>
      <c r="I208" s="1073">
        <f t="shared" si="59"/>
        <v>0</v>
      </c>
      <c r="J208" s="1073">
        <f t="shared" si="59"/>
        <v>0</v>
      </c>
      <c r="K208" s="1073">
        <f t="shared" si="59"/>
        <v>0</v>
      </c>
      <c r="L208" s="1073">
        <f t="shared" si="59"/>
        <v>0</v>
      </c>
      <c r="M208" s="1073">
        <f t="shared" si="59"/>
        <v>0</v>
      </c>
      <c r="N208" s="1073">
        <f t="shared" si="59"/>
        <v>0</v>
      </c>
      <c r="O208" s="1073">
        <f t="shared" si="59"/>
        <v>0</v>
      </c>
      <c r="P208" s="1073">
        <f t="shared" si="59"/>
        <v>0</v>
      </c>
      <c r="Q208" s="1073">
        <f t="shared" si="59"/>
        <v>0</v>
      </c>
      <c r="R208" s="1073">
        <f t="shared" si="59"/>
        <v>0</v>
      </c>
      <c r="S208" s="1073">
        <f t="shared" si="59"/>
        <v>0</v>
      </c>
      <c r="T208" s="1073">
        <f t="shared" si="59"/>
        <v>0</v>
      </c>
      <c r="U208" s="1073">
        <f t="shared" si="59"/>
        <v>0</v>
      </c>
      <c r="V208" s="1073">
        <f t="shared" si="59"/>
        <v>0</v>
      </c>
      <c r="W208" s="1005">
        <f t="shared" si="57"/>
        <v>0</v>
      </c>
      <c r="X208" s="1074">
        <f>X207*1.5</f>
        <v>0.5</v>
      </c>
      <c r="Y208" s="1074">
        <f t="shared" si="58"/>
        <v>0</v>
      </c>
    </row>
    <row r="209" spans="3:25" x14ac:dyDescent="0.2">
      <c r="C209" s="3052"/>
      <c r="D209" s="1073" t="s">
        <v>27945</v>
      </c>
      <c r="E209" s="1073">
        <f t="shared" ref="E209:V209" si="60">IF(E206=1,IF(E205&gt;2,E16,0),0)</f>
        <v>0</v>
      </c>
      <c r="F209" s="1073">
        <f t="shared" si="60"/>
        <v>0</v>
      </c>
      <c r="G209" s="1073">
        <f t="shared" si="60"/>
        <v>0</v>
      </c>
      <c r="H209" s="1073">
        <f t="shared" si="60"/>
        <v>0</v>
      </c>
      <c r="I209" s="1073">
        <f t="shared" si="60"/>
        <v>0</v>
      </c>
      <c r="J209" s="1073">
        <f t="shared" si="60"/>
        <v>0</v>
      </c>
      <c r="K209" s="1073">
        <f t="shared" si="60"/>
        <v>0</v>
      </c>
      <c r="L209" s="1073">
        <f t="shared" si="60"/>
        <v>0</v>
      </c>
      <c r="M209" s="1073">
        <f t="shared" si="60"/>
        <v>0</v>
      </c>
      <c r="N209" s="1073">
        <f t="shared" si="60"/>
        <v>0</v>
      </c>
      <c r="O209" s="1073">
        <f t="shared" si="60"/>
        <v>0</v>
      </c>
      <c r="P209" s="1073">
        <f t="shared" si="60"/>
        <v>0</v>
      </c>
      <c r="Q209" s="1073">
        <f t="shared" si="60"/>
        <v>0</v>
      </c>
      <c r="R209" s="1073">
        <f t="shared" si="60"/>
        <v>0</v>
      </c>
      <c r="S209" s="1073">
        <f t="shared" si="60"/>
        <v>0</v>
      </c>
      <c r="T209" s="1073">
        <f t="shared" si="60"/>
        <v>0</v>
      </c>
      <c r="U209" s="1073">
        <f t="shared" si="60"/>
        <v>0</v>
      </c>
      <c r="V209" s="1073">
        <f t="shared" si="60"/>
        <v>0</v>
      </c>
      <c r="W209" s="1005">
        <f t="shared" si="57"/>
        <v>0</v>
      </c>
      <c r="X209" s="1074">
        <f>X207*2</f>
        <v>0.66666666666666663</v>
      </c>
      <c r="Y209" s="1074">
        <f t="shared" si="58"/>
        <v>0</v>
      </c>
    </row>
    <row r="210" spans="3:25" x14ac:dyDescent="0.2">
      <c r="C210" s="3052" t="s">
        <v>27946</v>
      </c>
      <c r="D210" s="1073" t="s">
        <v>27943</v>
      </c>
      <c r="E210" s="1073">
        <f t="shared" ref="E210:V210" si="61">IF(E206=0,IF(E205&lt;1,E16,0),0)</f>
        <v>0</v>
      </c>
      <c r="F210" s="1073">
        <f t="shared" si="61"/>
        <v>0</v>
      </c>
      <c r="G210" s="1073">
        <f t="shared" si="61"/>
        <v>0</v>
      </c>
      <c r="H210" s="1073">
        <f t="shared" si="61"/>
        <v>0</v>
      </c>
      <c r="I210" s="1073">
        <f t="shared" si="61"/>
        <v>0</v>
      </c>
      <c r="J210" s="1073">
        <f t="shared" si="61"/>
        <v>0</v>
      </c>
      <c r="K210" s="1073">
        <f t="shared" si="61"/>
        <v>0</v>
      </c>
      <c r="L210" s="1073">
        <f t="shared" si="61"/>
        <v>0</v>
      </c>
      <c r="M210" s="1073">
        <f t="shared" si="61"/>
        <v>0</v>
      </c>
      <c r="N210" s="1073">
        <f t="shared" si="61"/>
        <v>0</v>
      </c>
      <c r="O210" s="1073">
        <f t="shared" si="61"/>
        <v>0</v>
      </c>
      <c r="P210" s="1073">
        <f t="shared" si="61"/>
        <v>0</v>
      </c>
      <c r="Q210" s="1073">
        <f t="shared" si="61"/>
        <v>0</v>
      </c>
      <c r="R210" s="1073">
        <f t="shared" si="61"/>
        <v>0</v>
      </c>
      <c r="S210" s="1073">
        <f t="shared" si="61"/>
        <v>0</v>
      </c>
      <c r="T210" s="1073">
        <f t="shared" si="61"/>
        <v>0</v>
      </c>
      <c r="U210" s="1073">
        <f t="shared" si="61"/>
        <v>0</v>
      </c>
      <c r="V210" s="1073">
        <f t="shared" si="61"/>
        <v>0</v>
      </c>
      <c r="W210" s="1005">
        <f t="shared" si="57"/>
        <v>0</v>
      </c>
      <c r="X210" s="1074">
        <f>10/60</f>
        <v>0.16666666666666666</v>
      </c>
      <c r="Y210" s="1074">
        <f t="shared" si="58"/>
        <v>0</v>
      </c>
    </row>
    <row r="211" spans="3:25" x14ac:dyDescent="0.2">
      <c r="C211" s="3052"/>
      <c r="D211" s="1073" t="s">
        <v>27944</v>
      </c>
      <c r="E211" s="1073">
        <f t="shared" ref="E211:V211" si="62">IF(E206=0,IF(AND(E205&lt;=2,E205&gt;=1),E16,0),0)</f>
        <v>0</v>
      </c>
      <c r="F211" s="1073">
        <f t="shared" si="62"/>
        <v>0</v>
      </c>
      <c r="G211" s="1073">
        <f t="shared" si="62"/>
        <v>0</v>
      </c>
      <c r="H211" s="1073">
        <f t="shared" si="62"/>
        <v>0</v>
      </c>
      <c r="I211" s="1073">
        <f t="shared" si="62"/>
        <v>0</v>
      </c>
      <c r="J211" s="1073">
        <f t="shared" si="62"/>
        <v>0</v>
      </c>
      <c r="K211" s="1073">
        <f t="shared" si="62"/>
        <v>0</v>
      </c>
      <c r="L211" s="1073">
        <f t="shared" si="62"/>
        <v>0</v>
      </c>
      <c r="M211" s="1073">
        <f t="shared" si="62"/>
        <v>0</v>
      </c>
      <c r="N211" s="1073">
        <f t="shared" si="62"/>
        <v>0</v>
      </c>
      <c r="O211" s="1073">
        <f t="shared" si="62"/>
        <v>0</v>
      </c>
      <c r="P211" s="1073">
        <f t="shared" si="62"/>
        <v>0</v>
      </c>
      <c r="Q211" s="1073">
        <f t="shared" si="62"/>
        <v>0</v>
      </c>
      <c r="R211" s="1073">
        <f t="shared" si="62"/>
        <v>0</v>
      </c>
      <c r="S211" s="1073">
        <f t="shared" si="62"/>
        <v>0</v>
      </c>
      <c r="T211" s="1073">
        <f t="shared" si="62"/>
        <v>0</v>
      </c>
      <c r="U211" s="1073">
        <f t="shared" si="62"/>
        <v>0</v>
      </c>
      <c r="V211" s="1073">
        <f t="shared" si="62"/>
        <v>0</v>
      </c>
      <c r="W211" s="1005">
        <f t="shared" si="57"/>
        <v>0</v>
      </c>
      <c r="X211" s="1074">
        <f>X210*1.5</f>
        <v>0.25</v>
      </c>
      <c r="Y211" s="1074">
        <f t="shared" si="58"/>
        <v>0</v>
      </c>
    </row>
    <row r="212" spans="3:25" x14ac:dyDescent="0.2">
      <c r="C212" s="3052"/>
      <c r="D212" s="1073" t="s">
        <v>27945</v>
      </c>
      <c r="E212" s="1073">
        <f t="shared" ref="E212:V212" si="63">IF(E206=0,IF(E205&gt;2,E16,0),0)</f>
        <v>0</v>
      </c>
      <c r="F212" s="1073">
        <f t="shared" si="63"/>
        <v>0</v>
      </c>
      <c r="G212" s="1073">
        <f t="shared" si="63"/>
        <v>0</v>
      </c>
      <c r="H212" s="1073">
        <f t="shared" si="63"/>
        <v>0</v>
      </c>
      <c r="I212" s="1073">
        <f t="shared" si="63"/>
        <v>0</v>
      </c>
      <c r="J212" s="1073">
        <f t="shared" si="63"/>
        <v>0</v>
      </c>
      <c r="K212" s="1073">
        <f t="shared" si="63"/>
        <v>0</v>
      </c>
      <c r="L212" s="1073">
        <f t="shared" si="63"/>
        <v>0</v>
      </c>
      <c r="M212" s="1073">
        <f t="shared" si="63"/>
        <v>0</v>
      </c>
      <c r="N212" s="1073">
        <f t="shared" si="63"/>
        <v>0</v>
      </c>
      <c r="O212" s="1073">
        <f t="shared" si="63"/>
        <v>0</v>
      </c>
      <c r="P212" s="1073">
        <f t="shared" si="63"/>
        <v>0</v>
      </c>
      <c r="Q212" s="1073">
        <f t="shared" si="63"/>
        <v>0</v>
      </c>
      <c r="R212" s="1073">
        <f t="shared" si="63"/>
        <v>0</v>
      </c>
      <c r="S212" s="1073">
        <f t="shared" si="63"/>
        <v>0</v>
      </c>
      <c r="T212" s="1073">
        <f t="shared" si="63"/>
        <v>0</v>
      </c>
      <c r="U212" s="1073">
        <f t="shared" si="63"/>
        <v>0</v>
      </c>
      <c r="V212" s="1073">
        <f t="shared" si="63"/>
        <v>0</v>
      </c>
      <c r="W212" s="1005">
        <f t="shared" si="57"/>
        <v>0</v>
      </c>
      <c r="X212" s="1074">
        <f>X210*2</f>
        <v>0.33333333333333331</v>
      </c>
      <c r="Y212" s="1074">
        <f t="shared" si="58"/>
        <v>0</v>
      </c>
    </row>
    <row r="213" spans="3:25" x14ac:dyDescent="0.2">
      <c r="C213" s="1061"/>
      <c r="D213" s="1062"/>
      <c r="E213" s="1061"/>
      <c r="F213" s="1063"/>
      <c r="G213" s="1063"/>
      <c r="H213" s="1063"/>
      <c r="I213" s="1063"/>
      <c r="J213" s="1063"/>
      <c r="K213" s="1063"/>
      <c r="L213" s="1063"/>
      <c r="M213" s="1063"/>
      <c r="N213" s="1063"/>
      <c r="O213" s="1063"/>
      <c r="P213" s="1063"/>
      <c r="Q213" s="1063"/>
      <c r="R213" s="1063"/>
      <c r="S213" s="1063"/>
      <c r="T213" s="1063"/>
    </row>
    <row r="214" spans="3:25" x14ac:dyDescent="0.2">
      <c r="C214" s="1061"/>
      <c r="D214" s="1062"/>
      <c r="E214" s="1061"/>
      <c r="F214" s="1063"/>
      <c r="G214" s="1063"/>
      <c r="H214" s="1063"/>
      <c r="I214" s="1063"/>
      <c r="J214" s="1063"/>
      <c r="K214" s="1063"/>
      <c r="L214" s="1063"/>
      <c r="M214" s="1063"/>
      <c r="N214" s="1063"/>
      <c r="O214" s="1063"/>
      <c r="P214" s="1063"/>
      <c r="Q214" s="1063"/>
      <c r="R214" s="1063"/>
      <c r="S214" s="1063"/>
      <c r="T214" s="1063"/>
      <c r="X214" s="962" t="s">
        <v>27947</v>
      </c>
      <c r="Y214" s="1074">
        <f>SUM(Y207:Y212)</f>
        <v>0</v>
      </c>
    </row>
    <row r="215" spans="3:25" x14ac:dyDescent="0.2">
      <c r="C215" s="1061"/>
      <c r="D215" s="1062"/>
      <c r="E215" s="1061"/>
      <c r="F215" s="1063"/>
      <c r="G215" s="1063"/>
      <c r="H215" s="1063"/>
      <c r="I215" s="1063"/>
      <c r="J215" s="1063"/>
      <c r="K215" s="1063"/>
      <c r="L215" s="1063"/>
      <c r="M215" s="1063"/>
      <c r="N215" s="1063"/>
      <c r="O215" s="1063"/>
      <c r="P215" s="1063"/>
      <c r="Q215" s="1063"/>
      <c r="R215" s="1063"/>
      <c r="S215" s="1063"/>
      <c r="T215" s="1063"/>
    </row>
    <row r="216" spans="3:25" x14ac:dyDescent="0.2">
      <c r="C216" s="1061"/>
      <c r="D216" s="1075" t="s">
        <v>27948</v>
      </c>
      <c r="E216" s="1073">
        <f t="shared" ref="E216:V216" si="64">IF(E29=1,E16,0)</f>
        <v>0</v>
      </c>
      <c r="F216" s="1073">
        <f t="shared" si="64"/>
        <v>0</v>
      </c>
      <c r="G216" s="1073">
        <f t="shared" si="64"/>
        <v>0</v>
      </c>
      <c r="H216" s="1073">
        <f t="shared" si="64"/>
        <v>0</v>
      </c>
      <c r="I216" s="1073">
        <f t="shared" si="64"/>
        <v>0</v>
      </c>
      <c r="J216" s="1073">
        <f t="shared" si="64"/>
        <v>0</v>
      </c>
      <c r="K216" s="1073">
        <f t="shared" si="64"/>
        <v>0</v>
      </c>
      <c r="L216" s="1073">
        <f t="shared" si="64"/>
        <v>0</v>
      </c>
      <c r="M216" s="1073">
        <f t="shared" si="64"/>
        <v>0</v>
      </c>
      <c r="N216" s="1073">
        <f t="shared" si="64"/>
        <v>0</v>
      </c>
      <c r="O216" s="1073">
        <f t="shared" si="64"/>
        <v>0</v>
      </c>
      <c r="P216" s="1073">
        <f t="shared" si="64"/>
        <v>0</v>
      </c>
      <c r="Q216" s="1073">
        <f t="shared" si="64"/>
        <v>0</v>
      </c>
      <c r="R216" s="1073">
        <f t="shared" si="64"/>
        <v>0</v>
      </c>
      <c r="S216" s="1073">
        <f t="shared" si="64"/>
        <v>0</v>
      </c>
      <c r="T216" s="1073">
        <f t="shared" si="64"/>
        <v>0</v>
      </c>
      <c r="U216" s="1073">
        <f t="shared" si="64"/>
        <v>0</v>
      </c>
      <c r="V216" s="1073">
        <f t="shared" si="64"/>
        <v>0</v>
      </c>
    </row>
    <row r="217" spans="3:25" x14ac:dyDescent="0.2">
      <c r="C217" s="1061"/>
      <c r="D217" s="1062"/>
      <c r="E217" s="1061"/>
      <c r="F217" s="1063"/>
      <c r="G217" s="1063"/>
      <c r="H217" s="1063"/>
      <c r="I217" s="1063"/>
      <c r="J217" s="1063"/>
      <c r="K217" s="1063"/>
      <c r="L217" s="1063"/>
      <c r="M217" s="1063"/>
      <c r="N217" s="1063"/>
      <c r="O217" s="1063"/>
      <c r="P217" s="1063"/>
      <c r="Q217" s="1063"/>
      <c r="R217" s="1063"/>
      <c r="S217" s="1063"/>
      <c r="T217" s="1063"/>
    </row>
    <row r="218" spans="3:25" x14ac:dyDescent="0.2">
      <c r="C218" s="1061"/>
      <c r="D218" s="1062"/>
      <c r="E218" s="1061"/>
      <c r="F218" s="1063"/>
      <c r="G218" s="1063"/>
      <c r="H218" s="1063"/>
      <c r="I218" s="1063"/>
      <c r="J218" s="1063"/>
      <c r="K218" s="1063"/>
      <c r="L218" s="1063"/>
      <c r="M218" s="1063"/>
      <c r="N218" s="1063"/>
      <c r="O218" s="1063"/>
      <c r="P218" s="1063"/>
      <c r="Q218" s="1063"/>
      <c r="R218" s="1063"/>
      <c r="S218" s="1063"/>
      <c r="T218" s="1063"/>
    </row>
    <row r="219" spans="3:25" x14ac:dyDescent="0.2">
      <c r="C219" s="1061"/>
      <c r="D219" s="1062"/>
      <c r="E219" s="1061"/>
      <c r="F219" s="1063"/>
      <c r="G219" s="1063"/>
      <c r="H219" s="1063"/>
      <c r="I219" s="1063"/>
      <c r="J219" s="1063"/>
      <c r="K219" s="1063"/>
      <c r="L219" s="1063"/>
      <c r="M219" s="1063"/>
      <c r="N219" s="1063"/>
      <c r="O219" s="1063"/>
      <c r="P219" s="1063"/>
      <c r="Q219" s="1063"/>
      <c r="R219" s="1063"/>
      <c r="S219" s="1063"/>
      <c r="T219" s="1063"/>
    </row>
    <row r="220" spans="3:25" x14ac:dyDescent="0.2">
      <c r="C220" s="1061"/>
      <c r="D220" s="1062"/>
      <c r="E220" s="1061"/>
      <c r="F220" s="1063"/>
      <c r="G220" s="1063"/>
      <c r="H220" s="1063"/>
      <c r="I220" s="1063"/>
      <c r="J220" s="1063"/>
      <c r="K220" s="1063"/>
      <c r="L220" s="1063"/>
      <c r="M220" s="1063"/>
      <c r="N220" s="1063"/>
      <c r="O220" s="1063"/>
      <c r="P220" s="1063"/>
      <c r="Q220" s="1063"/>
      <c r="R220" s="1063"/>
      <c r="S220" s="1063"/>
      <c r="T220" s="1063"/>
    </row>
    <row r="221" spans="3:25" x14ac:dyDescent="0.2">
      <c r="C221" s="1061"/>
      <c r="D221" s="1062"/>
      <c r="E221" s="1061"/>
      <c r="F221" s="1063"/>
      <c r="G221" s="1063"/>
      <c r="H221" s="1063"/>
      <c r="I221" s="1063"/>
      <c r="J221" s="1063"/>
      <c r="K221" s="1063"/>
      <c r="L221" s="1063"/>
      <c r="M221" s="1063"/>
      <c r="N221" s="1063"/>
      <c r="O221" s="1063"/>
      <c r="P221" s="1063"/>
      <c r="Q221" s="1063"/>
      <c r="R221" s="1063"/>
      <c r="S221" s="1063"/>
      <c r="T221" s="1063"/>
    </row>
    <row r="222" spans="3:25" x14ac:dyDescent="0.2">
      <c r="C222" s="1061"/>
      <c r="D222" s="1062"/>
      <c r="E222" s="1061"/>
      <c r="F222" s="1063"/>
      <c r="G222" s="1063"/>
      <c r="H222" s="1063"/>
      <c r="I222" s="1063"/>
      <c r="J222" s="1063"/>
      <c r="K222" s="1063"/>
      <c r="L222" s="1063"/>
      <c r="M222" s="1063"/>
      <c r="N222" s="1063"/>
      <c r="O222" s="1063"/>
      <c r="P222" s="1063"/>
      <c r="Q222" s="1063"/>
      <c r="R222" s="1063"/>
      <c r="S222" s="1063"/>
      <c r="T222" s="1063"/>
    </row>
    <row r="223" spans="3:25" x14ac:dyDescent="0.2">
      <c r="C223" s="1061"/>
      <c r="D223" s="1062"/>
      <c r="E223" s="1061"/>
      <c r="F223" s="1063"/>
      <c r="G223" s="1063"/>
      <c r="H223" s="1063"/>
      <c r="I223" s="1063"/>
      <c r="J223" s="1063"/>
      <c r="K223" s="1063"/>
      <c r="L223" s="1063"/>
      <c r="M223" s="1063"/>
      <c r="N223" s="1063"/>
      <c r="O223" s="1063"/>
      <c r="P223" s="1063"/>
      <c r="Q223" s="1063"/>
      <c r="R223" s="1063"/>
      <c r="S223" s="1063"/>
      <c r="T223" s="1063"/>
    </row>
    <row r="224" spans="3:25" x14ac:dyDescent="0.2">
      <c r="C224" s="1061"/>
      <c r="D224" s="1062"/>
      <c r="E224" s="1061"/>
      <c r="F224" s="1063"/>
      <c r="G224" s="1063"/>
      <c r="H224" s="1063"/>
      <c r="I224" s="1063"/>
      <c r="J224" s="1063"/>
      <c r="K224" s="1063"/>
      <c r="L224" s="1063"/>
      <c r="M224" s="1063"/>
      <c r="N224" s="1063"/>
      <c r="O224" s="1063"/>
      <c r="P224" s="1063"/>
      <c r="Q224" s="1063"/>
      <c r="R224" s="1063"/>
      <c r="S224" s="1063"/>
      <c r="T224" s="1063"/>
    </row>
    <row r="225" spans="3:20" x14ac:dyDescent="0.2">
      <c r="C225" s="1061"/>
      <c r="D225" s="1062"/>
      <c r="E225" s="1061"/>
      <c r="F225" s="1063"/>
      <c r="G225" s="1063"/>
      <c r="H225" s="1063"/>
      <c r="I225" s="1063"/>
      <c r="J225" s="1063"/>
      <c r="K225" s="1063"/>
      <c r="L225" s="1063"/>
      <c r="M225" s="1063"/>
      <c r="N225" s="1063"/>
      <c r="O225" s="1063"/>
      <c r="P225" s="1063"/>
      <c r="Q225" s="1063"/>
      <c r="R225" s="1063"/>
      <c r="S225" s="1063"/>
      <c r="T225" s="1063"/>
    </row>
    <row r="226" spans="3:20" x14ac:dyDescent="0.2">
      <c r="C226" s="1061"/>
      <c r="D226" s="1062"/>
      <c r="E226" s="1061"/>
      <c r="F226" s="1063"/>
      <c r="G226" s="1063"/>
      <c r="H226" s="1063"/>
      <c r="I226" s="1063"/>
      <c r="J226" s="1063"/>
      <c r="K226" s="1063"/>
      <c r="L226" s="1063"/>
      <c r="M226" s="1063"/>
      <c r="N226" s="1063"/>
      <c r="O226" s="1063"/>
      <c r="P226" s="1063"/>
      <c r="Q226" s="1063"/>
      <c r="R226" s="1063"/>
      <c r="S226" s="1063"/>
      <c r="T226" s="1063"/>
    </row>
    <row r="227" spans="3:20" x14ac:dyDescent="0.2">
      <c r="C227" s="1061"/>
      <c r="D227" s="1062"/>
      <c r="E227" s="1061"/>
      <c r="F227" s="1063"/>
      <c r="G227" s="1063"/>
      <c r="H227" s="1063"/>
      <c r="I227" s="1063"/>
      <c r="J227" s="1063"/>
      <c r="K227" s="1063"/>
      <c r="L227" s="1063"/>
      <c r="M227" s="1063"/>
      <c r="N227" s="1063"/>
      <c r="O227" s="1063"/>
      <c r="P227" s="1063"/>
      <c r="Q227" s="1063"/>
      <c r="R227" s="1063"/>
      <c r="S227" s="1063"/>
      <c r="T227" s="1063"/>
    </row>
  </sheetData>
  <mergeCells count="106">
    <mergeCell ref="G1:T1"/>
    <mergeCell ref="U1:AL1"/>
    <mergeCell ref="C3:D3"/>
    <mergeCell ref="E3:H3"/>
    <mergeCell ref="I3:K3"/>
    <mergeCell ref="L3:N3"/>
    <mergeCell ref="O3:T7"/>
    <mergeCell ref="U3:V3"/>
    <mergeCell ref="W3:Z3"/>
    <mergeCell ref="AD3:AF3"/>
    <mergeCell ref="AG3:AI3"/>
    <mergeCell ref="C5:D5"/>
    <mergeCell ref="E5:H5"/>
    <mergeCell ref="I5:K5"/>
    <mergeCell ref="L5:N5"/>
    <mergeCell ref="U5:V5"/>
    <mergeCell ref="W5:Z5"/>
    <mergeCell ref="AD5:AF5"/>
    <mergeCell ref="AG5:AI5"/>
    <mergeCell ref="AL15:AL29"/>
    <mergeCell ref="C16:D16"/>
    <mergeCell ref="AC16:AE16"/>
    <mergeCell ref="C17:D17"/>
    <mergeCell ref="C18:D18"/>
    <mergeCell ref="C19:U19"/>
    <mergeCell ref="AD7:AF7"/>
    <mergeCell ref="AG7:AI7"/>
    <mergeCell ref="C9:D9"/>
    <mergeCell ref="E9:H9"/>
    <mergeCell ref="O9:Q9"/>
    <mergeCell ref="U9:V9"/>
    <mergeCell ref="W9:Z9"/>
    <mergeCell ref="I9:N13"/>
    <mergeCell ref="D11:H11"/>
    <mergeCell ref="D13:H13"/>
    <mergeCell ref="C7:D7"/>
    <mergeCell ref="E7:H7"/>
    <mergeCell ref="I7:K7"/>
    <mergeCell ref="L7:N7"/>
    <mergeCell ref="U7:V7"/>
    <mergeCell ref="W7:Z7"/>
    <mergeCell ref="C20:D20"/>
    <mergeCell ref="C23:D23"/>
    <mergeCell ref="C24:D24"/>
    <mergeCell ref="C25:D25"/>
    <mergeCell ref="C26:D26"/>
    <mergeCell ref="C29:D29"/>
    <mergeCell ref="E25:U25"/>
    <mergeCell ref="AB9:AF9"/>
    <mergeCell ref="AG9:AI9"/>
    <mergeCell ref="C15:D15"/>
    <mergeCell ref="AC15:AE15"/>
    <mergeCell ref="AG35:AH35"/>
    <mergeCell ref="AI35:AJ35"/>
    <mergeCell ref="AK35:AL35"/>
    <mergeCell ref="AO35:AP35"/>
    <mergeCell ref="C36:D36"/>
    <mergeCell ref="C37:D37"/>
    <mergeCell ref="C35:D35"/>
    <mergeCell ref="W35:X35"/>
    <mergeCell ref="Y35:Z35"/>
    <mergeCell ref="AA35:AB35"/>
    <mergeCell ref="AC35:AD35"/>
    <mergeCell ref="AE35:AF35"/>
    <mergeCell ref="AK39:AL39"/>
    <mergeCell ref="AM39:AN39"/>
    <mergeCell ref="AO39:AP39"/>
    <mergeCell ref="C38:D38"/>
    <mergeCell ref="C39:U39"/>
    <mergeCell ref="W39:X39"/>
    <mergeCell ref="Y39:Z39"/>
    <mergeCell ref="AA39:AB39"/>
    <mergeCell ref="AC39:AD39"/>
    <mergeCell ref="C40:D40"/>
    <mergeCell ref="C41:D41"/>
    <mergeCell ref="E47:N47"/>
    <mergeCell ref="E54:N54"/>
    <mergeCell ref="C55:D55"/>
    <mergeCell ref="C56:D56"/>
    <mergeCell ref="AE39:AF39"/>
    <mergeCell ref="AG39:AH39"/>
    <mergeCell ref="AI39:AJ39"/>
    <mergeCell ref="U63:V63"/>
    <mergeCell ref="U64:V64"/>
    <mergeCell ref="C65:D65"/>
    <mergeCell ref="U65:V65"/>
    <mergeCell ref="C66:D66"/>
    <mergeCell ref="C67:D67"/>
    <mergeCell ref="C57:D57"/>
    <mergeCell ref="C58:D58"/>
    <mergeCell ref="C61:D61"/>
    <mergeCell ref="U61:V61"/>
    <mergeCell ref="C62:D62"/>
    <mergeCell ref="U62:V62"/>
    <mergeCell ref="C75:D75"/>
    <mergeCell ref="C76:D76"/>
    <mergeCell ref="C77:D77"/>
    <mergeCell ref="C78:S78"/>
    <mergeCell ref="C207:C209"/>
    <mergeCell ref="C210:C212"/>
    <mergeCell ref="C68:D68"/>
    <mergeCell ref="C69:D69"/>
    <mergeCell ref="C73:U73"/>
    <mergeCell ref="C71:D71"/>
    <mergeCell ref="C72:D72"/>
    <mergeCell ref="C74:D74"/>
  </mergeCells>
  <conditionalFormatting sqref="A1:U1 O3 D71:U72 A205:B216 A217:XFD65536 Z205:IV216 M16:M18 M29 A2:B2 O8:T15 U3:U19 D3:N8 E12:H12 E14:N15 D11:D23 V1:IV14 V15:AE16 AG15:IV16 E30:U39 D25:D69 A74:U204 A3:C69 A70:B70 A71:C73 V17:IV204 E24 G24 I24 K24 E19:T19 O16:O18 Q16:Q18 S16:S18 E47:U47 E40:E46 G40:G46 E54:U54 E48:E53 G48:G53 E59:U69 E55:E58 G55:G58 I40:I46 K40:K46 M40:M46 O40:O46 Q40:Q46 S40:S46 U40:U46 I48:I53 K48:K53 M48:M53 O48:O53 Q48:Q53 S48:S53 U48:U53 I55:I58 K55:K58 M55:M58 O55:O58 Q55:Q58 S55:S58 U55:U58 E26:U28 O29 Q29 S29 U29 D9:H10">
    <cfRule type="cellIs" dxfId="903" priority="62" stopIfTrue="1" operator="equal">
      <formula>0</formula>
    </cfRule>
  </conditionalFormatting>
  <conditionalFormatting sqref="E17:E18 G16:G18 I16:I18 K16:K18">
    <cfRule type="cellIs" dxfId="902" priority="61" stopIfTrue="1" operator="equal">
      <formula>0</formula>
    </cfRule>
  </conditionalFormatting>
  <conditionalFormatting sqref="E29 G29 I29 K29">
    <cfRule type="cellIs" dxfId="901" priority="58" stopIfTrue="1" operator="equal">
      <formula>0</formula>
    </cfRule>
  </conditionalFormatting>
  <conditionalFormatting sqref="C2">
    <cfRule type="cellIs" dxfId="900" priority="57" stopIfTrue="1" operator="equal">
      <formula>0</formula>
    </cfRule>
  </conditionalFormatting>
  <conditionalFormatting sqref="E25">
    <cfRule type="cellIs" dxfId="899" priority="56" stopIfTrue="1" operator="equal">
      <formula>0</formula>
    </cfRule>
  </conditionalFormatting>
  <conditionalFormatting sqref="AF15:AF16">
    <cfRule type="cellIs" dxfId="898" priority="55" stopIfTrue="1" operator="equal">
      <formula>0</formula>
    </cfRule>
  </conditionalFormatting>
  <conditionalFormatting sqref="D13:H13">
    <cfRule type="expression" dxfId="897" priority="54" stopIfTrue="1">
      <formula>$D$11=$AD$16</formula>
    </cfRule>
  </conditionalFormatting>
  <conditionalFormatting sqref="E16:F16">
    <cfRule type="cellIs" dxfId="896" priority="53" stopIfTrue="1" operator="equal">
      <formula>0</formula>
    </cfRule>
  </conditionalFormatting>
  <conditionalFormatting sqref="F17:F18">
    <cfRule type="cellIs" dxfId="895" priority="52" stopIfTrue="1" operator="equal">
      <formula>0</formula>
    </cfRule>
  </conditionalFormatting>
  <conditionalFormatting sqref="E20:F23">
    <cfRule type="cellIs" dxfId="894" priority="51" stopIfTrue="1" operator="equal">
      <formula>0</formula>
    </cfRule>
  </conditionalFormatting>
  <conditionalFormatting sqref="G20:H23">
    <cfRule type="cellIs" dxfId="893" priority="50" stopIfTrue="1" operator="equal">
      <formula>0</formula>
    </cfRule>
  </conditionalFormatting>
  <conditionalFormatting sqref="I20:J23">
    <cfRule type="cellIs" dxfId="892" priority="49" stopIfTrue="1" operator="equal">
      <formula>0</formula>
    </cfRule>
  </conditionalFormatting>
  <conditionalFormatting sqref="K20:L23">
    <cfRule type="cellIs" dxfId="891" priority="48" stopIfTrue="1" operator="equal">
      <formula>0</formula>
    </cfRule>
  </conditionalFormatting>
  <conditionalFormatting sqref="F24">
    <cfRule type="cellIs" dxfId="890" priority="46" stopIfTrue="1" operator="equal">
      <formula>0</formula>
    </cfRule>
  </conditionalFormatting>
  <conditionalFormatting sqref="H24">
    <cfRule type="cellIs" dxfId="889" priority="45" stopIfTrue="1" operator="equal">
      <formula>0</formula>
    </cfRule>
  </conditionalFormatting>
  <conditionalFormatting sqref="J24">
    <cfRule type="cellIs" dxfId="888" priority="44" stopIfTrue="1" operator="equal">
      <formula>0</formula>
    </cfRule>
  </conditionalFormatting>
  <conditionalFormatting sqref="L24">
    <cfRule type="cellIs" dxfId="887" priority="43" stopIfTrue="1" operator="equal">
      <formula>0</formula>
    </cfRule>
  </conditionalFormatting>
  <conditionalFormatting sqref="M24">
    <cfRule type="cellIs" dxfId="886" priority="42" stopIfTrue="1" operator="equal">
      <formula>0</formula>
    </cfRule>
  </conditionalFormatting>
  <conditionalFormatting sqref="M20:N23">
    <cfRule type="cellIs" dxfId="885" priority="41" stopIfTrue="1" operator="equal">
      <formula>0</formula>
    </cfRule>
  </conditionalFormatting>
  <conditionalFormatting sqref="N24">
    <cfRule type="cellIs" dxfId="884" priority="40" stopIfTrue="1" operator="equal">
      <formula>0</formula>
    </cfRule>
  </conditionalFormatting>
  <conditionalFormatting sqref="O24">
    <cfRule type="cellIs" dxfId="883" priority="39" stopIfTrue="1" operator="equal">
      <formula>0</formula>
    </cfRule>
  </conditionalFormatting>
  <conditionalFormatting sqref="O20:P23">
    <cfRule type="cellIs" dxfId="882" priority="38" stopIfTrue="1" operator="equal">
      <formula>0</formula>
    </cfRule>
  </conditionalFormatting>
  <conditionalFormatting sqref="P24">
    <cfRule type="cellIs" dxfId="881" priority="37" stopIfTrue="1" operator="equal">
      <formula>0</formula>
    </cfRule>
  </conditionalFormatting>
  <conditionalFormatting sqref="Q24">
    <cfRule type="cellIs" dxfId="880" priority="36" stopIfTrue="1" operator="equal">
      <formula>0</formula>
    </cfRule>
  </conditionalFormatting>
  <conditionalFormatting sqref="Q20:R23">
    <cfRule type="cellIs" dxfId="879" priority="35" stopIfTrue="1" operator="equal">
      <formula>0</formula>
    </cfRule>
  </conditionalFormatting>
  <conditionalFormatting sqref="R24">
    <cfRule type="cellIs" dxfId="878" priority="34" stopIfTrue="1" operator="equal">
      <formula>0</formula>
    </cfRule>
  </conditionalFormatting>
  <conditionalFormatting sqref="S24">
    <cfRule type="cellIs" dxfId="877" priority="33" stopIfTrue="1" operator="equal">
      <formula>0</formula>
    </cfRule>
  </conditionalFormatting>
  <conditionalFormatting sqref="S20:T23">
    <cfRule type="cellIs" dxfId="876" priority="32" stopIfTrue="1" operator="equal">
      <formula>0</formula>
    </cfRule>
  </conditionalFormatting>
  <conditionalFormatting sqref="T24">
    <cfRule type="cellIs" dxfId="875" priority="31" stopIfTrue="1" operator="equal">
      <formula>0</formula>
    </cfRule>
  </conditionalFormatting>
  <conditionalFormatting sqref="U24">
    <cfRule type="cellIs" dxfId="874" priority="30" stopIfTrue="1" operator="equal">
      <formula>0</formula>
    </cfRule>
  </conditionalFormatting>
  <conditionalFormatting sqref="U20:U23">
    <cfRule type="cellIs" dxfId="873" priority="29" stopIfTrue="1" operator="equal">
      <formula>0</formula>
    </cfRule>
  </conditionalFormatting>
  <conditionalFormatting sqref="H16">
    <cfRule type="cellIs" dxfId="872" priority="28" stopIfTrue="1" operator="equal">
      <formula>0</formula>
    </cfRule>
  </conditionalFormatting>
  <conditionalFormatting sqref="H17:H18">
    <cfRule type="cellIs" dxfId="871" priority="27" stopIfTrue="1" operator="equal">
      <formula>0</formula>
    </cfRule>
  </conditionalFormatting>
  <conditionalFormatting sqref="J16">
    <cfRule type="cellIs" dxfId="870" priority="26" stopIfTrue="1" operator="equal">
      <formula>0</formula>
    </cfRule>
  </conditionalFormatting>
  <conditionalFormatting sqref="J17:J18">
    <cfRule type="cellIs" dxfId="869" priority="25" stopIfTrue="1" operator="equal">
      <formula>0</formula>
    </cfRule>
  </conditionalFormatting>
  <conditionalFormatting sqref="L16">
    <cfRule type="cellIs" dxfId="868" priority="24" stopIfTrue="1" operator="equal">
      <formula>0</formula>
    </cfRule>
  </conditionalFormatting>
  <conditionalFormatting sqref="L17:L18">
    <cfRule type="cellIs" dxfId="867" priority="23" stopIfTrue="1" operator="equal">
      <formula>0</formula>
    </cfRule>
  </conditionalFormatting>
  <conditionalFormatting sqref="N16">
    <cfRule type="cellIs" dxfId="866" priority="22" stopIfTrue="1" operator="equal">
      <formula>0</formula>
    </cfRule>
  </conditionalFormatting>
  <conditionalFormatting sqref="N17:N18">
    <cfRule type="cellIs" dxfId="865" priority="21" stopIfTrue="1" operator="equal">
      <formula>0</formula>
    </cfRule>
  </conditionalFormatting>
  <conditionalFormatting sqref="P16">
    <cfRule type="cellIs" dxfId="864" priority="20" stopIfTrue="1" operator="equal">
      <formula>0</formula>
    </cfRule>
  </conditionalFormatting>
  <conditionalFormatting sqref="P17:P18">
    <cfRule type="cellIs" dxfId="863" priority="19" stopIfTrue="1" operator="equal">
      <formula>0</formula>
    </cfRule>
  </conditionalFormatting>
  <conditionalFormatting sqref="R16">
    <cfRule type="cellIs" dxfId="862" priority="18" stopIfTrue="1" operator="equal">
      <formula>0</formula>
    </cfRule>
  </conditionalFormatting>
  <conditionalFormatting sqref="R17:R18">
    <cfRule type="cellIs" dxfId="861" priority="17" stopIfTrue="1" operator="equal">
      <formula>0</formula>
    </cfRule>
  </conditionalFormatting>
  <conditionalFormatting sqref="T16">
    <cfRule type="cellIs" dxfId="860" priority="16" stopIfTrue="1" operator="equal">
      <formula>0</formula>
    </cfRule>
  </conditionalFormatting>
  <conditionalFormatting sqref="T17:T18">
    <cfRule type="cellIs" dxfId="859" priority="15" stopIfTrue="1" operator="equal">
      <formula>0</formula>
    </cfRule>
  </conditionalFormatting>
  <conditionalFormatting sqref="F40:F46">
    <cfRule type="cellIs" dxfId="858" priority="14" stopIfTrue="1" operator="equal">
      <formula>0</formula>
    </cfRule>
  </conditionalFormatting>
  <conditionalFormatting sqref="F48:F53">
    <cfRule type="cellIs" dxfId="857" priority="13" stopIfTrue="1" operator="equal">
      <formula>0</formula>
    </cfRule>
  </conditionalFormatting>
  <conditionalFormatting sqref="F55:F58">
    <cfRule type="cellIs" dxfId="856" priority="12" stopIfTrue="1" operator="equal">
      <formula>0</formula>
    </cfRule>
  </conditionalFormatting>
  <conditionalFormatting sqref="J40:J46 H40:H46">
    <cfRule type="cellIs" dxfId="855" priority="11" stopIfTrue="1" operator="equal">
      <formula>0</formula>
    </cfRule>
  </conditionalFormatting>
  <conditionalFormatting sqref="T40:T46 R40:R46 P40:P46 N40:N46 L40:L46">
    <cfRule type="cellIs" dxfId="854" priority="10" stopIfTrue="1" operator="equal">
      <formula>0</formula>
    </cfRule>
  </conditionalFormatting>
  <conditionalFormatting sqref="T55:T58 R55:R58 P55:P58 N55:N58 L55:L58 J55:J58 H55:H58 T48:T53 R48:R53 P48:P53 N48:N53 L48:L53 J48:J53 H48:H53">
    <cfRule type="cellIs" dxfId="853" priority="9" stopIfTrue="1" operator="equal">
      <formula>0</formula>
    </cfRule>
  </conditionalFormatting>
  <conditionalFormatting sqref="F29">
    <cfRule type="cellIs" dxfId="852" priority="8" stopIfTrue="1" operator="equal">
      <formula>0</formula>
    </cfRule>
  </conditionalFormatting>
  <conditionalFormatting sqref="H29">
    <cfRule type="cellIs" dxfId="851" priority="7" stopIfTrue="1" operator="equal">
      <formula>0</formula>
    </cfRule>
  </conditionalFormatting>
  <conditionalFormatting sqref="J29">
    <cfRule type="cellIs" dxfId="850" priority="6" stopIfTrue="1" operator="equal">
      <formula>0</formula>
    </cfRule>
  </conditionalFormatting>
  <conditionalFormatting sqref="L29">
    <cfRule type="cellIs" dxfId="849" priority="5" stopIfTrue="1" operator="equal">
      <formula>0</formula>
    </cfRule>
  </conditionalFormatting>
  <conditionalFormatting sqref="N29">
    <cfRule type="cellIs" dxfId="848" priority="4" stopIfTrue="1" operator="equal">
      <formula>0</formula>
    </cfRule>
  </conditionalFormatting>
  <conditionalFormatting sqref="P29">
    <cfRule type="cellIs" dxfId="847" priority="3" stopIfTrue="1" operator="equal">
      <formula>0</formula>
    </cfRule>
  </conditionalFormatting>
  <conditionalFormatting sqref="R29">
    <cfRule type="cellIs" dxfId="846" priority="2" stopIfTrue="1" operator="equal">
      <formula>0</formula>
    </cfRule>
  </conditionalFormatting>
  <conditionalFormatting sqref="T29">
    <cfRule type="cellIs" dxfId="845" priority="1" stopIfTrue="1" operator="equal">
      <formula>0</formula>
    </cfRule>
  </conditionalFormatting>
  <dataValidations count="19">
    <dataValidation type="whole" allowBlank="1" showInputMessage="1" showErrorMessage="1" errorTitle="nur Einen Wert!!!!!" error="Bitte geben sie entweder eine Blockhöhe_x000a__x000a_ODER_x000a__x000a_eine Anzahl lagen an!" prompt="Bitte nur Anzahl Lagen oder Blöckhöhe eintragen" sqref="E23:U24" xr:uid="{00000000-0002-0000-1500-000000000000}">
      <formula1>0</formula1>
      <formula2>E21</formula2>
    </dataValidation>
    <dataValidation type="list" allowBlank="1" showErrorMessage="1" prompt="Nur mit X Ausfüllen." sqref="E26:U26" xr:uid="{00000000-0002-0000-1500-000001000000}">
      <formula1>E27</formula1>
    </dataValidation>
    <dataValidation type="list" allowBlank="1" showErrorMessage="1" prompt="Nur mit X Ausfüllen." sqref="O29:U29" xr:uid="{00000000-0002-0000-1500-000002000000}">
      <formula1>O28</formula1>
    </dataValidation>
    <dataValidation type="decimal" allowBlank="1" showInputMessage="1" showErrorMessage="1" prompt="Bitte nur Blockhöhe oder Lagenanzahl angeben!" sqref="G20:H20 K20:U20" xr:uid="{00000000-0002-0000-1500-000003000000}">
      <formula1>0</formula1>
      <formula2>G22</formula2>
    </dataValidation>
    <dataValidation allowBlank="1" showErrorMessage="1" sqref="E36:U36" xr:uid="{00000000-0002-0000-1500-000004000000}"/>
    <dataValidation allowBlank="1" showErrorMessage="1" prompt="Nur mit X Ausfüllen." sqref="E27:U28" xr:uid="{00000000-0002-0000-1500-000005000000}"/>
    <dataValidation allowBlank="1" showInputMessage="1" showErrorMessage="1" prompt="Nur mit X Ausfüllen." sqref="S37:T38" xr:uid="{00000000-0002-0000-1500-000006000000}"/>
    <dataValidation allowBlank="1" showInputMessage="1" showErrorMessage="1" prompt="Bitte nur Blöckhöhe oder Anzahl Lagen Ausfüllen" sqref="E21:U22" xr:uid="{00000000-0002-0000-1500-000007000000}"/>
    <dataValidation allowBlank="1" showInputMessage="1" showErrorMessage="1" promptTitle="Datumsangabe" prompt="Eintragung durch den Kompetenzgruppenleiter!" sqref="E5:H5" xr:uid="{00000000-0002-0000-1500-000008000000}"/>
    <dataValidation type="whole" errorStyle="warning" allowBlank="1" showInputMessage="1" showErrorMessage="1" sqref="I17:U17" xr:uid="{00000000-0002-0000-1500-000009000000}">
      <formula1>0</formula1>
      <formula2>500</formula2>
    </dataValidation>
    <dataValidation type="whole" allowBlank="1" showInputMessage="1" showErrorMessage="1" sqref="E17:H17" xr:uid="{00000000-0002-0000-1500-00000A000000}">
      <formula1>0</formula1>
      <formula2>500</formula2>
    </dataValidation>
    <dataValidation type="whole" allowBlank="1" showInputMessage="1" showErrorMessage="1" sqref="E30:U35" xr:uid="{00000000-0002-0000-1500-00000B000000}">
      <formula1>0</formula1>
      <formula2>1</formula2>
    </dataValidation>
    <dataValidation type="whole" errorStyle="warning" allowBlank="1" showInputMessage="1" showErrorMessage="1" errorTitle="Eine unglaubliche Mengenangabe!" error="Bitte überdenken sie noch einmal die Angegebene Menge!_x000a_Wollen Sie wirklich solche Mengen produzieren lassen?" promptTitle="Anzahl Böcke/Blocksysteme" prompt="Bei dreiteiligen Blocksystemen mit Zündern ist die Anzahl an Systemen gemeint, nicht die Anzahl an Einzelblöcken!" sqref="E16:U16" xr:uid="{00000000-0002-0000-1500-00000C000000}">
      <formula1>0</formula1>
      <formula2>20</formula2>
    </dataValidation>
    <dataValidation type="whole" errorStyle="warning" allowBlank="1" showInputMessage="1" showErrorMessage="1" errorTitle="Hohe Blockbreite!" error="Die gewählte Blockbreite ist sehr groß!_x000a_1.Glasgewebelagen zwischen den Blöcken verhindert dass Abformen von Konturen._x000a_2.Feuchtraumausführung nur bis 300mm möglich._x000a_Unterteilen Sie große Breiten in mehrere Blöcke!" promptTitle="Blockbreite" prompt="Die Blockbreite geht unabhängig von der Einbaulage immer von horizontal liegenden Schichten aus._x000a_Die Flächen welche optional mit Zündern versehen werden können, sind folglich:_x000a_Blockbreite x Blockhöhe (Stapelhöhe der Lagen)." sqref="E18:U18" xr:uid="{00000000-0002-0000-1500-00000D000000}">
      <formula1>0</formula1>
      <formula2>300</formula2>
    </dataValidation>
    <dataValidation type="list" allowBlank="1" showInputMessage="1" showErrorMessage="1" prompt="Erst ab 20mm Blockhöhe möglich" sqref="E29:N29" xr:uid="{00000000-0002-0000-1500-00000E000000}">
      <formula1>E28</formula1>
    </dataValidation>
    <dataValidation type="list" allowBlank="1" showInputMessage="1" showErrorMessage="1" sqref="D11" xr:uid="{00000000-0002-0000-1500-00000F000000}">
      <formula1>$AC$15:$AC$16</formula1>
    </dataValidation>
    <dataValidation type="list" allowBlank="1" showInputMessage="1" showErrorMessage="1" sqref="D13:H13" xr:uid="{00000000-0002-0000-1500-000010000000}">
      <formula1>$AF$15:$AF$16</formula1>
    </dataValidation>
    <dataValidation type="list" allowBlank="1" showInputMessage="1" showErrorMessage="1" sqref="O1:T1" xr:uid="{00000000-0002-0000-1500-000011000000}">
      <formula1>$AM$15:$AM$36</formula1>
    </dataValidation>
    <dataValidation type="decimal" allowBlank="1" showInputMessage="1" showErrorMessage="1" prompt="Bitte nur Blockhöhe oder Lagenanzahl angeben!" sqref="E20:F20 I20:J20" xr:uid="{00000000-0002-0000-1500-000012000000}">
      <formula1>0</formula1>
      <formula2>200</formula2>
    </dataValidation>
  </dataValidations>
  <printOptions horizontalCentered="1"/>
  <pageMargins left="0.19685039370078741" right="0.19685039370078741" top="0.19685039370078741" bottom="0.19685039370078741" header="0" footer="0"/>
  <pageSetup paperSize="9" scale="49" orientation="portrait" horizontalDpi="300" verticalDpi="300"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abelle38"/>
  <dimension ref="A1:R47"/>
  <sheetViews>
    <sheetView showGridLines="0" view="pageBreakPreview" zoomScaleNormal="100" workbookViewId="0">
      <selection activeCell="A20" sqref="A20:J50"/>
    </sheetView>
  </sheetViews>
  <sheetFormatPr baseColWidth="10" defaultRowHeight="15" x14ac:dyDescent="0.2"/>
  <cols>
    <col min="1" max="1" width="22.7109375" style="20" customWidth="1"/>
    <col min="2" max="2" width="20.7109375" style="20" customWidth="1"/>
    <col min="3" max="3" width="16.7109375" style="20" customWidth="1"/>
    <col min="4" max="4" width="11.7109375" style="20" customWidth="1"/>
    <col min="5" max="5" width="12.7109375" style="27" customWidth="1"/>
    <col min="6" max="8" width="7.7109375" style="1" customWidth="1"/>
    <col min="9" max="9" width="12.7109375" style="1" bestFit="1" customWidth="1"/>
    <col min="10" max="10" width="5.42578125" customWidth="1"/>
  </cols>
  <sheetData>
    <row r="1" spans="1:10" ht="12.75" customHeight="1" x14ac:dyDescent="0.2">
      <c r="A1" s="70"/>
      <c r="B1" s="2726" t="str">
        <f>Dateneingabe!F1&amp;"("&amp;Dateneingabe!J1&amp;")"</f>
        <v>Ausschreibung GCC vertikal()</v>
      </c>
      <c r="C1" s="2726"/>
      <c r="D1" s="2726"/>
      <c r="E1" s="2726"/>
      <c r="F1" s="95"/>
      <c r="G1" s="96"/>
      <c r="H1" s="96"/>
      <c r="I1" s="2699" t="s">
        <v>107</v>
      </c>
      <c r="J1" s="2700"/>
    </row>
    <row r="2" spans="1:10" ht="18" customHeight="1" x14ac:dyDescent="0.2">
      <c r="A2" s="72"/>
      <c r="B2" s="2727"/>
      <c r="C2" s="2727"/>
      <c r="D2" s="2727"/>
      <c r="E2" s="2727"/>
      <c r="F2" s="39"/>
      <c r="G2" s="10"/>
      <c r="H2" s="658"/>
      <c r="I2" s="2701"/>
      <c r="J2" s="2702"/>
    </row>
    <row r="3" spans="1:10" ht="15.75" x14ac:dyDescent="0.25">
      <c r="A3" s="72"/>
      <c r="B3" s="22"/>
      <c r="C3" s="22"/>
      <c r="D3" s="22"/>
      <c r="E3" s="50"/>
      <c r="F3" s="10"/>
      <c r="G3" s="10"/>
      <c r="H3" s="10"/>
      <c r="I3" s="10"/>
      <c r="J3" s="97">
        <v>504</v>
      </c>
    </row>
    <row r="4" spans="1:10" x14ac:dyDescent="0.2">
      <c r="A4" s="72" t="s">
        <v>106</v>
      </c>
      <c r="B4" s="45" t="str">
        <f>Dateneingabe!F3</f>
        <v>05217112</v>
      </c>
      <c r="C4" s="22"/>
      <c r="D4" s="57" t="s">
        <v>13</v>
      </c>
      <c r="E4" s="203" t="str">
        <f>Dateneingabe!H3</f>
        <v>200</v>
      </c>
      <c r="F4" s="10"/>
      <c r="G4" s="10"/>
      <c r="H4" s="10"/>
      <c r="I4" s="10"/>
      <c r="J4" s="12"/>
    </row>
    <row r="5" spans="1:10" ht="6" customHeight="1" x14ac:dyDescent="0.2">
      <c r="A5" s="72"/>
      <c r="B5" s="22"/>
      <c r="C5" s="22"/>
      <c r="D5" s="57"/>
      <c r="E5" s="50"/>
      <c r="F5" s="10"/>
      <c r="G5" s="10"/>
      <c r="H5" s="10"/>
      <c r="I5" s="10"/>
      <c r="J5" s="12"/>
    </row>
    <row r="6" spans="1:10" x14ac:dyDescent="0.2">
      <c r="A6" s="72" t="s">
        <v>83</v>
      </c>
      <c r="B6" s="45" t="str">
        <f>Dateneingabe!F5</f>
        <v>5101.002095</v>
      </c>
      <c r="C6" s="22"/>
      <c r="D6" s="6"/>
      <c r="E6" s="10"/>
      <c r="F6" s="10"/>
      <c r="G6" s="10"/>
      <c r="H6" s="10"/>
      <c r="I6" s="10"/>
      <c r="J6" s="12"/>
    </row>
    <row r="7" spans="1:10" ht="6" customHeight="1" x14ac:dyDescent="0.2">
      <c r="A7" s="72"/>
      <c r="B7" s="22"/>
      <c r="C7" s="22"/>
      <c r="D7" s="57"/>
      <c r="E7" s="50"/>
      <c r="F7" s="10"/>
      <c r="G7" s="10"/>
      <c r="H7" s="10"/>
      <c r="I7" s="10"/>
      <c r="J7" s="12"/>
    </row>
    <row r="8" spans="1:10" x14ac:dyDescent="0.2">
      <c r="A8" s="72" t="s">
        <v>66</v>
      </c>
      <c r="B8" s="46" t="str">
        <f>Dateneingabe!F15</f>
        <v>MiWo</v>
      </c>
      <c r="C8" s="22"/>
      <c r="D8" s="57" t="s">
        <v>97</v>
      </c>
      <c r="E8" s="204">
        <f>Dateneingabe!F13</f>
        <v>44594</v>
      </c>
      <c r="F8" s="10"/>
      <c r="G8" s="10"/>
      <c r="H8" s="10"/>
      <c r="I8" s="10"/>
      <c r="J8" s="12"/>
    </row>
    <row r="9" spans="1:10" ht="6" customHeight="1" x14ac:dyDescent="0.2">
      <c r="A9" s="72"/>
      <c r="B9" s="22"/>
      <c r="C9" s="22"/>
      <c r="D9" s="22"/>
      <c r="E9" s="50"/>
      <c r="F9" s="10"/>
      <c r="G9" s="10"/>
      <c r="H9" s="10"/>
      <c r="I9" s="10"/>
      <c r="J9" s="12"/>
    </row>
    <row r="10" spans="1:10" x14ac:dyDescent="0.2">
      <c r="A10" s="72" t="s">
        <v>57</v>
      </c>
      <c r="B10" s="104"/>
      <c r="C10" s="22"/>
      <c r="D10" s="22"/>
      <c r="E10" s="50"/>
      <c r="F10" s="10"/>
      <c r="G10" s="10"/>
      <c r="H10" s="10"/>
      <c r="I10" s="10"/>
      <c r="J10" s="12"/>
    </row>
    <row r="11" spans="1:10" ht="6" customHeight="1" x14ac:dyDescent="0.2">
      <c r="A11" s="72"/>
      <c r="B11" s="22"/>
      <c r="C11" s="22"/>
      <c r="D11" s="22"/>
      <c r="E11" s="50"/>
      <c r="F11" s="10"/>
      <c r="G11" s="10"/>
      <c r="H11" s="10"/>
      <c r="I11" s="10"/>
      <c r="J11" s="12"/>
    </row>
    <row r="12" spans="1:10" x14ac:dyDescent="0.2">
      <c r="A12" s="75" t="s">
        <v>14</v>
      </c>
      <c r="B12" s="22"/>
      <c r="C12" s="22"/>
      <c r="D12" s="22"/>
      <c r="E12" s="50"/>
      <c r="F12" s="10"/>
      <c r="G12" s="10"/>
      <c r="H12" s="10"/>
      <c r="I12" s="10"/>
      <c r="J12" s="12"/>
    </row>
    <row r="13" spans="1:10" ht="6" customHeight="1" x14ac:dyDescent="0.2">
      <c r="A13" s="72"/>
      <c r="B13" s="22"/>
      <c r="C13" s="22"/>
      <c r="D13" s="22"/>
      <c r="E13" s="50"/>
      <c r="F13" s="10"/>
      <c r="G13" s="10"/>
      <c r="H13" s="10"/>
      <c r="I13" s="10"/>
      <c r="J13" s="12"/>
    </row>
    <row r="14" spans="1:10" ht="12.75" x14ac:dyDescent="0.2">
      <c r="A14" s="2728"/>
      <c r="B14" s="2729"/>
      <c r="C14" s="2729"/>
      <c r="D14" s="2729"/>
      <c r="E14" s="2730"/>
      <c r="F14" s="10"/>
      <c r="G14" s="10"/>
      <c r="H14" s="10"/>
      <c r="I14" s="10"/>
      <c r="J14" s="12"/>
    </row>
    <row r="15" spans="1:10" ht="15" customHeight="1" x14ac:dyDescent="0.2">
      <c r="A15" s="2731"/>
      <c r="B15" s="2732"/>
      <c r="C15" s="2732"/>
      <c r="D15" s="2732"/>
      <c r="E15" s="2733"/>
      <c r="F15" s="10"/>
      <c r="G15" s="10"/>
      <c r="H15" s="10"/>
      <c r="I15" s="10"/>
      <c r="J15" s="12"/>
    </row>
    <row r="16" spans="1:10" ht="15" customHeight="1" x14ac:dyDescent="0.2">
      <c r="A16" s="2734"/>
      <c r="B16" s="2735"/>
      <c r="C16" s="2735"/>
      <c r="D16" s="2735"/>
      <c r="E16" s="2736"/>
      <c r="F16" s="10"/>
      <c r="G16" s="10"/>
      <c r="H16" s="10"/>
      <c r="I16" s="10"/>
      <c r="J16" s="12"/>
    </row>
    <row r="17" spans="1:18" ht="24" customHeight="1" thickBot="1" x14ac:dyDescent="0.25">
      <c r="A17" s="76"/>
      <c r="B17" s="50"/>
      <c r="C17" s="50"/>
      <c r="D17" s="50"/>
      <c r="E17" s="50"/>
      <c r="F17" s="10"/>
      <c r="G17" s="10"/>
      <c r="H17" s="10"/>
      <c r="I17" s="10"/>
      <c r="J17" s="12"/>
    </row>
    <row r="18" spans="1:18" ht="15" customHeight="1" thickBot="1" x14ac:dyDescent="0.3">
      <c r="A18" s="2713" t="s">
        <v>72</v>
      </c>
      <c r="B18" s="2713"/>
      <c r="C18" s="2713"/>
      <c r="D18" s="2724" t="s">
        <v>104</v>
      </c>
      <c r="E18" s="2989" t="s">
        <v>238</v>
      </c>
      <c r="F18" s="3001" t="s">
        <v>103</v>
      </c>
      <c r="G18" s="3002"/>
      <c r="H18" s="3123"/>
      <c r="I18" s="3003" t="s">
        <v>84</v>
      </c>
      <c r="J18" s="2976" t="s">
        <v>12</v>
      </c>
    </row>
    <row r="19" spans="1:18" ht="16.5" thickBot="1" x14ac:dyDescent="0.3">
      <c r="A19" s="2714"/>
      <c r="B19" s="2714"/>
      <c r="C19" s="2714"/>
      <c r="D19" s="3128"/>
      <c r="E19" s="2725"/>
      <c r="F19" s="25" t="s">
        <v>17</v>
      </c>
      <c r="G19" s="25" t="s">
        <v>73</v>
      </c>
      <c r="H19" s="25" t="s">
        <v>16</v>
      </c>
      <c r="I19" s="2977"/>
      <c r="J19" s="2977"/>
      <c r="Q19" s="20"/>
      <c r="R19" s="20"/>
    </row>
    <row r="20" spans="1:18" s="20" customFormat="1" ht="24.95" customHeight="1" x14ac:dyDescent="0.2">
      <c r="A20" s="3126" t="s">
        <v>30280</v>
      </c>
      <c r="B20" s="3127"/>
      <c r="C20" s="3127"/>
      <c r="D20" s="681" t="s">
        <v>30277</v>
      </c>
      <c r="E20" s="205">
        <v>1</v>
      </c>
      <c r="F20" s="205">
        <v>1080</v>
      </c>
      <c r="G20" s="205">
        <v>155</v>
      </c>
      <c r="H20" s="659">
        <v>3</v>
      </c>
      <c r="I20" s="959">
        <v>0</v>
      </c>
      <c r="J20" s="98"/>
    </row>
    <row r="21" spans="1:18" s="20" customFormat="1" ht="24.95" customHeight="1" x14ac:dyDescent="0.2">
      <c r="A21" s="3124"/>
      <c r="B21" s="3125"/>
      <c r="C21" s="3125"/>
      <c r="D21" s="681"/>
      <c r="E21" s="32"/>
      <c r="F21" s="32"/>
      <c r="G21" s="32"/>
      <c r="H21" s="660"/>
      <c r="I21" s="32"/>
      <c r="J21" s="99"/>
    </row>
    <row r="22" spans="1:18" s="20" customFormat="1" ht="24.95" customHeight="1" x14ac:dyDescent="0.2">
      <c r="A22" s="3124"/>
      <c r="B22" s="3125"/>
      <c r="C22" s="3125"/>
      <c r="D22" s="91"/>
      <c r="E22" s="32"/>
      <c r="F22" s="32"/>
      <c r="G22" s="32"/>
      <c r="H22" s="660"/>
      <c r="I22" s="32"/>
      <c r="J22" s="99"/>
      <c r="M22" s="27"/>
    </row>
    <row r="23" spans="1:18" s="20" customFormat="1" ht="24.95" customHeight="1" x14ac:dyDescent="0.2">
      <c r="A23" s="3124"/>
      <c r="B23" s="3125"/>
      <c r="C23" s="3125"/>
      <c r="D23" s="91"/>
      <c r="E23" s="32"/>
      <c r="F23" s="32"/>
      <c r="G23" s="32"/>
      <c r="H23" s="660"/>
      <c r="I23" s="32"/>
      <c r="J23" s="99"/>
    </row>
    <row r="24" spans="1:18" s="20" customFormat="1" ht="24.95" customHeight="1" x14ac:dyDescent="0.2">
      <c r="A24" s="3124"/>
      <c r="B24" s="3125"/>
      <c r="C24" s="3125"/>
      <c r="D24" s="91"/>
      <c r="E24" s="32"/>
      <c r="F24" s="32"/>
      <c r="G24" s="32"/>
      <c r="H24" s="660"/>
      <c r="I24" s="32"/>
      <c r="J24" s="99"/>
    </row>
    <row r="25" spans="1:18" s="20" customFormat="1" ht="24.95" customHeight="1" x14ac:dyDescent="0.2">
      <c r="A25" s="3124"/>
      <c r="B25" s="3125"/>
      <c r="C25" s="3125"/>
      <c r="D25" s="91"/>
      <c r="E25" s="32"/>
      <c r="F25" s="32"/>
      <c r="G25" s="32"/>
      <c r="H25" s="660"/>
      <c r="I25" s="32"/>
      <c r="J25" s="99"/>
    </row>
    <row r="26" spans="1:18" s="20" customFormat="1" ht="24.95" customHeight="1" x14ac:dyDescent="0.2">
      <c r="A26" s="3124"/>
      <c r="B26" s="3125"/>
      <c r="C26" s="3125"/>
      <c r="D26" s="91"/>
      <c r="E26" s="32"/>
      <c r="F26" s="32"/>
      <c r="G26" s="32"/>
      <c r="H26" s="660"/>
      <c r="I26" s="32"/>
      <c r="J26" s="99"/>
    </row>
    <row r="27" spans="1:18" s="20" customFormat="1" ht="24.95" customHeight="1" x14ac:dyDescent="0.2">
      <c r="A27" s="3124"/>
      <c r="B27" s="3125"/>
      <c r="C27" s="3125"/>
      <c r="D27" s="91"/>
      <c r="E27" s="32"/>
      <c r="F27" s="32"/>
      <c r="G27" s="32"/>
      <c r="H27" s="660"/>
      <c r="I27" s="32"/>
      <c r="J27" s="99"/>
    </row>
    <row r="28" spans="1:18" s="20" customFormat="1" ht="24.95" customHeight="1" thickBot="1" x14ac:dyDescent="0.25">
      <c r="A28" s="3129"/>
      <c r="B28" s="3130"/>
      <c r="C28" s="3130"/>
      <c r="D28" s="106"/>
      <c r="E28" s="206"/>
      <c r="F28" s="206"/>
      <c r="G28" s="206"/>
      <c r="H28" s="661"/>
      <c r="I28" s="206"/>
      <c r="J28" s="103"/>
    </row>
    <row r="29" spans="1:18" s="20" customFormat="1" x14ac:dyDescent="0.2">
      <c r="E29" s="27"/>
      <c r="F29" s="1"/>
      <c r="G29" s="1"/>
      <c r="H29" s="1"/>
      <c r="I29" s="1"/>
      <c r="J29"/>
    </row>
    <row r="30" spans="1:18" s="20" customFormat="1" x14ac:dyDescent="0.2">
      <c r="E30" s="27"/>
      <c r="F30" s="1"/>
      <c r="G30" s="1"/>
      <c r="H30" s="1"/>
      <c r="I30" s="1"/>
      <c r="J30"/>
    </row>
    <row r="31" spans="1:18" s="20" customFormat="1" x14ac:dyDescent="0.2">
      <c r="E31" s="27"/>
      <c r="F31" s="1"/>
      <c r="G31" s="1"/>
      <c r="H31" s="1"/>
      <c r="I31" s="1"/>
      <c r="J31"/>
    </row>
    <row r="32" spans="1:18" s="20" customFormat="1" x14ac:dyDescent="0.2">
      <c r="E32" s="27"/>
      <c r="F32" s="1"/>
      <c r="G32" s="1"/>
      <c r="H32" s="1"/>
      <c r="I32" s="1"/>
      <c r="J32"/>
    </row>
    <row r="33" spans="5:10" s="20" customFormat="1" x14ac:dyDescent="0.2">
      <c r="E33" s="27"/>
      <c r="F33" s="1"/>
      <c r="G33" s="1"/>
      <c r="H33" s="1"/>
      <c r="I33" s="1"/>
      <c r="J33"/>
    </row>
    <row r="34" spans="5:10" s="20" customFormat="1" x14ac:dyDescent="0.2">
      <c r="E34" s="27"/>
      <c r="F34" s="1"/>
      <c r="G34" s="1"/>
      <c r="H34" s="1"/>
      <c r="I34" s="1"/>
      <c r="J34"/>
    </row>
    <row r="35" spans="5:10" s="20" customFormat="1" x14ac:dyDescent="0.2">
      <c r="E35" s="27"/>
      <c r="F35" s="1"/>
      <c r="G35" s="1"/>
      <c r="H35" s="1"/>
      <c r="I35" s="1"/>
      <c r="J35"/>
    </row>
    <row r="36" spans="5:10" s="20" customFormat="1" x14ac:dyDescent="0.2">
      <c r="E36" s="27"/>
      <c r="F36" s="1"/>
      <c r="G36" s="1"/>
      <c r="H36" s="1"/>
      <c r="I36" s="1"/>
      <c r="J36"/>
    </row>
    <row r="37" spans="5:10" s="20" customFormat="1" x14ac:dyDescent="0.2">
      <c r="E37" s="27"/>
      <c r="F37" s="1"/>
      <c r="G37" s="1"/>
      <c r="H37" s="1"/>
      <c r="I37" s="1"/>
      <c r="J37"/>
    </row>
    <row r="38" spans="5:10" s="20" customFormat="1" x14ac:dyDescent="0.2">
      <c r="E38" s="27"/>
      <c r="F38" s="1"/>
      <c r="G38" s="1"/>
      <c r="H38" s="1"/>
      <c r="I38" s="1"/>
      <c r="J38"/>
    </row>
    <row r="39" spans="5:10" s="20" customFormat="1" x14ac:dyDescent="0.2">
      <c r="E39" s="27"/>
      <c r="F39" s="1"/>
      <c r="G39" s="1"/>
      <c r="H39" s="1"/>
      <c r="I39" s="1"/>
      <c r="J39"/>
    </row>
    <row r="40" spans="5:10" s="20" customFormat="1" x14ac:dyDescent="0.2">
      <c r="E40" s="27"/>
      <c r="F40" s="1"/>
      <c r="G40" s="1"/>
      <c r="H40" s="1"/>
      <c r="I40" s="1"/>
      <c r="J40"/>
    </row>
    <row r="41" spans="5:10" s="20" customFormat="1" x14ac:dyDescent="0.2">
      <c r="E41" s="27"/>
      <c r="F41" s="1"/>
      <c r="G41" s="1"/>
      <c r="H41" s="1"/>
      <c r="I41" s="1"/>
      <c r="J41"/>
    </row>
    <row r="42" spans="5:10" s="20" customFormat="1" x14ac:dyDescent="0.2">
      <c r="E42" s="27"/>
      <c r="F42" s="1"/>
      <c r="G42" s="1"/>
      <c r="H42" s="1"/>
      <c r="I42" s="1"/>
      <c r="J42"/>
    </row>
    <row r="43" spans="5:10" s="20" customFormat="1" x14ac:dyDescent="0.2">
      <c r="E43" s="27"/>
      <c r="F43" s="1"/>
      <c r="G43" s="1"/>
      <c r="H43" s="1"/>
      <c r="I43" s="1"/>
      <c r="J43"/>
    </row>
    <row r="44" spans="5:10" s="20" customFormat="1" x14ac:dyDescent="0.2">
      <c r="E44" s="27"/>
      <c r="F44" s="1"/>
      <c r="G44" s="1"/>
      <c r="H44" s="1"/>
      <c r="I44" s="1"/>
      <c r="J44"/>
    </row>
    <row r="45" spans="5:10" s="20" customFormat="1" x14ac:dyDescent="0.2">
      <c r="E45" s="27"/>
      <c r="F45" s="1"/>
      <c r="G45" s="1"/>
      <c r="H45" s="1"/>
      <c r="I45" s="1"/>
      <c r="J45"/>
    </row>
    <row r="46" spans="5:10" s="20" customFormat="1" x14ac:dyDescent="0.2">
      <c r="E46" s="27"/>
      <c r="F46" s="27"/>
      <c r="G46" s="27"/>
      <c r="H46" s="27"/>
      <c r="I46" s="27"/>
    </row>
    <row r="47" spans="5:10" s="20" customFormat="1" x14ac:dyDescent="0.2">
      <c r="E47" s="27"/>
      <c r="F47" s="27"/>
      <c r="G47" s="27"/>
      <c r="H47" s="27"/>
      <c r="I47" s="27"/>
    </row>
  </sheetData>
  <mergeCells count="18">
    <mergeCell ref="A28:C28"/>
    <mergeCell ref="A22:C22"/>
    <mergeCell ref="A23:C23"/>
    <mergeCell ref="A26:C26"/>
    <mergeCell ref="A27:C27"/>
    <mergeCell ref="A24:C24"/>
    <mergeCell ref="A25:C25"/>
    <mergeCell ref="I1:J2"/>
    <mergeCell ref="F18:H18"/>
    <mergeCell ref="I18:I19"/>
    <mergeCell ref="J18:J19"/>
    <mergeCell ref="A21:C21"/>
    <mergeCell ref="B1:E2"/>
    <mergeCell ref="A20:C20"/>
    <mergeCell ref="A14:E16"/>
    <mergeCell ref="E18:E19"/>
    <mergeCell ref="D18:D19"/>
    <mergeCell ref="A18:C19"/>
  </mergeCells>
  <phoneticPr fontId="20" type="noConversion"/>
  <pageMargins left="0.78740157480314965" right="0.78740157480314965" top="0.98425196850393704" bottom="0.98425196850393704" header="0.51181102362204722" footer="0.51181102362204722"/>
  <pageSetup paperSize="9" scale="87" orientation="landscape"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Tabelle40">
    <tabColor indexed="52"/>
  </sheetPr>
  <dimension ref="C1:R47"/>
  <sheetViews>
    <sheetView showGridLines="0" view="pageBreakPreview" zoomScaleNormal="100" workbookViewId="0">
      <selection activeCell="C20" sqref="C20:E20"/>
    </sheetView>
  </sheetViews>
  <sheetFormatPr baseColWidth="10" defaultRowHeight="15" x14ac:dyDescent="0.2"/>
  <cols>
    <col min="2" max="2" width="1.85546875" customWidth="1"/>
    <col min="3" max="3" width="22.7109375" style="18" customWidth="1"/>
    <col min="4" max="4" width="20.7109375" style="18" customWidth="1"/>
    <col min="5" max="5" width="16.7109375" style="18" customWidth="1"/>
    <col min="6" max="6" width="11.7109375" style="54" customWidth="1"/>
    <col min="7" max="7" width="12.7109375" style="54" customWidth="1"/>
    <col min="8" max="8" width="17.140625" style="1" customWidth="1"/>
    <col min="9" max="9" width="5.42578125" style="1" customWidth="1"/>
    <col min="10" max="11" width="1.5703125" customWidth="1"/>
    <col min="12" max="12" width="15.5703125" style="1" customWidth="1"/>
    <col min="13" max="13" width="15.7109375" customWidth="1"/>
    <col min="14" max="14" width="3" customWidth="1"/>
    <col min="15" max="15" width="24" style="701" customWidth="1"/>
    <col min="16" max="16" width="7.7109375" style="701" customWidth="1"/>
    <col min="17" max="17" width="24.28515625" style="701" customWidth="1"/>
    <col min="18" max="18" width="8.5703125" style="701" customWidth="1"/>
  </cols>
  <sheetData>
    <row r="1" spans="3:9" ht="18.75" customHeight="1" x14ac:dyDescent="0.25">
      <c r="C1" s="684"/>
      <c r="D1" s="685" t="s">
        <v>741</v>
      </c>
      <c r="E1" s="686"/>
      <c r="F1" s="686"/>
      <c r="G1" s="686"/>
      <c r="H1" s="687"/>
      <c r="I1" s="688"/>
    </row>
    <row r="2" spans="3:9" ht="18" customHeight="1" x14ac:dyDescent="0.25">
      <c r="C2" s="689"/>
      <c r="D2" s="690" t="s">
        <v>717</v>
      </c>
      <c r="E2" s="690"/>
      <c r="F2" s="690"/>
      <c r="G2" s="690"/>
      <c r="H2" s="24"/>
      <c r="I2" s="691"/>
    </row>
    <row r="3" spans="3:9" ht="15.75" x14ac:dyDescent="0.25">
      <c r="C3" s="692"/>
      <c r="D3" s="693"/>
      <c r="E3" s="693"/>
      <c r="F3" s="694"/>
      <c r="G3" s="694"/>
      <c r="H3" s="59"/>
      <c r="I3" s="695"/>
    </row>
    <row r="4" spans="3:9" ht="22.5" x14ac:dyDescent="0.2">
      <c r="C4" s="692" t="s">
        <v>106</v>
      </c>
      <c r="D4" s="3139" t="str">
        <f>Dateneingabe!F3</f>
        <v>05217112</v>
      </c>
      <c r="E4" s="3140"/>
      <c r="F4" s="694" t="s">
        <v>13</v>
      </c>
      <c r="G4" s="725" t="str">
        <f>Dateneingabe!H3</f>
        <v>200</v>
      </c>
      <c r="H4" s="10"/>
      <c r="I4" s="695"/>
    </row>
    <row r="5" spans="3:9" ht="6" customHeight="1" x14ac:dyDescent="0.2">
      <c r="C5" s="692"/>
      <c r="D5" s="693"/>
      <c r="E5" s="693"/>
      <c r="F5" s="694"/>
      <c r="G5" s="694"/>
      <c r="H5" s="10"/>
      <c r="I5" s="695"/>
    </row>
    <row r="6" spans="3:9" x14ac:dyDescent="0.2">
      <c r="C6" s="692"/>
      <c r="D6" s="696"/>
      <c r="E6" s="693"/>
      <c r="F6" s="697"/>
      <c r="G6" s="697"/>
      <c r="H6" s="10"/>
      <c r="I6" s="695"/>
    </row>
    <row r="7" spans="3:9" ht="6" customHeight="1" x14ac:dyDescent="0.2">
      <c r="C7" s="692"/>
      <c r="D7" s="693"/>
      <c r="E7" s="693"/>
      <c r="F7" s="694"/>
      <c r="G7" s="694"/>
      <c r="H7" s="10"/>
      <c r="I7" s="695"/>
    </row>
    <row r="8" spans="3:9" x14ac:dyDescent="0.2">
      <c r="C8" s="692" t="s">
        <v>301</v>
      </c>
      <c r="D8" s="726" t="str">
        <f>Dateneingabe!F15</f>
        <v>MiWo</v>
      </c>
      <c r="E8" s="693"/>
      <c r="F8" s="694" t="s">
        <v>97</v>
      </c>
      <c r="G8" s="698">
        <f>Dateneingabe!H5</f>
        <v>0</v>
      </c>
      <c r="H8" s="10"/>
      <c r="I8" s="695"/>
    </row>
    <row r="9" spans="3:9" ht="6" customHeight="1" x14ac:dyDescent="0.2">
      <c r="C9" s="692"/>
      <c r="D9" s="693"/>
      <c r="E9" s="693"/>
      <c r="F9" s="694"/>
      <c r="G9" s="694"/>
      <c r="H9" s="10"/>
      <c r="I9" s="695"/>
    </row>
    <row r="10" spans="3:9" x14ac:dyDescent="0.2">
      <c r="C10" s="692" t="s">
        <v>57</v>
      </c>
      <c r="D10" s="696"/>
      <c r="E10" s="693"/>
      <c r="F10" s="694"/>
      <c r="G10" s="694"/>
      <c r="H10" s="10"/>
      <c r="I10" s="695"/>
    </row>
    <row r="11" spans="3:9" ht="6" customHeight="1" x14ac:dyDescent="0.2">
      <c r="C11" s="692"/>
      <c r="D11" s="693"/>
      <c r="E11" s="693"/>
      <c r="F11" s="694"/>
      <c r="G11" s="694"/>
      <c r="H11" s="10"/>
      <c r="I11" s="695"/>
    </row>
    <row r="12" spans="3:9" x14ac:dyDescent="0.2">
      <c r="C12" s="699" t="s">
        <v>14</v>
      </c>
      <c r="D12" s="693"/>
      <c r="E12" s="693"/>
      <c r="F12" s="694"/>
      <c r="G12" s="694"/>
      <c r="H12" s="10"/>
      <c r="I12" s="695"/>
    </row>
    <row r="13" spans="3:9" ht="6" customHeight="1" x14ac:dyDescent="0.2">
      <c r="C13" s="692"/>
      <c r="D13" s="693"/>
      <c r="E13" s="693"/>
      <c r="F13" s="694"/>
      <c r="G13" s="694"/>
      <c r="H13" s="10"/>
      <c r="I13" s="695"/>
    </row>
    <row r="14" spans="3:9" ht="12.75" x14ac:dyDescent="0.2">
      <c r="C14" s="3141"/>
      <c r="D14" s="3142"/>
      <c r="E14" s="3142"/>
      <c r="F14" s="3142"/>
      <c r="G14" s="3143"/>
      <c r="H14" s="10"/>
      <c r="I14" s="695"/>
    </row>
    <row r="15" spans="3:9" ht="15" customHeight="1" x14ac:dyDescent="0.2">
      <c r="C15" s="3144"/>
      <c r="D15" s="3145"/>
      <c r="E15" s="3145"/>
      <c r="F15" s="3145"/>
      <c r="G15" s="3146"/>
      <c r="H15" s="10"/>
      <c r="I15" s="695"/>
    </row>
    <row r="16" spans="3:9" ht="15" customHeight="1" x14ac:dyDescent="0.2">
      <c r="C16" s="3147"/>
      <c r="D16" s="3148"/>
      <c r="E16" s="3148"/>
      <c r="F16" s="3148"/>
      <c r="G16" s="3149"/>
      <c r="H16" s="10"/>
      <c r="I16" s="695"/>
    </row>
    <row r="17" spans="3:18" ht="24" customHeight="1" thickBot="1" x14ac:dyDescent="0.25">
      <c r="C17" s="700"/>
      <c r="D17" s="48"/>
      <c r="E17" s="48"/>
      <c r="F17" s="48"/>
      <c r="G17" s="48"/>
      <c r="H17" s="10"/>
      <c r="I17" s="695"/>
    </row>
    <row r="18" spans="3:18" ht="15" customHeight="1" x14ac:dyDescent="0.2">
      <c r="C18" s="3150" t="s">
        <v>72</v>
      </c>
      <c r="D18" s="3151"/>
      <c r="E18" s="3151"/>
      <c r="F18" s="702" t="s">
        <v>104</v>
      </c>
      <c r="G18" s="703" t="s">
        <v>718</v>
      </c>
      <c r="H18" s="3154" t="s">
        <v>68</v>
      </c>
      <c r="I18" s="3135" t="s">
        <v>12</v>
      </c>
      <c r="L18" s="704" t="s">
        <v>719</v>
      </c>
      <c r="M18" s="704" t="s">
        <v>720</v>
      </c>
    </row>
    <row r="19" spans="3:18" ht="15.75" customHeight="1" thickBot="1" x14ac:dyDescent="0.25">
      <c r="C19" s="3152"/>
      <c r="D19" s="3153"/>
      <c r="E19" s="3153"/>
      <c r="F19" s="705" t="s">
        <v>721</v>
      </c>
      <c r="G19" s="706" t="s">
        <v>722</v>
      </c>
      <c r="H19" s="3136"/>
      <c r="I19" s="3136"/>
      <c r="L19" s="707" t="s">
        <v>723</v>
      </c>
      <c r="M19" s="707" t="s">
        <v>724</v>
      </c>
    </row>
    <row r="20" spans="3:18" s="18" customFormat="1" ht="24.95" customHeight="1" x14ac:dyDescent="0.2">
      <c r="C20" s="3137"/>
      <c r="D20" s="3138"/>
      <c r="E20" s="3138"/>
      <c r="F20" s="727"/>
      <c r="G20" s="708"/>
      <c r="H20" s="709"/>
      <c r="I20" s="710"/>
      <c r="L20" s="711">
        <f>IF(G20&gt;0,ROUNDDOWN(1000/G20,0),0)</f>
        <v>0</v>
      </c>
      <c r="M20" s="711">
        <f>IF(H20&gt;0,ROUNDUP(H20/L20,0),0)</f>
        <v>0</v>
      </c>
      <c r="O20" s="712" t="s">
        <v>725</v>
      </c>
      <c r="P20" s="713" t="s">
        <v>565</v>
      </c>
      <c r="Q20" s="714" t="s">
        <v>726</v>
      </c>
      <c r="R20" s="713" t="s">
        <v>566</v>
      </c>
    </row>
    <row r="21" spans="3:18" s="18" customFormat="1" ht="24.95" customHeight="1" x14ac:dyDescent="0.2">
      <c r="C21" s="3131"/>
      <c r="D21" s="3132"/>
      <c r="E21" s="3132"/>
      <c r="F21" s="715"/>
      <c r="G21" s="716"/>
      <c r="H21" s="716">
        <v>0</v>
      </c>
      <c r="I21" s="717"/>
      <c r="L21" s="711">
        <f t="shared" ref="L21:L28" si="0">IF(G21&gt;0,ROUNDDOWN(1000/G21,0),0)</f>
        <v>0</v>
      </c>
      <c r="M21" s="711">
        <f t="shared" ref="M21:M28" si="1">IF(H21&gt;0,ROUNDUP(H21/L21,0),0)</f>
        <v>0</v>
      </c>
      <c r="O21" s="718" t="s">
        <v>725</v>
      </c>
      <c r="P21" s="201" t="s">
        <v>565</v>
      </c>
      <c r="Q21" s="718" t="s">
        <v>726</v>
      </c>
      <c r="R21" s="201" t="s">
        <v>566</v>
      </c>
    </row>
    <row r="22" spans="3:18" s="18" customFormat="1" ht="24.95" customHeight="1" x14ac:dyDescent="0.2">
      <c r="C22" s="3131"/>
      <c r="D22" s="3132"/>
      <c r="E22" s="3132"/>
      <c r="F22" s="715"/>
      <c r="G22" s="716"/>
      <c r="H22" s="716">
        <v>0</v>
      </c>
      <c r="I22" s="717"/>
      <c r="L22" s="711">
        <f t="shared" si="0"/>
        <v>0</v>
      </c>
      <c r="M22" s="711">
        <f t="shared" si="1"/>
        <v>0</v>
      </c>
      <c r="O22" s="718" t="s">
        <v>725</v>
      </c>
      <c r="P22" s="201" t="s">
        <v>565</v>
      </c>
      <c r="Q22" s="718" t="s">
        <v>726</v>
      </c>
      <c r="R22" s="201" t="s">
        <v>566</v>
      </c>
    </row>
    <row r="23" spans="3:18" s="18" customFormat="1" ht="24.95" customHeight="1" x14ac:dyDescent="0.2">
      <c r="C23" s="3131"/>
      <c r="D23" s="3132"/>
      <c r="E23" s="3132"/>
      <c r="F23" s="715"/>
      <c r="G23" s="716"/>
      <c r="H23" s="716">
        <v>0</v>
      </c>
      <c r="I23" s="717"/>
      <c r="L23" s="711">
        <f t="shared" si="0"/>
        <v>0</v>
      </c>
      <c r="M23" s="711">
        <f t="shared" si="1"/>
        <v>0</v>
      </c>
      <c r="O23" s="718" t="s">
        <v>727</v>
      </c>
      <c r="P23" s="201" t="s">
        <v>565</v>
      </c>
      <c r="Q23" s="718" t="s">
        <v>726</v>
      </c>
      <c r="R23" s="201" t="s">
        <v>566</v>
      </c>
    </row>
    <row r="24" spans="3:18" s="18" customFormat="1" ht="24.95" customHeight="1" thickBot="1" x14ac:dyDescent="0.25">
      <c r="C24" s="3131"/>
      <c r="D24" s="3132"/>
      <c r="E24" s="3132"/>
      <c r="F24" s="715"/>
      <c r="G24" s="716"/>
      <c r="H24" s="716">
        <v>0</v>
      </c>
      <c r="I24" s="717"/>
      <c r="L24" s="711">
        <f t="shared" si="0"/>
        <v>0</v>
      </c>
      <c r="M24" s="711">
        <f t="shared" si="1"/>
        <v>0</v>
      </c>
      <c r="O24" s="719" t="s">
        <v>728</v>
      </c>
      <c r="P24" s="201" t="s">
        <v>584</v>
      </c>
      <c r="Q24" s="718" t="s">
        <v>729</v>
      </c>
      <c r="R24" s="201" t="s">
        <v>585</v>
      </c>
    </row>
    <row r="25" spans="3:18" s="18" customFormat="1" ht="24.95" customHeight="1" x14ac:dyDescent="0.2">
      <c r="C25" s="3131"/>
      <c r="D25" s="3132"/>
      <c r="E25" s="3132"/>
      <c r="F25" s="715"/>
      <c r="G25" s="716"/>
      <c r="H25" s="716">
        <v>0</v>
      </c>
      <c r="I25" s="717"/>
      <c r="L25" s="711">
        <f t="shared" si="0"/>
        <v>0</v>
      </c>
      <c r="M25" s="711">
        <f t="shared" si="1"/>
        <v>0</v>
      </c>
      <c r="O25" s="712" t="s">
        <v>725</v>
      </c>
      <c r="P25" s="713" t="s">
        <v>565</v>
      </c>
      <c r="Q25" s="714" t="s">
        <v>726</v>
      </c>
      <c r="R25" s="713" t="s">
        <v>566</v>
      </c>
    </row>
    <row r="26" spans="3:18" s="18" customFormat="1" ht="24.95" customHeight="1" x14ac:dyDescent="0.2">
      <c r="C26" s="3131">
        <v>0</v>
      </c>
      <c r="D26" s="3132"/>
      <c r="E26" s="3132"/>
      <c r="F26" s="715">
        <v>0</v>
      </c>
      <c r="G26" s="716"/>
      <c r="H26" s="716"/>
      <c r="I26" s="717"/>
      <c r="L26" s="711">
        <f t="shared" si="0"/>
        <v>0</v>
      </c>
      <c r="M26" s="711">
        <f t="shared" si="1"/>
        <v>0</v>
      </c>
      <c r="O26" s="719"/>
      <c r="P26" s="201"/>
      <c r="Q26" s="719"/>
      <c r="R26" s="201"/>
    </row>
    <row r="27" spans="3:18" s="18" customFormat="1" ht="24.95" customHeight="1" x14ac:dyDescent="0.2">
      <c r="C27" s="3131">
        <v>0</v>
      </c>
      <c r="D27" s="3132"/>
      <c r="E27" s="3132"/>
      <c r="F27" s="715">
        <v>0</v>
      </c>
      <c r="G27" s="716"/>
      <c r="H27" s="716"/>
      <c r="I27" s="717"/>
      <c r="L27" s="711">
        <f t="shared" si="0"/>
        <v>0</v>
      </c>
      <c r="M27" s="711">
        <f t="shared" si="1"/>
        <v>0</v>
      </c>
      <c r="O27" s="719"/>
      <c r="P27" s="201"/>
      <c r="Q27" s="719"/>
      <c r="R27" s="201"/>
    </row>
    <row r="28" spans="3:18" s="18" customFormat="1" ht="24.95" customHeight="1" thickBot="1" x14ac:dyDescent="0.25">
      <c r="C28" s="3133">
        <v>0</v>
      </c>
      <c r="D28" s="3134"/>
      <c r="E28" s="3134"/>
      <c r="F28" s="720">
        <v>0</v>
      </c>
      <c r="G28" s="721"/>
      <c r="H28" s="721"/>
      <c r="I28" s="722"/>
      <c r="L28" s="711">
        <f t="shared" si="0"/>
        <v>0</v>
      </c>
      <c r="M28" s="711">
        <f t="shared" si="1"/>
        <v>0</v>
      </c>
      <c r="O28" s="723"/>
      <c r="P28" s="724"/>
      <c r="Q28" s="723"/>
      <c r="R28" s="724"/>
    </row>
    <row r="29" spans="3:18" s="18" customFormat="1" ht="9" customHeight="1" x14ac:dyDescent="0.2">
      <c r="F29" s="54"/>
      <c r="G29" s="54"/>
      <c r="H29" s="1"/>
      <c r="I29" s="1"/>
      <c r="L29" s="54"/>
      <c r="O29" s="701"/>
      <c r="P29" s="701"/>
      <c r="Q29" s="701"/>
      <c r="R29" s="701"/>
    </row>
    <row r="30" spans="3:18" s="18" customFormat="1" x14ac:dyDescent="0.2">
      <c r="F30" s="54"/>
      <c r="G30" s="54"/>
      <c r="H30" s="1"/>
      <c r="I30" s="1"/>
      <c r="L30" s="54"/>
      <c r="O30" s="701"/>
      <c r="P30" s="701"/>
      <c r="Q30" s="701"/>
      <c r="R30" s="701"/>
    </row>
    <row r="31" spans="3:18" s="18" customFormat="1" x14ac:dyDescent="0.2">
      <c r="F31" s="54"/>
      <c r="G31" s="54"/>
      <c r="H31" s="1"/>
      <c r="I31" s="1"/>
      <c r="L31" s="54"/>
      <c r="O31" s="701"/>
      <c r="P31" s="701"/>
      <c r="Q31" s="701"/>
      <c r="R31" s="701"/>
    </row>
    <row r="32" spans="3:18" s="18" customFormat="1" x14ac:dyDescent="0.2">
      <c r="F32" s="54"/>
      <c r="G32" s="54"/>
      <c r="H32" s="1"/>
      <c r="I32" s="1"/>
      <c r="L32" s="54"/>
      <c r="O32" s="701"/>
      <c r="P32" s="701"/>
      <c r="Q32" s="701"/>
      <c r="R32" s="701"/>
    </row>
    <row r="33" spans="6:18" s="18" customFormat="1" x14ac:dyDescent="0.2">
      <c r="F33" s="54"/>
      <c r="G33" s="54"/>
      <c r="H33" s="1">
        <f>SUM(H20:H28)</f>
        <v>0</v>
      </c>
      <c r="I33" s="1"/>
      <c r="L33" s="54"/>
      <c r="O33" s="701"/>
      <c r="P33" s="701"/>
      <c r="Q33" s="701"/>
      <c r="R33" s="701"/>
    </row>
    <row r="34" spans="6:18" s="18" customFormat="1" x14ac:dyDescent="0.2">
      <c r="F34" s="54"/>
      <c r="G34" s="54"/>
      <c r="H34" s="1"/>
      <c r="I34" s="1"/>
      <c r="L34" s="54"/>
      <c r="O34" s="701"/>
      <c r="P34" s="701"/>
      <c r="Q34" s="701"/>
      <c r="R34" s="701"/>
    </row>
    <row r="35" spans="6:18" s="18" customFormat="1" x14ac:dyDescent="0.2">
      <c r="F35" s="54"/>
      <c r="G35" s="54"/>
      <c r="H35" s="1"/>
      <c r="I35" s="1"/>
      <c r="L35" s="54"/>
      <c r="O35" s="701"/>
      <c r="P35" s="701"/>
      <c r="Q35" s="701"/>
      <c r="R35" s="701"/>
    </row>
    <row r="36" spans="6:18" s="18" customFormat="1" x14ac:dyDescent="0.2">
      <c r="F36" s="54"/>
      <c r="G36" s="54"/>
      <c r="H36" s="1"/>
      <c r="I36" s="1"/>
      <c r="L36" s="54"/>
      <c r="O36" s="701"/>
      <c r="P36" s="701"/>
      <c r="Q36" s="701"/>
      <c r="R36" s="701"/>
    </row>
    <row r="37" spans="6:18" s="18" customFormat="1" x14ac:dyDescent="0.2">
      <c r="F37" s="54"/>
      <c r="G37" s="54"/>
      <c r="H37" s="1"/>
      <c r="I37" s="1"/>
      <c r="L37" s="54"/>
      <c r="O37" s="701"/>
      <c r="P37" s="701"/>
      <c r="Q37" s="701"/>
      <c r="R37" s="701"/>
    </row>
    <row r="38" spans="6:18" s="18" customFormat="1" x14ac:dyDescent="0.2">
      <c r="F38" s="54"/>
      <c r="G38" s="54"/>
      <c r="H38" s="1"/>
      <c r="I38" s="1"/>
      <c r="L38" s="54"/>
      <c r="O38" s="701"/>
      <c r="P38" s="701"/>
      <c r="Q38" s="701"/>
      <c r="R38" s="701"/>
    </row>
    <row r="39" spans="6:18" s="18" customFormat="1" x14ac:dyDescent="0.2">
      <c r="F39" s="54"/>
      <c r="G39" s="54"/>
      <c r="H39" s="1"/>
      <c r="I39" s="1"/>
      <c r="L39" s="54"/>
      <c r="O39" s="701"/>
      <c r="P39" s="701"/>
      <c r="Q39" s="701"/>
      <c r="R39" s="701"/>
    </row>
    <row r="40" spans="6:18" s="18" customFormat="1" x14ac:dyDescent="0.2">
      <c r="F40" s="54"/>
      <c r="G40" s="54"/>
      <c r="H40" s="1"/>
      <c r="I40" s="1"/>
      <c r="L40" s="54"/>
      <c r="O40" s="701"/>
      <c r="P40" s="701"/>
      <c r="Q40" s="701"/>
      <c r="R40" s="701"/>
    </row>
    <row r="41" spans="6:18" s="18" customFormat="1" x14ac:dyDescent="0.2">
      <c r="F41" s="54"/>
      <c r="G41" s="54"/>
      <c r="H41" s="1"/>
      <c r="I41" s="1"/>
      <c r="L41" s="54"/>
      <c r="O41" s="701"/>
      <c r="P41" s="701"/>
      <c r="Q41" s="701"/>
      <c r="R41" s="701"/>
    </row>
    <row r="42" spans="6:18" s="18" customFormat="1" x14ac:dyDescent="0.2">
      <c r="F42" s="54"/>
      <c r="G42" s="54"/>
      <c r="H42" s="1"/>
      <c r="I42" s="1"/>
      <c r="L42" s="54"/>
      <c r="O42" s="701"/>
      <c r="P42" s="701"/>
      <c r="Q42" s="701"/>
      <c r="R42" s="701"/>
    </row>
    <row r="43" spans="6:18" s="18" customFormat="1" x14ac:dyDescent="0.2">
      <c r="F43" s="54"/>
      <c r="G43" s="54"/>
      <c r="H43" s="1"/>
      <c r="I43" s="1"/>
      <c r="L43" s="54"/>
      <c r="O43" s="701"/>
      <c r="P43" s="701"/>
      <c r="Q43" s="701"/>
      <c r="R43" s="701"/>
    </row>
    <row r="44" spans="6:18" s="18" customFormat="1" x14ac:dyDescent="0.2">
      <c r="F44" s="54"/>
      <c r="G44" s="54"/>
      <c r="H44" s="1"/>
      <c r="I44" s="1"/>
      <c r="L44" s="54"/>
      <c r="O44" s="701"/>
      <c r="P44" s="701"/>
      <c r="Q44" s="701"/>
      <c r="R44" s="701"/>
    </row>
    <row r="45" spans="6:18" s="18" customFormat="1" x14ac:dyDescent="0.2">
      <c r="F45" s="54"/>
      <c r="G45" s="54"/>
      <c r="H45" s="1"/>
      <c r="I45" s="1"/>
      <c r="L45" s="54"/>
      <c r="O45" s="701"/>
      <c r="P45" s="701"/>
      <c r="Q45" s="701"/>
      <c r="R45" s="701"/>
    </row>
    <row r="46" spans="6:18" s="18" customFormat="1" x14ac:dyDescent="0.2">
      <c r="F46" s="54"/>
      <c r="G46" s="54"/>
      <c r="H46" s="54"/>
      <c r="I46" s="54"/>
      <c r="L46" s="54"/>
      <c r="O46" s="701"/>
      <c r="P46" s="701"/>
      <c r="Q46" s="701"/>
      <c r="R46" s="701"/>
    </row>
    <row r="47" spans="6:18" s="18" customFormat="1" x14ac:dyDescent="0.2">
      <c r="F47" s="54"/>
      <c r="G47" s="54"/>
      <c r="H47" s="54"/>
      <c r="I47" s="54"/>
      <c r="L47" s="54"/>
      <c r="O47" s="701"/>
      <c r="P47" s="701"/>
      <c r="Q47" s="701"/>
      <c r="R47" s="701"/>
    </row>
  </sheetData>
  <mergeCells count="14">
    <mergeCell ref="I18:I19"/>
    <mergeCell ref="C20:E20"/>
    <mergeCell ref="D4:E4"/>
    <mergeCell ref="C14:G16"/>
    <mergeCell ref="C18:E19"/>
    <mergeCell ref="H18:H19"/>
    <mergeCell ref="C27:E27"/>
    <mergeCell ref="C28:E28"/>
    <mergeCell ref="C21:E21"/>
    <mergeCell ref="C22:E22"/>
    <mergeCell ref="C23:E23"/>
    <mergeCell ref="C24:E24"/>
    <mergeCell ref="C25:E25"/>
    <mergeCell ref="C26:E26"/>
  </mergeCells>
  <phoneticPr fontId="76" type="noConversion"/>
  <conditionalFormatting sqref="C1:H28 I1:I18 I20:I28 O20:R28">
    <cfRule type="cellIs" dxfId="844" priority="1" stopIfTrue="1" operator="equal">
      <formula>0</formula>
    </cfRule>
  </conditionalFormatting>
  <printOptions horizontalCentered="1" verticalCentered="1"/>
  <pageMargins left="0.19685039370078741" right="0.19685039370078741" top="0.19685039370078741" bottom="0.19685039370078741" header="0.51181102362204722" footer="0.51181102362204722"/>
  <pageSetup paperSize="9" scale="105" orientation="landscape"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Tabelle39"/>
  <dimension ref="A1:R47"/>
  <sheetViews>
    <sheetView showGridLines="0" view="pageBreakPreview" zoomScaleNormal="100" workbookViewId="0">
      <selection activeCell="A20" sqref="A20:J50"/>
    </sheetView>
  </sheetViews>
  <sheetFormatPr baseColWidth="10" defaultRowHeight="15" x14ac:dyDescent="0.2"/>
  <cols>
    <col min="1" max="1" width="22.7109375" style="20" customWidth="1"/>
    <col min="2" max="2" width="20.7109375" style="20" customWidth="1"/>
    <col min="3" max="3" width="16.7109375" style="20" customWidth="1"/>
    <col min="4" max="4" width="11.7109375" style="20" customWidth="1"/>
    <col min="5" max="5" width="12.7109375" style="20" customWidth="1"/>
    <col min="6" max="8" width="7.7109375" customWidth="1"/>
    <col min="9" max="9" width="17.140625" customWidth="1"/>
    <col min="10" max="10" width="5.42578125" customWidth="1"/>
  </cols>
  <sheetData>
    <row r="1" spans="1:10" ht="12.75" customHeight="1" x14ac:dyDescent="0.2">
      <c r="A1" s="70"/>
      <c r="B1" s="2726" t="str">
        <f>Dateneingabe!F1&amp;"("&amp;Dateneingabe!J1&amp;")"</f>
        <v>Ausschreibung GCC vertikal()</v>
      </c>
      <c r="C1" s="2726"/>
      <c r="D1" s="2726"/>
      <c r="E1" s="2726"/>
      <c r="F1" s="95"/>
      <c r="G1" s="96"/>
      <c r="H1" s="19"/>
      <c r="I1" s="2699" t="s">
        <v>56</v>
      </c>
      <c r="J1" s="2700"/>
    </row>
    <row r="2" spans="1:10" ht="18" customHeight="1" x14ac:dyDescent="0.2">
      <c r="A2" s="72"/>
      <c r="B2" s="2727"/>
      <c r="C2" s="2727"/>
      <c r="D2" s="2727"/>
      <c r="E2" s="2727"/>
      <c r="F2" s="39"/>
      <c r="G2" s="6"/>
      <c r="H2" s="24"/>
      <c r="I2" s="2701"/>
      <c r="J2" s="2702"/>
    </row>
    <row r="3" spans="1:10" ht="15.75" x14ac:dyDescent="0.25">
      <c r="A3" s="72"/>
      <c r="B3" s="22"/>
      <c r="C3" s="22"/>
      <c r="D3" s="22"/>
      <c r="E3" s="22"/>
      <c r="F3" s="6"/>
      <c r="G3" s="6"/>
      <c r="H3" s="11"/>
      <c r="I3" s="6"/>
      <c r="J3" s="97">
        <v>507</v>
      </c>
    </row>
    <row r="4" spans="1:10" x14ac:dyDescent="0.2">
      <c r="A4" s="72" t="s">
        <v>106</v>
      </c>
      <c r="B4" s="45" t="str">
        <f>Dateneingabe!F3</f>
        <v>05217112</v>
      </c>
      <c r="C4" s="22"/>
      <c r="D4" s="57" t="s">
        <v>13</v>
      </c>
      <c r="E4" s="45" t="str">
        <f>Dateneingabe!H3</f>
        <v>200</v>
      </c>
      <c r="F4" s="6"/>
      <c r="G4" s="6"/>
      <c r="H4" s="6"/>
      <c r="I4" s="6"/>
      <c r="J4" s="12"/>
    </row>
    <row r="5" spans="1:10" ht="6" customHeight="1" x14ac:dyDescent="0.2">
      <c r="A5" s="72"/>
      <c r="B5" s="22"/>
      <c r="C5" s="22"/>
      <c r="D5" s="57"/>
      <c r="E5" s="22"/>
      <c r="F5" s="6"/>
      <c r="G5" s="6"/>
      <c r="H5" s="6"/>
      <c r="I5" s="6"/>
      <c r="J5" s="12"/>
    </row>
    <row r="6" spans="1:10" x14ac:dyDescent="0.2">
      <c r="A6" s="72" t="s">
        <v>83</v>
      </c>
      <c r="B6" s="45" t="str">
        <f>Dateneingabe!F5</f>
        <v>5101.002095</v>
      </c>
      <c r="C6" s="22"/>
      <c r="D6" s="6"/>
      <c r="E6" s="6"/>
      <c r="F6" s="6"/>
      <c r="G6" s="6"/>
      <c r="H6" s="6"/>
      <c r="I6" s="6"/>
      <c r="J6" s="12"/>
    </row>
    <row r="7" spans="1:10" ht="6" customHeight="1" x14ac:dyDescent="0.2">
      <c r="A7" s="72"/>
      <c r="B7" s="22"/>
      <c r="C7" s="22"/>
      <c r="D7" s="57"/>
      <c r="E7" s="22"/>
      <c r="F7" s="6"/>
      <c r="G7" s="6"/>
      <c r="H7" s="6"/>
      <c r="I7" s="6"/>
      <c r="J7" s="12"/>
    </row>
    <row r="8" spans="1:10" x14ac:dyDescent="0.2">
      <c r="A8" s="72" t="s">
        <v>66</v>
      </c>
      <c r="B8" s="46" t="str">
        <f>Dateneingabe!F15</f>
        <v>MiWo</v>
      </c>
      <c r="C8" s="22"/>
      <c r="D8" s="57" t="s">
        <v>97</v>
      </c>
      <c r="E8" s="49">
        <f>Dateneingabe!F13</f>
        <v>44594</v>
      </c>
      <c r="F8" s="6"/>
      <c r="G8" s="6"/>
      <c r="H8" s="6"/>
      <c r="I8" s="6"/>
      <c r="J8" s="12"/>
    </row>
    <row r="9" spans="1:10" ht="6" customHeight="1" x14ac:dyDescent="0.2">
      <c r="A9" s="72"/>
      <c r="B9" s="22"/>
      <c r="C9" s="22"/>
      <c r="D9" s="22"/>
      <c r="E9" s="22"/>
      <c r="F9" s="6"/>
      <c r="G9" s="6"/>
      <c r="H9" s="6"/>
      <c r="I9" s="6"/>
      <c r="J9" s="12"/>
    </row>
    <row r="10" spans="1:10" x14ac:dyDescent="0.2">
      <c r="A10" s="72" t="s">
        <v>57</v>
      </c>
      <c r="B10" s="104"/>
      <c r="C10" s="22"/>
      <c r="D10" s="22"/>
      <c r="E10" s="22"/>
      <c r="F10" s="6"/>
      <c r="G10" s="6"/>
      <c r="H10" s="6"/>
      <c r="I10" s="6"/>
      <c r="J10" s="12"/>
    </row>
    <row r="11" spans="1:10" ht="6" customHeight="1" x14ac:dyDescent="0.2">
      <c r="A11" s="72"/>
      <c r="B11" s="22"/>
      <c r="C11" s="22"/>
      <c r="D11" s="22"/>
      <c r="E11" s="22"/>
      <c r="F11" s="6"/>
      <c r="G11" s="6"/>
      <c r="H11" s="6"/>
      <c r="I11" s="6"/>
      <c r="J11" s="12"/>
    </row>
    <row r="12" spans="1:10" x14ac:dyDescent="0.2">
      <c r="A12" s="75" t="s">
        <v>14</v>
      </c>
      <c r="B12" s="22"/>
      <c r="C12" s="22"/>
      <c r="D12" s="22"/>
      <c r="E12" s="22"/>
      <c r="F12" s="6"/>
      <c r="G12" s="6"/>
      <c r="H12" s="6"/>
      <c r="I12" s="6"/>
      <c r="J12" s="12"/>
    </row>
    <row r="13" spans="1:10" ht="6" customHeight="1" x14ac:dyDescent="0.2">
      <c r="A13" s="72"/>
      <c r="B13" s="22"/>
      <c r="C13" s="22"/>
      <c r="D13" s="22"/>
      <c r="E13" s="22"/>
      <c r="F13" s="6"/>
      <c r="G13" s="6"/>
      <c r="H13" s="6"/>
      <c r="I13" s="6"/>
      <c r="J13" s="12"/>
    </row>
    <row r="14" spans="1:10" ht="12.75" x14ac:dyDescent="0.2">
      <c r="A14" s="2728"/>
      <c r="B14" s="2729"/>
      <c r="C14" s="2729"/>
      <c r="D14" s="2729"/>
      <c r="E14" s="2730"/>
      <c r="F14" s="10"/>
      <c r="G14" s="8"/>
      <c r="H14" s="6"/>
      <c r="I14" s="6"/>
      <c r="J14" s="12"/>
    </row>
    <row r="15" spans="1:10" ht="15" customHeight="1" x14ac:dyDescent="0.2">
      <c r="A15" s="2731"/>
      <c r="B15" s="2732"/>
      <c r="C15" s="2732"/>
      <c r="D15" s="2732"/>
      <c r="E15" s="2733"/>
      <c r="F15" s="10"/>
      <c r="G15" s="8"/>
      <c r="H15" s="6"/>
      <c r="I15" s="6"/>
      <c r="J15" s="12"/>
    </row>
    <row r="16" spans="1:10" ht="15" customHeight="1" x14ac:dyDescent="0.2">
      <c r="A16" s="2734"/>
      <c r="B16" s="2735"/>
      <c r="C16" s="2735"/>
      <c r="D16" s="2735"/>
      <c r="E16" s="2736"/>
      <c r="F16" s="10"/>
      <c r="G16" s="8"/>
      <c r="H16" s="6"/>
      <c r="I16" s="6"/>
      <c r="J16" s="12"/>
    </row>
    <row r="17" spans="1:18" ht="24" customHeight="1" thickBot="1" x14ac:dyDescent="0.25">
      <c r="A17" s="76"/>
      <c r="B17" s="50"/>
      <c r="C17" s="50"/>
      <c r="D17" s="50"/>
      <c r="E17" s="50"/>
      <c r="F17" s="10"/>
      <c r="G17" s="8"/>
      <c r="H17" s="6"/>
      <c r="I17" s="6"/>
      <c r="J17" s="12"/>
    </row>
    <row r="18" spans="1:18" ht="15" customHeight="1" thickBot="1" x14ac:dyDescent="0.3">
      <c r="A18" s="2713" t="s">
        <v>72</v>
      </c>
      <c r="B18" s="2713"/>
      <c r="C18" s="2713"/>
      <c r="D18" s="2713" t="s">
        <v>104</v>
      </c>
      <c r="E18" s="2989" t="s">
        <v>238</v>
      </c>
      <c r="F18" s="3001" t="s">
        <v>103</v>
      </c>
      <c r="G18" s="3002"/>
      <c r="H18" s="3123"/>
      <c r="I18" s="3003" t="s">
        <v>84</v>
      </c>
      <c r="J18" s="2976" t="s">
        <v>12</v>
      </c>
    </row>
    <row r="19" spans="1:18" ht="16.5" thickBot="1" x14ac:dyDescent="0.3">
      <c r="A19" s="2714"/>
      <c r="B19" s="2714"/>
      <c r="C19" s="2714"/>
      <c r="D19" s="3155"/>
      <c r="E19" s="2725"/>
      <c r="F19" s="25" t="s">
        <v>17</v>
      </c>
      <c r="G19" s="25" t="s">
        <v>73</v>
      </c>
      <c r="H19" s="25" t="s">
        <v>16</v>
      </c>
      <c r="I19" s="2977"/>
      <c r="J19" s="2977"/>
      <c r="Q19" s="20"/>
      <c r="R19" s="20"/>
    </row>
    <row r="20" spans="1:18" s="20" customFormat="1" ht="24.95" customHeight="1" x14ac:dyDescent="0.2">
      <c r="A20" s="3126"/>
      <c r="B20" s="3127"/>
      <c r="C20" s="3127"/>
      <c r="D20" s="91"/>
      <c r="E20" s="86"/>
      <c r="F20" s="87"/>
      <c r="G20" s="87"/>
      <c r="H20" s="88"/>
      <c r="I20" s="89"/>
      <c r="J20" s="98"/>
    </row>
    <row r="21" spans="1:18" s="20" customFormat="1" ht="24.95" customHeight="1" x14ac:dyDescent="0.2">
      <c r="A21" s="3124"/>
      <c r="B21" s="3125"/>
      <c r="C21" s="3125"/>
      <c r="D21" s="91"/>
      <c r="E21" s="85"/>
      <c r="F21" s="60"/>
      <c r="G21" s="60"/>
      <c r="H21" s="90"/>
      <c r="I21" s="60"/>
      <c r="J21" s="99"/>
    </row>
    <row r="22" spans="1:18" s="20" customFormat="1" ht="24.95" customHeight="1" x14ac:dyDescent="0.2">
      <c r="A22" s="3124"/>
      <c r="B22" s="3125"/>
      <c r="C22" s="3125"/>
      <c r="D22" s="91"/>
      <c r="E22" s="85"/>
      <c r="F22" s="60"/>
      <c r="G22" s="60"/>
      <c r="H22" s="90"/>
      <c r="I22" s="60"/>
      <c r="J22" s="99"/>
      <c r="M22" s="27"/>
    </row>
    <row r="23" spans="1:18" s="20" customFormat="1" ht="24.95" customHeight="1" x14ac:dyDescent="0.2">
      <c r="A23" s="3124"/>
      <c r="B23" s="3125"/>
      <c r="C23" s="3125"/>
      <c r="D23" s="91"/>
      <c r="E23" s="85"/>
      <c r="F23" s="60"/>
      <c r="G23" s="60"/>
      <c r="H23" s="90"/>
      <c r="I23" s="60"/>
      <c r="J23" s="99"/>
    </row>
    <row r="24" spans="1:18" s="20" customFormat="1" ht="24.95" customHeight="1" x14ac:dyDescent="0.2">
      <c r="A24" s="3124"/>
      <c r="B24" s="3125"/>
      <c r="C24" s="3125"/>
      <c r="D24" s="91"/>
      <c r="E24" s="85"/>
      <c r="F24" s="60"/>
      <c r="G24" s="60"/>
      <c r="H24" s="90"/>
      <c r="I24" s="60"/>
      <c r="J24" s="99"/>
    </row>
    <row r="25" spans="1:18" s="20" customFormat="1" ht="24.95" customHeight="1" x14ac:dyDescent="0.2">
      <c r="A25" s="3124"/>
      <c r="B25" s="3125"/>
      <c r="C25" s="3125"/>
      <c r="D25" s="91"/>
      <c r="E25" s="85"/>
      <c r="F25" s="60"/>
      <c r="G25" s="60"/>
      <c r="H25" s="90"/>
      <c r="I25" s="60"/>
      <c r="J25" s="99"/>
    </row>
    <row r="26" spans="1:18" s="20" customFormat="1" ht="24.95" customHeight="1" x14ac:dyDescent="0.2">
      <c r="A26" s="3124"/>
      <c r="B26" s="3125"/>
      <c r="C26" s="3125"/>
      <c r="D26" s="91"/>
      <c r="E26" s="85"/>
      <c r="F26" s="60"/>
      <c r="G26" s="60"/>
      <c r="H26" s="90"/>
      <c r="I26" s="60"/>
      <c r="J26" s="99"/>
    </row>
    <row r="27" spans="1:18" s="20" customFormat="1" ht="24.95" customHeight="1" x14ac:dyDescent="0.2">
      <c r="A27" s="3124"/>
      <c r="B27" s="3125"/>
      <c r="C27" s="3125"/>
      <c r="D27" s="91"/>
      <c r="E27" s="85"/>
      <c r="F27" s="60"/>
      <c r="G27" s="60"/>
      <c r="H27" s="90"/>
      <c r="I27" s="60"/>
      <c r="J27" s="99"/>
    </row>
    <row r="28" spans="1:18" s="20" customFormat="1" ht="24.95" customHeight="1" thickBot="1" x14ac:dyDescent="0.25">
      <c r="A28" s="3129"/>
      <c r="B28" s="3130"/>
      <c r="C28" s="3130"/>
      <c r="D28" s="106"/>
      <c r="E28" s="100"/>
      <c r="F28" s="101"/>
      <c r="G28" s="101"/>
      <c r="H28" s="102"/>
      <c r="I28" s="101"/>
      <c r="J28" s="103"/>
    </row>
    <row r="29" spans="1:18" s="20" customFormat="1" x14ac:dyDescent="0.2">
      <c r="F29"/>
      <c r="G29"/>
      <c r="H29"/>
      <c r="I29"/>
      <c r="J29"/>
    </row>
    <row r="30" spans="1:18" s="20" customFormat="1" x14ac:dyDescent="0.2">
      <c r="F30"/>
      <c r="G30"/>
      <c r="H30"/>
      <c r="I30"/>
      <c r="J30"/>
    </row>
    <row r="31" spans="1:18" s="20" customFormat="1" x14ac:dyDescent="0.2">
      <c r="F31"/>
      <c r="G31"/>
      <c r="H31"/>
      <c r="I31"/>
      <c r="J31"/>
    </row>
    <row r="32" spans="1:18" s="20" customFormat="1" x14ac:dyDescent="0.2">
      <c r="F32"/>
      <c r="G32"/>
      <c r="H32"/>
      <c r="I32"/>
      <c r="J32"/>
    </row>
    <row r="33" spans="6:10" s="20" customFormat="1" x14ac:dyDescent="0.2">
      <c r="F33"/>
      <c r="G33"/>
      <c r="H33"/>
      <c r="I33"/>
      <c r="J33"/>
    </row>
    <row r="34" spans="6:10" s="20" customFormat="1" x14ac:dyDescent="0.2">
      <c r="F34"/>
      <c r="G34"/>
      <c r="H34"/>
      <c r="I34"/>
      <c r="J34"/>
    </row>
    <row r="35" spans="6:10" s="20" customFormat="1" x14ac:dyDescent="0.2">
      <c r="F35"/>
      <c r="G35"/>
      <c r="H35"/>
      <c r="I35"/>
      <c r="J35"/>
    </row>
    <row r="36" spans="6:10" s="20" customFormat="1" x14ac:dyDescent="0.2">
      <c r="F36"/>
      <c r="G36"/>
      <c r="H36"/>
      <c r="I36"/>
      <c r="J36"/>
    </row>
    <row r="37" spans="6:10" s="20" customFormat="1" x14ac:dyDescent="0.2">
      <c r="F37"/>
      <c r="G37"/>
      <c r="H37"/>
      <c r="I37"/>
      <c r="J37"/>
    </row>
    <row r="38" spans="6:10" s="20" customFormat="1" x14ac:dyDescent="0.2">
      <c r="F38"/>
      <c r="G38"/>
      <c r="H38"/>
      <c r="I38"/>
      <c r="J38"/>
    </row>
    <row r="39" spans="6:10" s="20" customFormat="1" x14ac:dyDescent="0.2">
      <c r="F39"/>
      <c r="G39"/>
      <c r="H39"/>
      <c r="I39"/>
      <c r="J39"/>
    </row>
    <row r="40" spans="6:10" s="20" customFormat="1" x14ac:dyDescent="0.2">
      <c r="F40"/>
      <c r="G40"/>
      <c r="H40"/>
      <c r="I40"/>
      <c r="J40"/>
    </row>
    <row r="41" spans="6:10" s="20" customFormat="1" x14ac:dyDescent="0.2">
      <c r="F41"/>
      <c r="G41"/>
      <c r="H41"/>
      <c r="I41"/>
      <c r="J41"/>
    </row>
    <row r="42" spans="6:10" s="20" customFormat="1" x14ac:dyDescent="0.2">
      <c r="F42"/>
      <c r="G42"/>
      <c r="H42"/>
      <c r="I42"/>
      <c r="J42"/>
    </row>
    <row r="43" spans="6:10" s="20" customFormat="1" x14ac:dyDescent="0.2">
      <c r="F43"/>
      <c r="G43"/>
      <c r="H43"/>
      <c r="I43"/>
      <c r="J43"/>
    </row>
    <row r="44" spans="6:10" s="20" customFormat="1" x14ac:dyDescent="0.2">
      <c r="F44"/>
      <c r="G44"/>
      <c r="H44"/>
      <c r="I44"/>
      <c r="J44"/>
    </row>
    <row r="45" spans="6:10" s="20" customFormat="1" x14ac:dyDescent="0.2">
      <c r="F45"/>
      <c r="G45"/>
      <c r="H45"/>
      <c r="I45"/>
      <c r="J45"/>
    </row>
    <row r="46" spans="6:10" s="20" customFormat="1" x14ac:dyDescent="0.2"/>
    <row r="47" spans="6:10" s="20" customFormat="1" x14ac:dyDescent="0.2"/>
  </sheetData>
  <mergeCells count="18">
    <mergeCell ref="A28:C28"/>
    <mergeCell ref="A22:C22"/>
    <mergeCell ref="A23:C23"/>
    <mergeCell ref="A24:C24"/>
    <mergeCell ref="A20:C20"/>
    <mergeCell ref="A27:C27"/>
    <mergeCell ref="A25:C25"/>
    <mergeCell ref="A21:C21"/>
    <mergeCell ref="A26:C26"/>
    <mergeCell ref="I1:J2"/>
    <mergeCell ref="F18:H18"/>
    <mergeCell ref="I18:I19"/>
    <mergeCell ref="J18:J19"/>
    <mergeCell ref="B1:E2"/>
    <mergeCell ref="A14:E16"/>
    <mergeCell ref="E18:E19"/>
    <mergeCell ref="D18:D19"/>
    <mergeCell ref="A18:C19"/>
  </mergeCells>
  <phoneticPr fontId="20" type="noConversion"/>
  <pageMargins left="0.78740157480314965" right="0.78740157480314965" top="0.98425196850393704" bottom="0.98425196850393704" header="0.51181102362204722" footer="0.51181102362204722"/>
  <pageSetup paperSize="9" scale="95" orientation="landscape"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Tabelle17">
    <tabColor indexed="50"/>
    <pageSetUpPr fitToPage="1"/>
  </sheetPr>
  <dimension ref="A1:M55"/>
  <sheetViews>
    <sheetView showGridLines="0" view="pageBreakPreview" zoomScale="85" zoomScaleNormal="75" zoomScaleSheetLayoutView="85" workbookViewId="0">
      <selection activeCell="P26" sqref="P26"/>
    </sheetView>
  </sheetViews>
  <sheetFormatPr baseColWidth="10" defaultColWidth="11.42578125" defaultRowHeight="12.75" x14ac:dyDescent="0.2"/>
  <cols>
    <col min="1" max="1" width="11.85546875" style="207" bestFit="1" customWidth="1"/>
    <col min="2" max="2" width="20" style="207" customWidth="1"/>
    <col min="3" max="3" width="10.28515625" style="207" customWidth="1"/>
    <col min="4" max="4" width="23.7109375" style="207" customWidth="1"/>
    <col min="5" max="6" width="14.140625" style="207" customWidth="1"/>
    <col min="7" max="7" width="17.42578125" style="207" bestFit="1" customWidth="1"/>
    <col min="8" max="8" width="16.28515625" style="207" customWidth="1"/>
    <col min="9" max="9" width="19.85546875" style="207" customWidth="1"/>
    <col min="10" max="10" width="22.7109375" style="207" customWidth="1"/>
    <col min="11" max="11" width="19.42578125" style="207" customWidth="1"/>
    <col min="12" max="12" width="11" style="207" customWidth="1"/>
    <col min="13" max="13" width="1.42578125" style="207" customWidth="1"/>
    <col min="14" max="14" width="11.42578125" style="207"/>
    <col min="15" max="15" width="14.28515625" style="207" customWidth="1"/>
    <col min="16" max="16384" width="11.42578125" style="207"/>
  </cols>
  <sheetData>
    <row r="1" spans="1:12" ht="43.5" customHeight="1" x14ac:dyDescent="0.25">
      <c r="A1" s="3209" t="str">
        <f>Dateneingabe!F1&amp;Dateneingabe!I1</f>
        <v>Ausschreibung GCC vertikalRev. 0563b</v>
      </c>
      <c r="B1" s="3209"/>
      <c r="C1" s="3209"/>
      <c r="D1" s="3209"/>
      <c r="E1" s="3209"/>
      <c r="F1" s="3209"/>
      <c r="G1" s="3209"/>
      <c r="H1" s="3209"/>
      <c r="I1" s="3209"/>
      <c r="J1" s="3210"/>
      <c r="K1" s="3210"/>
      <c r="L1" s="3210"/>
    </row>
    <row r="2" spans="1:12" ht="18" x14ac:dyDescent="0.2">
      <c r="A2" s="222"/>
      <c r="B2" s="222"/>
      <c r="C2" s="222"/>
      <c r="D2" s="222"/>
      <c r="E2" s="223" t="s">
        <v>453</v>
      </c>
      <c r="F2" s="222"/>
      <c r="G2" s="222"/>
      <c r="H2" s="222"/>
      <c r="I2" s="222"/>
    </row>
    <row r="3" spans="1:12" ht="18" x14ac:dyDescent="0.2">
      <c r="B3" s="208"/>
      <c r="C3" s="208"/>
      <c r="D3" s="209" t="s">
        <v>438</v>
      </c>
      <c r="E3" s="3211" t="str">
        <f>Dateneingabe!F3</f>
        <v>05217112</v>
      </c>
      <c r="F3" s="3212"/>
      <c r="G3" s="3212"/>
      <c r="H3" s="210" t="str">
        <f>"-"&amp;Dateneingabe!H3</f>
        <v>-200</v>
      </c>
      <c r="I3" s="208"/>
      <c r="J3" s="211"/>
    </row>
    <row r="4" spans="1:12" ht="6" customHeight="1" x14ac:dyDescent="0.2">
      <c r="B4" s="208"/>
      <c r="C4" s="208"/>
      <c r="D4" s="209"/>
      <c r="E4" s="208"/>
      <c r="F4" s="208"/>
      <c r="G4" s="208"/>
      <c r="H4" s="208"/>
      <c r="I4" s="208"/>
      <c r="J4" s="211"/>
    </row>
    <row r="5" spans="1:12" ht="18" x14ac:dyDescent="0.25">
      <c r="B5" s="3226" t="s">
        <v>834</v>
      </c>
      <c r="C5" s="3227"/>
      <c r="D5" s="209" t="s">
        <v>440</v>
      </c>
      <c r="E5" s="3213" t="str">
        <f>Dateneingabe!F5</f>
        <v>5101.002095</v>
      </c>
      <c r="F5" s="3214"/>
      <c r="G5" s="212"/>
      <c r="H5" s="213" t="s">
        <v>441</v>
      </c>
      <c r="I5" s="224" t="str">
        <f>Dateneingabe!H3</f>
        <v>200</v>
      </c>
    </row>
    <row r="6" spans="1:12" ht="6" customHeight="1" x14ac:dyDescent="0.2">
      <c r="B6" s="755"/>
      <c r="C6" s="756"/>
      <c r="D6" s="209"/>
      <c r="E6" s="208"/>
      <c r="F6" s="208"/>
      <c r="G6" s="208"/>
      <c r="H6" s="208"/>
      <c r="I6" s="208"/>
      <c r="J6" s="211"/>
    </row>
    <row r="7" spans="1:12" ht="18" x14ac:dyDescent="0.25">
      <c r="B7" s="3220" t="s">
        <v>830</v>
      </c>
      <c r="C7" s="3221"/>
      <c r="D7" s="209" t="s">
        <v>443</v>
      </c>
      <c r="E7" s="3217" t="str">
        <f>Dateneingabe!F17&amp;" / "&amp;Dateneingabe!F19</f>
        <v>Element Logic Germany GmbH / Emil Lux GmbH</v>
      </c>
      <c r="F7" s="3218"/>
      <c r="G7" s="3218"/>
      <c r="H7" s="3218"/>
      <c r="I7" s="3218"/>
      <c r="J7" s="3218"/>
      <c r="K7" s="3218"/>
      <c r="L7" s="3219"/>
    </row>
    <row r="8" spans="1:12" ht="6" customHeight="1" x14ac:dyDescent="0.2">
      <c r="B8" s="3222"/>
      <c r="C8" s="3223"/>
      <c r="D8" s="209"/>
      <c r="E8" s="208"/>
      <c r="F8" s="208"/>
      <c r="G8" s="208"/>
      <c r="H8" s="208"/>
      <c r="I8" s="3215"/>
      <c r="J8" s="3216"/>
      <c r="K8" s="3216"/>
    </row>
    <row r="9" spans="1:12" ht="18" x14ac:dyDescent="0.2">
      <c r="B9" s="3222"/>
      <c r="C9" s="3223"/>
      <c r="D9" s="209" t="s">
        <v>444</v>
      </c>
      <c r="E9" s="216">
        <f>Dateneingabe!F7</f>
        <v>1</v>
      </c>
      <c r="F9" s="208"/>
      <c r="G9" s="1105" t="s">
        <v>28540</v>
      </c>
      <c r="H9" s="3189" t="str">
        <f>Dateneingabe!F46</f>
        <v>Standardfarbgebung</v>
      </c>
      <c r="I9" s="3190"/>
      <c r="J9" s="3191"/>
      <c r="K9" s="1111" t="str">
        <f>"RAL"&amp;Dateneingabe!H46</f>
        <v>RAL7016</v>
      </c>
    </row>
    <row r="10" spans="1:12" ht="6" customHeight="1" x14ac:dyDescent="0.2">
      <c r="B10" s="3222"/>
      <c r="C10" s="3223"/>
      <c r="D10" s="209"/>
      <c r="E10" s="208"/>
      <c r="F10" s="208"/>
      <c r="G10" s="208"/>
      <c r="H10" s="208"/>
      <c r="J10" s="218"/>
    </row>
    <row r="11" spans="1:12" ht="20.25" customHeight="1" x14ac:dyDescent="0.2">
      <c r="B11" s="3222"/>
      <c r="C11" s="3223"/>
      <c r="D11" s="209"/>
      <c r="E11" s="208"/>
      <c r="F11" s="208"/>
      <c r="G11" s="1105" t="s">
        <v>28539</v>
      </c>
      <c r="H11" s="3189" t="str">
        <f>Dateneingabe!F48</f>
        <v>Standardfarbgebung</v>
      </c>
      <c r="I11" s="3190"/>
      <c r="J11" s="3191"/>
      <c r="K11" s="1111" t="str">
        <f>"RAL"&amp;Dateneingabe!H48</f>
        <v>RAL7016</v>
      </c>
    </row>
    <row r="12" spans="1:12" ht="6" customHeight="1" x14ac:dyDescent="0.2">
      <c r="B12" s="3222"/>
      <c r="C12" s="3223"/>
      <c r="D12" s="209"/>
      <c r="E12" s="208"/>
      <c r="F12" s="208"/>
      <c r="G12" s="208"/>
      <c r="H12" s="208"/>
      <c r="J12" s="218"/>
    </row>
    <row r="13" spans="1:12" ht="20.25" x14ac:dyDescent="0.2">
      <c r="B13" s="3224"/>
      <c r="C13" s="3225"/>
      <c r="D13" s="209" t="s">
        <v>446</v>
      </c>
      <c r="E13" s="3228">
        <f>Dateneingabe!F9</f>
        <v>44622</v>
      </c>
      <c r="F13" s="3229"/>
      <c r="G13" s="425"/>
      <c r="I13" s="217" t="s">
        <v>527</v>
      </c>
      <c r="J13" s="3189" t="str">
        <f>Dateneingabe!F42</f>
        <v>Stahlblech verzinkt</v>
      </c>
      <c r="K13" s="3190"/>
      <c r="L13" s="3191"/>
    </row>
    <row r="14" spans="1:12" ht="6" customHeight="1" x14ac:dyDescent="0.2">
      <c r="B14" s="208"/>
      <c r="C14" s="208"/>
      <c r="D14" s="209"/>
      <c r="E14" s="225"/>
      <c r="F14" s="208"/>
      <c r="G14" s="208"/>
      <c r="H14" s="208"/>
      <c r="I14" s="208"/>
      <c r="J14" s="211"/>
    </row>
    <row r="15" spans="1:12" ht="30" x14ac:dyDescent="0.25">
      <c r="D15" s="209" t="s">
        <v>447</v>
      </c>
      <c r="E15" s="3192" t="str">
        <f>Dateneingabe!F15</f>
        <v>MiWo</v>
      </c>
      <c r="F15" s="3193"/>
      <c r="G15" s="209" t="s">
        <v>448</v>
      </c>
      <c r="H15" s="219">
        <f>Dateneingabe!F13</f>
        <v>44594</v>
      </c>
      <c r="I15" s="1805" t="s">
        <v>29559</v>
      </c>
      <c r="J15" s="3189" t="str">
        <f>Dateneingabe!F66</f>
        <v>ohne</v>
      </c>
      <c r="K15" s="3190"/>
      <c r="L15" s="3191"/>
    </row>
    <row r="16" spans="1:12" ht="6" customHeight="1" x14ac:dyDescent="0.25">
      <c r="B16" s="208"/>
      <c r="C16" s="208"/>
      <c r="D16" s="209"/>
      <c r="E16" s="228"/>
      <c r="F16" s="228"/>
      <c r="G16" s="212"/>
      <c r="H16" s="226"/>
      <c r="I16" s="229"/>
      <c r="J16" s="227"/>
      <c r="L16" s="1803"/>
    </row>
    <row r="17" spans="1:13" ht="36" customHeight="1" x14ac:dyDescent="0.25">
      <c r="B17" s="1475"/>
      <c r="C17" s="1475"/>
      <c r="D17" s="1475"/>
      <c r="E17" s="1475"/>
      <c r="F17" s="1475"/>
      <c r="G17" s="212"/>
      <c r="H17" s="209" t="s">
        <v>454</v>
      </c>
      <c r="I17" s="3230" t="str">
        <f>Dateneingabe!F62</f>
        <v>Deutsch</v>
      </c>
      <c r="J17" s="3231"/>
      <c r="L17" s="1803"/>
    </row>
    <row r="18" spans="1:13" ht="18" customHeight="1" x14ac:dyDescent="0.2">
      <c r="B18" s="1475"/>
      <c r="C18" s="1475"/>
      <c r="D18" s="1475"/>
      <c r="E18" s="1475"/>
      <c r="F18" s="1475"/>
      <c r="G18" s="230"/>
      <c r="H18" s="209" t="s">
        <v>455</v>
      </c>
      <c r="I18" s="3204" t="s">
        <v>691</v>
      </c>
      <c r="J18" s="3205"/>
      <c r="L18" s="1803"/>
    </row>
    <row r="19" spans="1:13" ht="6.75" customHeight="1" x14ac:dyDescent="0.2">
      <c r="B19" s="231"/>
      <c r="C19" s="231"/>
      <c r="D19" s="231"/>
      <c r="E19" s="231"/>
      <c r="F19" s="231"/>
      <c r="G19" s="230"/>
      <c r="H19" s="209"/>
      <c r="I19" s="229"/>
      <c r="J19" s="229"/>
      <c r="L19" s="1803"/>
    </row>
    <row r="20" spans="1:13" ht="29.25" customHeight="1" x14ac:dyDescent="0.2">
      <c r="B20" s="232"/>
      <c r="C20" s="1105" t="s">
        <v>28824</v>
      </c>
      <c r="D20" s="1477">
        <f>'Berechnung &amp; Tabellen'!C56</f>
        <v>0.5</v>
      </c>
      <c r="E20" s="231"/>
      <c r="F20" s="231"/>
      <c r="G20" s="230"/>
      <c r="H20" s="209" t="s">
        <v>456</v>
      </c>
      <c r="I20" s="3204" t="str">
        <f>Dateneingabe!F80</f>
        <v>ja</v>
      </c>
      <c r="J20" s="3205"/>
      <c r="L20" s="1803"/>
    </row>
    <row r="21" spans="1:13" ht="5.25" customHeight="1" thickBot="1" x14ac:dyDescent="0.25">
      <c r="A21" s="214"/>
      <c r="B21" s="214"/>
      <c r="C21" s="214"/>
      <c r="D21" s="214"/>
      <c r="E21" s="214"/>
      <c r="F21" s="214"/>
      <c r="G21" s="214"/>
      <c r="H21" s="214"/>
      <c r="L21" s="1804"/>
      <c r="M21" s="214"/>
    </row>
    <row r="22" spans="1:13" ht="33" customHeight="1" thickBot="1" x14ac:dyDescent="0.25">
      <c r="A22" s="3197" t="s">
        <v>529</v>
      </c>
      <c r="B22" s="3198"/>
      <c r="C22" s="3198"/>
      <c r="D22" s="3198"/>
      <c r="E22" s="3199">
        <f>'Berechnung &amp; Tabellen'!C23</f>
        <v>692</v>
      </c>
      <c r="F22" s="3200"/>
      <c r="G22" s="3201"/>
      <c r="H22" s="3197" t="s">
        <v>457</v>
      </c>
      <c r="I22" s="3198"/>
      <c r="J22" s="3198"/>
      <c r="K22" s="3202" t="s">
        <v>528</v>
      </c>
      <c r="L22" s="3203"/>
      <c r="M22" s="214"/>
    </row>
    <row r="23" spans="1:13" ht="9" customHeight="1" x14ac:dyDescent="0.2">
      <c r="A23" s="3194"/>
      <c r="B23" s="3195"/>
      <c r="C23" s="3195"/>
      <c r="D23" s="3195"/>
      <c r="E23" s="3195"/>
      <c r="F23" s="3195"/>
      <c r="G23" s="3195"/>
      <c r="H23" s="3195"/>
      <c r="I23" s="3195"/>
      <c r="J23" s="3195"/>
      <c r="K23" s="3195"/>
      <c r="L23" s="3196"/>
      <c r="M23" s="214"/>
    </row>
    <row r="24" spans="1:13" ht="27" customHeight="1" x14ac:dyDescent="0.2">
      <c r="A24" s="3172" t="s">
        <v>303</v>
      </c>
      <c r="B24" s="3181"/>
      <c r="C24" s="3181"/>
      <c r="D24" s="3181"/>
      <c r="E24" s="3181"/>
      <c r="F24" s="3181"/>
      <c r="G24" s="3182"/>
      <c r="H24" s="3206" t="s">
        <v>27954</v>
      </c>
      <c r="I24" s="3207"/>
      <c r="J24" s="3207"/>
      <c r="K24" s="3207"/>
      <c r="L24" s="3208"/>
    </row>
    <row r="25" spans="1:13" ht="27" customHeight="1" x14ac:dyDescent="0.2">
      <c r="A25" s="233"/>
      <c r="B25" s="234"/>
      <c r="C25" s="235"/>
      <c r="D25" s="235"/>
      <c r="E25" s="236"/>
      <c r="F25" s="237"/>
      <c r="G25" s="237"/>
      <c r="H25" s="3183"/>
      <c r="I25" s="3184"/>
      <c r="J25" s="3184"/>
      <c r="K25" s="3184"/>
      <c r="L25" s="3185"/>
      <c r="M25" s="241"/>
    </row>
    <row r="26" spans="1:13" ht="27" customHeight="1" x14ac:dyDescent="0.2">
      <c r="A26" s="233"/>
      <c r="B26" s="234"/>
      <c r="C26" s="242"/>
      <c r="D26" s="242"/>
      <c r="E26" s="236"/>
      <c r="F26" s="243"/>
      <c r="G26" s="237"/>
      <c r="H26" s="3183"/>
      <c r="I26" s="3184"/>
      <c r="J26" s="3184"/>
      <c r="K26" s="3184"/>
      <c r="L26" s="3185"/>
      <c r="M26" s="241"/>
    </row>
    <row r="27" spans="1:13" ht="27" customHeight="1" x14ac:dyDescent="0.2">
      <c r="A27" s="233"/>
      <c r="B27" s="3170">
        <f>Liste!D5</f>
        <v>1</v>
      </c>
      <c r="C27" s="235"/>
      <c r="D27" s="426" t="s">
        <v>533</v>
      </c>
      <c r="E27" s="3159">
        <f>Liste!G2*IF($B$27&gt;0,1,0)</f>
        <v>686</v>
      </c>
      <c r="F27" s="3180"/>
      <c r="G27" s="237"/>
      <c r="H27" s="3183"/>
      <c r="I27" s="3184"/>
      <c r="J27" s="3184"/>
      <c r="K27" s="3184"/>
      <c r="L27" s="3185"/>
      <c r="M27" s="241"/>
    </row>
    <row r="28" spans="1:13" ht="27" customHeight="1" x14ac:dyDescent="0.2">
      <c r="A28" s="233"/>
      <c r="B28" s="3171"/>
      <c r="C28" s="242"/>
      <c r="D28" s="428" t="s">
        <v>534</v>
      </c>
      <c r="E28" s="3159">
        <f>Liste!$G$1*IF($B$27&gt;0,1,0)</f>
        <v>1080</v>
      </c>
      <c r="F28" s="3180"/>
      <c r="G28" s="237"/>
      <c r="H28" s="3183" t="str">
        <f>IF('Berechnung &amp; Tabellen'!V163+'Berechnung &amp; Tabellen'!V164=0,"","Verkrallungswinkel mit "&amp;'Berechnung &amp; Tabellen'!W162&amp;" "&amp;'Berechnung &amp; Tabellen'!V162&amp;" mm und "&amp;'Berechnung &amp; Tabellen'!W161&amp;" "&amp;'Berechnung &amp; Tabellen'!V161&amp;" mm")</f>
        <v>Verkrallungswinkel mit Abstand 110 mm und Randabstand 85 mm</v>
      </c>
      <c r="I28" s="3184"/>
      <c r="J28" s="3184"/>
      <c r="K28" s="3184"/>
      <c r="L28" s="3185"/>
      <c r="M28" s="241"/>
    </row>
    <row r="29" spans="1:13" ht="27" customHeight="1" x14ac:dyDescent="0.25">
      <c r="A29" s="233"/>
      <c r="B29" s="234"/>
      <c r="C29" s="244"/>
      <c r="D29" s="427" t="s">
        <v>535</v>
      </c>
      <c r="E29" s="3159" t="str">
        <f>IF(B27&gt;0,IF(Liste!$D$95+Liste!$D$97=0,"Sonder oder ohne",Liste!$D$95+Liste!$D$97+Liste!$D$99&amp;" x "&amp;Liste!$F$95&amp;" mm"),0)</f>
        <v>5 x 80 mm</v>
      </c>
      <c r="F29" s="3180"/>
      <c r="G29" s="237"/>
      <c r="H29" s="3183" t="str">
        <f>IF(Liste!A34&gt;0,IF(H34=1,"1 Andockprofil Position mittig  ("&amp;('Berechnung &amp; Tabellen'!C25-390)/2&amp;"mm von Außenkante Element bis Außenkante Andockprofil)","2 Andockprofile im Abstand von 1180mm über die Mitte ("&amp;('Berechnung &amp; Tabellen'!G159)&amp;"mm von Außenkante Element bis Außenkante Andockprofil)"),"")</f>
        <v>1 Andockprofil Position mittig  (345mm von Außenkante Element bis Außenkante Andockprofil)</v>
      </c>
      <c r="I29" s="3184"/>
      <c r="J29" s="3184"/>
      <c r="K29" s="3184"/>
      <c r="L29" s="3185"/>
      <c r="M29" s="241"/>
    </row>
    <row r="30" spans="1:13" ht="27" customHeight="1" x14ac:dyDescent="0.2">
      <c r="A30" s="233"/>
      <c r="B30" s="245"/>
      <c r="C30" s="246"/>
      <c r="D30" s="427"/>
      <c r="E30" s="1086"/>
      <c r="F30" s="1086"/>
      <c r="G30" s="430"/>
      <c r="H30" s="3183"/>
      <c r="I30" s="3184"/>
      <c r="J30" s="3184"/>
      <c r="K30" s="3184"/>
      <c r="L30" s="3185"/>
      <c r="M30" s="241"/>
    </row>
    <row r="31" spans="1:13" ht="27" customHeight="1" x14ac:dyDescent="0.2">
      <c r="A31" s="233"/>
      <c r="B31" s="245"/>
      <c r="C31" s="247"/>
      <c r="D31" s="242"/>
      <c r="E31" s="236"/>
      <c r="F31" s="237"/>
      <c r="G31" s="237"/>
      <c r="H31" s="3183"/>
      <c r="I31" s="3184"/>
      <c r="J31" s="3184"/>
      <c r="K31" s="3184"/>
      <c r="L31" s="3185"/>
      <c r="M31" s="241"/>
    </row>
    <row r="32" spans="1:13" ht="27" customHeight="1" x14ac:dyDescent="0.2">
      <c r="A32" s="3172" t="s">
        <v>530</v>
      </c>
      <c r="B32" s="3181"/>
      <c r="C32" s="3181"/>
      <c r="D32" s="3181"/>
      <c r="E32" s="3181"/>
      <c r="F32" s="3181"/>
      <c r="G32" s="3182"/>
      <c r="H32" s="3183" t="str">
        <f>"Anschlag auf "&amp;(Liste!G1/2)&amp;" mm von der Gestellmitte"</f>
        <v>Anschlag auf 540 mm von der Gestellmitte</v>
      </c>
      <c r="I32" s="3184"/>
      <c r="J32" s="3184"/>
      <c r="K32" s="3184"/>
      <c r="L32" s="3185"/>
    </row>
    <row r="33" spans="1:13" ht="27" customHeight="1" x14ac:dyDescent="0.2">
      <c r="A33" s="233"/>
      <c r="B33" s="234"/>
      <c r="C33" s="235"/>
      <c r="D33" s="235"/>
      <c r="E33" s="236"/>
      <c r="F33" s="237"/>
      <c r="G33" s="237"/>
      <c r="H33" s="3186"/>
      <c r="I33" s="3187"/>
      <c r="J33" s="3187"/>
      <c r="K33" s="3187"/>
      <c r="L33" s="3188"/>
      <c r="M33" s="241"/>
    </row>
    <row r="34" spans="1:13" ht="27" customHeight="1" x14ac:dyDescent="0.2">
      <c r="A34" s="233"/>
      <c r="B34" s="234"/>
      <c r="C34" s="242"/>
      <c r="D34" s="242"/>
      <c r="E34" s="236"/>
      <c r="F34" s="243"/>
      <c r="G34" s="237"/>
      <c r="H34" s="1087">
        <f>Liste!A34</f>
        <v>1</v>
      </c>
      <c r="I34" s="1087" t="str">
        <f>Liste!C34</f>
        <v>0308132</v>
      </c>
      <c r="J34" s="3156" t="str">
        <f>Liste!B34</f>
        <v>Gurtanbindung Andockprofil GCC vertikal verzinkt</v>
      </c>
      <c r="K34" s="3157"/>
      <c r="L34" s="3158"/>
      <c r="M34" s="241"/>
    </row>
    <row r="35" spans="1:13" ht="27" customHeight="1" x14ac:dyDescent="0.2">
      <c r="A35" s="233"/>
      <c r="B35" s="3170">
        <f>Liste!D65</f>
        <v>0</v>
      </c>
      <c r="C35" s="235"/>
      <c r="D35" s="428" t="s">
        <v>534</v>
      </c>
      <c r="E35" s="3175">
        <f>Liste!$G$1*IF($B$35&gt;0,1,0)</f>
        <v>0</v>
      </c>
      <c r="F35" s="3175"/>
      <c r="G35" s="237"/>
      <c r="H35" s="1087">
        <f>Liste!A43</f>
        <v>1</v>
      </c>
      <c r="I35" s="1087" t="str">
        <f>Liste!C43</f>
        <v>0308066</v>
      </c>
      <c r="J35" s="3156" t="str">
        <f>Liste!B43</f>
        <v>GCC vertikal Gurtanbindung 2x  35mm Gurt verzinkt</v>
      </c>
      <c r="K35" s="3157"/>
      <c r="L35" s="3158"/>
      <c r="M35" s="241"/>
    </row>
    <row r="36" spans="1:13" ht="27" customHeight="1" x14ac:dyDescent="0.2">
      <c r="A36" s="233"/>
      <c r="B36" s="3171"/>
      <c r="C36" s="242"/>
      <c r="D36" s="242"/>
      <c r="E36" s="429"/>
      <c r="F36" s="430"/>
      <c r="G36" s="430"/>
      <c r="H36" s="1087">
        <f>Liste!A49</f>
        <v>2</v>
      </c>
      <c r="I36" s="1087" t="str">
        <f>Liste!C49</f>
        <v>0308151</v>
      </c>
      <c r="J36" s="3156" t="str">
        <f>Liste!B49</f>
        <v>GCC vertikal Verkrallungsprofil Schieber 150mm verzinkt</v>
      </c>
      <c r="K36" s="3157"/>
      <c r="L36" s="3158"/>
      <c r="M36" s="241"/>
    </row>
    <row r="37" spans="1:13" ht="27" customHeight="1" x14ac:dyDescent="0.2">
      <c r="A37" s="233"/>
      <c r="B37" s="248"/>
      <c r="C37" s="235"/>
      <c r="D37" s="235"/>
      <c r="E37" s="236"/>
      <c r="F37" s="237"/>
      <c r="G37" s="237"/>
      <c r="H37" s="1087">
        <f>Liste!A46</f>
        <v>0</v>
      </c>
      <c r="I37" s="1087">
        <f>Liste!C46</f>
        <v>0</v>
      </c>
      <c r="J37" s="3156">
        <f>Liste!B46</f>
        <v>0</v>
      </c>
      <c r="K37" s="3157"/>
      <c r="L37" s="3158"/>
      <c r="M37" s="241"/>
    </row>
    <row r="38" spans="1:13" ht="27" customHeight="1" x14ac:dyDescent="0.2">
      <c r="A38" s="233"/>
      <c r="B38" s="249"/>
      <c r="C38" s="250"/>
      <c r="D38" s="242"/>
      <c r="H38" s="238"/>
      <c r="I38" s="239"/>
      <c r="J38" s="3167"/>
      <c r="K38" s="3168"/>
      <c r="L38" s="3169"/>
      <c r="M38" s="241"/>
    </row>
    <row r="39" spans="1:13" ht="27" customHeight="1" x14ac:dyDescent="0.2">
      <c r="A39" s="233"/>
      <c r="B39" s="249"/>
      <c r="C39" s="250">
        <f>IF($B$37&gt;0,"Wolle Gipsfüllung: "&amp;1340&amp;"mm",0)</f>
        <v>0</v>
      </c>
      <c r="D39" s="235"/>
      <c r="E39" s="236"/>
      <c r="F39" s="237"/>
      <c r="G39" s="237"/>
      <c r="H39" s="238"/>
      <c r="I39" s="239"/>
      <c r="J39" s="3167"/>
      <c r="K39" s="3168"/>
      <c r="L39" s="3169"/>
      <c r="M39" s="241"/>
    </row>
    <row r="40" spans="1:13" ht="27" customHeight="1" x14ac:dyDescent="0.35">
      <c r="A40" s="3172" t="s">
        <v>531</v>
      </c>
      <c r="B40" s="3173"/>
      <c r="C40" s="3173"/>
      <c r="D40" s="3173"/>
      <c r="E40" s="3173"/>
      <c r="F40" s="3173"/>
      <c r="G40" s="3173"/>
      <c r="H40" s="3173"/>
      <c r="I40" s="3173"/>
      <c r="J40" s="3173"/>
      <c r="K40" s="3173"/>
      <c r="L40" s="3174"/>
    </row>
    <row r="41" spans="1:13" ht="27" customHeight="1" x14ac:dyDescent="0.2">
      <c r="A41" s="233"/>
      <c r="B41" s="234"/>
      <c r="C41" s="235"/>
      <c r="D41" s="235"/>
      <c r="E41" s="236"/>
      <c r="F41" s="237"/>
      <c r="G41" s="237"/>
      <c r="H41" s="238"/>
      <c r="I41" s="239"/>
      <c r="J41" s="3167"/>
      <c r="K41" s="3168"/>
      <c r="L41" s="3169"/>
      <c r="M41" s="241"/>
    </row>
    <row r="42" spans="1:13" ht="27" customHeight="1" x14ac:dyDescent="0.2">
      <c r="A42" s="233"/>
      <c r="B42" s="234"/>
      <c r="C42" s="242"/>
      <c r="D42" s="242"/>
      <c r="E42" s="236"/>
      <c r="F42" s="243"/>
      <c r="G42" s="237"/>
      <c r="H42" s="238"/>
      <c r="I42" s="239"/>
      <c r="J42" s="3167"/>
      <c r="K42" s="3168"/>
      <c r="L42" s="3169"/>
      <c r="M42" s="241"/>
    </row>
    <row r="43" spans="1:13" ht="27" customHeight="1" x14ac:dyDescent="0.2">
      <c r="A43" s="233"/>
      <c r="B43" s="3170">
        <f>Liste!D50</f>
        <v>0</v>
      </c>
      <c r="C43" s="235"/>
      <c r="D43" s="428" t="s">
        <v>534</v>
      </c>
      <c r="E43" s="3175">
        <f>Liste!$G$1*IF($B$43&gt;0,1,0)</f>
        <v>0</v>
      </c>
      <c r="F43" s="3175"/>
      <c r="G43" s="237"/>
      <c r="H43" s="238"/>
      <c r="I43" s="239"/>
      <c r="J43" s="3167"/>
      <c r="K43" s="3168"/>
      <c r="L43" s="3169"/>
      <c r="M43" s="241"/>
    </row>
    <row r="44" spans="1:13" ht="27" customHeight="1" x14ac:dyDescent="0.2">
      <c r="A44" s="233"/>
      <c r="B44" s="3171"/>
      <c r="C44" s="242"/>
      <c r="D44" s="242"/>
      <c r="E44" s="429"/>
      <c r="F44" s="430"/>
      <c r="G44" s="430"/>
      <c r="H44" s="238"/>
      <c r="I44" s="239"/>
      <c r="J44" s="3167"/>
      <c r="K44" s="3168"/>
      <c r="L44" s="3169"/>
      <c r="M44" s="241"/>
    </row>
    <row r="45" spans="1:13" ht="27" customHeight="1" x14ac:dyDescent="0.2">
      <c r="A45" s="233"/>
      <c r="B45" s="248"/>
      <c r="C45" s="235"/>
      <c r="D45" s="235"/>
      <c r="E45" s="236"/>
      <c r="F45" s="237"/>
      <c r="G45" s="237"/>
      <c r="H45" s="238"/>
      <c r="I45" s="239"/>
      <c r="J45" s="3167"/>
      <c r="K45" s="3168"/>
      <c r="L45" s="3169"/>
      <c r="M45" s="241"/>
    </row>
    <row r="46" spans="1:13" ht="27" customHeight="1" x14ac:dyDescent="0.2">
      <c r="A46" s="233"/>
      <c r="B46" s="249"/>
      <c r="C46" s="250"/>
      <c r="D46" s="242"/>
      <c r="H46" s="238"/>
      <c r="I46" s="239"/>
      <c r="J46" s="3167"/>
      <c r="K46" s="3168"/>
      <c r="L46" s="3169"/>
      <c r="M46" s="241"/>
    </row>
    <row r="47" spans="1:13" ht="27" customHeight="1" x14ac:dyDescent="0.2">
      <c r="A47" s="233"/>
      <c r="B47" s="249"/>
      <c r="C47" s="250"/>
      <c r="D47" s="235"/>
      <c r="E47" s="236"/>
      <c r="F47" s="237"/>
      <c r="G47" s="237"/>
      <c r="H47" s="238"/>
      <c r="I47" s="239"/>
      <c r="J47" s="3167"/>
      <c r="K47" s="3168"/>
      <c r="L47" s="3169"/>
      <c r="M47" s="241"/>
    </row>
    <row r="48" spans="1:13" ht="27" customHeight="1" x14ac:dyDescent="0.35">
      <c r="A48" s="3172" t="s">
        <v>532</v>
      </c>
      <c r="B48" s="3173"/>
      <c r="C48" s="3173"/>
      <c r="D48" s="3173"/>
      <c r="E48" s="3173"/>
      <c r="F48" s="3173"/>
      <c r="G48" s="3173"/>
      <c r="H48" s="3173"/>
      <c r="I48" s="3173"/>
      <c r="J48" s="3173"/>
      <c r="K48" s="3173"/>
      <c r="L48" s="3174"/>
    </row>
    <row r="49" spans="1:13" ht="27" customHeight="1" x14ac:dyDescent="0.2">
      <c r="A49" s="233"/>
      <c r="B49" s="234"/>
      <c r="C49" s="235"/>
      <c r="D49" s="235"/>
      <c r="E49" s="236"/>
      <c r="F49" s="237"/>
      <c r="G49" s="3178" t="s">
        <v>29560</v>
      </c>
      <c r="H49" s="3178"/>
      <c r="I49" s="3178"/>
      <c r="J49" s="3178"/>
      <c r="K49" s="3178"/>
      <c r="L49" s="3179"/>
      <c r="M49" s="241"/>
    </row>
    <row r="50" spans="1:13" ht="27" customHeight="1" x14ac:dyDescent="0.2">
      <c r="A50" s="233"/>
      <c r="B50" s="234"/>
      <c r="C50" s="242"/>
      <c r="D50" s="242"/>
      <c r="E50" s="236"/>
      <c r="F50" s="243"/>
      <c r="G50" s="1790"/>
      <c r="H50" s="1790" t="s">
        <v>29558</v>
      </c>
      <c r="I50" s="240" t="s">
        <v>29555</v>
      </c>
      <c r="J50" s="3162" t="s">
        <v>28184</v>
      </c>
      <c r="K50" s="3162"/>
      <c r="L50" s="1800"/>
      <c r="M50" s="241"/>
    </row>
    <row r="51" spans="1:13" ht="27" customHeight="1" x14ac:dyDescent="0.2">
      <c r="A51" s="233"/>
      <c r="B51" s="3170">
        <f>Liste!D86</f>
        <v>0</v>
      </c>
      <c r="C51" s="235"/>
      <c r="D51" s="426" t="s">
        <v>536</v>
      </c>
      <c r="E51" s="3159">
        <f>Liste!F87*IF($B$51&gt;0,1,0)</f>
        <v>0</v>
      </c>
      <c r="F51" s="3160"/>
      <c r="G51" s="1791"/>
      <c r="H51" s="1794">
        <f>'Siko Tapeswitch'!$L$17</f>
        <v>920</v>
      </c>
      <c r="I51" s="1811">
        <f>Liste!C149</f>
        <v>0</v>
      </c>
      <c r="J51" s="3165" t="s">
        <v>29556</v>
      </c>
      <c r="K51" s="3166"/>
      <c r="L51" s="1801"/>
      <c r="M51" s="241"/>
    </row>
    <row r="52" spans="1:13" ht="30.75" customHeight="1" x14ac:dyDescent="0.2">
      <c r="A52" s="233"/>
      <c r="B52" s="3171"/>
      <c r="C52" s="242"/>
      <c r="D52" s="428" t="s">
        <v>534</v>
      </c>
      <c r="E52" s="3175">
        <f>Liste!$G$1*IF($B$51&gt;0,1,0)</f>
        <v>0</v>
      </c>
      <c r="F52" s="3159"/>
      <c r="G52" s="1791"/>
      <c r="H52" s="1794">
        <f>'Siko Tapeswitch'!$L$17</f>
        <v>920</v>
      </c>
      <c r="I52" s="1795" t="str">
        <f>Liste!C158</f>
        <v>0338380</v>
      </c>
      <c r="J52" s="3176" t="s">
        <v>29557</v>
      </c>
      <c r="K52" s="3177"/>
      <c r="L52" s="1801"/>
      <c r="M52" s="241"/>
    </row>
    <row r="53" spans="1:13" ht="27" customHeight="1" x14ac:dyDescent="0.2">
      <c r="A53" s="233"/>
      <c r="B53" s="248"/>
      <c r="C53" s="235"/>
      <c r="D53" s="427" t="s">
        <v>535</v>
      </c>
      <c r="E53" s="3159">
        <f>IF(B51&gt;0,IF(Liste!$D$95+Liste!$D$97=0,"Sonder oder ohne",Liste!$D$95+Liste!$D$97+Liste!$D$99&amp;" x "&amp;Liste!$F$95&amp;" mm"),0)</f>
        <v>0</v>
      </c>
      <c r="F53" s="3160"/>
      <c r="G53" s="1792"/>
      <c r="H53" s="1802">
        <f>Liste!A162</f>
        <v>0</v>
      </c>
      <c r="I53" s="1795" t="str">
        <f>Liste!C161</f>
        <v>0338021</v>
      </c>
      <c r="J53" s="3165">
        <f>Liste!B162</f>
        <v>0</v>
      </c>
      <c r="K53" s="3166"/>
      <c r="L53" s="1801"/>
      <c r="M53" s="241"/>
    </row>
    <row r="54" spans="1:13" ht="27" customHeight="1" x14ac:dyDescent="0.2">
      <c r="A54" s="233"/>
      <c r="B54" s="234" t="str">
        <f>IF(Dateneingabe!H184=1,"Achtung: Intumatversiegelung für Promaseal","")</f>
        <v/>
      </c>
      <c r="C54" s="250"/>
      <c r="D54" s="427"/>
      <c r="E54" s="3161"/>
      <c r="F54" s="3161"/>
      <c r="G54" s="1793"/>
      <c r="H54" s="1802">
        <f>Liste!D146</f>
        <v>0</v>
      </c>
      <c r="I54" s="1795" t="str">
        <f>Liste!C146</f>
        <v>0306133</v>
      </c>
      <c r="J54" s="3165" t="s">
        <v>29535</v>
      </c>
      <c r="K54" s="3166"/>
      <c r="L54" s="1801"/>
      <c r="M54" s="241"/>
    </row>
    <row r="55" spans="1:13" ht="27" customHeight="1" x14ac:dyDescent="0.2">
      <c r="A55" s="251"/>
      <c r="B55" s="252"/>
      <c r="C55" s="253"/>
      <c r="D55" s="254"/>
      <c r="E55" s="255"/>
      <c r="F55" s="256"/>
      <c r="G55" s="256"/>
      <c r="H55" s="257"/>
      <c r="I55" s="258"/>
      <c r="J55" s="3162"/>
      <c r="K55" s="3163"/>
      <c r="L55" s="3164"/>
      <c r="M55" s="241"/>
    </row>
  </sheetData>
  <mergeCells count="64">
    <mergeCell ref="H11:J11"/>
    <mergeCell ref="H29:L31"/>
    <mergeCell ref="A24:G24"/>
    <mergeCell ref="A1:L1"/>
    <mergeCell ref="E3:G3"/>
    <mergeCell ref="E5:F5"/>
    <mergeCell ref="I8:K8"/>
    <mergeCell ref="E7:L7"/>
    <mergeCell ref="H9:J9"/>
    <mergeCell ref="J15:L15"/>
    <mergeCell ref="B7:C13"/>
    <mergeCell ref="B5:C5"/>
    <mergeCell ref="E13:F13"/>
    <mergeCell ref="I17:J17"/>
    <mergeCell ref="I18:J18"/>
    <mergeCell ref="B27:B28"/>
    <mergeCell ref="E27:F27"/>
    <mergeCell ref="E28:F28"/>
    <mergeCell ref="J13:L13"/>
    <mergeCell ref="E15:F15"/>
    <mergeCell ref="A23:L23"/>
    <mergeCell ref="A22:D22"/>
    <mergeCell ref="E22:G22"/>
    <mergeCell ref="H22:J22"/>
    <mergeCell ref="K22:L22"/>
    <mergeCell ref="I20:J20"/>
    <mergeCell ref="H24:L25"/>
    <mergeCell ref="H26:L26"/>
    <mergeCell ref="H27:L27"/>
    <mergeCell ref="H28:L28"/>
    <mergeCell ref="E29:F29"/>
    <mergeCell ref="J47:L47"/>
    <mergeCell ref="J38:L38"/>
    <mergeCell ref="E35:F35"/>
    <mergeCell ref="J34:L34"/>
    <mergeCell ref="E43:F43"/>
    <mergeCell ref="J45:L45"/>
    <mergeCell ref="A32:G32"/>
    <mergeCell ref="B35:B36"/>
    <mergeCell ref="J44:L44"/>
    <mergeCell ref="H32:L33"/>
    <mergeCell ref="J35:L35"/>
    <mergeCell ref="J46:L46"/>
    <mergeCell ref="J39:L39"/>
    <mergeCell ref="A40:L40"/>
    <mergeCell ref="J41:L41"/>
    <mergeCell ref="J55:L55"/>
    <mergeCell ref="J53:K53"/>
    <mergeCell ref="J54:K54"/>
    <mergeCell ref="J42:L42"/>
    <mergeCell ref="B43:B44"/>
    <mergeCell ref="J43:L43"/>
    <mergeCell ref="A48:L48"/>
    <mergeCell ref="B51:B52"/>
    <mergeCell ref="E52:F52"/>
    <mergeCell ref="J50:K50"/>
    <mergeCell ref="J51:K51"/>
    <mergeCell ref="J52:K52"/>
    <mergeCell ref="G49:L49"/>
    <mergeCell ref="J36:L36"/>
    <mergeCell ref="J37:L37"/>
    <mergeCell ref="E53:F53"/>
    <mergeCell ref="E51:F51"/>
    <mergeCell ref="E54:F54"/>
  </mergeCells>
  <phoneticPr fontId="76" type="noConversion"/>
  <conditionalFormatting sqref="J21:J23 G1:L6 A1:A1048576 B1:B7 C1:F4 E39:G42 B21:G23 K14:L14 J13:J14 B36:D42 B35:C35 E36:G37 G35 B44:D50 B43:C43 E44:G45 G43 B31:G31 G27:G30 B27:D30 B51:C54 F8:F12 D7:E13 C6:F6 D5:E5 C16:F16 B16:B17 B14:F15 B25:G26 B33:G34 M1:IV8 M10:IV65536 N9:IV9 K9 G8:L8 H10:L10 G9:G10 G12:G14 H12 J12:L12 L11 H38:L48 B55:L65536 I50:J53 L50:L54 G51:H52 K16:L23 G16:G17 H14 I12:I14 H16:I23 G15:H15 J16 E47:G50">
    <cfRule type="cellIs" dxfId="843" priority="25" stopIfTrue="1" operator="equal">
      <formula>0</formula>
    </cfRule>
  </conditionalFormatting>
  <conditionalFormatting sqref="E54">
    <cfRule type="cellIs" dxfId="842" priority="12" stopIfTrue="1" operator="equal">
      <formula>0</formula>
    </cfRule>
  </conditionalFormatting>
  <conditionalFormatting sqref="D35">
    <cfRule type="cellIs" dxfId="841" priority="24" stopIfTrue="1" operator="equal">
      <formula>0</formula>
    </cfRule>
  </conditionalFormatting>
  <conditionalFormatting sqref="D43:E43">
    <cfRule type="cellIs" dxfId="840" priority="23" stopIfTrue="1" operator="equal">
      <formula>0</formula>
    </cfRule>
  </conditionalFormatting>
  <conditionalFormatting sqref="D51:D53">
    <cfRule type="cellIs" dxfId="839" priority="22" stopIfTrue="1" operator="equal">
      <formula>0</formula>
    </cfRule>
  </conditionalFormatting>
  <conditionalFormatting sqref="E35">
    <cfRule type="cellIs" dxfId="838" priority="20" stopIfTrue="1" operator="equal">
      <formula>0</formula>
    </cfRule>
  </conditionalFormatting>
  <conditionalFormatting sqref="E28">
    <cfRule type="cellIs" dxfId="837" priority="19" stopIfTrue="1" operator="equal">
      <formula>0</formula>
    </cfRule>
  </conditionalFormatting>
  <conditionalFormatting sqref="E52">
    <cfRule type="cellIs" dxfId="836" priority="18" stopIfTrue="1" operator="equal">
      <formula>0</formula>
    </cfRule>
  </conditionalFormatting>
  <conditionalFormatting sqref="E27">
    <cfRule type="cellIs" dxfId="835" priority="17" stopIfTrue="1" operator="equal">
      <formula>0</formula>
    </cfRule>
  </conditionalFormatting>
  <conditionalFormatting sqref="E29:E30">
    <cfRule type="cellIs" dxfId="834" priority="16" stopIfTrue="1" operator="equal">
      <formula>0</formula>
    </cfRule>
  </conditionalFormatting>
  <conditionalFormatting sqref="E53">
    <cfRule type="cellIs" dxfId="833" priority="15" stopIfTrue="1" operator="equal">
      <formula>0</formula>
    </cfRule>
  </conditionalFormatting>
  <conditionalFormatting sqref="E51">
    <cfRule type="cellIs" dxfId="832" priority="14" stopIfTrue="1" operator="equal">
      <formula>0</formula>
    </cfRule>
  </conditionalFormatting>
  <conditionalFormatting sqref="D54">
    <cfRule type="cellIs" dxfId="831" priority="13" stopIfTrue="1" operator="equal">
      <formula>0</formula>
    </cfRule>
  </conditionalFormatting>
  <conditionalFormatting sqref="H24 H34:J35">
    <cfRule type="cellIs" dxfId="830" priority="11" stopIfTrue="1" operator="equal">
      <formula>0</formula>
    </cfRule>
  </conditionalFormatting>
  <conditionalFormatting sqref="K11 G11">
    <cfRule type="cellIs" dxfId="829" priority="9" stopIfTrue="1" operator="equal">
      <formula>0</formula>
    </cfRule>
  </conditionalFormatting>
  <conditionalFormatting sqref="H50">
    <cfRule type="cellIs" dxfId="828" priority="8" stopIfTrue="1" operator="equal">
      <formula>0</formula>
    </cfRule>
  </conditionalFormatting>
  <conditionalFormatting sqref="H53">
    <cfRule type="cellIs" dxfId="827" priority="7" stopIfTrue="1" operator="equal">
      <formula>0</formula>
    </cfRule>
  </conditionalFormatting>
  <conditionalFormatting sqref="I54:J54">
    <cfRule type="cellIs" dxfId="826" priority="6" stopIfTrue="1" operator="equal">
      <formula>0</formula>
    </cfRule>
  </conditionalFormatting>
  <conditionalFormatting sqref="H54">
    <cfRule type="cellIs" dxfId="825" priority="5" stopIfTrue="1" operator="equal">
      <formula>0</formula>
    </cfRule>
  </conditionalFormatting>
  <conditionalFormatting sqref="J15">
    <cfRule type="cellIs" dxfId="824" priority="2" stopIfTrue="1" operator="equal">
      <formula>0</formula>
    </cfRule>
  </conditionalFormatting>
  <conditionalFormatting sqref="H36:J37">
    <cfRule type="cellIs" dxfId="823" priority="1" stopIfTrue="1" operator="equal">
      <formula>0</formula>
    </cfRule>
  </conditionalFormatting>
  <pageMargins left="0.56000000000000005" right="0.36" top="0.75" bottom="0.76" header="0.4921259845" footer="0.4921259845"/>
  <pageSetup paperSize="9" scale="47" orientation="portrait" horizontalDpi="1200" verticalDpi="1200" r:id="rId1"/>
  <headerFooter alignWithMargins="0"/>
  <ignoredErrors>
    <ignoredError sqref="H3" unlockedFormula="1"/>
  </ignoredErrors>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Tabelle24">
    <tabColor indexed="50"/>
    <pageSetUpPr fitToPage="1"/>
  </sheetPr>
  <dimension ref="B1:K66"/>
  <sheetViews>
    <sheetView showGridLines="0" view="pageBreakPreview" zoomScale="55" zoomScaleNormal="75" zoomScaleSheetLayoutView="55" workbookViewId="0">
      <selection activeCell="C30" sqref="C30"/>
    </sheetView>
  </sheetViews>
  <sheetFormatPr baseColWidth="10" defaultColWidth="11.42578125" defaultRowHeight="12.75" x14ac:dyDescent="0.2"/>
  <cols>
    <col min="1" max="1" width="1.5703125" style="1881" customWidth="1"/>
    <col min="2" max="2" width="11.85546875" style="1881" bestFit="1" customWidth="1"/>
    <col min="3" max="3" width="23.7109375" style="1881" customWidth="1"/>
    <col min="4" max="4" width="17.28515625" style="1881" customWidth="1"/>
    <col min="5" max="5" width="14.140625" style="1881" customWidth="1"/>
    <col min="6" max="6" width="17.42578125" style="1881" bestFit="1" customWidth="1"/>
    <col min="7" max="7" width="29.7109375" style="1881" customWidth="1"/>
    <col min="8" max="8" width="19.85546875" style="1881" customWidth="1"/>
    <col min="9" max="9" width="22.7109375" style="1881" customWidth="1"/>
    <col min="10" max="10" width="14.140625" style="1881" customWidth="1"/>
    <col min="11" max="11" width="4.42578125" style="1881" customWidth="1"/>
    <col min="12" max="12" width="1.42578125" style="1881" customWidth="1"/>
    <col min="13" max="13" width="11.42578125" style="1881"/>
    <col min="14" max="14" width="14.28515625" style="1881" customWidth="1"/>
    <col min="15" max="16384" width="11.42578125" style="1881"/>
  </cols>
  <sheetData>
    <row r="1" spans="2:11" ht="43.5" customHeight="1" x14ac:dyDescent="0.25">
      <c r="B1" s="3238" t="str">
        <f>Dateneingabe!F1&amp;" "&amp;Dateneingabe!I1</f>
        <v>Ausschreibung GCC vertikal Rev. 0563b</v>
      </c>
      <c r="C1" s="3238"/>
      <c r="D1" s="3238"/>
      <c r="E1" s="3238"/>
      <c r="F1" s="3238"/>
      <c r="G1" s="3238"/>
      <c r="H1" s="3238"/>
      <c r="I1" s="3239"/>
      <c r="J1" s="3239"/>
      <c r="K1" s="3239"/>
    </row>
    <row r="2" spans="2:11" ht="18" x14ac:dyDescent="0.2">
      <c r="B2" s="2026"/>
      <c r="C2" s="2026"/>
      <c r="D2" s="2027" t="s">
        <v>30317</v>
      </c>
      <c r="E2" s="2026"/>
      <c r="F2" s="2026"/>
      <c r="G2" s="2026"/>
      <c r="H2" s="2026"/>
    </row>
    <row r="3" spans="2:11" ht="18" x14ac:dyDescent="0.2">
      <c r="C3" s="1143" t="s">
        <v>438</v>
      </c>
      <c r="D3" s="3240" t="str">
        <f>Dateneingabe!F3</f>
        <v>05217112</v>
      </c>
      <c r="E3" s="3241"/>
      <c r="F3" s="3241"/>
      <c r="G3" s="2028" t="str">
        <f>"-"&amp;Dateneingabe!H3</f>
        <v>-200</v>
      </c>
      <c r="H3" s="2009"/>
      <c r="I3" s="2029"/>
    </row>
    <row r="4" spans="2:11" ht="3.2" customHeight="1" x14ac:dyDescent="0.2">
      <c r="C4" s="1143"/>
      <c r="D4" s="2009"/>
      <c r="E4" s="2009"/>
      <c r="F4" s="2009"/>
      <c r="G4" s="2009"/>
      <c r="H4" s="2009"/>
      <c r="I4" s="2029"/>
    </row>
    <row r="5" spans="2:11" ht="18" x14ac:dyDescent="0.25">
      <c r="C5" s="1143" t="s">
        <v>440</v>
      </c>
      <c r="D5" s="3242" t="str">
        <f>Dateneingabe!F5</f>
        <v>5101.002095</v>
      </c>
      <c r="E5" s="3243"/>
      <c r="F5" s="2030"/>
      <c r="G5" s="1525" t="s">
        <v>441</v>
      </c>
      <c r="H5" s="2052" t="str">
        <f>Dateneingabe!H3</f>
        <v>200</v>
      </c>
    </row>
    <row r="6" spans="2:11" ht="3.2" customHeight="1" x14ac:dyDescent="0.2">
      <c r="C6" s="1143"/>
      <c r="D6" s="2009"/>
      <c r="E6" s="2009"/>
      <c r="F6" s="2009"/>
      <c r="G6" s="2009"/>
      <c r="H6" s="2009"/>
      <c r="I6" s="2029"/>
    </row>
    <row r="7" spans="2:11" ht="18" customHeight="1" x14ac:dyDescent="0.25">
      <c r="C7" s="1143" t="s">
        <v>443</v>
      </c>
      <c r="D7" s="3244" t="str">
        <f>Dateneingabe!F17&amp;" / "&amp;Dateneingabe!F19</f>
        <v>Element Logic Germany GmbH / Emil Lux GmbH</v>
      </c>
      <c r="E7" s="3245"/>
      <c r="F7" s="3245"/>
      <c r="G7" s="3245"/>
      <c r="H7" s="3245"/>
      <c r="I7" s="3245"/>
      <c r="J7" s="3245"/>
      <c r="K7" s="3246"/>
    </row>
    <row r="8" spans="2:11" ht="3.2" customHeight="1" x14ac:dyDescent="0.2">
      <c r="C8" s="1143"/>
      <c r="D8" s="2009"/>
      <c r="E8" s="2009"/>
      <c r="F8" s="2009"/>
      <c r="G8" s="2009"/>
      <c r="H8" s="3247"/>
      <c r="I8" s="3248"/>
      <c r="J8" s="3248"/>
    </row>
    <row r="9" spans="2:11" ht="18" x14ac:dyDescent="0.2">
      <c r="C9" s="1143" t="s">
        <v>444</v>
      </c>
      <c r="D9" s="2031">
        <f>Dateneingabe!F7</f>
        <v>1</v>
      </c>
      <c r="E9" s="2032"/>
      <c r="F9" s="1851"/>
      <c r="G9" s="1851"/>
      <c r="H9" s="1851"/>
      <c r="I9" s="1851"/>
      <c r="J9" s="2032"/>
      <c r="K9" s="2032"/>
    </row>
    <row r="10" spans="2:11" ht="3.2" customHeight="1" x14ac:dyDescent="0.2">
      <c r="C10" s="1143"/>
      <c r="D10" s="2009"/>
      <c r="E10" s="2032"/>
      <c r="F10" s="2032"/>
      <c r="G10" s="2009"/>
      <c r="I10" s="1876"/>
    </row>
    <row r="11" spans="2:11" ht="18" x14ac:dyDescent="0.2">
      <c r="C11" s="1143" t="s">
        <v>446</v>
      </c>
      <c r="D11" s="3249">
        <v>0</v>
      </c>
      <c r="E11" s="3250"/>
      <c r="F11" s="2033"/>
      <c r="G11" s="2034"/>
      <c r="H11" s="1851"/>
      <c r="I11" s="1851"/>
      <c r="J11" s="1851"/>
      <c r="K11" s="1851"/>
    </row>
    <row r="12" spans="2:11" ht="3.2" customHeight="1" x14ac:dyDescent="0.2">
      <c r="C12" s="1143"/>
      <c r="D12" s="2035"/>
      <c r="E12" s="2009"/>
      <c r="F12" s="2009"/>
      <c r="G12" s="2009"/>
      <c r="H12" s="2009"/>
      <c r="I12" s="2029"/>
    </row>
    <row r="13" spans="2:11" ht="18" x14ac:dyDescent="0.25">
      <c r="C13" s="1143" t="s">
        <v>447</v>
      </c>
      <c r="D13" s="3251" t="str">
        <f>Dateneingabe!F15</f>
        <v>MiWo</v>
      </c>
      <c r="E13" s="3252"/>
      <c r="F13" s="2030"/>
      <c r="G13" s="1143" t="s">
        <v>448</v>
      </c>
      <c r="H13" s="2036">
        <f>Dateneingabe!F13</f>
        <v>44594</v>
      </c>
      <c r="I13" s="2037"/>
      <c r="K13" s="3253"/>
    </row>
    <row r="14" spans="2:11" ht="3.2" customHeight="1" x14ac:dyDescent="0.25">
      <c r="C14" s="1143"/>
      <c r="D14" s="2039"/>
      <c r="E14" s="2040"/>
      <c r="F14" s="2030"/>
      <c r="G14" s="1143"/>
      <c r="H14" s="2041"/>
      <c r="I14" s="2037"/>
      <c r="K14" s="3253"/>
    </row>
    <row r="15" spans="2:11" ht="18" x14ac:dyDescent="0.25">
      <c r="C15" s="1143"/>
      <c r="D15" s="2039"/>
      <c r="E15" s="2040"/>
      <c r="F15" s="2030"/>
      <c r="G15" s="1143"/>
      <c r="H15" s="2041"/>
      <c r="I15" s="2037"/>
      <c r="K15" s="3253"/>
    </row>
    <row r="16" spans="2:11" ht="18" x14ac:dyDescent="0.25">
      <c r="C16" s="1143"/>
      <c r="D16" s="2039"/>
      <c r="E16" s="2040"/>
      <c r="F16" s="2030"/>
      <c r="G16" s="1143"/>
      <c r="H16" s="2041"/>
      <c r="I16" s="2037"/>
      <c r="K16" s="3253"/>
    </row>
    <row r="17" spans="3:11" ht="18" x14ac:dyDescent="0.25">
      <c r="C17" s="1143"/>
      <c r="D17" s="2039"/>
      <c r="E17" s="2040"/>
      <c r="F17" s="2030"/>
      <c r="G17" s="1143"/>
      <c r="H17" s="2041"/>
      <c r="I17" s="2037"/>
      <c r="K17" s="3253"/>
    </row>
    <row r="18" spans="3:11" ht="18" x14ac:dyDescent="0.25">
      <c r="C18" s="1143"/>
      <c r="D18" s="2039"/>
      <c r="E18" s="2040"/>
      <c r="F18" s="2030"/>
      <c r="G18" s="1143"/>
      <c r="H18" s="2041"/>
      <c r="I18" s="2037"/>
      <c r="K18" s="3253"/>
    </row>
    <row r="19" spans="3:11" ht="18" x14ac:dyDescent="0.25">
      <c r="C19" s="1143"/>
      <c r="D19" s="2039"/>
      <c r="E19" s="2040"/>
      <c r="F19" s="2030"/>
      <c r="G19" s="1143"/>
      <c r="H19" s="2041"/>
      <c r="I19" s="2037"/>
      <c r="K19" s="3253"/>
    </row>
    <row r="20" spans="3:11" ht="18" x14ac:dyDescent="0.25">
      <c r="C20" s="1143"/>
      <c r="D20" s="2039"/>
      <c r="E20" s="2040"/>
      <c r="F20" s="2030"/>
      <c r="G20" s="1143"/>
      <c r="H20" s="2041"/>
      <c r="I20" s="2037"/>
      <c r="K20" s="3253"/>
    </row>
    <row r="21" spans="3:11" ht="18" x14ac:dyDescent="0.25">
      <c r="C21" s="1143"/>
      <c r="D21" s="2039"/>
      <c r="E21" s="2040"/>
      <c r="F21" s="2030"/>
      <c r="G21" s="1143"/>
      <c r="H21" s="2041"/>
      <c r="I21" s="2037"/>
      <c r="K21" s="3253"/>
    </row>
    <row r="22" spans="3:11" ht="18" x14ac:dyDescent="0.25">
      <c r="C22" s="1143"/>
      <c r="D22" s="2039"/>
      <c r="E22" s="2040"/>
      <c r="F22" s="2030"/>
      <c r="G22" s="1143"/>
      <c r="H22" s="2041"/>
      <c r="I22" s="2037"/>
      <c r="K22" s="3253"/>
    </row>
    <row r="23" spans="3:11" ht="18" x14ac:dyDescent="0.25">
      <c r="C23" s="1143"/>
      <c r="D23" s="2039"/>
      <c r="E23" s="2040"/>
      <c r="F23" s="2030"/>
      <c r="G23" s="1143"/>
      <c r="H23" s="2041"/>
      <c r="I23" s="2037"/>
      <c r="K23" s="3253"/>
    </row>
    <row r="24" spans="3:11" ht="18" x14ac:dyDescent="0.25">
      <c r="C24" s="1143"/>
      <c r="D24" s="2039"/>
      <c r="E24" s="2040"/>
      <c r="F24" s="2030"/>
      <c r="G24" s="1143"/>
      <c r="H24" s="2041"/>
      <c r="I24" s="2037"/>
      <c r="K24" s="3253"/>
    </row>
    <row r="25" spans="3:11" ht="18" x14ac:dyDescent="0.25">
      <c r="C25" s="1143"/>
      <c r="D25" s="2039"/>
      <c r="E25" s="2040"/>
      <c r="F25" s="2030"/>
      <c r="G25" s="1143"/>
      <c r="H25" s="2041"/>
      <c r="I25" s="2037"/>
      <c r="K25" s="3253"/>
    </row>
    <row r="26" spans="3:11" ht="18" x14ac:dyDescent="0.25">
      <c r="C26" s="1143"/>
      <c r="D26" s="2039"/>
      <c r="E26" s="2040"/>
      <c r="F26" s="2030"/>
      <c r="G26" s="1143"/>
      <c r="H26" s="2041"/>
      <c r="I26" s="2037"/>
      <c r="K26" s="3253"/>
    </row>
    <row r="27" spans="3:11" ht="18" x14ac:dyDescent="0.25">
      <c r="C27" s="1143"/>
      <c r="D27" s="2039"/>
      <c r="E27" s="2040"/>
      <c r="F27" s="2030"/>
      <c r="G27" s="1143"/>
      <c r="H27" s="2041"/>
      <c r="I27" s="2037"/>
      <c r="K27" s="3253"/>
    </row>
    <row r="28" spans="3:11" ht="18" x14ac:dyDescent="0.25">
      <c r="C28" s="1143"/>
      <c r="D28" s="2039"/>
      <c r="E28" s="2040"/>
      <c r="F28" s="2030"/>
      <c r="G28" s="1143"/>
      <c r="H28" s="2041"/>
      <c r="I28" s="2037"/>
      <c r="K28" s="3253"/>
    </row>
    <row r="29" spans="3:11" ht="18" x14ac:dyDescent="0.25">
      <c r="C29" s="1143"/>
      <c r="D29" s="2039"/>
      <c r="E29" s="2040"/>
      <c r="F29" s="2030"/>
      <c r="G29" s="1143"/>
      <c r="H29" s="2041"/>
      <c r="I29" s="2037"/>
      <c r="K29" s="3253"/>
    </row>
    <row r="30" spans="3:11" ht="18" x14ac:dyDescent="0.25">
      <c r="C30" s="1143"/>
      <c r="D30" s="2039"/>
      <c r="E30" s="2040"/>
      <c r="F30" s="2030"/>
      <c r="G30" s="1143"/>
      <c r="H30" s="2041"/>
      <c r="I30" s="2037"/>
      <c r="K30" s="3253"/>
    </row>
    <row r="31" spans="3:11" ht="18" x14ac:dyDescent="0.25">
      <c r="C31" s="1143"/>
      <c r="D31" s="2039"/>
      <c r="E31" s="2040"/>
      <c r="F31" s="2030"/>
      <c r="G31" s="1143"/>
      <c r="H31" s="2041"/>
      <c r="I31" s="2037"/>
      <c r="K31" s="3253"/>
    </row>
    <row r="32" spans="3:11" ht="18" x14ac:dyDescent="0.25">
      <c r="C32" s="1143"/>
      <c r="D32" s="2039"/>
      <c r="E32" s="2040"/>
      <c r="F32" s="2030"/>
      <c r="G32" s="1143"/>
      <c r="H32" s="2041"/>
      <c r="I32" s="2037"/>
      <c r="K32" s="3253"/>
    </row>
    <row r="33" spans="2:11" ht="18" x14ac:dyDescent="0.25">
      <c r="C33" s="1143"/>
      <c r="D33" s="2039"/>
      <c r="E33" s="2040"/>
      <c r="F33" s="2030"/>
      <c r="G33" s="1143"/>
      <c r="H33" s="2041"/>
      <c r="I33" s="2037"/>
      <c r="K33" s="3253"/>
    </row>
    <row r="34" spans="2:11" ht="18" x14ac:dyDescent="0.25">
      <c r="C34" s="1143"/>
      <c r="D34" s="2039"/>
      <c r="E34" s="2040"/>
      <c r="F34" s="2030"/>
      <c r="G34" s="1143"/>
      <c r="H34" s="2041"/>
      <c r="I34" s="2037"/>
      <c r="K34" s="3253"/>
    </row>
    <row r="35" spans="2:11" ht="18" x14ac:dyDescent="0.25">
      <c r="C35" s="1143"/>
      <c r="D35" s="2039"/>
      <c r="E35" s="2040"/>
      <c r="F35" s="2030"/>
      <c r="G35" s="1143"/>
      <c r="H35" s="2041"/>
      <c r="I35" s="2037"/>
      <c r="K35" s="3253"/>
    </row>
    <row r="36" spans="2:11" ht="18" x14ac:dyDescent="0.25">
      <c r="C36" s="1143"/>
      <c r="D36" s="2039"/>
      <c r="E36" s="2040"/>
      <c r="F36" s="2030"/>
      <c r="G36" s="1143"/>
      <c r="H36" s="2041"/>
      <c r="I36" s="2037"/>
      <c r="K36" s="3253"/>
    </row>
    <row r="37" spans="2:11" ht="3.2" customHeight="1" x14ac:dyDescent="0.25">
      <c r="C37" s="1144"/>
      <c r="D37" s="2040"/>
      <c r="E37" s="2040"/>
      <c r="F37" s="2030"/>
      <c r="G37" s="2042"/>
      <c r="H37" s="2041"/>
      <c r="I37" s="2037"/>
      <c r="K37" s="3253"/>
    </row>
    <row r="38" spans="2:11" ht="24" customHeight="1" x14ac:dyDescent="0.25">
      <c r="C38" s="1144"/>
      <c r="D38" s="2040"/>
      <c r="E38" s="2040"/>
      <c r="F38" s="2030"/>
      <c r="G38" s="2042"/>
      <c r="H38" s="2041"/>
      <c r="I38" s="2037"/>
      <c r="K38" s="2038"/>
    </row>
    <row r="39" spans="2:11" ht="24" customHeight="1" x14ac:dyDescent="0.2">
      <c r="C39" s="1144" t="s">
        <v>30202</v>
      </c>
      <c r="D39" s="3254"/>
      <c r="E39" s="3255"/>
      <c r="F39" s="3255"/>
      <c r="G39" s="3255"/>
      <c r="H39" s="3255"/>
      <c r="I39" s="3256"/>
      <c r="K39" s="2038"/>
    </row>
    <row r="40" spans="2:11" ht="24" customHeight="1" x14ac:dyDescent="0.2">
      <c r="C40" s="1144"/>
      <c r="D40" s="3257"/>
      <c r="E40" s="3258"/>
      <c r="F40" s="3258"/>
      <c r="G40" s="3258"/>
      <c r="H40" s="3258"/>
      <c r="I40" s="3259"/>
      <c r="K40" s="2038"/>
    </row>
    <row r="41" spans="2:11" ht="24" customHeight="1" x14ac:dyDescent="0.2">
      <c r="C41" s="1144"/>
      <c r="D41" s="3257"/>
      <c r="E41" s="3258"/>
      <c r="F41" s="3258"/>
      <c r="G41" s="3258"/>
      <c r="H41" s="3258"/>
      <c r="I41" s="3259"/>
      <c r="K41" s="2038"/>
    </row>
    <row r="42" spans="2:11" ht="24" customHeight="1" x14ac:dyDescent="0.2">
      <c r="C42" s="1144"/>
      <c r="D42" s="3260"/>
      <c r="E42" s="3261"/>
      <c r="F42" s="3261"/>
      <c r="G42" s="3261"/>
      <c r="H42" s="3261"/>
      <c r="I42" s="3262"/>
      <c r="K42" s="2038"/>
    </row>
    <row r="43" spans="2:11" ht="21.95" customHeight="1" x14ac:dyDescent="0.2">
      <c r="B43" s="2043"/>
      <c r="C43" s="1959"/>
      <c r="D43" s="1959"/>
      <c r="E43" s="1959"/>
      <c r="F43" s="1959"/>
      <c r="G43" s="1959"/>
      <c r="H43" s="1959"/>
      <c r="I43" s="1959"/>
      <c r="J43" s="1959"/>
      <c r="K43" s="1959"/>
    </row>
    <row r="44" spans="2:11" ht="21.95" customHeight="1" x14ac:dyDescent="0.2">
      <c r="B44" s="2044"/>
      <c r="C44" s="2045" t="s">
        <v>299</v>
      </c>
      <c r="D44" s="2046" t="s">
        <v>69</v>
      </c>
      <c r="E44" s="3263" t="s">
        <v>544</v>
      </c>
      <c r="F44" s="3264"/>
      <c r="G44" s="3264"/>
      <c r="H44" s="2047" t="s">
        <v>30201</v>
      </c>
      <c r="I44" s="2048"/>
      <c r="J44" s="2048"/>
      <c r="K44" s="2048"/>
    </row>
    <row r="45" spans="2:11" ht="21.95" customHeight="1" x14ac:dyDescent="0.2">
      <c r="B45" s="2044"/>
      <c r="C45" s="2049">
        <f>Liste!D276</f>
        <v>0</v>
      </c>
      <c r="D45" s="2050">
        <f>IF(C45&gt;0,Liste!F276,0)</f>
        <v>0</v>
      </c>
      <c r="E45" s="3232">
        <f>IF(C45&gt;0,Liste!B276,0)</f>
        <v>0</v>
      </c>
      <c r="F45" s="3233"/>
      <c r="G45" s="3234"/>
      <c r="H45" s="2046">
        <f>IF(C45&gt;0,Liste!C276,0)</f>
        <v>0</v>
      </c>
      <c r="I45" s="2048"/>
      <c r="J45" s="2048"/>
      <c r="K45" s="2048"/>
    </row>
    <row r="46" spans="2:11" ht="21.95" customHeight="1" x14ac:dyDescent="0.2">
      <c r="B46" s="2044"/>
      <c r="C46" s="2049">
        <f>Liste!D277</f>
        <v>0</v>
      </c>
      <c r="D46" s="2050">
        <f>IF(C46&gt;0,Liste!F277,0)</f>
        <v>0</v>
      </c>
      <c r="E46" s="3232">
        <f>IF(C46&gt;0,Liste!B277,0)</f>
        <v>0</v>
      </c>
      <c r="F46" s="3233"/>
      <c r="G46" s="3234"/>
      <c r="H46" s="2046">
        <f>IF(C46&gt;0,Liste!C277,0)</f>
        <v>0</v>
      </c>
      <c r="I46" s="2048"/>
      <c r="J46" s="2048"/>
      <c r="K46" s="2048"/>
    </row>
    <row r="47" spans="2:11" ht="21.95" customHeight="1" x14ac:dyDescent="0.2">
      <c r="B47" s="2044"/>
      <c r="C47" s="2049">
        <f>Liste!D278</f>
        <v>0</v>
      </c>
      <c r="D47" s="2050">
        <f>IF(C47&gt;0,Liste!F278,0)</f>
        <v>0</v>
      </c>
      <c r="E47" s="3232">
        <f>IF(C47&gt;0,Liste!B278,0)</f>
        <v>0</v>
      </c>
      <c r="F47" s="3233"/>
      <c r="G47" s="3234"/>
      <c r="H47" s="2046">
        <f>IF(C47&gt;0,Liste!C278,0)</f>
        <v>0</v>
      </c>
      <c r="I47" s="2048"/>
      <c r="J47" s="2048"/>
      <c r="K47" s="2048"/>
    </row>
    <row r="48" spans="2:11" ht="21.95" customHeight="1" x14ac:dyDescent="0.2">
      <c r="B48" s="2044"/>
      <c r="C48" s="2049">
        <f>Liste!D279</f>
        <v>0</v>
      </c>
      <c r="D48" s="2050">
        <f>IF(C48&gt;0,Liste!F279,0)</f>
        <v>0</v>
      </c>
      <c r="E48" s="3232">
        <f>IF(C48&gt;0,Liste!B279,0)</f>
        <v>0</v>
      </c>
      <c r="F48" s="3233"/>
      <c r="G48" s="3234"/>
      <c r="H48" s="2046">
        <f>IF(C48&gt;0,Liste!C279,0)</f>
        <v>0</v>
      </c>
      <c r="I48" s="2048"/>
      <c r="J48" s="2048"/>
      <c r="K48" s="2048"/>
    </row>
    <row r="49" spans="2:11" ht="21.95" customHeight="1" x14ac:dyDescent="0.2">
      <c r="B49" s="2044"/>
      <c r="C49" s="2049">
        <f>Liste!D280</f>
        <v>0</v>
      </c>
      <c r="D49" s="2050">
        <f>IF(C49&gt;0,Liste!F280,0)</f>
        <v>0</v>
      </c>
      <c r="E49" s="3232">
        <f>IF(C49&gt;0,Liste!B280,0)</f>
        <v>0</v>
      </c>
      <c r="F49" s="3233"/>
      <c r="G49" s="3234"/>
      <c r="H49" s="2046">
        <f>IF(C49&gt;0,Liste!C280,0)</f>
        <v>0</v>
      </c>
      <c r="I49" s="2048"/>
      <c r="J49" s="2048"/>
      <c r="K49" s="2048"/>
    </row>
    <row r="50" spans="2:11" ht="21.95" customHeight="1" x14ac:dyDescent="0.2">
      <c r="B50" s="2044"/>
      <c r="C50" s="2049">
        <f>Liste!D281</f>
        <v>0</v>
      </c>
      <c r="D50" s="2050">
        <f>IF(C50&gt;0,Liste!F281,0)</f>
        <v>0</v>
      </c>
      <c r="E50" s="3232">
        <f>IF(C50&gt;0,Liste!B281,0)</f>
        <v>0</v>
      </c>
      <c r="F50" s="3233"/>
      <c r="G50" s="3234"/>
      <c r="H50" s="2046">
        <f>IF(C50&gt;0,Liste!C281,0)</f>
        <v>0</v>
      </c>
      <c r="I50" s="2048"/>
      <c r="J50" s="2048"/>
      <c r="K50" s="2048"/>
    </row>
    <row r="51" spans="2:11" ht="21.95" customHeight="1" x14ac:dyDescent="0.2">
      <c r="B51" s="2044"/>
      <c r="C51" s="2049">
        <f>Liste!D282</f>
        <v>0</v>
      </c>
      <c r="D51" s="2050">
        <f>IF(C51&gt;0,Liste!F282,0)</f>
        <v>0</v>
      </c>
      <c r="E51" s="3232">
        <f>IF(C51&gt;0,Liste!B282,0)</f>
        <v>0</v>
      </c>
      <c r="F51" s="3233"/>
      <c r="G51" s="3234"/>
      <c r="H51" s="2046">
        <f>IF(C51&gt;0,Liste!C282,0)</f>
        <v>0</v>
      </c>
      <c r="I51" s="2048"/>
      <c r="J51" s="2048"/>
      <c r="K51" s="2048"/>
    </row>
    <row r="52" spans="2:11" ht="21.95" customHeight="1" x14ac:dyDescent="0.2">
      <c r="B52" s="2044"/>
      <c r="C52" s="2049">
        <f>Liste!D283</f>
        <v>0</v>
      </c>
      <c r="D52" s="2050">
        <f>IF(C52&gt;0,Liste!F283,0)</f>
        <v>0</v>
      </c>
      <c r="E52" s="3232">
        <f>IF(C52&gt;0,Liste!B283,0)</f>
        <v>0</v>
      </c>
      <c r="F52" s="3233"/>
      <c r="G52" s="3234"/>
      <c r="H52" s="2046">
        <f>IF(C52&gt;0,Liste!C283,0)</f>
        <v>0</v>
      </c>
      <c r="I52" s="2048"/>
      <c r="J52" s="2048"/>
      <c r="K52" s="2048"/>
    </row>
    <row r="53" spans="2:11" ht="21.95" customHeight="1" x14ac:dyDescent="0.2">
      <c r="B53" s="2044"/>
      <c r="C53" s="2049">
        <f>Liste!D284</f>
        <v>0</v>
      </c>
      <c r="D53" s="2050">
        <f>IF(C53&gt;0,Liste!F284,0)</f>
        <v>0</v>
      </c>
      <c r="E53" s="3232">
        <f>IF(C53&gt;0,Liste!B284,0)</f>
        <v>0</v>
      </c>
      <c r="F53" s="3233"/>
      <c r="G53" s="3234"/>
      <c r="H53" s="2046">
        <f>IF(C53&gt;0,Liste!C284,0)</f>
        <v>0</v>
      </c>
      <c r="I53" s="2048"/>
      <c r="J53" s="2048"/>
      <c r="K53" s="2048"/>
    </row>
    <row r="54" spans="2:11" ht="21.95" customHeight="1" x14ac:dyDescent="0.2">
      <c r="B54" s="2044"/>
      <c r="C54" s="2049">
        <f>Liste!D285</f>
        <v>0</v>
      </c>
      <c r="D54" s="2050">
        <f>IF(C54&gt;0,Liste!F285,0)</f>
        <v>0</v>
      </c>
      <c r="E54" s="3232">
        <f>IF(C54&gt;0,Liste!B285,0)</f>
        <v>0</v>
      </c>
      <c r="F54" s="3233"/>
      <c r="G54" s="3234"/>
      <c r="H54" s="2046">
        <f>IF(C54&gt;0,Liste!C285,0)</f>
        <v>0</v>
      </c>
      <c r="I54" s="2048"/>
      <c r="J54" s="2048"/>
      <c r="K54" s="2048"/>
    </row>
    <row r="55" spans="2:11" ht="21.95" customHeight="1" x14ac:dyDescent="0.2">
      <c r="B55" s="2044"/>
      <c r="C55" s="2049">
        <f>Liste!D286</f>
        <v>0</v>
      </c>
      <c r="D55" s="2050">
        <f>IF(C55&gt;0,Liste!F286,0)</f>
        <v>0</v>
      </c>
      <c r="E55" s="3232">
        <f>IF(C55&gt;0,Liste!B286,0)</f>
        <v>0</v>
      </c>
      <c r="F55" s="3233"/>
      <c r="G55" s="3234"/>
      <c r="H55" s="2046">
        <f>IF(C55&gt;0,Liste!C286,0)</f>
        <v>0</v>
      </c>
      <c r="I55" s="2048"/>
      <c r="J55" s="2048"/>
      <c r="K55" s="2048"/>
    </row>
    <row r="56" spans="2:11" ht="21.95" customHeight="1" x14ac:dyDescent="0.2">
      <c r="B56" s="2044"/>
      <c r="C56" s="2049">
        <f>Liste!D287</f>
        <v>0</v>
      </c>
      <c r="D56" s="2050">
        <f>IF(C56&gt;0,Liste!F287,0)</f>
        <v>0</v>
      </c>
      <c r="E56" s="3232">
        <f>IF(C56&gt;0,Liste!B287,0)</f>
        <v>0</v>
      </c>
      <c r="F56" s="3233"/>
      <c r="G56" s="3234"/>
      <c r="H56" s="2046">
        <f>IF(C56&gt;0,Liste!C287,0)</f>
        <v>0</v>
      </c>
      <c r="I56" s="2048"/>
      <c r="J56" s="2048"/>
      <c r="K56" s="2048"/>
    </row>
    <row r="57" spans="2:11" ht="21.95" customHeight="1" x14ac:dyDescent="0.2">
      <c r="B57" s="2044"/>
      <c r="C57" s="2049">
        <f>Liste!D288</f>
        <v>0</v>
      </c>
      <c r="D57" s="2050">
        <f>IF(C57&gt;0,Liste!F288,0)</f>
        <v>0</v>
      </c>
      <c r="E57" s="3232">
        <f>IF(C57&gt;0,Liste!B288,0)</f>
        <v>0</v>
      </c>
      <c r="F57" s="3233"/>
      <c r="G57" s="3234"/>
      <c r="H57" s="2046">
        <f>IF(C57&gt;0,Liste!C288,0)</f>
        <v>0</v>
      </c>
      <c r="I57" s="2048"/>
      <c r="J57" s="2048"/>
      <c r="K57" s="2048"/>
    </row>
    <row r="58" spans="2:11" ht="21.95" customHeight="1" x14ac:dyDescent="0.2">
      <c r="B58" s="2044"/>
      <c r="C58" s="2049">
        <f>Liste!D289</f>
        <v>0</v>
      </c>
      <c r="D58" s="2050">
        <f>IF(C58&gt;0,Liste!F289,0)</f>
        <v>0</v>
      </c>
      <c r="E58" s="3232">
        <f>IF(C58&gt;0,Liste!B289,0)</f>
        <v>0</v>
      </c>
      <c r="F58" s="3233"/>
      <c r="G58" s="3234"/>
      <c r="H58" s="2046">
        <f>IF(C58&gt;0,Liste!C289,0)</f>
        <v>0</v>
      </c>
      <c r="I58" s="2048"/>
      <c r="J58" s="2048"/>
      <c r="K58" s="2048"/>
    </row>
    <row r="59" spans="2:11" ht="21.95" customHeight="1" x14ac:dyDescent="0.2">
      <c r="B59" s="2044"/>
      <c r="C59" s="2049">
        <f>Liste!D290</f>
        <v>0</v>
      </c>
      <c r="D59" s="2050">
        <f>IF(C59&gt;0,Liste!F290,0)</f>
        <v>0</v>
      </c>
      <c r="E59" s="3232">
        <f>IF(C59&gt;0,Liste!B290,0)</f>
        <v>0</v>
      </c>
      <c r="F59" s="3233"/>
      <c r="G59" s="3234"/>
      <c r="H59" s="2046">
        <f>IF(C59&gt;0,Liste!C290,0)</f>
        <v>0</v>
      </c>
      <c r="I59" s="2048"/>
      <c r="J59" s="2048"/>
      <c r="K59" s="2048"/>
    </row>
    <row r="60" spans="2:11" ht="21.95" customHeight="1" x14ac:dyDescent="0.2">
      <c r="B60" s="2044"/>
      <c r="C60" s="2049">
        <f>Liste!D291</f>
        <v>0</v>
      </c>
      <c r="D60" s="2050">
        <f>IF(C60&gt;0,Liste!F291,0)</f>
        <v>0</v>
      </c>
      <c r="E60" s="3232">
        <f>IF(C60&gt;0,Liste!B291,0)</f>
        <v>0</v>
      </c>
      <c r="F60" s="3233"/>
      <c r="G60" s="3234"/>
      <c r="H60" s="2046">
        <f>IF(C60&gt;0,Liste!C291,0)</f>
        <v>0</v>
      </c>
      <c r="I60" s="2048"/>
      <c r="J60" s="2048"/>
      <c r="K60" s="2048"/>
    </row>
    <row r="61" spans="2:11" ht="21.95" customHeight="1" x14ac:dyDescent="0.2">
      <c r="B61" s="2044"/>
      <c r="C61" s="2049">
        <f>Liste!D292</f>
        <v>0</v>
      </c>
      <c r="D61" s="2050">
        <f>IF(C61&gt;0,Liste!F292,0)</f>
        <v>0</v>
      </c>
      <c r="E61" s="3232">
        <f>IF(C61&gt;0,Liste!B292,0)</f>
        <v>0</v>
      </c>
      <c r="F61" s="3233"/>
      <c r="G61" s="3234"/>
      <c r="H61" s="2147">
        <f>IF(C61&gt;0,Liste!C292,0)</f>
        <v>0</v>
      </c>
      <c r="I61" s="2048"/>
      <c r="J61" s="2048"/>
      <c r="K61" s="2048"/>
    </row>
    <row r="62" spans="2:11" ht="21.95" customHeight="1" x14ac:dyDescent="0.2">
      <c r="B62" s="2044"/>
      <c r="C62" s="2049">
        <f>Liste!D293</f>
        <v>0</v>
      </c>
      <c r="D62" s="2050">
        <f>IF(C62&gt;0,Liste!F293,0)</f>
        <v>0</v>
      </c>
      <c r="E62" s="3232">
        <f>IF(C62&gt;0,Liste!B293,0)</f>
        <v>0</v>
      </c>
      <c r="F62" s="3233"/>
      <c r="G62" s="3234"/>
      <c r="H62" s="2147">
        <f>IF(C62&gt;0,Liste!C293,0)</f>
        <v>0</v>
      </c>
      <c r="I62" s="2048"/>
      <c r="J62" s="2048"/>
      <c r="K62" s="2048"/>
    </row>
    <row r="63" spans="2:11" ht="21.95" customHeight="1" x14ac:dyDescent="0.2">
      <c r="B63" s="2044"/>
      <c r="C63" s="2049">
        <f>Liste!D294</f>
        <v>0</v>
      </c>
      <c r="D63" s="2050">
        <f>IF(C63&gt;0,Liste!F294,0)</f>
        <v>0</v>
      </c>
      <c r="E63" s="3232">
        <f>IF(C63&gt;0,Liste!B294,0)</f>
        <v>0</v>
      </c>
      <c r="F63" s="3233"/>
      <c r="G63" s="3234"/>
      <c r="H63" s="2147">
        <f>IF(C63&gt;0,Liste!C294,0)</f>
        <v>0</v>
      </c>
      <c r="I63" s="2048"/>
      <c r="J63" s="2048"/>
      <c r="K63" s="2048"/>
    </row>
    <row r="64" spans="2:11" ht="21.95" customHeight="1" x14ac:dyDescent="0.2">
      <c r="B64" s="2044"/>
      <c r="C64" s="2049">
        <f>Liste!D295</f>
        <v>0</v>
      </c>
      <c r="D64" s="2050">
        <f>IF(C64&gt;0,Liste!F295,0)</f>
        <v>0</v>
      </c>
      <c r="E64" s="3232">
        <f>IF(C64&gt;0,Liste!B295,0)</f>
        <v>0</v>
      </c>
      <c r="F64" s="3233"/>
      <c r="G64" s="3234"/>
      <c r="H64" s="2147">
        <f>IF(C64&gt;0,Liste!C295,0)</f>
        <v>0</v>
      </c>
      <c r="I64" s="2048"/>
      <c r="J64" s="2048"/>
      <c r="K64" s="2048"/>
    </row>
    <row r="65" spans="2:11" ht="21.95" customHeight="1" x14ac:dyDescent="0.2">
      <c r="B65" s="2044"/>
      <c r="C65" s="2051">
        <f>Liste!D296</f>
        <v>0</v>
      </c>
      <c r="D65" s="3235" t="str">
        <f>Liste!B296</f>
        <v>Gesamtsumme Dichtrahmenabdeckstreifen</v>
      </c>
      <c r="E65" s="3236"/>
      <c r="F65" s="3236"/>
      <c r="G65" s="3236"/>
      <c r="H65" s="3237"/>
      <c r="I65" s="2048"/>
      <c r="J65" s="2048"/>
      <c r="K65" s="2048"/>
    </row>
    <row r="66" spans="2:11" ht="3.2" customHeight="1" x14ac:dyDescent="0.2"/>
  </sheetData>
  <mergeCells count="31">
    <mergeCell ref="E50:G50"/>
    <mergeCell ref="B1:K1"/>
    <mergeCell ref="D3:F3"/>
    <mergeCell ref="D5:E5"/>
    <mergeCell ref="D7:K7"/>
    <mergeCell ref="H8:J8"/>
    <mergeCell ref="E46:G46"/>
    <mergeCell ref="D11:E11"/>
    <mergeCell ref="D13:E13"/>
    <mergeCell ref="K13:K37"/>
    <mergeCell ref="D39:I42"/>
    <mergeCell ref="E47:G47"/>
    <mergeCell ref="E44:G44"/>
    <mergeCell ref="E45:G45"/>
    <mergeCell ref="E48:G48"/>
    <mergeCell ref="E49:G49"/>
    <mergeCell ref="E51:G51"/>
    <mergeCell ref="E58:G58"/>
    <mergeCell ref="E59:G59"/>
    <mergeCell ref="E60:G60"/>
    <mergeCell ref="D65:H65"/>
    <mergeCell ref="E52:G52"/>
    <mergeCell ref="E53:G53"/>
    <mergeCell ref="E54:G54"/>
    <mergeCell ref="E55:G55"/>
    <mergeCell ref="E56:G56"/>
    <mergeCell ref="E57:G57"/>
    <mergeCell ref="E61:G61"/>
    <mergeCell ref="E62:G62"/>
    <mergeCell ref="E63:G63"/>
    <mergeCell ref="E64:G64"/>
  </mergeCells>
  <conditionalFormatting sqref="F1:K6 C5:D5 L1:IV8 M9:IV9 F8:K8 G10:K10 C1:E1 C6:E6 C3:E4 C2 C39:D39 C40:C42 C44:G44 G66:IV67 B68:IV65540 E8:E10 F9:F14 G12:K14 C7:D11 L10:IV14 D65 C12:E14 B1:B14 B66:B67 B16:B46 L16:IV46 C16:I38 J16:K42">
    <cfRule type="cellIs" dxfId="822" priority="216" stopIfTrue="1" operator="equal">
      <formula>0</formula>
    </cfRule>
  </conditionalFormatting>
  <conditionalFormatting sqref="D2:E2">
    <cfRule type="cellIs" dxfId="821" priority="215" stopIfTrue="1" operator="equal">
      <formula>0</formula>
    </cfRule>
  </conditionalFormatting>
  <conditionalFormatting sqref="L49:IV50">
    <cfRule type="cellIs" dxfId="820" priority="208" stopIfTrue="1" operator="equal">
      <formula>0</formula>
    </cfRule>
  </conditionalFormatting>
  <conditionalFormatting sqref="L55:IV65">
    <cfRule type="cellIs" dxfId="819" priority="202" stopIfTrue="1" operator="equal">
      <formula>0</formula>
    </cfRule>
  </conditionalFormatting>
  <conditionalFormatting sqref="C43:K43">
    <cfRule type="cellIs" dxfId="818" priority="214" stopIfTrue="1" operator="equal">
      <formula>0</formula>
    </cfRule>
  </conditionalFormatting>
  <conditionalFormatting sqref="H44">
    <cfRule type="cellIs" dxfId="817" priority="213" stopIfTrue="1" operator="equal">
      <formula>0</formula>
    </cfRule>
  </conditionalFormatting>
  <conditionalFormatting sqref="C45:D45">
    <cfRule type="cellIs" dxfId="816" priority="212" stopIfTrue="1" operator="equal">
      <formula>0</formula>
    </cfRule>
  </conditionalFormatting>
  <conditionalFormatting sqref="H45">
    <cfRule type="cellIs" dxfId="815" priority="211" stopIfTrue="1" operator="equal">
      <formula>0</formula>
    </cfRule>
  </conditionalFormatting>
  <conditionalFormatting sqref="L47:IV48">
    <cfRule type="cellIs" dxfId="814" priority="210" stopIfTrue="1" operator="equal">
      <formula>0</formula>
    </cfRule>
  </conditionalFormatting>
  <conditionalFormatting sqref="B47:B48">
    <cfRule type="cellIs" dxfId="813" priority="209" stopIfTrue="1" operator="equal">
      <formula>0</formula>
    </cfRule>
  </conditionalFormatting>
  <conditionalFormatting sqref="B49:B50">
    <cfRule type="cellIs" dxfId="812" priority="207" stopIfTrue="1" operator="equal">
      <formula>0</formula>
    </cfRule>
  </conditionalFormatting>
  <conditionalFormatting sqref="L51:IV52">
    <cfRule type="cellIs" dxfId="811" priority="206" stopIfTrue="1" operator="equal">
      <formula>0</formula>
    </cfRule>
  </conditionalFormatting>
  <conditionalFormatting sqref="B51:B52">
    <cfRule type="cellIs" dxfId="810" priority="205" stopIfTrue="1" operator="equal">
      <formula>0</formula>
    </cfRule>
  </conditionalFormatting>
  <conditionalFormatting sqref="L53:IV54">
    <cfRule type="cellIs" dxfId="809" priority="204" stopIfTrue="1" operator="equal">
      <formula>0</formula>
    </cfRule>
  </conditionalFormatting>
  <conditionalFormatting sqref="B53:B54">
    <cfRule type="cellIs" dxfId="808" priority="203" stopIfTrue="1" operator="equal">
      <formula>0</formula>
    </cfRule>
  </conditionalFormatting>
  <conditionalFormatting sqref="B55:B65">
    <cfRule type="cellIs" dxfId="807" priority="201" stopIfTrue="1" operator="equal">
      <formula>0</formula>
    </cfRule>
  </conditionalFormatting>
  <conditionalFormatting sqref="C65">
    <cfRule type="cellIs" dxfId="806" priority="196" stopIfTrue="1" operator="equal">
      <formula>0</formula>
    </cfRule>
  </conditionalFormatting>
  <conditionalFormatting sqref="K9">
    <cfRule type="cellIs" dxfId="805" priority="174" stopIfTrue="1" operator="equal">
      <formula>0</formula>
    </cfRule>
  </conditionalFormatting>
  <conditionalFormatting sqref="C47">
    <cfRule type="cellIs" dxfId="804" priority="125" stopIfTrue="1" operator="equal">
      <formula>0</formula>
    </cfRule>
  </conditionalFormatting>
  <conditionalFormatting sqref="J9">
    <cfRule type="cellIs" dxfId="803" priority="173" stopIfTrue="1" operator="equal">
      <formula>0</formula>
    </cfRule>
  </conditionalFormatting>
  <conditionalFormatting sqref="H9">
    <cfRule type="cellIs" dxfId="802" priority="171" stopIfTrue="1" operator="equal">
      <formula>0</formula>
    </cfRule>
  </conditionalFormatting>
  <conditionalFormatting sqref="G9">
    <cfRule type="cellIs" dxfId="801" priority="172" stopIfTrue="1" operator="equal">
      <formula>0</formula>
    </cfRule>
  </conditionalFormatting>
  <conditionalFormatting sqref="I9">
    <cfRule type="cellIs" dxfId="800" priority="170" stopIfTrue="1" operator="equal">
      <formula>0</formula>
    </cfRule>
  </conditionalFormatting>
  <conditionalFormatting sqref="H11">
    <cfRule type="cellIs" dxfId="799" priority="169" stopIfTrue="1" operator="equal">
      <formula>0</formula>
    </cfRule>
  </conditionalFormatting>
  <conditionalFormatting sqref="I11">
    <cfRule type="cellIs" dxfId="798" priority="168" stopIfTrue="1" operator="equal">
      <formula>0</formula>
    </cfRule>
  </conditionalFormatting>
  <conditionalFormatting sqref="J11">
    <cfRule type="cellIs" dxfId="797" priority="167" stopIfTrue="1" operator="equal">
      <formula>0</formula>
    </cfRule>
  </conditionalFormatting>
  <conditionalFormatting sqref="K11">
    <cfRule type="cellIs" dxfId="796" priority="166" stopIfTrue="1" operator="equal">
      <formula>0</formula>
    </cfRule>
  </conditionalFormatting>
  <conditionalFormatting sqref="C59">
    <cfRule type="cellIs" dxfId="795" priority="113" stopIfTrue="1" operator="equal">
      <formula>0</formula>
    </cfRule>
  </conditionalFormatting>
  <conditionalFormatting sqref="E45:G45">
    <cfRule type="cellIs" dxfId="794" priority="142" stopIfTrue="1" operator="equal">
      <formula>0</formula>
    </cfRule>
  </conditionalFormatting>
  <conditionalFormatting sqref="C57">
    <cfRule type="cellIs" dxfId="793" priority="115" stopIfTrue="1" operator="equal">
      <formula>0</formula>
    </cfRule>
  </conditionalFormatting>
  <conditionalFormatting sqref="C46">
    <cfRule type="cellIs" dxfId="792" priority="126" stopIfTrue="1" operator="equal">
      <formula>0</formula>
    </cfRule>
  </conditionalFormatting>
  <conditionalFormatting sqref="C58">
    <cfRule type="cellIs" dxfId="791" priority="114" stopIfTrue="1" operator="equal">
      <formula>0</formula>
    </cfRule>
  </conditionalFormatting>
  <conditionalFormatting sqref="B15:IV15">
    <cfRule type="cellIs" dxfId="790" priority="66" stopIfTrue="1" operator="equal">
      <formula>0</formula>
    </cfRule>
  </conditionalFormatting>
  <conditionalFormatting sqref="C49">
    <cfRule type="cellIs" dxfId="789" priority="123" stopIfTrue="1" operator="equal">
      <formula>0</formula>
    </cfRule>
  </conditionalFormatting>
  <conditionalFormatting sqref="C51">
    <cfRule type="cellIs" dxfId="788" priority="121" stopIfTrue="1" operator="equal">
      <formula>0</formula>
    </cfRule>
  </conditionalFormatting>
  <conditionalFormatting sqref="C53">
    <cfRule type="cellIs" dxfId="787" priority="119" stopIfTrue="1" operator="equal">
      <formula>0</formula>
    </cfRule>
  </conditionalFormatting>
  <conditionalFormatting sqref="C55">
    <cfRule type="cellIs" dxfId="786" priority="117" stopIfTrue="1" operator="equal">
      <formula>0</formula>
    </cfRule>
  </conditionalFormatting>
  <conditionalFormatting sqref="C48">
    <cfRule type="cellIs" dxfId="785" priority="124" stopIfTrue="1" operator="equal">
      <formula>0</formula>
    </cfRule>
  </conditionalFormatting>
  <conditionalFormatting sqref="C50">
    <cfRule type="cellIs" dxfId="784" priority="122" stopIfTrue="1" operator="equal">
      <formula>0</formula>
    </cfRule>
  </conditionalFormatting>
  <conditionalFormatting sqref="C52">
    <cfRule type="cellIs" dxfId="783" priority="120" stopIfTrue="1" operator="equal">
      <formula>0</formula>
    </cfRule>
  </conditionalFormatting>
  <conditionalFormatting sqref="C54">
    <cfRule type="cellIs" dxfId="782" priority="118" stopIfTrue="1" operator="equal">
      <formula>0</formula>
    </cfRule>
  </conditionalFormatting>
  <conditionalFormatting sqref="C56">
    <cfRule type="cellIs" dxfId="781" priority="116" stopIfTrue="1" operator="equal">
      <formula>0</formula>
    </cfRule>
  </conditionalFormatting>
  <conditionalFormatting sqref="C60">
    <cfRule type="cellIs" dxfId="780" priority="112" stopIfTrue="1" operator="equal">
      <formula>0</formula>
    </cfRule>
  </conditionalFormatting>
  <conditionalFormatting sqref="D46">
    <cfRule type="cellIs" dxfId="779" priority="65" stopIfTrue="1" operator="equal">
      <formula>0</formula>
    </cfRule>
  </conditionalFormatting>
  <conditionalFormatting sqref="D47">
    <cfRule type="cellIs" dxfId="778" priority="64" stopIfTrue="1" operator="equal">
      <formula>0</formula>
    </cfRule>
  </conditionalFormatting>
  <conditionalFormatting sqref="D48">
    <cfRule type="cellIs" dxfId="777" priority="63" stopIfTrue="1" operator="equal">
      <formula>0</formula>
    </cfRule>
  </conditionalFormatting>
  <conditionalFormatting sqref="D49">
    <cfRule type="cellIs" dxfId="776" priority="62" stopIfTrue="1" operator="equal">
      <formula>0</formula>
    </cfRule>
  </conditionalFormatting>
  <conditionalFormatting sqref="D50">
    <cfRule type="cellIs" dxfId="775" priority="61" stopIfTrue="1" operator="equal">
      <formula>0</formula>
    </cfRule>
  </conditionalFormatting>
  <conditionalFormatting sqref="D51">
    <cfRule type="cellIs" dxfId="774" priority="60" stopIfTrue="1" operator="equal">
      <formula>0</formula>
    </cfRule>
  </conditionalFormatting>
  <conditionalFormatting sqref="D52">
    <cfRule type="cellIs" dxfId="773" priority="59" stopIfTrue="1" operator="equal">
      <formula>0</formula>
    </cfRule>
  </conditionalFormatting>
  <conditionalFormatting sqref="D53">
    <cfRule type="cellIs" dxfId="772" priority="58" stopIfTrue="1" operator="equal">
      <formula>0</formula>
    </cfRule>
  </conditionalFormatting>
  <conditionalFormatting sqref="D54">
    <cfRule type="cellIs" dxfId="771" priority="57" stopIfTrue="1" operator="equal">
      <formula>0</formula>
    </cfRule>
  </conditionalFormatting>
  <conditionalFormatting sqref="D55">
    <cfRule type="cellIs" dxfId="770" priority="56" stopIfTrue="1" operator="equal">
      <formula>0</formula>
    </cfRule>
  </conditionalFormatting>
  <conditionalFormatting sqref="D56">
    <cfRule type="cellIs" dxfId="769" priority="55" stopIfTrue="1" operator="equal">
      <formula>0</formula>
    </cfRule>
  </conditionalFormatting>
  <conditionalFormatting sqref="D57">
    <cfRule type="cellIs" dxfId="768" priority="54" stopIfTrue="1" operator="equal">
      <formula>0</formula>
    </cfRule>
  </conditionalFormatting>
  <conditionalFormatting sqref="D58">
    <cfRule type="cellIs" dxfId="767" priority="53" stopIfTrue="1" operator="equal">
      <formula>0</formula>
    </cfRule>
  </conditionalFormatting>
  <conditionalFormatting sqref="D59">
    <cfRule type="cellIs" dxfId="766" priority="52" stopIfTrue="1" operator="equal">
      <formula>0</formula>
    </cfRule>
  </conditionalFormatting>
  <conditionalFormatting sqref="D60">
    <cfRule type="cellIs" dxfId="765" priority="51" stopIfTrue="1" operator="equal">
      <formula>0</formula>
    </cfRule>
  </conditionalFormatting>
  <conditionalFormatting sqref="E46:G46">
    <cfRule type="cellIs" dxfId="764" priority="50" stopIfTrue="1" operator="equal">
      <formula>0</formula>
    </cfRule>
  </conditionalFormatting>
  <conditionalFormatting sqref="E47:G47">
    <cfRule type="cellIs" dxfId="763" priority="49" stopIfTrue="1" operator="equal">
      <formula>0</formula>
    </cfRule>
  </conditionalFormatting>
  <conditionalFormatting sqref="E48:G48">
    <cfRule type="cellIs" dxfId="762" priority="48" stopIfTrue="1" operator="equal">
      <formula>0</formula>
    </cfRule>
  </conditionalFormatting>
  <conditionalFormatting sqref="E49:G49">
    <cfRule type="cellIs" dxfId="761" priority="47" stopIfTrue="1" operator="equal">
      <formula>0</formula>
    </cfRule>
  </conditionalFormatting>
  <conditionalFormatting sqref="E50:G50">
    <cfRule type="cellIs" dxfId="760" priority="46" stopIfTrue="1" operator="equal">
      <formula>0</formula>
    </cfRule>
  </conditionalFormatting>
  <conditionalFormatting sqref="H60">
    <cfRule type="cellIs" dxfId="759" priority="21" stopIfTrue="1" operator="equal">
      <formula>0</formula>
    </cfRule>
  </conditionalFormatting>
  <conditionalFormatting sqref="E51:G51">
    <cfRule type="cellIs" dxfId="758" priority="45" stopIfTrue="1" operator="equal">
      <formula>0</formula>
    </cfRule>
  </conditionalFormatting>
  <conditionalFormatting sqref="E52:G52">
    <cfRule type="cellIs" dxfId="757" priority="44" stopIfTrue="1" operator="equal">
      <formula>0</formula>
    </cfRule>
  </conditionalFormatting>
  <conditionalFormatting sqref="E53:G53">
    <cfRule type="cellIs" dxfId="756" priority="43" stopIfTrue="1" operator="equal">
      <formula>0</formula>
    </cfRule>
  </conditionalFormatting>
  <conditionalFormatting sqref="E54:G54">
    <cfRule type="cellIs" dxfId="755" priority="42" stopIfTrue="1" operator="equal">
      <formula>0</formula>
    </cfRule>
  </conditionalFormatting>
  <conditionalFormatting sqref="E55:G55">
    <cfRule type="cellIs" dxfId="754" priority="41" stopIfTrue="1" operator="equal">
      <formula>0</formula>
    </cfRule>
  </conditionalFormatting>
  <conditionalFormatting sqref="E56:G56">
    <cfRule type="cellIs" dxfId="753" priority="40" stopIfTrue="1" operator="equal">
      <formula>0</formula>
    </cfRule>
  </conditionalFormatting>
  <conditionalFormatting sqref="E57:G57">
    <cfRule type="cellIs" dxfId="752" priority="39" stopIfTrue="1" operator="equal">
      <formula>0</formula>
    </cfRule>
  </conditionalFormatting>
  <conditionalFormatting sqref="E58:G58">
    <cfRule type="cellIs" dxfId="751" priority="38" stopIfTrue="1" operator="equal">
      <formula>0</formula>
    </cfRule>
  </conditionalFormatting>
  <conditionalFormatting sqref="E59:G59">
    <cfRule type="cellIs" dxfId="750" priority="37" stopIfTrue="1" operator="equal">
      <formula>0</formula>
    </cfRule>
  </conditionalFormatting>
  <conditionalFormatting sqref="E60:G60">
    <cfRule type="cellIs" dxfId="749" priority="36" stopIfTrue="1" operator="equal">
      <formula>0</formula>
    </cfRule>
  </conditionalFormatting>
  <conditionalFormatting sqref="H46">
    <cfRule type="cellIs" dxfId="748" priority="35" stopIfTrue="1" operator="equal">
      <formula>0</formula>
    </cfRule>
  </conditionalFormatting>
  <conditionalFormatting sqref="H47">
    <cfRule type="cellIs" dxfId="747" priority="34" stopIfTrue="1" operator="equal">
      <formula>0</formula>
    </cfRule>
  </conditionalFormatting>
  <conditionalFormatting sqref="H48">
    <cfRule type="cellIs" dxfId="746" priority="33" stopIfTrue="1" operator="equal">
      <formula>0</formula>
    </cfRule>
  </conditionalFormatting>
  <conditionalFormatting sqref="H49">
    <cfRule type="cellIs" dxfId="745" priority="32" stopIfTrue="1" operator="equal">
      <formula>0</formula>
    </cfRule>
  </conditionalFormatting>
  <conditionalFormatting sqref="H50">
    <cfRule type="cellIs" dxfId="744" priority="31" stopIfTrue="1" operator="equal">
      <formula>0</formula>
    </cfRule>
  </conditionalFormatting>
  <conditionalFormatting sqref="H51">
    <cfRule type="cellIs" dxfId="743" priority="30" stopIfTrue="1" operator="equal">
      <formula>0</formula>
    </cfRule>
  </conditionalFormatting>
  <conditionalFormatting sqref="H52">
    <cfRule type="cellIs" dxfId="742" priority="29" stopIfTrue="1" operator="equal">
      <formula>0</formula>
    </cfRule>
  </conditionalFormatting>
  <conditionalFormatting sqref="H53">
    <cfRule type="cellIs" dxfId="741" priority="28" stopIfTrue="1" operator="equal">
      <formula>0</formula>
    </cfRule>
  </conditionalFormatting>
  <conditionalFormatting sqref="H54">
    <cfRule type="cellIs" dxfId="740" priority="27" stopIfTrue="1" operator="equal">
      <formula>0</formula>
    </cfRule>
  </conditionalFormatting>
  <conditionalFormatting sqref="H55">
    <cfRule type="cellIs" dxfId="739" priority="26" stopIfTrue="1" operator="equal">
      <formula>0</formula>
    </cfRule>
  </conditionalFormatting>
  <conditionalFormatting sqref="H56">
    <cfRule type="cellIs" dxfId="738" priority="25" stopIfTrue="1" operator="equal">
      <formula>0</formula>
    </cfRule>
  </conditionalFormatting>
  <conditionalFormatting sqref="H57">
    <cfRule type="cellIs" dxfId="737" priority="24" stopIfTrue="1" operator="equal">
      <formula>0</formula>
    </cfRule>
  </conditionalFormatting>
  <conditionalFormatting sqref="H58">
    <cfRule type="cellIs" dxfId="736" priority="23" stopIfTrue="1" operator="equal">
      <formula>0</formula>
    </cfRule>
  </conditionalFormatting>
  <conditionalFormatting sqref="H59">
    <cfRule type="cellIs" dxfId="735" priority="22" stopIfTrue="1" operator="equal">
      <formula>0</formula>
    </cfRule>
  </conditionalFormatting>
  <conditionalFormatting sqref="C61">
    <cfRule type="cellIs" dxfId="734" priority="16" stopIfTrue="1" operator="equal">
      <formula>0</formula>
    </cfRule>
  </conditionalFormatting>
  <conditionalFormatting sqref="D61">
    <cfRule type="cellIs" dxfId="733" priority="15" stopIfTrue="1" operator="equal">
      <formula>0</formula>
    </cfRule>
  </conditionalFormatting>
  <conditionalFormatting sqref="H61">
    <cfRule type="cellIs" dxfId="732" priority="13" stopIfTrue="1" operator="equal">
      <formula>0</formula>
    </cfRule>
  </conditionalFormatting>
  <conditionalFormatting sqref="E61:G61">
    <cfRule type="cellIs" dxfId="731" priority="14" stopIfTrue="1" operator="equal">
      <formula>0</formula>
    </cfRule>
  </conditionalFormatting>
  <conditionalFormatting sqref="H64">
    <cfRule type="cellIs" dxfId="730" priority="1" stopIfTrue="1" operator="equal">
      <formula>0</formula>
    </cfRule>
  </conditionalFormatting>
  <conditionalFormatting sqref="C62">
    <cfRule type="cellIs" dxfId="729" priority="12" stopIfTrue="1" operator="equal">
      <formula>0</formula>
    </cfRule>
  </conditionalFormatting>
  <conditionalFormatting sqref="D62">
    <cfRule type="cellIs" dxfId="728" priority="11" stopIfTrue="1" operator="equal">
      <formula>0</formula>
    </cfRule>
  </conditionalFormatting>
  <conditionalFormatting sqref="H62">
    <cfRule type="cellIs" dxfId="727" priority="9" stopIfTrue="1" operator="equal">
      <formula>0</formula>
    </cfRule>
  </conditionalFormatting>
  <conditionalFormatting sqref="E62:G62">
    <cfRule type="cellIs" dxfId="726" priority="10" stopIfTrue="1" operator="equal">
      <formula>0</formula>
    </cfRule>
  </conditionalFormatting>
  <conditionalFormatting sqref="C63">
    <cfRule type="cellIs" dxfId="725" priority="8" stopIfTrue="1" operator="equal">
      <formula>0</formula>
    </cfRule>
  </conditionalFormatting>
  <conditionalFormatting sqref="D63">
    <cfRule type="cellIs" dxfId="724" priority="7" stopIfTrue="1" operator="equal">
      <formula>0</formula>
    </cfRule>
  </conditionalFormatting>
  <conditionalFormatting sqref="H63">
    <cfRule type="cellIs" dxfId="723" priority="5" stopIfTrue="1" operator="equal">
      <formula>0</formula>
    </cfRule>
  </conditionalFormatting>
  <conditionalFormatting sqref="E63:G63">
    <cfRule type="cellIs" dxfId="722" priority="6" stopIfTrue="1" operator="equal">
      <formula>0</formula>
    </cfRule>
  </conditionalFormatting>
  <conditionalFormatting sqref="C64">
    <cfRule type="cellIs" dxfId="721" priority="4" stopIfTrue="1" operator="equal">
      <formula>0</formula>
    </cfRule>
  </conditionalFormatting>
  <conditionalFormatting sqref="D64">
    <cfRule type="cellIs" dxfId="720" priority="3" stopIfTrue="1" operator="equal">
      <formula>0</formula>
    </cfRule>
  </conditionalFormatting>
  <conditionalFormatting sqref="E64:G64">
    <cfRule type="cellIs" dxfId="719" priority="2" stopIfTrue="1" operator="equal">
      <formula>0</formula>
    </cfRule>
  </conditionalFormatting>
  <dataValidations count="1">
    <dataValidation allowBlank="1" showInputMessage="1" sqref="E45:G64" xr:uid="{00000000-0002-0000-1A00-000000000000}"/>
  </dataValidations>
  <pageMargins left="0.56000000000000005" right="0.36" top="0.75" bottom="0.76" header="0.4921259845" footer="0.4921259845"/>
  <pageSetup paperSize="9" scale="54" orientation="portrait" horizontalDpi="1200" verticalDpi="1200"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Tabelle22">
    <tabColor indexed="50"/>
    <pageSetUpPr fitToPage="1"/>
  </sheetPr>
  <dimension ref="B1:L70"/>
  <sheetViews>
    <sheetView showGridLines="0" view="pageBreakPreview" zoomScale="70" zoomScaleNormal="75" zoomScaleSheetLayoutView="70" workbookViewId="0">
      <selection activeCell="J40" sqref="J40"/>
    </sheetView>
  </sheetViews>
  <sheetFormatPr baseColWidth="10" defaultColWidth="11.42578125" defaultRowHeight="12.75" x14ac:dyDescent="0.2"/>
  <cols>
    <col min="1" max="1" width="1.5703125" style="207" customWidth="1"/>
    <col min="2" max="2" width="8.85546875" style="207" customWidth="1"/>
    <col min="3" max="3" width="23.7109375" style="207" customWidth="1"/>
    <col min="4" max="4" width="15.7109375" style="207" customWidth="1"/>
    <col min="5" max="5" width="14.140625" style="207" customWidth="1"/>
    <col min="6" max="6" width="17.42578125" style="207" bestFit="1" customWidth="1"/>
    <col min="7" max="7" width="32.7109375" style="207" customWidth="1"/>
    <col min="8" max="8" width="17.85546875" style="207" customWidth="1"/>
    <col min="9" max="9" width="22.7109375" style="207" customWidth="1"/>
    <col min="10" max="10" width="14.140625" style="207" customWidth="1"/>
    <col min="11" max="11" width="4.42578125" style="207" customWidth="1"/>
    <col min="12" max="12" width="1.42578125" style="207" customWidth="1"/>
    <col min="13" max="13" width="11.42578125" style="207"/>
    <col min="14" max="14" width="14.28515625" style="207" customWidth="1"/>
    <col min="15" max="16384" width="11.42578125" style="207"/>
  </cols>
  <sheetData>
    <row r="1" spans="2:11" ht="43.5" customHeight="1" x14ac:dyDescent="0.25">
      <c r="B1" s="3209" t="str">
        <f>Dateneingabe!F1&amp;Dateneingabe!I1</f>
        <v>Ausschreibung GCC vertikalRev. 0563b</v>
      </c>
      <c r="C1" s="3209"/>
      <c r="D1" s="3209"/>
      <c r="E1" s="3209"/>
      <c r="F1" s="3209"/>
      <c r="G1" s="3209"/>
      <c r="H1" s="3209"/>
      <c r="I1" s="3210"/>
      <c r="J1" s="3210"/>
      <c r="K1" s="3210"/>
    </row>
    <row r="2" spans="2:11" ht="18" x14ac:dyDescent="0.2">
      <c r="B2" s="222"/>
      <c r="C2" s="222"/>
      <c r="D2" s="223" t="s">
        <v>30204</v>
      </c>
      <c r="E2" s="222"/>
      <c r="F2" s="222"/>
      <c r="G2" s="222"/>
      <c r="H2" s="222"/>
    </row>
    <row r="3" spans="2:11" ht="18" x14ac:dyDescent="0.2">
      <c r="C3" s="1566" t="s">
        <v>438</v>
      </c>
      <c r="D3" s="3211" t="str">
        <f>Dateneingabe!F3</f>
        <v>05217112</v>
      </c>
      <c r="E3" s="3212"/>
      <c r="F3" s="3212"/>
      <c r="G3" s="210" t="str">
        <f>"-"&amp;Dateneingabe!H3</f>
        <v>-200</v>
      </c>
      <c r="H3" s="208"/>
      <c r="I3" s="211"/>
    </row>
    <row r="4" spans="2:11" ht="3.2" customHeight="1" x14ac:dyDescent="0.2">
      <c r="C4" s="1566"/>
      <c r="D4" s="208"/>
      <c r="E4" s="208"/>
      <c r="F4" s="208"/>
      <c r="G4" s="208"/>
      <c r="H4" s="208"/>
      <c r="I4" s="211"/>
    </row>
    <row r="5" spans="2:11" ht="18" x14ac:dyDescent="0.25">
      <c r="C5" s="1566" t="s">
        <v>440</v>
      </c>
      <c r="D5" s="3213" t="str">
        <f>Dateneingabe!F5</f>
        <v>5101.002095</v>
      </c>
      <c r="E5" s="3214"/>
      <c r="F5" s="212"/>
      <c r="G5" s="1566" t="s">
        <v>441</v>
      </c>
      <c r="H5" s="224" t="str">
        <f>Dateneingabe!H3</f>
        <v>200</v>
      </c>
    </row>
    <row r="6" spans="2:11" ht="3.2" customHeight="1" x14ac:dyDescent="0.2">
      <c r="C6" s="1566"/>
      <c r="D6" s="208"/>
      <c r="E6" s="208"/>
      <c r="F6" s="208"/>
      <c r="G6" s="208"/>
      <c r="H6" s="208"/>
      <c r="I6" s="211"/>
    </row>
    <row r="7" spans="2:11" ht="18" customHeight="1" x14ac:dyDescent="0.25">
      <c r="C7" s="1566" t="s">
        <v>443</v>
      </c>
      <c r="D7" s="3217" t="str">
        <f>Dateneingabe!F17&amp;" / "&amp;Dateneingabe!F19</f>
        <v>Element Logic Germany GmbH / Emil Lux GmbH</v>
      </c>
      <c r="E7" s="3218"/>
      <c r="F7" s="3218"/>
      <c r="G7" s="3218"/>
      <c r="H7" s="3218"/>
      <c r="I7" s="3218"/>
      <c r="J7" s="3218"/>
      <c r="K7" s="3219"/>
    </row>
    <row r="8" spans="2:11" ht="3.2" customHeight="1" x14ac:dyDescent="0.2">
      <c r="C8" s="1566"/>
      <c r="D8" s="208"/>
      <c r="E8" s="208"/>
      <c r="F8" s="208"/>
      <c r="G8" s="208"/>
      <c r="H8" s="3215"/>
      <c r="I8" s="3216"/>
      <c r="J8" s="3216"/>
    </row>
    <row r="9" spans="2:11" ht="18" x14ac:dyDescent="0.2">
      <c r="C9" s="1566" t="s">
        <v>444</v>
      </c>
      <c r="D9" s="216">
        <f>Dateneingabe!F7</f>
        <v>1</v>
      </c>
      <c r="E9" s="1567"/>
      <c r="F9" s="306" t="s">
        <v>28540</v>
      </c>
      <c r="G9" s="3189" t="str">
        <f>Dateneingabe!F46</f>
        <v>Standardfarbgebung</v>
      </c>
      <c r="H9" s="3190"/>
      <c r="I9" s="3191"/>
      <c r="J9" s="1111" t="str">
        <f>"RAL"&amp;Dateneingabe!H46</f>
        <v>RAL7016</v>
      </c>
    </row>
    <row r="10" spans="2:11" ht="3.2" customHeight="1" x14ac:dyDescent="0.2">
      <c r="C10" s="1566"/>
      <c r="D10" s="208"/>
      <c r="E10" s="1567"/>
      <c r="F10" s="1567"/>
      <c r="G10" s="208"/>
      <c r="I10" s="218"/>
    </row>
    <row r="11" spans="2:11" ht="20.25" customHeight="1" x14ac:dyDescent="0.2">
      <c r="C11" s="1566"/>
      <c r="D11" s="208"/>
      <c r="E11" s="1567"/>
      <c r="F11" s="306" t="s">
        <v>28539</v>
      </c>
      <c r="G11" s="3189" t="str">
        <f>Dateneingabe!F48</f>
        <v>Standardfarbgebung</v>
      </c>
      <c r="H11" s="3190"/>
      <c r="I11" s="3191"/>
      <c r="J11" s="1111" t="str">
        <f>"RAL"&amp;Dateneingabe!H48</f>
        <v>RAL7016</v>
      </c>
    </row>
    <row r="12" spans="2:11" ht="3.2" customHeight="1" x14ac:dyDescent="0.2">
      <c r="C12" s="1566"/>
      <c r="D12" s="208"/>
      <c r="E12" s="208"/>
      <c r="F12" s="208"/>
      <c r="G12" s="208"/>
      <c r="I12" s="218"/>
    </row>
    <row r="13" spans="2:11" ht="18" x14ac:dyDescent="0.2">
      <c r="C13" s="1566" t="s">
        <v>446</v>
      </c>
      <c r="D13" s="3228">
        <f>Dateneingabe!F9</f>
        <v>44622</v>
      </c>
      <c r="E13" s="3229"/>
      <c r="F13" s="1568"/>
      <c r="G13" s="220"/>
      <c r="H13" s="306" t="s">
        <v>527</v>
      </c>
      <c r="I13" s="3189" t="str">
        <f>Dateneingabe!F42</f>
        <v>Stahlblech verzinkt</v>
      </c>
      <c r="J13" s="3190"/>
      <c r="K13" s="3191"/>
    </row>
    <row r="14" spans="2:11" ht="3.2" customHeight="1" x14ac:dyDescent="0.2">
      <c r="C14" s="1566"/>
      <c r="D14" s="225"/>
      <c r="E14" s="208"/>
      <c r="F14" s="208"/>
      <c r="G14" s="208"/>
      <c r="H14" s="208"/>
      <c r="I14" s="211"/>
    </row>
    <row r="15" spans="2:11" ht="18" x14ac:dyDescent="0.25">
      <c r="C15" s="1566" t="s">
        <v>447</v>
      </c>
      <c r="D15" s="3192" t="str">
        <f>Dateneingabe!F15</f>
        <v>MiWo</v>
      </c>
      <c r="E15" s="3193"/>
      <c r="F15" s="212"/>
      <c r="G15" s="1566" t="s">
        <v>448</v>
      </c>
      <c r="H15" s="219">
        <f>Dateneingabe!F13</f>
        <v>44594</v>
      </c>
      <c r="I15" s="227"/>
      <c r="K15" s="3276"/>
    </row>
    <row r="16" spans="2:11" ht="3.2" customHeight="1" x14ac:dyDescent="0.25">
      <c r="C16" s="209"/>
      <c r="D16" s="228"/>
      <c r="E16" s="228"/>
      <c r="F16" s="212"/>
      <c r="G16" s="226"/>
      <c r="H16" s="229"/>
      <c r="I16" s="227"/>
      <c r="K16" s="3276"/>
    </row>
    <row r="17" spans="2:12" ht="24" customHeight="1" x14ac:dyDescent="0.25">
      <c r="C17" s="209"/>
      <c r="D17" s="228"/>
      <c r="E17" s="228"/>
      <c r="F17" s="212"/>
      <c r="G17" s="226"/>
      <c r="H17" s="229"/>
      <c r="I17" s="227"/>
      <c r="K17" s="1972"/>
    </row>
    <row r="18" spans="2:12" ht="24" customHeight="1" x14ac:dyDescent="0.2">
      <c r="C18" s="209" t="s">
        <v>30202</v>
      </c>
      <c r="D18" s="3278" t="s">
        <v>30205</v>
      </c>
      <c r="E18" s="3279"/>
      <c r="F18" s="3279"/>
      <c r="G18" s="3279"/>
      <c r="H18" s="3279"/>
      <c r="I18" s="3280"/>
      <c r="K18" s="1972"/>
    </row>
    <row r="19" spans="2:12" ht="24" customHeight="1" x14ac:dyDescent="0.2">
      <c r="C19" s="209"/>
      <c r="D19" s="3281"/>
      <c r="E19" s="3282"/>
      <c r="F19" s="3282"/>
      <c r="G19" s="3282"/>
      <c r="H19" s="3282"/>
      <c r="I19" s="3283"/>
      <c r="K19" s="1972"/>
    </row>
    <row r="20" spans="2:12" ht="24" customHeight="1" x14ac:dyDescent="0.2">
      <c r="C20" s="209"/>
      <c r="D20" s="3281"/>
      <c r="E20" s="3282"/>
      <c r="F20" s="3282"/>
      <c r="G20" s="3282"/>
      <c r="H20" s="3282"/>
      <c r="I20" s="3283"/>
      <c r="K20" s="1972"/>
    </row>
    <row r="21" spans="2:12" ht="24" customHeight="1" x14ac:dyDescent="0.2">
      <c r="C21" s="209"/>
      <c r="D21" s="3284"/>
      <c r="E21" s="3285"/>
      <c r="F21" s="3285"/>
      <c r="G21" s="3285"/>
      <c r="H21" s="3285"/>
      <c r="I21" s="3286"/>
      <c r="K21" s="1972"/>
    </row>
    <row r="22" spans="2:12" ht="24" customHeight="1" thickBot="1" x14ac:dyDescent="0.25">
      <c r="C22" s="209"/>
      <c r="D22" s="3277" t="str">
        <f>IF(Dateneingabe!H184=1,"Achtung: Intumatversiegelung für Promaseal","")</f>
        <v/>
      </c>
      <c r="E22" s="3277"/>
      <c r="F22" s="3277"/>
      <c r="G22" s="3277"/>
      <c r="H22" s="3277"/>
      <c r="I22" s="3277"/>
      <c r="K22" s="1972"/>
    </row>
    <row r="23" spans="2:12" ht="24" customHeight="1" thickBot="1" x14ac:dyDescent="0.25">
      <c r="B23" s="3265" t="s">
        <v>29076</v>
      </c>
      <c r="C23" s="3266"/>
      <c r="D23" s="3266"/>
      <c r="E23" s="3266"/>
      <c r="F23" s="3266"/>
      <c r="G23" s="3266"/>
      <c r="H23" s="3266"/>
      <c r="I23" s="3266"/>
      <c r="J23" s="3266"/>
      <c r="K23" s="3267"/>
      <c r="L23" s="214"/>
    </row>
    <row r="24" spans="2:12" ht="3.2" customHeight="1" x14ac:dyDescent="0.2">
      <c r="B24" s="1555"/>
      <c r="C24" s="1556"/>
      <c r="D24" s="1556"/>
      <c r="E24" s="1556"/>
      <c r="F24" s="1556"/>
      <c r="G24" s="1556"/>
      <c r="H24" s="1556"/>
      <c r="I24" s="1556"/>
      <c r="J24" s="1556"/>
      <c r="K24" s="1556"/>
      <c r="L24" s="214"/>
    </row>
    <row r="25" spans="2:12" ht="21.95" customHeight="1" x14ac:dyDescent="0.2">
      <c r="B25" s="1558"/>
      <c r="C25" s="3268" t="s">
        <v>29072</v>
      </c>
      <c r="D25" s="3269"/>
      <c r="E25" s="3269"/>
      <c r="F25" s="3269"/>
      <c r="G25" s="3269"/>
      <c r="H25" s="3270"/>
      <c r="I25" s="1553"/>
      <c r="J25" s="1553"/>
      <c r="K25" s="1553"/>
      <c r="L25" s="241"/>
    </row>
    <row r="26" spans="2:12" ht="21.95" customHeight="1" x14ac:dyDescent="0.2">
      <c r="B26" s="1558"/>
      <c r="C26" s="1560" t="s">
        <v>299</v>
      </c>
      <c r="D26" s="1561" t="s">
        <v>30203</v>
      </c>
      <c r="E26" s="3271" t="s">
        <v>544</v>
      </c>
      <c r="F26" s="3272"/>
      <c r="G26" s="3272"/>
      <c r="H26" s="1562" t="s">
        <v>30201</v>
      </c>
      <c r="I26" s="1553"/>
      <c r="J26" s="1553"/>
      <c r="K26" s="1553"/>
      <c r="L26" s="241"/>
    </row>
    <row r="27" spans="2:12" ht="21.95" customHeight="1" x14ac:dyDescent="0.2">
      <c r="B27" s="1558"/>
      <c r="C27" s="1563">
        <f>Liste!D271</f>
        <v>1</v>
      </c>
      <c r="D27" s="1564">
        <f>Liste!F271</f>
        <v>550</v>
      </c>
      <c r="E27" s="3273" t="str">
        <f>Liste!B271</f>
        <v>Promatect H-25 Streifen 100mm breit</v>
      </c>
      <c r="F27" s="3274"/>
      <c r="G27" s="3275"/>
      <c r="H27" s="1211" t="str">
        <f>Liste!C271</f>
        <v>0202024</v>
      </c>
      <c r="I27" s="1553"/>
      <c r="J27" s="1553"/>
      <c r="K27" s="1553"/>
      <c r="L27" s="241"/>
    </row>
    <row r="28" spans="2:12" ht="21.95" customHeight="1" x14ac:dyDescent="0.2">
      <c r="B28" s="1558"/>
      <c r="C28" s="1563">
        <f>Liste!D272</f>
        <v>0</v>
      </c>
      <c r="D28" s="1564">
        <f>Liste!F272</f>
        <v>0</v>
      </c>
      <c r="E28" s="3273" t="str">
        <f>Liste!B272</f>
        <v>Promatect H-25 Streifen 100mm breit</v>
      </c>
      <c r="F28" s="3274"/>
      <c r="G28" s="3275"/>
      <c r="H28" s="1211" t="str">
        <f>Liste!C272</f>
        <v>0202024</v>
      </c>
      <c r="I28" s="1553"/>
      <c r="J28" s="1553"/>
      <c r="K28" s="1553"/>
      <c r="L28" s="241"/>
    </row>
    <row r="29" spans="2:12" ht="21.95" customHeight="1" x14ac:dyDescent="0.2">
      <c r="B29" s="1558"/>
      <c r="C29" s="3268" t="s">
        <v>29070</v>
      </c>
      <c r="D29" s="3269"/>
      <c r="E29" s="3269"/>
      <c r="F29" s="3269"/>
      <c r="G29" s="3269"/>
      <c r="H29" s="3270"/>
      <c r="I29" s="1553"/>
      <c r="J29" s="1553"/>
      <c r="K29" s="1553"/>
      <c r="L29" s="241"/>
    </row>
    <row r="30" spans="2:12" ht="21.95" customHeight="1" x14ac:dyDescent="0.2">
      <c r="B30" s="1558"/>
      <c r="C30" s="1560" t="s">
        <v>299</v>
      </c>
      <c r="D30" s="1561" t="s">
        <v>30203</v>
      </c>
      <c r="E30" s="3271" t="s">
        <v>544</v>
      </c>
      <c r="F30" s="3272"/>
      <c r="G30" s="3272"/>
      <c r="H30" s="1562" t="s">
        <v>30201</v>
      </c>
      <c r="I30" s="1553"/>
      <c r="J30" s="1553"/>
      <c r="K30" s="1553"/>
      <c r="L30" s="241"/>
    </row>
    <row r="31" spans="2:12" ht="21.95" customHeight="1" x14ac:dyDescent="0.2">
      <c r="B31" s="1558"/>
      <c r="C31" s="1563">
        <f>Liste!$A$268/2</f>
        <v>1</v>
      </c>
      <c r="D31" s="1564">
        <f>Liste!$F$268</f>
        <v>550</v>
      </c>
      <c r="E31" s="3273" t="str">
        <f>Liste!$B$268</f>
        <v>Fireflystreifen 2100 x 100 mm Dichtrahmen OS hor / GCC</v>
      </c>
      <c r="F31" s="3274"/>
      <c r="G31" s="3275"/>
      <c r="H31" s="1565" t="str">
        <f>Liste!$C$268</f>
        <v>0305029</v>
      </c>
      <c r="I31" s="1553"/>
      <c r="J31" s="1553"/>
      <c r="K31" s="1553"/>
      <c r="L31" s="241"/>
    </row>
    <row r="32" spans="2:12" ht="3.2" customHeight="1" thickBot="1" x14ac:dyDescent="0.25">
      <c r="B32" s="1558"/>
      <c r="C32" s="242"/>
      <c r="D32" s="236"/>
      <c r="E32" s="237"/>
      <c r="F32" s="237"/>
      <c r="G32" s="1553"/>
      <c r="H32" s="1553"/>
      <c r="I32" s="1553"/>
      <c r="J32" s="1553"/>
      <c r="K32" s="1553"/>
      <c r="L32" s="241"/>
    </row>
    <row r="33" spans="2:12" ht="24" customHeight="1" thickBot="1" x14ac:dyDescent="0.25">
      <c r="B33" s="3265" t="s">
        <v>29077</v>
      </c>
      <c r="C33" s="3266"/>
      <c r="D33" s="3266"/>
      <c r="E33" s="3266"/>
      <c r="F33" s="3266"/>
      <c r="G33" s="3266"/>
      <c r="H33" s="3266"/>
      <c r="I33" s="3266"/>
      <c r="J33" s="3266"/>
      <c r="K33" s="3267"/>
    </row>
    <row r="34" spans="2:12" ht="3.2" customHeight="1" x14ac:dyDescent="0.2">
      <c r="B34" s="1555"/>
      <c r="C34" s="1556"/>
      <c r="D34" s="1556"/>
      <c r="E34" s="1556"/>
      <c r="F34" s="1556"/>
      <c r="G34" s="1556"/>
      <c r="H34" s="1556"/>
      <c r="I34" s="1556"/>
      <c r="J34" s="1556"/>
      <c r="K34" s="1556"/>
      <c r="L34" s="241"/>
    </row>
    <row r="35" spans="2:12" ht="21.95" customHeight="1" x14ac:dyDescent="0.2">
      <c r="B35" s="1558"/>
      <c r="C35" s="3268" t="s">
        <v>29072</v>
      </c>
      <c r="D35" s="3269"/>
      <c r="E35" s="3269"/>
      <c r="F35" s="3269"/>
      <c r="G35" s="3269"/>
      <c r="H35" s="3270"/>
      <c r="I35" s="1553"/>
      <c r="J35" s="1553"/>
      <c r="K35" s="1553"/>
      <c r="L35" s="241"/>
    </row>
    <row r="36" spans="2:12" ht="21.95" customHeight="1" x14ac:dyDescent="0.2">
      <c r="B36" s="1558"/>
      <c r="C36" s="1560" t="s">
        <v>299</v>
      </c>
      <c r="D36" s="1561" t="s">
        <v>30203</v>
      </c>
      <c r="E36" s="3271" t="s">
        <v>544</v>
      </c>
      <c r="F36" s="3272"/>
      <c r="G36" s="3272"/>
      <c r="H36" s="1562" t="s">
        <v>30201</v>
      </c>
      <c r="I36" s="1553"/>
      <c r="J36" s="1553"/>
      <c r="K36" s="1553"/>
      <c r="L36" s="241"/>
    </row>
    <row r="37" spans="2:12" ht="21.95" customHeight="1" x14ac:dyDescent="0.2">
      <c r="B37" s="1558"/>
      <c r="C37" s="1563">
        <f>Liste!D273</f>
        <v>1</v>
      </c>
      <c r="D37" s="1564">
        <f>Liste!F273</f>
        <v>550</v>
      </c>
      <c r="E37" s="3273" t="str">
        <f>Liste!B273</f>
        <v>Promatect H-25 Streifen 100mm breit</v>
      </c>
      <c r="F37" s="3274"/>
      <c r="G37" s="3275"/>
      <c r="H37" s="1211" t="str">
        <f>Liste!C273</f>
        <v>0202024</v>
      </c>
      <c r="I37" s="1553"/>
      <c r="J37" s="1553"/>
      <c r="K37" s="1553"/>
      <c r="L37" s="241"/>
    </row>
    <row r="38" spans="2:12" ht="21.95" customHeight="1" x14ac:dyDescent="0.2">
      <c r="B38" s="1558"/>
      <c r="C38" s="1563">
        <f>Liste!D274</f>
        <v>0</v>
      </c>
      <c r="D38" s="1564">
        <f>Liste!F274</f>
        <v>0</v>
      </c>
      <c r="E38" s="3273" t="str">
        <f>Liste!B274</f>
        <v>Promatect H-25 Streifen 100mm breit</v>
      </c>
      <c r="F38" s="3274"/>
      <c r="G38" s="3275"/>
      <c r="H38" s="1211" t="str">
        <f>Liste!C274</f>
        <v>0202024</v>
      </c>
      <c r="I38" s="1553"/>
      <c r="J38" s="1553"/>
      <c r="K38" s="1553"/>
      <c r="L38" s="241"/>
    </row>
    <row r="39" spans="2:12" ht="21.95" customHeight="1" x14ac:dyDescent="0.2">
      <c r="B39" s="1558"/>
      <c r="C39" s="3268" t="s">
        <v>29070</v>
      </c>
      <c r="D39" s="3269"/>
      <c r="E39" s="3269"/>
      <c r="F39" s="3269"/>
      <c r="G39" s="3269"/>
      <c r="H39" s="3270"/>
      <c r="I39" s="1553"/>
      <c r="J39" s="1553"/>
      <c r="K39" s="1553"/>
      <c r="L39" s="241"/>
    </row>
    <row r="40" spans="2:12" ht="21.95" customHeight="1" x14ac:dyDescent="0.2">
      <c r="B40" s="1558"/>
      <c r="C40" s="1560" t="s">
        <v>299</v>
      </c>
      <c r="D40" s="1561" t="s">
        <v>30203</v>
      </c>
      <c r="E40" s="3271" t="s">
        <v>544</v>
      </c>
      <c r="F40" s="3272"/>
      <c r="G40" s="3272"/>
      <c r="H40" s="1562" t="s">
        <v>30201</v>
      </c>
      <c r="I40" s="1553"/>
      <c r="J40" s="1553"/>
      <c r="K40" s="1553"/>
      <c r="L40" s="241"/>
    </row>
    <row r="41" spans="2:12" ht="21.95" customHeight="1" x14ac:dyDescent="0.2">
      <c r="B41" s="1558"/>
      <c r="C41" s="1563">
        <f>Liste!$A$268/2</f>
        <v>1</v>
      </c>
      <c r="D41" s="1564">
        <f>Liste!$F$268</f>
        <v>550</v>
      </c>
      <c r="E41" s="3273" t="str">
        <f>Liste!$B$268</f>
        <v>Fireflystreifen 2100 x 100 mm Dichtrahmen OS hor / GCC</v>
      </c>
      <c r="F41" s="3274"/>
      <c r="G41" s="3275"/>
      <c r="H41" s="1565" t="str">
        <f>Liste!$C$268</f>
        <v>0305029</v>
      </c>
      <c r="I41" s="1553"/>
      <c r="J41" s="1553"/>
      <c r="K41" s="1553"/>
      <c r="L41" s="241"/>
    </row>
    <row r="42" spans="2:12" ht="3.2" customHeight="1" thickBot="1" x14ac:dyDescent="0.4">
      <c r="B42" s="1557"/>
      <c r="C42" s="1559"/>
      <c r="D42" s="1559"/>
      <c r="E42" s="1559"/>
      <c r="F42" s="1559"/>
      <c r="G42" s="1559"/>
      <c r="H42" s="1559"/>
      <c r="I42" s="1559"/>
      <c r="J42" s="1559"/>
      <c r="K42" s="1559"/>
    </row>
    <row r="43" spans="2:12" ht="23.25" customHeight="1" thickBot="1" x14ac:dyDescent="0.25">
      <c r="B43" s="3265" t="s">
        <v>29071</v>
      </c>
      <c r="C43" s="3266"/>
      <c r="D43" s="3266"/>
      <c r="E43" s="3266"/>
      <c r="F43" s="3266"/>
      <c r="G43" s="3266"/>
      <c r="H43" s="3266"/>
      <c r="I43" s="3266"/>
      <c r="J43" s="3266"/>
      <c r="K43" s="3267"/>
      <c r="L43" s="241"/>
    </row>
    <row r="44" spans="2:12" ht="3.2" customHeight="1" x14ac:dyDescent="0.2">
      <c r="B44" s="1555"/>
      <c r="C44" s="1556"/>
      <c r="D44" s="1556"/>
      <c r="E44" s="1556"/>
      <c r="F44" s="1556"/>
      <c r="G44" s="1556"/>
      <c r="H44" s="1556"/>
      <c r="I44" s="1556"/>
      <c r="J44" s="1556"/>
      <c r="K44" s="1556"/>
      <c r="L44" s="241"/>
    </row>
    <row r="45" spans="2:12" ht="21.95" customHeight="1" x14ac:dyDescent="0.2">
      <c r="B45" s="1558"/>
      <c r="C45" s="3268" t="s">
        <v>29072</v>
      </c>
      <c r="D45" s="3269"/>
      <c r="E45" s="3269"/>
      <c r="F45" s="3269"/>
      <c r="G45" s="3269"/>
      <c r="H45" s="3270"/>
      <c r="I45" s="1553"/>
      <c r="J45" s="1553"/>
      <c r="K45" s="1553"/>
      <c r="L45" s="241"/>
    </row>
    <row r="46" spans="2:12" ht="21.95" customHeight="1" x14ac:dyDescent="0.2">
      <c r="B46" s="1558"/>
      <c r="C46" s="1560" t="s">
        <v>299</v>
      </c>
      <c r="D46" s="1561" t="s">
        <v>30203</v>
      </c>
      <c r="E46" s="3271" t="s">
        <v>544</v>
      </c>
      <c r="F46" s="3272"/>
      <c r="G46" s="3272"/>
      <c r="H46" s="1562" t="s">
        <v>30201</v>
      </c>
      <c r="I46" s="1553"/>
      <c r="J46" s="1553"/>
      <c r="K46" s="1553"/>
      <c r="L46" s="241"/>
    </row>
    <row r="47" spans="2:12" ht="21.95" customHeight="1" x14ac:dyDescent="0.2">
      <c r="B47" s="1558"/>
      <c r="C47" s="1563">
        <f>Liste!D269</f>
        <v>1</v>
      </c>
      <c r="D47" s="1564">
        <f>Liste!F269</f>
        <v>1100</v>
      </c>
      <c r="E47" s="3273" t="str">
        <f>Liste!B269</f>
        <v>Promatect H-25 Streifen 100mm breit</v>
      </c>
      <c r="F47" s="3274"/>
      <c r="G47" s="3275"/>
      <c r="H47" s="1211" t="str">
        <f>Liste!C269</f>
        <v>0202024</v>
      </c>
      <c r="I47" s="1553"/>
      <c r="J47" s="1553"/>
      <c r="K47" s="1553"/>
      <c r="L47" s="241"/>
    </row>
    <row r="48" spans="2:12" ht="21.95" customHeight="1" x14ac:dyDescent="0.2">
      <c r="B48" s="1558"/>
      <c r="C48" s="1563">
        <f>Liste!D270</f>
        <v>0</v>
      </c>
      <c r="D48" s="1564">
        <f>Liste!F270</f>
        <v>0</v>
      </c>
      <c r="E48" s="3273" t="str">
        <f>Liste!B270</f>
        <v>Promatect H-25 Streifen 100mm breit</v>
      </c>
      <c r="F48" s="3274"/>
      <c r="G48" s="3275"/>
      <c r="H48" s="1211" t="str">
        <f>Liste!C270</f>
        <v>0202024</v>
      </c>
      <c r="I48" s="1553"/>
      <c r="J48" s="1553"/>
      <c r="K48" s="1553"/>
      <c r="L48" s="241"/>
    </row>
    <row r="49" spans="2:12" ht="21.95" customHeight="1" x14ac:dyDescent="0.2">
      <c r="B49" s="1558"/>
      <c r="C49" s="3268" t="s">
        <v>29070</v>
      </c>
      <c r="D49" s="3269"/>
      <c r="E49" s="3269"/>
      <c r="F49" s="3269"/>
      <c r="G49" s="3269"/>
      <c r="H49" s="3270"/>
      <c r="I49" s="1553"/>
      <c r="J49" s="1553"/>
      <c r="K49" s="1553"/>
      <c r="L49" s="241"/>
    </row>
    <row r="50" spans="2:12" ht="21.95" customHeight="1" x14ac:dyDescent="0.2">
      <c r="B50" s="1558"/>
      <c r="C50" s="1560" t="s">
        <v>299</v>
      </c>
      <c r="D50" s="1561" t="s">
        <v>30203</v>
      </c>
      <c r="E50" s="3271" t="s">
        <v>544</v>
      </c>
      <c r="F50" s="3272"/>
      <c r="G50" s="3272"/>
      <c r="H50" s="1562" t="s">
        <v>30201</v>
      </c>
      <c r="I50" s="1553"/>
      <c r="J50" s="1553"/>
      <c r="K50" s="1553"/>
      <c r="L50" s="241"/>
    </row>
    <row r="51" spans="2:12" ht="21.95" customHeight="1" x14ac:dyDescent="0.2">
      <c r="B51" s="1558"/>
      <c r="C51" s="1563">
        <f>Liste!A265</f>
        <v>1</v>
      </c>
      <c r="D51" s="1564">
        <f>Liste!F265</f>
        <v>1100</v>
      </c>
      <c r="E51" s="3273" t="str">
        <f>Liste!B265</f>
        <v>Fireflystreifen 2100 x 100 mm Dichtrahmen OS hor / GCC</v>
      </c>
      <c r="F51" s="3274"/>
      <c r="G51" s="3275"/>
      <c r="H51" s="1565" t="str">
        <f>Liste!C265</f>
        <v>0305029</v>
      </c>
      <c r="I51" s="1553"/>
      <c r="J51" s="1553"/>
      <c r="K51" s="1553"/>
    </row>
    <row r="52" spans="2:12" ht="3.2" customHeight="1" thickBot="1" x14ac:dyDescent="0.25">
      <c r="B52" s="1558"/>
      <c r="C52" s="235"/>
      <c r="D52" s="236"/>
      <c r="E52" s="237"/>
      <c r="F52" s="237"/>
      <c r="G52" s="238"/>
      <c r="H52" s="239"/>
      <c r="I52" s="270"/>
      <c r="J52" s="1554"/>
      <c r="K52" s="1554"/>
      <c r="L52" s="241"/>
    </row>
    <row r="53" spans="2:12" ht="23.25" customHeight="1" thickBot="1" x14ac:dyDescent="0.25">
      <c r="B53" s="3265" t="s">
        <v>29100</v>
      </c>
      <c r="C53" s="3266"/>
      <c r="D53" s="3266"/>
      <c r="E53" s="3266"/>
      <c r="F53" s="3266"/>
      <c r="G53" s="3266"/>
      <c r="H53" s="3266"/>
      <c r="I53" s="3266"/>
      <c r="J53" s="3266"/>
      <c r="K53" s="3267"/>
      <c r="L53" s="241"/>
    </row>
    <row r="54" spans="2:12" ht="3.2" customHeight="1" x14ac:dyDescent="0.2">
      <c r="B54" s="1555"/>
      <c r="C54" s="1556"/>
      <c r="D54" s="1556"/>
      <c r="E54" s="1556"/>
      <c r="F54" s="1556"/>
      <c r="G54" s="1556"/>
      <c r="H54" s="1556"/>
      <c r="I54" s="1556"/>
      <c r="J54" s="1556"/>
      <c r="K54" s="1556"/>
      <c r="L54" s="241"/>
    </row>
    <row r="55" spans="2:12" ht="21.95" customHeight="1" x14ac:dyDescent="0.2">
      <c r="B55" s="1558"/>
      <c r="C55" s="3268" t="s">
        <v>29070</v>
      </c>
      <c r="D55" s="3269"/>
      <c r="E55" s="3269"/>
      <c r="F55" s="3269"/>
      <c r="G55" s="3269"/>
      <c r="H55" s="3270"/>
      <c r="I55" s="1553"/>
      <c r="J55" s="1553"/>
      <c r="K55" s="1553"/>
      <c r="L55" s="241"/>
    </row>
    <row r="56" spans="2:12" ht="21.95" customHeight="1" x14ac:dyDescent="0.2">
      <c r="B56" s="1558"/>
      <c r="C56" s="1560" t="s">
        <v>299</v>
      </c>
      <c r="D56" s="1561" t="s">
        <v>30203</v>
      </c>
      <c r="E56" s="3271" t="s">
        <v>544</v>
      </c>
      <c r="F56" s="3272"/>
      <c r="G56" s="3272"/>
      <c r="H56" s="1562" t="s">
        <v>30201</v>
      </c>
      <c r="I56" s="1553"/>
      <c r="J56" s="1553"/>
      <c r="K56" s="1553"/>
      <c r="L56" s="241"/>
    </row>
    <row r="57" spans="2:12" ht="21.95" customHeight="1" x14ac:dyDescent="0.2">
      <c r="B57" s="1558"/>
      <c r="C57" s="1563">
        <f>Liste!A143</f>
        <v>1</v>
      </c>
      <c r="D57" s="1564">
        <f>Liste!F143</f>
        <v>1080</v>
      </c>
      <c r="E57" s="3273" t="str">
        <f>Liste!B143</f>
        <v>Fireflystreifen 2mm selbstklebend 116mm</v>
      </c>
      <c r="F57" s="3274"/>
      <c r="G57" s="3275"/>
      <c r="H57" s="1565" t="str">
        <f>Liste!C143</f>
        <v>0308339</v>
      </c>
      <c r="I57" s="1553"/>
      <c r="J57" s="1553"/>
      <c r="K57" s="1553"/>
      <c r="L57" s="241"/>
    </row>
    <row r="58" spans="2:12" ht="3.2" customHeight="1" thickBot="1" x14ac:dyDescent="0.25">
      <c r="B58" s="1558"/>
      <c r="C58" s="235"/>
      <c r="D58" s="236"/>
      <c r="E58" s="237"/>
      <c r="F58" s="237"/>
      <c r="G58" s="238"/>
      <c r="H58" s="239"/>
      <c r="I58" s="270"/>
      <c r="J58" s="1554"/>
      <c r="K58" s="1554"/>
      <c r="L58" s="241"/>
    </row>
    <row r="59" spans="2:12" ht="23.25" customHeight="1" thickBot="1" x14ac:dyDescent="0.25">
      <c r="B59" s="3265" t="s">
        <v>29099</v>
      </c>
      <c r="C59" s="3266"/>
      <c r="D59" s="3266"/>
      <c r="E59" s="3266"/>
      <c r="F59" s="3266"/>
      <c r="G59" s="3266"/>
      <c r="H59" s="3266"/>
      <c r="I59" s="3266"/>
      <c r="J59" s="3266"/>
      <c r="K59" s="3267"/>
      <c r="L59" s="241"/>
    </row>
    <row r="60" spans="2:12" ht="3.2" customHeight="1" x14ac:dyDescent="0.2">
      <c r="B60" s="1555"/>
      <c r="C60" s="1556"/>
      <c r="D60" s="1556"/>
      <c r="E60" s="1556"/>
      <c r="F60" s="1556"/>
      <c r="G60" s="1556"/>
      <c r="H60" s="1556"/>
      <c r="I60" s="1556"/>
      <c r="J60" s="1556"/>
      <c r="K60" s="1556"/>
      <c r="L60" s="241"/>
    </row>
    <row r="61" spans="2:12" ht="21.95" customHeight="1" x14ac:dyDescent="0.2">
      <c r="B61" s="1558"/>
      <c r="C61" s="3268" t="s">
        <v>29072</v>
      </c>
      <c r="D61" s="3269"/>
      <c r="E61" s="3269"/>
      <c r="F61" s="3269"/>
      <c r="G61" s="3269"/>
      <c r="H61" s="3270"/>
      <c r="I61" s="1553"/>
      <c r="J61" s="1553"/>
      <c r="K61" s="1553"/>
      <c r="L61" s="241"/>
    </row>
    <row r="62" spans="2:12" ht="21.95" customHeight="1" x14ac:dyDescent="0.2">
      <c r="B62" s="1558"/>
      <c r="C62" s="1560" t="s">
        <v>299</v>
      </c>
      <c r="D62" s="1561" t="s">
        <v>30203</v>
      </c>
      <c r="E62" s="3271" t="s">
        <v>544</v>
      </c>
      <c r="F62" s="3272"/>
      <c r="G62" s="3272"/>
      <c r="H62" s="1562" t="s">
        <v>30201</v>
      </c>
      <c r="I62" s="1553"/>
      <c r="J62" s="1553"/>
      <c r="K62" s="1553"/>
      <c r="L62" s="241"/>
    </row>
    <row r="63" spans="2:12" ht="21.95" customHeight="1" x14ac:dyDescent="0.2">
      <c r="B63" s="1558"/>
      <c r="C63" s="1563">
        <f>Liste!D260</f>
        <v>0</v>
      </c>
      <c r="D63" s="1564">
        <f>IF(C63&gt;0,Liste!F260,0)</f>
        <v>0</v>
      </c>
      <c r="E63" s="3273">
        <f>IF(C63&gt;0,Liste!B260,0)</f>
        <v>0</v>
      </c>
      <c r="F63" s="3274"/>
      <c r="G63" s="3275"/>
      <c r="H63" s="1565">
        <f>IF(C63&gt;0,Liste!C260,0)</f>
        <v>0</v>
      </c>
      <c r="I63" s="1553"/>
      <c r="J63" s="1553"/>
      <c r="K63" s="1553"/>
      <c r="L63" s="241"/>
    </row>
    <row r="64" spans="2:12" ht="3.2" customHeight="1" thickBot="1" x14ac:dyDescent="0.25">
      <c r="B64" s="1558"/>
      <c r="C64" s="235"/>
      <c r="D64" s="236"/>
      <c r="E64" s="237"/>
      <c r="F64" s="237"/>
      <c r="G64" s="238"/>
      <c r="H64" s="239"/>
      <c r="I64" s="270"/>
      <c r="J64" s="1554"/>
      <c r="K64" s="1554"/>
      <c r="L64" s="241"/>
    </row>
    <row r="65" spans="2:12" ht="23.25" customHeight="1" thickBot="1" x14ac:dyDescent="0.25">
      <c r="B65" s="3265" t="s">
        <v>29181</v>
      </c>
      <c r="C65" s="3266"/>
      <c r="D65" s="3266"/>
      <c r="E65" s="3266"/>
      <c r="F65" s="3266"/>
      <c r="G65" s="3266"/>
      <c r="H65" s="3266"/>
      <c r="I65" s="3266"/>
      <c r="J65" s="3266"/>
      <c r="K65" s="3267"/>
      <c r="L65" s="241"/>
    </row>
    <row r="66" spans="2:12" ht="3.2" customHeight="1" x14ac:dyDescent="0.2">
      <c r="B66" s="1555"/>
      <c r="C66" s="1556"/>
      <c r="D66" s="1556"/>
      <c r="E66" s="1556"/>
      <c r="F66" s="1556"/>
      <c r="G66" s="1556"/>
      <c r="H66" s="1556"/>
      <c r="I66" s="1556"/>
      <c r="J66" s="1556"/>
      <c r="K66" s="1556"/>
      <c r="L66" s="241"/>
    </row>
    <row r="67" spans="2:12" ht="21.95" customHeight="1" x14ac:dyDescent="0.2">
      <c r="B67" s="1558"/>
      <c r="C67" s="3268" t="s">
        <v>30200</v>
      </c>
      <c r="D67" s="3269"/>
      <c r="E67" s="3269"/>
      <c r="F67" s="3269"/>
      <c r="G67" s="3269"/>
      <c r="H67" s="3270"/>
      <c r="I67" s="1553"/>
      <c r="J67" s="1553"/>
      <c r="K67" s="1553"/>
      <c r="L67" s="241"/>
    </row>
    <row r="68" spans="2:12" ht="21.95" customHeight="1" x14ac:dyDescent="0.2">
      <c r="B68" s="1558"/>
      <c r="C68" s="1560" t="s">
        <v>299</v>
      </c>
      <c r="D68" s="1561" t="s">
        <v>30203</v>
      </c>
      <c r="E68" s="3271" t="s">
        <v>544</v>
      </c>
      <c r="F68" s="3272"/>
      <c r="G68" s="3272"/>
      <c r="H68" s="1562" t="s">
        <v>30201</v>
      </c>
      <c r="I68" s="1553"/>
      <c r="J68" s="1553"/>
      <c r="K68" s="1553"/>
      <c r="L68" s="241"/>
    </row>
    <row r="69" spans="2:12" ht="21.95" customHeight="1" x14ac:dyDescent="0.2">
      <c r="B69" s="1558"/>
      <c r="C69" s="1563">
        <f>Liste!C2*2</f>
        <v>2</v>
      </c>
      <c r="D69" s="1564">
        <f>IF(C69&gt;0,Liste!G1/2-3)</f>
        <v>537</v>
      </c>
      <c r="E69" s="3273" t="str">
        <f>IF(C69&gt;0,Liste!B28,0)</f>
        <v>GCC Verstärkungsblech Schieberelement oben verzinkt</v>
      </c>
      <c r="F69" s="3274"/>
      <c r="G69" s="3275"/>
      <c r="H69" s="1565" t="str">
        <f>IF(C69&gt;0,Liste!C28,0)</f>
        <v>0308095</v>
      </c>
      <c r="I69" s="1553"/>
      <c r="J69" s="1553"/>
      <c r="K69" s="1553"/>
      <c r="L69" s="241"/>
    </row>
    <row r="70" spans="2:12" ht="3.2" customHeight="1" x14ac:dyDescent="0.2"/>
  </sheetData>
  <mergeCells count="49">
    <mergeCell ref="G11:I11"/>
    <mergeCell ref="D13:E13"/>
    <mergeCell ref="B1:K1"/>
    <mergeCell ref="D3:F3"/>
    <mergeCell ref="D5:E5"/>
    <mergeCell ref="D7:K7"/>
    <mergeCell ref="H8:J8"/>
    <mergeCell ref="G9:I9"/>
    <mergeCell ref="I13:K13"/>
    <mergeCell ref="D15:E15"/>
    <mergeCell ref="K15:K16"/>
    <mergeCell ref="B43:K43"/>
    <mergeCell ref="C45:H45"/>
    <mergeCell ref="D22:I22"/>
    <mergeCell ref="D18:I21"/>
    <mergeCell ref="E30:G30"/>
    <mergeCell ref="E40:G40"/>
    <mergeCell ref="E41:G41"/>
    <mergeCell ref="B33:K33"/>
    <mergeCell ref="C35:H35"/>
    <mergeCell ref="E36:G36"/>
    <mergeCell ref="E38:G38"/>
    <mergeCell ref="C39:H39"/>
    <mergeCell ref="B23:K23"/>
    <mergeCell ref="C25:H25"/>
    <mergeCell ref="E26:G26"/>
    <mergeCell ref="E28:G28"/>
    <mergeCell ref="C29:H29"/>
    <mergeCell ref="B53:K53"/>
    <mergeCell ref="C55:H55"/>
    <mergeCell ref="E27:G27"/>
    <mergeCell ref="E56:G56"/>
    <mergeCell ref="E57:G57"/>
    <mergeCell ref="E31:G31"/>
    <mergeCell ref="C49:H49"/>
    <mergeCell ref="E50:G50"/>
    <mergeCell ref="E51:G51"/>
    <mergeCell ref="E46:G46"/>
    <mergeCell ref="E48:G48"/>
    <mergeCell ref="E47:G47"/>
    <mergeCell ref="E37:G37"/>
    <mergeCell ref="B65:K65"/>
    <mergeCell ref="C67:H67"/>
    <mergeCell ref="E68:G68"/>
    <mergeCell ref="E69:G69"/>
    <mergeCell ref="B59:K59"/>
    <mergeCell ref="C61:H61"/>
    <mergeCell ref="E62:G62"/>
    <mergeCell ref="E63:G63"/>
  </mergeCells>
  <conditionalFormatting sqref="F1:K6 E8:E12 C7:D13 C5:D5 L1:IV8 M9:IV9 J9 F8:K8 G10:K10 F9:F10 F12:F17 G12 I12:K12 K11 I13:I17 J14:K22 G14:G17 H12:H17 C1:E4 C6:E6 C32:F32 C14:E17 C24:K24 B1:B32 B42:K42 B52:K52 B70:IV65539 L10:IV63 C18:D18 C22:D22 C19:C21">
    <cfRule type="cellIs" dxfId="718" priority="72" stopIfTrue="1" operator="equal">
      <formula>0</formula>
    </cfRule>
  </conditionalFormatting>
  <conditionalFormatting sqref="C35:H35 C40 H40 C39:H39 C36 H36">
    <cfRule type="cellIs" dxfId="717" priority="55" stopIfTrue="1" operator="equal">
      <formula>0</formula>
    </cfRule>
  </conditionalFormatting>
  <conditionalFormatting sqref="J11 F11">
    <cfRule type="cellIs" dxfId="716" priority="58" stopIfTrue="1" operator="equal">
      <formula>0</formula>
    </cfRule>
  </conditionalFormatting>
  <conditionalFormatting sqref="C25:H25 C31:H31 C30 E30:H30 C28:H29 C26 E26:H26">
    <cfRule type="cellIs" dxfId="715" priority="57" stopIfTrue="1" operator="equal">
      <formula>0</formula>
    </cfRule>
  </conditionalFormatting>
  <conditionalFormatting sqref="C34:K34 B33:B41">
    <cfRule type="cellIs" dxfId="714" priority="56" stopIfTrue="1" operator="equal">
      <formula>0</formula>
    </cfRule>
  </conditionalFormatting>
  <conditionalFormatting sqref="E50:G51">
    <cfRule type="cellIs" dxfId="713" priority="51" stopIfTrue="1" operator="equal">
      <formula>0</formula>
    </cfRule>
  </conditionalFormatting>
  <conditionalFormatting sqref="E36:G36">
    <cfRule type="cellIs" dxfId="712" priority="49" stopIfTrue="1" operator="equal">
      <formula>0</formula>
    </cfRule>
  </conditionalFormatting>
  <conditionalFormatting sqref="C44:K44 B43:B51">
    <cfRule type="cellIs" dxfId="711" priority="54" stopIfTrue="1" operator="equal">
      <formula>0</formula>
    </cfRule>
  </conditionalFormatting>
  <conditionalFormatting sqref="C45:H45 C51:D51 H50:H51 C49:H49 C48:D48 H46 C50 C46 H48">
    <cfRule type="cellIs" dxfId="710" priority="53" stopIfTrue="1" operator="equal">
      <formula>0</formula>
    </cfRule>
  </conditionalFormatting>
  <conditionalFormatting sqref="E40:G40">
    <cfRule type="cellIs" dxfId="709" priority="52" stopIfTrue="1" operator="equal">
      <formula>0</formula>
    </cfRule>
  </conditionalFormatting>
  <conditionalFormatting sqref="E46:G46 E48:G48">
    <cfRule type="cellIs" dxfId="708" priority="50" stopIfTrue="1" operator="equal">
      <formula>0</formula>
    </cfRule>
  </conditionalFormatting>
  <conditionalFormatting sqref="C38:H38">
    <cfRule type="cellIs" dxfId="707" priority="46" stopIfTrue="1" operator="equal">
      <formula>0</formula>
    </cfRule>
  </conditionalFormatting>
  <conditionalFormatting sqref="C41:H41">
    <cfRule type="cellIs" dxfId="706" priority="45" stopIfTrue="1" operator="equal">
      <formula>0</formula>
    </cfRule>
  </conditionalFormatting>
  <conditionalFormatting sqref="B58:K58">
    <cfRule type="cellIs" dxfId="705" priority="44" stopIfTrue="1" operator="equal">
      <formula>0</formula>
    </cfRule>
  </conditionalFormatting>
  <conditionalFormatting sqref="C60:K60 B59:B63">
    <cfRule type="cellIs" dxfId="704" priority="33" stopIfTrue="1" operator="equal">
      <formula>0</formula>
    </cfRule>
  </conditionalFormatting>
  <conditionalFormatting sqref="C61:H61 C63:D63 H62:H63 C62">
    <cfRule type="cellIs" dxfId="703" priority="32" stopIfTrue="1" operator="equal">
      <formula>0</formula>
    </cfRule>
  </conditionalFormatting>
  <conditionalFormatting sqref="E62:G63">
    <cfRule type="cellIs" dxfId="702" priority="31" stopIfTrue="1" operator="equal">
      <formula>0</formula>
    </cfRule>
  </conditionalFormatting>
  <conditionalFormatting sqref="C54:K54 B53:B57">
    <cfRule type="cellIs" dxfId="701" priority="30" stopIfTrue="1" operator="equal">
      <formula>0</formula>
    </cfRule>
  </conditionalFormatting>
  <conditionalFormatting sqref="C57:D57 H56:H57 C56">
    <cfRule type="cellIs" dxfId="700" priority="29" stopIfTrue="1" operator="equal">
      <formula>0</formula>
    </cfRule>
  </conditionalFormatting>
  <conditionalFormatting sqref="E56:G57">
    <cfRule type="cellIs" dxfId="699" priority="28" stopIfTrue="1" operator="equal">
      <formula>0</formula>
    </cfRule>
  </conditionalFormatting>
  <conditionalFormatting sqref="C55:H55">
    <cfRule type="cellIs" dxfId="698" priority="27" stopIfTrue="1" operator="equal">
      <formula>0</formula>
    </cfRule>
  </conditionalFormatting>
  <conditionalFormatting sqref="L64:IV69">
    <cfRule type="cellIs" dxfId="697" priority="26" stopIfTrue="1" operator="equal">
      <formula>0</formula>
    </cfRule>
  </conditionalFormatting>
  <conditionalFormatting sqref="B64:K64">
    <cfRule type="cellIs" dxfId="696" priority="25" stopIfTrue="1" operator="equal">
      <formula>0</formula>
    </cfRule>
  </conditionalFormatting>
  <conditionalFormatting sqref="C66:K66 B65:B69">
    <cfRule type="cellIs" dxfId="695" priority="24" stopIfTrue="1" operator="equal">
      <formula>0</formula>
    </cfRule>
  </conditionalFormatting>
  <conditionalFormatting sqref="C67:H67 C69:D69 H68:H69 C68">
    <cfRule type="cellIs" dxfId="694" priority="23" stopIfTrue="1" operator="equal">
      <formula>0</formula>
    </cfRule>
  </conditionalFormatting>
  <conditionalFormatting sqref="E68:G69">
    <cfRule type="cellIs" dxfId="693" priority="22" stopIfTrue="1" operator="equal">
      <formula>0</formula>
    </cfRule>
  </conditionalFormatting>
  <conditionalFormatting sqref="D30">
    <cfRule type="cellIs" dxfId="692" priority="13" stopIfTrue="1" operator="equal">
      <formula>0</formula>
    </cfRule>
  </conditionalFormatting>
  <conditionalFormatting sqref="D40">
    <cfRule type="cellIs" dxfId="691" priority="11" stopIfTrue="1" operator="equal">
      <formula>0</formula>
    </cfRule>
  </conditionalFormatting>
  <conditionalFormatting sqref="D50">
    <cfRule type="cellIs" dxfId="690" priority="9" stopIfTrue="1" operator="equal">
      <formula>0</formula>
    </cfRule>
  </conditionalFormatting>
  <conditionalFormatting sqref="D62">
    <cfRule type="cellIs" dxfId="689" priority="7" stopIfTrue="1" operator="equal">
      <formula>0</formula>
    </cfRule>
  </conditionalFormatting>
  <conditionalFormatting sqref="D26">
    <cfRule type="cellIs" dxfId="688" priority="14" stopIfTrue="1" operator="equal">
      <formula>0</formula>
    </cfRule>
  </conditionalFormatting>
  <conditionalFormatting sqref="D36">
    <cfRule type="cellIs" dxfId="687" priority="12" stopIfTrue="1" operator="equal">
      <formula>0</formula>
    </cfRule>
  </conditionalFormatting>
  <conditionalFormatting sqref="D46">
    <cfRule type="cellIs" dxfId="686" priority="10" stopIfTrue="1" operator="equal">
      <formula>0</formula>
    </cfRule>
  </conditionalFormatting>
  <conditionalFormatting sqref="D56">
    <cfRule type="cellIs" dxfId="685" priority="8" stopIfTrue="1" operator="equal">
      <formula>0</formula>
    </cfRule>
  </conditionalFormatting>
  <conditionalFormatting sqref="D68">
    <cfRule type="cellIs" dxfId="684" priority="6" stopIfTrue="1" operator="equal">
      <formula>0</formula>
    </cfRule>
  </conditionalFormatting>
  <conditionalFormatting sqref="C27:H27">
    <cfRule type="cellIs" dxfId="683" priority="5" stopIfTrue="1" operator="equal">
      <formula>0</formula>
    </cfRule>
  </conditionalFormatting>
  <conditionalFormatting sqref="C37:H37">
    <cfRule type="cellIs" dxfId="682" priority="4" stopIfTrue="1" operator="equal">
      <formula>0</formula>
    </cfRule>
  </conditionalFormatting>
  <conditionalFormatting sqref="C47:D47 H47">
    <cfRule type="cellIs" dxfId="681" priority="3" stopIfTrue="1" operator="equal">
      <formula>0</formula>
    </cfRule>
  </conditionalFormatting>
  <conditionalFormatting sqref="E47:G47">
    <cfRule type="cellIs" dxfId="680" priority="1" stopIfTrue="1" operator="equal">
      <formula>0</formula>
    </cfRule>
  </conditionalFormatting>
  <dataValidations count="1">
    <dataValidation allowBlank="1" showInputMessage="1" sqref="E28:G28 E31:G31 E38:G38 E51:G51 E48:G48 E41:G41 E63:G63 E57:G57 E69:G69" xr:uid="{00000000-0002-0000-1B00-000000000000}"/>
  </dataValidations>
  <pageMargins left="0.56000000000000005" right="0.36" top="0.75" bottom="0.76" header="0.4921259845" footer="0.4921259845"/>
  <pageSetup paperSize="9" scale="54"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Tabelle14">
    <tabColor indexed="46"/>
    <pageSetUpPr fitToPage="1"/>
  </sheetPr>
  <dimension ref="B1:AL50"/>
  <sheetViews>
    <sheetView showGridLines="0" view="pageBreakPreview" zoomScaleNormal="100" zoomScaleSheetLayoutView="100" workbookViewId="0">
      <selection activeCell="AD27" sqref="AD27"/>
    </sheetView>
  </sheetViews>
  <sheetFormatPr baseColWidth="10" defaultColWidth="11.42578125" defaultRowHeight="12.75" x14ac:dyDescent="0.2"/>
  <cols>
    <col min="1" max="1" width="10.7109375" style="300" customWidth="1"/>
    <col min="2" max="6" width="3.140625" style="300" customWidth="1"/>
    <col min="7" max="7" width="5.5703125" style="300" customWidth="1"/>
    <col min="8" max="11" width="3.140625" style="300" customWidth="1"/>
    <col min="12" max="12" width="4.28515625" style="300" customWidth="1"/>
    <col min="13" max="16" width="3.140625" style="300" customWidth="1"/>
    <col min="17" max="17" width="4" style="300" customWidth="1"/>
    <col min="18" max="28" width="3.140625" style="300" customWidth="1"/>
    <col min="29" max="29" width="3" style="300" customWidth="1"/>
    <col min="30" max="30" width="46.42578125" style="300" customWidth="1"/>
    <col min="31" max="31" width="11" style="300" customWidth="1"/>
    <col min="32" max="32" width="17.5703125" style="301" customWidth="1"/>
    <col min="33" max="16384" width="11.42578125" style="300"/>
  </cols>
  <sheetData>
    <row r="1" spans="2:32" s="267" customFormat="1" ht="21" thickBot="1" x14ac:dyDescent="0.25">
      <c r="B1" s="259"/>
      <c r="C1" s="260"/>
      <c r="D1" s="260"/>
      <c r="E1" s="261"/>
      <c r="F1" s="3324" t="str">
        <f>Dateneingabe!F1&amp;Dateneingabe!I1</f>
        <v>Ausschreibung GCC vertikalRev. 0563b</v>
      </c>
      <c r="G1" s="3324"/>
      <c r="H1" s="3324"/>
      <c r="I1" s="3324"/>
      <c r="J1" s="3324"/>
      <c r="K1" s="3324"/>
      <c r="L1" s="3324"/>
      <c r="M1" s="3324"/>
      <c r="N1" s="3324"/>
      <c r="O1" s="3324"/>
      <c r="P1" s="3324"/>
      <c r="Q1" s="3324"/>
      <c r="R1" s="3324"/>
      <c r="S1" s="3324"/>
      <c r="T1" s="3324"/>
      <c r="U1" s="260"/>
      <c r="V1" s="260"/>
      <c r="W1" s="262" t="s">
        <v>458</v>
      </c>
      <c r="X1" s="260"/>
      <c r="Y1" s="260"/>
      <c r="Z1" s="263"/>
      <c r="AA1" s="264"/>
      <c r="AB1" s="265"/>
      <c r="AF1" s="268"/>
    </row>
    <row r="2" spans="2:32" s="267" customFormat="1" ht="11.25" customHeight="1" x14ac:dyDescent="0.2">
      <c r="B2" s="3325" t="s">
        <v>459</v>
      </c>
      <c r="C2" s="3326"/>
      <c r="D2" s="3326"/>
      <c r="E2" s="3326"/>
      <c r="F2" s="3326"/>
      <c r="G2" s="3326"/>
      <c r="H2" s="3326"/>
      <c r="I2" s="3326"/>
      <c r="J2" s="3326"/>
      <c r="K2" s="3326"/>
      <c r="L2" s="3326"/>
      <c r="M2" s="3326"/>
      <c r="N2" s="3326"/>
      <c r="O2" s="3326"/>
      <c r="P2" s="3326"/>
      <c r="Q2" s="3326"/>
      <c r="R2" s="3326"/>
      <c r="S2" s="3326"/>
      <c r="T2" s="3326"/>
      <c r="U2" s="3326"/>
      <c r="V2" s="3326"/>
      <c r="W2" s="3326"/>
      <c r="X2" s="3326"/>
      <c r="Y2" s="3326"/>
      <c r="Z2" s="3326"/>
      <c r="AA2" s="3326"/>
      <c r="AB2" s="3327"/>
      <c r="AF2" s="268"/>
    </row>
    <row r="3" spans="2:32" s="267" customFormat="1" ht="8.4499999999999993" customHeight="1" x14ac:dyDescent="0.2">
      <c r="B3" s="3325"/>
      <c r="C3" s="3326"/>
      <c r="D3" s="3326"/>
      <c r="E3" s="3326"/>
      <c r="F3" s="3326"/>
      <c r="G3" s="3326"/>
      <c r="H3" s="3326"/>
      <c r="I3" s="3326"/>
      <c r="J3" s="3326"/>
      <c r="K3" s="3326"/>
      <c r="L3" s="3326"/>
      <c r="M3" s="3326"/>
      <c r="N3" s="3326"/>
      <c r="O3" s="3326"/>
      <c r="P3" s="3326"/>
      <c r="Q3" s="3326"/>
      <c r="R3" s="3326"/>
      <c r="S3" s="3326"/>
      <c r="T3" s="3326"/>
      <c r="U3" s="3326"/>
      <c r="V3" s="3326"/>
      <c r="W3" s="3326"/>
      <c r="X3" s="3326"/>
      <c r="Y3" s="3326"/>
      <c r="Z3" s="3326"/>
      <c r="AA3" s="3326"/>
      <c r="AB3" s="3327"/>
      <c r="AF3" s="268"/>
    </row>
    <row r="4" spans="2:32" s="273" customFormat="1" ht="6" customHeight="1" x14ac:dyDescent="0.2">
      <c r="B4" s="269"/>
      <c r="C4" s="270"/>
      <c r="D4" s="270"/>
      <c r="E4" s="271"/>
      <c r="F4" s="271"/>
      <c r="G4" s="271"/>
      <c r="H4" s="271"/>
      <c r="I4" s="271"/>
      <c r="J4" s="271"/>
      <c r="K4" s="271"/>
      <c r="L4" s="271"/>
      <c r="M4" s="271"/>
      <c r="N4" s="271"/>
      <c r="O4" s="271"/>
      <c r="P4" s="271"/>
      <c r="Q4" s="271"/>
      <c r="R4" s="271"/>
      <c r="S4" s="271"/>
      <c r="T4" s="271"/>
      <c r="U4" s="271"/>
      <c r="V4" s="271"/>
      <c r="W4" s="271"/>
      <c r="X4" s="271"/>
      <c r="Y4" s="271"/>
      <c r="Z4" s="271"/>
      <c r="AA4" s="271"/>
      <c r="AB4" s="272"/>
      <c r="AF4" s="274"/>
    </row>
    <row r="5" spans="2:32" s="267" customFormat="1" ht="15.75" x14ac:dyDescent="0.2">
      <c r="B5" s="275"/>
      <c r="C5" s="270"/>
      <c r="D5" s="270"/>
      <c r="E5" s="270"/>
      <c r="F5" s="271"/>
      <c r="G5" s="276" t="s">
        <v>81</v>
      </c>
      <c r="H5" s="3328" t="str">
        <f>Dateneingabe!F3</f>
        <v>05217112</v>
      </c>
      <c r="I5" s="3329"/>
      <c r="J5" s="3329"/>
      <c r="K5" s="3329"/>
      <c r="L5" s="3329"/>
      <c r="M5" s="3329"/>
      <c r="N5" s="3330"/>
      <c r="O5" s="277"/>
      <c r="P5" s="240"/>
      <c r="Q5" s="240"/>
      <c r="R5" s="240"/>
      <c r="S5" s="240"/>
      <c r="T5" s="240"/>
      <c r="U5" s="240"/>
      <c r="V5" s="240"/>
      <c r="W5" s="266"/>
      <c r="X5" s="266"/>
      <c r="Y5" s="266"/>
      <c r="Z5" s="266"/>
      <c r="AA5" s="266"/>
      <c r="AB5" s="278"/>
      <c r="AF5" s="268"/>
    </row>
    <row r="6" spans="2:32" s="273" customFormat="1" ht="6" customHeight="1" x14ac:dyDescent="0.2">
      <c r="B6" s="279"/>
      <c r="C6" s="270"/>
      <c r="D6" s="270"/>
      <c r="E6" s="271"/>
      <c r="F6" s="271"/>
      <c r="G6" s="276"/>
      <c r="H6" s="271"/>
      <c r="I6" s="271"/>
      <c r="J6" s="271"/>
      <c r="K6" s="271"/>
      <c r="L6" s="271"/>
      <c r="M6" s="271"/>
      <c r="N6" s="271"/>
      <c r="O6" s="271"/>
      <c r="P6" s="271"/>
      <c r="Q6" s="271"/>
      <c r="R6" s="271"/>
      <c r="S6" s="271"/>
      <c r="T6" s="271"/>
      <c r="U6" s="271"/>
      <c r="V6" s="271"/>
      <c r="W6" s="271"/>
      <c r="X6" s="271"/>
      <c r="Y6" s="271"/>
      <c r="Z6" s="271"/>
      <c r="AA6" s="271"/>
      <c r="AB6" s="272"/>
      <c r="AF6" s="274"/>
    </row>
    <row r="7" spans="2:32" s="267" customFormat="1" ht="15.75" x14ac:dyDescent="0.2">
      <c r="B7" s="275"/>
      <c r="C7" s="270"/>
      <c r="D7" s="270"/>
      <c r="E7" s="271"/>
      <c r="F7" s="271"/>
      <c r="G7" s="276" t="s">
        <v>440</v>
      </c>
      <c r="H7" s="3331" t="str">
        <f>Dateneingabe!F5</f>
        <v>5101.002095</v>
      </c>
      <c r="I7" s="3332"/>
      <c r="J7" s="3332"/>
      <c r="K7" s="3332"/>
      <c r="L7" s="3333"/>
      <c r="M7" s="266"/>
      <c r="N7" s="266"/>
      <c r="O7" s="266"/>
      <c r="P7" s="276" t="s">
        <v>441</v>
      </c>
      <c r="Q7" s="3334" t="str">
        <f>Dateneingabe!H3</f>
        <v>200</v>
      </c>
      <c r="R7" s="3291"/>
      <c r="S7" s="3291"/>
      <c r="T7" s="3291"/>
      <c r="U7" s="3291"/>
      <c r="V7" s="3292"/>
      <c r="W7" s="266"/>
      <c r="X7" s="266"/>
      <c r="Y7" s="266"/>
      <c r="Z7" s="266"/>
      <c r="AA7" s="266"/>
      <c r="AB7" s="278"/>
      <c r="AF7" s="268"/>
    </row>
    <row r="8" spans="2:32" s="273" customFormat="1" ht="6" customHeight="1" x14ac:dyDescent="0.2">
      <c r="B8" s="279"/>
      <c r="C8" s="270"/>
      <c r="D8" s="270"/>
      <c r="E8" s="271"/>
      <c r="F8" s="271"/>
      <c r="G8" s="276"/>
      <c r="H8" s="271"/>
      <c r="I8" s="271"/>
      <c r="J8" s="271"/>
      <c r="K8" s="271"/>
      <c r="L8" s="271"/>
      <c r="M8" s="271"/>
      <c r="N8" s="271"/>
      <c r="O8" s="271"/>
      <c r="P8" s="271"/>
      <c r="Q8" s="271"/>
      <c r="R8" s="271"/>
      <c r="S8" s="271"/>
      <c r="T8" s="271"/>
      <c r="U8" s="271"/>
      <c r="V8" s="271"/>
      <c r="W8" s="271"/>
      <c r="X8" s="271"/>
      <c r="Y8" s="271"/>
      <c r="Z8" s="271"/>
      <c r="AA8" s="271"/>
      <c r="AB8" s="272"/>
      <c r="AF8" s="274"/>
    </row>
    <row r="9" spans="2:32" s="267" customFormat="1" ht="15.75" x14ac:dyDescent="0.2">
      <c r="B9" s="275"/>
      <c r="C9" s="270"/>
      <c r="D9" s="270"/>
      <c r="E9" s="271"/>
      <c r="F9" s="266"/>
      <c r="G9" s="276" t="s">
        <v>443</v>
      </c>
      <c r="H9" s="3322" t="str">
        <f>Dateneingabe!F17&amp;" / "&amp;Dateneingabe!F19</f>
        <v>Element Logic Germany GmbH / Emil Lux GmbH</v>
      </c>
      <c r="I9" s="3323"/>
      <c r="J9" s="3323"/>
      <c r="K9" s="3323"/>
      <c r="L9" s="3323"/>
      <c r="M9" s="3323"/>
      <c r="N9" s="3323"/>
      <c r="O9" s="3323"/>
      <c r="P9" s="3323"/>
      <c r="Q9" s="3323"/>
      <c r="R9" s="3323"/>
      <c r="S9" s="3323"/>
      <c r="T9" s="3323"/>
      <c r="U9" s="3323"/>
      <c r="V9" s="3323"/>
      <c r="W9" s="3304"/>
      <c r="X9" s="3304"/>
      <c r="Y9" s="3304"/>
      <c r="Z9" s="3304"/>
      <c r="AA9" s="3305"/>
      <c r="AB9" s="278"/>
      <c r="AF9" s="268"/>
    </row>
    <row r="10" spans="2:32" s="273" customFormat="1" ht="6" customHeight="1" x14ac:dyDescent="0.2">
      <c r="B10" s="279"/>
      <c r="C10" s="270"/>
      <c r="D10" s="270"/>
      <c r="E10" s="271"/>
      <c r="F10" s="271"/>
      <c r="G10" s="276"/>
      <c r="H10" s="271"/>
      <c r="I10" s="271"/>
      <c r="J10" s="271"/>
      <c r="K10" s="271"/>
      <c r="L10" s="271"/>
      <c r="M10" s="271"/>
      <c r="N10" s="271"/>
      <c r="O10" s="271"/>
      <c r="P10" s="271"/>
      <c r="Q10" s="271"/>
      <c r="R10" s="271"/>
      <c r="S10" s="271"/>
      <c r="T10" s="271"/>
      <c r="U10" s="271"/>
      <c r="V10" s="271"/>
      <c r="W10" s="271"/>
      <c r="X10" s="271"/>
      <c r="Y10" s="271"/>
      <c r="Z10" s="271"/>
      <c r="AA10" s="271"/>
      <c r="AB10" s="272"/>
      <c r="AF10" s="280"/>
    </row>
    <row r="11" spans="2:32" s="267" customFormat="1" ht="22.7" customHeight="1" x14ac:dyDescent="0.2">
      <c r="B11" s="275"/>
      <c r="C11" s="270"/>
      <c r="D11" s="270"/>
      <c r="E11" s="271"/>
      <c r="F11" s="271"/>
      <c r="G11" s="276" t="s">
        <v>444</v>
      </c>
      <c r="H11" s="3290">
        <f>Dateneingabe!F7</f>
        <v>1</v>
      </c>
      <c r="I11" s="3291"/>
      <c r="J11" s="3291"/>
      <c r="K11" s="3291"/>
      <c r="L11" s="3292"/>
      <c r="M11" s="266"/>
      <c r="N11" s="266"/>
      <c r="O11" s="266"/>
      <c r="Q11" s="281"/>
      <c r="R11" s="281"/>
      <c r="S11" s="276" t="s">
        <v>439</v>
      </c>
      <c r="T11" s="3293" t="str">
        <f>Dateneingabe!F42</f>
        <v>Stahlblech verzinkt</v>
      </c>
      <c r="U11" s="3294"/>
      <c r="V11" s="3294"/>
      <c r="W11" s="3294"/>
      <c r="X11" s="3294"/>
      <c r="Y11" s="3294"/>
      <c r="Z11" s="3294"/>
      <c r="AA11" s="3295"/>
      <c r="AB11" s="278"/>
      <c r="AF11" s="268"/>
    </row>
    <row r="12" spans="2:32" s="273" customFormat="1" ht="6" customHeight="1" x14ac:dyDescent="0.2">
      <c r="B12" s="279"/>
      <c r="C12" s="270"/>
      <c r="D12" s="270"/>
      <c r="E12" s="271"/>
      <c r="F12" s="271"/>
      <c r="G12" s="276"/>
      <c r="H12" s="282"/>
      <c r="I12" s="271"/>
      <c r="J12" s="271"/>
      <c r="K12" s="271"/>
      <c r="L12" s="271"/>
      <c r="M12" s="271"/>
      <c r="N12" s="271"/>
      <c r="O12" s="271"/>
      <c r="P12" s="271"/>
      <c r="Q12" s="271"/>
      <c r="R12" s="271"/>
      <c r="S12" s="271"/>
      <c r="T12" s="271"/>
      <c r="U12" s="271"/>
      <c r="V12" s="271"/>
      <c r="W12" s="271"/>
      <c r="X12" s="271"/>
      <c r="Y12" s="271"/>
      <c r="Z12" s="271"/>
      <c r="AA12" s="271"/>
      <c r="AB12" s="272"/>
      <c r="AF12" s="274"/>
    </row>
    <row r="13" spans="2:32" s="267" customFormat="1" ht="15.75" x14ac:dyDescent="0.2">
      <c r="B13" s="275"/>
      <c r="C13" s="270"/>
      <c r="D13" s="270"/>
      <c r="E13" s="271"/>
      <c r="F13" s="266"/>
      <c r="G13" s="276" t="s">
        <v>446</v>
      </c>
      <c r="H13" s="3296">
        <f>Dateneingabe!F9</f>
        <v>44622</v>
      </c>
      <c r="I13" s="3297"/>
      <c r="J13" s="3297"/>
      <c r="K13" s="3297"/>
      <c r="L13" s="3298"/>
      <c r="M13" s="266"/>
      <c r="N13" s="266"/>
      <c r="O13" s="266"/>
      <c r="P13" s="266"/>
      <c r="Q13" s="283"/>
      <c r="R13" s="266"/>
      <c r="S13" s="276"/>
      <c r="T13" s="3299"/>
      <c r="U13" s="3300"/>
      <c r="V13" s="3300"/>
      <c r="W13" s="3300"/>
      <c r="X13" s="3300"/>
      <c r="Y13" s="3300"/>
      <c r="Z13" s="3300"/>
      <c r="AA13" s="3300"/>
      <c r="AB13" s="278"/>
      <c r="AF13" s="268"/>
    </row>
    <row r="14" spans="2:32" s="273" customFormat="1" ht="6" customHeight="1" x14ac:dyDescent="0.25">
      <c r="B14" s="279"/>
      <c r="C14" s="270"/>
      <c r="D14" s="270"/>
      <c r="E14" s="271"/>
      <c r="F14" s="271"/>
      <c r="G14" s="276"/>
      <c r="H14" s="282"/>
      <c r="I14" s="271"/>
      <c r="J14" s="271"/>
      <c r="K14" s="271"/>
      <c r="L14" s="271"/>
      <c r="M14" s="271"/>
      <c r="N14" s="271"/>
      <c r="O14" s="271"/>
      <c r="P14" s="271"/>
      <c r="Q14" s="271"/>
      <c r="R14" s="271"/>
      <c r="S14" s="271"/>
      <c r="T14" s="271"/>
      <c r="U14" s="271"/>
      <c r="V14" s="271"/>
      <c r="W14" s="271"/>
      <c r="X14" s="271"/>
      <c r="Y14" s="271"/>
      <c r="Z14" s="271"/>
      <c r="AA14" s="271"/>
      <c r="AB14" s="272"/>
      <c r="AF14" s="284"/>
    </row>
    <row r="15" spans="2:32" s="267" customFormat="1" ht="15.75" x14ac:dyDescent="0.2">
      <c r="B15" s="275"/>
      <c r="C15" s="270"/>
      <c r="D15" s="270"/>
      <c r="E15" s="271"/>
      <c r="F15" s="271"/>
      <c r="G15" s="276" t="s">
        <v>447</v>
      </c>
      <c r="H15" s="3301" t="str">
        <f>Dateneingabe!F15</f>
        <v>MiWo</v>
      </c>
      <c r="I15" s="3166"/>
      <c r="J15" s="3166"/>
      <c r="K15" s="3166"/>
      <c r="L15" s="3302"/>
      <c r="M15" s="266"/>
      <c r="N15" s="266"/>
      <c r="S15" s="276" t="s">
        <v>448</v>
      </c>
      <c r="T15" s="3303">
        <f>Dateneingabe!F13</f>
        <v>44594</v>
      </c>
      <c r="U15" s="3304"/>
      <c r="V15" s="3304"/>
      <c r="W15" s="3304"/>
      <c r="X15" s="3304"/>
      <c r="Y15" s="3304"/>
      <c r="Z15" s="3304"/>
      <c r="AA15" s="3305"/>
      <c r="AB15" s="278"/>
      <c r="AF15" s="268"/>
    </row>
    <row r="16" spans="2:32" s="267" customFormat="1" ht="3.75" customHeight="1" x14ac:dyDescent="0.2">
      <c r="B16" s="275"/>
      <c r="C16" s="270"/>
      <c r="D16" s="270"/>
      <c r="E16" s="271"/>
      <c r="F16" s="271"/>
      <c r="G16" s="276"/>
      <c r="H16" s="240"/>
      <c r="I16" s="240"/>
      <c r="J16" s="240"/>
      <c r="K16" s="240"/>
      <c r="L16" s="240"/>
      <c r="M16" s="266"/>
      <c r="N16" s="266"/>
      <c r="S16" s="276"/>
      <c r="T16" s="285"/>
      <c r="U16" s="215"/>
      <c r="V16" s="215"/>
      <c r="W16" s="215"/>
      <c r="X16" s="215"/>
      <c r="Y16" s="215"/>
      <c r="Z16" s="215"/>
      <c r="AA16" s="215"/>
      <c r="AB16" s="278"/>
      <c r="AF16" s="268"/>
    </row>
    <row r="17" spans="2:38" s="267" customFormat="1" ht="52.5" customHeight="1" x14ac:dyDescent="0.2">
      <c r="B17" s="275"/>
      <c r="C17" s="270"/>
      <c r="D17" s="270"/>
      <c r="E17" s="271"/>
      <c r="F17" s="271"/>
      <c r="G17" s="3306"/>
      <c r="H17" s="3306"/>
      <c r="I17" s="3306"/>
      <c r="J17" s="3306"/>
      <c r="K17" s="3306"/>
      <c r="L17" s="3306"/>
      <c r="M17" s="3306"/>
      <c r="N17" s="3306"/>
      <c r="O17" s="3306"/>
      <c r="P17" s="3306"/>
      <c r="Q17" s="3306"/>
      <c r="R17" s="3306"/>
      <c r="S17" s="3306"/>
      <c r="T17" s="3306"/>
      <c r="U17" s="3306"/>
      <c r="V17" s="3306"/>
      <c r="W17" s="3306"/>
      <c r="X17" s="3306"/>
      <c r="Y17" s="215"/>
      <c r="Z17" s="215"/>
      <c r="AA17" s="215"/>
      <c r="AB17" s="278"/>
      <c r="AF17" s="268"/>
    </row>
    <row r="18" spans="2:38" s="267" customFormat="1" ht="6" customHeight="1" thickBot="1" x14ac:dyDescent="0.25">
      <c r="B18" s="286"/>
      <c r="C18" s="287"/>
      <c r="D18" s="287"/>
      <c r="E18" s="288"/>
      <c r="F18" s="288"/>
      <c r="G18" s="289"/>
      <c r="H18" s="290"/>
      <c r="I18" s="290"/>
      <c r="J18" s="290"/>
      <c r="K18" s="289"/>
      <c r="L18" s="289"/>
      <c r="M18" s="289"/>
      <c r="N18" s="289"/>
      <c r="O18" s="289"/>
      <c r="P18" s="291"/>
      <c r="Q18" s="292"/>
      <c r="R18" s="292"/>
      <c r="S18" s="292"/>
      <c r="T18" s="292"/>
      <c r="U18" s="292"/>
      <c r="V18" s="292"/>
      <c r="W18" s="289"/>
      <c r="X18" s="289"/>
      <c r="Y18" s="289"/>
      <c r="Z18" s="289"/>
      <c r="AA18" s="289"/>
      <c r="AB18" s="293"/>
      <c r="AF18" s="268"/>
    </row>
    <row r="19" spans="2:38" ht="10.5" customHeight="1" x14ac:dyDescent="0.2">
      <c r="B19" s="294"/>
      <c r="C19" s="295"/>
      <c r="D19" s="295"/>
      <c r="E19" s="296"/>
      <c r="F19" s="296"/>
      <c r="G19" s="296"/>
      <c r="H19" s="296"/>
      <c r="I19" s="296"/>
      <c r="J19" s="296"/>
      <c r="K19" s="296"/>
      <c r="L19" s="296"/>
      <c r="M19" s="297"/>
      <c r="N19" s="297"/>
      <c r="O19" s="297"/>
      <c r="P19" s="297"/>
      <c r="Q19" s="297"/>
      <c r="R19" s="297"/>
      <c r="S19" s="297"/>
      <c r="T19" s="297"/>
      <c r="U19" s="297"/>
      <c r="V19" s="297"/>
      <c r="W19" s="297"/>
      <c r="X19" s="297"/>
      <c r="Y19" s="297"/>
      <c r="Z19" s="297"/>
      <c r="AA19" s="297"/>
      <c r="AB19" s="298"/>
    </row>
    <row r="20" spans="2:38" ht="33.75" customHeight="1" x14ac:dyDescent="0.2">
      <c r="B20" s="302"/>
      <c r="C20" s="303"/>
      <c r="D20" s="303"/>
      <c r="E20" s="304"/>
      <c r="F20" s="305"/>
      <c r="G20" s="306" t="s">
        <v>460</v>
      </c>
      <c r="H20" s="3307" t="str">
        <f>'Berechnung &amp; Tabellen'!R201</f>
        <v>Antrieb 180W 2 Gurt 35 rechts GCC vertikal</v>
      </c>
      <c r="I20" s="3308"/>
      <c r="J20" s="3308"/>
      <c r="K20" s="3308"/>
      <c r="L20" s="3308"/>
      <c r="M20" s="3308"/>
      <c r="N20" s="3309"/>
      <c r="O20" s="283"/>
      <c r="P20" s="299"/>
      <c r="Q20" s="283"/>
      <c r="R20" s="283"/>
      <c r="S20" s="306" t="s">
        <v>461</v>
      </c>
      <c r="T20" s="3290" t="str">
        <f>'Berechnung &amp; Tabellen'!Q201</f>
        <v>0308415</v>
      </c>
      <c r="U20" s="3310"/>
      <c r="V20" s="3310"/>
      <c r="W20" s="3310"/>
      <c r="X20" s="3310"/>
      <c r="Y20" s="3310"/>
      <c r="Z20" s="3310"/>
      <c r="AA20" s="3311"/>
      <c r="AB20" s="307"/>
    </row>
    <row r="21" spans="2:38" ht="6.75" customHeight="1" thickBot="1" x14ac:dyDescent="0.25">
      <c r="B21" s="308"/>
      <c r="C21" s="299"/>
      <c r="D21" s="299"/>
      <c r="E21" s="299"/>
      <c r="F21" s="299"/>
      <c r="G21" s="299"/>
      <c r="H21" s="299"/>
      <c r="I21" s="299"/>
      <c r="J21" s="299"/>
      <c r="K21" s="299"/>
      <c r="L21" s="299"/>
      <c r="M21" s="299"/>
      <c r="N21" s="299"/>
      <c r="O21" s="299"/>
      <c r="P21" s="299"/>
      <c r="Q21" s="299"/>
      <c r="R21" s="299"/>
      <c r="S21" s="299"/>
      <c r="T21" s="299"/>
      <c r="U21" s="299"/>
      <c r="V21" s="299"/>
      <c r="W21" s="299"/>
      <c r="X21" s="299"/>
      <c r="Y21" s="299"/>
      <c r="Z21" s="299"/>
      <c r="AA21" s="299"/>
      <c r="AB21" s="307"/>
    </row>
    <row r="22" spans="2:38" ht="32.25" customHeight="1" x14ac:dyDescent="0.25">
      <c r="B22" s="294"/>
      <c r="C22" s="295"/>
      <c r="D22" s="295"/>
      <c r="E22" s="309" t="s">
        <v>462</v>
      </c>
      <c r="F22" s="296"/>
      <c r="G22" s="297"/>
      <c r="H22" s="297"/>
      <c r="I22" s="310"/>
      <c r="J22" s="311"/>
      <c r="K22" s="312"/>
      <c r="L22" s="3312" t="s">
        <v>463</v>
      </c>
      <c r="M22" s="3313"/>
      <c r="N22" s="3313"/>
      <c r="O22" s="3313"/>
      <c r="P22" s="3313"/>
      <c r="Q22" s="3313"/>
      <c r="R22" s="3313"/>
      <c r="S22" s="3313"/>
      <c r="T22" s="3313"/>
      <c r="U22" s="3313"/>
      <c r="V22" s="3313"/>
      <c r="W22" s="3313"/>
      <c r="X22" s="3313"/>
      <c r="Y22" s="3313"/>
      <c r="Z22" s="3313"/>
      <c r="AA22" s="3313"/>
      <c r="AB22" s="298"/>
      <c r="AF22" s="284"/>
    </row>
    <row r="23" spans="2:38" ht="20.25" customHeight="1" thickBot="1" x14ac:dyDescent="0.25">
      <c r="B23" s="314"/>
      <c r="C23" s="315"/>
      <c r="D23" s="315"/>
      <c r="E23" s="315"/>
      <c r="F23" s="315"/>
      <c r="G23" s="315"/>
      <c r="H23" s="315"/>
      <c r="I23" s="315"/>
      <c r="J23" s="316"/>
      <c r="K23" s="314"/>
      <c r="L23" s="3314"/>
      <c r="M23" s="3314"/>
      <c r="N23" s="3314"/>
      <c r="O23" s="3314"/>
      <c r="P23" s="3314"/>
      <c r="Q23" s="3314"/>
      <c r="R23" s="3314"/>
      <c r="S23" s="3314"/>
      <c r="T23" s="3314"/>
      <c r="U23" s="3314"/>
      <c r="V23" s="3314"/>
      <c r="W23" s="3314"/>
      <c r="X23" s="3314"/>
      <c r="Y23" s="3314"/>
      <c r="Z23" s="3314"/>
      <c r="AA23" s="3314"/>
      <c r="AB23" s="316"/>
      <c r="AD23" s="267"/>
      <c r="AE23" s="267"/>
      <c r="AF23" s="267"/>
      <c r="AG23" s="221"/>
      <c r="AH23" s="220"/>
    </row>
    <row r="24" spans="2:38" ht="15.75" customHeight="1" x14ac:dyDescent="0.2">
      <c r="B24" s="317"/>
      <c r="C24" s="297"/>
      <c r="D24" s="297"/>
      <c r="E24" s="297"/>
      <c r="F24" s="297"/>
      <c r="G24" s="297"/>
      <c r="H24" s="297"/>
      <c r="I24" s="297"/>
      <c r="J24" s="297"/>
      <c r="K24" s="297"/>
      <c r="L24" s="313"/>
      <c r="M24" s="313"/>
      <c r="N24" s="313"/>
      <c r="O24" s="313"/>
      <c r="P24" s="313"/>
      <c r="Q24" s="313"/>
      <c r="R24" s="313"/>
      <c r="S24" s="313"/>
      <c r="T24" s="313"/>
      <c r="U24" s="313"/>
      <c r="V24" s="313"/>
      <c r="W24" s="313"/>
      <c r="X24" s="313"/>
      <c r="Y24" s="313"/>
      <c r="Z24" s="313"/>
      <c r="AA24" s="313"/>
      <c r="AB24" s="298"/>
      <c r="AD24" s="273"/>
      <c r="AE24" s="273"/>
      <c r="AF24" s="273"/>
      <c r="AG24" s="221"/>
      <c r="AH24" s="220"/>
    </row>
    <row r="25" spans="2:38" ht="15.75" customHeight="1" x14ac:dyDescent="0.2">
      <c r="B25" s="308"/>
      <c r="C25" s="299"/>
      <c r="D25" s="299"/>
      <c r="E25" s="299"/>
      <c r="F25" s="299"/>
      <c r="G25" s="299"/>
      <c r="H25" s="299"/>
      <c r="I25" s="299"/>
      <c r="J25" s="299"/>
      <c r="K25" s="299"/>
      <c r="L25" s="299"/>
      <c r="M25" s="299"/>
      <c r="N25" s="299"/>
      <c r="O25" s="299"/>
      <c r="P25" s="299"/>
      <c r="Q25" s="299"/>
      <c r="R25" s="299"/>
      <c r="S25" s="299"/>
      <c r="T25" s="299"/>
      <c r="U25" s="299"/>
      <c r="V25" s="299"/>
      <c r="W25" s="299"/>
      <c r="X25" s="299"/>
      <c r="Y25" s="299"/>
      <c r="Z25" s="299"/>
      <c r="AA25" s="299"/>
      <c r="AB25" s="307"/>
      <c r="AD25" s="267"/>
      <c r="AE25" s="267"/>
      <c r="AF25" s="267"/>
      <c r="AG25" s="221"/>
      <c r="AH25" s="220"/>
      <c r="AJ25" s="267"/>
      <c r="AK25" s="221"/>
      <c r="AL25" s="220"/>
    </row>
    <row r="26" spans="2:38" ht="15.95" customHeight="1" x14ac:dyDescent="0.2">
      <c r="B26" s="302"/>
      <c r="C26" s="303"/>
      <c r="D26" s="303"/>
      <c r="E26" s="283"/>
      <c r="F26" s="283"/>
      <c r="G26" s="283"/>
      <c r="H26" s="283"/>
      <c r="I26" s="283"/>
      <c r="J26" s="283"/>
      <c r="K26" s="283"/>
      <c r="L26" s="283"/>
      <c r="M26" s="283"/>
      <c r="N26" s="283"/>
      <c r="O26" s="283"/>
      <c r="P26" s="299"/>
      <c r="Q26" s="283"/>
      <c r="R26" s="283"/>
      <c r="S26" s="283"/>
      <c r="T26" s="283"/>
      <c r="U26" s="283"/>
      <c r="V26" s="283"/>
      <c r="W26" s="283"/>
      <c r="X26" s="283"/>
      <c r="Y26" s="283"/>
      <c r="Z26" s="283"/>
      <c r="AA26" s="283"/>
      <c r="AB26" s="307"/>
      <c r="AD26" s="273"/>
      <c r="AE26" s="273"/>
      <c r="AF26" s="273"/>
      <c r="AG26" s="221"/>
      <c r="AH26" s="220"/>
      <c r="AJ26" s="273"/>
      <c r="AK26" s="221"/>
      <c r="AL26" s="220"/>
    </row>
    <row r="27" spans="2:38" ht="15.95" customHeight="1" x14ac:dyDescent="0.2">
      <c r="B27" s="302"/>
      <c r="C27" s="318"/>
      <c r="D27" s="303"/>
      <c r="E27" s="283"/>
      <c r="F27" s="283"/>
      <c r="G27" s="283"/>
      <c r="H27" s="283"/>
      <c r="I27" s="318"/>
      <c r="J27" s="283"/>
      <c r="K27" s="283"/>
      <c r="L27" s="283"/>
      <c r="M27" s="283"/>
      <c r="N27" s="283"/>
      <c r="O27" s="318"/>
      <c r="P27" s="299"/>
      <c r="Q27" s="283"/>
      <c r="R27" s="283"/>
      <c r="S27" s="283"/>
      <c r="T27" s="283"/>
      <c r="U27" s="318"/>
      <c r="V27" s="283"/>
      <c r="W27" s="283"/>
      <c r="X27" s="283"/>
      <c r="Y27" s="283"/>
      <c r="Z27" s="283"/>
      <c r="AA27" s="318"/>
      <c r="AB27" s="307"/>
      <c r="AD27" s="267"/>
      <c r="AE27" s="267"/>
      <c r="AF27" s="267"/>
      <c r="AG27" s="221"/>
      <c r="AH27" s="220"/>
      <c r="AJ27" s="267"/>
      <c r="AK27" s="221"/>
      <c r="AL27" s="220"/>
    </row>
    <row r="28" spans="2:38" ht="15.95" customHeight="1" x14ac:dyDescent="0.2">
      <c r="B28" s="302"/>
      <c r="C28" s="303"/>
      <c r="D28" s="303"/>
      <c r="E28" s="299"/>
      <c r="F28" s="319"/>
      <c r="G28" s="299"/>
      <c r="H28" s="283"/>
      <c r="I28" s="283"/>
      <c r="J28" s="283"/>
      <c r="K28" s="299"/>
      <c r="L28" s="319"/>
      <c r="M28" s="299"/>
      <c r="N28" s="299"/>
      <c r="O28" s="299"/>
      <c r="P28" s="299"/>
      <c r="Q28" s="299"/>
      <c r="R28" s="319"/>
      <c r="S28" s="299"/>
      <c r="T28" s="299"/>
      <c r="U28" s="299"/>
      <c r="V28" s="283"/>
      <c r="W28" s="299"/>
      <c r="X28" s="319"/>
      <c r="Y28" s="299"/>
      <c r="Z28" s="299"/>
      <c r="AA28" s="299"/>
      <c r="AB28" s="307"/>
      <c r="AD28" s="273"/>
      <c r="AE28" s="273"/>
      <c r="AF28" s="273"/>
      <c r="AG28" s="221"/>
      <c r="AH28" s="220"/>
      <c r="AJ28" s="273"/>
      <c r="AK28" s="221"/>
      <c r="AL28" s="220"/>
    </row>
    <row r="29" spans="2:38" ht="15.95" customHeight="1" x14ac:dyDescent="0.2">
      <c r="B29" s="302"/>
      <c r="C29" s="303"/>
      <c r="D29" s="303"/>
      <c r="E29" s="299"/>
      <c r="F29" s="319"/>
      <c r="G29" s="299"/>
      <c r="H29" s="283"/>
      <c r="I29" s="283"/>
      <c r="J29" s="283"/>
      <c r="K29" s="299"/>
      <c r="L29" s="319"/>
      <c r="M29" s="299"/>
      <c r="N29" s="299"/>
      <c r="O29" s="299"/>
      <c r="P29" s="299"/>
      <c r="Q29" s="299"/>
      <c r="R29" s="319"/>
      <c r="S29" s="299"/>
      <c r="T29" s="299"/>
      <c r="U29" s="299"/>
      <c r="V29" s="283"/>
      <c r="W29" s="299"/>
      <c r="X29" s="319"/>
      <c r="Y29" s="299"/>
      <c r="Z29" s="299"/>
      <c r="AA29" s="299"/>
      <c r="AB29" s="307"/>
      <c r="AD29" s="267"/>
      <c r="AE29" s="267"/>
      <c r="AF29" s="267"/>
      <c r="AG29" s="221"/>
      <c r="AH29" s="220"/>
      <c r="AJ29" s="267"/>
      <c r="AK29" s="221"/>
      <c r="AL29" s="220"/>
    </row>
    <row r="30" spans="2:38" ht="15.95" customHeight="1" x14ac:dyDescent="0.25">
      <c r="B30" s="308"/>
      <c r="C30" s="299"/>
      <c r="D30" s="299"/>
      <c r="E30" s="299"/>
      <c r="F30" s="299"/>
      <c r="G30" s="299"/>
      <c r="H30" s="952">
        <f>IF('Berechnung &amp; Tabellen'!$F$183=1,"X",IF('Berechnung &amp; Tabellen'!$F$188=1,"X",0))</f>
        <v>0</v>
      </c>
      <c r="I30" s="320" t="s">
        <v>449</v>
      </c>
      <c r="J30" s="299"/>
      <c r="K30" s="321"/>
      <c r="L30" s="299"/>
      <c r="M30" s="321"/>
      <c r="N30" s="321"/>
      <c r="O30" s="321"/>
      <c r="P30" s="321"/>
      <c r="Q30" s="952" t="str">
        <f>IF('Berechnung &amp; Tabellen'!$F$183=1,"X",IF('Berechnung &amp; Tabellen'!$F$189=1,"X",0))</f>
        <v>X</v>
      </c>
      <c r="R30" s="320" t="s">
        <v>450</v>
      </c>
      <c r="S30" s="299"/>
      <c r="T30" s="299"/>
      <c r="U30" s="299"/>
      <c r="V30" s="299"/>
      <c r="W30" s="299"/>
      <c r="X30" s="299"/>
      <c r="Y30" s="299"/>
      <c r="Z30" s="299"/>
      <c r="AA30" s="299"/>
      <c r="AB30" s="307"/>
      <c r="AD30" s="273"/>
      <c r="AE30" s="273"/>
      <c r="AF30" s="273"/>
      <c r="AG30" s="221"/>
      <c r="AH30" s="220"/>
      <c r="AJ30" s="273"/>
      <c r="AK30" s="221"/>
      <c r="AL30" s="220"/>
    </row>
    <row r="31" spans="2:38" ht="15.95" customHeight="1" x14ac:dyDescent="0.25">
      <c r="B31" s="302"/>
      <c r="C31" s="303"/>
      <c r="D31" s="283"/>
      <c r="E31" s="322"/>
      <c r="F31" s="323"/>
      <c r="G31" s="322"/>
      <c r="H31" s="283"/>
      <c r="I31" s="283"/>
      <c r="J31" s="283"/>
      <c r="K31" s="322"/>
      <c r="L31" s="323"/>
      <c r="M31" s="322"/>
      <c r="N31" s="322"/>
      <c r="O31" s="322"/>
      <c r="P31" s="283"/>
      <c r="Q31" s="322"/>
      <c r="R31" s="324"/>
      <c r="S31" s="322"/>
      <c r="T31" s="322"/>
      <c r="U31" s="322"/>
      <c r="V31" s="283"/>
      <c r="W31" s="322"/>
      <c r="X31" s="324"/>
      <c r="Y31" s="322"/>
      <c r="Z31" s="322"/>
      <c r="AA31" s="322"/>
      <c r="AB31" s="325"/>
      <c r="AD31" s="267"/>
      <c r="AE31" s="267"/>
      <c r="AF31" s="267"/>
      <c r="AG31" s="221"/>
      <c r="AH31" s="220"/>
      <c r="AJ31" s="267"/>
      <c r="AK31" s="221"/>
      <c r="AL31" s="220"/>
    </row>
    <row r="32" spans="2:38" ht="12.2" customHeight="1" x14ac:dyDescent="0.25">
      <c r="B32" s="302"/>
      <c r="C32" s="303"/>
      <c r="D32" s="303"/>
      <c r="E32" s="331" t="str">
        <f>IF('Berechnung &amp; Tabellen'!C60&gt;0,"x"," ")</f>
        <v xml:space="preserve"> </v>
      </c>
      <c r="F32" s="323"/>
      <c r="G32" s="322" t="str">
        <f>IF('Berechnung &amp; Tabellen'!C60&gt;0,"Länge Welle für Spannsatz = "&amp;'Berechnung &amp; Tabellen'!C60&amp;" mm"," ")</f>
        <v xml:space="preserve"> </v>
      </c>
      <c r="H32" s="283"/>
      <c r="I32" s="283"/>
      <c r="J32" s="283"/>
      <c r="K32" s="322"/>
      <c r="L32" s="323"/>
      <c r="M32" s="322"/>
      <c r="N32" s="322"/>
      <c r="O32" s="322"/>
      <c r="P32" s="283"/>
      <c r="Q32" s="322"/>
      <c r="R32" s="324"/>
      <c r="S32" s="322"/>
      <c r="T32" s="322"/>
      <c r="U32" s="322"/>
      <c r="V32" s="240"/>
      <c r="W32" s="327"/>
      <c r="X32" s="327"/>
      <c r="Y32" s="327"/>
      <c r="Z32" s="327"/>
      <c r="AA32" s="327"/>
      <c r="AB32" s="325"/>
      <c r="AD32" s="267"/>
      <c r="AE32" s="267"/>
      <c r="AF32" s="267"/>
      <c r="AG32" s="221"/>
      <c r="AH32" s="220"/>
      <c r="AJ32" s="273"/>
      <c r="AK32" s="221"/>
      <c r="AL32" s="220"/>
    </row>
    <row r="33" spans="2:38" ht="12.2" customHeight="1" x14ac:dyDescent="0.2">
      <c r="B33" s="302"/>
      <c r="C33" s="303"/>
      <c r="D33" s="303"/>
      <c r="E33" s="327"/>
      <c r="F33" s="327"/>
      <c r="G33" s="328"/>
      <c r="H33" s="240"/>
      <c r="I33" s="240"/>
      <c r="J33" s="240"/>
      <c r="K33" s="327"/>
      <c r="L33" s="327"/>
      <c r="M33" s="327"/>
      <c r="N33" s="327"/>
      <c r="O33" s="327"/>
      <c r="P33" s="322"/>
      <c r="Q33" s="327"/>
      <c r="R33" s="327"/>
      <c r="S33" s="327"/>
      <c r="T33" s="327"/>
      <c r="U33" s="327"/>
      <c r="V33" s="240"/>
      <c r="W33" s="327"/>
      <c r="X33" s="327"/>
      <c r="Y33" s="327"/>
      <c r="Z33" s="327"/>
      <c r="AA33" s="327"/>
      <c r="AB33" s="325"/>
      <c r="AD33" s="267"/>
      <c r="AE33" s="267"/>
      <c r="AF33" s="267"/>
      <c r="AG33" s="221"/>
      <c r="AH33" s="220"/>
      <c r="AJ33" s="267"/>
      <c r="AK33" s="221"/>
      <c r="AL33" s="220"/>
    </row>
    <row r="34" spans="2:38" ht="12.2" customHeight="1" x14ac:dyDescent="0.2">
      <c r="B34" s="302"/>
      <c r="C34" s="303"/>
      <c r="D34" s="303"/>
      <c r="E34" s="326" t="s">
        <v>537</v>
      </c>
      <c r="F34" s="327"/>
      <c r="G34" s="953" t="s">
        <v>30917</v>
      </c>
      <c r="H34" s="240"/>
      <c r="I34" s="240"/>
      <c r="J34" s="240"/>
      <c r="K34" s="3315" t="str">
        <f>IF('Berechnung &amp; Tabellen'!F180=1,'Berechnung &amp; Tabellen'!E180,"")&amp;IF('Berechnung &amp; Tabellen'!F181=1,'Berechnung &amp; Tabellen'!E181,"")&amp;IF('Berechnung &amp; Tabellen'!F182=1,'Berechnung &amp; Tabellen'!E182,"")</f>
        <v>180W</v>
      </c>
      <c r="L34" s="3316"/>
      <c r="M34" s="3317"/>
      <c r="N34" s="2266"/>
      <c r="O34" s="2266"/>
      <c r="P34" s="2266"/>
      <c r="Q34" s="2266"/>
      <c r="R34" s="2266"/>
      <c r="S34" s="2266"/>
      <c r="T34" s="2266"/>
      <c r="U34" s="2266"/>
      <c r="V34" s="2266"/>
      <c r="W34" s="2266"/>
      <c r="X34" s="327"/>
      <c r="Y34" s="327"/>
      <c r="Z34" s="327"/>
      <c r="AA34" s="327"/>
      <c r="AB34" s="325"/>
      <c r="AD34" s="267"/>
      <c r="AE34" s="267"/>
      <c r="AF34" s="267"/>
      <c r="AG34" s="221"/>
      <c r="AH34" s="220"/>
      <c r="AJ34" s="267"/>
      <c r="AK34" s="221"/>
      <c r="AL34" s="220"/>
    </row>
    <row r="35" spans="2:38" ht="12.2" customHeight="1" x14ac:dyDescent="0.2">
      <c r="B35" s="302"/>
      <c r="C35" s="303"/>
      <c r="D35" s="303"/>
      <c r="E35" s="2237"/>
      <c r="F35" s="2237"/>
      <c r="G35" s="953"/>
      <c r="H35" s="2236"/>
      <c r="I35" s="2236"/>
      <c r="J35" s="2236"/>
      <c r="K35" s="2267"/>
      <c r="L35" s="2267"/>
      <c r="M35" s="2267"/>
      <c r="N35" s="2266"/>
      <c r="O35" s="2266"/>
      <c r="P35" s="2266"/>
      <c r="Q35" s="2266"/>
      <c r="R35" s="2266"/>
      <c r="S35" s="2266"/>
      <c r="T35" s="2266"/>
      <c r="U35" s="2266"/>
      <c r="V35" s="2266"/>
      <c r="W35" s="2266"/>
      <c r="X35" s="2237"/>
      <c r="Y35" s="2237"/>
      <c r="Z35" s="2237"/>
      <c r="AA35" s="2237"/>
      <c r="AB35" s="325"/>
      <c r="AD35" s="267"/>
      <c r="AE35" s="267"/>
      <c r="AF35" s="267"/>
      <c r="AJ35" s="267"/>
      <c r="AK35" s="221"/>
      <c r="AL35" s="220"/>
    </row>
    <row r="36" spans="2:38" ht="12.2" customHeight="1" x14ac:dyDescent="0.2">
      <c r="B36" s="302"/>
      <c r="C36" s="3319">
        <f>'Berechnung &amp; Tabellen'!AA92</f>
        <v>30.494295690722101</v>
      </c>
      <c r="D36" s="3320"/>
      <c r="E36" s="3321"/>
      <c r="F36" s="2237"/>
      <c r="G36" s="3318" t="s">
        <v>30969</v>
      </c>
      <c r="H36" s="3318"/>
      <c r="I36" s="3318"/>
      <c r="J36" s="3318"/>
      <c r="K36" s="3318"/>
      <c r="L36" s="3318"/>
      <c r="M36" s="3318"/>
      <c r="N36" s="3318"/>
      <c r="O36" s="3318"/>
      <c r="P36" s="3318"/>
      <c r="Q36" s="3318"/>
      <c r="R36" s="3318"/>
      <c r="S36" s="3318"/>
      <c r="T36" s="3318"/>
      <c r="U36" s="3318"/>
      <c r="V36" s="3318"/>
      <c r="W36" s="2266"/>
      <c r="X36" s="2237"/>
      <c r="Y36" s="2237"/>
      <c r="Z36" s="2237"/>
      <c r="AA36" s="2237"/>
      <c r="AB36" s="325"/>
      <c r="AF36" s="300"/>
      <c r="AJ36" s="267"/>
      <c r="AK36" s="221"/>
      <c r="AL36" s="220"/>
    </row>
    <row r="37" spans="2:38" ht="12.2" customHeight="1" x14ac:dyDescent="0.2">
      <c r="B37" s="308"/>
      <c r="C37" s="322"/>
      <c r="D37" s="322"/>
      <c r="E37" s="322"/>
      <c r="F37" s="322"/>
      <c r="G37" s="322"/>
      <c r="H37" s="322"/>
      <c r="I37" s="322"/>
      <c r="J37" s="322"/>
      <c r="K37" s="322"/>
      <c r="L37" s="322"/>
      <c r="M37" s="322"/>
      <c r="N37" s="322"/>
      <c r="O37" s="322"/>
      <c r="P37" s="322"/>
      <c r="Q37" s="322"/>
      <c r="R37" s="322"/>
      <c r="S37" s="322"/>
      <c r="T37" s="322"/>
      <c r="U37" s="322"/>
      <c r="V37" s="322"/>
      <c r="W37" s="322"/>
      <c r="X37" s="322"/>
      <c r="Y37" s="322"/>
      <c r="Z37" s="322"/>
      <c r="AA37" s="322"/>
      <c r="AB37" s="325"/>
      <c r="AF37" s="300"/>
      <c r="AJ37" s="267"/>
    </row>
    <row r="38" spans="2:38" ht="12.2" customHeight="1" x14ac:dyDescent="0.2">
      <c r="B38" s="308"/>
      <c r="C38" s="322"/>
      <c r="D38" s="322"/>
      <c r="E38" s="326" t="s">
        <v>537</v>
      </c>
      <c r="F38" s="322"/>
      <c r="G38" s="322" t="s">
        <v>476</v>
      </c>
      <c r="H38" s="322"/>
      <c r="I38" s="322"/>
      <c r="J38" s="322"/>
      <c r="K38" s="322"/>
      <c r="L38" s="322"/>
      <c r="M38" s="322"/>
      <c r="N38" s="322"/>
      <c r="O38" s="322"/>
      <c r="P38" s="322"/>
      <c r="Q38" s="322"/>
      <c r="R38" s="322"/>
      <c r="S38" s="322"/>
      <c r="T38" s="322"/>
      <c r="U38" s="322"/>
      <c r="V38" s="322"/>
      <c r="W38" s="322"/>
      <c r="X38" s="322"/>
      <c r="Y38" s="322"/>
      <c r="Z38" s="322"/>
      <c r="AA38" s="322"/>
      <c r="AB38" s="325"/>
      <c r="AF38" s="300"/>
    </row>
    <row r="39" spans="2:38" ht="12.2" customHeight="1" x14ac:dyDescent="0.2">
      <c r="B39" s="308"/>
      <c r="C39" s="322"/>
      <c r="D39" s="322"/>
      <c r="E39" s="322"/>
      <c r="F39" s="322"/>
      <c r="G39" s="322"/>
      <c r="H39" s="322"/>
      <c r="I39" s="322"/>
      <c r="J39" s="322"/>
      <c r="K39" s="322"/>
      <c r="L39" s="322"/>
      <c r="M39" s="322"/>
      <c r="N39" s="322"/>
      <c r="O39" s="322"/>
      <c r="P39" s="322"/>
      <c r="Q39" s="322"/>
      <c r="R39" s="322"/>
      <c r="S39" s="322"/>
      <c r="T39" s="322"/>
      <c r="U39" s="322"/>
      <c r="V39" s="322"/>
      <c r="W39" s="322"/>
      <c r="X39" s="322"/>
      <c r="Y39" s="322"/>
      <c r="Z39" s="322"/>
      <c r="AA39" s="322"/>
      <c r="AB39" s="325"/>
      <c r="AF39" s="300"/>
    </row>
    <row r="40" spans="2:38" ht="12.2" customHeight="1" x14ac:dyDescent="0.2">
      <c r="B40" s="308"/>
      <c r="C40" s="3287" t="str">
        <f>"2x "&amp;'Berechnung &amp; Tabellen'!C62&amp;" m"</f>
        <v>2x 2 m</v>
      </c>
      <c r="D40" s="3288"/>
      <c r="E40" s="3289"/>
      <c r="F40" s="299"/>
      <c r="G40" s="732" t="s">
        <v>30976</v>
      </c>
      <c r="H40" s="322"/>
      <c r="I40" s="322"/>
      <c r="J40" s="322"/>
      <c r="K40" s="322"/>
      <c r="L40" s="322"/>
      <c r="M40" s="322"/>
      <c r="N40" s="322"/>
      <c r="O40" s="322"/>
      <c r="P40" s="322"/>
      <c r="Q40" s="322"/>
      <c r="R40" s="322"/>
      <c r="S40" s="322"/>
      <c r="T40" s="322"/>
      <c r="U40" s="322"/>
      <c r="V40" s="322"/>
      <c r="W40" s="322"/>
      <c r="X40" s="322"/>
      <c r="Y40" s="322"/>
      <c r="Z40" s="322"/>
      <c r="AA40" s="322"/>
      <c r="AB40" s="325"/>
      <c r="AF40" s="300"/>
    </row>
    <row r="41" spans="2:38" ht="12.2" customHeight="1" x14ac:dyDescent="0.2">
      <c r="B41" s="308"/>
      <c r="C41" s="322"/>
      <c r="D41" s="322"/>
      <c r="E41" s="322"/>
      <c r="F41" s="322"/>
      <c r="G41" s="322"/>
      <c r="H41" s="322"/>
      <c r="I41" s="322"/>
      <c r="J41" s="322"/>
      <c r="K41" s="322"/>
      <c r="L41" s="322"/>
      <c r="M41" s="322"/>
      <c r="N41" s="322"/>
      <c r="O41" s="322"/>
      <c r="P41" s="322"/>
      <c r="Q41" s="322"/>
      <c r="R41" s="322"/>
      <c r="S41" s="322"/>
      <c r="T41" s="322"/>
      <c r="U41" s="322"/>
      <c r="V41" s="322"/>
      <c r="W41" s="322"/>
      <c r="X41" s="322"/>
      <c r="Y41" s="322"/>
      <c r="Z41" s="322"/>
      <c r="AA41" s="322"/>
      <c r="AB41" s="325"/>
      <c r="AF41" s="300"/>
    </row>
    <row r="42" spans="2:38" ht="12.2" customHeight="1" x14ac:dyDescent="0.2">
      <c r="B42" s="308"/>
      <c r="C42" s="322"/>
      <c r="D42" s="322"/>
      <c r="E42" s="330" t="s">
        <v>537</v>
      </c>
      <c r="F42" s="299"/>
      <c r="G42" s="732" t="s">
        <v>27960</v>
      </c>
      <c r="H42" s="322"/>
      <c r="I42" s="322"/>
      <c r="J42" s="322"/>
      <c r="K42" s="322"/>
      <c r="L42" s="322"/>
      <c r="M42" s="322"/>
      <c r="N42" s="322"/>
      <c r="O42" s="322"/>
      <c r="P42" s="322"/>
      <c r="Q42" s="322"/>
      <c r="R42" s="322"/>
      <c r="S42" s="322"/>
      <c r="T42" s="322"/>
      <c r="U42" s="322"/>
      <c r="V42" s="322"/>
      <c r="W42" s="322"/>
      <c r="X42" s="322"/>
      <c r="Y42" s="322"/>
      <c r="Z42" s="322"/>
      <c r="AA42" s="322"/>
      <c r="AB42" s="325"/>
      <c r="AF42" s="300"/>
    </row>
    <row r="43" spans="2:38" ht="12.2" customHeight="1" x14ac:dyDescent="0.2">
      <c r="B43" s="308"/>
      <c r="C43" s="322"/>
      <c r="D43" s="322"/>
      <c r="E43" s="322"/>
      <c r="F43" s="322"/>
      <c r="G43" s="322"/>
      <c r="H43" s="322"/>
      <c r="I43" s="322"/>
      <c r="J43" s="322"/>
      <c r="K43" s="322"/>
      <c r="L43" s="322"/>
      <c r="M43" s="322"/>
      <c r="N43" s="322"/>
      <c r="O43" s="322"/>
      <c r="P43" s="322"/>
      <c r="Q43" s="322"/>
      <c r="R43" s="322"/>
      <c r="S43" s="322"/>
      <c r="T43" s="322"/>
      <c r="U43" s="322"/>
      <c r="V43" s="322"/>
      <c r="W43" s="322"/>
      <c r="X43" s="322"/>
      <c r="Y43" s="322"/>
      <c r="Z43" s="322"/>
      <c r="AA43" s="322"/>
      <c r="AB43" s="325"/>
      <c r="AD43" s="267"/>
      <c r="AE43" s="267"/>
      <c r="AF43" s="267"/>
      <c r="AG43" s="221"/>
      <c r="AH43" s="220"/>
    </row>
    <row r="44" spans="2:38" ht="12.2" customHeight="1" x14ac:dyDescent="0.2">
      <c r="B44" s="308"/>
      <c r="C44" s="299"/>
      <c r="D44" s="299"/>
      <c r="E44" s="331" t="str">
        <f>IF(G44&lt;&gt;0,"x"," ")</f>
        <v>x</v>
      </c>
      <c r="F44" s="299"/>
      <c r="G44" s="299" t="str">
        <f>IF('Berechnung &amp; Tabellen'!F187=1,"Doppelgurtanbindung",IF('Berechnung &amp; Tabellen'!F186=1,"Einzelgurtanbindung"," "))</f>
        <v>Doppelgurtanbindung</v>
      </c>
      <c r="H44" s="299"/>
      <c r="I44" s="299"/>
      <c r="J44" s="299"/>
      <c r="K44" s="299"/>
      <c r="L44" s="299"/>
      <c r="M44" s="299"/>
      <c r="N44" s="322"/>
      <c r="O44" s="322"/>
      <c r="P44" s="322"/>
      <c r="Q44" s="322"/>
      <c r="R44" s="322"/>
      <c r="S44" s="322"/>
      <c r="T44" s="299"/>
      <c r="U44" s="299"/>
      <c r="V44" s="299"/>
      <c r="W44" s="299"/>
      <c r="X44" s="299"/>
      <c r="Y44" s="299"/>
      <c r="Z44" s="299"/>
      <c r="AA44" s="299"/>
      <c r="AB44" s="307"/>
      <c r="AD44" s="267"/>
      <c r="AE44" s="267"/>
      <c r="AF44" s="267"/>
      <c r="AG44" s="221"/>
      <c r="AH44" s="220"/>
    </row>
    <row r="45" spans="2:38" ht="12.2" customHeight="1" x14ac:dyDescent="0.2">
      <c r="B45" s="308"/>
      <c r="C45" s="299"/>
      <c r="D45" s="299"/>
      <c r="E45" s="299"/>
      <c r="F45" s="299"/>
      <c r="G45" s="299"/>
      <c r="H45" s="299"/>
      <c r="I45" s="299"/>
      <c r="J45" s="299"/>
      <c r="K45" s="299"/>
      <c r="L45" s="299"/>
      <c r="M45" s="299"/>
      <c r="N45" s="322"/>
      <c r="O45" s="322"/>
      <c r="P45" s="322"/>
      <c r="Q45" s="322"/>
      <c r="R45" s="322"/>
      <c r="S45" s="322"/>
      <c r="T45" s="299"/>
      <c r="U45" s="299"/>
      <c r="V45" s="299"/>
      <c r="W45" s="299"/>
      <c r="X45" s="299"/>
      <c r="Y45" s="299"/>
      <c r="Z45" s="299"/>
      <c r="AA45" s="299"/>
      <c r="AB45" s="307"/>
      <c r="AD45" s="267"/>
      <c r="AE45" s="267"/>
      <c r="AF45" s="267"/>
      <c r="AJ45" s="267"/>
      <c r="AK45" s="221"/>
      <c r="AL45" s="220"/>
    </row>
    <row r="46" spans="2:38" ht="12.2" customHeight="1" x14ac:dyDescent="0.2">
      <c r="B46" s="308"/>
      <c r="C46" s="299"/>
      <c r="D46" s="299"/>
      <c r="E46" s="330" t="s">
        <v>537</v>
      </c>
      <c r="F46" s="299"/>
      <c r="G46" s="678" t="s">
        <v>29739</v>
      </c>
      <c r="H46" s="299"/>
      <c r="I46" s="299"/>
      <c r="J46" s="299"/>
      <c r="K46" s="299"/>
      <c r="L46" s="299"/>
      <c r="M46" s="299"/>
      <c r="N46" s="299"/>
      <c r="O46" s="299"/>
      <c r="P46" s="299"/>
      <c r="Q46" s="299"/>
      <c r="R46" s="299"/>
      <c r="S46" s="299"/>
      <c r="T46" s="299"/>
      <c r="U46" s="299"/>
      <c r="V46" s="299"/>
      <c r="W46" s="299"/>
      <c r="X46" s="299"/>
      <c r="Y46" s="299"/>
      <c r="Z46" s="299"/>
      <c r="AA46" s="299"/>
      <c r="AB46" s="307"/>
      <c r="AF46" s="300"/>
      <c r="AJ46" s="267"/>
      <c r="AK46" s="221"/>
      <c r="AL46" s="220"/>
    </row>
    <row r="47" spans="2:38" ht="12.2" customHeight="1" x14ac:dyDescent="0.2">
      <c r="B47" s="308"/>
      <c r="C47" s="299"/>
      <c r="D47" s="299"/>
      <c r="E47" s="299"/>
      <c r="F47" s="299"/>
      <c r="G47" s="329"/>
      <c r="H47" s="299"/>
      <c r="I47" s="299"/>
      <c r="J47" s="299"/>
      <c r="K47" s="299"/>
      <c r="L47" s="299"/>
      <c r="M47" s="299"/>
      <c r="N47" s="299"/>
      <c r="O47" s="299"/>
      <c r="P47" s="299"/>
      <c r="Q47" s="299"/>
      <c r="R47" s="299"/>
      <c r="S47" s="299"/>
      <c r="T47" s="299"/>
      <c r="U47" s="299"/>
      <c r="V47" s="299"/>
      <c r="W47" s="299"/>
      <c r="X47" s="299"/>
      <c r="Y47" s="299"/>
      <c r="Z47" s="299"/>
      <c r="AA47" s="299"/>
      <c r="AB47" s="307"/>
      <c r="AF47" s="300"/>
      <c r="AJ47" s="267"/>
    </row>
    <row r="48" spans="2:38" ht="12.2" customHeight="1" x14ac:dyDescent="0.2">
      <c r="B48" s="308"/>
      <c r="C48" s="299"/>
      <c r="D48" s="299"/>
      <c r="E48" s="330">
        <f>IF('Berechnung &amp; Tabellen'!D54=1,"x",0)</f>
        <v>0</v>
      </c>
      <c r="F48" s="299"/>
      <c r="G48" s="757" t="s">
        <v>28248</v>
      </c>
      <c r="H48" s="299"/>
      <c r="I48" s="299"/>
      <c r="J48" s="299"/>
      <c r="K48" s="299"/>
      <c r="L48" s="299"/>
      <c r="M48" s="299"/>
      <c r="N48" s="299"/>
      <c r="O48" s="299"/>
      <c r="P48" s="299"/>
      <c r="Q48" s="299"/>
      <c r="R48" s="299"/>
      <c r="S48" s="299"/>
      <c r="T48" s="299"/>
      <c r="U48" s="299"/>
      <c r="V48" s="299"/>
      <c r="W48" s="299"/>
      <c r="X48" s="299"/>
      <c r="Y48" s="299"/>
      <c r="Z48" s="299"/>
      <c r="AA48" s="299"/>
      <c r="AB48" s="307"/>
      <c r="AF48" s="300"/>
    </row>
    <row r="49" spans="2:28" ht="12.2" customHeight="1" thickBot="1" x14ac:dyDescent="0.25">
      <c r="B49" s="314"/>
      <c r="C49" s="315"/>
      <c r="D49" s="315"/>
      <c r="E49" s="315"/>
      <c r="F49" s="315"/>
      <c r="G49" s="315"/>
      <c r="H49" s="315"/>
      <c r="I49" s="315"/>
      <c r="J49" s="315"/>
      <c r="K49" s="315"/>
      <c r="L49" s="315"/>
      <c r="M49" s="315"/>
      <c r="N49" s="315"/>
      <c r="O49" s="315"/>
      <c r="P49" s="315"/>
      <c r="Q49" s="315"/>
      <c r="R49" s="315"/>
      <c r="S49" s="315"/>
      <c r="T49" s="315"/>
      <c r="U49" s="315"/>
      <c r="V49" s="315"/>
      <c r="W49" s="315"/>
      <c r="X49" s="315"/>
      <c r="Y49" s="315"/>
      <c r="Z49" s="315"/>
      <c r="AA49" s="315"/>
      <c r="AB49" s="316"/>
    </row>
    <row r="50" spans="2:28" ht="15.75" x14ac:dyDescent="0.25">
      <c r="W50" s="332"/>
      <c r="X50" s="267"/>
    </row>
  </sheetData>
  <mergeCells count="20">
    <mergeCell ref="H9:AA9"/>
    <mergeCell ref="F1:T1"/>
    <mergeCell ref="B2:AB3"/>
    <mergeCell ref="H5:N5"/>
    <mergeCell ref="H7:L7"/>
    <mergeCell ref="Q7:V7"/>
    <mergeCell ref="C40:E40"/>
    <mergeCell ref="H11:L11"/>
    <mergeCell ref="T11:AA11"/>
    <mergeCell ref="H13:L13"/>
    <mergeCell ref="T13:AA13"/>
    <mergeCell ref="H15:L15"/>
    <mergeCell ref="T15:AA15"/>
    <mergeCell ref="G17:X17"/>
    <mergeCell ref="H20:N20"/>
    <mergeCell ref="T20:AA20"/>
    <mergeCell ref="L22:AA23"/>
    <mergeCell ref="K34:M34"/>
    <mergeCell ref="G36:V36"/>
    <mergeCell ref="C36:E36"/>
  </mergeCells>
  <phoneticPr fontId="76" type="noConversion"/>
  <conditionalFormatting sqref="AD22:AE30 AE61:AF65529 I22:K31 AB4:AB21 AF1:AF13 B4 I6:L6 O4:O14 U21:AA21 AK37:AL44 I4:N4 C4:E31 P12:P14 W10:AA10 S11:T13 U12:AA12 Q11:Q14 R11:R12 R14:AA14 S18:S19 W4:AA8 T18:T21 U18:AA19 F21:N21 AD1:AE14 S21 O18:R21 G23:H31 G41 F22:F31 AG1:AL24 P4:V10 U1 B1:E1 W1:AB1 S15:S16 M6:N16 F4:G19 H4:H16 I8:L16 H18:N19 L25:W31 L33:W33 G33:G39 C33:E35 B47:F48 C32:W32 B49:H65529 L49:AB65529 B18:B46 AB23:AB48 G43:G46 X25:AA48 C41:E46 L37:W48 F33:F46 AE47:AF49 AK47:AL65529 AD45:AD65529 AC1:AC1048576 AM1:IT1048576 H33:K35 I37:K65529 H37:H48 C37:E39 AG35:AH42 AG38:AJ65529 AI23:AI48 AD36:AF48">
    <cfRule type="cellIs" dxfId="679" priority="7" stopIfTrue="1" operator="equal">
      <formula>0</formula>
    </cfRule>
  </conditionalFormatting>
  <conditionalFormatting sqref="C40">
    <cfRule type="cellIs" dxfId="678" priority="5" stopIfTrue="1" operator="equal">
      <formula>0</formula>
    </cfRule>
  </conditionalFormatting>
  <conditionalFormatting sqref="AG25:AJ37">
    <cfRule type="cellIs" dxfId="677" priority="4" stopIfTrue="1" operator="equal">
      <formula>0</formula>
    </cfRule>
  </conditionalFormatting>
  <conditionalFormatting sqref="C36">
    <cfRule type="cellIs" dxfId="676" priority="2" stopIfTrue="1" operator="equal">
      <formula>0</formula>
    </cfRule>
  </conditionalFormatting>
  <conditionalFormatting sqref="AD23:AF35">
    <cfRule type="cellIs" dxfId="675" priority="1" stopIfTrue="1" operator="equal">
      <formula>0</formula>
    </cfRule>
  </conditionalFormatting>
  <printOptions horizontalCentered="1"/>
  <pageMargins left="0.19685039370078741" right="0.19685039370078741" top="0.39370078740157483" bottom="0.39370078740157483" header="0.51181102362204722" footer="0.51181102362204722"/>
  <pageSetup paperSize="9" orientation="portrait" r:id="rId1"/>
  <headerFooter alignWithMargins="0"/>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Tabelle8">
    <tabColor indexed="51"/>
  </sheetPr>
  <dimension ref="C1:S211"/>
  <sheetViews>
    <sheetView showGridLines="0" view="pageBreakPreview" topLeftCell="A68" zoomScale="85" zoomScaleNormal="70" zoomScaleSheetLayoutView="85" workbookViewId="0">
      <selection activeCell="H50" sqref="H50"/>
    </sheetView>
  </sheetViews>
  <sheetFormatPr baseColWidth="10" defaultColWidth="11.42578125" defaultRowHeight="15" x14ac:dyDescent="0.2"/>
  <cols>
    <col min="1" max="1" width="11.42578125" style="431"/>
    <col min="2" max="2" width="1.28515625" style="431" customWidth="1"/>
    <col min="3" max="3" width="11.85546875" style="431" customWidth="1"/>
    <col min="4" max="4" width="21.5703125" style="431" customWidth="1"/>
    <col min="5" max="5" width="37.5703125" style="431" customWidth="1"/>
    <col min="6" max="6" width="23.85546875" style="431" customWidth="1"/>
    <col min="7" max="7" width="17.140625" style="532" customWidth="1"/>
    <col min="8" max="8" width="13.7109375" style="431" customWidth="1"/>
    <col min="9" max="9" width="15.140625" style="431" bestFit="1" customWidth="1"/>
    <col min="10" max="10" width="34.28515625" style="460" bestFit="1" customWidth="1"/>
    <col min="11" max="11" width="13.28515625" style="431" customWidth="1"/>
    <col min="12" max="12" width="0.85546875" style="431" customWidth="1"/>
    <col min="13" max="13" width="11.42578125" style="431"/>
    <col min="14" max="14" width="6.28515625" style="432" customWidth="1"/>
    <col min="15" max="15" width="7.42578125" style="432" customWidth="1"/>
    <col min="16" max="16" width="21.28515625" style="433" customWidth="1"/>
    <col min="17" max="17" width="16.85546875" style="439" customWidth="1"/>
    <col min="18" max="18" width="20.42578125" style="431" customWidth="1"/>
    <col min="19" max="19" width="12.140625" style="431" customWidth="1"/>
    <col min="20" max="16384" width="11.42578125" style="431"/>
  </cols>
  <sheetData>
    <row r="1" spans="3:18" ht="27.75" customHeight="1" x14ac:dyDescent="0.2">
      <c r="C1" s="3357" t="str">
        <f>Dateneingabe!F1&amp;" "&amp;Dateneingabe!I1&amp;"   "&amp;"Checkliste"</f>
        <v>Ausschreibung GCC vertikal Rev. 0563b   Checkliste</v>
      </c>
      <c r="D1" s="3358"/>
      <c r="E1" s="3358"/>
      <c r="F1" s="3358"/>
      <c r="G1" s="3358"/>
      <c r="H1" s="3358"/>
      <c r="I1" s="3358"/>
      <c r="J1" s="3358"/>
      <c r="K1" s="3358"/>
      <c r="P1" s="433">
        <v>0</v>
      </c>
      <c r="Q1" s="434">
        <f>IF(P1=0,1,0)</f>
        <v>1</v>
      </c>
    </row>
    <row r="2" spans="3:18" s="438" customFormat="1" ht="15.75" customHeight="1" x14ac:dyDescent="0.2">
      <c r="C2" s="435"/>
      <c r="D2" s="436" t="s">
        <v>438</v>
      </c>
      <c r="E2" s="3359" t="str">
        <f>Dateneingabe!F3&amp;"-"&amp;Dateneingabe!H3</f>
        <v>05217112-200</v>
      </c>
      <c r="F2" s="3360"/>
      <c r="G2" s="437" t="s">
        <v>493</v>
      </c>
      <c r="H2" s="3361" t="str">
        <f>Dateneingabe!F17</f>
        <v>Element Logic Germany GmbH</v>
      </c>
      <c r="I2" s="3362"/>
      <c r="J2" s="3363"/>
      <c r="K2" s="3364"/>
      <c r="N2" s="432"/>
      <c r="O2" s="432"/>
      <c r="P2" s="433"/>
      <c r="Q2" s="439"/>
    </row>
    <row r="3" spans="3:18" s="445" customFormat="1" ht="2.25" customHeight="1" x14ac:dyDescent="0.2">
      <c r="C3" s="435"/>
      <c r="D3" s="440"/>
      <c r="E3" s="435"/>
      <c r="F3" s="435"/>
      <c r="G3" s="441"/>
      <c r="H3" s="440"/>
      <c r="I3" s="442"/>
      <c r="J3" s="443"/>
      <c r="K3" s="444"/>
      <c r="N3" s="432"/>
      <c r="O3" s="432"/>
      <c r="P3" s="433"/>
      <c r="Q3" s="439"/>
    </row>
    <row r="4" spans="3:18" s="445" customFormat="1" ht="15.75" customHeight="1" x14ac:dyDescent="0.2">
      <c r="D4" s="436" t="s">
        <v>538</v>
      </c>
      <c r="E4" s="3365" t="str">
        <f>Dateneingabe!F19</f>
        <v>Emil Lux GmbH</v>
      </c>
      <c r="F4" s="3366"/>
      <c r="G4" s="437" t="s">
        <v>539</v>
      </c>
      <c r="H4" s="3367" t="str">
        <f>Dateneingabe!F5</f>
        <v>5101.002095</v>
      </c>
      <c r="I4" s="3368"/>
      <c r="J4" s="446" t="s">
        <v>540</v>
      </c>
      <c r="K4" s="447" t="str">
        <f>Dateneingabe!H3</f>
        <v>200</v>
      </c>
      <c r="N4" s="432"/>
      <c r="O4" s="432"/>
      <c r="P4" s="433"/>
      <c r="Q4" s="439"/>
    </row>
    <row r="5" spans="3:18" ht="2.25" customHeight="1" x14ac:dyDescent="0.2">
      <c r="C5" s="448"/>
      <c r="D5" s="449"/>
      <c r="E5" s="449"/>
      <c r="F5" s="449"/>
      <c r="G5" s="432"/>
      <c r="H5" s="449"/>
      <c r="I5" s="450"/>
      <c r="J5" s="443"/>
      <c r="K5" s="449"/>
    </row>
    <row r="6" spans="3:18" ht="15.75" customHeight="1" x14ac:dyDescent="0.2">
      <c r="D6" s="436" t="s">
        <v>541</v>
      </c>
      <c r="E6" s="656" t="str">
        <f>Dateneingabe!F15</f>
        <v>MiWo</v>
      </c>
      <c r="F6" s="2448">
        <f>Dateneingabe!F13</f>
        <v>44594</v>
      </c>
      <c r="G6" s="3342"/>
      <c r="H6" s="3342"/>
      <c r="I6" s="3342"/>
      <c r="J6" s="3349"/>
      <c r="K6" s="3349"/>
      <c r="M6" s="449"/>
    </row>
    <row r="7" spans="3:18" s="453" customFormat="1" ht="13.7" customHeight="1" x14ac:dyDescent="0.2">
      <c r="D7" s="454"/>
      <c r="E7" s="455" t="s">
        <v>67</v>
      </c>
      <c r="F7" s="455" t="s">
        <v>69</v>
      </c>
      <c r="G7" s="455" t="s">
        <v>542</v>
      </c>
      <c r="H7" s="455" t="s">
        <v>68</v>
      </c>
      <c r="I7" s="455" t="s">
        <v>543</v>
      </c>
      <c r="J7" s="455" t="s">
        <v>544</v>
      </c>
      <c r="M7" s="456"/>
      <c r="N7" s="432"/>
      <c r="O7" s="432"/>
      <c r="P7" s="439"/>
      <c r="Q7" s="439"/>
    </row>
    <row r="8" spans="3:18" s="460" customFormat="1" ht="24.75" customHeight="1" x14ac:dyDescent="0.2">
      <c r="C8" s="3343" t="s">
        <v>29868</v>
      </c>
      <c r="D8" s="3344"/>
      <c r="E8" s="1692">
        <f>'Berechnung &amp; Tabellen'!D281</f>
        <v>1000</v>
      </c>
      <c r="F8" s="1692">
        <f>'Berechnung &amp; Tabellen'!E281</f>
        <v>1500</v>
      </c>
      <c r="G8" s="1692">
        <f>'Berechnung &amp; Tabellen'!F281</f>
        <v>614</v>
      </c>
      <c r="H8" s="1692">
        <f>'Berechnung &amp; Tabellen'!G281</f>
        <v>1</v>
      </c>
      <c r="I8" s="1692" t="str">
        <f>'Berechnung &amp; Tabellen'!H281</f>
        <v>0308531</v>
      </c>
      <c r="J8" s="2165" t="str">
        <f>'Berechnung &amp; Tabellen'!I281</f>
        <v>Verstärkte Flachpalette mit Aufbau</v>
      </c>
      <c r="K8" s="3354">
        <f>IF(OR(AND(J8=R20,J10=R20),AND(J8=R20,H10=0)),(IF(E8&gt;=E10,E8,E10)/1000)*(IF(F8&gt;=F10,F8,F9)/1000),0)</f>
        <v>1.5</v>
      </c>
      <c r="L8" s="443"/>
      <c r="M8" s="443"/>
      <c r="N8" s="432"/>
      <c r="O8" s="432"/>
      <c r="P8" s="439"/>
      <c r="Q8" s="439"/>
      <c r="R8" s="443"/>
    </row>
    <row r="9" spans="3:18" s="453" customFormat="1" ht="2.25" customHeight="1" x14ac:dyDescent="0.2">
      <c r="D9" s="1847"/>
      <c r="E9" s="456"/>
      <c r="F9" s="462"/>
      <c r="G9" s="463"/>
      <c r="H9" s="457"/>
      <c r="I9" s="464"/>
      <c r="J9" s="443"/>
      <c r="K9" s="3355"/>
      <c r="L9" s="456"/>
      <c r="M9" s="456"/>
      <c r="N9" s="432"/>
      <c r="O9" s="463"/>
      <c r="P9" s="439"/>
      <c r="Q9" s="439"/>
      <c r="R9" s="456"/>
    </row>
    <row r="10" spans="3:18" s="453" customFormat="1" ht="16.5" customHeight="1" x14ac:dyDescent="0.2">
      <c r="D10" s="1846" t="s">
        <v>29869</v>
      </c>
      <c r="E10" s="1692">
        <f>'Berechnung &amp; Tabellen'!D282</f>
        <v>800</v>
      </c>
      <c r="F10" s="1692">
        <f>'Berechnung &amp; Tabellen'!E282</f>
        <v>1300</v>
      </c>
      <c r="G10" s="1692" t="str">
        <f>'Berechnung &amp; Tabellen'!F282</f>
        <v>N/A</v>
      </c>
      <c r="H10" s="1692">
        <f>'Berechnung &amp; Tabellen'!G282</f>
        <v>0</v>
      </c>
      <c r="I10" s="459" t="str">
        <f>'Berechnung &amp; Tabellen'!H282</f>
        <v>0715214</v>
      </c>
      <c r="J10" s="2166" t="str">
        <f>'Berechnung &amp; Tabellen'!I282</f>
        <v>Festfeldpalette GCC</v>
      </c>
      <c r="K10" s="3356"/>
      <c r="L10" s="456"/>
      <c r="M10" s="456"/>
      <c r="N10" s="432"/>
      <c r="O10" s="463"/>
      <c r="P10" s="439"/>
      <c r="Q10" s="439"/>
      <c r="R10" s="456"/>
    </row>
    <row r="11" spans="3:18" s="453" customFormat="1" ht="2.25" customHeight="1" x14ac:dyDescent="0.2">
      <c r="D11" s="461"/>
      <c r="E11" s="456"/>
      <c r="F11" s="462"/>
      <c r="G11" s="463"/>
      <c r="H11" s="457"/>
      <c r="I11" s="464"/>
      <c r="J11" s="443"/>
      <c r="K11" s="449"/>
      <c r="L11" s="456"/>
      <c r="M11" s="456"/>
      <c r="N11" s="432"/>
      <c r="O11" s="463"/>
      <c r="P11" s="439"/>
      <c r="Q11" s="439"/>
      <c r="R11" s="456"/>
    </row>
    <row r="12" spans="3:18" s="453" customFormat="1" ht="16.5" hidden="1" customHeight="1" x14ac:dyDescent="0.2">
      <c r="D12" s="458" t="s">
        <v>714</v>
      </c>
      <c r="E12" s="1116"/>
      <c r="F12" s="1116"/>
      <c r="G12" s="459"/>
      <c r="H12" s="1116"/>
      <c r="I12" s="459">
        <f>IF(J12&lt;&gt;0,VLOOKUP(J12,$R$19:$S$24,2,FALSE),0)</f>
        <v>0</v>
      </c>
      <c r="J12" s="1116"/>
      <c r="K12" s="449"/>
      <c r="L12" s="456"/>
      <c r="M12" s="456"/>
      <c r="N12" s="432"/>
      <c r="O12" s="463"/>
      <c r="P12" s="439"/>
      <c r="Q12" s="439"/>
      <c r="R12" s="456"/>
    </row>
    <row r="13" spans="3:18" ht="2.25" hidden="1" customHeight="1" x14ac:dyDescent="0.2">
      <c r="C13" s="448"/>
      <c r="D13" s="449"/>
      <c r="E13" s="449"/>
      <c r="F13" s="449"/>
      <c r="G13" s="432"/>
      <c r="H13" s="449"/>
      <c r="I13" s="449"/>
      <c r="J13" s="443"/>
      <c r="K13" s="449"/>
      <c r="M13" s="449"/>
    </row>
    <row r="14" spans="3:18" s="465" customFormat="1" ht="51" customHeight="1" x14ac:dyDescent="0.2">
      <c r="C14" s="3352" t="str">
        <f>"Stöbich Brandschutz GmbH
D-38644 Goslar"</f>
        <v>Stöbich Brandschutz GmbH
D-38644 Goslar</v>
      </c>
      <c r="D14" s="3353"/>
      <c r="E14" s="451" t="str">
        <f>"Schließkraft "&amp;'Berechnung &amp; Tabellen'!C56&amp;" kN"</f>
        <v>Schließkraft 0,5 kN</v>
      </c>
      <c r="F14" s="1478" t="s">
        <v>546</v>
      </c>
      <c r="G14" s="1479">
        <f>Dateneingabe!F9</f>
        <v>44622</v>
      </c>
      <c r="H14" s="3351"/>
      <c r="I14" s="3351"/>
      <c r="J14" s="3350" t="s">
        <v>28825</v>
      </c>
      <c r="K14" s="3350"/>
      <c r="N14" s="466"/>
      <c r="O14" s="466"/>
      <c r="P14" s="467"/>
      <c r="Q14" s="468"/>
    </row>
    <row r="15" spans="3:18" s="465" customFormat="1" ht="2.25" customHeight="1" thickBot="1" x14ac:dyDescent="0.25">
      <c r="C15" s="472"/>
      <c r="D15" s="472"/>
      <c r="E15" s="469"/>
      <c r="F15" s="470"/>
      <c r="G15" s="471"/>
      <c r="H15" s="473"/>
      <c r="I15" s="473"/>
      <c r="J15" s="474"/>
      <c r="K15" s="474"/>
      <c r="N15" s="466"/>
      <c r="O15" s="466"/>
      <c r="P15" s="467"/>
      <c r="Q15" s="468"/>
    </row>
    <row r="16" spans="3:18" s="479" customFormat="1" ht="16.5" thickBot="1" x14ac:dyDescent="0.25">
      <c r="C16" s="3371" t="s">
        <v>451</v>
      </c>
      <c r="D16" s="3372"/>
      <c r="E16" s="3372"/>
      <c r="F16" s="3373"/>
      <c r="G16" s="475" t="s">
        <v>452</v>
      </c>
      <c r="H16" s="1312" t="s">
        <v>68</v>
      </c>
      <c r="I16" s="476"/>
      <c r="J16" s="477" t="s">
        <v>547</v>
      </c>
      <c r="K16" s="478"/>
      <c r="M16" s="480"/>
      <c r="N16" s="481"/>
      <c r="O16" s="481"/>
      <c r="P16" s="467"/>
      <c r="Q16" s="468"/>
    </row>
    <row r="17" spans="3:19" s="479" customFormat="1" ht="3.2" customHeight="1" thickBot="1" x14ac:dyDescent="0.25">
      <c r="C17" s="3374"/>
      <c r="D17" s="3375"/>
      <c r="E17" s="3375"/>
      <c r="F17" s="3375"/>
      <c r="G17" s="3375"/>
      <c r="H17" s="3375"/>
      <c r="I17" s="3375"/>
      <c r="J17" s="3375"/>
      <c r="K17" s="3376"/>
      <c r="M17" s="480"/>
      <c r="N17" s="481"/>
      <c r="O17" s="481"/>
      <c r="P17" s="467"/>
      <c r="Q17" s="468"/>
    </row>
    <row r="18" spans="3:19" s="479" customFormat="1" ht="15.75" x14ac:dyDescent="0.2">
      <c r="C18" s="3345" t="s">
        <v>377</v>
      </c>
      <c r="D18" s="3346"/>
      <c r="E18" s="3346"/>
      <c r="F18" s="3346"/>
      <c r="G18" s="2524"/>
      <c r="H18" s="2526">
        <f>IF(SUM(H19:H31)&gt;0,1,0)</f>
        <v>1</v>
      </c>
      <c r="I18" s="2524"/>
      <c r="J18" s="2524"/>
      <c r="K18" s="2525"/>
      <c r="M18" s="449"/>
      <c r="N18" s="482"/>
      <c r="O18" s="482"/>
      <c r="P18" s="483" t="s">
        <v>465</v>
      </c>
      <c r="Q18" s="439" t="s">
        <v>464</v>
      </c>
      <c r="R18" s="3369" t="s">
        <v>27670</v>
      </c>
      <c r="S18" s="3370"/>
    </row>
    <row r="19" spans="3:19" s="479" customFormat="1" ht="20.100000000000001" customHeight="1" x14ac:dyDescent="0.2">
      <c r="C19" s="484" t="s">
        <v>733</v>
      </c>
      <c r="D19" s="485"/>
      <c r="E19" s="485"/>
      <c r="F19" s="486"/>
      <c r="G19" s="487"/>
      <c r="H19" s="1272">
        <f>Liste!D5</f>
        <v>1</v>
      </c>
      <c r="I19" s="488"/>
      <c r="J19" s="2159"/>
      <c r="K19" s="490"/>
      <c r="M19" s="449"/>
      <c r="N19" s="482"/>
      <c r="O19" s="482"/>
      <c r="P19" s="491"/>
      <c r="Q19" s="439"/>
    </row>
    <row r="20" spans="3:19" s="479" customFormat="1" ht="20.100000000000001" customHeight="1" x14ac:dyDescent="0.2">
      <c r="C20" s="492" t="s">
        <v>735</v>
      </c>
      <c r="D20" s="493"/>
      <c r="E20" s="493"/>
      <c r="F20" s="486"/>
      <c r="G20" s="487"/>
      <c r="H20" s="1272">
        <f>Liste!D65</f>
        <v>0</v>
      </c>
      <c r="I20" s="488"/>
      <c r="J20" s="2159"/>
      <c r="K20" s="490"/>
      <c r="M20" s="449"/>
      <c r="N20" s="482"/>
      <c r="O20" s="482"/>
      <c r="P20" s="491"/>
      <c r="Q20" s="439"/>
      <c r="R20" s="479" t="s">
        <v>29383</v>
      </c>
      <c r="S20" s="1687" t="s">
        <v>31030</v>
      </c>
    </row>
    <row r="21" spans="3:19" s="479" customFormat="1" ht="20.100000000000001" customHeight="1" x14ac:dyDescent="0.2">
      <c r="C21" s="492" t="s">
        <v>686</v>
      </c>
      <c r="D21" s="493"/>
      <c r="E21" s="493"/>
      <c r="F21" s="486"/>
      <c r="G21" s="487"/>
      <c r="H21" s="1272">
        <f>Liste!D50</f>
        <v>0</v>
      </c>
      <c r="I21" s="488"/>
      <c r="J21" s="2159"/>
      <c r="K21" s="490"/>
      <c r="M21" s="449"/>
      <c r="N21" s="482"/>
      <c r="O21" s="482"/>
      <c r="P21" s="491"/>
      <c r="Q21" s="439"/>
    </row>
    <row r="22" spans="3:19" s="479" customFormat="1" ht="20.100000000000001" customHeight="1" x14ac:dyDescent="0.2">
      <c r="C22" s="492" t="s">
        <v>734</v>
      </c>
      <c r="D22" s="485"/>
      <c r="E22" s="493"/>
      <c r="F22" s="486"/>
      <c r="G22" s="487"/>
      <c r="H22" s="1272">
        <f>Liste!D86</f>
        <v>0</v>
      </c>
      <c r="I22" s="488"/>
      <c r="J22" s="2159"/>
      <c r="K22" s="490"/>
      <c r="M22" s="449"/>
      <c r="N22" s="432"/>
      <c r="O22" s="432"/>
      <c r="P22" s="439"/>
      <c r="Q22" s="439"/>
      <c r="R22" s="2163"/>
      <c r="S22" s="2164"/>
    </row>
    <row r="23" spans="3:19" s="479" customFormat="1" ht="20.100000000000001" customHeight="1" x14ac:dyDescent="0.2">
      <c r="C23" s="484">
        <f>Liste!B182</f>
        <v>0</v>
      </c>
      <c r="D23" s="485"/>
      <c r="E23" s="485"/>
      <c r="F23" s="486"/>
      <c r="G23" s="487">
        <f>Liste!C182</f>
        <v>0</v>
      </c>
      <c r="H23" s="1272">
        <f>Liste!A182</f>
        <v>0</v>
      </c>
      <c r="I23" s="488"/>
      <c r="J23" s="2159"/>
      <c r="K23" s="490"/>
      <c r="M23" s="449"/>
      <c r="N23" s="432"/>
      <c r="O23" s="432"/>
      <c r="P23" s="439"/>
      <c r="Q23" s="439"/>
    </row>
    <row r="24" spans="3:19" s="479" customFormat="1" ht="20.100000000000001" customHeight="1" x14ac:dyDescent="0.2">
      <c r="C24" s="484">
        <f>Liste!B185</f>
        <v>0</v>
      </c>
      <c r="D24" s="485"/>
      <c r="E24" s="485"/>
      <c r="F24" s="486"/>
      <c r="G24" s="487">
        <f>Liste!C185</f>
        <v>0</v>
      </c>
      <c r="H24" s="1272">
        <f>Liste!A185</f>
        <v>0</v>
      </c>
      <c r="I24" s="488"/>
      <c r="J24" s="2159"/>
      <c r="K24" s="490"/>
      <c r="M24" s="449"/>
      <c r="N24" s="432"/>
      <c r="O24" s="432"/>
      <c r="P24" s="439"/>
      <c r="Q24" s="439"/>
    </row>
    <row r="25" spans="3:19" s="479" customFormat="1" ht="20.100000000000001" customHeight="1" x14ac:dyDescent="0.2">
      <c r="C25" s="2570"/>
      <c r="D25" s="2571"/>
      <c r="E25" s="2587"/>
      <c r="F25" s="2588"/>
      <c r="G25" s="2589"/>
      <c r="H25" s="2590"/>
      <c r="I25" s="488"/>
      <c r="J25" s="2159"/>
      <c r="K25" s="490"/>
      <c r="M25" s="449"/>
      <c r="N25" s="432"/>
      <c r="O25" s="432"/>
      <c r="P25" s="439"/>
      <c r="Q25" s="439"/>
    </row>
    <row r="26" spans="3:19" s="479" customFormat="1" ht="20.100000000000001" customHeight="1" x14ac:dyDescent="0.2">
      <c r="C26" s="2570"/>
      <c r="D26" s="2571"/>
      <c r="E26" s="2587"/>
      <c r="F26" s="2588"/>
      <c r="G26" s="2591"/>
      <c r="H26" s="2590"/>
      <c r="I26" s="488"/>
      <c r="J26" s="2159"/>
      <c r="K26" s="490"/>
      <c r="M26" s="449"/>
      <c r="N26" s="432"/>
      <c r="O26" s="432"/>
      <c r="P26" s="439"/>
      <c r="Q26" s="439"/>
    </row>
    <row r="27" spans="3:19" s="479" customFormat="1" ht="20.100000000000001" customHeight="1" x14ac:dyDescent="0.2">
      <c r="C27" s="2592"/>
      <c r="D27" s="2571"/>
      <c r="E27" s="2571"/>
      <c r="F27" s="2588"/>
      <c r="G27" s="2589"/>
      <c r="H27" s="2590"/>
      <c r="I27" s="488"/>
      <c r="J27" s="2159"/>
      <c r="K27" s="490"/>
      <c r="M27" s="449"/>
      <c r="N27" s="432"/>
      <c r="O27" s="432"/>
      <c r="P27" s="491"/>
      <c r="Q27" s="439"/>
    </row>
    <row r="28" spans="3:19" s="479" customFormat="1" ht="20.100000000000001" customHeight="1" x14ac:dyDescent="0.2">
      <c r="C28" s="655" t="s">
        <v>737</v>
      </c>
      <c r="D28" s="485"/>
      <c r="E28" s="485"/>
      <c r="F28" s="486"/>
      <c r="G28" s="502" t="str">
        <f>Liste!C190</f>
        <v>0708767</v>
      </c>
      <c r="H28" s="1272">
        <f>Liste!D190</f>
        <v>0</v>
      </c>
      <c r="I28" s="488"/>
      <c r="J28" s="2159"/>
      <c r="K28" s="490"/>
      <c r="M28" s="449"/>
      <c r="N28" s="432"/>
      <c r="O28" s="432"/>
      <c r="P28" s="491"/>
      <c r="Q28" s="439"/>
    </row>
    <row r="29" spans="3:19" s="479" customFormat="1" ht="20.100000000000001" customHeight="1" x14ac:dyDescent="0.2">
      <c r="C29" s="655" t="str">
        <f>Liste!B175</f>
        <v>GCC vertikal Gleitstück Schieberführung</v>
      </c>
      <c r="D29" s="485"/>
      <c r="E29" s="485"/>
      <c r="F29" s="486"/>
      <c r="G29" s="502" t="str">
        <f>Liste!C175</f>
        <v>0712382</v>
      </c>
      <c r="H29" s="1272">
        <f>Liste!D175</f>
        <v>4</v>
      </c>
      <c r="I29" s="488"/>
      <c r="J29" s="2159"/>
      <c r="K29" s="490"/>
      <c r="M29" s="449"/>
      <c r="N29" s="432"/>
      <c r="O29" s="432"/>
      <c r="P29" s="491"/>
      <c r="Q29" s="439"/>
    </row>
    <row r="30" spans="3:19" s="479" customFormat="1" ht="20.100000000000001" customHeight="1" x14ac:dyDescent="0.2">
      <c r="C30" s="655" t="str">
        <f>Liste!B178</f>
        <v>Unterleger für Gleitblock verz.</v>
      </c>
      <c r="D30" s="493"/>
      <c r="E30" s="493"/>
      <c r="F30" s="495"/>
      <c r="G30" s="487" t="str">
        <f>Liste!C178</f>
        <v>0308513</v>
      </c>
      <c r="H30" s="1272">
        <f>Liste!A178</f>
        <v>4</v>
      </c>
      <c r="I30" s="488"/>
      <c r="J30" s="2159"/>
      <c r="K30" s="490"/>
      <c r="M30" s="449"/>
      <c r="N30" s="432"/>
      <c r="O30" s="432"/>
      <c r="P30" s="491"/>
      <c r="Q30" s="439"/>
    </row>
    <row r="31" spans="3:19" s="479" customFormat="1" ht="20.100000000000001" customHeight="1" x14ac:dyDescent="0.2">
      <c r="C31" s="1338" t="str">
        <f>Liste!B313</f>
        <v>Kennzeichnungsschild CE GCC</v>
      </c>
      <c r="D31" s="493"/>
      <c r="E31" s="493"/>
      <c r="F31" s="495"/>
      <c r="G31" s="502" t="str">
        <f>Liste!C313</f>
        <v>0901087</v>
      </c>
      <c r="H31" s="1272">
        <f>Liste!D313</f>
        <v>1</v>
      </c>
      <c r="I31" s="488"/>
      <c r="J31" s="489" t="s">
        <v>464</v>
      </c>
      <c r="K31" s="490"/>
      <c r="M31" s="449"/>
      <c r="N31" s="432"/>
      <c r="O31" s="432"/>
      <c r="P31" s="491"/>
      <c r="Q31" s="439"/>
    </row>
    <row r="32" spans="3:19" s="479" customFormat="1" ht="20.100000000000001" customHeight="1" x14ac:dyDescent="0.2">
      <c r="C32" s="1338" t="str">
        <f>Liste!B514</f>
        <v>hugO Montagestrebe GCC</v>
      </c>
      <c r="D32" s="493"/>
      <c r="E32" s="493"/>
      <c r="F32" s="499">
        <f>Liste!E514</f>
        <v>1040</v>
      </c>
      <c r="G32" s="502" t="str">
        <f>Liste!C514</f>
        <v>0308598</v>
      </c>
      <c r="H32" s="1272">
        <f>Liste!D514</f>
        <v>0</v>
      </c>
      <c r="I32" s="488"/>
      <c r="J32" s="489"/>
      <c r="K32" s="490"/>
      <c r="M32" s="449"/>
      <c r="N32" s="432"/>
      <c r="O32" s="432"/>
      <c r="P32" s="2638"/>
      <c r="Q32" s="2636"/>
    </row>
    <row r="33" spans="3:17" s="479" customFormat="1" ht="15.75" x14ac:dyDescent="0.2">
      <c r="C33" s="3347" t="s">
        <v>549</v>
      </c>
      <c r="D33" s="3348"/>
      <c r="E33" s="3348"/>
      <c r="F33" s="3348"/>
      <c r="G33" s="2524"/>
      <c r="H33" s="2526">
        <f>IF(SUM(H35:H68)&gt;0,1,0)</f>
        <v>1</v>
      </c>
      <c r="I33" s="2524"/>
      <c r="J33" s="2524"/>
      <c r="K33" s="2525"/>
      <c r="M33" s="496"/>
      <c r="N33" s="432"/>
      <c r="O33" s="466"/>
      <c r="P33" s="468"/>
      <c r="Q33" s="468"/>
    </row>
    <row r="34" spans="3:17" s="479" customFormat="1" ht="15.75" x14ac:dyDescent="0.2">
      <c r="C34" s="3347" t="str">
        <f>IF(Dateneingabe!F32=Dateneingabe!F114,'Berechnung &amp; Tabellen'!O231&amp;" Konsolen, Konsolenabstand "&amp;'Berechnung &amp; Tabellen'!N232&amp;"mm","")</f>
        <v>2 Konsolen, Konsolenabstand 100mm</v>
      </c>
      <c r="D34" s="3348"/>
      <c r="E34" s="3348"/>
      <c r="F34" s="3348"/>
      <c r="G34" s="2524" t="str">
        <f>IF(Dateneingabe!F32=Dateneingabe!F114,'Berechnung &amp; Tabellen'!O231&amp;" Konsolen, Konsolenabstand "&amp;'Berechnung &amp; Tabellen'!N232&amp;"mm","")</f>
        <v>2 Konsolen, Konsolenabstand 100mm</v>
      </c>
      <c r="H34" s="2526">
        <f>IF(SUM(H35:H68)&gt;0,1,0)</f>
        <v>1</v>
      </c>
      <c r="I34" s="2524"/>
      <c r="J34" s="2524"/>
      <c r="K34" s="2525"/>
      <c r="M34" s="496"/>
      <c r="N34" s="432"/>
      <c r="O34" s="466"/>
      <c r="P34" s="468"/>
      <c r="Q34" s="468"/>
    </row>
    <row r="35" spans="3:17" s="479" customFormat="1" ht="21.75" customHeight="1" x14ac:dyDescent="0.2">
      <c r="C35" s="497" t="s">
        <v>710</v>
      </c>
      <c r="D35" s="498"/>
      <c r="E35" s="494">
        <f>Liste!$F$271+Liste!$F$272</f>
        <v>550</v>
      </c>
      <c r="F35" s="499">
        <v>100</v>
      </c>
      <c r="G35" s="487" t="s">
        <v>337</v>
      </c>
      <c r="H35" s="1272">
        <f>Liste!$D$271+Liste!$D$272</f>
        <v>1</v>
      </c>
      <c r="I35" s="488"/>
      <c r="J35" s="489" t="str">
        <f>IF('Berechnung &amp; Tabellen'!D58=1,"mit Dichtrahmenabdeckung"," ")</f>
        <v xml:space="preserve"> </v>
      </c>
      <c r="K35" s="490"/>
      <c r="M35" s="496"/>
      <c r="N35" s="466"/>
      <c r="O35" s="466"/>
      <c r="P35" s="468"/>
      <c r="Q35" s="468" t="s">
        <v>337</v>
      </c>
    </row>
    <row r="36" spans="3:17" s="479" customFormat="1" ht="21.75" customHeight="1" x14ac:dyDescent="0.2">
      <c r="C36" s="497" t="s">
        <v>711</v>
      </c>
      <c r="D36" s="498"/>
      <c r="E36" s="494">
        <f>Liste!$F$273+Liste!$F$274</f>
        <v>550</v>
      </c>
      <c r="F36" s="499">
        <v>100</v>
      </c>
      <c r="G36" s="487" t="s">
        <v>337</v>
      </c>
      <c r="H36" s="1272">
        <f>Liste!$D$273+Liste!$D$274</f>
        <v>1</v>
      </c>
      <c r="I36" s="488"/>
      <c r="J36" s="489" t="str">
        <f>IF('Berechnung &amp; Tabellen'!D58=1,"mit Dichtrahmenabdeckung"," ")</f>
        <v xml:space="preserve"> </v>
      </c>
      <c r="K36" s="490"/>
      <c r="M36" s="496"/>
      <c r="N36" s="466"/>
      <c r="O36" s="466"/>
      <c r="P36" s="468"/>
      <c r="Q36" s="468" t="s">
        <v>337</v>
      </c>
    </row>
    <row r="37" spans="3:17" s="479" customFormat="1" ht="21.75" customHeight="1" x14ac:dyDescent="0.2">
      <c r="C37" s="497" t="s">
        <v>687</v>
      </c>
      <c r="D37" s="498"/>
      <c r="E37" s="494">
        <f>Liste!$F$269+Liste!$F$270</f>
        <v>1100</v>
      </c>
      <c r="F37" s="499">
        <v>100</v>
      </c>
      <c r="G37" s="487" t="s">
        <v>337</v>
      </c>
      <c r="H37" s="1272">
        <f>Liste!$D$269+Liste!$D$270</f>
        <v>1</v>
      </c>
      <c r="I37" s="488"/>
      <c r="J37" s="489" t="str">
        <f>IF('Berechnung &amp; Tabellen'!D58=1,"mit Dichtrahmenabdeckung"," ")</f>
        <v xml:space="preserve"> </v>
      </c>
      <c r="K37" s="490"/>
      <c r="M37" s="496"/>
      <c r="N37" s="432"/>
      <c r="O37" s="466"/>
      <c r="P37" s="468"/>
      <c r="Q37" s="468" t="s">
        <v>337</v>
      </c>
    </row>
    <row r="38" spans="3:17" s="479" customFormat="1" ht="21.75" customHeight="1" x14ac:dyDescent="0.2">
      <c r="C38" s="484" t="str">
        <f>Liste!B427</f>
        <v>Festfelddeckplatten (Komplettlänge/Teillänge1)</v>
      </c>
      <c r="D38" s="500"/>
      <c r="E38" s="500"/>
      <c r="F38" s="501" t="str">
        <f>Liste!E427&amp;" mm x"&amp;Liste!F427&amp;" mm"</f>
        <v>365 mm x1100 mm</v>
      </c>
      <c r="G38" s="487" t="s">
        <v>337</v>
      </c>
      <c r="H38" s="1272">
        <f>Liste!D427</f>
        <v>2</v>
      </c>
      <c r="I38" s="488"/>
      <c r="J38" s="2159"/>
      <c r="K38" s="490"/>
      <c r="M38" s="496"/>
      <c r="N38" s="432"/>
      <c r="O38" s="466"/>
      <c r="P38" s="468"/>
      <c r="Q38" s="468"/>
    </row>
    <row r="39" spans="3:17" s="479" customFormat="1" ht="21.75" customHeight="1" x14ac:dyDescent="0.2">
      <c r="C39" s="484" t="str">
        <f>Liste!B428</f>
        <v>Festfelddeckplatten (Teillänge2)</v>
      </c>
      <c r="D39" s="500"/>
      <c r="E39" s="500"/>
      <c r="F39" s="501" t="str">
        <f>Liste!E428&amp;" mm x"&amp;Liste!F428&amp;" mm"</f>
        <v>365 mm x0 mm</v>
      </c>
      <c r="G39" s="487" t="s">
        <v>337</v>
      </c>
      <c r="H39" s="1272">
        <f>Liste!D428</f>
        <v>0</v>
      </c>
      <c r="I39" s="488"/>
      <c r="J39" s="2159"/>
      <c r="K39" s="490"/>
      <c r="M39" s="496"/>
      <c r="N39" s="432"/>
      <c r="O39" s="466"/>
      <c r="P39" s="468"/>
      <c r="Q39" s="468"/>
    </row>
    <row r="40" spans="3:17" s="479" customFormat="1" ht="21.75" customHeight="1" x14ac:dyDescent="0.2">
      <c r="C40" s="484">
        <f>Liste!B445</f>
        <v>0</v>
      </c>
      <c r="D40" s="500"/>
      <c r="E40" s="747"/>
      <c r="F40" s="500" t="s">
        <v>28451</v>
      </c>
      <c r="G40" s="487">
        <f>Liste!C445</f>
        <v>0</v>
      </c>
      <c r="H40" s="1272">
        <f>Liste!A445</f>
        <v>0</v>
      </c>
      <c r="I40" s="488"/>
      <c r="J40" s="2159"/>
      <c r="K40" s="490"/>
      <c r="M40" s="496"/>
      <c r="N40" s="432"/>
      <c r="O40" s="466"/>
      <c r="P40" s="468"/>
      <c r="Q40" s="468"/>
    </row>
    <row r="41" spans="3:17" s="479" customFormat="1" ht="21.75" customHeight="1" x14ac:dyDescent="0.2">
      <c r="C41" s="484" t="str">
        <f>Liste!B448</f>
        <v>Festfeldfüllplatten 12,5mm GKF</v>
      </c>
      <c r="D41" s="500"/>
      <c r="E41" s="747"/>
      <c r="F41" s="500" t="s">
        <v>28451</v>
      </c>
      <c r="G41" s="487" t="str">
        <f>Liste!C448</f>
        <v>0308331</v>
      </c>
      <c r="H41" s="1272">
        <f>Liste!A448</f>
        <v>25</v>
      </c>
      <c r="I41" s="488"/>
      <c r="J41" s="2159"/>
      <c r="K41" s="490"/>
      <c r="M41" s="496"/>
      <c r="N41" s="432"/>
      <c r="O41" s="466"/>
      <c r="P41" s="468"/>
      <c r="Q41" s="468"/>
    </row>
    <row r="42" spans="3:17" s="479" customFormat="1" ht="21.75" customHeight="1" x14ac:dyDescent="0.2">
      <c r="C42" s="484" t="str">
        <f>Liste!B451</f>
        <v>Festfeldfüllplatten 15mm Promatect</v>
      </c>
      <c r="D42" s="500"/>
      <c r="E42" s="747"/>
      <c r="F42" s="500" t="s">
        <v>28451</v>
      </c>
      <c r="G42" s="487" t="str">
        <f>Liste!C451</f>
        <v>0308333</v>
      </c>
      <c r="H42" s="1272">
        <f>Liste!A451</f>
        <v>1</v>
      </c>
      <c r="I42" s="488"/>
      <c r="J42" s="2159"/>
      <c r="K42" s="490"/>
      <c r="M42" s="496"/>
      <c r="N42" s="432"/>
      <c r="O42" s="466"/>
      <c r="P42" s="468"/>
      <c r="Q42" s="468"/>
    </row>
    <row r="43" spans="3:17" s="479" customFormat="1" ht="21.75" customHeight="1" x14ac:dyDescent="0.2">
      <c r="C43" s="484" t="str">
        <f>Liste!B454</f>
        <v>Festfeldfüllplatten 6mm Promatect</v>
      </c>
      <c r="D43" s="500"/>
      <c r="E43" s="747"/>
      <c r="F43" s="500" t="s">
        <v>28451</v>
      </c>
      <c r="G43" s="487" t="str">
        <f>Liste!C454</f>
        <v>0308334</v>
      </c>
      <c r="H43" s="1272">
        <f>Liste!A454</f>
        <v>1</v>
      </c>
      <c r="I43" s="488"/>
      <c r="J43" s="2159"/>
      <c r="K43" s="490"/>
      <c r="M43" s="496"/>
      <c r="N43" s="432"/>
      <c r="O43" s="466"/>
      <c r="P43" s="468"/>
      <c r="Q43" s="468"/>
    </row>
    <row r="44" spans="3:17" s="479" customFormat="1" ht="21.75" customHeight="1" x14ac:dyDescent="0.2">
      <c r="C44" s="484" t="str">
        <f>Liste!B455</f>
        <v>Ytong Planblock PPW4 600x250x150</v>
      </c>
      <c r="D44" s="500"/>
      <c r="E44" s="500"/>
      <c r="F44" s="500"/>
      <c r="G44" s="502" t="str">
        <f>Liste!C455</f>
        <v>0220002</v>
      </c>
      <c r="H44" s="1272">
        <f>Liste!D455</f>
        <v>0</v>
      </c>
      <c r="I44" s="488"/>
      <c r="J44" s="2159"/>
      <c r="K44" s="490"/>
      <c r="M44" s="496"/>
      <c r="N44" s="432"/>
      <c r="O44" s="466"/>
      <c r="P44" s="468"/>
      <c r="Q44" s="468"/>
    </row>
    <row r="45" spans="3:17" s="479" customFormat="1" ht="21.75" customHeight="1" x14ac:dyDescent="0.2">
      <c r="C45" s="484" t="str">
        <f>Liste!B458</f>
        <v>Kantenschutzwinkel 40 x 20 gelocht</v>
      </c>
      <c r="D45" s="500"/>
      <c r="E45" s="747"/>
      <c r="F45" s="500" t="str">
        <f>Liste!F458&amp;" mm"</f>
        <v>1100 mm</v>
      </c>
      <c r="G45" s="487" t="str">
        <f>Liste!C458</f>
        <v>0308282</v>
      </c>
      <c r="H45" s="1272">
        <f>Liste!A458</f>
        <v>3</v>
      </c>
      <c r="I45" s="488"/>
      <c r="J45" s="2159"/>
      <c r="K45" s="490"/>
      <c r="M45" s="496"/>
      <c r="N45" s="432"/>
      <c r="O45" s="466"/>
      <c r="P45" s="468"/>
      <c r="Q45" s="468"/>
    </row>
    <row r="46" spans="3:17" s="479" customFormat="1" ht="21.75" customHeight="1" x14ac:dyDescent="0.2">
      <c r="C46" s="484" t="s">
        <v>28557</v>
      </c>
      <c r="D46" s="500"/>
      <c r="E46" s="747"/>
      <c r="F46" s="500"/>
      <c r="G46" s="1301" t="s">
        <v>28558</v>
      </c>
      <c r="H46" s="1278">
        <f>SUM('Zuschnitt Festfeld'!G35:G63)</f>
        <v>24</v>
      </c>
      <c r="I46" s="488"/>
      <c r="J46" s="2159"/>
      <c r="K46" s="490"/>
      <c r="M46" s="496"/>
      <c r="N46" s="432"/>
      <c r="O46" s="466"/>
      <c r="P46" s="468"/>
      <c r="Q46" s="468"/>
    </row>
    <row r="47" spans="3:17" s="479" customFormat="1" ht="22.5" x14ac:dyDescent="0.2">
      <c r="C47" s="484" t="s">
        <v>28553</v>
      </c>
      <c r="D47" s="500"/>
      <c r="E47" s="747"/>
      <c r="F47" s="500"/>
      <c r="G47" s="1301" t="s">
        <v>28554</v>
      </c>
      <c r="H47" s="1278">
        <f>SUM('Zuschnitt intumestzierendes Mat'!G21:G36)</f>
        <v>5</v>
      </c>
      <c r="I47" s="488"/>
      <c r="J47" s="2159"/>
      <c r="K47" s="490"/>
      <c r="M47" s="496"/>
      <c r="N47" s="432"/>
      <c r="O47" s="466"/>
      <c r="P47" s="468"/>
      <c r="Q47" s="468"/>
    </row>
    <row r="48" spans="3:17" s="479" customFormat="1" ht="22.7" customHeight="1" x14ac:dyDescent="0.2">
      <c r="C48" s="1302" t="s">
        <v>28559</v>
      </c>
      <c r="D48" s="500"/>
      <c r="E48" s="500"/>
      <c r="F48" s="1303"/>
      <c r="G48" s="1301" t="s">
        <v>28560</v>
      </c>
      <c r="H48" s="1278">
        <f>SUM('Zuschnitt Schieberblatt'!G68:G83)</f>
        <v>0</v>
      </c>
      <c r="I48" s="488"/>
      <c r="J48" s="2159"/>
      <c r="K48" s="490"/>
      <c r="M48" s="496"/>
      <c r="N48" s="432"/>
      <c r="O48" s="466"/>
      <c r="P48" s="468"/>
      <c r="Q48" s="468"/>
    </row>
    <row r="49" spans="3:17" s="479" customFormat="1" ht="21.75" customHeight="1" x14ac:dyDescent="0.2">
      <c r="C49" s="484" t="str">
        <f>Liste!B460</f>
        <v>Mineralwollstreifen 175mm (500mm lang)</v>
      </c>
      <c r="D49" s="500"/>
      <c r="E49" s="747"/>
      <c r="F49" s="500"/>
      <c r="G49" s="502" t="str">
        <f>Liste!C460</f>
        <v>0205038</v>
      </c>
      <c r="H49" s="2593">
        <v>1</v>
      </c>
      <c r="I49" s="488"/>
      <c r="J49" s="2159"/>
      <c r="K49" s="490"/>
      <c r="M49" s="496"/>
      <c r="N49" s="432"/>
      <c r="O49" s="466"/>
      <c r="P49" s="468"/>
      <c r="Q49" s="468"/>
    </row>
    <row r="50" spans="3:17" s="479" customFormat="1" ht="22.5" x14ac:dyDescent="0.2">
      <c r="C50" s="1302" t="s">
        <v>28555</v>
      </c>
      <c r="D50" s="500"/>
      <c r="E50" s="500"/>
      <c r="F50" s="500"/>
      <c r="G50" s="1301" t="s">
        <v>28556</v>
      </c>
      <c r="H50" s="1278">
        <f>SUM('Zuschnitt Intumest Blöcke'!E16:U16)</f>
        <v>0</v>
      </c>
      <c r="I50" s="488"/>
      <c r="J50" s="2159"/>
      <c r="K50" s="490"/>
      <c r="M50" s="496"/>
      <c r="N50" s="432"/>
      <c r="O50" s="466"/>
      <c r="P50" s="468" t="s">
        <v>337</v>
      </c>
      <c r="Q50" s="468" t="s">
        <v>337</v>
      </c>
    </row>
    <row r="51" spans="3:17" s="479" customFormat="1" ht="21.75" customHeight="1" x14ac:dyDescent="0.2">
      <c r="C51" s="484" t="str">
        <f>Liste!B459</f>
        <v>Empekleber 1kg Gebinde</v>
      </c>
      <c r="D51" s="500"/>
      <c r="E51" s="500"/>
      <c r="F51" s="500"/>
      <c r="G51" s="502" t="str">
        <f>Liste!C459</f>
        <v>0308292</v>
      </c>
      <c r="H51" s="1273">
        <f>Liste!D459</f>
        <v>1</v>
      </c>
      <c r="I51" s="750"/>
      <c r="J51" s="2159"/>
      <c r="K51" s="490"/>
      <c r="M51" s="496"/>
      <c r="N51" s="432"/>
      <c r="O51" s="466"/>
      <c r="P51" s="468"/>
      <c r="Q51" s="468"/>
    </row>
    <row r="52" spans="3:17" s="479" customFormat="1" ht="21.75" customHeight="1" x14ac:dyDescent="0.2">
      <c r="C52" s="484">
        <f>Liste!B463</f>
        <v>0</v>
      </c>
      <c r="D52" s="500"/>
      <c r="E52" s="500"/>
      <c r="F52" s="500"/>
      <c r="G52" s="487">
        <f>Liste!C463</f>
        <v>0</v>
      </c>
      <c r="H52" s="1272">
        <f>Liste!A463</f>
        <v>0</v>
      </c>
      <c r="I52" s="750"/>
      <c r="J52" s="2159"/>
      <c r="K52" s="490"/>
      <c r="M52" s="496"/>
      <c r="N52" s="432"/>
      <c r="O52" s="466"/>
      <c r="P52" s="2521"/>
      <c r="Q52" s="2521"/>
    </row>
    <row r="53" spans="3:17" s="479" customFormat="1" ht="21.75" customHeight="1" x14ac:dyDescent="0.2">
      <c r="C53" s="497" t="str">
        <f>Liste!B412</f>
        <v>Festfeldkonsole GCC 175mm 500 lang verzinkt</v>
      </c>
      <c r="D53" s="503"/>
      <c r="E53" s="503"/>
      <c r="F53" s="504"/>
      <c r="G53" s="505" t="str">
        <f>Liste!C412</f>
        <v>0308041</v>
      </c>
      <c r="H53" s="1274">
        <f>Liste!A412</f>
        <v>2</v>
      </c>
      <c r="I53" s="488"/>
      <c r="J53" s="489"/>
      <c r="K53" s="490"/>
      <c r="M53" s="1243" t="s">
        <v>28356</v>
      </c>
      <c r="N53" s="466"/>
      <c r="O53" s="466"/>
      <c r="P53" s="468" t="s">
        <v>511</v>
      </c>
      <c r="Q53" s="468" t="s">
        <v>510</v>
      </c>
    </row>
    <row r="54" spans="3:17" s="479" customFormat="1" ht="21.75" customHeight="1" x14ac:dyDescent="0.2">
      <c r="C54" s="497">
        <f>Liste!B419</f>
        <v>0</v>
      </c>
      <c r="D54" s="503"/>
      <c r="E54" s="503"/>
      <c r="F54" s="504"/>
      <c r="G54" s="505">
        <f>Liste!C419</f>
        <v>0</v>
      </c>
      <c r="H54" s="1274">
        <f>Liste!A419</f>
        <v>0</v>
      </c>
      <c r="I54" s="488"/>
      <c r="J54" s="489"/>
      <c r="K54" s="490"/>
      <c r="M54" s="1243" t="s">
        <v>28357</v>
      </c>
      <c r="N54" s="466"/>
      <c r="O54" s="466"/>
      <c r="P54" s="468" t="s">
        <v>513</v>
      </c>
      <c r="Q54" s="468" t="s">
        <v>512</v>
      </c>
    </row>
    <row r="55" spans="3:17" s="479" customFormat="1" ht="21.75" customHeight="1" x14ac:dyDescent="0.2">
      <c r="C55" s="497">
        <f>Liste!B426</f>
        <v>0</v>
      </c>
      <c r="D55" s="503"/>
      <c r="E55" s="503"/>
      <c r="F55" s="504"/>
      <c r="G55" s="505">
        <f>Liste!C426</f>
        <v>0</v>
      </c>
      <c r="H55" s="1275">
        <f>Liste!A426</f>
        <v>0</v>
      </c>
      <c r="I55" s="488"/>
      <c r="J55" s="489"/>
      <c r="K55" s="490"/>
      <c r="M55" s="1243" t="s">
        <v>28358</v>
      </c>
      <c r="N55" s="432"/>
      <c r="O55" s="466"/>
      <c r="P55" s="468" t="s">
        <v>515</v>
      </c>
      <c r="Q55" s="468" t="s">
        <v>514</v>
      </c>
    </row>
    <row r="56" spans="3:17" s="479" customFormat="1" ht="21.75" customHeight="1" x14ac:dyDescent="0.2">
      <c r="C56" s="497" t="str">
        <f>"Platten für Auflaufkonsolen (bei r0) länge:    "&amp;Liste!F260&amp;" mm"</f>
        <v>Platten für Auflaufkonsolen (bei r0) länge:    1100 mm</v>
      </c>
      <c r="D56" s="503"/>
      <c r="E56" s="503"/>
      <c r="F56" s="506"/>
      <c r="G56" s="502" t="str">
        <f>Liste!C260</f>
        <v>0202024</v>
      </c>
      <c r="H56" s="1272">
        <f>Liste!D260</f>
        <v>0</v>
      </c>
      <c r="I56" s="488"/>
      <c r="J56" s="2159"/>
      <c r="K56" s="490"/>
      <c r="M56" s="496"/>
      <c r="N56" s="432"/>
      <c r="O56" s="466"/>
      <c r="P56" s="468" t="s">
        <v>337</v>
      </c>
      <c r="Q56" s="468" t="s">
        <v>337</v>
      </c>
    </row>
    <row r="57" spans="3:17" s="479" customFormat="1" ht="21.75" customHeight="1" x14ac:dyDescent="0.2">
      <c r="C57" s="2595"/>
      <c r="D57" s="2596"/>
      <c r="E57" s="2596"/>
      <c r="F57" s="2597"/>
      <c r="G57" s="2598"/>
      <c r="H57" s="2599"/>
      <c r="I57" s="488"/>
      <c r="J57" s="2159"/>
      <c r="K57" s="490"/>
      <c r="M57" s="496"/>
      <c r="N57" s="432"/>
      <c r="O57" s="466"/>
      <c r="P57" s="468"/>
      <c r="Q57" s="468"/>
    </row>
    <row r="58" spans="3:17" s="479" customFormat="1" ht="21.75" customHeight="1" x14ac:dyDescent="0.2">
      <c r="C58" s="497" t="str">
        <f>Liste!B391</f>
        <v>GCC Festfeldhalter 175 seitlich rechts verz</v>
      </c>
      <c r="D58" s="498"/>
      <c r="E58" s="498"/>
      <c r="F58" s="486"/>
      <c r="G58" s="487" t="str">
        <f>Liste!C391</f>
        <v>0308044</v>
      </c>
      <c r="H58" s="1272">
        <f>Liste!A391</f>
        <v>1</v>
      </c>
      <c r="I58" s="488"/>
      <c r="J58" s="2159"/>
      <c r="K58" s="490"/>
      <c r="M58" s="496"/>
      <c r="N58" s="432"/>
      <c r="O58" s="466"/>
      <c r="P58" s="468"/>
      <c r="Q58" s="468"/>
    </row>
    <row r="59" spans="3:17" s="479" customFormat="1" ht="21.75" customHeight="1" x14ac:dyDescent="0.2">
      <c r="C59" s="497" t="str">
        <f>Liste!B396</f>
        <v>GCC Festfeldhalter 175 seitlich links verz</v>
      </c>
      <c r="D59" s="531"/>
      <c r="E59" s="531"/>
      <c r="F59" s="495"/>
      <c r="G59" s="487" t="str">
        <f>Liste!C396</f>
        <v>0308045</v>
      </c>
      <c r="H59" s="1272">
        <f>Liste!A396</f>
        <v>1</v>
      </c>
      <c r="I59" s="488"/>
      <c r="J59" s="2159"/>
      <c r="K59" s="526"/>
      <c r="M59" s="496"/>
      <c r="N59" s="432"/>
      <c r="O59" s="466"/>
      <c r="P59" s="468"/>
      <c r="Q59" s="468"/>
    </row>
    <row r="60" spans="3:17" s="479" customFormat="1" ht="21.75" customHeight="1" x14ac:dyDescent="0.2">
      <c r="C60" s="497" t="str">
        <f>Liste!B399</f>
        <v>GCC Festfeldbefestigung seitlich rechts verz</v>
      </c>
      <c r="D60" s="531"/>
      <c r="E60" s="531"/>
      <c r="F60" s="495"/>
      <c r="G60" s="487" t="str">
        <f>Liste!C399</f>
        <v>0308046</v>
      </c>
      <c r="H60" s="1272">
        <f>Liste!A399</f>
        <v>2</v>
      </c>
      <c r="I60" s="488"/>
      <c r="J60" s="2159"/>
      <c r="K60" s="526"/>
      <c r="M60" s="1242" t="s">
        <v>28355</v>
      </c>
      <c r="N60" s="432"/>
      <c r="O60" s="466"/>
      <c r="P60" s="468"/>
      <c r="Q60" s="468"/>
    </row>
    <row r="61" spans="3:17" s="479" customFormat="1" ht="21.75" customHeight="1" x14ac:dyDescent="0.2">
      <c r="C61" s="497" t="str">
        <f>Liste!B402</f>
        <v>GCC Festfeldbefestigung seitlich links verz</v>
      </c>
      <c r="D61" s="531"/>
      <c r="E61" s="531"/>
      <c r="F61" s="495"/>
      <c r="G61" s="487" t="str">
        <f>Liste!C402</f>
        <v>0308047</v>
      </c>
      <c r="H61" s="1272">
        <f>Liste!A402</f>
        <v>2</v>
      </c>
      <c r="I61" s="488"/>
      <c r="J61" s="2159"/>
      <c r="K61" s="526"/>
      <c r="M61" s="1242" t="s">
        <v>28355</v>
      </c>
      <c r="N61" s="432"/>
      <c r="O61" s="466"/>
      <c r="P61" s="468"/>
      <c r="Q61" s="468"/>
    </row>
    <row r="62" spans="3:17" s="479" customFormat="1" ht="21.75" customHeight="1" x14ac:dyDescent="0.2">
      <c r="C62" s="497">
        <f>Liste!B405</f>
        <v>0</v>
      </c>
      <c r="D62" s="531"/>
      <c r="E62" s="531"/>
      <c r="F62" s="495"/>
      <c r="G62" s="487">
        <f>Liste!C405</f>
        <v>0</v>
      </c>
      <c r="H62" s="1272">
        <f>Liste!A405</f>
        <v>0</v>
      </c>
      <c r="I62" s="488">
        <f>Liste!F405</f>
        <v>0</v>
      </c>
      <c r="J62" s="2159"/>
      <c r="K62" s="526"/>
      <c r="M62" s="1242"/>
      <c r="N62" s="432"/>
      <c r="O62" s="466"/>
      <c r="P62" s="468"/>
      <c r="Q62" s="468"/>
    </row>
    <row r="63" spans="3:17" s="479" customFormat="1" ht="21.75" customHeight="1" x14ac:dyDescent="0.2">
      <c r="C63" s="654" t="str">
        <f>Liste!B198</f>
        <v>Wandverkrallung GCC W25 vertikal</v>
      </c>
      <c r="D63" s="531"/>
      <c r="E63" s="531"/>
      <c r="F63" s="495"/>
      <c r="G63" s="1313" t="str">
        <f>Liste!C198</f>
        <v>0308458</v>
      </c>
      <c r="H63" s="1276">
        <f>Liste!A198</f>
        <v>1</v>
      </c>
      <c r="I63" s="2006">
        <f>Liste!F198</f>
        <v>1080</v>
      </c>
      <c r="J63" s="489"/>
      <c r="K63" s="526"/>
      <c r="M63" s="496"/>
      <c r="N63" s="432"/>
      <c r="O63" s="466"/>
      <c r="P63" s="468"/>
      <c r="Q63" s="468"/>
    </row>
    <row r="64" spans="3:17" s="479" customFormat="1" ht="21.75" customHeight="1" x14ac:dyDescent="0.2">
      <c r="C64" s="2595"/>
      <c r="D64" s="2596"/>
      <c r="E64" s="2596"/>
      <c r="F64" s="2597"/>
      <c r="G64" s="2598"/>
      <c r="H64" s="2599"/>
      <c r="I64" s="488"/>
      <c r="J64" s="2594"/>
      <c r="K64" s="526"/>
      <c r="M64" s="496"/>
      <c r="N64" s="432"/>
      <c r="O64" s="466"/>
      <c r="P64" s="468"/>
      <c r="Q64" s="468"/>
    </row>
    <row r="65" spans="3:17" s="479" customFormat="1" ht="21.75" customHeight="1" x14ac:dyDescent="0.2">
      <c r="C65" s="497">
        <f>Liste!B305</f>
        <v>0</v>
      </c>
      <c r="D65" s="531"/>
      <c r="E65" s="531"/>
      <c r="F65" s="495"/>
      <c r="G65" s="487">
        <f>Liste!C305</f>
        <v>0</v>
      </c>
      <c r="H65" s="1272">
        <f>Liste!A305</f>
        <v>0</v>
      </c>
      <c r="I65" s="488"/>
      <c r="J65" s="2159">
        <f>J63</f>
        <v>0</v>
      </c>
      <c r="K65" s="526"/>
      <c r="M65" s="496"/>
      <c r="N65" s="432"/>
      <c r="P65" s="468" t="s">
        <v>712</v>
      </c>
      <c r="Q65" s="468" t="s">
        <v>704</v>
      </c>
    </row>
    <row r="66" spans="3:17" s="479" customFormat="1" ht="21.75" customHeight="1" x14ac:dyDescent="0.2">
      <c r="C66" s="497">
        <f>Liste!B309</f>
        <v>0</v>
      </c>
      <c r="D66" s="2522"/>
      <c r="E66" s="2522"/>
      <c r="F66" s="2523"/>
      <c r="G66" s="487">
        <f>Liste!C309</f>
        <v>0</v>
      </c>
      <c r="H66" s="1272">
        <f>Liste!A309</f>
        <v>0</v>
      </c>
      <c r="I66" s="488"/>
      <c r="J66" s="2159"/>
      <c r="K66" s="526"/>
      <c r="M66" s="496"/>
      <c r="N66" s="432"/>
      <c r="P66" s="2521"/>
      <c r="Q66" s="2521"/>
    </row>
    <row r="67" spans="3:17" s="479" customFormat="1" ht="21.75" customHeight="1" x14ac:dyDescent="0.2">
      <c r="C67" s="497">
        <f>Liste!B312</f>
        <v>0</v>
      </c>
      <c r="D67" s="2522"/>
      <c r="E67" s="2522"/>
      <c r="F67" s="2523"/>
      <c r="G67" s="487">
        <f>Liste!C312</f>
        <v>0</v>
      </c>
      <c r="H67" s="1272">
        <f>Liste!A312</f>
        <v>0</v>
      </c>
      <c r="I67" s="488"/>
      <c r="J67" s="2159"/>
      <c r="K67" s="526"/>
      <c r="M67" s="496"/>
      <c r="N67" s="432"/>
      <c r="P67" s="2521"/>
      <c r="Q67" s="2521"/>
    </row>
    <row r="68" spans="3:17" s="479" customFormat="1" ht="21.75" customHeight="1" thickBot="1" x14ac:dyDescent="0.25">
      <c r="C68" s="507">
        <f>Liste!B103</f>
        <v>0</v>
      </c>
      <c r="D68" s="508"/>
      <c r="E68" s="508"/>
      <c r="F68" s="509"/>
      <c r="G68" s="1815">
        <f>Liste!C103</f>
        <v>0</v>
      </c>
      <c r="H68" s="1315">
        <f>Liste!A103</f>
        <v>0</v>
      </c>
      <c r="I68" s="488"/>
      <c r="J68" s="489" t="s">
        <v>464</v>
      </c>
      <c r="K68" s="510"/>
      <c r="M68" s="496"/>
      <c r="N68" s="432"/>
      <c r="P68" s="468"/>
      <c r="Q68" s="468"/>
    </row>
    <row r="69" spans="3:17" s="479" customFormat="1" ht="19.5" customHeight="1" x14ac:dyDescent="0.2">
      <c r="C69" s="3345" t="s">
        <v>824</v>
      </c>
      <c r="D69" s="3346"/>
      <c r="E69" s="3346"/>
      <c r="F69" s="3346"/>
      <c r="G69" s="519"/>
      <c r="H69" s="2527">
        <f>IF(SUM(H70:H101)&gt;0,1,0)</f>
        <v>1</v>
      </c>
      <c r="I69" s="519"/>
      <c r="J69" s="519"/>
      <c r="K69" s="520"/>
      <c r="M69" s="496"/>
      <c r="N69" s="432"/>
      <c r="O69" s="466"/>
      <c r="P69" s="468"/>
      <c r="Q69" s="468"/>
    </row>
    <row r="70" spans="3:17" s="479" customFormat="1" ht="21.75" customHeight="1" x14ac:dyDescent="0.2">
      <c r="C70" s="515" t="s">
        <v>29329</v>
      </c>
      <c r="D70" s="521"/>
      <c r="E70" s="521"/>
      <c r="F70" s="522" t="s">
        <v>713</v>
      </c>
      <c r="G70" s="516" t="str">
        <f>Antriebsfertigung!T20</f>
        <v>0308415</v>
      </c>
      <c r="H70" s="2157">
        <f>Antriebsfertigung!H11</f>
        <v>1</v>
      </c>
      <c r="I70" s="488"/>
      <c r="J70" s="489" t="str">
        <f>IF(Dateneingabe!$F$42=Dateneingabe!$H$100,"V2A","verzinkt")</f>
        <v>verzinkt</v>
      </c>
      <c r="K70" s="518"/>
      <c r="M70" s="496"/>
      <c r="N70" s="432"/>
      <c r="O70" s="466"/>
      <c r="P70" s="468"/>
      <c r="Q70" s="468"/>
    </row>
    <row r="71" spans="3:17" s="479" customFormat="1" ht="21.75" customHeight="1" x14ac:dyDescent="0.2">
      <c r="C71" s="515">
        <f>Liste!B232</f>
        <v>0</v>
      </c>
      <c r="D71" s="521"/>
      <c r="E71" s="521"/>
      <c r="F71" s="522"/>
      <c r="G71" s="516">
        <f>Liste!C232</f>
        <v>0</v>
      </c>
      <c r="H71" s="1277">
        <f>Liste!A232</f>
        <v>0</v>
      </c>
      <c r="I71" s="488"/>
      <c r="J71" s="489" t="str">
        <f>IF(Dateneingabe!$F$42=Dateneingabe!$H$100,"V2A","verzinkt")</f>
        <v>verzinkt</v>
      </c>
      <c r="K71" s="518"/>
      <c r="M71" s="496"/>
      <c r="N71" s="432"/>
      <c r="O71" s="466"/>
      <c r="P71" s="468"/>
      <c r="Q71" s="468"/>
    </row>
    <row r="72" spans="3:17" s="479" customFormat="1" ht="21.75" customHeight="1" x14ac:dyDescent="0.2">
      <c r="C72" s="515">
        <f>Liste!B237</f>
        <v>0</v>
      </c>
      <c r="D72" s="521"/>
      <c r="E72" s="521"/>
      <c r="F72" s="522"/>
      <c r="G72" s="516">
        <f>Liste!C237</f>
        <v>0</v>
      </c>
      <c r="H72" s="1277">
        <f>Liste!A237</f>
        <v>0</v>
      </c>
      <c r="I72" s="488"/>
      <c r="J72" s="489" t="str">
        <f>IF(Dateneingabe!$F$42=Dateneingabe!$H$100,"V2A","verzinkt")</f>
        <v>verzinkt</v>
      </c>
      <c r="K72" s="518"/>
      <c r="M72" s="496"/>
      <c r="N72" s="432"/>
      <c r="O72" s="466"/>
      <c r="P72" s="468"/>
      <c r="Q72" s="468"/>
    </row>
    <row r="73" spans="3:17" s="479" customFormat="1" ht="21.75" customHeight="1" x14ac:dyDescent="0.2">
      <c r="C73" s="515" t="str">
        <f>Liste!B249</f>
        <v>Motorwandplatte GCC Antrieb schmal verzinkt</v>
      </c>
      <c r="D73" s="521"/>
      <c r="E73" s="521"/>
      <c r="F73" s="522"/>
      <c r="G73" s="516" t="str">
        <f>Liste!C249</f>
        <v>0308062</v>
      </c>
      <c r="H73" s="1277">
        <f>Liste!A249</f>
        <v>1</v>
      </c>
      <c r="I73" s="488"/>
      <c r="J73" s="489" t="str">
        <f>IF(Dateneingabe!$F$42=Dateneingabe!$H$100,"V2A","verzinkt")</f>
        <v>verzinkt</v>
      </c>
      <c r="K73" s="518"/>
      <c r="M73" s="496"/>
      <c r="N73" s="432"/>
      <c r="O73" s="466"/>
      <c r="P73" s="468"/>
      <c r="Q73" s="468"/>
    </row>
    <row r="74" spans="3:17" s="479" customFormat="1" ht="21.75" customHeight="1" x14ac:dyDescent="0.2">
      <c r="C74" s="515">
        <f>Liste!B252</f>
        <v>0</v>
      </c>
      <c r="D74" s="521"/>
      <c r="E74" s="521"/>
      <c r="F74" s="522"/>
      <c r="G74" s="516">
        <f>Liste!C252</f>
        <v>0</v>
      </c>
      <c r="H74" s="1277">
        <f>Liste!A252</f>
        <v>0</v>
      </c>
      <c r="I74" s="488"/>
      <c r="J74" s="489"/>
      <c r="K74" s="518"/>
      <c r="M74" s="496"/>
      <c r="N74" s="432"/>
      <c r="O74" s="466"/>
      <c r="P74" s="468"/>
      <c r="Q74" s="468"/>
    </row>
    <row r="75" spans="3:17" s="479" customFormat="1" ht="21.75" customHeight="1" x14ac:dyDescent="0.2">
      <c r="C75" s="497" t="str">
        <f>IF(Liste!B356="0"," ",Liste!B356)</f>
        <v>Führungsschiene 1250mm GCC W25 vertikal verzinkt</v>
      </c>
      <c r="D75" s="503"/>
      <c r="E75" s="747"/>
      <c r="F75" s="748"/>
      <c r="G75" s="487" t="str">
        <f>IF(Liste!C356="0"," ",Liste!C356)</f>
        <v>0308114</v>
      </c>
      <c r="H75" s="1278">
        <f>IF(Liste!A356="0"," ",Liste!A356)</f>
        <v>2</v>
      </c>
      <c r="I75" s="488"/>
      <c r="J75" s="489" t="str">
        <f>Liste!M356</f>
        <v>Stk</v>
      </c>
      <c r="K75" s="490"/>
      <c r="M75" s="496"/>
      <c r="N75" s="432"/>
      <c r="O75" s="466"/>
      <c r="P75" s="468"/>
      <c r="Q75" s="468"/>
    </row>
    <row r="76" spans="3:17" s="479" customFormat="1" ht="21.75" customHeight="1" x14ac:dyDescent="0.2">
      <c r="C76" s="497" t="str">
        <f>IF(Liste!B357="0"," ",Liste!B357)</f>
        <v xml:space="preserve"> </v>
      </c>
      <c r="D76" s="503"/>
      <c r="E76" s="747"/>
      <c r="F76" s="748"/>
      <c r="G76" s="487" t="str">
        <f>IF(Liste!C357="0"," ",Liste!C357)</f>
        <v xml:space="preserve"> </v>
      </c>
      <c r="H76" s="1278" t="str">
        <f>IF(Liste!A357="0"," ",Liste!A357)</f>
        <v xml:space="preserve"> </v>
      </c>
      <c r="I76" s="488"/>
      <c r="J76" s="489" t="str">
        <f>Liste!M357</f>
        <v xml:space="preserve"> </v>
      </c>
      <c r="K76" s="490"/>
      <c r="M76" s="496"/>
      <c r="N76" s="523"/>
      <c r="O76" s="465"/>
      <c r="P76" s="468"/>
      <c r="Q76" s="468"/>
    </row>
    <row r="77" spans="3:17" s="479" customFormat="1" ht="21.75" customHeight="1" x14ac:dyDescent="0.2">
      <c r="C77" s="497" t="str">
        <f>IF(Liste!B358="0"," ",Liste!B358)</f>
        <v xml:space="preserve"> </v>
      </c>
      <c r="D77" s="503"/>
      <c r="E77" s="747"/>
      <c r="F77" s="748"/>
      <c r="G77" s="487" t="str">
        <f>IF(Liste!C358="0"," ",Liste!C358)</f>
        <v xml:space="preserve"> </v>
      </c>
      <c r="H77" s="1278" t="str">
        <f>IF(Liste!A358="0"," ",Liste!A358)</f>
        <v xml:space="preserve"> </v>
      </c>
      <c r="I77" s="488"/>
      <c r="J77" s="489" t="str">
        <f>Liste!M358</f>
        <v xml:space="preserve"> </v>
      </c>
      <c r="K77" s="490"/>
      <c r="M77" s="496"/>
      <c r="N77" s="523"/>
      <c r="O77" s="465"/>
      <c r="P77" s="468"/>
      <c r="Q77" s="468"/>
    </row>
    <row r="78" spans="3:17" s="479" customFormat="1" ht="21.75" customHeight="1" x14ac:dyDescent="0.2">
      <c r="C78" s="497" t="str">
        <f>IF(Liste!B359="0"," ",Liste!B359)</f>
        <v xml:space="preserve"> </v>
      </c>
      <c r="D78" s="503"/>
      <c r="E78" s="747"/>
      <c r="F78" s="748"/>
      <c r="G78" s="487" t="str">
        <f>IF(Liste!C359="0"," ",Liste!C359)</f>
        <v xml:space="preserve"> </v>
      </c>
      <c r="H78" s="1278" t="str">
        <f>IF(Liste!A359="0"," ",Liste!A359)</f>
        <v xml:space="preserve"> </v>
      </c>
      <c r="I78" s="488"/>
      <c r="J78" s="489" t="str">
        <f>Liste!M359</f>
        <v xml:space="preserve"> </v>
      </c>
      <c r="K78" s="490"/>
      <c r="M78" s="496"/>
      <c r="N78" s="523"/>
      <c r="O78" s="465"/>
      <c r="P78" s="468"/>
      <c r="Q78" s="468"/>
    </row>
    <row r="79" spans="3:17" s="479" customFormat="1" ht="21.75" customHeight="1" x14ac:dyDescent="0.2">
      <c r="C79" s="497" t="str">
        <f>IF(Liste!B360="0"," ",Liste!B360)</f>
        <v xml:space="preserve"> </v>
      </c>
      <c r="D79" s="503"/>
      <c r="E79" s="747"/>
      <c r="F79" s="748"/>
      <c r="G79" s="487" t="str">
        <f>IF(Liste!C360="0"," ",Liste!C360)</f>
        <v xml:space="preserve"> </v>
      </c>
      <c r="H79" s="1278" t="str">
        <f>IF(Liste!A360="0"," ",Liste!A360)</f>
        <v xml:space="preserve"> </v>
      </c>
      <c r="I79" s="488"/>
      <c r="J79" s="489" t="str">
        <f>Liste!M360</f>
        <v xml:space="preserve"> </v>
      </c>
      <c r="K79" s="490"/>
      <c r="M79" s="496"/>
      <c r="N79" s="523"/>
      <c r="O79" s="465"/>
      <c r="P79" s="468"/>
      <c r="Q79" s="468"/>
    </row>
    <row r="80" spans="3:17" s="479" customFormat="1" ht="21.75" customHeight="1" thickBot="1" x14ac:dyDescent="0.25">
      <c r="C80" s="497" t="str">
        <f>IF(Liste!B361="0"," ",Liste!B361)</f>
        <v xml:space="preserve"> </v>
      </c>
      <c r="D80" s="503"/>
      <c r="E80" s="747"/>
      <c r="F80" s="748"/>
      <c r="G80" s="487" t="str">
        <f>IF(Liste!C361="0"," ",Liste!C361)</f>
        <v xml:space="preserve"> </v>
      </c>
      <c r="H80" s="1278" t="str">
        <f>IF(Liste!A361="0"," ",Liste!A361)</f>
        <v xml:space="preserve"> </v>
      </c>
      <c r="I80" s="488"/>
      <c r="J80" s="489" t="str">
        <f>Liste!M361</f>
        <v xml:space="preserve"> </v>
      </c>
      <c r="K80" s="490"/>
      <c r="M80" s="496"/>
      <c r="N80" s="523"/>
      <c r="O80" s="465"/>
      <c r="P80" s="468"/>
      <c r="Q80" s="468"/>
    </row>
    <row r="81" spans="3:17" s="479" customFormat="1" ht="21.75" customHeight="1" thickBot="1" x14ac:dyDescent="0.25">
      <c r="C81" s="497" t="str">
        <f>Liste!B364</f>
        <v>Führungsschienenbefestigungsspangen Standard verzinkt</v>
      </c>
      <c r="D81" s="503"/>
      <c r="E81" s="498"/>
      <c r="F81" s="501"/>
      <c r="G81" s="487" t="str">
        <f>Liste!C364</f>
        <v>0308133</v>
      </c>
      <c r="H81" s="1278">
        <f>Liste!A364</f>
        <v>6</v>
      </c>
      <c r="I81" s="488"/>
      <c r="J81" s="489"/>
      <c r="K81" s="490"/>
      <c r="M81" s="496"/>
      <c r="N81" s="524" t="s">
        <v>367</v>
      </c>
      <c r="O81" s="466"/>
      <c r="P81" s="468"/>
      <c r="Q81" s="468"/>
    </row>
    <row r="82" spans="3:17" s="479" customFormat="1" ht="20.100000000000001" customHeight="1" x14ac:dyDescent="0.2">
      <c r="C82" s="497">
        <f>Liste!B367</f>
        <v>0</v>
      </c>
      <c r="D82" s="503"/>
      <c r="E82" s="498"/>
      <c r="F82" s="500"/>
      <c r="G82" s="487">
        <f>Liste!C367</f>
        <v>0</v>
      </c>
      <c r="H82" s="1278">
        <f>Liste!A367</f>
        <v>0</v>
      </c>
      <c r="I82" s="488"/>
      <c r="J82" s="489"/>
      <c r="K82" s="490"/>
      <c r="N82" s="432" t="s">
        <v>689</v>
      </c>
      <c r="O82" s="466"/>
      <c r="P82" s="468"/>
      <c r="Q82" s="468"/>
    </row>
    <row r="83" spans="3:17" s="479" customFormat="1" ht="20.100000000000001" customHeight="1" x14ac:dyDescent="0.2">
      <c r="C83" s="497" t="str">
        <f>Liste!B239</f>
        <v>Dispersionsfarbe RAL 7016 12,5L Gebinde</v>
      </c>
      <c r="D83" s="503"/>
      <c r="E83" s="503"/>
      <c r="F83" s="504"/>
      <c r="G83" s="502" t="str">
        <f>Liste!C239</f>
        <v>0902071</v>
      </c>
      <c r="H83" s="1279">
        <f>'Berechnung &amp; Tabellen'!AB24</f>
        <v>0</v>
      </c>
      <c r="I83" s="488"/>
      <c r="J83" s="2159"/>
      <c r="K83" s="490"/>
      <c r="N83" s="432"/>
      <c r="O83" s="466"/>
      <c r="P83" s="468"/>
      <c r="Q83" s="468"/>
    </row>
    <row r="84" spans="3:17" s="479" customFormat="1" ht="20.100000000000001" customHeight="1" x14ac:dyDescent="0.2">
      <c r="C84" s="497" t="str">
        <f>Liste!B240</f>
        <v>Dispersionsfarbe RAL 7016 5L Gebinde</v>
      </c>
      <c r="D84" s="503"/>
      <c r="E84" s="503"/>
      <c r="F84" s="504"/>
      <c r="G84" s="502" t="str">
        <f>Liste!C240</f>
        <v>0902072</v>
      </c>
      <c r="H84" s="1279">
        <f>Liste!D240</f>
        <v>0</v>
      </c>
      <c r="I84" s="488"/>
      <c r="J84" s="2159"/>
      <c r="K84" s="490"/>
      <c r="N84" s="432"/>
      <c r="O84" s="466"/>
      <c r="P84" s="468"/>
      <c r="Q84" s="468"/>
    </row>
    <row r="85" spans="3:17" s="479" customFormat="1" ht="20.100000000000001" customHeight="1" x14ac:dyDescent="0.2">
      <c r="C85" s="497" t="str">
        <f>Liste!B241</f>
        <v>Dispersionsfarbe RAL 7016 2,5L Gebinde</v>
      </c>
      <c r="D85" s="503"/>
      <c r="E85" s="503"/>
      <c r="F85" s="504"/>
      <c r="G85" s="502" t="str">
        <f>Liste!C241</f>
        <v>0902073</v>
      </c>
      <c r="H85" s="1279">
        <f>Liste!D241</f>
        <v>0</v>
      </c>
      <c r="I85" s="488"/>
      <c r="J85" s="2159"/>
      <c r="K85" s="490"/>
      <c r="N85" s="432"/>
      <c r="O85" s="466"/>
      <c r="P85" s="468"/>
      <c r="Q85" s="468"/>
    </row>
    <row r="86" spans="3:17" s="479" customFormat="1" ht="20.100000000000001" customHeight="1" x14ac:dyDescent="0.2">
      <c r="C86" s="497" t="str">
        <f>Liste!B242</f>
        <v>Dispersionsfarbe RAL 7016 1L Gebinde</v>
      </c>
      <c r="D86" s="503"/>
      <c r="E86" s="503"/>
      <c r="F86" s="504"/>
      <c r="G86" s="502" t="str">
        <f>Liste!C242</f>
        <v>0902074</v>
      </c>
      <c r="H86" s="1279">
        <f>Liste!D242</f>
        <v>1</v>
      </c>
      <c r="I86" s="488"/>
      <c r="J86" s="2159"/>
      <c r="K86" s="490"/>
      <c r="N86" s="432"/>
      <c r="O86" s="466"/>
      <c r="P86" s="468"/>
      <c r="Q86" s="468"/>
    </row>
    <row r="87" spans="3:17" s="479" customFormat="1" ht="20.100000000000001" customHeight="1" x14ac:dyDescent="0.2">
      <c r="C87" s="497" t="str">
        <f>"Restgebinde Sonderfarbe RAL "&amp;'Berechnung &amp; Tabellen'!O12</f>
        <v xml:space="preserve">Restgebinde Sonderfarbe RAL </v>
      </c>
      <c r="D87" s="503"/>
      <c r="E87" s="498"/>
      <c r="F87" s="500"/>
      <c r="G87" s="487"/>
      <c r="H87" s="1278">
        <f>'Berechnung &amp; Tabellen'!Q12</f>
        <v>0</v>
      </c>
      <c r="I87" s="488"/>
      <c r="J87" s="2159"/>
      <c r="K87" s="490"/>
      <c r="N87" s="432"/>
      <c r="O87" s="466"/>
      <c r="P87" s="468"/>
      <c r="Q87" s="468"/>
    </row>
    <row r="88" spans="3:17" s="479" customFormat="1" ht="20.100000000000001" customHeight="1" x14ac:dyDescent="0.2">
      <c r="C88" s="497" t="str">
        <f>"Restgebinde Sonderfarbe RAL "&amp;'Berechnung &amp; Tabellen'!O13</f>
        <v xml:space="preserve">Restgebinde Sonderfarbe RAL </v>
      </c>
      <c r="D88" s="503"/>
      <c r="E88" s="498"/>
      <c r="F88" s="500"/>
      <c r="G88" s="487"/>
      <c r="H88" s="1278">
        <f>'Berechnung &amp; Tabellen'!Q13</f>
        <v>0</v>
      </c>
      <c r="I88" s="488"/>
      <c r="J88" s="2159"/>
      <c r="K88" s="490"/>
      <c r="N88" s="432"/>
      <c r="O88" s="466"/>
      <c r="P88" s="468"/>
      <c r="Q88" s="468"/>
    </row>
    <row r="89" spans="3:17" s="479" customFormat="1" ht="20.100000000000001" customHeight="1" x14ac:dyDescent="0.2">
      <c r="C89" s="497" t="str">
        <f>"Restgebinde Sonderfarbe RAL "&amp;'Berechnung &amp; Tabellen'!O14</f>
        <v xml:space="preserve">Restgebinde Sonderfarbe RAL </v>
      </c>
      <c r="D89" s="503"/>
      <c r="E89" s="498"/>
      <c r="F89" s="500"/>
      <c r="G89" s="487"/>
      <c r="H89" s="1278">
        <f>'Berechnung &amp; Tabellen'!Q14</f>
        <v>0</v>
      </c>
      <c r="I89" s="488"/>
      <c r="J89" s="2159"/>
      <c r="K89" s="490"/>
      <c r="N89" s="432"/>
      <c r="O89" s="466"/>
      <c r="P89" s="468"/>
      <c r="Q89" s="468"/>
    </row>
    <row r="90" spans="3:17" s="479" customFormat="1" ht="20.100000000000001" customHeight="1" x14ac:dyDescent="0.2">
      <c r="C90" s="497" t="str">
        <f>Liste!B464</f>
        <v>Ausgleichsblech 2mm verz.</v>
      </c>
      <c r="D90" s="503"/>
      <c r="E90" s="498"/>
      <c r="F90" s="500"/>
      <c r="G90" s="487">
        <f>Liste!C466</f>
        <v>0</v>
      </c>
      <c r="H90" s="2599"/>
      <c r="I90" s="488"/>
      <c r="J90" s="489" t="str">
        <f>IF(Liste!C466=Liste!C465,"V2A","verzinkt")</f>
        <v>verzinkt</v>
      </c>
      <c r="K90" s="490"/>
      <c r="N90" s="432"/>
      <c r="O90" s="466"/>
      <c r="P90" s="468"/>
      <c r="Q90" s="468"/>
    </row>
    <row r="91" spans="3:17" s="479" customFormat="1" ht="20.100000000000001" customHeight="1" x14ac:dyDescent="0.2">
      <c r="C91" s="497" t="str">
        <f>Liste!B467</f>
        <v>Ausgleichsblech 1mm verz.</v>
      </c>
      <c r="D91" s="503"/>
      <c r="E91" s="498"/>
      <c r="F91" s="500"/>
      <c r="G91" s="487">
        <f>Liste!C469</f>
        <v>0</v>
      </c>
      <c r="H91" s="2599"/>
      <c r="I91" s="488"/>
      <c r="J91" s="489" t="str">
        <f>IF(Liste!C469=Liste!C468,"V2A","verzinkt")</f>
        <v>verzinkt</v>
      </c>
      <c r="K91" s="490"/>
      <c r="N91" s="432"/>
      <c r="O91" s="466"/>
      <c r="P91" s="468"/>
      <c r="Q91" s="468"/>
    </row>
    <row r="92" spans="3:17" s="479" customFormat="1" ht="20.100000000000001" customHeight="1" x14ac:dyDescent="0.2">
      <c r="C92" s="497" t="str">
        <f>Liste!B373</f>
        <v>Initiator Pepperl+Fuchs NBN 12</v>
      </c>
      <c r="D92" s="503"/>
      <c r="E92" s="498"/>
      <c r="F92" s="500"/>
      <c r="G92" s="502" t="str">
        <f>Liste!C373</f>
        <v>0708251</v>
      </c>
      <c r="H92" s="1278">
        <f>Liste!D373</f>
        <v>1</v>
      </c>
      <c r="I92" s="488"/>
      <c r="J92" s="489"/>
      <c r="K92" s="490"/>
      <c r="N92" s="432"/>
      <c r="O92" s="466"/>
      <c r="P92" s="468"/>
      <c r="Q92" s="468"/>
    </row>
    <row r="93" spans="3:17" s="479" customFormat="1" ht="20.100000000000001" customHeight="1" x14ac:dyDescent="0.2">
      <c r="C93" s="497" t="str">
        <f>Liste!B374</f>
        <v>Pepperl+Fuchs Kabeldose V11-W-5M-PUR</v>
      </c>
      <c r="D93" s="503"/>
      <c r="E93" s="498"/>
      <c r="F93" s="500"/>
      <c r="G93" s="502" t="str">
        <f>Liste!C374</f>
        <v>1520075</v>
      </c>
      <c r="H93" s="1278">
        <f>Liste!D374</f>
        <v>1</v>
      </c>
      <c r="I93" s="488"/>
      <c r="J93" s="489"/>
      <c r="K93" s="490"/>
      <c r="N93" s="432"/>
      <c r="O93" s="466"/>
      <c r="P93" s="468"/>
      <c r="Q93" s="468"/>
    </row>
    <row r="94" spans="3:17" s="479" customFormat="1" ht="20.100000000000001" customHeight="1" x14ac:dyDescent="0.2">
      <c r="C94" s="497" t="str">
        <f>Liste!B379</f>
        <v>Halterung Initiator Pepperl+Fuchs NBN 12 verzinkt</v>
      </c>
      <c r="D94" s="503"/>
      <c r="E94" s="498"/>
      <c r="F94" s="500"/>
      <c r="G94" s="487" t="str">
        <f>Liste!C379</f>
        <v>0308233</v>
      </c>
      <c r="H94" s="1278">
        <f>Liste!A379</f>
        <v>1</v>
      </c>
      <c r="I94" s="488"/>
      <c r="J94" s="489" t="str">
        <f>IF(Dateneingabe!$F$42=Dateneingabe!$H$100,"V2A","verzinkt")</f>
        <v>verzinkt</v>
      </c>
      <c r="K94" s="490"/>
      <c r="N94" s="432"/>
      <c r="O94" s="466"/>
      <c r="P94" s="468"/>
      <c r="Q94" s="468"/>
    </row>
    <row r="95" spans="3:17" s="479" customFormat="1" ht="20.100000000000001" customHeight="1" x14ac:dyDescent="0.2">
      <c r="C95" s="497" t="str">
        <f>Liste!B384</f>
        <v>Schaltfahne Initiator Pepperl+Fuchs NBN 12 verzinkt</v>
      </c>
      <c r="D95" s="503"/>
      <c r="E95" s="503"/>
      <c r="F95" s="506"/>
      <c r="G95" s="487" t="str">
        <f>Liste!C384</f>
        <v>0308234</v>
      </c>
      <c r="H95" s="1278">
        <f>Liste!A384</f>
        <v>1</v>
      </c>
      <c r="I95" s="488"/>
      <c r="J95" s="489" t="str">
        <f>IF(Dateneingabe!$F$42=Dateneingabe!$H$100,"V2A","verzinkt")</f>
        <v>verzinkt</v>
      </c>
      <c r="K95" s="490"/>
      <c r="N95" s="432"/>
      <c r="O95" s="466"/>
      <c r="P95" s="468"/>
      <c r="Q95" s="468"/>
    </row>
    <row r="96" spans="3:17" s="479" customFormat="1" ht="20.100000000000001" customHeight="1" x14ac:dyDescent="0.2">
      <c r="C96" s="1808" t="str">
        <f>Liste!B151</f>
        <v>Klebeband für Sicherheitskontaktleiste</v>
      </c>
      <c r="D96" s="503"/>
      <c r="E96" s="503"/>
      <c r="F96" s="506"/>
      <c r="G96" s="1313" t="str">
        <f>Liste!C151</f>
        <v>0907042</v>
      </c>
      <c r="H96" s="1809">
        <f>Liste!D151</f>
        <v>0</v>
      </c>
      <c r="I96" s="488"/>
      <c r="J96" s="683"/>
      <c r="K96" s="526"/>
      <c r="N96" s="432"/>
      <c r="O96" s="466"/>
      <c r="P96" s="468"/>
      <c r="Q96" s="468"/>
    </row>
    <row r="97" spans="3:17" s="479" customFormat="1" ht="20.100000000000001" customHeight="1" x14ac:dyDescent="0.2">
      <c r="C97" s="1808" t="str">
        <f>Liste!B152</f>
        <v>Montageanleitung für Sicherheitskontaktleiste</v>
      </c>
      <c r="D97" s="503"/>
      <c r="E97" s="503"/>
      <c r="F97" s="506"/>
      <c r="G97" s="1313" t="str">
        <f>Liste!C152</f>
        <v>0306714</v>
      </c>
      <c r="H97" s="1279">
        <f>Liste!D152</f>
        <v>0</v>
      </c>
      <c r="I97" s="488"/>
      <c r="J97" s="683"/>
      <c r="K97" s="526"/>
      <c r="N97" s="432"/>
      <c r="O97" s="466"/>
      <c r="P97" s="468"/>
      <c r="Q97" s="468"/>
    </row>
    <row r="98" spans="3:17" s="479" customFormat="1" ht="20.100000000000001" customHeight="1" x14ac:dyDescent="0.2">
      <c r="C98" s="1808" t="str">
        <f>Liste!B153</f>
        <v>Reinigungsset für Sicherheitskontaktleiste</v>
      </c>
      <c r="D98" s="503"/>
      <c r="E98" s="503"/>
      <c r="F98" s="506"/>
      <c r="G98" s="1313" t="str">
        <f>Liste!C153</f>
        <v>0907041</v>
      </c>
      <c r="H98" s="1279">
        <f>Liste!D153</f>
        <v>0</v>
      </c>
      <c r="I98" s="488"/>
      <c r="J98" s="683"/>
      <c r="K98" s="526"/>
      <c r="N98" s="432"/>
      <c r="O98" s="466"/>
      <c r="P98" s="468"/>
      <c r="Q98" s="468"/>
    </row>
    <row r="99" spans="3:17" s="479" customFormat="1" ht="20.100000000000001" customHeight="1" x14ac:dyDescent="0.2">
      <c r="C99" s="1808" t="str">
        <f>Liste!B154</f>
        <v>Anschlusset für Kabelgebundene Kontaktleiste</v>
      </c>
      <c r="D99" s="503"/>
      <c r="E99" s="503"/>
      <c r="F99" s="506"/>
      <c r="G99" s="1313" t="str">
        <f>Liste!C154</f>
        <v>0712154</v>
      </c>
      <c r="H99" s="1279">
        <f>Liste!D154</f>
        <v>0</v>
      </c>
      <c r="I99" s="488"/>
      <c r="J99" s="683"/>
      <c r="K99" s="526"/>
      <c r="N99" s="432"/>
      <c r="O99" s="466"/>
      <c r="P99" s="468"/>
      <c r="Q99" s="468"/>
    </row>
    <row r="100" spans="3:17" s="479" customFormat="1" ht="20.100000000000001" customHeight="1" x14ac:dyDescent="0.2">
      <c r="C100" s="1808" t="str">
        <f>Liste!B155</f>
        <v>Funk-Sender für Sicherheitskontaktleiste</v>
      </c>
      <c r="D100" s="503"/>
      <c r="E100" s="503"/>
      <c r="F100" s="506"/>
      <c r="G100" s="1313" t="str">
        <f>Liste!C155</f>
        <v>1509014</v>
      </c>
      <c r="H100" s="1279">
        <f>Liste!D155</f>
        <v>0</v>
      </c>
      <c r="I100" s="488"/>
      <c r="J100" s="683"/>
      <c r="K100" s="526"/>
      <c r="N100" s="432"/>
      <c r="O100" s="466"/>
      <c r="P100" s="468"/>
      <c r="Q100" s="468"/>
    </row>
    <row r="101" spans="3:17" s="479" customFormat="1" ht="20.100000000000001" customHeight="1" thickBot="1" x14ac:dyDescent="0.25">
      <c r="C101" s="1808" t="str">
        <f>Liste!B156</f>
        <v>TapeSwitch 8,2kOhm Hauptteil</v>
      </c>
      <c r="D101" s="503"/>
      <c r="E101" s="503"/>
      <c r="F101" s="506"/>
      <c r="G101" s="1313" t="str">
        <f>Liste!C156</f>
        <v>400259</v>
      </c>
      <c r="H101" s="1279">
        <f>Liste!D156</f>
        <v>0</v>
      </c>
      <c r="I101" s="488"/>
      <c r="J101" s="683"/>
      <c r="K101" s="526"/>
      <c r="N101" s="432"/>
      <c r="O101" s="466"/>
      <c r="P101" s="468"/>
      <c r="Q101" s="468"/>
    </row>
    <row r="102" spans="3:17" ht="19.5" customHeight="1" x14ac:dyDescent="0.2">
      <c r="C102" s="3345" t="s">
        <v>28295</v>
      </c>
      <c r="D102" s="3346"/>
      <c r="E102" s="3346"/>
      <c r="F102" s="3346"/>
      <c r="G102" s="519"/>
      <c r="H102" s="2527">
        <f>IF(SUM(H103:H107)&gt;0,1,0)</f>
        <v>1</v>
      </c>
      <c r="I102" s="519"/>
      <c r="J102" s="519"/>
      <c r="K102" s="520"/>
      <c r="P102" s="439"/>
    </row>
    <row r="103" spans="3:17" ht="19.5" customHeight="1" x14ac:dyDescent="0.2">
      <c r="C103" s="515" t="str">
        <f>IF(H103&gt;0,"Auftragszeichnung"," ")</f>
        <v>Auftragszeichnung</v>
      </c>
      <c r="D103" s="521"/>
      <c r="E103" s="521"/>
      <c r="F103" s="522"/>
      <c r="G103" s="516"/>
      <c r="H103" s="1277">
        <v>1</v>
      </c>
      <c r="I103" s="517"/>
      <c r="J103" s="489"/>
      <c r="K103" s="518"/>
      <c r="P103" s="439"/>
    </row>
    <row r="104" spans="3:17" ht="19.5" customHeight="1" x14ac:dyDescent="0.2">
      <c r="C104" s="515" t="str">
        <f>IF(H104&gt;0,"Ausschreibungsblatt Dichtrahmenabdeckung"," ")</f>
        <v xml:space="preserve"> </v>
      </c>
      <c r="D104" s="521"/>
      <c r="E104" s="521"/>
      <c r="F104" s="522"/>
      <c r="G104" s="516"/>
      <c r="H104" s="1277">
        <f>IF(OR(Dateneingabe!H184&gt;0,'Berechnung &amp; Tabellen'!D58&gt;0),1,0)</f>
        <v>0</v>
      </c>
      <c r="I104" s="517"/>
      <c r="J104" s="489"/>
      <c r="K104" s="518"/>
      <c r="P104" s="439"/>
    </row>
    <row r="105" spans="3:17" ht="19.5" customHeight="1" x14ac:dyDescent="0.2">
      <c r="C105" s="515" t="str">
        <f>IF(H105&gt;0,"Ausschreibungsblatt Zuschnitt Festfeld"," ")</f>
        <v>Ausschreibungsblatt Zuschnitt Festfeld</v>
      </c>
      <c r="D105" s="521"/>
      <c r="E105" s="521"/>
      <c r="F105" s="522"/>
      <c r="G105" s="516"/>
      <c r="H105" s="1277">
        <f>IF(SUM('Zuschnitt Festfeld'!G35:G210)&gt;0,1,0)</f>
        <v>1</v>
      </c>
      <c r="I105" s="517"/>
      <c r="J105" s="489"/>
      <c r="K105" s="518"/>
      <c r="P105" s="439"/>
    </row>
    <row r="106" spans="3:17" ht="19.5" customHeight="1" x14ac:dyDescent="0.2">
      <c r="C106" s="515" t="str">
        <f>IF(H106&gt;0,"Ausschreibungsblatt Zuschnitt intumestzierendes Mat","")</f>
        <v>Ausschreibungsblatt Zuschnitt intumestzierendes Mat</v>
      </c>
      <c r="D106" s="2634"/>
      <c r="E106" s="2634"/>
      <c r="F106" s="2635"/>
      <c r="G106" s="516"/>
      <c r="H106" s="1277">
        <f>IF(SUM('Zuschnitt intumestzierendes Mat'!G25:G36)&gt;0,1,0)</f>
        <v>1</v>
      </c>
      <c r="I106" s="517"/>
      <c r="J106" s="489"/>
      <c r="K106" s="518"/>
      <c r="P106" s="2636"/>
      <c r="Q106" s="2636"/>
    </row>
    <row r="107" spans="3:17" ht="19.5" customHeight="1" thickBot="1" x14ac:dyDescent="0.25">
      <c r="C107" s="515" t="str">
        <f>IF(H107&gt;0,"Lager &amp; Montagematerial gemäß Liste"," ")</f>
        <v>Lager &amp; Montagematerial gemäß Liste</v>
      </c>
      <c r="D107" s="521"/>
      <c r="E107" s="521"/>
      <c r="F107" s="522" t="s">
        <v>713</v>
      </c>
      <c r="G107" s="516">
        <v>0</v>
      </c>
      <c r="H107" s="1277">
        <v>1</v>
      </c>
      <c r="I107" s="517"/>
      <c r="J107" s="489"/>
      <c r="K107" s="518"/>
      <c r="P107" s="439"/>
    </row>
    <row r="108" spans="3:17" ht="29.25" customHeight="1" x14ac:dyDescent="0.2">
      <c r="C108" s="3341" t="s">
        <v>30595</v>
      </c>
      <c r="D108" s="3341"/>
      <c r="E108" s="3341"/>
      <c r="F108" s="3341"/>
      <c r="G108" s="2153" t="s">
        <v>543</v>
      </c>
      <c r="H108" s="2153" t="s">
        <v>68</v>
      </c>
      <c r="I108" s="2154" t="s">
        <v>30596</v>
      </c>
      <c r="J108" s="2153" t="s">
        <v>30597</v>
      </c>
      <c r="K108" s="2542" t="s">
        <v>31404</v>
      </c>
      <c r="M108" s="431" t="s">
        <v>537</v>
      </c>
      <c r="P108" s="439"/>
    </row>
    <row r="109" spans="3:17" ht="15.75" x14ac:dyDescent="0.2">
      <c r="C109" s="3335"/>
      <c r="D109" s="3336"/>
      <c r="E109" s="3336"/>
      <c r="F109" s="3337"/>
      <c r="G109" s="2156"/>
      <c r="H109" s="2157"/>
      <c r="I109" s="2158"/>
      <c r="J109" s="2159" t="str">
        <f t="shared" ref="J109:J125" si="0">IF(AND(H109&gt;0,M109&gt;1),$J$136,"")&amp;IF(AND(H109&gt;0,I109=0),$J$135,"")&amp;IF(AND(H109&gt;0,M109=1),$J$137,"")</f>
        <v/>
      </c>
      <c r="K109" s="2541"/>
      <c r="M109" s="431">
        <f>LEN(I109)</f>
        <v>0</v>
      </c>
      <c r="P109" s="439"/>
    </row>
    <row r="110" spans="3:17" ht="15.75" x14ac:dyDescent="0.2">
      <c r="C110" s="3335"/>
      <c r="D110" s="3336"/>
      <c r="E110" s="3336"/>
      <c r="F110" s="3337"/>
      <c r="G110" s="2156"/>
      <c r="H110" s="2157"/>
      <c r="I110" s="2158"/>
      <c r="J110" s="2159" t="str">
        <f t="shared" si="0"/>
        <v/>
      </c>
      <c r="K110" s="2541"/>
      <c r="M110" s="431">
        <f t="shared" ref="M110:M125" si="1">LEN(I110)</f>
        <v>0</v>
      </c>
      <c r="P110" s="439"/>
    </row>
    <row r="111" spans="3:17" ht="15.75" x14ac:dyDescent="0.2">
      <c r="C111" s="3335"/>
      <c r="D111" s="3336"/>
      <c r="E111" s="3336"/>
      <c r="F111" s="3337"/>
      <c r="G111" s="2156"/>
      <c r="H111" s="2157"/>
      <c r="I111" s="2158"/>
      <c r="J111" s="2159" t="str">
        <f t="shared" si="0"/>
        <v/>
      </c>
      <c r="K111" s="2541"/>
      <c r="M111" s="431">
        <f t="shared" si="1"/>
        <v>0</v>
      </c>
      <c r="P111" s="439"/>
    </row>
    <row r="112" spans="3:17" ht="15.75" x14ac:dyDescent="0.2">
      <c r="C112" s="3335"/>
      <c r="D112" s="3336"/>
      <c r="E112" s="3336"/>
      <c r="F112" s="3337"/>
      <c r="G112" s="2156"/>
      <c r="H112" s="2157"/>
      <c r="I112" s="2158"/>
      <c r="J112" s="2159" t="str">
        <f t="shared" si="0"/>
        <v/>
      </c>
      <c r="K112" s="2541"/>
      <c r="M112" s="431">
        <f t="shared" si="1"/>
        <v>0</v>
      </c>
      <c r="P112" s="439"/>
    </row>
    <row r="113" spans="3:16" ht="15.75" x14ac:dyDescent="0.2">
      <c r="C113" s="3335"/>
      <c r="D113" s="3336"/>
      <c r="E113" s="3336"/>
      <c r="F113" s="3337"/>
      <c r="G113" s="2156"/>
      <c r="H113" s="2157"/>
      <c r="I113" s="2158"/>
      <c r="J113" s="2159" t="str">
        <f t="shared" si="0"/>
        <v/>
      </c>
      <c r="K113" s="2541"/>
      <c r="M113" s="431">
        <f t="shared" si="1"/>
        <v>0</v>
      </c>
      <c r="P113" s="439"/>
    </row>
    <row r="114" spans="3:16" ht="15.75" x14ac:dyDescent="0.2">
      <c r="C114" s="3335"/>
      <c r="D114" s="3336"/>
      <c r="E114" s="3336"/>
      <c r="F114" s="3337"/>
      <c r="G114" s="2156"/>
      <c r="H114" s="2157"/>
      <c r="I114" s="2158"/>
      <c r="J114" s="2159" t="str">
        <f t="shared" si="0"/>
        <v/>
      </c>
      <c r="K114" s="2541"/>
      <c r="M114" s="431">
        <f t="shared" si="1"/>
        <v>0</v>
      </c>
      <c r="P114" s="439"/>
    </row>
    <row r="115" spans="3:16" ht="15.75" x14ac:dyDescent="0.2">
      <c r="C115" s="3335"/>
      <c r="D115" s="3336"/>
      <c r="E115" s="3336"/>
      <c r="F115" s="3337"/>
      <c r="G115" s="2156"/>
      <c r="H115" s="2157"/>
      <c r="I115" s="2158"/>
      <c r="J115" s="2159" t="str">
        <f t="shared" si="0"/>
        <v/>
      </c>
      <c r="K115" s="2541"/>
      <c r="M115" s="431">
        <f t="shared" si="1"/>
        <v>0</v>
      </c>
      <c r="P115" s="439"/>
    </row>
    <row r="116" spans="3:16" ht="15.75" x14ac:dyDescent="0.2">
      <c r="C116" s="3335"/>
      <c r="D116" s="3336"/>
      <c r="E116" s="3336"/>
      <c r="F116" s="3337"/>
      <c r="G116" s="2156"/>
      <c r="H116" s="2157"/>
      <c r="I116" s="2158"/>
      <c r="J116" s="2159" t="str">
        <f t="shared" si="0"/>
        <v/>
      </c>
      <c r="K116" s="2541"/>
      <c r="M116" s="431">
        <f t="shared" si="1"/>
        <v>0</v>
      </c>
    </row>
    <row r="117" spans="3:16" ht="15.75" customHeight="1" x14ac:dyDescent="0.2">
      <c r="C117" s="3335"/>
      <c r="D117" s="3336"/>
      <c r="E117" s="3336"/>
      <c r="F117" s="3337"/>
      <c r="G117" s="2156"/>
      <c r="H117" s="2157"/>
      <c r="I117" s="2158"/>
      <c r="J117" s="2159" t="str">
        <f t="shared" si="0"/>
        <v/>
      </c>
      <c r="K117" s="2541"/>
      <c r="M117" s="431">
        <f t="shared" si="1"/>
        <v>0</v>
      </c>
    </row>
    <row r="118" spans="3:16" s="533" customFormat="1" ht="15.75" x14ac:dyDescent="0.2">
      <c r="C118" s="3335"/>
      <c r="D118" s="3336"/>
      <c r="E118" s="3336"/>
      <c r="F118" s="3337"/>
      <c r="G118" s="2156"/>
      <c r="H118" s="2157"/>
      <c r="I118" s="2158"/>
      <c r="J118" s="2159" t="str">
        <f t="shared" si="0"/>
        <v/>
      </c>
      <c r="K118" s="2541"/>
      <c r="M118" s="431">
        <f t="shared" si="1"/>
        <v>0</v>
      </c>
    </row>
    <row r="119" spans="3:16" s="533" customFormat="1" ht="15.75" x14ac:dyDescent="0.2">
      <c r="C119" s="3335"/>
      <c r="D119" s="3336"/>
      <c r="E119" s="3336"/>
      <c r="F119" s="3337"/>
      <c r="G119" s="2156"/>
      <c r="H119" s="2157"/>
      <c r="I119" s="2158"/>
      <c r="J119" s="2159" t="str">
        <f t="shared" si="0"/>
        <v/>
      </c>
      <c r="K119" s="2541"/>
      <c r="M119" s="431">
        <f t="shared" si="1"/>
        <v>0</v>
      </c>
    </row>
    <row r="120" spans="3:16" ht="15.75" x14ac:dyDescent="0.2">
      <c r="C120" s="3335"/>
      <c r="D120" s="3336"/>
      <c r="E120" s="3336"/>
      <c r="F120" s="3337"/>
      <c r="G120" s="2156"/>
      <c r="H120" s="2157"/>
      <c r="I120" s="2158"/>
      <c r="J120" s="2159" t="str">
        <f t="shared" si="0"/>
        <v/>
      </c>
      <c r="K120" s="2541"/>
      <c r="M120" s="431">
        <f t="shared" si="1"/>
        <v>0</v>
      </c>
    </row>
    <row r="121" spans="3:16" s="449" customFormat="1" ht="15.75" x14ac:dyDescent="0.2">
      <c r="C121" s="3335"/>
      <c r="D121" s="3336"/>
      <c r="E121" s="3336"/>
      <c r="F121" s="3337"/>
      <c r="G121" s="2156"/>
      <c r="H121" s="2157"/>
      <c r="I121" s="2158"/>
      <c r="J121" s="2159" t="str">
        <f t="shared" si="0"/>
        <v/>
      </c>
      <c r="K121" s="2541"/>
      <c r="M121" s="431">
        <f t="shared" si="1"/>
        <v>0</v>
      </c>
    </row>
    <row r="122" spans="3:16" s="449" customFormat="1" ht="15.75" x14ac:dyDescent="0.2">
      <c r="C122" s="3335"/>
      <c r="D122" s="3336"/>
      <c r="E122" s="3336"/>
      <c r="F122" s="3337"/>
      <c r="G122" s="2156"/>
      <c r="H122" s="2157"/>
      <c r="I122" s="2158"/>
      <c r="J122" s="2159" t="str">
        <f t="shared" si="0"/>
        <v/>
      </c>
      <c r="K122" s="2541"/>
      <c r="M122" s="431">
        <f t="shared" si="1"/>
        <v>0</v>
      </c>
    </row>
    <row r="123" spans="3:16" s="449" customFormat="1" ht="15.75" x14ac:dyDescent="0.2">
      <c r="C123" s="3335"/>
      <c r="D123" s="3336"/>
      <c r="E123" s="3336"/>
      <c r="F123" s="3337"/>
      <c r="G123" s="2156"/>
      <c r="H123" s="2157"/>
      <c r="I123" s="2158"/>
      <c r="J123" s="2159" t="str">
        <f t="shared" si="0"/>
        <v/>
      </c>
      <c r="K123" s="2541"/>
      <c r="M123" s="431">
        <f t="shared" si="1"/>
        <v>0</v>
      </c>
    </row>
    <row r="124" spans="3:16" s="449" customFormat="1" ht="15.75" x14ac:dyDescent="0.2">
      <c r="C124" s="3335"/>
      <c r="D124" s="3336"/>
      <c r="E124" s="3336"/>
      <c r="F124" s="3337"/>
      <c r="G124" s="2156"/>
      <c r="H124" s="2157"/>
      <c r="I124" s="2158"/>
      <c r="J124" s="2159" t="str">
        <f t="shared" si="0"/>
        <v/>
      </c>
      <c r="K124" s="2541"/>
      <c r="M124" s="431">
        <f t="shared" si="1"/>
        <v>0</v>
      </c>
    </row>
    <row r="125" spans="3:16" ht="16.5" thickBot="1" x14ac:dyDescent="0.25">
      <c r="C125" s="3338"/>
      <c r="D125" s="3339"/>
      <c r="E125" s="3339"/>
      <c r="F125" s="3340"/>
      <c r="G125" s="2160"/>
      <c r="H125" s="2157"/>
      <c r="I125" s="2158"/>
      <c r="J125" s="2159" t="str">
        <f t="shared" si="0"/>
        <v/>
      </c>
      <c r="K125" s="2541"/>
      <c r="M125" s="431">
        <f t="shared" si="1"/>
        <v>0</v>
      </c>
    </row>
    <row r="126" spans="3:16" ht="3.75" customHeight="1" x14ac:dyDescent="0.2">
      <c r="C126" s="533"/>
      <c r="D126" s="533"/>
      <c r="E126" s="533"/>
      <c r="F126" s="533"/>
      <c r="G126" s="533"/>
      <c r="H126" s="533"/>
      <c r="I126" s="533"/>
      <c r="J126" s="533"/>
      <c r="K126" s="533"/>
    </row>
    <row r="128" spans="3:16" ht="15.75" customHeight="1" x14ac:dyDescent="0.2">
      <c r="C128" s="449"/>
      <c r="D128" s="449"/>
      <c r="E128" s="449"/>
      <c r="F128" s="449"/>
      <c r="G128" s="449"/>
      <c r="H128" s="449"/>
      <c r="I128" s="449"/>
      <c r="J128" s="449"/>
      <c r="K128" s="449"/>
    </row>
    <row r="129" spans="3:11" x14ac:dyDescent="0.2">
      <c r="C129" s="449"/>
      <c r="D129" s="449"/>
      <c r="E129" s="449"/>
      <c r="F129" s="449"/>
      <c r="G129" s="449"/>
      <c r="H129" s="449"/>
      <c r="I129" s="449"/>
      <c r="J129" s="449"/>
      <c r="K129" s="449"/>
    </row>
    <row r="130" spans="3:11" s="530" customFormat="1" ht="12.75" x14ac:dyDescent="0.2">
      <c r="C130" s="449"/>
      <c r="D130" s="449"/>
      <c r="E130" s="449"/>
      <c r="F130" s="449"/>
      <c r="G130" s="449"/>
      <c r="H130" s="449"/>
      <c r="I130" s="449"/>
      <c r="J130" s="449"/>
      <c r="K130" s="449"/>
    </row>
    <row r="131" spans="3:11" s="530" customFormat="1" ht="5.0999999999999996" customHeight="1" x14ac:dyDescent="0.2">
      <c r="C131" s="449"/>
      <c r="D131" s="449"/>
      <c r="E131" s="449"/>
      <c r="F131" s="449"/>
      <c r="G131" s="449"/>
      <c r="H131" s="449"/>
      <c r="I131" s="449"/>
      <c r="J131" s="449"/>
      <c r="K131" s="449"/>
    </row>
    <row r="132" spans="3:11" s="530" customFormat="1" ht="5.0999999999999996" customHeight="1" x14ac:dyDescent="0.2">
      <c r="C132" s="431"/>
      <c r="D132" s="431"/>
      <c r="E132" s="431"/>
      <c r="F132" s="431"/>
      <c r="G132" s="532"/>
      <c r="H132" s="431"/>
      <c r="I132" s="431"/>
      <c r="J132" s="460"/>
      <c r="K132" s="431"/>
    </row>
    <row r="133" spans="3:11" ht="19.5" customHeight="1" x14ac:dyDescent="0.2"/>
    <row r="135" spans="3:11" x14ac:dyDescent="0.2">
      <c r="J135" s="460" t="s">
        <v>53</v>
      </c>
    </row>
    <row r="136" spans="3:11" x14ac:dyDescent="0.2">
      <c r="J136" s="460" t="s">
        <v>28400</v>
      </c>
    </row>
    <row r="137" spans="3:11" x14ac:dyDescent="0.2">
      <c r="C137" s="530"/>
      <c r="D137" s="530"/>
      <c r="E137" s="530"/>
      <c r="F137" s="530"/>
      <c r="G137" s="530"/>
      <c r="H137" s="530"/>
      <c r="I137" s="530"/>
      <c r="J137" s="2155" t="s">
        <v>54</v>
      </c>
      <c r="K137" s="530"/>
    </row>
    <row r="138" spans="3:11" x14ac:dyDescent="0.2">
      <c r="C138" s="530"/>
      <c r="D138" s="530"/>
      <c r="E138" s="530"/>
      <c r="F138" s="530"/>
      <c r="G138" s="530"/>
      <c r="H138" s="530"/>
      <c r="I138" s="530"/>
      <c r="J138" s="2155" t="s">
        <v>29215</v>
      </c>
      <c r="K138" s="530"/>
    </row>
    <row r="139" spans="3:11" x14ac:dyDescent="0.2">
      <c r="C139" s="530"/>
      <c r="D139" s="530"/>
      <c r="E139" s="530"/>
      <c r="F139" s="530"/>
      <c r="G139" s="530"/>
      <c r="H139" s="530"/>
      <c r="I139" s="530"/>
      <c r="J139" s="2155" t="s">
        <v>17</v>
      </c>
      <c r="K139" s="530"/>
    </row>
    <row r="158" ht="19.5" customHeight="1" x14ac:dyDescent="0.2"/>
    <row r="159" ht="8.4499999999999993" customHeight="1" x14ac:dyDescent="0.2"/>
    <row r="167" ht="5.0999999999999996" customHeight="1" x14ac:dyDescent="0.2"/>
    <row r="168" ht="5.0999999999999996" customHeight="1" x14ac:dyDescent="0.2"/>
    <row r="204" spans="3:17" s="534" customFormat="1" x14ac:dyDescent="0.2">
      <c r="C204" s="431"/>
      <c r="D204" s="431"/>
      <c r="E204" s="431"/>
      <c r="F204" s="431"/>
      <c r="G204" s="532"/>
      <c r="H204" s="431"/>
      <c r="I204" s="431"/>
      <c r="J204" s="460"/>
      <c r="K204" s="431"/>
      <c r="N204" s="535"/>
      <c r="O204" s="535"/>
      <c r="P204" s="433"/>
      <c r="Q204" s="439"/>
    </row>
    <row r="209" spans="3:11" x14ac:dyDescent="0.2">
      <c r="G209" s="432"/>
      <c r="H209" s="449"/>
    </row>
    <row r="210" spans="3:11" ht="15.75" x14ac:dyDescent="0.2">
      <c r="C210" s="449"/>
      <c r="D210" s="449"/>
      <c r="E210" s="530"/>
      <c r="F210" s="465"/>
      <c r="G210" s="536"/>
      <c r="H210" s="537"/>
      <c r="I210" s="457"/>
      <c r="J210" s="511"/>
      <c r="K210" s="538"/>
    </row>
    <row r="211" spans="3:11" x14ac:dyDescent="0.2">
      <c r="C211" s="440"/>
      <c r="D211" s="534"/>
      <c r="E211" s="534"/>
      <c r="F211" s="534"/>
      <c r="G211" s="535"/>
      <c r="H211" s="539"/>
      <c r="I211" s="534"/>
      <c r="J211" s="540"/>
      <c r="K211" s="534"/>
    </row>
  </sheetData>
  <autoFilter ref="C16:K125" xr:uid="{00000000-0009-0000-0000-00001D000000}">
    <filterColumn colId="0" showButton="0"/>
    <filterColumn colId="1" showButton="0"/>
    <filterColumn colId="2" showButton="0"/>
  </autoFilter>
  <mergeCells count="38">
    <mergeCell ref="R18:S18"/>
    <mergeCell ref="C69:F69"/>
    <mergeCell ref="C16:F16"/>
    <mergeCell ref="C17:K17"/>
    <mergeCell ref="C18:F18"/>
    <mergeCell ref="C1:K1"/>
    <mergeCell ref="E2:F2"/>
    <mergeCell ref="H2:K2"/>
    <mergeCell ref="E4:F4"/>
    <mergeCell ref="H4:I4"/>
    <mergeCell ref="G6:I6"/>
    <mergeCell ref="C8:D8"/>
    <mergeCell ref="C102:F102"/>
    <mergeCell ref="C33:F33"/>
    <mergeCell ref="J6:K6"/>
    <mergeCell ref="J14:K14"/>
    <mergeCell ref="H14:I14"/>
    <mergeCell ref="C14:D14"/>
    <mergeCell ref="K8:K10"/>
    <mergeCell ref="C34:F34"/>
    <mergeCell ref="C108:F108"/>
    <mergeCell ref="C109:F109"/>
    <mergeCell ref="C110:F110"/>
    <mergeCell ref="C111:F111"/>
    <mergeCell ref="C112:F112"/>
    <mergeCell ref="C113:F113"/>
    <mergeCell ref="C114:F114"/>
    <mergeCell ref="C115:F115"/>
    <mergeCell ref="C116:F116"/>
    <mergeCell ref="C117:F117"/>
    <mergeCell ref="C123:F123"/>
    <mergeCell ref="C124:F124"/>
    <mergeCell ref="C125:F125"/>
    <mergeCell ref="C118:F118"/>
    <mergeCell ref="C119:F119"/>
    <mergeCell ref="C120:F120"/>
    <mergeCell ref="C121:F121"/>
    <mergeCell ref="C122:F122"/>
  </mergeCells>
  <phoneticPr fontId="76" type="noConversion"/>
  <conditionalFormatting sqref="C211:K65527 L203:Q65527 G210:J210 N76:N80 K70:K74 D16:K16 D12:E12 C1:F3 C5 I5 K1:K5 D4:E6 J1:J6 F5:F6 G1:G6 C13:J13 K11:K13 H1:H5 I1:I3 C16:C26 C33 O76:O81 D70:I73 D74:H74 C45:D47 C44:H44 F45:H45 C69:C74 L18:R18 L19:S19 C81:H82 C40:D43 F49:H49 D50:F50 H50 F46:F47 H46:H48 C49:D49 C64:I64 F40:H43 L20:Q20 I101:M101 M65:N68 D10:E10 D7:J7 E8:J8 C8 F9:J12 I35:I63 C75:D80 F75:H80 L21:S21 L22:Q24 R23:S24 N82:O101 Q76:Q101 P81:P101 K76:M100 I73:I100 J70:J100 C87:H101 D19:K31 E14:E15 K75:IO75 P38:IO52 L69:IO74 T18:IO18 U19:IO23 R53:IO55 L25:IO33 R76:IO65527 T24:IO24 L1:IO17 J35:IO37 C35:H39 C51:H63 J38:O64 P56:IO68">
    <cfRule type="cellIs" dxfId="674" priority="33" stopIfTrue="1" operator="equal">
      <formula>0</formula>
    </cfRule>
  </conditionalFormatting>
  <conditionalFormatting sqref="F49:F52">
    <cfRule type="cellIs" dxfId="673" priority="32" stopIfTrue="1" operator="equal">
      <formula>0</formula>
    </cfRule>
  </conditionalFormatting>
  <conditionalFormatting sqref="P53:Q55">
    <cfRule type="cellIs" dxfId="672" priority="28" stopIfTrue="1" operator="equal">
      <formula>0</formula>
    </cfRule>
  </conditionalFormatting>
  <conditionalFormatting sqref="C83:H86">
    <cfRule type="cellIs" dxfId="671" priority="27" stopIfTrue="1" operator="equal">
      <formula>0</formula>
    </cfRule>
  </conditionalFormatting>
  <conditionalFormatting sqref="C102 C107:K107">
    <cfRule type="cellIs" dxfId="670" priority="26" stopIfTrue="1" operator="equal">
      <formula>0</formula>
    </cfRule>
  </conditionalFormatting>
  <conditionalFormatting sqref="G46">
    <cfRule type="cellIs" dxfId="669" priority="21" stopIfTrue="1" operator="equal">
      <formula>0</formula>
    </cfRule>
  </conditionalFormatting>
  <conditionalFormatting sqref="G47">
    <cfRule type="cellIs" dxfId="668" priority="24" stopIfTrue="1" operator="equal">
      <formula>0</formula>
    </cfRule>
  </conditionalFormatting>
  <conditionalFormatting sqref="C50">
    <cfRule type="cellIs" dxfId="667" priority="23" stopIfTrue="1" operator="equal">
      <formula>0</formula>
    </cfRule>
  </conditionalFormatting>
  <conditionalFormatting sqref="G50">
    <cfRule type="cellIs" dxfId="666" priority="22" stopIfTrue="1" operator="equal">
      <formula>0</formula>
    </cfRule>
  </conditionalFormatting>
  <conditionalFormatting sqref="C48:G48">
    <cfRule type="cellIs" dxfId="665" priority="20" stopIfTrue="1" operator="equal">
      <formula>0</formula>
    </cfRule>
  </conditionalFormatting>
  <conditionalFormatting sqref="F48">
    <cfRule type="cellIs" dxfId="664" priority="19" stopIfTrue="1" operator="equal">
      <formula>0</formula>
    </cfRule>
  </conditionalFormatting>
  <conditionalFormatting sqref="R20:S20">
    <cfRule type="cellIs" dxfId="663" priority="18" stopIfTrue="1" operator="equal">
      <formula>0</formula>
    </cfRule>
  </conditionalFormatting>
  <conditionalFormatting sqref="C65:L67">
    <cfRule type="cellIs" dxfId="662" priority="15" stopIfTrue="1" operator="equal">
      <formula>0</formula>
    </cfRule>
  </conditionalFormatting>
  <conditionalFormatting sqref="C68:I68 K68:L68">
    <cfRule type="cellIs" dxfId="661" priority="17" stopIfTrue="1" operator="equal">
      <formula>0</formula>
    </cfRule>
  </conditionalFormatting>
  <conditionalFormatting sqref="J68">
    <cfRule type="cellIs" dxfId="660" priority="16" stopIfTrue="1" operator="equal">
      <formula>0</formula>
    </cfRule>
  </conditionalFormatting>
  <conditionalFormatting sqref="C103:K106">
    <cfRule type="cellIs" dxfId="659" priority="13" stopIfTrue="1" operator="equal">
      <formula>0</formula>
    </cfRule>
  </conditionalFormatting>
  <conditionalFormatting sqref="C108">
    <cfRule type="cellIs" dxfId="658" priority="12" stopIfTrue="1" operator="equal">
      <formula>0</formula>
    </cfRule>
  </conditionalFormatting>
  <conditionalFormatting sqref="C109:C125 G109:K125">
    <cfRule type="cellIs" dxfId="657" priority="11" stopIfTrue="1" operator="equal">
      <formula>0</formula>
    </cfRule>
  </conditionalFormatting>
  <conditionalFormatting sqref="H18">
    <cfRule type="cellIs" dxfId="656" priority="10" operator="equal">
      <formula>0</formula>
    </cfRule>
  </conditionalFormatting>
  <conditionalFormatting sqref="C34 L34:IO34">
    <cfRule type="cellIs" dxfId="655" priority="9" stopIfTrue="1" operator="equal">
      <formula>0</formula>
    </cfRule>
  </conditionalFormatting>
  <conditionalFormatting sqref="H33">
    <cfRule type="cellIs" dxfId="654" priority="8" operator="equal">
      <formula>0</formula>
    </cfRule>
  </conditionalFormatting>
  <conditionalFormatting sqref="H34">
    <cfRule type="cellIs" dxfId="653" priority="7" operator="equal">
      <formula>0</formula>
    </cfRule>
  </conditionalFormatting>
  <conditionalFormatting sqref="H69">
    <cfRule type="cellIs" dxfId="652" priority="6" operator="equal">
      <formula>0</formula>
    </cfRule>
  </conditionalFormatting>
  <conditionalFormatting sqref="H102">
    <cfRule type="cellIs" dxfId="651" priority="5" operator="equal">
      <formula>0</formula>
    </cfRule>
  </conditionalFormatting>
  <conditionalFormatting sqref="D32:E32 I32:K32">
    <cfRule type="cellIs" dxfId="650" priority="4" stopIfTrue="1" operator="equal">
      <formula>0</formula>
    </cfRule>
  </conditionalFormatting>
  <conditionalFormatting sqref="H32">
    <cfRule type="cellIs" dxfId="649" priority="3" stopIfTrue="1" operator="equal">
      <formula>0</formula>
    </cfRule>
  </conditionalFormatting>
  <conditionalFormatting sqref="G32">
    <cfRule type="cellIs" dxfId="648" priority="2" stopIfTrue="1" operator="equal">
      <formula>0</formula>
    </cfRule>
  </conditionalFormatting>
  <conditionalFormatting sqref="F32">
    <cfRule type="cellIs" dxfId="647" priority="1" stopIfTrue="1" operator="equal">
      <formula>0</formula>
    </cfRule>
  </conditionalFormatting>
  <dataValidations count="10">
    <dataValidation errorStyle="warning" allowBlank="1" showInputMessage="1" showErrorMessage="1" promptTitle="Material" sqref="P53:Q55" xr:uid="{00000000-0002-0000-1D00-000000000000}"/>
    <dataValidation showInputMessage="1" showErrorMessage="1" sqref="J8 J10" xr:uid="{00000000-0002-0000-1D00-000001000000}"/>
    <dataValidation type="whole" allowBlank="1" showInputMessage="1" showErrorMessage="1" sqref="H8" xr:uid="{00000000-0002-0000-1D00-000002000000}">
      <formula1>1</formula1>
      <formula2>1</formula2>
    </dataValidation>
    <dataValidation type="textLength" errorStyle="warning" operator="equal" allowBlank="1" showInputMessage="1" showErrorMessage="1" errorTitle="7 Stellen braucht die Nummer..." error="Die Bauteilartikelnummern sind bei uns normalerweise 7stellig._x000a_Bitte prüfen und korrigieren!_x000a__x000a_Vor Fortfahren bitte Spiegel, Blinker und Schulterblick nicht vergessen..." sqref="G109:G125" xr:uid="{00000000-0002-0000-1D00-000003000000}">
      <formula1>7</formula1>
    </dataValidation>
    <dataValidation type="whole" allowBlank="1" showInputMessage="1" showErrorMessage="1" sqref="I109:I125" xr:uid="{00000000-0002-0000-1D00-000004000000}">
      <formula1>1</formula1>
      <formula2>10000</formula2>
    </dataValidation>
    <dataValidation type="list" allowBlank="1" showInputMessage="1" showErrorMessage="1" sqref="J109:J125" xr:uid="{00000000-0002-0000-1D00-000005000000}">
      <formula1>$J$135:$J$139</formula1>
    </dataValidation>
    <dataValidation type="list" allowBlank="1" showInputMessage="1" showErrorMessage="1" sqref="J12" xr:uid="{00000000-0002-0000-1D00-000006000000}">
      <formula1>$R$19:$R$24</formula1>
    </dataValidation>
    <dataValidation type="whole" allowBlank="1" showInputMessage="1" showErrorMessage="1" sqref="H109:H125" xr:uid="{00000000-0002-0000-1D00-000007000000}">
      <formula1>1</formula1>
      <formula2>1000</formula2>
    </dataValidation>
    <dataValidation type="whole" allowBlank="1" showInputMessage="1" showErrorMessage="1" sqref="H10" xr:uid="{00000000-0002-0000-1D00-000008000000}">
      <formula1>0</formula1>
      <formula2>1</formula2>
    </dataValidation>
    <dataValidation type="list" allowBlank="1" showInputMessage="1" showErrorMessage="1" sqref="K109:K125" xr:uid="{55710436-CAB5-4320-A534-B30A5716E5B9}">
      <formula1>$M$108</formula1>
    </dataValidation>
  </dataValidations>
  <printOptions horizontalCentered="1"/>
  <pageMargins left="0.39370078740157483" right="0.39370078740157483" top="0.23622047244094491" bottom="0.19685039370078741" header="0" footer="0"/>
  <pageSetup paperSize="9" scale="59" fitToHeight="3" orientation="landscape" r:id="rId1"/>
  <headerFooter alignWithMargins="0"/>
  <rowBreaks count="2" manualBreakCount="2">
    <brk id="55" min="1" max="11" man="1"/>
    <brk id="88" min="1" max="11" man="1"/>
  </rowBreak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Tabelle9">
    <tabColor indexed="52"/>
  </sheetPr>
  <dimension ref="A1:V179"/>
  <sheetViews>
    <sheetView showGridLines="0" view="pageBreakPreview" topLeftCell="A91" zoomScaleNormal="100" workbookViewId="0">
      <selection activeCell="H116" sqref="H116"/>
    </sheetView>
  </sheetViews>
  <sheetFormatPr baseColWidth="10" defaultColWidth="11.42578125" defaultRowHeight="12.75" x14ac:dyDescent="0.2"/>
  <cols>
    <col min="1" max="1" width="11.42578125" style="782"/>
    <col min="2" max="2" width="2.28515625" style="541" customWidth="1"/>
    <col min="3" max="3" width="7.28515625" style="541" customWidth="1"/>
    <col min="4" max="4" width="28.28515625" style="541" customWidth="1"/>
    <col min="5" max="5" width="16.85546875" style="541" customWidth="1"/>
    <col min="6" max="6" width="29.5703125" style="541" customWidth="1"/>
    <col min="7" max="7" width="20.28515625" style="541" customWidth="1"/>
    <col min="8" max="9" width="11.42578125" style="541"/>
    <col min="10" max="10" width="13.5703125" style="541" customWidth="1"/>
    <col min="11" max="11" width="18.85546875" style="541" bestFit="1" customWidth="1"/>
    <col min="12" max="12" width="1.7109375" style="541" customWidth="1"/>
    <col min="13" max="13" width="11.42578125" style="541"/>
    <col min="14" max="14" width="6.7109375" style="541" customWidth="1"/>
    <col min="15" max="15" width="2.7109375" style="541" customWidth="1"/>
    <col min="16" max="16" width="11.42578125" style="1241"/>
    <col min="17" max="17" width="13" style="1241" customWidth="1"/>
    <col min="18" max="18" width="11.42578125" style="541"/>
    <col min="19" max="19" width="8.28515625" style="541" customWidth="1"/>
    <col min="20" max="20" width="31.140625" style="541" customWidth="1"/>
    <col min="21" max="16384" width="11.42578125" style="541"/>
  </cols>
  <sheetData>
    <row r="1" spans="1:20" ht="26.45" customHeight="1" x14ac:dyDescent="0.2">
      <c r="C1" s="2941" t="str">
        <f>Dateneingabe!F1&amp;" "&amp;Dateneingabe!I1&amp;"   "&amp;"Lager- &amp; Montagematerial"</f>
        <v>Ausschreibung GCC vertikal Rev. 0563b   Lager- &amp; Montagematerial</v>
      </c>
      <c r="D1" s="3378"/>
      <c r="E1" s="3378"/>
      <c r="F1" s="3378"/>
      <c r="G1" s="3378"/>
      <c r="H1" s="3378"/>
      <c r="I1" s="3378"/>
      <c r="J1" s="3378"/>
      <c r="K1" s="3378"/>
      <c r="L1" s="453"/>
      <c r="M1" s="453"/>
      <c r="N1" s="432"/>
      <c r="O1" s="432"/>
      <c r="P1" s="434">
        <f>IF(Dateneingabe!F42=Dateneingabe!H100,0,1)</f>
        <v>1</v>
      </c>
      <c r="Q1" s="434">
        <f>IF(P1=0,1,0)</f>
        <v>0</v>
      </c>
    </row>
    <row r="2" spans="1:20" ht="15.75" x14ac:dyDescent="0.2">
      <c r="C2" s="435"/>
      <c r="D2" s="436" t="s">
        <v>438</v>
      </c>
      <c r="E2" s="3379" t="str">
        <f>Dateneingabe!F3&amp;"-"&amp;Dateneingabe!H3</f>
        <v>05217112-200</v>
      </c>
      <c r="F2" s="3380"/>
      <c r="G2" s="542" t="s">
        <v>493</v>
      </c>
      <c r="H2" s="3381" t="str">
        <f>Dateneingabe!F17</f>
        <v>Element Logic Germany GmbH</v>
      </c>
      <c r="I2" s="3382"/>
      <c r="J2" s="3383"/>
      <c r="K2" s="3384"/>
      <c r="L2" s="438"/>
      <c r="M2" s="438"/>
      <c r="N2" s="432"/>
      <c r="O2" s="432"/>
      <c r="P2" s="439"/>
      <c r="Q2" s="439"/>
      <c r="S2" s="541">
        <f>ROUNDUP(Liste!F193/650,0)</f>
        <v>2</v>
      </c>
    </row>
    <row r="3" spans="1:20" ht="6.75" customHeight="1" x14ac:dyDescent="0.2">
      <c r="C3" s="435"/>
      <c r="D3" s="440"/>
      <c r="E3" s="435"/>
      <c r="F3" s="435"/>
      <c r="G3" s="543"/>
      <c r="H3" s="440"/>
      <c r="I3" s="544"/>
      <c r="J3" s="545"/>
      <c r="K3" s="444"/>
      <c r="L3" s="445"/>
      <c r="M3" s="445"/>
      <c r="N3" s="432"/>
      <c r="O3" s="432"/>
      <c r="P3" s="439"/>
      <c r="Q3" s="439"/>
    </row>
    <row r="4" spans="1:20" ht="15.75" x14ac:dyDescent="0.2">
      <c r="C4" s="445"/>
      <c r="D4" s="436" t="s">
        <v>538</v>
      </c>
      <c r="E4" s="3367" t="str">
        <f>Dateneingabe!F19</f>
        <v>Emil Lux GmbH</v>
      </c>
      <c r="F4" s="3385"/>
      <c r="G4" s="542" t="s">
        <v>440</v>
      </c>
      <c r="H4" s="3367" t="str">
        <f>Dateneingabe!F5</f>
        <v>5101.002095</v>
      </c>
      <c r="I4" s="3386"/>
      <c r="J4" s="3386"/>
      <c r="K4" s="3368"/>
      <c r="L4" s="445"/>
      <c r="M4" s="445"/>
      <c r="N4" s="432"/>
      <c r="O4" s="432"/>
      <c r="P4" s="439"/>
      <c r="Q4" s="439"/>
    </row>
    <row r="5" spans="1:20" ht="4.7" customHeight="1" x14ac:dyDescent="0.2">
      <c r="C5" s="448"/>
      <c r="D5" s="449"/>
      <c r="E5" s="449"/>
      <c r="F5" s="449"/>
      <c r="G5" s="463"/>
      <c r="H5" s="449"/>
      <c r="I5" s="449"/>
      <c r="J5" s="443"/>
      <c r="K5" s="449"/>
      <c r="L5" s="453"/>
      <c r="M5" s="453"/>
      <c r="N5" s="432"/>
      <c r="O5" s="432"/>
      <c r="P5" s="439"/>
      <c r="Q5" s="439"/>
    </row>
    <row r="6" spans="1:20" ht="15.75" x14ac:dyDescent="0.2">
      <c r="C6" s="453"/>
      <c r="D6" s="436" t="s">
        <v>541</v>
      </c>
      <c r="E6" s="1480" t="str">
        <f>Dateneingabe!F15</f>
        <v>MiWo</v>
      </c>
      <c r="F6" s="452">
        <f>Dateneingabe!F13</f>
        <v>44594</v>
      </c>
      <c r="G6" s="542" t="s">
        <v>455</v>
      </c>
      <c r="H6" s="3387" t="s">
        <v>690</v>
      </c>
      <c r="I6" s="3368"/>
      <c r="J6" s="3387" t="s">
        <v>691</v>
      </c>
      <c r="K6" s="3368"/>
      <c r="L6" s="453"/>
      <c r="M6" s="456"/>
      <c r="N6" s="432"/>
      <c r="O6" s="432"/>
      <c r="P6" s="439"/>
      <c r="Q6" s="439"/>
    </row>
    <row r="7" spans="1:20" ht="9.75" customHeight="1" x14ac:dyDescent="0.2">
      <c r="C7" s="453"/>
      <c r="D7" s="2124"/>
      <c r="E7" s="2125"/>
      <c r="F7" s="2126"/>
      <c r="G7" s="542"/>
      <c r="H7" s="2127"/>
      <c r="I7" s="2127"/>
      <c r="J7" s="2127"/>
      <c r="K7" s="2127"/>
      <c r="L7" s="453"/>
      <c r="M7" s="456"/>
      <c r="N7" s="432"/>
      <c r="O7" s="432"/>
      <c r="P7" s="439"/>
      <c r="Q7" s="439"/>
    </row>
    <row r="8" spans="1:20" ht="15.75" customHeight="1" x14ac:dyDescent="0.2">
      <c r="C8" s="3392" t="s">
        <v>31195</v>
      </c>
      <c r="D8" s="3392"/>
      <c r="E8" s="3392"/>
      <c r="F8" s="3392"/>
      <c r="G8" s="3392"/>
      <c r="H8" s="3392"/>
      <c r="I8" s="3392"/>
      <c r="J8" s="3392"/>
      <c r="K8" s="3392"/>
      <c r="L8" s="453"/>
      <c r="M8" s="456"/>
      <c r="N8" s="432"/>
      <c r="O8" s="432"/>
      <c r="P8" s="439"/>
      <c r="Q8" s="439"/>
    </row>
    <row r="9" spans="1:20" ht="15.75" customHeight="1" x14ac:dyDescent="0.2">
      <c r="C9" s="3392"/>
      <c r="D9" s="3392"/>
      <c r="E9" s="3392"/>
      <c r="F9" s="3392"/>
      <c r="G9" s="3392"/>
      <c r="H9" s="3392"/>
      <c r="I9" s="3392"/>
      <c r="J9" s="3392"/>
      <c r="K9" s="3392"/>
      <c r="L9" s="453"/>
      <c r="M9" s="456"/>
      <c r="N9" s="432"/>
      <c r="O9" s="432"/>
      <c r="P9" s="439"/>
      <c r="Q9" s="439"/>
    </row>
    <row r="10" spans="1:20" ht="13.7" customHeight="1" thickBot="1" x14ac:dyDescent="0.25">
      <c r="A10" s="782" t="s">
        <v>30824</v>
      </c>
    </row>
    <row r="11" spans="1:20" ht="16.5" thickBot="1" x14ac:dyDescent="0.25">
      <c r="A11" s="782">
        <v>1</v>
      </c>
      <c r="C11" s="3371" t="s">
        <v>451</v>
      </c>
      <c r="D11" s="3372"/>
      <c r="E11" s="3372"/>
      <c r="F11" s="3373"/>
      <c r="G11" s="475" t="s">
        <v>452</v>
      </c>
      <c r="H11" s="1312" t="s">
        <v>68</v>
      </c>
      <c r="I11" s="1314"/>
      <c r="J11" s="477" t="s">
        <v>547</v>
      </c>
      <c r="K11" s="478"/>
      <c r="L11" s="431"/>
      <c r="M11" s="431"/>
      <c r="N11" s="432"/>
      <c r="O11" s="432"/>
      <c r="P11" s="451" t="s">
        <v>553</v>
      </c>
      <c r="Q11" s="546" t="s">
        <v>464</v>
      </c>
    </row>
    <row r="12" spans="1:20" ht="6.75" customHeight="1" thickBot="1" x14ac:dyDescent="0.25">
      <c r="A12" s="782">
        <v>1</v>
      </c>
      <c r="C12" s="3374"/>
      <c r="D12" s="3375"/>
      <c r="E12" s="3375"/>
      <c r="F12" s="3375"/>
      <c r="G12" s="3375"/>
      <c r="H12" s="3375"/>
      <c r="I12" s="3375"/>
      <c r="J12" s="3375"/>
      <c r="K12" s="3376"/>
      <c r="L12" s="479"/>
      <c r="M12" s="480"/>
      <c r="N12" s="481"/>
      <c r="O12" s="481"/>
      <c r="P12" s="467"/>
      <c r="Q12" s="468"/>
    </row>
    <row r="13" spans="1:20" ht="33" customHeight="1" thickBot="1" x14ac:dyDescent="0.25">
      <c r="A13" s="782">
        <v>1</v>
      </c>
      <c r="C13" s="3390" t="str">
        <f>"Schieberführung "&amp;Checkliste!H81&amp;" | Konsolen "&amp;(Checkliste!H53+Checkliste!H54+Checkliste!H55)*2&amp;" | Antrieb "&amp;IF('Berechnung &amp; Tabellen'!E157=1,5,9)&amp;" | Verkrallung "&amp;(ROUNDUP(Liste!F195/500,0)+1)*Liste!A195&amp;" | Festfeld seitlich "&amp;Checkliste!H60+Checkliste!H61&amp;" | Doppelgurtumlenkung Antrieb "&amp;Checkliste!H74*4&amp;" | Rollenendschalter oben "&amp;Checkliste!H65*2&amp;" | ="</f>
        <v>Schieberführung 6 | Konsolen 4 | Antrieb 5 | Verkrallung 4 | Festfeld seitlich 4 | Doppelgurtumlenkung Antrieb 0 | Rollenendschalter oben 0 | =</v>
      </c>
      <c r="D13" s="3391"/>
      <c r="E13" s="3391"/>
      <c r="F13" s="3391"/>
      <c r="G13" s="3391"/>
      <c r="H13" s="3391"/>
      <c r="I13" s="3391"/>
      <c r="J13" s="3388">
        <f>Checkliste!H81+Checkliste!H82+(Checkliste!H53+Checkliste!H54+Checkliste!H55)*2+IF('Berechnung &amp; Tabellen'!E157=1,5,9)+(ROUNDUP(Liste!F195/500,0)+1)*Liste!A195+Checkliste!H60+Checkliste!H61+(Checkliste!H74*4)+Checkliste!H65*2</f>
        <v>23</v>
      </c>
      <c r="K13" s="3389"/>
      <c r="L13" s="431"/>
      <c r="M13" s="431"/>
      <c r="N13" s="432"/>
      <c r="O13" s="432"/>
      <c r="P13" s="433"/>
      <c r="Q13" s="439"/>
    </row>
    <row r="14" spans="1:20" ht="15" x14ac:dyDescent="0.2">
      <c r="A14" s="455">
        <f>SUM(A15:A16)</f>
        <v>50</v>
      </c>
      <c r="C14" s="550" t="s">
        <v>554</v>
      </c>
      <c r="D14" s="551"/>
      <c r="E14" s="551"/>
      <c r="F14" s="552"/>
      <c r="G14" s="553"/>
      <c r="H14" s="527"/>
      <c r="I14" s="527"/>
      <c r="J14" s="552"/>
      <c r="K14" s="554"/>
      <c r="L14" s="530"/>
      <c r="M14" s="530"/>
      <c r="N14" s="466"/>
      <c r="O14" s="466"/>
      <c r="P14" s="467"/>
      <c r="Q14" s="468"/>
      <c r="S14" s="3377" t="s">
        <v>28353</v>
      </c>
      <c r="T14" s="3377"/>
    </row>
    <row r="15" spans="1:20" ht="15.75" x14ac:dyDescent="0.2">
      <c r="A15" s="782">
        <f>H15</f>
        <v>25</v>
      </c>
      <c r="C15" s="555"/>
      <c r="D15" s="556" t="s">
        <v>736</v>
      </c>
      <c r="E15" s="557"/>
      <c r="F15" s="557"/>
      <c r="G15" s="487" t="str">
        <f>IF($P$1=1,P15,Q15)</f>
        <v>0126038</v>
      </c>
      <c r="H15" s="1280">
        <f>(J13+2)*S15</f>
        <v>25</v>
      </c>
      <c r="I15" s="488"/>
      <c r="J15" s="489" t="str">
        <f>IF($P$1=1,"verzinkt","V2A")</f>
        <v>verzinkt</v>
      </c>
      <c r="K15" s="558"/>
      <c r="L15" s="431"/>
      <c r="M15" s="431"/>
      <c r="N15" s="432"/>
      <c r="O15" s="432"/>
      <c r="P15" s="439" t="s">
        <v>478</v>
      </c>
      <c r="Q15" s="439" t="s">
        <v>479</v>
      </c>
      <c r="S15" s="1241">
        <f>Dateneingabe!G145</f>
        <v>1</v>
      </c>
      <c r="T15" s="1241" t="str">
        <f>Dateneingabe!H145</f>
        <v>Beton</v>
      </c>
    </row>
    <row r="16" spans="1:20" ht="15.75" x14ac:dyDescent="0.2">
      <c r="A16" s="782">
        <f>H16</f>
        <v>25</v>
      </c>
      <c r="C16" s="555"/>
      <c r="D16" s="559" t="s">
        <v>555</v>
      </c>
      <c r="E16" s="560"/>
      <c r="F16" s="560"/>
      <c r="G16" s="487" t="str">
        <f t="shared" ref="G16:G30" si="0">IF($P$1=1,P16,Q16)</f>
        <v>0125106</v>
      </c>
      <c r="H16" s="1280">
        <f>H15</f>
        <v>25</v>
      </c>
      <c r="I16" s="488"/>
      <c r="J16" s="489" t="str">
        <f>IF($P$1=1,"verzinkt","V2A")</f>
        <v>verzinkt</v>
      </c>
      <c r="K16" s="558"/>
      <c r="L16" s="431"/>
      <c r="M16" s="431"/>
      <c r="N16" s="432"/>
      <c r="O16" s="432"/>
      <c r="P16" s="561" t="s">
        <v>556</v>
      </c>
      <c r="Q16" s="561" t="s">
        <v>557</v>
      </c>
      <c r="S16" s="1241">
        <f>Dateneingabe!G146</f>
        <v>0</v>
      </c>
      <c r="T16" s="1241" t="str">
        <f>Dateneingabe!H146</f>
        <v>Mauerwerk</v>
      </c>
    </row>
    <row r="17" spans="1:22" ht="15.75" x14ac:dyDescent="0.2">
      <c r="A17" s="455">
        <f>SUM(A18:A20)</f>
        <v>0</v>
      </c>
      <c r="C17" s="567" t="s">
        <v>28354</v>
      </c>
      <c r="D17" s="562"/>
      <c r="E17" s="562"/>
      <c r="F17" s="562"/>
      <c r="G17" s="563"/>
      <c r="H17" s="500"/>
      <c r="I17" s="500"/>
      <c r="J17" s="529"/>
      <c r="K17" s="1108"/>
      <c r="L17" s="431"/>
      <c r="M17" s="431"/>
      <c r="N17" s="432"/>
      <c r="O17" s="432"/>
      <c r="P17" s="564"/>
      <c r="Q17" s="564"/>
      <c r="S17" s="1241">
        <f>Dateneingabe!G147</f>
        <v>0</v>
      </c>
      <c r="T17" s="1241" t="str">
        <f>Dateneingabe!H147</f>
        <v>Gasbeton</v>
      </c>
    </row>
    <row r="18" spans="1:22" ht="15.75" x14ac:dyDescent="0.2">
      <c r="A18" s="782">
        <f>H18</f>
        <v>0</v>
      </c>
      <c r="C18" s="555"/>
      <c r="D18" s="556" t="s">
        <v>841</v>
      </c>
      <c r="E18" s="557"/>
      <c r="F18" s="557"/>
      <c r="G18" s="487" t="str">
        <f t="shared" si="0"/>
        <v>0101017</v>
      </c>
      <c r="H18" s="1281">
        <f>(J13+2)*S18</f>
        <v>0</v>
      </c>
      <c r="I18" s="488"/>
      <c r="J18" s="489" t="str">
        <f>IF($P$1=1,"verzinkt","V2A")</f>
        <v>verzinkt</v>
      </c>
      <c r="K18" s="558"/>
      <c r="L18" s="431"/>
      <c r="M18" s="3393"/>
      <c r="N18" s="3393"/>
      <c r="O18" s="3394"/>
      <c r="P18" s="564" t="s">
        <v>952</v>
      </c>
      <c r="Q18" s="564" t="s">
        <v>1045</v>
      </c>
      <c r="S18" s="1241">
        <f>Dateneingabe!G148</f>
        <v>0</v>
      </c>
      <c r="T18" s="1241" t="str">
        <f>Dateneingabe!H148</f>
        <v>Verkleideter Stahlbau / Ständerwand</v>
      </c>
    </row>
    <row r="19" spans="1:22" ht="15.75" x14ac:dyDescent="0.2">
      <c r="A19" s="782">
        <f>H19</f>
        <v>0</v>
      </c>
      <c r="C19" s="555"/>
      <c r="D19" s="559" t="s">
        <v>555</v>
      </c>
      <c r="E19" s="557"/>
      <c r="F19" s="557"/>
      <c r="G19" s="487" t="str">
        <f t="shared" si="0"/>
        <v>0125106</v>
      </c>
      <c r="H19" s="1281">
        <f>H18</f>
        <v>0</v>
      </c>
      <c r="I19" s="488"/>
      <c r="J19" s="489" t="str">
        <f>IF($P$1=1,"verzinkt","V2A")</f>
        <v>verzinkt</v>
      </c>
      <c r="K19" s="558"/>
      <c r="L19" s="431"/>
      <c r="M19" s="3393"/>
      <c r="N19" s="3393"/>
      <c r="O19" s="3394"/>
      <c r="P19" s="561" t="s">
        <v>556</v>
      </c>
      <c r="Q19" s="561" t="s">
        <v>557</v>
      </c>
      <c r="S19" s="1245">
        <f>Dateneingabe!F70</f>
        <v>190</v>
      </c>
      <c r="T19" s="1241" t="s">
        <v>28366</v>
      </c>
    </row>
    <row r="20" spans="1:22" ht="15.75" x14ac:dyDescent="0.2">
      <c r="A20" s="782">
        <f>H20</f>
        <v>0</v>
      </c>
      <c r="C20" s="555"/>
      <c r="D20" s="559" t="s">
        <v>570</v>
      </c>
      <c r="E20" s="562"/>
      <c r="F20" s="562"/>
      <c r="G20" s="487" t="str">
        <f t="shared" si="0"/>
        <v>0129001</v>
      </c>
      <c r="H20" s="1281">
        <f>H18</f>
        <v>0</v>
      </c>
      <c r="I20" s="488"/>
      <c r="J20" s="489" t="str">
        <f>IF($P$1=1,"verzinkt","V2A")</f>
        <v>verzinkt</v>
      </c>
      <c r="K20" s="558"/>
      <c r="L20" s="431"/>
      <c r="M20" s="431"/>
      <c r="N20" s="432"/>
      <c r="O20" s="432"/>
      <c r="P20" s="564" t="s">
        <v>571</v>
      </c>
      <c r="Q20" s="564" t="s">
        <v>572</v>
      </c>
      <c r="S20" s="454" t="s">
        <v>28371</v>
      </c>
      <c r="T20" s="454"/>
      <c r="U20" s="455" t="s">
        <v>28372</v>
      </c>
    </row>
    <row r="21" spans="1:22" ht="15.75" x14ac:dyDescent="0.2">
      <c r="A21" s="455">
        <f>SUM(A22:A30)</f>
        <v>0</v>
      </c>
      <c r="C21" s="567" t="s">
        <v>564</v>
      </c>
      <c r="D21" s="562"/>
      <c r="E21" s="562"/>
      <c r="F21" s="562"/>
      <c r="G21" s="563"/>
      <c r="H21" s="500"/>
      <c r="I21" s="500"/>
      <c r="J21" s="529"/>
      <c r="K21" s="558"/>
      <c r="L21" s="431"/>
      <c r="M21" s="465"/>
      <c r="N21" s="432"/>
      <c r="O21" s="432"/>
      <c r="P21" s="564"/>
      <c r="Q21" s="564"/>
      <c r="S21" s="782">
        <f>IF($S$19=0,0,IF($S$19&lt;176,1,0))</f>
        <v>0</v>
      </c>
      <c r="T21" s="541" t="s">
        <v>28367</v>
      </c>
      <c r="U21" s="782">
        <v>4</v>
      </c>
      <c r="V21" s="782">
        <f>ROUNDUP(($J$13+2)/U21,0)</f>
        <v>7</v>
      </c>
    </row>
    <row r="22" spans="1:22" ht="15.75" x14ac:dyDescent="0.2">
      <c r="A22" s="782">
        <f t="shared" ref="A22:A30" si="1">H22</f>
        <v>0</v>
      </c>
      <c r="C22" s="555"/>
      <c r="D22" s="568" t="s">
        <v>28361</v>
      </c>
      <c r="E22" s="557"/>
      <c r="F22" s="557"/>
      <c r="G22" s="487" t="str">
        <f t="shared" si="0"/>
        <v>0708420</v>
      </c>
      <c r="H22" s="1281">
        <f>IF($P$1=1,($S$16+$S$17)*S21*($J$13+2),0)</f>
        <v>0</v>
      </c>
      <c r="I22" s="488"/>
      <c r="J22" s="489" t="str">
        <f t="shared" ref="J22:J30" si="2">IF($P$1=1,"verzinkt","V2A")</f>
        <v>verzinkt</v>
      </c>
      <c r="K22" s="558"/>
      <c r="L22" s="431"/>
      <c r="M22" s="444"/>
      <c r="N22" s="432"/>
      <c r="O22" s="432"/>
      <c r="P22" s="468" t="s">
        <v>12810</v>
      </c>
      <c r="Q22" s="564"/>
      <c r="S22" s="782">
        <f>IF($S$19=0,0,IF(AND($S$19&gt;175,$S$19&lt;261),1,0))</f>
        <v>1</v>
      </c>
      <c r="T22" s="541" t="s">
        <v>28368</v>
      </c>
      <c r="U22" s="782">
        <v>3</v>
      </c>
      <c r="V22" s="782">
        <f>ROUNDUP(($J$13+2)/U22,0)</f>
        <v>9</v>
      </c>
    </row>
    <row r="23" spans="1:22" ht="15.75" x14ac:dyDescent="0.2">
      <c r="A23" s="782">
        <f t="shared" si="1"/>
        <v>0</v>
      </c>
      <c r="C23" s="555"/>
      <c r="D23" s="568" t="s">
        <v>28362</v>
      </c>
      <c r="E23" s="557"/>
      <c r="F23" s="569"/>
      <c r="G23" s="487" t="str">
        <f t="shared" si="0"/>
        <v>0708421</v>
      </c>
      <c r="H23" s="1281">
        <f>IF($P$1=1,($S$16+$S$17)*S22*($J$13+2),0)</f>
        <v>0</v>
      </c>
      <c r="I23" s="488"/>
      <c r="J23" s="489" t="str">
        <f t="shared" si="2"/>
        <v>verzinkt</v>
      </c>
      <c r="K23" s="558"/>
      <c r="L23" s="431"/>
      <c r="M23" s="444"/>
      <c r="N23" s="432"/>
      <c r="O23" s="432"/>
      <c r="P23" s="468" t="s">
        <v>12812</v>
      </c>
      <c r="Q23" s="564"/>
      <c r="S23" s="782">
        <f>IF($S$19=0,0,IF(AND($S$19&gt;260,$S$19&lt;426),1,0))</f>
        <v>0</v>
      </c>
      <c r="T23" s="541" t="s">
        <v>28369</v>
      </c>
      <c r="U23" s="782">
        <v>2</v>
      </c>
      <c r="V23" s="782">
        <f>ROUNDUP(($J$13+2)/U23,0)</f>
        <v>13</v>
      </c>
    </row>
    <row r="24" spans="1:22" ht="15.75" x14ac:dyDescent="0.2">
      <c r="A24" s="782">
        <f t="shared" si="1"/>
        <v>0</v>
      </c>
      <c r="C24" s="555"/>
      <c r="D24" s="568" t="s">
        <v>28363</v>
      </c>
      <c r="E24" s="557"/>
      <c r="F24" s="569"/>
      <c r="G24" s="487" t="str">
        <f t="shared" si="0"/>
        <v>0708424</v>
      </c>
      <c r="H24" s="1281">
        <f>IF($P$1=1,($S$16+$S$17)*S23*($J$13+2),0)</f>
        <v>0</v>
      </c>
      <c r="I24" s="488"/>
      <c r="J24" s="489" t="str">
        <f t="shared" si="2"/>
        <v>verzinkt</v>
      </c>
      <c r="K24" s="558"/>
      <c r="L24" s="431"/>
      <c r="M24" s="444"/>
      <c r="N24" s="432"/>
      <c r="O24" s="432"/>
      <c r="P24" s="468" t="s">
        <v>12818</v>
      </c>
      <c r="Q24" s="564"/>
      <c r="S24" s="782">
        <f>IF($S$19=0,0,IF(AND($S$19&gt;425,$S$19&lt;926),1,0))</f>
        <v>0</v>
      </c>
      <c r="T24" s="541" t="s">
        <v>28370</v>
      </c>
      <c r="U24" s="782">
        <v>1</v>
      </c>
      <c r="V24" s="782">
        <f>ROUNDUP(($J$13+2)/U24,0)</f>
        <v>25</v>
      </c>
    </row>
    <row r="25" spans="1:22" ht="15.75" x14ac:dyDescent="0.2">
      <c r="A25" s="782">
        <f t="shared" si="1"/>
        <v>0</v>
      </c>
      <c r="C25" s="555"/>
      <c r="D25" s="568" t="s">
        <v>28364</v>
      </c>
      <c r="E25" s="557"/>
      <c r="F25" s="569"/>
      <c r="G25" s="487" t="str">
        <f t="shared" si="0"/>
        <v>0112005</v>
      </c>
      <c r="H25" s="1281">
        <f>IF($P$1=1,($S$16+$S$17)*S24*($J$13+2),0)</f>
        <v>0</v>
      </c>
      <c r="I25" s="488"/>
      <c r="J25" s="489" t="str">
        <f t="shared" si="2"/>
        <v>verzinkt</v>
      </c>
      <c r="K25" s="558"/>
      <c r="L25" s="431"/>
      <c r="M25" s="444"/>
      <c r="N25" s="432"/>
      <c r="O25" s="432"/>
      <c r="P25" s="468" t="s">
        <v>565</v>
      </c>
      <c r="Q25" s="564"/>
    </row>
    <row r="26" spans="1:22" ht="15.75" x14ac:dyDescent="0.2">
      <c r="A26" s="782">
        <f t="shared" si="1"/>
        <v>0</v>
      </c>
      <c r="C26" s="555"/>
      <c r="D26" s="568" t="s">
        <v>28365</v>
      </c>
      <c r="E26" s="557"/>
      <c r="F26" s="569"/>
      <c r="G26" s="487">
        <f t="shared" si="0"/>
        <v>0</v>
      </c>
      <c r="H26" s="1281">
        <f>IF($Q$1=1,($S$16+$S$17)*(S21*V21+S22*V22+S23*V23+S24*V24),0)</f>
        <v>0</v>
      </c>
      <c r="I26" s="488"/>
      <c r="J26" s="489" t="str">
        <f t="shared" si="2"/>
        <v>verzinkt</v>
      </c>
      <c r="K26" s="558"/>
      <c r="L26" s="431"/>
      <c r="M26" s="444"/>
      <c r="N26" s="432"/>
      <c r="O26" s="432"/>
      <c r="P26" s="468"/>
      <c r="Q26" s="468" t="s">
        <v>566</v>
      </c>
    </row>
    <row r="27" spans="1:22" ht="15.75" x14ac:dyDescent="0.2">
      <c r="A27" s="782">
        <f t="shared" si="1"/>
        <v>0</v>
      </c>
      <c r="C27" s="555"/>
      <c r="D27" s="559" t="s">
        <v>567</v>
      </c>
      <c r="E27" s="562"/>
      <c r="F27" s="562"/>
      <c r="G27" s="487" t="str">
        <f t="shared" si="0"/>
        <v>0114011</v>
      </c>
      <c r="H27" s="1281">
        <f>($S$16+$S$17)*(($J$13+2)*2)</f>
        <v>0</v>
      </c>
      <c r="I27" s="488"/>
      <c r="J27" s="489" t="str">
        <f t="shared" si="2"/>
        <v>verzinkt</v>
      </c>
      <c r="K27" s="558"/>
      <c r="L27" s="444"/>
      <c r="M27" s="444"/>
      <c r="N27" s="432"/>
      <c r="O27" s="432"/>
      <c r="P27" s="564" t="s">
        <v>568</v>
      </c>
      <c r="Q27" s="564" t="s">
        <v>569</v>
      </c>
    </row>
    <row r="28" spans="1:22" ht="15.75" x14ac:dyDescent="0.2">
      <c r="A28" s="782">
        <f t="shared" si="1"/>
        <v>0</v>
      </c>
      <c r="C28" s="555"/>
      <c r="D28" s="559" t="s">
        <v>570</v>
      </c>
      <c r="E28" s="562"/>
      <c r="F28" s="562"/>
      <c r="G28" s="487" t="str">
        <f t="shared" si="0"/>
        <v>0129001</v>
      </c>
      <c r="H28" s="1281">
        <f>($S$16+$S$17)*(($J$13+2)*2)</f>
        <v>0</v>
      </c>
      <c r="I28" s="488"/>
      <c r="J28" s="489" t="str">
        <f t="shared" si="2"/>
        <v>verzinkt</v>
      </c>
      <c r="K28" s="558"/>
      <c r="L28" s="431"/>
      <c r="M28" s="431"/>
      <c r="N28" s="432"/>
      <c r="O28" s="432"/>
      <c r="P28" s="564" t="s">
        <v>571</v>
      </c>
      <c r="Q28" s="564" t="s">
        <v>572</v>
      </c>
    </row>
    <row r="29" spans="1:22" ht="15.75" x14ac:dyDescent="0.2">
      <c r="A29" s="782">
        <f t="shared" si="1"/>
        <v>0</v>
      </c>
      <c r="C29" s="555"/>
      <c r="D29" s="559" t="s">
        <v>555</v>
      </c>
      <c r="E29" s="562"/>
      <c r="F29" s="562"/>
      <c r="G29" s="487" t="str">
        <f t="shared" si="0"/>
        <v>0125106</v>
      </c>
      <c r="H29" s="1281">
        <f>($S$16+$S$17)*(($J$13+2)*2)</f>
        <v>0</v>
      </c>
      <c r="I29" s="488"/>
      <c r="J29" s="489" t="str">
        <f t="shared" si="2"/>
        <v>verzinkt</v>
      </c>
      <c r="K29" s="558"/>
      <c r="L29" s="431"/>
      <c r="M29" s="431"/>
      <c r="N29" s="432"/>
      <c r="O29" s="432"/>
      <c r="P29" s="564" t="s">
        <v>556</v>
      </c>
      <c r="Q29" s="564" t="s">
        <v>557</v>
      </c>
    </row>
    <row r="30" spans="1:22" ht="16.5" thickBot="1" x14ac:dyDescent="0.25">
      <c r="A30" s="782">
        <f t="shared" si="1"/>
        <v>0</v>
      </c>
      <c r="C30" s="555"/>
      <c r="D30" s="559" t="s">
        <v>573</v>
      </c>
      <c r="E30" s="562"/>
      <c r="F30" s="562"/>
      <c r="G30" s="487" t="str">
        <f t="shared" si="0"/>
        <v>0150065</v>
      </c>
      <c r="H30" s="1281">
        <f>($S$16+$S$17)*(($J$13+2)*1)</f>
        <v>0</v>
      </c>
      <c r="I30" s="488"/>
      <c r="J30" s="489" t="str">
        <f t="shared" si="2"/>
        <v>verzinkt</v>
      </c>
      <c r="K30" s="558"/>
      <c r="L30" s="431"/>
      <c r="M30" s="431"/>
      <c r="N30" s="432"/>
      <c r="O30" s="432"/>
      <c r="P30" s="561" t="s">
        <v>574</v>
      </c>
      <c r="Q30" s="561" t="s">
        <v>575</v>
      </c>
    </row>
    <row r="31" spans="1:22" ht="3.75" customHeight="1" x14ac:dyDescent="0.2">
      <c r="A31" s="782">
        <v>1</v>
      </c>
      <c r="C31" s="578"/>
      <c r="D31" s="578"/>
      <c r="E31" s="579"/>
      <c r="F31" s="579"/>
      <c r="G31" s="580"/>
      <c r="H31" s="1282"/>
      <c r="I31" s="582"/>
      <c r="J31" s="583"/>
      <c r="K31" s="584"/>
      <c r="L31" s="530"/>
      <c r="M31" s="530"/>
      <c r="N31" s="432"/>
      <c r="O31" s="466"/>
      <c r="P31" s="468"/>
      <c r="Q31" s="468"/>
    </row>
    <row r="32" spans="1:22" ht="3.75" customHeight="1" thickBot="1" x14ac:dyDescent="0.25">
      <c r="A32" s="782">
        <v>1</v>
      </c>
      <c r="C32" s="585"/>
      <c r="D32" s="585"/>
      <c r="E32" s="586"/>
      <c r="F32" s="586"/>
      <c r="G32" s="587"/>
      <c r="H32" s="1283"/>
      <c r="I32" s="513"/>
      <c r="J32" s="514"/>
      <c r="K32" s="588"/>
      <c r="L32" s="530"/>
      <c r="M32" s="530"/>
      <c r="N32" s="432"/>
      <c r="O32" s="466"/>
      <c r="P32" s="468"/>
      <c r="Q32" s="468"/>
    </row>
    <row r="33" spans="1:17" ht="21.2" customHeight="1" thickBot="1" x14ac:dyDescent="0.25">
      <c r="A33" s="782">
        <v>1</v>
      </c>
      <c r="C33" s="3400"/>
      <c r="D33" s="3401"/>
      <c r="E33" s="3401"/>
      <c r="F33" s="3401"/>
      <c r="G33" s="547"/>
      <c r="H33" s="547"/>
      <c r="I33" s="548"/>
      <c r="J33" s="548"/>
      <c r="K33" s="549"/>
      <c r="L33" s="431"/>
      <c r="M33" s="431"/>
      <c r="N33" s="432"/>
      <c r="O33" s="432"/>
      <c r="P33" s="439"/>
      <c r="Q33" s="439"/>
    </row>
    <row r="34" spans="1:17" ht="15.75" x14ac:dyDescent="0.2">
      <c r="A34" s="782">
        <f>SUM(A35:A36)</f>
        <v>0</v>
      </c>
      <c r="C34" s="550" t="s">
        <v>554</v>
      </c>
      <c r="D34" s="551"/>
      <c r="E34" s="551"/>
      <c r="F34" s="551"/>
      <c r="G34" s="572"/>
      <c r="H34" s="1281"/>
      <c r="I34" s="528"/>
      <c r="J34" s="528"/>
      <c r="K34" s="573"/>
      <c r="L34" s="431"/>
      <c r="M34" s="431"/>
      <c r="N34" s="432"/>
      <c r="O34" s="432"/>
      <c r="P34" s="439"/>
      <c r="Q34" s="439"/>
    </row>
    <row r="35" spans="1:17" ht="15.75" x14ac:dyDescent="0.2">
      <c r="A35" s="782">
        <f>H35</f>
        <v>0</v>
      </c>
      <c r="C35" s="574"/>
      <c r="D35" s="556" t="s">
        <v>590</v>
      </c>
      <c r="E35" s="557"/>
      <c r="F35" s="557"/>
      <c r="G35" s="487" t="str">
        <f t="shared" ref="G35:G50" si="3">IF($P$1=1,P35,Q35)</f>
        <v>0126058</v>
      </c>
      <c r="H35" s="2600"/>
      <c r="I35" s="488"/>
      <c r="J35" s="489" t="str">
        <f>IF($P$1=1,"verzinkt","V2A")</f>
        <v>verzinkt</v>
      </c>
      <c r="K35" s="558"/>
      <c r="L35" s="431"/>
      <c r="M35" s="431"/>
      <c r="N35" s="432"/>
      <c r="O35" s="432"/>
      <c r="P35" s="564" t="s">
        <v>591</v>
      </c>
      <c r="Q35" s="564" t="s">
        <v>592</v>
      </c>
    </row>
    <row r="36" spans="1:17" ht="15.75" x14ac:dyDescent="0.2">
      <c r="A36" s="782">
        <f>H36</f>
        <v>0</v>
      </c>
      <c r="C36" s="555"/>
      <c r="D36" s="559" t="s">
        <v>555</v>
      </c>
      <c r="E36" s="560"/>
      <c r="F36" s="560"/>
      <c r="G36" s="487" t="str">
        <f t="shared" si="3"/>
        <v>0125106</v>
      </c>
      <c r="H36" s="2601"/>
      <c r="I36" s="488"/>
      <c r="J36" s="489" t="str">
        <f>IF($P$1=1,"verzinkt","V2A")</f>
        <v>verzinkt</v>
      </c>
      <c r="K36" s="558"/>
      <c r="L36" s="431"/>
      <c r="M36" s="431"/>
      <c r="N36" s="432"/>
      <c r="O36" s="571"/>
      <c r="P36" s="564" t="s">
        <v>556</v>
      </c>
      <c r="Q36" s="564" t="s">
        <v>557</v>
      </c>
    </row>
    <row r="37" spans="1:17" ht="15.75" x14ac:dyDescent="0.2">
      <c r="A37" s="455">
        <f>SUM(A38:A42)</f>
        <v>0</v>
      </c>
      <c r="C37" s="567" t="s">
        <v>583</v>
      </c>
      <c r="D37" s="562"/>
      <c r="E37" s="562"/>
      <c r="F37" s="562"/>
      <c r="G37" s="563"/>
      <c r="H37" s="500"/>
      <c r="I37" s="500"/>
      <c r="J37" s="529"/>
      <c r="K37" s="558"/>
      <c r="L37" s="431"/>
      <c r="M37" s="589"/>
      <c r="N37" s="432"/>
      <c r="O37" s="432"/>
      <c r="P37" s="564"/>
      <c r="Q37" s="564"/>
    </row>
    <row r="38" spans="1:17" ht="15.75" x14ac:dyDescent="0.2">
      <c r="A38" s="782">
        <f>H38</f>
        <v>0</v>
      </c>
      <c r="C38" s="555"/>
      <c r="D38" s="2602"/>
      <c r="E38" s="2603"/>
      <c r="F38" s="2604"/>
      <c r="G38" s="2589"/>
      <c r="H38" s="2605"/>
      <c r="I38" s="488"/>
      <c r="J38" s="2159"/>
      <c r="K38" s="558"/>
      <c r="L38" s="431"/>
      <c r="M38" s="589"/>
      <c r="N38" s="432"/>
      <c r="O38" s="432"/>
      <c r="P38" s="564" t="s">
        <v>565</v>
      </c>
      <c r="Q38" s="564" t="s">
        <v>566</v>
      </c>
    </row>
    <row r="39" spans="1:17" ht="15.75" x14ac:dyDescent="0.2">
      <c r="A39" s="782">
        <f>H39</f>
        <v>0</v>
      </c>
      <c r="C39" s="555"/>
      <c r="D39" s="559" t="s">
        <v>567</v>
      </c>
      <c r="E39" s="562"/>
      <c r="F39" s="562"/>
      <c r="G39" s="487" t="str">
        <f t="shared" si="3"/>
        <v>0114011</v>
      </c>
      <c r="H39" s="2600"/>
      <c r="I39" s="488"/>
      <c r="J39" s="489" t="str">
        <f>IF($P$1=1,"verzinkt","V2A")</f>
        <v>verzinkt</v>
      </c>
      <c r="K39" s="558"/>
      <c r="L39" s="431"/>
      <c r="M39" s="589"/>
      <c r="N39" s="432"/>
      <c r="O39" s="432"/>
      <c r="P39" s="564" t="s">
        <v>568</v>
      </c>
      <c r="Q39" s="564" t="s">
        <v>569</v>
      </c>
    </row>
    <row r="40" spans="1:17" ht="15.75" x14ac:dyDescent="0.2">
      <c r="A40" s="782">
        <f>H40</f>
        <v>0</v>
      </c>
      <c r="C40" s="555"/>
      <c r="D40" s="559" t="s">
        <v>555</v>
      </c>
      <c r="E40" s="562"/>
      <c r="F40" s="562"/>
      <c r="G40" s="487" t="str">
        <f t="shared" si="3"/>
        <v>0125106</v>
      </c>
      <c r="H40" s="2605"/>
      <c r="I40" s="488"/>
      <c r="J40" s="489" t="str">
        <f>IF($P$1=1,"verzinkt","V2A")</f>
        <v>verzinkt</v>
      </c>
      <c r="K40" s="558"/>
      <c r="L40" s="431"/>
      <c r="M40" s="589"/>
      <c r="N40" s="432"/>
      <c r="O40" s="432"/>
      <c r="P40" s="564" t="s">
        <v>556</v>
      </c>
      <c r="Q40" s="564" t="s">
        <v>557</v>
      </c>
    </row>
    <row r="41" spans="1:17" ht="15.75" x14ac:dyDescent="0.2">
      <c r="A41" s="782">
        <f>H41</f>
        <v>0</v>
      </c>
      <c r="C41" s="555"/>
      <c r="D41" s="559" t="s">
        <v>570</v>
      </c>
      <c r="E41" s="562"/>
      <c r="F41" s="562"/>
      <c r="G41" s="487" t="str">
        <f t="shared" si="3"/>
        <v>0129001</v>
      </c>
      <c r="H41" s="2605"/>
      <c r="I41" s="488"/>
      <c r="J41" s="489" t="str">
        <f>IF($P$1=1,"verzinkt","V2A")</f>
        <v>verzinkt</v>
      </c>
      <c r="K41" s="558"/>
      <c r="L41" s="431"/>
      <c r="M41" s="431"/>
      <c r="N41" s="432"/>
      <c r="O41" s="432"/>
      <c r="P41" s="564" t="s">
        <v>571</v>
      </c>
      <c r="Q41" s="564" t="s">
        <v>572</v>
      </c>
    </row>
    <row r="42" spans="1:17" ht="15.75" x14ac:dyDescent="0.2">
      <c r="A42" s="782">
        <f>H42</f>
        <v>0</v>
      </c>
      <c r="C42" s="555"/>
      <c r="D42" s="559" t="s">
        <v>573</v>
      </c>
      <c r="E42" s="566"/>
      <c r="F42" s="566"/>
      <c r="G42" s="487" t="str">
        <f t="shared" si="3"/>
        <v>0150065</v>
      </c>
      <c r="H42" s="2600"/>
      <c r="I42" s="488"/>
      <c r="J42" s="489" t="str">
        <f>IF($P$1=1,"verzinkt","V2A")</f>
        <v>verzinkt</v>
      </c>
      <c r="K42" s="558"/>
      <c r="L42" s="431"/>
      <c r="M42" s="589"/>
      <c r="N42" s="432"/>
      <c r="O42" s="432"/>
      <c r="P42" s="564" t="s">
        <v>574</v>
      </c>
      <c r="Q42" s="564" t="s">
        <v>575</v>
      </c>
    </row>
    <row r="43" spans="1:17" ht="15.75" x14ac:dyDescent="0.2">
      <c r="A43" s="455">
        <f>SUM(A44:A47)</f>
        <v>0</v>
      </c>
      <c r="C43" s="525" t="s">
        <v>31432</v>
      </c>
      <c r="D43" s="562"/>
      <c r="E43" s="562"/>
      <c r="F43" s="562"/>
      <c r="G43" s="563"/>
      <c r="H43" s="500"/>
      <c r="I43" s="500"/>
      <c r="J43" s="529"/>
      <c r="K43" s="558"/>
      <c r="L43" s="431"/>
      <c r="M43" s="589"/>
      <c r="N43" s="432"/>
      <c r="O43" s="432"/>
      <c r="P43" s="564"/>
      <c r="Q43" s="564"/>
    </row>
    <row r="44" spans="1:17" ht="15.75" x14ac:dyDescent="0.2">
      <c r="A44" s="782">
        <f>H44</f>
        <v>0</v>
      </c>
      <c r="C44" s="555"/>
      <c r="D44" s="556" t="s">
        <v>30823</v>
      </c>
      <c r="E44" s="557"/>
      <c r="F44" s="557"/>
      <c r="G44" s="487" t="str">
        <f t="shared" si="3"/>
        <v>0126138</v>
      </c>
      <c r="H44" s="2605"/>
      <c r="I44" s="488"/>
      <c r="J44" s="2159"/>
      <c r="K44" s="558"/>
      <c r="L44" s="431"/>
      <c r="M44" s="3393">
        <f>IF((H44+H45+H46+H47)&gt;0,"ACHTUNG! Belastbarkeit der Dübel beachten! Diese kann je nach Art des Mauerwerks varieren (siehe Fischer Katalog; zB. Hauptkatalog 01/2013 Befestigungssysteme S.132)",0)</f>
        <v>0</v>
      </c>
      <c r="N44" s="3393"/>
      <c r="O44" s="3394"/>
      <c r="P44" s="564" t="s">
        <v>673</v>
      </c>
      <c r="Q44" s="564" t="s">
        <v>673</v>
      </c>
    </row>
    <row r="45" spans="1:17" ht="15.75" x14ac:dyDescent="0.2">
      <c r="A45" s="782">
        <f>H45</f>
        <v>0</v>
      </c>
      <c r="C45" s="555"/>
      <c r="D45" s="565" t="s">
        <v>559</v>
      </c>
      <c r="E45" s="566"/>
      <c r="F45" s="566"/>
      <c r="G45" s="487" t="str">
        <f t="shared" si="3"/>
        <v>0126050</v>
      </c>
      <c r="H45" s="2601"/>
      <c r="I45" s="488"/>
      <c r="J45" s="489" t="str">
        <f>IF($P$1=1,"verzinkt","V2A")</f>
        <v>verzinkt</v>
      </c>
      <c r="K45" s="558"/>
      <c r="L45" s="431"/>
      <c r="M45" s="3393"/>
      <c r="N45" s="3393"/>
      <c r="O45" s="3394"/>
      <c r="P45" s="564" t="s">
        <v>560</v>
      </c>
      <c r="Q45" s="564" t="s">
        <v>561</v>
      </c>
    </row>
    <row r="46" spans="1:17" ht="15.75" x14ac:dyDescent="0.2">
      <c r="A46" s="782">
        <f>H46</f>
        <v>0</v>
      </c>
      <c r="C46" s="555"/>
      <c r="D46" s="559" t="s">
        <v>555</v>
      </c>
      <c r="E46" s="562"/>
      <c r="F46" s="562"/>
      <c r="G46" s="487" t="str">
        <f t="shared" si="3"/>
        <v>0125106</v>
      </c>
      <c r="H46" s="2601"/>
      <c r="I46" s="488"/>
      <c r="J46" s="489" t="str">
        <f>IF($P$1=1,"verzinkt","V2A")</f>
        <v>verzinkt</v>
      </c>
      <c r="K46" s="558"/>
      <c r="L46" s="431"/>
      <c r="M46" s="3393"/>
      <c r="N46" s="3393"/>
      <c r="O46" s="3394"/>
      <c r="P46" s="564" t="s">
        <v>556</v>
      </c>
      <c r="Q46" s="564" t="s">
        <v>557</v>
      </c>
    </row>
    <row r="47" spans="1:17" ht="15.75" x14ac:dyDescent="0.2">
      <c r="A47" s="782">
        <f>H47</f>
        <v>0</v>
      </c>
      <c r="C47" s="555"/>
      <c r="D47" s="565" t="s">
        <v>562</v>
      </c>
      <c r="E47" s="562"/>
      <c r="F47" s="562"/>
      <c r="G47" s="487" t="str">
        <f t="shared" si="3"/>
        <v>0126134</v>
      </c>
      <c r="H47" s="2600"/>
      <c r="I47" s="488"/>
      <c r="J47" s="2594"/>
      <c r="K47" s="558"/>
      <c r="L47" s="431"/>
      <c r="M47" s="3393"/>
      <c r="N47" s="3393"/>
      <c r="O47" s="3394"/>
      <c r="P47" s="564" t="s">
        <v>563</v>
      </c>
      <c r="Q47" s="564" t="s">
        <v>563</v>
      </c>
    </row>
    <row r="48" spans="1:17" ht="15.75" x14ac:dyDescent="0.2">
      <c r="A48" s="455">
        <f>SUM(A49)</f>
        <v>0</v>
      </c>
      <c r="C48" s="567" t="s">
        <v>593</v>
      </c>
      <c r="D48" s="562"/>
      <c r="E48" s="562"/>
      <c r="F48" s="562"/>
      <c r="G48" s="563"/>
      <c r="H48" s="500"/>
      <c r="I48" s="500"/>
      <c r="J48" s="529"/>
      <c r="K48" s="558"/>
      <c r="L48" s="431"/>
      <c r="M48" s="589"/>
      <c r="N48" s="432"/>
      <c r="O48" s="432"/>
      <c r="P48" s="564"/>
      <c r="Q48" s="564"/>
    </row>
    <row r="49" spans="1:17" ht="15.75" x14ac:dyDescent="0.2">
      <c r="A49" s="782">
        <f>H49</f>
        <v>0</v>
      </c>
      <c r="C49" s="555"/>
      <c r="D49" s="559" t="s">
        <v>28285</v>
      </c>
      <c r="E49" s="562"/>
      <c r="F49" s="1234" t="s">
        <v>28286</v>
      </c>
      <c r="G49" s="487" t="str">
        <f t="shared" si="3"/>
        <v>0126007</v>
      </c>
      <c r="H49" s="2606"/>
      <c r="I49" s="577"/>
      <c r="J49" s="489" t="str">
        <f>IF($P$1=1,"verzinkt","verzinkt")</f>
        <v>verzinkt</v>
      </c>
      <c r="K49" s="590"/>
      <c r="L49" s="431"/>
      <c r="M49" s="589"/>
      <c r="N49" s="432"/>
      <c r="O49" s="482"/>
      <c r="P49" s="561" t="s">
        <v>576</v>
      </c>
      <c r="Q49" s="1235"/>
    </row>
    <row r="50" spans="1:17" ht="15.75" x14ac:dyDescent="0.2">
      <c r="A50" s="782">
        <f>H50</f>
        <v>0</v>
      </c>
      <c r="C50" s="555"/>
      <c r="D50" s="559" t="s">
        <v>30948</v>
      </c>
      <c r="E50" s="562"/>
      <c r="F50" s="1234" t="s">
        <v>28286</v>
      </c>
      <c r="G50" s="487" t="str">
        <f t="shared" si="3"/>
        <v>0126077</v>
      </c>
      <c r="H50" s="2606"/>
      <c r="I50" s="577"/>
      <c r="J50" s="489" t="str">
        <f>IF($P$1=1,"verzinkt","verzinkt")</f>
        <v>verzinkt</v>
      </c>
      <c r="K50" s="590"/>
      <c r="L50" s="431"/>
      <c r="M50" s="589"/>
      <c r="N50" s="432"/>
      <c r="O50" s="482"/>
      <c r="P50" s="561" t="s">
        <v>30947</v>
      </c>
      <c r="Q50" s="1235"/>
    </row>
    <row r="51" spans="1:17" ht="15.75" x14ac:dyDescent="0.2">
      <c r="A51" s="455">
        <f>SUM(A52:A56)</f>
        <v>0</v>
      </c>
      <c r="C51" s="567" t="s">
        <v>594</v>
      </c>
      <c r="D51" s="562"/>
      <c r="E51" s="562"/>
      <c r="F51" s="562"/>
      <c r="G51" s="512"/>
      <c r="H51" s="500"/>
      <c r="I51" s="500"/>
      <c r="J51" s="529"/>
      <c r="K51" s="558"/>
      <c r="L51" s="431"/>
      <c r="M51" s="589"/>
      <c r="N51" s="432"/>
      <c r="O51" s="482"/>
      <c r="P51" s="591"/>
      <c r="Q51" s="564"/>
    </row>
    <row r="52" spans="1:17" ht="15.75" x14ac:dyDescent="0.2">
      <c r="A52" s="782">
        <f>H52</f>
        <v>0</v>
      </c>
      <c r="C52" s="555"/>
      <c r="D52" s="2602"/>
      <c r="E52" s="2603"/>
      <c r="F52" s="2604"/>
      <c r="G52" s="2589"/>
      <c r="H52" s="2605"/>
      <c r="I52" s="488"/>
      <c r="J52" s="2159"/>
      <c r="K52" s="558"/>
      <c r="L52" s="431"/>
      <c r="M52" s="589"/>
      <c r="N52" s="432"/>
      <c r="O52" s="482"/>
      <c r="P52" s="564" t="s">
        <v>565</v>
      </c>
      <c r="Q52" s="564" t="s">
        <v>566</v>
      </c>
    </row>
    <row r="53" spans="1:17" ht="15.75" x14ac:dyDescent="0.2">
      <c r="A53" s="782">
        <f>H53</f>
        <v>0</v>
      </c>
      <c r="C53" s="555"/>
      <c r="D53" s="559" t="s">
        <v>567</v>
      </c>
      <c r="E53" s="562"/>
      <c r="F53" s="562"/>
      <c r="G53" s="487" t="str">
        <f t="shared" ref="G53:G67" si="4">IF($P$1=1,P53,Q53)</f>
        <v>0114011</v>
      </c>
      <c r="H53" s="2600"/>
      <c r="I53" s="488"/>
      <c r="J53" s="489" t="str">
        <f t="shared" ref="J53:J60" si="5">IF($P$1=1,"verzinkt","V2A")</f>
        <v>verzinkt</v>
      </c>
      <c r="K53" s="558"/>
      <c r="L53" s="431"/>
      <c r="M53" s="589"/>
      <c r="N53" s="432"/>
      <c r="O53" s="482"/>
      <c r="P53" s="564" t="s">
        <v>568</v>
      </c>
      <c r="Q53" s="564" t="s">
        <v>569</v>
      </c>
    </row>
    <row r="54" spans="1:17" ht="15.75" x14ac:dyDescent="0.2">
      <c r="A54" s="782">
        <f>H54</f>
        <v>0</v>
      </c>
      <c r="C54" s="555"/>
      <c r="D54" s="559" t="s">
        <v>555</v>
      </c>
      <c r="E54" s="562"/>
      <c r="F54" s="562"/>
      <c r="G54" s="487" t="str">
        <f t="shared" si="4"/>
        <v>0125106</v>
      </c>
      <c r="H54" s="2605"/>
      <c r="I54" s="488"/>
      <c r="J54" s="489" t="str">
        <f t="shared" si="5"/>
        <v>verzinkt</v>
      </c>
      <c r="K54" s="558"/>
      <c r="L54" s="431"/>
      <c r="M54" s="589"/>
      <c r="N54" s="432"/>
      <c r="O54" s="482"/>
      <c r="P54" s="564" t="s">
        <v>556</v>
      </c>
      <c r="Q54" s="564" t="s">
        <v>557</v>
      </c>
    </row>
    <row r="55" spans="1:17" ht="15.75" x14ac:dyDescent="0.2">
      <c r="A55" s="782">
        <f>H55</f>
        <v>0</v>
      </c>
      <c r="C55" s="555"/>
      <c r="D55" s="559" t="s">
        <v>570</v>
      </c>
      <c r="E55" s="562"/>
      <c r="F55" s="562"/>
      <c r="G55" s="487" t="str">
        <f t="shared" si="4"/>
        <v>0129001</v>
      </c>
      <c r="H55" s="2605"/>
      <c r="I55" s="488"/>
      <c r="J55" s="489" t="str">
        <f t="shared" si="5"/>
        <v>verzinkt</v>
      </c>
      <c r="K55" s="558"/>
      <c r="L55" s="431"/>
      <c r="M55" s="431"/>
      <c r="N55" s="432"/>
      <c r="O55" s="432"/>
      <c r="P55" s="564" t="s">
        <v>571</v>
      </c>
      <c r="Q55" s="564" t="s">
        <v>572</v>
      </c>
    </row>
    <row r="56" spans="1:17" ht="15.75" x14ac:dyDescent="0.2">
      <c r="A56" s="782">
        <f>H56</f>
        <v>0</v>
      </c>
      <c r="C56" s="555"/>
      <c r="D56" s="576" t="s">
        <v>573</v>
      </c>
      <c r="E56" s="566"/>
      <c r="F56" s="592"/>
      <c r="G56" s="487" t="str">
        <f t="shared" si="4"/>
        <v>0150065</v>
      </c>
      <c r="H56" s="2607"/>
      <c r="I56" s="577"/>
      <c r="J56" s="489" t="str">
        <f t="shared" si="5"/>
        <v>verzinkt</v>
      </c>
      <c r="K56" s="575"/>
      <c r="L56" s="431"/>
      <c r="M56" s="589"/>
      <c r="N56" s="432"/>
      <c r="O56" s="482"/>
      <c r="P56" s="564" t="s">
        <v>574</v>
      </c>
      <c r="Q56" s="564" t="s">
        <v>575</v>
      </c>
    </row>
    <row r="57" spans="1:17" ht="15.75" x14ac:dyDescent="0.2">
      <c r="A57" s="455">
        <f>SUM(A58:A60)</f>
        <v>0</v>
      </c>
      <c r="C57" s="593" t="s">
        <v>554</v>
      </c>
      <c r="D57" s="594"/>
      <c r="E57" s="594"/>
      <c r="F57" s="594"/>
      <c r="G57" s="563"/>
      <c r="H57" s="500"/>
      <c r="I57" s="500"/>
      <c r="J57" s="529"/>
      <c r="K57" s="595"/>
      <c r="L57" s="431"/>
      <c r="M57" s="589"/>
      <c r="N57" s="432"/>
      <c r="O57" s="482"/>
      <c r="P57" s="591"/>
      <c r="Q57" s="564"/>
    </row>
    <row r="58" spans="1:17" ht="15.75" x14ac:dyDescent="0.2">
      <c r="A58" s="782">
        <f>H58</f>
        <v>0</v>
      </c>
      <c r="C58" s="574"/>
      <c r="D58" s="556" t="s">
        <v>595</v>
      </c>
      <c r="E58" s="557"/>
      <c r="F58" s="557"/>
      <c r="G58" s="487" t="str">
        <f t="shared" si="4"/>
        <v>0126048</v>
      </c>
      <c r="H58" s="2600"/>
      <c r="I58" s="488"/>
      <c r="J58" s="489" t="str">
        <f t="shared" si="5"/>
        <v>verzinkt</v>
      </c>
      <c r="K58" s="558"/>
      <c r="L58" s="431"/>
      <c r="M58" s="589"/>
      <c r="N58" s="432"/>
      <c r="O58" s="482"/>
      <c r="P58" s="564" t="s">
        <v>596</v>
      </c>
      <c r="Q58" s="564" t="s">
        <v>1734</v>
      </c>
    </row>
    <row r="59" spans="1:17" ht="15.75" x14ac:dyDescent="0.2">
      <c r="A59" s="782">
        <f>H59</f>
        <v>0</v>
      </c>
      <c r="C59" s="574"/>
      <c r="D59" s="559" t="s">
        <v>567</v>
      </c>
      <c r="E59" s="557"/>
      <c r="F59" s="557"/>
      <c r="G59" s="487" t="str">
        <f t="shared" si="4"/>
        <v>0114011</v>
      </c>
      <c r="H59" s="2605"/>
      <c r="I59" s="488"/>
      <c r="J59" s="489" t="str">
        <f t="shared" si="5"/>
        <v>verzinkt</v>
      </c>
      <c r="K59" s="558"/>
      <c r="L59" s="431"/>
      <c r="M59" s="589"/>
      <c r="N59" s="432"/>
      <c r="O59" s="482"/>
      <c r="P59" s="564" t="s">
        <v>568</v>
      </c>
      <c r="Q59" s="564" t="s">
        <v>569</v>
      </c>
    </row>
    <row r="60" spans="1:17" ht="15.75" x14ac:dyDescent="0.2">
      <c r="A60" s="782">
        <f>H60</f>
        <v>0</v>
      </c>
      <c r="C60" s="596"/>
      <c r="D60" s="559" t="s">
        <v>555</v>
      </c>
      <c r="E60" s="560"/>
      <c r="F60" s="560"/>
      <c r="G60" s="487" t="str">
        <f t="shared" si="4"/>
        <v>0125106</v>
      </c>
      <c r="H60" s="2601"/>
      <c r="I60" s="488"/>
      <c r="J60" s="489" t="str">
        <f t="shared" si="5"/>
        <v>verzinkt</v>
      </c>
      <c r="K60" s="558"/>
      <c r="L60" s="431"/>
      <c r="M60" s="431"/>
      <c r="N60" s="432"/>
      <c r="O60" s="432"/>
      <c r="P60" s="564" t="s">
        <v>556</v>
      </c>
      <c r="Q60" s="564" t="s">
        <v>557</v>
      </c>
    </row>
    <row r="61" spans="1:17" s="453" customFormat="1" ht="15.95" customHeight="1" x14ac:dyDescent="0.2">
      <c r="A61" s="455">
        <f>SUM(A62:A67)</f>
        <v>0</v>
      </c>
      <c r="C61" s="550" t="s">
        <v>31433</v>
      </c>
      <c r="D61" s="551"/>
      <c r="E61" s="551"/>
      <c r="F61" s="551"/>
      <c r="G61" s="563"/>
      <c r="H61" s="500"/>
      <c r="I61" s="500"/>
      <c r="J61" s="529"/>
      <c r="K61" s="573"/>
      <c r="M61" s="589"/>
      <c r="N61" s="432"/>
      <c r="O61" s="597"/>
      <c r="P61" s="591"/>
      <c r="Q61" s="564"/>
    </row>
    <row r="62" spans="1:17" s="453" customFormat="1" ht="15.95" customHeight="1" x14ac:dyDescent="0.2">
      <c r="A62" s="782">
        <f t="shared" ref="A62:A67" si="6">H62</f>
        <v>0</v>
      </c>
      <c r="C62" s="598"/>
      <c r="D62" s="556" t="s">
        <v>30823</v>
      </c>
      <c r="E62" s="551"/>
      <c r="F62" s="551"/>
      <c r="G62" s="487" t="str">
        <f t="shared" si="4"/>
        <v>0126138</v>
      </c>
      <c r="H62" s="2608"/>
      <c r="I62" s="489"/>
      <c r="J62" s="2159"/>
      <c r="K62" s="599"/>
      <c r="M62" s="3393">
        <f>IF((H62+H63+H64+H65+H66+H67)&gt;0,"ACHTUNG! Belastbarkeit der Dübel beachten! Diese kann je nach Art des Mauerwerks varieren (siehe Fischer Katalog; zB. Hauptkatalog 01/2013 Befestigungssysteme S.132)",0)</f>
        <v>0</v>
      </c>
      <c r="N62" s="3393"/>
      <c r="O62" s="3394"/>
      <c r="P62" s="564" t="s">
        <v>673</v>
      </c>
      <c r="Q62" s="564" t="s">
        <v>673</v>
      </c>
    </row>
    <row r="63" spans="1:17" s="453" customFormat="1" ht="15.95" customHeight="1" x14ac:dyDescent="0.2">
      <c r="A63" s="782">
        <f t="shared" si="6"/>
        <v>0</v>
      </c>
      <c r="C63" s="598"/>
      <c r="D63" s="565" t="s">
        <v>597</v>
      </c>
      <c r="E63" s="551"/>
      <c r="F63" s="551"/>
      <c r="G63" s="487" t="str">
        <f t="shared" si="4"/>
        <v>0126067</v>
      </c>
      <c r="H63" s="2608"/>
      <c r="I63" s="489"/>
      <c r="J63" s="489" t="str">
        <f>IF($P$1=1,"verzinkt","V2A")</f>
        <v>verzinkt</v>
      </c>
      <c r="K63" s="599"/>
      <c r="M63" s="3393"/>
      <c r="N63" s="3393"/>
      <c r="O63" s="3394"/>
      <c r="P63" s="561" t="s">
        <v>598</v>
      </c>
      <c r="Q63" s="561"/>
    </row>
    <row r="64" spans="1:17" s="453" customFormat="1" ht="15.95" customHeight="1" x14ac:dyDescent="0.2">
      <c r="A64" s="782">
        <f t="shared" si="6"/>
        <v>0</v>
      </c>
      <c r="C64" s="598"/>
      <c r="D64" s="2610"/>
      <c r="E64" s="2603"/>
      <c r="F64" s="2604"/>
      <c r="G64" s="2589"/>
      <c r="H64" s="2608"/>
      <c r="I64" s="489"/>
      <c r="J64" s="2159"/>
      <c r="K64" s="599"/>
      <c r="M64" s="3393"/>
      <c r="N64" s="3393"/>
      <c r="O64" s="3394"/>
      <c r="P64" s="600"/>
      <c r="Q64" s="600"/>
    </row>
    <row r="65" spans="1:17" s="453" customFormat="1" ht="15.95" customHeight="1" x14ac:dyDescent="0.2">
      <c r="A65" s="782">
        <f t="shared" si="6"/>
        <v>0</v>
      </c>
      <c r="C65" s="598"/>
      <c r="D65" s="559" t="s">
        <v>599</v>
      </c>
      <c r="E65" s="551"/>
      <c r="F65" s="551"/>
      <c r="G65" s="487" t="str">
        <f t="shared" si="4"/>
        <v>0114011</v>
      </c>
      <c r="H65" s="2608"/>
      <c r="I65" s="489"/>
      <c r="J65" s="489" t="str">
        <f>IF($P$1=1,"verzinkt","V2A")</f>
        <v>verzinkt</v>
      </c>
      <c r="K65" s="599"/>
      <c r="M65" s="3393"/>
      <c r="N65" s="3393"/>
      <c r="O65" s="3394"/>
      <c r="P65" s="561" t="s">
        <v>568</v>
      </c>
      <c r="Q65" s="561" t="s">
        <v>569</v>
      </c>
    </row>
    <row r="66" spans="1:17" s="453" customFormat="1" ht="15.95" customHeight="1" x14ac:dyDescent="0.2">
      <c r="A66" s="782">
        <f t="shared" si="6"/>
        <v>0</v>
      </c>
      <c r="C66" s="574"/>
      <c r="D66" s="565" t="s">
        <v>562</v>
      </c>
      <c r="E66" s="557"/>
      <c r="F66" s="557"/>
      <c r="G66" s="487" t="str">
        <f t="shared" si="4"/>
        <v>0126134</v>
      </c>
      <c r="H66" s="2608"/>
      <c r="I66" s="488"/>
      <c r="J66" s="2159"/>
      <c r="K66" s="570"/>
      <c r="M66" s="589"/>
      <c r="N66" s="432"/>
      <c r="O66" s="597"/>
      <c r="P66" s="564" t="s">
        <v>563</v>
      </c>
      <c r="Q66" s="564" t="s">
        <v>563</v>
      </c>
    </row>
    <row r="67" spans="1:17" s="453" customFormat="1" ht="15.95" customHeight="1" thickBot="1" x14ac:dyDescent="0.25">
      <c r="A67" s="782">
        <f t="shared" si="6"/>
        <v>0</v>
      </c>
      <c r="C67" s="555"/>
      <c r="D67" s="576" t="s">
        <v>555</v>
      </c>
      <c r="E67" s="450"/>
      <c r="F67" s="450"/>
      <c r="G67" s="487" t="str">
        <f t="shared" si="4"/>
        <v>0125106</v>
      </c>
      <c r="H67" s="2609"/>
      <c r="I67" s="577"/>
      <c r="J67" s="489" t="str">
        <f>IF($P$1=1,"verzinkt","V2A")</f>
        <v>verzinkt</v>
      </c>
      <c r="K67" s="575"/>
      <c r="N67" s="432"/>
      <c r="O67" s="432"/>
      <c r="P67" s="561" t="s">
        <v>556</v>
      </c>
      <c r="Q67" s="561" t="s">
        <v>557</v>
      </c>
    </row>
    <row r="68" spans="1:17" ht="6.75" customHeight="1" x14ac:dyDescent="0.2">
      <c r="A68" s="782">
        <v>1</v>
      </c>
      <c r="C68" s="601"/>
      <c r="D68" s="578"/>
      <c r="E68" s="578"/>
      <c r="F68" s="578"/>
      <c r="G68" s="602"/>
      <c r="H68" s="581"/>
      <c r="I68" s="582"/>
      <c r="J68" s="583"/>
      <c r="K68" s="603"/>
      <c r="L68" s="431"/>
      <c r="M68" s="431"/>
      <c r="N68" s="432"/>
      <c r="O68" s="432"/>
      <c r="P68" s="561"/>
      <c r="Q68" s="561"/>
    </row>
    <row r="69" spans="1:17" ht="7.5" customHeight="1" thickBot="1" x14ac:dyDescent="0.25">
      <c r="A69" s="782">
        <v>1</v>
      </c>
      <c r="C69" s="3397"/>
      <c r="D69" s="3398"/>
      <c r="E69" s="3398"/>
      <c r="F69" s="3398"/>
      <c r="G69" s="3398"/>
      <c r="H69" s="3398"/>
      <c r="I69" s="3398"/>
      <c r="J69" s="3398"/>
      <c r="K69" s="3399"/>
      <c r="L69" s="431"/>
      <c r="M69" s="431"/>
      <c r="N69" s="432"/>
      <c r="O69" s="432"/>
      <c r="P69" s="439"/>
      <c r="Q69" s="439"/>
    </row>
    <row r="70" spans="1:17" ht="16.5" customHeight="1" thickBot="1" x14ac:dyDescent="0.25">
      <c r="A70" s="455">
        <f>SUM(A71:A80)</f>
        <v>2</v>
      </c>
      <c r="C70" s="3400" t="s">
        <v>29095</v>
      </c>
      <c r="D70" s="3401"/>
      <c r="E70" s="3401"/>
      <c r="F70" s="3401"/>
      <c r="G70" s="547"/>
      <c r="H70" s="547"/>
      <c r="I70" s="547"/>
      <c r="J70" s="547"/>
      <c r="K70" s="604"/>
      <c r="L70" s="431"/>
      <c r="M70" s="589"/>
      <c r="N70" s="432"/>
      <c r="O70" s="482"/>
      <c r="P70" s="491"/>
      <c r="Q70" s="439"/>
    </row>
    <row r="71" spans="1:17" ht="15.75" x14ac:dyDescent="0.2">
      <c r="A71" s="782">
        <f t="shared" ref="A71:A80" si="7">H71</f>
        <v>0</v>
      </c>
      <c r="C71" s="555"/>
      <c r="D71" s="568" t="s">
        <v>30456</v>
      </c>
      <c r="E71" s="594"/>
      <c r="F71" s="594"/>
      <c r="G71" s="516" t="str">
        <f>IF(J71=$P$11,P71,Q71)</f>
        <v>0906002</v>
      </c>
      <c r="H71" s="1318">
        <f>Dateneingabe!E84</f>
        <v>0</v>
      </c>
      <c r="I71" s="517"/>
      <c r="J71" s="489" t="str">
        <f>IF(Dateneingabe!G84=Dateneingabe!$H$127,'Lager_&amp;_Montagematerial'!$P$11,'Lager_&amp;_Montagematerial'!$Q$11)</f>
        <v>verzinkt</v>
      </c>
      <c r="K71" s="605"/>
      <c r="L71" s="431"/>
      <c r="M71" s="589"/>
      <c r="N71" s="432"/>
      <c r="O71" s="482"/>
      <c r="P71" s="468" t="s">
        <v>602</v>
      </c>
      <c r="Q71" s="468" t="s">
        <v>21299</v>
      </c>
    </row>
    <row r="72" spans="1:17" ht="15.75" x14ac:dyDescent="0.2">
      <c r="A72" s="782">
        <f t="shared" si="7"/>
        <v>0</v>
      </c>
      <c r="C72" s="555"/>
      <c r="D72" s="568" t="s">
        <v>30457</v>
      </c>
      <c r="E72" s="594"/>
      <c r="F72" s="594"/>
      <c r="G72" s="516" t="str">
        <f>IF(J72=$P$11,P72,Q72)</f>
        <v>0906003</v>
      </c>
      <c r="H72" s="1318">
        <f>Dateneingabe!E85</f>
        <v>0</v>
      </c>
      <c r="I72" s="488"/>
      <c r="J72" s="489" t="str">
        <f>IF(Dateneingabe!G85=Dateneingabe!$H$127,'Lager_&amp;_Montagematerial'!$P$11,'Lager_&amp;_Montagematerial'!$Q$11)</f>
        <v>verzinkt</v>
      </c>
      <c r="K72" s="558"/>
      <c r="L72" s="431"/>
      <c r="M72" s="589"/>
      <c r="N72" s="432"/>
      <c r="O72" s="482"/>
      <c r="P72" s="468" t="s">
        <v>603</v>
      </c>
      <c r="Q72" s="468" t="s">
        <v>21300</v>
      </c>
    </row>
    <row r="73" spans="1:17" ht="15.75" x14ac:dyDescent="0.2">
      <c r="A73" s="782">
        <f t="shared" si="7"/>
        <v>0</v>
      </c>
      <c r="C73" s="555"/>
      <c r="D73" s="568" t="s">
        <v>30458</v>
      </c>
      <c r="E73" s="594"/>
      <c r="F73" s="594"/>
      <c r="G73" s="516" t="str">
        <f>IF(J73=$P$11,P73,Q73)</f>
        <v>0906004</v>
      </c>
      <c r="H73" s="1318">
        <f>Dateneingabe!E86</f>
        <v>0</v>
      </c>
      <c r="I73" s="488"/>
      <c r="J73" s="489" t="str">
        <f>IF(Dateneingabe!G86=Dateneingabe!$H$127,'Lager_&amp;_Montagematerial'!$P$11,'Lager_&amp;_Montagematerial'!$Q$11)</f>
        <v>verzinkt</v>
      </c>
      <c r="K73" s="558"/>
      <c r="L73" s="431"/>
      <c r="M73" s="589"/>
      <c r="N73" s="432"/>
      <c r="O73" s="482"/>
      <c r="P73" s="468" t="s">
        <v>604</v>
      </c>
      <c r="Q73" s="468" t="s">
        <v>21301</v>
      </c>
    </row>
    <row r="74" spans="1:17" ht="15.75" x14ac:dyDescent="0.2">
      <c r="A74" s="782">
        <f t="shared" si="7"/>
        <v>1</v>
      </c>
      <c r="C74" s="555"/>
      <c r="D74" s="568" t="s">
        <v>30459</v>
      </c>
      <c r="E74" s="594"/>
      <c r="F74" s="594"/>
      <c r="G74" s="516" t="str">
        <f>IF(J74=$P$11,P74,Q74)</f>
        <v>0906005</v>
      </c>
      <c r="H74" s="1318">
        <f>Dateneingabe!E87</f>
        <v>1</v>
      </c>
      <c r="I74" s="488"/>
      <c r="J74" s="489" t="str">
        <f>IF(Dateneingabe!G87=Dateneingabe!$H$127,'Lager_&amp;_Montagematerial'!$P$11,'Lager_&amp;_Montagematerial'!$Q$11)</f>
        <v>verzinkt</v>
      </c>
      <c r="K74" s="558"/>
      <c r="L74" s="431"/>
      <c r="M74" s="589"/>
      <c r="N74" s="432"/>
      <c r="O74" s="482"/>
      <c r="P74" s="468" t="s">
        <v>605</v>
      </c>
      <c r="Q74" s="468" t="s">
        <v>21303</v>
      </c>
    </row>
    <row r="75" spans="1:17" ht="15.75" x14ac:dyDescent="0.2">
      <c r="A75" s="782">
        <f t="shared" si="7"/>
        <v>0</v>
      </c>
      <c r="C75" s="555"/>
      <c r="D75" s="568" t="s">
        <v>30460</v>
      </c>
      <c r="E75" s="562"/>
      <c r="F75" s="594"/>
      <c r="G75" s="516" t="str">
        <f>IF(J75=$P$11,P75,Q75)</f>
        <v>0906001</v>
      </c>
      <c r="H75" s="1318">
        <f>Dateneingabe!E88</f>
        <v>0</v>
      </c>
      <c r="I75" s="488"/>
      <c r="J75" s="489" t="str">
        <f>IF(Dateneingabe!G88=Dateneingabe!$H$127,'Lager_&amp;_Montagematerial'!$P$11,'Lager_&amp;_Montagematerial'!$Q$11)</f>
        <v>verzinkt</v>
      </c>
      <c r="K75" s="558"/>
      <c r="L75" s="431"/>
      <c r="M75" s="589"/>
      <c r="N75" s="432"/>
      <c r="O75" s="432"/>
      <c r="P75" s="468" t="s">
        <v>606</v>
      </c>
      <c r="Q75" s="468" t="s">
        <v>21297</v>
      </c>
    </row>
    <row r="76" spans="1:17" ht="15.75" x14ac:dyDescent="0.2">
      <c r="A76" s="782">
        <f t="shared" si="7"/>
        <v>0</v>
      </c>
      <c r="C76" s="555"/>
      <c r="D76" s="1599" t="s">
        <v>688</v>
      </c>
      <c r="E76" s="1598"/>
      <c r="F76" s="1598"/>
      <c r="G76" s="1313" t="str">
        <f>Liste!C306</f>
        <v>0812002</v>
      </c>
      <c r="H76" s="1280">
        <f>Liste!D306</f>
        <v>0</v>
      </c>
      <c r="I76" s="577"/>
      <c r="J76" s="683" t="s">
        <v>27777</v>
      </c>
      <c r="K76" s="575"/>
      <c r="L76" s="431"/>
      <c r="M76" s="589"/>
      <c r="N76" s="432"/>
      <c r="O76" s="432"/>
      <c r="P76" s="468"/>
      <c r="Q76" s="468"/>
    </row>
    <row r="77" spans="1:17" ht="15.75" x14ac:dyDescent="0.2">
      <c r="A77" s="782">
        <f t="shared" si="7"/>
        <v>0</v>
      </c>
      <c r="C77" s="555"/>
      <c r="D77" s="1599" t="s">
        <v>29317</v>
      </c>
      <c r="E77" s="1598"/>
      <c r="F77" s="1598"/>
      <c r="G77" s="1313" t="s">
        <v>4920</v>
      </c>
      <c r="H77" s="2601"/>
      <c r="I77" s="577"/>
      <c r="J77" s="683" t="s">
        <v>27777</v>
      </c>
      <c r="K77" s="575"/>
      <c r="L77" s="431"/>
      <c r="M77" s="589"/>
      <c r="N77" s="432"/>
      <c r="O77" s="432"/>
      <c r="P77" s="468"/>
      <c r="Q77" s="468"/>
    </row>
    <row r="78" spans="1:17" ht="15.75" x14ac:dyDescent="0.2">
      <c r="A78" s="782">
        <f t="shared" si="7"/>
        <v>0</v>
      </c>
      <c r="C78" s="555"/>
      <c r="D78" s="1599" t="s">
        <v>29318</v>
      </c>
      <c r="E78" s="1598"/>
      <c r="F78" s="1598"/>
      <c r="G78" s="1313" t="s">
        <v>4925</v>
      </c>
      <c r="H78" s="2601"/>
      <c r="I78" s="577"/>
      <c r="J78" s="683" t="s">
        <v>27777</v>
      </c>
      <c r="K78" s="575"/>
      <c r="L78" s="431"/>
      <c r="M78" s="589"/>
      <c r="N78" s="432"/>
      <c r="O78" s="432"/>
      <c r="P78" s="468"/>
      <c r="Q78" s="468"/>
    </row>
    <row r="79" spans="1:17" ht="15.75" x14ac:dyDescent="0.2">
      <c r="A79" s="782">
        <f t="shared" si="7"/>
        <v>0</v>
      </c>
      <c r="C79" s="555"/>
      <c r="D79" s="1599" t="s">
        <v>4928</v>
      </c>
      <c r="E79" s="1598"/>
      <c r="F79" s="1598"/>
      <c r="G79" s="1313" t="s">
        <v>4927</v>
      </c>
      <c r="H79" s="2601"/>
      <c r="I79" s="577"/>
      <c r="J79" s="683" t="s">
        <v>27777</v>
      </c>
      <c r="K79" s="575"/>
      <c r="L79" s="431"/>
      <c r="M79" s="589"/>
      <c r="N79" s="432"/>
      <c r="O79" s="432"/>
      <c r="P79" s="468"/>
      <c r="Q79" s="468"/>
    </row>
    <row r="80" spans="1:17" ht="16.5" thickBot="1" x14ac:dyDescent="0.25">
      <c r="A80" s="782">
        <f t="shared" si="7"/>
        <v>1</v>
      </c>
      <c r="C80" s="555"/>
      <c r="D80" s="2612" t="s">
        <v>31514</v>
      </c>
      <c r="E80" s="2613"/>
      <c r="F80" s="2613"/>
      <c r="G80" s="2614" t="s">
        <v>31515</v>
      </c>
      <c r="H80" s="2611">
        <f>SUM(H71:H75)*1</f>
        <v>1</v>
      </c>
      <c r="I80" s="577"/>
      <c r="J80" s="2594"/>
      <c r="K80" s="575"/>
      <c r="L80" s="431"/>
      <c r="M80" s="589"/>
      <c r="N80" s="432"/>
      <c r="O80" s="432"/>
      <c r="P80" s="468"/>
      <c r="Q80" s="468"/>
    </row>
    <row r="81" spans="1:17" ht="3.75" customHeight="1" x14ac:dyDescent="0.2">
      <c r="A81" s="782">
        <v>1</v>
      </c>
      <c r="C81" s="606"/>
      <c r="D81" s="606"/>
      <c r="E81" s="607"/>
      <c r="F81" s="607"/>
      <c r="G81" s="580"/>
      <c r="H81" s="583"/>
      <c r="I81" s="582"/>
      <c r="J81" s="583"/>
      <c r="K81" s="608"/>
      <c r="L81" s="431"/>
      <c r="M81" s="589"/>
      <c r="N81" s="432"/>
      <c r="O81" s="432"/>
      <c r="P81" s="439"/>
      <c r="Q81" s="439"/>
    </row>
    <row r="82" spans="1:17" ht="3.75" customHeight="1" thickBot="1" x14ac:dyDescent="0.25">
      <c r="A82" s="782">
        <v>1</v>
      </c>
      <c r="C82" s="609"/>
      <c r="D82" s="609"/>
      <c r="E82" s="610"/>
      <c r="F82" s="610"/>
      <c r="G82" s="587"/>
      <c r="H82" s="514"/>
      <c r="I82" s="513"/>
      <c r="J82" s="514"/>
      <c r="K82" s="611"/>
      <c r="L82" s="431"/>
      <c r="M82" s="589"/>
      <c r="N82" s="432"/>
      <c r="O82" s="432"/>
      <c r="P82" s="439"/>
      <c r="Q82" s="439"/>
    </row>
    <row r="83" spans="1:17" ht="18" customHeight="1" x14ac:dyDescent="0.2">
      <c r="A83" s="455">
        <f>SUM(A85:A179)</f>
        <v>434</v>
      </c>
      <c r="C83" s="612" t="s">
        <v>550</v>
      </c>
      <c r="D83" s="613"/>
      <c r="E83" s="613"/>
      <c r="F83" s="613"/>
      <c r="G83" s="3406" t="s">
        <v>452</v>
      </c>
      <c r="H83" s="3408" t="s">
        <v>68</v>
      </c>
      <c r="I83" s="3408"/>
      <c r="J83" s="3402" t="s">
        <v>547</v>
      </c>
      <c r="K83" s="3395" t="s">
        <v>548</v>
      </c>
      <c r="L83" s="431"/>
      <c r="M83" s="589"/>
      <c r="N83" s="432"/>
      <c r="O83" s="432"/>
      <c r="P83" s="439"/>
      <c r="Q83" s="439"/>
    </row>
    <row r="84" spans="1:17" ht="15.75" thickBot="1" x14ac:dyDescent="0.25">
      <c r="A84" s="455">
        <f>SUM(A85:A179)</f>
        <v>434</v>
      </c>
      <c r="C84" s="614" t="s">
        <v>608</v>
      </c>
      <c r="D84" s="615"/>
      <c r="E84" s="616" t="s">
        <v>451</v>
      </c>
      <c r="F84" s="617"/>
      <c r="G84" s="3407"/>
      <c r="H84" s="3409"/>
      <c r="I84" s="3409"/>
      <c r="J84" s="3403"/>
      <c r="K84" s="3396"/>
      <c r="L84" s="431"/>
      <c r="M84" s="589"/>
      <c r="N84" s="432"/>
      <c r="O84" s="466"/>
      <c r="P84" s="439"/>
      <c r="Q84" s="439"/>
    </row>
    <row r="85" spans="1:17" ht="15.75" x14ac:dyDescent="0.2">
      <c r="A85" s="782">
        <f t="shared" ref="A85:A110" si="8">H85</f>
        <v>0</v>
      </c>
      <c r="C85" s="618"/>
      <c r="D85" s="619"/>
      <c r="E85" s="620"/>
      <c r="F85" s="621"/>
      <c r="G85" s="622"/>
      <c r="H85" s="2617"/>
      <c r="I85" s="488"/>
      <c r="J85" s="2615"/>
      <c r="K85" s="623"/>
      <c r="L85" s="431"/>
      <c r="M85" s="589"/>
      <c r="N85" s="432"/>
      <c r="O85" s="466"/>
      <c r="P85" s="468" t="s">
        <v>609</v>
      </c>
      <c r="Q85" s="468" t="s">
        <v>610</v>
      </c>
    </row>
    <row r="86" spans="1:17" ht="15.75" x14ac:dyDescent="0.2">
      <c r="A86" s="782">
        <f t="shared" si="8"/>
        <v>0</v>
      </c>
      <c r="C86" s="624"/>
      <c r="D86" s="625"/>
      <c r="E86" s="626" t="s">
        <v>29433</v>
      </c>
      <c r="F86" s="551"/>
      <c r="G86" s="487">
        <v>4000152</v>
      </c>
      <c r="H86" s="1286">
        <f>IF(Dateneingabe!G152=1,1,0)</f>
        <v>0</v>
      </c>
      <c r="I86" s="488"/>
      <c r="J86" s="2616"/>
      <c r="K86" s="627"/>
      <c r="L86" s="431"/>
      <c r="M86" s="589"/>
      <c r="N86" s="432"/>
      <c r="O86" s="466"/>
      <c r="P86" s="439"/>
      <c r="Q86" s="439"/>
    </row>
    <row r="87" spans="1:17" ht="15.75" x14ac:dyDescent="0.2">
      <c r="A87" s="782">
        <f t="shared" si="8"/>
        <v>0</v>
      </c>
      <c r="C87" s="624"/>
      <c r="D87" s="625"/>
      <c r="E87" s="626" t="s">
        <v>29434</v>
      </c>
      <c r="F87" s="551"/>
      <c r="G87" s="487">
        <v>4000153</v>
      </c>
      <c r="H87" s="1286">
        <f>IF(Dateneingabe!G154=1,1,0)</f>
        <v>0</v>
      </c>
      <c r="I87" s="488"/>
      <c r="J87" s="2616"/>
      <c r="K87" s="627"/>
      <c r="L87" s="431"/>
      <c r="M87" s="589"/>
      <c r="N87" s="432"/>
      <c r="O87" s="466"/>
      <c r="P87" s="439"/>
      <c r="Q87" s="439"/>
    </row>
    <row r="88" spans="1:17" ht="15.75" x14ac:dyDescent="0.2">
      <c r="A88" s="782">
        <f t="shared" si="8"/>
        <v>0</v>
      </c>
      <c r="C88" s="624"/>
      <c r="D88" s="625"/>
      <c r="E88" s="626" t="s">
        <v>29435</v>
      </c>
      <c r="F88" s="551"/>
      <c r="G88" s="487">
        <v>4000095</v>
      </c>
      <c r="H88" s="1286">
        <f>IF(Dateneingabe!G153=1,1,0)</f>
        <v>0</v>
      </c>
      <c r="I88" s="488"/>
      <c r="J88" s="2616"/>
      <c r="K88" s="627"/>
      <c r="L88" s="431"/>
      <c r="M88" s="589"/>
      <c r="N88" s="432"/>
      <c r="O88" s="466"/>
      <c r="P88" s="439"/>
      <c r="Q88" s="439"/>
    </row>
    <row r="89" spans="1:17" ht="15.75" x14ac:dyDescent="0.2">
      <c r="A89" s="782">
        <f t="shared" si="8"/>
        <v>2</v>
      </c>
      <c r="C89" s="624" t="s">
        <v>30940</v>
      </c>
      <c r="D89" s="625"/>
      <c r="E89" s="628" t="s">
        <v>30941</v>
      </c>
      <c r="F89" s="551"/>
      <c r="G89" s="487">
        <v>4002003</v>
      </c>
      <c r="H89" s="2618">
        <v>2</v>
      </c>
      <c r="I89" s="488"/>
      <c r="J89" s="2616"/>
      <c r="K89" s="627"/>
      <c r="L89" s="431"/>
      <c r="M89" s="589"/>
      <c r="N89" s="432"/>
      <c r="O89" s="466"/>
      <c r="P89" s="439"/>
      <c r="Q89" s="439"/>
    </row>
    <row r="90" spans="1:17" ht="15.75" x14ac:dyDescent="0.2">
      <c r="A90" s="782">
        <f t="shared" si="8"/>
        <v>2</v>
      </c>
      <c r="C90" s="624" t="s">
        <v>30940</v>
      </c>
      <c r="D90" s="625"/>
      <c r="E90" s="628" t="s">
        <v>30942</v>
      </c>
      <c r="F90" s="551"/>
      <c r="G90" s="487" t="s">
        <v>612</v>
      </c>
      <c r="H90" s="2618">
        <v>2</v>
      </c>
      <c r="I90" s="488"/>
      <c r="J90" s="2616"/>
      <c r="K90" s="627"/>
      <c r="L90" s="431"/>
      <c r="M90" s="589"/>
      <c r="N90" s="432"/>
      <c r="O90" s="466"/>
      <c r="P90" s="439"/>
      <c r="Q90" s="439"/>
    </row>
    <row r="91" spans="1:17" ht="15.75" x14ac:dyDescent="0.2">
      <c r="A91" s="782">
        <f t="shared" si="8"/>
        <v>2</v>
      </c>
      <c r="C91" s="629"/>
      <c r="D91" s="625"/>
      <c r="E91" s="630" t="s">
        <v>613</v>
      </c>
      <c r="F91" s="551"/>
      <c r="G91" s="502" t="s">
        <v>551</v>
      </c>
      <c r="H91" s="2619">
        <v>2</v>
      </c>
      <c r="I91" s="488"/>
      <c r="J91" s="2616"/>
      <c r="K91" s="627"/>
      <c r="L91" s="431"/>
      <c r="M91" s="589"/>
      <c r="N91" s="432"/>
      <c r="O91" s="466"/>
      <c r="P91" s="439"/>
      <c r="Q91" s="439"/>
    </row>
    <row r="92" spans="1:17" ht="15.75" x14ac:dyDescent="0.2">
      <c r="A92" s="782">
        <f t="shared" si="8"/>
        <v>2</v>
      </c>
      <c r="C92" s="629"/>
      <c r="D92" s="625"/>
      <c r="E92" s="630" t="str">
        <f>IF(Liste!B506=0,"",Liste!B506)</f>
        <v>Aufkleber FAA Schließbereich freihalten deutsch</v>
      </c>
      <c r="F92" s="551"/>
      <c r="G92" s="487" t="str">
        <f>IF(Liste!C506=0,"",Liste!C506)</f>
        <v>4002052</v>
      </c>
      <c r="H92" s="2619">
        <f>Liste!A506</f>
        <v>2</v>
      </c>
      <c r="I92" s="488"/>
      <c r="J92" s="2616"/>
      <c r="K92" s="627"/>
      <c r="L92" s="431"/>
      <c r="M92" s="589"/>
      <c r="N92" s="432"/>
      <c r="O92" s="466"/>
      <c r="P92" s="439"/>
      <c r="Q92" s="439"/>
    </row>
    <row r="93" spans="1:17" ht="15.75" x14ac:dyDescent="0.2">
      <c r="A93" s="782">
        <f t="shared" si="8"/>
        <v>6</v>
      </c>
      <c r="C93" s="596" t="s">
        <v>618</v>
      </c>
      <c r="D93" s="631"/>
      <c r="E93" s="559" t="str">
        <f>IF(G93=Q93,"Spanplattenschraube Halbrundkopf 5x50","Spanplattenschraube Halbrundkopf 5x45")</f>
        <v>Spanplattenschraube Halbrundkopf 5x45</v>
      </c>
      <c r="F93" s="594"/>
      <c r="G93" s="487" t="str">
        <f t="shared" ref="G93:G98" si="9">IF($P$1=1,P93,Q93)</f>
        <v>0115023</v>
      </c>
      <c r="H93" s="1280">
        <f>IF(Checkliste!H53+Checkliste!H54+Checkliste!H55&gt;0,(Checkliste!H53+Checkliste!H54+Checkliste!H55)*2+2,0)</f>
        <v>6</v>
      </c>
      <c r="I93" s="488"/>
      <c r="J93" s="489" t="str">
        <f>IF($P$1=1,"verzinkt","V2A")</f>
        <v>verzinkt</v>
      </c>
      <c r="K93" s="558"/>
      <c r="L93" s="431"/>
      <c r="M93" s="431"/>
      <c r="N93" s="432"/>
      <c r="O93" s="432"/>
      <c r="P93" s="1294" t="s">
        <v>29632</v>
      </c>
      <c r="Q93" s="1294" t="s">
        <v>29631</v>
      </c>
    </row>
    <row r="94" spans="1:17" ht="15.75" x14ac:dyDescent="0.2">
      <c r="A94" s="782">
        <f t="shared" si="8"/>
        <v>10</v>
      </c>
      <c r="C94" s="596" t="s">
        <v>30926</v>
      </c>
      <c r="D94" s="631"/>
      <c r="E94" s="2268" t="s">
        <v>30927</v>
      </c>
      <c r="F94" s="594"/>
      <c r="G94" s="487" t="str">
        <f t="shared" si="9"/>
        <v>0107051</v>
      </c>
      <c r="H94" s="1280">
        <f>(Liste!A399+Liste!A402)*2+IF(Liste!A399+Liste!A402&gt;0,2,0)</f>
        <v>10</v>
      </c>
      <c r="I94" s="488"/>
      <c r="J94" s="489" t="str">
        <f>IF($P$1=1,"verzinkt","V2A")</f>
        <v>verzinkt</v>
      </c>
      <c r="K94" s="558"/>
      <c r="L94" s="431"/>
      <c r="M94" s="431"/>
      <c r="N94" s="432"/>
      <c r="O94" s="432"/>
      <c r="P94" s="1294" t="s">
        <v>1204</v>
      </c>
      <c r="Q94" s="1294" t="s">
        <v>1207</v>
      </c>
    </row>
    <row r="95" spans="1:17" ht="15.75" x14ac:dyDescent="0.2">
      <c r="A95" s="782">
        <f t="shared" si="8"/>
        <v>1</v>
      </c>
      <c r="C95" s="1474" t="s">
        <v>28818</v>
      </c>
      <c r="D95" s="2235"/>
      <c r="E95" s="2234" t="s">
        <v>28818</v>
      </c>
      <c r="F95" s="594"/>
      <c r="G95" s="502" t="str">
        <f>Liste!C243</f>
        <v>0902010</v>
      </c>
      <c r="H95" s="1280">
        <f>Liste!D243</f>
        <v>1</v>
      </c>
      <c r="I95" s="488"/>
      <c r="J95" s="489" t="s">
        <v>28820</v>
      </c>
      <c r="K95" s="558"/>
      <c r="L95" s="431"/>
      <c r="M95" s="431"/>
      <c r="N95" s="432"/>
      <c r="O95" s="432"/>
      <c r="P95" s="439"/>
      <c r="Q95" s="439"/>
    </row>
    <row r="96" spans="1:17" ht="15.75" x14ac:dyDescent="0.2">
      <c r="A96" s="782">
        <f t="shared" si="8"/>
        <v>0</v>
      </c>
      <c r="C96" s="632" t="s">
        <v>624</v>
      </c>
      <c r="D96" s="633"/>
      <c r="E96" s="568" t="s">
        <v>625</v>
      </c>
      <c r="F96" s="594"/>
      <c r="G96" s="487" t="str">
        <f t="shared" si="9"/>
        <v>0120002</v>
      </c>
      <c r="H96" s="2601"/>
      <c r="I96" s="488"/>
      <c r="J96" s="489" t="str">
        <f>IF($P$1=1,"verzinkt","V2A")</f>
        <v>verzinkt</v>
      </c>
      <c r="K96" s="558"/>
      <c r="L96" s="431"/>
      <c r="M96" s="431"/>
      <c r="N96" s="432"/>
      <c r="O96" s="432"/>
      <c r="P96" s="1293" t="s">
        <v>626</v>
      </c>
      <c r="Q96" s="1293" t="s">
        <v>627</v>
      </c>
    </row>
    <row r="97" spans="1:17" ht="15.75" x14ac:dyDescent="0.2">
      <c r="A97" s="782">
        <f t="shared" si="8"/>
        <v>0</v>
      </c>
      <c r="C97" s="632" t="s">
        <v>624</v>
      </c>
      <c r="D97" s="633"/>
      <c r="E97" s="551" t="s">
        <v>480</v>
      </c>
      <c r="F97" s="594"/>
      <c r="G97" s="487" t="str">
        <f t="shared" si="9"/>
        <v>0126110</v>
      </c>
      <c r="H97" s="2601"/>
      <c r="I97" s="488"/>
      <c r="J97" s="489" t="s">
        <v>28569</v>
      </c>
      <c r="K97" s="558"/>
      <c r="L97" s="431"/>
      <c r="M97" s="431"/>
      <c r="N97" s="432"/>
      <c r="O97" s="432"/>
      <c r="P97" s="1293" t="s">
        <v>481</v>
      </c>
      <c r="Q97" s="1293" t="s">
        <v>481</v>
      </c>
    </row>
    <row r="98" spans="1:17" ht="15.75" x14ac:dyDescent="0.2">
      <c r="A98" s="782">
        <f t="shared" si="8"/>
        <v>0</v>
      </c>
      <c r="C98" s="632" t="s">
        <v>624</v>
      </c>
      <c r="D98" s="633"/>
      <c r="E98" s="551" t="s">
        <v>693</v>
      </c>
      <c r="F98" s="594"/>
      <c r="G98" s="487" t="str">
        <f t="shared" si="9"/>
        <v>0125020</v>
      </c>
      <c r="H98" s="2601"/>
      <c r="I98" s="488"/>
      <c r="J98" s="489" t="str">
        <f>IF($P$1=1,"verzinkt","V2A")</f>
        <v>verzinkt</v>
      </c>
      <c r="K98" s="558"/>
      <c r="L98" s="431"/>
      <c r="M98" s="431"/>
      <c r="N98" s="432"/>
      <c r="O98" s="432"/>
      <c r="P98" s="1293" t="s">
        <v>98</v>
      </c>
      <c r="Q98" s="1294" t="s">
        <v>680</v>
      </c>
    </row>
    <row r="99" spans="1:17" ht="15.75" x14ac:dyDescent="0.2">
      <c r="A99" s="782">
        <f t="shared" si="8"/>
        <v>100</v>
      </c>
      <c r="C99" s="632" t="s">
        <v>27669</v>
      </c>
      <c r="D99" s="633"/>
      <c r="E99" s="594" t="s">
        <v>30287</v>
      </c>
      <c r="F99" s="594"/>
      <c r="G99" s="487" t="str">
        <f>IF($P$1=1,P99,Q99)</f>
        <v>0123025</v>
      </c>
      <c r="H99" s="1280">
        <v>100</v>
      </c>
      <c r="I99" s="488"/>
      <c r="J99" s="489" t="s">
        <v>28570</v>
      </c>
      <c r="K99" s="558"/>
      <c r="L99" s="431"/>
      <c r="M99" s="431"/>
      <c r="N99" s="432"/>
      <c r="O99" s="432"/>
      <c r="P99" s="1293" t="s">
        <v>27675</v>
      </c>
      <c r="Q99" s="1293" t="s">
        <v>27675</v>
      </c>
    </row>
    <row r="100" spans="1:17" ht="15.75" x14ac:dyDescent="0.2">
      <c r="A100" s="782">
        <f t="shared" si="8"/>
        <v>0</v>
      </c>
      <c r="C100" s="2620"/>
      <c r="D100" s="2621"/>
      <c r="E100" s="2622"/>
      <c r="F100" s="2622"/>
      <c r="G100" s="2589"/>
      <c r="H100" s="2601"/>
      <c r="I100" s="488"/>
      <c r="J100" s="2159"/>
      <c r="K100" s="558"/>
      <c r="L100" s="431"/>
      <c r="M100" s="431"/>
      <c r="N100" s="432"/>
      <c r="O100" s="432"/>
      <c r="P100" s="564"/>
      <c r="Q100" s="564"/>
    </row>
    <row r="101" spans="1:17" ht="15.75" x14ac:dyDescent="0.2">
      <c r="A101" s="782">
        <f t="shared" si="8"/>
        <v>0</v>
      </c>
      <c r="C101" s="2620"/>
      <c r="D101" s="2621"/>
      <c r="E101" s="2623"/>
      <c r="F101" s="2624"/>
      <c r="G101" s="2589"/>
      <c r="H101" s="2608"/>
      <c r="I101" s="488"/>
      <c r="J101" s="2159"/>
      <c r="K101" s="570"/>
      <c r="L101" s="431"/>
      <c r="M101" s="431"/>
      <c r="N101" s="432"/>
      <c r="O101" s="432"/>
      <c r="P101" s="564"/>
      <c r="Q101" s="564"/>
    </row>
    <row r="102" spans="1:17" ht="15.75" x14ac:dyDescent="0.2">
      <c r="A102" s="782">
        <f t="shared" si="8"/>
        <v>10</v>
      </c>
      <c r="C102" s="632" t="s">
        <v>27853</v>
      </c>
      <c r="D102" s="633"/>
      <c r="E102" s="594" t="s">
        <v>27854</v>
      </c>
      <c r="F102" s="594"/>
      <c r="G102" s="487" t="str">
        <f t="shared" ref="G102:G109" si="10">IF($P$1=1,P102,Q102)</f>
        <v>0123023</v>
      </c>
      <c r="H102" s="1281">
        <f>Checkliste!H29*2+2</f>
        <v>10</v>
      </c>
      <c r="I102" s="488"/>
      <c r="J102" s="489" t="str">
        <f t="shared" ref="J102:J109" si="11">IF($P$1=1,"verzinkt","V2A")</f>
        <v>verzinkt</v>
      </c>
      <c r="K102" s="558"/>
      <c r="L102" s="431"/>
      <c r="M102" s="431"/>
      <c r="N102" s="432"/>
      <c r="O102" s="432"/>
      <c r="P102" s="1293" t="s">
        <v>1598</v>
      </c>
      <c r="Q102" s="1293" t="s">
        <v>28494</v>
      </c>
    </row>
    <row r="103" spans="1:17" ht="15.75" x14ac:dyDescent="0.2">
      <c r="A103" s="782">
        <f t="shared" si="8"/>
        <v>9</v>
      </c>
      <c r="C103" s="1295" t="s">
        <v>28495</v>
      </c>
      <c r="D103" s="633"/>
      <c r="E103" s="594" t="str">
        <f>"Nageldübel "&amp;IF(P1=1,"6 x 80","8 x 80")</f>
        <v>Nageldübel 6 x 80</v>
      </c>
      <c r="F103" s="594"/>
      <c r="G103" s="487" t="str">
        <f t="shared" si="10"/>
        <v>1402000</v>
      </c>
      <c r="H103" s="1280">
        <f>ROUNDUP((Checkliste!E35*Checkliste!H35+Checkliste!E36*Checkliste!H36+Checkliste!E37*Checkliste!H37)/400+3,0)*(S16+S15+S17)</f>
        <v>9</v>
      </c>
      <c r="I103" s="488"/>
      <c r="J103" s="489" t="str">
        <f t="shared" si="11"/>
        <v>verzinkt</v>
      </c>
      <c r="K103" s="558"/>
      <c r="L103" s="431"/>
      <c r="M103" s="431"/>
      <c r="N103" s="432"/>
      <c r="O103" s="432"/>
      <c r="P103" s="1293" t="s">
        <v>92</v>
      </c>
      <c r="Q103" s="1293" t="s">
        <v>636</v>
      </c>
    </row>
    <row r="104" spans="1:17" ht="15.75" x14ac:dyDescent="0.2">
      <c r="A104" s="782">
        <f t="shared" si="8"/>
        <v>0</v>
      </c>
      <c r="C104" s="632" t="s">
        <v>28492</v>
      </c>
      <c r="D104" s="633"/>
      <c r="E104" s="594" t="str">
        <f>"Senkschraube M5 x "&amp;IF(P1=1,"70","60")</f>
        <v>Senkschraube M5 x 70</v>
      </c>
      <c r="F104" s="594"/>
      <c r="G104" s="487" t="str">
        <f t="shared" si="10"/>
        <v>0106032</v>
      </c>
      <c r="H104" s="1296">
        <f>ROUNDUP((Checkliste!E35*Checkliste!H35+Checkliste!E36*Checkliste!H36+Checkliste!E37*Checkliste!H37)/400+3,0)*S18</f>
        <v>0</v>
      </c>
      <c r="I104" s="488"/>
      <c r="J104" s="489" t="str">
        <f t="shared" si="11"/>
        <v>verzinkt</v>
      </c>
      <c r="K104" s="558"/>
      <c r="L104" s="431"/>
      <c r="M104" s="431"/>
      <c r="N104" s="432"/>
      <c r="O104" s="432"/>
      <c r="P104" s="1293" t="s">
        <v>28493</v>
      </c>
      <c r="Q104" s="1293" t="s">
        <v>1164</v>
      </c>
    </row>
    <row r="105" spans="1:17" ht="15.75" x14ac:dyDescent="0.2">
      <c r="A105" s="782">
        <f t="shared" si="8"/>
        <v>0</v>
      </c>
      <c r="C105" s="632" t="s">
        <v>28503</v>
      </c>
      <c r="D105" s="633"/>
      <c r="E105" s="594" t="s">
        <v>640</v>
      </c>
      <c r="F105" s="594"/>
      <c r="G105" s="487" t="str">
        <f t="shared" si="10"/>
        <v>0115009</v>
      </c>
      <c r="H105" s="1296">
        <f>ROUNDUP((Checkliste!E35*Checkliste!H35+Checkliste!E36*Checkliste!H36+Checkliste!E37*Checkliste!H37)/400+3,0)*S18</f>
        <v>0</v>
      </c>
      <c r="I105" s="488"/>
      <c r="J105" s="489" t="str">
        <f t="shared" si="11"/>
        <v>verzinkt</v>
      </c>
      <c r="K105" s="558"/>
      <c r="L105" s="431"/>
      <c r="M105" s="431"/>
      <c r="N105" s="432"/>
      <c r="O105" s="432"/>
      <c r="P105" s="1293" t="s">
        <v>641</v>
      </c>
      <c r="Q105" s="1293" t="s">
        <v>642</v>
      </c>
    </row>
    <row r="106" spans="1:17" ht="15.75" x14ac:dyDescent="0.2">
      <c r="A106" s="782">
        <f t="shared" si="8"/>
        <v>135</v>
      </c>
      <c r="C106" s="632" t="s">
        <v>639</v>
      </c>
      <c r="D106" s="633"/>
      <c r="E106" s="594" t="s">
        <v>29292</v>
      </c>
      <c r="F106" s="594"/>
      <c r="G106" s="487" t="str">
        <f t="shared" si="10"/>
        <v>0123018</v>
      </c>
      <c r="H106" s="1287">
        <f>'Berechnung &amp; Tabellen'!$F$306*5</f>
        <v>135</v>
      </c>
      <c r="I106" s="488"/>
      <c r="J106" s="489" t="s">
        <v>28570</v>
      </c>
      <c r="K106" s="558"/>
      <c r="L106" s="431"/>
      <c r="M106" s="431"/>
      <c r="N106" s="432"/>
      <c r="O106" s="432"/>
      <c r="P106" s="1293" t="s">
        <v>1591</v>
      </c>
      <c r="Q106" s="1293" t="s">
        <v>1591</v>
      </c>
    </row>
    <row r="107" spans="1:17" ht="15.75" x14ac:dyDescent="0.2">
      <c r="A107" s="782">
        <f t="shared" si="8"/>
        <v>108</v>
      </c>
      <c r="C107" s="632" t="s">
        <v>639</v>
      </c>
      <c r="D107" s="633"/>
      <c r="E107" s="594" t="s">
        <v>29291</v>
      </c>
      <c r="F107" s="594"/>
      <c r="G107" s="487" t="str">
        <f t="shared" si="10"/>
        <v>0123013</v>
      </c>
      <c r="H107" s="1287">
        <f>'Berechnung &amp; Tabellen'!$F$306*4</f>
        <v>108</v>
      </c>
      <c r="I107" s="488"/>
      <c r="J107" s="489" t="s">
        <v>28570</v>
      </c>
      <c r="K107" s="558"/>
      <c r="L107" s="431"/>
      <c r="M107" s="431"/>
      <c r="N107" s="432"/>
      <c r="O107" s="432"/>
      <c r="P107" s="1293" t="s">
        <v>1585</v>
      </c>
      <c r="Q107" s="1293" t="s">
        <v>1585</v>
      </c>
    </row>
    <row r="108" spans="1:17" ht="15.75" x14ac:dyDescent="0.2">
      <c r="A108" s="782">
        <f t="shared" si="8"/>
        <v>20</v>
      </c>
      <c r="C108" s="632" t="s">
        <v>639</v>
      </c>
      <c r="D108" s="633"/>
      <c r="E108" s="594" t="s">
        <v>29293</v>
      </c>
      <c r="F108" s="594"/>
      <c r="G108" s="487" t="str">
        <f t="shared" si="10"/>
        <v>0123024</v>
      </c>
      <c r="H108" s="1287">
        <f>IF('Berechnung &amp; Tabellen'!F306&gt;0,20,0)</f>
        <v>20</v>
      </c>
      <c r="I108" s="488"/>
      <c r="J108" s="489" t="s">
        <v>28570</v>
      </c>
      <c r="K108" s="558"/>
      <c r="L108" s="431"/>
      <c r="M108" s="431"/>
      <c r="N108" s="432"/>
      <c r="O108" s="432"/>
      <c r="P108" s="1293" t="s">
        <v>1600</v>
      </c>
      <c r="Q108" s="1293" t="s">
        <v>1600</v>
      </c>
    </row>
    <row r="109" spans="1:17" ht="15.75" x14ac:dyDescent="0.2">
      <c r="A109" s="782">
        <f t="shared" si="8"/>
        <v>18</v>
      </c>
      <c r="C109" s="632" t="s">
        <v>27696</v>
      </c>
      <c r="D109" s="633"/>
      <c r="E109" s="3404" t="s">
        <v>27697</v>
      </c>
      <c r="F109" s="3405"/>
      <c r="G109" s="487" t="str">
        <f t="shared" si="10"/>
        <v>0115084</v>
      </c>
      <c r="H109" s="1280">
        <f>Liste!D456*(ROUNDUP(Liste!F456/250,0)+1)</f>
        <v>18</v>
      </c>
      <c r="I109" s="488"/>
      <c r="J109" s="489" t="str">
        <f t="shared" si="11"/>
        <v>verzinkt</v>
      </c>
      <c r="K109" s="558"/>
      <c r="L109" s="431"/>
      <c r="M109" s="431"/>
      <c r="N109" s="432"/>
      <c r="O109" s="432"/>
      <c r="P109" s="1293" t="s">
        <v>27698</v>
      </c>
      <c r="Q109" s="1293" t="s">
        <v>27699</v>
      </c>
    </row>
    <row r="110" spans="1:17" ht="15.75" x14ac:dyDescent="0.2">
      <c r="A110" s="782">
        <f t="shared" si="8"/>
        <v>1</v>
      </c>
      <c r="C110" s="632" t="s">
        <v>649</v>
      </c>
      <c r="D110" s="633"/>
      <c r="E110" s="636" t="s">
        <v>650</v>
      </c>
      <c r="F110" s="634"/>
      <c r="G110" s="637" t="s">
        <v>651</v>
      </c>
      <c r="H110" s="2625">
        <v>1</v>
      </c>
      <c r="I110" s="488"/>
      <c r="J110" s="489"/>
      <c r="K110" s="558"/>
      <c r="L110" s="431"/>
      <c r="M110" s="431"/>
      <c r="N110" s="432"/>
      <c r="O110" s="432"/>
      <c r="P110" s="564"/>
      <c r="Q110" s="564"/>
    </row>
    <row r="111" spans="1:17" ht="15.75" x14ac:dyDescent="0.2">
      <c r="A111" s="782">
        <f t="shared" ref="A111:A138" si="12">H111</f>
        <v>0</v>
      </c>
      <c r="C111" s="632" t="s">
        <v>649</v>
      </c>
      <c r="D111" s="633"/>
      <c r="E111" s="636" t="s">
        <v>652</v>
      </c>
      <c r="F111" s="634"/>
      <c r="G111" s="637" t="s">
        <v>653</v>
      </c>
      <c r="H111" s="2625"/>
      <c r="I111" s="488"/>
      <c r="J111" s="489"/>
      <c r="K111" s="558"/>
      <c r="L111" s="431"/>
      <c r="M111" s="431"/>
      <c r="N111" s="432"/>
      <c r="O111" s="432"/>
      <c r="P111" s="564"/>
      <c r="Q111" s="564"/>
    </row>
    <row r="112" spans="1:17" ht="15.75" x14ac:dyDescent="0.2">
      <c r="A112" s="782">
        <f t="shared" si="12"/>
        <v>0</v>
      </c>
      <c r="C112" s="632" t="s">
        <v>649</v>
      </c>
      <c r="D112" s="633"/>
      <c r="E112" s="559" t="s">
        <v>654</v>
      </c>
      <c r="F112" s="594"/>
      <c r="G112" s="502" t="s">
        <v>655</v>
      </c>
      <c r="H112" s="2601"/>
      <c r="I112" s="488"/>
      <c r="J112" s="489"/>
      <c r="K112" s="558"/>
      <c r="L112" s="431"/>
      <c r="M112" s="431"/>
      <c r="N112" s="432"/>
      <c r="O112" s="432"/>
      <c r="P112" s="564"/>
      <c r="Q112" s="564"/>
    </row>
    <row r="113" spans="1:17" ht="15.75" x14ac:dyDescent="0.2">
      <c r="A113" s="782">
        <f t="shared" si="12"/>
        <v>0</v>
      </c>
      <c r="C113" s="632" t="s">
        <v>657</v>
      </c>
      <c r="D113" s="633"/>
      <c r="E113" s="594" t="s">
        <v>630</v>
      </c>
      <c r="F113" s="594"/>
      <c r="G113" s="487" t="s">
        <v>632</v>
      </c>
      <c r="H113" s="2601"/>
      <c r="I113" s="488"/>
      <c r="J113" s="489"/>
      <c r="K113" s="558"/>
      <c r="L113" s="431"/>
      <c r="M113" s="431"/>
      <c r="N113" s="432"/>
      <c r="O113" s="432"/>
      <c r="P113" s="564" t="s">
        <v>631</v>
      </c>
      <c r="Q113" s="564" t="s">
        <v>632</v>
      </c>
    </row>
    <row r="114" spans="1:17" ht="15.75" x14ac:dyDescent="0.2">
      <c r="A114" s="782">
        <f t="shared" si="12"/>
        <v>0</v>
      </c>
      <c r="C114" s="632" t="s">
        <v>657</v>
      </c>
      <c r="D114" s="633"/>
      <c r="E114" s="560" t="str">
        <f>IF(G114=P114,"SPAX Senkschraube TX verz. 5,0X100","SPAX Senkschraube TX VA 5,0X100")</f>
        <v>SPAX Senkschraube TX verz. 5,0X100</v>
      </c>
      <c r="F114" s="594"/>
      <c r="G114" s="487" t="str">
        <f t="shared" ref="G114" si="13">IF($P$1=1,P114,Q114)</f>
        <v>0115019</v>
      </c>
      <c r="H114" s="2601"/>
      <c r="I114" s="488"/>
      <c r="J114" s="489"/>
      <c r="K114" s="558"/>
      <c r="L114" s="431"/>
      <c r="M114" s="431"/>
      <c r="N114" s="432"/>
      <c r="O114" s="432"/>
      <c r="P114" s="564" t="s">
        <v>645</v>
      </c>
      <c r="Q114" s="564" t="s">
        <v>646</v>
      </c>
    </row>
    <row r="115" spans="1:17" ht="15.75" x14ac:dyDescent="0.2">
      <c r="A115" s="782">
        <f t="shared" si="12"/>
        <v>1</v>
      </c>
      <c r="C115" s="632" t="s">
        <v>658</v>
      </c>
      <c r="D115" s="633"/>
      <c r="E115" s="560" t="s">
        <v>659</v>
      </c>
      <c r="F115" s="594"/>
      <c r="G115" s="487" t="s">
        <v>660</v>
      </c>
      <c r="H115" s="2601">
        <v>1</v>
      </c>
      <c r="I115" s="488"/>
      <c r="J115" s="489"/>
      <c r="K115" s="558"/>
      <c r="L115" s="431"/>
      <c r="M115" s="431"/>
      <c r="N115" s="432"/>
      <c r="O115" s="432"/>
      <c r="P115" s="564" t="s">
        <v>660</v>
      </c>
      <c r="Q115" s="564" t="s">
        <v>660</v>
      </c>
    </row>
    <row r="116" spans="1:17" ht="15.75" x14ac:dyDescent="0.2">
      <c r="A116" s="782">
        <f t="shared" si="12"/>
        <v>0</v>
      </c>
      <c r="C116" s="632" t="s">
        <v>29185</v>
      </c>
      <c r="D116" s="633"/>
      <c r="E116" s="594" t="s">
        <v>29188</v>
      </c>
      <c r="F116" s="594"/>
      <c r="G116" s="487" t="str">
        <f t="shared" ref="G116:G123" si="14">IF($P$1=1,P116,Q116)</f>
        <v>0105011</v>
      </c>
      <c r="H116" s="1280">
        <f>IF((SUM(Checkliste!$H$75:$H$80)/2-1)*2&lt;0,0,(SUM(Checkliste!$H$75:$H$80)/2-1)*2)</f>
        <v>0</v>
      </c>
      <c r="I116" s="488"/>
      <c r="J116" s="489" t="str">
        <f>IF($P$1=1,"verzinkt","V2A")</f>
        <v>verzinkt</v>
      </c>
      <c r="K116" s="558"/>
      <c r="L116" s="431"/>
      <c r="M116" s="431"/>
      <c r="N116" s="432"/>
      <c r="O116" s="432"/>
      <c r="P116" s="564" t="s">
        <v>1084</v>
      </c>
      <c r="Q116" s="564" t="s">
        <v>29189</v>
      </c>
    </row>
    <row r="117" spans="1:17" ht="15.75" x14ac:dyDescent="0.2">
      <c r="A117" s="782">
        <f t="shared" si="12"/>
        <v>0</v>
      </c>
      <c r="C117" s="632" t="s">
        <v>29185</v>
      </c>
      <c r="D117" s="633"/>
      <c r="E117" s="594" t="s">
        <v>29186</v>
      </c>
      <c r="F117" s="594"/>
      <c r="G117" s="487" t="str">
        <f t="shared" si="14"/>
        <v>0114006</v>
      </c>
      <c r="H117" s="1280">
        <f>IF((SUM(Checkliste!$H$75:$H$80)/2-1)*2&lt;0,0,(SUM(Checkliste!$H$75:$H$80)/2-1)*2)</f>
        <v>0</v>
      </c>
      <c r="I117" s="488"/>
      <c r="J117" s="489" t="str">
        <f>IF($P$1=1,"verzinkt","V2A")</f>
        <v>verzinkt</v>
      </c>
      <c r="K117" s="558"/>
      <c r="L117" s="431"/>
      <c r="M117" s="431"/>
      <c r="N117" s="432"/>
      <c r="O117" s="432"/>
      <c r="P117" s="564" t="s">
        <v>676</v>
      </c>
      <c r="Q117" s="564" t="s">
        <v>677</v>
      </c>
    </row>
    <row r="118" spans="1:17" ht="14.25" customHeight="1" x14ac:dyDescent="0.2">
      <c r="A118" s="782">
        <f t="shared" si="12"/>
        <v>0</v>
      </c>
      <c r="C118" s="632" t="s">
        <v>29185</v>
      </c>
      <c r="D118" s="633"/>
      <c r="E118" s="568" t="s">
        <v>29187</v>
      </c>
      <c r="F118" s="594"/>
      <c r="G118" s="487" t="str">
        <f t="shared" si="14"/>
        <v>0129005</v>
      </c>
      <c r="H118" s="1280">
        <f>IF((SUM(Checkliste!$H$75:$H$80)/2-1)*2&lt;0,0,(SUM(Checkliste!$H$75:$H$80)/2-1)*2)</f>
        <v>0</v>
      </c>
      <c r="I118" s="488"/>
      <c r="J118" s="489" t="str">
        <f>IF($P$1=1,"verzinkt","V2A")</f>
        <v>verzinkt</v>
      </c>
      <c r="K118" s="558"/>
      <c r="L118" s="431"/>
      <c r="M118" s="431"/>
      <c r="N118" s="432"/>
      <c r="O118" s="432"/>
      <c r="P118" s="564" t="s">
        <v>1998</v>
      </c>
      <c r="Q118" s="564" t="s">
        <v>2010</v>
      </c>
    </row>
    <row r="119" spans="1:17" ht="15.75" x14ac:dyDescent="0.2">
      <c r="A119" s="782">
        <f t="shared" si="12"/>
        <v>0</v>
      </c>
      <c r="C119" s="632" t="s">
        <v>29050</v>
      </c>
      <c r="D119" s="633"/>
      <c r="E119" s="594" t="s">
        <v>29051</v>
      </c>
      <c r="F119" s="594"/>
      <c r="G119" s="487" t="str">
        <f t="shared" si="14"/>
        <v>0105056</v>
      </c>
      <c r="H119" s="1280">
        <f>Liste!$D$306*2</f>
        <v>0</v>
      </c>
      <c r="I119" s="488"/>
      <c r="J119" s="489"/>
      <c r="K119" s="558"/>
      <c r="L119" s="431"/>
      <c r="M119" s="431"/>
      <c r="N119" s="432"/>
      <c r="O119" s="432"/>
      <c r="P119" s="564" t="s">
        <v>29093</v>
      </c>
      <c r="Q119" s="564" t="s">
        <v>29094</v>
      </c>
    </row>
    <row r="120" spans="1:17" ht="15.75" x14ac:dyDescent="0.2">
      <c r="A120" s="782">
        <f t="shared" si="12"/>
        <v>0</v>
      </c>
      <c r="C120" s="632" t="s">
        <v>29050</v>
      </c>
      <c r="D120" s="633"/>
      <c r="E120" s="594" t="s">
        <v>29052</v>
      </c>
      <c r="F120" s="594"/>
      <c r="G120" s="487" t="str">
        <f t="shared" si="14"/>
        <v>0125002</v>
      </c>
      <c r="H120" s="1280">
        <f>Liste!$D$306*6</f>
        <v>0</v>
      </c>
      <c r="I120" s="488"/>
      <c r="J120" s="489"/>
      <c r="K120" s="558"/>
      <c r="L120" s="431"/>
      <c r="M120" s="431"/>
      <c r="N120" s="432"/>
      <c r="O120" s="432"/>
      <c r="P120" s="564" t="s">
        <v>1610</v>
      </c>
      <c r="Q120" s="564" t="s">
        <v>29098</v>
      </c>
    </row>
    <row r="121" spans="1:17" ht="15.75" x14ac:dyDescent="0.2">
      <c r="A121" s="782">
        <f t="shared" si="12"/>
        <v>0</v>
      </c>
      <c r="C121" s="632" t="s">
        <v>29050</v>
      </c>
      <c r="D121" s="633"/>
      <c r="E121" s="568" t="s">
        <v>29053</v>
      </c>
      <c r="F121" s="594"/>
      <c r="G121" s="487" t="str">
        <f t="shared" si="14"/>
        <v>0129003</v>
      </c>
      <c r="H121" s="1280">
        <f>Liste!$D$306*2</f>
        <v>0</v>
      </c>
      <c r="I121" s="488"/>
      <c r="J121" s="489"/>
      <c r="K121" s="558"/>
      <c r="L121" s="431"/>
      <c r="M121" s="431"/>
      <c r="N121" s="432"/>
      <c r="O121" s="432"/>
      <c r="P121" s="564" t="s">
        <v>1995</v>
      </c>
      <c r="Q121" s="564" t="s">
        <v>2009</v>
      </c>
    </row>
    <row r="122" spans="1:17" ht="15.75" x14ac:dyDescent="0.2">
      <c r="A122" s="782">
        <f t="shared" si="12"/>
        <v>0</v>
      </c>
      <c r="C122" s="632" t="s">
        <v>29591</v>
      </c>
      <c r="D122" s="633"/>
      <c r="E122" s="568" t="str">
        <f>IF(P1=1,"Linsen-Bohrschraube TX 4,8x45 verz.","Blindniet Flachkopf VA/VA 5x40")</f>
        <v>Linsen-Bohrschraube TX 4,8x45 verz.</v>
      </c>
      <c r="F122" s="594"/>
      <c r="G122" s="487" t="str">
        <f t="shared" si="14"/>
        <v>0123022</v>
      </c>
      <c r="H122" s="1280">
        <f>IF(Liste!D101&gt;0,Liste!D101*2+2,0)</f>
        <v>0</v>
      </c>
      <c r="I122" s="488"/>
      <c r="J122" s="489"/>
      <c r="K122" s="558"/>
      <c r="L122" s="431"/>
      <c r="M122" s="431"/>
      <c r="N122" s="432"/>
      <c r="O122" s="432"/>
      <c r="P122" s="564" t="s">
        <v>844</v>
      </c>
      <c r="Q122" s="564" t="s">
        <v>29612</v>
      </c>
    </row>
    <row r="123" spans="1:17" ht="15.75" x14ac:dyDescent="0.2">
      <c r="A123" s="782">
        <f t="shared" si="12"/>
        <v>0</v>
      </c>
      <c r="C123" s="632" t="s">
        <v>29591</v>
      </c>
      <c r="D123" s="633"/>
      <c r="E123" s="568" t="str">
        <f>IF(P1=1,"Spax Halbrundschraube verz. 5,0x45","Spax Halbrundschraube TX VA 5,0x50")</f>
        <v>Spax Halbrundschraube verz. 5,0x45</v>
      </c>
      <c r="F123" s="594"/>
      <c r="G123" s="487" t="str">
        <f t="shared" si="14"/>
        <v>0115023</v>
      </c>
      <c r="H123" s="1280">
        <f>IF(Liste!D101&gt;0,Liste!D101*2+2,0)</f>
        <v>0</v>
      </c>
      <c r="I123" s="488"/>
      <c r="J123" s="489"/>
      <c r="K123" s="558"/>
      <c r="L123" s="431"/>
      <c r="M123" s="431"/>
      <c r="N123" s="432"/>
      <c r="O123" s="432"/>
      <c r="P123" s="564" t="s">
        <v>29632</v>
      </c>
      <c r="Q123" s="564" t="s">
        <v>29631</v>
      </c>
    </row>
    <row r="124" spans="1:17" ht="15.75" x14ac:dyDescent="0.2">
      <c r="A124" s="782">
        <f t="shared" si="12"/>
        <v>0</v>
      </c>
      <c r="C124" s="632"/>
      <c r="D124" s="633"/>
      <c r="E124" s="568" t="s">
        <v>666</v>
      </c>
      <c r="F124" s="594"/>
      <c r="G124" s="487" t="s">
        <v>667</v>
      </c>
      <c r="H124" s="2601"/>
      <c r="I124" s="488"/>
      <c r="J124" s="489"/>
      <c r="K124" s="558"/>
      <c r="L124" s="431"/>
      <c r="M124" s="431"/>
      <c r="N124" s="432"/>
      <c r="O124" s="432"/>
      <c r="P124" s="564" t="s">
        <v>667</v>
      </c>
      <c r="Q124" s="564" t="s">
        <v>667</v>
      </c>
    </row>
    <row r="125" spans="1:17" ht="15.75" x14ac:dyDescent="0.2">
      <c r="A125" s="782">
        <f t="shared" si="12"/>
        <v>0</v>
      </c>
      <c r="C125" s="632" t="s">
        <v>635</v>
      </c>
      <c r="D125" s="633"/>
      <c r="E125" s="638" t="s">
        <v>842</v>
      </c>
      <c r="F125" s="594"/>
      <c r="G125" s="502" t="s">
        <v>619</v>
      </c>
      <c r="H125" s="2601"/>
      <c r="I125" s="488"/>
      <c r="J125" s="489"/>
      <c r="K125" s="558"/>
      <c r="L125" s="431"/>
      <c r="M125" s="431"/>
      <c r="N125" s="432"/>
      <c r="O125" s="432"/>
      <c r="P125" s="564" t="s">
        <v>668</v>
      </c>
      <c r="Q125" s="564" t="s">
        <v>669</v>
      </c>
    </row>
    <row r="126" spans="1:17" ht="15.75" x14ac:dyDescent="0.2">
      <c r="A126" s="782">
        <f t="shared" si="12"/>
        <v>3</v>
      </c>
      <c r="C126" s="632" t="s">
        <v>29361</v>
      </c>
      <c r="D126" s="633"/>
      <c r="E126" s="638" t="s">
        <v>845</v>
      </c>
      <c r="F126" s="594"/>
      <c r="G126" s="487" t="str">
        <f>IF($P$1=1,P126,Q126)</f>
        <v>0125104</v>
      </c>
      <c r="H126" s="1280">
        <f>Liste!$A$384*3</f>
        <v>3</v>
      </c>
      <c r="I126" s="488"/>
      <c r="J126" s="489"/>
      <c r="K126" s="558"/>
      <c r="L126" s="431"/>
      <c r="M126" s="431"/>
      <c r="N126" s="432"/>
      <c r="O126" s="432"/>
      <c r="P126" s="1294" t="s">
        <v>843</v>
      </c>
      <c r="Q126" s="1294" t="s">
        <v>1642</v>
      </c>
    </row>
    <row r="127" spans="1:17" ht="15.75" x14ac:dyDescent="0.2">
      <c r="A127" s="782">
        <f t="shared" si="12"/>
        <v>3</v>
      </c>
      <c r="C127" s="632" t="s">
        <v>29361</v>
      </c>
      <c r="D127" s="633"/>
      <c r="E127" s="594" t="str">
        <f>IF(P1=1,"Linsen-Bohrschraube TX 4,8x45 verz.","Blindniet Flachkopf VA/VA 5x40")</f>
        <v>Linsen-Bohrschraube TX 4,8x45 verz.</v>
      </c>
      <c r="F127" s="594"/>
      <c r="G127" s="487" t="str">
        <f>IF($P$1=1,P127,Q127)</f>
        <v>0123022</v>
      </c>
      <c r="H127" s="1280">
        <f>Liste!$A$384*3</f>
        <v>3</v>
      </c>
      <c r="I127" s="488"/>
      <c r="J127" s="489"/>
      <c r="K127" s="558"/>
      <c r="L127" s="431"/>
      <c r="M127" s="431"/>
      <c r="N127" s="432"/>
      <c r="O127" s="432"/>
      <c r="P127" s="1294" t="s">
        <v>844</v>
      </c>
      <c r="Q127" s="1294" t="s">
        <v>29612</v>
      </c>
    </row>
    <row r="128" spans="1:17" ht="15.75" x14ac:dyDescent="0.2">
      <c r="A128" s="782">
        <f t="shared" si="12"/>
        <v>1</v>
      </c>
      <c r="C128" s="642" t="s">
        <v>683</v>
      </c>
      <c r="D128" s="643"/>
      <c r="E128" s="646" t="s">
        <v>684</v>
      </c>
      <c r="F128" s="645"/>
      <c r="G128" s="487" t="s">
        <v>685</v>
      </c>
      <c r="H128" s="1289">
        <f>IF(Liste!D460&gt;0,1,0)</f>
        <v>1</v>
      </c>
      <c r="I128" s="488"/>
      <c r="J128" s="489"/>
      <c r="K128" s="639"/>
      <c r="P128" s="1633" t="s">
        <v>685</v>
      </c>
      <c r="Q128" s="1633" t="s">
        <v>685</v>
      </c>
    </row>
    <row r="129" spans="1:17" ht="15.75" x14ac:dyDescent="0.2">
      <c r="A129" s="782">
        <f t="shared" si="12"/>
        <v>0</v>
      </c>
      <c r="C129" s="642" t="s">
        <v>30274</v>
      </c>
      <c r="D129" s="643"/>
      <c r="E129" s="778" t="str">
        <f>Liste!B518</f>
        <v>Versiegelung für intum. Material für Feuchträume, Montageset für 0,5 m²</v>
      </c>
      <c r="F129" s="646"/>
      <c r="G129" s="502" t="str">
        <f>Liste!C518</f>
        <v>0902030</v>
      </c>
      <c r="H129" s="2004">
        <f>Liste!D518</f>
        <v>0</v>
      </c>
      <c r="I129" s="488"/>
      <c r="J129" s="489"/>
      <c r="K129" s="645"/>
      <c r="P129" s="561" t="s">
        <v>367</v>
      </c>
      <c r="Q129" s="561" t="s">
        <v>367</v>
      </c>
    </row>
    <row r="130" spans="1:17" ht="15.75" x14ac:dyDescent="0.2">
      <c r="A130" s="782">
        <f t="shared" si="12"/>
        <v>0</v>
      </c>
      <c r="C130" s="642" t="s">
        <v>30274</v>
      </c>
      <c r="D130" s="643"/>
      <c r="E130" s="778" t="str">
        <f>Liste!B519</f>
        <v>Reparaturset für versiegelte intumeszierende Materialien</v>
      </c>
      <c r="F130" s="646"/>
      <c r="G130" s="502" t="str">
        <f>Liste!C519</f>
        <v>0306392</v>
      </c>
      <c r="H130" s="2004">
        <f>Liste!D519</f>
        <v>0</v>
      </c>
      <c r="I130" s="488"/>
      <c r="J130" s="489"/>
      <c r="K130" s="645"/>
      <c r="P130" s="561" t="s">
        <v>367</v>
      </c>
      <c r="Q130" s="561" t="s">
        <v>367</v>
      </c>
    </row>
    <row r="131" spans="1:17" ht="15.75" x14ac:dyDescent="0.2">
      <c r="A131" s="782">
        <f t="shared" si="12"/>
        <v>0</v>
      </c>
      <c r="C131" s="642" t="s">
        <v>30426</v>
      </c>
      <c r="D131" s="643"/>
      <c r="E131" s="778" t="str">
        <f>Liste!B521</f>
        <v>Edelstahlreiniger 400ml Gebinde</v>
      </c>
      <c r="F131" s="646"/>
      <c r="G131" s="502" t="str">
        <f>Liste!C521</f>
        <v>0140076</v>
      </c>
      <c r="H131" s="2004">
        <f>Liste!D521</f>
        <v>0</v>
      </c>
      <c r="I131" s="488"/>
      <c r="J131" s="489"/>
      <c r="K131" s="645"/>
      <c r="P131" s="561" t="s">
        <v>30449</v>
      </c>
      <c r="Q131" s="561" t="s">
        <v>30449</v>
      </c>
    </row>
    <row r="132" spans="1:17" ht="15.75" x14ac:dyDescent="0.2">
      <c r="A132" s="782">
        <f t="shared" si="12"/>
        <v>0</v>
      </c>
      <c r="C132" s="642" t="s">
        <v>30426</v>
      </c>
      <c r="D132" s="643"/>
      <c r="E132" s="778" t="str">
        <f>Liste!B522</f>
        <v>Tork 520371 Vliesstofftuch</v>
      </c>
      <c r="F132" s="646"/>
      <c r="G132" s="502" t="str">
        <f>Liste!C522</f>
        <v>7402006</v>
      </c>
      <c r="H132" s="2004">
        <f>Liste!D522</f>
        <v>0</v>
      </c>
      <c r="I132" s="488"/>
      <c r="J132" s="489"/>
      <c r="K132" s="645"/>
      <c r="P132" s="561" t="s">
        <v>367</v>
      </c>
      <c r="Q132" s="561" t="s">
        <v>367</v>
      </c>
    </row>
    <row r="133" spans="1:17" ht="15.75" x14ac:dyDescent="0.2">
      <c r="A133" s="782">
        <f t="shared" si="12"/>
        <v>0</v>
      </c>
      <c r="C133" s="642" t="s">
        <v>30631</v>
      </c>
      <c r="D133" s="643"/>
      <c r="E133" s="778" t="str">
        <f>Liste!B523</f>
        <v>UHU POLY MAX EXPRESS klar Montagekleber</v>
      </c>
      <c r="F133" s="646"/>
      <c r="G133" s="502" t="str">
        <f>Liste!C523</f>
        <v>0140077</v>
      </c>
      <c r="H133" s="2004">
        <f>Liste!D523</f>
        <v>0</v>
      </c>
      <c r="I133" s="488"/>
      <c r="J133" s="489"/>
      <c r="K133" s="645"/>
      <c r="P133" s="561" t="s">
        <v>367</v>
      </c>
      <c r="Q133" s="561" t="s">
        <v>367</v>
      </c>
    </row>
    <row r="134" spans="1:17" ht="15.75" x14ac:dyDescent="0.2">
      <c r="A134" s="782">
        <f t="shared" si="12"/>
        <v>0</v>
      </c>
      <c r="C134" s="642" t="s">
        <v>30631</v>
      </c>
      <c r="D134" s="643"/>
      <c r="E134" s="778" t="str">
        <f>Liste!B524</f>
        <v>Bremsenreiniger</v>
      </c>
      <c r="F134" s="646"/>
      <c r="G134" s="502" t="str">
        <f>Liste!C524</f>
        <v>7301008</v>
      </c>
      <c r="H134" s="2004">
        <f>Liste!D524</f>
        <v>0</v>
      </c>
      <c r="I134" s="488"/>
      <c r="J134" s="489"/>
      <c r="K134" s="645"/>
      <c r="P134" s="561" t="s">
        <v>367</v>
      </c>
      <c r="Q134" s="561" t="s">
        <v>367</v>
      </c>
    </row>
    <row r="135" spans="1:17" ht="15.75" x14ac:dyDescent="0.2">
      <c r="A135" s="782">
        <f t="shared" si="12"/>
        <v>0</v>
      </c>
      <c r="C135" s="642" t="s">
        <v>30631</v>
      </c>
      <c r="D135" s="643"/>
      <c r="E135" s="778" t="str">
        <f>Liste!B525</f>
        <v>Zahnspachtel Zahnung A2</v>
      </c>
      <c r="F135" s="646"/>
      <c r="G135" s="502" t="str">
        <f>Liste!C525</f>
        <v>7001300</v>
      </c>
      <c r="H135" s="2004">
        <f>Liste!D525</f>
        <v>0</v>
      </c>
      <c r="I135" s="488"/>
      <c r="J135" s="489"/>
      <c r="K135" s="645"/>
      <c r="P135" s="561" t="s">
        <v>367</v>
      </c>
      <c r="Q135" s="561" t="s">
        <v>367</v>
      </c>
    </row>
    <row r="136" spans="1:17" ht="15.75" x14ac:dyDescent="0.2">
      <c r="A136" s="782">
        <f t="shared" si="12"/>
        <v>0</v>
      </c>
      <c r="C136" s="632" t="s">
        <v>30993</v>
      </c>
      <c r="D136" s="633"/>
      <c r="E136" s="778" t="str">
        <f>Liste!B520</f>
        <v>Brandschutzdichtung Acryl, BSDI-Acryl-B2</v>
      </c>
      <c r="F136" s="594"/>
      <c r="G136" s="502" t="str">
        <f>Liste!C520</f>
        <v>0212010</v>
      </c>
      <c r="H136" s="2601"/>
      <c r="I136" s="488"/>
      <c r="J136" s="489"/>
      <c r="K136" s="558"/>
      <c r="L136" s="431"/>
      <c r="M136" s="431"/>
      <c r="N136" s="432"/>
      <c r="O136" s="432"/>
      <c r="P136" s="561" t="s">
        <v>367</v>
      </c>
      <c r="Q136" s="561" t="s">
        <v>367</v>
      </c>
    </row>
    <row r="137" spans="1:17" ht="15.75" x14ac:dyDescent="0.2">
      <c r="A137" s="782">
        <f t="shared" si="12"/>
        <v>0</v>
      </c>
      <c r="C137" s="632"/>
      <c r="D137" s="633"/>
      <c r="E137" s="638"/>
      <c r="F137" s="594"/>
      <c r="G137" s="487">
        <v>0</v>
      </c>
      <c r="H137" s="1284"/>
      <c r="I137" s="488"/>
      <c r="J137" s="489"/>
      <c r="K137" s="558"/>
      <c r="L137" s="431"/>
      <c r="M137" s="431"/>
      <c r="N137" s="432"/>
      <c r="O137" s="432"/>
      <c r="P137" s="561"/>
      <c r="Q137" s="561"/>
    </row>
    <row r="138" spans="1:17" ht="15.75" x14ac:dyDescent="0.2">
      <c r="A138" s="782">
        <f t="shared" si="12"/>
        <v>0</v>
      </c>
      <c r="C138" s="632"/>
      <c r="D138" s="633"/>
      <c r="E138" s="638"/>
      <c r="F138" s="594"/>
      <c r="G138" s="487">
        <v>0</v>
      </c>
      <c r="H138" s="1284"/>
      <c r="I138" s="488"/>
      <c r="J138" s="489"/>
      <c r="K138" s="558"/>
      <c r="L138" s="431"/>
      <c r="M138" s="431"/>
      <c r="N138" s="432"/>
      <c r="O138" s="432"/>
      <c r="P138" s="564"/>
      <c r="Q138" s="564"/>
    </row>
    <row r="139" spans="1:17" ht="14.25" customHeight="1" x14ac:dyDescent="0.2">
      <c r="A139" s="782">
        <f t="shared" ref="A139:A170" si="15">H139</f>
        <v>0</v>
      </c>
      <c r="C139" s="632"/>
      <c r="D139" s="633"/>
      <c r="E139" s="3404"/>
      <c r="F139" s="3405"/>
      <c r="G139" s="487">
        <v>0</v>
      </c>
      <c r="H139" s="1284"/>
      <c r="I139" s="488"/>
      <c r="J139" s="489"/>
      <c r="K139" s="558"/>
      <c r="L139" s="431"/>
      <c r="M139" s="431"/>
      <c r="N139" s="432"/>
      <c r="O139" s="432"/>
      <c r="P139" s="564"/>
      <c r="Q139" s="564"/>
    </row>
    <row r="140" spans="1:17" ht="15.75" x14ac:dyDescent="0.2">
      <c r="A140" s="782">
        <f t="shared" si="15"/>
        <v>0</v>
      </c>
      <c r="C140" s="632"/>
      <c r="D140" s="633"/>
      <c r="E140" s="635"/>
      <c r="F140" s="634"/>
      <c r="G140" s="487">
        <v>0</v>
      </c>
      <c r="H140" s="1290"/>
      <c r="I140" s="488"/>
      <c r="J140" s="489"/>
      <c r="K140" s="639"/>
      <c r="P140" s="561"/>
      <c r="Q140" s="561"/>
    </row>
    <row r="141" spans="1:17" ht="15.75" x14ac:dyDescent="0.2">
      <c r="A141" s="782">
        <f t="shared" si="15"/>
        <v>0</v>
      </c>
      <c r="C141" s="632"/>
      <c r="D141" s="633"/>
      <c r="E141" s="635"/>
      <c r="F141" s="640"/>
      <c r="G141" s="487">
        <v>0</v>
      </c>
      <c r="H141" s="1290"/>
      <c r="I141" s="488"/>
      <c r="J141" s="489"/>
      <c r="K141" s="639"/>
      <c r="P141" s="561"/>
      <c r="Q141" s="561"/>
    </row>
    <row r="142" spans="1:17" ht="15.75" x14ac:dyDescent="0.2">
      <c r="A142" s="782">
        <f t="shared" si="15"/>
        <v>0</v>
      </c>
      <c r="C142" s="632"/>
      <c r="D142" s="633"/>
      <c r="E142" s="635"/>
      <c r="F142" s="640"/>
      <c r="G142" s="487">
        <v>0</v>
      </c>
      <c r="H142" s="1291"/>
      <c r="I142" s="488"/>
      <c r="J142" s="489"/>
      <c r="K142" s="639"/>
      <c r="P142" s="561"/>
      <c r="Q142" s="561"/>
    </row>
    <row r="143" spans="1:17" ht="15.75" x14ac:dyDescent="0.2">
      <c r="A143" s="782">
        <f t="shared" si="15"/>
        <v>0</v>
      </c>
      <c r="C143" s="632"/>
      <c r="D143" s="633"/>
      <c r="E143" s="635"/>
      <c r="F143" s="640"/>
      <c r="G143" s="487">
        <v>0</v>
      </c>
      <c r="H143" s="1290"/>
      <c r="I143" s="488"/>
      <c r="J143" s="489"/>
      <c r="K143" s="639"/>
      <c r="P143" s="561"/>
      <c r="Q143" s="561"/>
    </row>
    <row r="144" spans="1:17" ht="15.75" x14ac:dyDescent="0.2">
      <c r="A144" s="782">
        <f t="shared" si="15"/>
        <v>0</v>
      </c>
      <c r="C144" s="632"/>
      <c r="D144" s="633"/>
      <c r="E144" s="635"/>
      <c r="F144" s="634"/>
      <c r="G144" s="487">
        <v>0</v>
      </c>
      <c r="H144" s="1285"/>
      <c r="I144" s="488"/>
      <c r="J144" s="489"/>
      <c r="K144" s="570"/>
      <c r="L144" s="453"/>
      <c r="M144" s="641"/>
      <c r="N144" s="466"/>
      <c r="O144" s="466"/>
      <c r="P144" s="561"/>
      <c r="Q144" s="561"/>
    </row>
    <row r="145" spans="1:17" ht="15.75" x14ac:dyDescent="0.2">
      <c r="A145" s="782">
        <f t="shared" si="15"/>
        <v>0</v>
      </c>
      <c r="C145" s="632"/>
      <c r="D145" s="633"/>
      <c r="E145" s="635"/>
      <c r="F145" s="634"/>
      <c r="G145" s="487">
        <v>0</v>
      </c>
      <c r="H145" s="1285"/>
      <c r="I145" s="488"/>
      <c r="J145" s="489"/>
      <c r="K145" s="570"/>
      <c r="L145" s="453"/>
      <c r="M145" s="641"/>
      <c r="N145" s="466"/>
      <c r="O145" s="466"/>
      <c r="P145" s="561"/>
      <c r="Q145" s="561"/>
    </row>
    <row r="146" spans="1:17" ht="15.75" x14ac:dyDescent="0.2">
      <c r="A146" s="782">
        <f t="shared" si="15"/>
        <v>0</v>
      </c>
      <c r="C146" s="642"/>
      <c r="D146" s="643"/>
      <c r="E146" s="644"/>
      <c r="F146" s="645"/>
      <c r="G146" s="487">
        <v>0</v>
      </c>
      <c r="H146" s="1288"/>
      <c r="I146" s="488"/>
      <c r="J146" s="489"/>
      <c r="K146" s="639"/>
      <c r="P146" s="561"/>
      <c r="Q146" s="561"/>
    </row>
    <row r="147" spans="1:17" ht="15.75" x14ac:dyDescent="0.2">
      <c r="A147" s="782">
        <f t="shared" si="15"/>
        <v>0</v>
      </c>
      <c r="C147" s="642"/>
      <c r="D147" s="643"/>
      <c r="E147" s="646"/>
      <c r="F147" s="645"/>
      <c r="G147" s="487">
        <v>0</v>
      </c>
      <c r="H147" s="1291"/>
      <c r="I147" s="488"/>
      <c r="J147" s="489"/>
      <c r="K147" s="639"/>
      <c r="P147" s="1633"/>
      <c r="Q147" s="1633"/>
    </row>
    <row r="148" spans="1:17" ht="15.75" x14ac:dyDescent="0.2">
      <c r="A148" s="782">
        <f t="shared" si="15"/>
        <v>0</v>
      </c>
      <c r="C148" s="647"/>
      <c r="D148" s="643"/>
      <c r="E148" s="644"/>
      <c r="F148" s="645"/>
      <c r="G148" s="487">
        <v>0</v>
      </c>
      <c r="H148" s="1291"/>
      <c r="I148" s="488"/>
      <c r="J148" s="489"/>
      <c r="K148" s="639"/>
      <c r="P148" s="561"/>
      <c r="Q148" s="561"/>
    </row>
    <row r="149" spans="1:17" ht="15.75" x14ac:dyDescent="0.2">
      <c r="A149" s="782">
        <f t="shared" si="15"/>
        <v>0</v>
      </c>
      <c r="C149" s="642"/>
      <c r="D149" s="643"/>
      <c r="E149" s="646"/>
      <c r="F149" s="645"/>
      <c r="G149" s="487">
        <v>0</v>
      </c>
      <c r="H149" s="1290"/>
      <c r="I149" s="488"/>
      <c r="J149" s="489"/>
      <c r="K149" s="639"/>
      <c r="P149" s="561"/>
      <c r="Q149" s="561"/>
    </row>
    <row r="150" spans="1:17" ht="15.75" x14ac:dyDescent="0.2">
      <c r="A150" s="782">
        <f t="shared" si="15"/>
        <v>0</v>
      </c>
      <c r="C150" s="642"/>
      <c r="D150" s="643"/>
      <c r="E150" s="646"/>
      <c r="F150" s="645"/>
      <c r="G150" s="487">
        <v>0</v>
      </c>
      <c r="H150" s="1290"/>
      <c r="I150" s="488"/>
      <c r="J150" s="489"/>
      <c r="K150" s="639"/>
      <c r="P150" s="561"/>
      <c r="Q150" s="561"/>
    </row>
    <row r="151" spans="1:17" ht="15.75" x14ac:dyDescent="0.2">
      <c r="A151" s="782">
        <f t="shared" si="15"/>
        <v>0</v>
      </c>
      <c r="C151" s="642"/>
      <c r="D151" s="643"/>
      <c r="E151" s="646"/>
      <c r="F151" s="645"/>
      <c r="G151" s="487">
        <v>0</v>
      </c>
      <c r="H151" s="1290"/>
      <c r="I151" s="488"/>
      <c r="J151" s="489"/>
      <c r="K151" s="639"/>
      <c r="P151" s="561"/>
      <c r="Q151" s="561"/>
    </row>
    <row r="152" spans="1:17" ht="15.75" x14ac:dyDescent="0.2">
      <c r="A152" s="782">
        <f t="shared" si="15"/>
        <v>0</v>
      </c>
      <c r="C152" s="642"/>
      <c r="D152" s="643"/>
      <c r="E152" s="646"/>
      <c r="F152" s="645"/>
      <c r="G152" s="487">
        <v>0</v>
      </c>
      <c r="H152" s="1290"/>
      <c r="I152" s="488"/>
      <c r="J152" s="489"/>
      <c r="K152" s="639"/>
      <c r="P152" s="561"/>
      <c r="Q152" s="561"/>
    </row>
    <row r="153" spans="1:17" ht="15.75" x14ac:dyDescent="0.2">
      <c r="A153" s="782">
        <f t="shared" si="15"/>
        <v>0</v>
      </c>
      <c r="C153" s="642"/>
      <c r="D153" s="643"/>
      <c r="E153" s="646"/>
      <c r="F153" s="645"/>
      <c r="G153" s="487">
        <v>0</v>
      </c>
      <c r="H153" s="1290"/>
      <c r="I153" s="488"/>
      <c r="J153" s="489"/>
      <c r="K153" s="639"/>
      <c r="P153" s="561"/>
      <c r="Q153" s="561"/>
    </row>
    <row r="154" spans="1:17" ht="15.75" x14ac:dyDescent="0.2">
      <c r="A154" s="782">
        <f t="shared" si="15"/>
        <v>0</v>
      </c>
      <c r="C154" s="642"/>
      <c r="D154" s="643"/>
      <c r="E154" s="646"/>
      <c r="F154" s="645"/>
      <c r="G154" s="487">
        <v>0</v>
      </c>
      <c r="H154" s="1290"/>
      <c r="I154" s="488"/>
      <c r="J154" s="489"/>
      <c r="K154" s="639"/>
      <c r="P154" s="561"/>
      <c r="Q154" s="561"/>
    </row>
    <row r="155" spans="1:17" ht="15.75" x14ac:dyDescent="0.2">
      <c r="A155" s="782">
        <f t="shared" si="15"/>
        <v>0</v>
      </c>
      <c r="C155" s="642"/>
      <c r="D155" s="643"/>
      <c r="E155" s="646"/>
      <c r="F155" s="645"/>
      <c r="G155" s="487">
        <v>0</v>
      </c>
      <c r="H155" s="1290"/>
      <c r="I155" s="488"/>
      <c r="J155" s="489"/>
      <c r="K155" s="639"/>
      <c r="P155" s="561"/>
      <c r="Q155" s="561"/>
    </row>
    <row r="156" spans="1:17" ht="15.75" x14ac:dyDescent="0.2">
      <c r="A156" s="782">
        <f t="shared" si="15"/>
        <v>0</v>
      </c>
      <c r="C156" s="642"/>
      <c r="D156" s="643"/>
      <c r="E156" s="646"/>
      <c r="F156" s="645"/>
      <c r="G156" s="487">
        <v>0</v>
      </c>
      <c r="H156" s="1290"/>
      <c r="I156" s="488"/>
      <c r="J156" s="489"/>
      <c r="K156" s="639"/>
      <c r="P156" s="561"/>
      <c r="Q156" s="561"/>
    </row>
    <row r="157" spans="1:17" ht="15.75" x14ac:dyDescent="0.2">
      <c r="A157" s="782">
        <f t="shared" si="15"/>
        <v>0</v>
      </c>
      <c r="C157" s="642"/>
      <c r="D157" s="643"/>
      <c r="E157" s="646"/>
      <c r="F157" s="645"/>
      <c r="G157" s="487">
        <v>0</v>
      </c>
      <c r="H157" s="1290"/>
      <c r="I157" s="488"/>
      <c r="J157" s="489"/>
      <c r="K157" s="639"/>
      <c r="P157" s="561"/>
      <c r="Q157" s="561"/>
    </row>
    <row r="158" spans="1:17" ht="15.75" x14ac:dyDescent="0.2">
      <c r="A158" s="782">
        <f t="shared" si="15"/>
        <v>0</v>
      </c>
      <c r="C158" s="642"/>
      <c r="D158" s="643"/>
      <c r="E158" s="646"/>
      <c r="F158" s="645"/>
      <c r="G158" s="487">
        <v>0</v>
      </c>
      <c r="H158" s="1290"/>
      <c r="I158" s="488"/>
      <c r="J158" s="489"/>
      <c r="K158" s="639"/>
      <c r="P158" s="561"/>
      <c r="Q158" s="561"/>
    </row>
    <row r="159" spans="1:17" ht="15.75" x14ac:dyDescent="0.2">
      <c r="A159" s="782">
        <f t="shared" si="15"/>
        <v>0</v>
      </c>
      <c r="C159" s="642"/>
      <c r="D159" s="643"/>
      <c r="E159" s="646"/>
      <c r="F159" s="645"/>
      <c r="G159" s="487">
        <v>0</v>
      </c>
      <c r="H159" s="1290"/>
      <c r="I159" s="488"/>
      <c r="J159" s="489"/>
      <c r="K159" s="639"/>
      <c r="P159" s="561"/>
      <c r="Q159" s="561"/>
    </row>
    <row r="160" spans="1:17" ht="15.75" x14ac:dyDescent="0.2">
      <c r="A160" s="782">
        <f t="shared" si="15"/>
        <v>0</v>
      </c>
      <c r="C160" s="642"/>
      <c r="D160" s="643"/>
      <c r="E160" s="646"/>
      <c r="F160" s="645"/>
      <c r="G160" s="487">
        <v>0</v>
      </c>
      <c r="H160" s="1290"/>
      <c r="I160" s="488"/>
      <c r="J160" s="489"/>
      <c r="K160" s="639"/>
      <c r="P160" s="561"/>
      <c r="Q160" s="561"/>
    </row>
    <row r="161" spans="1:17" ht="15.75" x14ac:dyDescent="0.2">
      <c r="A161" s="782">
        <f t="shared" si="15"/>
        <v>0</v>
      </c>
      <c r="C161" s="642"/>
      <c r="D161" s="643"/>
      <c r="E161" s="646"/>
      <c r="F161" s="645"/>
      <c r="G161" s="487">
        <v>0</v>
      </c>
      <c r="H161" s="1290"/>
      <c r="I161" s="488"/>
      <c r="J161" s="489"/>
      <c r="K161" s="639"/>
      <c r="P161" s="561"/>
      <c r="Q161" s="561"/>
    </row>
    <row r="162" spans="1:17" ht="15.75" x14ac:dyDescent="0.2">
      <c r="A162" s="782">
        <f t="shared" si="15"/>
        <v>0</v>
      </c>
      <c r="C162" s="642"/>
      <c r="D162" s="643"/>
      <c r="E162" s="646"/>
      <c r="F162" s="645"/>
      <c r="G162" s="487">
        <v>0</v>
      </c>
      <c r="H162" s="1290"/>
      <c r="I162" s="488"/>
      <c r="J162" s="489"/>
      <c r="K162" s="639"/>
      <c r="P162" s="561"/>
      <c r="Q162" s="561"/>
    </row>
    <row r="163" spans="1:17" ht="15.75" x14ac:dyDescent="0.2">
      <c r="A163" s="782">
        <f t="shared" si="15"/>
        <v>0</v>
      </c>
      <c r="C163" s="642"/>
      <c r="D163" s="643"/>
      <c r="E163" s="646"/>
      <c r="F163" s="645"/>
      <c r="G163" s="487">
        <v>0</v>
      </c>
      <c r="H163" s="1290"/>
      <c r="I163" s="488"/>
      <c r="J163" s="489"/>
      <c r="K163" s="639"/>
      <c r="P163" s="561"/>
      <c r="Q163" s="561"/>
    </row>
    <row r="164" spans="1:17" ht="15.75" x14ac:dyDescent="0.2">
      <c r="A164" s="782">
        <f t="shared" si="15"/>
        <v>0</v>
      </c>
      <c r="C164" s="642"/>
      <c r="D164" s="643"/>
      <c r="E164" s="646"/>
      <c r="F164" s="645"/>
      <c r="G164" s="487">
        <v>0</v>
      </c>
      <c r="H164" s="1290"/>
      <c r="I164" s="488"/>
      <c r="J164" s="489"/>
      <c r="K164" s="639"/>
      <c r="P164" s="561"/>
      <c r="Q164" s="561"/>
    </row>
    <row r="165" spans="1:17" ht="15.75" x14ac:dyDescent="0.2">
      <c r="A165" s="782">
        <f t="shared" si="15"/>
        <v>0</v>
      </c>
      <c r="C165" s="642"/>
      <c r="D165" s="643"/>
      <c r="E165" s="646"/>
      <c r="F165" s="645"/>
      <c r="G165" s="487">
        <v>0</v>
      </c>
      <c r="H165" s="1290"/>
      <c r="I165" s="488"/>
      <c r="J165" s="489"/>
      <c r="K165" s="639"/>
      <c r="P165" s="561"/>
      <c r="Q165" s="561"/>
    </row>
    <row r="166" spans="1:17" ht="15.75" x14ac:dyDescent="0.2">
      <c r="A166" s="782">
        <f t="shared" si="15"/>
        <v>0</v>
      </c>
      <c r="C166" s="642"/>
      <c r="D166" s="643"/>
      <c r="E166" s="646"/>
      <c r="F166" s="645"/>
      <c r="G166" s="487">
        <v>0</v>
      </c>
      <c r="H166" s="1290"/>
      <c r="I166" s="488"/>
      <c r="J166" s="489"/>
      <c r="K166" s="639"/>
      <c r="P166" s="561"/>
      <c r="Q166" s="561"/>
    </row>
    <row r="167" spans="1:17" ht="15.75" x14ac:dyDescent="0.2">
      <c r="A167" s="782">
        <f t="shared" si="15"/>
        <v>0</v>
      </c>
      <c r="C167" s="642"/>
      <c r="D167" s="643"/>
      <c r="E167" s="646"/>
      <c r="F167" s="645"/>
      <c r="G167" s="487">
        <v>0</v>
      </c>
      <c r="H167" s="1290"/>
      <c r="I167" s="488"/>
      <c r="J167" s="489"/>
      <c r="K167" s="639"/>
      <c r="P167" s="561"/>
      <c r="Q167" s="561"/>
    </row>
    <row r="168" spans="1:17" ht="15.75" x14ac:dyDescent="0.2">
      <c r="A168" s="782">
        <f t="shared" si="15"/>
        <v>0</v>
      </c>
      <c r="C168" s="642"/>
      <c r="D168" s="643"/>
      <c r="E168" s="646"/>
      <c r="F168" s="645"/>
      <c r="G168" s="487">
        <v>0</v>
      </c>
      <c r="H168" s="1290"/>
      <c r="I168" s="488"/>
      <c r="J168" s="489"/>
      <c r="K168" s="639"/>
      <c r="P168" s="561"/>
      <c r="Q168" s="561"/>
    </row>
    <row r="169" spans="1:17" ht="15.75" x14ac:dyDescent="0.2">
      <c r="A169" s="782">
        <f t="shared" si="15"/>
        <v>0</v>
      </c>
      <c r="C169" s="642"/>
      <c r="D169" s="643"/>
      <c r="E169" s="646"/>
      <c r="F169" s="645"/>
      <c r="G169" s="487">
        <v>0</v>
      </c>
      <c r="H169" s="1290"/>
      <c r="I169" s="488"/>
      <c r="J169" s="489"/>
      <c r="K169" s="639"/>
      <c r="P169" s="561"/>
      <c r="Q169" s="561"/>
    </row>
    <row r="170" spans="1:17" ht="15.75" x14ac:dyDescent="0.2">
      <c r="A170" s="782">
        <f t="shared" si="15"/>
        <v>0</v>
      </c>
      <c r="C170" s="642"/>
      <c r="D170" s="643"/>
      <c r="E170" s="646"/>
      <c r="F170" s="645"/>
      <c r="G170" s="487">
        <v>0</v>
      </c>
      <c r="H170" s="1290"/>
      <c r="I170" s="488"/>
      <c r="J170" s="489"/>
      <c r="K170" s="639"/>
      <c r="P170" s="561"/>
      <c r="Q170" s="561"/>
    </row>
    <row r="171" spans="1:17" ht="15.75" x14ac:dyDescent="0.2">
      <c r="A171" s="782">
        <f t="shared" ref="A171:A179" si="16">H171</f>
        <v>0</v>
      </c>
      <c r="C171" s="642"/>
      <c r="D171" s="643"/>
      <c r="E171" s="646"/>
      <c r="F171" s="645"/>
      <c r="G171" s="487">
        <v>0</v>
      </c>
      <c r="H171" s="1290"/>
      <c r="I171" s="488"/>
      <c r="J171" s="489"/>
      <c r="K171" s="639"/>
      <c r="P171" s="561"/>
      <c r="Q171" s="561"/>
    </row>
    <row r="172" spans="1:17" ht="15.75" x14ac:dyDescent="0.2">
      <c r="A172" s="782">
        <f t="shared" si="16"/>
        <v>0</v>
      </c>
      <c r="C172" s="642"/>
      <c r="D172" s="643"/>
      <c r="E172" s="646"/>
      <c r="F172" s="645"/>
      <c r="G172" s="487">
        <v>0</v>
      </c>
      <c r="H172" s="1290"/>
      <c r="I172" s="488"/>
      <c r="J172" s="489"/>
      <c r="K172" s="639"/>
      <c r="P172" s="561"/>
      <c r="Q172" s="561"/>
    </row>
    <row r="173" spans="1:17" ht="15.75" x14ac:dyDescent="0.2">
      <c r="A173" s="782">
        <f t="shared" si="16"/>
        <v>0</v>
      </c>
      <c r="C173" s="642"/>
      <c r="D173" s="643"/>
      <c r="E173" s="646"/>
      <c r="F173" s="645"/>
      <c r="G173" s="487">
        <v>0</v>
      </c>
      <c r="H173" s="1290"/>
      <c r="I173" s="488"/>
      <c r="J173" s="489"/>
      <c r="K173" s="639"/>
      <c r="P173" s="561"/>
      <c r="Q173" s="561"/>
    </row>
    <row r="174" spans="1:17" ht="15.75" x14ac:dyDescent="0.2">
      <c r="A174" s="782">
        <f t="shared" si="16"/>
        <v>0</v>
      </c>
      <c r="C174" s="642"/>
      <c r="D174" s="643"/>
      <c r="E174" s="646"/>
      <c r="F174" s="645"/>
      <c r="G174" s="487">
        <v>0</v>
      </c>
      <c r="H174" s="1290"/>
      <c r="I174" s="488"/>
      <c r="J174" s="489"/>
      <c r="K174" s="639"/>
      <c r="P174" s="561"/>
      <c r="Q174" s="561"/>
    </row>
    <row r="175" spans="1:17" ht="15.75" x14ac:dyDescent="0.2">
      <c r="A175" s="782">
        <f t="shared" si="16"/>
        <v>0</v>
      </c>
      <c r="C175" s="642"/>
      <c r="D175" s="643"/>
      <c r="E175" s="646"/>
      <c r="F175" s="645"/>
      <c r="G175" s="487">
        <v>0</v>
      </c>
      <c r="H175" s="1290"/>
      <c r="I175" s="488"/>
      <c r="J175" s="489"/>
      <c r="K175" s="639"/>
      <c r="P175" s="561"/>
      <c r="Q175" s="561"/>
    </row>
    <row r="176" spans="1:17" ht="15.75" x14ac:dyDescent="0.2">
      <c r="A176" s="782">
        <f t="shared" si="16"/>
        <v>0</v>
      </c>
      <c r="C176" s="642"/>
      <c r="D176" s="643"/>
      <c r="E176" s="646"/>
      <c r="F176" s="645"/>
      <c r="G176" s="487">
        <v>0</v>
      </c>
      <c r="H176" s="1290"/>
      <c r="I176" s="488"/>
      <c r="J176" s="489"/>
      <c r="K176" s="639"/>
      <c r="P176" s="561"/>
      <c r="Q176" s="561"/>
    </row>
    <row r="177" spans="1:17" ht="15.75" x14ac:dyDescent="0.2">
      <c r="A177" s="782">
        <f t="shared" si="16"/>
        <v>0</v>
      </c>
      <c r="C177" s="642"/>
      <c r="D177" s="643"/>
      <c r="E177" s="646"/>
      <c r="F177" s="645"/>
      <c r="G177" s="487">
        <v>0</v>
      </c>
      <c r="H177" s="1290"/>
      <c r="I177" s="488"/>
      <c r="J177" s="489"/>
      <c r="K177" s="639"/>
      <c r="P177" s="561"/>
      <c r="Q177" s="561"/>
    </row>
    <row r="178" spans="1:17" ht="15.75" x14ac:dyDescent="0.2">
      <c r="A178" s="782">
        <f t="shared" si="16"/>
        <v>0</v>
      </c>
      <c r="C178" s="642"/>
      <c r="D178" s="643"/>
      <c r="E178" s="646"/>
      <c r="F178" s="645"/>
      <c r="G178" s="487">
        <v>0</v>
      </c>
      <c r="H178" s="1290"/>
      <c r="I178" s="488"/>
      <c r="J178" s="489"/>
      <c r="K178" s="639"/>
      <c r="P178" s="561"/>
      <c r="Q178" s="561"/>
    </row>
    <row r="179" spans="1:17" ht="16.5" thickBot="1" x14ac:dyDescent="0.25">
      <c r="A179" s="782">
        <f t="shared" si="16"/>
        <v>0</v>
      </c>
      <c r="C179" s="648"/>
      <c r="D179" s="649"/>
      <c r="E179" s="650"/>
      <c r="F179" s="651"/>
      <c r="G179" s="487">
        <v>0</v>
      </c>
      <c r="H179" s="1292"/>
      <c r="I179" s="488"/>
      <c r="J179" s="489"/>
      <c r="K179" s="652"/>
      <c r="P179" s="561"/>
      <c r="Q179" s="561"/>
    </row>
  </sheetData>
  <autoFilter ref="A10:A179" xr:uid="{00000000-0009-0000-0000-00001E000000}"/>
  <mergeCells count="26">
    <mergeCell ref="E139:F139"/>
    <mergeCell ref="G83:G84"/>
    <mergeCell ref="H83:H84"/>
    <mergeCell ref="I83:I84"/>
    <mergeCell ref="E109:F109"/>
    <mergeCell ref="M44:O47"/>
    <mergeCell ref="M18:O19"/>
    <mergeCell ref="K83:K84"/>
    <mergeCell ref="C69:K69"/>
    <mergeCell ref="C70:F70"/>
    <mergeCell ref="J83:J84"/>
    <mergeCell ref="M62:O65"/>
    <mergeCell ref="C33:F33"/>
    <mergeCell ref="S14:T14"/>
    <mergeCell ref="C11:F11"/>
    <mergeCell ref="C12:K12"/>
    <mergeCell ref="C1:K1"/>
    <mergeCell ref="E2:F2"/>
    <mergeCell ref="H2:K2"/>
    <mergeCell ref="E4:F4"/>
    <mergeCell ref="H4:K4"/>
    <mergeCell ref="H6:I6"/>
    <mergeCell ref="J6:K6"/>
    <mergeCell ref="J13:K13"/>
    <mergeCell ref="C13:I13"/>
    <mergeCell ref="C8:K9"/>
  </mergeCells>
  <phoneticPr fontId="76" type="noConversion"/>
  <conditionalFormatting sqref="E118 H144:H145 K41:O41 K34:K40 K42:L49 D68:K68 E114:E115 L125:O127 D11:K11 G83:K83 E112 P68:Q70 D34:F40 C41:F41 D42:F48 M11:O17 M42:O43 C68:C69 M66:O67 L124:Q124 L144:Q145 Q125 R62:IV67 P146:Q146 P148:Q179 C61:F63 D51:J51 D53:F60 K61:IV61 L11:L19 P11:Q19 I20 M48:O49 C42:C49 C11:C40 L21:O40 D14:K17 D18:I19 K18:K19 D21:K21 H52:J52 H64:L64 C64 G34:J49 G53:J56 G58:J60 G62:L63 C65:L67 H136:H139 I136:J179 P137:Q143 L136:O139 P100:Q101 P103:Q103 P81:Q84 D71:K75 P21:Q48 D80:K82 E76:K76 C71:C82 D27:K32 D22:F26 H22:K26 P106:Q118 K77:K79 J96:J98 H96:H98 J93:J94 P86:Q92 I85:I98 C86:C92 C51:C60 K51:Q60 M116:M123 N104:O123 L104:L123 P120:Q123 E121:E124 H86:H94 L68:O103 H99:J127">
    <cfRule type="cellIs" dxfId="646" priority="55" stopIfTrue="1" operator="equal">
      <formula>0</formula>
    </cfRule>
  </conditionalFormatting>
  <conditionalFormatting sqref="P125">
    <cfRule type="cellIs" dxfId="645" priority="56" stopIfTrue="1" operator="equal">
      <formula>0</formula>
    </cfRule>
  </conditionalFormatting>
  <conditionalFormatting sqref="P85:Q85">
    <cfRule type="cellIs" dxfId="644" priority="54" stopIfTrue="1" operator="equal">
      <formula>0</formula>
    </cfRule>
  </conditionalFormatting>
  <conditionalFormatting sqref="P67:Q67 P63:Q65">
    <cfRule type="cellIs" dxfId="643" priority="53" stopIfTrue="1" operator="equal">
      <formula>0</formula>
    </cfRule>
  </conditionalFormatting>
  <conditionalFormatting sqref="G110:G111 E110:E111">
    <cfRule type="cellIs" dxfId="642" priority="52" stopIfTrue="1" operator="equal">
      <formula>0</formula>
    </cfRule>
  </conditionalFormatting>
  <conditionalFormatting sqref="P93:Q93 P95:Q95">
    <cfRule type="cellIs" dxfId="641" priority="51" stopIfTrue="1" operator="equal">
      <formula>0</formula>
    </cfRule>
  </conditionalFormatting>
  <conditionalFormatting sqref="G109">
    <cfRule type="cellIs" dxfId="640" priority="49" stopIfTrue="1" operator="equal">
      <formula>0</formula>
    </cfRule>
  </conditionalFormatting>
  <conditionalFormatting sqref="G57:J57">
    <cfRule type="cellIs" dxfId="639" priority="48" stopIfTrue="1" operator="equal">
      <formula>0</formula>
    </cfRule>
  </conditionalFormatting>
  <conditionalFormatting sqref="G61:J61">
    <cfRule type="cellIs" dxfId="638" priority="47" stopIfTrue="1" operator="equal">
      <formula>0</formula>
    </cfRule>
  </conditionalFormatting>
  <conditionalFormatting sqref="D49:F49">
    <cfRule type="cellIs" dxfId="637" priority="45" stopIfTrue="1" operator="equal">
      <formula>0</formula>
    </cfRule>
  </conditionalFormatting>
  <conditionalFormatting sqref="P49:Q49">
    <cfRule type="cellIs" dxfId="636" priority="44" stopIfTrue="1" operator="equal">
      <formula>0</formula>
    </cfRule>
  </conditionalFormatting>
  <conditionalFormatting sqref="D20:H20 K20:Q20">
    <cfRule type="cellIs" dxfId="635" priority="42" stopIfTrue="1" operator="equal">
      <formula>0</formula>
    </cfRule>
  </conditionalFormatting>
  <conditionalFormatting sqref="J18:J20">
    <cfRule type="cellIs" dxfId="634" priority="41" stopIfTrue="1" operator="equal">
      <formula>0</formula>
    </cfRule>
  </conditionalFormatting>
  <conditionalFormatting sqref="D52:G52">
    <cfRule type="cellIs" dxfId="633" priority="40" stopIfTrue="1" operator="equal">
      <formula>0</formula>
    </cfRule>
  </conditionalFormatting>
  <conditionalFormatting sqref="D64:G64">
    <cfRule type="cellIs" dxfId="632" priority="39" stopIfTrue="1" operator="equal">
      <formula>0</formula>
    </cfRule>
  </conditionalFormatting>
  <conditionalFormatting sqref="P66:Q66">
    <cfRule type="cellIs" dxfId="631" priority="37" stopIfTrue="1" operator="equal">
      <formula>0</formula>
    </cfRule>
  </conditionalFormatting>
  <conditionalFormatting sqref="I128:J135">
    <cfRule type="cellIs" dxfId="630" priority="35" stopIfTrue="1" operator="equal">
      <formula>0</formula>
    </cfRule>
  </conditionalFormatting>
  <conditionalFormatting sqref="P104:Q104">
    <cfRule type="cellIs" dxfId="629" priority="34" stopIfTrue="1" operator="equal">
      <formula>0</formula>
    </cfRule>
  </conditionalFormatting>
  <conditionalFormatting sqref="P105:Q105">
    <cfRule type="cellIs" dxfId="628" priority="33" stopIfTrue="1" operator="equal">
      <formula>0</formula>
    </cfRule>
  </conditionalFormatting>
  <conditionalFormatting sqref="P96:Q96">
    <cfRule type="cellIs" dxfId="627" priority="31" stopIfTrue="1" operator="equal">
      <formula>0</formula>
    </cfRule>
  </conditionalFormatting>
  <conditionalFormatting sqref="P97:Q97">
    <cfRule type="cellIs" dxfId="626" priority="32" stopIfTrue="1" operator="equal">
      <formula>0</formula>
    </cfRule>
  </conditionalFormatting>
  <conditionalFormatting sqref="Q98">
    <cfRule type="cellIs" dxfId="625" priority="29" stopIfTrue="1" operator="equal">
      <formula>0</formula>
    </cfRule>
  </conditionalFormatting>
  <conditionalFormatting sqref="P98">
    <cfRule type="cellIs" dxfId="624" priority="30" stopIfTrue="1" operator="equal">
      <formula>0</formula>
    </cfRule>
  </conditionalFormatting>
  <conditionalFormatting sqref="P126:Q127">
    <cfRule type="cellIs" dxfId="623" priority="28" stopIfTrue="1" operator="equal">
      <formula>0</formula>
    </cfRule>
  </conditionalFormatting>
  <conditionalFormatting sqref="P71:Q80">
    <cfRule type="cellIs" dxfId="622" priority="27" stopIfTrue="1" operator="equal">
      <formula>0</formula>
    </cfRule>
  </conditionalFormatting>
  <conditionalFormatting sqref="H95">
    <cfRule type="cellIs" dxfId="621" priority="26" stopIfTrue="1" operator="equal">
      <formula>0</formula>
    </cfRule>
  </conditionalFormatting>
  <conditionalFormatting sqref="G95">
    <cfRule type="cellIs" dxfId="620" priority="25" stopIfTrue="1" operator="equal">
      <formula>0</formula>
    </cfRule>
  </conditionalFormatting>
  <conditionalFormatting sqref="J95">
    <cfRule type="cellIs" dxfId="619" priority="24" stopIfTrue="1" operator="equal">
      <formula>0</formula>
    </cfRule>
  </conditionalFormatting>
  <conditionalFormatting sqref="P62:Q62">
    <cfRule type="cellIs" dxfId="618" priority="23" stopIfTrue="1" operator="equal">
      <formula>0</formula>
    </cfRule>
  </conditionalFormatting>
  <conditionalFormatting sqref="P119:Q119">
    <cfRule type="cellIs" dxfId="617" priority="22" stopIfTrue="1" operator="equal">
      <formula>0</formula>
    </cfRule>
  </conditionalFormatting>
  <conditionalFormatting sqref="D76">
    <cfRule type="cellIs" dxfId="616" priority="21" stopIfTrue="1" operator="equal">
      <formula>0</formula>
    </cfRule>
  </conditionalFormatting>
  <conditionalFormatting sqref="C70">
    <cfRule type="cellIs" dxfId="615" priority="20" stopIfTrue="1" operator="equal">
      <formula>0</formula>
    </cfRule>
  </conditionalFormatting>
  <conditionalFormatting sqref="G22:G26">
    <cfRule type="cellIs" dxfId="614" priority="19" stopIfTrue="1" operator="equal">
      <formula>0</formula>
    </cfRule>
  </conditionalFormatting>
  <conditionalFormatting sqref="D77:J79">
    <cfRule type="cellIs" dxfId="613" priority="18" stopIfTrue="1" operator="equal">
      <formula>0</formula>
    </cfRule>
  </conditionalFormatting>
  <conditionalFormatting sqref="P129:P132">
    <cfRule type="cellIs" dxfId="612" priority="17" stopIfTrue="1" operator="equal">
      <formula>0</formula>
    </cfRule>
  </conditionalFormatting>
  <conditionalFormatting sqref="Q129:Q132">
    <cfRule type="cellIs" dxfId="611" priority="16" stopIfTrue="1" operator="equal">
      <formula>0</formula>
    </cfRule>
  </conditionalFormatting>
  <conditionalFormatting sqref="P133">
    <cfRule type="cellIs" dxfId="610" priority="15" stopIfTrue="1" operator="equal">
      <formula>0</formula>
    </cfRule>
  </conditionalFormatting>
  <conditionalFormatting sqref="Q133">
    <cfRule type="cellIs" dxfId="609" priority="14" stopIfTrue="1" operator="equal">
      <formula>0</formula>
    </cfRule>
  </conditionalFormatting>
  <conditionalFormatting sqref="P134">
    <cfRule type="cellIs" dxfId="608" priority="13" stopIfTrue="1" operator="equal">
      <formula>0</formula>
    </cfRule>
  </conditionalFormatting>
  <conditionalFormatting sqref="Q134">
    <cfRule type="cellIs" dxfId="607" priority="12" stopIfTrue="1" operator="equal">
      <formula>0</formula>
    </cfRule>
  </conditionalFormatting>
  <conditionalFormatting sqref="P135">
    <cfRule type="cellIs" dxfId="606" priority="11" stopIfTrue="1" operator="equal">
      <formula>0</formula>
    </cfRule>
  </conditionalFormatting>
  <conditionalFormatting sqref="Q135">
    <cfRule type="cellIs" dxfId="605" priority="10" stopIfTrue="1" operator="equal">
      <formula>0</formula>
    </cfRule>
  </conditionalFormatting>
  <conditionalFormatting sqref="P94:Q94">
    <cfRule type="cellIs" dxfId="604" priority="8" stopIfTrue="1" operator="equal">
      <formula>0</formula>
    </cfRule>
  </conditionalFormatting>
  <conditionalFormatting sqref="C50 G50:I50 K50:O50">
    <cfRule type="cellIs" dxfId="603" priority="7" stopIfTrue="1" operator="equal">
      <formula>0</formula>
    </cfRule>
  </conditionalFormatting>
  <conditionalFormatting sqref="D50:E50">
    <cfRule type="cellIs" dxfId="602" priority="6" stopIfTrue="1" operator="equal">
      <formula>0</formula>
    </cfRule>
  </conditionalFormatting>
  <conditionalFormatting sqref="P50:Q50">
    <cfRule type="cellIs" dxfId="601" priority="5" stopIfTrue="1" operator="equal">
      <formula>0</formula>
    </cfRule>
  </conditionalFormatting>
  <conditionalFormatting sqref="J50">
    <cfRule type="cellIs" dxfId="600" priority="4" stopIfTrue="1" operator="equal">
      <formula>0</formula>
    </cfRule>
  </conditionalFormatting>
  <conditionalFormatting sqref="F50">
    <cfRule type="cellIs" dxfId="599" priority="3" stopIfTrue="1" operator="equal">
      <formula>0</formula>
    </cfRule>
  </conditionalFormatting>
  <conditionalFormatting sqref="P136">
    <cfRule type="cellIs" dxfId="598" priority="2" stopIfTrue="1" operator="equal">
      <formula>0</formula>
    </cfRule>
  </conditionalFormatting>
  <conditionalFormatting sqref="Q136">
    <cfRule type="cellIs" dxfId="597" priority="1" stopIfTrue="1" operator="equal">
      <formula>0</formula>
    </cfRule>
  </conditionalFormatting>
  <dataValidations count="1">
    <dataValidation type="whole" allowBlank="1" showInputMessage="1" showErrorMessage="1" sqref="H77:H79" xr:uid="{00000000-0002-0000-1E00-000000000000}">
      <formula1>0</formula1>
      <formula2>10</formula2>
    </dataValidation>
  </dataValidations>
  <printOptions horizontalCentered="1"/>
  <pageMargins left="0.78740157480314965" right="0.78740157480314965" top="0.19685039370078741" bottom="0.59055118110236227" header="0" footer="0"/>
  <pageSetup paperSize="9" scale="78" fitToHeight="0" orientation="landscape" r:id="rId1"/>
  <headerFooter alignWithMargins="0"/>
  <rowBreaks count="3" manualBreakCount="3">
    <brk id="31" min="1" max="11" man="1"/>
    <brk id="68" min="1" max="11" man="1"/>
    <brk id="94" min="1" max="11" man="1"/>
  </rowBreaks>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Tabelle26">
    <tabColor indexed="9"/>
    <pageSetUpPr fitToPage="1"/>
  </sheetPr>
  <dimension ref="A1:AH84"/>
  <sheetViews>
    <sheetView showGridLines="0" view="pageBreakPreview" zoomScale="115" zoomScaleNormal="100" zoomScaleSheetLayoutView="115" workbookViewId="0">
      <selection activeCell="L14" sqref="L14"/>
    </sheetView>
  </sheetViews>
  <sheetFormatPr baseColWidth="10" defaultColWidth="11.42578125" defaultRowHeight="15" x14ac:dyDescent="0.25"/>
  <cols>
    <col min="1" max="1" width="2" style="1340" customWidth="1"/>
    <col min="2" max="2" width="0.85546875" style="1136" customWidth="1"/>
    <col min="3" max="3" width="11.7109375" style="1352" customWidth="1"/>
    <col min="4" max="4" width="3.7109375" style="1352" customWidth="1"/>
    <col min="5" max="5" width="7.7109375" style="1352" customWidth="1"/>
    <col min="6" max="6" width="6.5703125" style="1352" customWidth="1"/>
    <col min="7" max="7" width="9.5703125" style="1352" customWidth="1"/>
    <col min="8" max="8" width="11.42578125" style="1352" customWidth="1"/>
    <col min="9" max="9" width="8.85546875" style="1352" customWidth="1"/>
    <col min="10" max="10" width="10.7109375" style="1352" customWidth="1"/>
    <col min="11" max="11" width="2.140625" style="1352" customWidth="1"/>
    <col min="12" max="12" width="15.5703125" style="1352" customWidth="1"/>
    <col min="13" max="15" width="4.28515625" style="1415" customWidth="1"/>
    <col min="16" max="16" width="2.7109375" style="1136" customWidth="1"/>
    <col min="17" max="17" width="11.42578125" style="1136"/>
    <col min="18" max="18" width="8.7109375" style="1136" customWidth="1"/>
    <col min="19" max="19" width="14.7109375" style="1136" bestFit="1" customWidth="1"/>
    <col min="20" max="20" width="10" style="1136" bestFit="1" customWidth="1"/>
    <col min="21" max="21" width="16.5703125" style="1136" bestFit="1" customWidth="1"/>
    <col min="22" max="22" width="15.140625" style="1136" bestFit="1" customWidth="1"/>
    <col min="23" max="26" width="11.42578125" style="1136"/>
    <col min="27" max="27" width="18" style="1347" customWidth="1"/>
    <col min="28" max="16384" width="11.42578125" style="1136"/>
  </cols>
  <sheetData>
    <row r="1" spans="2:34" s="1340" customFormat="1" ht="9.75" customHeight="1" x14ac:dyDescent="0.25">
      <c r="C1" s="1341"/>
      <c r="D1" s="1341"/>
      <c r="E1" s="1341"/>
      <c r="F1" s="1341"/>
      <c r="G1" s="1341"/>
      <c r="H1" s="1341"/>
      <c r="I1" s="1341"/>
      <c r="J1" s="1341"/>
      <c r="K1" s="1341"/>
      <c r="L1" s="1341"/>
      <c r="M1" s="1342"/>
      <c r="N1" s="1342"/>
      <c r="O1" s="1342"/>
      <c r="AA1" s="1343"/>
    </row>
    <row r="2" spans="2:34" ht="42.75" customHeight="1" x14ac:dyDescent="0.25">
      <c r="B2" s="1344"/>
      <c r="C2" s="1345"/>
      <c r="D2" s="1345"/>
      <c r="E2" s="3412" t="s">
        <v>28785</v>
      </c>
      <c r="F2" s="3412"/>
      <c r="G2" s="3412"/>
      <c r="H2" s="3412"/>
      <c r="I2" s="3412"/>
      <c r="J2" s="3412"/>
      <c r="K2" s="3412"/>
      <c r="L2" s="1345"/>
      <c r="M2" s="1346"/>
      <c r="N2" s="1346"/>
      <c r="O2" s="1346"/>
      <c r="P2" s="1344"/>
      <c r="Q2" s="1340"/>
      <c r="R2" s="1340"/>
      <c r="S2" s="1340"/>
      <c r="T2" s="1340"/>
      <c r="U2" s="1340"/>
      <c r="V2" s="1340"/>
      <c r="W2" s="1340"/>
      <c r="X2" s="1340"/>
      <c r="Y2" s="1340"/>
      <c r="Z2" s="1340"/>
    </row>
    <row r="3" spans="2:34" x14ac:dyDescent="0.25">
      <c r="B3" s="1344"/>
      <c r="C3" s="1348"/>
      <c r="D3" s="1348"/>
      <c r="E3" s="1348"/>
      <c r="F3" s="1348"/>
      <c r="G3" s="1348"/>
      <c r="H3" s="1348"/>
      <c r="I3" s="1348"/>
      <c r="J3" s="1348"/>
      <c r="K3" s="1348"/>
      <c r="L3" s="1348"/>
      <c r="M3" s="1349"/>
      <c r="N3" s="1349"/>
      <c r="O3" s="1349"/>
      <c r="P3" s="1344"/>
      <c r="Q3" s="1340"/>
      <c r="R3" s="2340" t="s">
        <v>81</v>
      </c>
      <c r="S3" s="2340" t="s">
        <v>31084</v>
      </c>
      <c r="T3" s="2340" t="s">
        <v>444</v>
      </c>
      <c r="U3" s="2340" t="s">
        <v>31085</v>
      </c>
      <c r="V3" s="2340" t="s">
        <v>31086</v>
      </c>
      <c r="W3" s="2340" t="s">
        <v>31087</v>
      </c>
      <c r="X3" s="2340" t="s">
        <v>31088</v>
      </c>
      <c r="Y3" s="2340" t="s">
        <v>31089</v>
      </c>
      <c r="Z3" s="2340" t="s">
        <v>31090</v>
      </c>
      <c r="AA3" s="2340" t="s">
        <v>31091</v>
      </c>
      <c r="AB3" s="2340" t="s">
        <v>31092</v>
      </c>
      <c r="AC3" s="2340" t="s">
        <v>31093</v>
      </c>
      <c r="AD3" s="2340" t="s">
        <v>31094</v>
      </c>
      <c r="AE3" s="2341" t="s">
        <v>31095</v>
      </c>
      <c r="AF3" s="2341" t="s">
        <v>28856</v>
      </c>
      <c r="AG3" s="2341" t="s">
        <v>31096</v>
      </c>
      <c r="AH3" s="2341" t="s">
        <v>31097</v>
      </c>
    </row>
    <row r="4" spans="2:34" ht="14.25" customHeight="1" x14ac:dyDescent="0.25">
      <c r="B4" s="1344"/>
      <c r="C4" s="1350" t="s">
        <v>28675</v>
      </c>
      <c r="D4" s="3413" t="str">
        <f>Dateneingabe!F3</f>
        <v>05217112</v>
      </c>
      <c r="E4" s="3414"/>
      <c r="F4" s="3414"/>
      <c r="G4" s="1350" t="s">
        <v>28676</v>
      </c>
      <c r="H4" s="1351" t="str">
        <f>Dateneingabe!H3</f>
        <v>200</v>
      </c>
      <c r="I4" s="1350" t="s">
        <v>28677</v>
      </c>
      <c r="J4" s="3415" t="str">
        <f>Dateneingabe!F17&amp;" / "&amp;Dateneingabe!F19</f>
        <v>Element Logic Germany GmbH / Emil Lux GmbH</v>
      </c>
      <c r="K4" s="3415"/>
      <c r="L4" s="3415"/>
      <c r="M4" s="3415"/>
      <c r="N4" s="3415"/>
      <c r="O4" s="3415"/>
      <c r="P4" s="1344"/>
      <c r="Q4" s="1340"/>
      <c r="R4" s="2342" t="str">
        <f>Dateneingabe!F3&amp;"-"&amp;Dateneingabe!H3</f>
        <v>05217112-200</v>
      </c>
      <c r="S4" s="2342" t="str">
        <f>"GCC vertikal "&amp;L8</f>
        <v>GCC vertikal r2 mit Festfeld wandhängend</v>
      </c>
      <c r="T4" s="2342">
        <f>Dateneingabe!F7</f>
        <v>1</v>
      </c>
      <c r="U4" s="2342">
        <f>Dateneingabe!F22</f>
        <v>900</v>
      </c>
      <c r="V4" s="2342">
        <f>Dateneingabe!F24</f>
        <v>835</v>
      </c>
      <c r="W4" s="2342" t="str">
        <f>Dateneingabe!F42</f>
        <v>Stahlblech verzinkt</v>
      </c>
      <c r="X4" s="2342">
        <f>Dateneingabe!H42</f>
        <v>0</v>
      </c>
      <c r="Y4" s="2342" t="str">
        <f>Dateneingabe!F46</f>
        <v>Standardfarbgebung</v>
      </c>
      <c r="Z4" s="2345">
        <f>Dateneingabe!H46</f>
        <v>7016</v>
      </c>
      <c r="AA4" s="2343" t="str">
        <f>Dateneingabe!F48</f>
        <v>Standardfarbgebung</v>
      </c>
      <c r="AB4" s="2346">
        <f>Dateneingabe!H48</f>
        <v>7016</v>
      </c>
      <c r="AC4" s="2344" t="str">
        <f>Dateneingabe!F50</f>
        <v>Standardfarbgebung</v>
      </c>
      <c r="AD4" s="2346">
        <f>Dateneingabe!H50</f>
        <v>7016</v>
      </c>
      <c r="AE4" s="2347"/>
      <c r="AF4" s="2344" t="str">
        <f>Dateneingabe!F80</f>
        <v>ja</v>
      </c>
      <c r="AG4" s="2344"/>
      <c r="AH4" s="2347"/>
    </row>
    <row r="5" spans="2:34" ht="3.75" customHeight="1" x14ac:dyDescent="0.25">
      <c r="B5" s="1344"/>
      <c r="C5" s="1348"/>
      <c r="D5" s="1348"/>
      <c r="E5" s="1348"/>
      <c r="F5" s="1348"/>
      <c r="G5" s="1348"/>
      <c r="H5" s="1348"/>
      <c r="I5" s="1348"/>
      <c r="J5" s="1348"/>
      <c r="K5" s="1348"/>
      <c r="L5" s="1348"/>
      <c r="M5" s="1349"/>
      <c r="N5" s="1349"/>
      <c r="O5" s="1349"/>
      <c r="P5" s="1344"/>
      <c r="Q5" s="1340"/>
      <c r="R5" s="1340"/>
      <c r="S5" s="1340"/>
      <c r="T5" s="1340"/>
      <c r="U5" s="1340"/>
      <c r="V5" s="1340"/>
      <c r="W5" s="1340"/>
      <c r="X5" s="1340"/>
      <c r="Y5" s="1340"/>
      <c r="Z5" s="1340"/>
    </row>
    <row r="6" spans="2:34" ht="19.5" customHeight="1" x14ac:dyDescent="0.25">
      <c r="B6" s="1344"/>
      <c r="D6" s="1353"/>
      <c r="F6" s="1354" t="s">
        <v>28786</v>
      </c>
      <c r="H6" s="1348"/>
      <c r="I6" s="1355"/>
      <c r="J6" s="1356"/>
      <c r="K6" s="1357"/>
      <c r="L6" s="1357"/>
      <c r="M6" s="1358"/>
      <c r="N6" s="1358"/>
      <c r="O6" s="1358"/>
      <c r="P6" s="1344"/>
      <c r="Q6" s="1340"/>
      <c r="R6" s="1340"/>
      <c r="S6" s="1340"/>
      <c r="T6" s="1340"/>
      <c r="U6" s="1340"/>
      <c r="V6" s="1340"/>
      <c r="W6" s="1340"/>
      <c r="X6" s="1340"/>
      <c r="Y6" s="1340"/>
      <c r="Z6" s="1340"/>
    </row>
    <row r="7" spans="2:34" ht="3.2" customHeight="1" x14ac:dyDescent="0.25">
      <c r="B7" s="1344"/>
      <c r="D7" s="1353"/>
      <c r="F7" s="1354"/>
      <c r="H7" s="1348"/>
      <c r="I7" s="1355"/>
      <c r="J7" s="1356"/>
      <c r="K7" s="1357"/>
      <c r="L7" s="1357"/>
      <c r="M7" s="1358"/>
      <c r="N7" s="1358"/>
      <c r="O7" s="1358"/>
      <c r="P7" s="1344"/>
      <c r="Q7" s="1340"/>
      <c r="R7" s="1340"/>
      <c r="S7" s="1340"/>
      <c r="T7" s="1340"/>
      <c r="U7" s="1340"/>
      <c r="V7" s="1340"/>
      <c r="W7" s="1340"/>
      <c r="X7" s="1340"/>
      <c r="Y7" s="1340"/>
      <c r="Z7" s="1340"/>
    </row>
    <row r="8" spans="2:34" ht="15" customHeight="1" x14ac:dyDescent="0.25">
      <c r="B8" s="1344"/>
      <c r="D8" s="1348"/>
      <c r="E8" s="1350" t="s">
        <v>28678</v>
      </c>
      <c r="F8" s="1359" t="str">
        <f>Dateneingabe!F11</f>
        <v>EI₁ 90</v>
      </c>
      <c r="G8" s="1360"/>
      <c r="I8" s="1348"/>
      <c r="K8" s="1350" t="s">
        <v>487</v>
      </c>
      <c r="L8" s="1490" t="str">
        <f>Dateneingabe!F28&amp;" "&amp;Dateneingabe!F30&amp;" Festfeld"&amp;" "&amp;IF(AND(Dateneingabe!F30=Dateneingabe!E102,Dateneingabe!F32=Dateneingabe!F115),"bodenschließend","")&amp;IF(AND(Dateneingabe!F30=Dateneingabe!E101,Dateneingabe!F32=Dateneingabe!F115),"bodenstehend","")&amp;IF(Dateneingabe!F32=Dateneingabe!F114,"wandhängend","")</f>
        <v>r2 mit Festfeld wandhängend</v>
      </c>
      <c r="M8" s="1361"/>
      <c r="N8" s="1361"/>
      <c r="O8" s="1361"/>
      <c r="P8" s="1344"/>
      <c r="Q8" s="1340"/>
      <c r="R8" s="1340"/>
      <c r="S8" s="1340"/>
      <c r="T8" s="1340"/>
      <c r="U8" s="1340"/>
      <c r="V8" s="1340"/>
      <c r="W8" s="1340"/>
      <c r="X8" s="1340"/>
      <c r="Y8" s="1340"/>
      <c r="Z8" s="1340"/>
    </row>
    <row r="9" spans="2:34" ht="3.2" customHeight="1" x14ac:dyDescent="0.25">
      <c r="B9" s="1344"/>
      <c r="D9" s="1348"/>
      <c r="E9" s="1348"/>
      <c r="F9" s="1362"/>
      <c r="G9" s="1348"/>
      <c r="H9" s="1348"/>
      <c r="I9" s="1348"/>
      <c r="K9" s="1348"/>
      <c r="L9" s="1362"/>
      <c r="M9" s="1349"/>
      <c r="N9" s="1349"/>
      <c r="O9" s="1349"/>
      <c r="P9" s="1344"/>
      <c r="Q9" s="1340"/>
      <c r="R9" s="1340"/>
      <c r="S9" s="1340"/>
      <c r="T9" s="1340"/>
      <c r="U9" s="1340"/>
      <c r="V9" s="1340"/>
      <c r="W9" s="1340"/>
      <c r="X9" s="1340"/>
      <c r="Y9" s="1340"/>
      <c r="Z9" s="1340"/>
    </row>
    <row r="10" spans="2:34" x14ac:dyDescent="0.25">
      <c r="B10" s="1344"/>
      <c r="D10" s="1348"/>
      <c r="E10" s="1473" t="s">
        <v>491</v>
      </c>
      <c r="F10" s="1360" t="str">
        <f>Dateneingabe!F42</f>
        <v>Stahlblech verzinkt</v>
      </c>
      <c r="G10" s="1360"/>
      <c r="H10" s="1360"/>
      <c r="K10" s="1350" t="s">
        <v>28679</v>
      </c>
      <c r="L10" s="1360" t="str">
        <f>Dateneingabe!F46</f>
        <v>Standardfarbgebung</v>
      </c>
      <c r="M10" s="1361"/>
      <c r="N10" s="1361"/>
      <c r="O10" s="1361"/>
      <c r="P10" s="1344"/>
      <c r="Q10" s="1340"/>
      <c r="R10" s="1340"/>
      <c r="S10" s="1340"/>
      <c r="T10" s="1340"/>
      <c r="U10" s="1340"/>
      <c r="V10" s="1340"/>
      <c r="W10" s="1340"/>
      <c r="X10" s="1340"/>
      <c r="Y10" s="1340"/>
      <c r="Z10" s="1340"/>
    </row>
    <row r="11" spans="2:34" ht="3.2" customHeight="1" x14ac:dyDescent="0.25">
      <c r="B11" s="1344"/>
      <c r="D11" s="1348"/>
      <c r="E11" s="1348"/>
      <c r="F11" s="1362"/>
      <c r="G11" s="1348"/>
      <c r="H11" s="1348"/>
      <c r="I11" s="1348"/>
      <c r="K11" s="1348"/>
      <c r="L11" s="1362"/>
      <c r="M11" s="1349"/>
      <c r="N11" s="1349"/>
      <c r="O11" s="1349"/>
      <c r="P11" s="1344"/>
      <c r="Q11" s="1340"/>
      <c r="R11" s="1340"/>
      <c r="S11" s="1340"/>
      <c r="T11" s="1340"/>
      <c r="U11" s="1340"/>
      <c r="V11" s="1340"/>
      <c r="W11" s="1340"/>
      <c r="X11" s="1340"/>
      <c r="Y11" s="1340"/>
      <c r="Z11" s="1340"/>
    </row>
    <row r="12" spans="2:34" x14ac:dyDescent="0.25">
      <c r="B12" s="1344"/>
      <c r="D12" s="1348"/>
      <c r="E12" s="1350" t="s">
        <v>28680</v>
      </c>
      <c r="F12" s="1360" t="str">
        <f>Dateneingabe!F52</f>
        <v>elektromotorisch</v>
      </c>
      <c r="G12" s="1360"/>
      <c r="H12" s="1357"/>
      <c r="I12" s="1350" t="s">
        <v>28681</v>
      </c>
      <c r="J12" s="3420" t="str">
        <f>Dateneingabe!F68&amp;" "&amp;Dateneingabe!F70&amp;"mm"</f>
        <v>Beton 190mm</v>
      </c>
      <c r="K12" s="3420"/>
      <c r="L12" s="3420"/>
      <c r="M12" s="3420"/>
      <c r="N12" s="3420"/>
      <c r="O12" s="3420"/>
      <c r="P12" s="1344"/>
      <c r="Q12" s="1340"/>
      <c r="R12" s="1340"/>
      <c r="S12" s="1340"/>
      <c r="T12" s="1340"/>
      <c r="U12" s="1340"/>
      <c r="V12" s="1340"/>
      <c r="W12" s="1340"/>
      <c r="X12" s="1340"/>
      <c r="Y12" s="1340"/>
      <c r="Z12" s="1340"/>
    </row>
    <row r="13" spans="2:34" ht="6.75" customHeight="1" x14ac:dyDescent="0.25">
      <c r="B13" s="1344"/>
      <c r="D13" s="1348"/>
      <c r="E13" s="1350"/>
      <c r="F13" s="1363"/>
      <c r="G13" s="1348"/>
      <c r="H13" s="1348"/>
      <c r="I13" s="1348"/>
      <c r="J13" s="1350"/>
      <c r="K13" s="1363"/>
      <c r="L13" s="1348"/>
      <c r="M13" s="1349"/>
      <c r="N13" s="1349"/>
      <c r="O13" s="1349"/>
      <c r="P13" s="1344"/>
      <c r="Q13" s="1340"/>
      <c r="R13" s="1340"/>
      <c r="S13" s="1340"/>
      <c r="T13" s="1340"/>
      <c r="U13" s="1340"/>
      <c r="V13" s="1340"/>
      <c r="W13" s="1340"/>
      <c r="X13" s="1340"/>
      <c r="Y13" s="1340"/>
      <c r="Z13" s="1340"/>
    </row>
    <row r="14" spans="2:34" x14ac:dyDescent="0.25">
      <c r="B14" s="1344"/>
      <c r="D14" s="1348"/>
      <c r="G14" s="1348"/>
      <c r="H14" s="1348"/>
      <c r="I14" s="1364" t="s">
        <v>28682</v>
      </c>
      <c r="J14" s="1365"/>
      <c r="K14" s="1366"/>
      <c r="L14" s="2626">
        <f>Dateneingabe!F9</f>
        <v>44622</v>
      </c>
      <c r="M14" s="1367"/>
      <c r="N14" s="1367"/>
      <c r="O14" s="1367"/>
      <c r="P14" s="1344"/>
      <c r="Q14" s="1340"/>
      <c r="R14" s="1340"/>
      <c r="S14" s="1340"/>
      <c r="T14" s="1340"/>
      <c r="U14" s="1340"/>
      <c r="V14" s="1340"/>
      <c r="W14" s="1340"/>
      <c r="X14" s="1340"/>
      <c r="Y14" s="1340"/>
      <c r="Z14" s="1340"/>
    </row>
    <row r="15" spans="2:34" ht="19.5" customHeight="1" x14ac:dyDescent="0.25">
      <c r="B15" s="1344"/>
      <c r="C15" s="1364" t="s">
        <v>28683</v>
      </c>
      <c r="D15" s="1492"/>
      <c r="E15" s="1481" t="s">
        <v>28836</v>
      </c>
      <c r="F15" s="1369"/>
      <c r="G15" s="1363"/>
      <c r="H15" s="1348"/>
      <c r="I15" s="1364" t="s">
        <v>28684</v>
      </c>
      <c r="J15" s="1365"/>
      <c r="K15" s="1370"/>
      <c r="L15" s="2329" t="str">
        <f>Dateneingabe!F3&amp;"-"&amp;Dateneingabe!H3</f>
        <v>05217112-200</v>
      </c>
      <c r="M15" s="1371"/>
      <c r="N15" s="1371"/>
      <c r="O15" s="1371"/>
      <c r="P15" s="1344"/>
      <c r="Q15" s="1340"/>
      <c r="R15" s="1372"/>
      <c r="S15" s="1353"/>
      <c r="T15" s="1340"/>
      <c r="U15" s="1340"/>
      <c r="V15" s="1340"/>
      <c r="W15" s="1340"/>
      <c r="X15" s="1340"/>
      <c r="Y15" s="1340"/>
      <c r="Z15" s="1340"/>
    </row>
    <row r="16" spans="2:34" ht="19.5" customHeight="1" x14ac:dyDescent="0.25">
      <c r="B16" s="1344"/>
      <c r="C16" s="1348"/>
      <c r="D16" s="1368"/>
      <c r="E16" s="1481" t="s">
        <v>28837</v>
      </c>
      <c r="F16" s="1373"/>
      <c r="G16" s="1363"/>
      <c r="H16" s="1348"/>
      <c r="I16" s="1348"/>
      <c r="J16" s="1348"/>
      <c r="K16" s="1348"/>
      <c r="L16" s="1348"/>
      <c r="M16" s="1349"/>
      <c r="N16" s="1349"/>
      <c r="O16" s="1349"/>
      <c r="P16" s="1344"/>
      <c r="Q16" s="1340"/>
      <c r="R16" s="1372"/>
      <c r="S16" s="1353"/>
      <c r="T16" s="1340"/>
      <c r="U16" s="1340"/>
      <c r="V16" s="1340"/>
      <c r="W16" s="1340"/>
      <c r="X16" s="1340"/>
      <c r="Y16" s="1340"/>
      <c r="Z16" s="1340"/>
    </row>
    <row r="17" spans="2:27" ht="6" customHeight="1" x14ac:dyDescent="0.25">
      <c r="B17" s="1344"/>
      <c r="C17" s="1348"/>
      <c r="D17" s="1374"/>
      <c r="E17" s="1373"/>
      <c r="F17" s="1373"/>
      <c r="G17" s="1363"/>
      <c r="H17" s="1348"/>
      <c r="I17" s="1348"/>
      <c r="J17" s="1348"/>
      <c r="K17" s="1348"/>
      <c r="L17" s="1348"/>
      <c r="M17" s="1349"/>
      <c r="N17" s="1349"/>
      <c r="O17" s="1349"/>
      <c r="P17" s="1344"/>
      <c r="Q17" s="1340"/>
      <c r="R17" s="1340"/>
      <c r="S17" s="1340"/>
      <c r="T17" s="1340"/>
      <c r="U17" s="1340"/>
      <c r="V17" s="1340"/>
      <c r="W17" s="1340"/>
      <c r="X17" s="1340"/>
      <c r="Y17" s="1340"/>
      <c r="Z17" s="1340"/>
    </row>
    <row r="18" spans="2:27" ht="16.5" customHeight="1" x14ac:dyDescent="0.2">
      <c r="B18" s="1344"/>
      <c r="C18" s="3416" t="s">
        <v>28787</v>
      </c>
      <c r="D18" s="3416"/>
      <c r="E18" s="3417"/>
      <c r="F18" s="3417"/>
      <c r="G18" s="3417"/>
      <c r="H18" s="3417"/>
      <c r="I18" s="3417"/>
      <c r="J18" s="3417"/>
      <c r="K18" s="3417"/>
      <c r="L18" s="3417"/>
      <c r="M18" s="3417"/>
      <c r="N18" s="3417"/>
      <c r="O18" s="3417"/>
      <c r="P18" s="1344"/>
      <c r="Q18" s="1375"/>
      <c r="R18" s="1376"/>
      <c r="S18" s="1377"/>
      <c r="T18" s="1378"/>
      <c r="U18" s="1340"/>
      <c r="V18" s="1340"/>
      <c r="W18" s="1340"/>
      <c r="X18" s="1340"/>
      <c r="Y18" s="1340"/>
      <c r="Z18" s="1340"/>
    </row>
    <row r="19" spans="2:27" ht="28.5" customHeight="1" x14ac:dyDescent="0.2">
      <c r="B19" s="1344"/>
      <c r="C19" s="3418" t="s">
        <v>28685</v>
      </c>
      <c r="D19" s="3418"/>
      <c r="E19" s="3418"/>
      <c r="F19" s="3418"/>
      <c r="G19" s="3418"/>
      <c r="H19" s="3418"/>
      <c r="I19" s="3418"/>
      <c r="J19" s="3418"/>
      <c r="K19" s="3418"/>
      <c r="L19" s="1380" t="s">
        <v>28686</v>
      </c>
      <c r="M19" s="1381" t="s">
        <v>28687</v>
      </c>
      <c r="N19" s="1382" t="s">
        <v>28688</v>
      </c>
      <c r="O19" s="1383" t="s">
        <v>28689</v>
      </c>
      <c r="P19" s="1344"/>
      <c r="Q19" s="1340"/>
      <c r="R19" s="1340"/>
      <c r="S19" s="1340"/>
      <c r="T19" s="1340"/>
      <c r="U19" s="1340"/>
      <c r="V19" s="1340"/>
      <c r="W19" s="1340"/>
      <c r="X19" s="1340"/>
      <c r="Y19" s="1340"/>
      <c r="Z19" s="1340"/>
    </row>
    <row r="20" spans="2:27" ht="19.5" customHeight="1" x14ac:dyDescent="0.25">
      <c r="B20" s="1344"/>
      <c r="C20" s="1384" t="s">
        <v>28835</v>
      </c>
      <c r="D20" s="1385"/>
      <c r="E20" s="1385"/>
      <c r="F20" s="1385"/>
      <c r="G20" s="1385"/>
      <c r="H20" s="1386"/>
      <c r="I20" s="1387" t="s">
        <v>28690</v>
      </c>
      <c r="J20" s="3419" t="str">
        <f>Dateneingabe!F22&amp;" x "&amp;Dateneingabe!F24</f>
        <v>900 x 835</v>
      </c>
      <c r="K20" s="3419"/>
      <c r="M20" s="1379"/>
      <c r="N20" s="1379"/>
      <c r="O20" s="1379"/>
      <c r="P20" s="1344"/>
      <c r="Q20" s="1340"/>
      <c r="R20" s="1340"/>
      <c r="S20" s="1340"/>
      <c r="T20" s="1340"/>
      <c r="U20" s="1340"/>
      <c r="V20" s="1340"/>
      <c r="W20" s="1340"/>
      <c r="X20" s="1340"/>
      <c r="Y20" s="1340"/>
      <c r="Z20" s="1340"/>
    </row>
    <row r="21" spans="2:27" ht="22.7" customHeight="1" x14ac:dyDescent="0.2">
      <c r="B21" s="1344"/>
      <c r="C21" s="1388" t="s">
        <v>28691</v>
      </c>
      <c r="D21" s="1389"/>
      <c r="E21" s="1390"/>
      <c r="F21" s="1390"/>
      <c r="G21" s="1390"/>
      <c r="H21" s="1390"/>
      <c r="I21" s="1390"/>
      <c r="J21" s="1390"/>
      <c r="K21" s="1390"/>
      <c r="L21" s="1390"/>
      <c r="M21" s="1390"/>
      <c r="N21" s="1390"/>
      <c r="O21" s="1391"/>
      <c r="P21" s="1344"/>
      <c r="Q21" s="1340"/>
      <c r="R21" s="1340"/>
      <c r="S21" s="1340"/>
      <c r="T21" s="1340"/>
      <c r="U21" s="1340"/>
      <c r="V21" s="1340"/>
      <c r="W21" s="1340"/>
      <c r="X21" s="1340"/>
      <c r="Y21" s="1340"/>
      <c r="Z21" s="1340"/>
    </row>
    <row r="22" spans="2:27" ht="19.5" customHeight="1" x14ac:dyDescent="0.2">
      <c r="B22" s="1344"/>
      <c r="C22" s="1483" t="s">
        <v>28841</v>
      </c>
      <c r="D22" s="1393"/>
      <c r="E22" s="1393"/>
      <c r="F22" s="1393"/>
      <c r="G22" s="1393"/>
      <c r="H22" s="1393"/>
      <c r="I22" s="1393"/>
      <c r="J22" s="1393"/>
      <c r="K22" s="1394"/>
      <c r="L22" s="1395" t="s">
        <v>28838</v>
      </c>
      <c r="M22" s="1396"/>
      <c r="N22" s="1396"/>
      <c r="O22" s="1396"/>
      <c r="P22" s="1344"/>
      <c r="Q22" s="1340"/>
      <c r="R22" s="1340"/>
      <c r="S22" s="1340"/>
      <c r="T22" s="1340"/>
      <c r="U22" s="1340"/>
      <c r="V22" s="1340"/>
      <c r="W22" s="1340"/>
      <c r="X22" s="1340"/>
      <c r="Y22" s="1340"/>
      <c r="Z22" s="1340"/>
    </row>
    <row r="23" spans="2:27" ht="19.5" customHeight="1" x14ac:dyDescent="0.2">
      <c r="B23" s="1344"/>
      <c r="C23" s="1392" t="s">
        <v>28842</v>
      </c>
      <c r="D23" s="1393"/>
      <c r="E23" s="1393"/>
      <c r="F23" s="1393"/>
      <c r="G23" s="1393"/>
      <c r="H23" s="1393"/>
      <c r="I23" s="1393"/>
      <c r="J23" s="1393"/>
      <c r="K23" s="1394"/>
      <c r="L23" s="1397" t="s">
        <v>28840</v>
      </c>
      <c r="M23" s="1396"/>
      <c r="N23" s="1396"/>
      <c r="O23" s="1396"/>
      <c r="P23" s="1344"/>
      <c r="Q23" s="1340"/>
      <c r="R23" s="1340"/>
      <c r="S23" s="1340"/>
      <c r="T23" s="1340"/>
      <c r="U23" s="1340"/>
      <c r="V23" s="1340"/>
      <c r="W23" s="1340"/>
      <c r="X23" s="1340"/>
      <c r="Y23" s="1340"/>
      <c r="Z23" s="1340"/>
    </row>
    <row r="24" spans="2:27" ht="19.5" customHeight="1" x14ac:dyDescent="0.2">
      <c r="B24" s="1344"/>
      <c r="C24" s="1392" t="s">
        <v>28788</v>
      </c>
      <c r="D24" s="1393"/>
      <c r="E24" s="1393"/>
      <c r="F24" s="1393"/>
      <c r="G24" s="1393"/>
      <c r="H24" s="1393"/>
      <c r="I24" s="1393"/>
      <c r="J24" s="1393"/>
      <c r="K24" s="1394"/>
      <c r="L24" s="1398"/>
      <c r="M24" s="1396"/>
      <c r="N24" s="1396"/>
      <c r="O24" s="1396"/>
      <c r="P24" s="1344"/>
      <c r="Q24" s="1340"/>
      <c r="R24" s="1340"/>
      <c r="S24" s="1340"/>
      <c r="T24" s="1340"/>
      <c r="U24" s="1340"/>
      <c r="V24" s="1340"/>
      <c r="W24" s="1340"/>
      <c r="X24" s="1340"/>
      <c r="Y24" s="1340"/>
      <c r="Z24" s="1340"/>
    </row>
    <row r="25" spans="2:27" ht="19.5" customHeight="1" x14ac:dyDescent="0.2">
      <c r="B25" s="1344"/>
      <c r="C25" s="1392" t="s">
        <v>28789</v>
      </c>
      <c r="D25" s="1393"/>
      <c r="E25" s="1393"/>
      <c r="F25" s="1393"/>
      <c r="G25" s="1393"/>
      <c r="H25" s="1393"/>
      <c r="I25" s="1393"/>
      <c r="J25" s="1393"/>
      <c r="K25" s="1394"/>
      <c r="L25" s="1398"/>
      <c r="M25" s="1396"/>
      <c r="N25" s="1396"/>
      <c r="O25" s="1396"/>
      <c r="P25" s="1344"/>
      <c r="Q25" s="1340"/>
      <c r="R25" s="1340"/>
      <c r="S25" s="1340"/>
      <c r="T25" s="1340"/>
      <c r="U25" s="1340"/>
      <c r="V25" s="1340"/>
      <c r="W25" s="1340"/>
      <c r="X25" s="1340"/>
      <c r="Y25" s="1340"/>
      <c r="Z25" s="1340"/>
    </row>
    <row r="26" spans="2:27" ht="22.7" customHeight="1" x14ac:dyDescent="0.2">
      <c r="B26" s="1344"/>
      <c r="C26" s="1388" t="s">
        <v>28692</v>
      </c>
      <c r="D26" s="1389"/>
      <c r="E26" s="1390"/>
      <c r="F26" s="1390"/>
      <c r="G26" s="1390"/>
      <c r="H26" s="1390"/>
      <c r="I26" s="1390"/>
      <c r="J26" s="1390"/>
      <c r="K26" s="1390"/>
      <c r="L26" s="1399"/>
      <c r="M26" s="1390"/>
      <c r="N26" s="1390"/>
      <c r="O26" s="1391"/>
      <c r="P26" s="1344"/>
      <c r="Q26" s="1340"/>
      <c r="R26" s="1340"/>
      <c r="S26" s="1340"/>
      <c r="T26" s="1340"/>
      <c r="U26" s="1340"/>
      <c r="V26" s="1340"/>
      <c r="W26" s="1340"/>
      <c r="X26" s="1340"/>
      <c r="Y26" s="1340"/>
      <c r="Z26" s="1340"/>
    </row>
    <row r="27" spans="2:27" ht="19.5" customHeight="1" x14ac:dyDescent="0.2">
      <c r="B27" s="1344"/>
      <c r="C27" s="1482" t="s">
        <v>28839</v>
      </c>
      <c r="D27" s="1393"/>
      <c r="E27" s="1393"/>
      <c r="F27" s="1393"/>
      <c r="G27" s="1393"/>
      <c r="H27" s="1393"/>
      <c r="I27" s="1393"/>
      <c r="J27" s="1393"/>
      <c r="K27" s="1394"/>
      <c r="L27" s="1380" t="s">
        <v>30376</v>
      </c>
      <c r="M27" s="1400"/>
      <c r="N27" s="1400"/>
      <c r="O27" s="1400"/>
      <c r="P27" s="1344"/>
      <c r="Q27" s="1340"/>
      <c r="R27" s="1340"/>
      <c r="S27" s="1340"/>
      <c r="T27" s="1340"/>
      <c r="U27" s="1340"/>
      <c r="V27" s="1340"/>
      <c r="W27" s="1340"/>
      <c r="X27" s="1340"/>
      <c r="Y27" s="1340"/>
      <c r="Z27" s="1340"/>
      <c r="AA27" s="1401" t="e">
        <f>IF(FA="r2","B002.1","")</f>
        <v>#NAME?</v>
      </c>
    </row>
    <row r="28" spans="2:27" ht="19.5" customHeight="1" x14ac:dyDescent="0.2">
      <c r="B28" s="1344"/>
      <c r="C28" s="1482" t="s">
        <v>28843</v>
      </c>
      <c r="D28" s="1393"/>
      <c r="E28" s="1393"/>
      <c r="F28" s="1393"/>
      <c r="G28" s="1393"/>
      <c r="H28" s="1393"/>
      <c r="I28" s="1393"/>
      <c r="J28" s="1393"/>
      <c r="K28" s="1394"/>
      <c r="L28" s="1380" t="s">
        <v>28845</v>
      </c>
      <c r="M28" s="1400"/>
      <c r="N28" s="1400"/>
      <c r="O28" s="1400"/>
      <c r="P28" s="1344"/>
      <c r="Q28" s="1340"/>
      <c r="R28" s="1402"/>
      <c r="S28" s="1340"/>
      <c r="T28" s="1340"/>
      <c r="U28" s="1340"/>
      <c r="V28" s="1340"/>
      <c r="W28" s="1340"/>
      <c r="X28" s="1340"/>
      <c r="Y28" s="1340"/>
      <c r="Z28" s="1340"/>
      <c r="AA28" s="1401" t="e">
        <f>IF(FA="r3","B003.1","")</f>
        <v>#NAME?</v>
      </c>
    </row>
    <row r="29" spans="2:27" ht="19.5" customHeight="1" x14ac:dyDescent="0.2">
      <c r="B29" s="1344"/>
      <c r="C29" s="1482" t="s">
        <v>28844</v>
      </c>
      <c r="D29" s="1393"/>
      <c r="E29" s="1393"/>
      <c r="F29" s="1393"/>
      <c r="G29" s="1393"/>
      <c r="H29" s="1393"/>
      <c r="I29" s="1393"/>
      <c r="J29" s="1393"/>
      <c r="K29" s="1394"/>
      <c r="L29" s="1484" t="s">
        <v>30377</v>
      </c>
      <c r="M29" s="1400"/>
      <c r="N29" s="1400"/>
      <c r="O29" s="1400"/>
      <c r="P29" s="1344"/>
      <c r="Q29" s="1340"/>
      <c r="R29" s="1340"/>
      <c r="S29" s="1340"/>
      <c r="T29" s="1340"/>
      <c r="U29" s="1340"/>
      <c r="V29" s="1340"/>
      <c r="W29" s="1340"/>
      <c r="X29" s="1340"/>
      <c r="Y29" s="1340"/>
      <c r="Z29" s="1340"/>
      <c r="AA29" s="1401" t="e">
        <f>IF(FA="r4","B004.1","")</f>
        <v>#NAME?</v>
      </c>
    </row>
    <row r="30" spans="2:27" ht="19.5" customHeight="1" x14ac:dyDescent="0.2">
      <c r="B30" s="1344"/>
      <c r="C30" s="1482" t="s">
        <v>28846</v>
      </c>
      <c r="D30" s="1393"/>
      <c r="E30" s="1393"/>
      <c r="F30" s="1393"/>
      <c r="G30" s="1393"/>
      <c r="H30" s="1393"/>
      <c r="I30" s="1393"/>
      <c r="J30" s="1393"/>
      <c r="K30" s="1394"/>
      <c r="L30" s="1403" t="s">
        <v>28847</v>
      </c>
      <c r="M30" s="1400"/>
      <c r="N30" s="1400"/>
      <c r="O30" s="1400"/>
      <c r="P30" s="1344"/>
      <c r="Q30" s="1340"/>
      <c r="R30" s="1340"/>
      <c r="S30" s="1340"/>
      <c r="T30" s="1340"/>
      <c r="U30" s="1340"/>
      <c r="V30" s="1340"/>
      <c r="W30" s="1340"/>
      <c r="X30" s="1340"/>
      <c r="Y30" s="1340"/>
      <c r="Z30" s="1340"/>
      <c r="AA30" s="1401" t="e">
        <f>IF(FA="g1","B005.1","")</f>
        <v>#NAME?</v>
      </c>
    </row>
    <row r="31" spans="2:27" ht="19.5" customHeight="1" x14ac:dyDescent="0.2">
      <c r="B31" s="1344"/>
      <c r="C31" s="1482" t="s">
        <v>28848</v>
      </c>
      <c r="D31" s="1393"/>
      <c r="E31" s="1393"/>
      <c r="F31" s="1393"/>
      <c r="G31" s="1393"/>
      <c r="H31" s="1393"/>
      <c r="I31" s="1393"/>
      <c r="J31" s="1393"/>
      <c r="K31" s="1394"/>
      <c r="L31" s="1380" t="s">
        <v>28849</v>
      </c>
      <c r="M31" s="1400"/>
      <c r="N31" s="1400"/>
      <c r="O31" s="1400"/>
      <c r="P31" s="1344"/>
      <c r="Q31" s="1340"/>
      <c r="R31" s="1340"/>
      <c r="S31" s="1340"/>
      <c r="T31" s="1340"/>
      <c r="U31" s="1340"/>
      <c r="V31" s="1340"/>
      <c r="W31" s="1340"/>
      <c r="X31" s="1340"/>
      <c r="Y31" s="1340"/>
      <c r="Z31" s="1340"/>
      <c r="AA31" s="1401" t="e">
        <f>IF(FA="g3","B006.1","")</f>
        <v>#NAME?</v>
      </c>
    </row>
    <row r="32" spans="2:27" ht="19.5" customHeight="1" x14ac:dyDescent="0.2">
      <c r="B32" s="1344"/>
      <c r="C32" s="1392" t="s">
        <v>28789</v>
      </c>
      <c r="D32" s="1393"/>
      <c r="E32" s="1393"/>
      <c r="F32" s="1393"/>
      <c r="G32" s="1393"/>
      <c r="H32" s="1393"/>
      <c r="I32" s="1393"/>
      <c r="J32" s="1393"/>
      <c r="K32" s="1394"/>
      <c r="L32" s="1380"/>
      <c r="M32" s="1400"/>
      <c r="N32" s="1400"/>
      <c r="O32" s="1400"/>
      <c r="P32" s="1344"/>
      <c r="Q32" s="1340"/>
      <c r="R32" s="1340"/>
      <c r="S32" s="1404"/>
      <c r="T32" s="1404"/>
      <c r="U32" s="1404"/>
      <c r="V32" s="1404"/>
      <c r="W32" s="1340"/>
      <c r="X32" s="1340"/>
      <c r="Y32" s="1340"/>
      <c r="Z32" s="1340"/>
      <c r="AA32" s="1401" t="e">
        <f>IF(FA="g5","B007.1","")</f>
        <v>#NAME?</v>
      </c>
    </row>
    <row r="33" spans="2:27" ht="19.5" customHeight="1" x14ac:dyDescent="0.2">
      <c r="B33" s="1344"/>
      <c r="C33" s="1392" t="s">
        <v>28790</v>
      </c>
      <c r="D33" s="1393"/>
      <c r="E33" s="1393"/>
      <c r="F33" s="1393"/>
      <c r="G33" s="1393"/>
      <c r="H33" s="1393"/>
      <c r="I33" s="1393"/>
      <c r="J33" s="1393"/>
      <c r="K33" s="1394"/>
      <c r="L33" s="1380"/>
      <c r="M33" s="1400"/>
      <c r="N33" s="1400"/>
      <c r="O33" s="1400"/>
      <c r="P33" s="1344"/>
      <c r="Q33" s="1340"/>
      <c r="R33" s="1340"/>
      <c r="S33" s="1404"/>
      <c r="T33" s="1404"/>
      <c r="U33" s="1404"/>
      <c r="V33" s="1404"/>
      <c r="W33" s="1340"/>
      <c r="X33" s="1340"/>
      <c r="Y33" s="1340"/>
      <c r="Z33" s="1340"/>
      <c r="AA33" s="1401" t="e">
        <f>IF(FA="k2","B008.1","")</f>
        <v>#NAME?</v>
      </c>
    </row>
    <row r="34" spans="2:27" ht="22.7" customHeight="1" x14ac:dyDescent="0.2">
      <c r="B34" s="1344"/>
      <c r="C34" s="1388" t="s">
        <v>28693</v>
      </c>
      <c r="D34" s="1389"/>
      <c r="E34" s="1390"/>
      <c r="F34" s="1390"/>
      <c r="G34" s="1390"/>
      <c r="H34" s="1390"/>
      <c r="I34" s="1390"/>
      <c r="J34" s="1390"/>
      <c r="K34" s="1390"/>
      <c r="L34" s="1399"/>
      <c r="M34" s="1390"/>
      <c r="N34" s="1390"/>
      <c r="O34" s="1391"/>
      <c r="P34" s="1344"/>
      <c r="Q34" s="1340"/>
      <c r="R34" s="1340"/>
      <c r="S34" s="1405"/>
      <c r="T34" s="1404"/>
      <c r="U34" s="1404"/>
      <c r="V34" s="1404"/>
      <c r="W34" s="1340"/>
      <c r="X34" s="1340"/>
      <c r="Y34" s="1340"/>
      <c r="Z34" s="1340"/>
      <c r="AA34" s="1401" t="e">
        <f>IF(FA="k3","B009.1","")</f>
        <v>#NAME?</v>
      </c>
    </row>
    <row r="35" spans="2:27" ht="45" x14ac:dyDescent="0.2">
      <c r="B35" s="1344"/>
      <c r="C35" s="1482" t="s">
        <v>28850</v>
      </c>
      <c r="D35" s="1485"/>
      <c r="E35" s="1486"/>
      <c r="F35" s="1486"/>
      <c r="G35" s="1486"/>
      <c r="H35" s="1486"/>
      <c r="I35" s="1486"/>
      <c r="J35" s="1486"/>
      <c r="K35" s="1486"/>
      <c r="L35" s="2059" t="s">
        <v>30378</v>
      </c>
      <c r="M35" s="1400"/>
      <c r="N35" s="1400"/>
      <c r="O35" s="1400"/>
      <c r="P35" s="1344"/>
      <c r="Q35" s="1340"/>
      <c r="R35" s="1340"/>
      <c r="S35" s="1405"/>
      <c r="T35" s="1404"/>
      <c r="U35" s="1404"/>
      <c r="V35" s="1404"/>
      <c r="W35" s="1340"/>
      <c r="X35" s="1340"/>
      <c r="Y35" s="1340"/>
      <c r="Z35" s="1340"/>
      <c r="AA35" s="1401" t="e">
        <f>IF(FA="k4","B010.1","")</f>
        <v>#NAME?</v>
      </c>
    </row>
    <row r="36" spans="2:27" ht="19.5" customHeight="1" x14ac:dyDescent="0.2">
      <c r="B36" s="1344"/>
      <c r="C36" s="1482" t="s">
        <v>28851</v>
      </c>
      <c r="D36" s="1487"/>
      <c r="E36" s="1487"/>
      <c r="F36" s="1487"/>
      <c r="G36" s="1487"/>
      <c r="H36" s="1487"/>
      <c r="I36" s="1487"/>
      <c r="J36" s="1487"/>
      <c r="K36" s="1488"/>
      <c r="L36" s="1489" t="s">
        <v>28694</v>
      </c>
      <c r="M36" s="1400"/>
      <c r="N36" s="1400"/>
      <c r="O36" s="1400"/>
      <c r="P36" s="1344"/>
      <c r="Q36" s="1340"/>
      <c r="R36" s="1340"/>
      <c r="S36" s="1404"/>
      <c r="T36" s="1404"/>
      <c r="U36" s="1404"/>
      <c r="V36" s="1404"/>
      <c r="W36" s="1340"/>
      <c r="X36" s="1340"/>
      <c r="Y36" s="1340"/>
      <c r="Z36" s="1340"/>
      <c r="AA36" s="1401" t="e">
        <f>IF(FA="k5","B01.1","")</f>
        <v>#NAME?</v>
      </c>
    </row>
    <row r="37" spans="2:27" ht="19.5" customHeight="1" x14ac:dyDescent="0.2">
      <c r="B37" s="1344"/>
      <c r="C37" s="1482" t="s">
        <v>28852</v>
      </c>
      <c r="D37" s="1487"/>
      <c r="E37" s="1487"/>
      <c r="F37" s="1487"/>
      <c r="G37" s="1487"/>
      <c r="H37" s="1487"/>
      <c r="I37" s="1487"/>
      <c r="J37" s="1487"/>
      <c r="K37" s="1488"/>
      <c r="L37" s="1489"/>
      <c r="M37" s="1400"/>
      <c r="N37" s="1400"/>
      <c r="O37" s="1400"/>
      <c r="P37" s="1344"/>
      <c r="Q37" s="1340"/>
      <c r="R37" s="1340"/>
      <c r="S37" s="1404"/>
      <c r="T37" s="1404"/>
      <c r="U37" s="1404"/>
      <c r="V37" s="1404"/>
      <c r="W37" s="1340"/>
      <c r="X37" s="1340"/>
      <c r="Y37" s="1340"/>
      <c r="Z37" s="1340"/>
      <c r="AA37" s="1406" t="e">
        <f>AA27&amp;AA28&amp;AA29&amp;AA30&amp;AA31&amp;AA32&amp;AA33&amp;AA34&amp;AA35&amp;AA36</f>
        <v>#NAME?</v>
      </c>
    </row>
    <row r="38" spans="2:27" ht="22.7" customHeight="1" x14ac:dyDescent="0.2">
      <c r="B38" s="1344"/>
      <c r="C38" s="1388" t="s">
        <v>28695</v>
      </c>
      <c r="D38" s="1389"/>
      <c r="E38" s="1390"/>
      <c r="F38" s="1390"/>
      <c r="G38" s="1390"/>
      <c r="H38" s="1390"/>
      <c r="I38" s="1390"/>
      <c r="J38" s="1390"/>
      <c r="K38" s="1390"/>
      <c r="L38" s="1399"/>
      <c r="M38" s="1390"/>
      <c r="N38" s="1390"/>
      <c r="O38" s="1391"/>
      <c r="P38" s="1344"/>
      <c r="Q38" s="1340"/>
      <c r="R38" s="1340"/>
      <c r="S38" s="1340"/>
      <c r="T38" s="1340"/>
      <c r="U38" s="1340"/>
      <c r="V38" s="1340"/>
      <c r="W38" s="1340"/>
      <c r="X38" s="1340"/>
      <c r="Y38" s="1340"/>
      <c r="Z38" s="1340"/>
    </row>
    <row r="39" spans="2:27" ht="19.5" customHeight="1" x14ac:dyDescent="0.2">
      <c r="B39" s="1344"/>
      <c r="C39" s="1482" t="s">
        <v>28696</v>
      </c>
      <c r="D39" s="1487"/>
      <c r="E39" s="1393"/>
      <c r="F39" s="1393"/>
      <c r="G39" s="1393"/>
      <c r="H39" s="1393"/>
      <c r="I39" s="1393"/>
      <c r="J39" s="1393"/>
      <c r="K39" s="1394"/>
      <c r="L39" s="1407"/>
      <c r="M39" s="1379"/>
      <c r="N39" s="1379"/>
      <c r="O39" s="1379"/>
      <c r="P39" s="1344"/>
      <c r="Q39" s="1340"/>
      <c r="R39" s="1340"/>
      <c r="S39" s="1340"/>
      <c r="T39" s="1340"/>
      <c r="U39" s="1340"/>
      <c r="V39" s="1340"/>
      <c r="W39" s="1340"/>
      <c r="X39" s="1340"/>
      <c r="Y39" s="1340"/>
      <c r="Z39" s="1340"/>
    </row>
    <row r="40" spans="2:27" ht="19.5" customHeight="1" x14ac:dyDescent="0.2">
      <c r="B40" s="1344"/>
      <c r="C40" s="1482" t="s">
        <v>28697</v>
      </c>
      <c r="D40" s="1487"/>
      <c r="E40" s="1393"/>
      <c r="F40" s="1393"/>
      <c r="G40" s="1393"/>
      <c r="H40" s="1393"/>
      <c r="I40" s="1393"/>
      <c r="J40" s="1393"/>
      <c r="K40" s="1394"/>
      <c r="L40" s="1394"/>
      <c r="M40" s="1379"/>
      <c r="N40" s="1379"/>
      <c r="O40" s="1379"/>
      <c r="P40" s="1344"/>
      <c r="Q40" s="1340"/>
      <c r="R40" s="1340"/>
      <c r="S40" s="1340"/>
      <c r="T40" s="1340"/>
      <c r="U40" s="1340"/>
      <c r="V40" s="1340"/>
      <c r="W40" s="1340"/>
      <c r="X40" s="1340"/>
      <c r="Y40" s="1340"/>
      <c r="Z40" s="1340"/>
    </row>
    <row r="41" spans="2:27" ht="19.5" customHeight="1" x14ac:dyDescent="0.2">
      <c r="B41" s="1344"/>
      <c r="C41" s="1482" t="s">
        <v>28853</v>
      </c>
      <c r="D41" s="1487"/>
      <c r="E41" s="1393"/>
      <c r="F41" s="1393"/>
      <c r="G41" s="1393"/>
      <c r="H41" s="1393"/>
      <c r="I41" s="1393"/>
      <c r="J41" s="1393"/>
      <c r="K41" s="1394"/>
      <c r="L41" s="1394"/>
      <c r="M41" s="1379"/>
      <c r="N41" s="1379"/>
      <c r="O41" s="1379"/>
      <c r="P41" s="1344"/>
      <c r="Q41" s="1340"/>
      <c r="R41" s="1340"/>
      <c r="S41" s="1340"/>
      <c r="T41" s="1340"/>
      <c r="U41" s="1340"/>
      <c r="V41" s="1340"/>
      <c r="W41" s="1340"/>
      <c r="X41" s="1340"/>
      <c r="Y41" s="1340"/>
      <c r="Z41" s="1340"/>
    </row>
    <row r="42" spans="2:27" ht="19.5" customHeight="1" x14ac:dyDescent="0.2">
      <c r="B42" s="1344"/>
      <c r="C42" s="1482" t="s">
        <v>28698</v>
      </c>
      <c r="D42" s="1487"/>
      <c r="E42" s="1393"/>
      <c r="F42" s="1393"/>
      <c r="G42" s="1393"/>
      <c r="H42" s="1393"/>
      <c r="I42" s="1393"/>
      <c r="J42" s="1393"/>
      <c r="K42" s="1394"/>
      <c r="L42" s="1394"/>
      <c r="M42" s="1379"/>
      <c r="N42" s="1379"/>
      <c r="O42" s="1379"/>
      <c r="P42" s="1344"/>
      <c r="Q42" s="1340"/>
      <c r="R42" s="1340"/>
      <c r="S42" s="1340"/>
      <c r="T42" s="1340"/>
      <c r="U42" s="1340"/>
      <c r="V42" s="1340"/>
      <c r="W42" s="1340"/>
      <c r="X42" s="1340"/>
      <c r="Y42" s="1340"/>
      <c r="Z42" s="1340"/>
    </row>
    <row r="43" spans="2:27" ht="19.5" customHeight="1" x14ac:dyDescent="0.2">
      <c r="B43" s="1344"/>
      <c r="C43" s="1482" t="s">
        <v>28699</v>
      </c>
      <c r="D43" s="1487"/>
      <c r="E43" s="1393"/>
      <c r="F43" s="1393"/>
      <c r="G43" s="1393"/>
      <c r="H43" s="1393"/>
      <c r="I43" s="1393"/>
      <c r="J43" s="1393"/>
      <c r="K43" s="1394"/>
      <c r="L43" s="1394"/>
      <c r="M43" s="1379"/>
      <c r="N43" s="1379"/>
      <c r="O43" s="1379"/>
      <c r="P43" s="1344"/>
      <c r="Q43" s="1340"/>
      <c r="R43" s="1340"/>
      <c r="S43" s="1340"/>
      <c r="T43" s="1340"/>
      <c r="U43" s="1340"/>
      <c r="V43" s="1340"/>
      <c r="W43" s="1340"/>
      <c r="X43" s="1340"/>
      <c r="Y43" s="1340"/>
      <c r="Z43" s="1340"/>
    </row>
    <row r="44" spans="2:27" ht="19.5" customHeight="1" x14ac:dyDescent="0.2">
      <c r="B44" s="1344"/>
      <c r="C44" s="1482" t="s">
        <v>28854</v>
      </c>
      <c r="D44" s="1487"/>
      <c r="E44" s="1393"/>
      <c r="F44" s="1393"/>
      <c r="G44" s="1393"/>
      <c r="H44" s="1393"/>
      <c r="I44" s="1393"/>
      <c r="J44" s="1393"/>
      <c r="K44" s="1394"/>
      <c r="L44" s="1394"/>
      <c r="M44" s="1379"/>
      <c r="N44" s="1379"/>
      <c r="O44" s="1379"/>
      <c r="P44" s="1344"/>
      <c r="Q44" s="1340"/>
      <c r="R44" s="1340"/>
      <c r="S44" s="1340"/>
      <c r="T44" s="1340"/>
      <c r="U44" s="1340"/>
      <c r="V44" s="1340"/>
      <c r="W44" s="1340"/>
      <c r="X44" s="1340"/>
      <c r="Y44" s="1340"/>
      <c r="Z44" s="1340"/>
    </row>
    <row r="45" spans="2:27" ht="19.5" customHeight="1" x14ac:dyDescent="0.2">
      <c r="B45" s="1344"/>
      <c r="C45" s="1482" t="s">
        <v>28700</v>
      </c>
      <c r="D45" s="1487"/>
      <c r="E45" s="1393"/>
      <c r="F45" s="1393"/>
      <c r="G45" s="1393"/>
      <c r="H45" s="1393"/>
      <c r="I45" s="1393"/>
      <c r="J45" s="1393"/>
      <c r="K45" s="1394"/>
      <c r="L45" s="1394"/>
      <c r="M45" s="1379"/>
      <c r="N45" s="1379"/>
      <c r="O45" s="1379"/>
      <c r="P45" s="1344"/>
      <c r="Q45" s="1340"/>
      <c r="R45" s="1340"/>
      <c r="S45" s="1340"/>
      <c r="T45" s="1340"/>
      <c r="U45" s="1340"/>
      <c r="V45" s="1340"/>
      <c r="W45" s="1340"/>
      <c r="X45" s="1340"/>
      <c r="Y45" s="1340"/>
      <c r="Z45" s="1340"/>
    </row>
    <row r="46" spans="2:27" ht="9" customHeight="1" x14ac:dyDescent="0.2">
      <c r="B46" s="1344"/>
      <c r="C46" s="1392"/>
      <c r="D46" s="1393"/>
      <c r="E46" s="1393"/>
      <c r="F46" s="1393"/>
      <c r="G46" s="1393"/>
      <c r="H46" s="1393"/>
      <c r="I46" s="1393"/>
      <c r="J46" s="1393"/>
      <c r="K46" s="1393"/>
      <c r="L46" s="1393"/>
      <c r="M46" s="1408"/>
      <c r="N46" s="1408"/>
      <c r="O46" s="1409"/>
      <c r="P46" s="1344"/>
      <c r="Q46" s="1340"/>
      <c r="R46" s="1340"/>
      <c r="S46" s="1340"/>
      <c r="T46" s="1340"/>
      <c r="U46" s="1340"/>
      <c r="V46" s="1340"/>
      <c r="W46" s="1340"/>
      <c r="X46" s="1340"/>
      <c r="Y46" s="1340"/>
      <c r="Z46" s="1340"/>
    </row>
    <row r="47" spans="2:27" ht="19.5" customHeight="1" x14ac:dyDescent="0.2">
      <c r="B47" s="1344"/>
      <c r="C47" s="1482" t="s">
        <v>28855</v>
      </c>
      <c r="D47" s="1393"/>
      <c r="E47" s="1393"/>
      <c r="F47" s="1393"/>
      <c r="G47" s="1393"/>
      <c r="H47" s="1393"/>
      <c r="I47" s="1393"/>
      <c r="J47" s="1393"/>
      <c r="K47" s="1394"/>
      <c r="L47" s="1394"/>
      <c r="M47" s="1400"/>
      <c r="N47" s="1379"/>
      <c r="O47" s="1379"/>
      <c r="P47" s="1344"/>
      <c r="Q47" s="1340"/>
      <c r="R47" s="1340"/>
      <c r="S47" s="1340"/>
      <c r="T47" s="1340"/>
      <c r="U47" s="1340"/>
      <c r="V47" s="1340"/>
      <c r="W47" s="1340"/>
      <c r="X47" s="1340"/>
      <c r="Y47" s="1340"/>
      <c r="Z47" s="1340"/>
    </row>
    <row r="48" spans="2:27" ht="19.5" customHeight="1" x14ac:dyDescent="0.2">
      <c r="B48" s="1344"/>
      <c r="C48" s="1392" t="s">
        <v>28701</v>
      </c>
      <c r="D48" s="1393"/>
      <c r="E48" s="1393"/>
      <c r="F48" s="1393"/>
      <c r="G48" s="1393"/>
      <c r="H48" s="1393"/>
      <c r="I48" s="1393"/>
      <c r="J48" s="1393"/>
      <c r="K48" s="1394"/>
      <c r="L48" s="1394"/>
      <c r="M48" s="1400"/>
      <c r="N48" s="1379"/>
      <c r="O48" s="1379"/>
      <c r="P48" s="1344"/>
      <c r="Q48" s="1340"/>
      <c r="R48" s="1340"/>
      <c r="S48" s="1340"/>
      <c r="T48" s="1340"/>
      <c r="U48" s="1340"/>
      <c r="V48" s="1340"/>
      <c r="W48" s="1340"/>
      <c r="X48" s="1340"/>
      <c r="Y48" s="1340"/>
      <c r="Z48" s="1340"/>
    </row>
    <row r="49" spans="2:27" x14ac:dyDescent="0.25">
      <c r="B49" s="1344"/>
      <c r="C49" s="1348"/>
      <c r="D49" s="1348"/>
      <c r="E49" s="1348"/>
      <c r="F49" s="1348"/>
      <c r="G49" s="1348"/>
      <c r="H49" s="1348"/>
      <c r="I49" s="1348"/>
      <c r="J49" s="1348"/>
      <c r="K49" s="1348"/>
      <c r="L49" s="1348"/>
      <c r="M49" s="1349"/>
      <c r="N49" s="1349"/>
      <c r="O49" s="1349"/>
      <c r="P49" s="1344"/>
      <c r="Q49" s="1340"/>
      <c r="R49" s="1340"/>
      <c r="S49" s="1340"/>
      <c r="T49" s="1340"/>
      <c r="U49" s="1340"/>
      <c r="V49" s="1340"/>
      <c r="W49" s="1340"/>
      <c r="X49" s="1340"/>
      <c r="Y49" s="1340"/>
      <c r="Z49" s="1340"/>
    </row>
    <row r="50" spans="2:27" ht="15.75" x14ac:dyDescent="0.25">
      <c r="B50" s="1344"/>
      <c r="C50" s="1353"/>
      <c r="D50" s="1353"/>
      <c r="E50" s="1410" t="s">
        <v>28702</v>
      </c>
      <c r="F50" s="3410"/>
      <c r="G50" s="3411"/>
      <c r="H50" s="1348" t="s">
        <v>28703</v>
      </c>
      <c r="I50" s="1360"/>
      <c r="J50" s="1360"/>
      <c r="K50" s="1348"/>
      <c r="L50" s="1348"/>
      <c r="M50" s="1349"/>
      <c r="N50" s="1349"/>
      <c r="O50" s="1349"/>
      <c r="P50" s="1344"/>
      <c r="Q50" s="1340"/>
      <c r="R50" s="1340"/>
      <c r="S50" s="1340"/>
      <c r="T50" s="1340"/>
      <c r="U50" s="1340"/>
      <c r="V50" s="1340"/>
      <c r="W50" s="1340"/>
      <c r="X50" s="1340"/>
      <c r="Y50" s="1340"/>
      <c r="Z50" s="1340"/>
    </row>
    <row r="51" spans="2:27" x14ac:dyDescent="0.25">
      <c r="B51" s="1344"/>
      <c r="C51" s="1348"/>
      <c r="D51" s="1348"/>
      <c r="E51" s="1348"/>
      <c r="F51" s="1348"/>
      <c r="G51" s="1348"/>
      <c r="H51" s="1348"/>
      <c r="I51" s="1348"/>
      <c r="J51" s="1348"/>
      <c r="K51" s="1348"/>
      <c r="L51" s="1348"/>
      <c r="M51" s="1349"/>
      <c r="N51" s="1349"/>
      <c r="O51" s="1349"/>
      <c r="P51" s="1344"/>
      <c r="Q51" s="1340"/>
      <c r="R51" s="1340"/>
      <c r="S51" s="1340"/>
      <c r="T51" s="1340"/>
      <c r="U51" s="1340"/>
      <c r="V51" s="1340"/>
      <c r="W51" s="1340"/>
      <c r="X51" s="1340"/>
      <c r="Y51" s="1340"/>
      <c r="Z51" s="1340"/>
    </row>
    <row r="52" spans="2:27" x14ac:dyDescent="0.25">
      <c r="B52" s="1344"/>
      <c r="C52" s="1348"/>
      <c r="D52" s="1348"/>
      <c r="E52" s="1348"/>
      <c r="F52" s="1348"/>
      <c r="G52" s="1348"/>
      <c r="H52" s="1348"/>
      <c r="I52" s="1348"/>
      <c r="J52" s="1348"/>
      <c r="K52" s="1348"/>
      <c r="L52" s="1348"/>
      <c r="M52" s="1349"/>
      <c r="N52" s="1349"/>
      <c r="O52" s="1349"/>
      <c r="P52" s="1344"/>
      <c r="Q52" s="1340"/>
      <c r="R52" s="1340"/>
      <c r="S52" s="1340"/>
      <c r="T52" s="1340"/>
      <c r="U52" s="1340"/>
      <c r="V52" s="1340"/>
      <c r="W52" s="1340"/>
      <c r="X52" s="1340"/>
      <c r="Y52" s="1340"/>
      <c r="Z52" s="1340"/>
    </row>
    <row r="53" spans="2:27" ht="12.2" customHeight="1" x14ac:dyDescent="0.25">
      <c r="B53" s="1344"/>
      <c r="C53" s="1495" t="s">
        <v>28867</v>
      </c>
      <c r="D53" s="1493"/>
      <c r="E53" s="2060" t="s">
        <v>30382</v>
      </c>
      <c r="F53" s="1411"/>
      <c r="G53" s="1411"/>
      <c r="H53" s="1411"/>
      <c r="I53" s="1411"/>
      <c r="J53" s="1411"/>
      <c r="K53" s="1411"/>
      <c r="L53" s="1411"/>
      <c r="M53" s="1412" t="s">
        <v>28704</v>
      </c>
      <c r="N53" s="1380"/>
      <c r="O53" s="1380"/>
      <c r="P53" s="1344"/>
      <c r="Q53" s="1340"/>
      <c r="R53" s="1340"/>
      <c r="S53" s="1340"/>
      <c r="T53" s="1340"/>
      <c r="U53" s="1340"/>
      <c r="V53" s="1340"/>
      <c r="W53" s="1340"/>
      <c r="X53" s="1340"/>
      <c r="Y53" s="1340"/>
      <c r="Z53" s="1340"/>
    </row>
    <row r="54" spans="2:27" x14ac:dyDescent="0.25">
      <c r="B54" s="1344"/>
      <c r="C54" s="1348"/>
      <c r="D54" s="1348"/>
      <c r="E54" s="1348"/>
      <c r="F54" s="1348"/>
      <c r="G54" s="1348"/>
      <c r="H54" s="1348"/>
      <c r="I54" s="1348"/>
      <c r="J54" s="1348"/>
      <c r="K54" s="1348"/>
      <c r="L54" s="1348"/>
      <c r="M54" s="1349"/>
      <c r="N54" s="1349"/>
      <c r="O54" s="1349"/>
      <c r="P54" s="1344"/>
      <c r="Q54" s="1340"/>
      <c r="R54" s="1340"/>
      <c r="S54" s="1340"/>
      <c r="T54" s="1340"/>
      <c r="U54" s="1340"/>
      <c r="V54" s="1340"/>
      <c r="W54" s="1340"/>
      <c r="X54" s="1340"/>
      <c r="Y54" s="1340"/>
      <c r="Z54" s="1340"/>
    </row>
    <row r="55" spans="2:27" s="1340" customFormat="1" x14ac:dyDescent="0.25">
      <c r="C55" s="1341"/>
      <c r="D55" s="1341"/>
      <c r="E55" s="1341"/>
      <c r="F55" s="1341"/>
      <c r="G55" s="1341"/>
      <c r="H55" s="1341"/>
      <c r="I55" s="1341"/>
      <c r="J55" s="1341"/>
      <c r="K55" s="1341"/>
      <c r="L55" s="1341"/>
      <c r="M55" s="1342"/>
      <c r="N55" s="1342"/>
      <c r="O55" s="1342"/>
      <c r="AA55" s="1343"/>
    </row>
    <row r="56" spans="2:27" s="1340" customFormat="1" x14ac:dyDescent="0.25">
      <c r="C56" s="1341"/>
      <c r="D56" s="1341"/>
      <c r="E56" s="1341"/>
      <c r="F56" s="1341"/>
      <c r="G56" s="1341"/>
      <c r="H56" s="1341"/>
      <c r="I56" s="1341"/>
      <c r="J56" s="1341"/>
      <c r="K56" s="1341"/>
      <c r="L56" s="1341"/>
      <c r="M56" s="1342"/>
      <c r="N56" s="1342"/>
      <c r="O56" s="1342"/>
      <c r="AA56" s="1343"/>
    </row>
    <row r="57" spans="2:27" s="1340" customFormat="1" x14ac:dyDescent="0.25">
      <c r="C57" s="1341"/>
      <c r="D57" s="1341"/>
      <c r="E57" s="1341"/>
      <c r="F57" s="1341"/>
      <c r="G57" s="1341"/>
      <c r="H57" s="1341"/>
      <c r="I57" s="1341"/>
      <c r="J57" s="1341"/>
      <c r="K57" s="1341"/>
      <c r="L57" s="1341"/>
      <c r="M57" s="1342"/>
      <c r="N57" s="1342"/>
      <c r="O57" s="1342"/>
      <c r="AA57" s="1343"/>
    </row>
    <row r="58" spans="2:27" s="1340" customFormat="1" x14ac:dyDescent="0.25">
      <c r="C58" s="1341"/>
      <c r="D58" s="1341"/>
      <c r="E58" s="1341"/>
      <c r="F58" s="1341"/>
      <c r="G58" s="1341"/>
      <c r="H58" s="1341"/>
      <c r="I58" s="1341"/>
      <c r="J58" s="1341"/>
      <c r="K58" s="1341"/>
      <c r="L58" s="1341"/>
      <c r="M58" s="1342"/>
      <c r="N58" s="1342"/>
      <c r="O58" s="1342"/>
      <c r="Q58" s="1413"/>
      <c r="AA58" s="1343"/>
    </row>
    <row r="59" spans="2:27" s="1340" customFormat="1" x14ac:dyDescent="0.25">
      <c r="C59" s="1341"/>
      <c r="D59" s="1341"/>
      <c r="E59" s="1341"/>
      <c r="F59" s="1341"/>
      <c r="G59" s="1341"/>
      <c r="H59" s="1341"/>
      <c r="I59" s="1341"/>
      <c r="J59" s="1341"/>
      <c r="K59" s="1341"/>
      <c r="L59" s="1341"/>
      <c r="M59" s="1342"/>
      <c r="N59" s="1342"/>
      <c r="O59" s="1342"/>
      <c r="AA59" s="1343"/>
    </row>
    <row r="60" spans="2:27" s="1340" customFormat="1" x14ac:dyDescent="0.25">
      <c r="C60" s="1341"/>
      <c r="D60" s="1341"/>
      <c r="E60" s="1341"/>
      <c r="F60" s="1341"/>
      <c r="G60" s="1341"/>
      <c r="H60" s="1341"/>
      <c r="I60" s="1341"/>
      <c r="J60" s="1341"/>
      <c r="K60" s="1341"/>
      <c r="L60" s="1341"/>
      <c r="M60" s="1342"/>
      <c r="N60" s="1342"/>
      <c r="O60" s="1342"/>
      <c r="AA60" s="1343"/>
    </row>
    <row r="61" spans="2:27" s="1340" customFormat="1" x14ac:dyDescent="0.25">
      <c r="C61" s="1341"/>
      <c r="D61" s="1341"/>
      <c r="E61" s="1341"/>
      <c r="F61" s="1341"/>
      <c r="G61" s="1341"/>
      <c r="H61" s="1341"/>
      <c r="I61" s="1341"/>
      <c r="J61" s="1341"/>
      <c r="K61" s="1341"/>
      <c r="L61" s="1341"/>
      <c r="M61" s="1342"/>
      <c r="N61" s="1342"/>
      <c r="O61" s="1342"/>
      <c r="AA61" s="1343"/>
    </row>
    <row r="62" spans="2:27" s="1340" customFormat="1" x14ac:dyDescent="0.25">
      <c r="C62" s="1341"/>
      <c r="D62" s="1341"/>
      <c r="E62" s="1341"/>
      <c r="F62" s="1341"/>
      <c r="G62" s="1341"/>
      <c r="H62" s="1341"/>
      <c r="I62" s="1341"/>
      <c r="J62" s="1341"/>
      <c r="K62" s="1341"/>
      <c r="L62" s="1341"/>
      <c r="M62" s="1342"/>
      <c r="N62" s="1342"/>
      <c r="O62" s="1342"/>
      <c r="AA62" s="1343"/>
    </row>
    <row r="63" spans="2:27" s="1340" customFormat="1" x14ac:dyDescent="0.25">
      <c r="C63" s="1341"/>
      <c r="D63" s="1341"/>
      <c r="E63" s="1341"/>
      <c r="F63" s="1341"/>
      <c r="G63" s="1341"/>
      <c r="H63" s="1341"/>
      <c r="I63" s="1341"/>
      <c r="J63" s="1341"/>
      <c r="K63" s="1341"/>
      <c r="L63" s="1341"/>
      <c r="M63" s="1342"/>
      <c r="N63" s="1342"/>
      <c r="O63" s="1342"/>
      <c r="AA63" s="1343"/>
    </row>
    <row r="64" spans="2:27" s="1340" customFormat="1" x14ac:dyDescent="0.25">
      <c r="C64" s="1341"/>
      <c r="D64" s="1341"/>
      <c r="E64" s="1341"/>
      <c r="F64" s="1341"/>
      <c r="G64" s="1341"/>
      <c r="H64" s="1341"/>
      <c r="I64" s="1341"/>
      <c r="J64" s="1341"/>
      <c r="K64" s="1341"/>
      <c r="L64" s="1341"/>
      <c r="M64" s="1342"/>
      <c r="N64" s="1342"/>
      <c r="O64" s="1342"/>
      <c r="AA64" s="1343"/>
    </row>
    <row r="65" spans="3:27" s="1340" customFormat="1" x14ac:dyDescent="0.25">
      <c r="C65" s="1341"/>
      <c r="D65" s="1341"/>
      <c r="E65" s="1341"/>
      <c r="F65" s="1341"/>
      <c r="G65" s="1341"/>
      <c r="H65" s="1341"/>
      <c r="I65" s="1341"/>
      <c r="J65" s="1341"/>
      <c r="K65" s="1341"/>
      <c r="L65" s="1341"/>
      <c r="M65" s="1342"/>
      <c r="N65" s="1342"/>
      <c r="O65" s="1342"/>
      <c r="AA65" s="1343"/>
    </row>
    <row r="66" spans="3:27" s="1340" customFormat="1" x14ac:dyDescent="0.25">
      <c r="C66" s="1341"/>
      <c r="D66" s="1341"/>
      <c r="E66" s="1341"/>
      <c r="F66" s="1341"/>
      <c r="G66" s="1341"/>
      <c r="H66" s="1341"/>
      <c r="I66" s="1341"/>
      <c r="J66" s="1341"/>
      <c r="K66" s="1341"/>
      <c r="L66" s="1341"/>
      <c r="M66" s="1342"/>
      <c r="N66" s="1342"/>
      <c r="O66" s="1342"/>
      <c r="AA66" s="1343"/>
    </row>
    <row r="67" spans="3:27" s="1340" customFormat="1" x14ac:dyDescent="0.25">
      <c r="C67" s="1341"/>
      <c r="D67" s="1341"/>
      <c r="E67" s="1341"/>
      <c r="F67" s="1341"/>
      <c r="G67" s="1341"/>
      <c r="H67" s="1341"/>
      <c r="I67" s="1341"/>
      <c r="J67" s="1341"/>
      <c r="K67" s="1341"/>
      <c r="L67" s="1341"/>
      <c r="M67" s="1342"/>
      <c r="N67" s="1342"/>
      <c r="O67" s="1342"/>
      <c r="AA67" s="1343"/>
    </row>
    <row r="68" spans="3:27" s="1340" customFormat="1" x14ac:dyDescent="0.25">
      <c r="C68" s="1341"/>
      <c r="D68" s="1341"/>
      <c r="E68" s="1341"/>
      <c r="F68" s="1341"/>
      <c r="G68" s="1341"/>
      <c r="H68" s="1341"/>
      <c r="I68" s="1341"/>
      <c r="J68" s="1341"/>
      <c r="K68" s="1341"/>
      <c r="L68" s="1341"/>
      <c r="M68" s="1342"/>
      <c r="N68" s="1342"/>
      <c r="O68" s="1342"/>
      <c r="AA68" s="1343"/>
    </row>
    <row r="69" spans="3:27" s="1340" customFormat="1" x14ac:dyDescent="0.25">
      <c r="C69" s="1341"/>
      <c r="D69" s="1341"/>
      <c r="E69" s="1341"/>
      <c r="F69" s="1341"/>
      <c r="G69" s="1341"/>
      <c r="H69" s="1341"/>
      <c r="I69" s="1341"/>
      <c r="J69" s="1341"/>
      <c r="K69" s="1341"/>
      <c r="L69" s="1341"/>
      <c r="M69" s="1342"/>
      <c r="N69" s="1342"/>
      <c r="O69" s="1342"/>
      <c r="AA69" s="1343"/>
    </row>
    <row r="70" spans="3:27" s="1340" customFormat="1" x14ac:dyDescent="0.25">
      <c r="C70" s="1341"/>
      <c r="D70" s="1341"/>
      <c r="E70" s="1341"/>
      <c r="F70" s="1341"/>
      <c r="G70" s="1341"/>
      <c r="H70" s="1341"/>
      <c r="I70" s="1341"/>
      <c r="J70" s="1341"/>
      <c r="K70" s="1341"/>
      <c r="L70" s="1341"/>
      <c r="M70" s="1342"/>
      <c r="N70" s="1342"/>
      <c r="O70" s="1342"/>
      <c r="AA70" s="1343"/>
    </row>
    <row r="71" spans="3:27" s="1340" customFormat="1" x14ac:dyDescent="0.25">
      <c r="C71" s="1341"/>
      <c r="D71" s="1341"/>
      <c r="E71" s="1341"/>
      <c r="F71" s="1341"/>
      <c r="G71" s="1341"/>
      <c r="H71" s="1414"/>
      <c r="I71" s="1341"/>
      <c r="J71" s="1341"/>
      <c r="K71" s="1341"/>
      <c r="L71" s="1341"/>
      <c r="M71" s="1342"/>
      <c r="N71" s="1342"/>
      <c r="O71" s="1342"/>
      <c r="AA71" s="1343"/>
    </row>
    <row r="72" spans="3:27" s="1340" customFormat="1" x14ac:dyDescent="0.25">
      <c r="C72" s="1341"/>
      <c r="D72" s="1341"/>
      <c r="E72" s="1341"/>
      <c r="F72" s="1341"/>
      <c r="G72" s="1341"/>
      <c r="H72" s="1341"/>
      <c r="I72" s="1341"/>
      <c r="J72" s="1341"/>
      <c r="K72" s="1341"/>
      <c r="L72" s="1341"/>
      <c r="M72" s="1342"/>
      <c r="N72" s="1342"/>
      <c r="O72" s="1342"/>
      <c r="AA72" s="1343"/>
    </row>
    <row r="73" spans="3:27" s="1340" customFormat="1" x14ac:dyDescent="0.25">
      <c r="C73" s="1341"/>
      <c r="D73" s="1341"/>
      <c r="E73" s="1341"/>
      <c r="F73" s="1341"/>
      <c r="G73" s="1341"/>
      <c r="H73" s="1341"/>
      <c r="I73" s="1341"/>
      <c r="J73" s="1341"/>
      <c r="K73" s="1341"/>
      <c r="L73" s="1341"/>
      <c r="M73" s="1342"/>
      <c r="N73" s="1342"/>
      <c r="O73" s="1342"/>
      <c r="AA73" s="1343"/>
    </row>
    <row r="74" spans="3:27" s="1340" customFormat="1" x14ac:dyDescent="0.25">
      <c r="C74" s="1341"/>
      <c r="D74" s="1341"/>
      <c r="E74" s="1341"/>
      <c r="F74" s="1341"/>
      <c r="G74" s="1341"/>
      <c r="H74" s="1341"/>
      <c r="I74" s="1341"/>
      <c r="J74" s="1341"/>
      <c r="K74" s="1341"/>
      <c r="L74" s="1341"/>
      <c r="M74" s="1342"/>
      <c r="N74" s="1342"/>
      <c r="O74" s="1342"/>
      <c r="AA74" s="1343"/>
    </row>
    <row r="75" spans="3:27" s="1340" customFormat="1" x14ac:dyDescent="0.25">
      <c r="C75" s="1341"/>
      <c r="D75" s="1341"/>
      <c r="E75" s="1341"/>
      <c r="F75" s="1341"/>
      <c r="G75" s="1341"/>
      <c r="H75" s="1341"/>
      <c r="I75" s="1341"/>
      <c r="J75" s="1341"/>
      <c r="K75" s="1341"/>
      <c r="L75" s="1341"/>
      <c r="M75" s="1342"/>
      <c r="N75" s="1342"/>
      <c r="O75" s="1342"/>
      <c r="AA75" s="1343"/>
    </row>
    <row r="76" spans="3:27" s="1340" customFormat="1" x14ac:dyDescent="0.25">
      <c r="C76" s="1341"/>
      <c r="D76" s="1341"/>
      <c r="E76" s="1341"/>
      <c r="F76" s="1341"/>
      <c r="G76" s="1341"/>
      <c r="H76" s="1341"/>
      <c r="I76" s="1341"/>
      <c r="J76" s="1341"/>
      <c r="K76" s="1341"/>
      <c r="L76" s="1341"/>
      <c r="M76" s="1342"/>
      <c r="N76" s="1342"/>
      <c r="O76" s="1342"/>
      <c r="AA76" s="1343"/>
    </row>
    <row r="77" spans="3:27" s="1340" customFormat="1" x14ac:dyDescent="0.25">
      <c r="C77" s="1341"/>
      <c r="D77" s="1341"/>
      <c r="E77" s="1341"/>
      <c r="F77" s="1341"/>
      <c r="G77" s="1341"/>
      <c r="H77" s="1341"/>
      <c r="I77" s="1341"/>
      <c r="J77" s="1341"/>
      <c r="K77" s="1341"/>
      <c r="L77" s="1341"/>
      <c r="M77" s="1342"/>
      <c r="N77" s="1342"/>
      <c r="O77" s="1342"/>
      <c r="AA77" s="1343"/>
    </row>
    <row r="78" spans="3:27" s="1340" customFormat="1" x14ac:dyDescent="0.25">
      <c r="C78" s="1341"/>
      <c r="D78" s="1341"/>
      <c r="E78" s="1341"/>
      <c r="F78" s="1341"/>
      <c r="G78" s="1341"/>
      <c r="H78" s="1341"/>
      <c r="I78" s="1341"/>
      <c r="J78" s="1341"/>
      <c r="K78" s="1341"/>
      <c r="L78" s="1341"/>
      <c r="M78" s="1342"/>
      <c r="N78" s="1342"/>
      <c r="O78" s="1342"/>
      <c r="AA78" s="1343"/>
    </row>
    <row r="79" spans="3:27" s="1340" customFormat="1" x14ac:dyDescent="0.25">
      <c r="C79" s="1341"/>
      <c r="D79" s="1341"/>
      <c r="E79" s="1341"/>
      <c r="F79" s="1341"/>
      <c r="G79" s="1341"/>
      <c r="H79" s="1341"/>
      <c r="I79" s="1341"/>
      <c r="J79" s="1341"/>
      <c r="K79" s="1341"/>
      <c r="L79" s="1341"/>
      <c r="M79" s="1342"/>
      <c r="N79" s="1342"/>
      <c r="O79" s="1342"/>
      <c r="AA79" s="1343"/>
    </row>
    <row r="80" spans="3:27" s="1340" customFormat="1" x14ac:dyDescent="0.25">
      <c r="C80" s="1341"/>
      <c r="D80" s="1341"/>
      <c r="E80" s="1341"/>
      <c r="F80" s="1341"/>
      <c r="G80" s="1341"/>
      <c r="H80" s="1341"/>
      <c r="I80" s="1341"/>
      <c r="J80" s="1341"/>
      <c r="K80" s="1341"/>
      <c r="L80" s="1341"/>
      <c r="M80" s="1342"/>
      <c r="N80" s="1342"/>
      <c r="O80" s="1342"/>
      <c r="AA80" s="1343"/>
    </row>
    <row r="81" spans="3:27" s="1340" customFormat="1" x14ac:dyDescent="0.25">
      <c r="C81" s="1341"/>
      <c r="D81" s="1341"/>
      <c r="E81" s="1341"/>
      <c r="F81" s="1341"/>
      <c r="G81" s="1341"/>
      <c r="H81" s="1341"/>
      <c r="I81" s="1341"/>
      <c r="J81" s="1341"/>
      <c r="K81" s="1341"/>
      <c r="L81" s="1341"/>
      <c r="M81" s="1342"/>
      <c r="N81" s="1342"/>
      <c r="O81" s="1342"/>
      <c r="AA81" s="1343"/>
    </row>
    <row r="82" spans="3:27" s="1340" customFormat="1" x14ac:dyDescent="0.25">
      <c r="C82" s="1341"/>
      <c r="D82" s="1341"/>
      <c r="E82" s="1341"/>
      <c r="F82" s="1341"/>
      <c r="G82" s="1341"/>
      <c r="H82" s="1341"/>
      <c r="I82" s="1341"/>
      <c r="J82" s="1341"/>
      <c r="K82" s="1341"/>
      <c r="L82" s="1341"/>
      <c r="M82" s="1342"/>
      <c r="N82" s="1342"/>
      <c r="O82" s="1342"/>
      <c r="AA82" s="1343"/>
    </row>
    <row r="83" spans="3:27" s="1340" customFormat="1" x14ac:dyDescent="0.25">
      <c r="C83" s="1341"/>
      <c r="D83" s="1341"/>
      <c r="E83" s="1341"/>
      <c r="F83" s="1341"/>
      <c r="G83" s="1341"/>
      <c r="H83" s="1341"/>
      <c r="I83" s="1341"/>
      <c r="J83" s="1341"/>
      <c r="K83" s="1341"/>
      <c r="L83" s="1341"/>
      <c r="M83" s="1342"/>
      <c r="N83" s="1342"/>
      <c r="O83" s="1342"/>
      <c r="AA83" s="1343"/>
    </row>
    <row r="84" spans="3:27" s="1340" customFormat="1" x14ac:dyDescent="0.25">
      <c r="C84" s="1341"/>
      <c r="D84" s="1341"/>
      <c r="E84" s="1341"/>
      <c r="F84" s="1341"/>
      <c r="G84" s="1341"/>
      <c r="H84" s="1341"/>
      <c r="I84" s="1341"/>
      <c r="J84" s="1341"/>
      <c r="K84" s="1341"/>
      <c r="L84" s="1341"/>
      <c r="M84" s="1342"/>
      <c r="N84" s="1342"/>
      <c r="O84" s="1342"/>
      <c r="AA84" s="1343"/>
    </row>
  </sheetData>
  <mergeCells count="8">
    <mergeCell ref="F50:G50"/>
    <mergeCell ref="E2:K2"/>
    <mergeCell ref="D4:F4"/>
    <mergeCell ref="J4:O4"/>
    <mergeCell ref="C18:O18"/>
    <mergeCell ref="C19:K19"/>
    <mergeCell ref="J20:K20"/>
    <mergeCell ref="J12:O12"/>
  </mergeCells>
  <conditionalFormatting sqref="L16:L19 C1:H14 C49:C52 P12:IV12 I13:K19 I1:IV2 L13 I12:J12 C15:D16 F15:H16 D27:H29 C32:L34 I29:K29 D30:L31 C38:L38 C46:L46 E39:L45 D47:L47 C54:IV65536 D53 F53:IV53 D48:IV52 A1:B1048576 I21:L28 M13:IV47 C17:H26 I4:IV11 I3:Q3 AI3:IV3">
    <cfRule type="cellIs" dxfId="596" priority="16" stopIfTrue="1" operator="equal">
      <formula>0</formula>
    </cfRule>
  </conditionalFormatting>
  <conditionalFormatting sqref="L14">
    <cfRule type="cellIs" dxfId="595" priority="17" stopIfTrue="1" operator="equal">
      <formula>0</formula>
    </cfRule>
  </conditionalFormatting>
  <conditionalFormatting sqref="E15:E16">
    <cfRule type="cellIs" dxfId="594" priority="15" stopIfTrue="1" operator="equal">
      <formula>0</formula>
    </cfRule>
  </conditionalFormatting>
  <conditionalFormatting sqref="L15">
    <cfRule type="cellIs" dxfId="593" priority="14" stopIfTrue="1" operator="equal">
      <formula>0</formula>
    </cfRule>
  </conditionalFormatting>
  <conditionalFormatting sqref="C27">
    <cfRule type="cellIs" dxfId="592" priority="13" stopIfTrue="1" operator="equal">
      <formula>0</formula>
    </cfRule>
  </conditionalFormatting>
  <conditionalFormatting sqref="C28">
    <cfRule type="cellIs" dxfId="591" priority="12" stopIfTrue="1" operator="equal">
      <formula>0</formula>
    </cfRule>
  </conditionalFormatting>
  <conditionalFormatting sqref="C29">
    <cfRule type="cellIs" dxfId="590" priority="11" stopIfTrue="1" operator="equal">
      <formula>0</formula>
    </cfRule>
  </conditionalFormatting>
  <conditionalFormatting sqref="L29">
    <cfRule type="cellIs" dxfId="589" priority="10" stopIfTrue="1" operator="equal">
      <formula>0</formula>
    </cfRule>
  </conditionalFormatting>
  <conditionalFormatting sqref="C30">
    <cfRule type="cellIs" dxfId="588" priority="9" stopIfTrue="1" operator="equal">
      <formula>0</formula>
    </cfRule>
  </conditionalFormatting>
  <conditionalFormatting sqref="C31">
    <cfRule type="cellIs" dxfId="587" priority="8" stopIfTrue="1" operator="equal">
      <formula>0</formula>
    </cfRule>
  </conditionalFormatting>
  <conditionalFormatting sqref="L36:L37 C35:K37">
    <cfRule type="cellIs" dxfId="586" priority="7" stopIfTrue="1" operator="equal">
      <formula>0</formula>
    </cfRule>
  </conditionalFormatting>
  <conditionalFormatting sqref="L35">
    <cfRule type="cellIs" dxfId="585" priority="6" stopIfTrue="1" operator="equal">
      <formula>0</formula>
    </cfRule>
  </conditionalFormatting>
  <conditionalFormatting sqref="C39:D45">
    <cfRule type="cellIs" dxfId="584" priority="5" stopIfTrue="1" operator="equal">
      <formula>0</formula>
    </cfRule>
  </conditionalFormatting>
  <conditionalFormatting sqref="C47">
    <cfRule type="cellIs" dxfId="583" priority="4" stopIfTrue="1" operator="equal">
      <formula>0</formula>
    </cfRule>
  </conditionalFormatting>
  <conditionalFormatting sqref="C53">
    <cfRule type="cellIs" dxfId="582" priority="3" stopIfTrue="1" operator="equal">
      <formula>0</formula>
    </cfRule>
  </conditionalFormatting>
  <conditionalFormatting sqref="E53">
    <cfRule type="cellIs" dxfId="581" priority="2" stopIfTrue="1" operator="equal">
      <formula>0</formula>
    </cfRule>
  </conditionalFormatting>
  <conditionalFormatting sqref="R3:AH3">
    <cfRule type="cellIs" dxfId="580" priority="1" stopIfTrue="1" operator="equal">
      <formula>0</formula>
    </cfRule>
  </conditionalFormatting>
  <pageMargins left="0.78740157480314965" right="0.39370078740157483" top="0.42" bottom="0" header="0.3" footer="0"/>
  <pageSetup paperSize="9" scale="86" orientation="portrait" r:id="rId1"/>
  <headerFooter alignWithMargins="0"/>
  <colBreaks count="1" manualBreakCount="1">
    <brk id="1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23233" r:id="rId4" name="Button 1">
              <controlPr defaultSize="0" print="0" autoFill="0" autoPict="0" macro="[0]!Datenübertragung_Produktionskontrolle">
                <anchor moveWithCells="1" sizeWithCells="1">
                  <from>
                    <xdr:col>17</xdr:col>
                    <xdr:colOff>9525</xdr:colOff>
                    <xdr:row>5</xdr:row>
                    <xdr:rowOff>219075</xdr:rowOff>
                  </from>
                  <to>
                    <xdr:col>21</xdr:col>
                    <xdr:colOff>0</xdr:colOff>
                    <xdr:row>11</xdr:row>
                    <xdr:rowOff>171450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Tabelle41">
    <tabColor indexed="9"/>
    <pageSetUpPr fitToPage="1"/>
  </sheetPr>
  <dimension ref="B2:P99"/>
  <sheetViews>
    <sheetView showGridLines="0" view="pageBreakPreview" zoomScaleNormal="100" zoomScaleSheetLayoutView="100" workbookViewId="0">
      <selection activeCell="K7" sqref="K7"/>
    </sheetView>
  </sheetViews>
  <sheetFormatPr baseColWidth="10" defaultColWidth="11.42578125" defaultRowHeight="12.75" x14ac:dyDescent="0.2"/>
  <cols>
    <col min="1" max="1" width="9" style="1136" customWidth="1"/>
    <col min="2" max="2" width="3.7109375" style="1136" customWidth="1"/>
    <col min="3" max="3" width="42.85546875" style="1136" customWidth="1"/>
    <col min="4" max="4" width="7.85546875" style="1136" customWidth="1"/>
    <col min="5" max="5" width="1.85546875" style="1136" customWidth="1"/>
    <col min="6" max="6" width="8.140625" style="1136" customWidth="1"/>
    <col min="7" max="7" width="25.85546875" style="1136" customWidth="1"/>
    <col min="8" max="8" width="42.85546875" style="1136" customWidth="1"/>
    <col min="9" max="9" width="3.28515625" style="1136" customWidth="1"/>
    <col min="10" max="16384" width="11.42578125" style="1136"/>
  </cols>
  <sheetData>
    <row r="2" spans="2:9" ht="8.4499999999999993" customHeight="1" x14ac:dyDescent="0.2">
      <c r="B2" s="1416"/>
      <c r="C2" s="1417"/>
      <c r="D2" s="1417"/>
      <c r="E2" s="1417"/>
      <c r="F2" s="1417"/>
      <c r="G2" s="1417"/>
      <c r="H2" s="1417"/>
      <c r="I2" s="1418"/>
    </row>
    <row r="3" spans="2:9" ht="23.25" x14ac:dyDescent="0.35">
      <c r="B3" s="1419"/>
      <c r="C3" s="3438" t="s">
        <v>28705</v>
      </c>
      <c r="D3" s="3438"/>
      <c r="E3" s="3438"/>
      <c r="F3" s="3438"/>
      <c r="G3" s="3438"/>
      <c r="H3" s="3438"/>
      <c r="I3" s="1420"/>
    </row>
    <row r="4" spans="2:9" ht="7.5" customHeight="1" x14ac:dyDescent="0.2">
      <c r="B4" s="1419"/>
      <c r="C4" s="1421"/>
      <c r="D4" s="1421"/>
      <c r="E4" s="1421"/>
      <c r="F4" s="1421"/>
      <c r="G4" s="1421"/>
      <c r="H4" s="1421"/>
      <c r="I4" s="1420"/>
    </row>
    <row r="5" spans="2:9" ht="26.45" customHeight="1" x14ac:dyDescent="0.25">
      <c r="B5" s="1419"/>
      <c r="C5" s="1422"/>
      <c r="D5" s="3439" t="str">
        <f>"Nr. "&amp;Dateneingabe!F5</f>
        <v>Nr. 5101.002095</v>
      </c>
      <c r="E5" s="3439"/>
      <c r="F5" s="3439"/>
      <c r="G5" s="3439"/>
      <c r="H5" s="1422"/>
      <c r="I5" s="1420"/>
    </row>
    <row r="6" spans="2:9" ht="7.5" customHeight="1" x14ac:dyDescent="0.25">
      <c r="B6" s="1424"/>
      <c r="C6" s="1425"/>
      <c r="D6" s="1426"/>
      <c r="E6" s="1426"/>
      <c r="F6" s="1426"/>
      <c r="G6" s="1426"/>
      <c r="H6" s="1425"/>
      <c r="I6" s="1427"/>
    </row>
    <row r="7" spans="2:9" ht="26.45" customHeight="1" x14ac:dyDescent="0.25">
      <c r="B7" s="1419"/>
      <c r="C7" s="1422"/>
      <c r="D7" s="1423"/>
      <c r="E7" s="1423"/>
      <c r="F7" s="1423"/>
      <c r="G7" s="1423"/>
      <c r="H7" s="1422"/>
      <c r="I7" s="1420"/>
    </row>
    <row r="8" spans="2:9" ht="9.75" customHeight="1" x14ac:dyDescent="0.2">
      <c r="B8" s="1419"/>
      <c r="C8" s="1428"/>
      <c r="D8" s="1428"/>
      <c r="E8" s="1428"/>
      <c r="F8" s="1428"/>
      <c r="G8" s="1428"/>
      <c r="H8" s="1429"/>
      <c r="I8" s="1420"/>
    </row>
    <row r="9" spans="2:9" ht="26.45" customHeight="1" x14ac:dyDescent="0.2">
      <c r="B9" s="1430"/>
      <c r="C9" s="1431" t="s">
        <v>28706</v>
      </c>
      <c r="D9" s="1432"/>
      <c r="E9" s="1432"/>
      <c r="F9" s="1432"/>
      <c r="G9" s="1432"/>
      <c r="H9" s="1433"/>
      <c r="I9" s="1420"/>
    </row>
    <row r="10" spans="2:9" ht="9.75" customHeight="1" x14ac:dyDescent="0.2">
      <c r="B10" s="1430"/>
      <c r="C10" s="1432"/>
      <c r="D10" s="1432"/>
      <c r="E10" s="1432"/>
      <c r="F10" s="1432"/>
      <c r="G10" s="1432"/>
      <c r="H10" s="1433"/>
      <c r="I10" s="1420"/>
    </row>
    <row r="11" spans="2:9" s="1438" customFormat="1" x14ac:dyDescent="0.2">
      <c r="B11" s="1434"/>
      <c r="C11" s="1435" t="s">
        <v>689</v>
      </c>
      <c r="D11" s="1436"/>
      <c r="E11" s="1436"/>
      <c r="F11" s="1436"/>
      <c r="G11" s="1436"/>
      <c r="H11" s="1436"/>
      <c r="I11" s="1437"/>
    </row>
    <row r="12" spans="2:9" ht="9.75" customHeight="1" x14ac:dyDescent="0.2">
      <c r="B12" s="1430"/>
      <c r="C12" s="1439"/>
      <c r="D12" s="1439"/>
      <c r="E12" s="1439"/>
      <c r="F12" s="1439"/>
      <c r="G12" s="1439"/>
      <c r="H12" s="1433"/>
      <c r="I12" s="1420"/>
    </row>
    <row r="13" spans="2:9" ht="30.2" customHeight="1" x14ac:dyDescent="0.2">
      <c r="B13" s="1430"/>
      <c r="C13" s="3421" t="s">
        <v>28707</v>
      </c>
      <c r="D13" s="3421"/>
      <c r="E13" s="3421"/>
      <c r="F13" s="3421"/>
      <c r="G13" s="3421"/>
      <c r="H13" s="3421"/>
      <c r="I13" s="1420"/>
    </row>
    <row r="14" spans="2:9" s="1438" customFormat="1" x14ac:dyDescent="0.2">
      <c r="B14" s="1434"/>
      <c r="C14" s="1435" t="str">
        <f>"Auftrag und Positionsnummer  : "&amp;Dateneingabe!F3&amp;" / "&amp;Dateneingabe!H3</f>
        <v>Auftrag und Positionsnummer  : 05217112 / 200</v>
      </c>
      <c r="D14" s="1436"/>
      <c r="E14" s="1436"/>
      <c r="F14" s="1436"/>
      <c r="G14" s="1436"/>
      <c r="H14" s="1436"/>
      <c r="I14" s="1437"/>
    </row>
    <row r="15" spans="2:9" ht="17.45" customHeight="1" x14ac:dyDescent="0.2">
      <c r="B15" s="1430"/>
      <c r="C15" s="1440" t="str">
        <f>"Order and position number of the order  : "&amp;Dateneingabe!F3&amp;" / "&amp;Dateneingabe!H3</f>
        <v>Order and position number of the order  : 05217112 / 200</v>
      </c>
      <c r="D15" s="1439"/>
      <c r="E15" s="1439"/>
      <c r="F15" s="1439"/>
      <c r="G15" s="1439"/>
      <c r="H15" s="1433"/>
      <c r="I15" s="1420"/>
    </row>
    <row r="16" spans="2:9" ht="39.75" customHeight="1" x14ac:dyDescent="0.2">
      <c r="B16" s="1430"/>
      <c r="C16" s="3437" t="s">
        <v>28708</v>
      </c>
      <c r="D16" s="3437"/>
      <c r="E16" s="3437"/>
      <c r="F16" s="3437"/>
      <c r="G16" s="3437"/>
      <c r="H16" s="3437"/>
      <c r="I16" s="1420"/>
    </row>
    <row r="17" spans="2:9" s="1438" customFormat="1" ht="23.25" customHeight="1" x14ac:dyDescent="0.2">
      <c r="B17" s="1434"/>
      <c r="C17" s="3440" t="s">
        <v>28830</v>
      </c>
      <c r="D17" s="3440"/>
      <c r="E17" s="3440"/>
      <c r="F17" s="3440"/>
      <c r="G17" s="3440"/>
      <c r="H17" s="3440"/>
      <c r="I17" s="1437"/>
    </row>
    <row r="18" spans="2:9" ht="9.75" customHeight="1" x14ac:dyDescent="0.2">
      <c r="B18" s="1430"/>
      <c r="C18" s="1439"/>
      <c r="D18" s="1439"/>
      <c r="E18" s="1439"/>
      <c r="F18" s="1439"/>
      <c r="G18" s="1439"/>
      <c r="H18" s="1433"/>
      <c r="I18" s="1420"/>
    </row>
    <row r="19" spans="2:9" ht="30.75" customHeight="1" x14ac:dyDescent="0.2">
      <c r="B19" s="1430"/>
      <c r="C19" s="3421" t="s">
        <v>28709</v>
      </c>
      <c r="D19" s="3421"/>
      <c r="E19" s="3421"/>
      <c r="F19" s="3421"/>
      <c r="G19" s="3421"/>
      <c r="H19" s="3421"/>
      <c r="I19" s="1420"/>
    </row>
    <row r="20" spans="2:9" s="1438" customFormat="1" x14ac:dyDescent="0.2">
      <c r="B20" s="1434"/>
      <c r="C20" s="1435" t="s">
        <v>28710</v>
      </c>
      <c r="D20" s="1436"/>
      <c r="E20" s="1436"/>
      <c r="F20" s="1436"/>
      <c r="G20" s="1436"/>
      <c r="H20" s="1436"/>
      <c r="I20" s="1437"/>
    </row>
    <row r="21" spans="2:9" ht="9.75" customHeight="1" x14ac:dyDescent="0.2">
      <c r="B21" s="1430"/>
      <c r="C21" s="1439"/>
      <c r="D21" s="1439"/>
      <c r="E21" s="1439"/>
      <c r="F21" s="1439"/>
      <c r="G21" s="1439"/>
      <c r="H21" s="1433"/>
      <c r="I21" s="1420"/>
    </row>
    <row r="22" spans="2:9" ht="29.25" customHeight="1" x14ac:dyDescent="0.2">
      <c r="B22" s="1430"/>
      <c r="C22" s="3421" t="s">
        <v>28711</v>
      </c>
      <c r="D22" s="3421"/>
      <c r="E22" s="3421"/>
      <c r="F22" s="3421"/>
      <c r="G22" s="3421"/>
      <c r="H22" s="3421"/>
      <c r="I22" s="1420"/>
    </row>
    <row r="23" spans="2:9" s="1438" customFormat="1" x14ac:dyDescent="0.2">
      <c r="B23" s="1434"/>
      <c r="C23" s="1435" t="s">
        <v>30478</v>
      </c>
      <c r="D23" s="1436"/>
      <c r="E23" s="1436"/>
      <c r="F23" s="1436"/>
      <c r="G23" s="1436"/>
      <c r="H23" s="1436"/>
      <c r="I23" s="1437"/>
    </row>
    <row r="24" spans="2:9" ht="9.75" customHeight="1" x14ac:dyDescent="0.2">
      <c r="B24" s="1430"/>
      <c r="C24" s="1439"/>
      <c r="D24" s="1439"/>
      <c r="E24" s="1439"/>
      <c r="F24" s="1439"/>
      <c r="G24" s="1439"/>
      <c r="H24" s="1433"/>
      <c r="I24" s="1420"/>
    </row>
    <row r="25" spans="2:9" ht="30.2" customHeight="1" x14ac:dyDescent="0.2">
      <c r="B25" s="1430"/>
      <c r="C25" s="3421" t="s">
        <v>28712</v>
      </c>
      <c r="D25" s="3421"/>
      <c r="E25" s="3421"/>
      <c r="F25" s="3421"/>
      <c r="G25" s="3421"/>
      <c r="H25" s="3421"/>
      <c r="I25" s="1420"/>
    </row>
    <row r="26" spans="2:9" s="1438" customFormat="1" x14ac:dyDescent="0.2">
      <c r="B26" s="1434"/>
      <c r="C26" s="1435" t="s">
        <v>28713</v>
      </c>
      <c r="D26" s="1436"/>
      <c r="E26" s="1436"/>
      <c r="F26" s="1436"/>
      <c r="G26" s="1436"/>
      <c r="H26" s="1436"/>
      <c r="I26" s="1437"/>
    </row>
    <row r="27" spans="2:9" ht="9.75" customHeight="1" x14ac:dyDescent="0.2">
      <c r="B27" s="1430"/>
      <c r="C27" s="1439"/>
      <c r="D27" s="1439"/>
      <c r="E27" s="1439"/>
      <c r="F27" s="1439"/>
      <c r="G27" s="1439"/>
      <c r="H27" s="1433"/>
      <c r="I27" s="1420"/>
    </row>
    <row r="28" spans="2:9" ht="39.75" customHeight="1" x14ac:dyDescent="0.2">
      <c r="B28" s="1430"/>
      <c r="C28" s="3437" t="s">
        <v>28714</v>
      </c>
      <c r="D28" s="3437"/>
      <c r="E28" s="3437"/>
      <c r="F28" s="3437"/>
      <c r="G28" s="3437"/>
      <c r="H28" s="3437"/>
      <c r="I28" s="1420"/>
    </row>
    <row r="29" spans="2:9" s="1438" customFormat="1" x14ac:dyDescent="0.2">
      <c r="B29" s="1434"/>
      <c r="C29" s="1435" t="s">
        <v>30478</v>
      </c>
      <c r="D29" s="1436"/>
      <c r="E29" s="1436"/>
      <c r="F29" s="1436"/>
      <c r="G29" s="1436"/>
      <c r="H29" s="1436"/>
      <c r="I29" s="1437"/>
    </row>
    <row r="30" spans="2:9" ht="23.25" customHeight="1" x14ac:dyDescent="0.2">
      <c r="B30" s="1430"/>
      <c r="C30" s="1431" t="s">
        <v>28715</v>
      </c>
      <c r="D30" s="1432"/>
      <c r="E30" s="1432"/>
      <c r="F30" s="1432"/>
      <c r="G30" s="1432"/>
      <c r="H30" s="1433"/>
      <c r="I30" s="1420"/>
    </row>
    <row r="31" spans="2:9" s="1446" customFormat="1" x14ac:dyDescent="0.2">
      <c r="B31" s="1442"/>
      <c r="C31" s="1435" t="s">
        <v>30478</v>
      </c>
      <c r="D31" s="1443"/>
      <c r="E31" s="1443"/>
      <c r="F31" s="1444"/>
      <c r="G31" s="1444"/>
      <c r="H31" s="1435"/>
      <c r="I31" s="1445"/>
    </row>
    <row r="32" spans="2:9" x14ac:dyDescent="0.2">
      <c r="B32" s="1430"/>
      <c r="C32" s="1432" t="s">
        <v>28716</v>
      </c>
      <c r="D32" s="1432"/>
      <c r="E32" s="1432"/>
      <c r="F32" s="1432"/>
      <c r="G32" s="1432"/>
      <c r="H32" s="1433"/>
      <c r="I32" s="1420"/>
    </row>
    <row r="33" spans="2:9" ht="23.25" customHeight="1" x14ac:dyDescent="0.2">
      <c r="B33" s="1430"/>
      <c r="C33" s="1431" t="s">
        <v>28717</v>
      </c>
      <c r="D33" s="1432"/>
      <c r="E33" s="1432"/>
      <c r="F33" s="1432"/>
      <c r="G33" s="1432"/>
      <c r="H33" s="1433"/>
      <c r="I33" s="1420"/>
    </row>
    <row r="34" spans="2:9" ht="23.25" customHeight="1" x14ac:dyDescent="0.2">
      <c r="B34" s="1430"/>
      <c r="C34" s="1431" t="s">
        <v>28718</v>
      </c>
      <c r="D34" s="1432"/>
      <c r="E34" s="1432"/>
      <c r="F34" s="1432"/>
      <c r="G34" s="1432"/>
      <c r="H34" s="1433"/>
      <c r="I34" s="1420"/>
    </row>
    <row r="35" spans="2:9" s="1438" customFormat="1" x14ac:dyDescent="0.2">
      <c r="B35" s="1434"/>
      <c r="C35" s="1435" t="s">
        <v>30478</v>
      </c>
      <c r="D35" s="1436"/>
      <c r="E35" s="1436"/>
      <c r="F35" s="1436"/>
      <c r="G35" s="1436"/>
      <c r="H35" s="1436"/>
      <c r="I35" s="1437"/>
    </row>
    <row r="36" spans="2:9" ht="36.75" customHeight="1" x14ac:dyDescent="0.2">
      <c r="B36" s="1430"/>
      <c r="C36" s="3421" t="s">
        <v>28719</v>
      </c>
      <c r="D36" s="3421"/>
      <c r="E36" s="3421"/>
      <c r="F36" s="3421"/>
      <c r="G36" s="3421"/>
      <c r="H36" s="3421"/>
      <c r="I36" s="1420"/>
    </row>
    <row r="37" spans="2:9" ht="9.75" customHeight="1" x14ac:dyDescent="0.2">
      <c r="B37" s="1430"/>
      <c r="C37" s="1441"/>
      <c r="D37" s="1441"/>
      <c r="E37" s="1441"/>
      <c r="F37" s="1441"/>
      <c r="G37" s="1441"/>
      <c r="H37" s="1441"/>
      <c r="I37" s="1420"/>
    </row>
    <row r="38" spans="2:9" ht="30.75" customHeight="1" x14ac:dyDescent="0.2">
      <c r="B38" s="1430"/>
      <c r="C38" s="3421" t="s">
        <v>28720</v>
      </c>
      <c r="D38" s="3421"/>
      <c r="E38" s="3421"/>
      <c r="F38" s="3421"/>
      <c r="G38" s="3421"/>
      <c r="H38" s="3421"/>
      <c r="I38" s="1420"/>
    </row>
    <row r="39" spans="2:9" s="1438" customFormat="1" x14ac:dyDescent="0.2">
      <c r="B39" s="1434"/>
      <c r="C39" s="3435" t="s">
        <v>30389</v>
      </c>
      <c r="D39" s="3435"/>
      <c r="E39" s="3435"/>
      <c r="F39" s="3435"/>
      <c r="G39" s="3435"/>
      <c r="H39" s="3435"/>
      <c r="I39" s="1437"/>
    </row>
    <row r="40" spans="2:9" ht="23.25" customHeight="1" x14ac:dyDescent="0.2">
      <c r="B40" s="1430"/>
      <c r="C40" s="3421" t="s">
        <v>28721</v>
      </c>
      <c r="D40" s="3421"/>
      <c r="E40" s="3421"/>
      <c r="F40" s="3421"/>
      <c r="G40" s="3421"/>
      <c r="H40" s="3421"/>
      <c r="I40" s="1420"/>
    </row>
    <row r="41" spans="2:9" ht="23.25" customHeight="1" x14ac:dyDescent="0.2">
      <c r="B41" s="1430"/>
      <c r="C41" s="1431" t="s">
        <v>28722</v>
      </c>
      <c r="D41" s="1432"/>
      <c r="E41" s="1432"/>
      <c r="F41" s="1432"/>
      <c r="G41" s="1432"/>
      <c r="H41" s="1433"/>
      <c r="I41" s="1420"/>
    </row>
    <row r="42" spans="2:9" s="1438" customFormat="1" x14ac:dyDescent="0.2">
      <c r="B42" s="1434"/>
      <c r="C42" s="1435" t="s">
        <v>28831</v>
      </c>
      <c r="D42" s="1436"/>
      <c r="E42" s="1436"/>
      <c r="F42" s="1436"/>
      <c r="G42" s="1436"/>
      <c r="H42" s="1436"/>
      <c r="I42" s="1437"/>
    </row>
    <row r="43" spans="2:9" ht="23.25" customHeight="1" x14ac:dyDescent="0.2">
      <c r="B43" s="1430"/>
      <c r="C43" s="3421" t="s">
        <v>28723</v>
      </c>
      <c r="D43" s="3421"/>
      <c r="E43" s="3421"/>
      <c r="F43" s="3421"/>
      <c r="G43" s="3421"/>
      <c r="H43" s="3421"/>
      <c r="I43" s="1420"/>
    </row>
    <row r="44" spans="2:9" ht="23.25" customHeight="1" x14ac:dyDescent="0.2">
      <c r="B44" s="1430"/>
      <c r="C44" s="1431" t="s">
        <v>28724</v>
      </c>
      <c r="D44" s="1432"/>
      <c r="E44" s="1432"/>
      <c r="F44" s="1432"/>
      <c r="G44" s="1432"/>
      <c r="H44" s="1433"/>
      <c r="I44" s="1420"/>
    </row>
    <row r="45" spans="2:9" s="1438" customFormat="1" x14ac:dyDescent="0.2">
      <c r="B45" s="1434"/>
      <c r="C45" s="1435" t="s">
        <v>28832</v>
      </c>
      <c r="D45" s="1436"/>
      <c r="E45" s="1436"/>
      <c r="F45" s="1436"/>
      <c r="G45" s="1436"/>
      <c r="H45" s="1436"/>
      <c r="I45" s="1437"/>
    </row>
    <row r="46" spans="2:9" ht="23.25" customHeight="1" x14ac:dyDescent="0.2">
      <c r="B46" s="1430"/>
      <c r="C46" s="3421" t="s">
        <v>28725</v>
      </c>
      <c r="D46" s="3421"/>
      <c r="E46" s="3421"/>
      <c r="F46" s="3421"/>
      <c r="G46" s="3421"/>
      <c r="H46" s="3421"/>
      <c r="I46" s="1420"/>
    </row>
    <row r="47" spans="2:9" ht="14.25" customHeight="1" x14ac:dyDescent="0.2">
      <c r="B47" s="1430"/>
      <c r="C47" s="3434" t="s">
        <v>28726</v>
      </c>
      <c r="D47" s="3434"/>
      <c r="E47" s="3434"/>
      <c r="F47" s="3434"/>
      <c r="G47" s="3434"/>
      <c r="H47" s="3434"/>
      <c r="I47" s="1420"/>
    </row>
    <row r="48" spans="2:9" s="1446" customFormat="1" ht="14.25" customHeight="1" x14ac:dyDescent="0.2">
      <c r="B48" s="1442"/>
      <c r="C48" s="3435" t="s">
        <v>30389</v>
      </c>
      <c r="D48" s="3435"/>
      <c r="E48" s="3435"/>
      <c r="F48" s="3435"/>
      <c r="G48" s="3435"/>
      <c r="H48" s="3435"/>
      <c r="I48" s="1445"/>
    </row>
    <row r="49" spans="2:9" ht="23.25" customHeight="1" x14ac:dyDescent="0.2">
      <c r="B49" s="1430"/>
      <c r="C49" s="3434" t="s">
        <v>28727</v>
      </c>
      <c r="D49" s="3434"/>
      <c r="E49" s="3434"/>
      <c r="F49" s="3434"/>
      <c r="G49" s="3434"/>
      <c r="H49" s="3434"/>
      <c r="I49" s="1420"/>
    </row>
    <row r="50" spans="2:9" s="1446" customFormat="1" ht="27" customHeight="1" x14ac:dyDescent="0.2">
      <c r="B50" s="1442"/>
      <c r="C50" s="3436" t="s">
        <v>28728</v>
      </c>
      <c r="D50" s="3436"/>
      <c r="E50" s="3436"/>
      <c r="F50" s="3436"/>
      <c r="G50" s="3436"/>
      <c r="H50" s="3436"/>
      <c r="I50" s="1445"/>
    </row>
    <row r="51" spans="2:9" ht="23.25" customHeight="1" x14ac:dyDescent="0.2">
      <c r="B51" s="1430"/>
      <c r="C51" s="3434" t="s">
        <v>28729</v>
      </c>
      <c r="D51" s="3434"/>
      <c r="E51" s="3434"/>
      <c r="F51" s="3434"/>
      <c r="G51" s="3434"/>
      <c r="H51" s="3434"/>
      <c r="I51" s="1420"/>
    </row>
    <row r="52" spans="2:9" ht="23.25" customHeight="1" x14ac:dyDescent="0.2">
      <c r="B52" s="1430"/>
      <c r="C52" s="3421" t="s">
        <v>28730</v>
      </c>
      <c r="D52" s="3421"/>
      <c r="E52" s="3421"/>
      <c r="F52" s="3421"/>
      <c r="G52" s="3421"/>
      <c r="H52" s="3421"/>
      <c r="I52" s="1420"/>
    </row>
    <row r="53" spans="2:9" ht="9.75" customHeight="1" x14ac:dyDescent="0.2">
      <c r="B53" s="1430"/>
      <c r="C53" s="1432"/>
      <c r="D53" s="1432"/>
      <c r="E53" s="1432"/>
      <c r="F53" s="1432"/>
      <c r="G53" s="1432"/>
      <c r="H53" s="1433"/>
      <c r="I53" s="1420"/>
    </row>
    <row r="54" spans="2:9" s="1438" customFormat="1" x14ac:dyDescent="0.2">
      <c r="B54" s="1434"/>
      <c r="C54" s="1435" t="s">
        <v>28831</v>
      </c>
      <c r="D54" s="1436"/>
      <c r="E54" s="1436"/>
      <c r="F54" s="1436"/>
      <c r="G54" s="1436"/>
      <c r="H54" s="1436"/>
      <c r="I54" s="1437"/>
    </row>
    <row r="55" spans="2:9" ht="9.75" customHeight="1" x14ac:dyDescent="0.2">
      <c r="B55" s="1430"/>
      <c r="C55" s="1439"/>
      <c r="D55" s="1439"/>
      <c r="E55" s="1439"/>
      <c r="F55" s="1439"/>
      <c r="G55" s="1439"/>
      <c r="H55" s="1433"/>
      <c r="I55" s="1420"/>
    </row>
    <row r="56" spans="2:9" ht="23.25" customHeight="1" x14ac:dyDescent="0.2">
      <c r="B56" s="1430"/>
      <c r="C56" s="3437" t="s">
        <v>28731</v>
      </c>
      <c r="D56" s="3437"/>
      <c r="E56" s="3437"/>
      <c r="F56" s="3437"/>
      <c r="G56" s="3437"/>
      <c r="H56" s="3437"/>
      <c r="I56" s="1420"/>
    </row>
    <row r="57" spans="2:9" ht="23.25" customHeight="1" x14ac:dyDescent="0.2">
      <c r="B57" s="1430"/>
      <c r="C57" s="1441"/>
      <c r="D57" s="1441"/>
      <c r="E57" s="1441"/>
      <c r="F57" s="1441"/>
      <c r="G57" s="1441"/>
      <c r="H57" s="1441"/>
      <c r="I57" s="1420"/>
    </row>
    <row r="58" spans="2:9" ht="23.25" customHeight="1" x14ac:dyDescent="0.2">
      <c r="B58" s="1430"/>
      <c r="C58" s="1441"/>
      <c r="D58" s="1441"/>
      <c r="E58" s="1441"/>
      <c r="F58" s="1441"/>
      <c r="G58" s="1441"/>
      <c r="H58" s="1447" t="s">
        <v>28732</v>
      </c>
      <c r="I58" s="1420"/>
    </row>
    <row r="59" spans="2:9" ht="23.25" customHeight="1" x14ac:dyDescent="0.2">
      <c r="B59" s="1448"/>
      <c r="C59" s="1449"/>
      <c r="D59" s="1449"/>
      <c r="E59" s="1449"/>
      <c r="F59" s="1449"/>
      <c r="G59" s="1449"/>
      <c r="H59" s="1449"/>
      <c r="I59" s="1417"/>
    </row>
    <row r="60" spans="2:9" ht="23.25" customHeight="1" x14ac:dyDescent="0.2">
      <c r="B60" s="1450"/>
      <c r="C60" s="1451"/>
      <c r="D60" s="1451"/>
      <c r="E60" s="1451"/>
      <c r="F60" s="1451"/>
      <c r="G60" s="1451"/>
      <c r="H60" s="1451"/>
      <c r="I60" s="1452"/>
    </row>
    <row r="61" spans="2:9" ht="21.2" customHeight="1" x14ac:dyDescent="0.2">
      <c r="B61" s="1430"/>
      <c r="C61" s="1441"/>
      <c r="D61" s="1441"/>
      <c r="E61" s="1441"/>
      <c r="F61" s="1441"/>
      <c r="G61" s="1441"/>
      <c r="H61" s="1441"/>
      <c r="I61" s="1420"/>
    </row>
    <row r="62" spans="2:9" ht="29.25" customHeight="1" x14ac:dyDescent="0.2">
      <c r="B62" s="1430"/>
      <c r="C62" s="1453" t="s">
        <v>28733</v>
      </c>
      <c r="D62" s="1432"/>
      <c r="E62" s="1432"/>
      <c r="F62" s="1432"/>
      <c r="G62" s="1432"/>
      <c r="H62" s="1433"/>
      <c r="I62" s="1420"/>
    </row>
    <row r="63" spans="2:9" ht="9.75" customHeight="1" x14ac:dyDescent="0.2">
      <c r="B63" s="1430"/>
      <c r="C63" s="1432"/>
      <c r="D63" s="1432"/>
      <c r="E63" s="1432"/>
      <c r="F63" s="1432"/>
      <c r="G63" s="1432"/>
      <c r="H63" s="1433"/>
      <c r="I63" s="1420"/>
    </row>
    <row r="64" spans="2:9" ht="23.25" customHeight="1" x14ac:dyDescent="0.2">
      <c r="B64" s="1430"/>
      <c r="C64" s="1431" t="s">
        <v>28734</v>
      </c>
      <c r="D64" s="1432"/>
      <c r="E64" s="1432"/>
      <c r="F64" s="1432"/>
      <c r="G64" s="1432"/>
      <c r="H64" s="1433"/>
      <c r="I64" s="1420"/>
    </row>
    <row r="65" spans="2:16" ht="9.75" customHeight="1" x14ac:dyDescent="0.2">
      <c r="B65" s="1430"/>
      <c r="C65" s="1432"/>
      <c r="D65" s="1432"/>
      <c r="E65" s="1432"/>
      <c r="F65" s="1432"/>
      <c r="G65" s="1432"/>
      <c r="H65" s="1433"/>
      <c r="I65" s="1420"/>
    </row>
    <row r="66" spans="2:16" ht="49.7" customHeight="1" x14ac:dyDescent="0.2">
      <c r="B66" s="1430"/>
      <c r="C66" s="3421" t="s">
        <v>30477</v>
      </c>
      <c r="D66" s="3421"/>
      <c r="E66" s="3421"/>
      <c r="F66" s="3421"/>
      <c r="G66" s="3421"/>
      <c r="H66" s="3421"/>
      <c r="I66" s="1420"/>
    </row>
    <row r="67" spans="2:16" ht="9.75" customHeight="1" x14ac:dyDescent="0.2">
      <c r="B67" s="1430"/>
      <c r="C67" s="1441"/>
      <c r="D67" s="1441"/>
      <c r="E67" s="1441"/>
      <c r="F67" s="1441"/>
      <c r="G67" s="1441"/>
      <c r="H67" s="1441"/>
      <c r="I67" s="1420"/>
    </row>
    <row r="68" spans="2:16" ht="74.25" customHeight="1" x14ac:dyDescent="0.2">
      <c r="B68" s="1430"/>
      <c r="C68" s="3421" t="s">
        <v>28735</v>
      </c>
      <c r="D68" s="3421"/>
      <c r="E68" s="3421"/>
      <c r="F68" s="3421"/>
      <c r="G68" s="3421"/>
      <c r="H68" s="3421"/>
      <c r="I68" s="1420"/>
    </row>
    <row r="69" spans="2:16" ht="9.75" customHeight="1" x14ac:dyDescent="0.2">
      <c r="B69" s="1430"/>
      <c r="C69" s="1441"/>
      <c r="D69" s="1441"/>
      <c r="E69" s="1441"/>
      <c r="F69" s="1441"/>
      <c r="G69" s="1441"/>
      <c r="H69" s="1441"/>
      <c r="I69" s="1420"/>
    </row>
    <row r="70" spans="2:16" ht="23.25" customHeight="1" x14ac:dyDescent="0.2">
      <c r="B70" s="1430"/>
      <c r="C70" s="3421" t="s">
        <v>28736</v>
      </c>
      <c r="D70" s="3421"/>
      <c r="E70" s="3421"/>
      <c r="F70" s="3421"/>
      <c r="G70" s="3421"/>
      <c r="H70" s="3421"/>
      <c r="I70" s="1420"/>
    </row>
    <row r="71" spans="2:16" ht="9.75" customHeight="1" x14ac:dyDescent="0.2">
      <c r="B71" s="1430"/>
      <c r="C71" s="1432"/>
      <c r="D71" s="1432"/>
      <c r="E71" s="1432"/>
      <c r="F71" s="1432"/>
      <c r="G71" s="1432"/>
      <c r="H71" s="1433"/>
      <c r="I71" s="1420"/>
    </row>
    <row r="72" spans="2:16" ht="38.25" customHeight="1" x14ac:dyDescent="0.2">
      <c r="B72" s="1430"/>
      <c r="C72" s="3421" t="s">
        <v>28737</v>
      </c>
      <c r="D72" s="3421"/>
      <c r="E72" s="3421"/>
      <c r="F72" s="3421"/>
      <c r="G72" s="3421"/>
      <c r="H72" s="3421"/>
      <c r="I72" s="1420"/>
    </row>
    <row r="73" spans="2:16" ht="9.75" customHeight="1" x14ac:dyDescent="0.2">
      <c r="B73" s="1430"/>
      <c r="C73" s="1441"/>
      <c r="D73" s="1441"/>
      <c r="E73" s="1441"/>
      <c r="F73" s="1441"/>
      <c r="G73" s="1441"/>
      <c r="H73" s="1441"/>
      <c r="I73" s="1420"/>
    </row>
    <row r="74" spans="2:16" ht="12.75" customHeight="1" x14ac:dyDescent="0.2">
      <c r="B74" s="1430"/>
      <c r="C74" s="1432" t="s">
        <v>28738</v>
      </c>
      <c r="D74" s="1432"/>
      <c r="E74" s="1432"/>
      <c r="F74" s="1432"/>
      <c r="G74" s="1432"/>
      <c r="H74" s="1433"/>
      <c r="I74" s="1420"/>
    </row>
    <row r="75" spans="2:16" ht="9.75" customHeight="1" x14ac:dyDescent="0.2">
      <c r="B75" s="1430"/>
      <c r="C75" s="1432"/>
      <c r="D75" s="1432"/>
      <c r="E75" s="1432"/>
      <c r="F75" s="1432"/>
      <c r="G75" s="1432"/>
      <c r="H75" s="1433"/>
      <c r="I75" s="1420"/>
    </row>
    <row r="76" spans="2:16" ht="41.25" customHeight="1" x14ac:dyDescent="0.2">
      <c r="B76" s="1430"/>
      <c r="C76" s="3421" t="s">
        <v>28739</v>
      </c>
      <c r="D76" s="3421"/>
      <c r="E76" s="3421"/>
      <c r="F76" s="3421"/>
      <c r="G76" s="3421"/>
      <c r="H76" s="3421"/>
      <c r="I76" s="1420"/>
    </row>
    <row r="77" spans="2:16" ht="9.75" customHeight="1" thickBot="1" x14ac:dyDescent="0.25">
      <c r="B77" s="1419"/>
      <c r="C77" s="1429"/>
      <c r="D77" s="1429"/>
      <c r="E77" s="1429"/>
      <c r="F77" s="1429"/>
      <c r="G77" s="1429"/>
      <c r="H77" s="1429"/>
      <c r="I77" s="1420"/>
    </row>
    <row r="78" spans="2:16" ht="27.75" customHeight="1" x14ac:dyDescent="0.2">
      <c r="B78" s="1419"/>
      <c r="C78" s="1454" t="s">
        <v>28740</v>
      </c>
      <c r="D78" s="3428" t="s">
        <v>28741</v>
      </c>
      <c r="E78" s="3429"/>
      <c r="F78" s="3430"/>
      <c r="G78" s="3428" t="s">
        <v>28742</v>
      </c>
      <c r="H78" s="3430"/>
      <c r="I78" s="1420"/>
      <c r="P78" s="1455"/>
    </row>
    <row r="79" spans="2:16" ht="27.75" customHeight="1" thickBot="1" x14ac:dyDescent="0.25">
      <c r="B79" s="1419"/>
      <c r="C79" s="1456" t="s">
        <v>28743</v>
      </c>
      <c r="D79" s="3431" t="s">
        <v>28744</v>
      </c>
      <c r="E79" s="3432"/>
      <c r="F79" s="3433"/>
      <c r="G79" s="3431" t="s">
        <v>28745</v>
      </c>
      <c r="H79" s="3433"/>
      <c r="I79" s="1420"/>
    </row>
    <row r="80" spans="2:16" ht="24.75" customHeight="1" thickBot="1" x14ac:dyDescent="0.25">
      <c r="B80" s="1419"/>
      <c r="C80" s="1457" t="s">
        <v>28746</v>
      </c>
      <c r="D80" s="3423" t="s">
        <v>28833</v>
      </c>
      <c r="E80" s="3424"/>
      <c r="F80" s="3425"/>
      <c r="G80" s="3426" t="s">
        <v>28832</v>
      </c>
      <c r="H80" s="3427"/>
      <c r="I80" s="1420"/>
    </row>
    <row r="81" spans="2:12" ht="24.75" customHeight="1" thickBot="1" x14ac:dyDescent="0.25">
      <c r="B81" s="1419"/>
      <c r="C81" s="1457" t="s">
        <v>28747</v>
      </c>
      <c r="D81" s="3423" t="s">
        <v>28834</v>
      </c>
      <c r="E81" s="3424"/>
      <c r="F81" s="3425"/>
      <c r="G81" s="3426" t="s">
        <v>28832</v>
      </c>
      <c r="H81" s="3427"/>
      <c r="I81" s="1420"/>
    </row>
    <row r="82" spans="2:12" ht="24.75" customHeight="1" thickBot="1" x14ac:dyDescent="0.25">
      <c r="B82" s="1419"/>
      <c r="C82" s="1457" t="s">
        <v>28748</v>
      </c>
      <c r="D82" s="3423" t="s">
        <v>29129</v>
      </c>
      <c r="E82" s="3424"/>
      <c r="F82" s="3425"/>
      <c r="G82" s="3426" t="s">
        <v>28832</v>
      </c>
      <c r="H82" s="3427"/>
      <c r="I82" s="1420"/>
    </row>
    <row r="83" spans="2:12" ht="9.75" customHeight="1" x14ac:dyDescent="0.2">
      <c r="B83" s="1419"/>
      <c r="C83" s="1429"/>
      <c r="D83" s="1429"/>
      <c r="E83" s="1429"/>
      <c r="F83" s="1429"/>
      <c r="G83" s="1429"/>
      <c r="H83" s="1429"/>
      <c r="I83" s="1420"/>
    </row>
    <row r="84" spans="2:12" ht="26.45" customHeight="1" x14ac:dyDescent="0.2">
      <c r="B84" s="1419"/>
      <c r="C84" s="3421" t="s">
        <v>28749</v>
      </c>
      <c r="D84" s="3421"/>
      <c r="E84" s="3421"/>
      <c r="F84" s="3421"/>
      <c r="G84" s="3421"/>
      <c r="H84" s="3421"/>
      <c r="I84" s="1420"/>
    </row>
    <row r="85" spans="2:12" s="1438" customFormat="1" x14ac:dyDescent="0.2">
      <c r="B85" s="1458"/>
      <c r="C85" s="1435" t="s">
        <v>30478</v>
      </c>
      <c r="D85" s="1436"/>
      <c r="E85" s="1436"/>
      <c r="F85" s="1436"/>
      <c r="G85" s="1436"/>
      <c r="H85" s="1436"/>
      <c r="I85" s="1437"/>
    </row>
    <row r="86" spans="2:12" ht="9.75" customHeight="1" x14ac:dyDescent="0.2">
      <c r="B86" s="1419"/>
      <c r="C86" s="1439"/>
      <c r="D86" s="1439"/>
      <c r="E86" s="1439"/>
      <c r="F86" s="1439"/>
      <c r="G86" s="1439"/>
      <c r="H86" s="1433"/>
      <c r="I86" s="1420"/>
    </row>
    <row r="87" spans="2:12" ht="31.7" customHeight="1" x14ac:dyDescent="0.2">
      <c r="B87" s="1419"/>
      <c r="C87" s="3421" t="s">
        <v>28750</v>
      </c>
      <c r="D87" s="3421"/>
      <c r="E87" s="3421"/>
      <c r="F87" s="3421"/>
      <c r="G87" s="3421"/>
      <c r="H87" s="3421"/>
      <c r="I87" s="1420"/>
    </row>
    <row r="88" spans="2:12" ht="26.45" customHeight="1" x14ac:dyDescent="0.2">
      <c r="B88" s="1419"/>
      <c r="C88" s="3421" t="s">
        <v>28751</v>
      </c>
      <c r="D88" s="3422"/>
      <c r="E88" s="3422"/>
      <c r="F88" s="3422"/>
      <c r="G88" s="3422"/>
      <c r="H88" s="3422"/>
      <c r="I88" s="1420"/>
      <c r="L88" s="1459"/>
    </row>
    <row r="89" spans="2:12" ht="26.45" customHeight="1" x14ac:dyDescent="0.2">
      <c r="B89" s="1419"/>
      <c r="C89" s="3421" t="s">
        <v>28752</v>
      </c>
      <c r="D89" s="3422"/>
      <c r="E89" s="3422"/>
      <c r="F89" s="3422"/>
      <c r="G89" s="3422"/>
      <c r="H89" s="3422"/>
      <c r="I89" s="1420"/>
    </row>
    <row r="90" spans="2:12" ht="17.45" customHeight="1" x14ac:dyDescent="0.2">
      <c r="B90" s="1419"/>
      <c r="C90" s="2061"/>
      <c r="D90" s="2062"/>
      <c r="E90" s="2062"/>
      <c r="F90" s="2062"/>
      <c r="G90" s="2062"/>
      <c r="H90" s="2062"/>
      <c r="I90" s="1420"/>
    </row>
    <row r="91" spans="2:12" ht="19.5" x14ac:dyDescent="0.3">
      <c r="B91" s="1419"/>
      <c r="C91" s="2064" t="s">
        <v>30390</v>
      </c>
      <c r="D91" s="1460"/>
      <c r="E91" s="1460"/>
      <c r="F91" s="1460"/>
      <c r="G91" s="1460"/>
      <c r="H91" s="1429"/>
      <c r="I91" s="1420"/>
    </row>
    <row r="92" spans="2:12" ht="15.75" x14ac:dyDescent="0.2">
      <c r="B92" s="1419"/>
      <c r="C92" s="2063" t="s">
        <v>30391</v>
      </c>
      <c r="D92" s="1462"/>
      <c r="E92" s="1462"/>
      <c r="F92" s="1462"/>
      <c r="G92" s="1462"/>
      <c r="H92" s="1462"/>
      <c r="I92" s="1420"/>
    </row>
    <row r="93" spans="2:12" ht="12.75" customHeight="1" x14ac:dyDescent="0.2">
      <c r="B93" s="1419"/>
      <c r="C93" s="1463" t="s">
        <v>28753</v>
      </c>
      <c r="D93" s="1463"/>
      <c r="E93" s="1463"/>
      <c r="F93" s="1463"/>
      <c r="G93" s="1464"/>
      <c r="H93" s="1464"/>
      <c r="I93" s="1420"/>
    </row>
    <row r="94" spans="2:12" ht="15.75" x14ac:dyDescent="0.2">
      <c r="B94" s="1419"/>
      <c r="C94" s="1462"/>
      <c r="D94" s="1462"/>
      <c r="E94" s="1462"/>
      <c r="F94" s="1462"/>
      <c r="G94" s="1462"/>
      <c r="H94" s="1462"/>
      <c r="I94" s="1420"/>
    </row>
    <row r="95" spans="2:12" ht="18.75" x14ac:dyDescent="0.2">
      <c r="B95" s="1419"/>
      <c r="C95" s="1465" t="str">
        <f ca="1">"Goslar, den "&amp;TEXT(TODAY(),"TT.MM.JJJJ")</f>
        <v>Goslar, den 02.02.2022</v>
      </c>
      <c r="D95" s="1466"/>
      <c r="E95" s="1466"/>
      <c r="F95" s="1462"/>
      <c r="G95" s="1462"/>
      <c r="H95" s="1461"/>
      <c r="I95" s="1420"/>
    </row>
    <row r="96" spans="2:12" ht="25.5" x14ac:dyDescent="0.2">
      <c r="B96" s="1419"/>
      <c r="C96" s="1463" t="s">
        <v>28754</v>
      </c>
      <c r="D96" s="1463"/>
      <c r="E96" s="1463"/>
      <c r="F96" s="1463"/>
      <c r="G96" s="1463"/>
      <c r="H96" s="1463" t="s">
        <v>28755</v>
      </c>
      <c r="I96" s="1420"/>
    </row>
    <row r="97" spans="2:9" x14ac:dyDescent="0.2">
      <c r="B97" s="1419"/>
      <c r="C97" s="1429"/>
      <c r="D97" s="1429"/>
      <c r="E97" s="1429"/>
      <c r="F97" s="1429"/>
      <c r="G97" s="1429"/>
      <c r="H97" s="1429"/>
      <c r="I97" s="1420"/>
    </row>
    <row r="98" spans="2:9" x14ac:dyDescent="0.2">
      <c r="B98" s="1419"/>
      <c r="C98" s="1467"/>
      <c r="D98" s="1467"/>
      <c r="E98" s="1467"/>
      <c r="F98" s="1429"/>
      <c r="G98" s="1429"/>
      <c r="H98" s="1429"/>
      <c r="I98" s="1420"/>
    </row>
    <row r="99" spans="2:9" x14ac:dyDescent="0.2">
      <c r="B99" s="1424"/>
      <c r="C99" s="1452"/>
      <c r="D99" s="1452"/>
      <c r="E99" s="1452"/>
      <c r="F99" s="1452"/>
      <c r="G99" s="1452"/>
      <c r="H99" s="1468" t="s">
        <v>28756</v>
      </c>
      <c r="I99" s="1427"/>
    </row>
  </sheetData>
  <sheetProtection algorithmName="SHA-512" hashValue="HKMsoDSs1dX+vohJid5UQ1HekZWOtgHbNhdULE00ODS5SvJc5cxP/r6grL+OjCDOu83goXqv7AOO3BYpgfec8Q==" saltValue="n8aCj/rRbXNe06eX86fpcw==" spinCount="100000" sheet="1" objects="1" scenarios="1"/>
  <mergeCells count="41">
    <mergeCell ref="C40:H40"/>
    <mergeCell ref="C39:H39"/>
    <mergeCell ref="C3:H3"/>
    <mergeCell ref="D5:G5"/>
    <mergeCell ref="C13:H13"/>
    <mergeCell ref="C16:H16"/>
    <mergeCell ref="C17:H17"/>
    <mergeCell ref="C19:H19"/>
    <mergeCell ref="C22:H22"/>
    <mergeCell ref="C25:H25"/>
    <mergeCell ref="C28:H28"/>
    <mergeCell ref="C36:H36"/>
    <mergeCell ref="C38:H38"/>
    <mergeCell ref="C70:H70"/>
    <mergeCell ref="C43:H43"/>
    <mergeCell ref="C46:H46"/>
    <mergeCell ref="C47:H47"/>
    <mergeCell ref="C48:H48"/>
    <mergeCell ref="C49:H49"/>
    <mergeCell ref="C50:H50"/>
    <mergeCell ref="C51:H51"/>
    <mergeCell ref="C52:H52"/>
    <mergeCell ref="C56:H56"/>
    <mergeCell ref="C66:H66"/>
    <mergeCell ref="C68:H68"/>
    <mergeCell ref="C72:H72"/>
    <mergeCell ref="C76:H76"/>
    <mergeCell ref="D78:F78"/>
    <mergeCell ref="G78:H78"/>
    <mergeCell ref="D79:F79"/>
    <mergeCell ref="G79:H79"/>
    <mergeCell ref="C87:H87"/>
    <mergeCell ref="C88:H88"/>
    <mergeCell ref="C89:H89"/>
    <mergeCell ref="D80:F80"/>
    <mergeCell ref="G80:H80"/>
    <mergeCell ref="G81:H81"/>
    <mergeCell ref="D82:F82"/>
    <mergeCell ref="G82:H82"/>
    <mergeCell ref="C84:H84"/>
    <mergeCell ref="D81:F81"/>
  </mergeCells>
  <pageMargins left="0.7" right="0.7" top="0.75" bottom="0.75" header="0.3" footer="0.3"/>
  <pageSetup paperSize="9" scale="64" fitToHeight="0" orientation="portrait" r:id="rId1"/>
  <headerFooter alignWithMargins="0"/>
  <rowBreaks count="1" manualBreakCount="1">
    <brk id="59" min="1" max="8" man="1"/>
  </rowBreaks>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Tabelle44">
    <tabColor indexed="11"/>
  </sheetPr>
  <dimension ref="B1:AG863"/>
  <sheetViews>
    <sheetView showGridLines="0" view="pageBreakPreview" zoomScaleNormal="60" zoomScaleSheetLayoutView="100" workbookViewId="0">
      <selection activeCell="V28" sqref="V28"/>
    </sheetView>
  </sheetViews>
  <sheetFormatPr baseColWidth="10" defaultColWidth="11.42578125" defaultRowHeight="12.75" x14ac:dyDescent="0.2"/>
  <cols>
    <col min="1" max="1" width="11.42578125" style="1137" customWidth="1"/>
    <col min="2" max="2" width="13.42578125" style="1178" bestFit="1" customWidth="1"/>
    <col min="3" max="3" width="11.28515625" style="1950" bestFit="1" customWidth="1"/>
    <col min="4" max="4" width="0.85546875" style="1136" customWidth="1"/>
    <col min="5" max="5" width="12.7109375" style="1137" customWidth="1"/>
    <col min="6" max="8" width="11.42578125" style="1137"/>
    <col min="9" max="9" width="12.42578125" style="1137" bestFit="1" customWidth="1"/>
    <col min="10" max="10" width="11.7109375" style="1137" customWidth="1"/>
    <col min="11" max="12" width="11.42578125" style="1137"/>
    <col min="13" max="13" width="12.7109375" style="1137" customWidth="1"/>
    <col min="14" max="18" width="11.42578125" style="1137"/>
    <col min="19" max="19" width="13.42578125" style="1137" customWidth="1"/>
    <col min="20" max="20" width="11.42578125" style="1137"/>
    <col min="21" max="21" width="0.85546875" style="1137" customWidth="1"/>
    <col min="22" max="22" width="15.42578125" style="1137" customWidth="1"/>
    <col min="23" max="23" width="13.28515625" style="1138" bestFit="1" customWidth="1"/>
    <col min="24" max="24" width="11.42578125" style="1135"/>
    <col min="25" max="25" width="19.140625" style="1137" customWidth="1"/>
    <col min="26" max="27" width="11.42578125" style="1137"/>
    <col min="28" max="28" width="11.42578125" style="1153"/>
    <col min="29" max="29" width="17" style="1153" customWidth="1"/>
    <col min="30" max="31" width="11.42578125" style="1153"/>
    <col min="32" max="16384" width="11.42578125" style="1137"/>
  </cols>
  <sheetData>
    <row r="1" spans="3:29" ht="10.5" customHeight="1" x14ac:dyDescent="0.2">
      <c r="C1" s="1166">
        <f>IF(Z8=0,1,"")</f>
        <v>1</v>
      </c>
    </row>
    <row r="2" spans="3:29" ht="32.25" customHeight="1" x14ac:dyDescent="0.2">
      <c r="E2" s="3485" t="str">
        <f>Dateneingabe!F1&amp;" "&amp;Dateneingabe!I1</f>
        <v>Ausschreibung GCC vertikal Rev. 0563b</v>
      </c>
      <c r="F2" s="3486"/>
      <c r="G2" s="3486"/>
      <c r="H2" s="3486"/>
      <c r="I2" s="3486"/>
      <c r="J2" s="3486"/>
      <c r="K2" s="3486"/>
      <c r="L2" s="3486"/>
      <c r="M2" s="3486"/>
      <c r="N2" s="3486"/>
      <c r="O2" s="3486"/>
      <c r="P2" s="3486"/>
      <c r="Q2" s="3486"/>
      <c r="R2" s="3486"/>
      <c r="S2" s="3486"/>
      <c r="T2" s="3486"/>
      <c r="V2" s="1139"/>
      <c r="Y2" s="1138"/>
      <c r="Z2" s="1140" t="s">
        <v>28166</v>
      </c>
      <c r="AA2" s="1141">
        <v>43214</v>
      </c>
      <c r="AB2" s="1137"/>
    </row>
    <row r="3" spans="3:29" ht="9" customHeight="1" x14ac:dyDescent="0.2">
      <c r="K3" s="1142"/>
      <c r="L3" s="1142"/>
      <c r="M3" s="1142"/>
      <c r="N3" s="1142"/>
      <c r="O3" s="1142"/>
      <c r="Y3" s="1138"/>
      <c r="Z3" s="1135"/>
      <c r="AB3" s="1137"/>
    </row>
    <row r="4" spans="3:29" ht="21.2" customHeight="1" x14ac:dyDescent="0.2">
      <c r="E4" s="1143"/>
      <c r="F4" s="1144"/>
      <c r="G4" s="1145"/>
      <c r="H4" s="1146"/>
      <c r="I4" s="1147"/>
      <c r="J4" s="1147"/>
      <c r="K4" s="1144" t="s">
        <v>81</v>
      </c>
      <c r="L4" s="3492" t="str">
        <f>Dateneingabe!F3</f>
        <v>05217112</v>
      </c>
      <c r="M4" s="3493"/>
      <c r="N4" s="3493"/>
      <c r="O4" s="1965" t="str">
        <f>"-"&amp;Dateneingabe!H3</f>
        <v>-200</v>
      </c>
      <c r="Y4" s="1138"/>
      <c r="Z4" s="1135"/>
      <c r="AA4" s="1153"/>
      <c r="AB4" s="1137"/>
    </row>
    <row r="5" spans="3:29" ht="4.7" customHeight="1" x14ac:dyDescent="0.2">
      <c r="E5" s="1143"/>
      <c r="F5" s="1143"/>
      <c r="G5" s="1145"/>
      <c r="H5" s="1146"/>
      <c r="I5" s="1147"/>
      <c r="J5" s="1147"/>
      <c r="K5" s="1147"/>
      <c r="L5" s="1147"/>
      <c r="M5" s="1147"/>
      <c r="Y5" s="1138"/>
      <c r="Z5" s="1135"/>
      <c r="AB5" s="1137"/>
    </row>
    <row r="6" spans="3:29" ht="23.25" x14ac:dyDescent="0.2">
      <c r="I6" s="1148"/>
      <c r="J6" s="1148"/>
      <c r="K6" s="1149" t="s">
        <v>493</v>
      </c>
      <c r="L6" s="3487" t="str">
        <f>Dateneingabe!F17</f>
        <v>Element Logic Germany GmbH</v>
      </c>
      <c r="M6" s="3488"/>
      <c r="N6" s="3488"/>
      <c r="O6" s="3243"/>
      <c r="P6" s="1150"/>
      <c r="Q6" s="1151"/>
      <c r="Y6" s="1138"/>
      <c r="Z6" s="1135"/>
      <c r="AB6" s="1137"/>
    </row>
    <row r="7" spans="3:29" ht="21.2" customHeight="1" x14ac:dyDescent="0.2">
      <c r="E7" s="1143"/>
      <c r="F7" s="1143"/>
      <c r="G7" s="1145"/>
      <c r="H7" s="1146"/>
      <c r="K7" s="1147"/>
      <c r="L7" s="1147"/>
      <c r="M7" s="1147"/>
      <c r="N7" s="1147"/>
      <c r="O7" s="1147"/>
      <c r="Y7" s="1138" t="s">
        <v>28167</v>
      </c>
      <c r="Z7" s="1152" t="s">
        <v>28168</v>
      </c>
      <c r="AA7" s="1153" t="s">
        <v>28169</v>
      </c>
      <c r="AB7" s="1153" t="s">
        <v>28170</v>
      </c>
    </row>
    <row r="8" spans="3:29" ht="21.75" customHeight="1" x14ac:dyDescent="0.2">
      <c r="F8" s="1143"/>
      <c r="G8" s="1145"/>
      <c r="H8" s="1146"/>
      <c r="K8" s="1148"/>
      <c r="M8" s="1148"/>
      <c r="N8" s="1154" t="s">
        <v>28172</v>
      </c>
      <c r="O8" s="3448">
        <f>Z8+O42</f>
        <v>0</v>
      </c>
      <c r="P8" s="3449"/>
      <c r="R8" s="1154" t="s">
        <v>28173</v>
      </c>
      <c r="S8" s="1157">
        <f>AA8+S42</f>
        <v>0</v>
      </c>
      <c r="T8" s="1146"/>
      <c r="U8" s="1146"/>
      <c r="Y8" s="1158">
        <f>SUM(Y10:Y1049)</f>
        <v>0</v>
      </c>
      <c r="Z8" s="1159">
        <f>SUM(Z10:Z1049)</f>
        <v>0</v>
      </c>
      <c r="AA8" s="1159">
        <f>SUM(AA10:AA1049)</f>
        <v>0</v>
      </c>
      <c r="AB8" s="1158">
        <f>SUM(AB10:AB1049)</f>
        <v>0</v>
      </c>
    </row>
    <row r="9" spans="3:29" ht="4.7" customHeight="1" x14ac:dyDescent="0.2">
      <c r="E9" s="1143"/>
      <c r="F9" s="1154"/>
      <c r="G9" s="1145"/>
      <c r="H9" s="1146"/>
      <c r="K9" s="1147"/>
      <c r="L9" s="1147"/>
      <c r="M9" s="1147"/>
      <c r="N9" s="1147"/>
      <c r="O9" s="1147"/>
      <c r="R9" s="3489" t="s">
        <v>28174</v>
      </c>
    </row>
    <row r="10" spans="3:29" ht="23.25" customHeight="1" x14ac:dyDescent="0.2">
      <c r="F10" s="1154" t="s">
        <v>28175</v>
      </c>
      <c r="G10" s="3490"/>
      <c r="H10" s="3491"/>
      <c r="L10" s="1148"/>
      <c r="M10" s="1148"/>
      <c r="N10" s="1154" t="s">
        <v>29889</v>
      </c>
      <c r="O10" s="3450">
        <f>Y8+O44</f>
        <v>0</v>
      </c>
      <c r="P10" s="3449"/>
      <c r="R10" s="3489"/>
    </row>
    <row r="11" spans="3:29" ht="5.25" customHeight="1" x14ac:dyDescent="0.2">
      <c r="E11" s="1143"/>
      <c r="F11" s="1154"/>
      <c r="G11" s="1160"/>
      <c r="H11" s="1161"/>
      <c r="K11" s="1147"/>
      <c r="L11" s="1147"/>
      <c r="M11" s="1147"/>
      <c r="N11" s="1147"/>
      <c r="O11" s="1147"/>
    </row>
    <row r="12" spans="3:29" ht="23.25" customHeight="1" x14ac:dyDescent="0.2">
      <c r="E12" s="1143"/>
      <c r="F12" s="1154" t="s">
        <v>28176</v>
      </c>
      <c r="G12" s="3490"/>
      <c r="H12" s="3491"/>
      <c r="K12" s="1147"/>
      <c r="L12" s="1147"/>
      <c r="M12" s="1147"/>
      <c r="N12" s="1154" t="s">
        <v>29890</v>
      </c>
      <c r="O12" s="3450">
        <f>O10+S8*0.2</f>
        <v>0</v>
      </c>
      <c r="P12" s="3449"/>
      <c r="Q12" s="1951" t="s">
        <v>29891</v>
      </c>
    </row>
    <row r="13" spans="3:29" ht="5.25" customHeight="1" x14ac:dyDescent="0.2">
      <c r="E13" s="1143"/>
      <c r="F13" s="1154"/>
      <c r="G13" s="1162"/>
      <c r="H13" s="1163"/>
      <c r="K13" s="1147"/>
      <c r="L13" s="1147"/>
      <c r="M13" s="1147"/>
      <c r="N13" s="1147"/>
      <c r="O13" s="1147"/>
    </row>
    <row r="14" spans="3:29" ht="23.25" customHeight="1" x14ac:dyDescent="0.2">
      <c r="E14" s="1143"/>
      <c r="K14" s="1147"/>
      <c r="L14" s="1147"/>
      <c r="M14" s="1147"/>
      <c r="N14" s="1154" t="s">
        <v>29892</v>
      </c>
      <c r="O14" s="3450">
        <f>AB8+S44</f>
        <v>0</v>
      </c>
      <c r="P14" s="3449"/>
      <c r="AB14" s="1137"/>
      <c r="AC14" s="1137"/>
    </row>
    <row r="15" spans="3:29" ht="4.7" customHeight="1" x14ac:dyDescent="0.2">
      <c r="E15" s="1143"/>
      <c r="F15" s="1154"/>
      <c r="G15" s="1162"/>
      <c r="H15" s="1163"/>
      <c r="K15" s="1147"/>
      <c r="L15" s="1147"/>
      <c r="M15" s="1147"/>
      <c r="N15" s="1147"/>
      <c r="O15" s="1147"/>
      <c r="AB15" s="1137"/>
      <c r="AC15" s="1137"/>
    </row>
    <row r="16" spans="3:29" ht="23.25" x14ac:dyDescent="0.2">
      <c r="F16" s="1164" t="s">
        <v>28177</v>
      </c>
      <c r="I16" s="1165">
        <v>0</v>
      </c>
      <c r="K16" s="1148"/>
      <c r="L16" s="1148"/>
      <c r="M16" s="1148"/>
      <c r="N16" s="1154" t="s">
        <v>541</v>
      </c>
      <c r="O16" s="3494" t="str">
        <f>Dateneingabe!F15</f>
        <v>MiWo</v>
      </c>
      <c r="P16" s="3495"/>
      <c r="Q16" s="3496">
        <f>Dateneingabe!F13</f>
        <v>44594</v>
      </c>
      <c r="R16" s="3497"/>
      <c r="AB16" s="1137"/>
      <c r="AC16" s="1137"/>
    </row>
    <row r="17" spans="5:29" ht="21.2" customHeight="1" thickBot="1" x14ac:dyDescent="0.25">
      <c r="E17" s="1143"/>
      <c r="F17" s="1143"/>
      <c r="G17" s="1145"/>
      <c r="H17" s="1146"/>
      <c r="K17" s="1147"/>
      <c r="L17" s="1147"/>
      <c r="M17" s="1147"/>
      <c r="N17" s="1147"/>
      <c r="O17" s="1147"/>
      <c r="AB17" s="1137"/>
      <c r="AC17" s="1137"/>
    </row>
    <row r="18" spans="5:29" ht="24" customHeight="1" thickBot="1" x14ac:dyDescent="0.25">
      <c r="E18" s="1167"/>
      <c r="F18" s="3498" t="s">
        <v>29893</v>
      </c>
      <c r="G18" s="3499"/>
      <c r="H18" s="3499"/>
      <c r="I18" s="3499"/>
      <c r="J18" s="3500" t="str">
        <f>IF(Dateneingabe!F42=Dateneingabe!H102,"ja","nein")</f>
        <v>nein</v>
      </c>
      <c r="K18" s="3501"/>
      <c r="L18" s="2091">
        <f>IF(J18="ja",1,0)</f>
        <v>0</v>
      </c>
      <c r="M18" s="1167"/>
      <c r="N18" s="3502" t="s">
        <v>29894</v>
      </c>
      <c r="O18" s="3503"/>
      <c r="P18" s="3503"/>
      <c r="Q18" s="3503"/>
      <c r="R18" s="3504" t="str">
        <f>IF(Dateneingabe!F46=Dateneingabe!H102,"ja","nein")</f>
        <v>nein</v>
      </c>
      <c r="S18" s="3505"/>
      <c r="T18" s="2091">
        <f>IF(R18="ja",1,0)</f>
        <v>0</v>
      </c>
      <c r="U18" s="1169"/>
      <c r="AB18" s="1137"/>
      <c r="AC18" s="1137"/>
    </row>
    <row r="19" spans="5:29" x14ac:dyDescent="0.2">
      <c r="E19" s="1170"/>
      <c r="F19" s="1169"/>
      <c r="G19" s="1169"/>
      <c r="H19" s="1169"/>
      <c r="I19" s="1169"/>
      <c r="J19" s="1169"/>
      <c r="K19" s="1169"/>
      <c r="L19" s="1171"/>
      <c r="M19" s="1170"/>
      <c r="N19" s="1169"/>
      <c r="O19" s="1169"/>
      <c r="P19" s="1169"/>
      <c r="Q19" s="1169"/>
      <c r="R19" s="1169"/>
      <c r="S19" s="1169"/>
      <c r="T19" s="1171"/>
      <c r="U19" s="1169"/>
      <c r="AB19" s="1137"/>
      <c r="AC19" s="1137"/>
    </row>
    <row r="20" spans="5:29" ht="18" x14ac:dyDescent="0.2">
      <c r="E20" s="1170"/>
      <c r="F20" s="1144" t="s">
        <v>28171</v>
      </c>
      <c r="G20" s="1155" t="s">
        <v>874</v>
      </c>
      <c r="H20" s="1156">
        <f>Dateneingabe!H42</f>
        <v>0</v>
      </c>
      <c r="I20" s="1169"/>
      <c r="J20" s="1169"/>
      <c r="K20" s="1169"/>
      <c r="L20" s="1171"/>
      <c r="M20" s="1170"/>
      <c r="N20" s="1144" t="s">
        <v>28171</v>
      </c>
      <c r="O20" s="1155" t="s">
        <v>874</v>
      </c>
      <c r="P20" s="1952">
        <f>Dateneingabe!H46</f>
        <v>7016</v>
      </c>
      <c r="Q20" s="1169"/>
      <c r="R20" s="1169"/>
      <c r="S20" s="1169"/>
      <c r="T20" s="1171"/>
      <c r="U20" s="1169"/>
      <c r="AB20" s="1137"/>
      <c r="AC20" s="1137"/>
    </row>
    <row r="21" spans="5:29" ht="15" x14ac:dyDescent="0.2">
      <c r="E21" s="1170"/>
      <c r="F21" s="1172"/>
      <c r="G21" s="1169"/>
      <c r="H21" s="1169"/>
      <c r="K21" s="1172"/>
      <c r="L21" s="1174"/>
      <c r="M21" s="1170"/>
      <c r="N21" s="1172"/>
      <c r="O21" s="1169"/>
      <c r="P21" s="1169"/>
      <c r="S21" s="1172"/>
      <c r="T21" s="1175"/>
      <c r="U21" s="1169"/>
      <c r="AB21" s="1137"/>
      <c r="AC21" s="1137"/>
    </row>
    <row r="22" spans="5:29" ht="18" x14ac:dyDescent="0.2">
      <c r="E22" s="1170"/>
      <c r="F22" s="1144" t="s">
        <v>444</v>
      </c>
      <c r="G22" s="3448">
        <f>SUM(Z62:Z661)</f>
        <v>0</v>
      </c>
      <c r="H22" s="3449"/>
      <c r="I22" s="1186"/>
      <c r="J22" s="1144" t="s">
        <v>28173</v>
      </c>
      <c r="K22" s="1157">
        <f>SUM(AA62:AA661)</f>
        <v>0</v>
      </c>
      <c r="L22" s="1171"/>
      <c r="M22" s="1170"/>
      <c r="N22" s="1144" t="s">
        <v>444</v>
      </c>
      <c r="O22" s="3448">
        <f>SUM(Z662:Z761)</f>
        <v>0</v>
      </c>
      <c r="P22" s="3449"/>
      <c r="Q22" s="1186"/>
      <c r="R22" s="1144" t="s">
        <v>28173</v>
      </c>
      <c r="S22" s="1157">
        <f>SUM(AA662:AA761)</f>
        <v>0</v>
      </c>
      <c r="T22" s="1171"/>
      <c r="U22" s="1169"/>
      <c r="AB22" s="1137"/>
      <c r="AC22" s="1137"/>
    </row>
    <row r="23" spans="5:29" x14ac:dyDescent="0.2">
      <c r="E23" s="1170"/>
      <c r="F23" s="1176"/>
      <c r="G23" s="1169"/>
      <c r="H23" s="1169"/>
      <c r="I23" s="1169"/>
      <c r="J23" s="1169"/>
      <c r="K23" s="1169"/>
      <c r="L23" s="1171"/>
      <c r="M23" s="1170"/>
      <c r="N23" s="1176"/>
      <c r="O23" s="1169"/>
      <c r="P23" s="1169"/>
      <c r="Q23" s="1169"/>
      <c r="R23" s="1169"/>
      <c r="S23" s="1169"/>
      <c r="T23" s="1171"/>
      <c r="U23" s="1169"/>
      <c r="AB23" s="1137"/>
      <c r="AC23" s="1137"/>
    </row>
    <row r="24" spans="5:29" ht="21" x14ac:dyDescent="0.2">
      <c r="E24" s="1170"/>
      <c r="F24" s="1144" t="s">
        <v>29895</v>
      </c>
      <c r="G24" s="3450">
        <f>SUM(Y62:Y661)</f>
        <v>0</v>
      </c>
      <c r="H24" s="3449"/>
      <c r="I24" s="1169"/>
      <c r="J24" s="1144" t="s">
        <v>29896</v>
      </c>
      <c r="K24" s="1953">
        <f>SUM(AB62:AB661)</f>
        <v>0</v>
      </c>
      <c r="L24" s="1171"/>
      <c r="M24" s="1170"/>
      <c r="N24" s="1144" t="s">
        <v>29895</v>
      </c>
      <c r="O24" s="3450">
        <f>SUM(Y662:Y761)</f>
        <v>0</v>
      </c>
      <c r="P24" s="3449"/>
      <c r="Q24" s="1169"/>
      <c r="R24" s="1144" t="s">
        <v>29896</v>
      </c>
      <c r="S24" s="1953">
        <f>SUM(AB662:AB761)</f>
        <v>0</v>
      </c>
      <c r="T24" s="1171"/>
      <c r="U24" s="1169"/>
      <c r="AB24" s="1137"/>
      <c r="AC24" s="1137"/>
    </row>
    <row r="25" spans="5:29" ht="16.5" x14ac:dyDescent="0.2">
      <c r="E25" s="1170"/>
      <c r="F25" s="1177"/>
      <c r="G25" s="1169"/>
      <c r="H25" s="1169"/>
      <c r="I25" s="1169"/>
      <c r="J25" s="1169"/>
      <c r="K25" s="1169"/>
      <c r="L25" s="1171"/>
      <c r="M25" s="1170"/>
      <c r="N25" s="1177"/>
      <c r="O25" s="1169"/>
      <c r="P25" s="1169"/>
      <c r="Q25" s="1169"/>
      <c r="R25" s="1169"/>
      <c r="S25" s="1169"/>
      <c r="T25" s="1171"/>
      <c r="U25" s="1169"/>
      <c r="AB25" s="1137"/>
      <c r="AC25" s="1137"/>
    </row>
    <row r="26" spans="5:29" ht="21" x14ac:dyDescent="0.2">
      <c r="E26" s="1170"/>
      <c r="F26" s="1144" t="s">
        <v>29897</v>
      </c>
      <c r="G26" s="3450">
        <f>G24+K22*0.2</f>
        <v>0</v>
      </c>
      <c r="H26" s="3449"/>
      <c r="I26" s="1169"/>
      <c r="J26" s="1169"/>
      <c r="K26" s="1169"/>
      <c r="L26" s="1171"/>
      <c r="M26" s="1170"/>
      <c r="N26" s="1144" t="s">
        <v>29897</v>
      </c>
      <c r="O26" s="3450">
        <f>O24+S22*0.2</f>
        <v>0</v>
      </c>
      <c r="P26" s="3449"/>
      <c r="Q26" s="1169"/>
      <c r="R26" s="1169"/>
      <c r="S26" s="1169"/>
      <c r="T26" s="1171"/>
      <c r="U26" s="1169"/>
      <c r="AB26" s="1137"/>
      <c r="AC26" s="1137"/>
    </row>
    <row r="27" spans="5:29" ht="13.5" thickBot="1" x14ac:dyDescent="0.25">
      <c r="E27" s="1181"/>
      <c r="F27" s="1182"/>
      <c r="G27" s="1182"/>
      <c r="H27" s="1182"/>
      <c r="I27" s="1182"/>
      <c r="J27" s="1182"/>
      <c r="K27" s="1182"/>
      <c r="L27" s="1183"/>
      <c r="M27" s="1181"/>
      <c r="N27" s="1182"/>
      <c r="O27" s="1182"/>
      <c r="P27" s="1182"/>
      <c r="Q27" s="1182"/>
      <c r="R27" s="1182"/>
      <c r="S27" s="1182"/>
      <c r="T27" s="1183"/>
      <c r="U27" s="1169"/>
      <c r="AB27" s="1137"/>
      <c r="AC27" s="1137"/>
    </row>
    <row r="28" spans="5:29" ht="23.25" customHeight="1" thickBot="1" x14ac:dyDescent="0.25">
      <c r="E28" s="1167"/>
      <c r="F28" s="3506" t="s">
        <v>29898</v>
      </c>
      <c r="G28" s="3507"/>
      <c r="H28" s="3507"/>
      <c r="I28" s="3507"/>
      <c r="J28" s="3508" t="str">
        <f>IF(Dateneingabe!F48=Dateneingabe!H102,"ja","nein")</f>
        <v>nein</v>
      </c>
      <c r="K28" s="3509"/>
      <c r="L28" s="2091">
        <f>IF(J28="ja",1,0)</f>
        <v>0</v>
      </c>
      <c r="M28" s="1167"/>
      <c r="N28" s="3510" t="s">
        <v>29899</v>
      </c>
      <c r="O28" s="3511"/>
      <c r="P28" s="3511"/>
      <c r="Q28" s="3511"/>
      <c r="R28" s="3512" t="str">
        <f>IF(Dateneingabe!F50=Dateneingabe!H102,"ja","nein")</f>
        <v>nein</v>
      </c>
      <c r="S28" s="3513"/>
      <c r="T28" s="2091">
        <f>IF(R28="ja",1,0)</f>
        <v>0</v>
      </c>
      <c r="U28" s="1169"/>
      <c r="AB28" s="1137"/>
      <c r="AC28" s="1137"/>
    </row>
    <row r="29" spans="5:29" x14ac:dyDescent="0.2">
      <c r="E29" s="1170"/>
      <c r="F29" s="1169"/>
      <c r="G29" s="1169"/>
      <c r="H29" s="1169"/>
      <c r="I29" s="1169"/>
      <c r="J29" s="1169"/>
      <c r="K29" s="1169"/>
      <c r="L29" s="1171"/>
      <c r="M29" s="1170"/>
      <c r="N29" s="1169"/>
      <c r="O29" s="1169"/>
      <c r="P29" s="1169"/>
      <c r="Q29" s="1169"/>
      <c r="R29" s="1169"/>
      <c r="S29" s="1169"/>
      <c r="T29" s="1171"/>
      <c r="U29" s="1169"/>
      <c r="AB29" s="1137"/>
      <c r="AC29" s="1137"/>
    </row>
    <row r="30" spans="5:29" ht="18" x14ac:dyDescent="0.2">
      <c r="E30" s="1170"/>
      <c r="F30" s="1144" t="s">
        <v>28171</v>
      </c>
      <c r="G30" s="1155" t="s">
        <v>874</v>
      </c>
      <c r="H30" s="1952">
        <f>Dateneingabe!H48</f>
        <v>7016</v>
      </c>
      <c r="I30" s="1169"/>
      <c r="J30" s="1169"/>
      <c r="K30" s="1169"/>
      <c r="L30" s="1171"/>
      <c r="M30" s="1170"/>
      <c r="N30" s="1144" t="s">
        <v>28171</v>
      </c>
      <c r="O30" s="1155" t="s">
        <v>874</v>
      </c>
      <c r="P30" s="1952">
        <f>Dateneingabe!H50</f>
        <v>7016</v>
      </c>
      <c r="Q30" s="1169"/>
      <c r="R30" s="1169"/>
      <c r="S30" s="1169"/>
      <c r="T30" s="1171"/>
      <c r="U30" s="1169"/>
      <c r="AB30" s="1137"/>
      <c r="AC30" s="1137"/>
    </row>
    <row r="31" spans="5:29" x14ac:dyDescent="0.2">
      <c r="E31" s="1170"/>
      <c r="F31" s="1169"/>
      <c r="G31" s="1169"/>
      <c r="H31" s="1169"/>
      <c r="I31" s="1169"/>
      <c r="J31" s="1169"/>
      <c r="L31" s="1171"/>
      <c r="M31" s="1170"/>
      <c r="N31" s="1169"/>
      <c r="O31" s="1169"/>
      <c r="P31" s="1169"/>
      <c r="Q31" s="1169"/>
      <c r="R31" s="1169"/>
      <c r="T31" s="1171"/>
      <c r="U31" s="1169"/>
      <c r="AB31" s="1137"/>
      <c r="AC31" s="1137"/>
    </row>
    <row r="32" spans="5:29" ht="18" x14ac:dyDescent="0.2">
      <c r="E32" s="1170"/>
      <c r="F32" s="1144" t="s">
        <v>444</v>
      </c>
      <c r="G32" s="3448">
        <f>SUM(Z762:Z811)</f>
        <v>0</v>
      </c>
      <c r="H32" s="3449"/>
      <c r="I32" s="1169"/>
      <c r="J32" s="1144" t="s">
        <v>28173</v>
      </c>
      <c r="K32" s="1157">
        <f>SUM(AA762:AA811)</f>
        <v>0</v>
      </c>
      <c r="L32" s="1171"/>
      <c r="M32" s="1170"/>
      <c r="N32" s="1144" t="s">
        <v>444</v>
      </c>
      <c r="O32" s="3448">
        <f>SUM(Z812:Z860)</f>
        <v>0</v>
      </c>
      <c r="P32" s="3449"/>
      <c r="Q32" s="1169"/>
      <c r="R32" s="1144" t="s">
        <v>28173</v>
      </c>
      <c r="S32" s="1157">
        <f>SUM(AA812:AA860)</f>
        <v>0</v>
      </c>
      <c r="T32" s="1171"/>
      <c r="U32" s="1169"/>
      <c r="AB32" s="1137"/>
      <c r="AC32" s="1137"/>
    </row>
    <row r="33" spans="2:29" x14ac:dyDescent="0.2">
      <c r="E33" s="1170"/>
      <c r="F33" s="1169"/>
      <c r="G33" s="1169"/>
      <c r="H33" s="1169"/>
      <c r="I33" s="1169"/>
      <c r="J33" s="1169"/>
      <c r="K33" s="1169"/>
      <c r="L33" s="1171"/>
      <c r="M33" s="1170"/>
      <c r="N33" s="1169"/>
      <c r="O33" s="1169"/>
      <c r="P33" s="1169"/>
      <c r="Q33" s="1169"/>
      <c r="R33" s="1169"/>
      <c r="S33" s="1169"/>
      <c r="T33" s="1171"/>
      <c r="U33" s="1169"/>
      <c r="AB33" s="1137"/>
      <c r="AC33" s="1137"/>
    </row>
    <row r="34" spans="2:29" ht="21" x14ac:dyDescent="0.2">
      <c r="E34" s="1170"/>
      <c r="F34" s="1144" t="s">
        <v>29895</v>
      </c>
      <c r="G34" s="3450">
        <f>SUM(Y762:Y811)</f>
        <v>0</v>
      </c>
      <c r="H34" s="3449"/>
      <c r="I34" s="1169"/>
      <c r="J34" s="1144" t="s">
        <v>29896</v>
      </c>
      <c r="K34" s="1953">
        <f>SUM(AB762:AB811)</f>
        <v>0</v>
      </c>
      <c r="L34" s="1171"/>
      <c r="M34" s="1170"/>
      <c r="N34" s="1144" t="s">
        <v>29895</v>
      </c>
      <c r="O34" s="3450">
        <f>SUM(Y812:Y860)</f>
        <v>0</v>
      </c>
      <c r="P34" s="3449"/>
      <c r="Q34" s="1169"/>
      <c r="R34" s="1144" t="s">
        <v>29896</v>
      </c>
      <c r="S34" s="1953">
        <f>SUM(AB812:AB860)</f>
        <v>0</v>
      </c>
      <c r="T34" s="1171"/>
      <c r="U34" s="1145"/>
      <c r="AB34" s="1137"/>
      <c r="AC34" s="1137"/>
    </row>
    <row r="35" spans="2:29" ht="15.75" x14ac:dyDescent="0.2">
      <c r="E35" s="1170"/>
      <c r="F35" s="1178"/>
      <c r="G35" s="1169"/>
      <c r="H35" s="1169"/>
      <c r="I35" s="1169"/>
      <c r="J35" s="1169"/>
      <c r="K35" s="1169"/>
      <c r="L35" s="1171"/>
      <c r="M35" s="1170"/>
      <c r="N35" s="1178"/>
      <c r="O35" s="1169"/>
      <c r="P35" s="1169"/>
      <c r="Q35" s="1169"/>
      <c r="R35" s="1169"/>
      <c r="S35" s="1169"/>
      <c r="T35" s="1171"/>
      <c r="U35" s="1145"/>
      <c r="AB35" s="1137"/>
      <c r="AC35" s="1137"/>
    </row>
    <row r="36" spans="2:29" ht="21" x14ac:dyDescent="0.2">
      <c r="E36" s="1170"/>
      <c r="F36" s="1144" t="s">
        <v>29897</v>
      </c>
      <c r="G36" s="3450">
        <f>G34+K32*0.2</f>
        <v>0</v>
      </c>
      <c r="H36" s="3449"/>
      <c r="I36" s="1169"/>
      <c r="J36" s="1169"/>
      <c r="K36" s="1169"/>
      <c r="L36" s="1171"/>
      <c r="M36" s="1170"/>
      <c r="N36" s="1144" t="s">
        <v>29897</v>
      </c>
      <c r="O36" s="3450">
        <f>O34+S32*0.2</f>
        <v>0</v>
      </c>
      <c r="P36" s="3449"/>
      <c r="Q36" s="1169"/>
      <c r="R36" s="1169"/>
      <c r="S36" s="1169"/>
      <c r="T36" s="1171"/>
      <c r="U36" s="1169"/>
      <c r="AB36" s="1137"/>
      <c r="AC36" s="1137"/>
    </row>
    <row r="37" spans="2:29" ht="13.5" thickBot="1" x14ac:dyDescent="0.25">
      <c r="E37" s="1181"/>
      <c r="F37" s="1182"/>
      <c r="G37" s="1182"/>
      <c r="H37" s="1182"/>
      <c r="I37" s="1182"/>
      <c r="J37" s="1182"/>
      <c r="K37" s="1182"/>
      <c r="L37" s="1183"/>
      <c r="M37" s="1181"/>
      <c r="N37" s="1182"/>
      <c r="O37" s="1182"/>
      <c r="P37" s="1182"/>
      <c r="Q37" s="1182"/>
      <c r="R37" s="1182"/>
      <c r="S37" s="1182"/>
      <c r="T37" s="1183"/>
      <c r="U37" s="1169"/>
      <c r="Y37" s="1184"/>
      <c r="AB37" s="1137"/>
      <c r="AC37" s="1137"/>
    </row>
    <row r="38" spans="2:29" ht="27" thickBot="1" x14ac:dyDescent="0.25">
      <c r="E38" s="1170"/>
      <c r="F38" s="3476" t="s">
        <v>31401</v>
      </c>
      <c r="G38" s="3477"/>
      <c r="H38" s="3477"/>
      <c r="I38" s="3477"/>
      <c r="J38" s="3477"/>
      <c r="K38" s="3478"/>
      <c r="L38" s="1171"/>
      <c r="M38" s="1167"/>
      <c r="N38" s="3444" t="s">
        <v>31406</v>
      </c>
      <c r="O38" s="3445"/>
      <c r="P38" s="3445"/>
      <c r="Q38" s="3445"/>
      <c r="R38" s="3446" t="str">
        <f>IF(O42&gt;0,B45,B46)</f>
        <v>nein</v>
      </c>
      <c r="S38" s="3447"/>
      <c r="T38" s="2091">
        <f>IF(R38="ja",1,0)</f>
        <v>0</v>
      </c>
      <c r="U38" s="1169"/>
      <c r="Y38" s="1184"/>
      <c r="AB38" s="1137"/>
      <c r="AC38" s="1137"/>
    </row>
    <row r="39" spans="2:29" ht="13.5" thickBot="1" x14ac:dyDescent="0.25">
      <c r="E39" s="1170"/>
      <c r="F39" s="3479"/>
      <c r="G39" s="3480"/>
      <c r="H39" s="3480"/>
      <c r="I39" s="3480"/>
      <c r="J39" s="3480"/>
      <c r="K39" s="3481"/>
      <c r="L39" s="1171"/>
      <c r="M39" s="1170"/>
      <c r="N39" s="1169"/>
      <c r="O39" s="1169"/>
      <c r="P39" s="1169"/>
      <c r="Q39" s="1169"/>
      <c r="R39" s="1169"/>
      <c r="S39" s="1169"/>
      <c r="T39" s="1171"/>
      <c r="U39" s="1169"/>
      <c r="Y39" s="1184"/>
      <c r="AB39" s="1137"/>
      <c r="AC39" s="1137"/>
    </row>
    <row r="40" spans="2:29" ht="18" x14ac:dyDescent="0.2">
      <c r="E40" s="1170"/>
      <c r="F40" s="1169"/>
      <c r="G40" s="1169"/>
      <c r="H40" s="1169"/>
      <c r="I40" s="1169"/>
      <c r="J40" s="1169"/>
      <c r="K40" s="1169"/>
      <c r="L40" s="1171"/>
      <c r="M40" s="1170"/>
      <c r="N40" s="1144" t="s">
        <v>28171</v>
      </c>
      <c r="O40" s="1155" t="s">
        <v>874</v>
      </c>
      <c r="P40" s="2548">
        <f>H41</f>
        <v>0</v>
      </c>
      <c r="Q40" s="1169"/>
      <c r="R40" s="1169"/>
      <c r="S40" s="1169"/>
      <c r="T40" s="1171"/>
      <c r="U40" s="1169"/>
      <c r="Y40" s="1184"/>
      <c r="AB40" s="1137"/>
      <c r="AC40" s="1137"/>
    </row>
    <row r="41" spans="2:29" ht="18" x14ac:dyDescent="0.2">
      <c r="E41" s="1170"/>
      <c r="F41" s="1144" t="s">
        <v>28171</v>
      </c>
      <c r="G41" s="1155" t="s">
        <v>874</v>
      </c>
      <c r="H41" s="1156">
        <f>Dateneingabe!H42</f>
        <v>0</v>
      </c>
      <c r="I41" s="1169"/>
      <c r="J41" s="1169"/>
      <c r="K41" s="1169"/>
      <c r="L41" s="1171"/>
      <c r="M41" s="1170"/>
      <c r="N41" s="1169"/>
      <c r="O41" s="1169"/>
      <c r="P41" s="1169"/>
      <c r="Q41" s="1169"/>
      <c r="R41" s="1169"/>
      <c r="T41" s="1171"/>
      <c r="U41" s="1169"/>
      <c r="Y41" s="1184"/>
      <c r="AB41" s="1137"/>
      <c r="AC41" s="1137"/>
    </row>
    <row r="42" spans="2:29" ht="18" x14ac:dyDescent="0.2">
      <c r="E42" s="1170"/>
      <c r="F42" s="1144"/>
      <c r="G42" s="2539"/>
      <c r="H42" s="2540"/>
      <c r="I42" s="1169"/>
      <c r="J42" s="1169"/>
      <c r="K42" s="1169"/>
      <c r="L42" s="1171"/>
      <c r="M42" s="1170"/>
      <c r="N42" s="1144" t="s">
        <v>444</v>
      </c>
      <c r="O42" s="3448">
        <f>SUM(I44:I60)</f>
        <v>0</v>
      </c>
      <c r="P42" s="3449"/>
      <c r="Q42" s="1169"/>
      <c r="R42" s="1144" t="s">
        <v>28173</v>
      </c>
      <c r="S42" s="2538">
        <f>W61</f>
        <v>0</v>
      </c>
      <c r="T42" s="1171"/>
      <c r="U42" s="1169"/>
      <c r="Y42" s="1184"/>
      <c r="AB42" s="1137"/>
      <c r="AC42" s="1137"/>
    </row>
    <row r="43" spans="2:29" x14ac:dyDescent="0.2">
      <c r="E43" s="2543" t="s">
        <v>29213</v>
      </c>
      <c r="F43" s="3482" t="s">
        <v>28184</v>
      </c>
      <c r="G43" s="3483"/>
      <c r="H43" s="3484"/>
      <c r="I43" s="2545" t="s">
        <v>299</v>
      </c>
      <c r="J43" s="2544" t="s">
        <v>31402</v>
      </c>
      <c r="K43" s="2545" t="s">
        <v>31403</v>
      </c>
      <c r="L43" s="2545" t="s">
        <v>31405</v>
      </c>
      <c r="M43" s="1170"/>
      <c r="N43" s="1169"/>
      <c r="O43" s="1169"/>
      <c r="P43" s="1169"/>
      <c r="Q43" s="1169"/>
      <c r="R43" s="1169"/>
      <c r="S43" s="1169"/>
      <c r="T43" s="1171"/>
      <c r="U43" s="1169"/>
      <c r="V43" s="1137" t="s">
        <v>31407</v>
      </c>
      <c r="W43" s="1138" t="s">
        <v>28169</v>
      </c>
      <c r="X43" s="1522" t="s">
        <v>31408</v>
      </c>
      <c r="Y43" s="1184"/>
      <c r="AB43" s="1137"/>
      <c r="AC43" s="1137"/>
    </row>
    <row r="44" spans="2:29" ht="21" x14ac:dyDescent="0.2">
      <c r="E44" s="2546">
        <f>IF(Checkliste!K109=Checkliste!$M$108,Checkliste!G109,0)</f>
        <v>0</v>
      </c>
      <c r="F44" s="3441">
        <f>IF(Checkliste!K109=Checkliste!$M$108,Checkliste!C109,0)</f>
        <v>0</v>
      </c>
      <c r="G44" s="3442"/>
      <c r="H44" s="3443"/>
      <c r="I44" s="2547">
        <f>IF(Checkliste!K109=Checkliste!$M$108,Checkliste!H109,0)</f>
        <v>0</v>
      </c>
      <c r="J44" s="2549"/>
      <c r="K44" s="2550"/>
      <c r="L44" s="2551"/>
      <c r="M44" s="1170"/>
      <c r="N44" s="1144" t="s">
        <v>29895</v>
      </c>
      <c r="O44" s="3450">
        <f>X61</f>
        <v>0</v>
      </c>
      <c r="P44" s="3449"/>
      <c r="Q44" s="1169"/>
      <c r="R44" s="1144" t="s">
        <v>29896</v>
      </c>
      <c r="S44" s="1953">
        <f>V61</f>
        <v>0</v>
      </c>
      <c r="T44" s="1171"/>
      <c r="U44" s="1169"/>
      <c r="V44" s="2549">
        <f>IF(K44=$B$45,J44*I44,0)</f>
        <v>0</v>
      </c>
      <c r="W44" s="2554">
        <f>IF(L44=$B$45,I44,0)</f>
        <v>0</v>
      </c>
      <c r="X44" s="2554">
        <f>IF(L44&lt;&gt;$B$45,J44*I44,0)</f>
        <v>0</v>
      </c>
      <c r="Y44" s="1184"/>
      <c r="AB44" s="1137"/>
      <c r="AC44" s="1137"/>
    </row>
    <row r="45" spans="2:29" x14ac:dyDescent="0.2">
      <c r="B45" s="1178" t="s">
        <v>76</v>
      </c>
      <c r="E45" s="2546">
        <f>IF(Checkliste!K110=Checkliste!$M$108,Checkliste!G110,0)</f>
        <v>0</v>
      </c>
      <c r="F45" s="3441">
        <f>IF(Checkliste!K110=Checkliste!$M$108,Checkliste!C110,0)</f>
        <v>0</v>
      </c>
      <c r="G45" s="3442"/>
      <c r="H45" s="3443"/>
      <c r="I45" s="2547">
        <f>IF(Checkliste!K110=Checkliste!$M$108,Checkliste!H110,0)</f>
        <v>0</v>
      </c>
      <c r="J45" s="2549"/>
      <c r="K45" s="2550"/>
      <c r="L45" s="2551"/>
      <c r="M45" s="1170"/>
      <c r="N45" s="1178"/>
      <c r="O45" s="1169"/>
      <c r="P45" s="1169"/>
      <c r="Q45" s="1169"/>
      <c r="R45" s="1169"/>
      <c r="S45" s="1169"/>
      <c r="T45" s="1171"/>
      <c r="U45" s="1169"/>
      <c r="V45" s="2549">
        <f t="shared" ref="V45:V60" si="0">IF(K45=$B$45,J45*I45,0)</f>
        <v>0</v>
      </c>
      <c r="W45" s="2554">
        <f t="shared" ref="W45:W60" si="1">IF(L45=$B$45,I45,0)</f>
        <v>0</v>
      </c>
      <c r="X45" s="2554">
        <f t="shared" ref="X45:X60" si="2">IF(L45&lt;&gt;$B$45,J45*I45,0)</f>
        <v>0</v>
      </c>
      <c r="Y45" s="1184"/>
      <c r="AB45" s="1137"/>
      <c r="AC45" s="1137"/>
    </row>
    <row r="46" spans="2:29" ht="21" x14ac:dyDescent="0.2">
      <c r="B46" s="1178" t="s">
        <v>77</v>
      </c>
      <c r="E46" s="2546">
        <f>IF(Checkliste!K111=Checkliste!$M$108,Checkliste!G111,0)</f>
        <v>0</v>
      </c>
      <c r="F46" s="3441">
        <f>IF(Checkliste!K111=Checkliste!$M$108,Checkliste!C111,0)</f>
        <v>0</v>
      </c>
      <c r="G46" s="3442"/>
      <c r="H46" s="3443"/>
      <c r="I46" s="2547">
        <f>IF(Checkliste!K111=Checkliste!$M$108,Checkliste!H111,0)</f>
        <v>0</v>
      </c>
      <c r="J46" s="2549"/>
      <c r="K46" s="2550"/>
      <c r="L46" s="2551"/>
      <c r="M46" s="1170"/>
      <c r="N46" s="1144" t="s">
        <v>29897</v>
      </c>
      <c r="O46" s="3450">
        <f>O44+S42*0.2</f>
        <v>0</v>
      </c>
      <c r="P46" s="3449"/>
      <c r="Q46" s="1169"/>
      <c r="R46" s="1169"/>
      <c r="S46" s="1169"/>
      <c r="T46" s="1171"/>
      <c r="U46" s="1169"/>
      <c r="V46" s="2549">
        <f t="shared" si="0"/>
        <v>0</v>
      </c>
      <c r="W46" s="2554">
        <f t="shared" si="1"/>
        <v>0</v>
      </c>
      <c r="X46" s="2554">
        <f t="shared" si="2"/>
        <v>0</v>
      </c>
      <c r="Y46" s="1184"/>
      <c r="AB46" s="1137"/>
      <c r="AC46" s="1137"/>
    </row>
    <row r="47" spans="2:29" ht="13.5" thickBot="1" x14ac:dyDescent="0.25">
      <c r="E47" s="2546">
        <f>IF(Checkliste!K112=Checkliste!$M$108,Checkliste!G112,0)</f>
        <v>0</v>
      </c>
      <c r="F47" s="3441">
        <f>IF(Checkliste!K112=Checkliste!$M$108,Checkliste!C112,0)</f>
        <v>0</v>
      </c>
      <c r="G47" s="3442"/>
      <c r="H47" s="3443"/>
      <c r="I47" s="2547">
        <f>IF(Checkliste!K112=Checkliste!$M$108,Checkliste!H112,0)</f>
        <v>0</v>
      </c>
      <c r="J47" s="2549"/>
      <c r="K47" s="2550"/>
      <c r="L47" s="2551"/>
      <c r="M47" s="1181"/>
      <c r="N47" s="1182"/>
      <c r="O47" s="1182"/>
      <c r="P47" s="1182"/>
      <c r="Q47" s="1182"/>
      <c r="R47" s="1182"/>
      <c r="S47" s="1182"/>
      <c r="T47" s="1183"/>
      <c r="U47" s="1169"/>
      <c r="V47" s="2549">
        <f t="shared" si="0"/>
        <v>0</v>
      </c>
      <c r="W47" s="2554">
        <f t="shared" si="1"/>
        <v>0</v>
      </c>
      <c r="X47" s="2554">
        <f t="shared" si="2"/>
        <v>0</v>
      </c>
      <c r="Y47" s="1184"/>
      <c r="AB47" s="1137"/>
      <c r="AC47" s="1137"/>
    </row>
    <row r="48" spans="2:29" x14ac:dyDescent="0.2">
      <c r="E48" s="2546">
        <f>IF(Checkliste!K113=Checkliste!$M$108,Checkliste!G113,0)</f>
        <v>0</v>
      </c>
      <c r="F48" s="3441">
        <f>IF(Checkliste!K113=Checkliste!$M$108,Checkliste!C113,0)</f>
        <v>0</v>
      </c>
      <c r="G48" s="3442"/>
      <c r="H48" s="3443"/>
      <c r="I48" s="2547">
        <f>IF(Checkliste!K113=Checkliste!$M$108,Checkliste!H113,0)</f>
        <v>0</v>
      </c>
      <c r="J48" s="2549"/>
      <c r="K48" s="2550"/>
      <c r="L48" s="2551"/>
      <c r="M48" s="1170"/>
      <c r="N48" s="1169"/>
      <c r="O48" s="1169"/>
      <c r="P48" s="1169"/>
      <c r="Q48" s="1169"/>
      <c r="R48" s="1169"/>
      <c r="S48" s="1169"/>
      <c r="T48" s="1171"/>
      <c r="U48" s="1169"/>
      <c r="V48" s="2549">
        <f t="shared" si="0"/>
        <v>0</v>
      </c>
      <c r="W48" s="2554">
        <f t="shared" si="1"/>
        <v>0</v>
      </c>
      <c r="X48" s="2554">
        <f t="shared" si="2"/>
        <v>0</v>
      </c>
      <c r="Y48" s="1184"/>
      <c r="AB48" s="1137"/>
      <c r="AC48" s="1137"/>
    </row>
    <row r="49" spans="2:29" x14ac:dyDescent="0.2">
      <c r="E49" s="2546">
        <f>IF(Checkliste!K114=Checkliste!$M$108,Checkliste!G114,0)</f>
        <v>0</v>
      </c>
      <c r="F49" s="3441">
        <f>IF(Checkliste!K114=Checkliste!$M$108,Checkliste!C114,0)</f>
        <v>0</v>
      </c>
      <c r="G49" s="3442"/>
      <c r="H49" s="3443"/>
      <c r="I49" s="2547">
        <f>IF(Checkliste!K114=Checkliste!$M$108,Checkliste!H114,0)</f>
        <v>0</v>
      </c>
      <c r="J49" s="2549"/>
      <c r="K49" s="2550"/>
      <c r="L49" s="2551"/>
      <c r="M49" s="1170"/>
      <c r="N49" s="1169"/>
      <c r="O49" s="1169"/>
      <c r="P49" s="1169"/>
      <c r="Q49" s="1169"/>
      <c r="R49" s="1169"/>
      <c r="S49" s="1169"/>
      <c r="T49" s="1171"/>
      <c r="U49" s="1169"/>
      <c r="V49" s="2549">
        <f t="shared" si="0"/>
        <v>0</v>
      </c>
      <c r="W49" s="2554">
        <f t="shared" si="1"/>
        <v>0</v>
      </c>
      <c r="X49" s="2554">
        <f t="shared" si="2"/>
        <v>0</v>
      </c>
      <c r="Y49" s="1184"/>
      <c r="AB49" s="1137"/>
      <c r="AC49" s="1137"/>
    </row>
    <row r="50" spans="2:29" x14ac:dyDescent="0.2">
      <c r="E50" s="2546">
        <f>IF(Checkliste!K115=Checkliste!$M$108,Checkliste!G115,0)</f>
        <v>0</v>
      </c>
      <c r="F50" s="3441">
        <f>IF(Checkliste!K115=Checkliste!$M$108,Checkliste!C115,0)</f>
        <v>0</v>
      </c>
      <c r="G50" s="3442"/>
      <c r="H50" s="3443"/>
      <c r="I50" s="2547">
        <f>IF(Checkliste!K115=Checkliste!$M$108,Checkliste!H115,0)</f>
        <v>0</v>
      </c>
      <c r="J50" s="2549"/>
      <c r="K50" s="2550"/>
      <c r="L50" s="2551"/>
      <c r="M50" s="1170"/>
      <c r="N50" s="1169"/>
      <c r="O50" s="1169"/>
      <c r="P50" s="1169"/>
      <c r="Q50" s="1169"/>
      <c r="R50" s="1169"/>
      <c r="S50" s="1169"/>
      <c r="T50" s="1171"/>
      <c r="U50" s="1169"/>
      <c r="V50" s="2549">
        <f t="shared" si="0"/>
        <v>0</v>
      </c>
      <c r="W50" s="2554">
        <f t="shared" si="1"/>
        <v>0</v>
      </c>
      <c r="X50" s="2554">
        <f t="shared" si="2"/>
        <v>0</v>
      </c>
      <c r="Y50" s="1184"/>
      <c r="AB50" s="1137"/>
      <c r="AC50" s="1137"/>
    </row>
    <row r="51" spans="2:29" x14ac:dyDescent="0.2">
      <c r="E51" s="2546">
        <f>IF(Checkliste!K116=Checkliste!$M$108,Checkliste!G116,0)</f>
        <v>0</v>
      </c>
      <c r="F51" s="3441">
        <f>IF(Checkliste!K116=Checkliste!$M$108,Checkliste!C116,0)</f>
        <v>0</v>
      </c>
      <c r="G51" s="3442"/>
      <c r="H51" s="3443"/>
      <c r="I51" s="2547">
        <f>IF(Checkliste!K116=Checkliste!$M$108,Checkliste!H116,0)</f>
        <v>0</v>
      </c>
      <c r="J51" s="2549"/>
      <c r="K51" s="2550"/>
      <c r="L51" s="2551"/>
      <c r="M51" s="1170"/>
      <c r="N51" s="1169"/>
      <c r="O51" s="1169"/>
      <c r="P51" s="1169"/>
      <c r="Q51" s="1169"/>
      <c r="R51" s="1169"/>
      <c r="S51" s="1169"/>
      <c r="T51" s="1171"/>
      <c r="U51" s="1169"/>
      <c r="V51" s="2549">
        <f t="shared" si="0"/>
        <v>0</v>
      </c>
      <c r="W51" s="2554">
        <f t="shared" si="1"/>
        <v>0</v>
      </c>
      <c r="X51" s="2554">
        <f t="shared" si="2"/>
        <v>0</v>
      </c>
      <c r="Y51" s="1184"/>
      <c r="AB51" s="1137"/>
      <c r="AC51" s="1137"/>
    </row>
    <row r="52" spans="2:29" x14ac:dyDescent="0.2">
      <c r="E52" s="2546">
        <f>IF(Checkliste!K117=Checkliste!$M$108,Checkliste!G117,0)</f>
        <v>0</v>
      </c>
      <c r="F52" s="3441">
        <f>IF(Checkliste!K117=Checkliste!$M$108,Checkliste!C117,0)</f>
        <v>0</v>
      </c>
      <c r="G52" s="3442"/>
      <c r="H52" s="3443"/>
      <c r="I52" s="2547">
        <f>IF(Checkliste!K117=Checkliste!$M$108,Checkliste!H117,0)</f>
        <v>0</v>
      </c>
      <c r="J52" s="2549"/>
      <c r="K52" s="2550"/>
      <c r="L52" s="2551"/>
      <c r="M52" s="1170"/>
      <c r="N52" s="1169"/>
      <c r="O52" s="1169"/>
      <c r="P52" s="1169"/>
      <c r="Q52" s="1169"/>
      <c r="R52" s="1169"/>
      <c r="S52" s="1169"/>
      <c r="T52" s="1171"/>
      <c r="U52" s="1169"/>
      <c r="V52" s="2549">
        <f t="shared" si="0"/>
        <v>0</v>
      </c>
      <c r="W52" s="2554">
        <f t="shared" si="1"/>
        <v>0</v>
      </c>
      <c r="X52" s="2554">
        <f t="shared" si="2"/>
        <v>0</v>
      </c>
      <c r="Y52" s="1184"/>
      <c r="AB52" s="1137"/>
      <c r="AC52" s="1137"/>
    </row>
    <row r="53" spans="2:29" x14ac:dyDescent="0.2">
      <c r="E53" s="2546">
        <f>IF(Checkliste!K118=Checkliste!$M$108,Checkliste!G118,0)</f>
        <v>0</v>
      </c>
      <c r="F53" s="3441">
        <f>IF(Checkliste!K118=Checkliste!$M$108,Checkliste!C118,0)</f>
        <v>0</v>
      </c>
      <c r="G53" s="3442"/>
      <c r="H53" s="3443"/>
      <c r="I53" s="2547">
        <f>IF(Checkliste!K118=Checkliste!$M$108,Checkliste!H118,0)</f>
        <v>0</v>
      </c>
      <c r="J53" s="2549"/>
      <c r="K53" s="2550"/>
      <c r="L53" s="2551"/>
      <c r="M53" s="1170"/>
      <c r="N53" s="1169"/>
      <c r="O53" s="1169"/>
      <c r="P53" s="1169"/>
      <c r="Q53" s="1169"/>
      <c r="R53" s="1169"/>
      <c r="S53" s="1169"/>
      <c r="T53" s="1171"/>
      <c r="U53" s="1169"/>
      <c r="V53" s="2549">
        <f t="shared" si="0"/>
        <v>0</v>
      </c>
      <c r="W53" s="2554">
        <f t="shared" si="1"/>
        <v>0</v>
      </c>
      <c r="X53" s="2554">
        <f t="shared" si="2"/>
        <v>0</v>
      </c>
      <c r="Y53" s="1184"/>
      <c r="AB53" s="1137"/>
      <c r="AC53" s="1137"/>
    </row>
    <row r="54" spans="2:29" x14ac:dyDescent="0.2">
      <c r="E54" s="2546">
        <f>IF(Checkliste!K119=Checkliste!$M$108,Checkliste!G119,0)</f>
        <v>0</v>
      </c>
      <c r="F54" s="3441">
        <f>IF(Checkliste!K119=Checkliste!$M$108,Checkliste!C119,0)</f>
        <v>0</v>
      </c>
      <c r="G54" s="3442"/>
      <c r="H54" s="3443"/>
      <c r="I54" s="2547">
        <f>IF(Checkliste!K119=Checkliste!$M$108,Checkliste!H119,0)</f>
        <v>0</v>
      </c>
      <c r="J54" s="2549"/>
      <c r="K54" s="2550"/>
      <c r="L54" s="2551"/>
      <c r="M54" s="1170"/>
      <c r="N54" s="1169"/>
      <c r="O54" s="1169"/>
      <c r="P54" s="1169"/>
      <c r="Q54" s="1169"/>
      <c r="R54" s="1169"/>
      <c r="S54" s="1169"/>
      <c r="T54" s="1171"/>
      <c r="U54" s="1169"/>
      <c r="V54" s="2549">
        <f t="shared" si="0"/>
        <v>0</v>
      </c>
      <c r="W54" s="2554">
        <f t="shared" si="1"/>
        <v>0</v>
      </c>
      <c r="X54" s="2554">
        <f t="shared" si="2"/>
        <v>0</v>
      </c>
      <c r="Y54" s="1184"/>
      <c r="AB54" s="1137"/>
      <c r="AC54" s="1137"/>
    </row>
    <row r="55" spans="2:29" x14ac:dyDescent="0.2">
      <c r="E55" s="2546">
        <f>IF(Checkliste!K120=Checkliste!$M$108,Checkliste!G120,0)</f>
        <v>0</v>
      </c>
      <c r="F55" s="3441">
        <f>IF(Checkliste!K120=Checkliste!$M$108,Checkliste!C120,0)</f>
        <v>0</v>
      </c>
      <c r="G55" s="3442"/>
      <c r="H55" s="3443"/>
      <c r="I55" s="2547">
        <f>IF(Checkliste!K120=Checkliste!$M$108,Checkliste!H120,0)</f>
        <v>0</v>
      </c>
      <c r="J55" s="2549"/>
      <c r="K55" s="2550"/>
      <c r="L55" s="2551"/>
      <c r="M55" s="1170"/>
      <c r="N55" s="1169"/>
      <c r="O55" s="1169"/>
      <c r="P55" s="1169"/>
      <c r="Q55" s="1169"/>
      <c r="R55" s="1169"/>
      <c r="S55" s="1169"/>
      <c r="T55" s="1171"/>
      <c r="U55" s="1169"/>
      <c r="V55" s="2549">
        <f t="shared" si="0"/>
        <v>0</v>
      </c>
      <c r="W55" s="2554">
        <f t="shared" si="1"/>
        <v>0</v>
      </c>
      <c r="X55" s="2554">
        <f t="shared" si="2"/>
        <v>0</v>
      </c>
      <c r="Y55" s="1184"/>
      <c r="AB55" s="1137"/>
      <c r="AC55" s="1137"/>
    </row>
    <row r="56" spans="2:29" x14ac:dyDescent="0.2">
      <c r="E56" s="2546">
        <f>IF(Checkliste!K121=Checkliste!$M$108,Checkliste!G121,0)</f>
        <v>0</v>
      </c>
      <c r="F56" s="3441">
        <f>IF(Checkliste!K121=Checkliste!$M$108,Checkliste!C121,0)</f>
        <v>0</v>
      </c>
      <c r="G56" s="3442"/>
      <c r="H56" s="3443"/>
      <c r="I56" s="2547">
        <f>IF(Checkliste!K121=Checkliste!$M$108,Checkliste!H121,0)</f>
        <v>0</v>
      </c>
      <c r="J56" s="2549"/>
      <c r="K56" s="2550"/>
      <c r="L56" s="2551"/>
      <c r="M56" s="1170"/>
      <c r="N56" s="1169"/>
      <c r="O56" s="1169"/>
      <c r="P56" s="1169"/>
      <c r="Q56" s="1169"/>
      <c r="R56" s="1169"/>
      <c r="S56" s="1169"/>
      <c r="T56" s="1171"/>
      <c r="U56" s="1169"/>
      <c r="V56" s="2549">
        <f t="shared" si="0"/>
        <v>0</v>
      </c>
      <c r="W56" s="2554">
        <f t="shared" si="1"/>
        <v>0</v>
      </c>
      <c r="X56" s="2554">
        <f t="shared" si="2"/>
        <v>0</v>
      </c>
      <c r="Y56" s="1184"/>
      <c r="AB56" s="1137"/>
      <c r="AC56" s="1137"/>
    </row>
    <row r="57" spans="2:29" x14ac:dyDescent="0.2">
      <c r="E57" s="2546">
        <f>IF(Checkliste!K122=Checkliste!$M$108,Checkliste!G122,0)</f>
        <v>0</v>
      </c>
      <c r="F57" s="3441">
        <f>IF(Checkliste!K122=Checkliste!$M$108,Checkliste!C122,0)</f>
        <v>0</v>
      </c>
      <c r="G57" s="3442"/>
      <c r="H57" s="3443"/>
      <c r="I57" s="2547">
        <f>IF(Checkliste!K122=Checkliste!$M$108,Checkliste!H122,0)</f>
        <v>0</v>
      </c>
      <c r="J57" s="2549"/>
      <c r="K57" s="2550"/>
      <c r="L57" s="2551"/>
      <c r="M57" s="1170"/>
      <c r="N57" s="1169"/>
      <c r="O57" s="1169"/>
      <c r="P57" s="1169"/>
      <c r="Q57" s="1169"/>
      <c r="R57" s="1169"/>
      <c r="S57" s="1169"/>
      <c r="T57" s="1171"/>
      <c r="U57" s="1169"/>
      <c r="V57" s="2549">
        <f t="shared" si="0"/>
        <v>0</v>
      </c>
      <c r="W57" s="2554">
        <f t="shared" si="1"/>
        <v>0</v>
      </c>
      <c r="X57" s="2554">
        <f t="shared" si="2"/>
        <v>0</v>
      </c>
      <c r="Y57" s="1184"/>
      <c r="AB57" s="1137"/>
      <c r="AC57" s="1137"/>
    </row>
    <row r="58" spans="2:29" x14ac:dyDescent="0.2">
      <c r="E58" s="2546">
        <f>IF(Checkliste!K123=Checkliste!$M$108,Checkliste!G123,0)</f>
        <v>0</v>
      </c>
      <c r="F58" s="3441">
        <f>IF(Checkliste!K123=Checkliste!$M$108,Checkliste!C123,0)</f>
        <v>0</v>
      </c>
      <c r="G58" s="3442"/>
      <c r="H58" s="3443"/>
      <c r="I58" s="2547">
        <f>IF(Checkliste!K123=Checkliste!$M$108,Checkliste!H123,0)</f>
        <v>0</v>
      </c>
      <c r="J58" s="2549"/>
      <c r="K58" s="2550"/>
      <c r="L58" s="2551"/>
      <c r="M58" s="1170"/>
      <c r="N58" s="1169"/>
      <c r="O58" s="1169"/>
      <c r="P58" s="1169"/>
      <c r="Q58" s="1169"/>
      <c r="R58" s="1169"/>
      <c r="S58" s="1169"/>
      <c r="T58" s="1171"/>
      <c r="U58" s="1169"/>
      <c r="V58" s="2549">
        <f t="shared" si="0"/>
        <v>0</v>
      </c>
      <c r="W58" s="2554">
        <f t="shared" si="1"/>
        <v>0</v>
      </c>
      <c r="X58" s="2554">
        <f t="shared" si="2"/>
        <v>0</v>
      </c>
      <c r="Y58" s="1184"/>
      <c r="AB58" s="1137"/>
      <c r="AC58" s="1137"/>
    </row>
    <row r="59" spans="2:29" x14ac:dyDescent="0.2">
      <c r="E59" s="2546">
        <f>IF(Checkliste!K124=Checkliste!$M$108,Checkliste!G124,0)</f>
        <v>0</v>
      </c>
      <c r="F59" s="3441">
        <f>IF(Checkliste!K124=Checkliste!$M$108,Checkliste!C124,0)</f>
        <v>0</v>
      </c>
      <c r="G59" s="3442"/>
      <c r="H59" s="3443"/>
      <c r="I59" s="2547">
        <f>IF(Checkliste!K124=Checkliste!$M$108,Checkliste!H124,0)</f>
        <v>0</v>
      </c>
      <c r="J59" s="2549"/>
      <c r="K59" s="2550"/>
      <c r="L59" s="2551"/>
      <c r="M59" s="1170"/>
      <c r="N59" s="1169"/>
      <c r="O59" s="1169"/>
      <c r="P59" s="1169"/>
      <c r="Q59" s="1169"/>
      <c r="R59" s="1169"/>
      <c r="S59" s="1169"/>
      <c r="T59" s="1171"/>
      <c r="U59" s="1169"/>
      <c r="V59" s="2549">
        <f t="shared" si="0"/>
        <v>0</v>
      </c>
      <c r="W59" s="2554">
        <f t="shared" si="1"/>
        <v>0</v>
      </c>
      <c r="X59" s="2554">
        <f t="shared" si="2"/>
        <v>0</v>
      </c>
      <c r="Y59" s="1184"/>
      <c r="AB59" s="1137"/>
      <c r="AC59" s="1137"/>
    </row>
    <row r="60" spans="2:29" ht="13.5" thickBot="1" x14ac:dyDescent="0.25">
      <c r="E60" s="2546">
        <f>IF(Checkliste!K125=Checkliste!$M$108,Checkliste!G125,0)</f>
        <v>0</v>
      </c>
      <c r="F60" s="3441">
        <f>IF(Checkliste!K125=Checkliste!$M$108,Checkliste!C125,0)</f>
        <v>0</v>
      </c>
      <c r="G60" s="3442"/>
      <c r="H60" s="3443"/>
      <c r="I60" s="2547">
        <f>IF(Checkliste!K125=Checkliste!$M$108,Checkliste!H125,0)</f>
        <v>0</v>
      </c>
      <c r="J60" s="2549"/>
      <c r="K60" s="2550"/>
      <c r="L60" s="2551"/>
      <c r="M60" s="1170"/>
      <c r="N60" s="1169"/>
      <c r="O60" s="1169"/>
      <c r="P60" s="1169"/>
      <c r="Q60" s="1169"/>
      <c r="R60" s="1169"/>
      <c r="S60" s="1169"/>
      <c r="T60" s="1171"/>
      <c r="U60" s="1169"/>
      <c r="V60" s="2549">
        <f t="shared" si="0"/>
        <v>0</v>
      </c>
      <c r="W60" s="2554">
        <f t="shared" si="1"/>
        <v>0</v>
      </c>
      <c r="X60" s="2554">
        <f t="shared" si="2"/>
        <v>0</v>
      </c>
      <c r="Y60" s="1184"/>
      <c r="AB60" s="1137"/>
      <c r="AC60" s="1137"/>
    </row>
    <row r="61" spans="2:29" ht="13.5" thickBot="1" x14ac:dyDescent="0.25">
      <c r="E61" s="1170"/>
      <c r="F61" s="1169"/>
      <c r="G61" s="1169"/>
      <c r="H61" s="1169"/>
      <c r="I61" s="1169"/>
      <c r="J61" s="1169"/>
      <c r="K61" s="1169"/>
      <c r="L61" s="1171"/>
      <c r="M61" s="1170"/>
      <c r="N61" s="1169"/>
      <c r="O61" s="1169"/>
      <c r="P61" s="1169"/>
      <c r="Q61" s="1169"/>
      <c r="R61" s="1169"/>
      <c r="S61" s="1169"/>
      <c r="T61" s="1171"/>
      <c r="U61" s="1169"/>
      <c r="V61" s="2552">
        <f>SUM(V44:V60)</f>
        <v>0</v>
      </c>
      <c r="W61" s="2553">
        <f>SUM(W44:W60)</f>
        <v>0</v>
      </c>
      <c r="X61" s="2553">
        <f>SUM(X44:X60)</f>
        <v>0</v>
      </c>
      <c r="Y61" s="1184"/>
      <c r="AB61" s="1137"/>
      <c r="AC61" s="1137"/>
    </row>
    <row r="62" spans="2:29" ht="27" customHeight="1" x14ac:dyDescent="0.2">
      <c r="E62" s="1167">
        <v>1</v>
      </c>
      <c r="F62" s="3454" t="s">
        <v>28178</v>
      </c>
      <c r="G62" s="3455"/>
      <c r="H62" s="3474" t="s">
        <v>30871</v>
      </c>
      <c r="I62" s="3474"/>
      <c r="J62" s="3474"/>
      <c r="K62" s="3475"/>
      <c r="L62" s="1168">
        <f>IF(G65&gt;0.2,G65,0)</f>
        <v>0</v>
      </c>
      <c r="M62" s="1167">
        <f>E62+1</f>
        <v>2</v>
      </c>
      <c r="N62" s="3454" t="s">
        <v>28178</v>
      </c>
      <c r="O62" s="3455"/>
      <c r="P62" s="3466" t="str">
        <f>"Andockprofil "&amp;"("&amp;Liste!C34&amp;")"</f>
        <v>Andockprofil (0308132)</v>
      </c>
      <c r="Q62" s="3466"/>
      <c r="R62" s="3466"/>
      <c r="S62" s="3467"/>
      <c r="T62" s="1168">
        <f>IF(O65&gt;0.2,O65,0)</f>
        <v>0</v>
      </c>
      <c r="U62" s="1169"/>
      <c r="AB62" s="1137"/>
      <c r="AC62" s="1137"/>
    </row>
    <row r="63" spans="2:29" x14ac:dyDescent="0.2">
      <c r="B63" s="1954" t="s">
        <v>29900</v>
      </c>
      <c r="C63" s="1955">
        <f>IF(Liste!D5&gt;0,Liste!F10,Liste!F74)</f>
        <v>685</v>
      </c>
      <c r="E63" s="1170"/>
      <c r="F63" s="1169"/>
      <c r="G63" s="1169"/>
      <c r="H63" s="1169"/>
      <c r="I63" s="1169"/>
      <c r="J63" s="1169"/>
      <c r="K63" s="1169"/>
      <c r="L63" s="1171"/>
      <c r="M63" s="1170"/>
      <c r="N63" s="1169"/>
      <c r="O63" s="1169"/>
      <c r="P63" s="1169"/>
      <c r="Q63" s="1169"/>
      <c r="R63" s="1169"/>
      <c r="S63" s="1169"/>
      <c r="T63" s="1171"/>
      <c r="U63" s="1169"/>
      <c r="V63" s="1954" t="s">
        <v>29900</v>
      </c>
      <c r="W63" s="1955">
        <f>Liste!E34</f>
        <v>292.5</v>
      </c>
      <c r="AB63" s="1137"/>
      <c r="AC63" s="1137"/>
    </row>
    <row r="64" spans="2:29" ht="15.75" x14ac:dyDescent="0.2">
      <c r="B64" s="1954" t="s">
        <v>29901</v>
      </c>
      <c r="C64" s="1955">
        <f>IF(Liste!D5&gt;0,Liste!E10,Liste!E74)</f>
        <v>1080</v>
      </c>
      <c r="E64" s="1170"/>
      <c r="F64" s="1172" t="s">
        <v>27904</v>
      </c>
      <c r="G64" s="1173">
        <f>IF(J18="ja",Liste!D10+Liste!D74,0)</f>
        <v>0</v>
      </c>
      <c r="H64" s="1169" t="s">
        <v>28179</v>
      </c>
      <c r="I64" s="1169"/>
      <c r="J64" s="1169"/>
      <c r="K64" s="1169"/>
      <c r="L64" s="1171"/>
      <c r="M64" s="1170"/>
      <c r="N64" s="1172" t="s">
        <v>27904</v>
      </c>
      <c r="O64" s="1173">
        <f>IF(J18="ja",Liste!D30,0)</f>
        <v>0</v>
      </c>
      <c r="P64" s="1169" t="s">
        <v>28179</v>
      </c>
      <c r="Q64" s="1169"/>
      <c r="R64" s="1169"/>
      <c r="S64" s="1169"/>
      <c r="T64" s="1171"/>
      <c r="U64" s="1169"/>
      <c r="V64" s="1954" t="s">
        <v>29901</v>
      </c>
      <c r="W64" s="1955">
        <f>Liste!F34</f>
        <v>390</v>
      </c>
      <c r="AB64" s="1137"/>
      <c r="AC64" s="1137"/>
    </row>
    <row r="65" spans="2:29" ht="15.75" x14ac:dyDescent="0.2">
      <c r="B65" s="1954" t="s">
        <v>31205</v>
      </c>
      <c r="C65" s="1956">
        <f>C63*C64/1000/1000</f>
        <v>0.7397999999999999</v>
      </c>
      <c r="E65" s="1170"/>
      <c r="F65" s="1172" t="s">
        <v>28180</v>
      </c>
      <c r="G65" s="1173">
        <f>IF(G64&gt;0,G64*C65*C66,0)</f>
        <v>0</v>
      </c>
      <c r="H65" s="1169" t="s">
        <v>28181</v>
      </c>
      <c r="K65" s="1172" t="str">
        <f>IF(G65&lt;&gt;0,IF(G65&lt;0.2,"Kleinteil, Gerundete Fläche:",""),"")</f>
        <v/>
      </c>
      <c r="L65" s="1174">
        <f>IF(K65&lt;&gt;"",0.2,0)</f>
        <v>0</v>
      </c>
      <c r="M65" s="1170"/>
      <c r="N65" s="1172" t="s">
        <v>28180</v>
      </c>
      <c r="O65" s="1173">
        <f>IF(O64&gt;0,O64*W65*W66,0)</f>
        <v>0</v>
      </c>
      <c r="P65" s="1169" t="s">
        <v>28181</v>
      </c>
      <c r="S65" s="1172" t="str">
        <f>IF(O65&lt;&gt;0,IF(O65&lt;0.2,"Kleinteil, Gerundete Fläche:",""),"")</f>
        <v/>
      </c>
      <c r="T65" s="1175">
        <f>IF(S65&lt;&gt;"",0.2,0)</f>
        <v>0</v>
      </c>
      <c r="U65" s="1169"/>
      <c r="V65" s="1954" t="s">
        <v>31205</v>
      </c>
      <c r="W65" s="1956">
        <f>W63*W64/1000/1000</f>
        <v>0.11407500000000001</v>
      </c>
      <c r="AB65" s="1137"/>
      <c r="AC65" s="1137"/>
    </row>
    <row r="66" spans="2:29" ht="15.75" x14ac:dyDescent="0.2">
      <c r="B66" s="1954" t="s">
        <v>29902</v>
      </c>
      <c r="C66" s="1957">
        <v>1</v>
      </c>
      <c r="E66" s="1170"/>
      <c r="F66" s="1172" t="s">
        <v>28182</v>
      </c>
      <c r="G66" s="1173">
        <f>IF(G64&gt;0,G64*C65*C67,0)</f>
        <v>0</v>
      </c>
      <c r="H66" s="1169" t="s">
        <v>28181</v>
      </c>
      <c r="I66" s="1186" t="s">
        <v>29918</v>
      </c>
      <c r="J66" s="1169"/>
      <c r="K66" s="1169"/>
      <c r="L66" s="1171"/>
      <c r="M66" s="1170"/>
      <c r="N66" s="1172" t="s">
        <v>28182</v>
      </c>
      <c r="O66" s="1173">
        <f>IF(O64&gt;0,O64*W65*W67,0)</f>
        <v>0</v>
      </c>
      <c r="P66" s="1169" t="s">
        <v>28181</v>
      </c>
      <c r="Q66" s="1186" t="s">
        <v>28185</v>
      </c>
      <c r="R66" s="1169"/>
      <c r="S66" s="1169"/>
      <c r="T66" s="1171"/>
      <c r="U66" s="1169"/>
      <c r="V66" s="1954" t="s">
        <v>29902</v>
      </c>
      <c r="W66" s="1957">
        <v>2</v>
      </c>
      <c r="AB66" s="1137"/>
      <c r="AC66" s="1137"/>
    </row>
    <row r="67" spans="2:29" ht="15.75" x14ac:dyDescent="0.2">
      <c r="B67" s="1954" t="s">
        <v>29903</v>
      </c>
      <c r="C67" s="1957">
        <v>0</v>
      </c>
      <c r="E67" s="1170"/>
      <c r="F67" s="1176"/>
      <c r="G67" s="1169"/>
      <c r="H67" s="1169"/>
      <c r="I67" s="1169"/>
      <c r="J67" s="1169"/>
      <c r="K67" s="1169"/>
      <c r="L67" s="1171"/>
      <c r="M67" s="1170"/>
      <c r="N67" s="1176"/>
      <c r="O67" s="1169"/>
      <c r="P67" s="1169"/>
      <c r="Q67" s="1186"/>
      <c r="R67" s="1169"/>
      <c r="S67" s="1169"/>
      <c r="T67" s="1171"/>
      <c r="U67" s="1169"/>
      <c r="V67" s="1954" t="s">
        <v>29903</v>
      </c>
      <c r="W67" s="1957">
        <v>0</v>
      </c>
      <c r="AB67" s="1137"/>
      <c r="AC67" s="1137"/>
    </row>
    <row r="68" spans="2:29" x14ac:dyDescent="0.2">
      <c r="E68" s="1170"/>
      <c r="F68" s="1169"/>
      <c r="G68" s="1169"/>
      <c r="H68" s="1169"/>
      <c r="I68" s="1169"/>
      <c r="J68" s="1169"/>
      <c r="K68" s="1169"/>
      <c r="L68" s="1171"/>
      <c r="M68" s="1170"/>
      <c r="N68" s="1169"/>
      <c r="O68" s="1169"/>
      <c r="P68" s="1169"/>
      <c r="Q68" s="1169"/>
      <c r="R68" s="1169"/>
      <c r="S68" s="1169"/>
      <c r="T68" s="1171"/>
      <c r="U68" s="1169"/>
      <c r="AB68" s="1137"/>
      <c r="AC68" s="1137"/>
    </row>
    <row r="69" spans="2:29" ht="16.5" x14ac:dyDescent="0.2">
      <c r="E69" s="1170"/>
      <c r="F69" s="1177" t="s">
        <v>28183</v>
      </c>
      <c r="G69" s="1169"/>
      <c r="H69" s="1169"/>
      <c r="I69" s="1169"/>
      <c r="J69" s="1169"/>
      <c r="K69" s="1169"/>
      <c r="L69" s="1171"/>
      <c r="M69" s="1170"/>
      <c r="N69" s="1177" t="s">
        <v>28183</v>
      </c>
      <c r="O69" s="1169"/>
      <c r="P69" s="1169"/>
      <c r="Q69" s="1169"/>
      <c r="R69" s="1169"/>
      <c r="S69" s="1169"/>
      <c r="T69" s="1171"/>
      <c r="U69" s="1169"/>
      <c r="AB69" s="1137"/>
      <c r="AC69" s="1137"/>
    </row>
    <row r="70" spans="2:29" x14ac:dyDescent="0.2">
      <c r="E70" s="1170"/>
      <c r="F70" s="1169"/>
      <c r="G70" s="1169"/>
      <c r="H70" s="1169"/>
      <c r="I70" s="1169"/>
      <c r="J70" s="1169"/>
      <c r="K70" s="1169"/>
      <c r="L70" s="1171"/>
      <c r="M70" s="1170"/>
      <c r="N70" s="1169"/>
      <c r="O70" s="1169"/>
      <c r="P70" s="1169"/>
      <c r="Q70" s="1169"/>
      <c r="R70" s="1169"/>
      <c r="S70" s="1169"/>
      <c r="T70" s="1171"/>
      <c r="U70" s="1169"/>
      <c r="AB70" s="1137"/>
      <c r="AC70" s="1137"/>
    </row>
    <row r="71" spans="2:29" x14ac:dyDescent="0.2">
      <c r="E71" s="1170"/>
      <c r="F71" s="1169"/>
      <c r="G71" s="1169"/>
      <c r="H71" s="1169"/>
      <c r="I71" s="1169"/>
      <c r="J71" s="1169"/>
      <c r="K71" s="1169"/>
      <c r="L71" s="1171"/>
      <c r="M71" s="1170"/>
      <c r="N71" s="1169"/>
      <c r="O71" s="1169"/>
      <c r="P71" s="1169"/>
      <c r="Q71" s="1169"/>
      <c r="R71" s="1169"/>
      <c r="S71" s="1169"/>
      <c r="T71" s="1171"/>
      <c r="U71" s="1169"/>
      <c r="AB71" s="1137"/>
      <c r="AC71" s="1137"/>
    </row>
    <row r="72" spans="2:29" x14ac:dyDescent="0.2">
      <c r="E72" s="1170"/>
      <c r="F72" s="1169"/>
      <c r="G72" s="1169"/>
      <c r="H72" s="1169"/>
      <c r="I72" s="1169"/>
      <c r="J72" s="1169"/>
      <c r="K72" s="1169"/>
      <c r="L72" s="1171"/>
      <c r="M72" s="1170"/>
      <c r="N72" s="1169"/>
      <c r="O72" s="1169"/>
      <c r="P72" s="1169"/>
      <c r="Q72" s="1169"/>
      <c r="R72" s="1169"/>
      <c r="S72" s="1169"/>
      <c r="T72" s="1171"/>
      <c r="U72" s="1169"/>
      <c r="AB72" s="1137"/>
      <c r="AC72" s="1137"/>
    </row>
    <row r="73" spans="2:29" x14ac:dyDescent="0.2">
      <c r="E73" s="1170"/>
      <c r="F73" s="1169"/>
      <c r="G73" s="1169"/>
      <c r="H73" s="1169"/>
      <c r="I73" s="1169"/>
      <c r="J73" s="1169"/>
      <c r="K73" s="1169"/>
      <c r="L73" s="1171"/>
      <c r="M73" s="1170"/>
      <c r="N73" s="1169"/>
      <c r="O73" s="1169"/>
      <c r="P73" s="1169"/>
      <c r="Q73" s="1169"/>
      <c r="R73" s="1169"/>
      <c r="S73" s="1169"/>
      <c r="T73" s="1171"/>
      <c r="U73" s="1169"/>
      <c r="AB73" s="1137"/>
      <c r="AC73" s="1137"/>
    </row>
    <row r="74" spans="2:29" x14ac:dyDescent="0.2">
      <c r="E74" s="1170"/>
      <c r="F74" s="1169"/>
      <c r="G74" s="1169"/>
      <c r="I74" s="1169"/>
      <c r="J74" s="1169"/>
      <c r="K74" s="1169"/>
      <c r="L74" s="1171"/>
      <c r="M74" s="1170"/>
      <c r="N74" s="1169"/>
      <c r="O74" s="1169"/>
      <c r="Q74" s="1169"/>
      <c r="R74" s="1169"/>
      <c r="S74" s="1169"/>
      <c r="T74" s="1171"/>
      <c r="U74" s="1169"/>
      <c r="AB74" s="1137"/>
      <c r="AC74" s="1137"/>
    </row>
    <row r="75" spans="2:29" x14ac:dyDescent="0.2">
      <c r="E75" s="1170"/>
      <c r="F75" s="1169"/>
      <c r="G75" s="1169"/>
      <c r="H75" s="1169"/>
      <c r="I75" s="1169"/>
      <c r="J75" s="1169"/>
      <c r="K75" s="1169"/>
      <c r="L75" s="1171"/>
      <c r="M75" s="1170"/>
      <c r="N75" s="1169"/>
      <c r="O75" s="1169"/>
      <c r="P75" s="1169"/>
      <c r="Q75" s="1169"/>
      <c r="R75" s="1169"/>
      <c r="S75" s="1169"/>
      <c r="T75" s="1171"/>
      <c r="U75" s="1169"/>
      <c r="AB75" s="1137"/>
      <c r="AC75" s="1137"/>
    </row>
    <row r="76" spans="2:29" x14ac:dyDescent="0.2">
      <c r="E76" s="1170"/>
      <c r="F76" s="1169"/>
      <c r="G76" s="1169"/>
      <c r="H76" s="1169"/>
      <c r="I76" s="1169"/>
      <c r="J76" s="1169"/>
      <c r="K76" s="1169"/>
      <c r="L76" s="1171"/>
      <c r="M76" s="1170"/>
      <c r="N76" s="1169"/>
      <c r="O76" s="1169"/>
      <c r="P76" s="1169"/>
      <c r="Q76" s="1169"/>
      <c r="R76" s="1169"/>
      <c r="S76" s="1169"/>
      <c r="T76" s="1171"/>
      <c r="U76" s="1169"/>
      <c r="AB76" s="1137"/>
      <c r="AC76" s="1137"/>
    </row>
    <row r="77" spans="2:29" x14ac:dyDescent="0.2">
      <c r="E77" s="1170"/>
      <c r="F77" s="1169"/>
      <c r="G77" s="1169"/>
      <c r="H77" s="1169"/>
      <c r="I77" s="1169"/>
      <c r="J77" s="1169"/>
      <c r="L77" s="1171"/>
      <c r="M77" s="1170"/>
      <c r="N77" s="1169"/>
      <c r="O77" s="1169"/>
      <c r="P77" s="1169"/>
      <c r="Q77" s="1169"/>
      <c r="R77" s="1169"/>
      <c r="T77" s="1171"/>
      <c r="U77" s="1169"/>
      <c r="AB77" s="1137"/>
      <c r="AC77" s="1137"/>
    </row>
    <row r="78" spans="2:29" x14ac:dyDescent="0.2">
      <c r="E78" s="1170"/>
      <c r="F78" s="1169"/>
      <c r="G78" s="1169"/>
      <c r="H78" s="1169"/>
      <c r="I78" s="1169"/>
      <c r="J78" s="1169"/>
      <c r="K78" s="1169"/>
      <c r="L78" s="1171"/>
      <c r="M78" s="1170"/>
      <c r="N78" s="1169"/>
      <c r="O78" s="1169"/>
      <c r="P78" s="1169"/>
      <c r="Q78" s="1169"/>
      <c r="R78" s="1169"/>
      <c r="S78" s="1169"/>
      <c r="T78" s="1171"/>
      <c r="U78" s="1169"/>
      <c r="AB78" s="1137"/>
      <c r="AC78" s="1137"/>
    </row>
    <row r="79" spans="2:29" ht="12.75" customHeight="1" x14ac:dyDescent="0.2">
      <c r="E79" s="1170"/>
      <c r="F79" s="1169"/>
      <c r="G79" s="1169"/>
      <c r="H79" s="1169"/>
      <c r="I79" s="1169"/>
      <c r="J79" s="1169"/>
      <c r="K79" s="1169"/>
      <c r="L79" s="1171"/>
      <c r="M79" s="1170"/>
      <c r="N79" s="1169"/>
      <c r="O79" s="1169"/>
      <c r="P79" s="1169"/>
      <c r="Q79" s="1169"/>
      <c r="R79" s="1169"/>
      <c r="S79" s="1169"/>
      <c r="T79" s="1171"/>
      <c r="U79" s="1169"/>
      <c r="AB79" s="1137"/>
      <c r="AC79" s="1137"/>
    </row>
    <row r="80" spans="2:29" ht="12.75" customHeight="1" x14ac:dyDescent="0.2">
      <c r="E80" s="1170"/>
      <c r="F80" s="1169"/>
      <c r="G80" s="1169"/>
      <c r="H80" s="1169"/>
      <c r="I80" s="1169"/>
      <c r="J80" s="1169"/>
      <c r="K80" s="1169"/>
      <c r="L80" s="1171"/>
      <c r="M80" s="1170"/>
      <c r="N80" s="1169"/>
      <c r="O80" s="1169"/>
      <c r="P80" s="1169"/>
      <c r="Q80" s="1169"/>
      <c r="R80" s="1169"/>
      <c r="S80" s="1169"/>
      <c r="T80" s="1171"/>
      <c r="U80" s="1169"/>
      <c r="AB80" s="1137"/>
      <c r="AC80" s="1137"/>
    </row>
    <row r="81" spans="2:29" x14ac:dyDescent="0.2">
      <c r="E81" s="1170"/>
      <c r="F81" s="1169"/>
      <c r="G81" s="1169"/>
      <c r="H81" s="1169"/>
      <c r="I81" s="1169"/>
      <c r="J81" s="1169"/>
      <c r="K81" s="1169"/>
      <c r="L81" s="1171"/>
      <c r="M81" s="1170"/>
      <c r="N81" s="1169"/>
      <c r="O81" s="1169"/>
      <c r="P81" s="1169"/>
      <c r="Q81" s="1169"/>
      <c r="R81" s="1169"/>
      <c r="S81" s="1169"/>
      <c r="T81" s="1171"/>
      <c r="U81" s="1169"/>
      <c r="AB81" s="1137"/>
      <c r="AC81" s="1137"/>
    </row>
    <row r="82" spans="2:29" ht="15.75" x14ac:dyDescent="0.2">
      <c r="E82" s="1170"/>
      <c r="F82" s="1169"/>
      <c r="G82" s="1169"/>
      <c r="H82" s="1169"/>
      <c r="I82" s="1169"/>
      <c r="J82" s="1169"/>
      <c r="K82" s="1169"/>
      <c r="L82" s="1171"/>
      <c r="M82" s="1170"/>
      <c r="N82" s="1169"/>
      <c r="O82" s="1169"/>
      <c r="P82" s="1169"/>
      <c r="Q82" s="1169"/>
      <c r="R82" s="1169"/>
      <c r="S82" s="1169"/>
      <c r="T82" s="1171"/>
      <c r="U82" s="1145"/>
      <c r="AB82" s="1137"/>
      <c r="AC82" s="1137"/>
    </row>
    <row r="83" spans="2:29" ht="15.75" x14ac:dyDescent="0.2">
      <c r="E83" s="1170"/>
      <c r="F83" s="1178"/>
      <c r="G83" s="1169"/>
      <c r="H83" s="1169"/>
      <c r="I83" s="1169"/>
      <c r="J83" s="1169"/>
      <c r="K83" s="1169"/>
      <c r="L83" s="1171"/>
      <c r="M83" s="1170"/>
      <c r="N83" s="1178"/>
      <c r="O83" s="1169"/>
      <c r="P83" s="1169"/>
      <c r="Q83" s="1169"/>
      <c r="R83" s="1169"/>
      <c r="S83" s="1169"/>
      <c r="T83" s="1171"/>
      <c r="U83" s="1145"/>
      <c r="AB83" s="1137"/>
      <c r="AC83" s="1137"/>
    </row>
    <row r="84" spans="2:29" ht="14.25" x14ac:dyDescent="0.2">
      <c r="E84" s="1170"/>
      <c r="F84" s="1179"/>
      <c r="G84" s="1169"/>
      <c r="H84" s="1169"/>
      <c r="I84" s="1169"/>
      <c r="J84" s="1169"/>
      <c r="K84" s="1169"/>
      <c r="L84" s="1171"/>
      <c r="M84" s="1170"/>
      <c r="N84" s="1179"/>
      <c r="O84" s="1169"/>
      <c r="P84" s="1169"/>
      <c r="Q84" s="1169"/>
      <c r="R84" s="1169"/>
      <c r="S84" s="1169"/>
      <c r="T84" s="1171"/>
      <c r="U84" s="1169"/>
      <c r="AB84" s="1137"/>
      <c r="AC84" s="1137"/>
    </row>
    <row r="85" spans="2:29" x14ac:dyDescent="0.2">
      <c r="E85" s="1170"/>
      <c r="F85" s="1176"/>
      <c r="G85" s="1169"/>
      <c r="H85" s="1169"/>
      <c r="I85" s="1169"/>
      <c r="J85" s="1169"/>
      <c r="K85" s="1169"/>
      <c r="L85" s="1171"/>
      <c r="M85" s="1170"/>
      <c r="N85" s="1176"/>
      <c r="O85" s="1169"/>
      <c r="P85" s="1169"/>
      <c r="Q85" s="1169"/>
      <c r="R85" s="1169"/>
      <c r="S85" s="1169"/>
      <c r="T85" s="1171"/>
      <c r="U85" s="1169"/>
      <c r="Y85" s="1158">
        <f>G65+O65</f>
        <v>0</v>
      </c>
      <c r="Z85" s="1159">
        <f>O64+G64</f>
        <v>0</v>
      </c>
      <c r="AA85" s="1180">
        <f>(IF(G65&lt;0.2,G64,0))+(IF(O65&lt;0.2,O64,0))</f>
        <v>0</v>
      </c>
      <c r="AB85" s="1158">
        <f>G66+O66</f>
        <v>0</v>
      </c>
      <c r="AC85" s="1137"/>
    </row>
    <row r="86" spans="2:29" ht="13.5" thickBot="1" x14ac:dyDescent="0.25">
      <c r="E86" s="1181"/>
      <c r="F86" s="1182"/>
      <c r="G86" s="1182"/>
      <c r="H86" s="1182"/>
      <c r="I86" s="1182"/>
      <c r="J86" s="1182"/>
      <c r="K86" s="1182"/>
      <c r="L86" s="1183"/>
      <c r="M86" s="1181"/>
      <c r="N86" s="1182"/>
      <c r="O86" s="1182"/>
      <c r="P86" s="1182"/>
      <c r="Q86" s="1182"/>
      <c r="R86" s="1182"/>
      <c r="S86" s="1182"/>
      <c r="T86" s="1183"/>
      <c r="U86" s="1169"/>
      <c r="Y86" s="1184"/>
      <c r="AB86" s="1137"/>
      <c r="AC86" s="1137"/>
    </row>
    <row r="87" spans="2:29" ht="26.25" x14ac:dyDescent="0.2">
      <c r="E87" s="1167">
        <f>M62+1</f>
        <v>3</v>
      </c>
      <c r="F87" s="3454" t="s">
        <v>28178</v>
      </c>
      <c r="G87" s="3455"/>
      <c r="H87" s="3466" t="s">
        <v>29909</v>
      </c>
      <c r="I87" s="3466"/>
      <c r="J87" s="3466"/>
      <c r="K87" s="3467"/>
      <c r="L87" s="1168">
        <f>IF(G90&gt;0.2,G90,0)</f>
        <v>0</v>
      </c>
      <c r="M87" s="1167">
        <f>E87+1</f>
        <v>4</v>
      </c>
      <c r="N87" s="3454" t="s">
        <v>28178</v>
      </c>
      <c r="O87" s="3455"/>
      <c r="P87" s="3466" t="s">
        <v>29908</v>
      </c>
      <c r="Q87" s="3466"/>
      <c r="R87" s="3466"/>
      <c r="S87" s="3467"/>
      <c r="T87" s="1168">
        <f>IF(O90&gt;0.2,O90,0)</f>
        <v>0</v>
      </c>
      <c r="U87" s="1169"/>
      <c r="AB87" s="1137"/>
      <c r="AC87" s="1137"/>
    </row>
    <row r="88" spans="2:29" x14ac:dyDescent="0.2">
      <c r="B88" s="1954" t="s">
        <v>29900</v>
      </c>
      <c r="C88" s="1955">
        <v>286</v>
      </c>
      <c r="E88" s="1170"/>
      <c r="F88" s="1169"/>
      <c r="G88" s="1169"/>
      <c r="H88" s="1169"/>
      <c r="I88" s="1169"/>
      <c r="J88" s="1169"/>
      <c r="K88" s="1169"/>
      <c r="L88" s="1171"/>
      <c r="M88" s="1170"/>
      <c r="N88" s="1169"/>
      <c r="O88" s="1169"/>
      <c r="P88" s="1169"/>
      <c r="Q88" s="1169"/>
      <c r="R88" s="1169"/>
      <c r="S88" s="1169"/>
      <c r="T88" s="1171"/>
      <c r="U88" s="1169"/>
      <c r="V88" s="1954" t="s">
        <v>29900</v>
      </c>
      <c r="W88" s="1955">
        <v>102</v>
      </c>
      <c r="AB88" s="1137"/>
      <c r="AC88" s="1137"/>
    </row>
    <row r="89" spans="2:29" ht="15.75" x14ac:dyDescent="0.2">
      <c r="B89" s="1954" t="s">
        <v>29901</v>
      </c>
      <c r="C89" s="1955">
        <v>362</v>
      </c>
      <c r="E89" s="1170"/>
      <c r="F89" s="1172" t="s">
        <v>27904</v>
      </c>
      <c r="G89" s="1173">
        <f>IF(J18="ja",Liste!D35+Liste!D37+Liste!D39,0)</f>
        <v>0</v>
      </c>
      <c r="H89" s="1169" t="s">
        <v>28179</v>
      </c>
      <c r="I89" s="1169"/>
      <c r="J89" s="1169"/>
      <c r="K89" s="1169"/>
      <c r="L89" s="1171"/>
      <c r="M89" s="1170"/>
      <c r="N89" s="1172" t="s">
        <v>27904</v>
      </c>
      <c r="O89" s="1173">
        <f>IF(J18="ja",Liste!D35*2+Liste!D37,0)</f>
        <v>0</v>
      </c>
      <c r="P89" s="1169" t="s">
        <v>28179</v>
      </c>
      <c r="Q89" s="1169"/>
      <c r="R89" s="1169"/>
      <c r="S89" s="1169"/>
      <c r="T89" s="1171"/>
      <c r="U89" s="1169"/>
      <c r="V89" s="1954" t="s">
        <v>29901</v>
      </c>
      <c r="W89" s="1955">
        <v>88</v>
      </c>
      <c r="AB89" s="1137"/>
      <c r="AC89" s="1137"/>
    </row>
    <row r="90" spans="2:29" ht="15.75" x14ac:dyDescent="0.2">
      <c r="B90" s="1954" t="s">
        <v>31205</v>
      </c>
      <c r="C90" s="1956">
        <f>C88*C89/1000/1000</f>
        <v>0.103532</v>
      </c>
      <c r="E90" s="1170"/>
      <c r="F90" s="1172" t="s">
        <v>28180</v>
      </c>
      <c r="G90" s="1173">
        <f>IF(G89&gt;0,G89*C90*C91,0)</f>
        <v>0</v>
      </c>
      <c r="H90" s="1169" t="s">
        <v>28181</v>
      </c>
      <c r="K90" s="1172" t="str">
        <f>IF(G90&lt;&gt;0,IF(G90&lt;0.2,"Kleinteil, Gerundete Fläche:",""),"")</f>
        <v/>
      </c>
      <c r="L90" s="1174">
        <f>IF(K90&lt;&gt;"",0.2,0)</f>
        <v>0</v>
      </c>
      <c r="M90" s="1170"/>
      <c r="N90" s="1172" t="s">
        <v>28180</v>
      </c>
      <c r="O90" s="1173">
        <f>IF(O89&gt;0,W90*W91,0)</f>
        <v>0</v>
      </c>
      <c r="P90" s="1169" t="s">
        <v>28181</v>
      </c>
      <c r="S90" s="1172" t="str">
        <f>IF(O90&lt;&gt;0,IF(O90&lt;0.2,"Kleinteil, Gerundete Fläche:",""),"")</f>
        <v/>
      </c>
      <c r="T90" s="1175">
        <f>IF(S90&lt;&gt;"",0.2,0)</f>
        <v>0</v>
      </c>
      <c r="U90" s="1169"/>
      <c r="V90" s="1954" t="s">
        <v>31205</v>
      </c>
      <c r="W90" s="1956">
        <f>W88*W89/1000/1000</f>
        <v>8.9760000000000013E-3</v>
      </c>
      <c r="AB90" s="1137"/>
      <c r="AC90" s="1137"/>
    </row>
    <row r="91" spans="2:29" ht="15.75" x14ac:dyDescent="0.2">
      <c r="B91" s="1954" t="s">
        <v>29902</v>
      </c>
      <c r="C91" s="1957">
        <v>2</v>
      </c>
      <c r="E91" s="1170"/>
      <c r="F91" s="1172" t="s">
        <v>28182</v>
      </c>
      <c r="G91" s="1173">
        <f>IF(G89&gt;0,G89*C90*C92,0)</f>
        <v>0</v>
      </c>
      <c r="H91" s="1169" t="s">
        <v>28181</v>
      </c>
      <c r="I91" s="1186" t="s">
        <v>28185</v>
      </c>
      <c r="J91" s="1169"/>
      <c r="K91" s="1169"/>
      <c r="L91" s="1171"/>
      <c r="M91" s="1170"/>
      <c r="N91" s="1172" t="s">
        <v>28182</v>
      </c>
      <c r="O91" s="1173">
        <f>IF(O89&gt;0,O89*W90*W92,0)</f>
        <v>0</v>
      </c>
      <c r="P91" s="1169" t="s">
        <v>28181</v>
      </c>
      <c r="Q91" s="1186" t="s">
        <v>28185</v>
      </c>
      <c r="R91" s="1169"/>
      <c r="S91" s="1169"/>
      <c r="T91" s="1171"/>
      <c r="U91" s="1169"/>
      <c r="V91" s="1954" t="s">
        <v>29902</v>
      </c>
      <c r="W91" s="1957">
        <v>2</v>
      </c>
      <c r="X91" s="1185"/>
      <c r="AB91" s="1137"/>
      <c r="AC91" s="1137"/>
    </row>
    <row r="92" spans="2:29" ht="15.75" x14ac:dyDescent="0.2">
      <c r="B92" s="1954" t="s">
        <v>29903</v>
      </c>
      <c r="C92" s="1957">
        <v>0</v>
      </c>
      <c r="E92" s="1170"/>
      <c r="F92" s="1176"/>
      <c r="G92" s="1169"/>
      <c r="H92" s="1169"/>
      <c r="I92" s="1186"/>
      <c r="J92" s="1169"/>
      <c r="K92" s="1169"/>
      <c r="L92" s="1171"/>
      <c r="M92" s="1170"/>
      <c r="N92" s="1176"/>
      <c r="O92" s="1169"/>
      <c r="P92" s="1169"/>
      <c r="Q92" s="1186"/>
      <c r="R92" s="1169"/>
      <c r="S92" s="1169"/>
      <c r="T92" s="1171"/>
      <c r="U92" s="1169"/>
      <c r="V92" s="1954" t="s">
        <v>29903</v>
      </c>
      <c r="W92" s="1957">
        <v>0</v>
      </c>
      <c r="AB92" s="1137"/>
      <c r="AC92" s="1137"/>
    </row>
    <row r="93" spans="2:29" x14ac:dyDescent="0.2">
      <c r="E93" s="1170"/>
      <c r="F93" s="1169"/>
      <c r="G93" s="1169"/>
      <c r="H93" s="1169"/>
      <c r="I93" s="1169"/>
      <c r="J93" s="1169"/>
      <c r="K93" s="1169"/>
      <c r="L93" s="1171"/>
      <c r="M93" s="1170"/>
      <c r="N93" s="1169"/>
      <c r="O93" s="1169"/>
      <c r="P93" s="1169"/>
      <c r="Q93" s="1169"/>
      <c r="R93" s="1169"/>
      <c r="S93" s="1169"/>
      <c r="T93" s="1171"/>
      <c r="U93" s="1169"/>
      <c r="AB93" s="1137"/>
      <c r="AC93" s="1137"/>
    </row>
    <row r="94" spans="2:29" ht="16.5" x14ac:dyDescent="0.2">
      <c r="E94" s="1170"/>
      <c r="F94" s="1177" t="s">
        <v>28183</v>
      </c>
      <c r="G94" s="1169"/>
      <c r="H94" s="1169"/>
      <c r="I94" s="1169"/>
      <c r="J94" s="1169"/>
      <c r="K94" s="1169"/>
      <c r="L94" s="1171"/>
      <c r="M94" s="1170"/>
      <c r="N94" s="1177" t="s">
        <v>28183</v>
      </c>
      <c r="O94" s="1169"/>
      <c r="P94" s="1169"/>
      <c r="Q94" s="1169"/>
      <c r="R94" s="1169"/>
      <c r="S94" s="1169"/>
      <c r="T94" s="1171"/>
      <c r="U94" s="1169"/>
      <c r="AB94" s="1137"/>
      <c r="AC94" s="1137"/>
    </row>
    <row r="95" spans="2:29" x14ac:dyDescent="0.2">
      <c r="E95" s="1170"/>
      <c r="F95" s="1169"/>
      <c r="G95" s="1169"/>
      <c r="H95" s="1169"/>
      <c r="I95" s="1169"/>
      <c r="J95" s="1169"/>
      <c r="K95" s="1169"/>
      <c r="L95" s="1171"/>
      <c r="M95" s="1170"/>
      <c r="N95" s="1169"/>
      <c r="O95" s="1169"/>
      <c r="P95" s="1169"/>
      <c r="Q95" s="1169"/>
      <c r="R95" s="1169"/>
      <c r="S95" s="1169"/>
      <c r="T95" s="1171"/>
      <c r="U95" s="1169"/>
      <c r="AB95" s="1137"/>
      <c r="AC95" s="1137"/>
    </row>
    <row r="96" spans="2:29" x14ac:dyDescent="0.2">
      <c r="E96" s="1170"/>
      <c r="F96" s="1169"/>
      <c r="G96" s="1169"/>
      <c r="H96" s="1169"/>
      <c r="I96" s="1169"/>
      <c r="J96" s="1169"/>
      <c r="K96" s="1169"/>
      <c r="L96" s="1171"/>
      <c r="M96" s="1170"/>
      <c r="N96" s="1169"/>
      <c r="O96" s="1169"/>
      <c r="P96" s="1169"/>
      <c r="Q96" s="1169"/>
      <c r="R96" s="1169"/>
      <c r="S96" s="1169"/>
      <c r="T96" s="1171"/>
      <c r="U96" s="1169"/>
      <c r="AB96" s="1137"/>
      <c r="AC96" s="1137"/>
    </row>
    <row r="97" spans="5:29" x14ac:dyDescent="0.2">
      <c r="E97" s="1170"/>
      <c r="F97" s="1169"/>
      <c r="G97" s="1169"/>
      <c r="H97" s="1169"/>
      <c r="I97" s="1169"/>
      <c r="J97" s="1169"/>
      <c r="K97" s="1169"/>
      <c r="L97" s="1171"/>
      <c r="M97" s="1170"/>
      <c r="N97" s="1169"/>
      <c r="O97" s="1169"/>
      <c r="P97" s="1169"/>
      <c r="Q97" s="1169"/>
      <c r="R97" s="1169"/>
      <c r="S97" s="1169"/>
      <c r="T97" s="1171"/>
      <c r="U97" s="1169"/>
      <c r="AB97" s="1137"/>
      <c r="AC97" s="1137"/>
    </row>
    <row r="98" spans="5:29" x14ac:dyDescent="0.2">
      <c r="E98" s="1170"/>
      <c r="F98" s="1169"/>
      <c r="G98" s="1169"/>
      <c r="H98" s="1169"/>
      <c r="I98" s="1169"/>
      <c r="J98" s="1169"/>
      <c r="K98" s="1169"/>
      <c r="L98" s="1171"/>
      <c r="M98" s="1170"/>
      <c r="N98" s="1169"/>
      <c r="O98" s="1169"/>
      <c r="P98" s="1169"/>
      <c r="Q98" s="1169"/>
      <c r="R98" s="1169"/>
      <c r="S98" s="1169"/>
      <c r="T98" s="1171"/>
      <c r="U98" s="1169"/>
      <c r="AB98" s="1137"/>
      <c r="AC98" s="1137"/>
    </row>
    <row r="99" spans="5:29" x14ac:dyDescent="0.2">
      <c r="E99" s="1170"/>
      <c r="F99" s="1169"/>
      <c r="G99" s="1169"/>
      <c r="I99" s="1169"/>
      <c r="J99" s="1169"/>
      <c r="K99" s="1169"/>
      <c r="L99" s="1171"/>
      <c r="M99" s="1170"/>
      <c r="N99" s="1169"/>
      <c r="O99" s="1169"/>
      <c r="Q99" s="1169"/>
      <c r="R99" s="1169"/>
      <c r="S99" s="1169"/>
      <c r="T99" s="1171"/>
      <c r="U99" s="1169"/>
      <c r="AB99" s="1137"/>
      <c r="AC99" s="1137"/>
    </row>
    <row r="100" spans="5:29" x14ac:dyDescent="0.2">
      <c r="E100" s="1170"/>
      <c r="F100" s="1169"/>
      <c r="G100" s="1169"/>
      <c r="H100" s="1169"/>
      <c r="I100" s="1169"/>
      <c r="J100" s="1169"/>
      <c r="K100" s="1169"/>
      <c r="L100" s="1171"/>
      <c r="M100" s="1170"/>
      <c r="N100" s="1169"/>
      <c r="O100" s="1169"/>
      <c r="P100" s="1169"/>
      <c r="Q100" s="1169"/>
      <c r="R100" s="1169"/>
      <c r="S100" s="1169"/>
      <c r="T100" s="1171"/>
      <c r="U100" s="1169"/>
      <c r="AB100" s="1137"/>
      <c r="AC100" s="1137"/>
    </row>
    <row r="101" spans="5:29" x14ac:dyDescent="0.2">
      <c r="E101" s="1170"/>
      <c r="F101" s="1169"/>
      <c r="G101" s="1169"/>
      <c r="H101" s="1169"/>
      <c r="I101" s="1169"/>
      <c r="J101" s="1169"/>
      <c r="K101" s="1169"/>
      <c r="L101" s="1171"/>
      <c r="M101" s="1170"/>
      <c r="N101" s="1169"/>
      <c r="O101" s="1169"/>
      <c r="P101" s="1169"/>
      <c r="Q101" s="1169"/>
      <c r="R101" s="1169"/>
      <c r="S101" s="1169"/>
      <c r="T101" s="1171"/>
      <c r="U101" s="1169"/>
      <c r="AB101" s="1137"/>
      <c r="AC101" s="1137"/>
    </row>
    <row r="102" spans="5:29" x14ac:dyDescent="0.2">
      <c r="E102" s="1170"/>
      <c r="F102" s="1169"/>
      <c r="G102" s="1169"/>
      <c r="H102" s="1169"/>
      <c r="I102" s="1169"/>
      <c r="J102" s="1169"/>
      <c r="L102" s="1171"/>
      <c r="M102" s="1170"/>
      <c r="N102" s="1169"/>
      <c r="O102" s="1169"/>
      <c r="P102" s="1169"/>
      <c r="Q102" s="1169"/>
      <c r="R102" s="1169"/>
      <c r="T102" s="1171"/>
      <c r="U102" s="1169"/>
      <c r="AB102" s="1137"/>
      <c r="AC102" s="1137"/>
    </row>
    <row r="103" spans="5:29" ht="12.75" customHeight="1" x14ac:dyDescent="0.2">
      <c r="E103" s="1170"/>
      <c r="F103" s="1169"/>
      <c r="G103" s="1169"/>
      <c r="H103" s="1169"/>
      <c r="I103" s="1169"/>
      <c r="J103" s="1169"/>
      <c r="K103" s="1169"/>
      <c r="L103" s="1171"/>
      <c r="M103" s="1170"/>
      <c r="N103" s="1169"/>
      <c r="O103" s="1169"/>
      <c r="P103" s="1169"/>
      <c r="Q103" s="1169"/>
      <c r="R103" s="1169"/>
      <c r="S103" s="1169"/>
      <c r="T103" s="1171"/>
      <c r="U103" s="1169"/>
      <c r="AB103" s="1137"/>
      <c r="AC103" s="1137"/>
    </row>
    <row r="104" spans="5:29" ht="12.75" customHeight="1" x14ac:dyDescent="0.2">
      <c r="E104" s="1170"/>
      <c r="F104" s="1169"/>
      <c r="G104" s="1169"/>
      <c r="H104" s="1169"/>
      <c r="I104" s="1169"/>
      <c r="J104" s="1169"/>
      <c r="K104" s="1169"/>
      <c r="L104" s="1171"/>
      <c r="M104" s="1170"/>
      <c r="N104" s="1169"/>
      <c r="O104" s="1169"/>
      <c r="P104" s="1169"/>
      <c r="Q104" s="1169"/>
      <c r="R104" s="1169"/>
      <c r="S104" s="1169"/>
      <c r="T104" s="1171"/>
      <c r="U104" s="1169"/>
      <c r="AB104" s="1137"/>
      <c r="AC104" s="1137"/>
    </row>
    <row r="105" spans="5:29" x14ac:dyDescent="0.2">
      <c r="E105" s="1170"/>
      <c r="F105" s="1169"/>
      <c r="G105" s="1169"/>
      <c r="H105" s="1169"/>
      <c r="I105" s="1169"/>
      <c r="J105" s="1169"/>
      <c r="K105" s="1169"/>
      <c r="L105" s="1171"/>
      <c r="M105" s="1170"/>
      <c r="N105" s="1169"/>
      <c r="O105" s="1169"/>
      <c r="P105" s="1169"/>
      <c r="Q105" s="1169"/>
      <c r="R105" s="1169"/>
      <c r="S105" s="1169"/>
      <c r="T105" s="1171"/>
      <c r="U105" s="1169"/>
      <c r="AB105" s="1137"/>
      <c r="AC105" s="1137"/>
    </row>
    <row r="106" spans="5:29" x14ac:dyDescent="0.2">
      <c r="E106" s="1170"/>
      <c r="F106" s="1169"/>
      <c r="G106" s="1169"/>
      <c r="H106" s="1169"/>
      <c r="I106" s="1169"/>
      <c r="J106" s="1169"/>
      <c r="K106" s="1169"/>
      <c r="L106" s="1171"/>
      <c r="M106" s="1170"/>
      <c r="N106" s="1169"/>
      <c r="O106" s="1169"/>
      <c r="P106" s="1169"/>
      <c r="Q106" s="1169"/>
      <c r="R106" s="1169"/>
      <c r="S106" s="1169"/>
      <c r="T106" s="1171"/>
      <c r="U106" s="1169"/>
    </row>
    <row r="107" spans="5:29" ht="12.75" customHeight="1" x14ac:dyDescent="0.2">
      <c r="E107" s="1170"/>
      <c r="F107" s="1169"/>
      <c r="G107" s="1169"/>
      <c r="H107" s="1169"/>
      <c r="I107" s="1169"/>
      <c r="J107" s="1169"/>
      <c r="K107" s="1169"/>
      <c r="L107" s="1171"/>
      <c r="M107" s="1170"/>
      <c r="N107" s="1169"/>
      <c r="O107" s="1169"/>
      <c r="P107" s="1169"/>
      <c r="Q107" s="1169"/>
      <c r="R107" s="1169"/>
      <c r="S107" s="1169"/>
      <c r="T107" s="1171"/>
      <c r="U107" s="1169"/>
    </row>
    <row r="108" spans="5:29" ht="12.75" customHeight="1" x14ac:dyDescent="0.2">
      <c r="E108" s="1170"/>
      <c r="F108" s="1178"/>
      <c r="G108" s="1169"/>
      <c r="H108" s="1169"/>
      <c r="I108" s="1169"/>
      <c r="J108" s="1169"/>
      <c r="K108" s="1169"/>
      <c r="L108" s="1171"/>
      <c r="M108" s="1170"/>
      <c r="N108" s="1178"/>
      <c r="O108" s="1169"/>
      <c r="P108" s="1169"/>
      <c r="Q108" s="1169"/>
      <c r="R108" s="1169"/>
      <c r="S108" s="1169"/>
      <c r="T108" s="1171"/>
      <c r="U108" s="1169"/>
    </row>
    <row r="109" spans="5:29" ht="14.25" x14ac:dyDescent="0.2">
      <c r="E109" s="1170"/>
      <c r="F109" s="1179"/>
      <c r="G109" s="1169"/>
      <c r="H109" s="1169"/>
      <c r="I109" s="1169"/>
      <c r="J109" s="1169"/>
      <c r="K109" s="1169"/>
      <c r="L109" s="1171"/>
      <c r="M109" s="1170"/>
      <c r="N109" s="1179"/>
      <c r="O109" s="1169"/>
      <c r="P109" s="1169"/>
      <c r="Q109" s="1169"/>
      <c r="R109" s="1169"/>
      <c r="S109" s="1169"/>
      <c r="T109" s="1171"/>
      <c r="U109" s="1169"/>
    </row>
    <row r="110" spans="5:29" x14ac:dyDescent="0.2">
      <c r="E110" s="1170"/>
      <c r="F110" s="1176"/>
      <c r="G110" s="1169"/>
      <c r="H110" s="1169"/>
      <c r="I110" s="1169"/>
      <c r="J110" s="1169"/>
      <c r="K110" s="1169"/>
      <c r="L110" s="1171"/>
      <c r="M110" s="1170"/>
      <c r="N110" s="1176"/>
      <c r="O110" s="1169"/>
      <c r="P110" s="1169"/>
      <c r="Q110" s="1169"/>
      <c r="R110" s="1169"/>
      <c r="S110" s="1169"/>
      <c r="T110" s="1171"/>
      <c r="U110" s="1169"/>
      <c r="Y110" s="1158">
        <f>G90+O90</f>
        <v>0</v>
      </c>
      <c r="Z110" s="1159">
        <f>O89+G89</f>
        <v>0</v>
      </c>
      <c r="AA110" s="1180">
        <f>(IF(G90&lt;0.2,G89,0))+(IF(O90&lt;0.2,O89,0))</f>
        <v>0</v>
      </c>
      <c r="AB110" s="1158">
        <f>G91+O91</f>
        <v>0</v>
      </c>
    </row>
    <row r="111" spans="5:29" ht="13.5" thickBot="1" x14ac:dyDescent="0.25">
      <c r="E111" s="1181"/>
      <c r="F111" s="1182"/>
      <c r="G111" s="1182"/>
      <c r="H111" s="1182"/>
      <c r="I111" s="1182"/>
      <c r="J111" s="1182"/>
      <c r="K111" s="1182"/>
      <c r="L111" s="1183"/>
      <c r="M111" s="1181"/>
      <c r="N111" s="1182"/>
      <c r="O111" s="1182"/>
      <c r="P111" s="1182"/>
      <c r="Q111" s="1182"/>
      <c r="R111" s="1182"/>
      <c r="S111" s="1182"/>
      <c r="T111" s="1183"/>
      <c r="U111" s="1169"/>
    </row>
    <row r="112" spans="5:29" ht="26.25" x14ac:dyDescent="0.2">
      <c r="E112" s="1167">
        <f>M87+1</f>
        <v>5</v>
      </c>
      <c r="F112" s="3454" t="s">
        <v>28178</v>
      </c>
      <c r="G112" s="3455"/>
      <c r="H112" s="3466" t="s">
        <v>29910</v>
      </c>
      <c r="I112" s="3466"/>
      <c r="J112" s="3466"/>
      <c r="K112" s="3467"/>
      <c r="L112" s="1168">
        <f>IF(G115&gt;0.2,G115,0)</f>
        <v>0</v>
      </c>
      <c r="M112" s="1167">
        <f>E112+1</f>
        <v>6</v>
      </c>
      <c r="N112" s="3454" t="s">
        <v>28178</v>
      </c>
      <c r="O112" s="3455"/>
      <c r="P112" s="3466" t="s">
        <v>29911</v>
      </c>
      <c r="Q112" s="3466"/>
      <c r="R112" s="3466"/>
      <c r="S112" s="3467"/>
      <c r="T112" s="1168">
        <f>IF(O115&gt;0.2,O115,0)</f>
        <v>0</v>
      </c>
      <c r="U112" s="1169"/>
    </row>
    <row r="113" spans="2:29" x14ac:dyDescent="0.2">
      <c r="B113" s="1954" t="s">
        <v>29900</v>
      </c>
      <c r="C113" s="1955">
        <v>30</v>
      </c>
      <c r="E113" s="1170"/>
      <c r="F113" s="1169"/>
      <c r="G113" s="1169"/>
      <c r="H113" s="1169"/>
      <c r="I113" s="1169"/>
      <c r="J113" s="1169"/>
      <c r="K113" s="1169"/>
      <c r="L113" s="1171"/>
      <c r="M113" s="1170"/>
      <c r="N113" s="1169"/>
      <c r="O113" s="1169"/>
      <c r="P113" s="1169"/>
      <c r="Q113" s="1169"/>
      <c r="R113" s="1169"/>
      <c r="S113" s="1169"/>
      <c r="T113" s="1171"/>
      <c r="U113" s="1169"/>
      <c r="V113" s="1954" t="s">
        <v>29900</v>
      </c>
      <c r="W113" s="1955">
        <v>20</v>
      </c>
    </row>
    <row r="114" spans="2:29" ht="15.75" x14ac:dyDescent="0.2">
      <c r="B114" s="1954" t="s">
        <v>29901</v>
      </c>
      <c r="C114" s="1955">
        <v>120</v>
      </c>
      <c r="E114" s="1170"/>
      <c r="F114" s="1172" t="s">
        <v>27904</v>
      </c>
      <c r="G114" s="1173">
        <f>IF(J18="ja",Liste!D37*2,0)</f>
        <v>0</v>
      </c>
      <c r="H114" s="1169" t="s">
        <v>28179</v>
      </c>
      <c r="I114" s="1169"/>
      <c r="J114" s="1169"/>
      <c r="K114" s="1169"/>
      <c r="L114" s="1171"/>
      <c r="M114" s="1170"/>
      <c r="N114" s="1172" t="s">
        <v>27904</v>
      </c>
      <c r="O114" s="1173">
        <f>IF(J18="ja",Liste!D35*2+Liste!D37,0)</f>
        <v>0</v>
      </c>
      <c r="P114" s="1169" t="s">
        <v>28179</v>
      </c>
      <c r="Q114" s="1169"/>
      <c r="R114" s="1169"/>
      <c r="S114" s="1169"/>
      <c r="T114" s="1171"/>
      <c r="U114" s="1169"/>
      <c r="V114" s="1954" t="s">
        <v>29901</v>
      </c>
      <c r="W114" s="1955">
        <v>84</v>
      </c>
    </row>
    <row r="115" spans="2:29" ht="15.75" x14ac:dyDescent="0.2">
      <c r="B115" s="1954" t="s">
        <v>31205</v>
      </c>
      <c r="C115" s="1956">
        <f>C113*C114/1000/1000</f>
        <v>3.5999999999999999E-3</v>
      </c>
      <c r="E115" s="1170"/>
      <c r="F115" s="1172" t="s">
        <v>28180</v>
      </c>
      <c r="G115" s="1173">
        <f>IF(G114&gt;0,G114*C115*C116,0)</f>
        <v>0</v>
      </c>
      <c r="H115" s="1169" t="s">
        <v>28181</v>
      </c>
      <c r="K115" s="1172" t="str">
        <f>IF(G115&lt;&gt;0,IF(G115&lt;0.2,"Kleinteil, Gerundete Fläche:",""),"")</f>
        <v/>
      </c>
      <c r="L115" s="1174">
        <f>IF(K115&lt;&gt;"",0.2,0)</f>
        <v>0</v>
      </c>
      <c r="M115" s="1170"/>
      <c r="N115" s="1172" t="s">
        <v>28180</v>
      </c>
      <c r="O115" s="1173">
        <f>IF(O114&gt;0,O114*W115*W116,0)</f>
        <v>0</v>
      </c>
      <c r="P115" s="1169" t="s">
        <v>28181</v>
      </c>
      <c r="S115" s="1172" t="str">
        <f>IF(O115&lt;&gt;0,IF(O115&lt;0.2,"Kleinteil, Gerundete Fläche:",""),"")</f>
        <v/>
      </c>
      <c r="T115" s="1175">
        <f>IF(S115&lt;&gt;"",0.2,0)</f>
        <v>0</v>
      </c>
      <c r="U115" s="1169"/>
      <c r="V115" s="1954" t="s">
        <v>31205</v>
      </c>
      <c r="W115" s="1956">
        <f>W113*W114/1000/1000</f>
        <v>1.6799999999999999E-3</v>
      </c>
    </row>
    <row r="116" spans="2:29" ht="15.75" x14ac:dyDescent="0.2">
      <c r="B116" s="1954" t="s">
        <v>29902</v>
      </c>
      <c r="C116" s="1957">
        <v>2</v>
      </c>
      <c r="E116" s="1170"/>
      <c r="F116" s="1172" t="s">
        <v>28182</v>
      </c>
      <c r="G116" s="1173">
        <f>IF(G114&gt;0,G114*C115*C117,0)</f>
        <v>0</v>
      </c>
      <c r="H116" s="1169" t="s">
        <v>28181</v>
      </c>
      <c r="I116" s="1186" t="s">
        <v>28185</v>
      </c>
      <c r="J116" s="1169"/>
      <c r="K116" s="1169"/>
      <c r="L116" s="1171"/>
      <c r="M116" s="1170"/>
      <c r="N116" s="1172" t="s">
        <v>28182</v>
      </c>
      <c r="O116" s="1173">
        <f>IF(O114&gt;0,O114*W115*W117,0)</f>
        <v>0</v>
      </c>
      <c r="P116" s="1169" t="s">
        <v>28181</v>
      </c>
      <c r="Q116" s="1186" t="s">
        <v>28185</v>
      </c>
      <c r="R116" s="1169"/>
      <c r="S116" s="1169"/>
      <c r="T116" s="1171"/>
      <c r="U116" s="1169"/>
      <c r="V116" s="1954" t="s">
        <v>29902</v>
      </c>
      <c r="W116" s="1957">
        <v>2</v>
      </c>
    </row>
    <row r="117" spans="2:29" ht="14.25" x14ac:dyDescent="0.2">
      <c r="B117" s="1954" t="s">
        <v>29903</v>
      </c>
      <c r="C117" s="1957">
        <v>0</v>
      </c>
      <c r="E117" s="1170"/>
      <c r="F117" s="1176"/>
      <c r="G117" s="1169"/>
      <c r="H117" s="1169"/>
      <c r="I117" s="1169"/>
      <c r="J117" s="1169"/>
      <c r="K117" s="1169"/>
      <c r="L117" s="1171"/>
      <c r="M117" s="1170"/>
      <c r="N117" s="1176"/>
      <c r="O117" s="1169"/>
      <c r="P117" s="1169"/>
      <c r="Q117" s="1169"/>
      <c r="R117" s="1169"/>
      <c r="S117" s="1169"/>
      <c r="T117" s="1171"/>
      <c r="U117" s="1169"/>
      <c r="V117" s="1954" t="s">
        <v>29903</v>
      </c>
      <c r="W117" s="1957">
        <v>0</v>
      </c>
      <c r="AB117" s="1137"/>
      <c r="AC117" s="1137"/>
    </row>
    <row r="118" spans="2:29" x14ac:dyDescent="0.2">
      <c r="E118" s="1170"/>
      <c r="F118" s="1169"/>
      <c r="G118" s="1169"/>
      <c r="H118" s="1169"/>
      <c r="I118" s="1169"/>
      <c r="J118" s="1169"/>
      <c r="K118" s="1169"/>
      <c r="L118" s="1171"/>
      <c r="M118" s="1170"/>
      <c r="N118" s="1169"/>
      <c r="O118" s="1169"/>
      <c r="P118" s="1169"/>
      <c r="Q118" s="1169"/>
      <c r="R118" s="1169"/>
      <c r="S118" s="1169"/>
      <c r="T118" s="1171"/>
      <c r="U118" s="1169"/>
      <c r="AB118" s="1137"/>
      <c r="AC118" s="1137"/>
    </row>
    <row r="119" spans="2:29" ht="16.5" x14ac:dyDescent="0.2">
      <c r="E119" s="1170"/>
      <c r="F119" s="1177" t="s">
        <v>28183</v>
      </c>
      <c r="G119" s="1169"/>
      <c r="H119" s="1169"/>
      <c r="I119" s="1169"/>
      <c r="J119" s="1169"/>
      <c r="K119" s="1169"/>
      <c r="L119" s="1171"/>
      <c r="M119" s="1170"/>
      <c r="N119" s="1177" t="s">
        <v>28183</v>
      </c>
      <c r="O119" s="1169"/>
      <c r="P119" s="1169"/>
      <c r="Q119" s="1169"/>
      <c r="R119" s="1169"/>
      <c r="S119" s="1169"/>
      <c r="T119" s="1171"/>
      <c r="U119" s="1169"/>
      <c r="AB119" s="1137"/>
      <c r="AC119" s="1137"/>
    </row>
    <row r="120" spans="2:29" x14ac:dyDescent="0.2">
      <c r="E120" s="1170"/>
      <c r="F120" s="1169"/>
      <c r="G120" s="1169"/>
      <c r="H120" s="1169"/>
      <c r="I120" s="1169"/>
      <c r="J120" s="1169"/>
      <c r="K120" s="1169"/>
      <c r="L120" s="1171"/>
      <c r="M120" s="1170"/>
      <c r="N120" s="1169"/>
      <c r="O120" s="1169"/>
      <c r="P120" s="1169"/>
      <c r="Q120" s="1169"/>
      <c r="R120" s="1169"/>
      <c r="S120" s="1169"/>
      <c r="T120" s="1171"/>
      <c r="U120" s="1169"/>
      <c r="AB120" s="1137"/>
      <c r="AC120" s="1137"/>
    </row>
    <row r="121" spans="2:29" x14ac:dyDescent="0.2">
      <c r="E121" s="1170"/>
      <c r="F121" s="1169"/>
      <c r="G121" s="1169"/>
      <c r="H121" s="1169"/>
      <c r="I121" s="1169"/>
      <c r="J121" s="1169"/>
      <c r="K121" s="1169"/>
      <c r="L121" s="1171"/>
      <c r="M121" s="1170"/>
      <c r="N121" s="1169"/>
      <c r="O121" s="1169"/>
      <c r="P121" s="1169"/>
      <c r="Q121" s="1169"/>
      <c r="R121" s="1169"/>
      <c r="S121" s="1169"/>
      <c r="T121" s="1171"/>
      <c r="U121" s="1169"/>
      <c r="AB121" s="1137"/>
      <c r="AC121" s="1137"/>
    </row>
    <row r="122" spans="2:29" x14ac:dyDescent="0.2">
      <c r="E122" s="1170"/>
      <c r="F122" s="1169"/>
      <c r="G122" s="1169"/>
      <c r="H122" s="1169"/>
      <c r="I122" s="1169"/>
      <c r="J122" s="1169"/>
      <c r="K122" s="1169"/>
      <c r="L122" s="1171"/>
      <c r="M122" s="1170"/>
      <c r="N122" s="1169"/>
      <c r="O122" s="1169"/>
      <c r="P122" s="1169"/>
      <c r="Q122" s="1169"/>
      <c r="R122" s="1169"/>
      <c r="S122" s="1169"/>
      <c r="T122" s="1171"/>
      <c r="U122" s="1169"/>
      <c r="AB122" s="1137"/>
      <c r="AC122" s="1137"/>
    </row>
    <row r="123" spans="2:29" x14ac:dyDescent="0.2">
      <c r="E123" s="1170"/>
      <c r="F123" s="1169"/>
      <c r="G123" s="1169"/>
      <c r="H123" s="1169"/>
      <c r="I123" s="1169"/>
      <c r="J123" s="1169"/>
      <c r="K123" s="1169"/>
      <c r="L123" s="1171"/>
      <c r="M123" s="1170"/>
      <c r="N123" s="1169"/>
      <c r="O123" s="1169"/>
      <c r="P123" s="1169"/>
      <c r="Q123" s="1169"/>
      <c r="R123" s="1169"/>
      <c r="S123" s="1169"/>
      <c r="T123" s="1171"/>
      <c r="U123" s="1169"/>
      <c r="AB123" s="1137"/>
      <c r="AC123" s="1137"/>
    </row>
    <row r="124" spans="2:29" x14ac:dyDescent="0.2">
      <c r="E124" s="1170"/>
      <c r="F124" s="1169"/>
      <c r="G124" s="1169"/>
      <c r="I124" s="1169"/>
      <c r="J124" s="1169"/>
      <c r="K124" s="1169"/>
      <c r="L124" s="1171"/>
      <c r="M124" s="1170"/>
      <c r="N124" s="1169"/>
      <c r="O124" s="1169"/>
      <c r="Q124" s="1169"/>
      <c r="R124" s="1169"/>
      <c r="S124" s="1169"/>
      <c r="T124" s="1171"/>
      <c r="U124" s="1169"/>
      <c r="AB124" s="1137"/>
      <c r="AC124" s="1137"/>
    </row>
    <row r="125" spans="2:29" x14ac:dyDescent="0.2">
      <c r="E125" s="1170"/>
      <c r="F125" s="1169"/>
      <c r="G125" s="1169"/>
      <c r="H125" s="1169"/>
      <c r="I125" s="1169"/>
      <c r="J125" s="1169"/>
      <c r="K125" s="1169"/>
      <c r="L125" s="1171"/>
      <c r="M125" s="1170"/>
      <c r="N125" s="1169"/>
      <c r="O125" s="1169"/>
      <c r="P125" s="1169"/>
      <c r="Q125" s="1169"/>
      <c r="R125" s="1169"/>
      <c r="S125" s="1169"/>
      <c r="T125" s="1171"/>
      <c r="U125" s="1169"/>
      <c r="AB125" s="1137"/>
      <c r="AC125" s="1137"/>
    </row>
    <row r="126" spans="2:29" x14ac:dyDescent="0.2">
      <c r="E126" s="1170"/>
      <c r="F126" s="1169"/>
      <c r="G126" s="1169"/>
      <c r="H126" s="1169"/>
      <c r="I126" s="1169"/>
      <c r="J126" s="1169"/>
      <c r="K126" s="1169"/>
      <c r="L126" s="1171"/>
      <c r="M126" s="1170"/>
      <c r="N126" s="1169"/>
      <c r="O126" s="1169"/>
      <c r="P126" s="1169"/>
      <c r="Q126" s="1169"/>
      <c r="R126" s="1169"/>
      <c r="S126" s="1169"/>
      <c r="T126" s="1171"/>
      <c r="U126" s="1169"/>
      <c r="AB126" s="1137"/>
      <c r="AC126" s="1137"/>
    </row>
    <row r="127" spans="2:29" ht="12.75" customHeight="1" x14ac:dyDescent="0.2">
      <c r="E127" s="1170"/>
      <c r="F127" s="1169"/>
      <c r="G127" s="1169"/>
      <c r="H127" s="1169"/>
      <c r="I127" s="1169"/>
      <c r="J127" s="1169"/>
      <c r="L127" s="1171"/>
      <c r="M127" s="1170"/>
      <c r="N127" s="1169"/>
      <c r="O127" s="1169"/>
      <c r="P127" s="1169"/>
      <c r="Q127" s="1169"/>
      <c r="R127" s="1169"/>
      <c r="T127" s="1171"/>
      <c r="U127" s="1169"/>
      <c r="AB127" s="1137"/>
      <c r="AC127" s="1137"/>
    </row>
    <row r="128" spans="2:29" ht="13.7" customHeight="1" x14ac:dyDescent="0.2">
      <c r="E128" s="1170"/>
      <c r="F128" s="1169"/>
      <c r="G128" s="1169"/>
      <c r="H128" s="1169"/>
      <c r="I128" s="1169"/>
      <c r="J128" s="1169"/>
      <c r="K128" s="1169"/>
      <c r="L128" s="1171"/>
      <c r="M128" s="1170"/>
      <c r="N128" s="1169"/>
      <c r="O128" s="1169"/>
      <c r="P128" s="1169"/>
      <c r="Q128" s="1169"/>
      <c r="R128" s="1169"/>
      <c r="S128" s="1169"/>
      <c r="T128" s="1171"/>
      <c r="U128" s="1169"/>
      <c r="AB128" s="1137"/>
      <c r="AC128" s="1137"/>
    </row>
    <row r="129" spans="2:29" x14ac:dyDescent="0.2">
      <c r="E129" s="1170"/>
      <c r="F129" s="1169"/>
      <c r="G129" s="1169"/>
      <c r="H129" s="1169"/>
      <c r="I129" s="1169"/>
      <c r="J129" s="1169"/>
      <c r="K129" s="1169"/>
      <c r="L129" s="1171"/>
      <c r="M129" s="1170"/>
      <c r="N129" s="1169"/>
      <c r="O129" s="1169"/>
      <c r="P129" s="1169"/>
      <c r="Q129" s="1169"/>
      <c r="R129" s="1169"/>
      <c r="S129" s="1169"/>
      <c r="T129" s="1171"/>
      <c r="U129" s="1169"/>
      <c r="AB129" s="1137"/>
      <c r="AC129" s="1137"/>
    </row>
    <row r="130" spans="2:29" x14ac:dyDescent="0.2">
      <c r="E130" s="1170"/>
      <c r="F130" s="1169"/>
      <c r="G130" s="1169"/>
      <c r="H130" s="1169"/>
      <c r="I130" s="1169"/>
      <c r="J130" s="1169"/>
      <c r="K130" s="1169"/>
      <c r="L130" s="1171"/>
      <c r="M130" s="1170"/>
      <c r="N130" s="1169"/>
      <c r="O130" s="1169"/>
      <c r="P130" s="1169"/>
      <c r="Q130" s="1169"/>
      <c r="R130" s="1169"/>
      <c r="S130" s="1169"/>
      <c r="T130" s="1171"/>
      <c r="U130" s="1169"/>
      <c r="AB130" s="1137"/>
      <c r="AC130" s="1137"/>
    </row>
    <row r="131" spans="2:29" x14ac:dyDescent="0.2">
      <c r="E131" s="1170"/>
      <c r="F131" s="1169"/>
      <c r="G131" s="1169"/>
      <c r="H131" s="1169"/>
      <c r="I131" s="1169"/>
      <c r="J131" s="1169"/>
      <c r="K131" s="1169"/>
      <c r="L131" s="1171"/>
      <c r="M131" s="1170"/>
      <c r="N131" s="1169"/>
      <c r="O131" s="1169"/>
      <c r="P131" s="1169"/>
      <c r="Q131" s="1169"/>
      <c r="R131" s="1169"/>
      <c r="S131" s="1169"/>
      <c r="T131" s="1171"/>
      <c r="U131" s="1169"/>
      <c r="AB131" s="1137"/>
      <c r="AC131" s="1137"/>
    </row>
    <row r="132" spans="2:29" ht="12.75" customHeight="1" x14ac:dyDescent="0.2">
      <c r="E132" s="1170"/>
      <c r="F132" s="1169"/>
      <c r="G132" s="1169"/>
      <c r="H132" s="1169"/>
      <c r="I132" s="1169"/>
      <c r="J132" s="1169"/>
      <c r="K132" s="1169"/>
      <c r="L132" s="1171"/>
      <c r="M132" s="1170"/>
      <c r="N132" s="1169"/>
      <c r="O132" s="1169"/>
      <c r="P132" s="1169"/>
      <c r="Q132" s="1169"/>
      <c r="R132" s="1169"/>
      <c r="S132" s="1169"/>
      <c r="T132" s="1171"/>
      <c r="U132" s="1169"/>
      <c r="AB132" s="1137"/>
      <c r="AC132" s="1137"/>
    </row>
    <row r="133" spans="2:29" ht="12.75" customHeight="1" x14ac:dyDescent="0.2">
      <c r="E133" s="1170"/>
      <c r="F133" s="1178"/>
      <c r="G133" s="1169"/>
      <c r="H133" s="1169"/>
      <c r="I133" s="1169"/>
      <c r="J133" s="1169"/>
      <c r="K133" s="1169"/>
      <c r="L133" s="1171"/>
      <c r="M133" s="1170"/>
      <c r="N133" s="1178"/>
      <c r="O133" s="1169"/>
      <c r="P133" s="1169"/>
      <c r="Q133" s="1169"/>
      <c r="R133" s="1169"/>
      <c r="S133" s="1169"/>
      <c r="T133" s="1171"/>
      <c r="U133" s="1169"/>
      <c r="AB133" s="1137"/>
      <c r="AC133" s="1137"/>
    </row>
    <row r="134" spans="2:29" ht="14.25" x14ac:dyDescent="0.2">
      <c r="E134" s="1170"/>
      <c r="F134" s="1179"/>
      <c r="G134" s="1169"/>
      <c r="H134" s="1169"/>
      <c r="I134" s="1169"/>
      <c r="J134" s="1169"/>
      <c r="K134" s="1169"/>
      <c r="L134" s="1171"/>
      <c r="M134" s="1170"/>
      <c r="N134" s="1179"/>
      <c r="O134" s="1169"/>
      <c r="P134" s="1169"/>
      <c r="Q134" s="1169"/>
      <c r="R134" s="1169"/>
      <c r="S134" s="1169"/>
      <c r="T134" s="1171"/>
      <c r="U134" s="1169"/>
      <c r="AB134" s="1137"/>
      <c r="AC134" s="1137"/>
    </row>
    <row r="135" spans="2:29" x14ac:dyDescent="0.2">
      <c r="E135" s="1170"/>
      <c r="F135" s="1176"/>
      <c r="G135" s="1169"/>
      <c r="H135" s="1169"/>
      <c r="I135" s="1169"/>
      <c r="J135" s="1169"/>
      <c r="K135" s="1169"/>
      <c r="L135" s="1171"/>
      <c r="M135" s="1170"/>
      <c r="N135" s="1176"/>
      <c r="O135" s="1169"/>
      <c r="P135" s="1169"/>
      <c r="Q135" s="1169"/>
      <c r="R135" s="1169"/>
      <c r="S135" s="1169"/>
      <c r="T135" s="1171"/>
      <c r="U135" s="1169"/>
      <c r="Y135" s="1158">
        <f>G115+O115</f>
        <v>0</v>
      </c>
      <c r="Z135" s="1159">
        <f>O114+G114</f>
        <v>0</v>
      </c>
      <c r="AA135" s="1180">
        <f>(IF(G115&lt;0.2,G114,0))+(IF(O115&lt;0.2,O114,0))</f>
        <v>0</v>
      </c>
      <c r="AB135" s="1158">
        <f>G116+O116</f>
        <v>0</v>
      </c>
      <c r="AC135" s="1137"/>
    </row>
    <row r="136" spans="2:29" ht="13.5" thickBot="1" x14ac:dyDescent="0.25">
      <c r="E136" s="1181"/>
      <c r="F136" s="1182"/>
      <c r="G136" s="1182"/>
      <c r="H136" s="1182"/>
      <c r="I136" s="1182"/>
      <c r="J136" s="1182"/>
      <c r="K136" s="1182"/>
      <c r="L136" s="1183"/>
      <c r="M136" s="1181"/>
      <c r="N136" s="1182"/>
      <c r="O136" s="1182"/>
      <c r="P136" s="1182"/>
      <c r="Q136" s="1182"/>
      <c r="R136" s="1182"/>
      <c r="S136" s="1182"/>
      <c r="T136" s="1183"/>
      <c r="U136" s="1169"/>
      <c r="AB136" s="1137"/>
      <c r="AC136" s="1137"/>
    </row>
    <row r="137" spans="2:29" ht="26.25" x14ac:dyDescent="0.2">
      <c r="E137" s="1167">
        <f>M112+1</f>
        <v>7</v>
      </c>
      <c r="F137" s="3454" t="s">
        <v>28178</v>
      </c>
      <c r="G137" s="3455"/>
      <c r="H137" s="3466" t="s">
        <v>29912</v>
      </c>
      <c r="I137" s="3466"/>
      <c r="J137" s="3466"/>
      <c r="K137" s="3467"/>
      <c r="L137" s="1168">
        <f>IF(G140&gt;0.2,G140,0)</f>
        <v>0</v>
      </c>
      <c r="M137" s="1167">
        <f>E137+1</f>
        <v>8</v>
      </c>
      <c r="N137" s="3454" t="s">
        <v>28178</v>
      </c>
      <c r="O137" s="3455"/>
      <c r="P137" s="3466" t="s">
        <v>29913</v>
      </c>
      <c r="Q137" s="3466"/>
      <c r="R137" s="3466"/>
      <c r="S137" s="3467"/>
      <c r="T137" s="1168">
        <f>IF(O140&gt;0.2,O140,0)</f>
        <v>0</v>
      </c>
      <c r="U137" s="1169"/>
      <c r="AB137" s="1137"/>
      <c r="AC137" s="1137"/>
    </row>
    <row r="138" spans="2:29" x14ac:dyDescent="0.2">
      <c r="B138" s="1954" t="s">
        <v>29900</v>
      </c>
      <c r="C138" s="1955">
        <v>40</v>
      </c>
      <c r="E138" s="1170"/>
      <c r="F138" s="1169"/>
      <c r="G138" s="1169"/>
      <c r="H138" s="1169"/>
      <c r="I138" s="1169"/>
      <c r="J138" s="1169"/>
      <c r="K138" s="1169"/>
      <c r="L138" s="1171"/>
      <c r="M138" s="1170"/>
      <c r="N138" s="1169"/>
      <c r="O138" s="1169"/>
      <c r="P138" s="1169"/>
      <c r="Q138" s="1169"/>
      <c r="R138" s="1169"/>
      <c r="S138" s="1169"/>
      <c r="T138" s="1171"/>
      <c r="U138" s="1169"/>
      <c r="V138" s="1954" t="s">
        <v>29900</v>
      </c>
      <c r="W138" s="1955">
        <v>108</v>
      </c>
      <c r="AB138" s="1137"/>
      <c r="AC138" s="1137"/>
    </row>
    <row r="139" spans="2:29" ht="15.75" x14ac:dyDescent="0.2">
      <c r="B139" s="1954" t="s">
        <v>29901</v>
      </c>
      <c r="C139" s="1955">
        <v>130</v>
      </c>
      <c r="E139" s="1170"/>
      <c r="F139" s="1172" t="s">
        <v>27904</v>
      </c>
      <c r="G139" s="1173">
        <f>IF(J18="ja",Liste!D39,0)</f>
        <v>0</v>
      </c>
      <c r="H139" s="1169" t="s">
        <v>28179</v>
      </c>
      <c r="I139" s="1169"/>
      <c r="J139" s="1169"/>
      <c r="K139" s="1169"/>
      <c r="L139" s="1171"/>
      <c r="M139" s="1170"/>
      <c r="N139" s="1172" t="s">
        <v>27904</v>
      </c>
      <c r="O139" s="1173">
        <f>IF(J18="ja",Liste!D39,0)</f>
        <v>0</v>
      </c>
      <c r="P139" s="1169" t="s">
        <v>28179</v>
      </c>
      <c r="Q139" s="1169"/>
      <c r="R139" s="1169"/>
      <c r="S139" s="1169"/>
      <c r="T139" s="1171"/>
      <c r="U139" s="1169"/>
      <c r="V139" s="1954" t="s">
        <v>29901</v>
      </c>
      <c r="W139" s="1955">
        <v>130</v>
      </c>
      <c r="AB139" s="1137"/>
      <c r="AC139" s="1137"/>
    </row>
    <row r="140" spans="2:29" ht="15.75" x14ac:dyDescent="0.2">
      <c r="B140" s="1954" t="s">
        <v>31205</v>
      </c>
      <c r="C140" s="1956">
        <f>C138*C139/1000/1000</f>
        <v>5.1999999999999998E-3</v>
      </c>
      <c r="E140" s="1170"/>
      <c r="F140" s="1172" t="s">
        <v>28180</v>
      </c>
      <c r="G140" s="1173">
        <f>IF(G139&gt;0,G139*C140*C141,0)</f>
        <v>0</v>
      </c>
      <c r="H140" s="1169" t="s">
        <v>28181</v>
      </c>
      <c r="K140" s="1172" t="str">
        <f>IF(G140&lt;&gt;0,IF(G140&lt;0.2,"Kleinteil, Gerundete Fläche:",""),"")</f>
        <v/>
      </c>
      <c r="L140" s="1174">
        <f>IF(K140&lt;&gt;"",0.2,0)</f>
        <v>0</v>
      </c>
      <c r="M140" s="1170"/>
      <c r="N140" s="1172" t="s">
        <v>28180</v>
      </c>
      <c r="O140" s="1173">
        <f>IF(O139&gt;0,O139*W140*W141,0)</f>
        <v>0</v>
      </c>
      <c r="P140" s="1169" t="s">
        <v>28181</v>
      </c>
      <c r="S140" s="1172" t="str">
        <f>IF(O140&lt;&gt;0,IF(O140&lt;0.2,"Kleinteil, Gerundete Fläche:",""),"")</f>
        <v/>
      </c>
      <c r="T140" s="1175">
        <f>IF(S140&lt;&gt;"",0.2,0)</f>
        <v>0</v>
      </c>
      <c r="U140" s="1169"/>
      <c r="V140" s="1954" t="s">
        <v>31205</v>
      </c>
      <c r="W140" s="1956">
        <f>W138*W139/1000/1000</f>
        <v>1.4039999999999999E-2</v>
      </c>
      <c r="AB140" s="1137"/>
      <c r="AC140" s="1137"/>
    </row>
    <row r="141" spans="2:29" ht="15.75" x14ac:dyDescent="0.2">
      <c r="B141" s="1954" t="s">
        <v>29902</v>
      </c>
      <c r="C141" s="1957">
        <v>2</v>
      </c>
      <c r="E141" s="1170"/>
      <c r="F141" s="1172" t="s">
        <v>28182</v>
      </c>
      <c r="G141" s="1173">
        <f>IF(G139&gt;0,G139*C140*C142,0)</f>
        <v>0</v>
      </c>
      <c r="H141" s="1169" t="s">
        <v>28181</v>
      </c>
      <c r="I141" s="1186" t="s">
        <v>28185</v>
      </c>
      <c r="J141" s="1169"/>
      <c r="K141" s="1169"/>
      <c r="L141" s="1171"/>
      <c r="M141" s="1170"/>
      <c r="N141" s="1172" t="s">
        <v>28182</v>
      </c>
      <c r="O141" s="1173">
        <f>IF(O139&gt;0,O139*W140*W142,0)</f>
        <v>0</v>
      </c>
      <c r="P141" s="1169" t="s">
        <v>28181</v>
      </c>
      <c r="Q141" s="1186" t="s">
        <v>28185</v>
      </c>
      <c r="R141" s="1169"/>
      <c r="S141" s="1169"/>
      <c r="T141" s="1171"/>
      <c r="U141" s="1169"/>
      <c r="V141" s="1954" t="s">
        <v>29902</v>
      </c>
      <c r="W141" s="1957">
        <v>2</v>
      </c>
      <c r="AB141" s="1137"/>
      <c r="AC141" s="1137"/>
    </row>
    <row r="142" spans="2:29" ht="14.25" x14ac:dyDescent="0.2">
      <c r="B142" s="1954" t="s">
        <v>29903</v>
      </c>
      <c r="C142" s="1957">
        <v>0</v>
      </c>
      <c r="E142" s="1170"/>
      <c r="F142" s="1176"/>
      <c r="G142" s="1169"/>
      <c r="H142" s="1169"/>
      <c r="I142" s="1169"/>
      <c r="J142" s="1169"/>
      <c r="K142" s="1169"/>
      <c r="L142" s="1171"/>
      <c r="M142" s="1170"/>
      <c r="N142" s="1176"/>
      <c r="O142" s="1169"/>
      <c r="P142" s="1169"/>
      <c r="Q142" s="1169"/>
      <c r="R142" s="1169"/>
      <c r="S142" s="1169"/>
      <c r="T142" s="1171"/>
      <c r="U142" s="1169"/>
      <c r="V142" s="1954" t="s">
        <v>29903</v>
      </c>
      <c r="W142" s="1957">
        <v>0</v>
      </c>
      <c r="AB142" s="1137"/>
      <c r="AC142" s="1137"/>
    </row>
    <row r="143" spans="2:29" x14ac:dyDescent="0.2">
      <c r="E143" s="1170"/>
      <c r="F143" s="1169"/>
      <c r="G143" s="1169"/>
      <c r="H143" s="1169"/>
      <c r="I143" s="1169"/>
      <c r="J143" s="1169"/>
      <c r="K143" s="1169"/>
      <c r="L143" s="1171"/>
      <c r="M143" s="1170"/>
      <c r="N143" s="1169"/>
      <c r="O143" s="1169"/>
      <c r="P143" s="1169"/>
      <c r="Q143" s="1169"/>
      <c r="R143" s="1169"/>
      <c r="S143" s="1169"/>
      <c r="T143" s="1171"/>
      <c r="U143" s="1169"/>
      <c r="AB143" s="1137"/>
      <c r="AC143" s="1137"/>
    </row>
    <row r="144" spans="2:29" ht="16.5" x14ac:dyDescent="0.2">
      <c r="E144" s="1170"/>
      <c r="F144" s="1177" t="s">
        <v>28183</v>
      </c>
      <c r="G144" s="1169"/>
      <c r="H144" s="1169"/>
      <c r="I144" s="1169"/>
      <c r="J144" s="1169"/>
      <c r="K144" s="1169"/>
      <c r="L144" s="1171"/>
      <c r="M144" s="1170"/>
      <c r="N144" s="1177" t="s">
        <v>28183</v>
      </c>
      <c r="O144" s="1169"/>
      <c r="P144" s="1169"/>
      <c r="Q144" s="1169"/>
      <c r="R144" s="1169"/>
      <c r="S144" s="1169"/>
      <c r="T144" s="1171"/>
      <c r="U144" s="1169"/>
      <c r="AB144" s="1137"/>
      <c r="AC144" s="1137"/>
    </row>
    <row r="145" spans="5:29" x14ac:dyDescent="0.2">
      <c r="E145" s="1170"/>
      <c r="F145" s="1169"/>
      <c r="G145" s="1169"/>
      <c r="H145" s="1169"/>
      <c r="I145" s="1169"/>
      <c r="J145" s="1169"/>
      <c r="K145" s="1169"/>
      <c r="L145" s="1171"/>
      <c r="M145" s="1170"/>
      <c r="N145" s="1169"/>
      <c r="O145" s="1169"/>
      <c r="P145" s="1169"/>
      <c r="Q145" s="1169"/>
      <c r="R145" s="1169"/>
      <c r="S145" s="1169"/>
      <c r="T145" s="1171"/>
      <c r="U145" s="1169"/>
      <c r="AB145" s="1137"/>
      <c r="AC145" s="1137"/>
    </row>
    <row r="146" spans="5:29" x14ac:dyDescent="0.2">
      <c r="E146" s="1170"/>
      <c r="F146" s="1169"/>
      <c r="G146" s="1169"/>
      <c r="H146" s="1169"/>
      <c r="I146" s="1169"/>
      <c r="J146" s="1169"/>
      <c r="K146" s="1169"/>
      <c r="L146" s="1171"/>
      <c r="M146" s="1170"/>
      <c r="N146" s="1169"/>
      <c r="O146" s="1169"/>
      <c r="P146" s="1169"/>
      <c r="Q146" s="1169"/>
      <c r="R146" s="1169"/>
      <c r="S146" s="1169"/>
      <c r="T146" s="1171"/>
      <c r="U146" s="1169"/>
      <c r="AB146" s="1137"/>
      <c r="AC146" s="1137"/>
    </row>
    <row r="147" spans="5:29" x14ac:dyDescent="0.2">
      <c r="E147" s="1170"/>
      <c r="F147" s="1169"/>
      <c r="G147" s="1169"/>
      <c r="H147" s="1169"/>
      <c r="I147" s="1169"/>
      <c r="J147" s="1169"/>
      <c r="K147" s="1169"/>
      <c r="L147" s="1171"/>
      <c r="M147" s="1170"/>
      <c r="N147" s="1169"/>
      <c r="O147" s="1169"/>
      <c r="P147" s="1169"/>
      <c r="Q147" s="1169"/>
      <c r="R147" s="1169" t="s">
        <v>29916</v>
      </c>
      <c r="S147" s="1169"/>
      <c r="T147" s="1171"/>
      <c r="U147" s="1169"/>
      <c r="AB147" s="1137"/>
      <c r="AC147" s="1137"/>
    </row>
    <row r="148" spans="5:29" x14ac:dyDescent="0.2">
      <c r="E148" s="1170"/>
      <c r="F148" s="1169"/>
      <c r="G148" s="1169"/>
      <c r="H148" s="1169"/>
      <c r="I148" s="1169"/>
      <c r="J148" s="1169"/>
      <c r="K148" s="1169"/>
      <c r="L148" s="1171"/>
      <c r="M148" s="1170"/>
      <c r="N148" s="1169"/>
      <c r="O148" s="1169"/>
      <c r="P148" s="1169"/>
      <c r="Q148" s="1169"/>
      <c r="R148" s="1169"/>
      <c r="S148" s="1169"/>
      <c r="T148" s="1171"/>
      <c r="U148" s="1169"/>
      <c r="AB148" s="1137"/>
      <c r="AC148" s="1137"/>
    </row>
    <row r="149" spans="5:29" x14ac:dyDescent="0.2">
      <c r="E149" s="1170"/>
      <c r="F149" s="1169"/>
      <c r="G149" s="1169"/>
      <c r="I149" s="1169"/>
      <c r="J149" s="1169"/>
      <c r="K149" s="1169"/>
      <c r="L149" s="1171"/>
      <c r="M149" s="1170"/>
      <c r="N149" s="1169"/>
      <c r="O149" s="1169"/>
      <c r="Q149" s="1169"/>
      <c r="R149" s="1169"/>
      <c r="S149" s="1169"/>
      <c r="T149" s="1171"/>
      <c r="U149" s="1169"/>
      <c r="AB149" s="1137"/>
      <c r="AC149" s="1137"/>
    </row>
    <row r="150" spans="5:29" x14ac:dyDescent="0.2">
      <c r="E150" s="1170"/>
      <c r="F150" s="1169"/>
      <c r="G150" s="1169"/>
      <c r="H150" s="1169"/>
      <c r="I150" s="1169"/>
      <c r="J150" s="1169"/>
      <c r="K150" s="1169"/>
      <c r="L150" s="1171"/>
      <c r="M150" s="1170"/>
      <c r="N150" s="1169"/>
      <c r="O150" s="1169"/>
      <c r="P150" s="1169"/>
      <c r="Q150" s="1169"/>
      <c r="R150" s="1169"/>
      <c r="S150" s="1169"/>
      <c r="T150" s="1171"/>
      <c r="U150" s="1169"/>
      <c r="AB150" s="1137"/>
      <c r="AC150" s="1137"/>
    </row>
    <row r="151" spans="5:29" x14ac:dyDescent="0.2">
      <c r="E151" s="1170"/>
      <c r="F151" s="1169"/>
      <c r="G151" s="1169"/>
      <c r="H151" s="1169"/>
      <c r="I151" s="1169"/>
      <c r="J151" s="1169"/>
      <c r="K151" s="1169"/>
      <c r="L151" s="1171"/>
      <c r="M151" s="1170"/>
      <c r="N151" s="1169"/>
      <c r="O151" s="1169"/>
      <c r="P151" s="1169"/>
      <c r="Q151" s="1169"/>
      <c r="R151" s="1169"/>
      <c r="S151" s="1169"/>
      <c r="T151" s="1171"/>
      <c r="U151" s="1169"/>
      <c r="AB151" s="1137"/>
      <c r="AC151" s="1137"/>
    </row>
    <row r="152" spans="5:29" x14ac:dyDescent="0.2">
      <c r="E152" s="1170"/>
      <c r="F152" s="1169"/>
      <c r="G152" s="1169"/>
      <c r="H152" s="1169"/>
      <c r="I152" s="1169"/>
      <c r="J152" s="1169"/>
      <c r="L152" s="1171"/>
      <c r="M152" s="1170"/>
      <c r="N152" s="1169"/>
      <c r="O152" s="1169"/>
      <c r="P152" s="1169"/>
      <c r="Q152" s="1169"/>
      <c r="R152" s="1169"/>
      <c r="T152" s="1171"/>
      <c r="U152" s="1169"/>
      <c r="AB152" s="1137"/>
      <c r="AC152" s="1137"/>
    </row>
    <row r="153" spans="5:29" x14ac:dyDescent="0.2">
      <c r="E153" s="1170"/>
      <c r="F153" s="1169"/>
      <c r="G153" s="1169"/>
      <c r="H153" s="1169"/>
      <c r="I153" s="1169"/>
      <c r="J153" s="1169"/>
      <c r="K153" s="1169"/>
      <c r="L153" s="1171"/>
      <c r="M153" s="1170"/>
      <c r="N153" s="1169"/>
      <c r="O153" s="1169"/>
      <c r="P153" s="1169"/>
      <c r="Q153" s="1169"/>
      <c r="R153" s="1169"/>
      <c r="S153" s="1169"/>
      <c r="T153" s="1171"/>
      <c r="U153" s="1169"/>
      <c r="AB153" s="1137"/>
      <c r="AC153" s="1137"/>
    </row>
    <row r="154" spans="5:29" x14ac:dyDescent="0.2">
      <c r="E154" s="1170"/>
      <c r="F154" s="1169"/>
      <c r="G154" s="1169"/>
      <c r="H154" s="1169"/>
      <c r="I154" s="1169"/>
      <c r="J154" s="1169"/>
      <c r="K154" s="1169"/>
      <c r="L154" s="1171"/>
      <c r="M154" s="1170"/>
      <c r="N154" s="1169"/>
      <c r="O154" s="1169"/>
      <c r="P154" s="1169"/>
      <c r="Q154" s="1169"/>
      <c r="R154" s="1169"/>
      <c r="S154" s="1169"/>
      <c r="T154" s="1171"/>
      <c r="U154" s="1169"/>
      <c r="AB154" s="1137"/>
      <c r="AC154" s="1137"/>
    </row>
    <row r="155" spans="5:29" x14ac:dyDescent="0.2">
      <c r="E155" s="1170"/>
      <c r="F155" s="1169"/>
      <c r="G155" s="1169"/>
      <c r="H155" s="1169"/>
      <c r="I155" s="1169"/>
      <c r="J155" s="1169"/>
      <c r="K155" s="1169"/>
      <c r="L155" s="1171"/>
      <c r="M155" s="1170"/>
      <c r="N155" s="1169"/>
      <c r="O155" s="1169"/>
      <c r="P155" s="1169"/>
      <c r="Q155" s="1169"/>
      <c r="R155" s="1169"/>
      <c r="S155" s="1169"/>
      <c r="T155" s="1171"/>
      <c r="U155" s="1169"/>
      <c r="AB155" s="1137"/>
      <c r="AC155" s="1137"/>
    </row>
    <row r="156" spans="5:29" x14ac:dyDescent="0.2">
      <c r="E156" s="1170"/>
      <c r="F156" s="1169"/>
      <c r="G156" s="1169"/>
      <c r="H156" s="1169"/>
      <c r="I156" s="1169"/>
      <c r="J156" s="1169"/>
      <c r="K156" s="1169"/>
      <c r="L156" s="1171"/>
      <c r="M156" s="1170"/>
      <c r="N156" s="1169"/>
      <c r="O156" s="1169"/>
      <c r="P156" s="1169"/>
      <c r="Q156" s="1169"/>
      <c r="R156" s="1169"/>
      <c r="S156" s="1169"/>
      <c r="T156" s="1171"/>
      <c r="U156" s="1169"/>
      <c r="AB156" s="1137"/>
      <c r="AC156" s="1137"/>
    </row>
    <row r="157" spans="5:29" x14ac:dyDescent="0.2">
      <c r="E157" s="1170"/>
      <c r="F157" s="1169"/>
      <c r="G157" s="1169"/>
      <c r="H157" s="1169"/>
      <c r="I157" s="1169"/>
      <c r="J157" s="1169"/>
      <c r="K157" s="1169"/>
      <c r="L157" s="1171"/>
      <c r="M157" s="1170"/>
      <c r="N157" s="1169"/>
      <c r="O157" s="1169"/>
      <c r="P157" s="1169"/>
      <c r="Q157" s="1169"/>
      <c r="R157" s="1169"/>
      <c r="S157" s="1169"/>
      <c r="T157" s="1171"/>
      <c r="U157" s="1169"/>
      <c r="AB157" s="1137"/>
      <c r="AC157" s="1137"/>
    </row>
    <row r="158" spans="5:29" x14ac:dyDescent="0.2">
      <c r="E158" s="1170"/>
      <c r="F158" s="1178"/>
      <c r="G158" s="1169"/>
      <c r="H158" s="1169"/>
      <c r="I158" s="1169"/>
      <c r="J158" s="1169"/>
      <c r="K158" s="1169"/>
      <c r="L158" s="1171"/>
      <c r="M158" s="1170"/>
      <c r="N158" s="1178"/>
      <c r="O158" s="1169"/>
      <c r="P158" s="1169"/>
      <c r="Q158" s="1169"/>
      <c r="R158" s="1169"/>
      <c r="S158" s="1169"/>
      <c r="T158" s="1171"/>
      <c r="U158" s="1169"/>
      <c r="AB158" s="1137"/>
      <c r="AC158" s="1137"/>
    </row>
    <row r="159" spans="5:29" ht="14.25" x14ac:dyDescent="0.2">
      <c r="E159" s="1170"/>
      <c r="F159" s="1179"/>
      <c r="G159" s="1169"/>
      <c r="H159" s="1169"/>
      <c r="I159" s="1169"/>
      <c r="J159" s="1169"/>
      <c r="K159" s="1169"/>
      <c r="L159" s="1171"/>
      <c r="M159" s="1170"/>
      <c r="N159" s="1179"/>
      <c r="O159" s="1169"/>
      <c r="P159" s="1169"/>
      <c r="Q159" s="1169"/>
      <c r="R159" s="1169"/>
      <c r="S159" s="1169"/>
      <c r="T159" s="1171"/>
      <c r="U159" s="1169"/>
      <c r="AB159" s="1137"/>
      <c r="AC159" s="1137"/>
    </row>
    <row r="160" spans="5:29" x14ac:dyDescent="0.2">
      <c r="E160" s="1170"/>
      <c r="F160" s="1176"/>
      <c r="G160" s="1169"/>
      <c r="H160" s="1169"/>
      <c r="I160" s="1169"/>
      <c r="J160" s="1169"/>
      <c r="K160" s="1169"/>
      <c r="L160" s="1171"/>
      <c r="M160" s="1170"/>
      <c r="N160" s="1176"/>
      <c r="O160" s="1169"/>
      <c r="P160" s="1169"/>
      <c r="Q160" s="1169"/>
      <c r="R160" s="1169"/>
      <c r="S160" s="1169"/>
      <c r="T160" s="1171"/>
      <c r="U160" s="1169"/>
      <c r="Y160" s="1158">
        <f>G140+O140</f>
        <v>0</v>
      </c>
      <c r="Z160" s="1159">
        <f>O139+G139</f>
        <v>0</v>
      </c>
      <c r="AA160" s="1180">
        <f>(IF(G140&lt;0.2,G139,0))+(IF(O140&lt;0.2,O139,0))</f>
        <v>0</v>
      </c>
      <c r="AB160" s="1158">
        <f>G141+O141</f>
        <v>0</v>
      </c>
      <c r="AC160" s="1137"/>
    </row>
    <row r="161" spans="2:33" ht="13.5" thickBot="1" x14ac:dyDescent="0.25">
      <c r="E161" s="1181"/>
      <c r="F161" s="1182"/>
      <c r="G161" s="1182"/>
      <c r="H161" s="1182"/>
      <c r="I161" s="1182"/>
      <c r="J161" s="1182"/>
      <c r="K161" s="1182"/>
      <c r="L161" s="1183"/>
      <c r="M161" s="1181"/>
      <c r="N161" s="1182"/>
      <c r="O161" s="1182"/>
      <c r="P161" s="1182"/>
      <c r="Q161" s="1182"/>
      <c r="R161" s="1182"/>
      <c r="S161" s="1182"/>
      <c r="T161" s="1183"/>
      <c r="U161" s="1169"/>
      <c r="AB161" s="1137"/>
      <c r="AC161" s="1137"/>
    </row>
    <row r="162" spans="2:33" ht="26.25" x14ac:dyDescent="0.2">
      <c r="E162" s="1167">
        <f>M137+1</f>
        <v>9</v>
      </c>
      <c r="F162" s="3454" t="s">
        <v>28178</v>
      </c>
      <c r="G162" s="3455"/>
      <c r="H162" s="3466" t="s">
        <v>29914</v>
      </c>
      <c r="I162" s="3466"/>
      <c r="J162" s="3466"/>
      <c r="K162" s="3467"/>
      <c r="L162" s="1168">
        <f>IF(G165&gt;0.2,G165,0)</f>
        <v>0</v>
      </c>
      <c r="M162" s="1167">
        <f>E162+1</f>
        <v>10</v>
      </c>
      <c r="N162" s="3454" t="s">
        <v>28178</v>
      </c>
      <c r="O162" s="3455"/>
      <c r="P162" s="3466" t="s">
        <v>29915</v>
      </c>
      <c r="Q162" s="3466"/>
      <c r="R162" s="3466"/>
      <c r="S162" s="3467"/>
      <c r="T162" s="1168">
        <f>IF(O165&gt;0.2,O165,0)</f>
        <v>0</v>
      </c>
      <c r="U162" s="1169"/>
      <c r="AB162" s="1137"/>
      <c r="AC162" s="1137"/>
      <c r="AG162" s="1153"/>
    </row>
    <row r="163" spans="2:33" x14ac:dyDescent="0.2">
      <c r="B163" s="1954" t="s">
        <v>29900</v>
      </c>
      <c r="C163" s="1955">
        <v>95</v>
      </c>
      <c r="E163" s="1170"/>
      <c r="F163" s="1169"/>
      <c r="G163" s="1169"/>
      <c r="H163" s="1169"/>
      <c r="I163" s="1169"/>
      <c r="J163" s="1169"/>
      <c r="K163" s="1169"/>
      <c r="L163" s="1171"/>
      <c r="M163" s="1170"/>
      <c r="N163" s="1169"/>
      <c r="O163" s="1169"/>
      <c r="P163" s="1169"/>
      <c r="Q163" s="1169"/>
      <c r="R163" s="1169"/>
      <c r="S163" s="1169"/>
      <c r="T163" s="1171"/>
      <c r="U163" s="1169"/>
      <c r="V163" s="1954" t="s">
        <v>29900</v>
      </c>
      <c r="W163" s="1955">
        <v>138</v>
      </c>
      <c r="AB163" s="1137"/>
      <c r="AC163" s="1137"/>
      <c r="AG163" s="1153"/>
    </row>
    <row r="164" spans="2:33" ht="15.75" x14ac:dyDescent="0.2">
      <c r="B164" s="1954" t="s">
        <v>29901</v>
      </c>
      <c r="C164" s="1955">
        <v>130</v>
      </c>
      <c r="E164" s="1170"/>
      <c r="F164" s="1172" t="s">
        <v>27904</v>
      </c>
      <c r="G164" s="1173">
        <f>IF(J18="ja",Liste!D39,0)</f>
        <v>0</v>
      </c>
      <c r="H164" s="1169" t="s">
        <v>28179</v>
      </c>
      <c r="I164" s="1169"/>
      <c r="J164" s="1169"/>
      <c r="K164" s="1169"/>
      <c r="L164" s="1171"/>
      <c r="M164" s="1170"/>
      <c r="N164" s="1172" t="s">
        <v>27904</v>
      </c>
      <c r="O164" s="1173">
        <f>IF(J18="ja",Liste!D39,0)</f>
        <v>0</v>
      </c>
      <c r="P164" s="1169" t="s">
        <v>28179</v>
      </c>
      <c r="Q164" s="1169"/>
      <c r="R164" s="1169"/>
      <c r="S164" s="1169"/>
      <c r="T164" s="1171"/>
      <c r="U164" s="1169"/>
      <c r="V164" s="1954" t="s">
        <v>29901</v>
      </c>
      <c r="W164" s="1955">
        <v>130</v>
      </c>
      <c r="AB164" s="1137"/>
      <c r="AC164" s="1137"/>
      <c r="AG164" s="1153"/>
    </row>
    <row r="165" spans="2:33" ht="15.75" x14ac:dyDescent="0.2">
      <c r="B165" s="1954" t="s">
        <v>31205</v>
      </c>
      <c r="C165" s="1956">
        <f>C163*C164/1000/1000</f>
        <v>1.235E-2</v>
      </c>
      <c r="E165" s="1170"/>
      <c r="F165" s="1172" t="s">
        <v>28180</v>
      </c>
      <c r="G165" s="1173">
        <f>IF(G164&gt;0,G164*C165*C166,0)</f>
        <v>0</v>
      </c>
      <c r="H165" s="1169" t="s">
        <v>28181</v>
      </c>
      <c r="K165" s="1172" t="str">
        <f>IF(G165&lt;&gt;0,IF(G165&lt;0.2,"Kleinteil, Gerundete Fläche:",""),"")</f>
        <v/>
      </c>
      <c r="L165" s="1174">
        <f>IF(K165&lt;&gt;"",0.2,0)</f>
        <v>0</v>
      </c>
      <c r="M165" s="1170"/>
      <c r="N165" s="1172" t="s">
        <v>28180</v>
      </c>
      <c r="O165" s="1173">
        <f>IF(O164&gt;0,O164*W165*W166,0)</f>
        <v>0</v>
      </c>
      <c r="P165" s="1169" t="s">
        <v>28181</v>
      </c>
      <c r="S165" s="1172" t="str">
        <f>IF(O165&lt;&gt;0,IF(O165&lt;0.2,"Kleinteil, Gerundete Fläche:",""),"")</f>
        <v/>
      </c>
      <c r="T165" s="1175">
        <f>IF(S165&lt;&gt;"",0.2,0)</f>
        <v>0</v>
      </c>
      <c r="U165" s="1169"/>
      <c r="V165" s="1954" t="s">
        <v>31205</v>
      </c>
      <c r="W165" s="1956">
        <f>W163*W164/1000/1000</f>
        <v>1.7940000000000001E-2</v>
      </c>
      <c r="AB165" s="1137"/>
      <c r="AC165" s="1137"/>
      <c r="AG165" s="1153"/>
    </row>
    <row r="166" spans="2:33" ht="15.75" x14ac:dyDescent="0.2">
      <c r="B166" s="1954" t="s">
        <v>29902</v>
      </c>
      <c r="C166" s="1957">
        <v>2</v>
      </c>
      <c r="E166" s="1170"/>
      <c r="F166" s="1172" t="s">
        <v>28182</v>
      </c>
      <c r="G166" s="1173">
        <f>IF(G164&gt;0,G164*C165*C167,0)</f>
        <v>0</v>
      </c>
      <c r="H166" s="1169" t="s">
        <v>28181</v>
      </c>
      <c r="I166" s="1186" t="s">
        <v>28185</v>
      </c>
      <c r="J166" s="1169"/>
      <c r="K166" s="1169"/>
      <c r="L166" s="1171"/>
      <c r="M166" s="1170"/>
      <c r="N166" s="1172" t="s">
        <v>28182</v>
      </c>
      <c r="O166" s="1173">
        <f>IF(O164&gt;0,O164*W165*W167,0)</f>
        <v>0</v>
      </c>
      <c r="P166" s="1169" t="s">
        <v>28181</v>
      </c>
      <c r="Q166" s="1186" t="s">
        <v>28185</v>
      </c>
      <c r="R166" s="1169"/>
      <c r="S166" s="1169"/>
      <c r="T166" s="1171"/>
      <c r="U166" s="1169"/>
      <c r="V166" s="1954" t="s">
        <v>29902</v>
      </c>
      <c r="W166" s="1957">
        <v>2</v>
      </c>
      <c r="AB166" s="1137"/>
      <c r="AC166" s="1137"/>
      <c r="AG166" s="1153"/>
    </row>
    <row r="167" spans="2:33" ht="14.25" x14ac:dyDescent="0.2">
      <c r="B167" s="1954" t="s">
        <v>29903</v>
      </c>
      <c r="C167" s="1957">
        <v>0</v>
      </c>
      <c r="E167" s="1170"/>
      <c r="F167" s="1176"/>
      <c r="G167" s="1169"/>
      <c r="H167" s="1169"/>
      <c r="I167" s="1169"/>
      <c r="J167" s="1169"/>
      <c r="K167" s="1169"/>
      <c r="L167" s="1171"/>
      <c r="M167" s="1170"/>
      <c r="N167" s="1176"/>
      <c r="O167" s="1169"/>
      <c r="P167" s="1169"/>
      <c r="Q167" s="1169"/>
      <c r="R167" s="1169"/>
      <c r="S167" s="1169"/>
      <c r="T167" s="1171"/>
      <c r="U167" s="1169"/>
      <c r="V167" s="1954" t="s">
        <v>29903</v>
      </c>
      <c r="W167" s="1957">
        <v>0</v>
      </c>
      <c r="AG167" s="1153"/>
    </row>
    <row r="168" spans="2:33" x14ac:dyDescent="0.2">
      <c r="E168" s="1170"/>
      <c r="F168" s="1169"/>
      <c r="G168" s="1169"/>
      <c r="H168" s="1169"/>
      <c r="I168" s="1169"/>
      <c r="J168" s="1169"/>
      <c r="K168" s="1169"/>
      <c r="L168" s="1171"/>
      <c r="M168" s="1170"/>
      <c r="N168" s="1169"/>
      <c r="O168" s="1169"/>
      <c r="P168" s="1169"/>
      <c r="Q168" s="1169"/>
      <c r="R168" s="1169"/>
      <c r="S168" s="1169"/>
      <c r="T168" s="1171"/>
      <c r="U168" s="1169"/>
      <c r="AG168" s="1153"/>
    </row>
    <row r="169" spans="2:33" ht="16.5" x14ac:dyDescent="0.2">
      <c r="E169" s="1170"/>
      <c r="F169" s="1177" t="s">
        <v>28183</v>
      </c>
      <c r="G169" s="1169"/>
      <c r="H169" s="1169"/>
      <c r="I169" s="1169"/>
      <c r="J169" s="1169"/>
      <c r="K169" s="1169"/>
      <c r="L169" s="1171"/>
      <c r="M169" s="1170"/>
      <c r="N169" s="1177" t="s">
        <v>28183</v>
      </c>
      <c r="O169" s="1169"/>
      <c r="P169" s="1169"/>
      <c r="Q169" s="1169"/>
      <c r="R169" s="1169"/>
      <c r="S169" s="1169"/>
      <c r="T169" s="1171"/>
      <c r="U169" s="1169"/>
      <c r="AG169" s="1153"/>
    </row>
    <row r="170" spans="2:33" x14ac:dyDescent="0.2">
      <c r="E170" s="1170"/>
      <c r="F170" s="1169"/>
      <c r="G170" s="1169"/>
      <c r="H170" s="1169"/>
      <c r="I170" s="1169"/>
      <c r="J170" s="1169"/>
      <c r="K170" s="1169"/>
      <c r="L170" s="1171"/>
      <c r="M170" s="1170"/>
      <c r="N170" s="1169"/>
      <c r="O170" s="1169"/>
      <c r="P170" s="1169"/>
      <c r="Q170" s="1169"/>
      <c r="R170" s="1169"/>
      <c r="S170" s="1169"/>
      <c r="T170" s="1171"/>
      <c r="U170" s="1169"/>
      <c r="AG170" s="1153"/>
    </row>
    <row r="171" spans="2:33" x14ac:dyDescent="0.2">
      <c r="E171" s="1170"/>
      <c r="F171" s="1169"/>
      <c r="G171" s="1169"/>
      <c r="H171" s="1169"/>
      <c r="I171" s="1169"/>
      <c r="J171" s="1169"/>
      <c r="K171" s="1169"/>
      <c r="L171" s="1171"/>
      <c r="M171" s="1170"/>
      <c r="N171" s="1169"/>
      <c r="O171" s="1169"/>
      <c r="P171" s="1169"/>
      <c r="Q171" s="1169"/>
      <c r="R171" s="1169"/>
      <c r="S171" s="1169"/>
      <c r="T171" s="1171"/>
      <c r="U171" s="1169"/>
      <c r="AG171" s="1153"/>
    </row>
    <row r="172" spans="2:33" x14ac:dyDescent="0.2">
      <c r="E172" s="1170"/>
      <c r="F172" s="1169"/>
      <c r="G172" s="1169"/>
      <c r="H172" s="1169"/>
      <c r="I172" s="1169"/>
      <c r="J172" s="1169"/>
      <c r="K172" s="1169"/>
      <c r="L172" s="1171"/>
      <c r="M172" s="1170"/>
      <c r="N172" s="1169"/>
      <c r="O172" s="1169"/>
      <c r="P172" s="1169"/>
      <c r="Q172" s="1169"/>
      <c r="R172" s="1169"/>
      <c r="S172" s="1169"/>
      <c r="T172" s="1171"/>
      <c r="U172" s="1169"/>
      <c r="AG172" s="1153"/>
    </row>
    <row r="173" spans="2:33" x14ac:dyDescent="0.2">
      <c r="E173" s="1170"/>
      <c r="F173" s="1169"/>
      <c r="G173" s="1169"/>
      <c r="H173" s="1169"/>
      <c r="I173" s="1169"/>
      <c r="J173" s="1169"/>
      <c r="K173" s="1169"/>
      <c r="L173" s="1171"/>
      <c r="M173" s="1170"/>
      <c r="N173" s="1169"/>
      <c r="O173" s="1169"/>
      <c r="P173" s="1169"/>
      <c r="Q173" s="1169"/>
      <c r="R173" s="1169"/>
      <c r="S173" s="1169"/>
      <c r="T173" s="1171"/>
      <c r="U173" s="1169"/>
    </row>
    <row r="174" spans="2:33" x14ac:dyDescent="0.2">
      <c r="E174" s="1170"/>
      <c r="F174" s="1169"/>
      <c r="G174" s="1169"/>
      <c r="I174" s="1169"/>
      <c r="J174" s="1169"/>
      <c r="K174" s="1169"/>
      <c r="L174" s="1171"/>
      <c r="M174" s="1170"/>
      <c r="N174" s="1169"/>
      <c r="O174" s="1169"/>
      <c r="Q174" s="1169"/>
      <c r="R174" s="1169"/>
      <c r="S174" s="1169"/>
      <c r="T174" s="1171"/>
      <c r="U174" s="1169"/>
    </row>
    <row r="175" spans="2:33" x14ac:dyDescent="0.2">
      <c r="E175" s="1170"/>
      <c r="F175" s="1169"/>
      <c r="G175" s="1169"/>
      <c r="H175" s="1169"/>
      <c r="I175" s="1169"/>
      <c r="J175" s="1169"/>
      <c r="K175" s="1169"/>
      <c r="L175" s="1171"/>
      <c r="M175" s="1170"/>
      <c r="N175" s="1169"/>
      <c r="O175" s="1169"/>
      <c r="P175" s="1169"/>
      <c r="Q175" s="1169"/>
      <c r="R175" s="1169"/>
      <c r="S175" s="1169"/>
      <c r="T175" s="1171"/>
      <c r="U175" s="1169"/>
    </row>
    <row r="176" spans="2:33" x14ac:dyDescent="0.2">
      <c r="E176" s="1170"/>
      <c r="F176" s="1169"/>
      <c r="G176" s="1169"/>
      <c r="H176" s="1169"/>
      <c r="I176" s="1169"/>
      <c r="J176" s="1169"/>
      <c r="K176" s="1169"/>
      <c r="L176" s="1171"/>
      <c r="M176" s="1170"/>
      <c r="N176" s="1169"/>
      <c r="O176" s="1169"/>
      <c r="P176" s="1169"/>
      <c r="Q176" s="1169"/>
      <c r="R176" s="1169"/>
      <c r="S176" s="1169"/>
      <c r="T176" s="1171"/>
      <c r="U176" s="1169"/>
    </row>
    <row r="177" spans="2:28" x14ac:dyDescent="0.2">
      <c r="E177" s="1170"/>
      <c r="F177" s="1169"/>
      <c r="G177" s="1169"/>
      <c r="H177" s="1169"/>
      <c r="I177" s="1169"/>
      <c r="J177" s="1169"/>
      <c r="L177" s="1171"/>
      <c r="M177" s="1170"/>
      <c r="N177" s="1169"/>
      <c r="O177" s="1169"/>
      <c r="P177" s="1169"/>
      <c r="Q177" s="1169"/>
      <c r="R177" s="1169"/>
      <c r="T177" s="1171"/>
      <c r="U177" s="1169"/>
    </row>
    <row r="178" spans="2:28" x14ac:dyDescent="0.2">
      <c r="E178" s="1170"/>
      <c r="F178" s="1169"/>
      <c r="G178" s="1169"/>
      <c r="H178" s="1169"/>
      <c r="I178" s="1169"/>
      <c r="J178" s="1169"/>
      <c r="K178" s="1169"/>
      <c r="L178" s="1171"/>
      <c r="M178" s="1170"/>
      <c r="N178" s="1169"/>
      <c r="O178" s="1169"/>
      <c r="P178" s="1169"/>
      <c r="Q178" s="1169"/>
      <c r="R178" s="1169"/>
      <c r="S178" s="1169"/>
      <c r="T178" s="1171"/>
      <c r="U178" s="1169"/>
    </row>
    <row r="179" spans="2:28" x14ac:dyDescent="0.2">
      <c r="E179" s="1170"/>
      <c r="F179" s="1169"/>
      <c r="G179" s="1169"/>
      <c r="H179" s="1169"/>
      <c r="I179" s="1169"/>
      <c r="J179" s="1169"/>
      <c r="K179" s="1169"/>
      <c r="L179" s="1171"/>
      <c r="M179" s="1170"/>
      <c r="N179" s="1169"/>
      <c r="O179" s="1169"/>
      <c r="P179" s="1169"/>
      <c r="Q179" s="1169"/>
      <c r="R179" s="1169"/>
      <c r="S179" s="1169"/>
      <c r="T179" s="1171"/>
      <c r="U179" s="1169"/>
    </row>
    <row r="180" spans="2:28" x14ac:dyDescent="0.2">
      <c r="E180" s="1170"/>
      <c r="F180" s="1169"/>
      <c r="G180" s="1169"/>
      <c r="H180" s="1169"/>
      <c r="I180" s="1169"/>
      <c r="J180" s="1169"/>
      <c r="K180" s="1169"/>
      <c r="L180" s="1171"/>
      <c r="M180" s="1170"/>
      <c r="N180" s="1169"/>
      <c r="O180" s="1169"/>
      <c r="P180" s="1169"/>
      <c r="Q180" s="1169"/>
      <c r="R180" s="1169"/>
      <c r="S180" s="1169"/>
      <c r="T180" s="1171"/>
      <c r="U180" s="1169"/>
    </row>
    <row r="181" spans="2:28" x14ac:dyDescent="0.2">
      <c r="E181" s="1170"/>
      <c r="F181" s="1169"/>
      <c r="G181" s="1169"/>
      <c r="H181" s="1169"/>
      <c r="I181" s="1169"/>
      <c r="J181" s="1169"/>
      <c r="K181" s="1169"/>
      <c r="L181" s="1171"/>
      <c r="M181" s="1170"/>
      <c r="N181" s="1169"/>
      <c r="O181" s="1169"/>
      <c r="P181" s="1169"/>
      <c r="Q181" s="1169"/>
      <c r="R181" s="1169"/>
      <c r="S181" s="1169"/>
      <c r="T181" s="1171"/>
      <c r="U181" s="1169"/>
    </row>
    <row r="182" spans="2:28" x14ac:dyDescent="0.2">
      <c r="E182" s="1170"/>
      <c r="F182" s="1169"/>
      <c r="G182" s="1169"/>
      <c r="H182" s="1169"/>
      <c r="I182" s="1169"/>
      <c r="J182" s="1169"/>
      <c r="K182" s="1169"/>
      <c r="L182" s="1171"/>
      <c r="M182" s="1170"/>
      <c r="N182" s="1169"/>
      <c r="O182" s="1169"/>
      <c r="P182" s="1169"/>
      <c r="Q182" s="1169"/>
      <c r="R182" s="1169"/>
      <c r="S182" s="1169"/>
      <c r="T182" s="1171"/>
      <c r="U182" s="1169"/>
    </row>
    <row r="183" spans="2:28" x14ac:dyDescent="0.2">
      <c r="E183" s="1170"/>
      <c r="F183" s="1178"/>
      <c r="G183" s="1169"/>
      <c r="H183" s="1169"/>
      <c r="I183" s="1169"/>
      <c r="J183" s="1169"/>
      <c r="K183" s="1169"/>
      <c r="L183" s="1171"/>
      <c r="M183" s="1170"/>
      <c r="N183" s="1178"/>
      <c r="O183" s="1169"/>
      <c r="P183" s="1169"/>
      <c r="Q183" s="1169"/>
      <c r="R183" s="1169"/>
      <c r="S183" s="1169"/>
      <c r="T183" s="1171"/>
      <c r="U183" s="1169"/>
    </row>
    <row r="184" spans="2:28" ht="14.25" x14ac:dyDescent="0.2">
      <c r="E184" s="1170"/>
      <c r="F184" s="1179"/>
      <c r="G184" s="1169"/>
      <c r="H184" s="1169"/>
      <c r="I184" s="1169"/>
      <c r="J184" s="1169"/>
      <c r="K184" s="1169"/>
      <c r="L184" s="1171"/>
      <c r="M184" s="1170"/>
      <c r="N184" s="1179"/>
      <c r="O184" s="1169"/>
      <c r="P184" s="1169"/>
      <c r="Q184" s="1169"/>
      <c r="R184" s="1169"/>
      <c r="S184" s="1169"/>
      <c r="T184" s="1171"/>
      <c r="U184" s="1169"/>
    </row>
    <row r="185" spans="2:28" x14ac:dyDescent="0.2">
      <c r="E185" s="1170"/>
      <c r="F185" s="1176"/>
      <c r="G185" s="1169"/>
      <c r="H185" s="1169"/>
      <c r="I185" s="1169"/>
      <c r="J185" s="1169"/>
      <c r="K185" s="1169"/>
      <c r="L185" s="1171"/>
      <c r="M185" s="1170"/>
      <c r="N185" s="1176"/>
      <c r="O185" s="1169"/>
      <c r="P185" s="1169"/>
      <c r="Q185" s="1169"/>
      <c r="R185" s="1169"/>
      <c r="S185" s="1169"/>
      <c r="T185" s="1171"/>
      <c r="U185" s="1169"/>
      <c r="Y185" s="1158">
        <f>G165+O165</f>
        <v>0</v>
      </c>
      <c r="Z185" s="1159">
        <f>O164+G164</f>
        <v>0</v>
      </c>
      <c r="AA185" s="1180">
        <f>(IF(G165&lt;0.2,G164,0))+(IF(O165&lt;0.2,O164,0))</f>
        <v>0</v>
      </c>
      <c r="AB185" s="1158">
        <f>G166+O166</f>
        <v>0</v>
      </c>
    </row>
    <row r="186" spans="2:28" ht="13.5" thickBot="1" x14ac:dyDescent="0.25">
      <c r="E186" s="1181"/>
      <c r="F186" s="1182"/>
      <c r="G186" s="1182"/>
      <c r="H186" s="1182"/>
      <c r="I186" s="1182"/>
      <c r="J186" s="1182"/>
      <c r="K186" s="1182"/>
      <c r="L186" s="1183"/>
      <c r="M186" s="1181"/>
      <c r="N186" s="1182"/>
      <c r="O186" s="1182"/>
      <c r="P186" s="1182"/>
      <c r="Q186" s="1182"/>
      <c r="R186" s="1182"/>
      <c r="S186" s="1182"/>
      <c r="T186" s="1183"/>
      <c r="U186" s="1169"/>
    </row>
    <row r="187" spans="2:28" ht="26.25" x14ac:dyDescent="0.2">
      <c r="E187" s="1167">
        <f>M162+1</f>
        <v>11</v>
      </c>
      <c r="F187" s="3454" t="s">
        <v>28178</v>
      </c>
      <c r="G187" s="3455"/>
      <c r="H187" s="3464" t="str">
        <f>"Verkrallungsprofil Schieber 150 "&amp;"("&amp;Liste!C47&amp;")"</f>
        <v>Verkrallungsprofil Schieber 150 (0308151)</v>
      </c>
      <c r="I187" s="3464"/>
      <c r="J187" s="3464"/>
      <c r="K187" s="3465"/>
      <c r="L187" s="1168">
        <f>IF(G190&gt;0.2,G190,0)</f>
        <v>0</v>
      </c>
      <c r="M187" s="1167">
        <f>E187+1</f>
        <v>12</v>
      </c>
      <c r="N187" s="3454" t="s">
        <v>28178</v>
      </c>
      <c r="O187" s="3455"/>
      <c r="P187" s="3466" t="str">
        <f>IF(Liste!A201&gt;0,Liste!B198&amp;" Teillänge 1",Liste!B198)&amp;" ("&amp;Liste!C198&amp;")"</f>
        <v>Wandverkrallung GCC W25 vertikal (0308458)</v>
      </c>
      <c r="Q187" s="3466"/>
      <c r="R187" s="3466"/>
      <c r="S187" s="3467"/>
      <c r="T187" s="1168">
        <f>IF(O190&gt;0.2,O190,0)</f>
        <v>0</v>
      </c>
      <c r="U187" s="1169"/>
    </row>
    <row r="188" spans="2:28" x14ac:dyDescent="0.2">
      <c r="B188" s="1954" t="s">
        <v>29900</v>
      </c>
      <c r="C188" s="1955">
        <f>Liste!E47</f>
        <v>152.5</v>
      </c>
      <c r="E188" s="1170"/>
      <c r="F188" s="1169"/>
      <c r="G188" s="1169"/>
      <c r="H188" s="1169"/>
      <c r="I188" s="1169"/>
      <c r="J188" s="1169"/>
      <c r="K188" s="1169"/>
      <c r="L188" s="1171"/>
      <c r="M188" s="1170"/>
      <c r="N188" s="1169"/>
      <c r="O188" s="1169"/>
      <c r="P188" s="1169"/>
      <c r="Q188" s="1169"/>
      <c r="R188" s="1169"/>
      <c r="S188" s="1169"/>
      <c r="T188" s="1171"/>
      <c r="U188" s="1169"/>
      <c r="V188" s="1954" t="s">
        <v>29900</v>
      </c>
      <c r="W188" s="1955">
        <f>Liste!E198</f>
        <v>155</v>
      </c>
    </row>
    <row r="189" spans="2:28" ht="15.75" x14ac:dyDescent="0.2">
      <c r="B189" s="1954" t="s">
        <v>29901</v>
      </c>
      <c r="C189" s="1955">
        <f>Liste!F47</f>
        <v>150</v>
      </c>
      <c r="E189" s="1170"/>
      <c r="F189" s="1172" t="s">
        <v>27904</v>
      </c>
      <c r="G189" s="1173">
        <f>IF(J18="ja",Liste!D47,0)</f>
        <v>0</v>
      </c>
      <c r="H189" s="1169" t="s">
        <v>28179</v>
      </c>
      <c r="I189" s="1169"/>
      <c r="J189" s="1169"/>
      <c r="K189" s="1169"/>
      <c r="L189" s="1171"/>
      <c r="M189" s="1170"/>
      <c r="N189" s="1172" t="s">
        <v>27904</v>
      </c>
      <c r="O189" s="1173">
        <f>IF(J18="ja",Liste!A198,0)</f>
        <v>0</v>
      </c>
      <c r="P189" s="1169" t="s">
        <v>28179</v>
      </c>
      <c r="Q189" s="1169"/>
      <c r="R189" s="1169"/>
      <c r="S189" s="1169"/>
      <c r="T189" s="1171"/>
      <c r="U189" s="1169"/>
      <c r="V189" s="1954" t="s">
        <v>29901</v>
      </c>
      <c r="W189" s="1955">
        <f>Liste!F198</f>
        <v>1080</v>
      </c>
    </row>
    <row r="190" spans="2:28" ht="15.75" x14ac:dyDescent="0.2">
      <c r="B190" s="1954" t="s">
        <v>31205</v>
      </c>
      <c r="C190" s="1956">
        <f>C188*C189/1000/1000</f>
        <v>2.2875E-2</v>
      </c>
      <c r="E190" s="1170"/>
      <c r="F190" s="1172" t="s">
        <v>28180</v>
      </c>
      <c r="G190" s="1173">
        <f>IF(G189&gt;0,G189*C190*C191,0)</f>
        <v>0</v>
      </c>
      <c r="H190" s="1169" t="s">
        <v>28181</v>
      </c>
      <c r="K190" s="1172" t="str">
        <f>IF(G190&lt;&gt;0,IF(G190&lt;0.2,"Kleinteil, Gerundete Fläche:",""),"")</f>
        <v/>
      </c>
      <c r="L190" s="1174">
        <f>IF(K190&lt;&gt;"",0.2,0)</f>
        <v>0</v>
      </c>
      <c r="M190" s="1170"/>
      <c r="N190" s="1172" t="s">
        <v>28180</v>
      </c>
      <c r="O190" s="1173">
        <f>IF(O189&gt;0,O189*W190*W191,0)</f>
        <v>0</v>
      </c>
      <c r="P190" s="1169" t="s">
        <v>28181</v>
      </c>
      <c r="S190" s="1172" t="str">
        <f>IF(O190&lt;&gt;0,IF(O190&lt;0.2,"Kleinteil, Gerundete Fläche:",""),"")</f>
        <v/>
      </c>
      <c r="T190" s="1175">
        <f>IF(S190&lt;&gt;"",0.2,0)</f>
        <v>0</v>
      </c>
      <c r="U190" s="1169"/>
      <c r="V190" s="1954" t="s">
        <v>31205</v>
      </c>
      <c r="W190" s="1956">
        <f>W188*W189/1000/1000</f>
        <v>0.16739999999999999</v>
      </c>
    </row>
    <row r="191" spans="2:28" ht="15.75" x14ac:dyDescent="0.2">
      <c r="B191" s="1954" t="s">
        <v>29902</v>
      </c>
      <c r="C191" s="1957">
        <v>2</v>
      </c>
      <c r="E191" s="1170"/>
      <c r="F191" s="1172" t="s">
        <v>28182</v>
      </c>
      <c r="G191" s="1173">
        <f>IF(G189&gt;0,G189*C190*C192,0)</f>
        <v>0</v>
      </c>
      <c r="H191" s="1169" t="s">
        <v>28181</v>
      </c>
      <c r="I191" s="1186" t="s">
        <v>28185</v>
      </c>
      <c r="J191" s="1169"/>
      <c r="K191" s="1169"/>
      <c r="L191" s="1171"/>
      <c r="M191" s="1170"/>
      <c r="N191" s="1172" t="s">
        <v>28182</v>
      </c>
      <c r="O191" s="1173">
        <f>IF(O189&gt;0,O189*W190*W192,0)</f>
        <v>0</v>
      </c>
      <c r="P191" s="1169" t="s">
        <v>28181</v>
      </c>
      <c r="Q191" s="1186" t="s">
        <v>28185</v>
      </c>
      <c r="R191" s="1169"/>
      <c r="S191" s="1169"/>
      <c r="T191" s="1171"/>
      <c r="U191" s="1169"/>
      <c r="V191" s="1954" t="s">
        <v>29902</v>
      </c>
      <c r="W191" s="1957">
        <v>2</v>
      </c>
    </row>
    <row r="192" spans="2:28" ht="14.25" x14ac:dyDescent="0.2">
      <c r="B192" s="1954" t="s">
        <v>29903</v>
      </c>
      <c r="C192" s="1957">
        <v>0</v>
      </c>
      <c r="E192" s="1170"/>
      <c r="F192" s="1176"/>
      <c r="G192" s="1169"/>
      <c r="H192" s="1169"/>
      <c r="I192" s="1169"/>
      <c r="J192" s="1169"/>
      <c r="K192" s="1169"/>
      <c r="L192" s="1171"/>
      <c r="M192" s="1170"/>
      <c r="N192" s="1176"/>
      <c r="O192" s="1169"/>
      <c r="P192" s="1169"/>
      <c r="Q192" s="1169"/>
      <c r="R192" s="1169"/>
      <c r="S192" s="1169"/>
      <c r="T192" s="1171"/>
      <c r="U192" s="1169"/>
      <c r="V192" s="1954" t="s">
        <v>29903</v>
      </c>
      <c r="W192" s="1957">
        <v>0</v>
      </c>
    </row>
    <row r="193" spans="5:21" x14ac:dyDescent="0.2">
      <c r="E193" s="1170"/>
      <c r="F193" s="1169"/>
      <c r="G193" s="1169"/>
      <c r="H193" s="1169"/>
      <c r="I193" s="1169"/>
      <c r="J193" s="1169"/>
      <c r="K193" s="1169"/>
      <c r="L193" s="1171"/>
      <c r="M193" s="1170"/>
      <c r="N193" s="1169"/>
      <c r="O193" s="1169"/>
      <c r="P193" s="1169"/>
      <c r="Q193" s="1169"/>
      <c r="R193" s="1169"/>
      <c r="S193" s="1169"/>
      <c r="T193" s="1171"/>
      <c r="U193" s="1169"/>
    </row>
    <row r="194" spans="5:21" ht="16.5" x14ac:dyDescent="0.2">
      <c r="E194" s="1170"/>
      <c r="F194" s="1177" t="s">
        <v>28183</v>
      </c>
      <c r="G194" s="1169"/>
      <c r="H194" s="1169"/>
      <c r="I194" s="1169"/>
      <c r="J194" s="1169"/>
      <c r="K194" s="1169"/>
      <c r="L194" s="1171"/>
      <c r="M194" s="1170"/>
      <c r="N194" s="1177" t="s">
        <v>28183</v>
      </c>
      <c r="O194" s="1169"/>
      <c r="P194" s="1169"/>
      <c r="Q194" s="1169"/>
      <c r="R194" s="1169"/>
      <c r="S194" s="1169"/>
      <c r="T194" s="1171"/>
      <c r="U194" s="1169"/>
    </row>
    <row r="195" spans="5:21" x14ac:dyDescent="0.2">
      <c r="E195" s="1170"/>
      <c r="F195" s="1169"/>
      <c r="G195" s="1169"/>
      <c r="H195" s="1169"/>
      <c r="I195" s="1169"/>
      <c r="J195" s="1169"/>
      <c r="K195" s="1169"/>
      <c r="L195" s="1171"/>
      <c r="M195" s="1170"/>
      <c r="N195" s="1169"/>
      <c r="O195" s="1169"/>
      <c r="P195" s="1169"/>
      <c r="Q195" s="1169"/>
      <c r="R195" s="1169"/>
      <c r="S195" s="1169"/>
      <c r="T195" s="1171"/>
      <c r="U195" s="1169"/>
    </row>
    <row r="196" spans="5:21" x14ac:dyDescent="0.2">
      <c r="E196" s="1170"/>
      <c r="F196" s="1169"/>
      <c r="G196" s="1169"/>
      <c r="H196" s="1169"/>
      <c r="I196" s="1169"/>
      <c r="J196" s="1169"/>
      <c r="K196" s="1169"/>
      <c r="L196" s="1171"/>
      <c r="M196" s="1170"/>
      <c r="N196" s="1169"/>
      <c r="O196" s="1169"/>
      <c r="P196" s="1169"/>
      <c r="Q196" s="1169"/>
      <c r="R196" s="1169"/>
      <c r="S196" s="1169"/>
      <c r="T196" s="1171"/>
      <c r="U196" s="1169"/>
    </row>
    <row r="197" spans="5:21" x14ac:dyDescent="0.2">
      <c r="E197" s="1170"/>
      <c r="F197" s="1169"/>
      <c r="G197" s="1169"/>
      <c r="H197" s="1169"/>
      <c r="I197" s="1169"/>
      <c r="J197" s="1169"/>
      <c r="K197" s="1169"/>
      <c r="L197" s="1171"/>
      <c r="M197" s="1170"/>
      <c r="N197" s="1169"/>
      <c r="O197" s="1169"/>
      <c r="P197" s="1169"/>
      <c r="Q197" s="1169"/>
      <c r="R197" s="1169"/>
      <c r="S197" s="1169"/>
      <c r="T197" s="1171"/>
      <c r="U197" s="1169"/>
    </row>
    <row r="198" spans="5:21" x14ac:dyDescent="0.2">
      <c r="E198" s="1170"/>
      <c r="F198" s="1169"/>
      <c r="G198" s="1169"/>
      <c r="H198" s="1169"/>
      <c r="I198" s="1169"/>
      <c r="J198" s="1169"/>
      <c r="K198" s="1169"/>
      <c r="L198" s="1171"/>
      <c r="M198" s="1170"/>
      <c r="N198" s="1169"/>
      <c r="O198" s="1169"/>
      <c r="P198" s="1169"/>
      <c r="Q198" s="1169"/>
      <c r="R198" s="1169"/>
      <c r="S198" s="1169"/>
      <c r="T198" s="1171"/>
      <c r="U198" s="1169"/>
    </row>
    <row r="199" spans="5:21" x14ac:dyDescent="0.2">
      <c r="E199" s="1170"/>
      <c r="F199" s="1169"/>
      <c r="G199" s="1169"/>
      <c r="I199" s="1169"/>
      <c r="J199" s="1169"/>
      <c r="K199" s="1169"/>
      <c r="L199" s="1171"/>
      <c r="M199" s="1170"/>
      <c r="N199" s="1169"/>
      <c r="O199" s="1169"/>
      <c r="Q199" s="1169"/>
      <c r="R199" s="1169"/>
      <c r="S199" s="1169"/>
      <c r="T199" s="1171"/>
      <c r="U199" s="1169"/>
    </row>
    <row r="200" spans="5:21" x14ac:dyDescent="0.2">
      <c r="E200" s="1170"/>
      <c r="F200" s="1169"/>
      <c r="G200" s="1169"/>
      <c r="H200" s="1169"/>
      <c r="I200" s="1169"/>
      <c r="J200" s="1169"/>
      <c r="K200" s="1169"/>
      <c r="L200" s="1171"/>
      <c r="M200" s="1170"/>
      <c r="N200" s="1169"/>
      <c r="O200" s="1169"/>
      <c r="P200" s="1169"/>
      <c r="Q200" s="1169"/>
      <c r="R200" s="1169"/>
      <c r="S200" s="1169"/>
      <c r="T200" s="1171"/>
      <c r="U200" s="1169"/>
    </row>
    <row r="201" spans="5:21" x14ac:dyDescent="0.2">
      <c r="E201" s="1170"/>
      <c r="F201" s="1169"/>
      <c r="G201" s="1169"/>
      <c r="H201" s="1169"/>
      <c r="I201" s="1169"/>
      <c r="J201" s="1169"/>
      <c r="K201" s="1169"/>
      <c r="L201" s="1171"/>
      <c r="M201" s="1170"/>
      <c r="N201" s="1169"/>
      <c r="O201" s="1169"/>
      <c r="P201" s="1169"/>
      <c r="Q201" s="1169"/>
      <c r="R201" s="1169"/>
      <c r="S201" s="1169"/>
      <c r="T201" s="1171"/>
      <c r="U201" s="1169"/>
    </row>
    <row r="202" spans="5:21" x14ac:dyDescent="0.2">
      <c r="E202" s="1170"/>
      <c r="F202" s="1169"/>
      <c r="G202" s="1169"/>
      <c r="H202" s="1169"/>
      <c r="I202" s="1169"/>
      <c r="J202" s="1169"/>
      <c r="L202" s="1171"/>
      <c r="M202" s="1170"/>
      <c r="N202" s="1169"/>
      <c r="O202" s="1169"/>
      <c r="P202" s="1169"/>
      <c r="Q202" s="1169"/>
      <c r="R202" s="1169"/>
      <c r="T202" s="1171"/>
      <c r="U202" s="1169"/>
    </row>
    <row r="203" spans="5:21" x14ac:dyDescent="0.2">
      <c r="E203" s="1170"/>
      <c r="F203" s="1169"/>
      <c r="G203" s="1169"/>
      <c r="H203" s="1169"/>
      <c r="I203" s="1169"/>
      <c r="J203" s="1169"/>
      <c r="K203" s="1169"/>
      <c r="L203" s="1171"/>
      <c r="M203" s="1170"/>
      <c r="N203" s="1169"/>
      <c r="O203" s="1169"/>
      <c r="P203" s="1169"/>
      <c r="Q203" s="1169"/>
      <c r="R203" s="1169"/>
      <c r="S203" s="1169"/>
      <c r="T203" s="1171"/>
      <c r="U203" s="1169"/>
    </row>
    <row r="204" spans="5:21" x14ac:dyDescent="0.2">
      <c r="E204" s="1170"/>
      <c r="F204" s="1169"/>
      <c r="G204" s="1169"/>
      <c r="H204" s="1169"/>
      <c r="I204" s="1169"/>
      <c r="J204" s="1169"/>
      <c r="K204" s="1169"/>
      <c r="L204" s="1171"/>
      <c r="M204" s="1170"/>
      <c r="N204" s="1169"/>
      <c r="O204" s="1169"/>
      <c r="P204" s="1169"/>
      <c r="Q204" s="1169"/>
      <c r="R204" s="1169"/>
      <c r="S204" s="1169"/>
      <c r="T204" s="1171"/>
      <c r="U204" s="1169"/>
    </row>
    <row r="205" spans="5:21" x14ac:dyDescent="0.2">
      <c r="E205" s="1170"/>
      <c r="F205" s="1169"/>
      <c r="G205" s="1169"/>
      <c r="H205" s="1169"/>
      <c r="I205" s="1169"/>
      <c r="J205" s="1169"/>
      <c r="K205" s="1169"/>
      <c r="L205" s="1171"/>
      <c r="M205" s="1170"/>
      <c r="N205" s="1169"/>
      <c r="O205" s="1169"/>
      <c r="P205" s="1169"/>
      <c r="Q205" s="1169"/>
      <c r="R205" s="1169"/>
      <c r="S205" s="1169"/>
      <c r="T205" s="1171"/>
      <c r="U205" s="1169"/>
    </row>
    <row r="206" spans="5:21" x14ac:dyDescent="0.2">
      <c r="E206" s="1170"/>
      <c r="F206" s="1169"/>
      <c r="G206" s="1169"/>
      <c r="H206" s="1169"/>
      <c r="I206" s="1169"/>
      <c r="J206" s="1169"/>
      <c r="K206" s="1169"/>
      <c r="L206" s="1171"/>
      <c r="M206" s="1170"/>
      <c r="N206" s="1169"/>
      <c r="O206" s="1169"/>
      <c r="P206" s="1169"/>
      <c r="Q206" s="1169"/>
      <c r="R206" s="1169"/>
      <c r="S206" s="1169"/>
      <c r="T206" s="1171"/>
      <c r="U206" s="1169"/>
    </row>
    <row r="207" spans="5:21" x14ac:dyDescent="0.2">
      <c r="E207" s="1170"/>
      <c r="F207" s="1169"/>
      <c r="G207" s="1169"/>
      <c r="H207" s="1169"/>
      <c r="I207" s="1169"/>
      <c r="J207" s="1169"/>
      <c r="K207" s="1169"/>
      <c r="L207" s="1171"/>
      <c r="M207" s="1170"/>
      <c r="N207" s="1169"/>
      <c r="O207" s="1169"/>
      <c r="P207" s="1169"/>
      <c r="Q207" s="1169"/>
      <c r="R207" s="1169"/>
      <c r="S207" s="1169"/>
      <c r="T207" s="1171"/>
      <c r="U207" s="1169"/>
    </row>
    <row r="208" spans="5:21" x14ac:dyDescent="0.2">
      <c r="E208" s="1170"/>
      <c r="F208" s="1178"/>
      <c r="G208" s="1169"/>
      <c r="H208" s="1169"/>
      <c r="I208" s="1169"/>
      <c r="J208" s="1169"/>
      <c r="K208" s="1169"/>
      <c r="L208" s="1171"/>
      <c r="M208" s="1170"/>
      <c r="N208" s="1178"/>
      <c r="O208" s="1169"/>
      <c r="P208" s="1169"/>
      <c r="Q208" s="1169"/>
      <c r="R208" s="1169"/>
      <c r="S208" s="1169"/>
      <c r="T208" s="1171"/>
      <c r="U208" s="1169"/>
    </row>
    <row r="209" spans="2:33" ht="14.25" x14ac:dyDescent="0.2">
      <c r="E209" s="1170"/>
      <c r="F209" s="1179"/>
      <c r="G209" s="1169"/>
      <c r="H209" s="1169"/>
      <c r="I209" s="1169"/>
      <c r="J209" s="1169"/>
      <c r="K209" s="1169"/>
      <c r="L209" s="1171"/>
      <c r="M209" s="1170"/>
      <c r="N209" s="1179"/>
      <c r="O209" s="1169"/>
      <c r="P209" s="1169"/>
      <c r="Q209" s="1169"/>
      <c r="R209" s="1169"/>
      <c r="S209" s="1169"/>
      <c r="T209" s="1171"/>
      <c r="U209" s="1169"/>
    </row>
    <row r="210" spans="2:33" x14ac:dyDescent="0.2">
      <c r="E210" s="1170"/>
      <c r="F210" s="1176"/>
      <c r="G210" s="1169"/>
      <c r="H210" s="1169"/>
      <c r="I210" s="1169"/>
      <c r="J210" s="1169"/>
      <c r="K210" s="1169"/>
      <c r="L210" s="1171"/>
      <c r="M210" s="1170"/>
      <c r="N210" s="1176"/>
      <c r="O210" s="1169"/>
      <c r="P210" s="1169"/>
      <c r="Q210" s="1169"/>
      <c r="R210" s="1169"/>
      <c r="S210" s="1169"/>
      <c r="T210" s="1171"/>
      <c r="U210" s="1169"/>
      <c r="Y210" s="1158">
        <f>G190+O190</f>
        <v>0</v>
      </c>
      <c r="Z210" s="1159">
        <f>O189+G189</f>
        <v>0</v>
      </c>
      <c r="AA210" s="1180">
        <f>(IF(G190&lt;0.2,G189,0))+(IF(O190&lt;0.2,O189,0))</f>
        <v>0</v>
      </c>
      <c r="AB210" s="1158">
        <f>G191+O191</f>
        <v>0</v>
      </c>
    </row>
    <row r="211" spans="2:33" ht="13.5" thickBot="1" x14ac:dyDescent="0.25">
      <c r="E211" s="1181"/>
      <c r="F211" s="1182"/>
      <c r="G211" s="1182"/>
      <c r="H211" s="1182"/>
      <c r="I211" s="1182"/>
      <c r="J211" s="1182"/>
      <c r="K211" s="1182"/>
      <c r="L211" s="1183"/>
      <c r="M211" s="1181"/>
      <c r="N211" s="1182"/>
      <c r="O211" s="1182"/>
      <c r="P211" s="1182"/>
      <c r="Q211" s="1182"/>
      <c r="R211" s="1182"/>
      <c r="S211" s="1182"/>
      <c r="T211" s="1183"/>
      <c r="U211" s="1169"/>
    </row>
    <row r="212" spans="2:33" ht="26.25" x14ac:dyDescent="0.2">
      <c r="E212" s="1167">
        <f>M187+1</f>
        <v>13</v>
      </c>
      <c r="F212" s="3454" t="s">
        <v>28178</v>
      </c>
      <c r="G212" s="3455"/>
      <c r="H212" s="3464" t="str">
        <f>Liste!B249&amp;" ("&amp;Liste!C249&amp;")"</f>
        <v>Motorwandplatte GCC Antrieb schmal verzinkt (0308062)</v>
      </c>
      <c r="I212" s="3464"/>
      <c r="J212" s="3464"/>
      <c r="K212" s="3465"/>
      <c r="L212" s="1168">
        <f>IF(G215&gt;0.2,G215,0)</f>
        <v>0</v>
      </c>
      <c r="M212" s="1167">
        <f>E212+1</f>
        <v>14</v>
      </c>
      <c r="N212" s="3454" t="s">
        <v>28178</v>
      </c>
      <c r="O212" s="3455"/>
      <c r="P212" s="3466" t="str">
        <f>"Anschraubwinkel Griffschutz "&amp;"("&amp;Liste!C230&amp;")"</f>
        <v>Anschraubwinkel Griffschutz (0308528)</v>
      </c>
      <c r="Q212" s="3466"/>
      <c r="R212" s="3466"/>
      <c r="S212" s="3467"/>
      <c r="T212" s="1168">
        <f>IF(O215&gt;0.2,O215,0)</f>
        <v>0</v>
      </c>
      <c r="U212" s="1169"/>
    </row>
    <row r="213" spans="2:33" x14ac:dyDescent="0.2">
      <c r="B213" s="1954" t="s">
        <v>29900</v>
      </c>
      <c r="C213" s="1955">
        <f>Liste!F249</f>
        <v>382</v>
      </c>
      <c r="E213" s="1170"/>
      <c r="F213" s="1169"/>
      <c r="G213" s="1169"/>
      <c r="H213" s="1169"/>
      <c r="I213" s="1169"/>
      <c r="J213" s="1169"/>
      <c r="K213" s="1169"/>
      <c r="L213" s="1171"/>
      <c r="M213" s="1170"/>
      <c r="N213" s="1169"/>
      <c r="O213" s="1169"/>
      <c r="P213" s="1169"/>
      <c r="Q213" s="1169"/>
      <c r="R213" s="1169"/>
      <c r="S213" s="1169"/>
      <c r="T213" s="1171"/>
      <c r="U213" s="1169"/>
      <c r="V213" s="1954" t="s">
        <v>29900</v>
      </c>
      <c r="W213" s="1955">
        <f>Liste!E230</f>
        <v>120</v>
      </c>
    </row>
    <row r="214" spans="2:33" ht="15.75" x14ac:dyDescent="0.2">
      <c r="B214" s="1954" t="s">
        <v>29901</v>
      </c>
      <c r="C214" s="1955">
        <f>Liste!E249</f>
        <v>750</v>
      </c>
      <c r="E214" s="1170"/>
      <c r="F214" s="1172" t="s">
        <v>27904</v>
      </c>
      <c r="G214" s="1173">
        <f>IF(J18="ja",Liste!D245+Liste!D247,0)</f>
        <v>0</v>
      </c>
      <c r="H214" s="1169" t="s">
        <v>28179</v>
      </c>
      <c r="I214" s="1169"/>
      <c r="J214" s="1169"/>
      <c r="K214" s="1169"/>
      <c r="L214" s="1171"/>
      <c r="M214" s="1170"/>
      <c r="N214" s="1172" t="s">
        <v>27904</v>
      </c>
      <c r="O214" s="1173">
        <f>IF(J18="ja",Liste!D230,0)</f>
        <v>0</v>
      </c>
      <c r="P214" s="1169" t="s">
        <v>28179</v>
      </c>
      <c r="Q214" s="1169"/>
      <c r="R214" s="1169"/>
      <c r="S214" s="1169"/>
      <c r="T214" s="1171"/>
      <c r="U214" s="1169"/>
      <c r="V214" s="1954" t="s">
        <v>29901</v>
      </c>
      <c r="W214" s="1955">
        <f>Liste!F230</f>
        <v>170</v>
      </c>
    </row>
    <row r="215" spans="2:33" ht="15.75" x14ac:dyDescent="0.2">
      <c r="B215" s="1954" t="s">
        <v>31205</v>
      </c>
      <c r="C215" s="1956">
        <f>C213*C214/1000/1000</f>
        <v>0.28649999999999998</v>
      </c>
      <c r="E215" s="1170"/>
      <c r="F215" s="1172" t="s">
        <v>28180</v>
      </c>
      <c r="G215" s="1173">
        <f>IF(G214&gt;0,G214*C215*C216,0)</f>
        <v>0</v>
      </c>
      <c r="H215" s="1169" t="s">
        <v>28181</v>
      </c>
      <c r="K215" s="1172" t="str">
        <f>IF(G215&lt;&gt;0,IF(G215&lt;0.2,"Kleinteil, Gerundete Fläche:",""),"")</f>
        <v/>
      </c>
      <c r="L215" s="1174">
        <f>IF(K215&lt;&gt;"",0.2,0)</f>
        <v>0</v>
      </c>
      <c r="M215" s="1170"/>
      <c r="N215" s="1172" t="s">
        <v>28180</v>
      </c>
      <c r="O215" s="1173">
        <f>IF(O214&gt;0,O214*W215*W216,0)</f>
        <v>0</v>
      </c>
      <c r="P215" s="1169" t="s">
        <v>28181</v>
      </c>
      <c r="S215" s="1172" t="str">
        <f>IF(O215&lt;&gt;0,IF(O215&lt;0.2,"Kleinteil, Gerundete Fläche:",""),"")</f>
        <v/>
      </c>
      <c r="T215" s="1175">
        <f>IF(S215&lt;&gt;"",0.2,0)</f>
        <v>0</v>
      </c>
      <c r="U215" s="1169"/>
      <c r="V215" s="1954" t="s">
        <v>31205</v>
      </c>
      <c r="W215" s="1956">
        <f>W213*W214/1000/1000</f>
        <v>2.0399999999999998E-2</v>
      </c>
    </row>
    <row r="216" spans="2:33" ht="15.75" x14ac:dyDescent="0.2">
      <c r="B216" s="1954" t="s">
        <v>29902</v>
      </c>
      <c r="C216" s="1957">
        <v>2</v>
      </c>
      <c r="E216" s="1170"/>
      <c r="F216" s="1172" t="s">
        <v>28182</v>
      </c>
      <c r="G216" s="1173">
        <f>IF(G214&gt;0,G214*C215*C217,0)</f>
        <v>0</v>
      </c>
      <c r="H216" s="1169" t="s">
        <v>28181</v>
      </c>
      <c r="I216" s="1186" t="s">
        <v>28185</v>
      </c>
      <c r="J216" s="1169"/>
      <c r="K216" s="1169"/>
      <c r="L216" s="1171"/>
      <c r="M216" s="1170"/>
      <c r="N216" s="1172" t="s">
        <v>28182</v>
      </c>
      <c r="O216" s="1173">
        <f>IF(O214&gt;0,O214*W215*W217,0)</f>
        <v>0</v>
      </c>
      <c r="P216" s="1169" t="s">
        <v>28181</v>
      </c>
      <c r="Q216" s="1186" t="s">
        <v>28185</v>
      </c>
      <c r="R216" s="1169"/>
      <c r="S216" s="1169"/>
      <c r="T216" s="1171"/>
      <c r="U216" s="1169"/>
      <c r="V216" s="1954" t="s">
        <v>29902</v>
      </c>
      <c r="W216" s="1957">
        <v>2</v>
      </c>
    </row>
    <row r="217" spans="2:33" ht="14.25" x14ac:dyDescent="0.2">
      <c r="B217" s="1954" t="s">
        <v>29903</v>
      </c>
      <c r="C217" s="1957">
        <v>0</v>
      </c>
      <c r="E217" s="1170"/>
      <c r="F217" s="1176"/>
      <c r="G217" s="1169"/>
      <c r="H217" s="1169"/>
      <c r="I217" s="1169"/>
      <c r="J217" s="1169"/>
      <c r="K217" s="1169"/>
      <c r="L217" s="1171"/>
      <c r="M217" s="1170"/>
      <c r="N217" s="1176"/>
      <c r="O217" s="1169"/>
      <c r="P217" s="1169"/>
      <c r="Q217" s="1169"/>
      <c r="R217" s="1169"/>
      <c r="S217" s="1169"/>
      <c r="T217" s="1171"/>
      <c r="U217" s="1169"/>
      <c r="V217" s="1954" t="s">
        <v>29903</v>
      </c>
      <c r="W217" s="1957">
        <v>0</v>
      </c>
    </row>
    <row r="218" spans="2:33" x14ac:dyDescent="0.2">
      <c r="E218" s="1170"/>
      <c r="F218" s="1169"/>
      <c r="G218" s="1169"/>
      <c r="H218" s="1169"/>
      <c r="I218" s="1169"/>
      <c r="J218" s="1169"/>
      <c r="K218" s="1169"/>
      <c r="L218" s="1171"/>
      <c r="M218" s="1170"/>
      <c r="N218" s="1169"/>
      <c r="O218" s="1169"/>
      <c r="P218" s="1169"/>
      <c r="Q218" s="1169"/>
      <c r="R218" s="1169"/>
      <c r="S218" s="1169"/>
      <c r="T218" s="1171"/>
      <c r="U218" s="1169"/>
    </row>
    <row r="219" spans="2:33" ht="16.5" x14ac:dyDescent="0.2">
      <c r="E219" s="1170"/>
      <c r="F219" s="1177" t="s">
        <v>28183</v>
      </c>
      <c r="G219" s="1169"/>
      <c r="H219" s="1169"/>
      <c r="I219" s="1169"/>
      <c r="J219" s="1169"/>
      <c r="K219" s="1169"/>
      <c r="L219" s="1171"/>
      <c r="M219" s="1170"/>
      <c r="N219" s="1177" t="s">
        <v>28183</v>
      </c>
      <c r="O219" s="1169"/>
      <c r="P219" s="1169"/>
      <c r="Q219" s="1169"/>
      <c r="R219" s="1169"/>
      <c r="S219" s="1169"/>
      <c r="T219" s="1171"/>
      <c r="U219" s="1169"/>
    </row>
    <row r="220" spans="2:33" x14ac:dyDescent="0.2">
      <c r="E220" s="1170"/>
      <c r="F220" s="1169"/>
      <c r="G220" s="1169"/>
      <c r="H220" s="1169"/>
      <c r="I220" s="1169"/>
      <c r="J220" s="1169"/>
      <c r="K220" s="1169"/>
      <c r="L220" s="1171"/>
      <c r="M220" s="1170"/>
      <c r="N220" s="1169"/>
      <c r="O220" s="1169"/>
      <c r="P220" s="1169"/>
      <c r="Q220" s="1169"/>
      <c r="R220" s="1169"/>
      <c r="S220" s="1169"/>
      <c r="T220" s="1171"/>
      <c r="U220" s="1169"/>
    </row>
    <row r="221" spans="2:33" x14ac:dyDescent="0.2">
      <c r="E221" s="1170"/>
      <c r="F221" s="1169"/>
      <c r="G221" s="1169"/>
      <c r="H221" s="1169"/>
      <c r="I221" s="1169"/>
      <c r="J221" s="1169"/>
      <c r="K221" s="1169"/>
      <c r="L221" s="1171"/>
      <c r="M221" s="1170"/>
      <c r="N221" s="1169"/>
      <c r="O221" s="1169"/>
      <c r="P221" s="1169"/>
      <c r="Q221" s="1169"/>
      <c r="R221" s="1169"/>
      <c r="S221" s="1169"/>
      <c r="T221" s="1171"/>
      <c r="U221" s="1169"/>
      <c r="AG221" s="1153"/>
    </row>
    <row r="222" spans="2:33" x14ac:dyDescent="0.2">
      <c r="E222" s="1170"/>
      <c r="F222" s="1169"/>
      <c r="G222" s="1169"/>
      <c r="H222" s="1169"/>
      <c r="I222" s="1169"/>
      <c r="J222" s="1169"/>
      <c r="K222" s="1169"/>
      <c r="L222" s="1171"/>
      <c r="M222" s="1170"/>
      <c r="N222" s="1169"/>
      <c r="O222" s="1169"/>
      <c r="P222" s="1169"/>
      <c r="Q222" s="1169"/>
      <c r="R222" s="1169"/>
      <c r="S222" s="1169"/>
      <c r="T222" s="1171"/>
      <c r="U222" s="1169"/>
      <c r="AG222" s="1153"/>
    </row>
    <row r="223" spans="2:33" x14ac:dyDescent="0.2">
      <c r="E223" s="1170"/>
      <c r="F223" s="1169"/>
      <c r="G223" s="1169"/>
      <c r="H223" s="1169"/>
      <c r="I223" s="1169"/>
      <c r="J223" s="1169"/>
      <c r="K223" s="1169"/>
      <c r="L223" s="1171"/>
      <c r="M223" s="1170"/>
      <c r="N223" s="1169"/>
      <c r="O223" s="1169"/>
      <c r="P223" s="1169"/>
      <c r="Q223" s="1169"/>
      <c r="R223" s="1169"/>
      <c r="S223" s="1169"/>
      <c r="T223" s="1171"/>
      <c r="U223" s="1169"/>
    </row>
    <row r="224" spans="2:33" x14ac:dyDescent="0.2">
      <c r="E224" s="1170"/>
      <c r="F224" s="1169"/>
      <c r="G224" s="1169"/>
      <c r="I224" s="1169"/>
      <c r="J224" s="1169"/>
      <c r="K224" s="1169"/>
      <c r="L224" s="1171"/>
      <c r="M224" s="1170"/>
      <c r="N224" s="1169"/>
      <c r="O224" s="1169"/>
      <c r="Q224" s="1169"/>
      <c r="R224" s="1169"/>
      <c r="S224" s="1169"/>
      <c r="T224" s="1171"/>
      <c r="U224" s="1169"/>
    </row>
    <row r="225" spans="2:28" x14ac:dyDescent="0.2">
      <c r="E225" s="1170"/>
      <c r="F225" s="1169"/>
      <c r="G225" s="1169"/>
      <c r="H225" s="1169"/>
      <c r="I225" s="1169"/>
      <c r="J225" s="1169"/>
      <c r="K225" s="1169"/>
      <c r="L225" s="1171"/>
      <c r="M225" s="1170"/>
      <c r="N225" s="1169"/>
      <c r="O225" s="1169"/>
      <c r="P225" s="1169"/>
      <c r="Q225" s="1169"/>
      <c r="R225" s="1169"/>
      <c r="S225" s="1169"/>
      <c r="T225" s="1171"/>
      <c r="U225" s="1169"/>
    </row>
    <row r="226" spans="2:28" x14ac:dyDescent="0.2">
      <c r="E226" s="1170"/>
      <c r="F226" s="1169"/>
      <c r="G226" s="1169"/>
      <c r="H226" s="1169"/>
      <c r="I226" s="1169"/>
      <c r="J226" s="1169"/>
      <c r="K226" s="1169"/>
      <c r="L226" s="1171"/>
      <c r="M226" s="1170"/>
      <c r="N226" s="1169"/>
      <c r="O226" s="1169"/>
      <c r="P226" s="1169"/>
      <c r="Q226" s="1169"/>
      <c r="R226" s="1169"/>
      <c r="S226" s="1169"/>
      <c r="T226" s="1171"/>
      <c r="U226" s="1169"/>
    </row>
    <row r="227" spans="2:28" x14ac:dyDescent="0.2">
      <c r="E227" s="1170"/>
      <c r="F227" s="1169"/>
      <c r="G227" s="1169"/>
      <c r="H227" s="1169"/>
      <c r="I227" s="1169"/>
      <c r="J227" s="1169"/>
      <c r="L227" s="1171"/>
      <c r="M227" s="1170"/>
      <c r="N227" s="1169"/>
      <c r="O227" s="1169"/>
      <c r="P227" s="1169"/>
      <c r="Q227" s="1169"/>
      <c r="R227" s="1169"/>
      <c r="T227" s="1171"/>
      <c r="U227" s="1169"/>
    </row>
    <row r="228" spans="2:28" x14ac:dyDescent="0.2">
      <c r="E228" s="1170"/>
      <c r="F228" s="1169"/>
      <c r="G228" s="1169"/>
      <c r="H228" s="1169"/>
      <c r="I228" s="1169"/>
      <c r="J228" s="1169"/>
      <c r="K228" s="1169"/>
      <c r="L228" s="1171"/>
      <c r="M228" s="1170"/>
      <c r="N228" s="1169"/>
      <c r="O228" s="1169"/>
      <c r="P228" s="1169"/>
      <c r="Q228" s="1169"/>
      <c r="R228" s="1169"/>
      <c r="S228" s="1169"/>
      <c r="T228" s="1171"/>
      <c r="U228" s="1169"/>
    </row>
    <row r="229" spans="2:28" x14ac:dyDescent="0.2">
      <c r="E229" s="1170"/>
      <c r="F229" s="1169"/>
      <c r="G229" s="1169"/>
      <c r="H229" s="1169"/>
      <c r="I229" s="1169"/>
      <c r="J229" s="1169"/>
      <c r="K229" s="1169"/>
      <c r="L229" s="1171"/>
      <c r="M229" s="1170"/>
      <c r="N229" s="1169"/>
      <c r="O229" s="1169"/>
      <c r="P229" s="1169"/>
      <c r="Q229" s="1169"/>
      <c r="R229" s="1169"/>
      <c r="S229" s="1169"/>
      <c r="T229" s="1171"/>
      <c r="U229" s="1169"/>
    </row>
    <row r="230" spans="2:28" x14ac:dyDescent="0.2">
      <c r="E230" s="1170"/>
      <c r="F230" s="1169"/>
      <c r="G230" s="1169"/>
      <c r="H230" s="1169"/>
      <c r="I230" s="1169"/>
      <c r="J230" s="1169"/>
      <c r="K230" s="1169"/>
      <c r="L230" s="1171"/>
      <c r="M230" s="1170"/>
      <c r="N230" s="1169"/>
      <c r="O230" s="1169"/>
      <c r="P230" s="1169"/>
      <c r="Q230" s="1169"/>
      <c r="R230" s="1169"/>
      <c r="S230" s="1169"/>
      <c r="T230" s="1171"/>
      <c r="U230" s="1169"/>
    </row>
    <row r="231" spans="2:28" x14ac:dyDescent="0.2">
      <c r="E231" s="1170"/>
      <c r="F231" s="1169"/>
      <c r="G231" s="1169"/>
      <c r="H231" s="1169"/>
      <c r="I231" s="1169"/>
      <c r="J231" s="1169"/>
      <c r="K231" s="1169"/>
      <c r="L231" s="1171"/>
      <c r="M231" s="1170"/>
      <c r="N231" s="1169"/>
      <c r="O231" s="1169"/>
      <c r="P231" s="1169"/>
      <c r="Q231" s="1169"/>
      <c r="R231" s="1169"/>
      <c r="S231" s="1169"/>
      <c r="T231" s="1171"/>
      <c r="U231" s="1169"/>
    </row>
    <row r="232" spans="2:28" x14ac:dyDescent="0.2">
      <c r="E232" s="1170"/>
      <c r="F232" s="1169"/>
      <c r="G232" s="1169"/>
      <c r="H232" s="1169"/>
      <c r="I232" s="1169"/>
      <c r="J232" s="1169"/>
      <c r="K232" s="1169"/>
      <c r="L232" s="1171"/>
      <c r="M232" s="1170"/>
      <c r="N232" s="1169"/>
      <c r="O232" s="1169"/>
      <c r="P232" s="1169"/>
      <c r="Q232" s="1169"/>
      <c r="R232" s="1169"/>
      <c r="S232" s="1169"/>
      <c r="T232" s="1171"/>
      <c r="U232" s="1169"/>
    </row>
    <row r="233" spans="2:28" x14ac:dyDescent="0.2">
      <c r="E233" s="1170"/>
      <c r="F233" s="1178"/>
      <c r="G233" s="1169"/>
      <c r="H233" s="1169"/>
      <c r="I233" s="1169"/>
      <c r="J233" s="1169"/>
      <c r="K233" s="1169"/>
      <c r="L233" s="1171"/>
      <c r="M233" s="1170"/>
      <c r="N233" s="1178"/>
      <c r="O233" s="1169"/>
      <c r="P233" s="1169"/>
      <c r="Q233" s="1169"/>
      <c r="R233" s="1169"/>
      <c r="S233" s="1169"/>
      <c r="T233" s="1171"/>
      <c r="U233" s="1169"/>
    </row>
    <row r="234" spans="2:28" ht="14.25" x14ac:dyDescent="0.2">
      <c r="E234" s="1170"/>
      <c r="F234" s="1179"/>
      <c r="G234" s="1169"/>
      <c r="H234" s="1169"/>
      <c r="I234" s="1169"/>
      <c r="J234" s="1169"/>
      <c r="K234" s="1169"/>
      <c r="L234" s="1171"/>
      <c r="M234" s="1170"/>
      <c r="N234" s="1179"/>
      <c r="O234" s="1169"/>
      <c r="P234" s="1169"/>
      <c r="Q234" s="1169"/>
      <c r="R234" s="1169"/>
      <c r="S234" s="1169"/>
      <c r="T234" s="1171"/>
      <c r="U234" s="1169"/>
    </row>
    <row r="235" spans="2:28" x14ac:dyDescent="0.2">
      <c r="E235" s="1170"/>
      <c r="F235" s="1176"/>
      <c r="G235" s="1169"/>
      <c r="H235" s="1169"/>
      <c r="I235" s="1169"/>
      <c r="J235" s="1169"/>
      <c r="K235" s="1169"/>
      <c r="L235" s="1171"/>
      <c r="M235" s="1170"/>
      <c r="N235" s="1176"/>
      <c r="O235" s="1169"/>
      <c r="P235" s="1169"/>
      <c r="Q235" s="1169"/>
      <c r="R235" s="1169"/>
      <c r="S235" s="1169"/>
      <c r="T235" s="1171"/>
      <c r="U235" s="1169"/>
      <c r="Y235" s="1158">
        <f>G215+O215</f>
        <v>0</v>
      </c>
      <c r="Z235" s="1159">
        <f>O214+G214</f>
        <v>0</v>
      </c>
      <c r="AA235" s="1180">
        <f>(IF(G215&lt;0.2,G214,0))+(IF(O215&lt;0.2,O214,0))</f>
        <v>0</v>
      </c>
      <c r="AB235" s="1158">
        <f>G216+O216</f>
        <v>0</v>
      </c>
    </row>
    <row r="236" spans="2:28" ht="13.5" thickBot="1" x14ac:dyDescent="0.25">
      <c r="E236" s="1181"/>
      <c r="F236" s="1182"/>
      <c r="G236" s="1182"/>
      <c r="H236" s="1182"/>
      <c r="I236" s="1182"/>
      <c r="J236" s="1182"/>
      <c r="K236" s="1182"/>
      <c r="L236" s="1183"/>
      <c r="M236" s="1181"/>
      <c r="N236" s="1182"/>
      <c r="O236" s="1182"/>
      <c r="P236" s="1182"/>
      <c r="Q236" s="1182"/>
      <c r="R236" s="1182"/>
      <c r="S236" s="1182"/>
      <c r="T236" s="1183"/>
      <c r="U236" s="1169"/>
    </row>
    <row r="237" spans="2:28" ht="26.25" x14ac:dyDescent="0.2">
      <c r="E237" s="1167">
        <f>M212+1</f>
        <v>15</v>
      </c>
      <c r="F237" s="3454" t="s">
        <v>28178</v>
      </c>
      <c r="G237" s="3455"/>
      <c r="H237" s="3464" t="str">
        <f>Liste!B237&amp;" ("&amp;Liste!C237&amp;")"</f>
        <v>0 (0)</v>
      </c>
      <c r="I237" s="3464"/>
      <c r="J237" s="3464"/>
      <c r="K237" s="3465"/>
      <c r="L237" s="1168">
        <f>IF(G240&gt;0.2,G240,0)</f>
        <v>0</v>
      </c>
      <c r="M237" s="1167">
        <f>E237+1</f>
        <v>16</v>
      </c>
      <c r="N237" s="3454" t="s">
        <v>28178</v>
      </c>
      <c r="O237" s="3455"/>
      <c r="P237" s="3464" t="str">
        <f>IF(Liste!A201&gt;0,Liste!B201&amp;" Teillänge 2"," ")&amp;" ("&amp;Liste!C201&amp;")"</f>
        <v xml:space="preserve">  (0)</v>
      </c>
      <c r="Q237" s="3464"/>
      <c r="R237" s="3464"/>
      <c r="S237" s="3465"/>
      <c r="T237" s="1168">
        <f>IF(O240&gt;0.2,O240,0)</f>
        <v>0</v>
      </c>
      <c r="U237" s="1169"/>
    </row>
    <row r="238" spans="2:28" x14ac:dyDescent="0.2">
      <c r="B238" s="1954" t="s">
        <v>29900</v>
      </c>
      <c r="C238" s="1955">
        <f>Liste!F237</f>
        <v>0</v>
      </c>
      <c r="E238" s="1170"/>
      <c r="F238" s="1169"/>
      <c r="G238" s="1169"/>
      <c r="H238" s="1169"/>
      <c r="I238" s="1169"/>
      <c r="J238" s="1169"/>
      <c r="K238" s="1169"/>
      <c r="L238" s="1171"/>
      <c r="M238" s="1170"/>
      <c r="N238" s="1169"/>
      <c r="O238" s="1169"/>
      <c r="P238" s="1959"/>
      <c r="Q238" s="1959"/>
      <c r="R238" s="1959"/>
      <c r="S238" s="1959"/>
      <c r="T238" s="1960"/>
      <c r="U238" s="1169"/>
      <c r="V238" s="1954" t="s">
        <v>29900</v>
      </c>
      <c r="W238" s="1955">
        <f>Liste!F201</f>
        <v>0</v>
      </c>
    </row>
    <row r="239" spans="2:28" ht="15.75" x14ac:dyDescent="0.2">
      <c r="B239" s="1954" t="s">
        <v>29901</v>
      </c>
      <c r="C239" s="1955">
        <f>Liste!E237</f>
        <v>0</v>
      </c>
      <c r="E239" s="1170"/>
      <c r="F239" s="1172" t="s">
        <v>27904</v>
      </c>
      <c r="G239" s="1173">
        <f>IF(J18="ja",Liste!D233+Liste!D235,0)</f>
        <v>0</v>
      </c>
      <c r="H239" s="1169" t="s">
        <v>28179</v>
      </c>
      <c r="I239" s="1169"/>
      <c r="J239" s="1169"/>
      <c r="K239" s="1169"/>
      <c r="L239" s="1171"/>
      <c r="M239" s="1170"/>
      <c r="N239" s="1172" t="s">
        <v>27904</v>
      </c>
      <c r="O239" s="1173">
        <f>Liste!A201</f>
        <v>0</v>
      </c>
      <c r="P239" s="1959" t="s">
        <v>28179</v>
      </c>
      <c r="Q239" s="1959"/>
      <c r="R239" s="1959"/>
      <c r="S239" s="1959"/>
      <c r="T239" s="1960"/>
      <c r="U239" s="1169"/>
      <c r="V239" s="1954" t="s">
        <v>29901</v>
      </c>
      <c r="W239" s="1955">
        <f>Liste!E201</f>
        <v>0</v>
      </c>
    </row>
    <row r="240" spans="2:28" ht="15.75" x14ac:dyDescent="0.2">
      <c r="B240" s="1954" t="s">
        <v>31205</v>
      </c>
      <c r="C240" s="1956">
        <f>C238*C239/1000/1000</f>
        <v>0</v>
      </c>
      <c r="E240" s="1170"/>
      <c r="F240" s="1172" t="s">
        <v>28180</v>
      </c>
      <c r="G240" s="1173">
        <f>IF(G239&gt;0,G239*C240*C241,0)</f>
        <v>0</v>
      </c>
      <c r="H240" s="1169" t="s">
        <v>28181</v>
      </c>
      <c r="K240" s="1172" t="str">
        <f>IF(G240&lt;&gt;0,IF(G240&lt;0.2,"Kleinteil, Gerundete Fläche:",""),"")</f>
        <v/>
      </c>
      <c r="L240" s="1174">
        <f>IF(K240&lt;&gt;"",0.2,0)</f>
        <v>0</v>
      </c>
      <c r="M240" s="1170"/>
      <c r="N240" s="1172" t="s">
        <v>28180</v>
      </c>
      <c r="O240" s="1173">
        <f>IF(O239&gt;0,O239*W240*W241,0)</f>
        <v>0</v>
      </c>
      <c r="P240" s="1959" t="s">
        <v>28181</v>
      </c>
      <c r="Q240" s="1139"/>
      <c r="R240" s="1139"/>
      <c r="S240" s="1961" t="str">
        <f>IF(O240&lt;&gt;0,IF(O240&lt;0.2,"Kleinteil, Gerundete Fläche:",""),"")</f>
        <v/>
      </c>
      <c r="T240" s="1964">
        <f>IF(S240&lt;&gt;"",0.2,0)</f>
        <v>0</v>
      </c>
      <c r="U240" s="1169"/>
      <c r="V240" s="1954" t="s">
        <v>31205</v>
      </c>
      <c r="W240" s="1956">
        <f>W238*W239/1000/1000</f>
        <v>0</v>
      </c>
    </row>
    <row r="241" spans="2:23" ht="15.75" x14ac:dyDescent="0.2">
      <c r="B241" s="1954" t="s">
        <v>29902</v>
      </c>
      <c r="C241" s="1957">
        <v>1</v>
      </c>
      <c r="E241" s="1170"/>
      <c r="F241" s="1172" t="s">
        <v>28182</v>
      </c>
      <c r="G241" s="1173">
        <f>IF(G239&gt;0,G239*C240*C242,0)</f>
        <v>0</v>
      </c>
      <c r="H241" s="1169" t="s">
        <v>28181</v>
      </c>
      <c r="I241" s="1186" t="s">
        <v>29919</v>
      </c>
      <c r="J241" s="1169"/>
      <c r="K241" s="1169"/>
      <c r="L241" s="1171"/>
      <c r="M241" s="1170"/>
      <c r="N241" s="1172" t="s">
        <v>28182</v>
      </c>
      <c r="O241" s="1173">
        <f>IF(O239&gt;0,O239*W240*W242,0)</f>
        <v>0</v>
      </c>
      <c r="P241" s="1959" t="s">
        <v>28181</v>
      </c>
      <c r="Q241" s="1186" t="s">
        <v>28185</v>
      </c>
      <c r="R241" s="1959"/>
      <c r="S241" s="1959"/>
      <c r="T241" s="1960"/>
      <c r="U241" s="1169"/>
      <c r="V241" s="1954" t="s">
        <v>29902</v>
      </c>
      <c r="W241" s="1957">
        <v>2</v>
      </c>
    </row>
    <row r="242" spans="2:23" ht="14.25" x14ac:dyDescent="0.2">
      <c r="B242" s="1954" t="s">
        <v>29903</v>
      </c>
      <c r="C242" s="1957">
        <v>0</v>
      </c>
      <c r="E242" s="1170"/>
      <c r="F242" s="1176"/>
      <c r="G242" s="1169"/>
      <c r="H242" s="1169"/>
      <c r="I242" s="1169"/>
      <c r="J242" s="1169"/>
      <c r="K242" s="1169"/>
      <c r="L242" s="1171"/>
      <c r="M242" s="1170"/>
      <c r="N242" s="1176"/>
      <c r="O242" s="1169"/>
      <c r="P242" s="1959"/>
      <c r="Q242" s="1959"/>
      <c r="R242" s="1959"/>
      <c r="S242" s="1959"/>
      <c r="T242" s="1960"/>
      <c r="U242" s="1169"/>
      <c r="V242" s="1954" t="s">
        <v>29903</v>
      </c>
      <c r="W242" s="1957">
        <v>0</v>
      </c>
    </row>
    <row r="243" spans="2:23" x14ac:dyDescent="0.2">
      <c r="E243" s="1170"/>
      <c r="F243" s="1169"/>
      <c r="G243" s="1169"/>
      <c r="H243" s="1169"/>
      <c r="I243" s="1169"/>
      <c r="J243" s="1169"/>
      <c r="K243" s="1169"/>
      <c r="L243" s="1171"/>
      <c r="M243" s="1170"/>
      <c r="N243" s="1169"/>
      <c r="O243" s="1169"/>
      <c r="P243" s="1959"/>
      <c r="Q243" s="1959"/>
      <c r="R243" s="1959"/>
      <c r="S243" s="1959"/>
      <c r="T243" s="1960"/>
      <c r="U243" s="1169"/>
      <c r="V243" s="1954"/>
      <c r="W243" s="1950"/>
    </row>
    <row r="244" spans="2:23" ht="16.5" x14ac:dyDescent="0.2">
      <c r="E244" s="1170"/>
      <c r="F244" s="1177" t="s">
        <v>28183</v>
      </c>
      <c r="G244" s="1169"/>
      <c r="H244" s="1169"/>
      <c r="I244" s="1169"/>
      <c r="J244" s="1169"/>
      <c r="K244" s="1169"/>
      <c r="L244" s="1171"/>
      <c r="M244" s="1170"/>
      <c r="N244" s="1177" t="s">
        <v>28183</v>
      </c>
      <c r="O244" s="1169"/>
      <c r="P244" s="1959"/>
      <c r="Q244" s="1959"/>
      <c r="R244" s="1959"/>
      <c r="S244" s="1959"/>
      <c r="T244" s="1960"/>
      <c r="U244" s="1169"/>
    </row>
    <row r="245" spans="2:23" x14ac:dyDescent="0.2">
      <c r="E245" s="1170"/>
      <c r="F245" s="1169"/>
      <c r="G245" s="1169"/>
      <c r="H245" s="1169"/>
      <c r="I245" s="1169"/>
      <c r="J245" s="1169"/>
      <c r="K245" s="1169"/>
      <c r="L245" s="1171"/>
      <c r="M245" s="1170"/>
      <c r="N245" s="1169"/>
      <c r="O245" s="1169"/>
      <c r="P245" s="1959"/>
      <c r="Q245" s="1959"/>
      <c r="R245" s="1959"/>
      <c r="S245" s="1959"/>
      <c r="T245" s="1960"/>
      <c r="U245" s="1169"/>
    </row>
    <row r="246" spans="2:23" x14ac:dyDescent="0.2">
      <c r="E246" s="1170"/>
      <c r="F246" s="1169"/>
      <c r="G246" s="1169"/>
      <c r="H246" s="1169"/>
      <c r="I246" s="1169"/>
      <c r="J246" s="1169"/>
      <c r="K246" s="1169"/>
      <c r="L246" s="1171"/>
      <c r="M246" s="1170"/>
      <c r="N246" s="1169"/>
      <c r="O246" s="1169"/>
      <c r="P246" s="1169"/>
      <c r="Q246" s="1169"/>
      <c r="R246" s="1169"/>
      <c r="S246" s="1169"/>
      <c r="T246" s="1171"/>
      <c r="U246" s="1169"/>
    </row>
    <row r="247" spans="2:23" x14ac:dyDescent="0.2">
      <c r="E247" s="1170"/>
      <c r="F247" s="1169"/>
      <c r="G247" s="1169"/>
      <c r="H247" s="1169"/>
      <c r="I247" s="1169"/>
      <c r="J247" s="1169"/>
      <c r="K247" s="1169"/>
      <c r="L247" s="1171"/>
      <c r="M247" s="1170"/>
      <c r="N247" s="1169"/>
      <c r="O247" s="1169"/>
      <c r="P247" s="1169"/>
      <c r="Q247" s="1169"/>
      <c r="R247" s="1169"/>
      <c r="S247" s="1169"/>
      <c r="T247" s="1171"/>
      <c r="U247" s="1169"/>
    </row>
    <row r="248" spans="2:23" x14ac:dyDescent="0.2">
      <c r="E248" s="1170"/>
      <c r="F248" s="1169"/>
      <c r="G248" s="1169"/>
      <c r="H248" s="1169"/>
      <c r="I248" s="1169"/>
      <c r="J248" s="1169"/>
      <c r="K248" s="1169"/>
      <c r="L248" s="1171"/>
      <c r="M248" s="1170"/>
      <c r="N248" s="1169"/>
      <c r="O248" s="1169"/>
      <c r="P248" s="1169"/>
      <c r="Q248" s="1169"/>
      <c r="R248" s="1169"/>
      <c r="S248" s="1169"/>
      <c r="T248" s="1171"/>
      <c r="U248" s="1169"/>
    </row>
    <row r="249" spans="2:23" x14ac:dyDescent="0.2">
      <c r="E249" s="1170"/>
      <c r="F249" s="1169"/>
      <c r="G249" s="1169"/>
      <c r="I249" s="1169"/>
      <c r="J249" s="1169"/>
      <c r="K249" s="1169"/>
      <c r="L249" s="1171"/>
      <c r="M249" s="1170"/>
      <c r="N249" s="1169"/>
      <c r="O249" s="1169"/>
      <c r="Q249" s="1169"/>
      <c r="R249" s="1169"/>
      <c r="S249" s="1169"/>
      <c r="T249" s="1171"/>
      <c r="U249" s="1169"/>
    </row>
    <row r="250" spans="2:23" x14ac:dyDescent="0.2">
      <c r="E250" s="1170"/>
      <c r="F250" s="1169"/>
      <c r="G250" s="1169"/>
      <c r="H250" s="1169"/>
      <c r="I250" s="1169"/>
      <c r="J250" s="1169"/>
      <c r="K250" s="1169"/>
      <c r="L250" s="1171"/>
      <c r="M250" s="1170"/>
      <c r="N250" s="1169"/>
      <c r="O250" s="1169"/>
      <c r="P250" s="1169"/>
      <c r="Q250" s="1169"/>
      <c r="R250" s="1169"/>
      <c r="S250" s="1169"/>
      <c r="T250" s="1171"/>
      <c r="U250" s="1169"/>
    </row>
    <row r="251" spans="2:23" x14ac:dyDescent="0.2">
      <c r="E251" s="1170"/>
      <c r="F251" s="1169"/>
      <c r="G251" s="1169"/>
      <c r="H251" s="1169"/>
      <c r="I251" s="1169"/>
      <c r="J251" s="1169"/>
      <c r="K251" s="1169"/>
      <c r="L251" s="1171"/>
      <c r="M251" s="1170"/>
      <c r="N251" s="1169"/>
      <c r="O251" s="1169"/>
      <c r="P251" s="1169"/>
      <c r="Q251" s="1169"/>
      <c r="R251" s="1169"/>
      <c r="S251" s="1169"/>
      <c r="T251" s="1171"/>
      <c r="U251" s="1169"/>
    </row>
    <row r="252" spans="2:23" x14ac:dyDescent="0.2">
      <c r="E252" s="1170"/>
      <c r="F252" s="1169"/>
      <c r="G252" s="1169"/>
      <c r="H252" s="1169"/>
      <c r="I252" s="1169"/>
      <c r="J252" s="1169"/>
      <c r="L252" s="1171"/>
      <c r="M252" s="1170"/>
      <c r="N252" s="1169"/>
      <c r="O252" s="1169"/>
      <c r="P252" s="1169"/>
      <c r="Q252" s="1169"/>
      <c r="R252" s="1169"/>
      <c r="T252" s="1171"/>
      <c r="U252" s="1169"/>
    </row>
    <row r="253" spans="2:23" x14ac:dyDescent="0.2">
      <c r="E253" s="1170"/>
      <c r="F253" s="1169"/>
      <c r="G253" s="1169"/>
      <c r="H253" s="1169"/>
      <c r="I253" s="1169"/>
      <c r="J253" s="1169"/>
      <c r="K253" s="1169"/>
      <c r="L253" s="1171"/>
      <c r="M253" s="1170"/>
      <c r="N253" s="1169"/>
      <c r="O253" s="1169"/>
      <c r="P253" s="1169"/>
      <c r="Q253" s="1169"/>
      <c r="R253" s="1169"/>
      <c r="S253" s="1169"/>
      <c r="T253" s="1171"/>
      <c r="U253" s="1169"/>
    </row>
    <row r="254" spans="2:23" x14ac:dyDescent="0.2">
      <c r="E254" s="1170"/>
      <c r="F254" s="1169"/>
      <c r="G254" s="1169"/>
      <c r="H254" s="1169"/>
      <c r="I254" s="1169"/>
      <c r="J254" s="1169"/>
      <c r="K254" s="1169"/>
      <c r="L254" s="1171"/>
      <c r="M254" s="1170"/>
      <c r="N254" s="1169"/>
      <c r="O254" s="1169"/>
      <c r="P254" s="1169"/>
      <c r="Q254" s="1169"/>
      <c r="R254" s="1169"/>
      <c r="S254" s="1169"/>
      <c r="T254" s="1171"/>
      <c r="U254" s="1169"/>
    </row>
    <row r="255" spans="2:23" x14ac:dyDescent="0.2">
      <c r="E255" s="1170"/>
      <c r="F255" s="1169"/>
      <c r="G255" s="1169"/>
      <c r="H255" s="1169"/>
      <c r="I255" s="1169"/>
      <c r="J255" s="1169"/>
      <c r="K255" s="1169"/>
      <c r="L255" s="1171"/>
      <c r="M255" s="1170"/>
      <c r="N255" s="1169"/>
      <c r="O255" s="1169"/>
      <c r="P255" s="1169"/>
      <c r="Q255" s="1169"/>
      <c r="R255" s="1169"/>
      <c r="S255" s="1169"/>
      <c r="T255" s="1171"/>
      <c r="U255" s="1169"/>
    </row>
    <row r="256" spans="2:23" x14ac:dyDescent="0.2">
      <c r="E256" s="1170"/>
      <c r="F256" s="1169"/>
      <c r="G256" s="1169"/>
      <c r="H256" s="1169"/>
      <c r="I256" s="1169"/>
      <c r="J256" s="1169"/>
      <c r="K256" s="1169"/>
      <c r="L256" s="1171"/>
      <c r="M256" s="1170"/>
      <c r="N256" s="1169"/>
      <c r="O256" s="1169"/>
      <c r="P256" s="1169"/>
      <c r="Q256" s="1169"/>
      <c r="R256" s="1169"/>
      <c r="S256" s="1169"/>
      <c r="T256" s="1171"/>
      <c r="U256" s="1169"/>
    </row>
    <row r="257" spans="2:28" x14ac:dyDescent="0.2">
      <c r="E257" s="1170"/>
      <c r="F257" s="1169"/>
      <c r="G257" s="1169"/>
      <c r="H257" s="1169"/>
      <c r="I257" s="1169"/>
      <c r="J257" s="1169"/>
      <c r="K257" s="1169"/>
      <c r="L257" s="1171"/>
      <c r="M257" s="1170"/>
      <c r="N257" s="1169"/>
      <c r="O257" s="1169"/>
      <c r="P257" s="1169"/>
      <c r="Q257" s="1169"/>
      <c r="R257" s="1169"/>
      <c r="S257" s="1169"/>
      <c r="T257" s="1171"/>
      <c r="U257" s="1169"/>
    </row>
    <row r="258" spans="2:28" x14ac:dyDescent="0.2">
      <c r="E258" s="1170"/>
      <c r="F258" s="1178"/>
      <c r="G258" s="1169"/>
      <c r="H258" s="1169"/>
      <c r="I258" s="1169"/>
      <c r="J258" s="1169"/>
      <c r="K258" s="1169"/>
      <c r="L258" s="1171"/>
      <c r="M258" s="1170"/>
      <c r="N258" s="1178"/>
      <c r="O258" s="1169"/>
      <c r="P258" s="1169"/>
      <c r="Q258" s="1169"/>
      <c r="R258" s="1169"/>
      <c r="S258" s="1169"/>
      <c r="T258" s="1171"/>
      <c r="U258" s="1169"/>
    </row>
    <row r="259" spans="2:28" ht="14.25" x14ac:dyDescent="0.2">
      <c r="E259" s="1170"/>
      <c r="F259" s="1179"/>
      <c r="G259" s="1169"/>
      <c r="H259" s="1169"/>
      <c r="I259" s="1169"/>
      <c r="J259" s="1169"/>
      <c r="K259" s="1169"/>
      <c r="L259" s="1171"/>
      <c r="M259" s="1170"/>
      <c r="N259" s="1179"/>
      <c r="O259" s="1169"/>
      <c r="P259" s="1169"/>
      <c r="Q259" s="1169"/>
      <c r="R259" s="1169"/>
      <c r="S259" s="1169"/>
      <c r="T259" s="1171"/>
      <c r="U259" s="1169"/>
    </row>
    <row r="260" spans="2:28" x14ac:dyDescent="0.2">
      <c r="E260" s="1170"/>
      <c r="F260" s="1176"/>
      <c r="G260" s="1169"/>
      <c r="H260" s="1169"/>
      <c r="I260" s="1169"/>
      <c r="J260" s="1169"/>
      <c r="K260" s="1169"/>
      <c r="L260" s="1171"/>
      <c r="M260" s="1170"/>
      <c r="N260" s="1176"/>
      <c r="O260" s="1169"/>
      <c r="P260" s="1169"/>
      <c r="Q260" s="1169"/>
      <c r="R260" s="1169"/>
      <c r="S260" s="1169"/>
      <c r="T260" s="1171"/>
      <c r="U260" s="1169"/>
      <c r="Y260" s="1158">
        <f>G240+O240</f>
        <v>0</v>
      </c>
      <c r="Z260" s="1159">
        <f>O239+G239</f>
        <v>0</v>
      </c>
      <c r="AA260" s="1180">
        <f>(IF(G240&lt;0.2,G239,0))+(IF(O240&lt;0.2,O239,0))</f>
        <v>0</v>
      </c>
      <c r="AB260" s="1158">
        <f>G241+O241</f>
        <v>0</v>
      </c>
    </row>
    <row r="261" spans="2:28" ht="13.5" thickBot="1" x14ac:dyDescent="0.25">
      <c r="E261" s="1181"/>
      <c r="F261" s="1182"/>
      <c r="G261" s="1182"/>
      <c r="H261" s="1182"/>
      <c r="I261" s="1182"/>
      <c r="J261" s="1182"/>
      <c r="K261" s="1182"/>
      <c r="L261" s="1183"/>
      <c r="M261" s="1181"/>
      <c r="N261" s="1182"/>
      <c r="O261" s="1182"/>
      <c r="P261" s="1182"/>
      <c r="Q261" s="1182"/>
      <c r="R261" s="1182"/>
      <c r="S261" s="1182"/>
      <c r="T261" s="1183"/>
      <c r="U261" s="1169"/>
    </row>
    <row r="262" spans="2:28" ht="26.25" x14ac:dyDescent="0.2">
      <c r="E262" s="1167">
        <f>M237+1</f>
        <v>17</v>
      </c>
      <c r="F262" s="3454" t="s">
        <v>28178</v>
      </c>
      <c r="G262" s="3455"/>
      <c r="H262" s="3464" t="str">
        <f>Liste!B364&amp;" ("&amp;Liste!C364&amp;")"</f>
        <v>Führungsschienenbefestigungsspangen Standard verzinkt (0308133)</v>
      </c>
      <c r="I262" s="3464"/>
      <c r="J262" s="3464"/>
      <c r="K262" s="3465"/>
      <c r="L262" s="1168">
        <f>IF(G265&gt;0.2,G265,0)</f>
        <v>0</v>
      </c>
      <c r="M262" s="1167">
        <f>E262+1</f>
        <v>18</v>
      </c>
      <c r="N262" s="3454" t="s">
        <v>28178</v>
      </c>
      <c r="O262" s="3455"/>
      <c r="P262" s="3464" t="str">
        <f>Liste!B375&amp;" ("&amp;Liste!C375&amp;")"</f>
        <v>Halterung Initiator Pepperl+Fuchs NBN 12 verzinkt (0308233)</v>
      </c>
      <c r="Q262" s="3464"/>
      <c r="R262" s="3464"/>
      <c r="S262" s="3465"/>
      <c r="T262" s="1168">
        <f>IF(O265&gt;0.2,O265,0)</f>
        <v>0</v>
      </c>
      <c r="U262" s="1169"/>
    </row>
    <row r="263" spans="2:28" x14ac:dyDescent="0.2">
      <c r="B263" s="1954" t="s">
        <v>29900</v>
      </c>
      <c r="C263" s="1955">
        <f>Liste!E362</f>
        <v>60</v>
      </c>
      <c r="E263" s="1170"/>
      <c r="F263" s="1169"/>
      <c r="G263" s="1169"/>
      <c r="H263" s="1169"/>
      <c r="I263" s="1169"/>
      <c r="J263" s="1169"/>
      <c r="K263" s="1169"/>
      <c r="L263" s="1171"/>
      <c r="M263" s="1170"/>
      <c r="N263" s="1169"/>
      <c r="O263" s="1169"/>
      <c r="P263" s="1169"/>
      <c r="Q263" s="1169"/>
      <c r="R263" s="1169"/>
      <c r="S263" s="1169"/>
      <c r="T263" s="1171"/>
      <c r="U263" s="1169"/>
      <c r="V263" s="1954" t="s">
        <v>29900</v>
      </c>
      <c r="W263" s="1955">
        <f>Liste!E375</f>
        <v>80</v>
      </c>
      <c r="X263" s="1955"/>
    </row>
    <row r="264" spans="2:28" ht="15.75" x14ac:dyDescent="0.2">
      <c r="B264" s="1954" t="s">
        <v>29901</v>
      </c>
      <c r="C264" s="1955">
        <f>Liste!F362</f>
        <v>161.19999999999999</v>
      </c>
      <c r="E264" s="1170"/>
      <c r="F264" s="1172" t="s">
        <v>27904</v>
      </c>
      <c r="G264" s="1173">
        <f>IF(J18="ja",Liste!D362,0)</f>
        <v>0</v>
      </c>
      <c r="H264" s="1169" t="s">
        <v>28179</v>
      </c>
      <c r="I264" s="1169"/>
      <c r="J264" s="1169"/>
      <c r="K264" s="1169"/>
      <c r="L264" s="1171"/>
      <c r="M264" s="1170"/>
      <c r="N264" s="1172" t="s">
        <v>27904</v>
      </c>
      <c r="O264" s="1173">
        <f>IF(J18="ja",Liste!D375,0)</f>
        <v>0</v>
      </c>
      <c r="P264" s="1169" t="s">
        <v>28179</v>
      </c>
      <c r="Q264" s="1169"/>
      <c r="R264" s="1169"/>
      <c r="S264" s="1169"/>
      <c r="T264" s="1171"/>
      <c r="U264" s="1169"/>
      <c r="V264" s="1954" t="s">
        <v>29901</v>
      </c>
      <c r="W264" s="1955">
        <f>Liste!F375</f>
        <v>173</v>
      </c>
      <c r="X264" s="1955"/>
    </row>
    <row r="265" spans="2:28" ht="15.75" x14ac:dyDescent="0.2">
      <c r="B265" s="1954" t="s">
        <v>31205</v>
      </c>
      <c r="C265" s="1956">
        <f>C263*C264/1000/1000</f>
        <v>9.672E-3</v>
      </c>
      <c r="E265" s="1170"/>
      <c r="F265" s="1172" t="s">
        <v>28180</v>
      </c>
      <c r="G265" s="1173">
        <f>IF(G264&gt;0,G264*C265*C266,0)</f>
        <v>0</v>
      </c>
      <c r="H265" s="1169" t="s">
        <v>28181</v>
      </c>
      <c r="K265" s="1172" t="str">
        <f>IF(G265&lt;&gt;0,IF(G265&lt;0.2,"Kleinteil, Gerundete Fläche:",""),"")</f>
        <v/>
      </c>
      <c r="L265" s="1174">
        <f>IF(K265&lt;&gt;"",0.2,0)</f>
        <v>0</v>
      </c>
      <c r="M265" s="1170"/>
      <c r="N265" s="1172" t="s">
        <v>28180</v>
      </c>
      <c r="O265" s="1173">
        <f>IF(O264&gt;0,O264*(W265+X265)*W266,0)</f>
        <v>0</v>
      </c>
      <c r="P265" s="1169" t="s">
        <v>28181</v>
      </c>
      <c r="S265" s="1172" t="str">
        <f>IF(O265&lt;&gt;0,IF(O265&lt;0.2,"Kleinteil, Gerundete Fläche:",""),"")</f>
        <v/>
      </c>
      <c r="T265" s="1175">
        <f>IF(S265&lt;&gt;"",0.2,0)</f>
        <v>0</v>
      </c>
      <c r="U265" s="1169"/>
      <c r="V265" s="1954" t="s">
        <v>31205</v>
      </c>
      <c r="W265" s="1956">
        <f>W263*W264/1000/1000</f>
        <v>1.384E-2</v>
      </c>
      <c r="X265" s="1956"/>
    </row>
    <row r="266" spans="2:28" ht="15.75" x14ac:dyDescent="0.2">
      <c r="B266" s="1954" t="s">
        <v>29902</v>
      </c>
      <c r="C266" s="1957">
        <v>2</v>
      </c>
      <c r="E266" s="1170"/>
      <c r="F266" s="1172" t="s">
        <v>28182</v>
      </c>
      <c r="G266" s="1173">
        <f>IF(G264&gt;0,G264*C265*C267,0)</f>
        <v>0</v>
      </c>
      <c r="H266" s="1169" t="s">
        <v>28181</v>
      </c>
      <c r="I266" s="1186" t="s">
        <v>28185</v>
      </c>
      <c r="J266" s="1169"/>
      <c r="K266" s="1169"/>
      <c r="L266" s="1171"/>
      <c r="M266" s="1170"/>
      <c r="N266" s="1172" t="s">
        <v>28182</v>
      </c>
      <c r="O266" s="1173">
        <f>IF(O264&gt;0,O264*(W265+X265)*W267,0)</f>
        <v>0</v>
      </c>
      <c r="P266" s="1169" t="s">
        <v>28181</v>
      </c>
      <c r="Q266" s="1186" t="s">
        <v>28185</v>
      </c>
      <c r="R266" s="1169"/>
      <c r="S266" s="1169"/>
      <c r="T266" s="1171"/>
      <c r="U266" s="1169"/>
      <c r="V266" s="1954" t="s">
        <v>29902</v>
      </c>
      <c r="W266" s="1957">
        <v>2</v>
      </c>
    </row>
    <row r="267" spans="2:28" ht="14.25" x14ac:dyDescent="0.2">
      <c r="B267" s="1954" t="s">
        <v>29903</v>
      </c>
      <c r="C267" s="1957">
        <v>0</v>
      </c>
      <c r="E267" s="1170"/>
      <c r="F267" s="1176"/>
      <c r="G267" s="1169"/>
      <c r="H267" s="1169"/>
      <c r="I267" s="1169"/>
      <c r="J267" s="1169"/>
      <c r="K267" s="1169"/>
      <c r="L267" s="1171"/>
      <c r="M267" s="1170"/>
      <c r="N267" s="1176"/>
      <c r="O267" s="1169"/>
      <c r="P267" s="1169"/>
      <c r="Q267" s="1169"/>
      <c r="R267" s="1169"/>
      <c r="S267" s="1169"/>
      <c r="T267" s="1171"/>
      <c r="U267" s="1169"/>
      <c r="V267" s="1954" t="s">
        <v>29903</v>
      </c>
      <c r="W267" s="1957">
        <v>0</v>
      </c>
    </row>
    <row r="268" spans="2:28" x14ac:dyDescent="0.2">
      <c r="E268" s="1170"/>
      <c r="F268" s="1169"/>
      <c r="G268" s="1169"/>
      <c r="H268" s="1169"/>
      <c r="I268" s="1169"/>
      <c r="J268" s="1169"/>
      <c r="K268" s="1169"/>
      <c r="L268" s="1171"/>
      <c r="M268" s="1170"/>
      <c r="N268" s="1169"/>
      <c r="O268" s="1169"/>
      <c r="P268" s="1169"/>
      <c r="Q268" s="1169"/>
      <c r="R268" s="1169"/>
      <c r="S268" s="1169"/>
      <c r="T268" s="1171"/>
      <c r="U268" s="1169"/>
    </row>
    <row r="269" spans="2:28" ht="16.5" x14ac:dyDescent="0.2">
      <c r="E269" s="1170"/>
      <c r="F269" s="1177" t="s">
        <v>28183</v>
      </c>
      <c r="G269" s="1169"/>
      <c r="H269" s="1169"/>
      <c r="I269" s="1169"/>
      <c r="J269" s="1169"/>
      <c r="K269" s="1169"/>
      <c r="L269" s="1171"/>
      <c r="M269" s="1170"/>
      <c r="N269" s="1177" t="s">
        <v>28183</v>
      </c>
      <c r="O269" s="1169"/>
      <c r="P269" s="1169"/>
      <c r="Q269" s="1169"/>
      <c r="R269" s="1169"/>
      <c r="S269" s="1169"/>
      <c r="T269" s="1171"/>
      <c r="U269" s="1169"/>
    </row>
    <row r="270" spans="2:28" x14ac:dyDescent="0.2">
      <c r="E270" s="1170"/>
      <c r="F270" s="1169"/>
      <c r="G270" s="1169"/>
      <c r="H270" s="1169"/>
      <c r="I270" s="1169"/>
      <c r="J270" s="1169"/>
      <c r="K270" s="1169"/>
      <c r="L270" s="1171"/>
      <c r="M270" s="1170"/>
      <c r="N270" s="1169"/>
      <c r="O270" s="1169"/>
      <c r="P270" s="1169"/>
      <c r="Q270" s="1169"/>
      <c r="R270" s="1169"/>
      <c r="S270" s="1169"/>
      <c r="T270" s="1171"/>
      <c r="U270" s="1169"/>
    </row>
    <row r="271" spans="2:28" x14ac:dyDescent="0.2">
      <c r="E271" s="1170"/>
      <c r="F271" s="1169"/>
      <c r="G271" s="1169"/>
      <c r="H271" s="1169"/>
      <c r="I271" s="1169"/>
      <c r="J271" s="1169"/>
      <c r="K271" s="1169"/>
      <c r="L271" s="1171"/>
      <c r="M271" s="1170"/>
      <c r="N271" s="1169"/>
      <c r="O271" s="1169"/>
      <c r="P271" s="1169"/>
      <c r="Q271" s="1169"/>
      <c r="R271" s="1169"/>
      <c r="S271" s="1169"/>
      <c r="T271" s="1171"/>
      <c r="U271" s="1169"/>
    </row>
    <row r="272" spans="2:28" x14ac:dyDescent="0.2">
      <c r="E272" s="1170"/>
      <c r="F272" s="1169"/>
      <c r="G272" s="1169"/>
      <c r="H272" s="1169"/>
      <c r="I272" s="1169"/>
      <c r="J272" s="1169"/>
      <c r="K272" s="1169"/>
      <c r="L272" s="1171"/>
      <c r="M272" s="1170"/>
      <c r="N272" s="1169"/>
      <c r="O272" s="1169"/>
      <c r="P272" s="1169"/>
      <c r="Q272" s="1169"/>
      <c r="R272" s="1169"/>
      <c r="S272" s="1169"/>
      <c r="T272" s="1171"/>
      <c r="U272" s="1169"/>
    </row>
    <row r="273" spans="2:28" x14ac:dyDescent="0.2">
      <c r="E273" s="1170"/>
      <c r="F273" s="1169"/>
      <c r="G273" s="1169"/>
      <c r="H273" s="1169"/>
      <c r="I273" s="1169"/>
      <c r="J273" s="1169"/>
      <c r="K273" s="1169"/>
      <c r="L273" s="1171"/>
      <c r="M273" s="1170"/>
      <c r="N273" s="1169"/>
      <c r="O273" s="1169"/>
      <c r="P273" s="1169"/>
      <c r="Q273" s="1169"/>
      <c r="R273" s="1169"/>
      <c r="S273" s="1169"/>
      <c r="T273" s="1171"/>
      <c r="U273" s="1169"/>
    </row>
    <row r="274" spans="2:28" x14ac:dyDescent="0.2">
      <c r="E274" s="1170"/>
      <c r="F274" s="1169"/>
      <c r="G274" s="1169"/>
      <c r="I274" s="1169"/>
      <c r="J274" s="1169"/>
      <c r="K274" s="1169"/>
      <c r="L274" s="1171"/>
      <c r="M274" s="1170"/>
      <c r="N274" s="1169"/>
      <c r="O274" s="1169"/>
      <c r="Q274" s="1169"/>
      <c r="R274" s="1169"/>
      <c r="S274" s="1169"/>
      <c r="T274" s="1171"/>
      <c r="U274" s="1169"/>
    </row>
    <row r="275" spans="2:28" x14ac:dyDescent="0.2">
      <c r="E275" s="1170"/>
      <c r="F275" s="1169"/>
      <c r="G275" s="1169"/>
      <c r="H275" s="1169"/>
      <c r="I275" s="1169"/>
      <c r="J275" s="1169"/>
      <c r="K275" s="1169"/>
      <c r="L275" s="1171"/>
      <c r="M275" s="1170"/>
      <c r="N275" s="1169"/>
      <c r="O275" s="1169"/>
      <c r="P275" s="1169"/>
      <c r="Q275" s="1169"/>
      <c r="R275" s="1169"/>
      <c r="S275" s="1169"/>
      <c r="T275" s="1171"/>
      <c r="U275" s="1169"/>
    </row>
    <row r="276" spans="2:28" x14ac:dyDescent="0.2">
      <c r="E276" s="1170"/>
      <c r="F276" s="1169"/>
      <c r="G276" s="1169"/>
      <c r="H276" s="1169"/>
      <c r="I276" s="1169"/>
      <c r="J276" s="1169"/>
      <c r="K276" s="1169"/>
      <c r="L276" s="1171"/>
      <c r="M276" s="1170"/>
      <c r="N276" s="1169"/>
      <c r="O276" s="1169"/>
      <c r="P276" s="1169"/>
      <c r="Q276" s="1169"/>
      <c r="R276" s="1169"/>
      <c r="S276" s="1169"/>
      <c r="T276" s="1171"/>
      <c r="U276" s="1169"/>
    </row>
    <row r="277" spans="2:28" x14ac:dyDescent="0.2">
      <c r="E277" s="1170"/>
      <c r="F277" s="1169"/>
      <c r="G277" s="1169"/>
      <c r="H277" s="1169"/>
      <c r="I277" s="1169"/>
      <c r="J277" s="1169"/>
      <c r="L277" s="1171"/>
      <c r="M277" s="1170"/>
      <c r="N277" s="1169"/>
      <c r="O277" s="1169"/>
      <c r="P277" s="1169"/>
      <c r="Q277" s="1169"/>
      <c r="R277" s="1169"/>
      <c r="T277" s="1171"/>
      <c r="U277" s="1169"/>
    </row>
    <row r="278" spans="2:28" x14ac:dyDescent="0.2">
      <c r="E278" s="1170"/>
      <c r="F278" s="1169"/>
      <c r="G278" s="1169"/>
      <c r="H278" s="1169"/>
      <c r="I278" s="1169"/>
      <c r="J278" s="1169"/>
      <c r="K278" s="1169"/>
      <c r="L278" s="1171"/>
      <c r="M278" s="1170"/>
      <c r="N278" s="1169"/>
      <c r="O278" s="1169"/>
      <c r="P278" s="1169"/>
      <c r="Q278" s="1169"/>
      <c r="R278" s="1169"/>
      <c r="S278" s="1169"/>
      <c r="T278" s="1171"/>
      <c r="U278" s="1169"/>
    </row>
    <row r="279" spans="2:28" x14ac:dyDescent="0.2">
      <c r="E279" s="1170"/>
      <c r="F279" s="1169"/>
      <c r="G279" s="1169"/>
      <c r="H279" s="1169"/>
      <c r="I279" s="1169"/>
      <c r="J279" s="1169"/>
      <c r="K279" s="1169"/>
      <c r="L279" s="1171"/>
      <c r="M279" s="1170"/>
      <c r="N279" s="1169"/>
      <c r="O279" s="1169"/>
      <c r="P279" s="1169"/>
      <c r="Q279" s="1169"/>
      <c r="R279" s="1169"/>
      <c r="S279" s="1169"/>
      <c r="T279" s="1171"/>
      <c r="U279" s="1169"/>
    </row>
    <row r="280" spans="2:28" x14ac:dyDescent="0.2">
      <c r="E280" s="1170"/>
      <c r="F280" s="1169"/>
      <c r="G280" s="1169"/>
      <c r="H280" s="1169"/>
      <c r="I280" s="1169"/>
      <c r="J280" s="1169"/>
      <c r="K280" s="1169"/>
      <c r="L280" s="1171"/>
      <c r="M280" s="1170"/>
      <c r="N280" s="1169"/>
      <c r="O280" s="1169"/>
      <c r="P280" s="1169"/>
      <c r="Q280" s="1169"/>
      <c r="R280" s="1169"/>
      <c r="S280" s="1169"/>
      <c r="T280" s="1171"/>
      <c r="U280" s="1169"/>
    </row>
    <row r="281" spans="2:28" x14ac:dyDescent="0.2">
      <c r="E281" s="1170"/>
      <c r="F281" s="1169"/>
      <c r="G281" s="1169"/>
      <c r="H281" s="1169"/>
      <c r="I281" s="1169"/>
      <c r="J281" s="1169"/>
      <c r="K281" s="1169"/>
      <c r="L281" s="1171"/>
      <c r="M281" s="1170"/>
      <c r="N281" s="1169"/>
      <c r="O281" s="1169"/>
      <c r="P281" s="1169"/>
      <c r="Q281" s="1169"/>
      <c r="R281" s="1169"/>
      <c r="S281" s="1169"/>
      <c r="T281" s="1171"/>
      <c r="U281" s="1169"/>
    </row>
    <row r="282" spans="2:28" x14ac:dyDescent="0.2">
      <c r="E282" s="1170"/>
      <c r="F282" s="1169"/>
      <c r="G282" s="1169"/>
      <c r="H282" s="1169"/>
      <c r="I282" s="1169"/>
      <c r="J282" s="1169"/>
      <c r="K282" s="1169"/>
      <c r="L282" s="1171"/>
      <c r="M282" s="1170"/>
      <c r="N282" s="1169"/>
      <c r="O282" s="1169"/>
      <c r="P282" s="1169"/>
      <c r="Q282" s="1169"/>
      <c r="R282" s="1169"/>
      <c r="S282" s="1169"/>
      <c r="T282" s="1171"/>
      <c r="U282" s="1169"/>
    </row>
    <row r="283" spans="2:28" x14ac:dyDescent="0.2">
      <c r="E283" s="1170"/>
      <c r="F283" s="1178"/>
      <c r="G283" s="1169"/>
      <c r="H283" s="1169"/>
      <c r="I283" s="1169"/>
      <c r="J283" s="1169"/>
      <c r="K283" s="1169"/>
      <c r="L283" s="1171"/>
      <c r="M283" s="1170"/>
      <c r="N283" s="1178"/>
      <c r="O283" s="1169"/>
      <c r="P283" s="1169"/>
      <c r="Q283" s="1169"/>
      <c r="R283" s="1169"/>
      <c r="S283" s="1169"/>
      <c r="T283" s="1171"/>
      <c r="U283" s="1169"/>
    </row>
    <row r="284" spans="2:28" ht="14.25" x14ac:dyDescent="0.2">
      <c r="E284" s="1170"/>
      <c r="F284" s="1179"/>
      <c r="G284" s="1169"/>
      <c r="H284" s="1169"/>
      <c r="I284" s="1169"/>
      <c r="J284" s="1169"/>
      <c r="K284" s="1169"/>
      <c r="L284" s="1171"/>
      <c r="M284" s="1170"/>
      <c r="N284" s="1179"/>
      <c r="O284" s="1169"/>
      <c r="P284" s="1169"/>
      <c r="Q284" s="1169"/>
      <c r="R284" s="1169"/>
      <c r="S284" s="1169"/>
      <c r="T284" s="1171"/>
      <c r="U284" s="1169"/>
    </row>
    <row r="285" spans="2:28" x14ac:dyDescent="0.2">
      <c r="E285" s="1170"/>
      <c r="F285" s="1176"/>
      <c r="G285" s="1169"/>
      <c r="H285" s="1169"/>
      <c r="I285" s="1169"/>
      <c r="J285" s="1169"/>
      <c r="K285" s="1169"/>
      <c r="L285" s="1171"/>
      <c r="M285" s="1170"/>
      <c r="N285" s="1176"/>
      <c r="O285" s="1169"/>
      <c r="P285" s="1169"/>
      <c r="Q285" s="1169"/>
      <c r="R285" s="1169"/>
      <c r="S285" s="1169"/>
      <c r="T285" s="1171"/>
      <c r="U285" s="1169"/>
      <c r="Y285" s="1158">
        <f>G265+O265</f>
        <v>0</v>
      </c>
      <c r="Z285" s="1159">
        <f>O264+G264</f>
        <v>0</v>
      </c>
      <c r="AA285" s="1180">
        <f>(IF(G265&lt;0.2,G264,0))+(IF(O265&lt;0.2,O264,0))</f>
        <v>0</v>
      </c>
      <c r="AB285" s="1158">
        <f>G266+O266</f>
        <v>0</v>
      </c>
    </row>
    <row r="286" spans="2:28" ht="13.5" thickBot="1" x14ac:dyDescent="0.25">
      <c r="E286" s="1181"/>
      <c r="F286" s="1182"/>
      <c r="G286" s="1182"/>
      <c r="H286" s="1182"/>
      <c r="I286" s="1182"/>
      <c r="J286" s="1182"/>
      <c r="K286" s="1182"/>
      <c r="L286" s="1183"/>
      <c r="M286" s="1181"/>
      <c r="N286" s="1182"/>
      <c r="O286" s="1182"/>
      <c r="P286" s="1182"/>
      <c r="Q286" s="1182"/>
      <c r="R286" s="1182"/>
      <c r="S286" s="1182"/>
      <c r="T286" s="1183"/>
      <c r="U286" s="1169"/>
    </row>
    <row r="287" spans="2:28" ht="26.25" x14ac:dyDescent="0.2">
      <c r="E287" s="1167">
        <f>M262+1</f>
        <v>19</v>
      </c>
      <c r="F287" s="3454" t="s">
        <v>28178</v>
      </c>
      <c r="G287" s="3455"/>
      <c r="H287" s="3464" t="str">
        <f>Liste!B377&amp;" ("&amp;Liste!C377&amp;")"</f>
        <v>Endschalterkonsole Führungsschiene GCC vertikal verz. (0308335)</v>
      </c>
      <c r="I287" s="3464"/>
      <c r="J287" s="3464"/>
      <c r="K287" s="3465"/>
      <c r="L287" s="1168">
        <f>IF(G290&gt;0.2,G290,0)</f>
        <v>0</v>
      </c>
      <c r="M287" s="1167">
        <f>E287+1</f>
        <v>20</v>
      </c>
      <c r="N287" s="3454" t="s">
        <v>28178</v>
      </c>
      <c r="O287" s="3455"/>
      <c r="P287" s="3464" t="str">
        <f>Liste!B380&amp;" ("&amp;Liste!C380&amp;")"</f>
        <v>Schaltfahne Initiator Pepperl+Fuchs NBN 12 verzinkt (0308234)</v>
      </c>
      <c r="Q287" s="3464"/>
      <c r="R287" s="3464"/>
      <c r="S287" s="3465"/>
      <c r="T287" s="1168">
        <f>IF(O290&gt;0.2,O290,0)</f>
        <v>0</v>
      </c>
      <c r="U287" s="1169"/>
    </row>
    <row r="288" spans="2:28" x14ac:dyDescent="0.2">
      <c r="B288" s="1954" t="s">
        <v>29900</v>
      </c>
      <c r="C288" s="1955">
        <f>Liste!E377</f>
        <v>80</v>
      </c>
      <c r="E288" s="1170"/>
      <c r="F288" s="1169"/>
      <c r="G288" s="1169"/>
      <c r="H288" s="1169"/>
      <c r="I288" s="1169"/>
      <c r="J288" s="1169"/>
      <c r="K288" s="1169"/>
      <c r="L288" s="1171"/>
      <c r="M288" s="1170"/>
      <c r="N288" s="1169"/>
      <c r="O288" s="1169"/>
      <c r="P288" s="1169"/>
      <c r="Q288" s="1169"/>
      <c r="R288" s="1169"/>
      <c r="S288" s="1169"/>
      <c r="T288" s="1171"/>
      <c r="U288" s="1169"/>
      <c r="V288" s="1954" t="s">
        <v>29900</v>
      </c>
      <c r="W288" s="1955">
        <f>Liste!E380</f>
        <v>160</v>
      </c>
      <c r="X288" s="1955"/>
    </row>
    <row r="289" spans="2:24" ht="15.75" x14ac:dyDescent="0.2">
      <c r="B289" s="1954" t="s">
        <v>29901</v>
      </c>
      <c r="C289" s="1955">
        <f>Liste!F377</f>
        <v>173</v>
      </c>
      <c r="E289" s="1170"/>
      <c r="F289" s="1172" t="s">
        <v>27904</v>
      </c>
      <c r="G289" s="1173">
        <f>IF(J18="ja",Liste!D377,0)</f>
        <v>0</v>
      </c>
      <c r="H289" s="1169" t="s">
        <v>28179</v>
      </c>
      <c r="I289" s="1169"/>
      <c r="J289" s="1169"/>
      <c r="K289" s="1169"/>
      <c r="L289" s="1171"/>
      <c r="M289" s="1170"/>
      <c r="N289" s="1172" t="s">
        <v>27904</v>
      </c>
      <c r="O289" s="1173">
        <f>IF(J18="ja",Liste!D380,0)</f>
        <v>0</v>
      </c>
      <c r="P289" s="1169" t="s">
        <v>28179</v>
      </c>
      <c r="Q289" s="1169"/>
      <c r="R289" s="1169"/>
      <c r="S289" s="1169"/>
      <c r="T289" s="1171"/>
      <c r="U289" s="1169"/>
      <c r="V289" s="1954" t="s">
        <v>29901</v>
      </c>
      <c r="W289" s="1955">
        <f>Liste!F380</f>
        <v>125</v>
      </c>
      <c r="X289" s="1955"/>
    </row>
    <row r="290" spans="2:24" ht="15.75" x14ac:dyDescent="0.2">
      <c r="B290" s="1954" t="s">
        <v>31205</v>
      </c>
      <c r="C290" s="1956">
        <f>C288*C289/1000/1000</f>
        <v>1.384E-2</v>
      </c>
      <c r="E290" s="1170"/>
      <c r="F290" s="1172" t="s">
        <v>28180</v>
      </c>
      <c r="G290" s="1173">
        <f>IF(G289&gt;0,G289*C290*C291,0)</f>
        <v>0</v>
      </c>
      <c r="H290" s="1169" t="s">
        <v>28181</v>
      </c>
      <c r="K290" s="1172" t="str">
        <f>IF(G290&lt;&gt;0,IF(G290&lt;0.2,"Kleinteil, Gerundete Fläche:",""),"")</f>
        <v/>
      </c>
      <c r="L290" s="1174">
        <f>IF(K290&lt;&gt;"",0.2,0)</f>
        <v>0</v>
      </c>
      <c r="M290" s="1170"/>
      <c r="N290" s="1172" t="s">
        <v>28180</v>
      </c>
      <c r="O290" s="1173">
        <f>IF(O289&gt;0,O289*(W290+X290)*W291,0)</f>
        <v>0</v>
      </c>
      <c r="P290" s="1169" t="s">
        <v>28181</v>
      </c>
      <c r="S290" s="1172" t="str">
        <f>IF(O290&lt;&gt;0,IF(O290&lt;0.2,"Kleinteil, Gerundete Fläche:",""),"")</f>
        <v/>
      </c>
      <c r="T290" s="1175">
        <f>IF(S290&lt;&gt;"",0.2,0)</f>
        <v>0</v>
      </c>
      <c r="U290" s="1169"/>
      <c r="V290" s="1954" t="s">
        <v>31205</v>
      </c>
      <c r="W290" s="1956">
        <f>W288*W289/1000/1000</f>
        <v>0.02</v>
      </c>
      <c r="X290" s="1956"/>
    </row>
    <row r="291" spans="2:24" ht="15.75" x14ac:dyDescent="0.2">
      <c r="B291" s="1954" t="s">
        <v>29902</v>
      </c>
      <c r="C291" s="1957">
        <v>2</v>
      </c>
      <c r="E291" s="1170"/>
      <c r="F291" s="1172" t="s">
        <v>28182</v>
      </c>
      <c r="G291" s="1173">
        <f>IF(G289&gt;0,G289*C290*C292,0)</f>
        <v>0</v>
      </c>
      <c r="H291" s="1169" t="s">
        <v>28181</v>
      </c>
      <c r="I291" s="1186" t="s">
        <v>28185</v>
      </c>
      <c r="J291" s="1169"/>
      <c r="K291" s="1169"/>
      <c r="L291" s="1171"/>
      <c r="M291" s="1170"/>
      <c r="N291" s="1172" t="s">
        <v>28182</v>
      </c>
      <c r="O291" s="1173">
        <f>IF(O289&gt;0,O289*(W290+X290)*W292,0)</f>
        <v>0</v>
      </c>
      <c r="P291" s="1169" t="s">
        <v>28181</v>
      </c>
      <c r="Q291" s="1186" t="s">
        <v>28185</v>
      </c>
      <c r="R291" s="1169"/>
      <c r="S291" s="1169"/>
      <c r="T291" s="1171"/>
      <c r="U291" s="1169"/>
      <c r="V291" s="1954" t="s">
        <v>29902</v>
      </c>
      <c r="W291" s="1957">
        <v>2</v>
      </c>
    </row>
    <row r="292" spans="2:24" ht="14.25" x14ac:dyDescent="0.2">
      <c r="B292" s="1954" t="s">
        <v>29903</v>
      </c>
      <c r="C292" s="1957">
        <v>0</v>
      </c>
      <c r="E292" s="1170"/>
      <c r="F292" s="1176"/>
      <c r="G292" s="1169"/>
      <c r="H292" s="1169"/>
      <c r="I292" s="1169"/>
      <c r="J292" s="1169"/>
      <c r="K292" s="1169"/>
      <c r="L292" s="1171"/>
      <c r="M292" s="1170"/>
      <c r="N292" s="1176"/>
      <c r="O292" s="1169"/>
      <c r="P292" s="1169"/>
      <c r="Q292" s="1169"/>
      <c r="R292" s="1169"/>
      <c r="S292" s="1169"/>
      <c r="T292" s="1171"/>
      <c r="U292" s="1169"/>
      <c r="V292" s="1954" t="s">
        <v>29903</v>
      </c>
      <c r="W292" s="1957">
        <v>0</v>
      </c>
    </row>
    <row r="293" spans="2:24" x14ac:dyDescent="0.2">
      <c r="E293" s="1170"/>
      <c r="F293" s="1169"/>
      <c r="G293" s="1169"/>
      <c r="H293" s="1169"/>
      <c r="I293" s="1169"/>
      <c r="J293" s="1169"/>
      <c r="K293" s="1169"/>
      <c r="L293" s="1171"/>
      <c r="M293" s="1170"/>
      <c r="N293" s="1169"/>
      <c r="O293" s="1169"/>
      <c r="P293" s="1169"/>
      <c r="Q293" s="1169"/>
      <c r="R293" s="1169"/>
      <c r="S293" s="1169"/>
      <c r="T293" s="1171"/>
      <c r="U293" s="1169"/>
    </row>
    <row r="294" spans="2:24" ht="16.5" x14ac:dyDescent="0.2">
      <c r="E294" s="1170"/>
      <c r="F294" s="1177" t="s">
        <v>28183</v>
      </c>
      <c r="G294" s="1169"/>
      <c r="H294" s="1169"/>
      <c r="I294" s="1169"/>
      <c r="J294" s="1169"/>
      <c r="K294" s="1169"/>
      <c r="L294" s="1171"/>
      <c r="M294" s="1170"/>
      <c r="N294" s="1177" t="s">
        <v>28183</v>
      </c>
      <c r="O294" s="1169"/>
      <c r="P294" s="1169"/>
      <c r="Q294" s="1169"/>
      <c r="R294" s="1169"/>
      <c r="S294" s="1169"/>
      <c r="T294" s="1171"/>
      <c r="U294" s="1169"/>
    </row>
    <row r="295" spans="2:24" x14ac:dyDescent="0.2">
      <c r="E295" s="1170"/>
      <c r="F295" s="1169"/>
      <c r="G295" s="1169"/>
      <c r="H295" s="1169"/>
      <c r="I295" s="1169"/>
      <c r="J295" s="1169"/>
      <c r="K295" s="1169"/>
      <c r="L295" s="1171"/>
      <c r="M295" s="1170"/>
      <c r="N295" s="1169"/>
      <c r="O295" s="1169"/>
      <c r="P295" s="1169"/>
      <c r="Q295" s="1169"/>
      <c r="R295" s="1169"/>
      <c r="S295" s="1169"/>
      <c r="T295" s="1171"/>
      <c r="U295" s="1169"/>
    </row>
    <row r="296" spans="2:24" x14ac:dyDescent="0.2">
      <c r="E296" s="1170"/>
      <c r="F296" s="1169"/>
      <c r="G296" s="1169"/>
      <c r="H296" s="1169"/>
      <c r="I296" s="1169"/>
      <c r="J296" s="1169"/>
      <c r="K296" s="1169"/>
      <c r="L296" s="1171"/>
      <c r="M296" s="1170"/>
      <c r="N296" s="1169"/>
      <c r="O296" s="1169"/>
      <c r="P296" s="1169"/>
      <c r="Q296" s="1169"/>
      <c r="R296" s="1169"/>
      <c r="S296" s="1169"/>
      <c r="T296" s="1171"/>
      <c r="U296" s="1169"/>
    </row>
    <row r="297" spans="2:24" x14ac:dyDescent="0.2">
      <c r="E297" s="1170"/>
      <c r="F297" s="1169"/>
      <c r="G297" s="1169"/>
      <c r="H297" s="1169"/>
      <c r="I297" s="1169"/>
      <c r="J297" s="1169"/>
      <c r="K297" s="1169"/>
      <c r="L297" s="1171"/>
      <c r="M297" s="1170"/>
      <c r="N297" s="1169"/>
      <c r="O297" s="1169"/>
      <c r="P297" s="1169"/>
      <c r="Q297" s="1169"/>
      <c r="R297" s="1169"/>
      <c r="S297" s="1169"/>
      <c r="T297" s="1171"/>
      <c r="U297" s="1169"/>
    </row>
    <row r="298" spans="2:24" x14ac:dyDescent="0.2">
      <c r="E298" s="1170"/>
      <c r="F298" s="1169"/>
      <c r="G298" s="1169"/>
      <c r="H298" s="1169"/>
      <c r="I298" s="1169"/>
      <c r="J298" s="1169"/>
      <c r="K298" s="1169"/>
      <c r="L298" s="1171"/>
      <c r="M298" s="1170"/>
      <c r="N298" s="1169"/>
      <c r="O298" s="1169"/>
      <c r="P298" s="1169"/>
      <c r="Q298" s="1169"/>
      <c r="R298" s="1169"/>
      <c r="S298" s="1169"/>
      <c r="T298" s="1171"/>
      <c r="U298" s="1169"/>
    </row>
    <row r="299" spans="2:24" x14ac:dyDescent="0.2">
      <c r="E299" s="1170"/>
      <c r="F299" s="1169"/>
      <c r="G299" s="1169"/>
      <c r="I299" s="1169"/>
      <c r="J299" s="1169"/>
      <c r="K299" s="1169"/>
      <c r="L299" s="1171"/>
      <c r="M299" s="1170"/>
      <c r="N299" s="1169"/>
      <c r="O299" s="1169"/>
      <c r="Q299" s="1169"/>
      <c r="R299" s="1169"/>
      <c r="S299" s="1169"/>
      <c r="T299" s="1171"/>
      <c r="U299" s="1169"/>
    </row>
    <row r="300" spans="2:24" x14ac:dyDescent="0.2">
      <c r="E300" s="1170"/>
      <c r="F300" s="1169"/>
      <c r="G300" s="1169"/>
      <c r="H300" s="1169"/>
      <c r="I300" s="1169"/>
      <c r="J300" s="1169"/>
      <c r="K300" s="1169"/>
      <c r="L300" s="1171"/>
      <c r="M300" s="1170"/>
      <c r="N300" s="1169"/>
      <c r="O300" s="1169"/>
      <c r="P300" s="1169"/>
      <c r="Q300" s="1169"/>
      <c r="R300" s="1169"/>
      <c r="S300" s="1169"/>
      <c r="T300" s="1171"/>
      <c r="U300" s="1169"/>
    </row>
    <row r="301" spans="2:24" x14ac:dyDescent="0.2">
      <c r="E301" s="1170"/>
      <c r="F301" s="1169"/>
      <c r="G301" s="1169"/>
      <c r="H301" s="1169"/>
      <c r="I301" s="1169"/>
      <c r="J301" s="1169"/>
      <c r="K301" s="1169"/>
      <c r="L301" s="1171"/>
      <c r="M301" s="1170"/>
      <c r="N301" s="1169"/>
      <c r="O301" s="1169"/>
      <c r="P301" s="1169"/>
      <c r="Q301" s="1169"/>
      <c r="R301" s="1169"/>
      <c r="S301" s="1169"/>
      <c r="T301" s="1171"/>
      <c r="U301" s="1169"/>
    </row>
    <row r="302" spans="2:24" x14ac:dyDescent="0.2">
      <c r="E302" s="1170"/>
      <c r="F302" s="1169"/>
      <c r="G302" s="1169"/>
      <c r="H302" s="1169"/>
      <c r="I302" s="1169"/>
      <c r="J302" s="1169"/>
      <c r="L302" s="1171"/>
      <c r="M302" s="1170"/>
      <c r="N302" s="1169"/>
      <c r="O302" s="1169"/>
      <c r="P302" s="1169"/>
      <c r="Q302" s="1169"/>
      <c r="R302" s="1169"/>
      <c r="T302" s="1171"/>
      <c r="U302" s="1169"/>
    </row>
    <row r="303" spans="2:24" x14ac:dyDescent="0.2">
      <c r="E303" s="1170"/>
      <c r="F303" s="1169"/>
      <c r="G303" s="1169"/>
      <c r="H303" s="1169"/>
      <c r="I303" s="1169"/>
      <c r="J303" s="1169"/>
      <c r="K303" s="1169"/>
      <c r="L303" s="1171"/>
      <c r="M303" s="1170"/>
      <c r="N303" s="1169"/>
      <c r="O303" s="1169"/>
      <c r="P303" s="1169"/>
      <c r="Q303" s="1169"/>
      <c r="R303" s="1169"/>
      <c r="S303" s="1169"/>
      <c r="T303" s="1171"/>
      <c r="U303" s="1169"/>
    </row>
    <row r="304" spans="2:24" x14ac:dyDescent="0.2">
      <c r="E304" s="1170"/>
      <c r="F304" s="1169"/>
      <c r="G304" s="1169"/>
      <c r="H304" s="1169"/>
      <c r="I304" s="1169"/>
      <c r="J304" s="1169"/>
      <c r="K304" s="1169"/>
      <c r="L304" s="1171"/>
      <c r="M304" s="1170"/>
      <c r="N304" s="1169"/>
      <c r="O304" s="1169"/>
      <c r="P304" s="1169"/>
      <c r="Q304" s="1169"/>
      <c r="R304" s="1169"/>
      <c r="S304" s="1169"/>
      <c r="T304" s="1171"/>
      <c r="U304" s="1169"/>
    </row>
    <row r="305" spans="2:28" x14ac:dyDescent="0.2">
      <c r="E305" s="1170"/>
      <c r="F305" s="1169"/>
      <c r="G305" s="1169"/>
      <c r="H305" s="1169"/>
      <c r="I305" s="1169"/>
      <c r="J305" s="1169"/>
      <c r="K305" s="1169"/>
      <c r="L305" s="1171"/>
      <c r="M305" s="1170"/>
      <c r="N305" s="1169"/>
      <c r="O305" s="1169"/>
      <c r="P305" s="1169"/>
      <c r="Q305" s="1169"/>
      <c r="R305" s="1169"/>
      <c r="S305" s="1169"/>
      <c r="T305" s="1171"/>
      <c r="U305" s="1169"/>
    </row>
    <row r="306" spans="2:28" x14ac:dyDescent="0.2">
      <c r="E306" s="1170"/>
      <c r="F306" s="1169"/>
      <c r="G306" s="1169"/>
      <c r="H306" s="1169"/>
      <c r="I306" s="1169"/>
      <c r="J306" s="1169"/>
      <c r="K306" s="1169"/>
      <c r="L306" s="1171"/>
      <c r="M306" s="1170"/>
      <c r="N306" s="1169"/>
      <c r="O306" s="1169"/>
      <c r="P306" s="1169"/>
      <c r="Q306" s="1169"/>
      <c r="R306" s="1169"/>
      <c r="S306" s="1169"/>
      <c r="T306" s="1171"/>
      <c r="U306" s="1169"/>
    </row>
    <row r="307" spans="2:28" x14ac:dyDescent="0.2">
      <c r="E307" s="1170"/>
      <c r="F307" s="1169"/>
      <c r="G307" s="1169"/>
      <c r="H307" s="1169"/>
      <c r="I307" s="1169"/>
      <c r="J307" s="1169"/>
      <c r="K307" s="1169"/>
      <c r="L307" s="1171"/>
      <c r="M307" s="1170"/>
      <c r="N307" s="1169"/>
      <c r="O307" s="1169"/>
      <c r="P307" s="1169"/>
      <c r="Q307" s="1169"/>
      <c r="R307" s="1169"/>
      <c r="S307" s="1169"/>
      <c r="T307" s="1171"/>
      <c r="U307" s="1169"/>
    </row>
    <row r="308" spans="2:28" x14ac:dyDescent="0.2">
      <c r="E308" s="1170"/>
      <c r="F308" s="1178"/>
      <c r="G308" s="1169"/>
      <c r="H308" s="1169"/>
      <c r="I308" s="1169"/>
      <c r="J308" s="1169"/>
      <c r="K308" s="1169"/>
      <c r="L308" s="1171"/>
      <c r="M308" s="1170"/>
      <c r="N308" s="1178"/>
      <c r="O308" s="1169"/>
      <c r="P308" s="1169"/>
      <c r="Q308" s="1169"/>
      <c r="R308" s="1169"/>
      <c r="S308" s="1169"/>
      <c r="T308" s="1171"/>
      <c r="U308" s="1169"/>
    </row>
    <row r="309" spans="2:28" ht="14.25" x14ac:dyDescent="0.2">
      <c r="E309" s="1170"/>
      <c r="F309" s="1179"/>
      <c r="G309" s="1169"/>
      <c r="H309" s="1169"/>
      <c r="I309" s="1169"/>
      <c r="J309" s="1169"/>
      <c r="K309" s="1169"/>
      <c r="L309" s="1171"/>
      <c r="M309" s="1170"/>
      <c r="N309" s="1179"/>
      <c r="O309" s="1169"/>
      <c r="P309" s="1169"/>
      <c r="Q309" s="1169"/>
      <c r="R309" s="1169"/>
      <c r="S309" s="1169"/>
      <c r="T309" s="1171"/>
      <c r="U309" s="1169"/>
    </row>
    <row r="310" spans="2:28" x14ac:dyDescent="0.2">
      <c r="E310" s="1170"/>
      <c r="F310" s="1176"/>
      <c r="G310" s="1169"/>
      <c r="H310" s="1169"/>
      <c r="I310" s="1169"/>
      <c r="J310" s="1169"/>
      <c r="K310" s="1169"/>
      <c r="L310" s="1171"/>
      <c r="M310" s="1170"/>
      <c r="N310" s="1176"/>
      <c r="O310" s="1169"/>
      <c r="P310" s="1169"/>
      <c r="Q310" s="1169"/>
      <c r="R310" s="1169"/>
      <c r="S310" s="1169"/>
      <c r="T310" s="1171"/>
      <c r="U310" s="1169"/>
      <c r="Y310" s="1158">
        <f>G290+O290</f>
        <v>0</v>
      </c>
      <c r="Z310" s="1159">
        <f>O289+G289</f>
        <v>0</v>
      </c>
      <c r="AA310" s="1180">
        <f>(IF(G290&lt;0.2,G289,0))+(IF(O290&lt;0.2,O289,0))</f>
        <v>0</v>
      </c>
      <c r="AB310" s="1158">
        <f>G291+O291</f>
        <v>0</v>
      </c>
    </row>
    <row r="311" spans="2:28" ht="13.5" thickBot="1" x14ac:dyDescent="0.25">
      <c r="E311" s="1181"/>
      <c r="F311" s="1182"/>
      <c r="G311" s="1182"/>
      <c r="H311" s="1182"/>
      <c r="I311" s="1182"/>
      <c r="J311" s="1182"/>
      <c r="K311" s="1182"/>
      <c r="L311" s="1183"/>
      <c r="M311" s="1181"/>
      <c r="N311" s="1182"/>
      <c r="O311" s="1182"/>
      <c r="P311" s="1182"/>
      <c r="Q311" s="1182"/>
      <c r="R311" s="1182"/>
      <c r="S311" s="1182"/>
      <c r="T311" s="1183"/>
      <c r="U311" s="1169"/>
    </row>
    <row r="312" spans="2:28" ht="26.25" x14ac:dyDescent="0.2">
      <c r="E312" s="1167">
        <f>M287+1</f>
        <v>21</v>
      </c>
      <c r="F312" s="3454" t="s">
        <v>28178</v>
      </c>
      <c r="G312" s="3455"/>
      <c r="H312" s="3464" t="str">
        <f>Liste!B382&amp;" ("&amp;Liste!C382&amp;")"</f>
        <v>Schaltfahne Rollenendschalter GCC vertikal verz. (0308336)</v>
      </c>
      <c r="I312" s="3464"/>
      <c r="J312" s="3464"/>
      <c r="K312" s="3465"/>
      <c r="L312" s="1168">
        <f>IF(G315&gt;0.2,G315,0)</f>
        <v>0</v>
      </c>
      <c r="M312" s="1167">
        <f>E312+1</f>
        <v>22</v>
      </c>
      <c r="N312" s="3454" t="s">
        <v>28178</v>
      </c>
      <c r="O312" s="3455"/>
      <c r="P312" s="3464" t="str">
        <f>Liste!B163&amp;" ("&amp;Liste!C163&amp;")"</f>
        <v>Wandwinkel Klemmdose Sicherheitskontaktleiste verzinkt (bei Spiralk.) (0306402)</v>
      </c>
      <c r="Q312" s="3464"/>
      <c r="R312" s="3464"/>
      <c r="S312" s="3465"/>
      <c r="T312" s="1168">
        <f>IF(O315&gt;0.2,O315,0)</f>
        <v>0</v>
      </c>
      <c r="U312" s="1169"/>
    </row>
    <row r="313" spans="2:28" x14ac:dyDescent="0.2">
      <c r="B313" s="1954" t="s">
        <v>29900</v>
      </c>
      <c r="C313" s="1955">
        <f>Liste!E382</f>
        <v>163</v>
      </c>
      <c r="E313" s="1170"/>
      <c r="F313" s="1169"/>
      <c r="G313" s="1169"/>
      <c r="H313" s="1169"/>
      <c r="I313" s="1169"/>
      <c r="J313" s="1169"/>
      <c r="K313" s="1169"/>
      <c r="L313" s="1171"/>
      <c r="M313" s="1170"/>
      <c r="N313" s="1169"/>
      <c r="O313" s="1169"/>
      <c r="P313" s="1169"/>
      <c r="Q313" s="1169"/>
      <c r="R313" s="1169"/>
      <c r="S313" s="1169"/>
      <c r="T313" s="1171"/>
      <c r="U313" s="1169"/>
      <c r="V313" s="1954" t="s">
        <v>29900</v>
      </c>
      <c r="W313" s="1955">
        <f>Liste!F163</f>
        <v>139</v>
      </c>
    </row>
    <row r="314" spans="2:28" ht="15.75" x14ac:dyDescent="0.2">
      <c r="B314" s="1954" t="s">
        <v>29901</v>
      </c>
      <c r="C314" s="1955">
        <f>Liste!F382</f>
        <v>160</v>
      </c>
      <c r="E314" s="1170"/>
      <c r="F314" s="1172" t="s">
        <v>27904</v>
      </c>
      <c r="G314" s="1173">
        <f>IF(J18="ja",Liste!D382,0)</f>
        <v>0</v>
      </c>
      <c r="H314" s="1169" t="s">
        <v>28179</v>
      </c>
      <c r="I314" s="1169"/>
      <c r="J314" s="1169"/>
      <c r="K314" s="1169"/>
      <c r="L314" s="1171"/>
      <c r="M314" s="1170"/>
      <c r="N314" s="1172" t="s">
        <v>27904</v>
      </c>
      <c r="O314" s="1173">
        <f>IF(J18="ja",Liste!D163,0)</f>
        <v>0</v>
      </c>
      <c r="P314" s="1169" t="s">
        <v>28179</v>
      </c>
      <c r="Q314" s="1169"/>
      <c r="R314" s="1169"/>
      <c r="S314" s="1169"/>
      <c r="T314" s="1171"/>
      <c r="U314" s="1169"/>
      <c r="V314" s="1954" t="s">
        <v>29901</v>
      </c>
      <c r="W314" s="1955">
        <f>Liste!E163</f>
        <v>120</v>
      </c>
    </row>
    <row r="315" spans="2:28" ht="15.75" x14ac:dyDescent="0.2">
      <c r="B315" s="1954" t="s">
        <v>31205</v>
      </c>
      <c r="C315" s="1956">
        <f>C313*C314/1000/1000</f>
        <v>2.6079999999999999E-2</v>
      </c>
      <c r="E315" s="1170"/>
      <c r="F315" s="1172" t="s">
        <v>28180</v>
      </c>
      <c r="G315" s="1173">
        <f>IF(G314&gt;0,G314*C315*C316,0)</f>
        <v>0</v>
      </c>
      <c r="H315" s="1169" t="s">
        <v>28181</v>
      </c>
      <c r="K315" s="1172" t="str">
        <f>IF(G315&lt;&gt;0,IF(G315&lt;0.2,"Kleinteil, Gerundete Fläche:",""),"")</f>
        <v/>
      </c>
      <c r="L315" s="1174">
        <f>IF(K315&lt;&gt;"",0.2,0)</f>
        <v>0</v>
      </c>
      <c r="M315" s="1170"/>
      <c r="N315" s="1172" t="s">
        <v>28180</v>
      </c>
      <c r="O315" s="1173">
        <f>IF(O314&gt;0,O314*W315*W316,0)</f>
        <v>0</v>
      </c>
      <c r="P315" s="1169" t="s">
        <v>28181</v>
      </c>
      <c r="S315" s="1172" t="str">
        <f>IF(O315&lt;&gt;0,IF(O315&lt;0.2,"Kleinteil, Gerundete Fläche:",""),"")</f>
        <v/>
      </c>
      <c r="T315" s="1175">
        <f>IF(S315&lt;&gt;"",0.2,0)</f>
        <v>0</v>
      </c>
      <c r="U315" s="1169"/>
      <c r="V315" s="1954" t="s">
        <v>31205</v>
      </c>
      <c r="W315" s="1956">
        <f>W313*W314/1000/1000</f>
        <v>1.668E-2</v>
      </c>
    </row>
    <row r="316" spans="2:28" ht="15.75" x14ac:dyDescent="0.2">
      <c r="B316" s="1954" t="s">
        <v>29902</v>
      </c>
      <c r="C316" s="1957">
        <v>2</v>
      </c>
      <c r="E316" s="1170"/>
      <c r="F316" s="1172" t="s">
        <v>28182</v>
      </c>
      <c r="G316" s="1173">
        <f>IF(G314&gt;0,G314*C315*C317,0)</f>
        <v>0</v>
      </c>
      <c r="H316" s="1169" t="s">
        <v>28181</v>
      </c>
      <c r="I316" s="1186" t="s">
        <v>28185</v>
      </c>
      <c r="J316" s="1169"/>
      <c r="K316" s="1169"/>
      <c r="L316" s="1171"/>
      <c r="M316" s="1170"/>
      <c r="N316" s="1172" t="s">
        <v>28182</v>
      </c>
      <c r="O316" s="1173">
        <f>IF(O314&gt;0,O314*W315*W317,0)</f>
        <v>0</v>
      </c>
      <c r="P316" s="1169" t="s">
        <v>28181</v>
      </c>
      <c r="Q316" s="1186" t="s">
        <v>28185</v>
      </c>
      <c r="R316" s="1169"/>
      <c r="S316" s="1169"/>
      <c r="T316" s="1171"/>
      <c r="U316" s="1169"/>
      <c r="V316" s="1954" t="s">
        <v>29902</v>
      </c>
      <c r="W316" s="1957">
        <v>2</v>
      </c>
    </row>
    <row r="317" spans="2:28" ht="14.25" x14ac:dyDescent="0.2">
      <c r="B317" s="1954" t="s">
        <v>29903</v>
      </c>
      <c r="C317" s="1957">
        <v>0</v>
      </c>
      <c r="E317" s="1170"/>
      <c r="F317" s="1176"/>
      <c r="G317" s="1169"/>
      <c r="H317" s="1169"/>
      <c r="I317" s="1169"/>
      <c r="J317" s="1169"/>
      <c r="K317" s="1169"/>
      <c r="L317" s="1171"/>
      <c r="M317" s="1170"/>
      <c r="N317" s="1176"/>
      <c r="O317" s="1169"/>
      <c r="P317" s="1169"/>
      <c r="Q317" s="1169"/>
      <c r="R317" s="1169"/>
      <c r="S317" s="1169"/>
      <c r="T317" s="1171"/>
      <c r="U317" s="1169"/>
      <c r="V317" s="1954" t="s">
        <v>29903</v>
      </c>
      <c r="W317" s="1957">
        <v>0</v>
      </c>
    </row>
    <row r="318" spans="2:28" x14ac:dyDescent="0.2">
      <c r="E318" s="1170"/>
      <c r="F318" s="1169"/>
      <c r="G318" s="1169"/>
      <c r="H318" s="1169"/>
      <c r="I318" s="1169"/>
      <c r="J318" s="1169"/>
      <c r="K318" s="1169"/>
      <c r="L318" s="1171"/>
      <c r="M318" s="1170"/>
      <c r="N318" s="1169"/>
      <c r="O318" s="1169"/>
      <c r="P318" s="1169"/>
      <c r="Q318" s="1169"/>
      <c r="R318" s="1169"/>
      <c r="S318" s="1169"/>
      <c r="T318" s="1171"/>
      <c r="U318" s="1169"/>
    </row>
    <row r="319" spans="2:28" ht="16.5" x14ac:dyDescent="0.2">
      <c r="E319" s="1170"/>
      <c r="F319" s="1177" t="s">
        <v>28183</v>
      </c>
      <c r="G319" s="1169"/>
      <c r="H319" s="1169"/>
      <c r="I319" s="1169"/>
      <c r="J319" s="1169"/>
      <c r="K319" s="1169"/>
      <c r="L319" s="1171"/>
      <c r="M319" s="1170"/>
      <c r="N319" s="1177" t="s">
        <v>28183</v>
      </c>
      <c r="O319" s="1169"/>
      <c r="P319" s="1169"/>
      <c r="Q319" s="1169"/>
      <c r="R319" s="1169"/>
      <c r="S319" s="1169"/>
      <c r="T319" s="1171"/>
      <c r="U319" s="1169"/>
    </row>
    <row r="320" spans="2:28" x14ac:dyDescent="0.2">
      <c r="E320" s="1170"/>
      <c r="F320" s="1169"/>
      <c r="G320" s="1169"/>
      <c r="H320" s="1169"/>
      <c r="I320" s="1169"/>
      <c r="J320" s="1169"/>
      <c r="K320" s="1169"/>
      <c r="L320" s="1171"/>
      <c r="M320" s="1170"/>
      <c r="N320" s="1169"/>
      <c r="O320" s="1169"/>
      <c r="P320" s="1169"/>
      <c r="Q320" s="1169"/>
      <c r="R320" s="1169"/>
      <c r="S320" s="1169"/>
      <c r="T320" s="1171"/>
      <c r="U320" s="1169"/>
    </row>
    <row r="321" spans="5:28" x14ac:dyDescent="0.2">
      <c r="E321" s="1170"/>
      <c r="F321" s="1169"/>
      <c r="G321" s="1169"/>
      <c r="H321" s="1169"/>
      <c r="I321" s="1169"/>
      <c r="J321" s="1169"/>
      <c r="K321" s="1169"/>
      <c r="L321" s="1171"/>
      <c r="M321" s="1170"/>
      <c r="N321" s="1169"/>
      <c r="O321" s="1169"/>
      <c r="P321" s="1169"/>
      <c r="Q321" s="1169"/>
      <c r="R321" s="1169"/>
      <c r="S321" s="1169"/>
      <c r="T321" s="1171"/>
      <c r="U321" s="1169"/>
    </row>
    <row r="322" spans="5:28" x14ac:dyDescent="0.2">
      <c r="E322" s="1170"/>
      <c r="F322" s="1169"/>
      <c r="G322" s="1169"/>
      <c r="H322" s="1169"/>
      <c r="I322" s="1169"/>
      <c r="J322" s="1169"/>
      <c r="K322" s="1169"/>
      <c r="L322" s="1171"/>
      <c r="M322" s="1170"/>
      <c r="N322" s="1169"/>
      <c r="O322" s="1169"/>
      <c r="P322" s="1169"/>
      <c r="Q322" s="1169"/>
      <c r="R322" s="1169"/>
      <c r="S322" s="1169"/>
      <c r="T322" s="1171"/>
      <c r="U322" s="1169"/>
    </row>
    <row r="323" spans="5:28" x14ac:dyDescent="0.2">
      <c r="E323" s="1170"/>
      <c r="F323" s="1169"/>
      <c r="G323" s="1169"/>
      <c r="H323" s="1169"/>
      <c r="I323" s="1169"/>
      <c r="J323" s="1169"/>
      <c r="K323" s="1169"/>
      <c r="L323" s="1171"/>
      <c r="M323" s="1170"/>
      <c r="N323" s="1169"/>
      <c r="O323" s="1169"/>
      <c r="P323" s="1169"/>
      <c r="Q323" s="1169"/>
      <c r="R323" s="1169"/>
      <c r="S323" s="1169"/>
      <c r="T323" s="1171"/>
      <c r="U323" s="1169"/>
    </row>
    <row r="324" spans="5:28" x14ac:dyDescent="0.2">
      <c r="E324" s="1170"/>
      <c r="F324" s="1169"/>
      <c r="G324" s="1169"/>
      <c r="I324" s="1169"/>
      <c r="J324" s="1169"/>
      <c r="K324" s="1169"/>
      <c r="L324" s="1171"/>
      <c r="M324" s="1170"/>
      <c r="N324" s="1169"/>
      <c r="O324" s="1169"/>
      <c r="Q324" s="1169"/>
      <c r="R324" s="1169"/>
      <c r="S324" s="1169"/>
      <c r="T324" s="1171"/>
      <c r="U324" s="1169"/>
    </row>
    <row r="325" spans="5:28" x14ac:dyDescent="0.2">
      <c r="E325" s="1170"/>
      <c r="F325" s="1169"/>
      <c r="G325" s="1169"/>
      <c r="H325" s="1169"/>
      <c r="I325" s="1169"/>
      <c r="J325" s="1169"/>
      <c r="K325" s="1169"/>
      <c r="L325" s="1171"/>
      <c r="M325" s="1170"/>
      <c r="N325" s="1169"/>
      <c r="O325" s="1169"/>
      <c r="P325" s="1169"/>
      <c r="Q325" s="1169"/>
      <c r="R325" s="1169"/>
      <c r="S325" s="1169"/>
      <c r="T325" s="1171"/>
      <c r="U325" s="1169"/>
    </row>
    <row r="326" spans="5:28" x14ac:dyDescent="0.2">
      <c r="E326" s="1170"/>
      <c r="F326" s="1169"/>
      <c r="G326" s="1169"/>
      <c r="H326" s="1169"/>
      <c r="I326" s="1169"/>
      <c r="J326" s="1169"/>
      <c r="K326" s="1169"/>
      <c r="L326" s="1171"/>
      <c r="M326" s="1170"/>
      <c r="N326" s="1169"/>
      <c r="O326" s="1169"/>
      <c r="P326" s="1169"/>
      <c r="Q326" s="1169"/>
      <c r="R326" s="1169"/>
      <c r="S326" s="1169"/>
      <c r="T326" s="1171"/>
      <c r="U326" s="1169"/>
    </row>
    <row r="327" spans="5:28" x14ac:dyDescent="0.2">
      <c r="E327" s="1170"/>
      <c r="F327" s="1169"/>
      <c r="G327" s="1169"/>
      <c r="H327" s="1169"/>
      <c r="I327" s="1169"/>
      <c r="J327" s="1169"/>
      <c r="L327" s="1171"/>
      <c r="M327" s="1170"/>
      <c r="N327" s="1169"/>
      <c r="O327" s="1169"/>
      <c r="P327" s="1169"/>
      <c r="Q327" s="1169"/>
      <c r="R327" s="1169"/>
      <c r="T327" s="1171"/>
      <c r="U327" s="1169"/>
    </row>
    <row r="328" spans="5:28" x14ac:dyDescent="0.2">
      <c r="E328" s="1170"/>
      <c r="F328" s="1169"/>
      <c r="G328" s="1169"/>
      <c r="H328" s="1169"/>
      <c r="I328" s="1169"/>
      <c r="J328" s="1169"/>
      <c r="K328" s="1169"/>
      <c r="L328" s="1171"/>
      <c r="M328" s="1170"/>
      <c r="N328" s="1169"/>
      <c r="O328" s="1169"/>
      <c r="P328" s="1169"/>
      <c r="Q328" s="1169"/>
      <c r="R328" s="1169"/>
      <c r="S328" s="1169"/>
      <c r="T328" s="1171"/>
      <c r="U328" s="1169"/>
    </row>
    <row r="329" spans="5:28" x14ac:dyDescent="0.2">
      <c r="E329" s="1170"/>
      <c r="F329" s="1169"/>
      <c r="G329" s="1169"/>
      <c r="H329" s="1169"/>
      <c r="I329" s="1169"/>
      <c r="J329" s="1169"/>
      <c r="K329" s="1169"/>
      <c r="L329" s="1171"/>
      <c r="M329" s="1170"/>
      <c r="N329" s="1169"/>
      <c r="O329" s="1169"/>
      <c r="P329" s="1169"/>
      <c r="Q329" s="1169"/>
      <c r="R329" s="1169"/>
      <c r="S329" s="1169"/>
      <c r="T329" s="1171"/>
      <c r="U329" s="1169"/>
    </row>
    <row r="330" spans="5:28" x14ac:dyDescent="0.2">
      <c r="E330" s="1170"/>
      <c r="F330" s="1169"/>
      <c r="G330" s="1169"/>
      <c r="H330" s="1169"/>
      <c r="I330" s="1169"/>
      <c r="J330" s="1169"/>
      <c r="K330" s="1169"/>
      <c r="L330" s="1171"/>
      <c r="M330" s="1170"/>
      <c r="N330" s="1169"/>
      <c r="O330" s="1169"/>
      <c r="P330" s="1169"/>
      <c r="Q330" s="1169"/>
      <c r="R330" s="1169"/>
      <c r="S330" s="1169"/>
      <c r="T330" s="1171"/>
      <c r="U330" s="1169"/>
    </row>
    <row r="331" spans="5:28" x14ac:dyDescent="0.2">
      <c r="E331" s="1170"/>
      <c r="F331" s="1169"/>
      <c r="G331" s="1169"/>
      <c r="H331" s="1169"/>
      <c r="I331" s="1169"/>
      <c r="J331" s="1169"/>
      <c r="K331" s="1169"/>
      <c r="L331" s="1171"/>
      <c r="M331" s="1170"/>
      <c r="N331" s="1169"/>
      <c r="O331" s="1169"/>
      <c r="P331" s="1169"/>
      <c r="Q331" s="1169"/>
      <c r="R331" s="1169"/>
      <c r="S331" s="1169"/>
      <c r="T331" s="1171"/>
      <c r="U331" s="1169"/>
    </row>
    <row r="332" spans="5:28" x14ac:dyDescent="0.2">
      <c r="E332" s="1170"/>
      <c r="F332" s="1169"/>
      <c r="G332" s="1169"/>
      <c r="H332" s="1169"/>
      <c r="I332" s="1169"/>
      <c r="J332" s="1169"/>
      <c r="K332" s="1169"/>
      <c r="L332" s="1171"/>
      <c r="M332" s="1170"/>
      <c r="N332" s="1169"/>
      <c r="O332" s="1169"/>
      <c r="P332" s="1169"/>
      <c r="Q332" s="1169"/>
      <c r="R332" s="1169"/>
      <c r="S332" s="1169"/>
      <c r="T332" s="1171"/>
      <c r="U332" s="1169"/>
    </row>
    <row r="333" spans="5:28" x14ac:dyDescent="0.2">
      <c r="E333" s="1170"/>
      <c r="F333" s="1178"/>
      <c r="G333" s="1169"/>
      <c r="H333" s="1169"/>
      <c r="I333" s="1169"/>
      <c r="J333" s="1169"/>
      <c r="K333" s="1169"/>
      <c r="L333" s="1171"/>
      <c r="M333" s="1170"/>
      <c r="N333" s="1178"/>
      <c r="O333" s="1169"/>
      <c r="P333" s="1169"/>
      <c r="Q333" s="1169"/>
      <c r="R333" s="1169"/>
      <c r="S333" s="1169"/>
      <c r="T333" s="1171"/>
      <c r="U333" s="1169"/>
    </row>
    <row r="334" spans="5:28" ht="14.25" x14ac:dyDescent="0.2">
      <c r="E334" s="1170"/>
      <c r="F334" s="1179"/>
      <c r="G334" s="1169"/>
      <c r="H334" s="1169"/>
      <c r="I334" s="1169"/>
      <c r="J334" s="1169"/>
      <c r="K334" s="1169"/>
      <c r="L334" s="1171"/>
      <c r="M334" s="1170"/>
      <c r="N334" s="1179"/>
      <c r="O334" s="1169"/>
      <c r="P334" s="1169"/>
      <c r="Q334" s="1169"/>
      <c r="R334" s="1169"/>
      <c r="S334" s="1169"/>
      <c r="T334" s="1171"/>
      <c r="U334" s="1169"/>
    </row>
    <row r="335" spans="5:28" x14ac:dyDescent="0.2">
      <c r="E335" s="1170"/>
      <c r="F335" s="1176"/>
      <c r="G335" s="1169"/>
      <c r="H335" s="1169"/>
      <c r="I335" s="1169"/>
      <c r="J335" s="1169"/>
      <c r="K335" s="1169"/>
      <c r="L335" s="1171"/>
      <c r="M335" s="1170"/>
      <c r="N335" s="1176"/>
      <c r="O335" s="1169"/>
      <c r="P335" s="1169"/>
      <c r="Q335" s="1169"/>
      <c r="R335" s="1169"/>
      <c r="S335" s="1169"/>
      <c r="T335" s="1171"/>
      <c r="U335" s="1169"/>
      <c r="Y335" s="1158">
        <f>G315+O315</f>
        <v>0</v>
      </c>
      <c r="Z335" s="1159">
        <f>O314+G314</f>
        <v>0</v>
      </c>
      <c r="AA335" s="1180">
        <f>(IF(G315&lt;0.2,G314,0))+(IF(O315&lt;0.2,O314,0))</f>
        <v>0</v>
      </c>
      <c r="AB335" s="1158">
        <f>G316+O316</f>
        <v>0</v>
      </c>
    </row>
    <row r="336" spans="5:28" ht="13.5" thickBot="1" x14ac:dyDescent="0.25">
      <c r="E336" s="1181"/>
      <c r="F336" s="1182"/>
      <c r="G336" s="1182"/>
      <c r="H336" s="1182"/>
      <c r="I336" s="1182"/>
      <c r="J336" s="1182"/>
      <c r="K336" s="1182"/>
      <c r="L336" s="1183"/>
      <c r="M336" s="1181"/>
      <c r="N336" s="1182"/>
      <c r="O336" s="1182"/>
      <c r="P336" s="1182"/>
      <c r="Q336" s="1182"/>
      <c r="R336" s="1182"/>
      <c r="S336" s="1182"/>
      <c r="T336" s="1183"/>
      <c r="U336" s="1169"/>
    </row>
    <row r="337" spans="2:23" ht="26.25" x14ac:dyDescent="0.2">
      <c r="E337" s="1167">
        <f>M312+1</f>
        <v>23</v>
      </c>
      <c r="F337" s="3454" t="s">
        <v>28178</v>
      </c>
      <c r="G337" s="3455"/>
      <c r="H337" s="3464" t="str">
        <f>Liste!B44&amp;" ("&amp;Liste!C44&amp;")"</f>
        <v>GCC vertikal Verkrallungsprofil Schieber 250mm verzinkt (0308136)</v>
      </c>
      <c r="I337" s="3464"/>
      <c r="J337" s="3464"/>
      <c r="K337" s="3465"/>
      <c r="L337" s="1168">
        <f>IF(G340&gt;0.2,G340,0)</f>
        <v>0</v>
      </c>
      <c r="M337" s="1167">
        <f>E337+1</f>
        <v>24</v>
      </c>
      <c r="N337" s="3454" t="s">
        <v>28178</v>
      </c>
      <c r="O337" s="3455"/>
      <c r="P337" s="3464" t="str">
        <f>Liste!B405&amp;" ("&amp;Liste!C405&amp;")"</f>
        <v>0 (0)</v>
      </c>
      <c r="Q337" s="3464"/>
      <c r="R337" s="3464"/>
      <c r="S337" s="3465"/>
      <c r="T337" s="1168">
        <f>IF(O340&gt;0.2,O340,0)</f>
        <v>0</v>
      </c>
      <c r="U337" s="1169"/>
    </row>
    <row r="338" spans="2:23" x14ac:dyDescent="0.2">
      <c r="B338" s="1954" t="s">
        <v>29900</v>
      </c>
      <c r="C338" s="1955">
        <f>Liste!E44</f>
        <v>152.5</v>
      </c>
      <c r="E338" s="1170"/>
      <c r="F338" s="1169"/>
      <c r="G338" s="1169"/>
      <c r="H338" s="1169"/>
      <c r="I338" s="1169"/>
      <c r="J338" s="1169"/>
      <c r="K338" s="1169"/>
      <c r="L338" s="1171"/>
      <c r="M338" s="1170"/>
      <c r="N338" s="1169"/>
      <c r="O338" s="1169"/>
      <c r="P338" s="1169"/>
      <c r="Q338" s="1169"/>
      <c r="R338" s="1169"/>
      <c r="S338" s="1169"/>
      <c r="T338" s="1171"/>
      <c r="U338" s="1169"/>
      <c r="V338" s="1954" t="s">
        <v>29900</v>
      </c>
      <c r="W338" s="1955">
        <f>Liste!F405</f>
        <v>0</v>
      </c>
    </row>
    <row r="339" spans="2:23" ht="15.75" x14ac:dyDescent="0.2">
      <c r="B339" s="1954" t="s">
        <v>29901</v>
      </c>
      <c r="C339" s="1955">
        <f>Liste!F44</f>
        <v>250</v>
      </c>
      <c r="E339" s="1170"/>
      <c r="F339" s="1172" t="s">
        <v>27904</v>
      </c>
      <c r="G339" s="1173">
        <f>IF(J18="ja",Liste!D44,0)</f>
        <v>0</v>
      </c>
      <c r="H339" s="1169" t="s">
        <v>28179</v>
      </c>
      <c r="I339" s="1169"/>
      <c r="J339" s="1169"/>
      <c r="K339" s="1169"/>
      <c r="L339" s="1171"/>
      <c r="M339" s="1170"/>
      <c r="N339" s="1172" t="s">
        <v>27904</v>
      </c>
      <c r="O339" s="1173">
        <f>Liste!A405*L18</f>
        <v>0</v>
      </c>
      <c r="P339" s="1169" t="s">
        <v>28179</v>
      </c>
      <c r="Q339" s="1169"/>
      <c r="R339" s="1169"/>
      <c r="S339" s="1169"/>
      <c r="T339" s="1171"/>
      <c r="U339" s="1169"/>
      <c r="V339" s="1954" t="s">
        <v>29901</v>
      </c>
      <c r="W339" s="1955">
        <f>Liste!E405</f>
        <v>0</v>
      </c>
    </row>
    <row r="340" spans="2:23" ht="15.75" x14ac:dyDescent="0.2">
      <c r="B340" s="1954" t="s">
        <v>31205</v>
      </c>
      <c r="C340" s="1956">
        <f>C338*C339/1000/1000</f>
        <v>3.8124999999999999E-2</v>
      </c>
      <c r="E340" s="1170"/>
      <c r="F340" s="1172" t="s">
        <v>28180</v>
      </c>
      <c r="G340" s="1173">
        <f>IF(G339&gt;0,G339*(C340+C240)*C341,0)</f>
        <v>0</v>
      </c>
      <c r="H340" s="1169" t="s">
        <v>28181</v>
      </c>
      <c r="K340" s="1172" t="str">
        <f>IF(G340&lt;&gt;0,IF(G340&lt;0.2,"Kleinteil, Gerundete Fläche:",""),"")</f>
        <v/>
      </c>
      <c r="L340" s="1174">
        <f>IF(K340&lt;&gt;"",0.2,0)</f>
        <v>0</v>
      </c>
      <c r="M340" s="1170"/>
      <c r="N340" s="1172" t="s">
        <v>28180</v>
      </c>
      <c r="O340" s="1173">
        <f>IF(O339&gt;0,O339*W340*W341,0)</f>
        <v>0</v>
      </c>
      <c r="P340" s="1169" t="s">
        <v>28181</v>
      </c>
      <c r="S340" s="1172" t="str">
        <f>IF(O340&lt;&gt;0,IF(O340&lt;0.2,"Kleinteil, Gerundete Fläche:",""),"")</f>
        <v/>
      </c>
      <c r="T340" s="1175">
        <f>IF(S340&lt;&gt;"",0.2,0)</f>
        <v>0</v>
      </c>
      <c r="U340" s="1169"/>
      <c r="V340" s="1954" t="s">
        <v>31205</v>
      </c>
      <c r="W340" s="1956">
        <f>W338*W339/1000/1000</f>
        <v>0</v>
      </c>
    </row>
    <row r="341" spans="2:23" ht="15.75" x14ac:dyDescent="0.2">
      <c r="B341" s="1954" t="s">
        <v>29902</v>
      </c>
      <c r="C341" s="1957">
        <v>2</v>
      </c>
      <c r="E341" s="1170"/>
      <c r="F341" s="1172" t="s">
        <v>28182</v>
      </c>
      <c r="G341" s="1173">
        <f>IF(G339&gt;0,G339*(C340+C240)*C342,0)</f>
        <v>0</v>
      </c>
      <c r="H341" s="1169" t="s">
        <v>28181</v>
      </c>
      <c r="I341" s="1963" t="s">
        <v>28185</v>
      </c>
      <c r="J341" s="1169"/>
      <c r="K341" s="1169"/>
      <c r="L341" s="1171"/>
      <c r="M341" s="1170"/>
      <c r="N341" s="1172" t="s">
        <v>28182</v>
      </c>
      <c r="O341" s="1173">
        <f>IF(O339&gt;0,O339*W340*W342,0)</f>
        <v>0</v>
      </c>
      <c r="P341" s="1169" t="s">
        <v>28181</v>
      </c>
      <c r="Q341" s="1963" t="s">
        <v>28185</v>
      </c>
      <c r="R341" s="1169"/>
      <c r="S341" s="1169"/>
      <c r="T341" s="1171"/>
      <c r="U341" s="1169"/>
      <c r="V341" s="1954" t="s">
        <v>29902</v>
      </c>
      <c r="W341" s="1957">
        <v>2</v>
      </c>
    </row>
    <row r="342" spans="2:23" ht="14.25" x14ac:dyDescent="0.2">
      <c r="B342" s="1954" t="s">
        <v>29903</v>
      </c>
      <c r="C342" s="1957">
        <v>0</v>
      </c>
      <c r="E342" s="1170"/>
      <c r="F342" s="1176"/>
      <c r="G342" s="1169"/>
      <c r="H342" s="1169"/>
      <c r="I342" s="1169"/>
      <c r="J342" s="1169"/>
      <c r="K342" s="1169"/>
      <c r="L342" s="1171"/>
      <c r="M342" s="1170"/>
      <c r="N342" s="1176"/>
      <c r="O342" s="1169"/>
      <c r="P342" s="1169"/>
      <c r="Q342" s="1169"/>
      <c r="R342" s="1169"/>
      <c r="S342" s="1169"/>
      <c r="T342" s="1171"/>
      <c r="U342" s="1169"/>
      <c r="V342" s="1954" t="s">
        <v>29903</v>
      </c>
      <c r="W342" s="1957">
        <v>0</v>
      </c>
    </row>
    <row r="343" spans="2:23" x14ac:dyDescent="0.2">
      <c r="E343" s="1170"/>
      <c r="F343" s="1169"/>
      <c r="G343" s="1169"/>
      <c r="H343" s="1169"/>
      <c r="I343" s="1169"/>
      <c r="J343" s="1169"/>
      <c r="K343" s="1169"/>
      <c r="L343" s="1171"/>
      <c r="M343" s="1170"/>
      <c r="N343" s="1169"/>
      <c r="O343" s="1169"/>
      <c r="P343" s="1169"/>
      <c r="Q343" s="1169"/>
      <c r="R343" s="1169"/>
      <c r="S343" s="1169"/>
      <c r="T343" s="1171"/>
      <c r="U343" s="1169"/>
      <c r="V343" s="1954"/>
      <c r="W343" s="1950"/>
    </row>
    <row r="344" spans="2:23" ht="16.5" x14ac:dyDescent="0.2">
      <c r="E344" s="1170"/>
      <c r="F344" s="1177" t="s">
        <v>28183</v>
      </c>
      <c r="G344" s="1169"/>
      <c r="H344" s="1169"/>
      <c r="I344" s="1169"/>
      <c r="J344" s="1169"/>
      <c r="K344" s="1169"/>
      <c r="L344" s="1171"/>
      <c r="M344" s="1170"/>
      <c r="N344" s="1177" t="s">
        <v>28183</v>
      </c>
      <c r="O344" s="1169"/>
      <c r="P344" s="1169"/>
      <c r="Q344" s="1169"/>
      <c r="R344" s="1169"/>
      <c r="S344" s="1169"/>
      <c r="T344" s="1171"/>
      <c r="U344" s="1169"/>
    </row>
    <row r="345" spans="2:23" x14ac:dyDescent="0.2">
      <c r="C345" s="1955"/>
      <c r="E345" s="1170"/>
      <c r="F345" s="1169"/>
      <c r="G345" s="1169"/>
      <c r="H345" s="1169"/>
      <c r="I345" s="1169"/>
      <c r="J345" s="1169"/>
      <c r="K345" s="1169"/>
      <c r="L345" s="1171"/>
      <c r="M345" s="1170"/>
      <c r="N345" s="1169"/>
      <c r="O345" s="1169"/>
      <c r="P345" s="1169"/>
      <c r="Q345" s="1169"/>
      <c r="R345" s="1169"/>
      <c r="S345" s="1169"/>
      <c r="T345" s="1171"/>
      <c r="U345" s="1169"/>
    </row>
    <row r="346" spans="2:23" x14ac:dyDescent="0.2">
      <c r="C346" s="1955"/>
      <c r="E346" s="1170"/>
      <c r="F346" s="1169"/>
      <c r="G346" s="1169"/>
      <c r="H346" s="1169"/>
      <c r="I346" s="1169"/>
      <c r="J346" s="1169"/>
      <c r="K346" s="1169"/>
      <c r="L346" s="1171"/>
      <c r="M346" s="1170"/>
      <c r="N346" s="1169"/>
      <c r="O346" s="1169"/>
      <c r="P346" s="1169"/>
      <c r="Q346" s="1169"/>
      <c r="R346" s="1169"/>
      <c r="S346" s="1169"/>
      <c r="T346" s="1171"/>
      <c r="U346" s="1169"/>
    </row>
    <row r="347" spans="2:23" x14ac:dyDescent="0.2">
      <c r="C347" s="1956"/>
      <c r="E347" s="1170"/>
      <c r="F347" s="1169"/>
      <c r="G347" s="1169"/>
      <c r="H347" s="1169"/>
      <c r="I347" s="1169"/>
      <c r="J347" s="1169"/>
      <c r="K347" s="1169"/>
      <c r="L347" s="1171"/>
      <c r="M347" s="1170"/>
      <c r="N347" s="1169"/>
      <c r="O347" s="1169"/>
      <c r="P347" s="1169"/>
      <c r="Q347" s="1169"/>
      <c r="R347" s="1169"/>
      <c r="S347" s="1169"/>
      <c r="T347" s="1171"/>
      <c r="U347" s="1169"/>
    </row>
    <row r="348" spans="2:23" x14ac:dyDescent="0.2">
      <c r="E348" s="1170"/>
      <c r="F348" s="1169"/>
      <c r="G348" s="1169"/>
      <c r="H348" s="1169"/>
      <c r="I348" s="1169"/>
      <c r="J348" s="1169"/>
      <c r="K348" s="1169"/>
      <c r="L348" s="1171"/>
      <c r="M348" s="1170"/>
      <c r="N348" s="1169"/>
      <c r="O348" s="1169"/>
      <c r="P348" s="1169"/>
      <c r="Q348" s="1169"/>
      <c r="R348" s="1169"/>
      <c r="S348" s="1169"/>
      <c r="T348" s="1171"/>
      <c r="U348" s="1169"/>
    </row>
    <row r="349" spans="2:23" x14ac:dyDescent="0.2">
      <c r="E349" s="1170"/>
      <c r="F349" s="1169"/>
      <c r="G349" s="1169"/>
      <c r="I349" s="1169"/>
      <c r="J349" s="1169"/>
      <c r="K349" s="1169"/>
      <c r="L349" s="1171"/>
      <c r="M349" s="1170"/>
      <c r="N349" s="1169"/>
      <c r="O349" s="1169"/>
      <c r="Q349" s="1169"/>
      <c r="R349" s="1169"/>
      <c r="S349" s="1169"/>
      <c r="T349" s="1171"/>
      <c r="U349" s="1169"/>
    </row>
    <row r="350" spans="2:23" x14ac:dyDescent="0.2">
      <c r="E350" s="1170"/>
      <c r="F350" s="1169"/>
      <c r="G350" s="1169"/>
      <c r="H350" s="1169"/>
      <c r="I350" s="1169"/>
      <c r="J350" s="1169"/>
      <c r="K350" s="1169"/>
      <c r="L350" s="1171"/>
      <c r="M350" s="1170"/>
      <c r="N350" s="1169"/>
      <c r="O350" s="1169"/>
      <c r="P350" s="1169"/>
      <c r="Q350" s="1169"/>
      <c r="R350" s="1169"/>
      <c r="S350" s="1169"/>
      <c r="T350" s="1171"/>
      <c r="U350" s="1169"/>
    </row>
    <row r="351" spans="2:23" x14ac:dyDescent="0.2">
      <c r="E351" s="1170"/>
      <c r="F351" s="1169"/>
      <c r="G351" s="1169"/>
      <c r="H351" s="1169"/>
      <c r="I351" s="1169"/>
      <c r="J351" s="1169"/>
      <c r="K351" s="1169"/>
      <c r="L351" s="1171"/>
      <c r="M351" s="1170"/>
      <c r="N351" s="1169"/>
      <c r="O351" s="1169"/>
      <c r="P351" s="1169"/>
      <c r="Q351" s="1169"/>
      <c r="R351" s="1169"/>
      <c r="S351" s="1169"/>
      <c r="T351" s="1171"/>
      <c r="U351" s="1169"/>
    </row>
    <row r="352" spans="2:23" x14ac:dyDescent="0.2">
      <c r="E352" s="1170"/>
      <c r="F352" s="1169"/>
      <c r="G352" s="1169"/>
      <c r="H352" s="1169"/>
      <c r="I352" s="1169"/>
      <c r="J352" s="1169"/>
      <c r="L352" s="1171"/>
      <c r="M352" s="1170"/>
      <c r="N352" s="1169"/>
      <c r="O352" s="1169"/>
      <c r="P352" s="1169"/>
      <c r="Q352" s="1169"/>
      <c r="R352" s="1169"/>
      <c r="T352" s="1171"/>
      <c r="U352" s="1169"/>
    </row>
    <row r="353" spans="2:28" x14ac:dyDescent="0.2">
      <c r="E353" s="1170"/>
      <c r="F353" s="1169"/>
      <c r="G353" s="1169"/>
      <c r="H353" s="1169"/>
      <c r="I353" s="1169"/>
      <c r="J353" s="1169"/>
      <c r="K353" s="1169"/>
      <c r="L353" s="1171"/>
      <c r="M353" s="1170"/>
      <c r="N353" s="1169"/>
      <c r="O353" s="1169"/>
      <c r="P353" s="1169"/>
      <c r="Q353" s="1169"/>
      <c r="R353" s="1169"/>
      <c r="S353" s="1169"/>
      <c r="T353" s="1171"/>
      <c r="U353" s="1169"/>
    </row>
    <row r="354" spans="2:28" x14ac:dyDescent="0.2">
      <c r="E354" s="1170"/>
      <c r="F354" s="1169"/>
      <c r="G354" s="1169"/>
      <c r="H354" s="1169"/>
      <c r="I354" s="1169"/>
      <c r="J354" s="1169"/>
      <c r="K354" s="1169"/>
      <c r="L354" s="1171"/>
      <c r="M354" s="1170"/>
      <c r="N354" s="1169"/>
      <c r="O354" s="1169"/>
      <c r="P354" s="1169"/>
      <c r="Q354" s="1169"/>
      <c r="R354" s="1169"/>
      <c r="S354" s="1169"/>
      <c r="T354" s="1171"/>
      <c r="U354" s="1169"/>
    </row>
    <row r="355" spans="2:28" x14ac:dyDescent="0.2">
      <c r="E355" s="1170"/>
      <c r="F355" s="1169"/>
      <c r="G355" s="1169"/>
      <c r="H355" s="1169"/>
      <c r="I355" s="1169"/>
      <c r="J355" s="1169"/>
      <c r="K355" s="1169"/>
      <c r="L355" s="1171"/>
      <c r="M355" s="1170"/>
      <c r="N355" s="1169"/>
      <c r="O355" s="1169"/>
      <c r="P355" s="1169"/>
      <c r="Q355" s="1169"/>
      <c r="R355" s="1169"/>
      <c r="S355" s="1169"/>
      <c r="T355" s="1171"/>
      <c r="U355" s="1169"/>
    </row>
    <row r="356" spans="2:28" x14ac:dyDescent="0.2">
      <c r="E356" s="1170"/>
      <c r="F356" s="1169"/>
      <c r="G356" s="1169"/>
      <c r="H356" s="1169"/>
      <c r="I356" s="1169"/>
      <c r="J356" s="1169"/>
      <c r="K356" s="1169"/>
      <c r="L356" s="1171"/>
      <c r="M356" s="1170"/>
      <c r="N356" s="1169"/>
      <c r="O356" s="1169"/>
      <c r="P356" s="1169"/>
      <c r="Q356" s="1169"/>
      <c r="R356" s="1169"/>
      <c r="S356" s="1169"/>
      <c r="T356" s="1171"/>
      <c r="U356" s="1169"/>
    </row>
    <row r="357" spans="2:28" x14ac:dyDescent="0.2">
      <c r="E357" s="1170"/>
      <c r="F357" s="1169"/>
      <c r="G357" s="1169"/>
      <c r="H357" s="1169"/>
      <c r="I357" s="1169"/>
      <c r="J357" s="1169"/>
      <c r="K357" s="1169"/>
      <c r="L357" s="1171"/>
      <c r="M357" s="1170"/>
      <c r="N357" s="1169"/>
      <c r="O357" s="1169"/>
      <c r="P357" s="1169"/>
      <c r="Q357" s="1169"/>
      <c r="R357" s="1169"/>
      <c r="S357" s="1169"/>
      <c r="T357" s="1171"/>
      <c r="U357" s="1169"/>
    </row>
    <row r="358" spans="2:28" x14ac:dyDescent="0.2">
      <c r="E358" s="1170"/>
      <c r="F358" s="1178"/>
      <c r="G358" s="1169"/>
      <c r="H358" s="1169"/>
      <c r="I358" s="1169"/>
      <c r="J358" s="1169"/>
      <c r="K358" s="1169"/>
      <c r="L358" s="1171"/>
      <c r="M358" s="1170"/>
      <c r="N358" s="1178"/>
      <c r="O358" s="1169"/>
      <c r="P358" s="1169"/>
      <c r="Q358" s="1169"/>
      <c r="R358" s="1169"/>
      <c r="S358" s="1169"/>
      <c r="T358" s="1171"/>
      <c r="U358" s="1169"/>
    </row>
    <row r="359" spans="2:28" ht="14.25" x14ac:dyDescent="0.2">
      <c r="E359" s="1170"/>
      <c r="F359" s="1179"/>
      <c r="G359" s="1169"/>
      <c r="H359" s="1169"/>
      <c r="I359" s="1169"/>
      <c r="J359" s="1169"/>
      <c r="K359" s="1169"/>
      <c r="L359" s="1171"/>
      <c r="M359" s="1170"/>
      <c r="N359" s="1179"/>
      <c r="O359" s="1169"/>
      <c r="P359" s="1169"/>
      <c r="Q359" s="1169"/>
      <c r="R359" s="1169"/>
      <c r="S359" s="1169"/>
      <c r="T359" s="1171"/>
      <c r="U359" s="1169"/>
    </row>
    <row r="360" spans="2:28" x14ac:dyDescent="0.2">
      <c r="E360" s="1170"/>
      <c r="F360" s="1176"/>
      <c r="G360" s="1169"/>
      <c r="H360" s="1169"/>
      <c r="I360" s="1169"/>
      <c r="J360" s="1169"/>
      <c r="K360" s="1169"/>
      <c r="L360" s="1171"/>
      <c r="M360" s="1170"/>
      <c r="N360" s="1176"/>
      <c r="O360" s="1169"/>
      <c r="P360" s="1169"/>
      <c r="Q360" s="1169"/>
      <c r="R360" s="1169"/>
      <c r="S360" s="1169"/>
      <c r="T360" s="1171"/>
      <c r="U360" s="1169"/>
      <c r="Y360" s="1158">
        <f>G340+O340</f>
        <v>0</v>
      </c>
      <c r="Z360" s="1159">
        <f>O339+G339</f>
        <v>0</v>
      </c>
      <c r="AA360" s="1180">
        <f>(IF(G340&lt;0.2,G339,0))+(IF(O340&lt;0.2,O339,0))</f>
        <v>0</v>
      </c>
      <c r="AB360" s="1158">
        <f>G341+O341</f>
        <v>0</v>
      </c>
    </row>
    <row r="361" spans="2:28" ht="13.5" thickBot="1" x14ac:dyDescent="0.25">
      <c r="E361" s="1181"/>
      <c r="F361" s="1182"/>
      <c r="G361" s="1182"/>
      <c r="H361" s="1182"/>
      <c r="I361" s="1182"/>
      <c r="J361" s="1182"/>
      <c r="K361" s="1182"/>
      <c r="L361" s="1183"/>
      <c r="M361" s="1181"/>
      <c r="N361" s="1182"/>
      <c r="O361" s="1182"/>
      <c r="P361" s="1182"/>
      <c r="Q361" s="1182"/>
      <c r="R361" s="1182"/>
      <c r="S361" s="1182"/>
      <c r="T361" s="1183"/>
      <c r="U361" s="1169"/>
    </row>
    <row r="362" spans="2:28" ht="26.25" x14ac:dyDescent="0.2">
      <c r="E362" s="1167">
        <f>M337+1</f>
        <v>25</v>
      </c>
      <c r="F362" s="3454" t="s">
        <v>28178</v>
      </c>
      <c r="G362" s="3455"/>
      <c r="H362" s="3466" t="str">
        <f>IF(Liste!B356="0","Führungsschiene Summenzeile 1",Liste!B356&amp;" ("&amp;Liste!C356&amp;")")</f>
        <v>Führungsschiene 1250mm GCC W25 vertikal verzinkt (0308114)</v>
      </c>
      <c r="I362" s="3466"/>
      <c r="J362" s="3466"/>
      <c r="K362" s="3467"/>
      <c r="L362" s="1168">
        <f>IF(G365&gt;0.2,G365,0)</f>
        <v>0</v>
      </c>
      <c r="M362" s="1167">
        <f>E362+1</f>
        <v>26</v>
      </c>
      <c r="N362" s="3454" t="s">
        <v>28178</v>
      </c>
      <c r="O362" s="3455"/>
      <c r="P362" s="3466" t="str">
        <f>IF(Liste!B357="0","Führungsschiene Summenzeile 2",Liste!B357&amp;" ("&amp;Liste!C357&amp;")")</f>
        <v>Führungsschiene Summenzeile 2</v>
      </c>
      <c r="Q362" s="3466"/>
      <c r="R362" s="3466"/>
      <c r="S362" s="3467"/>
      <c r="T362" s="1168">
        <f>IF(O365&gt;0.2,O365,0)</f>
        <v>0</v>
      </c>
      <c r="U362" s="1169"/>
    </row>
    <row r="363" spans="2:28" x14ac:dyDescent="0.2">
      <c r="B363" s="1954" t="s">
        <v>29900</v>
      </c>
      <c r="C363" s="1955">
        <f>Liste!F356</f>
        <v>1250</v>
      </c>
      <c r="E363" s="1170"/>
      <c r="F363" s="1169"/>
      <c r="G363" s="1169"/>
      <c r="H363" s="1169"/>
      <c r="I363" s="1169"/>
      <c r="J363" s="1169"/>
      <c r="K363" s="1169"/>
      <c r="L363" s="1171"/>
      <c r="M363" s="1170"/>
      <c r="N363" s="1169"/>
      <c r="O363" s="1169"/>
      <c r="P363" s="1169"/>
      <c r="Q363" s="1169"/>
      <c r="R363" s="1169"/>
      <c r="S363" s="1169"/>
      <c r="T363" s="1171"/>
      <c r="U363" s="1169"/>
      <c r="V363" s="1954" t="s">
        <v>29900</v>
      </c>
      <c r="W363" s="1955">
        <f>Liste!F357</f>
        <v>0</v>
      </c>
    </row>
    <row r="364" spans="2:28" ht="15.75" x14ac:dyDescent="0.2">
      <c r="B364" s="1954" t="s">
        <v>29901</v>
      </c>
      <c r="C364" s="1955">
        <f>Liste!E356</f>
        <v>190.96</v>
      </c>
      <c r="E364" s="1170"/>
      <c r="F364" s="1172" t="s">
        <v>27904</v>
      </c>
      <c r="G364" s="1173">
        <f>Liste!A356*L18</f>
        <v>0</v>
      </c>
      <c r="H364" s="1959" t="s">
        <v>28179</v>
      </c>
      <c r="I364" s="1959"/>
      <c r="J364" s="1959"/>
      <c r="K364" s="1959"/>
      <c r="L364" s="1171"/>
      <c r="M364" s="1170"/>
      <c r="N364" s="1172" t="s">
        <v>27904</v>
      </c>
      <c r="O364" s="1173">
        <f>Liste!A357*L18</f>
        <v>0</v>
      </c>
      <c r="P364" s="1169" t="s">
        <v>28179</v>
      </c>
      <c r="Q364" s="1169"/>
      <c r="R364" s="1169"/>
      <c r="S364" s="1169"/>
      <c r="T364" s="1171"/>
      <c r="U364" s="1169"/>
      <c r="V364" s="1954" t="s">
        <v>29901</v>
      </c>
      <c r="W364" s="1955">
        <f>Liste!E357</f>
        <v>0</v>
      </c>
    </row>
    <row r="365" spans="2:28" ht="15.75" x14ac:dyDescent="0.2">
      <c r="B365" s="1954" t="s">
        <v>31205</v>
      </c>
      <c r="C365" s="1956">
        <f>C363*C364/1000/1000</f>
        <v>0.2387</v>
      </c>
      <c r="E365" s="1170"/>
      <c r="F365" s="1172" t="s">
        <v>28180</v>
      </c>
      <c r="G365" s="1173">
        <f>IF(G364&gt;0,G364*C365*C366,0)</f>
        <v>0</v>
      </c>
      <c r="H365" s="1959" t="s">
        <v>28181</v>
      </c>
      <c r="I365" s="1139"/>
      <c r="J365" s="1139"/>
      <c r="K365" s="1961" t="str">
        <f>IF(G365&lt;&gt;0,IF(G365&lt;0.2,"Kleinteil, Gerundete Fläche:",""),"")</f>
        <v/>
      </c>
      <c r="L365" s="1174">
        <f>IF(K365&lt;&gt;"",0.2,0)</f>
        <v>0</v>
      </c>
      <c r="M365" s="1170"/>
      <c r="N365" s="1172" t="s">
        <v>28180</v>
      </c>
      <c r="O365" s="1173">
        <f>IF(O364&gt;0,O364*W365*W366,0)</f>
        <v>0</v>
      </c>
      <c r="P365" s="1169" t="s">
        <v>28181</v>
      </c>
      <c r="S365" s="1172" t="str">
        <f>IF(O365&lt;&gt;0,IF(O365&lt;0.2,"Kleinteil, Gerundete Fläche:",""),"")</f>
        <v/>
      </c>
      <c r="T365" s="1175">
        <f>IF(S365&lt;&gt;"",0.2,0)</f>
        <v>0</v>
      </c>
      <c r="U365" s="1169"/>
      <c r="V365" s="1954" t="s">
        <v>31205</v>
      </c>
      <c r="W365" s="1956">
        <f>W363*W364/1000/1000</f>
        <v>0</v>
      </c>
    </row>
    <row r="366" spans="2:28" ht="15.75" x14ac:dyDescent="0.2">
      <c r="B366" s="1954" t="s">
        <v>29902</v>
      </c>
      <c r="C366" s="1957">
        <v>2</v>
      </c>
      <c r="E366" s="1170"/>
      <c r="F366" s="1172" t="s">
        <v>28182</v>
      </c>
      <c r="G366" s="1173">
        <f>IF(G364&gt;0,G364*C365*C367,0)</f>
        <v>0</v>
      </c>
      <c r="H366" s="1959" t="s">
        <v>28181</v>
      </c>
      <c r="I366" s="1963" t="s">
        <v>30879</v>
      </c>
      <c r="J366" s="1959"/>
      <c r="K366" s="1959"/>
      <c r="L366" s="1171"/>
      <c r="M366" s="1170"/>
      <c r="N366" s="1172" t="s">
        <v>28182</v>
      </c>
      <c r="O366" s="1173">
        <f>IF(O364&gt;0,O364*W365*W367,0)</f>
        <v>0</v>
      </c>
      <c r="P366" s="1169" t="s">
        <v>28181</v>
      </c>
      <c r="Q366" s="1963" t="s">
        <v>30879</v>
      </c>
      <c r="R366" s="1169"/>
      <c r="S366" s="1169"/>
      <c r="T366" s="1171"/>
      <c r="U366" s="1169"/>
      <c r="V366" s="1954" t="s">
        <v>29902</v>
      </c>
      <c r="W366" s="1957">
        <v>2</v>
      </c>
    </row>
    <row r="367" spans="2:28" ht="14.25" x14ac:dyDescent="0.2">
      <c r="B367" s="1954" t="s">
        <v>29903</v>
      </c>
      <c r="C367" s="1957">
        <v>1</v>
      </c>
      <c r="E367" s="1170"/>
      <c r="F367" s="1176"/>
      <c r="G367" s="1169"/>
      <c r="H367" s="1959"/>
      <c r="J367" s="1959"/>
      <c r="K367" s="1959"/>
      <c r="L367" s="1171"/>
      <c r="M367" s="1170"/>
      <c r="N367" s="1176"/>
      <c r="O367" s="1169"/>
      <c r="P367" s="1169"/>
      <c r="Q367" s="1169"/>
      <c r="R367" s="1169"/>
      <c r="S367" s="1169"/>
      <c r="T367" s="1171"/>
      <c r="U367" s="1169"/>
      <c r="V367" s="1954" t="s">
        <v>29903</v>
      </c>
      <c r="W367" s="1957">
        <v>1</v>
      </c>
    </row>
    <row r="368" spans="2:28" x14ac:dyDescent="0.2">
      <c r="E368" s="1170"/>
      <c r="F368" s="1169"/>
      <c r="G368" s="1169"/>
      <c r="H368" s="1959"/>
      <c r="I368" s="1959"/>
      <c r="J368" s="1959"/>
      <c r="K368" s="1959"/>
      <c r="L368" s="1171"/>
      <c r="M368" s="1170"/>
      <c r="N368" s="1169"/>
      <c r="O368" s="1169"/>
      <c r="P368" s="1169"/>
      <c r="Q368" s="1169"/>
      <c r="R368" s="1169"/>
      <c r="S368" s="1169"/>
      <c r="T368" s="1171"/>
      <c r="U368" s="1169"/>
    </row>
    <row r="369" spans="5:21" ht="16.5" x14ac:dyDescent="0.2">
      <c r="E369" s="1170"/>
      <c r="F369" s="1177" t="s">
        <v>28183</v>
      </c>
      <c r="G369" s="1169"/>
      <c r="H369" s="1959"/>
      <c r="I369" s="1959"/>
      <c r="J369" s="1959"/>
      <c r="K369" s="1959"/>
      <c r="L369" s="1171"/>
      <c r="M369" s="1170"/>
      <c r="N369" s="1177" t="s">
        <v>28183</v>
      </c>
      <c r="O369" s="1169"/>
      <c r="P369" s="1169"/>
      <c r="Q369" s="1169"/>
      <c r="R369" s="1169"/>
      <c r="S369" s="1169"/>
      <c r="T369" s="1171"/>
      <c r="U369" s="1169"/>
    </row>
    <row r="370" spans="5:21" x14ac:dyDescent="0.2">
      <c r="E370" s="1170"/>
      <c r="F370" s="1169"/>
      <c r="G370" s="1169"/>
      <c r="H370" s="1959"/>
      <c r="I370" s="1959"/>
      <c r="J370" s="1959"/>
      <c r="K370" s="1959"/>
      <c r="L370" s="1171"/>
      <c r="M370" s="1170"/>
      <c r="N370" s="1169"/>
      <c r="O370" s="1169"/>
      <c r="P370" s="1169"/>
      <c r="Q370" s="1169"/>
      <c r="R370" s="1169"/>
      <c r="S370" s="1169"/>
      <c r="T370" s="1171"/>
      <c r="U370" s="1169"/>
    </row>
    <row r="371" spans="5:21" x14ac:dyDescent="0.2">
      <c r="E371" s="1170"/>
      <c r="F371" s="1169"/>
      <c r="G371" s="1169"/>
      <c r="H371" s="1959"/>
      <c r="I371" s="1959"/>
      <c r="J371" s="1959"/>
      <c r="K371" s="1959"/>
      <c r="L371" s="1171"/>
      <c r="M371" s="1170"/>
      <c r="N371" s="1169"/>
      <c r="O371" s="1169"/>
      <c r="P371" s="1169"/>
      <c r="Q371" s="1169"/>
      <c r="R371" s="1169"/>
      <c r="S371" s="1169"/>
      <c r="T371" s="1171"/>
      <c r="U371" s="1169"/>
    </row>
    <row r="372" spans="5:21" x14ac:dyDescent="0.2">
      <c r="E372" s="1170"/>
      <c r="F372" s="1169"/>
      <c r="G372" s="1169"/>
      <c r="H372" s="1959"/>
      <c r="I372" s="1959"/>
      <c r="J372" s="1959"/>
      <c r="K372" s="1959"/>
      <c r="L372" s="1171"/>
      <c r="M372" s="1170"/>
      <c r="N372" s="1169"/>
      <c r="O372" s="1169"/>
      <c r="P372" s="1169"/>
      <c r="Q372" s="1169"/>
      <c r="R372" s="1169"/>
      <c r="S372" s="1169"/>
      <c r="T372" s="1171"/>
      <c r="U372" s="1169"/>
    </row>
    <row r="373" spans="5:21" x14ac:dyDescent="0.2">
      <c r="E373" s="1170"/>
      <c r="F373" s="1169"/>
      <c r="G373" s="1169"/>
      <c r="H373" s="1959"/>
      <c r="I373" s="1959"/>
      <c r="J373" s="1959"/>
      <c r="K373" s="1959"/>
      <c r="L373" s="1171"/>
      <c r="M373" s="1170"/>
      <c r="N373" s="1169"/>
      <c r="O373" s="1169"/>
      <c r="P373" s="1169"/>
      <c r="Q373" s="1169"/>
      <c r="R373" s="1169"/>
      <c r="S373" s="1169"/>
      <c r="T373" s="1171"/>
      <c r="U373" s="1169"/>
    </row>
    <row r="374" spans="5:21" x14ac:dyDescent="0.2">
      <c r="E374" s="1170"/>
      <c r="F374" s="1169"/>
      <c r="G374" s="1169"/>
      <c r="H374" s="1139"/>
      <c r="I374" s="1959"/>
      <c r="J374" s="1959"/>
      <c r="K374" s="1959"/>
      <c r="L374" s="1171"/>
      <c r="M374" s="1170"/>
      <c r="N374" s="1169"/>
      <c r="O374" s="1169"/>
      <c r="Q374" s="1169"/>
      <c r="R374" s="1169"/>
      <c r="S374" s="1169"/>
      <c r="T374" s="1171"/>
      <c r="U374" s="1169"/>
    </row>
    <row r="375" spans="5:21" x14ac:dyDescent="0.2">
      <c r="E375" s="1170"/>
      <c r="F375" s="1169"/>
      <c r="G375" s="1169"/>
      <c r="H375" s="1959"/>
      <c r="I375" s="1959"/>
      <c r="J375" s="1959"/>
      <c r="K375" s="1959"/>
      <c r="L375" s="1171"/>
      <c r="M375" s="1170"/>
      <c r="N375" s="1169"/>
      <c r="O375" s="1169"/>
      <c r="P375" s="1169"/>
      <c r="Q375" s="1169"/>
      <c r="R375" s="1169"/>
      <c r="S375" s="1169"/>
      <c r="T375" s="1171"/>
      <c r="U375" s="1169"/>
    </row>
    <row r="376" spans="5:21" x14ac:dyDescent="0.2">
      <c r="E376" s="1170"/>
      <c r="F376" s="1169"/>
      <c r="G376" s="1169"/>
      <c r="H376" s="1959"/>
      <c r="I376" s="1959"/>
      <c r="J376" s="1959"/>
      <c r="K376" s="1959"/>
      <c r="L376" s="1171"/>
      <c r="M376" s="1170"/>
      <c r="N376" s="1169"/>
      <c r="O376" s="1169"/>
      <c r="P376" s="1169"/>
      <c r="Q376" s="1169"/>
      <c r="R376" s="1169"/>
      <c r="S376" s="1169"/>
      <c r="T376" s="1171"/>
      <c r="U376" s="1169"/>
    </row>
    <row r="377" spans="5:21" x14ac:dyDescent="0.2">
      <c r="E377" s="1170"/>
      <c r="F377" s="1169"/>
      <c r="G377" s="1169"/>
      <c r="H377" s="1959"/>
      <c r="I377" s="1959"/>
      <c r="J377" s="1959"/>
      <c r="K377" s="1139"/>
      <c r="L377" s="1171"/>
      <c r="M377" s="1170"/>
      <c r="N377" s="1169"/>
      <c r="O377" s="1169"/>
      <c r="P377" s="1169"/>
      <c r="Q377" s="1169"/>
      <c r="R377" s="1169"/>
      <c r="T377" s="1171"/>
      <c r="U377" s="1169"/>
    </row>
    <row r="378" spans="5:21" x14ac:dyDescent="0.2">
      <c r="E378" s="1170"/>
      <c r="F378" s="1169"/>
      <c r="G378" s="1169"/>
      <c r="H378" s="1959"/>
      <c r="I378" s="1959"/>
      <c r="J378" s="1959"/>
      <c r="K378" s="1959"/>
      <c r="L378" s="1171"/>
      <c r="M378" s="1170"/>
      <c r="N378" s="1169"/>
      <c r="O378" s="1169"/>
      <c r="P378" s="1169"/>
      <c r="Q378" s="1169"/>
      <c r="R378" s="1169"/>
      <c r="S378" s="1169"/>
      <c r="T378" s="1171"/>
      <c r="U378" s="1169"/>
    </row>
    <row r="379" spans="5:21" x14ac:dyDescent="0.2">
      <c r="E379" s="1170"/>
      <c r="F379" s="1169"/>
      <c r="G379" s="1169"/>
      <c r="H379" s="1959"/>
      <c r="I379" s="1959"/>
      <c r="J379" s="1959"/>
      <c r="K379" s="1959"/>
      <c r="L379" s="1171"/>
      <c r="M379" s="1170"/>
      <c r="N379" s="1169"/>
      <c r="O379" s="1169"/>
      <c r="P379" s="1169"/>
      <c r="Q379" s="1169"/>
      <c r="R379" s="1169"/>
      <c r="S379" s="1169"/>
      <c r="T379" s="1171"/>
      <c r="U379" s="1169"/>
    </row>
    <row r="380" spans="5:21" x14ac:dyDescent="0.2">
      <c r="E380" s="1170"/>
      <c r="F380" s="1169"/>
      <c r="G380" s="1169"/>
      <c r="H380" s="1959"/>
      <c r="I380" s="1959"/>
      <c r="J380" s="1959"/>
      <c r="K380" s="1959"/>
      <c r="L380" s="1171"/>
      <c r="M380" s="1170"/>
      <c r="N380" s="1169"/>
      <c r="O380" s="1169"/>
      <c r="P380" s="1169"/>
      <c r="Q380" s="1169"/>
      <c r="R380" s="1169"/>
      <c r="S380" s="1169"/>
      <c r="T380" s="1171"/>
      <c r="U380" s="1169"/>
    </row>
    <row r="381" spans="5:21" x14ac:dyDescent="0.2">
      <c r="E381" s="1170"/>
      <c r="F381" s="1169"/>
      <c r="G381" s="1169"/>
      <c r="H381" s="1959"/>
      <c r="I381" s="1959"/>
      <c r="J381" s="1959"/>
      <c r="K381" s="1959"/>
      <c r="L381" s="1171"/>
      <c r="M381" s="1170"/>
      <c r="N381" s="1169"/>
      <c r="O381" s="1169"/>
      <c r="P381" s="1169"/>
      <c r="Q381" s="1169"/>
      <c r="R381" s="1169"/>
      <c r="S381" s="1169"/>
      <c r="T381" s="1171"/>
      <c r="U381" s="1169"/>
    </row>
    <row r="382" spans="5:21" x14ac:dyDescent="0.2">
      <c r="E382" s="1170"/>
      <c r="F382" s="1169"/>
      <c r="G382" s="1169"/>
      <c r="H382" s="1959"/>
      <c r="I382" s="1959"/>
      <c r="J382" s="1959"/>
      <c r="K382" s="1959"/>
      <c r="L382" s="1171"/>
      <c r="M382" s="1170"/>
      <c r="N382" s="1169"/>
      <c r="O382" s="1169"/>
      <c r="P382" s="1169"/>
      <c r="Q382" s="1169"/>
      <c r="R382" s="1169"/>
      <c r="S382" s="1169"/>
      <c r="T382" s="1171"/>
      <c r="U382" s="1169"/>
    </row>
    <row r="383" spans="5:21" x14ac:dyDescent="0.2">
      <c r="E383" s="1170"/>
      <c r="F383" s="1178"/>
      <c r="G383" s="1169"/>
      <c r="H383" s="1959"/>
      <c r="I383" s="1959"/>
      <c r="J383" s="1959"/>
      <c r="K383" s="1959"/>
      <c r="L383" s="1171"/>
      <c r="M383" s="1170"/>
      <c r="N383" s="1178"/>
      <c r="O383" s="1169"/>
      <c r="P383" s="1169"/>
      <c r="Q383" s="1169"/>
      <c r="R383" s="1169"/>
      <c r="S383" s="1169"/>
      <c r="T383" s="1171"/>
      <c r="U383" s="1169"/>
    </row>
    <row r="384" spans="5:21" ht="14.25" x14ac:dyDescent="0.2">
      <c r="E384" s="1170"/>
      <c r="F384" s="1179"/>
      <c r="G384" s="1169"/>
      <c r="H384" s="1959"/>
      <c r="I384" s="1959"/>
      <c r="J384" s="1959"/>
      <c r="K384" s="1959"/>
      <c r="L384" s="1171"/>
      <c r="M384" s="1170"/>
      <c r="N384" s="1179"/>
      <c r="O384" s="1169"/>
      <c r="P384" s="1169"/>
      <c r="Q384" s="1169"/>
      <c r="R384" s="1169"/>
      <c r="S384" s="1169"/>
      <c r="T384" s="1171"/>
      <c r="U384" s="1169"/>
    </row>
    <row r="385" spans="2:28" ht="15.75" x14ac:dyDescent="0.2">
      <c r="E385" s="2088"/>
      <c r="F385" s="2089" t="str">
        <f>IF(SUM(Liste!$D$316:$D$335)&gt;2,"Laschen 90° knicken!","Laschen 180° umknicken!")</f>
        <v>Laschen 180° umknicken!</v>
      </c>
      <c r="G385" s="1169"/>
      <c r="H385" s="1169"/>
      <c r="I385" s="1169"/>
      <c r="J385" s="1169"/>
      <c r="K385" s="1169"/>
      <c r="L385" s="1171"/>
      <c r="M385" s="2088"/>
      <c r="N385" s="2089" t="str">
        <f>IF(SUM(Liste!$D$316:$D$335)&gt;2,"Laschen 90° knicken!","Laschen 180° umknicken!")</f>
        <v>Laschen 180° umknicken!</v>
      </c>
      <c r="O385" s="1169"/>
      <c r="P385" s="1169"/>
      <c r="Q385" s="1169"/>
      <c r="R385" s="1169"/>
      <c r="S385" s="1169"/>
      <c r="T385" s="1171"/>
      <c r="U385" s="1169"/>
      <c r="Y385" s="1158">
        <f>G365+O365</f>
        <v>0</v>
      </c>
      <c r="Z385" s="1159">
        <f>O364+G364</f>
        <v>0</v>
      </c>
      <c r="AA385" s="1180">
        <f>(IF(G365&lt;0.2,G364,0))+(IF(O365&lt;0.2,O364,0))</f>
        <v>0</v>
      </c>
      <c r="AB385" s="1158">
        <f>G366+O366</f>
        <v>0</v>
      </c>
    </row>
    <row r="386" spans="2:28" ht="13.5" thickBot="1" x14ac:dyDescent="0.25">
      <c r="E386" s="1181"/>
      <c r="F386" s="1182"/>
      <c r="G386" s="1182"/>
      <c r="H386" s="1182"/>
      <c r="I386" s="1182"/>
      <c r="J386" s="1182"/>
      <c r="K386" s="1182"/>
      <c r="L386" s="1183"/>
      <c r="M386" s="1181"/>
      <c r="N386" s="1182"/>
      <c r="O386" s="1182"/>
      <c r="P386" s="1182"/>
      <c r="Q386" s="1182"/>
      <c r="R386" s="1182"/>
      <c r="S386" s="1182"/>
      <c r="T386" s="1183"/>
      <c r="U386" s="1169"/>
    </row>
    <row r="387" spans="2:28" ht="26.25" x14ac:dyDescent="0.2">
      <c r="E387" s="1167">
        <f>M362+1</f>
        <v>27</v>
      </c>
      <c r="F387" s="3454" t="s">
        <v>28178</v>
      </c>
      <c r="G387" s="3455"/>
      <c r="H387" s="3466" t="str">
        <f>IF(Liste!B358="0","Führungsschiene Summenzeile 3",Liste!B358&amp;" ("&amp;Liste!C358&amp;")")</f>
        <v>Führungsschiene Summenzeile 3</v>
      </c>
      <c r="I387" s="3466"/>
      <c r="J387" s="3466"/>
      <c r="K387" s="3467"/>
      <c r="L387" s="1168">
        <f>IF(G390&gt;0.2,G390,0)</f>
        <v>0</v>
      </c>
      <c r="M387" s="1167">
        <f>E387+1</f>
        <v>28</v>
      </c>
      <c r="N387" s="3454" t="s">
        <v>28178</v>
      </c>
      <c r="O387" s="3455"/>
      <c r="P387" s="3466" t="str">
        <f>IF(Liste!B359="0","Führungsschiene Summenzeile 4",Liste!B359&amp;" ("&amp;Liste!C359&amp;")")</f>
        <v>Führungsschiene Summenzeile 4</v>
      </c>
      <c r="Q387" s="3466"/>
      <c r="R387" s="3466"/>
      <c r="S387" s="3467"/>
      <c r="T387" s="1168">
        <f>IF(O390&gt;0.2,O390,0)</f>
        <v>0</v>
      </c>
      <c r="U387" s="1169"/>
    </row>
    <row r="388" spans="2:28" x14ac:dyDescent="0.2">
      <c r="B388" s="1954" t="s">
        <v>29900</v>
      </c>
      <c r="C388" s="1955">
        <f>Liste!F358</f>
        <v>0</v>
      </c>
      <c r="E388" s="1170"/>
      <c r="F388" s="1169"/>
      <c r="G388" s="1169"/>
      <c r="H388" s="1169"/>
      <c r="I388" s="1169"/>
      <c r="J388" s="1169"/>
      <c r="K388" s="1169"/>
      <c r="L388" s="1171"/>
      <c r="M388" s="1170"/>
      <c r="N388" s="1169"/>
      <c r="O388" s="1169"/>
      <c r="P388" s="1169"/>
      <c r="Q388" s="1169"/>
      <c r="R388" s="1169"/>
      <c r="S388" s="1169"/>
      <c r="T388" s="1171"/>
      <c r="U388" s="1169"/>
      <c r="V388" s="1954" t="s">
        <v>29900</v>
      </c>
      <c r="W388" s="1955">
        <f>Liste!F359</f>
        <v>0</v>
      </c>
    </row>
    <row r="389" spans="2:28" ht="15.75" x14ac:dyDescent="0.2">
      <c r="B389" s="1954" t="s">
        <v>29901</v>
      </c>
      <c r="C389" s="1955">
        <f>Liste!E358</f>
        <v>0</v>
      </c>
      <c r="E389" s="1170"/>
      <c r="F389" s="1172" t="s">
        <v>27904</v>
      </c>
      <c r="G389" s="1173">
        <f>Liste!A358*L18</f>
        <v>0</v>
      </c>
      <c r="H389" s="1169" t="s">
        <v>28179</v>
      </c>
      <c r="I389" s="1169"/>
      <c r="J389" s="1169"/>
      <c r="K389" s="1169"/>
      <c r="L389" s="1171"/>
      <c r="M389" s="1170"/>
      <c r="N389" s="1172" t="s">
        <v>27904</v>
      </c>
      <c r="O389" s="1173">
        <f>Liste!A359*L18</f>
        <v>0</v>
      </c>
      <c r="P389" s="1169" t="s">
        <v>28179</v>
      </c>
      <c r="Q389" s="1169"/>
      <c r="R389" s="1169"/>
      <c r="S389" s="1169"/>
      <c r="T389" s="1171"/>
      <c r="U389" s="1169"/>
      <c r="V389" s="1954" t="s">
        <v>29901</v>
      </c>
      <c r="W389" s="1955">
        <f>Liste!E359</f>
        <v>0</v>
      </c>
    </row>
    <row r="390" spans="2:28" ht="15.75" x14ac:dyDescent="0.2">
      <c r="B390" s="1954" t="s">
        <v>31205</v>
      </c>
      <c r="C390" s="1956">
        <f>C388*C389/1000/1000</f>
        <v>0</v>
      </c>
      <c r="E390" s="1170"/>
      <c r="F390" s="1172" t="s">
        <v>28180</v>
      </c>
      <c r="G390" s="1173">
        <f>IF(G389&gt;0,G389*C390*C391,0)</f>
        <v>0</v>
      </c>
      <c r="H390" s="1169" t="s">
        <v>28181</v>
      </c>
      <c r="K390" s="1172" t="str">
        <f>IF(G390&lt;&gt;0,IF(G390&lt;0.2,"Kleinteil, Gerundete Fläche:",""),"")</f>
        <v/>
      </c>
      <c r="L390" s="1174">
        <f>IF(K390&lt;&gt;"",0.2,0)</f>
        <v>0</v>
      </c>
      <c r="M390" s="1170"/>
      <c r="N390" s="1172" t="s">
        <v>28180</v>
      </c>
      <c r="O390" s="1173">
        <f>IF(O389&gt;0,O389*W390*W391,0)</f>
        <v>0</v>
      </c>
      <c r="P390" s="1169" t="s">
        <v>28181</v>
      </c>
      <c r="S390" s="1172" t="str">
        <f>IF(O390&lt;&gt;0,IF(O390&lt;0.2,"Kleinteil, Gerundete Fläche:",""),"")</f>
        <v/>
      </c>
      <c r="T390" s="1175">
        <f>IF(S390&lt;&gt;"",0.2,0)</f>
        <v>0</v>
      </c>
      <c r="U390" s="1169"/>
      <c r="V390" s="1954" t="s">
        <v>31205</v>
      </c>
      <c r="W390" s="1956">
        <f>W388*W389/1000/1000</f>
        <v>0</v>
      </c>
    </row>
    <row r="391" spans="2:28" ht="15.75" x14ac:dyDescent="0.2">
      <c r="B391" s="1954" t="s">
        <v>29902</v>
      </c>
      <c r="C391" s="1957">
        <v>2</v>
      </c>
      <c r="E391" s="1170"/>
      <c r="F391" s="1172" t="s">
        <v>28182</v>
      </c>
      <c r="G391" s="1173">
        <f>IF(G389&gt;0,G389*C390*C392,0)</f>
        <v>0</v>
      </c>
      <c r="H391" s="1169" t="s">
        <v>28181</v>
      </c>
      <c r="I391" s="1963" t="s">
        <v>30879</v>
      </c>
      <c r="J391" s="1169"/>
      <c r="K391" s="1169"/>
      <c r="L391" s="1171"/>
      <c r="M391" s="1170"/>
      <c r="N391" s="1172" t="s">
        <v>28182</v>
      </c>
      <c r="O391" s="1173">
        <f>IF(O389&gt;0,O389*W390*W392,0)</f>
        <v>0</v>
      </c>
      <c r="P391" s="1169" t="s">
        <v>28181</v>
      </c>
      <c r="Q391" s="1963" t="s">
        <v>30879</v>
      </c>
      <c r="R391" s="1169"/>
      <c r="S391" s="1169"/>
      <c r="T391" s="1171"/>
      <c r="U391" s="1169"/>
      <c r="V391" s="1954" t="s">
        <v>29902</v>
      </c>
      <c r="W391" s="1957">
        <v>2</v>
      </c>
    </row>
    <row r="392" spans="2:28" ht="14.25" x14ac:dyDescent="0.2">
      <c r="B392" s="1954" t="s">
        <v>29903</v>
      </c>
      <c r="C392" s="1957">
        <v>1</v>
      </c>
      <c r="E392" s="1170"/>
      <c r="F392" s="1176"/>
      <c r="G392" s="1169"/>
      <c r="H392" s="1169"/>
      <c r="I392" s="1169"/>
      <c r="J392" s="1169"/>
      <c r="K392" s="1169"/>
      <c r="L392" s="1171"/>
      <c r="M392" s="1170"/>
      <c r="N392" s="1176"/>
      <c r="O392" s="1169"/>
      <c r="P392" s="1169"/>
      <c r="Q392" s="1169"/>
      <c r="R392" s="1169"/>
      <c r="S392" s="1169"/>
      <c r="T392" s="1171"/>
      <c r="U392" s="1169"/>
      <c r="V392" s="1954" t="s">
        <v>29903</v>
      </c>
      <c r="W392" s="1957">
        <v>1</v>
      </c>
    </row>
    <row r="393" spans="2:28" x14ac:dyDescent="0.2">
      <c r="E393" s="1170"/>
      <c r="F393" s="1169"/>
      <c r="G393" s="1169"/>
      <c r="H393" s="1169"/>
      <c r="I393" s="1169"/>
      <c r="J393" s="1169"/>
      <c r="K393" s="1169"/>
      <c r="L393" s="1171"/>
      <c r="M393" s="1170"/>
      <c r="N393" s="1169"/>
      <c r="O393" s="1169"/>
      <c r="P393" s="1169"/>
      <c r="Q393" s="1169"/>
      <c r="R393" s="1169"/>
      <c r="S393" s="1169"/>
      <c r="T393" s="1171"/>
      <c r="U393" s="1169"/>
    </row>
    <row r="394" spans="2:28" ht="16.5" x14ac:dyDescent="0.2">
      <c r="E394" s="1170"/>
      <c r="F394" s="1177" t="s">
        <v>28183</v>
      </c>
      <c r="G394" s="1169"/>
      <c r="H394" s="1169"/>
      <c r="I394" s="1169"/>
      <c r="J394" s="1169"/>
      <c r="K394" s="1169"/>
      <c r="L394" s="1171"/>
      <c r="M394" s="1170"/>
      <c r="N394" s="1177" t="s">
        <v>28183</v>
      </c>
      <c r="O394" s="1169"/>
      <c r="P394" s="1169"/>
      <c r="Q394" s="1169"/>
      <c r="R394" s="1169"/>
      <c r="S394" s="1169"/>
      <c r="T394" s="1171"/>
      <c r="U394" s="1169"/>
    </row>
    <row r="395" spans="2:28" x14ac:dyDescent="0.2">
      <c r="E395" s="1170"/>
      <c r="F395" s="1169"/>
      <c r="G395" s="1169"/>
      <c r="H395" s="1169"/>
      <c r="I395" s="1169"/>
      <c r="J395" s="1169"/>
      <c r="K395" s="1169"/>
      <c r="L395" s="1171"/>
      <c r="M395" s="1170"/>
      <c r="N395" s="1169"/>
      <c r="O395" s="1169"/>
      <c r="P395" s="1169"/>
      <c r="Q395" s="1169"/>
      <c r="R395" s="1169"/>
      <c r="S395" s="1169"/>
      <c r="T395" s="1171"/>
      <c r="U395" s="1169"/>
    </row>
    <row r="396" spans="2:28" x14ac:dyDescent="0.2">
      <c r="E396" s="1170"/>
      <c r="F396" s="1169"/>
      <c r="G396" s="1169"/>
      <c r="H396" s="1169"/>
      <c r="I396" s="1169"/>
      <c r="J396" s="1169"/>
      <c r="K396" s="1169"/>
      <c r="L396" s="1171"/>
      <c r="M396" s="1170"/>
      <c r="N396" s="1169"/>
      <c r="O396" s="1169"/>
      <c r="P396" s="1169"/>
      <c r="Q396" s="1169"/>
      <c r="R396" s="1169"/>
      <c r="S396" s="1169"/>
      <c r="T396" s="1171"/>
      <c r="U396" s="1169"/>
    </row>
    <row r="397" spans="2:28" x14ac:dyDescent="0.2">
      <c r="E397" s="1170"/>
      <c r="F397" s="1169"/>
      <c r="G397" s="1169"/>
      <c r="H397" s="1169"/>
      <c r="I397" s="1169"/>
      <c r="J397" s="1169"/>
      <c r="K397" s="1169"/>
      <c r="L397" s="1171"/>
      <c r="M397" s="1170"/>
      <c r="N397" s="1169"/>
      <c r="O397" s="1169"/>
      <c r="P397" s="1169"/>
      <c r="Q397" s="1169"/>
      <c r="R397" s="1169"/>
      <c r="S397" s="1169"/>
      <c r="T397" s="1171"/>
      <c r="U397" s="1169"/>
    </row>
    <row r="398" spans="2:28" x14ac:dyDescent="0.2">
      <c r="E398" s="1170"/>
      <c r="F398" s="1169"/>
      <c r="G398" s="1169"/>
      <c r="H398" s="1169"/>
      <c r="I398" s="1169"/>
      <c r="J398" s="1169"/>
      <c r="K398" s="1169"/>
      <c r="L398" s="1171"/>
      <c r="M398" s="1170"/>
      <c r="N398" s="1169"/>
      <c r="O398" s="1169"/>
      <c r="P398" s="1169"/>
      <c r="Q398" s="1169"/>
      <c r="R398" s="1169"/>
      <c r="S398" s="1169"/>
      <c r="T398" s="1171"/>
      <c r="U398" s="1169"/>
    </row>
    <row r="399" spans="2:28" x14ac:dyDescent="0.2">
      <c r="E399" s="1170"/>
      <c r="F399" s="1169"/>
      <c r="G399" s="1169"/>
      <c r="I399" s="1169"/>
      <c r="J399" s="1169"/>
      <c r="K399" s="1169"/>
      <c r="L399" s="1171"/>
      <c r="M399" s="1170"/>
      <c r="N399" s="1169"/>
      <c r="O399" s="1169"/>
      <c r="Q399" s="1169"/>
      <c r="R399" s="1169"/>
      <c r="S399" s="1169"/>
      <c r="T399" s="1171"/>
      <c r="U399" s="1169"/>
    </row>
    <row r="400" spans="2:28" x14ac:dyDescent="0.2">
      <c r="E400" s="1170"/>
      <c r="F400" s="1169"/>
      <c r="G400" s="1169"/>
      <c r="H400" s="1169"/>
      <c r="I400" s="1169"/>
      <c r="J400" s="1169"/>
      <c r="K400" s="1169"/>
      <c r="L400" s="1171"/>
      <c r="M400" s="1170"/>
      <c r="N400" s="1169"/>
      <c r="O400" s="1169"/>
      <c r="P400" s="1169"/>
      <c r="Q400" s="1169"/>
      <c r="R400" s="1169"/>
      <c r="S400" s="1169"/>
      <c r="T400" s="1171"/>
      <c r="U400" s="1169"/>
    </row>
    <row r="401" spans="2:28" x14ac:dyDescent="0.2">
      <c r="E401" s="1170"/>
      <c r="F401" s="1169"/>
      <c r="G401" s="1169"/>
      <c r="H401" s="1169"/>
      <c r="I401" s="1169"/>
      <c r="J401" s="1169"/>
      <c r="K401" s="1169"/>
      <c r="L401" s="1171"/>
      <c r="M401" s="1170"/>
      <c r="N401" s="1169"/>
      <c r="O401" s="1169"/>
      <c r="P401" s="1169"/>
      <c r="Q401" s="1169"/>
      <c r="R401" s="1169"/>
      <c r="S401" s="1169"/>
      <c r="T401" s="1171"/>
      <c r="U401" s="1169"/>
    </row>
    <row r="402" spans="2:28" x14ac:dyDescent="0.2">
      <c r="E402" s="1170"/>
      <c r="F402" s="1169"/>
      <c r="G402" s="1169"/>
      <c r="H402" s="1169"/>
      <c r="I402" s="1169"/>
      <c r="J402" s="1169"/>
      <c r="L402" s="1171"/>
      <c r="M402" s="1170"/>
      <c r="N402" s="1169"/>
      <c r="O402" s="1169"/>
      <c r="P402" s="1169"/>
      <c r="Q402" s="1169"/>
      <c r="R402" s="1169"/>
      <c r="T402" s="1171"/>
      <c r="U402" s="1169"/>
    </row>
    <row r="403" spans="2:28" x14ac:dyDescent="0.2">
      <c r="E403" s="1170"/>
      <c r="F403" s="1169"/>
      <c r="G403" s="1169"/>
      <c r="H403" s="1169"/>
      <c r="I403" s="1169"/>
      <c r="J403" s="1169"/>
      <c r="K403" s="1169"/>
      <c r="L403" s="1171"/>
      <c r="M403" s="1170"/>
      <c r="N403" s="1169"/>
      <c r="O403" s="1169"/>
      <c r="P403" s="1169"/>
      <c r="Q403" s="1169"/>
      <c r="R403" s="1169"/>
      <c r="S403" s="1169"/>
      <c r="T403" s="1171"/>
      <c r="U403" s="1169"/>
    </row>
    <row r="404" spans="2:28" x14ac:dyDescent="0.2">
      <c r="E404" s="1170"/>
      <c r="F404" s="1169"/>
      <c r="G404" s="1169"/>
      <c r="H404" s="1169"/>
      <c r="I404" s="1169"/>
      <c r="J404" s="1169"/>
      <c r="K404" s="1169"/>
      <c r="L404" s="1171"/>
      <c r="M404" s="1170"/>
      <c r="N404" s="1169"/>
      <c r="O404" s="1169"/>
      <c r="P404" s="1169"/>
      <c r="Q404" s="1169"/>
      <c r="R404" s="1169"/>
      <c r="S404" s="1169"/>
      <c r="T404" s="1171"/>
      <c r="U404" s="1169"/>
    </row>
    <row r="405" spans="2:28" x14ac:dyDescent="0.2">
      <c r="E405" s="1170"/>
      <c r="F405" s="1169"/>
      <c r="G405" s="1169"/>
      <c r="H405" s="1169"/>
      <c r="I405" s="1169"/>
      <c r="J405" s="1169"/>
      <c r="K405" s="1169"/>
      <c r="L405" s="1171"/>
      <c r="M405" s="1170"/>
      <c r="N405" s="1169"/>
      <c r="O405" s="1169"/>
      <c r="P405" s="1169"/>
      <c r="Q405" s="1169"/>
      <c r="R405" s="1169"/>
      <c r="S405" s="1169"/>
      <c r="T405" s="1171"/>
      <c r="U405" s="1169"/>
    </row>
    <row r="406" spans="2:28" x14ac:dyDescent="0.2">
      <c r="E406" s="1170"/>
      <c r="F406" s="1169"/>
      <c r="G406" s="1169"/>
      <c r="H406" s="1169"/>
      <c r="I406" s="1169"/>
      <c r="J406" s="1169"/>
      <c r="K406" s="1169"/>
      <c r="L406" s="1171"/>
      <c r="M406" s="1170"/>
      <c r="N406" s="1169"/>
      <c r="O406" s="1169"/>
      <c r="P406" s="1169"/>
      <c r="Q406" s="1169"/>
      <c r="R406" s="1169"/>
      <c r="S406" s="1169"/>
      <c r="T406" s="1171"/>
      <c r="U406" s="1169"/>
    </row>
    <row r="407" spans="2:28" x14ac:dyDescent="0.2">
      <c r="E407" s="1170"/>
      <c r="F407" s="1169"/>
      <c r="G407" s="1169"/>
      <c r="H407" s="1169"/>
      <c r="I407" s="1169"/>
      <c r="J407" s="1169"/>
      <c r="K407" s="1169"/>
      <c r="L407" s="1171"/>
      <c r="M407" s="1170"/>
      <c r="N407" s="1169"/>
      <c r="O407" s="1169"/>
      <c r="P407" s="1169"/>
      <c r="Q407" s="1169"/>
      <c r="R407" s="1169"/>
      <c r="S407" s="1169"/>
      <c r="T407" s="1171"/>
      <c r="U407" s="1169"/>
    </row>
    <row r="408" spans="2:28" x14ac:dyDescent="0.2">
      <c r="E408" s="1170"/>
      <c r="F408" s="1178"/>
      <c r="G408" s="1169"/>
      <c r="H408" s="1169"/>
      <c r="I408" s="1169"/>
      <c r="J408" s="1169"/>
      <c r="K408" s="1169"/>
      <c r="L408" s="1171"/>
      <c r="M408" s="1170"/>
      <c r="N408" s="1178"/>
      <c r="O408" s="1169"/>
      <c r="P408" s="1169"/>
      <c r="Q408" s="1169"/>
      <c r="R408" s="1169"/>
      <c r="S408" s="1169"/>
      <c r="T408" s="1171"/>
      <c r="U408" s="1169"/>
    </row>
    <row r="409" spans="2:28" ht="14.25" x14ac:dyDescent="0.2">
      <c r="E409" s="1170"/>
      <c r="F409" s="1179"/>
      <c r="G409" s="1169"/>
      <c r="H409" s="1169"/>
      <c r="I409" s="1169"/>
      <c r="J409" s="1169"/>
      <c r="K409" s="1169"/>
      <c r="L409" s="1171"/>
      <c r="M409" s="1170"/>
      <c r="N409" s="1179"/>
      <c r="O409" s="1169"/>
      <c r="P409" s="1169"/>
      <c r="Q409" s="1169"/>
      <c r="R409" s="1169"/>
      <c r="S409" s="1169"/>
      <c r="T409" s="1171"/>
      <c r="U409" s="1169"/>
    </row>
    <row r="410" spans="2:28" ht="15.75" x14ac:dyDescent="0.2">
      <c r="E410" s="2088"/>
      <c r="F410" s="2089" t="str">
        <f>IF(SUM(Liste!$D$316:$D$335)&gt;2,"Laschen 90° knicken!","Laschen 180° umknicken!")</f>
        <v>Laschen 180° umknicken!</v>
      </c>
      <c r="G410" s="1169"/>
      <c r="H410" s="1169"/>
      <c r="I410" s="1169"/>
      <c r="J410" s="1169"/>
      <c r="K410" s="1169"/>
      <c r="L410" s="1171"/>
      <c r="M410" s="2088"/>
      <c r="N410" s="2089" t="str">
        <f>IF(SUM(Liste!$D$316:$D$335)&gt;2,"Laschen 90° knicken!","Laschen 180° umknicken!")</f>
        <v>Laschen 180° umknicken!</v>
      </c>
      <c r="O410" s="1169"/>
      <c r="P410" s="1169"/>
      <c r="Q410" s="1169"/>
      <c r="R410" s="1169"/>
      <c r="S410" s="1169"/>
      <c r="T410" s="1171"/>
      <c r="U410" s="1169"/>
      <c r="Y410" s="1158">
        <f>G390+O390</f>
        <v>0</v>
      </c>
      <c r="Z410" s="1159">
        <f>O389+G389</f>
        <v>0</v>
      </c>
      <c r="AA410" s="1180">
        <f>(IF(G390&lt;0.2,G389,0))+(IF(O390&lt;0.2,O389,0))</f>
        <v>0</v>
      </c>
      <c r="AB410" s="1158">
        <f>G391+O391</f>
        <v>0</v>
      </c>
    </row>
    <row r="411" spans="2:28" ht="13.5" thickBot="1" x14ac:dyDescent="0.25">
      <c r="E411" s="1181"/>
      <c r="F411" s="1182"/>
      <c r="G411" s="1182"/>
      <c r="H411" s="1182"/>
      <c r="I411" s="1182"/>
      <c r="J411" s="1182"/>
      <c r="K411" s="1182"/>
      <c r="L411" s="1183"/>
      <c r="M411" s="1181"/>
      <c r="N411" s="1182"/>
      <c r="O411" s="1182"/>
      <c r="P411" s="1182"/>
      <c r="Q411" s="1182"/>
      <c r="R411" s="1182"/>
      <c r="S411" s="1182"/>
      <c r="T411" s="1183"/>
      <c r="U411" s="1169"/>
    </row>
    <row r="412" spans="2:28" ht="26.25" x14ac:dyDescent="0.2">
      <c r="E412" s="1167">
        <f>M387+1</f>
        <v>29</v>
      </c>
      <c r="F412" s="3454" t="s">
        <v>28178</v>
      </c>
      <c r="G412" s="3455"/>
      <c r="H412" s="3466" t="str">
        <f>IF(Liste!B360="0","Führungsschiene Summenzeile 5",Liste!B360&amp;" ("&amp;Liste!C360&amp;")")</f>
        <v>Führungsschiene Summenzeile 5</v>
      </c>
      <c r="I412" s="3466"/>
      <c r="J412" s="3466"/>
      <c r="K412" s="3467"/>
      <c r="L412" s="1168">
        <f>IF(G415&gt;0.2,G415,0)</f>
        <v>0</v>
      </c>
      <c r="M412" s="1167">
        <f>E412+1</f>
        <v>30</v>
      </c>
      <c r="N412" s="3454" t="s">
        <v>28178</v>
      </c>
      <c r="O412" s="3455"/>
      <c r="P412" s="3466" t="str">
        <f>IF(Liste!B361="0","Führungsschiene Summenzeile 6",Liste!B361&amp;" ("&amp;Liste!C361&amp;")")</f>
        <v>Führungsschiene Summenzeile 6</v>
      </c>
      <c r="Q412" s="3466"/>
      <c r="R412" s="3466"/>
      <c r="S412" s="3467"/>
      <c r="T412" s="1168">
        <f>IF(O415&gt;0.2,O415,0)</f>
        <v>0</v>
      </c>
      <c r="U412" s="1169"/>
    </row>
    <row r="413" spans="2:28" x14ac:dyDescent="0.2">
      <c r="B413" s="1954" t="s">
        <v>29900</v>
      </c>
      <c r="C413" s="1955">
        <f>Liste!F360</f>
        <v>0</v>
      </c>
      <c r="E413" s="1170"/>
      <c r="F413" s="1169"/>
      <c r="G413" s="1169"/>
      <c r="H413" s="1169"/>
      <c r="I413" s="1169"/>
      <c r="J413" s="1169"/>
      <c r="K413" s="1169"/>
      <c r="L413" s="1171"/>
      <c r="M413" s="1170"/>
      <c r="N413" s="1169"/>
      <c r="O413" s="1169"/>
      <c r="P413" s="1169"/>
      <c r="Q413" s="1169"/>
      <c r="R413" s="1169"/>
      <c r="S413" s="1169"/>
      <c r="T413" s="1171"/>
      <c r="U413" s="1169"/>
      <c r="V413" s="1954" t="s">
        <v>29900</v>
      </c>
      <c r="W413" s="1955">
        <f>Liste!F361</f>
        <v>0</v>
      </c>
    </row>
    <row r="414" spans="2:28" ht="15.75" x14ac:dyDescent="0.2">
      <c r="B414" s="1954" t="s">
        <v>29901</v>
      </c>
      <c r="C414" s="1955">
        <f>Liste!E360</f>
        <v>0</v>
      </c>
      <c r="E414" s="1170"/>
      <c r="F414" s="1172" t="s">
        <v>27904</v>
      </c>
      <c r="G414" s="1173">
        <f>Liste!A360*L18</f>
        <v>0</v>
      </c>
      <c r="H414" s="1169" t="s">
        <v>28179</v>
      </c>
      <c r="I414" s="1169"/>
      <c r="J414" s="1169"/>
      <c r="K414" s="1169"/>
      <c r="L414" s="1171"/>
      <c r="M414" s="1170"/>
      <c r="N414" s="1172" t="s">
        <v>27904</v>
      </c>
      <c r="O414" s="1173">
        <f>Liste!A361*L18</f>
        <v>0</v>
      </c>
      <c r="P414" s="1169" t="s">
        <v>28179</v>
      </c>
      <c r="Q414" s="1169"/>
      <c r="R414" s="1169"/>
      <c r="S414" s="1169"/>
      <c r="T414" s="1171"/>
      <c r="U414" s="1169"/>
      <c r="V414" s="1954" t="s">
        <v>29901</v>
      </c>
      <c r="W414" s="1955">
        <f>Liste!E361</f>
        <v>0</v>
      </c>
    </row>
    <row r="415" spans="2:28" ht="15.75" x14ac:dyDescent="0.2">
      <c r="B415" s="1954" t="s">
        <v>31205</v>
      </c>
      <c r="C415" s="1956">
        <f>C413*C414/1000/1000</f>
        <v>0</v>
      </c>
      <c r="E415" s="1170"/>
      <c r="F415" s="1172" t="s">
        <v>28180</v>
      </c>
      <c r="G415" s="1173">
        <f>IF(G414&gt;0,G414*C415*C416,0)</f>
        <v>0</v>
      </c>
      <c r="H415" s="1169" t="s">
        <v>28181</v>
      </c>
      <c r="K415" s="1172" t="str">
        <f>IF(G415&lt;&gt;0,IF(G415&lt;0.2,"Kleinteil, Gerundete Fläche:",""),"")</f>
        <v/>
      </c>
      <c r="L415" s="1174">
        <f>IF(K415&lt;&gt;"",0.2,0)</f>
        <v>0</v>
      </c>
      <c r="M415" s="1170"/>
      <c r="N415" s="1172" t="s">
        <v>28180</v>
      </c>
      <c r="O415" s="1173">
        <f>IF(O414&gt;0,O414*W415*W416,0)</f>
        <v>0</v>
      </c>
      <c r="P415" s="1169" t="s">
        <v>28181</v>
      </c>
      <c r="S415" s="1172" t="str">
        <f>IF(O415&lt;&gt;0,IF(O415&lt;0.2,"Kleinteil, Gerundete Fläche:",""),"")</f>
        <v/>
      </c>
      <c r="T415" s="1175">
        <f>IF(S415&lt;&gt;"",0.2,0)</f>
        <v>0</v>
      </c>
      <c r="U415" s="1169"/>
      <c r="V415" s="1954" t="s">
        <v>31205</v>
      </c>
      <c r="W415" s="1956">
        <f>W413*W414/1000/1000</f>
        <v>0</v>
      </c>
    </row>
    <row r="416" spans="2:28" ht="15.75" x14ac:dyDescent="0.2">
      <c r="B416" s="1954" t="s">
        <v>29902</v>
      </c>
      <c r="C416" s="1957">
        <v>2</v>
      </c>
      <c r="E416" s="1170"/>
      <c r="F416" s="1172" t="s">
        <v>28182</v>
      </c>
      <c r="G416" s="1173">
        <f>IF(G414&gt;0,G414*C415*C417,0)</f>
        <v>0</v>
      </c>
      <c r="H416" s="1169" t="s">
        <v>28181</v>
      </c>
      <c r="I416" s="1963" t="s">
        <v>30879</v>
      </c>
      <c r="J416" s="1169"/>
      <c r="K416" s="1169"/>
      <c r="L416" s="1171"/>
      <c r="M416" s="1170"/>
      <c r="N416" s="1172" t="s">
        <v>28182</v>
      </c>
      <c r="O416" s="1173">
        <f>IF(O414&gt;0,O414*W415*W417,0)</f>
        <v>0</v>
      </c>
      <c r="P416" s="1169" t="s">
        <v>28181</v>
      </c>
      <c r="Q416" s="1963" t="s">
        <v>30879</v>
      </c>
      <c r="R416" s="1169"/>
      <c r="S416" s="1169"/>
      <c r="T416" s="1171"/>
      <c r="U416" s="1169"/>
      <c r="V416" s="1954" t="s">
        <v>29902</v>
      </c>
      <c r="W416" s="1957">
        <v>2</v>
      </c>
    </row>
    <row r="417" spans="2:23" ht="15.75" x14ac:dyDescent="0.2">
      <c r="B417" s="1954" t="s">
        <v>29903</v>
      </c>
      <c r="C417" s="1957">
        <v>1</v>
      </c>
      <c r="E417" s="1170"/>
      <c r="F417" s="1176"/>
      <c r="G417" s="1169"/>
      <c r="H417" s="1169"/>
      <c r="I417" s="1186"/>
      <c r="J417" s="1169"/>
      <c r="K417" s="1169"/>
      <c r="L417" s="1171"/>
      <c r="M417" s="1170"/>
      <c r="N417" s="1176"/>
      <c r="O417" s="1169"/>
      <c r="P417" s="1169"/>
      <c r="Q417" s="1186"/>
      <c r="R417" s="1169"/>
      <c r="S417" s="1169"/>
      <c r="T417" s="1171"/>
      <c r="U417" s="1169"/>
      <c r="V417" s="1954" t="s">
        <v>29903</v>
      </c>
      <c r="W417" s="1957">
        <v>1</v>
      </c>
    </row>
    <row r="418" spans="2:23" x14ac:dyDescent="0.2">
      <c r="E418" s="1170"/>
      <c r="F418" s="1169"/>
      <c r="G418" s="1169"/>
      <c r="H418" s="1169"/>
      <c r="I418" s="1169"/>
      <c r="J418" s="1169"/>
      <c r="K418" s="1169"/>
      <c r="L418" s="1171"/>
      <c r="M418" s="1170"/>
      <c r="N418" s="1169"/>
      <c r="O418" s="1169"/>
      <c r="P418" s="1169"/>
      <c r="Q418" s="1169"/>
      <c r="R418" s="1169"/>
      <c r="S418" s="1169"/>
      <c r="T418" s="1171"/>
      <c r="U418" s="1169"/>
    </row>
    <row r="419" spans="2:23" ht="16.5" x14ac:dyDescent="0.2">
      <c r="E419" s="1170"/>
      <c r="F419" s="1177" t="s">
        <v>28183</v>
      </c>
      <c r="G419" s="1169"/>
      <c r="H419" s="1169"/>
      <c r="I419" s="1169"/>
      <c r="J419" s="1169"/>
      <c r="K419" s="1169"/>
      <c r="L419" s="1171"/>
      <c r="M419" s="1170"/>
      <c r="N419" s="1177" t="s">
        <v>28183</v>
      </c>
      <c r="O419" s="1169"/>
      <c r="P419" s="1169"/>
      <c r="Q419" s="1169"/>
      <c r="R419" s="1169"/>
      <c r="S419" s="1169"/>
      <c r="T419" s="1171"/>
      <c r="U419" s="1169"/>
    </row>
    <row r="420" spans="2:23" x14ac:dyDescent="0.2">
      <c r="E420" s="1170"/>
      <c r="F420" s="1169"/>
      <c r="G420" s="1169"/>
      <c r="H420" s="1169"/>
      <c r="I420" s="1169"/>
      <c r="J420" s="1169"/>
      <c r="K420" s="1169"/>
      <c r="L420" s="1171"/>
      <c r="M420" s="1170"/>
      <c r="N420" s="1169"/>
      <c r="O420" s="1169"/>
      <c r="P420" s="1169"/>
      <c r="Q420" s="1169"/>
      <c r="R420" s="1169"/>
      <c r="S420" s="1169"/>
      <c r="T420" s="1171"/>
      <c r="U420" s="1169"/>
    </row>
    <row r="421" spans="2:23" x14ac:dyDescent="0.2">
      <c r="E421" s="1170"/>
      <c r="F421" s="1169"/>
      <c r="G421" s="1169"/>
      <c r="H421" s="1169"/>
      <c r="I421" s="1169"/>
      <c r="J421" s="1169"/>
      <c r="K421" s="1169"/>
      <c r="L421" s="1171"/>
      <c r="M421" s="1170"/>
      <c r="N421" s="1169"/>
      <c r="O421" s="1169"/>
      <c r="P421" s="1169"/>
      <c r="Q421" s="1169"/>
      <c r="R421" s="1169"/>
      <c r="S421" s="1169"/>
      <c r="T421" s="1171"/>
      <c r="U421" s="1169"/>
    </row>
    <row r="422" spans="2:23" x14ac:dyDescent="0.2">
      <c r="E422" s="1170"/>
      <c r="F422" s="1169"/>
      <c r="G422" s="1169"/>
      <c r="H422" s="1169"/>
      <c r="I422" s="1169"/>
      <c r="J422" s="1169"/>
      <c r="K422" s="1169"/>
      <c r="L422" s="1171"/>
      <c r="M422" s="1170"/>
      <c r="N422" s="1169"/>
      <c r="O422" s="1169"/>
      <c r="P422" s="1169"/>
      <c r="Q422" s="1169"/>
      <c r="R422" s="1169"/>
      <c r="S422" s="1169"/>
      <c r="T422" s="1171"/>
      <c r="U422" s="1169"/>
    </row>
    <row r="423" spans="2:23" x14ac:dyDescent="0.2">
      <c r="E423" s="1170"/>
      <c r="F423" s="1169"/>
      <c r="G423" s="1169"/>
      <c r="H423" s="1169"/>
      <c r="I423" s="1169"/>
      <c r="J423" s="1169"/>
      <c r="K423" s="1169"/>
      <c r="L423" s="1171"/>
      <c r="M423" s="1170"/>
      <c r="N423" s="1169"/>
      <c r="O423" s="1169"/>
      <c r="P423" s="1169"/>
      <c r="Q423" s="1169"/>
      <c r="R423" s="1169"/>
      <c r="S423" s="1169"/>
      <c r="T423" s="1171"/>
      <c r="U423" s="1169"/>
    </row>
    <row r="424" spans="2:23" x14ac:dyDescent="0.2">
      <c r="E424" s="1170"/>
      <c r="F424" s="1169"/>
      <c r="G424" s="1169"/>
      <c r="I424" s="1169"/>
      <c r="J424" s="1169"/>
      <c r="K424" s="1169"/>
      <c r="L424" s="1171"/>
      <c r="M424" s="1170"/>
      <c r="N424" s="1169"/>
      <c r="O424" s="1169"/>
      <c r="Q424" s="1169"/>
      <c r="R424" s="1169"/>
      <c r="S424" s="1169"/>
      <c r="T424" s="1171"/>
      <c r="U424" s="1169"/>
    </row>
    <row r="425" spans="2:23" x14ac:dyDescent="0.2">
      <c r="E425" s="1170"/>
      <c r="F425" s="1169"/>
      <c r="G425" s="1169"/>
      <c r="H425" s="1169"/>
      <c r="I425" s="1169"/>
      <c r="J425" s="1169"/>
      <c r="K425" s="1169"/>
      <c r="L425" s="1171"/>
      <c r="M425" s="1170"/>
      <c r="N425" s="1169"/>
      <c r="O425" s="1169"/>
      <c r="P425" s="1169"/>
      <c r="Q425" s="1169"/>
      <c r="R425" s="1169"/>
      <c r="S425" s="1169"/>
      <c r="T425" s="1171"/>
      <c r="U425" s="1169"/>
    </row>
    <row r="426" spans="2:23" x14ac:dyDescent="0.2">
      <c r="E426" s="1170"/>
      <c r="F426" s="1169"/>
      <c r="G426" s="1169"/>
      <c r="H426" s="1169"/>
      <c r="I426" s="1169"/>
      <c r="J426" s="1169"/>
      <c r="K426" s="1169"/>
      <c r="L426" s="1171"/>
      <c r="M426" s="1170"/>
      <c r="N426" s="1169"/>
      <c r="O426" s="1169"/>
      <c r="P426" s="1169"/>
      <c r="Q426" s="1169"/>
      <c r="R426" s="1169"/>
      <c r="S426" s="1169"/>
      <c r="T426" s="1171"/>
      <c r="U426" s="1169"/>
    </row>
    <row r="427" spans="2:23" x14ac:dyDescent="0.2">
      <c r="E427" s="1170"/>
      <c r="F427" s="1169"/>
      <c r="G427" s="1169"/>
      <c r="H427" s="1169"/>
      <c r="I427" s="1169"/>
      <c r="J427" s="1169"/>
      <c r="L427" s="1171"/>
      <c r="M427" s="1170"/>
      <c r="N427" s="1169"/>
      <c r="O427" s="1169"/>
      <c r="P427" s="1169"/>
      <c r="Q427" s="1169"/>
      <c r="R427" s="1169"/>
      <c r="T427" s="1171"/>
      <c r="U427" s="1169"/>
    </row>
    <row r="428" spans="2:23" x14ac:dyDescent="0.2">
      <c r="E428" s="1170"/>
      <c r="F428" s="1169"/>
      <c r="G428" s="1169"/>
      <c r="H428" s="1169"/>
      <c r="I428" s="1169"/>
      <c r="J428" s="1169"/>
      <c r="K428" s="1169"/>
      <c r="L428" s="1171"/>
      <c r="M428" s="1170"/>
      <c r="N428" s="1169"/>
      <c r="O428" s="1169"/>
      <c r="P428" s="1169"/>
      <c r="Q428" s="1169"/>
      <c r="R428" s="1169"/>
      <c r="S428" s="1169"/>
      <c r="T428" s="1171"/>
      <c r="U428" s="1169"/>
    </row>
    <row r="429" spans="2:23" x14ac:dyDescent="0.2">
      <c r="E429" s="1170"/>
      <c r="F429" s="1169"/>
      <c r="G429" s="1169"/>
      <c r="H429" s="1169"/>
      <c r="I429" s="1169"/>
      <c r="J429" s="1169"/>
      <c r="K429" s="1169"/>
      <c r="L429" s="1171"/>
      <c r="M429" s="1170"/>
      <c r="N429" s="1169"/>
      <c r="O429" s="1169"/>
      <c r="P429" s="1169"/>
      <c r="Q429" s="1169"/>
      <c r="R429" s="1169"/>
      <c r="S429" s="1169"/>
      <c r="T429" s="1171"/>
      <c r="U429" s="1169"/>
    </row>
    <row r="430" spans="2:23" x14ac:dyDescent="0.2">
      <c r="E430" s="1170"/>
      <c r="F430" s="1169"/>
      <c r="G430" s="1169"/>
      <c r="H430" s="1169"/>
      <c r="I430" s="1169"/>
      <c r="J430" s="1169"/>
      <c r="K430" s="1169"/>
      <c r="L430" s="1171"/>
      <c r="M430" s="1170"/>
      <c r="N430" s="1169"/>
      <c r="O430" s="1169"/>
      <c r="P430" s="1169"/>
      <c r="Q430" s="1169"/>
      <c r="R430" s="1169"/>
      <c r="S430" s="1169"/>
      <c r="T430" s="1171"/>
      <c r="U430" s="1169"/>
    </row>
    <row r="431" spans="2:23" x14ac:dyDescent="0.2">
      <c r="E431" s="1170"/>
      <c r="F431" s="1169"/>
      <c r="G431" s="1169"/>
      <c r="H431" s="1169"/>
      <c r="I431" s="1169"/>
      <c r="J431" s="1169"/>
      <c r="K431" s="1169"/>
      <c r="L431" s="1171"/>
      <c r="M431" s="1170"/>
      <c r="N431" s="1169"/>
      <c r="O431" s="1169"/>
      <c r="P431" s="1169"/>
      <c r="Q431" s="1169"/>
      <c r="R431" s="1169"/>
      <c r="S431" s="1169"/>
      <c r="T431" s="1171"/>
      <c r="U431" s="1169"/>
    </row>
    <row r="432" spans="2:23" x14ac:dyDescent="0.2">
      <c r="E432" s="1170"/>
      <c r="F432" s="1169"/>
      <c r="G432" s="1169"/>
      <c r="H432" s="1169"/>
      <c r="I432" s="1169"/>
      <c r="J432" s="1169"/>
      <c r="K432" s="1169"/>
      <c r="L432" s="1171"/>
      <c r="M432" s="1170"/>
      <c r="N432" s="1169"/>
      <c r="O432" s="1169"/>
      <c r="P432" s="1169"/>
      <c r="Q432" s="1169"/>
      <c r="R432" s="1169"/>
      <c r="S432" s="1169"/>
      <c r="T432" s="1171"/>
      <c r="U432" s="1169"/>
    </row>
    <row r="433" spans="2:28" x14ac:dyDescent="0.2">
      <c r="E433" s="1170"/>
      <c r="F433" s="1178"/>
      <c r="G433" s="1169"/>
      <c r="H433" s="1169"/>
      <c r="I433" s="1169"/>
      <c r="J433" s="1169"/>
      <c r="K433" s="1169"/>
      <c r="L433" s="1171"/>
      <c r="M433" s="1170"/>
      <c r="N433" s="1178"/>
      <c r="O433" s="1169"/>
      <c r="P433" s="1169"/>
      <c r="Q433" s="1169"/>
      <c r="R433" s="1169"/>
      <c r="S433" s="1169"/>
      <c r="T433" s="1171"/>
      <c r="U433" s="1169"/>
    </row>
    <row r="434" spans="2:28" ht="14.25" x14ac:dyDescent="0.2">
      <c r="E434" s="1170"/>
      <c r="F434" s="1179"/>
      <c r="G434" s="1169"/>
      <c r="H434" s="1169"/>
      <c r="I434" s="1169"/>
      <c r="J434" s="1169"/>
      <c r="K434" s="1169"/>
      <c r="L434" s="1171"/>
      <c r="M434" s="1170"/>
      <c r="N434" s="1179"/>
      <c r="O434" s="1169"/>
      <c r="P434" s="1169"/>
      <c r="Q434" s="1169"/>
      <c r="R434" s="1169"/>
      <c r="S434" s="1169"/>
      <c r="T434" s="1171"/>
      <c r="U434" s="1169"/>
    </row>
    <row r="435" spans="2:28" ht="15.75" x14ac:dyDescent="0.2">
      <c r="E435" s="2088"/>
      <c r="F435" s="2089" t="str">
        <f>IF(SUM(Liste!$D$316:$D$335)&gt;2,"Laschen 90° knicken!","Laschen 180° umknicken!")</f>
        <v>Laschen 180° umknicken!</v>
      </c>
      <c r="G435" s="1169"/>
      <c r="H435" s="1169"/>
      <c r="I435" s="1169"/>
      <c r="J435" s="1169"/>
      <c r="K435" s="1169"/>
      <c r="L435" s="1171"/>
      <c r="N435" s="2089" t="str">
        <f>IF(SUM(Liste!$D$316:$D$335)&gt;2,"Laschen 90° knicken!","Laschen 180° umknicken!")</f>
        <v>Laschen 180° umknicken!</v>
      </c>
      <c r="O435" s="1169"/>
      <c r="P435" s="1169"/>
      <c r="Q435" s="1169"/>
      <c r="R435" s="1169"/>
      <c r="S435" s="1169"/>
      <c r="T435" s="1171"/>
      <c r="U435" s="1169"/>
      <c r="Y435" s="1158">
        <f>G415+O415</f>
        <v>0</v>
      </c>
      <c r="Z435" s="1159">
        <f>O414+G414</f>
        <v>0</v>
      </c>
      <c r="AA435" s="1180">
        <f>(IF(G415&lt;0.2,G414,0))+(IF(O415&lt;0.2,O414,0))</f>
        <v>0</v>
      </c>
      <c r="AB435" s="1158">
        <f>G416+O416</f>
        <v>0</v>
      </c>
    </row>
    <row r="436" spans="2:28" ht="13.5" thickBot="1" x14ac:dyDescent="0.25">
      <c r="E436" s="1181"/>
      <c r="F436" s="1182"/>
      <c r="G436" s="1182"/>
      <c r="H436" s="1182"/>
      <c r="I436" s="1182"/>
      <c r="J436" s="1182"/>
      <c r="K436" s="1182"/>
      <c r="L436" s="1183"/>
      <c r="M436" s="1181"/>
      <c r="N436" s="1182"/>
      <c r="O436" s="1182"/>
      <c r="P436" s="1182"/>
      <c r="Q436" s="1182"/>
      <c r="R436" s="1182"/>
      <c r="S436" s="1182"/>
      <c r="T436" s="1183"/>
      <c r="U436" s="1169"/>
    </row>
    <row r="437" spans="2:28" ht="26.25" x14ac:dyDescent="0.2">
      <c r="E437" s="1167">
        <f>M412+1</f>
        <v>31</v>
      </c>
      <c r="F437" s="3454" t="s">
        <v>28178</v>
      </c>
      <c r="G437" s="3455"/>
      <c r="H437" s="3466" t="s">
        <v>30873</v>
      </c>
      <c r="I437" s="3466"/>
      <c r="J437" s="3466"/>
      <c r="K437" s="3467"/>
      <c r="L437" s="1168">
        <f>IF(G440&gt;0.2,G440,0)</f>
        <v>0</v>
      </c>
      <c r="M437" s="1167">
        <f>E437+1</f>
        <v>32</v>
      </c>
      <c r="N437" s="3454" t="s">
        <v>28178</v>
      </c>
      <c r="O437" s="3455"/>
      <c r="P437" s="3466" t="s">
        <v>30874</v>
      </c>
      <c r="Q437" s="3466"/>
      <c r="R437" s="3466"/>
      <c r="S437" s="3467"/>
      <c r="T437" s="1168">
        <f>IF(O440&gt;0.2,O440,0)</f>
        <v>0</v>
      </c>
      <c r="U437" s="1169"/>
    </row>
    <row r="438" spans="2:28" x14ac:dyDescent="0.2">
      <c r="B438" s="1954" t="s">
        <v>29900</v>
      </c>
      <c r="C438" s="1955">
        <v>613.48</v>
      </c>
      <c r="E438" s="1170"/>
      <c r="F438" s="1169"/>
      <c r="G438" s="1169"/>
      <c r="H438" s="1169"/>
      <c r="I438" s="1169"/>
      <c r="J438" s="1169"/>
      <c r="K438" s="1169"/>
      <c r="L438" s="1171"/>
      <c r="M438" s="1170"/>
      <c r="N438" s="1169"/>
      <c r="O438" s="1169"/>
      <c r="P438" s="1169"/>
      <c r="Q438" s="1169"/>
      <c r="R438" s="1169"/>
      <c r="S438" s="1169"/>
      <c r="T438" s="1171"/>
      <c r="U438" s="1169"/>
      <c r="V438" s="1954" t="s">
        <v>29900</v>
      </c>
      <c r="W438" s="1955" t="s">
        <v>367</v>
      </c>
    </row>
    <row r="439" spans="2:28" ht="15.75" x14ac:dyDescent="0.2">
      <c r="B439" s="1954" t="s">
        <v>29901</v>
      </c>
      <c r="C439" s="1955">
        <v>293.74</v>
      </c>
      <c r="E439" s="1170"/>
      <c r="F439" s="1172" t="s">
        <v>27904</v>
      </c>
      <c r="G439" s="1173">
        <f>IF('Berechnung &amp; Tabellen'!F186&gt;0,2,1)*L18</f>
        <v>0</v>
      </c>
      <c r="H439" s="1169" t="s">
        <v>28179</v>
      </c>
      <c r="I439" s="1169"/>
      <c r="J439" s="1169"/>
      <c r="K439" s="1169"/>
      <c r="L439" s="1171"/>
      <c r="M439" s="1170"/>
      <c r="N439" s="1172" t="s">
        <v>27904</v>
      </c>
      <c r="O439" s="1173">
        <f>4*L18</f>
        <v>0</v>
      </c>
      <c r="P439" s="1169" t="s">
        <v>28179</v>
      </c>
      <c r="Q439" s="1169"/>
      <c r="R439" s="1169"/>
      <c r="S439" s="1169"/>
      <c r="T439" s="1171"/>
      <c r="U439" s="1169"/>
      <c r="V439" s="1954" t="s">
        <v>29901</v>
      </c>
      <c r="W439" s="1955" t="s">
        <v>367</v>
      </c>
    </row>
    <row r="440" spans="2:28" ht="15.75" x14ac:dyDescent="0.2">
      <c r="B440" s="1954" t="s">
        <v>31205</v>
      </c>
      <c r="C440" s="1956">
        <f>C438*C439/1000/1000</f>
        <v>0.1802036152</v>
      </c>
      <c r="E440" s="1170"/>
      <c r="F440" s="1172" t="s">
        <v>28180</v>
      </c>
      <c r="G440" s="1173">
        <f>IF(G439&gt;0,G439*C440*C441,0)</f>
        <v>0</v>
      </c>
      <c r="H440" s="1169" t="s">
        <v>28181</v>
      </c>
      <c r="K440" s="1172" t="str">
        <f>IF(G440&lt;&gt;0,IF(G440&lt;0.2,"Kleinteil, Gerundete Fläche:",""),"")</f>
        <v/>
      </c>
      <c r="L440" s="1174">
        <f>IF(K440&lt;&gt;"",0.2,0)</f>
        <v>0</v>
      </c>
      <c r="M440" s="1170"/>
      <c r="N440" s="1172" t="s">
        <v>28180</v>
      </c>
      <c r="O440" s="1173">
        <f>IF(O439&gt;0,O439*W440*W441,0)</f>
        <v>0</v>
      </c>
      <c r="P440" s="1169" t="s">
        <v>28181</v>
      </c>
      <c r="S440" s="1172" t="str">
        <f>IF(O440&lt;&gt;0,IF(O440&lt;0.2,"Kleinteil, Gerundete Fläche:",""),"")</f>
        <v/>
      </c>
      <c r="T440" s="1175">
        <f>IF(S440&lt;&gt;"",0.2,0)</f>
        <v>0</v>
      </c>
      <c r="U440" s="1169"/>
      <c r="V440" s="1954" t="s">
        <v>31205</v>
      </c>
      <c r="W440" s="1956">
        <f>3.14*175/2*175/2/1000/1000</f>
        <v>2.4040624999999999E-2</v>
      </c>
    </row>
    <row r="441" spans="2:28" ht="15.75" x14ac:dyDescent="0.2">
      <c r="B441" s="1954" t="s">
        <v>29902</v>
      </c>
      <c r="C441" s="1957">
        <v>2</v>
      </c>
      <c r="E441" s="1170"/>
      <c r="F441" s="1172" t="s">
        <v>28182</v>
      </c>
      <c r="G441" s="1173">
        <f>IF(G439&gt;0,G439*C440*C442,0)</f>
        <v>0</v>
      </c>
      <c r="H441" s="1169" t="s">
        <v>28181</v>
      </c>
      <c r="I441" s="1963" t="s">
        <v>28185</v>
      </c>
      <c r="J441" s="1169"/>
      <c r="K441" s="1169"/>
      <c r="L441" s="1171"/>
      <c r="M441" s="1170"/>
      <c r="N441" s="1172" t="s">
        <v>28182</v>
      </c>
      <c r="O441" s="1173">
        <f>IF(O439&gt;0,O439*W440*W442,0)</f>
        <v>0</v>
      </c>
      <c r="P441" s="1169" t="s">
        <v>28181</v>
      </c>
      <c r="Q441" s="1963" t="s">
        <v>28185</v>
      </c>
      <c r="R441" s="1169"/>
      <c r="S441" s="1169"/>
      <c r="T441" s="1171"/>
      <c r="U441" s="1169"/>
      <c r="V441" s="1954" t="s">
        <v>29902</v>
      </c>
      <c r="W441" s="1957">
        <v>2</v>
      </c>
    </row>
    <row r="442" spans="2:28" ht="14.25" x14ac:dyDescent="0.2">
      <c r="B442" s="1954" t="s">
        <v>29903</v>
      </c>
      <c r="C442" s="1957">
        <v>0</v>
      </c>
      <c r="E442" s="1170"/>
      <c r="F442" s="1176"/>
      <c r="G442" s="1169"/>
      <c r="H442" s="1169"/>
      <c r="I442" s="1169"/>
      <c r="J442" s="1169"/>
      <c r="K442" s="1169"/>
      <c r="L442" s="1171"/>
      <c r="M442" s="1170"/>
      <c r="N442" s="1176"/>
      <c r="O442" s="1169"/>
      <c r="P442" s="1169"/>
      <c r="Q442" s="1169"/>
      <c r="R442" s="1169"/>
      <c r="S442" s="1169"/>
      <c r="T442" s="1171"/>
      <c r="U442" s="1169"/>
      <c r="V442" s="1954" t="s">
        <v>29903</v>
      </c>
      <c r="W442" s="1957">
        <v>0</v>
      </c>
    </row>
    <row r="443" spans="2:28" x14ac:dyDescent="0.2">
      <c r="E443" s="1170"/>
      <c r="F443" s="1169"/>
      <c r="G443" s="1169"/>
      <c r="H443" s="1169"/>
      <c r="I443" s="1169"/>
      <c r="J443" s="1169"/>
      <c r="K443" s="1169"/>
      <c r="L443" s="1171"/>
      <c r="M443" s="1170"/>
      <c r="N443" s="1169"/>
      <c r="O443" s="1169"/>
      <c r="P443" s="1169"/>
      <c r="Q443" s="1169"/>
      <c r="R443" s="1169"/>
      <c r="S443" s="1169"/>
      <c r="T443" s="1171"/>
      <c r="U443" s="1169"/>
    </row>
    <row r="444" spans="2:28" ht="16.5" x14ac:dyDescent="0.2">
      <c r="E444" s="1170"/>
      <c r="F444" s="1177" t="s">
        <v>28183</v>
      </c>
      <c r="G444" s="1169"/>
      <c r="H444" s="1169"/>
      <c r="I444" s="1169"/>
      <c r="J444" s="1169"/>
      <c r="K444" s="1169"/>
      <c r="L444" s="1171"/>
      <c r="M444" s="1170"/>
      <c r="N444" s="1177" t="s">
        <v>28183</v>
      </c>
      <c r="O444" s="1169"/>
      <c r="P444" s="1169"/>
      <c r="Q444" s="1169"/>
      <c r="R444" s="1169"/>
      <c r="S444" s="1169"/>
      <c r="T444" s="1171"/>
      <c r="U444" s="1169"/>
    </row>
    <row r="445" spans="2:28" x14ac:dyDescent="0.2">
      <c r="E445" s="1170"/>
      <c r="F445" s="1169"/>
      <c r="G445" s="1169"/>
      <c r="H445" s="1169"/>
      <c r="I445" s="1169"/>
      <c r="J445" s="1169"/>
      <c r="K445" s="1169"/>
      <c r="L445" s="1171"/>
      <c r="M445" s="1170"/>
      <c r="N445" s="1169"/>
      <c r="O445" s="1169"/>
      <c r="P445" s="1169"/>
      <c r="Q445" s="1169"/>
      <c r="R445" s="1169"/>
      <c r="S445" s="1169"/>
      <c r="T445" s="1171"/>
      <c r="U445" s="1169"/>
    </row>
    <row r="446" spans="2:28" x14ac:dyDescent="0.2">
      <c r="E446" s="1170"/>
      <c r="F446" s="1169"/>
      <c r="G446" s="1169"/>
      <c r="H446" s="1169"/>
      <c r="I446" s="1169"/>
      <c r="J446" s="1169"/>
      <c r="K446" s="1169"/>
      <c r="L446" s="1171"/>
      <c r="M446" s="1170"/>
      <c r="N446" s="1169"/>
      <c r="O446" s="1169"/>
      <c r="P446" s="1169"/>
      <c r="Q446" s="1169"/>
      <c r="R446" s="1169"/>
      <c r="S446" s="1169"/>
      <c r="T446" s="1171"/>
      <c r="U446" s="1169"/>
    </row>
    <row r="447" spans="2:28" x14ac:dyDescent="0.2">
      <c r="E447" s="1170"/>
      <c r="F447" s="1169"/>
      <c r="G447" s="1169"/>
      <c r="H447" s="1169"/>
      <c r="I447" s="1169"/>
      <c r="J447" s="1169"/>
      <c r="K447" s="1169"/>
      <c r="L447" s="1171"/>
      <c r="M447" s="1170"/>
      <c r="N447" s="1169"/>
      <c r="O447" s="1169"/>
      <c r="P447" s="1169"/>
      <c r="Q447" s="1169"/>
      <c r="R447" s="1169"/>
      <c r="S447" s="1169"/>
      <c r="T447" s="1171"/>
      <c r="U447" s="1169"/>
    </row>
    <row r="448" spans="2:28" x14ac:dyDescent="0.2">
      <c r="E448" s="1170"/>
      <c r="F448" s="1169"/>
      <c r="G448" s="1169"/>
      <c r="H448" s="1169"/>
      <c r="I448" s="1169"/>
      <c r="J448" s="1169"/>
      <c r="K448" s="1169"/>
      <c r="L448" s="1171"/>
      <c r="M448" s="1170"/>
      <c r="N448" s="1169"/>
      <c r="O448" s="1169"/>
      <c r="P448" s="1169"/>
      <c r="Q448" s="1169"/>
      <c r="R448" s="1169"/>
      <c r="S448" s="1169"/>
      <c r="T448" s="1171"/>
      <c r="U448" s="1169"/>
    </row>
    <row r="449" spans="2:28" x14ac:dyDescent="0.2">
      <c r="E449" s="1170"/>
      <c r="F449" s="1169"/>
      <c r="G449" s="1169"/>
      <c r="I449" s="1169"/>
      <c r="J449" s="1169"/>
      <c r="K449" s="1169"/>
      <c r="L449" s="1171"/>
      <c r="M449" s="1170"/>
      <c r="N449" s="1169"/>
      <c r="O449" s="1169"/>
      <c r="Q449" s="1169"/>
      <c r="R449" s="1169"/>
      <c r="S449" s="1169"/>
      <c r="T449" s="1171"/>
      <c r="U449" s="1169"/>
    </row>
    <row r="450" spans="2:28" x14ac:dyDescent="0.2">
      <c r="E450" s="1170"/>
      <c r="F450" s="1169"/>
      <c r="G450" s="1169"/>
      <c r="H450" s="1169"/>
      <c r="I450" s="1169"/>
      <c r="J450" s="1169"/>
      <c r="K450" s="1169"/>
      <c r="L450" s="1171"/>
      <c r="M450" s="1170"/>
      <c r="N450" s="1169"/>
      <c r="O450" s="1169"/>
      <c r="P450" s="1169"/>
      <c r="Q450" s="1169"/>
      <c r="R450" s="1169"/>
      <c r="S450" s="1169"/>
      <c r="T450" s="1171"/>
      <c r="U450" s="1169"/>
    </row>
    <row r="451" spans="2:28" x14ac:dyDescent="0.2">
      <c r="E451" s="1170"/>
      <c r="F451" s="1169"/>
      <c r="G451" s="1169"/>
      <c r="H451" s="1169"/>
      <c r="I451" s="1169"/>
      <c r="J451" s="1169"/>
      <c r="K451" s="1169"/>
      <c r="L451" s="1171"/>
      <c r="M451" s="1170"/>
      <c r="N451" s="1169"/>
      <c r="O451" s="1169"/>
      <c r="P451" s="1169"/>
      <c r="Q451" s="1169"/>
      <c r="R451" s="1169"/>
      <c r="S451" s="1169"/>
      <c r="T451" s="1171"/>
      <c r="U451" s="1169"/>
    </row>
    <row r="452" spans="2:28" x14ac:dyDescent="0.2">
      <c r="E452" s="1170"/>
      <c r="F452" s="1169"/>
      <c r="G452" s="1169"/>
      <c r="H452" s="1169"/>
      <c r="I452" s="1169"/>
      <c r="J452" s="1169"/>
      <c r="L452" s="1171"/>
      <c r="M452" s="1170"/>
      <c r="N452" s="1169"/>
      <c r="O452" s="1169"/>
      <c r="P452" s="1169"/>
      <c r="Q452" s="1169"/>
      <c r="R452" s="1169"/>
      <c r="T452" s="1171"/>
      <c r="U452" s="1169"/>
    </row>
    <row r="453" spans="2:28" x14ac:dyDescent="0.2">
      <c r="E453" s="1170"/>
      <c r="F453" s="1169"/>
      <c r="G453" s="1169"/>
      <c r="H453" s="1169"/>
      <c r="I453" s="1169"/>
      <c r="J453" s="1169"/>
      <c r="K453" s="1169"/>
      <c r="L453" s="1171"/>
      <c r="M453" s="1170"/>
      <c r="N453" s="1169"/>
      <c r="O453" s="1169"/>
      <c r="P453" s="1169"/>
      <c r="Q453" s="1169"/>
      <c r="R453" s="1169"/>
      <c r="S453" s="1169"/>
      <c r="T453" s="1171"/>
      <c r="U453" s="1169"/>
    </row>
    <row r="454" spans="2:28" x14ac:dyDescent="0.2">
      <c r="E454" s="1170"/>
      <c r="F454" s="1169"/>
      <c r="G454" s="1169"/>
      <c r="H454" s="1169"/>
      <c r="I454" s="1169"/>
      <c r="J454" s="1169"/>
      <c r="K454" s="1169"/>
      <c r="L454" s="1171"/>
      <c r="M454" s="1170"/>
      <c r="N454" s="1169"/>
      <c r="O454" s="1169"/>
      <c r="P454" s="1169"/>
      <c r="Q454" s="1169"/>
      <c r="R454" s="1169"/>
      <c r="S454" s="1169"/>
      <c r="T454" s="1171"/>
      <c r="U454" s="1169"/>
    </row>
    <row r="455" spans="2:28" x14ac:dyDescent="0.2">
      <c r="E455" s="1170"/>
      <c r="F455" s="1169"/>
      <c r="G455" s="1169"/>
      <c r="H455" s="1169"/>
      <c r="I455" s="1169"/>
      <c r="J455" s="1169"/>
      <c r="K455" s="1169"/>
      <c r="L455" s="1171"/>
      <c r="M455" s="1170"/>
      <c r="N455" s="1169"/>
      <c r="O455" s="1169"/>
      <c r="P455" s="1169"/>
      <c r="Q455" s="1169"/>
      <c r="R455" s="1169"/>
      <c r="S455" s="1169"/>
      <c r="T455" s="1171"/>
      <c r="U455" s="1169"/>
    </row>
    <row r="456" spans="2:28" x14ac:dyDescent="0.2">
      <c r="E456" s="1170"/>
      <c r="F456" s="1169"/>
      <c r="G456" s="1169"/>
      <c r="H456" s="1169"/>
      <c r="I456" s="1169"/>
      <c r="J456" s="1169"/>
      <c r="K456" s="1169"/>
      <c r="L456" s="1171"/>
      <c r="M456" s="1170"/>
      <c r="N456" s="1169"/>
      <c r="O456" s="1169"/>
      <c r="P456" s="1169"/>
      <c r="Q456" s="1169"/>
      <c r="R456" s="1169"/>
      <c r="S456" s="1169"/>
      <c r="T456" s="1171"/>
      <c r="U456" s="1169"/>
    </row>
    <row r="457" spans="2:28" x14ac:dyDescent="0.2">
      <c r="E457" s="1170"/>
      <c r="F457" s="1169"/>
      <c r="G457" s="1169"/>
      <c r="H457" s="1169"/>
      <c r="I457" s="1169"/>
      <c r="J457" s="1169"/>
      <c r="K457" s="1169"/>
      <c r="L457" s="1171"/>
      <c r="M457" s="1170"/>
      <c r="N457" s="1169"/>
      <c r="O457" s="1169"/>
      <c r="P457" s="1169"/>
      <c r="Q457" s="1169"/>
      <c r="R457" s="1169"/>
      <c r="S457" s="1169"/>
      <c r="T457" s="1171"/>
      <c r="U457" s="1169"/>
    </row>
    <row r="458" spans="2:28" x14ac:dyDescent="0.2">
      <c r="E458" s="1170"/>
      <c r="F458" s="1178"/>
      <c r="G458" s="1169"/>
      <c r="H458" s="1169"/>
      <c r="I458" s="1169"/>
      <c r="J458" s="1169"/>
      <c r="K458" s="1169"/>
      <c r="L458" s="1171"/>
      <c r="M458" s="1170"/>
      <c r="N458" s="1178"/>
      <c r="O458" s="1169"/>
      <c r="P458" s="1169"/>
      <c r="Q458" s="1169"/>
      <c r="R458" s="1169"/>
      <c r="S458" s="1169"/>
      <c r="T458" s="1171"/>
      <c r="U458" s="1169"/>
    </row>
    <row r="459" spans="2:28" ht="14.25" x14ac:dyDescent="0.2">
      <c r="E459" s="1170"/>
      <c r="F459" s="1179"/>
      <c r="G459" s="1169"/>
      <c r="H459" s="1169"/>
      <c r="I459" s="1169"/>
      <c r="J459" s="1169"/>
      <c r="K459" s="1169"/>
      <c r="L459" s="1171"/>
      <c r="M459" s="1170"/>
      <c r="N459" s="1179"/>
      <c r="O459" s="1169"/>
      <c r="P459" s="1169"/>
      <c r="Q459" s="1169"/>
      <c r="R459" s="1169"/>
      <c r="S459" s="1169"/>
      <c r="T459" s="1171"/>
      <c r="U459" s="1169"/>
    </row>
    <row r="460" spans="2:28" x14ac:dyDescent="0.2">
      <c r="E460" s="1170"/>
      <c r="F460" s="1176"/>
      <c r="G460" s="1169"/>
      <c r="H460" s="1169"/>
      <c r="I460" s="1169"/>
      <c r="J460" s="1169"/>
      <c r="K460" s="1169"/>
      <c r="L460" s="1171"/>
      <c r="M460" s="1170"/>
      <c r="N460" s="1176"/>
      <c r="O460" s="1169"/>
      <c r="P460" s="1169"/>
      <c r="Q460" s="1169"/>
      <c r="R460" s="1169"/>
      <c r="S460" s="1169"/>
      <c r="T460" s="1171"/>
      <c r="U460" s="1169"/>
      <c r="Y460" s="1158">
        <f>G440+O440</f>
        <v>0</v>
      </c>
      <c r="Z460" s="1159">
        <f>O439+G439</f>
        <v>0</v>
      </c>
      <c r="AA460" s="1180">
        <f>(IF(G440&lt;0.2,G439,0))+(IF(O440&lt;0.2,O439,0))</f>
        <v>0</v>
      </c>
      <c r="AB460" s="1158">
        <f>G441+O441</f>
        <v>0</v>
      </c>
    </row>
    <row r="461" spans="2:28" ht="13.5" thickBot="1" x14ac:dyDescent="0.25">
      <c r="E461" s="1181"/>
      <c r="F461" s="1182"/>
      <c r="G461" s="1182"/>
      <c r="H461" s="1182"/>
      <c r="I461" s="1182"/>
      <c r="J461" s="1182"/>
      <c r="K461" s="1182"/>
      <c r="L461" s="1183"/>
      <c r="M461" s="1181"/>
      <c r="N461" s="1182"/>
      <c r="O461" s="1182"/>
      <c r="P461" s="1182"/>
      <c r="Q461" s="1182"/>
      <c r="R461" s="1182"/>
      <c r="S461" s="1182"/>
      <c r="T461" s="1183"/>
      <c r="U461" s="1169"/>
    </row>
    <row r="462" spans="2:28" ht="26.25" x14ac:dyDescent="0.2">
      <c r="E462" s="1167">
        <f>M437+1</f>
        <v>33</v>
      </c>
      <c r="F462" s="3454" t="s">
        <v>28178</v>
      </c>
      <c r="G462" s="3455"/>
      <c r="H462" s="3466" t="s">
        <v>30875</v>
      </c>
      <c r="I462" s="3466"/>
      <c r="J462" s="3466"/>
      <c r="K462" s="3467"/>
      <c r="L462" s="1168">
        <f>IF(G465&gt;0.2,G465,0)</f>
        <v>0</v>
      </c>
      <c r="M462" s="1167">
        <f>E462+1</f>
        <v>34</v>
      </c>
      <c r="N462" s="3454" t="s">
        <v>28178</v>
      </c>
      <c r="O462" s="3455"/>
      <c r="P462" s="3464" t="str">
        <f>Liste!B422&amp;" ("&amp;Liste!C422&amp;")"</f>
        <v>Festfeldkonsole GCC 175mm 300 lang verzinkt (0308043)</v>
      </c>
      <c r="Q462" s="3464"/>
      <c r="R462" s="3464"/>
      <c r="S462" s="3465"/>
      <c r="T462" s="1168">
        <f>IF(O465&gt;0.2,O465,0)</f>
        <v>0</v>
      </c>
      <c r="U462" s="1169"/>
    </row>
    <row r="463" spans="2:28" x14ac:dyDescent="0.2">
      <c r="B463" s="1954" t="s">
        <v>29900</v>
      </c>
      <c r="C463" s="1955" t="s">
        <v>367</v>
      </c>
      <c r="E463" s="1170"/>
      <c r="F463" s="1169"/>
      <c r="G463" s="1169"/>
      <c r="H463" s="1169"/>
      <c r="I463" s="1169"/>
      <c r="J463" s="1169"/>
      <c r="K463" s="1169"/>
      <c r="L463" s="1171"/>
      <c r="M463" s="1170"/>
      <c r="N463" s="1169"/>
      <c r="O463" s="1169"/>
      <c r="P463" s="1169"/>
      <c r="Q463" s="3451"/>
      <c r="R463" s="3451"/>
      <c r="S463" s="1169"/>
      <c r="T463" s="1171"/>
      <c r="U463" s="1169"/>
      <c r="V463" s="1954" t="s">
        <v>29900</v>
      </c>
      <c r="W463" s="1955">
        <f>Liste!F422</f>
        <v>522</v>
      </c>
    </row>
    <row r="464" spans="2:28" ht="15.75" x14ac:dyDescent="0.2">
      <c r="B464" s="1954" t="s">
        <v>29901</v>
      </c>
      <c r="C464" s="1955" t="s">
        <v>367</v>
      </c>
      <c r="E464" s="1170"/>
      <c r="F464" s="1172" t="s">
        <v>27904</v>
      </c>
      <c r="G464" s="1173">
        <f>IF(OR('Berechnung &amp; Tabellen'!F183&gt;0,'Berechnung &amp; Tabellen'!F182&gt;0),1,0)*L18</f>
        <v>0</v>
      </c>
      <c r="H464" s="1169" t="s">
        <v>28179</v>
      </c>
      <c r="I464" s="1169"/>
      <c r="J464" s="1169"/>
      <c r="K464" s="1169"/>
      <c r="L464" s="1171"/>
      <c r="M464" s="1170"/>
      <c r="N464" s="1172" t="s">
        <v>27904</v>
      </c>
      <c r="O464" s="1173">
        <f>Liste!D422*Lackliste!L18</f>
        <v>0</v>
      </c>
      <c r="P464" s="1169" t="s">
        <v>28179</v>
      </c>
      <c r="Q464" s="1169"/>
      <c r="R464" s="1169"/>
      <c r="S464" s="1169"/>
      <c r="T464" s="1171"/>
      <c r="U464" s="1169"/>
      <c r="V464" s="1954" t="s">
        <v>29901</v>
      </c>
      <c r="W464" s="1955">
        <f>Liste!E422</f>
        <v>286</v>
      </c>
    </row>
    <row r="465" spans="2:23" ht="15.75" x14ac:dyDescent="0.2">
      <c r="B465" s="1954" t="s">
        <v>31205</v>
      </c>
      <c r="C465" s="1956">
        <f>671.4/1000</f>
        <v>0.6714</v>
      </c>
      <c r="E465" s="1170"/>
      <c r="F465" s="1172" t="s">
        <v>28180</v>
      </c>
      <c r="G465" s="1173">
        <f>IF(G464&gt;0,G464*C465*C466,0)</f>
        <v>0</v>
      </c>
      <c r="H465" s="1169" t="s">
        <v>28181</v>
      </c>
      <c r="K465" s="1172" t="str">
        <f>IF(G465&lt;&gt;0,IF(G465&lt;0.2,"Kleinteil, Gerundete Fläche:",""),"")</f>
        <v/>
      </c>
      <c r="L465" s="1174">
        <f>IF(K465&lt;&gt;"",0.2,0)</f>
        <v>0</v>
      </c>
      <c r="M465" s="1170"/>
      <c r="N465" s="1172" t="s">
        <v>28180</v>
      </c>
      <c r="O465" s="1173">
        <f>IF(O464&gt;0,O464*W465*W466,0)</f>
        <v>0</v>
      </c>
      <c r="P465" s="1169" t="s">
        <v>28181</v>
      </c>
      <c r="S465" s="1172" t="str">
        <f>IF(O465&lt;&gt;0,IF(O465&lt;0.2,"Kleinteil, Gerundete Fläche:",""),"")</f>
        <v/>
      </c>
      <c r="T465" s="1175">
        <f>IF(S465&lt;&gt;"",0.2,0)</f>
        <v>0</v>
      </c>
      <c r="U465" s="1169"/>
      <c r="V465" s="1954" t="s">
        <v>31205</v>
      </c>
      <c r="W465" s="1956">
        <f>W463*W464/1000/1000</f>
        <v>0.14929200000000001</v>
      </c>
    </row>
    <row r="466" spans="2:23" ht="15.75" x14ac:dyDescent="0.2">
      <c r="B466" s="1954" t="s">
        <v>29902</v>
      </c>
      <c r="C466" s="1957">
        <v>2</v>
      </c>
      <c r="E466" s="1170"/>
      <c r="F466" s="1172" t="s">
        <v>28182</v>
      </c>
      <c r="G466" s="1173">
        <f>IF(G464&gt;0,G464*C465*C467,0)</f>
        <v>0</v>
      </c>
      <c r="H466" s="1169" t="s">
        <v>28181</v>
      </c>
      <c r="I466" s="1963" t="s">
        <v>28185</v>
      </c>
      <c r="J466" s="1169"/>
      <c r="K466" s="1169"/>
      <c r="L466" s="1171"/>
      <c r="M466" s="1170"/>
      <c r="N466" s="1172" t="s">
        <v>28182</v>
      </c>
      <c r="O466" s="1173">
        <f>IF(O464&gt;0,O464*W465*W467,0)</f>
        <v>0</v>
      </c>
      <c r="P466" s="1169" t="s">
        <v>28181</v>
      </c>
      <c r="Q466" s="1963" t="s">
        <v>28185</v>
      </c>
      <c r="R466" s="1169"/>
      <c r="S466" s="1169"/>
      <c r="T466" s="1171"/>
      <c r="U466" s="1169"/>
      <c r="V466" s="1954" t="s">
        <v>29902</v>
      </c>
      <c r="W466" s="1957">
        <v>2</v>
      </c>
    </row>
    <row r="467" spans="2:23" ht="14.25" x14ac:dyDescent="0.2">
      <c r="B467" s="1954" t="s">
        <v>29903</v>
      </c>
      <c r="C467" s="1957">
        <v>0</v>
      </c>
      <c r="E467" s="1170"/>
      <c r="F467" s="1176"/>
      <c r="G467" s="1169"/>
      <c r="H467" s="1169"/>
      <c r="I467" s="1169"/>
      <c r="J467" s="1169"/>
      <c r="K467" s="1169"/>
      <c r="L467" s="1171"/>
      <c r="M467" s="1170"/>
      <c r="N467" s="1176"/>
      <c r="O467" s="1169"/>
      <c r="P467" s="1169"/>
      <c r="Q467" s="1169"/>
      <c r="R467" s="1169"/>
      <c r="S467" s="1169"/>
      <c r="T467" s="1171"/>
      <c r="U467" s="1169"/>
      <c r="V467" s="1954" t="s">
        <v>29903</v>
      </c>
      <c r="W467" s="1957">
        <v>0</v>
      </c>
    </row>
    <row r="468" spans="2:23" x14ac:dyDescent="0.2">
      <c r="E468" s="1170"/>
      <c r="F468" s="1169"/>
      <c r="G468" s="1169"/>
      <c r="H468" s="1169"/>
      <c r="I468" s="1169"/>
      <c r="J468" s="1169"/>
      <c r="K468" s="1169"/>
      <c r="L468" s="1171"/>
      <c r="M468" s="1170"/>
      <c r="N468" s="1169"/>
      <c r="O468" s="1169"/>
      <c r="P468" s="1169"/>
      <c r="Q468" s="1169"/>
      <c r="R468" s="1169"/>
      <c r="S468" s="1169"/>
      <c r="T468" s="1171"/>
      <c r="U468" s="1169"/>
    </row>
    <row r="469" spans="2:23" ht="16.5" x14ac:dyDescent="0.2">
      <c r="E469" s="1170"/>
      <c r="F469" s="1177" t="s">
        <v>28183</v>
      </c>
      <c r="G469" s="1169"/>
      <c r="H469" s="1169"/>
      <c r="I469" s="1169"/>
      <c r="J469" s="1169"/>
      <c r="K469" s="1169"/>
      <c r="L469" s="1171"/>
      <c r="M469" s="1170"/>
      <c r="N469" s="1177" t="s">
        <v>28183</v>
      </c>
      <c r="O469" s="1169"/>
      <c r="P469" s="1169"/>
      <c r="Q469" s="1169"/>
      <c r="R469" s="1169"/>
      <c r="S469" s="1169"/>
      <c r="T469" s="1171"/>
      <c r="U469" s="1169"/>
    </row>
    <row r="470" spans="2:23" x14ac:dyDescent="0.2">
      <c r="E470" s="1170"/>
      <c r="F470" s="1169"/>
      <c r="G470" s="1169"/>
      <c r="H470" s="1169"/>
      <c r="I470" s="1169"/>
      <c r="J470" s="1169"/>
      <c r="K470" s="1169"/>
      <c r="L470" s="1171"/>
      <c r="M470" s="1170"/>
      <c r="N470" s="1169"/>
      <c r="O470" s="1169"/>
      <c r="P470" s="1169"/>
      <c r="Q470" s="1169"/>
      <c r="R470" s="1169"/>
      <c r="S470" s="1169"/>
      <c r="T470" s="1171"/>
      <c r="U470" s="1169"/>
    </row>
    <row r="471" spans="2:23" x14ac:dyDescent="0.2">
      <c r="E471" s="1170"/>
      <c r="F471" s="1169"/>
      <c r="G471" s="1169"/>
      <c r="H471" s="1169"/>
      <c r="I471" s="1169"/>
      <c r="J471" s="1169"/>
      <c r="K471" s="1169"/>
      <c r="L471" s="1171"/>
      <c r="M471" s="1170"/>
      <c r="N471" s="1169"/>
      <c r="O471" s="1169"/>
      <c r="P471" s="1169"/>
      <c r="Q471" s="1169"/>
      <c r="R471" s="1169"/>
      <c r="S471" s="1169"/>
      <c r="T471" s="1171"/>
      <c r="U471" s="1169"/>
    </row>
    <row r="472" spans="2:23" x14ac:dyDescent="0.2">
      <c r="E472" s="1170"/>
      <c r="F472" s="1169"/>
      <c r="G472" s="1169"/>
      <c r="H472" s="1169"/>
      <c r="I472" s="1169"/>
      <c r="J472" s="1169"/>
      <c r="K472" s="1169"/>
      <c r="L472" s="1171"/>
      <c r="M472" s="1170"/>
      <c r="N472" s="1169"/>
      <c r="O472" s="1169"/>
      <c r="P472" s="1169"/>
      <c r="Q472" s="1169"/>
      <c r="R472" s="1169"/>
      <c r="S472" s="1169"/>
      <c r="T472" s="1171"/>
      <c r="U472" s="1169"/>
    </row>
    <row r="473" spans="2:23" x14ac:dyDescent="0.2">
      <c r="E473" s="1170"/>
      <c r="F473" s="1169"/>
      <c r="G473" s="1169"/>
      <c r="H473" s="1169"/>
      <c r="I473" s="1169"/>
      <c r="J473" s="1169"/>
      <c r="K473" s="1169"/>
      <c r="L473" s="1171"/>
      <c r="M473" s="1170"/>
      <c r="N473" s="1169"/>
      <c r="O473" s="1169"/>
      <c r="P473" s="1169"/>
      <c r="Q473" s="1169"/>
      <c r="R473" s="1169"/>
      <c r="S473" s="1169"/>
      <c r="T473" s="1171"/>
      <c r="U473" s="1169"/>
    </row>
    <row r="474" spans="2:23" x14ac:dyDescent="0.2">
      <c r="E474" s="1170"/>
      <c r="F474" s="1169"/>
      <c r="G474" s="1169"/>
      <c r="I474" s="1169"/>
      <c r="J474" s="1169"/>
      <c r="K474" s="1169"/>
      <c r="L474" s="1171"/>
      <c r="M474" s="1170"/>
      <c r="N474" s="1169"/>
      <c r="O474" s="1169"/>
      <c r="Q474" s="1169"/>
      <c r="R474" s="1169"/>
      <c r="S474" s="1169"/>
      <c r="T474" s="1171"/>
      <c r="U474" s="1169"/>
    </row>
    <row r="475" spans="2:23" x14ac:dyDescent="0.2">
      <c r="E475" s="1170"/>
      <c r="F475" s="1169"/>
      <c r="G475" s="1169"/>
      <c r="H475" s="1169"/>
      <c r="I475" s="1169"/>
      <c r="J475" s="1169"/>
      <c r="K475" s="1169"/>
      <c r="L475" s="1171"/>
      <c r="M475" s="1170"/>
      <c r="N475" s="1169"/>
      <c r="O475" s="1169"/>
      <c r="P475" s="1169"/>
      <c r="Q475" s="1169"/>
      <c r="R475" s="1169"/>
      <c r="S475" s="1169"/>
      <c r="T475" s="1171"/>
      <c r="U475" s="1169"/>
    </row>
    <row r="476" spans="2:23" x14ac:dyDescent="0.2">
      <c r="E476" s="1170"/>
      <c r="F476" s="1169"/>
      <c r="G476" s="1169"/>
      <c r="H476" s="1169"/>
      <c r="I476" s="1169"/>
      <c r="J476" s="1169"/>
      <c r="K476" s="1169"/>
      <c r="L476" s="1171"/>
      <c r="M476" s="1170"/>
      <c r="N476" s="1169"/>
      <c r="O476" s="1169"/>
      <c r="P476" s="1169"/>
      <c r="Q476" s="1169"/>
      <c r="R476" s="1169"/>
      <c r="S476" s="1169"/>
      <c r="T476" s="1171"/>
      <c r="U476" s="1169"/>
    </row>
    <row r="477" spans="2:23" x14ac:dyDescent="0.2">
      <c r="E477" s="1170"/>
      <c r="F477" s="1169"/>
      <c r="G477" s="1169"/>
      <c r="H477" s="1169"/>
      <c r="I477" s="1169"/>
      <c r="J477" s="1169"/>
      <c r="L477" s="1171"/>
      <c r="M477" s="1170"/>
      <c r="N477" s="1169"/>
      <c r="O477" s="1169"/>
      <c r="P477" s="1169"/>
      <c r="Q477" s="1169"/>
      <c r="R477" s="1169"/>
      <c r="T477" s="1171"/>
      <c r="U477" s="1169"/>
    </row>
    <row r="478" spans="2:23" x14ac:dyDescent="0.2">
      <c r="E478" s="1170"/>
      <c r="F478" s="1169"/>
      <c r="G478" s="1169"/>
      <c r="H478" s="1169"/>
      <c r="I478" s="1169"/>
      <c r="J478" s="1169"/>
      <c r="K478" s="1169"/>
      <c r="L478" s="1171"/>
      <c r="M478" s="1170"/>
      <c r="N478" s="1169"/>
      <c r="O478" s="1169"/>
      <c r="P478" s="1169"/>
      <c r="Q478" s="1169"/>
      <c r="R478" s="1169"/>
      <c r="S478" s="1169"/>
      <c r="T478" s="1171"/>
      <c r="U478" s="1169"/>
    </row>
    <row r="479" spans="2:23" x14ac:dyDescent="0.2">
      <c r="E479" s="1170"/>
      <c r="F479" s="1169"/>
      <c r="G479" s="1169"/>
      <c r="H479" s="1169"/>
      <c r="I479" s="1169"/>
      <c r="J479" s="1169"/>
      <c r="K479" s="1169"/>
      <c r="L479" s="1171"/>
      <c r="M479" s="1170"/>
      <c r="N479" s="1169"/>
      <c r="O479" s="1169"/>
      <c r="P479" s="1169"/>
      <c r="Q479" s="1169"/>
      <c r="R479" s="1169"/>
      <c r="S479" s="1169"/>
      <c r="T479" s="1171"/>
      <c r="U479" s="1169"/>
    </row>
    <row r="480" spans="2:23" x14ac:dyDescent="0.2">
      <c r="E480" s="1170"/>
      <c r="F480" s="1169"/>
      <c r="G480" s="1169"/>
      <c r="H480" s="1169"/>
      <c r="I480" s="1169"/>
      <c r="J480" s="1169"/>
      <c r="K480" s="1169"/>
      <c r="L480" s="1171"/>
      <c r="M480" s="1170"/>
      <c r="N480" s="1169"/>
      <c r="O480" s="1169"/>
      <c r="P480" s="1169"/>
      <c r="Q480" s="1169"/>
      <c r="R480" s="1169"/>
      <c r="S480" s="1169"/>
      <c r="T480" s="1171"/>
      <c r="U480" s="1169"/>
    </row>
    <row r="481" spans="2:28" x14ac:dyDescent="0.2">
      <c r="E481" s="1170"/>
      <c r="F481" s="1169"/>
      <c r="G481" s="1169"/>
      <c r="H481" s="1169"/>
      <c r="I481" s="1169"/>
      <c r="J481" s="1169"/>
      <c r="K481" s="1169"/>
      <c r="L481" s="1171"/>
      <c r="M481" s="1170"/>
      <c r="N481" s="1169"/>
      <c r="O481" s="1169"/>
      <c r="P481" s="1169"/>
      <c r="Q481" s="1169"/>
      <c r="R481" s="1169"/>
      <c r="S481" s="1169"/>
      <c r="T481" s="1171"/>
      <c r="U481" s="1169"/>
    </row>
    <row r="482" spans="2:28" x14ac:dyDescent="0.2">
      <c r="E482" s="1170"/>
      <c r="F482" s="1169"/>
      <c r="G482" s="1169"/>
      <c r="H482" s="1169"/>
      <c r="I482" s="1169"/>
      <c r="J482" s="1169"/>
      <c r="K482" s="1169"/>
      <c r="L482" s="1171"/>
      <c r="M482" s="1170"/>
      <c r="N482" s="1169"/>
      <c r="O482" s="1169"/>
      <c r="P482" s="1169"/>
      <c r="Q482" s="1169"/>
      <c r="R482" s="1169"/>
      <c r="S482" s="1169"/>
      <c r="T482" s="1171"/>
      <c r="U482" s="1169"/>
    </row>
    <row r="483" spans="2:28" x14ac:dyDescent="0.2">
      <c r="E483" s="1170"/>
      <c r="F483" s="1178"/>
      <c r="G483" s="1169"/>
      <c r="H483" s="1169"/>
      <c r="I483" s="1169"/>
      <c r="J483" s="1169"/>
      <c r="K483" s="1169"/>
      <c r="L483" s="1171"/>
      <c r="M483" s="1170"/>
      <c r="N483" s="1178"/>
      <c r="O483" s="1169"/>
      <c r="P483" s="1169"/>
      <c r="Q483" s="1169"/>
      <c r="R483" s="1169"/>
      <c r="S483" s="1169"/>
      <c r="T483" s="1171"/>
      <c r="U483" s="1169"/>
    </row>
    <row r="484" spans="2:28" ht="14.25" x14ac:dyDescent="0.2">
      <c r="E484" s="1170"/>
      <c r="F484" s="1179" t="s">
        <v>30429</v>
      </c>
      <c r="G484" s="1169"/>
      <c r="H484" s="1169"/>
      <c r="I484" s="1169"/>
      <c r="J484" s="1169"/>
      <c r="K484" s="1169"/>
      <c r="L484" s="1171"/>
      <c r="M484" s="1170"/>
      <c r="N484" s="1179"/>
      <c r="O484" s="1169"/>
      <c r="P484" s="1169"/>
      <c r="Q484" s="1169"/>
      <c r="R484" s="1169"/>
      <c r="S484" s="1169"/>
      <c r="T484" s="1171"/>
      <c r="U484" s="1169"/>
    </row>
    <row r="485" spans="2:28" x14ac:dyDescent="0.2">
      <c r="E485" s="1170"/>
      <c r="F485" s="1176"/>
      <c r="G485" s="1169"/>
      <c r="H485" s="1169"/>
      <c r="I485" s="1169"/>
      <c r="J485" s="1169"/>
      <c r="K485" s="1169"/>
      <c r="L485" s="1171"/>
      <c r="M485" s="1170"/>
      <c r="N485" s="1176"/>
      <c r="O485" s="1169"/>
      <c r="P485" s="1169"/>
      <c r="Q485" s="1169"/>
      <c r="R485" s="1169"/>
      <c r="S485" s="1169"/>
      <c r="T485" s="1171"/>
      <c r="U485" s="1169"/>
      <c r="Y485" s="1158">
        <f>G465+O465</f>
        <v>0</v>
      </c>
      <c r="Z485" s="1159">
        <f>O464+G464</f>
        <v>0</v>
      </c>
      <c r="AA485" s="1180">
        <f>(IF(G465&lt;0.2,G464,0))+(IF(O465&lt;0.2,O464,0))</f>
        <v>0</v>
      </c>
      <c r="AB485" s="1158">
        <f>G466+O466</f>
        <v>0</v>
      </c>
    </row>
    <row r="486" spans="2:28" ht="13.5" thickBot="1" x14ac:dyDescent="0.25">
      <c r="E486" s="1181"/>
      <c r="F486" s="1182"/>
      <c r="G486" s="1182"/>
      <c r="H486" s="1182"/>
      <c r="I486" s="1182"/>
      <c r="J486" s="1182"/>
      <c r="K486" s="1182"/>
      <c r="L486" s="1183"/>
      <c r="M486" s="1181"/>
      <c r="N486" s="1182"/>
      <c r="O486" s="1182"/>
      <c r="P486" s="1182"/>
      <c r="Q486" s="1182"/>
      <c r="R486" s="1182"/>
      <c r="S486" s="1182"/>
      <c r="T486" s="1183"/>
      <c r="U486" s="1169"/>
    </row>
    <row r="487" spans="2:28" ht="26.25" x14ac:dyDescent="0.2">
      <c r="E487" s="1167">
        <f>M462+1</f>
        <v>35</v>
      </c>
      <c r="F487" s="3454" t="s">
        <v>28178</v>
      </c>
      <c r="G487" s="3455"/>
      <c r="H487" s="3464" t="str">
        <f>Liste!B415&amp;" ("&amp;Liste!C415&amp;")"</f>
        <v>Festfeldkonsole GCC 175mm 400 lang verzinkt (0308042)</v>
      </c>
      <c r="I487" s="3464"/>
      <c r="J487" s="3464"/>
      <c r="K487" s="3465"/>
      <c r="L487" s="1168">
        <f>IF(G490&gt;0.2,G490,0)</f>
        <v>0</v>
      </c>
      <c r="M487" s="1167">
        <f>E487+1</f>
        <v>36</v>
      </c>
      <c r="N487" s="3454" t="s">
        <v>28178</v>
      </c>
      <c r="O487" s="3455"/>
      <c r="P487" s="3464" t="str">
        <f>Liste!B408&amp;" ("&amp;Liste!C408&amp;")"</f>
        <v>Festfeldkonsole GCC 175mm 500 lang verzinkt (0308041)</v>
      </c>
      <c r="Q487" s="3464"/>
      <c r="R487" s="3464"/>
      <c r="S487" s="3465"/>
      <c r="T487" s="1168">
        <f>IF(O490&gt;0.2,O490,0)</f>
        <v>0</v>
      </c>
      <c r="U487" s="1169"/>
    </row>
    <row r="488" spans="2:28" x14ac:dyDescent="0.2">
      <c r="B488" s="1954" t="s">
        <v>29900</v>
      </c>
      <c r="C488" s="1955">
        <f>Liste!F415</f>
        <v>622</v>
      </c>
      <c r="E488" s="1170"/>
      <c r="F488" s="1169"/>
      <c r="G488" s="1169"/>
      <c r="H488" s="1169"/>
      <c r="I488" s="3451"/>
      <c r="J488" s="3451"/>
      <c r="K488" s="1169"/>
      <c r="L488" s="1171"/>
      <c r="M488" s="1170"/>
      <c r="N488" s="1169"/>
      <c r="O488" s="1169"/>
      <c r="P488" s="1169"/>
      <c r="Q488" s="3451"/>
      <c r="R488" s="3451"/>
      <c r="S488" s="1169"/>
      <c r="T488" s="1171"/>
      <c r="U488" s="1169"/>
      <c r="V488" s="1954" t="s">
        <v>29900</v>
      </c>
      <c r="W488" s="1955">
        <f>Liste!F408</f>
        <v>722</v>
      </c>
    </row>
    <row r="489" spans="2:28" ht="15.75" x14ac:dyDescent="0.2">
      <c r="B489" s="1954" t="s">
        <v>29901</v>
      </c>
      <c r="C489" s="1955">
        <f>Liste!E415</f>
        <v>286</v>
      </c>
      <c r="E489" s="1170"/>
      <c r="F489" s="1172" t="s">
        <v>27904</v>
      </c>
      <c r="G489" s="1173">
        <f>Liste!D415*Lackliste!L18</f>
        <v>0</v>
      </c>
      <c r="H489" s="1169" t="s">
        <v>28179</v>
      </c>
      <c r="I489" s="1169"/>
      <c r="J489" s="1169"/>
      <c r="K489" s="1169"/>
      <c r="L489" s="1171"/>
      <c r="M489" s="1170"/>
      <c r="N489" s="1172" t="s">
        <v>27904</v>
      </c>
      <c r="O489" s="1173">
        <f>Liste!D408*Lackliste!L18</f>
        <v>0</v>
      </c>
      <c r="P489" s="1169" t="s">
        <v>28179</v>
      </c>
      <c r="Q489" s="1169"/>
      <c r="R489" s="1169"/>
      <c r="S489" s="1169"/>
      <c r="T489" s="1171"/>
      <c r="U489" s="1169"/>
      <c r="V489" s="1954" t="s">
        <v>29901</v>
      </c>
      <c r="W489" s="1955">
        <f>Liste!E408</f>
        <v>286</v>
      </c>
    </row>
    <row r="490" spans="2:28" ht="15.75" x14ac:dyDescent="0.2">
      <c r="B490" s="1954" t="s">
        <v>31205</v>
      </c>
      <c r="C490" s="1956">
        <f>C488*C489/1000/1000</f>
        <v>0.17789199999999999</v>
      </c>
      <c r="E490" s="1170"/>
      <c r="F490" s="1172" t="s">
        <v>28180</v>
      </c>
      <c r="G490" s="1173">
        <f>IF(G489&gt;0,G489*C490*C491,0)</f>
        <v>0</v>
      </c>
      <c r="H490" s="1169" t="s">
        <v>28181</v>
      </c>
      <c r="K490" s="1172" t="str">
        <f>IF(G490&lt;&gt;0,IF(G490&lt;0.2,"Kleinteil, Gerundete Fläche:",""),"")</f>
        <v/>
      </c>
      <c r="L490" s="1174">
        <f>IF(K490&lt;&gt;"",0.2,0)</f>
        <v>0</v>
      </c>
      <c r="M490" s="1170"/>
      <c r="N490" s="1172" t="s">
        <v>28180</v>
      </c>
      <c r="O490" s="1173">
        <f>IF(O489&gt;0,O489*W490*W491,0)</f>
        <v>0</v>
      </c>
      <c r="P490" s="1169" t="s">
        <v>28181</v>
      </c>
      <c r="S490" s="1172" t="str">
        <f>IF(O490&lt;&gt;0,IF(O490&lt;0.2,"Kleinteil, Gerundete Fläche:",""),"")</f>
        <v/>
      </c>
      <c r="T490" s="1175">
        <f>IF(S490&lt;&gt;"",0.2,0)</f>
        <v>0</v>
      </c>
      <c r="U490" s="1169"/>
      <c r="V490" s="1954" t="s">
        <v>31205</v>
      </c>
      <c r="W490" s="1956">
        <f>W488*W489/1000/1000</f>
        <v>0.20649199999999998</v>
      </c>
    </row>
    <row r="491" spans="2:28" ht="15.75" x14ac:dyDescent="0.2">
      <c r="B491" s="1954" t="s">
        <v>29902</v>
      </c>
      <c r="C491" s="1957">
        <v>2</v>
      </c>
      <c r="E491" s="1170"/>
      <c r="F491" s="1172" t="s">
        <v>28182</v>
      </c>
      <c r="G491" s="1173">
        <f>IF(G489&gt;0,G489*C490*C492,0)</f>
        <v>0</v>
      </c>
      <c r="H491" s="1169" t="s">
        <v>28181</v>
      </c>
      <c r="I491" s="1963" t="s">
        <v>28185</v>
      </c>
      <c r="J491" s="1169"/>
      <c r="K491" s="1169"/>
      <c r="L491" s="1171"/>
      <c r="M491" s="1170"/>
      <c r="N491" s="1172" t="s">
        <v>28182</v>
      </c>
      <c r="O491" s="1173">
        <f>IF(O489&gt;0,O489*W490*W492,0)</f>
        <v>0</v>
      </c>
      <c r="P491" s="1169" t="s">
        <v>28181</v>
      </c>
      <c r="Q491" s="1963" t="s">
        <v>28185</v>
      </c>
      <c r="R491" s="1169"/>
      <c r="S491" s="1169"/>
      <c r="T491" s="1171"/>
      <c r="U491" s="1169"/>
      <c r="V491" s="1954" t="s">
        <v>29902</v>
      </c>
      <c r="W491" s="1957">
        <v>2</v>
      </c>
    </row>
    <row r="492" spans="2:28" ht="14.25" x14ac:dyDescent="0.2">
      <c r="B492" s="1954" t="s">
        <v>29903</v>
      </c>
      <c r="C492" s="1957">
        <v>0</v>
      </c>
      <c r="E492" s="1170"/>
      <c r="F492" s="1176"/>
      <c r="G492" s="1169"/>
      <c r="H492" s="1169"/>
      <c r="I492" s="1169"/>
      <c r="J492" s="1169"/>
      <c r="K492" s="1169"/>
      <c r="L492" s="1171"/>
      <c r="M492" s="1170"/>
      <c r="N492" s="1176"/>
      <c r="O492" s="1169"/>
      <c r="P492" s="1169"/>
      <c r="Q492" s="1169"/>
      <c r="R492" s="1169"/>
      <c r="S492" s="1169"/>
      <c r="T492" s="1171"/>
      <c r="U492" s="1169"/>
      <c r="V492" s="1954" t="s">
        <v>29903</v>
      </c>
      <c r="W492" s="1957">
        <v>0</v>
      </c>
    </row>
    <row r="493" spans="2:28" x14ac:dyDescent="0.2">
      <c r="E493" s="1170"/>
      <c r="F493" s="1169"/>
      <c r="G493" s="1169"/>
      <c r="H493" s="1169"/>
      <c r="I493" s="1169"/>
      <c r="J493" s="1169"/>
      <c r="K493" s="1169"/>
      <c r="L493" s="1171"/>
      <c r="M493" s="1170"/>
      <c r="N493" s="1169"/>
      <c r="O493" s="1169"/>
      <c r="P493" s="1169"/>
      <c r="Q493" s="1169"/>
      <c r="R493" s="1169"/>
      <c r="S493" s="1169"/>
      <c r="T493" s="1171"/>
      <c r="U493" s="1169"/>
    </row>
    <row r="494" spans="2:28" ht="16.5" x14ac:dyDescent="0.2">
      <c r="E494" s="1170"/>
      <c r="F494" s="1177" t="s">
        <v>28183</v>
      </c>
      <c r="G494" s="1169"/>
      <c r="H494" s="1169"/>
      <c r="I494" s="1169"/>
      <c r="J494" s="1169"/>
      <c r="K494" s="1169"/>
      <c r="L494" s="1171"/>
      <c r="M494" s="1170"/>
      <c r="N494" s="1177" t="s">
        <v>28183</v>
      </c>
      <c r="O494" s="1169"/>
      <c r="P494" s="1169"/>
      <c r="Q494" s="1169"/>
      <c r="R494" s="1169"/>
      <c r="S494" s="1169"/>
      <c r="T494" s="1171"/>
      <c r="U494" s="1169"/>
    </row>
    <row r="495" spans="2:28" x14ac:dyDescent="0.2">
      <c r="E495" s="1170"/>
      <c r="F495" s="1169"/>
      <c r="G495" s="1169"/>
      <c r="H495" s="1169"/>
      <c r="I495" s="1169"/>
      <c r="J495" s="1169"/>
      <c r="K495" s="1169"/>
      <c r="L495" s="1171"/>
      <c r="M495" s="1170"/>
      <c r="N495" s="1169"/>
      <c r="O495" s="1169"/>
      <c r="P495" s="1169"/>
      <c r="Q495" s="1169"/>
      <c r="R495" s="1169"/>
      <c r="S495" s="1169"/>
      <c r="T495" s="1171"/>
      <c r="U495" s="1169"/>
    </row>
    <row r="496" spans="2:28" x14ac:dyDescent="0.2">
      <c r="E496" s="1170"/>
      <c r="F496" s="1169"/>
      <c r="G496" s="1169"/>
      <c r="H496" s="1169"/>
      <c r="I496" s="1169"/>
      <c r="J496" s="1169"/>
      <c r="K496" s="1169"/>
      <c r="L496" s="1171"/>
      <c r="M496" s="1170"/>
      <c r="N496" s="1169"/>
      <c r="O496" s="1169"/>
      <c r="P496" s="1169"/>
      <c r="Q496" s="1169"/>
      <c r="R496" s="1169"/>
      <c r="S496" s="1169"/>
      <c r="T496" s="1171"/>
      <c r="U496" s="1169"/>
    </row>
    <row r="497" spans="5:28" x14ac:dyDescent="0.2">
      <c r="E497" s="1170"/>
      <c r="F497" s="1169"/>
      <c r="G497" s="1169"/>
      <c r="H497" s="1169"/>
      <c r="I497" s="1169"/>
      <c r="J497" s="1169"/>
      <c r="K497" s="1169"/>
      <c r="L497" s="1171"/>
      <c r="M497" s="1170"/>
      <c r="N497" s="1169"/>
      <c r="O497" s="1169"/>
      <c r="P497" s="1169"/>
      <c r="Q497" s="1169"/>
      <c r="R497" s="1169"/>
      <c r="S497" s="1169"/>
      <c r="T497" s="1171"/>
      <c r="U497" s="1169"/>
    </row>
    <row r="498" spans="5:28" x14ac:dyDescent="0.2">
      <c r="E498" s="1170"/>
      <c r="F498" s="1169"/>
      <c r="G498" s="1169"/>
      <c r="H498" s="1169"/>
      <c r="I498" s="1169"/>
      <c r="J498" s="1169"/>
      <c r="K498" s="1169"/>
      <c r="L498" s="1171"/>
      <c r="M498" s="1170"/>
      <c r="N498" s="1169"/>
      <c r="O498" s="1169"/>
      <c r="P498" s="1169"/>
      <c r="Q498" s="1169"/>
      <c r="R498" s="1169"/>
      <c r="S498" s="1169"/>
      <c r="T498" s="1171"/>
      <c r="U498" s="1169"/>
    </row>
    <row r="499" spans="5:28" x14ac:dyDescent="0.2">
      <c r="E499" s="1170"/>
      <c r="F499" s="1169"/>
      <c r="G499" s="1169"/>
      <c r="I499" s="1169"/>
      <c r="J499" s="1169"/>
      <c r="K499" s="1169"/>
      <c r="L499" s="1171"/>
      <c r="M499" s="1170"/>
      <c r="N499" s="1169"/>
      <c r="O499" s="1169"/>
      <c r="Q499" s="1169"/>
      <c r="R499" s="1169"/>
      <c r="S499" s="1169"/>
      <c r="T499" s="1171"/>
      <c r="U499" s="1169"/>
    </row>
    <row r="500" spans="5:28" x14ac:dyDescent="0.2">
      <c r="E500" s="1170"/>
      <c r="F500" s="1169"/>
      <c r="G500" s="1169"/>
      <c r="H500" s="1169"/>
      <c r="I500" s="1169"/>
      <c r="J500" s="1169"/>
      <c r="K500" s="1169"/>
      <c r="L500" s="1171"/>
      <c r="M500" s="1170"/>
      <c r="N500" s="1169"/>
      <c r="O500" s="1169"/>
      <c r="P500" s="1169"/>
      <c r="Q500" s="1169"/>
      <c r="R500" s="1169"/>
      <c r="S500" s="1169"/>
      <c r="T500" s="1171"/>
      <c r="U500" s="1169"/>
    </row>
    <row r="501" spans="5:28" x14ac:dyDescent="0.2">
      <c r="E501" s="1170"/>
      <c r="F501" s="1169"/>
      <c r="G501" s="1169"/>
      <c r="H501" s="1169"/>
      <c r="I501" s="1169"/>
      <c r="J501" s="1169"/>
      <c r="K501" s="1169"/>
      <c r="L501" s="1171"/>
      <c r="M501" s="1170"/>
      <c r="N501" s="1169"/>
      <c r="O501" s="1169"/>
      <c r="P501" s="1169"/>
      <c r="Q501" s="1169"/>
      <c r="R501" s="1169"/>
      <c r="S501" s="1169"/>
      <c r="T501" s="1171"/>
      <c r="U501" s="1169"/>
    </row>
    <row r="502" spans="5:28" x14ac:dyDescent="0.2">
      <c r="E502" s="1170"/>
      <c r="F502" s="1169"/>
      <c r="G502" s="1169"/>
      <c r="H502" s="1169"/>
      <c r="I502" s="1169"/>
      <c r="J502" s="1169"/>
      <c r="L502" s="1171"/>
      <c r="M502" s="1170"/>
      <c r="N502" s="1169"/>
      <c r="O502" s="1169"/>
      <c r="P502" s="1169"/>
      <c r="Q502" s="1169"/>
      <c r="R502" s="1169"/>
      <c r="T502" s="1171"/>
      <c r="U502" s="1169"/>
    </row>
    <row r="503" spans="5:28" x14ac:dyDescent="0.2">
      <c r="E503" s="1170"/>
      <c r="F503" s="1169"/>
      <c r="G503" s="1169"/>
      <c r="H503" s="1169"/>
      <c r="I503" s="1169"/>
      <c r="J503" s="1169"/>
      <c r="K503" s="1169"/>
      <c r="L503" s="1171"/>
      <c r="M503" s="1170"/>
      <c r="N503" s="1169"/>
      <c r="O503" s="1169"/>
      <c r="P503" s="1169"/>
      <c r="Q503" s="1169"/>
      <c r="R503" s="1169"/>
      <c r="S503" s="1169"/>
      <c r="T503" s="1171"/>
      <c r="U503" s="1169"/>
    </row>
    <row r="504" spans="5:28" x14ac:dyDescent="0.2">
      <c r="E504" s="1170"/>
      <c r="F504" s="1169"/>
      <c r="G504" s="1169"/>
      <c r="H504" s="1169"/>
      <c r="I504" s="1169"/>
      <c r="J504" s="1169"/>
      <c r="K504" s="1169"/>
      <c r="L504" s="1171"/>
      <c r="M504" s="1170"/>
      <c r="N504" s="1169"/>
      <c r="O504" s="1169"/>
      <c r="P504" s="1169"/>
      <c r="Q504" s="1169"/>
      <c r="R504" s="1169"/>
      <c r="S504" s="1169"/>
      <c r="T504" s="1171"/>
      <c r="U504" s="1169"/>
    </row>
    <row r="505" spans="5:28" x14ac:dyDescent="0.2">
      <c r="E505" s="1170"/>
      <c r="F505" s="1169"/>
      <c r="G505" s="1169"/>
      <c r="H505" s="1169"/>
      <c r="I505" s="1169"/>
      <c r="J505" s="1169"/>
      <c r="K505" s="1169"/>
      <c r="L505" s="1171"/>
      <c r="M505" s="1170"/>
      <c r="N505" s="1169"/>
      <c r="O505" s="1169"/>
      <c r="P505" s="1169"/>
      <c r="Q505" s="1169"/>
      <c r="R505" s="1169"/>
      <c r="S505" s="1169"/>
      <c r="T505" s="1171"/>
      <c r="U505" s="1169"/>
    </row>
    <row r="506" spans="5:28" x14ac:dyDescent="0.2">
      <c r="E506" s="1170"/>
      <c r="F506" s="1169"/>
      <c r="G506" s="1169"/>
      <c r="H506" s="1169"/>
      <c r="I506" s="1169"/>
      <c r="J506" s="1169"/>
      <c r="K506" s="1169"/>
      <c r="L506" s="1171"/>
      <c r="M506" s="1170"/>
      <c r="N506" s="1169"/>
      <c r="O506" s="1169"/>
      <c r="P506" s="1169"/>
      <c r="Q506" s="1169"/>
      <c r="R506" s="1169"/>
      <c r="S506" s="1169"/>
      <c r="T506" s="1171"/>
      <c r="U506" s="1169"/>
    </row>
    <row r="507" spans="5:28" x14ac:dyDescent="0.2">
      <c r="E507" s="1170"/>
      <c r="F507" s="1169"/>
      <c r="G507" s="1169"/>
      <c r="H507" s="1169"/>
      <c r="I507" s="1169"/>
      <c r="J507" s="1169"/>
      <c r="K507" s="1169"/>
      <c r="L507" s="1171"/>
      <c r="M507" s="1170"/>
      <c r="N507" s="1169"/>
      <c r="O507" s="1169"/>
      <c r="P507" s="1169"/>
      <c r="Q507" s="1169"/>
      <c r="R507" s="1169"/>
      <c r="S507" s="1169"/>
      <c r="T507" s="1171"/>
      <c r="U507" s="1169"/>
    </row>
    <row r="508" spans="5:28" x14ac:dyDescent="0.2">
      <c r="E508" s="1170"/>
      <c r="F508" s="1178"/>
      <c r="G508" s="1169"/>
      <c r="H508" s="1169"/>
      <c r="I508" s="1169"/>
      <c r="J508" s="1169"/>
      <c r="K508" s="1169"/>
      <c r="L508" s="1171"/>
      <c r="M508" s="1170"/>
      <c r="N508" s="1178"/>
      <c r="O508" s="1169"/>
      <c r="P508" s="1169"/>
      <c r="Q508" s="1169"/>
      <c r="R508" s="1169"/>
      <c r="S508" s="1169"/>
      <c r="T508" s="1171"/>
      <c r="U508" s="1169"/>
    </row>
    <row r="509" spans="5:28" ht="14.25" x14ac:dyDescent="0.2">
      <c r="E509" s="1170"/>
      <c r="F509" s="1179"/>
      <c r="G509" s="1169"/>
      <c r="H509" s="1169"/>
      <c r="I509" s="1169"/>
      <c r="J509" s="1169"/>
      <c r="K509" s="1169"/>
      <c r="L509" s="1171"/>
      <c r="M509" s="1170"/>
      <c r="N509" s="1179"/>
      <c r="O509" s="1169"/>
      <c r="P509" s="1169"/>
      <c r="Q509" s="1169"/>
      <c r="R509" s="1169"/>
      <c r="S509" s="1169"/>
      <c r="T509" s="1171"/>
      <c r="U509" s="1169"/>
    </row>
    <row r="510" spans="5:28" x14ac:dyDescent="0.2">
      <c r="E510" s="1170"/>
      <c r="F510" s="1176"/>
      <c r="G510" s="1169"/>
      <c r="H510" s="1169"/>
      <c r="I510" s="1169"/>
      <c r="J510" s="1169"/>
      <c r="K510" s="1169"/>
      <c r="L510" s="1171"/>
      <c r="M510" s="1170"/>
      <c r="N510" s="1176"/>
      <c r="O510" s="1169"/>
      <c r="P510" s="1169"/>
      <c r="Q510" s="1169"/>
      <c r="R510" s="1169"/>
      <c r="S510" s="1169"/>
      <c r="T510" s="1171"/>
      <c r="U510" s="1169"/>
      <c r="Y510" s="1158">
        <f>G490+O490</f>
        <v>0</v>
      </c>
      <c r="Z510" s="1159">
        <f>O489+G489</f>
        <v>0</v>
      </c>
      <c r="AA510" s="1180">
        <f>(IF(G490&lt;0.2,G489,0))+(IF(O490&lt;0.2,O489,0))</f>
        <v>0</v>
      </c>
      <c r="AB510" s="1158">
        <f>G491+O491</f>
        <v>0</v>
      </c>
    </row>
    <row r="511" spans="5:28" ht="13.5" thickBot="1" x14ac:dyDescent="0.25">
      <c r="E511" s="1181"/>
      <c r="F511" s="1182"/>
      <c r="G511" s="1182"/>
      <c r="H511" s="1182"/>
      <c r="I511" s="1182"/>
      <c r="J511" s="1182"/>
      <c r="K511" s="1182"/>
      <c r="L511" s="1183"/>
      <c r="M511" s="1181"/>
      <c r="N511" s="1182"/>
      <c r="O511" s="1182"/>
      <c r="P511" s="1182"/>
      <c r="Q511" s="1182"/>
      <c r="R511" s="1182"/>
      <c r="S511" s="1182"/>
      <c r="T511" s="1183"/>
      <c r="U511" s="1169"/>
    </row>
    <row r="512" spans="5:28" ht="26.25" x14ac:dyDescent="0.2">
      <c r="E512" s="1167">
        <f>M487+1</f>
        <v>37</v>
      </c>
      <c r="F512" s="3454" t="s">
        <v>28178</v>
      </c>
      <c r="G512" s="3455"/>
      <c r="H512" s="3464" t="str">
        <f>Liste!B424&amp;" ("&amp;Liste!C424&amp;")"</f>
        <v>Festfeldkonsole GCC 250mm 300 lang verzinkt (0308295)</v>
      </c>
      <c r="I512" s="3464"/>
      <c r="J512" s="3464"/>
      <c r="K512" s="3465"/>
      <c r="L512" s="1168">
        <f>IF(G515&gt;0.2,G515,0)</f>
        <v>0</v>
      </c>
      <c r="M512" s="1167">
        <f>E512+1</f>
        <v>38</v>
      </c>
      <c r="N512" s="3454" t="s">
        <v>28178</v>
      </c>
      <c r="O512" s="3455"/>
      <c r="P512" s="3464" t="str">
        <f>Liste!B417&amp;" ("&amp;Liste!C417&amp;")"</f>
        <v>Festfeldkonsole GCC 250mm 400 lang verzinkt (0308294)</v>
      </c>
      <c r="Q512" s="3464"/>
      <c r="R512" s="3464"/>
      <c r="S512" s="3465"/>
      <c r="T512" s="1168">
        <f>IF(O515&gt;0.2,O515,0)</f>
        <v>0</v>
      </c>
      <c r="U512" s="1169"/>
    </row>
    <row r="513" spans="2:23" x14ac:dyDescent="0.2">
      <c r="B513" s="1954" t="s">
        <v>29900</v>
      </c>
      <c r="C513" s="1955">
        <f>Liste!F424</f>
        <v>582</v>
      </c>
      <c r="E513" s="1170"/>
      <c r="F513" s="1169"/>
      <c r="G513" s="1169"/>
      <c r="H513" s="1169"/>
      <c r="I513" s="3451"/>
      <c r="J513" s="3451"/>
      <c r="K513" s="1169"/>
      <c r="L513" s="1171"/>
      <c r="M513" s="1170"/>
      <c r="N513" s="1169"/>
      <c r="O513" s="1169"/>
      <c r="P513" s="1169"/>
      <c r="Q513" s="3451"/>
      <c r="R513" s="3451"/>
      <c r="S513" s="1169"/>
      <c r="T513" s="1171"/>
      <c r="U513" s="1169"/>
      <c r="V513" s="1954" t="s">
        <v>29900</v>
      </c>
      <c r="W513" s="1955">
        <f>Liste!F417</f>
        <v>682</v>
      </c>
    </row>
    <row r="514" spans="2:23" ht="15.75" x14ac:dyDescent="0.2">
      <c r="B514" s="1954" t="s">
        <v>29901</v>
      </c>
      <c r="C514" s="1955">
        <f>Liste!E424</f>
        <v>391</v>
      </c>
      <c r="E514" s="1170"/>
      <c r="F514" s="1172" t="s">
        <v>27904</v>
      </c>
      <c r="G514" s="1173">
        <f>Liste!D424*Lackliste!L18</f>
        <v>0</v>
      </c>
      <c r="H514" s="1169" t="s">
        <v>28179</v>
      </c>
      <c r="I514" s="1169"/>
      <c r="J514" s="1169"/>
      <c r="K514" s="1169"/>
      <c r="L514" s="1171"/>
      <c r="M514" s="1170"/>
      <c r="N514" s="1172" t="s">
        <v>27904</v>
      </c>
      <c r="O514" s="1173">
        <f>Liste!D417*Lackliste!L18</f>
        <v>0</v>
      </c>
      <c r="P514" s="1169" t="s">
        <v>28179</v>
      </c>
      <c r="Q514" s="1169"/>
      <c r="R514" s="1169"/>
      <c r="S514" s="1169"/>
      <c r="T514" s="1171"/>
      <c r="U514" s="1169"/>
      <c r="V514" s="1954" t="s">
        <v>29901</v>
      </c>
      <c r="W514" s="1955">
        <f>Liste!E417</f>
        <v>391</v>
      </c>
    </row>
    <row r="515" spans="2:23" ht="15.75" x14ac:dyDescent="0.2">
      <c r="B515" s="1954" t="s">
        <v>31205</v>
      </c>
      <c r="C515" s="1956">
        <f>C513*C514/1000/1000</f>
        <v>0.22756200000000001</v>
      </c>
      <c r="E515" s="1170"/>
      <c r="F515" s="1172" t="s">
        <v>28180</v>
      </c>
      <c r="G515" s="1173">
        <f>IF(G514&gt;0,G514*C515*C516,0)</f>
        <v>0</v>
      </c>
      <c r="H515" s="1169" t="s">
        <v>28181</v>
      </c>
      <c r="K515" s="1172" t="str">
        <f>IF(G515&lt;&gt;0,IF(G515&lt;0.2,"Kleinteil, Gerundete Fläche:",""),"")</f>
        <v/>
      </c>
      <c r="L515" s="1174">
        <f>IF(K515&lt;&gt;"",0.2,0)</f>
        <v>0</v>
      </c>
      <c r="M515" s="1170"/>
      <c r="N515" s="1172" t="s">
        <v>28180</v>
      </c>
      <c r="O515" s="1173">
        <f>IF(O514&gt;0,O514*W515*W516,0)</f>
        <v>0</v>
      </c>
      <c r="P515" s="1169" t="s">
        <v>28181</v>
      </c>
      <c r="S515" s="1172" t="str">
        <f>IF(O515&lt;&gt;0,IF(O515&lt;0.2,"Kleinteil, Gerundete Fläche:",""),"")</f>
        <v/>
      </c>
      <c r="T515" s="1175">
        <f>IF(S515&lt;&gt;"",0.2,0)</f>
        <v>0</v>
      </c>
      <c r="U515" s="1169"/>
      <c r="V515" s="1954" t="s">
        <v>31205</v>
      </c>
      <c r="W515" s="1956">
        <f>W513*W514/1000/1000</f>
        <v>0.26666199999999995</v>
      </c>
    </row>
    <row r="516" spans="2:23" ht="15.75" x14ac:dyDescent="0.2">
      <c r="B516" s="1954" t="s">
        <v>29902</v>
      </c>
      <c r="C516" s="1957">
        <v>2</v>
      </c>
      <c r="E516" s="1170"/>
      <c r="F516" s="1172" t="s">
        <v>28182</v>
      </c>
      <c r="G516" s="1173">
        <f>IF(G514&gt;0,G514*C515*C517,0)</f>
        <v>0</v>
      </c>
      <c r="H516" s="1169" t="s">
        <v>28181</v>
      </c>
      <c r="I516" s="1963" t="s">
        <v>28185</v>
      </c>
      <c r="J516" s="1169"/>
      <c r="K516" s="1169"/>
      <c r="L516" s="1171"/>
      <c r="M516" s="1170"/>
      <c r="N516" s="1172" t="s">
        <v>28182</v>
      </c>
      <c r="O516" s="1173">
        <f>IF(O514&gt;0,O514*W515*W517,0)</f>
        <v>0</v>
      </c>
      <c r="P516" s="1169" t="s">
        <v>28181</v>
      </c>
      <c r="Q516" s="1963" t="s">
        <v>28185</v>
      </c>
      <c r="R516" s="1169"/>
      <c r="S516" s="1169"/>
      <c r="T516" s="1171"/>
      <c r="U516" s="1169"/>
      <c r="V516" s="1954" t="s">
        <v>29902</v>
      </c>
      <c r="W516" s="1957">
        <v>2</v>
      </c>
    </row>
    <row r="517" spans="2:23" ht="14.25" x14ac:dyDescent="0.2">
      <c r="B517" s="1954" t="s">
        <v>29903</v>
      </c>
      <c r="C517" s="1957">
        <v>0</v>
      </c>
      <c r="E517" s="1170"/>
      <c r="F517" s="1176"/>
      <c r="G517" s="1169"/>
      <c r="H517" s="1169"/>
      <c r="I517" s="1169"/>
      <c r="J517" s="1169"/>
      <c r="K517" s="1169"/>
      <c r="L517" s="1171"/>
      <c r="M517" s="1170"/>
      <c r="N517" s="1176"/>
      <c r="O517" s="1169"/>
      <c r="P517" s="1169"/>
      <c r="Q517" s="1169"/>
      <c r="R517" s="1169"/>
      <c r="S517" s="1169"/>
      <c r="T517" s="1171"/>
      <c r="U517" s="1169"/>
      <c r="V517" s="1954" t="s">
        <v>29903</v>
      </c>
      <c r="W517" s="1957">
        <v>0</v>
      </c>
    </row>
    <row r="518" spans="2:23" x14ac:dyDescent="0.2">
      <c r="E518" s="1170"/>
      <c r="F518" s="1169"/>
      <c r="G518" s="1169"/>
      <c r="H518" s="1169"/>
      <c r="I518" s="1169"/>
      <c r="J518" s="1169"/>
      <c r="K518" s="1169"/>
      <c r="L518" s="1171"/>
      <c r="M518" s="1170"/>
      <c r="N518" s="1169"/>
      <c r="O518" s="1169"/>
      <c r="P518" s="1169"/>
      <c r="Q518" s="1169"/>
      <c r="R518" s="1169"/>
      <c r="S518" s="1169"/>
      <c r="T518" s="1171"/>
      <c r="U518" s="1169"/>
    </row>
    <row r="519" spans="2:23" ht="16.5" x14ac:dyDescent="0.2">
      <c r="E519" s="1170"/>
      <c r="F519" s="1177" t="s">
        <v>28183</v>
      </c>
      <c r="G519" s="1169"/>
      <c r="H519" s="1169"/>
      <c r="I519" s="1169"/>
      <c r="J519" s="1169"/>
      <c r="K519" s="1169"/>
      <c r="L519" s="1171"/>
      <c r="M519" s="1170"/>
      <c r="N519" s="1177" t="s">
        <v>28183</v>
      </c>
      <c r="O519" s="1169"/>
      <c r="P519" s="1169"/>
      <c r="Q519" s="1169"/>
      <c r="R519" s="1169"/>
      <c r="S519" s="1169"/>
      <c r="T519" s="1171"/>
      <c r="U519" s="1169"/>
    </row>
    <row r="520" spans="2:23" x14ac:dyDescent="0.2">
      <c r="E520" s="1170"/>
      <c r="F520" s="1169"/>
      <c r="G520" s="1169"/>
      <c r="H520" s="1169"/>
      <c r="I520" s="1169"/>
      <c r="J520" s="1169"/>
      <c r="K520" s="1169"/>
      <c r="L520" s="1171"/>
      <c r="M520" s="1170"/>
      <c r="N520" s="1169"/>
      <c r="O520" s="1169"/>
      <c r="P520" s="1169"/>
      <c r="Q520" s="1169"/>
      <c r="R520" s="1169"/>
      <c r="S520" s="1169"/>
      <c r="T520" s="1171"/>
      <c r="U520" s="1169"/>
    </row>
    <row r="521" spans="2:23" x14ac:dyDescent="0.2">
      <c r="E521" s="1170"/>
      <c r="F521" s="1169"/>
      <c r="G521" s="1169"/>
      <c r="H521" s="1169"/>
      <c r="I521" s="1169"/>
      <c r="J521" s="1169"/>
      <c r="K521" s="1169"/>
      <c r="L521" s="1171"/>
      <c r="M521" s="1170"/>
      <c r="N521" s="1169"/>
      <c r="O521" s="1169"/>
      <c r="P521" s="1169"/>
      <c r="Q521" s="1169"/>
      <c r="R521" s="1169"/>
      <c r="S521" s="1169"/>
      <c r="T521" s="1171"/>
      <c r="U521" s="1169"/>
    </row>
    <row r="522" spans="2:23" x14ac:dyDescent="0.2">
      <c r="E522" s="1170"/>
      <c r="F522" s="1169"/>
      <c r="G522" s="1169"/>
      <c r="H522" s="1169"/>
      <c r="I522" s="1169"/>
      <c r="J522" s="1169"/>
      <c r="K522" s="1169"/>
      <c r="L522" s="1171"/>
      <c r="M522" s="1170"/>
      <c r="N522" s="1169"/>
      <c r="O522" s="1169"/>
      <c r="P522" s="1169"/>
      <c r="Q522" s="1169"/>
      <c r="R522" s="1169"/>
      <c r="S522" s="1169"/>
      <c r="T522" s="1171"/>
      <c r="U522" s="1169"/>
    </row>
    <row r="523" spans="2:23" x14ac:dyDescent="0.2">
      <c r="E523" s="1170"/>
      <c r="F523" s="1169"/>
      <c r="G523" s="1169"/>
      <c r="H523" s="1169"/>
      <c r="I523" s="1169"/>
      <c r="J523" s="1169"/>
      <c r="K523" s="1169"/>
      <c r="L523" s="1171"/>
      <c r="M523" s="1170"/>
      <c r="N523" s="1169"/>
      <c r="O523" s="1169"/>
      <c r="P523" s="1169"/>
      <c r="Q523" s="1169"/>
      <c r="R523" s="1169"/>
      <c r="S523" s="1169"/>
      <c r="T523" s="1171"/>
      <c r="U523" s="1169"/>
    </row>
    <row r="524" spans="2:23" x14ac:dyDescent="0.2">
      <c r="E524" s="1170"/>
      <c r="F524" s="1169"/>
      <c r="G524" s="1169"/>
      <c r="I524" s="1169"/>
      <c r="J524" s="1169"/>
      <c r="K524" s="1169"/>
      <c r="L524" s="1171"/>
      <c r="M524" s="1170"/>
      <c r="N524" s="1169"/>
      <c r="O524" s="1169"/>
      <c r="Q524" s="1169"/>
      <c r="R524" s="1169"/>
      <c r="S524" s="1169"/>
      <c r="T524" s="1171"/>
      <c r="U524" s="1169"/>
    </row>
    <row r="525" spans="2:23" x14ac:dyDescent="0.2">
      <c r="E525" s="1170"/>
      <c r="F525" s="1169"/>
      <c r="G525" s="1169"/>
      <c r="H525" s="1169"/>
      <c r="I525" s="1169"/>
      <c r="J525" s="1169"/>
      <c r="K525" s="1169"/>
      <c r="L525" s="1171"/>
      <c r="M525" s="1170"/>
      <c r="N525" s="1169"/>
      <c r="O525" s="1169"/>
      <c r="P525" s="1169"/>
      <c r="Q525" s="1169"/>
      <c r="R525" s="1169"/>
      <c r="S525" s="1169"/>
      <c r="T525" s="1171"/>
      <c r="U525" s="1169"/>
    </row>
    <row r="526" spans="2:23" x14ac:dyDescent="0.2">
      <c r="E526" s="1170"/>
      <c r="F526" s="1169"/>
      <c r="G526" s="1169"/>
      <c r="H526" s="1169"/>
      <c r="I526" s="1169"/>
      <c r="J526" s="1169"/>
      <c r="K526" s="1169"/>
      <c r="L526" s="1171"/>
      <c r="M526" s="1170"/>
      <c r="N526" s="1169"/>
      <c r="O526" s="1169"/>
      <c r="P526" s="1169"/>
      <c r="Q526" s="1169"/>
      <c r="R526" s="1169"/>
      <c r="S526" s="1169"/>
      <c r="T526" s="1171"/>
      <c r="U526" s="1169"/>
    </row>
    <row r="527" spans="2:23" x14ac:dyDescent="0.2">
      <c r="E527" s="1170"/>
      <c r="F527" s="1169"/>
      <c r="G527" s="1169"/>
      <c r="H527" s="1169"/>
      <c r="I527" s="1169"/>
      <c r="J527" s="1169"/>
      <c r="L527" s="1171"/>
      <c r="M527" s="1170"/>
      <c r="N527" s="1169"/>
      <c r="O527" s="1169"/>
      <c r="P527" s="1169"/>
      <c r="Q527" s="1169"/>
      <c r="R527" s="1169"/>
      <c r="T527" s="1171"/>
      <c r="U527" s="1169"/>
    </row>
    <row r="528" spans="2:23" x14ac:dyDescent="0.2">
      <c r="E528" s="1170"/>
      <c r="F528" s="1169"/>
      <c r="G528" s="1169"/>
      <c r="H528" s="1169"/>
      <c r="I528" s="1169"/>
      <c r="J528" s="1169"/>
      <c r="K528" s="1169"/>
      <c r="L528" s="1171"/>
      <c r="M528" s="1170"/>
      <c r="N528" s="1169"/>
      <c r="O528" s="1169"/>
      <c r="P528" s="1169"/>
      <c r="Q528" s="1169"/>
      <c r="R528" s="1169"/>
      <c r="S528" s="1169"/>
      <c r="T528" s="1171"/>
      <c r="U528" s="1169"/>
    </row>
    <row r="529" spans="2:28" x14ac:dyDescent="0.2">
      <c r="E529" s="1170"/>
      <c r="F529" s="1169"/>
      <c r="G529" s="1169"/>
      <c r="H529" s="1169"/>
      <c r="I529" s="1169"/>
      <c r="J529" s="1169"/>
      <c r="K529" s="1169"/>
      <c r="L529" s="1171"/>
      <c r="M529" s="1170"/>
      <c r="N529" s="1169"/>
      <c r="O529" s="1169"/>
      <c r="P529" s="1169"/>
      <c r="Q529" s="1169"/>
      <c r="R529" s="1169"/>
      <c r="S529" s="1169"/>
      <c r="T529" s="1171"/>
      <c r="U529" s="1169"/>
    </row>
    <row r="530" spans="2:28" x14ac:dyDescent="0.2">
      <c r="E530" s="1170"/>
      <c r="F530" s="1169"/>
      <c r="G530" s="1169"/>
      <c r="H530" s="1169"/>
      <c r="I530" s="1169"/>
      <c r="J530" s="1169"/>
      <c r="K530" s="1169"/>
      <c r="L530" s="1171"/>
      <c r="M530" s="1170"/>
      <c r="N530" s="1169"/>
      <c r="O530" s="1169"/>
      <c r="P530" s="1169"/>
      <c r="Q530" s="1169"/>
      <c r="R530" s="1169"/>
      <c r="S530" s="1169"/>
      <c r="T530" s="1171"/>
      <c r="U530" s="1169"/>
    </row>
    <row r="531" spans="2:28" x14ac:dyDescent="0.2">
      <c r="E531" s="1170"/>
      <c r="F531" s="1169"/>
      <c r="G531" s="1169"/>
      <c r="H531" s="1169"/>
      <c r="I531" s="1169"/>
      <c r="J531" s="1169"/>
      <c r="K531" s="1169"/>
      <c r="L531" s="1171"/>
      <c r="M531" s="1170"/>
      <c r="N531" s="1169"/>
      <c r="O531" s="1169"/>
      <c r="P531" s="1169"/>
      <c r="Q531" s="1169"/>
      <c r="R531" s="1169"/>
      <c r="S531" s="1169"/>
      <c r="T531" s="1171"/>
      <c r="U531" s="1169"/>
    </row>
    <row r="532" spans="2:28" x14ac:dyDescent="0.2">
      <c r="E532" s="1170"/>
      <c r="F532" s="1169"/>
      <c r="G532" s="1169"/>
      <c r="H532" s="1169"/>
      <c r="I532" s="1169"/>
      <c r="J532" s="1169"/>
      <c r="K532" s="1169"/>
      <c r="L532" s="1171"/>
      <c r="M532" s="1170"/>
      <c r="N532" s="1169"/>
      <c r="O532" s="1169"/>
      <c r="P532" s="1169"/>
      <c r="Q532" s="1169"/>
      <c r="R532" s="1169"/>
      <c r="S532" s="1169"/>
      <c r="T532" s="1171"/>
      <c r="U532" s="1169"/>
    </row>
    <row r="533" spans="2:28" x14ac:dyDescent="0.2">
      <c r="E533" s="1170"/>
      <c r="F533" s="1178"/>
      <c r="G533" s="1169"/>
      <c r="H533" s="1169"/>
      <c r="I533" s="1169"/>
      <c r="J533" s="1169"/>
      <c r="K533" s="1169"/>
      <c r="L533" s="1171"/>
      <c r="M533" s="1170"/>
      <c r="N533" s="1178"/>
      <c r="O533" s="1169"/>
      <c r="P533" s="1169"/>
      <c r="Q533" s="1169"/>
      <c r="R533" s="1169"/>
      <c r="S533" s="1169"/>
      <c r="T533" s="1171"/>
      <c r="U533" s="1169"/>
    </row>
    <row r="534" spans="2:28" ht="14.25" x14ac:dyDescent="0.2">
      <c r="E534" s="1170"/>
      <c r="F534" s="1179"/>
      <c r="G534" s="1169"/>
      <c r="H534" s="1169"/>
      <c r="I534" s="1169"/>
      <c r="J534" s="1169"/>
      <c r="K534" s="1169"/>
      <c r="L534" s="1171"/>
      <c r="M534" s="1170"/>
      <c r="N534" s="1179"/>
      <c r="O534" s="1169"/>
      <c r="P534" s="1169"/>
      <c r="Q534" s="1169"/>
      <c r="R534" s="1169"/>
      <c r="S534" s="1169"/>
      <c r="T534" s="1171"/>
      <c r="U534" s="1169"/>
    </row>
    <row r="535" spans="2:28" x14ac:dyDescent="0.2">
      <c r="E535" s="1170"/>
      <c r="F535" s="1176"/>
      <c r="G535" s="1169"/>
      <c r="H535" s="1169"/>
      <c r="I535" s="1169"/>
      <c r="J535" s="1169"/>
      <c r="K535" s="1169"/>
      <c r="L535" s="1171"/>
      <c r="M535" s="1170"/>
      <c r="N535" s="1176"/>
      <c r="O535" s="1169"/>
      <c r="P535" s="1169"/>
      <c r="Q535" s="1169"/>
      <c r="R535" s="1169"/>
      <c r="S535" s="1169"/>
      <c r="T535" s="1171"/>
      <c r="U535" s="1169"/>
      <c r="Y535" s="1158">
        <f>G515+O515</f>
        <v>0</v>
      </c>
      <c r="Z535" s="1159">
        <f>O514+G514</f>
        <v>0</v>
      </c>
      <c r="AA535" s="1180">
        <f>(IF(G515&lt;0.2,G514,0))+(IF(O515&lt;0.2,O514,0))</f>
        <v>0</v>
      </c>
      <c r="AB535" s="1158">
        <f>G516+O516</f>
        <v>0</v>
      </c>
    </row>
    <row r="536" spans="2:28" ht="13.5" thickBot="1" x14ac:dyDescent="0.25">
      <c r="E536" s="1181"/>
      <c r="F536" s="1182"/>
      <c r="G536" s="1182"/>
      <c r="H536" s="1182"/>
      <c r="I536" s="1182"/>
      <c r="J536" s="1182"/>
      <c r="K536" s="1182"/>
      <c r="L536" s="1183"/>
      <c r="M536" s="1181"/>
      <c r="N536" s="1182"/>
      <c r="O536" s="1182"/>
      <c r="P536" s="1182"/>
      <c r="Q536" s="1182"/>
      <c r="R536" s="1182"/>
      <c r="S536" s="1182"/>
      <c r="T536" s="1183"/>
      <c r="U536" s="1169"/>
    </row>
    <row r="537" spans="2:28" ht="26.25" x14ac:dyDescent="0.2">
      <c r="E537" s="1167">
        <f>M512+1</f>
        <v>39</v>
      </c>
      <c r="F537" s="3454" t="s">
        <v>28178</v>
      </c>
      <c r="G537" s="3455"/>
      <c r="H537" s="3466" t="str">
        <f>"Festfeldhalter 250 rechts/links "&amp;"("&amp;Liste!C387&amp;"/"&amp;Liste!C392&amp;")"</f>
        <v>Festfeldhalter 250 rechts/links (0308214/0308215)</v>
      </c>
      <c r="I537" s="3466"/>
      <c r="J537" s="3466"/>
      <c r="K537" s="3467"/>
      <c r="L537" s="1168">
        <f>IF(G540&gt;0.2,G540,0)</f>
        <v>0</v>
      </c>
      <c r="M537" s="1167">
        <f>E537+1</f>
        <v>40</v>
      </c>
      <c r="N537" s="3454" t="s">
        <v>28178</v>
      </c>
      <c r="O537" s="3455"/>
      <c r="P537" s="3466" t="str">
        <f>"Festfeldbefestigung rechts/links "&amp;"("&amp;Liste!C397&amp;"/"&amp;Liste!C400&amp;")"</f>
        <v>Festfeldbefestigung rechts/links (0308046/0308047)</v>
      </c>
      <c r="Q537" s="3466"/>
      <c r="R537" s="3466"/>
      <c r="S537" s="3467"/>
      <c r="T537" s="1168">
        <f>IF(O540&gt;0.2,O540,0)</f>
        <v>0</v>
      </c>
      <c r="U537" s="1169"/>
    </row>
    <row r="538" spans="2:28" x14ac:dyDescent="0.2">
      <c r="B538" s="1954" t="s">
        <v>29900</v>
      </c>
      <c r="C538" s="1955">
        <f>Liste!F387*L18</f>
        <v>0</v>
      </c>
      <c r="E538" s="1170"/>
      <c r="F538" s="1169"/>
      <c r="G538" s="1169"/>
      <c r="H538" s="1169"/>
      <c r="I538" s="1169"/>
      <c r="J538" s="1169"/>
      <c r="K538" s="1169"/>
      <c r="L538" s="1171"/>
      <c r="M538" s="1170"/>
      <c r="N538" s="1169"/>
      <c r="O538" s="1169"/>
      <c r="P538" s="1169"/>
      <c r="Q538" s="1169"/>
      <c r="R538" s="1169"/>
      <c r="S538" s="1169"/>
      <c r="T538" s="1171"/>
      <c r="U538" s="1169"/>
      <c r="V538" s="1954" t="s">
        <v>29900</v>
      </c>
      <c r="W538" s="1955">
        <f>Liste!E397</f>
        <v>91</v>
      </c>
    </row>
    <row r="539" spans="2:28" ht="15.75" x14ac:dyDescent="0.2">
      <c r="B539" s="1954" t="s">
        <v>29901</v>
      </c>
      <c r="C539" s="1955">
        <f>Liste!E387*L18</f>
        <v>0</v>
      </c>
      <c r="E539" s="1170"/>
      <c r="F539" s="1172" t="s">
        <v>27904</v>
      </c>
      <c r="G539" s="1173">
        <f>IF(J18="ja",Liste!D387+Liste!D392,0)</f>
        <v>0</v>
      </c>
      <c r="H539" s="1169" t="s">
        <v>28179</v>
      </c>
      <c r="I539" s="1169"/>
      <c r="J539" s="1169"/>
      <c r="K539" s="1169"/>
      <c r="L539" s="1171"/>
      <c r="M539" s="1170"/>
      <c r="N539" s="1172" t="s">
        <v>27904</v>
      </c>
      <c r="O539" s="1173">
        <f>IF(J18="ja",Liste!D397+Liste!D400,0)</f>
        <v>0</v>
      </c>
      <c r="P539" s="1169" t="s">
        <v>28179</v>
      </c>
      <c r="Q539" s="1169"/>
      <c r="R539" s="1169"/>
      <c r="S539" s="1169"/>
      <c r="T539" s="1171"/>
      <c r="U539" s="1169"/>
      <c r="V539" s="1954" t="s">
        <v>29901</v>
      </c>
      <c r="W539" s="1955">
        <f>Liste!F397</f>
        <v>211</v>
      </c>
    </row>
    <row r="540" spans="2:28" ht="15.75" x14ac:dyDescent="0.2">
      <c r="B540" s="1954" t="s">
        <v>31205</v>
      </c>
      <c r="C540" s="1956">
        <f>C538*C539/1000/1000</f>
        <v>0</v>
      </c>
      <c r="E540" s="1170"/>
      <c r="F540" s="1172" t="s">
        <v>28180</v>
      </c>
      <c r="G540" s="1173">
        <f>IF(G539&gt;0,G539*C540*C541,0)</f>
        <v>0</v>
      </c>
      <c r="H540" s="1169" t="s">
        <v>28181</v>
      </c>
      <c r="K540" s="1172" t="str">
        <f>IF(G540&lt;&gt;0,IF(G540&lt;0.2,"Kleinteil, Gerundete Fläche:",""),"")</f>
        <v/>
      </c>
      <c r="L540" s="1174">
        <f>IF(K540&lt;&gt;"",0.2,0)</f>
        <v>0</v>
      </c>
      <c r="M540" s="1170"/>
      <c r="N540" s="1172" t="s">
        <v>28180</v>
      </c>
      <c r="O540" s="1173">
        <f>IF(O539&gt;0,O539*W540*W541,0)</f>
        <v>0</v>
      </c>
      <c r="P540" s="1169" t="s">
        <v>28181</v>
      </c>
      <c r="S540" s="1172" t="str">
        <f>IF(O540&lt;&gt;0,IF(O540&lt;0.2,"Kleinteil, Gerundete Fläche:",""),"")</f>
        <v/>
      </c>
      <c r="T540" s="1175">
        <f>IF(S540&lt;&gt;"",0.2,0)</f>
        <v>0</v>
      </c>
      <c r="U540" s="1169"/>
      <c r="V540" s="1954" t="s">
        <v>31205</v>
      </c>
      <c r="W540" s="1956">
        <f>W538*W539/1000/1000</f>
        <v>1.9200999999999999E-2</v>
      </c>
    </row>
    <row r="541" spans="2:28" ht="15.75" x14ac:dyDescent="0.2">
      <c r="B541" s="1954" t="s">
        <v>29902</v>
      </c>
      <c r="C541" s="1957">
        <v>1</v>
      </c>
      <c r="E541" s="1170"/>
      <c r="F541" s="1172" t="s">
        <v>28182</v>
      </c>
      <c r="G541" s="1173">
        <f>IF(G539&gt;0,G539*C540*C542,0)</f>
        <v>0</v>
      </c>
      <c r="H541" s="1169" t="s">
        <v>28181</v>
      </c>
      <c r="I541" s="1186" t="s">
        <v>30876</v>
      </c>
      <c r="J541" s="1169"/>
      <c r="K541" s="1169"/>
      <c r="L541" s="1171"/>
      <c r="M541" s="1170"/>
      <c r="N541" s="1172" t="s">
        <v>28182</v>
      </c>
      <c r="O541" s="1173">
        <f>IF(O539&gt;0,O539*W540*W542,0)</f>
        <v>0</v>
      </c>
      <c r="P541" s="1169" t="s">
        <v>28181</v>
      </c>
      <c r="Q541" s="1186" t="s">
        <v>28185</v>
      </c>
      <c r="R541" s="1169"/>
      <c r="S541" s="1169"/>
      <c r="T541" s="1171"/>
      <c r="U541" s="1169"/>
      <c r="V541" s="1954" t="s">
        <v>29902</v>
      </c>
      <c r="W541" s="1957">
        <v>2</v>
      </c>
    </row>
    <row r="542" spans="2:28" ht="14.25" x14ac:dyDescent="0.2">
      <c r="B542" s="1954" t="s">
        <v>29903</v>
      </c>
      <c r="C542" s="1957">
        <v>0</v>
      </c>
      <c r="E542" s="1170"/>
      <c r="F542" s="1176"/>
      <c r="G542" s="1169"/>
      <c r="H542" s="1169"/>
      <c r="I542" s="1169"/>
      <c r="J542" s="1169"/>
      <c r="K542" s="1169"/>
      <c r="L542" s="1171"/>
      <c r="M542" s="1170"/>
      <c r="N542" s="1176"/>
      <c r="O542" s="1169"/>
      <c r="P542" s="1169"/>
      <c r="Q542" s="1169"/>
      <c r="R542" s="1169"/>
      <c r="S542" s="1169"/>
      <c r="T542" s="1171"/>
      <c r="U542" s="1169"/>
      <c r="V542" s="1954" t="s">
        <v>29903</v>
      </c>
      <c r="W542" s="1957">
        <v>0</v>
      </c>
    </row>
    <row r="543" spans="2:28" x14ac:dyDescent="0.2">
      <c r="E543" s="1170"/>
      <c r="F543" s="1169"/>
      <c r="G543" s="1169"/>
      <c r="H543" s="1169"/>
      <c r="I543" s="1169"/>
      <c r="J543" s="1169"/>
      <c r="K543" s="1169"/>
      <c r="L543" s="1171"/>
      <c r="M543" s="1170"/>
      <c r="N543" s="1169"/>
      <c r="O543" s="1169"/>
      <c r="P543" s="1169"/>
      <c r="Q543" s="1169"/>
      <c r="R543" s="1169"/>
      <c r="S543" s="1169"/>
      <c r="T543" s="1171"/>
      <c r="U543" s="1169"/>
    </row>
    <row r="544" spans="2:28" ht="16.5" x14ac:dyDescent="0.2">
      <c r="E544" s="1170"/>
      <c r="F544" s="1177" t="s">
        <v>28183</v>
      </c>
      <c r="G544" s="1169"/>
      <c r="H544" s="1169"/>
      <c r="I544" s="1169"/>
      <c r="J544" s="1169"/>
      <c r="K544" s="1169"/>
      <c r="L544" s="1171"/>
      <c r="M544" s="1170"/>
      <c r="N544" s="1177" t="s">
        <v>28183</v>
      </c>
      <c r="O544" s="1169"/>
      <c r="P544" s="1169"/>
      <c r="Q544" s="1169"/>
      <c r="R544" s="1169"/>
      <c r="S544" s="1169"/>
      <c r="T544" s="1171"/>
      <c r="U544" s="1169"/>
    </row>
    <row r="545" spans="5:28" x14ac:dyDescent="0.2">
      <c r="E545" s="1170"/>
      <c r="F545" s="1169"/>
      <c r="G545" s="1169"/>
      <c r="H545" s="1169"/>
      <c r="I545" s="1169"/>
      <c r="J545" s="1169"/>
      <c r="K545" s="1169"/>
      <c r="L545" s="1171"/>
      <c r="M545" s="1170"/>
      <c r="N545" s="1169"/>
      <c r="O545" s="1169"/>
      <c r="P545" s="1169"/>
      <c r="Q545" s="1169"/>
      <c r="R545" s="1169"/>
      <c r="S545" s="1169"/>
      <c r="T545" s="1171"/>
      <c r="U545" s="1169"/>
    </row>
    <row r="546" spans="5:28" x14ac:dyDescent="0.2">
      <c r="E546" s="1170"/>
      <c r="F546" s="1169"/>
      <c r="G546" s="1169"/>
      <c r="H546" s="1169"/>
      <c r="I546" s="1169"/>
      <c r="J546" s="1169"/>
      <c r="K546" s="1169"/>
      <c r="L546" s="1171"/>
      <c r="M546" s="1170"/>
      <c r="N546" s="1169"/>
      <c r="O546" s="1169"/>
      <c r="P546" s="1169"/>
      <c r="Q546" s="1169"/>
      <c r="R546" s="1169"/>
      <c r="S546" s="1169"/>
      <c r="T546" s="1171"/>
      <c r="U546" s="1169"/>
    </row>
    <row r="547" spans="5:28" x14ac:dyDescent="0.2">
      <c r="E547" s="1170"/>
      <c r="F547" s="1169"/>
      <c r="G547" s="1169"/>
      <c r="H547" s="1169"/>
      <c r="I547" s="1169"/>
      <c r="J547" s="1169"/>
      <c r="K547" s="1169"/>
      <c r="L547" s="1171"/>
      <c r="M547" s="1170"/>
      <c r="N547" s="1169"/>
      <c r="O547" s="1169"/>
      <c r="P547" s="1169"/>
      <c r="Q547" s="1169"/>
      <c r="R547" s="1169"/>
      <c r="S547" s="1169"/>
      <c r="T547" s="1171"/>
      <c r="U547" s="1169"/>
    </row>
    <row r="548" spans="5:28" x14ac:dyDescent="0.2">
      <c r="E548" s="1170"/>
      <c r="F548" s="1169"/>
      <c r="G548" s="1169"/>
      <c r="H548" s="1169"/>
      <c r="I548" s="1169"/>
      <c r="J548" s="1169"/>
      <c r="K548" s="1169"/>
      <c r="L548" s="1171"/>
      <c r="M548" s="1170"/>
      <c r="N548" s="1169"/>
      <c r="O548" s="1169"/>
      <c r="P548" s="1169"/>
      <c r="Q548" s="1169"/>
      <c r="R548" s="1169"/>
      <c r="S548" s="1169"/>
      <c r="T548" s="1171"/>
      <c r="U548" s="1169"/>
    </row>
    <row r="549" spans="5:28" x14ac:dyDescent="0.2">
      <c r="E549" s="1170"/>
      <c r="F549" s="1169"/>
      <c r="G549" s="1169"/>
      <c r="I549" s="1169"/>
      <c r="J549" s="1169"/>
      <c r="K549" s="1169"/>
      <c r="L549" s="1171"/>
      <c r="M549" s="1170"/>
      <c r="N549" s="1169"/>
      <c r="O549" s="1169"/>
      <c r="Q549" s="1169"/>
      <c r="R549" s="1169"/>
      <c r="S549" s="1169"/>
      <c r="T549" s="1171"/>
      <c r="U549" s="1169"/>
    </row>
    <row r="550" spans="5:28" x14ac:dyDescent="0.2">
      <c r="E550" s="1170"/>
      <c r="F550" s="1169"/>
      <c r="G550" s="1169"/>
      <c r="H550" s="1169"/>
      <c r="I550" s="1169"/>
      <c r="J550" s="1169"/>
      <c r="K550" s="1169"/>
      <c r="L550" s="1171"/>
      <c r="M550" s="1170"/>
      <c r="N550" s="1169"/>
      <c r="O550" s="1169"/>
      <c r="P550" s="1169"/>
      <c r="Q550" s="1169"/>
      <c r="R550" s="1169"/>
      <c r="S550" s="1169"/>
      <c r="T550" s="1171"/>
      <c r="U550" s="1169"/>
    </row>
    <row r="551" spans="5:28" x14ac:dyDescent="0.2">
      <c r="E551" s="1170"/>
      <c r="F551" s="1169"/>
      <c r="G551" s="1169"/>
      <c r="H551" s="1169"/>
      <c r="I551" s="1169"/>
      <c r="J551" s="1169"/>
      <c r="K551" s="1169"/>
      <c r="L551" s="1171"/>
      <c r="M551" s="1170"/>
      <c r="N551" s="1169"/>
      <c r="O551" s="1169"/>
      <c r="P551" s="1169"/>
      <c r="Q551" s="1169"/>
      <c r="R551" s="1169"/>
      <c r="S551" s="1169"/>
      <c r="T551" s="1171"/>
      <c r="U551" s="1169"/>
    </row>
    <row r="552" spans="5:28" x14ac:dyDescent="0.2">
      <c r="E552" s="1170"/>
      <c r="F552" s="1169"/>
      <c r="G552" s="1169"/>
      <c r="H552" s="1169"/>
      <c r="I552" s="1169"/>
      <c r="J552" s="1169"/>
      <c r="L552" s="1171"/>
      <c r="M552" s="1170"/>
      <c r="N552" s="1169"/>
      <c r="O552" s="1169"/>
      <c r="P552" s="1169"/>
      <c r="Q552" s="1169"/>
      <c r="R552" s="1169"/>
      <c r="T552" s="1171"/>
      <c r="U552" s="1169"/>
    </row>
    <row r="553" spans="5:28" x14ac:dyDescent="0.2">
      <c r="E553" s="1170"/>
      <c r="F553" s="1169"/>
      <c r="G553" s="1169"/>
      <c r="H553" s="1169"/>
      <c r="I553" s="1169"/>
      <c r="J553" s="1169"/>
      <c r="K553" s="1169"/>
      <c r="L553" s="1171"/>
      <c r="M553" s="1170"/>
      <c r="N553" s="1169"/>
      <c r="O553" s="1169"/>
      <c r="P553" s="1169"/>
      <c r="Q553" s="1169"/>
      <c r="R553" s="1169"/>
      <c r="S553" s="1169"/>
      <c r="T553" s="1171"/>
      <c r="U553" s="1169"/>
    </row>
    <row r="554" spans="5:28" x14ac:dyDescent="0.2">
      <c r="E554" s="1170"/>
      <c r="F554" s="1169"/>
      <c r="G554" s="1169"/>
      <c r="H554" s="1169"/>
      <c r="I554" s="1169"/>
      <c r="J554" s="1169"/>
      <c r="K554" s="1169"/>
      <c r="L554" s="1171"/>
      <c r="M554" s="1170"/>
      <c r="N554" s="1169"/>
      <c r="O554" s="1169"/>
      <c r="P554" s="1169"/>
      <c r="Q554" s="1169"/>
      <c r="R554" s="1169"/>
      <c r="S554" s="1169"/>
      <c r="T554" s="1171"/>
      <c r="U554" s="1169"/>
    </row>
    <row r="555" spans="5:28" x14ac:dyDescent="0.2">
      <c r="E555" s="1170"/>
      <c r="F555" s="1169"/>
      <c r="G555" s="1169"/>
      <c r="H555" s="1169"/>
      <c r="I555" s="1169"/>
      <c r="J555" s="1169"/>
      <c r="K555" s="1169"/>
      <c r="L555" s="1171"/>
      <c r="M555" s="1170"/>
      <c r="N555" s="1169"/>
      <c r="O555" s="1169"/>
      <c r="P555" s="1169"/>
      <c r="Q555" s="1169"/>
      <c r="R555" s="1169"/>
      <c r="S555" s="1169"/>
      <c r="T555" s="1171"/>
      <c r="U555" s="1169"/>
    </row>
    <row r="556" spans="5:28" x14ac:dyDescent="0.2">
      <c r="E556" s="1170"/>
      <c r="F556" s="1169"/>
      <c r="G556" s="1169"/>
      <c r="H556" s="1169"/>
      <c r="I556" s="1169"/>
      <c r="J556" s="1169"/>
      <c r="K556" s="1169"/>
      <c r="L556" s="1171"/>
      <c r="M556" s="1170"/>
      <c r="N556" s="1169"/>
      <c r="O556" s="1169"/>
      <c r="P556" s="1169"/>
      <c r="Q556" s="1169"/>
      <c r="R556" s="1169"/>
      <c r="S556" s="1169"/>
      <c r="T556" s="1171"/>
      <c r="U556" s="1169"/>
    </row>
    <row r="557" spans="5:28" x14ac:dyDescent="0.2">
      <c r="E557" s="1170"/>
      <c r="F557" s="1169"/>
      <c r="G557" s="1169"/>
      <c r="H557" s="1169"/>
      <c r="I557" s="1169"/>
      <c r="J557" s="1169"/>
      <c r="K557" s="1169"/>
      <c r="L557" s="1171"/>
      <c r="M557" s="1170"/>
      <c r="N557" s="1169"/>
      <c r="O557" s="1169"/>
      <c r="P557" s="1169"/>
      <c r="Q557" s="1169"/>
      <c r="R557" s="1169"/>
      <c r="S557" s="1169"/>
      <c r="T557" s="1171"/>
      <c r="U557" s="1169"/>
    </row>
    <row r="558" spans="5:28" x14ac:dyDescent="0.2">
      <c r="E558" s="1170"/>
      <c r="F558" s="1178"/>
      <c r="G558" s="1169"/>
      <c r="H558" s="1169"/>
      <c r="I558" s="1169"/>
      <c r="J558" s="1169"/>
      <c r="K558" s="1169"/>
      <c r="L558" s="1171"/>
      <c r="M558" s="1170"/>
      <c r="N558" s="1178"/>
      <c r="O558" s="1169"/>
      <c r="P558" s="1169"/>
      <c r="Q558" s="1169"/>
      <c r="R558" s="1169"/>
      <c r="S558" s="1169"/>
      <c r="T558" s="1171"/>
      <c r="U558" s="1169"/>
    </row>
    <row r="559" spans="5:28" ht="14.25" x14ac:dyDescent="0.2">
      <c r="E559" s="1170"/>
      <c r="F559" s="1179"/>
      <c r="G559" s="1169"/>
      <c r="H559" s="1169"/>
      <c r="I559" s="1169"/>
      <c r="J559" s="1169"/>
      <c r="K559" s="1169"/>
      <c r="L559" s="1171"/>
      <c r="M559" s="1170"/>
      <c r="N559" s="1179"/>
      <c r="O559" s="1169"/>
      <c r="P559" s="1169"/>
      <c r="Q559" s="1169"/>
      <c r="R559" s="1169"/>
      <c r="S559" s="1169"/>
      <c r="T559" s="1171"/>
      <c r="U559" s="1169"/>
    </row>
    <row r="560" spans="5:28" x14ac:dyDescent="0.2">
      <c r="E560" s="1170"/>
      <c r="F560" s="1176"/>
      <c r="G560" s="1169"/>
      <c r="H560" s="1169"/>
      <c r="I560" s="1169"/>
      <c r="J560" s="1169"/>
      <c r="K560" s="1169"/>
      <c r="L560" s="1171"/>
      <c r="M560" s="1170"/>
      <c r="N560" s="1176"/>
      <c r="O560" s="1169"/>
      <c r="P560" s="1169"/>
      <c r="Q560" s="1169"/>
      <c r="R560" s="1169"/>
      <c r="S560" s="1169"/>
      <c r="T560" s="1171"/>
      <c r="U560" s="1169"/>
      <c r="Y560" s="1158">
        <f>G540+O540</f>
        <v>0</v>
      </c>
      <c r="Z560" s="1159">
        <f>O539+G539</f>
        <v>0</v>
      </c>
      <c r="AA560" s="1180">
        <f>(IF(G540&lt;0.2,G539,0))+(IF(O540&lt;0.2,O539,0))</f>
        <v>0</v>
      </c>
      <c r="AB560" s="1158">
        <f>G541+O541</f>
        <v>0</v>
      </c>
    </row>
    <row r="561" spans="2:23" ht="13.5" thickBot="1" x14ac:dyDescent="0.25">
      <c r="E561" s="1181"/>
      <c r="F561" s="1182"/>
      <c r="G561" s="1182"/>
      <c r="H561" s="1182"/>
      <c r="I561" s="1182"/>
      <c r="J561" s="1182"/>
      <c r="K561" s="1182"/>
      <c r="L561" s="1183"/>
      <c r="M561" s="1181"/>
      <c r="N561" s="1182"/>
      <c r="O561" s="1182"/>
      <c r="P561" s="1182"/>
      <c r="Q561" s="1182"/>
      <c r="R561" s="1182"/>
      <c r="S561" s="1182"/>
      <c r="T561" s="1183"/>
      <c r="U561" s="1169"/>
    </row>
    <row r="562" spans="2:23" ht="26.25" x14ac:dyDescent="0.2">
      <c r="E562" s="1167">
        <f>M537+1</f>
        <v>41</v>
      </c>
      <c r="F562" s="3454" t="s">
        <v>28178</v>
      </c>
      <c r="G562" s="3455"/>
      <c r="H562" s="3466" t="str">
        <f>"Festfeldhalter 175 rechts/links "&amp;"("&amp;Liste!C388&amp;"/"&amp;Liste!C393&amp;")"</f>
        <v>Festfeldhalter 175 rechts/links (0308044/0308045)</v>
      </c>
      <c r="I562" s="3466"/>
      <c r="J562" s="3466"/>
      <c r="K562" s="3467"/>
      <c r="L562" s="1168">
        <f>IF(G565&gt;0.2,G565,0)</f>
        <v>0</v>
      </c>
      <c r="M562" s="1167">
        <f>E562+1</f>
        <v>42</v>
      </c>
      <c r="N562" s="3454" t="s">
        <v>28178</v>
      </c>
      <c r="O562" s="3455"/>
      <c r="P562" s="3466" t="str">
        <f>Liste!B303&amp;" ("&amp;Liste!C303&amp;")"</f>
        <v>Baugruppe Endschalter geöffnet verzinkt (0306277)</v>
      </c>
      <c r="Q562" s="3466"/>
      <c r="R562" s="3466"/>
      <c r="S562" s="3467"/>
      <c r="T562" s="1168">
        <f>IF(O565&gt;0.2,O565,0)</f>
        <v>0</v>
      </c>
      <c r="U562" s="1169"/>
    </row>
    <row r="563" spans="2:23" x14ac:dyDescent="0.2">
      <c r="B563" s="1954" t="s">
        <v>29900</v>
      </c>
      <c r="C563" s="1955">
        <f>Liste!F388</f>
        <v>365</v>
      </c>
      <c r="E563" s="1170"/>
      <c r="F563" s="1169"/>
      <c r="G563" s="1169"/>
      <c r="H563" s="1169"/>
      <c r="I563" s="1169"/>
      <c r="J563" s="1169"/>
      <c r="K563" s="1169"/>
      <c r="L563" s="1171"/>
      <c r="M563" s="1170"/>
      <c r="N563" s="1169"/>
      <c r="O563" s="1169"/>
      <c r="P563" s="1169"/>
      <c r="Q563" s="1169"/>
      <c r="R563" s="1169"/>
      <c r="S563" s="1169"/>
      <c r="T563" s="1171"/>
      <c r="U563" s="1169"/>
      <c r="V563" s="1954"/>
      <c r="W563" s="1955"/>
    </row>
    <row r="564" spans="2:23" ht="15.75" x14ac:dyDescent="0.2">
      <c r="B564" s="1954" t="s">
        <v>29901</v>
      </c>
      <c r="C564" s="1955">
        <f>Liste!E388</f>
        <v>193</v>
      </c>
      <c r="E564" s="1170"/>
      <c r="F564" s="1172" t="s">
        <v>27904</v>
      </c>
      <c r="G564" s="1173">
        <f>IF(J18="ja",Liste!D388+Liste!D393,0)</f>
        <v>0</v>
      </c>
      <c r="H564" s="1169" t="s">
        <v>28179</v>
      </c>
      <c r="I564" s="1169"/>
      <c r="J564" s="1169"/>
      <c r="K564" s="1169"/>
      <c r="L564" s="1171"/>
      <c r="M564" s="1170"/>
      <c r="N564" s="1172" t="s">
        <v>27904</v>
      </c>
      <c r="O564" s="1173">
        <f>Liste!A303*Lackliste!L18</f>
        <v>0</v>
      </c>
      <c r="P564" s="1169" t="s">
        <v>28179</v>
      </c>
      <c r="Q564" s="1169"/>
      <c r="R564" s="1169"/>
      <c r="S564" s="1169"/>
      <c r="T564" s="1171"/>
      <c r="U564" s="1169"/>
      <c r="V564" s="1954"/>
      <c r="W564" s="1955"/>
    </row>
    <row r="565" spans="2:23" ht="15.75" x14ac:dyDescent="0.2">
      <c r="B565" s="1954" t="s">
        <v>31205</v>
      </c>
      <c r="C565" s="1956">
        <f>C563*C564/1000/1000</f>
        <v>7.0444999999999994E-2</v>
      </c>
      <c r="E565" s="1170"/>
      <c r="F565" s="1172" t="s">
        <v>28180</v>
      </c>
      <c r="G565" s="1173">
        <f>IF(G564&gt;0,G564*C565*C566,0)</f>
        <v>0</v>
      </c>
      <c r="H565" s="1169" t="s">
        <v>28181</v>
      </c>
      <c r="K565" s="1172" t="str">
        <f>IF(G565&lt;&gt;0,IF(G565&lt;0.2,"Kleinteil, Gerundete Fläche:",""),"")</f>
        <v/>
      </c>
      <c r="L565" s="1174">
        <f>IF(K565&lt;&gt;"",0.2,0)</f>
        <v>0</v>
      </c>
      <c r="M565" s="1170"/>
      <c r="N565" s="1172" t="s">
        <v>28180</v>
      </c>
      <c r="O565" s="1173">
        <f>IF(O564&gt;0,O564*W565*W566,0)</f>
        <v>0</v>
      </c>
      <c r="P565" s="1169" t="s">
        <v>28181</v>
      </c>
      <c r="S565" s="1172" t="str">
        <f>IF(O565&lt;&gt;0,IF(O565&lt;0.2,"Kleinteil, Gerundete Fläche:",""),"")</f>
        <v/>
      </c>
      <c r="T565" s="1175">
        <f>IF(S565&lt;&gt;"",0.2,0)</f>
        <v>0</v>
      </c>
      <c r="U565" s="1169"/>
      <c r="V565" s="1954" t="s">
        <v>31205</v>
      </c>
      <c r="W565" s="1956">
        <f>87.81/1000</f>
        <v>8.7809999999999999E-2</v>
      </c>
    </row>
    <row r="566" spans="2:23" ht="15.75" x14ac:dyDescent="0.2">
      <c r="B566" s="1954" t="s">
        <v>29902</v>
      </c>
      <c r="C566" s="1957">
        <v>1</v>
      </c>
      <c r="E566" s="1170"/>
      <c r="F566" s="1172" t="s">
        <v>28182</v>
      </c>
      <c r="G566" s="1173">
        <f>IF(G564&gt;0,G564*C565*C567,0)</f>
        <v>0</v>
      </c>
      <c r="H566" s="1169" t="s">
        <v>28181</v>
      </c>
      <c r="I566" s="1186" t="s">
        <v>30876</v>
      </c>
      <c r="J566" s="1169"/>
      <c r="K566" s="1169"/>
      <c r="L566" s="1171"/>
      <c r="M566" s="1170"/>
      <c r="N566" s="1172" t="s">
        <v>28182</v>
      </c>
      <c r="O566" s="1173">
        <f>IF(O564&gt;0,O564*W565*W567,0)</f>
        <v>0</v>
      </c>
      <c r="P566" s="1169" t="s">
        <v>28181</v>
      </c>
      <c r="Q566" s="1186" t="s">
        <v>28185</v>
      </c>
      <c r="R566" s="1169"/>
      <c r="S566" s="1169"/>
      <c r="T566" s="1171"/>
      <c r="U566" s="1169"/>
      <c r="V566" s="1954" t="s">
        <v>29902</v>
      </c>
      <c r="W566" s="1957">
        <v>2</v>
      </c>
    </row>
    <row r="567" spans="2:23" ht="14.25" x14ac:dyDescent="0.2">
      <c r="B567" s="1954" t="s">
        <v>29903</v>
      </c>
      <c r="C567" s="1957">
        <v>0</v>
      </c>
      <c r="E567" s="1170"/>
      <c r="F567" s="1176"/>
      <c r="G567" s="1169"/>
      <c r="H567" s="1169"/>
      <c r="I567" s="1169"/>
      <c r="J567" s="1169"/>
      <c r="K567" s="1169"/>
      <c r="L567" s="1171"/>
      <c r="M567" s="1170"/>
      <c r="N567" s="1176"/>
      <c r="O567" s="1169"/>
      <c r="P567" s="1169"/>
      <c r="Q567" s="1169"/>
      <c r="R567" s="1169"/>
      <c r="S567" s="1169"/>
      <c r="T567" s="1171"/>
      <c r="U567" s="1169"/>
      <c r="V567" s="1954" t="s">
        <v>29903</v>
      </c>
      <c r="W567" s="1957">
        <v>0</v>
      </c>
    </row>
    <row r="568" spans="2:23" x14ac:dyDescent="0.2">
      <c r="E568" s="1170"/>
      <c r="F568" s="1169"/>
      <c r="G568" s="1169"/>
      <c r="H568" s="1169"/>
      <c r="I568" s="1169"/>
      <c r="J568" s="1169"/>
      <c r="K568" s="1169"/>
      <c r="L568" s="1171"/>
      <c r="M568" s="1170"/>
      <c r="N568" s="1169"/>
      <c r="O568" s="1169"/>
      <c r="P568" s="1169"/>
      <c r="Q568" s="1169"/>
      <c r="R568" s="1169"/>
      <c r="S568" s="1169"/>
      <c r="T568" s="1171"/>
      <c r="U568" s="1169"/>
    </row>
    <row r="569" spans="2:23" ht="16.5" x14ac:dyDescent="0.2">
      <c r="E569" s="1170"/>
      <c r="F569" s="1177" t="s">
        <v>28183</v>
      </c>
      <c r="G569" s="1169"/>
      <c r="H569" s="1169"/>
      <c r="I569" s="1169"/>
      <c r="J569" s="1169"/>
      <c r="K569" s="1169"/>
      <c r="L569" s="1171"/>
      <c r="M569" s="1170"/>
      <c r="N569" s="1177" t="s">
        <v>28183</v>
      </c>
      <c r="O569" s="1169"/>
      <c r="P569" s="1169"/>
      <c r="Q569" s="1169"/>
      <c r="R569" s="1169"/>
      <c r="S569" s="1169"/>
      <c r="T569" s="1171"/>
      <c r="U569" s="1169"/>
    </row>
    <row r="570" spans="2:23" x14ac:dyDescent="0.2">
      <c r="E570" s="1170"/>
      <c r="F570" s="1169"/>
      <c r="G570" s="1169"/>
      <c r="H570" s="1169"/>
      <c r="I570" s="1169"/>
      <c r="J570" s="1169"/>
      <c r="K570" s="1169"/>
      <c r="L570" s="1171"/>
      <c r="M570" s="1170"/>
      <c r="N570" s="1169"/>
      <c r="O570" s="1169"/>
      <c r="P570" s="1169"/>
      <c r="Q570" s="1169"/>
      <c r="R570" s="1169"/>
      <c r="S570" s="1169"/>
      <c r="T570" s="1171"/>
      <c r="U570" s="1169"/>
    </row>
    <row r="571" spans="2:23" x14ac:dyDescent="0.2">
      <c r="E571" s="1170"/>
      <c r="F571" s="1169"/>
      <c r="G571" s="1169"/>
      <c r="H571" s="1169"/>
      <c r="I571" s="1169"/>
      <c r="J571" s="1169"/>
      <c r="K571" s="1169"/>
      <c r="L571" s="1171"/>
      <c r="M571" s="1170"/>
      <c r="N571" s="1169"/>
      <c r="O571" s="1169"/>
      <c r="P571" s="1169"/>
      <c r="Q571" s="1169"/>
      <c r="R571" s="1169"/>
      <c r="S571" s="1169"/>
      <c r="T571" s="1171"/>
      <c r="U571" s="1169"/>
    </row>
    <row r="572" spans="2:23" x14ac:dyDescent="0.2">
      <c r="E572" s="1170"/>
      <c r="F572" s="1169"/>
      <c r="G572" s="1169"/>
      <c r="H572" s="1169"/>
      <c r="I572" s="1169"/>
      <c r="J572" s="1169"/>
      <c r="K572" s="1169"/>
      <c r="L572" s="1171"/>
      <c r="M572" s="1170"/>
      <c r="N572" s="1169"/>
      <c r="O572" s="1169"/>
      <c r="P572" s="1169"/>
      <c r="Q572" s="1169"/>
      <c r="R572" s="1169"/>
      <c r="S572" s="1169"/>
      <c r="T572" s="1171"/>
      <c r="U572" s="1169"/>
    </row>
    <row r="573" spans="2:23" x14ac:dyDescent="0.2">
      <c r="E573" s="1170"/>
      <c r="F573" s="1169"/>
      <c r="G573" s="1169"/>
      <c r="H573" s="1169"/>
      <c r="I573" s="1169"/>
      <c r="J573" s="1169"/>
      <c r="K573" s="1169"/>
      <c r="L573" s="1171"/>
      <c r="M573" s="1170"/>
      <c r="N573" s="1169"/>
      <c r="O573" s="1169"/>
      <c r="P573" s="1169"/>
      <c r="Q573" s="1169"/>
      <c r="R573" s="1169"/>
      <c r="S573" s="1169"/>
      <c r="T573" s="1171"/>
      <c r="U573" s="1169"/>
    </row>
    <row r="574" spans="2:23" x14ac:dyDescent="0.2">
      <c r="E574" s="1170"/>
      <c r="F574" s="1169"/>
      <c r="G574" s="1169"/>
      <c r="I574" s="1169"/>
      <c r="J574" s="1169"/>
      <c r="K574" s="1169"/>
      <c r="L574" s="1171"/>
      <c r="M574" s="1170"/>
      <c r="N574" s="1169"/>
      <c r="O574" s="1169"/>
      <c r="Q574" s="1169"/>
      <c r="R574" s="1169"/>
      <c r="S574" s="1169"/>
      <c r="T574" s="1171"/>
      <c r="U574" s="1169"/>
    </row>
    <row r="575" spans="2:23" x14ac:dyDescent="0.2">
      <c r="E575" s="1170"/>
      <c r="F575" s="1169"/>
      <c r="G575" s="1169"/>
      <c r="H575" s="1169"/>
      <c r="I575" s="1169"/>
      <c r="J575" s="1169"/>
      <c r="K575" s="1169"/>
      <c r="L575" s="1171"/>
      <c r="M575" s="1170"/>
      <c r="N575" s="1169"/>
      <c r="O575" s="1169"/>
      <c r="P575" s="1169"/>
      <c r="Q575" s="1169"/>
      <c r="R575" s="1169"/>
      <c r="S575" s="1169"/>
      <c r="T575" s="1171"/>
      <c r="U575" s="1169"/>
    </row>
    <row r="576" spans="2:23" x14ac:dyDescent="0.2">
      <c r="E576" s="1170"/>
      <c r="F576" s="1169"/>
      <c r="G576" s="1169"/>
      <c r="H576" s="1169"/>
      <c r="I576" s="1169"/>
      <c r="J576" s="1169"/>
      <c r="K576" s="1169"/>
      <c r="L576" s="1171"/>
      <c r="M576" s="1170"/>
      <c r="N576" s="1169"/>
      <c r="O576" s="1169"/>
      <c r="P576" s="1169"/>
      <c r="Q576" s="1169"/>
      <c r="R576" s="1169"/>
      <c r="S576" s="1169"/>
      <c r="T576" s="1171"/>
      <c r="U576" s="1169"/>
    </row>
    <row r="577" spans="2:28" x14ac:dyDescent="0.2">
      <c r="E577" s="1170"/>
      <c r="F577" s="1169"/>
      <c r="G577" s="1169"/>
      <c r="H577" s="1169"/>
      <c r="I577" s="1169"/>
      <c r="J577" s="1169"/>
      <c r="L577" s="1171"/>
      <c r="M577" s="1170"/>
      <c r="N577" s="1169"/>
      <c r="O577" s="1169"/>
      <c r="P577" s="1169"/>
      <c r="Q577" s="1169"/>
      <c r="R577" s="1169"/>
      <c r="T577" s="1171"/>
      <c r="U577" s="1169"/>
    </row>
    <row r="578" spans="2:28" x14ac:dyDescent="0.2">
      <c r="E578" s="1170"/>
      <c r="F578" s="1169"/>
      <c r="G578" s="1169"/>
      <c r="H578" s="1169"/>
      <c r="I578" s="1169"/>
      <c r="J578" s="1169"/>
      <c r="K578" s="1169"/>
      <c r="L578" s="1171"/>
      <c r="M578" s="1170"/>
      <c r="N578" s="1169"/>
      <c r="O578" s="1169"/>
      <c r="P578" s="1169"/>
      <c r="Q578" s="1169"/>
      <c r="R578" s="1169"/>
      <c r="S578" s="1169"/>
      <c r="T578" s="1171"/>
      <c r="U578" s="1169"/>
    </row>
    <row r="579" spans="2:28" x14ac:dyDescent="0.2">
      <c r="E579" s="1170"/>
      <c r="F579" s="1169"/>
      <c r="G579" s="1169"/>
      <c r="H579" s="1169"/>
      <c r="I579" s="1169"/>
      <c r="J579" s="1169"/>
      <c r="K579" s="1169"/>
      <c r="L579" s="1171"/>
      <c r="M579" s="1170"/>
      <c r="N579" s="1169"/>
      <c r="O579" s="1169"/>
      <c r="P579" s="1169"/>
      <c r="Q579" s="1169"/>
      <c r="R579" s="1169"/>
      <c r="S579" s="1169"/>
      <c r="T579" s="1171"/>
      <c r="U579" s="1169"/>
    </row>
    <row r="580" spans="2:28" x14ac:dyDescent="0.2">
      <c r="E580" s="1170"/>
      <c r="F580" s="1169"/>
      <c r="G580" s="1169"/>
      <c r="H580" s="1169"/>
      <c r="I580" s="1169"/>
      <c r="J580" s="1169"/>
      <c r="K580" s="1169"/>
      <c r="L580" s="1171"/>
      <c r="M580" s="1170"/>
      <c r="N580" s="1169"/>
      <c r="O580" s="1169"/>
      <c r="P580" s="1169"/>
      <c r="Q580" s="1169"/>
      <c r="R580" s="1169"/>
      <c r="S580" s="1169"/>
      <c r="T580" s="1171"/>
      <c r="U580" s="1169"/>
    </row>
    <row r="581" spans="2:28" x14ac:dyDescent="0.2">
      <c r="E581" s="1170"/>
      <c r="F581" s="1169"/>
      <c r="G581" s="1169"/>
      <c r="H581" s="1169"/>
      <c r="I581" s="1169"/>
      <c r="J581" s="1169"/>
      <c r="K581" s="1169"/>
      <c r="L581" s="1171"/>
      <c r="M581" s="1170"/>
      <c r="N581" s="1169"/>
      <c r="O581" s="1169"/>
      <c r="P581" s="1169"/>
      <c r="Q581" s="1169"/>
      <c r="R581" s="1169"/>
      <c r="S581" s="1169"/>
      <c r="T581" s="1171"/>
      <c r="U581" s="1169"/>
    </row>
    <row r="582" spans="2:28" x14ac:dyDescent="0.2">
      <c r="E582" s="1170"/>
      <c r="F582" s="1169"/>
      <c r="G582" s="1169"/>
      <c r="H582" s="1169"/>
      <c r="I582" s="1169"/>
      <c r="J582" s="1169"/>
      <c r="K582" s="1169"/>
      <c r="L582" s="1171"/>
      <c r="M582" s="1170"/>
      <c r="N582" s="1169"/>
      <c r="O582" s="1169"/>
      <c r="P582" s="1169"/>
      <c r="Q582" s="1169"/>
      <c r="R582" s="1169"/>
      <c r="S582" s="1169"/>
      <c r="T582" s="1171"/>
      <c r="U582" s="1169"/>
    </row>
    <row r="583" spans="2:28" x14ac:dyDescent="0.2">
      <c r="E583" s="1170"/>
      <c r="F583" s="1178"/>
      <c r="G583" s="1169"/>
      <c r="H583" s="1169"/>
      <c r="I583" s="1169"/>
      <c r="J583" s="1169"/>
      <c r="K583" s="1169"/>
      <c r="L583" s="1171"/>
      <c r="M583" s="1170"/>
      <c r="N583" s="1178"/>
      <c r="O583" s="1169"/>
      <c r="P583" s="1169"/>
      <c r="Q583" s="1169"/>
      <c r="R583" s="1169"/>
      <c r="S583" s="1169"/>
      <c r="T583" s="1171"/>
      <c r="U583" s="1169"/>
    </row>
    <row r="584" spans="2:28" ht="14.25" x14ac:dyDescent="0.2">
      <c r="E584" s="1170"/>
      <c r="F584" s="1179"/>
      <c r="G584" s="1169"/>
      <c r="H584" s="1169"/>
      <c r="I584" s="1169"/>
      <c r="J584" s="1169"/>
      <c r="K584" s="1169"/>
      <c r="L584" s="1171"/>
      <c r="M584" s="1170"/>
      <c r="N584" s="1179"/>
      <c r="O584" s="1169"/>
      <c r="P584" s="1169"/>
      <c r="Q584" s="1169"/>
      <c r="R584" s="1169"/>
      <c r="S584" s="1169"/>
      <c r="T584" s="1171"/>
      <c r="U584" s="1169"/>
    </row>
    <row r="585" spans="2:28" x14ac:dyDescent="0.2">
      <c r="E585" s="1170"/>
      <c r="F585" s="1176"/>
      <c r="G585" s="1169"/>
      <c r="H585" s="1169"/>
      <c r="I585" s="1169"/>
      <c r="J585" s="1169"/>
      <c r="K585" s="1169"/>
      <c r="L585" s="1171"/>
      <c r="M585" s="1170"/>
      <c r="N585" s="1176"/>
      <c r="O585" s="1169"/>
      <c r="P585" s="1169"/>
      <c r="Q585" s="1169"/>
      <c r="R585" s="1169"/>
      <c r="S585" s="1169"/>
      <c r="T585" s="1171"/>
      <c r="U585" s="1169"/>
      <c r="Y585" s="1158">
        <f>G565+O565</f>
        <v>0</v>
      </c>
      <c r="Z585" s="1159">
        <f>O564+G564</f>
        <v>0</v>
      </c>
      <c r="AA585" s="1180">
        <f>(IF(G565&lt;0.2,G564,0))+(IF(O565&lt;0.2,O564,0))</f>
        <v>0</v>
      </c>
      <c r="AB585" s="1158">
        <f>G566+O566</f>
        <v>0</v>
      </c>
    </row>
    <row r="586" spans="2:28" ht="13.5" thickBot="1" x14ac:dyDescent="0.25">
      <c r="E586" s="1181"/>
      <c r="F586" s="1182"/>
      <c r="G586" s="1182"/>
      <c r="H586" s="1182"/>
      <c r="I586" s="1182"/>
      <c r="J586" s="1182"/>
      <c r="K586" s="1182"/>
      <c r="L586" s="1183"/>
      <c r="M586" s="1181"/>
      <c r="N586" s="1182"/>
      <c r="O586" s="1182"/>
      <c r="P586" s="1182"/>
      <c r="Q586" s="1182"/>
      <c r="R586" s="1182"/>
      <c r="S586" s="1182"/>
      <c r="T586" s="1183"/>
      <c r="U586" s="1169"/>
    </row>
    <row r="587" spans="2:28" ht="26.25" x14ac:dyDescent="0.2">
      <c r="E587" s="1167">
        <f>M562+1</f>
        <v>43</v>
      </c>
      <c r="F587" s="3454" t="s">
        <v>28178</v>
      </c>
      <c r="G587" s="3455"/>
      <c r="H587" s="3466" t="str">
        <f>Liste!B420&amp;" ("&amp;Liste!C420&amp;")"</f>
        <v>Konsole r0 GCC 300mm verzinkt (0308018)</v>
      </c>
      <c r="I587" s="3466"/>
      <c r="J587" s="3466"/>
      <c r="K587" s="3467"/>
      <c r="L587" s="1168">
        <f>IF(G590&gt;0.2,G590,0)</f>
        <v>0</v>
      </c>
      <c r="M587" s="1167">
        <f>E587+1</f>
        <v>44</v>
      </c>
      <c r="N587" s="3454" t="s">
        <v>28178</v>
      </c>
      <c r="O587" s="3455"/>
      <c r="P587" s="3466" t="str">
        <f>Liste!B413&amp;" ("&amp;Liste!C413&amp;")"</f>
        <v>Konsole r0 GCC 400mm verzinkt (0308025)</v>
      </c>
      <c r="Q587" s="3466"/>
      <c r="R587" s="3466"/>
      <c r="S587" s="3467"/>
      <c r="T587" s="1168">
        <f>IF(O590&gt;0.2,O590,0)</f>
        <v>0</v>
      </c>
      <c r="U587" s="1169"/>
    </row>
    <row r="588" spans="2:28" x14ac:dyDescent="0.2">
      <c r="B588" s="1954" t="s">
        <v>29900</v>
      </c>
      <c r="C588" s="1955">
        <f>Liste!F420</f>
        <v>211</v>
      </c>
      <c r="E588" s="1170"/>
      <c r="F588" s="1169"/>
      <c r="G588" s="1169"/>
      <c r="H588" s="1169"/>
      <c r="I588" s="3451"/>
      <c r="J588" s="3451"/>
      <c r="K588" s="1169"/>
      <c r="L588" s="1171"/>
      <c r="M588" s="1170"/>
      <c r="N588" s="1169"/>
      <c r="O588" s="1169"/>
      <c r="P588" s="1169"/>
      <c r="Q588" s="3451"/>
      <c r="R588" s="3451"/>
      <c r="S588" s="1169"/>
      <c r="T588" s="1171"/>
      <c r="U588" s="1169"/>
      <c r="V588" s="1954" t="s">
        <v>29900</v>
      </c>
      <c r="W588" s="1955">
        <f>Liste!F413</f>
        <v>211</v>
      </c>
    </row>
    <row r="589" spans="2:28" ht="15.75" x14ac:dyDescent="0.2">
      <c r="B589" s="1954" t="s">
        <v>29901</v>
      </c>
      <c r="C589" s="1955">
        <f>Liste!E420</f>
        <v>482</v>
      </c>
      <c r="E589" s="1170"/>
      <c r="F589" s="1172" t="s">
        <v>27904</v>
      </c>
      <c r="G589" s="1173">
        <f>Liste!D420*Lackliste!L18</f>
        <v>0</v>
      </c>
      <c r="H589" s="1169" t="s">
        <v>28179</v>
      </c>
      <c r="I589" s="1169"/>
      <c r="J589" s="1169"/>
      <c r="K589" s="1169"/>
      <c r="L589" s="1171"/>
      <c r="M589" s="1170"/>
      <c r="N589" s="1172" t="s">
        <v>27904</v>
      </c>
      <c r="O589" s="1173">
        <f>Liste!D413*Lackliste!L18</f>
        <v>0</v>
      </c>
      <c r="P589" s="1169" t="s">
        <v>28179</v>
      </c>
      <c r="Q589" s="1169"/>
      <c r="R589" s="1169"/>
      <c r="S589" s="1169"/>
      <c r="T589" s="1171"/>
      <c r="U589" s="1169"/>
      <c r="V589" s="1954" t="s">
        <v>29901</v>
      </c>
      <c r="W589" s="1955">
        <f>Liste!E413</f>
        <v>582</v>
      </c>
    </row>
    <row r="590" spans="2:28" ht="15.75" x14ac:dyDescent="0.2">
      <c r="B590" s="1954" t="s">
        <v>31205</v>
      </c>
      <c r="C590" s="1956">
        <f>C588*C589/1000/1000</f>
        <v>0.101702</v>
      </c>
      <c r="E590" s="1170"/>
      <c r="F590" s="1172" t="s">
        <v>28180</v>
      </c>
      <c r="G590" s="1173">
        <f>IF(G589&gt;0,G589*C590*C591,0)</f>
        <v>0</v>
      </c>
      <c r="H590" s="1169" t="s">
        <v>28181</v>
      </c>
      <c r="K590" s="1172" t="str">
        <f>IF(G590&lt;&gt;0,IF(G590&lt;0.2,"Kleinteil, Gerundete Fläche:",""),"")</f>
        <v/>
      </c>
      <c r="L590" s="1174">
        <f>IF(K590&lt;&gt;"",0.2,0)</f>
        <v>0</v>
      </c>
      <c r="M590" s="1170"/>
      <c r="N590" s="1172" t="s">
        <v>28180</v>
      </c>
      <c r="O590" s="1173">
        <f>IF(O589&gt;0,O589*W590*W591,0)</f>
        <v>0</v>
      </c>
      <c r="P590" s="1169" t="s">
        <v>28181</v>
      </c>
      <c r="S590" s="1172" t="str">
        <f>IF(O590&lt;&gt;0,IF(O590&lt;0.2,"Kleinteil, Gerundete Fläche:",""),"")</f>
        <v/>
      </c>
      <c r="T590" s="1175">
        <f>IF(S590&lt;&gt;"",0.2,0)</f>
        <v>0</v>
      </c>
      <c r="U590" s="1169"/>
      <c r="V590" s="1954" t="s">
        <v>31205</v>
      </c>
      <c r="W590" s="1956">
        <f>W588*W589/1000/1000</f>
        <v>0.12280200000000001</v>
      </c>
    </row>
    <row r="591" spans="2:28" ht="15.75" x14ac:dyDescent="0.2">
      <c r="B591" s="1954" t="s">
        <v>29902</v>
      </c>
      <c r="C591" s="1957">
        <v>2</v>
      </c>
      <c r="E591" s="1170"/>
      <c r="F591" s="1172" t="s">
        <v>28182</v>
      </c>
      <c r="G591" s="1173">
        <f>IF(G589&gt;0,G589*C590*C592,0)</f>
        <v>0</v>
      </c>
      <c r="H591" s="1169" t="s">
        <v>28181</v>
      </c>
      <c r="I591" s="1186" t="s">
        <v>28185</v>
      </c>
      <c r="J591" s="1169"/>
      <c r="K591" s="1169"/>
      <c r="L591" s="1171"/>
      <c r="M591" s="1170"/>
      <c r="N591" s="1172" t="s">
        <v>28182</v>
      </c>
      <c r="O591" s="1173">
        <f>IF(O589&gt;0,O589*W590*W592,0)</f>
        <v>0</v>
      </c>
      <c r="P591" s="1169" t="s">
        <v>28181</v>
      </c>
      <c r="Q591" s="1186" t="s">
        <v>28185</v>
      </c>
      <c r="R591" s="1169"/>
      <c r="S591" s="1169"/>
      <c r="T591" s="1171"/>
      <c r="U591" s="1169"/>
      <c r="V591" s="1954" t="s">
        <v>29902</v>
      </c>
      <c r="W591" s="1957">
        <v>2</v>
      </c>
    </row>
    <row r="592" spans="2:28" ht="14.25" x14ac:dyDescent="0.2">
      <c r="B592" s="1954" t="s">
        <v>29903</v>
      </c>
      <c r="C592" s="1957">
        <v>0</v>
      </c>
      <c r="E592" s="1170"/>
      <c r="F592" s="1176"/>
      <c r="G592" s="1169"/>
      <c r="H592" s="1169"/>
      <c r="I592" s="1169"/>
      <c r="J592" s="1169"/>
      <c r="K592" s="1169"/>
      <c r="L592" s="1171"/>
      <c r="M592" s="1170"/>
      <c r="N592" s="1176"/>
      <c r="O592" s="1169"/>
      <c r="P592" s="1169"/>
      <c r="Q592" s="1169"/>
      <c r="R592" s="1169"/>
      <c r="S592" s="1169"/>
      <c r="T592" s="1171"/>
      <c r="U592" s="1169"/>
      <c r="V592" s="1954" t="s">
        <v>29903</v>
      </c>
      <c r="W592" s="1957">
        <v>0</v>
      </c>
    </row>
    <row r="593" spans="5:21" x14ac:dyDescent="0.2">
      <c r="E593" s="1170"/>
      <c r="F593" s="1169"/>
      <c r="G593" s="1169"/>
      <c r="H593" s="1169"/>
      <c r="I593" s="1169"/>
      <c r="J593" s="1169"/>
      <c r="K593" s="1169"/>
      <c r="L593" s="1171"/>
      <c r="M593" s="1170"/>
      <c r="N593" s="1169"/>
      <c r="O593" s="1169"/>
      <c r="P593" s="1169"/>
      <c r="Q593" s="1169"/>
      <c r="R593" s="1169"/>
      <c r="S593" s="1169"/>
      <c r="T593" s="1171"/>
      <c r="U593" s="1169"/>
    </row>
    <row r="594" spans="5:21" ht="16.5" x14ac:dyDescent="0.2">
      <c r="E594" s="1170"/>
      <c r="F594" s="1177" t="s">
        <v>28183</v>
      </c>
      <c r="G594" s="1169"/>
      <c r="H594" s="1169"/>
      <c r="I594" s="1169"/>
      <c r="J594" s="1169"/>
      <c r="K594" s="1169"/>
      <c r="L594" s="1171"/>
      <c r="M594" s="1170"/>
      <c r="N594" s="1177" t="s">
        <v>28183</v>
      </c>
      <c r="O594" s="1169"/>
      <c r="P594" s="1169"/>
      <c r="Q594" s="1169"/>
      <c r="R594" s="1169"/>
      <c r="S594" s="1169"/>
      <c r="T594" s="1171"/>
      <c r="U594" s="1169"/>
    </row>
    <row r="595" spans="5:21" x14ac:dyDescent="0.2">
      <c r="E595" s="3468"/>
      <c r="F595" s="3469"/>
      <c r="G595" s="3469"/>
      <c r="H595" s="3469"/>
      <c r="I595" s="3469"/>
      <c r="J595" s="3469"/>
      <c r="K595" s="3469"/>
      <c r="L595" s="3470"/>
      <c r="M595" s="3468"/>
      <c r="N595" s="3469"/>
      <c r="O595" s="3469"/>
      <c r="P595" s="3469"/>
      <c r="Q595" s="3469"/>
      <c r="R595" s="3469"/>
      <c r="S595" s="3469"/>
      <c r="T595" s="3470"/>
      <c r="U595" s="1169"/>
    </row>
    <row r="596" spans="5:21" x14ac:dyDescent="0.2">
      <c r="E596" s="3468"/>
      <c r="F596" s="3469"/>
      <c r="G596" s="3469"/>
      <c r="H596" s="3469"/>
      <c r="I596" s="3469"/>
      <c r="J596" s="3469"/>
      <c r="K596" s="3469"/>
      <c r="L596" s="3470"/>
      <c r="M596" s="3468"/>
      <c r="N596" s="3469"/>
      <c r="O596" s="3469"/>
      <c r="P596" s="3469"/>
      <c r="Q596" s="3469"/>
      <c r="R596" s="3469"/>
      <c r="S596" s="3469"/>
      <c r="T596" s="3470"/>
      <c r="U596" s="1169"/>
    </row>
    <row r="597" spans="5:21" x14ac:dyDescent="0.2">
      <c r="E597" s="3468"/>
      <c r="F597" s="3469"/>
      <c r="G597" s="3469"/>
      <c r="H597" s="3469"/>
      <c r="I597" s="3469"/>
      <c r="J597" s="3469"/>
      <c r="K597" s="3469"/>
      <c r="L597" s="3470"/>
      <c r="M597" s="3468"/>
      <c r="N597" s="3469"/>
      <c r="O597" s="3469"/>
      <c r="P597" s="3469"/>
      <c r="Q597" s="3469"/>
      <c r="R597" s="3469"/>
      <c r="S597" s="3469"/>
      <c r="T597" s="3470"/>
      <c r="U597" s="1169"/>
    </row>
    <row r="598" spans="5:21" x14ac:dyDescent="0.2">
      <c r="E598" s="3468"/>
      <c r="F598" s="3469"/>
      <c r="G598" s="3469"/>
      <c r="H598" s="3469"/>
      <c r="I598" s="3469"/>
      <c r="J598" s="3469"/>
      <c r="K598" s="3469"/>
      <c r="L598" s="3470"/>
      <c r="M598" s="3468"/>
      <c r="N598" s="3469"/>
      <c r="O598" s="3469"/>
      <c r="P598" s="3469"/>
      <c r="Q598" s="3469"/>
      <c r="R598" s="3469"/>
      <c r="S598" s="3469"/>
      <c r="T598" s="3470"/>
      <c r="U598" s="1169"/>
    </row>
    <row r="599" spans="5:21" x14ac:dyDescent="0.2">
      <c r="E599" s="3468"/>
      <c r="F599" s="3469"/>
      <c r="G599" s="3469"/>
      <c r="H599" s="3469"/>
      <c r="I599" s="3469"/>
      <c r="J599" s="3469"/>
      <c r="K599" s="3469"/>
      <c r="L599" s="3470"/>
      <c r="M599" s="3468"/>
      <c r="N599" s="3469"/>
      <c r="O599" s="3469"/>
      <c r="P599" s="3469"/>
      <c r="Q599" s="3469"/>
      <c r="R599" s="3469"/>
      <c r="S599" s="3469"/>
      <c r="T599" s="3470"/>
      <c r="U599" s="1169"/>
    </row>
    <row r="600" spans="5:21" x14ac:dyDescent="0.2">
      <c r="E600" s="3468"/>
      <c r="F600" s="3469"/>
      <c r="G600" s="3469"/>
      <c r="H600" s="3469"/>
      <c r="I600" s="3469"/>
      <c r="J600" s="3469"/>
      <c r="K600" s="3469"/>
      <c r="L600" s="3470"/>
      <c r="M600" s="3468"/>
      <c r="N600" s="3469"/>
      <c r="O600" s="3469"/>
      <c r="P600" s="3469"/>
      <c r="Q600" s="3469"/>
      <c r="R600" s="3469"/>
      <c r="S600" s="3469"/>
      <c r="T600" s="3470"/>
      <c r="U600" s="1169"/>
    </row>
    <row r="601" spans="5:21" x14ac:dyDescent="0.2">
      <c r="E601" s="3468"/>
      <c r="F601" s="3469"/>
      <c r="G601" s="3469"/>
      <c r="H601" s="3469"/>
      <c r="I601" s="3469"/>
      <c r="J601" s="3469"/>
      <c r="K601" s="3469"/>
      <c r="L601" s="3470"/>
      <c r="M601" s="3468"/>
      <c r="N601" s="3469"/>
      <c r="O601" s="3469"/>
      <c r="P601" s="3469"/>
      <c r="Q601" s="3469"/>
      <c r="R601" s="3469"/>
      <c r="S601" s="3469"/>
      <c r="T601" s="3470"/>
      <c r="U601" s="1169"/>
    </row>
    <row r="602" spans="5:21" x14ac:dyDescent="0.2">
      <c r="E602" s="3468"/>
      <c r="F602" s="3469"/>
      <c r="G602" s="3469"/>
      <c r="H602" s="3469"/>
      <c r="I602" s="3469"/>
      <c r="J602" s="3469"/>
      <c r="K602" s="3469"/>
      <c r="L602" s="3470"/>
      <c r="M602" s="3468"/>
      <c r="N602" s="3469"/>
      <c r="O602" s="3469"/>
      <c r="P602" s="3469"/>
      <c r="Q602" s="3469"/>
      <c r="R602" s="3469"/>
      <c r="S602" s="3469"/>
      <c r="T602" s="3470"/>
      <c r="U602" s="1169"/>
    </row>
    <row r="603" spans="5:21" x14ac:dyDescent="0.2">
      <c r="E603" s="3468"/>
      <c r="F603" s="3469"/>
      <c r="G603" s="3469"/>
      <c r="H603" s="3469"/>
      <c r="I603" s="3469"/>
      <c r="J603" s="3469"/>
      <c r="K603" s="3469"/>
      <c r="L603" s="3470"/>
      <c r="M603" s="3468"/>
      <c r="N603" s="3469"/>
      <c r="O603" s="3469"/>
      <c r="P603" s="3469"/>
      <c r="Q603" s="3469"/>
      <c r="R603" s="3469"/>
      <c r="S603" s="3469"/>
      <c r="T603" s="3470"/>
      <c r="U603" s="1169"/>
    </row>
    <row r="604" spans="5:21" x14ac:dyDescent="0.2">
      <c r="E604" s="3468"/>
      <c r="F604" s="3469"/>
      <c r="G604" s="3469"/>
      <c r="H604" s="3469"/>
      <c r="I604" s="3469"/>
      <c r="J604" s="3469"/>
      <c r="K604" s="3469"/>
      <c r="L604" s="3470"/>
      <c r="M604" s="3468"/>
      <c r="N604" s="3469"/>
      <c r="O604" s="3469"/>
      <c r="P604" s="3469"/>
      <c r="Q604" s="3469"/>
      <c r="R604" s="3469"/>
      <c r="S604" s="3469"/>
      <c r="T604" s="3470"/>
      <c r="U604" s="1169"/>
    </row>
    <row r="605" spans="5:21" x14ac:dyDescent="0.2">
      <c r="E605" s="3468"/>
      <c r="F605" s="3469"/>
      <c r="G605" s="3469"/>
      <c r="H605" s="3469"/>
      <c r="I605" s="3469"/>
      <c r="J605" s="3469"/>
      <c r="K605" s="3469"/>
      <c r="L605" s="3470"/>
      <c r="M605" s="3468"/>
      <c r="N605" s="3469"/>
      <c r="O605" s="3469"/>
      <c r="P605" s="3469"/>
      <c r="Q605" s="3469"/>
      <c r="R605" s="3469"/>
      <c r="S605" s="3469"/>
      <c r="T605" s="3470"/>
      <c r="U605" s="1169"/>
    </row>
    <row r="606" spans="5:21" x14ac:dyDescent="0.2">
      <c r="E606" s="3468"/>
      <c r="F606" s="3469"/>
      <c r="G606" s="3469"/>
      <c r="H606" s="3469"/>
      <c r="I606" s="3469"/>
      <c r="J606" s="3469"/>
      <c r="K606" s="3469"/>
      <c r="L606" s="3470"/>
      <c r="M606" s="3468"/>
      <c r="N606" s="3469"/>
      <c r="O606" s="3469"/>
      <c r="P606" s="3469"/>
      <c r="Q606" s="3469"/>
      <c r="R606" s="3469"/>
      <c r="S606" s="3469"/>
      <c r="T606" s="3470"/>
      <c r="U606" s="1169"/>
    </row>
    <row r="607" spans="5:21" x14ac:dyDescent="0.2">
      <c r="E607" s="3468"/>
      <c r="F607" s="3469"/>
      <c r="G607" s="3469"/>
      <c r="H607" s="3469"/>
      <c r="I607" s="3469"/>
      <c r="J607" s="3469"/>
      <c r="K607" s="3469"/>
      <c r="L607" s="3470"/>
      <c r="M607" s="3468"/>
      <c r="N607" s="3469"/>
      <c r="O607" s="3469"/>
      <c r="P607" s="3469"/>
      <c r="Q607" s="3469"/>
      <c r="R607" s="3469"/>
      <c r="S607" s="3469"/>
      <c r="T607" s="3470"/>
      <c r="U607" s="1169"/>
    </row>
    <row r="608" spans="5:21" x14ac:dyDescent="0.2">
      <c r="E608" s="3468"/>
      <c r="F608" s="3469"/>
      <c r="G608" s="3469"/>
      <c r="H608" s="3469"/>
      <c r="I608" s="3469"/>
      <c r="J608" s="3469"/>
      <c r="K608" s="3469"/>
      <c r="L608" s="3470"/>
      <c r="M608" s="3468"/>
      <c r="N608" s="3469"/>
      <c r="O608" s="3469"/>
      <c r="P608" s="3469"/>
      <c r="Q608" s="3469"/>
      <c r="R608" s="3469"/>
      <c r="S608" s="3469"/>
      <c r="T608" s="3470"/>
      <c r="U608" s="1169"/>
    </row>
    <row r="609" spans="2:28" x14ac:dyDescent="0.2">
      <c r="E609" s="3468"/>
      <c r="F609" s="3469"/>
      <c r="G609" s="3469"/>
      <c r="H609" s="3469"/>
      <c r="I609" s="3469"/>
      <c r="J609" s="3469"/>
      <c r="K609" s="3469"/>
      <c r="L609" s="3470"/>
      <c r="M609" s="3468"/>
      <c r="N609" s="3469"/>
      <c r="O609" s="3469"/>
      <c r="P609" s="3469"/>
      <c r="Q609" s="3469"/>
      <c r="R609" s="3469"/>
      <c r="S609" s="3469"/>
      <c r="T609" s="3470"/>
      <c r="U609" s="1169"/>
    </row>
    <row r="610" spans="2:28" x14ac:dyDescent="0.2">
      <c r="E610" s="3468"/>
      <c r="F610" s="3469"/>
      <c r="G610" s="3469"/>
      <c r="H610" s="3469"/>
      <c r="I610" s="3469"/>
      <c r="J610" s="3469"/>
      <c r="K610" s="3469"/>
      <c r="L610" s="3470"/>
      <c r="M610" s="3468"/>
      <c r="N610" s="3469"/>
      <c r="O610" s="3469"/>
      <c r="P610" s="3469"/>
      <c r="Q610" s="3469"/>
      <c r="R610" s="3469"/>
      <c r="S610" s="3469"/>
      <c r="T610" s="3470"/>
      <c r="U610" s="1169"/>
      <c r="Y610" s="1158">
        <f>G590+O590</f>
        <v>0</v>
      </c>
      <c r="Z610" s="1159">
        <f>O589+G589</f>
        <v>0</v>
      </c>
      <c r="AA610" s="1180">
        <f>(IF(G590&lt;0.2,G589,0))+(IF(O590&lt;0.2,O589,0))</f>
        <v>0</v>
      </c>
      <c r="AB610" s="1158">
        <f>G591+O591</f>
        <v>0</v>
      </c>
    </row>
    <row r="611" spans="2:28" ht="13.5" thickBot="1" x14ac:dyDescent="0.25">
      <c r="E611" s="3471"/>
      <c r="F611" s="3472"/>
      <c r="G611" s="3472"/>
      <c r="H611" s="3472"/>
      <c r="I611" s="3472"/>
      <c r="J611" s="3472"/>
      <c r="K611" s="3472"/>
      <c r="L611" s="3473"/>
      <c r="M611" s="3471"/>
      <c r="N611" s="3472"/>
      <c r="O611" s="3472"/>
      <c r="P611" s="3472"/>
      <c r="Q611" s="3472"/>
      <c r="R611" s="3472"/>
      <c r="S611" s="3472"/>
      <c r="T611" s="3473"/>
      <c r="U611" s="1169"/>
    </row>
    <row r="612" spans="2:28" ht="26.25" x14ac:dyDescent="0.2">
      <c r="E612" s="1167">
        <f>M587+1</f>
        <v>45</v>
      </c>
      <c r="F612" s="3454" t="s">
        <v>28178</v>
      </c>
      <c r="G612" s="3455"/>
      <c r="H612" s="3466" t="str">
        <f>Liste!B406&amp;" ("&amp;Liste!C406&amp;")"</f>
        <v>Konsole r0 GCC 500mm verzinkt (0308026)</v>
      </c>
      <c r="I612" s="3466"/>
      <c r="J612" s="3466"/>
      <c r="K612" s="3467"/>
      <c r="L612" s="1168">
        <f>IF(G615&gt;0.2,G615,0)</f>
        <v>0</v>
      </c>
      <c r="M612" s="1167">
        <f>E612+1</f>
        <v>46</v>
      </c>
      <c r="N612" s="3454" t="s">
        <v>28178</v>
      </c>
      <c r="O612" s="3455"/>
      <c r="P612" s="3466" t="str">
        <f>"Kantenschutzwinkel "&amp;"("&amp;Liste!C458&amp;")"</f>
        <v>Kantenschutzwinkel (0308282)</v>
      </c>
      <c r="Q612" s="3466"/>
      <c r="R612" s="3466"/>
      <c r="S612" s="3467"/>
      <c r="T612" s="1168">
        <f>IF(O615&gt;0.2,O615,0)</f>
        <v>0</v>
      </c>
      <c r="U612" s="1169"/>
    </row>
    <row r="613" spans="2:28" x14ac:dyDescent="0.2">
      <c r="B613" s="1954" t="s">
        <v>29900</v>
      </c>
      <c r="C613" s="1955">
        <f>Liste!F406</f>
        <v>211</v>
      </c>
      <c r="E613" s="1170"/>
      <c r="F613" s="1169"/>
      <c r="G613" s="1169"/>
      <c r="I613" s="3451"/>
      <c r="J613" s="3451"/>
      <c r="K613" s="1169"/>
      <c r="L613" s="1171"/>
      <c r="M613" s="1170"/>
      <c r="N613" s="1169"/>
      <c r="O613" s="1169"/>
      <c r="P613" s="1169"/>
      <c r="Q613" s="1169"/>
      <c r="R613" s="1169"/>
      <c r="S613" s="1169"/>
      <c r="T613" s="1171"/>
      <c r="U613" s="1169"/>
      <c r="V613" s="1954" t="s">
        <v>29900</v>
      </c>
      <c r="W613" s="1955">
        <f>Liste!F458</f>
        <v>1100</v>
      </c>
    </row>
    <row r="614" spans="2:28" ht="15.75" x14ac:dyDescent="0.2">
      <c r="B614" s="1954" t="s">
        <v>29901</v>
      </c>
      <c r="C614" s="1955">
        <f>Liste!E406</f>
        <v>682</v>
      </c>
      <c r="E614" s="1170"/>
      <c r="F614" s="1172" t="s">
        <v>27904</v>
      </c>
      <c r="G614" s="1173">
        <f>Liste!D406*Lackliste!L18</f>
        <v>0</v>
      </c>
      <c r="H614" s="1169" t="s">
        <v>28179</v>
      </c>
      <c r="I614" s="1169"/>
      <c r="J614" s="1169"/>
      <c r="K614" s="1169"/>
      <c r="L614" s="1171"/>
      <c r="M614" s="1170"/>
      <c r="N614" s="1172" t="s">
        <v>27904</v>
      </c>
      <c r="O614" s="1173">
        <f>IF(J18="ja",Liste!D456,0)</f>
        <v>0</v>
      </c>
      <c r="P614" s="1169" t="s">
        <v>28179</v>
      </c>
      <c r="Q614" s="1169"/>
      <c r="R614" s="1169"/>
      <c r="S614" s="1169"/>
      <c r="T614" s="1171"/>
      <c r="U614" s="1169"/>
      <c r="V614" s="1954" t="s">
        <v>29901</v>
      </c>
      <c r="W614" s="1955">
        <f>Liste!E458</f>
        <v>58.04</v>
      </c>
    </row>
    <row r="615" spans="2:28" ht="15.75" x14ac:dyDescent="0.2">
      <c r="B615" s="1954" t="s">
        <v>31205</v>
      </c>
      <c r="C615" s="1956">
        <f>C613*C614/1000/1000</f>
        <v>0.14390199999999997</v>
      </c>
      <c r="E615" s="1170"/>
      <c r="F615" s="1172" t="s">
        <v>28180</v>
      </c>
      <c r="G615" s="1173">
        <f>IF(G614&gt;0,G614*C615*C616,0)</f>
        <v>0</v>
      </c>
      <c r="H615" s="1169" t="s">
        <v>28181</v>
      </c>
      <c r="K615" s="1172" t="str">
        <f>IF(G615&lt;&gt;0,IF(G615&lt;0.2,"Kleinteil, Gerundete Fläche:",""),"")</f>
        <v/>
      </c>
      <c r="L615" s="1174">
        <f>IF(K615&lt;&gt;"",0.2,0)</f>
        <v>0</v>
      </c>
      <c r="M615" s="1170"/>
      <c r="N615" s="1172" t="s">
        <v>28180</v>
      </c>
      <c r="O615" s="1173">
        <f>IF(O614&gt;0,O614*W615*W616,0)</f>
        <v>0</v>
      </c>
      <c r="P615" s="1169" t="s">
        <v>28181</v>
      </c>
      <c r="S615" s="1172" t="str">
        <f>IF(O615&lt;&gt;0,IF(O615&lt;0.2,"Kleinteil, Gerundete Fläche:",""),"")</f>
        <v/>
      </c>
      <c r="T615" s="1175">
        <f>IF(S615&lt;&gt;"",0.2,0)</f>
        <v>0</v>
      </c>
      <c r="U615" s="1169"/>
      <c r="V615" s="1954" t="s">
        <v>31205</v>
      </c>
      <c r="W615" s="1956">
        <f>W613*W614/1000/1000</f>
        <v>6.3843999999999998E-2</v>
      </c>
    </row>
    <row r="616" spans="2:28" ht="15.75" x14ac:dyDescent="0.2">
      <c r="B616" s="1954" t="s">
        <v>29902</v>
      </c>
      <c r="C616" s="1957">
        <v>2</v>
      </c>
      <c r="E616" s="1170"/>
      <c r="F616" s="1172" t="s">
        <v>28182</v>
      </c>
      <c r="G616" s="1173">
        <f>IF(G614&gt;0,G614*C615*C617,0)</f>
        <v>0</v>
      </c>
      <c r="H616" s="1169" t="s">
        <v>28181</v>
      </c>
      <c r="I616" s="1186" t="s">
        <v>28185</v>
      </c>
      <c r="J616" s="1169"/>
      <c r="K616" s="1169"/>
      <c r="L616" s="1171"/>
      <c r="M616" s="1170"/>
      <c r="N616" s="1172" t="s">
        <v>28182</v>
      </c>
      <c r="O616" s="1173">
        <f>IF(O614&gt;0,O614*W615*W617,0)</f>
        <v>0</v>
      </c>
      <c r="P616" s="1169" t="s">
        <v>28181</v>
      </c>
      <c r="Q616" s="1186" t="s">
        <v>28185</v>
      </c>
      <c r="R616" s="1169"/>
      <c r="S616" s="1169"/>
      <c r="T616" s="1171"/>
      <c r="U616" s="1169"/>
      <c r="V616" s="1954" t="s">
        <v>29902</v>
      </c>
      <c r="W616" s="1957">
        <v>2</v>
      </c>
    </row>
    <row r="617" spans="2:28" ht="14.25" x14ac:dyDescent="0.2">
      <c r="B617" s="1954" t="s">
        <v>29903</v>
      </c>
      <c r="C617" s="1957">
        <v>0</v>
      </c>
      <c r="E617" s="1170"/>
      <c r="F617" s="1176"/>
      <c r="G617" s="1169"/>
      <c r="H617" s="1169"/>
      <c r="I617" s="1169"/>
      <c r="J617" s="1169"/>
      <c r="K617" s="1169"/>
      <c r="L617" s="1171"/>
      <c r="M617" s="1170"/>
      <c r="N617" s="1176"/>
      <c r="O617" s="1169"/>
      <c r="P617" s="1169"/>
      <c r="Q617" s="1169"/>
      <c r="R617" s="1169"/>
      <c r="S617" s="1169"/>
      <c r="T617" s="1171"/>
      <c r="U617" s="1169"/>
      <c r="V617" s="1954" t="s">
        <v>29903</v>
      </c>
      <c r="W617" s="1957">
        <v>0</v>
      </c>
    </row>
    <row r="618" spans="2:28" x14ac:dyDescent="0.2">
      <c r="E618" s="1170"/>
      <c r="F618" s="1169"/>
      <c r="G618" s="1169"/>
      <c r="H618" s="1169"/>
      <c r="I618" s="1169"/>
      <c r="J618" s="1169"/>
      <c r="K618" s="1169"/>
      <c r="L618" s="1171"/>
      <c r="M618" s="1170"/>
      <c r="N618" s="1169"/>
      <c r="O618" s="1169"/>
      <c r="P618" s="1169"/>
      <c r="Q618" s="1169"/>
      <c r="R618" s="1169"/>
      <c r="S618" s="1169"/>
      <c r="T618" s="1171"/>
      <c r="U618" s="1169"/>
    </row>
    <row r="619" spans="2:28" ht="16.5" x14ac:dyDescent="0.2">
      <c r="E619" s="1170"/>
      <c r="F619" s="1177" t="s">
        <v>28183</v>
      </c>
      <c r="G619" s="1169"/>
      <c r="H619" s="1169"/>
      <c r="I619" s="1169"/>
      <c r="J619" s="1169"/>
      <c r="K619" s="1169"/>
      <c r="L619" s="1171"/>
      <c r="M619" s="1170"/>
      <c r="N619" s="1177" t="s">
        <v>28183</v>
      </c>
      <c r="O619" s="1169"/>
      <c r="P619" s="1169"/>
      <c r="Q619" s="1169"/>
      <c r="R619" s="1169"/>
      <c r="S619" s="1169"/>
      <c r="T619" s="1171"/>
      <c r="U619" s="1169"/>
    </row>
    <row r="620" spans="2:28" x14ac:dyDescent="0.2">
      <c r="E620" s="3468"/>
      <c r="F620" s="3469"/>
      <c r="G620" s="3469"/>
      <c r="H620" s="3469"/>
      <c r="I620" s="3469"/>
      <c r="J620" s="3469"/>
      <c r="K620" s="3469"/>
      <c r="L620" s="3470"/>
      <c r="M620" s="1170"/>
      <c r="N620" s="1169"/>
      <c r="O620" s="1169"/>
      <c r="P620" s="1169"/>
      <c r="Q620" s="1169"/>
      <c r="R620" s="1169"/>
      <c r="S620" s="1169"/>
      <c r="T620" s="1171"/>
      <c r="U620" s="1169"/>
    </row>
    <row r="621" spans="2:28" x14ac:dyDescent="0.2">
      <c r="E621" s="3468"/>
      <c r="F621" s="3469"/>
      <c r="G621" s="3469"/>
      <c r="H621" s="3469"/>
      <c r="I621" s="3469"/>
      <c r="J621" s="3469"/>
      <c r="K621" s="3469"/>
      <c r="L621" s="3470"/>
      <c r="M621" s="1170"/>
      <c r="N621" s="1169"/>
      <c r="O621" s="1169"/>
      <c r="P621" s="1169"/>
      <c r="Q621" s="1169"/>
      <c r="R621" s="1169"/>
      <c r="S621" s="1169"/>
      <c r="T621" s="1171"/>
      <c r="U621" s="1169"/>
    </row>
    <row r="622" spans="2:28" x14ac:dyDescent="0.2">
      <c r="E622" s="3468"/>
      <c r="F622" s="3469"/>
      <c r="G622" s="3469"/>
      <c r="H622" s="3469"/>
      <c r="I622" s="3469"/>
      <c r="J622" s="3469"/>
      <c r="K622" s="3469"/>
      <c r="L622" s="3470"/>
      <c r="M622" s="1170"/>
      <c r="N622" s="1169"/>
      <c r="O622" s="1169"/>
      <c r="P622" s="1169"/>
      <c r="Q622" s="1169"/>
      <c r="R622" s="1169"/>
      <c r="S622" s="1169"/>
      <c r="T622" s="1171"/>
      <c r="U622" s="1169"/>
    </row>
    <row r="623" spans="2:28" x14ac:dyDescent="0.2">
      <c r="E623" s="3468"/>
      <c r="F623" s="3469"/>
      <c r="G623" s="3469"/>
      <c r="H623" s="3469"/>
      <c r="I623" s="3469"/>
      <c r="J623" s="3469"/>
      <c r="K623" s="3469"/>
      <c r="L623" s="3470"/>
      <c r="M623" s="1170"/>
      <c r="N623" s="1169"/>
      <c r="O623" s="1169"/>
      <c r="P623" s="1169"/>
      <c r="Q623" s="1169"/>
      <c r="R623" s="1169"/>
      <c r="S623" s="1169"/>
      <c r="T623" s="1171"/>
      <c r="U623" s="1169"/>
    </row>
    <row r="624" spans="2:28" x14ac:dyDescent="0.2">
      <c r="E624" s="3468"/>
      <c r="F624" s="3469"/>
      <c r="G624" s="3469"/>
      <c r="H624" s="3469"/>
      <c r="I624" s="3469"/>
      <c r="J624" s="3469"/>
      <c r="K624" s="3469"/>
      <c r="L624" s="3470"/>
      <c r="M624" s="1170"/>
      <c r="N624" s="1169"/>
      <c r="O624" s="1169"/>
      <c r="Q624" s="1169"/>
      <c r="R624" s="1169"/>
      <c r="S624" s="1169"/>
      <c r="T624" s="1171"/>
      <c r="U624" s="1169"/>
    </row>
    <row r="625" spans="2:28" x14ac:dyDescent="0.2">
      <c r="E625" s="3468"/>
      <c r="F625" s="3469"/>
      <c r="G625" s="3469"/>
      <c r="H625" s="3469"/>
      <c r="I625" s="3469"/>
      <c r="J625" s="3469"/>
      <c r="K625" s="3469"/>
      <c r="L625" s="3470"/>
      <c r="M625" s="1170"/>
      <c r="N625" s="1169"/>
      <c r="O625" s="1169"/>
      <c r="P625" s="1169"/>
      <c r="Q625" s="1169"/>
      <c r="R625" s="1169"/>
      <c r="S625" s="1169"/>
      <c r="T625" s="1171"/>
      <c r="U625" s="1169"/>
    </row>
    <row r="626" spans="2:28" x14ac:dyDescent="0.2">
      <c r="E626" s="3468"/>
      <c r="F626" s="3469"/>
      <c r="G626" s="3469"/>
      <c r="H626" s="3469"/>
      <c r="I626" s="3469"/>
      <c r="J626" s="3469"/>
      <c r="K626" s="3469"/>
      <c r="L626" s="3470"/>
      <c r="M626" s="1170"/>
      <c r="N626" s="1169"/>
      <c r="O626" s="1169"/>
      <c r="P626" s="1169"/>
      <c r="Q626" s="1169"/>
      <c r="R626" s="1169"/>
      <c r="S626" s="1169"/>
      <c r="T626" s="1171"/>
      <c r="U626" s="1169"/>
    </row>
    <row r="627" spans="2:28" x14ac:dyDescent="0.2">
      <c r="E627" s="3468"/>
      <c r="F627" s="3469"/>
      <c r="G627" s="3469"/>
      <c r="H627" s="3469"/>
      <c r="I627" s="3469"/>
      <c r="J627" s="3469"/>
      <c r="K627" s="3469"/>
      <c r="L627" s="3470"/>
      <c r="M627" s="1170"/>
      <c r="N627" s="1169"/>
      <c r="O627" s="1169"/>
      <c r="P627" s="1169"/>
      <c r="Q627" s="1169"/>
      <c r="R627" s="1169"/>
      <c r="T627" s="1171"/>
      <c r="U627" s="1169"/>
    </row>
    <row r="628" spans="2:28" x14ac:dyDescent="0.2">
      <c r="E628" s="3468"/>
      <c r="F628" s="3469"/>
      <c r="G628" s="3469"/>
      <c r="H628" s="3469"/>
      <c r="I628" s="3469"/>
      <c r="J628" s="3469"/>
      <c r="K628" s="3469"/>
      <c r="L628" s="3470"/>
      <c r="M628" s="1170"/>
      <c r="N628" s="1169"/>
      <c r="O628" s="1169"/>
      <c r="P628" s="1169"/>
      <c r="Q628" s="1169"/>
      <c r="R628" s="1169"/>
      <c r="S628" s="1169"/>
      <c r="T628" s="1171"/>
      <c r="U628" s="1169"/>
    </row>
    <row r="629" spans="2:28" x14ac:dyDescent="0.2">
      <c r="E629" s="3468"/>
      <c r="F629" s="3469"/>
      <c r="G629" s="3469"/>
      <c r="H629" s="3469"/>
      <c r="I629" s="3469"/>
      <c r="J629" s="3469"/>
      <c r="K629" s="3469"/>
      <c r="L629" s="3470"/>
      <c r="M629" s="1170"/>
      <c r="N629" s="1169"/>
      <c r="O629" s="1169"/>
      <c r="P629" s="1169"/>
      <c r="Q629" s="1169"/>
      <c r="R629" s="1169"/>
      <c r="S629" s="1169"/>
      <c r="T629" s="1171"/>
      <c r="U629" s="1169"/>
    </row>
    <row r="630" spans="2:28" x14ac:dyDescent="0.2">
      <c r="E630" s="3468"/>
      <c r="F630" s="3469"/>
      <c r="G630" s="3469"/>
      <c r="H630" s="3469"/>
      <c r="I630" s="3469"/>
      <c r="J630" s="3469"/>
      <c r="K630" s="3469"/>
      <c r="L630" s="3470"/>
      <c r="M630" s="1170"/>
      <c r="N630" s="1169"/>
      <c r="O630" s="1169"/>
      <c r="P630" s="1169"/>
      <c r="Q630" s="1169"/>
      <c r="R630" s="1169"/>
      <c r="S630" s="1169"/>
      <c r="T630" s="1171"/>
      <c r="U630" s="1169"/>
    </row>
    <row r="631" spans="2:28" x14ac:dyDescent="0.2">
      <c r="E631" s="3468"/>
      <c r="F631" s="3469"/>
      <c r="G631" s="3469"/>
      <c r="H631" s="3469"/>
      <c r="I631" s="3469"/>
      <c r="J631" s="3469"/>
      <c r="K631" s="3469"/>
      <c r="L631" s="3470"/>
      <c r="M631" s="1170"/>
      <c r="N631" s="1169"/>
      <c r="O631" s="1169"/>
      <c r="P631" s="1169"/>
      <c r="Q631" s="1169"/>
      <c r="R631" s="1169"/>
      <c r="S631" s="1169"/>
      <c r="T631" s="1171"/>
      <c r="U631" s="1169"/>
    </row>
    <row r="632" spans="2:28" x14ac:dyDescent="0.2">
      <c r="E632" s="3468"/>
      <c r="F632" s="3469"/>
      <c r="G632" s="3469"/>
      <c r="H632" s="3469"/>
      <c r="I632" s="3469"/>
      <c r="J632" s="3469"/>
      <c r="K632" s="3469"/>
      <c r="L632" s="3470"/>
      <c r="M632" s="1170"/>
      <c r="N632" s="1169"/>
      <c r="O632" s="1169"/>
      <c r="P632" s="1169"/>
      <c r="Q632" s="1169"/>
      <c r="R632" s="1169"/>
      <c r="S632" s="1169"/>
      <c r="T632" s="1171"/>
      <c r="U632" s="1169"/>
    </row>
    <row r="633" spans="2:28" x14ac:dyDescent="0.2">
      <c r="E633" s="3468"/>
      <c r="F633" s="3469"/>
      <c r="G633" s="3469"/>
      <c r="H633" s="3469"/>
      <c r="I633" s="3469"/>
      <c r="J633" s="3469"/>
      <c r="K633" s="3469"/>
      <c r="L633" s="3470"/>
      <c r="M633" s="1170"/>
      <c r="N633" s="1178"/>
      <c r="O633" s="1169"/>
      <c r="P633" s="1169"/>
      <c r="Q633" s="1169"/>
      <c r="R633" s="1169"/>
      <c r="S633" s="1169"/>
      <c r="T633" s="1171"/>
      <c r="U633" s="1169"/>
    </row>
    <row r="634" spans="2:28" ht="14.25" x14ac:dyDescent="0.2">
      <c r="E634" s="3468"/>
      <c r="F634" s="3469"/>
      <c r="G634" s="3469"/>
      <c r="H634" s="3469"/>
      <c r="I634" s="3469"/>
      <c r="J634" s="3469"/>
      <c r="K634" s="3469"/>
      <c r="L634" s="3470"/>
      <c r="M634" s="1170"/>
      <c r="N634" s="1179"/>
      <c r="O634" s="1169"/>
      <c r="P634" s="1169"/>
      <c r="Q634" s="1169"/>
      <c r="R634" s="1169"/>
      <c r="S634" s="1169"/>
      <c r="T634" s="1171"/>
      <c r="U634" s="1169"/>
    </row>
    <row r="635" spans="2:28" x14ac:dyDescent="0.2">
      <c r="E635" s="3468"/>
      <c r="F635" s="3469"/>
      <c r="G635" s="3469"/>
      <c r="H635" s="3469"/>
      <c r="I635" s="3469"/>
      <c r="J635" s="3469"/>
      <c r="K635" s="3469"/>
      <c r="L635" s="3470"/>
      <c r="M635" s="1170"/>
      <c r="N635" s="1176"/>
      <c r="O635" s="1169"/>
      <c r="P635" s="1169"/>
      <c r="Q635" s="1169"/>
      <c r="R635" s="1169"/>
      <c r="S635" s="1169"/>
      <c r="T635" s="1171"/>
      <c r="U635" s="1169"/>
      <c r="Y635" s="1158">
        <f>G615+O615</f>
        <v>0</v>
      </c>
      <c r="Z635" s="1159">
        <f>O614+G614</f>
        <v>0</v>
      </c>
      <c r="AA635" s="1180">
        <f>(IF(G615&lt;0.2,G614,0))+(IF(O615&lt;0.2,O614,0))</f>
        <v>0</v>
      </c>
      <c r="AB635" s="1158">
        <f>G616+O616</f>
        <v>0</v>
      </c>
    </row>
    <row r="636" spans="2:28" ht="13.5" thickBot="1" x14ac:dyDescent="0.25">
      <c r="E636" s="3471"/>
      <c r="F636" s="3472"/>
      <c r="G636" s="3472"/>
      <c r="H636" s="3472"/>
      <c r="I636" s="3472"/>
      <c r="J636" s="3472"/>
      <c r="K636" s="3472"/>
      <c r="L636" s="3473"/>
      <c r="M636" s="1181"/>
      <c r="N636" s="1182"/>
      <c r="O636" s="1182"/>
      <c r="P636" s="1182"/>
      <c r="Q636" s="1182"/>
      <c r="R636" s="1182"/>
      <c r="S636" s="1182"/>
      <c r="T636" s="1183"/>
      <c r="U636" s="1169"/>
    </row>
    <row r="637" spans="2:28" ht="26.25" x14ac:dyDescent="0.2">
      <c r="E637" s="1167">
        <f>M612+1</f>
        <v>47</v>
      </c>
      <c r="F637" s="3454" t="s">
        <v>28178</v>
      </c>
      <c r="G637" s="3455"/>
      <c r="H637" s="3464" t="str">
        <f>Liste!B410&amp;" ("&amp;Liste!C410&amp;")"</f>
        <v>Festfeldkonsole GCC 250mm 500 lang verzinkt (0308293)</v>
      </c>
      <c r="I637" s="3464"/>
      <c r="J637" s="3464"/>
      <c r="K637" s="3465"/>
      <c r="L637" s="1168">
        <f>IF(G640&gt;0.2,G640,0)</f>
        <v>0</v>
      </c>
      <c r="M637" s="1167">
        <f>E637+1</f>
        <v>48</v>
      </c>
      <c r="N637" s="3454" t="s">
        <v>28178</v>
      </c>
      <c r="O637" s="3455"/>
      <c r="P637" s="3466" t="str">
        <f>Liste!B367&amp;" ("&amp;Liste!C367&amp;")"</f>
        <v>0 (0)</v>
      </c>
      <c r="Q637" s="3466"/>
      <c r="R637" s="3466"/>
      <c r="S637" s="3467"/>
      <c r="T637" s="1168">
        <f>IF(O640&gt;0.2,O640,0)</f>
        <v>0</v>
      </c>
      <c r="U637" s="1169"/>
    </row>
    <row r="638" spans="2:28" x14ac:dyDescent="0.2">
      <c r="B638" s="1954" t="s">
        <v>29900</v>
      </c>
      <c r="C638" s="1955">
        <f>Liste!F410</f>
        <v>782</v>
      </c>
      <c r="E638" s="1170"/>
      <c r="F638" s="1169"/>
      <c r="G638" s="1169"/>
      <c r="H638" s="1169"/>
      <c r="I638" s="3451"/>
      <c r="J638" s="3451"/>
      <c r="K638" s="1169"/>
      <c r="L638" s="1171"/>
      <c r="M638" s="1170"/>
      <c r="N638" s="1169"/>
      <c r="O638" s="1169"/>
      <c r="P638" s="1169"/>
      <c r="Q638" s="1169"/>
      <c r="R638" s="1169"/>
      <c r="S638" s="1169"/>
      <c r="T638" s="1171"/>
      <c r="U638" s="1169"/>
      <c r="V638" s="1954" t="s">
        <v>29900</v>
      </c>
      <c r="W638" s="1955">
        <f>Liste!F367</f>
        <v>0</v>
      </c>
    </row>
    <row r="639" spans="2:28" ht="15.75" x14ac:dyDescent="0.2">
      <c r="B639" s="1954" t="s">
        <v>29901</v>
      </c>
      <c r="C639" s="1955">
        <f>Liste!E410</f>
        <v>391</v>
      </c>
      <c r="E639" s="1170"/>
      <c r="F639" s="1172" t="s">
        <v>27904</v>
      </c>
      <c r="G639" s="1173">
        <f>Liste!D410*Lackliste!L18</f>
        <v>0</v>
      </c>
      <c r="H639" s="1169" t="s">
        <v>28179</v>
      </c>
      <c r="I639" s="1169"/>
      <c r="J639" s="1169"/>
      <c r="K639" s="1169"/>
      <c r="L639" s="1171"/>
      <c r="M639" s="1170"/>
      <c r="N639" s="1172" t="s">
        <v>27904</v>
      </c>
      <c r="O639" s="1173">
        <f>Liste!A367*Lackliste!L18</f>
        <v>0</v>
      </c>
      <c r="P639" s="1169" t="s">
        <v>28179</v>
      </c>
      <c r="Q639" s="1169"/>
      <c r="R639" s="1169"/>
      <c r="S639" s="1169"/>
      <c r="T639" s="1171"/>
      <c r="U639" s="1169"/>
      <c r="V639" s="1954" t="s">
        <v>29901</v>
      </c>
      <c r="W639" s="1955">
        <f>Liste!E367</f>
        <v>0</v>
      </c>
    </row>
    <row r="640" spans="2:28" ht="15.75" x14ac:dyDescent="0.2">
      <c r="B640" s="1954" t="s">
        <v>31205</v>
      </c>
      <c r="C640" s="1956">
        <f>C638*C639/1000/1000</f>
        <v>0.30576199999999998</v>
      </c>
      <c r="E640" s="1170"/>
      <c r="F640" s="1172" t="s">
        <v>28180</v>
      </c>
      <c r="G640" s="1173">
        <f>IF(G639&gt;0,G639*C640*C641,0)</f>
        <v>0</v>
      </c>
      <c r="H640" s="1169" t="s">
        <v>28181</v>
      </c>
      <c r="K640" s="1172" t="str">
        <f>IF(G640&lt;&gt;0,IF(G640&lt;0.2,"Kleinteil, Gerundete Fläche:",""),"")</f>
        <v/>
      </c>
      <c r="L640" s="1174">
        <f>IF(K640&lt;&gt;"",0.2,0)</f>
        <v>0</v>
      </c>
      <c r="M640" s="1170"/>
      <c r="N640" s="1172" t="s">
        <v>28180</v>
      </c>
      <c r="O640" s="1173">
        <f>IF(O639&gt;0,O639*W640*W641,0)</f>
        <v>0</v>
      </c>
      <c r="P640" s="1169" t="s">
        <v>28181</v>
      </c>
      <c r="S640" s="1172" t="str">
        <f>IF(O640&lt;&gt;0,IF(O640&lt;0.2,"Kleinteil, Gerundete Fläche:",""),"")</f>
        <v/>
      </c>
      <c r="T640" s="1175">
        <f>IF(S640&lt;&gt;"",0.2,0)</f>
        <v>0</v>
      </c>
      <c r="U640" s="1169"/>
      <c r="V640" s="1954" t="s">
        <v>31205</v>
      </c>
      <c r="W640" s="1956">
        <f>W638*W639/1000/1000</f>
        <v>0</v>
      </c>
    </row>
    <row r="641" spans="2:23" ht="15.75" x14ac:dyDescent="0.2">
      <c r="B641" s="1954" t="s">
        <v>29902</v>
      </c>
      <c r="C641" s="1957">
        <v>2</v>
      </c>
      <c r="E641" s="1170"/>
      <c r="F641" s="1172" t="s">
        <v>28182</v>
      </c>
      <c r="G641" s="1173">
        <f>IF(G639&gt;0,G639*C640*C642,0)</f>
        <v>0</v>
      </c>
      <c r="H641" s="1169" t="s">
        <v>28181</v>
      </c>
      <c r="I641" s="1186" t="s">
        <v>28185</v>
      </c>
      <c r="J641" s="1169"/>
      <c r="K641" s="1169"/>
      <c r="L641" s="1171"/>
      <c r="M641" s="1170"/>
      <c r="N641" s="1172" t="s">
        <v>28182</v>
      </c>
      <c r="O641" s="1173">
        <f>IF(O639&gt;0,O639*W640*W642,0)</f>
        <v>0</v>
      </c>
      <c r="P641" s="1169" t="s">
        <v>28181</v>
      </c>
      <c r="Q641" s="1186" t="s">
        <v>28185</v>
      </c>
      <c r="R641" s="1169"/>
      <c r="S641" s="1169"/>
      <c r="T641" s="1171"/>
      <c r="U641" s="1169"/>
      <c r="V641" s="1954" t="s">
        <v>29902</v>
      </c>
      <c r="W641" s="1957">
        <v>0</v>
      </c>
    </row>
    <row r="642" spans="2:23" ht="14.25" x14ac:dyDescent="0.2">
      <c r="B642" s="1954" t="s">
        <v>29903</v>
      </c>
      <c r="C642" s="1957">
        <v>0</v>
      </c>
      <c r="E642" s="1170"/>
      <c r="F642" s="1176"/>
      <c r="G642" s="1169"/>
      <c r="H642" s="1169"/>
      <c r="I642" s="1169"/>
      <c r="J642" s="1169"/>
      <c r="K642" s="1169"/>
      <c r="L642" s="1171"/>
      <c r="M642" s="1170"/>
      <c r="N642" s="1176"/>
      <c r="O642" s="1169"/>
      <c r="P642" s="1169"/>
      <c r="Q642" s="1169"/>
      <c r="R642" s="1169"/>
      <c r="S642" s="1169"/>
      <c r="T642" s="1171"/>
      <c r="U642" s="1169"/>
      <c r="V642" s="1954" t="s">
        <v>29903</v>
      </c>
      <c r="W642" s="1957">
        <v>0</v>
      </c>
    </row>
    <row r="643" spans="2:23" x14ac:dyDescent="0.2">
      <c r="E643" s="1170"/>
      <c r="F643" s="1169"/>
      <c r="G643" s="1169"/>
      <c r="H643" s="1169"/>
      <c r="I643" s="1169"/>
      <c r="J643" s="1169"/>
      <c r="K643" s="1169"/>
      <c r="L643" s="1171"/>
      <c r="M643" s="1170"/>
      <c r="N643" s="1169"/>
      <c r="O643" s="1169"/>
      <c r="P643" s="1169"/>
      <c r="Q643" s="1169"/>
      <c r="R643" s="1169"/>
      <c r="S643" s="1169"/>
      <c r="T643" s="1171"/>
      <c r="U643" s="1169"/>
    </row>
    <row r="644" spans="2:23" ht="16.5" x14ac:dyDescent="0.2">
      <c r="E644" s="1170"/>
      <c r="F644" s="1177" t="s">
        <v>28183</v>
      </c>
      <c r="G644" s="1169"/>
      <c r="H644" s="1169"/>
      <c r="I644" s="1169"/>
      <c r="J644" s="1169"/>
      <c r="K644" s="1169"/>
      <c r="L644" s="1171"/>
      <c r="M644" s="1170"/>
      <c r="N644" s="1177" t="s">
        <v>28183</v>
      </c>
      <c r="O644" s="1169"/>
      <c r="P644" s="1169"/>
      <c r="Q644" s="1169"/>
      <c r="R644" s="1169"/>
      <c r="S644" s="1169"/>
      <c r="T644" s="1171"/>
      <c r="U644" s="1169"/>
    </row>
    <row r="645" spans="2:23" x14ac:dyDescent="0.2">
      <c r="E645" s="1170"/>
      <c r="F645" s="1169"/>
      <c r="G645" s="1169"/>
      <c r="H645" s="1169"/>
      <c r="I645" s="1169"/>
      <c r="J645" s="1169"/>
      <c r="K645" s="1169"/>
      <c r="L645" s="1171"/>
      <c r="M645" s="1170"/>
      <c r="N645" s="1169"/>
      <c r="O645" s="1169"/>
      <c r="P645" s="1169"/>
      <c r="Q645" s="1169"/>
      <c r="R645" s="1169"/>
      <c r="S645" s="1169"/>
      <c r="T645" s="1171"/>
      <c r="U645" s="1169"/>
    </row>
    <row r="646" spans="2:23" x14ac:dyDescent="0.2">
      <c r="E646" s="1170"/>
      <c r="F646" s="1169"/>
      <c r="G646" s="1169"/>
      <c r="H646" s="1169"/>
      <c r="I646" s="1169"/>
      <c r="J646" s="1169"/>
      <c r="K646" s="1169"/>
      <c r="L646" s="1171"/>
      <c r="M646" s="1170"/>
      <c r="N646" s="1169"/>
      <c r="O646" s="1169"/>
      <c r="P646" s="1169"/>
      <c r="Q646" s="1169"/>
      <c r="R646" s="1169"/>
      <c r="S646" s="1169"/>
      <c r="T646" s="1171"/>
      <c r="U646" s="1169"/>
    </row>
    <row r="647" spans="2:23" x14ac:dyDescent="0.2">
      <c r="E647" s="1170"/>
      <c r="F647" s="1169"/>
      <c r="G647" s="1169"/>
      <c r="H647" s="1169"/>
      <c r="I647" s="1169"/>
      <c r="J647" s="1169"/>
      <c r="K647" s="1169"/>
      <c r="L647" s="1171"/>
      <c r="M647" s="1170"/>
      <c r="N647" s="1169"/>
      <c r="O647" s="1169"/>
      <c r="P647" s="1169"/>
      <c r="Q647" s="1169"/>
      <c r="R647" s="1169"/>
      <c r="S647" s="1169"/>
      <c r="T647" s="1171"/>
      <c r="U647" s="1169"/>
    </row>
    <row r="648" spans="2:23" x14ac:dyDescent="0.2">
      <c r="E648" s="1170"/>
      <c r="F648" s="1169"/>
      <c r="G648" s="1169"/>
      <c r="H648" s="1169"/>
      <c r="I648" s="1169"/>
      <c r="J648" s="1169"/>
      <c r="K648" s="1169"/>
      <c r="L648" s="1171"/>
      <c r="M648" s="1170"/>
      <c r="N648" s="1169"/>
      <c r="O648" s="1169"/>
      <c r="P648" s="1169"/>
      <c r="Q648" s="1169"/>
      <c r="R648" s="1169"/>
      <c r="S648" s="1169"/>
      <c r="T648" s="1171"/>
      <c r="U648" s="1169"/>
    </row>
    <row r="649" spans="2:23" x14ac:dyDescent="0.2">
      <c r="E649" s="1170"/>
      <c r="F649" s="1169"/>
      <c r="G649" s="1169"/>
      <c r="I649" s="1169"/>
      <c r="J649" s="1169"/>
      <c r="K649" s="1169"/>
      <c r="L649" s="1171"/>
      <c r="M649" s="1170"/>
      <c r="N649" s="1169"/>
      <c r="O649" s="1169"/>
      <c r="Q649" s="1169"/>
      <c r="R649" s="1169"/>
      <c r="S649" s="1169"/>
      <c r="T649" s="1171"/>
      <c r="U649" s="1169"/>
    </row>
    <row r="650" spans="2:23" x14ac:dyDescent="0.2">
      <c r="E650" s="1170"/>
      <c r="F650" s="1169"/>
      <c r="G650" s="1169"/>
      <c r="H650" s="1169"/>
      <c r="I650" s="1169"/>
      <c r="J650" s="1169"/>
      <c r="K650" s="1169"/>
      <c r="L650" s="1171"/>
      <c r="M650" s="1170"/>
      <c r="N650" s="1169"/>
      <c r="O650" s="1169"/>
      <c r="P650" s="1169"/>
      <c r="Q650" s="1169"/>
      <c r="R650" s="1169"/>
      <c r="S650" s="1169"/>
      <c r="T650" s="1171"/>
      <c r="U650" s="1169"/>
    </row>
    <row r="651" spans="2:23" x14ac:dyDescent="0.2">
      <c r="E651" s="1170"/>
      <c r="F651" s="1169"/>
      <c r="G651" s="1169"/>
      <c r="H651" s="1169"/>
      <c r="I651" s="1169"/>
      <c r="J651" s="1169"/>
      <c r="K651" s="1169"/>
      <c r="L651" s="1171"/>
      <c r="M651" s="1170"/>
      <c r="N651" s="1169"/>
      <c r="O651" s="1169"/>
      <c r="P651" s="1169"/>
      <c r="Q651" s="1169"/>
      <c r="R651" s="1169"/>
      <c r="S651" s="1169"/>
      <c r="T651" s="1171"/>
      <c r="U651" s="1169"/>
    </row>
    <row r="652" spans="2:23" x14ac:dyDescent="0.2">
      <c r="E652" s="1170"/>
      <c r="F652" s="1169"/>
      <c r="G652" s="1169"/>
      <c r="H652" s="1169"/>
      <c r="I652" s="1169"/>
      <c r="J652" s="1169"/>
      <c r="L652" s="1171"/>
      <c r="M652" s="1170"/>
      <c r="N652" s="1169"/>
      <c r="O652" s="1169"/>
      <c r="P652" s="1169"/>
      <c r="Q652" s="1169"/>
      <c r="R652" s="1169"/>
      <c r="T652" s="1171"/>
      <c r="U652" s="1169"/>
    </row>
    <row r="653" spans="2:23" x14ac:dyDescent="0.2">
      <c r="E653" s="1170"/>
      <c r="F653" s="1169"/>
      <c r="G653" s="1169"/>
      <c r="H653" s="1169"/>
      <c r="I653" s="1169"/>
      <c r="J653" s="1169"/>
      <c r="K653" s="1169"/>
      <c r="L653" s="1171"/>
      <c r="M653" s="1170"/>
      <c r="N653" s="1169"/>
      <c r="O653" s="1169"/>
      <c r="P653" s="1169"/>
      <c r="Q653" s="1169"/>
      <c r="R653" s="1169"/>
      <c r="S653" s="1169"/>
      <c r="T653" s="1171"/>
      <c r="U653" s="1169"/>
    </row>
    <row r="654" spans="2:23" x14ac:dyDescent="0.2">
      <c r="E654" s="1170"/>
      <c r="F654" s="1169"/>
      <c r="G654" s="1169"/>
      <c r="H654" s="1169"/>
      <c r="I654" s="1169"/>
      <c r="J654" s="1169"/>
      <c r="K654" s="1169"/>
      <c r="L654" s="1171"/>
      <c r="M654" s="1170"/>
      <c r="N654" s="1169"/>
      <c r="O654" s="1169"/>
      <c r="P654" s="1169"/>
      <c r="Q654" s="1169"/>
      <c r="R654" s="1169"/>
      <c r="S654" s="1169"/>
      <c r="T654" s="1171"/>
      <c r="U654" s="1169"/>
    </row>
    <row r="655" spans="2:23" x14ac:dyDescent="0.2">
      <c r="E655" s="1170"/>
      <c r="F655" s="1169"/>
      <c r="G655" s="1169"/>
      <c r="H655" s="1169"/>
      <c r="I655" s="1169"/>
      <c r="J655" s="1169"/>
      <c r="K655" s="1169"/>
      <c r="L655" s="1171"/>
      <c r="M655" s="1170"/>
      <c r="N655" s="1169"/>
      <c r="O655" s="1169"/>
      <c r="P655" s="1169"/>
      <c r="Q655" s="1169"/>
      <c r="R655" s="1169"/>
      <c r="S655" s="1169"/>
      <c r="T655" s="1171"/>
      <c r="U655" s="1169"/>
    </row>
    <row r="656" spans="2:23" x14ac:dyDescent="0.2">
      <c r="E656" s="1170"/>
      <c r="F656" s="1169"/>
      <c r="G656" s="1169"/>
      <c r="H656" s="1169"/>
      <c r="I656" s="1169"/>
      <c r="J656" s="1169"/>
      <c r="K656" s="1169"/>
      <c r="L656" s="1171"/>
      <c r="M656" s="1170"/>
      <c r="N656" s="1169"/>
      <c r="O656" s="1169"/>
      <c r="P656" s="1169"/>
      <c r="Q656" s="1169"/>
      <c r="R656" s="1169"/>
      <c r="S656" s="1169"/>
      <c r="T656" s="1171"/>
      <c r="U656" s="1169"/>
    </row>
    <row r="657" spans="2:28" x14ac:dyDescent="0.2">
      <c r="E657" s="1170"/>
      <c r="F657" s="1169"/>
      <c r="G657" s="1169"/>
      <c r="H657" s="1169"/>
      <c r="I657" s="1169"/>
      <c r="J657" s="1169"/>
      <c r="K657" s="1169"/>
      <c r="L657" s="1171"/>
      <c r="M657" s="1170"/>
      <c r="N657" s="1169"/>
      <c r="O657" s="1169"/>
      <c r="P657" s="1169"/>
      <c r="Q657" s="1169"/>
      <c r="R657" s="1169"/>
      <c r="S657" s="1169"/>
      <c r="T657" s="1171"/>
      <c r="U657" s="1169"/>
    </row>
    <row r="658" spans="2:28" x14ac:dyDescent="0.2">
      <c r="E658" s="1170"/>
      <c r="F658" s="1178"/>
      <c r="G658" s="1169"/>
      <c r="H658" s="1169"/>
      <c r="I658" s="1169"/>
      <c r="J658" s="1169"/>
      <c r="K658" s="1169"/>
      <c r="L658" s="1171"/>
      <c r="M658" s="1170"/>
      <c r="N658" s="1178"/>
      <c r="O658" s="1169"/>
      <c r="P658" s="1169"/>
      <c r="Q658" s="1169"/>
      <c r="R658" s="1169"/>
      <c r="S658" s="1169"/>
      <c r="T658" s="1171"/>
      <c r="U658" s="1169"/>
    </row>
    <row r="659" spans="2:28" ht="14.25" x14ac:dyDescent="0.2">
      <c r="E659" s="1170"/>
      <c r="F659" s="1179"/>
      <c r="G659" s="1169"/>
      <c r="H659" s="1169"/>
      <c r="I659" s="1169"/>
      <c r="J659" s="1169"/>
      <c r="K659" s="1169"/>
      <c r="L659" s="1171"/>
      <c r="M659" s="1170"/>
      <c r="N659" s="1179"/>
      <c r="O659" s="1169"/>
      <c r="P659" s="1169"/>
      <c r="Q659" s="1169"/>
      <c r="R659" s="1169"/>
      <c r="S659" s="1169"/>
      <c r="T659" s="1171"/>
      <c r="U659" s="1169"/>
    </row>
    <row r="660" spans="2:28" x14ac:dyDescent="0.2">
      <c r="E660" s="1170"/>
      <c r="F660" s="1176"/>
      <c r="G660" s="1169"/>
      <c r="H660" s="1169"/>
      <c r="I660" s="1169"/>
      <c r="J660" s="1169"/>
      <c r="K660" s="1169"/>
      <c r="L660" s="1171"/>
      <c r="M660" s="1170"/>
      <c r="N660" s="1176"/>
      <c r="O660" s="1169"/>
      <c r="P660" s="1169"/>
      <c r="Q660" s="1169"/>
      <c r="R660" s="1169"/>
      <c r="S660" s="1169"/>
      <c r="T660" s="1171"/>
      <c r="U660" s="1169"/>
      <c r="Y660" s="1158">
        <f>G640+O640</f>
        <v>0</v>
      </c>
      <c r="Z660" s="1159">
        <f>O639+G639</f>
        <v>0</v>
      </c>
      <c r="AA660" s="1180">
        <f>(IF(G640&lt;0.2,G639,0))+(IF(O640&lt;0.2,O639,0))</f>
        <v>0</v>
      </c>
      <c r="AB660" s="1158">
        <f>G641+O641</f>
        <v>0</v>
      </c>
    </row>
    <row r="661" spans="2:28" ht="13.5" thickBot="1" x14ac:dyDescent="0.25">
      <c r="E661" s="1181"/>
      <c r="F661" s="1182"/>
      <c r="G661" s="1182"/>
      <c r="H661" s="1182"/>
      <c r="I661" s="1182"/>
      <c r="J661" s="1182"/>
      <c r="K661" s="1182"/>
      <c r="L661" s="1183"/>
      <c r="M661" s="1181"/>
      <c r="N661" s="1182"/>
      <c r="O661" s="1182"/>
      <c r="P661" s="1182"/>
      <c r="Q661" s="1182"/>
      <c r="R661" s="1182"/>
      <c r="S661" s="1182"/>
      <c r="T661" s="1183"/>
      <c r="U661" s="1169"/>
    </row>
    <row r="662" spans="2:28" ht="26.25" x14ac:dyDescent="0.2">
      <c r="E662" s="1167">
        <f>M637+1</f>
        <v>49</v>
      </c>
      <c r="F662" s="3454" t="s">
        <v>28178</v>
      </c>
      <c r="G662" s="3455"/>
      <c r="H662" s="3458" t="s">
        <v>29921</v>
      </c>
      <c r="I662" s="3458"/>
      <c r="J662" s="3458"/>
      <c r="K662" s="3459"/>
      <c r="L662" s="1168">
        <f>IF(G665&gt;0.2,G665,0)</f>
        <v>0</v>
      </c>
      <c r="M662" s="1167">
        <f>E662+1</f>
        <v>50</v>
      </c>
      <c r="N662" s="3454" t="s">
        <v>28178</v>
      </c>
      <c r="O662" s="3455"/>
      <c r="P662" s="3458" t="str">
        <f>"Verkleidungsblech Schieberelement mitte vorne "&amp;"("&amp;Liste!C58&amp;")"</f>
        <v>Verkleidungsblech Schieberelement mitte vorne (0308338)</v>
      </c>
      <c r="Q662" s="3458"/>
      <c r="R662" s="3458"/>
      <c r="S662" s="3459"/>
      <c r="T662" s="1168">
        <f>IF(O665&gt;0.2,O665,0)</f>
        <v>0</v>
      </c>
      <c r="U662" s="1169"/>
    </row>
    <row r="663" spans="2:28" x14ac:dyDescent="0.2">
      <c r="B663" s="1954" t="s">
        <v>29900</v>
      </c>
      <c r="C663" s="1955">
        <f>IF(Liste!D5&gt;0,Liste!F12,Liste!F77)</f>
        <v>709.03</v>
      </c>
      <c r="E663" s="1170"/>
      <c r="F663" s="1169"/>
      <c r="G663" s="1169"/>
      <c r="H663" s="1169"/>
      <c r="I663" s="1169"/>
      <c r="J663" s="1169"/>
      <c r="K663" s="1169"/>
      <c r="L663" s="1171"/>
      <c r="M663" s="1170"/>
      <c r="N663" s="1169"/>
      <c r="O663" s="1169"/>
      <c r="P663" s="1169"/>
      <c r="Q663" s="1169"/>
      <c r="R663" s="1169"/>
      <c r="S663" s="1169"/>
      <c r="T663" s="1171"/>
      <c r="U663" s="1169"/>
      <c r="V663" s="1954" t="s">
        <v>29900</v>
      </c>
      <c r="W663" s="1955">
        <f>Liste!E55</f>
        <v>1080</v>
      </c>
    </row>
    <row r="664" spans="2:28" ht="15.75" x14ac:dyDescent="0.2">
      <c r="B664" s="1954" t="s">
        <v>29901</v>
      </c>
      <c r="C664" s="1955">
        <f>IF(Liste!D5&gt;0,Liste!E12,Liste!E77)</f>
        <v>1080</v>
      </c>
      <c r="E664" s="1170"/>
      <c r="F664" s="1172" t="s">
        <v>27904</v>
      </c>
      <c r="G664" s="1173">
        <f>IF(R18="ja",Liste!D12+Liste!D14+Liste!D16+Liste!D18+Liste!D20+Liste!D22+Liste!D77+Liste!D79,0)</f>
        <v>0</v>
      </c>
      <c r="H664" s="1959" t="s">
        <v>28179</v>
      </c>
      <c r="I664" s="1959"/>
      <c r="J664" s="1959"/>
      <c r="K664" s="1959"/>
      <c r="L664" s="1960"/>
      <c r="M664" s="1170"/>
      <c r="N664" s="1172" t="s">
        <v>27904</v>
      </c>
      <c r="O664" s="1173">
        <f>IF(R18="ja",Liste!D58,0)</f>
        <v>0</v>
      </c>
      <c r="P664" s="1169" t="s">
        <v>28179</v>
      </c>
      <c r="Q664" s="1169"/>
      <c r="R664" s="1169"/>
      <c r="S664" s="1169"/>
      <c r="T664" s="1171"/>
      <c r="U664" s="1169"/>
      <c r="V664" s="1954" t="s">
        <v>29901</v>
      </c>
      <c r="W664" s="1955">
        <f>Liste!F55</f>
        <v>598</v>
      </c>
    </row>
    <row r="665" spans="2:28" ht="15.75" x14ac:dyDescent="0.2">
      <c r="B665" s="1954" t="s">
        <v>31205</v>
      </c>
      <c r="C665" s="1956">
        <f>C663*C664/1000/1000</f>
        <v>0.76575240000000011</v>
      </c>
      <c r="E665" s="1170"/>
      <c r="F665" s="1172" t="s">
        <v>28180</v>
      </c>
      <c r="G665" s="1173">
        <f>IF(G664&gt;0,G664*C665*C666,0)</f>
        <v>0</v>
      </c>
      <c r="H665" s="1959" t="s">
        <v>28181</v>
      </c>
      <c r="I665" s="1139"/>
      <c r="J665" s="1139"/>
      <c r="K665" s="1961" t="str">
        <f>IF(G665&lt;&gt;0,IF(G665&lt;0.2,"Kleinteil, Gerundete Fläche:",""),"")</f>
        <v/>
      </c>
      <c r="L665" s="1962">
        <f>IF(K665&lt;&gt;"",0.2,0)</f>
        <v>0</v>
      </c>
      <c r="M665" s="1170"/>
      <c r="N665" s="1172" t="s">
        <v>28180</v>
      </c>
      <c r="O665" s="1173">
        <f>IF(O664&gt;0,O664*W665*W666,0)</f>
        <v>0</v>
      </c>
      <c r="P665" s="1169" t="s">
        <v>28181</v>
      </c>
      <c r="S665" s="1172" t="str">
        <f>IF(O665&lt;&gt;0,IF(O665&lt;0.2,"Kleinteil, Gerundete Fläche:",""),"")</f>
        <v/>
      </c>
      <c r="T665" s="1175">
        <f>IF(S665&lt;&gt;"",0.2,0)</f>
        <v>0</v>
      </c>
      <c r="U665" s="1169"/>
      <c r="V665" s="1954" t="s">
        <v>31205</v>
      </c>
      <c r="W665" s="1956">
        <f>W663*W664/1000/1000</f>
        <v>0.64584000000000008</v>
      </c>
    </row>
    <row r="666" spans="2:28" ht="15.75" x14ac:dyDescent="0.2">
      <c r="B666" s="1954" t="s">
        <v>29902</v>
      </c>
      <c r="C666" s="1957">
        <v>1</v>
      </c>
      <c r="E666" s="1170"/>
      <c r="F666" s="1172" t="s">
        <v>28182</v>
      </c>
      <c r="G666" s="1173">
        <f>IF(G664&gt;0,G664*C665*C667,0)</f>
        <v>0</v>
      </c>
      <c r="H666" s="1959" t="s">
        <v>28181</v>
      </c>
      <c r="I666" s="1963" t="s">
        <v>30332</v>
      </c>
      <c r="J666" s="1959"/>
      <c r="K666" s="1959"/>
      <c r="L666" s="1960"/>
      <c r="M666" s="1170"/>
      <c r="N666" s="1172" t="s">
        <v>28182</v>
      </c>
      <c r="O666" s="1173">
        <f>IF(O664&gt;0,O664*W665*W667,0)</f>
        <v>0</v>
      </c>
      <c r="P666" s="1169" t="s">
        <v>28181</v>
      </c>
      <c r="Q666" s="1186" t="s">
        <v>30331</v>
      </c>
      <c r="R666" s="1169"/>
      <c r="S666" s="1169"/>
      <c r="T666" s="1171"/>
      <c r="U666" s="1169"/>
      <c r="V666" s="1954" t="s">
        <v>29902</v>
      </c>
      <c r="W666" s="1957">
        <v>1</v>
      </c>
    </row>
    <row r="667" spans="2:28" ht="14.25" x14ac:dyDescent="0.2">
      <c r="B667" s="1954" t="s">
        <v>29903</v>
      </c>
      <c r="C667" s="1957">
        <v>1</v>
      </c>
      <c r="E667" s="1170"/>
      <c r="F667" s="1176"/>
      <c r="G667" s="1169"/>
      <c r="H667" s="1959"/>
      <c r="I667" s="1959"/>
      <c r="J667" s="1959"/>
      <c r="K667" s="1959"/>
      <c r="L667" s="1960"/>
      <c r="M667" s="1170"/>
      <c r="N667" s="1176"/>
      <c r="O667" s="1169"/>
      <c r="P667" s="1169"/>
      <c r="Q667" s="1169"/>
      <c r="R667" s="1169"/>
      <c r="S667" s="1169"/>
      <c r="T667" s="1171"/>
      <c r="U667" s="1169"/>
      <c r="V667" s="1954" t="s">
        <v>29903</v>
      </c>
      <c r="W667" s="1957">
        <v>1</v>
      </c>
    </row>
    <row r="668" spans="2:28" x14ac:dyDescent="0.2">
      <c r="E668" s="1170"/>
      <c r="F668" s="1169"/>
      <c r="G668" s="1169"/>
      <c r="H668" s="1959"/>
      <c r="I668" s="1959"/>
      <c r="J668" s="1959"/>
      <c r="K668" s="1959"/>
      <c r="L668" s="1960"/>
      <c r="M668" s="1170"/>
      <c r="N668" s="1169"/>
      <c r="O668" s="1169"/>
      <c r="P668" s="1169"/>
      <c r="Q668" s="1169"/>
      <c r="R668" s="1169"/>
      <c r="S668" s="1169"/>
      <c r="T668" s="1171"/>
      <c r="U668" s="1169"/>
    </row>
    <row r="669" spans="2:28" ht="16.5" x14ac:dyDescent="0.2">
      <c r="E669" s="1170"/>
      <c r="F669" s="1177" t="s">
        <v>28183</v>
      </c>
      <c r="G669" s="1169"/>
      <c r="H669" s="1959"/>
      <c r="I669" s="1959"/>
      <c r="J669" s="1959"/>
      <c r="K669" s="1959"/>
      <c r="L669" s="1960"/>
      <c r="M669" s="1170"/>
      <c r="N669" s="1177" t="s">
        <v>28183</v>
      </c>
      <c r="O669" s="1169"/>
      <c r="P669" s="1169"/>
      <c r="Q669" s="1169"/>
      <c r="R669" s="1169"/>
      <c r="S669" s="1169"/>
      <c r="T669" s="1171"/>
      <c r="U669" s="1169"/>
    </row>
    <row r="670" spans="2:28" x14ac:dyDescent="0.2">
      <c r="E670" s="1170"/>
      <c r="F670" s="1169"/>
      <c r="G670" s="1169"/>
      <c r="H670" s="1169"/>
      <c r="I670" s="1169"/>
      <c r="J670" s="1169"/>
      <c r="K670" s="1169"/>
      <c r="L670" s="1171"/>
      <c r="M670" s="1170"/>
      <c r="N670" s="1169"/>
      <c r="O670" s="1169"/>
      <c r="P670" s="1169"/>
      <c r="Q670" s="1169"/>
      <c r="R670" s="1169"/>
      <c r="S670" s="1169"/>
      <c r="T670" s="1171"/>
      <c r="U670" s="1169"/>
    </row>
    <row r="671" spans="2:28" x14ac:dyDescent="0.2">
      <c r="E671" s="1170"/>
      <c r="F671" s="1169"/>
      <c r="G671" s="1169"/>
      <c r="H671" s="1169"/>
      <c r="I671" s="1169"/>
      <c r="J671" s="1169"/>
      <c r="K671" s="1169"/>
      <c r="L671" s="1171"/>
      <c r="M671" s="1170"/>
      <c r="N671" s="1169"/>
      <c r="O671" s="1169"/>
      <c r="P671" s="1169"/>
      <c r="Q671" s="1169"/>
      <c r="R671" s="1169"/>
      <c r="S671" s="1169"/>
      <c r="T671" s="1171"/>
      <c r="U671" s="1169"/>
    </row>
    <row r="672" spans="2:28" x14ac:dyDescent="0.2">
      <c r="E672" s="1170"/>
      <c r="F672" s="1169"/>
      <c r="G672" s="1169"/>
      <c r="H672" s="1169"/>
      <c r="I672" s="1169"/>
      <c r="J672" s="1169"/>
      <c r="K672" s="1169"/>
      <c r="L672" s="1171"/>
      <c r="M672" s="1170"/>
      <c r="N672" s="1169"/>
      <c r="O672" s="1169"/>
      <c r="P672" s="1169"/>
      <c r="Q672" s="1169"/>
      <c r="R672" s="1169"/>
      <c r="S672" s="1169"/>
      <c r="T672" s="1171"/>
      <c r="U672" s="1169"/>
    </row>
    <row r="673" spans="2:28" x14ac:dyDescent="0.2">
      <c r="E673" s="1170"/>
      <c r="F673" s="1169"/>
      <c r="G673" s="1169"/>
      <c r="H673" s="1169"/>
      <c r="I673" s="1169"/>
      <c r="J673" s="1169"/>
      <c r="K673" s="1169"/>
      <c r="L673" s="1171"/>
      <c r="M673" s="1170"/>
      <c r="N673" s="1169"/>
      <c r="O673" s="1169"/>
      <c r="P673" s="1169"/>
      <c r="Q673" s="1169"/>
      <c r="R673" s="1169"/>
      <c r="S673" s="1169"/>
      <c r="T673" s="1171"/>
      <c r="U673" s="1169"/>
    </row>
    <row r="674" spans="2:28" x14ac:dyDescent="0.2">
      <c r="E674" s="1170"/>
      <c r="F674" s="1169"/>
      <c r="G674" s="1169"/>
      <c r="I674" s="1169"/>
      <c r="J674" s="1169"/>
      <c r="K674" s="1169"/>
      <c r="L674" s="1171"/>
      <c r="M674" s="1170"/>
      <c r="N674" s="1169"/>
      <c r="O674" s="1169"/>
      <c r="Q674" s="1169"/>
      <c r="R674" s="1169"/>
      <c r="S674" s="1169"/>
      <c r="T674" s="1171"/>
      <c r="U674" s="1169"/>
    </row>
    <row r="675" spans="2:28" x14ac:dyDescent="0.2">
      <c r="E675" s="1170"/>
      <c r="F675" s="1169"/>
      <c r="G675" s="1169"/>
      <c r="H675" s="1169"/>
      <c r="I675" s="1169"/>
      <c r="J675" s="1169"/>
      <c r="K675" s="1169"/>
      <c r="L675" s="1171"/>
      <c r="M675" s="1170"/>
      <c r="N675" s="1169"/>
      <c r="O675" s="1169"/>
      <c r="P675" s="1169"/>
      <c r="Q675" s="1169"/>
      <c r="R675" s="1169"/>
      <c r="S675" s="1169"/>
      <c r="T675" s="1171"/>
      <c r="U675" s="1169"/>
    </row>
    <row r="676" spans="2:28" x14ac:dyDescent="0.2">
      <c r="E676" s="1170"/>
      <c r="F676" s="1169"/>
      <c r="G676" s="1169"/>
      <c r="H676" s="1169"/>
      <c r="I676" s="1169"/>
      <c r="J676" s="1169"/>
      <c r="K676" s="1169"/>
      <c r="L676" s="1171"/>
      <c r="M676" s="1170"/>
      <c r="N676" s="1169"/>
      <c r="O676" s="1169"/>
      <c r="P676" s="1169"/>
      <c r="Q676" s="1169"/>
      <c r="R676" s="1169"/>
      <c r="S676" s="1169"/>
      <c r="T676" s="1171"/>
      <c r="U676" s="1169"/>
    </row>
    <row r="677" spans="2:28" x14ac:dyDescent="0.2">
      <c r="E677" s="1170"/>
      <c r="F677" s="1169"/>
      <c r="G677" s="1169"/>
      <c r="H677" s="1169"/>
      <c r="I677" s="1169"/>
      <c r="J677" s="1169"/>
      <c r="L677" s="1171"/>
      <c r="M677" s="1170"/>
      <c r="N677" s="1169"/>
      <c r="O677" s="1169"/>
      <c r="P677" s="1169"/>
      <c r="Q677" s="1169"/>
      <c r="R677" s="1169"/>
      <c r="T677" s="1171"/>
      <c r="U677" s="1169"/>
    </row>
    <row r="678" spans="2:28" x14ac:dyDescent="0.2">
      <c r="E678" s="1170"/>
      <c r="F678" s="1169"/>
      <c r="G678" s="1169"/>
      <c r="H678" s="1169"/>
      <c r="I678" s="1169"/>
      <c r="J678" s="1169"/>
      <c r="K678" s="1169"/>
      <c r="L678" s="1171"/>
      <c r="M678" s="1170"/>
      <c r="N678" s="1169"/>
      <c r="O678" s="1169"/>
      <c r="P678" s="1169"/>
      <c r="Q678" s="1169"/>
      <c r="R678" s="1169"/>
      <c r="S678" s="1169"/>
      <c r="T678" s="1171"/>
      <c r="U678" s="1169"/>
    </row>
    <row r="679" spans="2:28" x14ac:dyDescent="0.2">
      <c r="E679" s="1170"/>
      <c r="F679" s="1169"/>
      <c r="G679" s="1169"/>
      <c r="H679" s="1169"/>
      <c r="I679" s="1169"/>
      <c r="J679" s="1169"/>
      <c r="K679" s="1169"/>
      <c r="L679" s="1171"/>
      <c r="M679" s="1170"/>
      <c r="N679" s="1169"/>
      <c r="O679" s="1169"/>
      <c r="P679" s="1169"/>
      <c r="Q679" s="1169"/>
      <c r="R679" s="1169"/>
      <c r="S679" s="1169"/>
      <c r="T679" s="1171"/>
      <c r="U679" s="1169"/>
    </row>
    <row r="680" spans="2:28" x14ac:dyDescent="0.2">
      <c r="E680" s="1170"/>
      <c r="F680" s="1169"/>
      <c r="G680" s="1169"/>
      <c r="H680" s="1169"/>
      <c r="I680" s="1169"/>
      <c r="J680" s="1169"/>
      <c r="K680" s="1169"/>
      <c r="L680" s="1171"/>
      <c r="M680" s="1170"/>
      <c r="N680" s="1169"/>
      <c r="O680" s="1169"/>
      <c r="P680" s="1169"/>
      <c r="Q680" s="1169"/>
      <c r="R680" s="1169"/>
      <c r="S680" s="1169"/>
      <c r="T680" s="1171"/>
      <c r="U680" s="1169"/>
    </row>
    <row r="681" spans="2:28" x14ac:dyDescent="0.2">
      <c r="E681" s="1170"/>
      <c r="F681" s="1169"/>
      <c r="G681" s="1169"/>
      <c r="H681" s="1169"/>
      <c r="I681" s="1169"/>
      <c r="J681" s="1169"/>
      <c r="K681" s="1169"/>
      <c r="L681" s="1171"/>
      <c r="M681" s="1170"/>
      <c r="N681" s="1169"/>
      <c r="O681" s="1169"/>
      <c r="P681" s="1169"/>
      <c r="Q681" s="1169"/>
      <c r="R681" s="1169"/>
      <c r="S681" s="1169"/>
      <c r="T681" s="1171"/>
      <c r="U681" s="1169"/>
    </row>
    <row r="682" spans="2:28" x14ac:dyDescent="0.2">
      <c r="E682" s="1170"/>
      <c r="F682" s="1169"/>
      <c r="G682" s="1169"/>
      <c r="H682" s="1169"/>
      <c r="I682" s="1169"/>
      <c r="J682" s="1169"/>
      <c r="K682" s="1169"/>
      <c r="L682" s="1171"/>
      <c r="M682" s="1170"/>
      <c r="N682" s="1169"/>
      <c r="O682" s="1169"/>
      <c r="P682" s="1169"/>
      <c r="Q682" s="1169"/>
      <c r="R682" s="1169"/>
      <c r="S682" s="1169"/>
      <c r="T682" s="1171"/>
      <c r="U682" s="1169"/>
    </row>
    <row r="683" spans="2:28" x14ac:dyDescent="0.2">
      <c r="E683" s="1170"/>
      <c r="F683" s="1178"/>
      <c r="G683" s="1169"/>
      <c r="H683" s="1169"/>
      <c r="I683" s="1169"/>
      <c r="J683" s="1169"/>
      <c r="K683" s="1169"/>
      <c r="L683" s="1171"/>
      <c r="M683" s="1170"/>
      <c r="N683" s="1178"/>
      <c r="O683" s="1169"/>
      <c r="P683" s="1169"/>
      <c r="Q683" s="1169"/>
      <c r="R683" s="1169"/>
      <c r="S683" s="1169"/>
      <c r="T683" s="1171"/>
      <c r="U683" s="1169"/>
    </row>
    <row r="684" spans="2:28" ht="14.25" x14ac:dyDescent="0.2">
      <c r="E684" s="1170"/>
      <c r="F684" s="1179"/>
      <c r="G684" s="1169"/>
      <c r="H684" s="1169"/>
      <c r="I684" s="1169"/>
      <c r="J684" s="1169"/>
      <c r="K684" s="1169"/>
      <c r="L684" s="1171"/>
      <c r="M684" s="1170"/>
      <c r="N684" s="1179"/>
      <c r="O684" s="1169"/>
      <c r="P684" s="1169"/>
      <c r="Q684" s="1169"/>
      <c r="R684" s="1169"/>
      <c r="S684" s="1169"/>
      <c r="T684" s="1171"/>
      <c r="U684" s="1169"/>
    </row>
    <row r="685" spans="2:28" x14ac:dyDescent="0.2">
      <c r="E685" s="1170"/>
      <c r="F685" s="1176"/>
      <c r="G685" s="1169"/>
      <c r="H685" s="1169"/>
      <c r="I685" s="1169"/>
      <c r="J685" s="1169"/>
      <c r="K685" s="1169"/>
      <c r="L685" s="1171"/>
      <c r="M685" s="1170"/>
      <c r="N685" s="1176"/>
      <c r="O685" s="1169"/>
      <c r="P685" s="1169"/>
      <c r="Q685" s="1169"/>
      <c r="R685" s="1169"/>
      <c r="S685" s="1169"/>
      <c r="T685" s="1171"/>
      <c r="U685" s="1169"/>
      <c r="Y685" s="1158">
        <f>G665+O665</f>
        <v>0</v>
      </c>
      <c r="Z685" s="1159">
        <f>O664+G664</f>
        <v>0</v>
      </c>
      <c r="AA685" s="1180">
        <f>(IF(G665&lt;0.2,G664,0))+(IF(O665&lt;0.2,O664,0))</f>
        <v>0</v>
      </c>
      <c r="AB685" s="1158">
        <f>G666+O666</f>
        <v>0</v>
      </c>
    </row>
    <row r="686" spans="2:28" ht="13.5" thickBot="1" x14ac:dyDescent="0.25">
      <c r="E686" s="1181"/>
      <c r="F686" s="1182"/>
      <c r="G686" s="1182"/>
      <c r="H686" s="1182"/>
      <c r="I686" s="1182"/>
      <c r="J686" s="1182"/>
      <c r="K686" s="1182"/>
      <c r="L686" s="1183"/>
      <c r="M686" s="1181"/>
      <c r="N686" s="1182"/>
      <c r="O686" s="1182"/>
      <c r="P686" s="1182"/>
      <c r="Q686" s="1182"/>
      <c r="R686" s="1182"/>
      <c r="S686" s="1182"/>
      <c r="T686" s="1183"/>
      <c r="U686" s="1169"/>
    </row>
    <row r="687" spans="2:28" ht="26.25" x14ac:dyDescent="0.2">
      <c r="E687" s="1167">
        <f>M662+1</f>
        <v>51</v>
      </c>
      <c r="F687" s="3454" t="s">
        <v>28178</v>
      </c>
      <c r="G687" s="3455"/>
      <c r="H687" s="3458" t="s">
        <v>29920</v>
      </c>
      <c r="I687" s="3458"/>
      <c r="J687" s="3458"/>
      <c r="K687" s="3459"/>
      <c r="L687" s="1168">
        <f>IF(G690&gt;0.2,G690,0)</f>
        <v>0</v>
      </c>
      <c r="M687" s="1167">
        <f>E687+1</f>
        <v>52</v>
      </c>
      <c r="N687" s="3454" t="s">
        <v>28178</v>
      </c>
      <c r="O687" s="3455"/>
      <c r="P687" s="3458" t="str">
        <f>"Verkleidungsblech Stoßkantenabdeckung vorne "&amp;"("&amp;Liste!C180&amp;")"</f>
        <v>Verkleidungsblech Stoßkantenabdeckung vorne (0308304)</v>
      </c>
      <c r="Q687" s="3458"/>
      <c r="R687" s="3458"/>
      <c r="S687" s="3459"/>
      <c r="T687" s="1168">
        <f>IF(O690&gt;0.2,O690,0)</f>
        <v>0</v>
      </c>
      <c r="U687" s="1169"/>
    </row>
    <row r="688" spans="2:28" x14ac:dyDescent="0.2">
      <c r="B688" s="1954" t="s">
        <v>29900</v>
      </c>
      <c r="C688" s="1955">
        <f>Liste!E128</f>
        <v>1080</v>
      </c>
      <c r="E688" s="1170"/>
      <c r="F688" s="1169"/>
      <c r="G688" s="1169"/>
      <c r="H688" s="1169"/>
      <c r="I688" s="1169"/>
      <c r="J688" s="1169"/>
      <c r="K688" s="1169"/>
      <c r="L688" s="1171"/>
      <c r="M688" s="1170"/>
      <c r="N688" s="1169"/>
      <c r="O688" s="1169"/>
      <c r="P688" s="1169"/>
      <c r="Q688" s="1169"/>
      <c r="R688" s="1169"/>
      <c r="S688" s="1169"/>
      <c r="T688" s="1171"/>
      <c r="U688" s="1169"/>
      <c r="V688" s="1954" t="s">
        <v>29900</v>
      </c>
      <c r="W688" s="1955">
        <f>Liste!E180</f>
        <v>1080</v>
      </c>
    </row>
    <row r="689" spans="2:23" ht="15.75" x14ac:dyDescent="0.2">
      <c r="B689" s="1954" t="s">
        <v>29901</v>
      </c>
      <c r="C689" s="1955">
        <f>Liste!F128</f>
        <v>186</v>
      </c>
      <c r="E689" s="1170"/>
      <c r="F689" s="1172" t="s">
        <v>27904</v>
      </c>
      <c r="G689" s="1173">
        <f>IF(R18="ja",Liste!D128+Liste!D130+Liste!D132,0)</f>
        <v>0</v>
      </c>
      <c r="H689" s="1959" t="s">
        <v>28179</v>
      </c>
      <c r="I689" s="1959"/>
      <c r="J689" s="1959"/>
      <c r="K689" s="1959"/>
      <c r="L689" s="1960"/>
      <c r="M689" s="1170"/>
      <c r="N689" s="1172" t="s">
        <v>27904</v>
      </c>
      <c r="O689" s="1173">
        <f>IF(R18="ja",Liste!D180,0)</f>
        <v>0</v>
      </c>
      <c r="P689" s="1169" t="s">
        <v>28179</v>
      </c>
      <c r="Q689" s="1169"/>
      <c r="R689" s="1169"/>
      <c r="S689" s="1169"/>
      <c r="T689" s="1171"/>
      <c r="U689" s="1169"/>
      <c r="V689" s="1954" t="s">
        <v>29901</v>
      </c>
      <c r="W689" s="1955">
        <f>Liste!F180</f>
        <v>125</v>
      </c>
    </row>
    <row r="690" spans="2:23" ht="15.75" x14ac:dyDescent="0.2">
      <c r="B690" s="1954" t="s">
        <v>31205</v>
      </c>
      <c r="C690" s="1956">
        <f>C688*C689/1000/1000</f>
        <v>0.20088</v>
      </c>
      <c r="E690" s="1170"/>
      <c r="F690" s="1172" t="s">
        <v>28180</v>
      </c>
      <c r="G690" s="1173">
        <f>IF(G689&gt;0,G689*C690*C691,0)</f>
        <v>0</v>
      </c>
      <c r="H690" s="1959" t="s">
        <v>28181</v>
      </c>
      <c r="I690" s="1139"/>
      <c r="J690" s="1139"/>
      <c r="K690" s="1961" t="str">
        <f>IF(G690&lt;&gt;0,IF(G690&lt;0.2,"Kleinteil, Gerundete Fläche:",""),"")</f>
        <v/>
      </c>
      <c r="L690" s="1962">
        <f>IF(K690&lt;&gt;"",0.2,0)</f>
        <v>0</v>
      </c>
      <c r="M690" s="1170"/>
      <c r="N690" s="1172" t="s">
        <v>28180</v>
      </c>
      <c r="O690" s="1173">
        <f>IF(O689&gt;0,O689*W690*W691,0)</f>
        <v>0</v>
      </c>
      <c r="P690" s="1169" t="s">
        <v>28181</v>
      </c>
      <c r="S690" s="1172" t="str">
        <f>IF(O690&lt;&gt;0,IF(O690&lt;0.2,"Kleinteil, Gerundete Fläche:",""),"")</f>
        <v/>
      </c>
      <c r="T690" s="1175">
        <f>IF(S690&lt;&gt;"",0.2,0)</f>
        <v>0</v>
      </c>
      <c r="U690" s="1169"/>
      <c r="V690" s="1954" t="s">
        <v>31205</v>
      </c>
      <c r="W690" s="1956">
        <f>W688*W689/1000/1000</f>
        <v>0.13500000000000001</v>
      </c>
    </row>
    <row r="691" spans="2:23" ht="15.75" x14ac:dyDescent="0.2">
      <c r="B691" s="1954" t="s">
        <v>29902</v>
      </c>
      <c r="C691" s="1957">
        <v>1</v>
      </c>
      <c r="E691" s="1170"/>
      <c r="F691" s="1172" t="s">
        <v>28182</v>
      </c>
      <c r="G691" s="1173">
        <f>IF(G689&gt;0,G689*C690*C692,0)</f>
        <v>0</v>
      </c>
      <c r="H691" s="1959" t="s">
        <v>28181</v>
      </c>
      <c r="I691" s="1963" t="s">
        <v>30331</v>
      </c>
      <c r="J691" s="1959"/>
      <c r="K691" s="1959"/>
      <c r="L691" s="1960"/>
      <c r="M691" s="1170"/>
      <c r="N691" s="1172" t="s">
        <v>28182</v>
      </c>
      <c r="O691" s="1173">
        <f>IF(O689&gt;0,O689*W690*W692,0)</f>
        <v>0</v>
      </c>
      <c r="P691" s="1169" t="s">
        <v>28181</v>
      </c>
      <c r="Q691" s="1186" t="s">
        <v>30331</v>
      </c>
      <c r="R691" s="1169"/>
      <c r="S691" s="1169"/>
      <c r="T691" s="1171"/>
      <c r="U691" s="1169"/>
      <c r="V691" s="1954" t="s">
        <v>29902</v>
      </c>
      <c r="W691" s="1957">
        <v>1</v>
      </c>
    </row>
    <row r="692" spans="2:23" ht="14.25" x14ac:dyDescent="0.2">
      <c r="B692" s="1954" t="s">
        <v>29903</v>
      </c>
      <c r="C692" s="1957">
        <v>1</v>
      </c>
      <c r="E692" s="1170"/>
      <c r="F692" s="1176"/>
      <c r="G692" s="1169"/>
      <c r="H692" s="1959"/>
      <c r="I692" s="1959"/>
      <c r="J692" s="1959"/>
      <c r="K692" s="1959"/>
      <c r="L692" s="1960"/>
      <c r="M692" s="1170"/>
      <c r="N692" s="1176"/>
      <c r="O692" s="1169"/>
      <c r="P692" s="1169"/>
      <c r="Q692" s="1169"/>
      <c r="R692" s="1169"/>
      <c r="S692" s="1169"/>
      <c r="T692" s="1171"/>
      <c r="U692" s="1169"/>
      <c r="V692" s="1954" t="s">
        <v>29903</v>
      </c>
      <c r="W692" s="1957">
        <v>1</v>
      </c>
    </row>
    <row r="693" spans="2:23" x14ac:dyDescent="0.2">
      <c r="E693" s="1170"/>
      <c r="F693" s="1169"/>
      <c r="G693" s="1169"/>
      <c r="H693" s="1959"/>
      <c r="I693" s="1959"/>
      <c r="J693" s="1959"/>
      <c r="K693" s="1959"/>
      <c r="L693" s="1960"/>
      <c r="M693" s="1170"/>
      <c r="N693" s="1169"/>
      <c r="O693" s="1169"/>
      <c r="P693" s="1169"/>
      <c r="Q693" s="1169"/>
      <c r="R693" s="1169"/>
      <c r="S693" s="1169"/>
      <c r="T693" s="1171"/>
      <c r="U693" s="1169"/>
    </row>
    <row r="694" spans="2:23" ht="16.5" x14ac:dyDescent="0.2">
      <c r="E694" s="1170"/>
      <c r="F694" s="1177" t="s">
        <v>28183</v>
      </c>
      <c r="G694" s="1169"/>
      <c r="H694" s="1959"/>
      <c r="I694" s="1959"/>
      <c r="J694" s="1959"/>
      <c r="K694" s="1959"/>
      <c r="L694" s="1960"/>
      <c r="M694" s="1170"/>
      <c r="N694" s="1177" t="s">
        <v>28183</v>
      </c>
      <c r="O694" s="1169"/>
      <c r="P694" s="1169"/>
      <c r="Q694" s="1169"/>
      <c r="R694" s="1169"/>
      <c r="S694" s="1169"/>
      <c r="T694" s="1171"/>
      <c r="U694" s="1169"/>
    </row>
    <row r="695" spans="2:23" x14ac:dyDescent="0.2">
      <c r="E695" s="1170"/>
      <c r="F695" s="1169"/>
      <c r="G695" s="1169"/>
      <c r="H695" s="1169"/>
      <c r="I695" s="1169"/>
      <c r="J695" s="1169"/>
      <c r="K695" s="1169"/>
      <c r="L695" s="1171"/>
      <c r="M695" s="1170"/>
      <c r="N695" s="1169"/>
      <c r="O695" s="1169"/>
      <c r="P695" s="1169"/>
      <c r="Q695" s="1169"/>
      <c r="R695" s="1169"/>
      <c r="S695" s="1169"/>
      <c r="T695" s="1171"/>
      <c r="U695" s="1169"/>
    </row>
    <row r="696" spans="2:23" x14ac:dyDescent="0.2">
      <c r="E696" s="1170"/>
      <c r="F696" s="1169"/>
      <c r="G696" s="1169"/>
      <c r="H696" s="1169"/>
      <c r="I696" s="1169"/>
      <c r="J696" s="1169"/>
      <c r="K696" s="1169"/>
      <c r="L696" s="1171"/>
      <c r="M696" s="1170"/>
      <c r="N696" s="1169"/>
      <c r="O696" s="1169"/>
      <c r="P696" s="1169"/>
      <c r="Q696" s="1169"/>
      <c r="R696" s="1169"/>
      <c r="S696" s="1169"/>
      <c r="T696" s="1171"/>
      <c r="U696" s="1169"/>
    </row>
    <row r="697" spans="2:23" x14ac:dyDescent="0.2">
      <c r="E697" s="1170"/>
      <c r="F697" s="1169"/>
      <c r="G697" s="1169"/>
      <c r="H697" s="1169"/>
      <c r="I697" s="1169"/>
      <c r="J697" s="1169"/>
      <c r="K697" s="1169"/>
      <c r="L697" s="1171"/>
      <c r="M697" s="1170"/>
      <c r="N697" s="1169"/>
      <c r="O697" s="1169"/>
      <c r="P697" s="1169"/>
      <c r="Q697" s="1169"/>
      <c r="R697" s="1169"/>
      <c r="S697" s="1169"/>
      <c r="T697" s="1171"/>
      <c r="U697" s="1169"/>
    </row>
    <row r="698" spans="2:23" x14ac:dyDescent="0.2">
      <c r="E698" s="1170"/>
      <c r="F698" s="1169"/>
      <c r="G698" s="1169"/>
      <c r="H698" s="1169"/>
      <c r="I698" s="1169"/>
      <c r="J698" s="1169"/>
      <c r="K698" s="1169"/>
      <c r="L698" s="1171"/>
      <c r="M698" s="1170"/>
      <c r="N698" s="1169"/>
      <c r="O698" s="1169"/>
      <c r="P698" s="1169"/>
      <c r="Q698" s="1169"/>
      <c r="R698" s="1169"/>
      <c r="S698" s="1169"/>
      <c r="T698" s="1171"/>
      <c r="U698" s="1169"/>
    </row>
    <row r="699" spans="2:23" x14ac:dyDescent="0.2">
      <c r="E699" s="1170"/>
      <c r="F699" s="1169"/>
      <c r="G699" s="1169"/>
      <c r="I699" s="1169"/>
      <c r="J699" s="1169"/>
      <c r="K699" s="1169"/>
      <c r="L699" s="1171"/>
      <c r="M699" s="1170"/>
      <c r="N699" s="1169"/>
      <c r="O699" s="1169"/>
      <c r="Q699" s="1169"/>
      <c r="R699" s="1169"/>
      <c r="S699" s="1169"/>
      <c r="T699" s="1171"/>
      <c r="U699" s="1169"/>
    </row>
    <row r="700" spans="2:23" x14ac:dyDescent="0.2">
      <c r="E700" s="1170"/>
      <c r="F700" s="1169"/>
      <c r="G700" s="1169"/>
      <c r="H700" s="1169"/>
      <c r="I700" s="1169"/>
      <c r="J700" s="1169"/>
      <c r="K700" s="1169"/>
      <c r="L700" s="1171"/>
      <c r="M700" s="1170"/>
      <c r="N700" s="1169"/>
      <c r="O700" s="1169"/>
      <c r="P700" s="1169"/>
      <c r="Q700" s="1169"/>
      <c r="R700" s="1169"/>
      <c r="S700" s="1169"/>
      <c r="T700" s="1171"/>
      <c r="U700" s="1169"/>
    </row>
    <row r="701" spans="2:23" x14ac:dyDescent="0.2">
      <c r="E701" s="1170"/>
      <c r="F701" s="1169"/>
      <c r="G701" s="1169"/>
      <c r="H701" s="1169"/>
      <c r="I701" s="1169"/>
      <c r="J701" s="1169"/>
      <c r="K701" s="1169"/>
      <c r="L701" s="1171"/>
      <c r="M701" s="1170"/>
      <c r="N701" s="1169"/>
      <c r="O701" s="1169"/>
      <c r="P701" s="1169"/>
      <c r="Q701" s="1169"/>
      <c r="R701" s="1169"/>
      <c r="S701" s="1169"/>
      <c r="T701" s="1171"/>
      <c r="U701" s="1169"/>
    </row>
    <row r="702" spans="2:23" x14ac:dyDescent="0.2">
      <c r="E702" s="1170"/>
      <c r="F702" s="1169"/>
      <c r="G702" s="1169"/>
      <c r="H702" s="1169"/>
      <c r="I702" s="1169"/>
      <c r="J702" s="1169"/>
      <c r="L702" s="1171"/>
      <c r="M702" s="1170"/>
      <c r="N702" s="1169"/>
      <c r="O702" s="1169"/>
      <c r="P702" s="1169"/>
      <c r="Q702" s="1169"/>
      <c r="R702" s="1169"/>
      <c r="T702" s="1171"/>
      <c r="U702" s="1169"/>
    </row>
    <row r="703" spans="2:23" x14ac:dyDescent="0.2">
      <c r="E703" s="1170"/>
      <c r="F703" s="1169"/>
      <c r="G703" s="1169"/>
      <c r="H703" s="1169"/>
      <c r="I703" s="1169"/>
      <c r="J703" s="1169"/>
      <c r="K703" s="1169"/>
      <c r="L703" s="1171"/>
      <c r="M703" s="1170"/>
      <c r="N703" s="1169"/>
      <c r="O703" s="1169"/>
      <c r="P703" s="1169"/>
      <c r="Q703" s="1169"/>
      <c r="R703" s="1169"/>
      <c r="S703" s="1169"/>
      <c r="T703" s="1171"/>
      <c r="U703" s="1169"/>
    </row>
    <row r="704" spans="2:23" x14ac:dyDescent="0.2">
      <c r="E704" s="1170"/>
      <c r="F704" s="1169"/>
      <c r="G704" s="1169"/>
      <c r="H704" s="1169"/>
      <c r="I704" s="1169"/>
      <c r="J704" s="1169"/>
      <c r="K704" s="1169"/>
      <c r="L704" s="1171"/>
      <c r="M704" s="1170"/>
      <c r="N704" s="1169"/>
      <c r="O704" s="1169"/>
      <c r="P704" s="1169"/>
      <c r="Q704" s="1169"/>
      <c r="R704" s="1169"/>
      <c r="S704" s="1169"/>
      <c r="T704" s="1171"/>
      <c r="U704" s="1169"/>
    </row>
    <row r="705" spans="2:28" x14ac:dyDescent="0.2">
      <c r="E705" s="1170"/>
      <c r="F705" s="1169"/>
      <c r="G705" s="1169"/>
      <c r="H705" s="1169"/>
      <c r="I705" s="1169"/>
      <c r="J705" s="1169"/>
      <c r="K705" s="1169"/>
      <c r="L705" s="1171"/>
      <c r="M705" s="1170"/>
      <c r="N705" s="1169"/>
      <c r="O705" s="1169"/>
      <c r="P705" s="1169"/>
      <c r="Q705" s="1169"/>
      <c r="R705" s="1169"/>
      <c r="S705" s="1169"/>
      <c r="T705" s="1171"/>
      <c r="U705" s="1169"/>
    </row>
    <row r="706" spans="2:28" x14ac:dyDescent="0.2">
      <c r="E706" s="1170"/>
      <c r="F706" s="1169"/>
      <c r="G706" s="1169"/>
      <c r="H706" s="1169"/>
      <c r="I706" s="1169"/>
      <c r="J706" s="1169"/>
      <c r="K706" s="1169"/>
      <c r="L706" s="1171"/>
      <c r="M706" s="1170"/>
      <c r="N706" s="1169"/>
      <c r="O706" s="1169"/>
      <c r="P706" s="1169"/>
      <c r="Q706" s="1169"/>
      <c r="R706" s="1169"/>
      <c r="S706" s="1169"/>
      <c r="T706" s="1171"/>
      <c r="U706" s="1169"/>
    </row>
    <row r="707" spans="2:28" x14ac:dyDescent="0.2">
      <c r="E707" s="1170"/>
      <c r="F707" s="1169"/>
      <c r="G707" s="1169"/>
      <c r="H707" s="1169"/>
      <c r="I707" s="1169"/>
      <c r="J707" s="1169"/>
      <c r="K707" s="1169"/>
      <c r="L707" s="1171"/>
      <c r="M707" s="1170"/>
      <c r="N707" s="1169"/>
      <c r="O707" s="1169"/>
      <c r="P707" s="1169"/>
      <c r="Q707" s="1169"/>
      <c r="R707" s="1169"/>
      <c r="S707" s="1169"/>
      <c r="T707" s="1171"/>
      <c r="U707" s="1169"/>
    </row>
    <row r="708" spans="2:28" x14ac:dyDescent="0.2">
      <c r="E708" s="1170"/>
      <c r="F708" s="1178"/>
      <c r="G708" s="1169"/>
      <c r="H708" s="1169"/>
      <c r="I708" s="1169"/>
      <c r="J708" s="1169"/>
      <c r="K708" s="1169"/>
      <c r="L708" s="1171"/>
      <c r="M708" s="1170"/>
      <c r="N708" s="1178"/>
      <c r="O708" s="1169"/>
      <c r="P708" s="1169"/>
      <c r="Q708" s="1169"/>
      <c r="R708" s="1169"/>
      <c r="S708" s="1169"/>
      <c r="T708" s="1171"/>
      <c r="U708" s="1169"/>
    </row>
    <row r="709" spans="2:28" ht="14.25" x14ac:dyDescent="0.2">
      <c r="E709" s="1170"/>
      <c r="F709" s="1179"/>
      <c r="G709" s="1169"/>
      <c r="H709" s="1169"/>
      <c r="I709" s="1169"/>
      <c r="J709" s="1169"/>
      <c r="K709" s="1169"/>
      <c r="L709" s="1171"/>
      <c r="M709" s="1170"/>
      <c r="N709" s="1179"/>
      <c r="O709" s="1169"/>
      <c r="P709" s="1169"/>
      <c r="Q709" s="1169"/>
      <c r="R709" s="1169"/>
      <c r="S709" s="1169"/>
      <c r="T709" s="1171"/>
      <c r="U709" s="1169"/>
    </row>
    <row r="710" spans="2:28" x14ac:dyDescent="0.2">
      <c r="E710" s="1170"/>
      <c r="F710" s="1176"/>
      <c r="G710" s="1169"/>
      <c r="H710" s="1169"/>
      <c r="I710" s="1169"/>
      <c r="J710" s="1169"/>
      <c r="K710" s="1169"/>
      <c r="L710" s="1171"/>
      <c r="M710" s="1170"/>
      <c r="N710" s="1176"/>
      <c r="O710" s="1169"/>
      <c r="P710" s="1169"/>
      <c r="Q710" s="1169"/>
      <c r="R710" s="1169"/>
      <c r="S710" s="1169"/>
      <c r="T710" s="1171"/>
      <c r="U710" s="1169"/>
      <c r="Y710" s="1158">
        <f>G690+O690</f>
        <v>0</v>
      </c>
      <c r="Z710" s="1159">
        <f>O689+G689</f>
        <v>0</v>
      </c>
      <c r="AA710" s="1180">
        <f>(IF(G690&lt;0.2,G689,0))+(IF(O690&lt;0.2,O689,0))</f>
        <v>0</v>
      </c>
      <c r="AB710" s="1158">
        <f>G691+O691</f>
        <v>0</v>
      </c>
    </row>
    <row r="711" spans="2:28" ht="13.5" thickBot="1" x14ac:dyDescent="0.25">
      <c r="E711" s="1181"/>
      <c r="F711" s="1182"/>
      <c r="G711" s="1182"/>
      <c r="H711" s="1182"/>
      <c r="I711" s="1182"/>
      <c r="J711" s="1182"/>
      <c r="K711" s="1182"/>
      <c r="L711" s="1183"/>
      <c r="M711" s="1181"/>
      <c r="N711" s="1182"/>
      <c r="O711" s="1182"/>
      <c r="P711" s="1182"/>
      <c r="Q711" s="1182"/>
      <c r="R711" s="1182"/>
      <c r="S711" s="1182"/>
      <c r="T711" s="1183"/>
      <c r="U711" s="1169"/>
    </row>
    <row r="712" spans="2:28" ht="26.25" x14ac:dyDescent="0.2">
      <c r="E712" s="1167">
        <f>M687+1</f>
        <v>53</v>
      </c>
      <c r="F712" s="3454" t="s">
        <v>28178</v>
      </c>
      <c r="G712" s="3455"/>
      <c r="H712" s="3456" t="s">
        <v>29904</v>
      </c>
      <c r="I712" s="3456"/>
      <c r="J712" s="3456"/>
      <c r="K712" s="3457"/>
      <c r="L712" s="1168">
        <f>IF(G715&gt;0.2,G715,0)</f>
        <v>0</v>
      </c>
      <c r="M712" s="1167">
        <f>E712+1</f>
        <v>54</v>
      </c>
      <c r="N712" s="3454" t="s">
        <v>28178</v>
      </c>
      <c r="O712" s="3455"/>
      <c r="P712" s="3456" t="s">
        <v>29940</v>
      </c>
      <c r="Q712" s="3456"/>
      <c r="R712" s="3456"/>
      <c r="S712" s="3457"/>
      <c r="T712" s="1168">
        <f>IF(O715&gt;0.2,O715,0)</f>
        <v>0</v>
      </c>
      <c r="U712" s="1169"/>
    </row>
    <row r="713" spans="2:28" x14ac:dyDescent="0.2">
      <c r="B713" s="1954" t="s">
        <v>29900</v>
      </c>
      <c r="C713" s="1955">
        <f>IF(Liste!D104&gt;0,Liste!E104,Liste!E112)</f>
        <v>1378.06</v>
      </c>
      <c r="E713" s="1170"/>
      <c r="F713" s="1169"/>
      <c r="G713" s="1169"/>
      <c r="H713" s="1169"/>
      <c r="I713" s="1169"/>
      <c r="J713" s="1169"/>
      <c r="K713" s="1169"/>
      <c r="L713" s="1171"/>
      <c r="M713" s="1170"/>
      <c r="N713" s="1169"/>
      <c r="O713" s="1169"/>
      <c r="P713" s="1169"/>
      <c r="Q713" s="1169"/>
      <c r="R713" s="1169"/>
      <c r="S713" s="1169"/>
      <c r="T713" s="1171"/>
      <c r="U713" s="1169"/>
      <c r="V713" s="1954" t="s">
        <v>29900</v>
      </c>
      <c r="W713" s="1955">
        <f>Liste!F106</f>
        <v>164.31</v>
      </c>
    </row>
    <row r="714" spans="2:28" ht="15.75" x14ac:dyDescent="0.2">
      <c r="B714" s="1954" t="s">
        <v>29901</v>
      </c>
      <c r="C714" s="1955">
        <f>IF(Liste!D104&gt;0,Liste!F104,Liste!F112)</f>
        <v>267.31</v>
      </c>
      <c r="E714" s="1170"/>
      <c r="F714" s="1172" t="s">
        <v>27904</v>
      </c>
      <c r="G714" s="1173">
        <f>IF(R18="ja",Liste!D104+Liste!D112,0)</f>
        <v>0</v>
      </c>
      <c r="H714" s="1169" t="s">
        <v>28179</v>
      </c>
      <c r="I714" s="1169"/>
      <c r="J714" s="1169"/>
      <c r="K714" s="1169"/>
      <c r="L714" s="1171"/>
      <c r="M714" s="1170"/>
      <c r="N714" s="1172" t="s">
        <v>27904</v>
      </c>
      <c r="O714" s="1173">
        <f>IF(R18="ja",W718+W725+W732,0)</f>
        <v>0</v>
      </c>
      <c r="P714" s="1959" t="s">
        <v>28179</v>
      </c>
      <c r="Q714" s="1959"/>
      <c r="R714" s="1959"/>
      <c r="S714" s="1959"/>
      <c r="T714" s="1960"/>
      <c r="U714" s="1169"/>
      <c r="V714" s="1954" t="s">
        <v>29901</v>
      </c>
      <c r="W714" s="1955">
        <f>Liste!E106</f>
        <v>810</v>
      </c>
    </row>
    <row r="715" spans="2:28" ht="15.75" x14ac:dyDescent="0.2">
      <c r="B715" s="1954" t="s">
        <v>31205</v>
      </c>
      <c r="C715" s="1956">
        <f>C713*C714/1000/1000</f>
        <v>0.36836921859999994</v>
      </c>
      <c r="E715" s="1170"/>
      <c r="F715" s="1172" t="s">
        <v>28180</v>
      </c>
      <c r="G715" s="1173">
        <f>IF(G714&gt;0,G714*C715*C716,0)</f>
        <v>0</v>
      </c>
      <c r="H715" s="1169" t="s">
        <v>28181</v>
      </c>
      <c r="K715" s="1172" t="str">
        <f>IF(G715&lt;&gt;0,IF(G715&lt;0.2,"Kleinteil, Gerundete Fläche:",""),"")</f>
        <v/>
      </c>
      <c r="L715" s="1174">
        <f>IF(K715&lt;&gt;"",0.2,0)</f>
        <v>0</v>
      </c>
      <c r="M715" s="1170"/>
      <c r="N715" s="1172" t="s">
        <v>28180</v>
      </c>
      <c r="O715" s="1173">
        <f>IF(O714&gt;0,W718*W715*W716+W725*W722*W723+W732*W729*W730,0)</f>
        <v>0</v>
      </c>
      <c r="P715" s="1959" t="s">
        <v>28181</v>
      </c>
      <c r="Q715" s="1139"/>
      <c r="R715" s="1139"/>
      <c r="S715" s="1961" t="str">
        <f>IF(O715&lt;&gt;0,IF(O715&lt;0.2,"Kleinteil, Gerundete Fläche:",""),"")</f>
        <v/>
      </c>
      <c r="T715" s="1964">
        <f>IF(S715&lt;&gt;"",0.2,0)</f>
        <v>0</v>
      </c>
      <c r="U715" s="1169"/>
      <c r="V715" s="1954" t="s">
        <v>31205</v>
      </c>
      <c r="W715" s="1956">
        <f>W713*W714/1000/1000</f>
        <v>0.13309110000000002</v>
      </c>
    </row>
    <row r="716" spans="2:28" ht="15.75" x14ac:dyDescent="0.2">
      <c r="B716" s="1954" t="s">
        <v>29902</v>
      </c>
      <c r="C716" s="1957">
        <v>1</v>
      </c>
      <c r="E716" s="1170"/>
      <c r="F716" s="1172" t="s">
        <v>28182</v>
      </c>
      <c r="G716" s="1173">
        <f>IF(G714&gt;0,G714*C715*C717,0)</f>
        <v>0</v>
      </c>
      <c r="H716" s="1169" t="s">
        <v>28181</v>
      </c>
      <c r="I716" s="1186" t="s">
        <v>29905</v>
      </c>
      <c r="J716" s="1169"/>
      <c r="K716" s="1169"/>
      <c r="L716" s="1171"/>
      <c r="M716" s="1170"/>
      <c r="N716" s="1172" t="s">
        <v>28182</v>
      </c>
      <c r="O716" s="1173">
        <f>IF(O714&gt;0,W718*W715*W717+W725*W722*W724+W732*W729*W731,0)</f>
        <v>0</v>
      </c>
      <c r="P716" s="1959" t="s">
        <v>28181</v>
      </c>
      <c r="Q716" s="1963" t="s">
        <v>29905</v>
      </c>
      <c r="R716" s="1959"/>
      <c r="S716" s="1959"/>
      <c r="T716" s="1960"/>
      <c r="U716" s="1169"/>
      <c r="V716" s="1954" t="s">
        <v>29902</v>
      </c>
      <c r="W716" s="1957">
        <v>1</v>
      </c>
    </row>
    <row r="717" spans="2:28" ht="14.25" x14ac:dyDescent="0.2">
      <c r="B717" s="1954" t="s">
        <v>29903</v>
      </c>
      <c r="C717" s="1957">
        <v>0</v>
      </c>
      <c r="E717" s="1170"/>
      <c r="F717" s="1176"/>
      <c r="G717" s="1169"/>
      <c r="H717" s="1169"/>
      <c r="I717" s="1169"/>
      <c r="J717" s="1169"/>
      <c r="K717" s="1169"/>
      <c r="L717" s="1171"/>
      <c r="M717" s="1170"/>
      <c r="N717" s="1176"/>
      <c r="O717" s="1169"/>
      <c r="P717" s="1959"/>
      <c r="Q717" s="1959"/>
      <c r="R717" s="1959"/>
      <c r="S717" s="1959"/>
      <c r="T717" s="1960"/>
      <c r="U717" s="1169"/>
      <c r="V717" s="1954" t="s">
        <v>29903</v>
      </c>
      <c r="W717" s="1957">
        <v>0</v>
      </c>
    </row>
    <row r="718" spans="2:28" x14ac:dyDescent="0.2">
      <c r="E718" s="1170"/>
      <c r="F718" s="1169"/>
      <c r="G718" s="1169"/>
      <c r="H718" s="1169"/>
      <c r="I718" s="1169"/>
      <c r="J718" s="1169"/>
      <c r="K718" s="1169"/>
      <c r="L718" s="1171"/>
      <c r="M718" s="1170"/>
      <c r="N718" s="1169"/>
      <c r="O718" s="1169"/>
      <c r="P718" s="1959"/>
      <c r="Q718" s="1959"/>
      <c r="R718" s="1959"/>
      <c r="S718" s="1959"/>
      <c r="T718" s="1960"/>
      <c r="U718" s="1169"/>
      <c r="V718" s="1954" t="s">
        <v>27904</v>
      </c>
      <c r="W718" s="1950">
        <f>Liste!D106</f>
        <v>0</v>
      </c>
    </row>
    <row r="719" spans="2:28" ht="16.5" x14ac:dyDescent="0.2">
      <c r="E719" s="1170"/>
      <c r="F719" s="1177" t="s">
        <v>28183</v>
      </c>
      <c r="G719" s="1169"/>
      <c r="H719" s="1169"/>
      <c r="I719" s="1169"/>
      <c r="J719" s="1169"/>
      <c r="K719" s="1169"/>
      <c r="L719" s="1171"/>
      <c r="M719" s="1170"/>
      <c r="N719" s="1177" t="s">
        <v>28183</v>
      </c>
      <c r="O719" s="1169"/>
      <c r="P719" s="1959"/>
      <c r="Q719" s="1959"/>
      <c r="R719" s="1959"/>
      <c r="S719" s="1959"/>
      <c r="T719" s="1960"/>
      <c r="U719" s="1169"/>
    </row>
    <row r="720" spans="2:28" x14ac:dyDescent="0.2">
      <c r="E720" s="1170"/>
      <c r="F720" s="1169"/>
      <c r="G720" s="1169"/>
      <c r="H720" s="1169"/>
      <c r="I720" s="1169"/>
      <c r="J720" s="1169"/>
      <c r="K720" s="1169"/>
      <c r="L720" s="1171"/>
      <c r="M720" s="1170"/>
      <c r="N720" s="1169"/>
      <c r="O720" s="1169"/>
      <c r="P720" s="1959"/>
      <c r="Q720" s="1959"/>
      <c r="R720" s="1959"/>
      <c r="S720" s="1959"/>
      <c r="T720" s="1960"/>
      <c r="U720" s="1169"/>
      <c r="V720" s="1954" t="s">
        <v>29900</v>
      </c>
      <c r="W720" s="1955">
        <f>Liste!F114</f>
        <v>267.31</v>
      </c>
    </row>
    <row r="721" spans="5:28" x14ac:dyDescent="0.2">
      <c r="E721" s="1170"/>
      <c r="F721" s="1169"/>
      <c r="G721" s="1169"/>
      <c r="H721" s="1169"/>
      <c r="I721" s="1169"/>
      <c r="J721" s="1169"/>
      <c r="K721" s="1169"/>
      <c r="L721" s="1171"/>
      <c r="M721" s="1170"/>
      <c r="N721" s="1169"/>
      <c r="O721" s="1169"/>
      <c r="P721" s="1169"/>
      <c r="Q721" s="1169"/>
      <c r="R721" s="1169"/>
      <c r="S721" s="1169"/>
      <c r="T721" s="1171"/>
      <c r="U721" s="1169"/>
      <c r="V721" s="1954" t="s">
        <v>29901</v>
      </c>
      <c r="W721" s="1955">
        <f>Liste!E114</f>
        <v>810</v>
      </c>
    </row>
    <row r="722" spans="5:28" x14ac:dyDescent="0.2">
      <c r="E722" s="1170"/>
      <c r="F722" s="1169"/>
      <c r="G722" s="1169"/>
      <c r="H722" s="1169"/>
      <c r="I722" s="1169"/>
      <c r="J722" s="1169"/>
      <c r="K722" s="1169"/>
      <c r="L722" s="1171"/>
      <c r="M722" s="1170"/>
      <c r="N722" s="1169"/>
      <c r="O722" s="1169"/>
      <c r="P722" s="1169"/>
      <c r="Q722" s="1169"/>
      <c r="R722" s="1169"/>
      <c r="S722" s="1169"/>
      <c r="T722" s="1171"/>
      <c r="U722" s="1169"/>
      <c r="V722" s="1954" t="s">
        <v>31205</v>
      </c>
      <c r="W722" s="1956">
        <f>W720*W721/1000/1000</f>
        <v>0.21652110000000002</v>
      </c>
    </row>
    <row r="723" spans="5:28" ht="14.25" x14ac:dyDescent="0.2">
      <c r="E723" s="1170"/>
      <c r="F723" s="1169"/>
      <c r="G723" s="1169"/>
      <c r="H723" s="1169"/>
      <c r="I723" s="1169"/>
      <c r="J723" s="1169"/>
      <c r="K723" s="1169"/>
      <c r="L723" s="1171"/>
      <c r="M723" s="1170"/>
      <c r="N723" s="1169"/>
      <c r="O723" s="1169"/>
      <c r="P723" s="1169"/>
      <c r="Q723" s="1169"/>
      <c r="R723" s="1169"/>
      <c r="S723" s="1169"/>
      <c r="T723" s="1171"/>
      <c r="U723" s="1169"/>
      <c r="V723" s="1954" t="s">
        <v>29902</v>
      </c>
      <c r="W723" s="1957">
        <v>1</v>
      </c>
    </row>
    <row r="724" spans="5:28" ht="14.25" x14ac:dyDescent="0.2">
      <c r="E724" s="1170"/>
      <c r="F724" s="1169"/>
      <c r="G724" s="1169"/>
      <c r="I724" s="1169"/>
      <c r="J724" s="1169"/>
      <c r="K724" s="1169"/>
      <c r="L724" s="1171"/>
      <c r="M724" s="1170"/>
      <c r="N724" s="1169"/>
      <c r="O724" s="1169"/>
      <c r="Q724" s="1169"/>
      <c r="R724" s="1169"/>
      <c r="S724" s="1169"/>
      <c r="T724" s="1171"/>
      <c r="U724" s="1169"/>
      <c r="V724" s="1954" t="s">
        <v>29903</v>
      </c>
      <c r="W724" s="1957">
        <v>0</v>
      </c>
    </row>
    <row r="725" spans="5:28" x14ac:dyDescent="0.2">
      <c r="E725" s="1170"/>
      <c r="F725" s="1169"/>
      <c r="G725" s="1169"/>
      <c r="H725" s="1169"/>
      <c r="I725" s="1169"/>
      <c r="J725" s="1169"/>
      <c r="K725" s="1169"/>
      <c r="L725" s="1171"/>
      <c r="M725" s="1170"/>
      <c r="N725" s="1169"/>
      <c r="O725" s="1169"/>
      <c r="P725" s="1169"/>
      <c r="Q725" s="1169"/>
      <c r="R725" s="1169"/>
      <c r="S725" s="1169"/>
      <c r="T725" s="1171"/>
      <c r="U725" s="1169"/>
      <c r="V725" s="1954" t="s">
        <v>27904</v>
      </c>
      <c r="W725" s="1950">
        <f>Liste!D114</f>
        <v>0</v>
      </c>
    </row>
    <row r="726" spans="5:28" x14ac:dyDescent="0.2">
      <c r="E726" s="1170"/>
      <c r="F726" s="1169"/>
      <c r="G726" s="1169"/>
      <c r="H726" s="1169"/>
      <c r="I726" s="1169"/>
      <c r="J726" s="1169"/>
      <c r="K726" s="1169"/>
      <c r="L726" s="1171"/>
      <c r="M726" s="1170"/>
      <c r="N726" s="1169"/>
      <c r="O726" s="1169"/>
      <c r="P726" s="1169"/>
      <c r="Q726" s="1169"/>
      <c r="R726" s="1169"/>
      <c r="S726" s="1169"/>
      <c r="T726" s="1171"/>
      <c r="U726" s="1169"/>
    </row>
    <row r="727" spans="5:28" x14ac:dyDescent="0.2">
      <c r="E727" s="1170"/>
      <c r="F727" s="1169"/>
      <c r="G727" s="1169"/>
      <c r="H727" s="1169"/>
      <c r="I727" s="1169"/>
      <c r="J727" s="1169"/>
      <c r="L727" s="1171"/>
      <c r="M727" s="1170"/>
      <c r="N727" s="1169"/>
      <c r="O727" s="1169"/>
      <c r="P727" s="1169"/>
      <c r="Q727" s="1169"/>
      <c r="R727" s="1169"/>
      <c r="T727" s="1171"/>
      <c r="U727" s="1169"/>
      <c r="V727" s="1954" t="s">
        <v>29900</v>
      </c>
      <c r="W727" s="1955">
        <f>Liste!F124</f>
        <v>177.31</v>
      </c>
    </row>
    <row r="728" spans="5:28" x14ac:dyDescent="0.2">
      <c r="E728" s="1170"/>
      <c r="F728" s="1169"/>
      <c r="G728" s="1169"/>
      <c r="H728" s="1169"/>
      <c r="I728" s="1169"/>
      <c r="J728" s="1169"/>
      <c r="K728" s="1169"/>
      <c r="L728" s="1171"/>
      <c r="M728" s="1170"/>
      <c r="N728" s="1169"/>
      <c r="O728" s="1169"/>
      <c r="P728" s="1169"/>
      <c r="Q728" s="1169"/>
      <c r="R728" s="1169"/>
      <c r="S728" s="1169"/>
      <c r="T728" s="1171"/>
      <c r="U728" s="1169"/>
      <c r="V728" s="1954" t="s">
        <v>29901</v>
      </c>
      <c r="W728" s="1955">
        <f>Liste!E124</f>
        <v>810</v>
      </c>
    </row>
    <row r="729" spans="5:28" x14ac:dyDescent="0.2">
      <c r="E729" s="1170"/>
      <c r="F729" s="1169"/>
      <c r="G729" s="1169"/>
      <c r="H729" s="1169"/>
      <c r="I729" s="1169"/>
      <c r="J729" s="1169"/>
      <c r="K729" s="1169"/>
      <c r="L729" s="1171"/>
      <c r="M729" s="1170"/>
      <c r="N729" s="1169"/>
      <c r="O729" s="1169"/>
      <c r="P729" s="1169"/>
      <c r="Q729" s="1169"/>
      <c r="R729" s="1169"/>
      <c r="S729" s="1169"/>
      <c r="T729" s="1171"/>
      <c r="U729" s="1169"/>
      <c r="V729" s="1954" t="s">
        <v>31205</v>
      </c>
      <c r="W729" s="1956">
        <f>W727*W728/1000/1000</f>
        <v>0.1436211</v>
      </c>
    </row>
    <row r="730" spans="5:28" ht="14.25" x14ac:dyDescent="0.2">
      <c r="E730" s="1170"/>
      <c r="F730" s="1169"/>
      <c r="G730" s="1169"/>
      <c r="H730" s="1169"/>
      <c r="I730" s="1169"/>
      <c r="J730" s="1169"/>
      <c r="K730" s="1169"/>
      <c r="L730" s="1171"/>
      <c r="M730" s="1170"/>
      <c r="N730" s="1169"/>
      <c r="O730" s="1169"/>
      <c r="P730" s="1169"/>
      <c r="Q730" s="1169"/>
      <c r="R730" s="1169"/>
      <c r="S730" s="1169"/>
      <c r="T730" s="1171"/>
      <c r="U730" s="1169"/>
      <c r="V730" s="1954" t="s">
        <v>29902</v>
      </c>
      <c r="W730" s="1957">
        <v>1</v>
      </c>
    </row>
    <row r="731" spans="5:28" ht="14.25" x14ac:dyDescent="0.2">
      <c r="E731" s="1170"/>
      <c r="F731" s="1169"/>
      <c r="G731" s="1169"/>
      <c r="H731" s="1169"/>
      <c r="I731" s="1169"/>
      <c r="J731" s="1169"/>
      <c r="K731" s="1169"/>
      <c r="L731" s="1171"/>
      <c r="M731" s="1170"/>
      <c r="N731" s="1169"/>
      <c r="O731" s="1169"/>
      <c r="P731" s="1169"/>
      <c r="Q731" s="1169"/>
      <c r="R731" s="1169"/>
      <c r="S731" s="1169"/>
      <c r="T731" s="1171"/>
      <c r="U731" s="1169"/>
      <c r="V731" s="1954" t="s">
        <v>29903</v>
      </c>
      <c r="W731" s="1957">
        <v>0</v>
      </c>
    </row>
    <row r="732" spans="5:28" x14ac:dyDescent="0.2">
      <c r="E732" s="1170"/>
      <c r="F732" s="1169"/>
      <c r="G732" s="1169"/>
      <c r="H732" s="1169"/>
      <c r="I732" s="1169"/>
      <c r="J732" s="1169"/>
      <c r="K732" s="1169"/>
      <c r="L732" s="1171"/>
      <c r="M732" s="1170"/>
      <c r="N732" s="1169"/>
      <c r="O732" s="1169"/>
      <c r="P732" s="1169"/>
      <c r="Q732" s="1169"/>
      <c r="R732" s="1169"/>
      <c r="S732" s="1169"/>
      <c r="T732" s="1171"/>
      <c r="U732" s="1169"/>
      <c r="V732" s="1954" t="s">
        <v>27904</v>
      </c>
      <c r="W732" s="1950">
        <f>Liste!D124</f>
        <v>0</v>
      </c>
    </row>
    <row r="733" spans="5:28" x14ac:dyDescent="0.2">
      <c r="E733" s="1170"/>
      <c r="F733" s="1178"/>
      <c r="G733" s="1169"/>
      <c r="H733" s="1169"/>
      <c r="I733" s="1169"/>
      <c r="J733" s="1169"/>
      <c r="K733" s="1169"/>
      <c r="L733" s="1171"/>
      <c r="M733" s="1170"/>
      <c r="N733" s="1178"/>
      <c r="O733" s="1169"/>
      <c r="P733" s="1169"/>
      <c r="Q733" s="1169"/>
      <c r="R733" s="1169"/>
      <c r="S733" s="1169"/>
      <c r="T733" s="1171"/>
      <c r="U733" s="1169"/>
    </row>
    <row r="734" spans="5:28" ht="14.25" x14ac:dyDescent="0.2">
      <c r="E734" s="1170"/>
      <c r="F734" s="1179"/>
      <c r="G734" s="1169"/>
      <c r="H734" s="1169"/>
      <c r="I734" s="1169"/>
      <c r="J734" s="1169"/>
      <c r="K734" s="1169"/>
      <c r="L734" s="1171"/>
      <c r="M734" s="1170"/>
      <c r="N734" s="1179"/>
      <c r="O734" s="1169"/>
      <c r="P734" s="1169"/>
      <c r="Q734" s="1169"/>
      <c r="R734" s="1169"/>
      <c r="S734" s="1169"/>
      <c r="T734" s="1171"/>
      <c r="U734" s="1169"/>
    </row>
    <row r="735" spans="5:28" x14ac:dyDescent="0.2">
      <c r="E735" s="1170"/>
      <c r="F735" s="1176"/>
      <c r="G735" s="1169"/>
      <c r="H735" s="1169"/>
      <c r="I735" s="1169"/>
      <c r="J735" s="1169"/>
      <c r="K735" s="1169"/>
      <c r="L735" s="1171"/>
      <c r="M735" s="1170"/>
      <c r="N735" s="1176"/>
      <c r="O735" s="1169"/>
      <c r="P735" s="1169"/>
      <c r="Q735" s="1169"/>
      <c r="R735" s="1169"/>
      <c r="S735" s="1169"/>
      <c r="T735" s="1171"/>
      <c r="U735" s="1169"/>
      <c r="Y735" s="1158">
        <f>G715+O715</f>
        <v>0</v>
      </c>
      <c r="Z735" s="1159">
        <f>O714+G714</f>
        <v>0</v>
      </c>
      <c r="AA735" s="1180">
        <f>(IF(G715&lt;0.2,G714,0))+(IF(O715&lt;0.2,O714,0))</f>
        <v>0</v>
      </c>
      <c r="AB735" s="1158">
        <f>G716+O716</f>
        <v>0</v>
      </c>
    </row>
    <row r="736" spans="5:28" ht="13.5" thickBot="1" x14ac:dyDescent="0.25">
      <c r="E736" s="1181"/>
      <c r="F736" s="1182"/>
      <c r="G736" s="1182"/>
      <c r="H736" s="1182"/>
      <c r="I736" s="1182"/>
      <c r="J736" s="1182"/>
      <c r="K736" s="1182"/>
      <c r="L736" s="1183"/>
      <c r="M736" s="1181"/>
      <c r="N736" s="1182"/>
      <c r="O736" s="1182"/>
      <c r="P736" s="1182"/>
      <c r="Q736" s="1182"/>
      <c r="R736" s="1182"/>
      <c r="S736" s="1182"/>
      <c r="T736" s="1183"/>
      <c r="U736" s="1169"/>
    </row>
    <row r="737" spans="2:23" ht="26.25" x14ac:dyDescent="0.2">
      <c r="E737" s="1167">
        <f>M712+1</f>
        <v>55</v>
      </c>
      <c r="F737" s="3454" t="s">
        <v>28178</v>
      </c>
      <c r="G737" s="3455"/>
      <c r="H737" s="3456" t="s">
        <v>29941</v>
      </c>
      <c r="I737" s="3456"/>
      <c r="J737" s="3456"/>
      <c r="K737" s="3457"/>
      <c r="L737" s="1168">
        <f>IF(G740&gt;0.2,G740,0)</f>
        <v>0</v>
      </c>
      <c r="M737" s="1167">
        <f>E737+1</f>
        <v>56</v>
      </c>
      <c r="N737" s="3454" t="s">
        <v>28178</v>
      </c>
      <c r="O737" s="3455"/>
      <c r="P737" s="3456"/>
      <c r="Q737" s="3456"/>
      <c r="R737" s="3456"/>
      <c r="S737" s="3457"/>
      <c r="T737" s="1168">
        <f>IF(O740&gt;0.2,O740,0)</f>
        <v>0</v>
      </c>
      <c r="U737" s="1169"/>
    </row>
    <row r="738" spans="2:23" x14ac:dyDescent="0.2">
      <c r="B738" s="1954" t="s">
        <v>29900</v>
      </c>
      <c r="C738" s="1955">
        <f>Liste!E108</f>
        <v>141.03</v>
      </c>
      <c r="E738" s="1170"/>
      <c r="F738" s="1169"/>
      <c r="G738" s="1169"/>
      <c r="H738" s="1169"/>
      <c r="I738" s="1169"/>
      <c r="J738" s="1169"/>
      <c r="K738" s="1169"/>
      <c r="L738" s="1171"/>
      <c r="M738" s="1170"/>
      <c r="N738" s="1169"/>
      <c r="O738" s="1169"/>
      <c r="P738" s="1169"/>
      <c r="Q738" s="1169"/>
      <c r="R738" s="1169"/>
      <c r="S738" s="1169"/>
      <c r="T738" s="1171"/>
      <c r="U738" s="1169"/>
      <c r="V738" s="1954" t="s">
        <v>29900</v>
      </c>
      <c r="W738" s="1955"/>
    </row>
    <row r="739" spans="2:23" ht="15.75" x14ac:dyDescent="0.2">
      <c r="B739" s="1954" t="s">
        <v>29901</v>
      </c>
      <c r="C739" s="1955">
        <f>Liste!F108</f>
        <v>164.31</v>
      </c>
      <c r="E739" s="1170"/>
      <c r="F739" s="1172" t="s">
        <v>27904</v>
      </c>
      <c r="G739" s="1173">
        <f>IF(R18="ja",C743+C750+C757,0)</f>
        <v>0</v>
      </c>
      <c r="H739" s="1959" t="s">
        <v>28179</v>
      </c>
      <c r="I739" s="1959"/>
      <c r="J739" s="1959"/>
      <c r="K739" s="1959"/>
      <c r="L739" s="1960"/>
      <c r="M739" s="1170"/>
      <c r="N739" s="1172" t="s">
        <v>27904</v>
      </c>
      <c r="O739" s="1173"/>
      <c r="P739" s="1169" t="s">
        <v>28179</v>
      </c>
      <c r="Q739" s="1169"/>
      <c r="R739" s="1169"/>
      <c r="S739" s="1169"/>
      <c r="T739" s="1171"/>
      <c r="U739" s="1169"/>
      <c r="V739" s="1954" t="s">
        <v>29901</v>
      </c>
      <c r="W739" s="1955"/>
    </row>
    <row r="740" spans="2:23" ht="15.75" x14ac:dyDescent="0.2">
      <c r="B740" s="1954" t="s">
        <v>31205</v>
      </c>
      <c r="C740" s="1956">
        <f>C738*C739/1000/1000</f>
        <v>2.3172639299999999E-2</v>
      </c>
      <c r="E740" s="1170"/>
      <c r="F740" s="1172" t="s">
        <v>28180</v>
      </c>
      <c r="G740" s="1173">
        <f>IF(G739&gt;0,C743*C740*C741+C750*C747*C748+C757*C754*C755,0)</f>
        <v>0</v>
      </c>
      <c r="H740" s="1959" t="s">
        <v>28181</v>
      </c>
      <c r="I740" s="1139"/>
      <c r="J740" s="1139"/>
      <c r="K740" s="1961" t="str">
        <f>IF(G740&lt;&gt;0,IF(G740&lt;0.2,"Kleinteil, Gerundete Fläche:",""),"")</f>
        <v/>
      </c>
      <c r="L740" s="1962">
        <f>IF(K740&lt;&gt;"",0.2,0)</f>
        <v>0</v>
      </c>
      <c r="M740" s="1170"/>
      <c r="N740" s="1172" t="s">
        <v>28180</v>
      </c>
      <c r="O740" s="1173">
        <f>IF(O739&gt;0,O739*W740*W741,0)</f>
        <v>0</v>
      </c>
      <c r="P740" s="1169" t="s">
        <v>28181</v>
      </c>
      <c r="S740" s="1172" t="str">
        <f>IF(O740&lt;&gt;0,IF(O740&lt;0.2,"Kleinteil, Gerundete Fläche:",""),"")</f>
        <v/>
      </c>
      <c r="T740" s="1175">
        <f>IF(S740&lt;&gt;"",0.2,0)</f>
        <v>0</v>
      </c>
      <c r="U740" s="1169"/>
      <c r="V740" s="1954" t="s">
        <v>31205</v>
      </c>
      <c r="W740" s="1956">
        <f>W738*W739/1000/1000</f>
        <v>0</v>
      </c>
    </row>
    <row r="741" spans="2:23" ht="15.75" x14ac:dyDescent="0.2">
      <c r="B741" s="1954" t="s">
        <v>29902</v>
      </c>
      <c r="C741" s="1957">
        <v>1</v>
      </c>
      <c r="E741" s="1170"/>
      <c r="F741" s="1172" t="s">
        <v>28182</v>
      </c>
      <c r="G741" s="1173">
        <f>IF(G739&gt;0,C743*C740*C742+C750*C747*C749+C757*C754*C756,0)</f>
        <v>0</v>
      </c>
      <c r="H741" s="1959" t="s">
        <v>28181</v>
      </c>
      <c r="I741" s="1963" t="s">
        <v>29905</v>
      </c>
      <c r="J741" s="1959"/>
      <c r="K741" s="1959"/>
      <c r="L741" s="1960"/>
      <c r="M741" s="1170"/>
      <c r="N741" s="1172" t="s">
        <v>28182</v>
      </c>
      <c r="O741" s="1173">
        <f>IF(O739&gt;0,O739*W740*W742,0)</f>
        <v>0</v>
      </c>
      <c r="P741" s="1169" t="s">
        <v>28181</v>
      </c>
      <c r="Q741" s="1186"/>
      <c r="R741" s="1169"/>
      <c r="S741" s="1169"/>
      <c r="T741" s="1171"/>
      <c r="U741" s="1169"/>
      <c r="V741" s="1954" t="s">
        <v>29902</v>
      </c>
      <c r="W741" s="1957">
        <v>0</v>
      </c>
    </row>
    <row r="742" spans="2:23" ht="14.25" x14ac:dyDescent="0.2">
      <c r="B742" s="1954" t="s">
        <v>29903</v>
      </c>
      <c r="C742" s="1957">
        <v>0</v>
      </c>
      <c r="E742" s="1170"/>
      <c r="F742" s="1176"/>
      <c r="G742" s="1169"/>
      <c r="H742" s="1959"/>
      <c r="I742" s="1959"/>
      <c r="J742" s="1959"/>
      <c r="K742" s="1959"/>
      <c r="L742" s="1960"/>
      <c r="M742" s="1170"/>
      <c r="N742" s="1176"/>
      <c r="O742" s="1169"/>
      <c r="P742" s="1169"/>
      <c r="Q742" s="1169"/>
      <c r="R742" s="1169"/>
      <c r="S742" s="1169"/>
      <c r="T742" s="1171"/>
      <c r="U742" s="1169"/>
      <c r="V742" s="1954" t="s">
        <v>29903</v>
      </c>
      <c r="W742" s="1957">
        <v>0</v>
      </c>
    </row>
    <row r="743" spans="2:23" x14ac:dyDescent="0.2">
      <c r="B743" s="1954" t="s">
        <v>27904</v>
      </c>
      <c r="C743" s="1950">
        <f>Liste!D108+Liste!D110</f>
        <v>0</v>
      </c>
      <c r="E743" s="1170"/>
      <c r="F743" s="1169"/>
      <c r="G743" s="1169"/>
      <c r="H743" s="1959"/>
      <c r="I743" s="1959"/>
      <c r="J743" s="1959"/>
      <c r="K743" s="1959"/>
      <c r="L743" s="1960"/>
      <c r="M743" s="1170"/>
      <c r="N743" s="1169"/>
      <c r="O743" s="1169"/>
      <c r="P743" s="1169"/>
      <c r="Q743" s="1169"/>
      <c r="R743" s="1169"/>
      <c r="S743" s="1169"/>
      <c r="T743" s="1171"/>
      <c r="U743" s="1169"/>
    </row>
    <row r="744" spans="2:23" ht="16.5" x14ac:dyDescent="0.2">
      <c r="E744" s="1170"/>
      <c r="F744" s="1177" t="s">
        <v>28183</v>
      </c>
      <c r="G744" s="1169"/>
      <c r="H744" s="1959"/>
      <c r="I744" s="1959"/>
      <c r="J744" s="1959"/>
      <c r="K744" s="1959"/>
      <c r="L744" s="1960"/>
      <c r="M744" s="1170"/>
      <c r="N744" s="1177" t="s">
        <v>28183</v>
      </c>
      <c r="O744" s="1169"/>
      <c r="P744" s="1169"/>
      <c r="Q744" s="1169"/>
      <c r="R744" s="1169"/>
      <c r="S744" s="1169"/>
      <c r="T744" s="1171"/>
      <c r="U744" s="1169"/>
    </row>
    <row r="745" spans="2:23" x14ac:dyDescent="0.2">
      <c r="B745" s="1954" t="s">
        <v>29900</v>
      </c>
      <c r="C745" s="1955">
        <f>Liste!E116</f>
        <v>224.03</v>
      </c>
      <c r="E745" s="1170"/>
      <c r="F745" s="1169"/>
      <c r="G745" s="1169"/>
      <c r="H745" s="1169"/>
      <c r="I745" s="1169"/>
      <c r="J745" s="1169"/>
      <c r="K745" s="1169"/>
      <c r="L745" s="1171"/>
      <c r="M745" s="1170"/>
      <c r="N745" s="1169"/>
      <c r="O745" s="1169"/>
      <c r="P745" s="1169"/>
      <c r="Q745" s="1169"/>
      <c r="R745" s="1169"/>
      <c r="S745" s="1169"/>
      <c r="T745" s="1171"/>
      <c r="U745" s="1169"/>
    </row>
    <row r="746" spans="2:23" x14ac:dyDescent="0.2">
      <c r="B746" s="1954" t="s">
        <v>29901</v>
      </c>
      <c r="C746" s="1955">
        <f>Liste!F116</f>
        <v>267.31</v>
      </c>
      <c r="E746" s="1170"/>
      <c r="F746" s="1169"/>
      <c r="G746" s="1169"/>
      <c r="H746" s="1169"/>
      <c r="I746" s="1169"/>
      <c r="J746" s="1169"/>
      <c r="K746" s="1169"/>
      <c r="L746" s="1171"/>
      <c r="M746" s="1170"/>
      <c r="N746" s="1169"/>
      <c r="O746" s="1169"/>
      <c r="P746" s="1169"/>
      <c r="Q746" s="1169"/>
      <c r="R746" s="1169"/>
      <c r="S746" s="1169"/>
      <c r="T746" s="1171"/>
      <c r="U746" s="1169"/>
    </row>
    <row r="747" spans="2:23" x14ac:dyDescent="0.2">
      <c r="B747" s="1954" t="s">
        <v>31205</v>
      </c>
      <c r="C747" s="1956">
        <f>C745*C746/1000/1000</f>
        <v>5.9885459299999999E-2</v>
      </c>
      <c r="E747" s="1170"/>
      <c r="F747" s="1169"/>
      <c r="G747" s="1169"/>
      <c r="H747" s="1169"/>
      <c r="I747" s="1169"/>
      <c r="J747" s="1169"/>
      <c r="K747" s="1169"/>
      <c r="L747" s="1171"/>
      <c r="M747" s="1170"/>
      <c r="N747" s="1169"/>
      <c r="O747" s="1169"/>
      <c r="P747" s="1169"/>
      <c r="Q747" s="1169"/>
      <c r="R747" s="1169"/>
      <c r="S747" s="1169"/>
      <c r="T747" s="1171"/>
      <c r="U747" s="1169"/>
    </row>
    <row r="748" spans="2:23" ht="14.25" x14ac:dyDescent="0.2">
      <c r="B748" s="1954" t="s">
        <v>29902</v>
      </c>
      <c r="C748" s="1957">
        <v>1</v>
      </c>
      <c r="E748" s="1170"/>
      <c r="F748" s="1169"/>
      <c r="G748" s="1169"/>
      <c r="H748" s="1169"/>
      <c r="I748" s="1169"/>
      <c r="J748" s="1169"/>
      <c r="K748" s="1169"/>
      <c r="L748" s="1171"/>
      <c r="M748" s="1170"/>
      <c r="N748" s="1169"/>
      <c r="O748" s="1169"/>
      <c r="P748" s="1169"/>
      <c r="Q748" s="1169"/>
      <c r="R748" s="1169"/>
      <c r="S748" s="1169"/>
      <c r="T748" s="1171"/>
      <c r="U748" s="1169"/>
    </row>
    <row r="749" spans="2:23" ht="14.25" x14ac:dyDescent="0.2">
      <c r="B749" s="1954" t="s">
        <v>29903</v>
      </c>
      <c r="C749" s="1957">
        <v>0</v>
      </c>
      <c r="E749" s="1170"/>
      <c r="F749" s="1169"/>
      <c r="G749" s="1169"/>
      <c r="I749" s="1169"/>
      <c r="J749" s="1169"/>
      <c r="K749" s="1169"/>
      <c r="L749" s="1171"/>
      <c r="M749" s="1170"/>
      <c r="N749" s="1169"/>
      <c r="O749" s="1169"/>
      <c r="Q749" s="1169"/>
      <c r="R749" s="1169"/>
      <c r="S749" s="1169"/>
      <c r="T749" s="1171"/>
      <c r="U749" s="1169"/>
    </row>
    <row r="750" spans="2:23" x14ac:dyDescent="0.2">
      <c r="B750" s="1954" t="s">
        <v>27904</v>
      </c>
      <c r="C750" s="1950">
        <f>Liste!D116+Liste!D118</f>
        <v>0</v>
      </c>
      <c r="E750" s="1170"/>
      <c r="F750" s="1169"/>
      <c r="G750" s="1169"/>
      <c r="H750" s="1169"/>
      <c r="I750" s="1169"/>
      <c r="J750" s="1169"/>
      <c r="K750" s="1169"/>
      <c r="L750" s="1171"/>
      <c r="M750" s="1170"/>
      <c r="N750" s="1169"/>
      <c r="O750" s="1169"/>
      <c r="P750" s="1169"/>
      <c r="Q750" s="1169"/>
      <c r="R750" s="1169"/>
      <c r="S750" s="1169"/>
      <c r="T750" s="1171"/>
      <c r="U750" s="1169"/>
    </row>
    <row r="751" spans="2:23" x14ac:dyDescent="0.2">
      <c r="E751" s="1170"/>
      <c r="F751" s="1169"/>
      <c r="G751" s="1169"/>
      <c r="H751" s="1169"/>
      <c r="I751" s="1169"/>
      <c r="J751" s="1169"/>
      <c r="K751" s="1169"/>
      <c r="L751" s="1171"/>
      <c r="M751" s="1170"/>
      <c r="N751" s="1169"/>
      <c r="O751" s="1169"/>
      <c r="P751" s="1169"/>
      <c r="Q751" s="1169"/>
      <c r="R751" s="1169"/>
      <c r="S751" s="1169"/>
      <c r="T751" s="1171"/>
      <c r="U751" s="1169"/>
    </row>
    <row r="752" spans="2:23" x14ac:dyDescent="0.2">
      <c r="B752" s="1954" t="s">
        <v>29900</v>
      </c>
      <c r="C752" s="1955">
        <f>Liste!E120</f>
        <v>154.03</v>
      </c>
      <c r="E752" s="1170"/>
      <c r="F752" s="1169"/>
      <c r="G752" s="1169"/>
      <c r="H752" s="1169"/>
      <c r="I752" s="1169"/>
      <c r="J752" s="1169"/>
      <c r="L752" s="1171"/>
      <c r="M752" s="1170"/>
      <c r="N752" s="1169"/>
      <c r="O752" s="1169"/>
      <c r="P752" s="1169"/>
      <c r="Q752" s="1169"/>
      <c r="R752" s="1169"/>
      <c r="T752" s="1171"/>
      <c r="U752" s="1169"/>
    </row>
    <row r="753" spans="2:28" x14ac:dyDescent="0.2">
      <c r="B753" s="1954" t="s">
        <v>29901</v>
      </c>
      <c r="C753" s="1955">
        <f>Liste!F120</f>
        <v>177.31</v>
      </c>
      <c r="E753" s="1170"/>
      <c r="F753" s="1169"/>
      <c r="G753" s="1169"/>
      <c r="H753" s="1169"/>
      <c r="I753" s="1169"/>
      <c r="J753" s="1169"/>
      <c r="K753" s="1169"/>
      <c r="L753" s="1171"/>
      <c r="M753" s="1170"/>
      <c r="N753" s="1169"/>
      <c r="O753" s="1169"/>
      <c r="P753" s="1169"/>
      <c r="Q753" s="1169"/>
      <c r="R753" s="1169"/>
      <c r="S753" s="1169"/>
      <c r="T753" s="1171"/>
      <c r="U753" s="1169"/>
    </row>
    <row r="754" spans="2:28" x14ac:dyDescent="0.2">
      <c r="B754" s="1954" t="s">
        <v>31205</v>
      </c>
      <c r="C754" s="1956">
        <f>C752*C753/1000/1000</f>
        <v>2.7311059299999999E-2</v>
      </c>
      <c r="E754" s="1170"/>
      <c r="F754" s="1169"/>
      <c r="G754" s="1169"/>
      <c r="H754" s="1169"/>
      <c r="I754" s="1169"/>
      <c r="J754" s="1169"/>
      <c r="K754" s="1169"/>
      <c r="L754" s="1171"/>
      <c r="M754" s="1170"/>
      <c r="N754" s="1169"/>
      <c r="O754" s="1169"/>
      <c r="P754" s="1169"/>
      <c r="Q754" s="1169"/>
      <c r="R754" s="1169"/>
      <c r="S754" s="1169"/>
      <c r="T754" s="1171"/>
      <c r="U754" s="1169"/>
    </row>
    <row r="755" spans="2:28" ht="14.25" x14ac:dyDescent="0.2">
      <c r="B755" s="1954" t="s">
        <v>29902</v>
      </c>
      <c r="C755" s="1957">
        <v>1</v>
      </c>
      <c r="E755" s="1170"/>
      <c r="F755" s="1169"/>
      <c r="G755" s="1169"/>
      <c r="H755" s="1169"/>
      <c r="I755" s="1169"/>
      <c r="J755" s="1169"/>
      <c r="K755" s="1169"/>
      <c r="L755" s="1171"/>
      <c r="M755" s="1170"/>
      <c r="N755" s="1169"/>
      <c r="O755" s="1169"/>
      <c r="P755" s="1169"/>
      <c r="Q755" s="1169"/>
      <c r="R755" s="1169"/>
      <c r="S755" s="1169"/>
      <c r="T755" s="1171"/>
      <c r="U755" s="1169"/>
    </row>
    <row r="756" spans="2:28" ht="14.25" x14ac:dyDescent="0.2">
      <c r="B756" s="1954" t="s">
        <v>29903</v>
      </c>
      <c r="C756" s="1957">
        <v>0</v>
      </c>
      <c r="E756" s="1170"/>
      <c r="F756" s="1169"/>
      <c r="G756" s="1169"/>
      <c r="H756" s="1169"/>
      <c r="I756" s="1169"/>
      <c r="J756" s="1169"/>
      <c r="K756" s="1169"/>
      <c r="L756" s="1171"/>
      <c r="M756" s="1170"/>
      <c r="N756" s="1169"/>
      <c r="O756" s="1169"/>
      <c r="P756" s="1169"/>
      <c r="Q756" s="1169"/>
      <c r="R756" s="1169"/>
      <c r="S756" s="1169"/>
      <c r="T756" s="1171"/>
      <c r="U756" s="1169"/>
    </row>
    <row r="757" spans="2:28" x14ac:dyDescent="0.2">
      <c r="B757" s="1954" t="s">
        <v>27904</v>
      </c>
      <c r="C757" s="1950">
        <f>Liste!D120+Liste!D122</f>
        <v>0</v>
      </c>
      <c r="E757" s="1170"/>
      <c r="F757" s="1169"/>
      <c r="G757" s="1169"/>
      <c r="H757" s="1169"/>
      <c r="I757" s="1169"/>
      <c r="J757" s="1169"/>
      <c r="K757" s="1169"/>
      <c r="L757" s="1171"/>
      <c r="M757" s="1170"/>
      <c r="N757" s="1169"/>
      <c r="O757" s="1169"/>
      <c r="P757" s="1169"/>
      <c r="Q757" s="1169"/>
      <c r="R757" s="1169"/>
      <c r="S757" s="1169"/>
      <c r="T757" s="1171"/>
      <c r="U757" s="1169"/>
    </row>
    <row r="758" spans="2:28" x14ac:dyDescent="0.2">
      <c r="E758" s="1170"/>
      <c r="F758" s="1178"/>
      <c r="G758" s="1169"/>
      <c r="H758" s="1169"/>
      <c r="I758" s="1169"/>
      <c r="J758" s="1169"/>
      <c r="K758" s="1169"/>
      <c r="L758" s="1171"/>
      <c r="M758" s="1170"/>
      <c r="N758" s="1178"/>
      <c r="O758" s="1169"/>
      <c r="P758" s="1169"/>
      <c r="Q758" s="1169"/>
      <c r="R758" s="1169"/>
      <c r="S758" s="1169"/>
      <c r="T758" s="1171"/>
      <c r="U758" s="1169"/>
    </row>
    <row r="759" spans="2:28" ht="14.25" x14ac:dyDescent="0.2">
      <c r="E759" s="1170"/>
      <c r="F759" s="1179"/>
      <c r="G759" s="1169"/>
      <c r="H759" s="1169"/>
      <c r="I759" s="1169"/>
      <c r="J759" s="1169"/>
      <c r="K759" s="1169"/>
      <c r="L759" s="1171"/>
      <c r="M759" s="1170"/>
      <c r="N759" s="1179"/>
      <c r="O759" s="1169"/>
      <c r="P759" s="1169"/>
      <c r="Q759" s="1169"/>
      <c r="R759" s="1169"/>
      <c r="S759" s="1169"/>
      <c r="T759" s="1171"/>
      <c r="U759" s="1169"/>
    </row>
    <row r="760" spans="2:28" x14ac:dyDescent="0.2">
      <c r="E760" s="1170"/>
      <c r="F760" s="1176"/>
      <c r="G760" s="1169"/>
      <c r="H760" s="1169"/>
      <c r="I760" s="1169"/>
      <c r="J760" s="1169"/>
      <c r="K760" s="1169"/>
      <c r="L760" s="1171"/>
      <c r="M760" s="1170"/>
      <c r="N760" s="1176"/>
      <c r="O760" s="1169"/>
      <c r="P760" s="1169"/>
      <c r="Q760" s="1169"/>
      <c r="R760" s="1169"/>
      <c r="S760" s="1169"/>
      <c r="T760" s="1171"/>
      <c r="U760" s="1169"/>
      <c r="Y760" s="1158">
        <f>G740+O740</f>
        <v>0</v>
      </c>
      <c r="Z760" s="1159">
        <f>O739+G739</f>
        <v>0</v>
      </c>
      <c r="AA760" s="1180">
        <f>(IF(G740&lt;0.2,G739,0))+(IF(O740&lt;0.2,O739,0))</f>
        <v>0</v>
      </c>
      <c r="AB760" s="1158">
        <f>G741+O741</f>
        <v>0</v>
      </c>
    </row>
    <row r="761" spans="2:28" ht="13.5" thickBot="1" x14ac:dyDescent="0.25">
      <c r="E761" s="1181"/>
      <c r="F761" s="1182"/>
      <c r="G761" s="1182"/>
      <c r="H761" s="1182"/>
      <c r="I761" s="1182"/>
      <c r="J761" s="1182"/>
      <c r="K761" s="1182"/>
      <c r="L761" s="1183"/>
      <c r="M761" s="1181"/>
      <c r="N761" s="1182"/>
      <c r="O761" s="1182"/>
      <c r="P761" s="1182"/>
      <c r="Q761" s="1182"/>
      <c r="R761" s="1182"/>
      <c r="S761" s="1182"/>
      <c r="T761" s="1183"/>
      <c r="U761" s="1169"/>
    </row>
    <row r="762" spans="2:28" ht="26.25" x14ac:dyDescent="0.2">
      <c r="E762" s="1167">
        <f>M737+1</f>
        <v>57</v>
      </c>
      <c r="F762" s="3454" t="s">
        <v>28178</v>
      </c>
      <c r="G762" s="3455"/>
      <c r="H762" s="3462" t="s">
        <v>29906</v>
      </c>
      <c r="I762" s="3462"/>
      <c r="J762" s="3462"/>
      <c r="K762" s="3463"/>
      <c r="L762" s="1168">
        <f>IF(G765&gt;0.2,G765,0)</f>
        <v>0</v>
      </c>
      <c r="M762" s="1167">
        <f>E762+1</f>
        <v>58</v>
      </c>
      <c r="N762" s="3454" t="s">
        <v>28178</v>
      </c>
      <c r="O762" s="3455"/>
      <c r="P762" s="3462" t="str">
        <f>"Verkleidungsblech Schieberelement mitte hinten "&amp;"("&amp;Liste!C61&amp;")"</f>
        <v>Verkleidungsblech Schieberelement mitte hinten (0308338)</v>
      </c>
      <c r="Q762" s="3462"/>
      <c r="R762" s="3462"/>
      <c r="S762" s="3463"/>
      <c r="T762" s="1168">
        <f>IF(O765&gt;0.2,O765,0)</f>
        <v>0</v>
      </c>
      <c r="U762" s="1169"/>
    </row>
    <row r="763" spans="2:28" x14ac:dyDescent="0.2">
      <c r="B763" s="1954" t="s">
        <v>29900</v>
      </c>
      <c r="C763" s="1955">
        <f>IF(Liste!D5&gt;0,Liste!E24,Liste!E74)</f>
        <v>920</v>
      </c>
      <c r="E763" s="1170"/>
      <c r="F763" s="1169"/>
      <c r="G763" s="1169"/>
      <c r="H763" s="1169"/>
      <c r="I763" s="1169"/>
      <c r="J763" s="1169"/>
      <c r="K763" s="1169"/>
      <c r="L763" s="1171"/>
      <c r="M763" s="1170"/>
      <c r="N763" s="1169"/>
      <c r="O763" s="1169"/>
      <c r="P763" s="1169"/>
      <c r="Q763" s="1169"/>
      <c r="R763" s="1169"/>
      <c r="S763" s="1169"/>
      <c r="T763" s="1171"/>
      <c r="U763" s="1169"/>
      <c r="V763" s="1954" t="s">
        <v>29900</v>
      </c>
      <c r="W763" s="1955">
        <f>Liste!E61</f>
        <v>920</v>
      </c>
    </row>
    <row r="764" spans="2:28" ht="15.75" x14ac:dyDescent="0.2">
      <c r="B764" s="1954" t="s">
        <v>29901</v>
      </c>
      <c r="C764" s="1955">
        <f>IF(Liste!D5&gt;0,Liste!F24,Liste!F74)</f>
        <v>558</v>
      </c>
      <c r="E764" s="1170"/>
      <c r="F764" s="1172" t="s">
        <v>27904</v>
      </c>
      <c r="G764" s="1173">
        <f>IF(J28="ja",Liste!D82+Liste!D24,0)</f>
        <v>0</v>
      </c>
      <c r="H764" s="1169" t="s">
        <v>28179</v>
      </c>
      <c r="I764" s="1169"/>
      <c r="J764" s="1169"/>
      <c r="K764" s="1169"/>
      <c r="L764" s="1171"/>
      <c r="M764" s="1170"/>
      <c r="N764" s="1172" t="s">
        <v>27904</v>
      </c>
      <c r="O764" s="1173">
        <f>IF(J28="ja",Liste!D61,0)</f>
        <v>0</v>
      </c>
      <c r="P764" s="1169" t="s">
        <v>28179</v>
      </c>
      <c r="Q764" s="1169"/>
      <c r="R764" s="1169"/>
      <c r="S764" s="1169"/>
      <c r="T764" s="1171"/>
      <c r="U764" s="1169"/>
      <c r="V764" s="1954" t="s">
        <v>29901</v>
      </c>
      <c r="W764" s="1955">
        <f>Liste!F61</f>
        <v>400</v>
      </c>
    </row>
    <row r="765" spans="2:28" ht="15.75" x14ac:dyDescent="0.2">
      <c r="B765" s="1954" t="s">
        <v>31205</v>
      </c>
      <c r="C765" s="1956">
        <f>C763*C764/1000/1000</f>
        <v>0.51336000000000004</v>
      </c>
      <c r="E765" s="1170"/>
      <c r="F765" s="1172" t="s">
        <v>28180</v>
      </c>
      <c r="G765" s="1173">
        <f>IF(G764&gt;0,G764*C765*C766,0)</f>
        <v>0</v>
      </c>
      <c r="H765" s="1169" t="s">
        <v>28181</v>
      </c>
      <c r="K765" s="1172" t="str">
        <f>IF(G765&lt;&gt;0,IF(G765&lt;0.2,"Kleinteil, Gerundete Fläche:",""),"")</f>
        <v/>
      </c>
      <c r="L765" s="1174">
        <f>IF(K765&lt;&gt;"",0.2,0)</f>
        <v>0</v>
      </c>
      <c r="M765" s="1170"/>
      <c r="N765" s="1172" t="s">
        <v>28180</v>
      </c>
      <c r="O765" s="1173">
        <f>IF(O764&gt;0,O764*W765*W766,0)</f>
        <v>0</v>
      </c>
      <c r="P765" s="1169" t="s">
        <v>28181</v>
      </c>
      <c r="S765" s="1172" t="str">
        <f>IF(O765&lt;&gt;0,IF(O765&lt;0.2,"Kleinteil, Gerundete Fläche:",""),"")</f>
        <v/>
      </c>
      <c r="T765" s="1175">
        <f>IF(S765&lt;&gt;"",0.2,0)</f>
        <v>0</v>
      </c>
      <c r="U765" s="1169"/>
      <c r="V765" s="1954" t="s">
        <v>31205</v>
      </c>
      <c r="W765" s="1956">
        <f>W763*W764/1000/1000</f>
        <v>0.36799999999999999</v>
      </c>
    </row>
    <row r="766" spans="2:28" ht="15.75" x14ac:dyDescent="0.2">
      <c r="B766" s="1954" t="s">
        <v>29902</v>
      </c>
      <c r="C766" s="1957">
        <v>1</v>
      </c>
      <c r="E766" s="1170"/>
      <c r="F766" s="1172" t="s">
        <v>28182</v>
      </c>
      <c r="G766" s="1173">
        <f>IF(G764&gt;0,G764*C765*C767,0)</f>
        <v>0</v>
      </c>
      <c r="H766" s="1169" t="s">
        <v>28181</v>
      </c>
      <c r="I766" s="1186" t="s">
        <v>30331</v>
      </c>
      <c r="J766" s="1169"/>
      <c r="K766" s="1169"/>
      <c r="L766" s="1171"/>
      <c r="M766" s="1170"/>
      <c r="N766" s="1172" t="s">
        <v>28182</v>
      </c>
      <c r="O766" s="1173">
        <f>IF(O764&gt;0,O764*W765*W767,0)</f>
        <v>0</v>
      </c>
      <c r="P766" s="1169" t="s">
        <v>28181</v>
      </c>
      <c r="Q766" s="1186" t="s">
        <v>30331</v>
      </c>
      <c r="R766" s="1169"/>
      <c r="S766" s="1169"/>
      <c r="T766" s="1171"/>
      <c r="U766" s="1169"/>
      <c r="V766" s="1954" t="s">
        <v>29902</v>
      </c>
      <c r="W766" s="1957">
        <v>1</v>
      </c>
    </row>
    <row r="767" spans="2:28" ht="14.25" x14ac:dyDescent="0.2">
      <c r="B767" s="1954" t="s">
        <v>29903</v>
      </c>
      <c r="C767" s="1957">
        <v>1</v>
      </c>
      <c r="E767" s="1170"/>
      <c r="F767" s="1176"/>
      <c r="G767" s="1169"/>
      <c r="H767" s="1169"/>
      <c r="I767" s="1169"/>
      <c r="J767" s="1169"/>
      <c r="K767" s="1169"/>
      <c r="L767" s="1171"/>
      <c r="M767" s="1170"/>
      <c r="N767" s="1176"/>
      <c r="O767" s="1169"/>
      <c r="P767" s="1169"/>
      <c r="Q767" s="1169"/>
      <c r="R767" s="1169"/>
      <c r="S767" s="1169"/>
      <c r="T767" s="1171"/>
      <c r="U767" s="1169"/>
      <c r="V767" s="1954" t="s">
        <v>29903</v>
      </c>
      <c r="W767" s="1957">
        <v>1</v>
      </c>
    </row>
    <row r="768" spans="2:28" x14ac:dyDescent="0.2">
      <c r="E768" s="1170"/>
      <c r="F768" s="1169"/>
      <c r="G768" s="1169"/>
      <c r="H768" s="1169"/>
      <c r="I768" s="1169"/>
      <c r="J768" s="1169"/>
      <c r="K768" s="1169"/>
      <c r="L768" s="1171"/>
      <c r="M768" s="1170"/>
      <c r="N768" s="1169"/>
      <c r="O768" s="1169"/>
      <c r="P768" s="1169"/>
      <c r="Q768" s="1169"/>
      <c r="R768" s="1169"/>
      <c r="S768" s="1169"/>
      <c r="T768" s="1171"/>
      <c r="U768" s="1169"/>
    </row>
    <row r="769" spans="5:21" ht="16.5" x14ac:dyDescent="0.2">
      <c r="E769" s="1170"/>
      <c r="F769" s="1177" t="s">
        <v>28183</v>
      </c>
      <c r="G769" s="1169"/>
      <c r="H769" s="1169"/>
      <c r="I769" s="1169"/>
      <c r="J769" s="1169"/>
      <c r="K769" s="1169"/>
      <c r="L769" s="1171"/>
      <c r="M769" s="1170"/>
      <c r="N769" s="1177" t="s">
        <v>28183</v>
      </c>
      <c r="O769" s="1169"/>
      <c r="P769" s="1169"/>
      <c r="Q769" s="1169"/>
      <c r="R769" s="1169"/>
      <c r="S769" s="1169"/>
      <c r="T769" s="1171"/>
      <c r="U769" s="1169"/>
    </row>
    <row r="770" spans="5:21" x14ac:dyDescent="0.2">
      <c r="E770" s="1170"/>
      <c r="F770" s="1169"/>
      <c r="G770" s="1169"/>
      <c r="H770" s="1169"/>
      <c r="I770" s="1169"/>
      <c r="J770" s="1169"/>
      <c r="K770" s="1169"/>
      <c r="L770" s="1171"/>
      <c r="M770" s="1170"/>
      <c r="N770" s="1169"/>
      <c r="O770" s="1169"/>
      <c r="P770" s="1169"/>
      <c r="Q770" s="1169"/>
      <c r="R770" s="1169"/>
      <c r="S770" s="1169"/>
      <c r="T770" s="1171"/>
      <c r="U770" s="1169"/>
    </row>
    <row r="771" spans="5:21" x14ac:dyDescent="0.2">
      <c r="E771" s="1170"/>
      <c r="F771" s="1169"/>
      <c r="G771" s="1169"/>
      <c r="H771" s="1169"/>
      <c r="I771" s="1169"/>
      <c r="J771" s="1169"/>
      <c r="K771" s="1169"/>
      <c r="L771" s="1171"/>
      <c r="M771" s="1170"/>
      <c r="N771" s="1169"/>
      <c r="O771" s="1169"/>
      <c r="P771" s="1169"/>
      <c r="Q771" s="1169"/>
      <c r="R771" s="1169"/>
      <c r="S771" s="1169"/>
      <c r="T771" s="1171"/>
      <c r="U771" s="1169"/>
    </row>
    <row r="772" spans="5:21" x14ac:dyDescent="0.2">
      <c r="E772" s="1170"/>
      <c r="F772" s="1169"/>
      <c r="G772" s="1169"/>
      <c r="H772" s="1169"/>
      <c r="I772" s="1169"/>
      <c r="J772" s="1169"/>
      <c r="K772" s="1169"/>
      <c r="L772" s="1171"/>
      <c r="M772" s="1170"/>
      <c r="N772" s="1169"/>
      <c r="O772" s="1169"/>
      <c r="P772" s="1169"/>
      <c r="Q772" s="1169"/>
      <c r="R772" s="1169"/>
      <c r="S772" s="1169"/>
      <c r="T772" s="1171"/>
      <c r="U772" s="1169"/>
    </row>
    <row r="773" spans="5:21" x14ac:dyDescent="0.2">
      <c r="E773" s="1170"/>
      <c r="F773" s="1169"/>
      <c r="G773" s="1169"/>
      <c r="H773" s="1169"/>
      <c r="I773" s="1169"/>
      <c r="J773" s="1169"/>
      <c r="K773" s="1169"/>
      <c r="L773" s="1171"/>
      <c r="M773" s="1170"/>
      <c r="N773" s="1169"/>
      <c r="O773" s="1169"/>
      <c r="P773" s="1169"/>
      <c r="Q773" s="1169"/>
      <c r="R773" s="1169"/>
      <c r="S773" s="1169"/>
      <c r="T773" s="1171"/>
      <c r="U773" s="1169"/>
    </row>
    <row r="774" spans="5:21" x14ac:dyDescent="0.2">
      <c r="E774" s="1170"/>
      <c r="F774" s="1169"/>
      <c r="G774" s="1169"/>
      <c r="I774" s="1169"/>
      <c r="J774" s="1169"/>
      <c r="K774" s="1169"/>
      <c r="L774" s="1171"/>
      <c r="M774" s="1170"/>
      <c r="N774" s="1169"/>
      <c r="O774" s="1169"/>
      <c r="Q774" s="1169"/>
      <c r="R774" s="1169"/>
      <c r="S774" s="1169"/>
      <c r="T774" s="1171"/>
      <c r="U774" s="1169"/>
    </row>
    <row r="775" spans="5:21" x14ac:dyDescent="0.2">
      <c r="E775" s="1170"/>
      <c r="F775" s="1169"/>
      <c r="G775" s="1169"/>
      <c r="H775" s="1169"/>
      <c r="I775" s="1169"/>
      <c r="J775" s="1169"/>
      <c r="K775" s="1169"/>
      <c r="L775" s="1171"/>
      <c r="M775" s="1170"/>
      <c r="N775" s="1169"/>
      <c r="O775" s="1169"/>
      <c r="P775" s="1169"/>
      <c r="Q775" s="1169"/>
      <c r="R775" s="1169"/>
      <c r="S775" s="1169"/>
      <c r="T775" s="1171"/>
      <c r="U775" s="1169"/>
    </row>
    <row r="776" spans="5:21" x14ac:dyDescent="0.2">
      <c r="E776" s="1170"/>
      <c r="F776" s="1169"/>
      <c r="G776" s="1169"/>
      <c r="H776" s="1169"/>
      <c r="I776" s="1169"/>
      <c r="J776" s="1169"/>
      <c r="K776" s="1169"/>
      <c r="L776" s="1171"/>
      <c r="M776" s="1170"/>
      <c r="N776" s="1169"/>
      <c r="O776" s="1169"/>
      <c r="P776" s="1169"/>
      <c r="Q776" s="1169"/>
      <c r="R776" s="1169"/>
      <c r="S776" s="1169"/>
      <c r="T776" s="1171"/>
      <c r="U776" s="1169"/>
    </row>
    <row r="777" spans="5:21" x14ac:dyDescent="0.2">
      <c r="E777" s="1170"/>
      <c r="F777" s="1169"/>
      <c r="G777" s="1169"/>
      <c r="H777" s="1169"/>
      <c r="I777" s="1169"/>
      <c r="J777" s="1169"/>
      <c r="L777" s="1171"/>
      <c r="M777" s="1170"/>
      <c r="N777" s="1169"/>
      <c r="O777" s="1169"/>
      <c r="P777" s="1169"/>
      <c r="Q777" s="1169"/>
      <c r="R777" s="1169"/>
      <c r="T777" s="1171"/>
      <c r="U777" s="1169"/>
    </row>
    <row r="778" spans="5:21" x14ac:dyDescent="0.2">
      <c r="E778" s="1170"/>
      <c r="F778" s="1169"/>
      <c r="G778" s="1169"/>
      <c r="H778" s="1169"/>
      <c r="I778" s="1169"/>
      <c r="J778" s="1169"/>
      <c r="K778" s="1169"/>
      <c r="L778" s="1171"/>
      <c r="M778" s="1170"/>
      <c r="N778" s="1169"/>
      <c r="O778" s="1169"/>
      <c r="P778" s="1169"/>
      <c r="Q778" s="1169"/>
      <c r="R778" s="1169"/>
      <c r="S778" s="1169"/>
      <c r="T778" s="1171"/>
      <c r="U778" s="1169"/>
    </row>
    <row r="779" spans="5:21" x14ac:dyDescent="0.2">
      <c r="E779" s="1170"/>
      <c r="F779" s="1169"/>
      <c r="G779" s="1169"/>
      <c r="H779" s="1169"/>
      <c r="I779" s="1169"/>
      <c r="J779" s="1169"/>
      <c r="K779" s="1169"/>
      <c r="L779" s="1171"/>
      <c r="M779" s="1170"/>
      <c r="N779" s="1169"/>
      <c r="O779" s="1169"/>
      <c r="P779" s="1169"/>
      <c r="Q779" s="1169"/>
      <c r="R779" s="1169"/>
      <c r="S779" s="1169"/>
      <c r="T779" s="1171"/>
      <c r="U779" s="1169"/>
    </row>
    <row r="780" spans="5:21" x14ac:dyDescent="0.2">
      <c r="E780" s="1170"/>
      <c r="F780" s="1169"/>
      <c r="G780" s="1169"/>
      <c r="H780" s="1169"/>
      <c r="I780" s="1169"/>
      <c r="J780" s="1169"/>
      <c r="K780" s="1169"/>
      <c r="L780" s="1171"/>
      <c r="M780" s="1170"/>
      <c r="N780" s="1169"/>
      <c r="O780" s="1169"/>
      <c r="P780" s="1169"/>
      <c r="Q780" s="1169"/>
      <c r="R780" s="1169"/>
      <c r="S780" s="1169"/>
      <c r="T780" s="1171"/>
      <c r="U780" s="1169"/>
    </row>
    <row r="781" spans="5:21" x14ac:dyDescent="0.2">
      <c r="E781" s="1170"/>
      <c r="F781" s="1169"/>
      <c r="G781" s="1169"/>
      <c r="H781" s="1169"/>
      <c r="I781" s="1169"/>
      <c r="J781" s="1169"/>
      <c r="K781" s="1169"/>
      <c r="L781" s="1171"/>
      <c r="M781" s="1170"/>
      <c r="N781" s="1169"/>
      <c r="O781" s="1169"/>
      <c r="P781" s="1169"/>
      <c r="Q781" s="1169"/>
      <c r="R781" s="1169"/>
      <c r="S781" s="1169"/>
      <c r="T781" s="1171"/>
      <c r="U781" s="1169"/>
    </row>
    <row r="782" spans="5:21" x14ac:dyDescent="0.2">
      <c r="E782" s="1170"/>
      <c r="F782" s="1169"/>
      <c r="G782" s="1169"/>
      <c r="H782" s="1169"/>
      <c r="I782" s="1169"/>
      <c r="J782" s="1169"/>
      <c r="K782" s="1169"/>
      <c r="L782" s="1171"/>
      <c r="M782" s="1170"/>
      <c r="N782" s="1169"/>
      <c r="O782" s="1169"/>
      <c r="P782" s="1169"/>
      <c r="Q782" s="1169"/>
      <c r="R782" s="1169"/>
      <c r="S782" s="1169"/>
      <c r="T782" s="1171"/>
      <c r="U782" s="1169"/>
    </row>
    <row r="783" spans="5:21" x14ac:dyDescent="0.2">
      <c r="E783" s="1170"/>
      <c r="F783" s="1178"/>
      <c r="G783" s="1169"/>
      <c r="H783" s="1169"/>
      <c r="I783" s="1169"/>
      <c r="J783" s="1169"/>
      <c r="K783" s="1169"/>
      <c r="L783" s="1171"/>
      <c r="M783" s="1170"/>
      <c r="N783" s="1178"/>
      <c r="O783" s="1169"/>
      <c r="P783" s="1169"/>
      <c r="Q783" s="1169"/>
      <c r="R783" s="1169"/>
      <c r="S783" s="1169"/>
      <c r="T783" s="1171"/>
      <c r="U783" s="1169"/>
    </row>
    <row r="784" spans="5:21" ht="14.25" x14ac:dyDescent="0.2">
      <c r="E784" s="1170"/>
      <c r="F784" s="1179"/>
      <c r="G784" s="1169"/>
      <c r="H784" s="1169"/>
      <c r="I784" s="1169"/>
      <c r="J784" s="1169"/>
      <c r="K784" s="1169"/>
      <c r="L784" s="1171"/>
      <c r="M784" s="1170"/>
      <c r="N784" s="1179"/>
      <c r="O784" s="1169"/>
      <c r="P784" s="1169"/>
      <c r="Q784" s="1169"/>
      <c r="R784" s="1169"/>
      <c r="S784" s="1169"/>
      <c r="T784" s="1171"/>
      <c r="U784" s="1169"/>
    </row>
    <row r="785" spans="2:28" x14ac:dyDescent="0.2">
      <c r="E785" s="1170"/>
      <c r="F785" s="1176"/>
      <c r="G785" s="1169"/>
      <c r="H785" s="1169"/>
      <c r="I785" s="1169"/>
      <c r="J785" s="1169"/>
      <c r="K785" s="1169"/>
      <c r="L785" s="1171"/>
      <c r="M785" s="1170"/>
      <c r="N785" s="1176"/>
      <c r="O785" s="1169"/>
      <c r="P785" s="1169"/>
      <c r="Q785" s="1169"/>
      <c r="R785" s="1169"/>
      <c r="S785" s="1169"/>
      <c r="T785" s="1171"/>
      <c r="U785" s="1169"/>
      <c r="Y785" s="1158">
        <f>G765+O765</f>
        <v>0</v>
      </c>
      <c r="Z785" s="1159">
        <f>O764+G764</f>
        <v>0</v>
      </c>
      <c r="AA785" s="1180">
        <f>(IF(G765&lt;0.2,G764,0))+(IF(O765&lt;0.2,O764,0))</f>
        <v>0</v>
      </c>
      <c r="AB785" s="1158">
        <f>G766+O766</f>
        <v>0</v>
      </c>
    </row>
    <row r="786" spans="2:28" ht="13.5" thickBot="1" x14ac:dyDescent="0.25">
      <c r="E786" s="1181"/>
      <c r="F786" s="1182"/>
      <c r="G786" s="1182"/>
      <c r="H786" s="1182"/>
      <c r="I786" s="1182"/>
      <c r="J786" s="1182"/>
      <c r="K786" s="1182"/>
      <c r="L786" s="1183"/>
      <c r="M786" s="1181"/>
      <c r="N786" s="1182"/>
      <c r="O786" s="1182"/>
      <c r="P786" s="1182"/>
      <c r="Q786" s="1182"/>
      <c r="R786" s="1182"/>
      <c r="S786" s="1182"/>
      <c r="T786" s="1183"/>
      <c r="U786" s="1169"/>
    </row>
    <row r="787" spans="2:28" ht="26.25" x14ac:dyDescent="0.2">
      <c r="E787" s="1167">
        <f>M762+1</f>
        <v>59</v>
      </c>
      <c r="F787" s="3454" t="s">
        <v>28178</v>
      </c>
      <c r="G787" s="3455"/>
      <c r="H787" s="3462" t="str">
        <f>"Verkleidungsblech Schieberelement unten hinten "&amp;"("&amp;Liste!C135&amp;")"</f>
        <v>Verkleidungsblech Schieberelement unten hinten (0308338)</v>
      </c>
      <c r="I787" s="3462"/>
      <c r="J787" s="3462"/>
      <c r="K787" s="3463"/>
      <c r="L787" s="1168">
        <f>IF(G790&gt;0.2,G790,0)</f>
        <v>0</v>
      </c>
      <c r="M787" s="1167">
        <f>E787+1</f>
        <v>60</v>
      </c>
      <c r="N787" s="3454" t="s">
        <v>28178</v>
      </c>
      <c r="O787" s="3455"/>
      <c r="P787" s="3462" t="str">
        <f>"Verkleidungsblech Stoßabdeckung hinten "&amp;"("&amp;Liste!C183&amp;")"</f>
        <v>Verkleidungsblech Stoßabdeckung hinten (0308504)</v>
      </c>
      <c r="Q787" s="3462"/>
      <c r="R787" s="3462"/>
      <c r="S787" s="3463"/>
      <c r="T787" s="1168">
        <f>IF(O790&gt;0.2,O790,0)</f>
        <v>0</v>
      </c>
      <c r="U787" s="1169"/>
    </row>
    <row r="788" spans="2:28" x14ac:dyDescent="0.2">
      <c r="B788" s="1954" t="s">
        <v>29900</v>
      </c>
      <c r="C788" s="1955">
        <f>Liste!E135</f>
        <v>920</v>
      </c>
      <c r="E788" s="1170"/>
      <c r="F788" s="1169"/>
      <c r="G788" s="1169"/>
      <c r="H788" s="1169"/>
      <c r="I788" s="1169"/>
      <c r="J788" s="1169"/>
      <c r="K788" s="1169"/>
      <c r="L788" s="1171"/>
      <c r="M788" s="1170"/>
      <c r="N788" s="1169"/>
      <c r="O788" s="1169"/>
      <c r="P788" s="1169"/>
      <c r="Q788" s="1169"/>
      <c r="R788" s="1169"/>
      <c r="S788" s="1169"/>
      <c r="T788" s="1171"/>
      <c r="U788" s="1169"/>
      <c r="V788" s="1954" t="s">
        <v>29900</v>
      </c>
      <c r="W788" s="1955">
        <f>Liste!E183</f>
        <v>460</v>
      </c>
    </row>
    <row r="789" spans="2:28" ht="15.75" x14ac:dyDescent="0.2">
      <c r="B789" s="1954" t="s">
        <v>29901</v>
      </c>
      <c r="C789" s="1955">
        <f>Liste!F135</f>
        <v>186</v>
      </c>
      <c r="E789" s="1170"/>
      <c r="F789" s="1172" t="s">
        <v>27904</v>
      </c>
      <c r="G789" s="1173">
        <f>IF(J28="ja",Liste!D135,0)</f>
        <v>0</v>
      </c>
      <c r="H789" s="1169" t="s">
        <v>28179</v>
      </c>
      <c r="I789" s="1169"/>
      <c r="J789" s="1169"/>
      <c r="K789" s="1169"/>
      <c r="L789" s="1171"/>
      <c r="M789" s="1170"/>
      <c r="N789" s="1172" t="s">
        <v>27904</v>
      </c>
      <c r="O789" s="1173">
        <f>IF(J28="ja",Liste!D183,0)</f>
        <v>0</v>
      </c>
      <c r="P789" s="1169" t="s">
        <v>28179</v>
      </c>
      <c r="Q789" s="1169"/>
      <c r="R789" s="1169"/>
      <c r="S789" s="1169"/>
      <c r="T789" s="1171"/>
      <c r="U789" s="1169"/>
      <c r="V789" s="1954" t="s">
        <v>29901</v>
      </c>
      <c r="W789" s="1955">
        <f>Liste!F183</f>
        <v>125</v>
      </c>
    </row>
    <row r="790" spans="2:28" ht="15.75" x14ac:dyDescent="0.2">
      <c r="B790" s="1954" t="s">
        <v>31205</v>
      </c>
      <c r="C790" s="1956">
        <f>C788*C789/1000/1000</f>
        <v>0.17111999999999999</v>
      </c>
      <c r="E790" s="1170"/>
      <c r="F790" s="1172" t="s">
        <v>28180</v>
      </c>
      <c r="G790" s="1173">
        <f>IF(G789&gt;0,G789*C790*C791,0)</f>
        <v>0</v>
      </c>
      <c r="H790" s="1169" t="s">
        <v>28181</v>
      </c>
      <c r="K790" s="1172" t="str">
        <f>IF(G790&lt;&gt;0,IF(G790&lt;0.2,"Kleinteil, Gerundete Fläche:",""),"")</f>
        <v/>
      </c>
      <c r="L790" s="1174">
        <f>IF(K790&lt;&gt;"",0.2,0)</f>
        <v>0</v>
      </c>
      <c r="M790" s="1170"/>
      <c r="N790" s="1172" t="s">
        <v>28180</v>
      </c>
      <c r="O790" s="1173">
        <f>IF(O789&gt;0,O789*W790*W791,0)</f>
        <v>0</v>
      </c>
      <c r="P790" s="1169" t="s">
        <v>28181</v>
      </c>
      <c r="S790" s="1172" t="str">
        <f>IF(O790&lt;&gt;0,IF(O790&lt;0.2,"Kleinteil, Gerundete Fläche:",""),"")</f>
        <v/>
      </c>
      <c r="T790" s="1175">
        <f>IF(S790&lt;&gt;"",0.2,0)</f>
        <v>0</v>
      </c>
      <c r="U790" s="1169"/>
      <c r="V790" s="1954" t="s">
        <v>31205</v>
      </c>
      <c r="W790" s="1956">
        <f>W788*W789/1000/1000</f>
        <v>5.7500000000000002E-2</v>
      </c>
    </row>
    <row r="791" spans="2:28" ht="15.75" x14ac:dyDescent="0.2">
      <c r="B791" s="1954" t="s">
        <v>29902</v>
      </c>
      <c r="C791" s="1957">
        <v>1</v>
      </c>
      <c r="E791" s="1170"/>
      <c r="F791" s="1172" t="s">
        <v>28182</v>
      </c>
      <c r="G791" s="1173">
        <f>IF(G789&gt;0,G789*C790*C792,0)</f>
        <v>0</v>
      </c>
      <c r="H791" s="1169" t="s">
        <v>28181</v>
      </c>
      <c r="I791" s="1186" t="s">
        <v>30331</v>
      </c>
      <c r="J791" s="1169"/>
      <c r="K791" s="1169"/>
      <c r="L791" s="1171"/>
      <c r="M791" s="1170"/>
      <c r="N791" s="1172" t="s">
        <v>28182</v>
      </c>
      <c r="O791" s="1173">
        <f>IF(O789&gt;0,O789*W790*W792,0)</f>
        <v>0</v>
      </c>
      <c r="P791" s="1169" t="s">
        <v>28181</v>
      </c>
      <c r="Q791" s="1186" t="s">
        <v>30331</v>
      </c>
      <c r="R791" s="1169"/>
      <c r="S791" s="1169"/>
      <c r="T791" s="1171"/>
      <c r="U791" s="1169"/>
      <c r="V791" s="1954" t="s">
        <v>29902</v>
      </c>
      <c r="W791" s="1957">
        <v>1</v>
      </c>
    </row>
    <row r="792" spans="2:28" ht="14.25" x14ac:dyDescent="0.2">
      <c r="B792" s="1954" t="s">
        <v>29903</v>
      </c>
      <c r="C792" s="1957">
        <v>1</v>
      </c>
      <c r="E792" s="1170"/>
      <c r="F792" s="1176"/>
      <c r="G792" s="1169"/>
      <c r="H792" s="1169"/>
      <c r="I792" s="1169"/>
      <c r="J792" s="1169"/>
      <c r="K792" s="1169"/>
      <c r="L792" s="1171"/>
      <c r="M792" s="1170"/>
      <c r="N792" s="1176"/>
      <c r="O792" s="1169"/>
      <c r="P792" s="1169"/>
      <c r="Q792" s="1169"/>
      <c r="R792" s="1169"/>
      <c r="S792" s="1169"/>
      <c r="T792" s="1171"/>
      <c r="U792" s="1169"/>
      <c r="V792" s="1954" t="s">
        <v>29903</v>
      </c>
      <c r="W792" s="1957">
        <v>1</v>
      </c>
    </row>
    <row r="793" spans="2:28" x14ac:dyDescent="0.2">
      <c r="E793" s="1170"/>
      <c r="F793" s="1169"/>
      <c r="G793" s="1169"/>
      <c r="H793" s="1169"/>
      <c r="I793" s="1169"/>
      <c r="J793" s="1169"/>
      <c r="K793" s="1169"/>
      <c r="L793" s="1171"/>
      <c r="M793" s="1170"/>
      <c r="N793" s="1169"/>
      <c r="O793" s="1169"/>
      <c r="P793" s="1169"/>
      <c r="Q793" s="1169"/>
      <c r="R793" s="1169"/>
      <c r="S793" s="1169"/>
      <c r="T793" s="1171"/>
      <c r="U793" s="1169"/>
    </row>
    <row r="794" spans="2:28" ht="16.5" x14ac:dyDescent="0.2">
      <c r="E794" s="1170"/>
      <c r="F794" s="1177" t="s">
        <v>28183</v>
      </c>
      <c r="G794" s="1169"/>
      <c r="H794" s="1169"/>
      <c r="I794" s="1169"/>
      <c r="J794" s="1169"/>
      <c r="K794" s="1169"/>
      <c r="L794" s="1171"/>
      <c r="M794" s="1170"/>
      <c r="N794" s="1177" t="s">
        <v>28183</v>
      </c>
      <c r="O794" s="1169"/>
      <c r="P794" s="1169"/>
      <c r="Q794" s="1169"/>
      <c r="R794" s="1169"/>
      <c r="S794" s="1169"/>
      <c r="T794" s="1171"/>
      <c r="U794" s="1169"/>
    </row>
    <row r="795" spans="2:28" x14ac:dyDescent="0.2">
      <c r="E795" s="1170"/>
      <c r="F795" s="1169"/>
      <c r="G795" s="1169"/>
      <c r="H795" s="1169"/>
      <c r="I795" s="1169"/>
      <c r="J795" s="1169"/>
      <c r="K795" s="1169"/>
      <c r="L795" s="1171"/>
      <c r="M795" s="1170"/>
      <c r="N795" s="1169"/>
      <c r="O795" s="1169"/>
      <c r="P795" s="1169"/>
      <c r="Q795" s="1169"/>
      <c r="R795" s="1169"/>
      <c r="S795" s="1169"/>
      <c r="T795" s="1171"/>
      <c r="U795" s="1169"/>
    </row>
    <row r="796" spans="2:28" x14ac:dyDescent="0.2">
      <c r="E796" s="1170"/>
      <c r="F796" s="1169"/>
      <c r="G796" s="1169"/>
      <c r="H796" s="1169"/>
      <c r="I796" s="1169"/>
      <c r="J796" s="1169"/>
      <c r="K796" s="1169"/>
      <c r="L796" s="1171"/>
      <c r="M796" s="1170"/>
      <c r="N796" s="1169"/>
      <c r="O796" s="1169"/>
      <c r="P796" s="1169"/>
      <c r="Q796" s="1169"/>
      <c r="R796" s="1169"/>
      <c r="S796" s="1169"/>
      <c r="T796" s="1171"/>
      <c r="U796" s="1169"/>
    </row>
    <row r="797" spans="2:28" x14ac:dyDescent="0.2">
      <c r="E797" s="1170"/>
      <c r="F797" s="1169"/>
      <c r="G797" s="1169"/>
      <c r="H797" s="1169"/>
      <c r="I797" s="1169"/>
      <c r="J797" s="1169"/>
      <c r="K797" s="1169"/>
      <c r="L797" s="1171"/>
      <c r="M797" s="1170"/>
      <c r="N797" s="1169"/>
      <c r="O797" s="1169"/>
      <c r="P797" s="1169"/>
      <c r="Q797" s="1169"/>
      <c r="R797" s="1169"/>
      <c r="S797" s="1169"/>
      <c r="T797" s="1171"/>
      <c r="U797" s="1169"/>
    </row>
    <row r="798" spans="2:28" x14ac:dyDescent="0.2">
      <c r="E798" s="1170"/>
      <c r="F798" s="1169"/>
      <c r="G798" s="1169"/>
      <c r="H798" s="1169"/>
      <c r="I798" s="1169"/>
      <c r="J798" s="1169"/>
      <c r="K798" s="1169"/>
      <c r="L798" s="1171"/>
      <c r="M798" s="1170"/>
      <c r="N798" s="1169"/>
      <c r="O798" s="1169"/>
      <c r="P798" s="1169"/>
      <c r="Q798" s="1169"/>
      <c r="R798" s="1169"/>
      <c r="S798" s="1169"/>
      <c r="T798" s="1171"/>
      <c r="U798" s="1169"/>
    </row>
    <row r="799" spans="2:28" x14ac:dyDescent="0.2">
      <c r="E799" s="1170"/>
      <c r="F799" s="1169"/>
      <c r="G799" s="1169"/>
      <c r="I799" s="1169"/>
      <c r="J799" s="1169"/>
      <c r="K799" s="1169"/>
      <c r="L799" s="1171"/>
      <c r="M799" s="1170"/>
      <c r="N799" s="1169"/>
      <c r="O799" s="1169"/>
      <c r="Q799" s="1169"/>
      <c r="R799" s="1169"/>
      <c r="S799" s="1169"/>
      <c r="T799" s="1171"/>
      <c r="U799" s="1169"/>
    </row>
    <row r="800" spans="2:28" x14ac:dyDescent="0.2">
      <c r="E800" s="1170"/>
      <c r="F800" s="1169"/>
      <c r="G800" s="1169"/>
      <c r="H800" s="1169"/>
      <c r="I800" s="1169"/>
      <c r="J800" s="1169"/>
      <c r="K800" s="1169"/>
      <c r="L800" s="1171"/>
      <c r="M800" s="1170"/>
      <c r="N800" s="1169"/>
      <c r="O800" s="1169"/>
      <c r="P800" s="1169"/>
      <c r="Q800" s="1169"/>
      <c r="R800" s="1169"/>
      <c r="S800" s="1169"/>
      <c r="T800" s="1171"/>
      <c r="U800" s="1169"/>
    </row>
    <row r="801" spans="2:28" x14ac:dyDescent="0.2">
      <c r="E801" s="1170"/>
      <c r="F801" s="1169"/>
      <c r="G801" s="1169"/>
      <c r="H801" s="1169"/>
      <c r="I801" s="1169"/>
      <c r="J801" s="1169"/>
      <c r="K801" s="1169"/>
      <c r="L801" s="1171"/>
      <c r="M801" s="1170"/>
      <c r="N801" s="1169"/>
      <c r="O801" s="1169"/>
      <c r="P801" s="1169"/>
      <c r="Q801" s="1169"/>
      <c r="R801" s="1169"/>
      <c r="S801" s="1169"/>
      <c r="T801" s="1171"/>
      <c r="U801" s="1169"/>
    </row>
    <row r="802" spans="2:28" x14ac:dyDescent="0.2">
      <c r="E802" s="1170"/>
      <c r="F802" s="1169"/>
      <c r="G802" s="1169"/>
      <c r="H802" s="1169"/>
      <c r="I802" s="1169"/>
      <c r="J802" s="1169"/>
      <c r="L802" s="1171"/>
      <c r="M802" s="1170"/>
      <c r="N802" s="1169"/>
      <c r="O802" s="1169"/>
      <c r="P802" s="1169"/>
      <c r="Q802" s="1169"/>
      <c r="R802" s="1169"/>
      <c r="T802" s="1171"/>
      <c r="U802" s="1169"/>
    </row>
    <row r="803" spans="2:28" x14ac:dyDescent="0.2">
      <c r="E803" s="1170"/>
      <c r="F803" s="1169"/>
      <c r="G803" s="1169"/>
      <c r="H803" s="1169"/>
      <c r="I803" s="1169"/>
      <c r="J803" s="1169"/>
      <c r="K803" s="1169"/>
      <c r="L803" s="1171"/>
      <c r="M803" s="1170"/>
      <c r="N803" s="1169"/>
      <c r="O803" s="1169"/>
      <c r="P803" s="1169"/>
      <c r="Q803" s="1169"/>
      <c r="R803" s="1169"/>
      <c r="S803" s="1169"/>
      <c r="T803" s="1171"/>
      <c r="U803" s="1169"/>
    </row>
    <row r="804" spans="2:28" x14ac:dyDescent="0.2">
      <c r="E804" s="1170"/>
      <c r="F804" s="1169"/>
      <c r="G804" s="1169"/>
      <c r="H804" s="1169"/>
      <c r="I804" s="1169"/>
      <c r="J804" s="1169"/>
      <c r="K804" s="1169"/>
      <c r="L804" s="1171"/>
      <c r="M804" s="1170"/>
      <c r="N804" s="1169"/>
      <c r="O804" s="1169"/>
      <c r="P804" s="1169"/>
      <c r="Q804" s="1169"/>
      <c r="R804" s="1169"/>
      <c r="S804" s="1169"/>
      <c r="T804" s="1171"/>
      <c r="U804" s="1169"/>
    </row>
    <row r="805" spans="2:28" x14ac:dyDescent="0.2">
      <c r="E805" s="1170"/>
      <c r="F805" s="1169"/>
      <c r="G805" s="1169"/>
      <c r="H805" s="1169"/>
      <c r="I805" s="1169"/>
      <c r="J805" s="1169"/>
      <c r="K805" s="1169"/>
      <c r="L805" s="1171"/>
      <c r="M805" s="1170"/>
      <c r="N805" s="1169"/>
      <c r="O805" s="1169"/>
      <c r="P805" s="1169"/>
      <c r="Q805" s="1169"/>
      <c r="R805" s="1169"/>
      <c r="S805" s="1169"/>
      <c r="T805" s="1171"/>
      <c r="U805" s="1169"/>
    </row>
    <row r="806" spans="2:28" x14ac:dyDescent="0.2">
      <c r="E806" s="1170"/>
      <c r="F806" s="1169"/>
      <c r="G806" s="1169"/>
      <c r="H806" s="1169"/>
      <c r="I806" s="1169"/>
      <c r="J806" s="1169"/>
      <c r="K806" s="1169"/>
      <c r="L806" s="1171"/>
      <c r="M806" s="1170"/>
      <c r="N806" s="1169"/>
      <c r="O806" s="1169"/>
      <c r="P806" s="1169"/>
      <c r="Q806" s="1169"/>
      <c r="R806" s="1169"/>
      <c r="S806" s="1169"/>
      <c r="T806" s="1171"/>
      <c r="U806" s="1169"/>
    </row>
    <row r="807" spans="2:28" x14ac:dyDescent="0.2">
      <c r="E807" s="1170"/>
      <c r="F807" s="1169"/>
      <c r="G807" s="1169"/>
      <c r="H807" s="1169"/>
      <c r="I807" s="1169"/>
      <c r="J807" s="1169"/>
      <c r="K807" s="1169"/>
      <c r="L807" s="1171"/>
      <c r="M807" s="1170"/>
      <c r="N807" s="1169"/>
      <c r="O807" s="1169"/>
      <c r="P807" s="1169"/>
      <c r="Q807" s="1169"/>
      <c r="R807" s="1169"/>
      <c r="S807" s="1169"/>
      <c r="T807" s="1171"/>
      <c r="U807" s="1169"/>
    </row>
    <row r="808" spans="2:28" x14ac:dyDescent="0.2">
      <c r="E808" s="1170"/>
      <c r="F808" s="1178"/>
      <c r="G808" s="1169"/>
      <c r="H808" s="1169"/>
      <c r="I808" s="1169"/>
      <c r="J808" s="1169"/>
      <c r="K808" s="1169"/>
      <c r="L808" s="1171"/>
      <c r="M808" s="1170"/>
      <c r="N808" s="1178"/>
      <c r="O808" s="1169"/>
      <c r="P808" s="1169"/>
      <c r="Q808" s="1169"/>
      <c r="R808" s="1169"/>
      <c r="S808" s="1169"/>
      <c r="T808" s="1171"/>
      <c r="U808" s="1169"/>
    </row>
    <row r="809" spans="2:28" ht="14.25" x14ac:dyDescent="0.2">
      <c r="E809" s="1170"/>
      <c r="F809" s="1179"/>
      <c r="G809" s="1169"/>
      <c r="H809" s="1169"/>
      <c r="I809" s="1169"/>
      <c r="J809" s="1169"/>
      <c r="K809" s="1169"/>
      <c r="L809" s="1171"/>
      <c r="M809" s="1170"/>
      <c r="N809" s="1179"/>
      <c r="O809" s="1169"/>
      <c r="P809" s="1169"/>
      <c r="Q809" s="1169"/>
      <c r="R809" s="1169"/>
      <c r="S809" s="1169"/>
      <c r="T809" s="1171"/>
      <c r="U809" s="1169"/>
    </row>
    <row r="810" spans="2:28" x14ac:dyDescent="0.2">
      <c r="E810" s="1170"/>
      <c r="F810" s="1176"/>
      <c r="G810" s="1169"/>
      <c r="H810" s="1169"/>
      <c r="I810" s="1169"/>
      <c r="J810" s="1169"/>
      <c r="K810" s="1169"/>
      <c r="L810" s="1171"/>
      <c r="M810" s="1170"/>
      <c r="N810" s="1176"/>
      <c r="O810" s="1169"/>
      <c r="P810" s="1169"/>
      <c r="Q810" s="1169"/>
      <c r="R810" s="1169"/>
      <c r="S810" s="1169"/>
      <c r="T810" s="1171"/>
      <c r="U810" s="1169"/>
      <c r="Y810" s="1158">
        <f>G790+O790</f>
        <v>0</v>
      </c>
      <c r="Z810" s="1159">
        <f>O789+G789</f>
        <v>0</v>
      </c>
      <c r="AA810" s="1180">
        <f>(IF(G790&lt;0.2,G789,0))+(IF(O790&lt;0.2,O789,0))</f>
        <v>0</v>
      </c>
      <c r="AB810" s="1158">
        <f>G791+O791</f>
        <v>0</v>
      </c>
    </row>
    <row r="811" spans="2:28" ht="13.5" thickBot="1" x14ac:dyDescent="0.25">
      <c r="E811" s="1181"/>
      <c r="F811" s="1182"/>
      <c r="G811" s="1182"/>
      <c r="H811" s="1182"/>
      <c r="I811" s="1182"/>
      <c r="J811" s="1182"/>
      <c r="K811" s="1182"/>
      <c r="L811" s="1183"/>
      <c r="M811" s="1181"/>
      <c r="N811" s="1182"/>
      <c r="O811" s="1182"/>
      <c r="P811" s="1182"/>
      <c r="Q811" s="1182"/>
      <c r="R811" s="1182"/>
      <c r="S811" s="1182"/>
      <c r="T811" s="1183"/>
      <c r="U811" s="1169"/>
    </row>
    <row r="812" spans="2:28" ht="26.25" x14ac:dyDescent="0.2">
      <c r="E812" s="1167">
        <f>M787+1</f>
        <v>61</v>
      </c>
      <c r="F812" s="3454" t="s">
        <v>28178</v>
      </c>
      <c r="G812" s="3455"/>
      <c r="H812" s="3452" t="str">
        <f>"Verkleidungsblech Festfeld einteilig "&amp;"("&amp;Liste!C430&amp;")"</f>
        <v>Verkleidungsblech Festfeld einteilig (0308323)</v>
      </c>
      <c r="I812" s="3452"/>
      <c r="J812" s="3452"/>
      <c r="K812" s="3453"/>
      <c r="L812" s="1168">
        <f>IF(G815&gt;0.2,G815,0)</f>
        <v>0</v>
      </c>
      <c r="M812" s="1167">
        <f>E812+1</f>
        <v>62</v>
      </c>
      <c r="N812" s="3454" t="s">
        <v>28178</v>
      </c>
      <c r="O812" s="3455"/>
      <c r="P812" s="3460" t="str">
        <f>"Verkleidungsblech Festfeld mehrteilig "&amp;"("&amp;Liste!C432&amp;")"</f>
        <v>Verkleidungsblech Festfeld mehrteilig (0308324)</v>
      </c>
      <c r="Q812" s="3460"/>
      <c r="R812" s="3460"/>
      <c r="S812" s="3461"/>
      <c r="T812" s="1168">
        <f>IF(O815&gt;0.2,O815,0)</f>
        <v>0</v>
      </c>
      <c r="U812" s="1169"/>
    </row>
    <row r="813" spans="2:28" x14ac:dyDescent="0.2">
      <c r="B813" s="1954" t="s">
        <v>29900</v>
      </c>
      <c r="C813" s="1955">
        <f>Liste!E430</f>
        <v>379.03</v>
      </c>
      <c r="E813" s="1170"/>
      <c r="F813" s="1169"/>
      <c r="G813" s="1169"/>
      <c r="H813" s="1169"/>
      <c r="I813" s="1169"/>
      <c r="J813" s="1169"/>
      <c r="K813" s="1169"/>
      <c r="L813" s="1171"/>
      <c r="M813" s="1170"/>
      <c r="N813" s="1169"/>
      <c r="O813" s="1169"/>
      <c r="P813" s="1169"/>
      <c r="Q813" s="1169"/>
      <c r="R813" s="1169"/>
      <c r="S813" s="1169"/>
      <c r="T813" s="1171"/>
      <c r="U813" s="1169"/>
      <c r="V813" s="1954" t="s">
        <v>29900</v>
      </c>
      <c r="W813" s="1955">
        <f>Liste!E432</f>
        <v>379.03</v>
      </c>
      <c r="X813" s="1955"/>
    </row>
    <row r="814" spans="2:28" ht="15.75" x14ac:dyDescent="0.2">
      <c r="B814" s="1954" t="s">
        <v>29901</v>
      </c>
      <c r="C814" s="1955">
        <f>Liste!F430</f>
        <v>1100</v>
      </c>
      <c r="E814" s="1170"/>
      <c r="F814" s="1172" t="s">
        <v>27904</v>
      </c>
      <c r="G814" s="1173">
        <f>IF(R28="ja",Liste!D430,0)</f>
        <v>0</v>
      </c>
      <c r="H814" s="1169" t="s">
        <v>28179</v>
      </c>
      <c r="I814" s="1169"/>
      <c r="J814" s="1169"/>
      <c r="K814" s="1169"/>
      <c r="L814" s="1171"/>
      <c r="M814" s="1170"/>
      <c r="N814" s="1172" t="s">
        <v>27904</v>
      </c>
      <c r="O814" s="1173">
        <f>IF(R28="ja",Liste!D432,0)</f>
        <v>0</v>
      </c>
      <c r="P814" s="1169" t="s">
        <v>28179</v>
      </c>
      <c r="Q814" s="1169"/>
      <c r="R814" s="1169"/>
      <c r="S814" s="1169"/>
      <c r="T814" s="1171"/>
      <c r="U814" s="1169"/>
      <c r="V814" s="1954" t="s">
        <v>29901</v>
      </c>
      <c r="W814" s="1955">
        <f>Liste!F432+Liste!F434</f>
        <v>1100</v>
      </c>
      <c r="X814" s="1955"/>
    </row>
    <row r="815" spans="2:28" ht="15.75" x14ac:dyDescent="0.2">
      <c r="B815" s="1954" t="s">
        <v>31205</v>
      </c>
      <c r="C815" s="1956">
        <f>C813*C814/1000/1000</f>
        <v>0.41693299999999994</v>
      </c>
      <c r="E815" s="1170"/>
      <c r="F815" s="1172" t="s">
        <v>28180</v>
      </c>
      <c r="G815" s="1173">
        <f>IF(G814&gt;0,G814*C815*C816,0)</f>
        <v>0</v>
      </c>
      <c r="H815" s="1169" t="s">
        <v>28181</v>
      </c>
      <c r="K815" s="1172" t="str">
        <f>IF(G815&lt;&gt;0,IF(G815&lt;0.2,"Kleinteil, Gerundete Fläche:",""),"")</f>
        <v/>
      </c>
      <c r="L815" s="1174">
        <f>IF(K815&lt;&gt;"",0.2,0)</f>
        <v>0</v>
      </c>
      <c r="M815" s="1170"/>
      <c r="N815" s="1172" t="s">
        <v>28180</v>
      </c>
      <c r="O815" s="1173">
        <f>IF(O814&gt;0,(W815+X815)*W816,0)</f>
        <v>0</v>
      </c>
      <c r="P815" s="1169" t="s">
        <v>28181</v>
      </c>
      <c r="S815" s="1172" t="str">
        <f>IF(O815&lt;&gt;0,IF(O815&lt;0.2,"Kleinteil, Gerundete Fläche:",""),"")</f>
        <v/>
      </c>
      <c r="T815" s="1175">
        <f>IF(S815&lt;&gt;"",0.2,0)</f>
        <v>0</v>
      </c>
      <c r="U815" s="1169"/>
      <c r="V815" s="1954" t="s">
        <v>31205</v>
      </c>
      <c r="W815" s="1956">
        <f>W813*W814/1000/1000</f>
        <v>0.41693299999999994</v>
      </c>
      <c r="X815" s="1956"/>
    </row>
    <row r="816" spans="2:28" ht="15.75" x14ac:dyDescent="0.2">
      <c r="B816" s="1954" t="s">
        <v>29902</v>
      </c>
      <c r="C816" s="1957">
        <v>1</v>
      </c>
      <c r="E816" s="1170"/>
      <c r="F816" s="1172" t="s">
        <v>28182</v>
      </c>
      <c r="G816" s="1173">
        <f>IF(G814&gt;0,G814*C815*C817,0)</f>
        <v>0</v>
      </c>
      <c r="H816" s="1169" t="s">
        <v>28181</v>
      </c>
      <c r="I816" s="1186" t="s">
        <v>30330</v>
      </c>
      <c r="J816" s="1169"/>
      <c r="K816" s="1169"/>
      <c r="L816" s="1171"/>
      <c r="M816" s="1170"/>
      <c r="N816" s="1172" t="s">
        <v>28182</v>
      </c>
      <c r="O816" s="1173">
        <f>IF(O814&gt;0,(W815+X815)*W817,0)</f>
        <v>0</v>
      </c>
      <c r="P816" s="1169" t="s">
        <v>28181</v>
      </c>
      <c r="Q816" s="1186" t="s">
        <v>30330</v>
      </c>
      <c r="R816" s="1169"/>
      <c r="S816" s="1169"/>
      <c r="T816" s="1171"/>
      <c r="U816" s="1169"/>
      <c r="V816" s="1954" t="s">
        <v>29902</v>
      </c>
      <c r="W816" s="1957">
        <v>1</v>
      </c>
    </row>
    <row r="817" spans="2:23" ht="14.25" x14ac:dyDescent="0.2">
      <c r="B817" s="1954" t="s">
        <v>29903</v>
      </c>
      <c r="C817" s="1957">
        <v>1</v>
      </c>
      <c r="E817" s="1170"/>
      <c r="F817" s="1176"/>
      <c r="G817" s="1169"/>
      <c r="H817" s="1169"/>
      <c r="I817" s="1169"/>
      <c r="J817" s="1169"/>
      <c r="K817" s="1169"/>
      <c r="L817" s="1171"/>
      <c r="M817" s="1170"/>
      <c r="N817" s="1176"/>
      <c r="O817" s="1169"/>
      <c r="P817" s="1169"/>
      <c r="Q817" s="1169"/>
      <c r="R817" s="1169"/>
      <c r="S817" s="1169"/>
      <c r="T817" s="1171"/>
      <c r="U817" s="1169"/>
      <c r="V817" s="1954" t="s">
        <v>29903</v>
      </c>
      <c r="W817" s="1957">
        <v>1</v>
      </c>
    </row>
    <row r="818" spans="2:23" x14ac:dyDescent="0.2">
      <c r="E818" s="1170"/>
      <c r="F818" s="1169"/>
      <c r="G818" s="1169"/>
      <c r="H818" s="1169"/>
      <c r="I818" s="1169"/>
      <c r="J818" s="1169"/>
      <c r="K818" s="1169"/>
      <c r="L818" s="1171"/>
      <c r="M818" s="1170"/>
      <c r="N818" s="1169"/>
      <c r="O818" s="1169"/>
      <c r="P818" s="1169"/>
      <c r="Q818" s="1169"/>
      <c r="R818" s="1169"/>
      <c r="S818" s="1169"/>
      <c r="T818" s="1171"/>
      <c r="U818" s="1169"/>
    </row>
    <row r="819" spans="2:23" ht="16.5" x14ac:dyDescent="0.2">
      <c r="E819" s="1170"/>
      <c r="F819" s="1177" t="s">
        <v>28183</v>
      </c>
      <c r="G819" s="1169"/>
      <c r="H819" s="1169"/>
      <c r="I819" s="1169"/>
      <c r="J819" s="1169"/>
      <c r="K819" s="1169"/>
      <c r="L819" s="1171"/>
      <c r="M819" s="1170"/>
      <c r="N819" s="1177" t="s">
        <v>28183</v>
      </c>
      <c r="O819" s="1169"/>
      <c r="P819" s="1169"/>
      <c r="Q819" s="1169"/>
      <c r="R819" s="1169"/>
      <c r="S819" s="1169"/>
      <c r="T819" s="1171"/>
      <c r="U819" s="1169"/>
    </row>
    <row r="820" spans="2:23" x14ac:dyDescent="0.2">
      <c r="E820" s="1170"/>
      <c r="F820" s="1169"/>
      <c r="G820" s="1169"/>
      <c r="H820" s="1169"/>
      <c r="I820" s="1169"/>
      <c r="J820" s="1169"/>
      <c r="K820" s="1169"/>
      <c r="L820" s="1171"/>
      <c r="M820" s="1170"/>
      <c r="N820" s="1169"/>
      <c r="O820" s="1169"/>
      <c r="P820" s="1169"/>
      <c r="Q820" s="1169"/>
      <c r="R820" s="1169"/>
      <c r="S820" s="1169"/>
      <c r="T820" s="1171"/>
      <c r="U820" s="1169"/>
    </row>
    <row r="821" spans="2:23" x14ac:dyDescent="0.2">
      <c r="E821" s="1170"/>
      <c r="F821" s="1169"/>
      <c r="G821" s="1169"/>
      <c r="H821" s="1169"/>
      <c r="I821" s="1169"/>
      <c r="J821" s="1169"/>
      <c r="K821" s="1169"/>
      <c r="L821" s="1171"/>
      <c r="M821" s="1170"/>
      <c r="N821" s="1169"/>
      <c r="O821" s="1169"/>
      <c r="P821" s="1169"/>
      <c r="Q821" s="1169"/>
      <c r="R821" s="1169"/>
      <c r="S821" s="1169"/>
      <c r="T821" s="1171"/>
      <c r="U821" s="1169"/>
    </row>
    <row r="822" spans="2:23" x14ac:dyDescent="0.2">
      <c r="E822" s="1170"/>
      <c r="F822" s="1169"/>
      <c r="G822" s="1169"/>
      <c r="H822" s="1169"/>
      <c r="I822" s="1169"/>
      <c r="J822" s="1169"/>
      <c r="K822" s="1169"/>
      <c r="L822" s="1171"/>
      <c r="M822" s="1170"/>
      <c r="N822" s="1169"/>
      <c r="O822" s="1169"/>
      <c r="P822" s="1169"/>
      <c r="Q822" s="1169"/>
      <c r="R822" s="1169"/>
      <c r="S822" s="1169"/>
      <c r="T822" s="1171"/>
      <c r="U822" s="1169"/>
    </row>
    <row r="823" spans="2:23" x14ac:dyDescent="0.2">
      <c r="E823" s="1170"/>
      <c r="F823" s="1169"/>
      <c r="G823" s="1169"/>
      <c r="H823" s="1169"/>
      <c r="I823" s="1169"/>
      <c r="J823" s="1169"/>
      <c r="K823" s="1169"/>
      <c r="L823" s="1171"/>
      <c r="M823" s="1170"/>
      <c r="N823" s="1169"/>
      <c r="O823" s="1169"/>
      <c r="P823" s="1169"/>
      <c r="Q823" s="1169"/>
      <c r="R823" s="1169"/>
      <c r="S823" s="1169"/>
      <c r="T823" s="1171"/>
      <c r="U823" s="1169"/>
    </row>
    <row r="824" spans="2:23" x14ac:dyDescent="0.2">
      <c r="E824" s="1170"/>
      <c r="F824" s="1169"/>
      <c r="G824" s="1169"/>
      <c r="I824" s="1169"/>
      <c r="J824" s="1169"/>
      <c r="K824" s="1169"/>
      <c r="L824" s="1171"/>
      <c r="M824" s="1170"/>
      <c r="N824" s="1169"/>
      <c r="O824" s="1169"/>
      <c r="Q824" s="1169"/>
      <c r="R824" s="1169"/>
      <c r="S824" s="1169"/>
      <c r="T824" s="1171"/>
      <c r="U824" s="1169"/>
    </row>
    <row r="825" spans="2:23" x14ac:dyDescent="0.2">
      <c r="E825" s="1170"/>
      <c r="F825" s="1169"/>
      <c r="G825" s="1169"/>
      <c r="H825" s="1169"/>
      <c r="I825" s="1169"/>
      <c r="J825" s="1169"/>
      <c r="K825" s="1169"/>
      <c r="L825" s="1171"/>
      <c r="M825" s="1170"/>
      <c r="N825" s="1169"/>
      <c r="O825" s="1169"/>
      <c r="P825" s="1169"/>
      <c r="Q825" s="1169"/>
      <c r="R825" s="1169"/>
      <c r="S825" s="1169"/>
      <c r="T825" s="1171"/>
      <c r="U825" s="1169"/>
    </row>
    <row r="826" spans="2:23" x14ac:dyDescent="0.2">
      <c r="E826" s="1170"/>
      <c r="F826" s="1169"/>
      <c r="G826" s="1169"/>
      <c r="H826" s="1169"/>
      <c r="I826" s="1169"/>
      <c r="J826" s="1169"/>
      <c r="K826" s="1169"/>
      <c r="L826" s="1171"/>
      <c r="M826" s="1170"/>
      <c r="N826" s="1169"/>
      <c r="O826" s="1169"/>
      <c r="P826" s="1169"/>
      <c r="Q826" s="1169"/>
      <c r="R826" s="1169"/>
      <c r="S826" s="1169"/>
      <c r="T826" s="1171"/>
      <c r="U826" s="1169"/>
    </row>
    <row r="827" spans="2:23" x14ac:dyDescent="0.2">
      <c r="E827" s="1170"/>
      <c r="F827" s="1169"/>
      <c r="G827" s="1169"/>
      <c r="H827" s="1169"/>
      <c r="I827" s="1169"/>
      <c r="J827" s="1169"/>
      <c r="L827" s="1171"/>
      <c r="M827" s="1170"/>
      <c r="N827" s="1169"/>
      <c r="O827" s="1169"/>
      <c r="P827" s="1169"/>
      <c r="Q827" s="1169"/>
      <c r="R827" s="1169"/>
      <c r="T827" s="1171"/>
      <c r="U827" s="1169"/>
    </row>
    <row r="828" spans="2:23" x14ac:dyDescent="0.2">
      <c r="E828" s="1170"/>
      <c r="F828" s="1169"/>
      <c r="G828" s="1169"/>
      <c r="H828" s="1169"/>
      <c r="I828" s="1169"/>
      <c r="J828" s="1169"/>
      <c r="K828" s="1169"/>
      <c r="L828" s="1171"/>
      <c r="M828" s="1170"/>
      <c r="N828" s="1169"/>
      <c r="O828" s="1169"/>
      <c r="P828" s="1169"/>
      <c r="Q828" s="1169"/>
      <c r="R828" s="1169"/>
      <c r="S828" s="1169"/>
      <c r="T828" s="1171"/>
      <c r="U828" s="1169"/>
    </row>
    <row r="829" spans="2:23" x14ac:dyDescent="0.2">
      <c r="E829" s="1170"/>
      <c r="F829" s="1169"/>
      <c r="G829" s="1169"/>
      <c r="H829" s="1169"/>
      <c r="I829" s="1169"/>
      <c r="J829" s="1169"/>
      <c r="K829" s="1169"/>
      <c r="L829" s="1171"/>
      <c r="M829" s="1170"/>
      <c r="N829" s="1169"/>
      <c r="O829" s="1169"/>
      <c r="P829" s="1169"/>
      <c r="Q829" s="1169"/>
      <c r="R829" s="1169"/>
      <c r="S829" s="1169"/>
      <c r="T829" s="1171"/>
      <c r="U829" s="1169"/>
    </row>
    <row r="830" spans="2:23" x14ac:dyDescent="0.2">
      <c r="E830" s="1170"/>
      <c r="F830" s="1169"/>
      <c r="G830" s="1169"/>
      <c r="H830" s="1169"/>
      <c r="I830" s="1169"/>
      <c r="J830" s="1169"/>
      <c r="K830" s="1169"/>
      <c r="L830" s="1171"/>
      <c r="M830" s="1170"/>
      <c r="N830" s="1169"/>
      <c r="O830" s="1169"/>
      <c r="P830" s="1169"/>
      <c r="Q830" s="1169"/>
      <c r="R830" s="1169"/>
      <c r="S830" s="1169"/>
      <c r="T830" s="1171"/>
      <c r="U830" s="1169"/>
    </row>
    <row r="831" spans="2:23" x14ac:dyDescent="0.2">
      <c r="E831" s="1170"/>
      <c r="F831" s="1169"/>
      <c r="G831" s="1169"/>
      <c r="H831" s="1169"/>
      <c r="I831" s="1169"/>
      <c r="J831" s="1169"/>
      <c r="K831" s="1169"/>
      <c r="L831" s="1171"/>
      <c r="M831" s="1170"/>
      <c r="N831" s="1169"/>
      <c r="O831" s="1169"/>
      <c r="P831" s="1169"/>
      <c r="Q831" s="1169"/>
      <c r="R831" s="1169"/>
      <c r="S831" s="1169"/>
      <c r="T831" s="1171"/>
      <c r="U831" s="1169"/>
    </row>
    <row r="832" spans="2:23" x14ac:dyDescent="0.2">
      <c r="E832" s="1170"/>
      <c r="F832" s="1169"/>
      <c r="G832" s="1169"/>
      <c r="H832" s="1169"/>
      <c r="I832" s="1169"/>
      <c r="J832" s="1169"/>
      <c r="K832" s="1169"/>
      <c r="L832" s="1171"/>
      <c r="M832" s="1170"/>
      <c r="N832" s="1169"/>
      <c r="O832" s="1169"/>
      <c r="P832" s="1169"/>
      <c r="Q832" s="1169"/>
      <c r="R832" s="1169"/>
      <c r="S832" s="1169"/>
      <c r="T832" s="1171"/>
      <c r="U832" s="1169"/>
    </row>
    <row r="833" spans="2:28" x14ac:dyDescent="0.2">
      <c r="E833" s="1170"/>
      <c r="F833" s="1178"/>
      <c r="G833" s="1169"/>
      <c r="H833" s="1169"/>
      <c r="I833" s="1169"/>
      <c r="J833" s="1169"/>
      <c r="K833" s="1169"/>
      <c r="L833" s="1171"/>
      <c r="M833" s="1170"/>
      <c r="N833" s="1178"/>
      <c r="O833" s="1169"/>
      <c r="P833" s="1169"/>
      <c r="Q833" s="1169"/>
      <c r="R833" s="1169"/>
      <c r="S833" s="1169"/>
      <c r="T833" s="1171"/>
      <c r="U833" s="1169"/>
    </row>
    <row r="834" spans="2:28" ht="14.25" x14ac:dyDescent="0.2">
      <c r="E834" s="1170"/>
      <c r="F834" s="1179"/>
      <c r="G834" s="1169"/>
      <c r="H834" s="1169"/>
      <c r="I834" s="1169"/>
      <c r="J834" s="1169"/>
      <c r="K834" s="1169"/>
      <c r="L834" s="1171"/>
      <c r="M834" s="1170"/>
      <c r="N834" s="1179"/>
      <c r="O834" s="1169"/>
      <c r="P834" s="1169"/>
      <c r="Q834" s="1169"/>
      <c r="R834" s="1169"/>
      <c r="S834" s="1169"/>
      <c r="T834" s="1171"/>
      <c r="U834" s="1169"/>
    </row>
    <row r="835" spans="2:28" x14ac:dyDescent="0.2">
      <c r="E835" s="1170"/>
      <c r="F835" s="1176"/>
      <c r="G835" s="1169"/>
      <c r="H835" s="1169"/>
      <c r="I835" s="1169"/>
      <c r="J835" s="1169"/>
      <c r="K835" s="1169"/>
      <c r="L835" s="1171"/>
      <c r="M835" s="1170"/>
      <c r="N835" s="1176"/>
      <c r="O835" s="1169"/>
      <c r="P835" s="1169"/>
      <c r="Q835" s="1169"/>
      <c r="R835" s="1169"/>
      <c r="S835" s="1169"/>
      <c r="T835" s="1171"/>
      <c r="U835" s="1169"/>
      <c r="Y835" s="1158">
        <f>G815+O815</f>
        <v>0</v>
      </c>
      <c r="Z835" s="1159">
        <f>O814+G814</f>
        <v>0</v>
      </c>
      <c r="AA835" s="1180">
        <f>(IF(G815&lt;0.2,G814,0))+(IF(O815&lt;0.2,O814,0))</f>
        <v>0</v>
      </c>
      <c r="AB835" s="1158">
        <f>G816+O816</f>
        <v>0</v>
      </c>
    </row>
    <row r="836" spans="2:28" ht="13.5" thickBot="1" x14ac:dyDescent="0.25">
      <c r="E836" s="1181"/>
      <c r="F836" s="1182"/>
      <c r="G836" s="1182"/>
      <c r="H836" s="1182"/>
      <c r="I836" s="1182"/>
      <c r="J836" s="1182"/>
      <c r="K836" s="1182"/>
      <c r="L836" s="1183"/>
      <c r="M836" s="1181"/>
      <c r="N836" s="1182"/>
      <c r="O836" s="1182"/>
      <c r="P836" s="1182"/>
      <c r="Q836" s="1182"/>
      <c r="R836" s="1182"/>
      <c r="S836" s="1182"/>
      <c r="T836" s="1183"/>
      <c r="U836" s="1169"/>
    </row>
    <row r="837" spans="2:28" ht="26.25" x14ac:dyDescent="0.2">
      <c r="E837" s="1167">
        <f>M812+1</f>
        <v>63</v>
      </c>
      <c r="F837" s="3454" t="s">
        <v>28178</v>
      </c>
      <c r="G837" s="3455"/>
      <c r="H837" s="3452" t="str">
        <f>Liste!B461&amp;" ("&amp;Liste!C461&amp;")"</f>
        <v>Befestigungswinkel Abschottung 50x30x175 (0308581)</v>
      </c>
      <c r="I837" s="3452"/>
      <c r="J837" s="3452"/>
      <c r="K837" s="3453"/>
      <c r="L837" s="1168">
        <f>IF(G840&gt;0.2,G840,0)</f>
        <v>0</v>
      </c>
      <c r="M837" s="1167">
        <f>E837+1</f>
        <v>64</v>
      </c>
      <c r="N837" s="3454" t="s">
        <v>28178</v>
      </c>
      <c r="O837" s="3455"/>
      <c r="P837" s="3460" t="str">
        <f>Liste!B310&amp;" ("&amp;Liste!C310&amp;")"</f>
        <v>Befestigungswinkel Endschalter (0308583)</v>
      </c>
      <c r="Q837" s="3460"/>
      <c r="R837" s="3460"/>
      <c r="S837" s="3461"/>
      <c r="T837" s="1168">
        <f>IF(O840&gt;0.2,O840,0)</f>
        <v>0</v>
      </c>
      <c r="U837" s="1169"/>
    </row>
    <row r="838" spans="2:28" x14ac:dyDescent="0.2">
      <c r="B838" s="1954"/>
      <c r="C838" s="1955"/>
      <c r="E838" s="1170"/>
      <c r="F838" s="1169"/>
      <c r="G838" s="1169"/>
      <c r="H838" s="1169"/>
      <c r="I838" s="1169"/>
      <c r="J838" s="1169"/>
      <c r="K838" s="1169"/>
      <c r="L838" s="1171"/>
      <c r="M838" s="1170"/>
      <c r="N838" s="1169"/>
      <c r="O838" s="1169"/>
      <c r="P838" s="1169"/>
      <c r="Q838" s="1169"/>
      <c r="R838" s="1169"/>
      <c r="S838" s="1169"/>
      <c r="T838" s="1171"/>
      <c r="U838" s="1169"/>
      <c r="V838" s="1954"/>
      <c r="W838" s="1955"/>
    </row>
    <row r="839" spans="2:28" ht="15.75" x14ac:dyDescent="0.2">
      <c r="B839" s="1954"/>
      <c r="C839" s="1955"/>
      <c r="E839" s="1170"/>
      <c r="F839" s="1172" t="s">
        <v>27904</v>
      </c>
      <c r="G839" s="1173">
        <f>IF(R77="ja",Liste!D461,0)</f>
        <v>0</v>
      </c>
      <c r="H839" s="1169" t="s">
        <v>28179</v>
      </c>
      <c r="I839" s="1169"/>
      <c r="J839" s="1169"/>
      <c r="K839" s="1169"/>
      <c r="L839" s="1171"/>
      <c r="M839" s="1170"/>
      <c r="N839" s="1172" t="s">
        <v>27904</v>
      </c>
      <c r="O839" s="1173">
        <f>IF(R77="ja",Liste!D310,0)</f>
        <v>0</v>
      </c>
      <c r="P839" s="1169" t="s">
        <v>28179</v>
      </c>
      <c r="Q839" s="1169"/>
      <c r="R839" s="1169"/>
      <c r="S839" s="1169"/>
      <c r="T839" s="1171"/>
      <c r="U839" s="1169"/>
      <c r="V839" s="1954"/>
      <c r="W839" s="1955"/>
    </row>
    <row r="840" spans="2:28" ht="15.75" x14ac:dyDescent="0.2">
      <c r="B840" s="1954" t="s">
        <v>31205</v>
      </c>
      <c r="C840" s="1956">
        <f>Liste!I461</f>
        <v>0.277505</v>
      </c>
      <c r="E840" s="1170"/>
      <c r="F840" s="1172" t="s">
        <v>28180</v>
      </c>
      <c r="G840" s="1173">
        <f>IF(G839&gt;0,G839*C840*C841,0)</f>
        <v>0</v>
      </c>
      <c r="H840" s="1169" t="s">
        <v>28181</v>
      </c>
      <c r="K840" s="1172" t="str">
        <f>IF(G840&lt;&gt;0,IF(G840&lt;0.2,"Kleinteil, Gerundete Fläche:",""),"")</f>
        <v/>
      </c>
      <c r="L840" s="1174">
        <f>IF(K840&lt;&gt;"",0.2,0)</f>
        <v>0</v>
      </c>
      <c r="M840" s="1170"/>
      <c r="N840" s="1172" t="s">
        <v>28180</v>
      </c>
      <c r="O840" s="1173">
        <f>IF(O839&gt;0,(W840+X840)*W841,0)</f>
        <v>0</v>
      </c>
      <c r="P840" s="1169" t="s">
        <v>28181</v>
      </c>
      <c r="S840" s="1172" t="str">
        <f>IF(O840&lt;&gt;0,IF(O840&lt;0.2,"Kleinteil, Gerundete Fläche:",""),"")</f>
        <v/>
      </c>
      <c r="T840" s="1175">
        <f>IF(S840&lt;&gt;"",0.2,0)</f>
        <v>0</v>
      </c>
      <c r="U840" s="1169"/>
      <c r="V840" s="1954" t="s">
        <v>31205</v>
      </c>
      <c r="W840" s="1956">
        <f>Liste!I310</f>
        <v>0.15498699999999999</v>
      </c>
    </row>
    <row r="841" spans="2:28" ht="15.75" x14ac:dyDescent="0.2">
      <c r="B841" s="1954" t="s">
        <v>29902</v>
      </c>
      <c r="C841" s="1957">
        <v>1</v>
      </c>
      <c r="E841" s="1170"/>
      <c r="F841" s="1172" t="s">
        <v>28182</v>
      </c>
      <c r="G841" s="1173">
        <f>IF(G839&gt;0,G839*C840*C842,0)</f>
        <v>0</v>
      </c>
      <c r="H841" s="1169" t="s">
        <v>28181</v>
      </c>
      <c r="I841" s="1186" t="s">
        <v>28185</v>
      </c>
      <c r="J841" s="1169"/>
      <c r="K841" s="1169"/>
      <c r="L841" s="1171"/>
      <c r="M841" s="1170"/>
      <c r="N841" s="1172" t="s">
        <v>28182</v>
      </c>
      <c r="O841" s="1173">
        <f>IF(O839&gt;0,(W840+X840)*W842,0)</f>
        <v>0</v>
      </c>
      <c r="P841" s="1169" t="s">
        <v>28181</v>
      </c>
      <c r="Q841" s="1186" t="s">
        <v>28185</v>
      </c>
      <c r="R841" s="1169"/>
      <c r="S841" s="1169"/>
      <c r="T841" s="1171"/>
      <c r="U841" s="1169"/>
      <c r="V841" s="1954" t="s">
        <v>29902</v>
      </c>
      <c r="W841" s="1957">
        <v>1</v>
      </c>
    </row>
    <row r="842" spans="2:28" ht="14.25" x14ac:dyDescent="0.2">
      <c r="B842" s="1954" t="s">
        <v>29903</v>
      </c>
      <c r="C842" s="1957">
        <v>0</v>
      </c>
      <c r="E842" s="1170"/>
      <c r="F842" s="1176"/>
      <c r="G842" s="1169"/>
      <c r="H842" s="1169"/>
      <c r="I842" s="1169"/>
      <c r="J842" s="1169"/>
      <c r="K842" s="1169"/>
      <c r="L842" s="1171"/>
      <c r="M842" s="1170"/>
      <c r="N842" s="1176"/>
      <c r="O842" s="1169"/>
      <c r="P842" s="1169"/>
      <c r="Q842" s="1169"/>
      <c r="R842" s="1169"/>
      <c r="S842" s="1169"/>
      <c r="T842" s="1171"/>
      <c r="U842" s="1169"/>
      <c r="V842" s="1954" t="s">
        <v>29903</v>
      </c>
      <c r="W842" s="1957">
        <v>0</v>
      </c>
    </row>
    <row r="843" spans="2:28" x14ac:dyDescent="0.2">
      <c r="E843" s="1170"/>
      <c r="F843" s="1169"/>
      <c r="G843" s="1169"/>
      <c r="H843" s="1169"/>
      <c r="I843" s="1169"/>
      <c r="J843" s="1169"/>
      <c r="K843" s="1169"/>
      <c r="L843" s="1171"/>
      <c r="M843" s="1170"/>
      <c r="N843" s="1169"/>
      <c r="O843" s="1169"/>
      <c r="P843" s="1169"/>
      <c r="Q843" s="1169"/>
      <c r="R843" s="1169"/>
      <c r="S843" s="1169"/>
      <c r="T843" s="1171"/>
      <c r="U843" s="1169"/>
    </row>
    <row r="844" spans="2:28" ht="16.5" x14ac:dyDescent="0.2">
      <c r="E844" s="1170"/>
      <c r="F844" s="1177" t="s">
        <v>28183</v>
      </c>
      <c r="G844" s="1169"/>
      <c r="H844" s="1169"/>
      <c r="I844" s="1169"/>
      <c r="J844" s="1169"/>
      <c r="K844" s="1169"/>
      <c r="L844" s="1171"/>
      <c r="M844" s="1170"/>
      <c r="N844" s="1177" t="s">
        <v>28183</v>
      </c>
      <c r="O844" s="1169"/>
      <c r="P844" s="1169"/>
      <c r="Q844" s="1169"/>
      <c r="R844" s="1169"/>
      <c r="S844" s="1169"/>
      <c r="T844" s="1171"/>
      <c r="U844" s="1169"/>
    </row>
    <row r="845" spans="2:28" x14ac:dyDescent="0.2">
      <c r="E845" s="1170"/>
      <c r="F845" s="1169"/>
      <c r="G845" s="1169"/>
      <c r="H845" s="1169"/>
      <c r="I845" s="1169"/>
      <c r="J845" s="1169"/>
      <c r="K845" s="1169"/>
      <c r="L845" s="1171"/>
      <c r="M845" s="1170"/>
      <c r="N845" s="1169"/>
      <c r="O845" s="1169"/>
      <c r="P845" s="1169"/>
      <c r="Q845" s="1169"/>
      <c r="R845" s="1169"/>
      <c r="S845" s="1169"/>
      <c r="T845" s="1171"/>
      <c r="U845" s="1169"/>
    </row>
    <row r="846" spans="2:28" x14ac:dyDescent="0.2">
      <c r="E846" s="1170"/>
      <c r="F846" s="1169"/>
      <c r="G846" s="1169"/>
      <c r="H846" s="1169"/>
      <c r="I846" s="1169"/>
      <c r="J846" s="1169"/>
      <c r="K846" s="1169"/>
      <c r="L846" s="1171"/>
      <c r="M846" s="1170"/>
      <c r="N846" s="1169"/>
      <c r="O846" s="1169"/>
      <c r="P846" s="1169"/>
      <c r="Q846" s="1169"/>
      <c r="R846" s="1169"/>
      <c r="S846" s="1169"/>
      <c r="T846" s="1171"/>
      <c r="U846" s="1169"/>
    </row>
    <row r="847" spans="2:28" x14ac:dyDescent="0.2">
      <c r="E847" s="1170"/>
      <c r="F847" s="1169"/>
      <c r="G847" s="1169"/>
      <c r="H847" s="1169"/>
      <c r="I847" s="1169"/>
      <c r="J847" s="1169"/>
      <c r="K847" s="1169"/>
      <c r="L847" s="1171"/>
      <c r="M847" s="1170"/>
      <c r="N847" s="1169"/>
      <c r="O847" s="1169"/>
      <c r="P847" s="1169"/>
      <c r="Q847" s="1169"/>
      <c r="R847" s="1169"/>
      <c r="S847" s="1169"/>
      <c r="T847" s="1171"/>
      <c r="U847" s="1169"/>
    </row>
    <row r="848" spans="2:28" x14ac:dyDescent="0.2">
      <c r="E848" s="1170"/>
      <c r="F848" s="1169"/>
      <c r="G848" s="1169"/>
      <c r="H848" s="1169"/>
      <c r="I848" s="1169"/>
      <c r="J848" s="1169"/>
      <c r="K848" s="1169"/>
      <c r="L848" s="1171"/>
      <c r="M848" s="1170"/>
      <c r="N848" s="1169"/>
      <c r="O848" s="1169"/>
      <c r="P848" s="1169"/>
      <c r="Q848" s="1169"/>
      <c r="R848" s="1169"/>
      <c r="S848" s="1169"/>
      <c r="T848" s="1171"/>
      <c r="U848" s="1169"/>
    </row>
    <row r="849" spans="5:28" x14ac:dyDescent="0.2">
      <c r="E849" s="1170"/>
      <c r="F849" s="1169"/>
      <c r="G849" s="1169"/>
      <c r="I849" s="1169"/>
      <c r="J849" s="1169"/>
      <c r="K849" s="1169"/>
      <c r="L849" s="1171"/>
      <c r="M849" s="1170"/>
      <c r="N849" s="1169"/>
      <c r="O849" s="1169"/>
      <c r="Q849" s="1169"/>
      <c r="R849" s="1169"/>
      <c r="S849" s="1169"/>
      <c r="T849" s="1171"/>
      <c r="U849" s="1169"/>
    </row>
    <row r="850" spans="5:28" x14ac:dyDescent="0.2">
      <c r="E850" s="1170"/>
      <c r="F850" s="1169"/>
      <c r="G850" s="1169"/>
      <c r="H850" s="1169"/>
      <c r="I850" s="1169"/>
      <c r="J850" s="1169"/>
      <c r="K850" s="1169"/>
      <c r="L850" s="1171"/>
      <c r="M850" s="1170"/>
      <c r="N850" s="1169"/>
      <c r="O850" s="1169"/>
      <c r="P850" s="1169"/>
      <c r="Q850" s="1169"/>
      <c r="R850" s="1169"/>
      <c r="S850" s="1169"/>
      <c r="T850" s="1171"/>
      <c r="U850" s="1169"/>
    </row>
    <row r="851" spans="5:28" x14ac:dyDescent="0.2">
      <c r="E851" s="1170"/>
      <c r="F851" s="1169"/>
      <c r="G851" s="1169"/>
      <c r="H851" s="1169"/>
      <c r="I851" s="1169"/>
      <c r="J851" s="1169"/>
      <c r="K851" s="1169"/>
      <c r="L851" s="1171"/>
      <c r="M851" s="1170"/>
      <c r="N851" s="1169"/>
      <c r="O851" s="1169"/>
      <c r="P851" s="1169"/>
      <c r="Q851" s="1169"/>
      <c r="R851" s="1169"/>
      <c r="S851" s="1169"/>
      <c r="T851" s="1171"/>
      <c r="U851" s="1169"/>
    </row>
    <row r="852" spans="5:28" x14ac:dyDescent="0.2">
      <c r="E852" s="1170"/>
      <c r="F852" s="1169"/>
      <c r="G852" s="1169"/>
      <c r="H852" s="1169"/>
      <c r="I852" s="1169"/>
      <c r="J852" s="1169"/>
      <c r="L852" s="1171"/>
      <c r="M852" s="1170"/>
      <c r="N852" s="1169"/>
      <c r="O852" s="1169"/>
      <c r="P852" s="1169"/>
      <c r="Q852" s="1169"/>
      <c r="R852" s="1169"/>
      <c r="T852" s="1171"/>
      <c r="U852" s="1169"/>
    </row>
    <row r="853" spans="5:28" x14ac:dyDescent="0.2">
      <c r="E853" s="1170"/>
      <c r="F853" s="1169"/>
      <c r="G853" s="1169"/>
      <c r="H853" s="1169"/>
      <c r="I853" s="1169"/>
      <c r="J853" s="1169"/>
      <c r="K853" s="1169"/>
      <c r="L853" s="1171"/>
      <c r="M853" s="1170"/>
      <c r="N853" s="1169"/>
      <c r="O853" s="1169"/>
      <c r="P853" s="1169"/>
      <c r="Q853" s="1169"/>
      <c r="R853" s="1169"/>
      <c r="S853" s="1169"/>
      <c r="T853" s="1171"/>
      <c r="U853" s="1169"/>
    </row>
    <row r="854" spans="5:28" x14ac:dyDescent="0.2">
      <c r="E854" s="1170"/>
      <c r="F854" s="1169"/>
      <c r="G854" s="1169"/>
      <c r="H854" s="1169"/>
      <c r="I854" s="1169"/>
      <c r="J854" s="1169"/>
      <c r="K854" s="1169"/>
      <c r="L854" s="1171"/>
      <c r="M854" s="1170"/>
      <c r="N854" s="1169"/>
      <c r="O854" s="1169"/>
      <c r="P854" s="1169"/>
      <c r="Q854" s="1169"/>
      <c r="R854" s="1169"/>
      <c r="S854" s="1169"/>
      <c r="T854" s="1171"/>
      <c r="U854" s="1169"/>
    </row>
    <row r="855" spans="5:28" x14ac:dyDescent="0.2">
      <c r="E855" s="1170"/>
      <c r="F855" s="1169"/>
      <c r="G855" s="1169"/>
      <c r="H855" s="1169"/>
      <c r="I855" s="1169"/>
      <c r="J855" s="1169"/>
      <c r="K855" s="1169"/>
      <c r="L855" s="1171"/>
      <c r="M855" s="1170"/>
      <c r="N855" s="1169"/>
      <c r="O855" s="1169"/>
      <c r="P855" s="1169"/>
      <c r="Q855" s="1169"/>
      <c r="R855" s="1169"/>
      <c r="S855" s="1169"/>
      <c r="T855" s="1171"/>
      <c r="U855" s="1169"/>
    </row>
    <row r="856" spans="5:28" x14ac:dyDescent="0.2">
      <c r="E856" s="1170"/>
      <c r="F856" s="1169"/>
      <c r="G856" s="1169"/>
      <c r="H856" s="1169"/>
      <c r="I856" s="1169"/>
      <c r="J856" s="1169"/>
      <c r="K856" s="1169"/>
      <c r="L856" s="1171"/>
      <c r="M856" s="1170"/>
      <c r="N856" s="1169"/>
      <c r="O856" s="1169"/>
      <c r="P856" s="1169"/>
      <c r="Q856" s="1169"/>
      <c r="R856" s="1169"/>
      <c r="S856" s="1169"/>
      <c r="T856" s="1171"/>
      <c r="U856" s="1169"/>
    </row>
    <row r="857" spans="5:28" x14ac:dyDescent="0.2">
      <c r="E857" s="1170"/>
      <c r="F857" s="1169"/>
      <c r="G857" s="1169"/>
      <c r="H857" s="1169"/>
      <c r="I857" s="1169"/>
      <c r="J857" s="1169"/>
      <c r="K857" s="1169"/>
      <c r="L857" s="1171"/>
      <c r="M857" s="1170"/>
      <c r="N857" s="1169"/>
      <c r="O857" s="1169"/>
      <c r="P857" s="1169"/>
      <c r="Q857" s="1169"/>
      <c r="R857" s="1169"/>
      <c r="S857" s="1169"/>
      <c r="T857" s="1171"/>
      <c r="U857" s="1169"/>
    </row>
    <row r="858" spans="5:28" x14ac:dyDescent="0.2">
      <c r="E858" s="1170"/>
      <c r="F858" s="1178"/>
      <c r="G858" s="1169"/>
      <c r="H858" s="1169"/>
      <c r="I858" s="1169"/>
      <c r="J858" s="1169"/>
      <c r="K858" s="1169"/>
      <c r="L858" s="1171"/>
      <c r="M858" s="1170"/>
      <c r="N858" s="1178"/>
      <c r="O858" s="1169"/>
      <c r="P858" s="1169"/>
      <c r="Q858" s="1169"/>
      <c r="R858" s="1169"/>
      <c r="S858" s="1169"/>
      <c r="T858" s="1171"/>
      <c r="U858" s="1169"/>
      <c r="X858" s="1137"/>
    </row>
    <row r="859" spans="5:28" ht="14.25" x14ac:dyDescent="0.2">
      <c r="E859" s="1170"/>
      <c r="F859" s="1179"/>
      <c r="G859" s="1169"/>
      <c r="H859" s="1169"/>
      <c r="I859" s="1169"/>
      <c r="J859" s="1169"/>
      <c r="K859" s="1169"/>
      <c r="L859" s="1171"/>
      <c r="M859" s="1170"/>
      <c r="N859" s="1179"/>
      <c r="O859" s="1169"/>
      <c r="P859" s="1169"/>
      <c r="Q859" s="1169"/>
      <c r="R859" s="1169"/>
      <c r="S859" s="1169"/>
      <c r="T859" s="1171"/>
      <c r="U859" s="1169"/>
      <c r="X859" s="1137"/>
    </row>
    <row r="860" spans="5:28" x14ac:dyDescent="0.2">
      <c r="E860" s="1170"/>
      <c r="F860" s="1176"/>
      <c r="G860" s="1169"/>
      <c r="H860" s="1169"/>
      <c r="I860" s="1169"/>
      <c r="J860" s="1169"/>
      <c r="K860" s="1169"/>
      <c r="L860" s="1171"/>
      <c r="M860" s="1170"/>
      <c r="N860" s="1176"/>
      <c r="O860" s="1169"/>
      <c r="P860" s="1169"/>
      <c r="Q860" s="1169"/>
      <c r="R860" s="1169"/>
      <c r="S860" s="1169"/>
      <c r="T860" s="1171"/>
      <c r="U860" s="1169"/>
      <c r="X860" s="1137"/>
      <c r="Y860" s="1158">
        <f>G840+O840</f>
        <v>0</v>
      </c>
      <c r="Z860" s="1159">
        <f>O839+G839</f>
        <v>0</v>
      </c>
      <c r="AA860" s="1180">
        <f>(IF(G840&lt;0.2,G839,0))+(IF(O840&lt;0.2,O839,0))</f>
        <v>0</v>
      </c>
      <c r="AB860" s="1158">
        <f>G841+O841</f>
        <v>0</v>
      </c>
    </row>
    <row r="861" spans="5:28" ht="13.5" thickBot="1" x14ac:dyDescent="0.25">
      <c r="E861" s="1181"/>
      <c r="F861" s="1182"/>
      <c r="G861" s="1182"/>
      <c r="H861" s="1182"/>
      <c r="I861" s="1182"/>
      <c r="J861" s="1182"/>
      <c r="K861" s="1182"/>
      <c r="L861" s="1183"/>
      <c r="M861" s="1181"/>
      <c r="N861" s="1182"/>
      <c r="O861" s="1182"/>
      <c r="P861" s="1182"/>
      <c r="Q861" s="1182"/>
      <c r="R861" s="1182"/>
      <c r="S861" s="1182"/>
      <c r="T861" s="1183"/>
      <c r="U861" s="1169"/>
      <c r="X861" s="1137"/>
    </row>
    <row r="862" spans="5:28" x14ac:dyDescent="0.2">
      <c r="V862" s="1138"/>
      <c r="W862" s="1135"/>
      <c r="X862" s="1137"/>
    </row>
    <row r="863" spans="5:28" x14ac:dyDescent="0.2">
      <c r="V863" s="1138"/>
      <c r="W863" s="1135"/>
      <c r="X863" s="1137"/>
    </row>
  </sheetData>
  <mergeCells count="196">
    <mergeCell ref="F837:G837"/>
    <mergeCell ref="H837:K837"/>
    <mergeCell ref="N837:O837"/>
    <mergeCell ref="P837:S837"/>
    <mergeCell ref="E620:L636"/>
    <mergeCell ref="O14:P14"/>
    <mergeCell ref="O16:P16"/>
    <mergeCell ref="Q16:R16"/>
    <mergeCell ref="F18:I18"/>
    <mergeCell ref="J18:K18"/>
    <mergeCell ref="N18:Q18"/>
    <mergeCell ref="R18:S18"/>
    <mergeCell ref="F28:I28"/>
    <mergeCell ref="J28:K28"/>
    <mergeCell ref="N28:Q28"/>
    <mergeCell ref="R28:S28"/>
    <mergeCell ref="O32:P32"/>
    <mergeCell ref="G22:H22"/>
    <mergeCell ref="O22:P22"/>
    <mergeCell ref="G24:H24"/>
    <mergeCell ref="O24:P24"/>
    <mergeCell ref="G26:H26"/>
    <mergeCell ref="O26:P26"/>
    <mergeCell ref="F87:G87"/>
    <mergeCell ref="G32:H32"/>
    <mergeCell ref="E2:T2"/>
    <mergeCell ref="L6:O6"/>
    <mergeCell ref="O8:P8"/>
    <mergeCell ref="R9:R10"/>
    <mergeCell ref="G10:H10"/>
    <mergeCell ref="O10:P10"/>
    <mergeCell ref="L4:N4"/>
    <mergeCell ref="G12:H12"/>
    <mergeCell ref="O12:P12"/>
    <mergeCell ref="F112:G112"/>
    <mergeCell ref="H112:K112"/>
    <mergeCell ref="N112:O112"/>
    <mergeCell ref="P112:S112"/>
    <mergeCell ref="G34:H34"/>
    <mergeCell ref="O34:P34"/>
    <mergeCell ref="G36:H36"/>
    <mergeCell ref="O36:P36"/>
    <mergeCell ref="F62:G62"/>
    <mergeCell ref="H62:K62"/>
    <mergeCell ref="N62:O62"/>
    <mergeCell ref="P62:S62"/>
    <mergeCell ref="H87:K87"/>
    <mergeCell ref="N87:O87"/>
    <mergeCell ref="P87:S87"/>
    <mergeCell ref="F38:K39"/>
    <mergeCell ref="F43:H43"/>
    <mergeCell ref="F44:H44"/>
    <mergeCell ref="F45:H45"/>
    <mergeCell ref="F46:H46"/>
    <mergeCell ref="F47:H47"/>
    <mergeCell ref="F48:H48"/>
    <mergeCell ref="F49:H49"/>
    <mergeCell ref="F50:H50"/>
    <mergeCell ref="F187:G187"/>
    <mergeCell ref="H187:K187"/>
    <mergeCell ref="N187:O187"/>
    <mergeCell ref="P187:S187"/>
    <mergeCell ref="F212:G212"/>
    <mergeCell ref="H212:K212"/>
    <mergeCell ref="N212:O212"/>
    <mergeCell ref="P212:S212"/>
    <mergeCell ref="F137:G137"/>
    <mergeCell ref="H137:K137"/>
    <mergeCell ref="N137:O137"/>
    <mergeCell ref="P137:S137"/>
    <mergeCell ref="F162:G162"/>
    <mergeCell ref="H162:K162"/>
    <mergeCell ref="N162:O162"/>
    <mergeCell ref="P162:S162"/>
    <mergeCell ref="F287:G287"/>
    <mergeCell ref="H287:K287"/>
    <mergeCell ref="N287:O287"/>
    <mergeCell ref="P287:S287"/>
    <mergeCell ref="F312:G312"/>
    <mergeCell ref="H312:K312"/>
    <mergeCell ref="N312:O312"/>
    <mergeCell ref="P312:S312"/>
    <mergeCell ref="F237:G237"/>
    <mergeCell ref="H237:K237"/>
    <mergeCell ref="N237:O237"/>
    <mergeCell ref="P237:S237"/>
    <mergeCell ref="F262:G262"/>
    <mergeCell ref="H262:K262"/>
    <mergeCell ref="N262:O262"/>
    <mergeCell ref="P262:S262"/>
    <mergeCell ref="F387:G387"/>
    <mergeCell ref="H387:K387"/>
    <mergeCell ref="N387:O387"/>
    <mergeCell ref="P387:S387"/>
    <mergeCell ref="F412:G412"/>
    <mergeCell ref="H412:K412"/>
    <mergeCell ref="N412:O412"/>
    <mergeCell ref="P412:S412"/>
    <mergeCell ref="F337:G337"/>
    <mergeCell ref="H337:K337"/>
    <mergeCell ref="N337:O337"/>
    <mergeCell ref="P337:S337"/>
    <mergeCell ref="F362:G362"/>
    <mergeCell ref="H362:K362"/>
    <mergeCell ref="N362:O362"/>
    <mergeCell ref="P362:S362"/>
    <mergeCell ref="F487:G487"/>
    <mergeCell ref="H487:K487"/>
    <mergeCell ref="N487:O487"/>
    <mergeCell ref="P487:S487"/>
    <mergeCell ref="F512:G512"/>
    <mergeCell ref="H512:K512"/>
    <mergeCell ref="N512:O512"/>
    <mergeCell ref="P512:S512"/>
    <mergeCell ref="F437:G437"/>
    <mergeCell ref="H437:K437"/>
    <mergeCell ref="N437:O437"/>
    <mergeCell ref="P437:S437"/>
    <mergeCell ref="F462:G462"/>
    <mergeCell ref="H462:K462"/>
    <mergeCell ref="N462:O462"/>
    <mergeCell ref="P462:S462"/>
    <mergeCell ref="Q463:R463"/>
    <mergeCell ref="I488:J488"/>
    <mergeCell ref="Q488:R488"/>
    <mergeCell ref="I613:J613"/>
    <mergeCell ref="F537:G537"/>
    <mergeCell ref="H537:K537"/>
    <mergeCell ref="N537:O537"/>
    <mergeCell ref="P537:S537"/>
    <mergeCell ref="F587:G587"/>
    <mergeCell ref="H587:K587"/>
    <mergeCell ref="N587:O587"/>
    <mergeCell ref="P587:S587"/>
    <mergeCell ref="Q588:R588"/>
    <mergeCell ref="I588:J588"/>
    <mergeCell ref="M595:T611"/>
    <mergeCell ref="F612:G612"/>
    <mergeCell ref="H612:K612"/>
    <mergeCell ref="N612:O612"/>
    <mergeCell ref="P612:S612"/>
    <mergeCell ref="E595:L611"/>
    <mergeCell ref="F562:G562"/>
    <mergeCell ref="H562:K562"/>
    <mergeCell ref="N562:O562"/>
    <mergeCell ref="P562:S562"/>
    <mergeCell ref="P737:S737"/>
    <mergeCell ref="F662:G662"/>
    <mergeCell ref="H662:K662"/>
    <mergeCell ref="N662:O662"/>
    <mergeCell ref="P662:S662"/>
    <mergeCell ref="F687:G687"/>
    <mergeCell ref="P687:S687"/>
    <mergeCell ref="F637:G637"/>
    <mergeCell ref="H637:K637"/>
    <mergeCell ref="N637:O637"/>
    <mergeCell ref="P637:S637"/>
    <mergeCell ref="I513:J513"/>
    <mergeCell ref="Q513:R513"/>
    <mergeCell ref="I638:J638"/>
    <mergeCell ref="H812:K812"/>
    <mergeCell ref="N812:O812"/>
    <mergeCell ref="F712:G712"/>
    <mergeCell ref="H712:K712"/>
    <mergeCell ref="N712:O712"/>
    <mergeCell ref="H687:K687"/>
    <mergeCell ref="N687:O687"/>
    <mergeCell ref="P812:S812"/>
    <mergeCell ref="F762:G762"/>
    <mergeCell ref="H762:K762"/>
    <mergeCell ref="N762:O762"/>
    <mergeCell ref="P762:S762"/>
    <mergeCell ref="F787:G787"/>
    <mergeCell ref="H787:K787"/>
    <mergeCell ref="N787:O787"/>
    <mergeCell ref="P787:S787"/>
    <mergeCell ref="F812:G812"/>
    <mergeCell ref="P712:S712"/>
    <mergeCell ref="F737:G737"/>
    <mergeCell ref="H737:K737"/>
    <mergeCell ref="N737:O737"/>
    <mergeCell ref="F60:H60"/>
    <mergeCell ref="N38:Q38"/>
    <mergeCell ref="R38:S38"/>
    <mergeCell ref="O42:P42"/>
    <mergeCell ref="O44:P44"/>
    <mergeCell ref="O46:P46"/>
    <mergeCell ref="F51:H51"/>
    <mergeCell ref="F52:H52"/>
    <mergeCell ref="F53:H53"/>
    <mergeCell ref="F54:H54"/>
    <mergeCell ref="F55:H55"/>
    <mergeCell ref="F56:H56"/>
    <mergeCell ref="F57:H57"/>
    <mergeCell ref="F58:H58"/>
    <mergeCell ref="F59:H59"/>
  </mergeCells>
  <conditionalFormatting sqref="C1 F1:U1 Y211:Y225 W118:W134 R8:U8 Q3:U7 U84:U111 V1:V17 W143:W159 X172:X184 X186:X201 W186:W187 X203:X209 W211:X212 Y227:Y234 W236:Z237 M7:O17 R9 F15:H15 AD1:AD5 I3:O3 R11:R17 S9:U17 Q9:Q17 P3:P17 F17:H17 F80:G80 F86:L86 F81:F85 F62 L62 F63:L64 F67:L79 K65:L65 U112:V112 W111 W136 M5:O5 X161:X170 W161:W162 I5:L17 I4:K4 AD11:AD17 AH162:AI176 AH192:AI222 W1:AC1 AJ62:GV561 AA62:AE84 V62:Z62 E864:Z65585 E862:T863 F25:L25 E1:E26 M18:M26 N25:T25 F29:L31 N29:T31 F3:H13 C75:C87 C93:C112 C68:C70 X63:Z67 W93:Z109 X88:Z92 V93:V111 U118:V137 U113:U117 U168:V187 U163:U167 W168:W184 U143:V162 U138:U142 U193:V212 U188:U192 W193:W209 U218:V237 U213:U217 W218:X234 X213:X217 U268:Z284 X266:Z267 U293:Z309 U288:U292 X291:Z292 C818:C836 C793:C812 C768:C787 C743 C718:C737 C693:C712 C668:C687 C643:C662 C618:C637 C593:C612 C543:C561 C518:C537 C493:C512 C468:C487 C443:C462 C418:C437 C393:C412 C368:C387 C343:C344 C318:C337 C293:C312 C268:C287 C243:C262 C218:C237 C193:C212 C168:C187 C143:C162 C118:C137 Y263:Z265 Y288:Z290 Z2:AC8 W9:AC17 Y3:Y8 AA86:AE109 V68:Z84 V86:Z87 V85 Y85:AE85 X111:AE134 AC110:AE110 X136:AE159 AC135:AE135 Y161:AE184 AC160:AE160 Y186:AE209 AC185:AE185 Z211:AE234 AC210:AE210 AA236:AE259 AC235:AE235 AA261:AE284 AC260:AE260 U286:Z287 U285:V285 AA286:AE309 AC285:AE285 U311:Z311 U310:V310 AA311:AE334 AC310:AE310 AA336:AE359 AC335:AE335 AA361:AE384 AC360:AE360 AA386:AE409 AC385:AE385 AA411:AE434 AC410:AE410 AA436:AE459 AC435:AE435 AA461:AE484 AC460:AE460 AA486:AE509 AC485:AE485 AA511:AE534 AC510:AE510 AA536:AE559 AC535:AE535 AA561:AE561 AC560:AE560 AA611:AE634 AC610:AE610 AA636:AE659 AC635:AE635 AA661:AE684 AC660:AE660 AA686:AE709 AC685:AE685 AA711:AE734 AC710:AE710 AA736:AE759 AC735:AE735 AA761:AE784 AC760:AE760 AA786:AE809 AC785:AE785 AA811:AE834 AC810:AE810 AA836:AE859 AC835:AE835 M29:M37 U36:U81 I26:L26 U18:U33 C3:C66 Q26:T26 C348:C362 F65:H66 J66:L66 C750 C757:C762 U238:U267 X238:Z259 X261:Z262 F368:L379 F367:H367 J367:L367 F613:G613 I613 AE1:GV17 AF62:AI161 AF223:AI561 AF162:AG222 AA587:AE609 C587 AF587:GV65585 C862:C65585 AA861:AE65585 AC860:AE860 F61:L61 E29:E58 F43:F58 E61:E86 E59:F60 M48:M61 I43:L60 V18:GV61">
    <cfRule type="cellIs" dxfId="579" priority="659" stopIfTrue="1" operator="equal">
      <formula>0</formula>
    </cfRule>
  </conditionalFormatting>
  <conditionalFormatting sqref="M262:M286 N280:O280 N286:T286 N281:N285 N262 T262 N263:T264 N267:T279 S265:T265 N265:N266 R266:T266 P265:P266">
    <cfRule type="cellIs" dxfId="578" priority="657" stopIfTrue="1" operator="equal">
      <formula>0</formula>
    </cfRule>
  </conditionalFormatting>
  <conditionalFormatting sqref="E287:E311 F305:G305 F311:L311 F306:F310 F287 L287 F288:L289 K290:L290 F290:F291 J291:L291 H290:H291 F292:L304">
    <cfRule type="cellIs" dxfId="577" priority="656" stopIfTrue="1" operator="equal">
      <formula>0</formula>
    </cfRule>
  </conditionalFormatting>
  <conditionalFormatting sqref="M462:M486 N480:O480 N486:T486 N481:N485 N462 T462 N464:T464 N467:T479 S465:T465 N465:N466 R466:T466 P465:P466 N463:P463 S463:T463">
    <cfRule type="cellIs" dxfId="576" priority="617" stopIfTrue="1" operator="equal">
      <formula>0</formula>
    </cfRule>
  </conditionalFormatting>
  <conditionalFormatting sqref="E487:E511 F505:G505 F511:L511 F506:F510 F487 L487 F489:L489 F492:L504 K490:L490 F490:F491 J491:L491 H490:H491 F488:H488 K488:L488">
    <cfRule type="cellIs" dxfId="575" priority="615" stopIfTrue="1" operator="equal">
      <formula>0</formula>
    </cfRule>
  </conditionalFormatting>
  <conditionalFormatting sqref="E537:E561 F555:G555 F561:L561 F556:F560 F537 L537 F538:L539 F542:L554 K540:L540 F540:F541 J541:L541 H540:H541">
    <cfRule type="cellIs" dxfId="574" priority="609" stopIfTrue="1" operator="equal">
      <formula>0</formula>
    </cfRule>
  </conditionalFormatting>
  <conditionalFormatting sqref="E262:E286 F280:G280 F286:L286 F281:F285 F262 L262 F263:L264 F267:L279 K265:L265 F265:F266 J266:L266 H265:H266">
    <cfRule type="cellIs" dxfId="573" priority="658" stopIfTrue="1" operator="equal">
      <formula>0</formula>
    </cfRule>
  </conditionalFormatting>
  <conditionalFormatting sqref="M287:M311 N305:O305 N311:T311 N306:N310 N287 T287 N288:T289 N292:T304 S290:T290 N290:N291 R291:T291 P290:P291">
    <cfRule type="cellIs" dxfId="572" priority="655" stopIfTrue="1" operator="equal">
      <formula>0</formula>
    </cfRule>
  </conditionalFormatting>
  <conditionalFormatting sqref="U462:Z462 U468:Z484 U463:U467 X463:Z467 U486:Z486 U485:V485">
    <cfRule type="cellIs" dxfId="571" priority="619" stopIfTrue="1" operator="equal">
      <formula>0</formula>
    </cfRule>
  </conditionalFormatting>
  <conditionalFormatting sqref="U587:Z587 U593:Z609 U588:U592 X588:Z592 U611:Z611 U610:V610">
    <cfRule type="cellIs" dxfId="570" priority="607" stopIfTrue="1" operator="equal">
      <formula>0</formula>
    </cfRule>
  </conditionalFormatting>
  <conditionalFormatting sqref="U512:Z512 U518:Z534 U513:U517 X513:Z517 U536:Z536 U535:V535">
    <cfRule type="cellIs" dxfId="569" priority="613" stopIfTrue="1" operator="equal">
      <formula>0</formula>
    </cfRule>
  </conditionalFormatting>
  <conditionalFormatting sqref="M512:M536 N530:O530 N536:T536 N531:N535 N512 T512 N514:T514 N517:T529 S515:T515 N515:N516 R516:T516 P515:P516 N513:P513 S513:T513">
    <cfRule type="cellIs" dxfId="568" priority="611" stopIfTrue="1" operator="equal">
      <formula>0</formula>
    </cfRule>
  </conditionalFormatting>
  <conditionalFormatting sqref="E237:E261 F255:G255 F261:L261 F256:F260 F237 L237 F238:L239 F242:L254 K240:L240 F240:F241 J241:L241 H240:H241">
    <cfRule type="cellIs" dxfId="567" priority="653" stopIfTrue="1" operator="equal">
      <formula>0</formula>
    </cfRule>
  </conditionalFormatting>
  <conditionalFormatting sqref="M237:M261 N255:O255 N261:T261 N256:N260 N237 T237 N238:T239 N242:T254 S240:T240 N240:N241 R241:T241 P240:P241">
    <cfRule type="cellIs" dxfId="566" priority="652" stopIfTrue="1" operator="equal">
      <formula>0</formula>
    </cfRule>
  </conditionalFormatting>
  <conditionalFormatting sqref="E187:E211 F205:G205 F211:L211 F206:F210 F187 L187 F188:L189 F192:L204 K190:L190 F190:F191 J191:L191 H190:H191">
    <cfRule type="cellIs" dxfId="565" priority="649" stopIfTrue="1" operator="equal">
      <formula>0</formula>
    </cfRule>
  </conditionalFormatting>
  <conditionalFormatting sqref="M162:M186 N180:O180 N186:T186 N181:N185 N162 T162 N163:T164 N167:T179 S165:T165 N165:N166 R166:T166 P165:P166">
    <cfRule type="cellIs" dxfId="564" priority="646" stopIfTrue="1" operator="equal">
      <formula>0</formula>
    </cfRule>
  </conditionalFormatting>
  <conditionalFormatting sqref="E137:E161 F155:G155 F161:L161 F156:F160 F137 L137 F138:L139 F142:L154 K140:L140 F140:F141 J141:L141 H140:H141">
    <cfRule type="cellIs" dxfId="563" priority="645" stopIfTrue="1" operator="equal">
      <formula>0</formula>
    </cfRule>
  </conditionalFormatting>
  <conditionalFormatting sqref="M62:M86 N80:O80 N86:T86 N81:N85 N62 T62 N63:T64 N68:T79 S65:T65 N65:N66 P65:P66 N67:P67 R66:T67">
    <cfRule type="cellIs" dxfId="562" priority="639" stopIfTrue="1" operator="equal">
      <formula>0</formula>
    </cfRule>
  </conditionalFormatting>
  <conditionalFormatting sqref="E212:E236 F230:G230 F236:L236 F231:F235 F212 L212 F213:L214 F217:L229 K215:L215 F215:F216 J216:L216 H215:H216">
    <cfRule type="cellIs" dxfId="561" priority="651" stopIfTrue="1" operator="equal">
      <formula>0</formula>
    </cfRule>
  </conditionalFormatting>
  <conditionalFormatting sqref="M212:M236 N230:O230 N236:T236 N231:N235 N212 T212 N213:T214 N217:T229 S215:T215 N215:N216 R216:T216 P215:P216">
    <cfRule type="cellIs" dxfId="560" priority="650" stopIfTrue="1" operator="equal">
      <formula>0</formula>
    </cfRule>
  </conditionalFormatting>
  <conditionalFormatting sqref="M187:M211 N205:O205 N211:T211 N206:N210 N187 T187 N188:T189 N192:T204 S190:T190 N190:N191 R191:T191 P190:P191">
    <cfRule type="cellIs" dxfId="559" priority="648" stopIfTrue="1" operator="equal">
      <formula>0</formula>
    </cfRule>
  </conditionalFormatting>
  <conditionalFormatting sqref="E162:E186 F180:G180 F186:L186 F181:F185 F162 L162 F163:L164 F167:L179 K165:L165 F165:F166 J166:L166 H165:H166">
    <cfRule type="cellIs" dxfId="558" priority="647" stopIfTrue="1" operator="equal">
      <formula>0</formula>
    </cfRule>
  </conditionalFormatting>
  <conditionalFormatting sqref="M137:M161 N155:O155 N161:T161 N156:N160 N137 T137 N138:T139 N142:T154 S140:T140 N140:N141 R141:T141 P140:P141">
    <cfRule type="cellIs" dxfId="557" priority="644" stopIfTrue="1" operator="equal">
      <formula>0</formula>
    </cfRule>
  </conditionalFormatting>
  <conditionalFormatting sqref="E112:E136 F130:G130 F136:L136 F131:F135 F112 L112 F113:L114 F117:L129 K115:L115 F115:F116 H115:H116 J116:L116">
    <cfRule type="cellIs" dxfId="556" priority="643" stopIfTrue="1" operator="equal">
      <formula>0</formula>
    </cfRule>
  </conditionalFormatting>
  <conditionalFormatting sqref="M112:M136 N130:O130 N136:T136 N131:N135 N112 T112 N113:T114 N117:T129 S115:T115 N115:N116 R116:T116 P115:P116">
    <cfRule type="cellIs" dxfId="555" priority="642" stopIfTrue="1" operator="equal">
      <formula>0</formula>
    </cfRule>
  </conditionalFormatting>
  <conditionalFormatting sqref="E87:E111 F105:G105 F111:L111 F106:F110 F87 L87 F88:L89 F93:L104 K90:L90 F90:F91 H90:H91 F92:H92 J91:L92">
    <cfRule type="cellIs" dxfId="554" priority="641" stopIfTrue="1" operator="equal">
      <formula>0</formula>
    </cfRule>
  </conditionalFormatting>
  <conditionalFormatting sqref="M87:M111 N105:O105 N111:T111 N106:N110 N87 T87 N88:T89 N93:T104 S90:T90 N90:N91 P90:P91 N92:P92 R91:T92">
    <cfRule type="cellIs" dxfId="553" priority="640" stopIfTrue="1" operator="equal">
      <formula>0</formula>
    </cfRule>
  </conditionalFormatting>
  <conditionalFormatting sqref="L4">
    <cfRule type="cellIs" dxfId="552" priority="638" stopIfTrue="1" operator="equal">
      <formula>0</formula>
    </cfRule>
  </conditionalFormatting>
  <conditionalFormatting sqref="U312:Z312 U318:Z334 U313:U317 X313:Z317 U336:Z336 U335:V335">
    <cfRule type="cellIs" dxfId="551" priority="637" stopIfTrue="1" operator="equal">
      <formula>0</formula>
    </cfRule>
  </conditionalFormatting>
  <conditionalFormatting sqref="E312:E336 F330:G330 F336:L336 F331:F335 F312 L312 F313:L314 F317:L329 K315:L315 F315:F316 J316:L316 H315:H316">
    <cfRule type="cellIs" dxfId="550" priority="636" stopIfTrue="1" operator="equal">
      <formula>0</formula>
    </cfRule>
  </conditionalFormatting>
  <conditionalFormatting sqref="M312:M336 N330:O330 N336:T336 N331:N335 N312 T312 N313:T314 N317:T329 S315:T315 N315:N316 R316:T316 P315:P316">
    <cfRule type="cellIs" dxfId="549" priority="635" stopIfTrue="1" operator="equal">
      <formula>0</formula>
    </cfRule>
  </conditionalFormatting>
  <conditionalFormatting sqref="U337:Z337 U338:U361 X361:Z361 X338:Z359">
    <cfRule type="cellIs" dxfId="548" priority="634" stopIfTrue="1" operator="equal">
      <formula>0</formula>
    </cfRule>
  </conditionalFormatting>
  <conditionalFormatting sqref="E337:E361 F355:G355 F361:L361 F356:F360 F337 L337 F338:L339 F342:L354 K340:L340 F340:F341 J341:L341 H340:H341">
    <cfRule type="cellIs" dxfId="547" priority="633" stopIfTrue="1" operator="equal">
      <formula>0</formula>
    </cfRule>
  </conditionalFormatting>
  <conditionalFormatting sqref="M337:M361 N355:O355 N361:T361 N356:N360 N337 T337 N338:T339 N342:T354 S340:T340 N340:N341 R341:T341 P340:P341">
    <cfRule type="cellIs" dxfId="546" priority="632" stopIfTrue="1" operator="equal">
      <formula>0</formula>
    </cfRule>
  </conditionalFormatting>
  <conditionalFormatting sqref="U368:Z384 U362:U367 U386:Z386 U385:V385 X362:Z367">
    <cfRule type="cellIs" dxfId="545" priority="631" stopIfTrue="1" operator="equal">
      <formula>0</formula>
    </cfRule>
  </conditionalFormatting>
  <conditionalFormatting sqref="E362:E384 F380:G380 F381:F384 F362 L362 F363:L364 K365:L365 F365:F366 J366:L366 H365:H366 E386:L386">
    <cfRule type="cellIs" dxfId="544" priority="630" stopIfTrue="1" operator="equal">
      <formula>0</formula>
    </cfRule>
  </conditionalFormatting>
  <conditionalFormatting sqref="M362:M384 N380:O380 N381:N384 N362 T362 N363:T364 N367:T379 S365:T365 N365:N366 R366:T366 P365:P366 M386:T386">
    <cfRule type="cellIs" dxfId="543" priority="629" stopIfTrue="1" operator="equal">
      <formula>0</formula>
    </cfRule>
  </conditionalFormatting>
  <conditionalFormatting sqref="U387:Z387 U393:Z409 U388:U392 X388:Z392 U411:Z411 U410:V410">
    <cfRule type="cellIs" dxfId="542" priority="628" stopIfTrue="1" operator="equal">
      <formula>0</formula>
    </cfRule>
  </conditionalFormatting>
  <conditionalFormatting sqref="E387:E409 F405:G405 F406:F409 F387 L387 F388:L389 F392:L404 K390:L390 F390:F391 J391:L391 H390:H391 E411:L411">
    <cfRule type="cellIs" dxfId="541" priority="627" stopIfTrue="1" operator="equal">
      <formula>0</formula>
    </cfRule>
  </conditionalFormatting>
  <conditionalFormatting sqref="M387:M409 N405:O405 N406:N409 N387 T387 N388:T389 N392:T404 S390:T390 N390:N391 R391:T391 P390:P391 M411:T411">
    <cfRule type="cellIs" dxfId="540" priority="626" stopIfTrue="1" operator="equal">
      <formula>0</formula>
    </cfRule>
  </conditionalFormatting>
  <conditionalFormatting sqref="U412:Z412 U418:Z434 U413:U417 X413:Z417 U436:Z436 U435:V435">
    <cfRule type="cellIs" dxfId="539" priority="625" stopIfTrue="1" operator="equal">
      <formula>0</formula>
    </cfRule>
  </conditionalFormatting>
  <conditionalFormatting sqref="E412:E434 F430:G430 F431:F434 F412 L412 F413:L414 F418:L429 K415:L415 F415:F416 H415:H416 F417:H417 J416:L417 E436:L436">
    <cfRule type="cellIs" dxfId="538" priority="624" stopIfTrue="1" operator="equal">
      <formula>0</formula>
    </cfRule>
  </conditionalFormatting>
  <conditionalFormatting sqref="M412:M434 N430:O430 N431:N434 N412 T412 N413:T414 N418:T429 S415:T415 N415:N416 P415:P416 N417:P417 R416:T417 M436:T436">
    <cfRule type="cellIs" dxfId="537" priority="623" stopIfTrue="1" operator="equal">
      <formula>0</formula>
    </cfRule>
  </conditionalFormatting>
  <conditionalFormatting sqref="U437:Z437 U443:Z459 U438:U442 X438:Z442 U461:Z461 U460:V460">
    <cfRule type="cellIs" dxfId="536" priority="622" stopIfTrue="1" operator="equal">
      <formula>0</formula>
    </cfRule>
  </conditionalFormatting>
  <conditionalFormatting sqref="E437:E461 F455:G455 F461:L461 F456:F460 F437 L437 F438:L439 F442:L454 K440:L440 F440:F441 J441:L441 H440:H441">
    <cfRule type="cellIs" dxfId="535" priority="621" stopIfTrue="1" operator="equal">
      <formula>0</formula>
    </cfRule>
  </conditionalFormatting>
  <conditionalFormatting sqref="M437:M461 N455:O455 N461:T461 N456:N460 N437 T437 N438:T439 N442:T454 S440:T440 N440:N441 R441:T441 P440:P441">
    <cfRule type="cellIs" dxfId="534" priority="620" stopIfTrue="1" operator="equal">
      <formula>0</formula>
    </cfRule>
  </conditionalFormatting>
  <conditionalFormatting sqref="E462:E486 F480:G480 F486:L486 F481:F485 F462 L462 F463:L464 F467:L479 K465:L465 F465:F466 J466:L466 H465:H466">
    <cfRule type="cellIs" dxfId="533" priority="618" stopIfTrue="1" operator="equal">
      <formula>0</formula>
    </cfRule>
  </conditionalFormatting>
  <conditionalFormatting sqref="U487:Z487 U493:Z509 U488:U492 X488:Z492 U511:Z511 U510:V510">
    <cfRule type="cellIs" dxfId="532" priority="616" stopIfTrue="1" operator="equal">
      <formula>0</formula>
    </cfRule>
  </conditionalFormatting>
  <conditionalFormatting sqref="M487:M511 N505:O505 N511:T511 N506:N510 N487 T487 N489:T489 N492:T504 S490:T490 N490:N491 R491:T491 P490:P491 N488:P488 S488:T488">
    <cfRule type="cellIs" dxfId="531" priority="614" stopIfTrue="1" operator="equal">
      <formula>0</formula>
    </cfRule>
  </conditionalFormatting>
  <conditionalFormatting sqref="E512:E536 F530:G530 F536:L536 F531:F535 F512 L512 F514:L514 F517:L529 K515:L515 F515:F516 J516:L516 H515:H516 F513:H513 K513:L513">
    <cfRule type="cellIs" dxfId="530" priority="612" stopIfTrue="1" operator="equal">
      <formula>0</formula>
    </cfRule>
  </conditionalFormatting>
  <conditionalFormatting sqref="U537:Z537 U543:Z559 U538:U542 X538:Z542 U561:Z561 U560:V560">
    <cfRule type="cellIs" dxfId="529" priority="610" stopIfTrue="1" operator="equal">
      <formula>0</formula>
    </cfRule>
  </conditionalFormatting>
  <conditionalFormatting sqref="M537:M561 N555:O555 N561:T561 N556:N560 N537 T537 N538:T539 N542:T554 S540:T540 N540:N541 R541:T541 P540:P541">
    <cfRule type="cellIs" dxfId="528" priority="608" stopIfTrue="1" operator="equal">
      <formula>0</formula>
    </cfRule>
  </conditionalFormatting>
  <conditionalFormatting sqref="E587:E595 F587 L587 F589:L589 F592:L594 K590:L590 F590:F591 J591:L591 H590:H591 F588:I588 K588:L588">
    <cfRule type="cellIs" dxfId="527" priority="606" stopIfTrue="1" operator="equal">
      <formula>0</formula>
    </cfRule>
  </conditionalFormatting>
  <conditionalFormatting sqref="M587:M595 N587 T587 N589:T589 N592:T594 S590:T590 N590:N591 R591:T591 P590:P591 N588:Q588 S588:T588">
    <cfRule type="cellIs" dxfId="526" priority="605" stopIfTrue="1" operator="equal">
      <formula>0</formula>
    </cfRule>
  </conditionalFormatting>
  <conditionalFormatting sqref="U612:Z612 U618:Z634 U613:U617 X613:Z617 U636:Z636 U635:V635">
    <cfRule type="cellIs" dxfId="525" priority="604" stopIfTrue="1" operator="equal">
      <formula>0</formula>
    </cfRule>
  </conditionalFormatting>
  <conditionalFormatting sqref="E612:E620 F612 L612 F614:L614 F617:L619 K615:L615 F615:F616 H615:H616 J616:L616 K613:L613">
    <cfRule type="cellIs" dxfId="524" priority="603" stopIfTrue="1" operator="equal">
      <formula>0</formula>
    </cfRule>
  </conditionalFormatting>
  <conditionalFormatting sqref="M612:M636 N630:O630 N636:T636 N631:N635 N612 T612 N613:T614 N617:T629 S615:T615 N615:N616 P615:P616 R616:T616">
    <cfRule type="cellIs" dxfId="523" priority="602" stopIfTrue="1" operator="equal">
      <formula>0</formula>
    </cfRule>
  </conditionalFormatting>
  <conditionalFormatting sqref="U637:Z637 U643:Z659 U638:U642 X638:Z642 U661:Z661 U660:V660">
    <cfRule type="cellIs" dxfId="522" priority="601" stopIfTrue="1" operator="equal">
      <formula>0</formula>
    </cfRule>
  </conditionalFormatting>
  <conditionalFormatting sqref="E637:E661 F655:G655 F661:L661 F656:F660 F637 L637 F639:L639 F642:L654 K640:L640 F640:F641 H640:H641 J641:L641 F638:H638 K638:L638">
    <cfRule type="cellIs" dxfId="521" priority="600" stopIfTrue="1" operator="equal">
      <formula>0</formula>
    </cfRule>
  </conditionalFormatting>
  <conditionalFormatting sqref="M637:M661 N655:O655 N661:T661 N656:N660 N637 T637 N638:T639 N642:T654 S640:T640 N640:N641 P640:P641 R641:T641">
    <cfRule type="cellIs" dxfId="520" priority="599" stopIfTrue="1" operator="equal">
      <formula>0</formula>
    </cfRule>
  </conditionalFormatting>
  <conditionalFormatting sqref="U662:Z662 U668:Z684 U663:U667 X663:Z667 U686:Z686 U685:V685">
    <cfRule type="cellIs" dxfId="519" priority="598" stopIfTrue="1" operator="equal">
      <formula>0</formula>
    </cfRule>
  </conditionalFormatting>
  <conditionalFormatting sqref="E662:E686 F680:G680 F686:L686 F681:F685 F662 L662 F663:L664 K665:L665 F665:F666 H665:H666 J666:L666 F667:L679">
    <cfRule type="cellIs" dxfId="518" priority="597" stopIfTrue="1" operator="equal">
      <formula>0</formula>
    </cfRule>
  </conditionalFormatting>
  <conditionalFormatting sqref="M662:M686 N680:O680 N686:T686 N681:N685 N662 T662 N663:T664 N667:T679 S665:T665 N665:N666 P665:P666 R666:T666">
    <cfRule type="cellIs" dxfId="517" priority="596" stopIfTrue="1" operator="equal">
      <formula>0</formula>
    </cfRule>
  </conditionalFormatting>
  <conditionalFormatting sqref="U687:Z687 U693:Z709 U688:U692 X688:Z692 U711:Z711 U710:V710">
    <cfRule type="cellIs" dxfId="516" priority="595" stopIfTrue="1" operator="equal">
      <formula>0</formula>
    </cfRule>
  </conditionalFormatting>
  <conditionalFormatting sqref="E687:E711 F705:G705 F711:L711 F706:F710 F687 L687 F688:L689 F692:L704 K690:L690 F690:F691 H690:H691 J691:L691">
    <cfRule type="cellIs" dxfId="515" priority="594" stopIfTrue="1" operator="equal">
      <formula>0</formula>
    </cfRule>
  </conditionalFormatting>
  <conditionalFormatting sqref="M687:M711 N705:O705 N711:T711 N706:N710 N687 T687 N688:T689 N692:T704 S690:T690 N690:N691 P690:P691 R691:T691">
    <cfRule type="cellIs" dxfId="514" priority="593" stopIfTrue="1" operator="equal">
      <formula>0</formula>
    </cfRule>
  </conditionalFormatting>
  <conditionalFormatting sqref="U712:Z712 U719:Z719 U736:Z736 U735:V735 U713:U718 X713:Z718 U726:Z726 U720:U725 X720:Z725 U733:Z734 U727:U732 X727:Z732">
    <cfRule type="cellIs" dxfId="513" priority="592" stopIfTrue="1" operator="equal">
      <formula>0</formula>
    </cfRule>
  </conditionalFormatting>
  <conditionalFormatting sqref="E712:E736 F730:G730 F736:L736 F731:F735 F712 L712 F713:L714 F717:L729 K715:L715 F715:F716 H715:H716 J716:L716">
    <cfRule type="cellIs" dxfId="512" priority="591" stopIfTrue="1" operator="equal">
      <formula>0</formula>
    </cfRule>
  </conditionalFormatting>
  <conditionalFormatting sqref="M712:M736 N730:O730 N736:T736 N731:N735 N712 T712 N713:T714 N717:T729 S715:T715 N715:N716 P715:P716 R716:T716">
    <cfRule type="cellIs" dxfId="511" priority="590" stopIfTrue="1" operator="equal">
      <formula>0</formula>
    </cfRule>
  </conditionalFormatting>
  <conditionalFormatting sqref="U737:Z737 U743:Z759 U738:U742 X738:Z742 U761:Z761 U760:V760">
    <cfRule type="cellIs" dxfId="510" priority="589" stopIfTrue="1" operator="equal">
      <formula>0</formula>
    </cfRule>
  </conditionalFormatting>
  <conditionalFormatting sqref="E737:E761 F755:G755 F761:L761 F756:F760 F737 L737 F738:L739 F742:L754 K740:L740 F740:F741 H740:H741 J741:L741">
    <cfRule type="cellIs" dxfId="509" priority="588" stopIfTrue="1" operator="equal">
      <formula>0</formula>
    </cfRule>
  </conditionalFormatting>
  <conditionalFormatting sqref="M737:M761 N755:O755 N761:T761 N756:N760 N737 T737 N738:T739 N742:T754 S740:T740 N740:N741 P740:P741 R741:T741">
    <cfRule type="cellIs" dxfId="508" priority="587" stopIfTrue="1" operator="equal">
      <formula>0</formula>
    </cfRule>
  </conditionalFormatting>
  <conditionalFormatting sqref="U762:Z762 U768:Z783 U763:U767 X763:Z767 U786:Z786 U784:V785">
    <cfRule type="cellIs" dxfId="507" priority="586" stopIfTrue="1" operator="equal">
      <formula>0</formula>
    </cfRule>
  </conditionalFormatting>
  <conditionalFormatting sqref="E762:E786 F780:G780 F786:L786 F781:F785 F762 L762 F763:L764 F767:L779 K765:L765 F765:F766 H765:H766 J766:L766">
    <cfRule type="cellIs" dxfId="506" priority="585" stopIfTrue="1" operator="equal">
      <formula>0</formula>
    </cfRule>
  </conditionalFormatting>
  <conditionalFormatting sqref="M762:M786 N780:O780 N786:T786 N781:N785 N762 T762 N763:T764 N767:T779 S765:T765 N765:N766 P765:P766 R766:T766">
    <cfRule type="cellIs" dxfId="505" priority="584" stopIfTrue="1" operator="equal">
      <formula>0</formula>
    </cfRule>
  </conditionalFormatting>
  <conditionalFormatting sqref="U787:Z787 U793:Z809 U788:U792 X788:Z792 U811:Z811 U810:V810">
    <cfRule type="cellIs" dxfId="504" priority="583" stopIfTrue="1" operator="equal">
      <formula>0</formula>
    </cfRule>
  </conditionalFormatting>
  <conditionalFormatting sqref="E787:E811 F805:G805 F811:L811 F806:F810 F787 L787 F788:L789 F792:L804 K790:L790 F790:F791 H790:H791 J791:L791">
    <cfRule type="cellIs" dxfId="503" priority="582" stopIfTrue="1" operator="equal">
      <formula>0</formula>
    </cfRule>
  </conditionalFormatting>
  <conditionalFormatting sqref="M787:M811 N805:O805 N811:T811 N806:N810 N787 T787 N788:T789 N792:T804 S790:T790 N790:N791 P790:P791 R791:T791">
    <cfRule type="cellIs" dxfId="502" priority="581" stopIfTrue="1" operator="equal">
      <formula>0</formula>
    </cfRule>
  </conditionalFormatting>
  <conditionalFormatting sqref="U812:Z812 U813:U817 U818:Z834 U836:Z836 U835:X835 X816:Z817 Y813:Z815">
    <cfRule type="cellIs" dxfId="501" priority="580" stopIfTrue="1" operator="equal">
      <formula>0</formula>
    </cfRule>
  </conditionalFormatting>
  <conditionalFormatting sqref="I541">
    <cfRule type="cellIs" dxfId="500" priority="539" stopIfTrue="1" operator="equal">
      <formula>0</formula>
    </cfRule>
  </conditionalFormatting>
  <conditionalFormatting sqref="Q541">
    <cfRule type="cellIs" dxfId="499" priority="540" stopIfTrue="1" operator="equal">
      <formula>0</formula>
    </cfRule>
  </conditionalFormatting>
  <conditionalFormatting sqref="X837:Z857">
    <cfRule type="cellIs" dxfId="498" priority="579" stopIfTrue="1" operator="equal">
      <formula>0</formula>
    </cfRule>
  </conditionalFormatting>
  <conditionalFormatting sqref="I591">
    <cfRule type="cellIs" dxfId="497" priority="538" stopIfTrue="1" operator="equal">
      <formula>0</formula>
    </cfRule>
  </conditionalFormatting>
  <conditionalFormatting sqref="N37:T37 N33 N19:T19 S21:T21 T22 P21 P23:T23 N21 Q20:T20 N23 Q24 N35 T24 N48:T61">
    <cfRule type="cellIs" dxfId="496" priority="535" stopIfTrue="1" operator="equal">
      <formula>0</formula>
    </cfRule>
  </conditionalFormatting>
  <conditionalFormatting sqref="Q616">
    <cfRule type="cellIs" dxfId="495" priority="537" stopIfTrue="1" operator="equal">
      <formula>0</formula>
    </cfRule>
  </conditionalFormatting>
  <conditionalFormatting sqref="F37:L37 F33 L18 F19:L19 K21:L21 H21 H23:L23 F21 I20:L20 F23 I22 L22 F35 I24 F40:L40 F38 L38:L39 I41:L42">
    <cfRule type="cellIs" dxfId="494" priority="536" stopIfTrue="1" operator="equal">
      <formula>0</formula>
    </cfRule>
  </conditionalFormatting>
  <conditionalFormatting sqref="Q22">
    <cfRule type="cellIs" dxfId="493" priority="534" stopIfTrue="1" operator="equal">
      <formula>0</formula>
    </cfRule>
  </conditionalFormatting>
  <conditionalFormatting sqref="M812:M836 N830:O830 N836:T836 N831:N835 N812 T812 N813:T814 N817:T829 S815:T815 N815:N816 P815:P816 R816:T816">
    <cfRule type="cellIs" dxfId="492" priority="532" stopIfTrue="1" operator="equal">
      <formula>0</formula>
    </cfRule>
  </conditionalFormatting>
  <conditionalFormatting sqref="E812:E836 F830:G830 F836:L836 F831:F835 F812 L812 F813:L814 F817:L829 K815:L815 F815:F816 H815:H816 J816:L816">
    <cfRule type="cellIs" dxfId="491" priority="533" stopIfTrue="1" operator="equal">
      <formula>0</formula>
    </cfRule>
  </conditionalFormatting>
  <conditionalFormatting sqref="Z858:Z859 Z861:Z863">
    <cfRule type="cellIs" dxfId="490" priority="531" stopIfTrue="1" operator="equal">
      <formula>0</formula>
    </cfRule>
  </conditionalFormatting>
  <conditionalFormatting sqref="U862:Y863 X858:Y859 X861:Y861 X860">
    <cfRule type="cellIs" dxfId="489" priority="530" stopIfTrue="1" operator="equal">
      <formula>0</formula>
    </cfRule>
  </conditionalFormatting>
  <conditionalFormatting sqref="O21 O23">
    <cfRule type="cellIs" dxfId="488" priority="529" stopIfTrue="1" operator="equal">
      <formula>0</formula>
    </cfRule>
  </conditionalFormatting>
  <conditionalFormatting sqref="G21 G23">
    <cfRule type="cellIs" dxfId="487" priority="528" stopIfTrue="1" operator="equal">
      <formula>0</formula>
    </cfRule>
  </conditionalFormatting>
  <conditionalFormatting sqref="M27:T27">
    <cfRule type="cellIs" dxfId="486" priority="526" stopIfTrue="1" operator="equal">
      <formula>0</formula>
    </cfRule>
  </conditionalFormatting>
  <conditionalFormatting sqref="E27:L27">
    <cfRule type="cellIs" dxfId="485" priority="527" stopIfTrue="1" operator="equal">
      <formula>0</formula>
    </cfRule>
  </conditionalFormatting>
  <conditionalFormatting sqref="E28 M28">
    <cfRule type="cellIs" dxfId="484" priority="525" stopIfTrue="1" operator="equal">
      <formula>0</formula>
    </cfRule>
  </conditionalFormatting>
  <conditionalFormatting sqref="N20:P20">
    <cfRule type="cellIs" dxfId="483" priority="521" stopIfTrue="1" operator="equal">
      <formula>0</formula>
    </cfRule>
  </conditionalFormatting>
  <conditionalFormatting sqref="F20:H20">
    <cfRule type="cellIs" dxfId="482" priority="522" stopIfTrue="1" operator="equal">
      <formula>0</formula>
    </cfRule>
  </conditionalFormatting>
  <conditionalFormatting sqref="C88:C90">
    <cfRule type="cellIs" dxfId="481" priority="520" stopIfTrue="1" operator="equal">
      <formula>0</formula>
    </cfRule>
  </conditionalFormatting>
  <conditionalFormatting sqref="C142">
    <cfRule type="cellIs" dxfId="480" priority="403" stopIfTrue="1" operator="equal">
      <formula>0</formula>
    </cfRule>
  </conditionalFormatting>
  <conditionalFormatting sqref="C67">
    <cfRule type="cellIs" dxfId="479" priority="519" stopIfTrue="1" operator="equal">
      <formula>0</formula>
    </cfRule>
  </conditionalFormatting>
  <conditionalFormatting sqref="C91">
    <cfRule type="cellIs" dxfId="478" priority="518" stopIfTrue="1" operator="equal">
      <formula>0</formula>
    </cfRule>
  </conditionalFormatting>
  <conditionalFormatting sqref="C92">
    <cfRule type="cellIs" dxfId="477" priority="517" stopIfTrue="1" operator="equal">
      <formula>0</formula>
    </cfRule>
  </conditionalFormatting>
  <conditionalFormatting sqref="W63:W66">
    <cfRule type="cellIs" dxfId="476" priority="516" stopIfTrue="1" operator="equal">
      <formula>0</formula>
    </cfRule>
  </conditionalFormatting>
  <conditionalFormatting sqref="W67">
    <cfRule type="cellIs" dxfId="475" priority="515" stopIfTrue="1" operator="equal">
      <formula>0</formula>
    </cfRule>
  </conditionalFormatting>
  <conditionalFormatting sqref="W88:W91">
    <cfRule type="cellIs" dxfId="474" priority="514" stopIfTrue="1" operator="equal">
      <formula>0</formula>
    </cfRule>
  </conditionalFormatting>
  <conditionalFormatting sqref="W92">
    <cfRule type="cellIs" dxfId="473" priority="513" stopIfTrue="1" operator="equal">
      <formula>0</formula>
    </cfRule>
  </conditionalFormatting>
  <conditionalFormatting sqref="W113:W116">
    <cfRule type="cellIs" dxfId="472" priority="512" stopIfTrue="1" operator="equal">
      <formula>0</formula>
    </cfRule>
  </conditionalFormatting>
  <conditionalFormatting sqref="W117">
    <cfRule type="cellIs" dxfId="471" priority="511" stopIfTrue="1" operator="equal">
      <formula>0</formula>
    </cfRule>
  </conditionalFormatting>
  <conditionalFormatting sqref="W163:W166">
    <cfRule type="cellIs" dxfId="470" priority="510" stopIfTrue="1" operator="equal">
      <formula>0</formula>
    </cfRule>
  </conditionalFormatting>
  <conditionalFormatting sqref="W167">
    <cfRule type="cellIs" dxfId="469" priority="509" stopIfTrue="1" operator="equal">
      <formula>0</formula>
    </cfRule>
  </conditionalFormatting>
  <conditionalFormatting sqref="W138:W141">
    <cfRule type="cellIs" dxfId="468" priority="508" stopIfTrue="1" operator="equal">
      <formula>0</formula>
    </cfRule>
  </conditionalFormatting>
  <conditionalFormatting sqref="W142">
    <cfRule type="cellIs" dxfId="467" priority="507" stopIfTrue="1" operator="equal">
      <formula>0</formula>
    </cfRule>
  </conditionalFormatting>
  <conditionalFormatting sqref="W188:W191">
    <cfRule type="cellIs" dxfId="466" priority="506" stopIfTrue="1" operator="equal">
      <formula>0</formula>
    </cfRule>
  </conditionalFormatting>
  <conditionalFormatting sqref="W192">
    <cfRule type="cellIs" dxfId="465" priority="505" stopIfTrue="1" operator="equal">
      <formula>0</formula>
    </cfRule>
  </conditionalFormatting>
  <conditionalFormatting sqref="W213:W216">
    <cfRule type="cellIs" dxfId="464" priority="504" stopIfTrue="1" operator="equal">
      <formula>0</formula>
    </cfRule>
  </conditionalFormatting>
  <conditionalFormatting sqref="W217">
    <cfRule type="cellIs" dxfId="463" priority="503" stopIfTrue="1" operator="equal">
      <formula>0</formula>
    </cfRule>
  </conditionalFormatting>
  <conditionalFormatting sqref="W238:W241">
    <cfRule type="cellIs" dxfId="462" priority="502" stopIfTrue="1" operator="equal">
      <formula>0</formula>
    </cfRule>
  </conditionalFormatting>
  <conditionalFormatting sqref="W242">
    <cfRule type="cellIs" dxfId="461" priority="501" stopIfTrue="1" operator="equal">
      <formula>0</formula>
    </cfRule>
  </conditionalFormatting>
  <conditionalFormatting sqref="W263:W266">
    <cfRule type="cellIs" dxfId="460" priority="500" stopIfTrue="1" operator="equal">
      <formula>0</formula>
    </cfRule>
  </conditionalFormatting>
  <conditionalFormatting sqref="W267">
    <cfRule type="cellIs" dxfId="459" priority="499" stopIfTrue="1" operator="equal">
      <formula>0</formula>
    </cfRule>
  </conditionalFormatting>
  <conditionalFormatting sqref="W288:W291">
    <cfRule type="cellIs" dxfId="458" priority="498" stopIfTrue="1" operator="equal">
      <formula>0</formula>
    </cfRule>
  </conditionalFormatting>
  <conditionalFormatting sqref="W292">
    <cfRule type="cellIs" dxfId="457" priority="497" stopIfTrue="1" operator="equal">
      <formula>0</formula>
    </cfRule>
  </conditionalFormatting>
  <conditionalFormatting sqref="W313:W316">
    <cfRule type="cellIs" dxfId="456" priority="496" stopIfTrue="1" operator="equal">
      <formula>0</formula>
    </cfRule>
  </conditionalFormatting>
  <conditionalFormatting sqref="W317">
    <cfRule type="cellIs" dxfId="455" priority="495" stopIfTrue="1" operator="equal">
      <formula>0</formula>
    </cfRule>
  </conditionalFormatting>
  <conditionalFormatting sqref="W338:W341">
    <cfRule type="cellIs" dxfId="454" priority="494" stopIfTrue="1" operator="equal">
      <formula>0</formula>
    </cfRule>
  </conditionalFormatting>
  <conditionalFormatting sqref="W342">
    <cfRule type="cellIs" dxfId="453" priority="493" stopIfTrue="1" operator="equal">
      <formula>0</formula>
    </cfRule>
  </conditionalFormatting>
  <conditionalFormatting sqref="W363:W366">
    <cfRule type="cellIs" dxfId="452" priority="492" stopIfTrue="1" operator="equal">
      <formula>0</formula>
    </cfRule>
  </conditionalFormatting>
  <conditionalFormatting sqref="W367">
    <cfRule type="cellIs" dxfId="451" priority="491" stopIfTrue="1" operator="equal">
      <formula>0</formula>
    </cfRule>
  </conditionalFormatting>
  <conditionalFormatting sqref="W388:W391">
    <cfRule type="cellIs" dxfId="450" priority="490" stopIfTrue="1" operator="equal">
      <formula>0</formula>
    </cfRule>
  </conditionalFormatting>
  <conditionalFormatting sqref="W392">
    <cfRule type="cellIs" dxfId="449" priority="489" stopIfTrue="1" operator="equal">
      <formula>0</formula>
    </cfRule>
  </conditionalFormatting>
  <conditionalFormatting sqref="W413:W416">
    <cfRule type="cellIs" dxfId="448" priority="488" stopIfTrue="1" operator="equal">
      <formula>0</formula>
    </cfRule>
  </conditionalFormatting>
  <conditionalFormatting sqref="W417">
    <cfRule type="cellIs" dxfId="447" priority="487" stopIfTrue="1" operator="equal">
      <formula>0</formula>
    </cfRule>
  </conditionalFormatting>
  <conditionalFormatting sqref="W438:W441">
    <cfRule type="cellIs" dxfId="446" priority="486" stopIfTrue="1" operator="equal">
      <formula>0</formula>
    </cfRule>
  </conditionalFormatting>
  <conditionalFormatting sqref="W442">
    <cfRule type="cellIs" dxfId="445" priority="485" stopIfTrue="1" operator="equal">
      <formula>0</formula>
    </cfRule>
  </conditionalFormatting>
  <conditionalFormatting sqref="W463:W466">
    <cfRule type="cellIs" dxfId="444" priority="484" stopIfTrue="1" operator="equal">
      <formula>0</formula>
    </cfRule>
  </conditionalFormatting>
  <conditionalFormatting sqref="W467">
    <cfRule type="cellIs" dxfId="443" priority="483" stopIfTrue="1" operator="equal">
      <formula>0</formula>
    </cfRule>
  </conditionalFormatting>
  <conditionalFormatting sqref="W488:W491">
    <cfRule type="cellIs" dxfId="442" priority="482" stopIfTrue="1" operator="equal">
      <formula>0</formula>
    </cfRule>
  </conditionalFormatting>
  <conditionalFormatting sqref="W492">
    <cfRule type="cellIs" dxfId="441" priority="481" stopIfTrue="1" operator="equal">
      <formula>0</formula>
    </cfRule>
  </conditionalFormatting>
  <conditionalFormatting sqref="W513:W516">
    <cfRule type="cellIs" dxfId="440" priority="480" stopIfTrue="1" operator="equal">
      <formula>0</formula>
    </cfRule>
  </conditionalFormatting>
  <conditionalFormatting sqref="W517">
    <cfRule type="cellIs" dxfId="439" priority="479" stopIfTrue="1" operator="equal">
      <formula>0</formula>
    </cfRule>
  </conditionalFormatting>
  <conditionalFormatting sqref="W538:W541">
    <cfRule type="cellIs" dxfId="438" priority="478" stopIfTrue="1" operator="equal">
      <formula>0</formula>
    </cfRule>
  </conditionalFormatting>
  <conditionalFormatting sqref="W542">
    <cfRule type="cellIs" dxfId="437" priority="477" stopIfTrue="1" operator="equal">
      <formula>0</formula>
    </cfRule>
  </conditionalFormatting>
  <conditionalFormatting sqref="W588:W591">
    <cfRule type="cellIs" dxfId="436" priority="476" stopIfTrue="1" operator="equal">
      <formula>0</formula>
    </cfRule>
  </conditionalFormatting>
  <conditionalFormatting sqref="W592">
    <cfRule type="cellIs" dxfId="435" priority="475" stopIfTrue="1" operator="equal">
      <formula>0</formula>
    </cfRule>
  </conditionalFormatting>
  <conditionalFormatting sqref="W613:W616">
    <cfRule type="cellIs" dxfId="434" priority="474" stopIfTrue="1" operator="equal">
      <formula>0</formula>
    </cfRule>
  </conditionalFormatting>
  <conditionalFormatting sqref="W617">
    <cfRule type="cellIs" dxfId="433" priority="473" stopIfTrue="1" operator="equal">
      <formula>0</formula>
    </cfRule>
  </conditionalFormatting>
  <conditionalFormatting sqref="W638:W641">
    <cfRule type="cellIs" dxfId="432" priority="472" stopIfTrue="1" operator="equal">
      <formula>0</formula>
    </cfRule>
  </conditionalFormatting>
  <conditionalFormatting sqref="W642">
    <cfRule type="cellIs" dxfId="431" priority="471" stopIfTrue="1" operator="equal">
      <formula>0</formula>
    </cfRule>
  </conditionalFormatting>
  <conditionalFormatting sqref="W663:W666">
    <cfRule type="cellIs" dxfId="430" priority="470" stopIfTrue="1" operator="equal">
      <formula>0</formula>
    </cfRule>
  </conditionalFormatting>
  <conditionalFormatting sqref="W667">
    <cfRule type="cellIs" dxfId="429" priority="469" stopIfTrue="1" operator="equal">
      <formula>0</formula>
    </cfRule>
  </conditionalFormatting>
  <conditionalFormatting sqref="W688:W691">
    <cfRule type="cellIs" dxfId="428" priority="468" stopIfTrue="1" operator="equal">
      <formula>0</formula>
    </cfRule>
  </conditionalFormatting>
  <conditionalFormatting sqref="W692">
    <cfRule type="cellIs" dxfId="427" priority="467" stopIfTrue="1" operator="equal">
      <formula>0</formula>
    </cfRule>
  </conditionalFormatting>
  <conditionalFormatting sqref="W713:W716">
    <cfRule type="cellIs" dxfId="426" priority="466" stopIfTrue="1" operator="equal">
      <formula>0</formula>
    </cfRule>
  </conditionalFormatting>
  <conditionalFormatting sqref="W717">
    <cfRule type="cellIs" dxfId="425" priority="465" stopIfTrue="1" operator="equal">
      <formula>0</formula>
    </cfRule>
  </conditionalFormatting>
  <conditionalFormatting sqref="W738:W741">
    <cfRule type="cellIs" dxfId="424" priority="464" stopIfTrue="1" operator="equal">
      <formula>0</formula>
    </cfRule>
  </conditionalFormatting>
  <conditionalFormatting sqref="W742">
    <cfRule type="cellIs" dxfId="423" priority="463" stopIfTrue="1" operator="equal">
      <formula>0</formula>
    </cfRule>
  </conditionalFormatting>
  <conditionalFormatting sqref="W763:W766">
    <cfRule type="cellIs" dxfId="422" priority="462" stopIfTrue="1" operator="equal">
      <formula>0</formula>
    </cfRule>
  </conditionalFormatting>
  <conditionalFormatting sqref="W767">
    <cfRule type="cellIs" dxfId="421" priority="461" stopIfTrue="1" operator="equal">
      <formula>0</formula>
    </cfRule>
  </conditionalFormatting>
  <conditionalFormatting sqref="W788:W791">
    <cfRule type="cellIs" dxfId="420" priority="460" stopIfTrue="1" operator="equal">
      <formula>0</formula>
    </cfRule>
  </conditionalFormatting>
  <conditionalFormatting sqref="W792">
    <cfRule type="cellIs" dxfId="419" priority="459" stopIfTrue="1" operator="equal">
      <formula>0</formula>
    </cfRule>
  </conditionalFormatting>
  <conditionalFormatting sqref="C117">
    <cfRule type="cellIs" dxfId="418" priority="401" stopIfTrue="1" operator="equal">
      <formula>0</formula>
    </cfRule>
  </conditionalFormatting>
  <conditionalFormatting sqref="W813:W816">
    <cfRule type="cellIs" dxfId="417" priority="458" stopIfTrue="1" operator="equal">
      <formula>0</formula>
    </cfRule>
  </conditionalFormatting>
  <conditionalFormatting sqref="W817">
    <cfRule type="cellIs" dxfId="416" priority="457" stopIfTrue="1" operator="equal">
      <formula>0</formula>
    </cfRule>
  </conditionalFormatting>
  <conditionalFormatting sqref="C813:C816">
    <cfRule type="cellIs" dxfId="415" priority="456" stopIfTrue="1" operator="equal">
      <formula>0</formula>
    </cfRule>
  </conditionalFormatting>
  <conditionalFormatting sqref="C817">
    <cfRule type="cellIs" dxfId="414" priority="455" stopIfTrue="1" operator="equal">
      <formula>0</formula>
    </cfRule>
  </conditionalFormatting>
  <conditionalFormatting sqref="C788:C791">
    <cfRule type="cellIs" dxfId="413" priority="454" stopIfTrue="1" operator="equal">
      <formula>0</formula>
    </cfRule>
  </conditionalFormatting>
  <conditionalFormatting sqref="C792">
    <cfRule type="cellIs" dxfId="412" priority="453" stopIfTrue="1" operator="equal">
      <formula>0</formula>
    </cfRule>
  </conditionalFormatting>
  <conditionalFormatting sqref="C763:C766">
    <cfRule type="cellIs" dxfId="411" priority="452" stopIfTrue="1" operator="equal">
      <formula>0</formula>
    </cfRule>
  </conditionalFormatting>
  <conditionalFormatting sqref="C767">
    <cfRule type="cellIs" dxfId="410" priority="451" stopIfTrue="1" operator="equal">
      <formula>0</formula>
    </cfRule>
  </conditionalFormatting>
  <conditionalFormatting sqref="C738:C741">
    <cfRule type="cellIs" dxfId="409" priority="450" stopIfTrue="1" operator="equal">
      <formula>0</formula>
    </cfRule>
  </conditionalFormatting>
  <conditionalFormatting sqref="C742">
    <cfRule type="cellIs" dxfId="408" priority="449" stopIfTrue="1" operator="equal">
      <formula>0</formula>
    </cfRule>
  </conditionalFormatting>
  <conditionalFormatting sqref="C713:C716">
    <cfRule type="cellIs" dxfId="407" priority="448" stopIfTrue="1" operator="equal">
      <formula>0</formula>
    </cfRule>
  </conditionalFormatting>
  <conditionalFormatting sqref="C717">
    <cfRule type="cellIs" dxfId="406" priority="447" stopIfTrue="1" operator="equal">
      <formula>0</formula>
    </cfRule>
  </conditionalFormatting>
  <conditionalFormatting sqref="C688:C691">
    <cfRule type="cellIs" dxfId="405" priority="446" stopIfTrue="1" operator="equal">
      <formula>0</formula>
    </cfRule>
  </conditionalFormatting>
  <conditionalFormatting sqref="C692">
    <cfRule type="cellIs" dxfId="404" priority="445" stopIfTrue="1" operator="equal">
      <formula>0</formula>
    </cfRule>
  </conditionalFormatting>
  <conditionalFormatting sqref="C663:C666">
    <cfRule type="cellIs" dxfId="403" priority="444" stopIfTrue="1" operator="equal">
      <formula>0</formula>
    </cfRule>
  </conditionalFormatting>
  <conditionalFormatting sqref="C667">
    <cfRule type="cellIs" dxfId="402" priority="443" stopIfTrue="1" operator="equal">
      <formula>0</formula>
    </cfRule>
  </conditionalFormatting>
  <conditionalFormatting sqref="C638:C641">
    <cfRule type="cellIs" dxfId="401" priority="442" stopIfTrue="1" operator="equal">
      <formula>0</formula>
    </cfRule>
  </conditionalFormatting>
  <conditionalFormatting sqref="C642">
    <cfRule type="cellIs" dxfId="400" priority="441" stopIfTrue="1" operator="equal">
      <formula>0</formula>
    </cfRule>
  </conditionalFormatting>
  <conditionalFormatting sqref="C613:C616">
    <cfRule type="cellIs" dxfId="399" priority="440" stopIfTrue="1" operator="equal">
      <formula>0</formula>
    </cfRule>
  </conditionalFormatting>
  <conditionalFormatting sqref="C617">
    <cfRule type="cellIs" dxfId="398" priority="439" stopIfTrue="1" operator="equal">
      <formula>0</formula>
    </cfRule>
  </conditionalFormatting>
  <conditionalFormatting sqref="C588:C591">
    <cfRule type="cellIs" dxfId="397" priority="438" stopIfTrue="1" operator="equal">
      <formula>0</formula>
    </cfRule>
  </conditionalFormatting>
  <conditionalFormatting sqref="C592">
    <cfRule type="cellIs" dxfId="396" priority="437" stopIfTrue="1" operator="equal">
      <formula>0</formula>
    </cfRule>
  </conditionalFormatting>
  <conditionalFormatting sqref="C538:C541">
    <cfRule type="cellIs" dxfId="395" priority="436" stopIfTrue="1" operator="equal">
      <formula>0</formula>
    </cfRule>
  </conditionalFormatting>
  <conditionalFormatting sqref="C542">
    <cfRule type="cellIs" dxfId="394" priority="435" stopIfTrue="1" operator="equal">
      <formula>0</formula>
    </cfRule>
  </conditionalFormatting>
  <conditionalFormatting sqref="C513:C516">
    <cfRule type="cellIs" dxfId="393" priority="434" stopIfTrue="1" operator="equal">
      <formula>0</formula>
    </cfRule>
  </conditionalFormatting>
  <conditionalFormatting sqref="C517">
    <cfRule type="cellIs" dxfId="392" priority="433" stopIfTrue="1" operator="equal">
      <formula>0</formula>
    </cfRule>
  </conditionalFormatting>
  <conditionalFormatting sqref="C488:C491">
    <cfRule type="cellIs" dxfId="391" priority="432" stopIfTrue="1" operator="equal">
      <formula>0</formula>
    </cfRule>
  </conditionalFormatting>
  <conditionalFormatting sqref="C492">
    <cfRule type="cellIs" dxfId="390" priority="431" stopIfTrue="1" operator="equal">
      <formula>0</formula>
    </cfRule>
  </conditionalFormatting>
  <conditionalFormatting sqref="C463:C466">
    <cfRule type="cellIs" dxfId="389" priority="430" stopIfTrue="1" operator="equal">
      <formula>0</formula>
    </cfRule>
  </conditionalFormatting>
  <conditionalFormatting sqref="C467">
    <cfRule type="cellIs" dxfId="388" priority="429" stopIfTrue="1" operator="equal">
      <formula>0</formula>
    </cfRule>
  </conditionalFormatting>
  <conditionalFormatting sqref="C438:C441">
    <cfRule type="cellIs" dxfId="387" priority="428" stopIfTrue="1" operator="equal">
      <formula>0</formula>
    </cfRule>
  </conditionalFormatting>
  <conditionalFormatting sqref="C442">
    <cfRule type="cellIs" dxfId="386" priority="427" stopIfTrue="1" operator="equal">
      <formula>0</formula>
    </cfRule>
  </conditionalFormatting>
  <conditionalFormatting sqref="C413:C416">
    <cfRule type="cellIs" dxfId="385" priority="426" stopIfTrue="1" operator="equal">
      <formula>0</formula>
    </cfRule>
  </conditionalFormatting>
  <conditionalFormatting sqref="C417">
    <cfRule type="cellIs" dxfId="384" priority="425" stopIfTrue="1" operator="equal">
      <formula>0</formula>
    </cfRule>
  </conditionalFormatting>
  <conditionalFormatting sqref="C388:C391">
    <cfRule type="cellIs" dxfId="383" priority="424" stopIfTrue="1" operator="equal">
      <formula>0</formula>
    </cfRule>
  </conditionalFormatting>
  <conditionalFormatting sqref="C392">
    <cfRule type="cellIs" dxfId="382" priority="423" stopIfTrue="1" operator="equal">
      <formula>0</formula>
    </cfRule>
  </conditionalFormatting>
  <conditionalFormatting sqref="C363:C366">
    <cfRule type="cellIs" dxfId="381" priority="422" stopIfTrue="1" operator="equal">
      <formula>0</formula>
    </cfRule>
  </conditionalFormatting>
  <conditionalFormatting sqref="C367">
    <cfRule type="cellIs" dxfId="380" priority="421" stopIfTrue="1" operator="equal">
      <formula>0</formula>
    </cfRule>
  </conditionalFormatting>
  <conditionalFormatting sqref="C340:C341">
    <cfRule type="cellIs" dxfId="379" priority="420" stopIfTrue="1" operator="equal">
      <formula>0</formula>
    </cfRule>
  </conditionalFormatting>
  <conditionalFormatting sqref="C342">
    <cfRule type="cellIs" dxfId="378" priority="419" stopIfTrue="1" operator="equal">
      <formula>0</formula>
    </cfRule>
  </conditionalFormatting>
  <conditionalFormatting sqref="C313:C316">
    <cfRule type="cellIs" dxfId="377" priority="418" stopIfTrue="1" operator="equal">
      <formula>0</formula>
    </cfRule>
  </conditionalFormatting>
  <conditionalFormatting sqref="C317">
    <cfRule type="cellIs" dxfId="376" priority="417" stopIfTrue="1" operator="equal">
      <formula>0</formula>
    </cfRule>
  </conditionalFormatting>
  <conditionalFormatting sqref="C288:C291">
    <cfRule type="cellIs" dxfId="375" priority="416" stopIfTrue="1" operator="equal">
      <formula>0</formula>
    </cfRule>
  </conditionalFormatting>
  <conditionalFormatting sqref="C292">
    <cfRule type="cellIs" dxfId="374" priority="415" stopIfTrue="1" operator="equal">
      <formula>0</formula>
    </cfRule>
  </conditionalFormatting>
  <conditionalFormatting sqref="C263:C266">
    <cfRule type="cellIs" dxfId="373" priority="414" stopIfTrue="1" operator="equal">
      <formula>0</formula>
    </cfRule>
  </conditionalFormatting>
  <conditionalFormatting sqref="C267">
    <cfRule type="cellIs" dxfId="372" priority="413" stopIfTrue="1" operator="equal">
      <formula>0</formula>
    </cfRule>
  </conditionalFormatting>
  <conditionalFormatting sqref="C238:C241">
    <cfRule type="cellIs" dxfId="371" priority="412" stopIfTrue="1" operator="equal">
      <formula>0</formula>
    </cfRule>
  </conditionalFormatting>
  <conditionalFormatting sqref="C242">
    <cfRule type="cellIs" dxfId="370" priority="411" stopIfTrue="1" operator="equal">
      <formula>0</formula>
    </cfRule>
  </conditionalFormatting>
  <conditionalFormatting sqref="C213:C216">
    <cfRule type="cellIs" dxfId="369" priority="410" stopIfTrue="1" operator="equal">
      <formula>0</formula>
    </cfRule>
  </conditionalFormatting>
  <conditionalFormatting sqref="C217">
    <cfRule type="cellIs" dxfId="368" priority="409" stopIfTrue="1" operator="equal">
      <formula>0</formula>
    </cfRule>
  </conditionalFormatting>
  <conditionalFormatting sqref="C188:C191">
    <cfRule type="cellIs" dxfId="367" priority="408" stopIfTrue="1" operator="equal">
      <formula>0</formula>
    </cfRule>
  </conditionalFormatting>
  <conditionalFormatting sqref="C192">
    <cfRule type="cellIs" dxfId="366" priority="407" stopIfTrue="1" operator="equal">
      <formula>0</formula>
    </cfRule>
  </conditionalFormatting>
  <conditionalFormatting sqref="C163:C166">
    <cfRule type="cellIs" dxfId="365" priority="406" stopIfTrue="1" operator="equal">
      <formula>0</formula>
    </cfRule>
  </conditionalFormatting>
  <conditionalFormatting sqref="C167">
    <cfRule type="cellIs" dxfId="364" priority="405" stopIfTrue="1" operator="equal">
      <formula>0</formula>
    </cfRule>
  </conditionalFormatting>
  <conditionalFormatting sqref="C138:C141">
    <cfRule type="cellIs" dxfId="363" priority="404" stopIfTrue="1" operator="equal">
      <formula>0</formula>
    </cfRule>
  </conditionalFormatting>
  <conditionalFormatting sqref="C113:C116">
    <cfRule type="cellIs" dxfId="362" priority="402" stopIfTrue="1" operator="equal">
      <formula>0</formula>
    </cfRule>
  </conditionalFormatting>
  <conditionalFormatting sqref="G90">
    <cfRule type="cellIs" dxfId="361" priority="400" stopIfTrue="1" operator="equal">
      <formula>0</formula>
    </cfRule>
  </conditionalFormatting>
  <conditionalFormatting sqref="G91">
    <cfRule type="cellIs" dxfId="360" priority="399" stopIfTrue="1" operator="equal">
      <formula>0</formula>
    </cfRule>
  </conditionalFormatting>
  <conditionalFormatting sqref="G115">
    <cfRule type="cellIs" dxfId="359" priority="398" stopIfTrue="1" operator="equal">
      <formula>0</formula>
    </cfRule>
  </conditionalFormatting>
  <conditionalFormatting sqref="G116">
    <cfRule type="cellIs" dxfId="358" priority="397" stopIfTrue="1" operator="equal">
      <formula>0</formula>
    </cfRule>
  </conditionalFormatting>
  <conditionalFormatting sqref="G140">
    <cfRule type="cellIs" dxfId="357" priority="396" stopIfTrue="1" operator="equal">
      <formula>0</formula>
    </cfRule>
  </conditionalFormatting>
  <conditionalFormatting sqref="G141">
    <cfRule type="cellIs" dxfId="356" priority="395" stopIfTrue="1" operator="equal">
      <formula>0</formula>
    </cfRule>
  </conditionalFormatting>
  <conditionalFormatting sqref="G165">
    <cfRule type="cellIs" dxfId="355" priority="394" stopIfTrue="1" operator="equal">
      <formula>0</formula>
    </cfRule>
  </conditionalFormatting>
  <conditionalFormatting sqref="G166">
    <cfRule type="cellIs" dxfId="354" priority="393" stopIfTrue="1" operator="equal">
      <formula>0</formula>
    </cfRule>
  </conditionalFormatting>
  <conditionalFormatting sqref="G190">
    <cfRule type="cellIs" dxfId="353" priority="392" stopIfTrue="1" operator="equal">
      <formula>0</formula>
    </cfRule>
  </conditionalFormatting>
  <conditionalFormatting sqref="G191">
    <cfRule type="cellIs" dxfId="352" priority="391" stopIfTrue="1" operator="equal">
      <formula>0</formula>
    </cfRule>
  </conditionalFormatting>
  <conditionalFormatting sqref="G215">
    <cfRule type="cellIs" dxfId="351" priority="390" stopIfTrue="1" operator="equal">
      <formula>0</formula>
    </cfRule>
  </conditionalFormatting>
  <conditionalFormatting sqref="G216">
    <cfRule type="cellIs" dxfId="350" priority="389" stopIfTrue="1" operator="equal">
      <formula>0</formula>
    </cfRule>
  </conditionalFormatting>
  <conditionalFormatting sqref="G240">
    <cfRule type="cellIs" dxfId="349" priority="388" stopIfTrue="1" operator="equal">
      <formula>0</formula>
    </cfRule>
  </conditionalFormatting>
  <conditionalFormatting sqref="G241">
    <cfRule type="cellIs" dxfId="348" priority="387" stopIfTrue="1" operator="equal">
      <formula>0</formula>
    </cfRule>
  </conditionalFormatting>
  <conditionalFormatting sqref="G265">
    <cfRule type="cellIs" dxfId="347" priority="386" stopIfTrue="1" operator="equal">
      <formula>0</formula>
    </cfRule>
  </conditionalFormatting>
  <conditionalFormatting sqref="G266">
    <cfRule type="cellIs" dxfId="346" priority="385" stopIfTrue="1" operator="equal">
      <formula>0</formula>
    </cfRule>
  </conditionalFormatting>
  <conditionalFormatting sqref="G290">
    <cfRule type="cellIs" dxfId="345" priority="384" stopIfTrue="1" operator="equal">
      <formula>0</formula>
    </cfRule>
  </conditionalFormatting>
  <conditionalFormatting sqref="G291">
    <cfRule type="cellIs" dxfId="344" priority="383" stopIfTrue="1" operator="equal">
      <formula>0</formula>
    </cfRule>
  </conditionalFormatting>
  <conditionalFormatting sqref="G315">
    <cfRule type="cellIs" dxfId="343" priority="382" stopIfTrue="1" operator="equal">
      <formula>0</formula>
    </cfRule>
  </conditionalFormatting>
  <conditionalFormatting sqref="G316">
    <cfRule type="cellIs" dxfId="342" priority="381" stopIfTrue="1" operator="equal">
      <formula>0</formula>
    </cfRule>
  </conditionalFormatting>
  <conditionalFormatting sqref="G340">
    <cfRule type="cellIs" dxfId="341" priority="380" stopIfTrue="1" operator="equal">
      <formula>0</formula>
    </cfRule>
  </conditionalFormatting>
  <conditionalFormatting sqref="G341">
    <cfRule type="cellIs" dxfId="340" priority="379" stopIfTrue="1" operator="equal">
      <formula>0</formula>
    </cfRule>
  </conditionalFormatting>
  <conditionalFormatting sqref="G365">
    <cfRule type="cellIs" dxfId="339" priority="378" stopIfTrue="1" operator="equal">
      <formula>0</formula>
    </cfRule>
  </conditionalFormatting>
  <conditionalFormatting sqref="G366">
    <cfRule type="cellIs" dxfId="338" priority="377" stopIfTrue="1" operator="equal">
      <formula>0</formula>
    </cfRule>
  </conditionalFormatting>
  <conditionalFormatting sqref="G390">
    <cfRule type="cellIs" dxfId="337" priority="376" stopIfTrue="1" operator="equal">
      <formula>0</formula>
    </cfRule>
  </conditionalFormatting>
  <conditionalFormatting sqref="G391">
    <cfRule type="cellIs" dxfId="336" priority="375" stopIfTrue="1" operator="equal">
      <formula>0</formula>
    </cfRule>
  </conditionalFormatting>
  <conditionalFormatting sqref="G415">
    <cfRule type="cellIs" dxfId="335" priority="374" stopIfTrue="1" operator="equal">
      <formula>0</formula>
    </cfRule>
  </conditionalFormatting>
  <conditionalFormatting sqref="G416">
    <cfRule type="cellIs" dxfId="334" priority="373" stopIfTrue="1" operator="equal">
      <formula>0</formula>
    </cfRule>
  </conditionalFormatting>
  <conditionalFormatting sqref="G440">
    <cfRule type="cellIs" dxfId="333" priority="372" stopIfTrue="1" operator="equal">
      <formula>0</formula>
    </cfRule>
  </conditionalFormatting>
  <conditionalFormatting sqref="G441">
    <cfRule type="cellIs" dxfId="332" priority="371" stopIfTrue="1" operator="equal">
      <formula>0</formula>
    </cfRule>
  </conditionalFormatting>
  <conditionalFormatting sqref="G465">
    <cfRule type="cellIs" dxfId="331" priority="370" stopIfTrue="1" operator="equal">
      <formula>0</formula>
    </cfRule>
  </conditionalFormatting>
  <conditionalFormatting sqref="G466">
    <cfRule type="cellIs" dxfId="330" priority="369" stopIfTrue="1" operator="equal">
      <formula>0</formula>
    </cfRule>
  </conditionalFormatting>
  <conditionalFormatting sqref="G490">
    <cfRule type="cellIs" dxfId="329" priority="368" stopIfTrue="1" operator="equal">
      <formula>0</formula>
    </cfRule>
  </conditionalFormatting>
  <conditionalFormatting sqref="G491">
    <cfRule type="cellIs" dxfId="328" priority="367" stopIfTrue="1" operator="equal">
      <formula>0</formula>
    </cfRule>
  </conditionalFormatting>
  <conditionalFormatting sqref="G515">
    <cfRule type="cellIs" dxfId="327" priority="366" stopIfTrue="1" operator="equal">
      <formula>0</formula>
    </cfRule>
  </conditionalFormatting>
  <conditionalFormatting sqref="G516">
    <cfRule type="cellIs" dxfId="326" priority="365" stopIfTrue="1" operator="equal">
      <formula>0</formula>
    </cfRule>
  </conditionalFormatting>
  <conditionalFormatting sqref="G540">
    <cfRule type="cellIs" dxfId="325" priority="364" stopIfTrue="1" operator="equal">
      <formula>0</formula>
    </cfRule>
  </conditionalFormatting>
  <conditionalFormatting sqref="G541">
    <cfRule type="cellIs" dxfId="324" priority="363" stopIfTrue="1" operator="equal">
      <formula>0</formula>
    </cfRule>
  </conditionalFormatting>
  <conditionalFormatting sqref="G590">
    <cfRule type="cellIs" dxfId="323" priority="362" stopIfTrue="1" operator="equal">
      <formula>0</formula>
    </cfRule>
  </conditionalFormatting>
  <conditionalFormatting sqref="G591">
    <cfRule type="cellIs" dxfId="322" priority="361" stopIfTrue="1" operator="equal">
      <formula>0</formula>
    </cfRule>
  </conditionalFormatting>
  <conditionalFormatting sqref="G615">
    <cfRule type="cellIs" dxfId="321" priority="360" stopIfTrue="1" operator="equal">
      <formula>0</formula>
    </cfRule>
  </conditionalFormatting>
  <conditionalFormatting sqref="G616">
    <cfRule type="cellIs" dxfId="320" priority="359" stopIfTrue="1" operator="equal">
      <formula>0</formula>
    </cfRule>
  </conditionalFormatting>
  <conditionalFormatting sqref="G640">
    <cfRule type="cellIs" dxfId="319" priority="358" stopIfTrue="1" operator="equal">
      <formula>0</formula>
    </cfRule>
  </conditionalFormatting>
  <conditionalFormatting sqref="G641">
    <cfRule type="cellIs" dxfId="318" priority="357" stopIfTrue="1" operator="equal">
      <formula>0</formula>
    </cfRule>
  </conditionalFormatting>
  <conditionalFormatting sqref="G665">
    <cfRule type="cellIs" dxfId="317" priority="356" stopIfTrue="1" operator="equal">
      <formula>0</formula>
    </cfRule>
  </conditionalFormatting>
  <conditionalFormatting sqref="G666">
    <cfRule type="cellIs" dxfId="316" priority="355" stopIfTrue="1" operator="equal">
      <formula>0</formula>
    </cfRule>
  </conditionalFormatting>
  <conditionalFormatting sqref="G690">
    <cfRule type="cellIs" dxfId="315" priority="354" stopIfTrue="1" operator="equal">
      <formula>0</formula>
    </cfRule>
  </conditionalFormatting>
  <conditionalFormatting sqref="G691">
    <cfRule type="cellIs" dxfId="314" priority="353" stopIfTrue="1" operator="equal">
      <formula>0</formula>
    </cfRule>
  </conditionalFormatting>
  <conditionalFormatting sqref="G715">
    <cfRule type="cellIs" dxfId="313" priority="352" stopIfTrue="1" operator="equal">
      <formula>0</formula>
    </cfRule>
  </conditionalFormatting>
  <conditionalFormatting sqref="G716">
    <cfRule type="cellIs" dxfId="312" priority="351" stopIfTrue="1" operator="equal">
      <formula>0</formula>
    </cfRule>
  </conditionalFormatting>
  <conditionalFormatting sqref="G740">
    <cfRule type="cellIs" dxfId="311" priority="350" stopIfTrue="1" operator="equal">
      <formula>0</formula>
    </cfRule>
  </conditionalFormatting>
  <conditionalFormatting sqref="G741">
    <cfRule type="cellIs" dxfId="310" priority="349" stopIfTrue="1" operator="equal">
      <formula>0</formula>
    </cfRule>
  </conditionalFormatting>
  <conditionalFormatting sqref="G765">
    <cfRule type="cellIs" dxfId="309" priority="348" stopIfTrue="1" operator="equal">
      <formula>0</formula>
    </cfRule>
  </conditionalFormatting>
  <conditionalFormatting sqref="G766">
    <cfRule type="cellIs" dxfId="308" priority="347" stopIfTrue="1" operator="equal">
      <formula>0</formula>
    </cfRule>
  </conditionalFormatting>
  <conditionalFormatting sqref="G790">
    <cfRule type="cellIs" dxfId="307" priority="346" stopIfTrue="1" operator="equal">
      <formula>0</formula>
    </cfRule>
  </conditionalFormatting>
  <conditionalFormatting sqref="G791">
    <cfRule type="cellIs" dxfId="306" priority="345" stopIfTrue="1" operator="equal">
      <formula>0</formula>
    </cfRule>
  </conditionalFormatting>
  <conditionalFormatting sqref="G815">
    <cfRule type="cellIs" dxfId="305" priority="344" stopIfTrue="1" operator="equal">
      <formula>0</formula>
    </cfRule>
  </conditionalFormatting>
  <conditionalFormatting sqref="G816">
    <cfRule type="cellIs" dxfId="304" priority="343" stopIfTrue="1" operator="equal">
      <formula>0</formula>
    </cfRule>
  </conditionalFormatting>
  <conditionalFormatting sqref="O65">
    <cfRule type="cellIs" dxfId="303" priority="342" stopIfTrue="1" operator="equal">
      <formula>0</formula>
    </cfRule>
  </conditionalFormatting>
  <conditionalFormatting sqref="O66">
    <cfRule type="cellIs" dxfId="302" priority="341" stopIfTrue="1" operator="equal">
      <formula>0</formula>
    </cfRule>
  </conditionalFormatting>
  <conditionalFormatting sqref="O90">
    <cfRule type="cellIs" dxfId="301" priority="340" stopIfTrue="1" operator="equal">
      <formula>0</formula>
    </cfRule>
  </conditionalFormatting>
  <conditionalFormatting sqref="O91">
    <cfRule type="cellIs" dxfId="300" priority="339" stopIfTrue="1" operator="equal">
      <formula>0</formula>
    </cfRule>
  </conditionalFormatting>
  <conditionalFormatting sqref="O115">
    <cfRule type="cellIs" dxfId="299" priority="338" stopIfTrue="1" operator="equal">
      <formula>0</formula>
    </cfRule>
  </conditionalFormatting>
  <conditionalFormatting sqref="O116">
    <cfRule type="cellIs" dxfId="298" priority="337" stopIfTrue="1" operator="equal">
      <formula>0</formula>
    </cfRule>
  </conditionalFormatting>
  <conditionalFormatting sqref="O140">
    <cfRule type="cellIs" dxfId="297" priority="336" stopIfTrue="1" operator="equal">
      <formula>0</formula>
    </cfRule>
  </conditionalFormatting>
  <conditionalFormatting sqref="O141">
    <cfRule type="cellIs" dxfId="296" priority="335" stopIfTrue="1" operator="equal">
      <formula>0</formula>
    </cfRule>
  </conditionalFormatting>
  <conditionalFormatting sqref="O165">
    <cfRule type="cellIs" dxfId="295" priority="334" stopIfTrue="1" operator="equal">
      <formula>0</formula>
    </cfRule>
  </conditionalFormatting>
  <conditionalFormatting sqref="O166">
    <cfRule type="cellIs" dxfId="294" priority="333" stopIfTrue="1" operator="equal">
      <formula>0</formula>
    </cfRule>
  </conditionalFormatting>
  <conditionalFormatting sqref="O190">
    <cfRule type="cellIs" dxfId="293" priority="332" stopIfTrue="1" operator="equal">
      <formula>0</formula>
    </cfRule>
  </conditionalFormatting>
  <conditionalFormatting sqref="O191">
    <cfRule type="cellIs" dxfId="292" priority="331" stopIfTrue="1" operator="equal">
      <formula>0</formula>
    </cfRule>
  </conditionalFormatting>
  <conditionalFormatting sqref="O215">
    <cfRule type="cellIs" dxfId="291" priority="330" stopIfTrue="1" operator="equal">
      <formula>0</formula>
    </cfRule>
  </conditionalFormatting>
  <conditionalFormatting sqref="O216">
    <cfRule type="cellIs" dxfId="290" priority="329" stopIfTrue="1" operator="equal">
      <formula>0</formula>
    </cfRule>
  </conditionalFormatting>
  <conditionalFormatting sqref="O315">
    <cfRule type="cellIs" dxfId="289" priority="322" stopIfTrue="1" operator="equal">
      <formula>0</formula>
    </cfRule>
  </conditionalFormatting>
  <conditionalFormatting sqref="O265">
    <cfRule type="cellIs" dxfId="288" priority="326" stopIfTrue="1" operator="equal">
      <formula>0</formula>
    </cfRule>
  </conditionalFormatting>
  <conditionalFormatting sqref="O266">
    <cfRule type="cellIs" dxfId="287" priority="325" stopIfTrue="1" operator="equal">
      <formula>0</formula>
    </cfRule>
  </conditionalFormatting>
  <conditionalFormatting sqref="O290">
    <cfRule type="cellIs" dxfId="286" priority="324" stopIfTrue="1" operator="equal">
      <formula>0</formula>
    </cfRule>
  </conditionalFormatting>
  <conditionalFormatting sqref="O291">
    <cfRule type="cellIs" dxfId="285" priority="323" stopIfTrue="1" operator="equal">
      <formula>0</formula>
    </cfRule>
  </conditionalFormatting>
  <conditionalFormatting sqref="O316">
    <cfRule type="cellIs" dxfId="284" priority="321" stopIfTrue="1" operator="equal">
      <formula>0</formula>
    </cfRule>
  </conditionalFormatting>
  <conditionalFormatting sqref="O365">
    <cfRule type="cellIs" dxfId="283" priority="318" stopIfTrue="1" operator="equal">
      <formula>0</formula>
    </cfRule>
  </conditionalFormatting>
  <conditionalFormatting sqref="O366">
    <cfRule type="cellIs" dxfId="282" priority="317" stopIfTrue="1" operator="equal">
      <formula>0</formula>
    </cfRule>
  </conditionalFormatting>
  <conditionalFormatting sqref="O390">
    <cfRule type="cellIs" dxfId="281" priority="316" stopIfTrue="1" operator="equal">
      <formula>0</formula>
    </cfRule>
  </conditionalFormatting>
  <conditionalFormatting sqref="O391">
    <cfRule type="cellIs" dxfId="280" priority="315" stopIfTrue="1" operator="equal">
      <formula>0</formula>
    </cfRule>
  </conditionalFormatting>
  <conditionalFormatting sqref="O415">
    <cfRule type="cellIs" dxfId="279" priority="314" stopIfTrue="1" operator="equal">
      <formula>0</formula>
    </cfRule>
  </conditionalFormatting>
  <conditionalFormatting sqref="O416">
    <cfRule type="cellIs" dxfId="278" priority="313" stopIfTrue="1" operator="equal">
      <formula>0</formula>
    </cfRule>
  </conditionalFormatting>
  <conditionalFormatting sqref="O440">
    <cfRule type="cellIs" dxfId="277" priority="312" stopIfTrue="1" operator="equal">
      <formula>0</formula>
    </cfRule>
  </conditionalFormatting>
  <conditionalFormatting sqref="O441">
    <cfRule type="cellIs" dxfId="276" priority="311" stopIfTrue="1" operator="equal">
      <formula>0</formula>
    </cfRule>
  </conditionalFormatting>
  <conditionalFormatting sqref="O465">
    <cfRule type="cellIs" dxfId="275" priority="310" stopIfTrue="1" operator="equal">
      <formula>0</formula>
    </cfRule>
  </conditionalFormatting>
  <conditionalFormatting sqref="O466">
    <cfRule type="cellIs" dxfId="274" priority="309" stopIfTrue="1" operator="equal">
      <formula>0</formula>
    </cfRule>
  </conditionalFormatting>
  <conditionalFormatting sqref="O490">
    <cfRule type="cellIs" dxfId="273" priority="308" stopIfTrue="1" operator="equal">
      <formula>0</formula>
    </cfRule>
  </conditionalFormatting>
  <conditionalFormatting sqref="O491">
    <cfRule type="cellIs" dxfId="272" priority="307" stopIfTrue="1" operator="equal">
      <formula>0</formula>
    </cfRule>
  </conditionalFormatting>
  <conditionalFormatting sqref="O515">
    <cfRule type="cellIs" dxfId="271" priority="306" stopIfTrue="1" operator="equal">
      <formula>0</formula>
    </cfRule>
  </conditionalFormatting>
  <conditionalFormatting sqref="O516">
    <cfRule type="cellIs" dxfId="270" priority="305" stopIfTrue="1" operator="equal">
      <formula>0</formula>
    </cfRule>
  </conditionalFormatting>
  <conditionalFormatting sqref="O540">
    <cfRule type="cellIs" dxfId="269" priority="304" stopIfTrue="1" operator="equal">
      <formula>0</formula>
    </cfRule>
  </conditionalFormatting>
  <conditionalFormatting sqref="O541">
    <cfRule type="cellIs" dxfId="268" priority="303" stopIfTrue="1" operator="equal">
      <formula>0</formula>
    </cfRule>
  </conditionalFormatting>
  <conditionalFormatting sqref="O590">
    <cfRule type="cellIs" dxfId="267" priority="302" stopIfTrue="1" operator="equal">
      <formula>0</formula>
    </cfRule>
  </conditionalFormatting>
  <conditionalFormatting sqref="O591">
    <cfRule type="cellIs" dxfId="266" priority="301" stopIfTrue="1" operator="equal">
      <formula>0</formula>
    </cfRule>
  </conditionalFormatting>
  <conditionalFormatting sqref="O615">
    <cfRule type="cellIs" dxfId="265" priority="300" stopIfTrue="1" operator="equal">
      <formula>0</formula>
    </cfRule>
  </conditionalFormatting>
  <conditionalFormatting sqref="O616">
    <cfRule type="cellIs" dxfId="264" priority="299" stopIfTrue="1" operator="equal">
      <formula>0</formula>
    </cfRule>
  </conditionalFormatting>
  <conditionalFormatting sqref="O640">
    <cfRule type="cellIs" dxfId="263" priority="298" stopIfTrue="1" operator="equal">
      <formula>0</formula>
    </cfRule>
  </conditionalFormatting>
  <conditionalFormatting sqref="O641">
    <cfRule type="cellIs" dxfId="262" priority="297" stopIfTrue="1" operator="equal">
      <formula>0</formula>
    </cfRule>
  </conditionalFormatting>
  <conditionalFormatting sqref="O665">
    <cfRule type="cellIs" dxfId="261" priority="296" stopIfTrue="1" operator="equal">
      <formula>0</formula>
    </cfRule>
  </conditionalFormatting>
  <conditionalFormatting sqref="O666">
    <cfRule type="cellIs" dxfId="260" priority="295" stopIfTrue="1" operator="equal">
      <formula>0</formula>
    </cfRule>
  </conditionalFormatting>
  <conditionalFormatting sqref="O690">
    <cfRule type="cellIs" dxfId="259" priority="294" stopIfTrue="1" operator="equal">
      <formula>0</formula>
    </cfRule>
  </conditionalFormatting>
  <conditionalFormatting sqref="O691">
    <cfRule type="cellIs" dxfId="258" priority="293" stopIfTrue="1" operator="equal">
      <formula>0</formula>
    </cfRule>
  </conditionalFormatting>
  <conditionalFormatting sqref="O715">
    <cfRule type="cellIs" dxfId="257" priority="292" stopIfTrue="1" operator="equal">
      <formula>0</formula>
    </cfRule>
  </conditionalFormatting>
  <conditionalFormatting sqref="O716">
    <cfRule type="cellIs" dxfId="256" priority="291" stopIfTrue="1" operator="equal">
      <formula>0</formula>
    </cfRule>
  </conditionalFormatting>
  <conditionalFormatting sqref="O740">
    <cfRule type="cellIs" dxfId="255" priority="290" stopIfTrue="1" operator="equal">
      <formula>0</formula>
    </cfRule>
  </conditionalFormatting>
  <conditionalFormatting sqref="O741">
    <cfRule type="cellIs" dxfId="254" priority="289" stopIfTrue="1" operator="equal">
      <formula>0</formula>
    </cfRule>
  </conditionalFormatting>
  <conditionalFormatting sqref="O765">
    <cfRule type="cellIs" dxfId="253" priority="288" stopIfTrue="1" operator="equal">
      <formula>0</formula>
    </cfRule>
  </conditionalFormatting>
  <conditionalFormatting sqref="O766">
    <cfRule type="cellIs" dxfId="252" priority="287" stopIfTrue="1" operator="equal">
      <formula>0</formula>
    </cfRule>
  </conditionalFormatting>
  <conditionalFormatting sqref="O790">
    <cfRule type="cellIs" dxfId="251" priority="286" stopIfTrue="1" operator="equal">
      <formula>0</formula>
    </cfRule>
  </conditionalFormatting>
  <conditionalFormatting sqref="O791">
    <cfRule type="cellIs" dxfId="250" priority="285" stopIfTrue="1" operator="equal">
      <formula>0</formula>
    </cfRule>
  </conditionalFormatting>
  <conditionalFormatting sqref="O815">
    <cfRule type="cellIs" dxfId="249" priority="284" stopIfTrue="1" operator="equal">
      <formula>0</formula>
    </cfRule>
  </conditionalFormatting>
  <conditionalFormatting sqref="O816">
    <cfRule type="cellIs" dxfId="248" priority="283" stopIfTrue="1" operator="equal">
      <formula>0</formula>
    </cfRule>
  </conditionalFormatting>
  <conditionalFormatting sqref="Q67">
    <cfRule type="cellIs" dxfId="247" priority="282" stopIfTrue="1" operator="equal">
      <formula>0</formula>
    </cfRule>
  </conditionalFormatting>
  <conditionalFormatting sqref="I92">
    <cfRule type="cellIs" dxfId="246" priority="281" stopIfTrue="1" operator="equal">
      <formula>0</formula>
    </cfRule>
  </conditionalFormatting>
  <conditionalFormatting sqref="Q92">
    <cfRule type="cellIs" dxfId="245" priority="280" stopIfTrue="1" operator="equal">
      <formula>0</formula>
    </cfRule>
  </conditionalFormatting>
  <conditionalFormatting sqref="X263:X264">
    <cfRule type="cellIs" dxfId="244" priority="279" stopIfTrue="1" operator="equal">
      <formula>0</formula>
    </cfRule>
  </conditionalFormatting>
  <conditionalFormatting sqref="X265">
    <cfRule type="cellIs" dxfId="243" priority="278" stopIfTrue="1" operator="equal">
      <formula>0</formula>
    </cfRule>
  </conditionalFormatting>
  <conditionalFormatting sqref="X288:X289">
    <cfRule type="cellIs" dxfId="242" priority="277" stopIfTrue="1" operator="equal">
      <formula>0</formula>
    </cfRule>
  </conditionalFormatting>
  <conditionalFormatting sqref="X290">
    <cfRule type="cellIs" dxfId="241" priority="276" stopIfTrue="1" operator="equal">
      <formula>0</formula>
    </cfRule>
  </conditionalFormatting>
  <conditionalFormatting sqref="Y635:AB635">
    <cfRule type="cellIs" dxfId="240" priority="235" stopIfTrue="1" operator="equal">
      <formula>0</formula>
    </cfRule>
  </conditionalFormatting>
  <conditionalFormatting sqref="Y685:AB685">
    <cfRule type="cellIs" dxfId="239" priority="233" stopIfTrue="1" operator="equal">
      <formula>0</formula>
    </cfRule>
  </conditionalFormatting>
  <conditionalFormatting sqref="W810:X810">
    <cfRule type="cellIs" dxfId="238" priority="275" stopIfTrue="1" operator="equal">
      <formula>0</formula>
    </cfRule>
  </conditionalFormatting>
  <conditionalFormatting sqref="W784:Z784">
    <cfRule type="cellIs" dxfId="237" priority="274" stopIfTrue="1" operator="equal">
      <formula>0</formula>
    </cfRule>
  </conditionalFormatting>
  <conditionalFormatting sqref="W785:X785">
    <cfRule type="cellIs" dxfId="236" priority="273" stopIfTrue="1" operator="equal">
      <formula>0</formula>
    </cfRule>
  </conditionalFormatting>
  <conditionalFormatting sqref="W760:X760">
    <cfRule type="cellIs" dxfId="235" priority="272" stopIfTrue="1" operator="equal">
      <formula>0</formula>
    </cfRule>
  </conditionalFormatting>
  <conditionalFormatting sqref="W735:X735">
    <cfRule type="cellIs" dxfId="234" priority="271" stopIfTrue="1" operator="equal">
      <formula>0</formula>
    </cfRule>
  </conditionalFormatting>
  <conditionalFormatting sqref="W710:X710">
    <cfRule type="cellIs" dxfId="233" priority="270" stopIfTrue="1" operator="equal">
      <formula>0</formula>
    </cfRule>
  </conditionalFormatting>
  <conditionalFormatting sqref="W685:X685">
    <cfRule type="cellIs" dxfId="232" priority="269" stopIfTrue="1" operator="equal">
      <formula>0</formula>
    </cfRule>
  </conditionalFormatting>
  <conditionalFormatting sqref="W660:X660">
    <cfRule type="cellIs" dxfId="231" priority="268" stopIfTrue="1" operator="equal">
      <formula>0</formula>
    </cfRule>
  </conditionalFormatting>
  <conditionalFormatting sqref="W635:X635">
    <cfRule type="cellIs" dxfId="230" priority="267" stopIfTrue="1" operator="equal">
      <formula>0</formula>
    </cfRule>
  </conditionalFormatting>
  <conditionalFormatting sqref="W610:X610">
    <cfRule type="cellIs" dxfId="229" priority="266" stopIfTrue="1" operator="equal">
      <formula>0</formula>
    </cfRule>
  </conditionalFormatting>
  <conditionalFormatting sqref="W560:X560">
    <cfRule type="cellIs" dxfId="228" priority="265" stopIfTrue="1" operator="equal">
      <formula>0</formula>
    </cfRule>
  </conditionalFormatting>
  <conditionalFormatting sqref="W535:X535">
    <cfRule type="cellIs" dxfId="227" priority="264" stopIfTrue="1" operator="equal">
      <formula>0</formula>
    </cfRule>
  </conditionalFormatting>
  <conditionalFormatting sqref="W510:X510">
    <cfRule type="cellIs" dxfId="226" priority="263" stopIfTrue="1" operator="equal">
      <formula>0</formula>
    </cfRule>
  </conditionalFormatting>
  <conditionalFormatting sqref="W485:X485">
    <cfRule type="cellIs" dxfId="225" priority="262" stopIfTrue="1" operator="equal">
      <formula>0</formula>
    </cfRule>
  </conditionalFormatting>
  <conditionalFormatting sqref="W460:X460">
    <cfRule type="cellIs" dxfId="224" priority="261" stopIfTrue="1" operator="equal">
      <formula>0</formula>
    </cfRule>
  </conditionalFormatting>
  <conditionalFormatting sqref="W435:X435">
    <cfRule type="cellIs" dxfId="223" priority="260" stopIfTrue="1" operator="equal">
      <formula>0</formula>
    </cfRule>
  </conditionalFormatting>
  <conditionalFormatting sqref="W410:X410">
    <cfRule type="cellIs" dxfId="222" priority="259" stopIfTrue="1" operator="equal">
      <formula>0</formula>
    </cfRule>
  </conditionalFormatting>
  <conditionalFormatting sqref="W385:X385">
    <cfRule type="cellIs" dxfId="221" priority="258" stopIfTrue="1" operator="equal">
      <formula>0</formula>
    </cfRule>
  </conditionalFormatting>
  <conditionalFormatting sqref="X360">
    <cfRule type="cellIs" dxfId="220" priority="257" stopIfTrue="1" operator="equal">
      <formula>0</formula>
    </cfRule>
  </conditionalFormatting>
  <conditionalFormatting sqref="W335:X335">
    <cfRule type="cellIs" dxfId="219" priority="256" stopIfTrue="1" operator="equal">
      <formula>0</formula>
    </cfRule>
  </conditionalFormatting>
  <conditionalFormatting sqref="Y810:AB810">
    <cfRule type="cellIs" dxfId="218" priority="228" stopIfTrue="1" operator="equal">
      <formula>0</formula>
    </cfRule>
  </conditionalFormatting>
  <conditionalFormatting sqref="I417">
    <cfRule type="cellIs" dxfId="217" priority="226" stopIfTrue="1" operator="equal">
      <formula>0</formula>
    </cfRule>
  </conditionalFormatting>
  <conditionalFormatting sqref="F22:H22">
    <cfRule type="cellIs" dxfId="216" priority="224" stopIfTrue="1" operator="equal">
      <formula>0</formula>
    </cfRule>
  </conditionalFormatting>
  <conditionalFormatting sqref="N22:P22">
    <cfRule type="cellIs" dxfId="215" priority="222" stopIfTrue="1" operator="equal">
      <formula>0</formula>
    </cfRule>
  </conditionalFormatting>
  <conditionalFormatting sqref="J32">
    <cfRule type="cellIs" dxfId="214" priority="220" stopIfTrue="1" operator="equal">
      <formula>0</formula>
    </cfRule>
  </conditionalFormatting>
  <conditionalFormatting sqref="R22:S22">
    <cfRule type="cellIs" dxfId="213" priority="218" stopIfTrue="1" operator="equal">
      <formula>0</formula>
    </cfRule>
  </conditionalFormatting>
  <conditionalFormatting sqref="G34:H34">
    <cfRule type="cellIs" dxfId="212" priority="204" stopIfTrue="1" operator="equal">
      <formula>0</formula>
    </cfRule>
  </conditionalFormatting>
  <conditionalFormatting sqref="O24:P24">
    <cfRule type="cellIs" dxfId="211" priority="215" stopIfTrue="1" operator="equal">
      <formula>0</formula>
    </cfRule>
  </conditionalFormatting>
  <conditionalFormatting sqref="K32">
    <cfRule type="cellIs" dxfId="210" priority="205" stopIfTrue="1" operator="equal">
      <formula>0</formula>
    </cfRule>
  </conditionalFormatting>
  <conditionalFormatting sqref="Y110:AB110">
    <cfRule type="cellIs" dxfId="209" priority="255" stopIfTrue="1" operator="equal">
      <formula>0</formula>
    </cfRule>
  </conditionalFormatting>
  <conditionalFormatting sqref="Y135:AB135">
    <cfRule type="cellIs" dxfId="208" priority="254" stopIfTrue="1" operator="equal">
      <formula>0</formula>
    </cfRule>
  </conditionalFormatting>
  <conditionalFormatting sqref="Y160:AB160">
    <cfRule type="cellIs" dxfId="207" priority="253" stopIfTrue="1" operator="equal">
      <formula>0</formula>
    </cfRule>
  </conditionalFormatting>
  <conditionalFormatting sqref="Y185:AB185">
    <cfRule type="cellIs" dxfId="206" priority="252" stopIfTrue="1" operator="equal">
      <formula>0</formula>
    </cfRule>
  </conditionalFormatting>
  <conditionalFormatting sqref="Y210:AB210">
    <cfRule type="cellIs" dxfId="205" priority="251" stopIfTrue="1" operator="equal">
      <formula>0</formula>
    </cfRule>
  </conditionalFormatting>
  <conditionalFormatting sqref="Y235:AB235">
    <cfRule type="cellIs" dxfId="204" priority="250" stopIfTrue="1" operator="equal">
      <formula>0</formula>
    </cfRule>
  </conditionalFormatting>
  <conditionalFormatting sqref="Y260:AB260">
    <cfRule type="cellIs" dxfId="203" priority="249" stopIfTrue="1" operator="equal">
      <formula>0</formula>
    </cfRule>
  </conditionalFormatting>
  <conditionalFormatting sqref="Y285:AB285">
    <cfRule type="cellIs" dxfId="202" priority="248" stopIfTrue="1" operator="equal">
      <formula>0</formula>
    </cfRule>
  </conditionalFormatting>
  <conditionalFormatting sqref="Y310:AB310">
    <cfRule type="cellIs" dxfId="201" priority="247" stopIfTrue="1" operator="equal">
      <formula>0</formula>
    </cfRule>
  </conditionalFormatting>
  <conditionalFormatting sqref="Y335:AB335">
    <cfRule type="cellIs" dxfId="200" priority="246" stopIfTrue="1" operator="equal">
      <formula>0</formula>
    </cfRule>
  </conditionalFormatting>
  <conditionalFormatting sqref="Y360:AB360">
    <cfRule type="cellIs" dxfId="199" priority="245" stopIfTrue="1" operator="equal">
      <formula>0</formula>
    </cfRule>
  </conditionalFormatting>
  <conditionalFormatting sqref="Y385:AB385">
    <cfRule type="cellIs" dxfId="198" priority="244" stopIfTrue="1" operator="equal">
      <formula>0</formula>
    </cfRule>
  </conditionalFormatting>
  <conditionalFormatting sqref="Y410:AB410">
    <cfRule type="cellIs" dxfId="197" priority="243" stopIfTrue="1" operator="equal">
      <formula>0</formula>
    </cfRule>
  </conditionalFormatting>
  <conditionalFormatting sqref="Y435:AB435">
    <cfRule type="cellIs" dxfId="196" priority="242" stopIfTrue="1" operator="equal">
      <formula>0</formula>
    </cfRule>
  </conditionalFormatting>
  <conditionalFormatting sqref="Y460:AB460">
    <cfRule type="cellIs" dxfId="195" priority="241" stopIfTrue="1" operator="equal">
      <formula>0</formula>
    </cfRule>
  </conditionalFormatting>
  <conditionalFormatting sqref="Y485:AB485">
    <cfRule type="cellIs" dxfId="194" priority="240" stopIfTrue="1" operator="equal">
      <formula>0</formula>
    </cfRule>
  </conditionalFormatting>
  <conditionalFormatting sqref="Y510:AB510">
    <cfRule type="cellIs" dxfId="193" priority="239" stopIfTrue="1" operator="equal">
      <formula>0</formula>
    </cfRule>
  </conditionalFormatting>
  <conditionalFormatting sqref="Y535:AB535">
    <cfRule type="cellIs" dxfId="192" priority="238" stopIfTrue="1" operator="equal">
      <formula>0</formula>
    </cfRule>
  </conditionalFormatting>
  <conditionalFormatting sqref="Y560:AB560">
    <cfRule type="cellIs" dxfId="191" priority="237" stopIfTrue="1" operator="equal">
      <formula>0</formula>
    </cfRule>
  </conditionalFormatting>
  <conditionalFormatting sqref="Y610:AB610">
    <cfRule type="cellIs" dxfId="190" priority="236" stopIfTrue="1" operator="equal">
      <formula>0</formula>
    </cfRule>
  </conditionalFormatting>
  <conditionalFormatting sqref="Y660:AB660">
    <cfRule type="cellIs" dxfId="189" priority="234" stopIfTrue="1" operator="equal">
      <formula>0</formula>
    </cfRule>
  </conditionalFormatting>
  <conditionalFormatting sqref="Y710:AB710">
    <cfRule type="cellIs" dxfId="188" priority="232" stopIfTrue="1" operator="equal">
      <formula>0</formula>
    </cfRule>
  </conditionalFormatting>
  <conditionalFormatting sqref="Y735:AB735">
    <cfRule type="cellIs" dxfId="187" priority="231" stopIfTrue="1" operator="equal">
      <formula>0</formula>
    </cfRule>
  </conditionalFormatting>
  <conditionalFormatting sqref="Y760:AB760">
    <cfRule type="cellIs" dxfId="186" priority="230" stopIfTrue="1" operator="equal">
      <formula>0</formula>
    </cfRule>
  </conditionalFormatting>
  <conditionalFormatting sqref="Y785:AB785">
    <cfRule type="cellIs" dxfId="185" priority="229" stopIfTrue="1" operator="equal">
      <formula>0</formula>
    </cfRule>
  </conditionalFormatting>
  <conditionalFormatting sqref="Y835:AB835">
    <cfRule type="cellIs" dxfId="184" priority="227" stopIfTrue="1" operator="equal">
      <formula>0</formula>
    </cfRule>
  </conditionalFormatting>
  <conditionalFormatting sqref="Q417">
    <cfRule type="cellIs" dxfId="183" priority="225" stopIfTrue="1" operator="equal">
      <formula>0</formula>
    </cfRule>
  </conditionalFormatting>
  <conditionalFormatting sqref="F32">
    <cfRule type="cellIs" dxfId="182" priority="223" stopIfTrue="1" operator="equal">
      <formula>0</formula>
    </cfRule>
  </conditionalFormatting>
  <conditionalFormatting sqref="N32">
    <cfRule type="cellIs" dxfId="181" priority="221" stopIfTrue="1" operator="equal">
      <formula>0</formula>
    </cfRule>
  </conditionalFormatting>
  <conditionalFormatting sqref="J22:K22">
    <cfRule type="cellIs" dxfId="180" priority="219" stopIfTrue="1" operator="equal">
      <formula>0</formula>
    </cfRule>
  </conditionalFormatting>
  <conditionalFormatting sqref="R32">
    <cfRule type="cellIs" dxfId="179" priority="217" stopIfTrue="1" operator="equal">
      <formula>0</formula>
    </cfRule>
  </conditionalFormatting>
  <conditionalFormatting sqref="F24:H24">
    <cfRule type="cellIs" dxfId="178" priority="216" stopIfTrue="1" operator="equal">
      <formula>0</formula>
    </cfRule>
  </conditionalFormatting>
  <conditionalFormatting sqref="F34">
    <cfRule type="cellIs" dxfId="177" priority="214" stopIfTrue="1" operator="equal">
      <formula>0</formula>
    </cfRule>
  </conditionalFormatting>
  <conditionalFormatting sqref="N34">
    <cfRule type="cellIs" dxfId="176" priority="213" stopIfTrue="1" operator="equal">
      <formula>0</formula>
    </cfRule>
  </conditionalFormatting>
  <conditionalFormatting sqref="N24">
    <cfRule type="cellIs" dxfId="175" priority="212" stopIfTrue="1" operator="equal">
      <formula>0</formula>
    </cfRule>
  </conditionalFormatting>
  <conditionalFormatting sqref="F26:H26">
    <cfRule type="cellIs" dxfId="174" priority="211" stopIfTrue="1" operator="equal">
      <formula>0</formula>
    </cfRule>
  </conditionalFormatting>
  <conditionalFormatting sqref="N26">
    <cfRule type="cellIs" dxfId="173" priority="210" stopIfTrue="1" operator="equal">
      <formula>0</formula>
    </cfRule>
  </conditionalFormatting>
  <conditionalFormatting sqref="F36">
    <cfRule type="cellIs" dxfId="172" priority="209" stopIfTrue="1" operator="equal">
      <formula>0</formula>
    </cfRule>
  </conditionalFormatting>
  <conditionalFormatting sqref="N36">
    <cfRule type="cellIs" dxfId="171" priority="208" stopIfTrue="1" operator="equal">
      <formula>0</formula>
    </cfRule>
  </conditionalFormatting>
  <conditionalFormatting sqref="O26:P26">
    <cfRule type="cellIs" dxfId="170" priority="207" stopIfTrue="1" operator="equal">
      <formula>0</formula>
    </cfRule>
  </conditionalFormatting>
  <conditionalFormatting sqref="G32:H32">
    <cfRule type="cellIs" dxfId="169" priority="206" stopIfTrue="1" operator="equal">
      <formula>0</formula>
    </cfRule>
  </conditionalFormatting>
  <conditionalFormatting sqref="G36:H36">
    <cfRule type="cellIs" dxfId="168" priority="203" stopIfTrue="1" operator="equal">
      <formula>0</formula>
    </cfRule>
  </conditionalFormatting>
  <conditionalFormatting sqref="O36:P36">
    <cfRule type="cellIs" dxfId="167" priority="202" stopIfTrue="1" operator="equal">
      <formula>0</formula>
    </cfRule>
  </conditionalFormatting>
  <conditionalFormatting sqref="O32:P32">
    <cfRule type="cellIs" dxfId="166" priority="201" stopIfTrue="1" operator="equal">
      <formula>0</formula>
    </cfRule>
  </conditionalFormatting>
  <conditionalFormatting sqref="O34:P34">
    <cfRule type="cellIs" dxfId="165" priority="200" stopIfTrue="1" operator="equal">
      <formula>0</formula>
    </cfRule>
  </conditionalFormatting>
  <conditionalFormatting sqref="S32">
    <cfRule type="cellIs" dxfId="164" priority="199" stopIfTrue="1" operator="equal">
      <formula>0</formula>
    </cfRule>
  </conditionalFormatting>
  <conditionalFormatting sqref="J34">
    <cfRule type="cellIs" dxfId="163" priority="198" stopIfTrue="1" operator="equal">
      <formula>0</formula>
    </cfRule>
  </conditionalFormatting>
  <conditionalFormatting sqref="R24">
    <cfRule type="cellIs" dxfId="162" priority="196" stopIfTrue="1" operator="equal">
      <formula>0</formula>
    </cfRule>
  </conditionalFormatting>
  <conditionalFormatting sqref="J24">
    <cfRule type="cellIs" dxfId="161" priority="197" stopIfTrue="1" operator="equal">
      <formula>0</formula>
    </cfRule>
  </conditionalFormatting>
  <conditionalFormatting sqref="C338:C339">
    <cfRule type="cellIs" dxfId="160" priority="193" stopIfTrue="1" operator="equal">
      <formula>0</formula>
    </cfRule>
  </conditionalFormatting>
  <conditionalFormatting sqref="R34">
    <cfRule type="cellIs" dxfId="159" priority="195" stopIfTrue="1" operator="equal">
      <formula>0</formula>
    </cfRule>
  </conditionalFormatting>
  <conditionalFormatting sqref="C345:C347">
    <cfRule type="cellIs" dxfId="158" priority="194" stopIfTrue="1" operator="equal">
      <formula>0</formula>
    </cfRule>
  </conditionalFormatting>
  <conditionalFormatting sqref="I616">
    <cfRule type="cellIs" dxfId="157" priority="191" stopIfTrue="1" operator="equal">
      <formula>0</formula>
    </cfRule>
  </conditionalFormatting>
  <conditionalFormatting sqref="Q591">
    <cfRule type="cellIs" dxfId="156" priority="192" stopIfTrue="1" operator="equal">
      <formula>0</formula>
    </cfRule>
  </conditionalFormatting>
  <conditionalFormatting sqref="K24">
    <cfRule type="cellIs" dxfId="155" priority="190" stopIfTrue="1" operator="equal">
      <formula>0</formula>
    </cfRule>
  </conditionalFormatting>
  <conditionalFormatting sqref="S24">
    <cfRule type="cellIs" dxfId="154" priority="186" stopIfTrue="1" operator="equal">
      <formula>0</formula>
    </cfRule>
  </conditionalFormatting>
  <conditionalFormatting sqref="L24">
    <cfRule type="cellIs" dxfId="153" priority="189" stopIfTrue="1" operator="equal">
      <formula>0</formula>
    </cfRule>
  </conditionalFormatting>
  <conditionalFormatting sqref="K34">
    <cfRule type="cellIs" dxfId="152" priority="188" stopIfTrue="1" operator="equal">
      <formula>0</formula>
    </cfRule>
  </conditionalFormatting>
  <conditionalFormatting sqref="S34">
    <cfRule type="cellIs" dxfId="151" priority="187" stopIfTrue="1" operator="equal">
      <formula>0</formula>
    </cfRule>
  </conditionalFormatting>
  <conditionalFormatting sqref="I666">
    <cfRule type="cellIs" dxfId="150" priority="185" stopIfTrue="1" operator="equal">
      <formula>0</formula>
    </cfRule>
  </conditionalFormatting>
  <conditionalFormatting sqref="Q666">
    <cfRule type="cellIs" dxfId="149" priority="184" stopIfTrue="1" operator="equal">
      <formula>0</formula>
    </cfRule>
  </conditionalFormatting>
  <conditionalFormatting sqref="I691">
    <cfRule type="cellIs" dxfId="148" priority="183" stopIfTrue="1" operator="equal">
      <formula>0</formula>
    </cfRule>
  </conditionalFormatting>
  <conditionalFormatting sqref="Q691">
    <cfRule type="cellIs" dxfId="147" priority="182" stopIfTrue="1" operator="equal">
      <formula>0</formula>
    </cfRule>
  </conditionalFormatting>
  <conditionalFormatting sqref="I716">
    <cfRule type="cellIs" dxfId="146" priority="181" stopIfTrue="1" operator="equal">
      <formula>0</formula>
    </cfRule>
  </conditionalFormatting>
  <conditionalFormatting sqref="Q716">
    <cfRule type="cellIs" dxfId="145" priority="180" stopIfTrue="1" operator="equal">
      <formula>0</formula>
    </cfRule>
  </conditionalFormatting>
  <conditionalFormatting sqref="I741">
    <cfRule type="cellIs" dxfId="144" priority="179" stopIfTrue="1" operator="equal">
      <formula>0</formula>
    </cfRule>
  </conditionalFormatting>
  <conditionalFormatting sqref="Q741">
    <cfRule type="cellIs" dxfId="143" priority="178" stopIfTrue="1" operator="equal">
      <formula>0</formula>
    </cfRule>
  </conditionalFormatting>
  <conditionalFormatting sqref="I816">
    <cfRule type="cellIs" dxfId="142" priority="177" stopIfTrue="1" operator="equal">
      <formula>0</formula>
    </cfRule>
  </conditionalFormatting>
  <conditionalFormatting sqref="Q816">
    <cfRule type="cellIs" dxfId="141" priority="176" stopIfTrue="1" operator="equal">
      <formula>0</formula>
    </cfRule>
  </conditionalFormatting>
  <conditionalFormatting sqref="I766">
    <cfRule type="cellIs" dxfId="140" priority="175" stopIfTrue="1" operator="equal">
      <formula>0</formula>
    </cfRule>
  </conditionalFormatting>
  <conditionalFormatting sqref="Q766">
    <cfRule type="cellIs" dxfId="139" priority="174" stopIfTrue="1" operator="equal">
      <formula>0</formula>
    </cfRule>
  </conditionalFormatting>
  <conditionalFormatting sqref="Q791">
    <cfRule type="cellIs" dxfId="138" priority="173" stopIfTrue="1" operator="equal">
      <formula>0</formula>
    </cfRule>
  </conditionalFormatting>
  <conditionalFormatting sqref="I791">
    <cfRule type="cellIs" dxfId="137" priority="172" stopIfTrue="1" operator="equal">
      <formula>0</formula>
    </cfRule>
  </conditionalFormatting>
  <conditionalFormatting sqref="X815">
    <cfRule type="cellIs" dxfId="136" priority="171" stopIfTrue="1" operator="equal">
      <formula>0</formula>
    </cfRule>
  </conditionalFormatting>
  <conditionalFormatting sqref="X813:X814">
    <cfRule type="cellIs" dxfId="135" priority="170" stopIfTrue="1" operator="equal">
      <formula>0</formula>
    </cfRule>
  </conditionalFormatting>
  <conditionalFormatting sqref="Q66">
    <cfRule type="cellIs" dxfId="134" priority="169" stopIfTrue="1" operator="equal">
      <formula>0</formula>
    </cfRule>
  </conditionalFormatting>
  <conditionalFormatting sqref="I66">
    <cfRule type="cellIs" dxfId="133" priority="168" stopIfTrue="1" operator="equal">
      <formula>0</formula>
    </cfRule>
  </conditionalFormatting>
  <conditionalFormatting sqref="I91">
    <cfRule type="cellIs" dxfId="132" priority="167" stopIfTrue="1" operator="equal">
      <formula>0</formula>
    </cfRule>
  </conditionalFormatting>
  <conditionalFormatting sqref="Q91">
    <cfRule type="cellIs" dxfId="131" priority="166" stopIfTrue="1" operator="equal">
      <formula>0</formula>
    </cfRule>
  </conditionalFormatting>
  <conditionalFormatting sqref="I116">
    <cfRule type="cellIs" dxfId="130" priority="165" stopIfTrue="1" operator="equal">
      <formula>0</formula>
    </cfRule>
  </conditionalFormatting>
  <conditionalFormatting sqref="Q116">
    <cfRule type="cellIs" dxfId="129" priority="164" stopIfTrue="1" operator="equal">
      <formula>0</formula>
    </cfRule>
  </conditionalFormatting>
  <conditionalFormatting sqref="I141">
    <cfRule type="cellIs" dxfId="128" priority="163" stopIfTrue="1" operator="equal">
      <formula>0</formula>
    </cfRule>
  </conditionalFormatting>
  <conditionalFormatting sqref="Q141">
    <cfRule type="cellIs" dxfId="127" priority="162" stopIfTrue="1" operator="equal">
      <formula>0</formula>
    </cfRule>
  </conditionalFormatting>
  <conditionalFormatting sqref="I166">
    <cfRule type="cellIs" dxfId="126" priority="161" stopIfTrue="1" operator="equal">
      <formula>0</formula>
    </cfRule>
  </conditionalFormatting>
  <conditionalFormatting sqref="Q166">
    <cfRule type="cellIs" dxfId="125" priority="160" stopIfTrue="1" operator="equal">
      <formula>0</formula>
    </cfRule>
  </conditionalFormatting>
  <conditionalFormatting sqref="I191">
    <cfRule type="cellIs" dxfId="124" priority="159" stopIfTrue="1" operator="equal">
      <formula>0</formula>
    </cfRule>
  </conditionalFormatting>
  <conditionalFormatting sqref="Q191">
    <cfRule type="cellIs" dxfId="123" priority="158" stopIfTrue="1" operator="equal">
      <formula>0</formula>
    </cfRule>
  </conditionalFormatting>
  <conditionalFormatting sqref="Q216">
    <cfRule type="cellIs" dxfId="122" priority="157" stopIfTrue="1" operator="equal">
      <formula>0</formula>
    </cfRule>
  </conditionalFormatting>
  <conditionalFormatting sqref="I216">
    <cfRule type="cellIs" dxfId="121" priority="156" stopIfTrue="1" operator="equal">
      <formula>0</formula>
    </cfRule>
  </conditionalFormatting>
  <conditionalFormatting sqref="I341">
    <cfRule type="cellIs" dxfId="120" priority="155" stopIfTrue="1" operator="equal">
      <formula>0</formula>
    </cfRule>
  </conditionalFormatting>
  <conditionalFormatting sqref="I241">
    <cfRule type="cellIs" dxfId="119" priority="154" stopIfTrue="1" operator="equal">
      <formula>0</formula>
    </cfRule>
  </conditionalFormatting>
  <conditionalFormatting sqref="Q266">
    <cfRule type="cellIs" dxfId="118" priority="153" stopIfTrue="1" operator="equal">
      <formula>0</formula>
    </cfRule>
  </conditionalFormatting>
  <conditionalFormatting sqref="I266">
    <cfRule type="cellIs" dxfId="117" priority="152" stopIfTrue="1" operator="equal">
      <formula>0</formula>
    </cfRule>
  </conditionalFormatting>
  <conditionalFormatting sqref="Q291">
    <cfRule type="cellIs" dxfId="116" priority="151" stopIfTrue="1" operator="equal">
      <formula>0</formula>
    </cfRule>
  </conditionalFormatting>
  <conditionalFormatting sqref="I291">
    <cfRule type="cellIs" dxfId="115" priority="150" stopIfTrue="1" operator="equal">
      <formula>0</formula>
    </cfRule>
  </conditionalFormatting>
  <conditionalFormatting sqref="I316">
    <cfRule type="cellIs" dxfId="114" priority="149" stopIfTrue="1" operator="equal">
      <formula>0</formula>
    </cfRule>
  </conditionalFormatting>
  <conditionalFormatting sqref="Q316">
    <cfRule type="cellIs" dxfId="113" priority="148" stopIfTrue="1" operator="equal">
      <formula>0</formula>
    </cfRule>
  </conditionalFormatting>
  <conditionalFormatting sqref="C745:C748">
    <cfRule type="cellIs" dxfId="112" priority="147" stopIfTrue="1" operator="equal">
      <formula>0</formula>
    </cfRule>
  </conditionalFormatting>
  <conditionalFormatting sqref="C749">
    <cfRule type="cellIs" dxfId="111" priority="146" stopIfTrue="1" operator="equal">
      <formula>0</formula>
    </cfRule>
  </conditionalFormatting>
  <conditionalFormatting sqref="C752:C755">
    <cfRule type="cellIs" dxfId="110" priority="145" stopIfTrue="1" operator="equal">
      <formula>0</formula>
    </cfRule>
  </conditionalFormatting>
  <conditionalFormatting sqref="C756">
    <cfRule type="cellIs" dxfId="109" priority="144" stopIfTrue="1" operator="equal">
      <formula>0</formula>
    </cfRule>
  </conditionalFormatting>
  <conditionalFormatting sqref="V344:W359 V361:W361 V360">
    <cfRule type="cellIs" dxfId="108" priority="111" stopIfTrue="1" operator="equal">
      <formula>0</formula>
    </cfRule>
  </conditionalFormatting>
  <conditionalFormatting sqref="W720:W723">
    <cfRule type="cellIs" dxfId="107" priority="142" stopIfTrue="1" operator="equal">
      <formula>0</formula>
    </cfRule>
  </conditionalFormatting>
  <conditionalFormatting sqref="W724">
    <cfRule type="cellIs" dxfId="106" priority="141" stopIfTrue="1" operator="equal">
      <formula>0</formula>
    </cfRule>
  </conditionalFormatting>
  <conditionalFormatting sqref="W727:W730">
    <cfRule type="cellIs" dxfId="105" priority="139" stopIfTrue="1" operator="equal">
      <formula>0</formula>
    </cfRule>
  </conditionalFormatting>
  <conditionalFormatting sqref="W731">
    <cfRule type="cellIs" dxfId="104" priority="138" stopIfTrue="1" operator="equal">
      <formula>0</formula>
    </cfRule>
  </conditionalFormatting>
  <conditionalFormatting sqref="W718">
    <cfRule type="cellIs" dxfId="103" priority="137" stopIfTrue="1" operator="equal">
      <formula>0</formula>
    </cfRule>
  </conditionalFormatting>
  <conditionalFormatting sqref="W725">
    <cfRule type="cellIs" dxfId="102" priority="136" stopIfTrue="1" operator="equal">
      <formula>0</formula>
    </cfRule>
  </conditionalFormatting>
  <conditionalFormatting sqref="W732">
    <cfRule type="cellIs" dxfId="101" priority="135" stopIfTrue="1" operator="equal">
      <formula>0</formula>
    </cfRule>
  </conditionalFormatting>
  <conditionalFormatting sqref="W243">
    <cfRule type="cellIs" dxfId="100" priority="134" stopIfTrue="1" operator="equal">
      <formula>0</formula>
    </cfRule>
  </conditionalFormatting>
  <conditionalFormatting sqref="I366">
    <cfRule type="cellIs" dxfId="99" priority="117" stopIfTrue="1" operator="equal">
      <formula>0</formula>
    </cfRule>
  </conditionalFormatting>
  <conditionalFormatting sqref="W343">
    <cfRule type="cellIs" dxfId="98" priority="127" stopIfTrue="1" operator="equal">
      <formula>0</formula>
    </cfRule>
  </conditionalFormatting>
  <conditionalFormatting sqref="V244:W260 V262:W262 V261">
    <cfRule type="cellIs" dxfId="97" priority="118" stopIfTrue="1" operator="equal">
      <formula>0</formula>
    </cfRule>
  </conditionalFormatting>
  <conditionalFormatting sqref="V362:W362">
    <cfRule type="cellIs" dxfId="96" priority="110" stopIfTrue="1" operator="equal">
      <formula>0</formula>
    </cfRule>
  </conditionalFormatting>
  <conditionalFormatting sqref="W360">
    <cfRule type="cellIs" dxfId="95" priority="109" stopIfTrue="1" operator="equal">
      <formula>0</formula>
    </cfRule>
  </conditionalFormatting>
  <conditionalFormatting sqref="O240">
    <cfRule type="cellIs" dxfId="94" priority="108" stopIfTrue="1" operator="equal">
      <formula>0</formula>
    </cfRule>
  </conditionalFormatting>
  <conditionalFormatting sqref="O241">
    <cfRule type="cellIs" dxfId="93" priority="107" stopIfTrue="1" operator="equal">
      <formula>0</formula>
    </cfRule>
  </conditionalFormatting>
  <conditionalFormatting sqref="O340">
    <cfRule type="cellIs" dxfId="92" priority="106" stopIfTrue="1" operator="equal">
      <formula>0</formula>
    </cfRule>
  </conditionalFormatting>
  <conditionalFormatting sqref="Q241">
    <cfRule type="cellIs" dxfId="91" priority="103" stopIfTrue="1" operator="equal">
      <formula>0</formula>
    </cfRule>
  </conditionalFormatting>
  <conditionalFormatting sqref="O341">
    <cfRule type="cellIs" dxfId="90" priority="104" stopIfTrue="1" operator="equal">
      <formula>0</formula>
    </cfRule>
  </conditionalFormatting>
  <conditionalFormatting sqref="E385">
    <cfRule type="cellIs" dxfId="89" priority="102" stopIfTrue="1" operator="equal">
      <formula>0</formula>
    </cfRule>
  </conditionalFormatting>
  <conditionalFormatting sqref="M385">
    <cfRule type="cellIs" dxfId="88" priority="96" stopIfTrue="1" operator="equal">
      <formula>0</formula>
    </cfRule>
  </conditionalFormatting>
  <conditionalFormatting sqref="N385">
    <cfRule type="cellIs" dxfId="87" priority="86" stopIfTrue="1" operator="equal">
      <formula>0</formula>
    </cfRule>
  </conditionalFormatting>
  <conditionalFormatting sqref="M410">
    <cfRule type="cellIs" dxfId="86" priority="95" stopIfTrue="1" operator="equal">
      <formula>0</formula>
    </cfRule>
  </conditionalFormatting>
  <conditionalFormatting sqref="N410">
    <cfRule type="cellIs" dxfId="85" priority="85" stopIfTrue="1" operator="equal">
      <formula>0</formula>
    </cfRule>
  </conditionalFormatting>
  <conditionalFormatting sqref="F410">
    <cfRule type="cellIs" dxfId="84" priority="84" stopIfTrue="1" operator="equal">
      <formula>0</formula>
    </cfRule>
  </conditionalFormatting>
  <conditionalFormatting sqref="E410">
    <cfRule type="cellIs" dxfId="83" priority="94" stopIfTrue="1" operator="equal">
      <formula>0</formula>
    </cfRule>
  </conditionalFormatting>
  <conditionalFormatting sqref="E435">
    <cfRule type="cellIs" dxfId="82" priority="93" stopIfTrue="1" operator="equal">
      <formula>0</formula>
    </cfRule>
  </conditionalFormatting>
  <conditionalFormatting sqref="N435">
    <cfRule type="cellIs" dxfId="81" priority="82" stopIfTrue="1" operator="equal">
      <formula>0</formula>
    </cfRule>
  </conditionalFormatting>
  <conditionalFormatting sqref="F385">
    <cfRule type="cellIs" dxfId="80" priority="87" stopIfTrue="1" operator="equal">
      <formula>0</formula>
    </cfRule>
  </conditionalFormatting>
  <conditionalFormatting sqref="F435">
    <cfRule type="cellIs" dxfId="79" priority="83" stopIfTrue="1" operator="equal">
      <formula>0</formula>
    </cfRule>
  </conditionalFormatting>
  <conditionalFormatting sqref="Q341">
    <cfRule type="cellIs" dxfId="78" priority="81" stopIfTrue="1" operator="equal">
      <formula>0</formula>
    </cfRule>
  </conditionalFormatting>
  <conditionalFormatting sqref="I516">
    <cfRule type="cellIs" dxfId="77" priority="63" stopIfTrue="1" operator="equal">
      <formula>0</formula>
    </cfRule>
  </conditionalFormatting>
  <conditionalFormatting sqref="Q488">
    <cfRule type="cellIs" dxfId="76" priority="67" stopIfTrue="1" operator="equal">
      <formula>0</formula>
    </cfRule>
  </conditionalFormatting>
  <conditionalFormatting sqref="Q466">
    <cfRule type="cellIs" dxfId="75" priority="66" stopIfTrue="1" operator="equal">
      <formula>0</formula>
    </cfRule>
  </conditionalFormatting>
  <conditionalFormatting sqref="I491">
    <cfRule type="cellIs" dxfId="74" priority="65" stopIfTrue="1" operator="equal">
      <formula>0</formula>
    </cfRule>
  </conditionalFormatting>
  <conditionalFormatting sqref="Q491">
    <cfRule type="cellIs" dxfId="73" priority="64" stopIfTrue="1" operator="equal">
      <formula>0</formula>
    </cfRule>
  </conditionalFormatting>
  <conditionalFormatting sqref="I441">
    <cfRule type="cellIs" dxfId="72" priority="75" stopIfTrue="1" operator="equal">
      <formula>0</formula>
    </cfRule>
  </conditionalFormatting>
  <conditionalFormatting sqref="Q441">
    <cfRule type="cellIs" dxfId="71" priority="74" stopIfTrue="1" operator="equal">
      <formula>0</formula>
    </cfRule>
  </conditionalFormatting>
  <conditionalFormatting sqref="I466">
    <cfRule type="cellIs" dxfId="70" priority="73" stopIfTrue="1" operator="equal">
      <formula>0</formula>
    </cfRule>
  </conditionalFormatting>
  <conditionalFormatting sqref="L28">
    <cfRule type="cellIs" dxfId="69" priority="72" stopIfTrue="1" operator="equal">
      <formula>0</formula>
    </cfRule>
  </conditionalFormatting>
  <conditionalFormatting sqref="T18">
    <cfRule type="cellIs" dxfId="68" priority="71" stopIfTrue="1" operator="equal">
      <formula>0</formula>
    </cfRule>
  </conditionalFormatting>
  <conditionalFormatting sqref="T28">
    <cfRule type="cellIs" dxfId="67" priority="70" stopIfTrue="1" operator="equal">
      <formula>0</formula>
    </cfRule>
  </conditionalFormatting>
  <conditionalFormatting sqref="Q463">
    <cfRule type="cellIs" dxfId="66" priority="69" stopIfTrue="1" operator="equal">
      <formula>0</formula>
    </cfRule>
  </conditionalFormatting>
  <conditionalFormatting sqref="I488">
    <cfRule type="cellIs" dxfId="65" priority="68" stopIfTrue="1" operator="equal">
      <formula>0</formula>
    </cfRule>
  </conditionalFormatting>
  <conditionalFormatting sqref="I638">
    <cfRule type="cellIs" dxfId="64" priority="57" stopIfTrue="1" operator="equal">
      <formula>0</formula>
    </cfRule>
  </conditionalFormatting>
  <conditionalFormatting sqref="Q516">
    <cfRule type="cellIs" dxfId="63" priority="61" stopIfTrue="1" operator="equal">
      <formula>0</formula>
    </cfRule>
  </conditionalFormatting>
  <conditionalFormatting sqref="I641">
    <cfRule type="cellIs" dxfId="62" priority="60" stopIfTrue="1" operator="equal">
      <formula>0</formula>
    </cfRule>
  </conditionalFormatting>
  <conditionalFormatting sqref="I513">
    <cfRule type="cellIs" dxfId="61" priority="59" stopIfTrue="1" operator="equal">
      <formula>0</formula>
    </cfRule>
  </conditionalFormatting>
  <conditionalFormatting sqref="Q513">
    <cfRule type="cellIs" dxfId="60" priority="58" stopIfTrue="1" operator="equal">
      <formula>0</formula>
    </cfRule>
  </conditionalFormatting>
  <conditionalFormatting sqref="Q641">
    <cfRule type="cellIs" dxfId="59" priority="56" stopIfTrue="1" operator="equal">
      <formula>0</formula>
    </cfRule>
  </conditionalFormatting>
  <conditionalFormatting sqref="C568:C586 C562 AA562:AE584 AA586:AE586 AC585:AE585 AF562:GV586">
    <cfRule type="cellIs" dxfId="58" priority="55" stopIfTrue="1" operator="equal">
      <formula>0</formula>
    </cfRule>
  </conditionalFormatting>
  <conditionalFormatting sqref="E562:E586 F580:G580 F586:L586 F581:F585 F562 L562 F563:L564 F567:L579 K565:L565 F565:F566 J566:L566 H565:H566">
    <cfRule type="cellIs" dxfId="57" priority="53" stopIfTrue="1" operator="equal">
      <formula>0</formula>
    </cfRule>
  </conditionalFormatting>
  <conditionalFormatting sqref="U562:Z562 U568:Z584 U563:U567 X563:Z567 U586:Z586 U585:V585">
    <cfRule type="cellIs" dxfId="56" priority="54" stopIfTrue="1" operator="equal">
      <formula>0</formula>
    </cfRule>
  </conditionalFormatting>
  <conditionalFormatting sqref="M562:M586 N580:O580 N586:T586 N581:N585 N562 T562 N563:T564 N567:T579 S565:T565 N565:N566 R566:T566 P565:P566">
    <cfRule type="cellIs" dxfId="55" priority="52" stopIfTrue="1" operator="equal">
      <formula>0</formula>
    </cfRule>
  </conditionalFormatting>
  <conditionalFormatting sqref="I566">
    <cfRule type="cellIs" dxfId="54" priority="50" stopIfTrue="1" operator="equal">
      <formula>0</formula>
    </cfRule>
  </conditionalFormatting>
  <conditionalFormatting sqref="W563:W566">
    <cfRule type="cellIs" dxfId="53" priority="49" stopIfTrue="1" operator="equal">
      <formula>0</formula>
    </cfRule>
  </conditionalFormatting>
  <conditionalFormatting sqref="W567">
    <cfRule type="cellIs" dxfId="52" priority="48" stopIfTrue="1" operator="equal">
      <formula>0</formula>
    </cfRule>
  </conditionalFormatting>
  <conditionalFormatting sqref="C563:C566">
    <cfRule type="cellIs" dxfId="51" priority="47" stopIfTrue="1" operator="equal">
      <formula>0</formula>
    </cfRule>
  </conditionalFormatting>
  <conditionalFormatting sqref="C567">
    <cfRule type="cellIs" dxfId="50" priority="46" stopIfTrue="1" operator="equal">
      <formula>0</formula>
    </cfRule>
  </conditionalFormatting>
  <conditionalFormatting sqref="G565">
    <cfRule type="cellIs" dxfId="49" priority="45" stopIfTrue="1" operator="equal">
      <formula>0</formula>
    </cfRule>
  </conditionalFormatting>
  <conditionalFormatting sqref="G566">
    <cfRule type="cellIs" dxfId="48" priority="44" stopIfTrue="1" operator="equal">
      <formula>0</formula>
    </cfRule>
  </conditionalFormatting>
  <conditionalFormatting sqref="O565">
    <cfRule type="cellIs" dxfId="47" priority="43" stopIfTrue="1" operator="equal">
      <formula>0</formula>
    </cfRule>
  </conditionalFormatting>
  <conditionalFormatting sqref="O566">
    <cfRule type="cellIs" dxfId="46" priority="42" stopIfTrue="1" operator="equal">
      <formula>0</formula>
    </cfRule>
  </conditionalFormatting>
  <conditionalFormatting sqref="W585:X585">
    <cfRule type="cellIs" dxfId="45" priority="41" stopIfTrue="1" operator="equal">
      <formula>0</formula>
    </cfRule>
  </conditionalFormatting>
  <conditionalFormatting sqref="Y585:AB585">
    <cfRule type="cellIs" dxfId="44" priority="40" stopIfTrue="1" operator="equal">
      <formula>0</formula>
    </cfRule>
  </conditionalFormatting>
  <conditionalFormatting sqref="Q366">
    <cfRule type="cellIs" dxfId="43" priority="39" stopIfTrue="1" operator="equal">
      <formula>0</formula>
    </cfRule>
  </conditionalFormatting>
  <conditionalFormatting sqref="Q391">
    <cfRule type="cellIs" dxfId="42" priority="38" stopIfTrue="1" operator="equal">
      <formula>0</formula>
    </cfRule>
  </conditionalFormatting>
  <conditionalFormatting sqref="I391">
    <cfRule type="cellIs" dxfId="41" priority="37" stopIfTrue="1" operator="equal">
      <formula>0</formula>
    </cfRule>
  </conditionalFormatting>
  <conditionalFormatting sqref="I416">
    <cfRule type="cellIs" dxfId="40" priority="36" stopIfTrue="1" operator="equal">
      <formula>0</formula>
    </cfRule>
  </conditionalFormatting>
  <conditionalFormatting sqref="Q416">
    <cfRule type="cellIs" dxfId="39" priority="35" stopIfTrue="1" operator="equal">
      <formula>0</formula>
    </cfRule>
  </conditionalFormatting>
  <conditionalFormatting sqref="C843:C861 C837">
    <cfRule type="cellIs" dxfId="38" priority="34" stopIfTrue="1" operator="equal">
      <formula>0</formula>
    </cfRule>
  </conditionalFormatting>
  <conditionalFormatting sqref="U837:W837 U838:U842 U843:W861">
    <cfRule type="cellIs" dxfId="37" priority="33" stopIfTrue="1" operator="equal">
      <formula>0</formula>
    </cfRule>
  </conditionalFormatting>
  <conditionalFormatting sqref="M837:M861 N855:O855 N861:T861 N856:N860 N837 T837 N838:T839 N842:T854 S840:T840 N840:N841 P840:P841 R841:T841">
    <cfRule type="cellIs" dxfId="36" priority="31" stopIfTrue="1" operator="equal">
      <formula>0</formula>
    </cfRule>
  </conditionalFormatting>
  <conditionalFormatting sqref="E837:E861 F855:G855 F861:L861 F856:F860 F837 L837 F838:L839 F842:L854 K840:L840 F840:F841 H840:H841 J841:L841">
    <cfRule type="cellIs" dxfId="35" priority="32" stopIfTrue="1" operator="equal">
      <formula>0</formula>
    </cfRule>
  </conditionalFormatting>
  <conditionalFormatting sqref="W838:W841">
    <cfRule type="cellIs" dxfId="34" priority="30" stopIfTrue="1" operator="equal">
      <formula>0</formula>
    </cfRule>
  </conditionalFormatting>
  <conditionalFormatting sqref="W842">
    <cfRule type="cellIs" dxfId="33" priority="29" stopIfTrue="1" operator="equal">
      <formula>0</formula>
    </cfRule>
  </conditionalFormatting>
  <conditionalFormatting sqref="C838:C841">
    <cfRule type="cellIs" dxfId="32" priority="28" stopIfTrue="1" operator="equal">
      <formula>0</formula>
    </cfRule>
  </conditionalFormatting>
  <conditionalFormatting sqref="C842">
    <cfRule type="cellIs" dxfId="31" priority="27" stopIfTrue="1" operator="equal">
      <formula>0</formula>
    </cfRule>
  </conditionalFormatting>
  <conditionalFormatting sqref="G840">
    <cfRule type="cellIs" dxfId="30" priority="26" stopIfTrue="1" operator="equal">
      <formula>0</formula>
    </cfRule>
  </conditionalFormatting>
  <conditionalFormatting sqref="G841">
    <cfRule type="cellIs" dxfId="29" priority="25" stopIfTrue="1" operator="equal">
      <formula>0</formula>
    </cfRule>
  </conditionalFormatting>
  <conditionalFormatting sqref="O840">
    <cfRule type="cellIs" dxfId="28" priority="24" stopIfTrue="1" operator="equal">
      <formula>0</formula>
    </cfRule>
  </conditionalFormatting>
  <conditionalFormatting sqref="O841">
    <cfRule type="cellIs" dxfId="27" priority="23" stopIfTrue="1" operator="equal">
      <formula>0</formula>
    </cfRule>
  </conditionalFormatting>
  <conditionalFormatting sqref="I841">
    <cfRule type="cellIs" dxfId="26" priority="20" stopIfTrue="1" operator="equal">
      <formula>0</formula>
    </cfRule>
  </conditionalFormatting>
  <conditionalFormatting sqref="Q841">
    <cfRule type="cellIs" dxfId="25" priority="19" stopIfTrue="1" operator="equal">
      <formula>0</formula>
    </cfRule>
  </conditionalFormatting>
  <conditionalFormatting sqref="Y860:AB860">
    <cfRule type="cellIs" dxfId="24" priority="17" stopIfTrue="1" operator="equal">
      <formula>0</formula>
    </cfRule>
  </conditionalFormatting>
  <conditionalFormatting sqref="Q566">
    <cfRule type="cellIs" dxfId="23" priority="16" stopIfTrue="1" operator="equal">
      <formula>0</formula>
    </cfRule>
  </conditionalFormatting>
  <conditionalFormatting sqref="F41:H42">
    <cfRule type="cellIs" dxfId="22" priority="15" stopIfTrue="1" operator="equal">
      <formula>0</formula>
    </cfRule>
  </conditionalFormatting>
  <conditionalFormatting sqref="N39:T41 M39:M47">
    <cfRule type="cellIs" dxfId="21" priority="14" stopIfTrue="1" operator="equal">
      <formula>0</formula>
    </cfRule>
  </conditionalFormatting>
  <conditionalFormatting sqref="N47:T47 N43 N45">
    <cfRule type="cellIs" dxfId="20" priority="13" stopIfTrue="1" operator="equal">
      <formula>0</formula>
    </cfRule>
  </conditionalFormatting>
  <conditionalFormatting sqref="M38">
    <cfRule type="cellIs" dxfId="19" priority="12" stopIfTrue="1" operator="equal">
      <formula>0</formula>
    </cfRule>
  </conditionalFormatting>
  <conditionalFormatting sqref="N42">
    <cfRule type="cellIs" dxfId="18" priority="11" stopIfTrue="1" operator="equal">
      <formula>0</formula>
    </cfRule>
  </conditionalFormatting>
  <conditionalFormatting sqref="R42">
    <cfRule type="cellIs" dxfId="17" priority="10" stopIfTrue="1" operator="equal">
      <formula>0</formula>
    </cfRule>
  </conditionalFormatting>
  <conditionalFormatting sqref="N44">
    <cfRule type="cellIs" dxfId="16" priority="9" stopIfTrue="1" operator="equal">
      <formula>0</formula>
    </cfRule>
  </conditionalFormatting>
  <conditionalFormatting sqref="N46">
    <cfRule type="cellIs" dxfId="15" priority="8" stopIfTrue="1" operator="equal">
      <formula>0</formula>
    </cfRule>
  </conditionalFormatting>
  <conditionalFormatting sqref="O46:P46">
    <cfRule type="cellIs" dxfId="14" priority="7" stopIfTrue="1" operator="equal">
      <formula>0</formula>
    </cfRule>
  </conditionalFormatting>
  <conditionalFormatting sqref="O42:P42">
    <cfRule type="cellIs" dxfId="13" priority="6" stopIfTrue="1" operator="equal">
      <formula>0</formula>
    </cfRule>
  </conditionalFormatting>
  <conditionalFormatting sqref="O44:P44">
    <cfRule type="cellIs" dxfId="12" priority="5" stopIfTrue="1" operator="equal">
      <formula>0</formula>
    </cfRule>
  </conditionalFormatting>
  <conditionalFormatting sqref="S42">
    <cfRule type="cellIs" dxfId="11" priority="4" stopIfTrue="1" operator="equal">
      <formula>0</formula>
    </cfRule>
  </conditionalFormatting>
  <conditionalFormatting sqref="R44">
    <cfRule type="cellIs" dxfId="10" priority="3" stopIfTrue="1" operator="equal">
      <formula>0</formula>
    </cfRule>
  </conditionalFormatting>
  <conditionalFormatting sqref="S44">
    <cfRule type="cellIs" dxfId="9" priority="2" stopIfTrue="1" operator="equal">
      <formula>0</formula>
    </cfRule>
  </conditionalFormatting>
  <conditionalFormatting sqref="T38">
    <cfRule type="cellIs" dxfId="8" priority="1" stopIfTrue="1" operator="equal">
      <formula>0</formula>
    </cfRule>
  </conditionalFormatting>
  <dataValidations count="3">
    <dataValidation type="whole" allowBlank="1" showInputMessage="1" showErrorMessage="1" sqref="I16" xr:uid="{00000000-0002-0000-2100-000000000000}">
      <formula1>0</formula1>
      <formula2>10</formula2>
    </dataValidation>
    <dataValidation type="decimal" allowBlank="1" showInputMessage="1" showErrorMessage="1" sqref="J44:J60" xr:uid="{4FCDF7B8-3227-453A-B1FF-DF4CAB6E5DF5}">
      <formula1>0</formula1>
      <formula2>10</formula2>
    </dataValidation>
    <dataValidation type="list" allowBlank="1" showInputMessage="1" showErrorMessage="1" sqref="K44:L60" xr:uid="{75E67F88-988D-4728-8670-D8F2D94C4FB4}">
      <formula1>$B$45:$B$46</formula1>
    </dataValidation>
  </dataValidations>
  <printOptions horizontalCentered="1"/>
  <pageMargins left="0.39370078740157483" right="0.35433070866141736" top="0.31496062992125984" bottom="0.35433070866141736" header="0.51181102362204722" footer="0.35433070866141736"/>
  <pageSetup paperSize="9" scale="47" orientation="portrait" r:id="rId1"/>
  <headerFooter alignWithMargins="0">
    <oddFooter>Seite &amp;P</oddFooter>
  </headerFooter>
  <rowBreaks count="10" manualBreakCount="10">
    <brk id="111" min="3" max="20" man="1"/>
    <brk id="211" min="3" max="20" man="1"/>
    <brk id="311" min="3" max="20" man="1"/>
    <brk id="411" min="3" max="20" man="1"/>
    <brk id="511" min="3" max="20" man="1"/>
    <brk id="611" min="3" max="20" man="1"/>
    <brk id="636" min="3" max="20" man="1"/>
    <brk id="736" min="3" max="20" man="1"/>
    <brk id="836" min="3" max="20" man="1"/>
    <brk id="861" min="3" max="20" man="1"/>
  </rowBreaks>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Tabelle11"/>
  <dimension ref="A2:F36"/>
  <sheetViews>
    <sheetView view="pageBreakPreview" zoomScale="130" zoomScaleNormal="100" workbookViewId="0">
      <selection activeCell="A18" sqref="A18:IV18"/>
    </sheetView>
  </sheetViews>
  <sheetFormatPr baseColWidth="10" defaultColWidth="11.42578125" defaultRowHeight="12.75" x14ac:dyDescent="0.2"/>
  <cols>
    <col min="1" max="1" width="11.42578125" style="541"/>
    <col min="2" max="2" width="39.5703125" style="541" customWidth="1"/>
    <col min="3" max="3" width="13.7109375" style="782" customWidth="1"/>
    <col min="4" max="4" width="14.42578125" style="782" customWidth="1"/>
    <col min="5" max="5" width="14.5703125" style="541" customWidth="1"/>
    <col min="6" max="16384" width="11.42578125" style="541"/>
  </cols>
  <sheetData>
    <row r="2" spans="1:6" x14ac:dyDescent="0.2">
      <c r="A2" s="777" t="s">
        <v>875</v>
      </c>
      <c r="B2" s="778" t="s">
        <v>876</v>
      </c>
      <c r="C2" s="779" t="s">
        <v>62</v>
      </c>
      <c r="D2" s="780" t="s">
        <v>877</v>
      </c>
      <c r="E2" s="781" t="s">
        <v>878</v>
      </c>
    </row>
    <row r="3" spans="1:6" x14ac:dyDescent="0.2">
      <c r="A3" s="1534">
        <v>460</v>
      </c>
      <c r="B3" s="1535" t="s">
        <v>28977</v>
      </c>
      <c r="C3" s="863" t="s">
        <v>880</v>
      </c>
      <c r="D3" s="1536">
        <v>18</v>
      </c>
      <c r="E3" s="1537">
        <v>37.83</v>
      </c>
      <c r="F3" s="541">
        <f>E3/D3</f>
        <v>2.1016666666666666</v>
      </c>
    </row>
    <row r="4" spans="1:6" x14ac:dyDescent="0.2">
      <c r="A4" s="1534">
        <v>501</v>
      </c>
      <c r="B4" s="1535" t="s">
        <v>283</v>
      </c>
      <c r="C4" s="863" t="s">
        <v>880</v>
      </c>
      <c r="D4" s="1536">
        <v>21.4</v>
      </c>
      <c r="E4" s="1537">
        <v>47.08</v>
      </c>
      <c r="F4" s="541">
        <f>E4/D4</f>
        <v>2.2000000000000002</v>
      </c>
    </row>
    <row r="5" spans="1:6" x14ac:dyDescent="0.2">
      <c r="A5" s="541">
        <v>502</v>
      </c>
      <c r="B5" s="541" t="s">
        <v>879</v>
      </c>
      <c r="C5" s="782" t="s">
        <v>880</v>
      </c>
      <c r="D5" s="1538">
        <v>24.39</v>
      </c>
      <c r="E5" s="1539">
        <v>53.66</v>
      </c>
      <c r="F5" s="541">
        <f>E5/D5</f>
        <v>2.2000820008200082</v>
      </c>
    </row>
    <row r="6" spans="1:6" x14ac:dyDescent="0.2">
      <c r="A6" s="541">
        <v>504</v>
      </c>
      <c r="B6" s="541" t="s">
        <v>881</v>
      </c>
      <c r="C6" s="782" t="s">
        <v>880</v>
      </c>
      <c r="D6" s="1538">
        <v>24.11</v>
      </c>
      <c r="E6" s="1539">
        <v>53.04</v>
      </c>
      <c r="F6" s="541">
        <f t="shared" ref="F6:F29" si="0">E6/D6</f>
        <v>2.1999170468685194</v>
      </c>
    </row>
    <row r="7" spans="1:6" x14ac:dyDescent="0.2">
      <c r="A7" s="541">
        <v>506</v>
      </c>
      <c r="B7" s="541" t="s">
        <v>882</v>
      </c>
      <c r="C7" s="782" t="s">
        <v>880</v>
      </c>
      <c r="D7" s="1538">
        <v>16.899999999999999</v>
      </c>
      <c r="E7" s="1539">
        <v>37.18</v>
      </c>
      <c r="F7" s="541">
        <f t="shared" si="0"/>
        <v>2.2000000000000002</v>
      </c>
    </row>
    <row r="8" spans="1:6" x14ac:dyDescent="0.2">
      <c r="A8" s="541">
        <v>507</v>
      </c>
      <c r="B8" s="541" t="s">
        <v>883</v>
      </c>
      <c r="C8" s="782" t="s">
        <v>880</v>
      </c>
      <c r="D8" s="1538">
        <v>19.399999999999999</v>
      </c>
      <c r="E8" s="1539">
        <v>42.68</v>
      </c>
      <c r="F8" s="541">
        <f t="shared" si="0"/>
        <v>2.2000000000000002</v>
      </c>
    </row>
    <row r="9" spans="1:6" x14ac:dyDescent="0.2">
      <c r="A9" s="541">
        <v>508</v>
      </c>
      <c r="B9" s="541" t="s">
        <v>884</v>
      </c>
      <c r="C9" s="782" t="s">
        <v>880</v>
      </c>
      <c r="D9" s="1538">
        <v>21.89</v>
      </c>
      <c r="E9" s="1539">
        <v>48.16</v>
      </c>
      <c r="F9" s="541">
        <f t="shared" si="0"/>
        <v>2.2000913659205112</v>
      </c>
    </row>
    <row r="10" spans="1:6" x14ac:dyDescent="0.2">
      <c r="A10" s="541">
        <v>511</v>
      </c>
      <c r="B10" s="541" t="s">
        <v>885</v>
      </c>
      <c r="C10" s="782" t="s">
        <v>880</v>
      </c>
      <c r="D10" s="1538">
        <v>21.31</v>
      </c>
      <c r="E10" s="1539">
        <v>42</v>
      </c>
      <c r="F10" s="541">
        <f t="shared" si="0"/>
        <v>1.970905678085406</v>
      </c>
    </row>
    <row r="11" spans="1:6" x14ac:dyDescent="0.2">
      <c r="A11" s="541">
        <v>512</v>
      </c>
      <c r="B11" s="541" t="s">
        <v>886</v>
      </c>
      <c r="C11" s="782" t="s">
        <v>880</v>
      </c>
      <c r="D11" s="1538">
        <v>21.32</v>
      </c>
      <c r="E11" s="1539">
        <v>42</v>
      </c>
      <c r="F11" s="541">
        <f t="shared" si="0"/>
        <v>1.9699812382739212</v>
      </c>
    </row>
    <row r="12" spans="1:6" x14ac:dyDescent="0.2">
      <c r="A12" s="541">
        <v>514</v>
      </c>
      <c r="B12" s="541" t="s">
        <v>887</v>
      </c>
      <c r="C12" s="782" t="s">
        <v>880</v>
      </c>
      <c r="D12" s="1538">
        <v>22.32</v>
      </c>
      <c r="E12" s="1539">
        <v>42.59</v>
      </c>
      <c r="F12" s="541">
        <f t="shared" si="0"/>
        <v>1.9081541218637994</v>
      </c>
    </row>
    <row r="13" spans="1:6" x14ac:dyDescent="0.2">
      <c r="A13" s="541">
        <v>515</v>
      </c>
      <c r="B13" s="541" t="s">
        <v>888</v>
      </c>
      <c r="C13" s="782" t="s">
        <v>880</v>
      </c>
      <c r="D13" s="1538">
        <v>21.4</v>
      </c>
      <c r="E13" s="1539">
        <v>47.09</v>
      </c>
      <c r="F13" s="541">
        <f t="shared" si="0"/>
        <v>2.2004672897196267</v>
      </c>
    </row>
    <row r="14" spans="1:6" x14ac:dyDescent="0.2">
      <c r="A14" s="541">
        <v>516</v>
      </c>
      <c r="B14" s="541" t="s">
        <v>889</v>
      </c>
      <c r="C14" s="782" t="s">
        <v>880</v>
      </c>
      <c r="D14" s="1538">
        <v>23.73</v>
      </c>
      <c r="E14" s="1539">
        <v>39.86</v>
      </c>
      <c r="F14" s="541">
        <f t="shared" si="0"/>
        <v>1.6797302991993257</v>
      </c>
    </row>
    <row r="15" spans="1:6" x14ac:dyDescent="0.2">
      <c r="A15" s="541">
        <v>517</v>
      </c>
      <c r="B15" s="541" t="s">
        <v>890</v>
      </c>
      <c r="C15" s="782" t="s">
        <v>880</v>
      </c>
      <c r="D15" s="1538">
        <v>24.11</v>
      </c>
      <c r="E15" s="1539">
        <v>53.04</v>
      </c>
      <c r="F15" s="541">
        <f t="shared" si="0"/>
        <v>2.1999170468685194</v>
      </c>
    </row>
    <row r="16" spans="1:6" x14ac:dyDescent="0.2">
      <c r="A16" s="541">
        <v>518</v>
      </c>
      <c r="B16" s="541" t="s">
        <v>891</v>
      </c>
      <c r="C16" s="782" t="s">
        <v>880</v>
      </c>
      <c r="D16" s="1538">
        <v>24.95</v>
      </c>
      <c r="E16" s="1539">
        <v>43.88</v>
      </c>
      <c r="F16" s="541">
        <f t="shared" si="0"/>
        <v>1.7587174348697396</v>
      </c>
    </row>
    <row r="17" spans="1:6" x14ac:dyDescent="0.2">
      <c r="A17" s="541">
        <v>519</v>
      </c>
      <c r="B17" s="541" t="s">
        <v>892</v>
      </c>
      <c r="C17" s="782" t="s">
        <v>880</v>
      </c>
      <c r="D17" s="1538">
        <v>21.75</v>
      </c>
      <c r="E17" s="1539">
        <v>42.41</v>
      </c>
      <c r="F17" s="541">
        <f t="shared" si="0"/>
        <v>1.9498850574712643</v>
      </c>
    </row>
    <row r="18" spans="1:6" x14ac:dyDescent="0.2">
      <c r="A18" s="541">
        <v>520</v>
      </c>
      <c r="B18" s="541" t="s">
        <v>893</v>
      </c>
      <c r="C18" s="782" t="s">
        <v>880</v>
      </c>
      <c r="D18" s="1538">
        <v>21.99</v>
      </c>
      <c r="E18" s="1539">
        <v>37.619999999999997</v>
      </c>
      <c r="F18" s="541">
        <f t="shared" si="0"/>
        <v>1.7107776261937244</v>
      </c>
    </row>
    <row r="19" spans="1:6" x14ac:dyDescent="0.2">
      <c r="A19" s="541">
        <v>522</v>
      </c>
      <c r="B19" s="541" t="s">
        <v>894</v>
      </c>
      <c r="C19" s="782" t="s">
        <v>880</v>
      </c>
      <c r="D19" s="1538">
        <v>25.4</v>
      </c>
      <c r="E19" s="1539">
        <v>41.57</v>
      </c>
      <c r="F19" s="541">
        <f t="shared" si="0"/>
        <v>1.6366141732283466</v>
      </c>
    </row>
    <row r="20" spans="1:6" x14ac:dyDescent="0.2">
      <c r="A20" s="541">
        <v>523</v>
      </c>
      <c r="B20" s="541" t="s">
        <v>895</v>
      </c>
      <c r="C20" s="782" t="s">
        <v>880</v>
      </c>
      <c r="D20" s="1538">
        <v>25.4</v>
      </c>
      <c r="E20" s="1539">
        <v>41.57</v>
      </c>
      <c r="F20" s="541">
        <f t="shared" si="0"/>
        <v>1.6366141732283466</v>
      </c>
    </row>
    <row r="21" spans="1:6" x14ac:dyDescent="0.2">
      <c r="A21" s="541">
        <v>524</v>
      </c>
      <c r="B21" s="541" t="s">
        <v>896</v>
      </c>
      <c r="C21" s="782" t="s">
        <v>880</v>
      </c>
      <c r="D21" s="1538">
        <v>19.850000000000001</v>
      </c>
      <c r="E21" s="1539">
        <v>40</v>
      </c>
      <c r="F21" s="541">
        <f t="shared" si="0"/>
        <v>2.0151133501259446</v>
      </c>
    </row>
    <row r="22" spans="1:6" x14ac:dyDescent="0.2">
      <c r="A22" s="541">
        <v>525</v>
      </c>
      <c r="B22" s="541" t="s">
        <v>897</v>
      </c>
      <c r="C22" s="782" t="s">
        <v>880</v>
      </c>
      <c r="D22" s="1538">
        <v>22.32</v>
      </c>
      <c r="E22" s="1539">
        <v>42.59</v>
      </c>
      <c r="F22" s="541">
        <f t="shared" si="0"/>
        <v>1.9081541218637994</v>
      </c>
    </row>
    <row r="23" spans="1:6" x14ac:dyDescent="0.2">
      <c r="A23" s="541">
        <v>526</v>
      </c>
      <c r="B23" s="541" t="s">
        <v>28978</v>
      </c>
      <c r="C23" s="782" t="s">
        <v>880</v>
      </c>
      <c r="D23" s="1538">
        <v>24.11</v>
      </c>
      <c r="E23" s="1539">
        <v>53.04</v>
      </c>
      <c r="F23" s="541">
        <f t="shared" si="0"/>
        <v>2.1999170468685194</v>
      </c>
    </row>
    <row r="24" spans="1:6" x14ac:dyDescent="0.2">
      <c r="A24" s="541">
        <v>530</v>
      </c>
      <c r="B24" s="541" t="s">
        <v>898</v>
      </c>
      <c r="C24" s="782" t="s">
        <v>880</v>
      </c>
      <c r="D24" s="1538">
        <v>21</v>
      </c>
      <c r="E24" s="1539">
        <v>46.2</v>
      </c>
      <c r="F24" s="541">
        <f t="shared" si="0"/>
        <v>2.2000000000000002</v>
      </c>
    </row>
    <row r="25" spans="1:6" x14ac:dyDescent="0.2">
      <c r="A25" s="541">
        <v>540</v>
      </c>
      <c r="B25" s="541" t="s">
        <v>899</v>
      </c>
      <c r="C25" s="782" t="s">
        <v>880</v>
      </c>
      <c r="D25" s="1538">
        <v>23.95</v>
      </c>
      <c r="E25" s="1539">
        <v>52.69</v>
      </c>
      <c r="F25" s="541">
        <f t="shared" si="0"/>
        <v>2.2000000000000002</v>
      </c>
    </row>
    <row r="26" spans="1:6" x14ac:dyDescent="0.2">
      <c r="A26" s="541">
        <v>550</v>
      </c>
      <c r="B26" s="541" t="s">
        <v>900</v>
      </c>
      <c r="C26" s="782" t="s">
        <v>880</v>
      </c>
      <c r="D26" s="1538">
        <v>21.84</v>
      </c>
      <c r="E26" s="1539">
        <v>42.59</v>
      </c>
      <c r="F26" s="541">
        <f t="shared" si="0"/>
        <v>1.9500915750915753</v>
      </c>
    </row>
    <row r="27" spans="1:6" x14ac:dyDescent="0.2">
      <c r="A27" s="541">
        <v>561</v>
      </c>
      <c r="B27" s="541" t="s">
        <v>901</v>
      </c>
      <c r="C27" s="782" t="s">
        <v>880</v>
      </c>
      <c r="D27" s="1538">
        <v>6</v>
      </c>
      <c r="E27" s="1539">
        <v>13.2</v>
      </c>
      <c r="F27" s="541">
        <f t="shared" si="0"/>
        <v>2.1999999999999997</v>
      </c>
    </row>
    <row r="28" spans="1:6" x14ac:dyDescent="0.2">
      <c r="A28" s="541">
        <v>562</v>
      </c>
      <c r="B28" s="541" t="s">
        <v>902</v>
      </c>
      <c r="C28" s="782" t="s">
        <v>880</v>
      </c>
      <c r="D28" s="1538">
        <v>6</v>
      </c>
      <c r="E28" s="1539">
        <v>13.2</v>
      </c>
      <c r="F28" s="541">
        <f t="shared" si="0"/>
        <v>2.1999999999999997</v>
      </c>
    </row>
    <row r="29" spans="1:6" x14ac:dyDescent="0.2">
      <c r="A29" s="541">
        <v>595</v>
      </c>
      <c r="B29" s="541" t="s">
        <v>903</v>
      </c>
      <c r="C29" s="782" t="s">
        <v>880</v>
      </c>
      <c r="D29" s="1538">
        <v>22.35</v>
      </c>
      <c r="E29" s="1539">
        <v>49.17</v>
      </c>
      <c r="F29" s="541">
        <f t="shared" si="0"/>
        <v>2.1999999999999997</v>
      </c>
    </row>
    <row r="30" spans="1:6" x14ac:dyDescent="0.2">
      <c r="D30" s="783"/>
    </row>
    <row r="31" spans="1:6" x14ac:dyDescent="0.2">
      <c r="D31" s="783"/>
    </row>
    <row r="32" spans="1:6" x14ac:dyDescent="0.2">
      <c r="A32" s="541" t="s">
        <v>904</v>
      </c>
      <c r="B32" s="541" t="s">
        <v>905</v>
      </c>
      <c r="D32" s="784">
        <v>7.4999999999999997E-2</v>
      </c>
    </row>
    <row r="33" spans="1:4" x14ac:dyDescent="0.2">
      <c r="A33" s="541" t="s">
        <v>906</v>
      </c>
      <c r="B33" s="541" t="s">
        <v>907</v>
      </c>
      <c r="D33" s="1540">
        <v>1.03</v>
      </c>
    </row>
    <row r="34" spans="1:4" x14ac:dyDescent="0.2">
      <c r="A34" s="541" t="s">
        <v>906</v>
      </c>
      <c r="B34" s="541" t="s">
        <v>908</v>
      </c>
      <c r="D34" s="1540">
        <v>0.91</v>
      </c>
    </row>
    <row r="35" spans="1:4" x14ac:dyDescent="0.2">
      <c r="A35" s="541" t="s">
        <v>909</v>
      </c>
      <c r="B35" s="541" t="s">
        <v>910</v>
      </c>
      <c r="D35" s="785">
        <v>0.124</v>
      </c>
    </row>
    <row r="36" spans="1:4" x14ac:dyDescent="0.2">
      <c r="A36" s="541" t="s">
        <v>911</v>
      </c>
      <c r="B36" s="541" t="s">
        <v>912</v>
      </c>
      <c r="D36" s="785">
        <v>0.104</v>
      </c>
    </row>
  </sheetData>
  <pageMargins left="0.78740157499999996" right="0.78740157499999996" top="0.984251969" bottom="0.984251969" header="0.4921259845" footer="0.4921259845"/>
  <pageSetup paperSize="9" scale="92"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Tabelle18">
    <tabColor indexed="16"/>
    <pageSetUpPr fitToPage="1"/>
  </sheetPr>
  <dimension ref="A2:BC134"/>
  <sheetViews>
    <sheetView showGridLines="0" view="pageBreakPreview" zoomScale="85" zoomScaleNormal="100" zoomScaleSheetLayoutView="85" workbookViewId="0">
      <selection activeCell="N13" sqref="N13"/>
    </sheetView>
  </sheetViews>
  <sheetFormatPr baseColWidth="10" defaultColWidth="11.42578125" defaultRowHeight="12.75" x14ac:dyDescent="0.2"/>
  <cols>
    <col min="1" max="1" width="11.42578125" style="1136"/>
    <col min="2" max="2" width="13.85546875" style="1136" customWidth="1"/>
    <col min="3" max="3" width="15" style="1136" customWidth="1"/>
    <col min="4" max="4" width="23.5703125" style="1136" bestFit="1" customWidth="1"/>
    <col min="5" max="5" width="3" style="1136" customWidth="1"/>
    <col min="6" max="6" width="11.42578125" style="1347" customWidth="1"/>
    <col min="7" max="7" width="2.7109375" style="1347" customWidth="1"/>
    <col min="8" max="8" width="11.42578125" style="1446" customWidth="1"/>
    <col min="9" max="9" width="2.7109375" style="1136" customWidth="1"/>
    <col min="10" max="10" width="16.28515625" style="1848" bestFit="1" customWidth="1"/>
    <col min="11" max="11" width="2.7109375" style="1136" customWidth="1"/>
    <col min="12" max="12" width="28.42578125" style="1848" customWidth="1"/>
    <col min="13" max="13" width="11.7109375" style="1347" customWidth="1"/>
    <col min="14" max="14" width="17.7109375" style="1446" customWidth="1"/>
    <col min="15" max="15" width="17.7109375" style="1136" customWidth="1"/>
    <col min="16" max="16" width="17.7109375" style="1848" customWidth="1"/>
    <col min="17" max="17" width="13.28515625" style="1136" customWidth="1"/>
    <col min="18" max="18" width="11.42578125" style="1848" customWidth="1"/>
    <col min="19" max="19" width="2.7109375" style="1136" customWidth="1"/>
    <col min="20" max="20" width="20.5703125" style="1848" customWidth="1"/>
    <col min="21" max="21" width="11.42578125" style="1136"/>
    <col min="22" max="22" width="16.140625" style="1136" customWidth="1"/>
    <col min="23" max="23" width="11.42578125" style="1136"/>
    <col min="24" max="24" width="11.42578125" style="1850" customWidth="1"/>
    <col min="25" max="26" width="11.42578125" style="1347" customWidth="1"/>
    <col min="27" max="39" width="11.42578125" style="1136"/>
    <col min="40" max="40" width="12.140625" style="1136" bestFit="1" customWidth="1"/>
    <col min="41" max="16384" width="11.42578125" style="1136"/>
  </cols>
  <sheetData>
    <row r="2" spans="1:38" ht="20.25" x14ac:dyDescent="0.2">
      <c r="A2" s="3526" t="str">
        <f>Dateneingabe!F1&amp;" "&amp;Dateneingabe!I1&amp;"   "&amp;"Verpackungsberechnung"</f>
        <v>Ausschreibung GCC vertikal Rev. 0563b   Verpackungsberechnung</v>
      </c>
      <c r="B2" s="3526"/>
      <c r="C2" s="3526"/>
      <c r="D2" s="3526"/>
      <c r="E2" s="3526"/>
      <c r="F2" s="3526"/>
      <c r="G2" s="3526"/>
      <c r="H2" s="3526"/>
      <c r="I2" s="3526"/>
      <c r="J2" s="3526"/>
      <c r="K2" s="3526"/>
      <c r="L2" s="3526"/>
      <c r="M2" s="3526"/>
      <c r="N2" s="3526"/>
      <c r="S2" s="1849" t="s">
        <v>29746</v>
      </c>
      <c r="T2" s="1136"/>
      <c r="U2" s="1848">
        <f>H13/1000*J13/1000*F13</f>
        <v>0</v>
      </c>
    </row>
    <row r="3" spans="1:38" x14ac:dyDescent="0.2">
      <c r="S3" s="1848"/>
      <c r="T3" s="1136"/>
      <c r="U3" s="1848">
        <f>H17/1000*J17/1000*F17</f>
        <v>0.25</v>
      </c>
    </row>
    <row r="4" spans="1:38" ht="15.75" x14ac:dyDescent="0.2">
      <c r="B4" s="1851" t="s">
        <v>438</v>
      </c>
      <c r="C4" s="3448" t="str">
        <f>Dateneingabe!E4&amp;"-"&amp;Dateneingabe!E6</f>
        <v>-</v>
      </c>
      <c r="D4" s="3519"/>
      <c r="E4" s="3519"/>
      <c r="F4" s="3519"/>
      <c r="G4" s="3519"/>
      <c r="H4" s="3519"/>
      <c r="I4" s="3520"/>
      <c r="J4" s="1852" t="s">
        <v>493</v>
      </c>
      <c r="K4" s="3527">
        <f>Dateneingabe!E10</f>
        <v>0</v>
      </c>
      <c r="L4" s="3528"/>
      <c r="M4" s="3529"/>
      <c r="N4" s="3530"/>
      <c r="S4" s="1848"/>
      <c r="T4" s="1136"/>
      <c r="U4" s="1848">
        <f>H21/1000*J21/1000*F21</f>
        <v>1.4</v>
      </c>
    </row>
    <row r="5" spans="1:38" ht="15" x14ac:dyDescent="0.2">
      <c r="J5" s="1853"/>
      <c r="K5" s="1174"/>
      <c r="L5" s="1854"/>
      <c r="M5" s="1855"/>
      <c r="N5" s="1856"/>
      <c r="S5" s="1848" t="s">
        <v>29747</v>
      </c>
      <c r="T5" s="1136"/>
      <c r="U5" s="1848">
        <f>U4+U3+U4+U2</f>
        <v>3.05</v>
      </c>
    </row>
    <row r="6" spans="1:38" ht="15.75" x14ac:dyDescent="0.2">
      <c r="B6" s="1851" t="s">
        <v>538</v>
      </c>
      <c r="C6" s="3531">
        <f>Dateneingabe!E8</f>
        <v>0</v>
      </c>
      <c r="D6" s="3532"/>
      <c r="E6" s="3532"/>
      <c r="F6" s="3532"/>
      <c r="G6" s="3532"/>
      <c r="H6" s="3532"/>
      <c r="I6" s="3533"/>
      <c r="J6" s="1852" t="s">
        <v>440</v>
      </c>
      <c r="K6" s="3534">
        <f>Dateneingabe!E12</f>
        <v>0</v>
      </c>
      <c r="L6" s="3535"/>
      <c r="M6" s="3535"/>
      <c r="N6" s="3525"/>
    </row>
    <row r="7" spans="1:38" x14ac:dyDescent="0.2">
      <c r="J7" s="1857"/>
      <c r="K7" s="1858"/>
      <c r="L7" s="1858"/>
      <c r="M7" s="1859"/>
      <c r="N7" s="1858"/>
      <c r="AH7" s="1860" t="s">
        <v>29748</v>
      </c>
      <c r="AI7" s="1417"/>
      <c r="AJ7" s="1417"/>
      <c r="AK7" s="1417"/>
      <c r="AL7" s="1418"/>
    </row>
    <row r="8" spans="1:38" ht="15.75" x14ac:dyDescent="0.2">
      <c r="B8" s="1851" t="s">
        <v>541</v>
      </c>
      <c r="C8" s="3448" t="str">
        <f>Dateneingabe!E26</f>
        <v>Unterkante Wandöffnung:</v>
      </c>
      <c r="D8" s="3519"/>
      <c r="E8" s="3519"/>
      <c r="F8" s="3520"/>
      <c r="G8" s="3521" t="str">
        <f>Dateneingabe!I26</f>
        <v/>
      </c>
      <c r="H8" s="3522"/>
      <c r="I8" s="3523"/>
      <c r="J8" s="1852"/>
      <c r="K8" s="3524"/>
      <c r="L8" s="3525"/>
      <c r="M8" s="3524"/>
      <c r="N8" s="3525"/>
      <c r="AH8" s="1419"/>
      <c r="AI8" s="1429"/>
      <c r="AJ8" s="1429"/>
      <c r="AK8" s="1429"/>
      <c r="AL8" s="1420"/>
    </row>
    <row r="9" spans="1:38" ht="30.75" customHeight="1" x14ac:dyDescent="0.2">
      <c r="H9" s="1184"/>
      <c r="I9" s="1184"/>
      <c r="J9" s="1184"/>
      <c r="K9" s="1184"/>
      <c r="L9" s="1184"/>
      <c r="N9" s="1861" t="s">
        <v>29749</v>
      </c>
      <c r="O9" s="1347"/>
      <c r="AH9" s="1860" t="s">
        <v>29750</v>
      </c>
      <c r="AI9" s="1417"/>
      <c r="AJ9" s="1417"/>
      <c r="AK9" s="1417"/>
      <c r="AL9" s="1418"/>
    </row>
    <row r="10" spans="1:38" ht="18" customHeight="1" x14ac:dyDescent="0.3">
      <c r="C10" s="1862">
        <f>IF(Dateneingabe!H104="ja","ZOLL: JA",0)</f>
        <v>0</v>
      </c>
      <c r="D10" s="3516">
        <v>0</v>
      </c>
      <c r="E10" s="3516"/>
      <c r="F10" s="3516"/>
      <c r="G10" s="3516"/>
      <c r="H10" s="3516"/>
      <c r="I10" s="3516"/>
      <c r="J10" s="3516"/>
      <c r="K10" s="3516"/>
      <c r="L10" s="3516"/>
      <c r="N10" s="1863" t="s">
        <v>29751</v>
      </c>
      <c r="O10" s="1863" t="s">
        <v>29752</v>
      </c>
      <c r="P10" s="1863" t="s">
        <v>29753</v>
      </c>
      <c r="AH10" s="1864" t="s">
        <v>29754</v>
      </c>
      <c r="AI10" s="1429"/>
      <c r="AJ10" s="1429"/>
      <c r="AK10" s="1429"/>
      <c r="AL10" s="1420"/>
    </row>
    <row r="11" spans="1:38" ht="18" customHeight="1" x14ac:dyDescent="0.2">
      <c r="D11" s="3516"/>
      <c r="E11" s="3516"/>
      <c r="F11" s="3516"/>
      <c r="G11" s="3516"/>
      <c r="H11" s="3516"/>
      <c r="I11" s="3516"/>
      <c r="J11" s="3516"/>
      <c r="K11" s="3516"/>
      <c r="L11" s="3516"/>
      <c r="N11" s="1865">
        <v>16</v>
      </c>
      <c r="O11" s="1865">
        <v>6.48</v>
      </c>
      <c r="P11" s="1865">
        <f>O11+N11</f>
        <v>22.48</v>
      </c>
      <c r="AH11" s="1419">
        <f>CEILING(IF(AM37+AM40+AM43&lt;6,(AM37+AM40+AM43)*130+200,ROUNDUP((AM37+AM40+AM43)/F13,0)*130+200),50)</f>
        <v>350</v>
      </c>
      <c r="AI11" s="1429"/>
      <c r="AJ11" s="1429"/>
      <c r="AK11" s="1429"/>
      <c r="AL11" s="1420"/>
    </row>
    <row r="12" spans="1:38" x14ac:dyDescent="0.2">
      <c r="B12" s="1849" t="str">
        <f>R16&amp;" Element"&amp;R15&amp;":"</f>
        <v xml:space="preserve"> Elementkisten:</v>
      </c>
      <c r="C12" s="1848" t="s">
        <v>543</v>
      </c>
      <c r="D12" s="1848" t="s">
        <v>544</v>
      </c>
      <c r="E12" s="1848"/>
      <c r="F12" s="1848" t="s">
        <v>68</v>
      </c>
      <c r="G12" s="1848"/>
      <c r="H12" s="1848" t="s">
        <v>67</v>
      </c>
      <c r="I12" s="1848"/>
      <c r="J12" s="1848" t="s">
        <v>69</v>
      </c>
      <c r="K12" s="1866"/>
      <c r="L12" s="1866" t="str">
        <f>"Höhe"&amp;AH28</f>
        <v>Höhe des fertigen Packstücks</v>
      </c>
      <c r="U12" s="1850" t="s">
        <v>29755</v>
      </c>
      <c r="V12" s="1867" t="s">
        <v>29756</v>
      </c>
      <c r="X12" s="1850" t="s">
        <v>29757</v>
      </c>
      <c r="Y12" s="1868">
        <f>Checkliste!I21</f>
        <v>0</v>
      </c>
      <c r="AH12" s="1419"/>
      <c r="AI12" s="1429"/>
      <c r="AJ12" s="1429"/>
      <c r="AK12" s="1429"/>
      <c r="AL12" s="1420"/>
    </row>
    <row r="13" spans="1:38" ht="16.5" x14ac:dyDescent="0.25">
      <c r="C13" s="1869">
        <f>VLOOKUP(D13,U12:V18,2,FALSE)</f>
        <v>0</v>
      </c>
      <c r="D13" s="1869" t="str">
        <f>IF(P26=U24,IF(J13&gt;3000,$U$13,$U$12),"")&amp;IF(OR(P26=U25,P26=U26),IF(J13&gt;3000,$U$15,$U$14),"")&amp;IF(P26=U27,U16,"")</f>
        <v/>
      </c>
      <c r="E13" s="1870"/>
      <c r="F13" s="1869">
        <f>N46</f>
        <v>0</v>
      </c>
      <c r="G13" s="1869" t="s">
        <v>537</v>
      </c>
      <c r="H13" s="1871">
        <f>P46+IF(R15=R14,100,0)</f>
        <v>100</v>
      </c>
      <c r="I13" s="1871" t="s">
        <v>537</v>
      </c>
      <c r="J13" s="1871">
        <f>IF(V68=1,ROUNDUP((R35+U68)/100,0)*100,R46)+IF(R15=R14,100,0)</f>
        <v>500</v>
      </c>
      <c r="K13" s="1872" t="s">
        <v>537</v>
      </c>
      <c r="L13" s="1869">
        <f>IF(AND(F13&gt;0,AH11&lt;500),500,AH11)</f>
        <v>350</v>
      </c>
      <c r="M13" s="1873">
        <v>1</v>
      </c>
      <c r="N13" s="1874" t="s">
        <v>30439</v>
      </c>
      <c r="R13" s="1848" t="s">
        <v>29758</v>
      </c>
      <c r="U13" s="1850" t="s">
        <v>29759</v>
      </c>
      <c r="V13" s="1867" t="s">
        <v>29760</v>
      </c>
      <c r="X13" s="1850" t="s">
        <v>420</v>
      </c>
      <c r="Y13" s="1868">
        <v>374</v>
      </c>
      <c r="AH13" s="1424"/>
      <c r="AI13" s="1452"/>
      <c r="AJ13" s="1452"/>
      <c r="AK13" s="1452"/>
      <c r="AL13" s="1427"/>
    </row>
    <row r="14" spans="1:38" ht="16.5" x14ac:dyDescent="0.25">
      <c r="D14" s="1848"/>
      <c r="K14" s="1446"/>
      <c r="L14" s="1866"/>
      <c r="M14" s="1873" t="s">
        <v>713</v>
      </c>
      <c r="N14" s="1874" t="s">
        <v>713</v>
      </c>
      <c r="R14" s="1848" t="s">
        <v>29761</v>
      </c>
      <c r="U14" s="1875" t="s">
        <v>27671</v>
      </c>
      <c r="V14" s="1868">
        <v>7104017</v>
      </c>
      <c r="X14" s="1850" t="s">
        <v>29762</v>
      </c>
      <c r="Y14" s="1868">
        <v>185</v>
      </c>
      <c r="AH14" s="1416"/>
      <c r="AI14" s="1417"/>
      <c r="AJ14" s="1417"/>
      <c r="AK14" s="1417"/>
      <c r="AL14" s="1418"/>
    </row>
    <row r="15" spans="1:38" ht="16.5" x14ac:dyDescent="0.25">
      <c r="D15" s="1848"/>
      <c r="K15" s="1446"/>
      <c r="L15" s="1866"/>
      <c r="M15" s="1873" t="s">
        <v>713</v>
      </c>
      <c r="N15" s="1874" t="s">
        <v>713</v>
      </c>
      <c r="R15" s="1869" t="str">
        <f>IF(P26=U24,R13,R14)</f>
        <v>kisten</v>
      </c>
      <c r="U15" s="1875" t="s">
        <v>27672</v>
      </c>
      <c r="V15" s="1868">
        <v>7104048</v>
      </c>
      <c r="X15" s="1850" t="s">
        <v>29763</v>
      </c>
      <c r="Y15" s="1868">
        <f>Checkliste!I22+C1</f>
        <v>0</v>
      </c>
      <c r="Z15" s="1868">
        <v>0</v>
      </c>
      <c r="AH15" s="1864" t="s">
        <v>29764</v>
      </c>
      <c r="AI15" s="1429"/>
      <c r="AJ15" s="1429"/>
      <c r="AK15" s="1429"/>
      <c r="AL15" s="1420"/>
    </row>
    <row r="16" spans="1:38" x14ac:dyDescent="0.2">
      <c r="B16" s="1849" t="str">
        <f>R16&amp;" Langteile"&amp;R15&amp;":"</f>
        <v xml:space="preserve"> Langteilekisten:</v>
      </c>
      <c r="C16" s="1848" t="s">
        <v>543</v>
      </c>
      <c r="D16" s="1848" t="s">
        <v>544</v>
      </c>
      <c r="E16" s="1848"/>
      <c r="F16" s="1848" t="s">
        <v>68</v>
      </c>
      <c r="G16" s="1848"/>
      <c r="H16" s="1848" t="s">
        <v>67</v>
      </c>
      <c r="I16" s="1848"/>
      <c r="J16" s="1848" t="s">
        <v>69</v>
      </c>
      <c r="K16" s="1446"/>
      <c r="L16" s="1866" t="str">
        <f>"Höhe"&amp;AH28</f>
        <v>Höhe des fertigen Packstücks</v>
      </c>
      <c r="M16" s="1421"/>
      <c r="N16" s="1866"/>
      <c r="R16" s="1869" t="str">
        <f>IF(P26=U27,"IPPC","")</f>
        <v/>
      </c>
      <c r="U16" s="1876" t="s">
        <v>29765</v>
      </c>
      <c r="V16" s="1868">
        <v>7101020</v>
      </c>
      <c r="X16" s="1850" t="s">
        <v>29766</v>
      </c>
      <c r="Y16" s="1868">
        <f>Checkliste!I23</f>
        <v>0</v>
      </c>
      <c r="Z16" s="1868">
        <v>0</v>
      </c>
      <c r="AH16" s="1864" t="s">
        <v>29767</v>
      </c>
      <c r="AI16" s="1429"/>
      <c r="AJ16" s="1429"/>
      <c r="AK16" s="1429"/>
      <c r="AL16" s="1420"/>
    </row>
    <row r="17" spans="2:38" ht="16.5" x14ac:dyDescent="0.25">
      <c r="C17" s="1869">
        <f>VLOOKUP(D17,U12:V18,2,FALSE)</f>
        <v>0</v>
      </c>
      <c r="D17" s="1869" t="str">
        <f>IF(F17=0,"",IF(AND(P26=U24,J17&gt;=4000),U13,IF(P26=U24,U12,""))&amp;IF(OR(P26=U25,P26=U26),U14,"")&amp;IF(P26=U27,U16,""))</f>
        <v/>
      </c>
      <c r="E17" s="1870"/>
      <c r="F17" s="1869">
        <f>N87+A1</f>
        <v>1</v>
      </c>
      <c r="G17" s="1869" t="s">
        <v>537</v>
      </c>
      <c r="H17" s="1871">
        <f>ROUNDUP(P87/100,0)*100+IF(AND(R15=R14,F17&gt;0),100,0)</f>
        <v>500</v>
      </c>
      <c r="I17" s="1871" t="s">
        <v>537</v>
      </c>
      <c r="J17" s="1871">
        <f>ROUNDUP(R87/100,0)*100+IF(AND(R15=R14,F17&gt;0),100,0)+B1</f>
        <v>500</v>
      </c>
      <c r="K17" s="1872" t="s">
        <v>537</v>
      </c>
      <c r="L17" s="1869">
        <f>IF(F17&gt;0,AH17,0)</f>
        <v>300</v>
      </c>
      <c r="M17" s="1877" t="s">
        <v>713</v>
      </c>
      <c r="N17" s="1874" t="s">
        <v>713</v>
      </c>
      <c r="U17" s="1850" t="s">
        <v>29768</v>
      </c>
      <c r="V17" s="1878" t="s">
        <v>29769</v>
      </c>
      <c r="X17" s="1850" t="s">
        <v>29770</v>
      </c>
      <c r="Y17" s="1868">
        <f>Checkliste!I24</f>
        <v>0</v>
      </c>
      <c r="Z17" s="1868">
        <v>0</v>
      </c>
      <c r="AH17" s="1419">
        <v>300</v>
      </c>
      <c r="AI17" s="1429"/>
      <c r="AJ17" s="1429"/>
      <c r="AK17" s="1429"/>
      <c r="AL17" s="1420"/>
    </row>
    <row r="18" spans="2:38" x14ac:dyDescent="0.2">
      <c r="D18" s="1848"/>
      <c r="K18" s="1446"/>
      <c r="M18" s="1879"/>
      <c r="N18" s="1866"/>
      <c r="U18" s="1880" t="str">
        <f>""</f>
        <v/>
      </c>
      <c r="V18" s="1880"/>
      <c r="Y18" s="1868"/>
      <c r="AH18" s="1419"/>
      <c r="AI18" s="1429"/>
      <c r="AJ18" s="1429"/>
      <c r="AK18" s="1429"/>
      <c r="AL18" s="1420"/>
    </row>
    <row r="19" spans="2:38" x14ac:dyDescent="0.2">
      <c r="D19" s="1848"/>
      <c r="K19" s="1446"/>
      <c r="M19" s="1881"/>
      <c r="N19" s="1848"/>
      <c r="Y19" s="1868"/>
      <c r="AH19" s="1424"/>
      <c r="AI19" s="1452"/>
      <c r="AJ19" s="1452"/>
      <c r="AK19" s="1452"/>
      <c r="AL19" s="1427"/>
    </row>
    <row r="20" spans="2:38" x14ac:dyDescent="0.2">
      <c r="B20" s="1849" t="str">
        <f>R16&amp;" Zusatz"&amp;R15&amp;":"</f>
        <v xml:space="preserve"> Zusatzkisten:</v>
      </c>
      <c r="C20" s="1848" t="s">
        <v>543</v>
      </c>
      <c r="D20" s="1848" t="s">
        <v>544</v>
      </c>
      <c r="E20" s="1848"/>
      <c r="F20" s="1848" t="s">
        <v>68</v>
      </c>
      <c r="G20" s="1848"/>
      <c r="H20" s="1848" t="s">
        <v>67</v>
      </c>
      <c r="I20" s="1848"/>
      <c r="J20" s="1848" t="s">
        <v>69</v>
      </c>
      <c r="K20" s="1446"/>
      <c r="L20" s="1848" t="str">
        <f>"Höhe"&amp;AH28</f>
        <v>Höhe des fertigen Packstücks</v>
      </c>
      <c r="M20" s="1881"/>
      <c r="N20" s="1848"/>
      <c r="Y20" s="1868"/>
      <c r="AH20" s="1419"/>
      <c r="AI20" s="1429"/>
      <c r="AJ20" s="1429"/>
      <c r="AK20" s="1429"/>
      <c r="AL20" s="1420"/>
    </row>
    <row r="21" spans="2:38" ht="16.5" x14ac:dyDescent="0.25">
      <c r="C21" s="1871">
        <f>VLOOKUP(D21,U12:V18,2,FALSE)</f>
        <v>0</v>
      </c>
      <c r="D21" s="1871" t="str">
        <f>IF(F21=0,"",IF(AND(P26=U24,Y15+Y16+Y17&gt;=5),U13,IF(P26=U24,U12,""))&amp;IF(OR(P26=U25,P26=U26),U14,"")&amp;IF(P26=U27,U16,""))</f>
        <v/>
      </c>
      <c r="E21" s="1882"/>
      <c r="F21" s="1869">
        <f>N102+A1</f>
        <v>1</v>
      </c>
      <c r="G21" s="1869" t="s">
        <v>537</v>
      </c>
      <c r="H21" s="1871">
        <f>P102+IF(AND(R15=R14,F21&gt;0),100,0)</f>
        <v>1000</v>
      </c>
      <c r="I21" s="1871" t="s">
        <v>537</v>
      </c>
      <c r="J21" s="1871">
        <f>R102+IF(AND(R15=R14,F21&gt;0),100,0)+B1</f>
        <v>1400</v>
      </c>
      <c r="K21" s="1872" t="s">
        <v>537</v>
      </c>
      <c r="L21" s="1869">
        <f>IF(F21&gt;0,AH26,0)</f>
        <v>200</v>
      </c>
      <c r="M21" s="1883" t="s">
        <v>713</v>
      </c>
      <c r="N21" s="1874" t="s">
        <v>713</v>
      </c>
      <c r="Y21" s="1868"/>
      <c r="AH21" s="1419"/>
      <c r="AI21" s="1429"/>
      <c r="AJ21" s="1429"/>
      <c r="AK21" s="1429"/>
      <c r="AL21" s="1420"/>
    </row>
    <row r="22" spans="2:38" ht="16.5" x14ac:dyDescent="0.25">
      <c r="C22" s="1884"/>
      <c r="D22" s="1884"/>
      <c r="E22" s="1884"/>
      <c r="F22" s="1866"/>
      <c r="G22" s="1866"/>
      <c r="H22" s="1884"/>
      <c r="I22" s="1884"/>
      <c r="J22" s="1884"/>
      <c r="K22" s="1885"/>
      <c r="L22" s="1866"/>
      <c r="M22" s="1883"/>
      <c r="N22" s="1874"/>
      <c r="Y22" s="1886"/>
      <c r="AH22" s="1419"/>
      <c r="AI22" s="1429"/>
      <c r="AJ22" s="1429"/>
      <c r="AK22" s="1429"/>
      <c r="AL22" s="1420"/>
    </row>
    <row r="23" spans="2:38" x14ac:dyDescent="0.2">
      <c r="B23" s="1849" t="s">
        <v>29771</v>
      </c>
      <c r="C23" s="1848" t="s">
        <v>543</v>
      </c>
      <c r="D23" s="1848" t="s">
        <v>544</v>
      </c>
      <c r="E23" s="1848"/>
      <c r="F23" s="1848" t="s">
        <v>68</v>
      </c>
      <c r="G23" s="1848"/>
      <c r="H23" s="1848" t="s">
        <v>67</v>
      </c>
      <c r="I23" s="1848"/>
      <c r="J23" s="1848" t="s">
        <v>69</v>
      </c>
      <c r="K23" s="1446"/>
      <c r="L23" s="1848" t="str">
        <f>"Höhe"&amp;AH31</f>
        <v>Höhe</v>
      </c>
      <c r="AH23" s="1419"/>
      <c r="AI23" s="1429"/>
      <c r="AJ23" s="1429"/>
      <c r="AK23" s="1429"/>
      <c r="AL23" s="1420"/>
    </row>
    <row r="24" spans="2:38" x14ac:dyDescent="0.2">
      <c r="C24" s="1871">
        <v>7104052</v>
      </c>
      <c r="D24" s="1871" t="s">
        <v>29772</v>
      </c>
      <c r="E24" s="1882"/>
      <c r="F24" s="1887">
        <v>0</v>
      </c>
      <c r="G24" s="1869" t="s">
        <v>537</v>
      </c>
      <c r="H24" s="1871">
        <v>180</v>
      </c>
      <c r="I24" s="1871" t="s">
        <v>537</v>
      </c>
      <c r="J24" s="1888">
        <v>0</v>
      </c>
      <c r="K24" s="1872" t="s">
        <v>537</v>
      </c>
      <c r="L24" s="1869">
        <v>23</v>
      </c>
      <c r="U24" s="1347" t="s">
        <v>690</v>
      </c>
      <c r="AH24" s="1864" t="s">
        <v>29773</v>
      </c>
      <c r="AI24" s="1429"/>
      <c r="AJ24" s="1429"/>
      <c r="AK24" s="1429"/>
      <c r="AL24" s="1420"/>
    </row>
    <row r="25" spans="2:38" x14ac:dyDescent="0.2">
      <c r="U25" s="1347" t="s">
        <v>29774</v>
      </c>
      <c r="AH25" s="1864" t="s">
        <v>29775</v>
      </c>
      <c r="AI25" s="1429"/>
      <c r="AJ25" s="1429"/>
      <c r="AK25" s="1429"/>
      <c r="AL25" s="1420"/>
    </row>
    <row r="26" spans="2:38" x14ac:dyDescent="0.2">
      <c r="J26" s="1889" t="s">
        <v>29776</v>
      </c>
      <c r="K26" s="1890"/>
      <c r="L26" s="1891">
        <v>4800</v>
      </c>
      <c r="M26" s="1892" t="s">
        <v>29777</v>
      </c>
      <c r="P26" s="1848">
        <f>IF(Dateneingabe!H89="ja",Verpackungsberechnung!U27,Dateneingabe!E89)</f>
        <v>0</v>
      </c>
      <c r="U26" s="1347" t="s">
        <v>29778</v>
      </c>
      <c r="AH26" s="1424">
        <f>W102</f>
        <v>200</v>
      </c>
      <c r="AI26" s="1452"/>
      <c r="AJ26" s="1452"/>
      <c r="AK26" s="1452"/>
      <c r="AL26" s="1427"/>
    </row>
    <row r="27" spans="2:38" x14ac:dyDescent="0.2">
      <c r="U27" s="1347" t="s">
        <v>29765</v>
      </c>
    </row>
    <row r="28" spans="2:38" x14ac:dyDescent="0.2">
      <c r="AH28" s="1136" t="str">
        <f>IF(OR(D13=U14,D13=U15)," der Kiste"," des fertigen Packstücks")</f>
        <v xml:space="preserve"> des fertigen Packstücks</v>
      </c>
      <c r="AI28" s="1881" t="s">
        <v>29779</v>
      </c>
    </row>
    <row r="30" spans="2:38" x14ac:dyDescent="0.2">
      <c r="B30" s="1446" t="s">
        <v>29780</v>
      </c>
      <c r="N30" s="1446" t="s">
        <v>29781</v>
      </c>
    </row>
    <row r="32" spans="2:38" x14ac:dyDescent="0.2">
      <c r="B32" s="1446" t="s">
        <v>29782</v>
      </c>
    </row>
    <row r="33" spans="1:54" x14ac:dyDescent="0.2">
      <c r="AH33" s="1416"/>
      <c r="AI33" s="1417"/>
      <c r="AJ33" s="1417"/>
      <c r="AK33" s="1893" t="s">
        <v>29783</v>
      </c>
      <c r="AL33" s="1416"/>
      <c r="AM33" s="1417"/>
      <c r="AN33" s="1417"/>
      <c r="AO33" s="1418"/>
      <c r="AR33" s="1881" t="s">
        <v>29784</v>
      </c>
    </row>
    <row r="34" spans="1:54" x14ac:dyDescent="0.2">
      <c r="F34" s="1894" t="s">
        <v>29757</v>
      </c>
      <c r="H34" s="1848" t="s">
        <v>68</v>
      </c>
      <c r="I34" s="1848"/>
      <c r="J34" s="1895" t="s">
        <v>420</v>
      </c>
      <c r="K34" s="1848"/>
      <c r="L34" s="1896" t="s">
        <v>29762</v>
      </c>
      <c r="N34" s="1848" t="s">
        <v>68</v>
      </c>
      <c r="O34" s="1848"/>
      <c r="P34" s="1848" t="s">
        <v>67</v>
      </c>
      <c r="Q34" s="1848"/>
      <c r="R34" s="1848" t="s">
        <v>69</v>
      </c>
      <c r="S34" s="1848"/>
      <c r="T34" s="1848" t="s">
        <v>544</v>
      </c>
      <c r="U34" s="1848" t="s">
        <v>543</v>
      </c>
      <c r="AH34" s="1419">
        <v>1</v>
      </c>
      <c r="AI34" s="1429"/>
      <c r="AJ34" s="1897" t="s">
        <v>29757</v>
      </c>
      <c r="AK34" s="1898">
        <v>6</v>
      </c>
      <c r="AL34" s="1419"/>
      <c r="AM34" s="1429"/>
      <c r="AN34" s="1429"/>
      <c r="AO34" s="1420"/>
    </row>
    <row r="35" spans="1:54" x14ac:dyDescent="0.2">
      <c r="F35" s="1899"/>
      <c r="H35" s="1869">
        <f>Y12</f>
        <v>0</v>
      </c>
      <c r="I35" s="1869" t="s">
        <v>537</v>
      </c>
      <c r="J35" s="1869">
        <f>IF(H35=0,0,Y13)</f>
        <v>0</v>
      </c>
      <c r="K35" s="1869" t="s">
        <v>537</v>
      </c>
      <c r="L35" s="1869">
        <f>IF(H35=0,0,$Y$14)</f>
        <v>0</v>
      </c>
      <c r="M35" s="1347" t="s">
        <v>29785</v>
      </c>
      <c r="N35" s="1869">
        <f>ROUNDUP(H35/6,0)</f>
        <v>0</v>
      </c>
      <c r="O35" s="1869" t="s">
        <v>537</v>
      </c>
      <c r="P35" s="1869">
        <f>IF(N35=0,0,IF(J35&gt;L35,L35+200,J35+200))</f>
        <v>0</v>
      </c>
      <c r="Q35" s="1869" t="s">
        <v>537</v>
      </c>
      <c r="R35" s="1869">
        <f>IF(N35=0,0,IF(J35&gt;L35,J35+500,L35+500))</f>
        <v>0</v>
      </c>
      <c r="S35" s="1870"/>
      <c r="T35" s="1869" t="str">
        <f>IF(N35=0,"",IF(R35&gt;3000,$U$13,$U$12))</f>
        <v/>
      </c>
      <c r="U35" s="1869">
        <f>IF(T35=$U$12,$V$12,IF(T35=$U$13,$V$13,0))</f>
        <v>0</v>
      </c>
      <c r="AH35" s="1419"/>
      <c r="AI35" s="1429"/>
      <c r="AJ35" s="1900" t="s">
        <v>29786</v>
      </c>
      <c r="AK35" s="1898"/>
      <c r="AL35" s="1419"/>
      <c r="AM35" s="1429"/>
      <c r="AN35" s="1429"/>
      <c r="AO35" s="1420"/>
    </row>
    <row r="36" spans="1:54" x14ac:dyDescent="0.2">
      <c r="A36" s="3517" t="s">
        <v>29787</v>
      </c>
      <c r="F36" s="1899"/>
      <c r="S36" s="1429"/>
      <c r="AH36" s="1419"/>
      <c r="AI36" s="1429"/>
      <c r="AJ36" s="1901"/>
      <c r="AK36" s="1898"/>
      <c r="AL36" s="1419"/>
      <c r="AM36" s="1902"/>
      <c r="AN36" s="1429"/>
      <c r="AO36" s="1420"/>
      <c r="AR36" s="1881" t="s">
        <v>29788</v>
      </c>
      <c r="AS36" s="1136">
        <v>500</v>
      </c>
      <c r="AT36" s="1881" t="s">
        <v>29789</v>
      </c>
      <c r="AU36" s="1136">
        <f>AS36/(1000*1000*1000)</f>
        <v>4.9999999999999998E-7</v>
      </c>
      <c r="AV36" s="1881" t="s">
        <v>29790</v>
      </c>
      <c r="AW36" s="1136">
        <f>AS36/(10*10*10)</f>
        <v>0.5</v>
      </c>
      <c r="AX36" s="1881" t="s">
        <v>29791</v>
      </c>
      <c r="AY36" s="1136">
        <f>AS36/(100*100*100)</f>
        <v>5.0000000000000001E-4</v>
      </c>
      <c r="AZ36" s="1881" t="s">
        <v>29792</v>
      </c>
    </row>
    <row r="37" spans="1:54" x14ac:dyDescent="0.2">
      <c r="A37" s="3518"/>
      <c r="F37" s="1894" t="s">
        <v>29763</v>
      </c>
      <c r="H37" s="1848" t="s">
        <v>68</v>
      </c>
      <c r="I37" s="1848"/>
      <c r="J37" s="1848" t="s">
        <v>67</v>
      </c>
      <c r="K37" s="1848"/>
      <c r="L37" s="1896" t="s">
        <v>29762</v>
      </c>
      <c r="S37" s="1429"/>
      <c r="AH37" s="1419">
        <v>0</v>
      </c>
      <c r="AI37" s="1429"/>
      <c r="AJ37" s="1897" t="s">
        <v>29763</v>
      </c>
      <c r="AK37" s="1898">
        <v>0</v>
      </c>
      <c r="AL37" s="1903" t="s">
        <v>68</v>
      </c>
      <c r="AM37" s="1902">
        <v>1</v>
      </c>
      <c r="AN37" s="1429"/>
      <c r="AO37" s="1420"/>
      <c r="AR37" s="1881" t="s">
        <v>29793</v>
      </c>
      <c r="AS37" s="1136">
        <v>870</v>
      </c>
      <c r="AT37" s="1881" t="s">
        <v>29789</v>
      </c>
      <c r="AU37" s="1136">
        <f>AS37/(1000*1000*1000)</f>
        <v>8.7000000000000003E-7</v>
      </c>
      <c r="AV37" s="1881" t="s">
        <v>29790</v>
      </c>
      <c r="AW37" s="1136">
        <f>AS37/(10*10*10)</f>
        <v>0.87</v>
      </c>
      <c r="AX37" s="1881" t="s">
        <v>29791</v>
      </c>
      <c r="AY37" s="1136">
        <f>AS37/(100*100*100)</f>
        <v>8.7000000000000001E-4</v>
      </c>
      <c r="AZ37" s="1881" t="s">
        <v>29792</v>
      </c>
    </row>
    <row r="38" spans="1:54" x14ac:dyDescent="0.2">
      <c r="A38" s="1904">
        <f>J38</f>
        <v>0</v>
      </c>
      <c r="F38" s="1899"/>
      <c r="H38" s="1869">
        <f>IF(H35=0,Y15,0)</f>
        <v>0</v>
      </c>
      <c r="I38" s="1869" t="s">
        <v>537</v>
      </c>
      <c r="J38" s="1869">
        <f>IF(H38=0,0,$Z$15)</f>
        <v>0</v>
      </c>
      <c r="K38" s="1869" t="s">
        <v>537</v>
      </c>
      <c r="L38" s="1869">
        <f>IF(H38=0,0,$Y$14)</f>
        <v>0</v>
      </c>
      <c r="S38" s="1429"/>
      <c r="AH38" s="1419"/>
      <c r="AI38" s="1429"/>
      <c r="AJ38" s="1901"/>
      <c r="AK38" s="1898"/>
      <c r="AL38" s="1905"/>
      <c r="AM38" s="1902"/>
      <c r="AN38" s="1429"/>
      <c r="AO38" s="1420"/>
      <c r="AR38" s="1881" t="s">
        <v>29794</v>
      </c>
      <c r="AS38" s="1136">
        <v>7850</v>
      </c>
      <c r="AT38" s="1881" t="s">
        <v>29789</v>
      </c>
      <c r="AU38" s="1136">
        <f>AS38/(1000*1000*1000)</f>
        <v>7.8499999999999994E-6</v>
      </c>
      <c r="AV38" s="1881" t="s">
        <v>29790</v>
      </c>
      <c r="AW38" s="1136">
        <f>AS38/(10*10*10)</f>
        <v>7.85</v>
      </c>
      <c r="AX38" s="1881" t="s">
        <v>29791</v>
      </c>
      <c r="AY38" s="1136">
        <f>AS38/(100*100*100)</f>
        <v>7.8499999999999993E-3</v>
      </c>
      <c r="AZ38" s="1881" t="s">
        <v>29792</v>
      </c>
    </row>
    <row r="39" spans="1:54" x14ac:dyDescent="0.2">
      <c r="A39" s="1904"/>
      <c r="F39" s="1899"/>
      <c r="S39" s="1429"/>
      <c r="AH39" s="1419"/>
      <c r="AI39" s="1429"/>
      <c r="AJ39" s="1901"/>
      <c r="AK39" s="1898"/>
      <c r="AL39" s="1905"/>
      <c r="AM39" s="1902"/>
      <c r="AN39" s="1429"/>
      <c r="AO39" s="1420"/>
      <c r="AR39" s="1881" t="s">
        <v>29795</v>
      </c>
      <c r="AS39" s="1136">
        <v>2700</v>
      </c>
      <c r="AT39" s="1881" t="s">
        <v>29789</v>
      </c>
      <c r="AU39" s="1136">
        <f>AS39/(1000*1000*1000)</f>
        <v>2.7E-6</v>
      </c>
      <c r="AV39" s="1881" t="s">
        <v>29790</v>
      </c>
      <c r="AW39" s="1136">
        <f>AS39/(10*10*10)</f>
        <v>2.7</v>
      </c>
      <c r="AX39" s="1881" t="s">
        <v>29791</v>
      </c>
      <c r="AY39" s="1136">
        <f>AS39/(100*100*100)</f>
        <v>2.7000000000000001E-3</v>
      </c>
      <c r="AZ39" s="1881" t="s">
        <v>29792</v>
      </c>
    </row>
    <row r="40" spans="1:54" x14ac:dyDescent="0.2">
      <c r="A40" s="1904"/>
      <c r="F40" s="1894" t="s">
        <v>29766</v>
      </c>
      <c r="H40" s="1848" t="s">
        <v>68</v>
      </c>
      <c r="I40" s="1848"/>
      <c r="J40" s="1848" t="s">
        <v>67</v>
      </c>
      <c r="K40" s="1848"/>
      <c r="L40" s="1896" t="s">
        <v>29762</v>
      </c>
      <c r="P40" s="1848">
        <v>233</v>
      </c>
      <c r="R40" s="1848">
        <f>CEILING(P40,10)</f>
        <v>240</v>
      </c>
      <c r="S40" s="1429"/>
      <c r="T40" s="1848">
        <f>233.1/0.7</f>
        <v>333</v>
      </c>
      <c r="AH40" s="1419">
        <v>0</v>
      </c>
      <c r="AI40" s="1429"/>
      <c r="AJ40" s="1897" t="s">
        <v>29766</v>
      </c>
      <c r="AK40" s="1898">
        <v>0</v>
      </c>
      <c r="AL40" s="1903" t="s">
        <v>68</v>
      </c>
      <c r="AM40" s="1902">
        <v>0</v>
      </c>
      <c r="AN40" s="1429"/>
      <c r="AO40" s="1420"/>
      <c r="AR40" s="1881" t="s">
        <v>29796</v>
      </c>
      <c r="AS40" s="1136">
        <v>700</v>
      </c>
      <c r="AT40" s="1881" t="s">
        <v>29789</v>
      </c>
      <c r="AU40" s="1136">
        <f>AS40/(1000*1000*1000)</f>
        <v>6.9999999999999997E-7</v>
      </c>
      <c r="AV40" s="1881" t="s">
        <v>29790</v>
      </c>
      <c r="AW40" s="1136">
        <f>AS40/(10*10*10)</f>
        <v>0.7</v>
      </c>
      <c r="AX40" s="1881" t="s">
        <v>29791</v>
      </c>
      <c r="AY40" s="1136">
        <f>AS40/(100*100*100)</f>
        <v>6.9999999999999999E-4</v>
      </c>
      <c r="AZ40" s="1881" t="s">
        <v>29792</v>
      </c>
    </row>
    <row r="41" spans="1:54" x14ac:dyDescent="0.2">
      <c r="A41" s="1904">
        <f>IF(J41&gt;A38,J41,A38)</f>
        <v>0</v>
      </c>
      <c r="F41" s="1899"/>
      <c r="H41" s="1869">
        <f>IF(H35=0,Y16,0)</f>
        <v>0</v>
      </c>
      <c r="I41" s="1869" t="s">
        <v>537</v>
      </c>
      <c r="J41" s="1869">
        <f>IF(H41=0,0,$Z$16)</f>
        <v>0</v>
      </c>
      <c r="K41" s="1869" t="s">
        <v>537</v>
      </c>
      <c r="L41" s="1869">
        <f>IF(H41=0,0,$Y$14)</f>
        <v>0</v>
      </c>
      <c r="S41" s="1429"/>
      <c r="AH41" s="1419"/>
      <c r="AI41" s="1429"/>
      <c r="AJ41" s="1901"/>
      <c r="AK41" s="1898"/>
      <c r="AL41" s="1905"/>
      <c r="AM41" s="1902"/>
      <c r="AN41" s="1429"/>
      <c r="AO41" s="1420"/>
    </row>
    <row r="42" spans="1:54" x14ac:dyDescent="0.2">
      <c r="A42" s="1904"/>
      <c r="F42" s="1899"/>
      <c r="S42" s="1429"/>
      <c r="AH42" s="1419"/>
      <c r="AI42" s="1429"/>
      <c r="AJ42" s="1901"/>
      <c r="AK42" s="1898"/>
      <c r="AL42" s="1905"/>
      <c r="AM42" s="1902"/>
      <c r="AN42" s="1429"/>
      <c r="AO42" s="1420"/>
      <c r="AR42" s="1881" t="s">
        <v>29797</v>
      </c>
      <c r="AU42" s="1136">
        <f>150*620*250*AU36</f>
        <v>11.625</v>
      </c>
      <c r="AV42" s="1881" t="s">
        <v>29215</v>
      </c>
    </row>
    <row r="43" spans="1:54" x14ac:dyDescent="0.2">
      <c r="A43" s="1904"/>
      <c r="F43" s="1894" t="s">
        <v>29798</v>
      </c>
      <c r="H43" s="1848" t="s">
        <v>68</v>
      </c>
      <c r="I43" s="1848"/>
      <c r="J43" s="1848" t="s">
        <v>67</v>
      </c>
      <c r="K43" s="1848"/>
      <c r="L43" s="1896" t="s">
        <v>29762</v>
      </c>
      <c r="N43" s="1848" t="s">
        <v>68</v>
      </c>
      <c r="O43" s="1848"/>
      <c r="P43" s="1848" t="s">
        <v>67</v>
      </c>
      <c r="Q43" s="1848"/>
      <c r="R43" s="1848" t="s">
        <v>69</v>
      </c>
      <c r="S43" s="1866"/>
      <c r="T43" s="1848" t="s">
        <v>544</v>
      </c>
      <c r="U43" s="1848" t="s">
        <v>543</v>
      </c>
      <c r="AH43" s="1419">
        <v>0</v>
      </c>
      <c r="AI43" s="1429"/>
      <c r="AJ43" s="1897" t="s">
        <v>29798</v>
      </c>
      <c r="AK43" s="1898">
        <v>0</v>
      </c>
      <c r="AL43" s="1903" t="s">
        <v>68</v>
      </c>
      <c r="AM43" s="1902">
        <v>0</v>
      </c>
      <c r="AN43" s="1429"/>
      <c r="AO43" s="1420"/>
    </row>
    <row r="44" spans="1:54" x14ac:dyDescent="0.2">
      <c r="A44" s="1906">
        <f>IF(J44&gt;A41,J44,A41)</f>
        <v>0</v>
      </c>
      <c r="H44" s="1869">
        <f>IF(H35=0,Y17,0)</f>
        <v>0</v>
      </c>
      <c r="I44" s="1869" t="s">
        <v>537</v>
      </c>
      <c r="J44" s="1869">
        <f>IF(H44=0,0,$Z$17)</f>
        <v>0</v>
      </c>
      <c r="K44" s="1869" t="s">
        <v>537</v>
      </c>
      <c r="L44" s="1869">
        <f>IF(H44=0,0,$Y$14)</f>
        <v>0</v>
      </c>
      <c r="M44" s="1347" t="s">
        <v>29785</v>
      </c>
      <c r="N44" s="1869">
        <f>ROUNDUP((H38+H41+H44)/6,0)</f>
        <v>0</v>
      </c>
      <c r="O44" s="1869" t="s">
        <v>537</v>
      </c>
      <c r="P44" s="1869">
        <f>IF(N44=0,0,A44+198)</f>
        <v>0</v>
      </c>
      <c r="Q44" s="1869" t="s">
        <v>537</v>
      </c>
      <c r="R44" s="1869">
        <f>IF(N44=0,0,L44+500)</f>
        <v>0</v>
      </c>
      <c r="S44" s="1870"/>
      <c r="T44" s="1869" t="str">
        <f>IF(N44=0,"",IF(R44&gt;3000,$U$13,$U$12))</f>
        <v/>
      </c>
      <c r="U44" s="1869">
        <f>IF(T44=$U$12,$V$12,IF(T44=$U$13,$V$13,0))</f>
        <v>0</v>
      </c>
      <c r="AH44" s="1424"/>
      <c r="AI44" s="1452"/>
      <c r="AJ44" s="1907"/>
      <c r="AK44" s="1452"/>
      <c r="AL44" s="1424"/>
      <c r="AM44" s="1908"/>
      <c r="AN44" s="1452"/>
      <c r="AO44" s="1427"/>
      <c r="AR44" s="1881" t="s">
        <v>29799</v>
      </c>
      <c r="AS44" s="1136">
        <v>430</v>
      </c>
      <c r="AT44" s="1881" t="s">
        <v>29789</v>
      </c>
      <c r="AU44" s="1136">
        <f>AS44/(1000*1000*1000)</f>
        <v>4.3000000000000001E-7</v>
      </c>
      <c r="AV44" s="1881" t="s">
        <v>29790</v>
      </c>
      <c r="AW44" s="1136">
        <f>AS44/(10*10*10)</f>
        <v>0.43</v>
      </c>
      <c r="AX44" s="1881" t="s">
        <v>29791</v>
      </c>
      <c r="AY44" s="1136">
        <f>AS44/(100*100*100)</f>
        <v>4.2999999999999999E-4</v>
      </c>
      <c r="AZ44" s="1881" t="s">
        <v>29792</v>
      </c>
      <c r="BA44" s="1881" t="s">
        <v>29800</v>
      </c>
    </row>
    <row r="45" spans="1:54" x14ac:dyDescent="0.2">
      <c r="H45" s="1446" t="s">
        <v>29801</v>
      </c>
      <c r="AJ45" s="1347"/>
    </row>
    <row r="46" spans="1:54" x14ac:dyDescent="0.2">
      <c r="H46" s="1869">
        <f>H35+H38+H41+H44</f>
        <v>0</v>
      </c>
      <c r="M46" s="1849" t="s">
        <v>29802</v>
      </c>
      <c r="N46" s="1869">
        <f>N35+N44</f>
        <v>0</v>
      </c>
      <c r="O46" s="1869" t="s">
        <v>537</v>
      </c>
      <c r="P46" s="1869">
        <f>ROUNDUP((P35+P44)/100,0)*100</f>
        <v>0</v>
      </c>
      <c r="Q46" s="1869" t="s">
        <v>537</v>
      </c>
      <c r="R46" s="1869">
        <f>CEILING((R35+R44),100)</f>
        <v>0</v>
      </c>
      <c r="S46" s="1870"/>
      <c r="T46" s="1869" t="str">
        <f>T35&amp;T44</f>
        <v/>
      </c>
      <c r="U46" s="1869">
        <f>U35</f>
        <v>0</v>
      </c>
      <c r="AJ46" s="1347"/>
    </row>
    <row r="47" spans="1:54" x14ac:dyDescent="0.2">
      <c r="AJ47" s="1347"/>
    </row>
    <row r="48" spans="1:54" x14ac:dyDescent="0.2">
      <c r="B48" s="1446" t="s">
        <v>29803</v>
      </c>
      <c r="AH48" s="1416"/>
      <c r="AI48" s="1417"/>
      <c r="AJ48" s="1909"/>
      <c r="AK48" s="1893" t="s">
        <v>29783</v>
      </c>
      <c r="AL48" s="1910" t="s">
        <v>29804</v>
      </c>
      <c r="AM48" s="1909" t="s">
        <v>722</v>
      </c>
      <c r="AN48" s="1911"/>
      <c r="AO48" s="1418"/>
      <c r="AR48" s="1881" t="s">
        <v>29805</v>
      </c>
      <c r="AT48" s="1419"/>
      <c r="AU48" s="1879" t="s">
        <v>29806</v>
      </c>
      <c r="AW48" s="1864" t="s">
        <v>28330</v>
      </c>
      <c r="AY48" s="1864" t="s">
        <v>29807</v>
      </c>
      <c r="BB48" s="1881" t="s">
        <v>29808</v>
      </c>
    </row>
    <row r="49" spans="6:55" x14ac:dyDescent="0.2">
      <c r="F49" s="1894" t="s">
        <v>29809</v>
      </c>
      <c r="H49" s="1848" t="s">
        <v>68</v>
      </c>
      <c r="I49" s="1848"/>
      <c r="J49" s="1848" t="s">
        <v>67</v>
      </c>
      <c r="K49" s="1848"/>
      <c r="L49" s="1848" t="s">
        <v>69</v>
      </c>
      <c r="M49" s="1895" t="s">
        <v>29810</v>
      </c>
      <c r="N49" s="1912" t="s">
        <v>29811</v>
      </c>
      <c r="P49" s="3514" t="s">
        <v>29812</v>
      </c>
      <c r="Q49" s="3514"/>
      <c r="R49" s="3514"/>
      <c r="S49" s="3514"/>
      <c r="T49" s="3514"/>
      <c r="U49" s="1153"/>
      <c r="AH49" s="1419"/>
      <c r="AI49" s="1429"/>
      <c r="AJ49" s="1897" t="s">
        <v>29809</v>
      </c>
      <c r="AK49" s="1898">
        <f>AL49*AM49</f>
        <v>1.3933718999999998</v>
      </c>
      <c r="AL49" s="1913">
        <f>(417*AY38)+(566*AY37)</f>
        <v>3.7658699999999996</v>
      </c>
      <c r="AM49" s="1886">
        <v>0.37</v>
      </c>
      <c r="AN49" s="1914"/>
      <c r="AO49" s="1420"/>
      <c r="AR49" s="1881" t="s">
        <v>29813</v>
      </c>
      <c r="AS49" s="1915">
        <v>5.64</v>
      </c>
      <c r="AT49" s="1916">
        <v>1</v>
      </c>
      <c r="AU49" s="1874" t="s">
        <v>29814</v>
      </c>
      <c r="AV49" s="1917">
        <v>6</v>
      </c>
      <c r="AW49" s="1918">
        <f>IF(AT49=1,3.5,0)</f>
        <v>3.5</v>
      </c>
      <c r="AX49" s="1917"/>
      <c r="AY49" s="1919">
        <f>IF(AT49=1,2.42,0)</f>
        <v>2.42</v>
      </c>
      <c r="AZ49" s="1920">
        <f>IF(AT49=1,1.28,0)</f>
        <v>1.28</v>
      </c>
      <c r="BB49" s="1881" t="s">
        <v>29815</v>
      </c>
      <c r="BC49" s="1136">
        <v>2</v>
      </c>
    </row>
    <row r="50" spans="6:55" x14ac:dyDescent="0.2">
      <c r="H50" s="1869">
        <f>Checkliste!I25</f>
        <v>0</v>
      </c>
      <c r="I50" s="1869" t="s">
        <v>537</v>
      </c>
      <c r="J50" s="1869">
        <f>IF(H50=0,0,150)</f>
        <v>0</v>
      </c>
      <c r="K50" s="1869" t="s">
        <v>537</v>
      </c>
      <c r="L50" s="1869">
        <v>0</v>
      </c>
      <c r="M50" s="1347">
        <f>L50</f>
        <v>0</v>
      </c>
      <c r="N50" s="1863">
        <f>J50</f>
        <v>0</v>
      </c>
      <c r="P50" s="3514"/>
      <c r="Q50" s="3514"/>
      <c r="R50" s="3514"/>
      <c r="S50" s="3514"/>
      <c r="T50" s="3514"/>
      <c r="U50" s="1159" t="str">
        <f>IF((N44+N35)*6-H46&gt;1,"ja","nein")</f>
        <v>nein</v>
      </c>
      <c r="V50" s="1347">
        <f>IF(U50="ja",1,0)</f>
        <v>0</v>
      </c>
      <c r="AH50" s="1419"/>
      <c r="AI50" s="1429"/>
      <c r="AJ50" s="1886"/>
      <c r="AK50" s="1898"/>
      <c r="AL50" s="1913"/>
      <c r="AM50" s="1886"/>
      <c r="AN50" s="1886"/>
      <c r="AO50" s="1420"/>
      <c r="AR50" s="1881" t="s">
        <v>29816</v>
      </c>
      <c r="AS50" s="1915">
        <v>8.9</v>
      </c>
      <c r="AT50" s="1916">
        <v>0</v>
      </c>
      <c r="AU50" s="1874" t="s">
        <v>29817</v>
      </c>
      <c r="AV50" s="1917">
        <v>7</v>
      </c>
      <c r="AW50" s="1918">
        <f>IF(AT50=1,3.5,0)</f>
        <v>0</v>
      </c>
      <c r="AX50" s="1917"/>
      <c r="AY50" s="1919">
        <f>IF(AT50=1,2.33,0)</f>
        <v>0</v>
      </c>
      <c r="AZ50" s="1920">
        <f>IF(AT50=1,1.28,0)</f>
        <v>0</v>
      </c>
    </row>
    <row r="51" spans="6:55" x14ac:dyDescent="0.2">
      <c r="N51" s="1863"/>
      <c r="P51" s="1135"/>
      <c r="Q51" s="1153"/>
      <c r="R51" s="1135"/>
      <c r="S51" s="1153"/>
      <c r="T51" s="1135"/>
      <c r="U51" s="1153"/>
      <c r="AH51" s="1419"/>
      <c r="AI51" s="1429"/>
      <c r="AJ51" s="1886"/>
      <c r="AK51" s="1898"/>
      <c r="AL51" s="1913"/>
      <c r="AM51" s="1886"/>
      <c r="AN51" s="1886"/>
      <c r="AO51" s="1420"/>
      <c r="AT51" s="1916">
        <v>0</v>
      </c>
      <c r="AU51" s="1874" t="s">
        <v>29818</v>
      </c>
      <c r="AV51" s="1917">
        <v>10</v>
      </c>
      <c r="AW51" s="1918">
        <f>IF(AT51=1,3.58,0)</f>
        <v>0</v>
      </c>
      <c r="AX51" s="1917"/>
      <c r="AY51" s="1919">
        <f>IF(AT51=1,4.2,0)</f>
        <v>0</v>
      </c>
      <c r="AZ51" s="1920">
        <f>IF(AT51=1,4.2,0)</f>
        <v>0</v>
      </c>
    </row>
    <row r="52" spans="6:55" x14ac:dyDescent="0.2">
      <c r="F52" s="1894" t="s">
        <v>29819</v>
      </c>
      <c r="H52" s="1848" t="s">
        <v>68</v>
      </c>
      <c r="I52" s="1848"/>
      <c r="J52" s="1848" t="s">
        <v>67</v>
      </c>
      <c r="K52" s="1848"/>
      <c r="L52" s="1848" t="s">
        <v>69</v>
      </c>
      <c r="N52" s="1863"/>
      <c r="P52" s="3514" t="s">
        <v>29820</v>
      </c>
      <c r="Q52" s="3514"/>
      <c r="R52" s="3514"/>
      <c r="S52" s="3514"/>
      <c r="T52" s="3514"/>
      <c r="U52" s="1153"/>
      <c r="AH52" s="1419"/>
      <c r="AI52" s="1429"/>
      <c r="AJ52" s="1897" t="s">
        <v>29819</v>
      </c>
      <c r="AK52" s="1898">
        <f>AL52*AM52+AV100</f>
        <v>0.89124472999999993</v>
      </c>
      <c r="AL52" s="1913">
        <f>(208*AY38)+(12.55*2*AY37)</f>
        <v>1.6546369999999999</v>
      </c>
      <c r="AM52" s="1886">
        <v>0.28999999999999998</v>
      </c>
      <c r="AN52" s="1886"/>
      <c r="AO52" s="1420"/>
      <c r="AT52" s="1916">
        <v>0</v>
      </c>
      <c r="AU52" s="1874" t="s">
        <v>29821</v>
      </c>
      <c r="AV52" s="1917">
        <v>20</v>
      </c>
      <c r="AW52" s="1918">
        <f>IF(AT52=1,4.59,0)</f>
        <v>0</v>
      </c>
      <c r="AY52" s="1919">
        <f>IF(AT52=1,4.2,0)</f>
        <v>0</v>
      </c>
      <c r="AZ52" s="1920">
        <f>IF(AT52=1,4.2,0)</f>
        <v>0</v>
      </c>
    </row>
    <row r="53" spans="6:55" x14ac:dyDescent="0.2">
      <c r="H53" s="1869">
        <f>Checkliste!I26</f>
        <v>0</v>
      </c>
      <c r="I53" s="1869" t="s">
        <v>537</v>
      </c>
      <c r="J53" s="1869">
        <v>0</v>
      </c>
      <c r="K53" s="1869" t="s">
        <v>537</v>
      </c>
      <c r="L53" s="1869">
        <v>0</v>
      </c>
      <c r="M53" s="1347">
        <f>IF(L53&gt;M50,L53,M50)</f>
        <v>0</v>
      </c>
      <c r="N53" s="1347">
        <f>IF(J53&gt;N50,J53,N50)</f>
        <v>0</v>
      </c>
      <c r="P53" s="3514"/>
      <c r="Q53" s="3514"/>
      <c r="R53" s="3514"/>
      <c r="S53" s="3514"/>
      <c r="T53" s="3514"/>
      <c r="U53" s="1159" t="str">
        <f>IF(L87+100&lt;R46,"ja","nein")</f>
        <v>nein</v>
      </c>
      <c r="V53" s="1347">
        <f>IF(U53="ja",1,0)</f>
        <v>0</v>
      </c>
      <c r="AH53" s="1419"/>
      <c r="AI53" s="1429"/>
      <c r="AJ53" s="1886"/>
      <c r="AK53" s="1898"/>
      <c r="AL53" s="1913"/>
      <c r="AM53" s="1886"/>
      <c r="AN53" s="1886"/>
      <c r="AO53" s="1420"/>
      <c r="AT53" s="1921"/>
      <c r="AU53" s="1921"/>
      <c r="AY53" s="1881" t="s">
        <v>29806</v>
      </c>
      <c r="AZ53" s="1881" t="s">
        <v>869</v>
      </c>
    </row>
    <row r="54" spans="6:55" x14ac:dyDescent="0.2">
      <c r="N54" s="1863"/>
      <c r="P54" s="1135"/>
      <c r="Q54" s="1153"/>
      <c r="R54" s="1135"/>
      <c r="S54" s="1153"/>
      <c r="T54" s="1135"/>
      <c r="U54" s="1153"/>
      <c r="AH54" s="1419"/>
      <c r="AI54" s="1429"/>
      <c r="AJ54" s="1897" t="s">
        <v>29822</v>
      </c>
      <c r="AK54" s="1898">
        <f>AL54*AM54</f>
        <v>0</v>
      </c>
      <c r="AL54" s="1913">
        <f>20*137*1000*AU37</f>
        <v>2.3837999999999999</v>
      </c>
      <c r="AM54" s="1886">
        <f>(Checkliste!E60+Checkliste!E59+Checkliste!E58)/1000</f>
        <v>0</v>
      </c>
      <c r="AN54" s="1886"/>
      <c r="AO54" s="1420"/>
      <c r="AT54" s="1136">
        <f>VLOOKUP(1,AT49:AV53,3,FALSE)</f>
        <v>6</v>
      </c>
      <c r="AU54" s="1922" t="s">
        <v>29215</v>
      </c>
      <c r="AY54" s="1923" t="s">
        <v>29823</v>
      </c>
      <c r="AZ54" s="1920">
        <f>SUM(AY49:AZ52)</f>
        <v>3.7</v>
      </c>
    </row>
    <row r="55" spans="6:55" x14ac:dyDescent="0.2">
      <c r="F55" s="1894" t="s">
        <v>29824</v>
      </c>
      <c r="H55" s="1848" t="s">
        <v>68</v>
      </c>
      <c r="I55" s="1848"/>
      <c r="J55" s="1848" t="s">
        <v>67</v>
      </c>
      <c r="K55" s="1848"/>
      <c r="L55" s="1848" t="s">
        <v>69</v>
      </c>
      <c r="N55" s="1863"/>
      <c r="P55" s="3514" t="s">
        <v>29825</v>
      </c>
      <c r="Q55" s="3514"/>
      <c r="R55" s="3514"/>
      <c r="S55" s="3514"/>
      <c r="T55" s="3514"/>
      <c r="U55" s="1153"/>
      <c r="AH55" s="1419"/>
      <c r="AI55" s="1429"/>
      <c r="AJ55" s="1897" t="s">
        <v>29824</v>
      </c>
      <c r="AK55" s="1898">
        <f>IF(AM55&gt;0,AL55*AM55+BC49+AZ54+AT54,0)</f>
        <v>0</v>
      </c>
      <c r="AL55" s="1913">
        <v>8.9</v>
      </c>
      <c r="AM55" s="1886">
        <v>0</v>
      </c>
      <c r="AN55" s="1886"/>
      <c r="AO55" s="1420"/>
    </row>
    <row r="56" spans="6:55" x14ac:dyDescent="0.2">
      <c r="H56" s="1869">
        <f>Checkliste!I95</f>
        <v>0</v>
      </c>
      <c r="I56" s="1869" t="s">
        <v>537</v>
      </c>
      <c r="J56" s="1869">
        <f>IF(H56=0,0,200)</f>
        <v>0</v>
      </c>
      <c r="K56" s="1869" t="s">
        <v>537</v>
      </c>
      <c r="L56" s="1871">
        <v>0</v>
      </c>
      <c r="M56" s="1347">
        <f>IF(L56&gt;M53,L56,M53)</f>
        <v>0</v>
      </c>
      <c r="N56" s="1347">
        <f>IF(J56&gt;N53,J56,N53)</f>
        <v>0</v>
      </c>
      <c r="P56" s="3514"/>
      <c r="Q56" s="3514"/>
      <c r="R56" s="3514"/>
      <c r="S56" s="3514"/>
      <c r="T56" s="3514"/>
      <c r="U56" s="1159" t="str">
        <f>IF(J87&lt;P46,"ja","nein")</f>
        <v>nein</v>
      </c>
      <c r="V56" s="1347">
        <f>IF(U56="ja",1,0)</f>
        <v>0</v>
      </c>
      <c r="AH56" s="1419"/>
      <c r="AI56" s="1429"/>
      <c r="AJ56" s="1886"/>
      <c r="AK56" s="1898"/>
      <c r="AL56" s="1913"/>
      <c r="AM56" s="1886"/>
      <c r="AN56" s="1886"/>
      <c r="AO56" s="1420"/>
    </row>
    <row r="57" spans="6:55" x14ac:dyDescent="0.2">
      <c r="N57" s="1863"/>
      <c r="AH57" s="1419"/>
      <c r="AI57" s="1429"/>
      <c r="AJ57" s="1886"/>
      <c r="AK57" s="1898"/>
      <c r="AL57" s="1913"/>
      <c r="AM57" s="1886"/>
      <c r="AN57" s="1886"/>
      <c r="AO57" s="1420"/>
    </row>
    <row r="58" spans="6:55" ht="12.75" customHeight="1" x14ac:dyDescent="0.2">
      <c r="F58" s="1894" t="s">
        <v>29826</v>
      </c>
      <c r="H58" s="1848" t="s">
        <v>68</v>
      </c>
      <c r="I58" s="1848"/>
      <c r="J58" s="1848" t="s">
        <v>67</v>
      </c>
      <c r="K58" s="1848"/>
      <c r="L58" s="1848" t="s">
        <v>69</v>
      </c>
      <c r="N58" s="1863"/>
      <c r="P58" s="3514" t="s">
        <v>29827</v>
      </c>
      <c r="Q58" s="3514"/>
      <c r="R58" s="3514"/>
      <c r="S58" s="3514"/>
      <c r="T58" s="3514"/>
      <c r="U58" s="1153"/>
      <c r="AH58" s="1419"/>
      <c r="AI58" s="1429"/>
      <c r="AJ58" s="1897" t="s">
        <v>29826</v>
      </c>
      <c r="AK58" s="1898">
        <f>IF(AM58&gt;0,AL58*AM58+3,0)</f>
        <v>0</v>
      </c>
      <c r="AL58" s="1913">
        <f>Blechbearbeitung!G103*3*1000*Verpackungsberechnung!AU38</f>
        <v>0</v>
      </c>
      <c r="AM58" s="1886">
        <f>Blechbearbeitung!H103/1000</f>
        <v>0</v>
      </c>
      <c r="AN58" s="1886"/>
      <c r="AO58" s="1420"/>
    </row>
    <row r="59" spans="6:55" x14ac:dyDescent="0.2">
      <c r="H59" s="1869">
        <f>Checkliste!I81</f>
        <v>0</v>
      </c>
      <c r="I59" s="1869" t="s">
        <v>537</v>
      </c>
      <c r="J59" s="1869">
        <f>IF(H59=0,0,280)</f>
        <v>0</v>
      </c>
      <c r="K59" s="1869" t="s">
        <v>537</v>
      </c>
      <c r="L59" s="1871">
        <v>0</v>
      </c>
      <c r="M59" s="1347">
        <f>IF(L59&gt;M56,L59,M56)</f>
        <v>0</v>
      </c>
      <c r="N59" s="1347">
        <f>IF(J59&gt;N56,J59,N56)</f>
        <v>0</v>
      </c>
      <c r="P59" s="3514"/>
      <c r="Q59" s="3514"/>
      <c r="R59" s="3514"/>
      <c r="S59" s="3514"/>
      <c r="T59" s="3514"/>
      <c r="U59" s="1159" t="str">
        <f>IF(N44&gt;0,IF((P44-198)/1000*L38/1000&gt;L93/V62,"ja","nein"),IF(J35/1000*L35/1000&gt;L93/V62,"ja","nein"))</f>
        <v>nein</v>
      </c>
      <c r="V59" s="1347">
        <f>IF(U59="ja",1,0)</f>
        <v>0</v>
      </c>
      <c r="AH59" s="1419"/>
      <c r="AI59" s="1429"/>
      <c r="AJ59" s="1886"/>
      <c r="AK59" s="1898"/>
      <c r="AL59" s="1913"/>
      <c r="AM59" s="1886"/>
      <c r="AN59" s="1886"/>
      <c r="AO59" s="1420"/>
    </row>
    <row r="60" spans="6:55" x14ac:dyDescent="0.2">
      <c r="N60" s="1863"/>
      <c r="AH60" s="1419"/>
      <c r="AI60" s="1429"/>
      <c r="AJ60" s="1886"/>
      <c r="AK60" s="1898"/>
      <c r="AL60" s="1913"/>
      <c r="AM60" s="1886"/>
      <c r="AN60" s="1886"/>
      <c r="AO60" s="1420"/>
    </row>
    <row r="61" spans="6:55" ht="12.75" customHeight="1" x14ac:dyDescent="0.2">
      <c r="F61" s="1894" t="s">
        <v>10242</v>
      </c>
      <c r="H61" s="1848" t="s">
        <v>68</v>
      </c>
      <c r="I61" s="1848"/>
      <c r="J61" s="1848" t="s">
        <v>67</v>
      </c>
      <c r="K61" s="1848"/>
      <c r="L61" s="1848" t="s">
        <v>69</v>
      </c>
      <c r="N61" s="1863"/>
      <c r="P61" s="3514" t="s">
        <v>29828</v>
      </c>
      <c r="Q61" s="3514"/>
      <c r="R61" s="3514"/>
      <c r="S61" s="3514"/>
      <c r="T61" s="3514"/>
      <c r="U61" s="1153"/>
      <c r="AH61" s="1419"/>
      <c r="AI61" s="1429"/>
      <c r="AJ61" s="1897" t="s">
        <v>10242</v>
      </c>
      <c r="AK61" s="1898">
        <f>AL61*AM61</f>
        <v>0</v>
      </c>
      <c r="AL61" s="1913">
        <f>Blechbearbeitung!G45*1*1000*AU38</f>
        <v>0</v>
      </c>
      <c r="AM61" s="1886">
        <f>Blechbearbeitung!H45/1000</f>
        <v>0</v>
      </c>
      <c r="AN61" s="1886"/>
      <c r="AO61" s="1420"/>
    </row>
    <row r="62" spans="6:55" x14ac:dyDescent="0.2">
      <c r="H62" s="1869">
        <f>Checkliste!I82</f>
        <v>0</v>
      </c>
      <c r="I62" s="1869" t="s">
        <v>537</v>
      </c>
      <c r="J62" s="1869">
        <f>IF(H62=0,0,280)</f>
        <v>0</v>
      </c>
      <c r="K62" s="1869" t="s">
        <v>537</v>
      </c>
      <c r="L62" s="1871">
        <v>0</v>
      </c>
      <c r="M62" s="1347">
        <f>IF(L62&gt;M59,L62,M59)</f>
        <v>0</v>
      </c>
      <c r="N62" s="1347">
        <f>IF(J62&gt;N59,J62,N59)</f>
        <v>0</v>
      </c>
      <c r="P62" s="3514"/>
      <c r="Q62" s="3514"/>
      <c r="R62" s="3514"/>
      <c r="S62" s="3514"/>
      <c r="T62" s="3514"/>
      <c r="U62" s="1159" t="str">
        <f>IF(H35=1,"ja","nein")</f>
        <v>nein</v>
      </c>
      <c r="V62" s="1347">
        <f>IF(U62="ja",2,1)</f>
        <v>1</v>
      </c>
      <c r="AH62" s="1419"/>
      <c r="AI62" s="1429"/>
      <c r="AJ62" s="1886"/>
      <c r="AK62" s="1898"/>
      <c r="AL62" s="1913"/>
      <c r="AM62" s="1886"/>
      <c r="AN62" s="1886"/>
      <c r="AO62" s="1420"/>
    </row>
    <row r="63" spans="6:55" x14ac:dyDescent="0.2">
      <c r="N63" s="1863"/>
      <c r="AH63" s="1419"/>
      <c r="AI63" s="1429"/>
      <c r="AJ63" s="1886"/>
      <c r="AK63" s="1898"/>
      <c r="AL63" s="1913"/>
      <c r="AM63" s="1886"/>
      <c r="AN63" s="1886"/>
      <c r="AO63" s="1420"/>
    </row>
    <row r="64" spans="6:55" x14ac:dyDescent="0.2">
      <c r="F64" s="1894" t="s">
        <v>8321</v>
      </c>
      <c r="H64" s="1848" t="s">
        <v>68</v>
      </c>
      <c r="I64" s="1848"/>
      <c r="J64" s="1848" t="s">
        <v>67</v>
      </c>
      <c r="K64" s="1848"/>
      <c r="L64" s="1848" t="s">
        <v>69</v>
      </c>
      <c r="N64" s="1863"/>
      <c r="P64" s="3514" t="s">
        <v>29829</v>
      </c>
      <c r="Q64" s="3514"/>
      <c r="R64" s="3514"/>
      <c r="S64" s="3514"/>
      <c r="T64" s="3514"/>
      <c r="U64" s="1153"/>
      <c r="AH64" s="1419"/>
      <c r="AI64" s="1429"/>
      <c r="AJ64" s="1897" t="s">
        <v>8321</v>
      </c>
      <c r="AK64" s="1898">
        <f>AL64*AM64</f>
        <v>0</v>
      </c>
      <c r="AL64" s="1913">
        <f>612000*AU38</f>
        <v>4.8041999999999998</v>
      </c>
      <c r="AM64" s="1886">
        <v>0</v>
      </c>
      <c r="AN64" s="1886"/>
      <c r="AO64" s="1420"/>
    </row>
    <row r="65" spans="6:41" x14ac:dyDescent="0.2">
      <c r="H65" s="1869">
        <v>0</v>
      </c>
      <c r="I65" s="1869" t="s">
        <v>537</v>
      </c>
      <c r="J65" s="1869">
        <f>IF(H65=0,0,280)</f>
        <v>0</v>
      </c>
      <c r="K65" s="1869" t="s">
        <v>537</v>
      </c>
      <c r="L65" s="1871">
        <v>0</v>
      </c>
      <c r="M65" s="1347">
        <f>IF(L65&gt;M62,L65,M62)</f>
        <v>0</v>
      </c>
      <c r="N65" s="1347">
        <f>IF(J65&gt;N62,J65,N62)</f>
        <v>0</v>
      </c>
      <c r="P65" s="3514"/>
      <c r="Q65" s="3514"/>
      <c r="R65" s="3514"/>
      <c r="S65" s="3514"/>
      <c r="T65" s="3514"/>
      <c r="U65" s="1159" t="str">
        <f>IF(L87+100-400&gt;R46,"nein","ja")</f>
        <v>ja</v>
      </c>
      <c r="V65" s="1347">
        <f>IF(U65="ja",1,0)</f>
        <v>1</v>
      </c>
      <c r="AH65" s="1419"/>
      <c r="AI65" s="1429"/>
      <c r="AJ65" s="1886"/>
      <c r="AK65" s="1898"/>
      <c r="AL65" s="1913"/>
      <c r="AM65" s="1886"/>
      <c r="AN65" s="1886"/>
      <c r="AO65" s="1420"/>
    </row>
    <row r="66" spans="6:41" x14ac:dyDescent="0.2">
      <c r="N66" s="1863"/>
      <c r="AH66" s="1419"/>
      <c r="AI66" s="1429"/>
      <c r="AJ66" s="1886"/>
      <c r="AK66" s="1898"/>
      <c r="AL66" s="1913"/>
      <c r="AM66" s="1886"/>
      <c r="AN66" s="1886"/>
      <c r="AO66" s="1420"/>
    </row>
    <row r="67" spans="6:41" ht="12.75" customHeight="1" x14ac:dyDescent="0.2">
      <c r="F67" s="1894" t="s">
        <v>29830</v>
      </c>
      <c r="H67" s="1848" t="s">
        <v>68</v>
      </c>
      <c r="I67" s="1848"/>
      <c r="J67" s="1848" t="s">
        <v>67</v>
      </c>
      <c r="K67" s="1848"/>
      <c r="L67" s="1848" t="s">
        <v>69</v>
      </c>
      <c r="N67" s="1863"/>
      <c r="P67" s="3514" t="s">
        <v>29831</v>
      </c>
      <c r="Q67" s="3514"/>
      <c r="R67" s="3514"/>
      <c r="S67" s="3514"/>
      <c r="T67" s="3514"/>
      <c r="AH67" s="1419"/>
      <c r="AI67" s="1429"/>
      <c r="AJ67" s="1897" t="s">
        <v>29830</v>
      </c>
      <c r="AK67" s="1898">
        <v>0</v>
      </c>
      <c r="AL67" s="1913">
        <v>8.0399999999999991</v>
      </c>
      <c r="AM67" s="1886">
        <v>0</v>
      </c>
      <c r="AN67" s="1886"/>
      <c r="AO67" s="1420"/>
    </row>
    <row r="68" spans="6:41" ht="12.75" customHeight="1" x14ac:dyDescent="0.2">
      <c r="H68" s="1924"/>
      <c r="I68" s="1869" t="s">
        <v>537</v>
      </c>
      <c r="J68" s="1924"/>
      <c r="K68" s="1869" t="s">
        <v>537</v>
      </c>
      <c r="L68" s="1924"/>
      <c r="M68" s="1347">
        <f>IF(L68&gt;M65,L68,M65)</f>
        <v>0</v>
      </c>
      <c r="N68" s="1347">
        <f>IF(J68&gt;N65,J68,N65)</f>
        <v>0</v>
      </c>
      <c r="P68" s="3514"/>
      <c r="Q68" s="3514"/>
      <c r="R68" s="3514"/>
      <c r="S68" s="3514"/>
      <c r="T68" s="3514"/>
      <c r="U68" s="1159">
        <f>L87+100-R35</f>
        <v>392</v>
      </c>
      <c r="V68" s="1347">
        <f>IF(AND(V53=0,V65=1),1,0)</f>
        <v>1</v>
      </c>
      <c r="AH68" s="1419"/>
      <c r="AI68" s="1429"/>
      <c r="AJ68" s="1886"/>
      <c r="AK68" s="1898"/>
      <c r="AL68" s="1913"/>
      <c r="AM68" s="1886"/>
      <c r="AN68" s="1886"/>
      <c r="AO68" s="1420"/>
    </row>
    <row r="69" spans="6:41" x14ac:dyDescent="0.2">
      <c r="H69" s="1848"/>
      <c r="I69" s="1347"/>
      <c r="K69" s="1347"/>
      <c r="N69" s="1863"/>
      <c r="P69" s="1925"/>
      <c r="Q69" s="1925"/>
      <c r="R69" s="1925"/>
      <c r="S69" s="1925"/>
      <c r="T69" s="1925"/>
      <c r="AH69" s="1419"/>
      <c r="AI69" s="1429"/>
      <c r="AJ69" s="1886"/>
      <c r="AK69" s="1898"/>
      <c r="AL69" s="1913"/>
      <c r="AM69" s="1886"/>
      <c r="AN69" s="1886"/>
      <c r="AO69" s="1420"/>
    </row>
    <row r="70" spans="6:41" x14ac:dyDescent="0.2">
      <c r="F70" s="1894" t="s">
        <v>29832</v>
      </c>
      <c r="H70" s="1848" t="s">
        <v>68</v>
      </c>
      <c r="I70" s="1848"/>
      <c r="J70" s="1848" t="s">
        <v>67</v>
      </c>
      <c r="K70" s="1848"/>
      <c r="L70" s="1848" t="s">
        <v>69</v>
      </c>
      <c r="N70" s="1863"/>
      <c r="AH70" s="1419"/>
      <c r="AI70" s="1429"/>
      <c r="AJ70" s="1897" t="s">
        <v>29832</v>
      </c>
      <c r="AK70" s="1898">
        <f>AL70*AM70</f>
        <v>0</v>
      </c>
      <c r="AL70" s="1913">
        <f>155*20*1000*AU37</f>
        <v>2.6970000000000001</v>
      </c>
      <c r="AM70" s="1886">
        <v>0</v>
      </c>
      <c r="AN70" s="1886"/>
      <c r="AO70" s="1420"/>
    </row>
    <row r="71" spans="6:41" x14ac:dyDescent="0.2">
      <c r="H71" s="1869">
        <v>0</v>
      </c>
      <c r="I71" s="1869" t="s">
        <v>537</v>
      </c>
      <c r="J71" s="1869">
        <f>IF(H71=0,0,160)</f>
        <v>0</v>
      </c>
      <c r="K71" s="1869" t="s">
        <v>537</v>
      </c>
      <c r="L71" s="1869">
        <v>0</v>
      </c>
      <c r="M71" s="1347">
        <f>IF(L71&gt;M68,L71,M68)</f>
        <v>0</v>
      </c>
      <c r="N71" s="1347">
        <f>IF(J71&gt;N68,J71,N68)</f>
        <v>0</v>
      </c>
      <c r="AH71" s="1419"/>
      <c r="AI71" s="1429"/>
      <c r="AJ71" s="1886"/>
      <c r="AK71" s="1898"/>
      <c r="AL71" s="1913"/>
      <c r="AM71" s="1886"/>
      <c r="AN71" s="1886"/>
      <c r="AO71" s="1420"/>
    </row>
    <row r="72" spans="6:41" x14ac:dyDescent="0.2">
      <c r="H72" s="1848"/>
      <c r="I72" s="1347"/>
      <c r="K72" s="1347"/>
      <c r="N72" s="1863"/>
      <c r="AH72" s="1419"/>
      <c r="AI72" s="1429"/>
      <c r="AJ72" s="1886"/>
      <c r="AK72" s="1898"/>
      <c r="AL72" s="1913"/>
      <c r="AM72" s="1886"/>
      <c r="AN72" s="1886"/>
      <c r="AO72" s="1420"/>
    </row>
    <row r="73" spans="6:41" x14ac:dyDescent="0.2">
      <c r="F73" s="1926" t="s">
        <v>29833</v>
      </c>
      <c r="H73" s="1848" t="s">
        <v>68</v>
      </c>
      <c r="I73" s="1848"/>
      <c r="J73" s="1848" t="s">
        <v>67</v>
      </c>
      <c r="K73" s="1848"/>
      <c r="L73" s="1848" t="s">
        <v>69</v>
      </c>
      <c r="N73" s="1863"/>
      <c r="AH73" s="1419"/>
      <c r="AI73" s="1429"/>
      <c r="AJ73" s="1927" t="s">
        <v>29833</v>
      </c>
      <c r="AK73" s="1898">
        <v>0</v>
      </c>
      <c r="AL73" s="1913"/>
      <c r="AM73" s="1886">
        <v>0</v>
      </c>
      <c r="AN73" s="1886"/>
      <c r="AO73" s="1420"/>
    </row>
    <row r="74" spans="6:41" x14ac:dyDescent="0.2">
      <c r="H74" s="1924"/>
      <c r="I74" s="1869" t="s">
        <v>537</v>
      </c>
      <c r="J74" s="1924"/>
      <c r="K74" s="1869" t="s">
        <v>537</v>
      </c>
      <c r="L74" s="1924"/>
      <c r="M74" s="1347">
        <f>IF(L74&gt;M71,L74,M71)</f>
        <v>0</v>
      </c>
      <c r="N74" s="1347">
        <f>IF(J74&gt;N71,J74,N71)</f>
        <v>0</v>
      </c>
      <c r="AH74" s="1419"/>
      <c r="AI74" s="1429"/>
      <c r="AJ74" s="1886"/>
      <c r="AK74" s="1898"/>
      <c r="AL74" s="1913"/>
      <c r="AM74" s="1886"/>
      <c r="AN74" s="1886"/>
      <c r="AO74" s="1420"/>
    </row>
    <row r="75" spans="6:41" x14ac:dyDescent="0.2">
      <c r="H75" s="1924"/>
      <c r="I75" s="1869" t="s">
        <v>537</v>
      </c>
      <c r="J75" s="1924"/>
      <c r="K75" s="1869" t="s">
        <v>537</v>
      </c>
      <c r="L75" s="1924"/>
      <c r="M75" s="1347">
        <f>IF(L75&gt;M74,L75,M74)</f>
        <v>0</v>
      </c>
      <c r="N75" s="1347">
        <f>IF(J75&gt;N74,J75,N74)</f>
        <v>0</v>
      </c>
      <c r="AH75" s="1419"/>
      <c r="AI75" s="1429"/>
      <c r="AJ75" s="1886"/>
      <c r="AK75" s="1898"/>
      <c r="AL75" s="1913"/>
      <c r="AM75" s="1886"/>
      <c r="AN75" s="1886"/>
      <c r="AO75" s="1420"/>
    </row>
    <row r="76" spans="6:41" x14ac:dyDescent="0.2">
      <c r="N76" s="1863"/>
      <c r="AH76" s="1419"/>
      <c r="AI76" s="1429"/>
      <c r="AJ76" s="1886"/>
      <c r="AK76" s="1898"/>
      <c r="AL76" s="1913"/>
      <c r="AM76" s="1886"/>
      <c r="AN76" s="1886"/>
      <c r="AO76" s="1420"/>
    </row>
    <row r="77" spans="6:41" x14ac:dyDescent="0.2">
      <c r="F77" s="1894" t="s">
        <v>29834</v>
      </c>
      <c r="H77" s="1848" t="s">
        <v>68</v>
      </c>
      <c r="I77" s="1848"/>
      <c r="J77" s="1848" t="s">
        <v>67</v>
      </c>
      <c r="K77" s="1848"/>
      <c r="L77" s="1848" t="s">
        <v>69</v>
      </c>
      <c r="N77" s="1863"/>
      <c r="AH77" s="1419"/>
      <c r="AI77" s="1429"/>
      <c r="AJ77" s="1897" t="s">
        <v>29834</v>
      </c>
      <c r="AK77" s="1898">
        <f>AL77*AM77</f>
        <v>0.61430960000000001</v>
      </c>
      <c r="AL77" s="1913">
        <v>1.0519000000000001</v>
      </c>
      <c r="AM77" s="1886">
        <v>0.58399999999999996</v>
      </c>
      <c r="AN77" s="1886"/>
      <c r="AO77" s="1420"/>
    </row>
    <row r="78" spans="6:41" x14ac:dyDescent="0.2">
      <c r="H78" s="1871">
        <v>1</v>
      </c>
      <c r="I78" s="1869" t="s">
        <v>537</v>
      </c>
      <c r="J78" s="1869">
        <f>IF(H78=0,0,50)</f>
        <v>50</v>
      </c>
      <c r="K78" s="1869" t="s">
        <v>537</v>
      </c>
      <c r="L78" s="1871">
        <v>292</v>
      </c>
      <c r="M78" s="1347">
        <f>IF(L78&gt;M75,L78,M75)</f>
        <v>292</v>
      </c>
      <c r="N78" s="1347">
        <f>IF(J78&gt;N75,J78,N75)</f>
        <v>50</v>
      </c>
      <c r="AH78" s="1419"/>
      <c r="AI78" s="1429"/>
      <c r="AJ78" s="1886"/>
      <c r="AK78" s="1898"/>
      <c r="AL78" s="1913"/>
      <c r="AM78" s="1886"/>
      <c r="AN78" s="1886"/>
      <c r="AO78" s="1420"/>
    </row>
    <row r="79" spans="6:41" x14ac:dyDescent="0.2">
      <c r="H79" s="1871">
        <v>1</v>
      </c>
      <c r="I79" s="1869" t="s">
        <v>537</v>
      </c>
      <c r="J79" s="1869">
        <f>IF(H79=0,0,50)</f>
        <v>50</v>
      </c>
      <c r="K79" s="1869" t="s">
        <v>537</v>
      </c>
      <c r="L79" s="1871">
        <v>292</v>
      </c>
      <c r="M79" s="1347">
        <f>IF(L79&gt;M78,L79,M78)</f>
        <v>292</v>
      </c>
      <c r="N79" s="1347">
        <f>IF(J79&gt;N78,J79,N78)</f>
        <v>50</v>
      </c>
      <c r="AH79" s="1419"/>
      <c r="AI79" s="1429"/>
      <c r="AJ79" s="1886"/>
      <c r="AK79" s="1898"/>
      <c r="AL79" s="1913"/>
      <c r="AM79" s="1886"/>
      <c r="AN79" s="1886"/>
      <c r="AO79" s="1420"/>
    </row>
    <row r="80" spans="6:41" x14ac:dyDescent="0.2">
      <c r="N80" s="1863"/>
      <c r="AH80" s="1419"/>
      <c r="AI80" s="1429"/>
      <c r="AJ80" s="1886"/>
      <c r="AK80" s="1898"/>
      <c r="AL80" s="1913"/>
      <c r="AM80" s="1886"/>
      <c r="AN80" s="1886"/>
      <c r="AO80" s="1420"/>
    </row>
    <row r="81" spans="2:43" x14ac:dyDescent="0.2">
      <c r="F81" s="1894" t="s">
        <v>29835</v>
      </c>
      <c r="H81" s="1848" t="s">
        <v>68</v>
      </c>
      <c r="I81" s="1848"/>
      <c r="J81" s="1848" t="s">
        <v>67</v>
      </c>
      <c r="K81" s="1848"/>
      <c r="L81" s="1848" t="s">
        <v>69</v>
      </c>
      <c r="N81" s="1863"/>
      <c r="AH81" s="1419"/>
      <c r="AI81" s="1429"/>
      <c r="AJ81" s="1897" t="s">
        <v>29835</v>
      </c>
      <c r="AK81" s="1898"/>
      <c r="AL81" s="1913"/>
      <c r="AM81" s="1886"/>
      <c r="AN81" s="1886"/>
      <c r="AO81" s="1420"/>
    </row>
    <row r="82" spans="2:43" ht="15.75" customHeight="1" x14ac:dyDescent="0.2">
      <c r="F82" s="1928" t="s">
        <v>29836</v>
      </c>
      <c r="H82" s="1929"/>
      <c r="I82" s="1869" t="s">
        <v>537</v>
      </c>
      <c r="J82" s="1929"/>
      <c r="K82" s="1869" t="s">
        <v>537</v>
      </c>
      <c r="L82" s="1929"/>
      <c r="M82" s="1347">
        <f>IF(L82&gt;M79,L82,M79)</f>
        <v>292</v>
      </c>
      <c r="N82" s="1347">
        <f>IF(J82&gt;N79,J82,N79)</f>
        <v>50</v>
      </c>
      <c r="AH82" s="1419"/>
      <c r="AI82" s="3515" t="s">
        <v>29836</v>
      </c>
      <c r="AJ82" s="3515"/>
      <c r="AK82" s="1898"/>
      <c r="AL82" s="1913"/>
      <c r="AM82" s="1886"/>
      <c r="AN82" s="1886"/>
      <c r="AO82" s="1420"/>
    </row>
    <row r="83" spans="2:43" x14ac:dyDescent="0.2">
      <c r="H83" s="1929"/>
      <c r="I83" s="1869" t="s">
        <v>537</v>
      </c>
      <c r="J83" s="1929"/>
      <c r="K83" s="1869" t="s">
        <v>537</v>
      </c>
      <c r="L83" s="1929"/>
      <c r="M83" s="1347">
        <f>IF(L83&gt;M82,L83,M82)</f>
        <v>292</v>
      </c>
      <c r="N83" s="1347">
        <f>IF(J83&gt;N82,J83,N82)</f>
        <v>50</v>
      </c>
      <c r="AH83" s="1419"/>
      <c r="AI83" s="3515"/>
      <c r="AJ83" s="3515"/>
      <c r="AK83" s="1898"/>
      <c r="AL83" s="1913"/>
      <c r="AM83" s="1886"/>
      <c r="AN83" s="1886"/>
      <c r="AO83" s="1420"/>
    </row>
    <row r="84" spans="2:43" x14ac:dyDescent="0.2">
      <c r="H84" s="1929"/>
      <c r="I84" s="1869" t="s">
        <v>537</v>
      </c>
      <c r="J84" s="1929"/>
      <c r="K84" s="1869" t="s">
        <v>537</v>
      </c>
      <c r="L84" s="1929"/>
      <c r="M84" s="1347">
        <f>IF(L84&gt;M83,L84,M83)</f>
        <v>292</v>
      </c>
      <c r="N84" s="1347">
        <f>IF(J84&gt;N83,J84,N83)</f>
        <v>50</v>
      </c>
      <c r="AH84" s="1419"/>
      <c r="AI84" s="1930"/>
      <c r="AJ84" s="1930"/>
      <c r="AK84" s="1898"/>
      <c r="AL84" s="1913"/>
      <c r="AM84" s="1886"/>
      <c r="AN84" s="1886"/>
      <c r="AO84" s="1420"/>
    </row>
    <row r="85" spans="2:43" x14ac:dyDescent="0.2">
      <c r="H85" s="1929"/>
      <c r="I85" s="1869" t="s">
        <v>537</v>
      </c>
      <c r="J85" s="1929"/>
      <c r="K85" s="1869" t="s">
        <v>537</v>
      </c>
      <c r="L85" s="1929"/>
      <c r="AH85" s="1424"/>
      <c r="AI85" s="1452"/>
      <c r="AJ85" s="1907"/>
      <c r="AK85" s="1931"/>
      <c r="AL85" s="1932"/>
      <c r="AM85" s="1907"/>
      <c r="AN85" s="1907"/>
      <c r="AO85" s="1427"/>
    </row>
    <row r="86" spans="2:43" x14ac:dyDescent="0.2">
      <c r="H86" s="1848" t="s">
        <v>29837</v>
      </c>
      <c r="I86" s="1866"/>
      <c r="J86" s="1866" t="s">
        <v>29811</v>
      </c>
      <c r="K86" s="1866"/>
      <c r="L86" s="1848" t="s">
        <v>29810</v>
      </c>
      <c r="N86" s="1848" t="s">
        <v>68</v>
      </c>
      <c r="O86" s="1848"/>
      <c r="P86" s="1848" t="s">
        <v>67</v>
      </c>
      <c r="Q86" s="1848"/>
      <c r="R86" s="1848" t="s">
        <v>69</v>
      </c>
      <c r="S86" s="1848"/>
      <c r="T86" s="1848" t="s">
        <v>544</v>
      </c>
      <c r="U86" s="1848" t="s">
        <v>543</v>
      </c>
      <c r="AJ86" s="1876" t="s">
        <v>27658</v>
      </c>
      <c r="AK86" s="1933">
        <f>ROUNDUP(SUM(AK49:AK85),0)</f>
        <v>3</v>
      </c>
      <c r="AL86" s="1881" t="s">
        <v>29215</v>
      </c>
    </row>
    <row r="87" spans="2:43" x14ac:dyDescent="0.2">
      <c r="H87" s="1871">
        <f>H50+H53+H56+H59+H62+H65+H68+H71+H74+H75+H78+H79+H82+H83+H84+H85</f>
        <v>2</v>
      </c>
      <c r="I87" s="1866"/>
      <c r="J87" s="1869">
        <f>IF(J85&gt;N84,J85,N84)</f>
        <v>50</v>
      </c>
      <c r="K87" s="1866"/>
      <c r="L87" s="1869">
        <f>IF(L85&gt;M84,L85,M84)</f>
        <v>292</v>
      </c>
      <c r="M87" s="1347" t="s">
        <v>29785</v>
      </c>
      <c r="N87" s="1869">
        <f>IF(OR(V50+V53=2,V65+V50=2),0,1)</f>
        <v>1</v>
      </c>
      <c r="O87" s="1869" t="s">
        <v>537</v>
      </c>
      <c r="P87" s="1869">
        <f>IF(N87=0,0,IF(J87&lt;400,400,J87+100))</f>
        <v>400</v>
      </c>
      <c r="Q87" s="1869" t="s">
        <v>537</v>
      </c>
      <c r="R87" s="1869">
        <f>IF(N87=0,0,L87+100)</f>
        <v>392</v>
      </c>
      <c r="S87" s="1870"/>
      <c r="T87" s="1869" t="str">
        <f>IF(N87=0,0,U12)</f>
        <v>Standardpalette</v>
      </c>
      <c r="U87" s="1868" t="str">
        <f>IF(T87=$U$12,$V$12,IF(T87=$U$13,$V$13,0))</f>
        <v>7104081</v>
      </c>
      <c r="AJ87" s="1347"/>
    </row>
    <row r="88" spans="2:43" x14ac:dyDescent="0.2">
      <c r="H88" s="1866"/>
      <c r="I88" s="1866"/>
      <c r="J88" s="1866"/>
      <c r="K88" s="1866"/>
      <c r="L88" s="1866"/>
      <c r="N88" s="1866"/>
      <c r="O88" s="1866"/>
      <c r="P88" s="1866"/>
      <c r="Q88" s="1866"/>
      <c r="R88" s="1866"/>
      <c r="S88" s="1866"/>
      <c r="T88" s="1866"/>
      <c r="AJ88" s="1347"/>
    </row>
    <row r="89" spans="2:43" x14ac:dyDescent="0.2">
      <c r="S89" s="1429"/>
      <c r="AJ89" s="1347"/>
    </row>
    <row r="90" spans="2:43" x14ac:dyDescent="0.2">
      <c r="S90" s="1429"/>
      <c r="AJ90" s="1347"/>
    </row>
    <row r="91" spans="2:43" x14ac:dyDescent="0.2">
      <c r="B91" s="1446" t="s">
        <v>29838</v>
      </c>
      <c r="S91" s="1429"/>
      <c r="AJ91" s="1347"/>
    </row>
    <row r="92" spans="2:43" x14ac:dyDescent="0.2">
      <c r="H92" s="1848" t="s">
        <v>68</v>
      </c>
      <c r="I92" s="1848"/>
      <c r="J92" s="1848" t="s">
        <v>29783</v>
      </c>
      <c r="L92" s="1848" t="s">
        <v>28167</v>
      </c>
      <c r="S92" s="1429"/>
      <c r="AH92" s="1416"/>
      <c r="AI92" s="1417"/>
      <c r="AJ92" s="1909"/>
      <c r="AK92" s="1893" t="s">
        <v>29783</v>
      </c>
      <c r="AL92" s="1416"/>
      <c r="AM92" s="1417"/>
      <c r="AN92" s="1417"/>
      <c r="AO92" s="1418"/>
    </row>
    <row r="93" spans="2:43" x14ac:dyDescent="0.2">
      <c r="F93" s="1894" t="s">
        <v>29839</v>
      </c>
      <c r="H93" s="1887">
        <v>0</v>
      </c>
      <c r="I93" s="1869" t="s">
        <v>537</v>
      </c>
      <c r="J93" s="1869"/>
      <c r="L93" s="1934">
        <v>0</v>
      </c>
      <c r="S93" s="1429"/>
      <c r="AH93" s="1419"/>
      <c r="AI93" s="1429"/>
      <c r="AJ93" s="1897" t="s">
        <v>29839</v>
      </c>
      <c r="AK93" s="1420">
        <v>0</v>
      </c>
      <c r="AL93" s="1881" t="s">
        <v>29797</v>
      </c>
      <c r="AO93" s="1935">
        <v>11.625</v>
      </c>
    </row>
    <row r="94" spans="2:43" x14ac:dyDescent="0.2">
      <c r="F94" s="1894"/>
      <c r="H94" s="1866"/>
      <c r="I94" s="1866"/>
      <c r="J94" s="1866"/>
      <c r="L94" s="1866"/>
      <c r="S94" s="1429"/>
      <c r="AH94" s="1419"/>
      <c r="AI94" s="1429"/>
      <c r="AJ94" s="1897"/>
      <c r="AK94" s="1429"/>
      <c r="AL94" s="1419"/>
      <c r="AM94" s="1429"/>
      <c r="AN94" s="1429"/>
      <c r="AO94" s="1420"/>
    </row>
    <row r="95" spans="2:43" x14ac:dyDescent="0.2">
      <c r="H95" s="1848" t="s">
        <v>68</v>
      </c>
      <c r="I95" s="1848"/>
      <c r="J95" s="1848" t="s">
        <v>29783</v>
      </c>
      <c r="S95" s="1429"/>
      <c r="AH95" s="1419"/>
      <c r="AI95" s="1429"/>
      <c r="AJ95" s="1886"/>
      <c r="AK95" s="1429"/>
      <c r="AL95" s="1419"/>
      <c r="AM95" s="1429"/>
      <c r="AN95" s="1879" t="s">
        <v>29840</v>
      </c>
      <c r="AO95" s="1936" t="s">
        <v>29841</v>
      </c>
    </row>
    <row r="96" spans="2:43" x14ac:dyDescent="0.2">
      <c r="F96" s="1894" t="s">
        <v>29842</v>
      </c>
      <c r="H96" s="1869"/>
      <c r="I96" s="1869" t="s">
        <v>537</v>
      </c>
      <c r="J96" s="1869"/>
      <c r="S96" s="1429"/>
      <c r="AH96" s="1419"/>
      <c r="AI96" s="1429"/>
      <c r="AJ96" s="1897" t="s">
        <v>29842</v>
      </c>
      <c r="AK96" s="1420">
        <v>0</v>
      </c>
      <c r="AL96" s="1879" t="s">
        <v>29843</v>
      </c>
      <c r="AM96" s="1429"/>
      <c r="AN96" s="1429">
        <v>5.68</v>
      </c>
      <c r="AO96" s="1429">
        <v>4.2300000000000004</v>
      </c>
      <c r="AP96" s="1419"/>
      <c r="AQ96" s="1429"/>
    </row>
    <row r="97" spans="6:48" x14ac:dyDescent="0.2">
      <c r="F97" s="1894"/>
      <c r="S97" s="1429"/>
      <c r="AH97" s="1419"/>
      <c r="AI97" s="1429"/>
      <c r="AJ97" s="1897"/>
      <c r="AK97" s="1420"/>
      <c r="AL97" s="1879" t="s">
        <v>29844</v>
      </c>
      <c r="AM97" s="1429"/>
      <c r="AN97" s="1429">
        <v>9.4700000000000006</v>
      </c>
      <c r="AO97" s="1429">
        <v>6.13</v>
      </c>
      <c r="AP97" s="1419"/>
      <c r="AQ97" s="1429"/>
    </row>
    <row r="98" spans="6:48" x14ac:dyDescent="0.2">
      <c r="F98" s="1894"/>
      <c r="H98" s="1848" t="s">
        <v>68</v>
      </c>
      <c r="I98" s="1848"/>
      <c r="J98" s="1848" t="s">
        <v>29783</v>
      </c>
      <c r="S98" s="1429"/>
      <c r="AH98" s="1419"/>
      <c r="AI98" s="1429"/>
      <c r="AJ98" s="1897"/>
      <c r="AK98" s="1429"/>
      <c r="AL98" s="1419"/>
      <c r="AM98" s="1429"/>
      <c r="AN98" s="1429"/>
      <c r="AO98" s="1420"/>
    </row>
    <row r="99" spans="6:48" x14ac:dyDescent="0.2">
      <c r="F99" s="1894" t="s">
        <v>29845</v>
      </c>
      <c r="H99" s="1869"/>
      <c r="I99" s="1869" t="s">
        <v>537</v>
      </c>
      <c r="J99" s="1869"/>
      <c r="S99" s="1429"/>
      <c r="AH99" s="1419"/>
      <c r="AI99" s="1429"/>
      <c r="AJ99" s="1897" t="s">
        <v>29845</v>
      </c>
      <c r="AK99" s="1429">
        <v>0</v>
      </c>
      <c r="AL99" s="1419"/>
      <c r="AM99" s="1429"/>
      <c r="AN99" s="1429"/>
      <c r="AO99" s="1420"/>
    </row>
    <row r="100" spans="6:48" x14ac:dyDescent="0.2">
      <c r="F100" s="1894"/>
      <c r="H100" s="1866"/>
      <c r="I100" s="1866"/>
      <c r="J100" s="1866"/>
      <c r="S100" s="1429"/>
      <c r="AH100" s="1419"/>
      <c r="AI100" s="1429"/>
      <c r="AJ100" s="1897"/>
      <c r="AK100" s="1429"/>
      <c r="AL100" s="1419"/>
      <c r="AM100" s="1429"/>
      <c r="AN100" s="1429"/>
      <c r="AO100" s="1420"/>
      <c r="AT100" s="1136" t="s">
        <v>29846</v>
      </c>
      <c r="AV100" s="1136">
        <v>0.41140000000000004</v>
      </c>
    </row>
    <row r="101" spans="6:48" x14ac:dyDescent="0.2">
      <c r="F101" s="1894"/>
      <c r="H101" s="1848" t="s">
        <v>68</v>
      </c>
      <c r="I101" s="1848"/>
      <c r="J101" s="1848" t="s">
        <v>29783</v>
      </c>
      <c r="N101" s="1848" t="s">
        <v>68</v>
      </c>
      <c r="O101" s="1848"/>
      <c r="P101" s="1848" t="s">
        <v>67</v>
      </c>
      <c r="Q101" s="1848"/>
      <c r="R101" s="1848" t="s">
        <v>69</v>
      </c>
      <c r="S101" s="1866"/>
      <c r="T101" s="1848" t="s">
        <v>544</v>
      </c>
      <c r="U101" s="1848" t="s">
        <v>543</v>
      </c>
      <c r="AH101" s="1419"/>
      <c r="AI101" s="1429"/>
      <c r="AJ101" s="1897"/>
      <c r="AK101" s="1429"/>
      <c r="AL101" s="1419"/>
      <c r="AM101" s="1429"/>
      <c r="AN101" s="1429"/>
      <c r="AO101" s="1420"/>
      <c r="AT101" s="1136" t="s">
        <v>29847</v>
      </c>
    </row>
    <row r="102" spans="6:48" x14ac:dyDescent="0.2">
      <c r="F102" s="1894" t="s">
        <v>29848</v>
      </c>
      <c r="H102" s="1869"/>
      <c r="I102" s="1869" t="s">
        <v>537</v>
      </c>
      <c r="J102" s="1869"/>
      <c r="M102" s="1347" t="s">
        <v>29785</v>
      </c>
      <c r="N102" s="1869">
        <f>IF(V59=0,1,0)</f>
        <v>1</v>
      </c>
      <c r="O102" s="1869" t="s">
        <v>537</v>
      </c>
      <c r="P102" s="1869">
        <f>IF(N102=0,0,900)</f>
        <v>900</v>
      </c>
      <c r="Q102" s="1869" t="s">
        <v>537</v>
      </c>
      <c r="R102" s="1869">
        <f>IF(N102=0,0,1300)</f>
        <v>1300</v>
      </c>
      <c r="S102" s="1870"/>
      <c r="T102" s="1869" t="str">
        <f>IF(N102&gt;0,U17,0)</f>
        <v>Zusatzpalette (EP2)</v>
      </c>
      <c r="U102" s="1869" t="str">
        <f>IF(T102=U17,V17,0)</f>
        <v>7104044</v>
      </c>
      <c r="W102" s="1136">
        <f>CEILING(L93/(((P102-100)/1000)*((R102-100)/1000))*150+200,50)</f>
        <v>200</v>
      </c>
      <c r="AH102" s="1419"/>
      <c r="AI102" s="1429"/>
      <c r="AJ102" s="1897" t="s">
        <v>29848</v>
      </c>
      <c r="AK102" s="1429">
        <f>SUM(AV101:AV102)</f>
        <v>0</v>
      </c>
      <c r="AL102" s="1419"/>
      <c r="AM102" s="1429"/>
      <c r="AN102" s="1429"/>
      <c r="AO102" s="1420"/>
      <c r="AT102" s="1136" t="s">
        <v>29849</v>
      </c>
    </row>
    <row r="103" spans="6:48" x14ac:dyDescent="0.2">
      <c r="AH103" s="1419"/>
      <c r="AI103" s="1429"/>
      <c r="AJ103" s="1429"/>
      <c r="AK103" s="1429"/>
      <c r="AL103" s="1419"/>
      <c r="AM103" s="1429"/>
      <c r="AN103" s="1429"/>
      <c r="AO103" s="1420"/>
      <c r="AT103" s="1136" t="s">
        <v>29850</v>
      </c>
      <c r="AV103" s="1136">
        <v>0</v>
      </c>
    </row>
    <row r="104" spans="6:48" x14ac:dyDescent="0.2">
      <c r="AH104" s="1419"/>
      <c r="AI104" s="1429"/>
      <c r="AJ104" s="1897" t="s">
        <v>29850</v>
      </c>
      <c r="AK104" s="1429">
        <f>AV103</f>
        <v>0</v>
      </c>
      <c r="AL104" s="1419"/>
      <c r="AM104" s="1429"/>
      <c r="AN104" s="1429"/>
      <c r="AO104" s="1420"/>
    </row>
    <row r="105" spans="6:48" x14ac:dyDescent="0.2">
      <c r="H105" s="1849" t="s">
        <v>29851</v>
      </c>
      <c r="J105" s="1937">
        <f>J93+J96+J99+J102</f>
        <v>0</v>
      </c>
      <c r="AH105" s="1424"/>
      <c r="AI105" s="1452"/>
      <c r="AJ105" s="1938"/>
      <c r="AK105" s="1427"/>
      <c r="AL105" s="1424"/>
      <c r="AM105" s="1452"/>
      <c r="AN105" s="1452"/>
      <c r="AO105" s="1427"/>
    </row>
    <row r="106" spans="6:48" x14ac:dyDescent="0.2">
      <c r="AJ106" s="1876" t="s">
        <v>29852</v>
      </c>
      <c r="AK106" s="1136">
        <f>ROUNDUP(SUM(AK93:AK104),0)</f>
        <v>0</v>
      </c>
      <c r="AL106" s="1864" t="s">
        <v>29215</v>
      </c>
    </row>
    <row r="110" spans="6:48" x14ac:dyDescent="0.2">
      <c r="AJ110" s="1938" t="s">
        <v>28169</v>
      </c>
      <c r="AK110" s="1427">
        <f>SUM(AJ122:AJ132)</f>
        <v>5.9</v>
      </c>
    </row>
    <row r="117" spans="33:39" x14ac:dyDescent="0.2">
      <c r="AG117" s="1939"/>
      <c r="AH117" s="1939"/>
      <c r="AI117" s="1939"/>
      <c r="AJ117" s="1939"/>
      <c r="AK117" s="1939"/>
      <c r="AL117" s="1939"/>
      <c r="AM117" s="1939"/>
    </row>
    <row r="118" spans="33:39" x14ac:dyDescent="0.2">
      <c r="AG118" s="1939"/>
      <c r="AH118" s="1939"/>
      <c r="AI118" s="1939"/>
      <c r="AJ118" s="1939"/>
      <c r="AK118" s="1939"/>
      <c r="AL118" s="1939"/>
      <c r="AM118" s="1939"/>
    </row>
    <row r="119" spans="33:39" x14ac:dyDescent="0.2">
      <c r="AG119" s="1939"/>
      <c r="AH119" s="1940" t="s">
        <v>28169</v>
      </c>
      <c r="AI119" s="1939"/>
      <c r="AJ119" s="1939"/>
      <c r="AK119" s="1939"/>
      <c r="AL119" s="1939"/>
      <c r="AM119" s="1939"/>
    </row>
    <row r="120" spans="33:39" x14ac:dyDescent="0.2">
      <c r="AG120" s="1939"/>
      <c r="AH120" s="1939"/>
      <c r="AI120" s="1939"/>
      <c r="AJ120" s="1939"/>
      <c r="AK120" s="1939"/>
      <c r="AL120" s="1939"/>
      <c r="AM120" s="1939"/>
    </row>
    <row r="121" spans="33:39" x14ac:dyDescent="0.2">
      <c r="AG121" s="1939"/>
      <c r="AH121" s="1941" t="s">
        <v>29853</v>
      </c>
      <c r="AI121" s="1941" t="s">
        <v>29854</v>
      </c>
      <c r="AJ121" s="1942" t="s">
        <v>29855</v>
      </c>
      <c r="AK121" s="1939"/>
      <c r="AL121" s="1939"/>
      <c r="AM121" s="1939"/>
    </row>
    <row r="122" spans="33:39" x14ac:dyDescent="0.2">
      <c r="AG122" s="1939"/>
      <c r="AH122" s="1943">
        <v>0</v>
      </c>
      <c r="AI122" s="1944">
        <v>4.3</v>
      </c>
      <c r="AJ122" s="1942">
        <f>AH122*AI122</f>
        <v>0</v>
      </c>
      <c r="AK122" s="1945" t="s">
        <v>29856</v>
      </c>
      <c r="AL122" s="1939"/>
      <c r="AM122" s="1939"/>
    </row>
    <row r="123" spans="33:39" x14ac:dyDescent="0.2">
      <c r="AG123" s="1939"/>
      <c r="AH123" s="1943">
        <v>0</v>
      </c>
      <c r="AI123" s="1944">
        <v>4.3</v>
      </c>
      <c r="AJ123" s="1942">
        <f t="shared" ref="AJ123:AJ132" si="0">AH123*AI123</f>
        <v>0</v>
      </c>
      <c r="AK123" s="1945" t="s">
        <v>29857</v>
      </c>
      <c r="AL123" s="1939"/>
      <c r="AM123" s="1939"/>
    </row>
    <row r="124" spans="33:39" x14ac:dyDescent="0.2">
      <c r="AG124" s="1939"/>
      <c r="AH124" s="1943">
        <v>6</v>
      </c>
      <c r="AI124" s="1944">
        <v>0.15</v>
      </c>
      <c r="AJ124" s="1942">
        <f t="shared" si="0"/>
        <v>0.89999999999999991</v>
      </c>
      <c r="AK124" s="1945" t="s">
        <v>29858</v>
      </c>
      <c r="AL124" s="1939"/>
      <c r="AM124" s="1939"/>
    </row>
    <row r="125" spans="33:39" x14ac:dyDescent="0.2">
      <c r="AG125" s="1939"/>
      <c r="AH125" s="1946">
        <v>0</v>
      </c>
      <c r="AI125" s="1944">
        <v>3.5000000000000003E-2</v>
      </c>
      <c r="AJ125" s="1942">
        <f t="shared" si="0"/>
        <v>0</v>
      </c>
      <c r="AK125" s="1945" t="s">
        <v>29859</v>
      </c>
      <c r="AL125" s="1939"/>
      <c r="AM125" s="1939"/>
    </row>
    <row r="126" spans="33:39" x14ac:dyDescent="0.2">
      <c r="AG126" s="1939"/>
      <c r="AH126" s="1946">
        <f>AH125</f>
        <v>0</v>
      </c>
      <c r="AI126" s="1944">
        <v>0.46</v>
      </c>
      <c r="AJ126" s="1942">
        <f t="shared" si="0"/>
        <v>0</v>
      </c>
      <c r="AK126" s="1945" t="s">
        <v>29860</v>
      </c>
      <c r="AL126" s="1939"/>
      <c r="AM126" s="1939"/>
    </row>
    <row r="127" spans="33:39" x14ac:dyDescent="0.2">
      <c r="AG127" s="1939"/>
      <c r="AH127" s="1943">
        <v>0</v>
      </c>
      <c r="AI127" s="1944">
        <v>1</v>
      </c>
      <c r="AJ127" s="1942">
        <f t="shared" si="0"/>
        <v>0</v>
      </c>
      <c r="AK127" s="1945" t="s">
        <v>19838</v>
      </c>
      <c r="AL127" s="1939"/>
      <c r="AM127" s="1939"/>
    </row>
    <row r="128" spans="33:39" x14ac:dyDescent="0.2">
      <c r="AG128" s="1939"/>
      <c r="AH128" s="1943">
        <v>0</v>
      </c>
      <c r="AI128" s="1944">
        <v>0.7</v>
      </c>
      <c r="AJ128" s="1942">
        <f t="shared" si="0"/>
        <v>0</v>
      </c>
      <c r="AK128" s="1945" t="s">
        <v>29861</v>
      </c>
      <c r="AL128" s="1939"/>
      <c r="AM128" s="1939"/>
    </row>
    <row r="129" spans="33:39" x14ac:dyDescent="0.2">
      <c r="AG129" s="1939"/>
      <c r="AH129" s="1942">
        <v>0</v>
      </c>
      <c r="AI129" s="1944">
        <v>5</v>
      </c>
      <c r="AJ129" s="1942">
        <f t="shared" si="0"/>
        <v>0</v>
      </c>
      <c r="AK129" s="1945" t="s">
        <v>29862</v>
      </c>
      <c r="AL129" s="1939"/>
      <c r="AM129" s="1939"/>
    </row>
    <row r="130" spans="33:39" x14ac:dyDescent="0.2">
      <c r="AG130" s="1939"/>
      <c r="AH130" s="1943">
        <v>0</v>
      </c>
      <c r="AI130" s="1944">
        <v>0.8</v>
      </c>
      <c r="AJ130" s="1942">
        <f t="shared" si="0"/>
        <v>0</v>
      </c>
      <c r="AK130" s="1945" t="s">
        <v>29863</v>
      </c>
      <c r="AL130" s="1939"/>
      <c r="AM130" s="1939"/>
    </row>
    <row r="131" spans="33:39" x14ac:dyDescent="0.2">
      <c r="AG131" s="1939"/>
      <c r="AH131" s="1943">
        <v>0</v>
      </c>
      <c r="AI131" s="1944">
        <v>0.9</v>
      </c>
      <c r="AJ131" s="1942">
        <f t="shared" si="0"/>
        <v>0</v>
      </c>
      <c r="AK131" s="1945" t="s">
        <v>525</v>
      </c>
      <c r="AL131" s="1939"/>
      <c r="AM131" s="1939"/>
    </row>
    <row r="132" spans="33:39" x14ac:dyDescent="0.2">
      <c r="AG132" s="1939"/>
      <c r="AH132" s="1943">
        <v>1</v>
      </c>
      <c r="AI132" s="1943">
        <v>5</v>
      </c>
      <c r="AJ132" s="1942">
        <f t="shared" si="0"/>
        <v>5</v>
      </c>
      <c r="AK132" s="1945" t="s">
        <v>692</v>
      </c>
      <c r="AL132" s="1939"/>
      <c r="AM132" s="1939"/>
    </row>
    <row r="133" spans="33:39" x14ac:dyDescent="0.2">
      <c r="AG133" s="1939"/>
      <c r="AH133" s="1939"/>
      <c r="AI133" s="1939"/>
      <c r="AJ133" s="1939"/>
      <c r="AK133" s="1939"/>
      <c r="AL133" s="1939"/>
      <c r="AM133" s="1939"/>
    </row>
    <row r="134" spans="33:39" x14ac:dyDescent="0.2">
      <c r="AG134" s="1939"/>
      <c r="AH134" s="1939"/>
      <c r="AI134" s="1939"/>
      <c r="AJ134" s="1939"/>
      <c r="AK134" s="1939"/>
      <c r="AL134" s="1939"/>
      <c r="AM134" s="1939"/>
    </row>
  </sheetData>
  <mergeCells count="19">
    <mergeCell ref="C8:F8"/>
    <mergeCell ref="G8:I8"/>
    <mergeCell ref="K8:L8"/>
    <mergeCell ref="M8:N8"/>
    <mergeCell ref="A2:N2"/>
    <mergeCell ref="C4:I4"/>
    <mergeCell ref="K4:N4"/>
    <mergeCell ref="C6:I6"/>
    <mergeCell ref="K6:N6"/>
    <mergeCell ref="A36:A37"/>
    <mergeCell ref="P49:T50"/>
    <mergeCell ref="P52:T53"/>
    <mergeCell ref="P55:T56"/>
    <mergeCell ref="P58:T59"/>
    <mergeCell ref="P61:T62"/>
    <mergeCell ref="P64:T65"/>
    <mergeCell ref="P67:T68"/>
    <mergeCell ref="AI82:AJ83"/>
    <mergeCell ref="D10:L11"/>
  </mergeCells>
  <conditionalFormatting sqref="P52 M86:T65536 N47:O83 N84 P47:P49 P51:T51 P54:T54 P55 P57:T57 P58 L94:L65536 U19:V65536 N46:T46 P70:T83 R8:R12 P60:T60 P61 P63:T63 P64 N9:Q12 R14:R45 Q47:T48 P66:T66 W1:X1048576 Y8:Y24 Y29:Y65536 U12:V17 S8:S45 T8:V11 T18:T45 B1:E1 A41:A65536 A8:A36 A38:A39 Z82:AI82 Z83:AH84 AK82:IV84 BF33:IV44 Z45:IV47 Z85:IV92 Z55:IV81 BA48:IV54 Z94:IV95 Z93:AK93 AP93:IV93 Z96:AK97 AR96:IV97 Z48:AQ54 Z133:IV65536 Z121:AG131 AK121:IV121 AL122:IV131 Z132:AI132 AK132:IV132 Z98:IV120 B3:E3 B5 B7 O8:Q8 M9:M11 B9:H9 M23:M84 B12:K12 L25:L92 B25:K65536 B13:J22 N23:Q45 O13:Q22 Z33:AQ44 Z8:IV32 B11:C11 B10:D10">
    <cfRule type="cellIs" dxfId="7" priority="8" stopIfTrue="1" operator="equal">
      <formula>0</formula>
    </cfRule>
  </conditionalFormatting>
  <conditionalFormatting sqref="A2">
    <cfRule type="cellIs" dxfId="6" priority="7" stopIfTrue="1" operator="equal">
      <formula>0</formula>
    </cfRule>
  </conditionalFormatting>
  <conditionalFormatting sqref="B4">
    <cfRule type="cellIs" dxfId="5" priority="6" stopIfTrue="1" operator="equal">
      <formula>0</formula>
    </cfRule>
  </conditionalFormatting>
  <conditionalFormatting sqref="B6">
    <cfRule type="cellIs" dxfId="4" priority="5" stopIfTrue="1" operator="equal">
      <formula>0</formula>
    </cfRule>
  </conditionalFormatting>
  <conditionalFormatting sqref="B8">
    <cfRule type="cellIs" dxfId="3" priority="4" stopIfTrue="1" operator="equal">
      <formula>0</formula>
    </cfRule>
  </conditionalFormatting>
  <conditionalFormatting sqref="D10:L11">
    <cfRule type="cellIs" dxfId="2" priority="3" stopIfTrue="1" operator="greaterThan">
      <formula>0</formula>
    </cfRule>
  </conditionalFormatting>
  <conditionalFormatting sqref="B23:J23 B24:C24 E24:J24">
    <cfRule type="cellIs" dxfId="1" priority="2" stopIfTrue="1" operator="equal">
      <formula>0</formula>
    </cfRule>
  </conditionalFormatting>
  <conditionalFormatting sqref="D24">
    <cfRule type="cellIs" dxfId="0" priority="1" stopIfTrue="1" operator="equal">
      <formula>0</formula>
    </cfRule>
  </conditionalFormatting>
  <dataValidations count="4">
    <dataValidation type="list" allowBlank="1" showInputMessage="1" showErrorMessage="1" sqref="D21:D22" xr:uid="{00000000-0002-0000-2300-000000000000}">
      <formula1>$U$12:$U$17</formula1>
    </dataValidation>
    <dataValidation type="list" allowBlank="1" showInputMessage="1" showErrorMessage="1" sqref="D17" xr:uid="{00000000-0002-0000-2300-000001000000}">
      <formula1>$U$12:$U$16</formula1>
    </dataValidation>
    <dataValidation type="list" allowBlank="1" showInputMessage="1" sqref="D13" xr:uid="{00000000-0002-0000-2300-000002000000}">
      <formula1>$U$12:$U$16</formula1>
    </dataValidation>
    <dataValidation type="list" allowBlank="1" showInputMessage="1" showErrorMessage="1" sqref="T87 T35 T44" xr:uid="{00000000-0002-0000-2300-000003000000}">
      <formula1>$U$12:$U$13</formula1>
    </dataValidation>
  </dataValidations>
  <pageMargins left="0.78740157499999996" right="0.78740157499999996" top="0.984251969" bottom="0.984251969" header="0.4921259845" footer="0.4921259845"/>
  <pageSetup paperSize="9" scale="64" orientation="landscape"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37</vt:i4>
      </vt:variant>
      <vt:variant>
        <vt:lpstr>Benannte Bereiche</vt:lpstr>
      </vt:variant>
      <vt:variant>
        <vt:i4>36</vt:i4>
      </vt:variant>
    </vt:vector>
  </HeadingPairs>
  <TitlesOfParts>
    <vt:vector size="73" baseType="lpstr">
      <vt:lpstr>Aufdopplungsrechner (Test)</vt:lpstr>
      <vt:lpstr>Siko Tapeswitch</vt:lpstr>
      <vt:lpstr>Logbuch</vt:lpstr>
      <vt:lpstr>Montagezeitenvergleich</vt:lpstr>
      <vt:lpstr>Fehleranalyse</vt:lpstr>
      <vt:lpstr>Bestellteile</vt:lpstr>
      <vt:lpstr>Variantenkonfiguration</vt:lpstr>
      <vt:lpstr>Arbeitsplan</vt:lpstr>
      <vt:lpstr>Stückliste</vt:lpstr>
      <vt:lpstr>Berechnung &amp; Tabellen</vt:lpstr>
      <vt:lpstr>Zeiterfassungsbogen</vt:lpstr>
      <vt:lpstr>Störungserfassung</vt:lpstr>
      <vt:lpstr>Dateneingabe</vt:lpstr>
      <vt:lpstr>Liste</vt:lpstr>
      <vt:lpstr>Vergl. PAP GCC zu ECClos-S</vt:lpstr>
      <vt:lpstr>Eingabe Sonderteile</vt:lpstr>
      <vt:lpstr>Preise B7</vt:lpstr>
      <vt:lpstr>Blechbearbeitung</vt:lpstr>
      <vt:lpstr>Zuschnitt Schieberblatt</vt:lpstr>
      <vt:lpstr>SEW Welle 25x50 Vs 20x36</vt:lpstr>
      <vt:lpstr>Zuschnitt intumestzierendes Mat</vt:lpstr>
      <vt:lpstr>Zuschnitt Festfeld</vt:lpstr>
      <vt:lpstr>Zuschnitt Intumest Blöcke</vt:lpstr>
      <vt:lpstr>Stahlzuschnitt</vt:lpstr>
      <vt:lpstr>Zuschnitt Gewindestangen</vt:lpstr>
      <vt:lpstr>Kleinteilfertigung</vt:lpstr>
      <vt:lpstr>Schieberelemente</vt:lpstr>
      <vt:lpstr>Dichtrahmenabdeckung</vt:lpstr>
      <vt:lpstr>Dichtrahmen usw.</vt:lpstr>
      <vt:lpstr>Antriebsfertigung</vt:lpstr>
      <vt:lpstr>Checkliste</vt:lpstr>
      <vt:lpstr>Lager_&amp;_Montagematerial</vt:lpstr>
      <vt:lpstr>Produktionskontrolle</vt:lpstr>
      <vt:lpstr>Leistungserklärung</vt:lpstr>
      <vt:lpstr>Lackliste</vt:lpstr>
      <vt:lpstr>Kostensätze</vt:lpstr>
      <vt:lpstr>Verpackungsberechnung</vt:lpstr>
      <vt:lpstr>Antriebsfertigung!Druckbereich</vt:lpstr>
      <vt:lpstr>'Aufdopplungsrechner (Test)'!Druckbereich</vt:lpstr>
      <vt:lpstr>Bestellteile!Druckbereich</vt:lpstr>
      <vt:lpstr>Blechbearbeitung!Druckbereich</vt:lpstr>
      <vt:lpstr>Checkliste!Druckbereich</vt:lpstr>
      <vt:lpstr>Dateneingabe!Druckbereich</vt:lpstr>
      <vt:lpstr>'Dichtrahmen usw.'!Druckbereich</vt:lpstr>
      <vt:lpstr>Dichtrahmenabdeckung!Druckbereich</vt:lpstr>
      <vt:lpstr>'Eingabe Sonderteile'!Druckbereich</vt:lpstr>
      <vt:lpstr>Kleinteilfertigung!Druckbereich</vt:lpstr>
      <vt:lpstr>Kostensätze!Druckbereich</vt:lpstr>
      <vt:lpstr>Lackliste!Druckbereich</vt:lpstr>
      <vt:lpstr>'Lager_&amp;_Montagematerial'!Druckbereich</vt:lpstr>
      <vt:lpstr>Leistungserklärung!Druckbereich</vt:lpstr>
      <vt:lpstr>Liste!Druckbereich</vt:lpstr>
      <vt:lpstr>Produktionskontrolle!Druckbereich</vt:lpstr>
      <vt:lpstr>Schieberelemente!Druckbereich</vt:lpstr>
      <vt:lpstr>'Siko Tapeswitch'!Druckbereich</vt:lpstr>
      <vt:lpstr>Stahlzuschnitt!Druckbereich</vt:lpstr>
      <vt:lpstr>Störungserfassung!Druckbereich</vt:lpstr>
      <vt:lpstr>'Vergl. PAP GCC zu ECClos-S'!Druckbereich</vt:lpstr>
      <vt:lpstr>Verpackungsberechnung!Druckbereich</vt:lpstr>
      <vt:lpstr>Zeiterfassungsbogen!Druckbereich</vt:lpstr>
      <vt:lpstr>'Zuschnitt Festfeld'!Druckbereich</vt:lpstr>
      <vt:lpstr>'Zuschnitt Gewindestangen'!Druckbereich</vt:lpstr>
      <vt:lpstr>'Zuschnitt Intumest Blöcke'!Druckbereich</vt:lpstr>
      <vt:lpstr>'Zuschnitt intumestzierendes Mat'!Druckbereich</vt:lpstr>
      <vt:lpstr>'Zuschnitt Schieberblatt'!Druckbereich</vt:lpstr>
      <vt:lpstr>Bestellteile!Drucktitel</vt:lpstr>
      <vt:lpstr>Blechbearbeitung!Drucktitel</vt:lpstr>
      <vt:lpstr>Checkliste!Drucktitel</vt:lpstr>
      <vt:lpstr>Lackliste!Drucktitel</vt:lpstr>
      <vt:lpstr>'Lager_&amp;_Montagematerial'!Drucktitel</vt:lpstr>
      <vt:lpstr>Bestellteile!elvis</vt:lpstr>
      <vt:lpstr>'Eingabe Sonderteile'!Stkz</vt:lpstr>
      <vt:lpstr>Verpackungsberechnung!Stkz</vt:lpstr>
    </vt:vector>
  </TitlesOfParts>
  <Company>Stöbich Brandschutz GmbH &amp; Co KG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backup10</dc:creator>
  <cp:lastModifiedBy>Wolff, Michael</cp:lastModifiedBy>
  <cp:lastPrinted>2020-09-11T11:50:52Z</cp:lastPrinted>
  <dcterms:created xsi:type="dcterms:W3CDTF">2006-03-27T14:08:36Z</dcterms:created>
  <dcterms:modified xsi:type="dcterms:W3CDTF">2022-02-02T12:21:47Z</dcterms:modified>
</cp:coreProperties>
</file>